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arbon\jet\CORP\Product Management\Reports - WIP\1st priority - Branding Update\Master List of Reports\NAV\Reports\Done\"/>
    </mc:Choice>
  </mc:AlternateContent>
  <bookViews>
    <workbookView xWindow="120" yWindow="105" windowWidth="28635" windowHeight="13740"/>
  </bookViews>
  <sheets>
    <sheet name="Read Me" sheetId="244" r:id="rId1"/>
    <sheet name="Options" sheetId="1" state="hidden" r:id="rId2"/>
    <sheet name="Item Profitability by Customer" sheetId="2" r:id="rId3"/>
    <sheet name="Sheet1" sheetId="279" state="veryHidden" r:id="rId4"/>
    <sheet name="Sheet2" sheetId="280" state="veryHidden" r:id="rId5"/>
    <sheet name="Sheet3" sheetId="281" state="veryHidden" r:id="rId6"/>
    <sheet name="Sheet4" sheetId="282" state="veryHidden" r:id="rId7"/>
    <sheet name="Sheet5" sheetId="283" state="veryHidden" r:id="rId8"/>
    <sheet name="Sheet6" sheetId="284" state="veryHidden" r:id="rId9"/>
  </sheets>
  <definedNames>
    <definedName name="CurrentYrDateFilter">Options!$D$11</definedName>
    <definedName name="CustomerFilter">Options!$D$6</definedName>
    <definedName name="CustomerSourceType">Options!$D$15</definedName>
    <definedName name="EndDate">Options!$D$5</definedName>
    <definedName name="ItemFilter">Options!$D$7</definedName>
    <definedName name="PeriodType">Options!$D$3</definedName>
    <definedName name="_xlnm.Print_Area" localSheetId="2">'Item Profitability by Customer'!$E$16:$T$3063</definedName>
    <definedName name="PriorYrDateFilter">Options!$D$12</definedName>
    <definedName name="SaleEntryType">Options!$D$14</definedName>
    <definedName name="StartDate">Options!$D$4</definedName>
    <definedName name="TwoYrDateFilter">Options!$D$13</definedName>
  </definedNames>
  <calcPr calcId="162913"/>
</workbook>
</file>

<file path=xl/calcChain.xml><?xml version="1.0" encoding="utf-8"?>
<calcChain xmlns="http://schemas.openxmlformats.org/spreadsheetml/2006/main">
  <c r="E3" i="1" l="1"/>
  <c r="D4" i="1"/>
  <c r="D5" i="1"/>
  <c r="D6" i="1"/>
  <c r="E6" i="1"/>
  <c r="D7" i="1"/>
  <c r="E7" i="1"/>
  <c r="D11" i="1"/>
  <c r="D12" i="1"/>
  <c r="J6" i="2"/>
  <c r="U6" i="2"/>
  <c r="O7" i="2"/>
  <c r="Z7" i="2"/>
  <c r="O8" i="2"/>
  <c r="Z8" i="2"/>
  <c r="J9" i="2"/>
  <c r="O9" i="2"/>
  <c r="U9" i="2"/>
  <c r="Z9" i="2"/>
  <c r="J17" i="2"/>
  <c r="O17" i="2"/>
  <c r="U17" i="2"/>
  <c r="Z17" i="2"/>
  <c r="E20" i="2"/>
  <c r="G20" i="2"/>
  <c r="F22" i="2"/>
  <c r="G22" i="2"/>
  <c r="M22" i="2"/>
  <c r="N22" i="2" s="1"/>
  <c r="R22" i="2"/>
  <c r="S22" i="2"/>
  <c r="X22" i="2"/>
  <c r="Y22" i="2"/>
  <c r="F23" i="2"/>
  <c r="G23" i="2"/>
  <c r="M23" i="2"/>
  <c r="N23" i="2" s="1"/>
  <c r="R23" i="2"/>
  <c r="S23" i="2"/>
  <c r="X23" i="2"/>
  <c r="Y23" i="2" s="1"/>
  <c r="F24" i="2"/>
  <c r="G24" i="2"/>
  <c r="M24" i="2"/>
  <c r="N24" i="2" s="1"/>
  <c r="R24" i="2"/>
  <c r="S24" i="2"/>
  <c r="X24" i="2"/>
  <c r="Y24" i="2"/>
  <c r="F25" i="2"/>
  <c r="G25" i="2"/>
  <c r="M25" i="2"/>
  <c r="N25" i="2" s="1"/>
  <c r="R25" i="2"/>
  <c r="S25" i="2"/>
  <c r="X25" i="2"/>
  <c r="Y25" i="2" s="1"/>
  <c r="F26" i="2"/>
  <c r="G26" i="2"/>
  <c r="M26" i="2"/>
  <c r="N26" i="2" s="1"/>
  <c r="R26" i="2"/>
  <c r="S26" i="2"/>
  <c r="X26" i="2"/>
  <c r="Y26" i="2" s="1"/>
  <c r="F27" i="2"/>
  <c r="G27" i="2"/>
  <c r="M27" i="2"/>
  <c r="N27" i="2" s="1"/>
  <c r="R27" i="2"/>
  <c r="S27" i="2"/>
  <c r="X27" i="2"/>
  <c r="Y27" i="2"/>
  <c r="F28" i="2"/>
  <c r="G28" i="2"/>
  <c r="M28" i="2"/>
  <c r="N28" i="2" s="1"/>
  <c r="R28" i="2"/>
  <c r="S28" i="2"/>
  <c r="X28" i="2"/>
  <c r="Y28" i="2" s="1"/>
  <c r="F29" i="2"/>
  <c r="G29" i="2"/>
  <c r="M29" i="2"/>
  <c r="N29" i="2" s="1"/>
  <c r="R29" i="2"/>
  <c r="S29" i="2"/>
  <c r="X29" i="2"/>
  <c r="Y29" i="2"/>
  <c r="F30" i="2"/>
  <c r="G30" i="2"/>
  <c r="M30" i="2"/>
  <c r="N30" i="2" s="1"/>
  <c r="R30" i="2"/>
  <c r="S30" i="2"/>
  <c r="X30" i="2"/>
  <c r="Y30" i="2" s="1"/>
  <c r="F31" i="2"/>
  <c r="G31" i="2"/>
  <c r="M31" i="2"/>
  <c r="N31" i="2" s="1"/>
  <c r="R31" i="2"/>
  <c r="S31" i="2"/>
  <c r="X31" i="2"/>
  <c r="Y31" i="2"/>
  <c r="F32" i="2"/>
  <c r="G32" i="2"/>
  <c r="M32" i="2"/>
  <c r="N32" i="2" s="1"/>
  <c r="R32" i="2"/>
  <c r="S32" i="2"/>
  <c r="X32" i="2"/>
  <c r="Y32" i="2"/>
  <c r="F33" i="2"/>
  <c r="G33" i="2"/>
  <c r="M33" i="2"/>
  <c r="N33" i="2" s="1"/>
  <c r="R33" i="2"/>
  <c r="S33" i="2"/>
  <c r="X33" i="2"/>
  <c r="Y33" i="2"/>
  <c r="F34" i="2"/>
  <c r="G34" i="2"/>
  <c r="M34" i="2"/>
  <c r="N34" i="2" s="1"/>
  <c r="R34" i="2"/>
  <c r="S34" i="2"/>
  <c r="X34" i="2"/>
  <c r="Y34" i="2"/>
  <c r="F35" i="2"/>
  <c r="G35" i="2"/>
  <c r="M35" i="2"/>
  <c r="N35" i="2" s="1"/>
  <c r="R35" i="2"/>
  <c r="S35" i="2"/>
  <c r="X35" i="2"/>
  <c r="Y35" i="2"/>
  <c r="F36" i="2"/>
  <c r="G36" i="2"/>
  <c r="M36" i="2"/>
  <c r="N36" i="2" s="1"/>
  <c r="R36" i="2"/>
  <c r="S36" i="2"/>
  <c r="X36" i="2"/>
  <c r="Y36" i="2"/>
  <c r="F37" i="2"/>
  <c r="G37" i="2"/>
  <c r="M37" i="2"/>
  <c r="N37" i="2" s="1"/>
  <c r="R37" i="2"/>
  <c r="S37" i="2"/>
  <c r="X37" i="2"/>
  <c r="Y37" i="2"/>
  <c r="F38" i="2"/>
  <c r="G38" i="2"/>
  <c r="M38" i="2"/>
  <c r="N38" i="2" s="1"/>
  <c r="R38" i="2"/>
  <c r="S38" i="2"/>
  <c r="X38" i="2"/>
  <c r="Y38" i="2"/>
  <c r="F39" i="2"/>
  <c r="G39" i="2"/>
  <c r="M39" i="2"/>
  <c r="N39" i="2" s="1"/>
  <c r="R39" i="2"/>
  <c r="S39" i="2"/>
  <c r="X39" i="2"/>
  <c r="Y39" i="2"/>
  <c r="F40" i="2"/>
  <c r="G40" i="2"/>
  <c r="M40" i="2"/>
  <c r="N40" i="2" s="1"/>
  <c r="R40" i="2"/>
  <c r="S40" i="2"/>
  <c r="X40" i="2"/>
  <c r="Y40" i="2"/>
  <c r="F41" i="2"/>
  <c r="G41" i="2"/>
  <c r="M41" i="2"/>
  <c r="N41" i="2"/>
  <c r="R41" i="2"/>
  <c r="S41" i="2"/>
  <c r="X41" i="2"/>
  <c r="Y41" i="2"/>
  <c r="F42" i="2"/>
  <c r="G42" i="2"/>
  <c r="M42" i="2"/>
  <c r="N42" i="2"/>
  <c r="R42" i="2"/>
  <c r="S42" i="2"/>
  <c r="X42" i="2"/>
  <c r="Y42" i="2"/>
  <c r="F43" i="2"/>
  <c r="G43" i="2"/>
  <c r="M43" i="2"/>
  <c r="N43" i="2" s="1"/>
  <c r="R43" i="2"/>
  <c r="S43" i="2"/>
  <c r="X43" i="2"/>
  <c r="Y43" i="2"/>
  <c r="F44" i="2"/>
  <c r="G44" i="2"/>
  <c r="M44" i="2"/>
  <c r="N44" i="2"/>
  <c r="R44" i="2"/>
  <c r="S44" i="2"/>
  <c r="X44" i="2"/>
  <c r="Y44" i="2"/>
  <c r="F45" i="2"/>
  <c r="G45" i="2"/>
  <c r="M45" i="2"/>
  <c r="N45" i="2" s="1"/>
  <c r="R45" i="2"/>
  <c r="S45" i="2"/>
  <c r="X45" i="2"/>
  <c r="Y45" i="2"/>
  <c r="F46" i="2"/>
  <c r="G46" i="2"/>
  <c r="M46" i="2"/>
  <c r="N46" i="2" s="1"/>
  <c r="R46" i="2"/>
  <c r="S46" i="2"/>
  <c r="X46" i="2"/>
  <c r="Y46" i="2"/>
  <c r="F47" i="2"/>
  <c r="G47" i="2"/>
  <c r="M47" i="2"/>
  <c r="N47" i="2"/>
  <c r="R47" i="2"/>
  <c r="S47" i="2"/>
  <c r="X47" i="2"/>
  <c r="Y47" i="2"/>
  <c r="F48" i="2"/>
  <c r="G48" i="2"/>
  <c r="M48" i="2"/>
  <c r="N48" i="2"/>
  <c r="R48" i="2"/>
  <c r="S48" i="2"/>
  <c r="X48" i="2"/>
  <c r="Y48" i="2"/>
  <c r="F49" i="2"/>
  <c r="G49" i="2"/>
  <c r="M49" i="2"/>
  <c r="N49" i="2" s="1"/>
  <c r="R49" i="2"/>
  <c r="S49" i="2"/>
  <c r="X49" i="2"/>
  <c r="Y49" i="2"/>
  <c r="F50" i="2"/>
  <c r="G50" i="2"/>
  <c r="M50" i="2"/>
  <c r="N50" i="2" s="1"/>
  <c r="R50" i="2"/>
  <c r="S50" i="2"/>
  <c r="X50" i="2"/>
  <c r="Y50" i="2"/>
  <c r="F51" i="2"/>
  <c r="G51" i="2"/>
  <c r="M51" i="2"/>
  <c r="N51" i="2" s="1"/>
  <c r="R51" i="2"/>
  <c r="S51" i="2"/>
  <c r="X51" i="2"/>
  <c r="Y51" i="2"/>
  <c r="F52" i="2"/>
  <c r="G52" i="2"/>
  <c r="M52" i="2"/>
  <c r="N52" i="2" s="1"/>
  <c r="R52" i="2"/>
  <c r="S52" i="2"/>
  <c r="X52" i="2"/>
  <c r="Y52" i="2"/>
  <c r="F53" i="2"/>
  <c r="G53" i="2"/>
  <c r="M53" i="2"/>
  <c r="N53" i="2" s="1"/>
  <c r="R53" i="2"/>
  <c r="S53" i="2"/>
  <c r="X53" i="2"/>
  <c r="Y53" i="2"/>
  <c r="F54" i="2"/>
  <c r="G54" i="2"/>
  <c r="M54" i="2"/>
  <c r="N54" i="2"/>
  <c r="R54" i="2"/>
  <c r="S54" i="2"/>
  <c r="X54" i="2"/>
  <c r="Y54" i="2"/>
  <c r="F55" i="2"/>
  <c r="G55" i="2"/>
  <c r="M55" i="2"/>
  <c r="N55" i="2" s="1"/>
  <c r="R55" i="2"/>
  <c r="S55" i="2"/>
  <c r="X55" i="2"/>
  <c r="Y55" i="2"/>
  <c r="F56" i="2"/>
  <c r="G56" i="2"/>
  <c r="M56" i="2"/>
  <c r="N56" i="2" s="1"/>
  <c r="R56" i="2"/>
  <c r="S56" i="2"/>
  <c r="X56" i="2"/>
  <c r="Y56" i="2"/>
  <c r="F57" i="2"/>
  <c r="G57" i="2"/>
  <c r="M57" i="2"/>
  <c r="N57" i="2" s="1"/>
  <c r="R57" i="2"/>
  <c r="S57" i="2"/>
  <c r="X57" i="2"/>
  <c r="Y57" i="2"/>
  <c r="F58" i="2"/>
  <c r="G58" i="2"/>
  <c r="M58" i="2"/>
  <c r="N58" i="2" s="1"/>
  <c r="R58" i="2"/>
  <c r="S58" i="2"/>
  <c r="X58" i="2"/>
  <c r="Y58" i="2"/>
  <c r="F59" i="2"/>
  <c r="G59" i="2"/>
  <c r="M59" i="2"/>
  <c r="N59" i="2"/>
  <c r="R59" i="2"/>
  <c r="S59" i="2"/>
  <c r="X59" i="2"/>
  <c r="Y59" i="2"/>
  <c r="F60" i="2"/>
  <c r="G60" i="2"/>
  <c r="M60" i="2"/>
  <c r="N60" i="2" s="1"/>
  <c r="R60" i="2"/>
  <c r="S60" i="2"/>
  <c r="X60" i="2"/>
  <c r="Y60" i="2"/>
  <c r="J62" i="2"/>
  <c r="K62" i="2"/>
  <c r="L62" i="2"/>
  <c r="M62" i="2" s="1"/>
  <c r="N62" i="2" s="1"/>
  <c r="O62" i="2"/>
  <c r="P62" i="2"/>
  <c r="Q62" i="2"/>
  <c r="R62" i="2"/>
  <c r="S62" i="2"/>
  <c r="U62" i="2"/>
  <c r="X62" i="2" s="1"/>
  <c r="V62" i="2"/>
  <c r="W62" i="2"/>
  <c r="Z62" i="2"/>
  <c r="AA62" i="2"/>
  <c r="AB62" i="2"/>
  <c r="E64" i="2"/>
  <c r="G64" i="2"/>
  <c r="F66" i="2"/>
  <c r="G66" i="2"/>
  <c r="M66" i="2"/>
  <c r="N66" i="2" s="1"/>
  <c r="R66" i="2"/>
  <c r="S66" i="2"/>
  <c r="X66" i="2"/>
  <c r="Y66" i="2"/>
  <c r="F67" i="2"/>
  <c r="G67" i="2"/>
  <c r="M67" i="2"/>
  <c r="N67" i="2" s="1"/>
  <c r="R67" i="2"/>
  <c r="S67" i="2"/>
  <c r="X67" i="2"/>
  <c r="Y67" i="2"/>
  <c r="F68" i="2"/>
  <c r="G68" i="2"/>
  <c r="M68" i="2"/>
  <c r="N68" i="2" s="1"/>
  <c r="R68" i="2"/>
  <c r="S68" i="2"/>
  <c r="X68" i="2"/>
  <c r="Y68" i="2"/>
  <c r="F69" i="2"/>
  <c r="G69" i="2"/>
  <c r="M69" i="2"/>
  <c r="N69" i="2" s="1"/>
  <c r="R69" i="2"/>
  <c r="S69" i="2"/>
  <c r="X69" i="2"/>
  <c r="Y69" i="2"/>
  <c r="F70" i="2"/>
  <c r="G70" i="2"/>
  <c r="M70" i="2"/>
  <c r="N70" i="2" s="1"/>
  <c r="R70" i="2"/>
  <c r="S70" i="2"/>
  <c r="X70" i="2"/>
  <c r="Y70" i="2"/>
  <c r="F71" i="2"/>
  <c r="G71" i="2"/>
  <c r="M71" i="2"/>
  <c r="N71" i="2" s="1"/>
  <c r="R71" i="2"/>
  <c r="S71" i="2"/>
  <c r="X71" i="2"/>
  <c r="Y71" i="2"/>
  <c r="F72" i="2"/>
  <c r="G72" i="2"/>
  <c r="M72" i="2"/>
  <c r="N72" i="2" s="1"/>
  <c r="R72" i="2"/>
  <c r="S72" i="2"/>
  <c r="X72" i="2"/>
  <c r="Y72" i="2"/>
  <c r="F73" i="2"/>
  <c r="G73" i="2"/>
  <c r="M73" i="2"/>
  <c r="N73" i="2" s="1"/>
  <c r="R73" i="2"/>
  <c r="S73" i="2"/>
  <c r="X73" i="2"/>
  <c r="Y73" i="2"/>
  <c r="F74" i="2"/>
  <c r="G74" i="2"/>
  <c r="M74" i="2"/>
  <c r="N74" i="2" s="1"/>
  <c r="R74" i="2"/>
  <c r="S74" i="2"/>
  <c r="X74" i="2"/>
  <c r="Y74" i="2"/>
  <c r="F75" i="2"/>
  <c r="G75" i="2"/>
  <c r="M75" i="2"/>
  <c r="N75" i="2"/>
  <c r="R75" i="2"/>
  <c r="S75" i="2"/>
  <c r="X75" i="2"/>
  <c r="Y75" i="2"/>
  <c r="F76" i="2"/>
  <c r="G76" i="2"/>
  <c r="M76" i="2"/>
  <c r="N76" i="2" s="1"/>
  <c r="R76" i="2"/>
  <c r="S76" i="2"/>
  <c r="X76" i="2"/>
  <c r="Y76" i="2"/>
  <c r="F77" i="2"/>
  <c r="G77" i="2"/>
  <c r="M77" i="2"/>
  <c r="N77" i="2" s="1"/>
  <c r="R77" i="2"/>
  <c r="S77" i="2"/>
  <c r="X77" i="2"/>
  <c r="Y77" i="2"/>
  <c r="F78" i="2"/>
  <c r="G78" i="2"/>
  <c r="M78" i="2"/>
  <c r="N78" i="2" s="1"/>
  <c r="R78" i="2"/>
  <c r="S78" i="2"/>
  <c r="X78" i="2"/>
  <c r="Y78" i="2"/>
  <c r="F79" i="2"/>
  <c r="G79" i="2"/>
  <c r="M79" i="2"/>
  <c r="N79" i="2" s="1"/>
  <c r="R79" i="2"/>
  <c r="S79" i="2"/>
  <c r="X79" i="2"/>
  <c r="Y79" i="2"/>
  <c r="F80" i="2"/>
  <c r="G80" i="2"/>
  <c r="M80" i="2"/>
  <c r="N80" i="2" s="1"/>
  <c r="R80" i="2"/>
  <c r="S80" i="2"/>
  <c r="X80" i="2"/>
  <c r="Y80" i="2"/>
  <c r="F81" i="2"/>
  <c r="G81" i="2"/>
  <c r="M81" i="2"/>
  <c r="N81" i="2" s="1"/>
  <c r="R81" i="2"/>
  <c r="S81" i="2"/>
  <c r="X81" i="2"/>
  <c r="Y81" i="2"/>
  <c r="F82" i="2"/>
  <c r="G82" i="2"/>
  <c r="M82" i="2"/>
  <c r="N82" i="2" s="1"/>
  <c r="R82" i="2"/>
  <c r="S82" i="2"/>
  <c r="X82" i="2"/>
  <c r="Y82" i="2"/>
  <c r="F83" i="2"/>
  <c r="G83" i="2"/>
  <c r="M83" i="2"/>
  <c r="N83" i="2" s="1"/>
  <c r="R83" i="2"/>
  <c r="S83" i="2"/>
  <c r="X83" i="2"/>
  <c r="Y83" i="2"/>
  <c r="F84" i="2"/>
  <c r="G84" i="2"/>
  <c r="M84" i="2"/>
  <c r="N84" i="2" s="1"/>
  <c r="R84" i="2"/>
  <c r="S84" i="2"/>
  <c r="X84" i="2"/>
  <c r="Y84" i="2"/>
  <c r="F85" i="2"/>
  <c r="G85" i="2"/>
  <c r="M85" i="2"/>
  <c r="N85" i="2" s="1"/>
  <c r="R85" i="2"/>
  <c r="S85" i="2"/>
  <c r="X85" i="2"/>
  <c r="Y85" i="2"/>
  <c r="F86" i="2"/>
  <c r="G86" i="2"/>
  <c r="M86" i="2"/>
  <c r="N86" i="2" s="1"/>
  <c r="R86" i="2"/>
  <c r="S86" i="2"/>
  <c r="X86" i="2"/>
  <c r="Y86" i="2"/>
  <c r="F87" i="2"/>
  <c r="G87" i="2"/>
  <c r="M87" i="2"/>
  <c r="N87" i="2" s="1"/>
  <c r="R87" i="2"/>
  <c r="S87" i="2"/>
  <c r="X87" i="2"/>
  <c r="Y87" i="2"/>
  <c r="F88" i="2"/>
  <c r="G88" i="2"/>
  <c r="M88" i="2"/>
  <c r="N88" i="2" s="1"/>
  <c r="R88" i="2"/>
  <c r="S88" i="2"/>
  <c r="X88" i="2"/>
  <c r="Y88" i="2"/>
  <c r="F89" i="2"/>
  <c r="G89" i="2"/>
  <c r="M89" i="2"/>
  <c r="N89" i="2" s="1"/>
  <c r="R89" i="2"/>
  <c r="S89" i="2"/>
  <c r="X89" i="2"/>
  <c r="Y89" i="2"/>
  <c r="F90" i="2"/>
  <c r="G90" i="2"/>
  <c r="M90" i="2"/>
  <c r="N90" i="2" s="1"/>
  <c r="R90" i="2"/>
  <c r="S90" i="2"/>
  <c r="X90" i="2"/>
  <c r="Y90" i="2"/>
  <c r="F91" i="2"/>
  <c r="G91" i="2"/>
  <c r="M91" i="2"/>
  <c r="N91" i="2"/>
  <c r="R91" i="2"/>
  <c r="S91" i="2"/>
  <c r="X91" i="2"/>
  <c r="Y91" i="2"/>
  <c r="F92" i="2"/>
  <c r="G92" i="2"/>
  <c r="M92" i="2"/>
  <c r="N92" i="2" s="1"/>
  <c r="R92" i="2"/>
  <c r="S92" i="2"/>
  <c r="X92" i="2"/>
  <c r="Y92" i="2"/>
  <c r="F93" i="2"/>
  <c r="G93" i="2"/>
  <c r="M93" i="2"/>
  <c r="N93" i="2" s="1"/>
  <c r="R93" i="2"/>
  <c r="S93" i="2"/>
  <c r="X93" i="2"/>
  <c r="Y93" i="2"/>
  <c r="F94" i="2"/>
  <c r="G94" i="2"/>
  <c r="M94" i="2"/>
  <c r="N94" i="2" s="1"/>
  <c r="R94" i="2"/>
  <c r="S94" i="2"/>
  <c r="X94" i="2"/>
  <c r="Y94" i="2"/>
  <c r="F95" i="2"/>
  <c r="G95" i="2"/>
  <c r="M95" i="2"/>
  <c r="N95" i="2" s="1"/>
  <c r="R95" i="2"/>
  <c r="S95" i="2"/>
  <c r="X95" i="2"/>
  <c r="Y95" i="2"/>
  <c r="F96" i="2"/>
  <c r="G96" i="2"/>
  <c r="M96" i="2"/>
  <c r="N96" i="2"/>
  <c r="R96" i="2"/>
  <c r="S96" i="2"/>
  <c r="X96" i="2"/>
  <c r="Y96" i="2"/>
  <c r="F97" i="2"/>
  <c r="G97" i="2"/>
  <c r="M97" i="2"/>
  <c r="N97" i="2" s="1"/>
  <c r="R97" i="2"/>
  <c r="S97" i="2"/>
  <c r="X97" i="2"/>
  <c r="Y97" i="2"/>
  <c r="F98" i="2"/>
  <c r="G98" i="2"/>
  <c r="M98" i="2"/>
  <c r="N98" i="2"/>
  <c r="R98" i="2"/>
  <c r="S98" i="2"/>
  <c r="X98" i="2"/>
  <c r="Y98" i="2"/>
  <c r="F99" i="2"/>
  <c r="G99" i="2"/>
  <c r="M99" i="2"/>
  <c r="N99" i="2" s="1"/>
  <c r="R99" i="2"/>
  <c r="S99" i="2"/>
  <c r="X99" i="2"/>
  <c r="Y99" i="2"/>
  <c r="F100" i="2"/>
  <c r="G100" i="2"/>
  <c r="M100" i="2"/>
  <c r="N100" i="2" s="1"/>
  <c r="R100" i="2"/>
  <c r="S100" i="2"/>
  <c r="X100" i="2"/>
  <c r="Y100" i="2"/>
  <c r="F101" i="2"/>
  <c r="G101" i="2"/>
  <c r="M101" i="2"/>
  <c r="N101" i="2" s="1"/>
  <c r="R101" i="2"/>
  <c r="S101" i="2"/>
  <c r="X101" i="2"/>
  <c r="Y101" i="2"/>
  <c r="F102" i="2"/>
  <c r="G102" i="2"/>
  <c r="M102" i="2"/>
  <c r="N102" i="2" s="1"/>
  <c r="R102" i="2"/>
  <c r="S102" i="2"/>
  <c r="X102" i="2"/>
  <c r="Y102" i="2"/>
  <c r="F103" i="2"/>
  <c r="G103" i="2"/>
  <c r="M103" i="2"/>
  <c r="N103" i="2" s="1"/>
  <c r="R103" i="2"/>
  <c r="S103" i="2"/>
  <c r="X103" i="2"/>
  <c r="Y103" i="2"/>
  <c r="F104" i="2"/>
  <c r="G104" i="2"/>
  <c r="M104" i="2"/>
  <c r="N104" i="2"/>
  <c r="R104" i="2"/>
  <c r="S104" i="2"/>
  <c r="X104" i="2"/>
  <c r="Y104" i="2"/>
  <c r="F105" i="2"/>
  <c r="G105" i="2"/>
  <c r="M105" i="2"/>
  <c r="N105" i="2"/>
  <c r="R105" i="2"/>
  <c r="S105" i="2"/>
  <c r="X105" i="2"/>
  <c r="Y105" i="2"/>
  <c r="J107" i="2"/>
  <c r="M107" i="2" s="1"/>
  <c r="N107" i="2" s="1"/>
  <c r="K107" i="2"/>
  <c r="L107" i="2"/>
  <c r="O107" i="2"/>
  <c r="R107" i="2" s="1"/>
  <c r="P107" i="2"/>
  <c r="Q107" i="2"/>
  <c r="U107" i="2"/>
  <c r="V107" i="2"/>
  <c r="W107" i="2"/>
  <c r="X107" i="2" s="1"/>
  <c r="Y107" i="2"/>
  <c r="Z107" i="2"/>
  <c r="AA107" i="2"/>
  <c r="AB107" i="2"/>
  <c r="E109" i="2"/>
  <c r="G109" i="2"/>
  <c r="F111" i="2"/>
  <c r="G111" i="2"/>
  <c r="M111" i="2"/>
  <c r="N111" i="2"/>
  <c r="R111" i="2"/>
  <c r="S111" i="2" s="1"/>
  <c r="X111" i="2"/>
  <c r="Y111" i="2"/>
  <c r="F112" i="2"/>
  <c r="G112" i="2"/>
  <c r="M112" i="2"/>
  <c r="N112" i="2" s="1"/>
  <c r="R112" i="2"/>
  <c r="S112" i="2"/>
  <c r="X112" i="2"/>
  <c r="Y112" i="2"/>
  <c r="F113" i="2"/>
  <c r="G113" i="2"/>
  <c r="M113" i="2"/>
  <c r="N113" i="2" s="1"/>
  <c r="R113" i="2"/>
  <c r="S113" i="2"/>
  <c r="X113" i="2"/>
  <c r="Y113" i="2"/>
  <c r="F114" i="2"/>
  <c r="G114" i="2"/>
  <c r="M114" i="2"/>
  <c r="N114" i="2"/>
  <c r="R114" i="2"/>
  <c r="S114" i="2" s="1"/>
  <c r="X114" i="2"/>
  <c r="Y114" i="2"/>
  <c r="F115" i="2"/>
  <c r="G115" i="2"/>
  <c r="M115" i="2"/>
  <c r="N115" i="2"/>
  <c r="R115" i="2"/>
  <c r="S115" i="2" s="1"/>
  <c r="X115" i="2"/>
  <c r="Y115" i="2"/>
  <c r="F116" i="2"/>
  <c r="G116" i="2"/>
  <c r="M116" i="2"/>
  <c r="N116" i="2"/>
  <c r="R116" i="2"/>
  <c r="S116" i="2"/>
  <c r="X116" i="2"/>
  <c r="Y116" i="2"/>
  <c r="F117" i="2"/>
  <c r="G117" i="2"/>
  <c r="M117" i="2"/>
  <c r="N117" i="2"/>
  <c r="R117" i="2"/>
  <c r="S117" i="2" s="1"/>
  <c r="X117" i="2"/>
  <c r="Y117" i="2"/>
  <c r="F118" i="2"/>
  <c r="G118" i="2"/>
  <c r="M118" i="2"/>
  <c r="N118" i="2"/>
  <c r="R118" i="2"/>
  <c r="S118" i="2"/>
  <c r="X118" i="2"/>
  <c r="Y118" i="2"/>
  <c r="F119" i="2"/>
  <c r="G119" i="2"/>
  <c r="M119" i="2"/>
  <c r="N119" i="2"/>
  <c r="R119" i="2"/>
  <c r="S119" i="2"/>
  <c r="X119" i="2"/>
  <c r="Y119" i="2"/>
  <c r="F120" i="2"/>
  <c r="G120" i="2"/>
  <c r="M120" i="2"/>
  <c r="N120" i="2"/>
  <c r="R120" i="2"/>
  <c r="S120" i="2" s="1"/>
  <c r="X120" i="2"/>
  <c r="Y120" i="2"/>
  <c r="F121" i="2"/>
  <c r="G121" i="2"/>
  <c r="M121" i="2"/>
  <c r="N121" i="2"/>
  <c r="R121" i="2"/>
  <c r="S121" i="2"/>
  <c r="X121" i="2"/>
  <c r="Y121" i="2"/>
  <c r="F122" i="2"/>
  <c r="G122" i="2"/>
  <c r="M122" i="2"/>
  <c r="N122" i="2"/>
  <c r="R122" i="2"/>
  <c r="S122" i="2"/>
  <c r="X122" i="2"/>
  <c r="Y122" i="2"/>
  <c r="F123" i="2"/>
  <c r="G123" i="2"/>
  <c r="M123" i="2"/>
  <c r="N123" i="2"/>
  <c r="R123" i="2"/>
  <c r="S123" i="2"/>
  <c r="X123" i="2"/>
  <c r="Y123" i="2"/>
  <c r="F124" i="2"/>
  <c r="G124" i="2"/>
  <c r="M124" i="2"/>
  <c r="N124" i="2"/>
  <c r="R124" i="2"/>
  <c r="S124" i="2" s="1"/>
  <c r="X124" i="2"/>
  <c r="Y124" i="2"/>
  <c r="F125" i="2"/>
  <c r="G125" i="2"/>
  <c r="M125" i="2"/>
  <c r="N125" i="2"/>
  <c r="R125" i="2"/>
  <c r="S125" i="2"/>
  <c r="X125" i="2"/>
  <c r="Y125" i="2"/>
  <c r="F126" i="2"/>
  <c r="G126" i="2"/>
  <c r="M126" i="2"/>
  <c r="N126" i="2"/>
  <c r="R126" i="2"/>
  <c r="S126" i="2"/>
  <c r="X126" i="2"/>
  <c r="Y126" i="2"/>
  <c r="F127" i="2"/>
  <c r="G127" i="2"/>
  <c r="M127" i="2"/>
  <c r="N127" i="2"/>
  <c r="R127" i="2"/>
  <c r="S127" i="2"/>
  <c r="X127" i="2"/>
  <c r="Y127" i="2"/>
  <c r="F128" i="2"/>
  <c r="G128" i="2"/>
  <c r="M128" i="2"/>
  <c r="N128" i="2"/>
  <c r="R128" i="2"/>
  <c r="S128" i="2"/>
  <c r="X128" i="2"/>
  <c r="Y128" i="2"/>
  <c r="F129" i="2"/>
  <c r="G129" i="2"/>
  <c r="M129" i="2"/>
  <c r="N129" i="2"/>
  <c r="R129" i="2"/>
  <c r="S129" i="2" s="1"/>
  <c r="X129" i="2"/>
  <c r="Y129" i="2"/>
  <c r="F130" i="2"/>
  <c r="G130" i="2"/>
  <c r="M130" i="2"/>
  <c r="N130" i="2"/>
  <c r="R130" i="2"/>
  <c r="S130" i="2"/>
  <c r="X130" i="2"/>
  <c r="Y130" i="2"/>
  <c r="F131" i="2"/>
  <c r="G131" i="2"/>
  <c r="M131" i="2"/>
  <c r="N131" i="2"/>
  <c r="R131" i="2"/>
  <c r="S131" i="2"/>
  <c r="X131" i="2"/>
  <c r="Y131" i="2"/>
  <c r="F132" i="2"/>
  <c r="G132" i="2"/>
  <c r="M132" i="2"/>
  <c r="N132" i="2"/>
  <c r="R132" i="2"/>
  <c r="S132" i="2"/>
  <c r="X132" i="2"/>
  <c r="Y132" i="2"/>
  <c r="F133" i="2"/>
  <c r="G133" i="2"/>
  <c r="M133" i="2"/>
  <c r="N133" i="2"/>
  <c r="R133" i="2"/>
  <c r="S133" i="2" s="1"/>
  <c r="X133" i="2"/>
  <c r="Y133" i="2"/>
  <c r="F134" i="2"/>
  <c r="G134" i="2"/>
  <c r="M134" i="2"/>
  <c r="N134" i="2"/>
  <c r="R134" i="2"/>
  <c r="S134" i="2" s="1"/>
  <c r="X134" i="2"/>
  <c r="Y134" i="2"/>
  <c r="F135" i="2"/>
  <c r="G135" i="2"/>
  <c r="M135" i="2"/>
  <c r="N135" i="2"/>
  <c r="R135" i="2"/>
  <c r="S135" i="2"/>
  <c r="X135" i="2"/>
  <c r="Y135" i="2"/>
  <c r="F136" i="2"/>
  <c r="G136" i="2"/>
  <c r="M136" i="2"/>
  <c r="N136" i="2"/>
  <c r="R136" i="2"/>
  <c r="S136" i="2"/>
  <c r="X136" i="2"/>
  <c r="Y136" i="2"/>
  <c r="J138" i="2"/>
  <c r="M138" i="2" s="1"/>
  <c r="K138" i="2"/>
  <c r="L138" i="2"/>
  <c r="O138" i="2"/>
  <c r="P138" i="2"/>
  <c r="Q138" i="2"/>
  <c r="R138" i="2" s="1"/>
  <c r="S138" i="2" s="1"/>
  <c r="U138" i="2"/>
  <c r="X138" i="2" s="1"/>
  <c r="V138" i="2"/>
  <c r="W138" i="2"/>
  <c r="Z138" i="2"/>
  <c r="AA138" i="2"/>
  <c r="AB138" i="2"/>
  <c r="E140" i="2"/>
  <c r="G140" i="2"/>
  <c r="F142" i="2"/>
  <c r="G142" i="2"/>
  <c r="M142" i="2"/>
  <c r="N142" i="2"/>
  <c r="R142" i="2"/>
  <c r="S142" i="2" s="1"/>
  <c r="X142" i="2"/>
  <c r="Y142" i="2" s="1"/>
  <c r="F143" i="2"/>
  <c r="G143" i="2"/>
  <c r="M143" i="2"/>
  <c r="N143" i="2"/>
  <c r="R143" i="2"/>
  <c r="S143" i="2" s="1"/>
  <c r="X143" i="2"/>
  <c r="Y143" i="2"/>
  <c r="F144" i="2"/>
  <c r="G144" i="2"/>
  <c r="M144" i="2"/>
  <c r="N144" i="2"/>
  <c r="R144" i="2"/>
  <c r="S144" i="2" s="1"/>
  <c r="X144" i="2"/>
  <c r="Y144" i="2" s="1"/>
  <c r="F145" i="2"/>
  <c r="G145" i="2"/>
  <c r="M145" i="2"/>
  <c r="N145" i="2"/>
  <c r="R145" i="2"/>
  <c r="S145" i="2" s="1"/>
  <c r="X145" i="2"/>
  <c r="Y145" i="2" s="1"/>
  <c r="F146" i="2"/>
  <c r="G146" i="2"/>
  <c r="M146" i="2"/>
  <c r="N146" i="2"/>
  <c r="R146" i="2"/>
  <c r="S146" i="2" s="1"/>
  <c r="X146" i="2"/>
  <c r="Y146" i="2"/>
  <c r="F147" i="2"/>
  <c r="G147" i="2"/>
  <c r="M147" i="2"/>
  <c r="N147" i="2"/>
  <c r="R147" i="2"/>
  <c r="S147" i="2" s="1"/>
  <c r="X147" i="2"/>
  <c r="Y147" i="2"/>
  <c r="F148" i="2"/>
  <c r="G148" i="2"/>
  <c r="M148" i="2"/>
  <c r="N148" i="2"/>
  <c r="R148" i="2"/>
  <c r="S148" i="2" s="1"/>
  <c r="X148" i="2"/>
  <c r="Y148" i="2"/>
  <c r="F149" i="2"/>
  <c r="G149" i="2"/>
  <c r="M149" i="2"/>
  <c r="N149" i="2"/>
  <c r="R149" i="2"/>
  <c r="S149" i="2" s="1"/>
  <c r="X149" i="2"/>
  <c r="Y149" i="2"/>
  <c r="F150" i="2"/>
  <c r="G150" i="2"/>
  <c r="M150" i="2"/>
  <c r="N150" i="2"/>
  <c r="R150" i="2"/>
  <c r="S150" i="2" s="1"/>
  <c r="X150" i="2"/>
  <c r="Y150" i="2"/>
  <c r="F151" i="2"/>
  <c r="G151" i="2"/>
  <c r="M151" i="2"/>
  <c r="N151" i="2"/>
  <c r="R151" i="2"/>
  <c r="S151" i="2" s="1"/>
  <c r="X151" i="2"/>
  <c r="Y151" i="2"/>
  <c r="F152" i="2"/>
  <c r="G152" i="2"/>
  <c r="M152" i="2"/>
  <c r="N152" i="2"/>
  <c r="R152" i="2"/>
  <c r="S152" i="2" s="1"/>
  <c r="X152" i="2"/>
  <c r="Y152" i="2"/>
  <c r="F153" i="2"/>
  <c r="G153" i="2"/>
  <c r="M153" i="2"/>
  <c r="N153" i="2"/>
  <c r="R153" i="2"/>
  <c r="S153" i="2" s="1"/>
  <c r="X153" i="2"/>
  <c r="Y153" i="2"/>
  <c r="F154" i="2"/>
  <c r="G154" i="2"/>
  <c r="M154" i="2"/>
  <c r="N154" i="2"/>
  <c r="R154" i="2"/>
  <c r="S154" i="2" s="1"/>
  <c r="X154" i="2"/>
  <c r="Y154" i="2"/>
  <c r="F155" i="2"/>
  <c r="G155" i="2"/>
  <c r="M155" i="2"/>
  <c r="N155" i="2"/>
  <c r="R155" i="2"/>
  <c r="S155" i="2" s="1"/>
  <c r="X155" i="2"/>
  <c r="Y155" i="2"/>
  <c r="F156" i="2"/>
  <c r="G156" i="2"/>
  <c r="M156" i="2"/>
  <c r="N156" i="2"/>
  <c r="R156" i="2"/>
  <c r="S156" i="2" s="1"/>
  <c r="X156" i="2"/>
  <c r="Y156" i="2" s="1"/>
  <c r="F157" i="2"/>
  <c r="G157" i="2"/>
  <c r="M157" i="2"/>
  <c r="N157" i="2"/>
  <c r="R157" i="2"/>
  <c r="S157" i="2" s="1"/>
  <c r="X157" i="2"/>
  <c r="Y157" i="2"/>
  <c r="F158" i="2"/>
  <c r="G158" i="2"/>
  <c r="M158" i="2"/>
  <c r="N158" i="2"/>
  <c r="R158" i="2"/>
  <c r="S158" i="2" s="1"/>
  <c r="X158" i="2"/>
  <c r="Y158" i="2" s="1"/>
  <c r="F159" i="2"/>
  <c r="G159" i="2"/>
  <c r="M159" i="2"/>
  <c r="N159" i="2"/>
  <c r="R159" i="2"/>
  <c r="S159" i="2" s="1"/>
  <c r="X159" i="2"/>
  <c r="Y159" i="2" s="1"/>
  <c r="F160" i="2"/>
  <c r="G160" i="2"/>
  <c r="M160" i="2"/>
  <c r="N160" i="2"/>
  <c r="R160" i="2"/>
  <c r="S160" i="2" s="1"/>
  <c r="X160" i="2"/>
  <c r="Y160" i="2" s="1"/>
  <c r="F161" i="2"/>
  <c r="G161" i="2"/>
  <c r="M161" i="2"/>
  <c r="N161" i="2"/>
  <c r="R161" i="2"/>
  <c r="S161" i="2" s="1"/>
  <c r="X161" i="2"/>
  <c r="Y161" i="2" s="1"/>
  <c r="J163" i="2"/>
  <c r="K163" i="2"/>
  <c r="L163" i="2"/>
  <c r="M163" i="2" s="1"/>
  <c r="N163" i="2"/>
  <c r="O163" i="2"/>
  <c r="R163" i="2" s="1"/>
  <c r="P163" i="2"/>
  <c r="Q163" i="2"/>
  <c r="U163" i="2"/>
  <c r="X163" i="2" s="1"/>
  <c r="V163" i="2"/>
  <c r="W163" i="2"/>
  <c r="Z163" i="2"/>
  <c r="AA163" i="2"/>
  <c r="AB163" i="2"/>
  <c r="E165" i="2"/>
  <c r="G165" i="2"/>
  <c r="F167" i="2"/>
  <c r="G167" i="2"/>
  <c r="M167" i="2"/>
  <c r="N167" i="2"/>
  <c r="R167" i="2"/>
  <c r="S167" i="2"/>
  <c r="X167" i="2"/>
  <c r="Y167" i="2"/>
  <c r="F168" i="2"/>
  <c r="G168" i="2"/>
  <c r="M168" i="2"/>
  <c r="N168" i="2"/>
  <c r="R168" i="2"/>
  <c r="S168" i="2"/>
  <c r="X168" i="2"/>
  <c r="Y168" i="2"/>
  <c r="F169" i="2"/>
  <c r="G169" i="2"/>
  <c r="M169" i="2"/>
  <c r="N169" i="2"/>
  <c r="R169" i="2"/>
  <c r="S169" i="2"/>
  <c r="X169" i="2"/>
  <c r="Y169" i="2"/>
  <c r="F170" i="2"/>
  <c r="G170" i="2"/>
  <c r="M170" i="2"/>
  <c r="N170" i="2"/>
  <c r="R170" i="2"/>
  <c r="S170" i="2"/>
  <c r="X170" i="2"/>
  <c r="Y170" i="2"/>
  <c r="F171" i="2"/>
  <c r="G171" i="2"/>
  <c r="M171" i="2"/>
  <c r="N171" i="2"/>
  <c r="R171" i="2"/>
  <c r="S171" i="2"/>
  <c r="X171" i="2"/>
  <c r="Y171" i="2"/>
  <c r="F172" i="2"/>
  <c r="G172" i="2"/>
  <c r="M172" i="2"/>
  <c r="N172" i="2"/>
  <c r="R172" i="2"/>
  <c r="S172" i="2"/>
  <c r="X172" i="2"/>
  <c r="Y172" i="2"/>
  <c r="F173" i="2"/>
  <c r="G173" i="2"/>
  <c r="M173" i="2"/>
  <c r="N173" i="2"/>
  <c r="R173" i="2"/>
  <c r="S173" i="2"/>
  <c r="X173" i="2"/>
  <c r="Y173" i="2"/>
  <c r="F174" i="2"/>
  <c r="G174" i="2"/>
  <c r="M174" i="2"/>
  <c r="N174" i="2"/>
  <c r="R174" i="2"/>
  <c r="S174" i="2"/>
  <c r="X174" i="2"/>
  <c r="Y174" i="2"/>
  <c r="F175" i="2"/>
  <c r="G175" i="2"/>
  <c r="M175" i="2"/>
  <c r="N175" i="2"/>
  <c r="R175" i="2"/>
  <c r="S175" i="2"/>
  <c r="X175" i="2"/>
  <c r="Y175" i="2"/>
  <c r="J177" i="2"/>
  <c r="M177" i="2" s="1"/>
  <c r="K177" i="2"/>
  <c r="L177" i="2"/>
  <c r="O177" i="2"/>
  <c r="R177" i="2" s="1"/>
  <c r="P177" i="2"/>
  <c r="Q177" i="2"/>
  <c r="U177" i="2"/>
  <c r="Y177" i="2" s="1"/>
  <c r="V177" i="2"/>
  <c r="W177" i="2"/>
  <c r="X177" i="2"/>
  <c r="Z177" i="2"/>
  <c r="AA177" i="2"/>
  <c r="AB177" i="2"/>
  <c r="E179" i="2"/>
  <c r="G179" i="2"/>
  <c r="F181" i="2"/>
  <c r="G181" i="2"/>
  <c r="M181" i="2"/>
  <c r="N181" i="2"/>
  <c r="R181" i="2"/>
  <c r="S181" i="2"/>
  <c r="X181" i="2"/>
  <c r="Y181" i="2"/>
  <c r="F182" i="2"/>
  <c r="G182" i="2"/>
  <c r="M182" i="2"/>
  <c r="N182" i="2" s="1"/>
  <c r="R182" i="2"/>
  <c r="S182" i="2"/>
  <c r="X182" i="2"/>
  <c r="Y182" i="2" s="1"/>
  <c r="F183" i="2"/>
  <c r="G183" i="2"/>
  <c r="M183" i="2"/>
  <c r="N183" i="2"/>
  <c r="R183" i="2"/>
  <c r="S183" i="2"/>
  <c r="X183" i="2"/>
  <c r="Y183" i="2"/>
  <c r="F184" i="2"/>
  <c r="G184" i="2"/>
  <c r="M184" i="2"/>
  <c r="N184" i="2"/>
  <c r="R184" i="2"/>
  <c r="S184" i="2"/>
  <c r="X184" i="2"/>
  <c r="Y184" i="2" s="1"/>
  <c r="F185" i="2"/>
  <c r="G185" i="2"/>
  <c r="M185" i="2"/>
  <c r="N185" i="2"/>
  <c r="R185" i="2"/>
  <c r="S185" i="2"/>
  <c r="X185" i="2"/>
  <c r="Y185" i="2" s="1"/>
  <c r="F186" i="2"/>
  <c r="G186" i="2"/>
  <c r="M186" i="2"/>
  <c r="N186" i="2" s="1"/>
  <c r="R186" i="2"/>
  <c r="S186" i="2"/>
  <c r="X186" i="2"/>
  <c r="Y186" i="2"/>
  <c r="F187" i="2"/>
  <c r="G187" i="2"/>
  <c r="M187" i="2"/>
  <c r="N187" i="2"/>
  <c r="R187" i="2"/>
  <c r="S187" i="2"/>
  <c r="X187" i="2"/>
  <c r="Y187" i="2" s="1"/>
  <c r="F188" i="2"/>
  <c r="G188" i="2"/>
  <c r="M188" i="2"/>
  <c r="N188" i="2"/>
  <c r="R188" i="2"/>
  <c r="S188" i="2"/>
  <c r="X188" i="2"/>
  <c r="Y188" i="2" s="1"/>
  <c r="F189" i="2"/>
  <c r="G189" i="2"/>
  <c r="M189" i="2"/>
  <c r="N189" i="2" s="1"/>
  <c r="R189" i="2"/>
  <c r="S189" i="2"/>
  <c r="X189" i="2"/>
  <c r="Y189" i="2"/>
  <c r="F190" i="2"/>
  <c r="G190" i="2"/>
  <c r="M190" i="2"/>
  <c r="N190" i="2" s="1"/>
  <c r="R190" i="2"/>
  <c r="S190" i="2"/>
  <c r="X190" i="2"/>
  <c r="Y190" i="2" s="1"/>
  <c r="F191" i="2"/>
  <c r="G191" i="2"/>
  <c r="M191" i="2"/>
  <c r="N191" i="2" s="1"/>
  <c r="R191" i="2"/>
  <c r="S191" i="2"/>
  <c r="X191" i="2"/>
  <c r="Y191" i="2" s="1"/>
  <c r="F192" i="2"/>
  <c r="G192" i="2"/>
  <c r="M192" i="2"/>
  <c r="N192" i="2"/>
  <c r="R192" i="2"/>
  <c r="S192" i="2"/>
  <c r="X192" i="2"/>
  <c r="Y192" i="2" s="1"/>
  <c r="F193" i="2"/>
  <c r="G193" i="2"/>
  <c r="M193" i="2"/>
  <c r="N193" i="2"/>
  <c r="R193" i="2"/>
  <c r="S193" i="2"/>
  <c r="X193" i="2"/>
  <c r="Y193" i="2" s="1"/>
  <c r="F194" i="2"/>
  <c r="G194" i="2"/>
  <c r="M194" i="2"/>
  <c r="N194" i="2"/>
  <c r="R194" i="2"/>
  <c r="S194" i="2"/>
  <c r="X194" i="2"/>
  <c r="Y194" i="2" s="1"/>
  <c r="F195" i="2"/>
  <c r="G195" i="2"/>
  <c r="M195" i="2"/>
  <c r="N195" i="2"/>
  <c r="R195" i="2"/>
  <c r="S195" i="2"/>
  <c r="X195" i="2"/>
  <c r="Y195" i="2"/>
  <c r="F196" i="2"/>
  <c r="G196" i="2"/>
  <c r="M196" i="2"/>
  <c r="N196" i="2"/>
  <c r="R196" i="2"/>
  <c r="S196" i="2"/>
  <c r="X196" i="2"/>
  <c r="Y196" i="2" s="1"/>
  <c r="F197" i="2"/>
  <c r="G197" i="2"/>
  <c r="M197" i="2"/>
  <c r="N197" i="2"/>
  <c r="R197" i="2"/>
  <c r="S197" i="2"/>
  <c r="X197" i="2"/>
  <c r="Y197" i="2" s="1"/>
  <c r="F198" i="2"/>
  <c r="G198" i="2"/>
  <c r="M198" i="2"/>
  <c r="N198" i="2" s="1"/>
  <c r="R198" i="2"/>
  <c r="S198" i="2"/>
  <c r="X198" i="2"/>
  <c r="Y198" i="2" s="1"/>
  <c r="F199" i="2"/>
  <c r="G199" i="2"/>
  <c r="M199" i="2"/>
  <c r="N199" i="2"/>
  <c r="R199" i="2"/>
  <c r="S199" i="2"/>
  <c r="X199" i="2"/>
  <c r="Y199" i="2" s="1"/>
  <c r="F200" i="2"/>
  <c r="G200" i="2"/>
  <c r="M200" i="2"/>
  <c r="N200" i="2"/>
  <c r="R200" i="2"/>
  <c r="S200" i="2"/>
  <c r="X200" i="2"/>
  <c r="Y200" i="2"/>
  <c r="F201" i="2"/>
  <c r="G201" i="2"/>
  <c r="M201" i="2"/>
  <c r="N201" i="2"/>
  <c r="R201" i="2"/>
  <c r="S201" i="2"/>
  <c r="X201" i="2"/>
  <c r="Y201" i="2"/>
  <c r="F202" i="2"/>
  <c r="G202" i="2"/>
  <c r="M202" i="2"/>
  <c r="N202" i="2"/>
  <c r="R202" i="2"/>
  <c r="S202" i="2"/>
  <c r="X202" i="2"/>
  <c r="Y202" i="2"/>
  <c r="F203" i="2"/>
  <c r="G203" i="2"/>
  <c r="M203" i="2"/>
  <c r="N203" i="2"/>
  <c r="R203" i="2"/>
  <c r="S203" i="2"/>
  <c r="X203" i="2"/>
  <c r="Y203" i="2" s="1"/>
  <c r="F204" i="2"/>
  <c r="G204" i="2"/>
  <c r="M204" i="2"/>
  <c r="N204" i="2"/>
  <c r="R204" i="2"/>
  <c r="S204" i="2"/>
  <c r="X204" i="2"/>
  <c r="Y204" i="2" s="1"/>
  <c r="F205" i="2"/>
  <c r="G205" i="2"/>
  <c r="M205" i="2"/>
  <c r="N205" i="2" s="1"/>
  <c r="R205" i="2"/>
  <c r="S205" i="2"/>
  <c r="X205" i="2"/>
  <c r="Y205" i="2" s="1"/>
  <c r="F206" i="2"/>
  <c r="G206" i="2"/>
  <c r="M206" i="2"/>
  <c r="N206" i="2" s="1"/>
  <c r="R206" i="2"/>
  <c r="S206" i="2"/>
  <c r="X206" i="2"/>
  <c r="Y206" i="2" s="1"/>
  <c r="F207" i="2"/>
  <c r="G207" i="2"/>
  <c r="M207" i="2"/>
  <c r="N207" i="2"/>
  <c r="R207" i="2"/>
  <c r="S207" i="2"/>
  <c r="X207" i="2"/>
  <c r="Y207" i="2"/>
  <c r="F208" i="2"/>
  <c r="G208" i="2"/>
  <c r="M208" i="2"/>
  <c r="N208" i="2" s="1"/>
  <c r="R208" i="2"/>
  <c r="S208" i="2"/>
  <c r="X208" i="2"/>
  <c r="Y208" i="2"/>
  <c r="F209" i="2"/>
  <c r="G209" i="2"/>
  <c r="M209" i="2"/>
  <c r="N209" i="2"/>
  <c r="R209" i="2"/>
  <c r="S209" i="2"/>
  <c r="X209" i="2"/>
  <c r="Y209" i="2" s="1"/>
  <c r="F210" i="2"/>
  <c r="G210" i="2"/>
  <c r="M210" i="2"/>
  <c r="N210" i="2"/>
  <c r="R210" i="2"/>
  <c r="S210" i="2"/>
  <c r="X210" i="2"/>
  <c r="Y210" i="2"/>
  <c r="F211" i="2"/>
  <c r="G211" i="2"/>
  <c r="M211" i="2"/>
  <c r="N211" i="2" s="1"/>
  <c r="R211" i="2"/>
  <c r="S211" i="2"/>
  <c r="X211" i="2"/>
  <c r="Y211" i="2" s="1"/>
  <c r="F212" i="2"/>
  <c r="G212" i="2"/>
  <c r="M212" i="2"/>
  <c r="N212" i="2" s="1"/>
  <c r="R212" i="2"/>
  <c r="S212" i="2"/>
  <c r="X212" i="2"/>
  <c r="Y212" i="2" s="1"/>
  <c r="F213" i="2"/>
  <c r="G213" i="2"/>
  <c r="M213" i="2"/>
  <c r="N213" i="2" s="1"/>
  <c r="R213" i="2"/>
  <c r="S213" i="2"/>
  <c r="X213" i="2"/>
  <c r="Y213" i="2" s="1"/>
  <c r="F214" i="2"/>
  <c r="G214" i="2"/>
  <c r="M214" i="2"/>
  <c r="N214" i="2"/>
  <c r="R214" i="2"/>
  <c r="S214" i="2"/>
  <c r="X214" i="2"/>
  <c r="Y214" i="2" s="1"/>
  <c r="F215" i="2"/>
  <c r="G215" i="2"/>
  <c r="M215" i="2"/>
  <c r="N215" i="2" s="1"/>
  <c r="R215" i="2"/>
  <c r="S215" i="2"/>
  <c r="X215" i="2"/>
  <c r="Y215" i="2" s="1"/>
  <c r="F216" i="2"/>
  <c r="G216" i="2"/>
  <c r="M216" i="2"/>
  <c r="N216" i="2"/>
  <c r="R216" i="2"/>
  <c r="S216" i="2"/>
  <c r="X216" i="2"/>
  <c r="Y216" i="2" s="1"/>
  <c r="F217" i="2"/>
  <c r="G217" i="2"/>
  <c r="M217" i="2"/>
  <c r="N217" i="2" s="1"/>
  <c r="R217" i="2"/>
  <c r="S217" i="2"/>
  <c r="X217" i="2"/>
  <c r="Y217" i="2"/>
  <c r="F218" i="2"/>
  <c r="G218" i="2"/>
  <c r="M218" i="2"/>
  <c r="N218" i="2"/>
  <c r="R218" i="2"/>
  <c r="S218" i="2"/>
  <c r="X218" i="2"/>
  <c r="Y218" i="2"/>
  <c r="F219" i="2"/>
  <c r="G219" i="2"/>
  <c r="M219" i="2"/>
  <c r="N219" i="2" s="1"/>
  <c r="R219" i="2"/>
  <c r="S219" i="2"/>
  <c r="X219" i="2"/>
  <c r="Y219" i="2" s="1"/>
  <c r="J221" i="2"/>
  <c r="K221" i="2"/>
  <c r="L221" i="2"/>
  <c r="O221" i="2"/>
  <c r="P221" i="2"/>
  <c r="Q221" i="2"/>
  <c r="R221" i="2"/>
  <c r="U221" i="2"/>
  <c r="Y221" i="2" s="1"/>
  <c r="V221" i="2"/>
  <c r="W221" i="2"/>
  <c r="X221" i="2"/>
  <c r="Z221" i="2"/>
  <c r="AA221" i="2"/>
  <c r="AB221" i="2"/>
  <c r="E223" i="2"/>
  <c r="G223" i="2"/>
  <c r="F225" i="2"/>
  <c r="G225" i="2"/>
  <c r="M225" i="2"/>
  <c r="N225" i="2"/>
  <c r="R225" i="2"/>
  <c r="S225" i="2"/>
  <c r="X225" i="2"/>
  <c r="Y225" i="2"/>
  <c r="F226" i="2"/>
  <c r="G226" i="2"/>
  <c r="M226" i="2"/>
  <c r="N226" i="2"/>
  <c r="R226" i="2"/>
  <c r="S226" i="2"/>
  <c r="X226" i="2"/>
  <c r="Y226" i="2"/>
  <c r="F227" i="2"/>
  <c r="G227" i="2"/>
  <c r="M227" i="2"/>
  <c r="N227" i="2"/>
  <c r="R227" i="2"/>
  <c r="S227" i="2"/>
  <c r="X227" i="2"/>
  <c r="Y227" i="2"/>
  <c r="F228" i="2"/>
  <c r="G228" i="2"/>
  <c r="M228" i="2"/>
  <c r="N228" i="2" s="1"/>
  <c r="R228" i="2"/>
  <c r="S228" i="2"/>
  <c r="X228" i="2"/>
  <c r="Y228" i="2"/>
  <c r="F229" i="2"/>
  <c r="G229" i="2"/>
  <c r="M229" i="2"/>
  <c r="N229" i="2" s="1"/>
  <c r="R229" i="2"/>
  <c r="S229" i="2"/>
  <c r="X229" i="2"/>
  <c r="Y229" i="2"/>
  <c r="F230" i="2"/>
  <c r="G230" i="2"/>
  <c r="M230" i="2"/>
  <c r="N230" i="2" s="1"/>
  <c r="R230" i="2"/>
  <c r="S230" i="2"/>
  <c r="X230" i="2"/>
  <c r="Y230" i="2"/>
  <c r="J232" i="2"/>
  <c r="K232" i="2"/>
  <c r="L232" i="2"/>
  <c r="M232" i="2"/>
  <c r="O232" i="2"/>
  <c r="S232" i="2" s="1"/>
  <c r="P232" i="2"/>
  <c r="Q232" i="2"/>
  <c r="R232" i="2"/>
  <c r="U232" i="2"/>
  <c r="V232" i="2"/>
  <c r="W232" i="2"/>
  <c r="X232" i="2" s="1"/>
  <c r="Y232" i="2"/>
  <c r="Z232" i="2"/>
  <c r="AA232" i="2"/>
  <c r="AB232" i="2"/>
  <c r="E234" i="2"/>
  <c r="G234" i="2"/>
  <c r="F236" i="2"/>
  <c r="G236" i="2"/>
  <c r="M236" i="2"/>
  <c r="N236" i="2"/>
  <c r="R236" i="2"/>
  <c r="S236" i="2"/>
  <c r="X236" i="2"/>
  <c r="Y236" i="2"/>
  <c r="F237" i="2"/>
  <c r="G237" i="2"/>
  <c r="M237" i="2"/>
  <c r="N237" i="2"/>
  <c r="R237" i="2"/>
  <c r="S237" i="2"/>
  <c r="X237" i="2"/>
  <c r="Y237" i="2"/>
  <c r="F238" i="2"/>
  <c r="G238" i="2"/>
  <c r="M238" i="2"/>
  <c r="N238" i="2"/>
  <c r="R238" i="2"/>
  <c r="S238" i="2"/>
  <c r="X238" i="2"/>
  <c r="Y238" i="2"/>
  <c r="F239" i="2"/>
  <c r="G239" i="2"/>
  <c r="M239" i="2"/>
  <c r="N239" i="2"/>
  <c r="R239" i="2"/>
  <c r="S239" i="2"/>
  <c r="X239" i="2"/>
  <c r="Y239" i="2"/>
  <c r="F240" i="2"/>
  <c r="G240" i="2"/>
  <c r="M240" i="2"/>
  <c r="N240" i="2"/>
  <c r="R240" i="2"/>
  <c r="S240" i="2"/>
  <c r="X240" i="2"/>
  <c r="Y240" i="2"/>
  <c r="F241" i="2"/>
  <c r="G241" i="2"/>
  <c r="M241" i="2"/>
  <c r="N241" i="2"/>
  <c r="R241" i="2"/>
  <c r="S241" i="2"/>
  <c r="X241" i="2"/>
  <c r="Y241" i="2"/>
  <c r="F242" i="2"/>
  <c r="G242" i="2"/>
  <c r="M242" i="2"/>
  <c r="N242" i="2"/>
  <c r="R242" i="2"/>
  <c r="S242" i="2"/>
  <c r="X242" i="2"/>
  <c r="Y242" i="2"/>
  <c r="F243" i="2"/>
  <c r="G243" i="2"/>
  <c r="M243" i="2"/>
  <c r="N243" i="2"/>
  <c r="R243" i="2"/>
  <c r="S243" i="2"/>
  <c r="X243" i="2"/>
  <c r="Y243" i="2"/>
  <c r="F244" i="2"/>
  <c r="G244" i="2"/>
  <c r="M244" i="2"/>
  <c r="N244" i="2"/>
  <c r="R244" i="2"/>
  <c r="S244" i="2"/>
  <c r="X244" i="2"/>
  <c r="Y244" i="2"/>
  <c r="F245" i="2"/>
  <c r="G245" i="2"/>
  <c r="M245" i="2"/>
  <c r="N245" i="2"/>
  <c r="R245" i="2"/>
  <c r="S245" i="2"/>
  <c r="X245" i="2"/>
  <c r="Y245" i="2"/>
  <c r="F246" i="2"/>
  <c r="G246" i="2"/>
  <c r="M246" i="2"/>
  <c r="N246" i="2"/>
  <c r="R246" i="2"/>
  <c r="S246" i="2"/>
  <c r="X246" i="2"/>
  <c r="Y246" i="2"/>
  <c r="F247" i="2"/>
  <c r="G247" i="2"/>
  <c r="M247" i="2"/>
  <c r="N247" i="2"/>
  <c r="R247" i="2"/>
  <c r="S247" i="2"/>
  <c r="X247" i="2"/>
  <c r="Y247" i="2"/>
  <c r="F248" i="2"/>
  <c r="G248" i="2"/>
  <c r="M248" i="2"/>
  <c r="N248" i="2"/>
  <c r="R248" i="2"/>
  <c r="S248" i="2"/>
  <c r="X248" i="2"/>
  <c r="Y248" i="2"/>
  <c r="F249" i="2"/>
  <c r="G249" i="2"/>
  <c r="M249" i="2"/>
  <c r="N249" i="2"/>
  <c r="R249" i="2"/>
  <c r="S249" i="2"/>
  <c r="X249" i="2"/>
  <c r="Y249" i="2"/>
  <c r="F250" i="2"/>
  <c r="G250" i="2"/>
  <c r="M250" i="2"/>
  <c r="N250" i="2"/>
  <c r="R250" i="2"/>
  <c r="S250" i="2"/>
  <c r="X250" i="2"/>
  <c r="Y250" i="2"/>
  <c r="F251" i="2"/>
  <c r="G251" i="2"/>
  <c r="M251" i="2"/>
  <c r="N251" i="2"/>
  <c r="R251" i="2"/>
  <c r="S251" i="2"/>
  <c r="X251" i="2"/>
  <c r="Y251" i="2"/>
  <c r="J253" i="2"/>
  <c r="N253" i="2" s="1"/>
  <c r="K253" i="2"/>
  <c r="L253" i="2"/>
  <c r="M253" i="2"/>
  <c r="O253" i="2"/>
  <c r="P253" i="2"/>
  <c r="Q253" i="2"/>
  <c r="R253" i="2" s="1"/>
  <c r="S253" i="2"/>
  <c r="U253" i="2"/>
  <c r="X253" i="2" s="1"/>
  <c r="V253" i="2"/>
  <c r="W253" i="2"/>
  <c r="Y253" i="2"/>
  <c r="Z253" i="2"/>
  <c r="AA253" i="2"/>
  <c r="AB253" i="2"/>
  <c r="E255" i="2"/>
  <c r="G255" i="2"/>
  <c r="F257" i="2"/>
  <c r="G257" i="2"/>
  <c r="M257" i="2"/>
  <c r="N257" i="2" s="1"/>
  <c r="R257" i="2"/>
  <c r="S257" i="2"/>
  <c r="X257" i="2"/>
  <c r="Y257" i="2"/>
  <c r="F258" i="2"/>
  <c r="G258" i="2"/>
  <c r="M258" i="2"/>
  <c r="N258" i="2" s="1"/>
  <c r="R258" i="2"/>
  <c r="S258" i="2"/>
  <c r="X258" i="2"/>
  <c r="Y258" i="2"/>
  <c r="F259" i="2"/>
  <c r="G259" i="2"/>
  <c r="M259" i="2"/>
  <c r="N259" i="2"/>
  <c r="R259" i="2"/>
  <c r="S259" i="2" s="1"/>
  <c r="X259" i="2"/>
  <c r="Y259" i="2"/>
  <c r="F260" i="2"/>
  <c r="G260" i="2"/>
  <c r="M260" i="2"/>
  <c r="N260" i="2" s="1"/>
  <c r="R260" i="2"/>
  <c r="S260" i="2"/>
  <c r="X260" i="2"/>
  <c r="Y260" i="2"/>
  <c r="F261" i="2"/>
  <c r="G261" i="2"/>
  <c r="M261" i="2"/>
  <c r="N261" i="2"/>
  <c r="R261" i="2"/>
  <c r="S261" i="2" s="1"/>
  <c r="X261" i="2"/>
  <c r="Y261" i="2"/>
  <c r="F262" i="2"/>
  <c r="G262" i="2"/>
  <c r="M262" i="2"/>
  <c r="N262" i="2"/>
  <c r="R262" i="2"/>
  <c r="S262" i="2" s="1"/>
  <c r="X262" i="2"/>
  <c r="Y262" i="2"/>
  <c r="F263" i="2"/>
  <c r="G263" i="2"/>
  <c r="M263" i="2"/>
  <c r="N263" i="2" s="1"/>
  <c r="R263" i="2"/>
  <c r="S263" i="2"/>
  <c r="X263" i="2"/>
  <c r="Y263" i="2"/>
  <c r="F264" i="2"/>
  <c r="G264" i="2"/>
  <c r="M264" i="2"/>
  <c r="N264" i="2" s="1"/>
  <c r="R264" i="2"/>
  <c r="S264" i="2" s="1"/>
  <c r="X264" i="2"/>
  <c r="Y264" i="2"/>
  <c r="F265" i="2"/>
  <c r="G265" i="2"/>
  <c r="M265" i="2"/>
  <c r="N265" i="2" s="1"/>
  <c r="R265" i="2"/>
  <c r="S265" i="2"/>
  <c r="X265" i="2"/>
  <c r="Y265" i="2"/>
  <c r="F266" i="2"/>
  <c r="G266" i="2"/>
  <c r="M266" i="2"/>
  <c r="N266" i="2" s="1"/>
  <c r="R266" i="2"/>
  <c r="S266" i="2" s="1"/>
  <c r="X266" i="2"/>
  <c r="Y266" i="2"/>
  <c r="F267" i="2"/>
  <c r="G267" i="2"/>
  <c r="M267" i="2"/>
  <c r="N267" i="2"/>
  <c r="R267" i="2"/>
  <c r="S267" i="2" s="1"/>
  <c r="X267" i="2"/>
  <c r="Y267" i="2"/>
  <c r="F268" i="2"/>
  <c r="G268" i="2"/>
  <c r="M268" i="2"/>
  <c r="N268" i="2" s="1"/>
  <c r="R268" i="2"/>
  <c r="S268" i="2"/>
  <c r="X268" i="2"/>
  <c r="Y268" i="2"/>
  <c r="F269" i="2"/>
  <c r="G269" i="2"/>
  <c r="M269" i="2"/>
  <c r="N269" i="2" s="1"/>
  <c r="R269" i="2"/>
  <c r="S269" i="2" s="1"/>
  <c r="X269" i="2"/>
  <c r="Y269" i="2"/>
  <c r="J271" i="2"/>
  <c r="K271" i="2"/>
  <c r="L271" i="2"/>
  <c r="M271" i="2" s="1"/>
  <c r="N271" i="2" s="1"/>
  <c r="O271" i="2"/>
  <c r="R271" i="2" s="1"/>
  <c r="S271" i="2" s="1"/>
  <c r="P271" i="2"/>
  <c r="Q271" i="2"/>
  <c r="U271" i="2"/>
  <c r="X271" i="2" s="1"/>
  <c r="V271" i="2"/>
  <c r="W271" i="2"/>
  <c r="Y271" i="2"/>
  <c r="Z271" i="2"/>
  <c r="AA271" i="2"/>
  <c r="AB271" i="2"/>
  <c r="E273" i="2"/>
  <c r="G273" i="2"/>
  <c r="F275" i="2"/>
  <c r="G275" i="2"/>
  <c r="M275" i="2"/>
  <c r="N275" i="2" s="1"/>
  <c r="R275" i="2"/>
  <c r="S275" i="2"/>
  <c r="X275" i="2"/>
  <c r="Y275" i="2"/>
  <c r="F276" i="2"/>
  <c r="G276" i="2"/>
  <c r="M276" i="2"/>
  <c r="N276" i="2" s="1"/>
  <c r="R276" i="2"/>
  <c r="S276" i="2"/>
  <c r="X276" i="2"/>
  <c r="Y276" i="2"/>
  <c r="F277" i="2"/>
  <c r="G277" i="2"/>
  <c r="M277" i="2"/>
  <c r="N277" i="2" s="1"/>
  <c r="R277" i="2"/>
  <c r="S277" i="2"/>
  <c r="X277" i="2"/>
  <c r="Y277" i="2"/>
  <c r="F278" i="2"/>
  <c r="G278" i="2"/>
  <c r="M278" i="2"/>
  <c r="N278" i="2" s="1"/>
  <c r="R278" i="2"/>
  <c r="S278" i="2"/>
  <c r="X278" i="2"/>
  <c r="Y278" i="2"/>
  <c r="F279" i="2"/>
  <c r="G279" i="2"/>
  <c r="M279" i="2"/>
  <c r="N279" i="2" s="1"/>
  <c r="R279" i="2"/>
  <c r="S279" i="2"/>
  <c r="X279" i="2"/>
  <c r="Y279" i="2"/>
  <c r="F280" i="2"/>
  <c r="G280" i="2"/>
  <c r="M280" i="2"/>
  <c r="N280" i="2"/>
  <c r="R280" i="2"/>
  <c r="S280" i="2"/>
  <c r="X280" i="2"/>
  <c r="Y280" i="2"/>
  <c r="F281" i="2"/>
  <c r="G281" i="2"/>
  <c r="M281" i="2"/>
  <c r="N281" i="2"/>
  <c r="R281" i="2"/>
  <c r="S281" i="2"/>
  <c r="X281" i="2"/>
  <c r="Y281" i="2"/>
  <c r="F282" i="2"/>
  <c r="G282" i="2"/>
  <c r="M282" i="2"/>
  <c r="N282" i="2" s="1"/>
  <c r="R282" i="2"/>
  <c r="S282" i="2"/>
  <c r="X282" i="2"/>
  <c r="Y282" i="2"/>
  <c r="F283" i="2"/>
  <c r="G283" i="2"/>
  <c r="M283" i="2"/>
  <c r="N283" i="2"/>
  <c r="R283" i="2"/>
  <c r="S283" i="2"/>
  <c r="X283" i="2"/>
  <c r="Y283" i="2"/>
  <c r="F284" i="2"/>
  <c r="G284" i="2"/>
  <c r="M284" i="2"/>
  <c r="N284" i="2" s="1"/>
  <c r="R284" i="2"/>
  <c r="S284" i="2"/>
  <c r="X284" i="2"/>
  <c r="Y284" i="2"/>
  <c r="F285" i="2"/>
  <c r="G285" i="2"/>
  <c r="M285" i="2"/>
  <c r="N285" i="2" s="1"/>
  <c r="R285" i="2"/>
  <c r="S285" i="2"/>
  <c r="X285" i="2"/>
  <c r="Y285" i="2"/>
  <c r="F286" i="2"/>
  <c r="G286" i="2"/>
  <c r="M286" i="2"/>
  <c r="N286" i="2" s="1"/>
  <c r="R286" i="2"/>
  <c r="S286" i="2"/>
  <c r="X286" i="2"/>
  <c r="Y286" i="2"/>
  <c r="F287" i="2"/>
  <c r="G287" i="2"/>
  <c r="M287" i="2"/>
  <c r="N287" i="2" s="1"/>
  <c r="R287" i="2"/>
  <c r="S287" i="2"/>
  <c r="X287" i="2"/>
  <c r="Y287" i="2"/>
  <c r="F288" i="2"/>
  <c r="G288" i="2"/>
  <c r="M288" i="2"/>
  <c r="N288" i="2" s="1"/>
  <c r="R288" i="2"/>
  <c r="S288" i="2"/>
  <c r="X288" i="2"/>
  <c r="Y288" i="2"/>
  <c r="F289" i="2"/>
  <c r="G289" i="2"/>
  <c r="M289" i="2"/>
  <c r="N289" i="2"/>
  <c r="R289" i="2"/>
  <c r="S289" i="2"/>
  <c r="X289" i="2"/>
  <c r="Y289" i="2"/>
  <c r="F290" i="2"/>
  <c r="G290" i="2"/>
  <c r="M290" i="2"/>
  <c r="N290" i="2" s="1"/>
  <c r="R290" i="2"/>
  <c r="S290" i="2"/>
  <c r="X290" i="2"/>
  <c r="Y290" i="2"/>
  <c r="F291" i="2"/>
  <c r="G291" i="2"/>
  <c r="M291" i="2"/>
  <c r="N291" i="2" s="1"/>
  <c r="R291" i="2"/>
  <c r="S291" i="2"/>
  <c r="X291" i="2"/>
  <c r="Y291" i="2"/>
  <c r="J293" i="2"/>
  <c r="M293" i="2" s="1"/>
  <c r="N293" i="2" s="1"/>
  <c r="K293" i="2"/>
  <c r="L293" i="2"/>
  <c r="O293" i="2"/>
  <c r="R293" i="2" s="1"/>
  <c r="S293" i="2" s="1"/>
  <c r="P293" i="2"/>
  <c r="Q293" i="2"/>
  <c r="U293" i="2"/>
  <c r="V293" i="2"/>
  <c r="W293" i="2"/>
  <c r="X293" i="2" s="1"/>
  <c r="Y293" i="2"/>
  <c r="Z293" i="2"/>
  <c r="AA293" i="2"/>
  <c r="AB293" i="2"/>
  <c r="E295" i="2"/>
  <c r="G295" i="2"/>
  <c r="F297" i="2"/>
  <c r="G297" i="2"/>
  <c r="M297" i="2"/>
  <c r="N297" i="2" s="1"/>
  <c r="R297" i="2"/>
  <c r="S297" i="2"/>
  <c r="X297" i="2"/>
  <c r="Y297" i="2" s="1"/>
  <c r="F298" i="2"/>
  <c r="G298" i="2"/>
  <c r="M298" i="2"/>
  <c r="N298" i="2" s="1"/>
  <c r="R298" i="2"/>
  <c r="S298" i="2"/>
  <c r="X298" i="2"/>
  <c r="Y298" i="2" s="1"/>
  <c r="F299" i="2"/>
  <c r="G299" i="2"/>
  <c r="M299" i="2"/>
  <c r="N299" i="2" s="1"/>
  <c r="R299" i="2"/>
  <c r="S299" i="2"/>
  <c r="X299" i="2"/>
  <c r="Y299" i="2"/>
  <c r="F300" i="2"/>
  <c r="G300" i="2"/>
  <c r="M300" i="2"/>
  <c r="N300" i="2" s="1"/>
  <c r="R300" i="2"/>
  <c r="S300" i="2"/>
  <c r="X300" i="2"/>
  <c r="Y300" i="2" s="1"/>
  <c r="F301" i="2"/>
  <c r="G301" i="2"/>
  <c r="M301" i="2"/>
  <c r="N301" i="2" s="1"/>
  <c r="R301" i="2"/>
  <c r="S301" i="2"/>
  <c r="X301" i="2"/>
  <c r="Y301" i="2" s="1"/>
  <c r="F302" i="2"/>
  <c r="G302" i="2"/>
  <c r="M302" i="2"/>
  <c r="N302" i="2" s="1"/>
  <c r="R302" i="2"/>
  <c r="S302" i="2"/>
  <c r="X302" i="2"/>
  <c r="Y302" i="2" s="1"/>
  <c r="F303" i="2"/>
  <c r="G303" i="2"/>
  <c r="M303" i="2"/>
  <c r="N303" i="2" s="1"/>
  <c r="R303" i="2"/>
  <c r="S303" i="2"/>
  <c r="X303" i="2"/>
  <c r="Y303" i="2" s="1"/>
  <c r="F304" i="2"/>
  <c r="G304" i="2"/>
  <c r="M304" i="2"/>
  <c r="N304" i="2" s="1"/>
  <c r="R304" i="2"/>
  <c r="S304" i="2"/>
  <c r="X304" i="2"/>
  <c r="Y304" i="2" s="1"/>
  <c r="F305" i="2"/>
  <c r="G305" i="2"/>
  <c r="M305" i="2"/>
  <c r="N305" i="2" s="1"/>
  <c r="R305" i="2"/>
  <c r="S305" i="2"/>
  <c r="X305" i="2"/>
  <c r="Y305" i="2" s="1"/>
  <c r="F306" i="2"/>
  <c r="G306" i="2"/>
  <c r="M306" i="2"/>
  <c r="N306" i="2" s="1"/>
  <c r="R306" i="2"/>
  <c r="S306" i="2"/>
  <c r="X306" i="2"/>
  <c r="Y306" i="2"/>
  <c r="F307" i="2"/>
  <c r="G307" i="2"/>
  <c r="M307" i="2"/>
  <c r="N307" i="2" s="1"/>
  <c r="R307" i="2"/>
  <c r="S307" i="2"/>
  <c r="X307" i="2"/>
  <c r="Y307" i="2"/>
  <c r="F308" i="2"/>
  <c r="G308" i="2"/>
  <c r="M308" i="2"/>
  <c r="N308" i="2" s="1"/>
  <c r="R308" i="2"/>
  <c r="S308" i="2"/>
  <c r="X308" i="2"/>
  <c r="Y308" i="2" s="1"/>
  <c r="F309" i="2"/>
  <c r="G309" i="2"/>
  <c r="M309" i="2"/>
  <c r="N309" i="2" s="1"/>
  <c r="R309" i="2"/>
  <c r="S309" i="2"/>
  <c r="X309" i="2"/>
  <c r="Y309" i="2"/>
  <c r="J311" i="2"/>
  <c r="M311" i="2" s="1"/>
  <c r="N311" i="2" s="1"/>
  <c r="K311" i="2"/>
  <c r="L311" i="2"/>
  <c r="O311" i="2"/>
  <c r="P311" i="2"/>
  <c r="Q311" i="2"/>
  <c r="R311" i="2" s="1"/>
  <c r="S311" i="2"/>
  <c r="U311" i="2"/>
  <c r="V311" i="2"/>
  <c r="W311" i="2"/>
  <c r="X311" i="2" s="1"/>
  <c r="Y311" i="2" s="1"/>
  <c r="Z311" i="2"/>
  <c r="AA311" i="2"/>
  <c r="AB311" i="2"/>
  <c r="E313" i="2"/>
  <c r="G313" i="2"/>
  <c r="F315" i="2"/>
  <c r="G315" i="2"/>
  <c r="M315" i="2"/>
  <c r="N315" i="2"/>
  <c r="R315" i="2"/>
  <c r="S315" i="2"/>
  <c r="X315" i="2"/>
  <c r="Y315" i="2"/>
  <c r="F316" i="2"/>
  <c r="G316" i="2"/>
  <c r="M316" i="2"/>
  <c r="N316" i="2"/>
  <c r="R316" i="2"/>
  <c r="S316" i="2"/>
  <c r="X316" i="2"/>
  <c r="Y316" i="2"/>
  <c r="F317" i="2"/>
  <c r="G317" i="2"/>
  <c r="M317" i="2"/>
  <c r="N317" i="2"/>
  <c r="R317" i="2"/>
  <c r="S317" i="2"/>
  <c r="X317" i="2"/>
  <c r="Y317" i="2"/>
  <c r="F318" i="2"/>
  <c r="G318" i="2"/>
  <c r="M318" i="2"/>
  <c r="N318" i="2"/>
  <c r="R318" i="2"/>
  <c r="S318" i="2"/>
  <c r="X318" i="2"/>
  <c r="Y318" i="2"/>
  <c r="F319" i="2"/>
  <c r="G319" i="2"/>
  <c r="M319" i="2"/>
  <c r="N319" i="2"/>
  <c r="R319" i="2"/>
  <c r="S319" i="2" s="1"/>
  <c r="X319" i="2"/>
  <c r="Y319" i="2"/>
  <c r="F320" i="2"/>
  <c r="G320" i="2"/>
  <c r="M320" i="2"/>
  <c r="N320" i="2"/>
  <c r="R320" i="2"/>
  <c r="S320" i="2" s="1"/>
  <c r="X320" i="2"/>
  <c r="Y320" i="2"/>
  <c r="F321" i="2"/>
  <c r="G321" i="2"/>
  <c r="M321" i="2"/>
  <c r="N321" i="2"/>
  <c r="R321" i="2"/>
  <c r="S321" i="2" s="1"/>
  <c r="X321" i="2"/>
  <c r="Y321" i="2"/>
  <c r="F322" i="2"/>
  <c r="G322" i="2"/>
  <c r="M322" i="2"/>
  <c r="N322" i="2"/>
  <c r="R322" i="2"/>
  <c r="S322" i="2" s="1"/>
  <c r="X322" i="2"/>
  <c r="Y322" i="2"/>
  <c r="F323" i="2"/>
  <c r="G323" i="2"/>
  <c r="M323" i="2"/>
  <c r="N323" i="2"/>
  <c r="R323" i="2"/>
  <c r="S323" i="2"/>
  <c r="X323" i="2"/>
  <c r="Y323" i="2"/>
  <c r="F324" i="2"/>
  <c r="G324" i="2"/>
  <c r="M324" i="2"/>
  <c r="N324" i="2"/>
  <c r="R324" i="2"/>
  <c r="S324" i="2" s="1"/>
  <c r="X324" i="2"/>
  <c r="Y324" i="2"/>
  <c r="F325" i="2"/>
  <c r="G325" i="2"/>
  <c r="M325" i="2"/>
  <c r="N325" i="2"/>
  <c r="R325" i="2"/>
  <c r="S325" i="2" s="1"/>
  <c r="X325" i="2"/>
  <c r="Y325" i="2"/>
  <c r="F326" i="2"/>
  <c r="G326" i="2"/>
  <c r="M326" i="2"/>
  <c r="N326" i="2"/>
  <c r="R326" i="2"/>
  <c r="S326" i="2" s="1"/>
  <c r="X326" i="2"/>
  <c r="Y326" i="2"/>
  <c r="F327" i="2"/>
  <c r="G327" i="2"/>
  <c r="M327" i="2"/>
  <c r="N327" i="2"/>
  <c r="R327" i="2"/>
  <c r="S327" i="2"/>
  <c r="X327" i="2"/>
  <c r="Y327" i="2"/>
  <c r="F328" i="2"/>
  <c r="G328" i="2"/>
  <c r="M328" i="2"/>
  <c r="N328" i="2"/>
  <c r="R328" i="2"/>
  <c r="S328" i="2" s="1"/>
  <c r="X328" i="2"/>
  <c r="Y328" i="2"/>
  <c r="F329" i="2"/>
  <c r="G329" i="2"/>
  <c r="M329" i="2"/>
  <c r="N329" i="2"/>
  <c r="R329" i="2"/>
  <c r="S329" i="2"/>
  <c r="X329" i="2"/>
  <c r="Y329" i="2"/>
  <c r="F330" i="2"/>
  <c r="G330" i="2"/>
  <c r="M330" i="2"/>
  <c r="N330" i="2"/>
  <c r="R330" i="2"/>
  <c r="S330" i="2" s="1"/>
  <c r="X330" i="2"/>
  <c r="Y330" i="2"/>
  <c r="F331" i="2"/>
  <c r="G331" i="2"/>
  <c r="M331" i="2"/>
  <c r="N331" i="2"/>
  <c r="R331" i="2"/>
  <c r="S331" i="2" s="1"/>
  <c r="X331" i="2"/>
  <c r="Y331" i="2"/>
  <c r="F332" i="2"/>
  <c r="G332" i="2"/>
  <c r="M332" i="2"/>
  <c r="N332" i="2"/>
  <c r="R332" i="2"/>
  <c r="S332" i="2" s="1"/>
  <c r="X332" i="2"/>
  <c r="Y332" i="2"/>
  <c r="F333" i="2"/>
  <c r="G333" i="2"/>
  <c r="M333" i="2"/>
  <c r="N333" i="2"/>
  <c r="R333" i="2"/>
  <c r="S333" i="2" s="1"/>
  <c r="X333" i="2"/>
  <c r="Y333" i="2"/>
  <c r="F334" i="2"/>
  <c r="G334" i="2"/>
  <c r="M334" i="2"/>
  <c r="N334" i="2"/>
  <c r="R334" i="2"/>
  <c r="S334" i="2" s="1"/>
  <c r="X334" i="2"/>
  <c r="Y334" i="2"/>
  <c r="F335" i="2"/>
  <c r="G335" i="2"/>
  <c r="M335" i="2"/>
  <c r="N335" i="2"/>
  <c r="R335" i="2"/>
  <c r="S335" i="2" s="1"/>
  <c r="X335" i="2"/>
  <c r="Y335" i="2"/>
  <c r="F336" i="2"/>
  <c r="G336" i="2"/>
  <c r="M336" i="2"/>
  <c r="N336" i="2"/>
  <c r="R336" i="2"/>
  <c r="S336" i="2" s="1"/>
  <c r="X336" i="2"/>
  <c r="Y336" i="2"/>
  <c r="F337" i="2"/>
  <c r="G337" i="2"/>
  <c r="M337" i="2"/>
  <c r="N337" i="2"/>
  <c r="R337" i="2"/>
  <c r="S337" i="2" s="1"/>
  <c r="X337" i="2"/>
  <c r="Y337" i="2"/>
  <c r="F338" i="2"/>
  <c r="G338" i="2"/>
  <c r="M338" i="2"/>
  <c r="N338" i="2"/>
  <c r="R338" i="2"/>
  <c r="S338" i="2" s="1"/>
  <c r="X338" i="2"/>
  <c r="Y338" i="2"/>
  <c r="F339" i="2"/>
  <c r="G339" i="2"/>
  <c r="M339" i="2"/>
  <c r="N339" i="2"/>
  <c r="R339" i="2"/>
  <c r="S339" i="2" s="1"/>
  <c r="X339" i="2"/>
  <c r="Y339" i="2"/>
  <c r="F340" i="2"/>
  <c r="G340" i="2"/>
  <c r="M340" i="2"/>
  <c r="N340" i="2"/>
  <c r="R340" i="2"/>
  <c r="S340" i="2" s="1"/>
  <c r="X340" i="2"/>
  <c r="Y340" i="2"/>
  <c r="F341" i="2"/>
  <c r="G341" i="2"/>
  <c r="M341" i="2"/>
  <c r="N341" i="2"/>
  <c r="R341" i="2"/>
  <c r="S341" i="2"/>
  <c r="X341" i="2"/>
  <c r="Y341" i="2"/>
  <c r="F342" i="2"/>
  <c r="G342" i="2"/>
  <c r="M342" i="2"/>
  <c r="N342" i="2"/>
  <c r="R342" i="2"/>
  <c r="S342" i="2"/>
  <c r="X342" i="2"/>
  <c r="Y342" i="2"/>
  <c r="F343" i="2"/>
  <c r="G343" i="2"/>
  <c r="M343" i="2"/>
  <c r="N343" i="2"/>
  <c r="R343" i="2"/>
  <c r="S343" i="2" s="1"/>
  <c r="X343" i="2"/>
  <c r="Y343" i="2"/>
  <c r="F344" i="2"/>
  <c r="G344" i="2"/>
  <c r="M344" i="2"/>
  <c r="N344" i="2"/>
  <c r="R344" i="2"/>
  <c r="S344" i="2" s="1"/>
  <c r="X344" i="2"/>
  <c r="Y344" i="2"/>
  <c r="J346" i="2"/>
  <c r="K346" i="2"/>
  <c r="L346" i="2"/>
  <c r="M346" i="2" s="1"/>
  <c r="O346" i="2"/>
  <c r="P346" i="2"/>
  <c r="Q346" i="2"/>
  <c r="R346" i="2" s="1"/>
  <c r="U346" i="2"/>
  <c r="V346" i="2"/>
  <c r="W346" i="2"/>
  <c r="Z346" i="2"/>
  <c r="AA346" i="2"/>
  <c r="AB346" i="2"/>
  <c r="E348" i="2"/>
  <c r="G348" i="2"/>
  <c r="F350" i="2"/>
  <c r="G350" i="2"/>
  <c r="M350" i="2"/>
  <c r="N350" i="2"/>
  <c r="R350" i="2"/>
  <c r="S350" i="2"/>
  <c r="X350" i="2"/>
  <c r="Y350" i="2"/>
  <c r="F351" i="2"/>
  <c r="G351" i="2"/>
  <c r="M351" i="2"/>
  <c r="N351" i="2"/>
  <c r="R351" i="2"/>
  <c r="S351" i="2"/>
  <c r="X351" i="2"/>
  <c r="Y351" i="2"/>
  <c r="F352" i="2"/>
  <c r="G352" i="2"/>
  <c r="M352" i="2"/>
  <c r="N352" i="2"/>
  <c r="R352" i="2"/>
  <c r="S352" i="2"/>
  <c r="X352" i="2"/>
  <c r="Y352" i="2"/>
  <c r="F353" i="2"/>
  <c r="G353" i="2"/>
  <c r="M353" i="2"/>
  <c r="N353" i="2"/>
  <c r="R353" i="2"/>
  <c r="S353" i="2"/>
  <c r="X353" i="2"/>
  <c r="Y353" i="2"/>
  <c r="F354" i="2"/>
  <c r="G354" i="2"/>
  <c r="M354" i="2"/>
  <c r="N354" i="2"/>
  <c r="R354" i="2"/>
  <c r="S354" i="2"/>
  <c r="X354" i="2"/>
  <c r="Y354" i="2"/>
  <c r="F355" i="2"/>
  <c r="G355" i="2"/>
  <c r="M355" i="2"/>
  <c r="N355" i="2"/>
  <c r="R355" i="2"/>
  <c r="S355" i="2"/>
  <c r="X355" i="2"/>
  <c r="Y355" i="2"/>
  <c r="F356" i="2"/>
  <c r="G356" i="2"/>
  <c r="M356" i="2"/>
  <c r="N356" i="2"/>
  <c r="R356" i="2"/>
  <c r="S356" i="2"/>
  <c r="X356" i="2"/>
  <c r="Y356" i="2"/>
  <c r="F357" i="2"/>
  <c r="G357" i="2"/>
  <c r="M357" i="2"/>
  <c r="N357" i="2"/>
  <c r="R357" i="2"/>
  <c r="S357" i="2"/>
  <c r="X357" i="2"/>
  <c r="Y357" i="2"/>
  <c r="F358" i="2"/>
  <c r="G358" i="2"/>
  <c r="M358" i="2"/>
  <c r="N358" i="2"/>
  <c r="R358" i="2"/>
  <c r="S358" i="2"/>
  <c r="X358" i="2"/>
  <c r="Y358" i="2"/>
  <c r="F359" i="2"/>
  <c r="G359" i="2"/>
  <c r="M359" i="2"/>
  <c r="N359" i="2"/>
  <c r="R359" i="2"/>
  <c r="S359" i="2"/>
  <c r="X359" i="2"/>
  <c r="Y359" i="2"/>
  <c r="F360" i="2"/>
  <c r="G360" i="2"/>
  <c r="M360" i="2"/>
  <c r="N360" i="2"/>
  <c r="R360" i="2"/>
  <c r="S360" i="2"/>
  <c r="X360" i="2"/>
  <c r="Y360" i="2"/>
  <c r="F361" i="2"/>
  <c r="G361" i="2"/>
  <c r="M361" i="2"/>
  <c r="N361" i="2"/>
  <c r="R361" i="2"/>
  <c r="S361" i="2"/>
  <c r="X361" i="2"/>
  <c r="Y361" i="2"/>
  <c r="J363" i="2"/>
  <c r="N363" i="2" s="1"/>
  <c r="K363" i="2"/>
  <c r="L363" i="2"/>
  <c r="M363" i="2" s="1"/>
  <c r="O363" i="2"/>
  <c r="P363" i="2"/>
  <c r="Q363" i="2"/>
  <c r="U363" i="2"/>
  <c r="X363" i="2" s="1"/>
  <c r="V363" i="2"/>
  <c r="W363" i="2"/>
  <c r="Y363" i="2"/>
  <c r="Z363" i="2"/>
  <c r="AA363" i="2"/>
  <c r="AB363" i="2"/>
  <c r="E365" i="2"/>
  <c r="G365" i="2"/>
  <c r="F367" i="2"/>
  <c r="G367" i="2"/>
  <c r="M367" i="2"/>
  <c r="N367" i="2"/>
  <c r="R367" i="2"/>
  <c r="S367" i="2"/>
  <c r="X367" i="2"/>
  <c r="Y367" i="2"/>
  <c r="F368" i="2"/>
  <c r="G368" i="2"/>
  <c r="M368" i="2"/>
  <c r="N368" i="2"/>
  <c r="R368" i="2"/>
  <c r="S368" i="2"/>
  <c r="X368" i="2"/>
  <c r="Y368" i="2"/>
  <c r="F369" i="2"/>
  <c r="G369" i="2"/>
  <c r="M369" i="2"/>
  <c r="N369" i="2"/>
  <c r="R369" i="2"/>
  <c r="S369" i="2"/>
  <c r="X369" i="2"/>
  <c r="Y369" i="2" s="1"/>
  <c r="F370" i="2"/>
  <c r="G370" i="2"/>
  <c r="M370" i="2"/>
  <c r="N370" i="2"/>
  <c r="R370" i="2"/>
  <c r="S370" i="2"/>
  <c r="X370" i="2"/>
  <c r="Y370" i="2"/>
  <c r="F371" i="2"/>
  <c r="G371" i="2"/>
  <c r="M371" i="2"/>
  <c r="N371" i="2"/>
  <c r="R371" i="2"/>
  <c r="S371" i="2"/>
  <c r="X371" i="2"/>
  <c r="Y371" i="2" s="1"/>
  <c r="F372" i="2"/>
  <c r="G372" i="2"/>
  <c r="M372" i="2"/>
  <c r="N372" i="2"/>
  <c r="R372" i="2"/>
  <c r="S372" i="2"/>
  <c r="X372" i="2"/>
  <c r="Y372" i="2" s="1"/>
  <c r="F373" i="2"/>
  <c r="G373" i="2"/>
  <c r="M373" i="2"/>
  <c r="N373" i="2"/>
  <c r="R373" i="2"/>
  <c r="S373" i="2" s="1"/>
  <c r="X373" i="2"/>
  <c r="Y373" i="2"/>
  <c r="F374" i="2"/>
  <c r="G374" i="2"/>
  <c r="M374" i="2"/>
  <c r="N374" i="2"/>
  <c r="R374" i="2"/>
  <c r="S374" i="2" s="1"/>
  <c r="X374" i="2"/>
  <c r="Y374" i="2" s="1"/>
  <c r="F375" i="2"/>
  <c r="G375" i="2"/>
  <c r="M375" i="2"/>
  <c r="N375" i="2"/>
  <c r="R375" i="2"/>
  <c r="S375" i="2" s="1"/>
  <c r="X375" i="2"/>
  <c r="Y375" i="2" s="1"/>
  <c r="F376" i="2"/>
  <c r="G376" i="2"/>
  <c r="M376" i="2"/>
  <c r="N376" i="2"/>
  <c r="R376" i="2"/>
  <c r="S376" i="2" s="1"/>
  <c r="X376" i="2"/>
  <c r="Y376" i="2"/>
  <c r="F377" i="2"/>
  <c r="G377" i="2"/>
  <c r="M377" i="2"/>
  <c r="N377" i="2"/>
  <c r="R377" i="2"/>
  <c r="S377" i="2" s="1"/>
  <c r="X377" i="2"/>
  <c r="Y377" i="2" s="1"/>
  <c r="F378" i="2"/>
  <c r="G378" i="2"/>
  <c r="M378" i="2"/>
  <c r="N378" i="2"/>
  <c r="R378" i="2"/>
  <c r="S378" i="2" s="1"/>
  <c r="X378" i="2"/>
  <c r="Y378" i="2"/>
  <c r="F379" i="2"/>
  <c r="G379" i="2"/>
  <c r="M379" i="2"/>
  <c r="N379" i="2"/>
  <c r="R379" i="2"/>
  <c r="S379" i="2" s="1"/>
  <c r="X379" i="2"/>
  <c r="Y379" i="2"/>
  <c r="F380" i="2"/>
  <c r="G380" i="2"/>
  <c r="M380" i="2"/>
  <c r="N380" i="2"/>
  <c r="R380" i="2"/>
  <c r="S380" i="2" s="1"/>
  <c r="X380" i="2"/>
  <c r="Y380" i="2" s="1"/>
  <c r="F381" i="2"/>
  <c r="G381" i="2"/>
  <c r="M381" i="2"/>
  <c r="N381" i="2"/>
  <c r="R381" i="2"/>
  <c r="S381" i="2" s="1"/>
  <c r="X381" i="2"/>
  <c r="Y381" i="2" s="1"/>
  <c r="F382" i="2"/>
  <c r="G382" i="2"/>
  <c r="M382" i="2"/>
  <c r="N382" i="2"/>
  <c r="R382" i="2"/>
  <c r="S382" i="2" s="1"/>
  <c r="X382" i="2"/>
  <c r="Y382" i="2" s="1"/>
  <c r="F383" i="2"/>
  <c r="G383" i="2"/>
  <c r="M383" i="2"/>
  <c r="N383" i="2"/>
  <c r="R383" i="2"/>
  <c r="S383" i="2" s="1"/>
  <c r="X383" i="2"/>
  <c r="Y383" i="2"/>
  <c r="F384" i="2"/>
  <c r="G384" i="2"/>
  <c r="M384" i="2"/>
  <c r="N384" i="2"/>
  <c r="R384" i="2"/>
  <c r="S384" i="2" s="1"/>
  <c r="X384" i="2"/>
  <c r="Y384" i="2"/>
  <c r="F385" i="2"/>
  <c r="G385" i="2"/>
  <c r="M385" i="2"/>
  <c r="N385" i="2"/>
  <c r="R385" i="2"/>
  <c r="S385" i="2" s="1"/>
  <c r="X385" i="2"/>
  <c r="Y385" i="2"/>
  <c r="F386" i="2"/>
  <c r="G386" i="2"/>
  <c r="M386" i="2"/>
  <c r="N386" i="2"/>
  <c r="R386" i="2"/>
  <c r="S386" i="2" s="1"/>
  <c r="X386" i="2"/>
  <c r="Y386" i="2"/>
  <c r="F387" i="2"/>
  <c r="G387" i="2"/>
  <c r="M387" i="2"/>
  <c r="N387" i="2" s="1"/>
  <c r="R387" i="2"/>
  <c r="S387" i="2"/>
  <c r="X387" i="2"/>
  <c r="Y387" i="2" s="1"/>
  <c r="J389" i="2"/>
  <c r="K389" i="2"/>
  <c r="L389" i="2"/>
  <c r="M389" i="2"/>
  <c r="N389" i="2" s="1"/>
  <c r="O389" i="2"/>
  <c r="R389" i="2" s="1"/>
  <c r="P389" i="2"/>
  <c r="Q389" i="2"/>
  <c r="S389" i="2"/>
  <c r="U389" i="2"/>
  <c r="Y389" i="2" s="1"/>
  <c r="V389" i="2"/>
  <c r="W389" i="2"/>
  <c r="X389" i="2"/>
  <c r="Z389" i="2"/>
  <c r="AA389" i="2"/>
  <c r="AB389" i="2"/>
  <c r="E391" i="2"/>
  <c r="G391" i="2"/>
  <c r="F393" i="2"/>
  <c r="G393" i="2"/>
  <c r="M393" i="2"/>
  <c r="N393" i="2"/>
  <c r="R393" i="2"/>
  <c r="S393" i="2"/>
  <c r="X393" i="2"/>
  <c r="Y393" i="2"/>
  <c r="F394" i="2"/>
  <c r="G394" i="2"/>
  <c r="M394" i="2"/>
  <c r="N394" i="2"/>
  <c r="R394" i="2"/>
  <c r="S394" i="2"/>
  <c r="X394" i="2"/>
  <c r="Y394" i="2"/>
  <c r="F395" i="2"/>
  <c r="G395" i="2"/>
  <c r="M395" i="2"/>
  <c r="N395" i="2"/>
  <c r="R395" i="2"/>
  <c r="S395" i="2"/>
  <c r="X395" i="2"/>
  <c r="Y395" i="2"/>
  <c r="F396" i="2"/>
  <c r="G396" i="2"/>
  <c r="M396" i="2"/>
  <c r="N396" i="2"/>
  <c r="R396" i="2"/>
  <c r="S396" i="2"/>
  <c r="X396" i="2"/>
  <c r="Y396" i="2"/>
  <c r="F397" i="2"/>
  <c r="G397" i="2"/>
  <c r="M397" i="2"/>
  <c r="N397" i="2"/>
  <c r="R397" i="2"/>
  <c r="S397" i="2"/>
  <c r="X397" i="2"/>
  <c r="Y397" i="2"/>
  <c r="F398" i="2"/>
  <c r="G398" i="2"/>
  <c r="M398" i="2"/>
  <c r="N398" i="2"/>
  <c r="R398" i="2"/>
  <c r="S398" i="2"/>
  <c r="X398" i="2"/>
  <c r="Y398" i="2"/>
  <c r="F399" i="2"/>
  <c r="G399" i="2"/>
  <c r="M399" i="2"/>
  <c r="N399" i="2"/>
  <c r="R399" i="2"/>
  <c r="S399" i="2"/>
  <c r="X399" i="2"/>
  <c r="Y399" i="2"/>
  <c r="F400" i="2"/>
  <c r="G400" i="2"/>
  <c r="M400" i="2"/>
  <c r="N400" i="2"/>
  <c r="R400" i="2"/>
  <c r="S400" i="2"/>
  <c r="X400" i="2"/>
  <c r="Y400" i="2"/>
  <c r="F401" i="2"/>
  <c r="G401" i="2"/>
  <c r="M401" i="2"/>
  <c r="N401" i="2"/>
  <c r="R401" i="2"/>
  <c r="S401" i="2"/>
  <c r="X401" i="2"/>
  <c r="Y401" i="2"/>
  <c r="F402" i="2"/>
  <c r="G402" i="2"/>
  <c r="M402" i="2"/>
  <c r="N402" i="2"/>
  <c r="R402" i="2"/>
  <c r="S402" i="2"/>
  <c r="X402" i="2"/>
  <c r="Y402" i="2"/>
  <c r="F403" i="2"/>
  <c r="G403" i="2"/>
  <c r="M403" i="2"/>
  <c r="N403" i="2"/>
  <c r="R403" i="2"/>
  <c r="S403" i="2"/>
  <c r="X403" i="2"/>
  <c r="Y403" i="2"/>
  <c r="F404" i="2"/>
  <c r="G404" i="2"/>
  <c r="M404" i="2"/>
  <c r="N404" i="2"/>
  <c r="R404" i="2"/>
  <c r="S404" i="2"/>
  <c r="X404" i="2"/>
  <c r="Y404" i="2"/>
  <c r="F405" i="2"/>
  <c r="G405" i="2"/>
  <c r="M405" i="2"/>
  <c r="N405" i="2"/>
  <c r="R405" i="2"/>
  <c r="S405" i="2"/>
  <c r="X405" i="2"/>
  <c r="Y405" i="2"/>
  <c r="F406" i="2"/>
  <c r="G406" i="2"/>
  <c r="M406" i="2"/>
  <c r="N406" i="2"/>
  <c r="R406" i="2"/>
  <c r="S406" i="2"/>
  <c r="X406" i="2"/>
  <c r="Y406" i="2"/>
  <c r="F407" i="2"/>
  <c r="G407" i="2"/>
  <c r="M407" i="2"/>
  <c r="N407" i="2"/>
  <c r="R407" i="2"/>
  <c r="S407" i="2"/>
  <c r="X407" i="2"/>
  <c r="Y407" i="2"/>
  <c r="F408" i="2"/>
  <c r="G408" i="2"/>
  <c r="M408" i="2"/>
  <c r="N408" i="2"/>
  <c r="R408" i="2"/>
  <c r="S408" i="2"/>
  <c r="X408" i="2"/>
  <c r="Y408" i="2"/>
  <c r="F409" i="2"/>
  <c r="G409" i="2"/>
  <c r="M409" i="2"/>
  <c r="N409" i="2"/>
  <c r="R409" i="2"/>
  <c r="S409" i="2"/>
  <c r="X409" i="2"/>
  <c r="Y409" i="2"/>
  <c r="F410" i="2"/>
  <c r="G410" i="2"/>
  <c r="M410" i="2"/>
  <c r="N410" i="2"/>
  <c r="R410" i="2"/>
  <c r="S410" i="2"/>
  <c r="X410" i="2"/>
  <c r="Y410" i="2"/>
  <c r="F411" i="2"/>
  <c r="G411" i="2"/>
  <c r="M411" i="2"/>
  <c r="N411" i="2"/>
  <c r="R411" i="2"/>
  <c r="S411" i="2"/>
  <c r="X411" i="2"/>
  <c r="Y411" i="2"/>
  <c r="F412" i="2"/>
  <c r="G412" i="2"/>
  <c r="M412" i="2"/>
  <c r="N412" i="2"/>
  <c r="R412" i="2"/>
  <c r="S412" i="2"/>
  <c r="X412" i="2"/>
  <c r="Y412" i="2"/>
  <c r="F413" i="2"/>
  <c r="G413" i="2"/>
  <c r="M413" i="2"/>
  <c r="N413" i="2"/>
  <c r="R413" i="2"/>
  <c r="S413" i="2"/>
  <c r="X413" i="2"/>
  <c r="Y413" i="2"/>
  <c r="F414" i="2"/>
  <c r="G414" i="2"/>
  <c r="M414" i="2"/>
  <c r="N414" i="2"/>
  <c r="R414" i="2"/>
  <c r="S414" i="2"/>
  <c r="X414" i="2"/>
  <c r="Y414" i="2"/>
  <c r="F415" i="2"/>
  <c r="G415" i="2"/>
  <c r="M415" i="2"/>
  <c r="N415" i="2"/>
  <c r="R415" i="2"/>
  <c r="S415" i="2"/>
  <c r="X415" i="2"/>
  <c r="Y415" i="2"/>
  <c r="F416" i="2"/>
  <c r="G416" i="2"/>
  <c r="M416" i="2"/>
  <c r="N416" i="2"/>
  <c r="R416" i="2"/>
  <c r="S416" i="2"/>
  <c r="X416" i="2"/>
  <c r="Y416" i="2"/>
  <c r="F417" i="2"/>
  <c r="G417" i="2"/>
  <c r="M417" i="2"/>
  <c r="N417" i="2"/>
  <c r="R417" i="2"/>
  <c r="S417" i="2"/>
  <c r="X417" i="2"/>
  <c r="Y417" i="2"/>
  <c r="F418" i="2"/>
  <c r="G418" i="2"/>
  <c r="M418" i="2"/>
  <c r="N418" i="2"/>
  <c r="R418" i="2"/>
  <c r="S418" i="2"/>
  <c r="X418" i="2"/>
  <c r="Y418" i="2"/>
  <c r="F419" i="2"/>
  <c r="G419" i="2"/>
  <c r="M419" i="2"/>
  <c r="N419" i="2"/>
  <c r="R419" i="2"/>
  <c r="S419" i="2"/>
  <c r="X419" i="2"/>
  <c r="Y419" i="2"/>
  <c r="F420" i="2"/>
  <c r="G420" i="2"/>
  <c r="M420" i="2"/>
  <c r="N420" i="2"/>
  <c r="R420" i="2"/>
  <c r="S420" i="2"/>
  <c r="X420" i="2"/>
  <c r="Y420" i="2"/>
  <c r="F421" i="2"/>
  <c r="G421" i="2"/>
  <c r="M421" i="2"/>
  <c r="N421" i="2"/>
  <c r="R421" i="2"/>
  <c r="S421" i="2"/>
  <c r="X421" i="2"/>
  <c r="Y421" i="2"/>
  <c r="F422" i="2"/>
  <c r="G422" i="2"/>
  <c r="M422" i="2"/>
  <c r="N422" i="2"/>
  <c r="R422" i="2"/>
  <c r="S422" i="2"/>
  <c r="X422" i="2"/>
  <c r="Y422" i="2"/>
  <c r="F423" i="2"/>
  <c r="G423" i="2"/>
  <c r="M423" i="2"/>
  <c r="N423" i="2"/>
  <c r="R423" i="2"/>
  <c r="S423" i="2"/>
  <c r="X423" i="2"/>
  <c r="Y423" i="2"/>
  <c r="F424" i="2"/>
  <c r="G424" i="2"/>
  <c r="M424" i="2"/>
  <c r="N424" i="2"/>
  <c r="R424" i="2"/>
  <c r="S424" i="2"/>
  <c r="X424" i="2"/>
  <c r="Y424" i="2"/>
  <c r="F425" i="2"/>
  <c r="G425" i="2"/>
  <c r="M425" i="2"/>
  <c r="N425" i="2"/>
  <c r="R425" i="2"/>
  <c r="S425" i="2"/>
  <c r="X425" i="2"/>
  <c r="Y425" i="2"/>
  <c r="F426" i="2"/>
  <c r="G426" i="2"/>
  <c r="M426" i="2"/>
  <c r="N426" i="2"/>
  <c r="R426" i="2"/>
  <c r="S426" i="2"/>
  <c r="X426" i="2"/>
  <c r="Y426" i="2"/>
  <c r="F427" i="2"/>
  <c r="G427" i="2"/>
  <c r="M427" i="2"/>
  <c r="N427" i="2"/>
  <c r="R427" i="2"/>
  <c r="S427" i="2"/>
  <c r="X427" i="2"/>
  <c r="Y427" i="2"/>
  <c r="F428" i="2"/>
  <c r="G428" i="2"/>
  <c r="M428" i="2"/>
  <c r="N428" i="2"/>
  <c r="R428" i="2"/>
  <c r="S428" i="2"/>
  <c r="X428" i="2"/>
  <c r="Y428" i="2"/>
  <c r="F429" i="2"/>
  <c r="G429" i="2"/>
  <c r="M429" i="2"/>
  <c r="N429" i="2"/>
  <c r="R429" i="2"/>
  <c r="S429" i="2"/>
  <c r="X429" i="2"/>
  <c r="Y429" i="2"/>
  <c r="F430" i="2"/>
  <c r="G430" i="2"/>
  <c r="M430" i="2"/>
  <c r="N430" i="2"/>
  <c r="R430" i="2"/>
  <c r="S430" i="2"/>
  <c r="X430" i="2"/>
  <c r="Y430" i="2"/>
  <c r="F431" i="2"/>
  <c r="G431" i="2"/>
  <c r="M431" i="2"/>
  <c r="N431" i="2"/>
  <c r="R431" i="2"/>
  <c r="S431" i="2"/>
  <c r="X431" i="2"/>
  <c r="Y431" i="2"/>
  <c r="F432" i="2"/>
  <c r="G432" i="2"/>
  <c r="M432" i="2"/>
  <c r="N432" i="2"/>
  <c r="R432" i="2"/>
  <c r="S432" i="2"/>
  <c r="X432" i="2"/>
  <c r="Y432" i="2"/>
  <c r="F433" i="2"/>
  <c r="G433" i="2"/>
  <c r="M433" i="2"/>
  <c r="N433" i="2"/>
  <c r="R433" i="2"/>
  <c r="S433" i="2"/>
  <c r="X433" i="2"/>
  <c r="Y433" i="2"/>
  <c r="F434" i="2"/>
  <c r="G434" i="2"/>
  <c r="M434" i="2"/>
  <c r="N434" i="2"/>
  <c r="R434" i="2"/>
  <c r="S434" i="2"/>
  <c r="X434" i="2"/>
  <c r="Y434" i="2"/>
  <c r="F435" i="2"/>
  <c r="G435" i="2"/>
  <c r="M435" i="2"/>
  <c r="N435" i="2"/>
  <c r="R435" i="2"/>
  <c r="S435" i="2"/>
  <c r="X435" i="2"/>
  <c r="Y435" i="2"/>
  <c r="J437" i="2"/>
  <c r="M437" i="2" s="1"/>
  <c r="N437" i="2" s="1"/>
  <c r="K437" i="2"/>
  <c r="L437" i="2"/>
  <c r="O437" i="2"/>
  <c r="P437" i="2"/>
  <c r="Q437" i="2"/>
  <c r="R437" i="2"/>
  <c r="S437" i="2" s="1"/>
  <c r="U437" i="2"/>
  <c r="X437" i="2" s="1"/>
  <c r="V437" i="2"/>
  <c r="W437" i="2"/>
  <c r="Z437" i="2"/>
  <c r="AA437" i="2"/>
  <c r="AB437" i="2"/>
  <c r="E439" i="2"/>
  <c r="G439" i="2"/>
  <c r="F441" i="2"/>
  <c r="G441" i="2"/>
  <c r="M441" i="2"/>
  <c r="N441" i="2"/>
  <c r="R441" i="2"/>
  <c r="S441" i="2" s="1"/>
  <c r="X441" i="2"/>
  <c r="Y441" i="2"/>
  <c r="F442" i="2"/>
  <c r="G442" i="2"/>
  <c r="M442" i="2"/>
  <c r="N442" i="2"/>
  <c r="R442" i="2"/>
  <c r="S442" i="2" s="1"/>
  <c r="X442" i="2"/>
  <c r="Y442" i="2"/>
  <c r="F443" i="2"/>
  <c r="G443" i="2"/>
  <c r="M443" i="2"/>
  <c r="N443" i="2"/>
  <c r="R443" i="2"/>
  <c r="S443" i="2" s="1"/>
  <c r="X443" i="2"/>
  <c r="Y443" i="2"/>
  <c r="F444" i="2"/>
  <c r="G444" i="2"/>
  <c r="M444" i="2"/>
  <c r="N444" i="2"/>
  <c r="R444" i="2"/>
  <c r="S444" i="2" s="1"/>
  <c r="X444" i="2"/>
  <c r="Y444" i="2"/>
  <c r="F445" i="2"/>
  <c r="G445" i="2"/>
  <c r="M445" i="2"/>
  <c r="N445" i="2"/>
  <c r="R445" i="2"/>
  <c r="S445" i="2" s="1"/>
  <c r="X445" i="2"/>
  <c r="Y445" i="2"/>
  <c r="F446" i="2"/>
  <c r="G446" i="2"/>
  <c r="M446" i="2"/>
  <c r="N446" i="2"/>
  <c r="R446" i="2"/>
  <c r="S446" i="2" s="1"/>
  <c r="X446" i="2"/>
  <c r="Y446" i="2"/>
  <c r="F447" i="2"/>
  <c r="G447" i="2"/>
  <c r="M447" i="2"/>
  <c r="N447" i="2"/>
  <c r="R447" i="2"/>
  <c r="S447" i="2" s="1"/>
  <c r="X447" i="2"/>
  <c r="Y447" i="2"/>
  <c r="F448" i="2"/>
  <c r="G448" i="2"/>
  <c r="M448" i="2"/>
  <c r="N448" i="2"/>
  <c r="R448" i="2"/>
  <c r="S448" i="2" s="1"/>
  <c r="X448" i="2"/>
  <c r="Y448" i="2"/>
  <c r="F449" i="2"/>
  <c r="G449" i="2"/>
  <c r="M449" i="2"/>
  <c r="N449" i="2"/>
  <c r="R449" i="2"/>
  <c r="S449" i="2" s="1"/>
  <c r="X449" i="2"/>
  <c r="Y449" i="2"/>
  <c r="F450" i="2"/>
  <c r="G450" i="2"/>
  <c r="M450" i="2"/>
  <c r="N450" i="2"/>
  <c r="R450" i="2"/>
  <c r="S450" i="2" s="1"/>
  <c r="X450" i="2"/>
  <c r="Y450" i="2"/>
  <c r="F451" i="2"/>
  <c r="G451" i="2"/>
  <c r="M451" i="2"/>
  <c r="N451" i="2"/>
  <c r="R451" i="2"/>
  <c r="S451" i="2" s="1"/>
  <c r="X451" i="2"/>
  <c r="Y451" i="2"/>
  <c r="F452" i="2"/>
  <c r="G452" i="2"/>
  <c r="M452" i="2"/>
  <c r="N452" i="2"/>
  <c r="R452" i="2"/>
  <c r="S452" i="2" s="1"/>
  <c r="X452" i="2"/>
  <c r="Y452" i="2"/>
  <c r="F453" i="2"/>
  <c r="G453" i="2"/>
  <c r="M453" i="2"/>
  <c r="N453" i="2"/>
  <c r="R453" i="2"/>
  <c r="S453" i="2" s="1"/>
  <c r="X453" i="2"/>
  <c r="Y453" i="2"/>
  <c r="F454" i="2"/>
  <c r="G454" i="2"/>
  <c r="M454" i="2"/>
  <c r="N454" i="2"/>
  <c r="R454" i="2"/>
  <c r="S454" i="2" s="1"/>
  <c r="X454" i="2"/>
  <c r="Y454" i="2"/>
  <c r="F455" i="2"/>
  <c r="G455" i="2"/>
  <c r="M455" i="2"/>
  <c r="N455" i="2"/>
  <c r="R455" i="2"/>
  <c r="S455" i="2" s="1"/>
  <c r="X455" i="2"/>
  <c r="Y455" i="2"/>
  <c r="F456" i="2"/>
  <c r="G456" i="2"/>
  <c r="M456" i="2"/>
  <c r="N456" i="2"/>
  <c r="R456" i="2"/>
  <c r="S456" i="2" s="1"/>
  <c r="X456" i="2"/>
  <c r="Y456" i="2"/>
  <c r="F457" i="2"/>
  <c r="G457" i="2"/>
  <c r="M457" i="2"/>
  <c r="N457" i="2"/>
  <c r="R457" i="2"/>
  <c r="S457" i="2" s="1"/>
  <c r="X457" i="2"/>
  <c r="Y457" i="2"/>
  <c r="J459" i="2"/>
  <c r="N459" i="2" s="1"/>
  <c r="K459" i="2"/>
  <c r="L459" i="2"/>
  <c r="M459" i="2"/>
  <c r="O459" i="2"/>
  <c r="R459" i="2" s="1"/>
  <c r="P459" i="2"/>
  <c r="Q459" i="2"/>
  <c r="U459" i="2"/>
  <c r="Y459" i="2" s="1"/>
  <c r="V459" i="2"/>
  <c r="W459" i="2"/>
  <c r="X459" i="2"/>
  <c r="Z459" i="2"/>
  <c r="AA459" i="2"/>
  <c r="AB459" i="2"/>
  <c r="E461" i="2"/>
  <c r="G461" i="2"/>
  <c r="F463" i="2"/>
  <c r="G463" i="2"/>
  <c r="M463" i="2"/>
  <c r="N463" i="2"/>
  <c r="R463" i="2"/>
  <c r="S463" i="2"/>
  <c r="X463" i="2"/>
  <c r="Y463" i="2"/>
  <c r="F464" i="2"/>
  <c r="G464" i="2"/>
  <c r="M464" i="2"/>
  <c r="N464" i="2"/>
  <c r="R464" i="2"/>
  <c r="S464" i="2"/>
  <c r="X464" i="2"/>
  <c r="Y464" i="2"/>
  <c r="F465" i="2"/>
  <c r="G465" i="2"/>
  <c r="M465" i="2"/>
  <c r="N465" i="2"/>
  <c r="R465" i="2"/>
  <c r="S465" i="2"/>
  <c r="X465" i="2"/>
  <c r="Y465" i="2"/>
  <c r="F466" i="2"/>
  <c r="G466" i="2"/>
  <c r="M466" i="2"/>
  <c r="N466" i="2"/>
  <c r="R466" i="2"/>
  <c r="S466" i="2"/>
  <c r="X466" i="2"/>
  <c r="Y466" i="2"/>
  <c r="F467" i="2"/>
  <c r="G467" i="2"/>
  <c r="M467" i="2"/>
  <c r="N467" i="2"/>
  <c r="R467" i="2"/>
  <c r="S467" i="2"/>
  <c r="X467" i="2"/>
  <c r="Y467" i="2"/>
  <c r="F468" i="2"/>
  <c r="G468" i="2"/>
  <c r="M468" i="2"/>
  <c r="N468" i="2"/>
  <c r="R468" i="2"/>
  <c r="S468" i="2"/>
  <c r="X468" i="2"/>
  <c r="Y468" i="2"/>
  <c r="F469" i="2"/>
  <c r="G469" i="2"/>
  <c r="M469" i="2"/>
  <c r="N469" i="2"/>
  <c r="R469" i="2"/>
  <c r="S469" i="2"/>
  <c r="X469" i="2"/>
  <c r="Y469" i="2"/>
  <c r="F470" i="2"/>
  <c r="G470" i="2"/>
  <c r="M470" i="2"/>
  <c r="N470" i="2"/>
  <c r="R470" i="2"/>
  <c r="S470" i="2"/>
  <c r="X470" i="2"/>
  <c r="Y470" i="2"/>
  <c r="F471" i="2"/>
  <c r="G471" i="2"/>
  <c r="M471" i="2"/>
  <c r="N471" i="2"/>
  <c r="R471" i="2"/>
  <c r="S471" i="2"/>
  <c r="X471" i="2"/>
  <c r="Y471" i="2"/>
  <c r="F472" i="2"/>
  <c r="G472" i="2"/>
  <c r="M472" i="2"/>
  <c r="N472" i="2"/>
  <c r="R472" i="2"/>
  <c r="S472" i="2"/>
  <c r="X472" i="2"/>
  <c r="Y472" i="2"/>
  <c r="F473" i="2"/>
  <c r="G473" i="2"/>
  <c r="M473" i="2"/>
  <c r="N473" i="2"/>
  <c r="R473" i="2"/>
  <c r="S473" i="2"/>
  <c r="X473" i="2"/>
  <c r="Y473" i="2"/>
  <c r="F474" i="2"/>
  <c r="G474" i="2"/>
  <c r="M474" i="2"/>
  <c r="N474" i="2"/>
  <c r="R474" i="2"/>
  <c r="S474" i="2"/>
  <c r="X474" i="2"/>
  <c r="Y474" i="2"/>
  <c r="F475" i="2"/>
  <c r="G475" i="2"/>
  <c r="M475" i="2"/>
  <c r="N475" i="2"/>
  <c r="R475" i="2"/>
  <c r="S475" i="2"/>
  <c r="X475" i="2"/>
  <c r="Y475" i="2"/>
  <c r="F476" i="2"/>
  <c r="G476" i="2"/>
  <c r="M476" i="2"/>
  <c r="N476" i="2"/>
  <c r="R476" i="2"/>
  <c r="S476" i="2"/>
  <c r="X476" i="2"/>
  <c r="Y476" i="2"/>
  <c r="F477" i="2"/>
  <c r="G477" i="2"/>
  <c r="M477" i="2"/>
  <c r="N477" i="2"/>
  <c r="R477" i="2"/>
  <c r="S477" i="2"/>
  <c r="X477" i="2"/>
  <c r="Y477" i="2"/>
  <c r="F478" i="2"/>
  <c r="G478" i="2"/>
  <c r="M478" i="2"/>
  <c r="N478" i="2"/>
  <c r="R478" i="2"/>
  <c r="S478" i="2"/>
  <c r="X478" i="2"/>
  <c r="Y478" i="2"/>
  <c r="F479" i="2"/>
  <c r="G479" i="2"/>
  <c r="M479" i="2"/>
  <c r="N479" i="2"/>
  <c r="R479" i="2"/>
  <c r="S479" i="2"/>
  <c r="X479" i="2"/>
  <c r="Y479" i="2"/>
  <c r="F480" i="2"/>
  <c r="G480" i="2"/>
  <c r="M480" i="2"/>
  <c r="N480" i="2"/>
  <c r="R480" i="2"/>
  <c r="S480" i="2"/>
  <c r="X480" i="2"/>
  <c r="Y480" i="2"/>
  <c r="F481" i="2"/>
  <c r="G481" i="2"/>
  <c r="M481" i="2"/>
  <c r="N481" i="2"/>
  <c r="R481" i="2"/>
  <c r="S481" i="2"/>
  <c r="X481" i="2"/>
  <c r="Y481" i="2"/>
  <c r="F482" i="2"/>
  <c r="G482" i="2"/>
  <c r="M482" i="2"/>
  <c r="N482" i="2"/>
  <c r="R482" i="2"/>
  <c r="S482" i="2"/>
  <c r="X482" i="2"/>
  <c r="Y482" i="2"/>
  <c r="F483" i="2"/>
  <c r="G483" i="2"/>
  <c r="M483" i="2"/>
  <c r="N483" i="2"/>
  <c r="R483" i="2"/>
  <c r="S483" i="2"/>
  <c r="X483" i="2"/>
  <c r="Y483" i="2"/>
  <c r="F484" i="2"/>
  <c r="G484" i="2"/>
  <c r="M484" i="2"/>
  <c r="N484" i="2"/>
  <c r="R484" i="2"/>
  <c r="S484" i="2"/>
  <c r="X484" i="2"/>
  <c r="Y484" i="2"/>
  <c r="F485" i="2"/>
  <c r="G485" i="2"/>
  <c r="M485" i="2"/>
  <c r="N485" i="2"/>
  <c r="R485" i="2"/>
  <c r="S485" i="2"/>
  <c r="X485" i="2"/>
  <c r="Y485" i="2"/>
  <c r="F486" i="2"/>
  <c r="G486" i="2"/>
  <c r="M486" i="2"/>
  <c r="N486" i="2"/>
  <c r="R486" i="2"/>
  <c r="S486" i="2"/>
  <c r="X486" i="2"/>
  <c r="Y486" i="2"/>
  <c r="F487" i="2"/>
  <c r="G487" i="2"/>
  <c r="M487" i="2"/>
  <c r="N487" i="2"/>
  <c r="R487" i="2"/>
  <c r="S487" i="2"/>
  <c r="X487" i="2"/>
  <c r="Y487" i="2"/>
  <c r="F488" i="2"/>
  <c r="G488" i="2"/>
  <c r="M488" i="2"/>
  <c r="N488" i="2"/>
  <c r="R488" i="2"/>
  <c r="S488" i="2"/>
  <c r="X488" i="2"/>
  <c r="Y488" i="2"/>
  <c r="F489" i="2"/>
  <c r="G489" i="2"/>
  <c r="M489" i="2"/>
  <c r="N489" i="2"/>
  <c r="R489" i="2"/>
  <c r="S489" i="2"/>
  <c r="X489" i="2"/>
  <c r="Y489" i="2"/>
  <c r="F490" i="2"/>
  <c r="G490" i="2"/>
  <c r="M490" i="2"/>
  <c r="N490" i="2"/>
  <c r="R490" i="2"/>
  <c r="S490" i="2"/>
  <c r="X490" i="2"/>
  <c r="Y490" i="2"/>
  <c r="F491" i="2"/>
  <c r="G491" i="2"/>
  <c r="M491" i="2"/>
  <c r="N491" i="2"/>
  <c r="R491" i="2"/>
  <c r="S491" i="2"/>
  <c r="X491" i="2"/>
  <c r="Y491" i="2"/>
  <c r="F492" i="2"/>
  <c r="G492" i="2"/>
  <c r="M492" i="2"/>
  <c r="N492" i="2"/>
  <c r="R492" i="2"/>
  <c r="S492" i="2"/>
  <c r="X492" i="2"/>
  <c r="Y492" i="2"/>
  <c r="J494" i="2"/>
  <c r="M494" i="2" s="1"/>
  <c r="K494" i="2"/>
  <c r="L494" i="2"/>
  <c r="O494" i="2"/>
  <c r="P494" i="2"/>
  <c r="Q494" i="2"/>
  <c r="R494" i="2"/>
  <c r="S494" i="2" s="1"/>
  <c r="U494" i="2"/>
  <c r="V494" i="2"/>
  <c r="W494" i="2"/>
  <c r="Z494" i="2"/>
  <c r="AA494" i="2"/>
  <c r="AB494" i="2"/>
  <c r="E496" i="2"/>
  <c r="G496" i="2"/>
  <c r="F498" i="2"/>
  <c r="G498" i="2"/>
  <c r="M498" i="2"/>
  <c r="N498" i="2"/>
  <c r="R498" i="2"/>
  <c r="S498" i="2" s="1"/>
  <c r="X498" i="2"/>
  <c r="Y498" i="2" s="1"/>
  <c r="F499" i="2"/>
  <c r="G499" i="2"/>
  <c r="M499" i="2"/>
  <c r="N499" i="2" s="1"/>
  <c r="R499" i="2"/>
  <c r="S499" i="2"/>
  <c r="X499" i="2"/>
  <c r="Y499" i="2"/>
  <c r="F500" i="2"/>
  <c r="G500" i="2"/>
  <c r="M500" i="2"/>
  <c r="N500" i="2" s="1"/>
  <c r="R500" i="2"/>
  <c r="S500" i="2"/>
  <c r="X500" i="2"/>
  <c r="Y500" i="2" s="1"/>
  <c r="F501" i="2"/>
  <c r="G501" i="2"/>
  <c r="M501" i="2"/>
  <c r="N501" i="2" s="1"/>
  <c r="R501" i="2"/>
  <c r="S501" i="2"/>
  <c r="X501" i="2"/>
  <c r="Y501" i="2"/>
  <c r="F502" i="2"/>
  <c r="G502" i="2"/>
  <c r="M502" i="2"/>
  <c r="N502" i="2" s="1"/>
  <c r="R502" i="2"/>
  <c r="S502" i="2"/>
  <c r="X502" i="2"/>
  <c r="Y502" i="2"/>
  <c r="F503" i="2"/>
  <c r="G503" i="2"/>
  <c r="M503" i="2"/>
  <c r="N503" i="2" s="1"/>
  <c r="R503" i="2"/>
  <c r="S503" i="2"/>
  <c r="X503" i="2"/>
  <c r="Y503" i="2"/>
  <c r="F504" i="2"/>
  <c r="G504" i="2"/>
  <c r="M504" i="2"/>
  <c r="N504" i="2"/>
  <c r="R504" i="2"/>
  <c r="S504" i="2" s="1"/>
  <c r="X504" i="2"/>
  <c r="Y504" i="2"/>
  <c r="F505" i="2"/>
  <c r="G505" i="2"/>
  <c r="M505" i="2"/>
  <c r="N505" i="2" s="1"/>
  <c r="R505" i="2"/>
  <c r="S505" i="2"/>
  <c r="X505" i="2"/>
  <c r="Y505" i="2"/>
  <c r="F506" i="2"/>
  <c r="G506" i="2"/>
  <c r="M506" i="2"/>
  <c r="N506" i="2"/>
  <c r="R506" i="2"/>
  <c r="S506" i="2" s="1"/>
  <c r="X506" i="2"/>
  <c r="Y506" i="2" s="1"/>
  <c r="F507" i="2"/>
  <c r="G507" i="2"/>
  <c r="M507" i="2"/>
  <c r="N507" i="2" s="1"/>
  <c r="R507" i="2"/>
  <c r="S507" i="2"/>
  <c r="X507" i="2"/>
  <c r="Y507" i="2"/>
  <c r="F508" i="2"/>
  <c r="G508" i="2"/>
  <c r="M508" i="2"/>
  <c r="N508" i="2" s="1"/>
  <c r="R508" i="2"/>
  <c r="S508" i="2"/>
  <c r="X508" i="2"/>
  <c r="Y508" i="2" s="1"/>
  <c r="F509" i="2"/>
  <c r="G509" i="2"/>
  <c r="M509" i="2"/>
  <c r="N509" i="2" s="1"/>
  <c r="R509" i="2"/>
  <c r="S509" i="2"/>
  <c r="X509" i="2"/>
  <c r="Y509" i="2"/>
  <c r="F510" i="2"/>
  <c r="G510" i="2"/>
  <c r="M510" i="2"/>
  <c r="N510" i="2" s="1"/>
  <c r="R510" i="2"/>
  <c r="S510" i="2"/>
  <c r="X510" i="2"/>
  <c r="Y510" i="2"/>
  <c r="F511" i="2"/>
  <c r="G511" i="2"/>
  <c r="M511" i="2"/>
  <c r="N511" i="2" s="1"/>
  <c r="R511" i="2"/>
  <c r="S511" i="2"/>
  <c r="X511" i="2"/>
  <c r="Y511" i="2"/>
  <c r="F512" i="2"/>
  <c r="G512" i="2"/>
  <c r="M512" i="2"/>
  <c r="N512" i="2"/>
  <c r="R512" i="2"/>
  <c r="S512" i="2" s="1"/>
  <c r="X512" i="2"/>
  <c r="Y512" i="2"/>
  <c r="F513" i="2"/>
  <c r="G513" i="2"/>
  <c r="M513" i="2"/>
  <c r="N513" i="2" s="1"/>
  <c r="R513" i="2"/>
  <c r="S513" i="2" s="1"/>
  <c r="X513" i="2"/>
  <c r="Y513" i="2"/>
  <c r="F514" i="2"/>
  <c r="G514" i="2"/>
  <c r="M514" i="2"/>
  <c r="N514" i="2" s="1"/>
  <c r="R514" i="2"/>
  <c r="S514" i="2"/>
  <c r="X514" i="2"/>
  <c r="Y514" i="2" s="1"/>
  <c r="F515" i="2"/>
  <c r="G515" i="2"/>
  <c r="M515" i="2"/>
  <c r="N515" i="2" s="1"/>
  <c r="R515" i="2"/>
  <c r="S515" i="2"/>
  <c r="X515" i="2"/>
  <c r="Y515" i="2"/>
  <c r="F516" i="2"/>
  <c r="G516" i="2"/>
  <c r="M516" i="2"/>
  <c r="N516" i="2"/>
  <c r="R516" i="2"/>
  <c r="S516" i="2" s="1"/>
  <c r="X516" i="2"/>
  <c r="Y516" i="2" s="1"/>
  <c r="F517" i="2"/>
  <c r="G517" i="2"/>
  <c r="M517" i="2"/>
  <c r="N517" i="2"/>
  <c r="R517" i="2"/>
  <c r="S517" i="2" s="1"/>
  <c r="X517" i="2"/>
  <c r="Y517" i="2"/>
  <c r="J519" i="2"/>
  <c r="N519" i="2" s="1"/>
  <c r="K519" i="2"/>
  <c r="L519" i="2"/>
  <c r="M519" i="2"/>
  <c r="O519" i="2"/>
  <c r="P519" i="2"/>
  <c r="Q519" i="2"/>
  <c r="U519" i="2"/>
  <c r="Y519" i="2" s="1"/>
  <c r="V519" i="2"/>
  <c r="W519" i="2"/>
  <c r="X519" i="2"/>
  <c r="Z519" i="2"/>
  <c r="AA519" i="2"/>
  <c r="AB519" i="2"/>
  <c r="E521" i="2"/>
  <c r="G521" i="2"/>
  <c r="F523" i="2"/>
  <c r="G523" i="2"/>
  <c r="M523" i="2"/>
  <c r="N523" i="2"/>
  <c r="R523" i="2"/>
  <c r="S523" i="2"/>
  <c r="X523" i="2"/>
  <c r="Y523" i="2"/>
  <c r="F524" i="2"/>
  <c r="G524" i="2"/>
  <c r="M524" i="2"/>
  <c r="N524" i="2"/>
  <c r="R524" i="2"/>
  <c r="S524" i="2"/>
  <c r="X524" i="2"/>
  <c r="Y524" i="2"/>
  <c r="F525" i="2"/>
  <c r="G525" i="2"/>
  <c r="M525" i="2"/>
  <c r="N525" i="2"/>
  <c r="R525" i="2"/>
  <c r="S525" i="2"/>
  <c r="X525" i="2"/>
  <c r="Y525" i="2"/>
  <c r="F526" i="2"/>
  <c r="G526" i="2"/>
  <c r="M526" i="2"/>
  <c r="N526" i="2"/>
  <c r="R526" i="2"/>
  <c r="S526" i="2"/>
  <c r="X526" i="2"/>
  <c r="Y526" i="2"/>
  <c r="F527" i="2"/>
  <c r="G527" i="2"/>
  <c r="M527" i="2"/>
  <c r="N527" i="2"/>
  <c r="R527" i="2"/>
  <c r="S527" i="2"/>
  <c r="X527" i="2"/>
  <c r="Y527" i="2"/>
  <c r="F528" i="2"/>
  <c r="G528" i="2"/>
  <c r="M528" i="2"/>
  <c r="N528" i="2"/>
  <c r="R528" i="2"/>
  <c r="S528" i="2"/>
  <c r="X528" i="2"/>
  <c r="Y528" i="2"/>
  <c r="F529" i="2"/>
  <c r="G529" i="2"/>
  <c r="M529" i="2"/>
  <c r="N529" i="2"/>
  <c r="R529" i="2"/>
  <c r="S529" i="2"/>
  <c r="X529" i="2"/>
  <c r="Y529" i="2"/>
  <c r="F530" i="2"/>
  <c r="G530" i="2"/>
  <c r="M530" i="2"/>
  <c r="N530" i="2"/>
  <c r="R530" i="2"/>
  <c r="S530" i="2"/>
  <c r="X530" i="2"/>
  <c r="Y530" i="2"/>
  <c r="F531" i="2"/>
  <c r="G531" i="2"/>
  <c r="M531" i="2"/>
  <c r="N531" i="2"/>
  <c r="R531" i="2"/>
  <c r="S531" i="2"/>
  <c r="X531" i="2"/>
  <c r="Y531" i="2"/>
  <c r="F532" i="2"/>
  <c r="G532" i="2"/>
  <c r="M532" i="2"/>
  <c r="N532" i="2"/>
  <c r="R532" i="2"/>
  <c r="S532" i="2"/>
  <c r="X532" i="2"/>
  <c r="Y532" i="2"/>
  <c r="F533" i="2"/>
  <c r="G533" i="2"/>
  <c r="M533" i="2"/>
  <c r="N533" i="2"/>
  <c r="R533" i="2"/>
  <c r="S533" i="2"/>
  <c r="X533" i="2"/>
  <c r="Y533" i="2"/>
  <c r="F534" i="2"/>
  <c r="G534" i="2"/>
  <c r="M534" i="2"/>
  <c r="N534" i="2"/>
  <c r="R534" i="2"/>
  <c r="S534" i="2"/>
  <c r="X534" i="2"/>
  <c r="Y534" i="2"/>
  <c r="F535" i="2"/>
  <c r="G535" i="2"/>
  <c r="M535" i="2"/>
  <c r="N535" i="2"/>
  <c r="R535" i="2"/>
  <c r="S535" i="2"/>
  <c r="X535" i="2"/>
  <c r="Y535" i="2"/>
  <c r="F536" i="2"/>
  <c r="G536" i="2"/>
  <c r="M536" i="2"/>
  <c r="N536" i="2"/>
  <c r="R536" i="2"/>
  <c r="S536" i="2"/>
  <c r="X536" i="2"/>
  <c r="Y536" i="2"/>
  <c r="F537" i="2"/>
  <c r="G537" i="2"/>
  <c r="M537" i="2"/>
  <c r="N537" i="2"/>
  <c r="R537" i="2"/>
  <c r="S537" i="2"/>
  <c r="X537" i="2"/>
  <c r="Y537" i="2"/>
  <c r="F538" i="2"/>
  <c r="G538" i="2"/>
  <c r="M538" i="2"/>
  <c r="N538" i="2"/>
  <c r="R538" i="2"/>
  <c r="S538" i="2"/>
  <c r="X538" i="2"/>
  <c r="Y538" i="2"/>
  <c r="F539" i="2"/>
  <c r="G539" i="2"/>
  <c r="M539" i="2"/>
  <c r="N539" i="2"/>
  <c r="R539" i="2"/>
  <c r="S539" i="2"/>
  <c r="X539" i="2"/>
  <c r="Y539" i="2"/>
  <c r="F540" i="2"/>
  <c r="G540" i="2"/>
  <c r="M540" i="2"/>
  <c r="N540" i="2"/>
  <c r="R540" i="2"/>
  <c r="S540" i="2"/>
  <c r="X540" i="2"/>
  <c r="Y540" i="2"/>
  <c r="F541" i="2"/>
  <c r="G541" i="2"/>
  <c r="M541" i="2"/>
  <c r="N541" i="2"/>
  <c r="R541" i="2"/>
  <c r="S541" i="2"/>
  <c r="X541" i="2"/>
  <c r="Y541" i="2"/>
  <c r="F542" i="2"/>
  <c r="G542" i="2"/>
  <c r="M542" i="2"/>
  <c r="N542" i="2"/>
  <c r="R542" i="2"/>
  <c r="S542" i="2"/>
  <c r="X542" i="2"/>
  <c r="Y542" i="2"/>
  <c r="F543" i="2"/>
  <c r="G543" i="2"/>
  <c r="M543" i="2"/>
  <c r="N543" i="2"/>
  <c r="R543" i="2"/>
  <c r="S543" i="2"/>
  <c r="X543" i="2"/>
  <c r="Y543" i="2"/>
  <c r="J545" i="2"/>
  <c r="K545" i="2"/>
  <c r="L545" i="2"/>
  <c r="O545" i="2"/>
  <c r="P545" i="2"/>
  <c r="Q545" i="2"/>
  <c r="R545" i="2"/>
  <c r="S545" i="2"/>
  <c r="U545" i="2"/>
  <c r="X545" i="2" s="1"/>
  <c r="Y545" i="2" s="1"/>
  <c r="V545" i="2"/>
  <c r="W545" i="2"/>
  <c r="Z545" i="2"/>
  <c r="AA545" i="2"/>
  <c r="AB545" i="2"/>
  <c r="E547" i="2"/>
  <c r="G547" i="2"/>
  <c r="F549" i="2"/>
  <c r="G549" i="2"/>
  <c r="M549" i="2"/>
  <c r="N549" i="2" s="1"/>
  <c r="R549" i="2"/>
  <c r="S549" i="2"/>
  <c r="X549" i="2"/>
  <c r="Y549" i="2" s="1"/>
  <c r="F550" i="2"/>
  <c r="G550" i="2"/>
  <c r="M550" i="2"/>
  <c r="N550" i="2" s="1"/>
  <c r="R550" i="2"/>
  <c r="S550" i="2"/>
  <c r="X550" i="2"/>
  <c r="Y550" i="2" s="1"/>
  <c r="F551" i="2"/>
  <c r="G551" i="2"/>
  <c r="M551" i="2"/>
  <c r="N551" i="2" s="1"/>
  <c r="R551" i="2"/>
  <c r="S551" i="2"/>
  <c r="X551" i="2"/>
  <c r="Y551" i="2" s="1"/>
  <c r="F552" i="2"/>
  <c r="G552" i="2"/>
  <c r="M552" i="2"/>
  <c r="N552" i="2" s="1"/>
  <c r="R552" i="2"/>
  <c r="S552" i="2"/>
  <c r="X552" i="2"/>
  <c r="Y552" i="2"/>
  <c r="F553" i="2"/>
  <c r="G553" i="2"/>
  <c r="M553" i="2"/>
  <c r="N553" i="2" s="1"/>
  <c r="R553" i="2"/>
  <c r="S553" i="2" s="1"/>
  <c r="X553" i="2"/>
  <c r="Y553" i="2"/>
  <c r="F554" i="2"/>
  <c r="G554" i="2"/>
  <c r="M554" i="2"/>
  <c r="N554" i="2" s="1"/>
  <c r="R554" i="2"/>
  <c r="S554" i="2" s="1"/>
  <c r="X554" i="2"/>
  <c r="Y554" i="2"/>
  <c r="F555" i="2"/>
  <c r="G555" i="2"/>
  <c r="M555" i="2"/>
  <c r="N555" i="2" s="1"/>
  <c r="R555" i="2"/>
  <c r="S555" i="2"/>
  <c r="X555" i="2"/>
  <c r="Y555" i="2"/>
  <c r="F556" i="2"/>
  <c r="G556" i="2"/>
  <c r="M556" i="2"/>
  <c r="N556" i="2" s="1"/>
  <c r="R556" i="2"/>
  <c r="S556" i="2"/>
  <c r="X556" i="2"/>
  <c r="Y556" i="2"/>
  <c r="F557" i="2"/>
  <c r="G557" i="2"/>
  <c r="M557" i="2"/>
  <c r="N557" i="2" s="1"/>
  <c r="R557" i="2"/>
  <c r="S557" i="2"/>
  <c r="X557" i="2"/>
  <c r="Y557" i="2"/>
  <c r="F558" i="2"/>
  <c r="G558" i="2"/>
  <c r="M558" i="2"/>
  <c r="N558" i="2" s="1"/>
  <c r="R558" i="2"/>
  <c r="S558" i="2" s="1"/>
  <c r="X558" i="2"/>
  <c r="Y558" i="2"/>
  <c r="F559" i="2"/>
  <c r="G559" i="2"/>
  <c r="M559" i="2"/>
  <c r="N559" i="2" s="1"/>
  <c r="R559" i="2"/>
  <c r="S559" i="2"/>
  <c r="X559" i="2"/>
  <c r="Y559" i="2" s="1"/>
  <c r="F560" i="2"/>
  <c r="G560" i="2"/>
  <c r="M560" i="2"/>
  <c r="N560" i="2" s="1"/>
  <c r="R560" i="2"/>
  <c r="S560" i="2"/>
  <c r="X560" i="2"/>
  <c r="Y560" i="2"/>
  <c r="F561" i="2"/>
  <c r="G561" i="2"/>
  <c r="M561" i="2"/>
  <c r="N561" i="2" s="1"/>
  <c r="R561" i="2"/>
  <c r="S561" i="2" s="1"/>
  <c r="X561" i="2"/>
  <c r="Y561" i="2" s="1"/>
  <c r="F562" i="2"/>
  <c r="G562" i="2"/>
  <c r="M562" i="2"/>
  <c r="N562" i="2" s="1"/>
  <c r="R562" i="2"/>
  <c r="S562" i="2" s="1"/>
  <c r="X562" i="2"/>
  <c r="Y562" i="2"/>
  <c r="F563" i="2"/>
  <c r="G563" i="2"/>
  <c r="M563" i="2"/>
  <c r="N563" i="2" s="1"/>
  <c r="R563" i="2"/>
  <c r="S563" i="2" s="1"/>
  <c r="X563" i="2"/>
  <c r="Y563" i="2"/>
  <c r="F564" i="2"/>
  <c r="G564" i="2"/>
  <c r="M564" i="2"/>
  <c r="N564" i="2" s="1"/>
  <c r="R564" i="2"/>
  <c r="S564" i="2"/>
  <c r="X564" i="2"/>
  <c r="Y564" i="2" s="1"/>
  <c r="F565" i="2"/>
  <c r="G565" i="2"/>
  <c r="M565" i="2"/>
  <c r="N565" i="2" s="1"/>
  <c r="R565" i="2"/>
  <c r="S565" i="2" s="1"/>
  <c r="X565" i="2"/>
  <c r="Y565" i="2"/>
  <c r="F566" i="2"/>
  <c r="G566" i="2"/>
  <c r="M566" i="2"/>
  <c r="N566" i="2" s="1"/>
  <c r="R566" i="2"/>
  <c r="S566" i="2"/>
  <c r="X566" i="2"/>
  <c r="Y566" i="2"/>
  <c r="F567" i="2"/>
  <c r="G567" i="2"/>
  <c r="M567" i="2"/>
  <c r="N567" i="2" s="1"/>
  <c r="R567" i="2"/>
  <c r="S567" i="2"/>
  <c r="X567" i="2"/>
  <c r="Y567" i="2"/>
  <c r="F568" i="2"/>
  <c r="G568" i="2"/>
  <c r="M568" i="2"/>
  <c r="N568" i="2" s="1"/>
  <c r="R568" i="2"/>
  <c r="S568" i="2" s="1"/>
  <c r="X568" i="2"/>
  <c r="Y568" i="2" s="1"/>
  <c r="F569" i="2"/>
  <c r="G569" i="2"/>
  <c r="M569" i="2"/>
  <c r="N569" i="2" s="1"/>
  <c r="R569" i="2"/>
  <c r="S569" i="2"/>
  <c r="X569" i="2"/>
  <c r="Y569" i="2"/>
  <c r="F570" i="2"/>
  <c r="G570" i="2"/>
  <c r="M570" i="2"/>
  <c r="N570" i="2" s="1"/>
  <c r="R570" i="2"/>
  <c r="S570" i="2"/>
  <c r="X570" i="2"/>
  <c r="Y570" i="2"/>
  <c r="F571" i="2"/>
  <c r="G571" i="2"/>
  <c r="M571" i="2"/>
  <c r="N571" i="2" s="1"/>
  <c r="R571" i="2"/>
  <c r="S571" i="2"/>
  <c r="X571" i="2"/>
  <c r="Y571" i="2"/>
  <c r="F572" i="2"/>
  <c r="G572" i="2"/>
  <c r="M572" i="2"/>
  <c r="N572" i="2" s="1"/>
  <c r="R572" i="2"/>
  <c r="S572" i="2"/>
  <c r="X572" i="2"/>
  <c r="Y572" i="2"/>
  <c r="F573" i="2"/>
  <c r="G573" i="2"/>
  <c r="M573" i="2"/>
  <c r="N573" i="2" s="1"/>
  <c r="R573" i="2"/>
  <c r="S573" i="2"/>
  <c r="X573" i="2"/>
  <c r="Y573" i="2"/>
  <c r="F574" i="2"/>
  <c r="G574" i="2"/>
  <c r="M574" i="2"/>
  <c r="N574" i="2"/>
  <c r="R574" i="2"/>
  <c r="S574" i="2" s="1"/>
  <c r="X574" i="2"/>
  <c r="Y574" i="2"/>
  <c r="F575" i="2"/>
  <c r="G575" i="2"/>
  <c r="M575" i="2"/>
  <c r="N575" i="2" s="1"/>
  <c r="R575" i="2"/>
  <c r="S575" i="2" s="1"/>
  <c r="X575" i="2"/>
  <c r="Y575" i="2" s="1"/>
  <c r="F576" i="2"/>
  <c r="G576" i="2"/>
  <c r="M576" i="2"/>
  <c r="N576" i="2" s="1"/>
  <c r="R576" i="2"/>
  <c r="S576" i="2" s="1"/>
  <c r="X576" i="2"/>
  <c r="Y576" i="2"/>
  <c r="F577" i="2"/>
  <c r="G577" i="2"/>
  <c r="M577" i="2"/>
  <c r="N577" i="2" s="1"/>
  <c r="R577" i="2"/>
  <c r="S577" i="2" s="1"/>
  <c r="X577" i="2"/>
  <c r="Y577" i="2"/>
  <c r="F578" i="2"/>
  <c r="G578" i="2"/>
  <c r="M578" i="2"/>
  <c r="N578" i="2" s="1"/>
  <c r="R578" i="2"/>
  <c r="S578" i="2"/>
  <c r="X578" i="2"/>
  <c r="Y578" i="2"/>
  <c r="F579" i="2"/>
  <c r="G579" i="2"/>
  <c r="M579" i="2"/>
  <c r="N579" i="2"/>
  <c r="R579" i="2"/>
  <c r="S579" i="2" s="1"/>
  <c r="X579" i="2"/>
  <c r="Y579" i="2"/>
  <c r="F580" i="2"/>
  <c r="G580" i="2"/>
  <c r="M580" i="2"/>
  <c r="N580" i="2" s="1"/>
  <c r="R580" i="2"/>
  <c r="S580" i="2" s="1"/>
  <c r="X580" i="2"/>
  <c r="Y580" i="2" s="1"/>
  <c r="F581" i="2"/>
  <c r="G581" i="2"/>
  <c r="M581" i="2"/>
  <c r="N581" i="2" s="1"/>
  <c r="R581" i="2"/>
  <c r="S581" i="2"/>
  <c r="X581" i="2"/>
  <c r="Y581" i="2"/>
  <c r="F582" i="2"/>
  <c r="G582" i="2"/>
  <c r="M582" i="2"/>
  <c r="N582" i="2" s="1"/>
  <c r="R582" i="2"/>
  <c r="S582" i="2"/>
  <c r="X582" i="2"/>
  <c r="Y582" i="2"/>
  <c r="F583" i="2"/>
  <c r="G583" i="2"/>
  <c r="M583" i="2"/>
  <c r="N583" i="2"/>
  <c r="R583" i="2"/>
  <c r="S583" i="2" s="1"/>
  <c r="X583" i="2"/>
  <c r="Y583" i="2" s="1"/>
  <c r="J585" i="2"/>
  <c r="N585" i="2" s="1"/>
  <c r="K585" i="2"/>
  <c r="L585" i="2"/>
  <c r="M585" i="2"/>
  <c r="O585" i="2"/>
  <c r="R585" i="2" s="1"/>
  <c r="S585" i="2" s="1"/>
  <c r="P585" i="2"/>
  <c r="Q585" i="2"/>
  <c r="U585" i="2"/>
  <c r="V585" i="2"/>
  <c r="W585" i="2"/>
  <c r="X585" i="2"/>
  <c r="Y585" i="2" s="1"/>
  <c r="Z585" i="2"/>
  <c r="AA585" i="2"/>
  <c r="AB585" i="2"/>
  <c r="E587" i="2"/>
  <c r="G587" i="2"/>
  <c r="F589" i="2"/>
  <c r="G589" i="2"/>
  <c r="M589" i="2"/>
  <c r="N589" i="2"/>
  <c r="R589" i="2"/>
  <c r="S589" i="2"/>
  <c r="X589" i="2"/>
  <c r="Y589" i="2"/>
  <c r="J591" i="2"/>
  <c r="M591" i="2" s="1"/>
  <c r="K591" i="2"/>
  <c r="L591" i="2"/>
  <c r="N591" i="2"/>
  <c r="O591" i="2"/>
  <c r="P591" i="2"/>
  <c r="Q591" i="2"/>
  <c r="R591" i="2"/>
  <c r="S591" i="2"/>
  <c r="U591" i="2"/>
  <c r="X591" i="2" s="1"/>
  <c r="V591" i="2"/>
  <c r="W591" i="2"/>
  <c r="Y591" i="2"/>
  <c r="Z591" i="2"/>
  <c r="AA591" i="2"/>
  <c r="AB591" i="2"/>
  <c r="E593" i="2"/>
  <c r="G593" i="2"/>
  <c r="F595" i="2"/>
  <c r="G595" i="2"/>
  <c r="M595" i="2"/>
  <c r="N595" i="2" s="1"/>
  <c r="R595" i="2"/>
  <c r="S595" i="2"/>
  <c r="X595" i="2"/>
  <c r="Y595" i="2"/>
  <c r="F596" i="2"/>
  <c r="G596" i="2"/>
  <c r="M596" i="2"/>
  <c r="N596" i="2" s="1"/>
  <c r="R596" i="2"/>
  <c r="S596" i="2"/>
  <c r="X596" i="2"/>
  <c r="Y596" i="2"/>
  <c r="F597" i="2"/>
  <c r="G597" i="2"/>
  <c r="M597" i="2"/>
  <c r="N597" i="2"/>
  <c r="R597" i="2"/>
  <c r="S597" i="2" s="1"/>
  <c r="X597" i="2"/>
  <c r="Y597" i="2"/>
  <c r="F598" i="2"/>
  <c r="G598" i="2"/>
  <c r="M598" i="2"/>
  <c r="N598" i="2"/>
  <c r="R598" i="2"/>
  <c r="S598" i="2"/>
  <c r="X598" i="2"/>
  <c r="Y598" i="2"/>
  <c r="F599" i="2"/>
  <c r="G599" i="2"/>
  <c r="M599" i="2"/>
  <c r="N599" i="2"/>
  <c r="R599" i="2"/>
  <c r="S599" i="2" s="1"/>
  <c r="X599" i="2"/>
  <c r="Y599" i="2"/>
  <c r="F600" i="2"/>
  <c r="G600" i="2"/>
  <c r="M600" i="2"/>
  <c r="N600" i="2" s="1"/>
  <c r="R600" i="2"/>
  <c r="S600" i="2"/>
  <c r="X600" i="2"/>
  <c r="Y600" i="2"/>
  <c r="F601" i="2"/>
  <c r="G601" i="2"/>
  <c r="M601" i="2"/>
  <c r="N601" i="2"/>
  <c r="R601" i="2"/>
  <c r="S601" i="2"/>
  <c r="X601" i="2"/>
  <c r="Y601" i="2"/>
  <c r="F602" i="2"/>
  <c r="G602" i="2"/>
  <c r="M602" i="2"/>
  <c r="N602" i="2"/>
  <c r="R602" i="2"/>
  <c r="S602" i="2"/>
  <c r="X602" i="2"/>
  <c r="Y602" i="2"/>
  <c r="F603" i="2"/>
  <c r="G603" i="2"/>
  <c r="M603" i="2"/>
  <c r="N603" i="2"/>
  <c r="R603" i="2"/>
  <c r="S603" i="2" s="1"/>
  <c r="X603" i="2"/>
  <c r="Y603" i="2"/>
  <c r="F604" i="2"/>
  <c r="G604" i="2"/>
  <c r="M604" i="2"/>
  <c r="N604" i="2"/>
  <c r="R604" i="2"/>
  <c r="S604" i="2"/>
  <c r="X604" i="2"/>
  <c r="Y604" i="2"/>
  <c r="F605" i="2"/>
  <c r="G605" i="2"/>
  <c r="M605" i="2"/>
  <c r="N605" i="2"/>
  <c r="R605" i="2"/>
  <c r="S605" i="2" s="1"/>
  <c r="X605" i="2"/>
  <c r="Y605" i="2"/>
  <c r="F606" i="2"/>
  <c r="G606" i="2"/>
  <c r="M606" i="2"/>
  <c r="N606" i="2"/>
  <c r="R606" i="2"/>
  <c r="S606" i="2" s="1"/>
  <c r="X606" i="2"/>
  <c r="Y606" i="2"/>
  <c r="F607" i="2"/>
  <c r="G607" i="2"/>
  <c r="M607" i="2"/>
  <c r="N607" i="2"/>
  <c r="R607" i="2"/>
  <c r="S607" i="2" s="1"/>
  <c r="X607" i="2"/>
  <c r="Y607" i="2"/>
  <c r="F608" i="2"/>
  <c r="G608" i="2"/>
  <c r="M608" i="2"/>
  <c r="N608" i="2" s="1"/>
  <c r="R608" i="2"/>
  <c r="S608" i="2"/>
  <c r="X608" i="2"/>
  <c r="Y608" i="2"/>
  <c r="F609" i="2"/>
  <c r="G609" i="2"/>
  <c r="M609" i="2"/>
  <c r="N609" i="2"/>
  <c r="R609" i="2"/>
  <c r="S609" i="2" s="1"/>
  <c r="X609" i="2"/>
  <c r="Y609" i="2"/>
  <c r="F610" i="2"/>
  <c r="G610" i="2"/>
  <c r="M610" i="2"/>
  <c r="N610" i="2" s="1"/>
  <c r="R610" i="2"/>
  <c r="S610" i="2"/>
  <c r="X610" i="2"/>
  <c r="Y610" i="2"/>
  <c r="F611" i="2"/>
  <c r="G611" i="2"/>
  <c r="M611" i="2"/>
  <c r="N611" i="2" s="1"/>
  <c r="R611" i="2"/>
  <c r="S611" i="2" s="1"/>
  <c r="X611" i="2"/>
  <c r="Y611" i="2"/>
  <c r="F612" i="2"/>
  <c r="G612" i="2"/>
  <c r="M612" i="2"/>
  <c r="N612" i="2"/>
  <c r="R612" i="2"/>
  <c r="S612" i="2"/>
  <c r="X612" i="2"/>
  <c r="Y612" i="2"/>
  <c r="J614" i="2"/>
  <c r="K614" i="2"/>
  <c r="L614" i="2"/>
  <c r="M614" i="2" s="1"/>
  <c r="N614" i="2" s="1"/>
  <c r="O614" i="2"/>
  <c r="R614" i="2" s="1"/>
  <c r="P614" i="2"/>
  <c r="Q614" i="2"/>
  <c r="S614" i="2"/>
  <c r="U614" i="2"/>
  <c r="V614" i="2"/>
  <c r="W614" i="2"/>
  <c r="X614" i="2"/>
  <c r="Y614" i="2"/>
  <c r="Z614" i="2"/>
  <c r="AA614" i="2"/>
  <c r="AB614" i="2"/>
  <c r="E616" i="2"/>
  <c r="G616" i="2"/>
  <c r="F618" i="2"/>
  <c r="G618" i="2"/>
  <c r="M618" i="2"/>
  <c r="N618" i="2"/>
  <c r="R618" i="2"/>
  <c r="S618" i="2"/>
  <c r="X618" i="2"/>
  <c r="Y618" i="2" s="1"/>
  <c r="F619" i="2"/>
  <c r="G619" i="2"/>
  <c r="M619" i="2"/>
  <c r="N619" i="2"/>
  <c r="R619" i="2"/>
  <c r="S619" i="2"/>
  <c r="X619" i="2"/>
  <c r="Y619" i="2"/>
  <c r="F620" i="2"/>
  <c r="G620" i="2"/>
  <c r="M620" i="2"/>
  <c r="N620" i="2"/>
  <c r="R620" i="2"/>
  <c r="S620" i="2"/>
  <c r="X620" i="2"/>
  <c r="Y620" i="2"/>
  <c r="F621" i="2"/>
  <c r="G621" i="2"/>
  <c r="M621" i="2"/>
  <c r="N621" i="2"/>
  <c r="R621" i="2"/>
  <c r="S621" i="2"/>
  <c r="X621" i="2"/>
  <c r="Y621" i="2"/>
  <c r="F622" i="2"/>
  <c r="G622" i="2"/>
  <c r="M622" i="2"/>
  <c r="N622" i="2"/>
  <c r="R622" i="2"/>
  <c r="S622" i="2"/>
  <c r="X622" i="2"/>
  <c r="Y622" i="2"/>
  <c r="F623" i="2"/>
  <c r="G623" i="2"/>
  <c r="M623" i="2"/>
  <c r="N623" i="2"/>
  <c r="R623" i="2"/>
  <c r="S623" i="2"/>
  <c r="X623" i="2"/>
  <c r="Y623" i="2"/>
  <c r="F624" i="2"/>
  <c r="G624" i="2"/>
  <c r="M624" i="2"/>
  <c r="N624" i="2"/>
  <c r="R624" i="2"/>
  <c r="S624" i="2"/>
  <c r="X624" i="2"/>
  <c r="Y624" i="2"/>
  <c r="F625" i="2"/>
  <c r="G625" i="2"/>
  <c r="M625" i="2"/>
  <c r="N625" i="2"/>
  <c r="R625" i="2"/>
  <c r="S625" i="2"/>
  <c r="X625" i="2"/>
  <c r="Y625" i="2"/>
  <c r="F626" i="2"/>
  <c r="G626" i="2"/>
  <c r="M626" i="2"/>
  <c r="N626" i="2"/>
  <c r="R626" i="2"/>
  <c r="S626" i="2"/>
  <c r="X626" i="2"/>
  <c r="Y626" i="2"/>
  <c r="F627" i="2"/>
  <c r="G627" i="2"/>
  <c r="M627" i="2"/>
  <c r="N627" i="2"/>
  <c r="R627" i="2"/>
  <c r="S627" i="2"/>
  <c r="X627" i="2"/>
  <c r="Y627" i="2"/>
  <c r="J629" i="2"/>
  <c r="M629" i="2" s="1"/>
  <c r="K629" i="2"/>
  <c r="L629" i="2"/>
  <c r="N629" i="2"/>
  <c r="O629" i="2"/>
  <c r="P629" i="2"/>
  <c r="Q629" i="2"/>
  <c r="R629" i="2"/>
  <c r="S629" i="2" s="1"/>
  <c r="U629" i="2"/>
  <c r="X629" i="2" s="1"/>
  <c r="V629" i="2"/>
  <c r="W629" i="2"/>
  <c r="Z629" i="2"/>
  <c r="AA629" i="2"/>
  <c r="AB629" i="2"/>
  <c r="E631" i="2"/>
  <c r="G631" i="2"/>
  <c r="F633" i="2"/>
  <c r="G633" i="2"/>
  <c r="M633" i="2"/>
  <c r="N633" i="2" s="1"/>
  <c r="R633" i="2"/>
  <c r="S633" i="2"/>
  <c r="X633" i="2"/>
  <c r="Y633" i="2"/>
  <c r="F634" i="2"/>
  <c r="G634" i="2"/>
  <c r="M634" i="2"/>
  <c r="N634" i="2" s="1"/>
  <c r="R634" i="2"/>
  <c r="S634" i="2"/>
  <c r="X634" i="2"/>
  <c r="Y634" i="2" s="1"/>
  <c r="F635" i="2"/>
  <c r="G635" i="2"/>
  <c r="M635" i="2"/>
  <c r="N635" i="2" s="1"/>
  <c r="R635" i="2"/>
  <c r="S635" i="2"/>
  <c r="X635" i="2"/>
  <c r="Y635" i="2"/>
  <c r="F636" i="2"/>
  <c r="G636" i="2"/>
  <c r="M636" i="2"/>
  <c r="N636" i="2" s="1"/>
  <c r="R636" i="2"/>
  <c r="S636" i="2"/>
  <c r="X636" i="2"/>
  <c r="Y636" i="2"/>
  <c r="F637" i="2"/>
  <c r="G637" i="2"/>
  <c r="M637" i="2"/>
  <c r="N637" i="2" s="1"/>
  <c r="R637" i="2"/>
  <c r="S637" i="2" s="1"/>
  <c r="X637" i="2"/>
  <c r="Y637" i="2" s="1"/>
  <c r="F638" i="2"/>
  <c r="G638" i="2"/>
  <c r="M638" i="2"/>
  <c r="N638" i="2"/>
  <c r="R638" i="2"/>
  <c r="S638" i="2" s="1"/>
  <c r="X638" i="2"/>
  <c r="Y638" i="2" s="1"/>
  <c r="F639" i="2"/>
  <c r="G639" i="2"/>
  <c r="M639" i="2"/>
  <c r="N639" i="2"/>
  <c r="R639" i="2"/>
  <c r="S639" i="2" s="1"/>
  <c r="X639" i="2"/>
  <c r="Y639" i="2" s="1"/>
  <c r="F640" i="2"/>
  <c r="G640" i="2"/>
  <c r="M640" i="2"/>
  <c r="N640" i="2" s="1"/>
  <c r="R640" i="2"/>
  <c r="S640" i="2" s="1"/>
  <c r="X640" i="2"/>
  <c r="Y640" i="2" s="1"/>
  <c r="F641" i="2"/>
  <c r="G641" i="2"/>
  <c r="M641" i="2"/>
  <c r="N641" i="2" s="1"/>
  <c r="R641" i="2"/>
  <c r="S641" i="2"/>
  <c r="X641" i="2"/>
  <c r="Y641" i="2"/>
  <c r="F642" i="2"/>
  <c r="G642" i="2"/>
  <c r="M642" i="2"/>
  <c r="N642" i="2" s="1"/>
  <c r="R642" i="2"/>
  <c r="S642" i="2" s="1"/>
  <c r="X642" i="2"/>
  <c r="Y642" i="2"/>
  <c r="F643" i="2"/>
  <c r="G643" i="2"/>
  <c r="M643" i="2"/>
  <c r="N643" i="2" s="1"/>
  <c r="R643" i="2"/>
  <c r="S643" i="2" s="1"/>
  <c r="X643" i="2"/>
  <c r="Y643" i="2" s="1"/>
  <c r="F644" i="2"/>
  <c r="G644" i="2"/>
  <c r="M644" i="2"/>
  <c r="N644" i="2"/>
  <c r="R644" i="2"/>
  <c r="S644" i="2" s="1"/>
  <c r="X644" i="2"/>
  <c r="Y644" i="2"/>
  <c r="F645" i="2"/>
  <c r="G645" i="2"/>
  <c r="M645" i="2"/>
  <c r="N645" i="2" s="1"/>
  <c r="R645" i="2"/>
  <c r="S645" i="2" s="1"/>
  <c r="X645" i="2"/>
  <c r="Y645" i="2"/>
  <c r="F646" i="2"/>
  <c r="G646" i="2"/>
  <c r="M646" i="2"/>
  <c r="N646" i="2" s="1"/>
  <c r="R646" i="2"/>
  <c r="S646" i="2" s="1"/>
  <c r="X646" i="2"/>
  <c r="Y646" i="2"/>
  <c r="F647" i="2"/>
  <c r="G647" i="2"/>
  <c r="M647" i="2"/>
  <c r="N647" i="2"/>
  <c r="R647" i="2"/>
  <c r="S647" i="2" s="1"/>
  <c r="X647" i="2"/>
  <c r="Y647" i="2"/>
  <c r="F648" i="2"/>
  <c r="G648" i="2"/>
  <c r="M648" i="2"/>
  <c r="N648" i="2" s="1"/>
  <c r="R648" i="2"/>
  <c r="S648" i="2" s="1"/>
  <c r="X648" i="2"/>
  <c r="Y648" i="2"/>
  <c r="F649" i="2"/>
  <c r="G649" i="2"/>
  <c r="M649" i="2"/>
  <c r="N649" i="2" s="1"/>
  <c r="R649" i="2"/>
  <c r="S649" i="2"/>
  <c r="X649" i="2"/>
  <c r="Y649" i="2"/>
  <c r="F650" i="2"/>
  <c r="G650" i="2"/>
  <c r="M650" i="2"/>
  <c r="N650" i="2" s="1"/>
  <c r="R650" i="2"/>
  <c r="S650" i="2" s="1"/>
  <c r="X650" i="2"/>
  <c r="Y650" i="2"/>
  <c r="F651" i="2"/>
  <c r="G651" i="2"/>
  <c r="M651" i="2"/>
  <c r="N651" i="2" s="1"/>
  <c r="R651" i="2"/>
  <c r="S651" i="2"/>
  <c r="X651" i="2"/>
  <c r="Y651" i="2"/>
  <c r="F652" i="2"/>
  <c r="G652" i="2"/>
  <c r="M652" i="2"/>
  <c r="N652" i="2" s="1"/>
  <c r="R652" i="2"/>
  <c r="S652" i="2" s="1"/>
  <c r="X652" i="2"/>
  <c r="Y652" i="2" s="1"/>
  <c r="F653" i="2"/>
  <c r="G653" i="2"/>
  <c r="M653" i="2"/>
  <c r="N653" i="2" s="1"/>
  <c r="R653" i="2"/>
  <c r="S653" i="2"/>
  <c r="X653" i="2"/>
  <c r="Y653" i="2"/>
  <c r="F654" i="2"/>
  <c r="G654" i="2"/>
  <c r="M654" i="2"/>
  <c r="N654" i="2" s="1"/>
  <c r="R654" i="2"/>
  <c r="S654" i="2"/>
  <c r="X654" i="2"/>
  <c r="Y654" i="2"/>
  <c r="F655" i="2"/>
  <c r="G655" i="2"/>
  <c r="M655" i="2"/>
  <c r="N655" i="2" s="1"/>
  <c r="R655" i="2"/>
  <c r="S655" i="2"/>
  <c r="X655" i="2"/>
  <c r="Y655" i="2" s="1"/>
  <c r="F656" i="2"/>
  <c r="G656" i="2"/>
  <c r="M656" i="2"/>
  <c r="N656" i="2" s="1"/>
  <c r="R656" i="2"/>
  <c r="S656" i="2" s="1"/>
  <c r="X656" i="2"/>
  <c r="Y656" i="2"/>
  <c r="F657" i="2"/>
  <c r="G657" i="2"/>
  <c r="M657" i="2"/>
  <c r="N657" i="2"/>
  <c r="R657" i="2"/>
  <c r="S657" i="2" s="1"/>
  <c r="X657" i="2"/>
  <c r="Y657" i="2"/>
  <c r="F658" i="2"/>
  <c r="G658" i="2"/>
  <c r="M658" i="2"/>
  <c r="N658" i="2"/>
  <c r="R658" i="2"/>
  <c r="S658" i="2"/>
  <c r="X658" i="2"/>
  <c r="Y658" i="2"/>
  <c r="F659" i="2"/>
  <c r="G659" i="2"/>
  <c r="M659" i="2"/>
  <c r="N659" i="2"/>
  <c r="R659" i="2"/>
  <c r="S659" i="2" s="1"/>
  <c r="X659" i="2"/>
  <c r="Y659" i="2"/>
  <c r="F660" i="2"/>
  <c r="G660" i="2"/>
  <c r="M660" i="2"/>
  <c r="N660" i="2"/>
  <c r="R660" i="2"/>
  <c r="S660" i="2" s="1"/>
  <c r="X660" i="2"/>
  <c r="Y660" i="2" s="1"/>
  <c r="F661" i="2"/>
  <c r="G661" i="2"/>
  <c r="M661" i="2"/>
  <c r="N661" i="2"/>
  <c r="R661" i="2"/>
  <c r="S661" i="2"/>
  <c r="X661" i="2"/>
  <c r="Y661" i="2"/>
  <c r="F662" i="2"/>
  <c r="G662" i="2"/>
  <c r="M662" i="2"/>
  <c r="N662" i="2"/>
  <c r="R662" i="2"/>
  <c r="S662" i="2" s="1"/>
  <c r="X662" i="2"/>
  <c r="Y662" i="2"/>
  <c r="F663" i="2"/>
  <c r="G663" i="2"/>
  <c r="M663" i="2"/>
  <c r="N663" i="2"/>
  <c r="R663" i="2"/>
  <c r="S663" i="2" s="1"/>
  <c r="X663" i="2"/>
  <c r="Y663" i="2"/>
  <c r="F664" i="2"/>
  <c r="G664" i="2"/>
  <c r="M664" i="2"/>
  <c r="N664" i="2"/>
  <c r="R664" i="2"/>
  <c r="S664" i="2" s="1"/>
  <c r="X664" i="2"/>
  <c r="Y664" i="2"/>
  <c r="F665" i="2"/>
  <c r="G665" i="2"/>
  <c r="M665" i="2"/>
  <c r="N665" i="2"/>
  <c r="R665" i="2"/>
  <c r="S665" i="2" s="1"/>
  <c r="X665" i="2"/>
  <c r="Y665" i="2"/>
  <c r="F666" i="2"/>
  <c r="G666" i="2"/>
  <c r="M666" i="2"/>
  <c r="N666" i="2"/>
  <c r="R666" i="2"/>
  <c r="S666" i="2" s="1"/>
  <c r="X666" i="2"/>
  <c r="Y666" i="2"/>
  <c r="F667" i="2"/>
  <c r="G667" i="2"/>
  <c r="M667" i="2"/>
  <c r="N667" i="2"/>
  <c r="R667" i="2"/>
  <c r="S667" i="2" s="1"/>
  <c r="X667" i="2"/>
  <c r="Y667" i="2"/>
  <c r="F668" i="2"/>
  <c r="G668" i="2"/>
  <c r="M668" i="2"/>
  <c r="N668" i="2"/>
  <c r="R668" i="2"/>
  <c r="S668" i="2"/>
  <c r="X668" i="2"/>
  <c r="Y668" i="2" s="1"/>
  <c r="F669" i="2"/>
  <c r="G669" i="2"/>
  <c r="M669" i="2"/>
  <c r="N669" i="2"/>
  <c r="R669" i="2"/>
  <c r="S669" i="2"/>
  <c r="X669" i="2"/>
  <c r="Y669" i="2"/>
  <c r="F670" i="2"/>
  <c r="G670" i="2"/>
  <c r="M670" i="2"/>
  <c r="N670" i="2"/>
  <c r="R670" i="2"/>
  <c r="S670" i="2"/>
  <c r="X670" i="2"/>
  <c r="Y670" i="2"/>
  <c r="F671" i="2"/>
  <c r="G671" i="2"/>
  <c r="M671" i="2"/>
  <c r="N671" i="2"/>
  <c r="R671" i="2"/>
  <c r="S671" i="2"/>
  <c r="X671" i="2"/>
  <c r="Y671" i="2"/>
  <c r="F672" i="2"/>
  <c r="G672" i="2"/>
  <c r="M672" i="2"/>
  <c r="N672" i="2"/>
  <c r="R672" i="2"/>
  <c r="S672" i="2"/>
  <c r="X672" i="2"/>
  <c r="Y672" i="2"/>
  <c r="F673" i="2"/>
  <c r="G673" i="2"/>
  <c r="M673" i="2"/>
  <c r="N673" i="2"/>
  <c r="R673" i="2"/>
  <c r="S673" i="2" s="1"/>
  <c r="X673" i="2"/>
  <c r="Y673" i="2"/>
  <c r="F674" i="2"/>
  <c r="G674" i="2"/>
  <c r="M674" i="2"/>
  <c r="N674" i="2"/>
  <c r="R674" i="2"/>
  <c r="S674" i="2"/>
  <c r="X674" i="2"/>
  <c r="Y674" i="2" s="1"/>
  <c r="F675" i="2"/>
  <c r="G675" i="2"/>
  <c r="M675" i="2"/>
  <c r="N675" i="2"/>
  <c r="R675" i="2"/>
  <c r="S675" i="2"/>
  <c r="X675" i="2"/>
  <c r="Y675" i="2"/>
  <c r="F676" i="2"/>
  <c r="G676" i="2"/>
  <c r="M676" i="2"/>
  <c r="N676" i="2"/>
  <c r="R676" i="2"/>
  <c r="S676" i="2" s="1"/>
  <c r="X676" i="2"/>
  <c r="Y676" i="2"/>
  <c r="F677" i="2"/>
  <c r="G677" i="2"/>
  <c r="M677" i="2"/>
  <c r="N677" i="2"/>
  <c r="R677" i="2"/>
  <c r="S677" i="2"/>
  <c r="X677" i="2"/>
  <c r="Y677" i="2"/>
  <c r="F678" i="2"/>
  <c r="G678" i="2"/>
  <c r="M678" i="2"/>
  <c r="N678" i="2"/>
  <c r="R678" i="2"/>
  <c r="S678" i="2" s="1"/>
  <c r="X678" i="2"/>
  <c r="Y678" i="2"/>
  <c r="F679" i="2"/>
  <c r="G679" i="2"/>
  <c r="M679" i="2"/>
  <c r="N679" i="2"/>
  <c r="R679" i="2"/>
  <c r="S679" i="2"/>
  <c r="X679" i="2"/>
  <c r="Y679" i="2"/>
  <c r="F680" i="2"/>
  <c r="G680" i="2"/>
  <c r="M680" i="2"/>
  <c r="N680" i="2"/>
  <c r="R680" i="2"/>
  <c r="S680" i="2" s="1"/>
  <c r="X680" i="2"/>
  <c r="Y680" i="2"/>
  <c r="F681" i="2"/>
  <c r="G681" i="2"/>
  <c r="M681" i="2"/>
  <c r="N681" i="2"/>
  <c r="R681" i="2"/>
  <c r="S681" i="2" s="1"/>
  <c r="X681" i="2"/>
  <c r="Y681" i="2"/>
  <c r="F682" i="2"/>
  <c r="G682" i="2"/>
  <c r="M682" i="2"/>
  <c r="N682" i="2"/>
  <c r="R682" i="2"/>
  <c r="S682" i="2"/>
  <c r="X682" i="2"/>
  <c r="Y682" i="2"/>
  <c r="F683" i="2"/>
  <c r="G683" i="2"/>
  <c r="M683" i="2"/>
  <c r="N683" i="2"/>
  <c r="R683" i="2"/>
  <c r="S683" i="2" s="1"/>
  <c r="X683" i="2"/>
  <c r="Y683" i="2"/>
  <c r="F684" i="2"/>
  <c r="G684" i="2"/>
  <c r="M684" i="2"/>
  <c r="N684" i="2"/>
  <c r="R684" i="2"/>
  <c r="S684" i="2" s="1"/>
  <c r="X684" i="2"/>
  <c r="Y684" i="2"/>
  <c r="J686" i="2"/>
  <c r="N686" i="2" s="1"/>
  <c r="K686" i="2"/>
  <c r="L686" i="2"/>
  <c r="M686" i="2"/>
  <c r="O686" i="2"/>
  <c r="R686" i="2" s="1"/>
  <c r="P686" i="2"/>
  <c r="Q686" i="2"/>
  <c r="U686" i="2"/>
  <c r="V686" i="2"/>
  <c r="W686" i="2"/>
  <c r="X686" i="2"/>
  <c r="Y686" i="2" s="1"/>
  <c r="Z686" i="2"/>
  <c r="AA686" i="2"/>
  <c r="AB686" i="2"/>
  <c r="E688" i="2"/>
  <c r="G688" i="2"/>
  <c r="F690" i="2"/>
  <c r="G690" i="2"/>
  <c r="M690" i="2"/>
  <c r="N690" i="2"/>
  <c r="R690" i="2"/>
  <c r="S690" i="2"/>
  <c r="X690" i="2"/>
  <c r="Y690" i="2"/>
  <c r="F691" i="2"/>
  <c r="G691" i="2"/>
  <c r="M691" i="2"/>
  <c r="N691" i="2"/>
  <c r="R691" i="2"/>
  <c r="S691" i="2"/>
  <c r="X691" i="2"/>
  <c r="Y691" i="2"/>
  <c r="F692" i="2"/>
  <c r="G692" i="2"/>
  <c r="M692" i="2"/>
  <c r="N692" i="2"/>
  <c r="R692" i="2"/>
  <c r="S692" i="2"/>
  <c r="X692" i="2"/>
  <c r="Y692" i="2"/>
  <c r="F693" i="2"/>
  <c r="G693" i="2"/>
  <c r="M693" i="2"/>
  <c r="N693" i="2"/>
  <c r="R693" i="2"/>
  <c r="S693" i="2"/>
  <c r="X693" i="2"/>
  <c r="Y693" i="2"/>
  <c r="F694" i="2"/>
  <c r="G694" i="2"/>
  <c r="M694" i="2"/>
  <c r="N694" i="2"/>
  <c r="R694" i="2"/>
  <c r="S694" i="2"/>
  <c r="X694" i="2"/>
  <c r="Y694" i="2"/>
  <c r="F695" i="2"/>
  <c r="G695" i="2"/>
  <c r="M695" i="2"/>
  <c r="N695" i="2"/>
  <c r="R695" i="2"/>
  <c r="S695" i="2"/>
  <c r="X695" i="2"/>
  <c r="Y695" i="2"/>
  <c r="F696" i="2"/>
  <c r="G696" i="2"/>
  <c r="M696" i="2"/>
  <c r="N696" i="2"/>
  <c r="R696" i="2"/>
  <c r="S696" i="2"/>
  <c r="X696" i="2"/>
  <c r="Y696" i="2"/>
  <c r="F697" i="2"/>
  <c r="G697" i="2"/>
  <c r="M697" i="2"/>
  <c r="N697" i="2"/>
  <c r="R697" i="2"/>
  <c r="S697" i="2"/>
  <c r="X697" i="2"/>
  <c r="Y697" i="2"/>
  <c r="F698" i="2"/>
  <c r="G698" i="2"/>
  <c r="M698" i="2"/>
  <c r="N698" i="2"/>
  <c r="R698" i="2"/>
  <c r="S698" i="2"/>
  <c r="X698" i="2"/>
  <c r="Y698" i="2"/>
  <c r="F699" i="2"/>
  <c r="G699" i="2"/>
  <c r="M699" i="2"/>
  <c r="N699" i="2"/>
  <c r="R699" i="2"/>
  <c r="S699" i="2"/>
  <c r="X699" i="2"/>
  <c r="Y699" i="2"/>
  <c r="F700" i="2"/>
  <c r="G700" i="2"/>
  <c r="M700" i="2"/>
  <c r="N700" i="2"/>
  <c r="R700" i="2"/>
  <c r="S700" i="2"/>
  <c r="X700" i="2"/>
  <c r="Y700" i="2"/>
  <c r="F701" i="2"/>
  <c r="G701" i="2"/>
  <c r="M701" i="2"/>
  <c r="N701" i="2"/>
  <c r="R701" i="2"/>
  <c r="S701" i="2"/>
  <c r="X701" i="2"/>
  <c r="Y701" i="2"/>
  <c r="F702" i="2"/>
  <c r="G702" i="2"/>
  <c r="M702" i="2"/>
  <c r="N702" i="2"/>
  <c r="R702" i="2"/>
  <c r="S702" i="2"/>
  <c r="X702" i="2"/>
  <c r="Y702" i="2"/>
  <c r="J704" i="2"/>
  <c r="K704" i="2"/>
  <c r="L704" i="2"/>
  <c r="O704" i="2"/>
  <c r="P704" i="2"/>
  <c r="Q704" i="2"/>
  <c r="R704" i="2"/>
  <c r="S704" i="2"/>
  <c r="U704" i="2"/>
  <c r="X704" i="2" s="1"/>
  <c r="V704" i="2"/>
  <c r="W704" i="2"/>
  <c r="Z704" i="2"/>
  <c r="AA704" i="2"/>
  <c r="AB704" i="2"/>
  <c r="E706" i="2"/>
  <c r="G706" i="2"/>
  <c r="F708" i="2"/>
  <c r="G708" i="2"/>
  <c r="M708" i="2"/>
  <c r="N708" i="2" s="1"/>
  <c r="R708" i="2"/>
  <c r="S708" i="2"/>
  <c r="X708" i="2"/>
  <c r="Y708" i="2"/>
  <c r="F709" i="2"/>
  <c r="G709" i="2"/>
  <c r="M709" i="2"/>
  <c r="N709" i="2" s="1"/>
  <c r="R709" i="2"/>
  <c r="S709" i="2"/>
  <c r="X709" i="2"/>
  <c r="Y709" i="2"/>
  <c r="F710" i="2"/>
  <c r="G710" i="2"/>
  <c r="M710" i="2"/>
  <c r="N710" i="2" s="1"/>
  <c r="R710" i="2"/>
  <c r="S710" i="2" s="1"/>
  <c r="X710" i="2"/>
  <c r="Y710" i="2"/>
  <c r="F711" i="2"/>
  <c r="G711" i="2"/>
  <c r="M711" i="2"/>
  <c r="N711" i="2"/>
  <c r="R711" i="2"/>
  <c r="S711" i="2" s="1"/>
  <c r="X711" i="2"/>
  <c r="Y711" i="2"/>
  <c r="F712" i="2"/>
  <c r="G712" i="2"/>
  <c r="M712" i="2"/>
  <c r="N712" i="2"/>
  <c r="R712" i="2"/>
  <c r="S712" i="2"/>
  <c r="X712" i="2"/>
  <c r="Y712" i="2"/>
  <c r="F713" i="2"/>
  <c r="G713" i="2"/>
  <c r="M713" i="2"/>
  <c r="N713" i="2"/>
  <c r="R713" i="2"/>
  <c r="S713" i="2" s="1"/>
  <c r="X713" i="2"/>
  <c r="Y713" i="2"/>
  <c r="F714" i="2"/>
  <c r="G714" i="2"/>
  <c r="M714" i="2"/>
  <c r="N714" i="2"/>
  <c r="R714" i="2"/>
  <c r="S714" i="2" s="1"/>
  <c r="X714" i="2"/>
  <c r="Y714" i="2"/>
  <c r="F715" i="2"/>
  <c r="G715" i="2"/>
  <c r="M715" i="2"/>
  <c r="N715" i="2"/>
  <c r="R715" i="2"/>
  <c r="S715" i="2" s="1"/>
  <c r="X715" i="2"/>
  <c r="Y715" i="2"/>
  <c r="F716" i="2"/>
  <c r="G716" i="2"/>
  <c r="M716" i="2"/>
  <c r="N716" i="2"/>
  <c r="R716" i="2"/>
  <c r="S716" i="2" s="1"/>
  <c r="X716" i="2"/>
  <c r="Y716" i="2"/>
  <c r="F717" i="2"/>
  <c r="G717" i="2"/>
  <c r="M717" i="2"/>
  <c r="N717" i="2"/>
  <c r="R717" i="2"/>
  <c r="S717" i="2" s="1"/>
  <c r="X717" i="2"/>
  <c r="Y717" i="2"/>
  <c r="F718" i="2"/>
  <c r="G718" i="2"/>
  <c r="M718" i="2"/>
  <c r="N718" i="2"/>
  <c r="R718" i="2"/>
  <c r="S718" i="2" s="1"/>
  <c r="X718" i="2"/>
  <c r="Y718" i="2"/>
  <c r="F719" i="2"/>
  <c r="G719" i="2"/>
  <c r="M719" i="2"/>
  <c r="N719" i="2"/>
  <c r="R719" i="2"/>
  <c r="S719" i="2" s="1"/>
  <c r="X719" i="2"/>
  <c r="Y719" i="2"/>
  <c r="F720" i="2"/>
  <c r="G720" i="2"/>
  <c r="M720" i="2"/>
  <c r="N720" i="2"/>
  <c r="R720" i="2"/>
  <c r="S720" i="2" s="1"/>
  <c r="X720" i="2"/>
  <c r="Y720" i="2"/>
  <c r="F721" i="2"/>
  <c r="G721" i="2"/>
  <c r="M721" i="2"/>
  <c r="N721" i="2"/>
  <c r="R721" i="2"/>
  <c r="S721" i="2" s="1"/>
  <c r="X721" i="2"/>
  <c r="Y721" i="2"/>
  <c r="F722" i="2"/>
  <c r="G722" i="2"/>
  <c r="M722" i="2"/>
  <c r="N722" i="2"/>
  <c r="R722" i="2"/>
  <c r="S722" i="2" s="1"/>
  <c r="X722" i="2"/>
  <c r="Y722" i="2"/>
  <c r="F723" i="2"/>
  <c r="G723" i="2"/>
  <c r="M723" i="2"/>
  <c r="N723" i="2"/>
  <c r="R723" i="2"/>
  <c r="S723" i="2" s="1"/>
  <c r="X723" i="2"/>
  <c r="Y723" i="2"/>
  <c r="F724" i="2"/>
  <c r="G724" i="2"/>
  <c r="M724" i="2"/>
  <c r="N724" i="2"/>
  <c r="R724" i="2"/>
  <c r="S724" i="2" s="1"/>
  <c r="X724" i="2"/>
  <c r="Y724" i="2"/>
  <c r="F725" i="2"/>
  <c r="G725" i="2"/>
  <c r="M725" i="2"/>
  <c r="N725" i="2"/>
  <c r="R725" i="2"/>
  <c r="S725" i="2"/>
  <c r="X725" i="2"/>
  <c r="Y725" i="2"/>
  <c r="F726" i="2"/>
  <c r="G726" i="2"/>
  <c r="M726" i="2"/>
  <c r="N726" i="2"/>
  <c r="R726" i="2"/>
  <c r="S726" i="2"/>
  <c r="X726" i="2"/>
  <c r="Y726" i="2"/>
  <c r="F727" i="2"/>
  <c r="G727" i="2"/>
  <c r="M727" i="2"/>
  <c r="N727" i="2"/>
  <c r="R727" i="2"/>
  <c r="S727" i="2" s="1"/>
  <c r="X727" i="2"/>
  <c r="Y727" i="2"/>
  <c r="F728" i="2"/>
  <c r="G728" i="2"/>
  <c r="M728" i="2"/>
  <c r="N728" i="2"/>
  <c r="R728" i="2"/>
  <c r="S728" i="2" s="1"/>
  <c r="X728" i="2"/>
  <c r="Y728" i="2"/>
  <c r="F729" i="2"/>
  <c r="G729" i="2"/>
  <c r="M729" i="2"/>
  <c r="N729" i="2"/>
  <c r="R729" i="2"/>
  <c r="S729" i="2" s="1"/>
  <c r="X729" i="2"/>
  <c r="Y729" i="2"/>
  <c r="F730" i="2"/>
  <c r="G730" i="2"/>
  <c r="M730" i="2"/>
  <c r="N730" i="2"/>
  <c r="R730" i="2"/>
  <c r="S730" i="2" s="1"/>
  <c r="X730" i="2"/>
  <c r="Y730" i="2"/>
  <c r="F731" i="2"/>
  <c r="G731" i="2"/>
  <c r="M731" i="2"/>
  <c r="N731" i="2"/>
  <c r="R731" i="2"/>
  <c r="S731" i="2" s="1"/>
  <c r="X731" i="2"/>
  <c r="Y731" i="2"/>
  <c r="F732" i="2"/>
  <c r="G732" i="2"/>
  <c r="M732" i="2"/>
  <c r="N732" i="2"/>
  <c r="R732" i="2"/>
  <c r="S732" i="2" s="1"/>
  <c r="X732" i="2"/>
  <c r="Y732" i="2"/>
  <c r="F733" i="2"/>
  <c r="G733" i="2"/>
  <c r="M733" i="2"/>
  <c r="N733" i="2"/>
  <c r="R733" i="2"/>
  <c r="S733" i="2" s="1"/>
  <c r="X733" i="2"/>
  <c r="Y733" i="2"/>
  <c r="F734" i="2"/>
  <c r="G734" i="2"/>
  <c r="M734" i="2"/>
  <c r="N734" i="2"/>
  <c r="R734" i="2"/>
  <c r="S734" i="2" s="1"/>
  <c r="X734" i="2"/>
  <c r="Y734" i="2"/>
  <c r="F735" i="2"/>
  <c r="G735" i="2"/>
  <c r="M735" i="2"/>
  <c r="N735" i="2"/>
  <c r="R735" i="2"/>
  <c r="S735" i="2" s="1"/>
  <c r="X735" i="2"/>
  <c r="Y735" i="2"/>
  <c r="F736" i="2"/>
  <c r="G736" i="2"/>
  <c r="M736" i="2"/>
  <c r="N736" i="2"/>
  <c r="R736" i="2"/>
  <c r="S736" i="2"/>
  <c r="X736" i="2"/>
  <c r="Y736" i="2"/>
  <c r="F737" i="2"/>
  <c r="G737" i="2"/>
  <c r="M737" i="2"/>
  <c r="N737" i="2"/>
  <c r="R737" i="2"/>
  <c r="S737" i="2" s="1"/>
  <c r="X737" i="2"/>
  <c r="Y737" i="2"/>
  <c r="F738" i="2"/>
  <c r="G738" i="2"/>
  <c r="M738" i="2"/>
  <c r="N738" i="2"/>
  <c r="R738" i="2"/>
  <c r="S738" i="2" s="1"/>
  <c r="X738" i="2"/>
  <c r="Y738" i="2"/>
  <c r="F739" i="2"/>
  <c r="G739" i="2"/>
  <c r="M739" i="2"/>
  <c r="N739" i="2"/>
  <c r="R739" i="2"/>
  <c r="S739" i="2" s="1"/>
  <c r="X739" i="2"/>
  <c r="Y739" i="2"/>
  <c r="J741" i="2"/>
  <c r="N741" i="2" s="1"/>
  <c r="K741" i="2"/>
  <c r="L741" i="2"/>
  <c r="M741" i="2"/>
  <c r="O741" i="2"/>
  <c r="S741" i="2" s="1"/>
  <c r="P741" i="2"/>
  <c r="Q741" i="2"/>
  <c r="R741" i="2"/>
  <c r="U741" i="2"/>
  <c r="V741" i="2"/>
  <c r="W741" i="2"/>
  <c r="X741" i="2"/>
  <c r="Y741" i="2"/>
  <c r="Z741" i="2"/>
  <c r="AA741" i="2"/>
  <c r="AB741" i="2"/>
  <c r="E743" i="2"/>
  <c r="G743" i="2"/>
  <c r="F745" i="2"/>
  <c r="G745" i="2"/>
  <c r="M745" i="2"/>
  <c r="N745" i="2"/>
  <c r="R745" i="2"/>
  <c r="S745" i="2" s="1"/>
  <c r="X745" i="2"/>
  <c r="Y745" i="2"/>
  <c r="F746" i="2"/>
  <c r="G746" i="2"/>
  <c r="M746" i="2"/>
  <c r="N746" i="2"/>
  <c r="R746" i="2"/>
  <c r="S746" i="2"/>
  <c r="X746" i="2"/>
  <c r="Y746" i="2"/>
  <c r="F747" i="2"/>
  <c r="G747" i="2"/>
  <c r="M747" i="2"/>
  <c r="N747" i="2"/>
  <c r="R747" i="2"/>
  <c r="S747" i="2" s="1"/>
  <c r="X747" i="2"/>
  <c r="Y747" i="2"/>
  <c r="F748" i="2"/>
  <c r="G748" i="2"/>
  <c r="M748" i="2"/>
  <c r="N748" i="2"/>
  <c r="R748" i="2"/>
  <c r="S748" i="2" s="1"/>
  <c r="X748" i="2"/>
  <c r="Y748" i="2"/>
  <c r="F749" i="2"/>
  <c r="G749" i="2"/>
  <c r="M749" i="2"/>
  <c r="N749" i="2"/>
  <c r="R749" i="2"/>
  <c r="S749" i="2"/>
  <c r="X749" i="2"/>
  <c r="Y749" i="2"/>
  <c r="F750" i="2"/>
  <c r="G750" i="2"/>
  <c r="M750" i="2"/>
  <c r="N750" i="2"/>
  <c r="R750" i="2"/>
  <c r="S750" i="2" s="1"/>
  <c r="X750" i="2"/>
  <c r="Y750" i="2"/>
  <c r="F751" i="2"/>
  <c r="G751" i="2"/>
  <c r="M751" i="2"/>
  <c r="N751" i="2"/>
  <c r="R751" i="2"/>
  <c r="S751" i="2" s="1"/>
  <c r="X751" i="2"/>
  <c r="Y751" i="2"/>
  <c r="F752" i="2"/>
  <c r="G752" i="2"/>
  <c r="M752" i="2"/>
  <c r="N752" i="2"/>
  <c r="R752" i="2"/>
  <c r="S752" i="2" s="1"/>
  <c r="X752" i="2"/>
  <c r="Y752" i="2"/>
  <c r="F753" i="2"/>
  <c r="G753" i="2"/>
  <c r="M753" i="2"/>
  <c r="N753" i="2"/>
  <c r="R753" i="2"/>
  <c r="S753" i="2" s="1"/>
  <c r="X753" i="2"/>
  <c r="Y753" i="2"/>
  <c r="F754" i="2"/>
  <c r="G754" i="2"/>
  <c r="M754" i="2"/>
  <c r="N754" i="2"/>
  <c r="R754" i="2"/>
  <c r="S754" i="2" s="1"/>
  <c r="X754" i="2"/>
  <c r="Y754" i="2"/>
  <c r="F755" i="2"/>
  <c r="G755" i="2"/>
  <c r="M755" i="2"/>
  <c r="N755" i="2"/>
  <c r="R755" i="2"/>
  <c r="S755" i="2"/>
  <c r="X755" i="2"/>
  <c r="Y755" i="2"/>
  <c r="F756" i="2"/>
  <c r="G756" i="2"/>
  <c r="M756" i="2"/>
  <c r="N756" i="2"/>
  <c r="R756" i="2"/>
  <c r="S756" i="2" s="1"/>
  <c r="X756" i="2"/>
  <c r="Y756" i="2"/>
  <c r="F757" i="2"/>
  <c r="G757" i="2"/>
  <c r="M757" i="2"/>
  <c r="N757" i="2"/>
  <c r="R757" i="2"/>
  <c r="S757" i="2" s="1"/>
  <c r="X757" i="2"/>
  <c r="Y757" i="2"/>
  <c r="F758" i="2"/>
  <c r="G758" i="2"/>
  <c r="M758" i="2"/>
  <c r="N758" i="2"/>
  <c r="R758" i="2"/>
  <c r="S758" i="2"/>
  <c r="X758" i="2"/>
  <c r="Y758" i="2"/>
  <c r="F759" i="2"/>
  <c r="G759" i="2"/>
  <c r="M759" i="2"/>
  <c r="N759" i="2"/>
  <c r="R759" i="2"/>
  <c r="S759" i="2" s="1"/>
  <c r="X759" i="2"/>
  <c r="Y759" i="2"/>
  <c r="F760" i="2"/>
  <c r="G760" i="2"/>
  <c r="M760" i="2"/>
  <c r="N760" i="2"/>
  <c r="R760" i="2"/>
  <c r="S760" i="2" s="1"/>
  <c r="X760" i="2"/>
  <c r="Y760" i="2"/>
  <c r="F761" i="2"/>
  <c r="G761" i="2"/>
  <c r="M761" i="2"/>
  <c r="N761" i="2"/>
  <c r="R761" i="2"/>
  <c r="S761" i="2" s="1"/>
  <c r="X761" i="2"/>
  <c r="Y761" i="2"/>
  <c r="F762" i="2"/>
  <c r="G762" i="2"/>
  <c r="M762" i="2"/>
  <c r="N762" i="2"/>
  <c r="R762" i="2"/>
  <c r="S762" i="2" s="1"/>
  <c r="X762" i="2"/>
  <c r="Y762" i="2"/>
  <c r="F763" i="2"/>
  <c r="G763" i="2"/>
  <c r="M763" i="2"/>
  <c r="N763" i="2"/>
  <c r="R763" i="2"/>
  <c r="S763" i="2" s="1"/>
  <c r="X763" i="2"/>
  <c r="Y763" i="2"/>
  <c r="F764" i="2"/>
  <c r="G764" i="2"/>
  <c r="M764" i="2"/>
  <c r="N764" i="2"/>
  <c r="R764" i="2"/>
  <c r="S764" i="2" s="1"/>
  <c r="X764" i="2"/>
  <c r="Y764" i="2"/>
  <c r="F765" i="2"/>
  <c r="G765" i="2"/>
  <c r="M765" i="2"/>
  <c r="N765" i="2"/>
  <c r="R765" i="2"/>
  <c r="S765" i="2"/>
  <c r="X765" i="2"/>
  <c r="Y765" i="2"/>
  <c r="F766" i="2"/>
  <c r="G766" i="2"/>
  <c r="M766" i="2"/>
  <c r="N766" i="2"/>
  <c r="R766" i="2"/>
  <c r="S766" i="2" s="1"/>
  <c r="X766" i="2"/>
  <c r="Y766" i="2"/>
  <c r="J768" i="2"/>
  <c r="N768" i="2" s="1"/>
  <c r="K768" i="2"/>
  <c r="L768" i="2"/>
  <c r="M768" i="2"/>
  <c r="O768" i="2"/>
  <c r="P768" i="2"/>
  <c r="Q768" i="2"/>
  <c r="R768" i="2"/>
  <c r="S768" i="2"/>
  <c r="U768" i="2"/>
  <c r="X768" i="2" s="1"/>
  <c r="V768" i="2"/>
  <c r="W768" i="2"/>
  <c r="Y768" i="2"/>
  <c r="Z768" i="2"/>
  <c r="AA768" i="2"/>
  <c r="AB768" i="2"/>
  <c r="E770" i="2"/>
  <c r="G770" i="2"/>
  <c r="F772" i="2"/>
  <c r="G772" i="2"/>
  <c r="M772" i="2"/>
  <c r="N772" i="2" s="1"/>
  <c r="R772" i="2"/>
  <c r="S772" i="2"/>
  <c r="X772" i="2"/>
  <c r="Y772" i="2"/>
  <c r="F773" i="2"/>
  <c r="G773" i="2"/>
  <c r="M773" i="2"/>
  <c r="N773" i="2" s="1"/>
  <c r="R773" i="2"/>
  <c r="S773" i="2"/>
  <c r="X773" i="2"/>
  <c r="Y773" i="2"/>
  <c r="F774" i="2"/>
  <c r="G774" i="2"/>
  <c r="M774" i="2"/>
  <c r="N774" i="2" s="1"/>
  <c r="R774" i="2"/>
  <c r="S774" i="2"/>
  <c r="X774" i="2"/>
  <c r="Y774" i="2"/>
  <c r="F775" i="2"/>
  <c r="G775" i="2"/>
  <c r="M775" i="2"/>
  <c r="N775" i="2" s="1"/>
  <c r="R775" i="2"/>
  <c r="S775" i="2"/>
  <c r="X775" i="2"/>
  <c r="Y775" i="2"/>
  <c r="F776" i="2"/>
  <c r="G776" i="2"/>
  <c r="M776" i="2"/>
  <c r="N776" i="2" s="1"/>
  <c r="R776" i="2"/>
  <c r="S776" i="2"/>
  <c r="X776" i="2"/>
  <c r="Y776" i="2"/>
  <c r="F777" i="2"/>
  <c r="G777" i="2"/>
  <c r="M777" i="2"/>
  <c r="N777" i="2" s="1"/>
  <c r="R777" i="2"/>
  <c r="S777" i="2"/>
  <c r="X777" i="2"/>
  <c r="Y777" i="2"/>
  <c r="F778" i="2"/>
  <c r="G778" i="2"/>
  <c r="M778" i="2"/>
  <c r="N778" i="2" s="1"/>
  <c r="R778" i="2"/>
  <c r="S778" i="2"/>
  <c r="X778" i="2"/>
  <c r="Y778" i="2"/>
  <c r="F779" i="2"/>
  <c r="G779" i="2"/>
  <c r="M779" i="2"/>
  <c r="N779" i="2" s="1"/>
  <c r="R779" i="2"/>
  <c r="S779" i="2"/>
  <c r="X779" i="2"/>
  <c r="Y779" i="2"/>
  <c r="F780" i="2"/>
  <c r="G780" i="2"/>
  <c r="M780" i="2"/>
  <c r="N780" i="2" s="1"/>
  <c r="R780" i="2"/>
  <c r="S780" i="2"/>
  <c r="X780" i="2"/>
  <c r="Y780" i="2"/>
  <c r="F781" i="2"/>
  <c r="G781" i="2"/>
  <c r="M781" i="2"/>
  <c r="N781" i="2" s="1"/>
  <c r="R781" i="2"/>
  <c r="S781" i="2"/>
  <c r="X781" i="2"/>
  <c r="Y781" i="2"/>
  <c r="F782" i="2"/>
  <c r="G782" i="2"/>
  <c r="M782" i="2"/>
  <c r="N782" i="2" s="1"/>
  <c r="R782" i="2"/>
  <c r="S782" i="2"/>
  <c r="X782" i="2"/>
  <c r="Y782" i="2"/>
  <c r="F783" i="2"/>
  <c r="G783" i="2"/>
  <c r="M783" i="2"/>
  <c r="N783" i="2" s="1"/>
  <c r="R783" i="2"/>
  <c r="S783" i="2"/>
  <c r="X783" i="2"/>
  <c r="Y783" i="2"/>
  <c r="F784" i="2"/>
  <c r="G784" i="2"/>
  <c r="M784" i="2"/>
  <c r="N784" i="2" s="1"/>
  <c r="R784" i="2"/>
  <c r="S784" i="2"/>
  <c r="X784" i="2"/>
  <c r="Y784" i="2"/>
  <c r="F785" i="2"/>
  <c r="G785" i="2"/>
  <c r="M785" i="2"/>
  <c r="N785" i="2" s="1"/>
  <c r="R785" i="2"/>
  <c r="S785" i="2"/>
  <c r="X785" i="2"/>
  <c r="Y785" i="2"/>
  <c r="F786" i="2"/>
  <c r="G786" i="2"/>
  <c r="M786" i="2"/>
  <c r="N786" i="2" s="1"/>
  <c r="R786" i="2"/>
  <c r="S786" i="2"/>
  <c r="X786" i="2"/>
  <c r="Y786" i="2"/>
  <c r="F787" i="2"/>
  <c r="G787" i="2"/>
  <c r="M787" i="2"/>
  <c r="N787" i="2" s="1"/>
  <c r="R787" i="2"/>
  <c r="S787" i="2"/>
  <c r="X787" i="2"/>
  <c r="Y787" i="2"/>
  <c r="F788" i="2"/>
  <c r="G788" i="2"/>
  <c r="M788" i="2"/>
  <c r="N788" i="2" s="1"/>
  <c r="R788" i="2"/>
  <c r="S788" i="2"/>
  <c r="X788" i="2"/>
  <c r="Y788" i="2"/>
  <c r="F789" i="2"/>
  <c r="G789" i="2"/>
  <c r="M789" i="2"/>
  <c r="N789" i="2" s="1"/>
  <c r="R789" i="2"/>
  <c r="S789" i="2"/>
  <c r="X789" i="2"/>
  <c r="Y789" i="2"/>
  <c r="J791" i="2"/>
  <c r="K791" i="2"/>
  <c r="L791" i="2"/>
  <c r="M791" i="2"/>
  <c r="N791" i="2"/>
  <c r="O791" i="2"/>
  <c r="P791" i="2"/>
  <c r="Q791" i="2"/>
  <c r="R791" i="2"/>
  <c r="S791" i="2"/>
  <c r="U791" i="2"/>
  <c r="V791" i="2"/>
  <c r="W791" i="2"/>
  <c r="X791" i="2" s="1"/>
  <c r="Y791" i="2" s="1"/>
  <c r="Z791" i="2"/>
  <c r="AA791" i="2"/>
  <c r="AB791" i="2"/>
  <c r="E793" i="2"/>
  <c r="G793" i="2"/>
  <c r="F795" i="2"/>
  <c r="G795" i="2"/>
  <c r="M795" i="2"/>
  <c r="N795" i="2" s="1"/>
  <c r="R795" i="2"/>
  <c r="S795" i="2"/>
  <c r="X795" i="2"/>
  <c r="Y795" i="2"/>
  <c r="F796" i="2"/>
  <c r="G796" i="2"/>
  <c r="M796" i="2"/>
  <c r="N796" i="2" s="1"/>
  <c r="R796" i="2"/>
  <c r="S796" i="2"/>
  <c r="X796" i="2"/>
  <c r="Y796" i="2"/>
  <c r="F797" i="2"/>
  <c r="G797" i="2"/>
  <c r="M797" i="2"/>
  <c r="N797" i="2" s="1"/>
  <c r="R797" i="2"/>
  <c r="S797" i="2"/>
  <c r="X797" i="2"/>
  <c r="Y797" i="2"/>
  <c r="F798" i="2"/>
  <c r="G798" i="2"/>
  <c r="M798" i="2"/>
  <c r="N798" i="2" s="1"/>
  <c r="R798" i="2"/>
  <c r="S798" i="2"/>
  <c r="X798" i="2"/>
  <c r="Y798" i="2"/>
  <c r="F799" i="2"/>
  <c r="G799" i="2"/>
  <c r="M799" i="2"/>
  <c r="N799" i="2" s="1"/>
  <c r="R799" i="2"/>
  <c r="S799" i="2"/>
  <c r="X799" i="2"/>
  <c r="Y799" i="2"/>
  <c r="F800" i="2"/>
  <c r="G800" i="2"/>
  <c r="M800" i="2"/>
  <c r="N800" i="2" s="1"/>
  <c r="R800" i="2"/>
  <c r="S800" i="2"/>
  <c r="X800" i="2"/>
  <c r="Y800" i="2"/>
  <c r="F801" i="2"/>
  <c r="G801" i="2"/>
  <c r="M801" i="2"/>
  <c r="N801" i="2" s="1"/>
  <c r="R801" i="2"/>
  <c r="S801" i="2"/>
  <c r="X801" i="2"/>
  <c r="Y801" i="2"/>
  <c r="F802" i="2"/>
  <c r="G802" i="2"/>
  <c r="M802" i="2"/>
  <c r="N802" i="2" s="1"/>
  <c r="R802" i="2"/>
  <c r="S802" i="2"/>
  <c r="X802" i="2"/>
  <c r="Y802" i="2"/>
  <c r="F803" i="2"/>
  <c r="G803" i="2"/>
  <c r="M803" i="2"/>
  <c r="N803" i="2" s="1"/>
  <c r="R803" i="2"/>
  <c r="S803" i="2"/>
  <c r="X803" i="2"/>
  <c r="Y803" i="2"/>
  <c r="F804" i="2"/>
  <c r="G804" i="2"/>
  <c r="M804" i="2"/>
  <c r="N804" i="2" s="1"/>
  <c r="R804" i="2"/>
  <c r="S804" i="2"/>
  <c r="X804" i="2"/>
  <c r="Y804" i="2"/>
  <c r="F805" i="2"/>
  <c r="G805" i="2"/>
  <c r="M805" i="2"/>
  <c r="N805" i="2" s="1"/>
  <c r="R805" i="2"/>
  <c r="S805" i="2"/>
  <c r="X805" i="2"/>
  <c r="Y805" i="2"/>
  <c r="F806" i="2"/>
  <c r="G806" i="2"/>
  <c r="M806" i="2"/>
  <c r="N806" i="2" s="1"/>
  <c r="R806" i="2"/>
  <c r="S806" i="2"/>
  <c r="X806" i="2"/>
  <c r="Y806" i="2"/>
  <c r="F807" i="2"/>
  <c r="G807" i="2"/>
  <c r="M807" i="2"/>
  <c r="N807" i="2" s="1"/>
  <c r="R807" i="2"/>
  <c r="S807" i="2"/>
  <c r="X807" i="2"/>
  <c r="Y807" i="2"/>
  <c r="F808" i="2"/>
  <c r="G808" i="2"/>
  <c r="M808" i="2"/>
  <c r="N808" i="2" s="1"/>
  <c r="R808" i="2"/>
  <c r="S808" i="2"/>
  <c r="X808" i="2"/>
  <c r="Y808" i="2"/>
  <c r="F809" i="2"/>
  <c r="G809" i="2"/>
  <c r="M809" i="2"/>
  <c r="N809" i="2" s="1"/>
  <c r="R809" i="2"/>
  <c r="S809" i="2"/>
  <c r="X809" i="2"/>
  <c r="Y809" i="2"/>
  <c r="F810" i="2"/>
  <c r="G810" i="2"/>
  <c r="M810" i="2"/>
  <c r="N810" i="2" s="1"/>
  <c r="R810" i="2"/>
  <c r="S810" i="2"/>
  <c r="X810" i="2"/>
  <c r="Y810" i="2"/>
  <c r="F811" i="2"/>
  <c r="G811" i="2"/>
  <c r="M811" i="2"/>
  <c r="N811" i="2" s="1"/>
  <c r="R811" i="2"/>
  <c r="S811" i="2"/>
  <c r="X811" i="2"/>
  <c r="Y811" i="2"/>
  <c r="F812" i="2"/>
  <c r="G812" i="2"/>
  <c r="M812" i="2"/>
  <c r="N812" i="2" s="1"/>
  <c r="R812" i="2"/>
  <c r="S812" i="2"/>
  <c r="X812" i="2"/>
  <c r="Y812" i="2"/>
  <c r="F813" i="2"/>
  <c r="G813" i="2"/>
  <c r="M813" i="2"/>
  <c r="N813" i="2" s="1"/>
  <c r="R813" i="2"/>
  <c r="S813" i="2"/>
  <c r="X813" i="2"/>
  <c r="Y813" i="2"/>
  <c r="F814" i="2"/>
  <c r="G814" i="2"/>
  <c r="M814" i="2"/>
  <c r="N814" i="2" s="1"/>
  <c r="R814" i="2"/>
  <c r="S814" i="2"/>
  <c r="X814" i="2"/>
  <c r="Y814" i="2"/>
  <c r="F815" i="2"/>
  <c r="G815" i="2"/>
  <c r="M815" i="2"/>
  <c r="N815" i="2" s="1"/>
  <c r="R815" i="2"/>
  <c r="S815" i="2"/>
  <c r="X815" i="2"/>
  <c r="Y815" i="2"/>
  <c r="F816" i="2"/>
  <c r="G816" i="2"/>
  <c r="M816" i="2"/>
  <c r="N816" i="2" s="1"/>
  <c r="R816" i="2"/>
  <c r="S816" i="2"/>
  <c r="X816" i="2"/>
  <c r="Y816" i="2"/>
  <c r="F817" i="2"/>
  <c r="G817" i="2"/>
  <c r="M817" i="2"/>
  <c r="N817" i="2" s="1"/>
  <c r="R817" i="2"/>
  <c r="S817" i="2"/>
  <c r="X817" i="2"/>
  <c r="Y817" i="2"/>
  <c r="F818" i="2"/>
  <c r="G818" i="2"/>
  <c r="M818" i="2"/>
  <c r="N818" i="2" s="1"/>
  <c r="R818" i="2"/>
  <c r="S818" i="2"/>
  <c r="X818" i="2"/>
  <c r="Y818" i="2"/>
  <c r="F819" i="2"/>
  <c r="G819" i="2"/>
  <c r="M819" i="2"/>
  <c r="N819" i="2" s="1"/>
  <c r="R819" i="2"/>
  <c r="S819" i="2"/>
  <c r="X819" i="2"/>
  <c r="Y819" i="2"/>
  <c r="F820" i="2"/>
  <c r="G820" i="2"/>
  <c r="M820" i="2"/>
  <c r="N820" i="2" s="1"/>
  <c r="R820" i="2"/>
  <c r="S820" i="2"/>
  <c r="X820" i="2"/>
  <c r="Y820" i="2"/>
  <c r="F821" i="2"/>
  <c r="G821" i="2"/>
  <c r="M821" i="2"/>
  <c r="N821" i="2" s="1"/>
  <c r="R821" i="2"/>
  <c r="S821" i="2"/>
  <c r="X821" i="2"/>
  <c r="Y821" i="2"/>
  <c r="F822" i="2"/>
  <c r="G822" i="2"/>
  <c r="M822" i="2"/>
  <c r="N822" i="2" s="1"/>
  <c r="R822" i="2"/>
  <c r="S822" i="2"/>
  <c r="X822" i="2"/>
  <c r="Y822" i="2"/>
  <c r="F823" i="2"/>
  <c r="G823" i="2"/>
  <c r="M823" i="2"/>
  <c r="N823" i="2" s="1"/>
  <c r="R823" i="2"/>
  <c r="S823" i="2"/>
  <c r="X823" i="2"/>
  <c r="Y823" i="2"/>
  <c r="J825" i="2"/>
  <c r="M825" i="2" s="1"/>
  <c r="N825" i="2" s="1"/>
  <c r="K825" i="2"/>
  <c r="L825" i="2"/>
  <c r="O825" i="2"/>
  <c r="P825" i="2"/>
  <c r="Q825" i="2"/>
  <c r="R825" i="2" s="1"/>
  <c r="S825" i="2"/>
  <c r="U825" i="2"/>
  <c r="X825" i="2" s="1"/>
  <c r="Y825" i="2" s="1"/>
  <c r="V825" i="2"/>
  <c r="W825" i="2"/>
  <c r="Z825" i="2"/>
  <c r="AA825" i="2"/>
  <c r="AB825" i="2"/>
  <c r="E827" i="2"/>
  <c r="G827" i="2"/>
  <c r="F829" i="2"/>
  <c r="G829" i="2"/>
  <c r="M829" i="2"/>
  <c r="N829" i="2"/>
  <c r="R829" i="2"/>
  <c r="S829" i="2"/>
  <c r="X829" i="2"/>
  <c r="Y829" i="2"/>
  <c r="F830" i="2"/>
  <c r="G830" i="2"/>
  <c r="M830" i="2"/>
  <c r="N830" i="2"/>
  <c r="R830" i="2"/>
  <c r="S830" i="2"/>
  <c r="X830" i="2"/>
  <c r="Y830" i="2"/>
  <c r="F831" i="2"/>
  <c r="G831" i="2"/>
  <c r="M831" i="2"/>
  <c r="N831" i="2"/>
  <c r="R831" i="2"/>
  <c r="S831" i="2"/>
  <c r="X831" i="2"/>
  <c r="Y831" i="2"/>
  <c r="F832" i="2"/>
  <c r="G832" i="2"/>
  <c r="M832" i="2"/>
  <c r="N832" i="2"/>
  <c r="R832" i="2"/>
  <c r="S832" i="2"/>
  <c r="X832" i="2"/>
  <c r="Y832" i="2"/>
  <c r="F833" i="2"/>
  <c r="G833" i="2"/>
  <c r="M833" i="2"/>
  <c r="N833" i="2"/>
  <c r="R833" i="2"/>
  <c r="S833" i="2"/>
  <c r="X833" i="2"/>
  <c r="Y833" i="2"/>
  <c r="F834" i="2"/>
  <c r="G834" i="2"/>
  <c r="M834" i="2"/>
  <c r="N834" i="2"/>
  <c r="R834" i="2"/>
  <c r="S834" i="2"/>
  <c r="X834" i="2"/>
  <c r="Y834" i="2"/>
  <c r="F835" i="2"/>
  <c r="G835" i="2"/>
  <c r="M835" i="2"/>
  <c r="N835" i="2"/>
  <c r="R835" i="2"/>
  <c r="S835" i="2"/>
  <c r="X835" i="2"/>
  <c r="Y835" i="2"/>
  <c r="F836" i="2"/>
  <c r="G836" i="2"/>
  <c r="M836" i="2"/>
  <c r="N836" i="2"/>
  <c r="R836" i="2"/>
  <c r="S836" i="2"/>
  <c r="X836" i="2"/>
  <c r="Y836" i="2"/>
  <c r="F837" i="2"/>
  <c r="G837" i="2"/>
  <c r="M837" i="2"/>
  <c r="N837" i="2"/>
  <c r="R837" i="2"/>
  <c r="S837" i="2"/>
  <c r="X837" i="2"/>
  <c r="Y837" i="2"/>
  <c r="F838" i="2"/>
  <c r="G838" i="2"/>
  <c r="M838" i="2"/>
  <c r="N838" i="2"/>
  <c r="R838" i="2"/>
  <c r="S838" i="2"/>
  <c r="X838" i="2"/>
  <c r="Y838" i="2"/>
  <c r="F839" i="2"/>
  <c r="G839" i="2"/>
  <c r="M839" i="2"/>
  <c r="N839" i="2"/>
  <c r="R839" i="2"/>
  <c r="S839" i="2"/>
  <c r="X839" i="2"/>
  <c r="Y839" i="2"/>
  <c r="F840" i="2"/>
  <c r="G840" i="2"/>
  <c r="M840" i="2"/>
  <c r="N840" i="2"/>
  <c r="R840" i="2"/>
  <c r="S840" i="2"/>
  <c r="X840" i="2"/>
  <c r="Y840" i="2"/>
  <c r="F841" i="2"/>
  <c r="G841" i="2"/>
  <c r="M841" i="2"/>
  <c r="N841" i="2"/>
  <c r="R841" i="2"/>
  <c r="S841" i="2"/>
  <c r="X841" i="2"/>
  <c r="Y841" i="2"/>
  <c r="F842" i="2"/>
  <c r="G842" i="2"/>
  <c r="M842" i="2"/>
  <c r="N842" i="2"/>
  <c r="R842" i="2"/>
  <c r="S842" i="2"/>
  <c r="X842" i="2"/>
  <c r="Y842" i="2"/>
  <c r="F843" i="2"/>
  <c r="G843" i="2"/>
  <c r="M843" i="2"/>
  <c r="N843" i="2"/>
  <c r="R843" i="2"/>
  <c r="S843" i="2"/>
  <c r="X843" i="2"/>
  <c r="Y843" i="2"/>
  <c r="F844" i="2"/>
  <c r="G844" i="2"/>
  <c r="M844" i="2"/>
  <c r="N844" i="2"/>
  <c r="R844" i="2"/>
  <c r="S844" i="2"/>
  <c r="X844" i="2"/>
  <c r="Y844" i="2"/>
  <c r="F845" i="2"/>
  <c r="G845" i="2"/>
  <c r="M845" i="2"/>
  <c r="N845" i="2"/>
  <c r="R845" i="2"/>
  <c r="S845" i="2"/>
  <c r="X845" i="2"/>
  <c r="Y845" i="2"/>
  <c r="F846" i="2"/>
  <c r="G846" i="2"/>
  <c r="M846" i="2"/>
  <c r="N846" i="2"/>
  <c r="R846" i="2"/>
  <c r="S846" i="2"/>
  <c r="X846" i="2"/>
  <c r="Y846" i="2"/>
  <c r="F847" i="2"/>
  <c r="G847" i="2"/>
  <c r="M847" i="2"/>
  <c r="N847" i="2"/>
  <c r="R847" i="2"/>
  <c r="S847" i="2"/>
  <c r="X847" i="2"/>
  <c r="Y847" i="2"/>
  <c r="F848" i="2"/>
  <c r="G848" i="2"/>
  <c r="M848" i="2"/>
  <c r="N848" i="2"/>
  <c r="R848" i="2"/>
  <c r="S848" i="2"/>
  <c r="X848" i="2"/>
  <c r="Y848" i="2"/>
  <c r="F849" i="2"/>
  <c r="G849" i="2"/>
  <c r="M849" i="2"/>
  <c r="N849" i="2"/>
  <c r="R849" i="2"/>
  <c r="S849" i="2"/>
  <c r="X849" i="2"/>
  <c r="Y849" i="2"/>
  <c r="F850" i="2"/>
  <c r="G850" i="2"/>
  <c r="M850" i="2"/>
  <c r="N850" i="2"/>
  <c r="R850" i="2"/>
  <c r="S850" i="2"/>
  <c r="X850" i="2"/>
  <c r="Y850" i="2"/>
  <c r="F851" i="2"/>
  <c r="G851" i="2"/>
  <c r="M851" i="2"/>
  <c r="N851" i="2"/>
  <c r="R851" i="2"/>
  <c r="S851" i="2"/>
  <c r="X851" i="2"/>
  <c r="Y851" i="2"/>
  <c r="F852" i="2"/>
  <c r="G852" i="2"/>
  <c r="M852" i="2"/>
  <c r="N852" i="2"/>
  <c r="R852" i="2"/>
  <c r="S852" i="2"/>
  <c r="X852" i="2"/>
  <c r="Y852" i="2"/>
  <c r="F853" i="2"/>
  <c r="G853" i="2"/>
  <c r="M853" i="2"/>
  <c r="N853" i="2"/>
  <c r="R853" i="2"/>
  <c r="S853" i="2"/>
  <c r="X853" i="2"/>
  <c r="Y853" i="2"/>
  <c r="F854" i="2"/>
  <c r="G854" i="2"/>
  <c r="M854" i="2"/>
  <c r="N854" i="2"/>
  <c r="R854" i="2"/>
  <c r="S854" i="2"/>
  <c r="X854" i="2"/>
  <c r="Y854" i="2"/>
  <c r="F855" i="2"/>
  <c r="G855" i="2"/>
  <c r="M855" i="2"/>
  <c r="N855" i="2"/>
  <c r="R855" i="2"/>
  <c r="S855" i="2"/>
  <c r="X855" i="2"/>
  <c r="Y855" i="2"/>
  <c r="F856" i="2"/>
  <c r="G856" i="2"/>
  <c r="M856" i="2"/>
  <c r="N856" i="2"/>
  <c r="R856" i="2"/>
  <c r="S856" i="2"/>
  <c r="X856" i="2"/>
  <c r="Y856" i="2"/>
  <c r="F857" i="2"/>
  <c r="G857" i="2"/>
  <c r="M857" i="2"/>
  <c r="N857" i="2"/>
  <c r="R857" i="2"/>
  <c r="S857" i="2"/>
  <c r="X857" i="2"/>
  <c r="Y857" i="2"/>
  <c r="F858" i="2"/>
  <c r="G858" i="2"/>
  <c r="M858" i="2"/>
  <c r="N858" i="2"/>
  <c r="R858" i="2"/>
  <c r="S858" i="2"/>
  <c r="X858" i="2"/>
  <c r="Y858" i="2"/>
  <c r="F859" i="2"/>
  <c r="G859" i="2"/>
  <c r="M859" i="2"/>
  <c r="N859" i="2"/>
  <c r="R859" i="2"/>
  <c r="S859" i="2"/>
  <c r="X859" i="2"/>
  <c r="Y859" i="2"/>
  <c r="F860" i="2"/>
  <c r="G860" i="2"/>
  <c r="M860" i="2"/>
  <c r="N860" i="2"/>
  <c r="R860" i="2"/>
  <c r="S860" i="2"/>
  <c r="X860" i="2"/>
  <c r="Y860" i="2"/>
  <c r="F861" i="2"/>
  <c r="G861" i="2"/>
  <c r="M861" i="2"/>
  <c r="N861" i="2"/>
  <c r="R861" i="2"/>
  <c r="S861" i="2"/>
  <c r="X861" i="2"/>
  <c r="Y861" i="2"/>
  <c r="F862" i="2"/>
  <c r="G862" i="2"/>
  <c r="M862" i="2"/>
  <c r="N862" i="2"/>
  <c r="R862" i="2"/>
  <c r="S862" i="2"/>
  <c r="X862" i="2"/>
  <c r="Y862" i="2"/>
  <c r="F863" i="2"/>
  <c r="G863" i="2"/>
  <c r="M863" i="2"/>
  <c r="N863" i="2"/>
  <c r="R863" i="2"/>
  <c r="S863" i="2"/>
  <c r="X863" i="2"/>
  <c r="Y863" i="2"/>
  <c r="J865" i="2"/>
  <c r="M865" i="2" s="1"/>
  <c r="N865" i="2" s="1"/>
  <c r="K865" i="2"/>
  <c r="L865" i="2"/>
  <c r="O865" i="2"/>
  <c r="P865" i="2"/>
  <c r="Q865" i="2"/>
  <c r="R865" i="2" s="1"/>
  <c r="S865" i="2" s="1"/>
  <c r="U865" i="2"/>
  <c r="V865" i="2"/>
  <c r="W865" i="2"/>
  <c r="Z865" i="2"/>
  <c r="AA865" i="2"/>
  <c r="AB865" i="2"/>
  <c r="E867" i="2"/>
  <c r="G867" i="2"/>
  <c r="F869" i="2"/>
  <c r="G869" i="2"/>
  <c r="M869" i="2"/>
  <c r="N869" i="2"/>
  <c r="R869" i="2"/>
  <c r="S869" i="2"/>
  <c r="X869" i="2"/>
  <c r="Y869" i="2"/>
  <c r="J871" i="2"/>
  <c r="K871" i="2"/>
  <c r="L871" i="2"/>
  <c r="M871" i="2" s="1"/>
  <c r="N871" i="2"/>
  <c r="O871" i="2"/>
  <c r="P871" i="2"/>
  <c r="Q871" i="2"/>
  <c r="U871" i="2"/>
  <c r="Y871" i="2" s="1"/>
  <c r="V871" i="2"/>
  <c r="W871" i="2"/>
  <c r="X871" i="2"/>
  <c r="Z871" i="2"/>
  <c r="AA871" i="2"/>
  <c r="AB871" i="2"/>
  <c r="E873" i="2"/>
  <c r="G873" i="2"/>
  <c r="F875" i="2"/>
  <c r="G875" i="2"/>
  <c r="M875" i="2"/>
  <c r="N875" i="2"/>
  <c r="R875" i="2"/>
  <c r="S875" i="2"/>
  <c r="X875" i="2"/>
  <c r="Y875" i="2"/>
  <c r="F876" i="2"/>
  <c r="G876" i="2"/>
  <c r="M876" i="2"/>
  <c r="N876" i="2"/>
  <c r="R876" i="2"/>
  <c r="S876" i="2"/>
  <c r="X876" i="2"/>
  <c r="Y876" i="2" s="1"/>
  <c r="F877" i="2"/>
  <c r="G877" i="2"/>
  <c r="M877" i="2"/>
  <c r="N877" i="2"/>
  <c r="R877" i="2"/>
  <c r="S877" i="2"/>
  <c r="X877" i="2"/>
  <c r="Y877" i="2"/>
  <c r="F878" i="2"/>
  <c r="G878" i="2"/>
  <c r="M878" i="2"/>
  <c r="N878" i="2"/>
  <c r="R878" i="2"/>
  <c r="S878" i="2"/>
  <c r="X878" i="2"/>
  <c r="Y878" i="2" s="1"/>
  <c r="F879" i="2"/>
  <c r="G879" i="2"/>
  <c r="M879" i="2"/>
  <c r="N879" i="2"/>
  <c r="R879" i="2"/>
  <c r="S879" i="2"/>
  <c r="X879" i="2"/>
  <c r="Y879" i="2"/>
  <c r="F880" i="2"/>
  <c r="G880" i="2"/>
  <c r="M880" i="2"/>
  <c r="N880" i="2"/>
  <c r="R880" i="2"/>
  <c r="S880" i="2"/>
  <c r="X880" i="2"/>
  <c r="Y880" i="2"/>
  <c r="F881" i="2"/>
  <c r="G881" i="2"/>
  <c r="M881" i="2"/>
  <c r="N881" i="2"/>
  <c r="R881" i="2"/>
  <c r="S881" i="2"/>
  <c r="X881" i="2"/>
  <c r="Y881" i="2"/>
  <c r="F882" i="2"/>
  <c r="G882" i="2"/>
  <c r="M882" i="2"/>
  <c r="N882" i="2"/>
  <c r="R882" i="2"/>
  <c r="S882" i="2"/>
  <c r="X882" i="2"/>
  <c r="Y882" i="2"/>
  <c r="F883" i="2"/>
  <c r="G883" i="2"/>
  <c r="M883" i="2"/>
  <c r="N883" i="2"/>
  <c r="R883" i="2"/>
  <c r="S883" i="2"/>
  <c r="X883" i="2"/>
  <c r="Y883" i="2"/>
  <c r="F884" i="2"/>
  <c r="G884" i="2"/>
  <c r="M884" i="2"/>
  <c r="N884" i="2"/>
  <c r="R884" i="2"/>
  <c r="S884" i="2"/>
  <c r="X884" i="2"/>
  <c r="Y884" i="2"/>
  <c r="F885" i="2"/>
  <c r="G885" i="2"/>
  <c r="M885" i="2"/>
  <c r="N885" i="2"/>
  <c r="R885" i="2"/>
  <c r="S885" i="2"/>
  <c r="X885" i="2"/>
  <c r="Y885" i="2"/>
  <c r="F886" i="2"/>
  <c r="G886" i="2"/>
  <c r="M886" i="2"/>
  <c r="N886" i="2"/>
  <c r="R886" i="2"/>
  <c r="S886" i="2"/>
  <c r="X886" i="2"/>
  <c r="Y886" i="2"/>
  <c r="F887" i="2"/>
  <c r="G887" i="2"/>
  <c r="M887" i="2"/>
  <c r="N887" i="2"/>
  <c r="R887" i="2"/>
  <c r="S887" i="2"/>
  <c r="X887" i="2"/>
  <c r="Y887" i="2"/>
  <c r="F888" i="2"/>
  <c r="G888" i="2"/>
  <c r="M888" i="2"/>
  <c r="N888" i="2"/>
  <c r="R888" i="2"/>
  <c r="S888" i="2"/>
  <c r="X888" i="2"/>
  <c r="Y888" i="2"/>
  <c r="F889" i="2"/>
  <c r="G889" i="2"/>
  <c r="M889" i="2"/>
  <c r="N889" i="2"/>
  <c r="R889" i="2"/>
  <c r="S889" i="2"/>
  <c r="X889" i="2"/>
  <c r="Y889" i="2"/>
  <c r="F890" i="2"/>
  <c r="G890" i="2"/>
  <c r="M890" i="2"/>
  <c r="N890" i="2"/>
  <c r="R890" i="2"/>
  <c r="S890" i="2"/>
  <c r="X890" i="2"/>
  <c r="Y890" i="2"/>
  <c r="F891" i="2"/>
  <c r="G891" i="2"/>
  <c r="M891" i="2"/>
  <c r="N891" i="2"/>
  <c r="R891" i="2"/>
  <c r="S891" i="2"/>
  <c r="X891" i="2"/>
  <c r="Y891" i="2"/>
  <c r="F892" i="2"/>
  <c r="G892" i="2"/>
  <c r="M892" i="2"/>
  <c r="N892" i="2"/>
  <c r="R892" i="2"/>
  <c r="S892" i="2"/>
  <c r="X892" i="2"/>
  <c r="Y892" i="2"/>
  <c r="F893" i="2"/>
  <c r="G893" i="2"/>
  <c r="M893" i="2"/>
  <c r="N893" i="2"/>
  <c r="R893" i="2"/>
  <c r="S893" i="2"/>
  <c r="X893" i="2"/>
  <c r="Y893" i="2"/>
  <c r="F894" i="2"/>
  <c r="G894" i="2"/>
  <c r="M894" i="2"/>
  <c r="N894" i="2"/>
  <c r="R894" i="2"/>
  <c r="S894" i="2"/>
  <c r="X894" i="2"/>
  <c r="Y894" i="2"/>
  <c r="F895" i="2"/>
  <c r="G895" i="2"/>
  <c r="M895" i="2"/>
  <c r="N895" i="2"/>
  <c r="R895" i="2"/>
  <c r="S895" i="2"/>
  <c r="X895" i="2"/>
  <c r="Y895" i="2"/>
  <c r="J897" i="2"/>
  <c r="K897" i="2"/>
  <c r="L897" i="2"/>
  <c r="O897" i="2"/>
  <c r="P897" i="2"/>
  <c r="Q897" i="2"/>
  <c r="U897" i="2"/>
  <c r="X897" i="2" s="1"/>
  <c r="V897" i="2"/>
  <c r="W897" i="2"/>
  <c r="Z897" i="2"/>
  <c r="AA897" i="2"/>
  <c r="AB897" i="2"/>
  <c r="E899" i="2"/>
  <c r="G899" i="2"/>
  <c r="F901" i="2"/>
  <c r="G901" i="2"/>
  <c r="M901" i="2"/>
  <c r="N901" i="2"/>
  <c r="R901" i="2"/>
  <c r="S901" i="2"/>
  <c r="X901" i="2"/>
  <c r="Y901" i="2"/>
  <c r="J903" i="2"/>
  <c r="N903" i="2" s="1"/>
  <c r="K903" i="2"/>
  <c r="L903" i="2"/>
  <c r="M903" i="2"/>
  <c r="O903" i="2"/>
  <c r="S903" i="2" s="1"/>
  <c r="P903" i="2"/>
  <c r="Q903" i="2"/>
  <c r="U903" i="2"/>
  <c r="Y903" i="2" s="1"/>
  <c r="V903" i="2"/>
  <c r="W903" i="2"/>
  <c r="X903" i="2"/>
  <c r="Z903" i="2"/>
  <c r="AA903" i="2"/>
  <c r="AB903" i="2"/>
  <c r="E905" i="2"/>
  <c r="G905" i="2"/>
  <c r="F907" i="2"/>
  <c r="G907" i="2"/>
  <c r="M907" i="2"/>
  <c r="N907" i="2"/>
  <c r="R907" i="2"/>
  <c r="S907" i="2"/>
  <c r="X907" i="2"/>
  <c r="Y907" i="2"/>
  <c r="F908" i="2"/>
  <c r="G908" i="2"/>
  <c r="M908" i="2"/>
  <c r="N908" i="2"/>
  <c r="R908" i="2"/>
  <c r="S908" i="2"/>
  <c r="X908" i="2"/>
  <c r="Y908" i="2"/>
  <c r="F909" i="2"/>
  <c r="G909" i="2"/>
  <c r="M909" i="2"/>
  <c r="N909" i="2"/>
  <c r="R909" i="2"/>
  <c r="S909" i="2"/>
  <c r="X909" i="2"/>
  <c r="Y909" i="2"/>
  <c r="F910" i="2"/>
  <c r="G910" i="2"/>
  <c r="M910" i="2"/>
  <c r="N910" i="2"/>
  <c r="R910" i="2"/>
  <c r="S910" i="2" s="1"/>
  <c r="X910" i="2"/>
  <c r="Y910" i="2"/>
  <c r="F911" i="2"/>
  <c r="G911" i="2"/>
  <c r="M911" i="2"/>
  <c r="N911" i="2"/>
  <c r="R911" i="2"/>
  <c r="S911" i="2"/>
  <c r="X911" i="2"/>
  <c r="Y911" i="2"/>
  <c r="F912" i="2"/>
  <c r="G912" i="2"/>
  <c r="M912" i="2"/>
  <c r="N912" i="2"/>
  <c r="R912" i="2"/>
  <c r="S912" i="2"/>
  <c r="X912" i="2"/>
  <c r="Y912" i="2"/>
  <c r="F913" i="2"/>
  <c r="G913" i="2"/>
  <c r="M913" i="2"/>
  <c r="N913" i="2"/>
  <c r="R913" i="2"/>
  <c r="S913" i="2" s="1"/>
  <c r="X913" i="2"/>
  <c r="Y913" i="2"/>
  <c r="F914" i="2"/>
  <c r="G914" i="2"/>
  <c r="M914" i="2"/>
  <c r="N914" i="2"/>
  <c r="R914" i="2"/>
  <c r="S914" i="2" s="1"/>
  <c r="X914" i="2"/>
  <c r="Y914" i="2"/>
  <c r="F915" i="2"/>
  <c r="G915" i="2"/>
  <c r="M915" i="2"/>
  <c r="N915" i="2"/>
  <c r="R915" i="2"/>
  <c r="S915" i="2" s="1"/>
  <c r="X915" i="2"/>
  <c r="Y915" i="2"/>
  <c r="F916" i="2"/>
  <c r="G916" i="2"/>
  <c r="M916" i="2"/>
  <c r="N916" i="2"/>
  <c r="R916" i="2"/>
  <c r="S916" i="2"/>
  <c r="X916" i="2"/>
  <c r="Y916" i="2"/>
  <c r="F917" i="2"/>
  <c r="G917" i="2"/>
  <c r="M917" i="2"/>
  <c r="N917" i="2"/>
  <c r="R917" i="2"/>
  <c r="S917" i="2" s="1"/>
  <c r="X917" i="2"/>
  <c r="Y917" i="2"/>
  <c r="F918" i="2"/>
  <c r="G918" i="2"/>
  <c r="M918" i="2"/>
  <c r="N918" i="2"/>
  <c r="R918" i="2"/>
  <c r="S918" i="2" s="1"/>
  <c r="X918" i="2"/>
  <c r="Y918" i="2" s="1"/>
  <c r="F919" i="2"/>
  <c r="G919" i="2"/>
  <c r="M919" i="2"/>
  <c r="N919" i="2"/>
  <c r="R919" i="2"/>
  <c r="S919" i="2"/>
  <c r="X919" i="2"/>
  <c r="Y919" i="2"/>
  <c r="F920" i="2"/>
  <c r="G920" i="2"/>
  <c r="M920" i="2"/>
  <c r="N920" i="2"/>
  <c r="R920" i="2"/>
  <c r="S920" i="2" s="1"/>
  <c r="X920" i="2"/>
  <c r="Y920" i="2" s="1"/>
  <c r="F921" i="2"/>
  <c r="G921" i="2"/>
  <c r="M921" i="2"/>
  <c r="N921" i="2"/>
  <c r="R921" i="2"/>
  <c r="S921" i="2" s="1"/>
  <c r="X921" i="2"/>
  <c r="Y921" i="2"/>
  <c r="F922" i="2"/>
  <c r="G922" i="2"/>
  <c r="M922" i="2"/>
  <c r="N922" i="2"/>
  <c r="R922" i="2"/>
  <c r="S922" i="2" s="1"/>
  <c r="X922" i="2"/>
  <c r="Y922" i="2"/>
  <c r="F923" i="2"/>
  <c r="G923" i="2"/>
  <c r="M923" i="2"/>
  <c r="N923" i="2"/>
  <c r="R923" i="2"/>
  <c r="S923" i="2" s="1"/>
  <c r="X923" i="2"/>
  <c r="Y923" i="2"/>
  <c r="F924" i="2"/>
  <c r="G924" i="2"/>
  <c r="M924" i="2"/>
  <c r="N924" i="2"/>
  <c r="R924" i="2"/>
  <c r="S924" i="2" s="1"/>
  <c r="X924" i="2"/>
  <c r="Y924" i="2"/>
  <c r="F925" i="2"/>
  <c r="G925" i="2"/>
  <c r="M925" i="2"/>
  <c r="N925" i="2"/>
  <c r="R925" i="2"/>
  <c r="S925" i="2" s="1"/>
  <c r="X925" i="2"/>
  <c r="Y925" i="2"/>
  <c r="F926" i="2"/>
  <c r="G926" i="2"/>
  <c r="M926" i="2"/>
  <c r="N926" i="2"/>
  <c r="R926" i="2"/>
  <c r="S926" i="2"/>
  <c r="X926" i="2"/>
  <c r="Y926" i="2"/>
  <c r="F927" i="2"/>
  <c r="G927" i="2"/>
  <c r="M927" i="2"/>
  <c r="N927" i="2"/>
  <c r="R927" i="2"/>
  <c r="S927" i="2" s="1"/>
  <c r="X927" i="2"/>
  <c r="Y927" i="2"/>
  <c r="F928" i="2"/>
  <c r="G928" i="2"/>
  <c r="M928" i="2"/>
  <c r="N928" i="2"/>
  <c r="R928" i="2"/>
  <c r="S928" i="2" s="1"/>
  <c r="X928" i="2"/>
  <c r="Y928" i="2"/>
  <c r="F929" i="2"/>
  <c r="G929" i="2"/>
  <c r="M929" i="2"/>
  <c r="N929" i="2"/>
  <c r="R929" i="2"/>
  <c r="S929" i="2" s="1"/>
  <c r="X929" i="2"/>
  <c r="Y929" i="2" s="1"/>
  <c r="F930" i="2"/>
  <c r="G930" i="2"/>
  <c r="M930" i="2"/>
  <c r="N930" i="2"/>
  <c r="R930" i="2"/>
  <c r="S930" i="2" s="1"/>
  <c r="X930" i="2"/>
  <c r="Y930" i="2"/>
  <c r="F931" i="2"/>
  <c r="G931" i="2"/>
  <c r="M931" i="2"/>
  <c r="N931" i="2"/>
  <c r="R931" i="2"/>
  <c r="S931" i="2"/>
  <c r="X931" i="2"/>
  <c r="Y931" i="2"/>
  <c r="F932" i="2"/>
  <c r="G932" i="2"/>
  <c r="M932" i="2"/>
  <c r="N932" i="2"/>
  <c r="R932" i="2"/>
  <c r="S932" i="2" s="1"/>
  <c r="X932" i="2"/>
  <c r="Y932" i="2"/>
  <c r="F933" i="2"/>
  <c r="G933" i="2"/>
  <c r="M933" i="2"/>
  <c r="N933" i="2"/>
  <c r="R933" i="2"/>
  <c r="S933" i="2" s="1"/>
  <c r="X933" i="2"/>
  <c r="Y933" i="2" s="1"/>
  <c r="F934" i="2"/>
  <c r="G934" i="2"/>
  <c r="M934" i="2"/>
  <c r="N934" i="2"/>
  <c r="R934" i="2"/>
  <c r="S934" i="2"/>
  <c r="X934" i="2"/>
  <c r="Y934" i="2" s="1"/>
  <c r="F935" i="2"/>
  <c r="G935" i="2"/>
  <c r="M935" i="2"/>
  <c r="N935" i="2"/>
  <c r="R935" i="2"/>
  <c r="S935" i="2" s="1"/>
  <c r="X935" i="2"/>
  <c r="Y935" i="2" s="1"/>
  <c r="F936" i="2"/>
  <c r="G936" i="2"/>
  <c r="M936" i="2"/>
  <c r="N936" i="2"/>
  <c r="R936" i="2"/>
  <c r="S936" i="2" s="1"/>
  <c r="X936" i="2"/>
  <c r="Y936" i="2"/>
  <c r="F937" i="2"/>
  <c r="G937" i="2"/>
  <c r="M937" i="2"/>
  <c r="N937" i="2"/>
  <c r="R937" i="2"/>
  <c r="S937" i="2" s="1"/>
  <c r="X937" i="2"/>
  <c r="Y937" i="2"/>
  <c r="J939" i="2"/>
  <c r="M939" i="2" s="1"/>
  <c r="K939" i="2"/>
  <c r="L939" i="2"/>
  <c r="O939" i="2"/>
  <c r="P939" i="2"/>
  <c r="Q939" i="2"/>
  <c r="R939" i="2"/>
  <c r="U939" i="2"/>
  <c r="V939" i="2"/>
  <c r="W939" i="2"/>
  <c r="X939" i="2"/>
  <c r="Y939" i="2"/>
  <c r="Z939" i="2"/>
  <c r="AA939" i="2"/>
  <c r="AB939" i="2"/>
  <c r="E941" i="2"/>
  <c r="G941" i="2"/>
  <c r="F943" i="2"/>
  <c r="G943" i="2"/>
  <c r="M943" i="2"/>
  <c r="N943" i="2"/>
  <c r="R943" i="2"/>
  <c r="S943" i="2" s="1"/>
  <c r="X943" i="2"/>
  <c r="Y943" i="2"/>
  <c r="F944" i="2"/>
  <c r="G944" i="2"/>
  <c r="M944" i="2"/>
  <c r="N944" i="2"/>
  <c r="R944" i="2"/>
  <c r="S944" i="2" s="1"/>
  <c r="X944" i="2"/>
  <c r="Y944" i="2"/>
  <c r="F945" i="2"/>
  <c r="G945" i="2"/>
  <c r="M945" i="2"/>
  <c r="N945" i="2"/>
  <c r="R945" i="2"/>
  <c r="S945" i="2" s="1"/>
  <c r="X945" i="2"/>
  <c r="Y945" i="2"/>
  <c r="F946" i="2"/>
  <c r="G946" i="2"/>
  <c r="M946" i="2"/>
  <c r="N946" i="2"/>
  <c r="R946" i="2"/>
  <c r="S946" i="2" s="1"/>
  <c r="X946" i="2"/>
  <c r="Y946" i="2"/>
  <c r="F947" i="2"/>
  <c r="G947" i="2"/>
  <c r="M947" i="2"/>
  <c r="N947" i="2"/>
  <c r="R947" i="2"/>
  <c r="S947" i="2" s="1"/>
  <c r="X947" i="2"/>
  <c r="Y947" i="2"/>
  <c r="F948" i="2"/>
  <c r="G948" i="2"/>
  <c r="M948" i="2"/>
  <c r="N948" i="2"/>
  <c r="R948" i="2"/>
  <c r="S948" i="2" s="1"/>
  <c r="X948" i="2"/>
  <c r="Y948" i="2"/>
  <c r="F949" i="2"/>
  <c r="G949" i="2"/>
  <c r="M949" i="2"/>
  <c r="N949" i="2"/>
  <c r="R949" i="2"/>
  <c r="S949" i="2" s="1"/>
  <c r="X949" i="2"/>
  <c r="Y949" i="2"/>
  <c r="F950" i="2"/>
  <c r="G950" i="2"/>
  <c r="M950" i="2"/>
  <c r="N950" i="2"/>
  <c r="R950" i="2"/>
  <c r="S950" i="2" s="1"/>
  <c r="X950" i="2"/>
  <c r="Y950" i="2"/>
  <c r="F951" i="2"/>
  <c r="G951" i="2"/>
  <c r="M951" i="2"/>
  <c r="N951" i="2"/>
  <c r="R951" i="2"/>
  <c r="S951" i="2" s="1"/>
  <c r="X951" i="2"/>
  <c r="Y951" i="2"/>
  <c r="F952" i="2"/>
  <c r="G952" i="2"/>
  <c r="M952" i="2"/>
  <c r="N952" i="2"/>
  <c r="R952" i="2"/>
  <c r="S952" i="2" s="1"/>
  <c r="X952" i="2"/>
  <c r="Y952" i="2"/>
  <c r="F953" i="2"/>
  <c r="G953" i="2"/>
  <c r="M953" i="2"/>
  <c r="N953" i="2"/>
  <c r="R953" i="2"/>
  <c r="S953" i="2" s="1"/>
  <c r="X953" i="2"/>
  <c r="Y953" i="2"/>
  <c r="F954" i="2"/>
  <c r="G954" i="2"/>
  <c r="M954" i="2"/>
  <c r="N954" i="2"/>
  <c r="R954" i="2"/>
  <c r="S954" i="2" s="1"/>
  <c r="X954" i="2"/>
  <c r="Y954" i="2"/>
  <c r="F955" i="2"/>
  <c r="G955" i="2"/>
  <c r="M955" i="2"/>
  <c r="N955" i="2"/>
  <c r="R955" i="2"/>
  <c r="S955" i="2" s="1"/>
  <c r="X955" i="2"/>
  <c r="Y955" i="2"/>
  <c r="F956" i="2"/>
  <c r="G956" i="2"/>
  <c r="M956" i="2"/>
  <c r="N956" i="2"/>
  <c r="R956" i="2"/>
  <c r="S956" i="2" s="1"/>
  <c r="X956" i="2"/>
  <c r="Y956" i="2"/>
  <c r="F957" i="2"/>
  <c r="G957" i="2"/>
  <c r="M957" i="2"/>
  <c r="N957" i="2"/>
  <c r="R957" i="2"/>
  <c r="S957" i="2" s="1"/>
  <c r="X957" i="2"/>
  <c r="Y957" i="2"/>
  <c r="F958" i="2"/>
  <c r="G958" i="2"/>
  <c r="M958" i="2"/>
  <c r="N958" i="2"/>
  <c r="R958" i="2"/>
  <c r="S958" i="2" s="1"/>
  <c r="X958" i="2"/>
  <c r="Y958" i="2"/>
  <c r="F959" i="2"/>
  <c r="G959" i="2"/>
  <c r="M959" i="2"/>
  <c r="N959" i="2"/>
  <c r="R959" i="2"/>
  <c r="S959" i="2" s="1"/>
  <c r="X959" i="2"/>
  <c r="Y959" i="2"/>
  <c r="F960" i="2"/>
  <c r="G960" i="2"/>
  <c r="M960" i="2"/>
  <c r="N960" i="2"/>
  <c r="R960" i="2"/>
  <c r="S960" i="2" s="1"/>
  <c r="X960" i="2"/>
  <c r="Y960" i="2"/>
  <c r="F961" i="2"/>
  <c r="G961" i="2"/>
  <c r="M961" i="2"/>
  <c r="N961" i="2"/>
  <c r="R961" i="2"/>
  <c r="S961" i="2" s="1"/>
  <c r="X961" i="2"/>
  <c r="Y961" i="2"/>
  <c r="F962" i="2"/>
  <c r="G962" i="2"/>
  <c r="M962" i="2"/>
  <c r="N962" i="2"/>
  <c r="R962" i="2"/>
  <c r="S962" i="2" s="1"/>
  <c r="X962" i="2"/>
  <c r="Y962" i="2"/>
  <c r="F963" i="2"/>
  <c r="G963" i="2"/>
  <c r="M963" i="2"/>
  <c r="N963" i="2"/>
  <c r="R963" i="2"/>
  <c r="S963" i="2" s="1"/>
  <c r="X963" i="2"/>
  <c r="Y963" i="2"/>
  <c r="F964" i="2"/>
  <c r="G964" i="2"/>
  <c r="M964" i="2"/>
  <c r="N964" i="2"/>
  <c r="R964" i="2"/>
  <c r="S964" i="2" s="1"/>
  <c r="X964" i="2"/>
  <c r="Y964" i="2"/>
  <c r="F965" i="2"/>
  <c r="G965" i="2"/>
  <c r="M965" i="2"/>
  <c r="N965" i="2"/>
  <c r="R965" i="2"/>
  <c r="S965" i="2" s="1"/>
  <c r="X965" i="2"/>
  <c r="Y965" i="2"/>
  <c r="F966" i="2"/>
  <c r="G966" i="2"/>
  <c r="M966" i="2"/>
  <c r="N966" i="2"/>
  <c r="R966" i="2"/>
  <c r="S966" i="2" s="1"/>
  <c r="X966" i="2"/>
  <c r="Y966" i="2"/>
  <c r="F967" i="2"/>
  <c r="G967" i="2"/>
  <c r="M967" i="2"/>
  <c r="N967" i="2"/>
  <c r="R967" i="2"/>
  <c r="S967" i="2" s="1"/>
  <c r="X967" i="2"/>
  <c r="Y967" i="2"/>
  <c r="F968" i="2"/>
  <c r="G968" i="2"/>
  <c r="M968" i="2"/>
  <c r="N968" i="2"/>
  <c r="R968" i="2"/>
  <c r="S968" i="2" s="1"/>
  <c r="X968" i="2"/>
  <c r="Y968" i="2"/>
  <c r="F969" i="2"/>
  <c r="G969" i="2"/>
  <c r="M969" i="2"/>
  <c r="N969" i="2"/>
  <c r="R969" i="2"/>
  <c r="S969" i="2" s="1"/>
  <c r="X969" i="2"/>
  <c r="Y969" i="2"/>
  <c r="F970" i="2"/>
  <c r="G970" i="2"/>
  <c r="M970" i="2"/>
  <c r="N970" i="2"/>
  <c r="R970" i="2"/>
  <c r="S970" i="2" s="1"/>
  <c r="X970" i="2"/>
  <c r="Y970" i="2"/>
  <c r="F971" i="2"/>
  <c r="G971" i="2"/>
  <c r="M971" i="2"/>
  <c r="N971" i="2"/>
  <c r="R971" i="2"/>
  <c r="S971" i="2" s="1"/>
  <c r="X971" i="2"/>
  <c r="Y971" i="2"/>
  <c r="J973" i="2"/>
  <c r="N973" i="2" s="1"/>
  <c r="K973" i="2"/>
  <c r="L973" i="2"/>
  <c r="M973" i="2" s="1"/>
  <c r="O973" i="2"/>
  <c r="S973" i="2" s="1"/>
  <c r="P973" i="2"/>
  <c r="Q973" i="2"/>
  <c r="R973" i="2" s="1"/>
  <c r="U973" i="2"/>
  <c r="V973" i="2"/>
  <c r="W973" i="2"/>
  <c r="Z973" i="2"/>
  <c r="AA973" i="2"/>
  <c r="AB973" i="2"/>
  <c r="E975" i="2"/>
  <c r="G975" i="2"/>
  <c r="F977" i="2"/>
  <c r="G977" i="2"/>
  <c r="M977" i="2"/>
  <c r="N977" i="2"/>
  <c r="R977" i="2"/>
  <c r="S977" i="2" s="1"/>
  <c r="X977" i="2"/>
  <c r="Y977" i="2"/>
  <c r="F978" i="2"/>
  <c r="G978" i="2"/>
  <c r="M978" i="2"/>
  <c r="N978" i="2"/>
  <c r="R978" i="2"/>
  <c r="S978" i="2" s="1"/>
  <c r="X978" i="2"/>
  <c r="Y978" i="2"/>
  <c r="F979" i="2"/>
  <c r="G979" i="2"/>
  <c r="M979" i="2"/>
  <c r="N979" i="2"/>
  <c r="R979" i="2"/>
  <c r="S979" i="2" s="1"/>
  <c r="X979" i="2"/>
  <c r="Y979" i="2"/>
  <c r="F980" i="2"/>
  <c r="G980" i="2"/>
  <c r="M980" i="2"/>
  <c r="N980" i="2"/>
  <c r="R980" i="2"/>
  <c r="S980" i="2" s="1"/>
  <c r="X980" i="2"/>
  <c r="Y980" i="2"/>
  <c r="F981" i="2"/>
  <c r="G981" i="2"/>
  <c r="M981" i="2"/>
  <c r="N981" i="2"/>
  <c r="R981" i="2"/>
  <c r="S981" i="2" s="1"/>
  <c r="X981" i="2"/>
  <c r="Y981" i="2"/>
  <c r="F982" i="2"/>
  <c r="G982" i="2"/>
  <c r="M982" i="2"/>
  <c r="N982" i="2"/>
  <c r="R982" i="2"/>
  <c r="S982" i="2" s="1"/>
  <c r="X982" i="2"/>
  <c r="Y982" i="2"/>
  <c r="F983" i="2"/>
  <c r="G983" i="2"/>
  <c r="M983" i="2"/>
  <c r="N983" i="2"/>
  <c r="R983" i="2"/>
  <c r="S983" i="2" s="1"/>
  <c r="X983" i="2"/>
  <c r="Y983" i="2"/>
  <c r="F984" i="2"/>
  <c r="G984" i="2"/>
  <c r="M984" i="2"/>
  <c r="N984" i="2"/>
  <c r="R984" i="2"/>
  <c r="S984" i="2" s="1"/>
  <c r="X984" i="2"/>
  <c r="Y984" i="2"/>
  <c r="F985" i="2"/>
  <c r="G985" i="2"/>
  <c r="M985" i="2"/>
  <c r="N985" i="2"/>
  <c r="R985" i="2"/>
  <c r="S985" i="2" s="1"/>
  <c r="X985" i="2"/>
  <c r="Y985" i="2"/>
  <c r="F986" i="2"/>
  <c r="G986" i="2"/>
  <c r="M986" i="2"/>
  <c r="N986" i="2"/>
  <c r="R986" i="2"/>
  <c r="S986" i="2" s="1"/>
  <c r="X986" i="2"/>
  <c r="Y986" i="2"/>
  <c r="J988" i="2"/>
  <c r="N988" i="2" s="1"/>
  <c r="K988" i="2"/>
  <c r="L988" i="2"/>
  <c r="M988" i="2" s="1"/>
  <c r="O988" i="2"/>
  <c r="P988" i="2"/>
  <c r="Q988" i="2"/>
  <c r="U988" i="2"/>
  <c r="Y988" i="2" s="1"/>
  <c r="V988" i="2"/>
  <c r="W988" i="2"/>
  <c r="X988" i="2"/>
  <c r="Z988" i="2"/>
  <c r="AA988" i="2"/>
  <c r="AB988" i="2"/>
  <c r="E990" i="2"/>
  <c r="G990" i="2"/>
  <c r="F992" i="2"/>
  <c r="G992" i="2"/>
  <c r="M992" i="2"/>
  <c r="N992" i="2" s="1"/>
  <c r="R992" i="2"/>
  <c r="S992" i="2"/>
  <c r="X992" i="2"/>
  <c r="Y992" i="2"/>
  <c r="F993" i="2"/>
  <c r="G993" i="2"/>
  <c r="M993" i="2"/>
  <c r="N993" i="2" s="1"/>
  <c r="R993" i="2"/>
  <c r="S993" i="2"/>
  <c r="X993" i="2"/>
  <c r="Y993" i="2"/>
  <c r="F994" i="2"/>
  <c r="G994" i="2"/>
  <c r="M994" i="2"/>
  <c r="N994" i="2"/>
  <c r="R994" i="2"/>
  <c r="S994" i="2"/>
  <c r="X994" i="2"/>
  <c r="Y994" i="2"/>
  <c r="F995" i="2"/>
  <c r="G995" i="2"/>
  <c r="M995" i="2"/>
  <c r="N995" i="2" s="1"/>
  <c r="R995" i="2"/>
  <c r="S995" i="2"/>
  <c r="X995" i="2"/>
  <c r="Y995" i="2"/>
  <c r="F996" i="2"/>
  <c r="G996" i="2"/>
  <c r="M996" i="2"/>
  <c r="N996" i="2" s="1"/>
  <c r="R996" i="2"/>
  <c r="S996" i="2"/>
  <c r="X996" i="2"/>
  <c r="Y996" i="2"/>
  <c r="F997" i="2"/>
  <c r="G997" i="2"/>
  <c r="M997" i="2"/>
  <c r="N997" i="2"/>
  <c r="R997" i="2"/>
  <c r="S997" i="2"/>
  <c r="X997" i="2"/>
  <c r="Y997" i="2"/>
  <c r="F998" i="2"/>
  <c r="G998" i="2"/>
  <c r="M998" i="2"/>
  <c r="N998" i="2" s="1"/>
  <c r="R998" i="2"/>
  <c r="S998" i="2"/>
  <c r="X998" i="2"/>
  <c r="Y998" i="2" s="1"/>
  <c r="F999" i="2"/>
  <c r="G999" i="2"/>
  <c r="M999" i="2"/>
  <c r="N999" i="2" s="1"/>
  <c r="R999" i="2"/>
  <c r="S999" i="2"/>
  <c r="X999" i="2"/>
  <c r="Y999" i="2"/>
  <c r="F1000" i="2"/>
  <c r="G1000" i="2"/>
  <c r="M1000" i="2"/>
  <c r="N1000" i="2" s="1"/>
  <c r="R1000" i="2"/>
  <c r="S1000" i="2"/>
  <c r="X1000" i="2"/>
  <c r="Y1000" i="2"/>
  <c r="F1001" i="2"/>
  <c r="G1001" i="2"/>
  <c r="M1001" i="2"/>
  <c r="N1001" i="2"/>
  <c r="R1001" i="2"/>
  <c r="S1001" i="2"/>
  <c r="X1001" i="2"/>
  <c r="Y1001" i="2"/>
  <c r="F1002" i="2"/>
  <c r="G1002" i="2"/>
  <c r="M1002" i="2"/>
  <c r="N1002" i="2" s="1"/>
  <c r="R1002" i="2"/>
  <c r="S1002" i="2"/>
  <c r="X1002" i="2"/>
  <c r="Y1002" i="2"/>
  <c r="F1003" i="2"/>
  <c r="G1003" i="2"/>
  <c r="M1003" i="2"/>
  <c r="N1003" i="2" s="1"/>
  <c r="R1003" i="2"/>
  <c r="S1003" i="2"/>
  <c r="X1003" i="2"/>
  <c r="Y1003" i="2"/>
  <c r="F1004" i="2"/>
  <c r="G1004" i="2"/>
  <c r="M1004" i="2"/>
  <c r="N1004" i="2"/>
  <c r="R1004" i="2"/>
  <c r="S1004" i="2"/>
  <c r="X1004" i="2"/>
  <c r="Y1004" i="2"/>
  <c r="F1005" i="2"/>
  <c r="G1005" i="2"/>
  <c r="M1005" i="2"/>
  <c r="N1005" i="2" s="1"/>
  <c r="R1005" i="2"/>
  <c r="S1005" i="2"/>
  <c r="X1005" i="2"/>
  <c r="Y1005" i="2"/>
  <c r="F1006" i="2"/>
  <c r="G1006" i="2"/>
  <c r="M1006" i="2"/>
  <c r="N1006" i="2"/>
  <c r="R1006" i="2"/>
  <c r="S1006" i="2"/>
  <c r="X1006" i="2"/>
  <c r="Y1006" i="2"/>
  <c r="F1007" i="2"/>
  <c r="G1007" i="2"/>
  <c r="M1007" i="2"/>
  <c r="N1007" i="2" s="1"/>
  <c r="R1007" i="2"/>
  <c r="S1007" i="2"/>
  <c r="X1007" i="2"/>
  <c r="Y1007" i="2"/>
  <c r="F1008" i="2"/>
  <c r="G1008" i="2"/>
  <c r="M1008" i="2"/>
  <c r="N1008" i="2" s="1"/>
  <c r="R1008" i="2"/>
  <c r="S1008" i="2"/>
  <c r="X1008" i="2"/>
  <c r="Y1008" i="2"/>
  <c r="F1009" i="2"/>
  <c r="G1009" i="2"/>
  <c r="M1009" i="2"/>
  <c r="N1009" i="2"/>
  <c r="R1009" i="2"/>
  <c r="S1009" i="2"/>
  <c r="X1009" i="2"/>
  <c r="Y1009" i="2"/>
  <c r="F1010" i="2"/>
  <c r="G1010" i="2"/>
  <c r="M1010" i="2"/>
  <c r="N1010" i="2"/>
  <c r="R1010" i="2"/>
  <c r="S1010" i="2"/>
  <c r="X1010" i="2"/>
  <c r="Y1010" i="2"/>
  <c r="F1011" i="2"/>
  <c r="G1011" i="2"/>
  <c r="M1011" i="2"/>
  <c r="N1011" i="2" s="1"/>
  <c r="R1011" i="2"/>
  <c r="S1011" i="2"/>
  <c r="X1011" i="2"/>
  <c r="Y1011" i="2"/>
  <c r="F1012" i="2"/>
  <c r="G1012" i="2"/>
  <c r="M1012" i="2"/>
  <c r="N1012" i="2" s="1"/>
  <c r="R1012" i="2"/>
  <c r="S1012" i="2"/>
  <c r="X1012" i="2"/>
  <c r="Y1012" i="2"/>
  <c r="J1014" i="2"/>
  <c r="K1014" i="2"/>
  <c r="L1014" i="2"/>
  <c r="O1014" i="2"/>
  <c r="P1014" i="2"/>
  <c r="Q1014" i="2"/>
  <c r="R1014" i="2"/>
  <c r="U1014" i="2"/>
  <c r="Y1014" i="2" s="1"/>
  <c r="V1014" i="2"/>
  <c r="W1014" i="2"/>
  <c r="X1014" i="2"/>
  <c r="Z1014" i="2"/>
  <c r="AA1014" i="2"/>
  <c r="AB1014" i="2"/>
  <c r="E1016" i="2"/>
  <c r="G1016" i="2"/>
  <c r="F1018" i="2"/>
  <c r="G1018" i="2"/>
  <c r="M1018" i="2"/>
  <c r="N1018" i="2" s="1"/>
  <c r="R1018" i="2"/>
  <c r="S1018" i="2" s="1"/>
  <c r="X1018" i="2"/>
  <c r="Y1018" i="2" s="1"/>
  <c r="F1019" i="2"/>
  <c r="G1019" i="2"/>
  <c r="M1019" i="2"/>
  <c r="N1019" i="2"/>
  <c r="R1019" i="2"/>
  <c r="S1019" i="2" s="1"/>
  <c r="X1019" i="2"/>
  <c r="Y1019" i="2"/>
  <c r="F1020" i="2"/>
  <c r="G1020" i="2"/>
  <c r="M1020" i="2"/>
  <c r="N1020" i="2" s="1"/>
  <c r="R1020" i="2"/>
  <c r="S1020" i="2" s="1"/>
  <c r="X1020" i="2"/>
  <c r="Y1020" i="2" s="1"/>
  <c r="F1021" i="2"/>
  <c r="G1021" i="2"/>
  <c r="M1021" i="2"/>
  <c r="N1021" i="2" s="1"/>
  <c r="R1021" i="2"/>
  <c r="S1021" i="2" s="1"/>
  <c r="X1021" i="2"/>
  <c r="Y1021" i="2" s="1"/>
  <c r="F1022" i="2"/>
  <c r="G1022" i="2"/>
  <c r="M1022" i="2"/>
  <c r="N1022" i="2" s="1"/>
  <c r="R1022" i="2"/>
  <c r="S1022" i="2" s="1"/>
  <c r="X1022" i="2"/>
  <c r="Y1022" i="2"/>
  <c r="F1023" i="2"/>
  <c r="G1023" i="2"/>
  <c r="M1023" i="2"/>
  <c r="N1023" i="2"/>
  <c r="R1023" i="2"/>
  <c r="S1023" i="2" s="1"/>
  <c r="X1023" i="2"/>
  <c r="Y1023" i="2" s="1"/>
  <c r="F1024" i="2"/>
  <c r="G1024" i="2"/>
  <c r="M1024" i="2"/>
  <c r="N1024" i="2" s="1"/>
  <c r="R1024" i="2"/>
  <c r="S1024" i="2" s="1"/>
  <c r="X1024" i="2"/>
  <c r="Y1024" i="2" s="1"/>
  <c r="F1025" i="2"/>
  <c r="G1025" i="2"/>
  <c r="M1025" i="2"/>
  <c r="N1025" i="2" s="1"/>
  <c r="R1025" i="2"/>
  <c r="S1025" i="2" s="1"/>
  <c r="X1025" i="2"/>
  <c r="Y1025" i="2"/>
  <c r="F1026" i="2"/>
  <c r="G1026" i="2"/>
  <c r="M1026" i="2"/>
  <c r="N1026" i="2"/>
  <c r="R1026" i="2"/>
  <c r="S1026" i="2" s="1"/>
  <c r="X1026" i="2"/>
  <c r="Y1026" i="2"/>
  <c r="F1027" i="2"/>
  <c r="G1027" i="2"/>
  <c r="M1027" i="2"/>
  <c r="N1027" i="2"/>
  <c r="R1027" i="2"/>
  <c r="S1027" i="2" s="1"/>
  <c r="X1027" i="2"/>
  <c r="Y1027" i="2" s="1"/>
  <c r="F1028" i="2"/>
  <c r="G1028" i="2"/>
  <c r="M1028" i="2"/>
  <c r="N1028" i="2"/>
  <c r="R1028" i="2"/>
  <c r="S1028" i="2" s="1"/>
  <c r="X1028" i="2"/>
  <c r="Y1028" i="2" s="1"/>
  <c r="F1029" i="2"/>
  <c r="G1029" i="2"/>
  <c r="M1029" i="2"/>
  <c r="N1029" i="2" s="1"/>
  <c r="R1029" i="2"/>
  <c r="S1029" i="2" s="1"/>
  <c r="X1029" i="2"/>
  <c r="Y1029" i="2"/>
  <c r="F1030" i="2"/>
  <c r="G1030" i="2"/>
  <c r="M1030" i="2"/>
  <c r="N1030" i="2" s="1"/>
  <c r="R1030" i="2"/>
  <c r="S1030" i="2" s="1"/>
  <c r="X1030" i="2"/>
  <c r="Y1030" i="2"/>
  <c r="F1031" i="2"/>
  <c r="G1031" i="2"/>
  <c r="M1031" i="2"/>
  <c r="N1031" i="2" s="1"/>
  <c r="R1031" i="2"/>
  <c r="S1031" i="2" s="1"/>
  <c r="X1031" i="2"/>
  <c r="Y1031" i="2" s="1"/>
  <c r="F1032" i="2"/>
  <c r="G1032" i="2"/>
  <c r="M1032" i="2"/>
  <c r="N1032" i="2"/>
  <c r="R1032" i="2"/>
  <c r="S1032" i="2" s="1"/>
  <c r="X1032" i="2"/>
  <c r="Y1032" i="2"/>
  <c r="F1033" i="2"/>
  <c r="G1033" i="2"/>
  <c r="M1033" i="2"/>
  <c r="N1033" i="2" s="1"/>
  <c r="R1033" i="2"/>
  <c r="S1033" i="2" s="1"/>
  <c r="X1033" i="2"/>
  <c r="Y1033" i="2"/>
  <c r="F1034" i="2"/>
  <c r="G1034" i="2"/>
  <c r="M1034" i="2"/>
  <c r="N1034" i="2" s="1"/>
  <c r="R1034" i="2"/>
  <c r="S1034" i="2" s="1"/>
  <c r="X1034" i="2"/>
  <c r="Y1034" i="2" s="1"/>
  <c r="F1035" i="2"/>
  <c r="G1035" i="2"/>
  <c r="M1035" i="2"/>
  <c r="N1035" i="2" s="1"/>
  <c r="R1035" i="2"/>
  <c r="S1035" i="2" s="1"/>
  <c r="X1035" i="2"/>
  <c r="Y1035" i="2"/>
  <c r="F1036" i="2"/>
  <c r="G1036" i="2"/>
  <c r="M1036" i="2"/>
  <c r="N1036" i="2"/>
  <c r="R1036" i="2"/>
  <c r="S1036" i="2" s="1"/>
  <c r="X1036" i="2"/>
  <c r="Y1036" i="2"/>
  <c r="F1037" i="2"/>
  <c r="G1037" i="2"/>
  <c r="M1037" i="2"/>
  <c r="N1037" i="2" s="1"/>
  <c r="R1037" i="2"/>
  <c r="S1037" i="2" s="1"/>
  <c r="X1037" i="2"/>
  <c r="Y1037" i="2"/>
  <c r="F1038" i="2"/>
  <c r="G1038" i="2"/>
  <c r="M1038" i="2"/>
  <c r="N1038" i="2"/>
  <c r="R1038" i="2"/>
  <c r="S1038" i="2" s="1"/>
  <c r="X1038" i="2"/>
  <c r="Y1038" i="2"/>
  <c r="F1039" i="2"/>
  <c r="G1039" i="2"/>
  <c r="M1039" i="2"/>
  <c r="N1039" i="2" s="1"/>
  <c r="R1039" i="2"/>
  <c r="S1039" i="2" s="1"/>
  <c r="X1039" i="2"/>
  <c r="Y1039" i="2"/>
  <c r="F1040" i="2"/>
  <c r="G1040" i="2"/>
  <c r="M1040" i="2"/>
  <c r="N1040" i="2" s="1"/>
  <c r="R1040" i="2"/>
  <c r="S1040" i="2" s="1"/>
  <c r="X1040" i="2"/>
  <c r="Y1040" i="2"/>
  <c r="F1041" i="2"/>
  <c r="G1041" i="2"/>
  <c r="M1041" i="2"/>
  <c r="N1041" i="2"/>
  <c r="R1041" i="2"/>
  <c r="S1041" i="2" s="1"/>
  <c r="X1041" i="2"/>
  <c r="Y1041" i="2"/>
  <c r="F1042" i="2"/>
  <c r="G1042" i="2"/>
  <c r="M1042" i="2"/>
  <c r="N1042" i="2" s="1"/>
  <c r="R1042" i="2"/>
  <c r="S1042" i="2"/>
  <c r="X1042" i="2"/>
  <c r="Y1042" i="2"/>
  <c r="F1043" i="2"/>
  <c r="G1043" i="2"/>
  <c r="M1043" i="2"/>
  <c r="N1043" i="2" s="1"/>
  <c r="R1043" i="2"/>
  <c r="S1043" i="2" s="1"/>
  <c r="X1043" i="2"/>
  <c r="Y1043" i="2" s="1"/>
  <c r="F1044" i="2"/>
  <c r="G1044" i="2"/>
  <c r="M1044" i="2"/>
  <c r="N1044" i="2" s="1"/>
  <c r="R1044" i="2"/>
  <c r="S1044" i="2" s="1"/>
  <c r="X1044" i="2"/>
  <c r="Y1044" i="2" s="1"/>
  <c r="F1045" i="2"/>
  <c r="G1045" i="2"/>
  <c r="M1045" i="2"/>
  <c r="N1045" i="2" s="1"/>
  <c r="R1045" i="2"/>
  <c r="S1045" i="2" s="1"/>
  <c r="X1045" i="2"/>
  <c r="Y1045" i="2"/>
  <c r="F1046" i="2"/>
  <c r="G1046" i="2"/>
  <c r="M1046" i="2"/>
  <c r="N1046" i="2" s="1"/>
  <c r="R1046" i="2"/>
  <c r="S1046" i="2" s="1"/>
  <c r="X1046" i="2"/>
  <c r="Y1046" i="2" s="1"/>
  <c r="F1047" i="2"/>
  <c r="G1047" i="2"/>
  <c r="M1047" i="2"/>
  <c r="N1047" i="2"/>
  <c r="R1047" i="2"/>
  <c r="S1047" i="2" s="1"/>
  <c r="X1047" i="2"/>
  <c r="Y1047" i="2" s="1"/>
  <c r="F1048" i="2"/>
  <c r="G1048" i="2"/>
  <c r="M1048" i="2"/>
  <c r="N1048" i="2"/>
  <c r="R1048" i="2"/>
  <c r="S1048" i="2" s="1"/>
  <c r="X1048" i="2"/>
  <c r="Y1048" i="2" s="1"/>
  <c r="F1049" i="2"/>
  <c r="G1049" i="2"/>
  <c r="M1049" i="2"/>
  <c r="N1049" i="2" s="1"/>
  <c r="R1049" i="2"/>
  <c r="S1049" i="2" s="1"/>
  <c r="X1049" i="2"/>
  <c r="Y1049" i="2"/>
  <c r="F1050" i="2"/>
  <c r="G1050" i="2"/>
  <c r="M1050" i="2"/>
  <c r="N1050" i="2" s="1"/>
  <c r="R1050" i="2"/>
  <c r="S1050" i="2"/>
  <c r="X1050" i="2"/>
  <c r="Y1050" i="2" s="1"/>
  <c r="F1051" i="2"/>
  <c r="G1051" i="2"/>
  <c r="M1051" i="2"/>
  <c r="N1051" i="2"/>
  <c r="R1051" i="2"/>
  <c r="S1051" i="2" s="1"/>
  <c r="X1051" i="2"/>
  <c r="Y1051" i="2"/>
  <c r="F1052" i="2"/>
  <c r="G1052" i="2"/>
  <c r="M1052" i="2"/>
  <c r="N1052" i="2" s="1"/>
  <c r="R1052" i="2"/>
  <c r="S1052" i="2" s="1"/>
  <c r="X1052" i="2"/>
  <c r="Y1052" i="2" s="1"/>
  <c r="F1053" i="2"/>
  <c r="G1053" i="2"/>
  <c r="M1053" i="2"/>
  <c r="N1053" i="2" s="1"/>
  <c r="R1053" i="2"/>
  <c r="S1053" i="2" s="1"/>
  <c r="X1053" i="2"/>
  <c r="Y1053" i="2" s="1"/>
  <c r="F1054" i="2"/>
  <c r="G1054" i="2"/>
  <c r="M1054" i="2"/>
  <c r="N1054" i="2" s="1"/>
  <c r="R1054" i="2"/>
  <c r="S1054" i="2"/>
  <c r="X1054" i="2"/>
  <c r="Y1054" i="2"/>
  <c r="F1055" i="2"/>
  <c r="G1055" i="2"/>
  <c r="M1055" i="2"/>
  <c r="N1055" i="2"/>
  <c r="R1055" i="2"/>
  <c r="S1055" i="2" s="1"/>
  <c r="X1055" i="2"/>
  <c r="Y1055" i="2" s="1"/>
  <c r="F1056" i="2"/>
  <c r="G1056" i="2"/>
  <c r="M1056" i="2"/>
  <c r="N1056" i="2" s="1"/>
  <c r="R1056" i="2"/>
  <c r="S1056" i="2" s="1"/>
  <c r="X1056" i="2"/>
  <c r="Y1056" i="2" s="1"/>
  <c r="F1057" i="2"/>
  <c r="G1057" i="2"/>
  <c r="M1057" i="2"/>
  <c r="N1057" i="2"/>
  <c r="R1057" i="2"/>
  <c r="S1057" i="2" s="1"/>
  <c r="X1057" i="2"/>
  <c r="Y1057" i="2" s="1"/>
  <c r="J1059" i="2"/>
  <c r="K1059" i="2"/>
  <c r="L1059" i="2"/>
  <c r="M1059" i="2"/>
  <c r="O1059" i="2"/>
  <c r="S1059" i="2" s="1"/>
  <c r="P1059" i="2"/>
  <c r="Q1059" i="2"/>
  <c r="R1059" i="2"/>
  <c r="U1059" i="2"/>
  <c r="V1059" i="2"/>
  <c r="W1059" i="2"/>
  <c r="X1059" i="2" s="1"/>
  <c r="Z1059" i="2"/>
  <c r="AA1059" i="2"/>
  <c r="AB1059" i="2"/>
  <c r="E1061" i="2"/>
  <c r="G1061" i="2"/>
  <c r="F1063" i="2"/>
  <c r="G1063" i="2"/>
  <c r="M1063" i="2"/>
  <c r="N1063" i="2"/>
  <c r="R1063" i="2"/>
  <c r="S1063" i="2" s="1"/>
  <c r="X1063" i="2"/>
  <c r="Y1063" i="2"/>
  <c r="F1064" i="2"/>
  <c r="G1064" i="2"/>
  <c r="M1064" i="2"/>
  <c r="N1064" i="2"/>
  <c r="R1064" i="2"/>
  <c r="S1064" i="2" s="1"/>
  <c r="X1064" i="2"/>
  <c r="Y1064" i="2"/>
  <c r="F1065" i="2"/>
  <c r="G1065" i="2"/>
  <c r="M1065" i="2"/>
  <c r="N1065" i="2"/>
  <c r="R1065" i="2"/>
  <c r="S1065" i="2" s="1"/>
  <c r="X1065" i="2"/>
  <c r="Y1065" i="2"/>
  <c r="F1066" i="2"/>
  <c r="G1066" i="2"/>
  <c r="M1066" i="2"/>
  <c r="N1066" i="2"/>
  <c r="R1066" i="2"/>
  <c r="S1066" i="2" s="1"/>
  <c r="X1066" i="2"/>
  <c r="Y1066" i="2"/>
  <c r="F1067" i="2"/>
  <c r="G1067" i="2"/>
  <c r="M1067" i="2"/>
  <c r="N1067" i="2"/>
  <c r="R1067" i="2"/>
  <c r="S1067" i="2" s="1"/>
  <c r="X1067" i="2"/>
  <c r="Y1067" i="2"/>
  <c r="F1068" i="2"/>
  <c r="G1068" i="2"/>
  <c r="M1068" i="2"/>
  <c r="N1068" i="2"/>
  <c r="R1068" i="2"/>
  <c r="S1068" i="2" s="1"/>
  <c r="X1068" i="2"/>
  <c r="Y1068" i="2"/>
  <c r="F1069" i="2"/>
  <c r="G1069" i="2"/>
  <c r="M1069" i="2"/>
  <c r="N1069" i="2"/>
  <c r="R1069" i="2"/>
  <c r="S1069" i="2" s="1"/>
  <c r="X1069" i="2"/>
  <c r="Y1069" i="2"/>
  <c r="F1070" i="2"/>
  <c r="G1070" i="2"/>
  <c r="M1070" i="2"/>
  <c r="N1070" i="2"/>
  <c r="R1070" i="2"/>
  <c r="S1070" i="2" s="1"/>
  <c r="X1070" i="2"/>
  <c r="Y1070" i="2"/>
  <c r="F1071" i="2"/>
  <c r="G1071" i="2"/>
  <c r="M1071" i="2"/>
  <c r="N1071" i="2"/>
  <c r="R1071" i="2"/>
  <c r="S1071" i="2" s="1"/>
  <c r="X1071" i="2"/>
  <c r="Y1071" i="2"/>
  <c r="F1072" i="2"/>
  <c r="G1072" i="2"/>
  <c r="M1072" i="2"/>
  <c r="N1072" i="2"/>
  <c r="R1072" i="2"/>
  <c r="S1072" i="2" s="1"/>
  <c r="X1072" i="2"/>
  <c r="Y1072" i="2"/>
  <c r="F1073" i="2"/>
  <c r="G1073" i="2"/>
  <c r="M1073" i="2"/>
  <c r="N1073" i="2"/>
  <c r="R1073" i="2"/>
  <c r="S1073" i="2" s="1"/>
  <c r="X1073" i="2"/>
  <c r="Y1073" i="2"/>
  <c r="F1074" i="2"/>
  <c r="G1074" i="2"/>
  <c r="M1074" i="2"/>
  <c r="N1074" i="2"/>
  <c r="R1074" i="2"/>
  <c r="S1074" i="2" s="1"/>
  <c r="X1074" i="2"/>
  <c r="Y1074" i="2"/>
  <c r="F1075" i="2"/>
  <c r="G1075" i="2"/>
  <c r="M1075" i="2"/>
  <c r="N1075" i="2"/>
  <c r="R1075" i="2"/>
  <c r="S1075" i="2" s="1"/>
  <c r="X1075" i="2"/>
  <c r="Y1075" i="2"/>
  <c r="F1076" i="2"/>
  <c r="G1076" i="2"/>
  <c r="M1076" i="2"/>
  <c r="N1076" i="2"/>
  <c r="R1076" i="2"/>
  <c r="S1076" i="2" s="1"/>
  <c r="X1076" i="2"/>
  <c r="Y1076" i="2"/>
  <c r="F1077" i="2"/>
  <c r="G1077" i="2"/>
  <c r="M1077" i="2"/>
  <c r="N1077" i="2"/>
  <c r="R1077" i="2"/>
  <c r="S1077" i="2" s="1"/>
  <c r="X1077" i="2"/>
  <c r="Y1077" i="2"/>
  <c r="F1078" i="2"/>
  <c r="G1078" i="2"/>
  <c r="M1078" i="2"/>
  <c r="N1078" i="2"/>
  <c r="R1078" i="2"/>
  <c r="S1078" i="2" s="1"/>
  <c r="X1078" i="2"/>
  <c r="Y1078" i="2"/>
  <c r="J1080" i="2"/>
  <c r="N1080" i="2" s="1"/>
  <c r="K1080" i="2"/>
  <c r="L1080" i="2"/>
  <c r="M1080" i="2"/>
  <c r="O1080" i="2"/>
  <c r="S1080" i="2" s="1"/>
  <c r="P1080" i="2"/>
  <c r="Q1080" i="2"/>
  <c r="R1080" i="2" s="1"/>
  <c r="U1080" i="2"/>
  <c r="X1080" i="2" s="1"/>
  <c r="V1080" i="2"/>
  <c r="W1080" i="2"/>
  <c r="Y1080" i="2"/>
  <c r="Z1080" i="2"/>
  <c r="AA1080" i="2"/>
  <c r="AB1080" i="2"/>
  <c r="E1082" i="2"/>
  <c r="G1082" i="2"/>
  <c r="F1084" i="2"/>
  <c r="G1084" i="2"/>
  <c r="M1084" i="2"/>
  <c r="N1084" i="2" s="1"/>
  <c r="R1084" i="2"/>
  <c r="S1084" i="2" s="1"/>
  <c r="X1084" i="2"/>
  <c r="Y1084" i="2"/>
  <c r="F1085" i="2"/>
  <c r="G1085" i="2"/>
  <c r="M1085" i="2"/>
  <c r="N1085" i="2" s="1"/>
  <c r="R1085" i="2"/>
  <c r="S1085" i="2"/>
  <c r="X1085" i="2"/>
  <c r="Y1085" i="2"/>
  <c r="F1086" i="2"/>
  <c r="G1086" i="2"/>
  <c r="M1086" i="2"/>
  <c r="N1086" i="2" s="1"/>
  <c r="R1086" i="2"/>
  <c r="S1086" i="2"/>
  <c r="X1086" i="2"/>
  <c r="Y1086" i="2"/>
  <c r="F1087" i="2"/>
  <c r="G1087" i="2"/>
  <c r="M1087" i="2"/>
  <c r="N1087" i="2" s="1"/>
  <c r="R1087" i="2"/>
  <c r="S1087" i="2" s="1"/>
  <c r="X1087" i="2"/>
  <c r="Y1087" i="2"/>
  <c r="F1088" i="2"/>
  <c r="G1088" i="2"/>
  <c r="M1088" i="2"/>
  <c r="N1088" i="2"/>
  <c r="R1088" i="2"/>
  <c r="S1088" i="2" s="1"/>
  <c r="X1088" i="2"/>
  <c r="Y1088" i="2"/>
  <c r="F1089" i="2"/>
  <c r="G1089" i="2"/>
  <c r="M1089" i="2"/>
  <c r="N1089" i="2"/>
  <c r="R1089" i="2"/>
  <c r="S1089" i="2" s="1"/>
  <c r="X1089" i="2"/>
  <c r="Y1089" i="2"/>
  <c r="F1090" i="2"/>
  <c r="G1090" i="2"/>
  <c r="M1090" i="2"/>
  <c r="N1090" i="2"/>
  <c r="R1090" i="2"/>
  <c r="S1090" i="2" s="1"/>
  <c r="X1090" i="2"/>
  <c r="Y1090" i="2"/>
  <c r="F1091" i="2"/>
  <c r="G1091" i="2"/>
  <c r="M1091" i="2"/>
  <c r="N1091" i="2" s="1"/>
  <c r="R1091" i="2"/>
  <c r="S1091" i="2"/>
  <c r="X1091" i="2"/>
  <c r="Y1091" i="2"/>
  <c r="F1092" i="2"/>
  <c r="G1092" i="2"/>
  <c r="M1092" i="2"/>
  <c r="N1092" i="2"/>
  <c r="R1092" i="2"/>
  <c r="S1092" i="2" s="1"/>
  <c r="X1092" i="2"/>
  <c r="Y1092" i="2"/>
  <c r="F1093" i="2"/>
  <c r="G1093" i="2"/>
  <c r="M1093" i="2"/>
  <c r="N1093" i="2" s="1"/>
  <c r="R1093" i="2"/>
  <c r="S1093" i="2" s="1"/>
  <c r="X1093" i="2"/>
  <c r="Y1093" i="2"/>
  <c r="F1094" i="2"/>
  <c r="G1094" i="2"/>
  <c r="M1094" i="2"/>
  <c r="N1094" i="2" s="1"/>
  <c r="R1094" i="2"/>
  <c r="S1094" i="2"/>
  <c r="X1094" i="2"/>
  <c r="Y1094" i="2"/>
  <c r="F1095" i="2"/>
  <c r="G1095" i="2"/>
  <c r="M1095" i="2"/>
  <c r="N1095" i="2" s="1"/>
  <c r="R1095" i="2"/>
  <c r="S1095" i="2"/>
  <c r="X1095" i="2"/>
  <c r="Y1095" i="2"/>
  <c r="F1096" i="2"/>
  <c r="G1096" i="2"/>
  <c r="M1096" i="2"/>
  <c r="N1096" i="2" s="1"/>
  <c r="R1096" i="2"/>
  <c r="S1096" i="2" s="1"/>
  <c r="X1096" i="2"/>
  <c r="Y1096" i="2"/>
  <c r="F1097" i="2"/>
  <c r="G1097" i="2"/>
  <c r="M1097" i="2"/>
  <c r="N1097" i="2" s="1"/>
  <c r="R1097" i="2"/>
  <c r="S1097" i="2"/>
  <c r="X1097" i="2"/>
  <c r="Y1097" i="2"/>
  <c r="F1098" i="2"/>
  <c r="G1098" i="2"/>
  <c r="M1098" i="2"/>
  <c r="N1098" i="2" s="1"/>
  <c r="R1098" i="2"/>
  <c r="S1098" i="2" s="1"/>
  <c r="X1098" i="2"/>
  <c r="Y1098" i="2"/>
  <c r="F1099" i="2"/>
  <c r="G1099" i="2"/>
  <c r="M1099" i="2"/>
  <c r="N1099" i="2"/>
  <c r="R1099" i="2"/>
  <c r="S1099" i="2" s="1"/>
  <c r="X1099" i="2"/>
  <c r="Y1099" i="2"/>
  <c r="F1100" i="2"/>
  <c r="G1100" i="2"/>
  <c r="M1100" i="2"/>
  <c r="N1100" i="2" s="1"/>
  <c r="R1100" i="2"/>
  <c r="S1100" i="2"/>
  <c r="X1100" i="2"/>
  <c r="Y1100" i="2"/>
  <c r="F1101" i="2"/>
  <c r="G1101" i="2"/>
  <c r="M1101" i="2"/>
  <c r="N1101" i="2"/>
  <c r="R1101" i="2"/>
  <c r="S1101" i="2" s="1"/>
  <c r="X1101" i="2"/>
  <c r="Y1101" i="2"/>
  <c r="F1102" i="2"/>
  <c r="G1102" i="2"/>
  <c r="M1102" i="2"/>
  <c r="N1102" i="2"/>
  <c r="R1102" i="2"/>
  <c r="S1102" i="2" s="1"/>
  <c r="X1102" i="2"/>
  <c r="Y1102" i="2"/>
  <c r="F1103" i="2"/>
  <c r="G1103" i="2"/>
  <c r="M1103" i="2"/>
  <c r="N1103" i="2" s="1"/>
  <c r="R1103" i="2"/>
  <c r="S1103" i="2"/>
  <c r="X1103" i="2"/>
  <c r="Y1103" i="2"/>
  <c r="F1104" i="2"/>
  <c r="G1104" i="2"/>
  <c r="M1104" i="2"/>
  <c r="N1104" i="2" s="1"/>
  <c r="R1104" i="2"/>
  <c r="S1104" i="2"/>
  <c r="X1104" i="2"/>
  <c r="Y1104" i="2"/>
  <c r="F1105" i="2"/>
  <c r="G1105" i="2"/>
  <c r="M1105" i="2"/>
  <c r="N1105" i="2" s="1"/>
  <c r="R1105" i="2"/>
  <c r="S1105" i="2"/>
  <c r="X1105" i="2"/>
  <c r="Y1105" i="2"/>
  <c r="F1106" i="2"/>
  <c r="G1106" i="2"/>
  <c r="M1106" i="2"/>
  <c r="N1106" i="2"/>
  <c r="R1106" i="2"/>
  <c r="S1106" i="2" s="1"/>
  <c r="X1106" i="2"/>
  <c r="Y1106" i="2"/>
  <c r="F1107" i="2"/>
  <c r="G1107" i="2"/>
  <c r="M1107" i="2"/>
  <c r="N1107" i="2" s="1"/>
  <c r="R1107" i="2"/>
  <c r="S1107" i="2" s="1"/>
  <c r="X1107" i="2"/>
  <c r="Y1107" i="2"/>
  <c r="F1108" i="2"/>
  <c r="G1108" i="2"/>
  <c r="M1108" i="2"/>
  <c r="N1108" i="2" s="1"/>
  <c r="R1108" i="2"/>
  <c r="S1108" i="2"/>
  <c r="X1108" i="2"/>
  <c r="Y1108" i="2"/>
  <c r="F1109" i="2"/>
  <c r="G1109" i="2"/>
  <c r="M1109" i="2"/>
  <c r="N1109" i="2" s="1"/>
  <c r="R1109" i="2"/>
  <c r="S1109" i="2" s="1"/>
  <c r="X1109" i="2"/>
  <c r="Y1109" i="2"/>
  <c r="J1111" i="2"/>
  <c r="K1111" i="2"/>
  <c r="L1111" i="2"/>
  <c r="M1111" i="2" s="1"/>
  <c r="O1111" i="2"/>
  <c r="R1111" i="2" s="1"/>
  <c r="S1111" i="2" s="1"/>
  <c r="P1111" i="2"/>
  <c r="Q1111" i="2"/>
  <c r="U1111" i="2"/>
  <c r="X1111" i="2" s="1"/>
  <c r="Y1111" i="2" s="1"/>
  <c r="V1111" i="2"/>
  <c r="W1111" i="2"/>
  <c r="Z1111" i="2"/>
  <c r="AA1111" i="2"/>
  <c r="AB1111" i="2"/>
  <c r="E1113" i="2"/>
  <c r="G1113" i="2"/>
  <c r="F1115" i="2"/>
  <c r="G1115" i="2"/>
  <c r="M1115" i="2"/>
  <c r="N1115" i="2" s="1"/>
  <c r="R1115" i="2"/>
  <c r="S1115" i="2"/>
  <c r="X1115" i="2"/>
  <c r="Y1115" i="2"/>
  <c r="F1116" i="2"/>
  <c r="G1116" i="2"/>
  <c r="M1116" i="2"/>
  <c r="N1116" i="2" s="1"/>
  <c r="R1116" i="2"/>
  <c r="S1116" i="2"/>
  <c r="X1116" i="2"/>
  <c r="Y1116" i="2"/>
  <c r="F1117" i="2"/>
  <c r="G1117" i="2"/>
  <c r="M1117" i="2"/>
  <c r="N1117" i="2" s="1"/>
  <c r="R1117" i="2"/>
  <c r="S1117" i="2"/>
  <c r="X1117" i="2"/>
  <c r="Y1117" i="2"/>
  <c r="F1118" i="2"/>
  <c r="G1118" i="2"/>
  <c r="M1118" i="2"/>
  <c r="N1118" i="2" s="1"/>
  <c r="R1118" i="2"/>
  <c r="S1118" i="2"/>
  <c r="X1118" i="2"/>
  <c r="Y1118" i="2"/>
  <c r="F1119" i="2"/>
  <c r="G1119" i="2"/>
  <c r="M1119" i="2"/>
  <c r="N1119" i="2" s="1"/>
  <c r="R1119" i="2"/>
  <c r="S1119" i="2"/>
  <c r="X1119" i="2"/>
  <c r="Y1119" i="2"/>
  <c r="F1120" i="2"/>
  <c r="G1120" i="2"/>
  <c r="M1120" i="2"/>
  <c r="N1120" i="2" s="1"/>
  <c r="R1120" i="2"/>
  <c r="S1120" i="2"/>
  <c r="X1120" i="2"/>
  <c r="Y1120" i="2"/>
  <c r="F1121" i="2"/>
  <c r="G1121" i="2"/>
  <c r="M1121" i="2"/>
  <c r="N1121" i="2" s="1"/>
  <c r="R1121" i="2"/>
  <c r="S1121" i="2"/>
  <c r="X1121" i="2"/>
  <c r="Y1121" i="2"/>
  <c r="F1122" i="2"/>
  <c r="G1122" i="2"/>
  <c r="M1122" i="2"/>
  <c r="N1122" i="2" s="1"/>
  <c r="R1122" i="2"/>
  <c r="S1122" i="2"/>
  <c r="X1122" i="2"/>
  <c r="Y1122" i="2"/>
  <c r="F1123" i="2"/>
  <c r="G1123" i="2"/>
  <c r="M1123" i="2"/>
  <c r="N1123" i="2" s="1"/>
  <c r="R1123" i="2"/>
  <c r="S1123" i="2"/>
  <c r="X1123" i="2"/>
  <c r="Y1123" i="2"/>
  <c r="F1124" i="2"/>
  <c r="G1124" i="2"/>
  <c r="M1124" i="2"/>
  <c r="N1124" i="2" s="1"/>
  <c r="R1124" i="2"/>
  <c r="S1124" i="2"/>
  <c r="X1124" i="2"/>
  <c r="Y1124" i="2"/>
  <c r="F1125" i="2"/>
  <c r="G1125" i="2"/>
  <c r="M1125" i="2"/>
  <c r="N1125" i="2" s="1"/>
  <c r="R1125" i="2"/>
  <c r="S1125" i="2"/>
  <c r="X1125" i="2"/>
  <c r="Y1125" i="2"/>
  <c r="F1126" i="2"/>
  <c r="G1126" i="2"/>
  <c r="M1126" i="2"/>
  <c r="N1126" i="2" s="1"/>
  <c r="R1126" i="2"/>
  <c r="S1126" i="2"/>
  <c r="X1126" i="2"/>
  <c r="Y1126" i="2"/>
  <c r="F1127" i="2"/>
  <c r="G1127" i="2"/>
  <c r="M1127" i="2"/>
  <c r="N1127" i="2" s="1"/>
  <c r="R1127" i="2"/>
  <c r="S1127" i="2"/>
  <c r="X1127" i="2"/>
  <c r="Y1127" i="2"/>
  <c r="F1128" i="2"/>
  <c r="G1128" i="2"/>
  <c r="M1128" i="2"/>
  <c r="N1128" i="2" s="1"/>
  <c r="R1128" i="2"/>
  <c r="S1128" i="2"/>
  <c r="X1128" i="2"/>
  <c r="Y1128" i="2"/>
  <c r="F1129" i="2"/>
  <c r="G1129" i="2"/>
  <c r="M1129" i="2"/>
  <c r="N1129" i="2" s="1"/>
  <c r="R1129" i="2"/>
  <c r="S1129" i="2"/>
  <c r="X1129" i="2"/>
  <c r="Y1129" i="2"/>
  <c r="F1130" i="2"/>
  <c r="G1130" i="2"/>
  <c r="M1130" i="2"/>
  <c r="N1130" i="2" s="1"/>
  <c r="R1130" i="2"/>
  <c r="S1130" i="2"/>
  <c r="X1130" i="2"/>
  <c r="Y1130" i="2"/>
  <c r="F1131" i="2"/>
  <c r="G1131" i="2"/>
  <c r="M1131" i="2"/>
  <c r="N1131" i="2" s="1"/>
  <c r="R1131" i="2"/>
  <c r="S1131" i="2"/>
  <c r="X1131" i="2"/>
  <c r="Y1131" i="2"/>
  <c r="F1132" i="2"/>
  <c r="G1132" i="2"/>
  <c r="M1132" i="2"/>
  <c r="N1132" i="2" s="1"/>
  <c r="R1132" i="2"/>
  <c r="S1132" i="2"/>
  <c r="X1132" i="2"/>
  <c r="Y1132" i="2"/>
  <c r="F1133" i="2"/>
  <c r="G1133" i="2"/>
  <c r="M1133" i="2"/>
  <c r="N1133" i="2" s="1"/>
  <c r="R1133" i="2"/>
  <c r="S1133" i="2"/>
  <c r="X1133" i="2"/>
  <c r="Y1133" i="2"/>
  <c r="F1134" i="2"/>
  <c r="G1134" i="2"/>
  <c r="M1134" i="2"/>
  <c r="N1134" i="2" s="1"/>
  <c r="R1134" i="2"/>
  <c r="S1134" i="2"/>
  <c r="X1134" i="2"/>
  <c r="Y1134" i="2"/>
  <c r="F1135" i="2"/>
  <c r="G1135" i="2"/>
  <c r="M1135" i="2"/>
  <c r="N1135" i="2" s="1"/>
  <c r="R1135" i="2"/>
  <c r="S1135" i="2"/>
  <c r="X1135" i="2"/>
  <c r="Y1135" i="2"/>
  <c r="J1137" i="2"/>
  <c r="M1137" i="2" s="1"/>
  <c r="N1137" i="2" s="1"/>
  <c r="K1137" i="2"/>
  <c r="L1137" i="2"/>
  <c r="O1137" i="2"/>
  <c r="P1137" i="2"/>
  <c r="Q1137" i="2"/>
  <c r="R1137" i="2"/>
  <c r="S1137" i="2"/>
  <c r="U1137" i="2"/>
  <c r="X1137" i="2" s="1"/>
  <c r="V1137" i="2"/>
  <c r="W1137" i="2"/>
  <c r="Z1137" i="2"/>
  <c r="AA1137" i="2"/>
  <c r="AB1137" i="2"/>
  <c r="E1139" i="2"/>
  <c r="G1139" i="2"/>
  <c r="F1141" i="2"/>
  <c r="G1141" i="2"/>
  <c r="M1141" i="2"/>
  <c r="N1141" i="2"/>
  <c r="R1141" i="2"/>
  <c r="S1141" i="2"/>
  <c r="X1141" i="2"/>
  <c r="Y1141" i="2"/>
  <c r="F1142" i="2"/>
  <c r="G1142" i="2"/>
  <c r="M1142" i="2"/>
  <c r="N1142" i="2"/>
  <c r="R1142" i="2"/>
  <c r="S1142" i="2"/>
  <c r="X1142" i="2"/>
  <c r="Y1142" i="2"/>
  <c r="F1143" i="2"/>
  <c r="G1143" i="2"/>
  <c r="M1143" i="2"/>
  <c r="N1143" i="2"/>
  <c r="R1143" i="2"/>
  <c r="S1143" i="2"/>
  <c r="X1143" i="2"/>
  <c r="Y1143" i="2"/>
  <c r="F1144" i="2"/>
  <c r="G1144" i="2"/>
  <c r="M1144" i="2"/>
  <c r="N1144" i="2"/>
  <c r="R1144" i="2"/>
  <c r="S1144" i="2"/>
  <c r="X1144" i="2"/>
  <c r="Y1144" i="2"/>
  <c r="F1145" i="2"/>
  <c r="G1145" i="2"/>
  <c r="M1145" i="2"/>
  <c r="N1145" i="2"/>
  <c r="R1145" i="2"/>
  <c r="S1145" i="2"/>
  <c r="X1145" i="2"/>
  <c r="Y1145" i="2"/>
  <c r="F1146" i="2"/>
  <c r="G1146" i="2"/>
  <c r="M1146" i="2"/>
  <c r="N1146" i="2"/>
  <c r="R1146" i="2"/>
  <c r="S1146" i="2"/>
  <c r="X1146" i="2"/>
  <c r="Y1146" i="2"/>
  <c r="F1147" i="2"/>
  <c r="G1147" i="2"/>
  <c r="M1147" i="2"/>
  <c r="N1147" i="2"/>
  <c r="R1147" i="2"/>
  <c r="S1147" i="2"/>
  <c r="X1147" i="2"/>
  <c r="Y1147" i="2"/>
  <c r="F1148" i="2"/>
  <c r="G1148" i="2"/>
  <c r="M1148" i="2"/>
  <c r="N1148" i="2"/>
  <c r="R1148" i="2"/>
  <c r="S1148" i="2"/>
  <c r="X1148" i="2"/>
  <c r="Y1148" i="2"/>
  <c r="F1149" i="2"/>
  <c r="G1149" i="2"/>
  <c r="M1149" i="2"/>
  <c r="N1149" i="2"/>
  <c r="R1149" i="2"/>
  <c r="S1149" i="2"/>
  <c r="X1149" i="2"/>
  <c r="Y1149" i="2"/>
  <c r="J1151" i="2"/>
  <c r="K1151" i="2"/>
  <c r="L1151" i="2"/>
  <c r="M1151" i="2"/>
  <c r="N1151" i="2"/>
  <c r="O1151" i="2"/>
  <c r="P1151" i="2"/>
  <c r="Q1151" i="2"/>
  <c r="R1151" i="2" s="1"/>
  <c r="U1151" i="2"/>
  <c r="Y1151" i="2" s="1"/>
  <c r="V1151" i="2"/>
  <c r="W1151" i="2"/>
  <c r="X1151" i="2" s="1"/>
  <c r="Z1151" i="2"/>
  <c r="AA1151" i="2"/>
  <c r="AB1151" i="2"/>
  <c r="E1153" i="2"/>
  <c r="G1153" i="2"/>
  <c r="F1155" i="2"/>
  <c r="G1155" i="2"/>
  <c r="M1155" i="2"/>
  <c r="N1155" i="2"/>
  <c r="R1155" i="2"/>
  <c r="S1155" i="2"/>
  <c r="X1155" i="2"/>
  <c r="Y1155" i="2"/>
  <c r="F1156" i="2"/>
  <c r="G1156" i="2"/>
  <c r="M1156" i="2"/>
  <c r="N1156" i="2"/>
  <c r="R1156" i="2"/>
  <c r="S1156" i="2" s="1"/>
  <c r="X1156" i="2"/>
  <c r="Y1156" i="2"/>
  <c r="F1157" i="2"/>
  <c r="G1157" i="2"/>
  <c r="M1157" i="2"/>
  <c r="N1157" i="2"/>
  <c r="R1157" i="2"/>
  <c r="S1157" i="2"/>
  <c r="X1157" i="2"/>
  <c r="Y1157" i="2"/>
  <c r="F1158" i="2"/>
  <c r="G1158" i="2"/>
  <c r="M1158" i="2"/>
  <c r="N1158" i="2"/>
  <c r="R1158" i="2"/>
  <c r="S1158" i="2" s="1"/>
  <c r="X1158" i="2"/>
  <c r="Y1158" i="2"/>
  <c r="F1159" i="2"/>
  <c r="G1159" i="2"/>
  <c r="M1159" i="2"/>
  <c r="N1159" i="2"/>
  <c r="R1159" i="2"/>
  <c r="S1159" i="2" s="1"/>
  <c r="X1159" i="2"/>
  <c r="Y1159" i="2"/>
  <c r="F1160" i="2"/>
  <c r="G1160" i="2"/>
  <c r="M1160" i="2"/>
  <c r="N1160" i="2"/>
  <c r="R1160" i="2"/>
  <c r="S1160" i="2" s="1"/>
  <c r="X1160" i="2"/>
  <c r="Y1160" i="2"/>
  <c r="F1161" i="2"/>
  <c r="G1161" i="2"/>
  <c r="M1161" i="2"/>
  <c r="N1161" i="2"/>
  <c r="R1161" i="2"/>
  <c r="S1161" i="2" s="1"/>
  <c r="X1161" i="2"/>
  <c r="Y1161" i="2"/>
  <c r="F1162" i="2"/>
  <c r="G1162" i="2"/>
  <c r="M1162" i="2"/>
  <c r="N1162" i="2"/>
  <c r="R1162" i="2"/>
  <c r="S1162" i="2" s="1"/>
  <c r="X1162" i="2"/>
  <c r="Y1162" i="2"/>
  <c r="F1163" i="2"/>
  <c r="G1163" i="2"/>
  <c r="M1163" i="2"/>
  <c r="N1163" i="2"/>
  <c r="R1163" i="2"/>
  <c r="S1163" i="2" s="1"/>
  <c r="X1163" i="2"/>
  <c r="Y1163" i="2"/>
  <c r="F1164" i="2"/>
  <c r="G1164" i="2"/>
  <c r="M1164" i="2"/>
  <c r="N1164" i="2"/>
  <c r="R1164" i="2"/>
  <c r="S1164" i="2" s="1"/>
  <c r="X1164" i="2"/>
  <c r="Y1164" i="2"/>
  <c r="F1165" i="2"/>
  <c r="G1165" i="2"/>
  <c r="M1165" i="2"/>
  <c r="N1165" i="2"/>
  <c r="R1165" i="2"/>
  <c r="S1165" i="2" s="1"/>
  <c r="X1165" i="2"/>
  <c r="Y1165" i="2"/>
  <c r="F1166" i="2"/>
  <c r="G1166" i="2"/>
  <c r="M1166" i="2"/>
  <c r="N1166" i="2"/>
  <c r="R1166" i="2"/>
  <c r="S1166" i="2" s="1"/>
  <c r="X1166" i="2"/>
  <c r="Y1166" i="2"/>
  <c r="F1167" i="2"/>
  <c r="G1167" i="2"/>
  <c r="M1167" i="2"/>
  <c r="N1167" i="2"/>
  <c r="R1167" i="2"/>
  <c r="S1167" i="2" s="1"/>
  <c r="X1167" i="2"/>
  <c r="Y1167" i="2"/>
  <c r="F1168" i="2"/>
  <c r="G1168" i="2"/>
  <c r="M1168" i="2"/>
  <c r="N1168" i="2"/>
  <c r="R1168" i="2"/>
  <c r="S1168" i="2" s="1"/>
  <c r="X1168" i="2"/>
  <c r="Y1168" i="2"/>
  <c r="F1169" i="2"/>
  <c r="G1169" i="2"/>
  <c r="M1169" i="2"/>
  <c r="N1169" i="2"/>
  <c r="R1169" i="2"/>
  <c r="S1169" i="2" s="1"/>
  <c r="X1169" i="2"/>
  <c r="Y1169" i="2"/>
  <c r="F1170" i="2"/>
  <c r="G1170" i="2"/>
  <c r="M1170" i="2"/>
  <c r="N1170" i="2"/>
  <c r="R1170" i="2"/>
  <c r="S1170" i="2"/>
  <c r="X1170" i="2"/>
  <c r="Y1170" i="2"/>
  <c r="F1171" i="2"/>
  <c r="G1171" i="2"/>
  <c r="M1171" i="2"/>
  <c r="N1171" i="2"/>
  <c r="R1171" i="2"/>
  <c r="S1171" i="2" s="1"/>
  <c r="X1171" i="2"/>
  <c r="Y1171" i="2"/>
  <c r="F1172" i="2"/>
  <c r="G1172" i="2"/>
  <c r="M1172" i="2"/>
  <c r="N1172" i="2"/>
  <c r="R1172" i="2"/>
  <c r="S1172" i="2"/>
  <c r="X1172" i="2"/>
  <c r="Y1172" i="2"/>
  <c r="F1173" i="2"/>
  <c r="G1173" i="2"/>
  <c r="M1173" i="2"/>
  <c r="N1173" i="2"/>
  <c r="R1173" i="2"/>
  <c r="S1173" i="2" s="1"/>
  <c r="X1173" i="2"/>
  <c r="Y1173" i="2"/>
  <c r="F1174" i="2"/>
  <c r="G1174" i="2"/>
  <c r="M1174" i="2"/>
  <c r="N1174" i="2"/>
  <c r="R1174" i="2"/>
  <c r="S1174" i="2" s="1"/>
  <c r="X1174" i="2"/>
  <c r="Y1174" i="2"/>
  <c r="F1175" i="2"/>
  <c r="G1175" i="2"/>
  <c r="M1175" i="2"/>
  <c r="N1175" i="2"/>
  <c r="R1175" i="2"/>
  <c r="S1175" i="2" s="1"/>
  <c r="X1175" i="2"/>
  <c r="Y1175" i="2"/>
  <c r="F1176" i="2"/>
  <c r="G1176" i="2"/>
  <c r="M1176" i="2"/>
  <c r="N1176" i="2"/>
  <c r="R1176" i="2"/>
  <c r="S1176" i="2" s="1"/>
  <c r="X1176" i="2"/>
  <c r="Y1176" i="2"/>
  <c r="F1177" i="2"/>
  <c r="G1177" i="2"/>
  <c r="M1177" i="2"/>
  <c r="N1177" i="2"/>
  <c r="R1177" i="2"/>
  <c r="S1177" i="2" s="1"/>
  <c r="X1177" i="2"/>
  <c r="Y1177" i="2"/>
  <c r="F1178" i="2"/>
  <c r="G1178" i="2"/>
  <c r="M1178" i="2"/>
  <c r="N1178" i="2"/>
  <c r="R1178" i="2"/>
  <c r="S1178" i="2" s="1"/>
  <c r="X1178" i="2"/>
  <c r="Y1178" i="2"/>
  <c r="F1179" i="2"/>
  <c r="G1179" i="2"/>
  <c r="M1179" i="2"/>
  <c r="N1179" i="2"/>
  <c r="R1179" i="2"/>
  <c r="S1179" i="2" s="1"/>
  <c r="X1179" i="2"/>
  <c r="Y1179" i="2"/>
  <c r="F1180" i="2"/>
  <c r="G1180" i="2"/>
  <c r="M1180" i="2"/>
  <c r="N1180" i="2"/>
  <c r="R1180" i="2"/>
  <c r="S1180" i="2" s="1"/>
  <c r="X1180" i="2"/>
  <c r="Y1180" i="2"/>
  <c r="F1181" i="2"/>
  <c r="G1181" i="2"/>
  <c r="M1181" i="2"/>
  <c r="N1181" i="2"/>
  <c r="R1181" i="2"/>
  <c r="S1181" i="2"/>
  <c r="X1181" i="2"/>
  <c r="Y1181" i="2"/>
  <c r="F1182" i="2"/>
  <c r="G1182" i="2"/>
  <c r="M1182" i="2"/>
  <c r="N1182" i="2"/>
  <c r="R1182" i="2"/>
  <c r="S1182" i="2"/>
  <c r="X1182" i="2"/>
  <c r="Y1182" i="2"/>
  <c r="F1183" i="2"/>
  <c r="G1183" i="2"/>
  <c r="M1183" i="2"/>
  <c r="N1183" i="2"/>
  <c r="R1183" i="2"/>
  <c r="S1183" i="2" s="1"/>
  <c r="X1183" i="2"/>
  <c r="Y1183" i="2"/>
  <c r="F1184" i="2"/>
  <c r="G1184" i="2"/>
  <c r="M1184" i="2"/>
  <c r="N1184" i="2"/>
  <c r="R1184" i="2"/>
  <c r="S1184" i="2"/>
  <c r="X1184" i="2"/>
  <c r="Y1184" i="2"/>
  <c r="F1185" i="2"/>
  <c r="G1185" i="2"/>
  <c r="M1185" i="2"/>
  <c r="N1185" i="2"/>
  <c r="R1185" i="2"/>
  <c r="S1185" i="2"/>
  <c r="X1185" i="2"/>
  <c r="Y1185" i="2"/>
  <c r="F1186" i="2"/>
  <c r="G1186" i="2"/>
  <c r="M1186" i="2"/>
  <c r="N1186" i="2"/>
  <c r="R1186" i="2"/>
  <c r="S1186" i="2"/>
  <c r="X1186" i="2"/>
  <c r="Y1186" i="2"/>
  <c r="F1187" i="2"/>
  <c r="G1187" i="2"/>
  <c r="M1187" i="2"/>
  <c r="N1187" i="2"/>
  <c r="R1187" i="2"/>
  <c r="S1187" i="2" s="1"/>
  <c r="X1187" i="2"/>
  <c r="Y1187" i="2"/>
  <c r="F1188" i="2"/>
  <c r="G1188" i="2"/>
  <c r="M1188" i="2"/>
  <c r="N1188" i="2"/>
  <c r="R1188" i="2"/>
  <c r="S1188" i="2" s="1"/>
  <c r="X1188" i="2"/>
  <c r="Y1188" i="2"/>
  <c r="F1189" i="2"/>
  <c r="G1189" i="2"/>
  <c r="M1189" i="2"/>
  <c r="N1189" i="2"/>
  <c r="R1189" i="2"/>
  <c r="S1189" i="2"/>
  <c r="X1189" i="2"/>
  <c r="Y1189" i="2"/>
  <c r="F1190" i="2"/>
  <c r="G1190" i="2"/>
  <c r="M1190" i="2"/>
  <c r="N1190" i="2"/>
  <c r="R1190" i="2"/>
  <c r="S1190" i="2" s="1"/>
  <c r="X1190" i="2"/>
  <c r="Y1190" i="2"/>
  <c r="J1192" i="2"/>
  <c r="M1192" i="2" s="1"/>
  <c r="K1192" i="2"/>
  <c r="L1192" i="2"/>
  <c r="O1192" i="2"/>
  <c r="P1192" i="2"/>
  <c r="Q1192" i="2"/>
  <c r="R1192" i="2" s="1"/>
  <c r="S1192" i="2" s="1"/>
  <c r="U1192" i="2"/>
  <c r="V1192" i="2"/>
  <c r="W1192" i="2"/>
  <c r="Z1192" i="2"/>
  <c r="AA1192" i="2"/>
  <c r="AB1192" i="2"/>
  <c r="E1194" i="2"/>
  <c r="G1194" i="2"/>
  <c r="F1196" i="2"/>
  <c r="G1196" i="2"/>
  <c r="M1196" i="2"/>
  <c r="N1196" i="2"/>
  <c r="R1196" i="2"/>
  <c r="S1196" i="2" s="1"/>
  <c r="X1196" i="2"/>
  <c r="Y1196" i="2" s="1"/>
  <c r="F1197" i="2"/>
  <c r="G1197" i="2"/>
  <c r="M1197" i="2"/>
  <c r="N1197" i="2"/>
  <c r="R1197" i="2"/>
  <c r="S1197" i="2" s="1"/>
  <c r="X1197" i="2"/>
  <c r="Y1197" i="2" s="1"/>
  <c r="F1198" i="2"/>
  <c r="G1198" i="2"/>
  <c r="M1198" i="2"/>
  <c r="N1198" i="2"/>
  <c r="R1198" i="2"/>
  <c r="S1198" i="2" s="1"/>
  <c r="X1198" i="2"/>
  <c r="Y1198" i="2"/>
  <c r="F1199" i="2"/>
  <c r="G1199" i="2"/>
  <c r="M1199" i="2"/>
  <c r="N1199" i="2"/>
  <c r="R1199" i="2"/>
  <c r="S1199" i="2" s="1"/>
  <c r="X1199" i="2"/>
  <c r="Y1199" i="2"/>
  <c r="F1200" i="2"/>
  <c r="G1200" i="2"/>
  <c r="M1200" i="2"/>
  <c r="N1200" i="2"/>
  <c r="R1200" i="2"/>
  <c r="S1200" i="2" s="1"/>
  <c r="X1200" i="2"/>
  <c r="Y1200" i="2" s="1"/>
  <c r="F1201" i="2"/>
  <c r="G1201" i="2"/>
  <c r="M1201" i="2"/>
  <c r="N1201" i="2"/>
  <c r="R1201" i="2"/>
  <c r="S1201" i="2" s="1"/>
  <c r="X1201" i="2"/>
  <c r="Y1201" i="2" s="1"/>
  <c r="F1202" i="2"/>
  <c r="G1202" i="2"/>
  <c r="M1202" i="2"/>
  <c r="N1202" i="2"/>
  <c r="R1202" i="2"/>
  <c r="S1202" i="2" s="1"/>
  <c r="X1202" i="2"/>
  <c r="Y1202" i="2"/>
  <c r="F1203" i="2"/>
  <c r="G1203" i="2"/>
  <c r="M1203" i="2"/>
  <c r="N1203" i="2"/>
  <c r="R1203" i="2"/>
  <c r="S1203" i="2" s="1"/>
  <c r="X1203" i="2"/>
  <c r="Y1203" i="2"/>
  <c r="F1204" i="2"/>
  <c r="G1204" i="2"/>
  <c r="M1204" i="2"/>
  <c r="N1204" i="2"/>
  <c r="R1204" i="2"/>
  <c r="S1204" i="2" s="1"/>
  <c r="X1204" i="2"/>
  <c r="Y1204" i="2" s="1"/>
  <c r="F1205" i="2"/>
  <c r="G1205" i="2"/>
  <c r="M1205" i="2"/>
  <c r="N1205" i="2"/>
  <c r="R1205" i="2"/>
  <c r="S1205" i="2" s="1"/>
  <c r="X1205" i="2"/>
  <c r="Y1205" i="2" s="1"/>
  <c r="F1206" i="2"/>
  <c r="G1206" i="2"/>
  <c r="M1206" i="2"/>
  <c r="N1206" i="2"/>
  <c r="R1206" i="2"/>
  <c r="S1206" i="2" s="1"/>
  <c r="X1206" i="2"/>
  <c r="Y1206" i="2" s="1"/>
  <c r="F1207" i="2"/>
  <c r="G1207" i="2"/>
  <c r="M1207" i="2"/>
  <c r="N1207" i="2"/>
  <c r="R1207" i="2"/>
  <c r="S1207" i="2" s="1"/>
  <c r="X1207" i="2"/>
  <c r="Y1207" i="2" s="1"/>
  <c r="F1208" i="2"/>
  <c r="G1208" i="2"/>
  <c r="M1208" i="2"/>
  <c r="N1208" i="2"/>
  <c r="R1208" i="2"/>
  <c r="S1208" i="2" s="1"/>
  <c r="X1208" i="2"/>
  <c r="Y1208" i="2" s="1"/>
  <c r="F1209" i="2"/>
  <c r="G1209" i="2"/>
  <c r="M1209" i="2"/>
  <c r="N1209" i="2"/>
  <c r="R1209" i="2"/>
  <c r="S1209" i="2"/>
  <c r="X1209" i="2"/>
  <c r="Y1209" i="2" s="1"/>
  <c r="F1210" i="2"/>
  <c r="G1210" i="2"/>
  <c r="M1210" i="2"/>
  <c r="N1210" i="2"/>
  <c r="R1210" i="2"/>
  <c r="S1210" i="2"/>
  <c r="X1210" i="2"/>
  <c r="Y1210" i="2"/>
  <c r="F1211" i="2"/>
  <c r="G1211" i="2"/>
  <c r="M1211" i="2"/>
  <c r="N1211" i="2"/>
  <c r="R1211" i="2"/>
  <c r="S1211" i="2" s="1"/>
  <c r="X1211" i="2"/>
  <c r="Y1211" i="2" s="1"/>
  <c r="F1212" i="2"/>
  <c r="G1212" i="2"/>
  <c r="M1212" i="2"/>
  <c r="N1212" i="2"/>
  <c r="R1212" i="2"/>
  <c r="S1212" i="2" s="1"/>
  <c r="X1212" i="2"/>
  <c r="Y1212" i="2"/>
  <c r="F1213" i="2"/>
  <c r="G1213" i="2"/>
  <c r="M1213" i="2"/>
  <c r="N1213" i="2"/>
  <c r="R1213" i="2"/>
  <c r="S1213" i="2" s="1"/>
  <c r="X1213" i="2"/>
  <c r="Y1213" i="2" s="1"/>
  <c r="F1214" i="2"/>
  <c r="G1214" i="2"/>
  <c r="M1214" i="2"/>
  <c r="N1214" i="2"/>
  <c r="R1214" i="2"/>
  <c r="S1214" i="2" s="1"/>
  <c r="X1214" i="2"/>
  <c r="Y1214" i="2" s="1"/>
  <c r="F1215" i="2"/>
  <c r="G1215" i="2"/>
  <c r="M1215" i="2"/>
  <c r="N1215" i="2"/>
  <c r="R1215" i="2"/>
  <c r="S1215" i="2"/>
  <c r="X1215" i="2"/>
  <c r="Y1215" i="2" s="1"/>
  <c r="F1216" i="2"/>
  <c r="G1216" i="2"/>
  <c r="M1216" i="2"/>
  <c r="N1216" i="2"/>
  <c r="R1216" i="2"/>
  <c r="S1216" i="2" s="1"/>
  <c r="X1216" i="2"/>
  <c r="Y1216" i="2" s="1"/>
  <c r="F1217" i="2"/>
  <c r="G1217" i="2"/>
  <c r="M1217" i="2"/>
  <c r="N1217" i="2"/>
  <c r="R1217" i="2"/>
  <c r="S1217" i="2" s="1"/>
  <c r="X1217" i="2"/>
  <c r="Y1217" i="2"/>
  <c r="F1218" i="2"/>
  <c r="G1218" i="2"/>
  <c r="M1218" i="2"/>
  <c r="N1218" i="2"/>
  <c r="R1218" i="2"/>
  <c r="S1218" i="2" s="1"/>
  <c r="X1218" i="2"/>
  <c r="Y1218" i="2" s="1"/>
  <c r="F1219" i="2"/>
  <c r="G1219" i="2"/>
  <c r="M1219" i="2"/>
  <c r="N1219" i="2"/>
  <c r="R1219" i="2"/>
  <c r="S1219" i="2" s="1"/>
  <c r="X1219" i="2"/>
  <c r="Y1219" i="2" s="1"/>
  <c r="F1220" i="2"/>
  <c r="G1220" i="2"/>
  <c r="M1220" i="2"/>
  <c r="N1220" i="2"/>
  <c r="R1220" i="2"/>
  <c r="S1220" i="2" s="1"/>
  <c r="X1220" i="2"/>
  <c r="Y1220" i="2" s="1"/>
  <c r="F1221" i="2"/>
  <c r="G1221" i="2"/>
  <c r="M1221" i="2"/>
  <c r="N1221" i="2"/>
  <c r="R1221" i="2"/>
  <c r="S1221" i="2" s="1"/>
  <c r="X1221" i="2"/>
  <c r="Y1221" i="2" s="1"/>
  <c r="F1222" i="2"/>
  <c r="G1222" i="2"/>
  <c r="M1222" i="2"/>
  <c r="N1222" i="2"/>
  <c r="R1222" i="2"/>
  <c r="S1222" i="2" s="1"/>
  <c r="X1222" i="2"/>
  <c r="Y1222" i="2"/>
  <c r="F1223" i="2"/>
  <c r="G1223" i="2"/>
  <c r="M1223" i="2"/>
  <c r="N1223" i="2" s="1"/>
  <c r="R1223" i="2"/>
  <c r="S1223" i="2" s="1"/>
  <c r="X1223" i="2"/>
  <c r="Y1223" i="2" s="1"/>
  <c r="F1224" i="2"/>
  <c r="G1224" i="2"/>
  <c r="M1224" i="2"/>
  <c r="N1224" i="2"/>
  <c r="R1224" i="2"/>
  <c r="S1224" i="2" s="1"/>
  <c r="X1224" i="2"/>
  <c r="Y1224" i="2"/>
  <c r="F1225" i="2"/>
  <c r="G1225" i="2"/>
  <c r="M1225" i="2"/>
  <c r="N1225" i="2" s="1"/>
  <c r="R1225" i="2"/>
  <c r="S1225" i="2"/>
  <c r="X1225" i="2"/>
  <c r="Y1225" i="2" s="1"/>
  <c r="F1226" i="2"/>
  <c r="G1226" i="2"/>
  <c r="M1226" i="2"/>
  <c r="N1226" i="2"/>
  <c r="R1226" i="2"/>
  <c r="S1226" i="2" s="1"/>
  <c r="X1226" i="2"/>
  <c r="Y1226" i="2" s="1"/>
  <c r="J1228" i="2"/>
  <c r="K1228" i="2"/>
  <c r="L1228" i="2"/>
  <c r="M1228" i="2" s="1"/>
  <c r="O1228" i="2"/>
  <c r="R1228" i="2" s="1"/>
  <c r="S1228" i="2" s="1"/>
  <c r="P1228" i="2"/>
  <c r="Q1228" i="2"/>
  <c r="U1228" i="2"/>
  <c r="V1228" i="2"/>
  <c r="W1228" i="2"/>
  <c r="X1228" i="2"/>
  <c r="Y1228" i="2"/>
  <c r="Z1228" i="2"/>
  <c r="AA1228" i="2"/>
  <c r="AB1228" i="2"/>
  <c r="E1230" i="2"/>
  <c r="G1230" i="2"/>
  <c r="F1232" i="2"/>
  <c r="G1232" i="2"/>
  <c r="M1232" i="2"/>
  <c r="N1232" i="2" s="1"/>
  <c r="R1232" i="2"/>
  <c r="S1232" i="2"/>
  <c r="X1232" i="2"/>
  <c r="Y1232" i="2"/>
  <c r="F1233" i="2"/>
  <c r="G1233" i="2"/>
  <c r="M1233" i="2"/>
  <c r="N1233" i="2" s="1"/>
  <c r="R1233" i="2"/>
  <c r="S1233" i="2"/>
  <c r="X1233" i="2"/>
  <c r="Y1233" i="2"/>
  <c r="F1234" i="2"/>
  <c r="G1234" i="2"/>
  <c r="M1234" i="2"/>
  <c r="N1234" i="2" s="1"/>
  <c r="R1234" i="2"/>
  <c r="S1234" i="2"/>
  <c r="X1234" i="2"/>
  <c r="Y1234" i="2"/>
  <c r="F1235" i="2"/>
  <c r="G1235" i="2"/>
  <c r="M1235" i="2"/>
  <c r="N1235" i="2" s="1"/>
  <c r="R1235" i="2"/>
  <c r="S1235" i="2"/>
  <c r="X1235" i="2"/>
  <c r="Y1235" i="2"/>
  <c r="F1236" i="2"/>
  <c r="G1236" i="2"/>
  <c r="M1236" i="2"/>
  <c r="N1236" i="2" s="1"/>
  <c r="R1236" i="2"/>
  <c r="S1236" i="2"/>
  <c r="X1236" i="2"/>
  <c r="Y1236" i="2"/>
  <c r="F1237" i="2"/>
  <c r="G1237" i="2"/>
  <c r="M1237" i="2"/>
  <c r="N1237" i="2" s="1"/>
  <c r="R1237" i="2"/>
  <c r="S1237" i="2"/>
  <c r="X1237" i="2"/>
  <c r="Y1237" i="2"/>
  <c r="F1238" i="2"/>
  <c r="G1238" i="2"/>
  <c r="M1238" i="2"/>
  <c r="N1238" i="2" s="1"/>
  <c r="R1238" i="2"/>
  <c r="S1238" i="2"/>
  <c r="X1238" i="2"/>
  <c r="Y1238" i="2"/>
  <c r="F1239" i="2"/>
  <c r="G1239" i="2"/>
  <c r="M1239" i="2"/>
  <c r="N1239" i="2" s="1"/>
  <c r="R1239" i="2"/>
  <c r="S1239" i="2"/>
  <c r="X1239" i="2"/>
  <c r="Y1239" i="2"/>
  <c r="F1240" i="2"/>
  <c r="G1240" i="2"/>
  <c r="M1240" i="2"/>
  <c r="N1240" i="2" s="1"/>
  <c r="R1240" i="2"/>
  <c r="S1240" i="2"/>
  <c r="X1240" i="2"/>
  <c r="Y1240" i="2"/>
  <c r="F1241" i="2"/>
  <c r="G1241" i="2"/>
  <c r="M1241" i="2"/>
  <c r="N1241" i="2" s="1"/>
  <c r="R1241" i="2"/>
  <c r="S1241" i="2"/>
  <c r="X1241" i="2"/>
  <c r="Y1241" i="2"/>
  <c r="F1242" i="2"/>
  <c r="G1242" i="2"/>
  <c r="M1242" i="2"/>
  <c r="N1242" i="2" s="1"/>
  <c r="R1242" i="2"/>
  <c r="S1242" i="2"/>
  <c r="X1242" i="2"/>
  <c r="Y1242" i="2"/>
  <c r="F1243" i="2"/>
  <c r="G1243" i="2"/>
  <c r="M1243" i="2"/>
  <c r="N1243" i="2" s="1"/>
  <c r="R1243" i="2"/>
  <c r="S1243" i="2"/>
  <c r="X1243" i="2"/>
  <c r="Y1243" i="2"/>
  <c r="F1244" i="2"/>
  <c r="G1244" i="2"/>
  <c r="M1244" i="2"/>
  <c r="N1244" i="2" s="1"/>
  <c r="R1244" i="2"/>
  <c r="S1244" i="2"/>
  <c r="X1244" i="2"/>
  <c r="Y1244" i="2"/>
  <c r="F1245" i="2"/>
  <c r="G1245" i="2"/>
  <c r="M1245" i="2"/>
  <c r="N1245" i="2" s="1"/>
  <c r="R1245" i="2"/>
  <c r="S1245" i="2"/>
  <c r="X1245" i="2"/>
  <c r="Y1245" i="2"/>
  <c r="F1246" i="2"/>
  <c r="G1246" i="2"/>
  <c r="M1246" i="2"/>
  <c r="N1246" i="2" s="1"/>
  <c r="R1246" i="2"/>
  <c r="S1246" i="2"/>
  <c r="X1246" i="2"/>
  <c r="Y1246" i="2"/>
  <c r="F1247" i="2"/>
  <c r="G1247" i="2"/>
  <c r="M1247" i="2"/>
  <c r="N1247" i="2" s="1"/>
  <c r="R1247" i="2"/>
  <c r="S1247" i="2"/>
  <c r="X1247" i="2"/>
  <c r="Y1247" i="2"/>
  <c r="F1248" i="2"/>
  <c r="G1248" i="2"/>
  <c r="M1248" i="2"/>
  <c r="N1248" i="2" s="1"/>
  <c r="R1248" i="2"/>
  <c r="S1248" i="2"/>
  <c r="X1248" i="2"/>
  <c r="Y1248" i="2"/>
  <c r="F1249" i="2"/>
  <c r="G1249" i="2"/>
  <c r="M1249" i="2"/>
  <c r="N1249" i="2" s="1"/>
  <c r="R1249" i="2"/>
  <c r="S1249" i="2"/>
  <c r="X1249" i="2"/>
  <c r="Y1249" i="2"/>
  <c r="F1250" i="2"/>
  <c r="G1250" i="2"/>
  <c r="M1250" i="2"/>
  <c r="N1250" i="2" s="1"/>
  <c r="R1250" i="2"/>
  <c r="S1250" i="2"/>
  <c r="X1250" i="2"/>
  <c r="Y1250" i="2"/>
  <c r="F1251" i="2"/>
  <c r="G1251" i="2"/>
  <c r="M1251" i="2"/>
  <c r="N1251" i="2" s="1"/>
  <c r="R1251" i="2"/>
  <c r="S1251" i="2"/>
  <c r="X1251" i="2"/>
  <c r="Y1251" i="2"/>
  <c r="F1252" i="2"/>
  <c r="G1252" i="2"/>
  <c r="M1252" i="2"/>
  <c r="N1252" i="2" s="1"/>
  <c r="R1252" i="2"/>
  <c r="S1252" i="2"/>
  <c r="X1252" i="2"/>
  <c r="Y1252" i="2"/>
  <c r="F1253" i="2"/>
  <c r="G1253" i="2"/>
  <c r="M1253" i="2"/>
  <c r="N1253" i="2" s="1"/>
  <c r="R1253" i="2"/>
  <c r="S1253" i="2"/>
  <c r="X1253" i="2"/>
  <c r="Y1253" i="2"/>
  <c r="F1254" i="2"/>
  <c r="G1254" i="2"/>
  <c r="M1254" i="2"/>
  <c r="N1254" i="2" s="1"/>
  <c r="R1254" i="2"/>
  <c r="S1254" i="2"/>
  <c r="X1254" i="2"/>
  <c r="Y1254" i="2"/>
  <c r="F1255" i="2"/>
  <c r="G1255" i="2"/>
  <c r="M1255" i="2"/>
  <c r="N1255" i="2" s="1"/>
  <c r="R1255" i="2"/>
  <c r="S1255" i="2"/>
  <c r="X1255" i="2"/>
  <c r="Y1255" i="2"/>
  <c r="F1256" i="2"/>
  <c r="G1256" i="2"/>
  <c r="M1256" i="2"/>
  <c r="N1256" i="2" s="1"/>
  <c r="R1256" i="2"/>
  <c r="S1256" i="2"/>
  <c r="X1256" i="2"/>
  <c r="Y1256" i="2"/>
  <c r="F1257" i="2"/>
  <c r="G1257" i="2"/>
  <c r="M1257" i="2"/>
  <c r="N1257" i="2" s="1"/>
  <c r="R1257" i="2"/>
  <c r="S1257" i="2"/>
  <c r="X1257" i="2"/>
  <c r="Y1257" i="2"/>
  <c r="F1258" i="2"/>
  <c r="G1258" i="2"/>
  <c r="M1258" i="2"/>
  <c r="N1258" i="2" s="1"/>
  <c r="R1258" i="2"/>
  <c r="S1258" i="2"/>
  <c r="X1258" i="2"/>
  <c r="Y1258" i="2"/>
  <c r="F1259" i="2"/>
  <c r="G1259" i="2"/>
  <c r="M1259" i="2"/>
  <c r="N1259" i="2" s="1"/>
  <c r="R1259" i="2"/>
  <c r="S1259" i="2"/>
  <c r="X1259" i="2"/>
  <c r="Y1259" i="2"/>
  <c r="F1260" i="2"/>
  <c r="G1260" i="2"/>
  <c r="M1260" i="2"/>
  <c r="N1260" i="2" s="1"/>
  <c r="R1260" i="2"/>
  <c r="S1260" i="2"/>
  <c r="X1260" i="2"/>
  <c r="Y1260" i="2"/>
  <c r="J1262" i="2"/>
  <c r="K1262" i="2"/>
  <c r="L1262" i="2"/>
  <c r="O1262" i="2"/>
  <c r="P1262" i="2"/>
  <c r="Q1262" i="2"/>
  <c r="R1262" i="2"/>
  <c r="S1262" i="2"/>
  <c r="U1262" i="2"/>
  <c r="X1262" i="2" s="1"/>
  <c r="Y1262" i="2" s="1"/>
  <c r="V1262" i="2"/>
  <c r="W1262" i="2"/>
  <c r="Z1262" i="2"/>
  <c r="AA1262" i="2"/>
  <c r="AB1262" i="2"/>
  <c r="E1264" i="2"/>
  <c r="G1264" i="2"/>
  <c r="F1266" i="2"/>
  <c r="G1266" i="2"/>
  <c r="M1266" i="2"/>
  <c r="N1266" i="2"/>
  <c r="R1266" i="2"/>
  <c r="S1266" i="2"/>
  <c r="X1266" i="2"/>
  <c r="Y1266" i="2"/>
  <c r="F1267" i="2"/>
  <c r="G1267" i="2"/>
  <c r="M1267" i="2"/>
  <c r="N1267" i="2"/>
  <c r="R1267" i="2"/>
  <c r="S1267" i="2"/>
  <c r="X1267" i="2"/>
  <c r="Y1267" i="2"/>
  <c r="F1268" i="2"/>
  <c r="G1268" i="2"/>
  <c r="M1268" i="2"/>
  <c r="N1268" i="2"/>
  <c r="R1268" i="2"/>
  <c r="S1268" i="2"/>
  <c r="X1268" i="2"/>
  <c r="Y1268" i="2"/>
  <c r="F1269" i="2"/>
  <c r="G1269" i="2"/>
  <c r="M1269" i="2"/>
  <c r="N1269" i="2"/>
  <c r="R1269" i="2"/>
  <c r="S1269" i="2"/>
  <c r="X1269" i="2"/>
  <c r="Y1269" i="2"/>
  <c r="F1270" i="2"/>
  <c r="G1270" i="2"/>
  <c r="M1270" i="2"/>
  <c r="N1270" i="2"/>
  <c r="R1270" i="2"/>
  <c r="S1270" i="2"/>
  <c r="X1270" i="2"/>
  <c r="Y1270" i="2"/>
  <c r="F1271" i="2"/>
  <c r="G1271" i="2"/>
  <c r="M1271" i="2"/>
  <c r="N1271" i="2"/>
  <c r="R1271" i="2"/>
  <c r="S1271" i="2"/>
  <c r="X1271" i="2"/>
  <c r="Y1271" i="2"/>
  <c r="F1272" i="2"/>
  <c r="G1272" i="2"/>
  <c r="M1272" i="2"/>
  <c r="N1272" i="2"/>
  <c r="R1272" i="2"/>
  <c r="S1272" i="2"/>
  <c r="X1272" i="2"/>
  <c r="Y1272" i="2"/>
  <c r="F1273" i="2"/>
  <c r="G1273" i="2"/>
  <c r="M1273" i="2"/>
  <c r="N1273" i="2"/>
  <c r="R1273" i="2"/>
  <c r="S1273" i="2"/>
  <c r="X1273" i="2"/>
  <c r="Y1273" i="2"/>
  <c r="F1274" i="2"/>
  <c r="G1274" i="2"/>
  <c r="M1274" i="2"/>
  <c r="N1274" i="2"/>
  <c r="R1274" i="2"/>
  <c r="S1274" i="2"/>
  <c r="X1274" i="2"/>
  <c r="Y1274" i="2"/>
  <c r="F1275" i="2"/>
  <c r="G1275" i="2"/>
  <c r="M1275" i="2"/>
  <c r="N1275" i="2"/>
  <c r="R1275" i="2"/>
  <c r="S1275" i="2"/>
  <c r="X1275" i="2"/>
  <c r="Y1275" i="2"/>
  <c r="F1276" i="2"/>
  <c r="G1276" i="2"/>
  <c r="M1276" i="2"/>
  <c r="N1276" i="2"/>
  <c r="R1276" i="2"/>
  <c r="S1276" i="2"/>
  <c r="X1276" i="2"/>
  <c r="Y1276" i="2"/>
  <c r="F1277" i="2"/>
  <c r="G1277" i="2"/>
  <c r="M1277" i="2"/>
  <c r="N1277" i="2"/>
  <c r="R1277" i="2"/>
  <c r="S1277" i="2"/>
  <c r="X1277" i="2"/>
  <c r="Y1277" i="2"/>
  <c r="F1278" i="2"/>
  <c r="G1278" i="2"/>
  <c r="M1278" i="2"/>
  <c r="N1278" i="2"/>
  <c r="R1278" i="2"/>
  <c r="S1278" i="2"/>
  <c r="X1278" i="2"/>
  <c r="Y1278" i="2"/>
  <c r="F1279" i="2"/>
  <c r="G1279" i="2"/>
  <c r="M1279" i="2"/>
  <c r="N1279" i="2"/>
  <c r="R1279" i="2"/>
  <c r="S1279" i="2"/>
  <c r="X1279" i="2"/>
  <c r="Y1279" i="2"/>
  <c r="F1280" i="2"/>
  <c r="G1280" i="2"/>
  <c r="M1280" i="2"/>
  <c r="N1280" i="2"/>
  <c r="R1280" i="2"/>
  <c r="S1280" i="2"/>
  <c r="X1280" i="2"/>
  <c r="Y1280" i="2"/>
  <c r="F1281" i="2"/>
  <c r="G1281" i="2"/>
  <c r="M1281" i="2"/>
  <c r="N1281" i="2"/>
  <c r="R1281" i="2"/>
  <c r="S1281" i="2"/>
  <c r="X1281" i="2"/>
  <c r="Y1281" i="2"/>
  <c r="F1282" i="2"/>
  <c r="G1282" i="2"/>
  <c r="M1282" i="2"/>
  <c r="N1282" i="2"/>
  <c r="R1282" i="2"/>
  <c r="S1282" i="2"/>
  <c r="X1282" i="2"/>
  <c r="Y1282" i="2"/>
  <c r="F1283" i="2"/>
  <c r="G1283" i="2"/>
  <c r="M1283" i="2"/>
  <c r="N1283" i="2"/>
  <c r="R1283" i="2"/>
  <c r="S1283" i="2"/>
  <c r="X1283" i="2"/>
  <c r="Y1283" i="2"/>
  <c r="F1284" i="2"/>
  <c r="G1284" i="2"/>
  <c r="M1284" i="2"/>
  <c r="N1284" i="2"/>
  <c r="R1284" i="2"/>
  <c r="S1284" i="2"/>
  <c r="X1284" i="2"/>
  <c r="Y1284" i="2"/>
  <c r="F1285" i="2"/>
  <c r="G1285" i="2"/>
  <c r="M1285" i="2"/>
  <c r="N1285" i="2"/>
  <c r="R1285" i="2"/>
  <c r="S1285" i="2"/>
  <c r="X1285" i="2"/>
  <c r="Y1285" i="2"/>
  <c r="F1286" i="2"/>
  <c r="G1286" i="2"/>
  <c r="M1286" i="2"/>
  <c r="N1286" i="2"/>
  <c r="R1286" i="2"/>
  <c r="S1286" i="2"/>
  <c r="X1286" i="2"/>
  <c r="Y1286" i="2"/>
  <c r="F1287" i="2"/>
  <c r="G1287" i="2"/>
  <c r="M1287" i="2"/>
  <c r="N1287" i="2"/>
  <c r="R1287" i="2"/>
  <c r="S1287" i="2"/>
  <c r="X1287" i="2"/>
  <c r="Y1287" i="2"/>
  <c r="F1288" i="2"/>
  <c r="G1288" i="2"/>
  <c r="M1288" i="2"/>
  <c r="N1288" i="2"/>
  <c r="R1288" i="2"/>
  <c r="S1288" i="2"/>
  <c r="X1288" i="2"/>
  <c r="Y1288" i="2"/>
  <c r="F1289" i="2"/>
  <c r="G1289" i="2"/>
  <c r="M1289" i="2"/>
  <c r="N1289" i="2"/>
  <c r="R1289" i="2"/>
  <c r="S1289" i="2"/>
  <c r="X1289" i="2"/>
  <c r="Y1289" i="2"/>
  <c r="F1290" i="2"/>
  <c r="G1290" i="2"/>
  <c r="M1290" i="2"/>
  <c r="N1290" i="2"/>
  <c r="R1290" i="2"/>
  <c r="S1290" i="2"/>
  <c r="X1290" i="2"/>
  <c r="Y1290" i="2"/>
  <c r="F1291" i="2"/>
  <c r="G1291" i="2"/>
  <c r="M1291" i="2"/>
  <c r="N1291" i="2"/>
  <c r="R1291" i="2"/>
  <c r="S1291" i="2"/>
  <c r="X1291" i="2"/>
  <c r="Y1291" i="2"/>
  <c r="F1292" i="2"/>
  <c r="G1292" i="2"/>
  <c r="M1292" i="2"/>
  <c r="N1292" i="2"/>
  <c r="R1292" i="2"/>
  <c r="S1292" i="2"/>
  <c r="X1292" i="2"/>
  <c r="Y1292" i="2"/>
  <c r="F1293" i="2"/>
  <c r="G1293" i="2"/>
  <c r="M1293" i="2"/>
  <c r="N1293" i="2"/>
  <c r="R1293" i="2"/>
  <c r="S1293" i="2"/>
  <c r="X1293" i="2"/>
  <c r="Y1293" i="2"/>
  <c r="F1294" i="2"/>
  <c r="G1294" i="2"/>
  <c r="M1294" i="2"/>
  <c r="N1294" i="2"/>
  <c r="R1294" i="2"/>
  <c r="S1294" i="2"/>
  <c r="X1294" i="2"/>
  <c r="Y1294" i="2"/>
  <c r="J1296" i="2"/>
  <c r="K1296" i="2"/>
  <c r="L1296" i="2"/>
  <c r="M1296" i="2"/>
  <c r="N1296" i="2"/>
  <c r="O1296" i="2"/>
  <c r="R1296" i="2" s="1"/>
  <c r="S1296" i="2" s="1"/>
  <c r="P1296" i="2"/>
  <c r="Q1296" i="2"/>
  <c r="U1296" i="2"/>
  <c r="V1296" i="2"/>
  <c r="W1296" i="2"/>
  <c r="X1296" i="2" s="1"/>
  <c r="Y1296" i="2"/>
  <c r="Z1296" i="2"/>
  <c r="AA1296" i="2"/>
  <c r="AB1296" i="2"/>
  <c r="E1298" i="2"/>
  <c r="G1298" i="2"/>
  <c r="F1300" i="2"/>
  <c r="G1300" i="2"/>
  <c r="M1300" i="2"/>
  <c r="N1300" i="2" s="1"/>
  <c r="R1300" i="2"/>
  <c r="S1300" i="2"/>
  <c r="X1300" i="2"/>
  <c r="Y1300" i="2"/>
  <c r="F1301" i="2"/>
  <c r="G1301" i="2"/>
  <c r="M1301" i="2"/>
  <c r="N1301" i="2" s="1"/>
  <c r="R1301" i="2"/>
  <c r="S1301" i="2"/>
  <c r="X1301" i="2"/>
  <c r="Y1301" i="2"/>
  <c r="F1302" i="2"/>
  <c r="G1302" i="2"/>
  <c r="M1302" i="2"/>
  <c r="N1302" i="2" s="1"/>
  <c r="R1302" i="2"/>
  <c r="S1302" i="2"/>
  <c r="X1302" i="2"/>
  <c r="Y1302" i="2"/>
  <c r="F1303" i="2"/>
  <c r="G1303" i="2"/>
  <c r="M1303" i="2"/>
  <c r="N1303" i="2" s="1"/>
  <c r="R1303" i="2"/>
  <c r="S1303" i="2"/>
  <c r="X1303" i="2"/>
  <c r="Y1303" i="2"/>
  <c r="F1304" i="2"/>
  <c r="G1304" i="2"/>
  <c r="M1304" i="2"/>
  <c r="N1304" i="2" s="1"/>
  <c r="R1304" i="2"/>
  <c r="S1304" i="2"/>
  <c r="X1304" i="2"/>
  <c r="Y1304" i="2"/>
  <c r="F1305" i="2"/>
  <c r="G1305" i="2"/>
  <c r="M1305" i="2"/>
  <c r="N1305" i="2" s="1"/>
  <c r="R1305" i="2"/>
  <c r="S1305" i="2"/>
  <c r="X1305" i="2"/>
  <c r="Y1305" i="2"/>
  <c r="F1306" i="2"/>
  <c r="G1306" i="2"/>
  <c r="M1306" i="2"/>
  <c r="N1306" i="2" s="1"/>
  <c r="R1306" i="2"/>
  <c r="S1306" i="2"/>
  <c r="X1306" i="2"/>
  <c r="Y1306" i="2"/>
  <c r="F1307" i="2"/>
  <c r="G1307" i="2"/>
  <c r="M1307" i="2"/>
  <c r="N1307" i="2" s="1"/>
  <c r="R1307" i="2"/>
  <c r="S1307" i="2"/>
  <c r="X1307" i="2"/>
  <c r="Y1307" i="2"/>
  <c r="F1308" i="2"/>
  <c r="G1308" i="2"/>
  <c r="M1308" i="2"/>
  <c r="N1308" i="2" s="1"/>
  <c r="R1308" i="2"/>
  <c r="S1308" i="2"/>
  <c r="X1308" i="2"/>
  <c r="Y1308" i="2"/>
  <c r="F1309" i="2"/>
  <c r="G1309" i="2"/>
  <c r="M1309" i="2"/>
  <c r="N1309" i="2" s="1"/>
  <c r="R1309" i="2"/>
  <c r="S1309" i="2"/>
  <c r="X1309" i="2"/>
  <c r="Y1309" i="2"/>
  <c r="F1310" i="2"/>
  <c r="G1310" i="2"/>
  <c r="M1310" i="2"/>
  <c r="N1310" i="2" s="1"/>
  <c r="R1310" i="2"/>
  <c r="S1310" i="2"/>
  <c r="X1310" i="2"/>
  <c r="Y1310" i="2"/>
  <c r="F1311" i="2"/>
  <c r="G1311" i="2"/>
  <c r="M1311" i="2"/>
  <c r="N1311" i="2" s="1"/>
  <c r="R1311" i="2"/>
  <c r="S1311" i="2"/>
  <c r="X1311" i="2"/>
  <c r="Y1311" i="2"/>
  <c r="F1312" i="2"/>
  <c r="G1312" i="2"/>
  <c r="M1312" i="2"/>
  <c r="N1312" i="2" s="1"/>
  <c r="R1312" i="2"/>
  <c r="S1312" i="2"/>
  <c r="X1312" i="2"/>
  <c r="Y1312" i="2"/>
  <c r="F1313" i="2"/>
  <c r="G1313" i="2"/>
  <c r="M1313" i="2"/>
  <c r="N1313" i="2" s="1"/>
  <c r="R1313" i="2"/>
  <c r="S1313" i="2"/>
  <c r="X1313" i="2"/>
  <c r="Y1313" i="2"/>
  <c r="F1314" i="2"/>
  <c r="G1314" i="2"/>
  <c r="M1314" i="2"/>
  <c r="N1314" i="2" s="1"/>
  <c r="R1314" i="2"/>
  <c r="S1314" i="2"/>
  <c r="X1314" i="2"/>
  <c r="Y1314" i="2"/>
  <c r="F1315" i="2"/>
  <c r="G1315" i="2"/>
  <c r="M1315" i="2"/>
  <c r="N1315" i="2" s="1"/>
  <c r="R1315" i="2"/>
  <c r="S1315" i="2"/>
  <c r="X1315" i="2"/>
  <c r="Y1315" i="2"/>
  <c r="F1316" i="2"/>
  <c r="G1316" i="2"/>
  <c r="M1316" i="2"/>
  <c r="N1316" i="2" s="1"/>
  <c r="R1316" i="2"/>
  <c r="S1316" i="2"/>
  <c r="X1316" i="2"/>
  <c r="Y1316" i="2"/>
  <c r="F1317" i="2"/>
  <c r="G1317" i="2"/>
  <c r="M1317" i="2"/>
  <c r="N1317" i="2" s="1"/>
  <c r="R1317" i="2"/>
  <c r="S1317" i="2"/>
  <c r="X1317" i="2"/>
  <c r="Y1317" i="2"/>
  <c r="F1318" i="2"/>
  <c r="G1318" i="2"/>
  <c r="M1318" i="2"/>
  <c r="N1318" i="2" s="1"/>
  <c r="R1318" i="2"/>
  <c r="S1318" i="2"/>
  <c r="X1318" i="2"/>
  <c r="Y1318" i="2"/>
  <c r="F1319" i="2"/>
  <c r="G1319" i="2"/>
  <c r="M1319" i="2"/>
  <c r="N1319" i="2"/>
  <c r="R1319" i="2"/>
  <c r="S1319" i="2"/>
  <c r="X1319" i="2"/>
  <c r="Y1319" i="2"/>
  <c r="F1320" i="2"/>
  <c r="G1320" i="2"/>
  <c r="M1320" i="2"/>
  <c r="N1320" i="2"/>
  <c r="R1320" i="2"/>
  <c r="S1320" i="2"/>
  <c r="X1320" i="2"/>
  <c r="Y1320" i="2"/>
  <c r="F1321" i="2"/>
  <c r="G1321" i="2"/>
  <c r="M1321" i="2"/>
  <c r="N1321" i="2" s="1"/>
  <c r="R1321" i="2"/>
  <c r="S1321" i="2"/>
  <c r="X1321" i="2"/>
  <c r="Y1321" i="2"/>
  <c r="F1322" i="2"/>
  <c r="G1322" i="2"/>
  <c r="M1322" i="2"/>
  <c r="N1322" i="2" s="1"/>
  <c r="R1322" i="2"/>
  <c r="S1322" i="2"/>
  <c r="X1322" i="2"/>
  <c r="Y1322" i="2"/>
  <c r="F1323" i="2"/>
  <c r="G1323" i="2"/>
  <c r="M1323" i="2"/>
  <c r="N1323" i="2" s="1"/>
  <c r="R1323" i="2"/>
  <c r="S1323" i="2"/>
  <c r="X1323" i="2"/>
  <c r="Y1323" i="2"/>
  <c r="F1324" i="2"/>
  <c r="G1324" i="2"/>
  <c r="M1324" i="2"/>
  <c r="N1324" i="2" s="1"/>
  <c r="R1324" i="2"/>
  <c r="S1324" i="2"/>
  <c r="X1324" i="2"/>
  <c r="Y1324" i="2"/>
  <c r="F1325" i="2"/>
  <c r="G1325" i="2"/>
  <c r="M1325" i="2"/>
  <c r="N1325" i="2" s="1"/>
  <c r="R1325" i="2"/>
  <c r="S1325" i="2"/>
  <c r="X1325" i="2"/>
  <c r="Y1325" i="2"/>
  <c r="F1326" i="2"/>
  <c r="G1326" i="2"/>
  <c r="M1326" i="2"/>
  <c r="N1326" i="2" s="1"/>
  <c r="R1326" i="2"/>
  <c r="S1326" i="2"/>
  <c r="X1326" i="2"/>
  <c r="Y1326" i="2"/>
  <c r="F1327" i="2"/>
  <c r="G1327" i="2"/>
  <c r="M1327" i="2"/>
  <c r="N1327" i="2" s="1"/>
  <c r="R1327" i="2"/>
  <c r="S1327" i="2"/>
  <c r="X1327" i="2"/>
  <c r="Y1327" i="2"/>
  <c r="F1328" i="2"/>
  <c r="G1328" i="2"/>
  <c r="M1328" i="2"/>
  <c r="N1328" i="2" s="1"/>
  <c r="R1328" i="2"/>
  <c r="S1328" i="2"/>
  <c r="X1328" i="2"/>
  <c r="Y1328" i="2"/>
  <c r="F1329" i="2"/>
  <c r="G1329" i="2"/>
  <c r="M1329" i="2"/>
  <c r="N1329" i="2" s="1"/>
  <c r="R1329" i="2"/>
  <c r="S1329" i="2"/>
  <c r="X1329" i="2"/>
  <c r="Y1329" i="2"/>
  <c r="F1330" i="2"/>
  <c r="G1330" i="2"/>
  <c r="M1330" i="2"/>
  <c r="N1330" i="2" s="1"/>
  <c r="R1330" i="2"/>
  <c r="S1330" i="2"/>
  <c r="X1330" i="2"/>
  <c r="Y1330" i="2"/>
  <c r="F1331" i="2"/>
  <c r="G1331" i="2"/>
  <c r="M1331" i="2"/>
  <c r="N1331" i="2"/>
  <c r="R1331" i="2"/>
  <c r="S1331" i="2"/>
  <c r="X1331" i="2"/>
  <c r="Y1331" i="2"/>
  <c r="F1332" i="2"/>
  <c r="G1332" i="2"/>
  <c r="M1332" i="2"/>
  <c r="N1332" i="2" s="1"/>
  <c r="R1332" i="2"/>
  <c r="S1332" i="2"/>
  <c r="X1332" i="2"/>
  <c r="Y1332" i="2"/>
  <c r="F1333" i="2"/>
  <c r="G1333" i="2"/>
  <c r="M1333" i="2"/>
  <c r="N1333" i="2" s="1"/>
  <c r="R1333" i="2"/>
  <c r="S1333" i="2"/>
  <c r="X1333" i="2"/>
  <c r="Y1333" i="2"/>
  <c r="F1334" i="2"/>
  <c r="G1334" i="2"/>
  <c r="M1334" i="2"/>
  <c r="N1334" i="2" s="1"/>
  <c r="R1334" i="2"/>
  <c r="S1334" i="2"/>
  <c r="X1334" i="2"/>
  <c r="Y1334" i="2"/>
  <c r="F1335" i="2"/>
  <c r="G1335" i="2"/>
  <c r="M1335" i="2"/>
  <c r="N1335" i="2" s="1"/>
  <c r="R1335" i="2"/>
  <c r="S1335" i="2"/>
  <c r="X1335" i="2"/>
  <c r="Y1335" i="2"/>
  <c r="F1336" i="2"/>
  <c r="G1336" i="2"/>
  <c r="M1336" i="2"/>
  <c r="N1336" i="2" s="1"/>
  <c r="R1336" i="2"/>
  <c r="S1336" i="2"/>
  <c r="X1336" i="2"/>
  <c r="Y1336" i="2"/>
  <c r="F1337" i="2"/>
  <c r="G1337" i="2"/>
  <c r="M1337" i="2"/>
  <c r="N1337" i="2" s="1"/>
  <c r="R1337" i="2"/>
  <c r="S1337" i="2"/>
  <c r="X1337" i="2"/>
  <c r="Y1337" i="2"/>
  <c r="F1338" i="2"/>
  <c r="G1338" i="2"/>
  <c r="M1338" i="2"/>
  <c r="N1338" i="2" s="1"/>
  <c r="R1338" i="2"/>
  <c r="S1338" i="2"/>
  <c r="X1338" i="2"/>
  <c r="Y1338" i="2"/>
  <c r="F1339" i="2"/>
  <c r="G1339" i="2"/>
  <c r="M1339" i="2"/>
  <c r="N1339" i="2" s="1"/>
  <c r="R1339" i="2"/>
  <c r="S1339" i="2"/>
  <c r="X1339" i="2"/>
  <c r="Y1339" i="2"/>
  <c r="F1340" i="2"/>
  <c r="G1340" i="2"/>
  <c r="M1340" i="2"/>
  <c r="N1340" i="2" s="1"/>
  <c r="R1340" i="2"/>
  <c r="S1340" i="2"/>
  <c r="X1340" i="2"/>
  <c r="Y1340" i="2"/>
  <c r="F1341" i="2"/>
  <c r="G1341" i="2"/>
  <c r="M1341" i="2"/>
  <c r="N1341" i="2" s="1"/>
  <c r="R1341" i="2"/>
  <c r="S1341" i="2"/>
  <c r="X1341" i="2"/>
  <c r="Y1341" i="2"/>
  <c r="F1342" i="2"/>
  <c r="G1342" i="2"/>
  <c r="M1342" i="2"/>
  <c r="N1342" i="2" s="1"/>
  <c r="R1342" i="2"/>
  <c r="S1342" i="2"/>
  <c r="X1342" i="2"/>
  <c r="Y1342" i="2"/>
  <c r="J1344" i="2"/>
  <c r="M1344" i="2" s="1"/>
  <c r="K1344" i="2"/>
  <c r="L1344" i="2"/>
  <c r="O1344" i="2"/>
  <c r="P1344" i="2"/>
  <c r="Q1344" i="2"/>
  <c r="R1344" i="2" s="1"/>
  <c r="S1344" i="2" s="1"/>
  <c r="U1344" i="2"/>
  <c r="X1344" i="2" s="1"/>
  <c r="Y1344" i="2" s="1"/>
  <c r="V1344" i="2"/>
  <c r="W1344" i="2"/>
  <c r="Z1344" i="2"/>
  <c r="AA1344" i="2"/>
  <c r="AB1344" i="2"/>
  <c r="E1346" i="2"/>
  <c r="G1346" i="2"/>
  <c r="F1348" i="2"/>
  <c r="G1348" i="2"/>
  <c r="M1348" i="2"/>
  <c r="N1348" i="2"/>
  <c r="R1348" i="2"/>
  <c r="S1348" i="2" s="1"/>
  <c r="X1348" i="2"/>
  <c r="Y1348" i="2"/>
  <c r="F1349" i="2"/>
  <c r="G1349" i="2"/>
  <c r="M1349" i="2"/>
  <c r="N1349" i="2"/>
  <c r="R1349" i="2"/>
  <c r="S1349" i="2" s="1"/>
  <c r="X1349" i="2"/>
  <c r="Y1349" i="2"/>
  <c r="F1350" i="2"/>
  <c r="G1350" i="2"/>
  <c r="M1350" i="2"/>
  <c r="N1350" i="2"/>
  <c r="R1350" i="2"/>
  <c r="S1350" i="2" s="1"/>
  <c r="X1350" i="2"/>
  <c r="Y1350" i="2"/>
  <c r="F1351" i="2"/>
  <c r="G1351" i="2"/>
  <c r="M1351" i="2"/>
  <c r="N1351" i="2"/>
  <c r="R1351" i="2"/>
  <c r="S1351" i="2" s="1"/>
  <c r="X1351" i="2"/>
  <c r="Y1351" i="2"/>
  <c r="F1352" i="2"/>
  <c r="G1352" i="2"/>
  <c r="M1352" i="2"/>
  <c r="N1352" i="2"/>
  <c r="R1352" i="2"/>
  <c r="S1352" i="2" s="1"/>
  <c r="X1352" i="2"/>
  <c r="Y1352" i="2"/>
  <c r="F1353" i="2"/>
  <c r="G1353" i="2"/>
  <c r="M1353" i="2"/>
  <c r="N1353" i="2"/>
  <c r="R1353" i="2"/>
  <c r="S1353" i="2" s="1"/>
  <c r="X1353" i="2"/>
  <c r="Y1353" i="2"/>
  <c r="F1354" i="2"/>
  <c r="G1354" i="2"/>
  <c r="M1354" i="2"/>
  <c r="N1354" i="2"/>
  <c r="R1354" i="2"/>
  <c r="S1354" i="2" s="1"/>
  <c r="X1354" i="2"/>
  <c r="Y1354" i="2"/>
  <c r="F1355" i="2"/>
  <c r="G1355" i="2"/>
  <c r="M1355" i="2"/>
  <c r="N1355" i="2"/>
  <c r="R1355" i="2"/>
  <c r="S1355" i="2" s="1"/>
  <c r="X1355" i="2"/>
  <c r="Y1355" i="2"/>
  <c r="F1356" i="2"/>
  <c r="G1356" i="2"/>
  <c r="M1356" i="2"/>
  <c r="N1356" i="2"/>
  <c r="R1356" i="2"/>
  <c r="S1356" i="2" s="1"/>
  <c r="X1356" i="2"/>
  <c r="Y1356" i="2"/>
  <c r="J1358" i="2"/>
  <c r="K1358" i="2"/>
  <c r="L1358" i="2"/>
  <c r="M1358" i="2" s="1"/>
  <c r="N1358" i="2"/>
  <c r="O1358" i="2"/>
  <c r="R1358" i="2" s="1"/>
  <c r="S1358" i="2" s="1"/>
  <c r="P1358" i="2"/>
  <c r="Q1358" i="2"/>
  <c r="U1358" i="2"/>
  <c r="V1358" i="2"/>
  <c r="W1358" i="2"/>
  <c r="Z1358" i="2"/>
  <c r="AA1358" i="2"/>
  <c r="AB1358" i="2"/>
  <c r="E1360" i="2"/>
  <c r="G1360" i="2"/>
  <c r="F1362" i="2"/>
  <c r="G1362" i="2"/>
  <c r="M1362" i="2"/>
  <c r="N1362" i="2"/>
  <c r="R1362" i="2"/>
  <c r="S1362" i="2"/>
  <c r="X1362" i="2"/>
  <c r="Y1362" i="2"/>
  <c r="F1363" i="2"/>
  <c r="G1363" i="2"/>
  <c r="M1363" i="2"/>
  <c r="N1363" i="2"/>
  <c r="R1363" i="2"/>
  <c r="S1363" i="2"/>
  <c r="X1363" i="2"/>
  <c r="Y1363" i="2" s="1"/>
  <c r="F1364" i="2"/>
  <c r="G1364" i="2"/>
  <c r="M1364" i="2"/>
  <c r="N1364" i="2"/>
  <c r="R1364" i="2"/>
  <c r="S1364" i="2"/>
  <c r="X1364" i="2"/>
  <c r="Y1364" i="2"/>
  <c r="F1365" i="2"/>
  <c r="G1365" i="2"/>
  <c r="M1365" i="2"/>
  <c r="N1365" i="2"/>
  <c r="R1365" i="2"/>
  <c r="S1365" i="2"/>
  <c r="X1365" i="2"/>
  <c r="Y1365" i="2"/>
  <c r="F1366" i="2"/>
  <c r="G1366" i="2"/>
  <c r="M1366" i="2"/>
  <c r="N1366" i="2"/>
  <c r="R1366" i="2"/>
  <c r="S1366" i="2"/>
  <c r="X1366" i="2"/>
  <c r="Y1366" i="2" s="1"/>
  <c r="F1367" i="2"/>
  <c r="G1367" i="2"/>
  <c r="M1367" i="2"/>
  <c r="N1367" i="2"/>
  <c r="R1367" i="2"/>
  <c r="S1367" i="2"/>
  <c r="X1367" i="2"/>
  <c r="Y1367" i="2"/>
  <c r="F1368" i="2"/>
  <c r="G1368" i="2"/>
  <c r="M1368" i="2"/>
  <c r="N1368" i="2"/>
  <c r="R1368" i="2"/>
  <c r="S1368" i="2"/>
  <c r="X1368" i="2"/>
  <c r="Y1368" i="2"/>
  <c r="F1369" i="2"/>
  <c r="G1369" i="2"/>
  <c r="M1369" i="2"/>
  <c r="N1369" i="2"/>
  <c r="R1369" i="2"/>
  <c r="S1369" i="2"/>
  <c r="X1369" i="2"/>
  <c r="Y1369" i="2" s="1"/>
  <c r="F1370" i="2"/>
  <c r="G1370" i="2"/>
  <c r="M1370" i="2"/>
  <c r="N1370" i="2"/>
  <c r="R1370" i="2"/>
  <c r="S1370" i="2"/>
  <c r="X1370" i="2"/>
  <c r="Y1370" i="2"/>
  <c r="F1371" i="2"/>
  <c r="G1371" i="2"/>
  <c r="M1371" i="2"/>
  <c r="N1371" i="2"/>
  <c r="R1371" i="2"/>
  <c r="S1371" i="2"/>
  <c r="X1371" i="2"/>
  <c r="Y1371" i="2" s="1"/>
  <c r="F1372" i="2"/>
  <c r="G1372" i="2"/>
  <c r="M1372" i="2"/>
  <c r="N1372" i="2"/>
  <c r="R1372" i="2"/>
  <c r="S1372" i="2"/>
  <c r="X1372" i="2"/>
  <c r="Y1372" i="2" s="1"/>
  <c r="F1373" i="2"/>
  <c r="G1373" i="2"/>
  <c r="M1373" i="2"/>
  <c r="N1373" i="2"/>
  <c r="R1373" i="2"/>
  <c r="S1373" i="2"/>
  <c r="X1373" i="2"/>
  <c r="Y1373" i="2"/>
  <c r="F1374" i="2"/>
  <c r="G1374" i="2"/>
  <c r="M1374" i="2"/>
  <c r="N1374" i="2"/>
  <c r="R1374" i="2"/>
  <c r="S1374" i="2"/>
  <c r="X1374" i="2"/>
  <c r="Y1374" i="2" s="1"/>
  <c r="F1375" i="2"/>
  <c r="G1375" i="2"/>
  <c r="M1375" i="2"/>
  <c r="N1375" i="2"/>
  <c r="R1375" i="2"/>
  <c r="S1375" i="2"/>
  <c r="X1375" i="2"/>
  <c r="Y1375" i="2" s="1"/>
  <c r="F1376" i="2"/>
  <c r="G1376" i="2"/>
  <c r="M1376" i="2"/>
  <c r="N1376" i="2"/>
  <c r="R1376" i="2"/>
  <c r="S1376" i="2"/>
  <c r="X1376" i="2"/>
  <c r="Y1376" i="2"/>
  <c r="F1377" i="2"/>
  <c r="G1377" i="2"/>
  <c r="M1377" i="2"/>
  <c r="N1377" i="2"/>
  <c r="R1377" i="2"/>
  <c r="S1377" i="2"/>
  <c r="X1377" i="2"/>
  <c r="Y1377" i="2"/>
  <c r="F1378" i="2"/>
  <c r="G1378" i="2"/>
  <c r="M1378" i="2"/>
  <c r="N1378" i="2"/>
  <c r="R1378" i="2"/>
  <c r="S1378" i="2"/>
  <c r="X1378" i="2"/>
  <c r="Y1378" i="2"/>
  <c r="F1379" i="2"/>
  <c r="G1379" i="2"/>
  <c r="M1379" i="2"/>
  <c r="N1379" i="2"/>
  <c r="R1379" i="2"/>
  <c r="S1379" i="2"/>
  <c r="X1379" i="2"/>
  <c r="Y1379" i="2" s="1"/>
  <c r="F1380" i="2"/>
  <c r="G1380" i="2"/>
  <c r="M1380" i="2"/>
  <c r="N1380" i="2"/>
  <c r="R1380" i="2"/>
  <c r="S1380" i="2"/>
  <c r="X1380" i="2"/>
  <c r="Y1380" i="2" s="1"/>
  <c r="F1381" i="2"/>
  <c r="G1381" i="2"/>
  <c r="M1381" i="2"/>
  <c r="N1381" i="2"/>
  <c r="R1381" i="2"/>
  <c r="S1381" i="2"/>
  <c r="X1381" i="2"/>
  <c r="Y1381" i="2"/>
  <c r="F1382" i="2"/>
  <c r="G1382" i="2"/>
  <c r="M1382" i="2"/>
  <c r="N1382" i="2"/>
  <c r="R1382" i="2"/>
  <c r="S1382" i="2"/>
  <c r="X1382" i="2"/>
  <c r="Y1382" i="2" s="1"/>
  <c r="F1383" i="2"/>
  <c r="G1383" i="2"/>
  <c r="M1383" i="2"/>
  <c r="N1383" i="2"/>
  <c r="R1383" i="2"/>
  <c r="S1383" i="2"/>
  <c r="X1383" i="2"/>
  <c r="Y1383" i="2" s="1"/>
  <c r="F1384" i="2"/>
  <c r="G1384" i="2"/>
  <c r="M1384" i="2"/>
  <c r="N1384" i="2"/>
  <c r="R1384" i="2"/>
  <c r="S1384" i="2"/>
  <c r="X1384" i="2"/>
  <c r="Y1384" i="2"/>
  <c r="F1385" i="2"/>
  <c r="G1385" i="2"/>
  <c r="M1385" i="2"/>
  <c r="N1385" i="2"/>
  <c r="R1385" i="2"/>
  <c r="S1385" i="2"/>
  <c r="X1385" i="2"/>
  <c r="Y1385" i="2"/>
  <c r="F1386" i="2"/>
  <c r="G1386" i="2"/>
  <c r="M1386" i="2"/>
  <c r="N1386" i="2"/>
  <c r="R1386" i="2"/>
  <c r="S1386" i="2"/>
  <c r="X1386" i="2"/>
  <c r="Y1386" i="2"/>
  <c r="F1387" i="2"/>
  <c r="G1387" i="2"/>
  <c r="M1387" i="2"/>
  <c r="N1387" i="2"/>
  <c r="R1387" i="2"/>
  <c r="S1387" i="2"/>
  <c r="X1387" i="2"/>
  <c r="Y1387" i="2" s="1"/>
  <c r="F1388" i="2"/>
  <c r="G1388" i="2"/>
  <c r="M1388" i="2"/>
  <c r="N1388" i="2"/>
  <c r="R1388" i="2"/>
  <c r="S1388" i="2"/>
  <c r="X1388" i="2"/>
  <c r="Y1388" i="2" s="1"/>
  <c r="F1389" i="2"/>
  <c r="G1389" i="2"/>
  <c r="M1389" i="2"/>
  <c r="N1389" i="2"/>
  <c r="R1389" i="2"/>
  <c r="S1389" i="2"/>
  <c r="X1389" i="2"/>
  <c r="Y1389" i="2" s="1"/>
  <c r="J1391" i="2"/>
  <c r="M1391" i="2" s="1"/>
  <c r="N1391" i="2" s="1"/>
  <c r="K1391" i="2"/>
  <c r="L1391" i="2"/>
  <c r="O1391" i="2"/>
  <c r="P1391" i="2"/>
  <c r="Q1391" i="2"/>
  <c r="U1391" i="2"/>
  <c r="V1391" i="2"/>
  <c r="W1391" i="2"/>
  <c r="X1391" i="2"/>
  <c r="Z1391" i="2"/>
  <c r="AA1391" i="2"/>
  <c r="AB1391" i="2"/>
  <c r="E1393" i="2"/>
  <c r="G1393" i="2"/>
  <c r="F1395" i="2"/>
  <c r="G1395" i="2"/>
  <c r="M1395" i="2"/>
  <c r="N1395" i="2" s="1"/>
  <c r="R1395" i="2"/>
  <c r="S1395" i="2"/>
  <c r="X1395" i="2"/>
  <c r="Y1395" i="2"/>
  <c r="F1396" i="2"/>
  <c r="G1396" i="2"/>
  <c r="M1396" i="2"/>
  <c r="N1396" i="2" s="1"/>
  <c r="R1396" i="2"/>
  <c r="S1396" i="2"/>
  <c r="X1396" i="2"/>
  <c r="Y1396" i="2"/>
  <c r="F1397" i="2"/>
  <c r="G1397" i="2"/>
  <c r="M1397" i="2"/>
  <c r="N1397" i="2" s="1"/>
  <c r="R1397" i="2"/>
  <c r="S1397" i="2"/>
  <c r="X1397" i="2"/>
  <c r="Y1397" i="2"/>
  <c r="F1398" i="2"/>
  <c r="G1398" i="2"/>
  <c r="M1398" i="2"/>
  <c r="N1398" i="2" s="1"/>
  <c r="R1398" i="2"/>
  <c r="S1398" i="2"/>
  <c r="X1398" i="2"/>
  <c r="Y1398" i="2"/>
  <c r="F1399" i="2"/>
  <c r="G1399" i="2"/>
  <c r="M1399" i="2"/>
  <c r="N1399" i="2" s="1"/>
  <c r="R1399" i="2"/>
  <c r="S1399" i="2"/>
  <c r="X1399" i="2"/>
  <c r="Y1399" i="2"/>
  <c r="F1400" i="2"/>
  <c r="G1400" i="2"/>
  <c r="M1400" i="2"/>
  <c r="N1400" i="2" s="1"/>
  <c r="R1400" i="2"/>
  <c r="S1400" i="2"/>
  <c r="X1400" i="2"/>
  <c r="Y1400" i="2"/>
  <c r="F1401" i="2"/>
  <c r="G1401" i="2"/>
  <c r="M1401" i="2"/>
  <c r="N1401" i="2" s="1"/>
  <c r="R1401" i="2"/>
  <c r="S1401" i="2"/>
  <c r="X1401" i="2"/>
  <c r="Y1401" i="2"/>
  <c r="F1402" i="2"/>
  <c r="G1402" i="2"/>
  <c r="M1402" i="2"/>
  <c r="N1402" i="2" s="1"/>
  <c r="R1402" i="2"/>
  <c r="S1402" i="2"/>
  <c r="X1402" i="2"/>
  <c r="Y1402" i="2"/>
  <c r="F1403" i="2"/>
  <c r="G1403" i="2"/>
  <c r="M1403" i="2"/>
  <c r="N1403" i="2" s="1"/>
  <c r="R1403" i="2"/>
  <c r="S1403" i="2"/>
  <c r="X1403" i="2"/>
  <c r="Y1403" i="2"/>
  <c r="J1405" i="2"/>
  <c r="K1405" i="2"/>
  <c r="L1405" i="2"/>
  <c r="O1405" i="2"/>
  <c r="S1405" i="2" s="1"/>
  <c r="P1405" i="2"/>
  <c r="Q1405" i="2"/>
  <c r="R1405" i="2"/>
  <c r="U1405" i="2"/>
  <c r="Y1405" i="2" s="1"/>
  <c r="V1405" i="2"/>
  <c r="W1405" i="2"/>
  <c r="X1405" i="2"/>
  <c r="Z1405" i="2"/>
  <c r="AA1405" i="2"/>
  <c r="AB1405" i="2"/>
  <c r="E1407" i="2"/>
  <c r="G1407" i="2"/>
  <c r="F1409" i="2"/>
  <c r="G1409" i="2"/>
  <c r="M1409" i="2"/>
  <c r="N1409" i="2"/>
  <c r="R1409" i="2"/>
  <c r="S1409" i="2"/>
  <c r="X1409" i="2"/>
  <c r="Y1409" i="2" s="1"/>
  <c r="F1410" i="2"/>
  <c r="G1410" i="2"/>
  <c r="M1410" i="2"/>
  <c r="N1410" i="2"/>
  <c r="R1410" i="2"/>
  <c r="S1410" i="2"/>
  <c r="X1410" i="2"/>
  <c r="Y1410" i="2"/>
  <c r="F1411" i="2"/>
  <c r="G1411" i="2"/>
  <c r="M1411" i="2"/>
  <c r="N1411" i="2"/>
  <c r="R1411" i="2"/>
  <c r="S1411" i="2"/>
  <c r="X1411" i="2"/>
  <c r="Y1411" i="2"/>
  <c r="F1412" i="2"/>
  <c r="G1412" i="2"/>
  <c r="M1412" i="2"/>
  <c r="N1412" i="2"/>
  <c r="R1412" i="2"/>
  <c r="S1412" i="2"/>
  <c r="X1412" i="2"/>
  <c r="Y1412" i="2"/>
  <c r="F1413" i="2"/>
  <c r="G1413" i="2"/>
  <c r="M1413" i="2"/>
  <c r="N1413" i="2"/>
  <c r="R1413" i="2"/>
  <c r="S1413" i="2"/>
  <c r="X1413" i="2"/>
  <c r="Y1413" i="2"/>
  <c r="F1414" i="2"/>
  <c r="G1414" i="2"/>
  <c r="M1414" i="2"/>
  <c r="N1414" i="2"/>
  <c r="R1414" i="2"/>
  <c r="S1414" i="2"/>
  <c r="X1414" i="2"/>
  <c r="Y1414" i="2"/>
  <c r="F1415" i="2"/>
  <c r="G1415" i="2"/>
  <c r="M1415" i="2"/>
  <c r="N1415" i="2"/>
  <c r="R1415" i="2"/>
  <c r="S1415" i="2"/>
  <c r="X1415" i="2"/>
  <c r="Y1415" i="2" s="1"/>
  <c r="F1416" i="2"/>
  <c r="G1416" i="2"/>
  <c r="M1416" i="2"/>
  <c r="N1416" i="2"/>
  <c r="R1416" i="2"/>
  <c r="S1416" i="2"/>
  <c r="X1416" i="2"/>
  <c r="Y1416" i="2"/>
  <c r="F1417" i="2"/>
  <c r="G1417" i="2"/>
  <c r="M1417" i="2"/>
  <c r="N1417" i="2"/>
  <c r="R1417" i="2"/>
  <c r="S1417" i="2"/>
  <c r="X1417" i="2"/>
  <c r="Y1417" i="2"/>
  <c r="F1418" i="2"/>
  <c r="G1418" i="2"/>
  <c r="M1418" i="2"/>
  <c r="N1418" i="2"/>
  <c r="R1418" i="2"/>
  <c r="S1418" i="2"/>
  <c r="X1418" i="2"/>
  <c r="Y1418" i="2"/>
  <c r="F1419" i="2"/>
  <c r="G1419" i="2"/>
  <c r="M1419" i="2"/>
  <c r="N1419" i="2"/>
  <c r="R1419" i="2"/>
  <c r="S1419" i="2"/>
  <c r="X1419" i="2"/>
  <c r="Y1419" i="2"/>
  <c r="F1420" i="2"/>
  <c r="G1420" i="2"/>
  <c r="M1420" i="2"/>
  <c r="N1420" i="2"/>
  <c r="R1420" i="2"/>
  <c r="S1420" i="2"/>
  <c r="X1420" i="2"/>
  <c r="Y1420" i="2"/>
  <c r="F1421" i="2"/>
  <c r="G1421" i="2"/>
  <c r="M1421" i="2"/>
  <c r="N1421" i="2"/>
  <c r="R1421" i="2"/>
  <c r="S1421" i="2"/>
  <c r="X1421" i="2"/>
  <c r="Y1421" i="2" s="1"/>
  <c r="F1422" i="2"/>
  <c r="G1422" i="2"/>
  <c r="M1422" i="2"/>
  <c r="N1422" i="2"/>
  <c r="R1422" i="2"/>
  <c r="S1422" i="2"/>
  <c r="X1422" i="2"/>
  <c r="Y1422" i="2" s="1"/>
  <c r="F1423" i="2"/>
  <c r="G1423" i="2"/>
  <c r="M1423" i="2"/>
  <c r="N1423" i="2"/>
  <c r="R1423" i="2"/>
  <c r="S1423" i="2"/>
  <c r="X1423" i="2"/>
  <c r="Y1423" i="2" s="1"/>
  <c r="F1424" i="2"/>
  <c r="G1424" i="2"/>
  <c r="M1424" i="2"/>
  <c r="N1424" i="2"/>
  <c r="R1424" i="2"/>
  <c r="S1424" i="2"/>
  <c r="X1424" i="2"/>
  <c r="Y1424" i="2"/>
  <c r="F1425" i="2"/>
  <c r="G1425" i="2"/>
  <c r="M1425" i="2"/>
  <c r="N1425" i="2"/>
  <c r="R1425" i="2"/>
  <c r="S1425" i="2"/>
  <c r="X1425" i="2"/>
  <c r="Y1425" i="2" s="1"/>
  <c r="F1426" i="2"/>
  <c r="G1426" i="2"/>
  <c r="M1426" i="2"/>
  <c r="N1426" i="2"/>
  <c r="R1426" i="2"/>
  <c r="S1426" i="2"/>
  <c r="X1426" i="2"/>
  <c r="Y1426" i="2"/>
  <c r="J1428" i="2"/>
  <c r="N1428" i="2" s="1"/>
  <c r="K1428" i="2"/>
  <c r="L1428" i="2"/>
  <c r="M1428" i="2"/>
  <c r="O1428" i="2"/>
  <c r="S1428" i="2" s="1"/>
  <c r="P1428" i="2"/>
  <c r="Q1428" i="2"/>
  <c r="R1428" i="2"/>
  <c r="U1428" i="2"/>
  <c r="X1428" i="2" s="1"/>
  <c r="V1428" i="2"/>
  <c r="W1428" i="2"/>
  <c r="Z1428" i="2"/>
  <c r="AA1428" i="2"/>
  <c r="AB1428" i="2"/>
  <c r="E1430" i="2"/>
  <c r="G1430" i="2"/>
  <c r="F1432" i="2"/>
  <c r="G1432" i="2"/>
  <c r="M1432" i="2"/>
  <c r="N1432" i="2"/>
  <c r="R1432" i="2"/>
  <c r="S1432" i="2" s="1"/>
  <c r="X1432" i="2"/>
  <c r="Y1432" i="2"/>
  <c r="F1433" i="2"/>
  <c r="G1433" i="2"/>
  <c r="M1433" i="2"/>
  <c r="N1433" i="2"/>
  <c r="R1433" i="2"/>
  <c r="S1433" i="2"/>
  <c r="X1433" i="2"/>
  <c r="Y1433" i="2"/>
  <c r="F1434" i="2"/>
  <c r="G1434" i="2"/>
  <c r="M1434" i="2"/>
  <c r="N1434" i="2"/>
  <c r="R1434" i="2"/>
  <c r="S1434" i="2"/>
  <c r="X1434" i="2"/>
  <c r="Y1434" i="2"/>
  <c r="F1435" i="2"/>
  <c r="G1435" i="2"/>
  <c r="M1435" i="2"/>
  <c r="N1435" i="2"/>
  <c r="R1435" i="2"/>
  <c r="S1435" i="2" s="1"/>
  <c r="X1435" i="2"/>
  <c r="Y1435" i="2"/>
  <c r="F1436" i="2"/>
  <c r="G1436" i="2"/>
  <c r="M1436" i="2"/>
  <c r="N1436" i="2"/>
  <c r="R1436" i="2"/>
  <c r="S1436" i="2" s="1"/>
  <c r="X1436" i="2"/>
  <c r="Y1436" i="2"/>
  <c r="F1437" i="2"/>
  <c r="G1437" i="2"/>
  <c r="M1437" i="2"/>
  <c r="N1437" i="2"/>
  <c r="R1437" i="2"/>
  <c r="S1437" i="2" s="1"/>
  <c r="X1437" i="2"/>
  <c r="Y1437" i="2"/>
  <c r="F1438" i="2"/>
  <c r="G1438" i="2"/>
  <c r="M1438" i="2"/>
  <c r="N1438" i="2"/>
  <c r="R1438" i="2"/>
  <c r="S1438" i="2"/>
  <c r="X1438" i="2"/>
  <c r="Y1438" i="2"/>
  <c r="F1439" i="2"/>
  <c r="G1439" i="2"/>
  <c r="M1439" i="2"/>
  <c r="N1439" i="2"/>
  <c r="R1439" i="2"/>
  <c r="S1439" i="2" s="1"/>
  <c r="X1439" i="2"/>
  <c r="Y1439" i="2"/>
  <c r="F1440" i="2"/>
  <c r="G1440" i="2"/>
  <c r="M1440" i="2"/>
  <c r="N1440" i="2"/>
  <c r="R1440" i="2"/>
  <c r="S1440" i="2" s="1"/>
  <c r="X1440" i="2"/>
  <c r="Y1440" i="2"/>
  <c r="F1441" i="2"/>
  <c r="G1441" i="2"/>
  <c r="M1441" i="2"/>
  <c r="N1441" i="2"/>
  <c r="R1441" i="2"/>
  <c r="S1441" i="2" s="1"/>
  <c r="X1441" i="2"/>
  <c r="Y1441" i="2"/>
  <c r="F1442" i="2"/>
  <c r="G1442" i="2"/>
  <c r="M1442" i="2"/>
  <c r="N1442" i="2"/>
  <c r="R1442" i="2"/>
  <c r="S1442" i="2" s="1"/>
  <c r="X1442" i="2"/>
  <c r="Y1442" i="2"/>
  <c r="F1443" i="2"/>
  <c r="G1443" i="2"/>
  <c r="M1443" i="2"/>
  <c r="N1443" i="2"/>
  <c r="R1443" i="2"/>
  <c r="S1443" i="2" s="1"/>
  <c r="X1443" i="2"/>
  <c r="Y1443" i="2"/>
  <c r="F1444" i="2"/>
  <c r="G1444" i="2"/>
  <c r="M1444" i="2"/>
  <c r="N1444" i="2"/>
  <c r="R1444" i="2"/>
  <c r="S1444" i="2" s="1"/>
  <c r="X1444" i="2"/>
  <c r="Y1444" i="2"/>
  <c r="F1445" i="2"/>
  <c r="G1445" i="2"/>
  <c r="M1445" i="2"/>
  <c r="N1445" i="2"/>
  <c r="R1445" i="2"/>
  <c r="S1445" i="2"/>
  <c r="X1445" i="2"/>
  <c r="Y1445" i="2"/>
  <c r="F1446" i="2"/>
  <c r="G1446" i="2"/>
  <c r="M1446" i="2"/>
  <c r="N1446" i="2"/>
  <c r="R1446" i="2"/>
  <c r="S1446" i="2" s="1"/>
  <c r="X1446" i="2"/>
  <c r="Y1446" i="2"/>
  <c r="F1447" i="2"/>
  <c r="G1447" i="2"/>
  <c r="M1447" i="2"/>
  <c r="N1447" i="2"/>
  <c r="R1447" i="2"/>
  <c r="S1447" i="2"/>
  <c r="X1447" i="2"/>
  <c r="Y1447" i="2"/>
  <c r="F1448" i="2"/>
  <c r="G1448" i="2"/>
  <c r="M1448" i="2"/>
  <c r="N1448" i="2"/>
  <c r="R1448" i="2"/>
  <c r="S1448" i="2" s="1"/>
  <c r="X1448" i="2"/>
  <c r="Y1448" i="2"/>
  <c r="F1449" i="2"/>
  <c r="G1449" i="2"/>
  <c r="M1449" i="2"/>
  <c r="N1449" i="2"/>
  <c r="R1449" i="2"/>
  <c r="S1449" i="2" s="1"/>
  <c r="X1449" i="2"/>
  <c r="Y1449" i="2"/>
  <c r="F1450" i="2"/>
  <c r="G1450" i="2"/>
  <c r="M1450" i="2"/>
  <c r="N1450" i="2"/>
  <c r="R1450" i="2"/>
  <c r="S1450" i="2" s="1"/>
  <c r="X1450" i="2"/>
  <c r="Y1450" i="2"/>
  <c r="F1451" i="2"/>
  <c r="G1451" i="2"/>
  <c r="M1451" i="2"/>
  <c r="N1451" i="2"/>
  <c r="R1451" i="2"/>
  <c r="S1451" i="2" s="1"/>
  <c r="X1451" i="2"/>
  <c r="Y1451" i="2"/>
  <c r="F1452" i="2"/>
  <c r="G1452" i="2"/>
  <c r="M1452" i="2"/>
  <c r="N1452" i="2"/>
  <c r="R1452" i="2"/>
  <c r="S1452" i="2" s="1"/>
  <c r="X1452" i="2"/>
  <c r="Y1452" i="2"/>
  <c r="F1453" i="2"/>
  <c r="G1453" i="2"/>
  <c r="M1453" i="2"/>
  <c r="N1453" i="2"/>
  <c r="R1453" i="2"/>
  <c r="S1453" i="2" s="1"/>
  <c r="X1453" i="2"/>
  <c r="Y1453" i="2"/>
  <c r="F1454" i="2"/>
  <c r="G1454" i="2"/>
  <c r="M1454" i="2"/>
  <c r="N1454" i="2"/>
  <c r="R1454" i="2"/>
  <c r="S1454" i="2" s="1"/>
  <c r="X1454" i="2"/>
  <c r="Y1454" i="2"/>
  <c r="J1456" i="2"/>
  <c r="N1456" i="2" s="1"/>
  <c r="K1456" i="2"/>
  <c r="L1456" i="2"/>
  <c r="M1456" i="2"/>
  <c r="O1456" i="2"/>
  <c r="R1456" i="2" s="1"/>
  <c r="P1456" i="2"/>
  <c r="Q1456" i="2"/>
  <c r="U1456" i="2"/>
  <c r="V1456" i="2"/>
  <c r="W1456" i="2"/>
  <c r="X1456" i="2"/>
  <c r="Y1456" i="2"/>
  <c r="Z1456" i="2"/>
  <c r="AA1456" i="2"/>
  <c r="AB1456" i="2"/>
  <c r="E1458" i="2"/>
  <c r="G1458" i="2"/>
  <c r="F1460" i="2"/>
  <c r="G1460" i="2"/>
  <c r="M1460" i="2"/>
  <c r="N1460" i="2" s="1"/>
  <c r="R1460" i="2"/>
  <c r="S1460" i="2"/>
  <c r="X1460" i="2"/>
  <c r="Y1460" i="2"/>
  <c r="F1461" i="2"/>
  <c r="G1461" i="2"/>
  <c r="M1461" i="2"/>
  <c r="N1461" i="2" s="1"/>
  <c r="R1461" i="2"/>
  <c r="S1461" i="2"/>
  <c r="X1461" i="2"/>
  <c r="Y1461" i="2"/>
  <c r="F1462" i="2"/>
  <c r="G1462" i="2"/>
  <c r="M1462" i="2"/>
  <c r="N1462" i="2" s="1"/>
  <c r="R1462" i="2"/>
  <c r="S1462" i="2"/>
  <c r="X1462" i="2"/>
  <c r="Y1462" i="2"/>
  <c r="F1463" i="2"/>
  <c r="G1463" i="2"/>
  <c r="M1463" i="2"/>
  <c r="N1463" i="2" s="1"/>
  <c r="R1463" i="2"/>
  <c r="S1463" i="2"/>
  <c r="X1463" i="2"/>
  <c r="Y1463" i="2"/>
  <c r="F1464" i="2"/>
  <c r="G1464" i="2"/>
  <c r="M1464" i="2"/>
  <c r="N1464" i="2" s="1"/>
  <c r="R1464" i="2"/>
  <c r="S1464" i="2"/>
  <c r="X1464" i="2"/>
  <c r="Y1464" i="2"/>
  <c r="F1465" i="2"/>
  <c r="G1465" i="2"/>
  <c r="M1465" i="2"/>
  <c r="N1465" i="2" s="1"/>
  <c r="R1465" i="2"/>
  <c r="S1465" i="2"/>
  <c r="X1465" i="2"/>
  <c r="Y1465" i="2"/>
  <c r="F1466" i="2"/>
  <c r="G1466" i="2"/>
  <c r="M1466" i="2"/>
  <c r="N1466" i="2" s="1"/>
  <c r="R1466" i="2"/>
  <c r="S1466" i="2"/>
  <c r="X1466" i="2"/>
  <c r="Y1466" i="2"/>
  <c r="F1467" i="2"/>
  <c r="G1467" i="2"/>
  <c r="M1467" i="2"/>
  <c r="N1467" i="2" s="1"/>
  <c r="R1467" i="2"/>
  <c r="S1467" i="2"/>
  <c r="X1467" i="2"/>
  <c r="Y1467" i="2"/>
  <c r="F1468" i="2"/>
  <c r="G1468" i="2"/>
  <c r="M1468" i="2"/>
  <c r="N1468" i="2" s="1"/>
  <c r="R1468" i="2"/>
  <c r="S1468" i="2"/>
  <c r="X1468" i="2"/>
  <c r="Y1468" i="2"/>
  <c r="F1469" i="2"/>
  <c r="G1469" i="2"/>
  <c r="M1469" i="2"/>
  <c r="N1469" i="2" s="1"/>
  <c r="R1469" i="2"/>
  <c r="S1469" i="2"/>
  <c r="X1469" i="2"/>
  <c r="Y1469" i="2"/>
  <c r="F1470" i="2"/>
  <c r="G1470" i="2"/>
  <c r="M1470" i="2"/>
  <c r="N1470" i="2" s="1"/>
  <c r="R1470" i="2"/>
  <c r="S1470" i="2"/>
  <c r="X1470" i="2"/>
  <c r="Y1470" i="2"/>
  <c r="F1471" i="2"/>
  <c r="G1471" i="2"/>
  <c r="M1471" i="2"/>
  <c r="N1471" i="2" s="1"/>
  <c r="R1471" i="2"/>
  <c r="S1471" i="2"/>
  <c r="X1471" i="2"/>
  <c r="Y1471" i="2"/>
  <c r="F1472" i="2"/>
  <c r="G1472" i="2"/>
  <c r="M1472" i="2"/>
  <c r="N1472" i="2" s="1"/>
  <c r="R1472" i="2"/>
  <c r="S1472" i="2"/>
  <c r="X1472" i="2"/>
  <c r="Y1472" i="2"/>
  <c r="F1473" i="2"/>
  <c r="G1473" i="2"/>
  <c r="M1473" i="2"/>
  <c r="N1473" i="2" s="1"/>
  <c r="R1473" i="2"/>
  <c r="S1473" i="2"/>
  <c r="X1473" i="2"/>
  <c r="Y1473" i="2"/>
  <c r="F1474" i="2"/>
  <c r="G1474" i="2"/>
  <c r="M1474" i="2"/>
  <c r="N1474" i="2" s="1"/>
  <c r="R1474" i="2"/>
  <c r="S1474" i="2"/>
  <c r="X1474" i="2"/>
  <c r="Y1474" i="2"/>
  <c r="F1475" i="2"/>
  <c r="G1475" i="2"/>
  <c r="M1475" i="2"/>
  <c r="N1475" i="2" s="1"/>
  <c r="R1475" i="2"/>
  <c r="S1475" i="2"/>
  <c r="X1475" i="2"/>
  <c r="Y1475" i="2"/>
  <c r="F1476" i="2"/>
  <c r="G1476" i="2"/>
  <c r="M1476" i="2"/>
  <c r="N1476" i="2" s="1"/>
  <c r="R1476" i="2"/>
  <c r="S1476" i="2"/>
  <c r="X1476" i="2"/>
  <c r="Y1476" i="2"/>
  <c r="F1477" i="2"/>
  <c r="G1477" i="2"/>
  <c r="M1477" i="2"/>
  <c r="N1477" i="2" s="1"/>
  <c r="R1477" i="2"/>
  <c r="S1477" i="2"/>
  <c r="X1477" i="2"/>
  <c r="Y1477" i="2"/>
  <c r="F1478" i="2"/>
  <c r="G1478" i="2"/>
  <c r="M1478" i="2"/>
  <c r="N1478" i="2" s="1"/>
  <c r="R1478" i="2"/>
  <c r="S1478" i="2"/>
  <c r="X1478" i="2"/>
  <c r="Y1478" i="2"/>
  <c r="F1479" i="2"/>
  <c r="G1479" i="2"/>
  <c r="M1479" i="2"/>
  <c r="N1479" i="2" s="1"/>
  <c r="R1479" i="2"/>
  <c r="S1479" i="2"/>
  <c r="X1479" i="2"/>
  <c r="Y1479" i="2"/>
  <c r="F1480" i="2"/>
  <c r="G1480" i="2"/>
  <c r="M1480" i="2"/>
  <c r="N1480" i="2" s="1"/>
  <c r="R1480" i="2"/>
  <c r="S1480" i="2"/>
  <c r="X1480" i="2"/>
  <c r="Y1480" i="2"/>
  <c r="F1481" i="2"/>
  <c r="G1481" i="2"/>
  <c r="M1481" i="2"/>
  <c r="N1481" i="2" s="1"/>
  <c r="R1481" i="2"/>
  <c r="S1481" i="2"/>
  <c r="X1481" i="2"/>
  <c r="Y1481" i="2"/>
  <c r="F1482" i="2"/>
  <c r="G1482" i="2"/>
  <c r="M1482" i="2"/>
  <c r="N1482" i="2" s="1"/>
  <c r="R1482" i="2"/>
  <c r="S1482" i="2"/>
  <c r="X1482" i="2"/>
  <c r="Y1482" i="2"/>
  <c r="F1483" i="2"/>
  <c r="G1483" i="2"/>
  <c r="M1483" i="2"/>
  <c r="N1483" i="2" s="1"/>
  <c r="R1483" i="2"/>
  <c r="S1483" i="2"/>
  <c r="X1483" i="2"/>
  <c r="Y1483" i="2"/>
  <c r="F1484" i="2"/>
  <c r="G1484" i="2"/>
  <c r="M1484" i="2"/>
  <c r="N1484" i="2" s="1"/>
  <c r="R1484" i="2"/>
  <c r="S1484" i="2"/>
  <c r="X1484" i="2"/>
  <c r="Y1484" i="2"/>
  <c r="F1485" i="2"/>
  <c r="G1485" i="2"/>
  <c r="M1485" i="2"/>
  <c r="N1485" i="2" s="1"/>
  <c r="R1485" i="2"/>
  <c r="S1485" i="2"/>
  <c r="X1485" i="2"/>
  <c r="Y1485" i="2"/>
  <c r="F1486" i="2"/>
  <c r="G1486" i="2"/>
  <c r="M1486" i="2"/>
  <c r="N1486" i="2" s="1"/>
  <c r="R1486" i="2"/>
  <c r="S1486" i="2"/>
  <c r="X1486" i="2"/>
  <c r="Y1486" i="2"/>
  <c r="F1487" i="2"/>
  <c r="G1487" i="2"/>
  <c r="M1487" i="2"/>
  <c r="N1487" i="2" s="1"/>
  <c r="R1487" i="2"/>
  <c r="S1487" i="2"/>
  <c r="X1487" i="2"/>
  <c r="Y1487" i="2"/>
  <c r="F1488" i="2"/>
  <c r="G1488" i="2"/>
  <c r="M1488" i="2"/>
  <c r="N1488" i="2" s="1"/>
  <c r="R1488" i="2"/>
  <c r="S1488" i="2"/>
  <c r="X1488" i="2"/>
  <c r="Y1488" i="2"/>
  <c r="F1489" i="2"/>
  <c r="G1489" i="2"/>
  <c r="M1489" i="2"/>
  <c r="N1489" i="2" s="1"/>
  <c r="R1489" i="2"/>
  <c r="S1489" i="2"/>
  <c r="X1489" i="2"/>
  <c r="Y1489" i="2"/>
  <c r="F1490" i="2"/>
  <c r="G1490" i="2"/>
  <c r="M1490" i="2"/>
  <c r="N1490" i="2" s="1"/>
  <c r="R1490" i="2"/>
  <c r="S1490" i="2"/>
  <c r="X1490" i="2"/>
  <c r="Y1490" i="2"/>
  <c r="F1491" i="2"/>
  <c r="G1491" i="2"/>
  <c r="M1491" i="2"/>
  <c r="N1491" i="2" s="1"/>
  <c r="R1491" i="2"/>
  <c r="S1491" i="2"/>
  <c r="X1491" i="2"/>
  <c r="Y1491" i="2"/>
  <c r="F1492" i="2"/>
  <c r="G1492" i="2"/>
  <c r="M1492" i="2"/>
  <c r="N1492" i="2" s="1"/>
  <c r="R1492" i="2"/>
  <c r="S1492" i="2"/>
  <c r="X1492" i="2"/>
  <c r="Y1492" i="2"/>
  <c r="F1493" i="2"/>
  <c r="G1493" i="2"/>
  <c r="M1493" i="2"/>
  <c r="N1493" i="2" s="1"/>
  <c r="R1493" i="2"/>
  <c r="S1493" i="2"/>
  <c r="X1493" i="2"/>
  <c r="Y1493" i="2"/>
  <c r="F1494" i="2"/>
  <c r="G1494" i="2"/>
  <c r="M1494" i="2"/>
  <c r="N1494" i="2" s="1"/>
  <c r="R1494" i="2"/>
  <c r="S1494" i="2"/>
  <c r="X1494" i="2"/>
  <c r="Y1494" i="2"/>
  <c r="F1495" i="2"/>
  <c r="G1495" i="2"/>
  <c r="M1495" i="2"/>
  <c r="N1495" i="2" s="1"/>
  <c r="R1495" i="2"/>
  <c r="S1495" i="2"/>
  <c r="X1495" i="2"/>
  <c r="Y1495" i="2"/>
  <c r="F1496" i="2"/>
  <c r="G1496" i="2"/>
  <c r="M1496" i="2"/>
  <c r="N1496" i="2" s="1"/>
  <c r="R1496" i="2"/>
  <c r="S1496" i="2"/>
  <c r="X1496" i="2"/>
  <c r="Y1496" i="2"/>
  <c r="F1497" i="2"/>
  <c r="G1497" i="2"/>
  <c r="M1497" i="2"/>
  <c r="N1497" i="2" s="1"/>
  <c r="R1497" i="2"/>
  <c r="S1497" i="2"/>
  <c r="X1497" i="2"/>
  <c r="Y1497" i="2"/>
  <c r="F1498" i="2"/>
  <c r="G1498" i="2"/>
  <c r="M1498" i="2"/>
  <c r="N1498" i="2" s="1"/>
  <c r="R1498" i="2"/>
  <c r="S1498" i="2"/>
  <c r="X1498" i="2"/>
  <c r="Y1498" i="2"/>
  <c r="F1499" i="2"/>
  <c r="G1499" i="2"/>
  <c r="M1499" i="2"/>
  <c r="N1499" i="2" s="1"/>
  <c r="R1499" i="2"/>
  <c r="S1499" i="2"/>
  <c r="X1499" i="2"/>
  <c r="Y1499" i="2"/>
  <c r="F1500" i="2"/>
  <c r="G1500" i="2"/>
  <c r="M1500" i="2"/>
  <c r="N1500" i="2" s="1"/>
  <c r="R1500" i="2"/>
  <c r="S1500" i="2"/>
  <c r="X1500" i="2"/>
  <c r="Y1500" i="2"/>
  <c r="F1501" i="2"/>
  <c r="G1501" i="2"/>
  <c r="M1501" i="2"/>
  <c r="N1501" i="2" s="1"/>
  <c r="R1501" i="2"/>
  <c r="S1501" i="2"/>
  <c r="X1501" i="2"/>
  <c r="Y1501" i="2"/>
  <c r="F1502" i="2"/>
  <c r="G1502" i="2"/>
  <c r="M1502" i="2"/>
  <c r="N1502" i="2" s="1"/>
  <c r="R1502" i="2"/>
  <c r="S1502" i="2"/>
  <c r="X1502" i="2"/>
  <c r="Y1502" i="2"/>
  <c r="F1503" i="2"/>
  <c r="G1503" i="2"/>
  <c r="M1503" i="2"/>
  <c r="N1503" i="2" s="1"/>
  <c r="R1503" i="2"/>
  <c r="S1503" i="2"/>
  <c r="X1503" i="2"/>
  <c r="Y1503" i="2"/>
  <c r="F1504" i="2"/>
  <c r="G1504" i="2"/>
  <c r="M1504" i="2"/>
  <c r="N1504" i="2" s="1"/>
  <c r="R1504" i="2"/>
  <c r="S1504" i="2"/>
  <c r="X1504" i="2"/>
  <c r="Y1504" i="2"/>
  <c r="F1505" i="2"/>
  <c r="G1505" i="2"/>
  <c r="M1505" i="2"/>
  <c r="N1505" i="2" s="1"/>
  <c r="R1505" i="2"/>
  <c r="S1505" i="2"/>
  <c r="X1505" i="2"/>
  <c r="Y1505" i="2"/>
  <c r="F1506" i="2"/>
  <c r="G1506" i="2"/>
  <c r="M1506" i="2"/>
  <c r="N1506" i="2" s="1"/>
  <c r="R1506" i="2"/>
  <c r="S1506" i="2"/>
  <c r="X1506" i="2"/>
  <c r="Y1506" i="2"/>
  <c r="F1507" i="2"/>
  <c r="G1507" i="2"/>
  <c r="M1507" i="2"/>
  <c r="N1507" i="2" s="1"/>
  <c r="R1507" i="2"/>
  <c r="S1507" i="2"/>
  <c r="X1507" i="2"/>
  <c r="Y1507" i="2"/>
  <c r="F1508" i="2"/>
  <c r="G1508" i="2"/>
  <c r="M1508" i="2"/>
  <c r="N1508" i="2" s="1"/>
  <c r="R1508" i="2"/>
  <c r="S1508" i="2"/>
  <c r="X1508" i="2"/>
  <c r="Y1508" i="2"/>
  <c r="J1510" i="2"/>
  <c r="M1510" i="2" s="1"/>
  <c r="K1510" i="2"/>
  <c r="L1510" i="2"/>
  <c r="O1510" i="2"/>
  <c r="P1510" i="2"/>
  <c r="Q1510" i="2"/>
  <c r="R1510" i="2"/>
  <c r="S1510" i="2"/>
  <c r="U1510" i="2"/>
  <c r="X1510" i="2" s="1"/>
  <c r="Y1510" i="2" s="1"/>
  <c r="V1510" i="2"/>
  <c r="W1510" i="2"/>
  <c r="Z1510" i="2"/>
  <c r="AA1510" i="2"/>
  <c r="AB1510" i="2"/>
  <c r="E1512" i="2"/>
  <c r="G1512" i="2"/>
  <c r="F1514" i="2"/>
  <c r="G1514" i="2"/>
  <c r="M1514" i="2"/>
  <c r="N1514" i="2"/>
  <c r="R1514" i="2"/>
  <c r="S1514" i="2"/>
  <c r="X1514" i="2"/>
  <c r="Y1514" i="2" s="1"/>
  <c r="F1515" i="2"/>
  <c r="G1515" i="2"/>
  <c r="M1515" i="2"/>
  <c r="N1515" i="2" s="1"/>
  <c r="R1515" i="2"/>
  <c r="S1515" i="2"/>
  <c r="X1515" i="2"/>
  <c r="Y1515" i="2" s="1"/>
  <c r="F1516" i="2"/>
  <c r="G1516" i="2"/>
  <c r="M1516" i="2"/>
  <c r="N1516" i="2"/>
  <c r="R1516" i="2"/>
  <c r="S1516" i="2"/>
  <c r="X1516" i="2"/>
  <c r="Y1516" i="2" s="1"/>
  <c r="F1517" i="2"/>
  <c r="G1517" i="2"/>
  <c r="M1517" i="2"/>
  <c r="N1517" i="2"/>
  <c r="R1517" i="2"/>
  <c r="S1517" i="2"/>
  <c r="X1517" i="2"/>
  <c r="Y1517" i="2"/>
  <c r="F1518" i="2"/>
  <c r="G1518" i="2"/>
  <c r="M1518" i="2"/>
  <c r="N1518" i="2" s="1"/>
  <c r="R1518" i="2"/>
  <c r="S1518" i="2"/>
  <c r="X1518" i="2"/>
  <c r="Y1518" i="2"/>
  <c r="F1519" i="2"/>
  <c r="G1519" i="2"/>
  <c r="M1519" i="2"/>
  <c r="N1519" i="2" s="1"/>
  <c r="R1519" i="2"/>
  <c r="S1519" i="2"/>
  <c r="X1519" i="2"/>
  <c r="Y1519" i="2"/>
  <c r="F1520" i="2"/>
  <c r="G1520" i="2"/>
  <c r="M1520" i="2"/>
  <c r="N1520" i="2"/>
  <c r="R1520" i="2"/>
  <c r="S1520" i="2"/>
  <c r="X1520" i="2"/>
  <c r="Y1520" i="2"/>
  <c r="F1521" i="2"/>
  <c r="G1521" i="2"/>
  <c r="M1521" i="2"/>
  <c r="N1521" i="2" s="1"/>
  <c r="R1521" i="2"/>
  <c r="S1521" i="2"/>
  <c r="X1521" i="2"/>
  <c r="Y1521" i="2" s="1"/>
  <c r="F1522" i="2"/>
  <c r="G1522" i="2"/>
  <c r="M1522" i="2"/>
  <c r="N1522" i="2" s="1"/>
  <c r="R1522" i="2"/>
  <c r="S1522" i="2"/>
  <c r="X1522" i="2"/>
  <c r="Y1522" i="2"/>
  <c r="F1523" i="2"/>
  <c r="G1523" i="2"/>
  <c r="M1523" i="2"/>
  <c r="N1523" i="2"/>
  <c r="R1523" i="2"/>
  <c r="S1523" i="2"/>
  <c r="X1523" i="2"/>
  <c r="Y1523" i="2"/>
  <c r="F1524" i="2"/>
  <c r="G1524" i="2"/>
  <c r="M1524" i="2"/>
  <c r="N1524" i="2" s="1"/>
  <c r="R1524" i="2"/>
  <c r="S1524" i="2"/>
  <c r="X1524" i="2"/>
  <c r="Y1524" i="2"/>
  <c r="F1525" i="2"/>
  <c r="G1525" i="2"/>
  <c r="M1525" i="2"/>
  <c r="N1525" i="2" s="1"/>
  <c r="R1525" i="2"/>
  <c r="S1525" i="2"/>
  <c r="X1525" i="2"/>
  <c r="Y1525" i="2"/>
  <c r="F1526" i="2"/>
  <c r="G1526" i="2"/>
  <c r="M1526" i="2"/>
  <c r="N1526" i="2"/>
  <c r="R1526" i="2"/>
  <c r="S1526" i="2"/>
  <c r="X1526" i="2"/>
  <c r="Y1526" i="2"/>
  <c r="F1527" i="2"/>
  <c r="G1527" i="2"/>
  <c r="M1527" i="2"/>
  <c r="N1527" i="2" s="1"/>
  <c r="R1527" i="2"/>
  <c r="S1527" i="2"/>
  <c r="X1527" i="2"/>
  <c r="Y1527" i="2"/>
  <c r="F1528" i="2"/>
  <c r="G1528" i="2"/>
  <c r="M1528" i="2"/>
  <c r="N1528" i="2"/>
  <c r="R1528" i="2"/>
  <c r="S1528" i="2"/>
  <c r="X1528" i="2"/>
  <c r="Y1528" i="2" s="1"/>
  <c r="F1529" i="2"/>
  <c r="G1529" i="2"/>
  <c r="M1529" i="2"/>
  <c r="N1529" i="2" s="1"/>
  <c r="R1529" i="2"/>
  <c r="S1529" i="2"/>
  <c r="X1529" i="2"/>
  <c r="Y1529" i="2"/>
  <c r="F1530" i="2"/>
  <c r="G1530" i="2"/>
  <c r="M1530" i="2"/>
  <c r="N1530" i="2"/>
  <c r="R1530" i="2"/>
  <c r="S1530" i="2"/>
  <c r="X1530" i="2"/>
  <c r="Y1530" i="2" s="1"/>
  <c r="F1531" i="2"/>
  <c r="G1531" i="2"/>
  <c r="M1531" i="2"/>
  <c r="N1531" i="2" s="1"/>
  <c r="R1531" i="2"/>
  <c r="S1531" i="2"/>
  <c r="X1531" i="2"/>
  <c r="Y1531" i="2" s="1"/>
  <c r="F1532" i="2"/>
  <c r="G1532" i="2"/>
  <c r="M1532" i="2"/>
  <c r="N1532" i="2" s="1"/>
  <c r="R1532" i="2"/>
  <c r="S1532" i="2"/>
  <c r="X1532" i="2"/>
  <c r="Y1532" i="2" s="1"/>
  <c r="F1533" i="2"/>
  <c r="G1533" i="2"/>
  <c r="M1533" i="2"/>
  <c r="N1533" i="2" s="1"/>
  <c r="R1533" i="2"/>
  <c r="S1533" i="2"/>
  <c r="X1533" i="2"/>
  <c r="Y1533" i="2"/>
  <c r="F1534" i="2"/>
  <c r="G1534" i="2"/>
  <c r="M1534" i="2"/>
  <c r="N1534" i="2"/>
  <c r="R1534" i="2"/>
  <c r="S1534" i="2"/>
  <c r="X1534" i="2"/>
  <c r="Y1534" i="2"/>
  <c r="F1535" i="2"/>
  <c r="G1535" i="2"/>
  <c r="M1535" i="2"/>
  <c r="N1535" i="2"/>
  <c r="R1535" i="2"/>
  <c r="S1535" i="2"/>
  <c r="X1535" i="2"/>
  <c r="Y1535" i="2"/>
  <c r="F1536" i="2"/>
  <c r="G1536" i="2"/>
  <c r="M1536" i="2"/>
  <c r="N1536" i="2" s="1"/>
  <c r="R1536" i="2"/>
  <c r="S1536" i="2"/>
  <c r="X1536" i="2"/>
  <c r="Y1536" i="2" s="1"/>
  <c r="F1537" i="2"/>
  <c r="G1537" i="2"/>
  <c r="M1537" i="2"/>
  <c r="N1537" i="2" s="1"/>
  <c r="R1537" i="2"/>
  <c r="S1537" i="2"/>
  <c r="X1537" i="2"/>
  <c r="Y1537" i="2"/>
  <c r="F1538" i="2"/>
  <c r="G1538" i="2"/>
  <c r="M1538" i="2"/>
  <c r="N1538" i="2" s="1"/>
  <c r="R1538" i="2"/>
  <c r="S1538" i="2"/>
  <c r="X1538" i="2"/>
  <c r="Y1538" i="2"/>
  <c r="F1539" i="2"/>
  <c r="G1539" i="2"/>
  <c r="M1539" i="2"/>
  <c r="N1539" i="2"/>
  <c r="R1539" i="2"/>
  <c r="S1539" i="2"/>
  <c r="X1539" i="2"/>
  <c r="Y1539" i="2"/>
  <c r="F1540" i="2"/>
  <c r="G1540" i="2"/>
  <c r="M1540" i="2"/>
  <c r="N1540" i="2"/>
  <c r="R1540" i="2"/>
  <c r="S1540" i="2"/>
  <c r="X1540" i="2"/>
  <c r="Y1540" i="2" s="1"/>
  <c r="F1541" i="2"/>
  <c r="G1541" i="2"/>
  <c r="M1541" i="2"/>
  <c r="N1541" i="2"/>
  <c r="R1541" i="2"/>
  <c r="S1541" i="2"/>
  <c r="X1541" i="2"/>
  <c r="Y1541" i="2" s="1"/>
  <c r="F1542" i="2"/>
  <c r="G1542" i="2"/>
  <c r="M1542" i="2"/>
  <c r="N1542" i="2"/>
  <c r="R1542" i="2"/>
  <c r="S1542" i="2"/>
  <c r="X1542" i="2"/>
  <c r="Y1542" i="2" s="1"/>
  <c r="F1543" i="2"/>
  <c r="G1543" i="2"/>
  <c r="M1543" i="2"/>
  <c r="N1543" i="2" s="1"/>
  <c r="R1543" i="2"/>
  <c r="S1543" i="2"/>
  <c r="X1543" i="2"/>
  <c r="Y1543" i="2"/>
  <c r="F1544" i="2"/>
  <c r="G1544" i="2"/>
  <c r="M1544" i="2"/>
  <c r="N1544" i="2" s="1"/>
  <c r="R1544" i="2"/>
  <c r="S1544" i="2"/>
  <c r="X1544" i="2"/>
  <c r="Y1544" i="2"/>
  <c r="F1545" i="2"/>
  <c r="G1545" i="2"/>
  <c r="M1545" i="2"/>
  <c r="N1545" i="2" s="1"/>
  <c r="R1545" i="2"/>
  <c r="S1545" i="2"/>
  <c r="X1545" i="2"/>
  <c r="Y1545" i="2"/>
  <c r="F1546" i="2"/>
  <c r="G1546" i="2"/>
  <c r="M1546" i="2"/>
  <c r="N1546" i="2" s="1"/>
  <c r="R1546" i="2"/>
  <c r="S1546" i="2"/>
  <c r="X1546" i="2"/>
  <c r="Y1546" i="2" s="1"/>
  <c r="F1547" i="2"/>
  <c r="G1547" i="2"/>
  <c r="M1547" i="2"/>
  <c r="N1547" i="2" s="1"/>
  <c r="R1547" i="2"/>
  <c r="S1547" i="2"/>
  <c r="X1547" i="2"/>
  <c r="Y1547" i="2" s="1"/>
  <c r="F1548" i="2"/>
  <c r="G1548" i="2"/>
  <c r="M1548" i="2"/>
  <c r="N1548" i="2"/>
  <c r="R1548" i="2"/>
  <c r="S1548" i="2"/>
  <c r="X1548" i="2"/>
  <c r="Y1548" i="2"/>
  <c r="F1549" i="2"/>
  <c r="G1549" i="2"/>
  <c r="M1549" i="2"/>
  <c r="N1549" i="2" s="1"/>
  <c r="R1549" i="2"/>
  <c r="S1549" i="2"/>
  <c r="X1549" i="2"/>
  <c r="Y1549" i="2"/>
  <c r="F1550" i="2"/>
  <c r="G1550" i="2"/>
  <c r="M1550" i="2"/>
  <c r="N1550" i="2" s="1"/>
  <c r="R1550" i="2"/>
  <c r="S1550" i="2"/>
  <c r="X1550" i="2"/>
  <c r="Y1550" i="2" s="1"/>
  <c r="F1551" i="2"/>
  <c r="G1551" i="2"/>
  <c r="M1551" i="2"/>
  <c r="N1551" i="2"/>
  <c r="R1551" i="2"/>
  <c r="S1551" i="2"/>
  <c r="X1551" i="2"/>
  <c r="Y1551" i="2"/>
  <c r="F1552" i="2"/>
  <c r="G1552" i="2"/>
  <c r="M1552" i="2"/>
  <c r="N1552" i="2"/>
  <c r="R1552" i="2"/>
  <c r="S1552" i="2"/>
  <c r="X1552" i="2"/>
  <c r="Y1552" i="2"/>
  <c r="F1553" i="2"/>
  <c r="G1553" i="2"/>
  <c r="M1553" i="2"/>
  <c r="N1553" i="2" s="1"/>
  <c r="R1553" i="2"/>
  <c r="S1553" i="2"/>
  <c r="X1553" i="2"/>
  <c r="Y1553" i="2" s="1"/>
  <c r="F1554" i="2"/>
  <c r="G1554" i="2"/>
  <c r="M1554" i="2"/>
  <c r="N1554" i="2" s="1"/>
  <c r="R1554" i="2"/>
  <c r="S1554" i="2"/>
  <c r="X1554" i="2"/>
  <c r="Y1554" i="2" s="1"/>
  <c r="F1555" i="2"/>
  <c r="G1555" i="2"/>
  <c r="M1555" i="2"/>
  <c r="N1555" i="2" s="1"/>
  <c r="R1555" i="2"/>
  <c r="S1555" i="2"/>
  <c r="X1555" i="2"/>
  <c r="Y1555" i="2" s="1"/>
  <c r="F1556" i="2"/>
  <c r="G1556" i="2"/>
  <c r="M1556" i="2"/>
  <c r="N1556" i="2" s="1"/>
  <c r="R1556" i="2"/>
  <c r="S1556" i="2"/>
  <c r="X1556" i="2"/>
  <c r="Y1556" i="2" s="1"/>
  <c r="F1557" i="2"/>
  <c r="G1557" i="2"/>
  <c r="M1557" i="2"/>
  <c r="N1557" i="2"/>
  <c r="R1557" i="2"/>
  <c r="S1557" i="2"/>
  <c r="X1557" i="2"/>
  <c r="Y1557" i="2"/>
  <c r="F1558" i="2"/>
  <c r="G1558" i="2"/>
  <c r="M1558" i="2"/>
  <c r="N1558" i="2" s="1"/>
  <c r="R1558" i="2"/>
  <c r="S1558" i="2"/>
  <c r="X1558" i="2"/>
  <c r="Y1558" i="2"/>
  <c r="F1559" i="2"/>
  <c r="G1559" i="2"/>
  <c r="M1559" i="2"/>
  <c r="N1559" i="2" s="1"/>
  <c r="R1559" i="2"/>
  <c r="S1559" i="2"/>
  <c r="X1559" i="2"/>
  <c r="Y1559" i="2"/>
  <c r="F1560" i="2"/>
  <c r="G1560" i="2"/>
  <c r="M1560" i="2"/>
  <c r="N1560" i="2" s="1"/>
  <c r="R1560" i="2"/>
  <c r="S1560" i="2"/>
  <c r="X1560" i="2"/>
  <c r="Y1560" i="2" s="1"/>
  <c r="J1562" i="2"/>
  <c r="K1562" i="2"/>
  <c r="L1562" i="2"/>
  <c r="M1562" i="2"/>
  <c r="N1562" i="2"/>
  <c r="O1562" i="2"/>
  <c r="R1562" i="2" s="1"/>
  <c r="S1562" i="2" s="1"/>
  <c r="P1562" i="2"/>
  <c r="Q1562" i="2"/>
  <c r="U1562" i="2"/>
  <c r="V1562" i="2"/>
  <c r="W1562" i="2"/>
  <c r="X1562" i="2" s="1"/>
  <c r="Y1562" i="2" s="1"/>
  <c r="Z1562" i="2"/>
  <c r="AA1562" i="2"/>
  <c r="AB1562" i="2"/>
  <c r="E1564" i="2"/>
  <c r="G1564" i="2"/>
  <c r="F1566" i="2"/>
  <c r="G1566" i="2"/>
  <c r="M1566" i="2"/>
  <c r="N1566" i="2" s="1"/>
  <c r="R1566" i="2"/>
  <c r="S1566" i="2"/>
  <c r="X1566" i="2"/>
  <c r="Y1566" i="2"/>
  <c r="F1567" i="2"/>
  <c r="G1567" i="2"/>
  <c r="M1567" i="2"/>
  <c r="N1567" i="2"/>
  <c r="R1567" i="2"/>
  <c r="S1567" i="2"/>
  <c r="X1567" i="2"/>
  <c r="Y1567" i="2"/>
  <c r="F1568" i="2"/>
  <c r="G1568" i="2"/>
  <c r="M1568" i="2"/>
  <c r="N1568" i="2" s="1"/>
  <c r="R1568" i="2"/>
  <c r="S1568" i="2"/>
  <c r="X1568" i="2"/>
  <c r="Y1568" i="2"/>
  <c r="F1569" i="2"/>
  <c r="G1569" i="2"/>
  <c r="M1569" i="2"/>
  <c r="N1569" i="2"/>
  <c r="R1569" i="2"/>
  <c r="S1569" i="2"/>
  <c r="X1569" i="2"/>
  <c r="Y1569" i="2"/>
  <c r="F1570" i="2"/>
  <c r="G1570" i="2"/>
  <c r="M1570" i="2"/>
  <c r="N1570" i="2"/>
  <c r="R1570" i="2"/>
  <c r="S1570" i="2"/>
  <c r="X1570" i="2"/>
  <c r="Y1570" i="2"/>
  <c r="F1571" i="2"/>
  <c r="G1571" i="2"/>
  <c r="M1571" i="2"/>
  <c r="N1571" i="2"/>
  <c r="R1571" i="2"/>
  <c r="S1571" i="2"/>
  <c r="X1571" i="2"/>
  <c r="Y1571" i="2"/>
  <c r="F1572" i="2"/>
  <c r="G1572" i="2"/>
  <c r="M1572" i="2"/>
  <c r="N1572" i="2" s="1"/>
  <c r="R1572" i="2"/>
  <c r="S1572" i="2"/>
  <c r="X1572" i="2"/>
  <c r="Y1572" i="2"/>
  <c r="F1573" i="2"/>
  <c r="G1573" i="2"/>
  <c r="M1573" i="2"/>
  <c r="N1573" i="2"/>
  <c r="R1573" i="2"/>
  <c r="S1573" i="2"/>
  <c r="X1573" i="2"/>
  <c r="Y1573" i="2"/>
  <c r="F1574" i="2"/>
  <c r="G1574" i="2"/>
  <c r="M1574" i="2"/>
  <c r="N1574" i="2"/>
  <c r="R1574" i="2"/>
  <c r="S1574" i="2"/>
  <c r="X1574" i="2"/>
  <c r="Y1574" i="2"/>
  <c r="F1575" i="2"/>
  <c r="G1575" i="2"/>
  <c r="M1575" i="2"/>
  <c r="N1575" i="2"/>
  <c r="R1575" i="2"/>
  <c r="S1575" i="2"/>
  <c r="X1575" i="2"/>
  <c r="Y1575" i="2"/>
  <c r="F1576" i="2"/>
  <c r="G1576" i="2"/>
  <c r="M1576" i="2"/>
  <c r="N1576" i="2" s="1"/>
  <c r="R1576" i="2"/>
  <c r="S1576" i="2"/>
  <c r="X1576" i="2"/>
  <c r="Y1576" i="2"/>
  <c r="F1577" i="2"/>
  <c r="G1577" i="2"/>
  <c r="M1577" i="2"/>
  <c r="N1577" i="2"/>
  <c r="R1577" i="2"/>
  <c r="S1577" i="2"/>
  <c r="X1577" i="2"/>
  <c r="Y1577" i="2"/>
  <c r="F1578" i="2"/>
  <c r="G1578" i="2"/>
  <c r="M1578" i="2"/>
  <c r="N1578" i="2"/>
  <c r="R1578" i="2"/>
  <c r="S1578" i="2"/>
  <c r="X1578" i="2"/>
  <c r="Y1578" i="2"/>
  <c r="F1579" i="2"/>
  <c r="G1579" i="2"/>
  <c r="M1579" i="2"/>
  <c r="N1579" i="2"/>
  <c r="R1579" i="2"/>
  <c r="S1579" i="2"/>
  <c r="X1579" i="2"/>
  <c r="Y1579" i="2"/>
  <c r="F1580" i="2"/>
  <c r="G1580" i="2"/>
  <c r="M1580" i="2"/>
  <c r="N1580" i="2" s="1"/>
  <c r="R1580" i="2"/>
  <c r="S1580" i="2"/>
  <c r="X1580" i="2"/>
  <c r="Y1580" i="2"/>
  <c r="F1581" i="2"/>
  <c r="G1581" i="2"/>
  <c r="M1581" i="2"/>
  <c r="N1581" i="2"/>
  <c r="R1581" i="2"/>
  <c r="S1581" i="2"/>
  <c r="X1581" i="2"/>
  <c r="Y1581" i="2"/>
  <c r="F1582" i="2"/>
  <c r="G1582" i="2"/>
  <c r="M1582" i="2"/>
  <c r="N1582" i="2" s="1"/>
  <c r="R1582" i="2"/>
  <c r="S1582" i="2"/>
  <c r="X1582" i="2"/>
  <c r="Y1582" i="2"/>
  <c r="F1583" i="2"/>
  <c r="G1583" i="2"/>
  <c r="M1583" i="2"/>
  <c r="N1583" i="2" s="1"/>
  <c r="R1583" i="2"/>
  <c r="S1583" i="2"/>
  <c r="X1583" i="2"/>
  <c r="Y1583" i="2"/>
  <c r="F1584" i="2"/>
  <c r="G1584" i="2"/>
  <c r="M1584" i="2"/>
  <c r="N1584" i="2"/>
  <c r="R1584" i="2"/>
  <c r="S1584" i="2"/>
  <c r="X1584" i="2"/>
  <c r="Y1584" i="2"/>
  <c r="F1585" i="2"/>
  <c r="G1585" i="2"/>
  <c r="M1585" i="2"/>
  <c r="N1585" i="2"/>
  <c r="R1585" i="2"/>
  <c r="S1585" i="2"/>
  <c r="X1585" i="2"/>
  <c r="Y1585" i="2"/>
  <c r="F1586" i="2"/>
  <c r="G1586" i="2"/>
  <c r="M1586" i="2"/>
  <c r="N1586" i="2"/>
  <c r="R1586" i="2"/>
  <c r="S1586" i="2"/>
  <c r="X1586" i="2"/>
  <c r="Y1586" i="2"/>
  <c r="F1587" i="2"/>
  <c r="G1587" i="2"/>
  <c r="M1587" i="2"/>
  <c r="N1587" i="2" s="1"/>
  <c r="R1587" i="2"/>
  <c r="S1587" i="2"/>
  <c r="X1587" i="2"/>
  <c r="Y1587" i="2"/>
  <c r="F1588" i="2"/>
  <c r="G1588" i="2"/>
  <c r="M1588" i="2"/>
  <c r="N1588" i="2" s="1"/>
  <c r="R1588" i="2"/>
  <c r="S1588" i="2"/>
  <c r="X1588" i="2"/>
  <c r="Y1588" i="2"/>
  <c r="F1589" i="2"/>
  <c r="G1589" i="2"/>
  <c r="M1589" i="2"/>
  <c r="N1589" i="2"/>
  <c r="R1589" i="2"/>
  <c r="S1589" i="2"/>
  <c r="X1589" i="2"/>
  <c r="Y1589" i="2"/>
  <c r="F1590" i="2"/>
  <c r="G1590" i="2"/>
  <c r="M1590" i="2"/>
  <c r="N1590" i="2"/>
  <c r="R1590" i="2"/>
  <c r="S1590" i="2"/>
  <c r="X1590" i="2"/>
  <c r="Y1590" i="2"/>
  <c r="F1591" i="2"/>
  <c r="G1591" i="2"/>
  <c r="M1591" i="2"/>
  <c r="N1591" i="2" s="1"/>
  <c r="R1591" i="2"/>
  <c r="S1591" i="2"/>
  <c r="X1591" i="2"/>
  <c r="Y1591" i="2"/>
  <c r="J1593" i="2"/>
  <c r="M1593" i="2" s="1"/>
  <c r="K1593" i="2"/>
  <c r="L1593" i="2"/>
  <c r="O1593" i="2"/>
  <c r="P1593" i="2"/>
  <c r="Q1593" i="2"/>
  <c r="R1593" i="2" s="1"/>
  <c r="S1593" i="2" s="1"/>
  <c r="U1593" i="2"/>
  <c r="X1593" i="2" s="1"/>
  <c r="Y1593" i="2" s="1"/>
  <c r="V1593" i="2"/>
  <c r="W1593" i="2"/>
  <c r="Z1593" i="2"/>
  <c r="AA1593" i="2"/>
  <c r="AB1593" i="2"/>
  <c r="E1595" i="2"/>
  <c r="G1595" i="2"/>
  <c r="F1597" i="2"/>
  <c r="G1597" i="2"/>
  <c r="M1597" i="2"/>
  <c r="N1597" i="2"/>
  <c r="R1597" i="2"/>
  <c r="S1597" i="2" s="1"/>
  <c r="X1597" i="2"/>
  <c r="Y1597" i="2"/>
  <c r="F1598" i="2"/>
  <c r="G1598" i="2"/>
  <c r="M1598" i="2"/>
  <c r="N1598" i="2"/>
  <c r="R1598" i="2"/>
  <c r="S1598" i="2" s="1"/>
  <c r="X1598" i="2"/>
  <c r="Y1598" i="2" s="1"/>
  <c r="F1599" i="2"/>
  <c r="G1599" i="2"/>
  <c r="M1599" i="2"/>
  <c r="N1599" i="2"/>
  <c r="R1599" i="2"/>
  <c r="S1599" i="2" s="1"/>
  <c r="X1599" i="2"/>
  <c r="Y1599" i="2" s="1"/>
  <c r="F1600" i="2"/>
  <c r="G1600" i="2"/>
  <c r="M1600" i="2"/>
  <c r="N1600" i="2"/>
  <c r="R1600" i="2"/>
  <c r="S1600" i="2" s="1"/>
  <c r="X1600" i="2"/>
  <c r="Y1600" i="2"/>
  <c r="F1601" i="2"/>
  <c r="G1601" i="2"/>
  <c r="M1601" i="2"/>
  <c r="N1601" i="2"/>
  <c r="R1601" i="2"/>
  <c r="S1601" i="2" s="1"/>
  <c r="X1601" i="2"/>
  <c r="Y1601" i="2"/>
  <c r="F1602" i="2"/>
  <c r="G1602" i="2"/>
  <c r="M1602" i="2"/>
  <c r="N1602" i="2"/>
  <c r="R1602" i="2"/>
  <c r="S1602" i="2" s="1"/>
  <c r="X1602" i="2"/>
  <c r="Y1602" i="2"/>
  <c r="F1603" i="2"/>
  <c r="G1603" i="2"/>
  <c r="M1603" i="2"/>
  <c r="N1603" i="2"/>
  <c r="R1603" i="2"/>
  <c r="S1603" i="2"/>
  <c r="X1603" i="2"/>
  <c r="Y1603" i="2" s="1"/>
  <c r="F1604" i="2"/>
  <c r="G1604" i="2"/>
  <c r="M1604" i="2"/>
  <c r="N1604" i="2"/>
  <c r="R1604" i="2"/>
  <c r="S1604" i="2" s="1"/>
  <c r="X1604" i="2"/>
  <c r="Y1604" i="2" s="1"/>
  <c r="F1605" i="2"/>
  <c r="G1605" i="2"/>
  <c r="M1605" i="2"/>
  <c r="N1605" i="2"/>
  <c r="R1605" i="2"/>
  <c r="S1605" i="2"/>
  <c r="X1605" i="2"/>
  <c r="Y1605" i="2"/>
  <c r="F1606" i="2"/>
  <c r="G1606" i="2"/>
  <c r="M1606" i="2"/>
  <c r="N1606" i="2"/>
  <c r="R1606" i="2"/>
  <c r="S1606" i="2"/>
  <c r="X1606" i="2"/>
  <c r="Y1606" i="2" s="1"/>
  <c r="F1607" i="2"/>
  <c r="G1607" i="2"/>
  <c r="M1607" i="2"/>
  <c r="N1607" i="2"/>
  <c r="R1607" i="2"/>
  <c r="S1607" i="2" s="1"/>
  <c r="X1607" i="2"/>
  <c r="Y1607" i="2"/>
  <c r="F1608" i="2"/>
  <c r="G1608" i="2"/>
  <c r="M1608" i="2"/>
  <c r="N1608" i="2"/>
  <c r="R1608" i="2"/>
  <c r="S1608" i="2"/>
  <c r="X1608" i="2"/>
  <c r="Y1608" i="2"/>
  <c r="F1609" i="2"/>
  <c r="G1609" i="2"/>
  <c r="M1609" i="2"/>
  <c r="N1609" i="2"/>
  <c r="R1609" i="2"/>
  <c r="S1609" i="2" s="1"/>
  <c r="X1609" i="2"/>
  <c r="Y1609" i="2"/>
  <c r="F1610" i="2"/>
  <c r="G1610" i="2"/>
  <c r="M1610" i="2"/>
  <c r="N1610" i="2"/>
  <c r="R1610" i="2"/>
  <c r="S1610" i="2" s="1"/>
  <c r="X1610" i="2"/>
  <c r="Y1610" i="2"/>
  <c r="F1611" i="2"/>
  <c r="G1611" i="2"/>
  <c r="M1611" i="2"/>
  <c r="N1611" i="2"/>
  <c r="R1611" i="2"/>
  <c r="S1611" i="2" s="1"/>
  <c r="X1611" i="2"/>
  <c r="Y1611" i="2"/>
  <c r="F1612" i="2"/>
  <c r="G1612" i="2"/>
  <c r="M1612" i="2"/>
  <c r="N1612" i="2"/>
  <c r="R1612" i="2"/>
  <c r="S1612" i="2"/>
  <c r="X1612" i="2"/>
  <c r="Y1612" i="2"/>
  <c r="F1613" i="2"/>
  <c r="G1613" i="2"/>
  <c r="M1613" i="2"/>
  <c r="N1613" i="2"/>
  <c r="R1613" i="2"/>
  <c r="S1613" i="2" s="1"/>
  <c r="X1613" i="2"/>
  <c r="Y1613" i="2"/>
  <c r="F1614" i="2"/>
  <c r="G1614" i="2"/>
  <c r="M1614" i="2"/>
  <c r="N1614" i="2"/>
  <c r="R1614" i="2"/>
  <c r="S1614" i="2" s="1"/>
  <c r="X1614" i="2"/>
  <c r="Y1614" i="2"/>
  <c r="F1615" i="2"/>
  <c r="G1615" i="2"/>
  <c r="M1615" i="2"/>
  <c r="N1615" i="2"/>
  <c r="R1615" i="2"/>
  <c r="S1615" i="2" s="1"/>
  <c r="X1615" i="2"/>
  <c r="Y1615" i="2" s="1"/>
  <c r="F1616" i="2"/>
  <c r="G1616" i="2"/>
  <c r="M1616" i="2"/>
  <c r="N1616" i="2"/>
  <c r="R1616" i="2"/>
  <c r="S1616" i="2" s="1"/>
  <c r="X1616" i="2"/>
  <c r="Y1616" i="2"/>
  <c r="F1617" i="2"/>
  <c r="G1617" i="2"/>
  <c r="M1617" i="2"/>
  <c r="N1617" i="2"/>
  <c r="R1617" i="2"/>
  <c r="S1617" i="2" s="1"/>
  <c r="X1617" i="2"/>
  <c r="Y1617" i="2"/>
  <c r="F1618" i="2"/>
  <c r="G1618" i="2"/>
  <c r="M1618" i="2"/>
  <c r="N1618" i="2"/>
  <c r="R1618" i="2"/>
  <c r="S1618" i="2" s="1"/>
  <c r="X1618" i="2"/>
  <c r="Y1618" i="2"/>
  <c r="F1619" i="2"/>
  <c r="G1619" i="2"/>
  <c r="M1619" i="2"/>
  <c r="N1619" i="2"/>
  <c r="R1619" i="2"/>
  <c r="S1619" i="2" s="1"/>
  <c r="X1619" i="2"/>
  <c r="Y1619" i="2"/>
  <c r="F1620" i="2"/>
  <c r="G1620" i="2"/>
  <c r="M1620" i="2"/>
  <c r="N1620" i="2"/>
  <c r="R1620" i="2"/>
  <c r="S1620" i="2"/>
  <c r="X1620" i="2"/>
  <c r="Y1620" i="2"/>
  <c r="F1621" i="2"/>
  <c r="G1621" i="2"/>
  <c r="M1621" i="2"/>
  <c r="N1621" i="2"/>
  <c r="R1621" i="2"/>
  <c r="S1621" i="2" s="1"/>
  <c r="X1621" i="2"/>
  <c r="Y1621" i="2"/>
  <c r="F1622" i="2"/>
  <c r="G1622" i="2"/>
  <c r="M1622" i="2"/>
  <c r="N1622" i="2"/>
  <c r="R1622" i="2"/>
  <c r="S1622" i="2" s="1"/>
  <c r="X1622" i="2"/>
  <c r="Y1622" i="2"/>
  <c r="F1623" i="2"/>
  <c r="G1623" i="2"/>
  <c r="M1623" i="2"/>
  <c r="N1623" i="2"/>
  <c r="R1623" i="2"/>
  <c r="S1623" i="2" s="1"/>
  <c r="X1623" i="2"/>
  <c r="Y1623" i="2"/>
  <c r="F1624" i="2"/>
  <c r="G1624" i="2"/>
  <c r="M1624" i="2"/>
  <c r="N1624" i="2"/>
  <c r="R1624" i="2"/>
  <c r="S1624" i="2" s="1"/>
  <c r="X1624" i="2"/>
  <c r="Y1624" i="2"/>
  <c r="F1625" i="2"/>
  <c r="G1625" i="2"/>
  <c r="M1625" i="2"/>
  <c r="N1625" i="2"/>
  <c r="R1625" i="2"/>
  <c r="S1625" i="2" s="1"/>
  <c r="X1625" i="2"/>
  <c r="Y1625" i="2"/>
  <c r="F1626" i="2"/>
  <c r="G1626" i="2"/>
  <c r="M1626" i="2"/>
  <c r="N1626" i="2"/>
  <c r="R1626" i="2"/>
  <c r="S1626" i="2" s="1"/>
  <c r="X1626" i="2"/>
  <c r="Y1626" i="2"/>
  <c r="F1627" i="2"/>
  <c r="G1627" i="2"/>
  <c r="M1627" i="2"/>
  <c r="N1627" i="2"/>
  <c r="R1627" i="2"/>
  <c r="S1627" i="2" s="1"/>
  <c r="X1627" i="2"/>
  <c r="Y1627" i="2"/>
  <c r="F1628" i="2"/>
  <c r="G1628" i="2"/>
  <c r="M1628" i="2"/>
  <c r="N1628" i="2"/>
  <c r="R1628" i="2"/>
  <c r="S1628" i="2" s="1"/>
  <c r="X1628" i="2"/>
  <c r="Y1628" i="2"/>
  <c r="F1629" i="2"/>
  <c r="G1629" i="2"/>
  <c r="M1629" i="2"/>
  <c r="N1629" i="2"/>
  <c r="R1629" i="2"/>
  <c r="S1629" i="2" s="1"/>
  <c r="X1629" i="2"/>
  <c r="Y1629" i="2"/>
  <c r="F1630" i="2"/>
  <c r="G1630" i="2"/>
  <c r="M1630" i="2"/>
  <c r="N1630" i="2"/>
  <c r="R1630" i="2"/>
  <c r="S1630" i="2" s="1"/>
  <c r="X1630" i="2"/>
  <c r="Y1630" i="2"/>
  <c r="F1631" i="2"/>
  <c r="G1631" i="2"/>
  <c r="M1631" i="2"/>
  <c r="N1631" i="2"/>
  <c r="R1631" i="2"/>
  <c r="S1631" i="2" s="1"/>
  <c r="X1631" i="2"/>
  <c r="Y1631" i="2" s="1"/>
  <c r="F1632" i="2"/>
  <c r="G1632" i="2"/>
  <c r="M1632" i="2"/>
  <c r="N1632" i="2"/>
  <c r="R1632" i="2"/>
  <c r="S1632" i="2" s="1"/>
  <c r="X1632" i="2"/>
  <c r="Y1632" i="2" s="1"/>
  <c r="F1633" i="2"/>
  <c r="G1633" i="2"/>
  <c r="M1633" i="2"/>
  <c r="N1633" i="2"/>
  <c r="R1633" i="2"/>
  <c r="S1633" i="2" s="1"/>
  <c r="X1633" i="2"/>
  <c r="Y1633" i="2" s="1"/>
  <c r="F1634" i="2"/>
  <c r="G1634" i="2"/>
  <c r="M1634" i="2"/>
  <c r="N1634" i="2"/>
  <c r="R1634" i="2"/>
  <c r="S1634" i="2" s="1"/>
  <c r="X1634" i="2"/>
  <c r="Y1634" i="2"/>
  <c r="J1636" i="2"/>
  <c r="N1636" i="2" s="1"/>
  <c r="K1636" i="2"/>
  <c r="L1636" i="2"/>
  <c r="M1636" i="2" s="1"/>
  <c r="O1636" i="2"/>
  <c r="P1636" i="2"/>
  <c r="Q1636" i="2"/>
  <c r="R1636" i="2" s="1"/>
  <c r="S1636" i="2" s="1"/>
  <c r="U1636" i="2"/>
  <c r="V1636" i="2"/>
  <c r="W1636" i="2"/>
  <c r="Z1636" i="2"/>
  <c r="AA1636" i="2"/>
  <c r="AB1636" i="2"/>
  <c r="E1638" i="2"/>
  <c r="G1638" i="2"/>
  <c r="F1640" i="2"/>
  <c r="G1640" i="2"/>
  <c r="M1640" i="2"/>
  <c r="N1640" i="2"/>
  <c r="R1640" i="2"/>
  <c r="S1640" i="2"/>
  <c r="X1640" i="2"/>
  <c r="Y1640" i="2"/>
  <c r="F1641" i="2"/>
  <c r="G1641" i="2"/>
  <c r="M1641" i="2"/>
  <c r="N1641" i="2"/>
  <c r="R1641" i="2"/>
  <c r="S1641" i="2"/>
  <c r="X1641" i="2"/>
  <c r="Y1641" i="2"/>
  <c r="F1642" i="2"/>
  <c r="G1642" i="2"/>
  <c r="M1642" i="2"/>
  <c r="N1642" i="2"/>
  <c r="R1642" i="2"/>
  <c r="S1642" i="2"/>
  <c r="X1642" i="2"/>
  <c r="Y1642" i="2"/>
  <c r="F1643" i="2"/>
  <c r="G1643" i="2"/>
  <c r="M1643" i="2"/>
  <c r="N1643" i="2"/>
  <c r="R1643" i="2"/>
  <c r="S1643" i="2"/>
  <c r="X1643" i="2"/>
  <c r="Y1643" i="2"/>
  <c r="F1644" i="2"/>
  <c r="G1644" i="2"/>
  <c r="M1644" i="2"/>
  <c r="N1644" i="2"/>
  <c r="R1644" i="2"/>
  <c r="S1644" i="2"/>
  <c r="X1644" i="2"/>
  <c r="Y1644" i="2"/>
  <c r="F1645" i="2"/>
  <c r="G1645" i="2"/>
  <c r="M1645" i="2"/>
  <c r="N1645" i="2"/>
  <c r="R1645" i="2"/>
  <c r="S1645" i="2"/>
  <c r="X1645" i="2"/>
  <c r="Y1645" i="2"/>
  <c r="F1646" i="2"/>
  <c r="G1646" i="2"/>
  <c r="M1646" i="2"/>
  <c r="N1646" i="2"/>
  <c r="R1646" i="2"/>
  <c r="S1646" i="2"/>
  <c r="X1646" i="2"/>
  <c r="Y1646" i="2"/>
  <c r="F1647" i="2"/>
  <c r="G1647" i="2"/>
  <c r="M1647" i="2"/>
  <c r="N1647" i="2"/>
  <c r="R1647" i="2"/>
  <c r="S1647" i="2"/>
  <c r="X1647" i="2"/>
  <c r="Y1647" i="2"/>
  <c r="F1648" i="2"/>
  <c r="G1648" i="2"/>
  <c r="M1648" i="2"/>
  <c r="N1648" i="2"/>
  <c r="R1648" i="2"/>
  <c r="S1648" i="2"/>
  <c r="X1648" i="2"/>
  <c r="Y1648" i="2"/>
  <c r="F1649" i="2"/>
  <c r="G1649" i="2"/>
  <c r="M1649" i="2"/>
  <c r="N1649" i="2"/>
  <c r="R1649" i="2"/>
  <c r="S1649" i="2"/>
  <c r="X1649" i="2"/>
  <c r="Y1649" i="2"/>
  <c r="F1650" i="2"/>
  <c r="G1650" i="2"/>
  <c r="M1650" i="2"/>
  <c r="N1650" i="2"/>
  <c r="R1650" i="2"/>
  <c r="S1650" i="2"/>
  <c r="X1650" i="2"/>
  <c r="Y1650" i="2"/>
  <c r="F1651" i="2"/>
  <c r="G1651" i="2"/>
  <c r="M1651" i="2"/>
  <c r="N1651" i="2"/>
  <c r="R1651" i="2"/>
  <c r="S1651" i="2"/>
  <c r="X1651" i="2"/>
  <c r="Y1651" i="2"/>
  <c r="F1652" i="2"/>
  <c r="G1652" i="2"/>
  <c r="M1652" i="2"/>
  <c r="N1652" i="2"/>
  <c r="R1652" i="2"/>
  <c r="S1652" i="2"/>
  <c r="X1652" i="2"/>
  <c r="Y1652" i="2"/>
  <c r="F1653" i="2"/>
  <c r="G1653" i="2"/>
  <c r="M1653" i="2"/>
  <c r="N1653" i="2"/>
  <c r="R1653" i="2"/>
  <c r="S1653" i="2"/>
  <c r="X1653" i="2"/>
  <c r="Y1653" i="2"/>
  <c r="F1654" i="2"/>
  <c r="G1654" i="2"/>
  <c r="M1654" i="2"/>
  <c r="N1654" i="2"/>
  <c r="R1654" i="2"/>
  <c r="S1654" i="2"/>
  <c r="X1654" i="2"/>
  <c r="Y1654" i="2"/>
  <c r="F1655" i="2"/>
  <c r="G1655" i="2"/>
  <c r="M1655" i="2"/>
  <c r="N1655" i="2"/>
  <c r="R1655" i="2"/>
  <c r="S1655" i="2"/>
  <c r="X1655" i="2"/>
  <c r="Y1655" i="2"/>
  <c r="F1656" i="2"/>
  <c r="G1656" i="2"/>
  <c r="M1656" i="2"/>
  <c r="N1656" i="2"/>
  <c r="R1656" i="2"/>
  <c r="S1656" i="2"/>
  <c r="X1656" i="2"/>
  <c r="Y1656" i="2"/>
  <c r="F1657" i="2"/>
  <c r="G1657" i="2"/>
  <c r="M1657" i="2"/>
  <c r="N1657" i="2"/>
  <c r="R1657" i="2"/>
  <c r="S1657" i="2"/>
  <c r="X1657" i="2"/>
  <c r="Y1657" i="2"/>
  <c r="F1658" i="2"/>
  <c r="G1658" i="2"/>
  <c r="M1658" i="2"/>
  <c r="N1658" i="2"/>
  <c r="R1658" i="2"/>
  <c r="S1658" i="2"/>
  <c r="X1658" i="2"/>
  <c r="Y1658" i="2"/>
  <c r="F1659" i="2"/>
  <c r="G1659" i="2"/>
  <c r="M1659" i="2"/>
  <c r="N1659" i="2"/>
  <c r="R1659" i="2"/>
  <c r="S1659" i="2"/>
  <c r="X1659" i="2"/>
  <c r="Y1659" i="2"/>
  <c r="F1660" i="2"/>
  <c r="G1660" i="2"/>
  <c r="M1660" i="2"/>
  <c r="N1660" i="2"/>
  <c r="R1660" i="2"/>
  <c r="S1660" i="2"/>
  <c r="X1660" i="2"/>
  <c r="Y1660" i="2"/>
  <c r="F1661" i="2"/>
  <c r="G1661" i="2"/>
  <c r="M1661" i="2"/>
  <c r="N1661" i="2"/>
  <c r="R1661" i="2"/>
  <c r="S1661" i="2"/>
  <c r="X1661" i="2"/>
  <c r="Y1661" i="2"/>
  <c r="F1662" i="2"/>
  <c r="G1662" i="2"/>
  <c r="M1662" i="2"/>
  <c r="N1662" i="2"/>
  <c r="R1662" i="2"/>
  <c r="S1662" i="2"/>
  <c r="X1662" i="2"/>
  <c r="Y1662" i="2"/>
  <c r="F1663" i="2"/>
  <c r="G1663" i="2"/>
  <c r="M1663" i="2"/>
  <c r="N1663" i="2"/>
  <c r="R1663" i="2"/>
  <c r="S1663" i="2"/>
  <c r="X1663" i="2"/>
  <c r="Y1663" i="2"/>
  <c r="F1664" i="2"/>
  <c r="G1664" i="2"/>
  <c r="M1664" i="2"/>
  <c r="N1664" i="2"/>
  <c r="R1664" i="2"/>
  <c r="S1664" i="2"/>
  <c r="X1664" i="2"/>
  <c r="Y1664" i="2"/>
  <c r="F1665" i="2"/>
  <c r="G1665" i="2"/>
  <c r="M1665" i="2"/>
  <c r="N1665" i="2"/>
  <c r="R1665" i="2"/>
  <c r="S1665" i="2"/>
  <c r="X1665" i="2"/>
  <c r="Y1665" i="2"/>
  <c r="F1666" i="2"/>
  <c r="G1666" i="2"/>
  <c r="M1666" i="2"/>
  <c r="N1666" i="2"/>
  <c r="R1666" i="2"/>
  <c r="S1666" i="2"/>
  <c r="X1666" i="2"/>
  <c r="Y1666" i="2"/>
  <c r="F1667" i="2"/>
  <c r="G1667" i="2"/>
  <c r="M1667" i="2"/>
  <c r="N1667" i="2"/>
  <c r="R1667" i="2"/>
  <c r="S1667" i="2"/>
  <c r="X1667" i="2"/>
  <c r="Y1667" i="2"/>
  <c r="F1668" i="2"/>
  <c r="G1668" i="2"/>
  <c r="M1668" i="2"/>
  <c r="N1668" i="2"/>
  <c r="R1668" i="2"/>
  <c r="S1668" i="2"/>
  <c r="X1668" i="2"/>
  <c r="Y1668" i="2"/>
  <c r="F1669" i="2"/>
  <c r="G1669" i="2"/>
  <c r="M1669" i="2"/>
  <c r="N1669" i="2"/>
  <c r="R1669" i="2"/>
  <c r="S1669" i="2"/>
  <c r="X1669" i="2"/>
  <c r="Y1669" i="2"/>
  <c r="F1670" i="2"/>
  <c r="G1670" i="2"/>
  <c r="M1670" i="2"/>
  <c r="N1670" i="2"/>
  <c r="R1670" i="2"/>
  <c r="S1670" i="2"/>
  <c r="X1670" i="2"/>
  <c r="Y1670" i="2"/>
  <c r="F1671" i="2"/>
  <c r="G1671" i="2"/>
  <c r="M1671" i="2"/>
  <c r="N1671" i="2"/>
  <c r="R1671" i="2"/>
  <c r="S1671" i="2"/>
  <c r="X1671" i="2"/>
  <c r="Y1671" i="2"/>
  <c r="F1672" i="2"/>
  <c r="G1672" i="2"/>
  <c r="M1672" i="2"/>
  <c r="N1672" i="2"/>
  <c r="R1672" i="2"/>
  <c r="S1672" i="2"/>
  <c r="X1672" i="2"/>
  <c r="Y1672" i="2"/>
  <c r="F1673" i="2"/>
  <c r="G1673" i="2"/>
  <c r="M1673" i="2"/>
  <c r="N1673" i="2"/>
  <c r="R1673" i="2"/>
  <c r="S1673" i="2"/>
  <c r="X1673" i="2"/>
  <c r="Y1673" i="2"/>
  <c r="F1674" i="2"/>
  <c r="G1674" i="2"/>
  <c r="M1674" i="2"/>
  <c r="N1674" i="2"/>
  <c r="R1674" i="2"/>
  <c r="S1674" i="2"/>
  <c r="X1674" i="2"/>
  <c r="Y1674" i="2"/>
  <c r="F1675" i="2"/>
  <c r="G1675" i="2"/>
  <c r="M1675" i="2"/>
  <c r="N1675" i="2"/>
  <c r="R1675" i="2"/>
  <c r="S1675" i="2"/>
  <c r="X1675" i="2"/>
  <c r="Y1675" i="2"/>
  <c r="F1676" i="2"/>
  <c r="G1676" i="2"/>
  <c r="M1676" i="2"/>
  <c r="N1676" i="2"/>
  <c r="R1676" i="2"/>
  <c r="S1676" i="2"/>
  <c r="X1676" i="2"/>
  <c r="Y1676" i="2"/>
  <c r="F1677" i="2"/>
  <c r="G1677" i="2"/>
  <c r="M1677" i="2"/>
  <c r="N1677" i="2"/>
  <c r="R1677" i="2"/>
  <c r="S1677" i="2"/>
  <c r="X1677" i="2"/>
  <c r="Y1677" i="2"/>
  <c r="F1678" i="2"/>
  <c r="G1678" i="2"/>
  <c r="M1678" i="2"/>
  <c r="N1678" i="2"/>
  <c r="R1678" i="2"/>
  <c r="S1678" i="2"/>
  <c r="X1678" i="2"/>
  <c r="Y1678" i="2"/>
  <c r="F1679" i="2"/>
  <c r="G1679" i="2"/>
  <c r="M1679" i="2"/>
  <c r="N1679" i="2"/>
  <c r="R1679" i="2"/>
  <c r="S1679" i="2"/>
  <c r="X1679" i="2"/>
  <c r="Y1679" i="2"/>
  <c r="F1680" i="2"/>
  <c r="G1680" i="2"/>
  <c r="M1680" i="2"/>
  <c r="N1680" i="2"/>
  <c r="R1680" i="2"/>
  <c r="S1680" i="2"/>
  <c r="X1680" i="2"/>
  <c r="Y1680" i="2"/>
  <c r="F1681" i="2"/>
  <c r="G1681" i="2"/>
  <c r="M1681" i="2"/>
  <c r="N1681" i="2"/>
  <c r="R1681" i="2"/>
  <c r="S1681" i="2"/>
  <c r="X1681" i="2"/>
  <c r="Y1681" i="2"/>
  <c r="F1682" i="2"/>
  <c r="G1682" i="2"/>
  <c r="M1682" i="2"/>
  <c r="N1682" i="2"/>
  <c r="R1682" i="2"/>
  <c r="S1682" i="2"/>
  <c r="X1682" i="2"/>
  <c r="Y1682" i="2"/>
  <c r="F1683" i="2"/>
  <c r="G1683" i="2"/>
  <c r="M1683" i="2"/>
  <c r="N1683" i="2"/>
  <c r="R1683" i="2"/>
  <c r="S1683" i="2"/>
  <c r="X1683" i="2"/>
  <c r="Y1683" i="2"/>
  <c r="F1684" i="2"/>
  <c r="G1684" i="2"/>
  <c r="M1684" i="2"/>
  <c r="N1684" i="2"/>
  <c r="R1684" i="2"/>
  <c r="S1684" i="2"/>
  <c r="X1684" i="2"/>
  <c r="Y1684" i="2"/>
  <c r="F1685" i="2"/>
  <c r="G1685" i="2"/>
  <c r="M1685" i="2"/>
  <c r="N1685" i="2"/>
  <c r="R1685" i="2"/>
  <c r="S1685" i="2"/>
  <c r="X1685" i="2"/>
  <c r="Y1685" i="2"/>
  <c r="F1686" i="2"/>
  <c r="G1686" i="2"/>
  <c r="M1686" i="2"/>
  <c r="N1686" i="2"/>
  <c r="R1686" i="2"/>
  <c r="S1686" i="2"/>
  <c r="X1686" i="2"/>
  <c r="Y1686" i="2"/>
  <c r="F1687" i="2"/>
  <c r="G1687" i="2"/>
  <c r="M1687" i="2"/>
  <c r="N1687" i="2"/>
  <c r="R1687" i="2"/>
  <c r="S1687" i="2"/>
  <c r="X1687" i="2"/>
  <c r="Y1687" i="2"/>
  <c r="J1689" i="2"/>
  <c r="M1689" i="2" s="1"/>
  <c r="N1689" i="2" s="1"/>
  <c r="K1689" i="2"/>
  <c r="L1689" i="2"/>
  <c r="O1689" i="2"/>
  <c r="P1689" i="2"/>
  <c r="Q1689" i="2"/>
  <c r="U1689" i="2"/>
  <c r="Y1689" i="2" s="1"/>
  <c r="V1689" i="2"/>
  <c r="W1689" i="2"/>
  <c r="X1689" i="2"/>
  <c r="Z1689" i="2"/>
  <c r="AA1689" i="2"/>
  <c r="AB1689" i="2"/>
  <c r="E1691" i="2"/>
  <c r="G1691" i="2"/>
  <c r="F1693" i="2"/>
  <c r="G1693" i="2"/>
  <c r="M1693" i="2"/>
  <c r="N1693" i="2"/>
  <c r="R1693" i="2"/>
  <c r="S1693" i="2" s="1"/>
  <c r="X1693" i="2"/>
  <c r="Y1693" i="2"/>
  <c r="F1694" i="2"/>
  <c r="G1694" i="2"/>
  <c r="M1694" i="2"/>
  <c r="N1694" i="2"/>
  <c r="R1694" i="2"/>
  <c r="S1694" i="2" s="1"/>
  <c r="X1694" i="2"/>
  <c r="Y1694" i="2"/>
  <c r="F1695" i="2"/>
  <c r="G1695" i="2"/>
  <c r="M1695" i="2"/>
  <c r="N1695" i="2"/>
  <c r="R1695" i="2"/>
  <c r="S1695" i="2" s="1"/>
  <c r="X1695" i="2"/>
  <c r="Y1695" i="2"/>
  <c r="F1696" i="2"/>
  <c r="G1696" i="2"/>
  <c r="M1696" i="2"/>
  <c r="N1696" i="2"/>
  <c r="R1696" i="2"/>
  <c r="S1696" i="2" s="1"/>
  <c r="X1696" i="2"/>
  <c r="Y1696" i="2"/>
  <c r="F1697" i="2"/>
  <c r="G1697" i="2"/>
  <c r="M1697" i="2"/>
  <c r="N1697" i="2"/>
  <c r="R1697" i="2"/>
  <c r="S1697" i="2" s="1"/>
  <c r="X1697" i="2"/>
  <c r="Y1697" i="2"/>
  <c r="F1698" i="2"/>
  <c r="G1698" i="2"/>
  <c r="M1698" i="2"/>
  <c r="N1698" i="2"/>
  <c r="R1698" i="2"/>
  <c r="S1698" i="2" s="1"/>
  <c r="X1698" i="2"/>
  <c r="Y1698" i="2"/>
  <c r="F1699" i="2"/>
  <c r="G1699" i="2"/>
  <c r="M1699" i="2"/>
  <c r="N1699" i="2"/>
  <c r="R1699" i="2"/>
  <c r="S1699" i="2" s="1"/>
  <c r="X1699" i="2"/>
  <c r="Y1699" i="2"/>
  <c r="F1700" i="2"/>
  <c r="G1700" i="2"/>
  <c r="M1700" i="2"/>
  <c r="N1700" i="2"/>
  <c r="R1700" i="2"/>
  <c r="S1700" i="2" s="1"/>
  <c r="X1700" i="2"/>
  <c r="Y1700" i="2"/>
  <c r="F1701" i="2"/>
  <c r="G1701" i="2"/>
  <c r="M1701" i="2"/>
  <c r="N1701" i="2"/>
  <c r="R1701" i="2"/>
  <c r="S1701" i="2" s="1"/>
  <c r="X1701" i="2"/>
  <c r="Y1701" i="2"/>
  <c r="F1702" i="2"/>
  <c r="G1702" i="2"/>
  <c r="M1702" i="2"/>
  <c r="N1702" i="2"/>
  <c r="R1702" i="2"/>
  <c r="S1702" i="2" s="1"/>
  <c r="X1702" i="2"/>
  <c r="Y1702" i="2"/>
  <c r="F1703" i="2"/>
  <c r="G1703" i="2"/>
  <c r="M1703" i="2"/>
  <c r="N1703" i="2"/>
  <c r="R1703" i="2"/>
  <c r="S1703" i="2" s="1"/>
  <c r="X1703" i="2"/>
  <c r="Y1703" i="2"/>
  <c r="F1704" i="2"/>
  <c r="G1704" i="2"/>
  <c r="M1704" i="2"/>
  <c r="N1704" i="2"/>
  <c r="R1704" i="2"/>
  <c r="S1704" i="2" s="1"/>
  <c r="X1704" i="2"/>
  <c r="Y1704" i="2"/>
  <c r="F1705" i="2"/>
  <c r="G1705" i="2"/>
  <c r="M1705" i="2"/>
  <c r="N1705" i="2"/>
  <c r="R1705" i="2"/>
  <c r="S1705" i="2" s="1"/>
  <c r="X1705" i="2"/>
  <c r="Y1705" i="2"/>
  <c r="F1706" i="2"/>
  <c r="G1706" i="2"/>
  <c r="M1706" i="2"/>
  <c r="N1706" i="2"/>
  <c r="R1706" i="2"/>
  <c r="S1706" i="2" s="1"/>
  <c r="X1706" i="2"/>
  <c r="Y1706" i="2"/>
  <c r="F1707" i="2"/>
  <c r="G1707" i="2"/>
  <c r="M1707" i="2"/>
  <c r="N1707" i="2"/>
  <c r="R1707" i="2"/>
  <c r="S1707" i="2" s="1"/>
  <c r="X1707" i="2"/>
  <c r="Y1707" i="2"/>
  <c r="F1708" i="2"/>
  <c r="G1708" i="2"/>
  <c r="M1708" i="2"/>
  <c r="N1708" i="2"/>
  <c r="R1708" i="2"/>
  <c r="S1708" i="2" s="1"/>
  <c r="X1708" i="2"/>
  <c r="Y1708" i="2"/>
  <c r="F1709" i="2"/>
  <c r="G1709" i="2"/>
  <c r="M1709" i="2"/>
  <c r="N1709" i="2"/>
  <c r="R1709" i="2"/>
  <c r="S1709" i="2" s="1"/>
  <c r="X1709" i="2"/>
  <c r="Y1709" i="2"/>
  <c r="F1710" i="2"/>
  <c r="G1710" i="2"/>
  <c r="M1710" i="2"/>
  <c r="N1710" i="2"/>
  <c r="R1710" i="2"/>
  <c r="S1710" i="2" s="1"/>
  <c r="X1710" i="2"/>
  <c r="Y1710" i="2"/>
  <c r="F1711" i="2"/>
  <c r="G1711" i="2"/>
  <c r="M1711" i="2"/>
  <c r="N1711" i="2"/>
  <c r="R1711" i="2"/>
  <c r="S1711" i="2" s="1"/>
  <c r="X1711" i="2"/>
  <c r="Y1711" i="2"/>
  <c r="F1712" i="2"/>
  <c r="G1712" i="2"/>
  <c r="M1712" i="2"/>
  <c r="N1712" i="2"/>
  <c r="R1712" i="2"/>
  <c r="S1712" i="2" s="1"/>
  <c r="X1712" i="2"/>
  <c r="Y1712" i="2"/>
  <c r="F1713" i="2"/>
  <c r="G1713" i="2"/>
  <c r="M1713" i="2"/>
  <c r="N1713" i="2"/>
  <c r="R1713" i="2"/>
  <c r="S1713" i="2" s="1"/>
  <c r="X1713" i="2"/>
  <c r="Y1713" i="2"/>
  <c r="F1714" i="2"/>
  <c r="G1714" i="2"/>
  <c r="M1714" i="2"/>
  <c r="N1714" i="2"/>
  <c r="R1714" i="2"/>
  <c r="S1714" i="2" s="1"/>
  <c r="X1714" i="2"/>
  <c r="Y1714" i="2"/>
  <c r="F1715" i="2"/>
  <c r="G1715" i="2"/>
  <c r="M1715" i="2"/>
  <c r="N1715" i="2"/>
  <c r="R1715" i="2"/>
  <c r="S1715" i="2"/>
  <c r="X1715" i="2"/>
  <c r="Y1715" i="2"/>
  <c r="F1716" i="2"/>
  <c r="G1716" i="2"/>
  <c r="M1716" i="2"/>
  <c r="N1716" i="2"/>
  <c r="R1716" i="2"/>
  <c r="S1716" i="2"/>
  <c r="X1716" i="2"/>
  <c r="Y1716" i="2"/>
  <c r="F1717" i="2"/>
  <c r="G1717" i="2"/>
  <c r="M1717" i="2"/>
  <c r="N1717" i="2"/>
  <c r="R1717" i="2"/>
  <c r="S1717" i="2"/>
  <c r="X1717" i="2"/>
  <c r="Y1717" i="2"/>
  <c r="F1718" i="2"/>
  <c r="G1718" i="2"/>
  <c r="M1718" i="2"/>
  <c r="N1718" i="2"/>
  <c r="R1718" i="2"/>
  <c r="S1718" i="2"/>
  <c r="X1718" i="2"/>
  <c r="Y1718" i="2"/>
  <c r="F1719" i="2"/>
  <c r="G1719" i="2"/>
  <c r="M1719" i="2"/>
  <c r="N1719" i="2"/>
  <c r="R1719" i="2"/>
  <c r="S1719" i="2"/>
  <c r="X1719" i="2"/>
  <c r="Y1719" i="2"/>
  <c r="F1720" i="2"/>
  <c r="G1720" i="2"/>
  <c r="M1720" i="2"/>
  <c r="N1720" i="2"/>
  <c r="R1720" i="2"/>
  <c r="S1720" i="2"/>
  <c r="X1720" i="2"/>
  <c r="Y1720" i="2"/>
  <c r="F1721" i="2"/>
  <c r="G1721" i="2"/>
  <c r="M1721" i="2"/>
  <c r="N1721" i="2"/>
  <c r="R1721" i="2"/>
  <c r="S1721" i="2"/>
  <c r="X1721" i="2"/>
  <c r="Y1721" i="2"/>
  <c r="F1722" i="2"/>
  <c r="G1722" i="2"/>
  <c r="M1722" i="2"/>
  <c r="N1722" i="2"/>
  <c r="R1722" i="2"/>
  <c r="S1722" i="2"/>
  <c r="X1722" i="2"/>
  <c r="Y1722" i="2"/>
  <c r="J1724" i="2"/>
  <c r="K1724" i="2"/>
  <c r="L1724" i="2"/>
  <c r="O1724" i="2"/>
  <c r="P1724" i="2"/>
  <c r="Q1724" i="2"/>
  <c r="R1724" i="2"/>
  <c r="U1724" i="2"/>
  <c r="Y1724" i="2" s="1"/>
  <c r="V1724" i="2"/>
  <c r="W1724" i="2"/>
  <c r="X1724" i="2"/>
  <c r="Z1724" i="2"/>
  <c r="AA1724" i="2"/>
  <c r="AB1724" i="2"/>
  <c r="E1726" i="2"/>
  <c r="G1726" i="2"/>
  <c r="F1728" i="2"/>
  <c r="G1728" i="2"/>
  <c r="M1728" i="2"/>
  <c r="N1728" i="2"/>
  <c r="R1728" i="2"/>
  <c r="S1728" i="2"/>
  <c r="X1728" i="2"/>
  <c r="Y1728" i="2" s="1"/>
  <c r="F1729" i="2"/>
  <c r="G1729" i="2"/>
  <c r="M1729" i="2"/>
  <c r="N1729" i="2"/>
  <c r="R1729" i="2"/>
  <c r="S1729" i="2"/>
  <c r="X1729" i="2"/>
  <c r="Y1729" i="2" s="1"/>
  <c r="F1730" i="2"/>
  <c r="G1730" i="2"/>
  <c r="M1730" i="2"/>
  <c r="N1730" i="2"/>
  <c r="R1730" i="2"/>
  <c r="S1730" i="2"/>
  <c r="X1730" i="2"/>
  <c r="Y1730" i="2"/>
  <c r="F1731" i="2"/>
  <c r="G1731" i="2"/>
  <c r="M1731" i="2"/>
  <c r="N1731" i="2"/>
  <c r="R1731" i="2"/>
  <c r="S1731" i="2"/>
  <c r="X1731" i="2"/>
  <c r="Y1731" i="2"/>
  <c r="F1732" i="2"/>
  <c r="G1732" i="2"/>
  <c r="M1732" i="2"/>
  <c r="N1732" i="2"/>
  <c r="R1732" i="2"/>
  <c r="S1732" i="2"/>
  <c r="X1732" i="2"/>
  <c r="Y1732" i="2"/>
  <c r="F1733" i="2"/>
  <c r="G1733" i="2"/>
  <c r="M1733" i="2"/>
  <c r="N1733" i="2"/>
  <c r="R1733" i="2"/>
  <c r="S1733" i="2"/>
  <c r="X1733" i="2"/>
  <c r="Y1733" i="2" s="1"/>
  <c r="F1734" i="2"/>
  <c r="G1734" i="2"/>
  <c r="M1734" i="2"/>
  <c r="N1734" i="2"/>
  <c r="R1734" i="2"/>
  <c r="S1734" i="2"/>
  <c r="X1734" i="2"/>
  <c r="Y1734" i="2" s="1"/>
  <c r="F1735" i="2"/>
  <c r="G1735" i="2"/>
  <c r="M1735" i="2"/>
  <c r="N1735" i="2"/>
  <c r="R1735" i="2"/>
  <c r="S1735" i="2"/>
  <c r="X1735" i="2"/>
  <c r="Y1735" i="2"/>
  <c r="F1736" i="2"/>
  <c r="G1736" i="2"/>
  <c r="M1736" i="2"/>
  <c r="N1736" i="2"/>
  <c r="R1736" i="2"/>
  <c r="S1736" i="2"/>
  <c r="X1736" i="2"/>
  <c r="Y1736" i="2" s="1"/>
  <c r="F1737" i="2"/>
  <c r="G1737" i="2"/>
  <c r="M1737" i="2"/>
  <c r="N1737" i="2"/>
  <c r="R1737" i="2"/>
  <c r="S1737" i="2"/>
  <c r="X1737" i="2"/>
  <c r="Y1737" i="2"/>
  <c r="F1738" i="2"/>
  <c r="G1738" i="2"/>
  <c r="M1738" i="2"/>
  <c r="N1738" i="2"/>
  <c r="R1738" i="2"/>
  <c r="S1738" i="2"/>
  <c r="X1738" i="2"/>
  <c r="Y1738" i="2"/>
  <c r="F1739" i="2"/>
  <c r="G1739" i="2"/>
  <c r="M1739" i="2"/>
  <c r="N1739" i="2"/>
  <c r="R1739" i="2"/>
  <c r="S1739" i="2"/>
  <c r="X1739" i="2"/>
  <c r="Y1739" i="2"/>
  <c r="F1740" i="2"/>
  <c r="G1740" i="2"/>
  <c r="M1740" i="2"/>
  <c r="N1740" i="2"/>
  <c r="R1740" i="2"/>
  <c r="S1740" i="2"/>
  <c r="X1740" i="2"/>
  <c r="Y1740" i="2" s="1"/>
  <c r="F1741" i="2"/>
  <c r="G1741" i="2"/>
  <c r="M1741" i="2"/>
  <c r="N1741" i="2"/>
  <c r="R1741" i="2"/>
  <c r="S1741" i="2"/>
  <c r="X1741" i="2"/>
  <c r="Y1741" i="2" s="1"/>
  <c r="F1742" i="2"/>
  <c r="G1742" i="2"/>
  <c r="M1742" i="2"/>
  <c r="N1742" i="2"/>
  <c r="R1742" i="2"/>
  <c r="S1742" i="2"/>
  <c r="X1742" i="2"/>
  <c r="Y1742" i="2" s="1"/>
  <c r="F1743" i="2"/>
  <c r="G1743" i="2"/>
  <c r="M1743" i="2"/>
  <c r="N1743" i="2"/>
  <c r="R1743" i="2"/>
  <c r="S1743" i="2"/>
  <c r="X1743" i="2"/>
  <c r="Y1743" i="2"/>
  <c r="F1744" i="2"/>
  <c r="G1744" i="2"/>
  <c r="M1744" i="2"/>
  <c r="N1744" i="2"/>
  <c r="R1744" i="2"/>
  <c r="S1744" i="2"/>
  <c r="X1744" i="2"/>
  <c r="Y1744" i="2" s="1"/>
  <c r="F1745" i="2"/>
  <c r="G1745" i="2"/>
  <c r="M1745" i="2"/>
  <c r="N1745" i="2"/>
  <c r="R1745" i="2"/>
  <c r="S1745" i="2"/>
  <c r="X1745" i="2"/>
  <c r="Y1745" i="2" s="1"/>
  <c r="F1746" i="2"/>
  <c r="G1746" i="2"/>
  <c r="M1746" i="2"/>
  <c r="N1746" i="2"/>
  <c r="R1746" i="2"/>
  <c r="S1746" i="2"/>
  <c r="X1746" i="2"/>
  <c r="Y1746" i="2" s="1"/>
  <c r="F1747" i="2"/>
  <c r="G1747" i="2"/>
  <c r="M1747" i="2"/>
  <c r="N1747" i="2"/>
  <c r="R1747" i="2"/>
  <c r="S1747" i="2"/>
  <c r="X1747" i="2"/>
  <c r="Y1747" i="2" s="1"/>
  <c r="F1748" i="2"/>
  <c r="G1748" i="2"/>
  <c r="M1748" i="2"/>
  <c r="N1748" i="2"/>
  <c r="R1748" i="2"/>
  <c r="S1748" i="2"/>
  <c r="X1748" i="2"/>
  <c r="Y1748" i="2" s="1"/>
  <c r="F1749" i="2"/>
  <c r="G1749" i="2"/>
  <c r="M1749" i="2"/>
  <c r="N1749" i="2"/>
  <c r="R1749" i="2"/>
  <c r="S1749" i="2"/>
  <c r="X1749" i="2"/>
  <c r="Y1749" i="2" s="1"/>
  <c r="F1750" i="2"/>
  <c r="G1750" i="2"/>
  <c r="M1750" i="2"/>
  <c r="N1750" i="2"/>
  <c r="R1750" i="2"/>
  <c r="S1750" i="2"/>
  <c r="X1750" i="2"/>
  <c r="Y1750" i="2"/>
  <c r="F1751" i="2"/>
  <c r="G1751" i="2"/>
  <c r="M1751" i="2"/>
  <c r="N1751" i="2"/>
  <c r="R1751" i="2"/>
  <c r="S1751" i="2"/>
  <c r="X1751" i="2"/>
  <c r="Y1751" i="2" s="1"/>
  <c r="F1752" i="2"/>
  <c r="G1752" i="2"/>
  <c r="M1752" i="2"/>
  <c r="N1752" i="2"/>
  <c r="R1752" i="2"/>
  <c r="S1752" i="2"/>
  <c r="X1752" i="2"/>
  <c r="Y1752" i="2" s="1"/>
  <c r="F1753" i="2"/>
  <c r="G1753" i="2"/>
  <c r="M1753" i="2"/>
  <c r="N1753" i="2"/>
  <c r="R1753" i="2"/>
  <c r="S1753" i="2"/>
  <c r="X1753" i="2"/>
  <c r="Y1753" i="2" s="1"/>
  <c r="F1754" i="2"/>
  <c r="G1754" i="2"/>
  <c r="M1754" i="2"/>
  <c r="N1754" i="2"/>
  <c r="R1754" i="2"/>
  <c r="S1754" i="2"/>
  <c r="X1754" i="2"/>
  <c r="Y1754" i="2"/>
  <c r="F1755" i="2"/>
  <c r="G1755" i="2"/>
  <c r="M1755" i="2"/>
  <c r="N1755" i="2"/>
  <c r="R1755" i="2"/>
  <c r="S1755" i="2"/>
  <c r="X1755" i="2"/>
  <c r="Y1755" i="2" s="1"/>
  <c r="F1756" i="2"/>
  <c r="G1756" i="2"/>
  <c r="M1756" i="2"/>
  <c r="N1756" i="2"/>
  <c r="R1756" i="2"/>
  <c r="S1756" i="2"/>
  <c r="X1756" i="2"/>
  <c r="Y1756" i="2" s="1"/>
  <c r="J1758" i="2"/>
  <c r="K1758" i="2"/>
  <c r="L1758" i="2"/>
  <c r="M1758" i="2"/>
  <c r="O1758" i="2"/>
  <c r="S1758" i="2" s="1"/>
  <c r="P1758" i="2"/>
  <c r="Q1758" i="2"/>
  <c r="R1758" i="2"/>
  <c r="U1758" i="2"/>
  <c r="X1758" i="2" s="1"/>
  <c r="V1758" i="2"/>
  <c r="W1758" i="2"/>
  <c r="Z1758" i="2"/>
  <c r="AA1758" i="2"/>
  <c r="AB1758" i="2"/>
  <c r="E1760" i="2"/>
  <c r="G1760" i="2"/>
  <c r="F1762" i="2"/>
  <c r="G1762" i="2"/>
  <c r="M1762" i="2"/>
  <c r="N1762" i="2"/>
  <c r="R1762" i="2"/>
  <c r="S1762" i="2" s="1"/>
  <c r="X1762" i="2"/>
  <c r="Y1762" i="2"/>
  <c r="F1763" i="2"/>
  <c r="G1763" i="2"/>
  <c r="M1763" i="2"/>
  <c r="N1763" i="2"/>
  <c r="R1763" i="2"/>
  <c r="S1763" i="2" s="1"/>
  <c r="X1763" i="2"/>
  <c r="Y1763" i="2"/>
  <c r="F1764" i="2"/>
  <c r="G1764" i="2"/>
  <c r="M1764" i="2"/>
  <c r="N1764" i="2"/>
  <c r="R1764" i="2"/>
  <c r="S1764" i="2" s="1"/>
  <c r="X1764" i="2"/>
  <c r="Y1764" i="2"/>
  <c r="F1765" i="2"/>
  <c r="G1765" i="2"/>
  <c r="M1765" i="2"/>
  <c r="N1765" i="2"/>
  <c r="R1765" i="2"/>
  <c r="S1765" i="2" s="1"/>
  <c r="X1765" i="2"/>
  <c r="Y1765" i="2"/>
  <c r="F1766" i="2"/>
  <c r="G1766" i="2"/>
  <c r="M1766" i="2"/>
  <c r="N1766" i="2"/>
  <c r="R1766" i="2"/>
  <c r="S1766" i="2" s="1"/>
  <c r="X1766" i="2"/>
  <c r="Y1766" i="2"/>
  <c r="F1767" i="2"/>
  <c r="G1767" i="2"/>
  <c r="M1767" i="2"/>
  <c r="N1767" i="2"/>
  <c r="R1767" i="2"/>
  <c r="S1767" i="2" s="1"/>
  <c r="X1767" i="2"/>
  <c r="Y1767" i="2"/>
  <c r="F1768" i="2"/>
  <c r="G1768" i="2"/>
  <c r="M1768" i="2"/>
  <c r="N1768" i="2"/>
  <c r="R1768" i="2"/>
  <c r="S1768" i="2" s="1"/>
  <c r="X1768" i="2"/>
  <c r="Y1768" i="2"/>
  <c r="F1769" i="2"/>
  <c r="G1769" i="2"/>
  <c r="M1769" i="2"/>
  <c r="N1769" i="2"/>
  <c r="R1769" i="2"/>
  <c r="S1769" i="2" s="1"/>
  <c r="X1769" i="2"/>
  <c r="Y1769" i="2"/>
  <c r="F1770" i="2"/>
  <c r="G1770" i="2"/>
  <c r="M1770" i="2"/>
  <c r="N1770" i="2"/>
  <c r="R1770" i="2"/>
  <c r="S1770" i="2" s="1"/>
  <c r="X1770" i="2"/>
  <c r="Y1770" i="2"/>
  <c r="F1771" i="2"/>
  <c r="G1771" i="2"/>
  <c r="M1771" i="2"/>
  <c r="N1771" i="2"/>
  <c r="R1771" i="2"/>
  <c r="S1771" i="2" s="1"/>
  <c r="X1771" i="2"/>
  <c r="Y1771" i="2"/>
  <c r="F1772" i="2"/>
  <c r="G1772" i="2"/>
  <c r="M1772" i="2"/>
  <c r="N1772" i="2"/>
  <c r="R1772" i="2"/>
  <c r="S1772" i="2" s="1"/>
  <c r="X1772" i="2"/>
  <c r="Y1772" i="2"/>
  <c r="F1773" i="2"/>
  <c r="G1773" i="2"/>
  <c r="M1773" i="2"/>
  <c r="N1773" i="2"/>
  <c r="R1773" i="2"/>
  <c r="S1773" i="2" s="1"/>
  <c r="X1773" i="2"/>
  <c r="Y1773" i="2"/>
  <c r="F1774" i="2"/>
  <c r="G1774" i="2"/>
  <c r="M1774" i="2"/>
  <c r="N1774" i="2"/>
  <c r="R1774" i="2"/>
  <c r="S1774" i="2"/>
  <c r="X1774" i="2"/>
  <c r="Y1774" i="2"/>
  <c r="F1775" i="2"/>
  <c r="G1775" i="2"/>
  <c r="M1775" i="2"/>
  <c r="N1775" i="2"/>
  <c r="R1775" i="2"/>
  <c r="S1775" i="2" s="1"/>
  <c r="X1775" i="2"/>
  <c r="Y1775" i="2"/>
  <c r="F1776" i="2"/>
  <c r="G1776" i="2"/>
  <c r="M1776" i="2"/>
  <c r="N1776" i="2"/>
  <c r="R1776" i="2"/>
  <c r="S1776" i="2" s="1"/>
  <c r="X1776" i="2"/>
  <c r="Y1776" i="2"/>
  <c r="F1777" i="2"/>
  <c r="G1777" i="2"/>
  <c r="M1777" i="2"/>
  <c r="N1777" i="2"/>
  <c r="R1777" i="2"/>
  <c r="S1777" i="2" s="1"/>
  <c r="X1777" i="2"/>
  <c r="Y1777" i="2"/>
  <c r="F1778" i="2"/>
  <c r="G1778" i="2"/>
  <c r="M1778" i="2"/>
  <c r="N1778" i="2"/>
  <c r="R1778" i="2"/>
  <c r="S1778" i="2" s="1"/>
  <c r="X1778" i="2"/>
  <c r="Y1778" i="2"/>
  <c r="F1779" i="2"/>
  <c r="G1779" i="2"/>
  <c r="M1779" i="2"/>
  <c r="N1779" i="2"/>
  <c r="R1779" i="2"/>
  <c r="S1779" i="2" s="1"/>
  <c r="X1779" i="2"/>
  <c r="Y1779" i="2"/>
  <c r="F1780" i="2"/>
  <c r="G1780" i="2"/>
  <c r="M1780" i="2"/>
  <c r="N1780" i="2"/>
  <c r="R1780" i="2"/>
  <c r="S1780" i="2" s="1"/>
  <c r="X1780" i="2"/>
  <c r="Y1780" i="2"/>
  <c r="F1781" i="2"/>
  <c r="G1781" i="2"/>
  <c r="M1781" i="2"/>
  <c r="N1781" i="2"/>
  <c r="R1781" i="2"/>
  <c r="S1781" i="2" s="1"/>
  <c r="X1781" i="2"/>
  <c r="Y1781" i="2"/>
  <c r="F1782" i="2"/>
  <c r="G1782" i="2"/>
  <c r="M1782" i="2"/>
  <c r="N1782" i="2"/>
  <c r="R1782" i="2"/>
  <c r="S1782" i="2"/>
  <c r="X1782" i="2"/>
  <c r="Y1782" i="2"/>
  <c r="F1783" i="2"/>
  <c r="G1783" i="2"/>
  <c r="M1783" i="2"/>
  <c r="N1783" i="2"/>
  <c r="R1783" i="2"/>
  <c r="S1783" i="2" s="1"/>
  <c r="X1783" i="2"/>
  <c r="Y1783" i="2"/>
  <c r="F1784" i="2"/>
  <c r="G1784" i="2"/>
  <c r="M1784" i="2"/>
  <c r="N1784" i="2"/>
  <c r="R1784" i="2"/>
  <c r="S1784" i="2" s="1"/>
  <c r="X1784" i="2"/>
  <c r="Y1784" i="2"/>
  <c r="F1785" i="2"/>
  <c r="G1785" i="2"/>
  <c r="M1785" i="2"/>
  <c r="N1785" i="2"/>
  <c r="R1785" i="2"/>
  <c r="S1785" i="2" s="1"/>
  <c r="X1785" i="2"/>
  <c r="Y1785" i="2"/>
  <c r="F1786" i="2"/>
  <c r="G1786" i="2"/>
  <c r="M1786" i="2"/>
  <c r="N1786" i="2"/>
  <c r="R1786" i="2"/>
  <c r="S1786" i="2"/>
  <c r="X1786" i="2"/>
  <c r="Y1786" i="2"/>
  <c r="F1787" i="2"/>
  <c r="G1787" i="2"/>
  <c r="M1787" i="2"/>
  <c r="N1787" i="2"/>
  <c r="R1787" i="2"/>
  <c r="S1787" i="2" s="1"/>
  <c r="X1787" i="2"/>
  <c r="Y1787" i="2"/>
  <c r="F1788" i="2"/>
  <c r="G1788" i="2"/>
  <c r="M1788" i="2"/>
  <c r="N1788" i="2"/>
  <c r="R1788" i="2"/>
  <c r="S1788" i="2"/>
  <c r="X1788" i="2"/>
  <c r="Y1788" i="2"/>
  <c r="F1789" i="2"/>
  <c r="G1789" i="2"/>
  <c r="M1789" i="2"/>
  <c r="N1789" i="2"/>
  <c r="R1789" i="2"/>
  <c r="S1789" i="2" s="1"/>
  <c r="X1789" i="2"/>
  <c r="Y1789" i="2"/>
  <c r="F1790" i="2"/>
  <c r="G1790" i="2"/>
  <c r="M1790" i="2"/>
  <c r="N1790" i="2"/>
  <c r="R1790" i="2"/>
  <c r="S1790" i="2"/>
  <c r="X1790" i="2"/>
  <c r="Y1790" i="2"/>
  <c r="F1791" i="2"/>
  <c r="G1791" i="2"/>
  <c r="M1791" i="2"/>
  <c r="N1791" i="2"/>
  <c r="R1791" i="2"/>
  <c r="S1791" i="2"/>
  <c r="X1791" i="2"/>
  <c r="Y1791" i="2"/>
  <c r="F1792" i="2"/>
  <c r="G1792" i="2"/>
  <c r="M1792" i="2"/>
  <c r="N1792" i="2"/>
  <c r="R1792" i="2"/>
  <c r="S1792" i="2" s="1"/>
  <c r="X1792" i="2"/>
  <c r="Y1792" i="2"/>
  <c r="F1793" i="2"/>
  <c r="G1793" i="2"/>
  <c r="M1793" i="2"/>
  <c r="N1793" i="2"/>
  <c r="R1793" i="2"/>
  <c r="S1793" i="2" s="1"/>
  <c r="X1793" i="2"/>
  <c r="Y1793" i="2" s="1"/>
  <c r="F1794" i="2"/>
  <c r="G1794" i="2"/>
  <c r="M1794" i="2"/>
  <c r="N1794" i="2"/>
  <c r="R1794" i="2"/>
  <c r="S1794" i="2" s="1"/>
  <c r="X1794" i="2"/>
  <c r="Y1794" i="2"/>
  <c r="F1795" i="2"/>
  <c r="G1795" i="2"/>
  <c r="M1795" i="2"/>
  <c r="N1795" i="2"/>
  <c r="R1795" i="2"/>
  <c r="S1795" i="2" s="1"/>
  <c r="X1795" i="2"/>
  <c r="Y1795" i="2"/>
  <c r="F1796" i="2"/>
  <c r="G1796" i="2"/>
  <c r="M1796" i="2"/>
  <c r="N1796" i="2"/>
  <c r="R1796" i="2"/>
  <c r="S1796" i="2" s="1"/>
  <c r="X1796" i="2"/>
  <c r="Y1796" i="2"/>
  <c r="J1798" i="2"/>
  <c r="N1798" i="2" s="1"/>
  <c r="K1798" i="2"/>
  <c r="L1798" i="2"/>
  <c r="M1798" i="2"/>
  <c r="O1798" i="2"/>
  <c r="P1798" i="2"/>
  <c r="Q1798" i="2"/>
  <c r="U1798" i="2"/>
  <c r="V1798" i="2"/>
  <c r="W1798" i="2"/>
  <c r="X1798" i="2"/>
  <c r="Y1798" i="2"/>
  <c r="Z1798" i="2"/>
  <c r="AA1798" i="2"/>
  <c r="AB1798" i="2"/>
  <c r="E1800" i="2"/>
  <c r="G1800" i="2"/>
  <c r="F1802" i="2"/>
  <c r="G1802" i="2"/>
  <c r="M1802" i="2"/>
  <c r="N1802" i="2"/>
  <c r="R1802" i="2"/>
  <c r="S1802" i="2" s="1"/>
  <c r="X1802" i="2"/>
  <c r="Y1802" i="2"/>
  <c r="F1803" i="2"/>
  <c r="G1803" i="2"/>
  <c r="M1803" i="2"/>
  <c r="N1803" i="2"/>
  <c r="R1803" i="2"/>
  <c r="S1803" i="2" s="1"/>
  <c r="X1803" i="2"/>
  <c r="Y1803" i="2"/>
  <c r="F1804" i="2"/>
  <c r="G1804" i="2"/>
  <c r="M1804" i="2"/>
  <c r="N1804" i="2" s="1"/>
  <c r="R1804" i="2"/>
  <c r="S1804" i="2" s="1"/>
  <c r="X1804" i="2"/>
  <c r="Y1804" i="2"/>
  <c r="F1805" i="2"/>
  <c r="G1805" i="2"/>
  <c r="M1805" i="2"/>
  <c r="N1805" i="2"/>
  <c r="R1805" i="2"/>
  <c r="S1805" i="2" s="1"/>
  <c r="X1805" i="2"/>
  <c r="Y1805" i="2"/>
  <c r="F1806" i="2"/>
  <c r="G1806" i="2"/>
  <c r="M1806" i="2"/>
  <c r="N1806" i="2" s="1"/>
  <c r="R1806" i="2"/>
  <c r="S1806" i="2"/>
  <c r="X1806" i="2"/>
  <c r="Y1806" i="2"/>
  <c r="F1807" i="2"/>
  <c r="G1807" i="2"/>
  <c r="M1807" i="2"/>
  <c r="N1807" i="2" s="1"/>
  <c r="R1807" i="2"/>
  <c r="S1807" i="2"/>
  <c r="X1807" i="2"/>
  <c r="Y1807" i="2"/>
  <c r="F1808" i="2"/>
  <c r="G1808" i="2"/>
  <c r="M1808" i="2"/>
  <c r="N1808" i="2" s="1"/>
  <c r="R1808" i="2"/>
  <c r="S1808" i="2"/>
  <c r="X1808" i="2"/>
  <c r="Y1808" i="2"/>
  <c r="F1809" i="2"/>
  <c r="G1809" i="2"/>
  <c r="M1809" i="2"/>
  <c r="N1809" i="2" s="1"/>
  <c r="R1809" i="2"/>
  <c r="S1809" i="2"/>
  <c r="X1809" i="2"/>
  <c r="Y1809" i="2"/>
  <c r="F1810" i="2"/>
  <c r="G1810" i="2"/>
  <c r="M1810" i="2"/>
  <c r="N1810" i="2"/>
  <c r="R1810" i="2"/>
  <c r="S1810" i="2" s="1"/>
  <c r="X1810" i="2"/>
  <c r="Y1810" i="2"/>
  <c r="F1811" i="2"/>
  <c r="G1811" i="2"/>
  <c r="M1811" i="2"/>
  <c r="N1811" i="2"/>
  <c r="R1811" i="2"/>
  <c r="S1811" i="2" s="1"/>
  <c r="X1811" i="2"/>
  <c r="Y1811" i="2"/>
  <c r="F1812" i="2"/>
  <c r="G1812" i="2"/>
  <c r="M1812" i="2"/>
  <c r="N1812" i="2"/>
  <c r="R1812" i="2"/>
  <c r="S1812" i="2" s="1"/>
  <c r="X1812" i="2"/>
  <c r="Y1812" i="2"/>
  <c r="F1813" i="2"/>
  <c r="G1813" i="2"/>
  <c r="M1813" i="2"/>
  <c r="N1813" i="2" s="1"/>
  <c r="R1813" i="2"/>
  <c r="S1813" i="2"/>
  <c r="X1813" i="2"/>
  <c r="Y1813" i="2"/>
  <c r="F1814" i="2"/>
  <c r="G1814" i="2"/>
  <c r="M1814" i="2"/>
  <c r="N1814" i="2" s="1"/>
  <c r="R1814" i="2"/>
  <c r="S1814" i="2" s="1"/>
  <c r="X1814" i="2"/>
  <c r="Y1814" i="2"/>
  <c r="F1815" i="2"/>
  <c r="G1815" i="2"/>
  <c r="M1815" i="2"/>
  <c r="N1815" i="2"/>
  <c r="R1815" i="2"/>
  <c r="S1815" i="2" s="1"/>
  <c r="X1815" i="2"/>
  <c r="Y1815" i="2"/>
  <c r="F1816" i="2"/>
  <c r="G1816" i="2"/>
  <c r="M1816" i="2"/>
  <c r="N1816" i="2"/>
  <c r="R1816" i="2"/>
  <c r="S1816" i="2" s="1"/>
  <c r="X1816" i="2"/>
  <c r="Y1816" i="2"/>
  <c r="F1817" i="2"/>
  <c r="G1817" i="2"/>
  <c r="M1817" i="2"/>
  <c r="N1817" i="2"/>
  <c r="R1817" i="2"/>
  <c r="S1817" i="2" s="1"/>
  <c r="X1817" i="2"/>
  <c r="Y1817" i="2"/>
  <c r="F1818" i="2"/>
  <c r="G1818" i="2"/>
  <c r="M1818" i="2"/>
  <c r="N1818" i="2"/>
  <c r="R1818" i="2"/>
  <c r="S1818" i="2"/>
  <c r="X1818" i="2"/>
  <c r="Y1818" i="2"/>
  <c r="F1819" i="2"/>
  <c r="G1819" i="2"/>
  <c r="M1819" i="2"/>
  <c r="N1819" i="2"/>
  <c r="R1819" i="2"/>
  <c r="S1819" i="2" s="1"/>
  <c r="X1819" i="2"/>
  <c r="Y1819" i="2"/>
  <c r="F1820" i="2"/>
  <c r="G1820" i="2"/>
  <c r="M1820" i="2"/>
  <c r="N1820" i="2" s="1"/>
  <c r="R1820" i="2"/>
  <c r="S1820" i="2" s="1"/>
  <c r="X1820" i="2"/>
  <c r="Y1820" i="2"/>
  <c r="F1821" i="2"/>
  <c r="G1821" i="2"/>
  <c r="M1821" i="2"/>
  <c r="N1821" i="2"/>
  <c r="R1821" i="2"/>
  <c r="S1821" i="2" s="1"/>
  <c r="X1821" i="2"/>
  <c r="Y1821" i="2"/>
  <c r="F1822" i="2"/>
  <c r="G1822" i="2"/>
  <c r="M1822" i="2"/>
  <c r="N1822" i="2" s="1"/>
  <c r="R1822" i="2"/>
  <c r="S1822" i="2" s="1"/>
  <c r="X1822" i="2"/>
  <c r="Y1822" i="2"/>
  <c r="F1823" i="2"/>
  <c r="G1823" i="2"/>
  <c r="M1823" i="2"/>
  <c r="N1823" i="2" s="1"/>
  <c r="R1823" i="2"/>
  <c r="S1823" i="2"/>
  <c r="X1823" i="2"/>
  <c r="Y1823" i="2"/>
  <c r="F1824" i="2"/>
  <c r="G1824" i="2"/>
  <c r="M1824" i="2"/>
  <c r="N1824" i="2" s="1"/>
  <c r="R1824" i="2"/>
  <c r="S1824" i="2" s="1"/>
  <c r="X1824" i="2"/>
  <c r="Y1824" i="2"/>
  <c r="F1825" i="2"/>
  <c r="G1825" i="2"/>
  <c r="M1825" i="2"/>
  <c r="N1825" i="2"/>
  <c r="R1825" i="2"/>
  <c r="S1825" i="2" s="1"/>
  <c r="X1825" i="2"/>
  <c r="Y1825" i="2"/>
  <c r="F1826" i="2"/>
  <c r="G1826" i="2"/>
  <c r="M1826" i="2"/>
  <c r="N1826" i="2"/>
  <c r="R1826" i="2"/>
  <c r="S1826" i="2" s="1"/>
  <c r="X1826" i="2"/>
  <c r="Y1826" i="2"/>
  <c r="F1827" i="2"/>
  <c r="G1827" i="2"/>
  <c r="M1827" i="2"/>
  <c r="N1827" i="2" s="1"/>
  <c r="R1827" i="2"/>
  <c r="S1827" i="2" s="1"/>
  <c r="X1827" i="2"/>
  <c r="Y1827" i="2"/>
  <c r="F1828" i="2"/>
  <c r="G1828" i="2"/>
  <c r="M1828" i="2"/>
  <c r="N1828" i="2"/>
  <c r="R1828" i="2"/>
  <c r="S1828" i="2"/>
  <c r="X1828" i="2"/>
  <c r="Y1828" i="2"/>
  <c r="F1829" i="2"/>
  <c r="G1829" i="2"/>
  <c r="M1829" i="2"/>
  <c r="N1829" i="2"/>
  <c r="R1829" i="2"/>
  <c r="S1829" i="2"/>
  <c r="X1829" i="2"/>
  <c r="Y1829" i="2"/>
  <c r="F1830" i="2"/>
  <c r="G1830" i="2"/>
  <c r="M1830" i="2"/>
  <c r="N1830" i="2"/>
  <c r="R1830" i="2"/>
  <c r="S1830" i="2"/>
  <c r="X1830" i="2"/>
  <c r="Y1830" i="2"/>
  <c r="F1831" i="2"/>
  <c r="G1831" i="2"/>
  <c r="M1831" i="2"/>
  <c r="N1831" i="2"/>
  <c r="R1831" i="2"/>
  <c r="S1831" i="2"/>
  <c r="X1831" i="2"/>
  <c r="Y1831" i="2"/>
  <c r="F1832" i="2"/>
  <c r="G1832" i="2"/>
  <c r="M1832" i="2"/>
  <c r="N1832" i="2"/>
  <c r="R1832" i="2"/>
  <c r="S1832" i="2" s="1"/>
  <c r="X1832" i="2"/>
  <c r="Y1832" i="2"/>
  <c r="F1833" i="2"/>
  <c r="G1833" i="2"/>
  <c r="M1833" i="2"/>
  <c r="N1833" i="2" s="1"/>
  <c r="R1833" i="2"/>
  <c r="S1833" i="2"/>
  <c r="X1833" i="2"/>
  <c r="Y1833" i="2"/>
  <c r="J1835" i="2"/>
  <c r="K1835" i="2"/>
  <c r="L1835" i="2"/>
  <c r="O1835" i="2"/>
  <c r="P1835" i="2"/>
  <c r="Q1835" i="2"/>
  <c r="R1835" i="2"/>
  <c r="S1835" i="2"/>
  <c r="U1835" i="2"/>
  <c r="X1835" i="2" s="1"/>
  <c r="V1835" i="2"/>
  <c r="W1835" i="2"/>
  <c r="Z1835" i="2"/>
  <c r="AA1835" i="2"/>
  <c r="AB1835" i="2"/>
  <c r="E1837" i="2"/>
  <c r="G1837" i="2"/>
  <c r="F1839" i="2"/>
  <c r="G1839" i="2"/>
  <c r="M1839" i="2"/>
  <c r="N1839" i="2"/>
  <c r="R1839" i="2"/>
  <c r="S1839" i="2"/>
  <c r="X1839" i="2"/>
  <c r="Y1839" i="2"/>
  <c r="F1840" i="2"/>
  <c r="G1840" i="2"/>
  <c r="M1840" i="2"/>
  <c r="N1840" i="2"/>
  <c r="R1840" i="2"/>
  <c r="S1840" i="2"/>
  <c r="X1840" i="2"/>
  <c r="Y1840" i="2"/>
  <c r="F1841" i="2"/>
  <c r="G1841" i="2"/>
  <c r="M1841" i="2"/>
  <c r="N1841" i="2"/>
  <c r="R1841" i="2"/>
  <c r="S1841" i="2"/>
  <c r="X1841" i="2"/>
  <c r="Y1841" i="2"/>
  <c r="F1842" i="2"/>
  <c r="G1842" i="2"/>
  <c r="M1842" i="2"/>
  <c r="N1842" i="2"/>
  <c r="R1842" i="2"/>
  <c r="S1842" i="2"/>
  <c r="X1842" i="2"/>
  <c r="Y1842" i="2"/>
  <c r="F1843" i="2"/>
  <c r="G1843" i="2"/>
  <c r="M1843" i="2"/>
  <c r="N1843" i="2"/>
  <c r="R1843" i="2"/>
  <c r="S1843" i="2"/>
  <c r="X1843" i="2"/>
  <c r="Y1843" i="2"/>
  <c r="F1844" i="2"/>
  <c r="G1844" i="2"/>
  <c r="M1844" i="2"/>
  <c r="N1844" i="2"/>
  <c r="R1844" i="2"/>
  <c r="S1844" i="2"/>
  <c r="X1844" i="2"/>
  <c r="Y1844" i="2"/>
  <c r="F1845" i="2"/>
  <c r="G1845" i="2"/>
  <c r="M1845" i="2"/>
  <c r="N1845" i="2"/>
  <c r="R1845" i="2"/>
  <c r="S1845" i="2"/>
  <c r="X1845" i="2"/>
  <c r="Y1845" i="2"/>
  <c r="F1846" i="2"/>
  <c r="G1846" i="2"/>
  <c r="M1846" i="2"/>
  <c r="N1846" i="2"/>
  <c r="R1846" i="2"/>
  <c r="S1846" i="2"/>
  <c r="X1846" i="2"/>
  <c r="Y1846" i="2"/>
  <c r="F1847" i="2"/>
  <c r="G1847" i="2"/>
  <c r="M1847" i="2"/>
  <c r="N1847" i="2"/>
  <c r="R1847" i="2"/>
  <c r="S1847" i="2"/>
  <c r="X1847" i="2"/>
  <c r="Y1847" i="2"/>
  <c r="F1848" i="2"/>
  <c r="G1848" i="2"/>
  <c r="M1848" i="2"/>
  <c r="N1848" i="2"/>
  <c r="R1848" i="2"/>
  <c r="S1848" i="2"/>
  <c r="X1848" i="2"/>
  <c r="Y1848" i="2"/>
  <c r="F1849" i="2"/>
  <c r="G1849" i="2"/>
  <c r="M1849" i="2"/>
  <c r="N1849" i="2"/>
  <c r="R1849" i="2"/>
  <c r="S1849" i="2"/>
  <c r="X1849" i="2"/>
  <c r="Y1849" i="2"/>
  <c r="J1851" i="2"/>
  <c r="K1851" i="2"/>
  <c r="L1851" i="2"/>
  <c r="M1851" i="2"/>
  <c r="N1851" i="2"/>
  <c r="O1851" i="2"/>
  <c r="R1851" i="2" s="1"/>
  <c r="P1851" i="2"/>
  <c r="Q1851" i="2"/>
  <c r="U1851" i="2"/>
  <c r="X1851" i="2" s="1"/>
  <c r="V1851" i="2"/>
  <c r="W1851" i="2"/>
  <c r="Z1851" i="2"/>
  <c r="AA1851" i="2"/>
  <c r="AB1851" i="2"/>
  <c r="E1853" i="2"/>
  <c r="G1853" i="2"/>
  <c r="F1855" i="2"/>
  <c r="G1855" i="2"/>
  <c r="M1855" i="2"/>
  <c r="N1855" i="2"/>
  <c r="R1855" i="2"/>
  <c r="S1855" i="2" s="1"/>
  <c r="X1855" i="2"/>
  <c r="Y1855" i="2"/>
  <c r="F1856" i="2"/>
  <c r="G1856" i="2"/>
  <c r="M1856" i="2"/>
  <c r="N1856" i="2"/>
  <c r="R1856" i="2"/>
  <c r="S1856" i="2" s="1"/>
  <c r="X1856" i="2"/>
  <c r="Y1856" i="2" s="1"/>
  <c r="F1857" i="2"/>
  <c r="G1857" i="2"/>
  <c r="M1857" i="2"/>
  <c r="N1857" i="2"/>
  <c r="R1857" i="2"/>
  <c r="S1857" i="2" s="1"/>
  <c r="X1857" i="2"/>
  <c r="Y1857" i="2"/>
  <c r="F1858" i="2"/>
  <c r="G1858" i="2"/>
  <c r="M1858" i="2"/>
  <c r="N1858" i="2"/>
  <c r="R1858" i="2"/>
  <c r="S1858" i="2" s="1"/>
  <c r="X1858" i="2"/>
  <c r="Y1858" i="2" s="1"/>
  <c r="F1859" i="2"/>
  <c r="G1859" i="2"/>
  <c r="M1859" i="2"/>
  <c r="N1859" i="2"/>
  <c r="R1859" i="2"/>
  <c r="S1859" i="2" s="1"/>
  <c r="X1859" i="2"/>
  <c r="Y1859" i="2" s="1"/>
  <c r="F1860" i="2"/>
  <c r="G1860" i="2"/>
  <c r="M1860" i="2"/>
  <c r="N1860" i="2"/>
  <c r="R1860" i="2"/>
  <c r="S1860" i="2" s="1"/>
  <c r="X1860" i="2"/>
  <c r="Y1860" i="2"/>
  <c r="F1861" i="2"/>
  <c r="G1861" i="2"/>
  <c r="M1861" i="2"/>
  <c r="N1861" i="2"/>
  <c r="R1861" i="2"/>
  <c r="S1861" i="2"/>
  <c r="X1861" i="2"/>
  <c r="Y1861" i="2"/>
  <c r="F1862" i="2"/>
  <c r="G1862" i="2"/>
  <c r="M1862" i="2"/>
  <c r="N1862" i="2"/>
  <c r="R1862" i="2"/>
  <c r="S1862" i="2" s="1"/>
  <c r="X1862" i="2"/>
  <c r="Y1862" i="2"/>
  <c r="F1863" i="2"/>
  <c r="G1863" i="2"/>
  <c r="M1863" i="2"/>
  <c r="N1863" i="2"/>
  <c r="R1863" i="2"/>
  <c r="S1863" i="2" s="1"/>
  <c r="X1863" i="2"/>
  <c r="Y1863" i="2" s="1"/>
  <c r="F1864" i="2"/>
  <c r="G1864" i="2"/>
  <c r="M1864" i="2"/>
  <c r="N1864" i="2"/>
  <c r="R1864" i="2"/>
  <c r="S1864" i="2" s="1"/>
  <c r="X1864" i="2"/>
  <c r="Y1864" i="2"/>
  <c r="F1865" i="2"/>
  <c r="G1865" i="2"/>
  <c r="M1865" i="2"/>
  <c r="N1865" i="2"/>
  <c r="R1865" i="2"/>
  <c r="S1865" i="2" s="1"/>
  <c r="X1865" i="2"/>
  <c r="Y1865" i="2" s="1"/>
  <c r="F1866" i="2"/>
  <c r="G1866" i="2"/>
  <c r="M1866" i="2"/>
  <c r="N1866" i="2"/>
  <c r="R1866" i="2"/>
  <c r="S1866" i="2"/>
  <c r="X1866" i="2"/>
  <c r="Y1866" i="2" s="1"/>
  <c r="F1867" i="2"/>
  <c r="G1867" i="2"/>
  <c r="M1867" i="2"/>
  <c r="N1867" i="2"/>
  <c r="R1867" i="2"/>
  <c r="S1867" i="2" s="1"/>
  <c r="X1867" i="2"/>
  <c r="Y1867" i="2" s="1"/>
  <c r="F1868" i="2"/>
  <c r="G1868" i="2"/>
  <c r="M1868" i="2"/>
  <c r="N1868" i="2"/>
  <c r="R1868" i="2"/>
  <c r="S1868" i="2"/>
  <c r="X1868" i="2"/>
  <c r="Y1868" i="2" s="1"/>
  <c r="F1869" i="2"/>
  <c r="G1869" i="2"/>
  <c r="M1869" i="2"/>
  <c r="N1869" i="2"/>
  <c r="R1869" i="2"/>
  <c r="S1869" i="2" s="1"/>
  <c r="X1869" i="2"/>
  <c r="Y1869" i="2" s="1"/>
  <c r="F1870" i="2"/>
  <c r="G1870" i="2"/>
  <c r="M1870" i="2"/>
  <c r="N1870" i="2"/>
  <c r="R1870" i="2"/>
  <c r="S1870" i="2"/>
  <c r="X1870" i="2"/>
  <c r="Y1870" i="2" s="1"/>
  <c r="F1871" i="2"/>
  <c r="G1871" i="2"/>
  <c r="M1871" i="2"/>
  <c r="N1871" i="2"/>
  <c r="R1871" i="2"/>
  <c r="S1871" i="2"/>
  <c r="X1871" i="2"/>
  <c r="Y1871" i="2"/>
  <c r="F1872" i="2"/>
  <c r="G1872" i="2"/>
  <c r="M1872" i="2"/>
  <c r="N1872" i="2"/>
  <c r="R1872" i="2"/>
  <c r="S1872" i="2" s="1"/>
  <c r="X1872" i="2"/>
  <c r="Y1872" i="2" s="1"/>
  <c r="F1873" i="2"/>
  <c r="G1873" i="2"/>
  <c r="M1873" i="2"/>
  <c r="N1873" i="2"/>
  <c r="R1873" i="2"/>
  <c r="S1873" i="2" s="1"/>
  <c r="X1873" i="2"/>
  <c r="Y1873" i="2" s="1"/>
  <c r="F1874" i="2"/>
  <c r="G1874" i="2"/>
  <c r="M1874" i="2"/>
  <c r="N1874" i="2"/>
  <c r="R1874" i="2"/>
  <c r="S1874" i="2"/>
  <c r="X1874" i="2"/>
  <c r="Y1874" i="2"/>
  <c r="F1875" i="2"/>
  <c r="G1875" i="2"/>
  <c r="M1875" i="2"/>
  <c r="N1875" i="2"/>
  <c r="R1875" i="2"/>
  <c r="S1875" i="2" s="1"/>
  <c r="X1875" i="2"/>
  <c r="Y1875" i="2" s="1"/>
  <c r="F1876" i="2"/>
  <c r="G1876" i="2"/>
  <c r="M1876" i="2"/>
  <c r="N1876" i="2"/>
  <c r="R1876" i="2"/>
  <c r="S1876" i="2" s="1"/>
  <c r="X1876" i="2"/>
  <c r="Y1876" i="2" s="1"/>
  <c r="F1877" i="2"/>
  <c r="G1877" i="2"/>
  <c r="M1877" i="2"/>
  <c r="N1877" i="2"/>
  <c r="R1877" i="2"/>
  <c r="S1877" i="2" s="1"/>
  <c r="X1877" i="2"/>
  <c r="Y1877" i="2"/>
  <c r="F1878" i="2"/>
  <c r="G1878" i="2"/>
  <c r="M1878" i="2"/>
  <c r="N1878" i="2"/>
  <c r="R1878" i="2"/>
  <c r="S1878" i="2" s="1"/>
  <c r="X1878" i="2"/>
  <c r="Y1878" i="2"/>
  <c r="F1879" i="2"/>
  <c r="G1879" i="2"/>
  <c r="M1879" i="2"/>
  <c r="N1879" i="2"/>
  <c r="R1879" i="2"/>
  <c r="S1879" i="2" s="1"/>
  <c r="X1879" i="2"/>
  <c r="Y1879" i="2" s="1"/>
  <c r="F1880" i="2"/>
  <c r="G1880" i="2"/>
  <c r="M1880" i="2"/>
  <c r="N1880" i="2"/>
  <c r="R1880" i="2"/>
  <c r="S1880" i="2"/>
  <c r="X1880" i="2"/>
  <c r="Y1880" i="2" s="1"/>
  <c r="F1881" i="2"/>
  <c r="G1881" i="2"/>
  <c r="M1881" i="2"/>
  <c r="N1881" i="2"/>
  <c r="R1881" i="2"/>
  <c r="S1881" i="2"/>
  <c r="X1881" i="2"/>
  <c r="Y1881" i="2"/>
  <c r="F1882" i="2"/>
  <c r="G1882" i="2"/>
  <c r="M1882" i="2"/>
  <c r="N1882" i="2"/>
  <c r="R1882" i="2"/>
  <c r="S1882" i="2" s="1"/>
  <c r="X1882" i="2"/>
  <c r="Y1882" i="2"/>
  <c r="F1883" i="2"/>
  <c r="G1883" i="2"/>
  <c r="M1883" i="2"/>
  <c r="N1883" i="2"/>
  <c r="R1883" i="2"/>
  <c r="S1883" i="2" s="1"/>
  <c r="X1883" i="2"/>
  <c r="Y1883" i="2" s="1"/>
  <c r="F1884" i="2"/>
  <c r="G1884" i="2"/>
  <c r="M1884" i="2"/>
  <c r="N1884" i="2"/>
  <c r="R1884" i="2"/>
  <c r="S1884" i="2" s="1"/>
  <c r="X1884" i="2"/>
  <c r="Y1884" i="2"/>
  <c r="F1885" i="2"/>
  <c r="G1885" i="2"/>
  <c r="M1885" i="2"/>
  <c r="N1885" i="2"/>
  <c r="R1885" i="2"/>
  <c r="S1885" i="2" s="1"/>
  <c r="X1885" i="2"/>
  <c r="Y1885" i="2"/>
  <c r="F1886" i="2"/>
  <c r="G1886" i="2"/>
  <c r="M1886" i="2"/>
  <c r="N1886" i="2"/>
  <c r="R1886" i="2"/>
  <c r="S1886" i="2" s="1"/>
  <c r="X1886" i="2"/>
  <c r="Y1886" i="2" s="1"/>
  <c r="F1887" i="2"/>
  <c r="G1887" i="2"/>
  <c r="M1887" i="2"/>
  <c r="N1887" i="2"/>
  <c r="R1887" i="2"/>
  <c r="S1887" i="2" s="1"/>
  <c r="X1887" i="2"/>
  <c r="Y1887" i="2"/>
  <c r="F1888" i="2"/>
  <c r="G1888" i="2"/>
  <c r="M1888" i="2"/>
  <c r="N1888" i="2"/>
  <c r="R1888" i="2"/>
  <c r="S1888" i="2" s="1"/>
  <c r="X1888" i="2"/>
  <c r="Y1888" i="2"/>
  <c r="F1889" i="2"/>
  <c r="G1889" i="2"/>
  <c r="M1889" i="2"/>
  <c r="N1889" i="2"/>
  <c r="R1889" i="2"/>
  <c r="S1889" i="2" s="1"/>
  <c r="X1889" i="2"/>
  <c r="Y1889" i="2"/>
  <c r="F1890" i="2"/>
  <c r="G1890" i="2"/>
  <c r="M1890" i="2"/>
  <c r="N1890" i="2"/>
  <c r="R1890" i="2"/>
  <c r="S1890" i="2"/>
  <c r="X1890" i="2"/>
  <c r="Y1890" i="2" s="1"/>
  <c r="F1891" i="2"/>
  <c r="G1891" i="2"/>
  <c r="M1891" i="2"/>
  <c r="N1891" i="2"/>
  <c r="R1891" i="2"/>
  <c r="S1891" i="2"/>
  <c r="X1891" i="2"/>
  <c r="Y1891" i="2" s="1"/>
  <c r="F1892" i="2"/>
  <c r="G1892" i="2"/>
  <c r="M1892" i="2"/>
  <c r="N1892" i="2"/>
  <c r="R1892" i="2"/>
  <c r="S1892" i="2"/>
  <c r="X1892" i="2"/>
  <c r="Y1892" i="2" s="1"/>
  <c r="F1893" i="2"/>
  <c r="G1893" i="2"/>
  <c r="M1893" i="2"/>
  <c r="N1893" i="2"/>
  <c r="R1893" i="2"/>
  <c r="S1893" i="2" s="1"/>
  <c r="X1893" i="2"/>
  <c r="Y1893" i="2" s="1"/>
  <c r="F1894" i="2"/>
  <c r="G1894" i="2"/>
  <c r="M1894" i="2"/>
  <c r="N1894" i="2"/>
  <c r="R1894" i="2"/>
  <c r="S1894" i="2" s="1"/>
  <c r="X1894" i="2"/>
  <c r="Y1894" i="2"/>
  <c r="F1895" i="2"/>
  <c r="G1895" i="2"/>
  <c r="M1895" i="2"/>
  <c r="N1895" i="2"/>
  <c r="R1895" i="2"/>
  <c r="S1895" i="2" s="1"/>
  <c r="X1895" i="2"/>
  <c r="Y1895" i="2" s="1"/>
  <c r="F1896" i="2"/>
  <c r="G1896" i="2"/>
  <c r="M1896" i="2"/>
  <c r="N1896" i="2"/>
  <c r="R1896" i="2"/>
  <c r="S1896" i="2" s="1"/>
  <c r="X1896" i="2"/>
  <c r="Y1896" i="2" s="1"/>
  <c r="F1897" i="2"/>
  <c r="G1897" i="2"/>
  <c r="M1897" i="2"/>
  <c r="N1897" i="2"/>
  <c r="R1897" i="2"/>
  <c r="S1897" i="2" s="1"/>
  <c r="X1897" i="2"/>
  <c r="Y1897" i="2"/>
  <c r="F1898" i="2"/>
  <c r="G1898" i="2"/>
  <c r="M1898" i="2"/>
  <c r="N1898" i="2"/>
  <c r="R1898" i="2"/>
  <c r="S1898" i="2"/>
  <c r="X1898" i="2"/>
  <c r="Y1898" i="2" s="1"/>
  <c r="F1899" i="2"/>
  <c r="G1899" i="2"/>
  <c r="M1899" i="2"/>
  <c r="N1899" i="2"/>
  <c r="R1899" i="2"/>
  <c r="S1899" i="2" s="1"/>
  <c r="X1899" i="2"/>
  <c r="Y1899" i="2"/>
  <c r="F1900" i="2"/>
  <c r="G1900" i="2"/>
  <c r="M1900" i="2"/>
  <c r="N1900" i="2"/>
  <c r="R1900" i="2"/>
  <c r="S1900" i="2" s="1"/>
  <c r="X1900" i="2"/>
  <c r="Y1900" i="2"/>
  <c r="F1901" i="2"/>
  <c r="G1901" i="2"/>
  <c r="M1901" i="2"/>
  <c r="N1901" i="2"/>
  <c r="R1901" i="2"/>
  <c r="S1901" i="2" s="1"/>
  <c r="X1901" i="2"/>
  <c r="Y1901" i="2"/>
  <c r="F1902" i="2"/>
  <c r="G1902" i="2"/>
  <c r="M1902" i="2"/>
  <c r="N1902" i="2"/>
  <c r="R1902" i="2"/>
  <c r="S1902" i="2"/>
  <c r="X1902" i="2"/>
  <c r="Y1902" i="2"/>
  <c r="F1903" i="2"/>
  <c r="G1903" i="2"/>
  <c r="M1903" i="2"/>
  <c r="N1903" i="2"/>
  <c r="R1903" i="2"/>
  <c r="S1903" i="2" s="1"/>
  <c r="X1903" i="2"/>
  <c r="Y1903" i="2"/>
  <c r="F1904" i="2"/>
  <c r="G1904" i="2"/>
  <c r="M1904" i="2"/>
  <c r="N1904" i="2"/>
  <c r="R1904" i="2"/>
  <c r="S1904" i="2"/>
  <c r="X1904" i="2"/>
  <c r="Y1904" i="2"/>
  <c r="F1905" i="2"/>
  <c r="G1905" i="2"/>
  <c r="M1905" i="2"/>
  <c r="N1905" i="2"/>
  <c r="R1905" i="2"/>
  <c r="S1905" i="2" s="1"/>
  <c r="X1905" i="2"/>
  <c r="Y1905" i="2" s="1"/>
  <c r="F1906" i="2"/>
  <c r="G1906" i="2"/>
  <c r="M1906" i="2"/>
  <c r="N1906" i="2"/>
  <c r="R1906" i="2"/>
  <c r="S1906" i="2" s="1"/>
  <c r="X1906" i="2"/>
  <c r="Y1906" i="2" s="1"/>
  <c r="F1907" i="2"/>
  <c r="G1907" i="2"/>
  <c r="M1907" i="2"/>
  <c r="N1907" i="2"/>
  <c r="R1907" i="2"/>
  <c r="S1907" i="2" s="1"/>
  <c r="X1907" i="2"/>
  <c r="Y1907" i="2"/>
  <c r="F1908" i="2"/>
  <c r="G1908" i="2"/>
  <c r="M1908" i="2"/>
  <c r="N1908" i="2"/>
  <c r="R1908" i="2"/>
  <c r="S1908" i="2" s="1"/>
  <c r="X1908" i="2"/>
  <c r="Y1908" i="2"/>
  <c r="F1909" i="2"/>
  <c r="G1909" i="2"/>
  <c r="M1909" i="2"/>
  <c r="N1909" i="2"/>
  <c r="R1909" i="2"/>
  <c r="S1909" i="2" s="1"/>
  <c r="X1909" i="2"/>
  <c r="Y1909" i="2" s="1"/>
  <c r="F1910" i="2"/>
  <c r="G1910" i="2"/>
  <c r="M1910" i="2"/>
  <c r="N1910" i="2"/>
  <c r="R1910" i="2"/>
  <c r="S1910" i="2"/>
  <c r="X1910" i="2"/>
  <c r="Y1910" i="2"/>
  <c r="F1911" i="2"/>
  <c r="G1911" i="2"/>
  <c r="M1911" i="2"/>
  <c r="N1911" i="2"/>
  <c r="R1911" i="2"/>
  <c r="S1911" i="2"/>
  <c r="X1911" i="2"/>
  <c r="Y1911" i="2"/>
  <c r="F1912" i="2"/>
  <c r="G1912" i="2"/>
  <c r="M1912" i="2"/>
  <c r="N1912" i="2"/>
  <c r="R1912" i="2"/>
  <c r="S1912" i="2" s="1"/>
  <c r="X1912" i="2"/>
  <c r="Y1912" i="2" s="1"/>
  <c r="F1913" i="2"/>
  <c r="G1913" i="2"/>
  <c r="M1913" i="2"/>
  <c r="N1913" i="2"/>
  <c r="R1913" i="2"/>
  <c r="S1913" i="2" s="1"/>
  <c r="X1913" i="2"/>
  <c r="Y1913" i="2"/>
  <c r="F1914" i="2"/>
  <c r="G1914" i="2"/>
  <c r="M1914" i="2"/>
  <c r="N1914" i="2"/>
  <c r="R1914" i="2"/>
  <c r="S1914" i="2"/>
  <c r="X1914" i="2"/>
  <c r="Y1914" i="2"/>
  <c r="F1915" i="2"/>
  <c r="G1915" i="2"/>
  <c r="M1915" i="2"/>
  <c r="N1915" i="2"/>
  <c r="R1915" i="2"/>
  <c r="S1915" i="2" s="1"/>
  <c r="X1915" i="2"/>
  <c r="Y1915" i="2"/>
  <c r="J1917" i="2"/>
  <c r="M1917" i="2" s="1"/>
  <c r="K1917" i="2"/>
  <c r="L1917" i="2"/>
  <c r="O1917" i="2"/>
  <c r="R1917" i="2" s="1"/>
  <c r="P1917" i="2"/>
  <c r="Q1917" i="2"/>
  <c r="U1917" i="2"/>
  <c r="X1917" i="2" s="1"/>
  <c r="V1917" i="2"/>
  <c r="W1917" i="2"/>
  <c r="Z1917" i="2"/>
  <c r="AA1917" i="2"/>
  <c r="AB1917" i="2"/>
  <c r="E1919" i="2"/>
  <c r="G1919" i="2"/>
  <c r="F1921" i="2"/>
  <c r="G1921" i="2"/>
  <c r="M1921" i="2"/>
  <c r="N1921" i="2"/>
  <c r="R1921" i="2"/>
  <c r="S1921" i="2" s="1"/>
  <c r="X1921" i="2"/>
  <c r="Y1921" i="2"/>
  <c r="F1922" i="2"/>
  <c r="G1922" i="2"/>
  <c r="M1922" i="2"/>
  <c r="N1922" i="2"/>
  <c r="R1922" i="2"/>
  <c r="S1922" i="2"/>
  <c r="X1922" i="2"/>
  <c r="Y1922" i="2" s="1"/>
  <c r="F1923" i="2"/>
  <c r="G1923" i="2"/>
  <c r="M1923" i="2"/>
  <c r="N1923" i="2"/>
  <c r="R1923" i="2"/>
  <c r="S1923" i="2" s="1"/>
  <c r="X1923" i="2"/>
  <c r="Y1923" i="2"/>
  <c r="F1924" i="2"/>
  <c r="G1924" i="2"/>
  <c r="M1924" i="2"/>
  <c r="N1924" i="2"/>
  <c r="R1924" i="2"/>
  <c r="S1924" i="2"/>
  <c r="X1924" i="2"/>
  <c r="Y1924" i="2" s="1"/>
  <c r="F1925" i="2"/>
  <c r="G1925" i="2"/>
  <c r="M1925" i="2"/>
  <c r="N1925" i="2"/>
  <c r="R1925" i="2"/>
  <c r="S1925" i="2" s="1"/>
  <c r="X1925" i="2"/>
  <c r="Y1925" i="2"/>
  <c r="F1926" i="2"/>
  <c r="G1926" i="2"/>
  <c r="M1926" i="2"/>
  <c r="N1926" i="2"/>
  <c r="R1926" i="2"/>
  <c r="S1926" i="2"/>
  <c r="X1926" i="2"/>
  <c r="Y1926" i="2"/>
  <c r="F1927" i="2"/>
  <c r="G1927" i="2"/>
  <c r="M1927" i="2"/>
  <c r="N1927" i="2"/>
  <c r="R1927" i="2"/>
  <c r="S1927" i="2" s="1"/>
  <c r="X1927" i="2"/>
  <c r="Y1927" i="2" s="1"/>
  <c r="F1928" i="2"/>
  <c r="G1928" i="2"/>
  <c r="M1928" i="2"/>
  <c r="N1928" i="2"/>
  <c r="R1928" i="2"/>
  <c r="S1928" i="2" s="1"/>
  <c r="X1928" i="2"/>
  <c r="Y1928" i="2"/>
  <c r="F1929" i="2"/>
  <c r="G1929" i="2"/>
  <c r="M1929" i="2"/>
  <c r="N1929" i="2"/>
  <c r="R1929" i="2"/>
  <c r="S1929" i="2" s="1"/>
  <c r="X1929" i="2"/>
  <c r="Y1929" i="2" s="1"/>
  <c r="F1930" i="2"/>
  <c r="G1930" i="2"/>
  <c r="M1930" i="2"/>
  <c r="N1930" i="2"/>
  <c r="R1930" i="2"/>
  <c r="S1930" i="2" s="1"/>
  <c r="X1930" i="2"/>
  <c r="Y1930" i="2"/>
  <c r="F1931" i="2"/>
  <c r="G1931" i="2"/>
  <c r="M1931" i="2"/>
  <c r="N1931" i="2"/>
  <c r="R1931" i="2"/>
  <c r="S1931" i="2" s="1"/>
  <c r="X1931" i="2"/>
  <c r="Y1931" i="2" s="1"/>
  <c r="F1932" i="2"/>
  <c r="G1932" i="2"/>
  <c r="M1932" i="2"/>
  <c r="N1932" i="2"/>
  <c r="R1932" i="2"/>
  <c r="S1932" i="2" s="1"/>
  <c r="X1932" i="2"/>
  <c r="Y1932" i="2" s="1"/>
  <c r="F1933" i="2"/>
  <c r="G1933" i="2"/>
  <c r="M1933" i="2"/>
  <c r="N1933" i="2"/>
  <c r="R1933" i="2"/>
  <c r="S1933" i="2" s="1"/>
  <c r="X1933" i="2"/>
  <c r="Y1933" i="2" s="1"/>
  <c r="F1934" i="2"/>
  <c r="G1934" i="2"/>
  <c r="M1934" i="2"/>
  <c r="N1934" i="2"/>
  <c r="R1934" i="2"/>
  <c r="S1934" i="2" s="1"/>
  <c r="X1934" i="2"/>
  <c r="Y1934" i="2"/>
  <c r="F1935" i="2"/>
  <c r="G1935" i="2"/>
  <c r="M1935" i="2"/>
  <c r="N1935" i="2"/>
  <c r="R1935" i="2"/>
  <c r="S1935" i="2" s="1"/>
  <c r="X1935" i="2"/>
  <c r="Y1935" i="2" s="1"/>
  <c r="F1936" i="2"/>
  <c r="G1936" i="2"/>
  <c r="M1936" i="2"/>
  <c r="N1936" i="2"/>
  <c r="R1936" i="2"/>
  <c r="S1936" i="2" s="1"/>
  <c r="X1936" i="2"/>
  <c r="Y1936" i="2" s="1"/>
  <c r="F1937" i="2"/>
  <c r="G1937" i="2"/>
  <c r="M1937" i="2"/>
  <c r="N1937" i="2"/>
  <c r="R1937" i="2"/>
  <c r="S1937" i="2"/>
  <c r="X1937" i="2"/>
  <c r="Y1937" i="2" s="1"/>
  <c r="F1938" i="2"/>
  <c r="G1938" i="2"/>
  <c r="M1938" i="2"/>
  <c r="N1938" i="2"/>
  <c r="R1938" i="2"/>
  <c r="S1938" i="2" s="1"/>
  <c r="X1938" i="2"/>
  <c r="Y1938" i="2" s="1"/>
  <c r="F1939" i="2"/>
  <c r="G1939" i="2"/>
  <c r="M1939" i="2"/>
  <c r="N1939" i="2"/>
  <c r="R1939" i="2"/>
  <c r="S1939" i="2" s="1"/>
  <c r="X1939" i="2"/>
  <c r="Y1939" i="2"/>
  <c r="F1940" i="2"/>
  <c r="G1940" i="2"/>
  <c r="M1940" i="2"/>
  <c r="N1940" i="2"/>
  <c r="R1940" i="2"/>
  <c r="S1940" i="2" s="1"/>
  <c r="X1940" i="2"/>
  <c r="Y1940" i="2" s="1"/>
  <c r="F1941" i="2"/>
  <c r="G1941" i="2"/>
  <c r="M1941" i="2"/>
  <c r="N1941" i="2"/>
  <c r="R1941" i="2"/>
  <c r="S1941" i="2"/>
  <c r="X1941" i="2"/>
  <c r="Y1941" i="2"/>
  <c r="F1942" i="2"/>
  <c r="G1942" i="2"/>
  <c r="M1942" i="2"/>
  <c r="N1942" i="2"/>
  <c r="R1942" i="2"/>
  <c r="S1942" i="2" s="1"/>
  <c r="X1942" i="2"/>
  <c r="Y1942" i="2" s="1"/>
  <c r="F1943" i="2"/>
  <c r="G1943" i="2"/>
  <c r="M1943" i="2"/>
  <c r="N1943" i="2"/>
  <c r="R1943" i="2"/>
  <c r="S1943" i="2" s="1"/>
  <c r="X1943" i="2"/>
  <c r="Y1943" i="2" s="1"/>
  <c r="F1944" i="2"/>
  <c r="G1944" i="2"/>
  <c r="M1944" i="2"/>
  <c r="N1944" i="2"/>
  <c r="R1944" i="2"/>
  <c r="S1944" i="2" s="1"/>
  <c r="X1944" i="2"/>
  <c r="Y1944" i="2"/>
  <c r="F1945" i="2"/>
  <c r="G1945" i="2"/>
  <c r="M1945" i="2"/>
  <c r="N1945" i="2"/>
  <c r="R1945" i="2"/>
  <c r="S1945" i="2" s="1"/>
  <c r="X1945" i="2"/>
  <c r="Y1945" i="2" s="1"/>
  <c r="F1946" i="2"/>
  <c r="G1946" i="2"/>
  <c r="M1946" i="2"/>
  <c r="N1946" i="2"/>
  <c r="R1946" i="2"/>
  <c r="S1946" i="2" s="1"/>
  <c r="X1946" i="2"/>
  <c r="Y1946" i="2"/>
  <c r="F1947" i="2"/>
  <c r="G1947" i="2"/>
  <c r="M1947" i="2"/>
  <c r="N1947" i="2"/>
  <c r="R1947" i="2"/>
  <c r="S1947" i="2"/>
  <c r="X1947" i="2"/>
  <c r="Y1947" i="2"/>
  <c r="F1948" i="2"/>
  <c r="G1948" i="2"/>
  <c r="M1948" i="2"/>
  <c r="N1948" i="2"/>
  <c r="R1948" i="2"/>
  <c r="S1948" i="2"/>
  <c r="X1948" i="2"/>
  <c r="Y1948" i="2"/>
  <c r="F1949" i="2"/>
  <c r="G1949" i="2"/>
  <c r="M1949" i="2"/>
  <c r="N1949" i="2"/>
  <c r="R1949" i="2"/>
  <c r="S1949" i="2"/>
  <c r="X1949" i="2"/>
  <c r="Y1949" i="2"/>
  <c r="F1950" i="2"/>
  <c r="G1950" i="2"/>
  <c r="M1950" i="2"/>
  <c r="N1950" i="2"/>
  <c r="R1950" i="2"/>
  <c r="S1950" i="2"/>
  <c r="X1950" i="2"/>
  <c r="Y1950" i="2"/>
  <c r="F1951" i="2"/>
  <c r="G1951" i="2"/>
  <c r="M1951" i="2"/>
  <c r="N1951" i="2"/>
  <c r="R1951" i="2"/>
  <c r="S1951" i="2"/>
  <c r="X1951" i="2"/>
  <c r="Y1951" i="2"/>
  <c r="J1953" i="2"/>
  <c r="M1953" i="2" s="1"/>
  <c r="K1953" i="2"/>
  <c r="L1953" i="2"/>
  <c r="O1953" i="2"/>
  <c r="S1953" i="2" s="1"/>
  <c r="P1953" i="2"/>
  <c r="Q1953" i="2"/>
  <c r="R1953" i="2"/>
  <c r="U1953" i="2"/>
  <c r="V1953" i="2"/>
  <c r="W1953" i="2"/>
  <c r="Z1953" i="2"/>
  <c r="AA1953" i="2"/>
  <c r="AB1953" i="2"/>
  <c r="E1955" i="2"/>
  <c r="G1955" i="2"/>
  <c r="F1957" i="2"/>
  <c r="G1957" i="2"/>
  <c r="M1957" i="2"/>
  <c r="N1957" i="2"/>
  <c r="R1957" i="2"/>
  <c r="S1957" i="2" s="1"/>
  <c r="X1957" i="2"/>
  <c r="Y1957" i="2"/>
  <c r="F1958" i="2"/>
  <c r="G1958" i="2"/>
  <c r="M1958" i="2"/>
  <c r="N1958" i="2"/>
  <c r="R1958" i="2"/>
  <c r="S1958" i="2" s="1"/>
  <c r="X1958" i="2"/>
  <c r="Y1958" i="2"/>
  <c r="F1959" i="2"/>
  <c r="G1959" i="2"/>
  <c r="M1959" i="2"/>
  <c r="N1959" i="2"/>
  <c r="R1959" i="2"/>
  <c r="S1959" i="2" s="1"/>
  <c r="X1959" i="2"/>
  <c r="Y1959" i="2"/>
  <c r="F1960" i="2"/>
  <c r="G1960" i="2"/>
  <c r="M1960" i="2"/>
  <c r="N1960" i="2"/>
  <c r="R1960" i="2"/>
  <c r="S1960" i="2" s="1"/>
  <c r="X1960" i="2"/>
  <c r="Y1960" i="2"/>
  <c r="F1961" i="2"/>
  <c r="G1961" i="2"/>
  <c r="M1961" i="2"/>
  <c r="N1961" i="2"/>
  <c r="R1961" i="2"/>
  <c r="S1961" i="2" s="1"/>
  <c r="X1961" i="2"/>
  <c r="Y1961" i="2"/>
  <c r="F1962" i="2"/>
  <c r="G1962" i="2"/>
  <c r="M1962" i="2"/>
  <c r="N1962" i="2"/>
  <c r="R1962" i="2"/>
  <c r="S1962" i="2" s="1"/>
  <c r="X1962" i="2"/>
  <c r="Y1962" i="2"/>
  <c r="F1963" i="2"/>
  <c r="G1963" i="2"/>
  <c r="M1963" i="2"/>
  <c r="N1963" i="2"/>
  <c r="R1963" i="2"/>
  <c r="S1963" i="2" s="1"/>
  <c r="X1963" i="2"/>
  <c r="Y1963" i="2"/>
  <c r="F1964" i="2"/>
  <c r="G1964" i="2"/>
  <c r="M1964" i="2"/>
  <c r="N1964" i="2"/>
  <c r="R1964" i="2"/>
  <c r="S1964" i="2" s="1"/>
  <c r="X1964" i="2"/>
  <c r="Y1964" i="2"/>
  <c r="F1965" i="2"/>
  <c r="G1965" i="2"/>
  <c r="M1965" i="2"/>
  <c r="N1965" i="2"/>
  <c r="R1965" i="2"/>
  <c r="S1965" i="2" s="1"/>
  <c r="X1965" i="2"/>
  <c r="Y1965" i="2"/>
  <c r="F1966" i="2"/>
  <c r="G1966" i="2"/>
  <c r="M1966" i="2"/>
  <c r="N1966" i="2"/>
  <c r="R1966" i="2"/>
  <c r="S1966" i="2" s="1"/>
  <c r="X1966" i="2"/>
  <c r="Y1966" i="2"/>
  <c r="F1967" i="2"/>
  <c r="G1967" i="2"/>
  <c r="M1967" i="2"/>
  <c r="N1967" i="2"/>
  <c r="R1967" i="2"/>
  <c r="S1967" i="2" s="1"/>
  <c r="X1967" i="2"/>
  <c r="Y1967" i="2"/>
  <c r="F1968" i="2"/>
  <c r="G1968" i="2"/>
  <c r="M1968" i="2"/>
  <c r="N1968" i="2"/>
  <c r="R1968" i="2"/>
  <c r="S1968" i="2" s="1"/>
  <c r="X1968" i="2"/>
  <c r="Y1968" i="2"/>
  <c r="F1969" i="2"/>
  <c r="G1969" i="2"/>
  <c r="M1969" i="2"/>
  <c r="N1969" i="2"/>
  <c r="R1969" i="2"/>
  <c r="S1969" i="2" s="1"/>
  <c r="X1969" i="2"/>
  <c r="Y1969" i="2"/>
  <c r="F1970" i="2"/>
  <c r="G1970" i="2"/>
  <c r="M1970" i="2"/>
  <c r="N1970" i="2"/>
  <c r="R1970" i="2"/>
  <c r="S1970" i="2" s="1"/>
  <c r="X1970" i="2"/>
  <c r="Y1970" i="2"/>
  <c r="F1971" i="2"/>
  <c r="G1971" i="2"/>
  <c r="M1971" i="2"/>
  <c r="N1971" i="2"/>
  <c r="R1971" i="2"/>
  <c r="S1971" i="2" s="1"/>
  <c r="X1971" i="2"/>
  <c r="Y1971" i="2"/>
  <c r="F1972" i="2"/>
  <c r="G1972" i="2"/>
  <c r="M1972" i="2"/>
  <c r="N1972" i="2"/>
  <c r="R1972" i="2"/>
  <c r="S1972" i="2" s="1"/>
  <c r="X1972" i="2"/>
  <c r="Y1972" i="2"/>
  <c r="F1973" i="2"/>
  <c r="G1973" i="2"/>
  <c r="M1973" i="2"/>
  <c r="N1973" i="2"/>
  <c r="R1973" i="2"/>
  <c r="S1973" i="2" s="1"/>
  <c r="X1973" i="2"/>
  <c r="Y1973" i="2"/>
  <c r="F1974" i="2"/>
  <c r="G1974" i="2"/>
  <c r="M1974" i="2"/>
  <c r="N1974" i="2"/>
  <c r="R1974" i="2"/>
  <c r="S1974" i="2" s="1"/>
  <c r="X1974" i="2"/>
  <c r="Y1974" i="2"/>
  <c r="F1975" i="2"/>
  <c r="G1975" i="2"/>
  <c r="M1975" i="2"/>
  <c r="N1975" i="2"/>
  <c r="R1975" i="2"/>
  <c r="S1975" i="2" s="1"/>
  <c r="X1975" i="2"/>
  <c r="Y1975" i="2"/>
  <c r="F1976" i="2"/>
  <c r="G1976" i="2"/>
  <c r="M1976" i="2"/>
  <c r="N1976" i="2"/>
  <c r="R1976" i="2"/>
  <c r="S1976" i="2" s="1"/>
  <c r="X1976" i="2"/>
  <c r="Y1976" i="2"/>
  <c r="F1977" i="2"/>
  <c r="G1977" i="2"/>
  <c r="M1977" i="2"/>
  <c r="N1977" i="2"/>
  <c r="R1977" i="2"/>
  <c r="S1977" i="2" s="1"/>
  <c r="X1977" i="2"/>
  <c r="Y1977" i="2"/>
  <c r="F1978" i="2"/>
  <c r="G1978" i="2"/>
  <c r="M1978" i="2"/>
  <c r="N1978" i="2"/>
  <c r="R1978" i="2"/>
  <c r="S1978" i="2" s="1"/>
  <c r="X1978" i="2"/>
  <c r="Y1978" i="2"/>
  <c r="F1979" i="2"/>
  <c r="G1979" i="2"/>
  <c r="M1979" i="2"/>
  <c r="N1979" i="2"/>
  <c r="R1979" i="2"/>
  <c r="S1979" i="2" s="1"/>
  <c r="X1979" i="2"/>
  <c r="Y1979" i="2"/>
  <c r="F1980" i="2"/>
  <c r="G1980" i="2"/>
  <c r="M1980" i="2"/>
  <c r="N1980" i="2"/>
  <c r="R1980" i="2"/>
  <c r="S1980" i="2" s="1"/>
  <c r="X1980" i="2"/>
  <c r="Y1980" i="2"/>
  <c r="F1981" i="2"/>
  <c r="G1981" i="2"/>
  <c r="M1981" i="2"/>
  <c r="N1981" i="2"/>
  <c r="R1981" i="2"/>
  <c r="S1981" i="2" s="1"/>
  <c r="X1981" i="2"/>
  <c r="Y1981" i="2"/>
  <c r="F1982" i="2"/>
  <c r="G1982" i="2"/>
  <c r="M1982" i="2"/>
  <c r="N1982" i="2"/>
  <c r="R1982" i="2"/>
  <c r="S1982" i="2" s="1"/>
  <c r="X1982" i="2"/>
  <c r="Y1982" i="2"/>
  <c r="F1983" i="2"/>
  <c r="G1983" i="2"/>
  <c r="M1983" i="2"/>
  <c r="N1983" i="2"/>
  <c r="R1983" i="2"/>
  <c r="S1983" i="2" s="1"/>
  <c r="X1983" i="2"/>
  <c r="Y1983" i="2"/>
  <c r="F1984" i="2"/>
  <c r="G1984" i="2"/>
  <c r="M1984" i="2"/>
  <c r="N1984" i="2"/>
  <c r="R1984" i="2"/>
  <c r="S1984" i="2" s="1"/>
  <c r="X1984" i="2"/>
  <c r="Y1984" i="2"/>
  <c r="F1985" i="2"/>
  <c r="G1985" i="2"/>
  <c r="M1985" i="2"/>
  <c r="N1985" i="2"/>
  <c r="R1985" i="2"/>
  <c r="S1985" i="2" s="1"/>
  <c r="X1985" i="2"/>
  <c r="Y1985" i="2"/>
  <c r="F1986" i="2"/>
  <c r="G1986" i="2"/>
  <c r="M1986" i="2"/>
  <c r="N1986" i="2"/>
  <c r="R1986" i="2"/>
  <c r="S1986" i="2" s="1"/>
  <c r="X1986" i="2"/>
  <c r="Y1986" i="2"/>
  <c r="F1987" i="2"/>
  <c r="G1987" i="2"/>
  <c r="M1987" i="2"/>
  <c r="N1987" i="2"/>
  <c r="R1987" i="2"/>
  <c r="S1987" i="2" s="1"/>
  <c r="X1987" i="2"/>
  <c r="Y1987" i="2"/>
  <c r="J1989" i="2"/>
  <c r="N1989" i="2" s="1"/>
  <c r="K1989" i="2"/>
  <c r="L1989" i="2"/>
  <c r="M1989" i="2"/>
  <c r="O1989" i="2"/>
  <c r="P1989" i="2"/>
  <c r="Q1989" i="2"/>
  <c r="U1989" i="2"/>
  <c r="V1989" i="2"/>
  <c r="W1989" i="2"/>
  <c r="X1989" i="2"/>
  <c r="Y1989" i="2"/>
  <c r="Z1989" i="2"/>
  <c r="AA1989" i="2"/>
  <c r="AB1989" i="2"/>
  <c r="E1991" i="2"/>
  <c r="G1991" i="2"/>
  <c r="F1993" i="2"/>
  <c r="G1993" i="2"/>
  <c r="M1993" i="2"/>
  <c r="N1993" i="2" s="1"/>
  <c r="R1993" i="2"/>
  <c r="S1993" i="2"/>
  <c r="X1993" i="2"/>
  <c r="Y1993" i="2"/>
  <c r="F1994" i="2"/>
  <c r="G1994" i="2"/>
  <c r="M1994" i="2"/>
  <c r="N1994" i="2" s="1"/>
  <c r="R1994" i="2"/>
  <c r="S1994" i="2"/>
  <c r="X1994" i="2"/>
  <c r="Y1994" i="2"/>
  <c r="F1995" i="2"/>
  <c r="G1995" i="2"/>
  <c r="M1995" i="2"/>
  <c r="N1995" i="2"/>
  <c r="R1995" i="2"/>
  <c r="S1995" i="2" s="1"/>
  <c r="X1995" i="2"/>
  <c r="Y1995" i="2"/>
  <c r="F1996" i="2"/>
  <c r="G1996" i="2"/>
  <c r="M1996" i="2"/>
  <c r="N1996" i="2" s="1"/>
  <c r="R1996" i="2"/>
  <c r="S1996" i="2"/>
  <c r="X1996" i="2"/>
  <c r="Y1996" i="2"/>
  <c r="F1997" i="2"/>
  <c r="G1997" i="2"/>
  <c r="M1997" i="2"/>
  <c r="N1997" i="2" s="1"/>
  <c r="R1997" i="2"/>
  <c r="S1997" i="2"/>
  <c r="X1997" i="2"/>
  <c r="Y1997" i="2"/>
  <c r="F1998" i="2"/>
  <c r="G1998" i="2"/>
  <c r="M1998" i="2"/>
  <c r="N1998" i="2" s="1"/>
  <c r="R1998" i="2"/>
  <c r="S1998" i="2"/>
  <c r="X1998" i="2"/>
  <c r="Y1998" i="2"/>
  <c r="F1999" i="2"/>
  <c r="G1999" i="2"/>
  <c r="M1999" i="2"/>
  <c r="N1999" i="2" s="1"/>
  <c r="R1999" i="2"/>
  <c r="S1999" i="2"/>
  <c r="X1999" i="2"/>
  <c r="Y1999" i="2"/>
  <c r="F2000" i="2"/>
  <c r="G2000" i="2"/>
  <c r="M2000" i="2"/>
  <c r="N2000" i="2" s="1"/>
  <c r="R2000" i="2"/>
  <c r="S2000" i="2"/>
  <c r="X2000" i="2"/>
  <c r="Y2000" i="2"/>
  <c r="F2001" i="2"/>
  <c r="G2001" i="2"/>
  <c r="M2001" i="2"/>
  <c r="N2001" i="2" s="1"/>
  <c r="R2001" i="2"/>
  <c r="S2001" i="2"/>
  <c r="X2001" i="2"/>
  <c r="Y2001" i="2"/>
  <c r="F2002" i="2"/>
  <c r="G2002" i="2"/>
  <c r="M2002" i="2"/>
  <c r="N2002" i="2"/>
  <c r="R2002" i="2"/>
  <c r="S2002" i="2" s="1"/>
  <c r="X2002" i="2"/>
  <c r="Y2002" i="2"/>
  <c r="F2003" i="2"/>
  <c r="G2003" i="2"/>
  <c r="M2003" i="2"/>
  <c r="N2003" i="2"/>
  <c r="R2003" i="2"/>
  <c r="S2003" i="2" s="1"/>
  <c r="X2003" i="2"/>
  <c r="Y2003" i="2"/>
  <c r="F2004" i="2"/>
  <c r="G2004" i="2"/>
  <c r="M2004" i="2"/>
  <c r="N2004" i="2" s="1"/>
  <c r="R2004" i="2"/>
  <c r="S2004" i="2" s="1"/>
  <c r="X2004" i="2"/>
  <c r="Y2004" i="2"/>
  <c r="F2005" i="2"/>
  <c r="G2005" i="2"/>
  <c r="M2005" i="2"/>
  <c r="N2005" i="2" s="1"/>
  <c r="R2005" i="2"/>
  <c r="S2005" i="2"/>
  <c r="X2005" i="2"/>
  <c r="Y2005" i="2"/>
  <c r="F2006" i="2"/>
  <c r="G2006" i="2"/>
  <c r="M2006" i="2"/>
  <c r="N2006" i="2" s="1"/>
  <c r="R2006" i="2"/>
  <c r="S2006" i="2"/>
  <c r="X2006" i="2"/>
  <c r="Y2006" i="2"/>
  <c r="F2007" i="2"/>
  <c r="G2007" i="2"/>
  <c r="M2007" i="2"/>
  <c r="N2007" i="2" s="1"/>
  <c r="R2007" i="2"/>
  <c r="S2007" i="2"/>
  <c r="X2007" i="2"/>
  <c r="Y2007" i="2"/>
  <c r="F2008" i="2"/>
  <c r="G2008" i="2"/>
  <c r="M2008" i="2"/>
  <c r="N2008" i="2" s="1"/>
  <c r="R2008" i="2"/>
  <c r="S2008" i="2"/>
  <c r="X2008" i="2"/>
  <c r="Y2008" i="2"/>
  <c r="F2009" i="2"/>
  <c r="G2009" i="2"/>
  <c r="M2009" i="2"/>
  <c r="N2009" i="2" s="1"/>
  <c r="R2009" i="2"/>
  <c r="S2009" i="2"/>
  <c r="X2009" i="2"/>
  <c r="Y2009" i="2"/>
  <c r="F2010" i="2"/>
  <c r="G2010" i="2"/>
  <c r="M2010" i="2"/>
  <c r="N2010" i="2" s="1"/>
  <c r="R2010" i="2"/>
  <c r="S2010" i="2"/>
  <c r="X2010" i="2"/>
  <c r="Y2010" i="2"/>
  <c r="F2011" i="2"/>
  <c r="G2011" i="2"/>
  <c r="M2011" i="2"/>
  <c r="N2011" i="2" s="1"/>
  <c r="R2011" i="2"/>
  <c r="S2011" i="2"/>
  <c r="X2011" i="2"/>
  <c r="Y2011" i="2"/>
  <c r="F2012" i="2"/>
  <c r="G2012" i="2"/>
  <c r="M2012" i="2"/>
  <c r="N2012" i="2" s="1"/>
  <c r="R2012" i="2"/>
  <c r="S2012" i="2"/>
  <c r="X2012" i="2"/>
  <c r="Y2012" i="2"/>
  <c r="F2013" i="2"/>
  <c r="G2013" i="2"/>
  <c r="M2013" i="2"/>
  <c r="N2013" i="2" s="1"/>
  <c r="R2013" i="2"/>
  <c r="S2013" i="2"/>
  <c r="X2013" i="2"/>
  <c r="Y2013" i="2"/>
  <c r="F2014" i="2"/>
  <c r="G2014" i="2"/>
  <c r="M2014" i="2"/>
  <c r="N2014" i="2" s="1"/>
  <c r="R2014" i="2"/>
  <c r="S2014" i="2"/>
  <c r="X2014" i="2"/>
  <c r="Y2014" i="2"/>
  <c r="F2015" i="2"/>
  <c r="G2015" i="2"/>
  <c r="M2015" i="2"/>
  <c r="N2015" i="2" s="1"/>
  <c r="R2015" i="2"/>
  <c r="S2015" i="2"/>
  <c r="X2015" i="2"/>
  <c r="Y2015" i="2"/>
  <c r="F2016" i="2"/>
  <c r="G2016" i="2"/>
  <c r="M2016" i="2"/>
  <c r="N2016" i="2"/>
  <c r="R2016" i="2"/>
  <c r="S2016" i="2" s="1"/>
  <c r="X2016" i="2"/>
  <c r="Y2016" i="2"/>
  <c r="F2017" i="2"/>
  <c r="G2017" i="2"/>
  <c r="M2017" i="2"/>
  <c r="N2017" i="2" s="1"/>
  <c r="R2017" i="2"/>
  <c r="S2017" i="2"/>
  <c r="X2017" i="2"/>
  <c r="Y2017" i="2"/>
  <c r="F2018" i="2"/>
  <c r="G2018" i="2"/>
  <c r="M2018" i="2"/>
  <c r="N2018" i="2" s="1"/>
  <c r="R2018" i="2"/>
  <c r="S2018" i="2"/>
  <c r="X2018" i="2"/>
  <c r="Y2018" i="2"/>
  <c r="F2019" i="2"/>
  <c r="G2019" i="2"/>
  <c r="M2019" i="2"/>
  <c r="N2019" i="2" s="1"/>
  <c r="R2019" i="2"/>
  <c r="S2019" i="2"/>
  <c r="X2019" i="2"/>
  <c r="Y2019" i="2"/>
  <c r="F2020" i="2"/>
  <c r="G2020" i="2"/>
  <c r="M2020" i="2"/>
  <c r="N2020" i="2" s="1"/>
  <c r="R2020" i="2"/>
  <c r="S2020" i="2"/>
  <c r="X2020" i="2"/>
  <c r="Y2020" i="2"/>
  <c r="F2021" i="2"/>
  <c r="G2021" i="2"/>
  <c r="M2021" i="2"/>
  <c r="N2021" i="2" s="1"/>
  <c r="R2021" i="2"/>
  <c r="S2021" i="2"/>
  <c r="X2021" i="2"/>
  <c r="Y2021" i="2"/>
  <c r="F2022" i="2"/>
  <c r="G2022" i="2"/>
  <c r="M2022" i="2"/>
  <c r="N2022" i="2" s="1"/>
  <c r="R2022" i="2"/>
  <c r="S2022" i="2"/>
  <c r="X2022" i="2"/>
  <c r="Y2022" i="2"/>
  <c r="F2023" i="2"/>
  <c r="G2023" i="2"/>
  <c r="M2023" i="2"/>
  <c r="N2023" i="2" s="1"/>
  <c r="R2023" i="2"/>
  <c r="S2023" i="2" s="1"/>
  <c r="X2023" i="2"/>
  <c r="Y2023" i="2"/>
  <c r="F2024" i="2"/>
  <c r="G2024" i="2"/>
  <c r="M2024" i="2"/>
  <c r="N2024" i="2"/>
  <c r="R2024" i="2"/>
  <c r="S2024" i="2" s="1"/>
  <c r="X2024" i="2"/>
  <c r="Y2024" i="2"/>
  <c r="F2025" i="2"/>
  <c r="G2025" i="2"/>
  <c r="M2025" i="2"/>
  <c r="N2025" i="2" s="1"/>
  <c r="R2025" i="2"/>
  <c r="S2025" i="2"/>
  <c r="X2025" i="2"/>
  <c r="Y2025" i="2"/>
  <c r="F2026" i="2"/>
  <c r="G2026" i="2"/>
  <c r="M2026" i="2"/>
  <c r="N2026" i="2" s="1"/>
  <c r="R2026" i="2"/>
  <c r="S2026" i="2"/>
  <c r="X2026" i="2"/>
  <c r="Y2026" i="2"/>
  <c r="F2027" i="2"/>
  <c r="G2027" i="2"/>
  <c r="M2027" i="2"/>
  <c r="N2027" i="2" s="1"/>
  <c r="R2027" i="2"/>
  <c r="S2027" i="2"/>
  <c r="X2027" i="2"/>
  <c r="Y2027" i="2"/>
  <c r="F2028" i="2"/>
  <c r="G2028" i="2"/>
  <c r="M2028" i="2"/>
  <c r="N2028" i="2" s="1"/>
  <c r="R2028" i="2"/>
  <c r="S2028" i="2"/>
  <c r="X2028" i="2"/>
  <c r="Y2028" i="2"/>
  <c r="F2029" i="2"/>
  <c r="G2029" i="2"/>
  <c r="M2029" i="2"/>
  <c r="N2029" i="2"/>
  <c r="R2029" i="2"/>
  <c r="S2029" i="2" s="1"/>
  <c r="X2029" i="2"/>
  <c r="Y2029" i="2"/>
  <c r="F2030" i="2"/>
  <c r="G2030" i="2"/>
  <c r="M2030" i="2"/>
  <c r="N2030" i="2"/>
  <c r="R2030" i="2"/>
  <c r="S2030" i="2" s="1"/>
  <c r="X2030" i="2"/>
  <c r="Y2030" i="2"/>
  <c r="F2031" i="2"/>
  <c r="G2031" i="2"/>
  <c r="M2031" i="2"/>
  <c r="N2031" i="2"/>
  <c r="R2031" i="2"/>
  <c r="S2031" i="2" s="1"/>
  <c r="X2031" i="2"/>
  <c r="Y2031" i="2"/>
  <c r="F2032" i="2"/>
  <c r="G2032" i="2"/>
  <c r="M2032" i="2"/>
  <c r="N2032" i="2"/>
  <c r="R2032" i="2"/>
  <c r="S2032" i="2" s="1"/>
  <c r="X2032" i="2"/>
  <c r="Y2032" i="2"/>
  <c r="F2033" i="2"/>
  <c r="G2033" i="2"/>
  <c r="M2033" i="2"/>
  <c r="N2033" i="2"/>
  <c r="R2033" i="2"/>
  <c r="S2033" i="2" s="1"/>
  <c r="X2033" i="2"/>
  <c r="Y2033" i="2"/>
  <c r="J2035" i="2"/>
  <c r="K2035" i="2"/>
  <c r="L2035" i="2"/>
  <c r="O2035" i="2"/>
  <c r="P2035" i="2"/>
  <c r="Q2035" i="2"/>
  <c r="R2035" i="2"/>
  <c r="S2035" i="2"/>
  <c r="U2035" i="2"/>
  <c r="X2035" i="2" s="1"/>
  <c r="Y2035" i="2" s="1"/>
  <c r="V2035" i="2"/>
  <c r="W2035" i="2"/>
  <c r="Z2035" i="2"/>
  <c r="AA2035" i="2"/>
  <c r="AB2035" i="2"/>
  <c r="E2037" i="2"/>
  <c r="G2037" i="2"/>
  <c r="F2039" i="2"/>
  <c r="G2039" i="2"/>
  <c r="M2039" i="2"/>
  <c r="N2039" i="2"/>
  <c r="R2039" i="2"/>
  <c r="S2039" i="2"/>
  <c r="X2039" i="2"/>
  <c r="Y2039" i="2"/>
  <c r="F2040" i="2"/>
  <c r="G2040" i="2"/>
  <c r="M2040" i="2"/>
  <c r="N2040" i="2" s="1"/>
  <c r="R2040" i="2"/>
  <c r="S2040" i="2"/>
  <c r="X2040" i="2"/>
  <c r="Y2040" i="2"/>
  <c r="F2041" i="2"/>
  <c r="G2041" i="2"/>
  <c r="M2041" i="2"/>
  <c r="N2041" i="2" s="1"/>
  <c r="R2041" i="2"/>
  <c r="S2041" i="2"/>
  <c r="X2041" i="2"/>
  <c r="Y2041" i="2"/>
  <c r="F2042" i="2"/>
  <c r="G2042" i="2"/>
  <c r="M2042" i="2"/>
  <c r="N2042" i="2"/>
  <c r="R2042" i="2"/>
  <c r="S2042" i="2"/>
  <c r="X2042" i="2"/>
  <c r="Y2042" i="2"/>
  <c r="F2043" i="2"/>
  <c r="G2043" i="2"/>
  <c r="M2043" i="2"/>
  <c r="N2043" i="2" s="1"/>
  <c r="R2043" i="2"/>
  <c r="S2043" i="2"/>
  <c r="X2043" i="2"/>
  <c r="Y2043" i="2"/>
  <c r="F2044" i="2"/>
  <c r="G2044" i="2"/>
  <c r="M2044" i="2"/>
  <c r="N2044" i="2"/>
  <c r="R2044" i="2"/>
  <c r="S2044" i="2"/>
  <c r="X2044" i="2"/>
  <c r="Y2044" i="2"/>
  <c r="F2045" i="2"/>
  <c r="G2045" i="2"/>
  <c r="M2045" i="2"/>
  <c r="N2045" i="2"/>
  <c r="R2045" i="2"/>
  <c r="S2045" i="2"/>
  <c r="X2045" i="2"/>
  <c r="Y2045" i="2"/>
  <c r="F2046" i="2"/>
  <c r="G2046" i="2"/>
  <c r="M2046" i="2"/>
  <c r="N2046" i="2" s="1"/>
  <c r="R2046" i="2"/>
  <c r="S2046" i="2"/>
  <c r="X2046" i="2"/>
  <c r="Y2046" i="2"/>
  <c r="F2047" i="2"/>
  <c r="G2047" i="2"/>
  <c r="M2047" i="2"/>
  <c r="N2047" i="2"/>
  <c r="R2047" i="2"/>
  <c r="S2047" i="2"/>
  <c r="X2047" i="2"/>
  <c r="Y2047" i="2"/>
  <c r="F2048" i="2"/>
  <c r="G2048" i="2"/>
  <c r="M2048" i="2"/>
  <c r="N2048" i="2"/>
  <c r="R2048" i="2"/>
  <c r="S2048" i="2"/>
  <c r="X2048" i="2"/>
  <c r="Y2048" i="2"/>
  <c r="F2049" i="2"/>
  <c r="G2049" i="2"/>
  <c r="M2049" i="2"/>
  <c r="N2049" i="2"/>
  <c r="R2049" i="2"/>
  <c r="S2049" i="2"/>
  <c r="X2049" i="2"/>
  <c r="Y2049" i="2"/>
  <c r="F2050" i="2"/>
  <c r="G2050" i="2"/>
  <c r="M2050" i="2"/>
  <c r="N2050" i="2" s="1"/>
  <c r="R2050" i="2"/>
  <c r="S2050" i="2"/>
  <c r="X2050" i="2"/>
  <c r="Y2050" i="2"/>
  <c r="F2051" i="2"/>
  <c r="G2051" i="2"/>
  <c r="M2051" i="2"/>
  <c r="N2051" i="2" s="1"/>
  <c r="R2051" i="2"/>
  <c r="S2051" i="2"/>
  <c r="X2051" i="2"/>
  <c r="Y2051" i="2"/>
  <c r="F2052" i="2"/>
  <c r="G2052" i="2"/>
  <c r="M2052" i="2"/>
  <c r="N2052" i="2"/>
  <c r="R2052" i="2"/>
  <c r="S2052" i="2"/>
  <c r="X2052" i="2"/>
  <c r="Y2052" i="2"/>
  <c r="F2053" i="2"/>
  <c r="G2053" i="2"/>
  <c r="M2053" i="2"/>
  <c r="N2053" i="2" s="1"/>
  <c r="R2053" i="2"/>
  <c r="S2053" i="2"/>
  <c r="X2053" i="2"/>
  <c r="Y2053" i="2"/>
  <c r="F2054" i="2"/>
  <c r="G2054" i="2"/>
  <c r="M2054" i="2"/>
  <c r="N2054" i="2"/>
  <c r="R2054" i="2"/>
  <c r="S2054" i="2"/>
  <c r="X2054" i="2"/>
  <c r="Y2054" i="2"/>
  <c r="F2055" i="2"/>
  <c r="G2055" i="2"/>
  <c r="M2055" i="2"/>
  <c r="N2055" i="2" s="1"/>
  <c r="R2055" i="2"/>
  <c r="S2055" i="2"/>
  <c r="X2055" i="2"/>
  <c r="Y2055" i="2"/>
  <c r="F2056" i="2"/>
  <c r="G2056" i="2"/>
  <c r="M2056" i="2"/>
  <c r="N2056" i="2"/>
  <c r="R2056" i="2"/>
  <c r="S2056" i="2"/>
  <c r="X2056" i="2"/>
  <c r="Y2056" i="2"/>
  <c r="F2057" i="2"/>
  <c r="G2057" i="2"/>
  <c r="M2057" i="2"/>
  <c r="N2057" i="2"/>
  <c r="R2057" i="2"/>
  <c r="S2057" i="2"/>
  <c r="X2057" i="2"/>
  <c r="Y2057" i="2"/>
  <c r="F2058" i="2"/>
  <c r="G2058" i="2"/>
  <c r="M2058" i="2"/>
  <c r="N2058" i="2"/>
  <c r="R2058" i="2"/>
  <c r="S2058" i="2"/>
  <c r="X2058" i="2"/>
  <c r="Y2058" i="2"/>
  <c r="F2059" i="2"/>
  <c r="G2059" i="2"/>
  <c r="M2059" i="2"/>
  <c r="N2059" i="2"/>
  <c r="R2059" i="2"/>
  <c r="S2059" i="2"/>
  <c r="X2059" i="2"/>
  <c r="Y2059" i="2"/>
  <c r="F2060" i="2"/>
  <c r="G2060" i="2"/>
  <c r="M2060" i="2"/>
  <c r="N2060" i="2"/>
  <c r="R2060" i="2"/>
  <c r="S2060" i="2"/>
  <c r="X2060" i="2"/>
  <c r="Y2060" i="2"/>
  <c r="F2061" i="2"/>
  <c r="G2061" i="2"/>
  <c r="M2061" i="2"/>
  <c r="N2061" i="2"/>
  <c r="R2061" i="2"/>
  <c r="S2061" i="2"/>
  <c r="X2061" i="2"/>
  <c r="Y2061" i="2"/>
  <c r="F2062" i="2"/>
  <c r="G2062" i="2"/>
  <c r="M2062" i="2"/>
  <c r="N2062" i="2" s="1"/>
  <c r="R2062" i="2"/>
  <c r="S2062" i="2"/>
  <c r="X2062" i="2"/>
  <c r="Y2062" i="2"/>
  <c r="F2063" i="2"/>
  <c r="G2063" i="2"/>
  <c r="M2063" i="2"/>
  <c r="N2063" i="2" s="1"/>
  <c r="R2063" i="2"/>
  <c r="S2063" i="2"/>
  <c r="X2063" i="2"/>
  <c r="Y2063" i="2"/>
  <c r="F2064" i="2"/>
  <c r="G2064" i="2"/>
  <c r="M2064" i="2"/>
  <c r="N2064" i="2"/>
  <c r="R2064" i="2"/>
  <c r="S2064" i="2"/>
  <c r="X2064" i="2"/>
  <c r="Y2064" i="2"/>
  <c r="F2065" i="2"/>
  <c r="G2065" i="2"/>
  <c r="M2065" i="2"/>
  <c r="N2065" i="2"/>
  <c r="R2065" i="2"/>
  <c r="S2065" i="2"/>
  <c r="X2065" i="2"/>
  <c r="Y2065" i="2"/>
  <c r="F2066" i="2"/>
  <c r="G2066" i="2"/>
  <c r="M2066" i="2"/>
  <c r="N2066" i="2"/>
  <c r="R2066" i="2"/>
  <c r="S2066" i="2"/>
  <c r="X2066" i="2"/>
  <c r="Y2066" i="2"/>
  <c r="F2067" i="2"/>
  <c r="G2067" i="2"/>
  <c r="M2067" i="2"/>
  <c r="N2067" i="2"/>
  <c r="R2067" i="2"/>
  <c r="S2067" i="2"/>
  <c r="X2067" i="2"/>
  <c r="Y2067" i="2"/>
  <c r="F2068" i="2"/>
  <c r="G2068" i="2"/>
  <c r="M2068" i="2"/>
  <c r="N2068" i="2" s="1"/>
  <c r="R2068" i="2"/>
  <c r="S2068" i="2"/>
  <c r="X2068" i="2"/>
  <c r="Y2068" i="2"/>
  <c r="F2069" i="2"/>
  <c r="G2069" i="2"/>
  <c r="M2069" i="2"/>
  <c r="N2069" i="2" s="1"/>
  <c r="R2069" i="2"/>
  <c r="S2069" i="2"/>
  <c r="X2069" i="2"/>
  <c r="Y2069" i="2"/>
  <c r="F2070" i="2"/>
  <c r="G2070" i="2"/>
  <c r="M2070" i="2"/>
  <c r="N2070" i="2"/>
  <c r="R2070" i="2"/>
  <c r="S2070" i="2"/>
  <c r="X2070" i="2"/>
  <c r="Y2070" i="2"/>
  <c r="F2071" i="2"/>
  <c r="G2071" i="2"/>
  <c r="M2071" i="2"/>
  <c r="N2071" i="2" s="1"/>
  <c r="R2071" i="2"/>
  <c r="S2071" i="2"/>
  <c r="X2071" i="2"/>
  <c r="Y2071" i="2"/>
  <c r="F2072" i="2"/>
  <c r="G2072" i="2"/>
  <c r="M2072" i="2"/>
  <c r="N2072" i="2" s="1"/>
  <c r="R2072" i="2"/>
  <c r="S2072" i="2"/>
  <c r="X2072" i="2"/>
  <c r="Y2072" i="2"/>
  <c r="F2073" i="2"/>
  <c r="G2073" i="2"/>
  <c r="M2073" i="2"/>
  <c r="N2073" i="2" s="1"/>
  <c r="R2073" i="2"/>
  <c r="S2073" i="2"/>
  <c r="X2073" i="2"/>
  <c r="Y2073" i="2"/>
  <c r="F2074" i="2"/>
  <c r="G2074" i="2"/>
  <c r="M2074" i="2"/>
  <c r="N2074" i="2"/>
  <c r="R2074" i="2"/>
  <c r="S2074" i="2"/>
  <c r="X2074" i="2"/>
  <c r="Y2074" i="2"/>
  <c r="F2075" i="2"/>
  <c r="G2075" i="2"/>
  <c r="M2075" i="2"/>
  <c r="N2075" i="2"/>
  <c r="R2075" i="2"/>
  <c r="S2075" i="2"/>
  <c r="X2075" i="2"/>
  <c r="Y2075" i="2"/>
  <c r="F2076" i="2"/>
  <c r="G2076" i="2"/>
  <c r="M2076" i="2"/>
  <c r="N2076" i="2"/>
  <c r="R2076" i="2"/>
  <c r="S2076" i="2"/>
  <c r="X2076" i="2"/>
  <c r="Y2076" i="2"/>
  <c r="F2077" i="2"/>
  <c r="G2077" i="2"/>
  <c r="M2077" i="2"/>
  <c r="N2077" i="2" s="1"/>
  <c r="R2077" i="2"/>
  <c r="S2077" i="2"/>
  <c r="X2077" i="2"/>
  <c r="Y2077" i="2"/>
  <c r="F2078" i="2"/>
  <c r="G2078" i="2"/>
  <c r="M2078" i="2"/>
  <c r="N2078" i="2"/>
  <c r="R2078" i="2"/>
  <c r="S2078" i="2"/>
  <c r="X2078" i="2"/>
  <c r="Y2078" i="2"/>
  <c r="F2079" i="2"/>
  <c r="G2079" i="2"/>
  <c r="M2079" i="2"/>
  <c r="N2079" i="2"/>
  <c r="R2079" i="2"/>
  <c r="S2079" i="2"/>
  <c r="X2079" i="2"/>
  <c r="Y2079" i="2"/>
  <c r="F2080" i="2"/>
  <c r="G2080" i="2"/>
  <c r="M2080" i="2"/>
  <c r="N2080" i="2"/>
  <c r="R2080" i="2"/>
  <c r="S2080" i="2"/>
  <c r="X2080" i="2"/>
  <c r="Y2080" i="2"/>
  <c r="F2081" i="2"/>
  <c r="G2081" i="2"/>
  <c r="M2081" i="2"/>
  <c r="N2081" i="2"/>
  <c r="R2081" i="2"/>
  <c r="S2081" i="2"/>
  <c r="X2081" i="2"/>
  <c r="Y2081" i="2"/>
  <c r="F2082" i="2"/>
  <c r="G2082" i="2"/>
  <c r="M2082" i="2"/>
  <c r="N2082" i="2" s="1"/>
  <c r="R2082" i="2"/>
  <c r="S2082" i="2"/>
  <c r="X2082" i="2"/>
  <c r="Y2082" i="2"/>
  <c r="F2083" i="2"/>
  <c r="G2083" i="2"/>
  <c r="M2083" i="2"/>
  <c r="N2083" i="2"/>
  <c r="R2083" i="2"/>
  <c r="S2083" i="2"/>
  <c r="X2083" i="2"/>
  <c r="Y2083" i="2"/>
  <c r="F2084" i="2"/>
  <c r="G2084" i="2"/>
  <c r="M2084" i="2"/>
  <c r="N2084" i="2"/>
  <c r="R2084" i="2"/>
  <c r="S2084" i="2"/>
  <c r="X2084" i="2"/>
  <c r="Y2084" i="2"/>
  <c r="F2085" i="2"/>
  <c r="G2085" i="2"/>
  <c r="M2085" i="2"/>
  <c r="N2085" i="2"/>
  <c r="R2085" i="2"/>
  <c r="S2085" i="2"/>
  <c r="X2085" i="2"/>
  <c r="Y2085" i="2"/>
  <c r="F2086" i="2"/>
  <c r="G2086" i="2"/>
  <c r="M2086" i="2"/>
  <c r="N2086" i="2" s="1"/>
  <c r="R2086" i="2"/>
  <c r="S2086" i="2"/>
  <c r="X2086" i="2"/>
  <c r="Y2086" i="2"/>
  <c r="F2087" i="2"/>
  <c r="G2087" i="2"/>
  <c r="M2087" i="2"/>
  <c r="N2087" i="2" s="1"/>
  <c r="R2087" i="2"/>
  <c r="S2087" i="2"/>
  <c r="X2087" i="2"/>
  <c r="Y2087" i="2"/>
  <c r="F2088" i="2"/>
  <c r="G2088" i="2"/>
  <c r="M2088" i="2"/>
  <c r="N2088" i="2" s="1"/>
  <c r="R2088" i="2"/>
  <c r="S2088" i="2"/>
  <c r="X2088" i="2"/>
  <c r="Y2088" i="2"/>
  <c r="F2089" i="2"/>
  <c r="G2089" i="2"/>
  <c r="M2089" i="2"/>
  <c r="N2089" i="2"/>
  <c r="R2089" i="2"/>
  <c r="S2089" i="2"/>
  <c r="X2089" i="2"/>
  <c r="Y2089" i="2"/>
  <c r="F2090" i="2"/>
  <c r="G2090" i="2"/>
  <c r="M2090" i="2"/>
  <c r="N2090" i="2"/>
  <c r="R2090" i="2"/>
  <c r="S2090" i="2"/>
  <c r="X2090" i="2"/>
  <c r="Y2090" i="2"/>
  <c r="F2091" i="2"/>
  <c r="G2091" i="2"/>
  <c r="M2091" i="2"/>
  <c r="N2091" i="2" s="1"/>
  <c r="R2091" i="2"/>
  <c r="S2091" i="2"/>
  <c r="X2091" i="2"/>
  <c r="Y2091" i="2"/>
  <c r="J2093" i="2"/>
  <c r="K2093" i="2"/>
  <c r="L2093" i="2"/>
  <c r="M2093" i="2"/>
  <c r="N2093" i="2"/>
  <c r="O2093" i="2"/>
  <c r="R2093" i="2" s="1"/>
  <c r="P2093" i="2"/>
  <c r="Q2093" i="2"/>
  <c r="S2093" i="2"/>
  <c r="U2093" i="2"/>
  <c r="X2093" i="2" s="1"/>
  <c r="V2093" i="2"/>
  <c r="W2093" i="2"/>
  <c r="Y2093" i="2"/>
  <c r="Z2093" i="2"/>
  <c r="AA2093" i="2"/>
  <c r="AB2093" i="2"/>
  <c r="E2095" i="2"/>
  <c r="G2095" i="2"/>
  <c r="F2097" i="2"/>
  <c r="G2097" i="2"/>
  <c r="M2097" i="2"/>
  <c r="N2097" i="2" s="1"/>
  <c r="R2097" i="2"/>
  <c r="S2097" i="2"/>
  <c r="X2097" i="2"/>
  <c r="Y2097" i="2"/>
  <c r="F2098" i="2"/>
  <c r="G2098" i="2"/>
  <c r="M2098" i="2"/>
  <c r="N2098" i="2" s="1"/>
  <c r="R2098" i="2"/>
  <c r="S2098" i="2"/>
  <c r="X2098" i="2"/>
  <c r="Y2098" i="2"/>
  <c r="F2099" i="2"/>
  <c r="G2099" i="2"/>
  <c r="M2099" i="2"/>
  <c r="N2099" i="2" s="1"/>
  <c r="R2099" i="2"/>
  <c r="S2099" i="2"/>
  <c r="X2099" i="2"/>
  <c r="Y2099" i="2"/>
  <c r="F2100" i="2"/>
  <c r="G2100" i="2"/>
  <c r="M2100" i="2"/>
  <c r="N2100" i="2" s="1"/>
  <c r="R2100" i="2"/>
  <c r="S2100" i="2"/>
  <c r="X2100" i="2"/>
  <c r="Y2100" i="2"/>
  <c r="F2101" i="2"/>
  <c r="G2101" i="2"/>
  <c r="M2101" i="2"/>
  <c r="N2101" i="2"/>
  <c r="R2101" i="2"/>
  <c r="S2101" i="2"/>
  <c r="X2101" i="2"/>
  <c r="Y2101" i="2"/>
  <c r="F2102" i="2"/>
  <c r="G2102" i="2"/>
  <c r="M2102" i="2"/>
  <c r="N2102" i="2" s="1"/>
  <c r="R2102" i="2"/>
  <c r="S2102" i="2"/>
  <c r="X2102" i="2"/>
  <c r="Y2102" i="2"/>
  <c r="F2103" i="2"/>
  <c r="G2103" i="2"/>
  <c r="M2103" i="2"/>
  <c r="N2103" i="2" s="1"/>
  <c r="R2103" i="2"/>
  <c r="S2103" i="2"/>
  <c r="X2103" i="2"/>
  <c r="Y2103" i="2"/>
  <c r="F2104" i="2"/>
  <c r="G2104" i="2"/>
  <c r="M2104" i="2"/>
  <c r="N2104" i="2" s="1"/>
  <c r="R2104" i="2"/>
  <c r="S2104" i="2"/>
  <c r="X2104" i="2"/>
  <c r="Y2104" i="2"/>
  <c r="F2105" i="2"/>
  <c r="G2105" i="2"/>
  <c r="M2105" i="2"/>
  <c r="N2105" i="2" s="1"/>
  <c r="R2105" i="2"/>
  <c r="S2105" i="2"/>
  <c r="X2105" i="2"/>
  <c r="Y2105" i="2"/>
  <c r="F2106" i="2"/>
  <c r="G2106" i="2"/>
  <c r="M2106" i="2"/>
  <c r="N2106" i="2" s="1"/>
  <c r="R2106" i="2"/>
  <c r="S2106" i="2"/>
  <c r="X2106" i="2"/>
  <c r="Y2106" i="2"/>
  <c r="F2107" i="2"/>
  <c r="G2107" i="2"/>
  <c r="M2107" i="2"/>
  <c r="N2107" i="2"/>
  <c r="R2107" i="2"/>
  <c r="S2107" i="2"/>
  <c r="X2107" i="2"/>
  <c r="Y2107" i="2"/>
  <c r="F2108" i="2"/>
  <c r="G2108" i="2"/>
  <c r="M2108" i="2"/>
  <c r="N2108" i="2" s="1"/>
  <c r="R2108" i="2"/>
  <c r="S2108" i="2"/>
  <c r="X2108" i="2"/>
  <c r="Y2108" i="2"/>
  <c r="F2109" i="2"/>
  <c r="G2109" i="2"/>
  <c r="M2109" i="2"/>
  <c r="N2109" i="2"/>
  <c r="R2109" i="2"/>
  <c r="S2109" i="2"/>
  <c r="X2109" i="2"/>
  <c r="Y2109" i="2"/>
  <c r="F2110" i="2"/>
  <c r="G2110" i="2"/>
  <c r="M2110" i="2"/>
  <c r="N2110" i="2"/>
  <c r="R2110" i="2"/>
  <c r="S2110" i="2"/>
  <c r="X2110" i="2"/>
  <c r="Y2110" i="2"/>
  <c r="F2111" i="2"/>
  <c r="G2111" i="2"/>
  <c r="M2111" i="2"/>
  <c r="N2111" i="2" s="1"/>
  <c r="R2111" i="2"/>
  <c r="S2111" i="2"/>
  <c r="X2111" i="2"/>
  <c r="Y2111" i="2"/>
  <c r="F2112" i="2"/>
  <c r="G2112" i="2"/>
  <c r="M2112" i="2"/>
  <c r="N2112" i="2" s="1"/>
  <c r="R2112" i="2"/>
  <c r="S2112" i="2"/>
  <c r="X2112" i="2"/>
  <c r="Y2112" i="2"/>
  <c r="F2113" i="2"/>
  <c r="G2113" i="2"/>
  <c r="M2113" i="2"/>
  <c r="N2113" i="2"/>
  <c r="R2113" i="2"/>
  <c r="S2113" i="2"/>
  <c r="X2113" i="2"/>
  <c r="Y2113" i="2"/>
  <c r="F2114" i="2"/>
  <c r="G2114" i="2"/>
  <c r="M2114" i="2"/>
  <c r="N2114" i="2" s="1"/>
  <c r="R2114" i="2"/>
  <c r="S2114" i="2"/>
  <c r="X2114" i="2"/>
  <c r="Y2114" i="2"/>
  <c r="F2115" i="2"/>
  <c r="G2115" i="2"/>
  <c r="M2115" i="2"/>
  <c r="N2115" i="2"/>
  <c r="R2115" i="2"/>
  <c r="S2115" i="2"/>
  <c r="X2115" i="2"/>
  <c r="Y2115" i="2"/>
  <c r="F2116" i="2"/>
  <c r="G2116" i="2"/>
  <c r="M2116" i="2"/>
  <c r="N2116" i="2" s="1"/>
  <c r="R2116" i="2"/>
  <c r="S2116" i="2"/>
  <c r="X2116" i="2"/>
  <c r="Y2116" i="2"/>
  <c r="F2117" i="2"/>
  <c r="G2117" i="2"/>
  <c r="M2117" i="2"/>
  <c r="N2117" i="2" s="1"/>
  <c r="R2117" i="2"/>
  <c r="S2117" i="2"/>
  <c r="X2117" i="2"/>
  <c r="Y2117" i="2"/>
  <c r="F2118" i="2"/>
  <c r="G2118" i="2"/>
  <c r="M2118" i="2"/>
  <c r="N2118" i="2"/>
  <c r="R2118" i="2"/>
  <c r="S2118" i="2"/>
  <c r="X2118" i="2"/>
  <c r="Y2118" i="2"/>
  <c r="F2119" i="2"/>
  <c r="G2119" i="2"/>
  <c r="M2119" i="2"/>
  <c r="N2119" i="2"/>
  <c r="R2119" i="2"/>
  <c r="S2119" i="2"/>
  <c r="X2119" i="2"/>
  <c r="Y2119" i="2"/>
  <c r="F2120" i="2"/>
  <c r="G2120" i="2"/>
  <c r="M2120" i="2"/>
  <c r="N2120" i="2" s="1"/>
  <c r="R2120" i="2"/>
  <c r="S2120" i="2"/>
  <c r="X2120" i="2"/>
  <c r="Y2120" i="2"/>
  <c r="F2121" i="2"/>
  <c r="G2121" i="2"/>
  <c r="M2121" i="2"/>
  <c r="N2121" i="2"/>
  <c r="R2121" i="2"/>
  <c r="S2121" i="2"/>
  <c r="X2121" i="2"/>
  <c r="Y2121" i="2"/>
  <c r="F2122" i="2"/>
  <c r="G2122" i="2"/>
  <c r="M2122" i="2"/>
  <c r="N2122" i="2"/>
  <c r="R2122" i="2"/>
  <c r="S2122" i="2"/>
  <c r="X2122" i="2"/>
  <c r="Y2122" i="2"/>
  <c r="F2123" i="2"/>
  <c r="G2123" i="2"/>
  <c r="M2123" i="2"/>
  <c r="N2123" i="2" s="1"/>
  <c r="R2123" i="2"/>
  <c r="S2123" i="2"/>
  <c r="X2123" i="2"/>
  <c r="Y2123" i="2"/>
  <c r="F2124" i="2"/>
  <c r="G2124" i="2"/>
  <c r="M2124" i="2"/>
  <c r="N2124" i="2" s="1"/>
  <c r="R2124" i="2"/>
  <c r="S2124" i="2"/>
  <c r="X2124" i="2"/>
  <c r="Y2124" i="2"/>
  <c r="F2125" i="2"/>
  <c r="G2125" i="2"/>
  <c r="M2125" i="2"/>
  <c r="N2125" i="2"/>
  <c r="R2125" i="2"/>
  <c r="S2125" i="2"/>
  <c r="X2125" i="2"/>
  <c r="Y2125" i="2"/>
  <c r="F2126" i="2"/>
  <c r="G2126" i="2"/>
  <c r="M2126" i="2"/>
  <c r="N2126" i="2" s="1"/>
  <c r="R2126" i="2"/>
  <c r="S2126" i="2"/>
  <c r="X2126" i="2"/>
  <c r="Y2126" i="2"/>
  <c r="F2127" i="2"/>
  <c r="G2127" i="2"/>
  <c r="M2127" i="2"/>
  <c r="N2127" i="2"/>
  <c r="R2127" i="2"/>
  <c r="S2127" i="2"/>
  <c r="X2127" i="2"/>
  <c r="Y2127" i="2"/>
  <c r="F2128" i="2"/>
  <c r="G2128" i="2"/>
  <c r="M2128" i="2"/>
  <c r="N2128" i="2"/>
  <c r="R2128" i="2"/>
  <c r="S2128" i="2"/>
  <c r="X2128" i="2"/>
  <c r="Y2128" i="2"/>
  <c r="F2129" i="2"/>
  <c r="G2129" i="2"/>
  <c r="M2129" i="2"/>
  <c r="N2129" i="2" s="1"/>
  <c r="R2129" i="2"/>
  <c r="S2129" i="2"/>
  <c r="X2129" i="2"/>
  <c r="Y2129" i="2"/>
  <c r="J2131" i="2"/>
  <c r="M2131" i="2" s="1"/>
  <c r="N2131" i="2" s="1"/>
  <c r="K2131" i="2"/>
  <c r="L2131" i="2"/>
  <c r="O2131" i="2"/>
  <c r="P2131" i="2"/>
  <c r="Q2131" i="2"/>
  <c r="R2131" i="2" s="1"/>
  <c r="S2131" i="2" s="1"/>
  <c r="U2131" i="2"/>
  <c r="V2131" i="2"/>
  <c r="W2131" i="2"/>
  <c r="Z2131" i="2"/>
  <c r="AA2131" i="2"/>
  <c r="AB2131" i="2"/>
  <c r="E2133" i="2"/>
  <c r="G2133" i="2"/>
  <c r="F2135" i="2"/>
  <c r="G2135" i="2"/>
  <c r="M2135" i="2"/>
  <c r="N2135" i="2"/>
  <c r="R2135" i="2"/>
  <c r="S2135" i="2"/>
  <c r="X2135" i="2"/>
  <c r="Y2135" i="2"/>
  <c r="F2136" i="2"/>
  <c r="G2136" i="2"/>
  <c r="M2136" i="2"/>
  <c r="N2136" i="2"/>
  <c r="R2136" i="2"/>
  <c r="S2136" i="2"/>
  <c r="X2136" i="2"/>
  <c r="Y2136" i="2" s="1"/>
  <c r="F2137" i="2"/>
  <c r="G2137" i="2"/>
  <c r="M2137" i="2"/>
  <c r="N2137" i="2"/>
  <c r="R2137" i="2"/>
  <c r="S2137" i="2"/>
  <c r="X2137" i="2"/>
  <c r="Y2137" i="2"/>
  <c r="F2138" i="2"/>
  <c r="G2138" i="2"/>
  <c r="M2138" i="2"/>
  <c r="N2138" i="2"/>
  <c r="R2138" i="2"/>
  <c r="S2138" i="2"/>
  <c r="X2138" i="2"/>
  <c r="Y2138" i="2"/>
  <c r="F2139" i="2"/>
  <c r="G2139" i="2"/>
  <c r="M2139" i="2"/>
  <c r="N2139" i="2"/>
  <c r="R2139" i="2"/>
  <c r="S2139" i="2"/>
  <c r="X2139" i="2"/>
  <c r="Y2139" i="2"/>
  <c r="F2140" i="2"/>
  <c r="G2140" i="2"/>
  <c r="M2140" i="2"/>
  <c r="N2140" i="2"/>
  <c r="R2140" i="2"/>
  <c r="S2140" i="2"/>
  <c r="X2140" i="2"/>
  <c r="Y2140" i="2"/>
  <c r="F2141" i="2"/>
  <c r="G2141" i="2"/>
  <c r="M2141" i="2"/>
  <c r="N2141" i="2"/>
  <c r="R2141" i="2"/>
  <c r="S2141" i="2"/>
  <c r="X2141" i="2"/>
  <c r="Y2141" i="2"/>
  <c r="F2142" i="2"/>
  <c r="G2142" i="2"/>
  <c r="M2142" i="2"/>
  <c r="N2142" i="2"/>
  <c r="R2142" i="2"/>
  <c r="S2142" i="2"/>
  <c r="X2142" i="2"/>
  <c r="Y2142" i="2"/>
  <c r="F2143" i="2"/>
  <c r="G2143" i="2"/>
  <c r="M2143" i="2"/>
  <c r="N2143" i="2"/>
  <c r="R2143" i="2"/>
  <c r="S2143" i="2"/>
  <c r="X2143" i="2"/>
  <c r="Y2143" i="2" s="1"/>
  <c r="F2144" i="2"/>
  <c r="G2144" i="2"/>
  <c r="M2144" i="2"/>
  <c r="N2144" i="2"/>
  <c r="R2144" i="2"/>
  <c r="S2144" i="2"/>
  <c r="X2144" i="2"/>
  <c r="Y2144" i="2"/>
  <c r="F2145" i="2"/>
  <c r="G2145" i="2"/>
  <c r="M2145" i="2"/>
  <c r="N2145" i="2"/>
  <c r="R2145" i="2"/>
  <c r="S2145" i="2"/>
  <c r="X2145" i="2"/>
  <c r="Y2145" i="2"/>
  <c r="F2146" i="2"/>
  <c r="G2146" i="2"/>
  <c r="M2146" i="2"/>
  <c r="N2146" i="2"/>
  <c r="R2146" i="2"/>
  <c r="S2146" i="2"/>
  <c r="X2146" i="2"/>
  <c r="Y2146" i="2"/>
  <c r="F2147" i="2"/>
  <c r="G2147" i="2"/>
  <c r="M2147" i="2"/>
  <c r="N2147" i="2"/>
  <c r="R2147" i="2"/>
  <c r="S2147" i="2"/>
  <c r="X2147" i="2"/>
  <c r="Y2147" i="2" s="1"/>
  <c r="F2148" i="2"/>
  <c r="G2148" i="2"/>
  <c r="M2148" i="2"/>
  <c r="N2148" i="2"/>
  <c r="R2148" i="2"/>
  <c r="S2148" i="2"/>
  <c r="X2148" i="2"/>
  <c r="Y2148" i="2"/>
  <c r="F2149" i="2"/>
  <c r="G2149" i="2"/>
  <c r="M2149" i="2"/>
  <c r="N2149" i="2"/>
  <c r="R2149" i="2"/>
  <c r="S2149" i="2"/>
  <c r="X2149" i="2"/>
  <c r="Y2149" i="2"/>
  <c r="F2150" i="2"/>
  <c r="G2150" i="2"/>
  <c r="M2150" i="2"/>
  <c r="N2150" i="2"/>
  <c r="R2150" i="2"/>
  <c r="S2150" i="2"/>
  <c r="X2150" i="2"/>
  <c r="Y2150" i="2"/>
  <c r="F2151" i="2"/>
  <c r="G2151" i="2"/>
  <c r="M2151" i="2"/>
  <c r="N2151" i="2"/>
  <c r="R2151" i="2"/>
  <c r="S2151" i="2"/>
  <c r="X2151" i="2"/>
  <c r="Y2151" i="2"/>
  <c r="F2152" i="2"/>
  <c r="G2152" i="2"/>
  <c r="M2152" i="2"/>
  <c r="N2152" i="2"/>
  <c r="R2152" i="2"/>
  <c r="S2152" i="2"/>
  <c r="X2152" i="2"/>
  <c r="Y2152" i="2"/>
  <c r="F2153" i="2"/>
  <c r="G2153" i="2"/>
  <c r="M2153" i="2"/>
  <c r="N2153" i="2"/>
  <c r="R2153" i="2"/>
  <c r="S2153" i="2"/>
  <c r="X2153" i="2"/>
  <c r="Y2153" i="2"/>
  <c r="F2154" i="2"/>
  <c r="G2154" i="2"/>
  <c r="M2154" i="2"/>
  <c r="N2154" i="2"/>
  <c r="R2154" i="2"/>
  <c r="S2154" i="2"/>
  <c r="X2154" i="2"/>
  <c r="Y2154" i="2" s="1"/>
  <c r="F2155" i="2"/>
  <c r="G2155" i="2"/>
  <c r="M2155" i="2"/>
  <c r="N2155" i="2"/>
  <c r="R2155" i="2"/>
  <c r="S2155" i="2"/>
  <c r="X2155" i="2"/>
  <c r="Y2155" i="2"/>
  <c r="F2156" i="2"/>
  <c r="G2156" i="2"/>
  <c r="M2156" i="2"/>
  <c r="N2156" i="2"/>
  <c r="R2156" i="2"/>
  <c r="S2156" i="2"/>
  <c r="X2156" i="2"/>
  <c r="Y2156" i="2" s="1"/>
  <c r="F2157" i="2"/>
  <c r="G2157" i="2"/>
  <c r="M2157" i="2"/>
  <c r="N2157" i="2"/>
  <c r="R2157" i="2"/>
  <c r="S2157" i="2"/>
  <c r="X2157" i="2"/>
  <c r="Y2157" i="2"/>
  <c r="F2158" i="2"/>
  <c r="G2158" i="2"/>
  <c r="M2158" i="2"/>
  <c r="N2158" i="2"/>
  <c r="R2158" i="2"/>
  <c r="S2158" i="2"/>
  <c r="X2158" i="2"/>
  <c r="Y2158" i="2"/>
  <c r="F2159" i="2"/>
  <c r="G2159" i="2"/>
  <c r="M2159" i="2"/>
  <c r="N2159" i="2"/>
  <c r="R2159" i="2"/>
  <c r="S2159" i="2"/>
  <c r="X2159" i="2"/>
  <c r="Y2159" i="2"/>
  <c r="F2160" i="2"/>
  <c r="G2160" i="2"/>
  <c r="M2160" i="2"/>
  <c r="N2160" i="2"/>
  <c r="R2160" i="2"/>
  <c r="S2160" i="2"/>
  <c r="X2160" i="2"/>
  <c r="Y2160" i="2"/>
  <c r="F2161" i="2"/>
  <c r="G2161" i="2"/>
  <c r="M2161" i="2"/>
  <c r="N2161" i="2"/>
  <c r="R2161" i="2"/>
  <c r="S2161" i="2"/>
  <c r="X2161" i="2"/>
  <c r="Y2161" i="2"/>
  <c r="F2162" i="2"/>
  <c r="G2162" i="2"/>
  <c r="M2162" i="2"/>
  <c r="N2162" i="2"/>
  <c r="R2162" i="2"/>
  <c r="S2162" i="2"/>
  <c r="X2162" i="2"/>
  <c r="Y2162" i="2"/>
  <c r="F2163" i="2"/>
  <c r="G2163" i="2"/>
  <c r="M2163" i="2"/>
  <c r="N2163" i="2"/>
  <c r="R2163" i="2"/>
  <c r="S2163" i="2"/>
  <c r="X2163" i="2"/>
  <c r="Y2163" i="2"/>
  <c r="F2164" i="2"/>
  <c r="G2164" i="2"/>
  <c r="M2164" i="2"/>
  <c r="N2164" i="2"/>
  <c r="R2164" i="2"/>
  <c r="S2164" i="2"/>
  <c r="X2164" i="2"/>
  <c r="Y2164" i="2"/>
  <c r="F2165" i="2"/>
  <c r="G2165" i="2"/>
  <c r="M2165" i="2"/>
  <c r="N2165" i="2"/>
  <c r="R2165" i="2"/>
  <c r="S2165" i="2"/>
  <c r="X2165" i="2"/>
  <c r="Y2165" i="2"/>
  <c r="F2166" i="2"/>
  <c r="G2166" i="2"/>
  <c r="M2166" i="2"/>
  <c r="N2166" i="2"/>
  <c r="R2166" i="2"/>
  <c r="S2166" i="2"/>
  <c r="X2166" i="2"/>
  <c r="Y2166" i="2"/>
  <c r="J2168" i="2"/>
  <c r="K2168" i="2"/>
  <c r="L2168" i="2"/>
  <c r="M2168" i="2" s="1"/>
  <c r="N2168" i="2" s="1"/>
  <c r="O2168" i="2"/>
  <c r="P2168" i="2"/>
  <c r="Q2168" i="2"/>
  <c r="R2168" i="2" s="1"/>
  <c r="S2168" i="2"/>
  <c r="U2168" i="2"/>
  <c r="V2168" i="2"/>
  <c r="W2168" i="2"/>
  <c r="Z2168" i="2"/>
  <c r="AA2168" i="2"/>
  <c r="AB2168" i="2"/>
  <c r="E2170" i="2"/>
  <c r="G2170" i="2"/>
  <c r="F2172" i="2"/>
  <c r="G2172" i="2"/>
  <c r="M2172" i="2"/>
  <c r="N2172" i="2"/>
  <c r="R2172" i="2"/>
  <c r="S2172" i="2"/>
  <c r="X2172" i="2"/>
  <c r="Y2172" i="2" s="1"/>
  <c r="F2173" i="2"/>
  <c r="G2173" i="2"/>
  <c r="M2173" i="2"/>
  <c r="N2173" i="2"/>
  <c r="R2173" i="2"/>
  <c r="S2173" i="2"/>
  <c r="X2173" i="2"/>
  <c r="Y2173" i="2"/>
  <c r="F2174" i="2"/>
  <c r="G2174" i="2"/>
  <c r="M2174" i="2"/>
  <c r="N2174" i="2"/>
  <c r="R2174" i="2"/>
  <c r="S2174" i="2"/>
  <c r="X2174" i="2"/>
  <c r="Y2174" i="2"/>
  <c r="F2175" i="2"/>
  <c r="G2175" i="2"/>
  <c r="M2175" i="2"/>
  <c r="N2175" i="2"/>
  <c r="R2175" i="2"/>
  <c r="S2175" i="2"/>
  <c r="X2175" i="2"/>
  <c r="Y2175" i="2" s="1"/>
  <c r="F2176" i="2"/>
  <c r="G2176" i="2"/>
  <c r="M2176" i="2"/>
  <c r="N2176" i="2"/>
  <c r="R2176" i="2"/>
  <c r="S2176" i="2"/>
  <c r="X2176" i="2"/>
  <c r="Y2176" i="2"/>
  <c r="F2177" i="2"/>
  <c r="G2177" i="2"/>
  <c r="M2177" i="2"/>
  <c r="N2177" i="2"/>
  <c r="R2177" i="2"/>
  <c r="S2177" i="2"/>
  <c r="X2177" i="2"/>
  <c r="Y2177" i="2"/>
  <c r="F2178" i="2"/>
  <c r="G2178" i="2"/>
  <c r="M2178" i="2"/>
  <c r="N2178" i="2"/>
  <c r="R2178" i="2"/>
  <c r="S2178" i="2"/>
  <c r="X2178" i="2"/>
  <c r="Y2178" i="2"/>
  <c r="J2180" i="2"/>
  <c r="M2180" i="2" s="1"/>
  <c r="K2180" i="2"/>
  <c r="L2180" i="2"/>
  <c r="N2180" i="2"/>
  <c r="O2180" i="2"/>
  <c r="P2180" i="2"/>
  <c r="Q2180" i="2"/>
  <c r="U2180" i="2"/>
  <c r="V2180" i="2"/>
  <c r="W2180" i="2"/>
  <c r="X2180" i="2"/>
  <c r="Z2180" i="2"/>
  <c r="AA2180" i="2"/>
  <c r="AB2180" i="2"/>
  <c r="E2182" i="2"/>
  <c r="G2182" i="2"/>
  <c r="F2184" i="2"/>
  <c r="G2184" i="2"/>
  <c r="M2184" i="2"/>
  <c r="N2184" i="2"/>
  <c r="R2184" i="2"/>
  <c r="S2184" i="2" s="1"/>
  <c r="X2184" i="2"/>
  <c r="Y2184" i="2" s="1"/>
  <c r="F2185" i="2"/>
  <c r="G2185" i="2"/>
  <c r="M2185" i="2"/>
  <c r="N2185" i="2"/>
  <c r="R2185" i="2"/>
  <c r="S2185" i="2" s="1"/>
  <c r="X2185" i="2"/>
  <c r="Y2185" i="2"/>
  <c r="F2186" i="2"/>
  <c r="G2186" i="2"/>
  <c r="M2186" i="2"/>
  <c r="N2186" i="2"/>
  <c r="R2186" i="2"/>
  <c r="S2186" i="2" s="1"/>
  <c r="X2186" i="2"/>
  <c r="Y2186" i="2" s="1"/>
  <c r="F2187" i="2"/>
  <c r="G2187" i="2"/>
  <c r="M2187" i="2"/>
  <c r="N2187" i="2"/>
  <c r="R2187" i="2"/>
  <c r="S2187" i="2" s="1"/>
  <c r="X2187" i="2"/>
  <c r="Y2187" i="2" s="1"/>
  <c r="F2188" i="2"/>
  <c r="G2188" i="2"/>
  <c r="M2188" i="2"/>
  <c r="N2188" i="2"/>
  <c r="R2188" i="2"/>
  <c r="S2188" i="2" s="1"/>
  <c r="X2188" i="2"/>
  <c r="Y2188" i="2" s="1"/>
  <c r="F2189" i="2"/>
  <c r="G2189" i="2"/>
  <c r="M2189" i="2"/>
  <c r="N2189" i="2"/>
  <c r="R2189" i="2"/>
  <c r="S2189" i="2"/>
  <c r="X2189" i="2"/>
  <c r="Y2189" i="2" s="1"/>
  <c r="F2190" i="2"/>
  <c r="G2190" i="2"/>
  <c r="M2190" i="2"/>
  <c r="N2190" i="2"/>
  <c r="R2190" i="2"/>
  <c r="S2190" i="2" s="1"/>
  <c r="X2190" i="2"/>
  <c r="Y2190" i="2"/>
  <c r="F2191" i="2"/>
  <c r="G2191" i="2"/>
  <c r="M2191" i="2"/>
  <c r="N2191" i="2"/>
  <c r="R2191" i="2"/>
  <c r="S2191" i="2" s="1"/>
  <c r="X2191" i="2"/>
  <c r="Y2191" i="2"/>
  <c r="F2192" i="2"/>
  <c r="G2192" i="2"/>
  <c r="M2192" i="2"/>
  <c r="N2192" i="2"/>
  <c r="R2192" i="2"/>
  <c r="S2192" i="2" s="1"/>
  <c r="X2192" i="2"/>
  <c r="Y2192" i="2" s="1"/>
  <c r="F2193" i="2"/>
  <c r="G2193" i="2"/>
  <c r="M2193" i="2"/>
  <c r="N2193" i="2"/>
  <c r="R2193" i="2"/>
  <c r="S2193" i="2" s="1"/>
  <c r="X2193" i="2"/>
  <c r="Y2193" i="2"/>
  <c r="F2194" i="2"/>
  <c r="G2194" i="2"/>
  <c r="M2194" i="2"/>
  <c r="N2194" i="2"/>
  <c r="R2194" i="2"/>
  <c r="S2194" i="2" s="1"/>
  <c r="X2194" i="2"/>
  <c r="Y2194" i="2"/>
  <c r="F2195" i="2"/>
  <c r="G2195" i="2"/>
  <c r="M2195" i="2"/>
  <c r="N2195" i="2"/>
  <c r="R2195" i="2"/>
  <c r="S2195" i="2" s="1"/>
  <c r="X2195" i="2"/>
  <c r="Y2195" i="2" s="1"/>
  <c r="F2196" i="2"/>
  <c r="G2196" i="2"/>
  <c r="M2196" i="2"/>
  <c r="N2196" i="2"/>
  <c r="R2196" i="2"/>
  <c r="S2196" i="2" s="1"/>
  <c r="X2196" i="2"/>
  <c r="Y2196" i="2"/>
  <c r="F2197" i="2"/>
  <c r="G2197" i="2"/>
  <c r="M2197" i="2"/>
  <c r="N2197" i="2"/>
  <c r="R2197" i="2"/>
  <c r="S2197" i="2" s="1"/>
  <c r="X2197" i="2"/>
  <c r="Y2197" i="2"/>
  <c r="F2198" i="2"/>
  <c r="G2198" i="2"/>
  <c r="M2198" i="2"/>
  <c r="N2198" i="2"/>
  <c r="R2198" i="2"/>
  <c r="S2198" i="2"/>
  <c r="X2198" i="2"/>
  <c r="Y2198" i="2" s="1"/>
  <c r="F2199" i="2"/>
  <c r="G2199" i="2"/>
  <c r="M2199" i="2"/>
  <c r="N2199" i="2"/>
  <c r="R2199" i="2"/>
  <c r="S2199" i="2" s="1"/>
  <c r="X2199" i="2"/>
  <c r="Y2199" i="2" s="1"/>
  <c r="F2200" i="2"/>
  <c r="G2200" i="2"/>
  <c r="M2200" i="2"/>
  <c r="N2200" i="2"/>
  <c r="R2200" i="2"/>
  <c r="S2200" i="2"/>
  <c r="X2200" i="2"/>
  <c r="Y2200" i="2"/>
  <c r="F2201" i="2"/>
  <c r="G2201" i="2"/>
  <c r="M2201" i="2"/>
  <c r="N2201" i="2"/>
  <c r="R2201" i="2"/>
  <c r="S2201" i="2"/>
  <c r="X2201" i="2"/>
  <c r="Y2201" i="2" s="1"/>
  <c r="F2202" i="2"/>
  <c r="G2202" i="2"/>
  <c r="M2202" i="2"/>
  <c r="N2202" i="2"/>
  <c r="R2202" i="2"/>
  <c r="S2202" i="2"/>
  <c r="X2202" i="2"/>
  <c r="Y2202" i="2" s="1"/>
  <c r="F2203" i="2"/>
  <c r="G2203" i="2"/>
  <c r="M2203" i="2"/>
  <c r="N2203" i="2"/>
  <c r="R2203" i="2"/>
  <c r="S2203" i="2"/>
  <c r="X2203" i="2"/>
  <c r="Y2203" i="2" s="1"/>
  <c r="F2204" i="2"/>
  <c r="G2204" i="2"/>
  <c r="M2204" i="2"/>
  <c r="N2204" i="2"/>
  <c r="R2204" i="2"/>
  <c r="S2204" i="2"/>
  <c r="X2204" i="2"/>
  <c r="Y2204" i="2" s="1"/>
  <c r="F2205" i="2"/>
  <c r="G2205" i="2"/>
  <c r="M2205" i="2"/>
  <c r="N2205" i="2"/>
  <c r="R2205" i="2"/>
  <c r="S2205" i="2"/>
  <c r="X2205" i="2"/>
  <c r="Y2205" i="2" s="1"/>
  <c r="F2206" i="2"/>
  <c r="G2206" i="2"/>
  <c r="M2206" i="2"/>
  <c r="N2206" i="2"/>
  <c r="R2206" i="2"/>
  <c r="S2206" i="2"/>
  <c r="X2206" i="2"/>
  <c r="Y2206" i="2" s="1"/>
  <c r="J2208" i="2"/>
  <c r="K2208" i="2"/>
  <c r="L2208" i="2"/>
  <c r="O2208" i="2"/>
  <c r="P2208" i="2"/>
  <c r="Q2208" i="2"/>
  <c r="R2208" i="2"/>
  <c r="U2208" i="2"/>
  <c r="V2208" i="2"/>
  <c r="W2208" i="2"/>
  <c r="X2208" i="2"/>
  <c r="Z2208" i="2"/>
  <c r="AA2208" i="2"/>
  <c r="AB2208" i="2"/>
  <c r="E2210" i="2"/>
  <c r="G2210" i="2"/>
  <c r="F2212" i="2"/>
  <c r="G2212" i="2"/>
  <c r="M2212" i="2"/>
  <c r="N2212" i="2"/>
  <c r="R2212" i="2"/>
  <c r="S2212" i="2" s="1"/>
  <c r="X2212" i="2"/>
  <c r="Y2212" i="2" s="1"/>
  <c r="F2213" i="2"/>
  <c r="G2213" i="2"/>
  <c r="M2213" i="2"/>
  <c r="N2213" i="2"/>
  <c r="R2213" i="2"/>
  <c r="S2213" i="2" s="1"/>
  <c r="X2213" i="2"/>
  <c r="Y2213" i="2"/>
  <c r="F2214" i="2"/>
  <c r="G2214" i="2"/>
  <c r="M2214" i="2"/>
  <c r="N2214" i="2"/>
  <c r="R2214" i="2"/>
  <c r="S2214" i="2" s="1"/>
  <c r="X2214" i="2"/>
  <c r="Y2214" i="2"/>
  <c r="F2215" i="2"/>
  <c r="G2215" i="2"/>
  <c r="M2215" i="2"/>
  <c r="N2215" i="2"/>
  <c r="R2215" i="2"/>
  <c r="S2215" i="2" s="1"/>
  <c r="X2215" i="2"/>
  <c r="Y2215" i="2" s="1"/>
  <c r="F2216" i="2"/>
  <c r="G2216" i="2"/>
  <c r="M2216" i="2"/>
  <c r="N2216" i="2"/>
  <c r="R2216" i="2"/>
  <c r="S2216" i="2" s="1"/>
  <c r="X2216" i="2"/>
  <c r="Y2216" i="2" s="1"/>
  <c r="F2217" i="2"/>
  <c r="G2217" i="2"/>
  <c r="M2217" i="2"/>
  <c r="N2217" i="2"/>
  <c r="R2217" i="2"/>
  <c r="S2217" i="2" s="1"/>
  <c r="X2217" i="2"/>
  <c r="Y2217" i="2" s="1"/>
  <c r="F2218" i="2"/>
  <c r="G2218" i="2"/>
  <c r="M2218" i="2"/>
  <c r="N2218" i="2"/>
  <c r="R2218" i="2"/>
  <c r="S2218" i="2" s="1"/>
  <c r="X2218" i="2"/>
  <c r="Y2218" i="2" s="1"/>
  <c r="F2219" i="2"/>
  <c r="G2219" i="2"/>
  <c r="M2219" i="2"/>
  <c r="N2219" i="2"/>
  <c r="R2219" i="2"/>
  <c r="S2219" i="2" s="1"/>
  <c r="X2219" i="2"/>
  <c r="Y2219" i="2" s="1"/>
  <c r="F2220" i="2"/>
  <c r="G2220" i="2"/>
  <c r="M2220" i="2"/>
  <c r="N2220" i="2"/>
  <c r="R2220" i="2"/>
  <c r="S2220" i="2" s="1"/>
  <c r="X2220" i="2"/>
  <c r="Y2220" i="2" s="1"/>
  <c r="F2221" i="2"/>
  <c r="G2221" i="2"/>
  <c r="M2221" i="2"/>
  <c r="N2221" i="2"/>
  <c r="R2221" i="2"/>
  <c r="S2221" i="2" s="1"/>
  <c r="X2221" i="2"/>
  <c r="Y2221" i="2" s="1"/>
  <c r="F2222" i="2"/>
  <c r="G2222" i="2"/>
  <c r="M2222" i="2"/>
  <c r="N2222" i="2"/>
  <c r="R2222" i="2"/>
  <c r="S2222" i="2" s="1"/>
  <c r="X2222" i="2"/>
  <c r="Y2222" i="2"/>
  <c r="F2223" i="2"/>
  <c r="G2223" i="2"/>
  <c r="M2223" i="2"/>
  <c r="N2223" i="2"/>
  <c r="R2223" i="2"/>
  <c r="S2223" i="2" s="1"/>
  <c r="X2223" i="2"/>
  <c r="Y2223" i="2"/>
  <c r="F2224" i="2"/>
  <c r="G2224" i="2"/>
  <c r="M2224" i="2"/>
  <c r="N2224" i="2"/>
  <c r="R2224" i="2"/>
  <c r="S2224" i="2" s="1"/>
  <c r="X2224" i="2"/>
  <c r="Y2224" i="2" s="1"/>
  <c r="F2225" i="2"/>
  <c r="G2225" i="2"/>
  <c r="M2225" i="2"/>
  <c r="N2225" i="2"/>
  <c r="R2225" i="2"/>
  <c r="S2225" i="2" s="1"/>
  <c r="X2225" i="2"/>
  <c r="Y2225" i="2" s="1"/>
  <c r="J2227" i="2"/>
  <c r="N2227" i="2" s="1"/>
  <c r="K2227" i="2"/>
  <c r="L2227" i="2"/>
  <c r="O2227" i="2"/>
  <c r="P2227" i="2"/>
  <c r="Q2227" i="2"/>
  <c r="R2227" i="2"/>
  <c r="U2227" i="2"/>
  <c r="V2227" i="2"/>
  <c r="W2227" i="2"/>
  <c r="Z2227" i="2"/>
  <c r="AA2227" i="2"/>
  <c r="AB2227" i="2"/>
  <c r="E2229" i="2"/>
  <c r="G2229" i="2"/>
  <c r="F2231" i="2"/>
  <c r="G2231" i="2"/>
  <c r="M2231" i="2"/>
  <c r="N2231" i="2"/>
  <c r="R2231" i="2"/>
  <c r="S2231" i="2" s="1"/>
  <c r="X2231" i="2"/>
  <c r="Y2231" i="2"/>
  <c r="F2232" i="2"/>
  <c r="G2232" i="2"/>
  <c r="M2232" i="2"/>
  <c r="N2232" i="2"/>
  <c r="R2232" i="2"/>
  <c r="S2232" i="2"/>
  <c r="X2232" i="2"/>
  <c r="Y2232" i="2"/>
  <c r="F2233" i="2"/>
  <c r="G2233" i="2"/>
  <c r="M2233" i="2"/>
  <c r="N2233" i="2"/>
  <c r="R2233" i="2"/>
  <c r="S2233" i="2" s="1"/>
  <c r="X2233" i="2"/>
  <c r="Y2233" i="2"/>
  <c r="F2234" i="2"/>
  <c r="G2234" i="2"/>
  <c r="M2234" i="2"/>
  <c r="N2234" i="2"/>
  <c r="R2234" i="2"/>
  <c r="S2234" i="2"/>
  <c r="X2234" i="2"/>
  <c r="Y2234" i="2"/>
  <c r="F2235" i="2"/>
  <c r="G2235" i="2"/>
  <c r="M2235" i="2"/>
  <c r="N2235" i="2"/>
  <c r="R2235" i="2"/>
  <c r="S2235" i="2" s="1"/>
  <c r="X2235" i="2"/>
  <c r="Y2235" i="2"/>
  <c r="F2236" i="2"/>
  <c r="G2236" i="2"/>
  <c r="M2236" i="2"/>
  <c r="N2236" i="2"/>
  <c r="R2236" i="2"/>
  <c r="S2236" i="2" s="1"/>
  <c r="X2236" i="2"/>
  <c r="Y2236" i="2"/>
  <c r="F2237" i="2"/>
  <c r="G2237" i="2"/>
  <c r="M2237" i="2"/>
  <c r="N2237" i="2"/>
  <c r="R2237" i="2"/>
  <c r="S2237" i="2" s="1"/>
  <c r="X2237" i="2"/>
  <c r="Y2237" i="2"/>
  <c r="F2238" i="2"/>
  <c r="G2238" i="2"/>
  <c r="M2238" i="2"/>
  <c r="N2238" i="2"/>
  <c r="R2238" i="2"/>
  <c r="S2238" i="2" s="1"/>
  <c r="X2238" i="2"/>
  <c r="Y2238" i="2"/>
  <c r="F2239" i="2"/>
  <c r="G2239" i="2"/>
  <c r="M2239" i="2"/>
  <c r="N2239" i="2"/>
  <c r="R2239" i="2"/>
  <c r="S2239" i="2" s="1"/>
  <c r="X2239" i="2"/>
  <c r="Y2239" i="2"/>
  <c r="F2240" i="2"/>
  <c r="G2240" i="2"/>
  <c r="M2240" i="2"/>
  <c r="N2240" i="2"/>
  <c r="R2240" i="2"/>
  <c r="S2240" i="2" s="1"/>
  <c r="X2240" i="2"/>
  <c r="Y2240" i="2"/>
  <c r="F2241" i="2"/>
  <c r="G2241" i="2"/>
  <c r="M2241" i="2"/>
  <c r="N2241" i="2"/>
  <c r="R2241" i="2"/>
  <c r="S2241" i="2"/>
  <c r="X2241" i="2"/>
  <c r="Y2241" i="2"/>
  <c r="F2242" i="2"/>
  <c r="G2242" i="2"/>
  <c r="M2242" i="2"/>
  <c r="N2242" i="2"/>
  <c r="R2242" i="2"/>
  <c r="S2242" i="2"/>
  <c r="X2242" i="2"/>
  <c r="Y2242" i="2"/>
  <c r="F2243" i="2"/>
  <c r="G2243" i="2"/>
  <c r="M2243" i="2"/>
  <c r="N2243" i="2"/>
  <c r="R2243" i="2"/>
  <c r="S2243" i="2" s="1"/>
  <c r="X2243" i="2"/>
  <c r="Y2243" i="2"/>
  <c r="F2244" i="2"/>
  <c r="G2244" i="2"/>
  <c r="M2244" i="2"/>
  <c r="N2244" i="2"/>
  <c r="R2244" i="2"/>
  <c r="S2244" i="2" s="1"/>
  <c r="X2244" i="2"/>
  <c r="Y2244" i="2"/>
  <c r="F2245" i="2"/>
  <c r="G2245" i="2"/>
  <c r="M2245" i="2"/>
  <c r="N2245" i="2"/>
  <c r="R2245" i="2"/>
  <c r="S2245" i="2" s="1"/>
  <c r="X2245" i="2"/>
  <c r="Y2245" i="2"/>
  <c r="F2246" i="2"/>
  <c r="G2246" i="2"/>
  <c r="M2246" i="2"/>
  <c r="N2246" i="2"/>
  <c r="R2246" i="2"/>
  <c r="S2246" i="2" s="1"/>
  <c r="X2246" i="2"/>
  <c r="Y2246" i="2"/>
  <c r="F2247" i="2"/>
  <c r="G2247" i="2"/>
  <c r="M2247" i="2"/>
  <c r="N2247" i="2"/>
  <c r="R2247" i="2"/>
  <c r="S2247" i="2" s="1"/>
  <c r="X2247" i="2"/>
  <c r="Y2247" i="2"/>
  <c r="F2248" i="2"/>
  <c r="G2248" i="2"/>
  <c r="M2248" i="2"/>
  <c r="N2248" i="2"/>
  <c r="R2248" i="2"/>
  <c r="S2248" i="2" s="1"/>
  <c r="X2248" i="2"/>
  <c r="Y2248" i="2"/>
  <c r="F2249" i="2"/>
  <c r="G2249" i="2"/>
  <c r="M2249" i="2"/>
  <c r="N2249" i="2"/>
  <c r="R2249" i="2"/>
  <c r="S2249" i="2"/>
  <c r="X2249" i="2"/>
  <c r="Y2249" i="2"/>
  <c r="F2250" i="2"/>
  <c r="G2250" i="2"/>
  <c r="M2250" i="2"/>
  <c r="N2250" i="2"/>
  <c r="R2250" i="2"/>
  <c r="S2250" i="2" s="1"/>
  <c r="X2250" i="2"/>
  <c r="Y2250" i="2"/>
  <c r="F2251" i="2"/>
  <c r="G2251" i="2"/>
  <c r="M2251" i="2"/>
  <c r="N2251" i="2"/>
  <c r="R2251" i="2"/>
  <c r="S2251" i="2" s="1"/>
  <c r="X2251" i="2"/>
  <c r="Y2251" i="2"/>
  <c r="F2252" i="2"/>
  <c r="G2252" i="2"/>
  <c r="M2252" i="2"/>
  <c r="N2252" i="2"/>
  <c r="R2252" i="2"/>
  <c r="S2252" i="2" s="1"/>
  <c r="X2252" i="2"/>
  <c r="Y2252" i="2"/>
  <c r="F2253" i="2"/>
  <c r="G2253" i="2"/>
  <c r="M2253" i="2"/>
  <c r="N2253" i="2"/>
  <c r="R2253" i="2"/>
  <c r="S2253" i="2"/>
  <c r="X2253" i="2"/>
  <c r="Y2253" i="2"/>
  <c r="F2254" i="2"/>
  <c r="G2254" i="2"/>
  <c r="M2254" i="2"/>
  <c r="N2254" i="2"/>
  <c r="R2254" i="2"/>
  <c r="S2254" i="2" s="1"/>
  <c r="X2254" i="2"/>
  <c r="Y2254" i="2"/>
  <c r="F2255" i="2"/>
  <c r="G2255" i="2"/>
  <c r="M2255" i="2"/>
  <c r="N2255" i="2"/>
  <c r="R2255" i="2"/>
  <c r="S2255" i="2" s="1"/>
  <c r="X2255" i="2"/>
  <c r="Y2255" i="2"/>
  <c r="F2256" i="2"/>
  <c r="G2256" i="2"/>
  <c r="M2256" i="2"/>
  <c r="N2256" i="2"/>
  <c r="R2256" i="2"/>
  <c r="S2256" i="2" s="1"/>
  <c r="X2256" i="2"/>
  <c r="Y2256" i="2"/>
  <c r="F2257" i="2"/>
  <c r="G2257" i="2"/>
  <c r="M2257" i="2"/>
  <c r="N2257" i="2"/>
  <c r="R2257" i="2"/>
  <c r="S2257" i="2" s="1"/>
  <c r="X2257" i="2"/>
  <c r="Y2257" i="2"/>
  <c r="F2258" i="2"/>
  <c r="G2258" i="2"/>
  <c r="M2258" i="2"/>
  <c r="N2258" i="2"/>
  <c r="R2258" i="2"/>
  <c r="S2258" i="2"/>
  <c r="X2258" i="2"/>
  <c r="Y2258" i="2"/>
  <c r="F2259" i="2"/>
  <c r="G2259" i="2"/>
  <c r="M2259" i="2"/>
  <c r="N2259" i="2"/>
  <c r="R2259" i="2"/>
  <c r="S2259" i="2" s="1"/>
  <c r="X2259" i="2"/>
  <c r="Y2259" i="2"/>
  <c r="F2260" i="2"/>
  <c r="G2260" i="2"/>
  <c r="M2260" i="2"/>
  <c r="N2260" i="2"/>
  <c r="R2260" i="2"/>
  <c r="S2260" i="2" s="1"/>
  <c r="X2260" i="2"/>
  <c r="Y2260" i="2"/>
  <c r="F2261" i="2"/>
  <c r="G2261" i="2"/>
  <c r="M2261" i="2"/>
  <c r="N2261" i="2"/>
  <c r="R2261" i="2"/>
  <c r="S2261" i="2" s="1"/>
  <c r="X2261" i="2"/>
  <c r="Y2261" i="2"/>
  <c r="F2262" i="2"/>
  <c r="G2262" i="2"/>
  <c r="M2262" i="2"/>
  <c r="N2262" i="2"/>
  <c r="R2262" i="2"/>
  <c r="S2262" i="2" s="1"/>
  <c r="X2262" i="2"/>
  <c r="Y2262" i="2"/>
  <c r="J2264" i="2"/>
  <c r="K2264" i="2"/>
  <c r="L2264" i="2"/>
  <c r="M2264" i="2"/>
  <c r="O2264" i="2"/>
  <c r="P2264" i="2"/>
  <c r="Q2264" i="2"/>
  <c r="U2264" i="2"/>
  <c r="V2264" i="2"/>
  <c r="W2264" i="2"/>
  <c r="X2264" i="2"/>
  <c r="Y2264" i="2"/>
  <c r="Z2264" i="2"/>
  <c r="AA2264" i="2"/>
  <c r="AB2264" i="2"/>
  <c r="E2266" i="2"/>
  <c r="G2266" i="2"/>
  <c r="F2268" i="2"/>
  <c r="G2268" i="2"/>
  <c r="M2268" i="2"/>
  <c r="N2268" i="2"/>
  <c r="R2268" i="2"/>
  <c r="S2268" i="2" s="1"/>
  <c r="X2268" i="2"/>
  <c r="Y2268" i="2"/>
  <c r="F2269" i="2"/>
  <c r="G2269" i="2"/>
  <c r="M2269" i="2"/>
  <c r="N2269" i="2"/>
  <c r="R2269" i="2"/>
  <c r="S2269" i="2" s="1"/>
  <c r="X2269" i="2"/>
  <c r="Y2269" i="2"/>
  <c r="F2270" i="2"/>
  <c r="G2270" i="2"/>
  <c r="M2270" i="2"/>
  <c r="N2270" i="2"/>
  <c r="R2270" i="2"/>
  <c r="S2270" i="2" s="1"/>
  <c r="X2270" i="2"/>
  <c r="Y2270" i="2"/>
  <c r="F2271" i="2"/>
  <c r="G2271" i="2"/>
  <c r="M2271" i="2"/>
  <c r="N2271" i="2"/>
  <c r="R2271" i="2"/>
  <c r="S2271" i="2" s="1"/>
  <c r="X2271" i="2"/>
  <c r="Y2271" i="2"/>
  <c r="F2272" i="2"/>
  <c r="G2272" i="2"/>
  <c r="M2272" i="2"/>
  <c r="N2272" i="2"/>
  <c r="R2272" i="2"/>
  <c r="S2272" i="2" s="1"/>
  <c r="X2272" i="2"/>
  <c r="Y2272" i="2"/>
  <c r="F2273" i="2"/>
  <c r="G2273" i="2"/>
  <c r="M2273" i="2"/>
  <c r="N2273" i="2"/>
  <c r="R2273" i="2"/>
  <c r="S2273" i="2" s="1"/>
  <c r="X2273" i="2"/>
  <c r="Y2273" i="2"/>
  <c r="F2274" i="2"/>
  <c r="G2274" i="2"/>
  <c r="M2274" i="2"/>
  <c r="N2274" i="2"/>
  <c r="R2274" i="2"/>
  <c r="S2274" i="2" s="1"/>
  <c r="X2274" i="2"/>
  <c r="Y2274" i="2"/>
  <c r="F2275" i="2"/>
  <c r="G2275" i="2"/>
  <c r="M2275" i="2"/>
  <c r="N2275" i="2"/>
  <c r="R2275" i="2"/>
  <c r="S2275" i="2" s="1"/>
  <c r="X2275" i="2"/>
  <c r="Y2275" i="2"/>
  <c r="F2276" i="2"/>
  <c r="G2276" i="2"/>
  <c r="M2276" i="2"/>
  <c r="N2276" i="2"/>
  <c r="R2276" i="2"/>
  <c r="S2276" i="2" s="1"/>
  <c r="X2276" i="2"/>
  <c r="Y2276" i="2"/>
  <c r="F2277" i="2"/>
  <c r="G2277" i="2"/>
  <c r="M2277" i="2"/>
  <c r="N2277" i="2"/>
  <c r="R2277" i="2"/>
  <c r="S2277" i="2" s="1"/>
  <c r="X2277" i="2"/>
  <c r="Y2277" i="2"/>
  <c r="F2278" i="2"/>
  <c r="G2278" i="2"/>
  <c r="M2278" i="2"/>
  <c r="N2278" i="2"/>
  <c r="R2278" i="2"/>
  <c r="S2278" i="2" s="1"/>
  <c r="X2278" i="2"/>
  <c r="Y2278" i="2"/>
  <c r="F2279" i="2"/>
  <c r="G2279" i="2"/>
  <c r="M2279" i="2"/>
  <c r="N2279" i="2"/>
  <c r="R2279" i="2"/>
  <c r="S2279" i="2" s="1"/>
  <c r="X2279" i="2"/>
  <c r="Y2279" i="2"/>
  <c r="F2280" i="2"/>
  <c r="G2280" i="2"/>
  <c r="M2280" i="2"/>
  <c r="N2280" i="2"/>
  <c r="R2280" i="2"/>
  <c r="S2280" i="2" s="1"/>
  <c r="X2280" i="2"/>
  <c r="Y2280" i="2"/>
  <c r="F2281" i="2"/>
  <c r="G2281" i="2"/>
  <c r="M2281" i="2"/>
  <c r="N2281" i="2"/>
  <c r="R2281" i="2"/>
  <c r="S2281" i="2" s="1"/>
  <c r="X2281" i="2"/>
  <c r="Y2281" i="2"/>
  <c r="F2282" i="2"/>
  <c r="G2282" i="2"/>
  <c r="M2282" i="2"/>
  <c r="N2282" i="2"/>
  <c r="R2282" i="2"/>
  <c r="S2282" i="2" s="1"/>
  <c r="X2282" i="2"/>
  <c r="Y2282" i="2"/>
  <c r="F2283" i="2"/>
  <c r="G2283" i="2"/>
  <c r="M2283" i="2"/>
  <c r="N2283" i="2"/>
  <c r="R2283" i="2"/>
  <c r="S2283" i="2" s="1"/>
  <c r="X2283" i="2"/>
  <c r="Y2283" i="2"/>
  <c r="F2284" i="2"/>
  <c r="G2284" i="2"/>
  <c r="M2284" i="2"/>
  <c r="N2284" i="2"/>
  <c r="R2284" i="2"/>
  <c r="S2284" i="2" s="1"/>
  <c r="X2284" i="2"/>
  <c r="Y2284" i="2"/>
  <c r="F2285" i="2"/>
  <c r="G2285" i="2"/>
  <c r="M2285" i="2"/>
  <c r="N2285" i="2"/>
  <c r="R2285" i="2"/>
  <c r="S2285" i="2" s="1"/>
  <c r="X2285" i="2"/>
  <c r="Y2285" i="2"/>
  <c r="F2286" i="2"/>
  <c r="G2286" i="2"/>
  <c r="M2286" i="2"/>
  <c r="N2286" i="2"/>
  <c r="R2286" i="2"/>
  <c r="S2286" i="2" s="1"/>
  <c r="X2286" i="2"/>
  <c r="Y2286" i="2"/>
  <c r="F2287" i="2"/>
  <c r="G2287" i="2"/>
  <c r="M2287" i="2"/>
  <c r="N2287" i="2"/>
  <c r="R2287" i="2"/>
  <c r="S2287" i="2" s="1"/>
  <c r="X2287" i="2"/>
  <c r="Y2287" i="2"/>
  <c r="F2288" i="2"/>
  <c r="G2288" i="2"/>
  <c r="M2288" i="2"/>
  <c r="N2288" i="2"/>
  <c r="R2288" i="2"/>
  <c r="S2288" i="2" s="1"/>
  <c r="X2288" i="2"/>
  <c r="Y2288" i="2"/>
  <c r="F2289" i="2"/>
  <c r="G2289" i="2"/>
  <c r="M2289" i="2"/>
  <c r="N2289" i="2"/>
  <c r="R2289" i="2"/>
  <c r="S2289" i="2" s="1"/>
  <c r="X2289" i="2"/>
  <c r="Y2289" i="2"/>
  <c r="F2290" i="2"/>
  <c r="G2290" i="2"/>
  <c r="M2290" i="2"/>
  <c r="N2290" i="2"/>
  <c r="R2290" i="2"/>
  <c r="S2290" i="2" s="1"/>
  <c r="X2290" i="2"/>
  <c r="Y2290" i="2"/>
  <c r="F2291" i="2"/>
  <c r="G2291" i="2"/>
  <c r="M2291" i="2"/>
  <c r="N2291" i="2"/>
  <c r="R2291" i="2"/>
  <c r="S2291" i="2" s="1"/>
  <c r="X2291" i="2"/>
  <c r="Y2291" i="2"/>
  <c r="F2292" i="2"/>
  <c r="G2292" i="2"/>
  <c r="M2292" i="2"/>
  <c r="N2292" i="2"/>
  <c r="R2292" i="2"/>
  <c r="S2292" i="2" s="1"/>
  <c r="X2292" i="2"/>
  <c r="Y2292" i="2"/>
  <c r="F2293" i="2"/>
  <c r="G2293" i="2"/>
  <c r="M2293" i="2"/>
  <c r="N2293" i="2"/>
  <c r="R2293" i="2"/>
  <c r="S2293" i="2" s="1"/>
  <c r="X2293" i="2"/>
  <c r="Y2293" i="2"/>
  <c r="F2294" i="2"/>
  <c r="G2294" i="2"/>
  <c r="M2294" i="2"/>
  <c r="N2294" i="2"/>
  <c r="R2294" i="2"/>
  <c r="S2294" i="2" s="1"/>
  <c r="X2294" i="2"/>
  <c r="Y2294" i="2"/>
  <c r="F2295" i="2"/>
  <c r="G2295" i="2"/>
  <c r="M2295" i="2"/>
  <c r="N2295" i="2"/>
  <c r="R2295" i="2"/>
  <c r="S2295" i="2" s="1"/>
  <c r="X2295" i="2"/>
  <c r="Y2295" i="2"/>
  <c r="F2296" i="2"/>
  <c r="G2296" i="2"/>
  <c r="M2296" i="2"/>
  <c r="N2296" i="2"/>
  <c r="R2296" i="2"/>
  <c r="S2296" i="2" s="1"/>
  <c r="X2296" i="2"/>
  <c r="Y2296" i="2"/>
  <c r="F2297" i="2"/>
  <c r="G2297" i="2"/>
  <c r="M2297" i="2"/>
  <c r="N2297" i="2"/>
  <c r="R2297" i="2"/>
  <c r="S2297" i="2" s="1"/>
  <c r="X2297" i="2"/>
  <c r="Y2297" i="2"/>
  <c r="F2298" i="2"/>
  <c r="G2298" i="2"/>
  <c r="M2298" i="2"/>
  <c r="N2298" i="2"/>
  <c r="R2298" i="2"/>
  <c r="S2298" i="2" s="1"/>
  <c r="X2298" i="2"/>
  <c r="Y2298" i="2"/>
  <c r="F2299" i="2"/>
  <c r="G2299" i="2"/>
  <c r="M2299" i="2"/>
  <c r="N2299" i="2"/>
  <c r="R2299" i="2"/>
  <c r="S2299" i="2" s="1"/>
  <c r="X2299" i="2"/>
  <c r="Y2299" i="2"/>
  <c r="F2300" i="2"/>
  <c r="G2300" i="2"/>
  <c r="M2300" i="2"/>
  <c r="N2300" i="2"/>
  <c r="R2300" i="2"/>
  <c r="S2300" i="2" s="1"/>
  <c r="X2300" i="2"/>
  <c r="Y2300" i="2"/>
  <c r="F2301" i="2"/>
  <c r="G2301" i="2"/>
  <c r="M2301" i="2"/>
  <c r="N2301" i="2"/>
  <c r="R2301" i="2"/>
  <c r="S2301" i="2" s="1"/>
  <c r="X2301" i="2"/>
  <c r="Y2301" i="2"/>
  <c r="F2302" i="2"/>
  <c r="G2302" i="2"/>
  <c r="M2302" i="2"/>
  <c r="N2302" i="2"/>
  <c r="R2302" i="2"/>
  <c r="S2302" i="2" s="1"/>
  <c r="X2302" i="2"/>
  <c r="Y2302" i="2"/>
  <c r="F2303" i="2"/>
  <c r="G2303" i="2"/>
  <c r="M2303" i="2"/>
  <c r="N2303" i="2"/>
  <c r="R2303" i="2"/>
  <c r="S2303" i="2" s="1"/>
  <c r="X2303" i="2"/>
  <c r="Y2303" i="2"/>
  <c r="J2305" i="2"/>
  <c r="K2305" i="2"/>
  <c r="L2305" i="2"/>
  <c r="O2305" i="2"/>
  <c r="P2305" i="2"/>
  <c r="Q2305" i="2"/>
  <c r="R2305" i="2"/>
  <c r="S2305" i="2" s="1"/>
  <c r="U2305" i="2"/>
  <c r="X2305" i="2" s="1"/>
  <c r="V2305" i="2"/>
  <c r="W2305" i="2"/>
  <c r="Y2305" i="2"/>
  <c r="Z2305" i="2"/>
  <c r="AA2305" i="2"/>
  <c r="AB2305" i="2"/>
  <c r="E2307" i="2"/>
  <c r="G2307" i="2"/>
  <c r="F2309" i="2"/>
  <c r="G2309" i="2"/>
  <c r="M2309" i="2"/>
  <c r="N2309" i="2"/>
  <c r="R2309" i="2"/>
  <c r="S2309" i="2"/>
  <c r="X2309" i="2"/>
  <c r="Y2309" i="2"/>
  <c r="F2310" i="2"/>
  <c r="G2310" i="2"/>
  <c r="M2310" i="2"/>
  <c r="N2310" i="2" s="1"/>
  <c r="R2310" i="2"/>
  <c r="S2310" i="2"/>
  <c r="X2310" i="2"/>
  <c r="Y2310" i="2"/>
  <c r="F2311" i="2"/>
  <c r="G2311" i="2"/>
  <c r="M2311" i="2"/>
  <c r="N2311" i="2"/>
  <c r="R2311" i="2"/>
  <c r="S2311" i="2" s="1"/>
  <c r="X2311" i="2"/>
  <c r="Y2311" i="2"/>
  <c r="F2312" i="2"/>
  <c r="G2312" i="2"/>
  <c r="M2312" i="2"/>
  <c r="N2312" i="2" s="1"/>
  <c r="R2312" i="2"/>
  <c r="S2312" i="2" s="1"/>
  <c r="X2312" i="2"/>
  <c r="Y2312" i="2"/>
  <c r="F2313" i="2"/>
  <c r="G2313" i="2"/>
  <c r="M2313" i="2"/>
  <c r="N2313" i="2" s="1"/>
  <c r="R2313" i="2"/>
  <c r="S2313" i="2"/>
  <c r="X2313" i="2"/>
  <c r="Y2313" i="2"/>
  <c r="F2314" i="2"/>
  <c r="G2314" i="2"/>
  <c r="M2314" i="2"/>
  <c r="N2314" i="2" s="1"/>
  <c r="R2314" i="2"/>
  <c r="S2314" i="2"/>
  <c r="X2314" i="2"/>
  <c r="Y2314" i="2"/>
  <c r="F2315" i="2"/>
  <c r="G2315" i="2"/>
  <c r="M2315" i="2"/>
  <c r="N2315" i="2" s="1"/>
  <c r="R2315" i="2"/>
  <c r="S2315" i="2"/>
  <c r="X2315" i="2"/>
  <c r="Y2315" i="2"/>
  <c r="F2316" i="2"/>
  <c r="G2316" i="2"/>
  <c r="M2316" i="2"/>
  <c r="N2316" i="2" s="1"/>
  <c r="R2316" i="2"/>
  <c r="S2316" i="2"/>
  <c r="X2316" i="2"/>
  <c r="Y2316" i="2"/>
  <c r="F2317" i="2"/>
  <c r="G2317" i="2"/>
  <c r="M2317" i="2"/>
  <c r="N2317" i="2"/>
  <c r="R2317" i="2"/>
  <c r="S2317" i="2" s="1"/>
  <c r="X2317" i="2"/>
  <c r="Y2317" i="2"/>
  <c r="F2318" i="2"/>
  <c r="G2318" i="2"/>
  <c r="M2318" i="2"/>
  <c r="N2318" i="2" s="1"/>
  <c r="R2318" i="2"/>
  <c r="S2318" i="2" s="1"/>
  <c r="X2318" i="2"/>
  <c r="Y2318" i="2"/>
  <c r="F2319" i="2"/>
  <c r="G2319" i="2"/>
  <c r="M2319" i="2"/>
  <c r="N2319" i="2" s="1"/>
  <c r="R2319" i="2"/>
  <c r="S2319" i="2"/>
  <c r="X2319" i="2"/>
  <c r="Y2319" i="2"/>
  <c r="F2320" i="2"/>
  <c r="G2320" i="2"/>
  <c r="M2320" i="2"/>
  <c r="N2320" i="2" s="1"/>
  <c r="R2320" i="2"/>
  <c r="S2320" i="2" s="1"/>
  <c r="X2320" i="2"/>
  <c r="Y2320" i="2"/>
  <c r="F2321" i="2"/>
  <c r="G2321" i="2"/>
  <c r="M2321" i="2"/>
  <c r="N2321" i="2"/>
  <c r="R2321" i="2"/>
  <c r="S2321" i="2" s="1"/>
  <c r="X2321" i="2"/>
  <c r="Y2321" i="2"/>
  <c r="F2322" i="2"/>
  <c r="G2322" i="2"/>
  <c r="M2322" i="2"/>
  <c r="N2322" i="2" s="1"/>
  <c r="R2322" i="2"/>
  <c r="S2322" i="2"/>
  <c r="X2322" i="2"/>
  <c r="Y2322" i="2"/>
  <c r="F2323" i="2"/>
  <c r="G2323" i="2"/>
  <c r="M2323" i="2"/>
  <c r="N2323" i="2" s="1"/>
  <c r="R2323" i="2"/>
  <c r="S2323" i="2"/>
  <c r="X2323" i="2"/>
  <c r="Y2323" i="2"/>
  <c r="F2324" i="2"/>
  <c r="G2324" i="2"/>
  <c r="M2324" i="2"/>
  <c r="N2324" i="2" s="1"/>
  <c r="R2324" i="2"/>
  <c r="S2324" i="2"/>
  <c r="X2324" i="2"/>
  <c r="Y2324" i="2"/>
  <c r="F2325" i="2"/>
  <c r="G2325" i="2"/>
  <c r="M2325" i="2"/>
  <c r="N2325" i="2" s="1"/>
  <c r="R2325" i="2"/>
  <c r="S2325" i="2"/>
  <c r="X2325" i="2"/>
  <c r="Y2325" i="2"/>
  <c r="F2326" i="2"/>
  <c r="G2326" i="2"/>
  <c r="M2326" i="2"/>
  <c r="N2326" i="2" s="1"/>
  <c r="R2326" i="2"/>
  <c r="S2326" i="2"/>
  <c r="X2326" i="2"/>
  <c r="Y2326" i="2"/>
  <c r="F2327" i="2"/>
  <c r="G2327" i="2"/>
  <c r="M2327" i="2"/>
  <c r="N2327" i="2"/>
  <c r="R2327" i="2"/>
  <c r="S2327" i="2" s="1"/>
  <c r="X2327" i="2"/>
  <c r="Y2327" i="2"/>
  <c r="F2328" i="2"/>
  <c r="G2328" i="2"/>
  <c r="M2328" i="2"/>
  <c r="N2328" i="2"/>
  <c r="R2328" i="2"/>
  <c r="S2328" i="2" s="1"/>
  <c r="X2328" i="2"/>
  <c r="Y2328" i="2"/>
  <c r="F2329" i="2"/>
  <c r="G2329" i="2"/>
  <c r="M2329" i="2"/>
  <c r="N2329" i="2" s="1"/>
  <c r="R2329" i="2"/>
  <c r="S2329" i="2"/>
  <c r="X2329" i="2"/>
  <c r="Y2329" i="2"/>
  <c r="F2330" i="2"/>
  <c r="G2330" i="2"/>
  <c r="M2330" i="2"/>
  <c r="N2330" i="2" s="1"/>
  <c r="R2330" i="2"/>
  <c r="S2330" i="2"/>
  <c r="X2330" i="2"/>
  <c r="Y2330" i="2"/>
  <c r="F2331" i="2"/>
  <c r="G2331" i="2"/>
  <c r="M2331" i="2"/>
  <c r="N2331" i="2" s="1"/>
  <c r="R2331" i="2"/>
  <c r="S2331" i="2" s="1"/>
  <c r="X2331" i="2"/>
  <c r="Y2331" i="2"/>
  <c r="F2332" i="2"/>
  <c r="G2332" i="2"/>
  <c r="M2332" i="2"/>
  <c r="N2332" i="2"/>
  <c r="R2332" i="2"/>
  <c r="S2332" i="2" s="1"/>
  <c r="X2332" i="2"/>
  <c r="Y2332" i="2"/>
  <c r="F2333" i="2"/>
  <c r="G2333" i="2"/>
  <c r="M2333" i="2"/>
  <c r="N2333" i="2"/>
  <c r="R2333" i="2"/>
  <c r="S2333" i="2" s="1"/>
  <c r="X2333" i="2"/>
  <c r="Y2333" i="2"/>
  <c r="F2334" i="2"/>
  <c r="G2334" i="2"/>
  <c r="M2334" i="2"/>
  <c r="N2334" i="2" s="1"/>
  <c r="R2334" i="2"/>
  <c r="S2334" i="2"/>
  <c r="X2334" i="2"/>
  <c r="Y2334" i="2"/>
  <c r="F2335" i="2"/>
  <c r="G2335" i="2"/>
  <c r="M2335" i="2"/>
  <c r="N2335" i="2" s="1"/>
  <c r="R2335" i="2"/>
  <c r="S2335" i="2" s="1"/>
  <c r="X2335" i="2"/>
  <c r="Y2335" i="2"/>
  <c r="F2336" i="2"/>
  <c r="G2336" i="2"/>
  <c r="M2336" i="2"/>
  <c r="N2336" i="2"/>
  <c r="R2336" i="2"/>
  <c r="S2336" i="2" s="1"/>
  <c r="X2336" i="2"/>
  <c r="Y2336" i="2"/>
  <c r="F2337" i="2"/>
  <c r="G2337" i="2"/>
  <c r="M2337" i="2"/>
  <c r="N2337" i="2" s="1"/>
  <c r="R2337" i="2"/>
  <c r="S2337" i="2"/>
  <c r="X2337" i="2"/>
  <c r="Y2337" i="2"/>
  <c r="F2338" i="2"/>
  <c r="G2338" i="2"/>
  <c r="M2338" i="2"/>
  <c r="N2338" i="2" s="1"/>
  <c r="R2338" i="2"/>
  <c r="S2338" i="2"/>
  <c r="X2338" i="2"/>
  <c r="Y2338" i="2"/>
  <c r="J2340" i="2"/>
  <c r="K2340" i="2"/>
  <c r="L2340" i="2"/>
  <c r="M2340" i="2"/>
  <c r="N2340" i="2" s="1"/>
  <c r="O2340" i="2"/>
  <c r="R2340" i="2" s="1"/>
  <c r="S2340" i="2" s="1"/>
  <c r="P2340" i="2"/>
  <c r="Q2340" i="2"/>
  <c r="U2340" i="2"/>
  <c r="V2340" i="2"/>
  <c r="W2340" i="2"/>
  <c r="X2340" i="2" s="1"/>
  <c r="Y2340" i="2" s="1"/>
  <c r="Z2340" i="2"/>
  <c r="AA2340" i="2"/>
  <c r="AB2340" i="2"/>
  <c r="E2342" i="2"/>
  <c r="G2342" i="2"/>
  <c r="F2344" i="2"/>
  <c r="G2344" i="2"/>
  <c r="M2344" i="2"/>
  <c r="N2344" i="2" s="1"/>
  <c r="R2344" i="2"/>
  <c r="S2344" i="2"/>
  <c r="X2344" i="2"/>
  <c r="Y2344" i="2"/>
  <c r="F2345" i="2"/>
  <c r="G2345" i="2"/>
  <c r="M2345" i="2"/>
  <c r="N2345" i="2" s="1"/>
  <c r="R2345" i="2"/>
  <c r="S2345" i="2"/>
  <c r="X2345" i="2"/>
  <c r="Y2345" i="2"/>
  <c r="F2346" i="2"/>
  <c r="G2346" i="2"/>
  <c r="M2346" i="2"/>
  <c r="N2346" i="2" s="1"/>
  <c r="R2346" i="2"/>
  <c r="S2346" i="2"/>
  <c r="X2346" i="2"/>
  <c r="Y2346" i="2"/>
  <c r="F2347" i="2"/>
  <c r="G2347" i="2"/>
  <c r="M2347" i="2"/>
  <c r="N2347" i="2" s="1"/>
  <c r="R2347" i="2"/>
  <c r="S2347" i="2"/>
  <c r="X2347" i="2"/>
  <c r="Y2347" i="2"/>
  <c r="F2348" i="2"/>
  <c r="G2348" i="2"/>
  <c r="M2348" i="2"/>
  <c r="N2348" i="2" s="1"/>
  <c r="R2348" i="2"/>
  <c r="S2348" i="2"/>
  <c r="X2348" i="2"/>
  <c r="Y2348" i="2"/>
  <c r="J2350" i="2"/>
  <c r="M2350" i="2" s="1"/>
  <c r="N2350" i="2" s="1"/>
  <c r="K2350" i="2"/>
  <c r="L2350" i="2"/>
  <c r="O2350" i="2"/>
  <c r="P2350" i="2"/>
  <c r="Q2350" i="2"/>
  <c r="R2350" i="2" s="1"/>
  <c r="S2350" i="2"/>
  <c r="U2350" i="2"/>
  <c r="V2350" i="2"/>
  <c r="W2350" i="2"/>
  <c r="X2350" i="2" s="1"/>
  <c r="Y2350" i="2" s="1"/>
  <c r="Z2350" i="2"/>
  <c r="AA2350" i="2"/>
  <c r="AB2350" i="2"/>
  <c r="E2352" i="2"/>
  <c r="G2352" i="2"/>
  <c r="F2354" i="2"/>
  <c r="G2354" i="2"/>
  <c r="M2354" i="2"/>
  <c r="N2354" i="2"/>
  <c r="R2354" i="2"/>
  <c r="S2354" i="2"/>
  <c r="X2354" i="2"/>
  <c r="Y2354" i="2"/>
  <c r="F2355" i="2"/>
  <c r="G2355" i="2"/>
  <c r="M2355" i="2"/>
  <c r="N2355" i="2"/>
  <c r="R2355" i="2"/>
  <c r="S2355" i="2"/>
  <c r="X2355" i="2"/>
  <c r="Y2355" i="2"/>
  <c r="F2356" i="2"/>
  <c r="G2356" i="2"/>
  <c r="M2356" i="2"/>
  <c r="N2356" i="2"/>
  <c r="R2356" i="2"/>
  <c r="S2356" i="2"/>
  <c r="X2356" i="2"/>
  <c r="Y2356" i="2"/>
  <c r="F2357" i="2"/>
  <c r="G2357" i="2"/>
  <c r="M2357" i="2"/>
  <c r="N2357" i="2"/>
  <c r="R2357" i="2"/>
  <c r="S2357" i="2"/>
  <c r="X2357" i="2"/>
  <c r="Y2357" i="2"/>
  <c r="F2358" i="2"/>
  <c r="G2358" i="2"/>
  <c r="M2358" i="2"/>
  <c r="N2358" i="2"/>
  <c r="R2358" i="2"/>
  <c r="S2358" i="2"/>
  <c r="X2358" i="2"/>
  <c r="Y2358" i="2"/>
  <c r="F2359" i="2"/>
  <c r="G2359" i="2"/>
  <c r="M2359" i="2"/>
  <c r="N2359" i="2"/>
  <c r="R2359" i="2"/>
  <c r="S2359" i="2"/>
  <c r="X2359" i="2"/>
  <c r="Y2359" i="2"/>
  <c r="F2360" i="2"/>
  <c r="G2360" i="2"/>
  <c r="M2360" i="2"/>
  <c r="N2360" i="2"/>
  <c r="R2360" i="2"/>
  <c r="S2360" i="2"/>
  <c r="X2360" i="2"/>
  <c r="Y2360" i="2"/>
  <c r="F2361" i="2"/>
  <c r="G2361" i="2"/>
  <c r="M2361" i="2"/>
  <c r="N2361" i="2"/>
  <c r="R2361" i="2"/>
  <c r="S2361" i="2"/>
  <c r="X2361" i="2"/>
  <c r="Y2361" i="2"/>
  <c r="F2362" i="2"/>
  <c r="G2362" i="2"/>
  <c r="M2362" i="2"/>
  <c r="N2362" i="2"/>
  <c r="R2362" i="2"/>
  <c r="S2362" i="2"/>
  <c r="X2362" i="2"/>
  <c r="Y2362" i="2"/>
  <c r="F2363" i="2"/>
  <c r="G2363" i="2"/>
  <c r="M2363" i="2"/>
  <c r="N2363" i="2"/>
  <c r="R2363" i="2"/>
  <c r="S2363" i="2"/>
  <c r="X2363" i="2"/>
  <c r="Y2363" i="2"/>
  <c r="F2364" i="2"/>
  <c r="G2364" i="2"/>
  <c r="M2364" i="2"/>
  <c r="N2364" i="2"/>
  <c r="R2364" i="2"/>
  <c r="S2364" i="2"/>
  <c r="X2364" i="2"/>
  <c r="Y2364" i="2"/>
  <c r="F2365" i="2"/>
  <c r="G2365" i="2"/>
  <c r="M2365" i="2"/>
  <c r="N2365" i="2"/>
  <c r="R2365" i="2"/>
  <c r="S2365" i="2"/>
  <c r="X2365" i="2"/>
  <c r="Y2365" i="2"/>
  <c r="F2366" i="2"/>
  <c r="G2366" i="2"/>
  <c r="M2366" i="2"/>
  <c r="N2366" i="2"/>
  <c r="R2366" i="2"/>
  <c r="S2366" i="2"/>
  <c r="X2366" i="2"/>
  <c r="Y2366" i="2"/>
  <c r="F2367" i="2"/>
  <c r="G2367" i="2"/>
  <c r="M2367" i="2"/>
  <c r="N2367" i="2"/>
  <c r="R2367" i="2"/>
  <c r="S2367" i="2"/>
  <c r="X2367" i="2"/>
  <c r="Y2367" i="2"/>
  <c r="F2368" i="2"/>
  <c r="G2368" i="2"/>
  <c r="M2368" i="2"/>
  <c r="N2368" i="2"/>
  <c r="R2368" i="2"/>
  <c r="S2368" i="2"/>
  <c r="X2368" i="2"/>
  <c r="Y2368" i="2"/>
  <c r="F2369" i="2"/>
  <c r="G2369" i="2"/>
  <c r="M2369" i="2"/>
  <c r="N2369" i="2"/>
  <c r="R2369" i="2"/>
  <c r="S2369" i="2"/>
  <c r="X2369" i="2"/>
  <c r="Y2369" i="2"/>
  <c r="F2370" i="2"/>
  <c r="G2370" i="2"/>
  <c r="M2370" i="2"/>
  <c r="N2370" i="2"/>
  <c r="R2370" i="2"/>
  <c r="S2370" i="2"/>
  <c r="X2370" i="2"/>
  <c r="Y2370" i="2"/>
  <c r="F2371" i="2"/>
  <c r="G2371" i="2"/>
  <c r="M2371" i="2"/>
  <c r="N2371" i="2"/>
  <c r="R2371" i="2"/>
  <c r="S2371" i="2"/>
  <c r="X2371" i="2"/>
  <c r="Y2371" i="2"/>
  <c r="F2372" i="2"/>
  <c r="G2372" i="2"/>
  <c r="M2372" i="2"/>
  <c r="N2372" i="2"/>
  <c r="R2372" i="2"/>
  <c r="S2372" i="2"/>
  <c r="X2372" i="2"/>
  <c r="Y2372" i="2"/>
  <c r="F2373" i="2"/>
  <c r="G2373" i="2"/>
  <c r="M2373" i="2"/>
  <c r="N2373" i="2"/>
  <c r="R2373" i="2"/>
  <c r="S2373" i="2"/>
  <c r="X2373" i="2"/>
  <c r="Y2373" i="2"/>
  <c r="F2374" i="2"/>
  <c r="G2374" i="2"/>
  <c r="M2374" i="2"/>
  <c r="N2374" i="2"/>
  <c r="R2374" i="2"/>
  <c r="S2374" i="2"/>
  <c r="X2374" i="2"/>
  <c r="Y2374" i="2"/>
  <c r="F2375" i="2"/>
  <c r="G2375" i="2"/>
  <c r="M2375" i="2"/>
  <c r="N2375" i="2"/>
  <c r="R2375" i="2"/>
  <c r="S2375" i="2"/>
  <c r="X2375" i="2"/>
  <c r="Y2375" i="2"/>
  <c r="J2377" i="2"/>
  <c r="K2377" i="2"/>
  <c r="L2377" i="2"/>
  <c r="M2377" i="2" s="1"/>
  <c r="N2377" i="2" s="1"/>
  <c r="O2377" i="2"/>
  <c r="P2377" i="2"/>
  <c r="Q2377" i="2"/>
  <c r="R2377" i="2" s="1"/>
  <c r="S2377" i="2"/>
  <c r="U2377" i="2"/>
  <c r="V2377" i="2"/>
  <c r="W2377" i="2"/>
  <c r="Z2377" i="2"/>
  <c r="AA2377" i="2"/>
  <c r="AB2377" i="2"/>
  <c r="E2379" i="2"/>
  <c r="G2379" i="2"/>
  <c r="F2381" i="2"/>
  <c r="G2381" i="2"/>
  <c r="M2381" i="2"/>
  <c r="N2381" i="2"/>
  <c r="R2381" i="2"/>
  <c r="S2381" i="2"/>
  <c r="X2381" i="2"/>
  <c r="Y2381" i="2"/>
  <c r="F2382" i="2"/>
  <c r="G2382" i="2"/>
  <c r="M2382" i="2"/>
  <c r="N2382" i="2"/>
  <c r="R2382" i="2"/>
  <c r="S2382" i="2"/>
  <c r="X2382" i="2"/>
  <c r="Y2382" i="2"/>
  <c r="F2383" i="2"/>
  <c r="G2383" i="2"/>
  <c r="M2383" i="2"/>
  <c r="N2383" i="2"/>
  <c r="R2383" i="2"/>
  <c r="S2383" i="2"/>
  <c r="X2383" i="2"/>
  <c r="Y2383" i="2"/>
  <c r="F2384" i="2"/>
  <c r="G2384" i="2"/>
  <c r="M2384" i="2"/>
  <c r="N2384" i="2"/>
  <c r="R2384" i="2"/>
  <c r="S2384" i="2"/>
  <c r="X2384" i="2"/>
  <c r="Y2384" i="2" s="1"/>
  <c r="F2385" i="2"/>
  <c r="G2385" i="2"/>
  <c r="M2385" i="2"/>
  <c r="N2385" i="2"/>
  <c r="R2385" i="2"/>
  <c r="S2385" i="2"/>
  <c r="X2385" i="2"/>
  <c r="Y2385" i="2"/>
  <c r="F2386" i="2"/>
  <c r="G2386" i="2"/>
  <c r="M2386" i="2"/>
  <c r="N2386" i="2"/>
  <c r="R2386" i="2"/>
  <c r="S2386" i="2"/>
  <c r="X2386" i="2"/>
  <c r="Y2386" i="2"/>
  <c r="F2387" i="2"/>
  <c r="G2387" i="2"/>
  <c r="M2387" i="2"/>
  <c r="N2387" i="2"/>
  <c r="R2387" i="2"/>
  <c r="S2387" i="2"/>
  <c r="X2387" i="2"/>
  <c r="Y2387" i="2"/>
  <c r="F2388" i="2"/>
  <c r="G2388" i="2"/>
  <c r="M2388" i="2"/>
  <c r="N2388" i="2"/>
  <c r="R2388" i="2"/>
  <c r="S2388" i="2"/>
  <c r="X2388" i="2"/>
  <c r="Y2388" i="2"/>
  <c r="F2389" i="2"/>
  <c r="G2389" i="2"/>
  <c r="M2389" i="2"/>
  <c r="N2389" i="2"/>
  <c r="R2389" i="2"/>
  <c r="S2389" i="2"/>
  <c r="X2389" i="2"/>
  <c r="Y2389" i="2"/>
  <c r="F2390" i="2"/>
  <c r="G2390" i="2"/>
  <c r="M2390" i="2"/>
  <c r="N2390" i="2"/>
  <c r="R2390" i="2"/>
  <c r="S2390" i="2"/>
  <c r="X2390" i="2"/>
  <c r="Y2390" i="2"/>
  <c r="F2391" i="2"/>
  <c r="G2391" i="2"/>
  <c r="M2391" i="2"/>
  <c r="N2391" i="2"/>
  <c r="R2391" i="2"/>
  <c r="S2391" i="2"/>
  <c r="X2391" i="2"/>
  <c r="Y2391" i="2"/>
  <c r="F2392" i="2"/>
  <c r="G2392" i="2"/>
  <c r="M2392" i="2"/>
  <c r="N2392" i="2"/>
  <c r="R2392" i="2"/>
  <c r="S2392" i="2"/>
  <c r="X2392" i="2"/>
  <c r="Y2392" i="2"/>
  <c r="F2393" i="2"/>
  <c r="G2393" i="2"/>
  <c r="M2393" i="2"/>
  <c r="N2393" i="2"/>
  <c r="R2393" i="2"/>
  <c r="S2393" i="2"/>
  <c r="X2393" i="2"/>
  <c r="Y2393" i="2"/>
  <c r="F2394" i="2"/>
  <c r="G2394" i="2"/>
  <c r="M2394" i="2"/>
  <c r="N2394" i="2"/>
  <c r="R2394" i="2"/>
  <c r="S2394" i="2"/>
  <c r="X2394" i="2"/>
  <c r="Y2394" i="2"/>
  <c r="F2395" i="2"/>
  <c r="G2395" i="2"/>
  <c r="M2395" i="2"/>
  <c r="N2395" i="2"/>
  <c r="R2395" i="2"/>
  <c r="S2395" i="2"/>
  <c r="X2395" i="2"/>
  <c r="Y2395" i="2"/>
  <c r="F2396" i="2"/>
  <c r="G2396" i="2"/>
  <c r="M2396" i="2"/>
  <c r="N2396" i="2"/>
  <c r="R2396" i="2"/>
  <c r="S2396" i="2"/>
  <c r="X2396" i="2"/>
  <c r="Y2396" i="2"/>
  <c r="F2397" i="2"/>
  <c r="G2397" i="2"/>
  <c r="M2397" i="2"/>
  <c r="N2397" i="2"/>
  <c r="R2397" i="2"/>
  <c r="S2397" i="2"/>
  <c r="X2397" i="2"/>
  <c r="Y2397" i="2"/>
  <c r="F2398" i="2"/>
  <c r="G2398" i="2"/>
  <c r="M2398" i="2"/>
  <c r="N2398" i="2"/>
  <c r="R2398" i="2"/>
  <c r="S2398" i="2"/>
  <c r="X2398" i="2"/>
  <c r="Y2398" i="2"/>
  <c r="F2399" i="2"/>
  <c r="G2399" i="2"/>
  <c r="M2399" i="2"/>
  <c r="N2399" i="2"/>
  <c r="R2399" i="2"/>
  <c r="S2399" i="2"/>
  <c r="X2399" i="2"/>
  <c r="Y2399" i="2"/>
  <c r="F2400" i="2"/>
  <c r="G2400" i="2"/>
  <c r="M2400" i="2"/>
  <c r="N2400" i="2"/>
  <c r="R2400" i="2"/>
  <c r="S2400" i="2"/>
  <c r="X2400" i="2"/>
  <c r="Y2400" i="2"/>
  <c r="F2401" i="2"/>
  <c r="G2401" i="2"/>
  <c r="M2401" i="2"/>
  <c r="N2401" i="2"/>
  <c r="R2401" i="2"/>
  <c r="S2401" i="2"/>
  <c r="X2401" i="2"/>
  <c r="Y2401" i="2"/>
  <c r="F2402" i="2"/>
  <c r="G2402" i="2"/>
  <c r="M2402" i="2"/>
  <c r="N2402" i="2"/>
  <c r="R2402" i="2"/>
  <c r="S2402" i="2"/>
  <c r="X2402" i="2"/>
  <c r="Y2402" i="2"/>
  <c r="F2403" i="2"/>
  <c r="G2403" i="2"/>
  <c r="M2403" i="2"/>
  <c r="N2403" i="2"/>
  <c r="R2403" i="2"/>
  <c r="S2403" i="2"/>
  <c r="X2403" i="2"/>
  <c r="Y2403" i="2"/>
  <c r="J2405" i="2"/>
  <c r="K2405" i="2"/>
  <c r="L2405" i="2"/>
  <c r="O2405" i="2"/>
  <c r="P2405" i="2"/>
  <c r="Q2405" i="2"/>
  <c r="U2405" i="2"/>
  <c r="Y2405" i="2" s="1"/>
  <c r="V2405" i="2"/>
  <c r="W2405" i="2"/>
  <c r="X2405" i="2"/>
  <c r="Z2405" i="2"/>
  <c r="AA2405" i="2"/>
  <c r="AB2405" i="2"/>
  <c r="E2407" i="2"/>
  <c r="G2407" i="2"/>
  <c r="F2409" i="2"/>
  <c r="G2409" i="2"/>
  <c r="M2409" i="2"/>
  <c r="N2409" i="2"/>
  <c r="R2409" i="2"/>
  <c r="S2409" i="2"/>
  <c r="X2409" i="2"/>
  <c r="Y2409" i="2" s="1"/>
  <c r="F2410" i="2"/>
  <c r="G2410" i="2"/>
  <c r="M2410" i="2"/>
  <c r="N2410" i="2" s="1"/>
  <c r="R2410" i="2"/>
  <c r="S2410" i="2"/>
  <c r="X2410" i="2"/>
  <c r="Y2410" i="2" s="1"/>
  <c r="F2411" i="2"/>
  <c r="G2411" i="2"/>
  <c r="M2411" i="2"/>
  <c r="N2411" i="2"/>
  <c r="R2411" i="2"/>
  <c r="S2411" i="2"/>
  <c r="X2411" i="2"/>
  <c r="Y2411" i="2" s="1"/>
  <c r="F2412" i="2"/>
  <c r="G2412" i="2"/>
  <c r="M2412" i="2"/>
  <c r="N2412" i="2" s="1"/>
  <c r="R2412" i="2"/>
  <c r="S2412" i="2"/>
  <c r="X2412" i="2"/>
  <c r="Y2412" i="2"/>
  <c r="F2413" i="2"/>
  <c r="G2413" i="2"/>
  <c r="M2413" i="2"/>
  <c r="N2413" i="2" s="1"/>
  <c r="R2413" i="2"/>
  <c r="S2413" i="2"/>
  <c r="X2413" i="2"/>
  <c r="Y2413" i="2" s="1"/>
  <c r="F2414" i="2"/>
  <c r="G2414" i="2"/>
  <c r="M2414" i="2"/>
  <c r="N2414" i="2" s="1"/>
  <c r="R2414" i="2"/>
  <c r="S2414" i="2"/>
  <c r="X2414" i="2"/>
  <c r="Y2414" i="2"/>
  <c r="F2415" i="2"/>
  <c r="G2415" i="2"/>
  <c r="M2415" i="2"/>
  <c r="N2415" i="2" s="1"/>
  <c r="R2415" i="2"/>
  <c r="S2415" i="2"/>
  <c r="X2415" i="2"/>
  <c r="Y2415" i="2"/>
  <c r="F2416" i="2"/>
  <c r="G2416" i="2"/>
  <c r="M2416" i="2"/>
  <c r="N2416" i="2" s="1"/>
  <c r="R2416" i="2"/>
  <c r="S2416" i="2"/>
  <c r="X2416" i="2"/>
  <c r="Y2416" i="2"/>
  <c r="F2417" i="2"/>
  <c r="G2417" i="2"/>
  <c r="M2417" i="2"/>
  <c r="N2417" i="2" s="1"/>
  <c r="R2417" i="2"/>
  <c r="S2417" i="2"/>
  <c r="X2417" i="2"/>
  <c r="Y2417" i="2" s="1"/>
  <c r="F2418" i="2"/>
  <c r="G2418" i="2"/>
  <c r="M2418" i="2"/>
  <c r="N2418" i="2" s="1"/>
  <c r="R2418" i="2"/>
  <c r="S2418" i="2"/>
  <c r="X2418" i="2"/>
  <c r="Y2418" i="2" s="1"/>
  <c r="F2419" i="2"/>
  <c r="G2419" i="2"/>
  <c r="M2419" i="2"/>
  <c r="N2419" i="2" s="1"/>
  <c r="R2419" i="2"/>
  <c r="S2419" i="2"/>
  <c r="X2419" i="2"/>
  <c r="Y2419" i="2"/>
  <c r="F2420" i="2"/>
  <c r="G2420" i="2"/>
  <c r="M2420" i="2"/>
  <c r="N2420" i="2" s="1"/>
  <c r="R2420" i="2"/>
  <c r="S2420" i="2"/>
  <c r="X2420" i="2"/>
  <c r="Y2420" i="2"/>
  <c r="F2421" i="2"/>
  <c r="G2421" i="2"/>
  <c r="M2421" i="2"/>
  <c r="N2421" i="2" s="1"/>
  <c r="R2421" i="2"/>
  <c r="S2421" i="2"/>
  <c r="X2421" i="2"/>
  <c r="Y2421" i="2"/>
  <c r="F2422" i="2"/>
  <c r="G2422" i="2"/>
  <c r="M2422" i="2"/>
  <c r="N2422" i="2" s="1"/>
  <c r="R2422" i="2"/>
  <c r="S2422" i="2"/>
  <c r="X2422" i="2"/>
  <c r="Y2422" i="2"/>
  <c r="F2423" i="2"/>
  <c r="G2423" i="2"/>
  <c r="M2423" i="2"/>
  <c r="N2423" i="2" s="1"/>
  <c r="R2423" i="2"/>
  <c r="S2423" i="2"/>
  <c r="X2423" i="2"/>
  <c r="Y2423" i="2"/>
  <c r="F2424" i="2"/>
  <c r="G2424" i="2"/>
  <c r="M2424" i="2"/>
  <c r="N2424" i="2" s="1"/>
  <c r="R2424" i="2"/>
  <c r="S2424" i="2"/>
  <c r="X2424" i="2"/>
  <c r="Y2424" i="2"/>
  <c r="F2425" i="2"/>
  <c r="G2425" i="2"/>
  <c r="M2425" i="2"/>
  <c r="N2425" i="2" s="1"/>
  <c r="R2425" i="2"/>
  <c r="S2425" i="2"/>
  <c r="X2425" i="2"/>
  <c r="Y2425" i="2"/>
  <c r="J2427" i="2"/>
  <c r="K2427" i="2"/>
  <c r="L2427" i="2"/>
  <c r="O2427" i="2"/>
  <c r="S2427" i="2" s="1"/>
  <c r="P2427" i="2"/>
  <c r="Q2427" i="2"/>
  <c r="R2427" i="2"/>
  <c r="U2427" i="2"/>
  <c r="V2427" i="2"/>
  <c r="W2427" i="2"/>
  <c r="X2427" i="2"/>
  <c r="Z2427" i="2"/>
  <c r="AA2427" i="2"/>
  <c r="AB2427" i="2"/>
  <c r="E2429" i="2"/>
  <c r="G2429" i="2"/>
  <c r="F2431" i="2"/>
  <c r="G2431" i="2"/>
  <c r="M2431" i="2"/>
  <c r="N2431" i="2"/>
  <c r="R2431" i="2"/>
  <c r="S2431" i="2"/>
  <c r="X2431" i="2"/>
  <c r="Y2431" i="2"/>
  <c r="F2432" i="2"/>
  <c r="G2432" i="2"/>
  <c r="M2432" i="2"/>
  <c r="N2432" i="2"/>
  <c r="R2432" i="2"/>
  <c r="S2432" i="2"/>
  <c r="X2432" i="2"/>
  <c r="Y2432" i="2"/>
  <c r="F2433" i="2"/>
  <c r="G2433" i="2"/>
  <c r="M2433" i="2"/>
  <c r="N2433" i="2"/>
  <c r="R2433" i="2"/>
  <c r="S2433" i="2"/>
  <c r="X2433" i="2"/>
  <c r="Y2433" i="2"/>
  <c r="F2434" i="2"/>
  <c r="G2434" i="2"/>
  <c r="M2434" i="2"/>
  <c r="N2434" i="2"/>
  <c r="R2434" i="2"/>
  <c r="S2434" i="2"/>
  <c r="X2434" i="2"/>
  <c r="Y2434" i="2"/>
  <c r="F2435" i="2"/>
  <c r="G2435" i="2"/>
  <c r="M2435" i="2"/>
  <c r="N2435" i="2"/>
  <c r="R2435" i="2"/>
  <c r="S2435" i="2"/>
  <c r="X2435" i="2"/>
  <c r="Y2435" i="2"/>
  <c r="F2436" i="2"/>
  <c r="G2436" i="2"/>
  <c r="M2436" i="2"/>
  <c r="N2436" i="2"/>
  <c r="R2436" i="2"/>
  <c r="S2436" i="2"/>
  <c r="X2436" i="2"/>
  <c r="Y2436" i="2" s="1"/>
  <c r="F2437" i="2"/>
  <c r="G2437" i="2"/>
  <c r="M2437" i="2"/>
  <c r="N2437" i="2"/>
  <c r="R2437" i="2"/>
  <c r="S2437" i="2" s="1"/>
  <c r="X2437" i="2"/>
  <c r="Y2437" i="2"/>
  <c r="F2438" i="2"/>
  <c r="G2438" i="2"/>
  <c r="M2438" i="2"/>
  <c r="N2438" i="2"/>
  <c r="R2438" i="2"/>
  <c r="S2438" i="2" s="1"/>
  <c r="X2438" i="2"/>
  <c r="Y2438" i="2"/>
  <c r="F2439" i="2"/>
  <c r="G2439" i="2"/>
  <c r="M2439" i="2"/>
  <c r="N2439" i="2"/>
  <c r="R2439" i="2"/>
  <c r="S2439" i="2"/>
  <c r="X2439" i="2"/>
  <c r="Y2439" i="2"/>
  <c r="F2440" i="2"/>
  <c r="G2440" i="2"/>
  <c r="M2440" i="2"/>
  <c r="N2440" i="2"/>
  <c r="R2440" i="2"/>
  <c r="S2440" i="2"/>
  <c r="X2440" i="2"/>
  <c r="Y2440" i="2"/>
  <c r="F2441" i="2"/>
  <c r="G2441" i="2"/>
  <c r="M2441" i="2"/>
  <c r="N2441" i="2"/>
  <c r="R2441" i="2"/>
  <c r="S2441" i="2"/>
  <c r="X2441" i="2"/>
  <c r="Y2441" i="2"/>
  <c r="F2442" i="2"/>
  <c r="G2442" i="2"/>
  <c r="M2442" i="2"/>
  <c r="N2442" i="2"/>
  <c r="R2442" i="2"/>
  <c r="S2442" i="2" s="1"/>
  <c r="X2442" i="2"/>
  <c r="Y2442" i="2"/>
  <c r="F2443" i="2"/>
  <c r="G2443" i="2"/>
  <c r="M2443" i="2"/>
  <c r="N2443" i="2"/>
  <c r="R2443" i="2"/>
  <c r="S2443" i="2" s="1"/>
  <c r="X2443" i="2"/>
  <c r="Y2443" i="2" s="1"/>
  <c r="F2444" i="2"/>
  <c r="G2444" i="2"/>
  <c r="M2444" i="2"/>
  <c r="N2444" i="2"/>
  <c r="R2444" i="2"/>
  <c r="S2444" i="2"/>
  <c r="X2444" i="2"/>
  <c r="Y2444" i="2"/>
  <c r="F2445" i="2"/>
  <c r="G2445" i="2"/>
  <c r="M2445" i="2"/>
  <c r="N2445" i="2"/>
  <c r="R2445" i="2"/>
  <c r="S2445" i="2" s="1"/>
  <c r="X2445" i="2"/>
  <c r="Y2445" i="2"/>
  <c r="F2446" i="2"/>
  <c r="G2446" i="2"/>
  <c r="M2446" i="2"/>
  <c r="N2446" i="2"/>
  <c r="R2446" i="2"/>
  <c r="S2446" i="2"/>
  <c r="X2446" i="2"/>
  <c r="Y2446" i="2"/>
  <c r="F2447" i="2"/>
  <c r="G2447" i="2"/>
  <c r="M2447" i="2"/>
  <c r="N2447" i="2"/>
  <c r="R2447" i="2"/>
  <c r="S2447" i="2"/>
  <c r="X2447" i="2"/>
  <c r="Y2447" i="2" s="1"/>
  <c r="F2448" i="2"/>
  <c r="G2448" i="2"/>
  <c r="M2448" i="2"/>
  <c r="N2448" i="2"/>
  <c r="R2448" i="2"/>
  <c r="S2448" i="2" s="1"/>
  <c r="X2448" i="2"/>
  <c r="Y2448" i="2"/>
  <c r="F2449" i="2"/>
  <c r="G2449" i="2"/>
  <c r="M2449" i="2"/>
  <c r="N2449" i="2"/>
  <c r="R2449" i="2"/>
  <c r="S2449" i="2" s="1"/>
  <c r="X2449" i="2"/>
  <c r="Y2449" i="2"/>
  <c r="F2450" i="2"/>
  <c r="G2450" i="2"/>
  <c r="M2450" i="2"/>
  <c r="N2450" i="2"/>
  <c r="R2450" i="2"/>
  <c r="S2450" i="2"/>
  <c r="X2450" i="2"/>
  <c r="Y2450" i="2" s="1"/>
  <c r="F2451" i="2"/>
  <c r="G2451" i="2"/>
  <c r="M2451" i="2"/>
  <c r="N2451" i="2"/>
  <c r="R2451" i="2"/>
  <c r="S2451" i="2"/>
  <c r="X2451" i="2"/>
  <c r="Y2451" i="2" s="1"/>
  <c r="F2452" i="2"/>
  <c r="G2452" i="2"/>
  <c r="M2452" i="2"/>
  <c r="N2452" i="2"/>
  <c r="R2452" i="2"/>
  <c r="S2452" i="2"/>
  <c r="X2452" i="2"/>
  <c r="Y2452" i="2" s="1"/>
  <c r="F2453" i="2"/>
  <c r="G2453" i="2"/>
  <c r="M2453" i="2"/>
  <c r="N2453" i="2"/>
  <c r="R2453" i="2"/>
  <c r="S2453" i="2"/>
  <c r="X2453" i="2"/>
  <c r="Y2453" i="2" s="1"/>
  <c r="F2454" i="2"/>
  <c r="G2454" i="2"/>
  <c r="M2454" i="2"/>
  <c r="N2454" i="2"/>
  <c r="R2454" i="2"/>
  <c r="S2454" i="2" s="1"/>
  <c r="X2454" i="2"/>
  <c r="Y2454" i="2"/>
  <c r="F2455" i="2"/>
  <c r="G2455" i="2"/>
  <c r="M2455" i="2"/>
  <c r="N2455" i="2"/>
  <c r="R2455" i="2"/>
  <c r="S2455" i="2" s="1"/>
  <c r="X2455" i="2"/>
  <c r="Y2455" i="2" s="1"/>
  <c r="F2456" i="2"/>
  <c r="G2456" i="2"/>
  <c r="M2456" i="2"/>
  <c r="N2456" i="2"/>
  <c r="R2456" i="2"/>
  <c r="S2456" i="2"/>
  <c r="X2456" i="2"/>
  <c r="Y2456" i="2" s="1"/>
  <c r="F2457" i="2"/>
  <c r="G2457" i="2"/>
  <c r="M2457" i="2"/>
  <c r="N2457" i="2"/>
  <c r="R2457" i="2"/>
  <c r="S2457" i="2" s="1"/>
  <c r="X2457" i="2"/>
  <c r="Y2457" i="2"/>
  <c r="F2458" i="2"/>
  <c r="G2458" i="2"/>
  <c r="M2458" i="2"/>
  <c r="N2458" i="2"/>
  <c r="R2458" i="2"/>
  <c r="S2458" i="2"/>
  <c r="X2458" i="2"/>
  <c r="Y2458" i="2"/>
  <c r="F2459" i="2"/>
  <c r="G2459" i="2"/>
  <c r="M2459" i="2"/>
  <c r="N2459" i="2"/>
  <c r="R2459" i="2"/>
  <c r="S2459" i="2" s="1"/>
  <c r="X2459" i="2"/>
  <c r="Y2459" i="2"/>
  <c r="F2460" i="2"/>
  <c r="G2460" i="2"/>
  <c r="M2460" i="2"/>
  <c r="N2460" i="2"/>
  <c r="R2460" i="2"/>
  <c r="S2460" i="2"/>
  <c r="X2460" i="2"/>
  <c r="Y2460" i="2"/>
  <c r="F2461" i="2"/>
  <c r="G2461" i="2"/>
  <c r="M2461" i="2"/>
  <c r="N2461" i="2"/>
  <c r="R2461" i="2"/>
  <c r="S2461" i="2" s="1"/>
  <c r="X2461" i="2"/>
  <c r="Y2461" i="2"/>
  <c r="F2462" i="2"/>
  <c r="G2462" i="2"/>
  <c r="M2462" i="2"/>
  <c r="N2462" i="2"/>
  <c r="R2462" i="2"/>
  <c r="S2462" i="2"/>
  <c r="X2462" i="2"/>
  <c r="Y2462" i="2"/>
  <c r="J2464" i="2"/>
  <c r="K2464" i="2"/>
  <c r="L2464" i="2"/>
  <c r="M2464" i="2" s="1"/>
  <c r="N2464" i="2" s="1"/>
  <c r="O2464" i="2"/>
  <c r="P2464" i="2"/>
  <c r="Q2464" i="2"/>
  <c r="R2464" i="2"/>
  <c r="U2464" i="2"/>
  <c r="V2464" i="2"/>
  <c r="W2464" i="2"/>
  <c r="Z2464" i="2"/>
  <c r="AA2464" i="2"/>
  <c r="AB2464" i="2"/>
  <c r="E2466" i="2"/>
  <c r="G2466" i="2"/>
  <c r="F2468" i="2"/>
  <c r="G2468" i="2"/>
  <c r="M2468" i="2"/>
  <c r="N2468" i="2" s="1"/>
  <c r="R2468" i="2"/>
  <c r="S2468" i="2"/>
  <c r="X2468" i="2"/>
  <c r="Y2468" i="2"/>
  <c r="F2469" i="2"/>
  <c r="G2469" i="2"/>
  <c r="M2469" i="2"/>
  <c r="N2469" i="2" s="1"/>
  <c r="R2469" i="2"/>
  <c r="S2469" i="2"/>
  <c r="X2469" i="2"/>
  <c r="Y2469" i="2"/>
  <c r="F2470" i="2"/>
  <c r="G2470" i="2"/>
  <c r="M2470" i="2"/>
  <c r="N2470" i="2"/>
  <c r="R2470" i="2"/>
  <c r="S2470" i="2" s="1"/>
  <c r="X2470" i="2"/>
  <c r="Y2470" i="2"/>
  <c r="F2471" i="2"/>
  <c r="G2471" i="2"/>
  <c r="M2471" i="2"/>
  <c r="N2471" i="2"/>
  <c r="R2471" i="2"/>
  <c r="S2471" i="2" s="1"/>
  <c r="X2471" i="2"/>
  <c r="Y2471" i="2"/>
  <c r="F2472" i="2"/>
  <c r="G2472" i="2"/>
  <c r="M2472" i="2"/>
  <c r="N2472" i="2" s="1"/>
  <c r="R2472" i="2"/>
  <c r="S2472" i="2"/>
  <c r="X2472" i="2"/>
  <c r="Y2472" i="2"/>
  <c r="F2473" i="2"/>
  <c r="G2473" i="2"/>
  <c r="M2473" i="2"/>
  <c r="N2473" i="2"/>
  <c r="R2473" i="2"/>
  <c r="S2473" i="2"/>
  <c r="X2473" i="2"/>
  <c r="Y2473" i="2"/>
  <c r="F2474" i="2"/>
  <c r="G2474" i="2"/>
  <c r="M2474" i="2"/>
  <c r="N2474" i="2"/>
  <c r="R2474" i="2"/>
  <c r="S2474" i="2"/>
  <c r="X2474" i="2"/>
  <c r="Y2474" i="2"/>
  <c r="F2475" i="2"/>
  <c r="G2475" i="2"/>
  <c r="M2475" i="2"/>
  <c r="N2475" i="2"/>
  <c r="R2475" i="2"/>
  <c r="S2475" i="2"/>
  <c r="X2475" i="2"/>
  <c r="Y2475" i="2"/>
  <c r="F2476" i="2"/>
  <c r="G2476" i="2"/>
  <c r="M2476" i="2"/>
  <c r="N2476" i="2"/>
  <c r="R2476" i="2"/>
  <c r="S2476" i="2"/>
  <c r="X2476" i="2"/>
  <c r="Y2476" i="2"/>
  <c r="F2477" i="2"/>
  <c r="G2477" i="2"/>
  <c r="M2477" i="2"/>
  <c r="N2477" i="2"/>
  <c r="R2477" i="2"/>
  <c r="S2477" i="2"/>
  <c r="X2477" i="2"/>
  <c r="Y2477" i="2"/>
  <c r="F2478" i="2"/>
  <c r="G2478" i="2"/>
  <c r="M2478" i="2"/>
  <c r="N2478" i="2"/>
  <c r="R2478" i="2"/>
  <c r="S2478" i="2"/>
  <c r="X2478" i="2"/>
  <c r="Y2478" i="2"/>
  <c r="F2479" i="2"/>
  <c r="G2479" i="2"/>
  <c r="M2479" i="2"/>
  <c r="N2479" i="2"/>
  <c r="R2479" i="2"/>
  <c r="S2479" i="2"/>
  <c r="X2479" i="2"/>
  <c r="Y2479" i="2"/>
  <c r="F2480" i="2"/>
  <c r="G2480" i="2"/>
  <c r="M2480" i="2"/>
  <c r="N2480" i="2"/>
  <c r="R2480" i="2"/>
  <c r="S2480" i="2"/>
  <c r="X2480" i="2"/>
  <c r="Y2480" i="2"/>
  <c r="F2481" i="2"/>
  <c r="G2481" i="2"/>
  <c r="M2481" i="2"/>
  <c r="N2481" i="2"/>
  <c r="R2481" i="2"/>
  <c r="S2481" i="2"/>
  <c r="X2481" i="2"/>
  <c r="Y2481" i="2"/>
  <c r="F2482" i="2"/>
  <c r="G2482" i="2"/>
  <c r="M2482" i="2"/>
  <c r="N2482" i="2"/>
  <c r="R2482" i="2"/>
  <c r="S2482" i="2"/>
  <c r="X2482" i="2"/>
  <c r="Y2482" i="2"/>
  <c r="F2483" i="2"/>
  <c r="G2483" i="2"/>
  <c r="M2483" i="2"/>
  <c r="N2483" i="2"/>
  <c r="R2483" i="2"/>
  <c r="S2483" i="2"/>
  <c r="X2483" i="2"/>
  <c r="Y2483" i="2"/>
  <c r="F2484" i="2"/>
  <c r="G2484" i="2"/>
  <c r="M2484" i="2"/>
  <c r="N2484" i="2"/>
  <c r="R2484" i="2"/>
  <c r="S2484" i="2"/>
  <c r="X2484" i="2"/>
  <c r="Y2484" i="2"/>
  <c r="F2485" i="2"/>
  <c r="G2485" i="2"/>
  <c r="M2485" i="2"/>
  <c r="N2485" i="2"/>
  <c r="R2485" i="2"/>
  <c r="S2485" i="2"/>
  <c r="X2485" i="2"/>
  <c r="Y2485" i="2"/>
  <c r="F2486" i="2"/>
  <c r="G2486" i="2"/>
  <c r="M2486" i="2"/>
  <c r="N2486" i="2"/>
  <c r="R2486" i="2"/>
  <c r="S2486" i="2"/>
  <c r="X2486" i="2"/>
  <c r="Y2486" i="2"/>
  <c r="F2487" i="2"/>
  <c r="G2487" i="2"/>
  <c r="M2487" i="2"/>
  <c r="N2487" i="2"/>
  <c r="R2487" i="2"/>
  <c r="S2487" i="2"/>
  <c r="X2487" i="2"/>
  <c r="Y2487" i="2"/>
  <c r="F2488" i="2"/>
  <c r="G2488" i="2"/>
  <c r="M2488" i="2"/>
  <c r="N2488" i="2"/>
  <c r="R2488" i="2"/>
  <c r="S2488" i="2"/>
  <c r="X2488" i="2"/>
  <c r="Y2488" i="2"/>
  <c r="F2489" i="2"/>
  <c r="G2489" i="2"/>
  <c r="M2489" i="2"/>
  <c r="N2489" i="2"/>
  <c r="R2489" i="2"/>
  <c r="S2489" i="2"/>
  <c r="X2489" i="2"/>
  <c r="Y2489" i="2"/>
  <c r="F2490" i="2"/>
  <c r="G2490" i="2"/>
  <c r="M2490" i="2"/>
  <c r="N2490" i="2"/>
  <c r="R2490" i="2"/>
  <c r="S2490" i="2"/>
  <c r="X2490" i="2"/>
  <c r="Y2490" i="2"/>
  <c r="F2491" i="2"/>
  <c r="G2491" i="2"/>
  <c r="M2491" i="2"/>
  <c r="N2491" i="2"/>
  <c r="R2491" i="2"/>
  <c r="S2491" i="2"/>
  <c r="X2491" i="2"/>
  <c r="Y2491" i="2"/>
  <c r="J2493" i="2"/>
  <c r="K2493" i="2"/>
  <c r="L2493" i="2"/>
  <c r="M2493" i="2"/>
  <c r="N2493" i="2" s="1"/>
  <c r="O2493" i="2"/>
  <c r="S2493" i="2" s="1"/>
  <c r="P2493" i="2"/>
  <c r="Q2493" i="2"/>
  <c r="R2493" i="2"/>
  <c r="U2493" i="2"/>
  <c r="V2493" i="2"/>
  <c r="W2493" i="2"/>
  <c r="X2493" i="2" s="1"/>
  <c r="Y2493" i="2"/>
  <c r="Z2493" i="2"/>
  <c r="AA2493" i="2"/>
  <c r="AB2493" i="2"/>
  <c r="E2495" i="2"/>
  <c r="G2495" i="2"/>
  <c r="F2497" i="2"/>
  <c r="G2497" i="2"/>
  <c r="M2497" i="2"/>
  <c r="N2497" i="2" s="1"/>
  <c r="R2497" i="2"/>
  <c r="S2497" i="2"/>
  <c r="X2497" i="2"/>
  <c r="Y2497" i="2"/>
  <c r="F2498" i="2"/>
  <c r="G2498" i="2"/>
  <c r="M2498" i="2"/>
  <c r="N2498" i="2"/>
  <c r="R2498" i="2"/>
  <c r="S2498" i="2" s="1"/>
  <c r="X2498" i="2"/>
  <c r="Y2498" i="2"/>
  <c r="F2499" i="2"/>
  <c r="G2499" i="2"/>
  <c r="M2499" i="2"/>
  <c r="N2499" i="2" s="1"/>
  <c r="R2499" i="2"/>
  <c r="S2499" i="2"/>
  <c r="X2499" i="2"/>
  <c r="Y2499" i="2"/>
  <c r="F2500" i="2"/>
  <c r="G2500" i="2"/>
  <c r="M2500" i="2"/>
  <c r="N2500" i="2" s="1"/>
  <c r="R2500" i="2"/>
  <c r="S2500" i="2"/>
  <c r="X2500" i="2"/>
  <c r="Y2500" i="2"/>
  <c r="F2501" i="2"/>
  <c r="G2501" i="2"/>
  <c r="M2501" i="2"/>
  <c r="N2501" i="2" s="1"/>
  <c r="R2501" i="2"/>
  <c r="S2501" i="2"/>
  <c r="X2501" i="2"/>
  <c r="Y2501" i="2"/>
  <c r="F2502" i="2"/>
  <c r="G2502" i="2"/>
  <c r="M2502" i="2"/>
  <c r="N2502" i="2" s="1"/>
  <c r="R2502" i="2"/>
  <c r="S2502" i="2"/>
  <c r="X2502" i="2"/>
  <c r="Y2502" i="2"/>
  <c r="F2503" i="2"/>
  <c r="G2503" i="2"/>
  <c r="M2503" i="2"/>
  <c r="N2503" i="2"/>
  <c r="R2503" i="2"/>
  <c r="S2503" i="2" s="1"/>
  <c r="X2503" i="2"/>
  <c r="Y2503" i="2"/>
  <c r="F2504" i="2"/>
  <c r="G2504" i="2"/>
  <c r="M2504" i="2"/>
  <c r="N2504" i="2"/>
  <c r="R2504" i="2"/>
  <c r="S2504" i="2" s="1"/>
  <c r="X2504" i="2"/>
  <c r="Y2504" i="2"/>
  <c r="F2505" i="2"/>
  <c r="G2505" i="2"/>
  <c r="M2505" i="2"/>
  <c r="N2505" i="2"/>
  <c r="R2505" i="2"/>
  <c r="S2505" i="2" s="1"/>
  <c r="X2505" i="2"/>
  <c r="Y2505" i="2"/>
  <c r="F2506" i="2"/>
  <c r="G2506" i="2"/>
  <c r="M2506" i="2"/>
  <c r="N2506" i="2"/>
  <c r="R2506" i="2"/>
  <c r="S2506" i="2" s="1"/>
  <c r="X2506" i="2"/>
  <c r="Y2506" i="2"/>
  <c r="F2507" i="2"/>
  <c r="G2507" i="2"/>
  <c r="M2507" i="2"/>
  <c r="N2507" i="2" s="1"/>
  <c r="R2507" i="2"/>
  <c r="S2507" i="2" s="1"/>
  <c r="X2507" i="2"/>
  <c r="Y2507" i="2"/>
  <c r="F2508" i="2"/>
  <c r="G2508" i="2"/>
  <c r="M2508" i="2"/>
  <c r="N2508" i="2" s="1"/>
  <c r="R2508" i="2"/>
  <c r="S2508" i="2" s="1"/>
  <c r="X2508" i="2"/>
  <c r="Y2508" i="2"/>
  <c r="F2509" i="2"/>
  <c r="G2509" i="2"/>
  <c r="M2509" i="2"/>
  <c r="N2509" i="2" s="1"/>
  <c r="R2509" i="2"/>
  <c r="S2509" i="2"/>
  <c r="X2509" i="2"/>
  <c r="Y2509" i="2"/>
  <c r="F2510" i="2"/>
  <c r="G2510" i="2"/>
  <c r="M2510" i="2"/>
  <c r="N2510" i="2" s="1"/>
  <c r="R2510" i="2"/>
  <c r="S2510" i="2"/>
  <c r="X2510" i="2"/>
  <c r="Y2510" i="2"/>
  <c r="F2511" i="2"/>
  <c r="G2511" i="2"/>
  <c r="M2511" i="2"/>
  <c r="N2511" i="2" s="1"/>
  <c r="R2511" i="2"/>
  <c r="S2511" i="2"/>
  <c r="X2511" i="2"/>
  <c r="Y2511" i="2"/>
  <c r="F2512" i="2"/>
  <c r="G2512" i="2"/>
  <c r="M2512" i="2"/>
  <c r="N2512" i="2"/>
  <c r="R2512" i="2"/>
  <c r="S2512" i="2" s="1"/>
  <c r="X2512" i="2"/>
  <c r="Y2512" i="2"/>
  <c r="F2513" i="2"/>
  <c r="G2513" i="2"/>
  <c r="M2513" i="2"/>
  <c r="N2513" i="2"/>
  <c r="R2513" i="2"/>
  <c r="S2513" i="2" s="1"/>
  <c r="X2513" i="2"/>
  <c r="Y2513" i="2"/>
  <c r="F2514" i="2"/>
  <c r="G2514" i="2"/>
  <c r="M2514" i="2"/>
  <c r="N2514" i="2"/>
  <c r="R2514" i="2"/>
  <c r="S2514" i="2" s="1"/>
  <c r="X2514" i="2"/>
  <c r="Y2514" i="2"/>
  <c r="F2515" i="2"/>
  <c r="G2515" i="2"/>
  <c r="M2515" i="2"/>
  <c r="N2515" i="2"/>
  <c r="R2515" i="2"/>
  <c r="S2515" i="2" s="1"/>
  <c r="X2515" i="2"/>
  <c r="Y2515" i="2"/>
  <c r="F2516" i="2"/>
  <c r="G2516" i="2"/>
  <c r="M2516" i="2"/>
  <c r="N2516" i="2" s="1"/>
  <c r="R2516" i="2"/>
  <c r="S2516" i="2"/>
  <c r="X2516" i="2"/>
  <c r="Y2516" i="2"/>
  <c r="F2517" i="2"/>
  <c r="G2517" i="2"/>
  <c r="M2517" i="2"/>
  <c r="N2517" i="2" s="1"/>
  <c r="R2517" i="2"/>
  <c r="S2517" i="2" s="1"/>
  <c r="X2517" i="2"/>
  <c r="Y2517" i="2"/>
  <c r="F2518" i="2"/>
  <c r="G2518" i="2"/>
  <c r="M2518" i="2"/>
  <c r="N2518" i="2"/>
  <c r="R2518" i="2"/>
  <c r="S2518" i="2" s="1"/>
  <c r="X2518" i="2"/>
  <c r="Y2518" i="2"/>
  <c r="F2519" i="2"/>
  <c r="G2519" i="2"/>
  <c r="M2519" i="2"/>
  <c r="N2519" i="2"/>
  <c r="R2519" i="2"/>
  <c r="S2519" i="2" s="1"/>
  <c r="X2519" i="2"/>
  <c r="Y2519" i="2"/>
  <c r="F2520" i="2"/>
  <c r="G2520" i="2"/>
  <c r="M2520" i="2"/>
  <c r="N2520" i="2" s="1"/>
  <c r="R2520" i="2"/>
  <c r="S2520" i="2" s="1"/>
  <c r="X2520" i="2"/>
  <c r="Y2520" i="2"/>
  <c r="J2522" i="2"/>
  <c r="N2522" i="2" s="1"/>
  <c r="K2522" i="2"/>
  <c r="L2522" i="2"/>
  <c r="M2522" i="2"/>
  <c r="O2522" i="2"/>
  <c r="P2522" i="2"/>
  <c r="Q2522" i="2"/>
  <c r="R2522" i="2" s="1"/>
  <c r="S2522" i="2" s="1"/>
  <c r="U2522" i="2"/>
  <c r="X2522" i="2" s="1"/>
  <c r="V2522" i="2"/>
  <c r="W2522" i="2"/>
  <c r="Y2522" i="2"/>
  <c r="Z2522" i="2"/>
  <c r="AA2522" i="2"/>
  <c r="AB2522" i="2"/>
  <c r="E2524" i="2"/>
  <c r="G2524" i="2"/>
  <c r="F2526" i="2"/>
  <c r="G2526" i="2"/>
  <c r="M2526" i="2"/>
  <c r="N2526" i="2"/>
  <c r="R2526" i="2"/>
  <c r="S2526" i="2" s="1"/>
  <c r="X2526" i="2"/>
  <c r="Y2526" i="2"/>
  <c r="F2527" i="2"/>
  <c r="G2527" i="2"/>
  <c r="M2527" i="2"/>
  <c r="N2527" i="2"/>
  <c r="R2527" i="2"/>
  <c r="S2527" i="2" s="1"/>
  <c r="X2527" i="2"/>
  <c r="Y2527" i="2"/>
  <c r="F2528" i="2"/>
  <c r="G2528" i="2"/>
  <c r="M2528" i="2"/>
  <c r="N2528" i="2"/>
  <c r="R2528" i="2"/>
  <c r="S2528" i="2" s="1"/>
  <c r="X2528" i="2"/>
  <c r="Y2528" i="2"/>
  <c r="F2529" i="2"/>
  <c r="G2529" i="2"/>
  <c r="M2529" i="2"/>
  <c r="N2529" i="2"/>
  <c r="R2529" i="2"/>
  <c r="S2529" i="2" s="1"/>
  <c r="X2529" i="2"/>
  <c r="Y2529" i="2"/>
  <c r="F2530" i="2"/>
  <c r="G2530" i="2"/>
  <c r="M2530" i="2"/>
  <c r="N2530" i="2"/>
  <c r="R2530" i="2"/>
  <c r="S2530" i="2" s="1"/>
  <c r="X2530" i="2"/>
  <c r="Y2530" i="2"/>
  <c r="F2531" i="2"/>
  <c r="G2531" i="2"/>
  <c r="M2531" i="2"/>
  <c r="N2531" i="2"/>
  <c r="R2531" i="2"/>
  <c r="S2531" i="2"/>
  <c r="X2531" i="2"/>
  <c r="Y2531" i="2"/>
  <c r="F2532" i="2"/>
  <c r="G2532" i="2"/>
  <c r="M2532" i="2"/>
  <c r="N2532" i="2"/>
  <c r="R2532" i="2"/>
  <c r="S2532" i="2"/>
  <c r="X2532" i="2"/>
  <c r="Y2532" i="2"/>
  <c r="F2533" i="2"/>
  <c r="G2533" i="2"/>
  <c r="M2533" i="2"/>
  <c r="N2533" i="2"/>
  <c r="R2533" i="2"/>
  <c r="S2533" i="2"/>
  <c r="X2533" i="2"/>
  <c r="Y2533" i="2"/>
  <c r="F2534" i="2"/>
  <c r="G2534" i="2"/>
  <c r="M2534" i="2"/>
  <c r="N2534" i="2"/>
  <c r="R2534" i="2"/>
  <c r="S2534" i="2" s="1"/>
  <c r="X2534" i="2"/>
  <c r="Y2534" i="2"/>
  <c r="F2535" i="2"/>
  <c r="G2535" i="2"/>
  <c r="M2535" i="2"/>
  <c r="N2535" i="2" s="1"/>
  <c r="R2535" i="2"/>
  <c r="S2535" i="2"/>
  <c r="X2535" i="2"/>
  <c r="Y2535" i="2"/>
  <c r="F2536" i="2"/>
  <c r="G2536" i="2"/>
  <c r="M2536" i="2"/>
  <c r="N2536" i="2" s="1"/>
  <c r="R2536" i="2"/>
  <c r="S2536" i="2" s="1"/>
  <c r="X2536" i="2"/>
  <c r="Y2536" i="2"/>
  <c r="F2537" i="2"/>
  <c r="G2537" i="2"/>
  <c r="M2537" i="2"/>
  <c r="N2537" i="2"/>
  <c r="R2537" i="2"/>
  <c r="S2537" i="2" s="1"/>
  <c r="X2537" i="2"/>
  <c r="Y2537" i="2"/>
  <c r="F2538" i="2"/>
  <c r="G2538" i="2"/>
  <c r="M2538" i="2"/>
  <c r="N2538" i="2"/>
  <c r="R2538" i="2"/>
  <c r="S2538" i="2" s="1"/>
  <c r="X2538" i="2"/>
  <c r="Y2538" i="2"/>
  <c r="F2539" i="2"/>
  <c r="G2539" i="2"/>
  <c r="M2539" i="2"/>
  <c r="N2539" i="2"/>
  <c r="R2539" i="2"/>
  <c r="S2539" i="2" s="1"/>
  <c r="X2539" i="2"/>
  <c r="Y2539" i="2"/>
  <c r="F2540" i="2"/>
  <c r="G2540" i="2"/>
  <c r="M2540" i="2"/>
  <c r="N2540" i="2"/>
  <c r="R2540" i="2"/>
  <c r="S2540" i="2" s="1"/>
  <c r="X2540" i="2"/>
  <c r="Y2540" i="2"/>
  <c r="F2541" i="2"/>
  <c r="G2541" i="2"/>
  <c r="M2541" i="2"/>
  <c r="N2541" i="2"/>
  <c r="R2541" i="2"/>
  <c r="S2541" i="2" s="1"/>
  <c r="X2541" i="2"/>
  <c r="Y2541" i="2"/>
  <c r="F2542" i="2"/>
  <c r="G2542" i="2"/>
  <c r="M2542" i="2"/>
  <c r="N2542" i="2"/>
  <c r="R2542" i="2"/>
  <c r="S2542" i="2" s="1"/>
  <c r="X2542" i="2"/>
  <c r="Y2542" i="2"/>
  <c r="F2543" i="2"/>
  <c r="G2543" i="2"/>
  <c r="M2543" i="2"/>
  <c r="N2543" i="2"/>
  <c r="R2543" i="2"/>
  <c r="S2543" i="2" s="1"/>
  <c r="X2543" i="2"/>
  <c r="Y2543" i="2"/>
  <c r="F2544" i="2"/>
  <c r="G2544" i="2"/>
  <c r="M2544" i="2"/>
  <c r="N2544" i="2" s="1"/>
  <c r="R2544" i="2"/>
  <c r="S2544" i="2"/>
  <c r="X2544" i="2"/>
  <c r="Y2544" i="2"/>
  <c r="F2545" i="2"/>
  <c r="G2545" i="2"/>
  <c r="M2545" i="2"/>
  <c r="N2545" i="2"/>
  <c r="R2545" i="2"/>
  <c r="S2545" i="2" s="1"/>
  <c r="X2545" i="2"/>
  <c r="Y2545" i="2"/>
  <c r="F2546" i="2"/>
  <c r="G2546" i="2"/>
  <c r="M2546" i="2"/>
  <c r="N2546" i="2"/>
  <c r="R2546" i="2"/>
  <c r="S2546" i="2" s="1"/>
  <c r="X2546" i="2"/>
  <c r="Y2546" i="2"/>
  <c r="F2547" i="2"/>
  <c r="G2547" i="2"/>
  <c r="M2547" i="2"/>
  <c r="N2547" i="2"/>
  <c r="R2547" i="2"/>
  <c r="S2547" i="2"/>
  <c r="X2547" i="2"/>
  <c r="Y2547" i="2"/>
  <c r="F2548" i="2"/>
  <c r="G2548" i="2"/>
  <c r="M2548" i="2"/>
  <c r="N2548" i="2"/>
  <c r="R2548" i="2"/>
  <c r="S2548" i="2" s="1"/>
  <c r="X2548" i="2"/>
  <c r="Y2548" i="2"/>
  <c r="F2549" i="2"/>
  <c r="G2549" i="2"/>
  <c r="M2549" i="2"/>
  <c r="N2549" i="2"/>
  <c r="R2549" i="2"/>
  <c r="S2549" i="2" s="1"/>
  <c r="X2549" i="2"/>
  <c r="Y2549" i="2"/>
  <c r="F2550" i="2"/>
  <c r="G2550" i="2"/>
  <c r="M2550" i="2"/>
  <c r="N2550" i="2"/>
  <c r="R2550" i="2"/>
  <c r="S2550" i="2" s="1"/>
  <c r="X2550" i="2"/>
  <c r="Y2550" i="2"/>
  <c r="F2551" i="2"/>
  <c r="G2551" i="2"/>
  <c r="M2551" i="2"/>
  <c r="N2551" i="2"/>
  <c r="R2551" i="2"/>
  <c r="S2551" i="2" s="1"/>
  <c r="X2551" i="2"/>
  <c r="Y2551" i="2"/>
  <c r="F2552" i="2"/>
  <c r="G2552" i="2"/>
  <c r="M2552" i="2"/>
  <c r="N2552" i="2" s="1"/>
  <c r="R2552" i="2"/>
  <c r="S2552" i="2" s="1"/>
  <c r="X2552" i="2"/>
  <c r="Y2552" i="2"/>
  <c r="F2553" i="2"/>
  <c r="G2553" i="2"/>
  <c r="M2553" i="2"/>
  <c r="N2553" i="2"/>
  <c r="R2553" i="2"/>
  <c r="S2553" i="2" s="1"/>
  <c r="X2553" i="2"/>
  <c r="Y2553" i="2"/>
  <c r="F2554" i="2"/>
  <c r="G2554" i="2"/>
  <c r="M2554" i="2"/>
  <c r="N2554" i="2"/>
  <c r="R2554" i="2"/>
  <c r="S2554" i="2" s="1"/>
  <c r="X2554" i="2"/>
  <c r="Y2554" i="2"/>
  <c r="F2555" i="2"/>
  <c r="G2555" i="2"/>
  <c r="M2555" i="2"/>
  <c r="N2555" i="2"/>
  <c r="R2555" i="2"/>
  <c r="S2555" i="2" s="1"/>
  <c r="X2555" i="2"/>
  <c r="Y2555" i="2"/>
  <c r="F2556" i="2"/>
  <c r="G2556" i="2"/>
  <c r="M2556" i="2"/>
  <c r="N2556" i="2"/>
  <c r="R2556" i="2"/>
  <c r="S2556" i="2"/>
  <c r="X2556" i="2"/>
  <c r="Y2556" i="2"/>
  <c r="F2557" i="2"/>
  <c r="G2557" i="2"/>
  <c r="M2557" i="2"/>
  <c r="N2557" i="2"/>
  <c r="R2557" i="2"/>
  <c r="S2557" i="2" s="1"/>
  <c r="X2557" i="2"/>
  <c r="Y2557" i="2"/>
  <c r="F2558" i="2"/>
  <c r="G2558" i="2"/>
  <c r="M2558" i="2"/>
  <c r="N2558" i="2"/>
  <c r="R2558" i="2"/>
  <c r="S2558" i="2" s="1"/>
  <c r="X2558" i="2"/>
  <c r="Y2558" i="2"/>
  <c r="F2559" i="2"/>
  <c r="G2559" i="2"/>
  <c r="M2559" i="2"/>
  <c r="N2559" i="2"/>
  <c r="R2559" i="2"/>
  <c r="S2559" i="2" s="1"/>
  <c r="X2559" i="2"/>
  <c r="Y2559" i="2"/>
  <c r="F2560" i="2"/>
  <c r="G2560" i="2"/>
  <c r="M2560" i="2"/>
  <c r="N2560" i="2"/>
  <c r="R2560" i="2"/>
  <c r="S2560" i="2" s="1"/>
  <c r="X2560" i="2"/>
  <c r="Y2560" i="2"/>
  <c r="F2561" i="2"/>
  <c r="G2561" i="2"/>
  <c r="M2561" i="2"/>
  <c r="N2561" i="2" s="1"/>
  <c r="R2561" i="2"/>
  <c r="S2561" i="2"/>
  <c r="X2561" i="2"/>
  <c r="Y2561" i="2"/>
  <c r="F2562" i="2"/>
  <c r="G2562" i="2"/>
  <c r="M2562" i="2"/>
  <c r="N2562" i="2" s="1"/>
  <c r="R2562" i="2"/>
  <c r="S2562" i="2"/>
  <c r="X2562" i="2"/>
  <c r="Y2562" i="2"/>
  <c r="F2563" i="2"/>
  <c r="G2563" i="2"/>
  <c r="M2563" i="2"/>
  <c r="N2563" i="2" s="1"/>
  <c r="R2563" i="2"/>
  <c r="S2563" i="2" s="1"/>
  <c r="X2563" i="2"/>
  <c r="Y2563" i="2"/>
  <c r="F2564" i="2"/>
  <c r="G2564" i="2"/>
  <c r="M2564" i="2"/>
  <c r="N2564" i="2"/>
  <c r="R2564" i="2"/>
  <c r="S2564" i="2" s="1"/>
  <c r="X2564" i="2"/>
  <c r="Y2564" i="2"/>
  <c r="F2565" i="2"/>
  <c r="G2565" i="2"/>
  <c r="M2565" i="2"/>
  <c r="N2565" i="2"/>
  <c r="R2565" i="2"/>
  <c r="S2565" i="2" s="1"/>
  <c r="X2565" i="2"/>
  <c r="Y2565" i="2"/>
  <c r="F2566" i="2"/>
  <c r="G2566" i="2"/>
  <c r="M2566" i="2"/>
  <c r="N2566" i="2"/>
  <c r="R2566" i="2"/>
  <c r="S2566" i="2" s="1"/>
  <c r="X2566" i="2"/>
  <c r="Y2566" i="2"/>
  <c r="F2567" i="2"/>
  <c r="G2567" i="2"/>
  <c r="M2567" i="2"/>
  <c r="N2567" i="2"/>
  <c r="R2567" i="2"/>
  <c r="S2567" i="2" s="1"/>
  <c r="X2567" i="2"/>
  <c r="Y2567" i="2"/>
  <c r="F2568" i="2"/>
  <c r="G2568" i="2"/>
  <c r="M2568" i="2"/>
  <c r="N2568" i="2"/>
  <c r="R2568" i="2"/>
  <c r="S2568" i="2" s="1"/>
  <c r="X2568" i="2"/>
  <c r="Y2568" i="2"/>
  <c r="F2569" i="2"/>
  <c r="G2569" i="2"/>
  <c r="M2569" i="2"/>
  <c r="N2569" i="2"/>
  <c r="R2569" i="2"/>
  <c r="S2569" i="2" s="1"/>
  <c r="X2569" i="2"/>
  <c r="Y2569" i="2"/>
  <c r="F2570" i="2"/>
  <c r="G2570" i="2"/>
  <c r="M2570" i="2"/>
  <c r="N2570" i="2"/>
  <c r="R2570" i="2"/>
  <c r="S2570" i="2" s="1"/>
  <c r="X2570" i="2"/>
  <c r="Y2570" i="2"/>
  <c r="F2571" i="2"/>
  <c r="G2571" i="2"/>
  <c r="M2571" i="2"/>
  <c r="N2571" i="2"/>
  <c r="R2571" i="2"/>
  <c r="S2571" i="2" s="1"/>
  <c r="X2571" i="2"/>
  <c r="Y2571" i="2"/>
  <c r="F2572" i="2"/>
  <c r="G2572" i="2"/>
  <c r="M2572" i="2"/>
  <c r="N2572" i="2"/>
  <c r="R2572" i="2"/>
  <c r="S2572" i="2" s="1"/>
  <c r="X2572" i="2"/>
  <c r="Y2572" i="2"/>
  <c r="F2573" i="2"/>
  <c r="G2573" i="2"/>
  <c r="M2573" i="2"/>
  <c r="N2573" i="2"/>
  <c r="R2573" i="2"/>
  <c r="S2573" i="2" s="1"/>
  <c r="X2573" i="2"/>
  <c r="Y2573" i="2"/>
  <c r="F2574" i="2"/>
  <c r="G2574" i="2"/>
  <c r="M2574" i="2"/>
  <c r="N2574" i="2"/>
  <c r="R2574" i="2"/>
  <c r="S2574" i="2" s="1"/>
  <c r="X2574" i="2"/>
  <c r="Y2574" i="2"/>
  <c r="F2575" i="2"/>
  <c r="G2575" i="2"/>
  <c r="M2575" i="2"/>
  <c r="N2575" i="2"/>
  <c r="R2575" i="2"/>
  <c r="S2575" i="2" s="1"/>
  <c r="X2575" i="2"/>
  <c r="Y2575" i="2"/>
  <c r="F2576" i="2"/>
  <c r="G2576" i="2"/>
  <c r="M2576" i="2"/>
  <c r="N2576" i="2"/>
  <c r="R2576" i="2"/>
  <c r="S2576" i="2" s="1"/>
  <c r="X2576" i="2"/>
  <c r="Y2576" i="2"/>
  <c r="J2578" i="2"/>
  <c r="N2578" i="2" s="1"/>
  <c r="K2578" i="2"/>
  <c r="L2578" i="2"/>
  <c r="M2578" i="2" s="1"/>
  <c r="O2578" i="2"/>
  <c r="P2578" i="2"/>
  <c r="Q2578" i="2"/>
  <c r="R2578" i="2"/>
  <c r="S2578" i="2"/>
  <c r="U2578" i="2"/>
  <c r="X2578" i="2" s="1"/>
  <c r="V2578" i="2"/>
  <c r="W2578" i="2"/>
  <c r="Z2578" i="2"/>
  <c r="AA2578" i="2"/>
  <c r="AB2578" i="2"/>
  <c r="E2580" i="2"/>
  <c r="G2580" i="2"/>
  <c r="F2582" i="2"/>
  <c r="G2582" i="2"/>
  <c r="M2582" i="2"/>
  <c r="N2582" i="2" s="1"/>
  <c r="R2582" i="2"/>
  <c r="S2582" i="2"/>
  <c r="X2582" i="2"/>
  <c r="Y2582" i="2"/>
  <c r="F2583" i="2"/>
  <c r="G2583" i="2"/>
  <c r="M2583" i="2"/>
  <c r="N2583" i="2" s="1"/>
  <c r="R2583" i="2"/>
  <c r="S2583" i="2"/>
  <c r="X2583" i="2"/>
  <c r="Y2583" i="2"/>
  <c r="F2584" i="2"/>
  <c r="G2584" i="2"/>
  <c r="M2584" i="2"/>
  <c r="N2584" i="2" s="1"/>
  <c r="R2584" i="2"/>
  <c r="S2584" i="2"/>
  <c r="X2584" i="2"/>
  <c r="Y2584" i="2"/>
  <c r="F2585" i="2"/>
  <c r="G2585" i="2"/>
  <c r="M2585" i="2"/>
  <c r="N2585" i="2" s="1"/>
  <c r="R2585" i="2"/>
  <c r="S2585" i="2"/>
  <c r="X2585" i="2"/>
  <c r="Y2585" i="2"/>
  <c r="F2586" i="2"/>
  <c r="G2586" i="2"/>
  <c r="M2586" i="2"/>
  <c r="N2586" i="2" s="1"/>
  <c r="R2586" i="2"/>
  <c r="S2586" i="2"/>
  <c r="X2586" i="2"/>
  <c r="Y2586" i="2"/>
  <c r="F2587" i="2"/>
  <c r="G2587" i="2"/>
  <c r="M2587" i="2"/>
  <c r="N2587" i="2" s="1"/>
  <c r="R2587" i="2"/>
  <c r="S2587" i="2"/>
  <c r="X2587" i="2"/>
  <c r="Y2587" i="2"/>
  <c r="F2588" i="2"/>
  <c r="G2588" i="2"/>
  <c r="M2588" i="2"/>
  <c r="N2588" i="2" s="1"/>
  <c r="R2588" i="2"/>
  <c r="S2588" i="2"/>
  <c r="X2588" i="2"/>
  <c r="Y2588" i="2"/>
  <c r="F2589" i="2"/>
  <c r="G2589" i="2"/>
  <c r="M2589" i="2"/>
  <c r="N2589" i="2" s="1"/>
  <c r="R2589" i="2"/>
  <c r="S2589" i="2"/>
  <c r="X2589" i="2"/>
  <c r="Y2589" i="2"/>
  <c r="F2590" i="2"/>
  <c r="G2590" i="2"/>
  <c r="M2590" i="2"/>
  <c r="N2590" i="2" s="1"/>
  <c r="R2590" i="2"/>
  <c r="S2590" i="2"/>
  <c r="X2590" i="2"/>
  <c r="Y2590" i="2"/>
  <c r="F2591" i="2"/>
  <c r="G2591" i="2"/>
  <c r="M2591" i="2"/>
  <c r="N2591" i="2" s="1"/>
  <c r="R2591" i="2"/>
  <c r="S2591" i="2"/>
  <c r="X2591" i="2"/>
  <c r="Y2591" i="2"/>
  <c r="F2592" i="2"/>
  <c r="G2592" i="2"/>
  <c r="M2592" i="2"/>
  <c r="N2592" i="2" s="1"/>
  <c r="R2592" i="2"/>
  <c r="S2592" i="2"/>
  <c r="X2592" i="2"/>
  <c r="Y2592" i="2"/>
  <c r="F2593" i="2"/>
  <c r="G2593" i="2"/>
  <c r="M2593" i="2"/>
  <c r="N2593" i="2" s="1"/>
  <c r="R2593" i="2"/>
  <c r="S2593" i="2"/>
  <c r="X2593" i="2"/>
  <c r="Y2593" i="2"/>
  <c r="F2594" i="2"/>
  <c r="G2594" i="2"/>
  <c r="M2594" i="2"/>
  <c r="N2594" i="2" s="1"/>
  <c r="R2594" i="2"/>
  <c r="S2594" i="2"/>
  <c r="X2594" i="2"/>
  <c r="Y2594" i="2"/>
  <c r="F2595" i="2"/>
  <c r="G2595" i="2"/>
  <c r="M2595" i="2"/>
  <c r="N2595" i="2" s="1"/>
  <c r="R2595" i="2"/>
  <c r="S2595" i="2"/>
  <c r="X2595" i="2"/>
  <c r="Y2595" i="2"/>
  <c r="F2596" i="2"/>
  <c r="G2596" i="2"/>
  <c r="M2596" i="2"/>
  <c r="N2596" i="2" s="1"/>
  <c r="R2596" i="2"/>
  <c r="S2596" i="2"/>
  <c r="X2596" i="2"/>
  <c r="Y2596" i="2" s="1"/>
  <c r="F2597" i="2"/>
  <c r="G2597" i="2"/>
  <c r="M2597" i="2"/>
  <c r="N2597" i="2" s="1"/>
  <c r="R2597" i="2"/>
  <c r="S2597" i="2"/>
  <c r="X2597" i="2"/>
  <c r="Y2597" i="2"/>
  <c r="F2598" i="2"/>
  <c r="G2598" i="2"/>
  <c r="M2598" i="2"/>
  <c r="N2598" i="2" s="1"/>
  <c r="R2598" i="2"/>
  <c r="S2598" i="2"/>
  <c r="X2598" i="2"/>
  <c r="Y2598" i="2"/>
  <c r="F2599" i="2"/>
  <c r="G2599" i="2"/>
  <c r="M2599" i="2"/>
  <c r="N2599" i="2" s="1"/>
  <c r="R2599" i="2"/>
  <c r="S2599" i="2"/>
  <c r="X2599" i="2"/>
  <c r="Y2599" i="2"/>
  <c r="F2600" i="2"/>
  <c r="G2600" i="2"/>
  <c r="M2600" i="2"/>
  <c r="N2600" i="2" s="1"/>
  <c r="R2600" i="2"/>
  <c r="S2600" i="2"/>
  <c r="X2600" i="2"/>
  <c r="Y2600" i="2"/>
  <c r="F2601" i="2"/>
  <c r="G2601" i="2"/>
  <c r="M2601" i="2"/>
  <c r="N2601" i="2" s="1"/>
  <c r="R2601" i="2"/>
  <c r="S2601" i="2"/>
  <c r="X2601" i="2"/>
  <c r="Y2601" i="2"/>
  <c r="F2602" i="2"/>
  <c r="G2602" i="2"/>
  <c r="M2602" i="2"/>
  <c r="N2602" i="2" s="1"/>
  <c r="R2602" i="2"/>
  <c r="S2602" i="2"/>
  <c r="X2602" i="2"/>
  <c r="Y2602" i="2"/>
  <c r="F2603" i="2"/>
  <c r="G2603" i="2"/>
  <c r="M2603" i="2"/>
  <c r="N2603" i="2" s="1"/>
  <c r="R2603" i="2"/>
  <c r="S2603" i="2"/>
  <c r="X2603" i="2"/>
  <c r="Y2603" i="2"/>
  <c r="F2604" i="2"/>
  <c r="G2604" i="2"/>
  <c r="M2604" i="2"/>
  <c r="N2604" i="2" s="1"/>
  <c r="R2604" i="2"/>
  <c r="S2604" i="2"/>
  <c r="X2604" i="2"/>
  <c r="Y2604" i="2"/>
  <c r="F2605" i="2"/>
  <c r="G2605" i="2"/>
  <c r="M2605" i="2"/>
  <c r="N2605" i="2" s="1"/>
  <c r="R2605" i="2"/>
  <c r="S2605" i="2"/>
  <c r="X2605" i="2"/>
  <c r="Y2605" i="2"/>
  <c r="F2606" i="2"/>
  <c r="G2606" i="2"/>
  <c r="M2606" i="2"/>
  <c r="N2606" i="2" s="1"/>
  <c r="R2606" i="2"/>
  <c r="S2606" i="2"/>
  <c r="X2606" i="2"/>
  <c r="Y2606" i="2"/>
  <c r="F2607" i="2"/>
  <c r="G2607" i="2"/>
  <c r="M2607" i="2"/>
  <c r="N2607" i="2" s="1"/>
  <c r="R2607" i="2"/>
  <c r="S2607" i="2"/>
  <c r="X2607" i="2"/>
  <c r="Y2607" i="2"/>
  <c r="F2608" i="2"/>
  <c r="G2608" i="2"/>
  <c r="M2608" i="2"/>
  <c r="N2608" i="2" s="1"/>
  <c r="R2608" i="2"/>
  <c r="S2608" i="2"/>
  <c r="X2608" i="2"/>
  <c r="Y2608" i="2"/>
  <c r="F2609" i="2"/>
  <c r="G2609" i="2"/>
  <c r="M2609" i="2"/>
  <c r="N2609" i="2" s="1"/>
  <c r="R2609" i="2"/>
  <c r="S2609" i="2"/>
  <c r="X2609" i="2"/>
  <c r="Y2609" i="2"/>
  <c r="F2610" i="2"/>
  <c r="G2610" i="2"/>
  <c r="M2610" i="2"/>
  <c r="N2610" i="2" s="1"/>
  <c r="R2610" i="2"/>
  <c r="S2610" i="2"/>
  <c r="X2610" i="2"/>
  <c r="Y2610" i="2"/>
  <c r="F2611" i="2"/>
  <c r="G2611" i="2"/>
  <c r="M2611" i="2"/>
  <c r="N2611" i="2" s="1"/>
  <c r="R2611" i="2"/>
  <c r="S2611" i="2"/>
  <c r="X2611" i="2"/>
  <c r="Y2611" i="2"/>
  <c r="F2612" i="2"/>
  <c r="G2612" i="2"/>
  <c r="M2612" i="2"/>
  <c r="N2612" i="2" s="1"/>
  <c r="R2612" i="2"/>
  <c r="S2612" i="2"/>
  <c r="X2612" i="2"/>
  <c r="Y2612" i="2"/>
  <c r="F2613" i="2"/>
  <c r="G2613" i="2"/>
  <c r="M2613" i="2"/>
  <c r="N2613" i="2" s="1"/>
  <c r="R2613" i="2"/>
  <c r="S2613" i="2"/>
  <c r="X2613" i="2"/>
  <c r="Y2613" i="2"/>
  <c r="F2614" i="2"/>
  <c r="G2614" i="2"/>
  <c r="M2614" i="2"/>
  <c r="N2614" i="2" s="1"/>
  <c r="R2614" i="2"/>
  <c r="S2614" i="2"/>
  <c r="X2614" i="2"/>
  <c r="Y2614" i="2"/>
  <c r="F2615" i="2"/>
  <c r="G2615" i="2"/>
  <c r="M2615" i="2"/>
  <c r="N2615" i="2" s="1"/>
  <c r="R2615" i="2"/>
  <c r="S2615" i="2"/>
  <c r="X2615" i="2"/>
  <c r="Y2615" i="2"/>
  <c r="F2616" i="2"/>
  <c r="G2616" i="2"/>
  <c r="M2616" i="2"/>
  <c r="N2616" i="2" s="1"/>
  <c r="R2616" i="2"/>
  <c r="S2616" i="2"/>
  <c r="X2616" i="2"/>
  <c r="Y2616" i="2"/>
  <c r="F2617" i="2"/>
  <c r="G2617" i="2"/>
  <c r="M2617" i="2"/>
  <c r="N2617" i="2" s="1"/>
  <c r="R2617" i="2"/>
  <c r="S2617" i="2"/>
  <c r="X2617" i="2"/>
  <c r="Y2617" i="2"/>
  <c r="F2618" i="2"/>
  <c r="G2618" i="2"/>
  <c r="M2618" i="2"/>
  <c r="N2618" i="2" s="1"/>
  <c r="R2618" i="2"/>
  <c r="S2618" i="2"/>
  <c r="X2618" i="2"/>
  <c r="Y2618" i="2"/>
  <c r="F2619" i="2"/>
  <c r="G2619" i="2"/>
  <c r="M2619" i="2"/>
  <c r="N2619" i="2" s="1"/>
  <c r="R2619" i="2"/>
  <c r="S2619" i="2"/>
  <c r="X2619" i="2"/>
  <c r="Y2619" i="2"/>
  <c r="F2620" i="2"/>
  <c r="G2620" i="2"/>
  <c r="M2620" i="2"/>
  <c r="N2620" i="2" s="1"/>
  <c r="R2620" i="2"/>
  <c r="S2620" i="2"/>
  <c r="X2620" i="2"/>
  <c r="Y2620" i="2"/>
  <c r="F2621" i="2"/>
  <c r="G2621" i="2"/>
  <c r="M2621" i="2"/>
  <c r="N2621" i="2" s="1"/>
  <c r="R2621" i="2"/>
  <c r="S2621" i="2"/>
  <c r="X2621" i="2"/>
  <c r="Y2621" i="2"/>
  <c r="F2622" i="2"/>
  <c r="G2622" i="2"/>
  <c r="M2622" i="2"/>
  <c r="N2622" i="2" s="1"/>
  <c r="R2622" i="2"/>
  <c r="S2622" i="2"/>
  <c r="X2622" i="2"/>
  <c r="Y2622" i="2"/>
  <c r="F2623" i="2"/>
  <c r="G2623" i="2"/>
  <c r="M2623" i="2"/>
  <c r="N2623" i="2" s="1"/>
  <c r="R2623" i="2"/>
  <c r="S2623" i="2"/>
  <c r="X2623" i="2"/>
  <c r="Y2623" i="2"/>
  <c r="F2624" i="2"/>
  <c r="G2624" i="2"/>
  <c r="M2624" i="2"/>
  <c r="N2624" i="2" s="1"/>
  <c r="R2624" i="2"/>
  <c r="S2624" i="2"/>
  <c r="X2624" i="2"/>
  <c r="Y2624" i="2"/>
  <c r="F2625" i="2"/>
  <c r="G2625" i="2"/>
  <c r="M2625" i="2"/>
  <c r="N2625" i="2" s="1"/>
  <c r="R2625" i="2"/>
  <c r="S2625" i="2"/>
  <c r="X2625" i="2"/>
  <c r="Y2625" i="2"/>
  <c r="F2626" i="2"/>
  <c r="G2626" i="2"/>
  <c r="M2626" i="2"/>
  <c r="N2626" i="2" s="1"/>
  <c r="R2626" i="2"/>
  <c r="S2626" i="2"/>
  <c r="X2626" i="2"/>
  <c r="Y2626" i="2"/>
  <c r="F2627" i="2"/>
  <c r="G2627" i="2"/>
  <c r="M2627" i="2"/>
  <c r="N2627" i="2" s="1"/>
  <c r="R2627" i="2"/>
  <c r="S2627" i="2"/>
  <c r="X2627" i="2"/>
  <c r="Y2627" i="2"/>
  <c r="F2628" i="2"/>
  <c r="G2628" i="2"/>
  <c r="M2628" i="2"/>
  <c r="N2628" i="2" s="1"/>
  <c r="R2628" i="2"/>
  <c r="S2628" i="2"/>
  <c r="X2628" i="2"/>
  <c r="Y2628" i="2"/>
  <c r="F2629" i="2"/>
  <c r="G2629" i="2"/>
  <c r="M2629" i="2"/>
  <c r="N2629" i="2" s="1"/>
  <c r="R2629" i="2"/>
  <c r="S2629" i="2"/>
  <c r="X2629" i="2"/>
  <c r="Y2629" i="2"/>
  <c r="F2630" i="2"/>
  <c r="G2630" i="2"/>
  <c r="M2630" i="2"/>
  <c r="N2630" i="2" s="1"/>
  <c r="R2630" i="2"/>
  <c r="S2630" i="2"/>
  <c r="X2630" i="2"/>
  <c r="Y2630" i="2"/>
  <c r="F2631" i="2"/>
  <c r="G2631" i="2"/>
  <c r="M2631" i="2"/>
  <c r="N2631" i="2" s="1"/>
  <c r="R2631" i="2"/>
  <c r="S2631" i="2"/>
  <c r="X2631" i="2"/>
  <c r="Y2631" i="2"/>
  <c r="F2632" i="2"/>
  <c r="G2632" i="2"/>
  <c r="M2632" i="2"/>
  <c r="N2632" i="2" s="1"/>
  <c r="R2632" i="2"/>
  <c r="S2632" i="2"/>
  <c r="X2632" i="2"/>
  <c r="Y2632" i="2"/>
  <c r="F2633" i="2"/>
  <c r="G2633" i="2"/>
  <c r="M2633" i="2"/>
  <c r="N2633" i="2" s="1"/>
  <c r="R2633" i="2"/>
  <c r="S2633" i="2"/>
  <c r="X2633" i="2"/>
  <c r="Y2633" i="2"/>
  <c r="F2634" i="2"/>
  <c r="G2634" i="2"/>
  <c r="M2634" i="2"/>
  <c r="N2634" i="2" s="1"/>
  <c r="R2634" i="2"/>
  <c r="S2634" i="2"/>
  <c r="X2634" i="2"/>
  <c r="Y2634" i="2"/>
  <c r="J2636" i="2"/>
  <c r="M2636" i="2" s="1"/>
  <c r="N2636" i="2" s="1"/>
  <c r="K2636" i="2"/>
  <c r="L2636" i="2"/>
  <c r="O2636" i="2"/>
  <c r="R2636" i="2" s="1"/>
  <c r="P2636" i="2"/>
  <c r="Q2636" i="2"/>
  <c r="U2636" i="2"/>
  <c r="V2636" i="2"/>
  <c r="W2636" i="2"/>
  <c r="X2636" i="2" s="1"/>
  <c r="Y2636" i="2" s="1"/>
  <c r="Z2636" i="2"/>
  <c r="AA2636" i="2"/>
  <c r="AB2636" i="2"/>
  <c r="E2638" i="2"/>
  <c r="G2638" i="2"/>
  <c r="F2640" i="2"/>
  <c r="G2640" i="2"/>
  <c r="M2640" i="2"/>
  <c r="N2640" i="2" s="1"/>
  <c r="R2640" i="2"/>
  <c r="S2640" i="2"/>
  <c r="X2640" i="2"/>
  <c r="Y2640" i="2"/>
  <c r="F2641" i="2"/>
  <c r="G2641" i="2"/>
  <c r="M2641" i="2"/>
  <c r="N2641" i="2"/>
  <c r="R2641" i="2"/>
  <c r="S2641" i="2"/>
  <c r="X2641" i="2"/>
  <c r="Y2641" i="2" s="1"/>
  <c r="F2642" i="2"/>
  <c r="G2642" i="2"/>
  <c r="M2642" i="2"/>
  <c r="N2642" i="2"/>
  <c r="R2642" i="2"/>
  <c r="S2642" i="2"/>
  <c r="X2642" i="2"/>
  <c r="Y2642" i="2" s="1"/>
  <c r="F2643" i="2"/>
  <c r="G2643" i="2"/>
  <c r="M2643" i="2"/>
  <c r="N2643" i="2"/>
  <c r="R2643" i="2"/>
  <c r="S2643" i="2"/>
  <c r="X2643" i="2"/>
  <c r="Y2643" i="2"/>
  <c r="F2644" i="2"/>
  <c r="G2644" i="2"/>
  <c r="M2644" i="2"/>
  <c r="N2644" i="2" s="1"/>
  <c r="R2644" i="2"/>
  <c r="S2644" i="2"/>
  <c r="X2644" i="2"/>
  <c r="Y2644" i="2"/>
  <c r="F2645" i="2"/>
  <c r="G2645" i="2"/>
  <c r="M2645" i="2"/>
  <c r="N2645" i="2" s="1"/>
  <c r="R2645" i="2"/>
  <c r="S2645" i="2"/>
  <c r="X2645" i="2"/>
  <c r="Y2645" i="2"/>
  <c r="F2646" i="2"/>
  <c r="G2646" i="2"/>
  <c r="M2646" i="2"/>
  <c r="N2646" i="2"/>
  <c r="R2646" i="2"/>
  <c r="S2646" i="2"/>
  <c r="X2646" i="2"/>
  <c r="Y2646" i="2"/>
  <c r="F2647" i="2"/>
  <c r="G2647" i="2"/>
  <c r="M2647" i="2"/>
  <c r="N2647" i="2" s="1"/>
  <c r="R2647" i="2"/>
  <c r="S2647" i="2"/>
  <c r="X2647" i="2"/>
  <c r="Y2647" i="2"/>
  <c r="F2648" i="2"/>
  <c r="G2648" i="2"/>
  <c r="M2648" i="2"/>
  <c r="N2648" i="2"/>
  <c r="R2648" i="2"/>
  <c r="S2648" i="2"/>
  <c r="X2648" i="2"/>
  <c r="Y2648" i="2"/>
  <c r="F2649" i="2"/>
  <c r="G2649" i="2"/>
  <c r="M2649" i="2"/>
  <c r="N2649" i="2"/>
  <c r="R2649" i="2"/>
  <c r="S2649" i="2"/>
  <c r="X2649" i="2"/>
  <c r="Y2649" i="2"/>
  <c r="F2650" i="2"/>
  <c r="G2650" i="2"/>
  <c r="M2650" i="2"/>
  <c r="N2650" i="2"/>
  <c r="R2650" i="2"/>
  <c r="S2650" i="2"/>
  <c r="X2650" i="2"/>
  <c r="Y2650" i="2"/>
  <c r="F2651" i="2"/>
  <c r="G2651" i="2"/>
  <c r="M2651" i="2"/>
  <c r="N2651" i="2" s="1"/>
  <c r="R2651" i="2"/>
  <c r="S2651" i="2"/>
  <c r="X2651" i="2"/>
  <c r="Y2651" i="2"/>
  <c r="F2652" i="2"/>
  <c r="G2652" i="2"/>
  <c r="M2652" i="2"/>
  <c r="N2652" i="2"/>
  <c r="R2652" i="2"/>
  <c r="S2652" i="2"/>
  <c r="X2652" i="2"/>
  <c r="Y2652" i="2"/>
  <c r="F2653" i="2"/>
  <c r="G2653" i="2"/>
  <c r="M2653" i="2"/>
  <c r="N2653" i="2"/>
  <c r="R2653" i="2"/>
  <c r="S2653" i="2"/>
  <c r="X2653" i="2"/>
  <c r="Y2653" i="2"/>
  <c r="F2654" i="2"/>
  <c r="G2654" i="2"/>
  <c r="M2654" i="2"/>
  <c r="N2654" i="2"/>
  <c r="R2654" i="2"/>
  <c r="S2654" i="2"/>
  <c r="X2654" i="2"/>
  <c r="Y2654" i="2"/>
  <c r="F2655" i="2"/>
  <c r="G2655" i="2"/>
  <c r="M2655" i="2"/>
  <c r="N2655" i="2" s="1"/>
  <c r="R2655" i="2"/>
  <c r="S2655" i="2"/>
  <c r="X2655" i="2"/>
  <c r="Y2655" i="2"/>
  <c r="F2656" i="2"/>
  <c r="G2656" i="2"/>
  <c r="M2656" i="2"/>
  <c r="N2656" i="2" s="1"/>
  <c r="R2656" i="2"/>
  <c r="S2656" i="2"/>
  <c r="X2656" i="2"/>
  <c r="Y2656" i="2"/>
  <c r="F2657" i="2"/>
  <c r="G2657" i="2"/>
  <c r="M2657" i="2"/>
  <c r="N2657" i="2"/>
  <c r="R2657" i="2"/>
  <c r="S2657" i="2"/>
  <c r="X2657" i="2"/>
  <c r="Y2657" i="2"/>
  <c r="F2658" i="2"/>
  <c r="G2658" i="2"/>
  <c r="M2658" i="2"/>
  <c r="N2658" i="2"/>
  <c r="R2658" i="2"/>
  <c r="S2658" i="2"/>
  <c r="X2658" i="2"/>
  <c r="Y2658" i="2"/>
  <c r="F2659" i="2"/>
  <c r="G2659" i="2"/>
  <c r="M2659" i="2"/>
  <c r="N2659" i="2"/>
  <c r="R2659" i="2"/>
  <c r="S2659" i="2"/>
  <c r="X2659" i="2"/>
  <c r="Y2659" i="2"/>
  <c r="F2660" i="2"/>
  <c r="G2660" i="2"/>
  <c r="M2660" i="2"/>
  <c r="N2660" i="2"/>
  <c r="R2660" i="2"/>
  <c r="S2660" i="2"/>
  <c r="X2660" i="2"/>
  <c r="Y2660" i="2"/>
  <c r="F2661" i="2"/>
  <c r="G2661" i="2"/>
  <c r="M2661" i="2"/>
  <c r="N2661" i="2"/>
  <c r="R2661" i="2"/>
  <c r="S2661" i="2"/>
  <c r="X2661" i="2"/>
  <c r="Y2661" i="2"/>
  <c r="F2662" i="2"/>
  <c r="G2662" i="2"/>
  <c r="M2662" i="2"/>
  <c r="N2662" i="2"/>
  <c r="R2662" i="2"/>
  <c r="S2662" i="2"/>
  <c r="X2662" i="2"/>
  <c r="Y2662" i="2"/>
  <c r="F2663" i="2"/>
  <c r="G2663" i="2"/>
  <c r="M2663" i="2"/>
  <c r="N2663" i="2"/>
  <c r="R2663" i="2"/>
  <c r="S2663" i="2"/>
  <c r="X2663" i="2"/>
  <c r="Y2663" i="2"/>
  <c r="F2664" i="2"/>
  <c r="G2664" i="2"/>
  <c r="M2664" i="2"/>
  <c r="N2664" i="2"/>
  <c r="R2664" i="2"/>
  <c r="S2664" i="2"/>
  <c r="X2664" i="2"/>
  <c r="Y2664" i="2"/>
  <c r="F2665" i="2"/>
  <c r="G2665" i="2"/>
  <c r="M2665" i="2"/>
  <c r="N2665" i="2" s="1"/>
  <c r="R2665" i="2"/>
  <c r="S2665" i="2"/>
  <c r="X2665" i="2"/>
  <c r="Y2665" i="2"/>
  <c r="F2666" i="2"/>
  <c r="G2666" i="2"/>
  <c r="M2666" i="2"/>
  <c r="N2666" i="2"/>
  <c r="R2666" i="2"/>
  <c r="S2666" i="2"/>
  <c r="X2666" i="2"/>
  <c r="Y2666" i="2"/>
  <c r="F2667" i="2"/>
  <c r="G2667" i="2"/>
  <c r="M2667" i="2"/>
  <c r="N2667" i="2"/>
  <c r="R2667" i="2"/>
  <c r="S2667" i="2"/>
  <c r="X2667" i="2"/>
  <c r="Y2667" i="2"/>
  <c r="F2668" i="2"/>
  <c r="G2668" i="2"/>
  <c r="M2668" i="2"/>
  <c r="N2668" i="2"/>
  <c r="R2668" i="2"/>
  <c r="S2668" i="2"/>
  <c r="X2668" i="2"/>
  <c r="Y2668" i="2"/>
  <c r="F2669" i="2"/>
  <c r="G2669" i="2"/>
  <c r="M2669" i="2"/>
  <c r="N2669" i="2" s="1"/>
  <c r="R2669" i="2"/>
  <c r="S2669" i="2"/>
  <c r="X2669" i="2"/>
  <c r="Y2669" i="2"/>
  <c r="F2670" i="2"/>
  <c r="G2670" i="2"/>
  <c r="M2670" i="2"/>
  <c r="N2670" i="2" s="1"/>
  <c r="R2670" i="2"/>
  <c r="S2670" i="2"/>
  <c r="X2670" i="2"/>
  <c r="Y2670" i="2"/>
  <c r="F2671" i="2"/>
  <c r="G2671" i="2"/>
  <c r="M2671" i="2"/>
  <c r="N2671" i="2"/>
  <c r="R2671" i="2"/>
  <c r="S2671" i="2"/>
  <c r="X2671" i="2"/>
  <c r="Y2671" i="2"/>
  <c r="F2672" i="2"/>
  <c r="G2672" i="2"/>
  <c r="M2672" i="2"/>
  <c r="N2672" i="2" s="1"/>
  <c r="R2672" i="2"/>
  <c r="S2672" i="2"/>
  <c r="X2672" i="2"/>
  <c r="Y2672" i="2"/>
  <c r="F2673" i="2"/>
  <c r="G2673" i="2"/>
  <c r="M2673" i="2"/>
  <c r="N2673" i="2" s="1"/>
  <c r="R2673" i="2"/>
  <c r="S2673" i="2"/>
  <c r="X2673" i="2"/>
  <c r="Y2673" i="2"/>
  <c r="F2674" i="2"/>
  <c r="G2674" i="2"/>
  <c r="M2674" i="2"/>
  <c r="N2674" i="2" s="1"/>
  <c r="R2674" i="2"/>
  <c r="S2674" i="2"/>
  <c r="X2674" i="2"/>
  <c r="Y2674" i="2"/>
  <c r="F2675" i="2"/>
  <c r="G2675" i="2"/>
  <c r="M2675" i="2"/>
  <c r="N2675" i="2" s="1"/>
  <c r="R2675" i="2"/>
  <c r="S2675" i="2"/>
  <c r="X2675" i="2"/>
  <c r="Y2675" i="2"/>
  <c r="F2676" i="2"/>
  <c r="G2676" i="2"/>
  <c r="M2676" i="2"/>
  <c r="N2676" i="2" s="1"/>
  <c r="R2676" i="2"/>
  <c r="S2676" i="2"/>
  <c r="X2676" i="2"/>
  <c r="Y2676" i="2"/>
  <c r="F2677" i="2"/>
  <c r="G2677" i="2"/>
  <c r="M2677" i="2"/>
  <c r="N2677" i="2"/>
  <c r="R2677" i="2"/>
  <c r="S2677" i="2"/>
  <c r="X2677" i="2"/>
  <c r="Y2677" i="2"/>
  <c r="J2679" i="2"/>
  <c r="M2679" i="2" s="1"/>
  <c r="K2679" i="2"/>
  <c r="L2679" i="2"/>
  <c r="O2679" i="2"/>
  <c r="P2679" i="2"/>
  <c r="Q2679" i="2"/>
  <c r="R2679" i="2"/>
  <c r="S2679" i="2"/>
  <c r="U2679" i="2"/>
  <c r="X2679" i="2" s="1"/>
  <c r="V2679" i="2"/>
  <c r="W2679" i="2"/>
  <c r="Y2679" i="2"/>
  <c r="Z2679" i="2"/>
  <c r="AA2679" i="2"/>
  <c r="AB2679" i="2"/>
  <c r="E2681" i="2"/>
  <c r="C2681" i="2" s="1"/>
  <c r="C2682" i="2" s="1"/>
  <c r="C2683" i="2" s="1"/>
  <c r="G2681" i="2"/>
  <c r="F2683" i="2"/>
  <c r="G2683" i="2"/>
  <c r="M2683" i="2"/>
  <c r="N2683" i="2"/>
  <c r="R2683" i="2"/>
  <c r="S2683" i="2"/>
  <c r="X2683" i="2"/>
  <c r="Y2683" i="2" s="1"/>
  <c r="F2684" i="2"/>
  <c r="G2684" i="2"/>
  <c r="M2684" i="2"/>
  <c r="N2684" i="2"/>
  <c r="R2684" i="2"/>
  <c r="S2684" i="2"/>
  <c r="X2684" i="2"/>
  <c r="Y2684" i="2"/>
  <c r="F2685" i="2"/>
  <c r="G2685" i="2"/>
  <c r="M2685" i="2"/>
  <c r="N2685" i="2"/>
  <c r="R2685" i="2"/>
  <c r="S2685" i="2"/>
  <c r="X2685" i="2"/>
  <c r="Y2685" i="2"/>
  <c r="F2686" i="2"/>
  <c r="G2686" i="2"/>
  <c r="M2686" i="2"/>
  <c r="N2686" i="2"/>
  <c r="R2686" i="2"/>
  <c r="S2686" i="2"/>
  <c r="X2686" i="2"/>
  <c r="Y2686" i="2"/>
  <c r="F2687" i="2"/>
  <c r="G2687" i="2"/>
  <c r="M2687" i="2"/>
  <c r="N2687" i="2"/>
  <c r="R2687" i="2"/>
  <c r="S2687" i="2"/>
  <c r="X2687" i="2"/>
  <c r="Y2687" i="2"/>
  <c r="F2688" i="2"/>
  <c r="G2688" i="2"/>
  <c r="M2688" i="2"/>
  <c r="N2688" i="2"/>
  <c r="R2688" i="2"/>
  <c r="S2688" i="2"/>
  <c r="X2688" i="2"/>
  <c r="Y2688" i="2"/>
  <c r="F2689" i="2"/>
  <c r="G2689" i="2"/>
  <c r="M2689" i="2"/>
  <c r="N2689" i="2"/>
  <c r="R2689" i="2"/>
  <c r="S2689" i="2"/>
  <c r="X2689" i="2"/>
  <c r="Y2689" i="2"/>
  <c r="F2690" i="2"/>
  <c r="G2690" i="2"/>
  <c r="M2690" i="2"/>
  <c r="N2690" i="2"/>
  <c r="R2690" i="2"/>
  <c r="S2690" i="2"/>
  <c r="X2690" i="2"/>
  <c r="Y2690" i="2"/>
  <c r="F2691" i="2"/>
  <c r="G2691" i="2"/>
  <c r="M2691" i="2"/>
  <c r="N2691" i="2"/>
  <c r="R2691" i="2"/>
  <c r="S2691" i="2"/>
  <c r="X2691" i="2"/>
  <c r="Y2691" i="2"/>
  <c r="F2692" i="2"/>
  <c r="G2692" i="2"/>
  <c r="M2692" i="2"/>
  <c r="N2692" i="2"/>
  <c r="R2692" i="2"/>
  <c r="S2692" i="2"/>
  <c r="X2692" i="2"/>
  <c r="Y2692" i="2" s="1"/>
  <c r="F2693" i="2"/>
  <c r="G2693" i="2"/>
  <c r="M2693" i="2"/>
  <c r="N2693" i="2"/>
  <c r="R2693" i="2"/>
  <c r="S2693" i="2"/>
  <c r="X2693" i="2"/>
  <c r="Y2693" i="2" s="1"/>
  <c r="F2694" i="2"/>
  <c r="G2694" i="2"/>
  <c r="M2694" i="2"/>
  <c r="N2694" i="2"/>
  <c r="R2694" i="2"/>
  <c r="S2694" i="2"/>
  <c r="X2694" i="2"/>
  <c r="Y2694" i="2" s="1"/>
  <c r="F2695" i="2"/>
  <c r="G2695" i="2"/>
  <c r="M2695" i="2"/>
  <c r="N2695" i="2"/>
  <c r="R2695" i="2"/>
  <c r="S2695" i="2"/>
  <c r="X2695" i="2"/>
  <c r="Y2695" i="2" s="1"/>
  <c r="F2696" i="2"/>
  <c r="G2696" i="2"/>
  <c r="M2696" i="2"/>
  <c r="N2696" i="2"/>
  <c r="R2696" i="2"/>
  <c r="S2696" i="2"/>
  <c r="X2696" i="2"/>
  <c r="Y2696" i="2" s="1"/>
  <c r="F2697" i="2"/>
  <c r="G2697" i="2"/>
  <c r="M2697" i="2"/>
  <c r="N2697" i="2"/>
  <c r="R2697" i="2"/>
  <c r="S2697" i="2"/>
  <c r="X2697" i="2"/>
  <c r="Y2697" i="2" s="1"/>
  <c r="F2698" i="2"/>
  <c r="G2698" i="2"/>
  <c r="M2698" i="2"/>
  <c r="N2698" i="2"/>
  <c r="R2698" i="2"/>
  <c r="S2698" i="2"/>
  <c r="X2698" i="2"/>
  <c r="Y2698" i="2" s="1"/>
  <c r="F2699" i="2"/>
  <c r="G2699" i="2"/>
  <c r="M2699" i="2"/>
  <c r="N2699" i="2"/>
  <c r="R2699" i="2"/>
  <c r="S2699" i="2"/>
  <c r="X2699" i="2"/>
  <c r="Y2699" i="2"/>
  <c r="F2700" i="2"/>
  <c r="G2700" i="2"/>
  <c r="M2700" i="2"/>
  <c r="N2700" i="2"/>
  <c r="R2700" i="2"/>
  <c r="S2700" i="2"/>
  <c r="X2700" i="2"/>
  <c r="Y2700" i="2" s="1"/>
  <c r="F2701" i="2"/>
  <c r="G2701" i="2"/>
  <c r="M2701" i="2"/>
  <c r="N2701" i="2"/>
  <c r="R2701" i="2"/>
  <c r="S2701" i="2"/>
  <c r="X2701" i="2"/>
  <c r="Y2701" i="2" s="1"/>
  <c r="F2702" i="2"/>
  <c r="G2702" i="2"/>
  <c r="M2702" i="2"/>
  <c r="N2702" i="2"/>
  <c r="R2702" i="2"/>
  <c r="S2702" i="2"/>
  <c r="X2702" i="2"/>
  <c r="Y2702" i="2" s="1"/>
  <c r="F2703" i="2"/>
  <c r="G2703" i="2"/>
  <c r="M2703" i="2"/>
  <c r="N2703" i="2"/>
  <c r="R2703" i="2"/>
  <c r="S2703" i="2"/>
  <c r="X2703" i="2"/>
  <c r="Y2703" i="2" s="1"/>
  <c r="F2704" i="2"/>
  <c r="G2704" i="2"/>
  <c r="M2704" i="2"/>
  <c r="N2704" i="2"/>
  <c r="R2704" i="2"/>
  <c r="S2704" i="2"/>
  <c r="X2704" i="2"/>
  <c r="Y2704" i="2" s="1"/>
  <c r="F2705" i="2"/>
  <c r="G2705" i="2"/>
  <c r="M2705" i="2"/>
  <c r="N2705" i="2"/>
  <c r="R2705" i="2"/>
  <c r="S2705" i="2"/>
  <c r="X2705" i="2"/>
  <c r="Y2705" i="2"/>
  <c r="F2706" i="2"/>
  <c r="G2706" i="2"/>
  <c r="M2706" i="2"/>
  <c r="N2706" i="2"/>
  <c r="R2706" i="2"/>
  <c r="S2706" i="2"/>
  <c r="X2706" i="2"/>
  <c r="Y2706" i="2" s="1"/>
  <c r="F2707" i="2"/>
  <c r="G2707" i="2"/>
  <c r="M2707" i="2"/>
  <c r="N2707" i="2"/>
  <c r="R2707" i="2"/>
  <c r="S2707" i="2"/>
  <c r="X2707" i="2"/>
  <c r="Y2707" i="2"/>
  <c r="F2708" i="2"/>
  <c r="G2708" i="2"/>
  <c r="M2708" i="2"/>
  <c r="N2708" i="2"/>
  <c r="R2708" i="2"/>
  <c r="S2708" i="2"/>
  <c r="X2708" i="2"/>
  <c r="Y2708" i="2" s="1"/>
  <c r="F2709" i="2"/>
  <c r="G2709" i="2"/>
  <c r="M2709" i="2"/>
  <c r="N2709" i="2"/>
  <c r="R2709" i="2"/>
  <c r="S2709" i="2"/>
  <c r="X2709" i="2"/>
  <c r="Y2709" i="2"/>
  <c r="F2710" i="2"/>
  <c r="G2710" i="2"/>
  <c r="M2710" i="2"/>
  <c r="N2710" i="2"/>
  <c r="R2710" i="2"/>
  <c r="S2710" i="2"/>
  <c r="X2710" i="2"/>
  <c r="Y2710" i="2" s="1"/>
  <c r="F2711" i="2"/>
  <c r="G2711" i="2"/>
  <c r="M2711" i="2"/>
  <c r="N2711" i="2"/>
  <c r="R2711" i="2"/>
  <c r="S2711" i="2"/>
  <c r="X2711" i="2"/>
  <c r="Y2711" i="2" s="1"/>
  <c r="F2712" i="2"/>
  <c r="G2712" i="2"/>
  <c r="M2712" i="2"/>
  <c r="N2712" i="2"/>
  <c r="R2712" i="2"/>
  <c r="S2712" i="2"/>
  <c r="X2712" i="2"/>
  <c r="Y2712" i="2" s="1"/>
  <c r="F2713" i="2"/>
  <c r="G2713" i="2"/>
  <c r="M2713" i="2"/>
  <c r="N2713" i="2"/>
  <c r="R2713" i="2"/>
  <c r="S2713" i="2"/>
  <c r="X2713" i="2"/>
  <c r="Y2713" i="2" s="1"/>
  <c r="F2714" i="2"/>
  <c r="G2714" i="2"/>
  <c r="M2714" i="2"/>
  <c r="N2714" i="2"/>
  <c r="R2714" i="2"/>
  <c r="S2714" i="2"/>
  <c r="X2714" i="2"/>
  <c r="Y2714" i="2"/>
  <c r="F2715" i="2"/>
  <c r="G2715" i="2"/>
  <c r="M2715" i="2"/>
  <c r="N2715" i="2"/>
  <c r="R2715" i="2"/>
  <c r="S2715" i="2"/>
  <c r="X2715" i="2"/>
  <c r="Y2715" i="2" s="1"/>
  <c r="F2716" i="2"/>
  <c r="G2716" i="2"/>
  <c r="M2716" i="2"/>
  <c r="N2716" i="2"/>
  <c r="R2716" i="2"/>
  <c r="S2716" i="2"/>
  <c r="X2716" i="2"/>
  <c r="Y2716" i="2"/>
  <c r="F2717" i="2"/>
  <c r="G2717" i="2"/>
  <c r="M2717" i="2"/>
  <c r="N2717" i="2"/>
  <c r="R2717" i="2"/>
  <c r="S2717" i="2"/>
  <c r="X2717" i="2"/>
  <c r="Y2717" i="2" s="1"/>
  <c r="F2718" i="2"/>
  <c r="G2718" i="2"/>
  <c r="M2718" i="2"/>
  <c r="N2718" i="2"/>
  <c r="R2718" i="2"/>
  <c r="S2718" i="2"/>
  <c r="X2718" i="2"/>
  <c r="Y2718" i="2" s="1"/>
  <c r="F2719" i="2"/>
  <c r="G2719" i="2"/>
  <c r="M2719" i="2"/>
  <c r="N2719" i="2"/>
  <c r="R2719" i="2"/>
  <c r="S2719" i="2"/>
  <c r="X2719" i="2"/>
  <c r="Y2719" i="2" s="1"/>
  <c r="F2720" i="2"/>
  <c r="G2720" i="2"/>
  <c r="M2720" i="2"/>
  <c r="N2720" i="2"/>
  <c r="R2720" i="2"/>
  <c r="S2720" i="2"/>
  <c r="X2720" i="2"/>
  <c r="Y2720" i="2"/>
  <c r="F2721" i="2"/>
  <c r="G2721" i="2"/>
  <c r="M2721" i="2"/>
  <c r="N2721" i="2"/>
  <c r="R2721" i="2"/>
  <c r="S2721" i="2"/>
  <c r="X2721" i="2"/>
  <c r="Y2721" i="2"/>
  <c r="F2722" i="2"/>
  <c r="G2722" i="2"/>
  <c r="M2722" i="2"/>
  <c r="N2722" i="2"/>
  <c r="R2722" i="2"/>
  <c r="S2722" i="2"/>
  <c r="X2722" i="2"/>
  <c r="Y2722" i="2"/>
  <c r="F2723" i="2"/>
  <c r="G2723" i="2"/>
  <c r="M2723" i="2"/>
  <c r="N2723" i="2"/>
  <c r="R2723" i="2"/>
  <c r="S2723" i="2"/>
  <c r="X2723" i="2"/>
  <c r="Y2723" i="2" s="1"/>
  <c r="F2724" i="2"/>
  <c r="G2724" i="2"/>
  <c r="M2724" i="2"/>
  <c r="N2724" i="2"/>
  <c r="R2724" i="2"/>
  <c r="S2724" i="2"/>
  <c r="X2724" i="2"/>
  <c r="Y2724" i="2" s="1"/>
  <c r="F2725" i="2"/>
  <c r="G2725" i="2"/>
  <c r="M2725" i="2"/>
  <c r="N2725" i="2"/>
  <c r="R2725" i="2"/>
  <c r="S2725" i="2"/>
  <c r="X2725" i="2"/>
  <c r="Y2725" i="2" s="1"/>
  <c r="F2726" i="2"/>
  <c r="G2726" i="2"/>
  <c r="M2726" i="2"/>
  <c r="N2726" i="2"/>
  <c r="R2726" i="2"/>
  <c r="S2726" i="2"/>
  <c r="X2726" i="2"/>
  <c r="Y2726" i="2"/>
  <c r="F2727" i="2"/>
  <c r="G2727" i="2"/>
  <c r="M2727" i="2"/>
  <c r="N2727" i="2"/>
  <c r="R2727" i="2"/>
  <c r="S2727" i="2"/>
  <c r="X2727" i="2"/>
  <c r="Y2727" i="2"/>
  <c r="F2728" i="2"/>
  <c r="G2728" i="2"/>
  <c r="M2728" i="2"/>
  <c r="N2728" i="2"/>
  <c r="R2728" i="2"/>
  <c r="S2728" i="2"/>
  <c r="X2728" i="2"/>
  <c r="Y2728" i="2" s="1"/>
  <c r="F2729" i="2"/>
  <c r="G2729" i="2"/>
  <c r="M2729" i="2"/>
  <c r="N2729" i="2"/>
  <c r="R2729" i="2"/>
  <c r="S2729" i="2"/>
  <c r="X2729" i="2"/>
  <c r="Y2729" i="2" s="1"/>
  <c r="J2731" i="2"/>
  <c r="K2731" i="2"/>
  <c r="L2731" i="2"/>
  <c r="M2731" i="2"/>
  <c r="N2731" i="2"/>
  <c r="O2731" i="2"/>
  <c r="R2731" i="2" s="1"/>
  <c r="P2731" i="2"/>
  <c r="Q2731" i="2"/>
  <c r="U2731" i="2"/>
  <c r="Y2731" i="2" s="1"/>
  <c r="V2731" i="2"/>
  <c r="W2731" i="2"/>
  <c r="X2731" i="2"/>
  <c r="Z2731" i="2"/>
  <c r="AA2731" i="2"/>
  <c r="AB2731" i="2"/>
  <c r="E2733" i="2"/>
  <c r="G2733" i="2"/>
  <c r="F2735" i="2"/>
  <c r="G2735" i="2"/>
  <c r="M2735" i="2"/>
  <c r="N2735" i="2"/>
  <c r="R2735" i="2"/>
  <c r="S2735" i="2"/>
  <c r="X2735" i="2"/>
  <c r="Y2735" i="2"/>
  <c r="F2736" i="2"/>
  <c r="G2736" i="2"/>
  <c r="M2736" i="2"/>
  <c r="N2736" i="2"/>
  <c r="R2736" i="2"/>
  <c r="S2736" i="2"/>
  <c r="X2736" i="2"/>
  <c r="Y2736" i="2"/>
  <c r="F2737" i="2"/>
  <c r="G2737" i="2"/>
  <c r="M2737" i="2"/>
  <c r="N2737" i="2"/>
  <c r="R2737" i="2"/>
  <c r="S2737" i="2"/>
  <c r="X2737" i="2"/>
  <c r="Y2737" i="2"/>
  <c r="F2738" i="2"/>
  <c r="G2738" i="2"/>
  <c r="M2738" i="2"/>
  <c r="N2738" i="2"/>
  <c r="R2738" i="2"/>
  <c r="S2738" i="2"/>
  <c r="X2738" i="2"/>
  <c r="Y2738" i="2"/>
  <c r="F2739" i="2"/>
  <c r="G2739" i="2"/>
  <c r="M2739" i="2"/>
  <c r="N2739" i="2"/>
  <c r="R2739" i="2"/>
  <c r="S2739" i="2"/>
  <c r="X2739" i="2"/>
  <c r="Y2739" i="2"/>
  <c r="F2740" i="2"/>
  <c r="G2740" i="2"/>
  <c r="M2740" i="2"/>
  <c r="N2740" i="2"/>
  <c r="R2740" i="2"/>
  <c r="S2740" i="2"/>
  <c r="X2740" i="2"/>
  <c r="Y2740" i="2"/>
  <c r="F2741" i="2"/>
  <c r="G2741" i="2"/>
  <c r="M2741" i="2"/>
  <c r="N2741" i="2"/>
  <c r="R2741" i="2"/>
  <c r="S2741" i="2"/>
  <c r="X2741" i="2"/>
  <c r="Y2741" i="2"/>
  <c r="F2742" i="2"/>
  <c r="G2742" i="2"/>
  <c r="M2742" i="2"/>
  <c r="N2742" i="2"/>
  <c r="R2742" i="2"/>
  <c r="S2742" i="2"/>
  <c r="X2742" i="2"/>
  <c r="Y2742" i="2"/>
  <c r="F2743" i="2"/>
  <c r="G2743" i="2"/>
  <c r="M2743" i="2"/>
  <c r="N2743" i="2"/>
  <c r="R2743" i="2"/>
  <c r="S2743" i="2"/>
  <c r="X2743" i="2"/>
  <c r="Y2743" i="2"/>
  <c r="F2744" i="2"/>
  <c r="G2744" i="2"/>
  <c r="M2744" i="2"/>
  <c r="N2744" i="2"/>
  <c r="R2744" i="2"/>
  <c r="S2744" i="2"/>
  <c r="X2744" i="2"/>
  <c r="Y2744" i="2"/>
  <c r="F2745" i="2"/>
  <c r="G2745" i="2"/>
  <c r="M2745" i="2"/>
  <c r="N2745" i="2"/>
  <c r="R2745" i="2"/>
  <c r="S2745" i="2"/>
  <c r="X2745" i="2"/>
  <c r="Y2745" i="2"/>
  <c r="F2746" i="2"/>
  <c r="G2746" i="2"/>
  <c r="M2746" i="2"/>
  <c r="N2746" i="2"/>
  <c r="R2746" i="2"/>
  <c r="S2746" i="2"/>
  <c r="X2746" i="2"/>
  <c r="Y2746" i="2"/>
  <c r="F2747" i="2"/>
  <c r="G2747" i="2"/>
  <c r="M2747" i="2"/>
  <c r="N2747" i="2"/>
  <c r="R2747" i="2"/>
  <c r="S2747" i="2"/>
  <c r="X2747" i="2"/>
  <c r="Y2747" i="2"/>
  <c r="F2748" i="2"/>
  <c r="G2748" i="2"/>
  <c r="M2748" i="2"/>
  <c r="N2748" i="2"/>
  <c r="R2748" i="2"/>
  <c r="S2748" i="2"/>
  <c r="X2748" i="2"/>
  <c r="Y2748" i="2"/>
  <c r="F2749" i="2"/>
  <c r="G2749" i="2"/>
  <c r="M2749" i="2"/>
  <c r="N2749" i="2"/>
  <c r="R2749" i="2"/>
  <c r="S2749" i="2"/>
  <c r="X2749" i="2"/>
  <c r="Y2749" i="2"/>
  <c r="F2750" i="2"/>
  <c r="G2750" i="2"/>
  <c r="M2750" i="2"/>
  <c r="N2750" i="2"/>
  <c r="R2750" i="2"/>
  <c r="S2750" i="2"/>
  <c r="X2750" i="2"/>
  <c r="Y2750" i="2"/>
  <c r="F2751" i="2"/>
  <c r="G2751" i="2"/>
  <c r="M2751" i="2"/>
  <c r="N2751" i="2"/>
  <c r="R2751" i="2"/>
  <c r="S2751" i="2"/>
  <c r="X2751" i="2"/>
  <c r="Y2751" i="2"/>
  <c r="F2752" i="2"/>
  <c r="G2752" i="2"/>
  <c r="M2752" i="2"/>
  <c r="N2752" i="2"/>
  <c r="R2752" i="2"/>
  <c r="S2752" i="2"/>
  <c r="X2752" i="2"/>
  <c r="Y2752" i="2"/>
  <c r="F2753" i="2"/>
  <c r="G2753" i="2"/>
  <c r="M2753" i="2"/>
  <c r="N2753" i="2"/>
  <c r="R2753" i="2"/>
  <c r="S2753" i="2"/>
  <c r="X2753" i="2"/>
  <c r="Y2753" i="2"/>
  <c r="F2754" i="2"/>
  <c r="G2754" i="2"/>
  <c r="M2754" i="2"/>
  <c r="N2754" i="2"/>
  <c r="R2754" i="2"/>
  <c r="S2754" i="2"/>
  <c r="X2754" i="2"/>
  <c r="Y2754" i="2"/>
  <c r="F2755" i="2"/>
  <c r="G2755" i="2"/>
  <c r="M2755" i="2"/>
  <c r="N2755" i="2"/>
  <c r="R2755" i="2"/>
  <c r="S2755" i="2"/>
  <c r="X2755" i="2"/>
  <c r="Y2755" i="2"/>
  <c r="F2756" i="2"/>
  <c r="G2756" i="2"/>
  <c r="M2756" i="2"/>
  <c r="N2756" i="2"/>
  <c r="R2756" i="2"/>
  <c r="S2756" i="2"/>
  <c r="X2756" i="2"/>
  <c r="Y2756" i="2"/>
  <c r="F2757" i="2"/>
  <c r="G2757" i="2"/>
  <c r="M2757" i="2"/>
  <c r="N2757" i="2"/>
  <c r="R2757" i="2"/>
  <c r="S2757" i="2"/>
  <c r="X2757" i="2"/>
  <c r="Y2757" i="2"/>
  <c r="F2758" i="2"/>
  <c r="G2758" i="2"/>
  <c r="M2758" i="2"/>
  <c r="N2758" i="2"/>
  <c r="R2758" i="2"/>
  <c r="S2758" i="2"/>
  <c r="X2758" i="2"/>
  <c r="Y2758" i="2"/>
  <c r="F2759" i="2"/>
  <c r="G2759" i="2"/>
  <c r="M2759" i="2"/>
  <c r="N2759" i="2"/>
  <c r="R2759" i="2"/>
  <c r="S2759" i="2"/>
  <c r="X2759" i="2"/>
  <c r="Y2759" i="2"/>
  <c r="F2760" i="2"/>
  <c r="G2760" i="2"/>
  <c r="M2760" i="2"/>
  <c r="N2760" i="2"/>
  <c r="R2760" i="2"/>
  <c r="S2760" i="2"/>
  <c r="X2760" i="2"/>
  <c r="Y2760" i="2"/>
  <c r="F2761" i="2"/>
  <c r="G2761" i="2"/>
  <c r="M2761" i="2"/>
  <c r="N2761" i="2"/>
  <c r="R2761" i="2"/>
  <c r="S2761" i="2"/>
  <c r="X2761" i="2"/>
  <c r="Y2761" i="2"/>
  <c r="F2762" i="2"/>
  <c r="G2762" i="2"/>
  <c r="M2762" i="2"/>
  <c r="N2762" i="2"/>
  <c r="R2762" i="2"/>
  <c r="S2762" i="2"/>
  <c r="X2762" i="2"/>
  <c r="Y2762" i="2"/>
  <c r="F2763" i="2"/>
  <c r="G2763" i="2"/>
  <c r="M2763" i="2"/>
  <c r="N2763" i="2"/>
  <c r="R2763" i="2"/>
  <c r="S2763" i="2"/>
  <c r="X2763" i="2"/>
  <c r="Y2763" i="2"/>
  <c r="F2764" i="2"/>
  <c r="G2764" i="2"/>
  <c r="M2764" i="2"/>
  <c r="N2764" i="2"/>
  <c r="R2764" i="2"/>
  <c r="S2764" i="2"/>
  <c r="X2764" i="2"/>
  <c r="Y2764" i="2"/>
  <c r="F2765" i="2"/>
  <c r="G2765" i="2"/>
  <c r="M2765" i="2"/>
  <c r="N2765" i="2"/>
  <c r="R2765" i="2"/>
  <c r="S2765" i="2"/>
  <c r="X2765" i="2"/>
  <c r="Y2765" i="2"/>
  <c r="F2766" i="2"/>
  <c r="G2766" i="2"/>
  <c r="M2766" i="2"/>
  <c r="N2766" i="2"/>
  <c r="R2766" i="2"/>
  <c r="S2766" i="2"/>
  <c r="X2766" i="2"/>
  <c r="Y2766" i="2"/>
  <c r="F2767" i="2"/>
  <c r="G2767" i="2"/>
  <c r="M2767" i="2"/>
  <c r="N2767" i="2"/>
  <c r="R2767" i="2"/>
  <c r="S2767" i="2"/>
  <c r="X2767" i="2"/>
  <c r="Y2767" i="2"/>
  <c r="F2768" i="2"/>
  <c r="G2768" i="2"/>
  <c r="M2768" i="2"/>
  <c r="N2768" i="2"/>
  <c r="R2768" i="2"/>
  <c r="S2768" i="2"/>
  <c r="X2768" i="2"/>
  <c r="Y2768" i="2"/>
  <c r="F2769" i="2"/>
  <c r="G2769" i="2"/>
  <c r="M2769" i="2"/>
  <c r="N2769" i="2"/>
  <c r="R2769" i="2"/>
  <c r="S2769" i="2"/>
  <c r="X2769" i="2"/>
  <c r="Y2769" i="2"/>
  <c r="J2771" i="2"/>
  <c r="M2771" i="2" s="1"/>
  <c r="K2771" i="2"/>
  <c r="L2771" i="2"/>
  <c r="O2771" i="2"/>
  <c r="S2771" i="2" s="1"/>
  <c r="P2771" i="2"/>
  <c r="Q2771" i="2"/>
  <c r="R2771" i="2"/>
  <c r="U2771" i="2"/>
  <c r="X2771" i="2" s="1"/>
  <c r="Y2771" i="2" s="1"/>
  <c r="V2771" i="2"/>
  <c r="W2771" i="2"/>
  <c r="Z2771" i="2"/>
  <c r="AA2771" i="2"/>
  <c r="AB2771" i="2"/>
  <c r="E2773" i="2"/>
  <c r="G2773" i="2"/>
  <c r="F2775" i="2"/>
  <c r="G2775" i="2"/>
  <c r="M2775" i="2"/>
  <c r="N2775" i="2"/>
  <c r="R2775" i="2"/>
  <c r="S2775" i="2"/>
  <c r="X2775" i="2"/>
  <c r="Y2775" i="2"/>
  <c r="F2776" i="2"/>
  <c r="G2776" i="2"/>
  <c r="M2776" i="2"/>
  <c r="N2776" i="2"/>
  <c r="R2776" i="2"/>
  <c r="S2776" i="2" s="1"/>
  <c r="X2776" i="2"/>
  <c r="Y2776" i="2" s="1"/>
  <c r="F2777" i="2"/>
  <c r="G2777" i="2"/>
  <c r="M2777" i="2"/>
  <c r="N2777" i="2"/>
  <c r="R2777" i="2"/>
  <c r="S2777" i="2" s="1"/>
  <c r="X2777" i="2"/>
  <c r="Y2777" i="2" s="1"/>
  <c r="F2778" i="2"/>
  <c r="G2778" i="2"/>
  <c r="M2778" i="2"/>
  <c r="N2778" i="2"/>
  <c r="R2778" i="2"/>
  <c r="S2778" i="2"/>
  <c r="X2778" i="2"/>
  <c r="Y2778" i="2" s="1"/>
  <c r="F2779" i="2"/>
  <c r="G2779" i="2"/>
  <c r="M2779" i="2"/>
  <c r="N2779" i="2"/>
  <c r="R2779" i="2"/>
  <c r="S2779" i="2" s="1"/>
  <c r="X2779" i="2"/>
  <c r="Y2779" i="2"/>
  <c r="F2780" i="2"/>
  <c r="G2780" i="2"/>
  <c r="M2780" i="2"/>
  <c r="N2780" i="2"/>
  <c r="R2780" i="2"/>
  <c r="S2780" i="2" s="1"/>
  <c r="X2780" i="2"/>
  <c r="Y2780" i="2"/>
  <c r="F2781" i="2"/>
  <c r="G2781" i="2"/>
  <c r="M2781" i="2"/>
  <c r="N2781" i="2"/>
  <c r="R2781" i="2"/>
  <c r="S2781" i="2" s="1"/>
  <c r="X2781" i="2"/>
  <c r="Y2781" i="2"/>
  <c r="F2782" i="2"/>
  <c r="G2782" i="2"/>
  <c r="M2782" i="2"/>
  <c r="N2782" i="2"/>
  <c r="R2782" i="2"/>
  <c r="S2782" i="2" s="1"/>
  <c r="X2782" i="2"/>
  <c r="Y2782" i="2" s="1"/>
  <c r="F2783" i="2"/>
  <c r="G2783" i="2"/>
  <c r="M2783" i="2"/>
  <c r="N2783" i="2"/>
  <c r="R2783" i="2"/>
  <c r="S2783" i="2"/>
  <c r="X2783" i="2"/>
  <c r="Y2783" i="2" s="1"/>
  <c r="F2784" i="2"/>
  <c r="G2784" i="2"/>
  <c r="M2784" i="2"/>
  <c r="N2784" i="2"/>
  <c r="R2784" i="2"/>
  <c r="S2784" i="2"/>
  <c r="X2784" i="2"/>
  <c r="Y2784" i="2" s="1"/>
  <c r="F2785" i="2"/>
  <c r="G2785" i="2"/>
  <c r="M2785" i="2"/>
  <c r="N2785" i="2"/>
  <c r="R2785" i="2"/>
  <c r="S2785" i="2"/>
  <c r="X2785" i="2"/>
  <c r="Y2785" i="2" s="1"/>
  <c r="F2786" i="2"/>
  <c r="G2786" i="2"/>
  <c r="M2786" i="2"/>
  <c r="N2786" i="2"/>
  <c r="R2786" i="2"/>
  <c r="S2786" i="2" s="1"/>
  <c r="X2786" i="2"/>
  <c r="Y2786" i="2" s="1"/>
  <c r="F2787" i="2"/>
  <c r="G2787" i="2"/>
  <c r="M2787" i="2"/>
  <c r="N2787" i="2"/>
  <c r="R2787" i="2"/>
  <c r="S2787" i="2"/>
  <c r="X2787" i="2"/>
  <c r="Y2787" i="2" s="1"/>
  <c r="F2788" i="2"/>
  <c r="G2788" i="2"/>
  <c r="M2788" i="2"/>
  <c r="N2788" i="2"/>
  <c r="R2788" i="2"/>
  <c r="S2788" i="2"/>
  <c r="X2788" i="2"/>
  <c r="Y2788" i="2" s="1"/>
  <c r="F2789" i="2"/>
  <c r="G2789" i="2"/>
  <c r="M2789" i="2"/>
  <c r="N2789" i="2"/>
  <c r="R2789" i="2"/>
  <c r="S2789" i="2" s="1"/>
  <c r="X2789" i="2"/>
  <c r="Y2789" i="2"/>
  <c r="F2790" i="2"/>
  <c r="G2790" i="2"/>
  <c r="M2790" i="2"/>
  <c r="N2790" i="2"/>
  <c r="R2790" i="2"/>
  <c r="S2790" i="2" s="1"/>
  <c r="X2790" i="2"/>
  <c r="Y2790" i="2"/>
  <c r="F2791" i="2"/>
  <c r="G2791" i="2"/>
  <c r="M2791" i="2"/>
  <c r="N2791" i="2"/>
  <c r="R2791" i="2"/>
  <c r="S2791" i="2" s="1"/>
  <c r="X2791" i="2"/>
  <c r="Y2791" i="2"/>
  <c r="F2792" i="2"/>
  <c r="G2792" i="2"/>
  <c r="M2792" i="2"/>
  <c r="N2792" i="2"/>
  <c r="R2792" i="2"/>
  <c r="S2792" i="2"/>
  <c r="X2792" i="2"/>
  <c r="Y2792" i="2" s="1"/>
  <c r="F2793" i="2"/>
  <c r="G2793" i="2"/>
  <c r="M2793" i="2"/>
  <c r="N2793" i="2"/>
  <c r="R2793" i="2"/>
  <c r="S2793" i="2"/>
  <c r="X2793" i="2"/>
  <c r="Y2793" i="2" s="1"/>
  <c r="F2794" i="2"/>
  <c r="G2794" i="2"/>
  <c r="M2794" i="2"/>
  <c r="N2794" i="2"/>
  <c r="R2794" i="2"/>
  <c r="S2794" i="2"/>
  <c r="X2794" i="2"/>
  <c r="Y2794" i="2" s="1"/>
  <c r="F2795" i="2"/>
  <c r="G2795" i="2"/>
  <c r="M2795" i="2"/>
  <c r="N2795" i="2"/>
  <c r="R2795" i="2"/>
  <c r="S2795" i="2"/>
  <c r="X2795" i="2"/>
  <c r="Y2795" i="2"/>
  <c r="F2796" i="2"/>
  <c r="G2796" i="2"/>
  <c r="M2796" i="2"/>
  <c r="N2796" i="2"/>
  <c r="R2796" i="2"/>
  <c r="S2796" i="2" s="1"/>
  <c r="X2796" i="2"/>
  <c r="Y2796" i="2" s="1"/>
  <c r="F2797" i="2"/>
  <c r="G2797" i="2"/>
  <c r="M2797" i="2"/>
  <c r="N2797" i="2"/>
  <c r="R2797" i="2"/>
  <c r="S2797" i="2"/>
  <c r="X2797" i="2"/>
  <c r="Y2797" i="2" s="1"/>
  <c r="F2798" i="2"/>
  <c r="G2798" i="2"/>
  <c r="M2798" i="2"/>
  <c r="N2798" i="2"/>
  <c r="R2798" i="2"/>
  <c r="S2798" i="2"/>
  <c r="X2798" i="2"/>
  <c r="Y2798" i="2" s="1"/>
  <c r="F2799" i="2"/>
  <c r="G2799" i="2"/>
  <c r="M2799" i="2"/>
  <c r="N2799" i="2"/>
  <c r="R2799" i="2"/>
  <c r="S2799" i="2" s="1"/>
  <c r="X2799" i="2"/>
  <c r="Y2799" i="2" s="1"/>
  <c r="F2800" i="2"/>
  <c r="G2800" i="2"/>
  <c r="M2800" i="2"/>
  <c r="N2800" i="2"/>
  <c r="R2800" i="2"/>
  <c r="S2800" i="2" s="1"/>
  <c r="X2800" i="2"/>
  <c r="Y2800" i="2" s="1"/>
  <c r="F2801" i="2"/>
  <c r="G2801" i="2"/>
  <c r="M2801" i="2"/>
  <c r="N2801" i="2"/>
  <c r="R2801" i="2"/>
  <c r="S2801" i="2" s="1"/>
  <c r="X2801" i="2"/>
  <c r="Y2801" i="2" s="1"/>
  <c r="F2802" i="2"/>
  <c r="G2802" i="2"/>
  <c r="M2802" i="2"/>
  <c r="N2802" i="2"/>
  <c r="R2802" i="2"/>
  <c r="S2802" i="2"/>
  <c r="X2802" i="2"/>
  <c r="Y2802" i="2" s="1"/>
  <c r="F2803" i="2"/>
  <c r="G2803" i="2"/>
  <c r="M2803" i="2"/>
  <c r="N2803" i="2"/>
  <c r="R2803" i="2"/>
  <c r="S2803" i="2"/>
  <c r="X2803" i="2"/>
  <c r="Y2803" i="2" s="1"/>
  <c r="F2804" i="2"/>
  <c r="G2804" i="2"/>
  <c r="M2804" i="2"/>
  <c r="N2804" i="2"/>
  <c r="R2804" i="2"/>
  <c r="S2804" i="2"/>
  <c r="X2804" i="2"/>
  <c r="Y2804" i="2" s="1"/>
  <c r="F2805" i="2"/>
  <c r="G2805" i="2"/>
  <c r="M2805" i="2"/>
  <c r="N2805" i="2"/>
  <c r="R2805" i="2"/>
  <c r="S2805" i="2"/>
  <c r="X2805" i="2"/>
  <c r="Y2805" i="2" s="1"/>
  <c r="F2806" i="2"/>
  <c r="G2806" i="2"/>
  <c r="M2806" i="2"/>
  <c r="N2806" i="2"/>
  <c r="R2806" i="2"/>
  <c r="S2806" i="2"/>
  <c r="X2806" i="2"/>
  <c r="Y2806" i="2" s="1"/>
  <c r="F2807" i="2"/>
  <c r="G2807" i="2"/>
  <c r="M2807" i="2"/>
  <c r="N2807" i="2"/>
  <c r="R2807" i="2"/>
  <c r="S2807" i="2" s="1"/>
  <c r="X2807" i="2"/>
  <c r="Y2807" i="2" s="1"/>
  <c r="F2808" i="2"/>
  <c r="G2808" i="2"/>
  <c r="M2808" i="2"/>
  <c r="N2808" i="2"/>
  <c r="R2808" i="2"/>
  <c r="S2808" i="2"/>
  <c r="X2808" i="2"/>
  <c r="Y2808" i="2" s="1"/>
  <c r="F2809" i="2"/>
  <c r="G2809" i="2"/>
  <c r="M2809" i="2"/>
  <c r="N2809" i="2"/>
  <c r="R2809" i="2"/>
  <c r="S2809" i="2"/>
  <c r="X2809" i="2"/>
  <c r="Y2809" i="2"/>
  <c r="F2810" i="2"/>
  <c r="G2810" i="2"/>
  <c r="M2810" i="2"/>
  <c r="N2810" i="2"/>
  <c r="R2810" i="2"/>
  <c r="S2810" i="2" s="1"/>
  <c r="X2810" i="2"/>
  <c r="Y2810" i="2" s="1"/>
  <c r="F2811" i="2"/>
  <c r="G2811" i="2"/>
  <c r="M2811" i="2"/>
  <c r="N2811" i="2"/>
  <c r="R2811" i="2"/>
  <c r="S2811" i="2" s="1"/>
  <c r="X2811" i="2"/>
  <c r="Y2811" i="2" s="1"/>
  <c r="F2812" i="2"/>
  <c r="G2812" i="2"/>
  <c r="M2812" i="2"/>
  <c r="N2812" i="2"/>
  <c r="R2812" i="2"/>
  <c r="S2812" i="2"/>
  <c r="X2812" i="2"/>
  <c r="Y2812" i="2"/>
  <c r="F2813" i="2"/>
  <c r="G2813" i="2"/>
  <c r="M2813" i="2"/>
  <c r="N2813" i="2"/>
  <c r="R2813" i="2"/>
  <c r="S2813" i="2" s="1"/>
  <c r="X2813" i="2"/>
  <c r="Y2813" i="2" s="1"/>
  <c r="F2814" i="2"/>
  <c r="G2814" i="2"/>
  <c r="M2814" i="2"/>
  <c r="N2814" i="2"/>
  <c r="R2814" i="2"/>
  <c r="S2814" i="2" s="1"/>
  <c r="X2814" i="2"/>
  <c r="Y2814" i="2" s="1"/>
  <c r="F2815" i="2"/>
  <c r="G2815" i="2"/>
  <c r="M2815" i="2"/>
  <c r="N2815" i="2"/>
  <c r="R2815" i="2"/>
  <c r="S2815" i="2" s="1"/>
  <c r="X2815" i="2"/>
  <c r="Y2815" i="2" s="1"/>
  <c r="F2816" i="2"/>
  <c r="G2816" i="2"/>
  <c r="M2816" i="2"/>
  <c r="N2816" i="2"/>
  <c r="R2816" i="2"/>
  <c r="S2816" i="2" s="1"/>
  <c r="X2816" i="2"/>
  <c r="Y2816" i="2" s="1"/>
  <c r="F2817" i="2"/>
  <c r="G2817" i="2"/>
  <c r="M2817" i="2"/>
  <c r="N2817" i="2"/>
  <c r="R2817" i="2"/>
  <c r="S2817" i="2" s="1"/>
  <c r="X2817" i="2"/>
  <c r="Y2817" i="2" s="1"/>
  <c r="F2818" i="2"/>
  <c r="G2818" i="2"/>
  <c r="M2818" i="2"/>
  <c r="N2818" i="2"/>
  <c r="R2818" i="2"/>
  <c r="S2818" i="2"/>
  <c r="X2818" i="2"/>
  <c r="Y2818" i="2" s="1"/>
  <c r="F2819" i="2"/>
  <c r="G2819" i="2"/>
  <c r="M2819" i="2"/>
  <c r="N2819" i="2"/>
  <c r="R2819" i="2"/>
  <c r="S2819" i="2" s="1"/>
  <c r="X2819" i="2"/>
  <c r="Y2819" i="2"/>
  <c r="F2820" i="2"/>
  <c r="G2820" i="2"/>
  <c r="M2820" i="2"/>
  <c r="N2820" i="2"/>
  <c r="R2820" i="2"/>
  <c r="S2820" i="2"/>
  <c r="X2820" i="2"/>
  <c r="Y2820" i="2" s="1"/>
  <c r="F2821" i="2"/>
  <c r="G2821" i="2"/>
  <c r="M2821" i="2"/>
  <c r="N2821" i="2"/>
  <c r="R2821" i="2"/>
  <c r="S2821" i="2" s="1"/>
  <c r="X2821" i="2"/>
  <c r="Y2821" i="2"/>
  <c r="F2822" i="2"/>
  <c r="G2822" i="2"/>
  <c r="M2822" i="2"/>
  <c r="N2822" i="2"/>
  <c r="R2822" i="2"/>
  <c r="S2822" i="2"/>
  <c r="X2822" i="2"/>
  <c r="Y2822" i="2" s="1"/>
  <c r="F2823" i="2"/>
  <c r="G2823" i="2"/>
  <c r="M2823" i="2"/>
  <c r="N2823" i="2"/>
  <c r="R2823" i="2"/>
  <c r="S2823" i="2" s="1"/>
  <c r="X2823" i="2"/>
  <c r="Y2823" i="2"/>
  <c r="F2824" i="2"/>
  <c r="G2824" i="2"/>
  <c r="M2824" i="2"/>
  <c r="N2824" i="2"/>
  <c r="R2824" i="2"/>
  <c r="S2824" i="2" s="1"/>
  <c r="X2824" i="2"/>
  <c r="Y2824" i="2" s="1"/>
  <c r="F2825" i="2"/>
  <c r="G2825" i="2"/>
  <c r="M2825" i="2"/>
  <c r="N2825" i="2"/>
  <c r="R2825" i="2"/>
  <c r="S2825" i="2"/>
  <c r="X2825" i="2"/>
  <c r="Y2825" i="2"/>
  <c r="F2826" i="2"/>
  <c r="G2826" i="2"/>
  <c r="M2826" i="2"/>
  <c r="N2826" i="2"/>
  <c r="R2826" i="2"/>
  <c r="S2826" i="2" s="1"/>
  <c r="X2826" i="2"/>
  <c r="Y2826" i="2" s="1"/>
  <c r="F2827" i="2"/>
  <c r="G2827" i="2"/>
  <c r="M2827" i="2"/>
  <c r="N2827" i="2"/>
  <c r="R2827" i="2"/>
  <c r="S2827" i="2"/>
  <c r="X2827" i="2"/>
  <c r="Y2827" i="2" s="1"/>
  <c r="F2828" i="2"/>
  <c r="G2828" i="2"/>
  <c r="M2828" i="2"/>
  <c r="N2828" i="2"/>
  <c r="R2828" i="2"/>
  <c r="S2828" i="2" s="1"/>
  <c r="X2828" i="2"/>
  <c r="Y2828" i="2" s="1"/>
  <c r="F2829" i="2"/>
  <c r="G2829" i="2"/>
  <c r="M2829" i="2"/>
  <c r="N2829" i="2"/>
  <c r="R2829" i="2"/>
  <c r="S2829" i="2"/>
  <c r="X2829" i="2"/>
  <c r="Y2829" i="2" s="1"/>
  <c r="F2830" i="2"/>
  <c r="G2830" i="2"/>
  <c r="M2830" i="2"/>
  <c r="N2830" i="2"/>
  <c r="R2830" i="2"/>
  <c r="S2830" i="2" s="1"/>
  <c r="X2830" i="2"/>
  <c r="Y2830" i="2" s="1"/>
  <c r="F2831" i="2"/>
  <c r="G2831" i="2"/>
  <c r="M2831" i="2"/>
  <c r="N2831" i="2"/>
  <c r="R2831" i="2"/>
  <c r="S2831" i="2" s="1"/>
  <c r="X2831" i="2"/>
  <c r="Y2831" i="2" s="1"/>
  <c r="F2832" i="2"/>
  <c r="G2832" i="2"/>
  <c r="M2832" i="2"/>
  <c r="N2832" i="2"/>
  <c r="R2832" i="2"/>
  <c r="S2832" i="2"/>
  <c r="X2832" i="2"/>
  <c r="Y2832" i="2" s="1"/>
  <c r="F2833" i="2"/>
  <c r="G2833" i="2"/>
  <c r="M2833" i="2"/>
  <c r="N2833" i="2"/>
  <c r="R2833" i="2"/>
  <c r="S2833" i="2"/>
  <c r="X2833" i="2"/>
  <c r="Y2833" i="2" s="1"/>
  <c r="F2834" i="2"/>
  <c r="G2834" i="2"/>
  <c r="M2834" i="2"/>
  <c r="N2834" i="2"/>
  <c r="R2834" i="2"/>
  <c r="S2834" i="2" s="1"/>
  <c r="X2834" i="2"/>
  <c r="Y2834" i="2"/>
  <c r="F2835" i="2"/>
  <c r="G2835" i="2"/>
  <c r="M2835" i="2"/>
  <c r="N2835" i="2"/>
  <c r="R2835" i="2"/>
  <c r="S2835" i="2" s="1"/>
  <c r="X2835" i="2"/>
  <c r="Y2835" i="2" s="1"/>
  <c r="F2836" i="2"/>
  <c r="G2836" i="2"/>
  <c r="M2836" i="2"/>
  <c r="N2836" i="2"/>
  <c r="R2836" i="2"/>
  <c r="S2836" i="2"/>
  <c r="X2836" i="2"/>
  <c r="Y2836" i="2" s="1"/>
  <c r="F2837" i="2"/>
  <c r="G2837" i="2"/>
  <c r="M2837" i="2"/>
  <c r="N2837" i="2"/>
  <c r="R2837" i="2"/>
  <c r="S2837" i="2"/>
  <c r="X2837" i="2"/>
  <c r="Y2837" i="2" s="1"/>
  <c r="F2838" i="2"/>
  <c r="G2838" i="2"/>
  <c r="M2838" i="2"/>
  <c r="N2838" i="2"/>
  <c r="R2838" i="2"/>
  <c r="S2838" i="2" s="1"/>
  <c r="X2838" i="2"/>
  <c r="Y2838" i="2" s="1"/>
  <c r="F2839" i="2"/>
  <c r="G2839" i="2"/>
  <c r="M2839" i="2"/>
  <c r="N2839" i="2"/>
  <c r="R2839" i="2"/>
  <c r="S2839" i="2"/>
  <c r="X2839" i="2"/>
  <c r="Y2839" i="2"/>
  <c r="F2840" i="2"/>
  <c r="G2840" i="2"/>
  <c r="M2840" i="2"/>
  <c r="N2840" i="2"/>
  <c r="R2840" i="2"/>
  <c r="S2840" i="2"/>
  <c r="X2840" i="2"/>
  <c r="Y2840" i="2"/>
  <c r="F2841" i="2"/>
  <c r="G2841" i="2"/>
  <c r="M2841" i="2"/>
  <c r="N2841" i="2"/>
  <c r="R2841" i="2"/>
  <c r="S2841" i="2"/>
  <c r="X2841" i="2"/>
  <c r="Y2841" i="2"/>
  <c r="F2842" i="2"/>
  <c r="G2842" i="2"/>
  <c r="M2842" i="2"/>
  <c r="N2842" i="2"/>
  <c r="R2842" i="2"/>
  <c r="S2842" i="2"/>
  <c r="X2842" i="2"/>
  <c r="Y2842" i="2"/>
  <c r="F2843" i="2"/>
  <c r="G2843" i="2"/>
  <c r="M2843" i="2"/>
  <c r="N2843" i="2"/>
  <c r="R2843" i="2"/>
  <c r="S2843" i="2"/>
  <c r="X2843" i="2"/>
  <c r="Y2843" i="2"/>
  <c r="F2844" i="2"/>
  <c r="G2844" i="2"/>
  <c r="M2844" i="2"/>
  <c r="N2844" i="2"/>
  <c r="R2844" i="2"/>
  <c r="S2844" i="2"/>
  <c r="X2844" i="2"/>
  <c r="Y2844" i="2"/>
  <c r="F2845" i="2"/>
  <c r="G2845" i="2"/>
  <c r="M2845" i="2"/>
  <c r="N2845" i="2"/>
  <c r="R2845" i="2"/>
  <c r="S2845" i="2"/>
  <c r="X2845" i="2"/>
  <c r="Y2845" i="2"/>
  <c r="J2847" i="2"/>
  <c r="N2847" i="2" s="1"/>
  <c r="K2847" i="2"/>
  <c r="L2847" i="2"/>
  <c r="M2847" i="2"/>
  <c r="O2847" i="2"/>
  <c r="P2847" i="2"/>
  <c r="Q2847" i="2"/>
  <c r="R2847" i="2"/>
  <c r="S2847" i="2"/>
  <c r="U2847" i="2"/>
  <c r="X2847" i="2" s="1"/>
  <c r="V2847" i="2"/>
  <c r="W2847" i="2"/>
  <c r="Z2847" i="2"/>
  <c r="AA2847" i="2"/>
  <c r="AB2847" i="2"/>
  <c r="E2849" i="2"/>
  <c r="C2849" i="2" s="1"/>
  <c r="C2850" i="2" s="1"/>
  <c r="C2851" i="2" s="1"/>
  <c r="C2900" i="2" s="1"/>
  <c r="C2901" i="2" s="1"/>
  <c r="G2901" i="2" s="1"/>
  <c r="G2849" i="2"/>
  <c r="F2851" i="2"/>
  <c r="G2851" i="2"/>
  <c r="M2851" i="2"/>
  <c r="N2851" i="2"/>
  <c r="R2851" i="2"/>
  <c r="S2851" i="2"/>
  <c r="X2851" i="2"/>
  <c r="Y2851" i="2"/>
  <c r="F2852" i="2"/>
  <c r="G2852" i="2"/>
  <c r="M2852" i="2"/>
  <c r="N2852" i="2"/>
  <c r="R2852" i="2"/>
  <c r="S2852" i="2"/>
  <c r="X2852" i="2"/>
  <c r="Y2852" i="2"/>
  <c r="F2853" i="2"/>
  <c r="G2853" i="2"/>
  <c r="M2853" i="2"/>
  <c r="N2853" i="2"/>
  <c r="R2853" i="2"/>
  <c r="S2853" i="2"/>
  <c r="X2853" i="2"/>
  <c r="Y2853" i="2"/>
  <c r="F2854" i="2"/>
  <c r="G2854" i="2"/>
  <c r="M2854" i="2"/>
  <c r="N2854" i="2"/>
  <c r="R2854" i="2"/>
  <c r="S2854" i="2"/>
  <c r="X2854" i="2"/>
  <c r="Y2854" i="2"/>
  <c r="F2855" i="2"/>
  <c r="G2855" i="2"/>
  <c r="M2855" i="2"/>
  <c r="N2855" i="2"/>
  <c r="R2855" i="2"/>
  <c r="S2855" i="2"/>
  <c r="X2855" i="2"/>
  <c r="Y2855" i="2"/>
  <c r="F2856" i="2"/>
  <c r="G2856" i="2"/>
  <c r="M2856" i="2"/>
  <c r="N2856" i="2"/>
  <c r="R2856" i="2"/>
  <c r="S2856" i="2"/>
  <c r="X2856" i="2"/>
  <c r="Y2856" i="2"/>
  <c r="F2857" i="2"/>
  <c r="G2857" i="2"/>
  <c r="M2857" i="2"/>
  <c r="N2857" i="2"/>
  <c r="R2857" i="2"/>
  <c r="S2857" i="2"/>
  <c r="X2857" i="2"/>
  <c r="Y2857" i="2"/>
  <c r="F2858" i="2"/>
  <c r="G2858" i="2"/>
  <c r="M2858" i="2"/>
  <c r="N2858" i="2"/>
  <c r="R2858" i="2"/>
  <c r="S2858" i="2"/>
  <c r="X2858" i="2"/>
  <c r="Y2858" i="2"/>
  <c r="F2859" i="2"/>
  <c r="G2859" i="2"/>
  <c r="M2859" i="2"/>
  <c r="N2859" i="2"/>
  <c r="R2859" i="2"/>
  <c r="S2859" i="2"/>
  <c r="X2859" i="2"/>
  <c r="Y2859" i="2"/>
  <c r="F2860" i="2"/>
  <c r="G2860" i="2"/>
  <c r="M2860" i="2"/>
  <c r="N2860" i="2"/>
  <c r="R2860" i="2"/>
  <c r="S2860" i="2"/>
  <c r="X2860" i="2"/>
  <c r="Y2860" i="2"/>
  <c r="F2861" i="2"/>
  <c r="G2861" i="2"/>
  <c r="M2861" i="2"/>
  <c r="N2861" i="2"/>
  <c r="R2861" i="2"/>
  <c r="S2861" i="2"/>
  <c r="X2861" i="2"/>
  <c r="Y2861" i="2"/>
  <c r="F2862" i="2"/>
  <c r="G2862" i="2"/>
  <c r="M2862" i="2"/>
  <c r="N2862" i="2"/>
  <c r="R2862" i="2"/>
  <c r="S2862" i="2"/>
  <c r="X2862" i="2"/>
  <c r="Y2862" i="2"/>
  <c r="F2863" i="2"/>
  <c r="G2863" i="2"/>
  <c r="M2863" i="2"/>
  <c r="N2863" i="2"/>
  <c r="R2863" i="2"/>
  <c r="S2863" i="2"/>
  <c r="X2863" i="2"/>
  <c r="Y2863" i="2"/>
  <c r="F2864" i="2"/>
  <c r="G2864" i="2"/>
  <c r="M2864" i="2"/>
  <c r="N2864" i="2"/>
  <c r="R2864" i="2"/>
  <c r="S2864" i="2"/>
  <c r="X2864" i="2"/>
  <c r="Y2864" i="2"/>
  <c r="F2865" i="2"/>
  <c r="G2865" i="2"/>
  <c r="M2865" i="2"/>
  <c r="N2865" i="2"/>
  <c r="R2865" i="2"/>
  <c r="S2865" i="2"/>
  <c r="X2865" i="2"/>
  <c r="Y2865" i="2"/>
  <c r="F2866" i="2"/>
  <c r="G2866" i="2"/>
  <c r="M2866" i="2"/>
  <c r="N2866" i="2"/>
  <c r="R2866" i="2"/>
  <c r="S2866" i="2"/>
  <c r="X2866" i="2"/>
  <c r="Y2866" i="2"/>
  <c r="F2867" i="2"/>
  <c r="G2867" i="2"/>
  <c r="M2867" i="2"/>
  <c r="N2867" i="2"/>
  <c r="R2867" i="2"/>
  <c r="S2867" i="2"/>
  <c r="X2867" i="2"/>
  <c r="Y2867" i="2"/>
  <c r="F2868" i="2"/>
  <c r="G2868" i="2"/>
  <c r="M2868" i="2"/>
  <c r="N2868" i="2"/>
  <c r="R2868" i="2"/>
  <c r="S2868" i="2"/>
  <c r="X2868" i="2"/>
  <c r="Y2868" i="2"/>
  <c r="F2869" i="2"/>
  <c r="G2869" i="2"/>
  <c r="M2869" i="2"/>
  <c r="N2869" i="2"/>
  <c r="R2869" i="2"/>
  <c r="S2869" i="2"/>
  <c r="X2869" i="2"/>
  <c r="Y2869" i="2"/>
  <c r="F2870" i="2"/>
  <c r="G2870" i="2"/>
  <c r="M2870" i="2"/>
  <c r="N2870" i="2"/>
  <c r="R2870" i="2"/>
  <c r="S2870" i="2"/>
  <c r="X2870" i="2"/>
  <c r="Y2870" i="2"/>
  <c r="F2871" i="2"/>
  <c r="G2871" i="2"/>
  <c r="M2871" i="2"/>
  <c r="N2871" i="2"/>
  <c r="R2871" i="2"/>
  <c r="S2871" i="2"/>
  <c r="X2871" i="2"/>
  <c r="Y2871" i="2"/>
  <c r="F2872" i="2"/>
  <c r="G2872" i="2"/>
  <c r="M2872" i="2"/>
  <c r="N2872" i="2"/>
  <c r="R2872" i="2"/>
  <c r="S2872" i="2"/>
  <c r="X2872" i="2"/>
  <c r="Y2872" i="2"/>
  <c r="F2873" i="2"/>
  <c r="G2873" i="2"/>
  <c r="M2873" i="2"/>
  <c r="N2873" i="2"/>
  <c r="R2873" i="2"/>
  <c r="S2873" i="2"/>
  <c r="X2873" i="2"/>
  <c r="Y2873" i="2"/>
  <c r="F2874" i="2"/>
  <c r="G2874" i="2"/>
  <c r="M2874" i="2"/>
  <c r="N2874" i="2"/>
  <c r="R2874" i="2"/>
  <c r="S2874" i="2"/>
  <c r="X2874" i="2"/>
  <c r="Y2874" i="2"/>
  <c r="F2875" i="2"/>
  <c r="G2875" i="2"/>
  <c r="M2875" i="2"/>
  <c r="N2875" i="2"/>
  <c r="R2875" i="2"/>
  <c r="S2875" i="2"/>
  <c r="X2875" i="2"/>
  <c r="Y2875" i="2"/>
  <c r="F2876" i="2"/>
  <c r="G2876" i="2"/>
  <c r="M2876" i="2"/>
  <c r="N2876" i="2"/>
  <c r="R2876" i="2"/>
  <c r="S2876" i="2"/>
  <c r="X2876" i="2"/>
  <c r="Y2876" i="2"/>
  <c r="F2877" i="2"/>
  <c r="G2877" i="2"/>
  <c r="M2877" i="2"/>
  <c r="N2877" i="2"/>
  <c r="R2877" i="2"/>
  <c r="S2877" i="2"/>
  <c r="X2877" i="2"/>
  <c r="Y2877" i="2"/>
  <c r="F2878" i="2"/>
  <c r="G2878" i="2"/>
  <c r="M2878" i="2"/>
  <c r="N2878" i="2"/>
  <c r="R2878" i="2"/>
  <c r="S2878" i="2"/>
  <c r="X2878" i="2"/>
  <c r="Y2878" i="2"/>
  <c r="F2879" i="2"/>
  <c r="G2879" i="2"/>
  <c r="M2879" i="2"/>
  <c r="N2879" i="2"/>
  <c r="R2879" i="2"/>
  <c r="S2879" i="2"/>
  <c r="X2879" i="2"/>
  <c r="Y2879" i="2"/>
  <c r="F2880" i="2"/>
  <c r="G2880" i="2"/>
  <c r="M2880" i="2"/>
  <c r="N2880" i="2"/>
  <c r="R2880" i="2"/>
  <c r="S2880" i="2"/>
  <c r="X2880" i="2"/>
  <c r="Y2880" i="2"/>
  <c r="F2881" i="2"/>
  <c r="G2881" i="2"/>
  <c r="M2881" i="2"/>
  <c r="N2881" i="2"/>
  <c r="R2881" i="2"/>
  <c r="S2881" i="2"/>
  <c r="X2881" i="2"/>
  <c r="Y2881" i="2"/>
  <c r="F2882" i="2"/>
  <c r="G2882" i="2"/>
  <c r="M2882" i="2"/>
  <c r="N2882" i="2"/>
  <c r="R2882" i="2"/>
  <c r="S2882" i="2"/>
  <c r="X2882" i="2"/>
  <c r="Y2882" i="2"/>
  <c r="F2883" i="2"/>
  <c r="G2883" i="2"/>
  <c r="M2883" i="2"/>
  <c r="N2883" i="2"/>
  <c r="R2883" i="2"/>
  <c r="S2883" i="2"/>
  <c r="X2883" i="2"/>
  <c r="Y2883" i="2"/>
  <c r="F2884" i="2"/>
  <c r="G2884" i="2"/>
  <c r="M2884" i="2"/>
  <c r="N2884" i="2"/>
  <c r="R2884" i="2"/>
  <c r="S2884" i="2"/>
  <c r="X2884" i="2"/>
  <c r="Y2884" i="2"/>
  <c r="F2885" i="2"/>
  <c r="G2885" i="2"/>
  <c r="M2885" i="2"/>
  <c r="N2885" i="2"/>
  <c r="R2885" i="2"/>
  <c r="S2885" i="2"/>
  <c r="X2885" i="2"/>
  <c r="Y2885" i="2"/>
  <c r="F2886" i="2"/>
  <c r="G2886" i="2"/>
  <c r="M2886" i="2"/>
  <c r="N2886" i="2"/>
  <c r="R2886" i="2"/>
  <c r="S2886" i="2"/>
  <c r="X2886" i="2"/>
  <c r="Y2886" i="2"/>
  <c r="F2887" i="2"/>
  <c r="G2887" i="2"/>
  <c r="M2887" i="2"/>
  <c r="N2887" i="2"/>
  <c r="R2887" i="2"/>
  <c r="S2887" i="2"/>
  <c r="X2887" i="2"/>
  <c r="Y2887" i="2"/>
  <c r="F2888" i="2"/>
  <c r="G2888" i="2"/>
  <c r="M2888" i="2"/>
  <c r="N2888" i="2"/>
  <c r="R2888" i="2"/>
  <c r="S2888" i="2"/>
  <c r="X2888" i="2"/>
  <c r="Y2888" i="2"/>
  <c r="F2889" i="2"/>
  <c r="G2889" i="2"/>
  <c r="M2889" i="2"/>
  <c r="N2889" i="2"/>
  <c r="R2889" i="2"/>
  <c r="S2889" i="2"/>
  <c r="X2889" i="2"/>
  <c r="Y2889" i="2"/>
  <c r="F2890" i="2"/>
  <c r="G2890" i="2"/>
  <c r="M2890" i="2"/>
  <c r="N2890" i="2"/>
  <c r="R2890" i="2"/>
  <c r="S2890" i="2"/>
  <c r="X2890" i="2"/>
  <c r="Y2890" i="2"/>
  <c r="F2891" i="2"/>
  <c r="G2891" i="2"/>
  <c r="M2891" i="2"/>
  <c r="N2891" i="2"/>
  <c r="R2891" i="2"/>
  <c r="S2891" i="2"/>
  <c r="X2891" i="2"/>
  <c r="Y2891" i="2"/>
  <c r="F2892" i="2"/>
  <c r="G2892" i="2"/>
  <c r="M2892" i="2"/>
  <c r="N2892" i="2"/>
  <c r="R2892" i="2"/>
  <c r="S2892" i="2"/>
  <c r="X2892" i="2"/>
  <c r="Y2892" i="2"/>
  <c r="F2893" i="2"/>
  <c r="G2893" i="2"/>
  <c r="M2893" i="2"/>
  <c r="N2893" i="2"/>
  <c r="R2893" i="2"/>
  <c r="S2893" i="2"/>
  <c r="X2893" i="2"/>
  <c r="Y2893" i="2"/>
  <c r="F2894" i="2"/>
  <c r="G2894" i="2"/>
  <c r="M2894" i="2"/>
  <c r="N2894" i="2"/>
  <c r="R2894" i="2"/>
  <c r="S2894" i="2"/>
  <c r="X2894" i="2"/>
  <c r="Y2894" i="2"/>
  <c r="F2895" i="2"/>
  <c r="G2895" i="2"/>
  <c r="M2895" i="2"/>
  <c r="N2895" i="2"/>
  <c r="R2895" i="2"/>
  <c r="S2895" i="2"/>
  <c r="X2895" i="2"/>
  <c r="Y2895" i="2"/>
  <c r="F2896" i="2"/>
  <c r="G2896" i="2"/>
  <c r="M2896" i="2"/>
  <c r="N2896" i="2"/>
  <c r="R2896" i="2"/>
  <c r="S2896" i="2"/>
  <c r="X2896" i="2"/>
  <c r="Y2896" i="2"/>
  <c r="F2897" i="2"/>
  <c r="G2897" i="2"/>
  <c r="M2897" i="2"/>
  <c r="N2897" i="2"/>
  <c r="R2897" i="2"/>
  <c r="S2897" i="2"/>
  <c r="X2897" i="2"/>
  <c r="Y2897" i="2"/>
  <c r="F2898" i="2"/>
  <c r="G2898" i="2"/>
  <c r="M2898" i="2"/>
  <c r="N2898" i="2"/>
  <c r="R2898" i="2"/>
  <c r="S2898" i="2"/>
  <c r="X2898" i="2"/>
  <c r="Y2898" i="2"/>
  <c r="F2899" i="2"/>
  <c r="G2899" i="2"/>
  <c r="M2899" i="2"/>
  <c r="N2899" i="2"/>
  <c r="R2899" i="2"/>
  <c r="S2899" i="2"/>
  <c r="X2899" i="2"/>
  <c r="Y2899" i="2"/>
  <c r="J2901" i="2"/>
  <c r="M2901" i="2" s="1"/>
  <c r="N2901" i="2" s="1"/>
  <c r="K2901" i="2"/>
  <c r="L2901" i="2"/>
  <c r="O2901" i="2"/>
  <c r="R2901" i="2" s="1"/>
  <c r="P2901" i="2"/>
  <c r="Q2901" i="2"/>
  <c r="U2901" i="2"/>
  <c r="V2901" i="2"/>
  <c r="W2901" i="2"/>
  <c r="X2901" i="2"/>
  <c r="Y2901" i="2"/>
  <c r="Z2901" i="2"/>
  <c r="AA2901" i="2"/>
  <c r="AB2901" i="2"/>
  <c r="E2903" i="2"/>
  <c r="G2903" i="2"/>
  <c r="F2905" i="2"/>
  <c r="G2905" i="2"/>
  <c r="M2905" i="2"/>
  <c r="N2905" i="2"/>
  <c r="R2905" i="2"/>
  <c r="S2905" i="2" s="1"/>
  <c r="X2905" i="2"/>
  <c r="Y2905" i="2"/>
  <c r="F2906" i="2"/>
  <c r="G2906" i="2"/>
  <c r="M2906" i="2"/>
  <c r="N2906" i="2"/>
  <c r="R2906" i="2"/>
  <c r="S2906" i="2" s="1"/>
  <c r="X2906" i="2"/>
  <c r="Y2906" i="2"/>
  <c r="F2907" i="2"/>
  <c r="G2907" i="2"/>
  <c r="M2907" i="2"/>
  <c r="N2907" i="2"/>
  <c r="R2907" i="2"/>
  <c r="S2907" i="2" s="1"/>
  <c r="X2907" i="2"/>
  <c r="Y2907" i="2"/>
  <c r="J2909" i="2"/>
  <c r="M2909" i="2" s="1"/>
  <c r="K2909" i="2"/>
  <c r="L2909" i="2"/>
  <c r="O2909" i="2"/>
  <c r="P2909" i="2"/>
  <c r="Q2909" i="2"/>
  <c r="R2909" i="2"/>
  <c r="S2909" i="2"/>
  <c r="U2909" i="2"/>
  <c r="V2909" i="2"/>
  <c r="W2909" i="2"/>
  <c r="X2909" i="2"/>
  <c r="Y2909" i="2"/>
  <c r="Z2909" i="2"/>
  <c r="AA2909" i="2"/>
  <c r="AB2909" i="2"/>
  <c r="E2911" i="2"/>
  <c r="G2911" i="2"/>
  <c r="F2913" i="2"/>
  <c r="G2913" i="2"/>
  <c r="M2913" i="2"/>
  <c r="N2913" i="2"/>
  <c r="R2913" i="2"/>
  <c r="S2913" i="2"/>
  <c r="X2913" i="2"/>
  <c r="Y2913" i="2"/>
  <c r="F2914" i="2"/>
  <c r="G2914" i="2"/>
  <c r="M2914" i="2"/>
  <c r="N2914" i="2"/>
  <c r="R2914" i="2"/>
  <c r="S2914" i="2"/>
  <c r="X2914" i="2"/>
  <c r="Y2914" i="2"/>
  <c r="F2915" i="2"/>
  <c r="G2915" i="2"/>
  <c r="M2915" i="2"/>
  <c r="N2915" i="2"/>
  <c r="R2915" i="2"/>
  <c r="S2915" i="2"/>
  <c r="X2915" i="2"/>
  <c r="Y2915" i="2"/>
  <c r="F2916" i="2"/>
  <c r="G2916" i="2"/>
  <c r="M2916" i="2"/>
  <c r="N2916" i="2"/>
  <c r="R2916" i="2"/>
  <c r="S2916" i="2"/>
  <c r="X2916" i="2"/>
  <c r="Y2916" i="2"/>
  <c r="F2917" i="2"/>
  <c r="G2917" i="2"/>
  <c r="M2917" i="2"/>
  <c r="N2917" i="2"/>
  <c r="R2917" i="2"/>
  <c r="S2917" i="2"/>
  <c r="X2917" i="2"/>
  <c r="Y2917" i="2"/>
  <c r="F2918" i="2"/>
  <c r="G2918" i="2"/>
  <c r="M2918" i="2"/>
  <c r="N2918" i="2"/>
  <c r="R2918" i="2"/>
  <c r="S2918" i="2"/>
  <c r="X2918" i="2"/>
  <c r="Y2918" i="2"/>
  <c r="F2919" i="2"/>
  <c r="G2919" i="2"/>
  <c r="M2919" i="2"/>
  <c r="N2919" i="2"/>
  <c r="R2919" i="2"/>
  <c r="S2919" i="2"/>
  <c r="X2919" i="2"/>
  <c r="Y2919" i="2"/>
  <c r="F2920" i="2"/>
  <c r="G2920" i="2"/>
  <c r="M2920" i="2"/>
  <c r="N2920" i="2"/>
  <c r="R2920" i="2"/>
  <c r="S2920" i="2"/>
  <c r="X2920" i="2"/>
  <c r="Y2920" i="2"/>
  <c r="F2921" i="2"/>
  <c r="G2921" i="2"/>
  <c r="M2921" i="2"/>
  <c r="N2921" i="2"/>
  <c r="R2921" i="2"/>
  <c r="S2921" i="2"/>
  <c r="X2921" i="2"/>
  <c r="Y2921" i="2"/>
  <c r="F2922" i="2"/>
  <c r="G2922" i="2"/>
  <c r="M2922" i="2"/>
  <c r="N2922" i="2"/>
  <c r="R2922" i="2"/>
  <c r="S2922" i="2"/>
  <c r="X2922" i="2"/>
  <c r="Y2922" i="2"/>
  <c r="F2923" i="2"/>
  <c r="G2923" i="2"/>
  <c r="M2923" i="2"/>
  <c r="N2923" i="2"/>
  <c r="R2923" i="2"/>
  <c r="S2923" i="2"/>
  <c r="X2923" i="2"/>
  <c r="Y2923" i="2"/>
  <c r="F2924" i="2"/>
  <c r="G2924" i="2"/>
  <c r="M2924" i="2"/>
  <c r="N2924" i="2"/>
  <c r="R2924" i="2"/>
  <c r="S2924" i="2"/>
  <c r="X2924" i="2"/>
  <c r="Y2924" i="2"/>
  <c r="F2925" i="2"/>
  <c r="G2925" i="2"/>
  <c r="M2925" i="2"/>
  <c r="N2925" i="2"/>
  <c r="R2925" i="2"/>
  <c r="S2925" i="2"/>
  <c r="X2925" i="2"/>
  <c r="Y2925" i="2"/>
  <c r="F2926" i="2"/>
  <c r="G2926" i="2"/>
  <c r="M2926" i="2"/>
  <c r="N2926" i="2"/>
  <c r="R2926" i="2"/>
  <c r="S2926" i="2"/>
  <c r="X2926" i="2"/>
  <c r="Y2926" i="2"/>
  <c r="F2927" i="2"/>
  <c r="G2927" i="2"/>
  <c r="M2927" i="2"/>
  <c r="N2927" i="2"/>
  <c r="R2927" i="2"/>
  <c r="S2927" i="2"/>
  <c r="X2927" i="2"/>
  <c r="Y2927" i="2"/>
  <c r="F2928" i="2"/>
  <c r="G2928" i="2"/>
  <c r="M2928" i="2"/>
  <c r="N2928" i="2"/>
  <c r="R2928" i="2"/>
  <c r="S2928" i="2"/>
  <c r="X2928" i="2"/>
  <c r="Y2928" i="2"/>
  <c r="F2929" i="2"/>
  <c r="G2929" i="2"/>
  <c r="M2929" i="2"/>
  <c r="N2929" i="2"/>
  <c r="R2929" i="2"/>
  <c r="S2929" i="2"/>
  <c r="X2929" i="2"/>
  <c r="Y2929" i="2"/>
  <c r="F2930" i="2"/>
  <c r="G2930" i="2"/>
  <c r="M2930" i="2"/>
  <c r="N2930" i="2"/>
  <c r="R2930" i="2"/>
  <c r="S2930" i="2"/>
  <c r="X2930" i="2"/>
  <c r="Y2930" i="2"/>
  <c r="F2931" i="2"/>
  <c r="G2931" i="2"/>
  <c r="M2931" i="2"/>
  <c r="N2931" i="2"/>
  <c r="R2931" i="2"/>
  <c r="S2931" i="2"/>
  <c r="X2931" i="2"/>
  <c r="Y2931" i="2"/>
  <c r="F2932" i="2"/>
  <c r="G2932" i="2"/>
  <c r="M2932" i="2"/>
  <c r="N2932" i="2"/>
  <c r="R2932" i="2"/>
  <c r="S2932" i="2"/>
  <c r="X2932" i="2"/>
  <c r="Y2932" i="2"/>
  <c r="F2933" i="2"/>
  <c r="G2933" i="2"/>
  <c r="M2933" i="2"/>
  <c r="N2933" i="2"/>
  <c r="R2933" i="2"/>
  <c r="S2933" i="2"/>
  <c r="X2933" i="2"/>
  <c r="Y2933" i="2"/>
  <c r="F2934" i="2"/>
  <c r="G2934" i="2"/>
  <c r="M2934" i="2"/>
  <c r="N2934" i="2"/>
  <c r="R2934" i="2"/>
  <c r="S2934" i="2"/>
  <c r="X2934" i="2"/>
  <c r="Y2934" i="2"/>
  <c r="F2935" i="2"/>
  <c r="G2935" i="2"/>
  <c r="M2935" i="2"/>
  <c r="N2935" i="2"/>
  <c r="R2935" i="2"/>
  <c r="S2935" i="2"/>
  <c r="X2935" i="2"/>
  <c r="Y2935" i="2"/>
  <c r="F2936" i="2"/>
  <c r="G2936" i="2"/>
  <c r="M2936" i="2"/>
  <c r="N2936" i="2"/>
  <c r="R2936" i="2"/>
  <c r="S2936" i="2"/>
  <c r="X2936" i="2"/>
  <c r="Y2936" i="2"/>
  <c r="F2937" i="2"/>
  <c r="G2937" i="2"/>
  <c r="M2937" i="2"/>
  <c r="N2937" i="2"/>
  <c r="R2937" i="2"/>
  <c r="S2937" i="2"/>
  <c r="X2937" i="2"/>
  <c r="Y2937" i="2"/>
  <c r="F2938" i="2"/>
  <c r="G2938" i="2"/>
  <c r="M2938" i="2"/>
  <c r="N2938" i="2"/>
  <c r="R2938" i="2"/>
  <c r="S2938" i="2"/>
  <c r="X2938" i="2"/>
  <c r="Y2938" i="2"/>
  <c r="F2939" i="2"/>
  <c r="G2939" i="2"/>
  <c r="M2939" i="2"/>
  <c r="N2939" i="2"/>
  <c r="R2939" i="2"/>
  <c r="S2939" i="2"/>
  <c r="X2939" i="2"/>
  <c r="Y2939" i="2"/>
  <c r="F2940" i="2"/>
  <c r="G2940" i="2"/>
  <c r="M2940" i="2"/>
  <c r="N2940" i="2"/>
  <c r="R2940" i="2"/>
  <c r="S2940" i="2"/>
  <c r="X2940" i="2"/>
  <c r="Y2940" i="2"/>
  <c r="F2941" i="2"/>
  <c r="G2941" i="2"/>
  <c r="M2941" i="2"/>
  <c r="N2941" i="2"/>
  <c r="R2941" i="2"/>
  <c r="S2941" i="2"/>
  <c r="X2941" i="2"/>
  <c r="Y2941" i="2"/>
  <c r="F2942" i="2"/>
  <c r="G2942" i="2"/>
  <c r="M2942" i="2"/>
  <c r="N2942" i="2"/>
  <c r="R2942" i="2"/>
  <c r="S2942" i="2"/>
  <c r="X2942" i="2"/>
  <c r="Y2942" i="2"/>
  <c r="F2943" i="2"/>
  <c r="G2943" i="2"/>
  <c r="M2943" i="2"/>
  <c r="N2943" i="2"/>
  <c r="R2943" i="2"/>
  <c r="S2943" i="2"/>
  <c r="X2943" i="2"/>
  <c r="Y2943" i="2"/>
  <c r="F2944" i="2"/>
  <c r="G2944" i="2"/>
  <c r="M2944" i="2"/>
  <c r="N2944" i="2"/>
  <c r="R2944" i="2"/>
  <c r="S2944" i="2"/>
  <c r="X2944" i="2"/>
  <c r="Y2944" i="2"/>
  <c r="F2945" i="2"/>
  <c r="G2945" i="2"/>
  <c r="M2945" i="2"/>
  <c r="N2945" i="2"/>
  <c r="R2945" i="2"/>
  <c r="S2945" i="2"/>
  <c r="X2945" i="2"/>
  <c r="Y2945" i="2"/>
  <c r="F2946" i="2"/>
  <c r="G2946" i="2"/>
  <c r="M2946" i="2"/>
  <c r="N2946" i="2"/>
  <c r="R2946" i="2"/>
  <c r="S2946" i="2"/>
  <c r="X2946" i="2"/>
  <c r="Y2946" i="2"/>
  <c r="F2947" i="2"/>
  <c r="G2947" i="2"/>
  <c r="M2947" i="2"/>
  <c r="N2947" i="2"/>
  <c r="R2947" i="2"/>
  <c r="S2947" i="2"/>
  <c r="X2947" i="2"/>
  <c r="Y2947" i="2"/>
  <c r="F2948" i="2"/>
  <c r="G2948" i="2"/>
  <c r="M2948" i="2"/>
  <c r="N2948" i="2"/>
  <c r="R2948" i="2"/>
  <c r="S2948" i="2"/>
  <c r="X2948" i="2"/>
  <c r="Y2948" i="2"/>
  <c r="F2949" i="2"/>
  <c r="G2949" i="2"/>
  <c r="M2949" i="2"/>
  <c r="N2949" i="2"/>
  <c r="R2949" i="2"/>
  <c r="S2949" i="2"/>
  <c r="X2949" i="2"/>
  <c r="Y2949" i="2"/>
  <c r="F2950" i="2"/>
  <c r="G2950" i="2"/>
  <c r="M2950" i="2"/>
  <c r="N2950" i="2"/>
  <c r="R2950" i="2"/>
  <c r="S2950" i="2"/>
  <c r="X2950" i="2"/>
  <c r="Y2950" i="2"/>
  <c r="F2951" i="2"/>
  <c r="G2951" i="2"/>
  <c r="M2951" i="2"/>
  <c r="N2951" i="2"/>
  <c r="R2951" i="2"/>
  <c r="S2951" i="2"/>
  <c r="X2951" i="2"/>
  <c r="Y2951" i="2"/>
  <c r="F2952" i="2"/>
  <c r="G2952" i="2"/>
  <c r="M2952" i="2"/>
  <c r="N2952" i="2"/>
  <c r="R2952" i="2"/>
  <c r="S2952" i="2"/>
  <c r="X2952" i="2"/>
  <c r="Y2952" i="2"/>
  <c r="F2953" i="2"/>
  <c r="G2953" i="2"/>
  <c r="M2953" i="2"/>
  <c r="N2953" i="2"/>
  <c r="R2953" i="2"/>
  <c r="S2953" i="2"/>
  <c r="X2953" i="2"/>
  <c r="Y2953" i="2"/>
  <c r="F2954" i="2"/>
  <c r="G2954" i="2"/>
  <c r="M2954" i="2"/>
  <c r="N2954" i="2"/>
  <c r="R2954" i="2"/>
  <c r="S2954" i="2"/>
  <c r="X2954" i="2"/>
  <c r="Y2954" i="2"/>
  <c r="F2955" i="2"/>
  <c r="G2955" i="2"/>
  <c r="M2955" i="2"/>
  <c r="N2955" i="2"/>
  <c r="R2955" i="2"/>
  <c r="S2955" i="2"/>
  <c r="X2955" i="2"/>
  <c r="Y2955" i="2"/>
  <c r="F2956" i="2"/>
  <c r="G2956" i="2"/>
  <c r="M2956" i="2"/>
  <c r="N2956" i="2"/>
  <c r="R2956" i="2"/>
  <c r="S2956" i="2"/>
  <c r="X2956" i="2"/>
  <c r="Y2956" i="2"/>
  <c r="F2957" i="2"/>
  <c r="G2957" i="2"/>
  <c r="M2957" i="2"/>
  <c r="N2957" i="2"/>
  <c r="R2957" i="2"/>
  <c r="S2957" i="2"/>
  <c r="X2957" i="2"/>
  <c r="Y2957" i="2"/>
  <c r="F2958" i="2"/>
  <c r="G2958" i="2"/>
  <c r="M2958" i="2"/>
  <c r="N2958" i="2"/>
  <c r="R2958" i="2"/>
  <c r="S2958" i="2"/>
  <c r="X2958" i="2"/>
  <c r="Y2958" i="2"/>
  <c r="J2960" i="2"/>
  <c r="K2960" i="2"/>
  <c r="L2960" i="2"/>
  <c r="M2960" i="2"/>
  <c r="N2960" i="2"/>
  <c r="O2960" i="2"/>
  <c r="P2960" i="2"/>
  <c r="Q2960" i="2"/>
  <c r="R2960" i="2"/>
  <c r="S2960" i="2" s="1"/>
  <c r="U2960" i="2"/>
  <c r="Y2960" i="2" s="1"/>
  <c r="V2960" i="2"/>
  <c r="W2960" i="2"/>
  <c r="Z2960" i="2"/>
  <c r="AA2960" i="2"/>
  <c r="AB2960" i="2"/>
  <c r="E2962" i="2"/>
  <c r="G2962" i="2"/>
  <c r="F2964" i="2"/>
  <c r="G2964" i="2"/>
  <c r="M2964" i="2"/>
  <c r="N2964" i="2" s="1"/>
  <c r="R2964" i="2"/>
  <c r="S2964" i="2"/>
  <c r="X2964" i="2"/>
  <c r="Y2964" i="2"/>
  <c r="F2965" i="2"/>
  <c r="G2965" i="2"/>
  <c r="M2965" i="2"/>
  <c r="N2965" i="2" s="1"/>
  <c r="R2965" i="2"/>
  <c r="S2965" i="2"/>
  <c r="X2965" i="2"/>
  <c r="Y2965" i="2"/>
  <c r="F2966" i="2"/>
  <c r="G2966" i="2"/>
  <c r="M2966" i="2"/>
  <c r="N2966" i="2" s="1"/>
  <c r="R2966" i="2"/>
  <c r="S2966" i="2"/>
  <c r="X2966" i="2"/>
  <c r="Y2966" i="2"/>
  <c r="F2967" i="2"/>
  <c r="G2967" i="2"/>
  <c r="M2967" i="2"/>
  <c r="N2967" i="2" s="1"/>
  <c r="R2967" i="2"/>
  <c r="S2967" i="2"/>
  <c r="X2967" i="2"/>
  <c r="Y2967" i="2"/>
  <c r="F2968" i="2"/>
  <c r="G2968" i="2"/>
  <c r="M2968" i="2"/>
  <c r="N2968" i="2" s="1"/>
  <c r="R2968" i="2"/>
  <c r="S2968" i="2"/>
  <c r="X2968" i="2"/>
  <c r="Y2968" i="2"/>
  <c r="F2969" i="2"/>
  <c r="G2969" i="2"/>
  <c r="M2969" i="2"/>
  <c r="N2969" i="2" s="1"/>
  <c r="R2969" i="2"/>
  <c r="S2969" i="2"/>
  <c r="X2969" i="2"/>
  <c r="Y2969" i="2"/>
  <c r="F2970" i="2"/>
  <c r="G2970" i="2"/>
  <c r="M2970" i="2"/>
  <c r="N2970" i="2" s="1"/>
  <c r="R2970" i="2"/>
  <c r="S2970" i="2"/>
  <c r="X2970" i="2"/>
  <c r="Y2970" i="2"/>
  <c r="F2971" i="2"/>
  <c r="G2971" i="2"/>
  <c r="M2971" i="2"/>
  <c r="N2971" i="2" s="1"/>
  <c r="R2971" i="2"/>
  <c r="S2971" i="2"/>
  <c r="X2971" i="2"/>
  <c r="Y2971" i="2"/>
  <c r="F2972" i="2"/>
  <c r="G2972" i="2"/>
  <c r="M2972" i="2"/>
  <c r="N2972" i="2" s="1"/>
  <c r="R2972" i="2"/>
  <c r="S2972" i="2"/>
  <c r="X2972" i="2"/>
  <c r="Y2972" i="2"/>
  <c r="F2973" i="2"/>
  <c r="G2973" i="2"/>
  <c r="M2973" i="2"/>
  <c r="N2973" i="2" s="1"/>
  <c r="R2973" i="2"/>
  <c r="S2973" i="2"/>
  <c r="X2973" i="2"/>
  <c r="Y2973" i="2"/>
  <c r="F2974" i="2"/>
  <c r="G2974" i="2"/>
  <c r="M2974" i="2"/>
  <c r="N2974" i="2" s="1"/>
  <c r="R2974" i="2"/>
  <c r="S2974" i="2"/>
  <c r="X2974" i="2"/>
  <c r="Y2974" i="2"/>
  <c r="F2975" i="2"/>
  <c r="G2975" i="2"/>
  <c r="M2975" i="2"/>
  <c r="N2975" i="2" s="1"/>
  <c r="R2975" i="2"/>
  <c r="S2975" i="2"/>
  <c r="X2975" i="2"/>
  <c r="Y2975" i="2"/>
  <c r="F2976" i="2"/>
  <c r="G2976" i="2"/>
  <c r="M2976" i="2"/>
  <c r="N2976" i="2" s="1"/>
  <c r="R2976" i="2"/>
  <c r="S2976" i="2"/>
  <c r="X2976" i="2"/>
  <c r="Y2976" i="2"/>
  <c r="F2977" i="2"/>
  <c r="G2977" i="2"/>
  <c r="M2977" i="2"/>
  <c r="N2977" i="2" s="1"/>
  <c r="R2977" i="2"/>
  <c r="S2977" i="2"/>
  <c r="X2977" i="2"/>
  <c r="Y2977" i="2"/>
  <c r="F2978" i="2"/>
  <c r="G2978" i="2"/>
  <c r="M2978" i="2"/>
  <c r="N2978" i="2" s="1"/>
  <c r="R2978" i="2"/>
  <c r="S2978" i="2"/>
  <c r="X2978" i="2"/>
  <c r="Y2978" i="2"/>
  <c r="F2979" i="2"/>
  <c r="G2979" i="2"/>
  <c r="M2979" i="2"/>
  <c r="N2979" i="2" s="1"/>
  <c r="R2979" i="2"/>
  <c r="S2979" i="2"/>
  <c r="X2979" i="2"/>
  <c r="Y2979" i="2"/>
  <c r="F2980" i="2"/>
  <c r="G2980" i="2"/>
  <c r="M2980" i="2"/>
  <c r="N2980" i="2" s="1"/>
  <c r="R2980" i="2"/>
  <c r="S2980" i="2"/>
  <c r="X2980" i="2"/>
  <c r="Y2980" i="2"/>
  <c r="F2981" i="2"/>
  <c r="G2981" i="2"/>
  <c r="M2981" i="2"/>
  <c r="N2981" i="2" s="1"/>
  <c r="R2981" i="2"/>
  <c r="S2981" i="2"/>
  <c r="X2981" i="2"/>
  <c r="Y2981" i="2"/>
  <c r="F2982" i="2"/>
  <c r="G2982" i="2"/>
  <c r="M2982" i="2"/>
  <c r="N2982" i="2" s="1"/>
  <c r="R2982" i="2"/>
  <c r="S2982" i="2"/>
  <c r="X2982" i="2"/>
  <c r="Y2982" i="2"/>
  <c r="F2983" i="2"/>
  <c r="G2983" i="2"/>
  <c r="M2983" i="2"/>
  <c r="N2983" i="2" s="1"/>
  <c r="R2983" i="2"/>
  <c r="S2983" i="2"/>
  <c r="X2983" i="2"/>
  <c r="Y2983" i="2"/>
  <c r="F2984" i="2"/>
  <c r="G2984" i="2"/>
  <c r="M2984" i="2"/>
  <c r="N2984" i="2" s="1"/>
  <c r="R2984" i="2"/>
  <c r="S2984" i="2"/>
  <c r="X2984" i="2"/>
  <c r="Y2984" i="2"/>
  <c r="F2985" i="2"/>
  <c r="G2985" i="2"/>
  <c r="M2985" i="2"/>
  <c r="N2985" i="2" s="1"/>
  <c r="R2985" i="2"/>
  <c r="S2985" i="2"/>
  <c r="X2985" i="2"/>
  <c r="Y2985" i="2"/>
  <c r="F2986" i="2"/>
  <c r="G2986" i="2"/>
  <c r="M2986" i="2"/>
  <c r="N2986" i="2" s="1"/>
  <c r="R2986" i="2"/>
  <c r="S2986" i="2"/>
  <c r="X2986" i="2"/>
  <c r="Y2986" i="2"/>
  <c r="F2987" i="2"/>
  <c r="G2987" i="2"/>
  <c r="M2987" i="2"/>
  <c r="N2987" i="2" s="1"/>
  <c r="R2987" i="2"/>
  <c r="S2987" i="2"/>
  <c r="X2987" i="2"/>
  <c r="Y2987" i="2"/>
  <c r="F2988" i="2"/>
  <c r="G2988" i="2"/>
  <c r="M2988" i="2"/>
  <c r="N2988" i="2" s="1"/>
  <c r="R2988" i="2"/>
  <c r="S2988" i="2"/>
  <c r="X2988" i="2"/>
  <c r="Y2988" i="2"/>
  <c r="F2989" i="2"/>
  <c r="G2989" i="2"/>
  <c r="M2989" i="2"/>
  <c r="N2989" i="2" s="1"/>
  <c r="R2989" i="2"/>
  <c r="S2989" i="2"/>
  <c r="X2989" i="2"/>
  <c r="Y2989" i="2"/>
  <c r="F2990" i="2"/>
  <c r="G2990" i="2"/>
  <c r="M2990" i="2"/>
  <c r="N2990" i="2" s="1"/>
  <c r="R2990" i="2"/>
  <c r="S2990" i="2"/>
  <c r="X2990" i="2"/>
  <c r="Y2990" i="2"/>
  <c r="F2991" i="2"/>
  <c r="G2991" i="2"/>
  <c r="M2991" i="2"/>
  <c r="N2991" i="2" s="1"/>
  <c r="R2991" i="2"/>
  <c r="S2991" i="2"/>
  <c r="X2991" i="2"/>
  <c r="Y2991" i="2"/>
  <c r="F2992" i="2"/>
  <c r="G2992" i="2"/>
  <c r="M2992" i="2"/>
  <c r="N2992" i="2" s="1"/>
  <c r="R2992" i="2"/>
  <c r="S2992" i="2"/>
  <c r="X2992" i="2"/>
  <c r="Y2992" i="2"/>
  <c r="F2993" i="2"/>
  <c r="G2993" i="2"/>
  <c r="M2993" i="2"/>
  <c r="N2993" i="2" s="1"/>
  <c r="R2993" i="2"/>
  <c r="S2993" i="2"/>
  <c r="X2993" i="2"/>
  <c r="Y2993" i="2"/>
  <c r="F2994" i="2"/>
  <c r="G2994" i="2"/>
  <c r="M2994" i="2"/>
  <c r="N2994" i="2" s="1"/>
  <c r="R2994" i="2"/>
  <c r="S2994" i="2"/>
  <c r="X2994" i="2"/>
  <c r="Y2994" i="2"/>
  <c r="F2995" i="2"/>
  <c r="G2995" i="2"/>
  <c r="M2995" i="2"/>
  <c r="N2995" i="2" s="1"/>
  <c r="R2995" i="2"/>
  <c r="S2995" i="2"/>
  <c r="X2995" i="2"/>
  <c r="Y2995" i="2"/>
  <c r="F2996" i="2"/>
  <c r="G2996" i="2"/>
  <c r="M2996" i="2"/>
  <c r="N2996" i="2" s="1"/>
  <c r="R2996" i="2"/>
  <c r="S2996" i="2"/>
  <c r="X2996" i="2"/>
  <c r="Y2996" i="2"/>
  <c r="F2997" i="2"/>
  <c r="G2997" i="2"/>
  <c r="M2997" i="2"/>
  <c r="N2997" i="2" s="1"/>
  <c r="R2997" i="2"/>
  <c r="S2997" i="2"/>
  <c r="X2997" i="2"/>
  <c r="Y2997" i="2"/>
  <c r="F2998" i="2"/>
  <c r="G2998" i="2"/>
  <c r="M2998" i="2"/>
  <c r="N2998" i="2" s="1"/>
  <c r="R2998" i="2"/>
  <c r="S2998" i="2"/>
  <c r="X2998" i="2"/>
  <c r="Y2998" i="2"/>
  <c r="J3000" i="2"/>
  <c r="K3000" i="2"/>
  <c r="L3000" i="2"/>
  <c r="M3000" i="2"/>
  <c r="N3000" i="2"/>
  <c r="O3000" i="2"/>
  <c r="S3000" i="2" s="1"/>
  <c r="P3000" i="2"/>
  <c r="Q3000" i="2"/>
  <c r="U3000" i="2"/>
  <c r="V3000" i="2"/>
  <c r="W3000" i="2"/>
  <c r="X3000" i="2"/>
  <c r="Y3000" i="2"/>
  <c r="Z3000" i="2"/>
  <c r="AA3000" i="2"/>
  <c r="AB3000" i="2"/>
  <c r="E3002" i="2"/>
  <c r="G3002" i="2"/>
  <c r="F3004" i="2"/>
  <c r="G3004" i="2"/>
  <c r="M3004" i="2"/>
  <c r="N3004" i="2"/>
  <c r="R3004" i="2"/>
  <c r="S3004" i="2"/>
  <c r="X3004" i="2"/>
  <c r="Y3004" i="2"/>
  <c r="F3005" i="2"/>
  <c r="G3005" i="2"/>
  <c r="M3005" i="2"/>
  <c r="N3005" i="2"/>
  <c r="R3005" i="2"/>
  <c r="S3005" i="2"/>
  <c r="X3005" i="2"/>
  <c r="Y3005" i="2"/>
  <c r="F3006" i="2"/>
  <c r="G3006" i="2"/>
  <c r="M3006" i="2"/>
  <c r="N3006" i="2"/>
  <c r="R3006" i="2"/>
  <c r="S3006" i="2"/>
  <c r="X3006" i="2"/>
  <c r="Y3006" i="2"/>
  <c r="F3007" i="2"/>
  <c r="G3007" i="2"/>
  <c r="M3007" i="2"/>
  <c r="N3007" i="2"/>
  <c r="R3007" i="2"/>
  <c r="S3007" i="2"/>
  <c r="X3007" i="2"/>
  <c r="Y3007" i="2"/>
  <c r="F3008" i="2"/>
  <c r="G3008" i="2"/>
  <c r="M3008" i="2"/>
  <c r="N3008" i="2"/>
  <c r="R3008" i="2"/>
  <c r="S3008" i="2"/>
  <c r="X3008" i="2"/>
  <c r="Y3008" i="2"/>
  <c r="F3009" i="2"/>
  <c r="G3009" i="2"/>
  <c r="M3009" i="2"/>
  <c r="N3009" i="2"/>
  <c r="R3009" i="2"/>
  <c r="S3009" i="2"/>
  <c r="X3009" i="2"/>
  <c r="Y3009" i="2"/>
  <c r="F3010" i="2"/>
  <c r="G3010" i="2"/>
  <c r="M3010" i="2"/>
  <c r="N3010" i="2"/>
  <c r="R3010" i="2"/>
  <c r="S3010" i="2"/>
  <c r="X3010" i="2"/>
  <c r="Y3010" i="2"/>
  <c r="F3011" i="2"/>
  <c r="G3011" i="2"/>
  <c r="M3011" i="2"/>
  <c r="N3011" i="2"/>
  <c r="R3011" i="2"/>
  <c r="S3011" i="2"/>
  <c r="X3011" i="2"/>
  <c r="Y3011" i="2"/>
  <c r="F3012" i="2"/>
  <c r="G3012" i="2"/>
  <c r="M3012" i="2"/>
  <c r="N3012" i="2"/>
  <c r="R3012" i="2"/>
  <c r="S3012" i="2"/>
  <c r="X3012" i="2"/>
  <c r="Y3012" i="2"/>
  <c r="F3013" i="2"/>
  <c r="G3013" i="2"/>
  <c r="M3013" i="2"/>
  <c r="N3013" i="2"/>
  <c r="R3013" i="2"/>
  <c r="S3013" i="2"/>
  <c r="X3013" i="2"/>
  <c r="Y3013" i="2"/>
  <c r="F3014" i="2"/>
  <c r="G3014" i="2"/>
  <c r="M3014" i="2"/>
  <c r="N3014" i="2"/>
  <c r="R3014" i="2"/>
  <c r="S3014" i="2"/>
  <c r="X3014" i="2"/>
  <c r="Y3014" i="2"/>
  <c r="F3015" i="2"/>
  <c r="G3015" i="2"/>
  <c r="M3015" i="2"/>
  <c r="N3015" i="2"/>
  <c r="R3015" i="2"/>
  <c r="S3015" i="2"/>
  <c r="X3015" i="2"/>
  <c r="Y3015" i="2"/>
  <c r="F3016" i="2"/>
  <c r="G3016" i="2"/>
  <c r="M3016" i="2"/>
  <c r="N3016" i="2"/>
  <c r="R3016" i="2"/>
  <c r="S3016" i="2"/>
  <c r="X3016" i="2"/>
  <c r="Y3016" i="2"/>
  <c r="F3017" i="2"/>
  <c r="G3017" i="2"/>
  <c r="M3017" i="2"/>
  <c r="N3017" i="2"/>
  <c r="R3017" i="2"/>
  <c r="S3017" i="2"/>
  <c r="X3017" i="2"/>
  <c r="Y3017" i="2"/>
  <c r="F3018" i="2"/>
  <c r="G3018" i="2"/>
  <c r="M3018" i="2"/>
  <c r="N3018" i="2"/>
  <c r="R3018" i="2"/>
  <c r="S3018" i="2"/>
  <c r="X3018" i="2"/>
  <c r="Y3018" i="2"/>
  <c r="F3019" i="2"/>
  <c r="G3019" i="2"/>
  <c r="M3019" i="2"/>
  <c r="N3019" i="2"/>
  <c r="R3019" i="2"/>
  <c r="S3019" i="2"/>
  <c r="X3019" i="2"/>
  <c r="Y3019" i="2"/>
  <c r="F3020" i="2"/>
  <c r="G3020" i="2"/>
  <c r="M3020" i="2"/>
  <c r="N3020" i="2"/>
  <c r="R3020" i="2"/>
  <c r="S3020" i="2"/>
  <c r="X3020" i="2"/>
  <c r="Y3020" i="2"/>
  <c r="F3021" i="2"/>
  <c r="G3021" i="2"/>
  <c r="M3021" i="2"/>
  <c r="N3021" i="2"/>
  <c r="R3021" i="2"/>
  <c r="S3021" i="2"/>
  <c r="X3021" i="2"/>
  <c r="Y3021" i="2"/>
  <c r="F3022" i="2"/>
  <c r="G3022" i="2"/>
  <c r="M3022" i="2"/>
  <c r="N3022" i="2"/>
  <c r="R3022" i="2"/>
  <c r="S3022" i="2"/>
  <c r="X3022" i="2"/>
  <c r="Y3022" i="2"/>
  <c r="F3023" i="2"/>
  <c r="G3023" i="2"/>
  <c r="M3023" i="2"/>
  <c r="N3023" i="2"/>
  <c r="R3023" i="2"/>
  <c r="S3023" i="2"/>
  <c r="X3023" i="2"/>
  <c r="Y3023" i="2"/>
  <c r="F3024" i="2"/>
  <c r="G3024" i="2"/>
  <c r="M3024" i="2"/>
  <c r="N3024" i="2"/>
  <c r="R3024" i="2"/>
  <c r="S3024" i="2"/>
  <c r="X3024" i="2"/>
  <c r="Y3024" i="2"/>
  <c r="F3025" i="2"/>
  <c r="G3025" i="2"/>
  <c r="M3025" i="2"/>
  <c r="N3025" i="2"/>
  <c r="R3025" i="2"/>
  <c r="S3025" i="2"/>
  <c r="X3025" i="2"/>
  <c r="Y3025" i="2"/>
  <c r="F3026" i="2"/>
  <c r="G3026" i="2"/>
  <c r="M3026" i="2"/>
  <c r="N3026" i="2"/>
  <c r="R3026" i="2"/>
  <c r="S3026" i="2"/>
  <c r="X3026" i="2"/>
  <c r="Y3026" i="2"/>
  <c r="F3027" i="2"/>
  <c r="G3027" i="2"/>
  <c r="M3027" i="2"/>
  <c r="N3027" i="2"/>
  <c r="R3027" i="2"/>
  <c r="S3027" i="2"/>
  <c r="X3027" i="2"/>
  <c r="Y3027" i="2"/>
  <c r="F3028" i="2"/>
  <c r="G3028" i="2"/>
  <c r="M3028" i="2"/>
  <c r="N3028" i="2"/>
  <c r="R3028" i="2"/>
  <c r="S3028" i="2"/>
  <c r="X3028" i="2"/>
  <c r="Y3028" i="2"/>
  <c r="F3029" i="2"/>
  <c r="G3029" i="2"/>
  <c r="M3029" i="2"/>
  <c r="N3029" i="2"/>
  <c r="R3029" i="2"/>
  <c r="S3029" i="2"/>
  <c r="X3029" i="2"/>
  <c r="Y3029" i="2"/>
  <c r="F3030" i="2"/>
  <c r="G3030" i="2"/>
  <c r="M3030" i="2"/>
  <c r="N3030" i="2"/>
  <c r="R3030" i="2"/>
  <c r="S3030" i="2"/>
  <c r="X3030" i="2"/>
  <c r="Y3030" i="2"/>
  <c r="F3031" i="2"/>
  <c r="G3031" i="2"/>
  <c r="M3031" i="2"/>
  <c r="N3031" i="2"/>
  <c r="R3031" i="2"/>
  <c r="S3031" i="2"/>
  <c r="X3031" i="2"/>
  <c r="Y3031" i="2"/>
  <c r="F3032" i="2"/>
  <c r="G3032" i="2"/>
  <c r="M3032" i="2"/>
  <c r="N3032" i="2"/>
  <c r="R3032" i="2"/>
  <c r="S3032" i="2"/>
  <c r="X3032" i="2"/>
  <c r="Y3032" i="2"/>
  <c r="F3033" i="2"/>
  <c r="G3033" i="2"/>
  <c r="M3033" i="2"/>
  <c r="N3033" i="2"/>
  <c r="R3033" i="2"/>
  <c r="S3033" i="2"/>
  <c r="X3033" i="2"/>
  <c r="Y3033" i="2"/>
  <c r="F3034" i="2"/>
  <c r="G3034" i="2"/>
  <c r="M3034" i="2"/>
  <c r="N3034" i="2"/>
  <c r="R3034" i="2"/>
  <c r="S3034" i="2"/>
  <c r="X3034" i="2"/>
  <c r="Y3034" i="2"/>
  <c r="F3035" i="2"/>
  <c r="G3035" i="2"/>
  <c r="M3035" i="2"/>
  <c r="N3035" i="2"/>
  <c r="R3035" i="2"/>
  <c r="S3035" i="2"/>
  <c r="X3035" i="2"/>
  <c r="Y3035" i="2"/>
  <c r="F3036" i="2"/>
  <c r="G3036" i="2"/>
  <c r="M3036" i="2"/>
  <c r="N3036" i="2"/>
  <c r="R3036" i="2"/>
  <c r="S3036" i="2"/>
  <c r="X3036" i="2"/>
  <c r="Y3036" i="2"/>
  <c r="F3037" i="2"/>
  <c r="G3037" i="2"/>
  <c r="M3037" i="2"/>
  <c r="N3037" i="2"/>
  <c r="R3037" i="2"/>
  <c r="S3037" i="2"/>
  <c r="X3037" i="2"/>
  <c r="Y3037" i="2"/>
  <c r="F3038" i="2"/>
  <c r="G3038" i="2"/>
  <c r="M3038" i="2"/>
  <c r="N3038" i="2"/>
  <c r="R3038" i="2"/>
  <c r="S3038" i="2"/>
  <c r="X3038" i="2"/>
  <c r="Y3038" i="2"/>
  <c r="F3039" i="2"/>
  <c r="G3039" i="2"/>
  <c r="M3039" i="2"/>
  <c r="N3039" i="2"/>
  <c r="R3039" i="2"/>
  <c r="S3039" i="2"/>
  <c r="X3039" i="2"/>
  <c r="Y3039" i="2"/>
  <c r="F3040" i="2"/>
  <c r="G3040" i="2"/>
  <c r="M3040" i="2"/>
  <c r="N3040" i="2"/>
  <c r="R3040" i="2"/>
  <c r="S3040" i="2"/>
  <c r="X3040" i="2"/>
  <c r="Y3040" i="2"/>
  <c r="F3041" i="2"/>
  <c r="G3041" i="2"/>
  <c r="M3041" i="2"/>
  <c r="N3041" i="2"/>
  <c r="R3041" i="2"/>
  <c r="S3041" i="2"/>
  <c r="X3041" i="2"/>
  <c r="Y3041" i="2"/>
  <c r="F3042" i="2"/>
  <c r="G3042" i="2"/>
  <c r="M3042" i="2"/>
  <c r="N3042" i="2"/>
  <c r="R3042" i="2"/>
  <c r="S3042" i="2"/>
  <c r="X3042" i="2"/>
  <c r="Y3042" i="2"/>
  <c r="F3043" i="2"/>
  <c r="G3043" i="2"/>
  <c r="M3043" i="2"/>
  <c r="N3043" i="2"/>
  <c r="R3043" i="2"/>
  <c r="S3043" i="2"/>
  <c r="X3043" i="2"/>
  <c r="Y3043" i="2"/>
  <c r="F3044" i="2"/>
  <c r="G3044" i="2"/>
  <c r="M3044" i="2"/>
  <c r="N3044" i="2"/>
  <c r="R3044" i="2"/>
  <c r="S3044" i="2"/>
  <c r="X3044" i="2"/>
  <c r="Y3044" i="2"/>
  <c r="F3045" i="2"/>
  <c r="G3045" i="2"/>
  <c r="M3045" i="2"/>
  <c r="N3045" i="2"/>
  <c r="R3045" i="2"/>
  <c r="S3045" i="2"/>
  <c r="X3045" i="2"/>
  <c r="Y3045" i="2"/>
  <c r="F3046" i="2"/>
  <c r="G3046" i="2"/>
  <c r="M3046" i="2"/>
  <c r="N3046" i="2"/>
  <c r="R3046" i="2"/>
  <c r="S3046" i="2"/>
  <c r="X3046" i="2"/>
  <c r="Y3046" i="2"/>
  <c r="F3047" i="2"/>
  <c r="G3047" i="2"/>
  <c r="M3047" i="2"/>
  <c r="N3047" i="2"/>
  <c r="R3047" i="2"/>
  <c r="S3047" i="2"/>
  <c r="X3047" i="2"/>
  <c r="Y3047" i="2"/>
  <c r="F3048" i="2"/>
  <c r="G3048" i="2"/>
  <c r="M3048" i="2"/>
  <c r="N3048" i="2"/>
  <c r="R3048" i="2"/>
  <c r="S3048" i="2"/>
  <c r="X3048" i="2"/>
  <c r="Y3048" i="2"/>
  <c r="J3050" i="2"/>
  <c r="K3050" i="2"/>
  <c r="L3050" i="2"/>
  <c r="O3050" i="2"/>
  <c r="P3050" i="2"/>
  <c r="Q3050" i="2"/>
  <c r="R3050" i="2"/>
  <c r="S3050" i="2"/>
  <c r="U3050" i="2"/>
  <c r="X3050" i="2" s="1"/>
  <c r="V3050" i="2"/>
  <c r="W3050" i="2"/>
  <c r="Z3050" i="2"/>
  <c r="AA3050" i="2"/>
  <c r="AB3050" i="2"/>
  <c r="E3052" i="2"/>
  <c r="C3052" i="2" s="1"/>
  <c r="C3053" i="2" s="1"/>
  <c r="C3054" i="2" s="1"/>
  <c r="G3052" i="2"/>
  <c r="F3054" i="2"/>
  <c r="G3054" i="2"/>
  <c r="M3054" i="2"/>
  <c r="N3054" i="2"/>
  <c r="R3054" i="2"/>
  <c r="S3054" i="2"/>
  <c r="X3054" i="2"/>
  <c r="Y3054" i="2" s="1"/>
  <c r="F3055" i="2"/>
  <c r="G3055" i="2"/>
  <c r="M3055" i="2"/>
  <c r="N3055" i="2"/>
  <c r="R3055" i="2"/>
  <c r="S3055" i="2"/>
  <c r="X3055" i="2"/>
  <c r="Y3055" i="2" s="1"/>
  <c r="F3056" i="2"/>
  <c r="G3056" i="2"/>
  <c r="M3056" i="2"/>
  <c r="N3056" i="2"/>
  <c r="R3056" i="2"/>
  <c r="S3056" i="2"/>
  <c r="X3056" i="2"/>
  <c r="Y3056" i="2"/>
  <c r="F3057" i="2"/>
  <c r="G3057" i="2"/>
  <c r="M3057" i="2"/>
  <c r="N3057" i="2"/>
  <c r="R3057" i="2"/>
  <c r="S3057" i="2"/>
  <c r="X3057" i="2"/>
  <c r="Y3057" i="2" s="1"/>
  <c r="F3058" i="2"/>
  <c r="G3058" i="2"/>
  <c r="M3058" i="2"/>
  <c r="N3058" i="2"/>
  <c r="R3058" i="2"/>
  <c r="S3058" i="2"/>
  <c r="X3058" i="2"/>
  <c r="Y3058" i="2" s="1"/>
  <c r="C2962" i="2"/>
  <c r="C2963" i="2" s="1"/>
  <c r="C2964" i="2" s="1"/>
  <c r="C3002" i="2"/>
  <c r="C3003" i="2" s="1"/>
  <c r="C3004" i="2" s="1"/>
  <c r="C3049" i="2" s="1"/>
  <c r="C3050" i="2" s="1"/>
  <c r="G3050" i="2" s="1"/>
  <c r="C2911" i="2"/>
  <c r="C2912" i="2" s="1"/>
  <c r="C2913" i="2" s="1"/>
  <c r="C2903" i="2"/>
  <c r="C2904" i="2" s="1"/>
  <c r="C2905" i="2" s="1"/>
  <c r="C2908" i="2" s="1"/>
  <c r="C2909" i="2" s="1"/>
  <c r="G2909" i="2" s="1"/>
  <c r="C2773" i="2"/>
  <c r="C2774" i="2" s="1"/>
  <c r="C2775" i="2" s="1"/>
  <c r="C2733" i="2"/>
  <c r="C2734" i="2" s="1"/>
  <c r="C2735" i="2" s="1"/>
  <c r="C2638" i="2"/>
  <c r="C2639" i="2" s="1"/>
  <c r="C2640" i="2" s="1"/>
  <c r="C2580" i="2"/>
  <c r="C2581" i="2" s="1"/>
  <c r="C2582" i="2" s="1"/>
  <c r="C2583" i="2" s="1"/>
  <c r="C2584" i="2" s="1"/>
  <c r="C2585" i="2" s="1"/>
  <c r="C2586" i="2" s="1"/>
  <c r="C2587" i="2" s="1"/>
  <c r="C2588" i="2" s="1"/>
  <c r="C2589" i="2" s="1"/>
  <c r="C2590" i="2" s="1"/>
  <c r="C2591" i="2" s="1"/>
  <c r="C2592" i="2" s="1"/>
  <c r="C2593" i="2" s="1"/>
  <c r="C2594" i="2" s="1"/>
  <c r="C2595" i="2" s="1"/>
  <c r="C2596" i="2" s="1"/>
  <c r="C2597" i="2" s="1"/>
  <c r="C2598" i="2" s="1"/>
  <c r="C2599" i="2" s="1"/>
  <c r="C2600" i="2" s="1"/>
  <c r="C2601" i="2" s="1"/>
  <c r="C2602" i="2" s="1"/>
  <c r="C2603" i="2" s="1"/>
  <c r="C2604" i="2" s="1"/>
  <c r="C2605" i="2" s="1"/>
  <c r="C2606" i="2" s="1"/>
  <c r="C2607" i="2" s="1"/>
  <c r="C2608" i="2" s="1"/>
  <c r="C2609" i="2" s="1"/>
  <c r="C2610" i="2" s="1"/>
  <c r="C2611" i="2" s="1"/>
  <c r="C2612" i="2" s="1"/>
  <c r="C2613" i="2" s="1"/>
  <c r="C2614" i="2" s="1"/>
  <c r="C2615" i="2" s="1"/>
  <c r="C2616" i="2" s="1"/>
  <c r="C2617" i="2" s="1"/>
  <c r="C2618" i="2" s="1"/>
  <c r="C2619" i="2" s="1"/>
  <c r="C2620" i="2" s="1"/>
  <c r="C2621" i="2" s="1"/>
  <c r="C2622" i="2" s="1"/>
  <c r="C2623" i="2" s="1"/>
  <c r="C2624" i="2" s="1"/>
  <c r="C2625" i="2" s="1"/>
  <c r="C2626" i="2" s="1"/>
  <c r="C2627" i="2" s="1"/>
  <c r="C2628" i="2" s="1"/>
  <c r="C2629" i="2" s="1"/>
  <c r="C2630" i="2" s="1"/>
  <c r="C2631" i="2" s="1"/>
  <c r="C2632" i="2" s="1"/>
  <c r="C2633" i="2" s="1"/>
  <c r="C2634" i="2" s="1"/>
  <c r="C2524" i="2"/>
  <c r="C2525" i="2" s="1"/>
  <c r="C2526" i="2" s="1"/>
  <c r="C2495" i="2"/>
  <c r="C2496" i="2" s="1"/>
  <c r="C2497" i="2" s="1"/>
  <c r="C2467" i="2"/>
  <c r="C2468" i="2" s="1"/>
  <c r="C2466" i="2"/>
  <c r="C2429" i="2"/>
  <c r="C2430" i="2" s="1"/>
  <c r="C2431" i="2" s="1"/>
  <c r="C2407" i="2"/>
  <c r="C2408" i="2" s="1"/>
  <c r="C2409" i="2" s="1"/>
  <c r="C2379" i="2"/>
  <c r="C2380" i="2" s="1"/>
  <c r="C2381" i="2" s="1"/>
  <c r="C2352" i="2"/>
  <c r="C2353" i="2" s="1"/>
  <c r="C2354" i="2" s="1"/>
  <c r="C2342" i="2"/>
  <c r="C2343" i="2" s="1"/>
  <c r="C2344" i="2" s="1"/>
  <c r="C2307" i="2"/>
  <c r="C2308" i="2" s="1"/>
  <c r="C2309" i="2" s="1"/>
  <c r="C2268" i="2"/>
  <c r="C2266" i="2"/>
  <c r="C2267" i="2" s="1"/>
  <c r="C2229" i="2"/>
  <c r="C2230" i="2" s="1"/>
  <c r="C2231" i="2" s="1"/>
  <c r="C2210" i="2"/>
  <c r="C2211" i="2" s="1"/>
  <c r="C2212" i="2" s="1"/>
  <c r="C2182" i="2"/>
  <c r="C2183" i="2" s="1"/>
  <c r="C2184" i="2" s="1"/>
  <c r="C2170" i="2"/>
  <c r="C2171" i="2" s="1"/>
  <c r="C2172" i="2" s="1"/>
  <c r="C2133" i="2"/>
  <c r="C2134" i="2" s="1"/>
  <c r="C2135" i="2" s="1"/>
  <c r="C2136" i="2" s="1"/>
  <c r="C2137" i="2" s="1"/>
  <c r="C2138" i="2" s="1"/>
  <c r="C2139" i="2" s="1"/>
  <c r="C2140" i="2" s="1"/>
  <c r="C2141" i="2" s="1"/>
  <c r="C2142" i="2" s="1"/>
  <c r="C2143" i="2" s="1"/>
  <c r="C2144" i="2" s="1"/>
  <c r="C2145" i="2" s="1"/>
  <c r="C2146" i="2" s="1"/>
  <c r="C2147" i="2" s="1"/>
  <c r="C2148" i="2" s="1"/>
  <c r="C2149" i="2" s="1"/>
  <c r="C2150" i="2" s="1"/>
  <c r="C2151" i="2" s="1"/>
  <c r="C2152" i="2" s="1"/>
  <c r="C2153" i="2" s="1"/>
  <c r="C2154" i="2" s="1"/>
  <c r="C2155" i="2" s="1"/>
  <c r="C2156" i="2" s="1"/>
  <c r="C2157" i="2" s="1"/>
  <c r="C2158" i="2" s="1"/>
  <c r="C2159" i="2" s="1"/>
  <c r="C2160" i="2" s="1"/>
  <c r="C2161" i="2" s="1"/>
  <c r="C2162" i="2" s="1"/>
  <c r="C2163" i="2" s="1"/>
  <c r="C2164" i="2" s="1"/>
  <c r="C2165" i="2" s="1"/>
  <c r="C2166" i="2" s="1"/>
  <c r="C2095" i="2"/>
  <c r="C2096" i="2" s="1"/>
  <c r="C2097" i="2" s="1"/>
  <c r="C2038" i="2"/>
  <c r="C2039" i="2" s="1"/>
  <c r="C2037" i="2"/>
  <c r="C1991" i="2"/>
  <c r="C1992" i="2" s="1"/>
  <c r="C1993" i="2" s="1"/>
  <c r="C1955" i="2"/>
  <c r="C1956" i="2" s="1"/>
  <c r="C1957" i="2" s="1"/>
  <c r="C1919" i="2"/>
  <c r="C1920" i="2" s="1"/>
  <c r="C1921" i="2" s="1"/>
  <c r="C1853" i="2"/>
  <c r="C1854" i="2" s="1"/>
  <c r="C1855" i="2" s="1"/>
  <c r="C1838" i="2"/>
  <c r="C1839" i="2" s="1"/>
  <c r="C1837" i="2"/>
  <c r="C1800" i="2"/>
  <c r="C1801" i="2" s="1"/>
  <c r="C1802" i="2" s="1"/>
  <c r="C1760" i="2"/>
  <c r="C1761" i="2" s="1"/>
  <c r="C1762" i="2" s="1"/>
  <c r="C1763" i="2" s="1"/>
  <c r="C1764" i="2" s="1"/>
  <c r="C1765" i="2" s="1"/>
  <c r="C1766" i="2" s="1"/>
  <c r="C1767" i="2" s="1"/>
  <c r="C1768" i="2" s="1"/>
  <c r="C1769" i="2" s="1"/>
  <c r="C1770" i="2" s="1"/>
  <c r="C1771" i="2" s="1"/>
  <c r="C1772" i="2" s="1"/>
  <c r="C1773" i="2" s="1"/>
  <c r="C1774" i="2" s="1"/>
  <c r="C1775" i="2" s="1"/>
  <c r="C1776" i="2" s="1"/>
  <c r="C1777" i="2" s="1"/>
  <c r="C1778" i="2" s="1"/>
  <c r="C1779" i="2" s="1"/>
  <c r="C1780" i="2" s="1"/>
  <c r="C1781" i="2" s="1"/>
  <c r="C1782" i="2" s="1"/>
  <c r="C1783" i="2" s="1"/>
  <c r="C1784" i="2" s="1"/>
  <c r="C1785" i="2" s="1"/>
  <c r="C1786" i="2" s="1"/>
  <c r="C1787" i="2" s="1"/>
  <c r="C1788" i="2" s="1"/>
  <c r="C1789" i="2" s="1"/>
  <c r="C1790" i="2" s="1"/>
  <c r="C1791" i="2" s="1"/>
  <c r="C1792" i="2" s="1"/>
  <c r="C1793" i="2" s="1"/>
  <c r="C1794" i="2" s="1"/>
  <c r="C1795" i="2" s="1"/>
  <c r="C1796" i="2" s="1"/>
  <c r="C1726" i="2"/>
  <c r="C1727" i="2" s="1"/>
  <c r="C1728" i="2" s="1"/>
  <c r="C1691" i="2"/>
  <c r="C1692" i="2" s="1"/>
  <c r="C1693" i="2" s="1"/>
  <c r="C1638" i="2"/>
  <c r="C1639" i="2" s="1"/>
  <c r="C1640" i="2" s="1"/>
  <c r="C1595" i="2"/>
  <c r="C1596" i="2" s="1"/>
  <c r="C1597" i="2" s="1"/>
  <c r="C1565" i="2"/>
  <c r="C1566" i="2" s="1"/>
  <c r="C1564" i="2"/>
  <c r="C1512" i="2"/>
  <c r="C1513" i="2" s="1"/>
  <c r="C1514" i="2" s="1"/>
  <c r="C1458" i="2"/>
  <c r="C1459" i="2" s="1"/>
  <c r="C1460" i="2" s="1"/>
  <c r="C1461" i="2" s="1"/>
  <c r="C1462" i="2" s="1"/>
  <c r="C1463" i="2" s="1"/>
  <c r="C1464" i="2" s="1"/>
  <c r="C1465" i="2" s="1"/>
  <c r="C1466" i="2" s="1"/>
  <c r="C1467" i="2" s="1"/>
  <c r="C1468" i="2" s="1"/>
  <c r="C1469" i="2" s="1"/>
  <c r="C1470" i="2" s="1"/>
  <c r="C1471" i="2" s="1"/>
  <c r="C1472" i="2" s="1"/>
  <c r="C1473" i="2" s="1"/>
  <c r="C1474" i="2" s="1"/>
  <c r="C1475" i="2" s="1"/>
  <c r="C1476" i="2" s="1"/>
  <c r="C1477" i="2" s="1"/>
  <c r="C1478" i="2" s="1"/>
  <c r="C1479" i="2" s="1"/>
  <c r="C1480" i="2" s="1"/>
  <c r="C1481" i="2" s="1"/>
  <c r="C1482" i="2" s="1"/>
  <c r="C1483" i="2" s="1"/>
  <c r="C1484" i="2" s="1"/>
  <c r="C1485" i="2" s="1"/>
  <c r="C1486" i="2" s="1"/>
  <c r="C1487" i="2" s="1"/>
  <c r="C1488" i="2" s="1"/>
  <c r="C1489" i="2" s="1"/>
  <c r="C1490" i="2" s="1"/>
  <c r="C1491" i="2" s="1"/>
  <c r="C1492" i="2" s="1"/>
  <c r="C1493" i="2" s="1"/>
  <c r="C1494" i="2" s="1"/>
  <c r="C1495" i="2" s="1"/>
  <c r="C1496" i="2" s="1"/>
  <c r="C1497" i="2" s="1"/>
  <c r="C1498" i="2" s="1"/>
  <c r="C1499" i="2" s="1"/>
  <c r="C1500" i="2" s="1"/>
  <c r="C1501" i="2" s="1"/>
  <c r="C1502" i="2" s="1"/>
  <c r="C1503" i="2" s="1"/>
  <c r="C1504" i="2" s="1"/>
  <c r="C1505" i="2" s="1"/>
  <c r="C1506" i="2" s="1"/>
  <c r="C1507" i="2" s="1"/>
  <c r="C1508" i="2" s="1"/>
  <c r="C1430" i="2"/>
  <c r="C1431" i="2" s="1"/>
  <c r="C1432" i="2" s="1"/>
  <c r="C1408" i="2"/>
  <c r="C1409" i="2" s="1"/>
  <c r="C1407" i="2"/>
  <c r="C1394" i="2"/>
  <c r="C1395" i="2" s="1"/>
  <c r="C1393" i="2"/>
  <c r="C1360" i="2"/>
  <c r="C1361" i="2" s="1"/>
  <c r="C1362" i="2" s="1"/>
  <c r="C1346" i="2"/>
  <c r="C1347" i="2" s="1"/>
  <c r="C1348" i="2" s="1"/>
  <c r="C1300" i="2"/>
  <c r="C1298" i="2"/>
  <c r="C1299" i="2" s="1"/>
  <c r="C1264" i="2"/>
  <c r="C1265" i="2" s="1"/>
  <c r="C1266" i="2" s="1"/>
  <c r="C1230" i="2"/>
  <c r="C1231" i="2" s="1"/>
  <c r="C1232" i="2" s="1"/>
  <c r="C1194" i="2"/>
  <c r="C1195" i="2" s="1"/>
  <c r="C1196" i="2" s="1"/>
  <c r="C1153" i="2"/>
  <c r="C1154" i="2" s="1"/>
  <c r="C1155" i="2" s="1"/>
  <c r="C1139" i="2"/>
  <c r="C1140" i="2" s="1"/>
  <c r="C1141" i="2" s="1"/>
  <c r="C1113" i="2"/>
  <c r="C1114" i="2" s="1"/>
  <c r="C1115" i="2" s="1"/>
  <c r="C1082" i="2"/>
  <c r="C1083" i="2" s="1"/>
  <c r="C1084" i="2" s="1"/>
  <c r="C1061" i="2"/>
  <c r="C1062" i="2" s="1"/>
  <c r="C1063" i="2" s="1"/>
  <c r="C1016" i="2"/>
  <c r="C1017" i="2" s="1"/>
  <c r="C1018" i="2" s="1"/>
  <c r="C990" i="2"/>
  <c r="C991" i="2" s="1"/>
  <c r="C992" i="2" s="1"/>
  <c r="C975" i="2"/>
  <c r="C976" i="2" s="1"/>
  <c r="C977" i="2" s="1"/>
  <c r="C978" i="2" s="1"/>
  <c r="C979" i="2" s="1"/>
  <c r="C980" i="2" s="1"/>
  <c r="C981" i="2" s="1"/>
  <c r="C982" i="2" s="1"/>
  <c r="C983" i="2" s="1"/>
  <c r="C984" i="2" s="1"/>
  <c r="C985" i="2" s="1"/>
  <c r="C986" i="2" s="1"/>
  <c r="C941" i="2"/>
  <c r="C942" i="2" s="1"/>
  <c r="C943" i="2" s="1"/>
  <c r="C905" i="2"/>
  <c r="C906" i="2" s="1"/>
  <c r="C907" i="2" s="1"/>
  <c r="C899" i="2"/>
  <c r="C900" i="2" s="1"/>
  <c r="C901" i="2" s="1"/>
  <c r="C902" i="2" s="1"/>
  <c r="C903" i="2" s="1"/>
  <c r="G903" i="2" s="1"/>
  <c r="C873" i="2"/>
  <c r="C874" i="2" s="1"/>
  <c r="C875" i="2" s="1"/>
  <c r="C867" i="2"/>
  <c r="C868" i="2" s="1"/>
  <c r="C869" i="2" s="1"/>
  <c r="C870" i="2" s="1"/>
  <c r="C871" i="2" s="1"/>
  <c r="G871" i="2" s="1"/>
  <c r="C827" i="2"/>
  <c r="C828" i="2" s="1"/>
  <c r="C829" i="2" s="1"/>
  <c r="C793" i="2"/>
  <c r="C794" i="2" s="1"/>
  <c r="C795" i="2" s="1"/>
  <c r="C770" i="2"/>
  <c r="C771" i="2" s="1"/>
  <c r="C772" i="2" s="1"/>
  <c r="C743" i="2"/>
  <c r="C744" i="2" s="1"/>
  <c r="C745" i="2" s="1"/>
  <c r="C706" i="2"/>
  <c r="C707" i="2" s="1"/>
  <c r="C708" i="2" s="1"/>
  <c r="C688" i="2"/>
  <c r="C689" i="2" s="1"/>
  <c r="C690" i="2" s="1"/>
  <c r="C632" i="2"/>
  <c r="C633" i="2" s="1"/>
  <c r="C634" i="2" s="1"/>
  <c r="C635" i="2" s="1"/>
  <c r="C636" i="2" s="1"/>
  <c r="C637" i="2" s="1"/>
  <c r="C638" i="2" s="1"/>
  <c r="C639" i="2" s="1"/>
  <c r="C640" i="2" s="1"/>
  <c r="C641" i="2" s="1"/>
  <c r="C642" i="2" s="1"/>
  <c r="C643" i="2" s="1"/>
  <c r="C644" i="2" s="1"/>
  <c r="C645" i="2" s="1"/>
  <c r="C646" i="2" s="1"/>
  <c r="C647" i="2" s="1"/>
  <c r="C648" i="2" s="1"/>
  <c r="C649" i="2" s="1"/>
  <c r="C650" i="2" s="1"/>
  <c r="C651" i="2" s="1"/>
  <c r="C652" i="2" s="1"/>
  <c r="C653" i="2" s="1"/>
  <c r="C654" i="2" s="1"/>
  <c r="C655" i="2" s="1"/>
  <c r="C656" i="2" s="1"/>
  <c r="C657" i="2" s="1"/>
  <c r="C658" i="2" s="1"/>
  <c r="C659" i="2" s="1"/>
  <c r="C660" i="2" s="1"/>
  <c r="C661" i="2" s="1"/>
  <c r="C662" i="2" s="1"/>
  <c r="C663" i="2" s="1"/>
  <c r="C664" i="2" s="1"/>
  <c r="C665" i="2" s="1"/>
  <c r="C666" i="2" s="1"/>
  <c r="C667" i="2" s="1"/>
  <c r="C668" i="2" s="1"/>
  <c r="C669" i="2" s="1"/>
  <c r="C670" i="2" s="1"/>
  <c r="C671" i="2" s="1"/>
  <c r="C672" i="2" s="1"/>
  <c r="C673" i="2" s="1"/>
  <c r="C674" i="2" s="1"/>
  <c r="C675" i="2" s="1"/>
  <c r="C676" i="2" s="1"/>
  <c r="C677" i="2" s="1"/>
  <c r="C678" i="2" s="1"/>
  <c r="C679" i="2" s="1"/>
  <c r="C680" i="2" s="1"/>
  <c r="C681" i="2" s="1"/>
  <c r="C682" i="2" s="1"/>
  <c r="C683" i="2" s="1"/>
  <c r="C684" i="2" s="1"/>
  <c r="C631" i="2"/>
  <c r="C616" i="2"/>
  <c r="C617" i="2" s="1"/>
  <c r="C618" i="2" s="1"/>
  <c r="C593" i="2"/>
  <c r="C594" i="2" s="1"/>
  <c r="C595" i="2" s="1"/>
  <c r="C587" i="2"/>
  <c r="C588" i="2" s="1"/>
  <c r="C589" i="2" s="1"/>
  <c r="C590" i="2" s="1"/>
  <c r="C591" i="2" s="1"/>
  <c r="G591" i="2" s="1"/>
  <c r="C547" i="2"/>
  <c r="C548" i="2" s="1"/>
  <c r="C549" i="2" s="1"/>
  <c r="C522" i="2"/>
  <c r="C523" i="2" s="1"/>
  <c r="C521" i="2"/>
  <c r="C496" i="2"/>
  <c r="C497" i="2" s="1"/>
  <c r="C498" i="2" s="1"/>
  <c r="C461" i="2"/>
  <c r="C462" i="2" s="1"/>
  <c r="C463" i="2" s="1"/>
  <c r="C439" i="2"/>
  <c r="C440" i="2" s="1"/>
  <c r="C441" i="2" s="1"/>
  <c r="C391" i="2"/>
  <c r="C392" i="2" s="1"/>
  <c r="C393" i="2" s="1"/>
  <c r="C365" i="2"/>
  <c r="C366" i="2" s="1"/>
  <c r="C367" i="2" s="1"/>
  <c r="C349" i="2"/>
  <c r="C350" i="2" s="1"/>
  <c r="C348" i="2"/>
  <c r="C313" i="2"/>
  <c r="C314" i="2" s="1"/>
  <c r="C315" i="2" s="1"/>
  <c r="C295" i="2"/>
  <c r="C296" i="2" s="1"/>
  <c r="C297" i="2" s="1"/>
  <c r="C273" i="2"/>
  <c r="C274" i="2" s="1"/>
  <c r="C275" i="2" s="1"/>
  <c r="C255" i="2"/>
  <c r="C256" i="2" s="1"/>
  <c r="C257" i="2" s="1"/>
  <c r="C234" i="2"/>
  <c r="C235" i="2" s="1"/>
  <c r="C236" i="2" s="1"/>
  <c r="C223" i="2"/>
  <c r="C224" i="2" s="1"/>
  <c r="C225" i="2" s="1"/>
  <c r="C179" i="2"/>
  <c r="C180" i="2" s="1"/>
  <c r="C181" i="2" s="1"/>
  <c r="C166" i="2"/>
  <c r="C167" i="2" s="1"/>
  <c r="C165" i="2"/>
  <c r="C140" i="2"/>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09" i="2"/>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64" i="2"/>
  <c r="C65" i="2" s="1"/>
  <c r="C66" i="2" s="1"/>
  <c r="C5" i="2"/>
  <c r="C4" i="2"/>
  <c r="C3" i="2"/>
  <c r="C3059" i="2" l="1"/>
  <c r="C3060" i="2" s="1"/>
  <c r="G3060" i="2" s="1"/>
  <c r="C3055" i="2"/>
  <c r="C3056" i="2" s="1"/>
  <c r="C2684" i="2"/>
  <c r="C2685" i="2" s="1"/>
  <c r="C2686" i="2" s="1"/>
  <c r="C2687" i="2" s="1"/>
  <c r="C2688" i="2" s="1"/>
  <c r="C2689" i="2" s="1"/>
  <c r="C2690" i="2" s="1"/>
  <c r="C2691" i="2" s="1"/>
  <c r="C2692" i="2" s="1"/>
  <c r="C2693" i="2" s="1"/>
  <c r="C2694" i="2" s="1"/>
  <c r="C2695" i="2" s="1"/>
  <c r="C2696" i="2" s="1"/>
  <c r="C2697" i="2" s="1"/>
  <c r="C2698" i="2" s="1"/>
  <c r="C2699" i="2" s="1"/>
  <c r="C2700" i="2" s="1"/>
  <c r="C2701" i="2" s="1"/>
  <c r="C2702" i="2" s="1"/>
  <c r="C2703" i="2" s="1"/>
  <c r="C2704" i="2" s="1"/>
  <c r="C2705" i="2" s="1"/>
  <c r="C2706" i="2" s="1"/>
  <c r="C2707" i="2" s="1"/>
  <c r="C2708" i="2" s="1"/>
  <c r="C2709" i="2" s="1"/>
  <c r="C2710" i="2" s="1"/>
  <c r="C2711" i="2" s="1"/>
  <c r="C2712" i="2" s="1"/>
  <c r="C2713" i="2" s="1"/>
  <c r="C2714" i="2" s="1"/>
  <c r="C2715" i="2" s="1"/>
  <c r="C2716" i="2" s="1"/>
  <c r="C2717" i="2" s="1"/>
  <c r="C2718" i="2" s="1"/>
  <c r="C2719" i="2" s="1"/>
  <c r="C2720" i="2" s="1"/>
  <c r="C2721" i="2" s="1"/>
  <c r="C2722" i="2" s="1"/>
  <c r="C2723" i="2" s="1"/>
  <c r="C2724" i="2" s="1"/>
  <c r="C2725" i="2" s="1"/>
  <c r="C2726" i="2" s="1"/>
  <c r="C2727" i="2" s="1"/>
  <c r="C2728" i="2" s="1"/>
  <c r="C2729" i="2" s="1"/>
  <c r="C2730" i="2"/>
  <c r="C2731" i="2" s="1"/>
  <c r="G2731" i="2" s="1"/>
  <c r="M3050" i="2"/>
  <c r="N3050" i="2" s="1"/>
  <c r="R3000" i="2"/>
  <c r="X2960" i="2"/>
  <c r="S2636" i="2"/>
  <c r="Y2578" i="2"/>
  <c r="Y3050" i="2"/>
  <c r="N2771" i="2"/>
  <c r="S2731" i="2"/>
  <c r="N2909" i="2"/>
  <c r="S2901" i="2"/>
  <c r="Y2847" i="2"/>
  <c r="N2679" i="2"/>
  <c r="C2167" i="2"/>
  <c r="C2168" i="2" s="1"/>
  <c r="G2168" i="2" s="1"/>
  <c r="X2464" i="2"/>
  <c r="Y2464" i="2" s="1"/>
  <c r="M2405" i="2"/>
  <c r="N2405" i="2" s="1"/>
  <c r="X2377" i="2"/>
  <c r="Y2377" i="2"/>
  <c r="M2208" i="2"/>
  <c r="N2208" i="2"/>
  <c r="N2264" i="2"/>
  <c r="Y2208" i="2"/>
  <c r="X2168" i="2"/>
  <c r="Y2168" i="2"/>
  <c r="Y2427" i="2"/>
  <c r="M2427" i="2"/>
  <c r="N2427" i="2"/>
  <c r="R2405" i="2"/>
  <c r="S2405" i="2" s="1"/>
  <c r="N2305" i="2"/>
  <c r="M2305" i="2"/>
  <c r="S2227" i="2"/>
  <c r="Y2180" i="2"/>
  <c r="X2131" i="2"/>
  <c r="Y2131" i="2" s="1"/>
  <c r="Y1953" i="2"/>
  <c r="S2264" i="2"/>
  <c r="R2264" i="2"/>
  <c r="M2227" i="2"/>
  <c r="S2208" i="2"/>
  <c r="S2464" i="2"/>
  <c r="R2180" i="2"/>
  <c r="S2180" i="2"/>
  <c r="S1989" i="2"/>
  <c r="X2227" i="2"/>
  <c r="Y2227" i="2" s="1"/>
  <c r="M2035" i="2"/>
  <c r="N2035" i="2" s="1"/>
  <c r="R1989" i="2"/>
  <c r="X1953" i="2"/>
  <c r="M1724" i="2"/>
  <c r="N1724" i="2"/>
  <c r="M1262" i="2"/>
  <c r="N1262" i="2"/>
  <c r="N1953" i="2"/>
  <c r="S1917" i="2"/>
  <c r="Y1851" i="2"/>
  <c r="X1636" i="2"/>
  <c r="Y1636" i="2"/>
  <c r="M1405" i="2"/>
  <c r="N1405" i="2"/>
  <c r="Y1391" i="2"/>
  <c r="X1358" i="2"/>
  <c r="Y1358" i="2"/>
  <c r="N1758" i="2"/>
  <c r="Y1917" i="2"/>
  <c r="Y1835" i="2"/>
  <c r="R1798" i="2"/>
  <c r="S1798" i="2"/>
  <c r="S1724" i="2"/>
  <c r="R1391" i="2"/>
  <c r="S1391" i="2"/>
  <c r="N1917" i="2"/>
  <c r="S1851" i="2"/>
  <c r="R1689" i="2"/>
  <c r="S1689" i="2" s="1"/>
  <c r="M1835" i="2"/>
  <c r="N1835" i="2"/>
  <c r="M1014" i="2"/>
  <c r="N1014" i="2"/>
  <c r="S897" i="2"/>
  <c r="R897" i="2"/>
  <c r="N1228" i="2"/>
  <c r="X1192" i="2"/>
  <c r="Y1192" i="2"/>
  <c r="S1151" i="2"/>
  <c r="Y1059" i="2"/>
  <c r="N1059" i="2"/>
  <c r="N1593" i="2"/>
  <c r="N1344" i="2"/>
  <c r="N1111" i="2"/>
  <c r="S1014" i="2"/>
  <c r="R988" i="2"/>
  <c r="S988" i="2"/>
  <c r="Y1758" i="2"/>
  <c r="N1510" i="2"/>
  <c r="S1456" i="2"/>
  <c r="Y1428" i="2"/>
  <c r="X973" i="2"/>
  <c r="Y973" i="2"/>
  <c r="X865" i="2"/>
  <c r="Y865" i="2"/>
  <c r="S939" i="2"/>
  <c r="M897" i="2"/>
  <c r="N897" i="2" s="1"/>
  <c r="R519" i="2"/>
  <c r="S519" i="2"/>
  <c r="R903" i="2"/>
  <c r="Y897" i="2"/>
  <c r="R871" i="2"/>
  <c r="S871" i="2"/>
  <c r="N1192" i="2"/>
  <c r="Y1137" i="2"/>
  <c r="N939" i="2"/>
  <c r="X494" i="2"/>
  <c r="Y494" i="2" s="1"/>
  <c r="Y704" i="2"/>
  <c r="M545" i="2"/>
  <c r="N545" i="2" s="1"/>
  <c r="R363" i="2"/>
  <c r="S363" i="2"/>
  <c r="M704" i="2"/>
  <c r="N704" i="2"/>
  <c r="N346" i="2"/>
  <c r="M221" i="2"/>
  <c r="N221" i="2"/>
  <c r="X346" i="2"/>
  <c r="Y346" i="2"/>
  <c r="N232" i="2"/>
  <c r="S686" i="2"/>
  <c r="Y629" i="2"/>
  <c r="N494" i="2"/>
  <c r="S459" i="2"/>
  <c r="Y437" i="2"/>
  <c r="S346" i="2"/>
  <c r="S221" i="2"/>
  <c r="N177" i="2"/>
  <c r="S163" i="2"/>
  <c r="Y138" i="2"/>
  <c r="N138" i="2"/>
  <c r="S107" i="2"/>
  <c r="Y62" i="2"/>
  <c r="S177" i="2"/>
  <c r="Y163" i="2"/>
  <c r="C2999" i="2"/>
  <c r="C3000" i="2" s="1"/>
  <c r="G3000" i="2" s="1"/>
  <c r="C2965" i="2"/>
  <c r="C176" i="2"/>
  <c r="C177" i="2" s="1"/>
  <c r="G177" i="2" s="1"/>
  <c r="C168" i="2"/>
  <c r="C169" i="2" s="1"/>
  <c r="C170" i="2" s="1"/>
  <c r="C171" i="2" s="1"/>
  <c r="C172" i="2" s="1"/>
  <c r="C173" i="2" s="1"/>
  <c r="C174" i="2" s="1"/>
  <c r="C175" i="2" s="1"/>
  <c r="C345" i="2"/>
  <c r="C346" i="2" s="1"/>
  <c r="G346" i="2" s="1"/>
  <c r="C316" i="2"/>
  <c r="C317" i="2" s="1"/>
  <c r="C318" i="2" s="1"/>
  <c r="C319" i="2" s="1"/>
  <c r="C320" i="2" s="1"/>
  <c r="C321" i="2" s="1"/>
  <c r="C322" i="2" s="1"/>
  <c r="C323" i="2" s="1"/>
  <c r="C324" i="2" s="1"/>
  <c r="C325" i="2" s="1"/>
  <c r="C326" i="2" s="1"/>
  <c r="C327" i="2" s="1"/>
  <c r="C328" i="2" s="1"/>
  <c r="C329" i="2" s="1"/>
  <c r="C330" i="2" s="1"/>
  <c r="C331" i="2" s="1"/>
  <c r="C332" i="2" s="1"/>
  <c r="C333" i="2" s="1"/>
  <c r="C334" i="2" s="1"/>
  <c r="C335" i="2" s="1"/>
  <c r="C336" i="2" s="1"/>
  <c r="C337" i="2" s="1"/>
  <c r="C338" i="2" s="1"/>
  <c r="C339" i="2" s="1"/>
  <c r="C340" i="2" s="1"/>
  <c r="C341" i="2" s="1"/>
  <c r="C342" i="2" s="1"/>
  <c r="C343" i="2" s="1"/>
  <c r="C344" i="2" s="1"/>
  <c r="C703" i="2"/>
  <c r="C704" i="2" s="1"/>
  <c r="G704" i="2" s="1"/>
  <c r="C691" i="2"/>
  <c r="C692" i="2" s="1"/>
  <c r="C693" i="2" s="1"/>
  <c r="C694" i="2" s="1"/>
  <c r="C695" i="2" s="1"/>
  <c r="C696" i="2" s="1"/>
  <c r="C697" i="2" s="1"/>
  <c r="C698" i="2" s="1"/>
  <c r="C699" i="2" s="1"/>
  <c r="C700" i="2" s="1"/>
  <c r="C701" i="2" s="1"/>
  <c r="C702" i="2" s="1"/>
  <c r="C864" i="2"/>
  <c r="C865" i="2" s="1"/>
  <c r="G865" i="2" s="1"/>
  <c r="C830" i="2"/>
  <c r="C831" i="2" s="1"/>
  <c r="C832" i="2" s="1"/>
  <c r="C833" i="2" s="1"/>
  <c r="C834" i="2" s="1"/>
  <c r="C835" i="2" s="1"/>
  <c r="C836" i="2" s="1"/>
  <c r="C837" i="2" s="1"/>
  <c r="C838" i="2" s="1"/>
  <c r="C839" i="2" s="1"/>
  <c r="C840" i="2" s="1"/>
  <c r="C841" i="2" s="1"/>
  <c r="C842" i="2" s="1"/>
  <c r="C843" i="2" s="1"/>
  <c r="C844" i="2" s="1"/>
  <c r="C845" i="2" s="1"/>
  <c r="C846" i="2" s="1"/>
  <c r="C847" i="2" s="1"/>
  <c r="C848" i="2" s="1"/>
  <c r="C849" i="2" s="1"/>
  <c r="C850" i="2" s="1"/>
  <c r="C851" i="2" s="1"/>
  <c r="C852" i="2" s="1"/>
  <c r="C853" i="2" s="1"/>
  <c r="C854" i="2" s="1"/>
  <c r="C855" i="2" s="1"/>
  <c r="C856" i="2" s="1"/>
  <c r="C857" i="2" s="1"/>
  <c r="C858" i="2" s="1"/>
  <c r="C859" i="2" s="1"/>
  <c r="C860" i="2" s="1"/>
  <c r="C861" i="2" s="1"/>
  <c r="C862" i="2" s="1"/>
  <c r="C863" i="2" s="1"/>
  <c r="C1013" i="2"/>
  <c r="C1014" i="2" s="1"/>
  <c r="G1014" i="2" s="1"/>
  <c r="C993" i="2"/>
  <c r="C994" i="2" s="1"/>
  <c r="C995" i="2" s="1"/>
  <c r="C996" i="2" s="1"/>
  <c r="C997" i="2" s="1"/>
  <c r="C998" i="2" s="1"/>
  <c r="C999" i="2" s="1"/>
  <c r="C1000" i="2" s="1"/>
  <c r="C1001" i="2" s="1"/>
  <c r="C1002" i="2" s="1"/>
  <c r="C1003" i="2" s="1"/>
  <c r="C1004" i="2" s="1"/>
  <c r="C1005" i="2" s="1"/>
  <c r="C1006" i="2" s="1"/>
  <c r="C1007" i="2" s="1"/>
  <c r="C1008" i="2" s="1"/>
  <c r="C1009" i="2" s="1"/>
  <c r="C1010" i="2" s="1"/>
  <c r="C1011" i="2" s="1"/>
  <c r="C1012" i="2" s="1"/>
  <c r="C1136" i="2"/>
  <c r="C1137" i="2" s="1"/>
  <c r="G1137" i="2" s="1"/>
  <c r="C1116" i="2"/>
  <c r="C1117" i="2" s="1"/>
  <c r="C1118" i="2" s="1"/>
  <c r="C1119" i="2" s="1"/>
  <c r="C1120" i="2" s="1"/>
  <c r="C1121" i="2" s="1"/>
  <c r="C1122" i="2" s="1"/>
  <c r="C1123" i="2" s="1"/>
  <c r="C1124" i="2" s="1"/>
  <c r="C1125" i="2" s="1"/>
  <c r="C1126" i="2" s="1"/>
  <c r="C1127" i="2" s="1"/>
  <c r="C1128" i="2" s="1"/>
  <c r="C1129" i="2" s="1"/>
  <c r="C1130" i="2" s="1"/>
  <c r="C1131" i="2" s="1"/>
  <c r="C1132" i="2" s="1"/>
  <c r="C1133" i="2" s="1"/>
  <c r="C1134" i="2" s="1"/>
  <c r="C1135" i="2" s="1"/>
  <c r="C1757" i="2"/>
  <c r="C1758" i="2" s="1"/>
  <c r="G1758" i="2" s="1"/>
  <c r="C1729" i="2"/>
  <c r="C1730" i="2" s="1"/>
  <c r="C1731" i="2" s="1"/>
  <c r="C1732" i="2" s="1"/>
  <c r="C1733" i="2" s="1"/>
  <c r="C1734" i="2" s="1"/>
  <c r="C1735" i="2" s="1"/>
  <c r="C1736" i="2" s="1"/>
  <c r="C1737" i="2" s="1"/>
  <c r="C1738" i="2" s="1"/>
  <c r="C1739" i="2" s="1"/>
  <c r="C1740" i="2" s="1"/>
  <c r="C1741" i="2" s="1"/>
  <c r="C1742" i="2" s="1"/>
  <c r="C1743" i="2" s="1"/>
  <c r="C1744" i="2" s="1"/>
  <c r="C1745" i="2" s="1"/>
  <c r="C1746" i="2" s="1"/>
  <c r="C1747" i="2" s="1"/>
  <c r="C1748" i="2" s="1"/>
  <c r="C1749" i="2" s="1"/>
  <c r="C1750" i="2" s="1"/>
  <c r="C1751" i="2" s="1"/>
  <c r="C1752" i="2" s="1"/>
  <c r="C1753" i="2" s="1"/>
  <c r="C1754" i="2" s="1"/>
  <c r="C1755" i="2" s="1"/>
  <c r="C1756" i="2" s="1"/>
  <c r="C2678" i="2"/>
  <c r="C2679" i="2" s="1"/>
  <c r="G2679" i="2" s="1"/>
  <c r="C2641" i="2"/>
  <c r="C2642" i="2" s="1"/>
  <c r="C2643" i="2" s="1"/>
  <c r="C2644" i="2" s="1"/>
  <c r="C2645" i="2" s="1"/>
  <c r="C2646" i="2" s="1"/>
  <c r="C2647" i="2" s="1"/>
  <c r="C2648" i="2" s="1"/>
  <c r="C2649" i="2" s="1"/>
  <c r="C2650" i="2" s="1"/>
  <c r="C2651" i="2" s="1"/>
  <c r="C2652" i="2" s="1"/>
  <c r="C2653" i="2" s="1"/>
  <c r="C2654" i="2" s="1"/>
  <c r="C2655" i="2" s="1"/>
  <c r="C2656" i="2" s="1"/>
  <c r="C2657" i="2" s="1"/>
  <c r="C2658" i="2" s="1"/>
  <c r="C2659" i="2" s="1"/>
  <c r="C2660" i="2" s="1"/>
  <c r="C2661" i="2" s="1"/>
  <c r="C2662" i="2" s="1"/>
  <c r="C2663" i="2" s="1"/>
  <c r="C2664" i="2" s="1"/>
  <c r="C2665" i="2" s="1"/>
  <c r="C2666" i="2" s="1"/>
  <c r="C2667" i="2" s="1"/>
  <c r="C2668" i="2" s="1"/>
  <c r="C2669" i="2" s="1"/>
  <c r="C2670" i="2" s="1"/>
  <c r="C2671" i="2" s="1"/>
  <c r="C2672" i="2" s="1"/>
  <c r="C2673" i="2" s="1"/>
  <c r="C2674" i="2" s="1"/>
  <c r="C2675" i="2" s="1"/>
  <c r="C2676" i="2" s="1"/>
  <c r="C2677" i="2" s="1"/>
  <c r="C231" i="2"/>
  <c r="C232" i="2" s="1"/>
  <c r="G232" i="2" s="1"/>
  <c r="C226" i="2"/>
  <c r="C227" i="2" s="1"/>
  <c r="C228" i="2" s="1"/>
  <c r="C229" i="2" s="1"/>
  <c r="C230" i="2" s="1"/>
  <c r="C106" i="2"/>
  <c r="C107" i="2" s="1"/>
  <c r="G107" i="2" s="1"/>
  <c r="C67" i="2"/>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723" i="2"/>
  <c r="C1724" i="2" s="1"/>
  <c r="G1724" i="2" s="1"/>
  <c r="C1694" i="2"/>
  <c r="C1695" i="2" s="1"/>
  <c r="C1696" i="2" s="1"/>
  <c r="C1697" i="2" s="1"/>
  <c r="C1698" i="2" s="1"/>
  <c r="C1699" i="2" s="1"/>
  <c r="C1700" i="2" s="1"/>
  <c r="C1701" i="2" s="1"/>
  <c r="C1702" i="2" s="1"/>
  <c r="C1703" i="2" s="1"/>
  <c r="C1704" i="2" s="1"/>
  <c r="C1705" i="2" s="1"/>
  <c r="C1706" i="2" s="1"/>
  <c r="C1707" i="2" s="1"/>
  <c r="C1708" i="2" s="1"/>
  <c r="C1709" i="2" s="1"/>
  <c r="C1710" i="2" s="1"/>
  <c r="C1711" i="2" s="1"/>
  <c r="C1712" i="2" s="1"/>
  <c r="C1713" i="2" s="1"/>
  <c r="C1714" i="2" s="1"/>
  <c r="C1715" i="2" s="1"/>
  <c r="C1716" i="2" s="1"/>
  <c r="C1717" i="2" s="1"/>
  <c r="C1718" i="2" s="1"/>
  <c r="C1719" i="2" s="1"/>
  <c r="C1720" i="2" s="1"/>
  <c r="C1721" i="2" s="1"/>
  <c r="C1722" i="2" s="1"/>
  <c r="C2207" i="2"/>
  <c r="C2208" i="2" s="1"/>
  <c r="G2208" i="2" s="1"/>
  <c r="C2185" i="2"/>
  <c r="C2186" i="2" s="1"/>
  <c r="C2187" i="2" s="1"/>
  <c r="C2188" i="2" s="1"/>
  <c r="C2189" i="2" s="1"/>
  <c r="C2190" i="2" s="1"/>
  <c r="C2191" i="2" s="1"/>
  <c r="C2192" i="2" s="1"/>
  <c r="C2193" i="2" s="1"/>
  <c r="C2194" i="2" s="1"/>
  <c r="C2195" i="2" s="1"/>
  <c r="C2196" i="2" s="1"/>
  <c r="C2197" i="2" s="1"/>
  <c r="C2198" i="2" s="1"/>
  <c r="C2199" i="2" s="1"/>
  <c r="C2200" i="2" s="1"/>
  <c r="C2201" i="2" s="1"/>
  <c r="C2202" i="2" s="1"/>
  <c r="C2203" i="2" s="1"/>
  <c r="C2204" i="2" s="1"/>
  <c r="C2205" i="2" s="1"/>
  <c r="C2206" i="2" s="1"/>
  <c r="C613" i="2"/>
  <c r="C614" i="2" s="1"/>
  <c r="G614" i="2" s="1"/>
  <c r="C596" i="2"/>
  <c r="C597" i="2" s="1"/>
  <c r="C598" i="2" s="1"/>
  <c r="C599" i="2" s="1"/>
  <c r="C600" i="2" s="1"/>
  <c r="C601" i="2" s="1"/>
  <c r="C602" i="2" s="1"/>
  <c r="C603" i="2" s="1"/>
  <c r="C604" i="2" s="1"/>
  <c r="C605" i="2" s="1"/>
  <c r="C606" i="2" s="1"/>
  <c r="C607" i="2" s="1"/>
  <c r="C608" i="2" s="1"/>
  <c r="C609" i="2" s="1"/>
  <c r="C610" i="2" s="1"/>
  <c r="C611" i="2" s="1"/>
  <c r="C612" i="2" s="1"/>
  <c r="C1227" i="2"/>
  <c r="C1228" i="2" s="1"/>
  <c r="G1228" i="2" s="1"/>
  <c r="C1197" i="2"/>
  <c r="C1198" i="2" s="1"/>
  <c r="C1199" i="2" s="1"/>
  <c r="C1200" i="2" s="1"/>
  <c r="C1201" i="2" s="1"/>
  <c r="C1202" i="2" s="1"/>
  <c r="C1203" i="2" s="1"/>
  <c r="C1204" i="2" s="1"/>
  <c r="C1205" i="2" s="1"/>
  <c r="C1206" i="2" s="1"/>
  <c r="C1207" i="2" s="1"/>
  <c r="C1208" i="2" s="1"/>
  <c r="C1209" i="2" s="1"/>
  <c r="C1210" i="2" s="1"/>
  <c r="C1211" i="2" s="1"/>
  <c r="C1212" i="2" s="1"/>
  <c r="C1213" i="2" s="1"/>
  <c r="C1214" i="2" s="1"/>
  <c r="C1215" i="2" s="1"/>
  <c r="C1216" i="2" s="1"/>
  <c r="C1217" i="2" s="1"/>
  <c r="C1218" i="2" s="1"/>
  <c r="C1219" i="2" s="1"/>
  <c r="C1220" i="2" s="1"/>
  <c r="C1221" i="2" s="1"/>
  <c r="C1222" i="2" s="1"/>
  <c r="C1223" i="2" s="1"/>
  <c r="C1224" i="2" s="1"/>
  <c r="C1225" i="2" s="1"/>
  <c r="C1226" i="2" s="1"/>
  <c r="C1404" i="2"/>
  <c r="C1405" i="2" s="1"/>
  <c r="G1405" i="2" s="1"/>
  <c r="C1396" i="2"/>
  <c r="C1397" i="2" s="1"/>
  <c r="C1398" i="2" s="1"/>
  <c r="C1399" i="2" s="1"/>
  <c r="C1400" i="2" s="1"/>
  <c r="C1401" i="2" s="1"/>
  <c r="C1402" i="2" s="1"/>
  <c r="C1403" i="2" s="1"/>
  <c r="C790" i="2"/>
  <c r="C791" i="2" s="1"/>
  <c r="G791" i="2" s="1"/>
  <c r="C773" i="2"/>
  <c r="C774" i="2" s="1"/>
  <c r="C775" i="2" s="1"/>
  <c r="C776" i="2" s="1"/>
  <c r="C777" i="2" s="1"/>
  <c r="C778" i="2" s="1"/>
  <c r="C779" i="2" s="1"/>
  <c r="C780" i="2" s="1"/>
  <c r="C781" i="2" s="1"/>
  <c r="C782" i="2" s="1"/>
  <c r="C783" i="2" s="1"/>
  <c r="C784" i="2" s="1"/>
  <c r="C785" i="2" s="1"/>
  <c r="C786" i="2" s="1"/>
  <c r="C787" i="2" s="1"/>
  <c r="C788" i="2" s="1"/>
  <c r="C789" i="2" s="1"/>
  <c r="C1561" i="2"/>
  <c r="C1562" i="2" s="1"/>
  <c r="G1562" i="2" s="1"/>
  <c r="C1515" i="2"/>
  <c r="C1516" i="2" s="1"/>
  <c r="C1517" i="2" s="1"/>
  <c r="C1518" i="2" s="1"/>
  <c r="C1519" i="2" s="1"/>
  <c r="C1520" i="2" s="1"/>
  <c r="C1521" i="2" s="1"/>
  <c r="C1522" i="2" s="1"/>
  <c r="C1523" i="2" s="1"/>
  <c r="C1524" i="2" s="1"/>
  <c r="C1525" i="2" s="1"/>
  <c r="C1526" i="2" s="1"/>
  <c r="C1527" i="2" s="1"/>
  <c r="C1528" i="2" s="1"/>
  <c r="C1529" i="2" s="1"/>
  <c r="C1530" i="2" s="1"/>
  <c r="C1531" i="2" s="1"/>
  <c r="C1532" i="2" s="1"/>
  <c r="C1533" i="2" s="1"/>
  <c r="C1534" i="2" s="1"/>
  <c r="C1535" i="2" s="1"/>
  <c r="C1536" i="2" s="1"/>
  <c r="C1537" i="2" s="1"/>
  <c r="C1538" i="2" s="1"/>
  <c r="C1539" i="2" s="1"/>
  <c r="C1540" i="2" s="1"/>
  <c r="C1541" i="2" s="1"/>
  <c r="C1542" i="2" s="1"/>
  <c r="C1543" i="2" s="1"/>
  <c r="C1544" i="2" s="1"/>
  <c r="C1545" i="2" s="1"/>
  <c r="C1546" i="2" s="1"/>
  <c r="C1547" i="2" s="1"/>
  <c r="C1548" i="2" s="1"/>
  <c r="C1549" i="2" s="1"/>
  <c r="C1550" i="2" s="1"/>
  <c r="C1551" i="2" s="1"/>
  <c r="C1552" i="2" s="1"/>
  <c r="C1553" i="2" s="1"/>
  <c r="C1554" i="2" s="1"/>
  <c r="C1555" i="2" s="1"/>
  <c r="C1556" i="2" s="1"/>
  <c r="C1557" i="2" s="1"/>
  <c r="C1558" i="2" s="1"/>
  <c r="C1559" i="2" s="1"/>
  <c r="C1560" i="2" s="1"/>
  <c r="C2577" i="2"/>
  <c r="C2578" i="2" s="1"/>
  <c r="G2578" i="2" s="1"/>
  <c r="C2527" i="2"/>
  <c r="C2528" i="2" s="1"/>
  <c r="C2529" i="2" s="1"/>
  <c r="C2530" i="2" s="1"/>
  <c r="C2531" i="2" s="1"/>
  <c r="C2532" i="2" s="1"/>
  <c r="C2533" i="2" s="1"/>
  <c r="C2534" i="2" s="1"/>
  <c r="C2535" i="2" s="1"/>
  <c r="C2536" i="2" s="1"/>
  <c r="C2537" i="2" s="1"/>
  <c r="C2538" i="2" s="1"/>
  <c r="C2539" i="2" s="1"/>
  <c r="C2540" i="2" s="1"/>
  <c r="C2541" i="2" s="1"/>
  <c r="C2542" i="2" s="1"/>
  <c r="C2543" i="2" s="1"/>
  <c r="C2544" i="2" s="1"/>
  <c r="C2545" i="2" s="1"/>
  <c r="C2546" i="2" s="1"/>
  <c r="C2547" i="2" s="1"/>
  <c r="C2548" i="2" s="1"/>
  <c r="C2549" i="2" s="1"/>
  <c r="C2550" i="2" s="1"/>
  <c r="C2551" i="2" s="1"/>
  <c r="C2552" i="2" s="1"/>
  <c r="C2553" i="2" s="1"/>
  <c r="C2554" i="2" s="1"/>
  <c r="C2555" i="2" s="1"/>
  <c r="C2556" i="2" s="1"/>
  <c r="C2557" i="2" s="1"/>
  <c r="C2558" i="2" s="1"/>
  <c r="C2559" i="2" s="1"/>
  <c r="C2560" i="2" s="1"/>
  <c r="C2561" i="2" s="1"/>
  <c r="C2562" i="2" s="1"/>
  <c r="C2563" i="2" s="1"/>
  <c r="C2564" i="2" s="1"/>
  <c r="C2565" i="2" s="1"/>
  <c r="C2566" i="2" s="1"/>
  <c r="C2567" i="2" s="1"/>
  <c r="C2568" i="2" s="1"/>
  <c r="C2569" i="2" s="1"/>
  <c r="C2570" i="2" s="1"/>
  <c r="C2571" i="2" s="1"/>
  <c r="C2572" i="2" s="1"/>
  <c r="C2573" i="2" s="1"/>
  <c r="C2574" i="2" s="1"/>
  <c r="C2575" i="2" s="1"/>
  <c r="C2576" i="2" s="1"/>
  <c r="C3057" i="2"/>
  <c r="C938" i="2"/>
  <c r="C939" i="2" s="1"/>
  <c r="G939" i="2" s="1"/>
  <c r="C908" i="2"/>
  <c r="C909" i="2" s="1"/>
  <c r="C910" i="2" s="1"/>
  <c r="C911" i="2" s="1"/>
  <c r="C912" i="2" s="1"/>
  <c r="C913" i="2" s="1"/>
  <c r="C914" i="2" s="1"/>
  <c r="C915" i="2" s="1"/>
  <c r="C916" i="2" s="1"/>
  <c r="C917" i="2" s="1"/>
  <c r="C918" i="2" s="1"/>
  <c r="C919" i="2" s="1"/>
  <c r="C920" i="2" s="1"/>
  <c r="C921" i="2" s="1"/>
  <c r="C922" i="2" s="1"/>
  <c r="C923" i="2" s="1"/>
  <c r="C924" i="2" s="1"/>
  <c r="C925" i="2" s="1"/>
  <c r="C926" i="2" s="1"/>
  <c r="C927" i="2" s="1"/>
  <c r="C928" i="2" s="1"/>
  <c r="C929" i="2" s="1"/>
  <c r="C930" i="2" s="1"/>
  <c r="C931" i="2" s="1"/>
  <c r="C932" i="2" s="1"/>
  <c r="C933" i="2" s="1"/>
  <c r="C934" i="2" s="1"/>
  <c r="C935" i="2" s="1"/>
  <c r="C936" i="2" s="1"/>
  <c r="C937" i="2" s="1"/>
  <c r="C740" i="2"/>
  <c r="C741" i="2" s="1"/>
  <c r="G741" i="2" s="1"/>
  <c r="C709" i="2"/>
  <c r="C710" i="2" s="1"/>
  <c r="C711" i="2" s="1"/>
  <c r="C712" i="2" s="1"/>
  <c r="C713" i="2" s="1"/>
  <c r="C714" i="2" s="1"/>
  <c r="C715" i="2" s="1"/>
  <c r="C716" i="2" s="1"/>
  <c r="C717" i="2" s="1"/>
  <c r="C718" i="2" s="1"/>
  <c r="C719" i="2" s="1"/>
  <c r="C720" i="2" s="1"/>
  <c r="C721" i="2" s="1"/>
  <c r="C722" i="2" s="1"/>
  <c r="C723" i="2" s="1"/>
  <c r="C724" i="2" s="1"/>
  <c r="C725" i="2" s="1"/>
  <c r="C726" i="2" s="1"/>
  <c r="C727" i="2" s="1"/>
  <c r="C728" i="2" s="1"/>
  <c r="C729" i="2" s="1"/>
  <c r="C730" i="2" s="1"/>
  <c r="C731" i="2" s="1"/>
  <c r="C732" i="2" s="1"/>
  <c r="C733" i="2" s="1"/>
  <c r="C734" i="2" s="1"/>
  <c r="C735" i="2" s="1"/>
  <c r="C736" i="2" s="1"/>
  <c r="C737" i="2" s="1"/>
  <c r="C738" i="2" s="1"/>
  <c r="C739" i="2" s="1"/>
  <c r="C1079" i="2"/>
  <c r="C1080" i="2" s="1"/>
  <c r="G1080" i="2" s="1"/>
  <c r="C1064" i="2"/>
  <c r="C1065" i="2" s="1"/>
  <c r="C1066" i="2" s="1"/>
  <c r="C1067" i="2" s="1"/>
  <c r="C1068" i="2" s="1"/>
  <c r="C1069" i="2" s="1"/>
  <c r="C1070" i="2" s="1"/>
  <c r="C1071" i="2" s="1"/>
  <c r="C1072" i="2" s="1"/>
  <c r="C1073" i="2" s="1"/>
  <c r="C1074" i="2" s="1"/>
  <c r="C1075" i="2" s="1"/>
  <c r="C1076" i="2" s="1"/>
  <c r="C1077" i="2" s="1"/>
  <c r="C1078" i="2" s="1"/>
  <c r="C1295" i="2"/>
  <c r="C1296" i="2" s="1"/>
  <c r="G1296" i="2" s="1"/>
  <c r="C1267" i="2"/>
  <c r="C1268" i="2" s="1"/>
  <c r="C1269" i="2" s="1"/>
  <c r="C1270" i="2" s="1"/>
  <c r="C1271" i="2" s="1"/>
  <c r="C1272" i="2" s="1"/>
  <c r="C1273" i="2" s="1"/>
  <c r="C1274" i="2" s="1"/>
  <c r="C1275" i="2" s="1"/>
  <c r="C1276" i="2" s="1"/>
  <c r="C1277" i="2" s="1"/>
  <c r="C1278" i="2" s="1"/>
  <c r="C1279" i="2" s="1"/>
  <c r="C1280" i="2" s="1"/>
  <c r="C1281" i="2" s="1"/>
  <c r="C1282" i="2" s="1"/>
  <c r="C1283" i="2" s="1"/>
  <c r="C1284" i="2" s="1"/>
  <c r="C1285" i="2" s="1"/>
  <c r="C1286" i="2" s="1"/>
  <c r="C1287" i="2" s="1"/>
  <c r="C1288" i="2" s="1"/>
  <c r="C1289" i="2" s="1"/>
  <c r="C1290" i="2" s="1"/>
  <c r="C1291" i="2" s="1"/>
  <c r="C1292" i="2" s="1"/>
  <c r="C1293" i="2" s="1"/>
  <c r="C1294" i="2" s="1"/>
  <c r="C1427" i="2"/>
  <c r="C1428" i="2" s="1"/>
  <c r="G1428" i="2" s="1"/>
  <c r="C1410" i="2"/>
  <c r="C1411" i="2" s="1"/>
  <c r="C1412" i="2" s="1"/>
  <c r="C1413" i="2" s="1"/>
  <c r="C1414" i="2" s="1"/>
  <c r="C1415" i="2" s="1"/>
  <c r="C1416" i="2" s="1"/>
  <c r="C1417" i="2" s="1"/>
  <c r="C1418" i="2" s="1"/>
  <c r="C1419" i="2" s="1"/>
  <c r="C1420" i="2" s="1"/>
  <c r="C1421" i="2" s="1"/>
  <c r="C1422" i="2" s="1"/>
  <c r="C1423" i="2" s="1"/>
  <c r="C1424" i="2" s="1"/>
  <c r="C1425" i="2" s="1"/>
  <c r="C1426" i="2" s="1"/>
  <c r="C1688" i="2"/>
  <c r="C1689" i="2" s="1"/>
  <c r="G1689" i="2" s="1"/>
  <c r="C1641" i="2"/>
  <c r="C1642" i="2" s="1"/>
  <c r="C1643" i="2" s="1"/>
  <c r="C1644" i="2" s="1"/>
  <c r="C1645" i="2" s="1"/>
  <c r="C1646" i="2" s="1"/>
  <c r="C1647" i="2" s="1"/>
  <c r="C1648" i="2" s="1"/>
  <c r="C1649" i="2" s="1"/>
  <c r="C1650" i="2" s="1"/>
  <c r="C1651" i="2" s="1"/>
  <c r="C1652" i="2" s="1"/>
  <c r="C1653" i="2" s="1"/>
  <c r="C1654" i="2" s="1"/>
  <c r="C1655" i="2" s="1"/>
  <c r="C1656" i="2" s="1"/>
  <c r="C1657" i="2" s="1"/>
  <c r="C1658" i="2" s="1"/>
  <c r="C1659" i="2" s="1"/>
  <c r="C1660" i="2" s="1"/>
  <c r="C1661" i="2" s="1"/>
  <c r="C1662" i="2" s="1"/>
  <c r="C1663" i="2" s="1"/>
  <c r="C1664" i="2" s="1"/>
  <c r="C1665" i="2" s="1"/>
  <c r="C1666" i="2" s="1"/>
  <c r="C1667" i="2" s="1"/>
  <c r="C1668" i="2" s="1"/>
  <c r="C1669" i="2" s="1"/>
  <c r="C1670" i="2" s="1"/>
  <c r="C1671" i="2" s="1"/>
  <c r="C1672" i="2" s="1"/>
  <c r="C1673" i="2" s="1"/>
  <c r="C1674" i="2" s="1"/>
  <c r="C1675" i="2" s="1"/>
  <c r="C1676" i="2" s="1"/>
  <c r="C1677" i="2" s="1"/>
  <c r="C1678" i="2" s="1"/>
  <c r="C1679" i="2" s="1"/>
  <c r="C1680" i="2" s="1"/>
  <c r="C1681" i="2" s="1"/>
  <c r="C1682" i="2" s="1"/>
  <c r="C1683" i="2" s="1"/>
  <c r="C1684" i="2" s="1"/>
  <c r="C1685" i="2" s="1"/>
  <c r="C1686" i="2" s="1"/>
  <c r="C1687" i="2" s="1"/>
  <c r="C1797" i="2"/>
  <c r="C1798" i="2" s="1"/>
  <c r="G1798" i="2" s="1"/>
  <c r="C2492" i="2"/>
  <c r="C2493" i="2" s="1"/>
  <c r="G2493" i="2" s="1"/>
  <c r="C2469" i="2"/>
  <c r="C2470" i="2" s="1"/>
  <c r="C2471" i="2" s="1"/>
  <c r="C2472" i="2" s="1"/>
  <c r="C2473" i="2" s="1"/>
  <c r="C2474" i="2" s="1"/>
  <c r="C2475" i="2" s="1"/>
  <c r="C2476" i="2" s="1"/>
  <c r="C2477" i="2" s="1"/>
  <c r="C2478" i="2" s="1"/>
  <c r="C2479" i="2" s="1"/>
  <c r="C2480" i="2" s="1"/>
  <c r="C2481" i="2" s="1"/>
  <c r="C2482" i="2" s="1"/>
  <c r="C2483" i="2" s="1"/>
  <c r="C2484" i="2" s="1"/>
  <c r="C2485" i="2" s="1"/>
  <c r="C2486" i="2" s="1"/>
  <c r="C2487" i="2" s="1"/>
  <c r="C2488" i="2" s="1"/>
  <c r="C2489" i="2" s="1"/>
  <c r="C2490" i="2" s="1"/>
  <c r="C2491" i="2" s="1"/>
  <c r="C458" i="2"/>
  <c r="C459" i="2" s="1"/>
  <c r="G459" i="2" s="1"/>
  <c r="C442" i="2"/>
  <c r="C443" i="2" s="1"/>
  <c r="C444" i="2" s="1"/>
  <c r="C445" i="2" s="1"/>
  <c r="C446" i="2" s="1"/>
  <c r="C447" i="2" s="1"/>
  <c r="C448" i="2" s="1"/>
  <c r="C449" i="2" s="1"/>
  <c r="C450" i="2" s="1"/>
  <c r="C451" i="2" s="1"/>
  <c r="C452" i="2" s="1"/>
  <c r="C453" i="2" s="1"/>
  <c r="C454" i="2" s="1"/>
  <c r="C455" i="2" s="1"/>
  <c r="C456" i="2" s="1"/>
  <c r="C457" i="2" s="1"/>
  <c r="C524" i="2"/>
  <c r="C525" i="2" s="1"/>
  <c r="C526" i="2" s="1"/>
  <c r="C527" i="2" s="1"/>
  <c r="C528" i="2" s="1"/>
  <c r="C529" i="2" s="1"/>
  <c r="C530" i="2" s="1"/>
  <c r="C531" i="2" s="1"/>
  <c r="C532" i="2" s="1"/>
  <c r="C533" i="2" s="1"/>
  <c r="C534" i="2" s="1"/>
  <c r="C535" i="2" s="1"/>
  <c r="C536" i="2" s="1"/>
  <c r="C537" i="2" s="1"/>
  <c r="C538" i="2" s="1"/>
  <c r="C539" i="2" s="1"/>
  <c r="C540" i="2" s="1"/>
  <c r="C541" i="2" s="1"/>
  <c r="C542" i="2" s="1"/>
  <c r="C543" i="2" s="1"/>
  <c r="C544" i="2"/>
  <c r="C545" i="2" s="1"/>
  <c r="G545" i="2" s="1"/>
  <c r="C628" i="2"/>
  <c r="C629" i="2" s="1"/>
  <c r="G629" i="2" s="1"/>
  <c r="C619" i="2"/>
  <c r="C620" i="2" s="1"/>
  <c r="C621" i="2" s="1"/>
  <c r="C622" i="2" s="1"/>
  <c r="C623" i="2" s="1"/>
  <c r="C624" i="2" s="1"/>
  <c r="C625" i="2" s="1"/>
  <c r="C626" i="2" s="1"/>
  <c r="C627" i="2" s="1"/>
  <c r="C1349" i="2"/>
  <c r="C1350" i="2" s="1"/>
  <c r="C1351" i="2" s="1"/>
  <c r="C1352" i="2" s="1"/>
  <c r="C1353" i="2" s="1"/>
  <c r="C1354" i="2" s="1"/>
  <c r="C1355" i="2" s="1"/>
  <c r="C1356" i="2" s="1"/>
  <c r="C1357" i="2"/>
  <c r="C1358" i="2" s="1"/>
  <c r="G1358" i="2" s="1"/>
  <c r="C2179" i="2"/>
  <c r="C2180" i="2" s="1"/>
  <c r="G2180" i="2" s="1"/>
  <c r="C2173" i="2"/>
  <c r="C2174" i="2" s="1"/>
  <c r="C2175" i="2" s="1"/>
  <c r="C2176" i="2" s="1"/>
  <c r="C2177" i="2" s="1"/>
  <c r="C2178" i="2" s="1"/>
  <c r="C2345" i="2"/>
  <c r="C2346" i="2" s="1"/>
  <c r="C2347" i="2" s="1"/>
  <c r="C2348" i="2" s="1"/>
  <c r="C2349" i="2"/>
  <c r="C2350" i="2" s="1"/>
  <c r="G2350" i="2" s="1"/>
  <c r="C796" i="2"/>
  <c r="C797" i="2" s="1"/>
  <c r="C798" i="2" s="1"/>
  <c r="C799" i="2" s="1"/>
  <c r="C800" i="2" s="1"/>
  <c r="C801" i="2" s="1"/>
  <c r="C802" i="2" s="1"/>
  <c r="C803" i="2" s="1"/>
  <c r="C804" i="2" s="1"/>
  <c r="C805" i="2" s="1"/>
  <c r="C806" i="2" s="1"/>
  <c r="C807" i="2" s="1"/>
  <c r="C808" i="2" s="1"/>
  <c r="C809" i="2" s="1"/>
  <c r="C810" i="2" s="1"/>
  <c r="C811" i="2" s="1"/>
  <c r="C812" i="2" s="1"/>
  <c r="C813" i="2" s="1"/>
  <c r="C814" i="2" s="1"/>
  <c r="C815" i="2" s="1"/>
  <c r="C816" i="2" s="1"/>
  <c r="C817" i="2" s="1"/>
  <c r="C818" i="2" s="1"/>
  <c r="C819" i="2" s="1"/>
  <c r="C820" i="2" s="1"/>
  <c r="C821" i="2" s="1"/>
  <c r="C822" i="2" s="1"/>
  <c r="C823" i="2" s="1"/>
  <c r="C824" i="2"/>
  <c r="C825" i="2" s="1"/>
  <c r="G825" i="2" s="1"/>
  <c r="C1455" i="2"/>
  <c r="C1456" i="2" s="1"/>
  <c r="G1456" i="2" s="1"/>
  <c r="C1433" i="2"/>
  <c r="C1434" i="2" s="1"/>
  <c r="C1435" i="2" s="1"/>
  <c r="C1436" i="2" s="1"/>
  <c r="C1437" i="2" s="1"/>
  <c r="C1438" i="2" s="1"/>
  <c r="C1439" i="2" s="1"/>
  <c r="C1440" i="2" s="1"/>
  <c r="C1441" i="2" s="1"/>
  <c r="C1442" i="2" s="1"/>
  <c r="C1443" i="2" s="1"/>
  <c r="C1444" i="2" s="1"/>
  <c r="C1445" i="2" s="1"/>
  <c r="C1446" i="2" s="1"/>
  <c r="C1447" i="2" s="1"/>
  <c r="C1448" i="2" s="1"/>
  <c r="C1449" i="2" s="1"/>
  <c r="C1450" i="2" s="1"/>
  <c r="C1451" i="2" s="1"/>
  <c r="C1452" i="2" s="1"/>
  <c r="C1453" i="2" s="1"/>
  <c r="C1454" i="2" s="1"/>
  <c r="C1834" i="2"/>
  <c r="C1835" i="2" s="1"/>
  <c r="G1835" i="2" s="1"/>
  <c r="C1803" i="2"/>
  <c r="C1804" i="2" s="1"/>
  <c r="C1805" i="2" s="1"/>
  <c r="C1806" i="2" s="1"/>
  <c r="C1807" i="2" s="1"/>
  <c r="C1808" i="2" s="1"/>
  <c r="C1809" i="2" s="1"/>
  <c r="C1810" i="2" s="1"/>
  <c r="C1811" i="2" s="1"/>
  <c r="C1812" i="2" s="1"/>
  <c r="C1813" i="2" s="1"/>
  <c r="C1814" i="2" s="1"/>
  <c r="C1815" i="2" s="1"/>
  <c r="C1816" i="2" s="1"/>
  <c r="C1817" i="2" s="1"/>
  <c r="C1818" i="2" s="1"/>
  <c r="C1819" i="2" s="1"/>
  <c r="C1820" i="2" s="1"/>
  <c r="C1821" i="2" s="1"/>
  <c r="C1822" i="2" s="1"/>
  <c r="C1823" i="2" s="1"/>
  <c r="C1824" i="2" s="1"/>
  <c r="C1825" i="2" s="1"/>
  <c r="C1826" i="2" s="1"/>
  <c r="C1827" i="2" s="1"/>
  <c r="C1828" i="2" s="1"/>
  <c r="C1829" i="2" s="1"/>
  <c r="C1830" i="2" s="1"/>
  <c r="C1831" i="2" s="1"/>
  <c r="C1832" i="2" s="1"/>
  <c r="C1833" i="2" s="1"/>
  <c r="C1952" i="2"/>
  <c r="C1953" i="2" s="1"/>
  <c r="G1953" i="2" s="1"/>
  <c r="C1922" i="2"/>
  <c r="C1923" i="2" s="1"/>
  <c r="C1924" i="2" s="1"/>
  <c r="C1925" i="2" s="1"/>
  <c r="C1926" i="2" s="1"/>
  <c r="C1927" i="2" s="1"/>
  <c r="C1928" i="2" s="1"/>
  <c r="C1929" i="2" s="1"/>
  <c r="C1930" i="2" s="1"/>
  <c r="C1931" i="2" s="1"/>
  <c r="C1932" i="2" s="1"/>
  <c r="C1933" i="2" s="1"/>
  <c r="C1934" i="2" s="1"/>
  <c r="C1935" i="2" s="1"/>
  <c r="C1936" i="2" s="1"/>
  <c r="C1937" i="2" s="1"/>
  <c r="C1938" i="2" s="1"/>
  <c r="C1939" i="2" s="1"/>
  <c r="C1940" i="2" s="1"/>
  <c r="C1941" i="2" s="1"/>
  <c r="C1942" i="2" s="1"/>
  <c r="C1943" i="2" s="1"/>
  <c r="C1944" i="2" s="1"/>
  <c r="C1945" i="2" s="1"/>
  <c r="C1946" i="2" s="1"/>
  <c r="C1947" i="2" s="1"/>
  <c r="C1948" i="2" s="1"/>
  <c r="C1949" i="2" s="1"/>
  <c r="C1950" i="2" s="1"/>
  <c r="C1951" i="2" s="1"/>
  <c r="C2092" i="2"/>
  <c r="C2093" i="2" s="1"/>
  <c r="G2093" i="2" s="1"/>
  <c r="C2040" i="2"/>
  <c r="C2041" i="2" s="1"/>
  <c r="C2042" i="2" s="1"/>
  <c r="C2043" i="2" s="1"/>
  <c r="C2044" i="2" s="1"/>
  <c r="C2045" i="2" s="1"/>
  <c r="C2046" i="2" s="1"/>
  <c r="C2047" i="2" s="1"/>
  <c r="C2048" i="2" s="1"/>
  <c r="C2049" i="2" s="1"/>
  <c r="C2050" i="2" s="1"/>
  <c r="C2051" i="2" s="1"/>
  <c r="C2052" i="2" s="1"/>
  <c r="C2053" i="2" s="1"/>
  <c r="C2054" i="2" s="1"/>
  <c r="C2055" i="2" s="1"/>
  <c r="C2056" i="2" s="1"/>
  <c r="C2057" i="2" s="1"/>
  <c r="C2058" i="2" s="1"/>
  <c r="C2059" i="2" s="1"/>
  <c r="C2060" i="2" s="1"/>
  <c r="C2061" i="2" s="1"/>
  <c r="C2062" i="2" s="1"/>
  <c r="C2063" i="2" s="1"/>
  <c r="C2064" i="2" s="1"/>
  <c r="C2065" i="2" s="1"/>
  <c r="C2066" i="2" s="1"/>
  <c r="C2067" i="2" s="1"/>
  <c r="C2068" i="2" s="1"/>
  <c r="C2069" i="2" s="1"/>
  <c r="C2070" i="2" s="1"/>
  <c r="C2071" i="2" s="1"/>
  <c r="C2072" i="2" s="1"/>
  <c r="C2073" i="2" s="1"/>
  <c r="C2074" i="2" s="1"/>
  <c r="C2075" i="2" s="1"/>
  <c r="C2076" i="2" s="1"/>
  <c r="C2077" i="2" s="1"/>
  <c r="C2078" i="2" s="1"/>
  <c r="C2079" i="2" s="1"/>
  <c r="C2080" i="2" s="1"/>
  <c r="C2081" i="2" s="1"/>
  <c r="C2082" i="2" s="1"/>
  <c r="C2083" i="2" s="1"/>
  <c r="C2084" i="2" s="1"/>
  <c r="C2085" i="2" s="1"/>
  <c r="C2086" i="2" s="1"/>
  <c r="C2087" i="2" s="1"/>
  <c r="C2088" i="2" s="1"/>
  <c r="C2089" i="2" s="1"/>
  <c r="C2090" i="2" s="1"/>
  <c r="C2091" i="2" s="1"/>
  <c r="C2410" i="2"/>
  <c r="C2411" i="2" s="1"/>
  <c r="C2412" i="2" s="1"/>
  <c r="C2413" i="2" s="1"/>
  <c r="C2414" i="2" s="1"/>
  <c r="C2415" i="2" s="1"/>
  <c r="C2416" i="2" s="1"/>
  <c r="C2417" i="2" s="1"/>
  <c r="C2418" i="2" s="1"/>
  <c r="C2419" i="2" s="1"/>
  <c r="C2420" i="2" s="1"/>
  <c r="C2421" i="2" s="1"/>
  <c r="C2422" i="2" s="1"/>
  <c r="C2423" i="2" s="1"/>
  <c r="C2424" i="2" s="1"/>
  <c r="C2425" i="2" s="1"/>
  <c r="C2426" i="2"/>
  <c r="C2427" i="2" s="1"/>
  <c r="G2427" i="2" s="1"/>
  <c r="C2521" i="2"/>
  <c r="C2522" i="2" s="1"/>
  <c r="G2522" i="2" s="1"/>
  <c r="C2498" i="2"/>
  <c r="C2499" i="2" s="1"/>
  <c r="C2500" i="2" s="1"/>
  <c r="C2501" i="2" s="1"/>
  <c r="C2502" i="2" s="1"/>
  <c r="C2503" i="2" s="1"/>
  <c r="C2504" i="2" s="1"/>
  <c r="C2505" i="2" s="1"/>
  <c r="C2506" i="2" s="1"/>
  <c r="C2507" i="2" s="1"/>
  <c r="C2508" i="2" s="1"/>
  <c r="C2509" i="2" s="1"/>
  <c r="C2510" i="2" s="1"/>
  <c r="C2511" i="2" s="1"/>
  <c r="C2512" i="2" s="1"/>
  <c r="C2513" i="2" s="1"/>
  <c r="C2514" i="2" s="1"/>
  <c r="C2515" i="2" s="1"/>
  <c r="C2516" i="2" s="1"/>
  <c r="C2517" i="2" s="1"/>
  <c r="C2518" i="2" s="1"/>
  <c r="C2519" i="2" s="1"/>
  <c r="C2520" i="2" s="1"/>
  <c r="C2635" i="2"/>
  <c r="C2636" i="2" s="1"/>
  <c r="G2636" i="2" s="1"/>
  <c r="C1150" i="2"/>
  <c r="C1151" i="2" s="1"/>
  <c r="G1151" i="2" s="1"/>
  <c r="C1142" i="2"/>
  <c r="C1143" i="2" s="1"/>
  <c r="C1144" i="2" s="1"/>
  <c r="C1145" i="2" s="1"/>
  <c r="C1146" i="2" s="1"/>
  <c r="C1147" i="2" s="1"/>
  <c r="C1148" i="2" s="1"/>
  <c r="C1149" i="2" s="1"/>
  <c r="C2404" i="2"/>
  <c r="C2405" i="2" s="1"/>
  <c r="G2405" i="2" s="1"/>
  <c r="C2382" i="2"/>
  <c r="C2383" i="2" s="1"/>
  <c r="C2384" i="2" s="1"/>
  <c r="C2385" i="2" s="1"/>
  <c r="C2386" i="2" s="1"/>
  <c r="C2387" i="2" s="1"/>
  <c r="C2388" i="2" s="1"/>
  <c r="C2389" i="2" s="1"/>
  <c r="C2390" i="2" s="1"/>
  <c r="C2391" i="2" s="1"/>
  <c r="C2392" i="2" s="1"/>
  <c r="C2393" i="2" s="1"/>
  <c r="C2394" i="2" s="1"/>
  <c r="C2395" i="2" s="1"/>
  <c r="C2396" i="2" s="1"/>
  <c r="C2397" i="2" s="1"/>
  <c r="C2398" i="2" s="1"/>
  <c r="C2399" i="2" s="1"/>
  <c r="C2400" i="2" s="1"/>
  <c r="C2401" i="2" s="1"/>
  <c r="C2402" i="2" s="1"/>
  <c r="C2403" i="2" s="1"/>
  <c r="C2959" i="2"/>
  <c r="C2960" i="2" s="1"/>
  <c r="G2960" i="2" s="1"/>
  <c r="C2914" i="2"/>
  <c r="C252" i="2"/>
  <c r="C253" i="2" s="1"/>
  <c r="G253" i="2" s="1"/>
  <c r="C237" i="2"/>
  <c r="C238" i="2" s="1"/>
  <c r="C239" i="2" s="1"/>
  <c r="C240" i="2" s="1"/>
  <c r="C241" i="2" s="1"/>
  <c r="C242" i="2" s="1"/>
  <c r="C243" i="2" s="1"/>
  <c r="C244" i="2" s="1"/>
  <c r="C245" i="2" s="1"/>
  <c r="C246" i="2" s="1"/>
  <c r="C247" i="2" s="1"/>
  <c r="C248" i="2" s="1"/>
  <c r="C249" i="2" s="1"/>
  <c r="C250" i="2" s="1"/>
  <c r="C251" i="2" s="1"/>
  <c r="C518" i="2"/>
  <c r="C519" i="2" s="1"/>
  <c r="G519" i="2" s="1"/>
  <c r="C499" i="2"/>
  <c r="C500" i="2" s="1"/>
  <c r="C501" i="2" s="1"/>
  <c r="C502" i="2" s="1"/>
  <c r="C503" i="2" s="1"/>
  <c r="C504" i="2" s="1"/>
  <c r="C505" i="2" s="1"/>
  <c r="C506" i="2" s="1"/>
  <c r="C507" i="2" s="1"/>
  <c r="C508" i="2" s="1"/>
  <c r="C509" i="2" s="1"/>
  <c r="C510" i="2" s="1"/>
  <c r="C511" i="2" s="1"/>
  <c r="C512" i="2" s="1"/>
  <c r="C513" i="2" s="1"/>
  <c r="C514" i="2" s="1"/>
  <c r="C515" i="2" s="1"/>
  <c r="C516" i="2" s="1"/>
  <c r="C517" i="2" s="1"/>
  <c r="C584" i="2"/>
  <c r="C585" i="2" s="1"/>
  <c r="G585" i="2" s="1"/>
  <c r="C550" i="2"/>
  <c r="C551" i="2" s="1"/>
  <c r="C552" i="2" s="1"/>
  <c r="C553" i="2" s="1"/>
  <c r="C554" i="2" s="1"/>
  <c r="C555" i="2" s="1"/>
  <c r="C556" i="2" s="1"/>
  <c r="C557" i="2" s="1"/>
  <c r="C558" i="2" s="1"/>
  <c r="C559" i="2" s="1"/>
  <c r="C560" i="2" s="1"/>
  <c r="C561" i="2" s="1"/>
  <c r="C562" i="2" s="1"/>
  <c r="C563" i="2" s="1"/>
  <c r="C564" i="2" s="1"/>
  <c r="C565" i="2" s="1"/>
  <c r="C566" i="2" s="1"/>
  <c r="C567" i="2" s="1"/>
  <c r="C568" i="2" s="1"/>
  <c r="C569" i="2" s="1"/>
  <c r="C570" i="2" s="1"/>
  <c r="C571" i="2" s="1"/>
  <c r="C572" i="2" s="1"/>
  <c r="C573" i="2" s="1"/>
  <c r="C574" i="2" s="1"/>
  <c r="C575" i="2" s="1"/>
  <c r="C576" i="2" s="1"/>
  <c r="C577" i="2" s="1"/>
  <c r="C578" i="2" s="1"/>
  <c r="C579" i="2" s="1"/>
  <c r="C580" i="2" s="1"/>
  <c r="C581" i="2" s="1"/>
  <c r="C582" i="2" s="1"/>
  <c r="C583" i="2" s="1"/>
  <c r="C1191" i="2"/>
  <c r="C1192" i="2" s="1"/>
  <c r="G1192" i="2" s="1"/>
  <c r="C1156" i="2"/>
  <c r="C1157" i="2" s="1"/>
  <c r="C1158" i="2" s="1"/>
  <c r="C1159" i="2" s="1"/>
  <c r="C1160" i="2" s="1"/>
  <c r="C1161" i="2" s="1"/>
  <c r="C1162" i="2" s="1"/>
  <c r="C1163" i="2" s="1"/>
  <c r="C1164" i="2" s="1"/>
  <c r="C1165" i="2" s="1"/>
  <c r="C1166" i="2" s="1"/>
  <c r="C1167" i="2" s="1"/>
  <c r="C1168" i="2" s="1"/>
  <c r="C1169" i="2" s="1"/>
  <c r="C1170" i="2" s="1"/>
  <c r="C1171" i="2" s="1"/>
  <c r="C1172" i="2" s="1"/>
  <c r="C1173" i="2" s="1"/>
  <c r="C1174" i="2" s="1"/>
  <c r="C1175" i="2" s="1"/>
  <c r="C1176" i="2" s="1"/>
  <c r="C1177" i="2" s="1"/>
  <c r="C1178" i="2" s="1"/>
  <c r="C1179" i="2" s="1"/>
  <c r="C1180" i="2" s="1"/>
  <c r="C1181" i="2" s="1"/>
  <c r="C1182" i="2" s="1"/>
  <c r="C1183" i="2" s="1"/>
  <c r="C1184" i="2" s="1"/>
  <c r="C1185" i="2" s="1"/>
  <c r="C1186" i="2" s="1"/>
  <c r="C1187" i="2" s="1"/>
  <c r="C1188" i="2" s="1"/>
  <c r="C1189" i="2" s="1"/>
  <c r="C1190" i="2" s="1"/>
  <c r="C1390" i="2"/>
  <c r="C1391" i="2" s="1"/>
  <c r="G1391" i="2" s="1"/>
  <c r="C1363" i="2"/>
  <c r="C1364" i="2" s="1"/>
  <c r="C1365" i="2" s="1"/>
  <c r="C1366" i="2" s="1"/>
  <c r="C1367" i="2" s="1"/>
  <c r="C1368" i="2" s="1"/>
  <c r="C1369" i="2" s="1"/>
  <c r="C1370" i="2" s="1"/>
  <c r="C1371" i="2" s="1"/>
  <c r="C1372" i="2" s="1"/>
  <c r="C1373" i="2" s="1"/>
  <c r="C1374" i="2" s="1"/>
  <c r="C1375" i="2" s="1"/>
  <c r="C1376" i="2" s="1"/>
  <c r="C1377" i="2" s="1"/>
  <c r="C1378" i="2" s="1"/>
  <c r="C1379" i="2" s="1"/>
  <c r="C1380" i="2" s="1"/>
  <c r="C1381" i="2" s="1"/>
  <c r="C1382" i="2" s="1"/>
  <c r="C1383" i="2" s="1"/>
  <c r="C1384" i="2" s="1"/>
  <c r="C1385" i="2" s="1"/>
  <c r="C1386" i="2" s="1"/>
  <c r="C1387" i="2" s="1"/>
  <c r="C1388" i="2" s="1"/>
  <c r="C1389" i="2" s="1"/>
  <c r="C1592" i="2"/>
  <c r="C1593" i="2" s="1"/>
  <c r="G1593" i="2" s="1"/>
  <c r="C1567" i="2"/>
  <c r="C1568" i="2" s="1"/>
  <c r="C1569" i="2" s="1"/>
  <c r="C1570" i="2" s="1"/>
  <c r="C1571" i="2" s="1"/>
  <c r="C1572" i="2" s="1"/>
  <c r="C1573" i="2" s="1"/>
  <c r="C1574" i="2" s="1"/>
  <c r="C1575" i="2" s="1"/>
  <c r="C1576" i="2" s="1"/>
  <c r="C1577" i="2" s="1"/>
  <c r="C1578" i="2" s="1"/>
  <c r="C1579" i="2" s="1"/>
  <c r="C1580" i="2" s="1"/>
  <c r="C1581" i="2" s="1"/>
  <c r="C1582" i="2" s="1"/>
  <c r="C1583" i="2" s="1"/>
  <c r="C1584" i="2" s="1"/>
  <c r="C1585" i="2" s="1"/>
  <c r="C1586" i="2" s="1"/>
  <c r="C1587" i="2" s="1"/>
  <c r="C1588" i="2" s="1"/>
  <c r="C1589" i="2" s="1"/>
  <c r="C1590" i="2" s="1"/>
  <c r="C1591" i="2" s="1"/>
  <c r="C2130" i="2"/>
  <c r="C2131" i="2" s="1"/>
  <c r="G2131" i="2" s="1"/>
  <c r="C2098" i="2"/>
  <c r="C2099" i="2" s="1"/>
  <c r="C2100" i="2" s="1"/>
  <c r="C2101" i="2" s="1"/>
  <c r="C2102" i="2" s="1"/>
  <c r="C2103" i="2" s="1"/>
  <c r="C2104" i="2" s="1"/>
  <c r="C2105" i="2" s="1"/>
  <c r="C2106" i="2" s="1"/>
  <c r="C2107" i="2" s="1"/>
  <c r="C2108" i="2" s="1"/>
  <c r="C2109" i="2" s="1"/>
  <c r="C2110" i="2" s="1"/>
  <c r="C2111" i="2" s="1"/>
  <c r="C2112" i="2" s="1"/>
  <c r="C2113" i="2" s="1"/>
  <c r="C2114" i="2" s="1"/>
  <c r="C2115" i="2" s="1"/>
  <c r="C2116" i="2" s="1"/>
  <c r="C2117" i="2" s="1"/>
  <c r="C2118" i="2" s="1"/>
  <c r="C2119" i="2" s="1"/>
  <c r="C2120" i="2" s="1"/>
  <c r="C2121" i="2" s="1"/>
  <c r="C2122" i="2" s="1"/>
  <c r="C2123" i="2" s="1"/>
  <c r="C2124" i="2" s="1"/>
  <c r="C2125" i="2" s="1"/>
  <c r="C2126" i="2" s="1"/>
  <c r="C2127" i="2" s="1"/>
  <c r="C2128" i="2" s="1"/>
  <c r="C2129" i="2" s="1"/>
  <c r="C2304" i="2"/>
  <c r="C2305" i="2" s="1"/>
  <c r="G2305" i="2" s="1"/>
  <c r="C2269" i="2"/>
  <c r="C2270" i="2" s="1"/>
  <c r="C2271" i="2" s="1"/>
  <c r="C2272" i="2" s="1"/>
  <c r="C2273" i="2" s="1"/>
  <c r="C2274" i="2" s="1"/>
  <c r="C2275" i="2" s="1"/>
  <c r="C2276" i="2" s="1"/>
  <c r="C2277" i="2" s="1"/>
  <c r="C2278" i="2" s="1"/>
  <c r="C2279" i="2" s="1"/>
  <c r="C2280" i="2" s="1"/>
  <c r="C2281" i="2" s="1"/>
  <c r="C2282" i="2" s="1"/>
  <c r="C2283" i="2" s="1"/>
  <c r="C2284" i="2" s="1"/>
  <c r="C2285" i="2" s="1"/>
  <c r="C2286" i="2" s="1"/>
  <c r="C2287" i="2" s="1"/>
  <c r="C2288" i="2" s="1"/>
  <c r="C2289" i="2" s="1"/>
  <c r="C2290" i="2" s="1"/>
  <c r="C2291" i="2" s="1"/>
  <c r="C2292" i="2" s="1"/>
  <c r="C2293" i="2" s="1"/>
  <c r="C2294" i="2" s="1"/>
  <c r="C2295" i="2" s="1"/>
  <c r="C2296" i="2" s="1"/>
  <c r="C2297" i="2" s="1"/>
  <c r="C2298" i="2" s="1"/>
  <c r="C2299" i="2" s="1"/>
  <c r="C2300" i="2" s="1"/>
  <c r="C2301" i="2" s="1"/>
  <c r="C2302" i="2" s="1"/>
  <c r="C2303" i="2" s="1"/>
  <c r="C1058" i="2"/>
  <c r="C1059" i="2" s="1"/>
  <c r="G1059" i="2" s="1"/>
  <c r="C1019" i="2"/>
  <c r="C1020" i="2" s="1"/>
  <c r="C1021" i="2" s="1"/>
  <c r="C1022" i="2" s="1"/>
  <c r="C1023" i="2" s="1"/>
  <c r="C1024" i="2" s="1"/>
  <c r="C1025" i="2" s="1"/>
  <c r="C1026" i="2" s="1"/>
  <c r="C1027" i="2" s="1"/>
  <c r="C1028" i="2" s="1"/>
  <c r="C1029" i="2" s="1"/>
  <c r="C1030" i="2" s="1"/>
  <c r="C1031" i="2" s="1"/>
  <c r="C1032" i="2" s="1"/>
  <c r="C1033" i="2" s="1"/>
  <c r="C1034" i="2" s="1"/>
  <c r="C1035" i="2" s="1"/>
  <c r="C1036" i="2" s="1"/>
  <c r="C1037" i="2" s="1"/>
  <c r="C1038" i="2" s="1"/>
  <c r="C1039" i="2" s="1"/>
  <c r="C1040" i="2" s="1"/>
  <c r="C1041" i="2" s="1"/>
  <c r="C1042" i="2" s="1"/>
  <c r="C1043" i="2" s="1"/>
  <c r="C1044" i="2" s="1"/>
  <c r="C1045" i="2" s="1"/>
  <c r="C1046" i="2" s="1"/>
  <c r="C1047" i="2" s="1"/>
  <c r="C1048" i="2" s="1"/>
  <c r="C1049" i="2" s="1"/>
  <c r="C1050" i="2" s="1"/>
  <c r="C1051" i="2" s="1"/>
  <c r="C1052" i="2" s="1"/>
  <c r="C1053" i="2" s="1"/>
  <c r="C1054" i="2" s="1"/>
  <c r="C1055" i="2" s="1"/>
  <c r="C1056" i="2" s="1"/>
  <c r="C1057" i="2" s="1"/>
  <c r="C1840" i="2"/>
  <c r="C1841" i="2" s="1"/>
  <c r="C1842" i="2" s="1"/>
  <c r="C1843" i="2" s="1"/>
  <c r="C1844" i="2" s="1"/>
  <c r="C1845" i="2" s="1"/>
  <c r="C1846" i="2" s="1"/>
  <c r="C1847" i="2" s="1"/>
  <c r="C1848" i="2" s="1"/>
  <c r="C1849" i="2" s="1"/>
  <c r="C1850" i="2"/>
  <c r="C1851" i="2" s="1"/>
  <c r="G1851" i="2" s="1"/>
  <c r="C310" i="2"/>
  <c r="C311" i="2" s="1"/>
  <c r="G311" i="2" s="1"/>
  <c r="C298" i="2"/>
  <c r="C299" i="2" s="1"/>
  <c r="C300" i="2" s="1"/>
  <c r="C301" i="2" s="1"/>
  <c r="C302" i="2" s="1"/>
  <c r="C303" i="2" s="1"/>
  <c r="C304" i="2" s="1"/>
  <c r="C305" i="2" s="1"/>
  <c r="C306" i="2" s="1"/>
  <c r="C307" i="2" s="1"/>
  <c r="C308" i="2" s="1"/>
  <c r="C309" i="2" s="1"/>
  <c r="C767" i="2"/>
  <c r="C768" i="2" s="1"/>
  <c r="G768" i="2" s="1"/>
  <c r="C746" i="2"/>
  <c r="C747" i="2" s="1"/>
  <c r="C748" i="2" s="1"/>
  <c r="C749" i="2" s="1"/>
  <c r="C750" i="2" s="1"/>
  <c r="C751" i="2" s="1"/>
  <c r="C752" i="2" s="1"/>
  <c r="C753" i="2" s="1"/>
  <c r="C754" i="2" s="1"/>
  <c r="C755" i="2" s="1"/>
  <c r="C756" i="2" s="1"/>
  <c r="C757" i="2" s="1"/>
  <c r="C758" i="2" s="1"/>
  <c r="C759" i="2" s="1"/>
  <c r="C760" i="2" s="1"/>
  <c r="C761" i="2" s="1"/>
  <c r="C762" i="2" s="1"/>
  <c r="C763" i="2" s="1"/>
  <c r="C764" i="2" s="1"/>
  <c r="C765" i="2" s="1"/>
  <c r="C766" i="2" s="1"/>
  <c r="C2846" i="2"/>
  <c r="C2847" i="2" s="1"/>
  <c r="G2847" i="2" s="1"/>
  <c r="C2776" i="2"/>
  <c r="C2777" i="2" s="1"/>
  <c r="C2778" i="2" s="1"/>
  <c r="C2779" i="2" s="1"/>
  <c r="C2780" i="2" s="1"/>
  <c r="C2781" i="2" s="1"/>
  <c r="C2782" i="2" s="1"/>
  <c r="C2783" i="2" s="1"/>
  <c r="C2784" i="2" s="1"/>
  <c r="C2785" i="2" s="1"/>
  <c r="C2786" i="2" s="1"/>
  <c r="C2787" i="2" s="1"/>
  <c r="C2788" i="2" s="1"/>
  <c r="C2789" i="2" s="1"/>
  <c r="C2790" i="2" s="1"/>
  <c r="C2791" i="2" s="1"/>
  <c r="C2792" i="2" s="1"/>
  <c r="C2793" i="2" s="1"/>
  <c r="C2794" i="2" s="1"/>
  <c r="C2795" i="2" s="1"/>
  <c r="C2796" i="2" s="1"/>
  <c r="C2797" i="2" s="1"/>
  <c r="C2798" i="2" s="1"/>
  <c r="C2799" i="2" s="1"/>
  <c r="C2800" i="2" s="1"/>
  <c r="C2801" i="2" s="1"/>
  <c r="C2802" i="2" s="1"/>
  <c r="C2803" i="2" s="1"/>
  <c r="C2804" i="2" s="1"/>
  <c r="C2805" i="2" s="1"/>
  <c r="C2806" i="2" s="1"/>
  <c r="C2807" i="2" s="1"/>
  <c r="C2808" i="2" s="1"/>
  <c r="C2809" i="2" s="1"/>
  <c r="C2810" i="2" s="1"/>
  <c r="C2811" i="2" s="1"/>
  <c r="C2812" i="2" s="1"/>
  <c r="C2813" i="2" s="1"/>
  <c r="C2814" i="2" s="1"/>
  <c r="C2815" i="2" s="1"/>
  <c r="C2816" i="2" s="1"/>
  <c r="C2817" i="2" s="1"/>
  <c r="C2818" i="2" s="1"/>
  <c r="C2819" i="2" s="1"/>
  <c r="C2820" i="2" s="1"/>
  <c r="C2821" i="2" s="1"/>
  <c r="C2822" i="2" s="1"/>
  <c r="C2823" i="2" s="1"/>
  <c r="C2824" i="2" s="1"/>
  <c r="C2825" i="2" s="1"/>
  <c r="C2826" i="2" s="1"/>
  <c r="C2827" i="2" s="1"/>
  <c r="C2828" i="2" s="1"/>
  <c r="C2829" i="2" s="1"/>
  <c r="C2830" i="2" s="1"/>
  <c r="C2831" i="2" s="1"/>
  <c r="C2832" i="2" s="1"/>
  <c r="C2833" i="2" s="1"/>
  <c r="C2834" i="2" s="1"/>
  <c r="C2835" i="2" s="1"/>
  <c r="C2836" i="2" s="1"/>
  <c r="C2837" i="2" s="1"/>
  <c r="C2838" i="2" s="1"/>
  <c r="C2839" i="2" s="1"/>
  <c r="C2840" i="2" s="1"/>
  <c r="C2841" i="2" s="1"/>
  <c r="C2842" i="2" s="1"/>
  <c r="C2843" i="2" s="1"/>
  <c r="C2844" i="2" s="1"/>
  <c r="C2845" i="2" s="1"/>
  <c r="C270" i="2"/>
  <c r="C271" i="2" s="1"/>
  <c r="G271" i="2" s="1"/>
  <c r="C258" i="2"/>
  <c r="C259" i="2" s="1"/>
  <c r="C260" i="2" s="1"/>
  <c r="C261" i="2" s="1"/>
  <c r="C262" i="2" s="1"/>
  <c r="C263" i="2" s="1"/>
  <c r="C264" i="2" s="1"/>
  <c r="C265" i="2" s="1"/>
  <c r="C266" i="2" s="1"/>
  <c r="C267" i="2" s="1"/>
  <c r="C268" i="2" s="1"/>
  <c r="C269" i="2" s="1"/>
  <c r="C2339" i="2"/>
  <c r="C2340" i="2" s="1"/>
  <c r="G2340" i="2" s="1"/>
  <c r="C2310" i="2"/>
  <c r="C2311" i="2" s="1"/>
  <c r="C2312" i="2" s="1"/>
  <c r="C2313" i="2" s="1"/>
  <c r="C2314" i="2" s="1"/>
  <c r="C2315" i="2" s="1"/>
  <c r="C2316" i="2" s="1"/>
  <c r="C2317" i="2" s="1"/>
  <c r="C2318" i="2" s="1"/>
  <c r="C2319" i="2" s="1"/>
  <c r="C2320" i="2" s="1"/>
  <c r="C2321" i="2" s="1"/>
  <c r="C2322" i="2" s="1"/>
  <c r="C2323" i="2" s="1"/>
  <c r="C2324" i="2" s="1"/>
  <c r="C2325" i="2" s="1"/>
  <c r="C2326" i="2" s="1"/>
  <c r="C2327" i="2" s="1"/>
  <c r="C2328" i="2" s="1"/>
  <c r="C2329" i="2" s="1"/>
  <c r="C2330" i="2" s="1"/>
  <c r="C2331" i="2" s="1"/>
  <c r="C2332" i="2" s="1"/>
  <c r="C2333" i="2" s="1"/>
  <c r="C2334" i="2" s="1"/>
  <c r="C2335" i="2" s="1"/>
  <c r="C2336" i="2" s="1"/>
  <c r="C2337" i="2" s="1"/>
  <c r="C2338" i="2" s="1"/>
  <c r="C292" i="2"/>
  <c r="C293" i="2" s="1"/>
  <c r="G293" i="2" s="1"/>
  <c r="C276" i="2"/>
  <c r="C277" i="2" s="1"/>
  <c r="C278" i="2" s="1"/>
  <c r="C279" i="2" s="1"/>
  <c r="C280" i="2" s="1"/>
  <c r="C281" i="2" s="1"/>
  <c r="C282" i="2" s="1"/>
  <c r="C283" i="2" s="1"/>
  <c r="C284" i="2" s="1"/>
  <c r="C285" i="2" s="1"/>
  <c r="C286" i="2" s="1"/>
  <c r="C287" i="2" s="1"/>
  <c r="C288" i="2" s="1"/>
  <c r="C289" i="2" s="1"/>
  <c r="C290" i="2" s="1"/>
  <c r="C291" i="2" s="1"/>
  <c r="C2463" i="2"/>
  <c r="C2464" i="2" s="1"/>
  <c r="G2464" i="2" s="1"/>
  <c r="C2432" i="2"/>
  <c r="C2433" i="2" s="1"/>
  <c r="C2434" i="2" s="1"/>
  <c r="C2435" i="2" s="1"/>
  <c r="C2436" i="2" s="1"/>
  <c r="C2437" i="2" s="1"/>
  <c r="C2438" i="2" s="1"/>
  <c r="C2439" i="2" s="1"/>
  <c r="C2440" i="2" s="1"/>
  <c r="C2441" i="2" s="1"/>
  <c r="C2442" i="2" s="1"/>
  <c r="C2443" i="2" s="1"/>
  <c r="C2444" i="2" s="1"/>
  <c r="C2445" i="2" s="1"/>
  <c r="C2446" i="2" s="1"/>
  <c r="C2447" i="2" s="1"/>
  <c r="C2448" i="2" s="1"/>
  <c r="C2449" i="2" s="1"/>
  <c r="C2450" i="2" s="1"/>
  <c r="C2451" i="2" s="1"/>
  <c r="C2452" i="2" s="1"/>
  <c r="C2453" i="2" s="1"/>
  <c r="C2454" i="2" s="1"/>
  <c r="C2455" i="2" s="1"/>
  <c r="C2456" i="2" s="1"/>
  <c r="C2457" i="2" s="1"/>
  <c r="C2458" i="2" s="1"/>
  <c r="C2459" i="2" s="1"/>
  <c r="C2460" i="2" s="1"/>
  <c r="C2461" i="2" s="1"/>
  <c r="C2462" i="2" s="1"/>
  <c r="C220" i="2"/>
  <c r="C221" i="2" s="1"/>
  <c r="G221" i="2" s="1"/>
  <c r="C182" i="2"/>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362" i="2"/>
  <c r="C363" i="2" s="1"/>
  <c r="G363" i="2" s="1"/>
  <c r="C351" i="2"/>
  <c r="C352" i="2" s="1"/>
  <c r="C353" i="2" s="1"/>
  <c r="C354" i="2" s="1"/>
  <c r="C355" i="2" s="1"/>
  <c r="C356" i="2" s="1"/>
  <c r="C357" i="2" s="1"/>
  <c r="C358" i="2" s="1"/>
  <c r="C359" i="2" s="1"/>
  <c r="C360" i="2" s="1"/>
  <c r="C361" i="2" s="1"/>
  <c r="C493" i="2"/>
  <c r="C494" i="2" s="1"/>
  <c r="G494" i="2" s="1"/>
  <c r="C464" i="2"/>
  <c r="C465" i="2" s="1"/>
  <c r="C466" i="2" s="1"/>
  <c r="C467" i="2" s="1"/>
  <c r="C468" i="2" s="1"/>
  <c r="C469" i="2" s="1"/>
  <c r="C470" i="2" s="1"/>
  <c r="C471" i="2" s="1"/>
  <c r="C472" i="2" s="1"/>
  <c r="C473" i="2" s="1"/>
  <c r="C474" i="2" s="1"/>
  <c r="C475" i="2" s="1"/>
  <c r="C476" i="2" s="1"/>
  <c r="C477" i="2" s="1"/>
  <c r="C478" i="2" s="1"/>
  <c r="C479" i="2" s="1"/>
  <c r="C480" i="2" s="1"/>
  <c r="C481" i="2" s="1"/>
  <c r="C482" i="2" s="1"/>
  <c r="C483" i="2" s="1"/>
  <c r="C484" i="2" s="1"/>
  <c r="C485" i="2" s="1"/>
  <c r="C486" i="2" s="1"/>
  <c r="C487" i="2" s="1"/>
  <c r="C488" i="2" s="1"/>
  <c r="C489" i="2" s="1"/>
  <c r="C490" i="2" s="1"/>
  <c r="C491" i="2" s="1"/>
  <c r="C492" i="2" s="1"/>
  <c r="C2770" i="2"/>
  <c r="C2771" i="2" s="1"/>
  <c r="G2771" i="2" s="1"/>
  <c r="C2736" i="2"/>
  <c r="C2737" i="2" s="1"/>
  <c r="C2738" i="2" s="1"/>
  <c r="C2739" i="2" s="1"/>
  <c r="C2740" i="2" s="1"/>
  <c r="C2741" i="2" s="1"/>
  <c r="C2742" i="2" s="1"/>
  <c r="C2743" i="2" s="1"/>
  <c r="C2744" i="2" s="1"/>
  <c r="C2745" i="2" s="1"/>
  <c r="C2746" i="2" s="1"/>
  <c r="C2747" i="2" s="1"/>
  <c r="C2748" i="2" s="1"/>
  <c r="C2749" i="2" s="1"/>
  <c r="C2750" i="2" s="1"/>
  <c r="C2751" i="2" s="1"/>
  <c r="C2752" i="2" s="1"/>
  <c r="C2753" i="2" s="1"/>
  <c r="C2754" i="2" s="1"/>
  <c r="C2755" i="2" s="1"/>
  <c r="C2756" i="2" s="1"/>
  <c r="C2757" i="2" s="1"/>
  <c r="C2758" i="2" s="1"/>
  <c r="C2759" i="2" s="1"/>
  <c r="C2760" i="2" s="1"/>
  <c r="C2761" i="2" s="1"/>
  <c r="C2762" i="2" s="1"/>
  <c r="C2763" i="2" s="1"/>
  <c r="C2764" i="2" s="1"/>
  <c r="C2765" i="2" s="1"/>
  <c r="C2766" i="2" s="1"/>
  <c r="C2767" i="2" s="1"/>
  <c r="C2768" i="2" s="1"/>
  <c r="C2769" i="2" s="1"/>
  <c r="C2906" i="2"/>
  <c r="C2907" i="2" s="1"/>
  <c r="C388" i="2"/>
  <c r="C389" i="2" s="1"/>
  <c r="G389" i="2" s="1"/>
  <c r="C368" i="2"/>
  <c r="C685" i="2"/>
  <c r="C686" i="2" s="1"/>
  <c r="G686" i="2" s="1"/>
  <c r="C987" i="2"/>
  <c r="C988" i="2" s="1"/>
  <c r="G988" i="2" s="1"/>
  <c r="C1509" i="2"/>
  <c r="C1510" i="2" s="1"/>
  <c r="G1510" i="2" s="1"/>
  <c r="C1988" i="2"/>
  <c r="C1989" i="2" s="1"/>
  <c r="G1989" i="2" s="1"/>
  <c r="C1958" i="2"/>
  <c r="C1959" i="2" s="1"/>
  <c r="C1960" i="2" s="1"/>
  <c r="C1961" i="2" s="1"/>
  <c r="C1962" i="2" s="1"/>
  <c r="C1963" i="2" s="1"/>
  <c r="C1964" i="2" s="1"/>
  <c r="C1965" i="2" s="1"/>
  <c r="C1966" i="2" s="1"/>
  <c r="C1967" i="2" s="1"/>
  <c r="C1968" i="2" s="1"/>
  <c r="C1969" i="2" s="1"/>
  <c r="C1970" i="2" s="1"/>
  <c r="C1971" i="2" s="1"/>
  <c r="C1972" i="2" s="1"/>
  <c r="C1973" i="2" s="1"/>
  <c r="C1974" i="2" s="1"/>
  <c r="C1975" i="2" s="1"/>
  <c r="C1976" i="2" s="1"/>
  <c r="C1977" i="2" s="1"/>
  <c r="C1978" i="2" s="1"/>
  <c r="C1979" i="2" s="1"/>
  <c r="C1980" i="2" s="1"/>
  <c r="C1981" i="2" s="1"/>
  <c r="C1982" i="2" s="1"/>
  <c r="C1983" i="2" s="1"/>
  <c r="C1984" i="2" s="1"/>
  <c r="C1985" i="2" s="1"/>
  <c r="C1986" i="2" s="1"/>
  <c r="C1987" i="2" s="1"/>
  <c r="C436" i="2"/>
  <c r="C437" i="2" s="1"/>
  <c r="G437" i="2" s="1"/>
  <c r="C394" i="2"/>
  <c r="C2852" i="2"/>
  <c r="C1343" i="2"/>
  <c r="C1344" i="2" s="1"/>
  <c r="G1344" i="2" s="1"/>
  <c r="C1301" i="2"/>
  <c r="C2034" i="2"/>
  <c r="C2035" i="2" s="1"/>
  <c r="G2035" i="2" s="1"/>
  <c r="C1994" i="2"/>
  <c r="C1995" i="2" s="1"/>
  <c r="C1996" i="2" s="1"/>
  <c r="C1997" i="2" s="1"/>
  <c r="C1998" i="2" s="1"/>
  <c r="C1999" i="2" s="1"/>
  <c r="C2000" i="2" s="1"/>
  <c r="C2001" i="2" s="1"/>
  <c r="C2002" i="2" s="1"/>
  <c r="C2003" i="2" s="1"/>
  <c r="C2004" i="2" s="1"/>
  <c r="C2005" i="2" s="1"/>
  <c r="C2006" i="2" s="1"/>
  <c r="C2007" i="2" s="1"/>
  <c r="C2008" i="2" s="1"/>
  <c r="C2009" i="2" s="1"/>
  <c r="C2010" i="2" s="1"/>
  <c r="C2011" i="2" s="1"/>
  <c r="C2012" i="2" s="1"/>
  <c r="C2013" i="2" s="1"/>
  <c r="C2014" i="2" s="1"/>
  <c r="C2015" i="2" s="1"/>
  <c r="C2016" i="2" s="1"/>
  <c r="C2017" i="2" s="1"/>
  <c r="C2018" i="2" s="1"/>
  <c r="C2019" i="2" s="1"/>
  <c r="C2020" i="2" s="1"/>
  <c r="C2021" i="2" s="1"/>
  <c r="C2022" i="2" s="1"/>
  <c r="C2023" i="2" s="1"/>
  <c r="C2024" i="2" s="1"/>
  <c r="C2025" i="2" s="1"/>
  <c r="C2026" i="2" s="1"/>
  <c r="C2027" i="2" s="1"/>
  <c r="C2028" i="2" s="1"/>
  <c r="C2029" i="2" s="1"/>
  <c r="C2030" i="2" s="1"/>
  <c r="C2031" i="2" s="1"/>
  <c r="C2032" i="2" s="1"/>
  <c r="C2033" i="2" s="1"/>
  <c r="C2376" i="2"/>
  <c r="C2377" i="2" s="1"/>
  <c r="G2377" i="2" s="1"/>
  <c r="C2355" i="2"/>
  <c r="C972" i="2"/>
  <c r="C973" i="2" s="1"/>
  <c r="G973" i="2" s="1"/>
  <c r="C944" i="2"/>
  <c r="C3005" i="2"/>
  <c r="C1635" i="2"/>
  <c r="C1636" i="2" s="1"/>
  <c r="G1636" i="2" s="1"/>
  <c r="C1598" i="2"/>
  <c r="C1599" i="2" s="1"/>
  <c r="C1600" i="2" s="1"/>
  <c r="C2226" i="2"/>
  <c r="C2227" i="2" s="1"/>
  <c r="G2227" i="2" s="1"/>
  <c r="C2213" i="2"/>
  <c r="C2214" i="2" s="1"/>
  <c r="C2215" i="2" s="1"/>
  <c r="C2216" i="2" s="1"/>
  <c r="C2217" i="2" s="1"/>
  <c r="C2218" i="2" s="1"/>
  <c r="C896" i="2"/>
  <c r="C897" i="2" s="1"/>
  <c r="G897" i="2" s="1"/>
  <c r="C876" i="2"/>
  <c r="C1916" i="2"/>
  <c r="C1917" i="2" s="1"/>
  <c r="G1917" i="2" s="1"/>
  <c r="C1856" i="2"/>
  <c r="C1857" i="2" s="1"/>
  <c r="C1858" i="2" s="1"/>
  <c r="C1859" i="2" s="1"/>
  <c r="C1860" i="2" s="1"/>
  <c r="C1861" i="2" s="1"/>
  <c r="C1862" i="2" s="1"/>
  <c r="C1863" i="2" s="1"/>
  <c r="C1110" i="2"/>
  <c r="C1111" i="2" s="1"/>
  <c r="G1111" i="2" s="1"/>
  <c r="C1085" i="2"/>
  <c r="C1261" i="2"/>
  <c r="C1262" i="2" s="1"/>
  <c r="G1262" i="2" s="1"/>
  <c r="C1233" i="2"/>
  <c r="C2263" i="2"/>
  <c r="C2264" i="2" s="1"/>
  <c r="G2264" i="2" s="1"/>
  <c r="C2232" i="2"/>
  <c r="C2233" i="2" s="1"/>
  <c r="C2234" i="2" s="1"/>
  <c r="C2235" i="2" s="1"/>
  <c r="C2236" i="2" s="1"/>
  <c r="C2237" i="2" s="1"/>
  <c r="C2238" i="2" s="1"/>
  <c r="C2239" i="2" s="1"/>
  <c r="C2240" i="2" s="1"/>
  <c r="C2241" i="2" s="1"/>
  <c r="C2242" i="2" s="1"/>
  <c r="C2243" i="2" s="1"/>
  <c r="C2244" i="2" s="1"/>
  <c r="C2245" i="2" s="1"/>
  <c r="C2246" i="2" s="1"/>
  <c r="C2247" i="2" s="1"/>
  <c r="C2248" i="2" s="1"/>
  <c r="C2249" i="2" s="1"/>
  <c r="C2250" i="2" s="1"/>
  <c r="C2251" i="2" s="1"/>
  <c r="C2252" i="2" s="1"/>
  <c r="C2253" i="2" s="1"/>
  <c r="C137" i="2"/>
  <c r="C138" i="2" s="1"/>
  <c r="G138" i="2" s="1"/>
  <c r="C162" i="2"/>
  <c r="C163" i="2" s="1"/>
  <c r="G163" i="2" s="1"/>
  <c r="C7" i="2"/>
  <c r="G15" i="2" s="1"/>
  <c r="C6" i="2"/>
  <c r="G14" i="2" s="1"/>
  <c r="AC98" i="2" l="1"/>
  <c r="AD98" i="2" s="1"/>
  <c r="AD81" i="2"/>
  <c r="AC81" i="2"/>
  <c r="AD127" i="2"/>
  <c r="AC127" i="2"/>
  <c r="AD305" i="2"/>
  <c r="AC305" i="2"/>
  <c r="AD300" i="2"/>
  <c r="AC300" i="2"/>
  <c r="AC339" i="2"/>
  <c r="AD339" i="2"/>
  <c r="AD492" i="2"/>
  <c r="AC492" i="2"/>
  <c r="AC451" i="2"/>
  <c r="AD451" i="2"/>
  <c r="AD608" i="2"/>
  <c r="AC608" i="2"/>
  <c r="AD559" i="2"/>
  <c r="AC559" i="2"/>
  <c r="AD567" i="2"/>
  <c r="AC567" i="2"/>
  <c r="AD552" i="2"/>
  <c r="AC552" i="2"/>
  <c r="AC568" i="2"/>
  <c r="AD568" i="2" s="1"/>
  <c r="AC822" i="2"/>
  <c r="AD822" i="2"/>
  <c r="AD673" i="2"/>
  <c r="AC673" i="2"/>
  <c r="AC723" i="2"/>
  <c r="AD723" i="2"/>
  <c r="AC785" i="2"/>
  <c r="AD785" i="2" s="1"/>
  <c r="AC774" i="2"/>
  <c r="AD774" i="2" s="1"/>
  <c r="AD782" i="2"/>
  <c r="AC782" i="2"/>
  <c r="AD936" i="2"/>
  <c r="AC936" i="2"/>
  <c r="AC764" i="2"/>
  <c r="AD764" i="2" s="1"/>
  <c r="AD1048" i="2"/>
  <c r="AC1048" i="2"/>
  <c r="AD978" i="2"/>
  <c r="AC978" i="2"/>
  <c r="AD1008" i="2"/>
  <c r="AC1008" i="2"/>
  <c r="AC801" i="2"/>
  <c r="AD801" i="2"/>
  <c r="AC1199" i="2"/>
  <c r="AD1199" i="2" s="1"/>
  <c r="AD1278" i="2"/>
  <c r="AC1278" i="2"/>
  <c r="AD1473" i="2"/>
  <c r="AC1473" i="2"/>
  <c r="AC1505" i="2"/>
  <c r="AD1505" i="2"/>
  <c r="AC1560" i="2"/>
  <c r="AD1560" i="2" s="1"/>
  <c r="AD1289" i="2"/>
  <c r="AC1289" i="2"/>
  <c r="AC1449" i="2"/>
  <c r="AD1449" i="2"/>
  <c r="AC1718" i="2"/>
  <c r="AD1718" i="2"/>
  <c r="AC1743" i="2"/>
  <c r="AD1743" i="2" s="1"/>
  <c r="AC1495" i="2"/>
  <c r="AD1495" i="2"/>
  <c r="AD1464" i="2"/>
  <c r="AC1464" i="2"/>
  <c r="AC1773" i="2"/>
  <c r="AD1773" i="2" s="1"/>
  <c r="AC1784" i="2"/>
  <c r="AD1784" i="2" s="1"/>
  <c r="AD1812" i="2"/>
  <c r="AC1812" i="2"/>
  <c r="AD2024" i="2"/>
  <c r="AC73" i="2"/>
  <c r="AD73" i="2"/>
  <c r="AC86" i="2"/>
  <c r="AD86" i="2" s="1"/>
  <c r="AD175" i="2"/>
  <c r="AC175" i="2"/>
  <c r="AD149" i="2"/>
  <c r="AC149" i="2"/>
  <c r="AC74" i="2"/>
  <c r="AD74" i="2" s="1"/>
  <c r="AD242" i="2"/>
  <c r="AC242" i="2"/>
  <c r="AC335" i="2"/>
  <c r="AD335" i="2"/>
  <c r="AD445" i="2"/>
  <c r="AC445" i="2"/>
  <c r="AC517" i="2"/>
  <c r="AD517" i="2"/>
  <c r="AC479" i="2"/>
  <c r="AD479" i="2" s="1"/>
  <c r="AC467" i="2"/>
  <c r="AD467" i="2" s="1"/>
  <c r="AD611" i="2"/>
  <c r="AC611" i="2"/>
  <c r="AD700" i="2"/>
  <c r="AC700" i="2"/>
  <c r="AD640" i="2"/>
  <c r="AC640" i="2"/>
  <c r="AC720" i="2"/>
  <c r="AD720" i="2" s="1"/>
  <c r="AD912" i="2"/>
  <c r="AC912" i="2"/>
  <c r="AC862" i="2"/>
  <c r="AD862" i="2"/>
  <c r="AC798" i="2"/>
  <c r="AD798" i="2"/>
  <c r="AC985" i="2"/>
  <c r="AD985" i="2"/>
  <c r="AD986" i="2"/>
  <c r="AC986" i="2"/>
  <c r="AD1183" i="2"/>
  <c r="AC1183" i="2"/>
  <c r="AD1148" i="2"/>
  <c r="AC1148" i="2"/>
  <c r="AC1450" i="2"/>
  <c r="AD1450" i="2"/>
  <c r="AC1219" i="2"/>
  <c r="AD1219" i="2" s="1"/>
  <c r="AD1353" i="2"/>
  <c r="AC1353" i="2"/>
  <c r="AC1403" i="2"/>
  <c r="AD1403" i="2" s="1"/>
  <c r="AD1189" i="2"/>
  <c r="AC1189" i="2"/>
  <c r="AC1702" i="2"/>
  <c r="AD1702" i="2"/>
  <c r="AD1375" i="2"/>
  <c r="AC1375" i="2"/>
  <c r="AD1518" i="2"/>
  <c r="AC1518" i="2"/>
  <c r="AC2150" i="2"/>
  <c r="AD2150" i="2" s="1"/>
  <c r="AD2253" i="2"/>
  <c r="AC82" i="2"/>
  <c r="AD82" i="2" s="1"/>
  <c r="AD286" i="2"/>
  <c r="AC286" i="2"/>
  <c r="AD453" i="2"/>
  <c r="AC453" i="2"/>
  <c r="AC540" i="2"/>
  <c r="AD540" i="2"/>
  <c r="AD456" i="2"/>
  <c r="AC456" i="2"/>
  <c r="AD510" i="2"/>
  <c r="AC510" i="2"/>
  <c r="AC583" i="2"/>
  <c r="AD583" i="2" s="1"/>
  <c r="AC814" i="2"/>
  <c r="AD814" i="2"/>
  <c r="AC715" i="2"/>
  <c r="AD715" i="2"/>
  <c r="AD747" i="2"/>
  <c r="AC747" i="2"/>
  <c r="AC763" i="2"/>
  <c r="AD763" i="2" s="1"/>
  <c r="AC777" i="2"/>
  <c r="AD777" i="2"/>
  <c r="AD702" i="2"/>
  <c r="AC702" i="2"/>
  <c r="AD1056" i="2"/>
  <c r="AC1056" i="2"/>
  <c r="AD1011" i="2"/>
  <c r="AC1011" i="2"/>
  <c r="AC1190" i="2"/>
  <c r="AD1190" i="2"/>
  <c r="AD1142" i="2"/>
  <c r="AC1142" i="2"/>
  <c r="AC1167" i="2"/>
  <c r="AD1167" i="2" s="1"/>
  <c r="AC1223" i="2"/>
  <c r="AD1223" i="2" s="1"/>
  <c r="AC1286" i="2"/>
  <c r="AD1286" i="2" s="1"/>
  <c r="AD1481" i="2"/>
  <c r="AC1481" i="2"/>
  <c r="AC1396" i="2"/>
  <c r="AD1396" i="2" s="1"/>
  <c r="AC1479" i="2"/>
  <c r="AD1479" i="2"/>
  <c r="AD1832" i="2"/>
  <c r="AC1832" i="2"/>
  <c r="AC1504" i="2"/>
  <c r="AD1504" i="2"/>
  <c r="AD1781" i="2"/>
  <c r="AC1781" i="2"/>
  <c r="AD1820" i="2"/>
  <c r="AC1820" i="2"/>
  <c r="AC1750" i="2"/>
  <c r="AD1750" i="2" s="1"/>
  <c r="AD1937" i="2"/>
  <c r="AC1937" i="2"/>
  <c r="AD134" i="2"/>
  <c r="AC134" i="2"/>
  <c r="AC174" i="2"/>
  <c r="AD174" i="2" s="1"/>
  <c r="AD219" i="2"/>
  <c r="AC219" i="2"/>
  <c r="AC288" i="2"/>
  <c r="AD288" i="2" s="1"/>
  <c r="AD188" i="2"/>
  <c r="AC188" i="2"/>
  <c r="AD212" i="2"/>
  <c r="AC212" i="2"/>
  <c r="AD90" i="2"/>
  <c r="AC90" i="2"/>
  <c r="AC249" i="2"/>
  <c r="AD249" i="2" s="1"/>
  <c r="AD251" i="2"/>
  <c r="AC251" i="2"/>
  <c r="AC291" i="2"/>
  <c r="AD291" i="2" s="1"/>
  <c r="AD343" i="2"/>
  <c r="AC343" i="2"/>
  <c r="AC226" i="2"/>
  <c r="AD226" i="2"/>
  <c r="AD280" i="2"/>
  <c r="AC280" i="2"/>
  <c r="AC332" i="2"/>
  <c r="AD332" i="2"/>
  <c r="AD354" i="2"/>
  <c r="AC354" i="2"/>
  <c r="AD448" i="2"/>
  <c r="AC448" i="2"/>
  <c r="AD491" i="2"/>
  <c r="AC491" i="2"/>
  <c r="AD475" i="2"/>
  <c r="AC475" i="2"/>
  <c r="AC574" i="2"/>
  <c r="AD574" i="2" s="1"/>
  <c r="AD502" i="2"/>
  <c r="AC502" i="2"/>
  <c r="AD620" i="2"/>
  <c r="AC620" i="2"/>
  <c r="AD664" i="2"/>
  <c r="AC664" i="2"/>
  <c r="AD641" i="2"/>
  <c r="AC641" i="2"/>
  <c r="AD657" i="2"/>
  <c r="AC657" i="2"/>
  <c r="AD736" i="2"/>
  <c r="AC736" i="2"/>
  <c r="AD712" i="2"/>
  <c r="AC712" i="2"/>
  <c r="AD928" i="2"/>
  <c r="AC928" i="2"/>
  <c r="AD816" i="2"/>
  <c r="AC816" i="2"/>
  <c r="AC915" i="2"/>
  <c r="AD915" i="2" s="1"/>
  <c r="AD923" i="2"/>
  <c r="AC923" i="2"/>
  <c r="AD931" i="2"/>
  <c r="AC931" i="2"/>
  <c r="AC1074" i="2"/>
  <c r="AD1074" i="2"/>
  <c r="AD1037" i="2"/>
  <c r="AC1037" i="2"/>
  <c r="AC1175" i="2"/>
  <c r="AD1175" i="2" s="1"/>
  <c r="AD1349" i="2"/>
  <c r="AC1349" i="2"/>
  <c r="AD1442" i="2"/>
  <c r="AC1442" i="2"/>
  <c r="AD1382" i="2"/>
  <c r="AC1382" i="2"/>
  <c r="AD1400" i="2"/>
  <c r="AC1400" i="2"/>
  <c r="AC1539" i="2"/>
  <c r="AD1539" i="2" s="1"/>
  <c r="AD1281" i="2"/>
  <c r="AC1281" i="2"/>
  <c r="AC1441" i="2"/>
  <c r="AD1441" i="2"/>
  <c r="AC1543" i="2"/>
  <c r="AD1543" i="2" s="1"/>
  <c r="AC1463" i="2"/>
  <c r="AD1463" i="2"/>
  <c r="AD1823" i="2"/>
  <c r="AC1823" i="2"/>
  <c r="AD1792" i="2"/>
  <c r="AC1792" i="2"/>
  <c r="AD1805" i="2"/>
  <c r="AC1805" i="2"/>
  <c r="AD2242" i="2"/>
  <c r="AC2242" i="2"/>
  <c r="AC78" i="2"/>
  <c r="AD78" i="2" s="1"/>
  <c r="AC94" i="2"/>
  <c r="AD94" i="2" s="1"/>
  <c r="AD102" i="2"/>
  <c r="AC102" i="2"/>
  <c r="AC135" i="2"/>
  <c r="AD135" i="2"/>
  <c r="AC203" i="2"/>
  <c r="AD203" i="2"/>
  <c r="AD143" i="2"/>
  <c r="AC143" i="2"/>
  <c r="AD241" i="2"/>
  <c r="AC241" i="2"/>
  <c r="AC476" i="2"/>
  <c r="AD476" i="2" s="1"/>
  <c r="AD539" i="2"/>
  <c r="AC539" i="2"/>
  <c r="AD692" i="2"/>
  <c r="AC692" i="2"/>
  <c r="AC761" i="2"/>
  <c r="AD761" i="2"/>
  <c r="AC806" i="2"/>
  <c r="AD806" i="2"/>
  <c r="AC699" i="2"/>
  <c r="AD699" i="2" s="1"/>
  <c r="AC672" i="2"/>
  <c r="AD672" i="2"/>
  <c r="AD680" i="2"/>
  <c r="AC680" i="2"/>
  <c r="AC624" i="2"/>
  <c r="AD624" i="2"/>
  <c r="AC739" i="2"/>
  <c r="AD739" i="2"/>
  <c r="AC778" i="2"/>
  <c r="AD778" i="2" s="1"/>
  <c r="AD786" i="2"/>
  <c r="AC786" i="2"/>
  <c r="AD908" i="2"/>
  <c r="AC908" i="2"/>
  <c r="AD916" i="2"/>
  <c r="AC916" i="2"/>
  <c r="AC924" i="2"/>
  <c r="AD924" i="2" s="1"/>
  <c r="AC932" i="2"/>
  <c r="AD932" i="2" s="1"/>
  <c r="AD1032" i="2"/>
  <c r="AC1032" i="2"/>
  <c r="AC859" i="2"/>
  <c r="AD859" i="2" s="1"/>
  <c r="AC1057" i="2"/>
  <c r="AD1057" i="2"/>
  <c r="AC1133" i="2"/>
  <c r="AD1133" i="2"/>
  <c r="AC1125" i="2"/>
  <c r="AD1125" i="2"/>
  <c r="AC1294" i="2"/>
  <c r="AD1294" i="2" s="1"/>
  <c r="AC1489" i="2"/>
  <c r="AD1489" i="2"/>
  <c r="AC1352" i="2"/>
  <c r="AD1352" i="2"/>
  <c r="AD1203" i="2"/>
  <c r="AC1203" i="2"/>
  <c r="AC1422" i="2"/>
  <c r="AD1422" i="2"/>
  <c r="AC1735" i="2"/>
  <c r="AD1735" i="2"/>
  <c r="AC1751" i="2"/>
  <c r="AD1751" i="2"/>
  <c r="AD1716" i="2"/>
  <c r="AC1716" i="2"/>
  <c r="AD1389" i="2"/>
  <c r="AC1389" i="2"/>
  <c r="AD1472" i="2"/>
  <c r="AC1472" i="2"/>
  <c r="AC1840" i="2"/>
  <c r="AD1840" i="2"/>
  <c r="AD1367" i="2"/>
  <c r="AC1367" i="2"/>
  <c r="AD1789" i="2"/>
  <c r="AC1789" i="2"/>
  <c r="AC1575" i="2"/>
  <c r="AD1575" i="2" s="1"/>
  <c r="AD1828" i="2"/>
  <c r="AC1828" i="2"/>
  <c r="AC1542" i="2"/>
  <c r="AD1542" i="2" s="1"/>
  <c r="AD157" i="2"/>
  <c r="AC157" i="2"/>
  <c r="AC196" i="2"/>
  <c r="AD196" i="2"/>
  <c r="AD151" i="2"/>
  <c r="AC151" i="2"/>
  <c r="AD159" i="2"/>
  <c r="AC159" i="2"/>
  <c r="AD308" i="2"/>
  <c r="AC308" i="2"/>
  <c r="AD302" i="2"/>
  <c r="AC302" i="2"/>
  <c r="AC324" i="2"/>
  <c r="AD324" i="2"/>
  <c r="AD452" i="2"/>
  <c r="AC452" i="2"/>
  <c r="AC509" i="2"/>
  <c r="AD509" i="2" s="1"/>
  <c r="AC487" i="2"/>
  <c r="AD487" i="2" s="1"/>
  <c r="AD524" i="2"/>
  <c r="AC524" i="2"/>
  <c r="AC691" i="2"/>
  <c r="AD691" i="2"/>
  <c r="AC599" i="2"/>
  <c r="AD599" i="2"/>
  <c r="AD607" i="2"/>
  <c r="AC607" i="2"/>
  <c r="AD656" i="2"/>
  <c r="AC656" i="2"/>
  <c r="AD808" i="2"/>
  <c r="AC808" i="2"/>
  <c r="AC984" i="2"/>
  <c r="AD984" i="2"/>
  <c r="AD876" i="2"/>
  <c r="AD921" i="2"/>
  <c r="AC921" i="2"/>
  <c r="AC980" i="2"/>
  <c r="AD980" i="2"/>
  <c r="AC1066" i="2"/>
  <c r="AD1066" i="2"/>
  <c r="AD1181" i="2"/>
  <c r="AC1181" i="2"/>
  <c r="AC1149" i="2"/>
  <c r="AD1149" i="2"/>
  <c r="AC1221" i="2"/>
  <c r="AD1221" i="2"/>
  <c r="AD1233" i="2"/>
  <c r="AD1434" i="2"/>
  <c r="AC1434" i="2"/>
  <c r="AC1215" i="2"/>
  <c r="AD1215" i="2" s="1"/>
  <c r="AC1419" i="2"/>
  <c r="AD1419" i="2" s="1"/>
  <c r="AD1370" i="2"/>
  <c r="AC1370" i="2"/>
  <c r="AC1515" i="2"/>
  <c r="AD1515" i="2"/>
  <c r="AC1547" i="2"/>
  <c r="AD1547" i="2" s="1"/>
  <c r="AD1423" i="2"/>
  <c r="AC1423" i="2"/>
  <c r="AC1694" i="2"/>
  <c r="AD1694" i="2" s="1"/>
  <c r="AC1710" i="2"/>
  <c r="AD1710" i="2" s="1"/>
  <c r="AC1381" i="2"/>
  <c r="AD1381" i="2"/>
  <c r="AD1383" i="2"/>
  <c r="AC1383" i="2"/>
  <c r="AD1682" i="2"/>
  <c r="AC1682" i="2"/>
  <c r="AD1776" i="2"/>
  <c r="AC1776" i="2"/>
  <c r="AD119" i="2"/>
  <c r="AC119" i="2"/>
  <c r="AD195" i="2"/>
  <c r="AC195" i="2"/>
  <c r="AD307" i="2"/>
  <c r="AC307" i="2"/>
  <c r="AD352" i="2"/>
  <c r="AC352" i="2"/>
  <c r="AC484" i="2"/>
  <c r="AD484" i="2" s="1"/>
  <c r="AD514" i="2"/>
  <c r="AC514" i="2"/>
  <c r="AD532" i="2"/>
  <c r="AC532" i="2"/>
  <c r="AC582" i="2"/>
  <c r="AD582" i="2" s="1"/>
  <c r="AC560" i="2"/>
  <c r="AD560" i="2" s="1"/>
  <c r="AC753" i="2"/>
  <c r="AD753" i="2" s="1"/>
  <c r="AC731" i="2"/>
  <c r="AD731" i="2"/>
  <c r="AC755" i="2"/>
  <c r="AD755" i="2" s="1"/>
  <c r="AC748" i="2"/>
  <c r="AD748" i="2" s="1"/>
  <c r="AD716" i="2"/>
  <c r="AC716" i="2"/>
  <c r="AD724" i="2"/>
  <c r="AC724" i="2"/>
  <c r="AD732" i="2"/>
  <c r="AC732" i="2"/>
  <c r="AC920" i="2"/>
  <c r="AD920" i="2" s="1"/>
  <c r="AC854" i="2"/>
  <c r="AD854" i="2"/>
  <c r="AD694" i="2"/>
  <c r="AC694" i="2"/>
  <c r="AD981" i="2"/>
  <c r="AC981" i="2"/>
  <c r="AD1040" i="2"/>
  <c r="AC1040" i="2"/>
  <c r="AD1003" i="2"/>
  <c r="AC1003" i="2"/>
  <c r="AC835" i="2"/>
  <c r="AD835" i="2"/>
  <c r="AC851" i="2"/>
  <c r="AD851" i="2"/>
  <c r="AD929" i="2"/>
  <c r="AC929" i="2"/>
  <c r="AC1182" i="2"/>
  <c r="AD1182" i="2"/>
  <c r="AC1132" i="2"/>
  <c r="AD1132" i="2" s="1"/>
  <c r="AC1067" i="2"/>
  <c r="AD1067" i="2" s="1"/>
  <c r="AD1075" i="2"/>
  <c r="AC1075" i="2"/>
  <c r="AD999" i="2"/>
  <c r="AC999" i="2"/>
  <c r="AD1007" i="2"/>
  <c r="AC1007" i="2"/>
  <c r="AD1270" i="2"/>
  <c r="AC1270" i="2"/>
  <c r="AD1387" i="2"/>
  <c r="AC1387" i="2"/>
  <c r="AD1465" i="2"/>
  <c r="AC1465" i="2"/>
  <c r="AD1497" i="2"/>
  <c r="AC1497" i="2"/>
  <c r="AD1378" i="2"/>
  <c r="AC1378" i="2"/>
  <c r="AD1420" i="2"/>
  <c r="AC1420" i="2"/>
  <c r="AC1414" i="2"/>
  <c r="AD1414" i="2" s="1"/>
  <c r="AC1848" i="2"/>
  <c r="AD1848" i="2"/>
  <c r="AC1765" i="2"/>
  <c r="AD1765" i="2" s="1"/>
  <c r="AC1591" i="2"/>
  <c r="AD1591" i="2" s="1"/>
  <c r="AD1804" i="2"/>
  <c r="AC1804" i="2"/>
  <c r="AC1534" i="2"/>
  <c r="AD1534" i="2" s="1"/>
  <c r="AD1813" i="2"/>
  <c r="AC1813" i="2"/>
  <c r="AD2041" i="2"/>
  <c r="AC2041" i="2"/>
  <c r="AD2053" i="2"/>
  <c r="AC2053" i="2"/>
  <c r="AD2120" i="2"/>
  <c r="AC2120" i="2"/>
  <c r="AD160" i="2"/>
  <c r="AC160" i="2"/>
  <c r="AC89" i="2"/>
  <c r="AD89" i="2"/>
  <c r="AD152" i="2"/>
  <c r="AC152" i="2"/>
  <c r="AD204" i="2"/>
  <c r="AC204" i="2"/>
  <c r="AC170" i="2"/>
  <c r="AD170" i="2" s="1"/>
  <c r="AC227" i="2"/>
  <c r="AD227" i="2"/>
  <c r="AD250" i="2"/>
  <c r="AC250" i="2"/>
  <c r="AD243" i="2"/>
  <c r="AC243" i="2"/>
  <c r="AD269" i="2"/>
  <c r="AC269" i="2"/>
  <c r="AC283" i="2"/>
  <c r="AD283" i="2" s="1"/>
  <c r="AC316" i="2"/>
  <c r="AD316" i="2"/>
  <c r="AD360" i="2"/>
  <c r="AC360" i="2"/>
  <c r="AD444" i="2"/>
  <c r="AC444" i="2"/>
  <c r="AC489" i="2"/>
  <c r="AD489" i="2" s="1"/>
  <c r="AC501" i="2"/>
  <c r="AD501" i="2"/>
  <c r="AC443" i="2"/>
  <c r="AD443" i="2"/>
  <c r="AD507" i="2"/>
  <c r="AC507" i="2"/>
  <c r="AC575" i="2"/>
  <c r="AD575" i="2" s="1"/>
  <c r="AD623" i="2"/>
  <c r="AC623" i="2"/>
  <c r="AD648" i="2"/>
  <c r="AC648" i="2"/>
  <c r="AD649" i="2"/>
  <c r="AC649" i="2"/>
  <c r="AD665" i="2"/>
  <c r="AC665" i="2"/>
  <c r="AD681" i="2"/>
  <c r="AC681" i="2"/>
  <c r="AD728" i="2"/>
  <c r="AC728" i="2"/>
  <c r="AD756" i="2"/>
  <c r="AC756" i="2"/>
  <c r="AD800" i="2"/>
  <c r="AC800" i="2"/>
  <c r="AC843" i="2"/>
  <c r="AD843" i="2"/>
  <c r="AD937" i="2"/>
  <c r="AC937" i="2"/>
  <c r="AC809" i="2"/>
  <c r="AD809" i="2"/>
  <c r="AD817" i="2"/>
  <c r="AC817" i="2"/>
  <c r="AD1122" i="2"/>
  <c r="AC1122" i="2"/>
  <c r="AC1130" i="2"/>
  <c r="AD1130" i="2"/>
  <c r="AD1207" i="2"/>
  <c r="AC1207" i="2"/>
  <c r="AC1523" i="2"/>
  <c r="AD1523" i="2"/>
  <c r="AC1555" i="2"/>
  <c r="AD1555" i="2" s="1"/>
  <c r="AD1273" i="2"/>
  <c r="AC1273" i="2"/>
  <c r="AC1433" i="2"/>
  <c r="AD1433" i="2"/>
  <c r="AC1173" i="2"/>
  <c r="AD1173" i="2"/>
  <c r="AD1415" i="2"/>
  <c r="AC1415" i="2"/>
  <c r="AD1435" i="2"/>
  <c r="AC1435" i="2"/>
  <c r="AD1451" i="2"/>
  <c r="AC1451" i="2"/>
  <c r="AD1480" i="2"/>
  <c r="AC1480" i="2"/>
  <c r="AC1796" i="2"/>
  <c r="AD1796" i="2"/>
  <c r="AC1961" i="2"/>
  <c r="AD1961" i="2"/>
  <c r="AD1969" i="2"/>
  <c r="AC1969" i="2"/>
  <c r="AD2282" i="2"/>
  <c r="AC2282" i="2"/>
  <c r="AD2245" i="2"/>
  <c r="AC2299" i="2"/>
  <c r="AD2299" i="2"/>
  <c r="AD2326" i="2"/>
  <c r="AC2326" i="2"/>
  <c r="AC2531" i="2"/>
  <c r="AD2531" i="2"/>
  <c r="AC2547" i="2"/>
  <c r="AD2547" i="2"/>
  <c r="AC2571" i="2"/>
  <c r="AD2571" i="2"/>
  <c r="AC2573" i="2"/>
  <c r="AD2573" i="2"/>
  <c r="AD2701" i="2"/>
  <c r="AC2701" i="2"/>
  <c r="AD2115" i="2"/>
  <c r="AC2115" i="2"/>
  <c r="AD2450" i="2"/>
  <c r="AC2450" i="2"/>
  <c r="AC2484" i="2"/>
  <c r="AD2484" i="2"/>
  <c r="AC2520" i="2"/>
  <c r="AD2520" i="2"/>
  <c r="AD2587" i="2"/>
  <c r="AC2587" i="2"/>
  <c r="AC2603" i="2"/>
  <c r="AD2603" i="2"/>
  <c r="AC2619" i="2"/>
  <c r="AD2619" i="2"/>
  <c r="AC2593" i="2"/>
  <c r="AD2593" i="2"/>
  <c r="AD2623" i="2"/>
  <c r="AC2623" i="2"/>
  <c r="AD2833" i="2"/>
  <c r="AC2833" i="2"/>
  <c r="AD2801" i="2"/>
  <c r="AC2801" i="2"/>
  <c r="C2219" i="2"/>
  <c r="AD2545" i="2"/>
  <c r="AC2545" i="2"/>
  <c r="C3006" i="2"/>
  <c r="AD2622" i="2"/>
  <c r="AC2622" i="2"/>
  <c r="AD2666" i="2"/>
  <c r="AC2666" i="2"/>
  <c r="AD2712" i="2"/>
  <c r="AC2712" i="2"/>
  <c r="AC2797" i="2"/>
  <c r="AD2797" i="2" s="1"/>
  <c r="AC2829" i="2"/>
  <c r="AD2829" i="2"/>
  <c r="AD2621" i="2"/>
  <c r="AC2621" i="2"/>
  <c r="AC2435" i="2"/>
  <c r="AD2435" i="2" s="1"/>
  <c r="AD2422" i="2"/>
  <c r="AC2422" i="2"/>
  <c r="AD2834" i="2"/>
  <c r="AC2834" i="2"/>
  <c r="AD2750" i="2"/>
  <c r="AC2750" i="2"/>
  <c r="AD2716" i="2"/>
  <c r="AC2716" i="2"/>
  <c r="AD2655" i="2"/>
  <c r="AC2655" i="2"/>
  <c r="AD2471" i="2"/>
  <c r="AC2471" i="2"/>
  <c r="AD2708" i="2"/>
  <c r="AC2708" i="2"/>
  <c r="AC2597" i="2"/>
  <c r="AD2597" i="2" s="1"/>
  <c r="AC2804" i="2"/>
  <c r="AD2804" i="2"/>
  <c r="AC2820" i="2"/>
  <c r="AD2820" i="2" s="1"/>
  <c r="AC2836" i="2"/>
  <c r="AD2836" i="2"/>
  <c r="AC2436" i="2"/>
  <c r="AD2436" i="2" s="1"/>
  <c r="AD2281" i="2"/>
  <c r="AC2281" i="2"/>
  <c r="AD2656" i="2"/>
  <c r="AC2656" i="2"/>
  <c r="AC2691" i="2"/>
  <c r="AD2691" i="2"/>
  <c r="AD2719" i="2"/>
  <c r="AC2719" i="2"/>
  <c r="AC2641" i="2"/>
  <c r="AD2641" i="2"/>
  <c r="AD2650" i="2"/>
  <c r="AC2650" i="2"/>
  <c r="AD2643" i="2"/>
  <c r="AC2643" i="2"/>
  <c r="AD2675" i="2"/>
  <c r="AC2675" i="2"/>
  <c r="AD2608" i="2"/>
  <c r="AC2608" i="2"/>
  <c r="AD2530" i="2"/>
  <c r="AC2530" i="2"/>
  <c r="AD2562" i="2"/>
  <c r="AC2562" i="2"/>
  <c r="AD1929" i="2"/>
  <c r="AC1929" i="2"/>
  <c r="AD2510" i="2"/>
  <c r="AC2510" i="2"/>
  <c r="AC2446" i="2"/>
  <c r="AD2446" i="2" s="1"/>
  <c r="AC2116" i="2"/>
  <c r="AD2116" i="2" s="1"/>
  <c r="AD2337" i="2"/>
  <c r="AC2337" i="2"/>
  <c r="AC2110" i="2"/>
  <c r="AD2110" i="2"/>
  <c r="AD1945" i="2"/>
  <c r="AC1945" i="2"/>
  <c r="AD2567" i="2"/>
  <c r="AC2567" i="2"/>
  <c r="AC2470" i="2"/>
  <c r="AD2470" i="2" s="1"/>
  <c r="AD2486" i="2"/>
  <c r="AC2486" i="2"/>
  <c r="AC2056" i="2"/>
  <c r="AD2056" i="2"/>
  <c r="AC2253" i="2"/>
  <c r="AD2166" i="2"/>
  <c r="AC2166" i="2"/>
  <c r="AD2043" i="2"/>
  <c r="AC2043" i="2"/>
  <c r="AC2063" i="2"/>
  <c r="AD2063" i="2"/>
  <c r="AC2070" i="2"/>
  <c r="AD2070" i="2" s="1"/>
  <c r="AD2187" i="2"/>
  <c r="AC2187" i="2"/>
  <c r="AC1935" i="2"/>
  <c r="AD1935" i="2"/>
  <c r="AD2155" i="2"/>
  <c r="AC2155" i="2"/>
  <c r="AC1923" i="2"/>
  <c r="AD1923" i="2"/>
  <c r="AD2277" i="2"/>
  <c r="AC2277" i="2"/>
  <c r="AD2293" i="2"/>
  <c r="AC2293" i="2"/>
  <c r="AD2152" i="2"/>
  <c r="AC2152" i="2"/>
  <c r="AD1818" i="2"/>
  <c r="AC1818" i="2"/>
  <c r="AD1793" i="2"/>
  <c r="AC1793" i="2"/>
  <c r="AC2054" i="2"/>
  <c r="AD2054" i="2" s="1"/>
  <c r="AD1698" i="2"/>
  <c r="AC1698" i="2"/>
  <c r="AC2087" i="2"/>
  <c r="AD2087" i="2"/>
  <c r="AC1475" i="2"/>
  <c r="AD1475" i="2"/>
  <c r="AC1777" i="2"/>
  <c r="AD1777" i="2" s="1"/>
  <c r="AC1742" i="2"/>
  <c r="AD1742" i="2"/>
  <c r="AC2080" i="2"/>
  <c r="AD2080" i="2" s="1"/>
  <c r="AD1830" i="2"/>
  <c r="AC1830" i="2"/>
  <c r="AC1771" i="2"/>
  <c r="AD1771" i="2" s="1"/>
  <c r="AD1787" i="2"/>
  <c r="AC1787" i="2"/>
  <c r="AD1946" i="2"/>
  <c r="AC1946" i="2"/>
  <c r="AD1846" i="2"/>
  <c r="AC1846" i="2"/>
  <c r="AC1775" i="2"/>
  <c r="AD1775" i="2" s="1"/>
  <c r="AD1791" i="2"/>
  <c r="AC1791" i="2"/>
  <c r="AC1763" i="2"/>
  <c r="AD1763" i="2" s="1"/>
  <c r="AC1714" i="2"/>
  <c r="AD1714" i="2" s="1"/>
  <c r="AD1588" i="2"/>
  <c r="AC1588" i="2"/>
  <c r="AC1659" i="2"/>
  <c r="AD1659" i="2"/>
  <c r="AD1660" i="2"/>
  <c r="AC1660" i="2"/>
  <c r="AD1684" i="2"/>
  <c r="AC1684" i="2"/>
  <c r="AC1525" i="2"/>
  <c r="AD1525" i="2" s="1"/>
  <c r="AC1548" i="2"/>
  <c r="AD1548" i="2" s="1"/>
  <c r="AC1803" i="2"/>
  <c r="AD1803" i="2"/>
  <c r="AC1819" i="2"/>
  <c r="AD1819" i="2"/>
  <c r="AC1527" i="2"/>
  <c r="AD1527" i="2" s="1"/>
  <c r="AC1941" i="2"/>
  <c r="AD1941" i="2" s="1"/>
  <c r="AD1466" i="2"/>
  <c r="AC1466" i="2"/>
  <c r="AC1363" i="2"/>
  <c r="AD1363" i="2"/>
  <c r="AD1589" i="2"/>
  <c r="AC1589" i="2"/>
  <c r="AC1559" i="2"/>
  <c r="AD1559" i="2"/>
  <c r="AC1695" i="2"/>
  <c r="AD1695" i="2" s="1"/>
  <c r="AC1599" i="2"/>
  <c r="AD1599" i="2" s="1"/>
  <c r="AD1373" i="2"/>
  <c r="AC1373" i="2"/>
  <c r="AC1516" i="2"/>
  <c r="AD1516" i="2"/>
  <c r="AC1503" i="2"/>
  <c r="AD1503" i="2"/>
  <c r="AC1535" i="2"/>
  <c r="AD1535" i="2"/>
  <c r="AC1927" i="2"/>
  <c r="AD1927" i="2" s="1"/>
  <c r="AC1496" i="2"/>
  <c r="AD1496" i="2"/>
  <c r="AC1772" i="2"/>
  <c r="AD1772" i="2" s="1"/>
  <c r="AC1754" i="2"/>
  <c r="AD1754" i="2" s="1"/>
  <c r="AD1841" i="2"/>
  <c r="AC1841" i="2"/>
  <c r="AC1862" i="2"/>
  <c r="AD1862" i="2"/>
  <c r="AC1972" i="2"/>
  <c r="AD1972" i="2" s="1"/>
  <c r="AC1940" i="2"/>
  <c r="AD1940" i="2" s="1"/>
  <c r="AD1962" i="2"/>
  <c r="AC2148" i="2"/>
  <c r="AD2148" i="2"/>
  <c r="AD2201" i="2"/>
  <c r="AC2201" i="2"/>
  <c r="AD2447" i="2"/>
  <c r="AC2447" i="2"/>
  <c r="AD2284" i="2"/>
  <c r="AC2284" i="2"/>
  <c r="AC2328" i="2"/>
  <c r="AD2328" i="2"/>
  <c r="AD2540" i="2"/>
  <c r="AC2540" i="2"/>
  <c r="AD2556" i="2"/>
  <c r="AC2556" i="2"/>
  <c r="AD2572" i="2"/>
  <c r="AC2572" i="2"/>
  <c r="AD2400" i="2"/>
  <c r="AC2400" i="2"/>
  <c r="AC2099" i="2"/>
  <c r="AD2099" i="2" s="1"/>
  <c r="AD2645" i="2"/>
  <c r="AC2645" i="2"/>
  <c r="AD2661" i="2"/>
  <c r="AC2661" i="2"/>
  <c r="AD2677" i="2"/>
  <c r="AC2677" i="2"/>
  <c r="AC2718" i="2"/>
  <c r="AD2718" i="2" s="1"/>
  <c r="AD2702" i="2"/>
  <c r="AC2702" i="2"/>
  <c r="AD2765" i="2"/>
  <c r="AC2765" i="2"/>
  <c r="AC2480" i="2"/>
  <c r="AD2480" i="2" s="1"/>
  <c r="AC2602" i="2"/>
  <c r="AD2602" i="2"/>
  <c r="AC2634" i="2"/>
  <c r="AD2634" i="2"/>
  <c r="AC3056" i="2"/>
  <c r="AD3056" i="2"/>
  <c r="AC3055" i="2"/>
  <c r="AD3055" i="2"/>
  <c r="AD2529" i="2"/>
  <c r="AC2529" i="2"/>
  <c r="AD2740" i="2"/>
  <c r="AC2740" i="2"/>
  <c r="AD2799" i="2"/>
  <c r="AC2799" i="2"/>
  <c r="AD2815" i="2"/>
  <c r="AD2831" i="2"/>
  <c r="AC2831" i="2"/>
  <c r="AD2739" i="2"/>
  <c r="AD2755" i="2"/>
  <c r="AC2755" i="2"/>
  <c r="AD2795" i="2"/>
  <c r="AC2795" i="2"/>
  <c r="AC2827" i="2"/>
  <c r="AD2827" i="2" s="1"/>
  <c r="AD2751" i="2"/>
  <c r="AC2751" i="2"/>
  <c r="AD2714" i="2"/>
  <c r="AC2714" i="2"/>
  <c r="AC2598" i="2"/>
  <c r="AD2598" i="2" s="1"/>
  <c r="AD2630" i="2"/>
  <c r="AC2630" i="2"/>
  <c r="AD2558" i="2"/>
  <c r="AC2558" i="2"/>
  <c r="AC2706" i="2"/>
  <c r="AD2706" i="2" s="1"/>
  <c r="AD2599" i="2"/>
  <c r="AC2599" i="2"/>
  <c r="AD2705" i="2"/>
  <c r="AC2705" i="2"/>
  <c r="AD2527" i="2"/>
  <c r="AC2527" i="2"/>
  <c r="AD2543" i="2"/>
  <c r="AC2543" i="2"/>
  <c r="AC2487" i="2"/>
  <c r="AD2487" i="2" s="1"/>
  <c r="AC2461" i="2"/>
  <c r="AD2461" i="2" s="1"/>
  <c r="AC2050" i="2"/>
  <c r="AD2050" i="2"/>
  <c r="AC2489" i="2"/>
  <c r="AD2489" i="2" s="1"/>
  <c r="AD2139" i="2"/>
  <c r="AC2139" i="2"/>
  <c r="AD2395" i="2"/>
  <c r="AC2395" i="2"/>
  <c r="AD2077" i="2"/>
  <c r="AC2077" i="2"/>
  <c r="AD2394" i="2"/>
  <c r="AC2394" i="2"/>
  <c r="AD2331" i="2"/>
  <c r="AC2331" i="2"/>
  <c r="AD2330" i="2"/>
  <c r="AC2330" i="2"/>
  <c r="AD2117" i="2"/>
  <c r="AC2117" i="2"/>
  <c r="AC2118" i="2"/>
  <c r="AD2118" i="2"/>
  <c r="AD2119" i="2"/>
  <c r="AC2119" i="2"/>
  <c r="AC1768" i="2"/>
  <c r="AD1768" i="2"/>
  <c r="AC1939" i="2"/>
  <c r="AD1939" i="2"/>
  <c r="AD2393" i="2"/>
  <c r="AC2393" i="2"/>
  <c r="AC2189" i="2"/>
  <c r="AD2189" i="2"/>
  <c r="AD2088" i="2"/>
  <c r="AC2088" i="2"/>
  <c r="AC2040" i="2"/>
  <c r="AD2040" i="2"/>
  <c r="AC2024" i="2"/>
  <c r="AC1285" i="2"/>
  <c r="AD1285" i="2" s="1"/>
  <c r="AD1808" i="2"/>
  <c r="AC1808" i="2"/>
  <c r="AC1487" i="2"/>
  <c r="AD1487" i="2"/>
  <c r="AD1926" i="2"/>
  <c r="AC1926" i="2"/>
  <c r="AD1806" i="2"/>
  <c r="AC1806" i="2"/>
  <c r="AD1778" i="2"/>
  <c r="AC1778" i="2"/>
  <c r="AD1794" i="2"/>
  <c r="AC1794" i="2"/>
  <c r="AD1749" i="2"/>
  <c r="AC1749" i="2"/>
  <c r="AC1738" i="2"/>
  <c r="AD1738" i="2"/>
  <c r="AD1930" i="2"/>
  <c r="AC1930" i="2"/>
  <c r="AD1647" i="2"/>
  <c r="AC1647" i="2"/>
  <c r="AD1845" i="2"/>
  <c r="AC1845" i="2"/>
  <c r="AD1528" i="2"/>
  <c r="AC1528" i="2"/>
  <c r="AC1276" i="2"/>
  <c r="AD1276" i="2" s="1"/>
  <c r="AD1662" i="2"/>
  <c r="AC1662" i="2"/>
  <c r="AC1569" i="2"/>
  <c r="AD1569" i="2"/>
  <c r="AC1461" i="2"/>
  <c r="AD1461" i="2"/>
  <c r="AD1676" i="2"/>
  <c r="AC1676" i="2"/>
  <c r="AD1445" i="2"/>
  <c r="AC1445" i="2"/>
  <c r="AC1672" i="2"/>
  <c r="AD1672" i="2"/>
  <c r="AC2033" i="2"/>
  <c r="AD2033" i="2"/>
  <c r="AC2083" i="2"/>
  <c r="AD2083" i="2" s="1"/>
  <c r="AD2000" i="2"/>
  <c r="AC2000" i="2"/>
  <c r="AD2032" i="2"/>
  <c r="AC2173" i="2"/>
  <c r="AD2173" i="2"/>
  <c r="AD2112" i="2"/>
  <c r="AC2112" i="2"/>
  <c r="AD2234" i="2"/>
  <c r="AC2234" i="2"/>
  <c r="AC1944" i="2"/>
  <c r="AD1944" i="2"/>
  <c r="AD2162" i="2"/>
  <c r="AC2162" i="2"/>
  <c r="AD2327" i="2"/>
  <c r="AC2327" i="2"/>
  <c r="AC2413" i="2"/>
  <c r="AD2413" i="2"/>
  <c r="AD2190" i="2"/>
  <c r="AC2190" i="2"/>
  <c r="AC2291" i="2"/>
  <c r="AD2291" i="2"/>
  <c r="AC2319" i="2"/>
  <c r="AD2319" i="2" s="1"/>
  <c r="AC2217" i="2"/>
  <c r="AD2217" i="2"/>
  <c r="AC2563" i="2"/>
  <c r="AD2563" i="2"/>
  <c r="AD2654" i="2"/>
  <c r="AC2654" i="2"/>
  <c r="AD2670" i="2"/>
  <c r="AC2670" i="2"/>
  <c r="AC2709" i="2"/>
  <c r="AD2709" i="2" s="1"/>
  <c r="AC2333" i="2"/>
  <c r="AD2333" i="2" s="1"/>
  <c r="AC2107" i="2"/>
  <c r="AD2107" i="2"/>
  <c r="AD2517" i="2"/>
  <c r="AC2517" i="2"/>
  <c r="AC2723" i="2"/>
  <c r="AD2723" i="2" s="1"/>
  <c r="AD2442" i="2"/>
  <c r="AC2442" i="2"/>
  <c r="AC2512" i="2"/>
  <c r="AD2512" i="2"/>
  <c r="AD2566" i="2"/>
  <c r="AC2566" i="2"/>
  <c r="C2254" i="2"/>
  <c r="C1864" i="2"/>
  <c r="C1601" i="2"/>
  <c r="C2356" i="2"/>
  <c r="AC2320" i="2"/>
  <c r="AD2320" i="2"/>
  <c r="AD2779" i="2"/>
  <c r="AC2779" i="2"/>
  <c r="AD2515" i="2"/>
  <c r="AC2515" i="2"/>
  <c r="AD2561" i="2"/>
  <c r="AC2561" i="2"/>
  <c r="AD2612" i="2"/>
  <c r="AC2612" i="2"/>
  <c r="AC2710" i="2"/>
  <c r="AD2710" i="2" s="1"/>
  <c r="AD2907" i="2"/>
  <c r="AC2907" i="2"/>
  <c r="AC2660" i="2"/>
  <c r="AD2660" i="2"/>
  <c r="AC2789" i="2"/>
  <c r="AD2789" i="2"/>
  <c r="AC2821" i="2"/>
  <c r="AD2821" i="2"/>
  <c r="C369" i="2"/>
  <c r="AD2697" i="2"/>
  <c r="AC2697" i="2"/>
  <c r="AD1977" i="2"/>
  <c r="AC1977" i="2"/>
  <c r="AD2778" i="2"/>
  <c r="AC2778" i="2"/>
  <c r="AD2794" i="2"/>
  <c r="AC2794" i="2"/>
  <c r="AD2810" i="2"/>
  <c r="AC2810" i="2"/>
  <c r="AD2842" i="2"/>
  <c r="AC2842" i="2"/>
  <c r="AD2758" i="2"/>
  <c r="AC2758" i="2"/>
  <c r="AC2583" i="2"/>
  <c r="AD2583" i="2" s="1"/>
  <c r="AD2460" i="2"/>
  <c r="AC2460" i="2"/>
  <c r="AD2569" i="2"/>
  <c r="AC2569" i="2"/>
  <c r="AC2451" i="2"/>
  <c r="AD2451" i="2" s="1"/>
  <c r="AC2780" i="2"/>
  <c r="AD2780" i="2"/>
  <c r="AC2788" i="2"/>
  <c r="AD2788" i="2"/>
  <c r="AC2796" i="2"/>
  <c r="AD2796" i="2"/>
  <c r="AC2744" i="2"/>
  <c r="AD2744" i="2"/>
  <c r="AC2760" i="2"/>
  <c r="AD2760" i="2"/>
  <c r="AD2604" i="2"/>
  <c r="AC2604" i="2"/>
  <c r="AD2620" i="2"/>
  <c r="AC2620" i="2"/>
  <c r="AD2651" i="2"/>
  <c r="AC2651" i="2"/>
  <c r="AC2584" i="2"/>
  <c r="AD2584" i="2" s="1"/>
  <c r="AC2616" i="2"/>
  <c r="AD2616" i="2" s="1"/>
  <c r="AD2538" i="2"/>
  <c r="AC2538" i="2"/>
  <c r="AD2570" i="2"/>
  <c r="AC2570" i="2"/>
  <c r="AD2509" i="2"/>
  <c r="AC2509" i="2"/>
  <c r="AD2503" i="2"/>
  <c r="AC2503" i="2"/>
  <c r="AC2440" i="2"/>
  <c r="AD2440" i="2"/>
  <c r="AC2456" i="2"/>
  <c r="AD2456" i="2" s="1"/>
  <c r="AD2469" i="2"/>
  <c r="AC2469" i="2"/>
  <c r="AD2477" i="2"/>
  <c r="AC2477" i="2"/>
  <c r="AC2485" i="2"/>
  <c r="AD2485" i="2"/>
  <c r="AD2382" i="2"/>
  <c r="AC2382" i="2"/>
  <c r="AD2314" i="2"/>
  <c r="AC2314" i="2"/>
  <c r="AC2302" i="2"/>
  <c r="AD2302" i="2"/>
  <c r="AD2514" i="2"/>
  <c r="AC2514" i="2"/>
  <c r="AD2410" i="2"/>
  <c r="AC2410" i="2"/>
  <c r="AD2287" i="2"/>
  <c r="AC2287" i="2"/>
  <c r="AC2245" i="2"/>
  <c r="AD2147" i="2"/>
  <c r="AC2147" i="2"/>
  <c r="AC2156" i="2"/>
  <c r="AD2156" i="2"/>
  <c r="AC1922" i="2"/>
  <c r="AD1922" i="2" s="1"/>
  <c r="AC2316" i="2"/>
  <c r="AD2316" i="2"/>
  <c r="AD1739" i="2"/>
  <c r="AC1739" i="2"/>
  <c r="AC2204" i="2"/>
  <c r="AD2204" i="2"/>
  <c r="AC2066" i="2"/>
  <c r="AD2066" i="2"/>
  <c r="AD2301" i="2"/>
  <c r="AC2301" i="2"/>
  <c r="AC2158" i="2"/>
  <c r="AD2158" i="2" s="1"/>
  <c r="AC1934" i="2"/>
  <c r="AD1934" i="2" s="1"/>
  <c r="AD2062" i="2"/>
  <c r="AC2062" i="2"/>
  <c r="AC1962" i="2"/>
  <c r="AC2114" i="2"/>
  <c r="AD2114" i="2"/>
  <c r="AC1843" i="2"/>
  <c r="AD1843" i="2" s="1"/>
  <c r="AC1807" i="2"/>
  <c r="AD1807" i="2"/>
  <c r="AC1767" i="2"/>
  <c r="AD1767" i="2"/>
  <c r="AC1741" i="2"/>
  <c r="AD1741" i="2" s="1"/>
  <c r="AC1585" i="2"/>
  <c r="AD1585" i="2"/>
  <c r="AC1783" i="2"/>
  <c r="AD1783" i="2" s="1"/>
  <c r="AC1713" i="2"/>
  <c r="AD1713" i="2" s="1"/>
  <c r="AD1586" i="2"/>
  <c r="AC1586" i="2"/>
  <c r="AD1412" i="2"/>
  <c r="AC1412" i="2"/>
  <c r="AD1949" i="2"/>
  <c r="AC1949" i="2"/>
  <c r="AC1644" i="2"/>
  <c r="AD1644" i="2"/>
  <c r="AC1444" i="2"/>
  <c r="AD1444" i="2"/>
  <c r="AC1774" i="2"/>
  <c r="AD1774" i="2" s="1"/>
  <c r="AC1651" i="2"/>
  <c r="AD1651" i="2"/>
  <c r="AD1494" i="2"/>
  <c r="AC1494" i="2"/>
  <c r="AD1573" i="2"/>
  <c r="AC1573" i="2"/>
  <c r="AD1493" i="2"/>
  <c r="AC1493" i="2"/>
  <c r="AD1551" i="2"/>
  <c r="AC1551" i="2"/>
  <c r="AC1556" i="2"/>
  <c r="AD1556" i="2"/>
  <c r="AD1655" i="2"/>
  <c r="AC1655" i="2"/>
  <c r="AD1671" i="2"/>
  <c r="AC1671" i="2"/>
  <c r="AD1687" i="2"/>
  <c r="AC1687" i="2"/>
  <c r="AC1719" i="2"/>
  <c r="AD1719" i="2"/>
  <c r="AD1365" i="2"/>
  <c r="AC1365" i="2"/>
  <c r="AC1471" i="2"/>
  <c r="AD1471" i="2"/>
  <c r="AD1488" i="2"/>
  <c r="AC1488" i="2"/>
  <c r="AC1746" i="2"/>
  <c r="AD1746" i="2"/>
  <c r="AC1764" i="2"/>
  <c r="AD1764" i="2" s="1"/>
  <c r="AC1583" i="2"/>
  <c r="AD1583" i="2" s="1"/>
  <c r="AC1979" i="2"/>
  <c r="AD1979" i="2" s="1"/>
  <c r="AC1734" i="2"/>
  <c r="AD1734" i="2"/>
  <c r="AD2175" i="2"/>
  <c r="AC2175" i="2"/>
  <c r="AC2127" i="2"/>
  <c r="AD2127" i="2"/>
  <c r="AD2193" i="2"/>
  <c r="AC2193" i="2"/>
  <c r="AD1985" i="2"/>
  <c r="AC1985" i="2"/>
  <c r="AC2061" i="2"/>
  <c r="AD2061" i="2"/>
  <c r="AC2389" i="2"/>
  <c r="AD2389" i="2"/>
  <c r="AC2397" i="2"/>
  <c r="AD2397" i="2"/>
  <c r="AD2402" i="2"/>
  <c r="AC2402" i="2"/>
  <c r="AD2198" i="2"/>
  <c r="AC2198" i="2"/>
  <c r="AD2276" i="2"/>
  <c r="AC2276" i="2"/>
  <c r="AD2392" i="2"/>
  <c r="AC2392" i="2"/>
  <c r="AD2533" i="2"/>
  <c r="AC2533" i="2"/>
  <c r="AC2317" i="2"/>
  <c r="AD2317" i="2" s="1"/>
  <c r="AC2325" i="2"/>
  <c r="AD2325" i="2"/>
  <c r="AC2433" i="2"/>
  <c r="AD2433" i="2"/>
  <c r="AD2441" i="2"/>
  <c r="AC2441" i="2"/>
  <c r="AC2449" i="2"/>
  <c r="AD2449" i="2" s="1"/>
  <c r="AD2457" i="2"/>
  <c r="AC2457" i="2"/>
  <c r="AD2574" i="2"/>
  <c r="AC2574" i="2"/>
  <c r="AC2633" i="2"/>
  <c r="AD2633" i="2"/>
  <c r="AD2663" i="2"/>
  <c r="AC2663" i="2"/>
  <c r="AC2594" i="2"/>
  <c r="AD2594" i="2" s="1"/>
  <c r="AD2626" i="2"/>
  <c r="AC2626" i="2"/>
  <c r="AD2748" i="2"/>
  <c r="AC2748" i="2"/>
  <c r="AC2419" i="2"/>
  <c r="AD2419" i="2"/>
  <c r="AC2695" i="2"/>
  <c r="AD2695" i="2" s="1"/>
  <c r="C2853" i="2"/>
  <c r="AD2840" i="2"/>
  <c r="AC2840" i="2"/>
  <c r="AC2808" i="2"/>
  <c r="AD2808" i="2" s="1"/>
  <c r="AC2657" i="2"/>
  <c r="AD2657" i="2"/>
  <c r="AD2791" i="2"/>
  <c r="AC2791" i="2"/>
  <c r="AC2687" i="2"/>
  <c r="AD2687" i="2" s="1"/>
  <c r="AC2472" i="2"/>
  <c r="AD2472" i="2" s="1"/>
  <c r="AD2386" i="2"/>
  <c r="AC2386" i="2"/>
  <c r="AD2348" i="2"/>
  <c r="AC2348" i="2"/>
  <c r="AD2664" i="2"/>
  <c r="AC2664" i="2"/>
  <c r="AD2596" i="2"/>
  <c r="AC2596" i="2"/>
  <c r="AD2787" i="2"/>
  <c r="AC2787" i="2"/>
  <c r="AD2819" i="2"/>
  <c r="AC2819" i="2"/>
  <c r="AD2743" i="2"/>
  <c r="AC2743" i="2"/>
  <c r="AC2715" i="2"/>
  <c r="AD2715" i="2"/>
  <c r="AC2727" i="2"/>
  <c r="AD2727" i="2" s="1"/>
  <c r="AD2536" i="2"/>
  <c r="AC2536" i="2"/>
  <c r="AD2552" i="2"/>
  <c r="AC2552" i="2"/>
  <c r="AD2568" i="2"/>
  <c r="AC2568" i="2"/>
  <c r="AC2692" i="2"/>
  <c r="AD2692" i="2" s="1"/>
  <c r="AD2459" i="2"/>
  <c r="AC2459" i="2"/>
  <c r="AD2698" i="2"/>
  <c r="AC2698" i="2"/>
  <c r="AD2588" i="2"/>
  <c r="AC2588" i="2"/>
  <c r="AD2507" i="2"/>
  <c r="AC2507" i="2"/>
  <c r="AD2398" i="2"/>
  <c r="AC2398" i="2"/>
  <c r="AD2347" i="2"/>
  <c r="AC2347" i="2"/>
  <c r="AD2425" i="2"/>
  <c r="AC2425" i="2"/>
  <c r="AD2103" i="2"/>
  <c r="AC2103" i="2"/>
  <c r="AD2272" i="2"/>
  <c r="AC2272" i="2"/>
  <c r="AD2288" i="2"/>
  <c r="AC2288" i="2"/>
  <c r="AD2186" i="2"/>
  <c r="AC2186" i="2"/>
  <c r="AD2194" i="2"/>
  <c r="AC2194" i="2"/>
  <c r="AD2202" i="2"/>
  <c r="AC2202" i="2"/>
  <c r="AD2144" i="2"/>
  <c r="AC2144" i="2"/>
  <c r="AD2106" i="2"/>
  <c r="AC2106" i="2"/>
  <c r="AD2124" i="2"/>
  <c r="AC2124" i="2"/>
  <c r="AC2065" i="2"/>
  <c r="AD2065" i="2" s="1"/>
  <c r="AD2415" i="2"/>
  <c r="AC2415" i="2"/>
  <c r="AD2401" i="2"/>
  <c r="AC2401" i="2"/>
  <c r="AC2197" i="2"/>
  <c r="AD2197" i="2"/>
  <c r="AC2141" i="2"/>
  <c r="AD2141" i="2"/>
  <c r="AD2048" i="2"/>
  <c r="AC2048" i="2"/>
  <c r="AC2100" i="2"/>
  <c r="AD2100" i="2"/>
  <c r="AD1795" i="2"/>
  <c r="AC1795" i="2"/>
  <c r="AC2067" i="2"/>
  <c r="AD2067" i="2"/>
  <c r="AD1817" i="2"/>
  <c r="AC1817" i="2"/>
  <c r="AD1822" i="2"/>
  <c r="AC1822" i="2"/>
  <c r="AD1668" i="2"/>
  <c r="AC1668" i="2"/>
  <c r="AC1770" i="2"/>
  <c r="AD1770" i="2" s="1"/>
  <c r="AD1708" i="2"/>
  <c r="AC1708" i="2"/>
  <c r="AC1482" i="2"/>
  <c r="AD1482" i="2"/>
  <c r="AC1379" i="2"/>
  <c r="AD1379" i="2"/>
  <c r="AD1580" i="2"/>
  <c r="AC1580" i="2"/>
  <c r="AC1468" i="2"/>
  <c r="AD1468" i="2"/>
  <c r="AC1721" i="2"/>
  <c r="AD1721" i="2"/>
  <c r="AC1211" i="2"/>
  <c r="AD1211" i="2" s="1"/>
  <c r="AC1932" i="2"/>
  <c r="AD1932" i="2"/>
  <c r="AD2157" i="2"/>
  <c r="AC2157" i="2"/>
  <c r="AD2008" i="2"/>
  <c r="AC2008" i="2"/>
  <c r="AC2218" i="2"/>
  <c r="AD2218" i="2"/>
  <c r="AC2081" i="2"/>
  <c r="AD2081" i="2" s="1"/>
  <c r="AC2128" i="2"/>
  <c r="AD2128" i="2"/>
  <c r="AD2298" i="2"/>
  <c r="AC2298" i="2"/>
  <c r="AD2045" i="2"/>
  <c r="AC2045" i="2"/>
  <c r="AC1984" i="2"/>
  <c r="AD1984" i="2" s="1"/>
  <c r="AC2060" i="2"/>
  <c r="AD2060" i="2" s="1"/>
  <c r="AC2068" i="2"/>
  <c r="AD2068" i="2"/>
  <c r="AD2076" i="2"/>
  <c r="AC2076" i="2"/>
  <c r="AC2084" i="2"/>
  <c r="AD2084" i="2"/>
  <c r="AD2206" i="2"/>
  <c r="AC2206" i="2"/>
  <c r="AC2283" i="2"/>
  <c r="AD2283" i="2"/>
  <c r="AC2505" i="2"/>
  <c r="AD2505" i="2"/>
  <c r="AD2513" i="2"/>
  <c r="AC2513" i="2"/>
  <c r="AC2539" i="2"/>
  <c r="AD2539" i="2"/>
  <c r="AC2555" i="2"/>
  <c r="AD2555" i="2"/>
  <c r="AC2399" i="2"/>
  <c r="AD2399" i="2"/>
  <c r="AD2346" i="2"/>
  <c r="AC2346" i="2"/>
  <c r="AD2384" i="2"/>
  <c r="AC2384" i="2"/>
  <c r="AC2541" i="2"/>
  <c r="AD2541" i="2"/>
  <c r="AD2717" i="2"/>
  <c r="AC2717" i="2"/>
  <c r="AD2412" i="2"/>
  <c r="AC2412" i="2"/>
  <c r="AC2434" i="2"/>
  <c r="AD2434" i="2" s="1"/>
  <c r="AC2504" i="2"/>
  <c r="AD2504" i="2"/>
  <c r="AC2595" i="2"/>
  <c r="AD2595" i="2" s="1"/>
  <c r="AD2611" i="2"/>
  <c r="AC2611" i="2"/>
  <c r="AD2627" i="2"/>
  <c r="AC2627" i="2"/>
  <c r="AD2534" i="2"/>
  <c r="AC2534" i="2"/>
  <c r="AC2625" i="2"/>
  <c r="AD2625" i="2"/>
  <c r="AC2671" i="2"/>
  <c r="AD2671" i="2"/>
  <c r="C1234" i="2"/>
  <c r="AC1233" i="2"/>
  <c r="C877" i="2"/>
  <c r="AC876" i="2"/>
  <c r="AC2336" i="2"/>
  <c r="AD2336" i="2"/>
  <c r="AD2411" i="2"/>
  <c r="AC2411" i="2"/>
  <c r="AD2443" i="2"/>
  <c r="AC2443" i="2"/>
  <c r="AC2628" i="2"/>
  <c r="AD2628" i="2" s="1"/>
  <c r="AC2781" i="2"/>
  <c r="AD2781" i="2"/>
  <c r="AC2813" i="2"/>
  <c r="AD2813" i="2"/>
  <c r="AC2845" i="2"/>
  <c r="AD2845" i="2"/>
  <c r="AD2690" i="2"/>
  <c r="AC2690" i="2"/>
  <c r="AD2605" i="2"/>
  <c r="AC2605" i="2"/>
  <c r="AD2576" i="2"/>
  <c r="AC2576" i="2"/>
  <c r="AD2312" i="2"/>
  <c r="AC2312" i="2"/>
  <c r="AD2818" i="2"/>
  <c r="AC2818" i="2"/>
  <c r="AD2766" i="2"/>
  <c r="AC2766" i="2"/>
  <c r="AD2629" i="2"/>
  <c r="AC2629" i="2"/>
  <c r="AC2812" i="2"/>
  <c r="AD2812" i="2" s="1"/>
  <c r="AC2828" i="2"/>
  <c r="AD2828" i="2" s="1"/>
  <c r="AC2844" i="2"/>
  <c r="AD2844" i="2"/>
  <c r="AC2684" i="2"/>
  <c r="AD2684" i="2"/>
  <c r="AD2700" i="2"/>
  <c r="AC2700" i="2"/>
  <c r="AC2721" i="2"/>
  <c r="AD2721" i="2"/>
  <c r="AC2729" i="2"/>
  <c r="AD2729" i="2" s="1"/>
  <c r="AC2665" i="2"/>
  <c r="AD2665" i="2"/>
  <c r="AD2674" i="2"/>
  <c r="AC2674" i="2"/>
  <c r="AD2444" i="2"/>
  <c r="AC2444" i="2"/>
  <c r="AD2176" i="2"/>
  <c r="AC2176" i="2"/>
  <c r="AD2659" i="2"/>
  <c r="AC2659" i="2"/>
  <c r="AC2592" i="2"/>
  <c r="AD2592" i="2" s="1"/>
  <c r="AD2624" i="2"/>
  <c r="AC2624" i="2"/>
  <c r="AD2546" i="2"/>
  <c r="AC2546" i="2"/>
  <c r="AD2502" i="2"/>
  <c r="AC2502" i="2"/>
  <c r="AD2518" i="2"/>
  <c r="AC2518" i="2"/>
  <c r="AC2438" i="2"/>
  <c r="AD2438" i="2" s="1"/>
  <c r="AC2454" i="2"/>
  <c r="AD2454" i="2" s="1"/>
  <c r="AD2511" i="2"/>
  <c r="AC2511" i="2"/>
  <c r="AD2279" i="2"/>
  <c r="AC2279" i="2"/>
  <c r="AD2149" i="2"/>
  <c r="AC2149" i="2"/>
  <c r="AC2432" i="2"/>
  <c r="AD2432" i="2"/>
  <c r="AD2303" i="2"/>
  <c r="AC2303" i="2"/>
  <c r="AD1809" i="2"/>
  <c r="AC1809" i="2"/>
  <c r="AD2161" i="2"/>
  <c r="AC2161" i="2"/>
  <c r="AD2559" i="2"/>
  <c r="AC2559" i="2"/>
  <c r="AD2575" i="2"/>
  <c r="AC2575" i="2"/>
  <c r="AD2506" i="2"/>
  <c r="AC2506" i="2"/>
  <c r="AD2478" i="2"/>
  <c r="AC2478" i="2"/>
  <c r="AD2345" i="2"/>
  <c r="AC2345" i="2"/>
  <c r="AD2146" i="2"/>
  <c r="AC2146" i="2"/>
  <c r="AD1950" i="2"/>
  <c r="AC1950" i="2"/>
  <c r="AC2237" i="2"/>
  <c r="AD2199" i="2"/>
  <c r="AC2199" i="2"/>
  <c r="AD2049" i="2"/>
  <c r="AC2049" i="2"/>
  <c r="AD2051" i="2"/>
  <c r="AC2051" i="2"/>
  <c r="AC2032" i="2"/>
  <c r="AC2058" i="2"/>
  <c r="AD2058" i="2"/>
  <c r="AD2324" i="2"/>
  <c r="AC2324" i="2"/>
  <c r="AD2203" i="2"/>
  <c r="AC2203" i="2"/>
  <c r="AD2143" i="2"/>
  <c r="AC2143" i="2"/>
  <c r="AC2196" i="2"/>
  <c r="AD2196" i="2"/>
  <c r="AD2269" i="2"/>
  <c r="AC2269" i="2"/>
  <c r="AD2285" i="2"/>
  <c r="AC2285" i="2"/>
  <c r="AD1943" i="2"/>
  <c r="AC1943" i="2"/>
  <c r="AC2108" i="2"/>
  <c r="AD2108" i="2" s="1"/>
  <c r="AD2122" i="2"/>
  <c r="AC2122" i="2"/>
  <c r="AC2047" i="2"/>
  <c r="AD2047" i="2"/>
  <c r="AD2075" i="2"/>
  <c r="AC2075" i="2"/>
  <c r="AD2098" i="2"/>
  <c r="AC2098" i="2"/>
  <c r="AD1815" i="2"/>
  <c r="AC1815" i="2"/>
  <c r="AD1833" i="2"/>
  <c r="AC1833" i="2"/>
  <c r="AC1521" i="2"/>
  <c r="AD1521" i="2"/>
  <c r="AC1399" i="2"/>
  <c r="AD1399" i="2" s="1"/>
  <c r="AC1418" i="2"/>
  <c r="AD1418" i="2" s="1"/>
  <c r="AD1825" i="2"/>
  <c r="AC1825" i="2"/>
  <c r="AD1709" i="2"/>
  <c r="AC1709" i="2"/>
  <c r="AD1814" i="2"/>
  <c r="AC1814" i="2"/>
  <c r="AD1670" i="2"/>
  <c r="AC1670" i="2"/>
  <c r="AD1386" i="2"/>
  <c r="AC1386" i="2"/>
  <c r="AC1811" i="2"/>
  <c r="AD1811" i="2"/>
  <c r="AC1827" i="2"/>
  <c r="AD1827" i="2"/>
  <c r="AD1700" i="2"/>
  <c r="AC1700" i="2"/>
  <c r="AC1925" i="2"/>
  <c r="AD1925" i="2" s="1"/>
  <c r="AD1766" i="2"/>
  <c r="AC1766" i="2"/>
  <c r="AC1790" i="2"/>
  <c r="AD1790" i="2"/>
  <c r="AC1705" i="2"/>
  <c r="AD1705" i="2"/>
  <c r="AD1546" i="2"/>
  <c r="AC1546" i="2"/>
  <c r="AC1531" i="2"/>
  <c r="AD1531" i="2" s="1"/>
  <c r="AD1356" i="2"/>
  <c r="AC1356" i="2"/>
  <c r="AD1587" i="2"/>
  <c r="AC1587" i="2"/>
  <c r="AC1165" i="2"/>
  <c r="AD1165" i="2"/>
  <c r="AD1519" i="2"/>
  <c r="AC1519" i="2"/>
  <c r="AC1598" i="2"/>
  <c r="AD1598" i="2"/>
  <c r="AC1711" i="2"/>
  <c r="AD1711" i="2" s="1"/>
  <c r="AD1745" i="2"/>
  <c r="AC1745" i="2"/>
  <c r="AC1355" i="2"/>
  <c r="AD1355" i="2"/>
  <c r="AD1699" i="2"/>
  <c r="AC1699" i="2"/>
  <c r="AD1707" i="2"/>
  <c r="AC1707" i="2"/>
  <c r="AD1715" i="2"/>
  <c r="AC1715" i="2"/>
  <c r="AC1788" i="2"/>
  <c r="AD1788" i="2"/>
  <c r="AC1849" i="2"/>
  <c r="AD1849" i="2"/>
  <c r="AC1567" i="2"/>
  <c r="AD1567" i="2"/>
  <c r="AD1526" i="2"/>
  <c r="AC1526" i="2"/>
  <c r="AC1558" i="2"/>
  <c r="AD1558" i="2" s="1"/>
  <c r="AD1829" i="2"/>
  <c r="AC1829" i="2"/>
  <c r="AD1980" i="2"/>
  <c r="AC1980" i="2"/>
  <c r="AD2334" i="2"/>
  <c r="AC2334" i="2"/>
  <c r="AD2089" i="2"/>
  <c r="AC2089" i="2"/>
  <c r="AC2104" i="2"/>
  <c r="AD2104" i="2" s="1"/>
  <c r="AC1936" i="2"/>
  <c r="AD1936" i="2" s="1"/>
  <c r="AC2121" i="2"/>
  <c r="AD2121" i="2"/>
  <c r="AD2185" i="2"/>
  <c r="AC2185" i="2"/>
  <c r="AD2069" i="2"/>
  <c r="AC2069" i="2"/>
  <c r="AC1968" i="2"/>
  <c r="AD1968" i="2"/>
  <c r="AC2421" i="2"/>
  <c r="AD2421" i="2"/>
  <c r="AD2455" i="2"/>
  <c r="AC2455" i="2"/>
  <c r="AC2439" i="2"/>
  <c r="AD2439" i="2" s="1"/>
  <c r="AC2044" i="2"/>
  <c r="AD2044" i="2" s="1"/>
  <c r="AD2052" i="2"/>
  <c r="AC2052" i="2"/>
  <c r="AD2145" i="2"/>
  <c r="AC2145" i="2"/>
  <c r="AD2153" i="2"/>
  <c r="AC2153" i="2"/>
  <c r="AD2414" i="2"/>
  <c r="AC2414" i="2"/>
  <c r="AD2300" i="2"/>
  <c r="AC2300" i="2"/>
  <c r="AC2391" i="2"/>
  <c r="AD2391" i="2"/>
  <c r="AD2532" i="2"/>
  <c r="AC2532" i="2"/>
  <c r="AD2548" i="2"/>
  <c r="AC2548" i="2"/>
  <c r="AD2564" i="2"/>
  <c r="AC2564" i="2"/>
  <c r="AC2445" i="2"/>
  <c r="AD2445" i="2" s="1"/>
  <c r="AD2549" i="2"/>
  <c r="AC2549" i="2"/>
  <c r="AC2123" i="2"/>
  <c r="AD2123" i="2" s="1"/>
  <c r="AC2653" i="2"/>
  <c r="AD2653" i="2"/>
  <c r="AD2669" i="2"/>
  <c r="AC2669" i="2"/>
  <c r="AC2617" i="2"/>
  <c r="AD2617" i="2"/>
  <c r="AC2586" i="2"/>
  <c r="AD2586" i="2" s="1"/>
  <c r="AC2618" i="2"/>
  <c r="AD2618" i="2"/>
  <c r="AC2728" i="2"/>
  <c r="AD2728" i="2" s="1"/>
  <c r="AD2816" i="2"/>
  <c r="AC2816" i="2"/>
  <c r="AC2784" i="2"/>
  <c r="AD2784" i="2" s="1"/>
  <c r="C945" i="2"/>
  <c r="AD2757" i="2"/>
  <c r="AC2757" i="2"/>
  <c r="AD2642" i="2"/>
  <c r="AC2642" i="2"/>
  <c r="AD2648" i="2"/>
  <c r="AC2648" i="2"/>
  <c r="AD2749" i="2"/>
  <c r="AC2749" i="2"/>
  <c r="AD2783" i="2"/>
  <c r="AD2807" i="2"/>
  <c r="AD2823" i="2"/>
  <c r="AC2823" i="2"/>
  <c r="AD2839" i="2"/>
  <c r="AC2747" i="2"/>
  <c r="AD2747" i="2" s="1"/>
  <c r="AD2763" i="2"/>
  <c r="AC2763" i="2"/>
  <c r="AC2711" i="2"/>
  <c r="AD2711" i="2" s="1"/>
  <c r="AD2528" i="2"/>
  <c r="AC2528" i="2"/>
  <c r="AD2544" i="2"/>
  <c r="AC2544" i="2"/>
  <c r="AD2396" i="2"/>
  <c r="AC2396" i="2"/>
  <c r="AC2811" i="2"/>
  <c r="AD2811" i="2" s="1"/>
  <c r="AD2843" i="2"/>
  <c r="AC2843" i="2"/>
  <c r="AD2767" i="2"/>
  <c r="AC2767" i="2"/>
  <c r="AC2488" i="2"/>
  <c r="AD2488" i="2" s="1"/>
  <c r="AD2614" i="2"/>
  <c r="AC2614" i="2"/>
  <c r="AC2647" i="2"/>
  <c r="AD2647" i="2"/>
  <c r="AD2631" i="2"/>
  <c r="AC2631" i="2"/>
  <c r="AC2542" i="2"/>
  <c r="AD2542" i="2"/>
  <c r="AC2286" i="2"/>
  <c r="AD2286" i="2"/>
  <c r="AC2473" i="2"/>
  <c r="AD2473" i="2" s="1"/>
  <c r="AD2322" i="2"/>
  <c r="AC2322" i="2"/>
  <c r="AC2154" i="2"/>
  <c r="AD2154" i="2"/>
  <c r="AC2278" i="2"/>
  <c r="AD2278" i="2"/>
  <c r="AD2273" i="2"/>
  <c r="AC2273" i="2"/>
  <c r="AD2177" i="2"/>
  <c r="AC2177" i="2"/>
  <c r="AC2159" i="2"/>
  <c r="AD2159" i="2" s="1"/>
  <c r="AD1938" i="2"/>
  <c r="AC1938" i="2"/>
  <c r="AD2174" i="2"/>
  <c r="AC2174" i="2"/>
  <c r="AD2113" i="2"/>
  <c r="AC2113" i="2"/>
  <c r="AC2071" i="2"/>
  <c r="AD2071" i="2" s="1"/>
  <c r="AC2423" i="2"/>
  <c r="AD2423" i="2"/>
  <c r="AD1786" i="2"/>
  <c r="AC1786" i="2"/>
  <c r="AC2042" i="2"/>
  <c r="AD2042" i="2"/>
  <c r="AD2086" i="2"/>
  <c r="AC2086" i="2"/>
  <c r="AC1697" i="2"/>
  <c r="AD1697" i="2"/>
  <c r="AD1769" i="2"/>
  <c r="AC1769" i="2"/>
  <c r="AD1826" i="2"/>
  <c r="AC1826" i="2"/>
  <c r="AC1706" i="2"/>
  <c r="AD1706" i="2"/>
  <c r="AD1374" i="2"/>
  <c r="AC1374" i="2"/>
  <c r="AC1844" i="2"/>
  <c r="AD1844" i="2" s="1"/>
  <c r="AC1683" i="2"/>
  <c r="AD1683" i="2"/>
  <c r="AC1722" i="2"/>
  <c r="AD1722" i="2"/>
  <c r="AD1678" i="2"/>
  <c r="AC1678" i="2"/>
  <c r="AD1541" i="2"/>
  <c r="AC1541" i="2"/>
  <c r="AC1577" i="2"/>
  <c r="AD1577" i="2"/>
  <c r="AC1217" i="2"/>
  <c r="AD1217" i="2" s="1"/>
  <c r="AC1572" i="2"/>
  <c r="AD1572" i="2" s="1"/>
  <c r="AD1737" i="2"/>
  <c r="AC1737" i="2"/>
  <c r="AC1643" i="2"/>
  <c r="AD1643" i="2"/>
  <c r="AD1652" i="2"/>
  <c r="AC1652" i="2"/>
  <c r="AD1499" i="2"/>
  <c r="AC1499" i="2"/>
  <c r="AC1197" i="2"/>
  <c r="AD1197" i="2" s="1"/>
  <c r="AD1686" i="2"/>
  <c r="AC1686" i="2"/>
  <c r="AD1474" i="2"/>
  <c r="AC1474" i="2"/>
  <c r="AC1437" i="2"/>
  <c r="AD1437" i="2"/>
  <c r="AD1502" i="2"/>
  <c r="AC1502" i="2"/>
  <c r="AC1581" i="2"/>
  <c r="AD1581" i="2" s="1"/>
  <c r="AC1553" i="2"/>
  <c r="AD1553" i="2"/>
  <c r="AD1440" i="2"/>
  <c r="AC1440" i="2"/>
  <c r="AC1656" i="2"/>
  <c r="AD1656" i="2"/>
  <c r="AD1821" i="2"/>
  <c r="AC1821" i="2"/>
  <c r="AC1924" i="2"/>
  <c r="AD1924" i="2"/>
  <c r="AD1948" i="2"/>
  <c r="AC1948" i="2"/>
  <c r="AD1824" i="2"/>
  <c r="AC1824" i="2"/>
  <c r="AC2165" i="2"/>
  <c r="AD2165" i="2"/>
  <c r="AC2091" i="2"/>
  <c r="AD2091" i="2"/>
  <c r="AD2016" i="2"/>
  <c r="AC2016" i="2"/>
  <c r="AD2178" i="2"/>
  <c r="AC2178" i="2"/>
  <c r="AD1842" i="2"/>
  <c r="AC1842" i="2"/>
  <c r="AC2142" i="2"/>
  <c r="AD2142" i="2"/>
  <c r="AD2250" i="2"/>
  <c r="AC2250" i="2"/>
  <c r="AD2290" i="2"/>
  <c r="AC2290" i="2"/>
  <c r="AD2105" i="2"/>
  <c r="AC2105" i="2"/>
  <c r="AD2138" i="2"/>
  <c r="AC2138" i="2"/>
  <c r="AC1960" i="2"/>
  <c r="AD1960" i="2"/>
  <c r="AD2335" i="2"/>
  <c r="AC2335" i="2"/>
  <c r="AD2137" i="2"/>
  <c r="AC2137" i="2"/>
  <c r="AC2275" i="2"/>
  <c r="AD2275" i="2"/>
  <c r="AD2310" i="2"/>
  <c r="AC2310" i="2"/>
  <c r="AD2646" i="2"/>
  <c r="AC2646" i="2"/>
  <c r="AC2662" i="2"/>
  <c r="AD2662" i="2"/>
  <c r="AD2247" i="2"/>
  <c r="AC2247" i="2"/>
  <c r="AC2453" i="2"/>
  <c r="AD2453" i="2" s="1"/>
  <c r="AC2557" i="2"/>
  <c r="AD2557" i="2"/>
  <c r="AC2693" i="2"/>
  <c r="AD2693" i="2" s="1"/>
  <c r="AC2725" i="2"/>
  <c r="AD2725" i="2" s="1"/>
  <c r="AD2424" i="2"/>
  <c r="AC2424" i="2"/>
  <c r="AD2694" i="2"/>
  <c r="AC2694" i="2"/>
  <c r="AC2311" i="2"/>
  <c r="AD2311" i="2"/>
  <c r="AD2458" i="2"/>
  <c r="AC2458" i="2"/>
  <c r="AC2585" i="2"/>
  <c r="AD2585" i="2"/>
  <c r="AC2609" i="2"/>
  <c r="AD2609" i="2"/>
  <c r="C1086" i="2"/>
  <c r="C1302" i="2"/>
  <c r="AD2607" i="2"/>
  <c r="AC2607" i="2"/>
  <c r="AD2825" i="2"/>
  <c r="AC2825" i="2"/>
  <c r="AD2793" i="2"/>
  <c r="AC2793" i="2"/>
  <c r="AC2906" i="2"/>
  <c r="AD2906" i="2"/>
  <c r="AD2560" i="2"/>
  <c r="AC2560" i="2"/>
  <c r="AC2720" i="2"/>
  <c r="AD2720" i="2"/>
  <c r="AC2805" i="2"/>
  <c r="AD2805" i="2"/>
  <c r="AC2837" i="2"/>
  <c r="AD2837" i="2"/>
  <c r="AC2817" i="2"/>
  <c r="AD2817" i="2" s="1"/>
  <c r="AD2785" i="2"/>
  <c r="AC2785" i="2"/>
  <c r="AD2672" i="2"/>
  <c r="AC2672" i="2"/>
  <c r="AD2591" i="2"/>
  <c r="AC2591" i="2"/>
  <c r="AC2321" i="2"/>
  <c r="AD2321" i="2" s="1"/>
  <c r="AD2786" i="2"/>
  <c r="AC2786" i="2"/>
  <c r="AC2802" i="2"/>
  <c r="AD2802" i="2" s="1"/>
  <c r="AD2826" i="2"/>
  <c r="AC2826" i="2"/>
  <c r="AD2742" i="2"/>
  <c r="AC2742" i="2"/>
  <c r="AC2673" i="2"/>
  <c r="AD2673" i="2"/>
  <c r="AD2535" i="2"/>
  <c r="AC2535" i="2"/>
  <c r="AD2551" i="2"/>
  <c r="AC2551" i="2"/>
  <c r="AD2416" i="2"/>
  <c r="AC2416" i="2"/>
  <c r="AC2315" i="2"/>
  <c r="AD2315" i="2" s="1"/>
  <c r="AC2722" i="2"/>
  <c r="AD2722" i="2" s="1"/>
  <c r="AD2613" i="2"/>
  <c r="AC2613" i="2"/>
  <c r="AC2736" i="2"/>
  <c r="AD2736" i="2"/>
  <c r="AC2752" i="2"/>
  <c r="AD2752" i="2"/>
  <c r="AC2590" i="2"/>
  <c r="AD2590" i="2"/>
  <c r="AD2479" i="2"/>
  <c r="AC2479" i="2"/>
  <c r="AC2699" i="2"/>
  <c r="AD2699" i="2"/>
  <c r="AD2686" i="2"/>
  <c r="AC2686" i="2"/>
  <c r="AC2726" i="2"/>
  <c r="AD2726" i="2" s="1"/>
  <c r="AD2667" i="2"/>
  <c r="AC2667" i="2"/>
  <c r="AD2600" i="2"/>
  <c r="AC2600" i="2"/>
  <c r="AD2632" i="2"/>
  <c r="AC2632" i="2"/>
  <c r="AD2554" i="2"/>
  <c r="AC2554" i="2"/>
  <c r="AD2501" i="2"/>
  <c r="AC2501" i="2"/>
  <c r="AD2295" i="2"/>
  <c r="AC2295" i="2"/>
  <c r="AD2313" i="2"/>
  <c r="AC2313" i="2"/>
  <c r="AC2323" i="2"/>
  <c r="AD2323" i="2" s="1"/>
  <c r="AC2294" i="2"/>
  <c r="AD2294" i="2"/>
  <c r="AD2519" i="2"/>
  <c r="AC2519" i="2"/>
  <c r="AD2390" i="2"/>
  <c r="AC2390" i="2"/>
  <c r="AC2448" i="2"/>
  <c r="AD2448" i="2"/>
  <c r="AD2418" i="2"/>
  <c r="AC2418" i="2"/>
  <c r="AD2498" i="2"/>
  <c r="AC2498" i="2"/>
  <c r="AD2417" i="2"/>
  <c r="AC2417" i="2"/>
  <c r="AD2297" i="2"/>
  <c r="AC2297" i="2"/>
  <c r="AD2191" i="2"/>
  <c r="AC2191" i="2"/>
  <c r="AC2163" i="2"/>
  <c r="AD2163" i="2"/>
  <c r="AD2109" i="2"/>
  <c r="AC2109" i="2"/>
  <c r="AD2151" i="2"/>
  <c r="AC2151" i="2"/>
  <c r="AD2057" i="2"/>
  <c r="AC2057" i="2"/>
  <c r="AD2164" i="2"/>
  <c r="AC2164" i="2"/>
  <c r="AD2046" i="2"/>
  <c r="AC2046" i="2"/>
  <c r="AD2332" i="2"/>
  <c r="AC2332" i="2"/>
  <c r="AD2195" i="2"/>
  <c r="AC2195" i="2"/>
  <c r="AD2125" i="2"/>
  <c r="AC2125" i="2"/>
  <c r="AD2078" i="2"/>
  <c r="AC2078" i="2"/>
  <c r="AC2188" i="2"/>
  <c r="AD2188" i="2"/>
  <c r="AC2073" i="2"/>
  <c r="AD2073" i="2" s="1"/>
  <c r="AC2102" i="2"/>
  <c r="AD2102" i="2" s="1"/>
  <c r="AD2055" i="2"/>
  <c r="AC2055" i="2"/>
  <c r="AD1747" i="2"/>
  <c r="AC1747" i="2"/>
  <c r="AD1654" i="2"/>
  <c r="AC1654" i="2"/>
  <c r="AC2074" i="2"/>
  <c r="AD2074" i="2"/>
  <c r="AC1730" i="2"/>
  <c r="AD1730" i="2"/>
  <c r="AD1554" i="2"/>
  <c r="AC1554" i="2"/>
  <c r="AC1675" i="2"/>
  <c r="AD1675" i="2"/>
  <c r="AD1831" i="2"/>
  <c r="AC1831" i="2"/>
  <c r="AD1816" i="2"/>
  <c r="AC1816" i="2"/>
  <c r="AD1942" i="2"/>
  <c r="AC1942" i="2"/>
  <c r="AD1810" i="2"/>
  <c r="AC1810" i="2"/>
  <c r="AD1506" i="2"/>
  <c r="AC1506" i="2"/>
  <c r="AD1933" i="2"/>
  <c r="AC1933" i="2"/>
  <c r="AC1731" i="2"/>
  <c r="AD1731" i="2" s="1"/>
  <c r="AD1717" i="2"/>
  <c r="AC1717" i="2"/>
  <c r="AC1398" i="2"/>
  <c r="AD1398" i="2"/>
  <c r="AD1486" i="2"/>
  <c r="AC1486" i="2"/>
  <c r="AC1426" i="2"/>
  <c r="AD1426" i="2" s="1"/>
  <c r="AD1663" i="2"/>
  <c r="AC1663" i="2"/>
  <c r="AD1679" i="2"/>
  <c r="AC1679" i="2"/>
  <c r="AC1703" i="2"/>
  <c r="AD1703" i="2"/>
  <c r="AD1753" i="2"/>
  <c r="AC1753" i="2"/>
  <c r="AD1443" i="2"/>
  <c r="AC1443" i="2"/>
  <c r="AD1524" i="2"/>
  <c r="AC1524" i="2"/>
  <c r="AC1540" i="2"/>
  <c r="AD1540" i="2" s="1"/>
  <c r="AC1780" i="2"/>
  <c r="AD1780" i="2"/>
  <c r="AC1532" i="2"/>
  <c r="AD1532" i="2" s="1"/>
  <c r="AC1550" i="2"/>
  <c r="AD1550" i="2" s="1"/>
  <c r="AC1987" i="2"/>
  <c r="AD1987" i="2"/>
  <c r="AC1947" i="2"/>
  <c r="AD1947" i="2"/>
  <c r="AC2205" i="2"/>
  <c r="AD2205" i="2"/>
  <c r="AC2129" i="2"/>
  <c r="AD2129" i="2" s="1"/>
  <c r="AC2160" i="2"/>
  <c r="AD2160" i="2"/>
  <c r="AD2085" i="2"/>
  <c r="AC2085" i="2"/>
  <c r="AD1976" i="2"/>
  <c r="AC1976" i="2"/>
  <c r="AD2274" i="2"/>
  <c r="AC2274" i="2"/>
  <c r="AD2237" i="2"/>
  <c r="AC2292" i="2"/>
  <c r="AD2292" i="2"/>
  <c r="AD2318" i="2"/>
  <c r="AC2318" i="2"/>
  <c r="AC2383" i="2"/>
  <c r="AD2383" i="2"/>
  <c r="AC2565" i="2"/>
  <c r="AD2565" i="2"/>
  <c r="AD2192" i="2"/>
  <c r="AC2192" i="2"/>
  <c r="AD2200" i="2"/>
  <c r="AC2200" i="2"/>
  <c r="AC2476" i="2"/>
  <c r="AD2476" i="2" s="1"/>
  <c r="AC2601" i="2"/>
  <c r="AD2601" i="2"/>
  <c r="AD2452" i="2"/>
  <c r="AC2452" i="2"/>
  <c r="AC2610" i="2"/>
  <c r="AD2610" i="2" s="1"/>
  <c r="AD2689" i="2"/>
  <c r="AC2689" i="2"/>
  <c r="AD2500" i="2"/>
  <c r="AC2500" i="2"/>
  <c r="AD2589" i="2"/>
  <c r="AC2589" i="2"/>
  <c r="C395" i="2"/>
  <c r="AD2704" i="2"/>
  <c r="AC2704" i="2"/>
  <c r="AD2803" i="2"/>
  <c r="AC2803" i="2"/>
  <c r="AC2835" i="2"/>
  <c r="AD2835" i="2" s="1"/>
  <c r="AD2759" i="2"/>
  <c r="AC2759" i="2"/>
  <c r="AC2649" i="2"/>
  <c r="AD2649" i="2"/>
  <c r="AD2658" i="2"/>
  <c r="AC2658" i="2"/>
  <c r="AD2508" i="2"/>
  <c r="AC2508" i="2"/>
  <c r="AD2537" i="2"/>
  <c r="AC2537" i="2"/>
  <c r="AD2553" i="2"/>
  <c r="AC2553" i="2"/>
  <c r="AD2499" i="2"/>
  <c r="AC2499" i="2"/>
  <c r="AD2271" i="2"/>
  <c r="AC2271" i="2"/>
  <c r="AC2685" i="2"/>
  <c r="AD2685" i="2"/>
  <c r="AC2713" i="2"/>
  <c r="AD2713" i="2"/>
  <c r="AD2615" i="2"/>
  <c r="AC2615" i="2"/>
  <c r="AD2516" i="2"/>
  <c r="AC2516" i="2"/>
  <c r="AC2481" i="2"/>
  <c r="AD2481" i="2" s="1"/>
  <c r="AC2437" i="2"/>
  <c r="AD2437" i="2" s="1"/>
  <c r="AC2270" i="2"/>
  <c r="AD2270" i="2"/>
  <c r="AD2289" i="2"/>
  <c r="AC2289" i="2"/>
  <c r="AC2387" i="2"/>
  <c r="AD2387" i="2"/>
  <c r="AC2140" i="2"/>
  <c r="AD2140" i="2"/>
  <c r="AC2338" i="2"/>
  <c r="AD2338" i="2" s="1"/>
  <c r="AD2280" i="2"/>
  <c r="AC2280" i="2"/>
  <c r="AD2296" i="2"/>
  <c r="AC2296" i="2"/>
  <c r="AD2111" i="2"/>
  <c r="AC2111" i="2"/>
  <c r="AC1733" i="2"/>
  <c r="AD1733" i="2" s="1"/>
  <c r="AD2064" i="2"/>
  <c r="AC2064" i="2"/>
  <c r="AC2136" i="2"/>
  <c r="AD2136" i="2" s="1"/>
  <c r="AD2059" i="2"/>
  <c r="AC2059" i="2"/>
  <c r="AC2126" i="2"/>
  <c r="AD2126" i="2" s="1"/>
  <c r="AD2072" i="2"/>
  <c r="AC2072" i="2"/>
  <c r="AC1931" i="2"/>
  <c r="AD1931" i="2" s="1"/>
  <c r="AD2385" i="2"/>
  <c r="AC2385" i="2"/>
  <c r="AD1928" i="2"/>
  <c r="AC1928" i="2"/>
  <c r="AD2079" i="2"/>
  <c r="AC2079" i="2"/>
  <c r="AC1970" i="2"/>
  <c r="AD1970" i="2" s="1"/>
  <c r="AD2101" i="2"/>
  <c r="AC2101" i="2"/>
  <c r="AC2090" i="2"/>
  <c r="AD2090" i="2"/>
  <c r="AC2082" i="2"/>
  <c r="AD2082" i="2"/>
  <c r="AC1951" i="2"/>
  <c r="AD1951" i="2"/>
  <c r="AD1467" i="2"/>
  <c r="AC1467" i="2"/>
  <c r="AD1578" i="2"/>
  <c r="AC1578" i="2"/>
  <c r="AD1847" i="2"/>
  <c r="AC1847" i="2"/>
  <c r="AC1779" i="2"/>
  <c r="AD1779" i="2" s="1"/>
  <c r="AD1729" i="2"/>
  <c r="AC1729" i="2"/>
  <c r="AD1364" i="2"/>
  <c r="AC1364" i="2"/>
  <c r="AC1785" i="2"/>
  <c r="AD1785" i="2" s="1"/>
  <c r="AC1271" i="2"/>
  <c r="AD1271" i="2"/>
  <c r="AD1508" i="2"/>
  <c r="AC1508" i="2"/>
  <c r="AC1667" i="2"/>
  <c r="AD1667" i="2"/>
  <c r="AD1570" i="2"/>
  <c r="AC1570" i="2"/>
  <c r="AD1164" i="2"/>
  <c r="AC1164" i="2"/>
  <c r="AC1701" i="2"/>
  <c r="AD1701" i="2" s="1"/>
  <c r="AC1782" i="2"/>
  <c r="AD1782" i="2" s="1"/>
  <c r="AD1755" i="2"/>
  <c r="AC1755" i="2"/>
  <c r="AC1549" i="2"/>
  <c r="AD1549" i="2"/>
  <c r="AC1388" i="2"/>
  <c r="AD1388" i="2"/>
  <c r="AC1648" i="2"/>
  <c r="AD1648" i="2"/>
  <c r="AC1664" i="2"/>
  <c r="AD1664" i="2"/>
  <c r="AC1680" i="2"/>
  <c r="AD1680" i="2"/>
  <c r="AC1436" i="2"/>
  <c r="AD1436" i="2"/>
  <c r="AC1425" i="2"/>
  <c r="AD1425" i="2"/>
  <c r="AD1272" i="2"/>
  <c r="AC1272" i="2"/>
  <c r="AC1665" i="2"/>
  <c r="AD1665" i="2"/>
  <c r="AD1491" i="2"/>
  <c r="AC1491" i="2"/>
  <c r="AD1507" i="2"/>
  <c r="AC1507" i="2"/>
  <c r="AC1522" i="2"/>
  <c r="AD1522" i="2" s="1"/>
  <c r="AD1469" i="2"/>
  <c r="AC1469" i="2"/>
  <c r="AD1447" i="2"/>
  <c r="AC1447" i="2"/>
  <c r="AC1287" i="2"/>
  <c r="AD1287" i="2"/>
  <c r="AD1413" i="2"/>
  <c r="AC1413" i="2"/>
  <c r="AD1402" i="2"/>
  <c r="AC1402" i="2"/>
  <c r="AD1351" i="2"/>
  <c r="AC1351" i="2"/>
  <c r="AC1350" i="2"/>
  <c r="AD1350" i="2"/>
  <c r="AD1377" i="2"/>
  <c r="AC1377" i="2"/>
  <c r="AD1424" i="2"/>
  <c r="AC1424" i="2"/>
  <c r="AC1213" i="2"/>
  <c r="AD1213" i="2" s="1"/>
  <c r="AD1354" i="2"/>
  <c r="AC1354" i="2"/>
  <c r="AD1158" i="2"/>
  <c r="AC1158" i="2"/>
  <c r="AC1009" i="2"/>
  <c r="AD1009" i="2"/>
  <c r="AD1170" i="2"/>
  <c r="AC1170" i="2"/>
  <c r="AD1134" i="2"/>
  <c r="AC1134" i="2"/>
  <c r="AC1178" i="2"/>
  <c r="AD1178" i="2" s="1"/>
  <c r="AD1124" i="2"/>
  <c r="AC1124" i="2"/>
  <c r="AD1053" i="2"/>
  <c r="AC1053" i="2"/>
  <c r="AD1127" i="2"/>
  <c r="AC1127" i="2"/>
  <c r="AD1001" i="2"/>
  <c r="AC1001" i="2"/>
  <c r="AD979" i="2"/>
  <c r="AC979" i="2"/>
  <c r="AD914" i="2"/>
  <c r="AC914" i="2"/>
  <c r="AC1143" i="2"/>
  <c r="AD1143" i="2"/>
  <c r="AD1131" i="2"/>
  <c r="AC1131" i="2"/>
  <c r="AD1068" i="2"/>
  <c r="AC1068" i="2"/>
  <c r="AD982" i="2"/>
  <c r="AC982" i="2"/>
  <c r="AD831" i="2"/>
  <c r="AC831" i="2"/>
  <c r="AC1055" i="2"/>
  <c r="AD1055" i="2" s="1"/>
  <c r="AD606" i="2"/>
  <c r="AC606" i="2"/>
  <c r="AD810" i="2"/>
  <c r="AC810" i="2"/>
  <c r="AC711" i="2"/>
  <c r="AD711" i="2"/>
  <c r="AC845" i="2"/>
  <c r="AD845" i="2" s="1"/>
  <c r="AD861" i="2"/>
  <c r="AC861" i="2"/>
  <c r="AC758" i="2"/>
  <c r="AD758" i="2" s="1"/>
  <c r="AD775" i="2"/>
  <c r="AC775" i="2"/>
  <c r="AC856" i="2"/>
  <c r="AD856" i="2"/>
  <c r="AC576" i="2"/>
  <c r="AD576" i="2" s="1"/>
  <c r="AD815" i="2"/>
  <c r="AC815" i="2"/>
  <c r="AC746" i="2"/>
  <c r="AD746" i="2" s="1"/>
  <c r="AD834" i="2"/>
  <c r="AC834" i="2"/>
  <c r="AD850" i="2"/>
  <c r="AC850" i="2"/>
  <c r="AD677" i="2"/>
  <c r="AC677" i="2"/>
  <c r="AD675" i="2"/>
  <c r="AC675" i="2"/>
  <c r="AD597" i="2"/>
  <c r="AC597" i="2"/>
  <c r="AD554" i="2"/>
  <c r="AC554" i="2"/>
  <c r="AC658" i="2"/>
  <c r="AD658" i="2"/>
  <c r="AC553" i="2"/>
  <c r="AD553" i="2" s="1"/>
  <c r="AC512" i="2"/>
  <c r="AD512" i="2"/>
  <c r="AC563" i="2"/>
  <c r="AD563" i="2" s="1"/>
  <c r="AC579" i="2"/>
  <c r="AD579" i="2" s="1"/>
  <c r="AC609" i="2"/>
  <c r="AD609" i="2"/>
  <c r="AC557" i="2"/>
  <c r="AD557" i="2" s="1"/>
  <c r="AD499" i="2"/>
  <c r="AC499" i="2"/>
  <c r="AC527" i="2"/>
  <c r="AD527" i="2"/>
  <c r="AD483" i="2"/>
  <c r="AC483" i="2"/>
  <c r="AD500" i="2"/>
  <c r="AC500" i="2"/>
  <c r="AC474" i="2"/>
  <c r="AD474" i="2" s="1"/>
  <c r="AC503" i="2"/>
  <c r="AD503" i="2" s="1"/>
  <c r="AC328" i="2"/>
  <c r="AD328" i="2"/>
  <c r="AC353" i="2"/>
  <c r="AD353" i="2"/>
  <c r="AD239" i="2"/>
  <c r="AC239" i="2"/>
  <c r="AC306" i="2"/>
  <c r="AD306" i="2"/>
  <c r="AD357" i="2"/>
  <c r="AC357" i="2"/>
  <c r="AC344" i="2"/>
  <c r="AD344" i="2"/>
  <c r="AD329" i="2"/>
  <c r="AC329" i="2"/>
  <c r="AD278" i="2"/>
  <c r="AC278" i="2"/>
  <c r="AC259" i="2"/>
  <c r="AD259" i="2" s="1"/>
  <c r="AD337" i="2"/>
  <c r="AC337" i="2"/>
  <c r="AD267" i="2"/>
  <c r="AC267" i="2"/>
  <c r="AC263" i="2"/>
  <c r="AD263" i="2"/>
  <c r="AC123" i="2"/>
  <c r="AD123" i="2"/>
  <c r="AC199" i="2"/>
  <c r="AD199" i="2" s="1"/>
  <c r="AD238" i="2"/>
  <c r="AC238" i="2"/>
  <c r="AC207" i="2"/>
  <c r="AD207" i="2" s="1"/>
  <c r="AD213" i="2"/>
  <c r="AC213" i="2"/>
  <c r="AC144" i="2"/>
  <c r="AD144" i="2"/>
  <c r="AD191" i="2"/>
  <c r="AC191" i="2"/>
  <c r="AD117" i="2"/>
  <c r="AC117" i="2"/>
  <c r="AD118" i="2"/>
  <c r="AC118" i="2"/>
  <c r="AD112" i="2"/>
  <c r="AC112" i="2"/>
  <c r="AC80" i="2"/>
  <c r="AD80" i="2" s="1"/>
  <c r="AC148" i="2"/>
  <c r="AD148" i="2"/>
  <c r="AC114" i="2"/>
  <c r="AD114" i="2"/>
  <c r="AD136" i="2"/>
  <c r="AC136" i="2"/>
  <c r="AD103" i="2"/>
  <c r="AC103" i="2"/>
  <c r="AD2490" i="2"/>
  <c r="AC2490" i="2"/>
  <c r="AC2644" i="2"/>
  <c r="AD2644" i="2"/>
  <c r="AC2768" i="2"/>
  <c r="AD2768" i="2"/>
  <c r="AC2745" i="2"/>
  <c r="AD2745" i="2" s="1"/>
  <c r="AD2388" i="2"/>
  <c r="AC2388" i="2"/>
  <c r="AD1520" i="2"/>
  <c r="AC1520" i="2"/>
  <c r="AD1646" i="2"/>
  <c r="AC1646" i="2"/>
  <c r="AC1740" i="2"/>
  <c r="AD1740" i="2" s="1"/>
  <c r="AC1756" i="2"/>
  <c r="AD1756" i="2" s="1"/>
  <c r="AD1661" i="2"/>
  <c r="AC1661" i="2"/>
  <c r="AD1571" i="2"/>
  <c r="AC1571" i="2"/>
  <c r="AC1533" i="2"/>
  <c r="AD1533" i="2" s="1"/>
  <c r="AC1160" i="2"/>
  <c r="AD1160" i="2"/>
  <c r="AC1537" i="2"/>
  <c r="AD1537" i="2" s="1"/>
  <c r="AC1484" i="2"/>
  <c r="AD1484" i="2"/>
  <c r="AC1452" i="2"/>
  <c r="AD1452" i="2"/>
  <c r="AC1206" i="2"/>
  <c r="AD1206" i="2" s="1"/>
  <c r="AD1720" i="2"/>
  <c r="AC1720" i="2"/>
  <c r="AD1658" i="2"/>
  <c r="AC1658" i="2"/>
  <c r="AC1576" i="2"/>
  <c r="AD1576" i="2" s="1"/>
  <c r="AD1446" i="2"/>
  <c r="AC1446" i="2"/>
  <c r="AD1385" i="2"/>
  <c r="AC1385" i="2"/>
  <c r="AC1210" i="2"/>
  <c r="AD1210" i="2" s="1"/>
  <c r="AD1077" i="2"/>
  <c r="AC1077" i="2"/>
  <c r="AD1070" i="2"/>
  <c r="AC1070" i="2"/>
  <c r="AD1216" i="2"/>
  <c r="AC1216" i="2"/>
  <c r="AD1166" i="2"/>
  <c r="AC1166" i="2"/>
  <c r="AC930" i="2"/>
  <c r="AD930" i="2" s="1"/>
  <c r="AD1064" i="2"/>
  <c r="AC1064" i="2"/>
  <c r="AD1042" i="2"/>
  <c r="AC1042" i="2"/>
  <c r="AD1035" i="2"/>
  <c r="AC1035" i="2"/>
  <c r="AD994" i="2"/>
  <c r="AC994" i="2"/>
  <c r="AC838" i="2"/>
  <c r="AD838" i="2"/>
  <c r="AC927" i="2"/>
  <c r="AD927" i="2"/>
  <c r="AC849" i="2"/>
  <c r="AD849" i="2" s="1"/>
  <c r="AC857" i="2"/>
  <c r="AD857" i="2" s="1"/>
  <c r="AC749" i="2"/>
  <c r="AD749" i="2" s="1"/>
  <c r="AD726" i="2"/>
  <c r="AC726" i="2"/>
  <c r="AD669" i="2"/>
  <c r="AC669" i="2"/>
  <c r="AD710" i="2"/>
  <c r="AC710" i="2"/>
  <c r="AD638" i="2"/>
  <c r="AC638" i="2"/>
  <c r="AD738" i="2"/>
  <c r="AC738" i="2"/>
  <c r="AD670" i="2"/>
  <c r="AC670" i="2"/>
  <c r="AD787" i="2"/>
  <c r="AC787" i="2"/>
  <c r="AD682" i="2"/>
  <c r="AC682" i="2"/>
  <c r="AD647" i="2"/>
  <c r="AC647" i="2"/>
  <c r="AD655" i="2"/>
  <c r="AC655" i="2"/>
  <c r="AD663" i="2"/>
  <c r="AC663" i="2"/>
  <c r="AC684" i="2"/>
  <c r="AD684" i="2"/>
  <c r="AD652" i="2"/>
  <c r="AC652" i="2"/>
  <c r="AC612" i="2"/>
  <c r="AD612" i="2" s="1"/>
  <c r="AD678" i="2"/>
  <c r="AC678" i="2"/>
  <c r="AD600" i="2"/>
  <c r="AC600" i="2"/>
  <c r="AD564" i="2"/>
  <c r="AC564" i="2"/>
  <c r="AC528" i="2"/>
  <c r="AD528" i="2"/>
  <c r="AC578" i="2"/>
  <c r="AD578" i="2" s="1"/>
  <c r="AD538" i="2"/>
  <c r="AC538" i="2"/>
  <c r="AD537" i="2"/>
  <c r="AC537" i="2"/>
  <c r="AD449" i="2"/>
  <c r="AC449" i="2"/>
  <c r="AC331" i="2"/>
  <c r="AD331" i="2" s="1"/>
  <c r="AD340" i="2"/>
  <c r="AC340" i="2"/>
  <c r="AC298" i="2"/>
  <c r="AD298" i="2"/>
  <c r="AC279" i="2"/>
  <c r="AD279" i="2"/>
  <c r="AC309" i="2"/>
  <c r="AD309" i="2"/>
  <c r="AD317" i="2"/>
  <c r="AC317" i="2"/>
  <c r="AD333" i="2"/>
  <c r="AC333" i="2"/>
  <c r="AC341" i="2"/>
  <c r="AD341" i="2"/>
  <c r="AD247" i="2"/>
  <c r="AC247" i="2"/>
  <c r="AD145" i="2"/>
  <c r="AC145" i="2"/>
  <c r="AC210" i="2"/>
  <c r="AD210" i="2"/>
  <c r="AD150" i="2"/>
  <c r="AC150" i="2"/>
  <c r="AD209" i="2"/>
  <c r="AC209" i="2"/>
  <c r="AD124" i="2"/>
  <c r="AC124" i="2"/>
  <c r="AD122" i="2"/>
  <c r="AC122" i="2"/>
  <c r="AD115" i="2"/>
  <c r="AC115" i="2"/>
  <c r="AC72" i="2"/>
  <c r="AD72" i="2"/>
  <c r="AD100" i="2"/>
  <c r="AC100" i="2"/>
  <c r="AC101" i="2"/>
  <c r="AD101" i="2"/>
  <c r="AC2482" i="2"/>
  <c r="AD2482" i="2" s="1"/>
  <c r="AC2668" i="2"/>
  <c r="AD2668" i="2"/>
  <c r="AC2815" i="2"/>
  <c r="AC2783" i="2"/>
  <c r="AC1538" i="2"/>
  <c r="AD1538" i="2" s="1"/>
  <c r="AC1277" i="2"/>
  <c r="AD1277" i="2" s="1"/>
  <c r="AC1172" i="2"/>
  <c r="AD1172" i="2" s="1"/>
  <c r="AD1736" i="2"/>
  <c r="AC1736" i="2"/>
  <c r="AD1752" i="2"/>
  <c r="AC1752" i="2"/>
  <c r="AD1657" i="2"/>
  <c r="AC1657" i="2"/>
  <c r="AD1477" i="2"/>
  <c r="AC1477" i="2"/>
  <c r="AC1410" i="2"/>
  <c r="AD1410" i="2" s="1"/>
  <c r="AD1401" i="2"/>
  <c r="AC1401" i="2"/>
  <c r="AC1529" i="2"/>
  <c r="AD1529" i="2" s="1"/>
  <c r="AD1274" i="2"/>
  <c r="AC1274" i="2"/>
  <c r="AD1293" i="2"/>
  <c r="AC1293" i="2"/>
  <c r="AC1368" i="2"/>
  <c r="AD1368" i="2"/>
  <c r="AC1292" i="2"/>
  <c r="AD1292" i="2" s="1"/>
  <c r="AD1275" i="2"/>
  <c r="AC1275" i="2"/>
  <c r="AD1209" i="2"/>
  <c r="AC1209" i="2"/>
  <c r="AD1397" i="2"/>
  <c r="AC1397" i="2"/>
  <c r="AD1290" i="2"/>
  <c r="AC1290" i="2"/>
  <c r="AC1226" i="2"/>
  <c r="AD1226" i="2" s="1"/>
  <c r="AD1169" i="2"/>
  <c r="AC1169" i="2"/>
  <c r="AD1180" i="2"/>
  <c r="AC1180" i="2"/>
  <c r="AD1162" i="2"/>
  <c r="AC1162" i="2"/>
  <c r="AD1144" i="2"/>
  <c r="AC1144" i="2"/>
  <c r="AD1204" i="2"/>
  <c r="AC1204" i="2"/>
  <c r="AC1159" i="2"/>
  <c r="AD1159" i="2" s="1"/>
  <c r="AC1147" i="2"/>
  <c r="AD1147" i="2" s="1"/>
  <c r="AC1022" i="2"/>
  <c r="AD1022" i="2" s="1"/>
  <c r="AC1030" i="2"/>
  <c r="AD1030" i="2" s="1"/>
  <c r="AD1004" i="2"/>
  <c r="AC1004" i="2"/>
  <c r="AD909" i="2"/>
  <c r="AC909" i="2"/>
  <c r="AC925" i="2"/>
  <c r="AD925" i="2" s="1"/>
  <c r="AD718" i="2"/>
  <c r="AC718" i="2"/>
  <c r="AC1006" i="2"/>
  <c r="AD1006" i="2"/>
  <c r="AD913" i="2"/>
  <c r="AC913" i="2"/>
  <c r="AC727" i="2"/>
  <c r="AD727" i="2"/>
  <c r="AD646" i="2"/>
  <c r="AC646" i="2"/>
  <c r="AD780" i="2"/>
  <c r="AC780" i="2"/>
  <c r="AD752" i="2"/>
  <c r="AC752" i="2"/>
  <c r="AD819" i="2"/>
  <c r="AC819" i="2"/>
  <c r="AD750" i="2"/>
  <c r="AC750" i="2"/>
  <c r="AD639" i="2"/>
  <c r="AC639" i="2"/>
  <c r="AD759" i="2"/>
  <c r="AC759" i="2"/>
  <c r="AD713" i="2"/>
  <c r="AC713" i="2"/>
  <c r="AC729" i="2"/>
  <c r="AD729" i="2" s="1"/>
  <c r="AD637" i="2"/>
  <c r="AC637" i="2"/>
  <c r="AD662" i="2"/>
  <c r="AC662" i="2"/>
  <c r="AC832" i="2"/>
  <c r="AD832" i="2" s="1"/>
  <c r="AD807" i="2"/>
  <c r="AC807" i="2"/>
  <c r="AC598" i="2"/>
  <c r="AD598" i="2" s="1"/>
  <c r="AC482" i="2"/>
  <c r="AD482" i="2" s="1"/>
  <c r="AC650" i="2"/>
  <c r="AD650" i="2"/>
  <c r="AC627" i="2"/>
  <c r="AD627" i="2"/>
  <c r="AD555" i="2"/>
  <c r="AC555" i="2"/>
  <c r="AC570" i="2"/>
  <c r="AD570" i="2" s="1"/>
  <c r="AC621" i="2"/>
  <c r="AD621" i="2"/>
  <c r="AC601" i="2"/>
  <c r="AD601" i="2" s="1"/>
  <c r="AC610" i="2"/>
  <c r="AD610" i="2"/>
  <c r="AC535" i="2"/>
  <c r="AD535" i="2"/>
  <c r="AD457" i="2"/>
  <c r="AC457" i="2"/>
  <c r="AD530" i="2"/>
  <c r="AC530" i="2"/>
  <c r="AC543" i="2"/>
  <c r="AD543" i="2"/>
  <c r="AD513" i="2"/>
  <c r="AC513" i="2"/>
  <c r="AD480" i="2"/>
  <c r="AC480" i="2"/>
  <c r="AD450" i="2"/>
  <c r="AC450" i="2"/>
  <c r="AC465" i="2"/>
  <c r="AD465" i="2" s="1"/>
  <c r="AC320" i="2"/>
  <c r="AD320" i="2"/>
  <c r="AD282" i="2"/>
  <c r="AC282" i="2"/>
  <c r="AD322" i="2"/>
  <c r="AC322" i="2"/>
  <c r="AD330" i="2"/>
  <c r="AC330" i="2"/>
  <c r="AC268" i="2"/>
  <c r="AD268" i="2"/>
  <c r="AD229" i="2"/>
  <c r="AC229" i="2"/>
  <c r="AC147" i="2"/>
  <c r="AD147" i="2"/>
  <c r="AD153" i="2"/>
  <c r="AC153" i="2"/>
  <c r="AC116" i="2"/>
  <c r="AD116" i="2"/>
  <c r="AC97" i="2"/>
  <c r="AD97" i="2" s="1"/>
  <c r="AD85" i="2"/>
  <c r="AC85" i="2"/>
  <c r="AC84" i="2"/>
  <c r="AD84" i="2" s="1"/>
  <c r="AC83" i="2"/>
  <c r="AD83" i="2" s="1"/>
  <c r="AD99" i="2"/>
  <c r="AC99" i="2"/>
  <c r="AD2474" i="2"/>
  <c r="AC2474" i="2"/>
  <c r="AD2703" i="2"/>
  <c r="AC2703" i="2"/>
  <c r="AD2764" i="2"/>
  <c r="AC2764" i="2"/>
  <c r="AC2737" i="2"/>
  <c r="AD2737" i="2"/>
  <c r="AC2769" i="2"/>
  <c r="AD2769" i="2"/>
  <c r="AD2403" i="2"/>
  <c r="AC2403" i="2"/>
  <c r="AC2739" i="2"/>
  <c r="AC2839" i="2"/>
  <c r="AC2807" i="2"/>
  <c r="AC1284" i="2"/>
  <c r="AD1284" i="2"/>
  <c r="AD1653" i="2"/>
  <c r="AC1653" i="2"/>
  <c r="AD1685" i="2"/>
  <c r="AC1685" i="2"/>
  <c r="AD1517" i="2"/>
  <c r="AC1517" i="2"/>
  <c r="AD1478" i="2"/>
  <c r="AC1478" i="2"/>
  <c r="AC1371" i="2"/>
  <c r="AD1371" i="2"/>
  <c r="AC1157" i="2"/>
  <c r="AD1157" i="2" s="1"/>
  <c r="AD1696" i="2"/>
  <c r="AC1696" i="2"/>
  <c r="AD1650" i="2"/>
  <c r="AC1650" i="2"/>
  <c r="AD1557" i="2"/>
  <c r="AC1557" i="2"/>
  <c r="AD1490" i="2"/>
  <c r="AC1490" i="2"/>
  <c r="AD1438" i="2"/>
  <c r="AC1438" i="2"/>
  <c r="AD1411" i="2"/>
  <c r="AC1411" i="2"/>
  <c r="AC1384" i="2"/>
  <c r="AD1384" i="2"/>
  <c r="AD1171" i="2"/>
  <c r="AC1171" i="2"/>
  <c r="AD1280" i="2"/>
  <c r="AC1280" i="2"/>
  <c r="AC1218" i="2"/>
  <c r="AD1218" i="2" s="1"/>
  <c r="AC1000" i="2"/>
  <c r="AD1000" i="2"/>
  <c r="AD1026" i="2"/>
  <c r="AC1026" i="2"/>
  <c r="AD1071" i="2"/>
  <c r="AC1071" i="2"/>
  <c r="AD1012" i="2"/>
  <c r="AC1012" i="2"/>
  <c r="AD1020" i="2"/>
  <c r="AC1020" i="2"/>
  <c r="AC1028" i="2"/>
  <c r="AD1028" i="2" s="1"/>
  <c r="AD813" i="2"/>
  <c r="AC813" i="2"/>
  <c r="AD1065" i="2"/>
  <c r="AC1065" i="2"/>
  <c r="AD1073" i="2"/>
  <c r="AC1073" i="2"/>
  <c r="AD1021" i="2"/>
  <c r="AC1021" i="2"/>
  <c r="AD1029" i="2"/>
  <c r="AC1029" i="2"/>
  <c r="AC830" i="2"/>
  <c r="AD830" i="2"/>
  <c r="AC1121" i="2"/>
  <c r="AD1121" i="2" s="1"/>
  <c r="AC833" i="2"/>
  <c r="AD833" i="2"/>
  <c r="AC765" i="2"/>
  <c r="AD765" i="2"/>
  <c r="AC993" i="2"/>
  <c r="AD993" i="2"/>
  <c r="AD1034" i="2"/>
  <c r="AC1034" i="2"/>
  <c r="AC1046" i="2"/>
  <c r="AD1046" i="2"/>
  <c r="AC1005" i="2"/>
  <c r="AD1005" i="2"/>
  <c r="AD1010" i="2"/>
  <c r="AC1010" i="2"/>
  <c r="AD910" i="2"/>
  <c r="AC910" i="2"/>
  <c r="AC918" i="2"/>
  <c r="AD918" i="2" s="1"/>
  <c r="AD926" i="2"/>
  <c r="AC926" i="2"/>
  <c r="AC934" i="2"/>
  <c r="AD934" i="2" s="1"/>
  <c r="AC919" i="2"/>
  <c r="AD919" i="2"/>
  <c r="AC818" i="2"/>
  <c r="AD818" i="2"/>
  <c r="AD860" i="2"/>
  <c r="AC860" i="2"/>
  <c r="AD735" i="2"/>
  <c r="AC735" i="2"/>
  <c r="AD797" i="2"/>
  <c r="AC797" i="2"/>
  <c r="AC693" i="2"/>
  <c r="AD693" i="2" s="1"/>
  <c r="AD717" i="2"/>
  <c r="AC717" i="2"/>
  <c r="AD661" i="2"/>
  <c r="AC661" i="2"/>
  <c r="AD644" i="2"/>
  <c r="AC644" i="2"/>
  <c r="AD604" i="2"/>
  <c r="AC604" i="2"/>
  <c r="AC531" i="2"/>
  <c r="AD531" i="2"/>
  <c r="AC580" i="2"/>
  <c r="AD580" i="2"/>
  <c r="AC551" i="2"/>
  <c r="AD551" i="2" s="1"/>
  <c r="AD327" i="2"/>
  <c r="AC327" i="2"/>
  <c r="AC446" i="2"/>
  <c r="AD446" i="2"/>
  <c r="AC466" i="2"/>
  <c r="AD466" i="2"/>
  <c r="AD529" i="2"/>
  <c r="AC529" i="2"/>
  <c r="AC488" i="2"/>
  <c r="AD488" i="2" s="1"/>
  <c r="AD533" i="2"/>
  <c r="AC533" i="2"/>
  <c r="AC454" i="2"/>
  <c r="AD454" i="2"/>
  <c r="AD447" i="2"/>
  <c r="AC447" i="2"/>
  <c r="AC361" i="2"/>
  <c r="AD361" i="2"/>
  <c r="AD266" i="2"/>
  <c r="AC266" i="2"/>
  <c r="AC342" i="2"/>
  <c r="AD342" i="2" s="1"/>
  <c r="AC277" i="2"/>
  <c r="AD277" i="2" s="1"/>
  <c r="AC289" i="2"/>
  <c r="AD289" i="2"/>
  <c r="AD206" i="2"/>
  <c r="AC206" i="2"/>
  <c r="AC208" i="2"/>
  <c r="AD208" i="2" s="1"/>
  <c r="AD182" i="2"/>
  <c r="AC182" i="2"/>
  <c r="AD161" i="2"/>
  <c r="AC161" i="2"/>
  <c r="AC172" i="2"/>
  <c r="AD172" i="2" s="1"/>
  <c r="AC202" i="2"/>
  <c r="AD202" i="2"/>
  <c r="AC197" i="2"/>
  <c r="AD197" i="2" s="1"/>
  <c r="AC173" i="2"/>
  <c r="AD173" i="2"/>
  <c r="AD217" i="2"/>
  <c r="AC217" i="2"/>
  <c r="AD120" i="2"/>
  <c r="AC120" i="2"/>
  <c r="AD132" i="2"/>
  <c r="AC132" i="2"/>
  <c r="AC113" i="2"/>
  <c r="AD113" i="2"/>
  <c r="AC96" i="2"/>
  <c r="AD96" i="2" s="1"/>
  <c r="AD2606" i="2"/>
  <c r="AC2606" i="2"/>
  <c r="AC2824" i="2"/>
  <c r="AD2824" i="2" s="1"/>
  <c r="AC2792" i="2"/>
  <c r="AD3057" i="2"/>
  <c r="AC3057" i="2"/>
  <c r="AC1574" i="2"/>
  <c r="AD1574" i="2"/>
  <c r="AC1582" i="2"/>
  <c r="AD1582" i="2"/>
  <c r="AC1590" i="2"/>
  <c r="AD1590" i="2"/>
  <c r="AC1545" i="2"/>
  <c r="AD1545" i="2"/>
  <c r="AD1453" i="2"/>
  <c r="AC1453" i="2"/>
  <c r="AD1078" i="2"/>
  <c r="AC1078" i="2"/>
  <c r="AC1649" i="2"/>
  <c r="AD1649" i="2"/>
  <c r="AC1681" i="2"/>
  <c r="AD1681" i="2"/>
  <c r="AD1544" i="2"/>
  <c r="AC1544" i="2"/>
  <c r="AD1366" i="2"/>
  <c r="AC1366" i="2"/>
  <c r="AD1462" i="2"/>
  <c r="AC1462" i="2"/>
  <c r="AD1501" i="2"/>
  <c r="AC1501" i="2"/>
  <c r="AC1200" i="2"/>
  <c r="AD1200" i="2"/>
  <c r="AD1224" i="2"/>
  <c r="AC1224" i="2"/>
  <c r="AD1369" i="2"/>
  <c r="AC1369" i="2"/>
  <c r="AC1214" i="2"/>
  <c r="AD1214" i="2"/>
  <c r="AC1208" i="2"/>
  <c r="AD1208" i="2"/>
  <c r="AD1126" i="2"/>
  <c r="AC1126" i="2"/>
  <c r="AC1168" i="2"/>
  <c r="AD1168" i="2" s="1"/>
  <c r="AD1120" i="2"/>
  <c r="AC1120" i="2"/>
  <c r="AC997" i="2"/>
  <c r="AD997" i="2"/>
  <c r="AC1161" i="2"/>
  <c r="AD1161" i="2"/>
  <c r="AD1116" i="2"/>
  <c r="AC1116" i="2"/>
  <c r="AD922" i="2"/>
  <c r="AC922" i="2"/>
  <c r="AC1118" i="2"/>
  <c r="AD1118" i="2" s="1"/>
  <c r="AC1212" i="2"/>
  <c r="AD1212" i="2" s="1"/>
  <c r="AC1038" i="2"/>
  <c r="AD1038" i="2"/>
  <c r="AD1119" i="2"/>
  <c r="AC1119" i="2"/>
  <c r="AD1135" i="2"/>
  <c r="AC1135" i="2"/>
  <c r="AC1033" i="2"/>
  <c r="AD1033" i="2" s="1"/>
  <c r="AC1045" i="2"/>
  <c r="AD1045" i="2" s="1"/>
  <c r="AD841" i="2"/>
  <c r="AC841" i="2"/>
  <c r="AD1023" i="2"/>
  <c r="AC1023" i="2"/>
  <c r="AC1031" i="2"/>
  <c r="AD1031" i="2"/>
  <c r="AC1123" i="2"/>
  <c r="AD1123" i="2"/>
  <c r="AD1076" i="2"/>
  <c r="AC1076" i="2"/>
  <c r="AD1024" i="2"/>
  <c r="AC1024" i="2"/>
  <c r="AC852" i="2"/>
  <c r="AD852" i="2" s="1"/>
  <c r="AD844" i="2"/>
  <c r="AC844" i="2"/>
  <c r="AD821" i="2"/>
  <c r="AC821" i="2"/>
  <c r="AD1047" i="2"/>
  <c r="AC1047" i="2"/>
  <c r="AD805" i="2"/>
  <c r="AC805" i="2"/>
  <c r="AD784" i="2"/>
  <c r="AC784" i="2"/>
  <c r="AC757" i="2"/>
  <c r="AD757" i="2"/>
  <c r="AD837" i="2"/>
  <c r="AC837" i="2"/>
  <c r="AC853" i="2"/>
  <c r="AD853" i="2" s="1"/>
  <c r="AD811" i="2"/>
  <c r="AC811" i="2"/>
  <c r="AD820" i="2"/>
  <c r="AC820" i="2"/>
  <c r="AD783" i="2"/>
  <c r="AC783" i="2"/>
  <c r="AD751" i="2"/>
  <c r="AC751" i="2"/>
  <c r="AD645" i="2"/>
  <c r="AC645" i="2"/>
  <c r="AC840" i="2"/>
  <c r="AD840" i="2"/>
  <c r="AD653" i="2"/>
  <c r="AC653" i="2"/>
  <c r="AC799" i="2"/>
  <c r="AD799" i="2"/>
  <c r="AC762" i="2"/>
  <c r="AD762" i="2"/>
  <c r="AD842" i="2"/>
  <c r="AC842" i="2"/>
  <c r="AD858" i="2"/>
  <c r="AC858" i="2"/>
  <c r="AC701" i="2"/>
  <c r="AD701" i="2" s="1"/>
  <c r="AD626" i="2"/>
  <c r="AC626" i="2"/>
  <c r="AD697" i="2"/>
  <c r="AC697" i="2"/>
  <c r="AC642" i="2"/>
  <c r="AD642" i="2"/>
  <c r="AD619" i="2"/>
  <c r="AC619" i="2"/>
  <c r="AD571" i="2"/>
  <c r="AC571" i="2"/>
  <c r="AD573" i="2"/>
  <c r="AC573" i="2"/>
  <c r="AC602" i="2"/>
  <c r="AD602" i="2" s="1"/>
  <c r="AC550" i="2"/>
  <c r="AD550" i="2" s="1"/>
  <c r="AC558" i="2"/>
  <c r="AD558" i="2" s="1"/>
  <c r="AC566" i="2"/>
  <c r="AD566" i="2"/>
  <c r="AD442" i="2"/>
  <c r="AC442" i="2"/>
  <c r="AD516" i="2"/>
  <c r="AC516" i="2"/>
  <c r="AD470" i="2"/>
  <c r="AC470" i="2"/>
  <c r="AD511" i="2"/>
  <c r="AC511" i="2"/>
  <c r="AD319" i="2"/>
  <c r="AC319" i="2"/>
  <c r="AD359" i="2"/>
  <c r="AC359" i="2"/>
  <c r="AD321" i="2"/>
  <c r="AC321" i="2"/>
  <c r="AC287" i="2"/>
  <c r="AD287" i="2"/>
  <c r="AC290" i="2"/>
  <c r="AD290" i="2" s="1"/>
  <c r="AD299" i="2"/>
  <c r="AC299" i="2"/>
  <c r="AC260" i="2"/>
  <c r="AD260" i="2" s="1"/>
  <c r="AC171" i="2"/>
  <c r="AD171" i="2" s="1"/>
  <c r="AD190" i="2"/>
  <c r="AC190" i="2"/>
  <c r="AD183" i="2"/>
  <c r="AC183" i="2"/>
  <c r="AD246" i="2"/>
  <c r="AC246" i="2"/>
  <c r="AD200" i="2"/>
  <c r="AC200" i="2"/>
  <c r="AC218" i="2"/>
  <c r="AD218" i="2"/>
  <c r="AC215" i="2"/>
  <c r="AD215" i="2"/>
  <c r="AC158" i="2"/>
  <c r="AD158" i="2"/>
  <c r="AD154" i="2"/>
  <c r="AC154" i="2"/>
  <c r="AD156" i="2"/>
  <c r="AC156" i="2"/>
  <c r="AC77" i="2"/>
  <c r="AD77" i="2" s="1"/>
  <c r="AD133" i="2"/>
  <c r="AC133" i="2"/>
  <c r="AC88" i="2"/>
  <c r="AD88" i="2"/>
  <c r="AC70" i="2"/>
  <c r="AD70" i="2" s="1"/>
  <c r="AD67" i="2"/>
  <c r="AC67" i="2"/>
  <c r="AC95" i="2"/>
  <c r="AD95" i="2" s="1"/>
  <c r="AC2652" i="2"/>
  <c r="AD2652" i="2"/>
  <c r="AC2329" i="2"/>
  <c r="AD2329" i="2" s="1"/>
  <c r="AD2724" i="2"/>
  <c r="AC2724" i="2"/>
  <c r="AC2761" i="2"/>
  <c r="AD2761" i="2"/>
  <c r="AD2741" i="2"/>
  <c r="AC2741" i="2"/>
  <c r="AC2707" i="2"/>
  <c r="AD2707" i="2"/>
  <c r="AD1439" i="2"/>
  <c r="AC1439" i="2"/>
  <c r="AD1732" i="2"/>
  <c r="AC1732" i="2"/>
  <c r="AD1748" i="2"/>
  <c r="AC1748" i="2"/>
  <c r="AD1645" i="2"/>
  <c r="AC1645" i="2"/>
  <c r="AD1677" i="2"/>
  <c r="AC1677" i="2"/>
  <c r="AC1417" i="2"/>
  <c r="AD1417" i="2" s="1"/>
  <c r="AD1500" i="2"/>
  <c r="AC1500" i="2"/>
  <c r="AD1372" i="2"/>
  <c r="AC1372" i="2"/>
  <c r="AD1498" i="2"/>
  <c r="AC1498" i="2"/>
  <c r="AD1704" i="2"/>
  <c r="AC1704" i="2"/>
  <c r="AD1642" i="2"/>
  <c r="AC1642" i="2"/>
  <c r="AD1674" i="2"/>
  <c r="AC1674" i="2"/>
  <c r="AD1568" i="2"/>
  <c r="AC1568" i="2"/>
  <c r="AD1584" i="2"/>
  <c r="AC1584" i="2"/>
  <c r="AD1536" i="2"/>
  <c r="AC1536" i="2"/>
  <c r="AD1380" i="2"/>
  <c r="AC1380" i="2"/>
  <c r="AC1279" i="2"/>
  <c r="AD1279" i="2"/>
  <c r="AD1282" i="2"/>
  <c r="AC1282" i="2"/>
  <c r="AD1146" i="2"/>
  <c r="AC1146" i="2"/>
  <c r="AD1198" i="2"/>
  <c r="AC1198" i="2"/>
  <c r="AC1202" i="2"/>
  <c r="AD1202" i="2"/>
  <c r="AD1225" i="2"/>
  <c r="AC1225" i="2"/>
  <c r="AD1163" i="2"/>
  <c r="AC1163" i="2"/>
  <c r="AC1041" i="2"/>
  <c r="AD1041" i="2"/>
  <c r="AD1072" i="2"/>
  <c r="AC1072" i="2"/>
  <c r="AD760" i="2"/>
  <c r="AC760" i="2"/>
  <c r="AD1036" i="2"/>
  <c r="AC1036" i="2"/>
  <c r="AC1129" i="2"/>
  <c r="AD1129" i="2" s="1"/>
  <c r="AC846" i="2"/>
  <c r="AD846" i="2"/>
  <c r="AD1051" i="2"/>
  <c r="AC1051" i="2"/>
  <c r="AC839" i="2"/>
  <c r="AD839" i="2" s="1"/>
  <c r="AC911" i="2"/>
  <c r="AD911" i="2"/>
  <c r="AC855" i="2"/>
  <c r="AD855" i="2" s="1"/>
  <c r="AC773" i="2"/>
  <c r="AD773" i="2"/>
  <c r="AD714" i="2"/>
  <c r="AC714" i="2"/>
  <c r="AC734" i="2"/>
  <c r="AD734" i="2" s="1"/>
  <c r="AD622" i="2"/>
  <c r="AC622" i="2"/>
  <c r="AD698" i="2"/>
  <c r="AC698" i="2"/>
  <c r="AC725" i="2"/>
  <c r="AD725" i="2" s="1"/>
  <c r="AD561" i="2"/>
  <c r="AC561" i="2"/>
  <c r="AD674" i="2"/>
  <c r="AC674" i="2"/>
  <c r="AD581" i="2"/>
  <c r="AC581" i="2"/>
  <c r="AC636" i="2"/>
  <c r="AD636" i="2"/>
  <c r="AD668" i="2"/>
  <c r="AC668" i="2"/>
  <c r="AD596" i="2"/>
  <c r="AC596" i="2"/>
  <c r="AC556" i="2"/>
  <c r="AD556" i="2" s="1"/>
  <c r="AD515" i="2"/>
  <c r="AC515" i="2"/>
  <c r="AC490" i="2"/>
  <c r="AD490" i="2" s="1"/>
  <c r="AD505" i="2"/>
  <c r="AC505" i="2"/>
  <c r="AD468" i="2"/>
  <c r="AC468" i="2"/>
  <c r="AD336" i="2"/>
  <c r="AC336" i="2"/>
  <c r="AD472" i="2"/>
  <c r="AC472" i="2"/>
  <c r="AC481" i="2"/>
  <c r="AD481" i="2" s="1"/>
  <c r="AD486" i="2"/>
  <c r="AC486" i="2"/>
  <c r="AD338" i="2"/>
  <c r="AC338" i="2"/>
  <c r="AD262" i="2"/>
  <c r="AC262" i="2"/>
  <c r="AD325" i="2"/>
  <c r="AC325" i="2"/>
  <c r="AC216" i="2"/>
  <c r="AD216" i="2" s="1"/>
  <c r="AD265" i="2"/>
  <c r="AC265" i="2"/>
  <c r="AC258" i="2"/>
  <c r="AD258" i="2" s="1"/>
  <c r="AD230" i="2"/>
  <c r="AC230" i="2"/>
  <c r="AC281" i="2"/>
  <c r="AD281" i="2" s="1"/>
  <c r="AC211" i="2"/>
  <c r="AD211" i="2"/>
  <c r="AC303" i="2"/>
  <c r="AD303" i="2"/>
  <c r="AC192" i="2"/>
  <c r="AD192" i="2"/>
  <c r="AD245" i="2"/>
  <c r="AC245" i="2"/>
  <c r="AC186" i="2"/>
  <c r="AD186" i="2"/>
  <c r="AD201" i="2"/>
  <c r="AC201" i="2"/>
  <c r="AC126" i="2"/>
  <c r="AD126" i="2"/>
  <c r="AD205" i="2"/>
  <c r="AC205" i="2"/>
  <c r="AD130" i="2"/>
  <c r="AC130" i="2"/>
  <c r="AC76" i="2"/>
  <c r="AD76" i="2"/>
  <c r="AD2832" i="2"/>
  <c r="AC2832" i="2"/>
  <c r="AD2800" i="2"/>
  <c r="AC2800" i="2"/>
  <c r="AC2475" i="2"/>
  <c r="AD2475" i="2" s="1"/>
  <c r="AC2483" i="2"/>
  <c r="AD2483" i="2" s="1"/>
  <c r="AD2491" i="2"/>
  <c r="AC2491" i="2"/>
  <c r="C2966" i="2"/>
  <c r="AC1492" i="2"/>
  <c r="AD1492" i="2"/>
  <c r="AC1744" i="2"/>
  <c r="AD1744" i="2"/>
  <c r="AD1641" i="2"/>
  <c r="AC1641" i="2"/>
  <c r="AD1673" i="2"/>
  <c r="AC1673" i="2"/>
  <c r="AD1470" i="2"/>
  <c r="AC1470" i="2"/>
  <c r="AD1483" i="2"/>
  <c r="AC1483" i="2"/>
  <c r="AD1269" i="2"/>
  <c r="AC1269" i="2"/>
  <c r="AD1448" i="2"/>
  <c r="AC1448" i="2"/>
  <c r="AC1421" i="2"/>
  <c r="AD1421" i="2" s="1"/>
  <c r="AC1205" i="2"/>
  <c r="AD1205" i="2"/>
  <c r="AC1117" i="2"/>
  <c r="AD1117" i="2"/>
  <c r="AC1376" i="2"/>
  <c r="AD1376" i="2"/>
  <c r="AC1416" i="2"/>
  <c r="AD1416" i="2" s="1"/>
  <c r="AC1176" i="2"/>
  <c r="AD1176" i="2"/>
  <c r="AC1186" i="2"/>
  <c r="AD1186" i="2" s="1"/>
  <c r="AC1044" i="2"/>
  <c r="AD1044" i="2" s="1"/>
  <c r="AD1220" i="2"/>
  <c r="AC1220" i="2"/>
  <c r="AD802" i="2"/>
  <c r="AC802" i="2"/>
  <c r="AD1188" i="2"/>
  <c r="AC1188" i="2"/>
  <c r="AD995" i="2"/>
  <c r="AC995" i="2"/>
  <c r="AC1054" i="2"/>
  <c r="AD1054" i="2" s="1"/>
  <c r="AC1049" i="2"/>
  <c r="AD1049" i="2"/>
  <c r="AD996" i="2"/>
  <c r="AC996" i="2"/>
  <c r="AC847" i="2"/>
  <c r="AD847" i="2" s="1"/>
  <c r="AD1184" i="2"/>
  <c r="AC1184" i="2"/>
  <c r="AC917" i="2"/>
  <c r="AD917" i="2" s="1"/>
  <c r="AD933" i="2"/>
  <c r="AC933" i="2"/>
  <c r="AD776" i="2"/>
  <c r="AC776" i="2"/>
  <c r="AC719" i="2"/>
  <c r="AD719" i="2"/>
  <c r="AD1039" i="2"/>
  <c r="AC1039" i="2"/>
  <c r="AD998" i="2"/>
  <c r="AC998" i="2"/>
  <c r="AD804" i="2"/>
  <c r="AC804" i="2"/>
  <c r="AC863" i="2"/>
  <c r="AD863" i="2" s="1"/>
  <c r="AD803" i="2"/>
  <c r="AC803" i="2"/>
  <c r="AD766" i="2"/>
  <c r="AC766" i="2"/>
  <c r="AD625" i="2"/>
  <c r="AC625" i="2"/>
  <c r="AD812" i="2"/>
  <c r="AC812" i="2"/>
  <c r="AD721" i="2"/>
  <c r="AC721" i="2"/>
  <c r="AD737" i="2"/>
  <c r="AC737" i="2"/>
  <c r="AD676" i="2"/>
  <c r="AC676" i="2"/>
  <c r="AC848" i="2"/>
  <c r="AD848" i="2"/>
  <c r="AD823" i="2"/>
  <c r="AC823" i="2"/>
  <c r="AD754" i="2"/>
  <c r="AC754" i="2"/>
  <c r="AC679" i="2"/>
  <c r="AD679" i="2"/>
  <c r="AD605" i="2"/>
  <c r="AC605" i="2"/>
  <c r="AC696" i="2"/>
  <c r="AD696" i="2"/>
  <c r="AC634" i="2"/>
  <c r="AD634" i="2"/>
  <c r="AC666" i="2"/>
  <c r="AD666" i="2"/>
  <c r="AD683" i="2"/>
  <c r="AC683" i="2"/>
  <c r="AD635" i="2"/>
  <c r="AC635" i="2"/>
  <c r="AD643" i="2"/>
  <c r="AC643" i="2"/>
  <c r="AD651" i="2"/>
  <c r="AC651" i="2"/>
  <c r="AC659" i="2"/>
  <c r="AD659" i="2"/>
  <c r="AD667" i="2"/>
  <c r="AC667" i="2"/>
  <c r="AD526" i="2"/>
  <c r="AC526" i="2"/>
  <c r="AC671" i="2"/>
  <c r="AD671" i="2"/>
  <c r="AC572" i="2"/>
  <c r="AD572" i="2"/>
  <c r="AC577" i="2"/>
  <c r="AD577" i="2" s="1"/>
  <c r="AC565" i="2"/>
  <c r="AD565" i="2"/>
  <c r="AC525" i="2"/>
  <c r="AD525" i="2"/>
  <c r="AD536" i="2"/>
  <c r="AC536" i="2"/>
  <c r="AD478" i="2"/>
  <c r="AC478" i="2"/>
  <c r="AC504" i="2"/>
  <c r="AD504" i="2"/>
  <c r="AC485" i="2"/>
  <c r="AD485" i="2"/>
  <c r="AC508" i="2"/>
  <c r="AD508" i="2" s="1"/>
  <c r="AC473" i="2"/>
  <c r="AD473" i="2" s="1"/>
  <c r="AD542" i="2"/>
  <c r="AC542" i="2"/>
  <c r="AC301" i="2"/>
  <c r="AD301" i="2"/>
  <c r="AC318" i="2"/>
  <c r="AD318" i="2"/>
  <c r="AD351" i="2"/>
  <c r="AC351" i="2"/>
  <c r="AD276" i="2"/>
  <c r="AC276" i="2"/>
  <c r="AD248" i="2"/>
  <c r="AC248" i="2"/>
  <c r="AD326" i="2"/>
  <c r="AC326" i="2"/>
  <c r="AD334" i="2"/>
  <c r="AC334" i="2"/>
  <c r="AC284" i="2"/>
  <c r="AD284" i="2"/>
  <c r="AC264" i="2"/>
  <c r="AD264" i="2" s="1"/>
  <c r="AC189" i="2"/>
  <c r="AD189" i="2"/>
  <c r="AD240" i="2"/>
  <c r="AC240" i="2"/>
  <c r="AC194" i="2"/>
  <c r="AD194" i="2" s="1"/>
  <c r="AC105" i="2"/>
  <c r="AD105" i="2" s="1"/>
  <c r="AC185" i="2"/>
  <c r="AD185" i="2" s="1"/>
  <c r="AC244" i="2"/>
  <c r="AD244" i="2" s="1"/>
  <c r="AD228" i="2"/>
  <c r="AC228" i="2"/>
  <c r="AC193" i="2"/>
  <c r="AD193" i="2" s="1"/>
  <c r="AC169" i="2"/>
  <c r="AD169" i="2" s="1"/>
  <c r="AD146" i="2"/>
  <c r="AC146" i="2"/>
  <c r="AD104" i="2"/>
  <c r="AC104" i="2"/>
  <c r="AD125" i="2"/>
  <c r="AC125" i="2"/>
  <c r="AD79" i="2"/>
  <c r="AC79" i="2"/>
  <c r="AD68" i="2"/>
  <c r="AC68" i="2"/>
  <c r="AC87" i="2"/>
  <c r="AD87" i="2" s="1"/>
  <c r="AC91" i="2"/>
  <c r="AD91" i="2" s="1"/>
  <c r="AD2420" i="2"/>
  <c r="AC2420" i="2"/>
  <c r="AC2753" i="2"/>
  <c r="AD2753" i="2"/>
  <c r="AC2696" i="2"/>
  <c r="AD2696" i="2" s="1"/>
  <c r="AD2756" i="2"/>
  <c r="AC2756" i="2"/>
  <c r="AD2792" i="2"/>
  <c r="C3058" i="2"/>
  <c r="AD1669" i="2"/>
  <c r="AC1669" i="2"/>
  <c r="AD1579" i="2"/>
  <c r="AC1579" i="2"/>
  <c r="AC1222" i="2"/>
  <c r="AD1222" i="2"/>
  <c r="AD1552" i="2"/>
  <c r="AC1552" i="2"/>
  <c r="AC1485" i="2"/>
  <c r="AD1485" i="2"/>
  <c r="AD1267" i="2"/>
  <c r="AC1267" i="2"/>
  <c r="AC1530" i="2"/>
  <c r="AD1530" i="2" s="1"/>
  <c r="AC1712" i="2"/>
  <c r="AD1712" i="2" s="1"/>
  <c r="AD1666" i="2"/>
  <c r="AC1666" i="2"/>
  <c r="AD1476" i="2"/>
  <c r="AC1476" i="2"/>
  <c r="AD1454" i="2"/>
  <c r="AC1454" i="2"/>
  <c r="AC1291" i="2"/>
  <c r="AD1291" i="2" s="1"/>
  <c r="AC1268" i="2"/>
  <c r="AD1268" i="2"/>
  <c r="AD1283" i="2"/>
  <c r="AC1283" i="2"/>
  <c r="AC1201" i="2"/>
  <c r="AD1201" i="2" s="1"/>
  <c r="AC781" i="2"/>
  <c r="AD781" i="2"/>
  <c r="AD1288" i="2"/>
  <c r="AC1288" i="2"/>
  <c r="AD1156" i="2"/>
  <c r="AC1156" i="2"/>
  <c r="AD1179" i="2"/>
  <c r="AC1179" i="2"/>
  <c r="AD1128" i="2"/>
  <c r="AC1128" i="2"/>
  <c r="AD1025" i="2"/>
  <c r="AC1025" i="2"/>
  <c r="AD1185" i="2"/>
  <c r="AC1185" i="2"/>
  <c r="AD1187" i="2"/>
  <c r="AC1187" i="2"/>
  <c r="AD1174" i="2"/>
  <c r="AC1174" i="2"/>
  <c r="AD1069" i="2"/>
  <c r="AC1069" i="2"/>
  <c r="AC1050" i="2"/>
  <c r="AD1050" i="2" s="1"/>
  <c r="AC1177" i="2"/>
  <c r="AD1177" i="2" s="1"/>
  <c r="AC1145" i="2"/>
  <c r="AD1145" i="2"/>
  <c r="AD1019" i="2"/>
  <c r="AC1019" i="2"/>
  <c r="AD1027" i="2"/>
  <c r="AC1027" i="2"/>
  <c r="AD1052" i="2"/>
  <c r="AC1052" i="2"/>
  <c r="AD983" i="2"/>
  <c r="AC983" i="2"/>
  <c r="AD1043" i="2"/>
  <c r="AC1043" i="2"/>
  <c r="AD1002" i="2"/>
  <c r="AC1002" i="2"/>
  <c r="AC796" i="2"/>
  <c r="AD796" i="2"/>
  <c r="AC935" i="2"/>
  <c r="AD935" i="2"/>
  <c r="AC788" i="2"/>
  <c r="AD788" i="2" s="1"/>
  <c r="AC836" i="2"/>
  <c r="AD836" i="2"/>
  <c r="AD722" i="2"/>
  <c r="AC722" i="2"/>
  <c r="AC789" i="2"/>
  <c r="AD789" i="2" s="1"/>
  <c r="AD730" i="2"/>
  <c r="AC730" i="2"/>
  <c r="AD654" i="2"/>
  <c r="AC654" i="2"/>
  <c r="AD779" i="2"/>
  <c r="AC779" i="2"/>
  <c r="AC709" i="2"/>
  <c r="AD709" i="2" s="1"/>
  <c r="AD733" i="2"/>
  <c r="AC733" i="2"/>
  <c r="AD695" i="2"/>
  <c r="AC695" i="2"/>
  <c r="AD562" i="2"/>
  <c r="AC562" i="2"/>
  <c r="AD660" i="2"/>
  <c r="AC660" i="2"/>
  <c r="AC569" i="2"/>
  <c r="AD569" i="2"/>
  <c r="AC469" i="2"/>
  <c r="AD469" i="2" s="1"/>
  <c r="AD603" i="2"/>
  <c r="AC603" i="2"/>
  <c r="AD534" i="2"/>
  <c r="AC534" i="2"/>
  <c r="AD477" i="2"/>
  <c r="AC477" i="2"/>
  <c r="AD506" i="2"/>
  <c r="AC506" i="2"/>
  <c r="AC471" i="2"/>
  <c r="AD471" i="2"/>
  <c r="AC541" i="2"/>
  <c r="AD541" i="2"/>
  <c r="AC464" i="2"/>
  <c r="AD464" i="2" s="1"/>
  <c r="AD323" i="2"/>
  <c r="AC323" i="2"/>
  <c r="AC358" i="2"/>
  <c r="AD358" i="2"/>
  <c r="AD455" i="2"/>
  <c r="AC455" i="2"/>
  <c r="AC356" i="2"/>
  <c r="AD356" i="2" s="1"/>
  <c r="AD355" i="2"/>
  <c r="AC355" i="2"/>
  <c r="AD304" i="2"/>
  <c r="AC304" i="2"/>
  <c r="AC285" i="2"/>
  <c r="AD285" i="2" s="1"/>
  <c r="AC261" i="2"/>
  <c r="AD261" i="2"/>
  <c r="AD187" i="2"/>
  <c r="AC187" i="2"/>
  <c r="AC184" i="2"/>
  <c r="AD184" i="2"/>
  <c r="AC237" i="2"/>
  <c r="AD237" i="2"/>
  <c r="AD214" i="2"/>
  <c r="AC214" i="2"/>
  <c r="AC168" i="2"/>
  <c r="AD168" i="2" s="1"/>
  <c r="AC198" i="2"/>
  <c r="AD198" i="2" s="1"/>
  <c r="AD121" i="2"/>
  <c r="AC121" i="2"/>
  <c r="AD131" i="2"/>
  <c r="AC131" i="2"/>
  <c r="AC155" i="2"/>
  <c r="AD155" i="2"/>
  <c r="AC75" i="2"/>
  <c r="AD75" i="2" s="1"/>
  <c r="AC71" i="2"/>
  <c r="AD71" i="2" s="1"/>
  <c r="AC69" i="2"/>
  <c r="AD69" i="2" s="1"/>
  <c r="AC128" i="2"/>
  <c r="AD128" i="2"/>
  <c r="AC92" i="2"/>
  <c r="AD92" i="2" s="1"/>
  <c r="AC129" i="2"/>
  <c r="AD129" i="2"/>
  <c r="AC93" i="2"/>
  <c r="AD93" i="2"/>
  <c r="AC2676" i="2"/>
  <c r="AD2676" i="2"/>
  <c r="AD2688" i="2"/>
  <c r="AC2688" i="2"/>
  <c r="AC2462" i="2"/>
  <c r="AD2462" i="2" s="1"/>
  <c r="C2915" i="2"/>
  <c r="C9" i="2"/>
  <c r="D13" i="1"/>
  <c r="C10" i="2" s="1"/>
  <c r="C8" i="2"/>
  <c r="AD1860" i="2" l="1"/>
  <c r="AC1860" i="2"/>
  <c r="AD2002" i="2"/>
  <c r="AC2002" i="2"/>
  <c r="AC2010" i="2"/>
  <c r="AD2010" i="2"/>
  <c r="AC394" i="2"/>
  <c r="AD394" i="2" s="1"/>
  <c r="AC2244" i="2"/>
  <c r="AD2244" i="2"/>
  <c r="AD2215" i="2"/>
  <c r="AC2215" i="2"/>
  <c r="C946" i="2"/>
  <c r="AD2232" i="2"/>
  <c r="AC2232" i="2"/>
  <c r="AD2005" i="2"/>
  <c r="AC2005" i="2"/>
  <c r="C1865" i="2"/>
  <c r="AC2025" i="2"/>
  <c r="AD2025" i="2"/>
  <c r="AD2762" i="2"/>
  <c r="AC2762" i="2"/>
  <c r="AC2009" i="2"/>
  <c r="AD2009" i="2"/>
  <c r="AC2806" i="2"/>
  <c r="AD2806" i="2" s="1"/>
  <c r="AD2777" i="2"/>
  <c r="AC2777" i="2"/>
  <c r="AC2798" i="2"/>
  <c r="AD2798" i="2" s="1"/>
  <c r="AD2738" i="2"/>
  <c r="AC2738" i="2"/>
  <c r="AD2790" i="2"/>
  <c r="AC2790" i="2"/>
  <c r="AC2782" i="2"/>
  <c r="AD2782" i="2" s="1"/>
  <c r="AC2003" i="2"/>
  <c r="AD2003" i="2"/>
  <c r="AD2248" i="2"/>
  <c r="AC2248" i="2"/>
  <c r="AD1982" i="2"/>
  <c r="AC1982" i="2"/>
  <c r="AD2233" i="2"/>
  <c r="AC2233" i="2"/>
  <c r="AC2852" i="2"/>
  <c r="AD2852" i="2" s="1"/>
  <c r="AD2013" i="2"/>
  <c r="AC2013" i="2"/>
  <c r="AD1997" i="2"/>
  <c r="AC1997" i="2"/>
  <c r="AC2030" i="2"/>
  <c r="AD2030" i="2"/>
  <c r="AD2754" i="2"/>
  <c r="AC2754" i="2"/>
  <c r="AD1965" i="2"/>
  <c r="AC1965" i="2"/>
  <c r="AC2776" i="2"/>
  <c r="AD2776" i="2"/>
  <c r="C2967" i="2"/>
  <c r="AD2838" i="2"/>
  <c r="AC2838" i="2"/>
  <c r="AD1986" i="2"/>
  <c r="AC1986" i="2"/>
  <c r="AD2011" i="2"/>
  <c r="AC2011" i="2"/>
  <c r="AD1983" i="2"/>
  <c r="AC1983" i="2"/>
  <c r="AC2214" i="2"/>
  <c r="AD2214" i="2" s="1"/>
  <c r="C1235" i="2"/>
  <c r="AC2019" i="2"/>
  <c r="AD2019" i="2"/>
  <c r="AD2029" i="2"/>
  <c r="AC2029" i="2"/>
  <c r="AD2249" i="2"/>
  <c r="AC2249" i="2"/>
  <c r="C2854" i="2"/>
  <c r="AC2001" i="2"/>
  <c r="AD2001" i="2"/>
  <c r="C2255" i="2"/>
  <c r="AD2027" i="2"/>
  <c r="AC2027" i="2"/>
  <c r="AD2028" i="2"/>
  <c r="AC2028" i="2"/>
  <c r="AC2014" i="2"/>
  <c r="AD2014" i="2"/>
  <c r="AD1999" i="2"/>
  <c r="AC1999" i="2"/>
  <c r="AC2031" i="2"/>
  <c r="AD2031" i="2"/>
  <c r="AD2914" i="2"/>
  <c r="AC2914" i="2"/>
  <c r="AD2809" i="2"/>
  <c r="AC2809" i="2"/>
  <c r="AD2830" i="2"/>
  <c r="AC2830" i="2"/>
  <c r="AD1856" i="2"/>
  <c r="AC1856" i="2"/>
  <c r="AD1085" i="2"/>
  <c r="AC1085" i="2"/>
  <c r="AC2213" i="2"/>
  <c r="AD2213" i="2" s="1"/>
  <c r="AC1963" i="2"/>
  <c r="AD1963" i="2"/>
  <c r="C370" i="2"/>
  <c r="AD3005" i="2"/>
  <c r="AC3005" i="2"/>
  <c r="AC2006" i="2"/>
  <c r="AD2006" i="2"/>
  <c r="C3007" i="2"/>
  <c r="AD2822" i="2"/>
  <c r="AC2822" i="2"/>
  <c r="AC2236" i="2"/>
  <c r="AD2236" i="2"/>
  <c r="C396" i="2"/>
  <c r="AD2021" i="2"/>
  <c r="AC2021" i="2"/>
  <c r="AD1971" i="2"/>
  <c r="AC1971" i="2"/>
  <c r="AC2238" i="2"/>
  <c r="AD2238" i="2"/>
  <c r="AD1996" i="2"/>
  <c r="AC1996" i="2"/>
  <c r="AC2246" i="2"/>
  <c r="AD2246" i="2"/>
  <c r="AD1981" i="2"/>
  <c r="AC1981" i="2"/>
  <c r="AD1858" i="2"/>
  <c r="AC1858" i="2"/>
  <c r="AC1978" i="2"/>
  <c r="AD1978" i="2"/>
  <c r="AC2251" i="2"/>
  <c r="AD2251" i="2"/>
  <c r="AC1973" i="2"/>
  <c r="AD1973" i="2"/>
  <c r="AD2240" i="2"/>
  <c r="AC2240" i="2"/>
  <c r="AC1861" i="2"/>
  <c r="AD1861" i="2"/>
  <c r="AC944" i="2"/>
  <c r="AD944" i="2" s="1"/>
  <c r="AD2018" i="2"/>
  <c r="AC2018" i="2"/>
  <c r="AD2004" i="2"/>
  <c r="AC2004" i="2"/>
  <c r="AC2235" i="2"/>
  <c r="AD2235" i="2"/>
  <c r="C2357" i="2"/>
  <c r="AD1995" i="2"/>
  <c r="AC1995" i="2"/>
  <c r="AC2252" i="2"/>
  <c r="AD2252" i="2"/>
  <c r="AD1857" i="2"/>
  <c r="AC1857" i="2"/>
  <c r="AC1859" i="2"/>
  <c r="AD1859" i="2" s="1"/>
  <c r="AD2216" i="2"/>
  <c r="AC2216" i="2"/>
  <c r="AD2965" i="2"/>
  <c r="AC2965" i="2"/>
  <c r="AD1958" i="2"/>
  <c r="AC1958" i="2"/>
  <c r="AD2550" i="2"/>
  <c r="AC2550" i="2"/>
  <c r="AD2239" i="2"/>
  <c r="AC2239" i="2"/>
  <c r="C1303" i="2"/>
  <c r="C1087" i="2"/>
  <c r="AD1974" i="2"/>
  <c r="AC1974" i="2"/>
  <c r="AC1994" i="2"/>
  <c r="AD1994" i="2"/>
  <c r="AD1967" i="2"/>
  <c r="AC1967" i="2"/>
  <c r="AD2015" i="2"/>
  <c r="AC2015" i="2"/>
  <c r="AC2022" i="2"/>
  <c r="AD2022" i="2"/>
  <c r="C878" i="2"/>
  <c r="AC1998" i="2"/>
  <c r="AD1998" i="2"/>
  <c r="AD2023" i="2"/>
  <c r="AC2023" i="2"/>
  <c r="AC1964" i="2"/>
  <c r="AD1964" i="2"/>
  <c r="AD2026" i="2"/>
  <c r="AC2026" i="2"/>
  <c r="AC368" i="2"/>
  <c r="AD368" i="2"/>
  <c r="AC1600" i="2"/>
  <c r="AD1600" i="2" s="1"/>
  <c r="AD2020" i="2"/>
  <c r="AC2020" i="2"/>
  <c r="AC2017" i="2"/>
  <c r="AD2017" i="2"/>
  <c r="AD2841" i="2"/>
  <c r="AC2841" i="2"/>
  <c r="C2916" i="2"/>
  <c r="AD2814" i="2"/>
  <c r="AC2814" i="2"/>
  <c r="AC2746" i="2"/>
  <c r="AD2746" i="2" s="1"/>
  <c r="AD2012" i="2"/>
  <c r="AC2012" i="2"/>
  <c r="AC2007" i="2"/>
  <c r="AD2007" i="2"/>
  <c r="AC2243" i="2"/>
  <c r="AD2243" i="2"/>
  <c r="AC1301" i="2"/>
  <c r="AD1301" i="2" s="1"/>
  <c r="AD1966" i="2"/>
  <c r="AC1966" i="2"/>
  <c r="AD2241" i="2"/>
  <c r="AC2241" i="2"/>
  <c r="AD1975" i="2"/>
  <c r="AC1975" i="2"/>
  <c r="AC2355" i="2"/>
  <c r="AD2355" i="2" s="1"/>
  <c r="C1602" i="2"/>
  <c r="AC1863" i="2"/>
  <c r="AD1863" i="2"/>
  <c r="AD1959" i="2"/>
  <c r="AC1959" i="2"/>
  <c r="C2220" i="2"/>
  <c r="C1603" i="2" l="1"/>
  <c r="AD877" i="2"/>
  <c r="AC877" i="2"/>
  <c r="C879" i="2"/>
  <c r="C3008" i="2"/>
  <c r="AD2853" i="2"/>
  <c r="AC2853" i="2"/>
  <c r="C2855" i="2"/>
  <c r="AC2219" i="2"/>
  <c r="AD2219" i="2" s="1"/>
  <c r="C2358" i="2"/>
  <c r="AD1234" i="2"/>
  <c r="AC1234" i="2"/>
  <c r="C371" i="2"/>
  <c r="C1236" i="2"/>
  <c r="AC1864" i="2"/>
  <c r="AD1864" i="2" s="1"/>
  <c r="AC1601" i="2"/>
  <c r="AD1601" i="2"/>
  <c r="AC1302" i="2"/>
  <c r="AD1302" i="2"/>
  <c r="AC2966" i="2"/>
  <c r="AD2966" i="2"/>
  <c r="C1866" i="2"/>
  <c r="C2221" i="2"/>
  <c r="C397" i="2"/>
  <c r="AD2915" i="2"/>
  <c r="AC2915" i="2"/>
  <c r="C1088" i="2"/>
  <c r="AD2356" i="2"/>
  <c r="AC2356" i="2"/>
  <c r="C2256" i="2"/>
  <c r="AC1086" i="2"/>
  <c r="AD1086" i="2"/>
  <c r="C1304" i="2"/>
  <c r="AC395" i="2"/>
  <c r="AD395" i="2" s="1"/>
  <c r="AC369" i="2"/>
  <c r="AD369" i="2" s="1"/>
  <c r="C2968" i="2"/>
  <c r="AD3058" i="2"/>
  <c r="AC3058" i="2"/>
  <c r="AC945" i="2"/>
  <c r="AD945" i="2"/>
  <c r="C2917" i="2"/>
  <c r="AD3006" i="2"/>
  <c r="AC3006" i="2"/>
  <c r="AC2254" i="2"/>
  <c r="AD2254" i="2"/>
  <c r="C947" i="2"/>
  <c r="W3060" i="2"/>
  <c r="V3060" i="2"/>
  <c r="L3060" i="2"/>
  <c r="AB3060" i="2"/>
  <c r="K3060" i="2"/>
  <c r="AA3060" i="2"/>
  <c r="C20" i="2"/>
  <c r="C21" i="2" s="1"/>
  <c r="C22" i="2" s="1"/>
  <c r="AD367" i="2"/>
  <c r="AC367" i="2"/>
  <c r="AD350" i="2"/>
  <c r="AC350" i="2"/>
  <c r="AD225" i="2"/>
  <c r="AC225" i="2"/>
  <c r="AD946" i="2" l="1"/>
  <c r="AC946" i="2"/>
  <c r="C948" i="2"/>
  <c r="AC1303" i="2"/>
  <c r="AD1303" i="2" s="1"/>
  <c r="AD1865" i="2"/>
  <c r="AC1865" i="2"/>
  <c r="AD370" i="2"/>
  <c r="AC370" i="2"/>
  <c r="AD1087" i="2"/>
  <c r="AC1087" i="2"/>
  <c r="C2856" i="2"/>
  <c r="C23" i="2"/>
  <c r="C1305" i="2"/>
  <c r="C1089" i="2"/>
  <c r="C1237" i="2"/>
  <c r="AC2854" i="2"/>
  <c r="AD2854" i="2" s="1"/>
  <c r="C2969" i="2"/>
  <c r="AD2357" i="2"/>
  <c r="AC2357" i="2"/>
  <c r="C2918" i="2"/>
  <c r="AD2255" i="2"/>
  <c r="AC2255" i="2"/>
  <c r="AD396" i="2"/>
  <c r="AC396" i="2"/>
  <c r="AC2220" i="2"/>
  <c r="AD2220" i="2" s="1"/>
  <c r="AD1235" i="2"/>
  <c r="AC1235" i="2"/>
  <c r="C2359" i="2"/>
  <c r="AC3007" i="2"/>
  <c r="AD3007" i="2" s="1"/>
  <c r="C1604" i="2"/>
  <c r="AD2916" i="2"/>
  <c r="AC2916" i="2"/>
  <c r="AC2967" i="2"/>
  <c r="AD2967" i="2" s="1"/>
  <c r="C2257" i="2"/>
  <c r="C398" i="2"/>
  <c r="AC1602" i="2"/>
  <c r="AD1602" i="2" s="1"/>
  <c r="C2222" i="2"/>
  <c r="C1867" i="2"/>
  <c r="C372" i="2"/>
  <c r="C3009" i="2"/>
  <c r="AD878" i="2"/>
  <c r="AC878" i="2"/>
  <c r="C880" i="2"/>
  <c r="Q3060" i="2"/>
  <c r="P3060" i="2"/>
  <c r="AD523" i="2"/>
  <c r="AC523" i="2"/>
  <c r="AC1018" i="2"/>
  <c r="AD1018" i="2" s="1"/>
  <c r="AD875" i="2"/>
  <c r="AC875" i="2"/>
  <c r="AD1115" i="2"/>
  <c r="AC1115" i="2"/>
  <c r="AD977" i="2"/>
  <c r="AC977" i="2"/>
  <c r="AD2135" i="2"/>
  <c r="AC2135" i="2"/>
  <c r="AC549" i="2"/>
  <c r="AD549" i="2"/>
  <c r="AD297" i="2"/>
  <c r="AC297" i="2"/>
  <c r="AD2735" i="2"/>
  <c r="AC2735" i="2"/>
  <c r="Z3060" i="2"/>
  <c r="AD3054" i="2"/>
  <c r="AC3054" i="2"/>
  <c r="AC2212" i="2"/>
  <c r="AD2212" i="2" s="1"/>
  <c r="AC315" i="2"/>
  <c r="AD315" i="2" s="1"/>
  <c r="AD1597" i="2"/>
  <c r="AC1597" i="2"/>
  <c r="AD441" i="2"/>
  <c r="AC441" i="2"/>
  <c r="AD2309" i="2"/>
  <c r="AC2309" i="2"/>
  <c r="AC2097" i="2"/>
  <c r="AD2097" i="2" s="1"/>
  <c r="U3060" i="2"/>
  <c r="AD1266" i="2"/>
  <c r="AC1266" i="2"/>
  <c r="AD3004" i="2"/>
  <c r="AC3004" i="2"/>
  <c r="AC1063" i="2"/>
  <c r="AD1063" i="2"/>
  <c r="AC463" i="2"/>
  <c r="AD463" i="2"/>
  <c r="AC708" i="2"/>
  <c r="AD708" i="2" s="1"/>
  <c r="AD1640" i="2"/>
  <c r="AC1640" i="2"/>
  <c r="AD1460" i="2"/>
  <c r="AC1460" i="2"/>
  <c r="AC2409" i="2"/>
  <c r="AD2409" i="2"/>
  <c r="AC745" i="2"/>
  <c r="AD745" i="2" s="1"/>
  <c r="AC2431" i="2"/>
  <c r="AD2431" i="2" s="1"/>
  <c r="AD1993" i="2"/>
  <c r="AC1993" i="2"/>
  <c r="AD2039" i="2"/>
  <c r="AC2039" i="2"/>
  <c r="AD2231" i="2"/>
  <c r="AC2231" i="2"/>
  <c r="AD1728" i="2"/>
  <c r="AC1728" i="2"/>
  <c r="AD690" i="2"/>
  <c r="AC690" i="2"/>
  <c r="AD142" i="2"/>
  <c r="AC142" i="2"/>
  <c r="AC589" i="2"/>
  <c r="AD589" i="2"/>
  <c r="AC595" i="2"/>
  <c r="AD595" i="2" s="1"/>
  <c r="AD2905" i="2"/>
  <c r="AC2905" i="2"/>
  <c r="AD1921" i="2"/>
  <c r="AC1921" i="2"/>
  <c r="AC236" i="2"/>
  <c r="AD236" i="2" s="1"/>
  <c r="AD1141" i="2"/>
  <c r="AC1141" i="2"/>
  <c r="AC2354" i="2"/>
  <c r="AD2354" i="2" s="1"/>
  <c r="AD257" i="2"/>
  <c r="AC257" i="2"/>
  <c r="AC2913" i="2"/>
  <c r="AD2913" i="2"/>
  <c r="AD2683" i="2"/>
  <c r="AC2683" i="2"/>
  <c r="AC1196" i="2"/>
  <c r="AD1196" i="2"/>
  <c r="AD943" i="2"/>
  <c r="AC943" i="2"/>
  <c r="AD111" i="2"/>
  <c r="AC111" i="2"/>
  <c r="AD2775" i="2"/>
  <c r="AC2775" i="2"/>
  <c r="AC1300" i="2"/>
  <c r="AD1300" i="2" s="1"/>
  <c r="AC363" i="2"/>
  <c r="AD363" i="2" s="1"/>
  <c r="AD1802" i="2"/>
  <c r="AC1802" i="2"/>
  <c r="AC1409" i="2"/>
  <c r="AD1409" i="2"/>
  <c r="AD2640" i="2"/>
  <c r="AC2640" i="2"/>
  <c r="AD1432" i="2"/>
  <c r="AC1432" i="2"/>
  <c r="AD1839" i="2"/>
  <c r="AC1839" i="2"/>
  <c r="AC1155" i="2"/>
  <c r="AD1155" i="2"/>
  <c r="J3060" i="2"/>
  <c r="AD829" i="2"/>
  <c r="AC829" i="2"/>
  <c r="AC1693" i="2"/>
  <c r="AD1693" i="2"/>
  <c r="AC2497" i="2"/>
  <c r="AD2497" i="2"/>
  <c r="AC66" i="2"/>
  <c r="AD66" i="2"/>
  <c r="AD232" i="2"/>
  <c r="AC232" i="2"/>
  <c r="AD1362" i="2"/>
  <c r="AC1362" i="2"/>
  <c r="AC2172" i="2"/>
  <c r="AD2172" i="2"/>
  <c r="AC1566" i="2"/>
  <c r="AD1566" i="2"/>
  <c r="AC1395" i="2"/>
  <c r="AD1395" i="2" s="1"/>
  <c r="C61" i="2"/>
  <c r="C62" i="2" s="1"/>
  <c r="G62" i="2" s="1"/>
  <c r="AD1232" i="2"/>
  <c r="AC1232" i="2"/>
  <c r="AD2184" i="2"/>
  <c r="AC2184" i="2"/>
  <c r="AD2344" i="2"/>
  <c r="AC2344" i="2"/>
  <c r="AC2268" i="2"/>
  <c r="AD2268" i="2"/>
  <c r="AD2381" i="2"/>
  <c r="AC2381" i="2"/>
  <c r="AD275" i="2"/>
  <c r="AC275" i="2"/>
  <c r="AD2526" i="2"/>
  <c r="AC2526" i="2"/>
  <c r="AC498" i="2"/>
  <c r="AD498" i="2" s="1"/>
  <c r="AD181" i="2"/>
  <c r="AC181" i="2"/>
  <c r="AC772" i="2"/>
  <c r="AD772" i="2" s="1"/>
  <c r="AD907" i="2"/>
  <c r="AC907" i="2"/>
  <c r="AD992" i="2"/>
  <c r="AC992" i="2"/>
  <c r="AD1348" i="2"/>
  <c r="AC1348" i="2"/>
  <c r="AC795" i="2"/>
  <c r="AD795" i="2"/>
  <c r="AD901" i="2"/>
  <c r="AC901" i="2"/>
  <c r="AD618" i="2"/>
  <c r="AC618" i="2"/>
  <c r="AC869" i="2"/>
  <c r="AD869" i="2"/>
  <c r="AC2964" i="2"/>
  <c r="AD2964" i="2" s="1"/>
  <c r="AD1957" i="2"/>
  <c r="AC1957" i="2"/>
  <c r="AD2582" i="2"/>
  <c r="AC2582" i="2"/>
  <c r="AC167" i="2"/>
  <c r="AD167" i="2"/>
  <c r="AD1084" i="2"/>
  <c r="AC1084" i="2"/>
  <c r="AD393" i="2"/>
  <c r="AC393" i="2"/>
  <c r="AD1855" i="2"/>
  <c r="AC1855" i="2"/>
  <c r="AC633" i="2"/>
  <c r="AD633" i="2"/>
  <c r="AC1762" i="2"/>
  <c r="AD1762" i="2" s="1"/>
  <c r="AC1514" i="2"/>
  <c r="AD1514" i="2" s="1"/>
  <c r="AC2851" i="2"/>
  <c r="AD2851" i="2" s="1"/>
  <c r="AD2468" i="2"/>
  <c r="AC2468" i="2"/>
  <c r="C399" i="2" l="1"/>
  <c r="C3010" i="2"/>
  <c r="AC371" i="2"/>
  <c r="AD371" i="2"/>
  <c r="C1868" i="2"/>
  <c r="C2258" i="2"/>
  <c r="AD1304" i="2"/>
  <c r="AC1304" i="2"/>
  <c r="C2857" i="2"/>
  <c r="AC3008" i="2"/>
  <c r="AD3008" i="2"/>
  <c r="AC2358" i="2"/>
  <c r="AD2358" i="2"/>
  <c r="C2360" i="2"/>
  <c r="C2970" i="2"/>
  <c r="AC1088" i="2"/>
  <c r="AD1088" i="2"/>
  <c r="C24" i="2"/>
  <c r="AD2855" i="2"/>
  <c r="AC2855" i="2"/>
  <c r="AD1866" i="2"/>
  <c r="AC1866" i="2"/>
  <c r="AC397" i="2"/>
  <c r="AD397" i="2" s="1"/>
  <c r="AD2917" i="2"/>
  <c r="AC2917" i="2"/>
  <c r="AC1236" i="2"/>
  <c r="AD1236" i="2"/>
  <c r="AC947" i="2"/>
  <c r="AD947" i="2" s="1"/>
  <c r="C949" i="2"/>
  <c r="AD879" i="2"/>
  <c r="AC879" i="2"/>
  <c r="AC2968" i="2"/>
  <c r="AD2968" i="2" s="1"/>
  <c r="C1238" i="2"/>
  <c r="AD1603" i="2"/>
  <c r="AC1603" i="2"/>
  <c r="C2919" i="2"/>
  <c r="C1090" i="2"/>
  <c r="C881" i="2"/>
  <c r="C373" i="2"/>
  <c r="C2223" i="2"/>
  <c r="C1306" i="2"/>
  <c r="AD2221" i="2"/>
  <c r="AC2221" i="2"/>
  <c r="AD2256" i="2"/>
  <c r="AC2256" i="2"/>
  <c r="C1605" i="2"/>
  <c r="AC1989" i="2"/>
  <c r="AD1989" i="2" s="1"/>
  <c r="AC1358" i="2"/>
  <c r="AD1358" i="2" s="1"/>
  <c r="AC1724" i="2"/>
  <c r="AD1724" i="2" s="1"/>
  <c r="AD271" i="2"/>
  <c r="AC271" i="2"/>
  <c r="AC2464" i="2"/>
  <c r="AD2464" i="2" s="1"/>
  <c r="X3060" i="2"/>
  <c r="Y3060" i="2" s="1"/>
  <c r="AC2771" i="2"/>
  <c r="AD2771" i="2" s="1"/>
  <c r="AC311" i="2"/>
  <c r="AD311" i="2" s="1"/>
  <c r="AC1137" i="2"/>
  <c r="AD1137" i="2" s="1"/>
  <c r="AC903" i="2"/>
  <c r="AD903" i="2"/>
  <c r="AC2405" i="2"/>
  <c r="AD2405" i="2"/>
  <c r="AD1835" i="2"/>
  <c r="AC1835" i="2"/>
  <c r="AC2731" i="2"/>
  <c r="AD2731" i="2" s="1"/>
  <c r="AC2093" i="2"/>
  <c r="AD2093" i="2" s="1"/>
  <c r="AD2427" i="2"/>
  <c r="AC2427" i="2"/>
  <c r="AD1689" i="2"/>
  <c r="AC1689" i="2"/>
  <c r="AD545" i="2"/>
  <c r="AC545" i="2"/>
  <c r="AC791" i="2"/>
  <c r="AD791" i="2" s="1"/>
  <c r="AC221" i="2"/>
  <c r="AD221" i="2"/>
  <c r="AC107" i="2"/>
  <c r="AD107" i="2" s="1"/>
  <c r="AD2522" i="2"/>
  <c r="AC2522" i="2"/>
  <c r="AD2679" i="2"/>
  <c r="AC2679" i="2"/>
  <c r="AC1151" i="2"/>
  <c r="AD1151" i="2" s="1"/>
  <c r="AD1510" i="2"/>
  <c r="AC1510" i="2"/>
  <c r="AC494" i="2"/>
  <c r="AD494" i="2" s="1"/>
  <c r="AD459" i="2"/>
  <c r="AC459" i="2"/>
  <c r="AC1059" i="2"/>
  <c r="AD1059" i="2" s="1"/>
  <c r="AC2493" i="2"/>
  <c r="AD2493" i="2" s="1"/>
  <c r="AC2636" i="2"/>
  <c r="AD2636" i="2"/>
  <c r="AD871" i="2"/>
  <c r="AC871" i="2"/>
  <c r="AC293" i="2"/>
  <c r="AD293" i="2" s="1"/>
  <c r="AC1405" i="2"/>
  <c r="AD1405" i="2" s="1"/>
  <c r="AC614" i="2"/>
  <c r="AD614" i="2" s="1"/>
  <c r="AC741" i="2"/>
  <c r="AD741" i="2" s="1"/>
  <c r="AC1080" i="2"/>
  <c r="AD1080" i="2" s="1"/>
  <c r="AC2168" i="2"/>
  <c r="AD2168" i="2" s="1"/>
  <c r="AC1428" i="2"/>
  <c r="AD1428" i="2" s="1"/>
  <c r="AD686" i="2"/>
  <c r="AC686" i="2"/>
  <c r="AD825" i="2"/>
  <c r="AC825" i="2"/>
  <c r="AC939" i="2"/>
  <c r="AD939" i="2" s="1"/>
  <c r="AD2350" i="2"/>
  <c r="AC2350" i="2"/>
  <c r="AD2180" i="2"/>
  <c r="AC2180" i="2"/>
  <c r="AC865" i="2"/>
  <c r="AD865" i="2" s="1"/>
  <c r="AC1456" i="2"/>
  <c r="AD1456" i="2"/>
  <c r="AC704" i="2"/>
  <c r="AD704" i="2" s="1"/>
  <c r="AC1758" i="2"/>
  <c r="AD1758" i="2"/>
  <c r="AC2035" i="2"/>
  <c r="AD2035" i="2"/>
  <c r="AC2340" i="2"/>
  <c r="AD2340" i="2"/>
  <c r="AC346" i="2"/>
  <c r="AD346" i="2" s="1"/>
  <c r="AC1562" i="2"/>
  <c r="AD1562" i="2"/>
  <c r="AD2305" i="2"/>
  <c r="AC2305" i="2"/>
  <c r="AD2208" i="2"/>
  <c r="AC2208" i="2"/>
  <c r="AC1593" i="2"/>
  <c r="AD1593" i="2" s="1"/>
  <c r="AD1391" i="2"/>
  <c r="AC1391" i="2"/>
  <c r="AC1953" i="2"/>
  <c r="AD1953" i="2" s="1"/>
  <c r="AC768" i="2"/>
  <c r="AD768" i="2" s="1"/>
  <c r="AD629" i="2"/>
  <c r="AC629" i="2"/>
  <c r="AD1014" i="2"/>
  <c r="AC1014" i="2"/>
  <c r="AC519" i="2"/>
  <c r="AD519" i="2"/>
  <c r="AC1192" i="2"/>
  <c r="AD1192" i="2" s="1"/>
  <c r="AC1851" i="2"/>
  <c r="AD1851" i="2" s="1"/>
  <c r="AC138" i="2"/>
  <c r="AD138" i="2"/>
  <c r="AC253" i="2"/>
  <c r="AD253" i="2" s="1"/>
  <c r="AC2131" i="2"/>
  <c r="AD2131" i="2" s="1"/>
  <c r="AD3060" i="2"/>
  <c r="AC3060" i="2"/>
  <c r="AC1798" i="2"/>
  <c r="AD1798" i="2" s="1"/>
  <c r="AC177" i="2"/>
  <c r="AD177" i="2" s="1"/>
  <c r="AC2578" i="2"/>
  <c r="AD2578" i="2"/>
  <c r="N3060" i="2"/>
  <c r="M3060" i="2"/>
  <c r="AC2847" i="2"/>
  <c r="AD2847" i="2" s="1"/>
  <c r="AC1228" i="2"/>
  <c r="AD1228" i="2" s="1"/>
  <c r="AD2909" i="2"/>
  <c r="AC2909" i="2"/>
  <c r="AC591" i="2"/>
  <c r="AD591" i="2"/>
  <c r="AD163" i="2"/>
  <c r="AC163" i="2"/>
  <c r="AC1296" i="2"/>
  <c r="AD1296" i="2" s="1"/>
  <c r="AC585" i="2"/>
  <c r="AD585" i="2" s="1"/>
  <c r="AD988" i="2"/>
  <c r="AC988" i="2"/>
  <c r="O3060" i="2"/>
  <c r="C1606" i="2" l="1"/>
  <c r="AC1089" i="2"/>
  <c r="AD1089" i="2" s="1"/>
  <c r="C2920" i="2"/>
  <c r="AC948" i="2"/>
  <c r="AD948" i="2" s="1"/>
  <c r="AC2359" i="2"/>
  <c r="AD2359" i="2" s="1"/>
  <c r="AD2856" i="2"/>
  <c r="AC2856" i="2"/>
  <c r="C3011" i="2"/>
  <c r="AD1604" i="2"/>
  <c r="AC1604" i="2"/>
  <c r="AC2222" i="2"/>
  <c r="AD2222" i="2" s="1"/>
  <c r="AD880" i="2"/>
  <c r="AC880" i="2"/>
  <c r="AC2969" i="2"/>
  <c r="AD2969" i="2"/>
  <c r="C2361" i="2"/>
  <c r="C374" i="2"/>
  <c r="C1091" i="2"/>
  <c r="C1239" i="2"/>
  <c r="C950" i="2"/>
  <c r="AD1867" i="2"/>
  <c r="AC1867" i="2"/>
  <c r="AD372" i="2"/>
  <c r="AC372" i="2"/>
  <c r="C882" i="2"/>
  <c r="AC2918" i="2"/>
  <c r="AD2918" i="2"/>
  <c r="AC23" i="2"/>
  <c r="AD23" i="2"/>
  <c r="C1869" i="2"/>
  <c r="C400" i="2"/>
  <c r="C2971" i="2"/>
  <c r="AC1305" i="2"/>
  <c r="AD1305" i="2"/>
  <c r="C2224" i="2"/>
  <c r="C2858" i="2"/>
  <c r="AD2257" i="2"/>
  <c r="AC2257" i="2"/>
  <c r="AD3009" i="2"/>
  <c r="AC3009" i="2"/>
  <c r="AC398" i="2"/>
  <c r="AD398" i="2"/>
  <c r="C1307" i="2"/>
  <c r="AD1237" i="2"/>
  <c r="AC1237" i="2"/>
  <c r="C25" i="2"/>
  <c r="C2259" i="2"/>
  <c r="AC22" i="2"/>
  <c r="AD22" i="2"/>
  <c r="R3060" i="2"/>
  <c r="S3060" i="2" s="1"/>
  <c r="AD881" i="2" l="1"/>
  <c r="AC881" i="2"/>
  <c r="C26" i="2"/>
  <c r="C2859" i="2"/>
  <c r="AD2223" i="2"/>
  <c r="AC2223" i="2"/>
  <c r="C2972" i="2"/>
  <c r="AD1238" i="2"/>
  <c r="AC1238" i="2"/>
  <c r="C375" i="2"/>
  <c r="C3012" i="2"/>
  <c r="AD1306" i="2"/>
  <c r="AC1306" i="2"/>
  <c r="AD1868" i="2"/>
  <c r="AC1868" i="2"/>
  <c r="C2921" i="2"/>
  <c r="AC1605" i="2"/>
  <c r="AD1605" i="2" s="1"/>
  <c r="AC2970" i="2"/>
  <c r="AD2970" i="2" s="1"/>
  <c r="C1870" i="2"/>
  <c r="C1092" i="2"/>
  <c r="AC2360" i="2"/>
  <c r="AD2360" i="2"/>
  <c r="AD2258" i="2"/>
  <c r="AC2258" i="2"/>
  <c r="C2260" i="2"/>
  <c r="C951" i="2"/>
  <c r="AD1090" i="2"/>
  <c r="AC1090" i="2"/>
  <c r="AD373" i="2"/>
  <c r="AC373" i="2"/>
  <c r="C2362" i="2"/>
  <c r="AD2857" i="2"/>
  <c r="AC2857" i="2"/>
  <c r="AC399" i="2"/>
  <c r="AD399" i="2"/>
  <c r="C401" i="2"/>
  <c r="C883" i="2"/>
  <c r="C1240" i="2"/>
  <c r="C2225" i="2"/>
  <c r="AD3010" i="2"/>
  <c r="AC3010" i="2"/>
  <c r="AD2919" i="2"/>
  <c r="AC2919" i="2"/>
  <c r="AD24" i="2"/>
  <c r="AC24" i="2"/>
  <c r="C1308" i="2"/>
  <c r="AC949" i="2"/>
  <c r="AD949" i="2" s="1"/>
  <c r="C1607" i="2"/>
  <c r="C1608" i="2" l="1"/>
  <c r="AD2920" i="2"/>
  <c r="AC2920" i="2"/>
  <c r="C1309" i="2"/>
  <c r="AC950" i="2"/>
  <c r="AD950" i="2"/>
  <c r="AD2858" i="2"/>
  <c r="AC2858" i="2"/>
  <c r="C2860" i="2"/>
  <c r="C1241" i="2"/>
  <c r="AC1869" i="2"/>
  <c r="AD1869" i="2"/>
  <c r="C2922" i="2"/>
  <c r="C3013" i="2"/>
  <c r="AD374" i="2"/>
  <c r="AC374" i="2"/>
  <c r="AC1239" i="2"/>
  <c r="AD1239" i="2"/>
  <c r="AC882" i="2"/>
  <c r="AD882" i="2"/>
  <c r="AD400" i="2"/>
  <c r="AC400" i="2"/>
  <c r="AC2361" i="2"/>
  <c r="AD2361" i="2" s="1"/>
  <c r="AC2259" i="2"/>
  <c r="AD2259" i="2"/>
  <c r="AC2971" i="2"/>
  <c r="AD2971" i="2" s="1"/>
  <c r="AC1307" i="2"/>
  <c r="AD1307" i="2" s="1"/>
  <c r="C884" i="2"/>
  <c r="C952" i="2"/>
  <c r="C2973" i="2"/>
  <c r="AD2224" i="2"/>
  <c r="AC2224" i="2"/>
  <c r="C2261" i="2"/>
  <c r="AC1091" i="2"/>
  <c r="AD1091" i="2" s="1"/>
  <c r="C1871" i="2"/>
  <c r="AD3011" i="2"/>
  <c r="AC3011" i="2"/>
  <c r="C27" i="2"/>
  <c r="C1093" i="2"/>
  <c r="C376" i="2"/>
  <c r="AD25" i="2"/>
  <c r="AC25" i="2"/>
  <c r="AC1606" i="2"/>
  <c r="AD1606" i="2"/>
  <c r="C402" i="2"/>
  <c r="C2363" i="2"/>
  <c r="C1094" i="2" l="1"/>
  <c r="C1872" i="2"/>
  <c r="AD883" i="2"/>
  <c r="AC883" i="2"/>
  <c r="AD3012" i="2"/>
  <c r="AC3012" i="2"/>
  <c r="AC2225" i="2"/>
  <c r="AD2225" i="2" s="1"/>
  <c r="C377" i="2"/>
  <c r="C3014" i="2"/>
  <c r="AC2227" i="2"/>
  <c r="AD2227" i="2" s="1"/>
  <c r="AD401" i="2"/>
  <c r="AC401" i="2"/>
  <c r="AC1092" i="2"/>
  <c r="AD1092" i="2" s="1"/>
  <c r="AC2260" i="2"/>
  <c r="AD2260" i="2"/>
  <c r="C2974" i="2"/>
  <c r="C2861" i="2"/>
  <c r="AC375" i="2"/>
  <c r="AD375" i="2"/>
  <c r="AD26" i="2"/>
  <c r="AC26" i="2"/>
  <c r="C2262" i="2"/>
  <c r="AD2921" i="2"/>
  <c r="AC2921" i="2"/>
  <c r="C2923" i="2"/>
  <c r="AC1607" i="2"/>
  <c r="AD1607" i="2" s="1"/>
  <c r="C28" i="2"/>
  <c r="AC2972" i="2"/>
  <c r="AD2972" i="2" s="1"/>
  <c r="AC2859" i="2"/>
  <c r="AD2859" i="2"/>
  <c r="C1609" i="2"/>
  <c r="C2364" i="2"/>
  <c r="AC1870" i="2"/>
  <c r="AD1870" i="2"/>
  <c r="AC951" i="2"/>
  <c r="AD951" i="2" s="1"/>
  <c r="C885" i="2"/>
  <c r="AC1240" i="2"/>
  <c r="AD1240" i="2" s="1"/>
  <c r="AD1308" i="2"/>
  <c r="AC1308" i="2"/>
  <c r="C1242" i="2"/>
  <c r="AC2362" i="2"/>
  <c r="AD2362" i="2"/>
  <c r="C403" i="2"/>
  <c r="C953" i="2"/>
  <c r="C1310" i="2"/>
  <c r="AD952" i="2" l="1"/>
  <c r="AC952" i="2"/>
  <c r="C886" i="2"/>
  <c r="C2924" i="2"/>
  <c r="AD2860" i="2"/>
  <c r="AC2860" i="2"/>
  <c r="C954" i="2"/>
  <c r="AC884" i="2"/>
  <c r="AD884" i="2"/>
  <c r="AC27" i="2"/>
  <c r="AD27" i="2"/>
  <c r="AC3013" i="2"/>
  <c r="AD3013" i="2" s="1"/>
  <c r="C3015" i="2"/>
  <c r="AC376" i="2"/>
  <c r="AD376" i="2" s="1"/>
  <c r="AD1871" i="2"/>
  <c r="AC1871" i="2"/>
  <c r="C1311" i="2"/>
  <c r="C1243" i="2"/>
  <c r="AD2261" i="2"/>
  <c r="AC2261" i="2"/>
  <c r="C1873" i="2"/>
  <c r="AC402" i="2"/>
  <c r="AD402" i="2" s="1"/>
  <c r="AD1241" i="2"/>
  <c r="AC1241" i="2"/>
  <c r="C2365" i="2"/>
  <c r="C2862" i="2"/>
  <c r="C2975" i="2"/>
  <c r="AC1309" i="2"/>
  <c r="AD1309" i="2" s="1"/>
  <c r="AD2363" i="2"/>
  <c r="AC2363" i="2"/>
  <c r="AC1608" i="2"/>
  <c r="AD1608" i="2" s="1"/>
  <c r="C29" i="2"/>
  <c r="AD2922" i="2"/>
  <c r="AC2922" i="2"/>
  <c r="C1610" i="2"/>
  <c r="C378" i="2"/>
  <c r="C404" i="2"/>
  <c r="AC2973" i="2"/>
  <c r="AD2973" i="2"/>
  <c r="AD1093" i="2"/>
  <c r="AC1093" i="2"/>
  <c r="C1095" i="2"/>
  <c r="AD2264" i="2" l="1"/>
  <c r="AC2264" i="2"/>
  <c r="C405" i="2"/>
  <c r="C1611" i="2"/>
  <c r="AC28" i="2"/>
  <c r="AD28" i="2"/>
  <c r="C1244" i="2"/>
  <c r="AD3014" i="2"/>
  <c r="AC3014" i="2"/>
  <c r="C2925" i="2"/>
  <c r="AC1609" i="2"/>
  <c r="AD1609" i="2" s="1"/>
  <c r="AD2974" i="2"/>
  <c r="AC2974" i="2"/>
  <c r="AC2364" i="2"/>
  <c r="AD2364" i="2" s="1"/>
  <c r="AD885" i="2"/>
  <c r="AC885" i="2"/>
  <c r="C887" i="2"/>
  <c r="AD1094" i="2"/>
  <c r="AC1094" i="2"/>
  <c r="C379" i="2"/>
  <c r="C2976" i="2"/>
  <c r="C1874" i="2"/>
  <c r="C2863" i="2"/>
  <c r="C1312" i="2"/>
  <c r="AC953" i="2"/>
  <c r="AD953" i="2"/>
  <c r="AD1242" i="2"/>
  <c r="AC1242" i="2"/>
  <c r="AC1310" i="2"/>
  <c r="AD1310" i="2"/>
  <c r="C1096" i="2"/>
  <c r="AC403" i="2"/>
  <c r="AD403" i="2"/>
  <c r="AC1872" i="2"/>
  <c r="AD1872" i="2" s="1"/>
  <c r="AC2923" i="2"/>
  <c r="AD2923" i="2"/>
  <c r="AC2861" i="2"/>
  <c r="AD2861" i="2" s="1"/>
  <c r="C2366" i="2"/>
  <c r="C955" i="2"/>
  <c r="AC2262" i="2"/>
  <c r="AD2262" i="2"/>
  <c r="AC377" i="2"/>
  <c r="AD377" i="2" s="1"/>
  <c r="C30" i="2"/>
  <c r="C3016" i="2"/>
  <c r="C1875" i="2" l="1"/>
  <c r="AD2975" i="2"/>
  <c r="AC2975" i="2"/>
  <c r="AD29" i="2"/>
  <c r="AC29" i="2"/>
  <c r="C31" i="2"/>
  <c r="C380" i="2"/>
  <c r="C888" i="2"/>
  <c r="C2367" i="2"/>
  <c r="AD886" i="2"/>
  <c r="AC886" i="2"/>
  <c r="C2926" i="2"/>
  <c r="C1245" i="2"/>
  <c r="C3017" i="2"/>
  <c r="AC1095" i="2"/>
  <c r="AD1095" i="2" s="1"/>
  <c r="AD2924" i="2"/>
  <c r="AC2924" i="2"/>
  <c r="AC954" i="2"/>
  <c r="AD954" i="2" s="1"/>
  <c r="C956" i="2"/>
  <c r="AD1311" i="2"/>
  <c r="AC1311" i="2"/>
  <c r="C1313" i="2"/>
  <c r="C1612" i="2"/>
  <c r="AC404" i="2"/>
  <c r="AD404" i="2" s="1"/>
  <c r="C2864" i="2"/>
  <c r="AC2365" i="2"/>
  <c r="AD2365" i="2" s="1"/>
  <c r="C2977" i="2"/>
  <c r="AC3015" i="2"/>
  <c r="AD3015" i="2"/>
  <c r="C1097" i="2"/>
  <c r="AC2862" i="2"/>
  <c r="AD2862" i="2" s="1"/>
  <c r="AC1873" i="2"/>
  <c r="AD1873" i="2" s="1"/>
  <c r="AC378" i="2"/>
  <c r="AD378" i="2"/>
  <c r="AD1243" i="2"/>
  <c r="AC1243" i="2"/>
  <c r="AD1610" i="2"/>
  <c r="AC1610" i="2"/>
  <c r="C406" i="2"/>
  <c r="AD1096" i="2" l="1"/>
  <c r="AC1096" i="2"/>
  <c r="AC2863" i="2"/>
  <c r="AD2863" i="2" s="1"/>
  <c r="AC1611" i="2"/>
  <c r="AD1611" i="2" s="1"/>
  <c r="C1314" i="2"/>
  <c r="C1246" i="2"/>
  <c r="C381" i="2"/>
  <c r="C1876" i="2"/>
  <c r="C32" i="2"/>
  <c r="C2865" i="2"/>
  <c r="C407" i="2"/>
  <c r="AD1312" i="2"/>
  <c r="AC1312" i="2"/>
  <c r="C957" i="2"/>
  <c r="AD2925" i="2"/>
  <c r="AC2925" i="2"/>
  <c r="AC405" i="2"/>
  <c r="AD405" i="2" s="1"/>
  <c r="C2978" i="2"/>
  <c r="C1613" i="2"/>
  <c r="AD955" i="2"/>
  <c r="AC955" i="2"/>
  <c r="C3018" i="2"/>
  <c r="C2368" i="2"/>
  <c r="AC379" i="2"/>
  <c r="AD379" i="2" s="1"/>
  <c r="AD30" i="2"/>
  <c r="AC30" i="2"/>
  <c r="AD1874" i="2"/>
  <c r="AC1874" i="2"/>
  <c r="AD2976" i="2"/>
  <c r="AC2976" i="2"/>
  <c r="C2927" i="2"/>
  <c r="AC2366" i="2"/>
  <c r="AD2366" i="2"/>
  <c r="C889" i="2"/>
  <c r="C1098" i="2"/>
  <c r="AC3016" i="2"/>
  <c r="AD3016" i="2" s="1"/>
  <c r="AC1244" i="2"/>
  <c r="AD1244" i="2"/>
  <c r="AC887" i="2"/>
  <c r="AD887" i="2"/>
  <c r="C1099" i="2" l="1"/>
  <c r="C2979" i="2"/>
  <c r="C33" i="2"/>
  <c r="C890" i="2"/>
  <c r="AC2367" i="2"/>
  <c r="AD2367" i="2" s="1"/>
  <c r="AC1612" i="2"/>
  <c r="AD1612" i="2" s="1"/>
  <c r="C2369" i="2"/>
  <c r="AC380" i="2"/>
  <c r="AD380" i="2" s="1"/>
  <c r="AC1313" i="2"/>
  <c r="AD1313" i="2"/>
  <c r="AD888" i="2"/>
  <c r="AC888" i="2"/>
  <c r="C1614" i="2"/>
  <c r="AC2977" i="2"/>
  <c r="AD2977" i="2"/>
  <c r="AD1245" i="2"/>
  <c r="AC1245" i="2"/>
  <c r="AD3017" i="2"/>
  <c r="AC3017" i="2"/>
  <c r="AC31" i="2"/>
  <c r="AD31" i="2"/>
  <c r="C1877" i="2"/>
  <c r="C2928" i="2"/>
  <c r="AD956" i="2"/>
  <c r="AC956" i="2"/>
  <c r="AD406" i="2"/>
  <c r="AC406" i="2"/>
  <c r="AC2864" i="2"/>
  <c r="AD2864" i="2" s="1"/>
  <c r="C2866" i="2"/>
  <c r="C1247" i="2"/>
  <c r="AD1097" i="2"/>
  <c r="AC1097" i="2"/>
  <c r="C408" i="2"/>
  <c r="AD1875" i="2"/>
  <c r="AC1875" i="2"/>
  <c r="C1315" i="2"/>
  <c r="AC2926" i="2"/>
  <c r="AD2926" i="2"/>
  <c r="C3019" i="2"/>
  <c r="C958" i="2"/>
  <c r="C382" i="2"/>
  <c r="C409" i="2" l="1"/>
  <c r="C1248" i="2"/>
  <c r="C34" i="2"/>
  <c r="C3020" i="2"/>
  <c r="AD1876" i="2"/>
  <c r="AC1876" i="2"/>
  <c r="AD1613" i="2"/>
  <c r="AC1613" i="2"/>
  <c r="AC381" i="2"/>
  <c r="AD381" i="2" s="1"/>
  <c r="C891" i="2"/>
  <c r="C2980" i="2"/>
  <c r="AC957" i="2"/>
  <c r="AD957" i="2" s="1"/>
  <c r="AC1314" i="2"/>
  <c r="AD1314" i="2"/>
  <c r="AC407" i="2"/>
  <c r="AD407" i="2" s="1"/>
  <c r="AD2927" i="2"/>
  <c r="AC2927" i="2"/>
  <c r="C1878" i="2"/>
  <c r="AD2978" i="2"/>
  <c r="AC2978" i="2"/>
  <c r="AC1098" i="2"/>
  <c r="AD1098" i="2" s="1"/>
  <c r="C959" i="2"/>
  <c r="AC3018" i="2"/>
  <c r="AD3018" i="2" s="1"/>
  <c r="C1316" i="2"/>
  <c r="C2370" i="2"/>
  <c r="C383" i="2"/>
  <c r="AD1246" i="2"/>
  <c r="AC1246" i="2"/>
  <c r="C2867" i="2"/>
  <c r="C1615" i="2"/>
  <c r="C1100" i="2"/>
  <c r="AD2865" i="2"/>
  <c r="AC2865" i="2"/>
  <c r="C2929" i="2"/>
  <c r="AC2368" i="2"/>
  <c r="AD2368" i="2"/>
  <c r="AD889" i="2"/>
  <c r="AC889" i="2"/>
  <c r="AC32" i="2"/>
  <c r="AD32" i="2" s="1"/>
  <c r="AD382" i="2" l="1"/>
  <c r="AC382" i="2"/>
  <c r="C2371" i="2"/>
  <c r="AC3019" i="2"/>
  <c r="AD3019" i="2"/>
  <c r="AD2866" i="2"/>
  <c r="AC2866" i="2"/>
  <c r="C1317" i="2"/>
  <c r="AD958" i="2"/>
  <c r="AC958" i="2"/>
  <c r="AC1614" i="2"/>
  <c r="AD1614" i="2" s="1"/>
  <c r="AC2979" i="2"/>
  <c r="AD2979" i="2" s="1"/>
  <c r="AC408" i="2"/>
  <c r="AD408" i="2" s="1"/>
  <c r="AD1099" i="2"/>
  <c r="AC1099" i="2"/>
  <c r="C384" i="2"/>
  <c r="AC1315" i="2"/>
  <c r="AD1315" i="2"/>
  <c r="AC1247" i="2"/>
  <c r="AD1247" i="2"/>
  <c r="C410" i="2"/>
  <c r="C960" i="2"/>
  <c r="C2981" i="2"/>
  <c r="C3021" i="2"/>
  <c r="AC33" i="2"/>
  <c r="AD33" i="2" s="1"/>
  <c r="C35" i="2"/>
  <c r="C1879" i="2"/>
  <c r="AD890" i="2"/>
  <c r="AC890" i="2"/>
  <c r="C1616" i="2"/>
  <c r="C2868" i="2"/>
  <c r="C892" i="2"/>
  <c r="AD2928" i="2"/>
  <c r="AC2928" i="2"/>
  <c r="C2930" i="2"/>
  <c r="C1101" i="2"/>
  <c r="AD2369" i="2"/>
  <c r="AC2369" i="2"/>
  <c r="AC1877" i="2"/>
  <c r="AD1877" i="2"/>
  <c r="C1249" i="2"/>
  <c r="C2982" i="2" l="1"/>
  <c r="C411" i="2"/>
  <c r="AC1248" i="2"/>
  <c r="AD1248" i="2" s="1"/>
  <c r="C1250" i="2"/>
  <c r="AD2929" i="2"/>
  <c r="AC2929" i="2"/>
  <c r="AD891" i="2"/>
  <c r="AC891" i="2"/>
  <c r="C2869" i="2"/>
  <c r="AD34" i="2"/>
  <c r="AC34" i="2"/>
  <c r="C961" i="2"/>
  <c r="AD1316" i="2"/>
  <c r="AC1316" i="2"/>
  <c r="AC1615" i="2"/>
  <c r="AD1615" i="2" s="1"/>
  <c r="C36" i="2"/>
  <c r="C1880" i="2"/>
  <c r="AC2370" i="2"/>
  <c r="AD2370" i="2"/>
  <c r="AC2867" i="2"/>
  <c r="AD2867" i="2"/>
  <c r="C1617" i="2"/>
  <c r="AC3020" i="2"/>
  <c r="AD3020" i="2" s="1"/>
  <c r="AD959" i="2"/>
  <c r="AC959" i="2"/>
  <c r="AC1100" i="2"/>
  <c r="AD1100" i="2"/>
  <c r="C2931" i="2"/>
  <c r="AC1878" i="2"/>
  <c r="AD1878" i="2" s="1"/>
  <c r="C3022" i="2"/>
  <c r="C2372" i="2"/>
  <c r="C1102" i="2"/>
  <c r="C893" i="2"/>
  <c r="AC409" i="2"/>
  <c r="AD409" i="2" s="1"/>
  <c r="AC383" i="2"/>
  <c r="AD383" i="2" s="1"/>
  <c r="C1318" i="2"/>
  <c r="AC2980" i="2"/>
  <c r="AD2980" i="2" s="1"/>
  <c r="C385" i="2"/>
  <c r="AC892" i="2" l="1"/>
  <c r="AD892" i="2"/>
  <c r="AD2930" i="2"/>
  <c r="AC2930" i="2"/>
  <c r="AD1249" i="2"/>
  <c r="AC1249" i="2"/>
  <c r="AC1101" i="2"/>
  <c r="AD1101" i="2"/>
  <c r="C37" i="2"/>
  <c r="C1319" i="2"/>
  <c r="AC1616" i="2"/>
  <c r="AD1616" i="2" s="1"/>
  <c r="AD1879" i="2"/>
  <c r="AC1879" i="2"/>
  <c r="C2870" i="2"/>
  <c r="AD410" i="2"/>
  <c r="AC410" i="2"/>
  <c r="AD2981" i="2"/>
  <c r="AC2981" i="2"/>
  <c r="C386" i="2"/>
  <c r="C894" i="2"/>
  <c r="AD2371" i="2"/>
  <c r="AC2371" i="2"/>
  <c r="C2373" i="2"/>
  <c r="C2932" i="2"/>
  <c r="C1881" i="2"/>
  <c r="AC35" i="2"/>
  <c r="AD35" i="2"/>
  <c r="AD960" i="2"/>
  <c r="AC960" i="2"/>
  <c r="AC2868" i="2"/>
  <c r="AD2868" i="2" s="1"/>
  <c r="AD1317" i="2"/>
  <c r="AC1317" i="2"/>
  <c r="AD3021" i="2"/>
  <c r="AC3021" i="2"/>
  <c r="C3023" i="2"/>
  <c r="C1618" i="2"/>
  <c r="C412" i="2"/>
  <c r="C1103" i="2"/>
  <c r="AC384" i="2"/>
  <c r="AD384" i="2"/>
  <c r="C962" i="2"/>
  <c r="C1251" i="2"/>
  <c r="C2983" i="2"/>
  <c r="AD2982" i="2" l="1"/>
  <c r="AC2982" i="2"/>
  <c r="AC1617" i="2"/>
  <c r="AD1617" i="2" s="1"/>
  <c r="AC385" i="2"/>
  <c r="AD385" i="2" s="1"/>
  <c r="C2984" i="2"/>
  <c r="AC1250" i="2"/>
  <c r="AD1250" i="2"/>
  <c r="C963" i="2"/>
  <c r="AC411" i="2"/>
  <c r="AD411" i="2" s="1"/>
  <c r="AD2931" i="2"/>
  <c r="AC2931" i="2"/>
  <c r="C895" i="2"/>
  <c r="C2871" i="2"/>
  <c r="C1882" i="2"/>
  <c r="AC2372" i="2"/>
  <c r="AD2372" i="2" s="1"/>
  <c r="C387" i="2"/>
  <c r="AC2869" i="2"/>
  <c r="AD2869" i="2" s="1"/>
  <c r="C1320" i="2"/>
  <c r="AC1102" i="2"/>
  <c r="AD1102" i="2" s="1"/>
  <c r="C413" i="2"/>
  <c r="C2933" i="2"/>
  <c r="C1252" i="2"/>
  <c r="C3024" i="2"/>
  <c r="C2374" i="2"/>
  <c r="AD893" i="2"/>
  <c r="AC893" i="2"/>
  <c r="AC1318" i="2"/>
  <c r="AD1318" i="2" s="1"/>
  <c r="AC36" i="2"/>
  <c r="AD36" i="2"/>
  <c r="C38" i="2"/>
  <c r="AC961" i="2"/>
  <c r="AD961" i="2"/>
  <c r="C1104" i="2"/>
  <c r="C1619" i="2"/>
  <c r="AD1880" i="2"/>
  <c r="AC1880" i="2"/>
  <c r="AD3022" i="2"/>
  <c r="AC3022" i="2"/>
  <c r="C1253" i="2" l="1"/>
  <c r="C1620" i="2"/>
  <c r="AD1103" i="2"/>
  <c r="AC1103" i="2"/>
  <c r="AC3023" i="2"/>
  <c r="AD3023" i="2"/>
  <c r="C1321" i="2"/>
  <c r="AD2373" i="2"/>
  <c r="AC2373" i="2"/>
  <c r="C2375" i="2"/>
  <c r="AD2932" i="2"/>
  <c r="AC2932" i="2"/>
  <c r="AD1881" i="2"/>
  <c r="AC1881" i="2"/>
  <c r="AD894" i="2"/>
  <c r="AC894" i="2"/>
  <c r="AC962" i="2"/>
  <c r="AD962" i="2" s="1"/>
  <c r="C964" i="2"/>
  <c r="AC1618" i="2"/>
  <c r="AD1618" i="2" s="1"/>
  <c r="C3025" i="2"/>
  <c r="C414" i="2"/>
  <c r="AC1319" i="2"/>
  <c r="AD1319" i="2"/>
  <c r="C1883" i="2"/>
  <c r="C2985" i="2"/>
  <c r="C1105" i="2"/>
  <c r="AD386" i="2"/>
  <c r="AC386" i="2"/>
  <c r="AC2870" i="2"/>
  <c r="AD2870" i="2"/>
  <c r="C2872" i="2"/>
  <c r="AD37" i="2"/>
  <c r="AC37" i="2"/>
  <c r="C39" i="2"/>
  <c r="AC1251" i="2"/>
  <c r="AD1251" i="2" s="1"/>
  <c r="C2934" i="2"/>
  <c r="AC412" i="2"/>
  <c r="AD412" i="2" s="1"/>
  <c r="AC2983" i="2"/>
  <c r="AD2983" i="2"/>
  <c r="C1106" i="2" l="1"/>
  <c r="C1884" i="2"/>
  <c r="AC3024" i="2"/>
  <c r="AD3024" i="2" s="1"/>
  <c r="C1621" i="2"/>
  <c r="AD38" i="2"/>
  <c r="AC38" i="2"/>
  <c r="C2873" i="2"/>
  <c r="AD895" i="2"/>
  <c r="AC895" i="2"/>
  <c r="AD2933" i="2"/>
  <c r="AC2933" i="2"/>
  <c r="AD2871" i="2"/>
  <c r="AC2871" i="2"/>
  <c r="C2986" i="2"/>
  <c r="AC413" i="2"/>
  <c r="AD413" i="2" s="1"/>
  <c r="C40" i="2"/>
  <c r="AD2984" i="2"/>
  <c r="AC2984" i="2"/>
  <c r="C415" i="2"/>
  <c r="C965" i="2"/>
  <c r="AC1619" i="2"/>
  <c r="AD1619" i="2" s="1"/>
  <c r="AD963" i="2"/>
  <c r="AC963" i="2"/>
  <c r="AC1252" i="2"/>
  <c r="AD1252" i="2"/>
  <c r="AC1882" i="2"/>
  <c r="AD1882" i="2"/>
  <c r="AC387" i="2"/>
  <c r="AD387" i="2" s="1"/>
  <c r="C1254" i="2"/>
  <c r="AD1104" i="2"/>
  <c r="AC1104" i="2"/>
  <c r="C3026" i="2"/>
  <c r="AD2374" i="2"/>
  <c r="AC2374" i="2"/>
  <c r="AD1320" i="2"/>
  <c r="AC1320" i="2"/>
  <c r="C2935" i="2"/>
  <c r="C1322" i="2"/>
  <c r="C3027" i="2" l="1"/>
  <c r="AC964" i="2"/>
  <c r="AD964" i="2" s="1"/>
  <c r="AC2985" i="2"/>
  <c r="AD2985" i="2"/>
  <c r="AC1105" i="2"/>
  <c r="AD1105" i="2" s="1"/>
  <c r="AC1321" i="2"/>
  <c r="AD1321" i="2"/>
  <c r="AD1253" i="2"/>
  <c r="AC1253" i="2"/>
  <c r="C416" i="2"/>
  <c r="AC2375" i="2"/>
  <c r="AD2375" i="2" s="1"/>
  <c r="AC1620" i="2"/>
  <c r="AD1620" i="2" s="1"/>
  <c r="AC414" i="2"/>
  <c r="AD414" i="2" s="1"/>
  <c r="C41" i="2"/>
  <c r="C1885" i="2"/>
  <c r="C1255" i="2"/>
  <c r="AC389" i="2"/>
  <c r="AD389" i="2" s="1"/>
  <c r="C2874" i="2"/>
  <c r="C1107" i="2"/>
  <c r="C1323" i="2"/>
  <c r="AC39" i="2"/>
  <c r="AD39" i="2" s="1"/>
  <c r="C2987" i="2"/>
  <c r="C2936" i="2"/>
  <c r="C966" i="2"/>
  <c r="AC2872" i="2"/>
  <c r="AD2872" i="2"/>
  <c r="C1622" i="2"/>
  <c r="AC2934" i="2"/>
  <c r="AD2934" i="2"/>
  <c r="AC3025" i="2"/>
  <c r="AD3025" i="2" s="1"/>
  <c r="AC897" i="2"/>
  <c r="AD897" i="2"/>
  <c r="AD1883" i="2"/>
  <c r="AC1883" i="2"/>
  <c r="AC1621" i="2" l="1"/>
  <c r="AD1621" i="2" s="1"/>
  <c r="AC965" i="2"/>
  <c r="AD965" i="2"/>
  <c r="C42" i="2"/>
  <c r="C967" i="2"/>
  <c r="C1324" i="2"/>
  <c r="C2875" i="2"/>
  <c r="C2988" i="2"/>
  <c r="AC2873" i="2"/>
  <c r="AD2873" i="2" s="1"/>
  <c r="AD1254" i="2"/>
  <c r="AC1254" i="2"/>
  <c r="AC415" i="2"/>
  <c r="AD415" i="2"/>
  <c r="C417" i="2"/>
  <c r="AC1322" i="2"/>
  <c r="AD1322" i="2" s="1"/>
  <c r="AD1106" i="2"/>
  <c r="AC1106" i="2"/>
  <c r="AD1884" i="2"/>
  <c r="AC1884" i="2"/>
  <c r="C1886" i="2"/>
  <c r="C3028" i="2"/>
  <c r="AD2935" i="2"/>
  <c r="AC2935" i="2"/>
  <c r="C2937" i="2"/>
  <c r="AD2986" i="2"/>
  <c r="AC2986" i="2"/>
  <c r="C1108" i="2"/>
  <c r="C1256" i="2"/>
  <c r="AC40" i="2"/>
  <c r="AD40" i="2" s="1"/>
  <c r="AC2377" i="2"/>
  <c r="AD2377" i="2"/>
  <c r="C1623" i="2"/>
  <c r="AD3026" i="2"/>
  <c r="AC3026" i="2"/>
  <c r="C2876" i="2" l="1"/>
  <c r="C2938" i="2"/>
  <c r="AD2874" i="2"/>
  <c r="AC2874" i="2"/>
  <c r="C43" i="2"/>
  <c r="AC1622" i="2"/>
  <c r="AD1622" i="2"/>
  <c r="AC1255" i="2"/>
  <c r="AD1255" i="2"/>
  <c r="AC1885" i="2"/>
  <c r="AD1885" i="2"/>
  <c r="AD2987" i="2"/>
  <c r="AC2987" i="2"/>
  <c r="AD41" i="2"/>
  <c r="AC41" i="2"/>
  <c r="AD3027" i="2"/>
  <c r="AC3027" i="2"/>
  <c r="C2989" i="2"/>
  <c r="C1325" i="2"/>
  <c r="AD966" i="2"/>
  <c r="AC966" i="2"/>
  <c r="C1624" i="2"/>
  <c r="C418" i="2"/>
  <c r="C1257" i="2"/>
  <c r="AC1107" i="2"/>
  <c r="AD1107" i="2" s="1"/>
  <c r="C1109" i="2"/>
  <c r="AC1323" i="2"/>
  <c r="AD1323" i="2" s="1"/>
  <c r="C968" i="2"/>
  <c r="AD2936" i="2"/>
  <c r="AC2936" i="2"/>
  <c r="C3029" i="2"/>
  <c r="C1887" i="2"/>
  <c r="AD416" i="2"/>
  <c r="AC416" i="2"/>
  <c r="C969" i="2" l="1"/>
  <c r="C1258" i="2"/>
  <c r="AC1623" i="2"/>
  <c r="AD1623" i="2"/>
  <c r="C1326" i="2"/>
  <c r="C2990" i="2"/>
  <c r="AD42" i="2"/>
  <c r="AC42" i="2"/>
  <c r="C2877" i="2"/>
  <c r="AC3028" i="2"/>
  <c r="AD3028" i="2" s="1"/>
  <c r="AC1256" i="2"/>
  <c r="AD1256" i="2"/>
  <c r="C2939" i="2"/>
  <c r="C3030" i="2"/>
  <c r="AC2988" i="2"/>
  <c r="AD2988" i="2" s="1"/>
  <c r="C1625" i="2"/>
  <c r="AC967" i="2"/>
  <c r="AD967" i="2" s="1"/>
  <c r="AC1108" i="2"/>
  <c r="AD1108" i="2" s="1"/>
  <c r="AC417" i="2"/>
  <c r="AD417" i="2" s="1"/>
  <c r="C419" i="2"/>
  <c r="AC1324" i="2"/>
  <c r="AD1324" i="2"/>
  <c r="C1888" i="2"/>
  <c r="AC2937" i="2"/>
  <c r="AD2937" i="2" s="1"/>
  <c r="AC2875" i="2"/>
  <c r="AD2875" i="2"/>
  <c r="AD1886" i="2"/>
  <c r="AC1886" i="2"/>
  <c r="C44" i="2"/>
  <c r="AD2876" i="2" l="1"/>
  <c r="AC2876" i="2"/>
  <c r="C45" i="2"/>
  <c r="AD1887" i="2"/>
  <c r="AC1887" i="2"/>
  <c r="C3031" i="2"/>
  <c r="C1889" i="2"/>
  <c r="AD3029" i="2"/>
  <c r="AC3029" i="2"/>
  <c r="C2991" i="2"/>
  <c r="AC1624" i="2"/>
  <c r="AD1624" i="2" s="1"/>
  <c r="AC1325" i="2"/>
  <c r="AD1325" i="2" s="1"/>
  <c r="AD968" i="2"/>
  <c r="AC968" i="2"/>
  <c r="AC43" i="2"/>
  <c r="AD43" i="2"/>
  <c r="C420" i="2"/>
  <c r="AC1109" i="2"/>
  <c r="AD1109" i="2" s="1"/>
  <c r="AD2938" i="2"/>
  <c r="AC2938" i="2"/>
  <c r="C1327" i="2"/>
  <c r="C1626" i="2"/>
  <c r="C2940" i="2"/>
  <c r="C1259" i="2"/>
  <c r="AC418" i="2"/>
  <c r="AD418" i="2" s="1"/>
  <c r="C2878" i="2"/>
  <c r="AC2989" i="2"/>
  <c r="AD2989" i="2" s="1"/>
  <c r="AD1257" i="2"/>
  <c r="AC1257" i="2"/>
  <c r="C970" i="2"/>
  <c r="C2879" i="2" l="1"/>
  <c r="C1627" i="2"/>
  <c r="AC1111" i="2"/>
  <c r="AD1111" i="2" s="1"/>
  <c r="C46" i="2"/>
  <c r="AC44" i="2"/>
  <c r="AD44" i="2"/>
  <c r="AC3030" i="2"/>
  <c r="AD3030" i="2" s="1"/>
  <c r="C971" i="2"/>
  <c r="AD2939" i="2"/>
  <c r="AC2939" i="2"/>
  <c r="C1328" i="2"/>
  <c r="C421" i="2"/>
  <c r="AC2990" i="2"/>
  <c r="AD2990" i="2"/>
  <c r="AD1888" i="2"/>
  <c r="AC1888" i="2"/>
  <c r="C3032" i="2"/>
  <c r="C2992" i="2"/>
  <c r="C2941" i="2"/>
  <c r="AC1625" i="2"/>
  <c r="AD1625" i="2"/>
  <c r="AC1326" i="2"/>
  <c r="AD1326" i="2"/>
  <c r="AD419" i="2"/>
  <c r="AC419" i="2"/>
  <c r="C1890" i="2"/>
  <c r="AC2877" i="2"/>
  <c r="AD2877" i="2" s="1"/>
  <c r="AC1258" i="2"/>
  <c r="AD1258" i="2"/>
  <c r="C1260" i="2"/>
  <c r="AC969" i="2"/>
  <c r="AD969" i="2"/>
  <c r="AD2940" i="2" l="1"/>
  <c r="AC2940" i="2"/>
  <c r="C1628" i="2"/>
  <c r="AD1889" i="2"/>
  <c r="AC1889" i="2"/>
  <c r="C3033" i="2"/>
  <c r="AD45" i="2"/>
  <c r="AC45" i="2"/>
  <c r="C47" i="2"/>
  <c r="AD1259" i="2"/>
  <c r="AC1259" i="2"/>
  <c r="C422" i="2"/>
  <c r="AC1327" i="2"/>
  <c r="AD1327" i="2" s="1"/>
  <c r="AD970" i="2"/>
  <c r="AC970" i="2"/>
  <c r="AC2878" i="2"/>
  <c r="AD2878" i="2"/>
  <c r="C2993" i="2"/>
  <c r="C2942" i="2"/>
  <c r="AC3031" i="2"/>
  <c r="AD3031" i="2"/>
  <c r="AC420" i="2"/>
  <c r="AD420" i="2" s="1"/>
  <c r="C1329" i="2"/>
  <c r="AC1626" i="2"/>
  <c r="AD1626" i="2" s="1"/>
  <c r="C2880" i="2"/>
  <c r="C1891" i="2"/>
  <c r="AD2991" i="2"/>
  <c r="AC2991" i="2"/>
  <c r="AD971" i="2" l="1"/>
  <c r="AC971" i="2"/>
  <c r="AC1260" i="2"/>
  <c r="AD1260" i="2" s="1"/>
  <c r="C1892" i="2"/>
  <c r="C1330" i="2"/>
  <c r="C2994" i="2"/>
  <c r="AD46" i="2"/>
  <c r="AC46" i="2"/>
  <c r="C1629" i="2"/>
  <c r="AC1890" i="2"/>
  <c r="AD1890" i="2" s="1"/>
  <c r="C2881" i="2"/>
  <c r="AC1328" i="2"/>
  <c r="AD1328" i="2" s="1"/>
  <c r="AC421" i="2"/>
  <c r="AD421" i="2" s="1"/>
  <c r="C3034" i="2"/>
  <c r="AC2992" i="2"/>
  <c r="AD2992" i="2" s="1"/>
  <c r="AD2879" i="2"/>
  <c r="AC2879" i="2"/>
  <c r="C423" i="2"/>
  <c r="AD1627" i="2"/>
  <c r="AC1627" i="2"/>
  <c r="AD2941" i="2"/>
  <c r="AC2941" i="2"/>
  <c r="AD3032" i="2"/>
  <c r="AC3032" i="2"/>
  <c r="C2943" i="2"/>
  <c r="C48" i="2"/>
  <c r="C2944" i="2" l="1"/>
  <c r="C49" i="2"/>
  <c r="AC2942" i="2"/>
  <c r="AD2942" i="2"/>
  <c r="C2995" i="2"/>
  <c r="AD1891" i="2"/>
  <c r="AC1891" i="2"/>
  <c r="C1893" i="2"/>
  <c r="AC973" i="2"/>
  <c r="AD973" i="2" s="1"/>
  <c r="AC422" i="2"/>
  <c r="AD422" i="2" s="1"/>
  <c r="AC1628" i="2"/>
  <c r="AD1628" i="2" s="1"/>
  <c r="C1630" i="2"/>
  <c r="AC1329" i="2"/>
  <c r="AD1329" i="2"/>
  <c r="C424" i="2"/>
  <c r="AD3033" i="2"/>
  <c r="AC3033" i="2"/>
  <c r="C2882" i="2"/>
  <c r="AC2993" i="2"/>
  <c r="AD2993" i="2"/>
  <c r="C1331" i="2"/>
  <c r="AC1262" i="2"/>
  <c r="AD1262" i="2" s="1"/>
  <c r="AC47" i="2"/>
  <c r="AD47" i="2"/>
  <c r="C3035" i="2"/>
  <c r="AC2880" i="2"/>
  <c r="AD2880" i="2"/>
  <c r="AC423" i="2" l="1"/>
  <c r="AD423" i="2" s="1"/>
  <c r="AD1892" i="2"/>
  <c r="AC1892" i="2"/>
  <c r="C1894" i="2"/>
  <c r="C2883" i="2"/>
  <c r="AD2994" i="2"/>
  <c r="AC2994" i="2"/>
  <c r="AD48" i="2"/>
  <c r="AC48" i="2"/>
  <c r="C3036" i="2"/>
  <c r="AC1330" i="2"/>
  <c r="AD1330" i="2" s="1"/>
  <c r="AD2881" i="2"/>
  <c r="AC2881" i="2"/>
  <c r="C1631" i="2"/>
  <c r="C50" i="2"/>
  <c r="C2996" i="2"/>
  <c r="C1332" i="2"/>
  <c r="C425" i="2"/>
  <c r="AC3034" i="2"/>
  <c r="AD3034" i="2" s="1"/>
  <c r="AC1629" i="2"/>
  <c r="AD1629" i="2" s="1"/>
  <c r="AD2943" i="2"/>
  <c r="AC2943" i="2"/>
  <c r="C2945" i="2"/>
  <c r="C426" i="2" l="1"/>
  <c r="C1632" i="2"/>
  <c r="C2884" i="2"/>
  <c r="C2997" i="2"/>
  <c r="C51" i="2"/>
  <c r="C3037" i="2"/>
  <c r="C1895" i="2"/>
  <c r="AD49" i="2"/>
  <c r="AC49" i="2"/>
  <c r="AC3035" i="2"/>
  <c r="AD3035" i="2"/>
  <c r="AC2882" i="2"/>
  <c r="AD2882" i="2"/>
  <c r="C1333" i="2"/>
  <c r="AD2944" i="2"/>
  <c r="AC2944" i="2"/>
  <c r="AD424" i="2"/>
  <c r="AC424" i="2"/>
  <c r="AC1331" i="2"/>
  <c r="AD1331" i="2" s="1"/>
  <c r="AC1630" i="2"/>
  <c r="AD1630" i="2"/>
  <c r="AC1893" i="2"/>
  <c r="AD1893" i="2" s="1"/>
  <c r="C2946" i="2"/>
  <c r="AD2995" i="2"/>
  <c r="AC2995" i="2"/>
  <c r="C1633" i="2" l="1"/>
  <c r="C2947" i="2"/>
  <c r="C1896" i="2"/>
  <c r="AD3036" i="2"/>
  <c r="AC3036" i="2"/>
  <c r="AC2996" i="2"/>
  <c r="AD2996" i="2" s="1"/>
  <c r="AC2883" i="2"/>
  <c r="AD2883" i="2" s="1"/>
  <c r="C3038" i="2"/>
  <c r="AD50" i="2"/>
  <c r="AC50" i="2"/>
  <c r="AC1631" i="2"/>
  <c r="AD1631" i="2" s="1"/>
  <c r="C427" i="2"/>
  <c r="C52" i="2"/>
  <c r="C2885" i="2"/>
  <c r="AD1332" i="2"/>
  <c r="AC1332" i="2"/>
  <c r="C1334" i="2"/>
  <c r="AD425" i="2"/>
  <c r="AC425" i="2"/>
  <c r="AD2945" i="2"/>
  <c r="AC2945" i="2"/>
  <c r="AC1894" i="2"/>
  <c r="AD1894" i="2"/>
  <c r="C2998" i="2"/>
  <c r="AD2946" i="2" l="1"/>
  <c r="AC2946" i="2"/>
  <c r="C53" i="2"/>
  <c r="C3039" i="2"/>
  <c r="C2948" i="2"/>
  <c r="AD2997" i="2"/>
  <c r="AC2997" i="2"/>
  <c r="AC51" i="2"/>
  <c r="AD51" i="2" s="1"/>
  <c r="AD3037" i="2"/>
  <c r="AC3037" i="2"/>
  <c r="AC1632" i="2"/>
  <c r="AD1632" i="2" s="1"/>
  <c r="C2886" i="2"/>
  <c r="C1634" i="2"/>
  <c r="AC1333" i="2"/>
  <c r="AD1333" i="2" s="1"/>
  <c r="C1335" i="2"/>
  <c r="AC2884" i="2"/>
  <c r="AD2884" i="2" s="1"/>
  <c r="AC1895" i="2"/>
  <c r="AD1895" i="2"/>
  <c r="AC426" i="2"/>
  <c r="AD426" i="2"/>
  <c r="C428" i="2"/>
  <c r="C1897" i="2"/>
  <c r="C1898" i="2" l="1"/>
  <c r="C1336" i="2"/>
  <c r="AC2885" i="2"/>
  <c r="AD2885" i="2" s="1"/>
  <c r="AC3038" i="2"/>
  <c r="AD3038" i="2" s="1"/>
  <c r="AD2998" i="2"/>
  <c r="AC2998" i="2"/>
  <c r="C429" i="2"/>
  <c r="AC52" i="2"/>
  <c r="AD52" i="2"/>
  <c r="AD427" i="2"/>
  <c r="AC427" i="2"/>
  <c r="AC1633" i="2"/>
  <c r="AD1633" i="2" s="1"/>
  <c r="AD2947" i="2"/>
  <c r="AC2947" i="2"/>
  <c r="AD1896" i="2"/>
  <c r="AC1896" i="2"/>
  <c r="AC1334" i="2"/>
  <c r="AD1334" i="2"/>
  <c r="C2887" i="2"/>
  <c r="C3040" i="2"/>
  <c r="C2949" i="2"/>
  <c r="C54" i="2"/>
  <c r="C2950" i="2" l="1"/>
  <c r="AC2886" i="2"/>
  <c r="AD2886" i="2"/>
  <c r="C1337" i="2"/>
  <c r="AC1634" i="2"/>
  <c r="AD1634" i="2" s="1"/>
  <c r="AD1335" i="2"/>
  <c r="AC1335" i="2"/>
  <c r="C3041" i="2"/>
  <c r="AD2948" i="2"/>
  <c r="AC2948" i="2"/>
  <c r="C430" i="2"/>
  <c r="AC3039" i="2"/>
  <c r="AD3039" i="2" s="1"/>
  <c r="AD53" i="2"/>
  <c r="AC53" i="2"/>
  <c r="C55" i="2"/>
  <c r="AD1897" i="2"/>
  <c r="AC1897" i="2"/>
  <c r="C1899" i="2"/>
  <c r="AC428" i="2"/>
  <c r="AD428" i="2" s="1"/>
  <c r="AC3000" i="2"/>
  <c r="AD3000" i="2" s="1"/>
  <c r="C2888" i="2"/>
  <c r="C3042" i="2" l="1"/>
  <c r="AD2949" i="2"/>
  <c r="AC2949" i="2"/>
  <c r="AC1898" i="2"/>
  <c r="AD1898" i="2" s="1"/>
  <c r="AC1336" i="2"/>
  <c r="AD1336" i="2" s="1"/>
  <c r="C2951" i="2"/>
  <c r="AC3040" i="2"/>
  <c r="AD3040" i="2" s="1"/>
  <c r="AC1636" i="2"/>
  <c r="AD1636" i="2"/>
  <c r="AD54" i="2"/>
  <c r="AC54" i="2"/>
  <c r="C1338" i="2"/>
  <c r="AC2887" i="2"/>
  <c r="AD2887" i="2" s="1"/>
  <c r="AC429" i="2"/>
  <c r="AD429" i="2" s="1"/>
  <c r="C2889" i="2"/>
  <c r="C1900" i="2"/>
  <c r="C56" i="2"/>
  <c r="C431" i="2"/>
  <c r="AD1899" i="2" l="1"/>
  <c r="AC1899" i="2"/>
  <c r="AC2888" i="2"/>
  <c r="AD2888" i="2"/>
  <c r="AD430" i="2"/>
  <c r="AC430" i="2"/>
  <c r="AC55" i="2"/>
  <c r="AD55" i="2" s="1"/>
  <c r="C1901" i="2"/>
  <c r="AD2950" i="2"/>
  <c r="AC2950" i="2"/>
  <c r="C2890" i="2"/>
  <c r="C3043" i="2"/>
  <c r="AC1337" i="2"/>
  <c r="AD1337" i="2"/>
  <c r="C57" i="2"/>
  <c r="C432" i="2"/>
  <c r="C2952" i="2"/>
  <c r="AD3041" i="2"/>
  <c r="AC3041" i="2"/>
  <c r="C1339" i="2"/>
  <c r="C58" i="2" l="1"/>
  <c r="AD2889" i="2"/>
  <c r="AC2889" i="2"/>
  <c r="C433" i="2"/>
  <c r="AD1900" i="2"/>
  <c r="AC1900" i="2"/>
  <c r="AD2951" i="2"/>
  <c r="AC2951" i="2"/>
  <c r="C2953" i="2"/>
  <c r="C2891" i="2"/>
  <c r="C1340" i="2"/>
  <c r="C3044" i="2"/>
  <c r="C1902" i="2"/>
  <c r="AC56" i="2"/>
  <c r="AD56" i="2" s="1"/>
  <c r="AC1338" i="2"/>
  <c r="AD1338" i="2" s="1"/>
  <c r="AC431" i="2"/>
  <c r="AD431" i="2" s="1"/>
  <c r="AC3042" i="2"/>
  <c r="AD3042" i="2" s="1"/>
  <c r="AC57" i="2" l="1"/>
  <c r="AD57" i="2" s="1"/>
  <c r="C59" i="2"/>
  <c r="AC1339" i="2"/>
  <c r="AD1339" i="2" s="1"/>
  <c r="AC2890" i="2"/>
  <c r="AD2890" i="2"/>
  <c r="C2892" i="2"/>
  <c r="AD432" i="2"/>
  <c r="AC432" i="2"/>
  <c r="AC1901" i="2"/>
  <c r="AD1901" i="2"/>
  <c r="C1903" i="2"/>
  <c r="C3045" i="2"/>
  <c r="AD2952" i="2"/>
  <c r="AC2952" i="2"/>
  <c r="C434" i="2"/>
  <c r="C1341" i="2"/>
  <c r="AC3043" i="2"/>
  <c r="AD3043" i="2" s="1"/>
  <c r="C2954" i="2"/>
  <c r="AD1340" i="2" l="1"/>
  <c r="AC1340" i="2"/>
  <c r="C3046" i="2"/>
  <c r="AC433" i="2"/>
  <c r="AD433" i="2" s="1"/>
  <c r="C1904" i="2"/>
  <c r="AD2953" i="2"/>
  <c r="AC2953" i="2"/>
  <c r="C1342" i="2"/>
  <c r="AC2891" i="2"/>
  <c r="AD2891" i="2"/>
  <c r="C2955" i="2"/>
  <c r="C60" i="2"/>
  <c r="C2893" i="2"/>
  <c r="C435" i="2"/>
  <c r="AC58" i="2"/>
  <c r="AD58" i="2" s="1"/>
  <c r="AC3044" i="2"/>
  <c r="AD3044" i="2"/>
  <c r="AC1902" i="2"/>
  <c r="AD1902" i="2" s="1"/>
  <c r="AC3045" i="2" l="1"/>
  <c r="AD3045" i="2" s="1"/>
  <c r="C3047" i="2"/>
  <c r="AC1341" i="2"/>
  <c r="AD1341" i="2" s="1"/>
  <c r="AC434" i="2"/>
  <c r="AD434" i="2" s="1"/>
  <c r="AD1903" i="2"/>
  <c r="AC1903" i="2"/>
  <c r="AD2954" i="2"/>
  <c r="AC2954" i="2"/>
  <c r="C1905" i="2"/>
  <c r="AC2892" i="2"/>
  <c r="AD2892" i="2" s="1"/>
  <c r="C2894" i="2"/>
  <c r="C2956" i="2"/>
  <c r="AB3062" i="2"/>
  <c r="W3062" i="2"/>
  <c r="Q3062" i="2"/>
  <c r="L3062" i="2"/>
  <c r="AC59" i="2"/>
  <c r="AD59" i="2"/>
  <c r="AC1342" i="2" l="1"/>
  <c r="AD1342" i="2" s="1"/>
  <c r="AC1344" i="2"/>
  <c r="AD1344" i="2" s="1"/>
  <c r="C3048" i="2"/>
  <c r="AC60" i="2"/>
  <c r="AD60" i="2"/>
  <c r="C1906" i="2"/>
  <c r="AC3046" i="2"/>
  <c r="AD3046" i="2" s="1"/>
  <c r="C2957" i="2"/>
  <c r="AD2893" i="2"/>
  <c r="AC2893" i="2"/>
  <c r="AD435" i="2"/>
  <c r="AC435" i="2"/>
  <c r="AD2955" i="2"/>
  <c r="AC2955" i="2"/>
  <c r="C2895" i="2"/>
  <c r="AC1904" i="2"/>
  <c r="AD1904" i="2"/>
  <c r="AC2894" i="2" l="1"/>
  <c r="AD2894" i="2"/>
  <c r="C1907" i="2"/>
  <c r="AD2956" i="2"/>
  <c r="AC2956" i="2"/>
  <c r="C2896" i="2"/>
  <c r="J3062" i="2"/>
  <c r="M3062" i="2" s="1"/>
  <c r="N3062" i="2" s="1"/>
  <c r="AC1905" i="2"/>
  <c r="AD1905" i="2" s="1"/>
  <c r="O3062" i="2"/>
  <c r="U3062" i="2"/>
  <c r="AC437" i="2"/>
  <c r="AD437" i="2" s="1"/>
  <c r="AC62" i="2"/>
  <c r="AD62" i="2" s="1"/>
  <c r="Z3062" i="2"/>
  <c r="AC3047" i="2"/>
  <c r="AD3047" i="2"/>
  <c r="C2958" i="2"/>
  <c r="X3062" i="2" l="1"/>
  <c r="Y3062" i="2" s="1"/>
  <c r="AC3062" i="2"/>
  <c r="AD3062" i="2" s="1"/>
  <c r="AD2895" i="2"/>
  <c r="AC2895" i="2"/>
  <c r="AC3048" i="2"/>
  <c r="AD3048" i="2" s="1"/>
  <c r="C1908" i="2"/>
  <c r="C2897" i="2"/>
  <c r="AC2957" i="2"/>
  <c r="AD2957" i="2"/>
  <c r="AC1906" i="2"/>
  <c r="AD1906" i="2" s="1"/>
  <c r="R3062" i="2"/>
  <c r="S3062" i="2"/>
  <c r="C1909" i="2" l="1"/>
  <c r="AC3050" i="2"/>
  <c r="AD3050" i="2" s="1"/>
  <c r="AD1907" i="2"/>
  <c r="AC1907" i="2"/>
  <c r="AD2958" i="2"/>
  <c r="AC2958" i="2"/>
  <c r="AD2896" i="2"/>
  <c r="AC2896" i="2"/>
  <c r="C2898" i="2"/>
  <c r="AC2960" i="2" l="1"/>
  <c r="AD2960" i="2" s="1"/>
  <c r="C1910" i="2"/>
  <c r="C2899" i="2"/>
  <c r="AD2897" i="2"/>
  <c r="AC2897" i="2"/>
  <c r="AC1908" i="2"/>
  <c r="AD1908" i="2" s="1"/>
  <c r="C1911" i="2" l="1"/>
  <c r="AC2898" i="2"/>
  <c r="AD2898" i="2"/>
  <c r="AC1909" i="2"/>
  <c r="AD1909" i="2"/>
  <c r="C1912" i="2" l="1"/>
  <c r="AC2899" i="2"/>
  <c r="AD2899" i="2"/>
  <c r="AC2901" i="2"/>
  <c r="AD2901" i="2" s="1"/>
  <c r="AC1910" i="2"/>
  <c r="AD1910" i="2" s="1"/>
  <c r="AC1911" i="2" l="1"/>
  <c r="AD1911" i="2" s="1"/>
  <c r="C1913" i="2"/>
  <c r="AC1912" i="2" l="1"/>
  <c r="AD1912" i="2" s="1"/>
  <c r="C1914" i="2"/>
  <c r="C1915" i="2" l="1"/>
  <c r="AD1913" i="2"/>
  <c r="AC1913" i="2"/>
  <c r="AC1914" i="2" l="1"/>
  <c r="AD1914" i="2"/>
  <c r="AD1915" i="2" l="1"/>
  <c r="AC1915" i="2"/>
  <c r="AC1917" i="2" l="1"/>
  <c r="AD1917" i="2" s="1"/>
</calcChain>
</file>

<file path=xl/sharedStrings.xml><?xml version="1.0" encoding="utf-8"?>
<sst xmlns="http://schemas.openxmlformats.org/spreadsheetml/2006/main" count="68334" uniqueCount="59393">
  <si>
    <t>Auto+Hide+Values</t>
  </si>
  <si>
    <t xml:space="preserve">Report Readme </t>
  </si>
  <si>
    <t>About the report</t>
  </si>
  <si>
    <t>Version of Jet</t>
  </si>
  <si>
    <t>Services</t>
  </si>
  <si>
    <t>Training</t>
  </si>
  <si>
    <t>Sales</t>
  </si>
  <si>
    <t>Copyrights</t>
  </si>
  <si>
    <t>Period Type:</t>
  </si>
  <si>
    <t>Sale</t>
  </si>
  <si>
    <t>Customer</t>
  </si>
  <si>
    <t>Item No.:</t>
  </si>
  <si>
    <t>Start Date:</t>
  </si>
  <si>
    <t>End Date:</t>
  </si>
  <si>
    <t>Option</t>
  </si>
  <si>
    <t>Title</t>
  </si>
  <si>
    <t>Value</t>
  </si>
  <si>
    <t>Lookup</t>
  </si>
  <si>
    <t>Hide</t>
  </si>
  <si>
    <t>Period Type</t>
  </si>
  <si>
    <t>Item Profitability by Customer</t>
  </si>
  <si>
    <t>Cust. No.</t>
  </si>
  <si>
    <t>Customer Name</t>
  </si>
  <si>
    <t>Quantity</t>
  </si>
  <si>
    <t>Profit $</t>
  </si>
  <si>
    <t>Profit %</t>
  </si>
  <si>
    <t>GRAND TOTAL:</t>
  </si>
  <si>
    <t xml:space="preserve"> </t>
  </si>
  <si>
    <t xml:space="preserve">  </t>
  </si>
  <si>
    <t>Customer No.</t>
  </si>
  <si>
    <t>Name</t>
  </si>
  <si>
    <t>Current Year Date Filter</t>
  </si>
  <si>
    <t>Prior Year Date Filter</t>
  </si>
  <si>
    <t>2 Year Date Filter</t>
  </si>
  <si>
    <t>Sale Entry Type</t>
  </si>
  <si>
    <t>Sale Source Type</t>
  </si>
  <si>
    <t>Customer Source Type</t>
  </si>
  <si>
    <t>2 Yr Date Filter</t>
  </si>
  <si>
    <t>Item Filter</t>
  </si>
  <si>
    <t>Customer Filter</t>
  </si>
  <si>
    <t>COGS</t>
  </si>
  <si>
    <t>Current Period vs. Same Period Prior Year</t>
  </si>
  <si>
    <t>Month</t>
  </si>
  <si>
    <t>Questions About This Report</t>
  </si>
  <si>
    <t>Click here to contact sample reports</t>
  </si>
  <si>
    <t>Click here for downloads</t>
  </si>
  <si>
    <t>Tooltip</t>
  </si>
  <si>
    <t>Enter a date using the date format used in your NAV instance</t>
  </si>
  <si>
    <t>Getting Help</t>
  </si>
  <si>
    <t>Modifying this report</t>
  </si>
  <si>
    <t>This report can be modified by entering into design mode from the Jet tab.</t>
  </si>
  <si>
    <t xml:space="preserve">Reports are updated to the latest released version possible. If you have an older version of Jet some report features may not work properly. Please upgrade to the latest version of the Jet Excel Add-in. </t>
  </si>
  <si>
    <t>If you have questions about this or any other sample report, please email samplereports@jetglobal.com</t>
  </si>
  <si>
    <r>
      <t xml:space="preserve">The Jet Help Center is the launch pad for all support destinations. Search our </t>
    </r>
    <r>
      <rPr>
        <b/>
        <sz val="10"/>
        <color theme="1"/>
        <rFont val="Segoe UI"/>
        <family val="2"/>
      </rPr>
      <t>knowledgebase</t>
    </r>
    <r>
      <rPr>
        <sz val="10"/>
        <color theme="1"/>
        <rFont val="Segoe UI"/>
        <family val="2"/>
      </rPr>
      <t xml:space="preserve"> for product documentation and installation, troubleshooting, and how-to articles; post questions and join discussions with the Jet Reports </t>
    </r>
    <r>
      <rPr>
        <b/>
        <sz val="10"/>
        <color theme="1"/>
        <rFont val="Segoe UI"/>
        <family val="2"/>
      </rPr>
      <t>community;</t>
    </r>
    <r>
      <rPr>
        <sz val="10"/>
        <color theme="1"/>
        <rFont val="Segoe UI"/>
        <family val="2"/>
      </rPr>
      <t xml:space="preserve"> or submit a request to our awesome </t>
    </r>
    <r>
      <rPr>
        <b/>
        <sz val="10"/>
        <color theme="1"/>
        <rFont val="Segoe UI"/>
        <family val="2"/>
      </rPr>
      <t>support</t>
    </r>
    <r>
      <rPr>
        <sz val="10"/>
        <color theme="1"/>
        <rFont val="Segoe UI"/>
        <family val="2"/>
      </rPr>
      <t xml:space="preserve"> team who will get back to you swiftly.</t>
    </r>
  </si>
  <si>
    <t>Click here for the Jet Help Center</t>
  </si>
  <si>
    <t>For additional reports or customizations for your reports please contact Jet services at services@jetglobal.com.</t>
  </si>
  <si>
    <t>Click here to email Jet Global Services</t>
  </si>
  <si>
    <t>For training, see our website for more information.</t>
  </si>
  <si>
    <t>Click here to go to Jet Global contact page</t>
  </si>
  <si>
    <t>To contact a sales representative, send an email to sales.us@jetglobal.com.</t>
  </si>
  <si>
    <t>Click here to email Jet Global sales</t>
  </si>
  <si>
    <t>Disclaimer</t>
  </si>
  <si>
    <t>All reports are built as examples only. Reports are working reports that will return data from your database if you have configured Jet Reports properly in Excel. Reports may work differently on your database. Reports were tested on the Microsoft Dynamics NAV2015 JetCorp Demo Database. Reports will display different results depending on your database.</t>
  </si>
  <si>
    <t xml:space="preserve">2018 Jet Global Data Technologies, Inc. </t>
  </si>
  <si>
    <t>=NL("Lookup",{"Day","Week","Month","Quarter","Year"},"Select a Period Type")</t>
  </si>
  <si>
    <t>="1/1/2019"</t>
  </si>
  <si>
    <t>="*"</t>
  </si>
  <si>
    <t>=NL("Lookup","18 Customer",{"1 No.","2 Name"})</t>
  </si>
  <si>
    <t>="C100003"</t>
  </si>
  <si>
    <t>=NL("Lookup","27 Item",{"1 No.","3 Description"})</t>
  </si>
  <si>
    <t>=NP("DateFilter",StartDate,EndDate)</t>
  </si>
  <si>
    <t>=D12&amp;"|"&amp;D11</t>
  </si>
  <si>
    <t>1</t>
  </si>
  <si>
    <t>=NL("Columns=11","2000000007 Date",,"2 Period Start",$C$8,"Period Type",$C$3)</t>
  </si>
  <si>
    <t>=NF(J6,"2 Period Start")</t>
  </si>
  <si>
    <t>=J7-365</t>
  </si>
  <si>
    <t>=NF(J6,"3 Period End")</t>
  </si>
  <si>
    <t>=J8-365</t>
  </si>
  <si>
    <t>=C6</t>
  </si>
  <si>
    <t>=C7</t>
  </si>
  <si>
    <t>=TEXT(J7,"MMM-DD-YY")</t>
  </si>
  <si>
    <t>=TEXT(O7,"MMM-DD-YY")</t>
  </si>
  <si>
    <t>=NL("Rows=6","32 Item Ledger Entry","5 Source No.","4 Entry Type",$C$4,"41 Source Type",$C$5,"5 Source No.",$C$6,"Item No.",$C$7,"3 Posting Date",$C$10)</t>
  </si>
  <si>
    <t>=NL(,"18 Customer","2 Name","1 No.",$E20)</t>
  </si>
  <si>
    <t>=E20</t>
  </si>
  <si>
    <t>=J22-L22</t>
  </si>
  <si>
    <t>=IF(J22&lt;&gt;0,M22/J22,"")</t>
  </si>
  <si>
    <t>=O22-Q22</t>
  </si>
  <si>
    <t>=IF(O22&lt;&gt;0,R22/O22,"")</t>
  </si>
  <si>
    <t>=SUBTOTAL(9,J21:J23)</t>
  </si>
  <si>
    <t>=SUBTOTAL(9,K21:K23)</t>
  </si>
  <si>
    <t>=SUBTOTAL(9,L21:L23)</t>
  </si>
  <si>
    <t>=J24-L24</t>
  </si>
  <si>
    <t>=IF(J24&lt;&gt;0,M24/J24,"")</t>
  </si>
  <si>
    <t>=SUBTOTAL(9,O21:O23)</t>
  </si>
  <si>
    <t>=SUBTOTAL(9,P21:P23)</t>
  </si>
  <si>
    <t>=SUBTOTAL(9,Q21:Q23)</t>
  </si>
  <si>
    <t>=O24-Q24</t>
  </si>
  <si>
    <t>=IF(O24&lt;&gt;0,R24/O24,"")</t>
  </si>
  <si>
    <t>=SUBTOTAL(9,J20:J25)</t>
  </si>
  <si>
    <t>=SUBTOTAL(9,L20:L25)</t>
  </si>
  <si>
    <t>=J26-L26</t>
  </si>
  <si>
    <t>=IF(J26&lt;&gt;0,M26/J26,"")</t>
  </si>
  <si>
    <t>=SUBTOTAL(9,O20:O25)</t>
  </si>
  <si>
    <t>=SUBTOTAL(9,Q20:Q25)</t>
  </si>
  <si>
    <t>=O26-Q26</t>
  </si>
  <si>
    <t>=IF(O26&lt;&gt;0,R26/O26,"")</t>
  </si>
  <si>
    <t xml:space="preserve"> +Auto</t>
  </si>
  <si>
    <t xml:space="preserve">  +Auto</t>
  </si>
  <si>
    <t>Auto</t>
  </si>
  <si>
    <t>="""NAV Direct"",""CRONUS JetCorp USA"",""2000000007"",""1"",""Month"",""2"",""2/1/2019"""</t>
  </si>
  <si>
    <t>=NF(U6,"2 Period Start")</t>
  </si>
  <si>
    <t>=U7-365</t>
  </si>
  <si>
    <t>=NF(U6,"3 Period End")</t>
  </si>
  <si>
    <t>=U8-365</t>
  </si>
  <si>
    <t>=TEXT(U7,"MMM-DD-YY")</t>
  </si>
  <si>
    <t>=TEXT(Z7,"MMM-DD-YY")</t>
  </si>
  <si>
    <t>=U22-W22</t>
  </si>
  <si>
    <t>=IF(U22&lt;&gt;0,X22/U22,"")</t>
  </si>
  <si>
    <t>=Z22-AB22</t>
  </si>
  <si>
    <t>=IF(Z22&lt;&gt;0,AC22/Z22,"")</t>
  </si>
  <si>
    <t>=U24-W24</t>
  </si>
  <si>
    <t>=IF(U24&lt;&gt;0,X24/U24,"")</t>
  </si>
  <si>
    <t>=Z24-AB24</t>
  </si>
  <si>
    <t>=IF(Z24&lt;&gt;0,AC24/Z24,"")</t>
  </si>
  <si>
    <t>="C100013"</t>
  </si>
  <si>
    <t>=J28-L28</t>
  </si>
  <si>
    <t>=IF(J28&lt;&gt;0,M28/J28,"")</t>
  </si>
  <si>
    <t>=O28-Q28</t>
  </si>
  <si>
    <t>=IF(O28&lt;&gt;0,R28/O28,"")</t>
  </si>
  <si>
    <t>=U28-W28</t>
  </si>
  <si>
    <t>=IF(U28&lt;&gt;0,X28/U28,"")</t>
  </si>
  <si>
    <t>=Z28-AB28</t>
  </si>
  <si>
    <t>=IF(Z28&lt;&gt;0,AC28/Z28,"")</t>
  </si>
  <si>
    <t>=J30-L30</t>
  </si>
  <si>
    <t>=IF(J30&lt;&gt;0,M30/J30,"")</t>
  </si>
  <si>
    <t>=O30-Q30</t>
  </si>
  <si>
    <t>=IF(O30&lt;&gt;0,R30/O30,"")</t>
  </si>
  <si>
    <t>=U30-W30</t>
  </si>
  <si>
    <t>=IF(U30&lt;&gt;0,X30/U30,"")</t>
  </si>
  <si>
    <t>=Z30-AB30</t>
  </si>
  <si>
    <t>=IF(Z30&lt;&gt;0,AC30/Z30,"")</t>
  </si>
  <si>
    <t>="C100018"</t>
  </si>
  <si>
    <t>=J34-L34</t>
  </si>
  <si>
    <t>=IF(J34&lt;&gt;0,M34/J34,"")</t>
  </si>
  <si>
    <t>=O34-Q34</t>
  </si>
  <si>
    <t>=IF(O34&lt;&gt;0,R34/O34,"")</t>
  </si>
  <si>
    <t>=U34-W34</t>
  </si>
  <si>
    <t>=IF(U34&lt;&gt;0,X34/U34,"")</t>
  </si>
  <si>
    <t>=Z34-AB34</t>
  </si>
  <si>
    <t>=IF(Z34&lt;&gt;0,AC34/Z34,"")</t>
  </si>
  <si>
    <t>=J36-L36</t>
  </si>
  <si>
    <t>=IF(J36&lt;&gt;0,M36/J36,"")</t>
  </si>
  <si>
    <t>=O36-Q36</t>
  </si>
  <si>
    <t>=IF(O36&lt;&gt;0,R36/O36,"")</t>
  </si>
  <si>
    <t>=U36-W36</t>
  </si>
  <si>
    <t>=IF(U36&lt;&gt;0,X36/U36,"")</t>
  </si>
  <si>
    <t>=Z36-AB36</t>
  </si>
  <si>
    <t>=IF(Z36&lt;&gt;0,AC36/Z36,"")</t>
  </si>
  <si>
    <t>="C100021"</t>
  </si>
  <si>
    <t>=J40-L40</t>
  </si>
  <si>
    <t>=IF(J40&lt;&gt;0,M40/J40,"")</t>
  </si>
  <si>
    <t>=O40-Q40</t>
  </si>
  <si>
    <t>=IF(O40&lt;&gt;0,R40/O40,"")</t>
  </si>
  <si>
    <t>=U40-W40</t>
  </si>
  <si>
    <t>=IF(U40&lt;&gt;0,X40/U40,"")</t>
  </si>
  <si>
    <t>=Z40-AB40</t>
  </si>
  <si>
    <t>=IF(Z40&lt;&gt;0,AC40/Z40,"")</t>
  </si>
  <si>
    <t>=J42-L42</t>
  </si>
  <si>
    <t>=IF(J42&lt;&gt;0,M42/J42,"")</t>
  </si>
  <si>
    <t>=O42-Q42</t>
  </si>
  <si>
    <t>=IF(O42&lt;&gt;0,R42/O42,"")</t>
  </si>
  <si>
    <t>=U42-W42</t>
  </si>
  <si>
    <t>=IF(U42&lt;&gt;0,X42/U42,"")</t>
  </si>
  <si>
    <t>=Z42-AB42</t>
  </si>
  <si>
    <t>=IF(Z42&lt;&gt;0,AC42/Z42,"")</t>
  </si>
  <si>
    <t>="C100031"</t>
  </si>
  <si>
    <t>=J46-L46</t>
  </si>
  <si>
    <t>=IF(J46&lt;&gt;0,M46/J46,"")</t>
  </si>
  <si>
    <t>=O46-Q46</t>
  </si>
  <si>
    <t>=IF(O46&lt;&gt;0,R46/O46,"")</t>
  </si>
  <si>
    <t>=U46-W46</t>
  </si>
  <si>
    <t>=IF(U46&lt;&gt;0,X46/U46,"")</t>
  </si>
  <si>
    <t>=Z46-AB46</t>
  </si>
  <si>
    <t>=IF(Z46&lt;&gt;0,AC46/Z46,"")</t>
  </si>
  <si>
    <t>=J48-L48</t>
  </si>
  <si>
    <t>=IF(J48&lt;&gt;0,M48/J48,"")</t>
  </si>
  <si>
    <t>=O48-Q48</t>
  </si>
  <si>
    <t>=IF(O48&lt;&gt;0,R48/O48,"")</t>
  </si>
  <si>
    <t>=U48-W48</t>
  </si>
  <si>
    <t>=IF(U48&lt;&gt;0,X48/U48,"")</t>
  </si>
  <si>
    <t>=Z48-AB48</t>
  </si>
  <si>
    <t>=IF(Z48&lt;&gt;0,AC48/Z48,"")</t>
  </si>
  <si>
    <t>="C100035"</t>
  </si>
  <si>
    <t>=J52-L52</t>
  </si>
  <si>
    <t>=IF(J52&lt;&gt;0,M52/J52,"")</t>
  </si>
  <si>
    <t>=O52-Q52</t>
  </si>
  <si>
    <t>=IF(O52&lt;&gt;0,R52/O52,"")</t>
  </si>
  <si>
    <t>=U52-W52</t>
  </si>
  <si>
    <t>=IF(U52&lt;&gt;0,X52/U52,"")</t>
  </si>
  <si>
    <t>=Z52-AB52</t>
  </si>
  <si>
    <t>=IF(Z52&lt;&gt;0,AC52/Z52,"")</t>
  </si>
  <si>
    <t>=J54-L54</t>
  </si>
  <si>
    <t>=IF(J54&lt;&gt;0,M54/J54,"")</t>
  </si>
  <si>
    <t>=O54-Q54</t>
  </si>
  <si>
    <t>=IF(O54&lt;&gt;0,R54/O54,"")</t>
  </si>
  <si>
    <t>=U54-W54</t>
  </si>
  <si>
    <t>=IF(U54&lt;&gt;0,X54/U54,"")</t>
  </si>
  <si>
    <t>=Z54-AB54</t>
  </si>
  <si>
    <t>=IF(Z54&lt;&gt;0,AC54/Z54,"")</t>
  </si>
  <si>
    <t>="C100038"</t>
  </si>
  <si>
    <t>=J58-L58</t>
  </si>
  <si>
    <t>=IF(J58&lt;&gt;0,M58/J58,"")</t>
  </si>
  <si>
    <t>=O58-Q58</t>
  </si>
  <si>
    <t>=IF(O58&lt;&gt;0,R58/O58,"")</t>
  </si>
  <si>
    <t>=U58-W58</t>
  </si>
  <si>
    <t>=IF(U58&lt;&gt;0,X58/U58,"")</t>
  </si>
  <si>
    <t>=Z58-AB58</t>
  </si>
  <si>
    <t>=IF(Z58&lt;&gt;0,AC58/Z58,"")</t>
  </si>
  <si>
    <t>=J60-L60</t>
  </si>
  <si>
    <t>=IF(J60&lt;&gt;0,M60/J60,"")</t>
  </si>
  <si>
    <t>=O60-Q60</t>
  </si>
  <si>
    <t>=IF(O60&lt;&gt;0,R60/O60,"")</t>
  </si>
  <si>
    <t>=U60-W60</t>
  </si>
  <si>
    <t>=IF(U60&lt;&gt;0,X60/U60,"")</t>
  </si>
  <si>
    <t>=Z60-AB60</t>
  </si>
  <si>
    <t>=IF(Z60&lt;&gt;0,AC60/Z60,"")</t>
  </si>
  <si>
    <t>="C100039"</t>
  </si>
  <si>
    <t>=J66-L66</t>
  </si>
  <si>
    <t>=IF(J66&lt;&gt;0,M66/J66,"")</t>
  </si>
  <si>
    <t>=O66-Q66</t>
  </si>
  <si>
    <t>=IF(O66&lt;&gt;0,R66/O66,"")</t>
  </si>
  <si>
    <t>=U66-W66</t>
  </si>
  <si>
    <t>=IF(U66&lt;&gt;0,X66/U66,"")</t>
  </si>
  <si>
    <t>=Z66-AB66</t>
  </si>
  <si>
    <t>=IF(Z66&lt;&gt;0,AC66/Z66,"")</t>
  </si>
  <si>
    <t>="C100040"</t>
  </si>
  <si>
    <t>="C100041"</t>
  </si>
  <si>
    <t>=J76-L76</t>
  </si>
  <si>
    <t>=IF(J76&lt;&gt;0,M76/J76,"")</t>
  </si>
  <si>
    <t>=O76-Q76</t>
  </si>
  <si>
    <t>=IF(O76&lt;&gt;0,R76/O76,"")</t>
  </si>
  <si>
    <t>=U76-W76</t>
  </si>
  <si>
    <t>=IF(U76&lt;&gt;0,X76/U76,"")</t>
  </si>
  <si>
    <t>=Z76-AB76</t>
  </si>
  <si>
    <t>=IF(Z76&lt;&gt;0,AC76/Z76,"")</t>
  </si>
  <si>
    <t>=J78-L78</t>
  </si>
  <si>
    <t>=IF(J78&lt;&gt;0,M78/J78,"")</t>
  </si>
  <si>
    <t>=O78-Q78</t>
  </si>
  <si>
    <t>=IF(O78&lt;&gt;0,R78/O78,"")</t>
  </si>
  <si>
    <t>=U78-W78</t>
  </si>
  <si>
    <t>=IF(U78&lt;&gt;0,X78/U78,"")</t>
  </si>
  <si>
    <t>=Z78-AB78</t>
  </si>
  <si>
    <t>=IF(Z78&lt;&gt;0,AC78/Z78,"")</t>
  </si>
  <si>
    <t>="C100042"</t>
  </si>
  <si>
    <t>=J82-L82</t>
  </si>
  <si>
    <t>=IF(J82&lt;&gt;0,M82/J82,"")</t>
  </si>
  <si>
    <t>=O82-Q82</t>
  </si>
  <si>
    <t>=IF(O82&lt;&gt;0,R82/O82,"")</t>
  </si>
  <si>
    <t>=U82-W82</t>
  </si>
  <si>
    <t>=IF(U82&lt;&gt;0,X82/U82,"")</t>
  </si>
  <si>
    <t>=Z82-AB82</t>
  </si>
  <si>
    <t>=IF(Z82&lt;&gt;0,AC82/Z82,"")</t>
  </si>
  <si>
    <t>=J84-L84</t>
  </si>
  <si>
    <t>=IF(J84&lt;&gt;0,M84/J84,"")</t>
  </si>
  <si>
    <t>=O84-Q84</t>
  </si>
  <si>
    <t>=IF(O84&lt;&gt;0,R84/O84,"")</t>
  </si>
  <si>
    <t>=U84-W84</t>
  </si>
  <si>
    <t>=IF(U84&lt;&gt;0,X84/U84,"")</t>
  </si>
  <si>
    <t>=Z84-AB84</t>
  </si>
  <si>
    <t>=IF(Z84&lt;&gt;0,AC84/Z84,"")</t>
  </si>
  <si>
    <t>="C100050"</t>
  </si>
  <si>
    <t>=J88-L88</t>
  </si>
  <si>
    <t>=IF(J88&lt;&gt;0,M88/J88,"")</t>
  </si>
  <si>
    <t>=O88-Q88</t>
  </si>
  <si>
    <t>=IF(O88&lt;&gt;0,R88/O88,"")</t>
  </si>
  <si>
    <t>=U88-W88</t>
  </si>
  <si>
    <t>=IF(U88&lt;&gt;0,X88/U88,"")</t>
  </si>
  <si>
    <t>=Z88-AB88</t>
  </si>
  <si>
    <t>=IF(Z88&lt;&gt;0,AC88/Z88,"")</t>
  </si>
  <si>
    <t>=J90-L90</t>
  </si>
  <si>
    <t>=IF(J90&lt;&gt;0,M90/J90,"")</t>
  </si>
  <si>
    <t>=O90-Q90</t>
  </si>
  <si>
    <t>=IF(O90&lt;&gt;0,R90/O90,"")</t>
  </si>
  <si>
    <t>=U90-W90</t>
  </si>
  <si>
    <t>=IF(U90&lt;&gt;0,X90/U90,"")</t>
  </si>
  <si>
    <t>=Z90-AB90</t>
  </si>
  <si>
    <t>=IF(Z90&lt;&gt;0,AC90/Z90,"")</t>
  </si>
  <si>
    <t>="C100054"</t>
  </si>
  <si>
    <t>=J94-L94</t>
  </si>
  <si>
    <t>=IF(J94&lt;&gt;0,M94/J94,"")</t>
  </si>
  <si>
    <t>=O94-Q94</t>
  </si>
  <si>
    <t>=IF(O94&lt;&gt;0,R94/O94,"")</t>
  </si>
  <si>
    <t>=U94-W94</t>
  </si>
  <si>
    <t>=IF(U94&lt;&gt;0,X94/U94,"")</t>
  </si>
  <si>
    <t>=Z94-AB94</t>
  </si>
  <si>
    <t>=IF(Z94&lt;&gt;0,AC94/Z94,"")</t>
  </si>
  <si>
    <t>=J96-L96</t>
  </si>
  <si>
    <t>=IF(J96&lt;&gt;0,M96/J96,"")</t>
  </si>
  <si>
    <t>=O96-Q96</t>
  </si>
  <si>
    <t>=IF(O96&lt;&gt;0,R96/O96,"")</t>
  </si>
  <si>
    <t>=U96-W96</t>
  </si>
  <si>
    <t>=IF(U96&lt;&gt;0,X96/U96,"")</t>
  </si>
  <si>
    <t>=Z96-AB96</t>
  </si>
  <si>
    <t>=IF(Z96&lt;&gt;0,AC96/Z96,"")</t>
  </si>
  <si>
    <t>="C100059"</t>
  </si>
  <si>
    <t>=J100-L100</t>
  </si>
  <si>
    <t>=IF(J100&lt;&gt;0,M100/J100,"")</t>
  </si>
  <si>
    <t>=O100-Q100</t>
  </si>
  <si>
    <t>=IF(O100&lt;&gt;0,R100/O100,"")</t>
  </si>
  <si>
    <t>=U100-W100</t>
  </si>
  <si>
    <t>=IF(U100&lt;&gt;0,X100/U100,"")</t>
  </si>
  <si>
    <t>=Z100-AB100</t>
  </si>
  <si>
    <t>=IF(Z100&lt;&gt;0,AC100/Z100,"")</t>
  </si>
  <si>
    <t>=J102-L102</t>
  </si>
  <si>
    <t>=IF(J102&lt;&gt;0,M102/J102,"")</t>
  </si>
  <si>
    <t>=O102-Q102</t>
  </si>
  <si>
    <t>=IF(O102&lt;&gt;0,R102/O102,"")</t>
  </si>
  <si>
    <t>=U102-W102</t>
  </si>
  <si>
    <t>=IF(U102&lt;&gt;0,X102/U102,"")</t>
  </si>
  <si>
    <t>=Z102-AB102</t>
  </si>
  <si>
    <t>=IF(Z102&lt;&gt;0,AC102/Z102,"")</t>
  </si>
  <si>
    <t>="C100060"</t>
  </si>
  <si>
    <t>="C100064"</t>
  </si>
  <si>
    <t>=J112-L112</t>
  </si>
  <si>
    <t>=IF(J112&lt;&gt;0,M112/J112,"")</t>
  </si>
  <si>
    <t>=O112-Q112</t>
  </si>
  <si>
    <t>=IF(O112&lt;&gt;0,R112/O112,"")</t>
  </si>
  <si>
    <t>=U112-W112</t>
  </si>
  <si>
    <t>=IF(U112&lt;&gt;0,X112/U112,"")</t>
  </si>
  <si>
    <t>=Z112-AB112</t>
  </si>
  <si>
    <t>=IF(Z112&lt;&gt;0,AC112/Z112,"")</t>
  </si>
  <si>
    <t>=J114-L114</t>
  </si>
  <si>
    <t>=IF(J114&lt;&gt;0,M114/J114,"")</t>
  </si>
  <si>
    <t>=O114-Q114</t>
  </si>
  <si>
    <t>=IF(O114&lt;&gt;0,R114/O114,"")</t>
  </si>
  <si>
    <t>=U114-W114</t>
  </si>
  <si>
    <t>=IF(U114&lt;&gt;0,X114/U114,"")</t>
  </si>
  <si>
    <t>=Z114-AB114</t>
  </si>
  <si>
    <t>=IF(Z114&lt;&gt;0,AC114/Z114,"")</t>
  </si>
  <si>
    <t>="C100066"</t>
  </si>
  <si>
    <t>=J118-L118</t>
  </si>
  <si>
    <t>=IF(J118&lt;&gt;0,M118/J118,"")</t>
  </si>
  <si>
    <t>=O118-Q118</t>
  </si>
  <si>
    <t>=IF(O118&lt;&gt;0,R118/O118,"")</t>
  </si>
  <si>
    <t>=U118-W118</t>
  </si>
  <si>
    <t>=IF(U118&lt;&gt;0,X118/U118,"")</t>
  </si>
  <si>
    <t>=Z118-AB118</t>
  </si>
  <si>
    <t>=IF(Z118&lt;&gt;0,AC118/Z118,"")</t>
  </si>
  <si>
    <t>=J120-L120</t>
  </si>
  <si>
    <t>=IF(J120&lt;&gt;0,M120/J120,"")</t>
  </si>
  <si>
    <t>=O120-Q120</t>
  </si>
  <si>
    <t>=IF(O120&lt;&gt;0,R120/O120,"")</t>
  </si>
  <si>
    <t>=U120-W120</t>
  </si>
  <si>
    <t>=IF(U120&lt;&gt;0,X120/U120,"")</t>
  </si>
  <si>
    <t>=Z120-AB120</t>
  </si>
  <si>
    <t>=IF(Z120&lt;&gt;0,AC120/Z120,"")</t>
  </si>
  <si>
    <t>="C100070"</t>
  </si>
  <si>
    <t>=J124-L124</t>
  </si>
  <si>
    <t>=IF(J124&lt;&gt;0,M124/J124,"")</t>
  </si>
  <si>
    <t>=O124-Q124</t>
  </si>
  <si>
    <t>=IF(O124&lt;&gt;0,R124/O124,"")</t>
  </si>
  <si>
    <t>=U124-W124</t>
  </si>
  <si>
    <t>=IF(U124&lt;&gt;0,X124/U124,"")</t>
  </si>
  <si>
    <t>=Z124-AB124</t>
  </si>
  <si>
    <t>=IF(Z124&lt;&gt;0,AC124/Z124,"")</t>
  </si>
  <si>
    <t>=J126-L126</t>
  </si>
  <si>
    <t>=IF(J126&lt;&gt;0,M126/J126,"")</t>
  </si>
  <si>
    <t>=O126-Q126</t>
  </si>
  <si>
    <t>=IF(O126&lt;&gt;0,R126/O126,"")</t>
  </si>
  <si>
    <t>=U126-W126</t>
  </si>
  <si>
    <t>=IF(U126&lt;&gt;0,X126/U126,"")</t>
  </si>
  <si>
    <t>=Z126-AB126</t>
  </si>
  <si>
    <t>=IF(Z126&lt;&gt;0,AC126/Z126,"")</t>
  </si>
  <si>
    <t>="C100072"</t>
  </si>
  <si>
    <t>=J130-L130</t>
  </si>
  <si>
    <t>=IF(J130&lt;&gt;0,M130/J130,"")</t>
  </si>
  <si>
    <t>=O130-Q130</t>
  </si>
  <si>
    <t>=IF(O130&lt;&gt;0,R130/O130,"")</t>
  </si>
  <si>
    <t>=U130-W130</t>
  </si>
  <si>
    <t>=IF(U130&lt;&gt;0,X130/U130,"")</t>
  </si>
  <si>
    <t>=Z130-AB130</t>
  </si>
  <si>
    <t>=IF(Z130&lt;&gt;0,AC130/Z130,"")</t>
  </si>
  <si>
    <t>=J132-L132</t>
  </si>
  <si>
    <t>=IF(J132&lt;&gt;0,M132/J132,"")</t>
  </si>
  <si>
    <t>=O132-Q132</t>
  </si>
  <si>
    <t>=IF(O132&lt;&gt;0,R132/O132,"")</t>
  </si>
  <si>
    <t>=U132-W132</t>
  </si>
  <si>
    <t>=IF(U132&lt;&gt;0,X132/U132,"")</t>
  </si>
  <si>
    <t>=Z132-AB132</t>
  </si>
  <si>
    <t>=IF(Z132&lt;&gt;0,AC132/Z132,"")</t>
  </si>
  <si>
    <t>="C100075"</t>
  </si>
  <si>
    <t>=J136-L136</t>
  </si>
  <si>
    <t>=IF(J136&lt;&gt;0,M136/J136,"")</t>
  </si>
  <si>
    <t>=O136-Q136</t>
  </si>
  <si>
    <t>=IF(O136&lt;&gt;0,R136/O136,"")</t>
  </si>
  <si>
    <t>=U136-W136</t>
  </si>
  <si>
    <t>=IF(U136&lt;&gt;0,X136/U136,"")</t>
  </si>
  <si>
    <t>=Z136-AB136</t>
  </si>
  <si>
    <t>=IF(Z136&lt;&gt;0,AC136/Z136,"")</t>
  </si>
  <si>
    <t>=J138-L138</t>
  </si>
  <si>
    <t>=IF(J138&lt;&gt;0,M138/J138,"")</t>
  </si>
  <si>
    <t>=O138-Q138</t>
  </si>
  <si>
    <t>=IF(O138&lt;&gt;0,R138/O138,"")</t>
  </si>
  <si>
    <t>=U138-W138</t>
  </si>
  <si>
    <t>=IF(U138&lt;&gt;0,X138/U138,"")</t>
  </si>
  <si>
    <t>=Z138-AB138</t>
  </si>
  <si>
    <t>=IF(Z138&lt;&gt;0,AC138/Z138,"")</t>
  </si>
  <si>
    <t>="C100076"</t>
  </si>
  <si>
    <t>=J142-L142</t>
  </si>
  <si>
    <t>=IF(J142&lt;&gt;0,M142/J142,"")</t>
  </si>
  <si>
    <t>=O142-Q142</t>
  </si>
  <si>
    <t>=IF(O142&lt;&gt;0,R142/O142,"")</t>
  </si>
  <si>
    <t>=U142-W142</t>
  </si>
  <si>
    <t>=IF(U142&lt;&gt;0,X142/U142,"")</t>
  </si>
  <si>
    <t>=Z142-AB142</t>
  </si>
  <si>
    <t>=IF(Z142&lt;&gt;0,AC142/Z142,"")</t>
  </si>
  <si>
    <t>="C100082"</t>
  </si>
  <si>
    <t>=J150-L150</t>
  </si>
  <si>
    <t>=IF(J150&lt;&gt;0,M150/J150,"")</t>
  </si>
  <si>
    <t>=O150-Q150</t>
  </si>
  <si>
    <t>=IF(O150&lt;&gt;0,R150/O150,"")</t>
  </si>
  <si>
    <t>=U150-W150</t>
  </si>
  <si>
    <t>=IF(U150&lt;&gt;0,X150/U150,"")</t>
  </si>
  <si>
    <t>=Z150-AB150</t>
  </si>
  <si>
    <t>=IF(Z150&lt;&gt;0,AC150/Z150,"")</t>
  </si>
  <si>
    <t>="C100083"</t>
  </si>
  <si>
    <t>=J154-L154</t>
  </si>
  <si>
    <t>=IF(J154&lt;&gt;0,M154/J154,"")</t>
  </si>
  <si>
    <t>=O154-Q154</t>
  </si>
  <si>
    <t>=IF(O154&lt;&gt;0,R154/O154,"")</t>
  </si>
  <si>
    <t>=U154-W154</t>
  </si>
  <si>
    <t>=IF(U154&lt;&gt;0,X154/U154,"")</t>
  </si>
  <si>
    <t>=Z154-AB154</t>
  </si>
  <si>
    <t>=IF(Z154&lt;&gt;0,AC154/Z154,"")</t>
  </si>
  <si>
    <t>=J156-L156</t>
  </si>
  <si>
    <t>=IF(J156&lt;&gt;0,M156/J156,"")</t>
  </si>
  <si>
    <t>=O156-Q156</t>
  </si>
  <si>
    <t>=IF(O156&lt;&gt;0,R156/O156,"")</t>
  </si>
  <si>
    <t>=U156-W156</t>
  </si>
  <si>
    <t>=IF(U156&lt;&gt;0,X156/U156,"")</t>
  </si>
  <si>
    <t>=Z156-AB156</t>
  </si>
  <si>
    <t>=IF(Z156&lt;&gt;0,AC156/Z156,"")</t>
  </si>
  <si>
    <t>="C100086"</t>
  </si>
  <si>
    <t>=J160-L160</t>
  </si>
  <si>
    <t>=IF(J160&lt;&gt;0,M160/J160,"")</t>
  </si>
  <si>
    <t>=O160-Q160</t>
  </si>
  <si>
    <t>=IF(O160&lt;&gt;0,R160/O160,"")</t>
  </si>
  <si>
    <t>=U160-W160</t>
  </si>
  <si>
    <t>=IF(U160&lt;&gt;0,X160/U160,"")</t>
  </si>
  <si>
    <t>=Z160-AB160</t>
  </si>
  <si>
    <t>=IF(Z160&lt;&gt;0,AC160/Z160,"")</t>
  </si>
  <si>
    <t>="C100092"</t>
  </si>
  <si>
    <t>=J168-L168</t>
  </si>
  <si>
    <t>=IF(J168&lt;&gt;0,M168/J168,"")</t>
  </si>
  <si>
    <t>=O168-Q168</t>
  </si>
  <si>
    <t>=IF(O168&lt;&gt;0,R168/O168,"")</t>
  </si>
  <si>
    <t>=U168-W168</t>
  </si>
  <si>
    <t>=IF(U168&lt;&gt;0,X168/U168,"")</t>
  </si>
  <si>
    <t>=Z168-AB168</t>
  </si>
  <si>
    <t>=IF(Z168&lt;&gt;0,AC168/Z168,"")</t>
  </si>
  <si>
    <t>="C100095"</t>
  </si>
  <si>
    <t>="C100097"</t>
  </si>
  <si>
    <t>="C100098"</t>
  </si>
  <si>
    <t>=J184-L184</t>
  </si>
  <si>
    <t>=IF(J184&lt;&gt;0,M184/J184,"")</t>
  </si>
  <si>
    <t>=O184-Q184</t>
  </si>
  <si>
    <t>=IF(O184&lt;&gt;0,R184/O184,"")</t>
  </si>
  <si>
    <t>=U184-W184</t>
  </si>
  <si>
    <t>=IF(U184&lt;&gt;0,X184/U184,"")</t>
  </si>
  <si>
    <t>=Z184-AB184</t>
  </si>
  <si>
    <t>=IF(Z184&lt;&gt;0,AC184/Z184,"")</t>
  </si>
  <si>
    <t>=J186-L186</t>
  </si>
  <si>
    <t>=IF(J186&lt;&gt;0,M186/J186,"")</t>
  </si>
  <si>
    <t>=O186-Q186</t>
  </si>
  <si>
    <t>=IF(O186&lt;&gt;0,R186/O186,"")</t>
  </si>
  <si>
    <t>=U186-W186</t>
  </si>
  <si>
    <t>=IF(U186&lt;&gt;0,X186/U186,"")</t>
  </si>
  <si>
    <t>=Z186-AB186</t>
  </si>
  <si>
    <t>=IF(Z186&lt;&gt;0,AC186/Z186,"")</t>
  </si>
  <si>
    <t>="C100099"</t>
  </si>
  <si>
    <t>="C100102"</t>
  </si>
  <si>
    <t>=J196-L196</t>
  </si>
  <si>
    <t>=IF(J196&lt;&gt;0,M196/J196,"")</t>
  </si>
  <si>
    <t>=O196-Q196</t>
  </si>
  <si>
    <t>=IF(O196&lt;&gt;0,R196/O196,"")</t>
  </si>
  <si>
    <t>=U196-W196</t>
  </si>
  <si>
    <t>=IF(U196&lt;&gt;0,X196/U196,"")</t>
  </si>
  <si>
    <t>=Z196-AB196</t>
  </si>
  <si>
    <t>=IF(Z196&lt;&gt;0,AC196/Z196,"")</t>
  </si>
  <si>
    <t>=J198-L198</t>
  </si>
  <si>
    <t>=IF(J198&lt;&gt;0,M198/J198,"")</t>
  </si>
  <si>
    <t>=O198-Q198</t>
  </si>
  <si>
    <t>=IF(O198&lt;&gt;0,R198/O198,"")</t>
  </si>
  <si>
    <t>=U198-W198</t>
  </si>
  <si>
    <t>=IF(U198&lt;&gt;0,X198/U198,"")</t>
  </si>
  <si>
    <t>=Z198-AB198</t>
  </si>
  <si>
    <t>=IF(Z198&lt;&gt;0,AC198/Z198,"")</t>
  </si>
  <si>
    <t>="C100105"</t>
  </si>
  <si>
    <t>=J202-L202</t>
  </si>
  <si>
    <t>=IF(J202&lt;&gt;0,M202/J202,"")</t>
  </si>
  <si>
    <t>=O202-Q202</t>
  </si>
  <si>
    <t>=IF(O202&lt;&gt;0,R202/O202,"")</t>
  </si>
  <si>
    <t>=U202-W202</t>
  </si>
  <si>
    <t>=IF(U202&lt;&gt;0,X202/U202,"")</t>
  </si>
  <si>
    <t>=Z202-AB202</t>
  </si>
  <si>
    <t>=IF(Z202&lt;&gt;0,AC202/Z202,"")</t>
  </si>
  <si>
    <t>=J204-L204</t>
  </si>
  <si>
    <t>=IF(J204&lt;&gt;0,M204/J204,"")</t>
  </si>
  <si>
    <t>=O204-Q204</t>
  </si>
  <si>
    <t>=IF(O204&lt;&gt;0,R204/O204,"")</t>
  </si>
  <si>
    <t>=U204-W204</t>
  </si>
  <si>
    <t>=IF(U204&lt;&gt;0,X204/U204,"")</t>
  </si>
  <si>
    <t>=Z204-AB204</t>
  </si>
  <si>
    <t>=IF(Z204&lt;&gt;0,AC204/Z204,"")</t>
  </si>
  <si>
    <t>="C100116"</t>
  </si>
  <si>
    <t>=J208-L208</t>
  </si>
  <si>
    <t>=IF(J208&lt;&gt;0,M208/J208,"")</t>
  </si>
  <si>
    <t>=O208-Q208</t>
  </si>
  <si>
    <t>=IF(O208&lt;&gt;0,R208/O208,"")</t>
  </si>
  <si>
    <t>=U208-W208</t>
  </si>
  <si>
    <t>=IF(U208&lt;&gt;0,X208/U208,"")</t>
  </si>
  <si>
    <t>=Z208-AB208</t>
  </si>
  <si>
    <t>=IF(Z208&lt;&gt;0,AC208/Z208,"")</t>
  </si>
  <si>
    <t>=J210-L210</t>
  </si>
  <si>
    <t>=IF(J210&lt;&gt;0,M210/J210,"")</t>
  </si>
  <si>
    <t>=O210-Q210</t>
  </si>
  <si>
    <t>=IF(O210&lt;&gt;0,R210/O210,"")</t>
  </si>
  <si>
    <t>=U210-W210</t>
  </si>
  <si>
    <t>=IF(U210&lt;&gt;0,X210/U210,"")</t>
  </si>
  <si>
    <t>=Z210-AB210</t>
  </si>
  <si>
    <t>=IF(Z210&lt;&gt;0,AC210/Z210,"")</t>
  </si>
  <si>
    <t>="C100130"</t>
  </si>
  <si>
    <t>=J214-L214</t>
  </si>
  <si>
    <t>=IF(J214&lt;&gt;0,M214/J214,"")</t>
  </si>
  <si>
    <t>=O214-Q214</t>
  </si>
  <si>
    <t>=IF(O214&lt;&gt;0,R214/O214,"")</t>
  </si>
  <si>
    <t>=U214-W214</t>
  </si>
  <si>
    <t>=IF(U214&lt;&gt;0,X214/U214,"")</t>
  </si>
  <si>
    <t>=Z214-AB214</t>
  </si>
  <si>
    <t>=IF(Z214&lt;&gt;0,AC214/Z214,"")</t>
  </si>
  <si>
    <t>=J216-L216</t>
  </si>
  <si>
    <t>=IF(J216&lt;&gt;0,M216/J216,"")</t>
  </si>
  <si>
    <t>=O216-Q216</t>
  </si>
  <si>
    <t>=IF(O216&lt;&gt;0,R216/O216,"")</t>
  </si>
  <si>
    <t>=U216-W216</t>
  </si>
  <si>
    <t>=IF(U216&lt;&gt;0,X216/U216,"")</t>
  </si>
  <si>
    <t>=Z216-AB216</t>
  </si>
  <si>
    <t>=IF(Z216&lt;&gt;0,AC216/Z216,"")</t>
  </si>
  <si>
    <t>="C100137"</t>
  </si>
  <si>
    <t>="C100138"</t>
  </si>
  <si>
    <t>=J226-L226</t>
  </si>
  <si>
    <t>=IF(J226&lt;&gt;0,M226/J226,"")</t>
  </si>
  <si>
    <t>=O226-Q226</t>
  </si>
  <si>
    <t>=IF(O226&lt;&gt;0,R226/O226,"")</t>
  </si>
  <si>
    <t>=U226-W226</t>
  </si>
  <si>
    <t>=IF(U226&lt;&gt;0,X226/U226,"")</t>
  </si>
  <si>
    <t>=Z226-AB226</t>
  </si>
  <si>
    <t>=IF(Z226&lt;&gt;0,AC226/Z226,"")</t>
  </si>
  <si>
    <t>=J228-L228</t>
  </si>
  <si>
    <t>=IF(J228&lt;&gt;0,M228/J228,"")</t>
  </si>
  <si>
    <t>=O228-Q228</t>
  </si>
  <si>
    <t>=IF(O228&lt;&gt;0,R228/O228,"")</t>
  </si>
  <si>
    <t>=U228-W228</t>
  </si>
  <si>
    <t>=IF(U228&lt;&gt;0,X228/U228,"")</t>
  </si>
  <si>
    <t>=Z228-AB228</t>
  </si>
  <si>
    <t>=IF(Z228&lt;&gt;0,AC228/Z228,"")</t>
  </si>
  <si>
    <t>="C100145"</t>
  </si>
  <si>
    <t>=J232-L232</t>
  </si>
  <si>
    <t>=IF(J232&lt;&gt;0,M232/J232,"")</t>
  </si>
  <si>
    <t>=O232-Q232</t>
  </si>
  <si>
    <t>=IF(O232&lt;&gt;0,R232/O232,"")</t>
  </si>
  <si>
    <t>=U232-W232</t>
  </si>
  <si>
    <t>=IF(U232&lt;&gt;0,X232/U232,"")</t>
  </si>
  <si>
    <t>=Z232-AB232</t>
  </si>
  <si>
    <t>=IF(Z232&lt;&gt;0,AC232/Z232,"")</t>
  </si>
  <si>
    <t>=J236-L236</t>
  </si>
  <si>
    <t>=IF(J236&lt;&gt;0,M236/J236,"")</t>
  </si>
  <si>
    <t>=O236-Q236</t>
  </si>
  <si>
    <t>=IF(O236&lt;&gt;0,R236/O236,"")</t>
  </si>
  <si>
    <t>=U236-W236</t>
  </si>
  <si>
    <t>=IF(U236&lt;&gt;0,X236/U236,"")</t>
  </si>
  <si>
    <t>=Z236-AB236</t>
  </si>
  <si>
    <t>=IF(Z236&lt;&gt;0,AC236/Z236,"")</t>
  </si>
  <si>
    <t>Item Profitability by Customer spread across user-specified periods with comparison to the same period of the prior year.
Dates used in filtering must be formatted to the same format used in NAV.</t>
  </si>
  <si>
    <t>=PeriodType</t>
  </si>
  <si>
    <t>=SaleEntryType</t>
  </si>
  <si>
    <t>=CustomerSourceType</t>
  </si>
  <si>
    <t>=CustomerFilter</t>
  </si>
  <si>
    <t>=ItemFilter</t>
  </si>
  <si>
    <t>=CurrentYrDateFilter</t>
  </si>
  <si>
    <t>=PriorYrDateFilter</t>
  </si>
  <si>
    <t>=TwoYrDateFilter</t>
  </si>
  <si>
    <t>=C20</t>
  </si>
  <si>
    <t>=C21</t>
  </si>
  <si>
    <t>=NL("Rows","5802 Value Entry","2 Item No.","4 Item Ledger Entry Type",$C$4,"41 Source Type",$C$5,"5 Source No.",$C22,"Item No.",$C$7,"3 Posting Date",$C$10)</t>
  </si>
  <si>
    <t>=C22</t>
  </si>
  <si>
    <t>=C23</t>
  </si>
  <si>
    <t>=C24&amp;" TOTAL:"</t>
  </si>
  <si>
    <t>=C26</t>
  </si>
  <si>
    <t>=C27</t>
  </si>
  <si>
    <t>=C28</t>
  </si>
  <si>
    <t>=C29</t>
  </si>
  <si>
    <t>=C32</t>
  </si>
  <si>
    <t>=C33</t>
  </si>
  <si>
    <t>=C34</t>
  </si>
  <si>
    <t>=C35</t>
  </si>
  <si>
    <t>=C38</t>
  </si>
  <si>
    <t>=C39</t>
  </si>
  <si>
    <t>=C40</t>
  </si>
  <si>
    <t>=C41</t>
  </si>
  <si>
    <t>=C44</t>
  </si>
  <si>
    <t>=C45</t>
  </si>
  <si>
    <t>=C46</t>
  </si>
  <si>
    <t>=C47</t>
  </si>
  <si>
    <t>=C50</t>
  </si>
  <si>
    <t>=C51</t>
  </si>
  <si>
    <t>=C52</t>
  </si>
  <si>
    <t>=C53</t>
  </si>
  <si>
    <t>=C56</t>
  </si>
  <si>
    <t>=C57</t>
  </si>
  <si>
    <t>=C58</t>
  </si>
  <si>
    <t>=C59</t>
  </si>
  <si>
    <t>=C64</t>
  </si>
  <si>
    <t>=C65</t>
  </si>
  <si>
    <t>=C68</t>
  </si>
  <si>
    <t>=C71</t>
  </si>
  <si>
    <t>=C74</t>
  </si>
  <si>
    <t>=C75</t>
  </si>
  <si>
    <t>=C76</t>
  </si>
  <si>
    <t>=C77</t>
  </si>
  <si>
    <t>=C80</t>
  </si>
  <si>
    <t>=C81</t>
  </si>
  <si>
    <t>=C82</t>
  </si>
  <si>
    <t>=C83</t>
  </si>
  <si>
    <t>=C86</t>
  </si>
  <si>
    <t>=C87</t>
  </si>
  <si>
    <t>=C88</t>
  </si>
  <si>
    <t>=C89</t>
  </si>
  <si>
    <t>=C92</t>
  </si>
  <si>
    <t>=C93</t>
  </si>
  <si>
    <t>=C94</t>
  </si>
  <si>
    <t>=C95</t>
  </si>
  <si>
    <t>=C98</t>
  </si>
  <si>
    <t>=C99</t>
  </si>
  <si>
    <t>=C100</t>
  </si>
  <si>
    <t>=C101</t>
  </si>
  <si>
    <t>=C104</t>
  </si>
  <si>
    <t>=C106</t>
  </si>
  <si>
    <t>=C110</t>
  </si>
  <si>
    <t>=C111</t>
  </si>
  <si>
    <t>=C113</t>
  </si>
  <si>
    <t>=C116</t>
  </si>
  <si>
    <t>=C117</t>
  </si>
  <si>
    <t>=C118</t>
  </si>
  <si>
    <t>=C119</t>
  </si>
  <si>
    <t>=C122</t>
  </si>
  <si>
    <t>=C123</t>
  </si>
  <si>
    <t>=C124</t>
  </si>
  <si>
    <t>=C125</t>
  </si>
  <si>
    <t>=C128</t>
  </si>
  <si>
    <t>=C129</t>
  </si>
  <si>
    <t>=C130</t>
  </si>
  <si>
    <t>=C131</t>
  </si>
  <si>
    <t>=C134</t>
  </si>
  <si>
    <t>=C135</t>
  </si>
  <si>
    <t>=C137</t>
  </si>
  <si>
    <t>=C140</t>
  </si>
  <si>
    <t>=C141</t>
  </si>
  <si>
    <t>=C142</t>
  </si>
  <si>
    <t>=C147</t>
  </si>
  <si>
    <t>=C148</t>
  </si>
  <si>
    <t>=C149</t>
  </si>
  <si>
    <t>=C152</t>
  </si>
  <si>
    <t>=C153</t>
  </si>
  <si>
    <t>=C154</t>
  </si>
  <si>
    <t>=C155</t>
  </si>
  <si>
    <t>=C158</t>
  </si>
  <si>
    <t>=C159</t>
  </si>
  <si>
    <t>=C160</t>
  </si>
  <si>
    <t>=C165</t>
  </si>
  <si>
    <t>=C166</t>
  </si>
  <si>
    <t>=C167</t>
  </si>
  <si>
    <t>=C170</t>
  </si>
  <si>
    <t>=C172</t>
  </si>
  <si>
    <t>=C176</t>
  </si>
  <si>
    <t>=C179</t>
  </si>
  <si>
    <t>=C182</t>
  </si>
  <si>
    <t>=C183</t>
  </si>
  <si>
    <t>=C184</t>
  </si>
  <si>
    <t>=C185</t>
  </si>
  <si>
    <t>=C188</t>
  </si>
  <si>
    <t>=C190</t>
  </si>
  <si>
    <t>=C194</t>
  </si>
  <si>
    <t>=C195</t>
  </si>
  <si>
    <t>=C196</t>
  </si>
  <si>
    <t>=C197</t>
  </si>
  <si>
    <t>=C200</t>
  </si>
  <si>
    <t>=C201</t>
  </si>
  <si>
    <t>=C202</t>
  </si>
  <si>
    <t>=C203</t>
  </si>
  <si>
    <t>=C206</t>
  </si>
  <si>
    <t>=C207</t>
  </si>
  <si>
    <t>=C208</t>
  </si>
  <si>
    <t>=C209</t>
  </si>
  <si>
    <t>=C212</t>
  </si>
  <si>
    <t>=C213</t>
  </si>
  <si>
    <t>=C214</t>
  </si>
  <si>
    <t>=C215</t>
  </si>
  <si>
    <t>=C218</t>
  </si>
  <si>
    <t>=C220</t>
  </si>
  <si>
    <t>=C224</t>
  </si>
  <si>
    <t>=C225</t>
  </si>
  <si>
    <t>=C226</t>
  </si>
  <si>
    <t>=C227</t>
  </si>
  <si>
    <t>=C231</t>
  </si>
  <si>
    <t>=U26-W26</t>
  </si>
  <si>
    <t>=IF(U26&lt;&gt;0,X26/U26,"")</t>
  </si>
  <si>
    <t>=Z26-AB26</t>
  </si>
  <si>
    <t>=IF(Z26&lt;&gt;0,AC26/Z26,"")</t>
  </si>
  <si>
    <t>=NL(,"27 Item","3 Description","1 No.","@@"&amp;F22)</t>
  </si>
  <si>
    <t>=NL("Sum","5802 Value Entry","150 Sales Amount (Expected)","41 Source Type",$C$5,"5 Source No.",$C22,"4 Item Ledger Entry Type",$C$4,"2 Item No.","@@"&amp;$F22,"3 Posting Date",J$9)+NL("Sum","5802 Value Entry","17 Sales Amount (Actual)","41 Source Type",$C$5,"5 Source no.",$C22,"4 Item Ledger Entry Type",$C$4,"2 Item No.","@@"&amp;$F22,"3 Posting Date",J$9)</t>
  </si>
  <si>
    <t>=-NL("Sum","32 Item Ledger Entry","12 Quantity","5 Source no.",$C22,"3 Posting Date",J$9,"4 Entry Type",$C$4,"2 Item No.","@@"&amp;$F22)</t>
  </si>
  <si>
    <t>=-NL("Sum","5802 Value Entry","151 Cost Amount (Expected)","41 Source Type",$C$5,"5 Source No.",$C22,"4 Item Ledger Entry Type",$C$4,"2 Item No.","@@"&amp;$F22,"3 Posting Date",J$9)-NL("Sum","5802 Value Entry","43 Cost Amount (Actual)","41 Source Type",$C$5,"5 Source no.",$C22,"4 Item Ledger Entry Type",$C$4,"2 Item No.","@@"&amp;$F22,"3 Posting Date",J$9)</t>
  </si>
  <si>
    <t>=NL("Sum","5802 Value Entry","150 Sales Amount (Expected)","41 Source Type",$C$5,"5 Source No.",$C22,"4 Item Ledger Entry Type",$C$4,"2 Item No.","@@"&amp;$F22,"3 Posting Date",O$9)+NL("Sum","5802 Value Entry","17 Sales Amount (Actual)","41 Source Type",$C$5,"5 Source no.",$C22,"4 Item Ledger Entry Type",$C$4,"2 Item No.","@@"&amp;$F22,"3 Posting Date",O$9)</t>
  </si>
  <si>
    <t>=-NL("Sum","32 Item Ledger Entry","12 Quantity","5 Source no.",$C22,"3 Posting Date",O$9,"4 Entry Type",$C$4,"2 Item No.","@@"&amp;$F22)</t>
  </si>
  <si>
    <t>=-NL("Sum","5802 Value Entry","151 Cost Amount (Expected)","41 Source Type",$C$5,"5 Source No.",$C22,"4 Item Ledger Entry Type",$C$4,"2 Item No.","@@"&amp;$F22,"3 Posting Date",O$9)-NL("Sum","5802 Value Entry","43 Cost Amount (Actual)","41 Source Type",$C$5,"5 Source no.",$C22,"4 Item Ledger Entry Type",$C$4,"2 Item No.","@@"&amp;$F22,"3 Posting Date",O$9)</t>
  </si>
  <si>
    <t>=NL("Sum","5802 Value Entry","150 Sales Amount (Expected)","41 Source Type",$C$5,"5 Source No.",$C22,"4 Item Ledger Entry Type",$C$4,"2 Item No.","@@"&amp;$F22,"3 Posting Date",U$9)+NL("Sum","5802 Value Entry","17 Sales Amount (Actual)","41 Source Type",$C$5,"5 Source no.",$C22,"4 Item Ledger Entry Type",$C$4,"2 Item No.","@@"&amp;$F22,"3 Posting Date",U$9)</t>
  </si>
  <si>
    <t>=-NL("Sum","5802 Value Entry","151 Cost Amount (Expected)","41 Source Type",$C$5,"5 Source No.",$C22,"4 Item Ledger Entry Type",$C$4,"2 Item No.","@@"&amp;$F22,"3 Posting Date",U$9)-NL("Sum","5802 Value Entry","43 Cost Amount (Actual)","41 Source Type",$C$5,"5 Source no.",$C22,"4 Item Ledger Entry Type",$C$4,"2 Item No.","@@"&amp;$F22,"3 Posting Date",U$9)</t>
  </si>
  <si>
    <t>=NL("Sum","5802 Value Entry","150 Sales Amount (Expected)","41 Source Type",$C$5,"5 Source No.",$C22,"4 Item Ledger Entry Type",$C$4,"2 Item No.","@@"&amp;$F22,"3 Posting Date",Z$9)+NL("Sum","5802 Value Entry","17 Sales Amount (Actual)","41 Source Type",$C$5,"5 Source no.",$C22,"4 Item Ledger Entry Type",$C$4,"2 Item No.","@@"&amp;$F22,"3 Posting Date",Z$9)</t>
  </si>
  <si>
    <t>=-NL("Sum","5802 Value Entry","151 Cost Amount (Expected)","41 Source Type",$C$5,"5 Source No.",$C22,"4 Item Ledger Entry Type",$C$4,"2 Item No.","@@"&amp;$F22,"3 Posting Date",Z$9)-NL("Sum","5802 Value Entry","43 Cost Amount (Actual)","41 Source Type",$C$5,"5 Source no.",$C22,"4 Item Ledger Entry Type",$C$4,"2 Item No.","@@"&amp;$F22,"3 Posting Date",Z$9)</t>
  </si>
  <si>
    <t>="C100004"</t>
  </si>
  <si>
    <t>=NL("Sum","5802 Value Entry","150 Sales Amount (Expected)","41 Source Type",$C$5,"5 Source No.",$C23,"4 Item Ledger Entry Type",$C$4,"2 Item No.","@@"&amp;$F23,"3 Posting Date",J$9)+NL("Sum","5802 Value Entry","17 Sales Amount (Actual)","41 Source Type",$C$5,"5 Source no.",$C23,"4 Item Ledger Entry Type",$C$4,"2 Item No.","@@"&amp;$F23,"3 Posting Date",J$9)</t>
  </si>
  <si>
    <t>=-NL("Sum","5802 Value Entry","151 Cost Amount (Expected)","41 Source Type",$C$5,"5 Source No.",$C23,"4 Item Ledger Entry Type",$C$4,"2 Item No.","@@"&amp;$F23,"3 Posting Date",J$9)-NL("Sum","5802 Value Entry","43 Cost Amount (Actual)","41 Source Type",$C$5,"5 Source no.",$C23,"4 Item Ledger Entry Type",$C$4,"2 Item No.","@@"&amp;$F23,"3 Posting Date",J$9)</t>
  </si>
  <si>
    <t>=J23-L23</t>
  </si>
  <si>
    <t>=IF(J23&lt;&gt;0,M23/J23,"")</t>
  </si>
  <si>
    <t>=NL("Sum","5802 Value Entry","150 Sales Amount (Expected)","41 Source Type",$C$5,"5 Source No.",$C23,"4 Item Ledger Entry Type",$C$4,"2 Item No.","@@"&amp;$F23,"3 Posting Date",O$9)+NL("Sum","5802 Value Entry","17 Sales Amount (Actual)","41 Source Type",$C$5,"5 Source no.",$C23,"4 Item Ledger Entry Type",$C$4,"2 Item No.","@@"&amp;$F23,"3 Posting Date",O$9)</t>
  </si>
  <si>
    <t>=-NL("Sum","5802 Value Entry","151 Cost Amount (Expected)","41 Source Type",$C$5,"5 Source No.",$C23,"4 Item Ledger Entry Type",$C$4,"2 Item No.","@@"&amp;$F23,"3 Posting Date",O$9)-NL("Sum","5802 Value Entry","43 Cost Amount (Actual)","41 Source Type",$C$5,"5 Source no.",$C23,"4 Item Ledger Entry Type",$C$4,"2 Item No.","@@"&amp;$F23,"3 Posting Date",O$9)</t>
  </si>
  <si>
    <t>=O23-Q23</t>
  </si>
  <si>
    <t>=IF(O23&lt;&gt;0,R23/O23,"")</t>
  </si>
  <si>
    <t>=NL("Sum","5802 Value Entry","150 Sales Amount (Expected)","41 Source Type",$C$5,"5 Source No.",$C23,"4 Item Ledger Entry Type",$C$4,"2 Item No.","@@"&amp;$F23,"3 Posting Date",U$9)+NL("Sum","5802 Value Entry","17 Sales Amount (Actual)","41 Source Type",$C$5,"5 Source no.",$C23,"4 Item Ledger Entry Type",$C$4,"2 Item No.","@@"&amp;$F23,"3 Posting Date",U$9)</t>
  </si>
  <si>
    <t>=-NL("Sum","5802 Value Entry","151 Cost Amount (Expected)","41 Source Type",$C$5,"5 Source No.",$C23,"4 Item Ledger Entry Type",$C$4,"2 Item No.","@@"&amp;$F23,"3 Posting Date",U$9)-NL("Sum","5802 Value Entry","43 Cost Amount (Actual)","41 Source Type",$C$5,"5 Source no.",$C23,"4 Item Ledger Entry Type",$C$4,"2 Item No.","@@"&amp;$F23,"3 Posting Date",U$9)</t>
  </si>
  <si>
    <t>=U23-W23</t>
  </si>
  <si>
    <t>=IF(U23&lt;&gt;0,X23/U23,"")</t>
  </si>
  <si>
    <t>=NL("Sum","5802 Value Entry","150 Sales Amount (Expected)","41 Source Type",$C$5,"5 Source No.",$C23,"4 Item Ledger Entry Type",$C$4,"2 Item No.","@@"&amp;$F23,"3 Posting Date",Z$9)+NL("Sum","5802 Value Entry","17 Sales Amount (Actual)","41 Source Type",$C$5,"5 Source no.",$C23,"4 Item Ledger Entry Type",$C$4,"2 Item No.","@@"&amp;$F23,"3 Posting Date",Z$9)</t>
  </si>
  <si>
    <t>=-NL("Sum","5802 Value Entry","151 Cost Amount (Expected)","41 Source Type",$C$5,"5 Source No.",$C23,"4 Item Ledger Entry Type",$C$4,"2 Item No.","@@"&amp;$F23,"3 Posting Date",Z$9)-NL("Sum","5802 Value Entry","43 Cost Amount (Actual)","41 Source Type",$C$5,"5 Source no.",$C23,"4 Item Ledger Entry Type",$C$4,"2 Item No.","@@"&amp;$F23,"3 Posting Date",Z$9)</t>
  </si>
  <si>
    <t>=Z23-AB23</t>
  </si>
  <si>
    <t>=IF(Z23&lt;&gt;0,AC23/Z23,"")</t>
  </si>
  <si>
    <t>="C100005"</t>
  </si>
  <si>
    <t>=NL("Sum","5802 Value Entry","150 Sales Amount (Expected)","41 Source Type",$C$5,"5 Source No.",$C24,"4 Item Ledger Entry Type",$C$4,"2 Item No.","@@"&amp;$F24,"3 Posting Date",J$9)+NL("Sum","5802 Value Entry","17 Sales Amount (Actual)","41 Source Type",$C$5,"5 Source no.",$C24,"4 Item Ledger Entry Type",$C$4,"2 Item No.","@@"&amp;$F24,"3 Posting Date",J$9)</t>
  </si>
  <si>
    <t>=-NL("Sum","5802 Value Entry","151 Cost Amount (Expected)","41 Source Type",$C$5,"5 Source No.",$C24,"4 Item Ledger Entry Type",$C$4,"2 Item No.","@@"&amp;$F24,"3 Posting Date",J$9)-NL("Sum","5802 Value Entry","43 Cost Amount (Actual)","41 Source Type",$C$5,"5 Source no.",$C24,"4 Item Ledger Entry Type",$C$4,"2 Item No.","@@"&amp;$F24,"3 Posting Date",J$9)</t>
  </si>
  <si>
    <t>=NL("Sum","5802 Value Entry","150 Sales Amount (Expected)","41 Source Type",$C$5,"5 Source No.",$C24,"4 Item Ledger Entry Type",$C$4,"2 Item No.","@@"&amp;$F24,"3 Posting Date",O$9)+NL("Sum","5802 Value Entry","17 Sales Amount (Actual)","41 Source Type",$C$5,"5 Source no.",$C24,"4 Item Ledger Entry Type",$C$4,"2 Item No.","@@"&amp;$F24,"3 Posting Date",O$9)</t>
  </si>
  <si>
    <t>=-NL("Sum","5802 Value Entry","151 Cost Amount (Expected)","41 Source Type",$C$5,"5 Source No.",$C24,"4 Item Ledger Entry Type",$C$4,"2 Item No.","@@"&amp;$F24,"3 Posting Date",O$9)-NL("Sum","5802 Value Entry","43 Cost Amount (Actual)","41 Source Type",$C$5,"5 Source no.",$C24,"4 Item Ledger Entry Type",$C$4,"2 Item No.","@@"&amp;$F24,"3 Posting Date",O$9)</t>
  </si>
  <si>
    <t>=NL("Sum","5802 Value Entry","150 Sales Amount (Expected)","41 Source Type",$C$5,"5 Source No.",$C24,"4 Item Ledger Entry Type",$C$4,"2 Item No.","@@"&amp;$F24,"3 Posting Date",U$9)+NL("Sum","5802 Value Entry","17 Sales Amount (Actual)","41 Source Type",$C$5,"5 Source no.",$C24,"4 Item Ledger Entry Type",$C$4,"2 Item No.","@@"&amp;$F24,"3 Posting Date",U$9)</t>
  </si>
  <si>
    <t>=-NL("Sum","5802 Value Entry","151 Cost Amount (Expected)","41 Source Type",$C$5,"5 Source No.",$C24,"4 Item Ledger Entry Type",$C$4,"2 Item No.","@@"&amp;$F24,"3 Posting Date",U$9)-NL("Sum","5802 Value Entry","43 Cost Amount (Actual)","41 Source Type",$C$5,"5 Source no.",$C24,"4 Item Ledger Entry Type",$C$4,"2 Item No.","@@"&amp;$F24,"3 Posting Date",U$9)</t>
  </si>
  <si>
    <t>=NL("Sum","5802 Value Entry","150 Sales Amount (Expected)","41 Source Type",$C$5,"5 Source No.",$C24,"4 Item Ledger Entry Type",$C$4,"2 Item No.","@@"&amp;$F24,"3 Posting Date",Z$9)+NL("Sum","5802 Value Entry","17 Sales Amount (Actual)","41 Source Type",$C$5,"5 Source no.",$C24,"4 Item Ledger Entry Type",$C$4,"2 Item No.","@@"&amp;$F24,"3 Posting Date",Z$9)</t>
  </si>
  <si>
    <t>=-NL("Sum","5802 Value Entry","151 Cost Amount (Expected)","41 Source Type",$C$5,"5 Source No.",$C24,"4 Item Ledger Entry Type",$C$4,"2 Item No.","@@"&amp;$F24,"3 Posting Date",Z$9)-NL("Sum","5802 Value Entry","43 Cost Amount (Actual)","41 Source Type",$C$5,"5 Source no.",$C24,"4 Item Ledger Entry Type",$C$4,"2 Item No.","@@"&amp;$F24,"3 Posting Date",Z$9)</t>
  </si>
  <si>
    <t>=C24</t>
  </si>
  <si>
    <t>="C100006"</t>
  </si>
  <si>
    <t>=NL("Sum","5802 Value Entry","150 Sales Amount (Expected)","41 Source Type",$C$5,"5 Source No.",$C25,"4 Item Ledger Entry Type",$C$4,"2 Item No.","@@"&amp;$F25,"3 Posting Date",J$9)+NL("Sum","5802 Value Entry","17 Sales Amount (Actual)","41 Source Type",$C$5,"5 Source no.",$C25,"4 Item Ledger Entry Type",$C$4,"2 Item No.","@@"&amp;$F25,"3 Posting Date",J$9)</t>
  </si>
  <si>
    <t>=-NL("Sum","5802 Value Entry","151 Cost Amount (Expected)","41 Source Type",$C$5,"5 Source No.",$C25,"4 Item Ledger Entry Type",$C$4,"2 Item No.","@@"&amp;$F25,"3 Posting Date",J$9)-NL("Sum","5802 Value Entry","43 Cost Amount (Actual)","41 Source Type",$C$5,"5 Source no.",$C25,"4 Item Ledger Entry Type",$C$4,"2 Item No.","@@"&amp;$F25,"3 Posting Date",J$9)</t>
  </si>
  <si>
    <t>=J25-L25</t>
  </si>
  <si>
    <t>=IF(J25&lt;&gt;0,M25/J25,"")</t>
  </si>
  <si>
    <t>=NL("Sum","5802 Value Entry","150 Sales Amount (Expected)","41 Source Type",$C$5,"5 Source No.",$C25,"4 Item Ledger Entry Type",$C$4,"2 Item No.","@@"&amp;$F25,"3 Posting Date",O$9)+NL("Sum","5802 Value Entry","17 Sales Amount (Actual)","41 Source Type",$C$5,"5 Source no.",$C25,"4 Item Ledger Entry Type",$C$4,"2 Item No.","@@"&amp;$F25,"3 Posting Date",O$9)</t>
  </si>
  <si>
    <t>=-NL("Sum","5802 Value Entry","151 Cost Amount (Expected)","41 Source Type",$C$5,"5 Source No.",$C25,"4 Item Ledger Entry Type",$C$4,"2 Item No.","@@"&amp;$F25,"3 Posting Date",O$9)-NL("Sum","5802 Value Entry","43 Cost Amount (Actual)","41 Source Type",$C$5,"5 Source no.",$C25,"4 Item Ledger Entry Type",$C$4,"2 Item No.","@@"&amp;$F25,"3 Posting Date",O$9)</t>
  </si>
  <si>
    <t>=O25-Q25</t>
  </si>
  <si>
    <t>=IF(O25&lt;&gt;0,R25/O25,"")</t>
  </si>
  <si>
    <t>=NL("Sum","5802 Value Entry","150 Sales Amount (Expected)","41 Source Type",$C$5,"5 Source No.",$C25,"4 Item Ledger Entry Type",$C$4,"2 Item No.","@@"&amp;$F25,"3 Posting Date",U$9)+NL("Sum","5802 Value Entry","17 Sales Amount (Actual)","41 Source Type",$C$5,"5 Source no.",$C25,"4 Item Ledger Entry Type",$C$4,"2 Item No.","@@"&amp;$F25,"3 Posting Date",U$9)</t>
  </si>
  <si>
    <t>=-NL("Sum","5802 Value Entry","151 Cost Amount (Expected)","41 Source Type",$C$5,"5 Source No.",$C25,"4 Item Ledger Entry Type",$C$4,"2 Item No.","@@"&amp;$F25,"3 Posting Date",U$9)-NL("Sum","5802 Value Entry","43 Cost Amount (Actual)","41 Source Type",$C$5,"5 Source no.",$C25,"4 Item Ledger Entry Type",$C$4,"2 Item No.","@@"&amp;$F25,"3 Posting Date",U$9)</t>
  </si>
  <si>
    <t>=U25-W25</t>
  </si>
  <si>
    <t>=IF(U25&lt;&gt;0,X25/U25,"")</t>
  </si>
  <si>
    <t>=NL("Sum","5802 Value Entry","150 Sales Amount (Expected)","41 Source Type",$C$5,"5 Source No.",$C25,"4 Item Ledger Entry Type",$C$4,"2 Item No.","@@"&amp;$F25,"3 Posting Date",Z$9)+NL("Sum","5802 Value Entry","17 Sales Amount (Actual)","41 Source Type",$C$5,"5 Source no.",$C25,"4 Item Ledger Entry Type",$C$4,"2 Item No.","@@"&amp;$F25,"3 Posting Date",Z$9)</t>
  </si>
  <si>
    <t>=-NL("Sum","5802 Value Entry","151 Cost Amount (Expected)","41 Source Type",$C$5,"5 Source No.",$C25,"4 Item Ledger Entry Type",$C$4,"2 Item No.","@@"&amp;$F25,"3 Posting Date",Z$9)-NL("Sum","5802 Value Entry","43 Cost Amount (Actual)","41 Source Type",$C$5,"5 Source no.",$C25,"4 Item Ledger Entry Type",$C$4,"2 Item No.","@@"&amp;$F25,"3 Posting Date",Z$9)</t>
  </si>
  <si>
    <t>=Z25-AB25</t>
  </si>
  <si>
    <t>=IF(Z25&lt;&gt;0,AC25/Z25,"")</t>
  </si>
  <si>
    <t>=C25</t>
  </si>
  <si>
    <t>="C100014"</t>
  </si>
  <si>
    <t>=NL("Sum","5802 Value Entry","150 Sales Amount (Expected)","41 Source Type",$C$5,"5 Source No.",$C26,"4 Item Ledger Entry Type",$C$4,"2 Item No.","@@"&amp;$F26,"3 Posting Date",J$9)+NL("Sum","5802 Value Entry","17 Sales Amount (Actual)","41 Source Type",$C$5,"5 Source no.",$C26,"4 Item Ledger Entry Type",$C$4,"2 Item No.","@@"&amp;$F26,"3 Posting Date",J$9)</t>
  </si>
  <si>
    <t>=-NL("Sum","5802 Value Entry","151 Cost Amount (Expected)","41 Source Type",$C$5,"5 Source No.",$C26,"4 Item Ledger Entry Type",$C$4,"2 Item No.","@@"&amp;$F26,"3 Posting Date",J$9)-NL("Sum","5802 Value Entry","43 Cost Amount (Actual)","41 Source Type",$C$5,"5 Source no.",$C26,"4 Item Ledger Entry Type",$C$4,"2 Item No.","@@"&amp;$F26,"3 Posting Date",J$9)</t>
  </si>
  <si>
    <t>=NL("Sum","5802 Value Entry","150 Sales Amount (Expected)","41 Source Type",$C$5,"5 Source No.",$C26,"4 Item Ledger Entry Type",$C$4,"2 Item No.","@@"&amp;$F26,"3 Posting Date",O$9)+NL("Sum","5802 Value Entry","17 Sales Amount (Actual)","41 Source Type",$C$5,"5 Source no.",$C26,"4 Item Ledger Entry Type",$C$4,"2 Item No.","@@"&amp;$F26,"3 Posting Date",O$9)</t>
  </si>
  <si>
    <t>=-NL("Sum","5802 Value Entry","151 Cost Amount (Expected)","41 Source Type",$C$5,"5 Source No.",$C26,"4 Item Ledger Entry Type",$C$4,"2 Item No.","@@"&amp;$F26,"3 Posting Date",O$9)-NL("Sum","5802 Value Entry","43 Cost Amount (Actual)","41 Source Type",$C$5,"5 Source no.",$C26,"4 Item Ledger Entry Type",$C$4,"2 Item No.","@@"&amp;$F26,"3 Posting Date",O$9)</t>
  </si>
  <si>
    <t>=NL("Sum","5802 Value Entry","150 Sales Amount (Expected)","41 Source Type",$C$5,"5 Source No.",$C26,"4 Item Ledger Entry Type",$C$4,"2 Item No.","@@"&amp;$F26,"3 Posting Date",U$9)+NL("Sum","5802 Value Entry","17 Sales Amount (Actual)","41 Source Type",$C$5,"5 Source no.",$C26,"4 Item Ledger Entry Type",$C$4,"2 Item No.","@@"&amp;$F26,"3 Posting Date",U$9)</t>
  </si>
  <si>
    <t>=-NL("Sum","5802 Value Entry","151 Cost Amount (Expected)","41 Source Type",$C$5,"5 Source No.",$C26,"4 Item Ledger Entry Type",$C$4,"2 Item No.","@@"&amp;$F26,"3 Posting Date",U$9)-NL("Sum","5802 Value Entry","43 Cost Amount (Actual)","41 Source Type",$C$5,"5 Source no.",$C26,"4 Item Ledger Entry Type",$C$4,"2 Item No.","@@"&amp;$F26,"3 Posting Date",U$9)</t>
  </si>
  <si>
    <t>=NL("Sum","5802 Value Entry","150 Sales Amount (Expected)","41 Source Type",$C$5,"5 Source No.",$C26,"4 Item Ledger Entry Type",$C$4,"2 Item No.","@@"&amp;$F26,"3 Posting Date",Z$9)+NL("Sum","5802 Value Entry","17 Sales Amount (Actual)","41 Source Type",$C$5,"5 Source no.",$C26,"4 Item Ledger Entry Type",$C$4,"2 Item No.","@@"&amp;$F26,"3 Posting Date",Z$9)</t>
  </si>
  <si>
    <t>=-NL("Sum","5802 Value Entry","151 Cost Amount (Expected)","41 Source Type",$C$5,"5 Source No.",$C26,"4 Item Ledger Entry Type",$C$4,"2 Item No.","@@"&amp;$F26,"3 Posting Date",Z$9)-NL("Sum","5802 Value Entry","43 Cost Amount (Actual)","41 Source Type",$C$5,"5 Source no.",$C26,"4 Item Ledger Entry Type",$C$4,"2 Item No.","@@"&amp;$F26,"3 Posting Date",Z$9)</t>
  </si>
  <si>
    <t>="C100019"</t>
  </si>
  <si>
    <t>=NL("Sum","5802 Value Entry","150 Sales Amount (Expected)","41 Source Type",$C$5,"5 Source No.",$C27,"4 Item Ledger Entry Type",$C$4,"2 Item No.","@@"&amp;$F27,"3 Posting Date",J$9)+NL("Sum","5802 Value Entry","17 Sales Amount (Actual)","41 Source Type",$C$5,"5 Source no.",$C27,"4 Item Ledger Entry Type",$C$4,"2 Item No.","@@"&amp;$F27,"3 Posting Date",J$9)</t>
  </si>
  <si>
    <t>=-NL("Sum","5802 Value Entry","151 Cost Amount (Expected)","41 Source Type",$C$5,"5 Source No.",$C27,"4 Item Ledger Entry Type",$C$4,"2 Item No.","@@"&amp;$F27,"3 Posting Date",J$9)-NL("Sum","5802 Value Entry","43 Cost Amount (Actual)","41 Source Type",$C$5,"5 Source no.",$C27,"4 Item Ledger Entry Type",$C$4,"2 Item No.","@@"&amp;$F27,"3 Posting Date",J$9)</t>
  </si>
  <si>
    <t>=J27-L27</t>
  </si>
  <si>
    <t>=IF(J27&lt;&gt;0,M27/J27,"")</t>
  </si>
  <si>
    <t>=NL("Sum","5802 Value Entry","150 Sales Amount (Expected)","41 Source Type",$C$5,"5 Source No.",$C27,"4 Item Ledger Entry Type",$C$4,"2 Item No.","@@"&amp;$F27,"3 Posting Date",O$9)+NL("Sum","5802 Value Entry","17 Sales Amount (Actual)","41 Source Type",$C$5,"5 Source no.",$C27,"4 Item Ledger Entry Type",$C$4,"2 Item No.","@@"&amp;$F27,"3 Posting Date",O$9)</t>
  </si>
  <si>
    <t>=-NL("Sum","5802 Value Entry","151 Cost Amount (Expected)","41 Source Type",$C$5,"5 Source No.",$C27,"4 Item Ledger Entry Type",$C$4,"2 Item No.","@@"&amp;$F27,"3 Posting Date",O$9)-NL("Sum","5802 Value Entry","43 Cost Amount (Actual)","41 Source Type",$C$5,"5 Source no.",$C27,"4 Item Ledger Entry Type",$C$4,"2 Item No.","@@"&amp;$F27,"3 Posting Date",O$9)</t>
  </si>
  <si>
    <t>=O27-Q27</t>
  </si>
  <si>
    <t>=IF(O27&lt;&gt;0,R27/O27,"")</t>
  </si>
  <si>
    <t>=NL("Sum","5802 Value Entry","150 Sales Amount (Expected)","41 Source Type",$C$5,"5 Source No.",$C27,"4 Item Ledger Entry Type",$C$4,"2 Item No.","@@"&amp;$F27,"3 Posting Date",U$9)+NL("Sum","5802 Value Entry","17 Sales Amount (Actual)","41 Source Type",$C$5,"5 Source no.",$C27,"4 Item Ledger Entry Type",$C$4,"2 Item No.","@@"&amp;$F27,"3 Posting Date",U$9)</t>
  </si>
  <si>
    <t>=-NL("Sum","5802 Value Entry","151 Cost Amount (Expected)","41 Source Type",$C$5,"5 Source No.",$C27,"4 Item Ledger Entry Type",$C$4,"2 Item No.","@@"&amp;$F27,"3 Posting Date",U$9)-NL("Sum","5802 Value Entry","43 Cost Amount (Actual)","41 Source Type",$C$5,"5 Source no.",$C27,"4 Item Ledger Entry Type",$C$4,"2 Item No.","@@"&amp;$F27,"3 Posting Date",U$9)</t>
  </si>
  <si>
    <t>=U27-W27</t>
  </si>
  <si>
    <t>=IF(U27&lt;&gt;0,X27/U27,"")</t>
  </si>
  <si>
    <t>=NL("Sum","5802 Value Entry","150 Sales Amount (Expected)","41 Source Type",$C$5,"5 Source No.",$C27,"4 Item Ledger Entry Type",$C$4,"2 Item No.","@@"&amp;$F27,"3 Posting Date",Z$9)+NL("Sum","5802 Value Entry","17 Sales Amount (Actual)","41 Source Type",$C$5,"5 Source no.",$C27,"4 Item Ledger Entry Type",$C$4,"2 Item No.","@@"&amp;$F27,"3 Posting Date",Z$9)</t>
  </si>
  <si>
    <t>=-NL("Sum","5802 Value Entry","151 Cost Amount (Expected)","41 Source Type",$C$5,"5 Source No.",$C27,"4 Item Ledger Entry Type",$C$4,"2 Item No.","@@"&amp;$F27,"3 Posting Date",Z$9)-NL("Sum","5802 Value Entry","43 Cost Amount (Actual)","41 Source Type",$C$5,"5 Source no.",$C27,"4 Item Ledger Entry Type",$C$4,"2 Item No.","@@"&amp;$F27,"3 Posting Date",Z$9)</t>
  </si>
  <si>
    <t>=Z27-AB27</t>
  </si>
  <si>
    <t>=IF(Z27&lt;&gt;0,AC27/Z27,"")</t>
  </si>
  <si>
    <t>="C100020"</t>
  </si>
  <si>
    <t>=NL("Sum","5802 Value Entry","150 Sales Amount (Expected)","41 Source Type",$C$5,"5 Source No.",$C28,"4 Item Ledger Entry Type",$C$4,"2 Item No.","@@"&amp;$F28,"3 Posting Date",J$9)+NL("Sum","5802 Value Entry","17 Sales Amount (Actual)","41 Source Type",$C$5,"5 Source no.",$C28,"4 Item Ledger Entry Type",$C$4,"2 Item No.","@@"&amp;$F28,"3 Posting Date",J$9)</t>
  </si>
  <si>
    <t>=-NL("Sum","5802 Value Entry","151 Cost Amount (Expected)","41 Source Type",$C$5,"5 Source No.",$C28,"4 Item Ledger Entry Type",$C$4,"2 Item No.","@@"&amp;$F28,"3 Posting Date",J$9)-NL("Sum","5802 Value Entry","43 Cost Amount (Actual)","41 Source Type",$C$5,"5 Source no.",$C28,"4 Item Ledger Entry Type",$C$4,"2 Item No.","@@"&amp;$F28,"3 Posting Date",J$9)</t>
  </si>
  <si>
    <t>=NL("Sum","5802 Value Entry","150 Sales Amount (Expected)","41 Source Type",$C$5,"5 Source No.",$C28,"4 Item Ledger Entry Type",$C$4,"2 Item No.","@@"&amp;$F28,"3 Posting Date",O$9)+NL("Sum","5802 Value Entry","17 Sales Amount (Actual)","41 Source Type",$C$5,"5 Source no.",$C28,"4 Item Ledger Entry Type",$C$4,"2 Item No.","@@"&amp;$F28,"3 Posting Date",O$9)</t>
  </si>
  <si>
    <t>=-NL("Sum","5802 Value Entry","151 Cost Amount (Expected)","41 Source Type",$C$5,"5 Source No.",$C28,"4 Item Ledger Entry Type",$C$4,"2 Item No.","@@"&amp;$F28,"3 Posting Date",O$9)-NL("Sum","5802 Value Entry","43 Cost Amount (Actual)","41 Source Type",$C$5,"5 Source no.",$C28,"4 Item Ledger Entry Type",$C$4,"2 Item No.","@@"&amp;$F28,"3 Posting Date",O$9)</t>
  </si>
  <si>
    <t>=NL("Sum","5802 Value Entry","150 Sales Amount (Expected)","41 Source Type",$C$5,"5 Source No.",$C28,"4 Item Ledger Entry Type",$C$4,"2 Item No.","@@"&amp;$F28,"3 Posting Date",U$9)+NL("Sum","5802 Value Entry","17 Sales Amount (Actual)","41 Source Type",$C$5,"5 Source no.",$C28,"4 Item Ledger Entry Type",$C$4,"2 Item No.","@@"&amp;$F28,"3 Posting Date",U$9)</t>
  </si>
  <si>
    <t>=-NL("Sum","5802 Value Entry","151 Cost Amount (Expected)","41 Source Type",$C$5,"5 Source No.",$C28,"4 Item Ledger Entry Type",$C$4,"2 Item No.","@@"&amp;$F28,"3 Posting Date",U$9)-NL("Sum","5802 Value Entry","43 Cost Amount (Actual)","41 Source Type",$C$5,"5 Source no.",$C28,"4 Item Ledger Entry Type",$C$4,"2 Item No.","@@"&amp;$F28,"3 Posting Date",U$9)</t>
  </si>
  <si>
    <t>=NL("Sum","5802 Value Entry","150 Sales Amount (Expected)","41 Source Type",$C$5,"5 Source No.",$C28,"4 Item Ledger Entry Type",$C$4,"2 Item No.","@@"&amp;$F28,"3 Posting Date",Z$9)+NL("Sum","5802 Value Entry","17 Sales Amount (Actual)","41 Source Type",$C$5,"5 Source no.",$C28,"4 Item Ledger Entry Type",$C$4,"2 Item No.","@@"&amp;$F28,"3 Posting Date",Z$9)</t>
  </si>
  <si>
    <t>=-NL("Sum","5802 Value Entry","151 Cost Amount (Expected)","41 Source Type",$C$5,"5 Source No.",$C28,"4 Item Ledger Entry Type",$C$4,"2 Item No.","@@"&amp;$F28,"3 Posting Date",Z$9)-NL("Sum","5802 Value Entry","43 Cost Amount (Actual)","41 Source Type",$C$5,"5 Source no.",$C28,"4 Item Ledger Entry Type",$C$4,"2 Item No.","@@"&amp;$F28,"3 Posting Date",Z$9)</t>
  </si>
  <si>
    <t>=NL("Sum","5802 Value Entry","150 Sales Amount (Expected)","41 Source Type",$C$5,"5 Source No.",$C29,"4 Item Ledger Entry Type",$C$4,"2 Item No.","@@"&amp;$F29,"3 Posting Date",J$9)+NL("Sum","5802 Value Entry","17 Sales Amount (Actual)","41 Source Type",$C$5,"5 Source no.",$C29,"4 Item Ledger Entry Type",$C$4,"2 Item No.","@@"&amp;$F29,"3 Posting Date",J$9)</t>
  </si>
  <si>
    <t>=-NL("Sum","5802 Value Entry","151 Cost Amount (Expected)","41 Source Type",$C$5,"5 Source No.",$C29,"4 Item Ledger Entry Type",$C$4,"2 Item No.","@@"&amp;$F29,"3 Posting Date",J$9)-NL("Sum","5802 Value Entry","43 Cost Amount (Actual)","41 Source Type",$C$5,"5 Source no.",$C29,"4 Item Ledger Entry Type",$C$4,"2 Item No.","@@"&amp;$F29,"3 Posting Date",J$9)</t>
  </si>
  <si>
    <t>=J29-L29</t>
  </si>
  <si>
    <t>=IF(J29&lt;&gt;0,M29/J29,"")</t>
  </si>
  <si>
    <t>=NL("Sum","5802 Value Entry","150 Sales Amount (Expected)","41 Source Type",$C$5,"5 Source No.",$C29,"4 Item Ledger Entry Type",$C$4,"2 Item No.","@@"&amp;$F29,"3 Posting Date",O$9)+NL("Sum","5802 Value Entry","17 Sales Amount (Actual)","41 Source Type",$C$5,"5 Source no.",$C29,"4 Item Ledger Entry Type",$C$4,"2 Item No.","@@"&amp;$F29,"3 Posting Date",O$9)</t>
  </si>
  <si>
    <t>=-NL("Sum","5802 Value Entry","151 Cost Amount (Expected)","41 Source Type",$C$5,"5 Source No.",$C29,"4 Item Ledger Entry Type",$C$4,"2 Item No.","@@"&amp;$F29,"3 Posting Date",O$9)-NL("Sum","5802 Value Entry","43 Cost Amount (Actual)","41 Source Type",$C$5,"5 Source no.",$C29,"4 Item Ledger Entry Type",$C$4,"2 Item No.","@@"&amp;$F29,"3 Posting Date",O$9)</t>
  </si>
  <si>
    <t>=O29-Q29</t>
  </si>
  <si>
    <t>=IF(O29&lt;&gt;0,R29/O29,"")</t>
  </si>
  <si>
    <t>=NL("Sum","5802 Value Entry","150 Sales Amount (Expected)","41 Source Type",$C$5,"5 Source No.",$C29,"4 Item Ledger Entry Type",$C$4,"2 Item No.","@@"&amp;$F29,"3 Posting Date",U$9)+NL("Sum","5802 Value Entry","17 Sales Amount (Actual)","41 Source Type",$C$5,"5 Source no.",$C29,"4 Item Ledger Entry Type",$C$4,"2 Item No.","@@"&amp;$F29,"3 Posting Date",U$9)</t>
  </si>
  <si>
    <t>=-NL("Sum","5802 Value Entry","151 Cost Amount (Expected)","41 Source Type",$C$5,"5 Source No.",$C29,"4 Item Ledger Entry Type",$C$4,"2 Item No.","@@"&amp;$F29,"3 Posting Date",U$9)-NL("Sum","5802 Value Entry","43 Cost Amount (Actual)","41 Source Type",$C$5,"5 Source no.",$C29,"4 Item Ledger Entry Type",$C$4,"2 Item No.","@@"&amp;$F29,"3 Posting Date",U$9)</t>
  </si>
  <si>
    <t>=U29-W29</t>
  </si>
  <si>
    <t>=IF(U29&lt;&gt;0,X29/U29,"")</t>
  </si>
  <si>
    <t>=NL("Sum","5802 Value Entry","150 Sales Amount (Expected)","41 Source Type",$C$5,"5 Source No.",$C29,"4 Item Ledger Entry Type",$C$4,"2 Item No.","@@"&amp;$F29,"3 Posting Date",Z$9)+NL("Sum","5802 Value Entry","17 Sales Amount (Actual)","41 Source Type",$C$5,"5 Source no.",$C29,"4 Item Ledger Entry Type",$C$4,"2 Item No.","@@"&amp;$F29,"3 Posting Date",Z$9)</t>
  </si>
  <si>
    <t>=-NL("Sum","5802 Value Entry","151 Cost Amount (Expected)","41 Source Type",$C$5,"5 Source No.",$C29,"4 Item Ledger Entry Type",$C$4,"2 Item No.","@@"&amp;$F29,"3 Posting Date",Z$9)-NL("Sum","5802 Value Entry","43 Cost Amount (Actual)","41 Source Type",$C$5,"5 Source no.",$C29,"4 Item Ledger Entry Type",$C$4,"2 Item No.","@@"&amp;$F29,"3 Posting Date",Z$9)</t>
  </si>
  <si>
    <t>=Z29-AB29</t>
  </si>
  <si>
    <t>=IF(Z29&lt;&gt;0,AC29/Z29,"")</t>
  </si>
  <si>
    <t>="C100022"</t>
  </si>
  <si>
    <t>=NL("Sum","5802 Value Entry","150 Sales Amount (Expected)","41 Source Type",$C$5,"5 Source No.",$C30,"4 Item Ledger Entry Type",$C$4,"2 Item No.","@@"&amp;$F30,"3 Posting Date",J$9)+NL("Sum","5802 Value Entry","17 Sales Amount (Actual)","41 Source Type",$C$5,"5 Source no.",$C30,"4 Item Ledger Entry Type",$C$4,"2 Item No.","@@"&amp;$F30,"3 Posting Date",J$9)</t>
  </si>
  <si>
    <t>=-NL("Sum","5802 Value Entry","151 Cost Amount (Expected)","41 Source Type",$C$5,"5 Source No.",$C30,"4 Item Ledger Entry Type",$C$4,"2 Item No.","@@"&amp;$F30,"3 Posting Date",J$9)-NL("Sum","5802 Value Entry","43 Cost Amount (Actual)","41 Source Type",$C$5,"5 Source no.",$C30,"4 Item Ledger Entry Type",$C$4,"2 Item No.","@@"&amp;$F30,"3 Posting Date",J$9)</t>
  </si>
  <si>
    <t>=NL("Sum","5802 Value Entry","150 Sales Amount (Expected)","41 Source Type",$C$5,"5 Source No.",$C30,"4 Item Ledger Entry Type",$C$4,"2 Item No.","@@"&amp;$F30,"3 Posting Date",O$9)+NL("Sum","5802 Value Entry","17 Sales Amount (Actual)","41 Source Type",$C$5,"5 Source no.",$C30,"4 Item Ledger Entry Type",$C$4,"2 Item No.","@@"&amp;$F30,"3 Posting Date",O$9)</t>
  </si>
  <si>
    <t>=-NL("Sum","5802 Value Entry","151 Cost Amount (Expected)","41 Source Type",$C$5,"5 Source No.",$C30,"4 Item Ledger Entry Type",$C$4,"2 Item No.","@@"&amp;$F30,"3 Posting Date",O$9)-NL("Sum","5802 Value Entry","43 Cost Amount (Actual)","41 Source Type",$C$5,"5 Source no.",$C30,"4 Item Ledger Entry Type",$C$4,"2 Item No.","@@"&amp;$F30,"3 Posting Date",O$9)</t>
  </si>
  <si>
    <t>=NL("Sum","5802 Value Entry","150 Sales Amount (Expected)","41 Source Type",$C$5,"5 Source No.",$C30,"4 Item Ledger Entry Type",$C$4,"2 Item No.","@@"&amp;$F30,"3 Posting Date",U$9)+NL("Sum","5802 Value Entry","17 Sales Amount (Actual)","41 Source Type",$C$5,"5 Source no.",$C30,"4 Item Ledger Entry Type",$C$4,"2 Item No.","@@"&amp;$F30,"3 Posting Date",U$9)</t>
  </si>
  <si>
    <t>=-NL("Sum","5802 Value Entry","151 Cost Amount (Expected)","41 Source Type",$C$5,"5 Source No.",$C30,"4 Item Ledger Entry Type",$C$4,"2 Item No.","@@"&amp;$F30,"3 Posting Date",U$9)-NL("Sum","5802 Value Entry","43 Cost Amount (Actual)","41 Source Type",$C$5,"5 Source no.",$C30,"4 Item Ledger Entry Type",$C$4,"2 Item No.","@@"&amp;$F30,"3 Posting Date",U$9)</t>
  </si>
  <si>
    <t>=NL("Sum","5802 Value Entry","150 Sales Amount (Expected)","41 Source Type",$C$5,"5 Source No.",$C30,"4 Item Ledger Entry Type",$C$4,"2 Item No.","@@"&amp;$F30,"3 Posting Date",Z$9)+NL("Sum","5802 Value Entry","17 Sales Amount (Actual)","41 Source Type",$C$5,"5 Source no.",$C30,"4 Item Ledger Entry Type",$C$4,"2 Item No.","@@"&amp;$F30,"3 Posting Date",Z$9)</t>
  </si>
  <si>
    <t>=-NL("Sum","5802 Value Entry","151 Cost Amount (Expected)","41 Source Type",$C$5,"5 Source No.",$C30,"4 Item Ledger Entry Type",$C$4,"2 Item No.","@@"&amp;$F30,"3 Posting Date",Z$9)-NL("Sum","5802 Value Entry","43 Cost Amount (Actual)","41 Source Type",$C$5,"5 Source no.",$C30,"4 Item Ledger Entry Type",$C$4,"2 Item No.","@@"&amp;$F30,"3 Posting Date",Z$9)</t>
  </si>
  <si>
    <t>=C30</t>
  </si>
  <si>
    <t>="C100023"</t>
  </si>
  <si>
    <t>=NL("Sum","5802 Value Entry","150 Sales Amount (Expected)","41 Source Type",$C$5,"5 Source No.",$C31,"4 Item Ledger Entry Type",$C$4,"2 Item No.","@@"&amp;$F31,"3 Posting Date",J$9)+NL("Sum","5802 Value Entry","17 Sales Amount (Actual)","41 Source Type",$C$5,"5 Source no.",$C31,"4 Item Ledger Entry Type",$C$4,"2 Item No.","@@"&amp;$F31,"3 Posting Date",J$9)</t>
  </si>
  <si>
    <t>=-NL("Sum","5802 Value Entry","151 Cost Amount (Expected)","41 Source Type",$C$5,"5 Source No.",$C31,"4 Item Ledger Entry Type",$C$4,"2 Item No.","@@"&amp;$F31,"3 Posting Date",J$9)-NL("Sum","5802 Value Entry","43 Cost Amount (Actual)","41 Source Type",$C$5,"5 Source no.",$C31,"4 Item Ledger Entry Type",$C$4,"2 Item No.","@@"&amp;$F31,"3 Posting Date",J$9)</t>
  </si>
  <si>
    <t>=J31-L31</t>
  </si>
  <si>
    <t>=IF(J31&lt;&gt;0,M31/J31,"")</t>
  </si>
  <si>
    <t>=NL("Sum","5802 Value Entry","150 Sales Amount (Expected)","41 Source Type",$C$5,"5 Source No.",$C31,"4 Item Ledger Entry Type",$C$4,"2 Item No.","@@"&amp;$F31,"3 Posting Date",O$9)+NL("Sum","5802 Value Entry","17 Sales Amount (Actual)","41 Source Type",$C$5,"5 Source no.",$C31,"4 Item Ledger Entry Type",$C$4,"2 Item No.","@@"&amp;$F31,"3 Posting Date",O$9)</t>
  </si>
  <si>
    <t>=-NL("Sum","5802 Value Entry","151 Cost Amount (Expected)","41 Source Type",$C$5,"5 Source No.",$C31,"4 Item Ledger Entry Type",$C$4,"2 Item No.","@@"&amp;$F31,"3 Posting Date",O$9)-NL("Sum","5802 Value Entry","43 Cost Amount (Actual)","41 Source Type",$C$5,"5 Source no.",$C31,"4 Item Ledger Entry Type",$C$4,"2 Item No.","@@"&amp;$F31,"3 Posting Date",O$9)</t>
  </si>
  <si>
    <t>=O31-Q31</t>
  </si>
  <si>
    <t>=IF(O31&lt;&gt;0,R31/O31,"")</t>
  </si>
  <si>
    <t>=NL("Sum","5802 Value Entry","150 Sales Amount (Expected)","41 Source Type",$C$5,"5 Source No.",$C31,"4 Item Ledger Entry Type",$C$4,"2 Item No.","@@"&amp;$F31,"3 Posting Date",U$9)+NL("Sum","5802 Value Entry","17 Sales Amount (Actual)","41 Source Type",$C$5,"5 Source no.",$C31,"4 Item Ledger Entry Type",$C$4,"2 Item No.","@@"&amp;$F31,"3 Posting Date",U$9)</t>
  </si>
  <si>
    <t>=-NL("Sum","5802 Value Entry","151 Cost Amount (Expected)","41 Source Type",$C$5,"5 Source No.",$C31,"4 Item Ledger Entry Type",$C$4,"2 Item No.","@@"&amp;$F31,"3 Posting Date",U$9)-NL("Sum","5802 Value Entry","43 Cost Amount (Actual)","41 Source Type",$C$5,"5 Source no.",$C31,"4 Item Ledger Entry Type",$C$4,"2 Item No.","@@"&amp;$F31,"3 Posting Date",U$9)</t>
  </si>
  <si>
    <t>=U31-W31</t>
  </si>
  <si>
    <t>=IF(U31&lt;&gt;0,X31/U31,"")</t>
  </si>
  <si>
    <t>=NL("Sum","5802 Value Entry","150 Sales Amount (Expected)","41 Source Type",$C$5,"5 Source No.",$C31,"4 Item Ledger Entry Type",$C$4,"2 Item No.","@@"&amp;$F31,"3 Posting Date",Z$9)+NL("Sum","5802 Value Entry","17 Sales Amount (Actual)","41 Source Type",$C$5,"5 Source no.",$C31,"4 Item Ledger Entry Type",$C$4,"2 Item No.","@@"&amp;$F31,"3 Posting Date",Z$9)</t>
  </si>
  <si>
    <t>=-NL("Sum","5802 Value Entry","151 Cost Amount (Expected)","41 Source Type",$C$5,"5 Source No.",$C31,"4 Item Ledger Entry Type",$C$4,"2 Item No.","@@"&amp;$F31,"3 Posting Date",Z$9)-NL("Sum","5802 Value Entry","43 Cost Amount (Actual)","41 Source Type",$C$5,"5 Source no.",$C31,"4 Item Ledger Entry Type",$C$4,"2 Item No.","@@"&amp;$F31,"3 Posting Date",Z$9)</t>
  </si>
  <si>
    <t>=Z31-AB31</t>
  </si>
  <si>
    <t>=IF(Z31&lt;&gt;0,AC31/Z31,"")</t>
  </si>
  <si>
    <t>=C31</t>
  </si>
  <si>
    <t>="C100024"</t>
  </si>
  <si>
    <t>=NL("Sum","5802 Value Entry","150 Sales Amount (Expected)","41 Source Type",$C$5,"5 Source No.",$C32,"4 Item Ledger Entry Type",$C$4,"2 Item No.","@@"&amp;$F32,"3 Posting Date",J$9)+NL("Sum","5802 Value Entry","17 Sales Amount (Actual)","41 Source Type",$C$5,"5 Source no.",$C32,"4 Item Ledger Entry Type",$C$4,"2 Item No.","@@"&amp;$F32,"3 Posting Date",J$9)</t>
  </si>
  <si>
    <t>=-NL("Sum","5802 Value Entry","151 Cost Amount (Expected)","41 Source Type",$C$5,"5 Source No.",$C32,"4 Item Ledger Entry Type",$C$4,"2 Item No.","@@"&amp;$F32,"3 Posting Date",J$9)-NL("Sum","5802 Value Entry","43 Cost Amount (Actual)","41 Source Type",$C$5,"5 Source no.",$C32,"4 Item Ledger Entry Type",$C$4,"2 Item No.","@@"&amp;$F32,"3 Posting Date",J$9)</t>
  </si>
  <si>
    <t>=J32-L32</t>
  </si>
  <si>
    <t>=IF(J32&lt;&gt;0,M32/J32,"")</t>
  </si>
  <si>
    <t>=NL("Sum","5802 Value Entry","150 Sales Amount (Expected)","41 Source Type",$C$5,"5 Source No.",$C32,"4 Item Ledger Entry Type",$C$4,"2 Item No.","@@"&amp;$F32,"3 Posting Date",O$9)+NL("Sum","5802 Value Entry","17 Sales Amount (Actual)","41 Source Type",$C$5,"5 Source no.",$C32,"4 Item Ledger Entry Type",$C$4,"2 Item No.","@@"&amp;$F32,"3 Posting Date",O$9)</t>
  </si>
  <si>
    <t>=-NL("Sum","5802 Value Entry","151 Cost Amount (Expected)","41 Source Type",$C$5,"5 Source No.",$C32,"4 Item Ledger Entry Type",$C$4,"2 Item No.","@@"&amp;$F32,"3 Posting Date",O$9)-NL("Sum","5802 Value Entry","43 Cost Amount (Actual)","41 Source Type",$C$5,"5 Source no.",$C32,"4 Item Ledger Entry Type",$C$4,"2 Item No.","@@"&amp;$F32,"3 Posting Date",O$9)</t>
  </si>
  <si>
    <t>=O32-Q32</t>
  </si>
  <si>
    <t>=IF(O32&lt;&gt;0,R32/O32,"")</t>
  </si>
  <si>
    <t>=NL("Sum","5802 Value Entry","150 Sales Amount (Expected)","41 Source Type",$C$5,"5 Source No.",$C32,"4 Item Ledger Entry Type",$C$4,"2 Item No.","@@"&amp;$F32,"3 Posting Date",U$9)+NL("Sum","5802 Value Entry","17 Sales Amount (Actual)","41 Source Type",$C$5,"5 Source no.",$C32,"4 Item Ledger Entry Type",$C$4,"2 Item No.","@@"&amp;$F32,"3 Posting Date",U$9)</t>
  </si>
  <si>
    <t>=-NL("Sum","5802 Value Entry","151 Cost Amount (Expected)","41 Source Type",$C$5,"5 Source No.",$C32,"4 Item Ledger Entry Type",$C$4,"2 Item No.","@@"&amp;$F32,"3 Posting Date",U$9)-NL("Sum","5802 Value Entry","43 Cost Amount (Actual)","41 Source Type",$C$5,"5 Source no.",$C32,"4 Item Ledger Entry Type",$C$4,"2 Item No.","@@"&amp;$F32,"3 Posting Date",U$9)</t>
  </si>
  <si>
    <t>=U32-W32</t>
  </si>
  <si>
    <t>=IF(U32&lt;&gt;0,X32/U32,"")</t>
  </si>
  <si>
    <t>=NL("Sum","5802 Value Entry","150 Sales Amount (Expected)","41 Source Type",$C$5,"5 Source No.",$C32,"4 Item Ledger Entry Type",$C$4,"2 Item No.","@@"&amp;$F32,"3 Posting Date",Z$9)+NL("Sum","5802 Value Entry","17 Sales Amount (Actual)","41 Source Type",$C$5,"5 Source no.",$C32,"4 Item Ledger Entry Type",$C$4,"2 Item No.","@@"&amp;$F32,"3 Posting Date",Z$9)</t>
  </si>
  <si>
    <t>=-NL("Sum","5802 Value Entry","151 Cost Amount (Expected)","41 Source Type",$C$5,"5 Source No.",$C32,"4 Item Ledger Entry Type",$C$4,"2 Item No.","@@"&amp;$F32,"3 Posting Date",Z$9)-NL("Sum","5802 Value Entry","43 Cost Amount (Actual)","41 Source Type",$C$5,"5 Source no.",$C32,"4 Item Ledger Entry Type",$C$4,"2 Item No.","@@"&amp;$F32,"3 Posting Date",Z$9)</t>
  </si>
  <si>
    <t>=Z32-AB32</t>
  </si>
  <si>
    <t>=IF(Z32&lt;&gt;0,AC32/Z32,"")</t>
  </si>
  <si>
    <t>="C100025"</t>
  </si>
  <si>
    <t>=NL("Sum","5802 Value Entry","150 Sales Amount (Expected)","41 Source Type",$C$5,"5 Source No.",$C33,"4 Item Ledger Entry Type",$C$4,"2 Item No.","@@"&amp;$F33,"3 Posting Date",J$9)+NL("Sum","5802 Value Entry","17 Sales Amount (Actual)","41 Source Type",$C$5,"5 Source no.",$C33,"4 Item Ledger Entry Type",$C$4,"2 Item No.","@@"&amp;$F33,"3 Posting Date",J$9)</t>
  </si>
  <si>
    <t>=-NL("Sum","5802 Value Entry","151 Cost Amount (Expected)","41 Source Type",$C$5,"5 Source No.",$C33,"4 Item Ledger Entry Type",$C$4,"2 Item No.","@@"&amp;$F33,"3 Posting Date",J$9)-NL("Sum","5802 Value Entry","43 Cost Amount (Actual)","41 Source Type",$C$5,"5 Source no.",$C33,"4 Item Ledger Entry Type",$C$4,"2 Item No.","@@"&amp;$F33,"3 Posting Date",J$9)</t>
  </si>
  <si>
    <t>=J33-L33</t>
  </si>
  <si>
    <t>=IF(J33&lt;&gt;0,M33/J33,"")</t>
  </si>
  <si>
    <t>=NL("Sum","5802 Value Entry","150 Sales Amount (Expected)","41 Source Type",$C$5,"5 Source No.",$C33,"4 Item Ledger Entry Type",$C$4,"2 Item No.","@@"&amp;$F33,"3 Posting Date",O$9)+NL("Sum","5802 Value Entry","17 Sales Amount (Actual)","41 Source Type",$C$5,"5 Source no.",$C33,"4 Item Ledger Entry Type",$C$4,"2 Item No.","@@"&amp;$F33,"3 Posting Date",O$9)</t>
  </si>
  <si>
    <t>=-NL("Sum","5802 Value Entry","151 Cost Amount (Expected)","41 Source Type",$C$5,"5 Source No.",$C33,"4 Item Ledger Entry Type",$C$4,"2 Item No.","@@"&amp;$F33,"3 Posting Date",O$9)-NL("Sum","5802 Value Entry","43 Cost Amount (Actual)","41 Source Type",$C$5,"5 Source no.",$C33,"4 Item Ledger Entry Type",$C$4,"2 Item No.","@@"&amp;$F33,"3 Posting Date",O$9)</t>
  </si>
  <si>
    <t>=O33-Q33</t>
  </si>
  <si>
    <t>=IF(O33&lt;&gt;0,R33/O33,"")</t>
  </si>
  <si>
    <t>=NL("Sum","5802 Value Entry","150 Sales Amount (Expected)","41 Source Type",$C$5,"5 Source No.",$C33,"4 Item Ledger Entry Type",$C$4,"2 Item No.","@@"&amp;$F33,"3 Posting Date",U$9)+NL("Sum","5802 Value Entry","17 Sales Amount (Actual)","41 Source Type",$C$5,"5 Source no.",$C33,"4 Item Ledger Entry Type",$C$4,"2 Item No.","@@"&amp;$F33,"3 Posting Date",U$9)</t>
  </si>
  <si>
    <t>=-NL("Sum","5802 Value Entry","151 Cost Amount (Expected)","41 Source Type",$C$5,"5 Source No.",$C33,"4 Item Ledger Entry Type",$C$4,"2 Item No.","@@"&amp;$F33,"3 Posting Date",U$9)-NL("Sum","5802 Value Entry","43 Cost Amount (Actual)","41 Source Type",$C$5,"5 Source no.",$C33,"4 Item Ledger Entry Type",$C$4,"2 Item No.","@@"&amp;$F33,"3 Posting Date",U$9)</t>
  </si>
  <si>
    <t>=U33-W33</t>
  </si>
  <si>
    <t>=IF(U33&lt;&gt;0,X33/U33,"")</t>
  </si>
  <si>
    <t>=NL("Sum","5802 Value Entry","150 Sales Amount (Expected)","41 Source Type",$C$5,"5 Source No.",$C33,"4 Item Ledger Entry Type",$C$4,"2 Item No.","@@"&amp;$F33,"3 Posting Date",Z$9)+NL("Sum","5802 Value Entry","17 Sales Amount (Actual)","41 Source Type",$C$5,"5 Source no.",$C33,"4 Item Ledger Entry Type",$C$4,"2 Item No.","@@"&amp;$F33,"3 Posting Date",Z$9)</t>
  </si>
  <si>
    <t>=-NL("Sum","5802 Value Entry","151 Cost Amount (Expected)","41 Source Type",$C$5,"5 Source No.",$C33,"4 Item Ledger Entry Type",$C$4,"2 Item No.","@@"&amp;$F33,"3 Posting Date",Z$9)-NL("Sum","5802 Value Entry","43 Cost Amount (Actual)","41 Source Type",$C$5,"5 Source no.",$C33,"4 Item Ledger Entry Type",$C$4,"2 Item No.","@@"&amp;$F33,"3 Posting Date",Z$9)</t>
  </si>
  <si>
    <t>=Z33-AB33</t>
  </si>
  <si>
    <t>=IF(Z33&lt;&gt;0,AC33/Z33,"")</t>
  </si>
  <si>
    <t>="C100026"</t>
  </si>
  <si>
    <t>=NL("Sum","5802 Value Entry","150 Sales Amount (Expected)","41 Source Type",$C$5,"5 Source No.",$C34,"4 Item Ledger Entry Type",$C$4,"2 Item No.","@@"&amp;$F34,"3 Posting Date",J$9)+NL("Sum","5802 Value Entry","17 Sales Amount (Actual)","41 Source Type",$C$5,"5 Source no.",$C34,"4 Item Ledger Entry Type",$C$4,"2 Item No.","@@"&amp;$F34,"3 Posting Date",J$9)</t>
  </si>
  <si>
    <t>=-NL("Sum","5802 Value Entry","151 Cost Amount (Expected)","41 Source Type",$C$5,"5 Source No.",$C34,"4 Item Ledger Entry Type",$C$4,"2 Item No.","@@"&amp;$F34,"3 Posting Date",J$9)-NL("Sum","5802 Value Entry","43 Cost Amount (Actual)","41 Source Type",$C$5,"5 Source no.",$C34,"4 Item Ledger Entry Type",$C$4,"2 Item No.","@@"&amp;$F34,"3 Posting Date",J$9)</t>
  </si>
  <si>
    <t>=NL("Sum","5802 Value Entry","150 Sales Amount (Expected)","41 Source Type",$C$5,"5 Source No.",$C34,"4 Item Ledger Entry Type",$C$4,"2 Item No.","@@"&amp;$F34,"3 Posting Date",O$9)+NL("Sum","5802 Value Entry","17 Sales Amount (Actual)","41 Source Type",$C$5,"5 Source no.",$C34,"4 Item Ledger Entry Type",$C$4,"2 Item No.","@@"&amp;$F34,"3 Posting Date",O$9)</t>
  </si>
  <si>
    <t>=-NL("Sum","5802 Value Entry","151 Cost Amount (Expected)","41 Source Type",$C$5,"5 Source No.",$C34,"4 Item Ledger Entry Type",$C$4,"2 Item No.","@@"&amp;$F34,"3 Posting Date",O$9)-NL("Sum","5802 Value Entry","43 Cost Amount (Actual)","41 Source Type",$C$5,"5 Source no.",$C34,"4 Item Ledger Entry Type",$C$4,"2 Item No.","@@"&amp;$F34,"3 Posting Date",O$9)</t>
  </si>
  <si>
    <t>=NL("Sum","5802 Value Entry","150 Sales Amount (Expected)","41 Source Type",$C$5,"5 Source No.",$C34,"4 Item Ledger Entry Type",$C$4,"2 Item No.","@@"&amp;$F34,"3 Posting Date",U$9)+NL("Sum","5802 Value Entry","17 Sales Amount (Actual)","41 Source Type",$C$5,"5 Source no.",$C34,"4 Item Ledger Entry Type",$C$4,"2 Item No.","@@"&amp;$F34,"3 Posting Date",U$9)</t>
  </si>
  <si>
    <t>=-NL("Sum","5802 Value Entry","151 Cost Amount (Expected)","41 Source Type",$C$5,"5 Source No.",$C34,"4 Item Ledger Entry Type",$C$4,"2 Item No.","@@"&amp;$F34,"3 Posting Date",U$9)-NL("Sum","5802 Value Entry","43 Cost Amount (Actual)","41 Source Type",$C$5,"5 Source no.",$C34,"4 Item Ledger Entry Type",$C$4,"2 Item No.","@@"&amp;$F34,"3 Posting Date",U$9)</t>
  </si>
  <si>
    <t>=NL("Sum","5802 Value Entry","150 Sales Amount (Expected)","41 Source Type",$C$5,"5 Source No.",$C34,"4 Item Ledger Entry Type",$C$4,"2 Item No.","@@"&amp;$F34,"3 Posting Date",Z$9)+NL("Sum","5802 Value Entry","17 Sales Amount (Actual)","41 Source Type",$C$5,"5 Source no.",$C34,"4 Item Ledger Entry Type",$C$4,"2 Item No.","@@"&amp;$F34,"3 Posting Date",Z$9)</t>
  </si>
  <si>
    <t>=-NL("Sum","5802 Value Entry","151 Cost Amount (Expected)","41 Source Type",$C$5,"5 Source No.",$C34,"4 Item Ledger Entry Type",$C$4,"2 Item No.","@@"&amp;$F34,"3 Posting Date",Z$9)-NL("Sum","5802 Value Entry","43 Cost Amount (Actual)","41 Source Type",$C$5,"5 Source no.",$C34,"4 Item Ledger Entry Type",$C$4,"2 Item No.","@@"&amp;$F34,"3 Posting Date",Z$9)</t>
  </si>
  <si>
    <t>="C100027"</t>
  </si>
  <si>
    <t>=NL("Sum","5802 Value Entry","150 Sales Amount (Expected)","41 Source Type",$C$5,"5 Source No.",$C35,"4 Item Ledger Entry Type",$C$4,"2 Item No.","@@"&amp;$F35,"3 Posting Date",J$9)+NL("Sum","5802 Value Entry","17 Sales Amount (Actual)","41 Source Type",$C$5,"5 Source no.",$C35,"4 Item Ledger Entry Type",$C$4,"2 Item No.","@@"&amp;$F35,"3 Posting Date",J$9)</t>
  </si>
  <si>
    <t>=-NL("Sum","5802 Value Entry","151 Cost Amount (Expected)","41 Source Type",$C$5,"5 Source No.",$C35,"4 Item Ledger Entry Type",$C$4,"2 Item No.","@@"&amp;$F35,"3 Posting Date",J$9)-NL("Sum","5802 Value Entry","43 Cost Amount (Actual)","41 Source Type",$C$5,"5 Source no.",$C35,"4 Item Ledger Entry Type",$C$4,"2 Item No.","@@"&amp;$F35,"3 Posting Date",J$9)</t>
  </si>
  <si>
    <t>=J35-L35</t>
  </si>
  <si>
    <t>=IF(J35&lt;&gt;0,M35/J35,"")</t>
  </si>
  <si>
    <t>=NL("Sum","5802 Value Entry","150 Sales Amount (Expected)","41 Source Type",$C$5,"5 Source No.",$C35,"4 Item Ledger Entry Type",$C$4,"2 Item No.","@@"&amp;$F35,"3 Posting Date",O$9)+NL("Sum","5802 Value Entry","17 Sales Amount (Actual)","41 Source Type",$C$5,"5 Source no.",$C35,"4 Item Ledger Entry Type",$C$4,"2 Item No.","@@"&amp;$F35,"3 Posting Date",O$9)</t>
  </si>
  <si>
    <t>=-NL("Sum","5802 Value Entry","151 Cost Amount (Expected)","41 Source Type",$C$5,"5 Source No.",$C35,"4 Item Ledger Entry Type",$C$4,"2 Item No.","@@"&amp;$F35,"3 Posting Date",O$9)-NL("Sum","5802 Value Entry","43 Cost Amount (Actual)","41 Source Type",$C$5,"5 Source no.",$C35,"4 Item Ledger Entry Type",$C$4,"2 Item No.","@@"&amp;$F35,"3 Posting Date",O$9)</t>
  </si>
  <si>
    <t>=O35-Q35</t>
  </si>
  <si>
    <t>=IF(O35&lt;&gt;0,R35/O35,"")</t>
  </si>
  <si>
    <t>=NL("Sum","5802 Value Entry","150 Sales Amount (Expected)","41 Source Type",$C$5,"5 Source No.",$C35,"4 Item Ledger Entry Type",$C$4,"2 Item No.","@@"&amp;$F35,"3 Posting Date",U$9)+NL("Sum","5802 Value Entry","17 Sales Amount (Actual)","41 Source Type",$C$5,"5 Source no.",$C35,"4 Item Ledger Entry Type",$C$4,"2 Item No.","@@"&amp;$F35,"3 Posting Date",U$9)</t>
  </si>
  <si>
    <t>=-NL("Sum","5802 Value Entry","151 Cost Amount (Expected)","41 Source Type",$C$5,"5 Source No.",$C35,"4 Item Ledger Entry Type",$C$4,"2 Item No.","@@"&amp;$F35,"3 Posting Date",U$9)-NL("Sum","5802 Value Entry","43 Cost Amount (Actual)","41 Source Type",$C$5,"5 Source no.",$C35,"4 Item Ledger Entry Type",$C$4,"2 Item No.","@@"&amp;$F35,"3 Posting Date",U$9)</t>
  </si>
  <si>
    <t>=U35-W35</t>
  </si>
  <si>
    <t>=IF(U35&lt;&gt;0,X35/U35,"")</t>
  </si>
  <si>
    <t>=NL("Sum","5802 Value Entry","150 Sales Amount (Expected)","41 Source Type",$C$5,"5 Source No.",$C35,"4 Item Ledger Entry Type",$C$4,"2 Item No.","@@"&amp;$F35,"3 Posting Date",Z$9)+NL("Sum","5802 Value Entry","17 Sales Amount (Actual)","41 Source Type",$C$5,"5 Source no.",$C35,"4 Item Ledger Entry Type",$C$4,"2 Item No.","@@"&amp;$F35,"3 Posting Date",Z$9)</t>
  </si>
  <si>
    <t>=-NL("Sum","5802 Value Entry","151 Cost Amount (Expected)","41 Source Type",$C$5,"5 Source No.",$C35,"4 Item Ledger Entry Type",$C$4,"2 Item No.","@@"&amp;$F35,"3 Posting Date",Z$9)-NL("Sum","5802 Value Entry","43 Cost Amount (Actual)","41 Source Type",$C$5,"5 Source no.",$C35,"4 Item Ledger Entry Type",$C$4,"2 Item No.","@@"&amp;$F35,"3 Posting Date",Z$9)</t>
  </si>
  <si>
    <t>=Z35-AB35</t>
  </si>
  <si>
    <t>=IF(Z35&lt;&gt;0,AC35/Z35,"")</t>
  </si>
  <si>
    <t>="C100028"</t>
  </si>
  <si>
    <t>=NL("Sum","5802 Value Entry","150 Sales Amount (Expected)","41 Source Type",$C$5,"5 Source No.",$C36,"4 Item Ledger Entry Type",$C$4,"2 Item No.","@@"&amp;$F36,"3 Posting Date",J$9)+NL("Sum","5802 Value Entry","17 Sales Amount (Actual)","41 Source Type",$C$5,"5 Source no.",$C36,"4 Item Ledger Entry Type",$C$4,"2 Item No.","@@"&amp;$F36,"3 Posting Date",J$9)</t>
  </si>
  <si>
    <t>=-NL("Sum","5802 Value Entry","151 Cost Amount (Expected)","41 Source Type",$C$5,"5 Source No.",$C36,"4 Item Ledger Entry Type",$C$4,"2 Item No.","@@"&amp;$F36,"3 Posting Date",J$9)-NL("Sum","5802 Value Entry","43 Cost Amount (Actual)","41 Source Type",$C$5,"5 Source no.",$C36,"4 Item Ledger Entry Type",$C$4,"2 Item No.","@@"&amp;$F36,"3 Posting Date",J$9)</t>
  </si>
  <si>
    <t>=NL("Sum","5802 Value Entry","150 Sales Amount (Expected)","41 Source Type",$C$5,"5 Source No.",$C36,"4 Item Ledger Entry Type",$C$4,"2 Item No.","@@"&amp;$F36,"3 Posting Date",O$9)+NL("Sum","5802 Value Entry","17 Sales Amount (Actual)","41 Source Type",$C$5,"5 Source no.",$C36,"4 Item Ledger Entry Type",$C$4,"2 Item No.","@@"&amp;$F36,"3 Posting Date",O$9)</t>
  </si>
  <si>
    <t>=-NL("Sum","5802 Value Entry","151 Cost Amount (Expected)","41 Source Type",$C$5,"5 Source No.",$C36,"4 Item Ledger Entry Type",$C$4,"2 Item No.","@@"&amp;$F36,"3 Posting Date",O$9)-NL("Sum","5802 Value Entry","43 Cost Amount (Actual)","41 Source Type",$C$5,"5 Source no.",$C36,"4 Item Ledger Entry Type",$C$4,"2 Item No.","@@"&amp;$F36,"3 Posting Date",O$9)</t>
  </si>
  <si>
    <t>=NL("Sum","5802 Value Entry","150 Sales Amount (Expected)","41 Source Type",$C$5,"5 Source No.",$C36,"4 Item Ledger Entry Type",$C$4,"2 Item No.","@@"&amp;$F36,"3 Posting Date",U$9)+NL("Sum","5802 Value Entry","17 Sales Amount (Actual)","41 Source Type",$C$5,"5 Source no.",$C36,"4 Item Ledger Entry Type",$C$4,"2 Item No.","@@"&amp;$F36,"3 Posting Date",U$9)</t>
  </si>
  <si>
    <t>=-NL("Sum","5802 Value Entry","151 Cost Amount (Expected)","41 Source Type",$C$5,"5 Source No.",$C36,"4 Item Ledger Entry Type",$C$4,"2 Item No.","@@"&amp;$F36,"3 Posting Date",U$9)-NL("Sum","5802 Value Entry","43 Cost Amount (Actual)","41 Source Type",$C$5,"5 Source no.",$C36,"4 Item Ledger Entry Type",$C$4,"2 Item No.","@@"&amp;$F36,"3 Posting Date",U$9)</t>
  </si>
  <si>
    <t>=NL("Sum","5802 Value Entry","150 Sales Amount (Expected)","41 Source Type",$C$5,"5 Source No.",$C36,"4 Item Ledger Entry Type",$C$4,"2 Item No.","@@"&amp;$F36,"3 Posting Date",Z$9)+NL("Sum","5802 Value Entry","17 Sales Amount (Actual)","41 Source Type",$C$5,"5 Source no.",$C36,"4 Item Ledger Entry Type",$C$4,"2 Item No.","@@"&amp;$F36,"3 Posting Date",Z$9)</t>
  </si>
  <si>
    <t>=-NL("Sum","5802 Value Entry","151 Cost Amount (Expected)","41 Source Type",$C$5,"5 Source No.",$C36,"4 Item Ledger Entry Type",$C$4,"2 Item No.","@@"&amp;$F36,"3 Posting Date",Z$9)-NL("Sum","5802 Value Entry","43 Cost Amount (Actual)","41 Source Type",$C$5,"5 Source no.",$C36,"4 Item Ledger Entry Type",$C$4,"2 Item No.","@@"&amp;$F36,"3 Posting Date",Z$9)</t>
  </si>
  <si>
    <t>=C36</t>
  </si>
  <si>
    <t>="C100029"</t>
  </si>
  <si>
    <t>=NL("Sum","5802 Value Entry","150 Sales Amount (Expected)","41 Source Type",$C$5,"5 Source No.",$C37,"4 Item Ledger Entry Type",$C$4,"2 Item No.","@@"&amp;$F37,"3 Posting Date",J$9)+NL("Sum","5802 Value Entry","17 Sales Amount (Actual)","41 Source Type",$C$5,"5 Source no.",$C37,"4 Item Ledger Entry Type",$C$4,"2 Item No.","@@"&amp;$F37,"3 Posting Date",J$9)</t>
  </si>
  <si>
    <t>=-NL("Sum","5802 Value Entry","151 Cost Amount (Expected)","41 Source Type",$C$5,"5 Source No.",$C37,"4 Item Ledger Entry Type",$C$4,"2 Item No.","@@"&amp;$F37,"3 Posting Date",J$9)-NL("Sum","5802 Value Entry","43 Cost Amount (Actual)","41 Source Type",$C$5,"5 Source no.",$C37,"4 Item Ledger Entry Type",$C$4,"2 Item No.","@@"&amp;$F37,"3 Posting Date",J$9)</t>
  </si>
  <si>
    <t>=J37-L37</t>
  </si>
  <si>
    <t>=IF(J37&lt;&gt;0,M37/J37,"")</t>
  </si>
  <si>
    <t>=NL("Sum","5802 Value Entry","150 Sales Amount (Expected)","41 Source Type",$C$5,"5 Source No.",$C37,"4 Item Ledger Entry Type",$C$4,"2 Item No.","@@"&amp;$F37,"3 Posting Date",O$9)+NL("Sum","5802 Value Entry","17 Sales Amount (Actual)","41 Source Type",$C$5,"5 Source no.",$C37,"4 Item Ledger Entry Type",$C$4,"2 Item No.","@@"&amp;$F37,"3 Posting Date",O$9)</t>
  </si>
  <si>
    <t>=-NL("Sum","5802 Value Entry","151 Cost Amount (Expected)","41 Source Type",$C$5,"5 Source No.",$C37,"4 Item Ledger Entry Type",$C$4,"2 Item No.","@@"&amp;$F37,"3 Posting Date",O$9)-NL("Sum","5802 Value Entry","43 Cost Amount (Actual)","41 Source Type",$C$5,"5 Source no.",$C37,"4 Item Ledger Entry Type",$C$4,"2 Item No.","@@"&amp;$F37,"3 Posting Date",O$9)</t>
  </si>
  <si>
    <t>=O37-Q37</t>
  </si>
  <si>
    <t>=IF(O37&lt;&gt;0,R37/O37,"")</t>
  </si>
  <si>
    <t>=NL("Sum","5802 Value Entry","150 Sales Amount (Expected)","41 Source Type",$C$5,"5 Source No.",$C37,"4 Item Ledger Entry Type",$C$4,"2 Item No.","@@"&amp;$F37,"3 Posting Date",U$9)+NL("Sum","5802 Value Entry","17 Sales Amount (Actual)","41 Source Type",$C$5,"5 Source no.",$C37,"4 Item Ledger Entry Type",$C$4,"2 Item No.","@@"&amp;$F37,"3 Posting Date",U$9)</t>
  </si>
  <si>
    <t>=-NL("Sum","5802 Value Entry","151 Cost Amount (Expected)","41 Source Type",$C$5,"5 Source No.",$C37,"4 Item Ledger Entry Type",$C$4,"2 Item No.","@@"&amp;$F37,"3 Posting Date",U$9)-NL("Sum","5802 Value Entry","43 Cost Amount (Actual)","41 Source Type",$C$5,"5 Source no.",$C37,"4 Item Ledger Entry Type",$C$4,"2 Item No.","@@"&amp;$F37,"3 Posting Date",U$9)</t>
  </si>
  <si>
    <t>=U37-W37</t>
  </si>
  <si>
    <t>=IF(U37&lt;&gt;0,X37/U37,"")</t>
  </si>
  <si>
    <t>=NL("Sum","5802 Value Entry","150 Sales Amount (Expected)","41 Source Type",$C$5,"5 Source No.",$C37,"4 Item Ledger Entry Type",$C$4,"2 Item No.","@@"&amp;$F37,"3 Posting Date",Z$9)+NL("Sum","5802 Value Entry","17 Sales Amount (Actual)","41 Source Type",$C$5,"5 Source no.",$C37,"4 Item Ledger Entry Type",$C$4,"2 Item No.","@@"&amp;$F37,"3 Posting Date",Z$9)</t>
  </si>
  <si>
    <t>=-NL("Sum","5802 Value Entry","151 Cost Amount (Expected)","41 Source Type",$C$5,"5 Source No.",$C37,"4 Item Ledger Entry Type",$C$4,"2 Item No.","@@"&amp;$F37,"3 Posting Date",Z$9)-NL("Sum","5802 Value Entry","43 Cost Amount (Actual)","41 Source Type",$C$5,"5 Source no.",$C37,"4 Item Ledger Entry Type",$C$4,"2 Item No.","@@"&amp;$F37,"3 Posting Date",Z$9)</t>
  </si>
  <si>
    <t>=Z37-AB37</t>
  </si>
  <si>
    <t>=IF(Z37&lt;&gt;0,AC37/Z37,"")</t>
  </si>
  <si>
    <t>=C37</t>
  </si>
  <si>
    <t>="C100030"</t>
  </si>
  <si>
    <t>=NL("Sum","5802 Value Entry","150 Sales Amount (Expected)","41 Source Type",$C$5,"5 Source No.",$C38,"4 Item Ledger Entry Type",$C$4,"2 Item No.","@@"&amp;$F38,"3 Posting Date",J$9)+NL("Sum","5802 Value Entry","17 Sales Amount (Actual)","41 Source Type",$C$5,"5 Source no.",$C38,"4 Item Ledger Entry Type",$C$4,"2 Item No.","@@"&amp;$F38,"3 Posting Date",J$9)</t>
  </si>
  <si>
    <t>=-NL("Sum","5802 Value Entry","151 Cost Amount (Expected)","41 Source Type",$C$5,"5 Source No.",$C38,"4 Item Ledger Entry Type",$C$4,"2 Item No.","@@"&amp;$F38,"3 Posting Date",J$9)-NL("Sum","5802 Value Entry","43 Cost Amount (Actual)","41 Source Type",$C$5,"5 Source no.",$C38,"4 Item Ledger Entry Type",$C$4,"2 Item No.","@@"&amp;$F38,"3 Posting Date",J$9)</t>
  </si>
  <si>
    <t>=J38-L38</t>
  </si>
  <si>
    <t>=IF(J38&lt;&gt;0,M38/J38,"")</t>
  </si>
  <si>
    <t>=NL("Sum","5802 Value Entry","150 Sales Amount (Expected)","41 Source Type",$C$5,"5 Source No.",$C38,"4 Item Ledger Entry Type",$C$4,"2 Item No.","@@"&amp;$F38,"3 Posting Date",O$9)+NL("Sum","5802 Value Entry","17 Sales Amount (Actual)","41 Source Type",$C$5,"5 Source no.",$C38,"4 Item Ledger Entry Type",$C$4,"2 Item No.","@@"&amp;$F38,"3 Posting Date",O$9)</t>
  </si>
  <si>
    <t>=-NL("Sum","5802 Value Entry","151 Cost Amount (Expected)","41 Source Type",$C$5,"5 Source No.",$C38,"4 Item Ledger Entry Type",$C$4,"2 Item No.","@@"&amp;$F38,"3 Posting Date",O$9)-NL("Sum","5802 Value Entry","43 Cost Amount (Actual)","41 Source Type",$C$5,"5 Source no.",$C38,"4 Item Ledger Entry Type",$C$4,"2 Item No.","@@"&amp;$F38,"3 Posting Date",O$9)</t>
  </si>
  <si>
    <t>=O38-Q38</t>
  </si>
  <si>
    <t>=IF(O38&lt;&gt;0,R38/O38,"")</t>
  </si>
  <si>
    <t>=NL("Sum","5802 Value Entry","150 Sales Amount (Expected)","41 Source Type",$C$5,"5 Source No.",$C38,"4 Item Ledger Entry Type",$C$4,"2 Item No.","@@"&amp;$F38,"3 Posting Date",U$9)+NL("Sum","5802 Value Entry","17 Sales Amount (Actual)","41 Source Type",$C$5,"5 Source no.",$C38,"4 Item Ledger Entry Type",$C$4,"2 Item No.","@@"&amp;$F38,"3 Posting Date",U$9)</t>
  </si>
  <si>
    <t>=-NL("Sum","5802 Value Entry","151 Cost Amount (Expected)","41 Source Type",$C$5,"5 Source No.",$C38,"4 Item Ledger Entry Type",$C$4,"2 Item No.","@@"&amp;$F38,"3 Posting Date",U$9)-NL("Sum","5802 Value Entry","43 Cost Amount (Actual)","41 Source Type",$C$5,"5 Source no.",$C38,"4 Item Ledger Entry Type",$C$4,"2 Item No.","@@"&amp;$F38,"3 Posting Date",U$9)</t>
  </si>
  <si>
    <t>=U38-W38</t>
  </si>
  <si>
    <t>=IF(U38&lt;&gt;0,X38/U38,"")</t>
  </si>
  <si>
    <t>=NL("Sum","5802 Value Entry","150 Sales Amount (Expected)","41 Source Type",$C$5,"5 Source No.",$C38,"4 Item Ledger Entry Type",$C$4,"2 Item No.","@@"&amp;$F38,"3 Posting Date",Z$9)+NL("Sum","5802 Value Entry","17 Sales Amount (Actual)","41 Source Type",$C$5,"5 Source no.",$C38,"4 Item Ledger Entry Type",$C$4,"2 Item No.","@@"&amp;$F38,"3 Posting Date",Z$9)</t>
  </si>
  <si>
    <t>=-NL("Sum","5802 Value Entry","151 Cost Amount (Expected)","41 Source Type",$C$5,"5 Source No.",$C38,"4 Item Ledger Entry Type",$C$4,"2 Item No.","@@"&amp;$F38,"3 Posting Date",Z$9)-NL("Sum","5802 Value Entry","43 Cost Amount (Actual)","41 Source Type",$C$5,"5 Source no.",$C38,"4 Item Ledger Entry Type",$C$4,"2 Item No.","@@"&amp;$F38,"3 Posting Date",Z$9)</t>
  </si>
  <si>
    <t>=Z38-AB38</t>
  </si>
  <si>
    <t>=IF(Z38&lt;&gt;0,AC38/Z38,"")</t>
  </si>
  <si>
    <t>=NL("Sum","5802 Value Entry","150 Sales Amount (Expected)","41 Source Type",$C$5,"5 Source No.",$C39,"4 Item Ledger Entry Type",$C$4,"2 Item No.","@@"&amp;$F39,"3 Posting Date",J$9)+NL("Sum","5802 Value Entry","17 Sales Amount (Actual)","41 Source Type",$C$5,"5 Source no.",$C39,"4 Item Ledger Entry Type",$C$4,"2 Item No.","@@"&amp;$F39,"3 Posting Date",J$9)</t>
  </si>
  <si>
    <t>=-NL("Sum","5802 Value Entry","151 Cost Amount (Expected)","41 Source Type",$C$5,"5 Source No.",$C39,"4 Item Ledger Entry Type",$C$4,"2 Item No.","@@"&amp;$F39,"3 Posting Date",J$9)-NL("Sum","5802 Value Entry","43 Cost Amount (Actual)","41 Source Type",$C$5,"5 Source no.",$C39,"4 Item Ledger Entry Type",$C$4,"2 Item No.","@@"&amp;$F39,"3 Posting Date",J$9)</t>
  </si>
  <si>
    <t>=J39-L39</t>
  </si>
  <si>
    <t>=IF(J39&lt;&gt;0,M39/J39,"")</t>
  </si>
  <si>
    <t>=NL("Sum","5802 Value Entry","150 Sales Amount (Expected)","41 Source Type",$C$5,"5 Source No.",$C39,"4 Item Ledger Entry Type",$C$4,"2 Item No.","@@"&amp;$F39,"3 Posting Date",O$9)+NL("Sum","5802 Value Entry","17 Sales Amount (Actual)","41 Source Type",$C$5,"5 Source no.",$C39,"4 Item Ledger Entry Type",$C$4,"2 Item No.","@@"&amp;$F39,"3 Posting Date",O$9)</t>
  </si>
  <si>
    <t>=-NL("Sum","5802 Value Entry","151 Cost Amount (Expected)","41 Source Type",$C$5,"5 Source No.",$C39,"4 Item Ledger Entry Type",$C$4,"2 Item No.","@@"&amp;$F39,"3 Posting Date",O$9)-NL("Sum","5802 Value Entry","43 Cost Amount (Actual)","41 Source Type",$C$5,"5 Source no.",$C39,"4 Item Ledger Entry Type",$C$4,"2 Item No.","@@"&amp;$F39,"3 Posting Date",O$9)</t>
  </si>
  <si>
    <t>=O39-Q39</t>
  </si>
  <si>
    <t>=IF(O39&lt;&gt;0,R39/O39,"")</t>
  </si>
  <si>
    <t>=NL("Sum","5802 Value Entry","150 Sales Amount (Expected)","41 Source Type",$C$5,"5 Source No.",$C39,"4 Item Ledger Entry Type",$C$4,"2 Item No.","@@"&amp;$F39,"3 Posting Date",U$9)+NL("Sum","5802 Value Entry","17 Sales Amount (Actual)","41 Source Type",$C$5,"5 Source no.",$C39,"4 Item Ledger Entry Type",$C$4,"2 Item No.","@@"&amp;$F39,"3 Posting Date",U$9)</t>
  </si>
  <si>
    <t>=-NL("Sum","5802 Value Entry","151 Cost Amount (Expected)","41 Source Type",$C$5,"5 Source No.",$C39,"4 Item Ledger Entry Type",$C$4,"2 Item No.","@@"&amp;$F39,"3 Posting Date",U$9)-NL("Sum","5802 Value Entry","43 Cost Amount (Actual)","41 Source Type",$C$5,"5 Source no.",$C39,"4 Item Ledger Entry Type",$C$4,"2 Item No.","@@"&amp;$F39,"3 Posting Date",U$9)</t>
  </si>
  <si>
    <t>=U39-W39</t>
  </si>
  <si>
    <t>=IF(U39&lt;&gt;0,X39/U39,"")</t>
  </si>
  <si>
    <t>=NL("Sum","5802 Value Entry","150 Sales Amount (Expected)","41 Source Type",$C$5,"5 Source No.",$C39,"4 Item Ledger Entry Type",$C$4,"2 Item No.","@@"&amp;$F39,"3 Posting Date",Z$9)+NL("Sum","5802 Value Entry","17 Sales Amount (Actual)","41 Source Type",$C$5,"5 Source no.",$C39,"4 Item Ledger Entry Type",$C$4,"2 Item No.","@@"&amp;$F39,"3 Posting Date",Z$9)</t>
  </si>
  <si>
    <t>=-NL("Sum","5802 Value Entry","151 Cost Amount (Expected)","41 Source Type",$C$5,"5 Source No.",$C39,"4 Item Ledger Entry Type",$C$4,"2 Item No.","@@"&amp;$F39,"3 Posting Date",Z$9)-NL("Sum","5802 Value Entry","43 Cost Amount (Actual)","41 Source Type",$C$5,"5 Source no.",$C39,"4 Item Ledger Entry Type",$C$4,"2 Item No.","@@"&amp;$F39,"3 Posting Date",Z$9)</t>
  </si>
  <si>
    <t>=Z39-AB39</t>
  </si>
  <si>
    <t>=IF(Z39&lt;&gt;0,AC39/Z39,"")</t>
  </si>
  <si>
    <t>="C100032"</t>
  </si>
  <si>
    <t>=NL("Sum","5802 Value Entry","150 Sales Amount (Expected)","41 Source Type",$C$5,"5 Source No.",$C40,"4 Item Ledger Entry Type",$C$4,"2 Item No.","@@"&amp;$F40,"3 Posting Date",J$9)+NL("Sum","5802 Value Entry","17 Sales Amount (Actual)","41 Source Type",$C$5,"5 Source no.",$C40,"4 Item Ledger Entry Type",$C$4,"2 Item No.","@@"&amp;$F40,"3 Posting Date",J$9)</t>
  </si>
  <si>
    <t>=-NL("Sum","5802 Value Entry","151 Cost Amount (Expected)","41 Source Type",$C$5,"5 Source No.",$C40,"4 Item Ledger Entry Type",$C$4,"2 Item No.","@@"&amp;$F40,"3 Posting Date",J$9)-NL("Sum","5802 Value Entry","43 Cost Amount (Actual)","41 Source Type",$C$5,"5 Source no.",$C40,"4 Item Ledger Entry Type",$C$4,"2 Item No.","@@"&amp;$F40,"3 Posting Date",J$9)</t>
  </si>
  <si>
    <t>=NL("Sum","5802 Value Entry","150 Sales Amount (Expected)","41 Source Type",$C$5,"5 Source No.",$C40,"4 Item Ledger Entry Type",$C$4,"2 Item No.","@@"&amp;$F40,"3 Posting Date",O$9)+NL("Sum","5802 Value Entry","17 Sales Amount (Actual)","41 Source Type",$C$5,"5 Source no.",$C40,"4 Item Ledger Entry Type",$C$4,"2 Item No.","@@"&amp;$F40,"3 Posting Date",O$9)</t>
  </si>
  <si>
    <t>=-NL("Sum","5802 Value Entry","151 Cost Amount (Expected)","41 Source Type",$C$5,"5 Source No.",$C40,"4 Item Ledger Entry Type",$C$4,"2 Item No.","@@"&amp;$F40,"3 Posting Date",O$9)-NL("Sum","5802 Value Entry","43 Cost Amount (Actual)","41 Source Type",$C$5,"5 Source no.",$C40,"4 Item Ledger Entry Type",$C$4,"2 Item No.","@@"&amp;$F40,"3 Posting Date",O$9)</t>
  </si>
  <si>
    <t>=NL("Sum","5802 Value Entry","150 Sales Amount (Expected)","41 Source Type",$C$5,"5 Source No.",$C40,"4 Item Ledger Entry Type",$C$4,"2 Item No.","@@"&amp;$F40,"3 Posting Date",U$9)+NL("Sum","5802 Value Entry","17 Sales Amount (Actual)","41 Source Type",$C$5,"5 Source no.",$C40,"4 Item Ledger Entry Type",$C$4,"2 Item No.","@@"&amp;$F40,"3 Posting Date",U$9)</t>
  </si>
  <si>
    <t>=-NL("Sum","5802 Value Entry","151 Cost Amount (Expected)","41 Source Type",$C$5,"5 Source No.",$C40,"4 Item Ledger Entry Type",$C$4,"2 Item No.","@@"&amp;$F40,"3 Posting Date",U$9)-NL("Sum","5802 Value Entry","43 Cost Amount (Actual)","41 Source Type",$C$5,"5 Source no.",$C40,"4 Item Ledger Entry Type",$C$4,"2 Item No.","@@"&amp;$F40,"3 Posting Date",U$9)</t>
  </si>
  <si>
    <t>=NL("Sum","5802 Value Entry","150 Sales Amount (Expected)","41 Source Type",$C$5,"5 Source No.",$C40,"4 Item Ledger Entry Type",$C$4,"2 Item No.","@@"&amp;$F40,"3 Posting Date",Z$9)+NL("Sum","5802 Value Entry","17 Sales Amount (Actual)","41 Source Type",$C$5,"5 Source no.",$C40,"4 Item Ledger Entry Type",$C$4,"2 Item No.","@@"&amp;$F40,"3 Posting Date",Z$9)</t>
  </si>
  <si>
    <t>=-NL("Sum","5802 Value Entry","151 Cost Amount (Expected)","41 Source Type",$C$5,"5 Source No.",$C40,"4 Item Ledger Entry Type",$C$4,"2 Item No.","@@"&amp;$F40,"3 Posting Date",Z$9)-NL("Sum","5802 Value Entry","43 Cost Amount (Actual)","41 Source Type",$C$5,"5 Source no.",$C40,"4 Item Ledger Entry Type",$C$4,"2 Item No.","@@"&amp;$F40,"3 Posting Date",Z$9)</t>
  </si>
  <si>
    <t>="E100001"</t>
  </si>
  <si>
    <t>=NL("Sum","5802 Value Entry","150 Sales Amount (Expected)","41 Source Type",$C$5,"5 Source No.",$C41,"4 Item Ledger Entry Type",$C$4,"2 Item No.","@@"&amp;$F41,"3 Posting Date",J$9)+NL("Sum","5802 Value Entry","17 Sales Amount (Actual)","41 Source Type",$C$5,"5 Source no.",$C41,"4 Item Ledger Entry Type",$C$4,"2 Item No.","@@"&amp;$F41,"3 Posting Date",J$9)</t>
  </si>
  <si>
    <t>=-NL("Sum","5802 Value Entry","151 Cost Amount (Expected)","41 Source Type",$C$5,"5 Source No.",$C41,"4 Item Ledger Entry Type",$C$4,"2 Item No.","@@"&amp;$F41,"3 Posting Date",J$9)-NL("Sum","5802 Value Entry","43 Cost Amount (Actual)","41 Source Type",$C$5,"5 Source no.",$C41,"4 Item Ledger Entry Type",$C$4,"2 Item No.","@@"&amp;$F41,"3 Posting Date",J$9)</t>
  </si>
  <si>
    <t>=J41-L41</t>
  </si>
  <si>
    <t>=IF(J41&lt;&gt;0,M41/J41,"")</t>
  </si>
  <si>
    <t>=NL("Sum","5802 Value Entry","150 Sales Amount (Expected)","41 Source Type",$C$5,"5 Source No.",$C41,"4 Item Ledger Entry Type",$C$4,"2 Item No.","@@"&amp;$F41,"3 Posting Date",O$9)+NL("Sum","5802 Value Entry","17 Sales Amount (Actual)","41 Source Type",$C$5,"5 Source no.",$C41,"4 Item Ledger Entry Type",$C$4,"2 Item No.","@@"&amp;$F41,"3 Posting Date",O$9)</t>
  </si>
  <si>
    <t>=-NL("Sum","5802 Value Entry","151 Cost Amount (Expected)","41 Source Type",$C$5,"5 Source No.",$C41,"4 Item Ledger Entry Type",$C$4,"2 Item No.","@@"&amp;$F41,"3 Posting Date",O$9)-NL("Sum","5802 Value Entry","43 Cost Amount (Actual)","41 Source Type",$C$5,"5 Source no.",$C41,"4 Item Ledger Entry Type",$C$4,"2 Item No.","@@"&amp;$F41,"3 Posting Date",O$9)</t>
  </si>
  <si>
    <t>=O41-Q41</t>
  </si>
  <si>
    <t>=IF(O41&lt;&gt;0,R41/O41,"")</t>
  </si>
  <si>
    <t>=NL("Sum","5802 Value Entry","150 Sales Amount (Expected)","41 Source Type",$C$5,"5 Source No.",$C41,"4 Item Ledger Entry Type",$C$4,"2 Item No.","@@"&amp;$F41,"3 Posting Date",U$9)+NL("Sum","5802 Value Entry","17 Sales Amount (Actual)","41 Source Type",$C$5,"5 Source no.",$C41,"4 Item Ledger Entry Type",$C$4,"2 Item No.","@@"&amp;$F41,"3 Posting Date",U$9)</t>
  </si>
  <si>
    <t>=-NL("Sum","5802 Value Entry","151 Cost Amount (Expected)","41 Source Type",$C$5,"5 Source No.",$C41,"4 Item Ledger Entry Type",$C$4,"2 Item No.","@@"&amp;$F41,"3 Posting Date",U$9)-NL("Sum","5802 Value Entry","43 Cost Amount (Actual)","41 Source Type",$C$5,"5 Source no.",$C41,"4 Item Ledger Entry Type",$C$4,"2 Item No.","@@"&amp;$F41,"3 Posting Date",U$9)</t>
  </si>
  <si>
    <t>=U41-W41</t>
  </si>
  <si>
    <t>=IF(U41&lt;&gt;0,X41/U41,"")</t>
  </si>
  <si>
    <t>=NL("Sum","5802 Value Entry","150 Sales Amount (Expected)","41 Source Type",$C$5,"5 Source No.",$C41,"4 Item Ledger Entry Type",$C$4,"2 Item No.","@@"&amp;$F41,"3 Posting Date",Z$9)+NL("Sum","5802 Value Entry","17 Sales Amount (Actual)","41 Source Type",$C$5,"5 Source no.",$C41,"4 Item Ledger Entry Type",$C$4,"2 Item No.","@@"&amp;$F41,"3 Posting Date",Z$9)</t>
  </si>
  <si>
    <t>=-NL("Sum","5802 Value Entry","151 Cost Amount (Expected)","41 Source Type",$C$5,"5 Source No.",$C41,"4 Item Ledger Entry Type",$C$4,"2 Item No.","@@"&amp;$F41,"3 Posting Date",Z$9)-NL("Sum","5802 Value Entry","43 Cost Amount (Actual)","41 Source Type",$C$5,"5 Source no.",$C41,"4 Item Ledger Entry Type",$C$4,"2 Item No.","@@"&amp;$F41,"3 Posting Date",Z$9)</t>
  </si>
  <si>
    <t>=Z41-AB41</t>
  </si>
  <si>
    <t>=IF(Z41&lt;&gt;0,AC41/Z41,"")</t>
  </si>
  <si>
    <t>="E100011"</t>
  </si>
  <si>
    <t>=NL("Sum","5802 Value Entry","150 Sales Amount (Expected)","41 Source Type",$C$5,"5 Source No.",$C42,"4 Item Ledger Entry Type",$C$4,"2 Item No.","@@"&amp;$F42,"3 Posting Date",J$9)+NL("Sum","5802 Value Entry","17 Sales Amount (Actual)","41 Source Type",$C$5,"5 Source no.",$C42,"4 Item Ledger Entry Type",$C$4,"2 Item No.","@@"&amp;$F42,"3 Posting Date",J$9)</t>
  </si>
  <si>
    <t>=-NL("Sum","5802 Value Entry","151 Cost Amount (Expected)","41 Source Type",$C$5,"5 Source No.",$C42,"4 Item Ledger Entry Type",$C$4,"2 Item No.","@@"&amp;$F42,"3 Posting Date",J$9)-NL("Sum","5802 Value Entry","43 Cost Amount (Actual)","41 Source Type",$C$5,"5 Source no.",$C42,"4 Item Ledger Entry Type",$C$4,"2 Item No.","@@"&amp;$F42,"3 Posting Date",J$9)</t>
  </si>
  <si>
    <t>=NL("Sum","5802 Value Entry","150 Sales Amount (Expected)","41 Source Type",$C$5,"5 Source No.",$C42,"4 Item Ledger Entry Type",$C$4,"2 Item No.","@@"&amp;$F42,"3 Posting Date",O$9)+NL("Sum","5802 Value Entry","17 Sales Amount (Actual)","41 Source Type",$C$5,"5 Source no.",$C42,"4 Item Ledger Entry Type",$C$4,"2 Item No.","@@"&amp;$F42,"3 Posting Date",O$9)</t>
  </si>
  <si>
    <t>=-NL("Sum","5802 Value Entry","151 Cost Amount (Expected)","41 Source Type",$C$5,"5 Source No.",$C42,"4 Item Ledger Entry Type",$C$4,"2 Item No.","@@"&amp;$F42,"3 Posting Date",O$9)-NL("Sum","5802 Value Entry","43 Cost Amount (Actual)","41 Source Type",$C$5,"5 Source no.",$C42,"4 Item Ledger Entry Type",$C$4,"2 Item No.","@@"&amp;$F42,"3 Posting Date",O$9)</t>
  </si>
  <si>
    <t>=NL("Sum","5802 Value Entry","150 Sales Amount (Expected)","41 Source Type",$C$5,"5 Source No.",$C42,"4 Item Ledger Entry Type",$C$4,"2 Item No.","@@"&amp;$F42,"3 Posting Date",U$9)+NL("Sum","5802 Value Entry","17 Sales Amount (Actual)","41 Source Type",$C$5,"5 Source no.",$C42,"4 Item Ledger Entry Type",$C$4,"2 Item No.","@@"&amp;$F42,"3 Posting Date",U$9)</t>
  </si>
  <si>
    <t>=-NL("Sum","5802 Value Entry","151 Cost Amount (Expected)","41 Source Type",$C$5,"5 Source No.",$C42,"4 Item Ledger Entry Type",$C$4,"2 Item No.","@@"&amp;$F42,"3 Posting Date",U$9)-NL("Sum","5802 Value Entry","43 Cost Amount (Actual)","41 Source Type",$C$5,"5 Source no.",$C42,"4 Item Ledger Entry Type",$C$4,"2 Item No.","@@"&amp;$F42,"3 Posting Date",U$9)</t>
  </si>
  <si>
    <t>=NL("Sum","5802 Value Entry","150 Sales Amount (Expected)","41 Source Type",$C$5,"5 Source No.",$C42,"4 Item Ledger Entry Type",$C$4,"2 Item No.","@@"&amp;$F42,"3 Posting Date",Z$9)+NL("Sum","5802 Value Entry","17 Sales Amount (Actual)","41 Source Type",$C$5,"5 Source no.",$C42,"4 Item Ledger Entry Type",$C$4,"2 Item No.","@@"&amp;$F42,"3 Posting Date",Z$9)</t>
  </si>
  <si>
    <t>=-NL("Sum","5802 Value Entry","151 Cost Amount (Expected)","41 Source Type",$C$5,"5 Source No.",$C42,"4 Item Ledger Entry Type",$C$4,"2 Item No.","@@"&amp;$F42,"3 Posting Date",Z$9)-NL("Sum","5802 Value Entry","43 Cost Amount (Actual)","41 Source Type",$C$5,"5 Source no.",$C42,"4 Item Ledger Entry Type",$C$4,"2 Item No.","@@"&amp;$F42,"3 Posting Date",Z$9)</t>
  </si>
  <si>
    <t>=C42</t>
  </si>
  <si>
    <t>="E100012"</t>
  </si>
  <si>
    <t>=NL("Sum","5802 Value Entry","150 Sales Amount (Expected)","41 Source Type",$C$5,"5 Source No.",$C43,"4 Item Ledger Entry Type",$C$4,"2 Item No.","@@"&amp;$F43,"3 Posting Date",J$9)+NL("Sum","5802 Value Entry","17 Sales Amount (Actual)","41 Source Type",$C$5,"5 Source no.",$C43,"4 Item Ledger Entry Type",$C$4,"2 Item No.","@@"&amp;$F43,"3 Posting Date",J$9)</t>
  </si>
  <si>
    <t>=-NL("Sum","5802 Value Entry","151 Cost Amount (Expected)","41 Source Type",$C$5,"5 Source No.",$C43,"4 Item Ledger Entry Type",$C$4,"2 Item No.","@@"&amp;$F43,"3 Posting Date",J$9)-NL("Sum","5802 Value Entry","43 Cost Amount (Actual)","41 Source Type",$C$5,"5 Source no.",$C43,"4 Item Ledger Entry Type",$C$4,"2 Item No.","@@"&amp;$F43,"3 Posting Date",J$9)</t>
  </si>
  <si>
    <t>=J43-L43</t>
  </si>
  <si>
    <t>=IF(J43&lt;&gt;0,M43/J43,"")</t>
  </si>
  <si>
    <t>=NL("Sum","5802 Value Entry","150 Sales Amount (Expected)","41 Source Type",$C$5,"5 Source No.",$C43,"4 Item Ledger Entry Type",$C$4,"2 Item No.","@@"&amp;$F43,"3 Posting Date",O$9)+NL("Sum","5802 Value Entry","17 Sales Amount (Actual)","41 Source Type",$C$5,"5 Source no.",$C43,"4 Item Ledger Entry Type",$C$4,"2 Item No.","@@"&amp;$F43,"3 Posting Date",O$9)</t>
  </si>
  <si>
    <t>=-NL("Sum","5802 Value Entry","151 Cost Amount (Expected)","41 Source Type",$C$5,"5 Source No.",$C43,"4 Item Ledger Entry Type",$C$4,"2 Item No.","@@"&amp;$F43,"3 Posting Date",O$9)-NL("Sum","5802 Value Entry","43 Cost Amount (Actual)","41 Source Type",$C$5,"5 Source no.",$C43,"4 Item Ledger Entry Type",$C$4,"2 Item No.","@@"&amp;$F43,"3 Posting Date",O$9)</t>
  </si>
  <si>
    <t>=O43-Q43</t>
  </si>
  <si>
    <t>=IF(O43&lt;&gt;0,R43/O43,"")</t>
  </si>
  <si>
    <t>=NL("Sum","5802 Value Entry","150 Sales Amount (Expected)","41 Source Type",$C$5,"5 Source No.",$C43,"4 Item Ledger Entry Type",$C$4,"2 Item No.","@@"&amp;$F43,"3 Posting Date",U$9)+NL("Sum","5802 Value Entry","17 Sales Amount (Actual)","41 Source Type",$C$5,"5 Source no.",$C43,"4 Item Ledger Entry Type",$C$4,"2 Item No.","@@"&amp;$F43,"3 Posting Date",U$9)</t>
  </si>
  <si>
    <t>=-NL("Sum","5802 Value Entry","151 Cost Amount (Expected)","41 Source Type",$C$5,"5 Source No.",$C43,"4 Item Ledger Entry Type",$C$4,"2 Item No.","@@"&amp;$F43,"3 Posting Date",U$9)-NL("Sum","5802 Value Entry","43 Cost Amount (Actual)","41 Source Type",$C$5,"5 Source no.",$C43,"4 Item Ledger Entry Type",$C$4,"2 Item No.","@@"&amp;$F43,"3 Posting Date",U$9)</t>
  </si>
  <si>
    <t>=U43-W43</t>
  </si>
  <si>
    <t>=IF(U43&lt;&gt;0,X43/U43,"")</t>
  </si>
  <si>
    <t>=NL("Sum","5802 Value Entry","150 Sales Amount (Expected)","41 Source Type",$C$5,"5 Source No.",$C43,"4 Item Ledger Entry Type",$C$4,"2 Item No.","@@"&amp;$F43,"3 Posting Date",Z$9)+NL("Sum","5802 Value Entry","17 Sales Amount (Actual)","41 Source Type",$C$5,"5 Source no.",$C43,"4 Item Ledger Entry Type",$C$4,"2 Item No.","@@"&amp;$F43,"3 Posting Date",Z$9)</t>
  </si>
  <si>
    <t>=-NL("Sum","5802 Value Entry","151 Cost Amount (Expected)","41 Source Type",$C$5,"5 Source No.",$C43,"4 Item Ledger Entry Type",$C$4,"2 Item No.","@@"&amp;$F43,"3 Posting Date",Z$9)-NL("Sum","5802 Value Entry","43 Cost Amount (Actual)","41 Source Type",$C$5,"5 Source no.",$C43,"4 Item Ledger Entry Type",$C$4,"2 Item No.","@@"&amp;$F43,"3 Posting Date",Z$9)</t>
  </si>
  <si>
    <t>=Z43-AB43</t>
  </si>
  <si>
    <t>=IF(Z43&lt;&gt;0,AC43/Z43,"")</t>
  </si>
  <si>
    <t>=C43</t>
  </si>
  <si>
    <t>="E100013"</t>
  </si>
  <si>
    <t>=NL("Sum","5802 Value Entry","150 Sales Amount (Expected)","41 Source Type",$C$5,"5 Source No.",$C44,"4 Item Ledger Entry Type",$C$4,"2 Item No.","@@"&amp;$F44,"3 Posting Date",J$9)+NL("Sum","5802 Value Entry","17 Sales Amount (Actual)","41 Source Type",$C$5,"5 Source no.",$C44,"4 Item Ledger Entry Type",$C$4,"2 Item No.","@@"&amp;$F44,"3 Posting Date",J$9)</t>
  </si>
  <si>
    <t>=-NL("Sum","5802 Value Entry","151 Cost Amount (Expected)","41 Source Type",$C$5,"5 Source No.",$C44,"4 Item Ledger Entry Type",$C$4,"2 Item No.","@@"&amp;$F44,"3 Posting Date",J$9)-NL("Sum","5802 Value Entry","43 Cost Amount (Actual)","41 Source Type",$C$5,"5 Source no.",$C44,"4 Item Ledger Entry Type",$C$4,"2 Item No.","@@"&amp;$F44,"3 Posting Date",J$9)</t>
  </si>
  <si>
    <t>=J44-L44</t>
  </si>
  <si>
    <t>=IF(J44&lt;&gt;0,M44/J44,"")</t>
  </si>
  <si>
    <t>=NL("Sum","5802 Value Entry","150 Sales Amount (Expected)","41 Source Type",$C$5,"5 Source No.",$C44,"4 Item Ledger Entry Type",$C$4,"2 Item No.","@@"&amp;$F44,"3 Posting Date",O$9)+NL("Sum","5802 Value Entry","17 Sales Amount (Actual)","41 Source Type",$C$5,"5 Source no.",$C44,"4 Item Ledger Entry Type",$C$4,"2 Item No.","@@"&amp;$F44,"3 Posting Date",O$9)</t>
  </si>
  <si>
    <t>=-NL("Sum","5802 Value Entry","151 Cost Amount (Expected)","41 Source Type",$C$5,"5 Source No.",$C44,"4 Item Ledger Entry Type",$C$4,"2 Item No.","@@"&amp;$F44,"3 Posting Date",O$9)-NL("Sum","5802 Value Entry","43 Cost Amount (Actual)","41 Source Type",$C$5,"5 Source no.",$C44,"4 Item Ledger Entry Type",$C$4,"2 Item No.","@@"&amp;$F44,"3 Posting Date",O$9)</t>
  </si>
  <si>
    <t>=O44-Q44</t>
  </si>
  <si>
    <t>=IF(O44&lt;&gt;0,R44/O44,"")</t>
  </si>
  <si>
    <t>=NL("Sum","5802 Value Entry","150 Sales Amount (Expected)","41 Source Type",$C$5,"5 Source No.",$C44,"4 Item Ledger Entry Type",$C$4,"2 Item No.","@@"&amp;$F44,"3 Posting Date",U$9)+NL("Sum","5802 Value Entry","17 Sales Amount (Actual)","41 Source Type",$C$5,"5 Source no.",$C44,"4 Item Ledger Entry Type",$C$4,"2 Item No.","@@"&amp;$F44,"3 Posting Date",U$9)</t>
  </si>
  <si>
    <t>=-NL("Sum","5802 Value Entry","151 Cost Amount (Expected)","41 Source Type",$C$5,"5 Source No.",$C44,"4 Item Ledger Entry Type",$C$4,"2 Item No.","@@"&amp;$F44,"3 Posting Date",U$9)-NL("Sum","5802 Value Entry","43 Cost Amount (Actual)","41 Source Type",$C$5,"5 Source no.",$C44,"4 Item Ledger Entry Type",$C$4,"2 Item No.","@@"&amp;$F44,"3 Posting Date",U$9)</t>
  </si>
  <si>
    <t>=U44-W44</t>
  </si>
  <si>
    <t>=IF(U44&lt;&gt;0,X44/U44,"")</t>
  </si>
  <si>
    <t>=NL("Sum","5802 Value Entry","150 Sales Amount (Expected)","41 Source Type",$C$5,"5 Source No.",$C44,"4 Item Ledger Entry Type",$C$4,"2 Item No.","@@"&amp;$F44,"3 Posting Date",Z$9)+NL("Sum","5802 Value Entry","17 Sales Amount (Actual)","41 Source Type",$C$5,"5 Source no.",$C44,"4 Item Ledger Entry Type",$C$4,"2 Item No.","@@"&amp;$F44,"3 Posting Date",Z$9)</t>
  </si>
  <si>
    <t>=-NL("Sum","5802 Value Entry","151 Cost Amount (Expected)","41 Source Type",$C$5,"5 Source No.",$C44,"4 Item Ledger Entry Type",$C$4,"2 Item No.","@@"&amp;$F44,"3 Posting Date",Z$9)-NL("Sum","5802 Value Entry","43 Cost Amount (Actual)","41 Source Type",$C$5,"5 Source no.",$C44,"4 Item Ledger Entry Type",$C$4,"2 Item No.","@@"&amp;$F44,"3 Posting Date",Z$9)</t>
  </si>
  <si>
    <t>=Z44-AB44</t>
  </si>
  <si>
    <t>=IF(Z44&lt;&gt;0,AC44/Z44,"")</t>
  </si>
  <si>
    <t>="E100014"</t>
  </si>
  <si>
    <t>=NL("Sum","5802 Value Entry","150 Sales Amount (Expected)","41 Source Type",$C$5,"5 Source No.",$C45,"4 Item Ledger Entry Type",$C$4,"2 Item No.","@@"&amp;$F45,"3 Posting Date",J$9)+NL("Sum","5802 Value Entry","17 Sales Amount (Actual)","41 Source Type",$C$5,"5 Source no.",$C45,"4 Item Ledger Entry Type",$C$4,"2 Item No.","@@"&amp;$F45,"3 Posting Date",J$9)</t>
  </si>
  <si>
    <t>=-NL("Sum","5802 Value Entry","151 Cost Amount (Expected)","41 Source Type",$C$5,"5 Source No.",$C45,"4 Item Ledger Entry Type",$C$4,"2 Item No.","@@"&amp;$F45,"3 Posting Date",J$9)-NL("Sum","5802 Value Entry","43 Cost Amount (Actual)","41 Source Type",$C$5,"5 Source no.",$C45,"4 Item Ledger Entry Type",$C$4,"2 Item No.","@@"&amp;$F45,"3 Posting Date",J$9)</t>
  </si>
  <si>
    <t>=J45-L45</t>
  </si>
  <si>
    <t>=IF(J45&lt;&gt;0,M45/J45,"")</t>
  </si>
  <si>
    <t>=NL("Sum","5802 Value Entry","150 Sales Amount (Expected)","41 Source Type",$C$5,"5 Source No.",$C45,"4 Item Ledger Entry Type",$C$4,"2 Item No.","@@"&amp;$F45,"3 Posting Date",O$9)+NL("Sum","5802 Value Entry","17 Sales Amount (Actual)","41 Source Type",$C$5,"5 Source no.",$C45,"4 Item Ledger Entry Type",$C$4,"2 Item No.","@@"&amp;$F45,"3 Posting Date",O$9)</t>
  </si>
  <si>
    <t>=-NL("Sum","5802 Value Entry","151 Cost Amount (Expected)","41 Source Type",$C$5,"5 Source No.",$C45,"4 Item Ledger Entry Type",$C$4,"2 Item No.","@@"&amp;$F45,"3 Posting Date",O$9)-NL("Sum","5802 Value Entry","43 Cost Amount (Actual)","41 Source Type",$C$5,"5 Source no.",$C45,"4 Item Ledger Entry Type",$C$4,"2 Item No.","@@"&amp;$F45,"3 Posting Date",O$9)</t>
  </si>
  <si>
    <t>=O45-Q45</t>
  </si>
  <si>
    <t>=IF(O45&lt;&gt;0,R45/O45,"")</t>
  </si>
  <si>
    <t>=NL("Sum","5802 Value Entry","150 Sales Amount (Expected)","41 Source Type",$C$5,"5 Source No.",$C45,"4 Item Ledger Entry Type",$C$4,"2 Item No.","@@"&amp;$F45,"3 Posting Date",U$9)+NL("Sum","5802 Value Entry","17 Sales Amount (Actual)","41 Source Type",$C$5,"5 Source no.",$C45,"4 Item Ledger Entry Type",$C$4,"2 Item No.","@@"&amp;$F45,"3 Posting Date",U$9)</t>
  </si>
  <si>
    <t>=-NL("Sum","5802 Value Entry","151 Cost Amount (Expected)","41 Source Type",$C$5,"5 Source No.",$C45,"4 Item Ledger Entry Type",$C$4,"2 Item No.","@@"&amp;$F45,"3 Posting Date",U$9)-NL("Sum","5802 Value Entry","43 Cost Amount (Actual)","41 Source Type",$C$5,"5 Source no.",$C45,"4 Item Ledger Entry Type",$C$4,"2 Item No.","@@"&amp;$F45,"3 Posting Date",U$9)</t>
  </si>
  <si>
    <t>=U45-W45</t>
  </si>
  <si>
    <t>=IF(U45&lt;&gt;0,X45/U45,"")</t>
  </si>
  <si>
    <t>=NL("Sum","5802 Value Entry","150 Sales Amount (Expected)","41 Source Type",$C$5,"5 Source No.",$C45,"4 Item Ledger Entry Type",$C$4,"2 Item No.","@@"&amp;$F45,"3 Posting Date",Z$9)+NL("Sum","5802 Value Entry","17 Sales Amount (Actual)","41 Source Type",$C$5,"5 Source no.",$C45,"4 Item Ledger Entry Type",$C$4,"2 Item No.","@@"&amp;$F45,"3 Posting Date",Z$9)</t>
  </si>
  <si>
    <t>=-NL("Sum","5802 Value Entry","151 Cost Amount (Expected)","41 Source Type",$C$5,"5 Source No.",$C45,"4 Item Ledger Entry Type",$C$4,"2 Item No.","@@"&amp;$F45,"3 Posting Date",Z$9)-NL("Sum","5802 Value Entry","43 Cost Amount (Actual)","41 Source Type",$C$5,"5 Source no.",$C45,"4 Item Ledger Entry Type",$C$4,"2 Item No.","@@"&amp;$F45,"3 Posting Date",Z$9)</t>
  </si>
  <si>
    <t>=Z45-AB45</t>
  </si>
  <si>
    <t>=IF(Z45&lt;&gt;0,AC45/Z45,"")</t>
  </si>
  <si>
    <t>="E100015"</t>
  </si>
  <si>
    <t>=NL("Sum","5802 Value Entry","150 Sales Amount (Expected)","41 Source Type",$C$5,"5 Source No.",$C46,"4 Item Ledger Entry Type",$C$4,"2 Item No.","@@"&amp;$F46,"3 Posting Date",J$9)+NL("Sum","5802 Value Entry","17 Sales Amount (Actual)","41 Source Type",$C$5,"5 Source no.",$C46,"4 Item Ledger Entry Type",$C$4,"2 Item No.","@@"&amp;$F46,"3 Posting Date",J$9)</t>
  </si>
  <si>
    <t>=-NL("Sum","5802 Value Entry","151 Cost Amount (Expected)","41 Source Type",$C$5,"5 Source No.",$C46,"4 Item Ledger Entry Type",$C$4,"2 Item No.","@@"&amp;$F46,"3 Posting Date",J$9)-NL("Sum","5802 Value Entry","43 Cost Amount (Actual)","41 Source Type",$C$5,"5 Source no.",$C46,"4 Item Ledger Entry Type",$C$4,"2 Item No.","@@"&amp;$F46,"3 Posting Date",J$9)</t>
  </si>
  <si>
    <t>=NL("Sum","5802 Value Entry","150 Sales Amount (Expected)","41 Source Type",$C$5,"5 Source No.",$C46,"4 Item Ledger Entry Type",$C$4,"2 Item No.","@@"&amp;$F46,"3 Posting Date",O$9)+NL("Sum","5802 Value Entry","17 Sales Amount (Actual)","41 Source Type",$C$5,"5 Source no.",$C46,"4 Item Ledger Entry Type",$C$4,"2 Item No.","@@"&amp;$F46,"3 Posting Date",O$9)</t>
  </si>
  <si>
    <t>=-NL("Sum","5802 Value Entry","151 Cost Amount (Expected)","41 Source Type",$C$5,"5 Source No.",$C46,"4 Item Ledger Entry Type",$C$4,"2 Item No.","@@"&amp;$F46,"3 Posting Date",O$9)-NL("Sum","5802 Value Entry","43 Cost Amount (Actual)","41 Source Type",$C$5,"5 Source no.",$C46,"4 Item Ledger Entry Type",$C$4,"2 Item No.","@@"&amp;$F46,"3 Posting Date",O$9)</t>
  </si>
  <si>
    <t>=NL("Sum","5802 Value Entry","150 Sales Amount (Expected)","41 Source Type",$C$5,"5 Source No.",$C46,"4 Item Ledger Entry Type",$C$4,"2 Item No.","@@"&amp;$F46,"3 Posting Date",U$9)+NL("Sum","5802 Value Entry","17 Sales Amount (Actual)","41 Source Type",$C$5,"5 Source no.",$C46,"4 Item Ledger Entry Type",$C$4,"2 Item No.","@@"&amp;$F46,"3 Posting Date",U$9)</t>
  </si>
  <si>
    <t>=-NL("Sum","5802 Value Entry","151 Cost Amount (Expected)","41 Source Type",$C$5,"5 Source No.",$C46,"4 Item Ledger Entry Type",$C$4,"2 Item No.","@@"&amp;$F46,"3 Posting Date",U$9)-NL("Sum","5802 Value Entry","43 Cost Amount (Actual)","41 Source Type",$C$5,"5 Source no.",$C46,"4 Item Ledger Entry Type",$C$4,"2 Item No.","@@"&amp;$F46,"3 Posting Date",U$9)</t>
  </si>
  <si>
    <t>=NL("Sum","5802 Value Entry","150 Sales Amount (Expected)","41 Source Type",$C$5,"5 Source No.",$C46,"4 Item Ledger Entry Type",$C$4,"2 Item No.","@@"&amp;$F46,"3 Posting Date",Z$9)+NL("Sum","5802 Value Entry","17 Sales Amount (Actual)","41 Source Type",$C$5,"5 Source no.",$C46,"4 Item Ledger Entry Type",$C$4,"2 Item No.","@@"&amp;$F46,"3 Posting Date",Z$9)</t>
  </si>
  <si>
    <t>=-NL("Sum","5802 Value Entry","151 Cost Amount (Expected)","41 Source Type",$C$5,"5 Source No.",$C46,"4 Item Ledger Entry Type",$C$4,"2 Item No.","@@"&amp;$F46,"3 Posting Date",Z$9)-NL("Sum","5802 Value Entry","43 Cost Amount (Actual)","41 Source Type",$C$5,"5 Source no.",$C46,"4 Item Ledger Entry Type",$C$4,"2 Item No.","@@"&amp;$F46,"3 Posting Date",Z$9)</t>
  </si>
  <si>
    <t>="E100016"</t>
  </si>
  <si>
    <t>=NL("Sum","5802 Value Entry","150 Sales Amount (Expected)","41 Source Type",$C$5,"5 Source No.",$C47,"4 Item Ledger Entry Type",$C$4,"2 Item No.","@@"&amp;$F47,"3 Posting Date",J$9)+NL("Sum","5802 Value Entry","17 Sales Amount (Actual)","41 Source Type",$C$5,"5 Source no.",$C47,"4 Item Ledger Entry Type",$C$4,"2 Item No.","@@"&amp;$F47,"3 Posting Date",J$9)</t>
  </si>
  <si>
    <t>=-NL("Sum","5802 Value Entry","151 Cost Amount (Expected)","41 Source Type",$C$5,"5 Source No.",$C47,"4 Item Ledger Entry Type",$C$4,"2 Item No.","@@"&amp;$F47,"3 Posting Date",J$9)-NL("Sum","5802 Value Entry","43 Cost Amount (Actual)","41 Source Type",$C$5,"5 Source no.",$C47,"4 Item Ledger Entry Type",$C$4,"2 Item No.","@@"&amp;$F47,"3 Posting Date",J$9)</t>
  </si>
  <si>
    <t>=J47-L47</t>
  </si>
  <si>
    <t>=IF(J47&lt;&gt;0,M47/J47,"")</t>
  </si>
  <si>
    <t>=NL("Sum","5802 Value Entry","150 Sales Amount (Expected)","41 Source Type",$C$5,"5 Source No.",$C47,"4 Item Ledger Entry Type",$C$4,"2 Item No.","@@"&amp;$F47,"3 Posting Date",O$9)+NL("Sum","5802 Value Entry","17 Sales Amount (Actual)","41 Source Type",$C$5,"5 Source no.",$C47,"4 Item Ledger Entry Type",$C$4,"2 Item No.","@@"&amp;$F47,"3 Posting Date",O$9)</t>
  </si>
  <si>
    <t>=-NL("Sum","5802 Value Entry","151 Cost Amount (Expected)","41 Source Type",$C$5,"5 Source No.",$C47,"4 Item Ledger Entry Type",$C$4,"2 Item No.","@@"&amp;$F47,"3 Posting Date",O$9)-NL("Sum","5802 Value Entry","43 Cost Amount (Actual)","41 Source Type",$C$5,"5 Source no.",$C47,"4 Item Ledger Entry Type",$C$4,"2 Item No.","@@"&amp;$F47,"3 Posting Date",O$9)</t>
  </si>
  <si>
    <t>=O47-Q47</t>
  </si>
  <si>
    <t>=IF(O47&lt;&gt;0,R47/O47,"")</t>
  </si>
  <si>
    <t>=NL("Sum","5802 Value Entry","150 Sales Amount (Expected)","41 Source Type",$C$5,"5 Source No.",$C47,"4 Item Ledger Entry Type",$C$4,"2 Item No.","@@"&amp;$F47,"3 Posting Date",U$9)+NL("Sum","5802 Value Entry","17 Sales Amount (Actual)","41 Source Type",$C$5,"5 Source no.",$C47,"4 Item Ledger Entry Type",$C$4,"2 Item No.","@@"&amp;$F47,"3 Posting Date",U$9)</t>
  </si>
  <si>
    <t>=-NL("Sum","5802 Value Entry","151 Cost Amount (Expected)","41 Source Type",$C$5,"5 Source No.",$C47,"4 Item Ledger Entry Type",$C$4,"2 Item No.","@@"&amp;$F47,"3 Posting Date",U$9)-NL("Sum","5802 Value Entry","43 Cost Amount (Actual)","41 Source Type",$C$5,"5 Source no.",$C47,"4 Item Ledger Entry Type",$C$4,"2 Item No.","@@"&amp;$F47,"3 Posting Date",U$9)</t>
  </si>
  <si>
    <t>=U47-W47</t>
  </si>
  <si>
    <t>=IF(U47&lt;&gt;0,X47/U47,"")</t>
  </si>
  <si>
    <t>=NL("Sum","5802 Value Entry","150 Sales Amount (Expected)","41 Source Type",$C$5,"5 Source No.",$C47,"4 Item Ledger Entry Type",$C$4,"2 Item No.","@@"&amp;$F47,"3 Posting Date",Z$9)+NL("Sum","5802 Value Entry","17 Sales Amount (Actual)","41 Source Type",$C$5,"5 Source no.",$C47,"4 Item Ledger Entry Type",$C$4,"2 Item No.","@@"&amp;$F47,"3 Posting Date",Z$9)</t>
  </si>
  <si>
    <t>=-NL("Sum","5802 Value Entry","151 Cost Amount (Expected)","41 Source Type",$C$5,"5 Source No.",$C47,"4 Item Ledger Entry Type",$C$4,"2 Item No.","@@"&amp;$F47,"3 Posting Date",Z$9)-NL("Sum","5802 Value Entry","43 Cost Amount (Actual)","41 Source Type",$C$5,"5 Source no.",$C47,"4 Item Ledger Entry Type",$C$4,"2 Item No.","@@"&amp;$F47,"3 Posting Date",Z$9)</t>
  </si>
  <si>
    <t>=Z47-AB47</t>
  </si>
  <si>
    <t>=IF(Z47&lt;&gt;0,AC47/Z47,"")</t>
  </si>
  <si>
    <t>="E100017"</t>
  </si>
  <si>
    <t>=NL("Sum","5802 Value Entry","150 Sales Amount (Expected)","41 Source Type",$C$5,"5 Source No.",$C48,"4 Item Ledger Entry Type",$C$4,"2 Item No.","@@"&amp;$F48,"3 Posting Date",J$9)+NL("Sum","5802 Value Entry","17 Sales Amount (Actual)","41 Source Type",$C$5,"5 Source no.",$C48,"4 Item Ledger Entry Type",$C$4,"2 Item No.","@@"&amp;$F48,"3 Posting Date",J$9)</t>
  </si>
  <si>
    <t>=-NL("Sum","5802 Value Entry","151 Cost Amount (Expected)","41 Source Type",$C$5,"5 Source No.",$C48,"4 Item Ledger Entry Type",$C$4,"2 Item No.","@@"&amp;$F48,"3 Posting Date",J$9)-NL("Sum","5802 Value Entry","43 Cost Amount (Actual)","41 Source Type",$C$5,"5 Source no.",$C48,"4 Item Ledger Entry Type",$C$4,"2 Item No.","@@"&amp;$F48,"3 Posting Date",J$9)</t>
  </si>
  <si>
    <t>=NL("Sum","5802 Value Entry","150 Sales Amount (Expected)","41 Source Type",$C$5,"5 Source No.",$C48,"4 Item Ledger Entry Type",$C$4,"2 Item No.","@@"&amp;$F48,"3 Posting Date",O$9)+NL("Sum","5802 Value Entry","17 Sales Amount (Actual)","41 Source Type",$C$5,"5 Source no.",$C48,"4 Item Ledger Entry Type",$C$4,"2 Item No.","@@"&amp;$F48,"3 Posting Date",O$9)</t>
  </si>
  <si>
    <t>=-NL("Sum","5802 Value Entry","151 Cost Amount (Expected)","41 Source Type",$C$5,"5 Source No.",$C48,"4 Item Ledger Entry Type",$C$4,"2 Item No.","@@"&amp;$F48,"3 Posting Date",O$9)-NL("Sum","5802 Value Entry","43 Cost Amount (Actual)","41 Source Type",$C$5,"5 Source no.",$C48,"4 Item Ledger Entry Type",$C$4,"2 Item No.","@@"&amp;$F48,"3 Posting Date",O$9)</t>
  </si>
  <si>
    <t>=NL("Sum","5802 Value Entry","150 Sales Amount (Expected)","41 Source Type",$C$5,"5 Source No.",$C48,"4 Item Ledger Entry Type",$C$4,"2 Item No.","@@"&amp;$F48,"3 Posting Date",U$9)+NL("Sum","5802 Value Entry","17 Sales Amount (Actual)","41 Source Type",$C$5,"5 Source no.",$C48,"4 Item Ledger Entry Type",$C$4,"2 Item No.","@@"&amp;$F48,"3 Posting Date",U$9)</t>
  </si>
  <si>
    <t>=-NL("Sum","5802 Value Entry","151 Cost Amount (Expected)","41 Source Type",$C$5,"5 Source No.",$C48,"4 Item Ledger Entry Type",$C$4,"2 Item No.","@@"&amp;$F48,"3 Posting Date",U$9)-NL("Sum","5802 Value Entry","43 Cost Amount (Actual)","41 Source Type",$C$5,"5 Source no.",$C48,"4 Item Ledger Entry Type",$C$4,"2 Item No.","@@"&amp;$F48,"3 Posting Date",U$9)</t>
  </si>
  <si>
    <t>=NL("Sum","5802 Value Entry","150 Sales Amount (Expected)","41 Source Type",$C$5,"5 Source No.",$C48,"4 Item Ledger Entry Type",$C$4,"2 Item No.","@@"&amp;$F48,"3 Posting Date",Z$9)+NL("Sum","5802 Value Entry","17 Sales Amount (Actual)","41 Source Type",$C$5,"5 Source no.",$C48,"4 Item Ledger Entry Type",$C$4,"2 Item No.","@@"&amp;$F48,"3 Posting Date",Z$9)</t>
  </si>
  <si>
    <t>=-NL("Sum","5802 Value Entry","151 Cost Amount (Expected)","41 Source Type",$C$5,"5 Source No.",$C48,"4 Item Ledger Entry Type",$C$4,"2 Item No.","@@"&amp;$F48,"3 Posting Date",Z$9)-NL("Sum","5802 Value Entry","43 Cost Amount (Actual)","41 Source Type",$C$5,"5 Source no.",$C48,"4 Item Ledger Entry Type",$C$4,"2 Item No.","@@"&amp;$F48,"3 Posting Date",Z$9)</t>
  </si>
  <si>
    <t>=C48</t>
  </si>
  <si>
    <t>="E100018"</t>
  </si>
  <si>
    <t>=NL("Sum","5802 Value Entry","150 Sales Amount (Expected)","41 Source Type",$C$5,"5 Source No.",$C49,"4 Item Ledger Entry Type",$C$4,"2 Item No.","@@"&amp;$F49,"3 Posting Date",J$9)+NL("Sum","5802 Value Entry","17 Sales Amount (Actual)","41 Source Type",$C$5,"5 Source no.",$C49,"4 Item Ledger Entry Type",$C$4,"2 Item No.","@@"&amp;$F49,"3 Posting Date",J$9)</t>
  </si>
  <si>
    <t>=-NL("Sum","5802 Value Entry","151 Cost Amount (Expected)","41 Source Type",$C$5,"5 Source No.",$C49,"4 Item Ledger Entry Type",$C$4,"2 Item No.","@@"&amp;$F49,"3 Posting Date",J$9)-NL("Sum","5802 Value Entry","43 Cost Amount (Actual)","41 Source Type",$C$5,"5 Source no.",$C49,"4 Item Ledger Entry Type",$C$4,"2 Item No.","@@"&amp;$F49,"3 Posting Date",J$9)</t>
  </si>
  <si>
    <t>=J49-L49</t>
  </si>
  <si>
    <t>=IF(J49&lt;&gt;0,M49/J49,"")</t>
  </si>
  <si>
    <t>=NL("Sum","5802 Value Entry","150 Sales Amount (Expected)","41 Source Type",$C$5,"5 Source No.",$C49,"4 Item Ledger Entry Type",$C$4,"2 Item No.","@@"&amp;$F49,"3 Posting Date",O$9)+NL("Sum","5802 Value Entry","17 Sales Amount (Actual)","41 Source Type",$C$5,"5 Source no.",$C49,"4 Item Ledger Entry Type",$C$4,"2 Item No.","@@"&amp;$F49,"3 Posting Date",O$9)</t>
  </si>
  <si>
    <t>=-NL("Sum","5802 Value Entry","151 Cost Amount (Expected)","41 Source Type",$C$5,"5 Source No.",$C49,"4 Item Ledger Entry Type",$C$4,"2 Item No.","@@"&amp;$F49,"3 Posting Date",O$9)-NL("Sum","5802 Value Entry","43 Cost Amount (Actual)","41 Source Type",$C$5,"5 Source no.",$C49,"4 Item Ledger Entry Type",$C$4,"2 Item No.","@@"&amp;$F49,"3 Posting Date",O$9)</t>
  </si>
  <si>
    <t>=O49-Q49</t>
  </si>
  <si>
    <t>=IF(O49&lt;&gt;0,R49/O49,"")</t>
  </si>
  <si>
    <t>=NL("Sum","5802 Value Entry","150 Sales Amount (Expected)","41 Source Type",$C$5,"5 Source No.",$C49,"4 Item Ledger Entry Type",$C$4,"2 Item No.","@@"&amp;$F49,"3 Posting Date",U$9)+NL("Sum","5802 Value Entry","17 Sales Amount (Actual)","41 Source Type",$C$5,"5 Source no.",$C49,"4 Item Ledger Entry Type",$C$4,"2 Item No.","@@"&amp;$F49,"3 Posting Date",U$9)</t>
  </si>
  <si>
    <t>=-NL("Sum","5802 Value Entry","151 Cost Amount (Expected)","41 Source Type",$C$5,"5 Source No.",$C49,"4 Item Ledger Entry Type",$C$4,"2 Item No.","@@"&amp;$F49,"3 Posting Date",U$9)-NL("Sum","5802 Value Entry","43 Cost Amount (Actual)","41 Source Type",$C$5,"5 Source no.",$C49,"4 Item Ledger Entry Type",$C$4,"2 Item No.","@@"&amp;$F49,"3 Posting Date",U$9)</t>
  </si>
  <si>
    <t>=U49-W49</t>
  </si>
  <si>
    <t>=IF(U49&lt;&gt;0,X49/U49,"")</t>
  </si>
  <si>
    <t>=NL("Sum","5802 Value Entry","150 Sales Amount (Expected)","41 Source Type",$C$5,"5 Source No.",$C49,"4 Item Ledger Entry Type",$C$4,"2 Item No.","@@"&amp;$F49,"3 Posting Date",Z$9)+NL("Sum","5802 Value Entry","17 Sales Amount (Actual)","41 Source Type",$C$5,"5 Source no.",$C49,"4 Item Ledger Entry Type",$C$4,"2 Item No.","@@"&amp;$F49,"3 Posting Date",Z$9)</t>
  </si>
  <si>
    <t>=-NL("Sum","5802 Value Entry","151 Cost Amount (Expected)","41 Source Type",$C$5,"5 Source No.",$C49,"4 Item Ledger Entry Type",$C$4,"2 Item No.","@@"&amp;$F49,"3 Posting Date",Z$9)-NL("Sum","5802 Value Entry","43 Cost Amount (Actual)","41 Source Type",$C$5,"5 Source no.",$C49,"4 Item Ledger Entry Type",$C$4,"2 Item No.","@@"&amp;$F49,"3 Posting Date",Z$9)</t>
  </si>
  <si>
    <t>=Z49-AB49</t>
  </si>
  <si>
    <t>=IF(Z49&lt;&gt;0,AC49/Z49,"")</t>
  </si>
  <si>
    <t>=C49</t>
  </si>
  <si>
    <t>="S100001"</t>
  </si>
  <si>
    <t>=NL("Sum","5802 Value Entry","150 Sales Amount (Expected)","41 Source Type",$C$5,"5 Source No.",$C50,"4 Item Ledger Entry Type",$C$4,"2 Item No.","@@"&amp;$F50,"3 Posting Date",J$9)+NL("Sum","5802 Value Entry","17 Sales Amount (Actual)","41 Source Type",$C$5,"5 Source no.",$C50,"4 Item Ledger Entry Type",$C$4,"2 Item No.","@@"&amp;$F50,"3 Posting Date",J$9)</t>
  </si>
  <si>
    <t>=-NL("Sum","5802 Value Entry","151 Cost Amount (Expected)","41 Source Type",$C$5,"5 Source No.",$C50,"4 Item Ledger Entry Type",$C$4,"2 Item No.","@@"&amp;$F50,"3 Posting Date",J$9)-NL("Sum","5802 Value Entry","43 Cost Amount (Actual)","41 Source Type",$C$5,"5 Source no.",$C50,"4 Item Ledger Entry Type",$C$4,"2 Item No.","@@"&amp;$F50,"3 Posting Date",J$9)</t>
  </si>
  <si>
    <t>=J50-L50</t>
  </si>
  <si>
    <t>=IF(J50&lt;&gt;0,M50/J50,"")</t>
  </si>
  <si>
    <t>=NL("Sum","5802 Value Entry","150 Sales Amount (Expected)","41 Source Type",$C$5,"5 Source No.",$C50,"4 Item Ledger Entry Type",$C$4,"2 Item No.","@@"&amp;$F50,"3 Posting Date",O$9)+NL("Sum","5802 Value Entry","17 Sales Amount (Actual)","41 Source Type",$C$5,"5 Source no.",$C50,"4 Item Ledger Entry Type",$C$4,"2 Item No.","@@"&amp;$F50,"3 Posting Date",O$9)</t>
  </si>
  <si>
    <t>=-NL("Sum","5802 Value Entry","151 Cost Amount (Expected)","41 Source Type",$C$5,"5 Source No.",$C50,"4 Item Ledger Entry Type",$C$4,"2 Item No.","@@"&amp;$F50,"3 Posting Date",O$9)-NL("Sum","5802 Value Entry","43 Cost Amount (Actual)","41 Source Type",$C$5,"5 Source no.",$C50,"4 Item Ledger Entry Type",$C$4,"2 Item No.","@@"&amp;$F50,"3 Posting Date",O$9)</t>
  </si>
  <si>
    <t>=O50-Q50</t>
  </si>
  <si>
    <t>=IF(O50&lt;&gt;0,R50/O50,"")</t>
  </si>
  <si>
    <t>=NL("Sum","5802 Value Entry","150 Sales Amount (Expected)","41 Source Type",$C$5,"5 Source No.",$C50,"4 Item Ledger Entry Type",$C$4,"2 Item No.","@@"&amp;$F50,"3 Posting Date",U$9)+NL("Sum","5802 Value Entry","17 Sales Amount (Actual)","41 Source Type",$C$5,"5 Source no.",$C50,"4 Item Ledger Entry Type",$C$4,"2 Item No.","@@"&amp;$F50,"3 Posting Date",U$9)</t>
  </si>
  <si>
    <t>=-NL("Sum","5802 Value Entry","151 Cost Amount (Expected)","41 Source Type",$C$5,"5 Source No.",$C50,"4 Item Ledger Entry Type",$C$4,"2 Item No.","@@"&amp;$F50,"3 Posting Date",U$9)-NL("Sum","5802 Value Entry","43 Cost Amount (Actual)","41 Source Type",$C$5,"5 Source no.",$C50,"4 Item Ledger Entry Type",$C$4,"2 Item No.","@@"&amp;$F50,"3 Posting Date",U$9)</t>
  </si>
  <si>
    <t>=U50-W50</t>
  </si>
  <si>
    <t>=IF(U50&lt;&gt;0,X50/U50,"")</t>
  </si>
  <si>
    <t>=NL("Sum","5802 Value Entry","150 Sales Amount (Expected)","41 Source Type",$C$5,"5 Source No.",$C50,"4 Item Ledger Entry Type",$C$4,"2 Item No.","@@"&amp;$F50,"3 Posting Date",Z$9)+NL("Sum","5802 Value Entry","17 Sales Amount (Actual)","41 Source Type",$C$5,"5 Source no.",$C50,"4 Item Ledger Entry Type",$C$4,"2 Item No.","@@"&amp;$F50,"3 Posting Date",Z$9)</t>
  </si>
  <si>
    <t>=-NL("Sum","5802 Value Entry","151 Cost Amount (Expected)","41 Source Type",$C$5,"5 Source No.",$C50,"4 Item Ledger Entry Type",$C$4,"2 Item No.","@@"&amp;$F50,"3 Posting Date",Z$9)-NL("Sum","5802 Value Entry","43 Cost Amount (Actual)","41 Source Type",$C$5,"5 Source no.",$C50,"4 Item Ledger Entry Type",$C$4,"2 Item No.","@@"&amp;$F50,"3 Posting Date",Z$9)</t>
  </si>
  <si>
    <t>=Z50-AB50</t>
  </si>
  <si>
    <t>=IF(Z50&lt;&gt;0,AC50/Z50,"")</t>
  </si>
  <si>
    <t>="S100002"</t>
  </si>
  <si>
    <t>=NL("Sum","5802 Value Entry","150 Sales Amount (Expected)","41 Source Type",$C$5,"5 Source No.",$C51,"4 Item Ledger Entry Type",$C$4,"2 Item No.","@@"&amp;$F51,"3 Posting Date",J$9)+NL("Sum","5802 Value Entry","17 Sales Amount (Actual)","41 Source Type",$C$5,"5 Source no.",$C51,"4 Item Ledger Entry Type",$C$4,"2 Item No.","@@"&amp;$F51,"3 Posting Date",J$9)</t>
  </si>
  <si>
    <t>=-NL("Sum","5802 Value Entry","151 Cost Amount (Expected)","41 Source Type",$C$5,"5 Source No.",$C51,"4 Item Ledger Entry Type",$C$4,"2 Item No.","@@"&amp;$F51,"3 Posting Date",J$9)-NL("Sum","5802 Value Entry","43 Cost Amount (Actual)","41 Source Type",$C$5,"5 Source no.",$C51,"4 Item Ledger Entry Type",$C$4,"2 Item No.","@@"&amp;$F51,"3 Posting Date",J$9)</t>
  </si>
  <si>
    <t>=J51-L51</t>
  </si>
  <si>
    <t>=IF(J51&lt;&gt;0,M51/J51,"")</t>
  </si>
  <si>
    <t>=NL("Sum","5802 Value Entry","150 Sales Amount (Expected)","41 Source Type",$C$5,"5 Source No.",$C51,"4 Item Ledger Entry Type",$C$4,"2 Item No.","@@"&amp;$F51,"3 Posting Date",O$9)+NL("Sum","5802 Value Entry","17 Sales Amount (Actual)","41 Source Type",$C$5,"5 Source no.",$C51,"4 Item Ledger Entry Type",$C$4,"2 Item No.","@@"&amp;$F51,"3 Posting Date",O$9)</t>
  </si>
  <si>
    <t>=-NL("Sum","5802 Value Entry","151 Cost Amount (Expected)","41 Source Type",$C$5,"5 Source No.",$C51,"4 Item Ledger Entry Type",$C$4,"2 Item No.","@@"&amp;$F51,"3 Posting Date",O$9)-NL("Sum","5802 Value Entry","43 Cost Amount (Actual)","41 Source Type",$C$5,"5 Source no.",$C51,"4 Item Ledger Entry Type",$C$4,"2 Item No.","@@"&amp;$F51,"3 Posting Date",O$9)</t>
  </si>
  <si>
    <t>=O51-Q51</t>
  </si>
  <si>
    <t>=IF(O51&lt;&gt;0,R51/O51,"")</t>
  </si>
  <si>
    <t>=NL("Sum","5802 Value Entry","150 Sales Amount (Expected)","41 Source Type",$C$5,"5 Source No.",$C51,"4 Item Ledger Entry Type",$C$4,"2 Item No.","@@"&amp;$F51,"3 Posting Date",U$9)+NL("Sum","5802 Value Entry","17 Sales Amount (Actual)","41 Source Type",$C$5,"5 Source no.",$C51,"4 Item Ledger Entry Type",$C$4,"2 Item No.","@@"&amp;$F51,"3 Posting Date",U$9)</t>
  </si>
  <si>
    <t>=-NL("Sum","5802 Value Entry","151 Cost Amount (Expected)","41 Source Type",$C$5,"5 Source No.",$C51,"4 Item Ledger Entry Type",$C$4,"2 Item No.","@@"&amp;$F51,"3 Posting Date",U$9)-NL("Sum","5802 Value Entry","43 Cost Amount (Actual)","41 Source Type",$C$5,"5 Source no.",$C51,"4 Item Ledger Entry Type",$C$4,"2 Item No.","@@"&amp;$F51,"3 Posting Date",U$9)</t>
  </si>
  <si>
    <t>=U51-W51</t>
  </si>
  <si>
    <t>=IF(U51&lt;&gt;0,X51/U51,"")</t>
  </si>
  <si>
    <t>=NL("Sum","5802 Value Entry","150 Sales Amount (Expected)","41 Source Type",$C$5,"5 Source No.",$C51,"4 Item Ledger Entry Type",$C$4,"2 Item No.","@@"&amp;$F51,"3 Posting Date",Z$9)+NL("Sum","5802 Value Entry","17 Sales Amount (Actual)","41 Source Type",$C$5,"5 Source no.",$C51,"4 Item Ledger Entry Type",$C$4,"2 Item No.","@@"&amp;$F51,"3 Posting Date",Z$9)</t>
  </si>
  <si>
    <t>=-NL("Sum","5802 Value Entry","151 Cost Amount (Expected)","41 Source Type",$C$5,"5 Source No.",$C51,"4 Item Ledger Entry Type",$C$4,"2 Item No.","@@"&amp;$F51,"3 Posting Date",Z$9)-NL("Sum","5802 Value Entry","43 Cost Amount (Actual)","41 Source Type",$C$5,"5 Source no.",$C51,"4 Item Ledger Entry Type",$C$4,"2 Item No.","@@"&amp;$F51,"3 Posting Date",Z$9)</t>
  </si>
  <si>
    <t>=Z51-AB51</t>
  </si>
  <si>
    <t>=IF(Z51&lt;&gt;0,AC51/Z51,"")</t>
  </si>
  <si>
    <t>="S100003"</t>
  </si>
  <si>
    <t>=NL("Sum","5802 Value Entry","150 Sales Amount (Expected)","41 Source Type",$C$5,"5 Source No.",$C52,"4 Item Ledger Entry Type",$C$4,"2 Item No.","@@"&amp;$F52,"3 Posting Date",J$9)+NL("Sum","5802 Value Entry","17 Sales Amount (Actual)","41 Source Type",$C$5,"5 Source no.",$C52,"4 Item Ledger Entry Type",$C$4,"2 Item No.","@@"&amp;$F52,"3 Posting Date",J$9)</t>
  </si>
  <si>
    <t>=-NL("Sum","5802 Value Entry","151 Cost Amount (Expected)","41 Source Type",$C$5,"5 Source No.",$C52,"4 Item Ledger Entry Type",$C$4,"2 Item No.","@@"&amp;$F52,"3 Posting Date",J$9)-NL("Sum","5802 Value Entry","43 Cost Amount (Actual)","41 Source Type",$C$5,"5 Source no.",$C52,"4 Item Ledger Entry Type",$C$4,"2 Item No.","@@"&amp;$F52,"3 Posting Date",J$9)</t>
  </si>
  <si>
    <t>=NL("Sum","5802 Value Entry","150 Sales Amount (Expected)","41 Source Type",$C$5,"5 Source No.",$C52,"4 Item Ledger Entry Type",$C$4,"2 Item No.","@@"&amp;$F52,"3 Posting Date",O$9)+NL("Sum","5802 Value Entry","17 Sales Amount (Actual)","41 Source Type",$C$5,"5 Source no.",$C52,"4 Item Ledger Entry Type",$C$4,"2 Item No.","@@"&amp;$F52,"3 Posting Date",O$9)</t>
  </si>
  <si>
    <t>=-NL("Sum","5802 Value Entry","151 Cost Amount (Expected)","41 Source Type",$C$5,"5 Source No.",$C52,"4 Item Ledger Entry Type",$C$4,"2 Item No.","@@"&amp;$F52,"3 Posting Date",O$9)-NL("Sum","5802 Value Entry","43 Cost Amount (Actual)","41 Source Type",$C$5,"5 Source no.",$C52,"4 Item Ledger Entry Type",$C$4,"2 Item No.","@@"&amp;$F52,"3 Posting Date",O$9)</t>
  </si>
  <si>
    <t>=NL("Sum","5802 Value Entry","150 Sales Amount (Expected)","41 Source Type",$C$5,"5 Source No.",$C52,"4 Item Ledger Entry Type",$C$4,"2 Item No.","@@"&amp;$F52,"3 Posting Date",U$9)+NL("Sum","5802 Value Entry","17 Sales Amount (Actual)","41 Source Type",$C$5,"5 Source no.",$C52,"4 Item Ledger Entry Type",$C$4,"2 Item No.","@@"&amp;$F52,"3 Posting Date",U$9)</t>
  </si>
  <si>
    <t>=-NL("Sum","5802 Value Entry","151 Cost Amount (Expected)","41 Source Type",$C$5,"5 Source No.",$C52,"4 Item Ledger Entry Type",$C$4,"2 Item No.","@@"&amp;$F52,"3 Posting Date",U$9)-NL("Sum","5802 Value Entry","43 Cost Amount (Actual)","41 Source Type",$C$5,"5 Source no.",$C52,"4 Item Ledger Entry Type",$C$4,"2 Item No.","@@"&amp;$F52,"3 Posting Date",U$9)</t>
  </si>
  <si>
    <t>=NL("Sum","5802 Value Entry","150 Sales Amount (Expected)","41 Source Type",$C$5,"5 Source No.",$C52,"4 Item Ledger Entry Type",$C$4,"2 Item No.","@@"&amp;$F52,"3 Posting Date",Z$9)+NL("Sum","5802 Value Entry","17 Sales Amount (Actual)","41 Source Type",$C$5,"5 Source no.",$C52,"4 Item Ledger Entry Type",$C$4,"2 Item No.","@@"&amp;$F52,"3 Posting Date",Z$9)</t>
  </si>
  <si>
    <t>=-NL("Sum","5802 Value Entry","151 Cost Amount (Expected)","41 Source Type",$C$5,"5 Source No.",$C52,"4 Item Ledger Entry Type",$C$4,"2 Item No.","@@"&amp;$F52,"3 Posting Date",Z$9)-NL("Sum","5802 Value Entry","43 Cost Amount (Actual)","41 Source Type",$C$5,"5 Source no.",$C52,"4 Item Ledger Entry Type",$C$4,"2 Item No.","@@"&amp;$F52,"3 Posting Date",Z$9)</t>
  </si>
  <si>
    <t>="S100005"</t>
  </si>
  <si>
    <t>=NL("Sum","5802 Value Entry","150 Sales Amount (Expected)","41 Source Type",$C$5,"5 Source No.",$C53,"4 Item Ledger Entry Type",$C$4,"2 Item No.","@@"&amp;$F53,"3 Posting Date",J$9)+NL("Sum","5802 Value Entry","17 Sales Amount (Actual)","41 Source Type",$C$5,"5 Source no.",$C53,"4 Item Ledger Entry Type",$C$4,"2 Item No.","@@"&amp;$F53,"3 Posting Date",J$9)</t>
  </si>
  <si>
    <t>=-NL("Sum","5802 Value Entry","151 Cost Amount (Expected)","41 Source Type",$C$5,"5 Source No.",$C53,"4 Item Ledger Entry Type",$C$4,"2 Item No.","@@"&amp;$F53,"3 Posting Date",J$9)-NL("Sum","5802 Value Entry","43 Cost Amount (Actual)","41 Source Type",$C$5,"5 Source no.",$C53,"4 Item Ledger Entry Type",$C$4,"2 Item No.","@@"&amp;$F53,"3 Posting Date",J$9)</t>
  </si>
  <si>
    <t>=J53-L53</t>
  </si>
  <si>
    <t>=IF(J53&lt;&gt;0,M53/J53,"")</t>
  </si>
  <si>
    <t>=NL("Sum","5802 Value Entry","150 Sales Amount (Expected)","41 Source Type",$C$5,"5 Source No.",$C53,"4 Item Ledger Entry Type",$C$4,"2 Item No.","@@"&amp;$F53,"3 Posting Date",O$9)+NL("Sum","5802 Value Entry","17 Sales Amount (Actual)","41 Source Type",$C$5,"5 Source no.",$C53,"4 Item Ledger Entry Type",$C$4,"2 Item No.","@@"&amp;$F53,"3 Posting Date",O$9)</t>
  </si>
  <si>
    <t>=-NL("Sum","5802 Value Entry","151 Cost Amount (Expected)","41 Source Type",$C$5,"5 Source No.",$C53,"4 Item Ledger Entry Type",$C$4,"2 Item No.","@@"&amp;$F53,"3 Posting Date",O$9)-NL("Sum","5802 Value Entry","43 Cost Amount (Actual)","41 Source Type",$C$5,"5 Source no.",$C53,"4 Item Ledger Entry Type",$C$4,"2 Item No.","@@"&amp;$F53,"3 Posting Date",O$9)</t>
  </si>
  <si>
    <t>=O53-Q53</t>
  </si>
  <si>
    <t>=IF(O53&lt;&gt;0,R53/O53,"")</t>
  </si>
  <si>
    <t>=NL("Sum","5802 Value Entry","150 Sales Amount (Expected)","41 Source Type",$C$5,"5 Source No.",$C53,"4 Item Ledger Entry Type",$C$4,"2 Item No.","@@"&amp;$F53,"3 Posting Date",U$9)+NL("Sum","5802 Value Entry","17 Sales Amount (Actual)","41 Source Type",$C$5,"5 Source no.",$C53,"4 Item Ledger Entry Type",$C$4,"2 Item No.","@@"&amp;$F53,"3 Posting Date",U$9)</t>
  </si>
  <si>
    <t>=-NL("Sum","5802 Value Entry","151 Cost Amount (Expected)","41 Source Type",$C$5,"5 Source No.",$C53,"4 Item Ledger Entry Type",$C$4,"2 Item No.","@@"&amp;$F53,"3 Posting Date",U$9)-NL("Sum","5802 Value Entry","43 Cost Amount (Actual)","41 Source Type",$C$5,"5 Source no.",$C53,"4 Item Ledger Entry Type",$C$4,"2 Item No.","@@"&amp;$F53,"3 Posting Date",U$9)</t>
  </si>
  <si>
    <t>=U53-W53</t>
  </si>
  <si>
    <t>=IF(U53&lt;&gt;0,X53/U53,"")</t>
  </si>
  <si>
    <t>=NL("Sum","5802 Value Entry","150 Sales Amount (Expected)","41 Source Type",$C$5,"5 Source No.",$C53,"4 Item Ledger Entry Type",$C$4,"2 Item No.","@@"&amp;$F53,"3 Posting Date",Z$9)+NL("Sum","5802 Value Entry","17 Sales Amount (Actual)","41 Source Type",$C$5,"5 Source no.",$C53,"4 Item Ledger Entry Type",$C$4,"2 Item No.","@@"&amp;$F53,"3 Posting Date",Z$9)</t>
  </si>
  <si>
    <t>=-NL("Sum","5802 Value Entry","151 Cost Amount (Expected)","41 Source Type",$C$5,"5 Source No.",$C53,"4 Item Ledger Entry Type",$C$4,"2 Item No.","@@"&amp;$F53,"3 Posting Date",Z$9)-NL("Sum","5802 Value Entry","43 Cost Amount (Actual)","41 Source Type",$C$5,"5 Source no.",$C53,"4 Item Ledger Entry Type",$C$4,"2 Item No.","@@"&amp;$F53,"3 Posting Date",Z$9)</t>
  </si>
  <si>
    <t>=Z53-AB53</t>
  </si>
  <si>
    <t>=IF(Z53&lt;&gt;0,AC53/Z53,"")</t>
  </si>
  <si>
    <t>="S100006"</t>
  </si>
  <si>
    <t>=NL("Sum","5802 Value Entry","150 Sales Amount (Expected)","41 Source Type",$C$5,"5 Source No.",$C54,"4 Item Ledger Entry Type",$C$4,"2 Item No.","@@"&amp;$F54,"3 Posting Date",J$9)+NL("Sum","5802 Value Entry","17 Sales Amount (Actual)","41 Source Type",$C$5,"5 Source no.",$C54,"4 Item Ledger Entry Type",$C$4,"2 Item No.","@@"&amp;$F54,"3 Posting Date",J$9)</t>
  </si>
  <si>
    <t>=-NL("Sum","5802 Value Entry","151 Cost Amount (Expected)","41 Source Type",$C$5,"5 Source No.",$C54,"4 Item Ledger Entry Type",$C$4,"2 Item No.","@@"&amp;$F54,"3 Posting Date",J$9)-NL("Sum","5802 Value Entry","43 Cost Amount (Actual)","41 Source Type",$C$5,"5 Source no.",$C54,"4 Item Ledger Entry Type",$C$4,"2 Item No.","@@"&amp;$F54,"3 Posting Date",J$9)</t>
  </si>
  <si>
    <t>=NL("Sum","5802 Value Entry","150 Sales Amount (Expected)","41 Source Type",$C$5,"5 Source No.",$C54,"4 Item Ledger Entry Type",$C$4,"2 Item No.","@@"&amp;$F54,"3 Posting Date",O$9)+NL("Sum","5802 Value Entry","17 Sales Amount (Actual)","41 Source Type",$C$5,"5 Source no.",$C54,"4 Item Ledger Entry Type",$C$4,"2 Item No.","@@"&amp;$F54,"3 Posting Date",O$9)</t>
  </si>
  <si>
    <t>=-NL("Sum","5802 Value Entry","151 Cost Amount (Expected)","41 Source Type",$C$5,"5 Source No.",$C54,"4 Item Ledger Entry Type",$C$4,"2 Item No.","@@"&amp;$F54,"3 Posting Date",O$9)-NL("Sum","5802 Value Entry","43 Cost Amount (Actual)","41 Source Type",$C$5,"5 Source no.",$C54,"4 Item Ledger Entry Type",$C$4,"2 Item No.","@@"&amp;$F54,"3 Posting Date",O$9)</t>
  </si>
  <si>
    <t>=NL("Sum","5802 Value Entry","150 Sales Amount (Expected)","41 Source Type",$C$5,"5 Source No.",$C54,"4 Item Ledger Entry Type",$C$4,"2 Item No.","@@"&amp;$F54,"3 Posting Date",U$9)+NL("Sum","5802 Value Entry","17 Sales Amount (Actual)","41 Source Type",$C$5,"5 Source no.",$C54,"4 Item Ledger Entry Type",$C$4,"2 Item No.","@@"&amp;$F54,"3 Posting Date",U$9)</t>
  </si>
  <si>
    <t>=-NL("Sum","5802 Value Entry","151 Cost Amount (Expected)","41 Source Type",$C$5,"5 Source No.",$C54,"4 Item Ledger Entry Type",$C$4,"2 Item No.","@@"&amp;$F54,"3 Posting Date",U$9)-NL("Sum","5802 Value Entry","43 Cost Amount (Actual)","41 Source Type",$C$5,"5 Source no.",$C54,"4 Item Ledger Entry Type",$C$4,"2 Item No.","@@"&amp;$F54,"3 Posting Date",U$9)</t>
  </si>
  <si>
    <t>=NL("Sum","5802 Value Entry","150 Sales Amount (Expected)","41 Source Type",$C$5,"5 Source No.",$C54,"4 Item Ledger Entry Type",$C$4,"2 Item No.","@@"&amp;$F54,"3 Posting Date",Z$9)+NL("Sum","5802 Value Entry","17 Sales Amount (Actual)","41 Source Type",$C$5,"5 Source no.",$C54,"4 Item Ledger Entry Type",$C$4,"2 Item No.","@@"&amp;$F54,"3 Posting Date",Z$9)</t>
  </si>
  <si>
    <t>=-NL("Sum","5802 Value Entry","151 Cost Amount (Expected)","41 Source Type",$C$5,"5 Source No.",$C54,"4 Item Ledger Entry Type",$C$4,"2 Item No.","@@"&amp;$F54,"3 Posting Date",Z$9)-NL("Sum","5802 Value Entry","43 Cost Amount (Actual)","41 Source Type",$C$5,"5 Source no.",$C54,"4 Item Ledger Entry Type",$C$4,"2 Item No.","@@"&amp;$F54,"3 Posting Date",Z$9)</t>
  </si>
  <si>
    <t>=C54</t>
  </si>
  <si>
    <t>="S100007"</t>
  </si>
  <si>
    <t>=NL("Sum","5802 Value Entry","150 Sales Amount (Expected)","41 Source Type",$C$5,"5 Source No.",$C55,"4 Item Ledger Entry Type",$C$4,"2 Item No.","@@"&amp;$F55,"3 Posting Date",J$9)+NL("Sum","5802 Value Entry","17 Sales Amount (Actual)","41 Source Type",$C$5,"5 Source no.",$C55,"4 Item Ledger Entry Type",$C$4,"2 Item No.","@@"&amp;$F55,"3 Posting Date",J$9)</t>
  </si>
  <si>
    <t>=-NL("Sum","5802 Value Entry","151 Cost Amount (Expected)","41 Source Type",$C$5,"5 Source No.",$C55,"4 Item Ledger Entry Type",$C$4,"2 Item No.","@@"&amp;$F55,"3 Posting Date",J$9)-NL("Sum","5802 Value Entry","43 Cost Amount (Actual)","41 Source Type",$C$5,"5 Source no.",$C55,"4 Item Ledger Entry Type",$C$4,"2 Item No.","@@"&amp;$F55,"3 Posting Date",J$9)</t>
  </si>
  <si>
    <t>=J55-L55</t>
  </si>
  <si>
    <t>=IF(J55&lt;&gt;0,M55/J55,"")</t>
  </si>
  <si>
    <t>=NL("Sum","5802 Value Entry","150 Sales Amount (Expected)","41 Source Type",$C$5,"5 Source No.",$C55,"4 Item Ledger Entry Type",$C$4,"2 Item No.","@@"&amp;$F55,"3 Posting Date",O$9)+NL("Sum","5802 Value Entry","17 Sales Amount (Actual)","41 Source Type",$C$5,"5 Source no.",$C55,"4 Item Ledger Entry Type",$C$4,"2 Item No.","@@"&amp;$F55,"3 Posting Date",O$9)</t>
  </si>
  <si>
    <t>=-NL("Sum","5802 Value Entry","151 Cost Amount (Expected)","41 Source Type",$C$5,"5 Source No.",$C55,"4 Item Ledger Entry Type",$C$4,"2 Item No.","@@"&amp;$F55,"3 Posting Date",O$9)-NL("Sum","5802 Value Entry","43 Cost Amount (Actual)","41 Source Type",$C$5,"5 Source no.",$C55,"4 Item Ledger Entry Type",$C$4,"2 Item No.","@@"&amp;$F55,"3 Posting Date",O$9)</t>
  </si>
  <si>
    <t>=O55-Q55</t>
  </si>
  <si>
    <t>=IF(O55&lt;&gt;0,R55/O55,"")</t>
  </si>
  <si>
    <t>=NL("Sum","5802 Value Entry","150 Sales Amount (Expected)","41 Source Type",$C$5,"5 Source No.",$C55,"4 Item Ledger Entry Type",$C$4,"2 Item No.","@@"&amp;$F55,"3 Posting Date",U$9)+NL("Sum","5802 Value Entry","17 Sales Amount (Actual)","41 Source Type",$C$5,"5 Source no.",$C55,"4 Item Ledger Entry Type",$C$4,"2 Item No.","@@"&amp;$F55,"3 Posting Date",U$9)</t>
  </si>
  <si>
    <t>=-NL("Sum","5802 Value Entry","151 Cost Amount (Expected)","41 Source Type",$C$5,"5 Source No.",$C55,"4 Item Ledger Entry Type",$C$4,"2 Item No.","@@"&amp;$F55,"3 Posting Date",U$9)-NL("Sum","5802 Value Entry","43 Cost Amount (Actual)","41 Source Type",$C$5,"5 Source no.",$C55,"4 Item Ledger Entry Type",$C$4,"2 Item No.","@@"&amp;$F55,"3 Posting Date",U$9)</t>
  </si>
  <si>
    <t>=U55-W55</t>
  </si>
  <si>
    <t>=IF(U55&lt;&gt;0,X55/U55,"")</t>
  </si>
  <si>
    <t>=NL("Sum","5802 Value Entry","150 Sales Amount (Expected)","41 Source Type",$C$5,"5 Source No.",$C55,"4 Item Ledger Entry Type",$C$4,"2 Item No.","@@"&amp;$F55,"3 Posting Date",Z$9)+NL("Sum","5802 Value Entry","17 Sales Amount (Actual)","41 Source Type",$C$5,"5 Source no.",$C55,"4 Item Ledger Entry Type",$C$4,"2 Item No.","@@"&amp;$F55,"3 Posting Date",Z$9)</t>
  </si>
  <si>
    <t>=-NL("Sum","5802 Value Entry","151 Cost Amount (Expected)","41 Source Type",$C$5,"5 Source No.",$C55,"4 Item Ledger Entry Type",$C$4,"2 Item No.","@@"&amp;$F55,"3 Posting Date",Z$9)-NL("Sum","5802 Value Entry","43 Cost Amount (Actual)","41 Source Type",$C$5,"5 Source no.",$C55,"4 Item Ledger Entry Type",$C$4,"2 Item No.","@@"&amp;$F55,"3 Posting Date",Z$9)</t>
  </si>
  <si>
    <t>=Z55-AB55</t>
  </si>
  <si>
    <t>=IF(Z55&lt;&gt;0,AC55/Z55,"")</t>
  </si>
  <si>
    <t>=C55</t>
  </si>
  <si>
    <t>="S100008"</t>
  </si>
  <si>
    <t>=NL("Sum","5802 Value Entry","150 Sales Amount (Expected)","41 Source Type",$C$5,"5 Source No.",$C56,"4 Item Ledger Entry Type",$C$4,"2 Item No.","@@"&amp;$F56,"3 Posting Date",J$9)+NL("Sum","5802 Value Entry","17 Sales Amount (Actual)","41 Source Type",$C$5,"5 Source no.",$C56,"4 Item Ledger Entry Type",$C$4,"2 Item No.","@@"&amp;$F56,"3 Posting Date",J$9)</t>
  </si>
  <si>
    <t>=-NL("Sum","5802 Value Entry","151 Cost Amount (Expected)","41 Source Type",$C$5,"5 Source No.",$C56,"4 Item Ledger Entry Type",$C$4,"2 Item No.","@@"&amp;$F56,"3 Posting Date",J$9)-NL("Sum","5802 Value Entry","43 Cost Amount (Actual)","41 Source Type",$C$5,"5 Source no.",$C56,"4 Item Ledger Entry Type",$C$4,"2 Item No.","@@"&amp;$F56,"3 Posting Date",J$9)</t>
  </si>
  <si>
    <t>=J56-L56</t>
  </si>
  <si>
    <t>=IF(J56&lt;&gt;0,M56/J56,"")</t>
  </si>
  <si>
    <t>=NL("Sum","5802 Value Entry","150 Sales Amount (Expected)","41 Source Type",$C$5,"5 Source No.",$C56,"4 Item Ledger Entry Type",$C$4,"2 Item No.","@@"&amp;$F56,"3 Posting Date",O$9)+NL("Sum","5802 Value Entry","17 Sales Amount (Actual)","41 Source Type",$C$5,"5 Source no.",$C56,"4 Item Ledger Entry Type",$C$4,"2 Item No.","@@"&amp;$F56,"3 Posting Date",O$9)</t>
  </si>
  <si>
    <t>=-NL("Sum","5802 Value Entry","151 Cost Amount (Expected)","41 Source Type",$C$5,"5 Source No.",$C56,"4 Item Ledger Entry Type",$C$4,"2 Item No.","@@"&amp;$F56,"3 Posting Date",O$9)-NL("Sum","5802 Value Entry","43 Cost Amount (Actual)","41 Source Type",$C$5,"5 Source no.",$C56,"4 Item Ledger Entry Type",$C$4,"2 Item No.","@@"&amp;$F56,"3 Posting Date",O$9)</t>
  </si>
  <si>
    <t>=O56-Q56</t>
  </si>
  <si>
    <t>=IF(O56&lt;&gt;0,R56/O56,"")</t>
  </si>
  <si>
    <t>=NL("Sum","5802 Value Entry","150 Sales Amount (Expected)","41 Source Type",$C$5,"5 Source No.",$C56,"4 Item Ledger Entry Type",$C$4,"2 Item No.","@@"&amp;$F56,"3 Posting Date",U$9)+NL("Sum","5802 Value Entry","17 Sales Amount (Actual)","41 Source Type",$C$5,"5 Source no.",$C56,"4 Item Ledger Entry Type",$C$4,"2 Item No.","@@"&amp;$F56,"3 Posting Date",U$9)</t>
  </si>
  <si>
    <t>=-NL("Sum","5802 Value Entry","151 Cost Amount (Expected)","41 Source Type",$C$5,"5 Source No.",$C56,"4 Item Ledger Entry Type",$C$4,"2 Item No.","@@"&amp;$F56,"3 Posting Date",U$9)-NL("Sum","5802 Value Entry","43 Cost Amount (Actual)","41 Source Type",$C$5,"5 Source no.",$C56,"4 Item Ledger Entry Type",$C$4,"2 Item No.","@@"&amp;$F56,"3 Posting Date",U$9)</t>
  </si>
  <si>
    <t>=U56-W56</t>
  </si>
  <si>
    <t>=IF(U56&lt;&gt;0,X56/U56,"")</t>
  </si>
  <si>
    <t>=NL("Sum","5802 Value Entry","150 Sales Amount (Expected)","41 Source Type",$C$5,"5 Source No.",$C56,"4 Item Ledger Entry Type",$C$4,"2 Item No.","@@"&amp;$F56,"3 Posting Date",Z$9)+NL("Sum","5802 Value Entry","17 Sales Amount (Actual)","41 Source Type",$C$5,"5 Source no.",$C56,"4 Item Ledger Entry Type",$C$4,"2 Item No.","@@"&amp;$F56,"3 Posting Date",Z$9)</t>
  </si>
  <si>
    <t>=-NL("Sum","5802 Value Entry","151 Cost Amount (Expected)","41 Source Type",$C$5,"5 Source No.",$C56,"4 Item Ledger Entry Type",$C$4,"2 Item No.","@@"&amp;$F56,"3 Posting Date",Z$9)-NL("Sum","5802 Value Entry","43 Cost Amount (Actual)","41 Source Type",$C$5,"5 Source no.",$C56,"4 Item Ledger Entry Type",$C$4,"2 Item No.","@@"&amp;$F56,"3 Posting Date",Z$9)</t>
  </si>
  <si>
    <t>=Z56-AB56</t>
  </si>
  <si>
    <t>=IF(Z56&lt;&gt;0,AC56/Z56,"")</t>
  </si>
  <si>
    <t>="S100009"</t>
  </si>
  <si>
    <t>=NL("Sum","5802 Value Entry","150 Sales Amount (Expected)","41 Source Type",$C$5,"5 Source No.",$C57,"4 Item Ledger Entry Type",$C$4,"2 Item No.","@@"&amp;$F57,"3 Posting Date",J$9)+NL("Sum","5802 Value Entry","17 Sales Amount (Actual)","41 Source Type",$C$5,"5 Source no.",$C57,"4 Item Ledger Entry Type",$C$4,"2 Item No.","@@"&amp;$F57,"3 Posting Date",J$9)</t>
  </si>
  <si>
    <t>=-NL("Sum","5802 Value Entry","151 Cost Amount (Expected)","41 Source Type",$C$5,"5 Source No.",$C57,"4 Item Ledger Entry Type",$C$4,"2 Item No.","@@"&amp;$F57,"3 Posting Date",J$9)-NL("Sum","5802 Value Entry","43 Cost Amount (Actual)","41 Source Type",$C$5,"5 Source no.",$C57,"4 Item Ledger Entry Type",$C$4,"2 Item No.","@@"&amp;$F57,"3 Posting Date",J$9)</t>
  </si>
  <si>
    <t>=J57-L57</t>
  </si>
  <si>
    <t>=IF(J57&lt;&gt;0,M57/J57,"")</t>
  </si>
  <si>
    <t>=NL("Sum","5802 Value Entry","150 Sales Amount (Expected)","41 Source Type",$C$5,"5 Source No.",$C57,"4 Item Ledger Entry Type",$C$4,"2 Item No.","@@"&amp;$F57,"3 Posting Date",O$9)+NL("Sum","5802 Value Entry","17 Sales Amount (Actual)","41 Source Type",$C$5,"5 Source no.",$C57,"4 Item Ledger Entry Type",$C$4,"2 Item No.","@@"&amp;$F57,"3 Posting Date",O$9)</t>
  </si>
  <si>
    <t>=-NL("Sum","5802 Value Entry","151 Cost Amount (Expected)","41 Source Type",$C$5,"5 Source No.",$C57,"4 Item Ledger Entry Type",$C$4,"2 Item No.","@@"&amp;$F57,"3 Posting Date",O$9)-NL("Sum","5802 Value Entry","43 Cost Amount (Actual)","41 Source Type",$C$5,"5 Source no.",$C57,"4 Item Ledger Entry Type",$C$4,"2 Item No.","@@"&amp;$F57,"3 Posting Date",O$9)</t>
  </si>
  <si>
    <t>=O57-Q57</t>
  </si>
  <si>
    <t>=IF(O57&lt;&gt;0,R57/O57,"")</t>
  </si>
  <si>
    <t>=NL("Sum","5802 Value Entry","150 Sales Amount (Expected)","41 Source Type",$C$5,"5 Source No.",$C57,"4 Item Ledger Entry Type",$C$4,"2 Item No.","@@"&amp;$F57,"3 Posting Date",U$9)+NL("Sum","5802 Value Entry","17 Sales Amount (Actual)","41 Source Type",$C$5,"5 Source no.",$C57,"4 Item Ledger Entry Type",$C$4,"2 Item No.","@@"&amp;$F57,"3 Posting Date",U$9)</t>
  </si>
  <si>
    <t>=-NL("Sum","5802 Value Entry","151 Cost Amount (Expected)","41 Source Type",$C$5,"5 Source No.",$C57,"4 Item Ledger Entry Type",$C$4,"2 Item No.","@@"&amp;$F57,"3 Posting Date",U$9)-NL("Sum","5802 Value Entry","43 Cost Amount (Actual)","41 Source Type",$C$5,"5 Source no.",$C57,"4 Item Ledger Entry Type",$C$4,"2 Item No.","@@"&amp;$F57,"3 Posting Date",U$9)</t>
  </si>
  <si>
    <t>=U57-W57</t>
  </si>
  <si>
    <t>=IF(U57&lt;&gt;0,X57/U57,"")</t>
  </si>
  <si>
    <t>=NL("Sum","5802 Value Entry","150 Sales Amount (Expected)","41 Source Type",$C$5,"5 Source No.",$C57,"4 Item Ledger Entry Type",$C$4,"2 Item No.","@@"&amp;$F57,"3 Posting Date",Z$9)+NL("Sum","5802 Value Entry","17 Sales Amount (Actual)","41 Source Type",$C$5,"5 Source no.",$C57,"4 Item Ledger Entry Type",$C$4,"2 Item No.","@@"&amp;$F57,"3 Posting Date",Z$9)</t>
  </si>
  <si>
    <t>=-NL("Sum","5802 Value Entry","151 Cost Amount (Expected)","41 Source Type",$C$5,"5 Source No.",$C57,"4 Item Ledger Entry Type",$C$4,"2 Item No.","@@"&amp;$F57,"3 Posting Date",Z$9)-NL("Sum","5802 Value Entry","43 Cost Amount (Actual)","41 Source Type",$C$5,"5 Source no.",$C57,"4 Item Ledger Entry Type",$C$4,"2 Item No.","@@"&amp;$F57,"3 Posting Date",Z$9)</t>
  </si>
  <si>
    <t>=Z57-AB57</t>
  </si>
  <si>
    <t>=IF(Z57&lt;&gt;0,AC57/Z57,"")</t>
  </si>
  <si>
    <t>="S100010"</t>
  </si>
  <si>
    <t>=NL("Sum","5802 Value Entry","150 Sales Amount (Expected)","41 Source Type",$C$5,"5 Source No.",$C58,"4 Item Ledger Entry Type",$C$4,"2 Item No.","@@"&amp;$F58,"3 Posting Date",J$9)+NL("Sum","5802 Value Entry","17 Sales Amount (Actual)","41 Source Type",$C$5,"5 Source no.",$C58,"4 Item Ledger Entry Type",$C$4,"2 Item No.","@@"&amp;$F58,"3 Posting Date",J$9)</t>
  </si>
  <si>
    <t>=-NL("Sum","5802 Value Entry","151 Cost Amount (Expected)","41 Source Type",$C$5,"5 Source No.",$C58,"4 Item Ledger Entry Type",$C$4,"2 Item No.","@@"&amp;$F58,"3 Posting Date",J$9)-NL("Sum","5802 Value Entry","43 Cost Amount (Actual)","41 Source Type",$C$5,"5 Source no.",$C58,"4 Item Ledger Entry Type",$C$4,"2 Item No.","@@"&amp;$F58,"3 Posting Date",J$9)</t>
  </si>
  <si>
    <t>=NL("Sum","5802 Value Entry","150 Sales Amount (Expected)","41 Source Type",$C$5,"5 Source No.",$C58,"4 Item Ledger Entry Type",$C$4,"2 Item No.","@@"&amp;$F58,"3 Posting Date",O$9)+NL("Sum","5802 Value Entry","17 Sales Amount (Actual)","41 Source Type",$C$5,"5 Source no.",$C58,"4 Item Ledger Entry Type",$C$4,"2 Item No.","@@"&amp;$F58,"3 Posting Date",O$9)</t>
  </si>
  <si>
    <t>=-NL("Sum","5802 Value Entry","151 Cost Amount (Expected)","41 Source Type",$C$5,"5 Source No.",$C58,"4 Item Ledger Entry Type",$C$4,"2 Item No.","@@"&amp;$F58,"3 Posting Date",O$9)-NL("Sum","5802 Value Entry","43 Cost Amount (Actual)","41 Source Type",$C$5,"5 Source no.",$C58,"4 Item Ledger Entry Type",$C$4,"2 Item No.","@@"&amp;$F58,"3 Posting Date",O$9)</t>
  </si>
  <si>
    <t>=NL("Sum","5802 Value Entry","150 Sales Amount (Expected)","41 Source Type",$C$5,"5 Source No.",$C58,"4 Item Ledger Entry Type",$C$4,"2 Item No.","@@"&amp;$F58,"3 Posting Date",U$9)+NL("Sum","5802 Value Entry","17 Sales Amount (Actual)","41 Source Type",$C$5,"5 Source no.",$C58,"4 Item Ledger Entry Type",$C$4,"2 Item No.","@@"&amp;$F58,"3 Posting Date",U$9)</t>
  </si>
  <si>
    <t>=-NL("Sum","5802 Value Entry","151 Cost Amount (Expected)","41 Source Type",$C$5,"5 Source No.",$C58,"4 Item Ledger Entry Type",$C$4,"2 Item No.","@@"&amp;$F58,"3 Posting Date",U$9)-NL("Sum","5802 Value Entry","43 Cost Amount (Actual)","41 Source Type",$C$5,"5 Source no.",$C58,"4 Item Ledger Entry Type",$C$4,"2 Item No.","@@"&amp;$F58,"3 Posting Date",U$9)</t>
  </si>
  <si>
    <t>=NL("Sum","5802 Value Entry","150 Sales Amount (Expected)","41 Source Type",$C$5,"5 Source No.",$C58,"4 Item Ledger Entry Type",$C$4,"2 Item No.","@@"&amp;$F58,"3 Posting Date",Z$9)+NL("Sum","5802 Value Entry","17 Sales Amount (Actual)","41 Source Type",$C$5,"5 Source no.",$C58,"4 Item Ledger Entry Type",$C$4,"2 Item No.","@@"&amp;$F58,"3 Posting Date",Z$9)</t>
  </si>
  <si>
    <t>=-NL("Sum","5802 Value Entry","151 Cost Amount (Expected)","41 Source Type",$C$5,"5 Source No.",$C58,"4 Item Ledger Entry Type",$C$4,"2 Item No.","@@"&amp;$F58,"3 Posting Date",Z$9)-NL("Sum","5802 Value Entry","43 Cost Amount (Actual)","41 Source Type",$C$5,"5 Source no.",$C58,"4 Item Ledger Entry Type",$C$4,"2 Item No.","@@"&amp;$F58,"3 Posting Date",Z$9)</t>
  </si>
  <si>
    <t>="S100011"</t>
  </si>
  <si>
    <t>=NL("Sum","5802 Value Entry","150 Sales Amount (Expected)","41 Source Type",$C$5,"5 Source No.",$C59,"4 Item Ledger Entry Type",$C$4,"2 Item No.","@@"&amp;$F59,"3 Posting Date",J$9)+NL("Sum","5802 Value Entry","17 Sales Amount (Actual)","41 Source Type",$C$5,"5 Source no.",$C59,"4 Item Ledger Entry Type",$C$4,"2 Item No.","@@"&amp;$F59,"3 Posting Date",J$9)</t>
  </si>
  <si>
    <t>=-NL("Sum","5802 Value Entry","151 Cost Amount (Expected)","41 Source Type",$C$5,"5 Source No.",$C59,"4 Item Ledger Entry Type",$C$4,"2 Item No.","@@"&amp;$F59,"3 Posting Date",J$9)-NL("Sum","5802 Value Entry","43 Cost Amount (Actual)","41 Source Type",$C$5,"5 Source no.",$C59,"4 Item Ledger Entry Type",$C$4,"2 Item No.","@@"&amp;$F59,"3 Posting Date",J$9)</t>
  </si>
  <si>
    <t>=J59-L59</t>
  </si>
  <si>
    <t>=IF(J59&lt;&gt;0,M59/J59,"")</t>
  </si>
  <si>
    <t>=NL("Sum","5802 Value Entry","150 Sales Amount (Expected)","41 Source Type",$C$5,"5 Source No.",$C59,"4 Item Ledger Entry Type",$C$4,"2 Item No.","@@"&amp;$F59,"3 Posting Date",O$9)+NL("Sum","5802 Value Entry","17 Sales Amount (Actual)","41 Source Type",$C$5,"5 Source no.",$C59,"4 Item Ledger Entry Type",$C$4,"2 Item No.","@@"&amp;$F59,"3 Posting Date",O$9)</t>
  </si>
  <si>
    <t>=-NL("Sum","5802 Value Entry","151 Cost Amount (Expected)","41 Source Type",$C$5,"5 Source No.",$C59,"4 Item Ledger Entry Type",$C$4,"2 Item No.","@@"&amp;$F59,"3 Posting Date",O$9)-NL("Sum","5802 Value Entry","43 Cost Amount (Actual)","41 Source Type",$C$5,"5 Source no.",$C59,"4 Item Ledger Entry Type",$C$4,"2 Item No.","@@"&amp;$F59,"3 Posting Date",O$9)</t>
  </si>
  <si>
    <t>=O59-Q59</t>
  </si>
  <si>
    <t>=IF(O59&lt;&gt;0,R59/O59,"")</t>
  </si>
  <si>
    <t>=NL("Sum","5802 Value Entry","150 Sales Amount (Expected)","41 Source Type",$C$5,"5 Source No.",$C59,"4 Item Ledger Entry Type",$C$4,"2 Item No.","@@"&amp;$F59,"3 Posting Date",U$9)+NL("Sum","5802 Value Entry","17 Sales Amount (Actual)","41 Source Type",$C$5,"5 Source no.",$C59,"4 Item Ledger Entry Type",$C$4,"2 Item No.","@@"&amp;$F59,"3 Posting Date",U$9)</t>
  </si>
  <si>
    <t>=-NL("Sum","5802 Value Entry","151 Cost Amount (Expected)","41 Source Type",$C$5,"5 Source No.",$C59,"4 Item Ledger Entry Type",$C$4,"2 Item No.","@@"&amp;$F59,"3 Posting Date",U$9)-NL("Sum","5802 Value Entry","43 Cost Amount (Actual)","41 Source Type",$C$5,"5 Source no.",$C59,"4 Item Ledger Entry Type",$C$4,"2 Item No.","@@"&amp;$F59,"3 Posting Date",U$9)</t>
  </si>
  <si>
    <t>=U59-W59</t>
  </si>
  <si>
    <t>=IF(U59&lt;&gt;0,X59/U59,"")</t>
  </si>
  <si>
    <t>=NL("Sum","5802 Value Entry","150 Sales Amount (Expected)","41 Source Type",$C$5,"5 Source No.",$C59,"4 Item Ledger Entry Type",$C$4,"2 Item No.","@@"&amp;$F59,"3 Posting Date",Z$9)+NL("Sum","5802 Value Entry","17 Sales Amount (Actual)","41 Source Type",$C$5,"5 Source no.",$C59,"4 Item Ledger Entry Type",$C$4,"2 Item No.","@@"&amp;$F59,"3 Posting Date",Z$9)</t>
  </si>
  <si>
    <t>=-NL("Sum","5802 Value Entry","151 Cost Amount (Expected)","41 Source Type",$C$5,"5 Source No.",$C59,"4 Item Ledger Entry Type",$C$4,"2 Item No.","@@"&amp;$F59,"3 Posting Date",Z$9)-NL("Sum","5802 Value Entry","43 Cost Amount (Actual)","41 Source Type",$C$5,"5 Source no.",$C59,"4 Item Ledger Entry Type",$C$4,"2 Item No.","@@"&amp;$F59,"3 Posting Date",Z$9)</t>
  </si>
  <si>
    <t>=Z59-AB59</t>
  </si>
  <si>
    <t>=IF(Z59&lt;&gt;0,AC59/Z59,"")</t>
  </si>
  <si>
    <t>="S100012"</t>
  </si>
  <si>
    <t>=NL("Sum","5802 Value Entry","150 Sales Amount (Expected)","41 Source Type",$C$5,"5 Source No.",$C60,"4 Item Ledger Entry Type",$C$4,"2 Item No.","@@"&amp;$F60,"3 Posting Date",J$9)+NL("Sum","5802 Value Entry","17 Sales Amount (Actual)","41 Source Type",$C$5,"5 Source no.",$C60,"4 Item Ledger Entry Type",$C$4,"2 Item No.","@@"&amp;$F60,"3 Posting Date",J$9)</t>
  </si>
  <si>
    <t>=-NL("Sum","5802 Value Entry","151 Cost Amount (Expected)","41 Source Type",$C$5,"5 Source No.",$C60,"4 Item Ledger Entry Type",$C$4,"2 Item No.","@@"&amp;$F60,"3 Posting Date",J$9)-NL("Sum","5802 Value Entry","43 Cost Amount (Actual)","41 Source Type",$C$5,"5 Source no.",$C60,"4 Item Ledger Entry Type",$C$4,"2 Item No.","@@"&amp;$F60,"3 Posting Date",J$9)</t>
  </si>
  <si>
    <t>=NL("Sum","5802 Value Entry","150 Sales Amount (Expected)","41 Source Type",$C$5,"5 Source No.",$C60,"4 Item Ledger Entry Type",$C$4,"2 Item No.","@@"&amp;$F60,"3 Posting Date",O$9)+NL("Sum","5802 Value Entry","17 Sales Amount (Actual)","41 Source Type",$C$5,"5 Source no.",$C60,"4 Item Ledger Entry Type",$C$4,"2 Item No.","@@"&amp;$F60,"3 Posting Date",O$9)</t>
  </si>
  <si>
    <t>=-NL("Sum","5802 Value Entry","151 Cost Amount (Expected)","41 Source Type",$C$5,"5 Source No.",$C60,"4 Item Ledger Entry Type",$C$4,"2 Item No.","@@"&amp;$F60,"3 Posting Date",O$9)-NL("Sum","5802 Value Entry","43 Cost Amount (Actual)","41 Source Type",$C$5,"5 Source no.",$C60,"4 Item Ledger Entry Type",$C$4,"2 Item No.","@@"&amp;$F60,"3 Posting Date",O$9)</t>
  </si>
  <si>
    <t>=NL("Sum","5802 Value Entry","150 Sales Amount (Expected)","41 Source Type",$C$5,"5 Source No.",$C60,"4 Item Ledger Entry Type",$C$4,"2 Item No.","@@"&amp;$F60,"3 Posting Date",U$9)+NL("Sum","5802 Value Entry","17 Sales Amount (Actual)","41 Source Type",$C$5,"5 Source no.",$C60,"4 Item Ledger Entry Type",$C$4,"2 Item No.","@@"&amp;$F60,"3 Posting Date",U$9)</t>
  </si>
  <si>
    <t>=-NL("Sum","5802 Value Entry","151 Cost Amount (Expected)","41 Source Type",$C$5,"5 Source No.",$C60,"4 Item Ledger Entry Type",$C$4,"2 Item No.","@@"&amp;$F60,"3 Posting Date",U$9)-NL("Sum","5802 Value Entry","43 Cost Amount (Actual)","41 Source Type",$C$5,"5 Source no.",$C60,"4 Item Ledger Entry Type",$C$4,"2 Item No.","@@"&amp;$F60,"3 Posting Date",U$9)</t>
  </si>
  <si>
    <t>=NL("Sum","5802 Value Entry","150 Sales Amount (Expected)","41 Source Type",$C$5,"5 Source No.",$C60,"4 Item Ledger Entry Type",$C$4,"2 Item No.","@@"&amp;$F60,"3 Posting Date",Z$9)+NL("Sum","5802 Value Entry","17 Sales Amount (Actual)","41 Source Type",$C$5,"5 Source no.",$C60,"4 Item Ledger Entry Type",$C$4,"2 Item No.","@@"&amp;$F60,"3 Posting Date",Z$9)</t>
  </si>
  <si>
    <t>=-NL("Sum","5802 Value Entry","151 Cost Amount (Expected)","41 Source Type",$C$5,"5 Source No.",$C60,"4 Item Ledger Entry Type",$C$4,"2 Item No.","@@"&amp;$F60,"3 Posting Date",Z$9)-NL("Sum","5802 Value Entry","43 Cost Amount (Actual)","41 Source Type",$C$5,"5 Source no.",$C60,"4 Item Ledger Entry Type",$C$4,"2 Item No.","@@"&amp;$F60,"3 Posting Date",Z$9)</t>
  </si>
  <si>
    <t>="S100013"</t>
  </si>
  <si>
    <t>=C61</t>
  </si>
  <si>
    <t>="S100014"</t>
  </si>
  <si>
    <t>=J62-L62</t>
  </si>
  <si>
    <t>=IF(J62&lt;&gt;0,M62/J62,"")</t>
  </si>
  <si>
    <t>=O62-Q62</t>
  </si>
  <si>
    <t>=IF(O62&lt;&gt;0,R62/O62,"")</t>
  </si>
  <si>
    <t>=U62-W62</t>
  </si>
  <si>
    <t>=IF(U62&lt;&gt;0,X62/U62,"")</t>
  </si>
  <si>
    <t>=Z62-AB62</t>
  </si>
  <si>
    <t>=IF(Z62&lt;&gt;0,AC62/Z62,"")</t>
  </si>
  <si>
    <t>="S100016"</t>
  </si>
  <si>
    <t>="S100017"</t>
  </si>
  <si>
    <t>="S100018"</t>
  </si>
  <si>
    <t>="S100019"</t>
  </si>
  <si>
    <t>=NL("Sum","5802 Value Entry","150 Sales Amount (Expected)","41 Source Type",$C$5,"5 Source No.",$C66,"4 Item Ledger Entry Type",$C$4,"2 Item No.","@@"&amp;$F66,"3 Posting Date",J$9)+NL("Sum","5802 Value Entry","17 Sales Amount (Actual)","41 Source Type",$C$5,"5 Source no.",$C66,"4 Item Ledger Entry Type",$C$4,"2 Item No.","@@"&amp;$F66,"3 Posting Date",J$9)</t>
  </si>
  <si>
    <t>=-NL("Sum","5802 Value Entry","151 Cost Amount (Expected)","41 Source Type",$C$5,"5 Source No.",$C66,"4 Item Ledger Entry Type",$C$4,"2 Item No.","@@"&amp;$F66,"3 Posting Date",J$9)-NL("Sum","5802 Value Entry","43 Cost Amount (Actual)","41 Source Type",$C$5,"5 Source no.",$C66,"4 Item Ledger Entry Type",$C$4,"2 Item No.","@@"&amp;$F66,"3 Posting Date",J$9)</t>
  </si>
  <si>
    <t>=NL("Sum","5802 Value Entry","150 Sales Amount (Expected)","41 Source Type",$C$5,"5 Source No.",$C66,"4 Item Ledger Entry Type",$C$4,"2 Item No.","@@"&amp;$F66,"3 Posting Date",O$9)+NL("Sum","5802 Value Entry","17 Sales Amount (Actual)","41 Source Type",$C$5,"5 Source no.",$C66,"4 Item Ledger Entry Type",$C$4,"2 Item No.","@@"&amp;$F66,"3 Posting Date",O$9)</t>
  </si>
  <si>
    <t>=-NL("Sum","5802 Value Entry","151 Cost Amount (Expected)","41 Source Type",$C$5,"5 Source No.",$C66,"4 Item Ledger Entry Type",$C$4,"2 Item No.","@@"&amp;$F66,"3 Posting Date",O$9)-NL("Sum","5802 Value Entry","43 Cost Amount (Actual)","41 Source Type",$C$5,"5 Source no.",$C66,"4 Item Ledger Entry Type",$C$4,"2 Item No.","@@"&amp;$F66,"3 Posting Date",O$9)</t>
  </si>
  <si>
    <t>=NL("Sum","5802 Value Entry","150 Sales Amount (Expected)","41 Source Type",$C$5,"5 Source No.",$C66,"4 Item Ledger Entry Type",$C$4,"2 Item No.","@@"&amp;$F66,"3 Posting Date",U$9)+NL("Sum","5802 Value Entry","17 Sales Amount (Actual)","41 Source Type",$C$5,"5 Source no.",$C66,"4 Item Ledger Entry Type",$C$4,"2 Item No.","@@"&amp;$F66,"3 Posting Date",U$9)</t>
  </si>
  <si>
    <t>=-NL("Sum","5802 Value Entry","151 Cost Amount (Expected)","41 Source Type",$C$5,"5 Source No.",$C66,"4 Item Ledger Entry Type",$C$4,"2 Item No.","@@"&amp;$F66,"3 Posting Date",U$9)-NL("Sum","5802 Value Entry","43 Cost Amount (Actual)","41 Source Type",$C$5,"5 Source no.",$C66,"4 Item Ledger Entry Type",$C$4,"2 Item No.","@@"&amp;$F66,"3 Posting Date",U$9)</t>
  </si>
  <si>
    <t>=NL("Sum","5802 Value Entry","150 Sales Amount (Expected)","41 Source Type",$C$5,"5 Source No.",$C66,"4 Item Ledger Entry Type",$C$4,"2 Item No.","@@"&amp;$F66,"3 Posting Date",Z$9)+NL("Sum","5802 Value Entry","17 Sales Amount (Actual)","41 Source Type",$C$5,"5 Source no.",$C66,"4 Item Ledger Entry Type",$C$4,"2 Item No.","@@"&amp;$F66,"3 Posting Date",Z$9)</t>
  </si>
  <si>
    <t>=-NL("Sum","5802 Value Entry","151 Cost Amount (Expected)","41 Source Type",$C$5,"5 Source No.",$C66,"4 Item Ledger Entry Type",$C$4,"2 Item No.","@@"&amp;$F66,"3 Posting Date",Z$9)-NL("Sum","5802 Value Entry","43 Cost Amount (Actual)","41 Source Type",$C$5,"5 Source no.",$C66,"4 Item Ledger Entry Type",$C$4,"2 Item No.","@@"&amp;$F66,"3 Posting Date",Z$9)</t>
  </si>
  <si>
    <t>=C66</t>
  </si>
  <si>
    <t>="S100021"</t>
  </si>
  <si>
    <t>=NL("Sum","5802 Value Entry","150 Sales Amount (Expected)","41 Source Type",$C$5,"5 Source No.",$C67,"4 Item Ledger Entry Type",$C$4,"2 Item No.","@@"&amp;$F67,"3 Posting Date",J$9)+NL("Sum","5802 Value Entry","17 Sales Amount (Actual)","41 Source Type",$C$5,"5 Source no.",$C67,"4 Item Ledger Entry Type",$C$4,"2 Item No.","@@"&amp;$F67,"3 Posting Date",J$9)</t>
  </si>
  <si>
    <t>=-NL("Sum","5802 Value Entry","151 Cost Amount (Expected)","41 Source Type",$C$5,"5 Source No.",$C67,"4 Item Ledger Entry Type",$C$4,"2 Item No.","@@"&amp;$F67,"3 Posting Date",J$9)-NL("Sum","5802 Value Entry","43 Cost Amount (Actual)","41 Source Type",$C$5,"5 Source no.",$C67,"4 Item Ledger Entry Type",$C$4,"2 Item No.","@@"&amp;$F67,"3 Posting Date",J$9)</t>
  </si>
  <si>
    <t>=J67-L67</t>
  </si>
  <si>
    <t>=IF(J67&lt;&gt;0,M67/J67,"")</t>
  </si>
  <si>
    <t>=NL("Sum","5802 Value Entry","150 Sales Amount (Expected)","41 Source Type",$C$5,"5 Source No.",$C67,"4 Item Ledger Entry Type",$C$4,"2 Item No.","@@"&amp;$F67,"3 Posting Date",O$9)+NL("Sum","5802 Value Entry","17 Sales Amount (Actual)","41 Source Type",$C$5,"5 Source no.",$C67,"4 Item Ledger Entry Type",$C$4,"2 Item No.","@@"&amp;$F67,"3 Posting Date",O$9)</t>
  </si>
  <si>
    <t>=-NL("Sum","5802 Value Entry","151 Cost Amount (Expected)","41 Source Type",$C$5,"5 Source No.",$C67,"4 Item Ledger Entry Type",$C$4,"2 Item No.","@@"&amp;$F67,"3 Posting Date",O$9)-NL("Sum","5802 Value Entry","43 Cost Amount (Actual)","41 Source Type",$C$5,"5 Source no.",$C67,"4 Item Ledger Entry Type",$C$4,"2 Item No.","@@"&amp;$F67,"3 Posting Date",O$9)</t>
  </si>
  <si>
    <t>=O67-Q67</t>
  </si>
  <si>
    <t>=IF(O67&lt;&gt;0,R67/O67,"")</t>
  </si>
  <si>
    <t>=NL("Sum","5802 Value Entry","150 Sales Amount (Expected)","41 Source Type",$C$5,"5 Source No.",$C67,"4 Item Ledger Entry Type",$C$4,"2 Item No.","@@"&amp;$F67,"3 Posting Date",U$9)+NL("Sum","5802 Value Entry","17 Sales Amount (Actual)","41 Source Type",$C$5,"5 Source no.",$C67,"4 Item Ledger Entry Type",$C$4,"2 Item No.","@@"&amp;$F67,"3 Posting Date",U$9)</t>
  </si>
  <si>
    <t>=-NL("Sum","5802 Value Entry","151 Cost Amount (Expected)","41 Source Type",$C$5,"5 Source No.",$C67,"4 Item Ledger Entry Type",$C$4,"2 Item No.","@@"&amp;$F67,"3 Posting Date",U$9)-NL("Sum","5802 Value Entry","43 Cost Amount (Actual)","41 Source Type",$C$5,"5 Source no.",$C67,"4 Item Ledger Entry Type",$C$4,"2 Item No.","@@"&amp;$F67,"3 Posting Date",U$9)</t>
  </si>
  <si>
    <t>=U67-W67</t>
  </si>
  <si>
    <t>=IF(U67&lt;&gt;0,X67/U67,"")</t>
  </si>
  <si>
    <t>=NL("Sum","5802 Value Entry","150 Sales Amount (Expected)","41 Source Type",$C$5,"5 Source No.",$C67,"4 Item Ledger Entry Type",$C$4,"2 Item No.","@@"&amp;$F67,"3 Posting Date",Z$9)+NL("Sum","5802 Value Entry","17 Sales Amount (Actual)","41 Source Type",$C$5,"5 Source no.",$C67,"4 Item Ledger Entry Type",$C$4,"2 Item No.","@@"&amp;$F67,"3 Posting Date",Z$9)</t>
  </si>
  <si>
    <t>=-NL("Sum","5802 Value Entry","151 Cost Amount (Expected)","41 Source Type",$C$5,"5 Source No.",$C67,"4 Item Ledger Entry Type",$C$4,"2 Item No.","@@"&amp;$F67,"3 Posting Date",Z$9)-NL("Sum","5802 Value Entry","43 Cost Amount (Actual)","41 Source Type",$C$5,"5 Source no.",$C67,"4 Item Ledger Entry Type",$C$4,"2 Item No.","@@"&amp;$F67,"3 Posting Date",Z$9)</t>
  </si>
  <si>
    <t>=Z67-AB67</t>
  </si>
  <si>
    <t>=IF(Z67&lt;&gt;0,AC67/Z67,"")</t>
  </si>
  <si>
    <t>=J69-L69</t>
  </si>
  <si>
    <t>=IF(J69&lt;&gt;0,M69/J69,"")</t>
  </si>
  <si>
    <t>=O69-Q69</t>
  </si>
  <si>
    <t>=IF(O69&lt;&gt;0,R69/O69,"")</t>
  </si>
  <si>
    <t>=U69-W69</t>
  </si>
  <si>
    <t>=IF(U69&lt;&gt;0,X69/U69,"")</t>
  </si>
  <si>
    <t>=Z69-AB69</t>
  </si>
  <si>
    <t>=IF(Z69&lt;&gt;0,AC69/Z69,"")</t>
  </si>
  <si>
    <t>="C100012"</t>
  </si>
  <si>
    <t>=C72</t>
  </si>
  <si>
    <t>=NL("Sum","5802 Value Entry","150 Sales Amount (Expected)","41 Source Type",$C$5,"5 Source No.",$C73,"4 Item Ledger Entry Type",$C$4,"2 Item No.","@@"&amp;$F73,"3 Posting Date",J$9)+NL("Sum","5802 Value Entry","17 Sales Amount (Actual)","41 Source Type",$C$5,"5 Source no.",$C73,"4 Item Ledger Entry Type",$C$4,"2 Item No.","@@"&amp;$F73,"3 Posting Date",J$9)</t>
  </si>
  <si>
    <t>=-NL("Sum","5802 Value Entry","151 Cost Amount (Expected)","41 Source Type",$C$5,"5 Source No.",$C73,"4 Item Ledger Entry Type",$C$4,"2 Item No.","@@"&amp;$F73,"3 Posting Date",J$9)-NL("Sum","5802 Value Entry","43 Cost Amount (Actual)","41 Source Type",$C$5,"5 Source no.",$C73,"4 Item Ledger Entry Type",$C$4,"2 Item No.","@@"&amp;$F73,"3 Posting Date",J$9)</t>
  </si>
  <si>
    <t>=J73-L73</t>
  </si>
  <si>
    <t>=IF(J73&lt;&gt;0,M73/J73,"")</t>
  </si>
  <si>
    <t>=NL("Sum","5802 Value Entry","150 Sales Amount (Expected)","41 Source Type",$C$5,"5 Source No.",$C73,"4 Item Ledger Entry Type",$C$4,"2 Item No.","@@"&amp;$F73,"3 Posting Date",O$9)+NL("Sum","5802 Value Entry","17 Sales Amount (Actual)","41 Source Type",$C$5,"5 Source no.",$C73,"4 Item Ledger Entry Type",$C$4,"2 Item No.","@@"&amp;$F73,"3 Posting Date",O$9)</t>
  </si>
  <si>
    <t>=-NL("Sum","5802 Value Entry","151 Cost Amount (Expected)","41 Source Type",$C$5,"5 Source No.",$C73,"4 Item Ledger Entry Type",$C$4,"2 Item No.","@@"&amp;$F73,"3 Posting Date",O$9)-NL("Sum","5802 Value Entry","43 Cost Amount (Actual)","41 Source Type",$C$5,"5 Source no.",$C73,"4 Item Ledger Entry Type",$C$4,"2 Item No.","@@"&amp;$F73,"3 Posting Date",O$9)</t>
  </si>
  <si>
    <t>=O73-Q73</t>
  </si>
  <si>
    <t>=IF(O73&lt;&gt;0,R73/O73,"")</t>
  </si>
  <si>
    <t>=NL("Sum","5802 Value Entry","150 Sales Amount (Expected)","41 Source Type",$C$5,"5 Source No.",$C73,"4 Item Ledger Entry Type",$C$4,"2 Item No.","@@"&amp;$F73,"3 Posting Date",U$9)+NL("Sum","5802 Value Entry","17 Sales Amount (Actual)","41 Source Type",$C$5,"5 Source no.",$C73,"4 Item Ledger Entry Type",$C$4,"2 Item No.","@@"&amp;$F73,"3 Posting Date",U$9)</t>
  </si>
  <si>
    <t>=-NL("Sum","5802 Value Entry","151 Cost Amount (Expected)","41 Source Type",$C$5,"5 Source No.",$C73,"4 Item Ledger Entry Type",$C$4,"2 Item No.","@@"&amp;$F73,"3 Posting Date",U$9)-NL("Sum","5802 Value Entry","43 Cost Amount (Actual)","41 Source Type",$C$5,"5 Source no.",$C73,"4 Item Ledger Entry Type",$C$4,"2 Item No.","@@"&amp;$F73,"3 Posting Date",U$9)</t>
  </si>
  <si>
    <t>=U73-W73</t>
  </si>
  <si>
    <t>=IF(U73&lt;&gt;0,X73/U73,"")</t>
  </si>
  <si>
    <t>=NL("Sum","5802 Value Entry","150 Sales Amount (Expected)","41 Source Type",$C$5,"5 Source No.",$C73,"4 Item Ledger Entry Type",$C$4,"2 Item No.","@@"&amp;$F73,"3 Posting Date",Z$9)+NL("Sum","5802 Value Entry","17 Sales Amount (Actual)","41 Source Type",$C$5,"5 Source no.",$C73,"4 Item Ledger Entry Type",$C$4,"2 Item No.","@@"&amp;$F73,"3 Posting Date",Z$9)</t>
  </si>
  <si>
    <t>=-NL("Sum","5802 Value Entry","151 Cost Amount (Expected)","41 Source Type",$C$5,"5 Source No.",$C73,"4 Item Ledger Entry Type",$C$4,"2 Item No.","@@"&amp;$F73,"3 Posting Date",Z$9)-NL("Sum","5802 Value Entry","43 Cost Amount (Actual)","41 Source Type",$C$5,"5 Source no.",$C73,"4 Item Ledger Entry Type",$C$4,"2 Item No.","@@"&amp;$F73,"3 Posting Date",Z$9)</t>
  </si>
  <si>
    <t>=Z73-AB73</t>
  </si>
  <si>
    <t>=IF(Z73&lt;&gt;0,AC73/Z73,"")</t>
  </si>
  <si>
    <t>=C73</t>
  </si>
  <si>
    <t>=NL("Sum","5802 Value Entry","150 Sales Amount (Expected)","41 Source Type",$C$5,"5 Source No.",$C74,"4 Item Ledger Entry Type",$C$4,"2 Item No.","@@"&amp;$F74,"3 Posting Date",J$9)+NL("Sum","5802 Value Entry","17 Sales Amount (Actual)","41 Source Type",$C$5,"5 Source no.",$C74,"4 Item Ledger Entry Type",$C$4,"2 Item No.","@@"&amp;$F74,"3 Posting Date",J$9)</t>
  </si>
  <si>
    <t>=-NL("Sum","5802 Value Entry","151 Cost Amount (Expected)","41 Source Type",$C$5,"5 Source No.",$C74,"4 Item Ledger Entry Type",$C$4,"2 Item No.","@@"&amp;$F74,"3 Posting Date",J$9)-NL("Sum","5802 Value Entry","43 Cost Amount (Actual)","41 Source Type",$C$5,"5 Source no.",$C74,"4 Item Ledger Entry Type",$C$4,"2 Item No.","@@"&amp;$F74,"3 Posting Date",J$9)</t>
  </si>
  <si>
    <t>=J74-L74</t>
  </si>
  <si>
    <t>=IF(J74&lt;&gt;0,M74/J74,"")</t>
  </si>
  <si>
    <t>=NL("Sum","5802 Value Entry","150 Sales Amount (Expected)","41 Source Type",$C$5,"5 Source No.",$C74,"4 Item Ledger Entry Type",$C$4,"2 Item No.","@@"&amp;$F74,"3 Posting Date",O$9)+NL("Sum","5802 Value Entry","17 Sales Amount (Actual)","41 Source Type",$C$5,"5 Source no.",$C74,"4 Item Ledger Entry Type",$C$4,"2 Item No.","@@"&amp;$F74,"3 Posting Date",O$9)</t>
  </si>
  <si>
    <t>=-NL("Sum","5802 Value Entry","151 Cost Amount (Expected)","41 Source Type",$C$5,"5 Source No.",$C74,"4 Item Ledger Entry Type",$C$4,"2 Item No.","@@"&amp;$F74,"3 Posting Date",O$9)-NL("Sum","5802 Value Entry","43 Cost Amount (Actual)","41 Source Type",$C$5,"5 Source no.",$C74,"4 Item Ledger Entry Type",$C$4,"2 Item No.","@@"&amp;$F74,"3 Posting Date",O$9)</t>
  </si>
  <si>
    <t>=O74-Q74</t>
  </si>
  <si>
    <t>=IF(O74&lt;&gt;0,R74/O74,"")</t>
  </si>
  <si>
    <t>=NL("Sum","5802 Value Entry","150 Sales Amount (Expected)","41 Source Type",$C$5,"5 Source No.",$C74,"4 Item Ledger Entry Type",$C$4,"2 Item No.","@@"&amp;$F74,"3 Posting Date",U$9)+NL("Sum","5802 Value Entry","17 Sales Amount (Actual)","41 Source Type",$C$5,"5 Source no.",$C74,"4 Item Ledger Entry Type",$C$4,"2 Item No.","@@"&amp;$F74,"3 Posting Date",U$9)</t>
  </si>
  <si>
    <t>=-NL("Sum","5802 Value Entry","151 Cost Amount (Expected)","41 Source Type",$C$5,"5 Source No.",$C74,"4 Item Ledger Entry Type",$C$4,"2 Item No.","@@"&amp;$F74,"3 Posting Date",U$9)-NL("Sum","5802 Value Entry","43 Cost Amount (Actual)","41 Source Type",$C$5,"5 Source no.",$C74,"4 Item Ledger Entry Type",$C$4,"2 Item No.","@@"&amp;$F74,"3 Posting Date",U$9)</t>
  </si>
  <si>
    <t>=U74-W74</t>
  </si>
  <si>
    <t>=IF(U74&lt;&gt;0,X74/U74,"")</t>
  </si>
  <si>
    <t>=NL("Sum","5802 Value Entry","150 Sales Amount (Expected)","41 Source Type",$C$5,"5 Source No.",$C74,"4 Item Ledger Entry Type",$C$4,"2 Item No.","@@"&amp;$F74,"3 Posting Date",Z$9)+NL("Sum","5802 Value Entry","17 Sales Amount (Actual)","41 Source Type",$C$5,"5 Source no.",$C74,"4 Item Ledger Entry Type",$C$4,"2 Item No.","@@"&amp;$F74,"3 Posting Date",Z$9)</t>
  </si>
  <si>
    <t>=-NL("Sum","5802 Value Entry","151 Cost Amount (Expected)","41 Source Type",$C$5,"5 Source No.",$C74,"4 Item Ledger Entry Type",$C$4,"2 Item No.","@@"&amp;$F74,"3 Posting Date",Z$9)-NL("Sum","5802 Value Entry","43 Cost Amount (Actual)","41 Source Type",$C$5,"5 Source no.",$C74,"4 Item Ledger Entry Type",$C$4,"2 Item No.","@@"&amp;$F74,"3 Posting Date",Z$9)</t>
  </si>
  <si>
    <t>=Z74-AB74</t>
  </si>
  <si>
    <t>=IF(Z74&lt;&gt;0,AC74/Z74,"")</t>
  </si>
  <si>
    <t>="C100017"</t>
  </si>
  <si>
    <t>=NL("Sum","5802 Value Entry","150 Sales Amount (Expected)","41 Source Type",$C$5,"5 Source No.",$C75,"4 Item Ledger Entry Type",$C$4,"2 Item No.","@@"&amp;$F75,"3 Posting Date",J$9)+NL("Sum","5802 Value Entry","17 Sales Amount (Actual)","41 Source Type",$C$5,"5 Source no.",$C75,"4 Item Ledger Entry Type",$C$4,"2 Item No.","@@"&amp;$F75,"3 Posting Date",J$9)</t>
  </si>
  <si>
    <t>=-NL("Sum","5802 Value Entry","151 Cost Amount (Expected)","41 Source Type",$C$5,"5 Source No.",$C75,"4 Item Ledger Entry Type",$C$4,"2 Item No.","@@"&amp;$F75,"3 Posting Date",J$9)-NL("Sum","5802 Value Entry","43 Cost Amount (Actual)","41 Source Type",$C$5,"5 Source no.",$C75,"4 Item Ledger Entry Type",$C$4,"2 Item No.","@@"&amp;$F75,"3 Posting Date",J$9)</t>
  </si>
  <si>
    <t>=J75-L75</t>
  </si>
  <si>
    <t>=IF(J75&lt;&gt;0,M75/J75,"")</t>
  </si>
  <si>
    <t>=NL("Sum","5802 Value Entry","150 Sales Amount (Expected)","41 Source Type",$C$5,"5 Source No.",$C75,"4 Item Ledger Entry Type",$C$4,"2 Item No.","@@"&amp;$F75,"3 Posting Date",O$9)+NL("Sum","5802 Value Entry","17 Sales Amount (Actual)","41 Source Type",$C$5,"5 Source no.",$C75,"4 Item Ledger Entry Type",$C$4,"2 Item No.","@@"&amp;$F75,"3 Posting Date",O$9)</t>
  </si>
  <si>
    <t>=-NL("Sum","5802 Value Entry","151 Cost Amount (Expected)","41 Source Type",$C$5,"5 Source No.",$C75,"4 Item Ledger Entry Type",$C$4,"2 Item No.","@@"&amp;$F75,"3 Posting Date",O$9)-NL("Sum","5802 Value Entry","43 Cost Amount (Actual)","41 Source Type",$C$5,"5 Source no.",$C75,"4 Item Ledger Entry Type",$C$4,"2 Item No.","@@"&amp;$F75,"3 Posting Date",O$9)</t>
  </si>
  <si>
    <t>=O75-Q75</t>
  </si>
  <si>
    <t>=IF(O75&lt;&gt;0,R75/O75,"")</t>
  </si>
  <si>
    <t>=NL("Sum","5802 Value Entry","150 Sales Amount (Expected)","41 Source Type",$C$5,"5 Source No.",$C75,"4 Item Ledger Entry Type",$C$4,"2 Item No.","@@"&amp;$F75,"3 Posting Date",U$9)+NL("Sum","5802 Value Entry","17 Sales Amount (Actual)","41 Source Type",$C$5,"5 Source no.",$C75,"4 Item Ledger Entry Type",$C$4,"2 Item No.","@@"&amp;$F75,"3 Posting Date",U$9)</t>
  </si>
  <si>
    <t>=-NL("Sum","5802 Value Entry","151 Cost Amount (Expected)","41 Source Type",$C$5,"5 Source No.",$C75,"4 Item Ledger Entry Type",$C$4,"2 Item No.","@@"&amp;$F75,"3 Posting Date",U$9)-NL("Sum","5802 Value Entry","43 Cost Amount (Actual)","41 Source Type",$C$5,"5 Source no.",$C75,"4 Item Ledger Entry Type",$C$4,"2 Item No.","@@"&amp;$F75,"3 Posting Date",U$9)</t>
  </si>
  <si>
    <t>=U75-W75</t>
  </si>
  <si>
    <t>=IF(U75&lt;&gt;0,X75/U75,"")</t>
  </si>
  <si>
    <t>=NL("Sum","5802 Value Entry","150 Sales Amount (Expected)","41 Source Type",$C$5,"5 Source No.",$C75,"4 Item Ledger Entry Type",$C$4,"2 Item No.","@@"&amp;$F75,"3 Posting Date",Z$9)+NL("Sum","5802 Value Entry","17 Sales Amount (Actual)","41 Source Type",$C$5,"5 Source no.",$C75,"4 Item Ledger Entry Type",$C$4,"2 Item No.","@@"&amp;$F75,"3 Posting Date",Z$9)</t>
  </si>
  <si>
    <t>=-NL("Sum","5802 Value Entry","151 Cost Amount (Expected)","41 Source Type",$C$5,"5 Source No.",$C75,"4 Item Ledger Entry Type",$C$4,"2 Item No.","@@"&amp;$F75,"3 Posting Date",Z$9)-NL("Sum","5802 Value Entry","43 Cost Amount (Actual)","41 Source Type",$C$5,"5 Source no.",$C75,"4 Item Ledger Entry Type",$C$4,"2 Item No.","@@"&amp;$F75,"3 Posting Date",Z$9)</t>
  </si>
  <si>
    <t>=Z75-AB75</t>
  </si>
  <si>
    <t>=IF(Z75&lt;&gt;0,AC75/Z75,"")</t>
  </si>
  <si>
    <t>=NL("Sum","5802 Value Entry","150 Sales Amount (Expected)","41 Source Type",$C$5,"5 Source No.",$C76,"4 Item Ledger Entry Type",$C$4,"2 Item No.","@@"&amp;$F76,"3 Posting Date",J$9)+NL("Sum","5802 Value Entry","17 Sales Amount (Actual)","41 Source Type",$C$5,"5 Source no.",$C76,"4 Item Ledger Entry Type",$C$4,"2 Item No.","@@"&amp;$F76,"3 Posting Date",J$9)</t>
  </si>
  <si>
    <t>=-NL("Sum","5802 Value Entry","151 Cost Amount (Expected)","41 Source Type",$C$5,"5 Source No.",$C76,"4 Item Ledger Entry Type",$C$4,"2 Item No.","@@"&amp;$F76,"3 Posting Date",J$9)-NL("Sum","5802 Value Entry","43 Cost Amount (Actual)","41 Source Type",$C$5,"5 Source no.",$C76,"4 Item Ledger Entry Type",$C$4,"2 Item No.","@@"&amp;$F76,"3 Posting Date",J$9)</t>
  </si>
  <si>
    <t>=NL("Sum","5802 Value Entry","150 Sales Amount (Expected)","41 Source Type",$C$5,"5 Source No.",$C76,"4 Item Ledger Entry Type",$C$4,"2 Item No.","@@"&amp;$F76,"3 Posting Date",O$9)+NL("Sum","5802 Value Entry","17 Sales Amount (Actual)","41 Source Type",$C$5,"5 Source no.",$C76,"4 Item Ledger Entry Type",$C$4,"2 Item No.","@@"&amp;$F76,"3 Posting Date",O$9)</t>
  </si>
  <si>
    <t>=-NL("Sum","5802 Value Entry","151 Cost Amount (Expected)","41 Source Type",$C$5,"5 Source No.",$C76,"4 Item Ledger Entry Type",$C$4,"2 Item No.","@@"&amp;$F76,"3 Posting Date",O$9)-NL("Sum","5802 Value Entry","43 Cost Amount (Actual)","41 Source Type",$C$5,"5 Source no.",$C76,"4 Item Ledger Entry Type",$C$4,"2 Item No.","@@"&amp;$F76,"3 Posting Date",O$9)</t>
  </si>
  <si>
    <t>=NL("Sum","5802 Value Entry","150 Sales Amount (Expected)","41 Source Type",$C$5,"5 Source No.",$C76,"4 Item Ledger Entry Type",$C$4,"2 Item No.","@@"&amp;$F76,"3 Posting Date",U$9)+NL("Sum","5802 Value Entry","17 Sales Amount (Actual)","41 Source Type",$C$5,"5 Source no.",$C76,"4 Item Ledger Entry Type",$C$4,"2 Item No.","@@"&amp;$F76,"3 Posting Date",U$9)</t>
  </si>
  <si>
    <t>=-NL("Sum","5802 Value Entry","151 Cost Amount (Expected)","41 Source Type",$C$5,"5 Source No.",$C76,"4 Item Ledger Entry Type",$C$4,"2 Item No.","@@"&amp;$F76,"3 Posting Date",U$9)-NL("Sum","5802 Value Entry","43 Cost Amount (Actual)","41 Source Type",$C$5,"5 Source no.",$C76,"4 Item Ledger Entry Type",$C$4,"2 Item No.","@@"&amp;$F76,"3 Posting Date",U$9)</t>
  </si>
  <si>
    <t>=NL("Sum","5802 Value Entry","150 Sales Amount (Expected)","41 Source Type",$C$5,"5 Source No.",$C76,"4 Item Ledger Entry Type",$C$4,"2 Item No.","@@"&amp;$F76,"3 Posting Date",Z$9)+NL("Sum","5802 Value Entry","17 Sales Amount (Actual)","41 Source Type",$C$5,"5 Source no.",$C76,"4 Item Ledger Entry Type",$C$4,"2 Item No.","@@"&amp;$F76,"3 Posting Date",Z$9)</t>
  </si>
  <si>
    <t>=-NL("Sum","5802 Value Entry","151 Cost Amount (Expected)","41 Source Type",$C$5,"5 Source No.",$C76,"4 Item Ledger Entry Type",$C$4,"2 Item No.","@@"&amp;$F76,"3 Posting Date",Z$9)-NL("Sum","5802 Value Entry","43 Cost Amount (Actual)","41 Source Type",$C$5,"5 Source no.",$C76,"4 Item Ledger Entry Type",$C$4,"2 Item No.","@@"&amp;$F76,"3 Posting Date",Z$9)</t>
  </si>
  <si>
    <t>=NL("Sum","5802 Value Entry","150 Sales Amount (Expected)","41 Source Type",$C$5,"5 Source No.",$C77,"4 Item Ledger Entry Type",$C$4,"2 Item No.","@@"&amp;$F77,"3 Posting Date",J$9)+NL("Sum","5802 Value Entry","17 Sales Amount (Actual)","41 Source Type",$C$5,"5 Source no.",$C77,"4 Item Ledger Entry Type",$C$4,"2 Item No.","@@"&amp;$F77,"3 Posting Date",J$9)</t>
  </si>
  <si>
    <t>=-NL("Sum","5802 Value Entry","151 Cost Amount (Expected)","41 Source Type",$C$5,"5 Source No.",$C77,"4 Item Ledger Entry Type",$C$4,"2 Item No.","@@"&amp;$F77,"3 Posting Date",J$9)-NL("Sum","5802 Value Entry","43 Cost Amount (Actual)","41 Source Type",$C$5,"5 Source no.",$C77,"4 Item Ledger Entry Type",$C$4,"2 Item No.","@@"&amp;$F77,"3 Posting Date",J$9)</t>
  </si>
  <si>
    <t>=J77-L77</t>
  </si>
  <si>
    <t>=IF(J77&lt;&gt;0,M77/J77,"")</t>
  </si>
  <si>
    <t>=NL("Sum","5802 Value Entry","150 Sales Amount (Expected)","41 Source Type",$C$5,"5 Source No.",$C77,"4 Item Ledger Entry Type",$C$4,"2 Item No.","@@"&amp;$F77,"3 Posting Date",O$9)+NL("Sum","5802 Value Entry","17 Sales Amount (Actual)","41 Source Type",$C$5,"5 Source no.",$C77,"4 Item Ledger Entry Type",$C$4,"2 Item No.","@@"&amp;$F77,"3 Posting Date",O$9)</t>
  </si>
  <si>
    <t>=-NL("Sum","5802 Value Entry","151 Cost Amount (Expected)","41 Source Type",$C$5,"5 Source No.",$C77,"4 Item Ledger Entry Type",$C$4,"2 Item No.","@@"&amp;$F77,"3 Posting Date",O$9)-NL("Sum","5802 Value Entry","43 Cost Amount (Actual)","41 Source Type",$C$5,"5 Source no.",$C77,"4 Item Ledger Entry Type",$C$4,"2 Item No.","@@"&amp;$F77,"3 Posting Date",O$9)</t>
  </si>
  <si>
    <t>=O77-Q77</t>
  </si>
  <si>
    <t>=IF(O77&lt;&gt;0,R77/O77,"")</t>
  </si>
  <si>
    <t>=NL("Sum","5802 Value Entry","150 Sales Amount (Expected)","41 Source Type",$C$5,"5 Source No.",$C77,"4 Item Ledger Entry Type",$C$4,"2 Item No.","@@"&amp;$F77,"3 Posting Date",U$9)+NL("Sum","5802 Value Entry","17 Sales Amount (Actual)","41 Source Type",$C$5,"5 Source no.",$C77,"4 Item Ledger Entry Type",$C$4,"2 Item No.","@@"&amp;$F77,"3 Posting Date",U$9)</t>
  </si>
  <si>
    <t>=-NL("Sum","5802 Value Entry","151 Cost Amount (Expected)","41 Source Type",$C$5,"5 Source No.",$C77,"4 Item Ledger Entry Type",$C$4,"2 Item No.","@@"&amp;$F77,"3 Posting Date",U$9)-NL("Sum","5802 Value Entry","43 Cost Amount (Actual)","41 Source Type",$C$5,"5 Source no.",$C77,"4 Item Ledger Entry Type",$C$4,"2 Item No.","@@"&amp;$F77,"3 Posting Date",U$9)</t>
  </si>
  <si>
    <t>=U77-W77</t>
  </si>
  <si>
    <t>=IF(U77&lt;&gt;0,X77/U77,"")</t>
  </si>
  <si>
    <t>=NL("Sum","5802 Value Entry","150 Sales Amount (Expected)","41 Source Type",$C$5,"5 Source No.",$C77,"4 Item Ledger Entry Type",$C$4,"2 Item No.","@@"&amp;$F77,"3 Posting Date",Z$9)+NL("Sum","5802 Value Entry","17 Sales Amount (Actual)","41 Source Type",$C$5,"5 Source no.",$C77,"4 Item Ledger Entry Type",$C$4,"2 Item No.","@@"&amp;$F77,"3 Posting Date",Z$9)</t>
  </si>
  <si>
    <t>=-NL("Sum","5802 Value Entry","151 Cost Amount (Expected)","41 Source Type",$C$5,"5 Source No.",$C77,"4 Item Ledger Entry Type",$C$4,"2 Item No.","@@"&amp;$F77,"3 Posting Date",Z$9)-NL("Sum","5802 Value Entry","43 Cost Amount (Actual)","41 Source Type",$C$5,"5 Source no.",$C77,"4 Item Ledger Entry Type",$C$4,"2 Item No.","@@"&amp;$F77,"3 Posting Date",Z$9)</t>
  </si>
  <si>
    <t>=Z77-AB77</t>
  </si>
  <si>
    <t>=IF(Z77&lt;&gt;0,AC77/Z77,"")</t>
  </si>
  <si>
    <t>=NL("Sum","5802 Value Entry","150 Sales Amount (Expected)","41 Source Type",$C$5,"5 Source No.",$C78,"4 Item Ledger Entry Type",$C$4,"2 Item No.","@@"&amp;$F78,"3 Posting Date",J$9)+NL("Sum","5802 Value Entry","17 Sales Amount (Actual)","41 Source Type",$C$5,"5 Source no.",$C78,"4 Item Ledger Entry Type",$C$4,"2 Item No.","@@"&amp;$F78,"3 Posting Date",J$9)</t>
  </si>
  <si>
    <t>=-NL("Sum","5802 Value Entry","151 Cost Amount (Expected)","41 Source Type",$C$5,"5 Source No.",$C78,"4 Item Ledger Entry Type",$C$4,"2 Item No.","@@"&amp;$F78,"3 Posting Date",J$9)-NL("Sum","5802 Value Entry","43 Cost Amount (Actual)","41 Source Type",$C$5,"5 Source no.",$C78,"4 Item Ledger Entry Type",$C$4,"2 Item No.","@@"&amp;$F78,"3 Posting Date",J$9)</t>
  </si>
  <si>
    <t>=NL("Sum","5802 Value Entry","150 Sales Amount (Expected)","41 Source Type",$C$5,"5 Source No.",$C78,"4 Item Ledger Entry Type",$C$4,"2 Item No.","@@"&amp;$F78,"3 Posting Date",O$9)+NL("Sum","5802 Value Entry","17 Sales Amount (Actual)","41 Source Type",$C$5,"5 Source no.",$C78,"4 Item Ledger Entry Type",$C$4,"2 Item No.","@@"&amp;$F78,"3 Posting Date",O$9)</t>
  </si>
  <si>
    <t>=-NL("Sum","5802 Value Entry","151 Cost Amount (Expected)","41 Source Type",$C$5,"5 Source No.",$C78,"4 Item Ledger Entry Type",$C$4,"2 Item No.","@@"&amp;$F78,"3 Posting Date",O$9)-NL("Sum","5802 Value Entry","43 Cost Amount (Actual)","41 Source Type",$C$5,"5 Source no.",$C78,"4 Item Ledger Entry Type",$C$4,"2 Item No.","@@"&amp;$F78,"3 Posting Date",O$9)</t>
  </si>
  <si>
    <t>=NL("Sum","5802 Value Entry","150 Sales Amount (Expected)","41 Source Type",$C$5,"5 Source No.",$C78,"4 Item Ledger Entry Type",$C$4,"2 Item No.","@@"&amp;$F78,"3 Posting Date",U$9)+NL("Sum","5802 Value Entry","17 Sales Amount (Actual)","41 Source Type",$C$5,"5 Source no.",$C78,"4 Item Ledger Entry Type",$C$4,"2 Item No.","@@"&amp;$F78,"3 Posting Date",U$9)</t>
  </si>
  <si>
    <t>=-NL("Sum","5802 Value Entry","151 Cost Amount (Expected)","41 Source Type",$C$5,"5 Source No.",$C78,"4 Item Ledger Entry Type",$C$4,"2 Item No.","@@"&amp;$F78,"3 Posting Date",U$9)-NL("Sum","5802 Value Entry","43 Cost Amount (Actual)","41 Source Type",$C$5,"5 Source no.",$C78,"4 Item Ledger Entry Type",$C$4,"2 Item No.","@@"&amp;$F78,"3 Posting Date",U$9)</t>
  </si>
  <si>
    <t>=NL("Sum","5802 Value Entry","150 Sales Amount (Expected)","41 Source Type",$C$5,"5 Source No.",$C78,"4 Item Ledger Entry Type",$C$4,"2 Item No.","@@"&amp;$F78,"3 Posting Date",Z$9)+NL("Sum","5802 Value Entry","17 Sales Amount (Actual)","41 Source Type",$C$5,"5 Source no.",$C78,"4 Item Ledger Entry Type",$C$4,"2 Item No.","@@"&amp;$F78,"3 Posting Date",Z$9)</t>
  </si>
  <si>
    <t>=-NL("Sum","5802 Value Entry","151 Cost Amount (Expected)","41 Source Type",$C$5,"5 Source No.",$C78,"4 Item Ledger Entry Type",$C$4,"2 Item No.","@@"&amp;$F78,"3 Posting Date",Z$9)-NL("Sum","5802 Value Entry","43 Cost Amount (Actual)","41 Source Type",$C$5,"5 Source no.",$C78,"4 Item Ledger Entry Type",$C$4,"2 Item No.","@@"&amp;$F78,"3 Posting Date",Z$9)</t>
  </si>
  <si>
    <t>=C78</t>
  </si>
  <si>
    <t>=NL("Sum","5802 Value Entry","150 Sales Amount (Expected)","41 Source Type",$C$5,"5 Source No.",$C79,"4 Item Ledger Entry Type",$C$4,"2 Item No.","@@"&amp;$F79,"3 Posting Date",J$9)+NL("Sum","5802 Value Entry","17 Sales Amount (Actual)","41 Source Type",$C$5,"5 Source no.",$C79,"4 Item Ledger Entry Type",$C$4,"2 Item No.","@@"&amp;$F79,"3 Posting Date",J$9)</t>
  </si>
  <si>
    <t>=-NL("Sum","5802 Value Entry","151 Cost Amount (Expected)","41 Source Type",$C$5,"5 Source No.",$C79,"4 Item Ledger Entry Type",$C$4,"2 Item No.","@@"&amp;$F79,"3 Posting Date",J$9)-NL("Sum","5802 Value Entry","43 Cost Amount (Actual)","41 Source Type",$C$5,"5 Source no.",$C79,"4 Item Ledger Entry Type",$C$4,"2 Item No.","@@"&amp;$F79,"3 Posting Date",J$9)</t>
  </si>
  <si>
    <t>=J79-L79</t>
  </si>
  <si>
    <t>=IF(J79&lt;&gt;0,M79/J79,"")</t>
  </si>
  <si>
    <t>=NL("Sum","5802 Value Entry","150 Sales Amount (Expected)","41 Source Type",$C$5,"5 Source No.",$C79,"4 Item Ledger Entry Type",$C$4,"2 Item No.","@@"&amp;$F79,"3 Posting Date",O$9)+NL("Sum","5802 Value Entry","17 Sales Amount (Actual)","41 Source Type",$C$5,"5 Source no.",$C79,"4 Item Ledger Entry Type",$C$4,"2 Item No.","@@"&amp;$F79,"3 Posting Date",O$9)</t>
  </si>
  <si>
    <t>=-NL("Sum","5802 Value Entry","151 Cost Amount (Expected)","41 Source Type",$C$5,"5 Source No.",$C79,"4 Item Ledger Entry Type",$C$4,"2 Item No.","@@"&amp;$F79,"3 Posting Date",O$9)-NL("Sum","5802 Value Entry","43 Cost Amount (Actual)","41 Source Type",$C$5,"5 Source no.",$C79,"4 Item Ledger Entry Type",$C$4,"2 Item No.","@@"&amp;$F79,"3 Posting Date",O$9)</t>
  </si>
  <si>
    <t>=O79-Q79</t>
  </si>
  <si>
    <t>=IF(O79&lt;&gt;0,R79/O79,"")</t>
  </si>
  <si>
    <t>=NL("Sum","5802 Value Entry","150 Sales Amount (Expected)","41 Source Type",$C$5,"5 Source No.",$C79,"4 Item Ledger Entry Type",$C$4,"2 Item No.","@@"&amp;$F79,"3 Posting Date",U$9)+NL("Sum","5802 Value Entry","17 Sales Amount (Actual)","41 Source Type",$C$5,"5 Source no.",$C79,"4 Item Ledger Entry Type",$C$4,"2 Item No.","@@"&amp;$F79,"3 Posting Date",U$9)</t>
  </si>
  <si>
    <t>=-NL("Sum","5802 Value Entry","151 Cost Amount (Expected)","41 Source Type",$C$5,"5 Source No.",$C79,"4 Item Ledger Entry Type",$C$4,"2 Item No.","@@"&amp;$F79,"3 Posting Date",U$9)-NL("Sum","5802 Value Entry","43 Cost Amount (Actual)","41 Source Type",$C$5,"5 Source no.",$C79,"4 Item Ledger Entry Type",$C$4,"2 Item No.","@@"&amp;$F79,"3 Posting Date",U$9)</t>
  </si>
  <si>
    <t>=U79-W79</t>
  </si>
  <si>
    <t>=IF(U79&lt;&gt;0,X79/U79,"")</t>
  </si>
  <si>
    <t>=NL("Sum","5802 Value Entry","150 Sales Amount (Expected)","41 Source Type",$C$5,"5 Source No.",$C79,"4 Item Ledger Entry Type",$C$4,"2 Item No.","@@"&amp;$F79,"3 Posting Date",Z$9)+NL("Sum","5802 Value Entry","17 Sales Amount (Actual)","41 Source Type",$C$5,"5 Source no.",$C79,"4 Item Ledger Entry Type",$C$4,"2 Item No.","@@"&amp;$F79,"3 Posting Date",Z$9)</t>
  </si>
  <si>
    <t>=-NL("Sum","5802 Value Entry","151 Cost Amount (Expected)","41 Source Type",$C$5,"5 Source No.",$C79,"4 Item Ledger Entry Type",$C$4,"2 Item No.","@@"&amp;$F79,"3 Posting Date",Z$9)-NL("Sum","5802 Value Entry","43 Cost Amount (Actual)","41 Source Type",$C$5,"5 Source no.",$C79,"4 Item Ledger Entry Type",$C$4,"2 Item No.","@@"&amp;$F79,"3 Posting Date",Z$9)</t>
  </si>
  <si>
    <t>=Z79-AB79</t>
  </si>
  <si>
    <t>=IF(Z79&lt;&gt;0,AC79/Z79,"")</t>
  </si>
  <si>
    <t>=C79</t>
  </si>
  <si>
    <t>=NL("Sum","5802 Value Entry","150 Sales Amount (Expected)","41 Source Type",$C$5,"5 Source No.",$C80,"4 Item Ledger Entry Type",$C$4,"2 Item No.","@@"&amp;$F80,"3 Posting Date",J$9)+NL("Sum","5802 Value Entry","17 Sales Amount (Actual)","41 Source Type",$C$5,"5 Source no.",$C80,"4 Item Ledger Entry Type",$C$4,"2 Item No.","@@"&amp;$F80,"3 Posting Date",J$9)</t>
  </si>
  <si>
    <t>=-NL("Sum","5802 Value Entry","151 Cost Amount (Expected)","41 Source Type",$C$5,"5 Source No.",$C80,"4 Item Ledger Entry Type",$C$4,"2 Item No.","@@"&amp;$F80,"3 Posting Date",J$9)-NL("Sum","5802 Value Entry","43 Cost Amount (Actual)","41 Source Type",$C$5,"5 Source no.",$C80,"4 Item Ledger Entry Type",$C$4,"2 Item No.","@@"&amp;$F80,"3 Posting Date",J$9)</t>
  </si>
  <si>
    <t>=J80-L80</t>
  </si>
  <si>
    <t>=IF(J80&lt;&gt;0,M80/J80,"")</t>
  </si>
  <si>
    <t>=NL("Sum","5802 Value Entry","150 Sales Amount (Expected)","41 Source Type",$C$5,"5 Source No.",$C80,"4 Item Ledger Entry Type",$C$4,"2 Item No.","@@"&amp;$F80,"3 Posting Date",O$9)+NL("Sum","5802 Value Entry","17 Sales Amount (Actual)","41 Source Type",$C$5,"5 Source no.",$C80,"4 Item Ledger Entry Type",$C$4,"2 Item No.","@@"&amp;$F80,"3 Posting Date",O$9)</t>
  </si>
  <si>
    <t>=-NL("Sum","5802 Value Entry","151 Cost Amount (Expected)","41 Source Type",$C$5,"5 Source No.",$C80,"4 Item Ledger Entry Type",$C$4,"2 Item No.","@@"&amp;$F80,"3 Posting Date",O$9)-NL("Sum","5802 Value Entry","43 Cost Amount (Actual)","41 Source Type",$C$5,"5 Source no.",$C80,"4 Item Ledger Entry Type",$C$4,"2 Item No.","@@"&amp;$F80,"3 Posting Date",O$9)</t>
  </si>
  <si>
    <t>=O80-Q80</t>
  </si>
  <si>
    <t>=IF(O80&lt;&gt;0,R80/O80,"")</t>
  </si>
  <si>
    <t>=NL("Sum","5802 Value Entry","150 Sales Amount (Expected)","41 Source Type",$C$5,"5 Source No.",$C80,"4 Item Ledger Entry Type",$C$4,"2 Item No.","@@"&amp;$F80,"3 Posting Date",U$9)+NL("Sum","5802 Value Entry","17 Sales Amount (Actual)","41 Source Type",$C$5,"5 Source no.",$C80,"4 Item Ledger Entry Type",$C$4,"2 Item No.","@@"&amp;$F80,"3 Posting Date",U$9)</t>
  </si>
  <si>
    <t>=-NL("Sum","5802 Value Entry","151 Cost Amount (Expected)","41 Source Type",$C$5,"5 Source No.",$C80,"4 Item Ledger Entry Type",$C$4,"2 Item No.","@@"&amp;$F80,"3 Posting Date",U$9)-NL("Sum","5802 Value Entry","43 Cost Amount (Actual)","41 Source Type",$C$5,"5 Source no.",$C80,"4 Item Ledger Entry Type",$C$4,"2 Item No.","@@"&amp;$F80,"3 Posting Date",U$9)</t>
  </si>
  <si>
    <t>=U80-W80</t>
  </si>
  <si>
    <t>=IF(U80&lt;&gt;0,X80/U80,"")</t>
  </si>
  <si>
    <t>=NL("Sum","5802 Value Entry","150 Sales Amount (Expected)","41 Source Type",$C$5,"5 Source No.",$C80,"4 Item Ledger Entry Type",$C$4,"2 Item No.","@@"&amp;$F80,"3 Posting Date",Z$9)+NL("Sum","5802 Value Entry","17 Sales Amount (Actual)","41 Source Type",$C$5,"5 Source no.",$C80,"4 Item Ledger Entry Type",$C$4,"2 Item No.","@@"&amp;$F80,"3 Posting Date",Z$9)</t>
  </si>
  <si>
    <t>=-NL("Sum","5802 Value Entry","151 Cost Amount (Expected)","41 Source Type",$C$5,"5 Source No.",$C80,"4 Item Ledger Entry Type",$C$4,"2 Item No.","@@"&amp;$F80,"3 Posting Date",Z$9)-NL("Sum","5802 Value Entry","43 Cost Amount (Actual)","41 Source Type",$C$5,"5 Source no.",$C80,"4 Item Ledger Entry Type",$C$4,"2 Item No.","@@"&amp;$F80,"3 Posting Date",Z$9)</t>
  </si>
  <si>
    <t>=Z80-AB80</t>
  </si>
  <si>
    <t>=IF(Z80&lt;&gt;0,AC80/Z80,"")</t>
  </si>
  <si>
    <t>=NL("Sum","5802 Value Entry","150 Sales Amount (Expected)","41 Source Type",$C$5,"5 Source No.",$C81,"4 Item Ledger Entry Type",$C$4,"2 Item No.","@@"&amp;$F81,"3 Posting Date",J$9)+NL("Sum","5802 Value Entry","17 Sales Amount (Actual)","41 Source Type",$C$5,"5 Source no.",$C81,"4 Item Ledger Entry Type",$C$4,"2 Item No.","@@"&amp;$F81,"3 Posting Date",J$9)</t>
  </si>
  <si>
    <t>=-NL("Sum","5802 Value Entry","151 Cost Amount (Expected)","41 Source Type",$C$5,"5 Source No.",$C81,"4 Item Ledger Entry Type",$C$4,"2 Item No.","@@"&amp;$F81,"3 Posting Date",J$9)-NL("Sum","5802 Value Entry","43 Cost Amount (Actual)","41 Source Type",$C$5,"5 Source no.",$C81,"4 Item Ledger Entry Type",$C$4,"2 Item No.","@@"&amp;$F81,"3 Posting Date",J$9)</t>
  </si>
  <si>
    <t>=J81-L81</t>
  </si>
  <si>
    <t>=IF(J81&lt;&gt;0,M81/J81,"")</t>
  </si>
  <si>
    <t>=NL("Sum","5802 Value Entry","150 Sales Amount (Expected)","41 Source Type",$C$5,"5 Source No.",$C81,"4 Item Ledger Entry Type",$C$4,"2 Item No.","@@"&amp;$F81,"3 Posting Date",O$9)+NL("Sum","5802 Value Entry","17 Sales Amount (Actual)","41 Source Type",$C$5,"5 Source no.",$C81,"4 Item Ledger Entry Type",$C$4,"2 Item No.","@@"&amp;$F81,"3 Posting Date",O$9)</t>
  </si>
  <si>
    <t>=-NL("Sum","5802 Value Entry","151 Cost Amount (Expected)","41 Source Type",$C$5,"5 Source No.",$C81,"4 Item Ledger Entry Type",$C$4,"2 Item No.","@@"&amp;$F81,"3 Posting Date",O$9)-NL("Sum","5802 Value Entry","43 Cost Amount (Actual)","41 Source Type",$C$5,"5 Source no.",$C81,"4 Item Ledger Entry Type",$C$4,"2 Item No.","@@"&amp;$F81,"3 Posting Date",O$9)</t>
  </si>
  <si>
    <t>=O81-Q81</t>
  </si>
  <si>
    <t>=IF(O81&lt;&gt;0,R81/O81,"")</t>
  </si>
  <si>
    <t>=NL("Sum","5802 Value Entry","150 Sales Amount (Expected)","41 Source Type",$C$5,"5 Source No.",$C81,"4 Item Ledger Entry Type",$C$4,"2 Item No.","@@"&amp;$F81,"3 Posting Date",U$9)+NL("Sum","5802 Value Entry","17 Sales Amount (Actual)","41 Source Type",$C$5,"5 Source no.",$C81,"4 Item Ledger Entry Type",$C$4,"2 Item No.","@@"&amp;$F81,"3 Posting Date",U$9)</t>
  </si>
  <si>
    <t>=-NL("Sum","5802 Value Entry","151 Cost Amount (Expected)","41 Source Type",$C$5,"5 Source No.",$C81,"4 Item Ledger Entry Type",$C$4,"2 Item No.","@@"&amp;$F81,"3 Posting Date",U$9)-NL("Sum","5802 Value Entry","43 Cost Amount (Actual)","41 Source Type",$C$5,"5 Source no.",$C81,"4 Item Ledger Entry Type",$C$4,"2 Item No.","@@"&amp;$F81,"3 Posting Date",U$9)</t>
  </si>
  <si>
    <t>=U81-W81</t>
  </si>
  <si>
    <t>=IF(U81&lt;&gt;0,X81/U81,"")</t>
  </si>
  <si>
    <t>=NL("Sum","5802 Value Entry","150 Sales Amount (Expected)","41 Source Type",$C$5,"5 Source No.",$C81,"4 Item Ledger Entry Type",$C$4,"2 Item No.","@@"&amp;$F81,"3 Posting Date",Z$9)+NL("Sum","5802 Value Entry","17 Sales Amount (Actual)","41 Source Type",$C$5,"5 Source no.",$C81,"4 Item Ledger Entry Type",$C$4,"2 Item No.","@@"&amp;$F81,"3 Posting Date",Z$9)</t>
  </si>
  <si>
    <t>=-NL("Sum","5802 Value Entry","151 Cost Amount (Expected)","41 Source Type",$C$5,"5 Source No.",$C81,"4 Item Ledger Entry Type",$C$4,"2 Item No.","@@"&amp;$F81,"3 Posting Date",Z$9)-NL("Sum","5802 Value Entry","43 Cost Amount (Actual)","41 Source Type",$C$5,"5 Source no.",$C81,"4 Item Ledger Entry Type",$C$4,"2 Item No.","@@"&amp;$F81,"3 Posting Date",Z$9)</t>
  </si>
  <si>
    <t>=Z81-AB81</t>
  </si>
  <si>
    <t>=IF(Z81&lt;&gt;0,AC81/Z81,"")</t>
  </si>
  <si>
    <t>=NL("Sum","5802 Value Entry","150 Sales Amount (Expected)","41 Source Type",$C$5,"5 Source No.",$C82,"4 Item Ledger Entry Type",$C$4,"2 Item No.","@@"&amp;$F82,"3 Posting Date",J$9)+NL("Sum","5802 Value Entry","17 Sales Amount (Actual)","41 Source Type",$C$5,"5 Source no.",$C82,"4 Item Ledger Entry Type",$C$4,"2 Item No.","@@"&amp;$F82,"3 Posting Date",J$9)</t>
  </si>
  <si>
    <t>=-NL("Sum","5802 Value Entry","151 Cost Amount (Expected)","41 Source Type",$C$5,"5 Source No.",$C82,"4 Item Ledger Entry Type",$C$4,"2 Item No.","@@"&amp;$F82,"3 Posting Date",J$9)-NL("Sum","5802 Value Entry","43 Cost Amount (Actual)","41 Source Type",$C$5,"5 Source no.",$C82,"4 Item Ledger Entry Type",$C$4,"2 Item No.","@@"&amp;$F82,"3 Posting Date",J$9)</t>
  </si>
  <si>
    <t>=NL("Sum","5802 Value Entry","150 Sales Amount (Expected)","41 Source Type",$C$5,"5 Source No.",$C82,"4 Item Ledger Entry Type",$C$4,"2 Item No.","@@"&amp;$F82,"3 Posting Date",O$9)+NL("Sum","5802 Value Entry","17 Sales Amount (Actual)","41 Source Type",$C$5,"5 Source no.",$C82,"4 Item Ledger Entry Type",$C$4,"2 Item No.","@@"&amp;$F82,"3 Posting Date",O$9)</t>
  </si>
  <si>
    <t>=-NL("Sum","5802 Value Entry","151 Cost Amount (Expected)","41 Source Type",$C$5,"5 Source No.",$C82,"4 Item Ledger Entry Type",$C$4,"2 Item No.","@@"&amp;$F82,"3 Posting Date",O$9)-NL("Sum","5802 Value Entry","43 Cost Amount (Actual)","41 Source Type",$C$5,"5 Source no.",$C82,"4 Item Ledger Entry Type",$C$4,"2 Item No.","@@"&amp;$F82,"3 Posting Date",O$9)</t>
  </si>
  <si>
    <t>=NL("Sum","5802 Value Entry","150 Sales Amount (Expected)","41 Source Type",$C$5,"5 Source No.",$C82,"4 Item Ledger Entry Type",$C$4,"2 Item No.","@@"&amp;$F82,"3 Posting Date",U$9)+NL("Sum","5802 Value Entry","17 Sales Amount (Actual)","41 Source Type",$C$5,"5 Source no.",$C82,"4 Item Ledger Entry Type",$C$4,"2 Item No.","@@"&amp;$F82,"3 Posting Date",U$9)</t>
  </si>
  <si>
    <t>=-NL("Sum","5802 Value Entry","151 Cost Amount (Expected)","41 Source Type",$C$5,"5 Source No.",$C82,"4 Item Ledger Entry Type",$C$4,"2 Item No.","@@"&amp;$F82,"3 Posting Date",U$9)-NL("Sum","5802 Value Entry","43 Cost Amount (Actual)","41 Source Type",$C$5,"5 Source no.",$C82,"4 Item Ledger Entry Type",$C$4,"2 Item No.","@@"&amp;$F82,"3 Posting Date",U$9)</t>
  </si>
  <si>
    <t>=NL("Sum","5802 Value Entry","150 Sales Amount (Expected)","41 Source Type",$C$5,"5 Source No.",$C82,"4 Item Ledger Entry Type",$C$4,"2 Item No.","@@"&amp;$F82,"3 Posting Date",Z$9)+NL("Sum","5802 Value Entry","17 Sales Amount (Actual)","41 Source Type",$C$5,"5 Source no.",$C82,"4 Item Ledger Entry Type",$C$4,"2 Item No.","@@"&amp;$F82,"3 Posting Date",Z$9)</t>
  </si>
  <si>
    <t>=-NL("Sum","5802 Value Entry","151 Cost Amount (Expected)","41 Source Type",$C$5,"5 Source No.",$C82,"4 Item Ledger Entry Type",$C$4,"2 Item No.","@@"&amp;$F82,"3 Posting Date",Z$9)-NL("Sum","5802 Value Entry","43 Cost Amount (Actual)","41 Source Type",$C$5,"5 Source no.",$C82,"4 Item Ledger Entry Type",$C$4,"2 Item No.","@@"&amp;$F82,"3 Posting Date",Z$9)</t>
  </si>
  <si>
    <t>=NL("Sum","5802 Value Entry","150 Sales Amount (Expected)","41 Source Type",$C$5,"5 Source No.",$C83,"4 Item Ledger Entry Type",$C$4,"2 Item No.","@@"&amp;$F83,"3 Posting Date",J$9)+NL("Sum","5802 Value Entry","17 Sales Amount (Actual)","41 Source Type",$C$5,"5 Source no.",$C83,"4 Item Ledger Entry Type",$C$4,"2 Item No.","@@"&amp;$F83,"3 Posting Date",J$9)</t>
  </si>
  <si>
    <t>=-NL("Sum","5802 Value Entry","151 Cost Amount (Expected)","41 Source Type",$C$5,"5 Source No.",$C83,"4 Item Ledger Entry Type",$C$4,"2 Item No.","@@"&amp;$F83,"3 Posting Date",J$9)-NL("Sum","5802 Value Entry","43 Cost Amount (Actual)","41 Source Type",$C$5,"5 Source no.",$C83,"4 Item Ledger Entry Type",$C$4,"2 Item No.","@@"&amp;$F83,"3 Posting Date",J$9)</t>
  </si>
  <si>
    <t>=J83-L83</t>
  </si>
  <si>
    <t>=IF(J83&lt;&gt;0,M83/J83,"")</t>
  </si>
  <si>
    <t>=NL("Sum","5802 Value Entry","150 Sales Amount (Expected)","41 Source Type",$C$5,"5 Source No.",$C83,"4 Item Ledger Entry Type",$C$4,"2 Item No.","@@"&amp;$F83,"3 Posting Date",O$9)+NL("Sum","5802 Value Entry","17 Sales Amount (Actual)","41 Source Type",$C$5,"5 Source no.",$C83,"4 Item Ledger Entry Type",$C$4,"2 Item No.","@@"&amp;$F83,"3 Posting Date",O$9)</t>
  </si>
  <si>
    <t>=-NL("Sum","5802 Value Entry","151 Cost Amount (Expected)","41 Source Type",$C$5,"5 Source No.",$C83,"4 Item Ledger Entry Type",$C$4,"2 Item No.","@@"&amp;$F83,"3 Posting Date",O$9)-NL("Sum","5802 Value Entry","43 Cost Amount (Actual)","41 Source Type",$C$5,"5 Source no.",$C83,"4 Item Ledger Entry Type",$C$4,"2 Item No.","@@"&amp;$F83,"3 Posting Date",O$9)</t>
  </si>
  <si>
    <t>=O83-Q83</t>
  </si>
  <si>
    <t>=IF(O83&lt;&gt;0,R83/O83,"")</t>
  </si>
  <si>
    <t>=NL("Sum","5802 Value Entry","150 Sales Amount (Expected)","41 Source Type",$C$5,"5 Source No.",$C83,"4 Item Ledger Entry Type",$C$4,"2 Item No.","@@"&amp;$F83,"3 Posting Date",U$9)+NL("Sum","5802 Value Entry","17 Sales Amount (Actual)","41 Source Type",$C$5,"5 Source no.",$C83,"4 Item Ledger Entry Type",$C$4,"2 Item No.","@@"&amp;$F83,"3 Posting Date",U$9)</t>
  </si>
  <si>
    <t>=-NL("Sum","5802 Value Entry","151 Cost Amount (Expected)","41 Source Type",$C$5,"5 Source No.",$C83,"4 Item Ledger Entry Type",$C$4,"2 Item No.","@@"&amp;$F83,"3 Posting Date",U$9)-NL("Sum","5802 Value Entry","43 Cost Amount (Actual)","41 Source Type",$C$5,"5 Source no.",$C83,"4 Item Ledger Entry Type",$C$4,"2 Item No.","@@"&amp;$F83,"3 Posting Date",U$9)</t>
  </si>
  <si>
    <t>=U83-W83</t>
  </si>
  <si>
    <t>=IF(U83&lt;&gt;0,X83/U83,"")</t>
  </si>
  <si>
    <t>=NL("Sum","5802 Value Entry","150 Sales Amount (Expected)","41 Source Type",$C$5,"5 Source No.",$C83,"4 Item Ledger Entry Type",$C$4,"2 Item No.","@@"&amp;$F83,"3 Posting Date",Z$9)+NL("Sum","5802 Value Entry","17 Sales Amount (Actual)","41 Source Type",$C$5,"5 Source no.",$C83,"4 Item Ledger Entry Type",$C$4,"2 Item No.","@@"&amp;$F83,"3 Posting Date",Z$9)</t>
  </si>
  <si>
    <t>=-NL("Sum","5802 Value Entry","151 Cost Amount (Expected)","41 Source Type",$C$5,"5 Source No.",$C83,"4 Item Ledger Entry Type",$C$4,"2 Item No.","@@"&amp;$F83,"3 Posting Date",Z$9)-NL("Sum","5802 Value Entry","43 Cost Amount (Actual)","41 Source Type",$C$5,"5 Source no.",$C83,"4 Item Ledger Entry Type",$C$4,"2 Item No.","@@"&amp;$F83,"3 Posting Date",Z$9)</t>
  </si>
  <si>
    <t>=Z83-AB83</t>
  </si>
  <si>
    <t>=IF(Z83&lt;&gt;0,AC83/Z83,"")</t>
  </si>
  <si>
    <t>=NL("Sum","5802 Value Entry","150 Sales Amount (Expected)","41 Source Type",$C$5,"5 Source No.",$C84,"4 Item Ledger Entry Type",$C$4,"2 Item No.","@@"&amp;$F84,"3 Posting Date",J$9)+NL("Sum","5802 Value Entry","17 Sales Amount (Actual)","41 Source Type",$C$5,"5 Source no.",$C84,"4 Item Ledger Entry Type",$C$4,"2 Item No.","@@"&amp;$F84,"3 Posting Date",J$9)</t>
  </si>
  <si>
    <t>=-NL("Sum","5802 Value Entry","151 Cost Amount (Expected)","41 Source Type",$C$5,"5 Source No.",$C84,"4 Item Ledger Entry Type",$C$4,"2 Item No.","@@"&amp;$F84,"3 Posting Date",J$9)-NL("Sum","5802 Value Entry","43 Cost Amount (Actual)","41 Source Type",$C$5,"5 Source no.",$C84,"4 Item Ledger Entry Type",$C$4,"2 Item No.","@@"&amp;$F84,"3 Posting Date",J$9)</t>
  </si>
  <si>
    <t>=NL("Sum","5802 Value Entry","150 Sales Amount (Expected)","41 Source Type",$C$5,"5 Source No.",$C84,"4 Item Ledger Entry Type",$C$4,"2 Item No.","@@"&amp;$F84,"3 Posting Date",O$9)+NL("Sum","5802 Value Entry","17 Sales Amount (Actual)","41 Source Type",$C$5,"5 Source no.",$C84,"4 Item Ledger Entry Type",$C$4,"2 Item No.","@@"&amp;$F84,"3 Posting Date",O$9)</t>
  </si>
  <si>
    <t>=-NL("Sum","5802 Value Entry","151 Cost Amount (Expected)","41 Source Type",$C$5,"5 Source No.",$C84,"4 Item Ledger Entry Type",$C$4,"2 Item No.","@@"&amp;$F84,"3 Posting Date",O$9)-NL("Sum","5802 Value Entry","43 Cost Amount (Actual)","41 Source Type",$C$5,"5 Source no.",$C84,"4 Item Ledger Entry Type",$C$4,"2 Item No.","@@"&amp;$F84,"3 Posting Date",O$9)</t>
  </si>
  <si>
    <t>=NL("Sum","5802 Value Entry","150 Sales Amount (Expected)","41 Source Type",$C$5,"5 Source No.",$C84,"4 Item Ledger Entry Type",$C$4,"2 Item No.","@@"&amp;$F84,"3 Posting Date",U$9)+NL("Sum","5802 Value Entry","17 Sales Amount (Actual)","41 Source Type",$C$5,"5 Source no.",$C84,"4 Item Ledger Entry Type",$C$4,"2 Item No.","@@"&amp;$F84,"3 Posting Date",U$9)</t>
  </si>
  <si>
    <t>=-NL("Sum","5802 Value Entry","151 Cost Amount (Expected)","41 Source Type",$C$5,"5 Source No.",$C84,"4 Item Ledger Entry Type",$C$4,"2 Item No.","@@"&amp;$F84,"3 Posting Date",U$9)-NL("Sum","5802 Value Entry","43 Cost Amount (Actual)","41 Source Type",$C$5,"5 Source no.",$C84,"4 Item Ledger Entry Type",$C$4,"2 Item No.","@@"&amp;$F84,"3 Posting Date",U$9)</t>
  </si>
  <si>
    <t>=NL("Sum","5802 Value Entry","150 Sales Amount (Expected)","41 Source Type",$C$5,"5 Source No.",$C84,"4 Item Ledger Entry Type",$C$4,"2 Item No.","@@"&amp;$F84,"3 Posting Date",Z$9)+NL("Sum","5802 Value Entry","17 Sales Amount (Actual)","41 Source Type",$C$5,"5 Source no.",$C84,"4 Item Ledger Entry Type",$C$4,"2 Item No.","@@"&amp;$F84,"3 Posting Date",Z$9)</t>
  </si>
  <si>
    <t>=-NL("Sum","5802 Value Entry","151 Cost Amount (Expected)","41 Source Type",$C$5,"5 Source No.",$C84,"4 Item Ledger Entry Type",$C$4,"2 Item No.","@@"&amp;$F84,"3 Posting Date",Z$9)-NL("Sum","5802 Value Entry","43 Cost Amount (Actual)","41 Source Type",$C$5,"5 Source no.",$C84,"4 Item Ledger Entry Type",$C$4,"2 Item No.","@@"&amp;$F84,"3 Posting Date",Z$9)</t>
  </si>
  <si>
    <t>=C84</t>
  </si>
  <si>
    <t>=NL("Sum","5802 Value Entry","150 Sales Amount (Expected)","41 Source Type",$C$5,"5 Source No.",$C85,"4 Item Ledger Entry Type",$C$4,"2 Item No.","@@"&amp;$F85,"3 Posting Date",J$9)+NL("Sum","5802 Value Entry","17 Sales Amount (Actual)","41 Source Type",$C$5,"5 Source no.",$C85,"4 Item Ledger Entry Type",$C$4,"2 Item No.","@@"&amp;$F85,"3 Posting Date",J$9)</t>
  </si>
  <si>
    <t>=-NL("Sum","5802 Value Entry","151 Cost Amount (Expected)","41 Source Type",$C$5,"5 Source No.",$C85,"4 Item Ledger Entry Type",$C$4,"2 Item No.","@@"&amp;$F85,"3 Posting Date",J$9)-NL("Sum","5802 Value Entry","43 Cost Amount (Actual)","41 Source Type",$C$5,"5 Source no.",$C85,"4 Item Ledger Entry Type",$C$4,"2 Item No.","@@"&amp;$F85,"3 Posting Date",J$9)</t>
  </si>
  <si>
    <t>=J85-L85</t>
  </si>
  <si>
    <t>=IF(J85&lt;&gt;0,M85/J85,"")</t>
  </si>
  <si>
    <t>=NL("Sum","5802 Value Entry","150 Sales Amount (Expected)","41 Source Type",$C$5,"5 Source No.",$C85,"4 Item Ledger Entry Type",$C$4,"2 Item No.","@@"&amp;$F85,"3 Posting Date",O$9)+NL("Sum","5802 Value Entry","17 Sales Amount (Actual)","41 Source Type",$C$5,"5 Source no.",$C85,"4 Item Ledger Entry Type",$C$4,"2 Item No.","@@"&amp;$F85,"3 Posting Date",O$9)</t>
  </si>
  <si>
    <t>=-NL("Sum","5802 Value Entry","151 Cost Amount (Expected)","41 Source Type",$C$5,"5 Source No.",$C85,"4 Item Ledger Entry Type",$C$4,"2 Item No.","@@"&amp;$F85,"3 Posting Date",O$9)-NL("Sum","5802 Value Entry","43 Cost Amount (Actual)","41 Source Type",$C$5,"5 Source no.",$C85,"4 Item Ledger Entry Type",$C$4,"2 Item No.","@@"&amp;$F85,"3 Posting Date",O$9)</t>
  </si>
  <si>
    <t>=O85-Q85</t>
  </si>
  <si>
    <t>=IF(O85&lt;&gt;0,R85/O85,"")</t>
  </si>
  <si>
    <t>=NL("Sum","5802 Value Entry","150 Sales Amount (Expected)","41 Source Type",$C$5,"5 Source No.",$C85,"4 Item Ledger Entry Type",$C$4,"2 Item No.","@@"&amp;$F85,"3 Posting Date",U$9)+NL("Sum","5802 Value Entry","17 Sales Amount (Actual)","41 Source Type",$C$5,"5 Source no.",$C85,"4 Item Ledger Entry Type",$C$4,"2 Item No.","@@"&amp;$F85,"3 Posting Date",U$9)</t>
  </si>
  <si>
    <t>=-NL("Sum","5802 Value Entry","151 Cost Amount (Expected)","41 Source Type",$C$5,"5 Source No.",$C85,"4 Item Ledger Entry Type",$C$4,"2 Item No.","@@"&amp;$F85,"3 Posting Date",U$9)-NL("Sum","5802 Value Entry","43 Cost Amount (Actual)","41 Source Type",$C$5,"5 Source no.",$C85,"4 Item Ledger Entry Type",$C$4,"2 Item No.","@@"&amp;$F85,"3 Posting Date",U$9)</t>
  </si>
  <si>
    <t>=U85-W85</t>
  </si>
  <si>
    <t>=IF(U85&lt;&gt;0,X85/U85,"")</t>
  </si>
  <si>
    <t>=NL("Sum","5802 Value Entry","150 Sales Amount (Expected)","41 Source Type",$C$5,"5 Source No.",$C85,"4 Item Ledger Entry Type",$C$4,"2 Item No.","@@"&amp;$F85,"3 Posting Date",Z$9)+NL("Sum","5802 Value Entry","17 Sales Amount (Actual)","41 Source Type",$C$5,"5 Source no.",$C85,"4 Item Ledger Entry Type",$C$4,"2 Item No.","@@"&amp;$F85,"3 Posting Date",Z$9)</t>
  </si>
  <si>
    <t>=-NL("Sum","5802 Value Entry","151 Cost Amount (Expected)","41 Source Type",$C$5,"5 Source No.",$C85,"4 Item Ledger Entry Type",$C$4,"2 Item No.","@@"&amp;$F85,"3 Posting Date",Z$9)-NL("Sum","5802 Value Entry","43 Cost Amount (Actual)","41 Source Type",$C$5,"5 Source no.",$C85,"4 Item Ledger Entry Type",$C$4,"2 Item No.","@@"&amp;$F85,"3 Posting Date",Z$9)</t>
  </si>
  <si>
    <t>=Z85-AB85</t>
  </si>
  <si>
    <t>=IF(Z85&lt;&gt;0,AC85/Z85,"")</t>
  </si>
  <si>
    <t>=C85</t>
  </si>
  <si>
    <t>=NL("Sum","5802 Value Entry","150 Sales Amount (Expected)","41 Source Type",$C$5,"5 Source No.",$C86,"4 Item Ledger Entry Type",$C$4,"2 Item No.","@@"&amp;$F86,"3 Posting Date",J$9)+NL("Sum","5802 Value Entry","17 Sales Amount (Actual)","41 Source Type",$C$5,"5 Source no.",$C86,"4 Item Ledger Entry Type",$C$4,"2 Item No.","@@"&amp;$F86,"3 Posting Date",J$9)</t>
  </si>
  <si>
    <t>=-NL("Sum","5802 Value Entry","151 Cost Amount (Expected)","41 Source Type",$C$5,"5 Source No.",$C86,"4 Item Ledger Entry Type",$C$4,"2 Item No.","@@"&amp;$F86,"3 Posting Date",J$9)-NL("Sum","5802 Value Entry","43 Cost Amount (Actual)","41 Source Type",$C$5,"5 Source no.",$C86,"4 Item Ledger Entry Type",$C$4,"2 Item No.","@@"&amp;$F86,"3 Posting Date",J$9)</t>
  </si>
  <si>
    <t>=J86-L86</t>
  </si>
  <si>
    <t>=IF(J86&lt;&gt;0,M86/J86,"")</t>
  </si>
  <si>
    <t>=NL("Sum","5802 Value Entry","150 Sales Amount (Expected)","41 Source Type",$C$5,"5 Source No.",$C86,"4 Item Ledger Entry Type",$C$4,"2 Item No.","@@"&amp;$F86,"3 Posting Date",O$9)+NL("Sum","5802 Value Entry","17 Sales Amount (Actual)","41 Source Type",$C$5,"5 Source no.",$C86,"4 Item Ledger Entry Type",$C$4,"2 Item No.","@@"&amp;$F86,"3 Posting Date",O$9)</t>
  </si>
  <si>
    <t>=-NL("Sum","5802 Value Entry","151 Cost Amount (Expected)","41 Source Type",$C$5,"5 Source No.",$C86,"4 Item Ledger Entry Type",$C$4,"2 Item No.","@@"&amp;$F86,"3 Posting Date",O$9)-NL("Sum","5802 Value Entry","43 Cost Amount (Actual)","41 Source Type",$C$5,"5 Source no.",$C86,"4 Item Ledger Entry Type",$C$4,"2 Item No.","@@"&amp;$F86,"3 Posting Date",O$9)</t>
  </si>
  <si>
    <t>=O86-Q86</t>
  </si>
  <si>
    <t>=IF(O86&lt;&gt;0,R86/O86,"")</t>
  </si>
  <si>
    <t>=NL("Sum","5802 Value Entry","150 Sales Amount (Expected)","41 Source Type",$C$5,"5 Source No.",$C86,"4 Item Ledger Entry Type",$C$4,"2 Item No.","@@"&amp;$F86,"3 Posting Date",U$9)+NL("Sum","5802 Value Entry","17 Sales Amount (Actual)","41 Source Type",$C$5,"5 Source no.",$C86,"4 Item Ledger Entry Type",$C$4,"2 Item No.","@@"&amp;$F86,"3 Posting Date",U$9)</t>
  </si>
  <si>
    <t>=-NL("Sum","5802 Value Entry","151 Cost Amount (Expected)","41 Source Type",$C$5,"5 Source No.",$C86,"4 Item Ledger Entry Type",$C$4,"2 Item No.","@@"&amp;$F86,"3 Posting Date",U$9)-NL("Sum","5802 Value Entry","43 Cost Amount (Actual)","41 Source Type",$C$5,"5 Source no.",$C86,"4 Item Ledger Entry Type",$C$4,"2 Item No.","@@"&amp;$F86,"3 Posting Date",U$9)</t>
  </si>
  <si>
    <t>=U86-W86</t>
  </si>
  <si>
    <t>=IF(U86&lt;&gt;0,X86/U86,"")</t>
  </si>
  <si>
    <t>=NL("Sum","5802 Value Entry","150 Sales Amount (Expected)","41 Source Type",$C$5,"5 Source No.",$C86,"4 Item Ledger Entry Type",$C$4,"2 Item No.","@@"&amp;$F86,"3 Posting Date",Z$9)+NL("Sum","5802 Value Entry","17 Sales Amount (Actual)","41 Source Type",$C$5,"5 Source no.",$C86,"4 Item Ledger Entry Type",$C$4,"2 Item No.","@@"&amp;$F86,"3 Posting Date",Z$9)</t>
  </si>
  <si>
    <t>=-NL("Sum","5802 Value Entry","151 Cost Amount (Expected)","41 Source Type",$C$5,"5 Source No.",$C86,"4 Item Ledger Entry Type",$C$4,"2 Item No.","@@"&amp;$F86,"3 Posting Date",Z$9)-NL("Sum","5802 Value Entry","43 Cost Amount (Actual)","41 Source Type",$C$5,"5 Source no.",$C86,"4 Item Ledger Entry Type",$C$4,"2 Item No.","@@"&amp;$F86,"3 Posting Date",Z$9)</t>
  </si>
  <si>
    <t>=Z86-AB86</t>
  </si>
  <si>
    <t>=IF(Z86&lt;&gt;0,AC86/Z86,"")</t>
  </si>
  <si>
    <t>=NL("Sum","5802 Value Entry","150 Sales Amount (Expected)","41 Source Type",$C$5,"5 Source No.",$C87,"4 Item Ledger Entry Type",$C$4,"2 Item No.","@@"&amp;$F87,"3 Posting Date",J$9)+NL("Sum","5802 Value Entry","17 Sales Amount (Actual)","41 Source Type",$C$5,"5 Source no.",$C87,"4 Item Ledger Entry Type",$C$4,"2 Item No.","@@"&amp;$F87,"3 Posting Date",J$9)</t>
  </si>
  <si>
    <t>=-NL("Sum","5802 Value Entry","151 Cost Amount (Expected)","41 Source Type",$C$5,"5 Source No.",$C87,"4 Item Ledger Entry Type",$C$4,"2 Item No.","@@"&amp;$F87,"3 Posting Date",J$9)-NL("Sum","5802 Value Entry","43 Cost Amount (Actual)","41 Source Type",$C$5,"5 Source no.",$C87,"4 Item Ledger Entry Type",$C$4,"2 Item No.","@@"&amp;$F87,"3 Posting Date",J$9)</t>
  </si>
  <si>
    <t>=J87-L87</t>
  </si>
  <si>
    <t>=IF(J87&lt;&gt;0,M87/J87,"")</t>
  </si>
  <si>
    <t>=NL("Sum","5802 Value Entry","150 Sales Amount (Expected)","41 Source Type",$C$5,"5 Source No.",$C87,"4 Item Ledger Entry Type",$C$4,"2 Item No.","@@"&amp;$F87,"3 Posting Date",O$9)+NL("Sum","5802 Value Entry","17 Sales Amount (Actual)","41 Source Type",$C$5,"5 Source no.",$C87,"4 Item Ledger Entry Type",$C$4,"2 Item No.","@@"&amp;$F87,"3 Posting Date",O$9)</t>
  </si>
  <si>
    <t>=-NL("Sum","5802 Value Entry","151 Cost Amount (Expected)","41 Source Type",$C$5,"5 Source No.",$C87,"4 Item Ledger Entry Type",$C$4,"2 Item No.","@@"&amp;$F87,"3 Posting Date",O$9)-NL("Sum","5802 Value Entry","43 Cost Amount (Actual)","41 Source Type",$C$5,"5 Source no.",$C87,"4 Item Ledger Entry Type",$C$4,"2 Item No.","@@"&amp;$F87,"3 Posting Date",O$9)</t>
  </si>
  <si>
    <t>=O87-Q87</t>
  </si>
  <si>
    <t>=IF(O87&lt;&gt;0,R87/O87,"")</t>
  </si>
  <si>
    <t>=NL("Sum","5802 Value Entry","150 Sales Amount (Expected)","41 Source Type",$C$5,"5 Source No.",$C87,"4 Item Ledger Entry Type",$C$4,"2 Item No.","@@"&amp;$F87,"3 Posting Date",U$9)+NL("Sum","5802 Value Entry","17 Sales Amount (Actual)","41 Source Type",$C$5,"5 Source no.",$C87,"4 Item Ledger Entry Type",$C$4,"2 Item No.","@@"&amp;$F87,"3 Posting Date",U$9)</t>
  </si>
  <si>
    <t>=-NL("Sum","5802 Value Entry","151 Cost Amount (Expected)","41 Source Type",$C$5,"5 Source No.",$C87,"4 Item Ledger Entry Type",$C$4,"2 Item No.","@@"&amp;$F87,"3 Posting Date",U$9)-NL("Sum","5802 Value Entry","43 Cost Amount (Actual)","41 Source Type",$C$5,"5 Source no.",$C87,"4 Item Ledger Entry Type",$C$4,"2 Item No.","@@"&amp;$F87,"3 Posting Date",U$9)</t>
  </si>
  <si>
    <t>=U87-W87</t>
  </si>
  <si>
    <t>=IF(U87&lt;&gt;0,X87/U87,"")</t>
  </si>
  <si>
    <t>=NL("Sum","5802 Value Entry","150 Sales Amount (Expected)","41 Source Type",$C$5,"5 Source No.",$C87,"4 Item Ledger Entry Type",$C$4,"2 Item No.","@@"&amp;$F87,"3 Posting Date",Z$9)+NL("Sum","5802 Value Entry","17 Sales Amount (Actual)","41 Source Type",$C$5,"5 Source no.",$C87,"4 Item Ledger Entry Type",$C$4,"2 Item No.","@@"&amp;$F87,"3 Posting Date",Z$9)</t>
  </si>
  <si>
    <t>=-NL("Sum","5802 Value Entry","151 Cost Amount (Expected)","41 Source Type",$C$5,"5 Source No.",$C87,"4 Item Ledger Entry Type",$C$4,"2 Item No.","@@"&amp;$F87,"3 Posting Date",Z$9)-NL("Sum","5802 Value Entry","43 Cost Amount (Actual)","41 Source Type",$C$5,"5 Source no.",$C87,"4 Item Ledger Entry Type",$C$4,"2 Item No.","@@"&amp;$F87,"3 Posting Date",Z$9)</t>
  </si>
  <si>
    <t>=Z87-AB87</t>
  </si>
  <si>
    <t>=IF(Z87&lt;&gt;0,AC87/Z87,"")</t>
  </si>
  <si>
    <t>=NL("Sum","5802 Value Entry","150 Sales Amount (Expected)","41 Source Type",$C$5,"5 Source No.",$C88,"4 Item Ledger Entry Type",$C$4,"2 Item No.","@@"&amp;$F88,"3 Posting Date",J$9)+NL("Sum","5802 Value Entry","17 Sales Amount (Actual)","41 Source Type",$C$5,"5 Source no.",$C88,"4 Item Ledger Entry Type",$C$4,"2 Item No.","@@"&amp;$F88,"3 Posting Date",J$9)</t>
  </si>
  <si>
    <t>=-NL("Sum","5802 Value Entry","151 Cost Amount (Expected)","41 Source Type",$C$5,"5 Source No.",$C88,"4 Item Ledger Entry Type",$C$4,"2 Item No.","@@"&amp;$F88,"3 Posting Date",J$9)-NL("Sum","5802 Value Entry","43 Cost Amount (Actual)","41 Source Type",$C$5,"5 Source no.",$C88,"4 Item Ledger Entry Type",$C$4,"2 Item No.","@@"&amp;$F88,"3 Posting Date",J$9)</t>
  </si>
  <si>
    <t>=NL("Sum","5802 Value Entry","150 Sales Amount (Expected)","41 Source Type",$C$5,"5 Source No.",$C88,"4 Item Ledger Entry Type",$C$4,"2 Item No.","@@"&amp;$F88,"3 Posting Date",O$9)+NL("Sum","5802 Value Entry","17 Sales Amount (Actual)","41 Source Type",$C$5,"5 Source no.",$C88,"4 Item Ledger Entry Type",$C$4,"2 Item No.","@@"&amp;$F88,"3 Posting Date",O$9)</t>
  </si>
  <si>
    <t>=-NL("Sum","5802 Value Entry","151 Cost Amount (Expected)","41 Source Type",$C$5,"5 Source No.",$C88,"4 Item Ledger Entry Type",$C$4,"2 Item No.","@@"&amp;$F88,"3 Posting Date",O$9)-NL("Sum","5802 Value Entry","43 Cost Amount (Actual)","41 Source Type",$C$5,"5 Source no.",$C88,"4 Item Ledger Entry Type",$C$4,"2 Item No.","@@"&amp;$F88,"3 Posting Date",O$9)</t>
  </si>
  <si>
    <t>=NL("Sum","5802 Value Entry","150 Sales Amount (Expected)","41 Source Type",$C$5,"5 Source No.",$C88,"4 Item Ledger Entry Type",$C$4,"2 Item No.","@@"&amp;$F88,"3 Posting Date",U$9)+NL("Sum","5802 Value Entry","17 Sales Amount (Actual)","41 Source Type",$C$5,"5 Source no.",$C88,"4 Item Ledger Entry Type",$C$4,"2 Item No.","@@"&amp;$F88,"3 Posting Date",U$9)</t>
  </si>
  <si>
    <t>=-NL("Sum","5802 Value Entry","151 Cost Amount (Expected)","41 Source Type",$C$5,"5 Source No.",$C88,"4 Item Ledger Entry Type",$C$4,"2 Item No.","@@"&amp;$F88,"3 Posting Date",U$9)-NL("Sum","5802 Value Entry","43 Cost Amount (Actual)","41 Source Type",$C$5,"5 Source no.",$C88,"4 Item Ledger Entry Type",$C$4,"2 Item No.","@@"&amp;$F88,"3 Posting Date",U$9)</t>
  </si>
  <si>
    <t>=NL("Sum","5802 Value Entry","150 Sales Amount (Expected)","41 Source Type",$C$5,"5 Source No.",$C88,"4 Item Ledger Entry Type",$C$4,"2 Item No.","@@"&amp;$F88,"3 Posting Date",Z$9)+NL("Sum","5802 Value Entry","17 Sales Amount (Actual)","41 Source Type",$C$5,"5 Source no.",$C88,"4 Item Ledger Entry Type",$C$4,"2 Item No.","@@"&amp;$F88,"3 Posting Date",Z$9)</t>
  </si>
  <si>
    <t>=-NL("Sum","5802 Value Entry","151 Cost Amount (Expected)","41 Source Type",$C$5,"5 Source No.",$C88,"4 Item Ledger Entry Type",$C$4,"2 Item No.","@@"&amp;$F88,"3 Posting Date",Z$9)-NL("Sum","5802 Value Entry","43 Cost Amount (Actual)","41 Source Type",$C$5,"5 Source no.",$C88,"4 Item Ledger Entry Type",$C$4,"2 Item No.","@@"&amp;$F88,"3 Posting Date",Z$9)</t>
  </si>
  <si>
    <t>=NL("Sum","5802 Value Entry","150 Sales Amount (Expected)","41 Source Type",$C$5,"5 Source No.",$C89,"4 Item Ledger Entry Type",$C$4,"2 Item No.","@@"&amp;$F89,"3 Posting Date",J$9)+NL("Sum","5802 Value Entry","17 Sales Amount (Actual)","41 Source Type",$C$5,"5 Source no.",$C89,"4 Item Ledger Entry Type",$C$4,"2 Item No.","@@"&amp;$F89,"3 Posting Date",J$9)</t>
  </si>
  <si>
    <t>=-NL("Sum","5802 Value Entry","151 Cost Amount (Expected)","41 Source Type",$C$5,"5 Source No.",$C89,"4 Item Ledger Entry Type",$C$4,"2 Item No.","@@"&amp;$F89,"3 Posting Date",J$9)-NL("Sum","5802 Value Entry","43 Cost Amount (Actual)","41 Source Type",$C$5,"5 Source no.",$C89,"4 Item Ledger Entry Type",$C$4,"2 Item No.","@@"&amp;$F89,"3 Posting Date",J$9)</t>
  </si>
  <si>
    <t>=J89-L89</t>
  </si>
  <si>
    <t>=IF(J89&lt;&gt;0,M89/J89,"")</t>
  </si>
  <si>
    <t>=NL("Sum","5802 Value Entry","150 Sales Amount (Expected)","41 Source Type",$C$5,"5 Source No.",$C89,"4 Item Ledger Entry Type",$C$4,"2 Item No.","@@"&amp;$F89,"3 Posting Date",O$9)+NL("Sum","5802 Value Entry","17 Sales Amount (Actual)","41 Source Type",$C$5,"5 Source no.",$C89,"4 Item Ledger Entry Type",$C$4,"2 Item No.","@@"&amp;$F89,"3 Posting Date",O$9)</t>
  </si>
  <si>
    <t>=-NL("Sum","5802 Value Entry","151 Cost Amount (Expected)","41 Source Type",$C$5,"5 Source No.",$C89,"4 Item Ledger Entry Type",$C$4,"2 Item No.","@@"&amp;$F89,"3 Posting Date",O$9)-NL("Sum","5802 Value Entry","43 Cost Amount (Actual)","41 Source Type",$C$5,"5 Source no.",$C89,"4 Item Ledger Entry Type",$C$4,"2 Item No.","@@"&amp;$F89,"3 Posting Date",O$9)</t>
  </si>
  <si>
    <t>=O89-Q89</t>
  </si>
  <si>
    <t>=IF(O89&lt;&gt;0,R89/O89,"")</t>
  </si>
  <si>
    <t>=NL("Sum","5802 Value Entry","150 Sales Amount (Expected)","41 Source Type",$C$5,"5 Source No.",$C89,"4 Item Ledger Entry Type",$C$4,"2 Item No.","@@"&amp;$F89,"3 Posting Date",U$9)+NL("Sum","5802 Value Entry","17 Sales Amount (Actual)","41 Source Type",$C$5,"5 Source no.",$C89,"4 Item Ledger Entry Type",$C$4,"2 Item No.","@@"&amp;$F89,"3 Posting Date",U$9)</t>
  </si>
  <si>
    <t>=-NL("Sum","5802 Value Entry","151 Cost Amount (Expected)","41 Source Type",$C$5,"5 Source No.",$C89,"4 Item Ledger Entry Type",$C$4,"2 Item No.","@@"&amp;$F89,"3 Posting Date",U$9)-NL("Sum","5802 Value Entry","43 Cost Amount (Actual)","41 Source Type",$C$5,"5 Source no.",$C89,"4 Item Ledger Entry Type",$C$4,"2 Item No.","@@"&amp;$F89,"3 Posting Date",U$9)</t>
  </si>
  <si>
    <t>=U89-W89</t>
  </si>
  <si>
    <t>=IF(U89&lt;&gt;0,X89/U89,"")</t>
  </si>
  <si>
    <t>=NL("Sum","5802 Value Entry","150 Sales Amount (Expected)","41 Source Type",$C$5,"5 Source No.",$C89,"4 Item Ledger Entry Type",$C$4,"2 Item No.","@@"&amp;$F89,"3 Posting Date",Z$9)+NL("Sum","5802 Value Entry","17 Sales Amount (Actual)","41 Source Type",$C$5,"5 Source no.",$C89,"4 Item Ledger Entry Type",$C$4,"2 Item No.","@@"&amp;$F89,"3 Posting Date",Z$9)</t>
  </si>
  <si>
    <t>=-NL("Sum","5802 Value Entry","151 Cost Amount (Expected)","41 Source Type",$C$5,"5 Source No.",$C89,"4 Item Ledger Entry Type",$C$4,"2 Item No.","@@"&amp;$F89,"3 Posting Date",Z$9)-NL("Sum","5802 Value Entry","43 Cost Amount (Actual)","41 Source Type",$C$5,"5 Source no.",$C89,"4 Item Ledger Entry Type",$C$4,"2 Item No.","@@"&amp;$F89,"3 Posting Date",Z$9)</t>
  </si>
  <si>
    <t>=Z89-AB89</t>
  </si>
  <si>
    <t>=IF(Z89&lt;&gt;0,AC89/Z89,"")</t>
  </si>
  <si>
    <t>=NL("Sum","5802 Value Entry","150 Sales Amount (Expected)","41 Source Type",$C$5,"5 Source No.",$C90,"4 Item Ledger Entry Type",$C$4,"2 Item No.","@@"&amp;$F90,"3 Posting Date",J$9)+NL("Sum","5802 Value Entry","17 Sales Amount (Actual)","41 Source Type",$C$5,"5 Source no.",$C90,"4 Item Ledger Entry Type",$C$4,"2 Item No.","@@"&amp;$F90,"3 Posting Date",J$9)</t>
  </si>
  <si>
    <t>=-NL("Sum","5802 Value Entry","151 Cost Amount (Expected)","41 Source Type",$C$5,"5 Source No.",$C90,"4 Item Ledger Entry Type",$C$4,"2 Item No.","@@"&amp;$F90,"3 Posting Date",J$9)-NL("Sum","5802 Value Entry","43 Cost Amount (Actual)","41 Source Type",$C$5,"5 Source no.",$C90,"4 Item Ledger Entry Type",$C$4,"2 Item No.","@@"&amp;$F90,"3 Posting Date",J$9)</t>
  </si>
  <si>
    <t>=NL("Sum","5802 Value Entry","150 Sales Amount (Expected)","41 Source Type",$C$5,"5 Source No.",$C90,"4 Item Ledger Entry Type",$C$4,"2 Item No.","@@"&amp;$F90,"3 Posting Date",O$9)+NL("Sum","5802 Value Entry","17 Sales Amount (Actual)","41 Source Type",$C$5,"5 Source no.",$C90,"4 Item Ledger Entry Type",$C$4,"2 Item No.","@@"&amp;$F90,"3 Posting Date",O$9)</t>
  </si>
  <si>
    <t>=-NL("Sum","5802 Value Entry","151 Cost Amount (Expected)","41 Source Type",$C$5,"5 Source No.",$C90,"4 Item Ledger Entry Type",$C$4,"2 Item No.","@@"&amp;$F90,"3 Posting Date",O$9)-NL("Sum","5802 Value Entry","43 Cost Amount (Actual)","41 Source Type",$C$5,"5 Source no.",$C90,"4 Item Ledger Entry Type",$C$4,"2 Item No.","@@"&amp;$F90,"3 Posting Date",O$9)</t>
  </si>
  <si>
    <t>=NL("Sum","5802 Value Entry","150 Sales Amount (Expected)","41 Source Type",$C$5,"5 Source No.",$C90,"4 Item Ledger Entry Type",$C$4,"2 Item No.","@@"&amp;$F90,"3 Posting Date",U$9)+NL("Sum","5802 Value Entry","17 Sales Amount (Actual)","41 Source Type",$C$5,"5 Source no.",$C90,"4 Item Ledger Entry Type",$C$4,"2 Item No.","@@"&amp;$F90,"3 Posting Date",U$9)</t>
  </si>
  <si>
    <t>=-NL("Sum","5802 Value Entry","151 Cost Amount (Expected)","41 Source Type",$C$5,"5 Source No.",$C90,"4 Item Ledger Entry Type",$C$4,"2 Item No.","@@"&amp;$F90,"3 Posting Date",U$9)-NL("Sum","5802 Value Entry","43 Cost Amount (Actual)","41 Source Type",$C$5,"5 Source no.",$C90,"4 Item Ledger Entry Type",$C$4,"2 Item No.","@@"&amp;$F90,"3 Posting Date",U$9)</t>
  </si>
  <si>
    <t>=NL("Sum","5802 Value Entry","150 Sales Amount (Expected)","41 Source Type",$C$5,"5 Source No.",$C90,"4 Item Ledger Entry Type",$C$4,"2 Item No.","@@"&amp;$F90,"3 Posting Date",Z$9)+NL("Sum","5802 Value Entry","17 Sales Amount (Actual)","41 Source Type",$C$5,"5 Source no.",$C90,"4 Item Ledger Entry Type",$C$4,"2 Item No.","@@"&amp;$F90,"3 Posting Date",Z$9)</t>
  </si>
  <si>
    <t>=-NL("Sum","5802 Value Entry","151 Cost Amount (Expected)","41 Source Type",$C$5,"5 Source No.",$C90,"4 Item Ledger Entry Type",$C$4,"2 Item No.","@@"&amp;$F90,"3 Posting Date",Z$9)-NL("Sum","5802 Value Entry","43 Cost Amount (Actual)","41 Source Type",$C$5,"5 Source no.",$C90,"4 Item Ledger Entry Type",$C$4,"2 Item No.","@@"&amp;$F90,"3 Posting Date",Z$9)</t>
  </si>
  <si>
    <t>=C90</t>
  </si>
  <si>
    <t>=NL("Sum","5802 Value Entry","150 Sales Amount (Expected)","41 Source Type",$C$5,"5 Source No.",$C91,"4 Item Ledger Entry Type",$C$4,"2 Item No.","@@"&amp;$F91,"3 Posting Date",J$9)+NL("Sum","5802 Value Entry","17 Sales Amount (Actual)","41 Source Type",$C$5,"5 Source no.",$C91,"4 Item Ledger Entry Type",$C$4,"2 Item No.","@@"&amp;$F91,"3 Posting Date",J$9)</t>
  </si>
  <si>
    <t>=-NL("Sum","5802 Value Entry","151 Cost Amount (Expected)","41 Source Type",$C$5,"5 Source No.",$C91,"4 Item Ledger Entry Type",$C$4,"2 Item No.","@@"&amp;$F91,"3 Posting Date",J$9)-NL("Sum","5802 Value Entry","43 Cost Amount (Actual)","41 Source Type",$C$5,"5 Source no.",$C91,"4 Item Ledger Entry Type",$C$4,"2 Item No.","@@"&amp;$F91,"3 Posting Date",J$9)</t>
  </si>
  <si>
    <t>=J91-L91</t>
  </si>
  <si>
    <t>=IF(J91&lt;&gt;0,M91/J91,"")</t>
  </si>
  <si>
    <t>=NL("Sum","5802 Value Entry","150 Sales Amount (Expected)","41 Source Type",$C$5,"5 Source No.",$C91,"4 Item Ledger Entry Type",$C$4,"2 Item No.","@@"&amp;$F91,"3 Posting Date",O$9)+NL("Sum","5802 Value Entry","17 Sales Amount (Actual)","41 Source Type",$C$5,"5 Source no.",$C91,"4 Item Ledger Entry Type",$C$4,"2 Item No.","@@"&amp;$F91,"3 Posting Date",O$9)</t>
  </si>
  <si>
    <t>=-NL("Sum","5802 Value Entry","151 Cost Amount (Expected)","41 Source Type",$C$5,"5 Source No.",$C91,"4 Item Ledger Entry Type",$C$4,"2 Item No.","@@"&amp;$F91,"3 Posting Date",O$9)-NL("Sum","5802 Value Entry","43 Cost Amount (Actual)","41 Source Type",$C$5,"5 Source no.",$C91,"4 Item Ledger Entry Type",$C$4,"2 Item No.","@@"&amp;$F91,"3 Posting Date",O$9)</t>
  </si>
  <si>
    <t>=O91-Q91</t>
  </si>
  <si>
    <t>=IF(O91&lt;&gt;0,R91/O91,"")</t>
  </si>
  <si>
    <t>=NL("Sum","5802 Value Entry","150 Sales Amount (Expected)","41 Source Type",$C$5,"5 Source No.",$C91,"4 Item Ledger Entry Type",$C$4,"2 Item No.","@@"&amp;$F91,"3 Posting Date",U$9)+NL("Sum","5802 Value Entry","17 Sales Amount (Actual)","41 Source Type",$C$5,"5 Source no.",$C91,"4 Item Ledger Entry Type",$C$4,"2 Item No.","@@"&amp;$F91,"3 Posting Date",U$9)</t>
  </si>
  <si>
    <t>=-NL("Sum","5802 Value Entry","151 Cost Amount (Expected)","41 Source Type",$C$5,"5 Source No.",$C91,"4 Item Ledger Entry Type",$C$4,"2 Item No.","@@"&amp;$F91,"3 Posting Date",U$9)-NL("Sum","5802 Value Entry","43 Cost Amount (Actual)","41 Source Type",$C$5,"5 Source no.",$C91,"4 Item Ledger Entry Type",$C$4,"2 Item No.","@@"&amp;$F91,"3 Posting Date",U$9)</t>
  </si>
  <si>
    <t>=U91-W91</t>
  </si>
  <si>
    <t>=IF(U91&lt;&gt;0,X91/U91,"")</t>
  </si>
  <si>
    <t>=NL("Sum","5802 Value Entry","150 Sales Amount (Expected)","41 Source Type",$C$5,"5 Source No.",$C91,"4 Item Ledger Entry Type",$C$4,"2 Item No.","@@"&amp;$F91,"3 Posting Date",Z$9)+NL("Sum","5802 Value Entry","17 Sales Amount (Actual)","41 Source Type",$C$5,"5 Source no.",$C91,"4 Item Ledger Entry Type",$C$4,"2 Item No.","@@"&amp;$F91,"3 Posting Date",Z$9)</t>
  </si>
  <si>
    <t>=-NL("Sum","5802 Value Entry","151 Cost Amount (Expected)","41 Source Type",$C$5,"5 Source No.",$C91,"4 Item Ledger Entry Type",$C$4,"2 Item No.","@@"&amp;$F91,"3 Posting Date",Z$9)-NL("Sum","5802 Value Entry","43 Cost Amount (Actual)","41 Source Type",$C$5,"5 Source no.",$C91,"4 Item Ledger Entry Type",$C$4,"2 Item No.","@@"&amp;$F91,"3 Posting Date",Z$9)</t>
  </si>
  <si>
    <t>=Z91-AB91</t>
  </si>
  <si>
    <t>=IF(Z91&lt;&gt;0,AC91/Z91,"")</t>
  </si>
  <si>
    <t>=C91</t>
  </si>
  <si>
    <t>=NL("Sum","5802 Value Entry","150 Sales Amount (Expected)","41 Source Type",$C$5,"5 Source No.",$C92,"4 Item Ledger Entry Type",$C$4,"2 Item No.","@@"&amp;$F92,"3 Posting Date",J$9)+NL("Sum","5802 Value Entry","17 Sales Amount (Actual)","41 Source Type",$C$5,"5 Source no.",$C92,"4 Item Ledger Entry Type",$C$4,"2 Item No.","@@"&amp;$F92,"3 Posting Date",J$9)</t>
  </si>
  <si>
    <t>=-NL("Sum","5802 Value Entry","151 Cost Amount (Expected)","41 Source Type",$C$5,"5 Source No.",$C92,"4 Item Ledger Entry Type",$C$4,"2 Item No.","@@"&amp;$F92,"3 Posting Date",J$9)-NL("Sum","5802 Value Entry","43 Cost Amount (Actual)","41 Source Type",$C$5,"5 Source no.",$C92,"4 Item Ledger Entry Type",$C$4,"2 Item No.","@@"&amp;$F92,"3 Posting Date",J$9)</t>
  </si>
  <si>
    <t>=J92-L92</t>
  </si>
  <si>
    <t>=IF(J92&lt;&gt;0,M92/J92,"")</t>
  </si>
  <si>
    <t>=NL("Sum","5802 Value Entry","150 Sales Amount (Expected)","41 Source Type",$C$5,"5 Source No.",$C92,"4 Item Ledger Entry Type",$C$4,"2 Item No.","@@"&amp;$F92,"3 Posting Date",O$9)+NL("Sum","5802 Value Entry","17 Sales Amount (Actual)","41 Source Type",$C$5,"5 Source no.",$C92,"4 Item Ledger Entry Type",$C$4,"2 Item No.","@@"&amp;$F92,"3 Posting Date",O$9)</t>
  </si>
  <si>
    <t>=-NL("Sum","5802 Value Entry","151 Cost Amount (Expected)","41 Source Type",$C$5,"5 Source No.",$C92,"4 Item Ledger Entry Type",$C$4,"2 Item No.","@@"&amp;$F92,"3 Posting Date",O$9)-NL("Sum","5802 Value Entry","43 Cost Amount (Actual)","41 Source Type",$C$5,"5 Source no.",$C92,"4 Item Ledger Entry Type",$C$4,"2 Item No.","@@"&amp;$F92,"3 Posting Date",O$9)</t>
  </si>
  <si>
    <t>=O92-Q92</t>
  </si>
  <si>
    <t>=IF(O92&lt;&gt;0,R92/O92,"")</t>
  </si>
  <si>
    <t>=NL("Sum","5802 Value Entry","150 Sales Amount (Expected)","41 Source Type",$C$5,"5 Source No.",$C92,"4 Item Ledger Entry Type",$C$4,"2 Item No.","@@"&amp;$F92,"3 Posting Date",U$9)+NL("Sum","5802 Value Entry","17 Sales Amount (Actual)","41 Source Type",$C$5,"5 Source no.",$C92,"4 Item Ledger Entry Type",$C$4,"2 Item No.","@@"&amp;$F92,"3 Posting Date",U$9)</t>
  </si>
  <si>
    <t>=-NL("Sum","5802 Value Entry","151 Cost Amount (Expected)","41 Source Type",$C$5,"5 Source No.",$C92,"4 Item Ledger Entry Type",$C$4,"2 Item No.","@@"&amp;$F92,"3 Posting Date",U$9)-NL("Sum","5802 Value Entry","43 Cost Amount (Actual)","41 Source Type",$C$5,"5 Source no.",$C92,"4 Item Ledger Entry Type",$C$4,"2 Item No.","@@"&amp;$F92,"3 Posting Date",U$9)</t>
  </si>
  <si>
    <t>=U92-W92</t>
  </si>
  <si>
    <t>=IF(U92&lt;&gt;0,X92/U92,"")</t>
  </si>
  <si>
    <t>=NL("Sum","5802 Value Entry","150 Sales Amount (Expected)","41 Source Type",$C$5,"5 Source No.",$C92,"4 Item Ledger Entry Type",$C$4,"2 Item No.","@@"&amp;$F92,"3 Posting Date",Z$9)+NL("Sum","5802 Value Entry","17 Sales Amount (Actual)","41 Source Type",$C$5,"5 Source no.",$C92,"4 Item Ledger Entry Type",$C$4,"2 Item No.","@@"&amp;$F92,"3 Posting Date",Z$9)</t>
  </si>
  <si>
    <t>=-NL("Sum","5802 Value Entry","151 Cost Amount (Expected)","41 Source Type",$C$5,"5 Source No.",$C92,"4 Item Ledger Entry Type",$C$4,"2 Item No.","@@"&amp;$F92,"3 Posting Date",Z$9)-NL("Sum","5802 Value Entry","43 Cost Amount (Actual)","41 Source Type",$C$5,"5 Source no.",$C92,"4 Item Ledger Entry Type",$C$4,"2 Item No.","@@"&amp;$F92,"3 Posting Date",Z$9)</t>
  </si>
  <si>
    <t>=Z92-AB92</t>
  </si>
  <si>
    <t>=IF(Z92&lt;&gt;0,AC92/Z92,"")</t>
  </si>
  <si>
    <t>=NL("Sum","5802 Value Entry","150 Sales Amount (Expected)","41 Source Type",$C$5,"5 Source No.",$C93,"4 Item Ledger Entry Type",$C$4,"2 Item No.","@@"&amp;$F93,"3 Posting Date",J$9)+NL("Sum","5802 Value Entry","17 Sales Amount (Actual)","41 Source Type",$C$5,"5 Source no.",$C93,"4 Item Ledger Entry Type",$C$4,"2 Item No.","@@"&amp;$F93,"3 Posting Date",J$9)</t>
  </si>
  <si>
    <t>=-NL("Sum","5802 Value Entry","151 Cost Amount (Expected)","41 Source Type",$C$5,"5 Source No.",$C93,"4 Item Ledger Entry Type",$C$4,"2 Item No.","@@"&amp;$F93,"3 Posting Date",J$9)-NL("Sum","5802 Value Entry","43 Cost Amount (Actual)","41 Source Type",$C$5,"5 Source no.",$C93,"4 Item Ledger Entry Type",$C$4,"2 Item No.","@@"&amp;$F93,"3 Posting Date",J$9)</t>
  </si>
  <si>
    <t>=J93-L93</t>
  </si>
  <si>
    <t>=IF(J93&lt;&gt;0,M93/J93,"")</t>
  </si>
  <si>
    <t>=NL("Sum","5802 Value Entry","150 Sales Amount (Expected)","41 Source Type",$C$5,"5 Source No.",$C93,"4 Item Ledger Entry Type",$C$4,"2 Item No.","@@"&amp;$F93,"3 Posting Date",O$9)+NL("Sum","5802 Value Entry","17 Sales Amount (Actual)","41 Source Type",$C$5,"5 Source no.",$C93,"4 Item Ledger Entry Type",$C$4,"2 Item No.","@@"&amp;$F93,"3 Posting Date",O$9)</t>
  </si>
  <si>
    <t>=-NL("Sum","5802 Value Entry","151 Cost Amount (Expected)","41 Source Type",$C$5,"5 Source No.",$C93,"4 Item Ledger Entry Type",$C$4,"2 Item No.","@@"&amp;$F93,"3 Posting Date",O$9)-NL("Sum","5802 Value Entry","43 Cost Amount (Actual)","41 Source Type",$C$5,"5 Source no.",$C93,"4 Item Ledger Entry Type",$C$4,"2 Item No.","@@"&amp;$F93,"3 Posting Date",O$9)</t>
  </si>
  <si>
    <t>=O93-Q93</t>
  </si>
  <si>
    <t>=IF(O93&lt;&gt;0,R93/O93,"")</t>
  </si>
  <si>
    <t>=NL("Sum","5802 Value Entry","150 Sales Amount (Expected)","41 Source Type",$C$5,"5 Source No.",$C93,"4 Item Ledger Entry Type",$C$4,"2 Item No.","@@"&amp;$F93,"3 Posting Date",U$9)+NL("Sum","5802 Value Entry","17 Sales Amount (Actual)","41 Source Type",$C$5,"5 Source no.",$C93,"4 Item Ledger Entry Type",$C$4,"2 Item No.","@@"&amp;$F93,"3 Posting Date",U$9)</t>
  </si>
  <si>
    <t>=-NL("Sum","5802 Value Entry","151 Cost Amount (Expected)","41 Source Type",$C$5,"5 Source No.",$C93,"4 Item Ledger Entry Type",$C$4,"2 Item No.","@@"&amp;$F93,"3 Posting Date",U$9)-NL("Sum","5802 Value Entry","43 Cost Amount (Actual)","41 Source Type",$C$5,"5 Source no.",$C93,"4 Item Ledger Entry Type",$C$4,"2 Item No.","@@"&amp;$F93,"3 Posting Date",U$9)</t>
  </si>
  <si>
    <t>=U93-W93</t>
  </si>
  <si>
    <t>=IF(U93&lt;&gt;0,X93/U93,"")</t>
  </si>
  <si>
    <t>=NL("Sum","5802 Value Entry","150 Sales Amount (Expected)","41 Source Type",$C$5,"5 Source No.",$C93,"4 Item Ledger Entry Type",$C$4,"2 Item No.","@@"&amp;$F93,"3 Posting Date",Z$9)+NL("Sum","5802 Value Entry","17 Sales Amount (Actual)","41 Source Type",$C$5,"5 Source no.",$C93,"4 Item Ledger Entry Type",$C$4,"2 Item No.","@@"&amp;$F93,"3 Posting Date",Z$9)</t>
  </si>
  <si>
    <t>=-NL("Sum","5802 Value Entry","151 Cost Amount (Expected)","41 Source Type",$C$5,"5 Source No.",$C93,"4 Item Ledger Entry Type",$C$4,"2 Item No.","@@"&amp;$F93,"3 Posting Date",Z$9)-NL("Sum","5802 Value Entry","43 Cost Amount (Actual)","41 Source Type",$C$5,"5 Source no.",$C93,"4 Item Ledger Entry Type",$C$4,"2 Item No.","@@"&amp;$F93,"3 Posting Date",Z$9)</t>
  </si>
  <si>
    <t>=Z93-AB93</t>
  </si>
  <si>
    <t>=IF(Z93&lt;&gt;0,AC93/Z93,"")</t>
  </si>
  <si>
    <t>=NL("Sum","5802 Value Entry","150 Sales Amount (Expected)","41 Source Type",$C$5,"5 Source No.",$C94,"4 Item Ledger Entry Type",$C$4,"2 Item No.","@@"&amp;$F94,"3 Posting Date",J$9)+NL("Sum","5802 Value Entry","17 Sales Amount (Actual)","41 Source Type",$C$5,"5 Source no.",$C94,"4 Item Ledger Entry Type",$C$4,"2 Item No.","@@"&amp;$F94,"3 Posting Date",J$9)</t>
  </si>
  <si>
    <t>=-NL("Sum","5802 Value Entry","151 Cost Amount (Expected)","41 Source Type",$C$5,"5 Source No.",$C94,"4 Item Ledger Entry Type",$C$4,"2 Item No.","@@"&amp;$F94,"3 Posting Date",J$9)-NL("Sum","5802 Value Entry","43 Cost Amount (Actual)","41 Source Type",$C$5,"5 Source no.",$C94,"4 Item Ledger Entry Type",$C$4,"2 Item No.","@@"&amp;$F94,"3 Posting Date",J$9)</t>
  </si>
  <si>
    <t>=NL("Sum","5802 Value Entry","150 Sales Amount (Expected)","41 Source Type",$C$5,"5 Source No.",$C94,"4 Item Ledger Entry Type",$C$4,"2 Item No.","@@"&amp;$F94,"3 Posting Date",O$9)+NL("Sum","5802 Value Entry","17 Sales Amount (Actual)","41 Source Type",$C$5,"5 Source no.",$C94,"4 Item Ledger Entry Type",$C$4,"2 Item No.","@@"&amp;$F94,"3 Posting Date",O$9)</t>
  </si>
  <si>
    <t>=-NL("Sum","5802 Value Entry","151 Cost Amount (Expected)","41 Source Type",$C$5,"5 Source No.",$C94,"4 Item Ledger Entry Type",$C$4,"2 Item No.","@@"&amp;$F94,"3 Posting Date",O$9)-NL("Sum","5802 Value Entry","43 Cost Amount (Actual)","41 Source Type",$C$5,"5 Source no.",$C94,"4 Item Ledger Entry Type",$C$4,"2 Item No.","@@"&amp;$F94,"3 Posting Date",O$9)</t>
  </si>
  <si>
    <t>=NL("Sum","5802 Value Entry","150 Sales Amount (Expected)","41 Source Type",$C$5,"5 Source No.",$C94,"4 Item Ledger Entry Type",$C$4,"2 Item No.","@@"&amp;$F94,"3 Posting Date",U$9)+NL("Sum","5802 Value Entry","17 Sales Amount (Actual)","41 Source Type",$C$5,"5 Source no.",$C94,"4 Item Ledger Entry Type",$C$4,"2 Item No.","@@"&amp;$F94,"3 Posting Date",U$9)</t>
  </si>
  <si>
    <t>=-NL("Sum","5802 Value Entry","151 Cost Amount (Expected)","41 Source Type",$C$5,"5 Source No.",$C94,"4 Item Ledger Entry Type",$C$4,"2 Item No.","@@"&amp;$F94,"3 Posting Date",U$9)-NL("Sum","5802 Value Entry","43 Cost Amount (Actual)","41 Source Type",$C$5,"5 Source no.",$C94,"4 Item Ledger Entry Type",$C$4,"2 Item No.","@@"&amp;$F94,"3 Posting Date",U$9)</t>
  </si>
  <si>
    <t>=NL("Sum","5802 Value Entry","150 Sales Amount (Expected)","41 Source Type",$C$5,"5 Source No.",$C94,"4 Item Ledger Entry Type",$C$4,"2 Item No.","@@"&amp;$F94,"3 Posting Date",Z$9)+NL("Sum","5802 Value Entry","17 Sales Amount (Actual)","41 Source Type",$C$5,"5 Source no.",$C94,"4 Item Ledger Entry Type",$C$4,"2 Item No.","@@"&amp;$F94,"3 Posting Date",Z$9)</t>
  </si>
  <si>
    <t>=-NL("Sum","5802 Value Entry","151 Cost Amount (Expected)","41 Source Type",$C$5,"5 Source No.",$C94,"4 Item Ledger Entry Type",$C$4,"2 Item No.","@@"&amp;$F94,"3 Posting Date",Z$9)-NL("Sum","5802 Value Entry","43 Cost Amount (Actual)","41 Source Type",$C$5,"5 Source no.",$C94,"4 Item Ledger Entry Type",$C$4,"2 Item No.","@@"&amp;$F94,"3 Posting Date",Z$9)</t>
  </si>
  <si>
    <t>=NL("Sum","5802 Value Entry","150 Sales Amount (Expected)","41 Source Type",$C$5,"5 Source No.",$C95,"4 Item Ledger Entry Type",$C$4,"2 Item No.","@@"&amp;$F95,"3 Posting Date",J$9)+NL("Sum","5802 Value Entry","17 Sales Amount (Actual)","41 Source Type",$C$5,"5 Source no.",$C95,"4 Item Ledger Entry Type",$C$4,"2 Item No.","@@"&amp;$F95,"3 Posting Date",J$9)</t>
  </si>
  <si>
    <t>=-NL("Sum","5802 Value Entry","151 Cost Amount (Expected)","41 Source Type",$C$5,"5 Source No.",$C95,"4 Item Ledger Entry Type",$C$4,"2 Item No.","@@"&amp;$F95,"3 Posting Date",J$9)-NL("Sum","5802 Value Entry","43 Cost Amount (Actual)","41 Source Type",$C$5,"5 Source no.",$C95,"4 Item Ledger Entry Type",$C$4,"2 Item No.","@@"&amp;$F95,"3 Posting Date",J$9)</t>
  </si>
  <si>
    <t>=J95-L95</t>
  </si>
  <si>
    <t>=IF(J95&lt;&gt;0,M95/J95,"")</t>
  </si>
  <si>
    <t>=NL("Sum","5802 Value Entry","150 Sales Amount (Expected)","41 Source Type",$C$5,"5 Source No.",$C95,"4 Item Ledger Entry Type",$C$4,"2 Item No.","@@"&amp;$F95,"3 Posting Date",O$9)+NL("Sum","5802 Value Entry","17 Sales Amount (Actual)","41 Source Type",$C$5,"5 Source no.",$C95,"4 Item Ledger Entry Type",$C$4,"2 Item No.","@@"&amp;$F95,"3 Posting Date",O$9)</t>
  </si>
  <si>
    <t>=-NL("Sum","5802 Value Entry","151 Cost Amount (Expected)","41 Source Type",$C$5,"5 Source No.",$C95,"4 Item Ledger Entry Type",$C$4,"2 Item No.","@@"&amp;$F95,"3 Posting Date",O$9)-NL("Sum","5802 Value Entry","43 Cost Amount (Actual)","41 Source Type",$C$5,"5 Source no.",$C95,"4 Item Ledger Entry Type",$C$4,"2 Item No.","@@"&amp;$F95,"3 Posting Date",O$9)</t>
  </si>
  <si>
    <t>=O95-Q95</t>
  </si>
  <si>
    <t>=IF(O95&lt;&gt;0,R95/O95,"")</t>
  </si>
  <si>
    <t>=NL("Sum","5802 Value Entry","150 Sales Amount (Expected)","41 Source Type",$C$5,"5 Source No.",$C95,"4 Item Ledger Entry Type",$C$4,"2 Item No.","@@"&amp;$F95,"3 Posting Date",U$9)+NL("Sum","5802 Value Entry","17 Sales Amount (Actual)","41 Source Type",$C$5,"5 Source no.",$C95,"4 Item Ledger Entry Type",$C$4,"2 Item No.","@@"&amp;$F95,"3 Posting Date",U$9)</t>
  </si>
  <si>
    <t>=-NL("Sum","5802 Value Entry","151 Cost Amount (Expected)","41 Source Type",$C$5,"5 Source No.",$C95,"4 Item Ledger Entry Type",$C$4,"2 Item No.","@@"&amp;$F95,"3 Posting Date",U$9)-NL("Sum","5802 Value Entry","43 Cost Amount (Actual)","41 Source Type",$C$5,"5 Source no.",$C95,"4 Item Ledger Entry Type",$C$4,"2 Item No.","@@"&amp;$F95,"3 Posting Date",U$9)</t>
  </si>
  <si>
    <t>=U95-W95</t>
  </si>
  <si>
    <t>=IF(U95&lt;&gt;0,X95/U95,"")</t>
  </si>
  <si>
    <t>=NL("Sum","5802 Value Entry","150 Sales Amount (Expected)","41 Source Type",$C$5,"5 Source No.",$C95,"4 Item Ledger Entry Type",$C$4,"2 Item No.","@@"&amp;$F95,"3 Posting Date",Z$9)+NL("Sum","5802 Value Entry","17 Sales Amount (Actual)","41 Source Type",$C$5,"5 Source no.",$C95,"4 Item Ledger Entry Type",$C$4,"2 Item No.","@@"&amp;$F95,"3 Posting Date",Z$9)</t>
  </si>
  <si>
    <t>=-NL("Sum","5802 Value Entry","151 Cost Amount (Expected)","41 Source Type",$C$5,"5 Source No.",$C95,"4 Item Ledger Entry Type",$C$4,"2 Item No.","@@"&amp;$F95,"3 Posting Date",Z$9)-NL("Sum","5802 Value Entry","43 Cost Amount (Actual)","41 Source Type",$C$5,"5 Source no.",$C95,"4 Item Ledger Entry Type",$C$4,"2 Item No.","@@"&amp;$F95,"3 Posting Date",Z$9)</t>
  </si>
  <si>
    <t>=Z95-AB95</t>
  </si>
  <si>
    <t>=IF(Z95&lt;&gt;0,AC95/Z95,"")</t>
  </si>
  <si>
    <t>=NL("Sum","5802 Value Entry","150 Sales Amount (Expected)","41 Source Type",$C$5,"5 Source No.",$C96,"4 Item Ledger Entry Type",$C$4,"2 Item No.","@@"&amp;$F96,"3 Posting Date",J$9)+NL("Sum","5802 Value Entry","17 Sales Amount (Actual)","41 Source Type",$C$5,"5 Source no.",$C96,"4 Item Ledger Entry Type",$C$4,"2 Item No.","@@"&amp;$F96,"3 Posting Date",J$9)</t>
  </si>
  <si>
    <t>=-NL("Sum","5802 Value Entry","151 Cost Amount (Expected)","41 Source Type",$C$5,"5 Source No.",$C96,"4 Item Ledger Entry Type",$C$4,"2 Item No.","@@"&amp;$F96,"3 Posting Date",J$9)-NL("Sum","5802 Value Entry","43 Cost Amount (Actual)","41 Source Type",$C$5,"5 Source no.",$C96,"4 Item Ledger Entry Type",$C$4,"2 Item No.","@@"&amp;$F96,"3 Posting Date",J$9)</t>
  </si>
  <si>
    <t>=NL("Sum","5802 Value Entry","150 Sales Amount (Expected)","41 Source Type",$C$5,"5 Source No.",$C96,"4 Item Ledger Entry Type",$C$4,"2 Item No.","@@"&amp;$F96,"3 Posting Date",O$9)+NL("Sum","5802 Value Entry","17 Sales Amount (Actual)","41 Source Type",$C$5,"5 Source no.",$C96,"4 Item Ledger Entry Type",$C$4,"2 Item No.","@@"&amp;$F96,"3 Posting Date",O$9)</t>
  </si>
  <si>
    <t>=-NL("Sum","5802 Value Entry","151 Cost Amount (Expected)","41 Source Type",$C$5,"5 Source No.",$C96,"4 Item Ledger Entry Type",$C$4,"2 Item No.","@@"&amp;$F96,"3 Posting Date",O$9)-NL("Sum","5802 Value Entry","43 Cost Amount (Actual)","41 Source Type",$C$5,"5 Source no.",$C96,"4 Item Ledger Entry Type",$C$4,"2 Item No.","@@"&amp;$F96,"3 Posting Date",O$9)</t>
  </si>
  <si>
    <t>=NL("Sum","5802 Value Entry","150 Sales Amount (Expected)","41 Source Type",$C$5,"5 Source No.",$C96,"4 Item Ledger Entry Type",$C$4,"2 Item No.","@@"&amp;$F96,"3 Posting Date",U$9)+NL("Sum","5802 Value Entry","17 Sales Amount (Actual)","41 Source Type",$C$5,"5 Source no.",$C96,"4 Item Ledger Entry Type",$C$4,"2 Item No.","@@"&amp;$F96,"3 Posting Date",U$9)</t>
  </si>
  <si>
    <t>=-NL("Sum","5802 Value Entry","151 Cost Amount (Expected)","41 Source Type",$C$5,"5 Source No.",$C96,"4 Item Ledger Entry Type",$C$4,"2 Item No.","@@"&amp;$F96,"3 Posting Date",U$9)-NL("Sum","5802 Value Entry","43 Cost Amount (Actual)","41 Source Type",$C$5,"5 Source no.",$C96,"4 Item Ledger Entry Type",$C$4,"2 Item No.","@@"&amp;$F96,"3 Posting Date",U$9)</t>
  </si>
  <si>
    <t>=NL("Sum","5802 Value Entry","150 Sales Amount (Expected)","41 Source Type",$C$5,"5 Source No.",$C96,"4 Item Ledger Entry Type",$C$4,"2 Item No.","@@"&amp;$F96,"3 Posting Date",Z$9)+NL("Sum","5802 Value Entry","17 Sales Amount (Actual)","41 Source Type",$C$5,"5 Source no.",$C96,"4 Item Ledger Entry Type",$C$4,"2 Item No.","@@"&amp;$F96,"3 Posting Date",Z$9)</t>
  </si>
  <si>
    <t>=-NL("Sum","5802 Value Entry","151 Cost Amount (Expected)","41 Source Type",$C$5,"5 Source No.",$C96,"4 Item Ledger Entry Type",$C$4,"2 Item No.","@@"&amp;$F96,"3 Posting Date",Z$9)-NL("Sum","5802 Value Entry","43 Cost Amount (Actual)","41 Source Type",$C$5,"5 Source no.",$C96,"4 Item Ledger Entry Type",$C$4,"2 Item No.","@@"&amp;$F96,"3 Posting Date",Z$9)</t>
  </si>
  <si>
    <t>=C96</t>
  </si>
  <si>
    <t>=NL("Sum","5802 Value Entry","150 Sales Amount (Expected)","41 Source Type",$C$5,"5 Source No.",$C97,"4 Item Ledger Entry Type",$C$4,"2 Item No.","@@"&amp;$F97,"3 Posting Date",J$9)+NL("Sum","5802 Value Entry","17 Sales Amount (Actual)","41 Source Type",$C$5,"5 Source no.",$C97,"4 Item Ledger Entry Type",$C$4,"2 Item No.","@@"&amp;$F97,"3 Posting Date",J$9)</t>
  </si>
  <si>
    <t>=-NL("Sum","5802 Value Entry","151 Cost Amount (Expected)","41 Source Type",$C$5,"5 Source No.",$C97,"4 Item Ledger Entry Type",$C$4,"2 Item No.","@@"&amp;$F97,"3 Posting Date",J$9)-NL("Sum","5802 Value Entry","43 Cost Amount (Actual)","41 Source Type",$C$5,"5 Source no.",$C97,"4 Item Ledger Entry Type",$C$4,"2 Item No.","@@"&amp;$F97,"3 Posting Date",J$9)</t>
  </si>
  <si>
    <t>=J97-L97</t>
  </si>
  <si>
    <t>=IF(J97&lt;&gt;0,M97/J97,"")</t>
  </si>
  <si>
    <t>=NL("Sum","5802 Value Entry","150 Sales Amount (Expected)","41 Source Type",$C$5,"5 Source No.",$C97,"4 Item Ledger Entry Type",$C$4,"2 Item No.","@@"&amp;$F97,"3 Posting Date",O$9)+NL("Sum","5802 Value Entry","17 Sales Amount (Actual)","41 Source Type",$C$5,"5 Source no.",$C97,"4 Item Ledger Entry Type",$C$4,"2 Item No.","@@"&amp;$F97,"3 Posting Date",O$9)</t>
  </si>
  <si>
    <t>=-NL("Sum","5802 Value Entry","151 Cost Amount (Expected)","41 Source Type",$C$5,"5 Source No.",$C97,"4 Item Ledger Entry Type",$C$4,"2 Item No.","@@"&amp;$F97,"3 Posting Date",O$9)-NL("Sum","5802 Value Entry","43 Cost Amount (Actual)","41 Source Type",$C$5,"5 Source no.",$C97,"4 Item Ledger Entry Type",$C$4,"2 Item No.","@@"&amp;$F97,"3 Posting Date",O$9)</t>
  </si>
  <si>
    <t>=O97-Q97</t>
  </si>
  <si>
    <t>=IF(O97&lt;&gt;0,R97/O97,"")</t>
  </si>
  <si>
    <t>=NL("Sum","5802 Value Entry","150 Sales Amount (Expected)","41 Source Type",$C$5,"5 Source No.",$C97,"4 Item Ledger Entry Type",$C$4,"2 Item No.","@@"&amp;$F97,"3 Posting Date",U$9)+NL("Sum","5802 Value Entry","17 Sales Amount (Actual)","41 Source Type",$C$5,"5 Source no.",$C97,"4 Item Ledger Entry Type",$C$4,"2 Item No.","@@"&amp;$F97,"3 Posting Date",U$9)</t>
  </si>
  <si>
    <t>=-NL("Sum","5802 Value Entry","151 Cost Amount (Expected)","41 Source Type",$C$5,"5 Source No.",$C97,"4 Item Ledger Entry Type",$C$4,"2 Item No.","@@"&amp;$F97,"3 Posting Date",U$9)-NL("Sum","5802 Value Entry","43 Cost Amount (Actual)","41 Source Type",$C$5,"5 Source no.",$C97,"4 Item Ledger Entry Type",$C$4,"2 Item No.","@@"&amp;$F97,"3 Posting Date",U$9)</t>
  </si>
  <si>
    <t>=U97-W97</t>
  </si>
  <si>
    <t>=IF(U97&lt;&gt;0,X97/U97,"")</t>
  </si>
  <si>
    <t>=NL("Sum","5802 Value Entry","150 Sales Amount (Expected)","41 Source Type",$C$5,"5 Source No.",$C97,"4 Item Ledger Entry Type",$C$4,"2 Item No.","@@"&amp;$F97,"3 Posting Date",Z$9)+NL("Sum","5802 Value Entry","17 Sales Amount (Actual)","41 Source Type",$C$5,"5 Source no.",$C97,"4 Item Ledger Entry Type",$C$4,"2 Item No.","@@"&amp;$F97,"3 Posting Date",Z$9)</t>
  </si>
  <si>
    <t>=-NL("Sum","5802 Value Entry","151 Cost Amount (Expected)","41 Source Type",$C$5,"5 Source No.",$C97,"4 Item Ledger Entry Type",$C$4,"2 Item No.","@@"&amp;$F97,"3 Posting Date",Z$9)-NL("Sum","5802 Value Entry","43 Cost Amount (Actual)","41 Source Type",$C$5,"5 Source no.",$C97,"4 Item Ledger Entry Type",$C$4,"2 Item No.","@@"&amp;$F97,"3 Posting Date",Z$9)</t>
  </si>
  <si>
    <t>=Z97-AB97</t>
  </si>
  <si>
    <t>=IF(Z97&lt;&gt;0,AC97/Z97,"")</t>
  </si>
  <si>
    <t>=C97</t>
  </si>
  <si>
    <t>=NL("Sum","5802 Value Entry","150 Sales Amount (Expected)","41 Source Type",$C$5,"5 Source No.",$C98,"4 Item Ledger Entry Type",$C$4,"2 Item No.","@@"&amp;$F98,"3 Posting Date",J$9)+NL("Sum","5802 Value Entry","17 Sales Amount (Actual)","41 Source Type",$C$5,"5 Source no.",$C98,"4 Item Ledger Entry Type",$C$4,"2 Item No.","@@"&amp;$F98,"3 Posting Date",J$9)</t>
  </si>
  <si>
    <t>=-NL("Sum","5802 Value Entry","151 Cost Amount (Expected)","41 Source Type",$C$5,"5 Source No.",$C98,"4 Item Ledger Entry Type",$C$4,"2 Item No.","@@"&amp;$F98,"3 Posting Date",J$9)-NL("Sum","5802 Value Entry","43 Cost Amount (Actual)","41 Source Type",$C$5,"5 Source no.",$C98,"4 Item Ledger Entry Type",$C$4,"2 Item No.","@@"&amp;$F98,"3 Posting Date",J$9)</t>
  </si>
  <si>
    <t>=J98-L98</t>
  </si>
  <si>
    <t>=IF(J98&lt;&gt;0,M98/J98,"")</t>
  </si>
  <si>
    <t>=NL("Sum","5802 Value Entry","150 Sales Amount (Expected)","41 Source Type",$C$5,"5 Source No.",$C98,"4 Item Ledger Entry Type",$C$4,"2 Item No.","@@"&amp;$F98,"3 Posting Date",O$9)+NL("Sum","5802 Value Entry","17 Sales Amount (Actual)","41 Source Type",$C$5,"5 Source no.",$C98,"4 Item Ledger Entry Type",$C$4,"2 Item No.","@@"&amp;$F98,"3 Posting Date",O$9)</t>
  </si>
  <si>
    <t>=-NL("Sum","5802 Value Entry","151 Cost Amount (Expected)","41 Source Type",$C$5,"5 Source No.",$C98,"4 Item Ledger Entry Type",$C$4,"2 Item No.","@@"&amp;$F98,"3 Posting Date",O$9)-NL("Sum","5802 Value Entry","43 Cost Amount (Actual)","41 Source Type",$C$5,"5 Source no.",$C98,"4 Item Ledger Entry Type",$C$4,"2 Item No.","@@"&amp;$F98,"3 Posting Date",O$9)</t>
  </si>
  <si>
    <t>=O98-Q98</t>
  </si>
  <si>
    <t>=IF(O98&lt;&gt;0,R98/O98,"")</t>
  </si>
  <si>
    <t>=NL("Sum","5802 Value Entry","150 Sales Amount (Expected)","41 Source Type",$C$5,"5 Source No.",$C98,"4 Item Ledger Entry Type",$C$4,"2 Item No.","@@"&amp;$F98,"3 Posting Date",U$9)+NL("Sum","5802 Value Entry","17 Sales Amount (Actual)","41 Source Type",$C$5,"5 Source no.",$C98,"4 Item Ledger Entry Type",$C$4,"2 Item No.","@@"&amp;$F98,"3 Posting Date",U$9)</t>
  </si>
  <si>
    <t>=-NL("Sum","5802 Value Entry","151 Cost Amount (Expected)","41 Source Type",$C$5,"5 Source No.",$C98,"4 Item Ledger Entry Type",$C$4,"2 Item No.","@@"&amp;$F98,"3 Posting Date",U$9)-NL("Sum","5802 Value Entry","43 Cost Amount (Actual)","41 Source Type",$C$5,"5 Source no.",$C98,"4 Item Ledger Entry Type",$C$4,"2 Item No.","@@"&amp;$F98,"3 Posting Date",U$9)</t>
  </si>
  <si>
    <t>=U98-W98</t>
  </si>
  <si>
    <t>=IF(U98&lt;&gt;0,X98/U98,"")</t>
  </si>
  <si>
    <t>=NL("Sum","5802 Value Entry","150 Sales Amount (Expected)","41 Source Type",$C$5,"5 Source No.",$C98,"4 Item Ledger Entry Type",$C$4,"2 Item No.","@@"&amp;$F98,"3 Posting Date",Z$9)+NL("Sum","5802 Value Entry","17 Sales Amount (Actual)","41 Source Type",$C$5,"5 Source no.",$C98,"4 Item Ledger Entry Type",$C$4,"2 Item No.","@@"&amp;$F98,"3 Posting Date",Z$9)</t>
  </si>
  <si>
    <t>=-NL("Sum","5802 Value Entry","151 Cost Amount (Expected)","41 Source Type",$C$5,"5 Source No.",$C98,"4 Item Ledger Entry Type",$C$4,"2 Item No.","@@"&amp;$F98,"3 Posting Date",Z$9)-NL("Sum","5802 Value Entry","43 Cost Amount (Actual)","41 Source Type",$C$5,"5 Source no.",$C98,"4 Item Ledger Entry Type",$C$4,"2 Item No.","@@"&amp;$F98,"3 Posting Date",Z$9)</t>
  </si>
  <si>
    <t>=Z98-AB98</t>
  </si>
  <si>
    <t>=IF(Z98&lt;&gt;0,AC98/Z98,"")</t>
  </si>
  <si>
    <t>="S100004"</t>
  </si>
  <si>
    <t>=NL("Sum","5802 Value Entry","150 Sales Amount (Expected)","41 Source Type",$C$5,"5 Source No.",$C99,"4 Item Ledger Entry Type",$C$4,"2 Item No.","@@"&amp;$F99,"3 Posting Date",J$9)+NL("Sum","5802 Value Entry","17 Sales Amount (Actual)","41 Source Type",$C$5,"5 Source no.",$C99,"4 Item Ledger Entry Type",$C$4,"2 Item No.","@@"&amp;$F99,"3 Posting Date",J$9)</t>
  </si>
  <si>
    <t>=-NL("Sum","5802 Value Entry","151 Cost Amount (Expected)","41 Source Type",$C$5,"5 Source No.",$C99,"4 Item Ledger Entry Type",$C$4,"2 Item No.","@@"&amp;$F99,"3 Posting Date",J$9)-NL("Sum","5802 Value Entry","43 Cost Amount (Actual)","41 Source Type",$C$5,"5 Source no.",$C99,"4 Item Ledger Entry Type",$C$4,"2 Item No.","@@"&amp;$F99,"3 Posting Date",J$9)</t>
  </si>
  <si>
    <t>=J99-L99</t>
  </si>
  <si>
    <t>=IF(J99&lt;&gt;0,M99/J99,"")</t>
  </si>
  <si>
    <t>=NL("Sum","5802 Value Entry","150 Sales Amount (Expected)","41 Source Type",$C$5,"5 Source No.",$C99,"4 Item Ledger Entry Type",$C$4,"2 Item No.","@@"&amp;$F99,"3 Posting Date",O$9)+NL("Sum","5802 Value Entry","17 Sales Amount (Actual)","41 Source Type",$C$5,"5 Source no.",$C99,"4 Item Ledger Entry Type",$C$4,"2 Item No.","@@"&amp;$F99,"3 Posting Date",O$9)</t>
  </si>
  <si>
    <t>=-NL("Sum","5802 Value Entry","151 Cost Amount (Expected)","41 Source Type",$C$5,"5 Source No.",$C99,"4 Item Ledger Entry Type",$C$4,"2 Item No.","@@"&amp;$F99,"3 Posting Date",O$9)-NL("Sum","5802 Value Entry","43 Cost Amount (Actual)","41 Source Type",$C$5,"5 Source no.",$C99,"4 Item Ledger Entry Type",$C$4,"2 Item No.","@@"&amp;$F99,"3 Posting Date",O$9)</t>
  </si>
  <si>
    <t>=O99-Q99</t>
  </si>
  <si>
    <t>=IF(O99&lt;&gt;0,R99/O99,"")</t>
  </si>
  <si>
    <t>=NL("Sum","5802 Value Entry","150 Sales Amount (Expected)","41 Source Type",$C$5,"5 Source No.",$C99,"4 Item Ledger Entry Type",$C$4,"2 Item No.","@@"&amp;$F99,"3 Posting Date",U$9)+NL("Sum","5802 Value Entry","17 Sales Amount (Actual)","41 Source Type",$C$5,"5 Source no.",$C99,"4 Item Ledger Entry Type",$C$4,"2 Item No.","@@"&amp;$F99,"3 Posting Date",U$9)</t>
  </si>
  <si>
    <t>=-NL("Sum","5802 Value Entry","151 Cost Amount (Expected)","41 Source Type",$C$5,"5 Source No.",$C99,"4 Item Ledger Entry Type",$C$4,"2 Item No.","@@"&amp;$F99,"3 Posting Date",U$9)-NL("Sum","5802 Value Entry","43 Cost Amount (Actual)","41 Source Type",$C$5,"5 Source no.",$C99,"4 Item Ledger Entry Type",$C$4,"2 Item No.","@@"&amp;$F99,"3 Posting Date",U$9)</t>
  </si>
  <si>
    <t>=U99-W99</t>
  </si>
  <si>
    <t>=IF(U99&lt;&gt;0,X99/U99,"")</t>
  </si>
  <si>
    <t>=NL("Sum","5802 Value Entry","150 Sales Amount (Expected)","41 Source Type",$C$5,"5 Source No.",$C99,"4 Item Ledger Entry Type",$C$4,"2 Item No.","@@"&amp;$F99,"3 Posting Date",Z$9)+NL("Sum","5802 Value Entry","17 Sales Amount (Actual)","41 Source Type",$C$5,"5 Source no.",$C99,"4 Item Ledger Entry Type",$C$4,"2 Item No.","@@"&amp;$F99,"3 Posting Date",Z$9)</t>
  </si>
  <si>
    <t>=-NL("Sum","5802 Value Entry","151 Cost Amount (Expected)","41 Source Type",$C$5,"5 Source No.",$C99,"4 Item Ledger Entry Type",$C$4,"2 Item No.","@@"&amp;$F99,"3 Posting Date",Z$9)-NL("Sum","5802 Value Entry","43 Cost Amount (Actual)","41 Source Type",$C$5,"5 Source no.",$C99,"4 Item Ledger Entry Type",$C$4,"2 Item No.","@@"&amp;$F99,"3 Posting Date",Z$9)</t>
  </si>
  <si>
    <t>=Z99-AB99</t>
  </si>
  <si>
    <t>=IF(Z99&lt;&gt;0,AC99/Z99,"")</t>
  </si>
  <si>
    <t>=NL("Sum","5802 Value Entry","150 Sales Amount (Expected)","41 Source Type",$C$5,"5 Source No.",$C100,"4 Item Ledger Entry Type",$C$4,"2 Item No.","@@"&amp;$F100,"3 Posting Date",J$9)+NL("Sum","5802 Value Entry","17 Sales Amount (Actual)","41 Source Type",$C$5,"5 Source no.",$C100,"4 Item Ledger Entry Type",$C$4,"2 Item No.","@@"&amp;$F100,"3 Posting Date",J$9)</t>
  </si>
  <si>
    <t>=-NL("Sum","5802 Value Entry","151 Cost Amount (Expected)","41 Source Type",$C$5,"5 Source No.",$C100,"4 Item Ledger Entry Type",$C$4,"2 Item No.","@@"&amp;$F100,"3 Posting Date",J$9)-NL("Sum","5802 Value Entry","43 Cost Amount (Actual)","41 Source Type",$C$5,"5 Source no.",$C100,"4 Item Ledger Entry Type",$C$4,"2 Item No.","@@"&amp;$F100,"3 Posting Date",J$9)</t>
  </si>
  <si>
    <t>=NL("Sum","5802 Value Entry","150 Sales Amount (Expected)","41 Source Type",$C$5,"5 Source No.",$C100,"4 Item Ledger Entry Type",$C$4,"2 Item No.","@@"&amp;$F100,"3 Posting Date",O$9)+NL("Sum","5802 Value Entry","17 Sales Amount (Actual)","41 Source Type",$C$5,"5 Source no.",$C100,"4 Item Ledger Entry Type",$C$4,"2 Item No.","@@"&amp;$F100,"3 Posting Date",O$9)</t>
  </si>
  <si>
    <t>=-NL("Sum","5802 Value Entry","151 Cost Amount (Expected)","41 Source Type",$C$5,"5 Source No.",$C100,"4 Item Ledger Entry Type",$C$4,"2 Item No.","@@"&amp;$F100,"3 Posting Date",O$9)-NL("Sum","5802 Value Entry","43 Cost Amount (Actual)","41 Source Type",$C$5,"5 Source no.",$C100,"4 Item Ledger Entry Type",$C$4,"2 Item No.","@@"&amp;$F100,"3 Posting Date",O$9)</t>
  </si>
  <si>
    <t>=NL("Sum","5802 Value Entry","150 Sales Amount (Expected)","41 Source Type",$C$5,"5 Source No.",$C100,"4 Item Ledger Entry Type",$C$4,"2 Item No.","@@"&amp;$F100,"3 Posting Date",U$9)+NL("Sum","5802 Value Entry","17 Sales Amount (Actual)","41 Source Type",$C$5,"5 Source no.",$C100,"4 Item Ledger Entry Type",$C$4,"2 Item No.","@@"&amp;$F100,"3 Posting Date",U$9)</t>
  </si>
  <si>
    <t>=-NL("Sum","5802 Value Entry","151 Cost Amount (Expected)","41 Source Type",$C$5,"5 Source No.",$C100,"4 Item Ledger Entry Type",$C$4,"2 Item No.","@@"&amp;$F100,"3 Posting Date",U$9)-NL("Sum","5802 Value Entry","43 Cost Amount (Actual)","41 Source Type",$C$5,"5 Source no.",$C100,"4 Item Ledger Entry Type",$C$4,"2 Item No.","@@"&amp;$F100,"3 Posting Date",U$9)</t>
  </si>
  <si>
    <t>=NL("Sum","5802 Value Entry","150 Sales Amount (Expected)","41 Source Type",$C$5,"5 Source No.",$C100,"4 Item Ledger Entry Type",$C$4,"2 Item No.","@@"&amp;$F100,"3 Posting Date",Z$9)+NL("Sum","5802 Value Entry","17 Sales Amount (Actual)","41 Source Type",$C$5,"5 Source no.",$C100,"4 Item Ledger Entry Type",$C$4,"2 Item No.","@@"&amp;$F100,"3 Posting Date",Z$9)</t>
  </si>
  <si>
    <t>=-NL("Sum","5802 Value Entry","151 Cost Amount (Expected)","41 Source Type",$C$5,"5 Source No.",$C100,"4 Item Ledger Entry Type",$C$4,"2 Item No.","@@"&amp;$F100,"3 Posting Date",Z$9)-NL("Sum","5802 Value Entry","43 Cost Amount (Actual)","41 Source Type",$C$5,"5 Source no.",$C100,"4 Item Ledger Entry Type",$C$4,"2 Item No.","@@"&amp;$F100,"3 Posting Date",Z$9)</t>
  </si>
  <si>
    <t>=NL("Sum","5802 Value Entry","150 Sales Amount (Expected)","41 Source Type",$C$5,"5 Source No.",$C101,"4 Item Ledger Entry Type",$C$4,"2 Item No.","@@"&amp;$F101,"3 Posting Date",J$9)+NL("Sum","5802 Value Entry","17 Sales Amount (Actual)","41 Source Type",$C$5,"5 Source no.",$C101,"4 Item Ledger Entry Type",$C$4,"2 Item No.","@@"&amp;$F101,"3 Posting Date",J$9)</t>
  </si>
  <si>
    <t>=-NL("Sum","5802 Value Entry","151 Cost Amount (Expected)","41 Source Type",$C$5,"5 Source No.",$C101,"4 Item Ledger Entry Type",$C$4,"2 Item No.","@@"&amp;$F101,"3 Posting Date",J$9)-NL("Sum","5802 Value Entry","43 Cost Amount (Actual)","41 Source Type",$C$5,"5 Source no.",$C101,"4 Item Ledger Entry Type",$C$4,"2 Item No.","@@"&amp;$F101,"3 Posting Date",J$9)</t>
  </si>
  <si>
    <t>=J101-L101</t>
  </si>
  <si>
    <t>=IF(J101&lt;&gt;0,M101/J101,"")</t>
  </si>
  <si>
    <t>=NL("Sum","5802 Value Entry","150 Sales Amount (Expected)","41 Source Type",$C$5,"5 Source No.",$C101,"4 Item Ledger Entry Type",$C$4,"2 Item No.","@@"&amp;$F101,"3 Posting Date",O$9)+NL("Sum","5802 Value Entry","17 Sales Amount (Actual)","41 Source Type",$C$5,"5 Source no.",$C101,"4 Item Ledger Entry Type",$C$4,"2 Item No.","@@"&amp;$F101,"3 Posting Date",O$9)</t>
  </si>
  <si>
    <t>=-NL("Sum","5802 Value Entry","151 Cost Amount (Expected)","41 Source Type",$C$5,"5 Source No.",$C101,"4 Item Ledger Entry Type",$C$4,"2 Item No.","@@"&amp;$F101,"3 Posting Date",O$9)-NL("Sum","5802 Value Entry","43 Cost Amount (Actual)","41 Source Type",$C$5,"5 Source no.",$C101,"4 Item Ledger Entry Type",$C$4,"2 Item No.","@@"&amp;$F101,"3 Posting Date",O$9)</t>
  </si>
  <si>
    <t>=O101-Q101</t>
  </si>
  <si>
    <t>=IF(O101&lt;&gt;0,R101/O101,"")</t>
  </si>
  <si>
    <t>=NL("Sum","5802 Value Entry","150 Sales Amount (Expected)","41 Source Type",$C$5,"5 Source No.",$C101,"4 Item Ledger Entry Type",$C$4,"2 Item No.","@@"&amp;$F101,"3 Posting Date",U$9)+NL("Sum","5802 Value Entry","17 Sales Amount (Actual)","41 Source Type",$C$5,"5 Source no.",$C101,"4 Item Ledger Entry Type",$C$4,"2 Item No.","@@"&amp;$F101,"3 Posting Date",U$9)</t>
  </si>
  <si>
    <t>=-NL("Sum","5802 Value Entry","151 Cost Amount (Expected)","41 Source Type",$C$5,"5 Source No.",$C101,"4 Item Ledger Entry Type",$C$4,"2 Item No.","@@"&amp;$F101,"3 Posting Date",U$9)-NL("Sum","5802 Value Entry","43 Cost Amount (Actual)","41 Source Type",$C$5,"5 Source no.",$C101,"4 Item Ledger Entry Type",$C$4,"2 Item No.","@@"&amp;$F101,"3 Posting Date",U$9)</t>
  </si>
  <si>
    <t>=U101-W101</t>
  </si>
  <si>
    <t>=IF(U101&lt;&gt;0,X101/U101,"")</t>
  </si>
  <si>
    <t>=NL("Sum","5802 Value Entry","150 Sales Amount (Expected)","41 Source Type",$C$5,"5 Source No.",$C101,"4 Item Ledger Entry Type",$C$4,"2 Item No.","@@"&amp;$F101,"3 Posting Date",Z$9)+NL("Sum","5802 Value Entry","17 Sales Amount (Actual)","41 Source Type",$C$5,"5 Source no.",$C101,"4 Item Ledger Entry Type",$C$4,"2 Item No.","@@"&amp;$F101,"3 Posting Date",Z$9)</t>
  </si>
  <si>
    <t>=-NL("Sum","5802 Value Entry","151 Cost Amount (Expected)","41 Source Type",$C$5,"5 Source No.",$C101,"4 Item Ledger Entry Type",$C$4,"2 Item No.","@@"&amp;$F101,"3 Posting Date",Z$9)-NL("Sum","5802 Value Entry","43 Cost Amount (Actual)","41 Source Type",$C$5,"5 Source no.",$C101,"4 Item Ledger Entry Type",$C$4,"2 Item No.","@@"&amp;$F101,"3 Posting Date",Z$9)</t>
  </si>
  <si>
    <t>=Z101-AB101</t>
  </si>
  <si>
    <t>=IF(Z101&lt;&gt;0,AC101/Z101,"")</t>
  </si>
  <si>
    <t>=NL("Sum","5802 Value Entry","150 Sales Amount (Expected)","41 Source Type",$C$5,"5 Source No.",$C102,"4 Item Ledger Entry Type",$C$4,"2 Item No.","@@"&amp;$F102,"3 Posting Date",J$9)+NL("Sum","5802 Value Entry","17 Sales Amount (Actual)","41 Source Type",$C$5,"5 Source no.",$C102,"4 Item Ledger Entry Type",$C$4,"2 Item No.","@@"&amp;$F102,"3 Posting Date",J$9)</t>
  </si>
  <si>
    <t>=-NL("Sum","5802 Value Entry","151 Cost Amount (Expected)","41 Source Type",$C$5,"5 Source No.",$C102,"4 Item Ledger Entry Type",$C$4,"2 Item No.","@@"&amp;$F102,"3 Posting Date",J$9)-NL("Sum","5802 Value Entry","43 Cost Amount (Actual)","41 Source Type",$C$5,"5 Source no.",$C102,"4 Item Ledger Entry Type",$C$4,"2 Item No.","@@"&amp;$F102,"3 Posting Date",J$9)</t>
  </si>
  <si>
    <t>=NL("Sum","5802 Value Entry","150 Sales Amount (Expected)","41 Source Type",$C$5,"5 Source No.",$C102,"4 Item Ledger Entry Type",$C$4,"2 Item No.","@@"&amp;$F102,"3 Posting Date",O$9)+NL("Sum","5802 Value Entry","17 Sales Amount (Actual)","41 Source Type",$C$5,"5 Source no.",$C102,"4 Item Ledger Entry Type",$C$4,"2 Item No.","@@"&amp;$F102,"3 Posting Date",O$9)</t>
  </si>
  <si>
    <t>=-NL("Sum","5802 Value Entry","151 Cost Amount (Expected)","41 Source Type",$C$5,"5 Source No.",$C102,"4 Item Ledger Entry Type",$C$4,"2 Item No.","@@"&amp;$F102,"3 Posting Date",O$9)-NL("Sum","5802 Value Entry","43 Cost Amount (Actual)","41 Source Type",$C$5,"5 Source no.",$C102,"4 Item Ledger Entry Type",$C$4,"2 Item No.","@@"&amp;$F102,"3 Posting Date",O$9)</t>
  </si>
  <si>
    <t>=NL("Sum","5802 Value Entry","150 Sales Amount (Expected)","41 Source Type",$C$5,"5 Source No.",$C102,"4 Item Ledger Entry Type",$C$4,"2 Item No.","@@"&amp;$F102,"3 Posting Date",U$9)+NL("Sum","5802 Value Entry","17 Sales Amount (Actual)","41 Source Type",$C$5,"5 Source no.",$C102,"4 Item Ledger Entry Type",$C$4,"2 Item No.","@@"&amp;$F102,"3 Posting Date",U$9)</t>
  </si>
  <si>
    <t>=-NL("Sum","5802 Value Entry","151 Cost Amount (Expected)","41 Source Type",$C$5,"5 Source No.",$C102,"4 Item Ledger Entry Type",$C$4,"2 Item No.","@@"&amp;$F102,"3 Posting Date",U$9)-NL("Sum","5802 Value Entry","43 Cost Amount (Actual)","41 Source Type",$C$5,"5 Source no.",$C102,"4 Item Ledger Entry Type",$C$4,"2 Item No.","@@"&amp;$F102,"3 Posting Date",U$9)</t>
  </si>
  <si>
    <t>=NL("Sum","5802 Value Entry","150 Sales Amount (Expected)","41 Source Type",$C$5,"5 Source No.",$C102,"4 Item Ledger Entry Type",$C$4,"2 Item No.","@@"&amp;$F102,"3 Posting Date",Z$9)+NL("Sum","5802 Value Entry","17 Sales Amount (Actual)","41 Source Type",$C$5,"5 Source no.",$C102,"4 Item Ledger Entry Type",$C$4,"2 Item No.","@@"&amp;$F102,"3 Posting Date",Z$9)</t>
  </si>
  <si>
    <t>=-NL("Sum","5802 Value Entry","151 Cost Amount (Expected)","41 Source Type",$C$5,"5 Source No.",$C102,"4 Item Ledger Entry Type",$C$4,"2 Item No.","@@"&amp;$F102,"3 Posting Date",Z$9)-NL("Sum","5802 Value Entry","43 Cost Amount (Actual)","41 Source Type",$C$5,"5 Source no.",$C102,"4 Item Ledger Entry Type",$C$4,"2 Item No.","@@"&amp;$F102,"3 Posting Date",Z$9)</t>
  </si>
  <si>
    <t>=C102</t>
  </si>
  <si>
    <t>=NL("Sum","5802 Value Entry","150 Sales Amount (Expected)","41 Source Type",$C$5,"5 Source No.",$C103,"4 Item Ledger Entry Type",$C$4,"2 Item No.","@@"&amp;$F103,"3 Posting Date",J$9)+NL("Sum","5802 Value Entry","17 Sales Amount (Actual)","41 Source Type",$C$5,"5 Source no.",$C103,"4 Item Ledger Entry Type",$C$4,"2 Item No.","@@"&amp;$F103,"3 Posting Date",J$9)</t>
  </si>
  <si>
    <t>=-NL("Sum","5802 Value Entry","151 Cost Amount (Expected)","41 Source Type",$C$5,"5 Source No.",$C103,"4 Item Ledger Entry Type",$C$4,"2 Item No.","@@"&amp;$F103,"3 Posting Date",J$9)-NL("Sum","5802 Value Entry","43 Cost Amount (Actual)","41 Source Type",$C$5,"5 Source no.",$C103,"4 Item Ledger Entry Type",$C$4,"2 Item No.","@@"&amp;$F103,"3 Posting Date",J$9)</t>
  </si>
  <si>
    <t>=J103-L103</t>
  </si>
  <si>
    <t>=IF(J103&lt;&gt;0,M103/J103,"")</t>
  </si>
  <si>
    <t>=NL("Sum","5802 Value Entry","150 Sales Amount (Expected)","41 Source Type",$C$5,"5 Source No.",$C103,"4 Item Ledger Entry Type",$C$4,"2 Item No.","@@"&amp;$F103,"3 Posting Date",O$9)+NL("Sum","5802 Value Entry","17 Sales Amount (Actual)","41 Source Type",$C$5,"5 Source no.",$C103,"4 Item Ledger Entry Type",$C$4,"2 Item No.","@@"&amp;$F103,"3 Posting Date",O$9)</t>
  </si>
  <si>
    <t>=-NL("Sum","5802 Value Entry","151 Cost Amount (Expected)","41 Source Type",$C$5,"5 Source No.",$C103,"4 Item Ledger Entry Type",$C$4,"2 Item No.","@@"&amp;$F103,"3 Posting Date",O$9)-NL("Sum","5802 Value Entry","43 Cost Amount (Actual)","41 Source Type",$C$5,"5 Source no.",$C103,"4 Item Ledger Entry Type",$C$4,"2 Item No.","@@"&amp;$F103,"3 Posting Date",O$9)</t>
  </si>
  <si>
    <t>=O103-Q103</t>
  </si>
  <si>
    <t>=IF(O103&lt;&gt;0,R103/O103,"")</t>
  </si>
  <si>
    <t>=NL("Sum","5802 Value Entry","150 Sales Amount (Expected)","41 Source Type",$C$5,"5 Source No.",$C103,"4 Item Ledger Entry Type",$C$4,"2 Item No.","@@"&amp;$F103,"3 Posting Date",U$9)+NL("Sum","5802 Value Entry","17 Sales Amount (Actual)","41 Source Type",$C$5,"5 Source no.",$C103,"4 Item Ledger Entry Type",$C$4,"2 Item No.","@@"&amp;$F103,"3 Posting Date",U$9)</t>
  </si>
  <si>
    <t>=-NL("Sum","5802 Value Entry","151 Cost Amount (Expected)","41 Source Type",$C$5,"5 Source No.",$C103,"4 Item Ledger Entry Type",$C$4,"2 Item No.","@@"&amp;$F103,"3 Posting Date",U$9)-NL("Sum","5802 Value Entry","43 Cost Amount (Actual)","41 Source Type",$C$5,"5 Source no.",$C103,"4 Item Ledger Entry Type",$C$4,"2 Item No.","@@"&amp;$F103,"3 Posting Date",U$9)</t>
  </si>
  <si>
    <t>=U103-W103</t>
  </si>
  <si>
    <t>=IF(U103&lt;&gt;0,X103/U103,"")</t>
  </si>
  <si>
    <t>=NL("Sum","5802 Value Entry","150 Sales Amount (Expected)","41 Source Type",$C$5,"5 Source No.",$C103,"4 Item Ledger Entry Type",$C$4,"2 Item No.","@@"&amp;$F103,"3 Posting Date",Z$9)+NL("Sum","5802 Value Entry","17 Sales Amount (Actual)","41 Source Type",$C$5,"5 Source no.",$C103,"4 Item Ledger Entry Type",$C$4,"2 Item No.","@@"&amp;$F103,"3 Posting Date",Z$9)</t>
  </si>
  <si>
    <t>=-NL("Sum","5802 Value Entry","151 Cost Amount (Expected)","41 Source Type",$C$5,"5 Source No.",$C103,"4 Item Ledger Entry Type",$C$4,"2 Item No.","@@"&amp;$F103,"3 Posting Date",Z$9)-NL("Sum","5802 Value Entry","43 Cost Amount (Actual)","41 Source Type",$C$5,"5 Source no.",$C103,"4 Item Ledger Entry Type",$C$4,"2 Item No.","@@"&amp;$F103,"3 Posting Date",Z$9)</t>
  </si>
  <si>
    <t>=Z103-AB103</t>
  </si>
  <si>
    <t>=IF(Z103&lt;&gt;0,AC103/Z103,"")</t>
  </si>
  <si>
    <t>=C103</t>
  </si>
  <si>
    <t>=NL("Sum","5802 Value Entry","150 Sales Amount (Expected)","41 Source Type",$C$5,"5 Source No.",$C104,"4 Item Ledger Entry Type",$C$4,"2 Item No.","@@"&amp;$F104,"3 Posting Date",J$9)+NL("Sum","5802 Value Entry","17 Sales Amount (Actual)","41 Source Type",$C$5,"5 Source no.",$C104,"4 Item Ledger Entry Type",$C$4,"2 Item No.","@@"&amp;$F104,"3 Posting Date",J$9)</t>
  </si>
  <si>
    <t>=-NL("Sum","5802 Value Entry","151 Cost Amount (Expected)","41 Source Type",$C$5,"5 Source No.",$C104,"4 Item Ledger Entry Type",$C$4,"2 Item No.","@@"&amp;$F104,"3 Posting Date",J$9)-NL("Sum","5802 Value Entry","43 Cost Amount (Actual)","41 Source Type",$C$5,"5 Source no.",$C104,"4 Item Ledger Entry Type",$C$4,"2 Item No.","@@"&amp;$F104,"3 Posting Date",J$9)</t>
  </si>
  <si>
    <t>=J104-L104</t>
  </si>
  <si>
    <t>=IF(J104&lt;&gt;0,M104/J104,"")</t>
  </si>
  <si>
    <t>=NL("Sum","5802 Value Entry","150 Sales Amount (Expected)","41 Source Type",$C$5,"5 Source No.",$C104,"4 Item Ledger Entry Type",$C$4,"2 Item No.","@@"&amp;$F104,"3 Posting Date",O$9)+NL("Sum","5802 Value Entry","17 Sales Amount (Actual)","41 Source Type",$C$5,"5 Source no.",$C104,"4 Item Ledger Entry Type",$C$4,"2 Item No.","@@"&amp;$F104,"3 Posting Date",O$9)</t>
  </si>
  <si>
    <t>=-NL("Sum","5802 Value Entry","151 Cost Amount (Expected)","41 Source Type",$C$5,"5 Source No.",$C104,"4 Item Ledger Entry Type",$C$4,"2 Item No.","@@"&amp;$F104,"3 Posting Date",O$9)-NL("Sum","5802 Value Entry","43 Cost Amount (Actual)","41 Source Type",$C$5,"5 Source no.",$C104,"4 Item Ledger Entry Type",$C$4,"2 Item No.","@@"&amp;$F104,"3 Posting Date",O$9)</t>
  </si>
  <si>
    <t>=O104-Q104</t>
  </si>
  <si>
    <t>=IF(O104&lt;&gt;0,R104/O104,"")</t>
  </si>
  <si>
    <t>=NL("Sum","5802 Value Entry","150 Sales Amount (Expected)","41 Source Type",$C$5,"5 Source No.",$C104,"4 Item Ledger Entry Type",$C$4,"2 Item No.","@@"&amp;$F104,"3 Posting Date",U$9)+NL("Sum","5802 Value Entry","17 Sales Amount (Actual)","41 Source Type",$C$5,"5 Source no.",$C104,"4 Item Ledger Entry Type",$C$4,"2 Item No.","@@"&amp;$F104,"3 Posting Date",U$9)</t>
  </si>
  <si>
    <t>=-NL("Sum","5802 Value Entry","151 Cost Amount (Expected)","41 Source Type",$C$5,"5 Source No.",$C104,"4 Item Ledger Entry Type",$C$4,"2 Item No.","@@"&amp;$F104,"3 Posting Date",U$9)-NL("Sum","5802 Value Entry","43 Cost Amount (Actual)","41 Source Type",$C$5,"5 Source no.",$C104,"4 Item Ledger Entry Type",$C$4,"2 Item No.","@@"&amp;$F104,"3 Posting Date",U$9)</t>
  </si>
  <si>
    <t>=U104-W104</t>
  </si>
  <si>
    <t>=IF(U104&lt;&gt;0,X104/U104,"")</t>
  </si>
  <si>
    <t>=NL("Sum","5802 Value Entry","150 Sales Amount (Expected)","41 Source Type",$C$5,"5 Source No.",$C104,"4 Item Ledger Entry Type",$C$4,"2 Item No.","@@"&amp;$F104,"3 Posting Date",Z$9)+NL("Sum","5802 Value Entry","17 Sales Amount (Actual)","41 Source Type",$C$5,"5 Source no.",$C104,"4 Item Ledger Entry Type",$C$4,"2 Item No.","@@"&amp;$F104,"3 Posting Date",Z$9)</t>
  </si>
  <si>
    <t>=-NL("Sum","5802 Value Entry","151 Cost Amount (Expected)","41 Source Type",$C$5,"5 Source No.",$C104,"4 Item Ledger Entry Type",$C$4,"2 Item No.","@@"&amp;$F104,"3 Posting Date",Z$9)-NL("Sum","5802 Value Entry","43 Cost Amount (Actual)","41 Source Type",$C$5,"5 Source no.",$C104,"4 Item Ledger Entry Type",$C$4,"2 Item No.","@@"&amp;$F104,"3 Posting Date",Z$9)</t>
  </si>
  <si>
    <t>=Z104-AB104</t>
  </si>
  <si>
    <t>=IF(Z104&lt;&gt;0,AC104/Z104,"")</t>
  </si>
  <si>
    <t>=NL("Sum","5802 Value Entry","150 Sales Amount (Expected)","41 Source Type",$C$5,"5 Source No.",$C105,"4 Item Ledger Entry Type",$C$4,"2 Item No.","@@"&amp;$F105,"3 Posting Date",J$9)+NL("Sum","5802 Value Entry","17 Sales Amount (Actual)","41 Source Type",$C$5,"5 Source no.",$C105,"4 Item Ledger Entry Type",$C$4,"2 Item No.","@@"&amp;$F105,"3 Posting Date",J$9)</t>
  </si>
  <si>
    <t>=-NL("Sum","5802 Value Entry","151 Cost Amount (Expected)","41 Source Type",$C$5,"5 Source No.",$C105,"4 Item Ledger Entry Type",$C$4,"2 Item No.","@@"&amp;$F105,"3 Posting Date",J$9)-NL("Sum","5802 Value Entry","43 Cost Amount (Actual)","41 Source Type",$C$5,"5 Source no.",$C105,"4 Item Ledger Entry Type",$C$4,"2 Item No.","@@"&amp;$F105,"3 Posting Date",J$9)</t>
  </si>
  <si>
    <t>=J105-L105</t>
  </si>
  <si>
    <t>=IF(J105&lt;&gt;0,M105/J105,"")</t>
  </si>
  <si>
    <t>=NL("Sum","5802 Value Entry","150 Sales Amount (Expected)","41 Source Type",$C$5,"5 Source No.",$C105,"4 Item Ledger Entry Type",$C$4,"2 Item No.","@@"&amp;$F105,"3 Posting Date",O$9)+NL("Sum","5802 Value Entry","17 Sales Amount (Actual)","41 Source Type",$C$5,"5 Source no.",$C105,"4 Item Ledger Entry Type",$C$4,"2 Item No.","@@"&amp;$F105,"3 Posting Date",O$9)</t>
  </si>
  <si>
    <t>=-NL("Sum","5802 Value Entry","151 Cost Amount (Expected)","41 Source Type",$C$5,"5 Source No.",$C105,"4 Item Ledger Entry Type",$C$4,"2 Item No.","@@"&amp;$F105,"3 Posting Date",O$9)-NL("Sum","5802 Value Entry","43 Cost Amount (Actual)","41 Source Type",$C$5,"5 Source no.",$C105,"4 Item Ledger Entry Type",$C$4,"2 Item No.","@@"&amp;$F105,"3 Posting Date",O$9)</t>
  </si>
  <si>
    <t>=O105-Q105</t>
  </si>
  <si>
    <t>=IF(O105&lt;&gt;0,R105/O105,"")</t>
  </si>
  <si>
    <t>=NL("Sum","5802 Value Entry","150 Sales Amount (Expected)","41 Source Type",$C$5,"5 Source No.",$C105,"4 Item Ledger Entry Type",$C$4,"2 Item No.","@@"&amp;$F105,"3 Posting Date",U$9)+NL("Sum","5802 Value Entry","17 Sales Amount (Actual)","41 Source Type",$C$5,"5 Source no.",$C105,"4 Item Ledger Entry Type",$C$4,"2 Item No.","@@"&amp;$F105,"3 Posting Date",U$9)</t>
  </si>
  <si>
    <t>=-NL("Sum","5802 Value Entry","151 Cost Amount (Expected)","41 Source Type",$C$5,"5 Source No.",$C105,"4 Item Ledger Entry Type",$C$4,"2 Item No.","@@"&amp;$F105,"3 Posting Date",U$9)-NL("Sum","5802 Value Entry","43 Cost Amount (Actual)","41 Source Type",$C$5,"5 Source no.",$C105,"4 Item Ledger Entry Type",$C$4,"2 Item No.","@@"&amp;$F105,"3 Posting Date",U$9)</t>
  </si>
  <si>
    <t>=U105-W105</t>
  </si>
  <si>
    <t>=IF(U105&lt;&gt;0,X105/U105,"")</t>
  </si>
  <si>
    <t>=NL("Sum","5802 Value Entry","150 Sales Amount (Expected)","41 Source Type",$C$5,"5 Source No.",$C105,"4 Item Ledger Entry Type",$C$4,"2 Item No.","@@"&amp;$F105,"3 Posting Date",Z$9)+NL("Sum","5802 Value Entry","17 Sales Amount (Actual)","41 Source Type",$C$5,"5 Source no.",$C105,"4 Item Ledger Entry Type",$C$4,"2 Item No.","@@"&amp;$F105,"3 Posting Date",Z$9)</t>
  </si>
  <si>
    <t>=-NL("Sum","5802 Value Entry","151 Cost Amount (Expected)","41 Source Type",$C$5,"5 Source No.",$C105,"4 Item Ledger Entry Type",$C$4,"2 Item No.","@@"&amp;$F105,"3 Posting Date",Z$9)-NL("Sum","5802 Value Entry","43 Cost Amount (Actual)","41 Source Type",$C$5,"5 Source no.",$C105,"4 Item Ledger Entry Type",$C$4,"2 Item No.","@@"&amp;$F105,"3 Posting Date",Z$9)</t>
  </si>
  <si>
    <t>=Z105-AB105</t>
  </si>
  <si>
    <t>=IF(Z105&lt;&gt;0,AC105/Z105,"")</t>
  </si>
  <si>
    <t>=J107-L107</t>
  </si>
  <si>
    <t>=IF(J107&lt;&gt;0,M107/J107,"")</t>
  </si>
  <si>
    <t>=O107-Q107</t>
  </si>
  <si>
    <t>=IF(O107&lt;&gt;0,R107/O107,"")</t>
  </si>
  <si>
    <t>=U107-W107</t>
  </si>
  <si>
    <t>=IF(U107&lt;&gt;0,X107/U107,"")</t>
  </si>
  <si>
    <t>=Z107-AB107</t>
  </si>
  <si>
    <t>=IF(Z107&lt;&gt;0,AC107/Z107,"")</t>
  </si>
  <si>
    <t>="S100015"</t>
  </si>
  <si>
    <t>=C109</t>
  </si>
  <si>
    <t>="S100020"</t>
  </si>
  <si>
    <t>=NL("Sum","5802 Value Entry","150 Sales Amount (Expected)","41 Source Type",$C$5,"5 Source No.",$C111,"4 Item Ledger Entry Type",$C$4,"2 Item No.","@@"&amp;$F111,"3 Posting Date",J$9)+NL("Sum","5802 Value Entry","17 Sales Amount (Actual)","41 Source Type",$C$5,"5 Source no.",$C111,"4 Item Ledger Entry Type",$C$4,"2 Item No.","@@"&amp;$F111,"3 Posting Date",J$9)</t>
  </si>
  <si>
    <t>=-NL("Sum","5802 Value Entry","151 Cost Amount (Expected)","41 Source Type",$C$5,"5 Source No.",$C111,"4 Item Ledger Entry Type",$C$4,"2 Item No.","@@"&amp;$F111,"3 Posting Date",J$9)-NL("Sum","5802 Value Entry","43 Cost Amount (Actual)","41 Source Type",$C$5,"5 Source no.",$C111,"4 Item Ledger Entry Type",$C$4,"2 Item No.","@@"&amp;$F111,"3 Posting Date",J$9)</t>
  </si>
  <si>
    <t>=J111-L111</t>
  </si>
  <si>
    <t>=IF(J111&lt;&gt;0,M111/J111,"")</t>
  </si>
  <si>
    <t>=NL("Sum","5802 Value Entry","150 Sales Amount (Expected)","41 Source Type",$C$5,"5 Source No.",$C111,"4 Item Ledger Entry Type",$C$4,"2 Item No.","@@"&amp;$F111,"3 Posting Date",O$9)+NL("Sum","5802 Value Entry","17 Sales Amount (Actual)","41 Source Type",$C$5,"5 Source no.",$C111,"4 Item Ledger Entry Type",$C$4,"2 Item No.","@@"&amp;$F111,"3 Posting Date",O$9)</t>
  </si>
  <si>
    <t>=-NL("Sum","5802 Value Entry","151 Cost Amount (Expected)","41 Source Type",$C$5,"5 Source No.",$C111,"4 Item Ledger Entry Type",$C$4,"2 Item No.","@@"&amp;$F111,"3 Posting Date",O$9)-NL("Sum","5802 Value Entry","43 Cost Amount (Actual)","41 Source Type",$C$5,"5 Source no.",$C111,"4 Item Ledger Entry Type",$C$4,"2 Item No.","@@"&amp;$F111,"3 Posting Date",O$9)</t>
  </si>
  <si>
    <t>=O111-Q111</t>
  </si>
  <si>
    <t>=IF(O111&lt;&gt;0,R111/O111,"")</t>
  </si>
  <si>
    <t>=NL("Sum","5802 Value Entry","150 Sales Amount (Expected)","41 Source Type",$C$5,"5 Source No.",$C111,"4 Item Ledger Entry Type",$C$4,"2 Item No.","@@"&amp;$F111,"3 Posting Date",U$9)+NL("Sum","5802 Value Entry","17 Sales Amount (Actual)","41 Source Type",$C$5,"5 Source no.",$C111,"4 Item Ledger Entry Type",$C$4,"2 Item No.","@@"&amp;$F111,"3 Posting Date",U$9)</t>
  </si>
  <si>
    <t>=-NL("Sum","5802 Value Entry","151 Cost Amount (Expected)","41 Source Type",$C$5,"5 Source No.",$C111,"4 Item Ledger Entry Type",$C$4,"2 Item No.","@@"&amp;$F111,"3 Posting Date",U$9)-NL("Sum","5802 Value Entry","43 Cost Amount (Actual)","41 Source Type",$C$5,"5 Source no.",$C111,"4 Item Ledger Entry Type",$C$4,"2 Item No.","@@"&amp;$F111,"3 Posting Date",U$9)</t>
  </si>
  <si>
    <t>=U111-W111</t>
  </si>
  <si>
    <t>=IF(U111&lt;&gt;0,X111/U111,"")</t>
  </si>
  <si>
    <t>=NL("Sum","5802 Value Entry","150 Sales Amount (Expected)","41 Source Type",$C$5,"5 Source No.",$C111,"4 Item Ledger Entry Type",$C$4,"2 Item No.","@@"&amp;$F111,"3 Posting Date",Z$9)+NL("Sum","5802 Value Entry","17 Sales Amount (Actual)","41 Source Type",$C$5,"5 Source no.",$C111,"4 Item Ledger Entry Type",$C$4,"2 Item No.","@@"&amp;$F111,"3 Posting Date",Z$9)</t>
  </si>
  <si>
    <t>=-NL("Sum","5802 Value Entry","151 Cost Amount (Expected)","41 Source Type",$C$5,"5 Source No.",$C111,"4 Item Ledger Entry Type",$C$4,"2 Item No.","@@"&amp;$F111,"3 Posting Date",Z$9)-NL("Sum","5802 Value Entry","43 Cost Amount (Actual)","41 Source Type",$C$5,"5 Source no.",$C111,"4 Item Ledger Entry Type",$C$4,"2 Item No.","@@"&amp;$F111,"3 Posting Date",Z$9)</t>
  </si>
  <si>
    <t>=Z111-AB111</t>
  </si>
  <si>
    <t>=IF(Z111&lt;&gt;0,AC111/Z111,"")</t>
  </si>
  <si>
    <t>=NL("Sum","5802 Value Entry","150 Sales Amount (Expected)","41 Source Type",$C$5,"5 Source No.",$C112,"4 Item Ledger Entry Type",$C$4,"2 Item No.","@@"&amp;$F112,"3 Posting Date",J$9)+NL("Sum","5802 Value Entry","17 Sales Amount (Actual)","41 Source Type",$C$5,"5 Source no.",$C112,"4 Item Ledger Entry Type",$C$4,"2 Item No.","@@"&amp;$F112,"3 Posting Date",J$9)</t>
  </si>
  <si>
    <t>=-NL("Sum","5802 Value Entry","151 Cost Amount (Expected)","41 Source Type",$C$5,"5 Source No.",$C112,"4 Item Ledger Entry Type",$C$4,"2 Item No.","@@"&amp;$F112,"3 Posting Date",J$9)-NL("Sum","5802 Value Entry","43 Cost Amount (Actual)","41 Source Type",$C$5,"5 Source no.",$C112,"4 Item Ledger Entry Type",$C$4,"2 Item No.","@@"&amp;$F112,"3 Posting Date",J$9)</t>
  </si>
  <si>
    <t>=NL("Sum","5802 Value Entry","150 Sales Amount (Expected)","41 Source Type",$C$5,"5 Source No.",$C112,"4 Item Ledger Entry Type",$C$4,"2 Item No.","@@"&amp;$F112,"3 Posting Date",O$9)+NL("Sum","5802 Value Entry","17 Sales Amount (Actual)","41 Source Type",$C$5,"5 Source no.",$C112,"4 Item Ledger Entry Type",$C$4,"2 Item No.","@@"&amp;$F112,"3 Posting Date",O$9)</t>
  </si>
  <si>
    <t>=-NL("Sum","5802 Value Entry","151 Cost Amount (Expected)","41 Source Type",$C$5,"5 Source No.",$C112,"4 Item Ledger Entry Type",$C$4,"2 Item No.","@@"&amp;$F112,"3 Posting Date",O$9)-NL("Sum","5802 Value Entry","43 Cost Amount (Actual)","41 Source Type",$C$5,"5 Source no.",$C112,"4 Item Ledger Entry Type",$C$4,"2 Item No.","@@"&amp;$F112,"3 Posting Date",O$9)</t>
  </si>
  <si>
    <t>=NL("Sum","5802 Value Entry","150 Sales Amount (Expected)","41 Source Type",$C$5,"5 Source No.",$C112,"4 Item Ledger Entry Type",$C$4,"2 Item No.","@@"&amp;$F112,"3 Posting Date",U$9)+NL("Sum","5802 Value Entry","17 Sales Amount (Actual)","41 Source Type",$C$5,"5 Source no.",$C112,"4 Item Ledger Entry Type",$C$4,"2 Item No.","@@"&amp;$F112,"3 Posting Date",U$9)</t>
  </si>
  <si>
    <t>=-NL("Sum","5802 Value Entry","151 Cost Amount (Expected)","41 Source Type",$C$5,"5 Source No.",$C112,"4 Item Ledger Entry Type",$C$4,"2 Item No.","@@"&amp;$F112,"3 Posting Date",U$9)-NL("Sum","5802 Value Entry","43 Cost Amount (Actual)","41 Source Type",$C$5,"5 Source no.",$C112,"4 Item Ledger Entry Type",$C$4,"2 Item No.","@@"&amp;$F112,"3 Posting Date",U$9)</t>
  </si>
  <si>
    <t>=NL("Sum","5802 Value Entry","150 Sales Amount (Expected)","41 Source Type",$C$5,"5 Source No.",$C112,"4 Item Ledger Entry Type",$C$4,"2 Item No.","@@"&amp;$F112,"3 Posting Date",Z$9)+NL("Sum","5802 Value Entry","17 Sales Amount (Actual)","41 Source Type",$C$5,"5 Source no.",$C112,"4 Item Ledger Entry Type",$C$4,"2 Item No.","@@"&amp;$F112,"3 Posting Date",Z$9)</t>
  </si>
  <si>
    <t>=-NL("Sum","5802 Value Entry","151 Cost Amount (Expected)","41 Source Type",$C$5,"5 Source No.",$C112,"4 Item Ledger Entry Type",$C$4,"2 Item No.","@@"&amp;$F112,"3 Posting Date",Z$9)-NL("Sum","5802 Value Entry","43 Cost Amount (Actual)","41 Source Type",$C$5,"5 Source no.",$C112,"4 Item Ledger Entry Type",$C$4,"2 Item No.","@@"&amp;$F112,"3 Posting Date",Z$9)</t>
  </si>
  <si>
    <t>=NL("Sum","5802 Value Entry","150 Sales Amount (Expected)","41 Source Type",$C$5,"5 Source No.",$C118,"4 Item Ledger Entry Type",$C$4,"2 Item No.","@@"&amp;$F118,"3 Posting Date",J$9)+NL("Sum","5802 Value Entry","17 Sales Amount (Actual)","41 Source Type",$C$5,"5 Source no.",$C118,"4 Item Ledger Entry Type",$C$4,"2 Item No.","@@"&amp;$F118,"3 Posting Date",J$9)</t>
  </si>
  <si>
    <t>=-NL("Sum","5802 Value Entry","151 Cost Amount (Expected)","41 Source Type",$C$5,"5 Source No.",$C118,"4 Item Ledger Entry Type",$C$4,"2 Item No.","@@"&amp;$F118,"3 Posting Date",J$9)-NL("Sum","5802 Value Entry","43 Cost Amount (Actual)","41 Source Type",$C$5,"5 Source no.",$C118,"4 Item Ledger Entry Type",$C$4,"2 Item No.","@@"&amp;$F118,"3 Posting Date",J$9)</t>
  </si>
  <si>
    <t>=NL("Sum","5802 Value Entry","150 Sales Amount (Expected)","41 Source Type",$C$5,"5 Source No.",$C118,"4 Item Ledger Entry Type",$C$4,"2 Item No.","@@"&amp;$F118,"3 Posting Date",O$9)+NL("Sum","5802 Value Entry","17 Sales Amount (Actual)","41 Source Type",$C$5,"5 Source no.",$C118,"4 Item Ledger Entry Type",$C$4,"2 Item No.","@@"&amp;$F118,"3 Posting Date",O$9)</t>
  </si>
  <si>
    <t>=-NL("Sum","5802 Value Entry","151 Cost Amount (Expected)","41 Source Type",$C$5,"5 Source No.",$C118,"4 Item Ledger Entry Type",$C$4,"2 Item No.","@@"&amp;$F118,"3 Posting Date",O$9)-NL("Sum","5802 Value Entry","43 Cost Amount (Actual)","41 Source Type",$C$5,"5 Source no.",$C118,"4 Item Ledger Entry Type",$C$4,"2 Item No.","@@"&amp;$F118,"3 Posting Date",O$9)</t>
  </si>
  <si>
    <t>=NL("Sum","5802 Value Entry","150 Sales Amount (Expected)","41 Source Type",$C$5,"5 Source No.",$C118,"4 Item Ledger Entry Type",$C$4,"2 Item No.","@@"&amp;$F118,"3 Posting Date",U$9)+NL("Sum","5802 Value Entry","17 Sales Amount (Actual)","41 Source Type",$C$5,"5 Source no.",$C118,"4 Item Ledger Entry Type",$C$4,"2 Item No.","@@"&amp;$F118,"3 Posting Date",U$9)</t>
  </si>
  <si>
    <t>=-NL("Sum","5802 Value Entry","151 Cost Amount (Expected)","41 Source Type",$C$5,"5 Source No.",$C118,"4 Item Ledger Entry Type",$C$4,"2 Item No.","@@"&amp;$F118,"3 Posting Date",U$9)-NL("Sum","5802 Value Entry","43 Cost Amount (Actual)","41 Source Type",$C$5,"5 Source no.",$C118,"4 Item Ledger Entry Type",$C$4,"2 Item No.","@@"&amp;$F118,"3 Posting Date",U$9)</t>
  </si>
  <si>
    <t>=NL("Sum","5802 Value Entry","150 Sales Amount (Expected)","41 Source Type",$C$5,"5 Source No.",$C118,"4 Item Ledger Entry Type",$C$4,"2 Item No.","@@"&amp;$F118,"3 Posting Date",Z$9)+NL("Sum","5802 Value Entry","17 Sales Amount (Actual)","41 Source Type",$C$5,"5 Source no.",$C118,"4 Item Ledger Entry Type",$C$4,"2 Item No.","@@"&amp;$F118,"3 Posting Date",Z$9)</t>
  </si>
  <si>
    <t>=-NL("Sum","5802 Value Entry","151 Cost Amount (Expected)","41 Source Type",$C$5,"5 Source No.",$C118,"4 Item Ledger Entry Type",$C$4,"2 Item No.","@@"&amp;$F118,"3 Posting Date",Z$9)-NL("Sum","5802 Value Entry","43 Cost Amount (Actual)","41 Source Type",$C$5,"5 Source no.",$C118,"4 Item Ledger Entry Type",$C$4,"2 Item No.","@@"&amp;$F118,"3 Posting Date",Z$9)</t>
  </si>
  <si>
    <t>=NL("Sum","5802 Value Entry","150 Sales Amount (Expected)","41 Source Type",$C$5,"5 Source No.",$C119,"4 Item Ledger Entry Type",$C$4,"2 Item No.","@@"&amp;$F119,"3 Posting Date",J$9)+NL("Sum","5802 Value Entry","17 Sales Amount (Actual)","41 Source Type",$C$5,"5 Source no.",$C119,"4 Item Ledger Entry Type",$C$4,"2 Item No.","@@"&amp;$F119,"3 Posting Date",J$9)</t>
  </si>
  <si>
    <t>=-NL("Sum","5802 Value Entry","151 Cost Amount (Expected)","41 Source Type",$C$5,"5 Source No.",$C119,"4 Item Ledger Entry Type",$C$4,"2 Item No.","@@"&amp;$F119,"3 Posting Date",J$9)-NL("Sum","5802 Value Entry","43 Cost Amount (Actual)","41 Source Type",$C$5,"5 Source no.",$C119,"4 Item Ledger Entry Type",$C$4,"2 Item No.","@@"&amp;$F119,"3 Posting Date",J$9)</t>
  </si>
  <si>
    <t>=J119-L119</t>
  </si>
  <si>
    <t>=IF(J119&lt;&gt;0,M119/J119,"")</t>
  </si>
  <si>
    <t>=NL("Sum","5802 Value Entry","150 Sales Amount (Expected)","41 Source Type",$C$5,"5 Source No.",$C119,"4 Item Ledger Entry Type",$C$4,"2 Item No.","@@"&amp;$F119,"3 Posting Date",O$9)+NL("Sum","5802 Value Entry","17 Sales Amount (Actual)","41 Source Type",$C$5,"5 Source no.",$C119,"4 Item Ledger Entry Type",$C$4,"2 Item No.","@@"&amp;$F119,"3 Posting Date",O$9)</t>
  </si>
  <si>
    <t>=-NL("Sum","5802 Value Entry","151 Cost Amount (Expected)","41 Source Type",$C$5,"5 Source No.",$C119,"4 Item Ledger Entry Type",$C$4,"2 Item No.","@@"&amp;$F119,"3 Posting Date",O$9)-NL("Sum","5802 Value Entry","43 Cost Amount (Actual)","41 Source Type",$C$5,"5 Source no.",$C119,"4 Item Ledger Entry Type",$C$4,"2 Item No.","@@"&amp;$F119,"3 Posting Date",O$9)</t>
  </si>
  <si>
    <t>=O119-Q119</t>
  </si>
  <si>
    <t>=IF(O119&lt;&gt;0,R119/O119,"")</t>
  </si>
  <si>
    <t>=NL("Sum","5802 Value Entry","150 Sales Amount (Expected)","41 Source Type",$C$5,"5 Source No.",$C119,"4 Item Ledger Entry Type",$C$4,"2 Item No.","@@"&amp;$F119,"3 Posting Date",U$9)+NL("Sum","5802 Value Entry","17 Sales Amount (Actual)","41 Source Type",$C$5,"5 Source no.",$C119,"4 Item Ledger Entry Type",$C$4,"2 Item No.","@@"&amp;$F119,"3 Posting Date",U$9)</t>
  </si>
  <si>
    <t>=-NL("Sum","5802 Value Entry","151 Cost Amount (Expected)","41 Source Type",$C$5,"5 Source No.",$C119,"4 Item Ledger Entry Type",$C$4,"2 Item No.","@@"&amp;$F119,"3 Posting Date",U$9)-NL("Sum","5802 Value Entry","43 Cost Amount (Actual)","41 Source Type",$C$5,"5 Source no.",$C119,"4 Item Ledger Entry Type",$C$4,"2 Item No.","@@"&amp;$F119,"3 Posting Date",U$9)</t>
  </si>
  <si>
    <t>=U119-W119</t>
  </si>
  <si>
    <t>=IF(U119&lt;&gt;0,X119/U119,"")</t>
  </si>
  <si>
    <t>=NL("Sum","5802 Value Entry","150 Sales Amount (Expected)","41 Source Type",$C$5,"5 Source No.",$C119,"4 Item Ledger Entry Type",$C$4,"2 Item No.","@@"&amp;$F119,"3 Posting Date",Z$9)+NL("Sum","5802 Value Entry","17 Sales Amount (Actual)","41 Source Type",$C$5,"5 Source no.",$C119,"4 Item Ledger Entry Type",$C$4,"2 Item No.","@@"&amp;$F119,"3 Posting Date",Z$9)</t>
  </si>
  <si>
    <t>=-NL("Sum","5802 Value Entry","151 Cost Amount (Expected)","41 Source Type",$C$5,"5 Source No.",$C119,"4 Item Ledger Entry Type",$C$4,"2 Item No.","@@"&amp;$F119,"3 Posting Date",Z$9)-NL("Sum","5802 Value Entry","43 Cost Amount (Actual)","41 Source Type",$C$5,"5 Source no.",$C119,"4 Item Ledger Entry Type",$C$4,"2 Item No.","@@"&amp;$F119,"3 Posting Date",Z$9)</t>
  </si>
  <si>
    <t>=Z119-AB119</t>
  </si>
  <si>
    <t>=IF(Z119&lt;&gt;0,AC119/Z119,"")</t>
  </si>
  <si>
    <t>=NL("Sum","5802 Value Entry","150 Sales Amount (Expected)","41 Source Type",$C$5,"5 Source No.",$C120,"4 Item Ledger Entry Type",$C$4,"2 Item No.","@@"&amp;$F120,"3 Posting Date",J$9)+NL("Sum","5802 Value Entry","17 Sales Amount (Actual)","41 Source Type",$C$5,"5 Source no.",$C120,"4 Item Ledger Entry Type",$C$4,"2 Item No.","@@"&amp;$F120,"3 Posting Date",J$9)</t>
  </si>
  <si>
    <t>=-NL("Sum","5802 Value Entry","151 Cost Amount (Expected)","41 Source Type",$C$5,"5 Source No.",$C120,"4 Item Ledger Entry Type",$C$4,"2 Item No.","@@"&amp;$F120,"3 Posting Date",J$9)-NL("Sum","5802 Value Entry","43 Cost Amount (Actual)","41 Source Type",$C$5,"5 Source no.",$C120,"4 Item Ledger Entry Type",$C$4,"2 Item No.","@@"&amp;$F120,"3 Posting Date",J$9)</t>
  </si>
  <si>
    <t>=NL("Sum","5802 Value Entry","150 Sales Amount (Expected)","41 Source Type",$C$5,"5 Source No.",$C120,"4 Item Ledger Entry Type",$C$4,"2 Item No.","@@"&amp;$F120,"3 Posting Date",O$9)+NL("Sum","5802 Value Entry","17 Sales Amount (Actual)","41 Source Type",$C$5,"5 Source no.",$C120,"4 Item Ledger Entry Type",$C$4,"2 Item No.","@@"&amp;$F120,"3 Posting Date",O$9)</t>
  </si>
  <si>
    <t>=-NL("Sum","5802 Value Entry","151 Cost Amount (Expected)","41 Source Type",$C$5,"5 Source No.",$C120,"4 Item Ledger Entry Type",$C$4,"2 Item No.","@@"&amp;$F120,"3 Posting Date",O$9)-NL("Sum","5802 Value Entry","43 Cost Amount (Actual)","41 Source Type",$C$5,"5 Source no.",$C120,"4 Item Ledger Entry Type",$C$4,"2 Item No.","@@"&amp;$F120,"3 Posting Date",O$9)</t>
  </si>
  <si>
    <t>=NL("Sum","5802 Value Entry","150 Sales Amount (Expected)","41 Source Type",$C$5,"5 Source No.",$C120,"4 Item Ledger Entry Type",$C$4,"2 Item No.","@@"&amp;$F120,"3 Posting Date",U$9)+NL("Sum","5802 Value Entry","17 Sales Amount (Actual)","41 Source Type",$C$5,"5 Source no.",$C120,"4 Item Ledger Entry Type",$C$4,"2 Item No.","@@"&amp;$F120,"3 Posting Date",U$9)</t>
  </si>
  <si>
    <t>=-NL("Sum","5802 Value Entry","151 Cost Amount (Expected)","41 Source Type",$C$5,"5 Source No.",$C120,"4 Item Ledger Entry Type",$C$4,"2 Item No.","@@"&amp;$F120,"3 Posting Date",U$9)-NL("Sum","5802 Value Entry","43 Cost Amount (Actual)","41 Source Type",$C$5,"5 Source no.",$C120,"4 Item Ledger Entry Type",$C$4,"2 Item No.","@@"&amp;$F120,"3 Posting Date",U$9)</t>
  </si>
  <si>
    <t>=NL("Sum","5802 Value Entry","150 Sales Amount (Expected)","41 Source Type",$C$5,"5 Source No.",$C120,"4 Item Ledger Entry Type",$C$4,"2 Item No.","@@"&amp;$F120,"3 Posting Date",Z$9)+NL("Sum","5802 Value Entry","17 Sales Amount (Actual)","41 Source Type",$C$5,"5 Source no.",$C120,"4 Item Ledger Entry Type",$C$4,"2 Item No.","@@"&amp;$F120,"3 Posting Date",Z$9)</t>
  </si>
  <si>
    <t>=-NL("Sum","5802 Value Entry","151 Cost Amount (Expected)","41 Source Type",$C$5,"5 Source No.",$C120,"4 Item Ledger Entry Type",$C$4,"2 Item No.","@@"&amp;$F120,"3 Posting Date",Z$9)-NL("Sum","5802 Value Entry","43 Cost Amount (Actual)","41 Source Type",$C$5,"5 Source no.",$C120,"4 Item Ledger Entry Type",$C$4,"2 Item No.","@@"&amp;$F120,"3 Posting Date",Z$9)</t>
  </si>
  <si>
    <t>=C120</t>
  </si>
  <si>
    <t>=NL("Sum","5802 Value Entry","150 Sales Amount (Expected)","41 Source Type",$C$5,"5 Source No.",$C121,"4 Item Ledger Entry Type",$C$4,"2 Item No.","@@"&amp;$F121,"3 Posting Date",J$9)+NL("Sum","5802 Value Entry","17 Sales Amount (Actual)","41 Source Type",$C$5,"5 Source no.",$C121,"4 Item Ledger Entry Type",$C$4,"2 Item No.","@@"&amp;$F121,"3 Posting Date",J$9)</t>
  </si>
  <si>
    <t>=-NL("Sum","5802 Value Entry","151 Cost Amount (Expected)","41 Source Type",$C$5,"5 Source No.",$C121,"4 Item Ledger Entry Type",$C$4,"2 Item No.","@@"&amp;$F121,"3 Posting Date",J$9)-NL("Sum","5802 Value Entry","43 Cost Amount (Actual)","41 Source Type",$C$5,"5 Source no.",$C121,"4 Item Ledger Entry Type",$C$4,"2 Item No.","@@"&amp;$F121,"3 Posting Date",J$9)</t>
  </si>
  <si>
    <t>=J121-L121</t>
  </si>
  <si>
    <t>=IF(J121&lt;&gt;0,M121/J121,"")</t>
  </si>
  <si>
    <t>=NL("Sum","5802 Value Entry","150 Sales Amount (Expected)","41 Source Type",$C$5,"5 Source No.",$C121,"4 Item Ledger Entry Type",$C$4,"2 Item No.","@@"&amp;$F121,"3 Posting Date",O$9)+NL("Sum","5802 Value Entry","17 Sales Amount (Actual)","41 Source Type",$C$5,"5 Source no.",$C121,"4 Item Ledger Entry Type",$C$4,"2 Item No.","@@"&amp;$F121,"3 Posting Date",O$9)</t>
  </si>
  <si>
    <t>=-NL("Sum","5802 Value Entry","151 Cost Amount (Expected)","41 Source Type",$C$5,"5 Source No.",$C121,"4 Item Ledger Entry Type",$C$4,"2 Item No.","@@"&amp;$F121,"3 Posting Date",O$9)-NL("Sum","5802 Value Entry","43 Cost Amount (Actual)","41 Source Type",$C$5,"5 Source no.",$C121,"4 Item Ledger Entry Type",$C$4,"2 Item No.","@@"&amp;$F121,"3 Posting Date",O$9)</t>
  </si>
  <si>
    <t>=O121-Q121</t>
  </si>
  <si>
    <t>=IF(O121&lt;&gt;0,R121/O121,"")</t>
  </si>
  <si>
    <t>=NL("Sum","5802 Value Entry","150 Sales Amount (Expected)","41 Source Type",$C$5,"5 Source No.",$C121,"4 Item Ledger Entry Type",$C$4,"2 Item No.","@@"&amp;$F121,"3 Posting Date",U$9)+NL("Sum","5802 Value Entry","17 Sales Amount (Actual)","41 Source Type",$C$5,"5 Source no.",$C121,"4 Item Ledger Entry Type",$C$4,"2 Item No.","@@"&amp;$F121,"3 Posting Date",U$9)</t>
  </si>
  <si>
    <t>=-NL("Sum","5802 Value Entry","151 Cost Amount (Expected)","41 Source Type",$C$5,"5 Source No.",$C121,"4 Item Ledger Entry Type",$C$4,"2 Item No.","@@"&amp;$F121,"3 Posting Date",U$9)-NL("Sum","5802 Value Entry","43 Cost Amount (Actual)","41 Source Type",$C$5,"5 Source no.",$C121,"4 Item Ledger Entry Type",$C$4,"2 Item No.","@@"&amp;$F121,"3 Posting Date",U$9)</t>
  </si>
  <si>
    <t>=U121-W121</t>
  </si>
  <si>
    <t>=IF(U121&lt;&gt;0,X121/U121,"")</t>
  </si>
  <si>
    <t>=NL("Sum","5802 Value Entry","150 Sales Amount (Expected)","41 Source Type",$C$5,"5 Source No.",$C121,"4 Item Ledger Entry Type",$C$4,"2 Item No.","@@"&amp;$F121,"3 Posting Date",Z$9)+NL("Sum","5802 Value Entry","17 Sales Amount (Actual)","41 Source Type",$C$5,"5 Source no.",$C121,"4 Item Ledger Entry Type",$C$4,"2 Item No.","@@"&amp;$F121,"3 Posting Date",Z$9)</t>
  </si>
  <si>
    <t>=-NL("Sum","5802 Value Entry","151 Cost Amount (Expected)","41 Source Type",$C$5,"5 Source No.",$C121,"4 Item Ledger Entry Type",$C$4,"2 Item No.","@@"&amp;$F121,"3 Posting Date",Z$9)-NL("Sum","5802 Value Entry","43 Cost Amount (Actual)","41 Source Type",$C$5,"5 Source no.",$C121,"4 Item Ledger Entry Type",$C$4,"2 Item No.","@@"&amp;$F121,"3 Posting Date",Z$9)</t>
  </si>
  <si>
    <t>=Z121-AB121</t>
  </si>
  <si>
    <t>=IF(Z121&lt;&gt;0,AC121/Z121,"")</t>
  </si>
  <si>
    <t>=C121</t>
  </si>
  <si>
    <t>=NL("Sum","5802 Value Entry","150 Sales Amount (Expected)","41 Source Type",$C$5,"5 Source No.",$C122,"4 Item Ledger Entry Type",$C$4,"2 Item No.","@@"&amp;$F122,"3 Posting Date",J$9)+NL("Sum","5802 Value Entry","17 Sales Amount (Actual)","41 Source Type",$C$5,"5 Source no.",$C122,"4 Item Ledger Entry Type",$C$4,"2 Item No.","@@"&amp;$F122,"3 Posting Date",J$9)</t>
  </si>
  <si>
    <t>=-NL("Sum","5802 Value Entry","151 Cost Amount (Expected)","41 Source Type",$C$5,"5 Source No.",$C122,"4 Item Ledger Entry Type",$C$4,"2 Item No.","@@"&amp;$F122,"3 Posting Date",J$9)-NL("Sum","5802 Value Entry","43 Cost Amount (Actual)","41 Source Type",$C$5,"5 Source no.",$C122,"4 Item Ledger Entry Type",$C$4,"2 Item No.","@@"&amp;$F122,"3 Posting Date",J$9)</t>
  </si>
  <si>
    <t>=J122-L122</t>
  </si>
  <si>
    <t>=IF(J122&lt;&gt;0,M122/J122,"")</t>
  </si>
  <si>
    <t>=NL("Sum","5802 Value Entry","150 Sales Amount (Expected)","41 Source Type",$C$5,"5 Source No.",$C122,"4 Item Ledger Entry Type",$C$4,"2 Item No.","@@"&amp;$F122,"3 Posting Date",O$9)+NL("Sum","5802 Value Entry","17 Sales Amount (Actual)","41 Source Type",$C$5,"5 Source no.",$C122,"4 Item Ledger Entry Type",$C$4,"2 Item No.","@@"&amp;$F122,"3 Posting Date",O$9)</t>
  </si>
  <si>
    <t>=-NL("Sum","5802 Value Entry","151 Cost Amount (Expected)","41 Source Type",$C$5,"5 Source No.",$C122,"4 Item Ledger Entry Type",$C$4,"2 Item No.","@@"&amp;$F122,"3 Posting Date",O$9)-NL("Sum","5802 Value Entry","43 Cost Amount (Actual)","41 Source Type",$C$5,"5 Source no.",$C122,"4 Item Ledger Entry Type",$C$4,"2 Item No.","@@"&amp;$F122,"3 Posting Date",O$9)</t>
  </si>
  <si>
    <t>=O122-Q122</t>
  </si>
  <si>
    <t>=IF(O122&lt;&gt;0,R122/O122,"")</t>
  </si>
  <si>
    <t>=NL("Sum","5802 Value Entry","150 Sales Amount (Expected)","41 Source Type",$C$5,"5 Source No.",$C122,"4 Item Ledger Entry Type",$C$4,"2 Item No.","@@"&amp;$F122,"3 Posting Date",U$9)+NL("Sum","5802 Value Entry","17 Sales Amount (Actual)","41 Source Type",$C$5,"5 Source no.",$C122,"4 Item Ledger Entry Type",$C$4,"2 Item No.","@@"&amp;$F122,"3 Posting Date",U$9)</t>
  </si>
  <si>
    <t>=-NL("Sum","5802 Value Entry","151 Cost Amount (Expected)","41 Source Type",$C$5,"5 Source No.",$C122,"4 Item Ledger Entry Type",$C$4,"2 Item No.","@@"&amp;$F122,"3 Posting Date",U$9)-NL("Sum","5802 Value Entry","43 Cost Amount (Actual)","41 Source Type",$C$5,"5 Source no.",$C122,"4 Item Ledger Entry Type",$C$4,"2 Item No.","@@"&amp;$F122,"3 Posting Date",U$9)</t>
  </si>
  <si>
    <t>=U122-W122</t>
  </si>
  <si>
    <t>=IF(U122&lt;&gt;0,X122/U122,"")</t>
  </si>
  <si>
    <t>=NL("Sum","5802 Value Entry","150 Sales Amount (Expected)","41 Source Type",$C$5,"5 Source No.",$C122,"4 Item Ledger Entry Type",$C$4,"2 Item No.","@@"&amp;$F122,"3 Posting Date",Z$9)+NL("Sum","5802 Value Entry","17 Sales Amount (Actual)","41 Source Type",$C$5,"5 Source no.",$C122,"4 Item Ledger Entry Type",$C$4,"2 Item No.","@@"&amp;$F122,"3 Posting Date",Z$9)</t>
  </si>
  <si>
    <t>=-NL("Sum","5802 Value Entry","151 Cost Amount (Expected)","41 Source Type",$C$5,"5 Source No.",$C122,"4 Item Ledger Entry Type",$C$4,"2 Item No.","@@"&amp;$F122,"3 Posting Date",Z$9)-NL("Sum","5802 Value Entry","43 Cost Amount (Actual)","41 Source Type",$C$5,"5 Source no.",$C122,"4 Item Ledger Entry Type",$C$4,"2 Item No.","@@"&amp;$F122,"3 Posting Date",Z$9)</t>
  </si>
  <si>
    <t>=Z122-AB122</t>
  </si>
  <si>
    <t>=IF(Z122&lt;&gt;0,AC122/Z122,"")</t>
  </si>
  <si>
    <t>=NL("Sum","5802 Value Entry","150 Sales Amount (Expected)","41 Source Type",$C$5,"5 Source No.",$C123,"4 Item Ledger Entry Type",$C$4,"2 Item No.","@@"&amp;$F123,"3 Posting Date",J$9)+NL("Sum","5802 Value Entry","17 Sales Amount (Actual)","41 Source Type",$C$5,"5 Source no.",$C123,"4 Item Ledger Entry Type",$C$4,"2 Item No.","@@"&amp;$F123,"3 Posting Date",J$9)</t>
  </si>
  <si>
    <t>=-NL("Sum","5802 Value Entry","151 Cost Amount (Expected)","41 Source Type",$C$5,"5 Source No.",$C123,"4 Item Ledger Entry Type",$C$4,"2 Item No.","@@"&amp;$F123,"3 Posting Date",J$9)-NL("Sum","5802 Value Entry","43 Cost Amount (Actual)","41 Source Type",$C$5,"5 Source no.",$C123,"4 Item Ledger Entry Type",$C$4,"2 Item No.","@@"&amp;$F123,"3 Posting Date",J$9)</t>
  </si>
  <si>
    <t>=J123-L123</t>
  </si>
  <si>
    <t>=IF(J123&lt;&gt;0,M123/J123,"")</t>
  </si>
  <si>
    <t>=NL("Sum","5802 Value Entry","150 Sales Amount (Expected)","41 Source Type",$C$5,"5 Source No.",$C123,"4 Item Ledger Entry Type",$C$4,"2 Item No.","@@"&amp;$F123,"3 Posting Date",O$9)+NL("Sum","5802 Value Entry","17 Sales Amount (Actual)","41 Source Type",$C$5,"5 Source no.",$C123,"4 Item Ledger Entry Type",$C$4,"2 Item No.","@@"&amp;$F123,"3 Posting Date",O$9)</t>
  </si>
  <si>
    <t>=-NL("Sum","5802 Value Entry","151 Cost Amount (Expected)","41 Source Type",$C$5,"5 Source No.",$C123,"4 Item Ledger Entry Type",$C$4,"2 Item No.","@@"&amp;$F123,"3 Posting Date",O$9)-NL("Sum","5802 Value Entry","43 Cost Amount (Actual)","41 Source Type",$C$5,"5 Source no.",$C123,"4 Item Ledger Entry Type",$C$4,"2 Item No.","@@"&amp;$F123,"3 Posting Date",O$9)</t>
  </si>
  <si>
    <t>=O123-Q123</t>
  </si>
  <si>
    <t>=IF(O123&lt;&gt;0,R123/O123,"")</t>
  </si>
  <si>
    <t>=NL("Sum","5802 Value Entry","150 Sales Amount (Expected)","41 Source Type",$C$5,"5 Source No.",$C123,"4 Item Ledger Entry Type",$C$4,"2 Item No.","@@"&amp;$F123,"3 Posting Date",U$9)+NL("Sum","5802 Value Entry","17 Sales Amount (Actual)","41 Source Type",$C$5,"5 Source no.",$C123,"4 Item Ledger Entry Type",$C$4,"2 Item No.","@@"&amp;$F123,"3 Posting Date",U$9)</t>
  </si>
  <si>
    <t>=-NL("Sum","5802 Value Entry","151 Cost Amount (Expected)","41 Source Type",$C$5,"5 Source No.",$C123,"4 Item Ledger Entry Type",$C$4,"2 Item No.","@@"&amp;$F123,"3 Posting Date",U$9)-NL("Sum","5802 Value Entry","43 Cost Amount (Actual)","41 Source Type",$C$5,"5 Source no.",$C123,"4 Item Ledger Entry Type",$C$4,"2 Item No.","@@"&amp;$F123,"3 Posting Date",U$9)</t>
  </si>
  <si>
    <t>=U123-W123</t>
  </si>
  <si>
    <t>=IF(U123&lt;&gt;0,X123/U123,"")</t>
  </si>
  <si>
    <t>=NL("Sum","5802 Value Entry","150 Sales Amount (Expected)","41 Source Type",$C$5,"5 Source No.",$C123,"4 Item Ledger Entry Type",$C$4,"2 Item No.","@@"&amp;$F123,"3 Posting Date",Z$9)+NL("Sum","5802 Value Entry","17 Sales Amount (Actual)","41 Source Type",$C$5,"5 Source no.",$C123,"4 Item Ledger Entry Type",$C$4,"2 Item No.","@@"&amp;$F123,"3 Posting Date",Z$9)</t>
  </si>
  <si>
    <t>=-NL("Sum","5802 Value Entry","151 Cost Amount (Expected)","41 Source Type",$C$5,"5 Source No.",$C123,"4 Item Ledger Entry Type",$C$4,"2 Item No.","@@"&amp;$F123,"3 Posting Date",Z$9)-NL("Sum","5802 Value Entry","43 Cost Amount (Actual)","41 Source Type",$C$5,"5 Source no.",$C123,"4 Item Ledger Entry Type",$C$4,"2 Item No.","@@"&amp;$F123,"3 Posting Date",Z$9)</t>
  </si>
  <si>
    <t>=Z123-AB123</t>
  </si>
  <si>
    <t>=IF(Z123&lt;&gt;0,AC123/Z123,"")</t>
  </si>
  <si>
    <t>=NL("Sum","5802 Value Entry","150 Sales Amount (Expected)","41 Source Type",$C$5,"5 Source No.",$C124,"4 Item Ledger Entry Type",$C$4,"2 Item No.","@@"&amp;$F124,"3 Posting Date",J$9)+NL("Sum","5802 Value Entry","17 Sales Amount (Actual)","41 Source Type",$C$5,"5 Source no.",$C124,"4 Item Ledger Entry Type",$C$4,"2 Item No.","@@"&amp;$F124,"3 Posting Date",J$9)</t>
  </si>
  <si>
    <t>=-NL("Sum","5802 Value Entry","151 Cost Amount (Expected)","41 Source Type",$C$5,"5 Source No.",$C124,"4 Item Ledger Entry Type",$C$4,"2 Item No.","@@"&amp;$F124,"3 Posting Date",J$9)-NL("Sum","5802 Value Entry","43 Cost Amount (Actual)","41 Source Type",$C$5,"5 Source no.",$C124,"4 Item Ledger Entry Type",$C$4,"2 Item No.","@@"&amp;$F124,"3 Posting Date",J$9)</t>
  </si>
  <si>
    <t>=NL("Sum","5802 Value Entry","150 Sales Amount (Expected)","41 Source Type",$C$5,"5 Source No.",$C124,"4 Item Ledger Entry Type",$C$4,"2 Item No.","@@"&amp;$F124,"3 Posting Date",O$9)+NL("Sum","5802 Value Entry","17 Sales Amount (Actual)","41 Source Type",$C$5,"5 Source no.",$C124,"4 Item Ledger Entry Type",$C$4,"2 Item No.","@@"&amp;$F124,"3 Posting Date",O$9)</t>
  </si>
  <si>
    <t>=-NL("Sum","5802 Value Entry","151 Cost Amount (Expected)","41 Source Type",$C$5,"5 Source No.",$C124,"4 Item Ledger Entry Type",$C$4,"2 Item No.","@@"&amp;$F124,"3 Posting Date",O$9)-NL("Sum","5802 Value Entry","43 Cost Amount (Actual)","41 Source Type",$C$5,"5 Source no.",$C124,"4 Item Ledger Entry Type",$C$4,"2 Item No.","@@"&amp;$F124,"3 Posting Date",O$9)</t>
  </si>
  <si>
    <t>=NL("Sum","5802 Value Entry","150 Sales Amount (Expected)","41 Source Type",$C$5,"5 Source No.",$C124,"4 Item Ledger Entry Type",$C$4,"2 Item No.","@@"&amp;$F124,"3 Posting Date",U$9)+NL("Sum","5802 Value Entry","17 Sales Amount (Actual)","41 Source Type",$C$5,"5 Source no.",$C124,"4 Item Ledger Entry Type",$C$4,"2 Item No.","@@"&amp;$F124,"3 Posting Date",U$9)</t>
  </si>
  <si>
    <t>=-NL("Sum","5802 Value Entry","151 Cost Amount (Expected)","41 Source Type",$C$5,"5 Source No.",$C124,"4 Item Ledger Entry Type",$C$4,"2 Item No.","@@"&amp;$F124,"3 Posting Date",U$9)-NL("Sum","5802 Value Entry","43 Cost Amount (Actual)","41 Source Type",$C$5,"5 Source no.",$C124,"4 Item Ledger Entry Type",$C$4,"2 Item No.","@@"&amp;$F124,"3 Posting Date",U$9)</t>
  </si>
  <si>
    <t>=NL("Sum","5802 Value Entry","150 Sales Amount (Expected)","41 Source Type",$C$5,"5 Source No.",$C124,"4 Item Ledger Entry Type",$C$4,"2 Item No.","@@"&amp;$F124,"3 Posting Date",Z$9)+NL("Sum","5802 Value Entry","17 Sales Amount (Actual)","41 Source Type",$C$5,"5 Source no.",$C124,"4 Item Ledger Entry Type",$C$4,"2 Item No.","@@"&amp;$F124,"3 Posting Date",Z$9)</t>
  </si>
  <si>
    <t>=-NL("Sum","5802 Value Entry","151 Cost Amount (Expected)","41 Source Type",$C$5,"5 Source No.",$C124,"4 Item Ledger Entry Type",$C$4,"2 Item No.","@@"&amp;$F124,"3 Posting Date",Z$9)-NL("Sum","5802 Value Entry","43 Cost Amount (Actual)","41 Source Type",$C$5,"5 Source no.",$C124,"4 Item Ledger Entry Type",$C$4,"2 Item No.","@@"&amp;$F124,"3 Posting Date",Z$9)</t>
  </si>
  <si>
    <t>=NL("Sum","5802 Value Entry","150 Sales Amount (Expected)","41 Source Type",$C$5,"5 Source No.",$C125,"4 Item Ledger Entry Type",$C$4,"2 Item No.","@@"&amp;$F125,"3 Posting Date",J$9)+NL("Sum","5802 Value Entry","17 Sales Amount (Actual)","41 Source Type",$C$5,"5 Source no.",$C125,"4 Item Ledger Entry Type",$C$4,"2 Item No.","@@"&amp;$F125,"3 Posting Date",J$9)</t>
  </si>
  <si>
    <t>=-NL("Sum","5802 Value Entry","151 Cost Amount (Expected)","41 Source Type",$C$5,"5 Source No.",$C125,"4 Item Ledger Entry Type",$C$4,"2 Item No.","@@"&amp;$F125,"3 Posting Date",J$9)-NL("Sum","5802 Value Entry","43 Cost Amount (Actual)","41 Source Type",$C$5,"5 Source no.",$C125,"4 Item Ledger Entry Type",$C$4,"2 Item No.","@@"&amp;$F125,"3 Posting Date",J$9)</t>
  </si>
  <si>
    <t>=J125-L125</t>
  </si>
  <si>
    <t>=IF(J125&lt;&gt;0,M125/J125,"")</t>
  </si>
  <si>
    <t>=NL("Sum","5802 Value Entry","150 Sales Amount (Expected)","41 Source Type",$C$5,"5 Source No.",$C125,"4 Item Ledger Entry Type",$C$4,"2 Item No.","@@"&amp;$F125,"3 Posting Date",O$9)+NL("Sum","5802 Value Entry","17 Sales Amount (Actual)","41 Source Type",$C$5,"5 Source no.",$C125,"4 Item Ledger Entry Type",$C$4,"2 Item No.","@@"&amp;$F125,"3 Posting Date",O$9)</t>
  </si>
  <si>
    <t>=-NL("Sum","5802 Value Entry","151 Cost Amount (Expected)","41 Source Type",$C$5,"5 Source No.",$C125,"4 Item Ledger Entry Type",$C$4,"2 Item No.","@@"&amp;$F125,"3 Posting Date",O$9)-NL("Sum","5802 Value Entry","43 Cost Amount (Actual)","41 Source Type",$C$5,"5 Source no.",$C125,"4 Item Ledger Entry Type",$C$4,"2 Item No.","@@"&amp;$F125,"3 Posting Date",O$9)</t>
  </si>
  <si>
    <t>=O125-Q125</t>
  </si>
  <si>
    <t>=IF(O125&lt;&gt;0,R125/O125,"")</t>
  </si>
  <si>
    <t>=NL("Sum","5802 Value Entry","150 Sales Amount (Expected)","41 Source Type",$C$5,"5 Source No.",$C125,"4 Item Ledger Entry Type",$C$4,"2 Item No.","@@"&amp;$F125,"3 Posting Date",U$9)+NL("Sum","5802 Value Entry","17 Sales Amount (Actual)","41 Source Type",$C$5,"5 Source no.",$C125,"4 Item Ledger Entry Type",$C$4,"2 Item No.","@@"&amp;$F125,"3 Posting Date",U$9)</t>
  </si>
  <si>
    <t>=-NL("Sum","5802 Value Entry","151 Cost Amount (Expected)","41 Source Type",$C$5,"5 Source No.",$C125,"4 Item Ledger Entry Type",$C$4,"2 Item No.","@@"&amp;$F125,"3 Posting Date",U$9)-NL("Sum","5802 Value Entry","43 Cost Amount (Actual)","41 Source Type",$C$5,"5 Source no.",$C125,"4 Item Ledger Entry Type",$C$4,"2 Item No.","@@"&amp;$F125,"3 Posting Date",U$9)</t>
  </si>
  <si>
    <t>=U125-W125</t>
  </si>
  <si>
    <t>=IF(U125&lt;&gt;0,X125/U125,"")</t>
  </si>
  <si>
    <t>=NL("Sum","5802 Value Entry","150 Sales Amount (Expected)","41 Source Type",$C$5,"5 Source No.",$C125,"4 Item Ledger Entry Type",$C$4,"2 Item No.","@@"&amp;$F125,"3 Posting Date",Z$9)+NL("Sum","5802 Value Entry","17 Sales Amount (Actual)","41 Source Type",$C$5,"5 Source no.",$C125,"4 Item Ledger Entry Type",$C$4,"2 Item No.","@@"&amp;$F125,"3 Posting Date",Z$9)</t>
  </si>
  <si>
    <t>=-NL("Sum","5802 Value Entry","151 Cost Amount (Expected)","41 Source Type",$C$5,"5 Source No.",$C125,"4 Item Ledger Entry Type",$C$4,"2 Item No.","@@"&amp;$F125,"3 Posting Date",Z$9)-NL("Sum","5802 Value Entry","43 Cost Amount (Actual)","41 Source Type",$C$5,"5 Source no.",$C125,"4 Item Ledger Entry Type",$C$4,"2 Item No.","@@"&amp;$F125,"3 Posting Date",Z$9)</t>
  </si>
  <si>
    <t>=Z125-AB125</t>
  </si>
  <si>
    <t>=IF(Z125&lt;&gt;0,AC125/Z125,"")</t>
  </si>
  <si>
    <t>=NL("Sum","5802 Value Entry","150 Sales Amount (Expected)","41 Source Type",$C$5,"5 Source No.",$C126,"4 Item Ledger Entry Type",$C$4,"2 Item No.","@@"&amp;$F126,"3 Posting Date",J$9)+NL("Sum","5802 Value Entry","17 Sales Amount (Actual)","41 Source Type",$C$5,"5 Source no.",$C126,"4 Item Ledger Entry Type",$C$4,"2 Item No.","@@"&amp;$F126,"3 Posting Date",J$9)</t>
  </si>
  <si>
    <t>=-NL("Sum","5802 Value Entry","151 Cost Amount (Expected)","41 Source Type",$C$5,"5 Source No.",$C126,"4 Item Ledger Entry Type",$C$4,"2 Item No.","@@"&amp;$F126,"3 Posting Date",J$9)-NL("Sum","5802 Value Entry","43 Cost Amount (Actual)","41 Source Type",$C$5,"5 Source no.",$C126,"4 Item Ledger Entry Type",$C$4,"2 Item No.","@@"&amp;$F126,"3 Posting Date",J$9)</t>
  </si>
  <si>
    <t>=NL("Sum","5802 Value Entry","150 Sales Amount (Expected)","41 Source Type",$C$5,"5 Source No.",$C126,"4 Item Ledger Entry Type",$C$4,"2 Item No.","@@"&amp;$F126,"3 Posting Date",O$9)+NL("Sum","5802 Value Entry","17 Sales Amount (Actual)","41 Source Type",$C$5,"5 Source no.",$C126,"4 Item Ledger Entry Type",$C$4,"2 Item No.","@@"&amp;$F126,"3 Posting Date",O$9)</t>
  </si>
  <si>
    <t>=-NL("Sum","5802 Value Entry","151 Cost Amount (Expected)","41 Source Type",$C$5,"5 Source No.",$C126,"4 Item Ledger Entry Type",$C$4,"2 Item No.","@@"&amp;$F126,"3 Posting Date",O$9)-NL("Sum","5802 Value Entry","43 Cost Amount (Actual)","41 Source Type",$C$5,"5 Source no.",$C126,"4 Item Ledger Entry Type",$C$4,"2 Item No.","@@"&amp;$F126,"3 Posting Date",O$9)</t>
  </si>
  <si>
    <t>=NL("Sum","5802 Value Entry","150 Sales Amount (Expected)","41 Source Type",$C$5,"5 Source No.",$C126,"4 Item Ledger Entry Type",$C$4,"2 Item No.","@@"&amp;$F126,"3 Posting Date",U$9)+NL("Sum","5802 Value Entry","17 Sales Amount (Actual)","41 Source Type",$C$5,"5 Source no.",$C126,"4 Item Ledger Entry Type",$C$4,"2 Item No.","@@"&amp;$F126,"3 Posting Date",U$9)</t>
  </si>
  <si>
    <t>=-NL("Sum","5802 Value Entry","151 Cost Amount (Expected)","41 Source Type",$C$5,"5 Source No.",$C126,"4 Item Ledger Entry Type",$C$4,"2 Item No.","@@"&amp;$F126,"3 Posting Date",U$9)-NL("Sum","5802 Value Entry","43 Cost Amount (Actual)","41 Source Type",$C$5,"5 Source no.",$C126,"4 Item Ledger Entry Type",$C$4,"2 Item No.","@@"&amp;$F126,"3 Posting Date",U$9)</t>
  </si>
  <si>
    <t>=NL("Sum","5802 Value Entry","150 Sales Amount (Expected)","41 Source Type",$C$5,"5 Source No.",$C126,"4 Item Ledger Entry Type",$C$4,"2 Item No.","@@"&amp;$F126,"3 Posting Date",Z$9)+NL("Sum","5802 Value Entry","17 Sales Amount (Actual)","41 Source Type",$C$5,"5 Source no.",$C126,"4 Item Ledger Entry Type",$C$4,"2 Item No.","@@"&amp;$F126,"3 Posting Date",Z$9)</t>
  </si>
  <si>
    <t>=-NL("Sum","5802 Value Entry","151 Cost Amount (Expected)","41 Source Type",$C$5,"5 Source No.",$C126,"4 Item Ledger Entry Type",$C$4,"2 Item No.","@@"&amp;$F126,"3 Posting Date",Z$9)-NL("Sum","5802 Value Entry","43 Cost Amount (Actual)","41 Source Type",$C$5,"5 Source no.",$C126,"4 Item Ledger Entry Type",$C$4,"2 Item No.","@@"&amp;$F126,"3 Posting Date",Z$9)</t>
  </si>
  <si>
    <t>=C126</t>
  </si>
  <si>
    <t>=NL("Sum","5802 Value Entry","150 Sales Amount (Expected)","41 Source Type",$C$5,"5 Source No.",$C127,"4 Item Ledger Entry Type",$C$4,"2 Item No.","@@"&amp;$F127,"3 Posting Date",J$9)+NL("Sum","5802 Value Entry","17 Sales Amount (Actual)","41 Source Type",$C$5,"5 Source no.",$C127,"4 Item Ledger Entry Type",$C$4,"2 Item No.","@@"&amp;$F127,"3 Posting Date",J$9)</t>
  </si>
  <si>
    <t>=-NL("Sum","5802 Value Entry","151 Cost Amount (Expected)","41 Source Type",$C$5,"5 Source No.",$C127,"4 Item Ledger Entry Type",$C$4,"2 Item No.","@@"&amp;$F127,"3 Posting Date",J$9)-NL("Sum","5802 Value Entry","43 Cost Amount (Actual)","41 Source Type",$C$5,"5 Source no.",$C127,"4 Item Ledger Entry Type",$C$4,"2 Item No.","@@"&amp;$F127,"3 Posting Date",J$9)</t>
  </si>
  <si>
    <t>=J127-L127</t>
  </si>
  <si>
    <t>=IF(J127&lt;&gt;0,M127/J127,"")</t>
  </si>
  <si>
    <t>=NL("Sum","5802 Value Entry","150 Sales Amount (Expected)","41 Source Type",$C$5,"5 Source No.",$C127,"4 Item Ledger Entry Type",$C$4,"2 Item No.","@@"&amp;$F127,"3 Posting Date",O$9)+NL("Sum","5802 Value Entry","17 Sales Amount (Actual)","41 Source Type",$C$5,"5 Source no.",$C127,"4 Item Ledger Entry Type",$C$4,"2 Item No.","@@"&amp;$F127,"3 Posting Date",O$9)</t>
  </si>
  <si>
    <t>=-NL("Sum","5802 Value Entry","151 Cost Amount (Expected)","41 Source Type",$C$5,"5 Source No.",$C127,"4 Item Ledger Entry Type",$C$4,"2 Item No.","@@"&amp;$F127,"3 Posting Date",O$9)-NL("Sum","5802 Value Entry","43 Cost Amount (Actual)","41 Source Type",$C$5,"5 Source no.",$C127,"4 Item Ledger Entry Type",$C$4,"2 Item No.","@@"&amp;$F127,"3 Posting Date",O$9)</t>
  </si>
  <si>
    <t>=O127-Q127</t>
  </si>
  <si>
    <t>=IF(O127&lt;&gt;0,R127/O127,"")</t>
  </si>
  <si>
    <t>=NL("Sum","5802 Value Entry","150 Sales Amount (Expected)","41 Source Type",$C$5,"5 Source No.",$C127,"4 Item Ledger Entry Type",$C$4,"2 Item No.","@@"&amp;$F127,"3 Posting Date",U$9)+NL("Sum","5802 Value Entry","17 Sales Amount (Actual)","41 Source Type",$C$5,"5 Source no.",$C127,"4 Item Ledger Entry Type",$C$4,"2 Item No.","@@"&amp;$F127,"3 Posting Date",U$9)</t>
  </si>
  <si>
    <t>=-NL("Sum","5802 Value Entry","151 Cost Amount (Expected)","41 Source Type",$C$5,"5 Source No.",$C127,"4 Item Ledger Entry Type",$C$4,"2 Item No.","@@"&amp;$F127,"3 Posting Date",U$9)-NL("Sum","5802 Value Entry","43 Cost Amount (Actual)","41 Source Type",$C$5,"5 Source no.",$C127,"4 Item Ledger Entry Type",$C$4,"2 Item No.","@@"&amp;$F127,"3 Posting Date",U$9)</t>
  </si>
  <si>
    <t>=U127-W127</t>
  </si>
  <si>
    <t>=IF(U127&lt;&gt;0,X127/U127,"")</t>
  </si>
  <si>
    <t>=NL("Sum","5802 Value Entry","150 Sales Amount (Expected)","41 Source Type",$C$5,"5 Source No.",$C127,"4 Item Ledger Entry Type",$C$4,"2 Item No.","@@"&amp;$F127,"3 Posting Date",Z$9)+NL("Sum","5802 Value Entry","17 Sales Amount (Actual)","41 Source Type",$C$5,"5 Source no.",$C127,"4 Item Ledger Entry Type",$C$4,"2 Item No.","@@"&amp;$F127,"3 Posting Date",Z$9)</t>
  </si>
  <si>
    <t>=-NL("Sum","5802 Value Entry","151 Cost Amount (Expected)","41 Source Type",$C$5,"5 Source No.",$C127,"4 Item Ledger Entry Type",$C$4,"2 Item No.","@@"&amp;$F127,"3 Posting Date",Z$9)-NL("Sum","5802 Value Entry","43 Cost Amount (Actual)","41 Source Type",$C$5,"5 Source no.",$C127,"4 Item Ledger Entry Type",$C$4,"2 Item No.","@@"&amp;$F127,"3 Posting Date",Z$9)</t>
  </si>
  <si>
    <t>=Z127-AB127</t>
  </si>
  <si>
    <t>=IF(Z127&lt;&gt;0,AC127/Z127,"")</t>
  </si>
  <si>
    <t>=C127</t>
  </si>
  <si>
    <t>=NL("Sum","5802 Value Entry","150 Sales Amount (Expected)","41 Source Type",$C$5,"5 Source No.",$C128,"4 Item Ledger Entry Type",$C$4,"2 Item No.","@@"&amp;$F128,"3 Posting Date",J$9)+NL("Sum","5802 Value Entry","17 Sales Amount (Actual)","41 Source Type",$C$5,"5 Source no.",$C128,"4 Item Ledger Entry Type",$C$4,"2 Item No.","@@"&amp;$F128,"3 Posting Date",J$9)</t>
  </si>
  <si>
    <t>=-NL("Sum","5802 Value Entry","151 Cost Amount (Expected)","41 Source Type",$C$5,"5 Source No.",$C128,"4 Item Ledger Entry Type",$C$4,"2 Item No.","@@"&amp;$F128,"3 Posting Date",J$9)-NL("Sum","5802 Value Entry","43 Cost Amount (Actual)","41 Source Type",$C$5,"5 Source no.",$C128,"4 Item Ledger Entry Type",$C$4,"2 Item No.","@@"&amp;$F128,"3 Posting Date",J$9)</t>
  </si>
  <si>
    <t>=J128-L128</t>
  </si>
  <si>
    <t>=IF(J128&lt;&gt;0,M128/J128,"")</t>
  </si>
  <si>
    <t>=NL("Sum","5802 Value Entry","150 Sales Amount (Expected)","41 Source Type",$C$5,"5 Source No.",$C128,"4 Item Ledger Entry Type",$C$4,"2 Item No.","@@"&amp;$F128,"3 Posting Date",O$9)+NL("Sum","5802 Value Entry","17 Sales Amount (Actual)","41 Source Type",$C$5,"5 Source no.",$C128,"4 Item Ledger Entry Type",$C$4,"2 Item No.","@@"&amp;$F128,"3 Posting Date",O$9)</t>
  </si>
  <si>
    <t>=-NL("Sum","5802 Value Entry","151 Cost Amount (Expected)","41 Source Type",$C$5,"5 Source No.",$C128,"4 Item Ledger Entry Type",$C$4,"2 Item No.","@@"&amp;$F128,"3 Posting Date",O$9)-NL("Sum","5802 Value Entry","43 Cost Amount (Actual)","41 Source Type",$C$5,"5 Source no.",$C128,"4 Item Ledger Entry Type",$C$4,"2 Item No.","@@"&amp;$F128,"3 Posting Date",O$9)</t>
  </si>
  <si>
    <t>=O128-Q128</t>
  </si>
  <si>
    <t>=IF(O128&lt;&gt;0,R128/O128,"")</t>
  </si>
  <si>
    <t>=NL("Sum","5802 Value Entry","150 Sales Amount (Expected)","41 Source Type",$C$5,"5 Source No.",$C128,"4 Item Ledger Entry Type",$C$4,"2 Item No.","@@"&amp;$F128,"3 Posting Date",U$9)+NL("Sum","5802 Value Entry","17 Sales Amount (Actual)","41 Source Type",$C$5,"5 Source no.",$C128,"4 Item Ledger Entry Type",$C$4,"2 Item No.","@@"&amp;$F128,"3 Posting Date",U$9)</t>
  </si>
  <si>
    <t>=-NL("Sum","5802 Value Entry","151 Cost Amount (Expected)","41 Source Type",$C$5,"5 Source No.",$C128,"4 Item Ledger Entry Type",$C$4,"2 Item No.","@@"&amp;$F128,"3 Posting Date",U$9)-NL("Sum","5802 Value Entry","43 Cost Amount (Actual)","41 Source Type",$C$5,"5 Source no.",$C128,"4 Item Ledger Entry Type",$C$4,"2 Item No.","@@"&amp;$F128,"3 Posting Date",U$9)</t>
  </si>
  <si>
    <t>=U128-W128</t>
  </si>
  <si>
    <t>=IF(U128&lt;&gt;0,X128/U128,"")</t>
  </si>
  <si>
    <t>=NL("Sum","5802 Value Entry","150 Sales Amount (Expected)","41 Source Type",$C$5,"5 Source No.",$C128,"4 Item Ledger Entry Type",$C$4,"2 Item No.","@@"&amp;$F128,"3 Posting Date",Z$9)+NL("Sum","5802 Value Entry","17 Sales Amount (Actual)","41 Source Type",$C$5,"5 Source no.",$C128,"4 Item Ledger Entry Type",$C$4,"2 Item No.","@@"&amp;$F128,"3 Posting Date",Z$9)</t>
  </si>
  <si>
    <t>=-NL("Sum","5802 Value Entry","151 Cost Amount (Expected)","41 Source Type",$C$5,"5 Source No.",$C128,"4 Item Ledger Entry Type",$C$4,"2 Item No.","@@"&amp;$F128,"3 Posting Date",Z$9)-NL("Sum","5802 Value Entry","43 Cost Amount (Actual)","41 Source Type",$C$5,"5 Source no.",$C128,"4 Item Ledger Entry Type",$C$4,"2 Item No.","@@"&amp;$F128,"3 Posting Date",Z$9)</t>
  </si>
  <si>
    <t>=Z128-AB128</t>
  </si>
  <si>
    <t>=IF(Z128&lt;&gt;0,AC128/Z128,"")</t>
  </si>
  <si>
    <t>=NL("Sum","5802 Value Entry","150 Sales Amount (Expected)","41 Source Type",$C$5,"5 Source No.",$C129,"4 Item Ledger Entry Type",$C$4,"2 Item No.","@@"&amp;$F129,"3 Posting Date",J$9)+NL("Sum","5802 Value Entry","17 Sales Amount (Actual)","41 Source Type",$C$5,"5 Source no.",$C129,"4 Item Ledger Entry Type",$C$4,"2 Item No.","@@"&amp;$F129,"3 Posting Date",J$9)</t>
  </si>
  <si>
    <t>=-NL("Sum","5802 Value Entry","151 Cost Amount (Expected)","41 Source Type",$C$5,"5 Source No.",$C129,"4 Item Ledger Entry Type",$C$4,"2 Item No.","@@"&amp;$F129,"3 Posting Date",J$9)-NL("Sum","5802 Value Entry","43 Cost Amount (Actual)","41 Source Type",$C$5,"5 Source no.",$C129,"4 Item Ledger Entry Type",$C$4,"2 Item No.","@@"&amp;$F129,"3 Posting Date",J$9)</t>
  </si>
  <si>
    <t>=J129-L129</t>
  </si>
  <si>
    <t>=IF(J129&lt;&gt;0,M129/J129,"")</t>
  </si>
  <si>
    <t>=NL("Sum","5802 Value Entry","150 Sales Amount (Expected)","41 Source Type",$C$5,"5 Source No.",$C129,"4 Item Ledger Entry Type",$C$4,"2 Item No.","@@"&amp;$F129,"3 Posting Date",O$9)+NL("Sum","5802 Value Entry","17 Sales Amount (Actual)","41 Source Type",$C$5,"5 Source no.",$C129,"4 Item Ledger Entry Type",$C$4,"2 Item No.","@@"&amp;$F129,"3 Posting Date",O$9)</t>
  </si>
  <si>
    <t>=-NL("Sum","5802 Value Entry","151 Cost Amount (Expected)","41 Source Type",$C$5,"5 Source No.",$C129,"4 Item Ledger Entry Type",$C$4,"2 Item No.","@@"&amp;$F129,"3 Posting Date",O$9)-NL("Sum","5802 Value Entry","43 Cost Amount (Actual)","41 Source Type",$C$5,"5 Source no.",$C129,"4 Item Ledger Entry Type",$C$4,"2 Item No.","@@"&amp;$F129,"3 Posting Date",O$9)</t>
  </si>
  <si>
    <t>=O129-Q129</t>
  </si>
  <si>
    <t>=IF(O129&lt;&gt;0,R129/O129,"")</t>
  </si>
  <si>
    <t>=NL("Sum","5802 Value Entry","150 Sales Amount (Expected)","41 Source Type",$C$5,"5 Source No.",$C129,"4 Item Ledger Entry Type",$C$4,"2 Item No.","@@"&amp;$F129,"3 Posting Date",U$9)+NL("Sum","5802 Value Entry","17 Sales Amount (Actual)","41 Source Type",$C$5,"5 Source no.",$C129,"4 Item Ledger Entry Type",$C$4,"2 Item No.","@@"&amp;$F129,"3 Posting Date",U$9)</t>
  </si>
  <si>
    <t>=-NL("Sum","5802 Value Entry","151 Cost Amount (Expected)","41 Source Type",$C$5,"5 Source No.",$C129,"4 Item Ledger Entry Type",$C$4,"2 Item No.","@@"&amp;$F129,"3 Posting Date",U$9)-NL("Sum","5802 Value Entry","43 Cost Amount (Actual)","41 Source Type",$C$5,"5 Source no.",$C129,"4 Item Ledger Entry Type",$C$4,"2 Item No.","@@"&amp;$F129,"3 Posting Date",U$9)</t>
  </si>
  <si>
    <t>=U129-W129</t>
  </si>
  <si>
    <t>=IF(U129&lt;&gt;0,X129/U129,"")</t>
  </si>
  <si>
    <t>=NL("Sum","5802 Value Entry","150 Sales Amount (Expected)","41 Source Type",$C$5,"5 Source No.",$C129,"4 Item Ledger Entry Type",$C$4,"2 Item No.","@@"&amp;$F129,"3 Posting Date",Z$9)+NL("Sum","5802 Value Entry","17 Sales Amount (Actual)","41 Source Type",$C$5,"5 Source no.",$C129,"4 Item Ledger Entry Type",$C$4,"2 Item No.","@@"&amp;$F129,"3 Posting Date",Z$9)</t>
  </si>
  <si>
    <t>=-NL("Sum","5802 Value Entry","151 Cost Amount (Expected)","41 Source Type",$C$5,"5 Source No.",$C129,"4 Item Ledger Entry Type",$C$4,"2 Item No.","@@"&amp;$F129,"3 Posting Date",Z$9)-NL("Sum","5802 Value Entry","43 Cost Amount (Actual)","41 Source Type",$C$5,"5 Source no.",$C129,"4 Item Ledger Entry Type",$C$4,"2 Item No.","@@"&amp;$F129,"3 Posting Date",Z$9)</t>
  </si>
  <si>
    <t>=Z129-AB129</t>
  </si>
  <si>
    <t>=IF(Z129&lt;&gt;0,AC129/Z129,"")</t>
  </si>
  <si>
    <t>=NL("Sum","5802 Value Entry","150 Sales Amount (Expected)","41 Source Type",$C$5,"5 Source No.",$C130,"4 Item Ledger Entry Type",$C$4,"2 Item No.","@@"&amp;$F130,"3 Posting Date",J$9)+NL("Sum","5802 Value Entry","17 Sales Amount (Actual)","41 Source Type",$C$5,"5 Source no.",$C130,"4 Item Ledger Entry Type",$C$4,"2 Item No.","@@"&amp;$F130,"3 Posting Date",J$9)</t>
  </si>
  <si>
    <t>=-NL("Sum","5802 Value Entry","151 Cost Amount (Expected)","41 Source Type",$C$5,"5 Source No.",$C130,"4 Item Ledger Entry Type",$C$4,"2 Item No.","@@"&amp;$F130,"3 Posting Date",J$9)-NL("Sum","5802 Value Entry","43 Cost Amount (Actual)","41 Source Type",$C$5,"5 Source no.",$C130,"4 Item Ledger Entry Type",$C$4,"2 Item No.","@@"&amp;$F130,"3 Posting Date",J$9)</t>
  </si>
  <si>
    <t>=NL("Sum","5802 Value Entry","150 Sales Amount (Expected)","41 Source Type",$C$5,"5 Source No.",$C130,"4 Item Ledger Entry Type",$C$4,"2 Item No.","@@"&amp;$F130,"3 Posting Date",O$9)+NL("Sum","5802 Value Entry","17 Sales Amount (Actual)","41 Source Type",$C$5,"5 Source no.",$C130,"4 Item Ledger Entry Type",$C$4,"2 Item No.","@@"&amp;$F130,"3 Posting Date",O$9)</t>
  </si>
  <si>
    <t>=-NL("Sum","5802 Value Entry","151 Cost Amount (Expected)","41 Source Type",$C$5,"5 Source No.",$C130,"4 Item Ledger Entry Type",$C$4,"2 Item No.","@@"&amp;$F130,"3 Posting Date",O$9)-NL("Sum","5802 Value Entry","43 Cost Amount (Actual)","41 Source Type",$C$5,"5 Source no.",$C130,"4 Item Ledger Entry Type",$C$4,"2 Item No.","@@"&amp;$F130,"3 Posting Date",O$9)</t>
  </si>
  <si>
    <t>=NL("Sum","5802 Value Entry","150 Sales Amount (Expected)","41 Source Type",$C$5,"5 Source No.",$C130,"4 Item Ledger Entry Type",$C$4,"2 Item No.","@@"&amp;$F130,"3 Posting Date",U$9)+NL("Sum","5802 Value Entry","17 Sales Amount (Actual)","41 Source Type",$C$5,"5 Source no.",$C130,"4 Item Ledger Entry Type",$C$4,"2 Item No.","@@"&amp;$F130,"3 Posting Date",U$9)</t>
  </si>
  <si>
    <t>=-NL("Sum","5802 Value Entry","151 Cost Amount (Expected)","41 Source Type",$C$5,"5 Source No.",$C130,"4 Item Ledger Entry Type",$C$4,"2 Item No.","@@"&amp;$F130,"3 Posting Date",U$9)-NL("Sum","5802 Value Entry","43 Cost Amount (Actual)","41 Source Type",$C$5,"5 Source no.",$C130,"4 Item Ledger Entry Type",$C$4,"2 Item No.","@@"&amp;$F130,"3 Posting Date",U$9)</t>
  </si>
  <si>
    <t>=NL("Sum","5802 Value Entry","150 Sales Amount (Expected)","41 Source Type",$C$5,"5 Source No.",$C130,"4 Item Ledger Entry Type",$C$4,"2 Item No.","@@"&amp;$F130,"3 Posting Date",Z$9)+NL("Sum","5802 Value Entry","17 Sales Amount (Actual)","41 Source Type",$C$5,"5 Source no.",$C130,"4 Item Ledger Entry Type",$C$4,"2 Item No.","@@"&amp;$F130,"3 Posting Date",Z$9)</t>
  </si>
  <si>
    <t>=-NL("Sum","5802 Value Entry","151 Cost Amount (Expected)","41 Source Type",$C$5,"5 Source No.",$C130,"4 Item Ledger Entry Type",$C$4,"2 Item No.","@@"&amp;$F130,"3 Posting Date",Z$9)-NL("Sum","5802 Value Entry","43 Cost Amount (Actual)","41 Source Type",$C$5,"5 Source no.",$C130,"4 Item Ledger Entry Type",$C$4,"2 Item No.","@@"&amp;$F130,"3 Posting Date",Z$9)</t>
  </si>
  <si>
    <t>=NL("Sum","5802 Value Entry","150 Sales Amount (Expected)","41 Source Type",$C$5,"5 Source No.",$C131,"4 Item Ledger Entry Type",$C$4,"2 Item No.","@@"&amp;$F131,"3 Posting Date",J$9)+NL("Sum","5802 Value Entry","17 Sales Amount (Actual)","41 Source Type",$C$5,"5 Source no.",$C131,"4 Item Ledger Entry Type",$C$4,"2 Item No.","@@"&amp;$F131,"3 Posting Date",J$9)</t>
  </si>
  <si>
    <t>=-NL("Sum","5802 Value Entry","151 Cost Amount (Expected)","41 Source Type",$C$5,"5 Source No.",$C131,"4 Item Ledger Entry Type",$C$4,"2 Item No.","@@"&amp;$F131,"3 Posting Date",J$9)-NL("Sum","5802 Value Entry","43 Cost Amount (Actual)","41 Source Type",$C$5,"5 Source no.",$C131,"4 Item Ledger Entry Type",$C$4,"2 Item No.","@@"&amp;$F131,"3 Posting Date",J$9)</t>
  </si>
  <si>
    <t>=J131-L131</t>
  </si>
  <si>
    <t>=IF(J131&lt;&gt;0,M131/J131,"")</t>
  </si>
  <si>
    <t>=NL("Sum","5802 Value Entry","150 Sales Amount (Expected)","41 Source Type",$C$5,"5 Source No.",$C131,"4 Item Ledger Entry Type",$C$4,"2 Item No.","@@"&amp;$F131,"3 Posting Date",O$9)+NL("Sum","5802 Value Entry","17 Sales Amount (Actual)","41 Source Type",$C$5,"5 Source no.",$C131,"4 Item Ledger Entry Type",$C$4,"2 Item No.","@@"&amp;$F131,"3 Posting Date",O$9)</t>
  </si>
  <si>
    <t>=-NL("Sum","5802 Value Entry","151 Cost Amount (Expected)","41 Source Type",$C$5,"5 Source No.",$C131,"4 Item Ledger Entry Type",$C$4,"2 Item No.","@@"&amp;$F131,"3 Posting Date",O$9)-NL("Sum","5802 Value Entry","43 Cost Amount (Actual)","41 Source Type",$C$5,"5 Source no.",$C131,"4 Item Ledger Entry Type",$C$4,"2 Item No.","@@"&amp;$F131,"3 Posting Date",O$9)</t>
  </si>
  <si>
    <t>=O131-Q131</t>
  </si>
  <si>
    <t>=IF(O131&lt;&gt;0,R131/O131,"")</t>
  </si>
  <si>
    <t>=NL("Sum","5802 Value Entry","150 Sales Amount (Expected)","41 Source Type",$C$5,"5 Source No.",$C131,"4 Item Ledger Entry Type",$C$4,"2 Item No.","@@"&amp;$F131,"3 Posting Date",U$9)+NL("Sum","5802 Value Entry","17 Sales Amount (Actual)","41 Source Type",$C$5,"5 Source no.",$C131,"4 Item Ledger Entry Type",$C$4,"2 Item No.","@@"&amp;$F131,"3 Posting Date",U$9)</t>
  </si>
  <si>
    <t>=-NL("Sum","5802 Value Entry","151 Cost Amount (Expected)","41 Source Type",$C$5,"5 Source No.",$C131,"4 Item Ledger Entry Type",$C$4,"2 Item No.","@@"&amp;$F131,"3 Posting Date",U$9)-NL("Sum","5802 Value Entry","43 Cost Amount (Actual)","41 Source Type",$C$5,"5 Source no.",$C131,"4 Item Ledger Entry Type",$C$4,"2 Item No.","@@"&amp;$F131,"3 Posting Date",U$9)</t>
  </si>
  <si>
    <t>=U131-W131</t>
  </si>
  <si>
    <t>=IF(U131&lt;&gt;0,X131/U131,"")</t>
  </si>
  <si>
    <t>=NL("Sum","5802 Value Entry","150 Sales Amount (Expected)","41 Source Type",$C$5,"5 Source No.",$C131,"4 Item Ledger Entry Type",$C$4,"2 Item No.","@@"&amp;$F131,"3 Posting Date",Z$9)+NL("Sum","5802 Value Entry","17 Sales Amount (Actual)","41 Source Type",$C$5,"5 Source no.",$C131,"4 Item Ledger Entry Type",$C$4,"2 Item No.","@@"&amp;$F131,"3 Posting Date",Z$9)</t>
  </si>
  <si>
    <t>=-NL("Sum","5802 Value Entry","151 Cost Amount (Expected)","41 Source Type",$C$5,"5 Source No.",$C131,"4 Item Ledger Entry Type",$C$4,"2 Item No.","@@"&amp;$F131,"3 Posting Date",Z$9)-NL("Sum","5802 Value Entry","43 Cost Amount (Actual)","41 Source Type",$C$5,"5 Source no.",$C131,"4 Item Ledger Entry Type",$C$4,"2 Item No.","@@"&amp;$F131,"3 Posting Date",Z$9)</t>
  </si>
  <si>
    <t>=Z131-AB131</t>
  </si>
  <si>
    <t>=IF(Z131&lt;&gt;0,AC131/Z131,"")</t>
  </si>
  <si>
    <t>=NL("Sum","5802 Value Entry","150 Sales Amount (Expected)","41 Source Type",$C$5,"5 Source No.",$C132,"4 Item Ledger Entry Type",$C$4,"2 Item No.","@@"&amp;$F132,"3 Posting Date",J$9)+NL("Sum","5802 Value Entry","17 Sales Amount (Actual)","41 Source Type",$C$5,"5 Source no.",$C132,"4 Item Ledger Entry Type",$C$4,"2 Item No.","@@"&amp;$F132,"3 Posting Date",J$9)</t>
  </si>
  <si>
    <t>=-NL("Sum","5802 Value Entry","151 Cost Amount (Expected)","41 Source Type",$C$5,"5 Source No.",$C132,"4 Item Ledger Entry Type",$C$4,"2 Item No.","@@"&amp;$F132,"3 Posting Date",J$9)-NL("Sum","5802 Value Entry","43 Cost Amount (Actual)","41 Source Type",$C$5,"5 Source no.",$C132,"4 Item Ledger Entry Type",$C$4,"2 Item No.","@@"&amp;$F132,"3 Posting Date",J$9)</t>
  </si>
  <si>
    <t>=NL("Sum","5802 Value Entry","150 Sales Amount (Expected)","41 Source Type",$C$5,"5 Source No.",$C132,"4 Item Ledger Entry Type",$C$4,"2 Item No.","@@"&amp;$F132,"3 Posting Date",O$9)+NL("Sum","5802 Value Entry","17 Sales Amount (Actual)","41 Source Type",$C$5,"5 Source no.",$C132,"4 Item Ledger Entry Type",$C$4,"2 Item No.","@@"&amp;$F132,"3 Posting Date",O$9)</t>
  </si>
  <si>
    <t>=-NL("Sum","5802 Value Entry","151 Cost Amount (Expected)","41 Source Type",$C$5,"5 Source No.",$C132,"4 Item Ledger Entry Type",$C$4,"2 Item No.","@@"&amp;$F132,"3 Posting Date",O$9)-NL("Sum","5802 Value Entry","43 Cost Amount (Actual)","41 Source Type",$C$5,"5 Source no.",$C132,"4 Item Ledger Entry Type",$C$4,"2 Item No.","@@"&amp;$F132,"3 Posting Date",O$9)</t>
  </si>
  <si>
    <t>=NL("Sum","5802 Value Entry","150 Sales Amount (Expected)","41 Source Type",$C$5,"5 Source No.",$C132,"4 Item Ledger Entry Type",$C$4,"2 Item No.","@@"&amp;$F132,"3 Posting Date",U$9)+NL("Sum","5802 Value Entry","17 Sales Amount (Actual)","41 Source Type",$C$5,"5 Source no.",$C132,"4 Item Ledger Entry Type",$C$4,"2 Item No.","@@"&amp;$F132,"3 Posting Date",U$9)</t>
  </si>
  <si>
    <t>=-NL("Sum","5802 Value Entry","151 Cost Amount (Expected)","41 Source Type",$C$5,"5 Source No.",$C132,"4 Item Ledger Entry Type",$C$4,"2 Item No.","@@"&amp;$F132,"3 Posting Date",U$9)-NL("Sum","5802 Value Entry","43 Cost Amount (Actual)","41 Source Type",$C$5,"5 Source no.",$C132,"4 Item Ledger Entry Type",$C$4,"2 Item No.","@@"&amp;$F132,"3 Posting Date",U$9)</t>
  </si>
  <si>
    <t>=NL("Sum","5802 Value Entry","150 Sales Amount (Expected)","41 Source Type",$C$5,"5 Source No.",$C132,"4 Item Ledger Entry Type",$C$4,"2 Item No.","@@"&amp;$F132,"3 Posting Date",Z$9)+NL("Sum","5802 Value Entry","17 Sales Amount (Actual)","41 Source Type",$C$5,"5 Source no.",$C132,"4 Item Ledger Entry Type",$C$4,"2 Item No.","@@"&amp;$F132,"3 Posting Date",Z$9)</t>
  </si>
  <si>
    <t>=-NL("Sum","5802 Value Entry","151 Cost Amount (Expected)","41 Source Type",$C$5,"5 Source No.",$C132,"4 Item Ledger Entry Type",$C$4,"2 Item No.","@@"&amp;$F132,"3 Posting Date",Z$9)-NL("Sum","5802 Value Entry","43 Cost Amount (Actual)","41 Source Type",$C$5,"5 Source no.",$C132,"4 Item Ledger Entry Type",$C$4,"2 Item No.","@@"&amp;$F132,"3 Posting Date",Z$9)</t>
  </si>
  <si>
    <t>=C132</t>
  </si>
  <si>
    <t>=NL("Sum","5802 Value Entry","150 Sales Amount (Expected)","41 Source Type",$C$5,"5 Source No.",$C133,"4 Item Ledger Entry Type",$C$4,"2 Item No.","@@"&amp;$F133,"3 Posting Date",J$9)+NL("Sum","5802 Value Entry","17 Sales Amount (Actual)","41 Source Type",$C$5,"5 Source no.",$C133,"4 Item Ledger Entry Type",$C$4,"2 Item No.","@@"&amp;$F133,"3 Posting Date",J$9)</t>
  </si>
  <si>
    <t>=-NL("Sum","5802 Value Entry","151 Cost Amount (Expected)","41 Source Type",$C$5,"5 Source No.",$C133,"4 Item Ledger Entry Type",$C$4,"2 Item No.","@@"&amp;$F133,"3 Posting Date",J$9)-NL("Sum","5802 Value Entry","43 Cost Amount (Actual)","41 Source Type",$C$5,"5 Source no.",$C133,"4 Item Ledger Entry Type",$C$4,"2 Item No.","@@"&amp;$F133,"3 Posting Date",J$9)</t>
  </si>
  <si>
    <t>=J133-L133</t>
  </si>
  <si>
    <t>=IF(J133&lt;&gt;0,M133/J133,"")</t>
  </si>
  <si>
    <t>=NL("Sum","5802 Value Entry","150 Sales Amount (Expected)","41 Source Type",$C$5,"5 Source No.",$C133,"4 Item Ledger Entry Type",$C$4,"2 Item No.","@@"&amp;$F133,"3 Posting Date",O$9)+NL("Sum","5802 Value Entry","17 Sales Amount (Actual)","41 Source Type",$C$5,"5 Source no.",$C133,"4 Item Ledger Entry Type",$C$4,"2 Item No.","@@"&amp;$F133,"3 Posting Date",O$9)</t>
  </si>
  <si>
    <t>=-NL("Sum","5802 Value Entry","151 Cost Amount (Expected)","41 Source Type",$C$5,"5 Source No.",$C133,"4 Item Ledger Entry Type",$C$4,"2 Item No.","@@"&amp;$F133,"3 Posting Date",O$9)-NL("Sum","5802 Value Entry","43 Cost Amount (Actual)","41 Source Type",$C$5,"5 Source no.",$C133,"4 Item Ledger Entry Type",$C$4,"2 Item No.","@@"&amp;$F133,"3 Posting Date",O$9)</t>
  </si>
  <si>
    <t>=O133-Q133</t>
  </si>
  <si>
    <t>=IF(O133&lt;&gt;0,R133/O133,"")</t>
  </si>
  <si>
    <t>=NL("Sum","5802 Value Entry","150 Sales Amount (Expected)","41 Source Type",$C$5,"5 Source No.",$C133,"4 Item Ledger Entry Type",$C$4,"2 Item No.","@@"&amp;$F133,"3 Posting Date",U$9)+NL("Sum","5802 Value Entry","17 Sales Amount (Actual)","41 Source Type",$C$5,"5 Source no.",$C133,"4 Item Ledger Entry Type",$C$4,"2 Item No.","@@"&amp;$F133,"3 Posting Date",U$9)</t>
  </si>
  <si>
    <t>=-NL("Sum","5802 Value Entry","151 Cost Amount (Expected)","41 Source Type",$C$5,"5 Source No.",$C133,"4 Item Ledger Entry Type",$C$4,"2 Item No.","@@"&amp;$F133,"3 Posting Date",U$9)-NL("Sum","5802 Value Entry","43 Cost Amount (Actual)","41 Source Type",$C$5,"5 Source no.",$C133,"4 Item Ledger Entry Type",$C$4,"2 Item No.","@@"&amp;$F133,"3 Posting Date",U$9)</t>
  </si>
  <si>
    <t>=U133-W133</t>
  </si>
  <si>
    <t>=IF(U133&lt;&gt;0,X133/U133,"")</t>
  </si>
  <si>
    <t>=NL("Sum","5802 Value Entry","150 Sales Amount (Expected)","41 Source Type",$C$5,"5 Source No.",$C133,"4 Item Ledger Entry Type",$C$4,"2 Item No.","@@"&amp;$F133,"3 Posting Date",Z$9)+NL("Sum","5802 Value Entry","17 Sales Amount (Actual)","41 Source Type",$C$5,"5 Source no.",$C133,"4 Item Ledger Entry Type",$C$4,"2 Item No.","@@"&amp;$F133,"3 Posting Date",Z$9)</t>
  </si>
  <si>
    <t>=-NL("Sum","5802 Value Entry","151 Cost Amount (Expected)","41 Source Type",$C$5,"5 Source No.",$C133,"4 Item Ledger Entry Type",$C$4,"2 Item No.","@@"&amp;$F133,"3 Posting Date",Z$9)-NL("Sum","5802 Value Entry","43 Cost Amount (Actual)","41 Source Type",$C$5,"5 Source no.",$C133,"4 Item Ledger Entry Type",$C$4,"2 Item No.","@@"&amp;$F133,"3 Posting Date",Z$9)</t>
  </si>
  <si>
    <t>=Z133-AB133</t>
  </si>
  <si>
    <t>=IF(Z133&lt;&gt;0,AC133/Z133,"")</t>
  </si>
  <si>
    <t>=C133</t>
  </si>
  <si>
    <t>=NL("Sum","5802 Value Entry","150 Sales Amount (Expected)","41 Source Type",$C$5,"5 Source No.",$C134,"4 Item Ledger Entry Type",$C$4,"2 Item No.","@@"&amp;$F134,"3 Posting Date",J$9)+NL("Sum","5802 Value Entry","17 Sales Amount (Actual)","41 Source Type",$C$5,"5 Source no.",$C134,"4 Item Ledger Entry Type",$C$4,"2 Item No.","@@"&amp;$F134,"3 Posting Date",J$9)</t>
  </si>
  <si>
    <t>=-NL("Sum","5802 Value Entry","151 Cost Amount (Expected)","41 Source Type",$C$5,"5 Source No.",$C134,"4 Item Ledger Entry Type",$C$4,"2 Item No.","@@"&amp;$F134,"3 Posting Date",J$9)-NL("Sum","5802 Value Entry","43 Cost Amount (Actual)","41 Source Type",$C$5,"5 Source no.",$C134,"4 Item Ledger Entry Type",$C$4,"2 Item No.","@@"&amp;$F134,"3 Posting Date",J$9)</t>
  </si>
  <si>
    <t>=J134-L134</t>
  </si>
  <si>
    <t>=IF(J134&lt;&gt;0,M134/J134,"")</t>
  </si>
  <si>
    <t>=NL("Sum","5802 Value Entry","150 Sales Amount (Expected)","41 Source Type",$C$5,"5 Source No.",$C134,"4 Item Ledger Entry Type",$C$4,"2 Item No.","@@"&amp;$F134,"3 Posting Date",O$9)+NL("Sum","5802 Value Entry","17 Sales Amount (Actual)","41 Source Type",$C$5,"5 Source no.",$C134,"4 Item Ledger Entry Type",$C$4,"2 Item No.","@@"&amp;$F134,"3 Posting Date",O$9)</t>
  </si>
  <si>
    <t>=-NL("Sum","5802 Value Entry","151 Cost Amount (Expected)","41 Source Type",$C$5,"5 Source No.",$C134,"4 Item Ledger Entry Type",$C$4,"2 Item No.","@@"&amp;$F134,"3 Posting Date",O$9)-NL("Sum","5802 Value Entry","43 Cost Amount (Actual)","41 Source Type",$C$5,"5 Source no.",$C134,"4 Item Ledger Entry Type",$C$4,"2 Item No.","@@"&amp;$F134,"3 Posting Date",O$9)</t>
  </si>
  <si>
    <t>=O134-Q134</t>
  </si>
  <si>
    <t>=IF(O134&lt;&gt;0,R134/O134,"")</t>
  </si>
  <si>
    <t>=NL("Sum","5802 Value Entry","150 Sales Amount (Expected)","41 Source Type",$C$5,"5 Source No.",$C134,"4 Item Ledger Entry Type",$C$4,"2 Item No.","@@"&amp;$F134,"3 Posting Date",U$9)+NL("Sum","5802 Value Entry","17 Sales Amount (Actual)","41 Source Type",$C$5,"5 Source no.",$C134,"4 Item Ledger Entry Type",$C$4,"2 Item No.","@@"&amp;$F134,"3 Posting Date",U$9)</t>
  </si>
  <si>
    <t>=-NL("Sum","5802 Value Entry","151 Cost Amount (Expected)","41 Source Type",$C$5,"5 Source No.",$C134,"4 Item Ledger Entry Type",$C$4,"2 Item No.","@@"&amp;$F134,"3 Posting Date",U$9)-NL("Sum","5802 Value Entry","43 Cost Amount (Actual)","41 Source Type",$C$5,"5 Source no.",$C134,"4 Item Ledger Entry Type",$C$4,"2 Item No.","@@"&amp;$F134,"3 Posting Date",U$9)</t>
  </si>
  <si>
    <t>=U134-W134</t>
  </si>
  <si>
    <t>=IF(U134&lt;&gt;0,X134/U134,"")</t>
  </si>
  <si>
    <t>=NL("Sum","5802 Value Entry","150 Sales Amount (Expected)","41 Source Type",$C$5,"5 Source No.",$C134,"4 Item Ledger Entry Type",$C$4,"2 Item No.","@@"&amp;$F134,"3 Posting Date",Z$9)+NL("Sum","5802 Value Entry","17 Sales Amount (Actual)","41 Source Type",$C$5,"5 Source no.",$C134,"4 Item Ledger Entry Type",$C$4,"2 Item No.","@@"&amp;$F134,"3 Posting Date",Z$9)</t>
  </si>
  <si>
    <t>=-NL("Sum","5802 Value Entry","151 Cost Amount (Expected)","41 Source Type",$C$5,"5 Source No.",$C134,"4 Item Ledger Entry Type",$C$4,"2 Item No.","@@"&amp;$F134,"3 Posting Date",Z$9)-NL("Sum","5802 Value Entry","43 Cost Amount (Actual)","41 Source Type",$C$5,"5 Source no.",$C134,"4 Item Ledger Entry Type",$C$4,"2 Item No.","@@"&amp;$F134,"3 Posting Date",Z$9)</t>
  </si>
  <si>
    <t>=Z134-AB134</t>
  </si>
  <si>
    <t>=IF(Z134&lt;&gt;0,AC134/Z134,"")</t>
  </si>
  <si>
    <t>=NL("Sum","5802 Value Entry","150 Sales Amount (Expected)","41 Source Type",$C$5,"5 Source No.",$C135,"4 Item Ledger Entry Type",$C$4,"2 Item No.","@@"&amp;$F135,"3 Posting Date",J$9)+NL("Sum","5802 Value Entry","17 Sales Amount (Actual)","41 Source Type",$C$5,"5 Source no.",$C135,"4 Item Ledger Entry Type",$C$4,"2 Item No.","@@"&amp;$F135,"3 Posting Date",J$9)</t>
  </si>
  <si>
    <t>=-NL("Sum","5802 Value Entry","151 Cost Amount (Expected)","41 Source Type",$C$5,"5 Source No.",$C135,"4 Item Ledger Entry Type",$C$4,"2 Item No.","@@"&amp;$F135,"3 Posting Date",J$9)-NL("Sum","5802 Value Entry","43 Cost Amount (Actual)","41 Source Type",$C$5,"5 Source no.",$C135,"4 Item Ledger Entry Type",$C$4,"2 Item No.","@@"&amp;$F135,"3 Posting Date",J$9)</t>
  </si>
  <si>
    <t>=J135-L135</t>
  </si>
  <si>
    <t>=IF(J135&lt;&gt;0,M135/J135,"")</t>
  </si>
  <si>
    <t>=NL("Sum","5802 Value Entry","150 Sales Amount (Expected)","41 Source Type",$C$5,"5 Source No.",$C135,"4 Item Ledger Entry Type",$C$4,"2 Item No.","@@"&amp;$F135,"3 Posting Date",O$9)+NL("Sum","5802 Value Entry","17 Sales Amount (Actual)","41 Source Type",$C$5,"5 Source no.",$C135,"4 Item Ledger Entry Type",$C$4,"2 Item No.","@@"&amp;$F135,"3 Posting Date",O$9)</t>
  </si>
  <si>
    <t>=-NL("Sum","5802 Value Entry","151 Cost Amount (Expected)","41 Source Type",$C$5,"5 Source No.",$C135,"4 Item Ledger Entry Type",$C$4,"2 Item No.","@@"&amp;$F135,"3 Posting Date",O$9)-NL("Sum","5802 Value Entry","43 Cost Amount (Actual)","41 Source Type",$C$5,"5 Source no.",$C135,"4 Item Ledger Entry Type",$C$4,"2 Item No.","@@"&amp;$F135,"3 Posting Date",O$9)</t>
  </si>
  <si>
    <t>=O135-Q135</t>
  </si>
  <si>
    <t>=IF(O135&lt;&gt;0,R135/O135,"")</t>
  </si>
  <si>
    <t>=NL("Sum","5802 Value Entry","150 Sales Amount (Expected)","41 Source Type",$C$5,"5 Source No.",$C135,"4 Item Ledger Entry Type",$C$4,"2 Item No.","@@"&amp;$F135,"3 Posting Date",U$9)+NL("Sum","5802 Value Entry","17 Sales Amount (Actual)","41 Source Type",$C$5,"5 Source no.",$C135,"4 Item Ledger Entry Type",$C$4,"2 Item No.","@@"&amp;$F135,"3 Posting Date",U$9)</t>
  </si>
  <si>
    <t>=-NL("Sum","5802 Value Entry","151 Cost Amount (Expected)","41 Source Type",$C$5,"5 Source No.",$C135,"4 Item Ledger Entry Type",$C$4,"2 Item No.","@@"&amp;$F135,"3 Posting Date",U$9)-NL("Sum","5802 Value Entry","43 Cost Amount (Actual)","41 Source Type",$C$5,"5 Source no.",$C135,"4 Item Ledger Entry Type",$C$4,"2 Item No.","@@"&amp;$F135,"3 Posting Date",U$9)</t>
  </si>
  <si>
    <t>=U135-W135</t>
  </si>
  <si>
    <t>=IF(U135&lt;&gt;0,X135/U135,"")</t>
  </si>
  <si>
    <t>=NL("Sum","5802 Value Entry","150 Sales Amount (Expected)","41 Source Type",$C$5,"5 Source No.",$C135,"4 Item Ledger Entry Type",$C$4,"2 Item No.","@@"&amp;$F135,"3 Posting Date",Z$9)+NL("Sum","5802 Value Entry","17 Sales Amount (Actual)","41 Source Type",$C$5,"5 Source no.",$C135,"4 Item Ledger Entry Type",$C$4,"2 Item No.","@@"&amp;$F135,"3 Posting Date",Z$9)</t>
  </si>
  <si>
    <t>=-NL("Sum","5802 Value Entry","151 Cost Amount (Expected)","41 Source Type",$C$5,"5 Source No.",$C135,"4 Item Ledger Entry Type",$C$4,"2 Item No.","@@"&amp;$F135,"3 Posting Date",Z$9)-NL("Sum","5802 Value Entry","43 Cost Amount (Actual)","41 Source Type",$C$5,"5 Source no.",$C135,"4 Item Ledger Entry Type",$C$4,"2 Item No.","@@"&amp;$F135,"3 Posting Date",Z$9)</t>
  </si>
  <si>
    <t>=Z135-AB135</t>
  </si>
  <si>
    <t>=IF(Z135&lt;&gt;0,AC135/Z135,"")</t>
  </si>
  <si>
    <t>=NL("Sum","5802 Value Entry","150 Sales Amount (Expected)","41 Source Type",$C$5,"5 Source No.",$C136,"4 Item Ledger Entry Type",$C$4,"2 Item No.","@@"&amp;$F136,"3 Posting Date",J$9)+NL("Sum","5802 Value Entry","17 Sales Amount (Actual)","41 Source Type",$C$5,"5 Source no.",$C136,"4 Item Ledger Entry Type",$C$4,"2 Item No.","@@"&amp;$F136,"3 Posting Date",J$9)</t>
  </si>
  <si>
    <t>=-NL("Sum","5802 Value Entry","151 Cost Amount (Expected)","41 Source Type",$C$5,"5 Source No.",$C136,"4 Item Ledger Entry Type",$C$4,"2 Item No.","@@"&amp;$F136,"3 Posting Date",J$9)-NL("Sum","5802 Value Entry","43 Cost Amount (Actual)","41 Source Type",$C$5,"5 Source no.",$C136,"4 Item Ledger Entry Type",$C$4,"2 Item No.","@@"&amp;$F136,"3 Posting Date",J$9)</t>
  </si>
  <si>
    <t>=NL("Sum","5802 Value Entry","150 Sales Amount (Expected)","41 Source Type",$C$5,"5 Source No.",$C136,"4 Item Ledger Entry Type",$C$4,"2 Item No.","@@"&amp;$F136,"3 Posting Date",O$9)+NL("Sum","5802 Value Entry","17 Sales Amount (Actual)","41 Source Type",$C$5,"5 Source no.",$C136,"4 Item Ledger Entry Type",$C$4,"2 Item No.","@@"&amp;$F136,"3 Posting Date",O$9)</t>
  </si>
  <si>
    <t>=-NL("Sum","5802 Value Entry","151 Cost Amount (Expected)","41 Source Type",$C$5,"5 Source No.",$C136,"4 Item Ledger Entry Type",$C$4,"2 Item No.","@@"&amp;$F136,"3 Posting Date",O$9)-NL("Sum","5802 Value Entry","43 Cost Amount (Actual)","41 Source Type",$C$5,"5 Source no.",$C136,"4 Item Ledger Entry Type",$C$4,"2 Item No.","@@"&amp;$F136,"3 Posting Date",O$9)</t>
  </si>
  <si>
    <t>=NL("Sum","5802 Value Entry","150 Sales Amount (Expected)","41 Source Type",$C$5,"5 Source No.",$C136,"4 Item Ledger Entry Type",$C$4,"2 Item No.","@@"&amp;$F136,"3 Posting Date",U$9)+NL("Sum","5802 Value Entry","17 Sales Amount (Actual)","41 Source Type",$C$5,"5 Source no.",$C136,"4 Item Ledger Entry Type",$C$4,"2 Item No.","@@"&amp;$F136,"3 Posting Date",U$9)</t>
  </si>
  <si>
    <t>=-NL("Sum","5802 Value Entry","151 Cost Amount (Expected)","41 Source Type",$C$5,"5 Source No.",$C136,"4 Item Ledger Entry Type",$C$4,"2 Item No.","@@"&amp;$F136,"3 Posting Date",U$9)-NL("Sum","5802 Value Entry","43 Cost Amount (Actual)","41 Source Type",$C$5,"5 Source no.",$C136,"4 Item Ledger Entry Type",$C$4,"2 Item No.","@@"&amp;$F136,"3 Posting Date",U$9)</t>
  </si>
  <si>
    <t>=NL("Sum","5802 Value Entry","150 Sales Amount (Expected)","41 Source Type",$C$5,"5 Source No.",$C136,"4 Item Ledger Entry Type",$C$4,"2 Item No.","@@"&amp;$F136,"3 Posting Date",Z$9)+NL("Sum","5802 Value Entry","17 Sales Amount (Actual)","41 Source Type",$C$5,"5 Source no.",$C136,"4 Item Ledger Entry Type",$C$4,"2 Item No.","@@"&amp;$F136,"3 Posting Date",Z$9)</t>
  </si>
  <si>
    <t>=-NL("Sum","5802 Value Entry","151 Cost Amount (Expected)","41 Source Type",$C$5,"5 Source No.",$C136,"4 Item Ledger Entry Type",$C$4,"2 Item No.","@@"&amp;$F136,"3 Posting Date",Z$9)-NL("Sum","5802 Value Entry","43 Cost Amount (Actual)","41 Source Type",$C$5,"5 Source no.",$C136,"4 Item Ledger Entry Type",$C$4,"2 Item No.","@@"&amp;$F136,"3 Posting Date",Z$9)</t>
  </si>
  <si>
    <t>=NL("Sum","5802 Value Entry","150 Sales Amount (Expected)","41 Source Type",$C$5,"5 Source No.",$C142,"4 Item Ledger Entry Type",$C$4,"2 Item No.","@@"&amp;$F142,"3 Posting Date",J$9)+NL("Sum","5802 Value Entry","17 Sales Amount (Actual)","41 Source Type",$C$5,"5 Source no.",$C142,"4 Item Ledger Entry Type",$C$4,"2 Item No.","@@"&amp;$F142,"3 Posting Date",J$9)</t>
  </si>
  <si>
    <t>=-NL("Sum","5802 Value Entry","151 Cost Amount (Expected)","41 Source Type",$C$5,"5 Source No.",$C142,"4 Item Ledger Entry Type",$C$4,"2 Item No.","@@"&amp;$F142,"3 Posting Date",J$9)-NL("Sum","5802 Value Entry","43 Cost Amount (Actual)","41 Source Type",$C$5,"5 Source no.",$C142,"4 Item Ledger Entry Type",$C$4,"2 Item No.","@@"&amp;$F142,"3 Posting Date",J$9)</t>
  </si>
  <si>
    <t>=NL("Sum","5802 Value Entry","150 Sales Amount (Expected)","41 Source Type",$C$5,"5 Source No.",$C142,"4 Item Ledger Entry Type",$C$4,"2 Item No.","@@"&amp;$F142,"3 Posting Date",O$9)+NL("Sum","5802 Value Entry","17 Sales Amount (Actual)","41 Source Type",$C$5,"5 Source no.",$C142,"4 Item Ledger Entry Type",$C$4,"2 Item No.","@@"&amp;$F142,"3 Posting Date",O$9)</t>
  </si>
  <si>
    <t>=-NL("Sum","5802 Value Entry","151 Cost Amount (Expected)","41 Source Type",$C$5,"5 Source No.",$C142,"4 Item Ledger Entry Type",$C$4,"2 Item No.","@@"&amp;$F142,"3 Posting Date",O$9)-NL("Sum","5802 Value Entry","43 Cost Amount (Actual)","41 Source Type",$C$5,"5 Source no.",$C142,"4 Item Ledger Entry Type",$C$4,"2 Item No.","@@"&amp;$F142,"3 Posting Date",O$9)</t>
  </si>
  <si>
    <t>=NL("Sum","5802 Value Entry","150 Sales Amount (Expected)","41 Source Type",$C$5,"5 Source No.",$C142,"4 Item Ledger Entry Type",$C$4,"2 Item No.","@@"&amp;$F142,"3 Posting Date",U$9)+NL("Sum","5802 Value Entry","17 Sales Amount (Actual)","41 Source Type",$C$5,"5 Source no.",$C142,"4 Item Ledger Entry Type",$C$4,"2 Item No.","@@"&amp;$F142,"3 Posting Date",U$9)</t>
  </si>
  <si>
    <t>=-NL("Sum","5802 Value Entry","151 Cost Amount (Expected)","41 Source Type",$C$5,"5 Source No.",$C142,"4 Item Ledger Entry Type",$C$4,"2 Item No.","@@"&amp;$F142,"3 Posting Date",U$9)-NL("Sum","5802 Value Entry","43 Cost Amount (Actual)","41 Source Type",$C$5,"5 Source no.",$C142,"4 Item Ledger Entry Type",$C$4,"2 Item No.","@@"&amp;$F142,"3 Posting Date",U$9)</t>
  </si>
  <si>
    <t>=NL("Sum","5802 Value Entry","150 Sales Amount (Expected)","41 Source Type",$C$5,"5 Source No.",$C142,"4 Item Ledger Entry Type",$C$4,"2 Item No.","@@"&amp;$F142,"3 Posting Date",Z$9)+NL("Sum","5802 Value Entry","17 Sales Amount (Actual)","41 Source Type",$C$5,"5 Source no.",$C142,"4 Item Ledger Entry Type",$C$4,"2 Item No.","@@"&amp;$F142,"3 Posting Date",Z$9)</t>
  </si>
  <si>
    <t>=-NL("Sum","5802 Value Entry","151 Cost Amount (Expected)","41 Source Type",$C$5,"5 Source No.",$C142,"4 Item Ledger Entry Type",$C$4,"2 Item No.","@@"&amp;$F142,"3 Posting Date",Z$9)-NL("Sum","5802 Value Entry","43 Cost Amount (Actual)","41 Source Type",$C$5,"5 Source no.",$C142,"4 Item Ledger Entry Type",$C$4,"2 Item No.","@@"&amp;$F142,"3 Posting Date",Z$9)</t>
  </si>
  <si>
    <t>=NL("Sum","5802 Value Entry","150 Sales Amount (Expected)","41 Source Type",$C$5,"5 Source No.",$C143,"4 Item Ledger Entry Type",$C$4,"2 Item No.","@@"&amp;$F143,"3 Posting Date",J$9)+NL("Sum","5802 Value Entry","17 Sales Amount (Actual)","41 Source Type",$C$5,"5 Source no.",$C143,"4 Item Ledger Entry Type",$C$4,"2 Item No.","@@"&amp;$F143,"3 Posting Date",J$9)</t>
  </si>
  <si>
    <t>=-NL("Sum","5802 Value Entry","151 Cost Amount (Expected)","41 Source Type",$C$5,"5 Source No.",$C143,"4 Item Ledger Entry Type",$C$4,"2 Item No.","@@"&amp;$F143,"3 Posting Date",J$9)-NL("Sum","5802 Value Entry","43 Cost Amount (Actual)","41 Source Type",$C$5,"5 Source no.",$C143,"4 Item Ledger Entry Type",$C$4,"2 Item No.","@@"&amp;$F143,"3 Posting Date",J$9)</t>
  </si>
  <si>
    <t>=J143-L143</t>
  </si>
  <si>
    <t>=IF(J143&lt;&gt;0,M143/J143,"")</t>
  </si>
  <si>
    <t>=NL("Sum","5802 Value Entry","150 Sales Amount (Expected)","41 Source Type",$C$5,"5 Source No.",$C143,"4 Item Ledger Entry Type",$C$4,"2 Item No.","@@"&amp;$F143,"3 Posting Date",O$9)+NL("Sum","5802 Value Entry","17 Sales Amount (Actual)","41 Source Type",$C$5,"5 Source no.",$C143,"4 Item Ledger Entry Type",$C$4,"2 Item No.","@@"&amp;$F143,"3 Posting Date",O$9)</t>
  </si>
  <si>
    <t>=-NL("Sum","5802 Value Entry","151 Cost Amount (Expected)","41 Source Type",$C$5,"5 Source No.",$C143,"4 Item Ledger Entry Type",$C$4,"2 Item No.","@@"&amp;$F143,"3 Posting Date",O$9)-NL("Sum","5802 Value Entry","43 Cost Amount (Actual)","41 Source Type",$C$5,"5 Source no.",$C143,"4 Item Ledger Entry Type",$C$4,"2 Item No.","@@"&amp;$F143,"3 Posting Date",O$9)</t>
  </si>
  <si>
    <t>=O143-Q143</t>
  </si>
  <si>
    <t>=IF(O143&lt;&gt;0,R143/O143,"")</t>
  </si>
  <si>
    <t>=NL("Sum","5802 Value Entry","150 Sales Amount (Expected)","41 Source Type",$C$5,"5 Source No.",$C143,"4 Item Ledger Entry Type",$C$4,"2 Item No.","@@"&amp;$F143,"3 Posting Date",U$9)+NL("Sum","5802 Value Entry","17 Sales Amount (Actual)","41 Source Type",$C$5,"5 Source no.",$C143,"4 Item Ledger Entry Type",$C$4,"2 Item No.","@@"&amp;$F143,"3 Posting Date",U$9)</t>
  </si>
  <si>
    <t>=-NL("Sum","5802 Value Entry","151 Cost Amount (Expected)","41 Source Type",$C$5,"5 Source No.",$C143,"4 Item Ledger Entry Type",$C$4,"2 Item No.","@@"&amp;$F143,"3 Posting Date",U$9)-NL("Sum","5802 Value Entry","43 Cost Amount (Actual)","41 Source Type",$C$5,"5 Source no.",$C143,"4 Item Ledger Entry Type",$C$4,"2 Item No.","@@"&amp;$F143,"3 Posting Date",U$9)</t>
  </si>
  <si>
    <t>=U143-W143</t>
  </si>
  <si>
    <t>=IF(U143&lt;&gt;0,X143/U143,"")</t>
  </si>
  <si>
    <t>=NL("Sum","5802 Value Entry","150 Sales Amount (Expected)","41 Source Type",$C$5,"5 Source No.",$C143,"4 Item Ledger Entry Type",$C$4,"2 Item No.","@@"&amp;$F143,"3 Posting Date",Z$9)+NL("Sum","5802 Value Entry","17 Sales Amount (Actual)","41 Source Type",$C$5,"5 Source no.",$C143,"4 Item Ledger Entry Type",$C$4,"2 Item No.","@@"&amp;$F143,"3 Posting Date",Z$9)</t>
  </si>
  <si>
    <t>=-NL("Sum","5802 Value Entry","151 Cost Amount (Expected)","41 Source Type",$C$5,"5 Source No.",$C143,"4 Item Ledger Entry Type",$C$4,"2 Item No.","@@"&amp;$F143,"3 Posting Date",Z$9)-NL("Sum","5802 Value Entry","43 Cost Amount (Actual)","41 Source Type",$C$5,"5 Source no.",$C143,"4 Item Ledger Entry Type",$C$4,"2 Item No.","@@"&amp;$F143,"3 Posting Date",Z$9)</t>
  </si>
  <si>
    <t>=Z143-AB143</t>
  </si>
  <si>
    <t>=IF(Z143&lt;&gt;0,AC143/Z143,"")</t>
  </si>
  <si>
    <t>=C144</t>
  </si>
  <si>
    <t>=J145-L145</t>
  </si>
  <si>
    <t>=IF(J145&lt;&gt;0,M145/J145,"")</t>
  </si>
  <si>
    <t>=O145-Q145</t>
  </si>
  <si>
    <t>=IF(O145&lt;&gt;0,R145/O145,"")</t>
  </si>
  <si>
    <t>=U145-W145</t>
  </si>
  <si>
    <t>=IF(U145&lt;&gt;0,X145/U145,"")</t>
  </si>
  <si>
    <t>=Z145-AB145</t>
  </si>
  <si>
    <t>=IF(Z145&lt;&gt;0,AC145/Z145,"")</t>
  </si>
  <si>
    <t>="C100015"</t>
  </si>
  <si>
    <t>=NL("Sum","5802 Value Entry","150 Sales Amount (Expected)","41 Source Type",$C$5,"5 Source No.",$C149,"4 Item Ledger Entry Type",$C$4,"2 Item No.","@@"&amp;$F149,"3 Posting Date",J$9)+NL("Sum","5802 Value Entry","17 Sales Amount (Actual)","41 Source Type",$C$5,"5 Source no.",$C149,"4 Item Ledger Entry Type",$C$4,"2 Item No.","@@"&amp;$F149,"3 Posting Date",J$9)</t>
  </si>
  <si>
    <t>=-NL("Sum","5802 Value Entry","151 Cost Amount (Expected)","41 Source Type",$C$5,"5 Source No.",$C149,"4 Item Ledger Entry Type",$C$4,"2 Item No.","@@"&amp;$F149,"3 Posting Date",J$9)-NL("Sum","5802 Value Entry","43 Cost Amount (Actual)","41 Source Type",$C$5,"5 Source no.",$C149,"4 Item Ledger Entry Type",$C$4,"2 Item No.","@@"&amp;$F149,"3 Posting Date",J$9)</t>
  </si>
  <si>
    <t>=J149-L149</t>
  </si>
  <si>
    <t>=IF(J149&lt;&gt;0,M149/J149,"")</t>
  </si>
  <si>
    <t>=NL("Sum","5802 Value Entry","150 Sales Amount (Expected)","41 Source Type",$C$5,"5 Source No.",$C149,"4 Item Ledger Entry Type",$C$4,"2 Item No.","@@"&amp;$F149,"3 Posting Date",O$9)+NL("Sum","5802 Value Entry","17 Sales Amount (Actual)","41 Source Type",$C$5,"5 Source no.",$C149,"4 Item Ledger Entry Type",$C$4,"2 Item No.","@@"&amp;$F149,"3 Posting Date",O$9)</t>
  </si>
  <si>
    <t>=-NL("Sum","5802 Value Entry","151 Cost Amount (Expected)","41 Source Type",$C$5,"5 Source No.",$C149,"4 Item Ledger Entry Type",$C$4,"2 Item No.","@@"&amp;$F149,"3 Posting Date",O$9)-NL("Sum","5802 Value Entry","43 Cost Amount (Actual)","41 Source Type",$C$5,"5 Source no.",$C149,"4 Item Ledger Entry Type",$C$4,"2 Item No.","@@"&amp;$F149,"3 Posting Date",O$9)</t>
  </si>
  <si>
    <t>=O149-Q149</t>
  </si>
  <si>
    <t>=IF(O149&lt;&gt;0,R149/O149,"")</t>
  </si>
  <si>
    <t>=NL("Sum","5802 Value Entry","150 Sales Amount (Expected)","41 Source Type",$C$5,"5 Source No.",$C149,"4 Item Ledger Entry Type",$C$4,"2 Item No.","@@"&amp;$F149,"3 Posting Date",U$9)+NL("Sum","5802 Value Entry","17 Sales Amount (Actual)","41 Source Type",$C$5,"5 Source no.",$C149,"4 Item Ledger Entry Type",$C$4,"2 Item No.","@@"&amp;$F149,"3 Posting Date",U$9)</t>
  </si>
  <si>
    <t>=-NL("Sum","5802 Value Entry","151 Cost Amount (Expected)","41 Source Type",$C$5,"5 Source No.",$C149,"4 Item Ledger Entry Type",$C$4,"2 Item No.","@@"&amp;$F149,"3 Posting Date",U$9)-NL("Sum","5802 Value Entry","43 Cost Amount (Actual)","41 Source Type",$C$5,"5 Source no.",$C149,"4 Item Ledger Entry Type",$C$4,"2 Item No.","@@"&amp;$F149,"3 Posting Date",U$9)</t>
  </si>
  <si>
    <t>=U149-W149</t>
  </si>
  <si>
    <t>=IF(U149&lt;&gt;0,X149/U149,"")</t>
  </si>
  <si>
    <t>=NL("Sum","5802 Value Entry","150 Sales Amount (Expected)","41 Source Type",$C$5,"5 Source No.",$C149,"4 Item Ledger Entry Type",$C$4,"2 Item No.","@@"&amp;$F149,"3 Posting Date",Z$9)+NL("Sum","5802 Value Entry","17 Sales Amount (Actual)","41 Source Type",$C$5,"5 Source no.",$C149,"4 Item Ledger Entry Type",$C$4,"2 Item No.","@@"&amp;$F149,"3 Posting Date",Z$9)</t>
  </si>
  <si>
    <t>=-NL("Sum","5802 Value Entry","151 Cost Amount (Expected)","41 Source Type",$C$5,"5 Source No.",$C149,"4 Item Ledger Entry Type",$C$4,"2 Item No.","@@"&amp;$F149,"3 Posting Date",Z$9)-NL("Sum","5802 Value Entry","43 Cost Amount (Actual)","41 Source Type",$C$5,"5 Source no.",$C149,"4 Item Ledger Entry Type",$C$4,"2 Item No.","@@"&amp;$F149,"3 Posting Date",Z$9)</t>
  </si>
  <si>
    <t>=Z149-AB149</t>
  </si>
  <si>
    <t>=IF(Z149&lt;&gt;0,AC149/Z149,"")</t>
  </si>
  <si>
    <t>=NL("Sum","5802 Value Entry","150 Sales Amount (Expected)","41 Source Type",$C$5,"5 Source No.",$C150,"4 Item Ledger Entry Type",$C$4,"2 Item No.","@@"&amp;$F150,"3 Posting Date",J$9)+NL("Sum","5802 Value Entry","17 Sales Amount (Actual)","41 Source Type",$C$5,"5 Source no.",$C150,"4 Item Ledger Entry Type",$C$4,"2 Item No.","@@"&amp;$F150,"3 Posting Date",J$9)</t>
  </si>
  <si>
    <t>=-NL("Sum","5802 Value Entry","151 Cost Amount (Expected)","41 Source Type",$C$5,"5 Source No.",$C150,"4 Item Ledger Entry Type",$C$4,"2 Item No.","@@"&amp;$F150,"3 Posting Date",J$9)-NL("Sum","5802 Value Entry","43 Cost Amount (Actual)","41 Source Type",$C$5,"5 Source no.",$C150,"4 Item Ledger Entry Type",$C$4,"2 Item No.","@@"&amp;$F150,"3 Posting Date",J$9)</t>
  </si>
  <si>
    <t>=NL("Sum","5802 Value Entry","150 Sales Amount (Expected)","41 Source Type",$C$5,"5 Source No.",$C150,"4 Item Ledger Entry Type",$C$4,"2 Item No.","@@"&amp;$F150,"3 Posting Date",O$9)+NL("Sum","5802 Value Entry","17 Sales Amount (Actual)","41 Source Type",$C$5,"5 Source no.",$C150,"4 Item Ledger Entry Type",$C$4,"2 Item No.","@@"&amp;$F150,"3 Posting Date",O$9)</t>
  </si>
  <si>
    <t>=-NL("Sum","5802 Value Entry","151 Cost Amount (Expected)","41 Source Type",$C$5,"5 Source No.",$C150,"4 Item Ledger Entry Type",$C$4,"2 Item No.","@@"&amp;$F150,"3 Posting Date",O$9)-NL("Sum","5802 Value Entry","43 Cost Amount (Actual)","41 Source Type",$C$5,"5 Source no.",$C150,"4 Item Ledger Entry Type",$C$4,"2 Item No.","@@"&amp;$F150,"3 Posting Date",O$9)</t>
  </si>
  <si>
    <t>=NL("Sum","5802 Value Entry","150 Sales Amount (Expected)","41 Source Type",$C$5,"5 Source No.",$C150,"4 Item Ledger Entry Type",$C$4,"2 Item No.","@@"&amp;$F150,"3 Posting Date",U$9)+NL("Sum","5802 Value Entry","17 Sales Amount (Actual)","41 Source Type",$C$5,"5 Source no.",$C150,"4 Item Ledger Entry Type",$C$4,"2 Item No.","@@"&amp;$F150,"3 Posting Date",U$9)</t>
  </si>
  <si>
    <t>=-NL("Sum","5802 Value Entry","151 Cost Amount (Expected)","41 Source Type",$C$5,"5 Source No.",$C150,"4 Item Ledger Entry Type",$C$4,"2 Item No.","@@"&amp;$F150,"3 Posting Date",U$9)-NL("Sum","5802 Value Entry","43 Cost Amount (Actual)","41 Source Type",$C$5,"5 Source no.",$C150,"4 Item Ledger Entry Type",$C$4,"2 Item No.","@@"&amp;$F150,"3 Posting Date",U$9)</t>
  </si>
  <si>
    <t>=NL("Sum","5802 Value Entry","150 Sales Amount (Expected)","41 Source Type",$C$5,"5 Source No.",$C150,"4 Item Ledger Entry Type",$C$4,"2 Item No.","@@"&amp;$F150,"3 Posting Date",Z$9)+NL("Sum","5802 Value Entry","17 Sales Amount (Actual)","41 Source Type",$C$5,"5 Source no.",$C150,"4 Item Ledger Entry Type",$C$4,"2 Item No.","@@"&amp;$F150,"3 Posting Date",Z$9)</t>
  </si>
  <si>
    <t>=-NL("Sum","5802 Value Entry","151 Cost Amount (Expected)","41 Source Type",$C$5,"5 Source No.",$C150,"4 Item Ledger Entry Type",$C$4,"2 Item No.","@@"&amp;$F150,"3 Posting Date",Z$9)-NL("Sum","5802 Value Entry","43 Cost Amount (Actual)","41 Source Type",$C$5,"5 Source no.",$C150,"4 Item Ledger Entry Type",$C$4,"2 Item No.","@@"&amp;$F150,"3 Posting Date",Z$9)</t>
  </si>
  <si>
    <t>=C150</t>
  </si>
  <si>
    <t>="C100007"</t>
  </si>
  <si>
    <t>=NL("Sum","5802 Value Entry","150 Sales Amount (Expected)","41 Source Type",$C$5,"5 Source No.",$C151,"4 Item Ledger Entry Type",$C$4,"2 Item No.","@@"&amp;$F151,"3 Posting Date",J$9)+NL("Sum","5802 Value Entry","17 Sales Amount (Actual)","41 Source Type",$C$5,"5 Source no.",$C151,"4 Item Ledger Entry Type",$C$4,"2 Item No.","@@"&amp;$F151,"3 Posting Date",J$9)</t>
  </si>
  <si>
    <t>=-NL("Sum","5802 Value Entry","151 Cost Amount (Expected)","41 Source Type",$C$5,"5 Source No.",$C151,"4 Item Ledger Entry Type",$C$4,"2 Item No.","@@"&amp;$F151,"3 Posting Date",J$9)-NL("Sum","5802 Value Entry","43 Cost Amount (Actual)","41 Source Type",$C$5,"5 Source no.",$C151,"4 Item Ledger Entry Type",$C$4,"2 Item No.","@@"&amp;$F151,"3 Posting Date",J$9)</t>
  </si>
  <si>
    <t>=J151-L151</t>
  </si>
  <si>
    <t>=IF(J151&lt;&gt;0,M151/J151,"")</t>
  </si>
  <si>
    <t>=NL("Sum","5802 Value Entry","150 Sales Amount (Expected)","41 Source Type",$C$5,"5 Source No.",$C151,"4 Item Ledger Entry Type",$C$4,"2 Item No.","@@"&amp;$F151,"3 Posting Date",O$9)+NL("Sum","5802 Value Entry","17 Sales Amount (Actual)","41 Source Type",$C$5,"5 Source no.",$C151,"4 Item Ledger Entry Type",$C$4,"2 Item No.","@@"&amp;$F151,"3 Posting Date",O$9)</t>
  </si>
  <si>
    <t>=-NL("Sum","5802 Value Entry","151 Cost Amount (Expected)","41 Source Type",$C$5,"5 Source No.",$C151,"4 Item Ledger Entry Type",$C$4,"2 Item No.","@@"&amp;$F151,"3 Posting Date",O$9)-NL("Sum","5802 Value Entry","43 Cost Amount (Actual)","41 Source Type",$C$5,"5 Source no.",$C151,"4 Item Ledger Entry Type",$C$4,"2 Item No.","@@"&amp;$F151,"3 Posting Date",O$9)</t>
  </si>
  <si>
    <t>=O151-Q151</t>
  </si>
  <si>
    <t>=IF(O151&lt;&gt;0,R151/O151,"")</t>
  </si>
  <si>
    <t>=NL("Sum","5802 Value Entry","150 Sales Amount (Expected)","41 Source Type",$C$5,"5 Source No.",$C151,"4 Item Ledger Entry Type",$C$4,"2 Item No.","@@"&amp;$F151,"3 Posting Date",U$9)+NL("Sum","5802 Value Entry","17 Sales Amount (Actual)","41 Source Type",$C$5,"5 Source no.",$C151,"4 Item Ledger Entry Type",$C$4,"2 Item No.","@@"&amp;$F151,"3 Posting Date",U$9)</t>
  </si>
  <si>
    <t>=-NL("Sum","5802 Value Entry","151 Cost Amount (Expected)","41 Source Type",$C$5,"5 Source No.",$C151,"4 Item Ledger Entry Type",$C$4,"2 Item No.","@@"&amp;$F151,"3 Posting Date",U$9)-NL("Sum","5802 Value Entry","43 Cost Amount (Actual)","41 Source Type",$C$5,"5 Source no.",$C151,"4 Item Ledger Entry Type",$C$4,"2 Item No.","@@"&amp;$F151,"3 Posting Date",U$9)</t>
  </si>
  <si>
    <t>=U151-W151</t>
  </si>
  <si>
    <t>=IF(U151&lt;&gt;0,X151/U151,"")</t>
  </si>
  <si>
    <t>=NL("Sum","5802 Value Entry","150 Sales Amount (Expected)","41 Source Type",$C$5,"5 Source No.",$C151,"4 Item Ledger Entry Type",$C$4,"2 Item No.","@@"&amp;$F151,"3 Posting Date",Z$9)+NL("Sum","5802 Value Entry","17 Sales Amount (Actual)","41 Source Type",$C$5,"5 Source no.",$C151,"4 Item Ledger Entry Type",$C$4,"2 Item No.","@@"&amp;$F151,"3 Posting Date",Z$9)</t>
  </si>
  <si>
    <t>=-NL("Sum","5802 Value Entry","151 Cost Amount (Expected)","41 Source Type",$C$5,"5 Source No.",$C151,"4 Item Ledger Entry Type",$C$4,"2 Item No.","@@"&amp;$F151,"3 Posting Date",Z$9)-NL("Sum","5802 Value Entry","43 Cost Amount (Actual)","41 Source Type",$C$5,"5 Source no.",$C151,"4 Item Ledger Entry Type",$C$4,"2 Item No.","@@"&amp;$F151,"3 Posting Date",Z$9)</t>
  </si>
  <si>
    <t>=Z151-AB151</t>
  </si>
  <si>
    <t>=IF(Z151&lt;&gt;0,AC151/Z151,"")</t>
  </si>
  <si>
    <t>=C151</t>
  </si>
  <si>
    <t>="C100008"</t>
  </si>
  <si>
    <t>=NL("Sum","5802 Value Entry","150 Sales Amount (Expected)","41 Source Type",$C$5,"5 Source No.",$C152,"4 Item Ledger Entry Type",$C$4,"2 Item No.","@@"&amp;$F152,"3 Posting Date",J$9)+NL("Sum","5802 Value Entry","17 Sales Amount (Actual)","41 Source Type",$C$5,"5 Source no.",$C152,"4 Item Ledger Entry Type",$C$4,"2 Item No.","@@"&amp;$F152,"3 Posting Date",J$9)</t>
  </si>
  <si>
    <t>=-NL("Sum","5802 Value Entry","151 Cost Amount (Expected)","41 Source Type",$C$5,"5 Source No.",$C152,"4 Item Ledger Entry Type",$C$4,"2 Item No.","@@"&amp;$F152,"3 Posting Date",J$9)-NL("Sum","5802 Value Entry","43 Cost Amount (Actual)","41 Source Type",$C$5,"5 Source no.",$C152,"4 Item Ledger Entry Type",$C$4,"2 Item No.","@@"&amp;$F152,"3 Posting Date",J$9)</t>
  </si>
  <si>
    <t>=J152-L152</t>
  </si>
  <si>
    <t>=IF(J152&lt;&gt;0,M152/J152,"")</t>
  </si>
  <si>
    <t>=NL("Sum","5802 Value Entry","150 Sales Amount (Expected)","41 Source Type",$C$5,"5 Source No.",$C152,"4 Item Ledger Entry Type",$C$4,"2 Item No.","@@"&amp;$F152,"3 Posting Date",O$9)+NL("Sum","5802 Value Entry","17 Sales Amount (Actual)","41 Source Type",$C$5,"5 Source no.",$C152,"4 Item Ledger Entry Type",$C$4,"2 Item No.","@@"&amp;$F152,"3 Posting Date",O$9)</t>
  </si>
  <si>
    <t>=-NL("Sum","5802 Value Entry","151 Cost Amount (Expected)","41 Source Type",$C$5,"5 Source No.",$C152,"4 Item Ledger Entry Type",$C$4,"2 Item No.","@@"&amp;$F152,"3 Posting Date",O$9)-NL("Sum","5802 Value Entry","43 Cost Amount (Actual)","41 Source Type",$C$5,"5 Source no.",$C152,"4 Item Ledger Entry Type",$C$4,"2 Item No.","@@"&amp;$F152,"3 Posting Date",O$9)</t>
  </si>
  <si>
    <t>=O152-Q152</t>
  </si>
  <si>
    <t>=IF(O152&lt;&gt;0,R152/O152,"")</t>
  </si>
  <si>
    <t>=NL("Sum","5802 Value Entry","150 Sales Amount (Expected)","41 Source Type",$C$5,"5 Source No.",$C152,"4 Item Ledger Entry Type",$C$4,"2 Item No.","@@"&amp;$F152,"3 Posting Date",U$9)+NL("Sum","5802 Value Entry","17 Sales Amount (Actual)","41 Source Type",$C$5,"5 Source no.",$C152,"4 Item Ledger Entry Type",$C$4,"2 Item No.","@@"&amp;$F152,"3 Posting Date",U$9)</t>
  </si>
  <si>
    <t>=-NL("Sum","5802 Value Entry","151 Cost Amount (Expected)","41 Source Type",$C$5,"5 Source No.",$C152,"4 Item Ledger Entry Type",$C$4,"2 Item No.","@@"&amp;$F152,"3 Posting Date",U$9)-NL("Sum","5802 Value Entry","43 Cost Amount (Actual)","41 Source Type",$C$5,"5 Source no.",$C152,"4 Item Ledger Entry Type",$C$4,"2 Item No.","@@"&amp;$F152,"3 Posting Date",U$9)</t>
  </si>
  <si>
    <t>=U152-W152</t>
  </si>
  <si>
    <t>=IF(U152&lt;&gt;0,X152/U152,"")</t>
  </si>
  <si>
    <t>=NL("Sum","5802 Value Entry","150 Sales Amount (Expected)","41 Source Type",$C$5,"5 Source No.",$C152,"4 Item Ledger Entry Type",$C$4,"2 Item No.","@@"&amp;$F152,"3 Posting Date",Z$9)+NL("Sum","5802 Value Entry","17 Sales Amount (Actual)","41 Source Type",$C$5,"5 Source no.",$C152,"4 Item Ledger Entry Type",$C$4,"2 Item No.","@@"&amp;$F152,"3 Posting Date",Z$9)</t>
  </si>
  <si>
    <t>=-NL("Sum","5802 Value Entry","151 Cost Amount (Expected)","41 Source Type",$C$5,"5 Source No.",$C152,"4 Item Ledger Entry Type",$C$4,"2 Item No.","@@"&amp;$F152,"3 Posting Date",Z$9)-NL("Sum","5802 Value Entry","43 Cost Amount (Actual)","41 Source Type",$C$5,"5 Source no.",$C152,"4 Item Ledger Entry Type",$C$4,"2 Item No.","@@"&amp;$F152,"3 Posting Date",Z$9)</t>
  </si>
  <si>
    <t>=Z152-AB152</t>
  </si>
  <si>
    <t>=IF(Z152&lt;&gt;0,AC152/Z152,"")</t>
  </si>
  <si>
    <t>="C100009"</t>
  </si>
  <si>
    <t>=NL("Sum","5802 Value Entry","150 Sales Amount (Expected)","41 Source Type",$C$5,"5 Source No.",$C153,"4 Item Ledger Entry Type",$C$4,"2 Item No.","@@"&amp;$F153,"3 Posting Date",J$9)+NL("Sum","5802 Value Entry","17 Sales Amount (Actual)","41 Source Type",$C$5,"5 Source no.",$C153,"4 Item Ledger Entry Type",$C$4,"2 Item No.","@@"&amp;$F153,"3 Posting Date",J$9)</t>
  </si>
  <si>
    <t>=-NL("Sum","5802 Value Entry","151 Cost Amount (Expected)","41 Source Type",$C$5,"5 Source No.",$C153,"4 Item Ledger Entry Type",$C$4,"2 Item No.","@@"&amp;$F153,"3 Posting Date",J$9)-NL("Sum","5802 Value Entry","43 Cost Amount (Actual)","41 Source Type",$C$5,"5 Source no.",$C153,"4 Item Ledger Entry Type",$C$4,"2 Item No.","@@"&amp;$F153,"3 Posting Date",J$9)</t>
  </si>
  <si>
    <t>=J153-L153</t>
  </si>
  <si>
    <t>=IF(J153&lt;&gt;0,M153/J153,"")</t>
  </si>
  <si>
    <t>=NL("Sum","5802 Value Entry","150 Sales Amount (Expected)","41 Source Type",$C$5,"5 Source No.",$C153,"4 Item Ledger Entry Type",$C$4,"2 Item No.","@@"&amp;$F153,"3 Posting Date",O$9)+NL("Sum","5802 Value Entry","17 Sales Amount (Actual)","41 Source Type",$C$5,"5 Source no.",$C153,"4 Item Ledger Entry Type",$C$4,"2 Item No.","@@"&amp;$F153,"3 Posting Date",O$9)</t>
  </si>
  <si>
    <t>=-NL("Sum","5802 Value Entry","151 Cost Amount (Expected)","41 Source Type",$C$5,"5 Source No.",$C153,"4 Item Ledger Entry Type",$C$4,"2 Item No.","@@"&amp;$F153,"3 Posting Date",O$9)-NL("Sum","5802 Value Entry","43 Cost Amount (Actual)","41 Source Type",$C$5,"5 Source no.",$C153,"4 Item Ledger Entry Type",$C$4,"2 Item No.","@@"&amp;$F153,"3 Posting Date",O$9)</t>
  </si>
  <si>
    <t>=O153-Q153</t>
  </si>
  <si>
    <t>=IF(O153&lt;&gt;0,R153/O153,"")</t>
  </si>
  <si>
    <t>=NL("Sum","5802 Value Entry","150 Sales Amount (Expected)","41 Source Type",$C$5,"5 Source No.",$C153,"4 Item Ledger Entry Type",$C$4,"2 Item No.","@@"&amp;$F153,"3 Posting Date",U$9)+NL("Sum","5802 Value Entry","17 Sales Amount (Actual)","41 Source Type",$C$5,"5 Source no.",$C153,"4 Item Ledger Entry Type",$C$4,"2 Item No.","@@"&amp;$F153,"3 Posting Date",U$9)</t>
  </si>
  <si>
    <t>=-NL("Sum","5802 Value Entry","151 Cost Amount (Expected)","41 Source Type",$C$5,"5 Source No.",$C153,"4 Item Ledger Entry Type",$C$4,"2 Item No.","@@"&amp;$F153,"3 Posting Date",U$9)-NL("Sum","5802 Value Entry","43 Cost Amount (Actual)","41 Source Type",$C$5,"5 Source no.",$C153,"4 Item Ledger Entry Type",$C$4,"2 Item No.","@@"&amp;$F153,"3 Posting Date",U$9)</t>
  </si>
  <si>
    <t>=U153-W153</t>
  </si>
  <si>
    <t>=IF(U153&lt;&gt;0,X153/U153,"")</t>
  </si>
  <si>
    <t>=NL("Sum","5802 Value Entry","150 Sales Amount (Expected)","41 Source Type",$C$5,"5 Source No.",$C153,"4 Item Ledger Entry Type",$C$4,"2 Item No.","@@"&amp;$F153,"3 Posting Date",Z$9)+NL("Sum","5802 Value Entry","17 Sales Amount (Actual)","41 Source Type",$C$5,"5 Source no.",$C153,"4 Item Ledger Entry Type",$C$4,"2 Item No.","@@"&amp;$F153,"3 Posting Date",Z$9)</t>
  </si>
  <si>
    <t>=-NL("Sum","5802 Value Entry","151 Cost Amount (Expected)","41 Source Type",$C$5,"5 Source No.",$C153,"4 Item Ledger Entry Type",$C$4,"2 Item No.","@@"&amp;$F153,"3 Posting Date",Z$9)-NL("Sum","5802 Value Entry","43 Cost Amount (Actual)","41 Source Type",$C$5,"5 Source no.",$C153,"4 Item Ledger Entry Type",$C$4,"2 Item No.","@@"&amp;$F153,"3 Posting Date",Z$9)</t>
  </si>
  <si>
    <t>=Z153-AB153</t>
  </si>
  <si>
    <t>=IF(Z153&lt;&gt;0,AC153/Z153,"")</t>
  </si>
  <si>
    <t>="C100010"</t>
  </si>
  <si>
    <t>=NL("Sum","5802 Value Entry","150 Sales Amount (Expected)","41 Source Type",$C$5,"5 Source No.",$C154,"4 Item Ledger Entry Type",$C$4,"2 Item No.","@@"&amp;$F154,"3 Posting Date",J$9)+NL("Sum","5802 Value Entry","17 Sales Amount (Actual)","41 Source Type",$C$5,"5 Source no.",$C154,"4 Item Ledger Entry Type",$C$4,"2 Item No.","@@"&amp;$F154,"3 Posting Date",J$9)</t>
  </si>
  <si>
    <t>=-NL("Sum","5802 Value Entry","151 Cost Amount (Expected)","41 Source Type",$C$5,"5 Source No.",$C154,"4 Item Ledger Entry Type",$C$4,"2 Item No.","@@"&amp;$F154,"3 Posting Date",J$9)-NL("Sum","5802 Value Entry","43 Cost Amount (Actual)","41 Source Type",$C$5,"5 Source no.",$C154,"4 Item Ledger Entry Type",$C$4,"2 Item No.","@@"&amp;$F154,"3 Posting Date",J$9)</t>
  </si>
  <si>
    <t>=NL("Sum","5802 Value Entry","150 Sales Amount (Expected)","41 Source Type",$C$5,"5 Source No.",$C154,"4 Item Ledger Entry Type",$C$4,"2 Item No.","@@"&amp;$F154,"3 Posting Date",O$9)+NL("Sum","5802 Value Entry","17 Sales Amount (Actual)","41 Source Type",$C$5,"5 Source no.",$C154,"4 Item Ledger Entry Type",$C$4,"2 Item No.","@@"&amp;$F154,"3 Posting Date",O$9)</t>
  </si>
  <si>
    <t>=-NL("Sum","5802 Value Entry","151 Cost Amount (Expected)","41 Source Type",$C$5,"5 Source No.",$C154,"4 Item Ledger Entry Type",$C$4,"2 Item No.","@@"&amp;$F154,"3 Posting Date",O$9)-NL("Sum","5802 Value Entry","43 Cost Amount (Actual)","41 Source Type",$C$5,"5 Source no.",$C154,"4 Item Ledger Entry Type",$C$4,"2 Item No.","@@"&amp;$F154,"3 Posting Date",O$9)</t>
  </si>
  <si>
    <t>=NL("Sum","5802 Value Entry","150 Sales Amount (Expected)","41 Source Type",$C$5,"5 Source No.",$C154,"4 Item Ledger Entry Type",$C$4,"2 Item No.","@@"&amp;$F154,"3 Posting Date",U$9)+NL("Sum","5802 Value Entry","17 Sales Amount (Actual)","41 Source Type",$C$5,"5 Source no.",$C154,"4 Item Ledger Entry Type",$C$4,"2 Item No.","@@"&amp;$F154,"3 Posting Date",U$9)</t>
  </si>
  <si>
    <t>=-NL("Sum","5802 Value Entry","151 Cost Amount (Expected)","41 Source Type",$C$5,"5 Source No.",$C154,"4 Item Ledger Entry Type",$C$4,"2 Item No.","@@"&amp;$F154,"3 Posting Date",U$9)-NL("Sum","5802 Value Entry","43 Cost Amount (Actual)","41 Source Type",$C$5,"5 Source no.",$C154,"4 Item Ledger Entry Type",$C$4,"2 Item No.","@@"&amp;$F154,"3 Posting Date",U$9)</t>
  </si>
  <si>
    <t>=NL("Sum","5802 Value Entry","150 Sales Amount (Expected)","41 Source Type",$C$5,"5 Source No.",$C154,"4 Item Ledger Entry Type",$C$4,"2 Item No.","@@"&amp;$F154,"3 Posting Date",Z$9)+NL("Sum","5802 Value Entry","17 Sales Amount (Actual)","41 Source Type",$C$5,"5 Source no.",$C154,"4 Item Ledger Entry Type",$C$4,"2 Item No.","@@"&amp;$F154,"3 Posting Date",Z$9)</t>
  </si>
  <si>
    <t>=-NL("Sum","5802 Value Entry","151 Cost Amount (Expected)","41 Source Type",$C$5,"5 Source No.",$C154,"4 Item Ledger Entry Type",$C$4,"2 Item No.","@@"&amp;$F154,"3 Posting Date",Z$9)-NL("Sum","5802 Value Entry","43 Cost Amount (Actual)","41 Source Type",$C$5,"5 Source no.",$C154,"4 Item Ledger Entry Type",$C$4,"2 Item No.","@@"&amp;$F154,"3 Posting Date",Z$9)</t>
  </si>
  <si>
    <t>=NL("Sum","5802 Value Entry","150 Sales Amount (Expected)","41 Source Type",$C$5,"5 Source No.",$C155,"4 Item Ledger Entry Type",$C$4,"2 Item No.","@@"&amp;$F155,"3 Posting Date",J$9)+NL("Sum","5802 Value Entry","17 Sales Amount (Actual)","41 Source Type",$C$5,"5 Source no.",$C155,"4 Item Ledger Entry Type",$C$4,"2 Item No.","@@"&amp;$F155,"3 Posting Date",J$9)</t>
  </si>
  <si>
    <t>=-NL("Sum","5802 Value Entry","151 Cost Amount (Expected)","41 Source Type",$C$5,"5 Source No.",$C155,"4 Item Ledger Entry Type",$C$4,"2 Item No.","@@"&amp;$F155,"3 Posting Date",J$9)-NL("Sum","5802 Value Entry","43 Cost Amount (Actual)","41 Source Type",$C$5,"5 Source no.",$C155,"4 Item Ledger Entry Type",$C$4,"2 Item No.","@@"&amp;$F155,"3 Posting Date",J$9)</t>
  </si>
  <si>
    <t>=J155-L155</t>
  </si>
  <si>
    <t>=IF(J155&lt;&gt;0,M155/J155,"")</t>
  </si>
  <si>
    <t>=NL("Sum","5802 Value Entry","150 Sales Amount (Expected)","41 Source Type",$C$5,"5 Source No.",$C155,"4 Item Ledger Entry Type",$C$4,"2 Item No.","@@"&amp;$F155,"3 Posting Date",O$9)+NL("Sum","5802 Value Entry","17 Sales Amount (Actual)","41 Source Type",$C$5,"5 Source no.",$C155,"4 Item Ledger Entry Type",$C$4,"2 Item No.","@@"&amp;$F155,"3 Posting Date",O$9)</t>
  </si>
  <si>
    <t>=-NL("Sum","5802 Value Entry","151 Cost Amount (Expected)","41 Source Type",$C$5,"5 Source No.",$C155,"4 Item Ledger Entry Type",$C$4,"2 Item No.","@@"&amp;$F155,"3 Posting Date",O$9)-NL("Sum","5802 Value Entry","43 Cost Amount (Actual)","41 Source Type",$C$5,"5 Source no.",$C155,"4 Item Ledger Entry Type",$C$4,"2 Item No.","@@"&amp;$F155,"3 Posting Date",O$9)</t>
  </si>
  <si>
    <t>=O155-Q155</t>
  </si>
  <si>
    <t>=IF(O155&lt;&gt;0,R155/O155,"")</t>
  </si>
  <si>
    <t>=NL("Sum","5802 Value Entry","150 Sales Amount (Expected)","41 Source Type",$C$5,"5 Source No.",$C155,"4 Item Ledger Entry Type",$C$4,"2 Item No.","@@"&amp;$F155,"3 Posting Date",U$9)+NL("Sum","5802 Value Entry","17 Sales Amount (Actual)","41 Source Type",$C$5,"5 Source no.",$C155,"4 Item Ledger Entry Type",$C$4,"2 Item No.","@@"&amp;$F155,"3 Posting Date",U$9)</t>
  </si>
  <si>
    <t>=-NL("Sum","5802 Value Entry","151 Cost Amount (Expected)","41 Source Type",$C$5,"5 Source No.",$C155,"4 Item Ledger Entry Type",$C$4,"2 Item No.","@@"&amp;$F155,"3 Posting Date",U$9)-NL("Sum","5802 Value Entry","43 Cost Amount (Actual)","41 Source Type",$C$5,"5 Source no.",$C155,"4 Item Ledger Entry Type",$C$4,"2 Item No.","@@"&amp;$F155,"3 Posting Date",U$9)</t>
  </si>
  <si>
    <t>=U155-W155</t>
  </si>
  <si>
    <t>=IF(U155&lt;&gt;0,X155/U155,"")</t>
  </si>
  <si>
    <t>=NL("Sum","5802 Value Entry","150 Sales Amount (Expected)","41 Source Type",$C$5,"5 Source No.",$C155,"4 Item Ledger Entry Type",$C$4,"2 Item No.","@@"&amp;$F155,"3 Posting Date",Z$9)+NL("Sum","5802 Value Entry","17 Sales Amount (Actual)","41 Source Type",$C$5,"5 Source no.",$C155,"4 Item Ledger Entry Type",$C$4,"2 Item No.","@@"&amp;$F155,"3 Posting Date",Z$9)</t>
  </si>
  <si>
    <t>=-NL("Sum","5802 Value Entry","151 Cost Amount (Expected)","41 Source Type",$C$5,"5 Source No.",$C155,"4 Item Ledger Entry Type",$C$4,"2 Item No.","@@"&amp;$F155,"3 Posting Date",Z$9)-NL("Sum","5802 Value Entry","43 Cost Amount (Actual)","41 Source Type",$C$5,"5 Source no.",$C155,"4 Item Ledger Entry Type",$C$4,"2 Item No.","@@"&amp;$F155,"3 Posting Date",Z$9)</t>
  </si>
  <si>
    <t>=Z155-AB155</t>
  </si>
  <si>
    <t>=IF(Z155&lt;&gt;0,AC155/Z155,"")</t>
  </si>
  <si>
    <t>="C100033"</t>
  </si>
  <si>
    <t>=NL("Sum","5802 Value Entry","150 Sales Amount (Expected)","41 Source Type",$C$5,"5 Source No.",$C156,"4 Item Ledger Entry Type",$C$4,"2 Item No.","@@"&amp;$F156,"3 Posting Date",J$9)+NL("Sum","5802 Value Entry","17 Sales Amount (Actual)","41 Source Type",$C$5,"5 Source no.",$C156,"4 Item Ledger Entry Type",$C$4,"2 Item No.","@@"&amp;$F156,"3 Posting Date",J$9)</t>
  </si>
  <si>
    <t>=-NL("Sum","5802 Value Entry","151 Cost Amount (Expected)","41 Source Type",$C$5,"5 Source No.",$C156,"4 Item Ledger Entry Type",$C$4,"2 Item No.","@@"&amp;$F156,"3 Posting Date",J$9)-NL("Sum","5802 Value Entry","43 Cost Amount (Actual)","41 Source Type",$C$5,"5 Source no.",$C156,"4 Item Ledger Entry Type",$C$4,"2 Item No.","@@"&amp;$F156,"3 Posting Date",J$9)</t>
  </si>
  <si>
    <t>=NL("Sum","5802 Value Entry","150 Sales Amount (Expected)","41 Source Type",$C$5,"5 Source No.",$C156,"4 Item Ledger Entry Type",$C$4,"2 Item No.","@@"&amp;$F156,"3 Posting Date",O$9)+NL("Sum","5802 Value Entry","17 Sales Amount (Actual)","41 Source Type",$C$5,"5 Source no.",$C156,"4 Item Ledger Entry Type",$C$4,"2 Item No.","@@"&amp;$F156,"3 Posting Date",O$9)</t>
  </si>
  <si>
    <t>=-NL("Sum","5802 Value Entry","151 Cost Amount (Expected)","41 Source Type",$C$5,"5 Source No.",$C156,"4 Item Ledger Entry Type",$C$4,"2 Item No.","@@"&amp;$F156,"3 Posting Date",O$9)-NL("Sum","5802 Value Entry","43 Cost Amount (Actual)","41 Source Type",$C$5,"5 Source no.",$C156,"4 Item Ledger Entry Type",$C$4,"2 Item No.","@@"&amp;$F156,"3 Posting Date",O$9)</t>
  </si>
  <si>
    <t>=NL("Sum","5802 Value Entry","150 Sales Amount (Expected)","41 Source Type",$C$5,"5 Source No.",$C156,"4 Item Ledger Entry Type",$C$4,"2 Item No.","@@"&amp;$F156,"3 Posting Date",U$9)+NL("Sum","5802 Value Entry","17 Sales Amount (Actual)","41 Source Type",$C$5,"5 Source no.",$C156,"4 Item Ledger Entry Type",$C$4,"2 Item No.","@@"&amp;$F156,"3 Posting Date",U$9)</t>
  </si>
  <si>
    <t>=-NL("Sum","5802 Value Entry","151 Cost Amount (Expected)","41 Source Type",$C$5,"5 Source No.",$C156,"4 Item Ledger Entry Type",$C$4,"2 Item No.","@@"&amp;$F156,"3 Posting Date",U$9)-NL("Sum","5802 Value Entry","43 Cost Amount (Actual)","41 Source Type",$C$5,"5 Source no.",$C156,"4 Item Ledger Entry Type",$C$4,"2 Item No.","@@"&amp;$F156,"3 Posting Date",U$9)</t>
  </si>
  <si>
    <t>=NL("Sum","5802 Value Entry","150 Sales Amount (Expected)","41 Source Type",$C$5,"5 Source No.",$C156,"4 Item Ledger Entry Type",$C$4,"2 Item No.","@@"&amp;$F156,"3 Posting Date",Z$9)+NL("Sum","5802 Value Entry","17 Sales Amount (Actual)","41 Source Type",$C$5,"5 Source no.",$C156,"4 Item Ledger Entry Type",$C$4,"2 Item No.","@@"&amp;$F156,"3 Posting Date",Z$9)</t>
  </si>
  <si>
    <t>=-NL("Sum","5802 Value Entry","151 Cost Amount (Expected)","41 Source Type",$C$5,"5 Source No.",$C156,"4 Item Ledger Entry Type",$C$4,"2 Item No.","@@"&amp;$F156,"3 Posting Date",Z$9)-NL("Sum","5802 Value Entry","43 Cost Amount (Actual)","41 Source Type",$C$5,"5 Source no.",$C156,"4 Item Ledger Entry Type",$C$4,"2 Item No.","@@"&amp;$F156,"3 Posting Date",Z$9)</t>
  </si>
  <si>
    <t>=C156</t>
  </si>
  <si>
    <t>="C100036"</t>
  </si>
  <si>
    <t>=NL("Sum","5802 Value Entry","150 Sales Amount (Expected)","41 Source Type",$C$5,"5 Source No.",$C157,"4 Item Ledger Entry Type",$C$4,"2 Item No.","@@"&amp;$F157,"3 Posting Date",J$9)+NL("Sum","5802 Value Entry","17 Sales Amount (Actual)","41 Source Type",$C$5,"5 Source no.",$C157,"4 Item Ledger Entry Type",$C$4,"2 Item No.","@@"&amp;$F157,"3 Posting Date",J$9)</t>
  </si>
  <si>
    <t>=-NL("Sum","5802 Value Entry","151 Cost Amount (Expected)","41 Source Type",$C$5,"5 Source No.",$C157,"4 Item Ledger Entry Type",$C$4,"2 Item No.","@@"&amp;$F157,"3 Posting Date",J$9)-NL("Sum","5802 Value Entry","43 Cost Amount (Actual)","41 Source Type",$C$5,"5 Source no.",$C157,"4 Item Ledger Entry Type",$C$4,"2 Item No.","@@"&amp;$F157,"3 Posting Date",J$9)</t>
  </si>
  <si>
    <t>=J157-L157</t>
  </si>
  <si>
    <t>=IF(J157&lt;&gt;0,M157/J157,"")</t>
  </si>
  <si>
    <t>=NL("Sum","5802 Value Entry","150 Sales Amount (Expected)","41 Source Type",$C$5,"5 Source No.",$C157,"4 Item Ledger Entry Type",$C$4,"2 Item No.","@@"&amp;$F157,"3 Posting Date",O$9)+NL("Sum","5802 Value Entry","17 Sales Amount (Actual)","41 Source Type",$C$5,"5 Source no.",$C157,"4 Item Ledger Entry Type",$C$4,"2 Item No.","@@"&amp;$F157,"3 Posting Date",O$9)</t>
  </si>
  <si>
    <t>=-NL("Sum","5802 Value Entry","151 Cost Amount (Expected)","41 Source Type",$C$5,"5 Source No.",$C157,"4 Item Ledger Entry Type",$C$4,"2 Item No.","@@"&amp;$F157,"3 Posting Date",O$9)-NL("Sum","5802 Value Entry","43 Cost Amount (Actual)","41 Source Type",$C$5,"5 Source no.",$C157,"4 Item Ledger Entry Type",$C$4,"2 Item No.","@@"&amp;$F157,"3 Posting Date",O$9)</t>
  </si>
  <si>
    <t>=O157-Q157</t>
  </si>
  <si>
    <t>=IF(O157&lt;&gt;0,R157/O157,"")</t>
  </si>
  <si>
    <t>=NL("Sum","5802 Value Entry","150 Sales Amount (Expected)","41 Source Type",$C$5,"5 Source No.",$C157,"4 Item Ledger Entry Type",$C$4,"2 Item No.","@@"&amp;$F157,"3 Posting Date",U$9)+NL("Sum","5802 Value Entry","17 Sales Amount (Actual)","41 Source Type",$C$5,"5 Source no.",$C157,"4 Item Ledger Entry Type",$C$4,"2 Item No.","@@"&amp;$F157,"3 Posting Date",U$9)</t>
  </si>
  <si>
    <t>=-NL("Sum","5802 Value Entry","151 Cost Amount (Expected)","41 Source Type",$C$5,"5 Source No.",$C157,"4 Item Ledger Entry Type",$C$4,"2 Item No.","@@"&amp;$F157,"3 Posting Date",U$9)-NL("Sum","5802 Value Entry","43 Cost Amount (Actual)","41 Source Type",$C$5,"5 Source no.",$C157,"4 Item Ledger Entry Type",$C$4,"2 Item No.","@@"&amp;$F157,"3 Posting Date",U$9)</t>
  </si>
  <si>
    <t>=U157-W157</t>
  </si>
  <si>
    <t>=IF(U157&lt;&gt;0,X157/U157,"")</t>
  </si>
  <si>
    <t>=NL("Sum","5802 Value Entry","150 Sales Amount (Expected)","41 Source Type",$C$5,"5 Source No.",$C157,"4 Item Ledger Entry Type",$C$4,"2 Item No.","@@"&amp;$F157,"3 Posting Date",Z$9)+NL("Sum","5802 Value Entry","17 Sales Amount (Actual)","41 Source Type",$C$5,"5 Source no.",$C157,"4 Item Ledger Entry Type",$C$4,"2 Item No.","@@"&amp;$F157,"3 Posting Date",Z$9)</t>
  </si>
  <si>
    <t>=-NL("Sum","5802 Value Entry","151 Cost Amount (Expected)","41 Source Type",$C$5,"5 Source No.",$C157,"4 Item Ledger Entry Type",$C$4,"2 Item No.","@@"&amp;$F157,"3 Posting Date",Z$9)-NL("Sum","5802 Value Entry","43 Cost Amount (Actual)","41 Source Type",$C$5,"5 Source no.",$C157,"4 Item Ledger Entry Type",$C$4,"2 Item No.","@@"&amp;$F157,"3 Posting Date",Z$9)</t>
  </si>
  <si>
    <t>=Z157-AB157</t>
  </si>
  <si>
    <t>=IF(Z157&lt;&gt;0,AC157/Z157,"")</t>
  </si>
  <si>
    <t>=C157</t>
  </si>
  <si>
    <t>="C100037"</t>
  </si>
  <si>
    <t>=NL("Sum","5802 Value Entry","150 Sales Amount (Expected)","41 Source Type",$C$5,"5 Source No.",$C158,"4 Item Ledger Entry Type",$C$4,"2 Item No.","@@"&amp;$F158,"3 Posting Date",J$9)+NL("Sum","5802 Value Entry","17 Sales Amount (Actual)","41 Source Type",$C$5,"5 Source no.",$C158,"4 Item Ledger Entry Type",$C$4,"2 Item No.","@@"&amp;$F158,"3 Posting Date",J$9)</t>
  </si>
  <si>
    <t>=-NL("Sum","5802 Value Entry","151 Cost Amount (Expected)","41 Source Type",$C$5,"5 Source No.",$C158,"4 Item Ledger Entry Type",$C$4,"2 Item No.","@@"&amp;$F158,"3 Posting Date",J$9)-NL("Sum","5802 Value Entry","43 Cost Amount (Actual)","41 Source Type",$C$5,"5 Source no.",$C158,"4 Item Ledger Entry Type",$C$4,"2 Item No.","@@"&amp;$F158,"3 Posting Date",J$9)</t>
  </si>
  <si>
    <t>=J158-L158</t>
  </si>
  <si>
    <t>=IF(J158&lt;&gt;0,M158/J158,"")</t>
  </si>
  <si>
    <t>=NL("Sum","5802 Value Entry","150 Sales Amount (Expected)","41 Source Type",$C$5,"5 Source No.",$C158,"4 Item Ledger Entry Type",$C$4,"2 Item No.","@@"&amp;$F158,"3 Posting Date",O$9)+NL("Sum","5802 Value Entry","17 Sales Amount (Actual)","41 Source Type",$C$5,"5 Source no.",$C158,"4 Item Ledger Entry Type",$C$4,"2 Item No.","@@"&amp;$F158,"3 Posting Date",O$9)</t>
  </si>
  <si>
    <t>=-NL("Sum","5802 Value Entry","151 Cost Amount (Expected)","41 Source Type",$C$5,"5 Source No.",$C158,"4 Item Ledger Entry Type",$C$4,"2 Item No.","@@"&amp;$F158,"3 Posting Date",O$9)-NL("Sum","5802 Value Entry","43 Cost Amount (Actual)","41 Source Type",$C$5,"5 Source no.",$C158,"4 Item Ledger Entry Type",$C$4,"2 Item No.","@@"&amp;$F158,"3 Posting Date",O$9)</t>
  </si>
  <si>
    <t>=O158-Q158</t>
  </si>
  <si>
    <t>=IF(O158&lt;&gt;0,R158/O158,"")</t>
  </si>
  <si>
    <t>=NL("Sum","5802 Value Entry","150 Sales Amount (Expected)","41 Source Type",$C$5,"5 Source No.",$C158,"4 Item Ledger Entry Type",$C$4,"2 Item No.","@@"&amp;$F158,"3 Posting Date",U$9)+NL("Sum","5802 Value Entry","17 Sales Amount (Actual)","41 Source Type",$C$5,"5 Source no.",$C158,"4 Item Ledger Entry Type",$C$4,"2 Item No.","@@"&amp;$F158,"3 Posting Date",U$9)</t>
  </si>
  <si>
    <t>=-NL("Sum","5802 Value Entry","151 Cost Amount (Expected)","41 Source Type",$C$5,"5 Source No.",$C158,"4 Item Ledger Entry Type",$C$4,"2 Item No.","@@"&amp;$F158,"3 Posting Date",U$9)-NL("Sum","5802 Value Entry","43 Cost Amount (Actual)","41 Source Type",$C$5,"5 Source no.",$C158,"4 Item Ledger Entry Type",$C$4,"2 Item No.","@@"&amp;$F158,"3 Posting Date",U$9)</t>
  </si>
  <si>
    <t>=U158-W158</t>
  </si>
  <si>
    <t>=IF(U158&lt;&gt;0,X158/U158,"")</t>
  </si>
  <si>
    <t>=NL("Sum","5802 Value Entry","150 Sales Amount (Expected)","41 Source Type",$C$5,"5 Source No.",$C158,"4 Item Ledger Entry Type",$C$4,"2 Item No.","@@"&amp;$F158,"3 Posting Date",Z$9)+NL("Sum","5802 Value Entry","17 Sales Amount (Actual)","41 Source Type",$C$5,"5 Source no.",$C158,"4 Item Ledger Entry Type",$C$4,"2 Item No.","@@"&amp;$F158,"3 Posting Date",Z$9)</t>
  </si>
  <si>
    <t>=-NL("Sum","5802 Value Entry","151 Cost Amount (Expected)","41 Source Type",$C$5,"5 Source No.",$C158,"4 Item Ledger Entry Type",$C$4,"2 Item No.","@@"&amp;$F158,"3 Posting Date",Z$9)-NL("Sum","5802 Value Entry","43 Cost Amount (Actual)","41 Source Type",$C$5,"5 Source no.",$C158,"4 Item Ledger Entry Type",$C$4,"2 Item No.","@@"&amp;$F158,"3 Posting Date",Z$9)</t>
  </si>
  <si>
    <t>=Z158-AB158</t>
  </si>
  <si>
    <t>=IF(Z158&lt;&gt;0,AC158/Z158,"")</t>
  </si>
  <si>
    <t>=NL("Sum","5802 Value Entry","150 Sales Amount (Expected)","41 Source Type",$C$5,"5 Source No.",$C159,"4 Item Ledger Entry Type",$C$4,"2 Item No.","@@"&amp;$F159,"3 Posting Date",J$9)+NL("Sum","5802 Value Entry","17 Sales Amount (Actual)","41 Source Type",$C$5,"5 Source no.",$C159,"4 Item Ledger Entry Type",$C$4,"2 Item No.","@@"&amp;$F159,"3 Posting Date",J$9)</t>
  </si>
  <si>
    <t>=-NL("Sum","5802 Value Entry","151 Cost Amount (Expected)","41 Source Type",$C$5,"5 Source No.",$C159,"4 Item Ledger Entry Type",$C$4,"2 Item No.","@@"&amp;$F159,"3 Posting Date",J$9)-NL("Sum","5802 Value Entry","43 Cost Amount (Actual)","41 Source Type",$C$5,"5 Source no.",$C159,"4 Item Ledger Entry Type",$C$4,"2 Item No.","@@"&amp;$F159,"3 Posting Date",J$9)</t>
  </si>
  <si>
    <t>=J159-L159</t>
  </si>
  <si>
    <t>=IF(J159&lt;&gt;0,M159/J159,"")</t>
  </si>
  <si>
    <t>=NL("Sum","5802 Value Entry","150 Sales Amount (Expected)","41 Source Type",$C$5,"5 Source No.",$C159,"4 Item Ledger Entry Type",$C$4,"2 Item No.","@@"&amp;$F159,"3 Posting Date",O$9)+NL("Sum","5802 Value Entry","17 Sales Amount (Actual)","41 Source Type",$C$5,"5 Source no.",$C159,"4 Item Ledger Entry Type",$C$4,"2 Item No.","@@"&amp;$F159,"3 Posting Date",O$9)</t>
  </si>
  <si>
    <t>=-NL("Sum","5802 Value Entry","151 Cost Amount (Expected)","41 Source Type",$C$5,"5 Source No.",$C159,"4 Item Ledger Entry Type",$C$4,"2 Item No.","@@"&amp;$F159,"3 Posting Date",O$9)-NL("Sum","5802 Value Entry","43 Cost Amount (Actual)","41 Source Type",$C$5,"5 Source no.",$C159,"4 Item Ledger Entry Type",$C$4,"2 Item No.","@@"&amp;$F159,"3 Posting Date",O$9)</t>
  </si>
  <si>
    <t>=O159-Q159</t>
  </si>
  <si>
    <t>=IF(O159&lt;&gt;0,R159/O159,"")</t>
  </si>
  <si>
    <t>=NL("Sum","5802 Value Entry","150 Sales Amount (Expected)","41 Source Type",$C$5,"5 Source No.",$C159,"4 Item Ledger Entry Type",$C$4,"2 Item No.","@@"&amp;$F159,"3 Posting Date",U$9)+NL("Sum","5802 Value Entry","17 Sales Amount (Actual)","41 Source Type",$C$5,"5 Source no.",$C159,"4 Item Ledger Entry Type",$C$4,"2 Item No.","@@"&amp;$F159,"3 Posting Date",U$9)</t>
  </si>
  <si>
    <t>=-NL("Sum","5802 Value Entry","151 Cost Amount (Expected)","41 Source Type",$C$5,"5 Source No.",$C159,"4 Item Ledger Entry Type",$C$4,"2 Item No.","@@"&amp;$F159,"3 Posting Date",U$9)-NL("Sum","5802 Value Entry","43 Cost Amount (Actual)","41 Source Type",$C$5,"5 Source no.",$C159,"4 Item Ledger Entry Type",$C$4,"2 Item No.","@@"&amp;$F159,"3 Posting Date",U$9)</t>
  </si>
  <si>
    <t>=U159-W159</t>
  </si>
  <si>
    <t>=IF(U159&lt;&gt;0,X159/U159,"")</t>
  </si>
  <si>
    <t>=NL("Sum","5802 Value Entry","150 Sales Amount (Expected)","41 Source Type",$C$5,"5 Source No.",$C159,"4 Item Ledger Entry Type",$C$4,"2 Item No.","@@"&amp;$F159,"3 Posting Date",Z$9)+NL("Sum","5802 Value Entry","17 Sales Amount (Actual)","41 Source Type",$C$5,"5 Source no.",$C159,"4 Item Ledger Entry Type",$C$4,"2 Item No.","@@"&amp;$F159,"3 Posting Date",Z$9)</t>
  </si>
  <si>
    <t>=-NL("Sum","5802 Value Entry","151 Cost Amount (Expected)","41 Source Type",$C$5,"5 Source No.",$C159,"4 Item Ledger Entry Type",$C$4,"2 Item No.","@@"&amp;$F159,"3 Posting Date",Z$9)-NL("Sum","5802 Value Entry","43 Cost Amount (Actual)","41 Source Type",$C$5,"5 Source no.",$C159,"4 Item Ledger Entry Type",$C$4,"2 Item No.","@@"&amp;$F159,"3 Posting Date",Z$9)</t>
  </si>
  <si>
    <t>=Z159-AB159</t>
  </si>
  <si>
    <t>=IF(Z159&lt;&gt;0,AC159/Z159,"")</t>
  </si>
  <si>
    <t>=NL("Sum","5802 Value Entry","150 Sales Amount (Expected)","41 Source Type",$C$5,"5 Source No.",$C160,"4 Item Ledger Entry Type",$C$4,"2 Item No.","@@"&amp;$F160,"3 Posting Date",J$9)+NL("Sum","5802 Value Entry","17 Sales Amount (Actual)","41 Source Type",$C$5,"5 Source no.",$C160,"4 Item Ledger Entry Type",$C$4,"2 Item No.","@@"&amp;$F160,"3 Posting Date",J$9)</t>
  </si>
  <si>
    <t>=-NL("Sum","5802 Value Entry","151 Cost Amount (Expected)","41 Source Type",$C$5,"5 Source No.",$C160,"4 Item Ledger Entry Type",$C$4,"2 Item No.","@@"&amp;$F160,"3 Posting Date",J$9)-NL("Sum","5802 Value Entry","43 Cost Amount (Actual)","41 Source Type",$C$5,"5 Source no.",$C160,"4 Item Ledger Entry Type",$C$4,"2 Item No.","@@"&amp;$F160,"3 Posting Date",J$9)</t>
  </si>
  <si>
    <t>=NL("Sum","5802 Value Entry","150 Sales Amount (Expected)","41 Source Type",$C$5,"5 Source No.",$C160,"4 Item Ledger Entry Type",$C$4,"2 Item No.","@@"&amp;$F160,"3 Posting Date",O$9)+NL("Sum","5802 Value Entry","17 Sales Amount (Actual)","41 Source Type",$C$5,"5 Source no.",$C160,"4 Item Ledger Entry Type",$C$4,"2 Item No.","@@"&amp;$F160,"3 Posting Date",O$9)</t>
  </si>
  <si>
    <t>=-NL("Sum","5802 Value Entry","151 Cost Amount (Expected)","41 Source Type",$C$5,"5 Source No.",$C160,"4 Item Ledger Entry Type",$C$4,"2 Item No.","@@"&amp;$F160,"3 Posting Date",O$9)-NL("Sum","5802 Value Entry","43 Cost Amount (Actual)","41 Source Type",$C$5,"5 Source no.",$C160,"4 Item Ledger Entry Type",$C$4,"2 Item No.","@@"&amp;$F160,"3 Posting Date",O$9)</t>
  </si>
  <si>
    <t>=NL("Sum","5802 Value Entry","150 Sales Amount (Expected)","41 Source Type",$C$5,"5 Source No.",$C160,"4 Item Ledger Entry Type",$C$4,"2 Item No.","@@"&amp;$F160,"3 Posting Date",U$9)+NL("Sum","5802 Value Entry","17 Sales Amount (Actual)","41 Source Type",$C$5,"5 Source no.",$C160,"4 Item Ledger Entry Type",$C$4,"2 Item No.","@@"&amp;$F160,"3 Posting Date",U$9)</t>
  </si>
  <si>
    <t>=-NL("Sum","5802 Value Entry","151 Cost Amount (Expected)","41 Source Type",$C$5,"5 Source No.",$C160,"4 Item Ledger Entry Type",$C$4,"2 Item No.","@@"&amp;$F160,"3 Posting Date",U$9)-NL("Sum","5802 Value Entry","43 Cost Amount (Actual)","41 Source Type",$C$5,"5 Source no.",$C160,"4 Item Ledger Entry Type",$C$4,"2 Item No.","@@"&amp;$F160,"3 Posting Date",U$9)</t>
  </si>
  <si>
    <t>=NL("Sum","5802 Value Entry","150 Sales Amount (Expected)","41 Source Type",$C$5,"5 Source No.",$C160,"4 Item Ledger Entry Type",$C$4,"2 Item No.","@@"&amp;$F160,"3 Posting Date",Z$9)+NL("Sum","5802 Value Entry","17 Sales Amount (Actual)","41 Source Type",$C$5,"5 Source no.",$C160,"4 Item Ledger Entry Type",$C$4,"2 Item No.","@@"&amp;$F160,"3 Posting Date",Z$9)</t>
  </si>
  <si>
    <t>=-NL("Sum","5802 Value Entry","151 Cost Amount (Expected)","41 Source Type",$C$5,"5 Source No.",$C160,"4 Item Ledger Entry Type",$C$4,"2 Item No.","@@"&amp;$F160,"3 Posting Date",Z$9)-NL("Sum","5802 Value Entry","43 Cost Amount (Actual)","41 Source Type",$C$5,"5 Source no.",$C160,"4 Item Ledger Entry Type",$C$4,"2 Item No.","@@"&amp;$F160,"3 Posting Date",Z$9)</t>
  </si>
  <si>
    <t>=NL("Sum","5802 Value Entry","150 Sales Amount (Expected)","41 Source Type",$C$5,"5 Source No.",$C161,"4 Item Ledger Entry Type",$C$4,"2 Item No.","@@"&amp;$F161,"3 Posting Date",J$9)+NL("Sum","5802 Value Entry","17 Sales Amount (Actual)","41 Source Type",$C$5,"5 Source no.",$C161,"4 Item Ledger Entry Type",$C$4,"2 Item No.","@@"&amp;$F161,"3 Posting Date",J$9)</t>
  </si>
  <si>
    <t>=-NL("Sum","5802 Value Entry","151 Cost Amount (Expected)","41 Source Type",$C$5,"5 Source No.",$C161,"4 Item Ledger Entry Type",$C$4,"2 Item No.","@@"&amp;$F161,"3 Posting Date",J$9)-NL("Sum","5802 Value Entry","43 Cost Amount (Actual)","41 Source Type",$C$5,"5 Source no.",$C161,"4 Item Ledger Entry Type",$C$4,"2 Item No.","@@"&amp;$F161,"3 Posting Date",J$9)</t>
  </si>
  <si>
    <t>=J161-L161</t>
  </si>
  <si>
    <t>=IF(J161&lt;&gt;0,M161/J161,"")</t>
  </si>
  <si>
    <t>=NL("Sum","5802 Value Entry","150 Sales Amount (Expected)","41 Source Type",$C$5,"5 Source No.",$C161,"4 Item Ledger Entry Type",$C$4,"2 Item No.","@@"&amp;$F161,"3 Posting Date",O$9)+NL("Sum","5802 Value Entry","17 Sales Amount (Actual)","41 Source Type",$C$5,"5 Source no.",$C161,"4 Item Ledger Entry Type",$C$4,"2 Item No.","@@"&amp;$F161,"3 Posting Date",O$9)</t>
  </si>
  <si>
    <t>=-NL("Sum","5802 Value Entry","151 Cost Amount (Expected)","41 Source Type",$C$5,"5 Source No.",$C161,"4 Item Ledger Entry Type",$C$4,"2 Item No.","@@"&amp;$F161,"3 Posting Date",O$9)-NL("Sum","5802 Value Entry","43 Cost Amount (Actual)","41 Source Type",$C$5,"5 Source no.",$C161,"4 Item Ledger Entry Type",$C$4,"2 Item No.","@@"&amp;$F161,"3 Posting Date",O$9)</t>
  </si>
  <si>
    <t>=O161-Q161</t>
  </si>
  <si>
    <t>=IF(O161&lt;&gt;0,R161/O161,"")</t>
  </si>
  <si>
    <t>=NL("Sum","5802 Value Entry","150 Sales Amount (Expected)","41 Source Type",$C$5,"5 Source No.",$C161,"4 Item Ledger Entry Type",$C$4,"2 Item No.","@@"&amp;$F161,"3 Posting Date",U$9)+NL("Sum","5802 Value Entry","17 Sales Amount (Actual)","41 Source Type",$C$5,"5 Source no.",$C161,"4 Item Ledger Entry Type",$C$4,"2 Item No.","@@"&amp;$F161,"3 Posting Date",U$9)</t>
  </si>
  <si>
    <t>=-NL("Sum","5802 Value Entry","151 Cost Amount (Expected)","41 Source Type",$C$5,"5 Source No.",$C161,"4 Item Ledger Entry Type",$C$4,"2 Item No.","@@"&amp;$F161,"3 Posting Date",U$9)-NL("Sum","5802 Value Entry","43 Cost Amount (Actual)","41 Source Type",$C$5,"5 Source no.",$C161,"4 Item Ledger Entry Type",$C$4,"2 Item No.","@@"&amp;$F161,"3 Posting Date",U$9)</t>
  </si>
  <si>
    <t>=U161-W161</t>
  </si>
  <si>
    <t>=IF(U161&lt;&gt;0,X161/U161,"")</t>
  </si>
  <si>
    <t>=NL("Sum","5802 Value Entry","150 Sales Amount (Expected)","41 Source Type",$C$5,"5 Source No.",$C161,"4 Item Ledger Entry Type",$C$4,"2 Item No.","@@"&amp;$F161,"3 Posting Date",Z$9)+NL("Sum","5802 Value Entry","17 Sales Amount (Actual)","41 Source Type",$C$5,"5 Source no.",$C161,"4 Item Ledger Entry Type",$C$4,"2 Item No.","@@"&amp;$F161,"3 Posting Date",Z$9)</t>
  </si>
  <si>
    <t>=-NL("Sum","5802 Value Entry","151 Cost Amount (Expected)","41 Source Type",$C$5,"5 Source No.",$C161,"4 Item Ledger Entry Type",$C$4,"2 Item No.","@@"&amp;$F161,"3 Posting Date",Z$9)-NL("Sum","5802 Value Entry","43 Cost Amount (Actual)","41 Source Type",$C$5,"5 Source no.",$C161,"4 Item Ledger Entry Type",$C$4,"2 Item No.","@@"&amp;$F161,"3 Posting Date",Z$9)</t>
  </si>
  <si>
    <t>=Z161-AB161</t>
  </si>
  <si>
    <t>=IF(Z161&lt;&gt;0,AC161/Z161,"")</t>
  </si>
  <si>
    <t>="C100044"</t>
  </si>
  <si>
    <t>=C162</t>
  </si>
  <si>
    <t>="C100045"</t>
  </si>
  <si>
    <t>=J163-L163</t>
  </si>
  <si>
    <t>=IF(J163&lt;&gt;0,M163/J163,"")</t>
  </si>
  <si>
    <t>=O163-Q163</t>
  </si>
  <si>
    <t>=IF(O163&lt;&gt;0,R163/O163,"")</t>
  </si>
  <si>
    <t>=U163-W163</t>
  </si>
  <si>
    <t>=IF(U163&lt;&gt;0,X163/U163,"")</t>
  </si>
  <si>
    <t>=Z163-AB163</t>
  </si>
  <si>
    <t>=IF(Z163&lt;&gt;0,AC163/Z163,"")</t>
  </si>
  <si>
    <t>="C100046"</t>
  </si>
  <si>
    <t>="C100047"</t>
  </si>
  <si>
    <t>="C100049"</t>
  </si>
  <si>
    <t>="C100053"</t>
  </si>
  <si>
    <t>=NL("Sum","5802 Value Entry","150 Sales Amount (Expected)","41 Source Type",$C$5,"5 Source No.",$C167,"4 Item Ledger Entry Type",$C$4,"2 Item No.","@@"&amp;$F167,"3 Posting Date",J$9)+NL("Sum","5802 Value Entry","17 Sales Amount (Actual)","41 Source Type",$C$5,"5 Source no.",$C167,"4 Item Ledger Entry Type",$C$4,"2 Item No.","@@"&amp;$F167,"3 Posting Date",J$9)</t>
  </si>
  <si>
    <t>=-NL("Sum","5802 Value Entry","151 Cost Amount (Expected)","41 Source Type",$C$5,"5 Source No.",$C167,"4 Item Ledger Entry Type",$C$4,"2 Item No.","@@"&amp;$F167,"3 Posting Date",J$9)-NL("Sum","5802 Value Entry","43 Cost Amount (Actual)","41 Source Type",$C$5,"5 Source no.",$C167,"4 Item Ledger Entry Type",$C$4,"2 Item No.","@@"&amp;$F167,"3 Posting Date",J$9)</t>
  </si>
  <si>
    <t>=J167-L167</t>
  </si>
  <si>
    <t>=IF(J167&lt;&gt;0,M167/J167,"")</t>
  </si>
  <si>
    <t>=NL("Sum","5802 Value Entry","150 Sales Amount (Expected)","41 Source Type",$C$5,"5 Source No.",$C167,"4 Item Ledger Entry Type",$C$4,"2 Item No.","@@"&amp;$F167,"3 Posting Date",O$9)+NL("Sum","5802 Value Entry","17 Sales Amount (Actual)","41 Source Type",$C$5,"5 Source no.",$C167,"4 Item Ledger Entry Type",$C$4,"2 Item No.","@@"&amp;$F167,"3 Posting Date",O$9)</t>
  </si>
  <si>
    <t>=-NL("Sum","5802 Value Entry","151 Cost Amount (Expected)","41 Source Type",$C$5,"5 Source No.",$C167,"4 Item Ledger Entry Type",$C$4,"2 Item No.","@@"&amp;$F167,"3 Posting Date",O$9)-NL("Sum","5802 Value Entry","43 Cost Amount (Actual)","41 Source Type",$C$5,"5 Source no.",$C167,"4 Item Ledger Entry Type",$C$4,"2 Item No.","@@"&amp;$F167,"3 Posting Date",O$9)</t>
  </si>
  <si>
    <t>=O167-Q167</t>
  </si>
  <si>
    <t>=IF(O167&lt;&gt;0,R167/O167,"")</t>
  </si>
  <si>
    <t>=NL("Sum","5802 Value Entry","150 Sales Amount (Expected)","41 Source Type",$C$5,"5 Source No.",$C167,"4 Item Ledger Entry Type",$C$4,"2 Item No.","@@"&amp;$F167,"3 Posting Date",U$9)+NL("Sum","5802 Value Entry","17 Sales Amount (Actual)","41 Source Type",$C$5,"5 Source no.",$C167,"4 Item Ledger Entry Type",$C$4,"2 Item No.","@@"&amp;$F167,"3 Posting Date",U$9)</t>
  </si>
  <si>
    <t>=-NL("Sum","5802 Value Entry","151 Cost Amount (Expected)","41 Source Type",$C$5,"5 Source No.",$C167,"4 Item Ledger Entry Type",$C$4,"2 Item No.","@@"&amp;$F167,"3 Posting Date",U$9)-NL("Sum","5802 Value Entry","43 Cost Amount (Actual)","41 Source Type",$C$5,"5 Source no.",$C167,"4 Item Ledger Entry Type",$C$4,"2 Item No.","@@"&amp;$F167,"3 Posting Date",U$9)</t>
  </si>
  <si>
    <t>=U167-W167</t>
  </si>
  <si>
    <t>=IF(U167&lt;&gt;0,X167/U167,"")</t>
  </si>
  <si>
    <t>=NL("Sum","5802 Value Entry","150 Sales Amount (Expected)","41 Source Type",$C$5,"5 Source No.",$C167,"4 Item Ledger Entry Type",$C$4,"2 Item No.","@@"&amp;$F167,"3 Posting Date",Z$9)+NL("Sum","5802 Value Entry","17 Sales Amount (Actual)","41 Source Type",$C$5,"5 Source no.",$C167,"4 Item Ledger Entry Type",$C$4,"2 Item No.","@@"&amp;$F167,"3 Posting Date",Z$9)</t>
  </si>
  <si>
    <t>=-NL("Sum","5802 Value Entry","151 Cost Amount (Expected)","41 Source Type",$C$5,"5 Source No.",$C167,"4 Item Ledger Entry Type",$C$4,"2 Item No.","@@"&amp;$F167,"3 Posting Date",Z$9)-NL("Sum","5802 Value Entry","43 Cost Amount (Actual)","41 Source Type",$C$5,"5 Source no.",$C167,"4 Item Ledger Entry Type",$C$4,"2 Item No.","@@"&amp;$F167,"3 Posting Date",Z$9)</t>
  </si>
  <si>
    <t>=Z167-AB167</t>
  </si>
  <si>
    <t>=IF(Z167&lt;&gt;0,AC167/Z167,"")</t>
  </si>
  <si>
    <t>=NL("Sum","5802 Value Entry","150 Sales Amount (Expected)","41 Source Type",$C$5,"5 Source No.",$C168,"4 Item Ledger Entry Type",$C$4,"2 Item No.","@@"&amp;$F168,"3 Posting Date",J$9)+NL("Sum","5802 Value Entry","17 Sales Amount (Actual)","41 Source Type",$C$5,"5 Source no.",$C168,"4 Item Ledger Entry Type",$C$4,"2 Item No.","@@"&amp;$F168,"3 Posting Date",J$9)</t>
  </si>
  <si>
    <t>=-NL("Sum","5802 Value Entry","151 Cost Amount (Expected)","41 Source Type",$C$5,"5 Source No.",$C168,"4 Item Ledger Entry Type",$C$4,"2 Item No.","@@"&amp;$F168,"3 Posting Date",J$9)-NL("Sum","5802 Value Entry","43 Cost Amount (Actual)","41 Source Type",$C$5,"5 Source no.",$C168,"4 Item Ledger Entry Type",$C$4,"2 Item No.","@@"&amp;$F168,"3 Posting Date",J$9)</t>
  </si>
  <si>
    <t>=NL("Sum","5802 Value Entry","150 Sales Amount (Expected)","41 Source Type",$C$5,"5 Source No.",$C168,"4 Item Ledger Entry Type",$C$4,"2 Item No.","@@"&amp;$F168,"3 Posting Date",O$9)+NL("Sum","5802 Value Entry","17 Sales Amount (Actual)","41 Source Type",$C$5,"5 Source no.",$C168,"4 Item Ledger Entry Type",$C$4,"2 Item No.","@@"&amp;$F168,"3 Posting Date",O$9)</t>
  </si>
  <si>
    <t>=-NL("Sum","5802 Value Entry","151 Cost Amount (Expected)","41 Source Type",$C$5,"5 Source No.",$C168,"4 Item Ledger Entry Type",$C$4,"2 Item No.","@@"&amp;$F168,"3 Posting Date",O$9)-NL("Sum","5802 Value Entry","43 Cost Amount (Actual)","41 Source Type",$C$5,"5 Source no.",$C168,"4 Item Ledger Entry Type",$C$4,"2 Item No.","@@"&amp;$F168,"3 Posting Date",O$9)</t>
  </si>
  <si>
    <t>=NL("Sum","5802 Value Entry","150 Sales Amount (Expected)","41 Source Type",$C$5,"5 Source No.",$C168,"4 Item Ledger Entry Type",$C$4,"2 Item No.","@@"&amp;$F168,"3 Posting Date",U$9)+NL("Sum","5802 Value Entry","17 Sales Amount (Actual)","41 Source Type",$C$5,"5 Source no.",$C168,"4 Item Ledger Entry Type",$C$4,"2 Item No.","@@"&amp;$F168,"3 Posting Date",U$9)</t>
  </si>
  <si>
    <t>=-NL("Sum","5802 Value Entry","151 Cost Amount (Expected)","41 Source Type",$C$5,"5 Source No.",$C168,"4 Item Ledger Entry Type",$C$4,"2 Item No.","@@"&amp;$F168,"3 Posting Date",U$9)-NL("Sum","5802 Value Entry","43 Cost Amount (Actual)","41 Source Type",$C$5,"5 Source no.",$C168,"4 Item Ledger Entry Type",$C$4,"2 Item No.","@@"&amp;$F168,"3 Posting Date",U$9)</t>
  </si>
  <si>
    <t>=NL("Sum","5802 Value Entry","150 Sales Amount (Expected)","41 Source Type",$C$5,"5 Source No.",$C168,"4 Item Ledger Entry Type",$C$4,"2 Item No.","@@"&amp;$F168,"3 Posting Date",Z$9)+NL("Sum","5802 Value Entry","17 Sales Amount (Actual)","41 Source Type",$C$5,"5 Source no.",$C168,"4 Item Ledger Entry Type",$C$4,"2 Item No.","@@"&amp;$F168,"3 Posting Date",Z$9)</t>
  </si>
  <si>
    <t>=-NL("Sum","5802 Value Entry","151 Cost Amount (Expected)","41 Source Type",$C$5,"5 Source No.",$C168,"4 Item Ledger Entry Type",$C$4,"2 Item No.","@@"&amp;$F168,"3 Posting Date",Z$9)-NL("Sum","5802 Value Entry","43 Cost Amount (Actual)","41 Source Type",$C$5,"5 Source no.",$C168,"4 Item Ledger Entry Type",$C$4,"2 Item No.","@@"&amp;$F168,"3 Posting Date",Z$9)</t>
  </si>
  <si>
    <t>=C168</t>
  </si>
  <si>
    <t>="E100019"</t>
  </si>
  <si>
    <t>=NL("Sum","5802 Value Entry","150 Sales Amount (Expected)","41 Source Type",$C$5,"5 Source No.",$C169,"4 Item Ledger Entry Type",$C$4,"2 Item No.","@@"&amp;$F169,"3 Posting Date",J$9)+NL("Sum","5802 Value Entry","17 Sales Amount (Actual)","41 Source Type",$C$5,"5 Source no.",$C169,"4 Item Ledger Entry Type",$C$4,"2 Item No.","@@"&amp;$F169,"3 Posting Date",J$9)</t>
  </si>
  <si>
    <t>=-NL("Sum","5802 Value Entry","151 Cost Amount (Expected)","41 Source Type",$C$5,"5 Source No.",$C169,"4 Item Ledger Entry Type",$C$4,"2 Item No.","@@"&amp;$F169,"3 Posting Date",J$9)-NL("Sum","5802 Value Entry","43 Cost Amount (Actual)","41 Source Type",$C$5,"5 Source no.",$C169,"4 Item Ledger Entry Type",$C$4,"2 Item No.","@@"&amp;$F169,"3 Posting Date",J$9)</t>
  </si>
  <si>
    <t>=J169-L169</t>
  </si>
  <si>
    <t>=IF(J169&lt;&gt;0,M169/J169,"")</t>
  </si>
  <si>
    <t>=NL("Sum","5802 Value Entry","150 Sales Amount (Expected)","41 Source Type",$C$5,"5 Source No.",$C169,"4 Item Ledger Entry Type",$C$4,"2 Item No.","@@"&amp;$F169,"3 Posting Date",O$9)+NL("Sum","5802 Value Entry","17 Sales Amount (Actual)","41 Source Type",$C$5,"5 Source no.",$C169,"4 Item Ledger Entry Type",$C$4,"2 Item No.","@@"&amp;$F169,"3 Posting Date",O$9)</t>
  </si>
  <si>
    <t>=-NL("Sum","5802 Value Entry","151 Cost Amount (Expected)","41 Source Type",$C$5,"5 Source No.",$C169,"4 Item Ledger Entry Type",$C$4,"2 Item No.","@@"&amp;$F169,"3 Posting Date",O$9)-NL("Sum","5802 Value Entry","43 Cost Amount (Actual)","41 Source Type",$C$5,"5 Source no.",$C169,"4 Item Ledger Entry Type",$C$4,"2 Item No.","@@"&amp;$F169,"3 Posting Date",O$9)</t>
  </si>
  <si>
    <t>=O169-Q169</t>
  </si>
  <si>
    <t>=IF(O169&lt;&gt;0,R169/O169,"")</t>
  </si>
  <si>
    <t>=NL("Sum","5802 Value Entry","150 Sales Amount (Expected)","41 Source Type",$C$5,"5 Source No.",$C169,"4 Item Ledger Entry Type",$C$4,"2 Item No.","@@"&amp;$F169,"3 Posting Date",U$9)+NL("Sum","5802 Value Entry","17 Sales Amount (Actual)","41 Source Type",$C$5,"5 Source no.",$C169,"4 Item Ledger Entry Type",$C$4,"2 Item No.","@@"&amp;$F169,"3 Posting Date",U$9)</t>
  </si>
  <si>
    <t>=-NL("Sum","5802 Value Entry","151 Cost Amount (Expected)","41 Source Type",$C$5,"5 Source No.",$C169,"4 Item Ledger Entry Type",$C$4,"2 Item No.","@@"&amp;$F169,"3 Posting Date",U$9)-NL("Sum","5802 Value Entry","43 Cost Amount (Actual)","41 Source Type",$C$5,"5 Source no.",$C169,"4 Item Ledger Entry Type",$C$4,"2 Item No.","@@"&amp;$F169,"3 Posting Date",U$9)</t>
  </si>
  <si>
    <t>=U169-W169</t>
  </si>
  <si>
    <t>=IF(U169&lt;&gt;0,X169/U169,"")</t>
  </si>
  <si>
    <t>=NL("Sum","5802 Value Entry","150 Sales Amount (Expected)","41 Source Type",$C$5,"5 Source No.",$C169,"4 Item Ledger Entry Type",$C$4,"2 Item No.","@@"&amp;$F169,"3 Posting Date",Z$9)+NL("Sum","5802 Value Entry","17 Sales Amount (Actual)","41 Source Type",$C$5,"5 Source no.",$C169,"4 Item Ledger Entry Type",$C$4,"2 Item No.","@@"&amp;$F169,"3 Posting Date",Z$9)</t>
  </si>
  <si>
    <t>=-NL("Sum","5802 Value Entry","151 Cost Amount (Expected)","41 Source Type",$C$5,"5 Source No.",$C169,"4 Item Ledger Entry Type",$C$4,"2 Item No.","@@"&amp;$F169,"3 Posting Date",Z$9)-NL("Sum","5802 Value Entry","43 Cost Amount (Actual)","41 Source Type",$C$5,"5 Source no.",$C169,"4 Item Ledger Entry Type",$C$4,"2 Item No.","@@"&amp;$F169,"3 Posting Date",Z$9)</t>
  </si>
  <si>
    <t>=Z169-AB169</t>
  </si>
  <si>
    <t>=IF(Z169&lt;&gt;0,AC169/Z169,"")</t>
  </si>
  <si>
    <t>=C169</t>
  </si>
  <si>
    <t>="E100021"</t>
  </si>
  <si>
    <t>=NL("Sum","5802 Value Entry","150 Sales Amount (Expected)","41 Source Type",$C$5,"5 Source No.",$C170,"4 Item Ledger Entry Type",$C$4,"2 Item No.","@@"&amp;$F170,"3 Posting Date",J$9)+NL("Sum","5802 Value Entry","17 Sales Amount (Actual)","41 Source Type",$C$5,"5 Source no.",$C170,"4 Item Ledger Entry Type",$C$4,"2 Item No.","@@"&amp;$F170,"3 Posting Date",J$9)</t>
  </si>
  <si>
    <t>=-NL("Sum","5802 Value Entry","151 Cost Amount (Expected)","41 Source Type",$C$5,"5 Source No.",$C170,"4 Item Ledger Entry Type",$C$4,"2 Item No.","@@"&amp;$F170,"3 Posting Date",J$9)-NL("Sum","5802 Value Entry","43 Cost Amount (Actual)","41 Source Type",$C$5,"5 Source no.",$C170,"4 Item Ledger Entry Type",$C$4,"2 Item No.","@@"&amp;$F170,"3 Posting Date",J$9)</t>
  </si>
  <si>
    <t>=J170-L170</t>
  </si>
  <si>
    <t>=IF(J170&lt;&gt;0,M170/J170,"")</t>
  </si>
  <si>
    <t>=NL("Sum","5802 Value Entry","150 Sales Amount (Expected)","41 Source Type",$C$5,"5 Source No.",$C170,"4 Item Ledger Entry Type",$C$4,"2 Item No.","@@"&amp;$F170,"3 Posting Date",O$9)+NL("Sum","5802 Value Entry","17 Sales Amount (Actual)","41 Source Type",$C$5,"5 Source no.",$C170,"4 Item Ledger Entry Type",$C$4,"2 Item No.","@@"&amp;$F170,"3 Posting Date",O$9)</t>
  </si>
  <si>
    <t>=-NL("Sum","5802 Value Entry","151 Cost Amount (Expected)","41 Source Type",$C$5,"5 Source No.",$C170,"4 Item Ledger Entry Type",$C$4,"2 Item No.","@@"&amp;$F170,"3 Posting Date",O$9)-NL("Sum","5802 Value Entry","43 Cost Amount (Actual)","41 Source Type",$C$5,"5 Source no.",$C170,"4 Item Ledger Entry Type",$C$4,"2 Item No.","@@"&amp;$F170,"3 Posting Date",O$9)</t>
  </si>
  <si>
    <t>=O170-Q170</t>
  </si>
  <si>
    <t>=IF(O170&lt;&gt;0,R170/O170,"")</t>
  </si>
  <si>
    <t>=NL("Sum","5802 Value Entry","150 Sales Amount (Expected)","41 Source Type",$C$5,"5 Source No.",$C170,"4 Item Ledger Entry Type",$C$4,"2 Item No.","@@"&amp;$F170,"3 Posting Date",U$9)+NL("Sum","5802 Value Entry","17 Sales Amount (Actual)","41 Source Type",$C$5,"5 Source no.",$C170,"4 Item Ledger Entry Type",$C$4,"2 Item No.","@@"&amp;$F170,"3 Posting Date",U$9)</t>
  </si>
  <si>
    <t>=-NL("Sum","5802 Value Entry","151 Cost Amount (Expected)","41 Source Type",$C$5,"5 Source No.",$C170,"4 Item Ledger Entry Type",$C$4,"2 Item No.","@@"&amp;$F170,"3 Posting Date",U$9)-NL("Sum","5802 Value Entry","43 Cost Amount (Actual)","41 Source Type",$C$5,"5 Source no.",$C170,"4 Item Ledger Entry Type",$C$4,"2 Item No.","@@"&amp;$F170,"3 Posting Date",U$9)</t>
  </si>
  <si>
    <t>=U170-W170</t>
  </si>
  <si>
    <t>=IF(U170&lt;&gt;0,X170/U170,"")</t>
  </si>
  <si>
    <t>=NL("Sum","5802 Value Entry","150 Sales Amount (Expected)","41 Source Type",$C$5,"5 Source No.",$C170,"4 Item Ledger Entry Type",$C$4,"2 Item No.","@@"&amp;$F170,"3 Posting Date",Z$9)+NL("Sum","5802 Value Entry","17 Sales Amount (Actual)","41 Source Type",$C$5,"5 Source no.",$C170,"4 Item Ledger Entry Type",$C$4,"2 Item No.","@@"&amp;$F170,"3 Posting Date",Z$9)</t>
  </si>
  <si>
    <t>=-NL("Sum","5802 Value Entry","151 Cost Amount (Expected)","41 Source Type",$C$5,"5 Source No.",$C170,"4 Item Ledger Entry Type",$C$4,"2 Item No.","@@"&amp;$F170,"3 Posting Date",Z$9)-NL("Sum","5802 Value Entry","43 Cost Amount (Actual)","41 Source Type",$C$5,"5 Source no.",$C170,"4 Item Ledger Entry Type",$C$4,"2 Item No.","@@"&amp;$F170,"3 Posting Date",Z$9)</t>
  </si>
  <si>
    <t>=Z170-AB170</t>
  </si>
  <si>
    <t>=IF(Z170&lt;&gt;0,AC170/Z170,"")</t>
  </si>
  <si>
    <t>="E100022"</t>
  </si>
  <si>
    <t>=NL("Sum","5802 Value Entry","150 Sales Amount (Expected)","41 Source Type",$C$5,"5 Source No.",$C171,"4 Item Ledger Entry Type",$C$4,"2 Item No.","@@"&amp;$F171,"3 Posting Date",J$9)+NL("Sum","5802 Value Entry","17 Sales Amount (Actual)","41 Source Type",$C$5,"5 Source no.",$C171,"4 Item Ledger Entry Type",$C$4,"2 Item No.","@@"&amp;$F171,"3 Posting Date",J$9)</t>
  </si>
  <si>
    <t>=-NL("Sum","5802 Value Entry","151 Cost Amount (Expected)","41 Source Type",$C$5,"5 Source No.",$C171,"4 Item Ledger Entry Type",$C$4,"2 Item No.","@@"&amp;$F171,"3 Posting Date",J$9)-NL("Sum","5802 Value Entry","43 Cost Amount (Actual)","41 Source Type",$C$5,"5 Source no.",$C171,"4 Item Ledger Entry Type",$C$4,"2 Item No.","@@"&amp;$F171,"3 Posting Date",J$9)</t>
  </si>
  <si>
    <t>=J171-L171</t>
  </si>
  <si>
    <t>=IF(J171&lt;&gt;0,M171/J171,"")</t>
  </si>
  <si>
    <t>=NL("Sum","5802 Value Entry","150 Sales Amount (Expected)","41 Source Type",$C$5,"5 Source No.",$C171,"4 Item Ledger Entry Type",$C$4,"2 Item No.","@@"&amp;$F171,"3 Posting Date",O$9)+NL("Sum","5802 Value Entry","17 Sales Amount (Actual)","41 Source Type",$C$5,"5 Source no.",$C171,"4 Item Ledger Entry Type",$C$4,"2 Item No.","@@"&amp;$F171,"3 Posting Date",O$9)</t>
  </si>
  <si>
    <t>=-NL("Sum","5802 Value Entry","151 Cost Amount (Expected)","41 Source Type",$C$5,"5 Source No.",$C171,"4 Item Ledger Entry Type",$C$4,"2 Item No.","@@"&amp;$F171,"3 Posting Date",O$9)-NL("Sum","5802 Value Entry","43 Cost Amount (Actual)","41 Source Type",$C$5,"5 Source no.",$C171,"4 Item Ledger Entry Type",$C$4,"2 Item No.","@@"&amp;$F171,"3 Posting Date",O$9)</t>
  </si>
  <si>
    <t>=O171-Q171</t>
  </si>
  <si>
    <t>=IF(O171&lt;&gt;0,R171/O171,"")</t>
  </si>
  <si>
    <t>=NL("Sum","5802 Value Entry","150 Sales Amount (Expected)","41 Source Type",$C$5,"5 Source No.",$C171,"4 Item Ledger Entry Type",$C$4,"2 Item No.","@@"&amp;$F171,"3 Posting Date",U$9)+NL("Sum","5802 Value Entry","17 Sales Amount (Actual)","41 Source Type",$C$5,"5 Source no.",$C171,"4 Item Ledger Entry Type",$C$4,"2 Item No.","@@"&amp;$F171,"3 Posting Date",U$9)</t>
  </si>
  <si>
    <t>=-NL("Sum","5802 Value Entry","151 Cost Amount (Expected)","41 Source Type",$C$5,"5 Source No.",$C171,"4 Item Ledger Entry Type",$C$4,"2 Item No.","@@"&amp;$F171,"3 Posting Date",U$9)-NL("Sum","5802 Value Entry","43 Cost Amount (Actual)","41 Source Type",$C$5,"5 Source no.",$C171,"4 Item Ledger Entry Type",$C$4,"2 Item No.","@@"&amp;$F171,"3 Posting Date",U$9)</t>
  </si>
  <si>
    <t>=U171-W171</t>
  </si>
  <si>
    <t>=IF(U171&lt;&gt;0,X171/U171,"")</t>
  </si>
  <si>
    <t>=NL("Sum","5802 Value Entry","150 Sales Amount (Expected)","41 Source Type",$C$5,"5 Source No.",$C171,"4 Item Ledger Entry Type",$C$4,"2 Item No.","@@"&amp;$F171,"3 Posting Date",Z$9)+NL("Sum","5802 Value Entry","17 Sales Amount (Actual)","41 Source Type",$C$5,"5 Source no.",$C171,"4 Item Ledger Entry Type",$C$4,"2 Item No.","@@"&amp;$F171,"3 Posting Date",Z$9)</t>
  </si>
  <si>
    <t>=-NL("Sum","5802 Value Entry","151 Cost Amount (Expected)","41 Source Type",$C$5,"5 Source No.",$C171,"4 Item Ledger Entry Type",$C$4,"2 Item No.","@@"&amp;$F171,"3 Posting Date",Z$9)-NL("Sum","5802 Value Entry","43 Cost Amount (Actual)","41 Source Type",$C$5,"5 Source no.",$C171,"4 Item Ledger Entry Type",$C$4,"2 Item No.","@@"&amp;$F171,"3 Posting Date",Z$9)</t>
  </si>
  <si>
    <t>=Z171-AB171</t>
  </si>
  <si>
    <t>=IF(Z171&lt;&gt;0,AC171/Z171,"")</t>
  </si>
  <si>
    <t>=J173-L173</t>
  </si>
  <si>
    <t>=IF(J173&lt;&gt;0,M173/J173,"")</t>
  </si>
  <si>
    <t>=O173-Q173</t>
  </si>
  <si>
    <t>=IF(O173&lt;&gt;0,R173/O173,"")</t>
  </si>
  <si>
    <t>=U173-W173</t>
  </si>
  <si>
    <t>=IF(U173&lt;&gt;0,X173/U173,"")</t>
  </si>
  <si>
    <t>=Z173-AB173</t>
  </si>
  <si>
    <t>=IF(Z173&lt;&gt;0,AC173/Z173,"")</t>
  </si>
  <si>
    <t>=J177-L177</t>
  </si>
  <si>
    <t>=IF(J177&lt;&gt;0,M177/J177,"")</t>
  </si>
  <si>
    <t>=O177-Q177</t>
  </si>
  <si>
    <t>=IF(O177&lt;&gt;0,R177/O177,"")</t>
  </si>
  <si>
    <t>=U177-W177</t>
  </si>
  <si>
    <t>=IF(U177&lt;&gt;0,X177/U177,"")</t>
  </si>
  <si>
    <t>=Z177-AB177</t>
  </si>
  <si>
    <t>=IF(Z177&lt;&gt;0,AC177/Z177,"")</t>
  </si>
  <si>
    <t>="C100034"</t>
  </si>
  <si>
    <t>=C180</t>
  </si>
  <si>
    <t>=NL("Sum","5802 Value Entry","150 Sales Amount (Expected)","41 Source Type",$C$5,"5 Source No.",$C181,"4 Item Ledger Entry Type",$C$4,"2 Item No.","@@"&amp;$F181,"3 Posting Date",J$9)+NL("Sum","5802 Value Entry","17 Sales Amount (Actual)","41 Source Type",$C$5,"5 Source no.",$C181,"4 Item Ledger Entry Type",$C$4,"2 Item No.","@@"&amp;$F181,"3 Posting Date",J$9)</t>
  </si>
  <si>
    <t>=-NL("Sum","5802 Value Entry","151 Cost Amount (Expected)","41 Source Type",$C$5,"5 Source No.",$C181,"4 Item Ledger Entry Type",$C$4,"2 Item No.","@@"&amp;$F181,"3 Posting Date",J$9)-NL("Sum","5802 Value Entry","43 Cost Amount (Actual)","41 Source Type",$C$5,"5 Source no.",$C181,"4 Item Ledger Entry Type",$C$4,"2 Item No.","@@"&amp;$F181,"3 Posting Date",J$9)</t>
  </si>
  <si>
    <t>=J181-L181</t>
  </si>
  <si>
    <t>=IF(J181&lt;&gt;0,M181/J181,"")</t>
  </si>
  <si>
    <t>=NL("Sum","5802 Value Entry","150 Sales Amount (Expected)","41 Source Type",$C$5,"5 Source No.",$C181,"4 Item Ledger Entry Type",$C$4,"2 Item No.","@@"&amp;$F181,"3 Posting Date",O$9)+NL("Sum","5802 Value Entry","17 Sales Amount (Actual)","41 Source Type",$C$5,"5 Source no.",$C181,"4 Item Ledger Entry Type",$C$4,"2 Item No.","@@"&amp;$F181,"3 Posting Date",O$9)</t>
  </si>
  <si>
    <t>=-NL("Sum","5802 Value Entry","151 Cost Amount (Expected)","41 Source Type",$C$5,"5 Source No.",$C181,"4 Item Ledger Entry Type",$C$4,"2 Item No.","@@"&amp;$F181,"3 Posting Date",O$9)-NL("Sum","5802 Value Entry","43 Cost Amount (Actual)","41 Source Type",$C$5,"5 Source no.",$C181,"4 Item Ledger Entry Type",$C$4,"2 Item No.","@@"&amp;$F181,"3 Posting Date",O$9)</t>
  </si>
  <si>
    <t>=O181-Q181</t>
  </si>
  <si>
    <t>=IF(O181&lt;&gt;0,R181/O181,"")</t>
  </si>
  <si>
    <t>=NL("Sum","5802 Value Entry","150 Sales Amount (Expected)","41 Source Type",$C$5,"5 Source No.",$C181,"4 Item Ledger Entry Type",$C$4,"2 Item No.","@@"&amp;$F181,"3 Posting Date",U$9)+NL("Sum","5802 Value Entry","17 Sales Amount (Actual)","41 Source Type",$C$5,"5 Source no.",$C181,"4 Item Ledger Entry Type",$C$4,"2 Item No.","@@"&amp;$F181,"3 Posting Date",U$9)</t>
  </si>
  <si>
    <t>=-NL("Sum","5802 Value Entry","151 Cost Amount (Expected)","41 Source Type",$C$5,"5 Source No.",$C181,"4 Item Ledger Entry Type",$C$4,"2 Item No.","@@"&amp;$F181,"3 Posting Date",U$9)-NL("Sum","5802 Value Entry","43 Cost Amount (Actual)","41 Source Type",$C$5,"5 Source no.",$C181,"4 Item Ledger Entry Type",$C$4,"2 Item No.","@@"&amp;$F181,"3 Posting Date",U$9)</t>
  </si>
  <si>
    <t>=U181-W181</t>
  </si>
  <si>
    <t>=IF(U181&lt;&gt;0,X181/U181,"")</t>
  </si>
  <si>
    <t>=NL("Sum","5802 Value Entry","150 Sales Amount (Expected)","41 Source Type",$C$5,"5 Source No.",$C181,"4 Item Ledger Entry Type",$C$4,"2 Item No.","@@"&amp;$F181,"3 Posting Date",Z$9)+NL("Sum","5802 Value Entry","17 Sales Amount (Actual)","41 Source Type",$C$5,"5 Source no.",$C181,"4 Item Ledger Entry Type",$C$4,"2 Item No.","@@"&amp;$F181,"3 Posting Date",Z$9)</t>
  </si>
  <si>
    <t>=-NL("Sum","5802 Value Entry","151 Cost Amount (Expected)","41 Source Type",$C$5,"5 Source No.",$C181,"4 Item Ledger Entry Type",$C$4,"2 Item No.","@@"&amp;$F181,"3 Posting Date",Z$9)-NL("Sum","5802 Value Entry","43 Cost Amount (Actual)","41 Source Type",$C$5,"5 Source no.",$C181,"4 Item Ledger Entry Type",$C$4,"2 Item No.","@@"&amp;$F181,"3 Posting Date",Z$9)</t>
  </si>
  <si>
    <t>=Z181-AB181</t>
  </si>
  <si>
    <t>=IF(Z181&lt;&gt;0,AC181/Z181,"")</t>
  </si>
  <si>
    <t>=C181</t>
  </si>
  <si>
    <t>=NL("Sum","5802 Value Entry","150 Sales Amount (Expected)","41 Source Type",$C$5,"5 Source No.",$C182,"4 Item Ledger Entry Type",$C$4,"2 Item No.","@@"&amp;$F182,"3 Posting Date",J$9)+NL("Sum","5802 Value Entry","17 Sales Amount (Actual)","41 Source Type",$C$5,"5 Source no.",$C182,"4 Item Ledger Entry Type",$C$4,"2 Item No.","@@"&amp;$F182,"3 Posting Date",J$9)</t>
  </si>
  <si>
    <t>=-NL("Sum","5802 Value Entry","151 Cost Amount (Expected)","41 Source Type",$C$5,"5 Source No.",$C182,"4 Item Ledger Entry Type",$C$4,"2 Item No.","@@"&amp;$F182,"3 Posting Date",J$9)-NL("Sum","5802 Value Entry","43 Cost Amount (Actual)","41 Source Type",$C$5,"5 Source no.",$C182,"4 Item Ledger Entry Type",$C$4,"2 Item No.","@@"&amp;$F182,"3 Posting Date",J$9)</t>
  </si>
  <si>
    <t>=J182-L182</t>
  </si>
  <si>
    <t>=IF(J182&lt;&gt;0,M182/J182,"")</t>
  </si>
  <si>
    <t>=NL("Sum","5802 Value Entry","150 Sales Amount (Expected)","41 Source Type",$C$5,"5 Source No.",$C182,"4 Item Ledger Entry Type",$C$4,"2 Item No.","@@"&amp;$F182,"3 Posting Date",O$9)+NL("Sum","5802 Value Entry","17 Sales Amount (Actual)","41 Source Type",$C$5,"5 Source no.",$C182,"4 Item Ledger Entry Type",$C$4,"2 Item No.","@@"&amp;$F182,"3 Posting Date",O$9)</t>
  </si>
  <si>
    <t>=-NL("Sum","5802 Value Entry","151 Cost Amount (Expected)","41 Source Type",$C$5,"5 Source No.",$C182,"4 Item Ledger Entry Type",$C$4,"2 Item No.","@@"&amp;$F182,"3 Posting Date",O$9)-NL("Sum","5802 Value Entry","43 Cost Amount (Actual)","41 Source Type",$C$5,"5 Source no.",$C182,"4 Item Ledger Entry Type",$C$4,"2 Item No.","@@"&amp;$F182,"3 Posting Date",O$9)</t>
  </si>
  <si>
    <t>=O182-Q182</t>
  </si>
  <si>
    <t>=IF(O182&lt;&gt;0,R182/O182,"")</t>
  </si>
  <si>
    <t>=NL("Sum","5802 Value Entry","150 Sales Amount (Expected)","41 Source Type",$C$5,"5 Source No.",$C182,"4 Item Ledger Entry Type",$C$4,"2 Item No.","@@"&amp;$F182,"3 Posting Date",U$9)+NL("Sum","5802 Value Entry","17 Sales Amount (Actual)","41 Source Type",$C$5,"5 Source no.",$C182,"4 Item Ledger Entry Type",$C$4,"2 Item No.","@@"&amp;$F182,"3 Posting Date",U$9)</t>
  </si>
  <si>
    <t>=-NL("Sum","5802 Value Entry","151 Cost Amount (Expected)","41 Source Type",$C$5,"5 Source No.",$C182,"4 Item Ledger Entry Type",$C$4,"2 Item No.","@@"&amp;$F182,"3 Posting Date",U$9)-NL("Sum","5802 Value Entry","43 Cost Amount (Actual)","41 Source Type",$C$5,"5 Source no.",$C182,"4 Item Ledger Entry Type",$C$4,"2 Item No.","@@"&amp;$F182,"3 Posting Date",U$9)</t>
  </si>
  <si>
    <t>=U182-W182</t>
  </si>
  <si>
    <t>=IF(U182&lt;&gt;0,X182/U182,"")</t>
  </si>
  <si>
    <t>=NL("Sum","5802 Value Entry","150 Sales Amount (Expected)","41 Source Type",$C$5,"5 Source No.",$C182,"4 Item Ledger Entry Type",$C$4,"2 Item No.","@@"&amp;$F182,"3 Posting Date",Z$9)+NL("Sum","5802 Value Entry","17 Sales Amount (Actual)","41 Source Type",$C$5,"5 Source no.",$C182,"4 Item Ledger Entry Type",$C$4,"2 Item No.","@@"&amp;$F182,"3 Posting Date",Z$9)</t>
  </si>
  <si>
    <t>=-NL("Sum","5802 Value Entry","151 Cost Amount (Expected)","41 Source Type",$C$5,"5 Source No.",$C182,"4 Item Ledger Entry Type",$C$4,"2 Item No.","@@"&amp;$F182,"3 Posting Date",Z$9)-NL("Sum","5802 Value Entry","43 Cost Amount (Actual)","41 Source Type",$C$5,"5 Source no.",$C182,"4 Item Ledger Entry Type",$C$4,"2 Item No.","@@"&amp;$F182,"3 Posting Date",Z$9)</t>
  </si>
  <si>
    <t>=Z182-AB182</t>
  </si>
  <si>
    <t>=IF(Z182&lt;&gt;0,AC182/Z182,"")</t>
  </si>
  <si>
    <t>=NL("Sum","5802 Value Entry","150 Sales Amount (Expected)","41 Source Type",$C$5,"5 Source No.",$C183,"4 Item Ledger Entry Type",$C$4,"2 Item No.","@@"&amp;$F183,"3 Posting Date",J$9)+NL("Sum","5802 Value Entry","17 Sales Amount (Actual)","41 Source Type",$C$5,"5 Source no.",$C183,"4 Item Ledger Entry Type",$C$4,"2 Item No.","@@"&amp;$F183,"3 Posting Date",J$9)</t>
  </si>
  <si>
    <t>=-NL("Sum","5802 Value Entry","151 Cost Amount (Expected)","41 Source Type",$C$5,"5 Source No.",$C183,"4 Item Ledger Entry Type",$C$4,"2 Item No.","@@"&amp;$F183,"3 Posting Date",J$9)-NL("Sum","5802 Value Entry","43 Cost Amount (Actual)","41 Source Type",$C$5,"5 Source no.",$C183,"4 Item Ledger Entry Type",$C$4,"2 Item No.","@@"&amp;$F183,"3 Posting Date",J$9)</t>
  </si>
  <si>
    <t>=J183-L183</t>
  </si>
  <si>
    <t>=IF(J183&lt;&gt;0,M183/J183,"")</t>
  </si>
  <si>
    <t>=NL("Sum","5802 Value Entry","150 Sales Amount (Expected)","41 Source Type",$C$5,"5 Source No.",$C183,"4 Item Ledger Entry Type",$C$4,"2 Item No.","@@"&amp;$F183,"3 Posting Date",O$9)+NL("Sum","5802 Value Entry","17 Sales Amount (Actual)","41 Source Type",$C$5,"5 Source no.",$C183,"4 Item Ledger Entry Type",$C$4,"2 Item No.","@@"&amp;$F183,"3 Posting Date",O$9)</t>
  </si>
  <si>
    <t>=-NL("Sum","5802 Value Entry","151 Cost Amount (Expected)","41 Source Type",$C$5,"5 Source No.",$C183,"4 Item Ledger Entry Type",$C$4,"2 Item No.","@@"&amp;$F183,"3 Posting Date",O$9)-NL("Sum","5802 Value Entry","43 Cost Amount (Actual)","41 Source Type",$C$5,"5 Source no.",$C183,"4 Item Ledger Entry Type",$C$4,"2 Item No.","@@"&amp;$F183,"3 Posting Date",O$9)</t>
  </si>
  <si>
    <t>=O183-Q183</t>
  </si>
  <si>
    <t>=IF(O183&lt;&gt;0,R183/O183,"")</t>
  </si>
  <si>
    <t>=NL("Sum","5802 Value Entry","150 Sales Amount (Expected)","41 Source Type",$C$5,"5 Source No.",$C183,"4 Item Ledger Entry Type",$C$4,"2 Item No.","@@"&amp;$F183,"3 Posting Date",U$9)+NL("Sum","5802 Value Entry","17 Sales Amount (Actual)","41 Source Type",$C$5,"5 Source no.",$C183,"4 Item Ledger Entry Type",$C$4,"2 Item No.","@@"&amp;$F183,"3 Posting Date",U$9)</t>
  </si>
  <si>
    <t>=-NL("Sum","5802 Value Entry","151 Cost Amount (Expected)","41 Source Type",$C$5,"5 Source No.",$C183,"4 Item Ledger Entry Type",$C$4,"2 Item No.","@@"&amp;$F183,"3 Posting Date",U$9)-NL("Sum","5802 Value Entry","43 Cost Amount (Actual)","41 Source Type",$C$5,"5 Source no.",$C183,"4 Item Ledger Entry Type",$C$4,"2 Item No.","@@"&amp;$F183,"3 Posting Date",U$9)</t>
  </si>
  <si>
    <t>=U183-W183</t>
  </si>
  <si>
    <t>=IF(U183&lt;&gt;0,X183/U183,"")</t>
  </si>
  <si>
    <t>=NL("Sum","5802 Value Entry","150 Sales Amount (Expected)","41 Source Type",$C$5,"5 Source No.",$C183,"4 Item Ledger Entry Type",$C$4,"2 Item No.","@@"&amp;$F183,"3 Posting Date",Z$9)+NL("Sum","5802 Value Entry","17 Sales Amount (Actual)","41 Source Type",$C$5,"5 Source no.",$C183,"4 Item Ledger Entry Type",$C$4,"2 Item No.","@@"&amp;$F183,"3 Posting Date",Z$9)</t>
  </si>
  <si>
    <t>=-NL("Sum","5802 Value Entry","151 Cost Amount (Expected)","41 Source Type",$C$5,"5 Source No.",$C183,"4 Item Ledger Entry Type",$C$4,"2 Item No.","@@"&amp;$F183,"3 Posting Date",Z$9)-NL("Sum","5802 Value Entry","43 Cost Amount (Actual)","41 Source Type",$C$5,"5 Source no.",$C183,"4 Item Ledger Entry Type",$C$4,"2 Item No.","@@"&amp;$F183,"3 Posting Date",Z$9)</t>
  </si>
  <si>
    <t>=Z183-AB183</t>
  </si>
  <si>
    <t>=IF(Z183&lt;&gt;0,AC183/Z183,"")</t>
  </si>
  <si>
    <t>=NL("Sum","5802 Value Entry","150 Sales Amount (Expected)","41 Source Type",$C$5,"5 Source No.",$C184,"4 Item Ledger Entry Type",$C$4,"2 Item No.","@@"&amp;$F184,"3 Posting Date",J$9)+NL("Sum","5802 Value Entry","17 Sales Amount (Actual)","41 Source Type",$C$5,"5 Source no.",$C184,"4 Item Ledger Entry Type",$C$4,"2 Item No.","@@"&amp;$F184,"3 Posting Date",J$9)</t>
  </si>
  <si>
    <t>=-NL("Sum","5802 Value Entry","151 Cost Amount (Expected)","41 Source Type",$C$5,"5 Source No.",$C184,"4 Item Ledger Entry Type",$C$4,"2 Item No.","@@"&amp;$F184,"3 Posting Date",J$9)-NL("Sum","5802 Value Entry","43 Cost Amount (Actual)","41 Source Type",$C$5,"5 Source no.",$C184,"4 Item Ledger Entry Type",$C$4,"2 Item No.","@@"&amp;$F184,"3 Posting Date",J$9)</t>
  </si>
  <si>
    <t>=NL("Sum","5802 Value Entry","150 Sales Amount (Expected)","41 Source Type",$C$5,"5 Source No.",$C184,"4 Item Ledger Entry Type",$C$4,"2 Item No.","@@"&amp;$F184,"3 Posting Date",O$9)+NL("Sum","5802 Value Entry","17 Sales Amount (Actual)","41 Source Type",$C$5,"5 Source no.",$C184,"4 Item Ledger Entry Type",$C$4,"2 Item No.","@@"&amp;$F184,"3 Posting Date",O$9)</t>
  </si>
  <si>
    <t>=-NL("Sum","5802 Value Entry","151 Cost Amount (Expected)","41 Source Type",$C$5,"5 Source No.",$C184,"4 Item Ledger Entry Type",$C$4,"2 Item No.","@@"&amp;$F184,"3 Posting Date",O$9)-NL("Sum","5802 Value Entry","43 Cost Amount (Actual)","41 Source Type",$C$5,"5 Source no.",$C184,"4 Item Ledger Entry Type",$C$4,"2 Item No.","@@"&amp;$F184,"3 Posting Date",O$9)</t>
  </si>
  <si>
    <t>=NL("Sum","5802 Value Entry","150 Sales Amount (Expected)","41 Source Type",$C$5,"5 Source No.",$C184,"4 Item Ledger Entry Type",$C$4,"2 Item No.","@@"&amp;$F184,"3 Posting Date",U$9)+NL("Sum","5802 Value Entry","17 Sales Amount (Actual)","41 Source Type",$C$5,"5 Source no.",$C184,"4 Item Ledger Entry Type",$C$4,"2 Item No.","@@"&amp;$F184,"3 Posting Date",U$9)</t>
  </si>
  <si>
    <t>=-NL("Sum","5802 Value Entry","151 Cost Amount (Expected)","41 Source Type",$C$5,"5 Source No.",$C184,"4 Item Ledger Entry Type",$C$4,"2 Item No.","@@"&amp;$F184,"3 Posting Date",U$9)-NL("Sum","5802 Value Entry","43 Cost Amount (Actual)","41 Source Type",$C$5,"5 Source no.",$C184,"4 Item Ledger Entry Type",$C$4,"2 Item No.","@@"&amp;$F184,"3 Posting Date",U$9)</t>
  </si>
  <si>
    <t>=NL("Sum","5802 Value Entry","150 Sales Amount (Expected)","41 Source Type",$C$5,"5 Source No.",$C184,"4 Item Ledger Entry Type",$C$4,"2 Item No.","@@"&amp;$F184,"3 Posting Date",Z$9)+NL("Sum","5802 Value Entry","17 Sales Amount (Actual)","41 Source Type",$C$5,"5 Source no.",$C184,"4 Item Ledger Entry Type",$C$4,"2 Item No.","@@"&amp;$F184,"3 Posting Date",Z$9)</t>
  </si>
  <si>
    <t>=-NL("Sum","5802 Value Entry","151 Cost Amount (Expected)","41 Source Type",$C$5,"5 Source No.",$C184,"4 Item Ledger Entry Type",$C$4,"2 Item No.","@@"&amp;$F184,"3 Posting Date",Z$9)-NL("Sum","5802 Value Entry","43 Cost Amount (Actual)","41 Source Type",$C$5,"5 Source no.",$C184,"4 Item Ledger Entry Type",$C$4,"2 Item No.","@@"&amp;$F184,"3 Posting Date",Z$9)</t>
  </si>
  <si>
    <t>="C100052"</t>
  </si>
  <si>
    <t>=NL("Sum","5802 Value Entry","150 Sales Amount (Expected)","41 Source Type",$C$5,"5 Source No.",$C185,"4 Item Ledger Entry Type",$C$4,"2 Item No.","@@"&amp;$F185,"3 Posting Date",J$9)+NL("Sum","5802 Value Entry","17 Sales Amount (Actual)","41 Source Type",$C$5,"5 Source no.",$C185,"4 Item Ledger Entry Type",$C$4,"2 Item No.","@@"&amp;$F185,"3 Posting Date",J$9)</t>
  </si>
  <si>
    <t>=-NL("Sum","5802 Value Entry","151 Cost Amount (Expected)","41 Source Type",$C$5,"5 Source No.",$C185,"4 Item Ledger Entry Type",$C$4,"2 Item No.","@@"&amp;$F185,"3 Posting Date",J$9)-NL("Sum","5802 Value Entry","43 Cost Amount (Actual)","41 Source Type",$C$5,"5 Source no.",$C185,"4 Item Ledger Entry Type",$C$4,"2 Item No.","@@"&amp;$F185,"3 Posting Date",J$9)</t>
  </si>
  <si>
    <t>=J185-L185</t>
  </si>
  <si>
    <t>=IF(J185&lt;&gt;0,M185/J185,"")</t>
  </si>
  <si>
    <t>=NL("Sum","5802 Value Entry","150 Sales Amount (Expected)","41 Source Type",$C$5,"5 Source No.",$C185,"4 Item Ledger Entry Type",$C$4,"2 Item No.","@@"&amp;$F185,"3 Posting Date",O$9)+NL("Sum","5802 Value Entry","17 Sales Amount (Actual)","41 Source Type",$C$5,"5 Source no.",$C185,"4 Item Ledger Entry Type",$C$4,"2 Item No.","@@"&amp;$F185,"3 Posting Date",O$9)</t>
  </si>
  <si>
    <t>=-NL("Sum","5802 Value Entry","151 Cost Amount (Expected)","41 Source Type",$C$5,"5 Source No.",$C185,"4 Item Ledger Entry Type",$C$4,"2 Item No.","@@"&amp;$F185,"3 Posting Date",O$9)-NL("Sum","5802 Value Entry","43 Cost Amount (Actual)","41 Source Type",$C$5,"5 Source no.",$C185,"4 Item Ledger Entry Type",$C$4,"2 Item No.","@@"&amp;$F185,"3 Posting Date",O$9)</t>
  </si>
  <si>
    <t>=O185-Q185</t>
  </si>
  <si>
    <t>=IF(O185&lt;&gt;0,R185/O185,"")</t>
  </si>
  <si>
    <t>=NL("Sum","5802 Value Entry","150 Sales Amount (Expected)","41 Source Type",$C$5,"5 Source No.",$C185,"4 Item Ledger Entry Type",$C$4,"2 Item No.","@@"&amp;$F185,"3 Posting Date",U$9)+NL("Sum","5802 Value Entry","17 Sales Amount (Actual)","41 Source Type",$C$5,"5 Source no.",$C185,"4 Item Ledger Entry Type",$C$4,"2 Item No.","@@"&amp;$F185,"3 Posting Date",U$9)</t>
  </si>
  <si>
    <t>=-NL("Sum","5802 Value Entry","151 Cost Amount (Expected)","41 Source Type",$C$5,"5 Source No.",$C185,"4 Item Ledger Entry Type",$C$4,"2 Item No.","@@"&amp;$F185,"3 Posting Date",U$9)-NL("Sum","5802 Value Entry","43 Cost Amount (Actual)","41 Source Type",$C$5,"5 Source no.",$C185,"4 Item Ledger Entry Type",$C$4,"2 Item No.","@@"&amp;$F185,"3 Posting Date",U$9)</t>
  </si>
  <si>
    <t>=U185-W185</t>
  </si>
  <si>
    <t>=IF(U185&lt;&gt;0,X185/U185,"")</t>
  </si>
  <si>
    <t>=NL("Sum","5802 Value Entry","150 Sales Amount (Expected)","41 Source Type",$C$5,"5 Source No.",$C185,"4 Item Ledger Entry Type",$C$4,"2 Item No.","@@"&amp;$F185,"3 Posting Date",Z$9)+NL("Sum","5802 Value Entry","17 Sales Amount (Actual)","41 Source Type",$C$5,"5 Source no.",$C185,"4 Item Ledger Entry Type",$C$4,"2 Item No.","@@"&amp;$F185,"3 Posting Date",Z$9)</t>
  </si>
  <si>
    <t>=-NL("Sum","5802 Value Entry","151 Cost Amount (Expected)","41 Source Type",$C$5,"5 Source No.",$C185,"4 Item Ledger Entry Type",$C$4,"2 Item No.","@@"&amp;$F185,"3 Posting Date",Z$9)-NL("Sum","5802 Value Entry","43 Cost Amount (Actual)","41 Source Type",$C$5,"5 Source no.",$C185,"4 Item Ledger Entry Type",$C$4,"2 Item No.","@@"&amp;$F185,"3 Posting Date",Z$9)</t>
  </si>
  <si>
    <t>=Z185-AB185</t>
  </si>
  <si>
    <t>=IF(Z185&lt;&gt;0,AC185/Z185,"")</t>
  </si>
  <si>
    <t>="C100055"</t>
  </si>
  <si>
    <t>=NL("Sum","5802 Value Entry","150 Sales Amount (Expected)","41 Source Type",$C$5,"5 Source No.",$C186,"4 Item Ledger Entry Type",$C$4,"2 Item No.","@@"&amp;$F186,"3 Posting Date",J$9)+NL("Sum","5802 Value Entry","17 Sales Amount (Actual)","41 Source Type",$C$5,"5 Source no.",$C186,"4 Item Ledger Entry Type",$C$4,"2 Item No.","@@"&amp;$F186,"3 Posting Date",J$9)</t>
  </si>
  <si>
    <t>=-NL("Sum","5802 Value Entry","151 Cost Amount (Expected)","41 Source Type",$C$5,"5 Source No.",$C186,"4 Item Ledger Entry Type",$C$4,"2 Item No.","@@"&amp;$F186,"3 Posting Date",J$9)-NL("Sum","5802 Value Entry","43 Cost Amount (Actual)","41 Source Type",$C$5,"5 Source no.",$C186,"4 Item Ledger Entry Type",$C$4,"2 Item No.","@@"&amp;$F186,"3 Posting Date",J$9)</t>
  </si>
  <si>
    <t>=NL("Sum","5802 Value Entry","150 Sales Amount (Expected)","41 Source Type",$C$5,"5 Source No.",$C186,"4 Item Ledger Entry Type",$C$4,"2 Item No.","@@"&amp;$F186,"3 Posting Date",O$9)+NL("Sum","5802 Value Entry","17 Sales Amount (Actual)","41 Source Type",$C$5,"5 Source no.",$C186,"4 Item Ledger Entry Type",$C$4,"2 Item No.","@@"&amp;$F186,"3 Posting Date",O$9)</t>
  </si>
  <si>
    <t>=-NL("Sum","5802 Value Entry","151 Cost Amount (Expected)","41 Source Type",$C$5,"5 Source No.",$C186,"4 Item Ledger Entry Type",$C$4,"2 Item No.","@@"&amp;$F186,"3 Posting Date",O$9)-NL("Sum","5802 Value Entry","43 Cost Amount (Actual)","41 Source Type",$C$5,"5 Source no.",$C186,"4 Item Ledger Entry Type",$C$4,"2 Item No.","@@"&amp;$F186,"3 Posting Date",O$9)</t>
  </si>
  <si>
    <t>=NL("Sum","5802 Value Entry","150 Sales Amount (Expected)","41 Source Type",$C$5,"5 Source No.",$C186,"4 Item Ledger Entry Type",$C$4,"2 Item No.","@@"&amp;$F186,"3 Posting Date",U$9)+NL("Sum","5802 Value Entry","17 Sales Amount (Actual)","41 Source Type",$C$5,"5 Source no.",$C186,"4 Item Ledger Entry Type",$C$4,"2 Item No.","@@"&amp;$F186,"3 Posting Date",U$9)</t>
  </si>
  <si>
    <t>=-NL("Sum","5802 Value Entry","151 Cost Amount (Expected)","41 Source Type",$C$5,"5 Source No.",$C186,"4 Item Ledger Entry Type",$C$4,"2 Item No.","@@"&amp;$F186,"3 Posting Date",U$9)-NL("Sum","5802 Value Entry","43 Cost Amount (Actual)","41 Source Type",$C$5,"5 Source no.",$C186,"4 Item Ledger Entry Type",$C$4,"2 Item No.","@@"&amp;$F186,"3 Posting Date",U$9)</t>
  </si>
  <si>
    <t>=NL("Sum","5802 Value Entry","150 Sales Amount (Expected)","41 Source Type",$C$5,"5 Source No.",$C186,"4 Item Ledger Entry Type",$C$4,"2 Item No.","@@"&amp;$F186,"3 Posting Date",Z$9)+NL("Sum","5802 Value Entry","17 Sales Amount (Actual)","41 Source Type",$C$5,"5 Source no.",$C186,"4 Item Ledger Entry Type",$C$4,"2 Item No.","@@"&amp;$F186,"3 Posting Date",Z$9)</t>
  </si>
  <si>
    <t>=-NL("Sum","5802 Value Entry","151 Cost Amount (Expected)","41 Source Type",$C$5,"5 Source No.",$C186,"4 Item Ledger Entry Type",$C$4,"2 Item No.","@@"&amp;$F186,"3 Posting Date",Z$9)-NL("Sum","5802 Value Entry","43 Cost Amount (Actual)","41 Source Type",$C$5,"5 Source no.",$C186,"4 Item Ledger Entry Type",$C$4,"2 Item No.","@@"&amp;$F186,"3 Posting Date",Z$9)</t>
  </si>
  <si>
    <t>=C186</t>
  </si>
  <si>
    <t>=NL("Sum","5802 Value Entry","150 Sales Amount (Expected)","41 Source Type",$C$5,"5 Source No.",$C187,"4 Item Ledger Entry Type",$C$4,"2 Item No.","@@"&amp;$F187,"3 Posting Date",J$9)+NL("Sum","5802 Value Entry","17 Sales Amount (Actual)","41 Source Type",$C$5,"5 Source no.",$C187,"4 Item Ledger Entry Type",$C$4,"2 Item No.","@@"&amp;$F187,"3 Posting Date",J$9)</t>
  </si>
  <si>
    <t>=-NL("Sum","5802 Value Entry","151 Cost Amount (Expected)","41 Source Type",$C$5,"5 Source No.",$C187,"4 Item Ledger Entry Type",$C$4,"2 Item No.","@@"&amp;$F187,"3 Posting Date",J$9)-NL("Sum","5802 Value Entry","43 Cost Amount (Actual)","41 Source Type",$C$5,"5 Source no.",$C187,"4 Item Ledger Entry Type",$C$4,"2 Item No.","@@"&amp;$F187,"3 Posting Date",J$9)</t>
  </si>
  <si>
    <t>=J187-L187</t>
  </si>
  <si>
    <t>=IF(J187&lt;&gt;0,M187/J187,"")</t>
  </si>
  <si>
    <t>=NL("Sum","5802 Value Entry","150 Sales Amount (Expected)","41 Source Type",$C$5,"5 Source No.",$C187,"4 Item Ledger Entry Type",$C$4,"2 Item No.","@@"&amp;$F187,"3 Posting Date",O$9)+NL("Sum","5802 Value Entry","17 Sales Amount (Actual)","41 Source Type",$C$5,"5 Source no.",$C187,"4 Item Ledger Entry Type",$C$4,"2 Item No.","@@"&amp;$F187,"3 Posting Date",O$9)</t>
  </si>
  <si>
    <t>=-NL("Sum","5802 Value Entry","151 Cost Amount (Expected)","41 Source Type",$C$5,"5 Source No.",$C187,"4 Item Ledger Entry Type",$C$4,"2 Item No.","@@"&amp;$F187,"3 Posting Date",O$9)-NL("Sum","5802 Value Entry","43 Cost Amount (Actual)","41 Source Type",$C$5,"5 Source no.",$C187,"4 Item Ledger Entry Type",$C$4,"2 Item No.","@@"&amp;$F187,"3 Posting Date",O$9)</t>
  </si>
  <si>
    <t>=O187-Q187</t>
  </si>
  <si>
    <t>=IF(O187&lt;&gt;0,R187/O187,"")</t>
  </si>
  <si>
    <t>=NL("Sum","5802 Value Entry","150 Sales Amount (Expected)","41 Source Type",$C$5,"5 Source No.",$C187,"4 Item Ledger Entry Type",$C$4,"2 Item No.","@@"&amp;$F187,"3 Posting Date",U$9)+NL("Sum","5802 Value Entry","17 Sales Amount (Actual)","41 Source Type",$C$5,"5 Source no.",$C187,"4 Item Ledger Entry Type",$C$4,"2 Item No.","@@"&amp;$F187,"3 Posting Date",U$9)</t>
  </si>
  <si>
    <t>=-NL("Sum","5802 Value Entry","151 Cost Amount (Expected)","41 Source Type",$C$5,"5 Source No.",$C187,"4 Item Ledger Entry Type",$C$4,"2 Item No.","@@"&amp;$F187,"3 Posting Date",U$9)-NL("Sum","5802 Value Entry","43 Cost Amount (Actual)","41 Source Type",$C$5,"5 Source no.",$C187,"4 Item Ledger Entry Type",$C$4,"2 Item No.","@@"&amp;$F187,"3 Posting Date",U$9)</t>
  </si>
  <si>
    <t>=U187-W187</t>
  </si>
  <si>
    <t>=IF(U187&lt;&gt;0,X187/U187,"")</t>
  </si>
  <si>
    <t>=NL("Sum","5802 Value Entry","150 Sales Amount (Expected)","41 Source Type",$C$5,"5 Source No.",$C187,"4 Item Ledger Entry Type",$C$4,"2 Item No.","@@"&amp;$F187,"3 Posting Date",Z$9)+NL("Sum","5802 Value Entry","17 Sales Amount (Actual)","41 Source Type",$C$5,"5 Source no.",$C187,"4 Item Ledger Entry Type",$C$4,"2 Item No.","@@"&amp;$F187,"3 Posting Date",Z$9)</t>
  </si>
  <si>
    <t>=-NL("Sum","5802 Value Entry","151 Cost Amount (Expected)","41 Source Type",$C$5,"5 Source No.",$C187,"4 Item Ledger Entry Type",$C$4,"2 Item No.","@@"&amp;$F187,"3 Posting Date",Z$9)-NL("Sum","5802 Value Entry","43 Cost Amount (Actual)","41 Source Type",$C$5,"5 Source no.",$C187,"4 Item Ledger Entry Type",$C$4,"2 Item No.","@@"&amp;$F187,"3 Posting Date",Z$9)</t>
  </si>
  <si>
    <t>=Z187-AB187</t>
  </si>
  <si>
    <t>=IF(Z187&lt;&gt;0,AC187/Z187,"")</t>
  </si>
  <si>
    <t>=C187</t>
  </si>
  <si>
    <t>=NL("Sum","5802 Value Entry","150 Sales Amount (Expected)","41 Source Type",$C$5,"5 Source No.",$C188,"4 Item Ledger Entry Type",$C$4,"2 Item No.","@@"&amp;$F188,"3 Posting Date",J$9)+NL("Sum","5802 Value Entry","17 Sales Amount (Actual)","41 Source Type",$C$5,"5 Source no.",$C188,"4 Item Ledger Entry Type",$C$4,"2 Item No.","@@"&amp;$F188,"3 Posting Date",J$9)</t>
  </si>
  <si>
    <t>=-NL("Sum","5802 Value Entry","151 Cost Amount (Expected)","41 Source Type",$C$5,"5 Source No.",$C188,"4 Item Ledger Entry Type",$C$4,"2 Item No.","@@"&amp;$F188,"3 Posting Date",J$9)-NL("Sum","5802 Value Entry","43 Cost Amount (Actual)","41 Source Type",$C$5,"5 Source no.",$C188,"4 Item Ledger Entry Type",$C$4,"2 Item No.","@@"&amp;$F188,"3 Posting Date",J$9)</t>
  </si>
  <si>
    <t>=J188-L188</t>
  </si>
  <si>
    <t>=IF(J188&lt;&gt;0,M188/J188,"")</t>
  </si>
  <si>
    <t>=NL("Sum","5802 Value Entry","150 Sales Amount (Expected)","41 Source Type",$C$5,"5 Source No.",$C188,"4 Item Ledger Entry Type",$C$4,"2 Item No.","@@"&amp;$F188,"3 Posting Date",O$9)+NL("Sum","5802 Value Entry","17 Sales Amount (Actual)","41 Source Type",$C$5,"5 Source no.",$C188,"4 Item Ledger Entry Type",$C$4,"2 Item No.","@@"&amp;$F188,"3 Posting Date",O$9)</t>
  </si>
  <si>
    <t>=-NL("Sum","5802 Value Entry","151 Cost Amount (Expected)","41 Source Type",$C$5,"5 Source No.",$C188,"4 Item Ledger Entry Type",$C$4,"2 Item No.","@@"&amp;$F188,"3 Posting Date",O$9)-NL("Sum","5802 Value Entry","43 Cost Amount (Actual)","41 Source Type",$C$5,"5 Source no.",$C188,"4 Item Ledger Entry Type",$C$4,"2 Item No.","@@"&amp;$F188,"3 Posting Date",O$9)</t>
  </si>
  <si>
    <t>=O188-Q188</t>
  </si>
  <si>
    <t>=IF(O188&lt;&gt;0,R188/O188,"")</t>
  </si>
  <si>
    <t>=NL("Sum","5802 Value Entry","150 Sales Amount (Expected)","41 Source Type",$C$5,"5 Source No.",$C188,"4 Item Ledger Entry Type",$C$4,"2 Item No.","@@"&amp;$F188,"3 Posting Date",U$9)+NL("Sum","5802 Value Entry","17 Sales Amount (Actual)","41 Source Type",$C$5,"5 Source no.",$C188,"4 Item Ledger Entry Type",$C$4,"2 Item No.","@@"&amp;$F188,"3 Posting Date",U$9)</t>
  </si>
  <si>
    <t>=-NL("Sum","5802 Value Entry","151 Cost Amount (Expected)","41 Source Type",$C$5,"5 Source No.",$C188,"4 Item Ledger Entry Type",$C$4,"2 Item No.","@@"&amp;$F188,"3 Posting Date",U$9)-NL("Sum","5802 Value Entry","43 Cost Amount (Actual)","41 Source Type",$C$5,"5 Source no.",$C188,"4 Item Ledger Entry Type",$C$4,"2 Item No.","@@"&amp;$F188,"3 Posting Date",U$9)</t>
  </si>
  <si>
    <t>=U188-W188</t>
  </si>
  <si>
    <t>=IF(U188&lt;&gt;0,X188/U188,"")</t>
  </si>
  <si>
    <t>=NL("Sum","5802 Value Entry","150 Sales Amount (Expected)","41 Source Type",$C$5,"5 Source No.",$C188,"4 Item Ledger Entry Type",$C$4,"2 Item No.","@@"&amp;$F188,"3 Posting Date",Z$9)+NL("Sum","5802 Value Entry","17 Sales Amount (Actual)","41 Source Type",$C$5,"5 Source no.",$C188,"4 Item Ledger Entry Type",$C$4,"2 Item No.","@@"&amp;$F188,"3 Posting Date",Z$9)</t>
  </si>
  <si>
    <t>=-NL("Sum","5802 Value Entry","151 Cost Amount (Expected)","41 Source Type",$C$5,"5 Source No.",$C188,"4 Item Ledger Entry Type",$C$4,"2 Item No.","@@"&amp;$F188,"3 Posting Date",Z$9)-NL("Sum","5802 Value Entry","43 Cost Amount (Actual)","41 Source Type",$C$5,"5 Source no.",$C188,"4 Item Ledger Entry Type",$C$4,"2 Item No.","@@"&amp;$F188,"3 Posting Date",Z$9)</t>
  </si>
  <si>
    <t>=Z188-AB188</t>
  </si>
  <si>
    <t>=IF(Z188&lt;&gt;0,AC188/Z188,"")</t>
  </si>
  <si>
    <t>=NL("Sum","5802 Value Entry","150 Sales Amount (Expected)","41 Source Type",$C$5,"5 Source No.",$C189,"4 Item Ledger Entry Type",$C$4,"2 Item No.","@@"&amp;$F189,"3 Posting Date",J$9)+NL("Sum","5802 Value Entry","17 Sales Amount (Actual)","41 Source Type",$C$5,"5 Source no.",$C189,"4 Item Ledger Entry Type",$C$4,"2 Item No.","@@"&amp;$F189,"3 Posting Date",J$9)</t>
  </si>
  <si>
    <t>=-NL("Sum","5802 Value Entry","151 Cost Amount (Expected)","41 Source Type",$C$5,"5 Source No.",$C189,"4 Item Ledger Entry Type",$C$4,"2 Item No.","@@"&amp;$F189,"3 Posting Date",J$9)-NL("Sum","5802 Value Entry","43 Cost Amount (Actual)","41 Source Type",$C$5,"5 Source no.",$C189,"4 Item Ledger Entry Type",$C$4,"2 Item No.","@@"&amp;$F189,"3 Posting Date",J$9)</t>
  </si>
  <si>
    <t>=J189-L189</t>
  </si>
  <si>
    <t>=IF(J189&lt;&gt;0,M189/J189,"")</t>
  </si>
  <si>
    <t>=NL("Sum","5802 Value Entry","150 Sales Amount (Expected)","41 Source Type",$C$5,"5 Source No.",$C189,"4 Item Ledger Entry Type",$C$4,"2 Item No.","@@"&amp;$F189,"3 Posting Date",O$9)+NL("Sum","5802 Value Entry","17 Sales Amount (Actual)","41 Source Type",$C$5,"5 Source no.",$C189,"4 Item Ledger Entry Type",$C$4,"2 Item No.","@@"&amp;$F189,"3 Posting Date",O$9)</t>
  </si>
  <si>
    <t>=-NL("Sum","5802 Value Entry","151 Cost Amount (Expected)","41 Source Type",$C$5,"5 Source No.",$C189,"4 Item Ledger Entry Type",$C$4,"2 Item No.","@@"&amp;$F189,"3 Posting Date",O$9)-NL("Sum","5802 Value Entry","43 Cost Amount (Actual)","41 Source Type",$C$5,"5 Source no.",$C189,"4 Item Ledger Entry Type",$C$4,"2 Item No.","@@"&amp;$F189,"3 Posting Date",O$9)</t>
  </si>
  <si>
    <t>=O189-Q189</t>
  </si>
  <si>
    <t>=IF(O189&lt;&gt;0,R189/O189,"")</t>
  </si>
  <si>
    <t>=NL("Sum","5802 Value Entry","150 Sales Amount (Expected)","41 Source Type",$C$5,"5 Source No.",$C189,"4 Item Ledger Entry Type",$C$4,"2 Item No.","@@"&amp;$F189,"3 Posting Date",U$9)+NL("Sum","5802 Value Entry","17 Sales Amount (Actual)","41 Source Type",$C$5,"5 Source no.",$C189,"4 Item Ledger Entry Type",$C$4,"2 Item No.","@@"&amp;$F189,"3 Posting Date",U$9)</t>
  </si>
  <si>
    <t>=-NL("Sum","5802 Value Entry","151 Cost Amount (Expected)","41 Source Type",$C$5,"5 Source No.",$C189,"4 Item Ledger Entry Type",$C$4,"2 Item No.","@@"&amp;$F189,"3 Posting Date",U$9)-NL("Sum","5802 Value Entry","43 Cost Amount (Actual)","41 Source Type",$C$5,"5 Source no.",$C189,"4 Item Ledger Entry Type",$C$4,"2 Item No.","@@"&amp;$F189,"3 Posting Date",U$9)</t>
  </si>
  <si>
    <t>=U189-W189</t>
  </si>
  <si>
    <t>=IF(U189&lt;&gt;0,X189/U189,"")</t>
  </si>
  <si>
    <t>=NL("Sum","5802 Value Entry","150 Sales Amount (Expected)","41 Source Type",$C$5,"5 Source No.",$C189,"4 Item Ledger Entry Type",$C$4,"2 Item No.","@@"&amp;$F189,"3 Posting Date",Z$9)+NL("Sum","5802 Value Entry","17 Sales Amount (Actual)","41 Source Type",$C$5,"5 Source no.",$C189,"4 Item Ledger Entry Type",$C$4,"2 Item No.","@@"&amp;$F189,"3 Posting Date",Z$9)</t>
  </si>
  <si>
    <t>=-NL("Sum","5802 Value Entry","151 Cost Amount (Expected)","41 Source Type",$C$5,"5 Source No.",$C189,"4 Item Ledger Entry Type",$C$4,"2 Item No.","@@"&amp;$F189,"3 Posting Date",Z$9)-NL("Sum","5802 Value Entry","43 Cost Amount (Actual)","41 Source Type",$C$5,"5 Source no.",$C189,"4 Item Ledger Entry Type",$C$4,"2 Item No.","@@"&amp;$F189,"3 Posting Date",Z$9)</t>
  </si>
  <si>
    <t>=Z189-AB189</t>
  </si>
  <si>
    <t>=IF(Z189&lt;&gt;0,AC189/Z189,"")</t>
  </si>
  <si>
    <t>=J191-L191</t>
  </si>
  <si>
    <t>=IF(J191&lt;&gt;0,M191/J191,"")</t>
  </si>
  <si>
    <t>=O191-Q191</t>
  </si>
  <si>
    <t>=IF(O191&lt;&gt;0,R191/O191,"")</t>
  </si>
  <si>
    <t>=U191-W191</t>
  </si>
  <si>
    <t>=IF(U191&lt;&gt;0,X191/U191,"")</t>
  </si>
  <si>
    <t>=Z191-AB191</t>
  </si>
  <si>
    <t>=IF(Z191&lt;&gt;0,AC191/Z191,"")</t>
  </si>
  <si>
    <t>=C193</t>
  </si>
  <si>
    <t>=NL("Sum","5802 Value Entry","150 Sales Amount (Expected)","41 Source Type",$C$5,"5 Source No.",$C195,"4 Item Ledger Entry Type",$C$4,"2 Item No.","@@"&amp;$F195,"3 Posting Date",J$9)+NL("Sum","5802 Value Entry","17 Sales Amount (Actual)","41 Source Type",$C$5,"5 Source no.",$C195,"4 Item Ledger Entry Type",$C$4,"2 Item No.","@@"&amp;$F195,"3 Posting Date",J$9)</t>
  </si>
  <si>
    <t>=-NL("Sum","5802 Value Entry","151 Cost Amount (Expected)","41 Source Type",$C$5,"5 Source No.",$C195,"4 Item Ledger Entry Type",$C$4,"2 Item No.","@@"&amp;$F195,"3 Posting Date",J$9)-NL("Sum","5802 Value Entry","43 Cost Amount (Actual)","41 Source Type",$C$5,"5 Source no.",$C195,"4 Item Ledger Entry Type",$C$4,"2 Item No.","@@"&amp;$F195,"3 Posting Date",J$9)</t>
  </si>
  <si>
    <t>=J195-L195</t>
  </si>
  <si>
    <t>=IF(J195&lt;&gt;0,M195/J195,"")</t>
  </si>
  <si>
    <t>=NL("Sum","5802 Value Entry","150 Sales Amount (Expected)","41 Source Type",$C$5,"5 Source No.",$C195,"4 Item Ledger Entry Type",$C$4,"2 Item No.","@@"&amp;$F195,"3 Posting Date",O$9)+NL("Sum","5802 Value Entry","17 Sales Amount (Actual)","41 Source Type",$C$5,"5 Source no.",$C195,"4 Item Ledger Entry Type",$C$4,"2 Item No.","@@"&amp;$F195,"3 Posting Date",O$9)</t>
  </si>
  <si>
    <t>=-NL("Sum","5802 Value Entry","151 Cost Amount (Expected)","41 Source Type",$C$5,"5 Source No.",$C195,"4 Item Ledger Entry Type",$C$4,"2 Item No.","@@"&amp;$F195,"3 Posting Date",O$9)-NL("Sum","5802 Value Entry","43 Cost Amount (Actual)","41 Source Type",$C$5,"5 Source no.",$C195,"4 Item Ledger Entry Type",$C$4,"2 Item No.","@@"&amp;$F195,"3 Posting Date",O$9)</t>
  </si>
  <si>
    <t>=O195-Q195</t>
  </si>
  <si>
    <t>=IF(O195&lt;&gt;0,R195/O195,"")</t>
  </si>
  <si>
    <t>=NL("Sum","5802 Value Entry","150 Sales Amount (Expected)","41 Source Type",$C$5,"5 Source No.",$C195,"4 Item Ledger Entry Type",$C$4,"2 Item No.","@@"&amp;$F195,"3 Posting Date",U$9)+NL("Sum","5802 Value Entry","17 Sales Amount (Actual)","41 Source Type",$C$5,"5 Source no.",$C195,"4 Item Ledger Entry Type",$C$4,"2 Item No.","@@"&amp;$F195,"3 Posting Date",U$9)</t>
  </si>
  <si>
    <t>=-NL("Sum","5802 Value Entry","151 Cost Amount (Expected)","41 Source Type",$C$5,"5 Source No.",$C195,"4 Item Ledger Entry Type",$C$4,"2 Item No.","@@"&amp;$F195,"3 Posting Date",U$9)-NL("Sum","5802 Value Entry","43 Cost Amount (Actual)","41 Source Type",$C$5,"5 Source no.",$C195,"4 Item Ledger Entry Type",$C$4,"2 Item No.","@@"&amp;$F195,"3 Posting Date",U$9)</t>
  </si>
  <si>
    <t>=U195-W195</t>
  </si>
  <si>
    <t>=IF(U195&lt;&gt;0,X195/U195,"")</t>
  </si>
  <si>
    <t>=NL("Sum","5802 Value Entry","150 Sales Amount (Expected)","41 Source Type",$C$5,"5 Source No.",$C195,"4 Item Ledger Entry Type",$C$4,"2 Item No.","@@"&amp;$F195,"3 Posting Date",Z$9)+NL("Sum","5802 Value Entry","17 Sales Amount (Actual)","41 Source Type",$C$5,"5 Source no.",$C195,"4 Item Ledger Entry Type",$C$4,"2 Item No.","@@"&amp;$F195,"3 Posting Date",Z$9)</t>
  </si>
  <si>
    <t>=-NL("Sum","5802 Value Entry","151 Cost Amount (Expected)","41 Source Type",$C$5,"5 Source No.",$C195,"4 Item Ledger Entry Type",$C$4,"2 Item No.","@@"&amp;$F195,"3 Posting Date",Z$9)-NL("Sum","5802 Value Entry","43 Cost Amount (Actual)","41 Source Type",$C$5,"5 Source no.",$C195,"4 Item Ledger Entry Type",$C$4,"2 Item No.","@@"&amp;$F195,"3 Posting Date",Z$9)</t>
  </si>
  <si>
    <t>=Z195-AB195</t>
  </si>
  <si>
    <t>=IF(Z195&lt;&gt;0,AC195/Z195,"")</t>
  </si>
  <si>
    <t>=NL("Sum","5802 Value Entry","150 Sales Amount (Expected)","41 Source Type",$C$5,"5 Source No.",$C196,"4 Item Ledger Entry Type",$C$4,"2 Item No.","@@"&amp;$F196,"3 Posting Date",J$9)+NL("Sum","5802 Value Entry","17 Sales Amount (Actual)","41 Source Type",$C$5,"5 Source no.",$C196,"4 Item Ledger Entry Type",$C$4,"2 Item No.","@@"&amp;$F196,"3 Posting Date",J$9)</t>
  </si>
  <si>
    <t>=-NL("Sum","5802 Value Entry","151 Cost Amount (Expected)","41 Source Type",$C$5,"5 Source No.",$C196,"4 Item Ledger Entry Type",$C$4,"2 Item No.","@@"&amp;$F196,"3 Posting Date",J$9)-NL("Sum","5802 Value Entry","43 Cost Amount (Actual)","41 Source Type",$C$5,"5 Source no.",$C196,"4 Item Ledger Entry Type",$C$4,"2 Item No.","@@"&amp;$F196,"3 Posting Date",J$9)</t>
  </si>
  <si>
    <t>=NL("Sum","5802 Value Entry","150 Sales Amount (Expected)","41 Source Type",$C$5,"5 Source No.",$C196,"4 Item Ledger Entry Type",$C$4,"2 Item No.","@@"&amp;$F196,"3 Posting Date",O$9)+NL("Sum","5802 Value Entry","17 Sales Amount (Actual)","41 Source Type",$C$5,"5 Source no.",$C196,"4 Item Ledger Entry Type",$C$4,"2 Item No.","@@"&amp;$F196,"3 Posting Date",O$9)</t>
  </si>
  <si>
    <t>=-NL("Sum","5802 Value Entry","151 Cost Amount (Expected)","41 Source Type",$C$5,"5 Source No.",$C196,"4 Item Ledger Entry Type",$C$4,"2 Item No.","@@"&amp;$F196,"3 Posting Date",O$9)-NL("Sum","5802 Value Entry","43 Cost Amount (Actual)","41 Source Type",$C$5,"5 Source no.",$C196,"4 Item Ledger Entry Type",$C$4,"2 Item No.","@@"&amp;$F196,"3 Posting Date",O$9)</t>
  </si>
  <si>
    <t>=NL("Sum","5802 Value Entry","150 Sales Amount (Expected)","41 Source Type",$C$5,"5 Source No.",$C196,"4 Item Ledger Entry Type",$C$4,"2 Item No.","@@"&amp;$F196,"3 Posting Date",U$9)+NL("Sum","5802 Value Entry","17 Sales Amount (Actual)","41 Source Type",$C$5,"5 Source no.",$C196,"4 Item Ledger Entry Type",$C$4,"2 Item No.","@@"&amp;$F196,"3 Posting Date",U$9)</t>
  </si>
  <si>
    <t>=-NL("Sum","5802 Value Entry","151 Cost Amount (Expected)","41 Source Type",$C$5,"5 Source No.",$C196,"4 Item Ledger Entry Type",$C$4,"2 Item No.","@@"&amp;$F196,"3 Posting Date",U$9)-NL("Sum","5802 Value Entry","43 Cost Amount (Actual)","41 Source Type",$C$5,"5 Source no.",$C196,"4 Item Ledger Entry Type",$C$4,"2 Item No.","@@"&amp;$F196,"3 Posting Date",U$9)</t>
  </si>
  <si>
    <t>=NL("Sum","5802 Value Entry","150 Sales Amount (Expected)","41 Source Type",$C$5,"5 Source No.",$C196,"4 Item Ledger Entry Type",$C$4,"2 Item No.","@@"&amp;$F196,"3 Posting Date",Z$9)+NL("Sum","5802 Value Entry","17 Sales Amount (Actual)","41 Source Type",$C$5,"5 Source no.",$C196,"4 Item Ledger Entry Type",$C$4,"2 Item No.","@@"&amp;$F196,"3 Posting Date",Z$9)</t>
  </si>
  <si>
    <t>=-NL("Sum","5802 Value Entry","151 Cost Amount (Expected)","41 Source Type",$C$5,"5 Source No.",$C196,"4 Item Ledger Entry Type",$C$4,"2 Item No.","@@"&amp;$F196,"3 Posting Date",Z$9)-NL("Sum","5802 Value Entry","43 Cost Amount (Actual)","41 Source Type",$C$5,"5 Source no.",$C196,"4 Item Ledger Entry Type",$C$4,"2 Item No.","@@"&amp;$F196,"3 Posting Date",Z$9)</t>
  </si>
  <si>
    <t>=NL("Sum","5802 Value Entry","150 Sales Amount (Expected)","41 Source Type",$C$5,"5 Source No.",$C197,"4 Item Ledger Entry Type",$C$4,"2 Item No.","@@"&amp;$F197,"3 Posting Date",J$9)+NL("Sum","5802 Value Entry","17 Sales Amount (Actual)","41 Source Type",$C$5,"5 Source no.",$C197,"4 Item Ledger Entry Type",$C$4,"2 Item No.","@@"&amp;$F197,"3 Posting Date",J$9)</t>
  </si>
  <si>
    <t>=-NL("Sum","5802 Value Entry","151 Cost Amount (Expected)","41 Source Type",$C$5,"5 Source No.",$C197,"4 Item Ledger Entry Type",$C$4,"2 Item No.","@@"&amp;$F197,"3 Posting Date",J$9)-NL("Sum","5802 Value Entry","43 Cost Amount (Actual)","41 Source Type",$C$5,"5 Source no.",$C197,"4 Item Ledger Entry Type",$C$4,"2 Item No.","@@"&amp;$F197,"3 Posting Date",J$9)</t>
  </si>
  <si>
    <t>=J197-L197</t>
  </si>
  <si>
    <t>=IF(J197&lt;&gt;0,M197/J197,"")</t>
  </si>
  <si>
    <t>=NL("Sum","5802 Value Entry","150 Sales Amount (Expected)","41 Source Type",$C$5,"5 Source No.",$C197,"4 Item Ledger Entry Type",$C$4,"2 Item No.","@@"&amp;$F197,"3 Posting Date",O$9)+NL("Sum","5802 Value Entry","17 Sales Amount (Actual)","41 Source Type",$C$5,"5 Source no.",$C197,"4 Item Ledger Entry Type",$C$4,"2 Item No.","@@"&amp;$F197,"3 Posting Date",O$9)</t>
  </si>
  <si>
    <t>=-NL("Sum","5802 Value Entry","151 Cost Amount (Expected)","41 Source Type",$C$5,"5 Source No.",$C197,"4 Item Ledger Entry Type",$C$4,"2 Item No.","@@"&amp;$F197,"3 Posting Date",O$9)-NL("Sum","5802 Value Entry","43 Cost Amount (Actual)","41 Source Type",$C$5,"5 Source no.",$C197,"4 Item Ledger Entry Type",$C$4,"2 Item No.","@@"&amp;$F197,"3 Posting Date",O$9)</t>
  </si>
  <si>
    <t>=O197-Q197</t>
  </si>
  <si>
    <t>=IF(O197&lt;&gt;0,R197/O197,"")</t>
  </si>
  <si>
    <t>=NL("Sum","5802 Value Entry","150 Sales Amount (Expected)","41 Source Type",$C$5,"5 Source No.",$C197,"4 Item Ledger Entry Type",$C$4,"2 Item No.","@@"&amp;$F197,"3 Posting Date",U$9)+NL("Sum","5802 Value Entry","17 Sales Amount (Actual)","41 Source Type",$C$5,"5 Source no.",$C197,"4 Item Ledger Entry Type",$C$4,"2 Item No.","@@"&amp;$F197,"3 Posting Date",U$9)</t>
  </si>
  <si>
    <t>=-NL("Sum","5802 Value Entry","151 Cost Amount (Expected)","41 Source Type",$C$5,"5 Source No.",$C197,"4 Item Ledger Entry Type",$C$4,"2 Item No.","@@"&amp;$F197,"3 Posting Date",U$9)-NL("Sum","5802 Value Entry","43 Cost Amount (Actual)","41 Source Type",$C$5,"5 Source no.",$C197,"4 Item Ledger Entry Type",$C$4,"2 Item No.","@@"&amp;$F197,"3 Posting Date",U$9)</t>
  </si>
  <si>
    <t>=U197-W197</t>
  </si>
  <si>
    <t>=IF(U197&lt;&gt;0,X197/U197,"")</t>
  </si>
  <si>
    <t>=NL("Sum","5802 Value Entry","150 Sales Amount (Expected)","41 Source Type",$C$5,"5 Source No.",$C197,"4 Item Ledger Entry Type",$C$4,"2 Item No.","@@"&amp;$F197,"3 Posting Date",Z$9)+NL("Sum","5802 Value Entry","17 Sales Amount (Actual)","41 Source Type",$C$5,"5 Source no.",$C197,"4 Item Ledger Entry Type",$C$4,"2 Item No.","@@"&amp;$F197,"3 Posting Date",Z$9)</t>
  </si>
  <si>
    <t>=-NL("Sum","5802 Value Entry","151 Cost Amount (Expected)","41 Source Type",$C$5,"5 Source No.",$C197,"4 Item Ledger Entry Type",$C$4,"2 Item No.","@@"&amp;$F197,"3 Posting Date",Z$9)-NL("Sum","5802 Value Entry","43 Cost Amount (Actual)","41 Source Type",$C$5,"5 Source no.",$C197,"4 Item Ledger Entry Type",$C$4,"2 Item No.","@@"&amp;$F197,"3 Posting Date",Z$9)</t>
  </si>
  <si>
    <t>=Z197-AB197</t>
  </si>
  <si>
    <t>=IF(Z197&lt;&gt;0,AC197/Z197,"")</t>
  </si>
  <si>
    <t>=NL("Sum","5802 Value Entry","150 Sales Amount (Expected)","41 Source Type",$C$5,"5 Source No.",$C198,"4 Item Ledger Entry Type",$C$4,"2 Item No.","@@"&amp;$F198,"3 Posting Date",J$9)+NL("Sum","5802 Value Entry","17 Sales Amount (Actual)","41 Source Type",$C$5,"5 Source no.",$C198,"4 Item Ledger Entry Type",$C$4,"2 Item No.","@@"&amp;$F198,"3 Posting Date",J$9)</t>
  </si>
  <si>
    <t>=-NL("Sum","5802 Value Entry","151 Cost Amount (Expected)","41 Source Type",$C$5,"5 Source No.",$C198,"4 Item Ledger Entry Type",$C$4,"2 Item No.","@@"&amp;$F198,"3 Posting Date",J$9)-NL("Sum","5802 Value Entry","43 Cost Amount (Actual)","41 Source Type",$C$5,"5 Source no.",$C198,"4 Item Ledger Entry Type",$C$4,"2 Item No.","@@"&amp;$F198,"3 Posting Date",J$9)</t>
  </si>
  <si>
    <t>=NL("Sum","5802 Value Entry","150 Sales Amount (Expected)","41 Source Type",$C$5,"5 Source No.",$C198,"4 Item Ledger Entry Type",$C$4,"2 Item No.","@@"&amp;$F198,"3 Posting Date",O$9)+NL("Sum","5802 Value Entry","17 Sales Amount (Actual)","41 Source Type",$C$5,"5 Source no.",$C198,"4 Item Ledger Entry Type",$C$4,"2 Item No.","@@"&amp;$F198,"3 Posting Date",O$9)</t>
  </si>
  <si>
    <t>=-NL("Sum","5802 Value Entry","151 Cost Amount (Expected)","41 Source Type",$C$5,"5 Source No.",$C198,"4 Item Ledger Entry Type",$C$4,"2 Item No.","@@"&amp;$F198,"3 Posting Date",O$9)-NL("Sum","5802 Value Entry","43 Cost Amount (Actual)","41 Source Type",$C$5,"5 Source no.",$C198,"4 Item Ledger Entry Type",$C$4,"2 Item No.","@@"&amp;$F198,"3 Posting Date",O$9)</t>
  </si>
  <si>
    <t>=NL("Sum","5802 Value Entry","150 Sales Amount (Expected)","41 Source Type",$C$5,"5 Source No.",$C198,"4 Item Ledger Entry Type",$C$4,"2 Item No.","@@"&amp;$F198,"3 Posting Date",U$9)+NL("Sum","5802 Value Entry","17 Sales Amount (Actual)","41 Source Type",$C$5,"5 Source no.",$C198,"4 Item Ledger Entry Type",$C$4,"2 Item No.","@@"&amp;$F198,"3 Posting Date",U$9)</t>
  </si>
  <si>
    <t>=-NL("Sum","5802 Value Entry","151 Cost Amount (Expected)","41 Source Type",$C$5,"5 Source No.",$C198,"4 Item Ledger Entry Type",$C$4,"2 Item No.","@@"&amp;$F198,"3 Posting Date",U$9)-NL("Sum","5802 Value Entry","43 Cost Amount (Actual)","41 Source Type",$C$5,"5 Source no.",$C198,"4 Item Ledger Entry Type",$C$4,"2 Item No.","@@"&amp;$F198,"3 Posting Date",U$9)</t>
  </si>
  <si>
    <t>=NL("Sum","5802 Value Entry","150 Sales Amount (Expected)","41 Source Type",$C$5,"5 Source No.",$C198,"4 Item Ledger Entry Type",$C$4,"2 Item No.","@@"&amp;$F198,"3 Posting Date",Z$9)+NL("Sum","5802 Value Entry","17 Sales Amount (Actual)","41 Source Type",$C$5,"5 Source no.",$C198,"4 Item Ledger Entry Type",$C$4,"2 Item No.","@@"&amp;$F198,"3 Posting Date",Z$9)</t>
  </si>
  <si>
    <t>=-NL("Sum","5802 Value Entry","151 Cost Amount (Expected)","41 Source Type",$C$5,"5 Source No.",$C198,"4 Item Ledger Entry Type",$C$4,"2 Item No.","@@"&amp;$F198,"3 Posting Date",Z$9)-NL("Sum","5802 Value Entry","43 Cost Amount (Actual)","41 Source Type",$C$5,"5 Source no.",$C198,"4 Item Ledger Entry Type",$C$4,"2 Item No.","@@"&amp;$F198,"3 Posting Date",Z$9)</t>
  </si>
  <si>
    <t>=C198</t>
  </si>
  <si>
    <t>=NL("Sum","5802 Value Entry","150 Sales Amount (Expected)","41 Source Type",$C$5,"5 Source No.",$C199,"4 Item Ledger Entry Type",$C$4,"2 Item No.","@@"&amp;$F199,"3 Posting Date",J$9)+NL("Sum","5802 Value Entry","17 Sales Amount (Actual)","41 Source Type",$C$5,"5 Source no.",$C199,"4 Item Ledger Entry Type",$C$4,"2 Item No.","@@"&amp;$F199,"3 Posting Date",J$9)</t>
  </si>
  <si>
    <t>=-NL("Sum","5802 Value Entry","151 Cost Amount (Expected)","41 Source Type",$C$5,"5 Source No.",$C199,"4 Item Ledger Entry Type",$C$4,"2 Item No.","@@"&amp;$F199,"3 Posting Date",J$9)-NL("Sum","5802 Value Entry","43 Cost Amount (Actual)","41 Source Type",$C$5,"5 Source no.",$C199,"4 Item Ledger Entry Type",$C$4,"2 Item No.","@@"&amp;$F199,"3 Posting Date",J$9)</t>
  </si>
  <si>
    <t>=J199-L199</t>
  </si>
  <si>
    <t>=IF(J199&lt;&gt;0,M199/J199,"")</t>
  </si>
  <si>
    <t>=NL("Sum","5802 Value Entry","150 Sales Amount (Expected)","41 Source Type",$C$5,"5 Source No.",$C199,"4 Item Ledger Entry Type",$C$4,"2 Item No.","@@"&amp;$F199,"3 Posting Date",O$9)+NL("Sum","5802 Value Entry","17 Sales Amount (Actual)","41 Source Type",$C$5,"5 Source no.",$C199,"4 Item Ledger Entry Type",$C$4,"2 Item No.","@@"&amp;$F199,"3 Posting Date",O$9)</t>
  </si>
  <si>
    <t>=-NL("Sum","5802 Value Entry","151 Cost Amount (Expected)","41 Source Type",$C$5,"5 Source No.",$C199,"4 Item Ledger Entry Type",$C$4,"2 Item No.","@@"&amp;$F199,"3 Posting Date",O$9)-NL("Sum","5802 Value Entry","43 Cost Amount (Actual)","41 Source Type",$C$5,"5 Source no.",$C199,"4 Item Ledger Entry Type",$C$4,"2 Item No.","@@"&amp;$F199,"3 Posting Date",O$9)</t>
  </si>
  <si>
    <t>=O199-Q199</t>
  </si>
  <si>
    <t>=IF(O199&lt;&gt;0,R199/O199,"")</t>
  </si>
  <si>
    <t>=NL("Sum","5802 Value Entry","150 Sales Amount (Expected)","41 Source Type",$C$5,"5 Source No.",$C199,"4 Item Ledger Entry Type",$C$4,"2 Item No.","@@"&amp;$F199,"3 Posting Date",U$9)+NL("Sum","5802 Value Entry","17 Sales Amount (Actual)","41 Source Type",$C$5,"5 Source no.",$C199,"4 Item Ledger Entry Type",$C$4,"2 Item No.","@@"&amp;$F199,"3 Posting Date",U$9)</t>
  </si>
  <si>
    <t>=-NL("Sum","5802 Value Entry","151 Cost Amount (Expected)","41 Source Type",$C$5,"5 Source No.",$C199,"4 Item Ledger Entry Type",$C$4,"2 Item No.","@@"&amp;$F199,"3 Posting Date",U$9)-NL("Sum","5802 Value Entry","43 Cost Amount (Actual)","41 Source Type",$C$5,"5 Source no.",$C199,"4 Item Ledger Entry Type",$C$4,"2 Item No.","@@"&amp;$F199,"3 Posting Date",U$9)</t>
  </si>
  <si>
    <t>=U199-W199</t>
  </si>
  <si>
    <t>=IF(U199&lt;&gt;0,X199/U199,"")</t>
  </si>
  <si>
    <t>=NL("Sum","5802 Value Entry","150 Sales Amount (Expected)","41 Source Type",$C$5,"5 Source No.",$C199,"4 Item Ledger Entry Type",$C$4,"2 Item No.","@@"&amp;$F199,"3 Posting Date",Z$9)+NL("Sum","5802 Value Entry","17 Sales Amount (Actual)","41 Source Type",$C$5,"5 Source no.",$C199,"4 Item Ledger Entry Type",$C$4,"2 Item No.","@@"&amp;$F199,"3 Posting Date",Z$9)</t>
  </si>
  <si>
    <t>=-NL("Sum","5802 Value Entry","151 Cost Amount (Expected)","41 Source Type",$C$5,"5 Source No.",$C199,"4 Item Ledger Entry Type",$C$4,"2 Item No.","@@"&amp;$F199,"3 Posting Date",Z$9)-NL("Sum","5802 Value Entry","43 Cost Amount (Actual)","41 Source Type",$C$5,"5 Source no.",$C199,"4 Item Ledger Entry Type",$C$4,"2 Item No.","@@"&amp;$F199,"3 Posting Date",Z$9)</t>
  </si>
  <si>
    <t>=Z199-AB199</t>
  </si>
  <si>
    <t>=IF(Z199&lt;&gt;0,AC199/Z199,"")</t>
  </si>
  <si>
    <t>=C199</t>
  </si>
  <si>
    <t>=NL("Sum","5802 Value Entry","150 Sales Amount (Expected)","41 Source Type",$C$5,"5 Source No.",$C200,"4 Item Ledger Entry Type",$C$4,"2 Item No.","@@"&amp;$F200,"3 Posting Date",J$9)+NL("Sum","5802 Value Entry","17 Sales Amount (Actual)","41 Source Type",$C$5,"5 Source no.",$C200,"4 Item Ledger Entry Type",$C$4,"2 Item No.","@@"&amp;$F200,"3 Posting Date",J$9)</t>
  </si>
  <si>
    <t>=-NL("Sum","5802 Value Entry","151 Cost Amount (Expected)","41 Source Type",$C$5,"5 Source No.",$C200,"4 Item Ledger Entry Type",$C$4,"2 Item No.","@@"&amp;$F200,"3 Posting Date",J$9)-NL("Sum","5802 Value Entry","43 Cost Amount (Actual)","41 Source Type",$C$5,"5 Source no.",$C200,"4 Item Ledger Entry Type",$C$4,"2 Item No.","@@"&amp;$F200,"3 Posting Date",J$9)</t>
  </si>
  <si>
    <t>=J200-L200</t>
  </si>
  <si>
    <t>=IF(J200&lt;&gt;0,M200/J200,"")</t>
  </si>
  <si>
    <t>=NL("Sum","5802 Value Entry","150 Sales Amount (Expected)","41 Source Type",$C$5,"5 Source No.",$C200,"4 Item Ledger Entry Type",$C$4,"2 Item No.","@@"&amp;$F200,"3 Posting Date",O$9)+NL("Sum","5802 Value Entry","17 Sales Amount (Actual)","41 Source Type",$C$5,"5 Source no.",$C200,"4 Item Ledger Entry Type",$C$4,"2 Item No.","@@"&amp;$F200,"3 Posting Date",O$9)</t>
  </si>
  <si>
    <t>=-NL("Sum","5802 Value Entry","151 Cost Amount (Expected)","41 Source Type",$C$5,"5 Source No.",$C200,"4 Item Ledger Entry Type",$C$4,"2 Item No.","@@"&amp;$F200,"3 Posting Date",O$9)-NL("Sum","5802 Value Entry","43 Cost Amount (Actual)","41 Source Type",$C$5,"5 Source no.",$C200,"4 Item Ledger Entry Type",$C$4,"2 Item No.","@@"&amp;$F200,"3 Posting Date",O$9)</t>
  </si>
  <si>
    <t>=O200-Q200</t>
  </si>
  <si>
    <t>=IF(O200&lt;&gt;0,R200/O200,"")</t>
  </si>
  <si>
    <t>=NL("Sum","5802 Value Entry","150 Sales Amount (Expected)","41 Source Type",$C$5,"5 Source No.",$C200,"4 Item Ledger Entry Type",$C$4,"2 Item No.","@@"&amp;$F200,"3 Posting Date",U$9)+NL("Sum","5802 Value Entry","17 Sales Amount (Actual)","41 Source Type",$C$5,"5 Source no.",$C200,"4 Item Ledger Entry Type",$C$4,"2 Item No.","@@"&amp;$F200,"3 Posting Date",U$9)</t>
  </si>
  <si>
    <t>=-NL("Sum","5802 Value Entry","151 Cost Amount (Expected)","41 Source Type",$C$5,"5 Source No.",$C200,"4 Item Ledger Entry Type",$C$4,"2 Item No.","@@"&amp;$F200,"3 Posting Date",U$9)-NL("Sum","5802 Value Entry","43 Cost Amount (Actual)","41 Source Type",$C$5,"5 Source no.",$C200,"4 Item Ledger Entry Type",$C$4,"2 Item No.","@@"&amp;$F200,"3 Posting Date",U$9)</t>
  </si>
  <si>
    <t>=U200-W200</t>
  </si>
  <si>
    <t>=IF(U200&lt;&gt;0,X200/U200,"")</t>
  </si>
  <si>
    <t>=NL("Sum","5802 Value Entry","150 Sales Amount (Expected)","41 Source Type",$C$5,"5 Source No.",$C200,"4 Item Ledger Entry Type",$C$4,"2 Item No.","@@"&amp;$F200,"3 Posting Date",Z$9)+NL("Sum","5802 Value Entry","17 Sales Amount (Actual)","41 Source Type",$C$5,"5 Source no.",$C200,"4 Item Ledger Entry Type",$C$4,"2 Item No.","@@"&amp;$F200,"3 Posting Date",Z$9)</t>
  </si>
  <si>
    <t>=-NL("Sum","5802 Value Entry","151 Cost Amount (Expected)","41 Source Type",$C$5,"5 Source No.",$C200,"4 Item Ledger Entry Type",$C$4,"2 Item No.","@@"&amp;$F200,"3 Posting Date",Z$9)-NL("Sum","5802 Value Entry","43 Cost Amount (Actual)","41 Source Type",$C$5,"5 Source no.",$C200,"4 Item Ledger Entry Type",$C$4,"2 Item No.","@@"&amp;$F200,"3 Posting Date",Z$9)</t>
  </si>
  <si>
    <t>=Z200-AB200</t>
  </si>
  <si>
    <t>=IF(Z200&lt;&gt;0,AC200/Z200,"")</t>
  </si>
  <si>
    <t>=NL("Sum","5802 Value Entry","150 Sales Amount (Expected)","41 Source Type",$C$5,"5 Source No.",$C201,"4 Item Ledger Entry Type",$C$4,"2 Item No.","@@"&amp;$F201,"3 Posting Date",J$9)+NL("Sum","5802 Value Entry","17 Sales Amount (Actual)","41 Source Type",$C$5,"5 Source no.",$C201,"4 Item Ledger Entry Type",$C$4,"2 Item No.","@@"&amp;$F201,"3 Posting Date",J$9)</t>
  </si>
  <si>
    <t>=-NL("Sum","5802 Value Entry","151 Cost Amount (Expected)","41 Source Type",$C$5,"5 Source No.",$C201,"4 Item Ledger Entry Type",$C$4,"2 Item No.","@@"&amp;$F201,"3 Posting Date",J$9)-NL("Sum","5802 Value Entry","43 Cost Amount (Actual)","41 Source Type",$C$5,"5 Source no.",$C201,"4 Item Ledger Entry Type",$C$4,"2 Item No.","@@"&amp;$F201,"3 Posting Date",J$9)</t>
  </si>
  <si>
    <t>=J201-L201</t>
  </si>
  <si>
    <t>=IF(J201&lt;&gt;0,M201/J201,"")</t>
  </si>
  <si>
    <t>=NL("Sum","5802 Value Entry","150 Sales Amount (Expected)","41 Source Type",$C$5,"5 Source No.",$C201,"4 Item Ledger Entry Type",$C$4,"2 Item No.","@@"&amp;$F201,"3 Posting Date",O$9)+NL("Sum","5802 Value Entry","17 Sales Amount (Actual)","41 Source Type",$C$5,"5 Source no.",$C201,"4 Item Ledger Entry Type",$C$4,"2 Item No.","@@"&amp;$F201,"3 Posting Date",O$9)</t>
  </si>
  <si>
    <t>=-NL("Sum","5802 Value Entry","151 Cost Amount (Expected)","41 Source Type",$C$5,"5 Source No.",$C201,"4 Item Ledger Entry Type",$C$4,"2 Item No.","@@"&amp;$F201,"3 Posting Date",O$9)-NL("Sum","5802 Value Entry","43 Cost Amount (Actual)","41 Source Type",$C$5,"5 Source no.",$C201,"4 Item Ledger Entry Type",$C$4,"2 Item No.","@@"&amp;$F201,"3 Posting Date",O$9)</t>
  </si>
  <si>
    <t>=O201-Q201</t>
  </si>
  <si>
    <t>=IF(O201&lt;&gt;0,R201/O201,"")</t>
  </si>
  <si>
    <t>=NL("Sum","5802 Value Entry","150 Sales Amount (Expected)","41 Source Type",$C$5,"5 Source No.",$C201,"4 Item Ledger Entry Type",$C$4,"2 Item No.","@@"&amp;$F201,"3 Posting Date",U$9)+NL("Sum","5802 Value Entry","17 Sales Amount (Actual)","41 Source Type",$C$5,"5 Source no.",$C201,"4 Item Ledger Entry Type",$C$4,"2 Item No.","@@"&amp;$F201,"3 Posting Date",U$9)</t>
  </si>
  <si>
    <t>=-NL("Sum","5802 Value Entry","151 Cost Amount (Expected)","41 Source Type",$C$5,"5 Source No.",$C201,"4 Item Ledger Entry Type",$C$4,"2 Item No.","@@"&amp;$F201,"3 Posting Date",U$9)-NL("Sum","5802 Value Entry","43 Cost Amount (Actual)","41 Source Type",$C$5,"5 Source no.",$C201,"4 Item Ledger Entry Type",$C$4,"2 Item No.","@@"&amp;$F201,"3 Posting Date",U$9)</t>
  </si>
  <si>
    <t>=U201-W201</t>
  </si>
  <si>
    <t>=IF(U201&lt;&gt;0,X201/U201,"")</t>
  </si>
  <si>
    <t>=NL("Sum","5802 Value Entry","150 Sales Amount (Expected)","41 Source Type",$C$5,"5 Source No.",$C201,"4 Item Ledger Entry Type",$C$4,"2 Item No.","@@"&amp;$F201,"3 Posting Date",Z$9)+NL("Sum","5802 Value Entry","17 Sales Amount (Actual)","41 Source Type",$C$5,"5 Source no.",$C201,"4 Item Ledger Entry Type",$C$4,"2 Item No.","@@"&amp;$F201,"3 Posting Date",Z$9)</t>
  </si>
  <si>
    <t>=-NL("Sum","5802 Value Entry","151 Cost Amount (Expected)","41 Source Type",$C$5,"5 Source No.",$C201,"4 Item Ledger Entry Type",$C$4,"2 Item No.","@@"&amp;$F201,"3 Posting Date",Z$9)-NL("Sum","5802 Value Entry","43 Cost Amount (Actual)","41 Source Type",$C$5,"5 Source no.",$C201,"4 Item Ledger Entry Type",$C$4,"2 Item No.","@@"&amp;$F201,"3 Posting Date",Z$9)</t>
  </si>
  <si>
    <t>=Z201-AB201</t>
  </si>
  <si>
    <t>=IF(Z201&lt;&gt;0,AC201/Z201,"")</t>
  </si>
  <si>
    <t>=NL("Sum","5802 Value Entry","150 Sales Amount (Expected)","41 Source Type",$C$5,"5 Source No.",$C202,"4 Item Ledger Entry Type",$C$4,"2 Item No.","@@"&amp;$F202,"3 Posting Date",J$9)+NL("Sum","5802 Value Entry","17 Sales Amount (Actual)","41 Source Type",$C$5,"5 Source no.",$C202,"4 Item Ledger Entry Type",$C$4,"2 Item No.","@@"&amp;$F202,"3 Posting Date",J$9)</t>
  </si>
  <si>
    <t>=-NL("Sum","5802 Value Entry","151 Cost Amount (Expected)","41 Source Type",$C$5,"5 Source No.",$C202,"4 Item Ledger Entry Type",$C$4,"2 Item No.","@@"&amp;$F202,"3 Posting Date",J$9)-NL("Sum","5802 Value Entry","43 Cost Amount (Actual)","41 Source Type",$C$5,"5 Source no.",$C202,"4 Item Ledger Entry Type",$C$4,"2 Item No.","@@"&amp;$F202,"3 Posting Date",J$9)</t>
  </si>
  <si>
    <t>=NL("Sum","5802 Value Entry","150 Sales Amount (Expected)","41 Source Type",$C$5,"5 Source No.",$C202,"4 Item Ledger Entry Type",$C$4,"2 Item No.","@@"&amp;$F202,"3 Posting Date",O$9)+NL("Sum","5802 Value Entry","17 Sales Amount (Actual)","41 Source Type",$C$5,"5 Source no.",$C202,"4 Item Ledger Entry Type",$C$4,"2 Item No.","@@"&amp;$F202,"3 Posting Date",O$9)</t>
  </si>
  <si>
    <t>=-NL("Sum","5802 Value Entry","151 Cost Amount (Expected)","41 Source Type",$C$5,"5 Source No.",$C202,"4 Item Ledger Entry Type",$C$4,"2 Item No.","@@"&amp;$F202,"3 Posting Date",O$9)-NL("Sum","5802 Value Entry","43 Cost Amount (Actual)","41 Source Type",$C$5,"5 Source no.",$C202,"4 Item Ledger Entry Type",$C$4,"2 Item No.","@@"&amp;$F202,"3 Posting Date",O$9)</t>
  </si>
  <si>
    <t>=NL("Sum","5802 Value Entry","150 Sales Amount (Expected)","41 Source Type",$C$5,"5 Source No.",$C202,"4 Item Ledger Entry Type",$C$4,"2 Item No.","@@"&amp;$F202,"3 Posting Date",U$9)+NL("Sum","5802 Value Entry","17 Sales Amount (Actual)","41 Source Type",$C$5,"5 Source no.",$C202,"4 Item Ledger Entry Type",$C$4,"2 Item No.","@@"&amp;$F202,"3 Posting Date",U$9)</t>
  </si>
  <si>
    <t>=-NL("Sum","5802 Value Entry","151 Cost Amount (Expected)","41 Source Type",$C$5,"5 Source No.",$C202,"4 Item Ledger Entry Type",$C$4,"2 Item No.","@@"&amp;$F202,"3 Posting Date",U$9)-NL("Sum","5802 Value Entry","43 Cost Amount (Actual)","41 Source Type",$C$5,"5 Source no.",$C202,"4 Item Ledger Entry Type",$C$4,"2 Item No.","@@"&amp;$F202,"3 Posting Date",U$9)</t>
  </si>
  <si>
    <t>=NL("Sum","5802 Value Entry","150 Sales Amount (Expected)","41 Source Type",$C$5,"5 Source No.",$C202,"4 Item Ledger Entry Type",$C$4,"2 Item No.","@@"&amp;$F202,"3 Posting Date",Z$9)+NL("Sum","5802 Value Entry","17 Sales Amount (Actual)","41 Source Type",$C$5,"5 Source no.",$C202,"4 Item Ledger Entry Type",$C$4,"2 Item No.","@@"&amp;$F202,"3 Posting Date",Z$9)</t>
  </si>
  <si>
    <t>=-NL("Sum","5802 Value Entry","151 Cost Amount (Expected)","41 Source Type",$C$5,"5 Source No.",$C202,"4 Item Ledger Entry Type",$C$4,"2 Item No.","@@"&amp;$F202,"3 Posting Date",Z$9)-NL("Sum","5802 Value Entry","43 Cost Amount (Actual)","41 Source Type",$C$5,"5 Source no.",$C202,"4 Item Ledger Entry Type",$C$4,"2 Item No.","@@"&amp;$F202,"3 Posting Date",Z$9)</t>
  </si>
  <si>
    <t>=NL("Sum","5802 Value Entry","150 Sales Amount (Expected)","41 Source Type",$C$5,"5 Source No.",$C203,"4 Item Ledger Entry Type",$C$4,"2 Item No.","@@"&amp;$F203,"3 Posting Date",J$9)+NL("Sum","5802 Value Entry","17 Sales Amount (Actual)","41 Source Type",$C$5,"5 Source no.",$C203,"4 Item Ledger Entry Type",$C$4,"2 Item No.","@@"&amp;$F203,"3 Posting Date",J$9)</t>
  </si>
  <si>
    <t>=-NL("Sum","5802 Value Entry","151 Cost Amount (Expected)","41 Source Type",$C$5,"5 Source No.",$C203,"4 Item Ledger Entry Type",$C$4,"2 Item No.","@@"&amp;$F203,"3 Posting Date",J$9)-NL("Sum","5802 Value Entry","43 Cost Amount (Actual)","41 Source Type",$C$5,"5 Source no.",$C203,"4 Item Ledger Entry Type",$C$4,"2 Item No.","@@"&amp;$F203,"3 Posting Date",J$9)</t>
  </si>
  <si>
    <t>=J203-L203</t>
  </si>
  <si>
    <t>=IF(J203&lt;&gt;0,M203/J203,"")</t>
  </si>
  <si>
    <t>=NL("Sum","5802 Value Entry","150 Sales Amount (Expected)","41 Source Type",$C$5,"5 Source No.",$C203,"4 Item Ledger Entry Type",$C$4,"2 Item No.","@@"&amp;$F203,"3 Posting Date",O$9)+NL("Sum","5802 Value Entry","17 Sales Amount (Actual)","41 Source Type",$C$5,"5 Source no.",$C203,"4 Item Ledger Entry Type",$C$4,"2 Item No.","@@"&amp;$F203,"3 Posting Date",O$9)</t>
  </si>
  <si>
    <t>=-NL("Sum","5802 Value Entry","151 Cost Amount (Expected)","41 Source Type",$C$5,"5 Source No.",$C203,"4 Item Ledger Entry Type",$C$4,"2 Item No.","@@"&amp;$F203,"3 Posting Date",O$9)-NL("Sum","5802 Value Entry","43 Cost Amount (Actual)","41 Source Type",$C$5,"5 Source no.",$C203,"4 Item Ledger Entry Type",$C$4,"2 Item No.","@@"&amp;$F203,"3 Posting Date",O$9)</t>
  </si>
  <si>
    <t>=O203-Q203</t>
  </si>
  <si>
    <t>=IF(O203&lt;&gt;0,R203/O203,"")</t>
  </si>
  <si>
    <t>=NL("Sum","5802 Value Entry","150 Sales Amount (Expected)","41 Source Type",$C$5,"5 Source No.",$C203,"4 Item Ledger Entry Type",$C$4,"2 Item No.","@@"&amp;$F203,"3 Posting Date",U$9)+NL("Sum","5802 Value Entry","17 Sales Amount (Actual)","41 Source Type",$C$5,"5 Source no.",$C203,"4 Item Ledger Entry Type",$C$4,"2 Item No.","@@"&amp;$F203,"3 Posting Date",U$9)</t>
  </si>
  <si>
    <t>=-NL("Sum","5802 Value Entry","151 Cost Amount (Expected)","41 Source Type",$C$5,"5 Source No.",$C203,"4 Item Ledger Entry Type",$C$4,"2 Item No.","@@"&amp;$F203,"3 Posting Date",U$9)-NL("Sum","5802 Value Entry","43 Cost Amount (Actual)","41 Source Type",$C$5,"5 Source no.",$C203,"4 Item Ledger Entry Type",$C$4,"2 Item No.","@@"&amp;$F203,"3 Posting Date",U$9)</t>
  </si>
  <si>
    <t>=U203-W203</t>
  </si>
  <si>
    <t>=IF(U203&lt;&gt;0,X203/U203,"")</t>
  </si>
  <si>
    <t>=NL("Sum","5802 Value Entry","150 Sales Amount (Expected)","41 Source Type",$C$5,"5 Source No.",$C203,"4 Item Ledger Entry Type",$C$4,"2 Item No.","@@"&amp;$F203,"3 Posting Date",Z$9)+NL("Sum","5802 Value Entry","17 Sales Amount (Actual)","41 Source Type",$C$5,"5 Source no.",$C203,"4 Item Ledger Entry Type",$C$4,"2 Item No.","@@"&amp;$F203,"3 Posting Date",Z$9)</t>
  </si>
  <si>
    <t>=-NL("Sum","5802 Value Entry","151 Cost Amount (Expected)","41 Source Type",$C$5,"5 Source No.",$C203,"4 Item Ledger Entry Type",$C$4,"2 Item No.","@@"&amp;$F203,"3 Posting Date",Z$9)-NL("Sum","5802 Value Entry","43 Cost Amount (Actual)","41 Source Type",$C$5,"5 Source no.",$C203,"4 Item Ledger Entry Type",$C$4,"2 Item No.","@@"&amp;$F203,"3 Posting Date",Z$9)</t>
  </si>
  <si>
    <t>=Z203-AB203</t>
  </si>
  <si>
    <t>=IF(Z203&lt;&gt;0,AC203/Z203,"")</t>
  </si>
  <si>
    <t>=NL("Sum","5802 Value Entry","150 Sales Amount (Expected)","41 Source Type",$C$5,"5 Source No.",$C204,"4 Item Ledger Entry Type",$C$4,"2 Item No.","@@"&amp;$F204,"3 Posting Date",J$9)+NL("Sum","5802 Value Entry","17 Sales Amount (Actual)","41 Source Type",$C$5,"5 Source no.",$C204,"4 Item Ledger Entry Type",$C$4,"2 Item No.","@@"&amp;$F204,"3 Posting Date",J$9)</t>
  </si>
  <si>
    <t>=-NL("Sum","5802 Value Entry","151 Cost Amount (Expected)","41 Source Type",$C$5,"5 Source No.",$C204,"4 Item Ledger Entry Type",$C$4,"2 Item No.","@@"&amp;$F204,"3 Posting Date",J$9)-NL("Sum","5802 Value Entry","43 Cost Amount (Actual)","41 Source Type",$C$5,"5 Source no.",$C204,"4 Item Ledger Entry Type",$C$4,"2 Item No.","@@"&amp;$F204,"3 Posting Date",J$9)</t>
  </si>
  <si>
    <t>=NL("Sum","5802 Value Entry","150 Sales Amount (Expected)","41 Source Type",$C$5,"5 Source No.",$C204,"4 Item Ledger Entry Type",$C$4,"2 Item No.","@@"&amp;$F204,"3 Posting Date",O$9)+NL("Sum","5802 Value Entry","17 Sales Amount (Actual)","41 Source Type",$C$5,"5 Source no.",$C204,"4 Item Ledger Entry Type",$C$4,"2 Item No.","@@"&amp;$F204,"3 Posting Date",O$9)</t>
  </si>
  <si>
    <t>=-NL("Sum","5802 Value Entry","151 Cost Amount (Expected)","41 Source Type",$C$5,"5 Source No.",$C204,"4 Item Ledger Entry Type",$C$4,"2 Item No.","@@"&amp;$F204,"3 Posting Date",O$9)-NL("Sum","5802 Value Entry","43 Cost Amount (Actual)","41 Source Type",$C$5,"5 Source no.",$C204,"4 Item Ledger Entry Type",$C$4,"2 Item No.","@@"&amp;$F204,"3 Posting Date",O$9)</t>
  </si>
  <si>
    <t>=NL("Sum","5802 Value Entry","150 Sales Amount (Expected)","41 Source Type",$C$5,"5 Source No.",$C204,"4 Item Ledger Entry Type",$C$4,"2 Item No.","@@"&amp;$F204,"3 Posting Date",U$9)+NL("Sum","5802 Value Entry","17 Sales Amount (Actual)","41 Source Type",$C$5,"5 Source no.",$C204,"4 Item Ledger Entry Type",$C$4,"2 Item No.","@@"&amp;$F204,"3 Posting Date",U$9)</t>
  </si>
  <si>
    <t>=-NL("Sum","5802 Value Entry","151 Cost Amount (Expected)","41 Source Type",$C$5,"5 Source No.",$C204,"4 Item Ledger Entry Type",$C$4,"2 Item No.","@@"&amp;$F204,"3 Posting Date",U$9)-NL("Sum","5802 Value Entry","43 Cost Amount (Actual)","41 Source Type",$C$5,"5 Source no.",$C204,"4 Item Ledger Entry Type",$C$4,"2 Item No.","@@"&amp;$F204,"3 Posting Date",U$9)</t>
  </si>
  <si>
    <t>=NL("Sum","5802 Value Entry","150 Sales Amount (Expected)","41 Source Type",$C$5,"5 Source No.",$C204,"4 Item Ledger Entry Type",$C$4,"2 Item No.","@@"&amp;$F204,"3 Posting Date",Z$9)+NL("Sum","5802 Value Entry","17 Sales Amount (Actual)","41 Source Type",$C$5,"5 Source no.",$C204,"4 Item Ledger Entry Type",$C$4,"2 Item No.","@@"&amp;$F204,"3 Posting Date",Z$9)</t>
  </si>
  <si>
    <t>=-NL("Sum","5802 Value Entry","151 Cost Amount (Expected)","41 Source Type",$C$5,"5 Source No.",$C204,"4 Item Ledger Entry Type",$C$4,"2 Item No.","@@"&amp;$F204,"3 Posting Date",Z$9)-NL("Sum","5802 Value Entry","43 Cost Amount (Actual)","41 Source Type",$C$5,"5 Source no.",$C204,"4 Item Ledger Entry Type",$C$4,"2 Item No.","@@"&amp;$F204,"3 Posting Date",Z$9)</t>
  </si>
  <si>
    <t>=C204</t>
  </si>
  <si>
    <t>=NL("Sum","5802 Value Entry","150 Sales Amount (Expected)","41 Source Type",$C$5,"5 Source No.",$C205,"4 Item Ledger Entry Type",$C$4,"2 Item No.","@@"&amp;$F205,"3 Posting Date",J$9)+NL("Sum","5802 Value Entry","17 Sales Amount (Actual)","41 Source Type",$C$5,"5 Source no.",$C205,"4 Item Ledger Entry Type",$C$4,"2 Item No.","@@"&amp;$F205,"3 Posting Date",J$9)</t>
  </si>
  <si>
    <t>=-NL("Sum","5802 Value Entry","151 Cost Amount (Expected)","41 Source Type",$C$5,"5 Source No.",$C205,"4 Item Ledger Entry Type",$C$4,"2 Item No.","@@"&amp;$F205,"3 Posting Date",J$9)-NL("Sum","5802 Value Entry","43 Cost Amount (Actual)","41 Source Type",$C$5,"5 Source no.",$C205,"4 Item Ledger Entry Type",$C$4,"2 Item No.","@@"&amp;$F205,"3 Posting Date",J$9)</t>
  </si>
  <si>
    <t>=J205-L205</t>
  </si>
  <si>
    <t>=IF(J205&lt;&gt;0,M205/J205,"")</t>
  </si>
  <si>
    <t>=NL("Sum","5802 Value Entry","150 Sales Amount (Expected)","41 Source Type",$C$5,"5 Source No.",$C205,"4 Item Ledger Entry Type",$C$4,"2 Item No.","@@"&amp;$F205,"3 Posting Date",O$9)+NL("Sum","5802 Value Entry","17 Sales Amount (Actual)","41 Source Type",$C$5,"5 Source no.",$C205,"4 Item Ledger Entry Type",$C$4,"2 Item No.","@@"&amp;$F205,"3 Posting Date",O$9)</t>
  </si>
  <si>
    <t>=-NL("Sum","5802 Value Entry","151 Cost Amount (Expected)","41 Source Type",$C$5,"5 Source No.",$C205,"4 Item Ledger Entry Type",$C$4,"2 Item No.","@@"&amp;$F205,"3 Posting Date",O$9)-NL("Sum","5802 Value Entry","43 Cost Amount (Actual)","41 Source Type",$C$5,"5 Source no.",$C205,"4 Item Ledger Entry Type",$C$4,"2 Item No.","@@"&amp;$F205,"3 Posting Date",O$9)</t>
  </si>
  <si>
    <t>=O205-Q205</t>
  </si>
  <si>
    <t>=IF(O205&lt;&gt;0,R205/O205,"")</t>
  </si>
  <si>
    <t>=NL("Sum","5802 Value Entry","150 Sales Amount (Expected)","41 Source Type",$C$5,"5 Source No.",$C205,"4 Item Ledger Entry Type",$C$4,"2 Item No.","@@"&amp;$F205,"3 Posting Date",U$9)+NL("Sum","5802 Value Entry","17 Sales Amount (Actual)","41 Source Type",$C$5,"5 Source no.",$C205,"4 Item Ledger Entry Type",$C$4,"2 Item No.","@@"&amp;$F205,"3 Posting Date",U$9)</t>
  </si>
  <si>
    <t>=-NL("Sum","5802 Value Entry","151 Cost Amount (Expected)","41 Source Type",$C$5,"5 Source No.",$C205,"4 Item Ledger Entry Type",$C$4,"2 Item No.","@@"&amp;$F205,"3 Posting Date",U$9)-NL("Sum","5802 Value Entry","43 Cost Amount (Actual)","41 Source Type",$C$5,"5 Source no.",$C205,"4 Item Ledger Entry Type",$C$4,"2 Item No.","@@"&amp;$F205,"3 Posting Date",U$9)</t>
  </si>
  <si>
    <t>=U205-W205</t>
  </si>
  <si>
    <t>=IF(U205&lt;&gt;0,X205/U205,"")</t>
  </si>
  <si>
    <t>=NL("Sum","5802 Value Entry","150 Sales Amount (Expected)","41 Source Type",$C$5,"5 Source No.",$C205,"4 Item Ledger Entry Type",$C$4,"2 Item No.","@@"&amp;$F205,"3 Posting Date",Z$9)+NL("Sum","5802 Value Entry","17 Sales Amount (Actual)","41 Source Type",$C$5,"5 Source no.",$C205,"4 Item Ledger Entry Type",$C$4,"2 Item No.","@@"&amp;$F205,"3 Posting Date",Z$9)</t>
  </si>
  <si>
    <t>=-NL("Sum","5802 Value Entry","151 Cost Amount (Expected)","41 Source Type",$C$5,"5 Source No.",$C205,"4 Item Ledger Entry Type",$C$4,"2 Item No.","@@"&amp;$F205,"3 Posting Date",Z$9)-NL("Sum","5802 Value Entry","43 Cost Amount (Actual)","41 Source Type",$C$5,"5 Source no.",$C205,"4 Item Ledger Entry Type",$C$4,"2 Item No.","@@"&amp;$F205,"3 Posting Date",Z$9)</t>
  </si>
  <si>
    <t>=Z205-AB205</t>
  </si>
  <si>
    <t>=IF(Z205&lt;&gt;0,AC205/Z205,"")</t>
  </si>
  <si>
    <t>=C205</t>
  </si>
  <si>
    <t>=NL("Sum","5802 Value Entry","150 Sales Amount (Expected)","41 Source Type",$C$5,"5 Source No.",$C206,"4 Item Ledger Entry Type",$C$4,"2 Item No.","@@"&amp;$F206,"3 Posting Date",J$9)+NL("Sum","5802 Value Entry","17 Sales Amount (Actual)","41 Source Type",$C$5,"5 Source no.",$C206,"4 Item Ledger Entry Type",$C$4,"2 Item No.","@@"&amp;$F206,"3 Posting Date",J$9)</t>
  </si>
  <si>
    <t>=-NL("Sum","5802 Value Entry","151 Cost Amount (Expected)","41 Source Type",$C$5,"5 Source No.",$C206,"4 Item Ledger Entry Type",$C$4,"2 Item No.","@@"&amp;$F206,"3 Posting Date",J$9)-NL("Sum","5802 Value Entry","43 Cost Amount (Actual)","41 Source Type",$C$5,"5 Source no.",$C206,"4 Item Ledger Entry Type",$C$4,"2 Item No.","@@"&amp;$F206,"3 Posting Date",J$9)</t>
  </si>
  <si>
    <t>=J206-L206</t>
  </si>
  <si>
    <t>=IF(J206&lt;&gt;0,M206/J206,"")</t>
  </si>
  <si>
    <t>=NL("Sum","5802 Value Entry","150 Sales Amount (Expected)","41 Source Type",$C$5,"5 Source No.",$C206,"4 Item Ledger Entry Type",$C$4,"2 Item No.","@@"&amp;$F206,"3 Posting Date",O$9)+NL("Sum","5802 Value Entry","17 Sales Amount (Actual)","41 Source Type",$C$5,"5 Source no.",$C206,"4 Item Ledger Entry Type",$C$4,"2 Item No.","@@"&amp;$F206,"3 Posting Date",O$9)</t>
  </si>
  <si>
    <t>=-NL("Sum","5802 Value Entry","151 Cost Amount (Expected)","41 Source Type",$C$5,"5 Source No.",$C206,"4 Item Ledger Entry Type",$C$4,"2 Item No.","@@"&amp;$F206,"3 Posting Date",O$9)-NL("Sum","5802 Value Entry","43 Cost Amount (Actual)","41 Source Type",$C$5,"5 Source no.",$C206,"4 Item Ledger Entry Type",$C$4,"2 Item No.","@@"&amp;$F206,"3 Posting Date",O$9)</t>
  </si>
  <si>
    <t>=O206-Q206</t>
  </si>
  <si>
    <t>=IF(O206&lt;&gt;0,R206/O206,"")</t>
  </si>
  <si>
    <t>=NL("Sum","5802 Value Entry","150 Sales Amount (Expected)","41 Source Type",$C$5,"5 Source No.",$C206,"4 Item Ledger Entry Type",$C$4,"2 Item No.","@@"&amp;$F206,"3 Posting Date",U$9)+NL("Sum","5802 Value Entry","17 Sales Amount (Actual)","41 Source Type",$C$5,"5 Source no.",$C206,"4 Item Ledger Entry Type",$C$4,"2 Item No.","@@"&amp;$F206,"3 Posting Date",U$9)</t>
  </si>
  <si>
    <t>=-NL("Sum","5802 Value Entry","151 Cost Amount (Expected)","41 Source Type",$C$5,"5 Source No.",$C206,"4 Item Ledger Entry Type",$C$4,"2 Item No.","@@"&amp;$F206,"3 Posting Date",U$9)-NL("Sum","5802 Value Entry","43 Cost Amount (Actual)","41 Source Type",$C$5,"5 Source no.",$C206,"4 Item Ledger Entry Type",$C$4,"2 Item No.","@@"&amp;$F206,"3 Posting Date",U$9)</t>
  </si>
  <si>
    <t>=U206-W206</t>
  </si>
  <si>
    <t>=IF(U206&lt;&gt;0,X206/U206,"")</t>
  </si>
  <si>
    <t>=NL("Sum","5802 Value Entry","150 Sales Amount (Expected)","41 Source Type",$C$5,"5 Source No.",$C206,"4 Item Ledger Entry Type",$C$4,"2 Item No.","@@"&amp;$F206,"3 Posting Date",Z$9)+NL("Sum","5802 Value Entry","17 Sales Amount (Actual)","41 Source Type",$C$5,"5 Source no.",$C206,"4 Item Ledger Entry Type",$C$4,"2 Item No.","@@"&amp;$F206,"3 Posting Date",Z$9)</t>
  </si>
  <si>
    <t>=-NL("Sum","5802 Value Entry","151 Cost Amount (Expected)","41 Source Type",$C$5,"5 Source No.",$C206,"4 Item Ledger Entry Type",$C$4,"2 Item No.","@@"&amp;$F206,"3 Posting Date",Z$9)-NL("Sum","5802 Value Entry","43 Cost Amount (Actual)","41 Source Type",$C$5,"5 Source no.",$C206,"4 Item Ledger Entry Type",$C$4,"2 Item No.","@@"&amp;$F206,"3 Posting Date",Z$9)</t>
  </si>
  <si>
    <t>=Z206-AB206</t>
  </si>
  <si>
    <t>=IF(Z206&lt;&gt;0,AC206/Z206,"")</t>
  </si>
  <si>
    <t>=NL("Sum","5802 Value Entry","150 Sales Amount (Expected)","41 Source Type",$C$5,"5 Source No.",$C207,"4 Item Ledger Entry Type",$C$4,"2 Item No.","@@"&amp;$F207,"3 Posting Date",J$9)+NL("Sum","5802 Value Entry","17 Sales Amount (Actual)","41 Source Type",$C$5,"5 Source no.",$C207,"4 Item Ledger Entry Type",$C$4,"2 Item No.","@@"&amp;$F207,"3 Posting Date",J$9)</t>
  </si>
  <si>
    <t>=-NL("Sum","5802 Value Entry","151 Cost Amount (Expected)","41 Source Type",$C$5,"5 Source No.",$C207,"4 Item Ledger Entry Type",$C$4,"2 Item No.","@@"&amp;$F207,"3 Posting Date",J$9)-NL("Sum","5802 Value Entry","43 Cost Amount (Actual)","41 Source Type",$C$5,"5 Source no.",$C207,"4 Item Ledger Entry Type",$C$4,"2 Item No.","@@"&amp;$F207,"3 Posting Date",J$9)</t>
  </si>
  <si>
    <t>=J207-L207</t>
  </si>
  <si>
    <t>=IF(J207&lt;&gt;0,M207/J207,"")</t>
  </si>
  <si>
    <t>=NL("Sum","5802 Value Entry","150 Sales Amount (Expected)","41 Source Type",$C$5,"5 Source No.",$C207,"4 Item Ledger Entry Type",$C$4,"2 Item No.","@@"&amp;$F207,"3 Posting Date",O$9)+NL("Sum","5802 Value Entry","17 Sales Amount (Actual)","41 Source Type",$C$5,"5 Source no.",$C207,"4 Item Ledger Entry Type",$C$4,"2 Item No.","@@"&amp;$F207,"3 Posting Date",O$9)</t>
  </si>
  <si>
    <t>=-NL("Sum","5802 Value Entry","151 Cost Amount (Expected)","41 Source Type",$C$5,"5 Source No.",$C207,"4 Item Ledger Entry Type",$C$4,"2 Item No.","@@"&amp;$F207,"3 Posting Date",O$9)-NL("Sum","5802 Value Entry","43 Cost Amount (Actual)","41 Source Type",$C$5,"5 Source no.",$C207,"4 Item Ledger Entry Type",$C$4,"2 Item No.","@@"&amp;$F207,"3 Posting Date",O$9)</t>
  </si>
  <si>
    <t>=O207-Q207</t>
  </si>
  <si>
    <t>=IF(O207&lt;&gt;0,R207/O207,"")</t>
  </si>
  <si>
    <t>=NL("Sum","5802 Value Entry","150 Sales Amount (Expected)","41 Source Type",$C$5,"5 Source No.",$C207,"4 Item Ledger Entry Type",$C$4,"2 Item No.","@@"&amp;$F207,"3 Posting Date",U$9)+NL("Sum","5802 Value Entry","17 Sales Amount (Actual)","41 Source Type",$C$5,"5 Source no.",$C207,"4 Item Ledger Entry Type",$C$4,"2 Item No.","@@"&amp;$F207,"3 Posting Date",U$9)</t>
  </si>
  <si>
    <t>=-NL("Sum","5802 Value Entry","151 Cost Amount (Expected)","41 Source Type",$C$5,"5 Source No.",$C207,"4 Item Ledger Entry Type",$C$4,"2 Item No.","@@"&amp;$F207,"3 Posting Date",U$9)-NL("Sum","5802 Value Entry","43 Cost Amount (Actual)","41 Source Type",$C$5,"5 Source no.",$C207,"4 Item Ledger Entry Type",$C$4,"2 Item No.","@@"&amp;$F207,"3 Posting Date",U$9)</t>
  </si>
  <si>
    <t>=U207-W207</t>
  </si>
  <si>
    <t>=IF(U207&lt;&gt;0,X207/U207,"")</t>
  </si>
  <si>
    <t>=NL("Sum","5802 Value Entry","150 Sales Amount (Expected)","41 Source Type",$C$5,"5 Source No.",$C207,"4 Item Ledger Entry Type",$C$4,"2 Item No.","@@"&amp;$F207,"3 Posting Date",Z$9)+NL("Sum","5802 Value Entry","17 Sales Amount (Actual)","41 Source Type",$C$5,"5 Source no.",$C207,"4 Item Ledger Entry Type",$C$4,"2 Item No.","@@"&amp;$F207,"3 Posting Date",Z$9)</t>
  </si>
  <si>
    <t>=-NL("Sum","5802 Value Entry","151 Cost Amount (Expected)","41 Source Type",$C$5,"5 Source No.",$C207,"4 Item Ledger Entry Type",$C$4,"2 Item No.","@@"&amp;$F207,"3 Posting Date",Z$9)-NL("Sum","5802 Value Entry","43 Cost Amount (Actual)","41 Source Type",$C$5,"5 Source no.",$C207,"4 Item Ledger Entry Type",$C$4,"2 Item No.","@@"&amp;$F207,"3 Posting Date",Z$9)</t>
  </si>
  <si>
    <t>=Z207-AB207</t>
  </si>
  <si>
    <t>=IF(Z207&lt;&gt;0,AC207/Z207,"")</t>
  </si>
  <si>
    <t>=NL("Sum","5802 Value Entry","150 Sales Amount (Expected)","41 Source Type",$C$5,"5 Source No.",$C208,"4 Item Ledger Entry Type",$C$4,"2 Item No.","@@"&amp;$F208,"3 Posting Date",J$9)+NL("Sum","5802 Value Entry","17 Sales Amount (Actual)","41 Source Type",$C$5,"5 Source no.",$C208,"4 Item Ledger Entry Type",$C$4,"2 Item No.","@@"&amp;$F208,"3 Posting Date",J$9)</t>
  </si>
  <si>
    <t>=-NL("Sum","5802 Value Entry","151 Cost Amount (Expected)","41 Source Type",$C$5,"5 Source No.",$C208,"4 Item Ledger Entry Type",$C$4,"2 Item No.","@@"&amp;$F208,"3 Posting Date",J$9)-NL("Sum","5802 Value Entry","43 Cost Amount (Actual)","41 Source Type",$C$5,"5 Source no.",$C208,"4 Item Ledger Entry Type",$C$4,"2 Item No.","@@"&amp;$F208,"3 Posting Date",J$9)</t>
  </si>
  <si>
    <t>=NL("Sum","5802 Value Entry","150 Sales Amount (Expected)","41 Source Type",$C$5,"5 Source No.",$C208,"4 Item Ledger Entry Type",$C$4,"2 Item No.","@@"&amp;$F208,"3 Posting Date",O$9)+NL("Sum","5802 Value Entry","17 Sales Amount (Actual)","41 Source Type",$C$5,"5 Source no.",$C208,"4 Item Ledger Entry Type",$C$4,"2 Item No.","@@"&amp;$F208,"3 Posting Date",O$9)</t>
  </si>
  <si>
    <t>=-NL("Sum","5802 Value Entry","151 Cost Amount (Expected)","41 Source Type",$C$5,"5 Source No.",$C208,"4 Item Ledger Entry Type",$C$4,"2 Item No.","@@"&amp;$F208,"3 Posting Date",O$9)-NL("Sum","5802 Value Entry","43 Cost Amount (Actual)","41 Source Type",$C$5,"5 Source no.",$C208,"4 Item Ledger Entry Type",$C$4,"2 Item No.","@@"&amp;$F208,"3 Posting Date",O$9)</t>
  </si>
  <si>
    <t>=NL("Sum","5802 Value Entry","150 Sales Amount (Expected)","41 Source Type",$C$5,"5 Source No.",$C208,"4 Item Ledger Entry Type",$C$4,"2 Item No.","@@"&amp;$F208,"3 Posting Date",U$9)+NL("Sum","5802 Value Entry","17 Sales Amount (Actual)","41 Source Type",$C$5,"5 Source no.",$C208,"4 Item Ledger Entry Type",$C$4,"2 Item No.","@@"&amp;$F208,"3 Posting Date",U$9)</t>
  </si>
  <si>
    <t>=-NL("Sum","5802 Value Entry","151 Cost Amount (Expected)","41 Source Type",$C$5,"5 Source No.",$C208,"4 Item Ledger Entry Type",$C$4,"2 Item No.","@@"&amp;$F208,"3 Posting Date",U$9)-NL("Sum","5802 Value Entry","43 Cost Amount (Actual)","41 Source Type",$C$5,"5 Source no.",$C208,"4 Item Ledger Entry Type",$C$4,"2 Item No.","@@"&amp;$F208,"3 Posting Date",U$9)</t>
  </si>
  <si>
    <t>=NL("Sum","5802 Value Entry","150 Sales Amount (Expected)","41 Source Type",$C$5,"5 Source No.",$C208,"4 Item Ledger Entry Type",$C$4,"2 Item No.","@@"&amp;$F208,"3 Posting Date",Z$9)+NL("Sum","5802 Value Entry","17 Sales Amount (Actual)","41 Source Type",$C$5,"5 Source no.",$C208,"4 Item Ledger Entry Type",$C$4,"2 Item No.","@@"&amp;$F208,"3 Posting Date",Z$9)</t>
  </si>
  <si>
    <t>=-NL("Sum","5802 Value Entry","151 Cost Amount (Expected)","41 Source Type",$C$5,"5 Source No.",$C208,"4 Item Ledger Entry Type",$C$4,"2 Item No.","@@"&amp;$F208,"3 Posting Date",Z$9)-NL("Sum","5802 Value Entry","43 Cost Amount (Actual)","41 Source Type",$C$5,"5 Source no.",$C208,"4 Item Ledger Entry Type",$C$4,"2 Item No.","@@"&amp;$F208,"3 Posting Date",Z$9)</t>
  </si>
  <si>
    <t>=NL("Sum","5802 Value Entry","150 Sales Amount (Expected)","41 Source Type",$C$5,"5 Source No.",$C209,"4 Item Ledger Entry Type",$C$4,"2 Item No.","@@"&amp;$F209,"3 Posting Date",J$9)+NL("Sum","5802 Value Entry","17 Sales Amount (Actual)","41 Source Type",$C$5,"5 Source no.",$C209,"4 Item Ledger Entry Type",$C$4,"2 Item No.","@@"&amp;$F209,"3 Posting Date",J$9)</t>
  </si>
  <si>
    <t>=-NL("Sum","5802 Value Entry","151 Cost Amount (Expected)","41 Source Type",$C$5,"5 Source No.",$C209,"4 Item Ledger Entry Type",$C$4,"2 Item No.","@@"&amp;$F209,"3 Posting Date",J$9)-NL("Sum","5802 Value Entry","43 Cost Amount (Actual)","41 Source Type",$C$5,"5 Source no.",$C209,"4 Item Ledger Entry Type",$C$4,"2 Item No.","@@"&amp;$F209,"3 Posting Date",J$9)</t>
  </si>
  <si>
    <t>=J209-L209</t>
  </si>
  <si>
    <t>=IF(J209&lt;&gt;0,M209/J209,"")</t>
  </si>
  <si>
    <t>=NL("Sum","5802 Value Entry","150 Sales Amount (Expected)","41 Source Type",$C$5,"5 Source No.",$C209,"4 Item Ledger Entry Type",$C$4,"2 Item No.","@@"&amp;$F209,"3 Posting Date",O$9)+NL("Sum","5802 Value Entry","17 Sales Amount (Actual)","41 Source Type",$C$5,"5 Source no.",$C209,"4 Item Ledger Entry Type",$C$4,"2 Item No.","@@"&amp;$F209,"3 Posting Date",O$9)</t>
  </si>
  <si>
    <t>=-NL("Sum","5802 Value Entry","151 Cost Amount (Expected)","41 Source Type",$C$5,"5 Source No.",$C209,"4 Item Ledger Entry Type",$C$4,"2 Item No.","@@"&amp;$F209,"3 Posting Date",O$9)-NL("Sum","5802 Value Entry","43 Cost Amount (Actual)","41 Source Type",$C$5,"5 Source no.",$C209,"4 Item Ledger Entry Type",$C$4,"2 Item No.","@@"&amp;$F209,"3 Posting Date",O$9)</t>
  </si>
  <si>
    <t>=O209-Q209</t>
  </si>
  <si>
    <t>=IF(O209&lt;&gt;0,R209/O209,"")</t>
  </si>
  <si>
    <t>=NL("Sum","5802 Value Entry","150 Sales Amount (Expected)","41 Source Type",$C$5,"5 Source No.",$C209,"4 Item Ledger Entry Type",$C$4,"2 Item No.","@@"&amp;$F209,"3 Posting Date",U$9)+NL("Sum","5802 Value Entry","17 Sales Amount (Actual)","41 Source Type",$C$5,"5 Source no.",$C209,"4 Item Ledger Entry Type",$C$4,"2 Item No.","@@"&amp;$F209,"3 Posting Date",U$9)</t>
  </si>
  <si>
    <t>=-NL("Sum","5802 Value Entry","151 Cost Amount (Expected)","41 Source Type",$C$5,"5 Source No.",$C209,"4 Item Ledger Entry Type",$C$4,"2 Item No.","@@"&amp;$F209,"3 Posting Date",U$9)-NL("Sum","5802 Value Entry","43 Cost Amount (Actual)","41 Source Type",$C$5,"5 Source no.",$C209,"4 Item Ledger Entry Type",$C$4,"2 Item No.","@@"&amp;$F209,"3 Posting Date",U$9)</t>
  </si>
  <si>
    <t>=U209-W209</t>
  </si>
  <si>
    <t>=IF(U209&lt;&gt;0,X209/U209,"")</t>
  </si>
  <si>
    <t>=NL("Sum","5802 Value Entry","150 Sales Amount (Expected)","41 Source Type",$C$5,"5 Source No.",$C209,"4 Item Ledger Entry Type",$C$4,"2 Item No.","@@"&amp;$F209,"3 Posting Date",Z$9)+NL("Sum","5802 Value Entry","17 Sales Amount (Actual)","41 Source Type",$C$5,"5 Source no.",$C209,"4 Item Ledger Entry Type",$C$4,"2 Item No.","@@"&amp;$F209,"3 Posting Date",Z$9)</t>
  </si>
  <si>
    <t>=-NL("Sum","5802 Value Entry","151 Cost Amount (Expected)","41 Source Type",$C$5,"5 Source No.",$C209,"4 Item Ledger Entry Type",$C$4,"2 Item No.","@@"&amp;$F209,"3 Posting Date",Z$9)-NL("Sum","5802 Value Entry","43 Cost Amount (Actual)","41 Source Type",$C$5,"5 Source no.",$C209,"4 Item Ledger Entry Type",$C$4,"2 Item No.","@@"&amp;$F209,"3 Posting Date",Z$9)</t>
  </si>
  <si>
    <t>=Z209-AB209</t>
  </si>
  <si>
    <t>=IF(Z209&lt;&gt;0,AC209/Z209,"")</t>
  </si>
  <si>
    <t>=NL("Sum","5802 Value Entry","150 Sales Amount (Expected)","41 Source Type",$C$5,"5 Source No.",$C210,"4 Item Ledger Entry Type",$C$4,"2 Item No.","@@"&amp;$F210,"3 Posting Date",J$9)+NL("Sum","5802 Value Entry","17 Sales Amount (Actual)","41 Source Type",$C$5,"5 Source no.",$C210,"4 Item Ledger Entry Type",$C$4,"2 Item No.","@@"&amp;$F210,"3 Posting Date",J$9)</t>
  </si>
  <si>
    <t>=-NL("Sum","5802 Value Entry","151 Cost Amount (Expected)","41 Source Type",$C$5,"5 Source No.",$C210,"4 Item Ledger Entry Type",$C$4,"2 Item No.","@@"&amp;$F210,"3 Posting Date",J$9)-NL("Sum","5802 Value Entry","43 Cost Amount (Actual)","41 Source Type",$C$5,"5 Source no.",$C210,"4 Item Ledger Entry Type",$C$4,"2 Item No.","@@"&amp;$F210,"3 Posting Date",J$9)</t>
  </si>
  <si>
    <t>=NL("Sum","5802 Value Entry","150 Sales Amount (Expected)","41 Source Type",$C$5,"5 Source No.",$C210,"4 Item Ledger Entry Type",$C$4,"2 Item No.","@@"&amp;$F210,"3 Posting Date",O$9)+NL("Sum","5802 Value Entry","17 Sales Amount (Actual)","41 Source Type",$C$5,"5 Source no.",$C210,"4 Item Ledger Entry Type",$C$4,"2 Item No.","@@"&amp;$F210,"3 Posting Date",O$9)</t>
  </si>
  <si>
    <t>=-NL("Sum","5802 Value Entry","151 Cost Amount (Expected)","41 Source Type",$C$5,"5 Source No.",$C210,"4 Item Ledger Entry Type",$C$4,"2 Item No.","@@"&amp;$F210,"3 Posting Date",O$9)-NL("Sum","5802 Value Entry","43 Cost Amount (Actual)","41 Source Type",$C$5,"5 Source no.",$C210,"4 Item Ledger Entry Type",$C$4,"2 Item No.","@@"&amp;$F210,"3 Posting Date",O$9)</t>
  </si>
  <si>
    <t>=NL("Sum","5802 Value Entry","150 Sales Amount (Expected)","41 Source Type",$C$5,"5 Source No.",$C210,"4 Item Ledger Entry Type",$C$4,"2 Item No.","@@"&amp;$F210,"3 Posting Date",U$9)+NL("Sum","5802 Value Entry","17 Sales Amount (Actual)","41 Source Type",$C$5,"5 Source no.",$C210,"4 Item Ledger Entry Type",$C$4,"2 Item No.","@@"&amp;$F210,"3 Posting Date",U$9)</t>
  </si>
  <si>
    <t>=-NL("Sum","5802 Value Entry","151 Cost Amount (Expected)","41 Source Type",$C$5,"5 Source No.",$C210,"4 Item Ledger Entry Type",$C$4,"2 Item No.","@@"&amp;$F210,"3 Posting Date",U$9)-NL("Sum","5802 Value Entry","43 Cost Amount (Actual)","41 Source Type",$C$5,"5 Source no.",$C210,"4 Item Ledger Entry Type",$C$4,"2 Item No.","@@"&amp;$F210,"3 Posting Date",U$9)</t>
  </si>
  <si>
    <t>=NL("Sum","5802 Value Entry","150 Sales Amount (Expected)","41 Source Type",$C$5,"5 Source No.",$C210,"4 Item Ledger Entry Type",$C$4,"2 Item No.","@@"&amp;$F210,"3 Posting Date",Z$9)+NL("Sum","5802 Value Entry","17 Sales Amount (Actual)","41 Source Type",$C$5,"5 Source no.",$C210,"4 Item Ledger Entry Type",$C$4,"2 Item No.","@@"&amp;$F210,"3 Posting Date",Z$9)</t>
  </si>
  <si>
    <t>=-NL("Sum","5802 Value Entry","151 Cost Amount (Expected)","41 Source Type",$C$5,"5 Source No.",$C210,"4 Item Ledger Entry Type",$C$4,"2 Item No.","@@"&amp;$F210,"3 Posting Date",Z$9)-NL("Sum","5802 Value Entry","43 Cost Amount (Actual)","41 Source Type",$C$5,"5 Source no.",$C210,"4 Item Ledger Entry Type",$C$4,"2 Item No.","@@"&amp;$F210,"3 Posting Date",Z$9)</t>
  </si>
  <si>
    <t>=C210</t>
  </si>
  <si>
    <t>=NL("Sum","5802 Value Entry","150 Sales Amount (Expected)","41 Source Type",$C$5,"5 Source No.",$C211,"4 Item Ledger Entry Type",$C$4,"2 Item No.","@@"&amp;$F211,"3 Posting Date",J$9)+NL("Sum","5802 Value Entry","17 Sales Amount (Actual)","41 Source Type",$C$5,"5 Source no.",$C211,"4 Item Ledger Entry Type",$C$4,"2 Item No.","@@"&amp;$F211,"3 Posting Date",J$9)</t>
  </si>
  <si>
    <t>=-NL("Sum","5802 Value Entry","151 Cost Amount (Expected)","41 Source Type",$C$5,"5 Source No.",$C211,"4 Item Ledger Entry Type",$C$4,"2 Item No.","@@"&amp;$F211,"3 Posting Date",J$9)-NL("Sum","5802 Value Entry","43 Cost Amount (Actual)","41 Source Type",$C$5,"5 Source no.",$C211,"4 Item Ledger Entry Type",$C$4,"2 Item No.","@@"&amp;$F211,"3 Posting Date",J$9)</t>
  </si>
  <si>
    <t>=J211-L211</t>
  </si>
  <si>
    <t>=IF(J211&lt;&gt;0,M211/J211,"")</t>
  </si>
  <si>
    <t>=NL("Sum","5802 Value Entry","150 Sales Amount (Expected)","41 Source Type",$C$5,"5 Source No.",$C211,"4 Item Ledger Entry Type",$C$4,"2 Item No.","@@"&amp;$F211,"3 Posting Date",O$9)+NL("Sum","5802 Value Entry","17 Sales Amount (Actual)","41 Source Type",$C$5,"5 Source no.",$C211,"4 Item Ledger Entry Type",$C$4,"2 Item No.","@@"&amp;$F211,"3 Posting Date",O$9)</t>
  </si>
  <si>
    <t>=-NL("Sum","5802 Value Entry","151 Cost Amount (Expected)","41 Source Type",$C$5,"5 Source No.",$C211,"4 Item Ledger Entry Type",$C$4,"2 Item No.","@@"&amp;$F211,"3 Posting Date",O$9)-NL("Sum","5802 Value Entry","43 Cost Amount (Actual)","41 Source Type",$C$5,"5 Source no.",$C211,"4 Item Ledger Entry Type",$C$4,"2 Item No.","@@"&amp;$F211,"3 Posting Date",O$9)</t>
  </si>
  <si>
    <t>=O211-Q211</t>
  </si>
  <si>
    <t>=IF(O211&lt;&gt;0,R211/O211,"")</t>
  </si>
  <si>
    <t>=NL("Sum","5802 Value Entry","150 Sales Amount (Expected)","41 Source Type",$C$5,"5 Source No.",$C211,"4 Item Ledger Entry Type",$C$4,"2 Item No.","@@"&amp;$F211,"3 Posting Date",U$9)+NL("Sum","5802 Value Entry","17 Sales Amount (Actual)","41 Source Type",$C$5,"5 Source no.",$C211,"4 Item Ledger Entry Type",$C$4,"2 Item No.","@@"&amp;$F211,"3 Posting Date",U$9)</t>
  </si>
  <si>
    <t>=-NL("Sum","5802 Value Entry","151 Cost Amount (Expected)","41 Source Type",$C$5,"5 Source No.",$C211,"4 Item Ledger Entry Type",$C$4,"2 Item No.","@@"&amp;$F211,"3 Posting Date",U$9)-NL("Sum","5802 Value Entry","43 Cost Amount (Actual)","41 Source Type",$C$5,"5 Source no.",$C211,"4 Item Ledger Entry Type",$C$4,"2 Item No.","@@"&amp;$F211,"3 Posting Date",U$9)</t>
  </si>
  <si>
    <t>=U211-W211</t>
  </si>
  <si>
    <t>=IF(U211&lt;&gt;0,X211/U211,"")</t>
  </si>
  <si>
    <t>=NL("Sum","5802 Value Entry","150 Sales Amount (Expected)","41 Source Type",$C$5,"5 Source No.",$C211,"4 Item Ledger Entry Type",$C$4,"2 Item No.","@@"&amp;$F211,"3 Posting Date",Z$9)+NL("Sum","5802 Value Entry","17 Sales Amount (Actual)","41 Source Type",$C$5,"5 Source no.",$C211,"4 Item Ledger Entry Type",$C$4,"2 Item No.","@@"&amp;$F211,"3 Posting Date",Z$9)</t>
  </si>
  <si>
    <t>=-NL("Sum","5802 Value Entry","151 Cost Amount (Expected)","41 Source Type",$C$5,"5 Source No.",$C211,"4 Item Ledger Entry Type",$C$4,"2 Item No.","@@"&amp;$F211,"3 Posting Date",Z$9)-NL("Sum","5802 Value Entry","43 Cost Amount (Actual)","41 Source Type",$C$5,"5 Source no.",$C211,"4 Item Ledger Entry Type",$C$4,"2 Item No.","@@"&amp;$F211,"3 Posting Date",Z$9)</t>
  </si>
  <si>
    <t>=Z211-AB211</t>
  </si>
  <si>
    <t>=IF(Z211&lt;&gt;0,AC211/Z211,"")</t>
  </si>
  <si>
    <t>=C211</t>
  </si>
  <si>
    <t>=NL("Sum","5802 Value Entry","150 Sales Amount (Expected)","41 Source Type",$C$5,"5 Source No.",$C212,"4 Item Ledger Entry Type",$C$4,"2 Item No.","@@"&amp;$F212,"3 Posting Date",J$9)+NL("Sum","5802 Value Entry","17 Sales Amount (Actual)","41 Source Type",$C$5,"5 Source no.",$C212,"4 Item Ledger Entry Type",$C$4,"2 Item No.","@@"&amp;$F212,"3 Posting Date",J$9)</t>
  </si>
  <si>
    <t>=-NL("Sum","5802 Value Entry","151 Cost Amount (Expected)","41 Source Type",$C$5,"5 Source No.",$C212,"4 Item Ledger Entry Type",$C$4,"2 Item No.","@@"&amp;$F212,"3 Posting Date",J$9)-NL("Sum","5802 Value Entry","43 Cost Amount (Actual)","41 Source Type",$C$5,"5 Source no.",$C212,"4 Item Ledger Entry Type",$C$4,"2 Item No.","@@"&amp;$F212,"3 Posting Date",J$9)</t>
  </si>
  <si>
    <t>=J212-L212</t>
  </si>
  <si>
    <t>=IF(J212&lt;&gt;0,M212/J212,"")</t>
  </si>
  <si>
    <t>=NL("Sum","5802 Value Entry","150 Sales Amount (Expected)","41 Source Type",$C$5,"5 Source No.",$C212,"4 Item Ledger Entry Type",$C$4,"2 Item No.","@@"&amp;$F212,"3 Posting Date",O$9)+NL("Sum","5802 Value Entry","17 Sales Amount (Actual)","41 Source Type",$C$5,"5 Source no.",$C212,"4 Item Ledger Entry Type",$C$4,"2 Item No.","@@"&amp;$F212,"3 Posting Date",O$9)</t>
  </si>
  <si>
    <t>=-NL("Sum","5802 Value Entry","151 Cost Amount (Expected)","41 Source Type",$C$5,"5 Source No.",$C212,"4 Item Ledger Entry Type",$C$4,"2 Item No.","@@"&amp;$F212,"3 Posting Date",O$9)-NL("Sum","5802 Value Entry","43 Cost Amount (Actual)","41 Source Type",$C$5,"5 Source no.",$C212,"4 Item Ledger Entry Type",$C$4,"2 Item No.","@@"&amp;$F212,"3 Posting Date",O$9)</t>
  </si>
  <si>
    <t>=O212-Q212</t>
  </si>
  <si>
    <t>=IF(O212&lt;&gt;0,R212/O212,"")</t>
  </si>
  <si>
    <t>=NL("Sum","5802 Value Entry","150 Sales Amount (Expected)","41 Source Type",$C$5,"5 Source No.",$C212,"4 Item Ledger Entry Type",$C$4,"2 Item No.","@@"&amp;$F212,"3 Posting Date",U$9)+NL("Sum","5802 Value Entry","17 Sales Amount (Actual)","41 Source Type",$C$5,"5 Source no.",$C212,"4 Item Ledger Entry Type",$C$4,"2 Item No.","@@"&amp;$F212,"3 Posting Date",U$9)</t>
  </si>
  <si>
    <t>=-NL("Sum","5802 Value Entry","151 Cost Amount (Expected)","41 Source Type",$C$5,"5 Source No.",$C212,"4 Item Ledger Entry Type",$C$4,"2 Item No.","@@"&amp;$F212,"3 Posting Date",U$9)-NL("Sum","5802 Value Entry","43 Cost Amount (Actual)","41 Source Type",$C$5,"5 Source no.",$C212,"4 Item Ledger Entry Type",$C$4,"2 Item No.","@@"&amp;$F212,"3 Posting Date",U$9)</t>
  </si>
  <si>
    <t>=U212-W212</t>
  </si>
  <si>
    <t>=IF(U212&lt;&gt;0,X212/U212,"")</t>
  </si>
  <si>
    <t>=NL("Sum","5802 Value Entry","150 Sales Amount (Expected)","41 Source Type",$C$5,"5 Source No.",$C212,"4 Item Ledger Entry Type",$C$4,"2 Item No.","@@"&amp;$F212,"3 Posting Date",Z$9)+NL("Sum","5802 Value Entry","17 Sales Amount (Actual)","41 Source Type",$C$5,"5 Source no.",$C212,"4 Item Ledger Entry Type",$C$4,"2 Item No.","@@"&amp;$F212,"3 Posting Date",Z$9)</t>
  </si>
  <si>
    <t>=-NL("Sum","5802 Value Entry","151 Cost Amount (Expected)","41 Source Type",$C$5,"5 Source No.",$C212,"4 Item Ledger Entry Type",$C$4,"2 Item No.","@@"&amp;$F212,"3 Posting Date",Z$9)-NL("Sum","5802 Value Entry","43 Cost Amount (Actual)","41 Source Type",$C$5,"5 Source no.",$C212,"4 Item Ledger Entry Type",$C$4,"2 Item No.","@@"&amp;$F212,"3 Posting Date",Z$9)</t>
  </si>
  <si>
    <t>=Z212-AB212</t>
  </si>
  <si>
    <t>=IF(Z212&lt;&gt;0,AC212/Z212,"")</t>
  </si>
  <si>
    <t>=NL("Sum","5802 Value Entry","150 Sales Amount (Expected)","41 Source Type",$C$5,"5 Source No.",$C213,"4 Item Ledger Entry Type",$C$4,"2 Item No.","@@"&amp;$F213,"3 Posting Date",J$9)+NL("Sum","5802 Value Entry","17 Sales Amount (Actual)","41 Source Type",$C$5,"5 Source no.",$C213,"4 Item Ledger Entry Type",$C$4,"2 Item No.","@@"&amp;$F213,"3 Posting Date",J$9)</t>
  </si>
  <si>
    <t>=-NL("Sum","5802 Value Entry","151 Cost Amount (Expected)","41 Source Type",$C$5,"5 Source No.",$C213,"4 Item Ledger Entry Type",$C$4,"2 Item No.","@@"&amp;$F213,"3 Posting Date",J$9)-NL("Sum","5802 Value Entry","43 Cost Amount (Actual)","41 Source Type",$C$5,"5 Source no.",$C213,"4 Item Ledger Entry Type",$C$4,"2 Item No.","@@"&amp;$F213,"3 Posting Date",J$9)</t>
  </si>
  <si>
    <t>=J213-L213</t>
  </si>
  <si>
    <t>=IF(J213&lt;&gt;0,M213/J213,"")</t>
  </si>
  <si>
    <t>=NL("Sum","5802 Value Entry","150 Sales Amount (Expected)","41 Source Type",$C$5,"5 Source No.",$C213,"4 Item Ledger Entry Type",$C$4,"2 Item No.","@@"&amp;$F213,"3 Posting Date",O$9)+NL("Sum","5802 Value Entry","17 Sales Amount (Actual)","41 Source Type",$C$5,"5 Source no.",$C213,"4 Item Ledger Entry Type",$C$4,"2 Item No.","@@"&amp;$F213,"3 Posting Date",O$9)</t>
  </si>
  <si>
    <t>=-NL("Sum","5802 Value Entry","151 Cost Amount (Expected)","41 Source Type",$C$5,"5 Source No.",$C213,"4 Item Ledger Entry Type",$C$4,"2 Item No.","@@"&amp;$F213,"3 Posting Date",O$9)-NL("Sum","5802 Value Entry","43 Cost Amount (Actual)","41 Source Type",$C$5,"5 Source no.",$C213,"4 Item Ledger Entry Type",$C$4,"2 Item No.","@@"&amp;$F213,"3 Posting Date",O$9)</t>
  </si>
  <si>
    <t>=O213-Q213</t>
  </si>
  <si>
    <t>=IF(O213&lt;&gt;0,R213/O213,"")</t>
  </si>
  <si>
    <t>=NL("Sum","5802 Value Entry","150 Sales Amount (Expected)","41 Source Type",$C$5,"5 Source No.",$C213,"4 Item Ledger Entry Type",$C$4,"2 Item No.","@@"&amp;$F213,"3 Posting Date",U$9)+NL("Sum","5802 Value Entry","17 Sales Amount (Actual)","41 Source Type",$C$5,"5 Source no.",$C213,"4 Item Ledger Entry Type",$C$4,"2 Item No.","@@"&amp;$F213,"3 Posting Date",U$9)</t>
  </si>
  <si>
    <t>=-NL("Sum","5802 Value Entry","151 Cost Amount (Expected)","41 Source Type",$C$5,"5 Source No.",$C213,"4 Item Ledger Entry Type",$C$4,"2 Item No.","@@"&amp;$F213,"3 Posting Date",U$9)-NL("Sum","5802 Value Entry","43 Cost Amount (Actual)","41 Source Type",$C$5,"5 Source no.",$C213,"4 Item Ledger Entry Type",$C$4,"2 Item No.","@@"&amp;$F213,"3 Posting Date",U$9)</t>
  </si>
  <si>
    <t>=U213-W213</t>
  </si>
  <si>
    <t>=IF(U213&lt;&gt;0,X213/U213,"")</t>
  </si>
  <si>
    <t>=NL("Sum","5802 Value Entry","150 Sales Amount (Expected)","41 Source Type",$C$5,"5 Source No.",$C213,"4 Item Ledger Entry Type",$C$4,"2 Item No.","@@"&amp;$F213,"3 Posting Date",Z$9)+NL("Sum","5802 Value Entry","17 Sales Amount (Actual)","41 Source Type",$C$5,"5 Source no.",$C213,"4 Item Ledger Entry Type",$C$4,"2 Item No.","@@"&amp;$F213,"3 Posting Date",Z$9)</t>
  </si>
  <si>
    <t>=-NL("Sum","5802 Value Entry","151 Cost Amount (Expected)","41 Source Type",$C$5,"5 Source No.",$C213,"4 Item Ledger Entry Type",$C$4,"2 Item No.","@@"&amp;$F213,"3 Posting Date",Z$9)-NL("Sum","5802 Value Entry","43 Cost Amount (Actual)","41 Source Type",$C$5,"5 Source no.",$C213,"4 Item Ledger Entry Type",$C$4,"2 Item No.","@@"&amp;$F213,"3 Posting Date",Z$9)</t>
  </si>
  <si>
    <t>=Z213-AB213</t>
  </si>
  <si>
    <t>=IF(Z213&lt;&gt;0,AC213/Z213,"")</t>
  </si>
  <si>
    <t>=NL("Sum","5802 Value Entry","150 Sales Amount (Expected)","41 Source Type",$C$5,"5 Source No.",$C214,"4 Item Ledger Entry Type",$C$4,"2 Item No.","@@"&amp;$F214,"3 Posting Date",J$9)+NL("Sum","5802 Value Entry","17 Sales Amount (Actual)","41 Source Type",$C$5,"5 Source no.",$C214,"4 Item Ledger Entry Type",$C$4,"2 Item No.","@@"&amp;$F214,"3 Posting Date",J$9)</t>
  </si>
  <si>
    <t>=-NL("Sum","5802 Value Entry","151 Cost Amount (Expected)","41 Source Type",$C$5,"5 Source No.",$C214,"4 Item Ledger Entry Type",$C$4,"2 Item No.","@@"&amp;$F214,"3 Posting Date",J$9)-NL("Sum","5802 Value Entry","43 Cost Amount (Actual)","41 Source Type",$C$5,"5 Source no.",$C214,"4 Item Ledger Entry Type",$C$4,"2 Item No.","@@"&amp;$F214,"3 Posting Date",J$9)</t>
  </si>
  <si>
    <t>=NL("Sum","5802 Value Entry","150 Sales Amount (Expected)","41 Source Type",$C$5,"5 Source No.",$C214,"4 Item Ledger Entry Type",$C$4,"2 Item No.","@@"&amp;$F214,"3 Posting Date",O$9)+NL("Sum","5802 Value Entry","17 Sales Amount (Actual)","41 Source Type",$C$5,"5 Source no.",$C214,"4 Item Ledger Entry Type",$C$4,"2 Item No.","@@"&amp;$F214,"3 Posting Date",O$9)</t>
  </si>
  <si>
    <t>=-NL("Sum","5802 Value Entry","151 Cost Amount (Expected)","41 Source Type",$C$5,"5 Source No.",$C214,"4 Item Ledger Entry Type",$C$4,"2 Item No.","@@"&amp;$F214,"3 Posting Date",O$9)-NL("Sum","5802 Value Entry","43 Cost Amount (Actual)","41 Source Type",$C$5,"5 Source no.",$C214,"4 Item Ledger Entry Type",$C$4,"2 Item No.","@@"&amp;$F214,"3 Posting Date",O$9)</t>
  </si>
  <si>
    <t>=NL("Sum","5802 Value Entry","150 Sales Amount (Expected)","41 Source Type",$C$5,"5 Source No.",$C214,"4 Item Ledger Entry Type",$C$4,"2 Item No.","@@"&amp;$F214,"3 Posting Date",U$9)+NL("Sum","5802 Value Entry","17 Sales Amount (Actual)","41 Source Type",$C$5,"5 Source no.",$C214,"4 Item Ledger Entry Type",$C$4,"2 Item No.","@@"&amp;$F214,"3 Posting Date",U$9)</t>
  </si>
  <si>
    <t>=-NL("Sum","5802 Value Entry","151 Cost Amount (Expected)","41 Source Type",$C$5,"5 Source No.",$C214,"4 Item Ledger Entry Type",$C$4,"2 Item No.","@@"&amp;$F214,"3 Posting Date",U$9)-NL("Sum","5802 Value Entry","43 Cost Amount (Actual)","41 Source Type",$C$5,"5 Source no.",$C214,"4 Item Ledger Entry Type",$C$4,"2 Item No.","@@"&amp;$F214,"3 Posting Date",U$9)</t>
  </si>
  <si>
    <t>=NL("Sum","5802 Value Entry","150 Sales Amount (Expected)","41 Source Type",$C$5,"5 Source No.",$C214,"4 Item Ledger Entry Type",$C$4,"2 Item No.","@@"&amp;$F214,"3 Posting Date",Z$9)+NL("Sum","5802 Value Entry","17 Sales Amount (Actual)","41 Source Type",$C$5,"5 Source no.",$C214,"4 Item Ledger Entry Type",$C$4,"2 Item No.","@@"&amp;$F214,"3 Posting Date",Z$9)</t>
  </si>
  <si>
    <t>=-NL("Sum","5802 Value Entry","151 Cost Amount (Expected)","41 Source Type",$C$5,"5 Source No.",$C214,"4 Item Ledger Entry Type",$C$4,"2 Item No.","@@"&amp;$F214,"3 Posting Date",Z$9)-NL("Sum","5802 Value Entry","43 Cost Amount (Actual)","41 Source Type",$C$5,"5 Source no.",$C214,"4 Item Ledger Entry Type",$C$4,"2 Item No.","@@"&amp;$F214,"3 Posting Date",Z$9)</t>
  </si>
  <si>
    <t>=NL("Sum","5802 Value Entry","150 Sales Amount (Expected)","41 Source Type",$C$5,"5 Source No.",$C215,"4 Item Ledger Entry Type",$C$4,"2 Item No.","@@"&amp;$F215,"3 Posting Date",J$9)+NL("Sum","5802 Value Entry","17 Sales Amount (Actual)","41 Source Type",$C$5,"5 Source no.",$C215,"4 Item Ledger Entry Type",$C$4,"2 Item No.","@@"&amp;$F215,"3 Posting Date",J$9)</t>
  </si>
  <si>
    <t>=-NL("Sum","5802 Value Entry","151 Cost Amount (Expected)","41 Source Type",$C$5,"5 Source No.",$C215,"4 Item Ledger Entry Type",$C$4,"2 Item No.","@@"&amp;$F215,"3 Posting Date",J$9)-NL("Sum","5802 Value Entry","43 Cost Amount (Actual)","41 Source Type",$C$5,"5 Source no.",$C215,"4 Item Ledger Entry Type",$C$4,"2 Item No.","@@"&amp;$F215,"3 Posting Date",J$9)</t>
  </si>
  <si>
    <t>=J215-L215</t>
  </si>
  <si>
    <t>=IF(J215&lt;&gt;0,M215/J215,"")</t>
  </si>
  <si>
    <t>=NL("Sum","5802 Value Entry","150 Sales Amount (Expected)","41 Source Type",$C$5,"5 Source No.",$C215,"4 Item Ledger Entry Type",$C$4,"2 Item No.","@@"&amp;$F215,"3 Posting Date",O$9)+NL("Sum","5802 Value Entry","17 Sales Amount (Actual)","41 Source Type",$C$5,"5 Source no.",$C215,"4 Item Ledger Entry Type",$C$4,"2 Item No.","@@"&amp;$F215,"3 Posting Date",O$9)</t>
  </si>
  <si>
    <t>=-NL("Sum","5802 Value Entry","151 Cost Amount (Expected)","41 Source Type",$C$5,"5 Source No.",$C215,"4 Item Ledger Entry Type",$C$4,"2 Item No.","@@"&amp;$F215,"3 Posting Date",O$9)-NL("Sum","5802 Value Entry","43 Cost Amount (Actual)","41 Source Type",$C$5,"5 Source no.",$C215,"4 Item Ledger Entry Type",$C$4,"2 Item No.","@@"&amp;$F215,"3 Posting Date",O$9)</t>
  </si>
  <si>
    <t>=O215-Q215</t>
  </si>
  <si>
    <t>=IF(O215&lt;&gt;0,R215/O215,"")</t>
  </si>
  <si>
    <t>=NL("Sum","5802 Value Entry","150 Sales Amount (Expected)","41 Source Type",$C$5,"5 Source No.",$C215,"4 Item Ledger Entry Type",$C$4,"2 Item No.","@@"&amp;$F215,"3 Posting Date",U$9)+NL("Sum","5802 Value Entry","17 Sales Amount (Actual)","41 Source Type",$C$5,"5 Source no.",$C215,"4 Item Ledger Entry Type",$C$4,"2 Item No.","@@"&amp;$F215,"3 Posting Date",U$9)</t>
  </si>
  <si>
    <t>=-NL("Sum","5802 Value Entry","151 Cost Amount (Expected)","41 Source Type",$C$5,"5 Source No.",$C215,"4 Item Ledger Entry Type",$C$4,"2 Item No.","@@"&amp;$F215,"3 Posting Date",U$9)-NL("Sum","5802 Value Entry","43 Cost Amount (Actual)","41 Source Type",$C$5,"5 Source no.",$C215,"4 Item Ledger Entry Type",$C$4,"2 Item No.","@@"&amp;$F215,"3 Posting Date",U$9)</t>
  </si>
  <si>
    <t>=U215-W215</t>
  </si>
  <si>
    <t>=IF(U215&lt;&gt;0,X215/U215,"")</t>
  </si>
  <si>
    <t>=NL("Sum","5802 Value Entry","150 Sales Amount (Expected)","41 Source Type",$C$5,"5 Source No.",$C215,"4 Item Ledger Entry Type",$C$4,"2 Item No.","@@"&amp;$F215,"3 Posting Date",Z$9)+NL("Sum","5802 Value Entry","17 Sales Amount (Actual)","41 Source Type",$C$5,"5 Source no.",$C215,"4 Item Ledger Entry Type",$C$4,"2 Item No.","@@"&amp;$F215,"3 Posting Date",Z$9)</t>
  </si>
  <si>
    <t>=-NL("Sum","5802 Value Entry","151 Cost Amount (Expected)","41 Source Type",$C$5,"5 Source No.",$C215,"4 Item Ledger Entry Type",$C$4,"2 Item No.","@@"&amp;$F215,"3 Posting Date",Z$9)-NL("Sum","5802 Value Entry","43 Cost Amount (Actual)","41 Source Type",$C$5,"5 Source no.",$C215,"4 Item Ledger Entry Type",$C$4,"2 Item No.","@@"&amp;$F215,"3 Posting Date",Z$9)</t>
  </si>
  <si>
    <t>=Z215-AB215</t>
  </si>
  <si>
    <t>=IF(Z215&lt;&gt;0,AC215/Z215,"")</t>
  </si>
  <si>
    <t>=NL("Sum","5802 Value Entry","150 Sales Amount (Expected)","41 Source Type",$C$5,"5 Source No.",$C216,"4 Item Ledger Entry Type",$C$4,"2 Item No.","@@"&amp;$F216,"3 Posting Date",J$9)+NL("Sum","5802 Value Entry","17 Sales Amount (Actual)","41 Source Type",$C$5,"5 Source no.",$C216,"4 Item Ledger Entry Type",$C$4,"2 Item No.","@@"&amp;$F216,"3 Posting Date",J$9)</t>
  </si>
  <si>
    <t>=-NL("Sum","5802 Value Entry","151 Cost Amount (Expected)","41 Source Type",$C$5,"5 Source No.",$C216,"4 Item Ledger Entry Type",$C$4,"2 Item No.","@@"&amp;$F216,"3 Posting Date",J$9)-NL("Sum","5802 Value Entry","43 Cost Amount (Actual)","41 Source Type",$C$5,"5 Source no.",$C216,"4 Item Ledger Entry Type",$C$4,"2 Item No.","@@"&amp;$F216,"3 Posting Date",J$9)</t>
  </si>
  <si>
    <t>=NL("Sum","5802 Value Entry","150 Sales Amount (Expected)","41 Source Type",$C$5,"5 Source No.",$C216,"4 Item Ledger Entry Type",$C$4,"2 Item No.","@@"&amp;$F216,"3 Posting Date",O$9)+NL("Sum","5802 Value Entry","17 Sales Amount (Actual)","41 Source Type",$C$5,"5 Source no.",$C216,"4 Item Ledger Entry Type",$C$4,"2 Item No.","@@"&amp;$F216,"3 Posting Date",O$9)</t>
  </si>
  <si>
    <t>=-NL("Sum","5802 Value Entry","151 Cost Amount (Expected)","41 Source Type",$C$5,"5 Source No.",$C216,"4 Item Ledger Entry Type",$C$4,"2 Item No.","@@"&amp;$F216,"3 Posting Date",O$9)-NL("Sum","5802 Value Entry","43 Cost Amount (Actual)","41 Source Type",$C$5,"5 Source no.",$C216,"4 Item Ledger Entry Type",$C$4,"2 Item No.","@@"&amp;$F216,"3 Posting Date",O$9)</t>
  </si>
  <si>
    <t>=NL("Sum","5802 Value Entry","150 Sales Amount (Expected)","41 Source Type",$C$5,"5 Source No.",$C216,"4 Item Ledger Entry Type",$C$4,"2 Item No.","@@"&amp;$F216,"3 Posting Date",U$9)+NL("Sum","5802 Value Entry","17 Sales Amount (Actual)","41 Source Type",$C$5,"5 Source no.",$C216,"4 Item Ledger Entry Type",$C$4,"2 Item No.","@@"&amp;$F216,"3 Posting Date",U$9)</t>
  </si>
  <si>
    <t>=-NL("Sum","5802 Value Entry","151 Cost Amount (Expected)","41 Source Type",$C$5,"5 Source No.",$C216,"4 Item Ledger Entry Type",$C$4,"2 Item No.","@@"&amp;$F216,"3 Posting Date",U$9)-NL("Sum","5802 Value Entry","43 Cost Amount (Actual)","41 Source Type",$C$5,"5 Source no.",$C216,"4 Item Ledger Entry Type",$C$4,"2 Item No.","@@"&amp;$F216,"3 Posting Date",U$9)</t>
  </si>
  <si>
    <t>=NL("Sum","5802 Value Entry","150 Sales Amount (Expected)","41 Source Type",$C$5,"5 Source No.",$C216,"4 Item Ledger Entry Type",$C$4,"2 Item No.","@@"&amp;$F216,"3 Posting Date",Z$9)+NL("Sum","5802 Value Entry","17 Sales Amount (Actual)","41 Source Type",$C$5,"5 Source no.",$C216,"4 Item Ledger Entry Type",$C$4,"2 Item No.","@@"&amp;$F216,"3 Posting Date",Z$9)</t>
  </si>
  <si>
    <t>=-NL("Sum","5802 Value Entry","151 Cost Amount (Expected)","41 Source Type",$C$5,"5 Source No.",$C216,"4 Item Ledger Entry Type",$C$4,"2 Item No.","@@"&amp;$F216,"3 Posting Date",Z$9)-NL("Sum","5802 Value Entry","43 Cost Amount (Actual)","41 Source Type",$C$5,"5 Source no.",$C216,"4 Item Ledger Entry Type",$C$4,"2 Item No.","@@"&amp;$F216,"3 Posting Date",Z$9)</t>
  </si>
  <si>
    <t>=C216</t>
  </si>
  <si>
    <t>=NL("Sum","5802 Value Entry","150 Sales Amount (Expected)","41 Source Type",$C$5,"5 Source No.",$C217,"4 Item Ledger Entry Type",$C$4,"2 Item No.","@@"&amp;$F217,"3 Posting Date",J$9)+NL("Sum","5802 Value Entry","17 Sales Amount (Actual)","41 Source Type",$C$5,"5 Source no.",$C217,"4 Item Ledger Entry Type",$C$4,"2 Item No.","@@"&amp;$F217,"3 Posting Date",J$9)</t>
  </si>
  <si>
    <t>=-NL("Sum","5802 Value Entry","151 Cost Amount (Expected)","41 Source Type",$C$5,"5 Source No.",$C217,"4 Item Ledger Entry Type",$C$4,"2 Item No.","@@"&amp;$F217,"3 Posting Date",J$9)-NL("Sum","5802 Value Entry","43 Cost Amount (Actual)","41 Source Type",$C$5,"5 Source no.",$C217,"4 Item Ledger Entry Type",$C$4,"2 Item No.","@@"&amp;$F217,"3 Posting Date",J$9)</t>
  </si>
  <si>
    <t>=J217-L217</t>
  </si>
  <si>
    <t>=IF(J217&lt;&gt;0,M217/J217,"")</t>
  </si>
  <si>
    <t>=NL("Sum","5802 Value Entry","150 Sales Amount (Expected)","41 Source Type",$C$5,"5 Source No.",$C217,"4 Item Ledger Entry Type",$C$4,"2 Item No.","@@"&amp;$F217,"3 Posting Date",O$9)+NL("Sum","5802 Value Entry","17 Sales Amount (Actual)","41 Source Type",$C$5,"5 Source no.",$C217,"4 Item Ledger Entry Type",$C$4,"2 Item No.","@@"&amp;$F217,"3 Posting Date",O$9)</t>
  </si>
  <si>
    <t>=-NL("Sum","5802 Value Entry","151 Cost Amount (Expected)","41 Source Type",$C$5,"5 Source No.",$C217,"4 Item Ledger Entry Type",$C$4,"2 Item No.","@@"&amp;$F217,"3 Posting Date",O$9)-NL("Sum","5802 Value Entry","43 Cost Amount (Actual)","41 Source Type",$C$5,"5 Source no.",$C217,"4 Item Ledger Entry Type",$C$4,"2 Item No.","@@"&amp;$F217,"3 Posting Date",O$9)</t>
  </si>
  <si>
    <t>=O217-Q217</t>
  </si>
  <si>
    <t>=IF(O217&lt;&gt;0,R217/O217,"")</t>
  </si>
  <si>
    <t>=NL("Sum","5802 Value Entry","150 Sales Amount (Expected)","41 Source Type",$C$5,"5 Source No.",$C217,"4 Item Ledger Entry Type",$C$4,"2 Item No.","@@"&amp;$F217,"3 Posting Date",U$9)+NL("Sum","5802 Value Entry","17 Sales Amount (Actual)","41 Source Type",$C$5,"5 Source no.",$C217,"4 Item Ledger Entry Type",$C$4,"2 Item No.","@@"&amp;$F217,"3 Posting Date",U$9)</t>
  </si>
  <si>
    <t>=-NL("Sum","5802 Value Entry","151 Cost Amount (Expected)","41 Source Type",$C$5,"5 Source No.",$C217,"4 Item Ledger Entry Type",$C$4,"2 Item No.","@@"&amp;$F217,"3 Posting Date",U$9)-NL("Sum","5802 Value Entry","43 Cost Amount (Actual)","41 Source Type",$C$5,"5 Source no.",$C217,"4 Item Ledger Entry Type",$C$4,"2 Item No.","@@"&amp;$F217,"3 Posting Date",U$9)</t>
  </si>
  <si>
    <t>=U217-W217</t>
  </si>
  <si>
    <t>=IF(U217&lt;&gt;0,X217/U217,"")</t>
  </si>
  <si>
    <t>=NL("Sum","5802 Value Entry","150 Sales Amount (Expected)","41 Source Type",$C$5,"5 Source No.",$C217,"4 Item Ledger Entry Type",$C$4,"2 Item No.","@@"&amp;$F217,"3 Posting Date",Z$9)+NL("Sum","5802 Value Entry","17 Sales Amount (Actual)","41 Source Type",$C$5,"5 Source no.",$C217,"4 Item Ledger Entry Type",$C$4,"2 Item No.","@@"&amp;$F217,"3 Posting Date",Z$9)</t>
  </si>
  <si>
    <t>=-NL("Sum","5802 Value Entry","151 Cost Amount (Expected)","41 Source Type",$C$5,"5 Source No.",$C217,"4 Item Ledger Entry Type",$C$4,"2 Item No.","@@"&amp;$F217,"3 Posting Date",Z$9)-NL("Sum","5802 Value Entry","43 Cost Amount (Actual)","41 Source Type",$C$5,"5 Source no.",$C217,"4 Item Ledger Entry Type",$C$4,"2 Item No.","@@"&amp;$F217,"3 Posting Date",Z$9)</t>
  </si>
  <si>
    <t>=Z217-AB217</t>
  </si>
  <si>
    <t>=IF(Z217&lt;&gt;0,AC217/Z217,"")</t>
  </si>
  <si>
    <t>=C217</t>
  </si>
  <si>
    <t>=NL("Sum","5802 Value Entry","150 Sales Amount (Expected)","41 Source Type",$C$5,"5 Source No.",$C218,"4 Item Ledger Entry Type",$C$4,"2 Item No.","@@"&amp;$F218,"3 Posting Date",J$9)+NL("Sum","5802 Value Entry","17 Sales Amount (Actual)","41 Source Type",$C$5,"5 Source no.",$C218,"4 Item Ledger Entry Type",$C$4,"2 Item No.","@@"&amp;$F218,"3 Posting Date",J$9)</t>
  </si>
  <si>
    <t>=-NL("Sum","5802 Value Entry","151 Cost Amount (Expected)","41 Source Type",$C$5,"5 Source No.",$C218,"4 Item Ledger Entry Type",$C$4,"2 Item No.","@@"&amp;$F218,"3 Posting Date",J$9)-NL("Sum","5802 Value Entry","43 Cost Amount (Actual)","41 Source Type",$C$5,"5 Source no.",$C218,"4 Item Ledger Entry Type",$C$4,"2 Item No.","@@"&amp;$F218,"3 Posting Date",J$9)</t>
  </si>
  <si>
    <t>=J218-L218</t>
  </si>
  <si>
    <t>=IF(J218&lt;&gt;0,M218/J218,"")</t>
  </si>
  <si>
    <t>=NL("Sum","5802 Value Entry","150 Sales Amount (Expected)","41 Source Type",$C$5,"5 Source No.",$C218,"4 Item Ledger Entry Type",$C$4,"2 Item No.","@@"&amp;$F218,"3 Posting Date",O$9)+NL("Sum","5802 Value Entry","17 Sales Amount (Actual)","41 Source Type",$C$5,"5 Source no.",$C218,"4 Item Ledger Entry Type",$C$4,"2 Item No.","@@"&amp;$F218,"3 Posting Date",O$9)</t>
  </si>
  <si>
    <t>=-NL("Sum","5802 Value Entry","151 Cost Amount (Expected)","41 Source Type",$C$5,"5 Source No.",$C218,"4 Item Ledger Entry Type",$C$4,"2 Item No.","@@"&amp;$F218,"3 Posting Date",O$9)-NL("Sum","5802 Value Entry","43 Cost Amount (Actual)","41 Source Type",$C$5,"5 Source no.",$C218,"4 Item Ledger Entry Type",$C$4,"2 Item No.","@@"&amp;$F218,"3 Posting Date",O$9)</t>
  </si>
  <si>
    <t>=O218-Q218</t>
  </si>
  <si>
    <t>=IF(O218&lt;&gt;0,R218/O218,"")</t>
  </si>
  <si>
    <t>=NL("Sum","5802 Value Entry","150 Sales Amount (Expected)","41 Source Type",$C$5,"5 Source No.",$C218,"4 Item Ledger Entry Type",$C$4,"2 Item No.","@@"&amp;$F218,"3 Posting Date",U$9)+NL("Sum","5802 Value Entry","17 Sales Amount (Actual)","41 Source Type",$C$5,"5 Source no.",$C218,"4 Item Ledger Entry Type",$C$4,"2 Item No.","@@"&amp;$F218,"3 Posting Date",U$9)</t>
  </si>
  <si>
    <t>=-NL("Sum","5802 Value Entry","151 Cost Amount (Expected)","41 Source Type",$C$5,"5 Source No.",$C218,"4 Item Ledger Entry Type",$C$4,"2 Item No.","@@"&amp;$F218,"3 Posting Date",U$9)-NL("Sum","5802 Value Entry","43 Cost Amount (Actual)","41 Source Type",$C$5,"5 Source no.",$C218,"4 Item Ledger Entry Type",$C$4,"2 Item No.","@@"&amp;$F218,"3 Posting Date",U$9)</t>
  </si>
  <si>
    <t>=U218-W218</t>
  </si>
  <si>
    <t>=IF(U218&lt;&gt;0,X218/U218,"")</t>
  </si>
  <si>
    <t>=NL("Sum","5802 Value Entry","150 Sales Amount (Expected)","41 Source Type",$C$5,"5 Source No.",$C218,"4 Item Ledger Entry Type",$C$4,"2 Item No.","@@"&amp;$F218,"3 Posting Date",Z$9)+NL("Sum","5802 Value Entry","17 Sales Amount (Actual)","41 Source Type",$C$5,"5 Source no.",$C218,"4 Item Ledger Entry Type",$C$4,"2 Item No.","@@"&amp;$F218,"3 Posting Date",Z$9)</t>
  </si>
  <si>
    <t>=-NL("Sum","5802 Value Entry","151 Cost Amount (Expected)","41 Source Type",$C$5,"5 Source No.",$C218,"4 Item Ledger Entry Type",$C$4,"2 Item No.","@@"&amp;$F218,"3 Posting Date",Z$9)-NL("Sum","5802 Value Entry","43 Cost Amount (Actual)","41 Source Type",$C$5,"5 Source no.",$C218,"4 Item Ledger Entry Type",$C$4,"2 Item No.","@@"&amp;$F218,"3 Posting Date",Z$9)</t>
  </si>
  <si>
    <t>=Z218-AB218</t>
  </si>
  <si>
    <t>=IF(Z218&lt;&gt;0,AC218/Z218,"")</t>
  </si>
  <si>
    <t>=NL("Sum","5802 Value Entry","150 Sales Amount (Expected)","41 Source Type",$C$5,"5 Source No.",$C219,"4 Item Ledger Entry Type",$C$4,"2 Item No.","@@"&amp;$F219,"3 Posting Date",J$9)+NL("Sum","5802 Value Entry","17 Sales Amount (Actual)","41 Source Type",$C$5,"5 Source no.",$C219,"4 Item Ledger Entry Type",$C$4,"2 Item No.","@@"&amp;$F219,"3 Posting Date",J$9)</t>
  </si>
  <si>
    <t>=-NL("Sum","5802 Value Entry","151 Cost Amount (Expected)","41 Source Type",$C$5,"5 Source No.",$C219,"4 Item Ledger Entry Type",$C$4,"2 Item No.","@@"&amp;$F219,"3 Posting Date",J$9)-NL("Sum","5802 Value Entry","43 Cost Amount (Actual)","41 Source Type",$C$5,"5 Source no.",$C219,"4 Item Ledger Entry Type",$C$4,"2 Item No.","@@"&amp;$F219,"3 Posting Date",J$9)</t>
  </si>
  <si>
    <t>=J219-L219</t>
  </si>
  <si>
    <t>=IF(J219&lt;&gt;0,M219/J219,"")</t>
  </si>
  <si>
    <t>=NL("Sum","5802 Value Entry","150 Sales Amount (Expected)","41 Source Type",$C$5,"5 Source No.",$C219,"4 Item Ledger Entry Type",$C$4,"2 Item No.","@@"&amp;$F219,"3 Posting Date",O$9)+NL("Sum","5802 Value Entry","17 Sales Amount (Actual)","41 Source Type",$C$5,"5 Source no.",$C219,"4 Item Ledger Entry Type",$C$4,"2 Item No.","@@"&amp;$F219,"3 Posting Date",O$9)</t>
  </si>
  <si>
    <t>=-NL("Sum","5802 Value Entry","151 Cost Amount (Expected)","41 Source Type",$C$5,"5 Source No.",$C219,"4 Item Ledger Entry Type",$C$4,"2 Item No.","@@"&amp;$F219,"3 Posting Date",O$9)-NL("Sum","5802 Value Entry","43 Cost Amount (Actual)","41 Source Type",$C$5,"5 Source no.",$C219,"4 Item Ledger Entry Type",$C$4,"2 Item No.","@@"&amp;$F219,"3 Posting Date",O$9)</t>
  </si>
  <si>
    <t>=O219-Q219</t>
  </si>
  <si>
    <t>=IF(O219&lt;&gt;0,R219/O219,"")</t>
  </si>
  <si>
    <t>=NL("Sum","5802 Value Entry","150 Sales Amount (Expected)","41 Source Type",$C$5,"5 Source No.",$C219,"4 Item Ledger Entry Type",$C$4,"2 Item No.","@@"&amp;$F219,"3 Posting Date",U$9)+NL("Sum","5802 Value Entry","17 Sales Amount (Actual)","41 Source Type",$C$5,"5 Source no.",$C219,"4 Item Ledger Entry Type",$C$4,"2 Item No.","@@"&amp;$F219,"3 Posting Date",U$9)</t>
  </si>
  <si>
    <t>=-NL("Sum","5802 Value Entry","151 Cost Amount (Expected)","41 Source Type",$C$5,"5 Source No.",$C219,"4 Item Ledger Entry Type",$C$4,"2 Item No.","@@"&amp;$F219,"3 Posting Date",U$9)-NL("Sum","5802 Value Entry","43 Cost Amount (Actual)","41 Source Type",$C$5,"5 Source no.",$C219,"4 Item Ledger Entry Type",$C$4,"2 Item No.","@@"&amp;$F219,"3 Posting Date",U$9)</t>
  </si>
  <si>
    <t>=U219-W219</t>
  </si>
  <si>
    <t>=IF(U219&lt;&gt;0,X219/U219,"")</t>
  </si>
  <si>
    <t>=NL("Sum","5802 Value Entry","150 Sales Amount (Expected)","41 Source Type",$C$5,"5 Source No.",$C219,"4 Item Ledger Entry Type",$C$4,"2 Item No.","@@"&amp;$F219,"3 Posting Date",Z$9)+NL("Sum","5802 Value Entry","17 Sales Amount (Actual)","41 Source Type",$C$5,"5 Source no.",$C219,"4 Item Ledger Entry Type",$C$4,"2 Item No.","@@"&amp;$F219,"3 Posting Date",Z$9)</t>
  </si>
  <si>
    <t>=-NL("Sum","5802 Value Entry","151 Cost Amount (Expected)","41 Source Type",$C$5,"5 Source No.",$C219,"4 Item Ledger Entry Type",$C$4,"2 Item No.","@@"&amp;$F219,"3 Posting Date",Z$9)-NL("Sum","5802 Value Entry","43 Cost Amount (Actual)","41 Source Type",$C$5,"5 Source no.",$C219,"4 Item Ledger Entry Type",$C$4,"2 Item No.","@@"&amp;$F219,"3 Posting Date",Z$9)</t>
  </si>
  <si>
    <t>=Z219-AB219</t>
  </si>
  <si>
    <t>=IF(Z219&lt;&gt;0,AC219/Z219,"")</t>
  </si>
  <si>
    <t>=J221-L221</t>
  </si>
  <si>
    <t>=IF(J221&lt;&gt;0,M221/J221,"")</t>
  </si>
  <si>
    <t>=O221-Q221</t>
  </si>
  <si>
    <t>=IF(O221&lt;&gt;0,R221/O221,"")</t>
  </si>
  <si>
    <t>=U221-W221</t>
  </si>
  <si>
    <t>=IF(U221&lt;&gt;0,X221/U221,"")</t>
  </si>
  <si>
    <t>=Z221-AB221</t>
  </si>
  <si>
    <t>=IF(Z221&lt;&gt;0,AC221/Z221,"")</t>
  </si>
  <si>
    <t>=C223</t>
  </si>
  <si>
    <t>=NL("Sum","5802 Value Entry","150 Sales Amount (Expected)","41 Source Type",$C$5,"5 Source No.",$C225,"4 Item Ledger Entry Type",$C$4,"2 Item No.","@@"&amp;$F225,"3 Posting Date",J$9)+NL("Sum","5802 Value Entry","17 Sales Amount (Actual)","41 Source Type",$C$5,"5 Source no.",$C225,"4 Item Ledger Entry Type",$C$4,"2 Item No.","@@"&amp;$F225,"3 Posting Date",J$9)</t>
  </si>
  <si>
    <t>=-NL("Sum","5802 Value Entry","151 Cost Amount (Expected)","41 Source Type",$C$5,"5 Source No.",$C225,"4 Item Ledger Entry Type",$C$4,"2 Item No.","@@"&amp;$F225,"3 Posting Date",J$9)-NL("Sum","5802 Value Entry","43 Cost Amount (Actual)","41 Source Type",$C$5,"5 Source no.",$C225,"4 Item Ledger Entry Type",$C$4,"2 Item No.","@@"&amp;$F225,"3 Posting Date",J$9)</t>
  </si>
  <si>
    <t>=J225-L225</t>
  </si>
  <si>
    <t>=IF(J225&lt;&gt;0,M225/J225,"")</t>
  </si>
  <si>
    <t>=NL("Sum","5802 Value Entry","150 Sales Amount (Expected)","41 Source Type",$C$5,"5 Source No.",$C225,"4 Item Ledger Entry Type",$C$4,"2 Item No.","@@"&amp;$F225,"3 Posting Date",O$9)+NL("Sum","5802 Value Entry","17 Sales Amount (Actual)","41 Source Type",$C$5,"5 Source no.",$C225,"4 Item Ledger Entry Type",$C$4,"2 Item No.","@@"&amp;$F225,"3 Posting Date",O$9)</t>
  </si>
  <si>
    <t>=-NL("Sum","5802 Value Entry","151 Cost Amount (Expected)","41 Source Type",$C$5,"5 Source No.",$C225,"4 Item Ledger Entry Type",$C$4,"2 Item No.","@@"&amp;$F225,"3 Posting Date",O$9)-NL("Sum","5802 Value Entry","43 Cost Amount (Actual)","41 Source Type",$C$5,"5 Source no.",$C225,"4 Item Ledger Entry Type",$C$4,"2 Item No.","@@"&amp;$F225,"3 Posting Date",O$9)</t>
  </si>
  <si>
    <t>=O225-Q225</t>
  </si>
  <si>
    <t>=IF(O225&lt;&gt;0,R225/O225,"")</t>
  </si>
  <si>
    <t>=NL("Sum","5802 Value Entry","150 Sales Amount (Expected)","41 Source Type",$C$5,"5 Source No.",$C225,"4 Item Ledger Entry Type",$C$4,"2 Item No.","@@"&amp;$F225,"3 Posting Date",U$9)+NL("Sum","5802 Value Entry","17 Sales Amount (Actual)","41 Source Type",$C$5,"5 Source no.",$C225,"4 Item Ledger Entry Type",$C$4,"2 Item No.","@@"&amp;$F225,"3 Posting Date",U$9)</t>
  </si>
  <si>
    <t>=-NL("Sum","5802 Value Entry","151 Cost Amount (Expected)","41 Source Type",$C$5,"5 Source No.",$C225,"4 Item Ledger Entry Type",$C$4,"2 Item No.","@@"&amp;$F225,"3 Posting Date",U$9)-NL("Sum","5802 Value Entry","43 Cost Amount (Actual)","41 Source Type",$C$5,"5 Source no.",$C225,"4 Item Ledger Entry Type",$C$4,"2 Item No.","@@"&amp;$F225,"3 Posting Date",U$9)</t>
  </si>
  <si>
    <t>=U225-W225</t>
  </si>
  <si>
    <t>=IF(U225&lt;&gt;0,X225/U225,"")</t>
  </si>
  <si>
    <t>=NL("Sum","5802 Value Entry","150 Sales Amount (Expected)","41 Source Type",$C$5,"5 Source No.",$C225,"4 Item Ledger Entry Type",$C$4,"2 Item No.","@@"&amp;$F225,"3 Posting Date",Z$9)+NL("Sum","5802 Value Entry","17 Sales Amount (Actual)","41 Source Type",$C$5,"5 Source no.",$C225,"4 Item Ledger Entry Type",$C$4,"2 Item No.","@@"&amp;$F225,"3 Posting Date",Z$9)</t>
  </si>
  <si>
    <t>=-NL("Sum","5802 Value Entry","151 Cost Amount (Expected)","41 Source Type",$C$5,"5 Source No.",$C225,"4 Item Ledger Entry Type",$C$4,"2 Item No.","@@"&amp;$F225,"3 Posting Date",Z$9)-NL("Sum","5802 Value Entry","43 Cost Amount (Actual)","41 Source Type",$C$5,"5 Source no.",$C225,"4 Item Ledger Entry Type",$C$4,"2 Item No.","@@"&amp;$F225,"3 Posting Date",Z$9)</t>
  </si>
  <si>
    <t>=Z225-AB225</t>
  </si>
  <si>
    <t>=IF(Z225&lt;&gt;0,AC225/Z225,"")</t>
  </si>
  <si>
    <t>=NL("Sum","5802 Value Entry","150 Sales Amount (Expected)","41 Source Type",$C$5,"5 Source No.",$C226,"4 Item Ledger Entry Type",$C$4,"2 Item No.","@@"&amp;$F226,"3 Posting Date",J$9)+NL("Sum","5802 Value Entry","17 Sales Amount (Actual)","41 Source Type",$C$5,"5 Source no.",$C226,"4 Item Ledger Entry Type",$C$4,"2 Item No.","@@"&amp;$F226,"3 Posting Date",J$9)</t>
  </si>
  <si>
    <t>=-NL("Sum","5802 Value Entry","151 Cost Amount (Expected)","41 Source Type",$C$5,"5 Source No.",$C226,"4 Item Ledger Entry Type",$C$4,"2 Item No.","@@"&amp;$F226,"3 Posting Date",J$9)-NL("Sum","5802 Value Entry","43 Cost Amount (Actual)","41 Source Type",$C$5,"5 Source no.",$C226,"4 Item Ledger Entry Type",$C$4,"2 Item No.","@@"&amp;$F226,"3 Posting Date",J$9)</t>
  </si>
  <si>
    <t>=NL("Sum","5802 Value Entry","150 Sales Amount (Expected)","41 Source Type",$C$5,"5 Source No.",$C226,"4 Item Ledger Entry Type",$C$4,"2 Item No.","@@"&amp;$F226,"3 Posting Date",O$9)+NL("Sum","5802 Value Entry","17 Sales Amount (Actual)","41 Source Type",$C$5,"5 Source no.",$C226,"4 Item Ledger Entry Type",$C$4,"2 Item No.","@@"&amp;$F226,"3 Posting Date",O$9)</t>
  </si>
  <si>
    <t>=-NL("Sum","5802 Value Entry","151 Cost Amount (Expected)","41 Source Type",$C$5,"5 Source No.",$C226,"4 Item Ledger Entry Type",$C$4,"2 Item No.","@@"&amp;$F226,"3 Posting Date",O$9)-NL("Sum","5802 Value Entry","43 Cost Amount (Actual)","41 Source Type",$C$5,"5 Source no.",$C226,"4 Item Ledger Entry Type",$C$4,"2 Item No.","@@"&amp;$F226,"3 Posting Date",O$9)</t>
  </si>
  <si>
    <t>=NL("Sum","5802 Value Entry","150 Sales Amount (Expected)","41 Source Type",$C$5,"5 Source No.",$C226,"4 Item Ledger Entry Type",$C$4,"2 Item No.","@@"&amp;$F226,"3 Posting Date",U$9)+NL("Sum","5802 Value Entry","17 Sales Amount (Actual)","41 Source Type",$C$5,"5 Source no.",$C226,"4 Item Ledger Entry Type",$C$4,"2 Item No.","@@"&amp;$F226,"3 Posting Date",U$9)</t>
  </si>
  <si>
    <t>=-NL("Sum","5802 Value Entry","151 Cost Amount (Expected)","41 Source Type",$C$5,"5 Source No.",$C226,"4 Item Ledger Entry Type",$C$4,"2 Item No.","@@"&amp;$F226,"3 Posting Date",U$9)-NL("Sum","5802 Value Entry","43 Cost Amount (Actual)","41 Source Type",$C$5,"5 Source no.",$C226,"4 Item Ledger Entry Type",$C$4,"2 Item No.","@@"&amp;$F226,"3 Posting Date",U$9)</t>
  </si>
  <si>
    <t>=NL("Sum","5802 Value Entry","150 Sales Amount (Expected)","41 Source Type",$C$5,"5 Source No.",$C226,"4 Item Ledger Entry Type",$C$4,"2 Item No.","@@"&amp;$F226,"3 Posting Date",Z$9)+NL("Sum","5802 Value Entry","17 Sales Amount (Actual)","41 Source Type",$C$5,"5 Source no.",$C226,"4 Item Ledger Entry Type",$C$4,"2 Item No.","@@"&amp;$F226,"3 Posting Date",Z$9)</t>
  </si>
  <si>
    <t>=-NL("Sum","5802 Value Entry","151 Cost Amount (Expected)","41 Source Type",$C$5,"5 Source No.",$C226,"4 Item Ledger Entry Type",$C$4,"2 Item No.","@@"&amp;$F226,"3 Posting Date",Z$9)-NL("Sum","5802 Value Entry","43 Cost Amount (Actual)","41 Source Type",$C$5,"5 Source no.",$C226,"4 Item Ledger Entry Type",$C$4,"2 Item No.","@@"&amp;$F226,"3 Posting Date",Z$9)</t>
  </si>
  <si>
    <t>=NL("Sum","5802 Value Entry","150 Sales Amount (Expected)","41 Source Type",$C$5,"5 Source No.",$C227,"4 Item Ledger Entry Type",$C$4,"2 Item No.","@@"&amp;$F227,"3 Posting Date",J$9)+NL("Sum","5802 Value Entry","17 Sales Amount (Actual)","41 Source Type",$C$5,"5 Source no.",$C227,"4 Item Ledger Entry Type",$C$4,"2 Item No.","@@"&amp;$F227,"3 Posting Date",J$9)</t>
  </si>
  <si>
    <t>=-NL("Sum","5802 Value Entry","151 Cost Amount (Expected)","41 Source Type",$C$5,"5 Source No.",$C227,"4 Item Ledger Entry Type",$C$4,"2 Item No.","@@"&amp;$F227,"3 Posting Date",J$9)-NL("Sum","5802 Value Entry","43 Cost Amount (Actual)","41 Source Type",$C$5,"5 Source no.",$C227,"4 Item Ledger Entry Type",$C$4,"2 Item No.","@@"&amp;$F227,"3 Posting Date",J$9)</t>
  </si>
  <si>
    <t>=J227-L227</t>
  </si>
  <si>
    <t>=IF(J227&lt;&gt;0,M227/J227,"")</t>
  </si>
  <si>
    <t>=NL("Sum","5802 Value Entry","150 Sales Amount (Expected)","41 Source Type",$C$5,"5 Source No.",$C227,"4 Item Ledger Entry Type",$C$4,"2 Item No.","@@"&amp;$F227,"3 Posting Date",O$9)+NL("Sum","5802 Value Entry","17 Sales Amount (Actual)","41 Source Type",$C$5,"5 Source no.",$C227,"4 Item Ledger Entry Type",$C$4,"2 Item No.","@@"&amp;$F227,"3 Posting Date",O$9)</t>
  </si>
  <si>
    <t>=-NL("Sum","5802 Value Entry","151 Cost Amount (Expected)","41 Source Type",$C$5,"5 Source No.",$C227,"4 Item Ledger Entry Type",$C$4,"2 Item No.","@@"&amp;$F227,"3 Posting Date",O$9)-NL("Sum","5802 Value Entry","43 Cost Amount (Actual)","41 Source Type",$C$5,"5 Source no.",$C227,"4 Item Ledger Entry Type",$C$4,"2 Item No.","@@"&amp;$F227,"3 Posting Date",O$9)</t>
  </si>
  <si>
    <t>=O227-Q227</t>
  </si>
  <si>
    <t>=IF(O227&lt;&gt;0,R227/O227,"")</t>
  </si>
  <si>
    <t>=NL("Sum","5802 Value Entry","150 Sales Amount (Expected)","41 Source Type",$C$5,"5 Source No.",$C227,"4 Item Ledger Entry Type",$C$4,"2 Item No.","@@"&amp;$F227,"3 Posting Date",U$9)+NL("Sum","5802 Value Entry","17 Sales Amount (Actual)","41 Source Type",$C$5,"5 Source no.",$C227,"4 Item Ledger Entry Type",$C$4,"2 Item No.","@@"&amp;$F227,"3 Posting Date",U$9)</t>
  </si>
  <si>
    <t>=-NL("Sum","5802 Value Entry","151 Cost Amount (Expected)","41 Source Type",$C$5,"5 Source No.",$C227,"4 Item Ledger Entry Type",$C$4,"2 Item No.","@@"&amp;$F227,"3 Posting Date",U$9)-NL("Sum","5802 Value Entry","43 Cost Amount (Actual)","41 Source Type",$C$5,"5 Source no.",$C227,"4 Item Ledger Entry Type",$C$4,"2 Item No.","@@"&amp;$F227,"3 Posting Date",U$9)</t>
  </si>
  <si>
    <t>=U227-W227</t>
  </si>
  <si>
    <t>=IF(U227&lt;&gt;0,X227/U227,"")</t>
  </si>
  <si>
    <t>=NL("Sum","5802 Value Entry","150 Sales Amount (Expected)","41 Source Type",$C$5,"5 Source No.",$C227,"4 Item Ledger Entry Type",$C$4,"2 Item No.","@@"&amp;$F227,"3 Posting Date",Z$9)+NL("Sum","5802 Value Entry","17 Sales Amount (Actual)","41 Source Type",$C$5,"5 Source no.",$C227,"4 Item Ledger Entry Type",$C$4,"2 Item No.","@@"&amp;$F227,"3 Posting Date",Z$9)</t>
  </si>
  <si>
    <t>=-NL("Sum","5802 Value Entry","151 Cost Amount (Expected)","41 Source Type",$C$5,"5 Source No.",$C227,"4 Item Ledger Entry Type",$C$4,"2 Item No.","@@"&amp;$F227,"3 Posting Date",Z$9)-NL("Sum","5802 Value Entry","43 Cost Amount (Actual)","41 Source Type",$C$5,"5 Source no.",$C227,"4 Item Ledger Entry Type",$C$4,"2 Item No.","@@"&amp;$F227,"3 Posting Date",Z$9)</t>
  </si>
  <si>
    <t>=Z227-AB227</t>
  </si>
  <si>
    <t>=IF(Z227&lt;&gt;0,AC227/Z227,"")</t>
  </si>
  <si>
    <t>=NL("Sum","5802 Value Entry","150 Sales Amount (Expected)","41 Source Type",$C$5,"5 Source No.",$C228,"4 Item Ledger Entry Type",$C$4,"2 Item No.","@@"&amp;$F228,"3 Posting Date",J$9)+NL("Sum","5802 Value Entry","17 Sales Amount (Actual)","41 Source Type",$C$5,"5 Source no.",$C228,"4 Item Ledger Entry Type",$C$4,"2 Item No.","@@"&amp;$F228,"3 Posting Date",J$9)</t>
  </si>
  <si>
    <t>=-NL("Sum","5802 Value Entry","151 Cost Amount (Expected)","41 Source Type",$C$5,"5 Source No.",$C228,"4 Item Ledger Entry Type",$C$4,"2 Item No.","@@"&amp;$F228,"3 Posting Date",J$9)-NL("Sum","5802 Value Entry","43 Cost Amount (Actual)","41 Source Type",$C$5,"5 Source no.",$C228,"4 Item Ledger Entry Type",$C$4,"2 Item No.","@@"&amp;$F228,"3 Posting Date",J$9)</t>
  </si>
  <si>
    <t>=NL("Sum","5802 Value Entry","150 Sales Amount (Expected)","41 Source Type",$C$5,"5 Source No.",$C228,"4 Item Ledger Entry Type",$C$4,"2 Item No.","@@"&amp;$F228,"3 Posting Date",O$9)+NL("Sum","5802 Value Entry","17 Sales Amount (Actual)","41 Source Type",$C$5,"5 Source no.",$C228,"4 Item Ledger Entry Type",$C$4,"2 Item No.","@@"&amp;$F228,"3 Posting Date",O$9)</t>
  </si>
  <si>
    <t>=-NL("Sum","5802 Value Entry","151 Cost Amount (Expected)","41 Source Type",$C$5,"5 Source No.",$C228,"4 Item Ledger Entry Type",$C$4,"2 Item No.","@@"&amp;$F228,"3 Posting Date",O$9)-NL("Sum","5802 Value Entry","43 Cost Amount (Actual)","41 Source Type",$C$5,"5 Source no.",$C228,"4 Item Ledger Entry Type",$C$4,"2 Item No.","@@"&amp;$F228,"3 Posting Date",O$9)</t>
  </si>
  <si>
    <t>=NL("Sum","5802 Value Entry","150 Sales Amount (Expected)","41 Source Type",$C$5,"5 Source No.",$C228,"4 Item Ledger Entry Type",$C$4,"2 Item No.","@@"&amp;$F228,"3 Posting Date",U$9)+NL("Sum","5802 Value Entry","17 Sales Amount (Actual)","41 Source Type",$C$5,"5 Source no.",$C228,"4 Item Ledger Entry Type",$C$4,"2 Item No.","@@"&amp;$F228,"3 Posting Date",U$9)</t>
  </si>
  <si>
    <t>=-NL("Sum","5802 Value Entry","151 Cost Amount (Expected)","41 Source Type",$C$5,"5 Source No.",$C228,"4 Item Ledger Entry Type",$C$4,"2 Item No.","@@"&amp;$F228,"3 Posting Date",U$9)-NL("Sum","5802 Value Entry","43 Cost Amount (Actual)","41 Source Type",$C$5,"5 Source no.",$C228,"4 Item Ledger Entry Type",$C$4,"2 Item No.","@@"&amp;$F228,"3 Posting Date",U$9)</t>
  </si>
  <si>
    <t>=NL("Sum","5802 Value Entry","150 Sales Amount (Expected)","41 Source Type",$C$5,"5 Source No.",$C228,"4 Item Ledger Entry Type",$C$4,"2 Item No.","@@"&amp;$F228,"3 Posting Date",Z$9)+NL("Sum","5802 Value Entry","17 Sales Amount (Actual)","41 Source Type",$C$5,"5 Source no.",$C228,"4 Item Ledger Entry Type",$C$4,"2 Item No.","@@"&amp;$F228,"3 Posting Date",Z$9)</t>
  </si>
  <si>
    <t>=-NL("Sum","5802 Value Entry","151 Cost Amount (Expected)","41 Source Type",$C$5,"5 Source No.",$C228,"4 Item Ledger Entry Type",$C$4,"2 Item No.","@@"&amp;$F228,"3 Posting Date",Z$9)-NL("Sum","5802 Value Entry","43 Cost Amount (Actual)","41 Source Type",$C$5,"5 Source no.",$C228,"4 Item Ledger Entry Type",$C$4,"2 Item No.","@@"&amp;$F228,"3 Posting Date",Z$9)</t>
  </si>
  <si>
    <t>=C228</t>
  </si>
  <si>
    <t>=NL("Sum","5802 Value Entry","150 Sales Amount (Expected)","41 Source Type",$C$5,"5 Source No.",$C229,"4 Item Ledger Entry Type",$C$4,"2 Item No.","@@"&amp;$F229,"3 Posting Date",J$9)+NL("Sum","5802 Value Entry","17 Sales Amount (Actual)","41 Source Type",$C$5,"5 Source no.",$C229,"4 Item Ledger Entry Type",$C$4,"2 Item No.","@@"&amp;$F229,"3 Posting Date",J$9)</t>
  </si>
  <si>
    <t>=-NL("Sum","5802 Value Entry","151 Cost Amount (Expected)","41 Source Type",$C$5,"5 Source No.",$C229,"4 Item Ledger Entry Type",$C$4,"2 Item No.","@@"&amp;$F229,"3 Posting Date",J$9)-NL("Sum","5802 Value Entry","43 Cost Amount (Actual)","41 Source Type",$C$5,"5 Source no.",$C229,"4 Item Ledger Entry Type",$C$4,"2 Item No.","@@"&amp;$F229,"3 Posting Date",J$9)</t>
  </si>
  <si>
    <t>=J229-L229</t>
  </si>
  <si>
    <t>=IF(J229&lt;&gt;0,M229/J229,"")</t>
  </si>
  <si>
    <t>=NL("Sum","5802 Value Entry","150 Sales Amount (Expected)","41 Source Type",$C$5,"5 Source No.",$C229,"4 Item Ledger Entry Type",$C$4,"2 Item No.","@@"&amp;$F229,"3 Posting Date",O$9)+NL("Sum","5802 Value Entry","17 Sales Amount (Actual)","41 Source Type",$C$5,"5 Source no.",$C229,"4 Item Ledger Entry Type",$C$4,"2 Item No.","@@"&amp;$F229,"3 Posting Date",O$9)</t>
  </si>
  <si>
    <t>=-NL("Sum","5802 Value Entry","151 Cost Amount (Expected)","41 Source Type",$C$5,"5 Source No.",$C229,"4 Item Ledger Entry Type",$C$4,"2 Item No.","@@"&amp;$F229,"3 Posting Date",O$9)-NL("Sum","5802 Value Entry","43 Cost Amount (Actual)","41 Source Type",$C$5,"5 Source no.",$C229,"4 Item Ledger Entry Type",$C$4,"2 Item No.","@@"&amp;$F229,"3 Posting Date",O$9)</t>
  </si>
  <si>
    <t>=O229-Q229</t>
  </si>
  <si>
    <t>=IF(O229&lt;&gt;0,R229/O229,"")</t>
  </si>
  <si>
    <t>=NL("Sum","5802 Value Entry","150 Sales Amount (Expected)","41 Source Type",$C$5,"5 Source No.",$C229,"4 Item Ledger Entry Type",$C$4,"2 Item No.","@@"&amp;$F229,"3 Posting Date",U$9)+NL("Sum","5802 Value Entry","17 Sales Amount (Actual)","41 Source Type",$C$5,"5 Source no.",$C229,"4 Item Ledger Entry Type",$C$4,"2 Item No.","@@"&amp;$F229,"3 Posting Date",U$9)</t>
  </si>
  <si>
    <t>=-NL("Sum","5802 Value Entry","151 Cost Amount (Expected)","41 Source Type",$C$5,"5 Source No.",$C229,"4 Item Ledger Entry Type",$C$4,"2 Item No.","@@"&amp;$F229,"3 Posting Date",U$9)-NL("Sum","5802 Value Entry","43 Cost Amount (Actual)","41 Source Type",$C$5,"5 Source no.",$C229,"4 Item Ledger Entry Type",$C$4,"2 Item No.","@@"&amp;$F229,"3 Posting Date",U$9)</t>
  </si>
  <si>
    <t>=U229-W229</t>
  </si>
  <si>
    <t>=IF(U229&lt;&gt;0,X229/U229,"")</t>
  </si>
  <si>
    <t>=NL("Sum","5802 Value Entry","150 Sales Amount (Expected)","41 Source Type",$C$5,"5 Source No.",$C229,"4 Item Ledger Entry Type",$C$4,"2 Item No.","@@"&amp;$F229,"3 Posting Date",Z$9)+NL("Sum","5802 Value Entry","17 Sales Amount (Actual)","41 Source Type",$C$5,"5 Source no.",$C229,"4 Item Ledger Entry Type",$C$4,"2 Item No.","@@"&amp;$F229,"3 Posting Date",Z$9)</t>
  </si>
  <si>
    <t>=-NL("Sum","5802 Value Entry","151 Cost Amount (Expected)","41 Source Type",$C$5,"5 Source No.",$C229,"4 Item Ledger Entry Type",$C$4,"2 Item No.","@@"&amp;$F229,"3 Posting Date",Z$9)-NL("Sum","5802 Value Entry","43 Cost Amount (Actual)","41 Source Type",$C$5,"5 Source no.",$C229,"4 Item Ledger Entry Type",$C$4,"2 Item No.","@@"&amp;$F229,"3 Posting Date",Z$9)</t>
  </si>
  <si>
    <t>=Z229-AB229</t>
  </si>
  <si>
    <t>=IF(Z229&lt;&gt;0,AC229/Z229,"")</t>
  </si>
  <si>
    <t>=C229</t>
  </si>
  <si>
    <t>=NL("Sum","5802 Value Entry","150 Sales Amount (Expected)","41 Source Type",$C$5,"5 Source No.",$C230,"4 Item Ledger Entry Type",$C$4,"2 Item No.","@@"&amp;$F230,"3 Posting Date",J$9)+NL("Sum","5802 Value Entry","17 Sales Amount (Actual)","41 Source Type",$C$5,"5 Source no.",$C230,"4 Item Ledger Entry Type",$C$4,"2 Item No.","@@"&amp;$F230,"3 Posting Date",J$9)</t>
  </si>
  <si>
    <t>=-NL("Sum","5802 Value Entry","151 Cost Amount (Expected)","41 Source Type",$C$5,"5 Source No.",$C230,"4 Item Ledger Entry Type",$C$4,"2 Item No.","@@"&amp;$F230,"3 Posting Date",J$9)-NL("Sum","5802 Value Entry","43 Cost Amount (Actual)","41 Source Type",$C$5,"5 Source no.",$C230,"4 Item Ledger Entry Type",$C$4,"2 Item No.","@@"&amp;$F230,"3 Posting Date",J$9)</t>
  </si>
  <si>
    <t>=J230-L230</t>
  </si>
  <si>
    <t>=IF(J230&lt;&gt;0,M230/J230,"")</t>
  </si>
  <si>
    <t>=NL("Sum","5802 Value Entry","150 Sales Amount (Expected)","41 Source Type",$C$5,"5 Source No.",$C230,"4 Item Ledger Entry Type",$C$4,"2 Item No.","@@"&amp;$F230,"3 Posting Date",O$9)+NL("Sum","5802 Value Entry","17 Sales Amount (Actual)","41 Source Type",$C$5,"5 Source no.",$C230,"4 Item Ledger Entry Type",$C$4,"2 Item No.","@@"&amp;$F230,"3 Posting Date",O$9)</t>
  </si>
  <si>
    <t>=-NL("Sum","5802 Value Entry","151 Cost Amount (Expected)","41 Source Type",$C$5,"5 Source No.",$C230,"4 Item Ledger Entry Type",$C$4,"2 Item No.","@@"&amp;$F230,"3 Posting Date",O$9)-NL("Sum","5802 Value Entry","43 Cost Amount (Actual)","41 Source Type",$C$5,"5 Source no.",$C230,"4 Item Ledger Entry Type",$C$4,"2 Item No.","@@"&amp;$F230,"3 Posting Date",O$9)</t>
  </si>
  <si>
    <t>=O230-Q230</t>
  </si>
  <si>
    <t>=IF(O230&lt;&gt;0,R230/O230,"")</t>
  </si>
  <si>
    <t>=NL("Sum","5802 Value Entry","150 Sales Amount (Expected)","41 Source Type",$C$5,"5 Source No.",$C230,"4 Item Ledger Entry Type",$C$4,"2 Item No.","@@"&amp;$F230,"3 Posting Date",U$9)+NL("Sum","5802 Value Entry","17 Sales Amount (Actual)","41 Source Type",$C$5,"5 Source no.",$C230,"4 Item Ledger Entry Type",$C$4,"2 Item No.","@@"&amp;$F230,"3 Posting Date",U$9)</t>
  </si>
  <si>
    <t>=-NL("Sum","5802 Value Entry","151 Cost Amount (Expected)","41 Source Type",$C$5,"5 Source No.",$C230,"4 Item Ledger Entry Type",$C$4,"2 Item No.","@@"&amp;$F230,"3 Posting Date",U$9)-NL("Sum","5802 Value Entry","43 Cost Amount (Actual)","41 Source Type",$C$5,"5 Source no.",$C230,"4 Item Ledger Entry Type",$C$4,"2 Item No.","@@"&amp;$F230,"3 Posting Date",U$9)</t>
  </si>
  <si>
    <t>=U230-W230</t>
  </si>
  <si>
    <t>=IF(U230&lt;&gt;0,X230/U230,"")</t>
  </si>
  <si>
    <t>=NL("Sum","5802 Value Entry","150 Sales Amount (Expected)","41 Source Type",$C$5,"5 Source No.",$C230,"4 Item Ledger Entry Type",$C$4,"2 Item No.","@@"&amp;$F230,"3 Posting Date",Z$9)+NL("Sum","5802 Value Entry","17 Sales Amount (Actual)","41 Source Type",$C$5,"5 Source no.",$C230,"4 Item Ledger Entry Type",$C$4,"2 Item No.","@@"&amp;$F230,"3 Posting Date",Z$9)</t>
  </si>
  <si>
    <t>=-NL("Sum","5802 Value Entry","151 Cost Amount (Expected)","41 Source Type",$C$5,"5 Source No.",$C230,"4 Item Ledger Entry Type",$C$4,"2 Item No.","@@"&amp;$F230,"3 Posting Date",Z$9)-NL("Sum","5802 Value Entry","43 Cost Amount (Actual)","41 Source Type",$C$5,"5 Source no.",$C230,"4 Item Ledger Entry Type",$C$4,"2 Item No.","@@"&amp;$F230,"3 Posting Date",Z$9)</t>
  </si>
  <si>
    <t>=Z230-AB230</t>
  </si>
  <si>
    <t>=IF(Z230&lt;&gt;0,AC230/Z230,"")</t>
  </si>
  <si>
    <t>=C234</t>
  </si>
  <si>
    <t>=C235</t>
  </si>
  <si>
    <t>=NL("Sum","5802 Value Entry","150 Sales Amount (Expected)","41 Source Type",$C$5,"5 Source No.",$C236,"4 Item Ledger Entry Type",$C$4,"2 Item No.","@@"&amp;$F236,"3 Posting Date",J$9)+NL("Sum","5802 Value Entry","17 Sales Amount (Actual)","41 Source Type",$C$5,"5 Source no.",$C236,"4 Item Ledger Entry Type",$C$4,"2 Item No.","@@"&amp;$F236,"3 Posting Date",J$9)</t>
  </si>
  <si>
    <t>=-NL("Sum","5802 Value Entry","151 Cost Amount (Expected)","41 Source Type",$C$5,"5 Source No.",$C236,"4 Item Ledger Entry Type",$C$4,"2 Item No.","@@"&amp;$F236,"3 Posting Date",J$9)-NL("Sum","5802 Value Entry","43 Cost Amount (Actual)","41 Source Type",$C$5,"5 Source no.",$C236,"4 Item Ledger Entry Type",$C$4,"2 Item No.","@@"&amp;$F236,"3 Posting Date",J$9)</t>
  </si>
  <si>
    <t>=NL("Sum","5802 Value Entry","150 Sales Amount (Expected)","41 Source Type",$C$5,"5 Source No.",$C236,"4 Item Ledger Entry Type",$C$4,"2 Item No.","@@"&amp;$F236,"3 Posting Date",O$9)+NL("Sum","5802 Value Entry","17 Sales Amount (Actual)","41 Source Type",$C$5,"5 Source no.",$C236,"4 Item Ledger Entry Type",$C$4,"2 Item No.","@@"&amp;$F236,"3 Posting Date",O$9)</t>
  </si>
  <si>
    <t>=-NL("Sum","5802 Value Entry","151 Cost Amount (Expected)","41 Source Type",$C$5,"5 Source No.",$C236,"4 Item Ledger Entry Type",$C$4,"2 Item No.","@@"&amp;$F236,"3 Posting Date",O$9)-NL("Sum","5802 Value Entry","43 Cost Amount (Actual)","41 Source Type",$C$5,"5 Source no.",$C236,"4 Item Ledger Entry Type",$C$4,"2 Item No.","@@"&amp;$F236,"3 Posting Date",O$9)</t>
  </si>
  <si>
    <t>=NL("Sum","5802 Value Entry","150 Sales Amount (Expected)","41 Source Type",$C$5,"5 Source No.",$C236,"4 Item Ledger Entry Type",$C$4,"2 Item No.","@@"&amp;$F236,"3 Posting Date",U$9)+NL("Sum","5802 Value Entry","17 Sales Amount (Actual)","41 Source Type",$C$5,"5 Source no.",$C236,"4 Item Ledger Entry Type",$C$4,"2 Item No.","@@"&amp;$F236,"3 Posting Date",U$9)</t>
  </si>
  <si>
    <t>=-NL("Sum","5802 Value Entry","151 Cost Amount (Expected)","41 Source Type",$C$5,"5 Source No.",$C236,"4 Item Ledger Entry Type",$C$4,"2 Item No.","@@"&amp;$F236,"3 Posting Date",U$9)-NL("Sum","5802 Value Entry","43 Cost Amount (Actual)","41 Source Type",$C$5,"5 Source no.",$C236,"4 Item Ledger Entry Type",$C$4,"2 Item No.","@@"&amp;$F236,"3 Posting Date",U$9)</t>
  </si>
  <si>
    <t>=NL("Sum","5802 Value Entry","150 Sales Amount (Expected)","41 Source Type",$C$5,"5 Source No.",$C236,"4 Item Ledger Entry Type",$C$4,"2 Item No.","@@"&amp;$F236,"3 Posting Date",Z$9)+NL("Sum","5802 Value Entry","17 Sales Amount (Actual)","41 Source Type",$C$5,"5 Source no.",$C236,"4 Item Ledger Entry Type",$C$4,"2 Item No.","@@"&amp;$F236,"3 Posting Date",Z$9)</t>
  </si>
  <si>
    <t>=-NL("Sum","5802 Value Entry","151 Cost Amount (Expected)","41 Source Type",$C$5,"5 Source No.",$C236,"4 Item Ledger Entry Type",$C$4,"2 Item No.","@@"&amp;$F236,"3 Posting Date",Z$9)-NL("Sum","5802 Value Entry","43 Cost Amount (Actual)","41 Source Type",$C$5,"5 Source no.",$C236,"4 Item Ledger Entry Type",$C$4,"2 Item No.","@@"&amp;$F236,"3 Posting Date",Z$9)</t>
  </si>
  <si>
    <t>=C236</t>
  </si>
  <si>
    <t>=NL("Sum","5802 Value Entry","150 Sales Amount (Expected)","41 Source Type",$C$5,"5 Source No.",$C237,"4 Item Ledger Entry Type",$C$4,"2 Item No.","@@"&amp;$F237,"3 Posting Date",J$9)+NL("Sum","5802 Value Entry","17 Sales Amount (Actual)","41 Source Type",$C$5,"5 Source no.",$C237,"4 Item Ledger Entry Type",$C$4,"2 Item No.","@@"&amp;$F237,"3 Posting Date",J$9)</t>
  </si>
  <si>
    <t>=-NL("Sum","5802 Value Entry","151 Cost Amount (Expected)","41 Source Type",$C$5,"5 Source No.",$C237,"4 Item Ledger Entry Type",$C$4,"2 Item No.","@@"&amp;$F237,"3 Posting Date",J$9)-NL("Sum","5802 Value Entry","43 Cost Amount (Actual)","41 Source Type",$C$5,"5 Source no.",$C237,"4 Item Ledger Entry Type",$C$4,"2 Item No.","@@"&amp;$F237,"3 Posting Date",J$9)</t>
  </si>
  <si>
    <t>=J237-L237</t>
  </si>
  <si>
    <t>=IF(J237&lt;&gt;0,M237/J237,"")</t>
  </si>
  <si>
    <t>=NL("Sum","5802 Value Entry","150 Sales Amount (Expected)","41 Source Type",$C$5,"5 Source No.",$C237,"4 Item Ledger Entry Type",$C$4,"2 Item No.","@@"&amp;$F237,"3 Posting Date",O$9)+NL("Sum","5802 Value Entry","17 Sales Amount (Actual)","41 Source Type",$C$5,"5 Source no.",$C237,"4 Item Ledger Entry Type",$C$4,"2 Item No.","@@"&amp;$F237,"3 Posting Date",O$9)</t>
  </si>
  <si>
    <t>=-NL("Sum","5802 Value Entry","151 Cost Amount (Expected)","41 Source Type",$C$5,"5 Source No.",$C237,"4 Item Ledger Entry Type",$C$4,"2 Item No.","@@"&amp;$F237,"3 Posting Date",O$9)-NL("Sum","5802 Value Entry","43 Cost Amount (Actual)","41 Source Type",$C$5,"5 Source no.",$C237,"4 Item Ledger Entry Type",$C$4,"2 Item No.","@@"&amp;$F237,"3 Posting Date",O$9)</t>
  </si>
  <si>
    <t>=O237-Q237</t>
  </si>
  <si>
    <t>=IF(O237&lt;&gt;0,R237/O237,"")</t>
  </si>
  <si>
    <t>=NL("Sum","5802 Value Entry","150 Sales Amount (Expected)","41 Source Type",$C$5,"5 Source No.",$C237,"4 Item Ledger Entry Type",$C$4,"2 Item No.","@@"&amp;$F237,"3 Posting Date",U$9)+NL("Sum","5802 Value Entry","17 Sales Amount (Actual)","41 Source Type",$C$5,"5 Source no.",$C237,"4 Item Ledger Entry Type",$C$4,"2 Item No.","@@"&amp;$F237,"3 Posting Date",U$9)</t>
  </si>
  <si>
    <t>=-NL("Sum","5802 Value Entry","151 Cost Amount (Expected)","41 Source Type",$C$5,"5 Source No.",$C237,"4 Item Ledger Entry Type",$C$4,"2 Item No.","@@"&amp;$F237,"3 Posting Date",U$9)-NL("Sum","5802 Value Entry","43 Cost Amount (Actual)","41 Source Type",$C$5,"5 Source no.",$C237,"4 Item Ledger Entry Type",$C$4,"2 Item No.","@@"&amp;$F237,"3 Posting Date",U$9)</t>
  </si>
  <si>
    <t>=U237-W237</t>
  </si>
  <si>
    <t>=IF(U237&lt;&gt;0,X237/U237,"")</t>
  </si>
  <si>
    <t>=NL("Sum","5802 Value Entry","150 Sales Amount (Expected)","41 Source Type",$C$5,"5 Source No.",$C237,"4 Item Ledger Entry Type",$C$4,"2 Item No.","@@"&amp;$F237,"3 Posting Date",Z$9)+NL("Sum","5802 Value Entry","17 Sales Amount (Actual)","41 Source Type",$C$5,"5 Source no.",$C237,"4 Item Ledger Entry Type",$C$4,"2 Item No.","@@"&amp;$F237,"3 Posting Date",Z$9)</t>
  </si>
  <si>
    <t>=-NL("Sum","5802 Value Entry","151 Cost Amount (Expected)","41 Source Type",$C$5,"5 Source No.",$C237,"4 Item Ledger Entry Type",$C$4,"2 Item No.","@@"&amp;$F237,"3 Posting Date",Z$9)-NL("Sum","5802 Value Entry","43 Cost Amount (Actual)","41 Source Type",$C$5,"5 Source no.",$C237,"4 Item Ledger Entry Type",$C$4,"2 Item No.","@@"&amp;$F237,"3 Posting Date",Z$9)</t>
  </si>
  <si>
    <t>=Z237-AB237</t>
  </si>
  <si>
    <t>=IF(Z237&lt;&gt;0,AC237/Z237,"")</t>
  </si>
  <si>
    <t>=C237</t>
  </si>
  <si>
    <t>=NL("Sum","5802 Value Entry","150 Sales Amount (Expected)","41 Source Type",$C$5,"5 Source No.",$C238,"4 Item Ledger Entry Type",$C$4,"2 Item No.","@@"&amp;$F238,"3 Posting Date",J$9)+NL("Sum","5802 Value Entry","17 Sales Amount (Actual)","41 Source Type",$C$5,"5 Source no.",$C238,"4 Item Ledger Entry Type",$C$4,"2 Item No.","@@"&amp;$F238,"3 Posting Date",J$9)</t>
  </si>
  <si>
    <t>=-NL("Sum","5802 Value Entry","151 Cost Amount (Expected)","41 Source Type",$C$5,"5 Source No.",$C238,"4 Item Ledger Entry Type",$C$4,"2 Item No.","@@"&amp;$F238,"3 Posting Date",J$9)-NL("Sum","5802 Value Entry","43 Cost Amount (Actual)","41 Source Type",$C$5,"5 Source no.",$C238,"4 Item Ledger Entry Type",$C$4,"2 Item No.","@@"&amp;$F238,"3 Posting Date",J$9)</t>
  </si>
  <si>
    <t>=J238-L238</t>
  </si>
  <si>
    <t>=IF(J238&lt;&gt;0,M238/J238,"")</t>
  </si>
  <si>
    <t>=NL("Sum","5802 Value Entry","150 Sales Amount (Expected)","41 Source Type",$C$5,"5 Source No.",$C238,"4 Item Ledger Entry Type",$C$4,"2 Item No.","@@"&amp;$F238,"3 Posting Date",O$9)+NL("Sum","5802 Value Entry","17 Sales Amount (Actual)","41 Source Type",$C$5,"5 Source no.",$C238,"4 Item Ledger Entry Type",$C$4,"2 Item No.","@@"&amp;$F238,"3 Posting Date",O$9)</t>
  </si>
  <si>
    <t>=-NL("Sum","5802 Value Entry","151 Cost Amount (Expected)","41 Source Type",$C$5,"5 Source No.",$C238,"4 Item Ledger Entry Type",$C$4,"2 Item No.","@@"&amp;$F238,"3 Posting Date",O$9)-NL("Sum","5802 Value Entry","43 Cost Amount (Actual)","41 Source Type",$C$5,"5 Source no.",$C238,"4 Item Ledger Entry Type",$C$4,"2 Item No.","@@"&amp;$F238,"3 Posting Date",O$9)</t>
  </si>
  <si>
    <t>=O238-Q238</t>
  </si>
  <si>
    <t>=IF(O238&lt;&gt;0,R238/O238,"")</t>
  </si>
  <si>
    <t>=NL("Sum","5802 Value Entry","150 Sales Amount (Expected)","41 Source Type",$C$5,"5 Source No.",$C238,"4 Item Ledger Entry Type",$C$4,"2 Item No.","@@"&amp;$F238,"3 Posting Date",U$9)+NL("Sum","5802 Value Entry","17 Sales Amount (Actual)","41 Source Type",$C$5,"5 Source no.",$C238,"4 Item Ledger Entry Type",$C$4,"2 Item No.","@@"&amp;$F238,"3 Posting Date",U$9)</t>
  </si>
  <si>
    <t>=-NL("Sum","5802 Value Entry","151 Cost Amount (Expected)","41 Source Type",$C$5,"5 Source No.",$C238,"4 Item Ledger Entry Type",$C$4,"2 Item No.","@@"&amp;$F238,"3 Posting Date",U$9)-NL("Sum","5802 Value Entry","43 Cost Amount (Actual)","41 Source Type",$C$5,"5 Source no.",$C238,"4 Item Ledger Entry Type",$C$4,"2 Item No.","@@"&amp;$F238,"3 Posting Date",U$9)</t>
  </si>
  <si>
    <t>=U238-W238</t>
  </si>
  <si>
    <t>=IF(U238&lt;&gt;0,X238/U238,"")</t>
  </si>
  <si>
    <t>=NL("Sum","5802 Value Entry","150 Sales Amount (Expected)","41 Source Type",$C$5,"5 Source No.",$C238,"4 Item Ledger Entry Type",$C$4,"2 Item No.","@@"&amp;$F238,"3 Posting Date",Z$9)+NL("Sum","5802 Value Entry","17 Sales Amount (Actual)","41 Source Type",$C$5,"5 Source no.",$C238,"4 Item Ledger Entry Type",$C$4,"2 Item No.","@@"&amp;$F238,"3 Posting Date",Z$9)</t>
  </si>
  <si>
    <t>=-NL("Sum","5802 Value Entry","151 Cost Amount (Expected)","41 Source Type",$C$5,"5 Source No.",$C238,"4 Item Ledger Entry Type",$C$4,"2 Item No.","@@"&amp;$F238,"3 Posting Date",Z$9)-NL("Sum","5802 Value Entry","43 Cost Amount (Actual)","41 Source Type",$C$5,"5 Source no.",$C238,"4 Item Ledger Entry Type",$C$4,"2 Item No.","@@"&amp;$F238,"3 Posting Date",Z$9)</t>
  </si>
  <si>
    <t>=Z238-AB238</t>
  </si>
  <si>
    <t>=IF(Z238&lt;&gt;0,AC238/Z238,"")</t>
  </si>
  <si>
    <t>=C238</t>
  </si>
  <si>
    <t>=NL("Sum","5802 Value Entry","150 Sales Amount (Expected)","41 Source Type",$C$5,"5 Source No.",$C239,"4 Item Ledger Entry Type",$C$4,"2 Item No.","@@"&amp;$F239,"3 Posting Date",J$9)+NL("Sum","5802 Value Entry","17 Sales Amount (Actual)","41 Source Type",$C$5,"5 Source no.",$C239,"4 Item Ledger Entry Type",$C$4,"2 Item No.","@@"&amp;$F239,"3 Posting Date",J$9)</t>
  </si>
  <si>
    <t>=-NL("Sum","5802 Value Entry","151 Cost Amount (Expected)","41 Source Type",$C$5,"5 Source No.",$C239,"4 Item Ledger Entry Type",$C$4,"2 Item No.","@@"&amp;$F239,"3 Posting Date",J$9)-NL("Sum","5802 Value Entry","43 Cost Amount (Actual)","41 Source Type",$C$5,"5 Source no.",$C239,"4 Item Ledger Entry Type",$C$4,"2 Item No.","@@"&amp;$F239,"3 Posting Date",J$9)</t>
  </si>
  <si>
    <t>=J239-L239</t>
  </si>
  <si>
    <t>=IF(J239&lt;&gt;0,M239/J239,"")</t>
  </si>
  <si>
    <t>=NL("Sum","5802 Value Entry","150 Sales Amount (Expected)","41 Source Type",$C$5,"5 Source No.",$C239,"4 Item Ledger Entry Type",$C$4,"2 Item No.","@@"&amp;$F239,"3 Posting Date",O$9)+NL("Sum","5802 Value Entry","17 Sales Amount (Actual)","41 Source Type",$C$5,"5 Source no.",$C239,"4 Item Ledger Entry Type",$C$4,"2 Item No.","@@"&amp;$F239,"3 Posting Date",O$9)</t>
  </si>
  <si>
    <t>=-NL("Sum","5802 Value Entry","151 Cost Amount (Expected)","41 Source Type",$C$5,"5 Source No.",$C239,"4 Item Ledger Entry Type",$C$4,"2 Item No.","@@"&amp;$F239,"3 Posting Date",O$9)-NL("Sum","5802 Value Entry","43 Cost Amount (Actual)","41 Source Type",$C$5,"5 Source no.",$C239,"4 Item Ledger Entry Type",$C$4,"2 Item No.","@@"&amp;$F239,"3 Posting Date",O$9)</t>
  </si>
  <si>
    <t>=O239-Q239</t>
  </si>
  <si>
    <t>=IF(O239&lt;&gt;0,R239/O239,"")</t>
  </si>
  <si>
    <t>=NL("Sum","5802 Value Entry","150 Sales Amount (Expected)","41 Source Type",$C$5,"5 Source No.",$C239,"4 Item Ledger Entry Type",$C$4,"2 Item No.","@@"&amp;$F239,"3 Posting Date",U$9)+NL("Sum","5802 Value Entry","17 Sales Amount (Actual)","41 Source Type",$C$5,"5 Source no.",$C239,"4 Item Ledger Entry Type",$C$4,"2 Item No.","@@"&amp;$F239,"3 Posting Date",U$9)</t>
  </si>
  <si>
    <t>=-NL("Sum","5802 Value Entry","151 Cost Amount (Expected)","41 Source Type",$C$5,"5 Source No.",$C239,"4 Item Ledger Entry Type",$C$4,"2 Item No.","@@"&amp;$F239,"3 Posting Date",U$9)-NL("Sum","5802 Value Entry","43 Cost Amount (Actual)","41 Source Type",$C$5,"5 Source no.",$C239,"4 Item Ledger Entry Type",$C$4,"2 Item No.","@@"&amp;$F239,"3 Posting Date",U$9)</t>
  </si>
  <si>
    <t>=U239-W239</t>
  </si>
  <si>
    <t>=IF(U239&lt;&gt;0,X239/U239,"")</t>
  </si>
  <si>
    <t>=NL("Sum","5802 Value Entry","150 Sales Amount (Expected)","41 Source Type",$C$5,"5 Source No.",$C239,"4 Item Ledger Entry Type",$C$4,"2 Item No.","@@"&amp;$F239,"3 Posting Date",Z$9)+NL("Sum","5802 Value Entry","17 Sales Amount (Actual)","41 Source Type",$C$5,"5 Source no.",$C239,"4 Item Ledger Entry Type",$C$4,"2 Item No.","@@"&amp;$F239,"3 Posting Date",Z$9)</t>
  </si>
  <si>
    <t>=-NL("Sum","5802 Value Entry","151 Cost Amount (Expected)","41 Source Type",$C$5,"5 Source No.",$C239,"4 Item Ledger Entry Type",$C$4,"2 Item No.","@@"&amp;$F239,"3 Posting Date",Z$9)-NL("Sum","5802 Value Entry","43 Cost Amount (Actual)","41 Source Type",$C$5,"5 Source no.",$C239,"4 Item Ledger Entry Type",$C$4,"2 Item No.","@@"&amp;$F239,"3 Posting Date",Z$9)</t>
  </si>
  <si>
    <t>=Z239-AB239</t>
  </si>
  <si>
    <t>=IF(Z239&lt;&gt;0,AC239/Z239,"")</t>
  </si>
  <si>
    <t>=C239</t>
  </si>
  <si>
    <t>=NL("Sum","5802 Value Entry","150 Sales Amount (Expected)","41 Source Type",$C$5,"5 Source No.",$C240,"4 Item Ledger Entry Type",$C$4,"2 Item No.","@@"&amp;$F240,"3 Posting Date",J$9)+NL("Sum","5802 Value Entry","17 Sales Amount (Actual)","41 Source Type",$C$5,"5 Source no.",$C240,"4 Item Ledger Entry Type",$C$4,"2 Item No.","@@"&amp;$F240,"3 Posting Date",J$9)</t>
  </si>
  <si>
    <t>=-NL("Sum","5802 Value Entry","151 Cost Amount (Expected)","41 Source Type",$C$5,"5 Source No.",$C240,"4 Item Ledger Entry Type",$C$4,"2 Item No.","@@"&amp;$F240,"3 Posting Date",J$9)-NL("Sum","5802 Value Entry","43 Cost Amount (Actual)","41 Source Type",$C$5,"5 Source no.",$C240,"4 Item Ledger Entry Type",$C$4,"2 Item No.","@@"&amp;$F240,"3 Posting Date",J$9)</t>
  </si>
  <si>
    <t>=J240-L240</t>
  </si>
  <si>
    <t>=IF(J240&lt;&gt;0,M240/J240,"")</t>
  </si>
  <si>
    <t>=NL("Sum","5802 Value Entry","150 Sales Amount (Expected)","41 Source Type",$C$5,"5 Source No.",$C240,"4 Item Ledger Entry Type",$C$4,"2 Item No.","@@"&amp;$F240,"3 Posting Date",O$9)+NL("Sum","5802 Value Entry","17 Sales Amount (Actual)","41 Source Type",$C$5,"5 Source no.",$C240,"4 Item Ledger Entry Type",$C$4,"2 Item No.","@@"&amp;$F240,"3 Posting Date",O$9)</t>
  </si>
  <si>
    <t>=-NL("Sum","5802 Value Entry","151 Cost Amount (Expected)","41 Source Type",$C$5,"5 Source No.",$C240,"4 Item Ledger Entry Type",$C$4,"2 Item No.","@@"&amp;$F240,"3 Posting Date",O$9)-NL("Sum","5802 Value Entry","43 Cost Amount (Actual)","41 Source Type",$C$5,"5 Source no.",$C240,"4 Item Ledger Entry Type",$C$4,"2 Item No.","@@"&amp;$F240,"3 Posting Date",O$9)</t>
  </si>
  <si>
    <t>=O240-Q240</t>
  </si>
  <si>
    <t>=IF(O240&lt;&gt;0,R240/O240,"")</t>
  </si>
  <si>
    <t>=NL("Sum","5802 Value Entry","150 Sales Amount (Expected)","41 Source Type",$C$5,"5 Source No.",$C240,"4 Item Ledger Entry Type",$C$4,"2 Item No.","@@"&amp;$F240,"3 Posting Date",U$9)+NL("Sum","5802 Value Entry","17 Sales Amount (Actual)","41 Source Type",$C$5,"5 Source no.",$C240,"4 Item Ledger Entry Type",$C$4,"2 Item No.","@@"&amp;$F240,"3 Posting Date",U$9)</t>
  </si>
  <si>
    <t>=-NL("Sum","5802 Value Entry","151 Cost Amount (Expected)","41 Source Type",$C$5,"5 Source No.",$C240,"4 Item Ledger Entry Type",$C$4,"2 Item No.","@@"&amp;$F240,"3 Posting Date",U$9)-NL("Sum","5802 Value Entry","43 Cost Amount (Actual)","41 Source Type",$C$5,"5 Source no.",$C240,"4 Item Ledger Entry Type",$C$4,"2 Item No.","@@"&amp;$F240,"3 Posting Date",U$9)</t>
  </si>
  <si>
    <t>=U240-W240</t>
  </si>
  <si>
    <t>=IF(U240&lt;&gt;0,X240/U240,"")</t>
  </si>
  <si>
    <t>=NL("Sum","5802 Value Entry","150 Sales Amount (Expected)","41 Source Type",$C$5,"5 Source No.",$C240,"4 Item Ledger Entry Type",$C$4,"2 Item No.","@@"&amp;$F240,"3 Posting Date",Z$9)+NL("Sum","5802 Value Entry","17 Sales Amount (Actual)","41 Source Type",$C$5,"5 Source no.",$C240,"4 Item Ledger Entry Type",$C$4,"2 Item No.","@@"&amp;$F240,"3 Posting Date",Z$9)</t>
  </si>
  <si>
    <t>=-NL("Sum","5802 Value Entry","151 Cost Amount (Expected)","41 Source Type",$C$5,"5 Source No.",$C240,"4 Item Ledger Entry Type",$C$4,"2 Item No.","@@"&amp;$F240,"3 Posting Date",Z$9)-NL("Sum","5802 Value Entry","43 Cost Amount (Actual)","41 Source Type",$C$5,"5 Source no.",$C240,"4 Item Ledger Entry Type",$C$4,"2 Item No.","@@"&amp;$F240,"3 Posting Date",Z$9)</t>
  </si>
  <si>
    <t>=Z240-AB240</t>
  </si>
  <si>
    <t>=IF(Z240&lt;&gt;0,AC240/Z240,"")</t>
  </si>
  <si>
    <t>=C241</t>
  </si>
  <si>
    <t>=J242-L242</t>
  </si>
  <si>
    <t>=IF(J242&lt;&gt;0,M242/J242,"")</t>
  </si>
  <si>
    <t>=O242-Q242</t>
  </si>
  <si>
    <t>=IF(O242&lt;&gt;0,R242/O242,"")</t>
  </si>
  <si>
    <t>=U242-W242</t>
  </si>
  <si>
    <t>=IF(U242&lt;&gt;0,X242/U242,"")</t>
  </si>
  <si>
    <t>=Z242-AB242</t>
  </si>
  <si>
    <t>=IF(Z242&lt;&gt;0,AC242/Z242,"")</t>
  </si>
  <si>
    <t>=C244</t>
  </si>
  <si>
    <t>=C245</t>
  </si>
  <si>
    <t>=NL("Sum","5802 Value Entry","150 Sales Amount (Expected)","41 Source Type",$C$5,"5 Source No.",$C246,"4 Item Ledger Entry Type",$C$4,"2 Item No.","@@"&amp;$F246,"3 Posting Date",J$9)+NL("Sum","5802 Value Entry","17 Sales Amount (Actual)","41 Source Type",$C$5,"5 Source no.",$C246,"4 Item Ledger Entry Type",$C$4,"2 Item No.","@@"&amp;$F246,"3 Posting Date",J$9)</t>
  </si>
  <si>
    <t>=-NL("Sum","5802 Value Entry","151 Cost Amount (Expected)","41 Source Type",$C$5,"5 Source No.",$C246,"4 Item Ledger Entry Type",$C$4,"2 Item No.","@@"&amp;$F246,"3 Posting Date",J$9)-NL("Sum","5802 Value Entry","43 Cost Amount (Actual)","41 Source Type",$C$5,"5 Source no.",$C246,"4 Item Ledger Entry Type",$C$4,"2 Item No.","@@"&amp;$F246,"3 Posting Date",J$9)</t>
  </si>
  <si>
    <t>=J246-L246</t>
  </si>
  <si>
    <t>=IF(J246&lt;&gt;0,M246/J246,"")</t>
  </si>
  <si>
    <t>=NL("Sum","5802 Value Entry","150 Sales Amount (Expected)","41 Source Type",$C$5,"5 Source No.",$C246,"4 Item Ledger Entry Type",$C$4,"2 Item No.","@@"&amp;$F246,"3 Posting Date",O$9)+NL("Sum","5802 Value Entry","17 Sales Amount (Actual)","41 Source Type",$C$5,"5 Source no.",$C246,"4 Item Ledger Entry Type",$C$4,"2 Item No.","@@"&amp;$F246,"3 Posting Date",O$9)</t>
  </si>
  <si>
    <t>=-NL("Sum","5802 Value Entry","151 Cost Amount (Expected)","41 Source Type",$C$5,"5 Source No.",$C246,"4 Item Ledger Entry Type",$C$4,"2 Item No.","@@"&amp;$F246,"3 Posting Date",O$9)-NL("Sum","5802 Value Entry","43 Cost Amount (Actual)","41 Source Type",$C$5,"5 Source no.",$C246,"4 Item Ledger Entry Type",$C$4,"2 Item No.","@@"&amp;$F246,"3 Posting Date",O$9)</t>
  </si>
  <si>
    <t>=O246-Q246</t>
  </si>
  <si>
    <t>=IF(O246&lt;&gt;0,R246/O246,"")</t>
  </si>
  <si>
    <t>=NL("Sum","5802 Value Entry","150 Sales Amount (Expected)","41 Source Type",$C$5,"5 Source No.",$C246,"4 Item Ledger Entry Type",$C$4,"2 Item No.","@@"&amp;$F246,"3 Posting Date",U$9)+NL("Sum","5802 Value Entry","17 Sales Amount (Actual)","41 Source Type",$C$5,"5 Source no.",$C246,"4 Item Ledger Entry Type",$C$4,"2 Item No.","@@"&amp;$F246,"3 Posting Date",U$9)</t>
  </si>
  <si>
    <t>=-NL("Sum","5802 Value Entry","151 Cost Amount (Expected)","41 Source Type",$C$5,"5 Source No.",$C246,"4 Item Ledger Entry Type",$C$4,"2 Item No.","@@"&amp;$F246,"3 Posting Date",U$9)-NL("Sum","5802 Value Entry","43 Cost Amount (Actual)","41 Source Type",$C$5,"5 Source no.",$C246,"4 Item Ledger Entry Type",$C$4,"2 Item No.","@@"&amp;$F246,"3 Posting Date",U$9)</t>
  </si>
  <si>
    <t>=U246-W246</t>
  </si>
  <si>
    <t>=IF(U246&lt;&gt;0,X246/U246,"")</t>
  </si>
  <si>
    <t>=NL("Sum","5802 Value Entry","150 Sales Amount (Expected)","41 Source Type",$C$5,"5 Source No.",$C246,"4 Item Ledger Entry Type",$C$4,"2 Item No.","@@"&amp;$F246,"3 Posting Date",Z$9)+NL("Sum","5802 Value Entry","17 Sales Amount (Actual)","41 Source Type",$C$5,"5 Source no.",$C246,"4 Item Ledger Entry Type",$C$4,"2 Item No.","@@"&amp;$F246,"3 Posting Date",Z$9)</t>
  </si>
  <si>
    <t>=-NL("Sum","5802 Value Entry","151 Cost Amount (Expected)","41 Source Type",$C$5,"5 Source No.",$C246,"4 Item Ledger Entry Type",$C$4,"2 Item No.","@@"&amp;$F246,"3 Posting Date",Z$9)-NL("Sum","5802 Value Entry","43 Cost Amount (Actual)","41 Source Type",$C$5,"5 Source no.",$C246,"4 Item Ledger Entry Type",$C$4,"2 Item No.","@@"&amp;$F246,"3 Posting Date",Z$9)</t>
  </si>
  <si>
    <t>=Z246-AB246</t>
  </si>
  <si>
    <t>=IF(Z246&lt;&gt;0,AC246/Z246,"")</t>
  </si>
  <si>
    <t>=C246</t>
  </si>
  <si>
    <t>=NL("Sum","5802 Value Entry","150 Sales Amount (Expected)","41 Source Type",$C$5,"5 Source No.",$C247,"4 Item Ledger Entry Type",$C$4,"2 Item No.","@@"&amp;$F247,"3 Posting Date",J$9)+NL("Sum","5802 Value Entry","17 Sales Amount (Actual)","41 Source Type",$C$5,"5 Source no.",$C247,"4 Item Ledger Entry Type",$C$4,"2 Item No.","@@"&amp;$F247,"3 Posting Date",J$9)</t>
  </si>
  <si>
    <t>=-NL("Sum","5802 Value Entry","151 Cost Amount (Expected)","41 Source Type",$C$5,"5 Source No.",$C247,"4 Item Ledger Entry Type",$C$4,"2 Item No.","@@"&amp;$F247,"3 Posting Date",J$9)-NL("Sum","5802 Value Entry","43 Cost Amount (Actual)","41 Source Type",$C$5,"5 Source no.",$C247,"4 Item Ledger Entry Type",$C$4,"2 Item No.","@@"&amp;$F247,"3 Posting Date",J$9)</t>
  </si>
  <si>
    <t>=J247-L247</t>
  </si>
  <si>
    <t>=IF(J247&lt;&gt;0,M247/J247,"")</t>
  </si>
  <si>
    <t>=NL("Sum","5802 Value Entry","150 Sales Amount (Expected)","41 Source Type",$C$5,"5 Source No.",$C247,"4 Item Ledger Entry Type",$C$4,"2 Item No.","@@"&amp;$F247,"3 Posting Date",O$9)+NL("Sum","5802 Value Entry","17 Sales Amount (Actual)","41 Source Type",$C$5,"5 Source no.",$C247,"4 Item Ledger Entry Type",$C$4,"2 Item No.","@@"&amp;$F247,"3 Posting Date",O$9)</t>
  </si>
  <si>
    <t>=-NL("Sum","5802 Value Entry","151 Cost Amount (Expected)","41 Source Type",$C$5,"5 Source No.",$C247,"4 Item Ledger Entry Type",$C$4,"2 Item No.","@@"&amp;$F247,"3 Posting Date",O$9)-NL("Sum","5802 Value Entry","43 Cost Amount (Actual)","41 Source Type",$C$5,"5 Source no.",$C247,"4 Item Ledger Entry Type",$C$4,"2 Item No.","@@"&amp;$F247,"3 Posting Date",O$9)</t>
  </si>
  <si>
    <t>=O247-Q247</t>
  </si>
  <si>
    <t>=IF(O247&lt;&gt;0,R247/O247,"")</t>
  </si>
  <si>
    <t>=NL("Sum","5802 Value Entry","150 Sales Amount (Expected)","41 Source Type",$C$5,"5 Source No.",$C247,"4 Item Ledger Entry Type",$C$4,"2 Item No.","@@"&amp;$F247,"3 Posting Date",U$9)+NL("Sum","5802 Value Entry","17 Sales Amount (Actual)","41 Source Type",$C$5,"5 Source no.",$C247,"4 Item Ledger Entry Type",$C$4,"2 Item No.","@@"&amp;$F247,"3 Posting Date",U$9)</t>
  </si>
  <si>
    <t>=-NL("Sum","5802 Value Entry","151 Cost Amount (Expected)","41 Source Type",$C$5,"5 Source No.",$C247,"4 Item Ledger Entry Type",$C$4,"2 Item No.","@@"&amp;$F247,"3 Posting Date",U$9)-NL("Sum","5802 Value Entry","43 Cost Amount (Actual)","41 Source Type",$C$5,"5 Source no.",$C247,"4 Item Ledger Entry Type",$C$4,"2 Item No.","@@"&amp;$F247,"3 Posting Date",U$9)</t>
  </si>
  <si>
    <t>=U247-W247</t>
  </si>
  <si>
    <t>=IF(U247&lt;&gt;0,X247/U247,"")</t>
  </si>
  <si>
    <t>=NL("Sum","5802 Value Entry","150 Sales Amount (Expected)","41 Source Type",$C$5,"5 Source No.",$C247,"4 Item Ledger Entry Type",$C$4,"2 Item No.","@@"&amp;$F247,"3 Posting Date",Z$9)+NL("Sum","5802 Value Entry","17 Sales Amount (Actual)","41 Source Type",$C$5,"5 Source no.",$C247,"4 Item Ledger Entry Type",$C$4,"2 Item No.","@@"&amp;$F247,"3 Posting Date",Z$9)</t>
  </si>
  <si>
    <t>=-NL("Sum","5802 Value Entry","151 Cost Amount (Expected)","41 Source Type",$C$5,"5 Source No.",$C247,"4 Item Ledger Entry Type",$C$4,"2 Item No.","@@"&amp;$F247,"3 Posting Date",Z$9)-NL("Sum","5802 Value Entry","43 Cost Amount (Actual)","41 Source Type",$C$5,"5 Source no.",$C247,"4 Item Ledger Entry Type",$C$4,"2 Item No.","@@"&amp;$F247,"3 Posting Date",Z$9)</t>
  </si>
  <si>
    <t>=Z247-AB247</t>
  </si>
  <si>
    <t>=IF(Z247&lt;&gt;0,AC247/Z247,"")</t>
  </si>
  <si>
    <t>=C247</t>
  </si>
  <si>
    <t>=NL("Sum","5802 Value Entry","150 Sales Amount (Expected)","41 Source Type",$C$5,"5 Source No.",$C248,"4 Item Ledger Entry Type",$C$4,"2 Item No.","@@"&amp;$F248,"3 Posting Date",J$9)+NL("Sum","5802 Value Entry","17 Sales Amount (Actual)","41 Source Type",$C$5,"5 Source no.",$C248,"4 Item Ledger Entry Type",$C$4,"2 Item No.","@@"&amp;$F248,"3 Posting Date",J$9)</t>
  </si>
  <si>
    <t>=-NL("Sum","5802 Value Entry","151 Cost Amount (Expected)","41 Source Type",$C$5,"5 Source No.",$C248,"4 Item Ledger Entry Type",$C$4,"2 Item No.","@@"&amp;$F248,"3 Posting Date",J$9)-NL("Sum","5802 Value Entry","43 Cost Amount (Actual)","41 Source Type",$C$5,"5 Source no.",$C248,"4 Item Ledger Entry Type",$C$4,"2 Item No.","@@"&amp;$F248,"3 Posting Date",J$9)</t>
  </si>
  <si>
    <t>=J248-L248</t>
  </si>
  <si>
    <t>=IF(J248&lt;&gt;0,M248/J248,"")</t>
  </si>
  <si>
    <t>=NL("Sum","5802 Value Entry","150 Sales Amount (Expected)","41 Source Type",$C$5,"5 Source No.",$C248,"4 Item Ledger Entry Type",$C$4,"2 Item No.","@@"&amp;$F248,"3 Posting Date",O$9)+NL("Sum","5802 Value Entry","17 Sales Amount (Actual)","41 Source Type",$C$5,"5 Source no.",$C248,"4 Item Ledger Entry Type",$C$4,"2 Item No.","@@"&amp;$F248,"3 Posting Date",O$9)</t>
  </si>
  <si>
    <t>=-NL("Sum","5802 Value Entry","151 Cost Amount (Expected)","41 Source Type",$C$5,"5 Source No.",$C248,"4 Item Ledger Entry Type",$C$4,"2 Item No.","@@"&amp;$F248,"3 Posting Date",O$9)-NL("Sum","5802 Value Entry","43 Cost Amount (Actual)","41 Source Type",$C$5,"5 Source no.",$C248,"4 Item Ledger Entry Type",$C$4,"2 Item No.","@@"&amp;$F248,"3 Posting Date",O$9)</t>
  </si>
  <si>
    <t>=O248-Q248</t>
  </si>
  <si>
    <t>=IF(O248&lt;&gt;0,R248/O248,"")</t>
  </si>
  <si>
    <t>=NL("Sum","5802 Value Entry","150 Sales Amount (Expected)","41 Source Type",$C$5,"5 Source No.",$C248,"4 Item Ledger Entry Type",$C$4,"2 Item No.","@@"&amp;$F248,"3 Posting Date",U$9)+NL("Sum","5802 Value Entry","17 Sales Amount (Actual)","41 Source Type",$C$5,"5 Source no.",$C248,"4 Item Ledger Entry Type",$C$4,"2 Item No.","@@"&amp;$F248,"3 Posting Date",U$9)</t>
  </si>
  <si>
    <t>=-NL("Sum","5802 Value Entry","151 Cost Amount (Expected)","41 Source Type",$C$5,"5 Source No.",$C248,"4 Item Ledger Entry Type",$C$4,"2 Item No.","@@"&amp;$F248,"3 Posting Date",U$9)-NL("Sum","5802 Value Entry","43 Cost Amount (Actual)","41 Source Type",$C$5,"5 Source no.",$C248,"4 Item Ledger Entry Type",$C$4,"2 Item No.","@@"&amp;$F248,"3 Posting Date",U$9)</t>
  </si>
  <si>
    <t>=U248-W248</t>
  </si>
  <si>
    <t>=IF(U248&lt;&gt;0,X248/U248,"")</t>
  </si>
  <si>
    <t>=NL("Sum","5802 Value Entry","150 Sales Amount (Expected)","41 Source Type",$C$5,"5 Source No.",$C248,"4 Item Ledger Entry Type",$C$4,"2 Item No.","@@"&amp;$F248,"3 Posting Date",Z$9)+NL("Sum","5802 Value Entry","17 Sales Amount (Actual)","41 Source Type",$C$5,"5 Source no.",$C248,"4 Item Ledger Entry Type",$C$4,"2 Item No.","@@"&amp;$F248,"3 Posting Date",Z$9)</t>
  </si>
  <si>
    <t>=-NL("Sum","5802 Value Entry","151 Cost Amount (Expected)","41 Source Type",$C$5,"5 Source No.",$C248,"4 Item Ledger Entry Type",$C$4,"2 Item No.","@@"&amp;$F248,"3 Posting Date",Z$9)-NL("Sum","5802 Value Entry","43 Cost Amount (Actual)","41 Source Type",$C$5,"5 Source no.",$C248,"4 Item Ledger Entry Type",$C$4,"2 Item No.","@@"&amp;$F248,"3 Posting Date",Z$9)</t>
  </si>
  <si>
    <t>=Z248-AB248</t>
  </si>
  <si>
    <t>=IF(Z248&lt;&gt;0,AC248/Z248,"")</t>
  </si>
  <si>
    <t>=C248</t>
  </si>
  <si>
    <t>=NL("Sum","5802 Value Entry","150 Sales Amount (Expected)","41 Source Type",$C$5,"5 Source No.",$C249,"4 Item Ledger Entry Type",$C$4,"2 Item No.","@@"&amp;$F249,"3 Posting Date",J$9)+NL("Sum","5802 Value Entry","17 Sales Amount (Actual)","41 Source Type",$C$5,"5 Source no.",$C249,"4 Item Ledger Entry Type",$C$4,"2 Item No.","@@"&amp;$F249,"3 Posting Date",J$9)</t>
  </si>
  <si>
    <t>=-NL("Sum","5802 Value Entry","151 Cost Amount (Expected)","41 Source Type",$C$5,"5 Source No.",$C249,"4 Item Ledger Entry Type",$C$4,"2 Item No.","@@"&amp;$F249,"3 Posting Date",J$9)-NL("Sum","5802 Value Entry","43 Cost Amount (Actual)","41 Source Type",$C$5,"5 Source no.",$C249,"4 Item Ledger Entry Type",$C$4,"2 Item No.","@@"&amp;$F249,"3 Posting Date",J$9)</t>
  </si>
  <si>
    <t>=J249-L249</t>
  </si>
  <si>
    <t>=IF(J249&lt;&gt;0,M249/J249,"")</t>
  </si>
  <si>
    <t>=NL("Sum","5802 Value Entry","150 Sales Amount (Expected)","41 Source Type",$C$5,"5 Source No.",$C249,"4 Item Ledger Entry Type",$C$4,"2 Item No.","@@"&amp;$F249,"3 Posting Date",O$9)+NL("Sum","5802 Value Entry","17 Sales Amount (Actual)","41 Source Type",$C$5,"5 Source no.",$C249,"4 Item Ledger Entry Type",$C$4,"2 Item No.","@@"&amp;$F249,"3 Posting Date",O$9)</t>
  </si>
  <si>
    <t>=-NL("Sum","5802 Value Entry","151 Cost Amount (Expected)","41 Source Type",$C$5,"5 Source No.",$C249,"4 Item Ledger Entry Type",$C$4,"2 Item No.","@@"&amp;$F249,"3 Posting Date",O$9)-NL("Sum","5802 Value Entry","43 Cost Amount (Actual)","41 Source Type",$C$5,"5 Source no.",$C249,"4 Item Ledger Entry Type",$C$4,"2 Item No.","@@"&amp;$F249,"3 Posting Date",O$9)</t>
  </si>
  <si>
    <t>=O249-Q249</t>
  </si>
  <si>
    <t>=IF(O249&lt;&gt;0,R249/O249,"")</t>
  </si>
  <si>
    <t>=NL("Sum","5802 Value Entry","150 Sales Amount (Expected)","41 Source Type",$C$5,"5 Source No.",$C249,"4 Item Ledger Entry Type",$C$4,"2 Item No.","@@"&amp;$F249,"3 Posting Date",U$9)+NL("Sum","5802 Value Entry","17 Sales Amount (Actual)","41 Source Type",$C$5,"5 Source no.",$C249,"4 Item Ledger Entry Type",$C$4,"2 Item No.","@@"&amp;$F249,"3 Posting Date",U$9)</t>
  </si>
  <si>
    <t>=-NL("Sum","5802 Value Entry","151 Cost Amount (Expected)","41 Source Type",$C$5,"5 Source No.",$C249,"4 Item Ledger Entry Type",$C$4,"2 Item No.","@@"&amp;$F249,"3 Posting Date",U$9)-NL("Sum","5802 Value Entry","43 Cost Amount (Actual)","41 Source Type",$C$5,"5 Source no.",$C249,"4 Item Ledger Entry Type",$C$4,"2 Item No.","@@"&amp;$F249,"3 Posting Date",U$9)</t>
  </si>
  <si>
    <t>=U249-W249</t>
  </si>
  <si>
    <t>=IF(U249&lt;&gt;0,X249/U249,"")</t>
  </si>
  <si>
    <t>=NL("Sum","5802 Value Entry","150 Sales Amount (Expected)","41 Source Type",$C$5,"5 Source No.",$C249,"4 Item Ledger Entry Type",$C$4,"2 Item No.","@@"&amp;$F249,"3 Posting Date",Z$9)+NL("Sum","5802 Value Entry","17 Sales Amount (Actual)","41 Source Type",$C$5,"5 Source no.",$C249,"4 Item Ledger Entry Type",$C$4,"2 Item No.","@@"&amp;$F249,"3 Posting Date",Z$9)</t>
  </si>
  <si>
    <t>=-NL("Sum","5802 Value Entry","151 Cost Amount (Expected)","41 Source Type",$C$5,"5 Source No.",$C249,"4 Item Ledger Entry Type",$C$4,"2 Item No.","@@"&amp;$F249,"3 Posting Date",Z$9)-NL("Sum","5802 Value Entry","43 Cost Amount (Actual)","41 Source Type",$C$5,"5 Source no.",$C249,"4 Item Ledger Entry Type",$C$4,"2 Item No.","@@"&amp;$F249,"3 Posting Date",Z$9)</t>
  </si>
  <si>
    <t>=Z249-AB249</t>
  </si>
  <si>
    <t>=IF(Z249&lt;&gt;0,AC249/Z249,"")</t>
  </si>
  <si>
    <t>=C249</t>
  </si>
  <si>
    <t>=NL("Sum","5802 Value Entry","150 Sales Amount (Expected)","41 Source Type",$C$5,"5 Source No.",$C250,"4 Item Ledger Entry Type",$C$4,"2 Item No.","@@"&amp;$F250,"3 Posting Date",J$9)+NL("Sum","5802 Value Entry","17 Sales Amount (Actual)","41 Source Type",$C$5,"5 Source no.",$C250,"4 Item Ledger Entry Type",$C$4,"2 Item No.","@@"&amp;$F250,"3 Posting Date",J$9)</t>
  </si>
  <si>
    <t>=-NL("Sum","5802 Value Entry","151 Cost Amount (Expected)","41 Source Type",$C$5,"5 Source No.",$C250,"4 Item Ledger Entry Type",$C$4,"2 Item No.","@@"&amp;$F250,"3 Posting Date",J$9)-NL("Sum","5802 Value Entry","43 Cost Amount (Actual)","41 Source Type",$C$5,"5 Source no.",$C250,"4 Item Ledger Entry Type",$C$4,"2 Item No.","@@"&amp;$F250,"3 Posting Date",J$9)</t>
  </si>
  <si>
    <t>=J250-L250</t>
  </si>
  <si>
    <t>=IF(J250&lt;&gt;0,M250/J250,"")</t>
  </si>
  <si>
    <t>=NL("Sum","5802 Value Entry","150 Sales Amount (Expected)","41 Source Type",$C$5,"5 Source No.",$C250,"4 Item Ledger Entry Type",$C$4,"2 Item No.","@@"&amp;$F250,"3 Posting Date",O$9)+NL("Sum","5802 Value Entry","17 Sales Amount (Actual)","41 Source Type",$C$5,"5 Source no.",$C250,"4 Item Ledger Entry Type",$C$4,"2 Item No.","@@"&amp;$F250,"3 Posting Date",O$9)</t>
  </si>
  <si>
    <t>=-NL("Sum","5802 Value Entry","151 Cost Amount (Expected)","41 Source Type",$C$5,"5 Source No.",$C250,"4 Item Ledger Entry Type",$C$4,"2 Item No.","@@"&amp;$F250,"3 Posting Date",O$9)-NL("Sum","5802 Value Entry","43 Cost Amount (Actual)","41 Source Type",$C$5,"5 Source no.",$C250,"4 Item Ledger Entry Type",$C$4,"2 Item No.","@@"&amp;$F250,"3 Posting Date",O$9)</t>
  </si>
  <si>
    <t>=O250-Q250</t>
  </si>
  <si>
    <t>=IF(O250&lt;&gt;0,R250/O250,"")</t>
  </si>
  <si>
    <t>=NL("Sum","5802 Value Entry","150 Sales Amount (Expected)","41 Source Type",$C$5,"5 Source No.",$C250,"4 Item Ledger Entry Type",$C$4,"2 Item No.","@@"&amp;$F250,"3 Posting Date",U$9)+NL("Sum","5802 Value Entry","17 Sales Amount (Actual)","41 Source Type",$C$5,"5 Source no.",$C250,"4 Item Ledger Entry Type",$C$4,"2 Item No.","@@"&amp;$F250,"3 Posting Date",U$9)</t>
  </si>
  <si>
    <t>=-NL("Sum","5802 Value Entry","151 Cost Amount (Expected)","41 Source Type",$C$5,"5 Source No.",$C250,"4 Item Ledger Entry Type",$C$4,"2 Item No.","@@"&amp;$F250,"3 Posting Date",U$9)-NL("Sum","5802 Value Entry","43 Cost Amount (Actual)","41 Source Type",$C$5,"5 Source no.",$C250,"4 Item Ledger Entry Type",$C$4,"2 Item No.","@@"&amp;$F250,"3 Posting Date",U$9)</t>
  </si>
  <si>
    <t>=U250-W250</t>
  </si>
  <si>
    <t>=IF(U250&lt;&gt;0,X250/U250,"")</t>
  </si>
  <si>
    <t>=NL("Sum","5802 Value Entry","150 Sales Amount (Expected)","41 Source Type",$C$5,"5 Source No.",$C250,"4 Item Ledger Entry Type",$C$4,"2 Item No.","@@"&amp;$F250,"3 Posting Date",Z$9)+NL("Sum","5802 Value Entry","17 Sales Amount (Actual)","41 Source Type",$C$5,"5 Source no.",$C250,"4 Item Ledger Entry Type",$C$4,"2 Item No.","@@"&amp;$F250,"3 Posting Date",Z$9)</t>
  </si>
  <si>
    <t>=-NL("Sum","5802 Value Entry","151 Cost Amount (Expected)","41 Source Type",$C$5,"5 Source No.",$C250,"4 Item Ledger Entry Type",$C$4,"2 Item No.","@@"&amp;$F250,"3 Posting Date",Z$9)-NL("Sum","5802 Value Entry","43 Cost Amount (Actual)","41 Source Type",$C$5,"5 Source no.",$C250,"4 Item Ledger Entry Type",$C$4,"2 Item No.","@@"&amp;$F250,"3 Posting Date",Z$9)</t>
  </si>
  <si>
    <t>=Z250-AB250</t>
  </si>
  <si>
    <t>=IF(Z250&lt;&gt;0,AC250/Z250,"")</t>
  </si>
  <si>
    <t>=C250</t>
  </si>
  <si>
    <t>=NL("Sum","5802 Value Entry","150 Sales Amount (Expected)","41 Source Type",$C$5,"5 Source No.",$C251,"4 Item Ledger Entry Type",$C$4,"2 Item No.","@@"&amp;$F251,"3 Posting Date",J$9)+NL("Sum","5802 Value Entry","17 Sales Amount (Actual)","41 Source Type",$C$5,"5 Source no.",$C251,"4 Item Ledger Entry Type",$C$4,"2 Item No.","@@"&amp;$F251,"3 Posting Date",J$9)</t>
  </si>
  <si>
    <t>=-NL("Sum","5802 Value Entry","151 Cost Amount (Expected)","41 Source Type",$C$5,"5 Source No.",$C251,"4 Item Ledger Entry Type",$C$4,"2 Item No.","@@"&amp;$F251,"3 Posting Date",J$9)-NL("Sum","5802 Value Entry","43 Cost Amount (Actual)","41 Source Type",$C$5,"5 Source no.",$C251,"4 Item Ledger Entry Type",$C$4,"2 Item No.","@@"&amp;$F251,"3 Posting Date",J$9)</t>
  </si>
  <si>
    <t>=J251-L251</t>
  </si>
  <si>
    <t>=IF(J251&lt;&gt;0,M251/J251,"")</t>
  </si>
  <si>
    <t>=NL("Sum","5802 Value Entry","150 Sales Amount (Expected)","41 Source Type",$C$5,"5 Source No.",$C251,"4 Item Ledger Entry Type",$C$4,"2 Item No.","@@"&amp;$F251,"3 Posting Date",O$9)+NL("Sum","5802 Value Entry","17 Sales Amount (Actual)","41 Source Type",$C$5,"5 Source no.",$C251,"4 Item Ledger Entry Type",$C$4,"2 Item No.","@@"&amp;$F251,"3 Posting Date",O$9)</t>
  </si>
  <si>
    <t>=-NL("Sum","5802 Value Entry","151 Cost Amount (Expected)","41 Source Type",$C$5,"5 Source No.",$C251,"4 Item Ledger Entry Type",$C$4,"2 Item No.","@@"&amp;$F251,"3 Posting Date",O$9)-NL("Sum","5802 Value Entry","43 Cost Amount (Actual)","41 Source Type",$C$5,"5 Source no.",$C251,"4 Item Ledger Entry Type",$C$4,"2 Item No.","@@"&amp;$F251,"3 Posting Date",O$9)</t>
  </si>
  <si>
    <t>=O251-Q251</t>
  </si>
  <si>
    <t>=IF(O251&lt;&gt;0,R251/O251,"")</t>
  </si>
  <si>
    <t>=NL("Sum","5802 Value Entry","150 Sales Amount (Expected)","41 Source Type",$C$5,"5 Source No.",$C251,"4 Item Ledger Entry Type",$C$4,"2 Item No.","@@"&amp;$F251,"3 Posting Date",U$9)+NL("Sum","5802 Value Entry","17 Sales Amount (Actual)","41 Source Type",$C$5,"5 Source no.",$C251,"4 Item Ledger Entry Type",$C$4,"2 Item No.","@@"&amp;$F251,"3 Posting Date",U$9)</t>
  </si>
  <si>
    <t>=-NL("Sum","5802 Value Entry","151 Cost Amount (Expected)","41 Source Type",$C$5,"5 Source No.",$C251,"4 Item Ledger Entry Type",$C$4,"2 Item No.","@@"&amp;$F251,"3 Posting Date",U$9)-NL("Sum","5802 Value Entry","43 Cost Amount (Actual)","41 Source Type",$C$5,"5 Source no.",$C251,"4 Item Ledger Entry Type",$C$4,"2 Item No.","@@"&amp;$F251,"3 Posting Date",U$9)</t>
  </si>
  <si>
    <t>=U251-W251</t>
  </si>
  <si>
    <t>=IF(U251&lt;&gt;0,X251/U251,"")</t>
  </si>
  <si>
    <t>=NL("Sum","5802 Value Entry","150 Sales Amount (Expected)","41 Source Type",$C$5,"5 Source No.",$C251,"4 Item Ledger Entry Type",$C$4,"2 Item No.","@@"&amp;$F251,"3 Posting Date",Z$9)+NL("Sum","5802 Value Entry","17 Sales Amount (Actual)","41 Source Type",$C$5,"5 Source no.",$C251,"4 Item Ledger Entry Type",$C$4,"2 Item No.","@@"&amp;$F251,"3 Posting Date",Z$9)</t>
  </si>
  <si>
    <t>=-NL("Sum","5802 Value Entry","151 Cost Amount (Expected)","41 Source Type",$C$5,"5 Source No.",$C251,"4 Item Ledger Entry Type",$C$4,"2 Item No.","@@"&amp;$F251,"3 Posting Date",Z$9)-NL("Sum","5802 Value Entry","43 Cost Amount (Actual)","41 Source Type",$C$5,"5 Source no.",$C251,"4 Item Ledger Entry Type",$C$4,"2 Item No.","@@"&amp;$F251,"3 Posting Date",Z$9)</t>
  </si>
  <si>
    <t>=Z251-AB251</t>
  </si>
  <si>
    <t>=IF(Z251&lt;&gt;0,AC251/Z251,"")</t>
  </si>
  <si>
    <t>=C252</t>
  </si>
  <si>
    <t>=J253-L253</t>
  </si>
  <si>
    <t>=IF(J253&lt;&gt;0,M253/J253,"")</t>
  </si>
  <si>
    <t>=O253-Q253</t>
  </si>
  <si>
    <t>=IF(O253&lt;&gt;0,R253/O253,"")</t>
  </si>
  <si>
    <t>=U253-W253</t>
  </si>
  <si>
    <t>=IF(U253&lt;&gt;0,X253/U253,"")</t>
  </si>
  <si>
    <t>=Z253-AB253</t>
  </si>
  <si>
    <t>=IF(Z253&lt;&gt;0,AC253/Z253,"")</t>
  </si>
  <si>
    <t>=C255</t>
  </si>
  <si>
    <t>=C256</t>
  </si>
  <si>
    <t>="C100051"</t>
  </si>
  <si>
    <t>=NL("Sum","5802 Value Entry","150 Sales Amount (Expected)","41 Source Type",$C$5,"5 Source No.",$C257,"4 Item Ledger Entry Type",$C$4,"2 Item No.","@@"&amp;$F257,"3 Posting Date",J$9)+NL("Sum","5802 Value Entry","17 Sales Amount (Actual)","41 Source Type",$C$5,"5 Source no.",$C257,"4 Item Ledger Entry Type",$C$4,"2 Item No.","@@"&amp;$F257,"3 Posting Date",J$9)</t>
  </si>
  <si>
    <t>=-NL("Sum","5802 Value Entry","151 Cost Amount (Expected)","41 Source Type",$C$5,"5 Source No.",$C257,"4 Item Ledger Entry Type",$C$4,"2 Item No.","@@"&amp;$F257,"3 Posting Date",J$9)-NL("Sum","5802 Value Entry","43 Cost Amount (Actual)","41 Source Type",$C$5,"5 Source no.",$C257,"4 Item Ledger Entry Type",$C$4,"2 Item No.","@@"&amp;$F257,"3 Posting Date",J$9)</t>
  </si>
  <si>
    <t>=J257-L257</t>
  </si>
  <si>
    <t>=IF(J257&lt;&gt;0,M257/J257,"")</t>
  </si>
  <si>
    <t>=NL("Sum","5802 Value Entry","150 Sales Amount (Expected)","41 Source Type",$C$5,"5 Source No.",$C257,"4 Item Ledger Entry Type",$C$4,"2 Item No.","@@"&amp;$F257,"3 Posting Date",O$9)+NL("Sum","5802 Value Entry","17 Sales Amount (Actual)","41 Source Type",$C$5,"5 Source no.",$C257,"4 Item Ledger Entry Type",$C$4,"2 Item No.","@@"&amp;$F257,"3 Posting Date",O$9)</t>
  </si>
  <si>
    <t>=-NL("Sum","5802 Value Entry","151 Cost Amount (Expected)","41 Source Type",$C$5,"5 Source No.",$C257,"4 Item Ledger Entry Type",$C$4,"2 Item No.","@@"&amp;$F257,"3 Posting Date",O$9)-NL("Sum","5802 Value Entry","43 Cost Amount (Actual)","41 Source Type",$C$5,"5 Source no.",$C257,"4 Item Ledger Entry Type",$C$4,"2 Item No.","@@"&amp;$F257,"3 Posting Date",O$9)</t>
  </si>
  <si>
    <t>=O257-Q257</t>
  </si>
  <si>
    <t>=IF(O257&lt;&gt;0,R257/O257,"")</t>
  </si>
  <si>
    <t>=NL("Sum","5802 Value Entry","150 Sales Amount (Expected)","41 Source Type",$C$5,"5 Source No.",$C257,"4 Item Ledger Entry Type",$C$4,"2 Item No.","@@"&amp;$F257,"3 Posting Date",U$9)+NL("Sum","5802 Value Entry","17 Sales Amount (Actual)","41 Source Type",$C$5,"5 Source no.",$C257,"4 Item Ledger Entry Type",$C$4,"2 Item No.","@@"&amp;$F257,"3 Posting Date",U$9)</t>
  </si>
  <si>
    <t>=-NL("Sum","5802 Value Entry","151 Cost Amount (Expected)","41 Source Type",$C$5,"5 Source No.",$C257,"4 Item Ledger Entry Type",$C$4,"2 Item No.","@@"&amp;$F257,"3 Posting Date",U$9)-NL("Sum","5802 Value Entry","43 Cost Amount (Actual)","41 Source Type",$C$5,"5 Source no.",$C257,"4 Item Ledger Entry Type",$C$4,"2 Item No.","@@"&amp;$F257,"3 Posting Date",U$9)</t>
  </si>
  <si>
    <t>=U257-W257</t>
  </si>
  <si>
    <t>=IF(U257&lt;&gt;0,X257/U257,"")</t>
  </si>
  <si>
    <t>=NL("Sum","5802 Value Entry","150 Sales Amount (Expected)","41 Source Type",$C$5,"5 Source No.",$C257,"4 Item Ledger Entry Type",$C$4,"2 Item No.","@@"&amp;$F257,"3 Posting Date",Z$9)+NL("Sum","5802 Value Entry","17 Sales Amount (Actual)","41 Source Type",$C$5,"5 Source no.",$C257,"4 Item Ledger Entry Type",$C$4,"2 Item No.","@@"&amp;$F257,"3 Posting Date",Z$9)</t>
  </si>
  <si>
    <t>=-NL("Sum","5802 Value Entry","151 Cost Amount (Expected)","41 Source Type",$C$5,"5 Source No.",$C257,"4 Item Ledger Entry Type",$C$4,"2 Item No.","@@"&amp;$F257,"3 Posting Date",Z$9)-NL("Sum","5802 Value Entry","43 Cost Amount (Actual)","41 Source Type",$C$5,"5 Source no.",$C257,"4 Item Ledger Entry Type",$C$4,"2 Item No.","@@"&amp;$F257,"3 Posting Date",Z$9)</t>
  </si>
  <si>
    <t>=Z257-AB257</t>
  </si>
  <si>
    <t>=IF(Z257&lt;&gt;0,AC257/Z257,"")</t>
  </si>
  <si>
    <t>=C257</t>
  </si>
  <si>
    <t>=NL("Sum","5802 Value Entry","150 Sales Amount (Expected)","41 Source Type",$C$5,"5 Source No.",$C258,"4 Item Ledger Entry Type",$C$4,"2 Item No.","@@"&amp;$F258,"3 Posting Date",J$9)+NL("Sum","5802 Value Entry","17 Sales Amount (Actual)","41 Source Type",$C$5,"5 Source no.",$C258,"4 Item Ledger Entry Type",$C$4,"2 Item No.","@@"&amp;$F258,"3 Posting Date",J$9)</t>
  </si>
  <si>
    <t>=-NL("Sum","5802 Value Entry","151 Cost Amount (Expected)","41 Source Type",$C$5,"5 Source No.",$C258,"4 Item Ledger Entry Type",$C$4,"2 Item No.","@@"&amp;$F258,"3 Posting Date",J$9)-NL("Sum","5802 Value Entry","43 Cost Amount (Actual)","41 Source Type",$C$5,"5 Source no.",$C258,"4 Item Ledger Entry Type",$C$4,"2 Item No.","@@"&amp;$F258,"3 Posting Date",J$9)</t>
  </si>
  <si>
    <t>=J258-L258</t>
  </si>
  <si>
    <t>=IF(J258&lt;&gt;0,M258/J258,"")</t>
  </si>
  <si>
    <t>=NL("Sum","5802 Value Entry","150 Sales Amount (Expected)","41 Source Type",$C$5,"5 Source No.",$C258,"4 Item Ledger Entry Type",$C$4,"2 Item No.","@@"&amp;$F258,"3 Posting Date",O$9)+NL("Sum","5802 Value Entry","17 Sales Amount (Actual)","41 Source Type",$C$5,"5 Source no.",$C258,"4 Item Ledger Entry Type",$C$4,"2 Item No.","@@"&amp;$F258,"3 Posting Date",O$9)</t>
  </si>
  <si>
    <t>=-NL("Sum","5802 Value Entry","151 Cost Amount (Expected)","41 Source Type",$C$5,"5 Source No.",$C258,"4 Item Ledger Entry Type",$C$4,"2 Item No.","@@"&amp;$F258,"3 Posting Date",O$9)-NL("Sum","5802 Value Entry","43 Cost Amount (Actual)","41 Source Type",$C$5,"5 Source no.",$C258,"4 Item Ledger Entry Type",$C$4,"2 Item No.","@@"&amp;$F258,"3 Posting Date",O$9)</t>
  </si>
  <si>
    <t>=O258-Q258</t>
  </si>
  <si>
    <t>=IF(O258&lt;&gt;0,R258/O258,"")</t>
  </si>
  <si>
    <t>=NL("Sum","5802 Value Entry","150 Sales Amount (Expected)","41 Source Type",$C$5,"5 Source No.",$C258,"4 Item Ledger Entry Type",$C$4,"2 Item No.","@@"&amp;$F258,"3 Posting Date",U$9)+NL("Sum","5802 Value Entry","17 Sales Amount (Actual)","41 Source Type",$C$5,"5 Source no.",$C258,"4 Item Ledger Entry Type",$C$4,"2 Item No.","@@"&amp;$F258,"3 Posting Date",U$9)</t>
  </si>
  <si>
    <t>=-NL("Sum","5802 Value Entry","151 Cost Amount (Expected)","41 Source Type",$C$5,"5 Source No.",$C258,"4 Item Ledger Entry Type",$C$4,"2 Item No.","@@"&amp;$F258,"3 Posting Date",U$9)-NL("Sum","5802 Value Entry","43 Cost Amount (Actual)","41 Source Type",$C$5,"5 Source no.",$C258,"4 Item Ledger Entry Type",$C$4,"2 Item No.","@@"&amp;$F258,"3 Posting Date",U$9)</t>
  </si>
  <si>
    <t>=U258-W258</t>
  </si>
  <si>
    <t>=IF(U258&lt;&gt;0,X258/U258,"")</t>
  </si>
  <si>
    <t>=NL("Sum","5802 Value Entry","150 Sales Amount (Expected)","41 Source Type",$C$5,"5 Source No.",$C258,"4 Item Ledger Entry Type",$C$4,"2 Item No.","@@"&amp;$F258,"3 Posting Date",Z$9)+NL("Sum","5802 Value Entry","17 Sales Amount (Actual)","41 Source Type",$C$5,"5 Source no.",$C258,"4 Item Ledger Entry Type",$C$4,"2 Item No.","@@"&amp;$F258,"3 Posting Date",Z$9)</t>
  </si>
  <si>
    <t>=-NL("Sum","5802 Value Entry","151 Cost Amount (Expected)","41 Source Type",$C$5,"5 Source No.",$C258,"4 Item Ledger Entry Type",$C$4,"2 Item No.","@@"&amp;$F258,"3 Posting Date",Z$9)-NL("Sum","5802 Value Entry","43 Cost Amount (Actual)","41 Source Type",$C$5,"5 Source no.",$C258,"4 Item Ledger Entry Type",$C$4,"2 Item No.","@@"&amp;$F258,"3 Posting Date",Z$9)</t>
  </si>
  <si>
    <t>=Z258-AB258</t>
  </si>
  <si>
    <t>=IF(Z258&lt;&gt;0,AC258/Z258,"")</t>
  </si>
  <si>
    <t>=C258</t>
  </si>
  <si>
    <t>=NL("Sum","5802 Value Entry","150 Sales Amount (Expected)","41 Source Type",$C$5,"5 Source No.",$C259,"4 Item Ledger Entry Type",$C$4,"2 Item No.","@@"&amp;$F259,"3 Posting Date",J$9)+NL("Sum","5802 Value Entry","17 Sales Amount (Actual)","41 Source Type",$C$5,"5 Source no.",$C259,"4 Item Ledger Entry Type",$C$4,"2 Item No.","@@"&amp;$F259,"3 Posting Date",J$9)</t>
  </si>
  <si>
    <t>=-NL("Sum","5802 Value Entry","151 Cost Amount (Expected)","41 Source Type",$C$5,"5 Source No.",$C259,"4 Item Ledger Entry Type",$C$4,"2 Item No.","@@"&amp;$F259,"3 Posting Date",J$9)-NL("Sum","5802 Value Entry","43 Cost Amount (Actual)","41 Source Type",$C$5,"5 Source no.",$C259,"4 Item Ledger Entry Type",$C$4,"2 Item No.","@@"&amp;$F259,"3 Posting Date",J$9)</t>
  </si>
  <si>
    <t>=J259-L259</t>
  </si>
  <si>
    <t>=IF(J259&lt;&gt;0,M259/J259,"")</t>
  </si>
  <si>
    <t>=NL("Sum","5802 Value Entry","150 Sales Amount (Expected)","41 Source Type",$C$5,"5 Source No.",$C259,"4 Item Ledger Entry Type",$C$4,"2 Item No.","@@"&amp;$F259,"3 Posting Date",O$9)+NL("Sum","5802 Value Entry","17 Sales Amount (Actual)","41 Source Type",$C$5,"5 Source no.",$C259,"4 Item Ledger Entry Type",$C$4,"2 Item No.","@@"&amp;$F259,"3 Posting Date",O$9)</t>
  </si>
  <si>
    <t>=-NL("Sum","5802 Value Entry","151 Cost Amount (Expected)","41 Source Type",$C$5,"5 Source No.",$C259,"4 Item Ledger Entry Type",$C$4,"2 Item No.","@@"&amp;$F259,"3 Posting Date",O$9)-NL("Sum","5802 Value Entry","43 Cost Amount (Actual)","41 Source Type",$C$5,"5 Source no.",$C259,"4 Item Ledger Entry Type",$C$4,"2 Item No.","@@"&amp;$F259,"3 Posting Date",O$9)</t>
  </si>
  <si>
    <t>=O259-Q259</t>
  </si>
  <si>
    <t>=IF(O259&lt;&gt;0,R259/O259,"")</t>
  </si>
  <si>
    <t>=NL("Sum","5802 Value Entry","150 Sales Amount (Expected)","41 Source Type",$C$5,"5 Source No.",$C259,"4 Item Ledger Entry Type",$C$4,"2 Item No.","@@"&amp;$F259,"3 Posting Date",U$9)+NL("Sum","5802 Value Entry","17 Sales Amount (Actual)","41 Source Type",$C$5,"5 Source no.",$C259,"4 Item Ledger Entry Type",$C$4,"2 Item No.","@@"&amp;$F259,"3 Posting Date",U$9)</t>
  </si>
  <si>
    <t>=-NL("Sum","5802 Value Entry","151 Cost Amount (Expected)","41 Source Type",$C$5,"5 Source No.",$C259,"4 Item Ledger Entry Type",$C$4,"2 Item No.","@@"&amp;$F259,"3 Posting Date",U$9)-NL("Sum","5802 Value Entry","43 Cost Amount (Actual)","41 Source Type",$C$5,"5 Source no.",$C259,"4 Item Ledger Entry Type",$C$4,"2 Item No.","@@"&amp;$F259,"3 Posting Date",U$9)</t>
  </si>
  <si>
    <t>=U259-W259</t>
  </si>
  <si>
    <t>=IF(U259&lt;&gt;0,X259/U259,"")</t>
  </si>
  <si>
    <t>=NL("Sum","5802 Value Entry","150 Sales Amount (Expected)","41 Source Type",$C$5,"5 Source No.",$C259,"4 Item Ledger Entry Type",$C$4,"2 Item No.","@@"&amp;$F259,"3 Posting Date",Z$9)+NL("Sum","5802 Value Entry","17 Sales Amount (Actual)","41 Source Type",$C$5,"5 Source no.",$C259,"4 Item Ledger Entry Type",$C$4,"2 Item No.","@@"&amp;$F259,"3 Posting Date",Z$9)</t>
  </si>
  <si>
    <t>=-NL("Sum","5802 Value Entry","151 Cost Amount (Expected)","41 Source Type",$C$5,"5 Source No.",$C259,"4 Item Ledger Entry Type",$C$4,"2 Item No.","@@"&amp;$F259,"3 Posting Date",Z$9)-NL("Sum","5802 Value Entry","43 Cost Amount (Actual)","41 Source Type",$C$5,"5 Source no.",$C259,"4 Item Ledger Entry Type",$C$4,"2 Item No.","@@"&amp;$F259,"3 Posting Date",Z$9)</t>
  </si>
  <si>
    <t>=Z259-AB259</t>
  </si>
  <si>
    <t>=IF(Z259&lt;&gt;0,AC259/Z259,"")</t>
  </si>
  <si>
    <t>=C259</t>
  </si>
  <si>
    <t>="E100020"</t>
  </si>
  <si>
    <t>=NL("Sum","5802 Value Entry","150 Sales Amount (Expected)","41 Source Type",$C$5,"5 Source No.",$C260,"4 Item Ledger Entry Type",$C$4,"2 Item No.","@@"&amp;$F260,"3 Posting Date",J$9)+NL("Sum","5802 Value Entry","17 Sales Amount (Actual)","41 Source Type",$C$5,"5 Source no.",$C260,"4 Item Ledger Entry Type",$C$4,"2 Item No.","@@"&amp;$F260,"3 Posting Date",J$9)</t>
  </si>
  <si>
    <t>=-NL("Sum","5802 Value Entry","151 Cost Amount (Expected)","41 Source Type",$C$5,"5 Source No.",$C260,"4 Item Ledger Entry Type",$C$4,"2 Item No.","@@"&amp;$F260,"3 Posting Date",J$9)-NL("Sum","5802 Value Entry","43 Cost Amount (Actual)","41 Source Type",$C$5,"5 Source no.",$C260,"4 Item Ledger Entry Type",$C$4,"2 Item No.","@@"&amp;$F260,"3 Posting Date",J$9)</t>
  </si>
  <si>
    <t>=J260-L260</t>
  </si>
  <si>
    <t>=IF(J260&lt;&gt;0,M260/J260,"")</t>
  </si>
  <si>
    <t>=NL("Sum","5802 Value Entry","150 Sales Amount (Expected)","41 Source Type",$C$5,"5 Source No.",$C260,"4 Item Ledger Entry Type",$C$4,"2 Item No.","@@"&amp;$F260,"3 Posting Date",O$9)+NL("Sum","5802 Value Entry","17 Sales Amount (Actual)","41 Source Type",$C$5,"5 Source no.",$C260,"4 Item Ledger Entry Type",$C$4,"2 Item No.","@@"&amp;$F260,"3 Posting Date",O$9)</t>
  </si>
  <si>
    <t>=-NL("Sum","5802 Value Entry","151 Cost Amount (Expected)","41 Source Type",$C$5,"5 Source No.",$C260,"4 Item Ledger Entry Type",$C$4,"2 Item No.","@@"&amp;$F260,"3 Posting Date",O$9)-NL("Sum","5802 Value Entry","43 Cost Amount (Actual)","41 Source Type",$C$5,"5 Source no.",$C260,"4 Item Ledger Entry Type",$C$4,"2 Item No.","@@"&amp;$F260,"3 Posting Date",O$9)</t>
  </si>
  <si>
    <t>=O260-Q260</t>
  </si>
  <si>
    <t>=IF(O260&lt;&gt;0,R260/O260,"")</t>
  </si>
  <si>
    <t>=NL("Sum","5802 Value Entry","150 Sales Amount (Expected)","41 Source Type",$C$5,"5 Source No.",$C260,"4 Item Ledger Entry Type",$C$4,"2 Item No.","@@"&amp;$F260,"3 Posting Date",U$9)+NL("Sum","5802 Value Entry","17 Sales Amount (Actual)","41 Source Type",$C$5,"5 Source no.",$C260,"4 Item Ledger Entry Type",$C$4,"2 Item No.","@@"&amp;$F260,"3 Posting Date",U$9)</t>
  </si>
  <si>
    <t>=-NL("Sum","5802 Value Entry","151 Cost Amount (Expected)","41 Source Type",$C$5,"5 Source No.",$C260,"4 Item Ledger Entry Type",$C$4,"2 Item No.","@@"&amp;$F260,"3 Posting Date",U$9)-NL("Sum","5802 Value Entry","43 Cost Amount (Actual)","41 Source Type",$C$5,"5 Source no.",$C260,"4 Item Ledger Entry Type",$C$4,"2 Item No.","@@"&amp;$F260,"3 Posting Date",U$9)</t>
  </si>
  <si>
    <t>=U260-W260</t>
  </si>
  <si>
    <t>=IF(U260&lt;&gt;0,X260/U260,"")</t>
  </si>
  <si>
    <t>=NL("Sum","5802 Value Entry","150 Sales Amount (Expected)","41 Source Type",$C$5,"5 Source No.",$C260,"4 Item Ledger Entry Type",$C$4,"2 Item No.","@@"&amp;$F260,"3 Posting Date",Z$9)+NL("Sum","5802 Value Entry","17 Sales Amount (Actual)","41 Source Type",$C$5,"5 Source no.",$C260,"4 Item Ledger Entry Type",$C$4,"2 Item No.","@@"&amp;$F260,"3 Posting Date",Z$9)</t>
  </si>
  <si>
    <t>=-NL("Sum","5802 Value Entry","151 Cost Amount (Expected)","41 Source Type",$C$5,"5 Source No.",$C260,"4 Item Ledger Entry Type",$C$4,"2 Item No.","@@"&amp;$F260,"3 Posting Date",Z$9)-NL("Sum","5802 Value Entry","43 Cost Amount (Actual)","41 Source Type",$C$5,"5 Source no.",$C260,"4 Item Ledger Entry Type",$C$4,"2 Item No.","@@"&amp;$F260,"3 Posting Date",Z$9)</t>
  </si>
  <si>
    <t>=Z260-AB260</t>
  </si>
  <si>
    <t>=IF(Z260&lt;&gt;0,AC260/Z260,"")</t>
  </si>
  <si>
    <t>=C260</t>
  </si>
  <si>
    <t>=NL("Sum","5802 Value Entry","150 Sales Amount (Expected)","41 Source Type",$C$5,"5 Source No.",$C261,"4 Item Ledger Entry Type",$C$4,"2 Item No.","@@"&amp;$F261,"3 Posting Date",J$9)+NL("Sum","5802 Value Entry","17 Sales Amount (Actual)","41 Source Type",$C$5,"5 Source no.",$C261,"4 Item Ledger Entry Type",$C$4,"2 Item No.","@@"&amp;$F261,"3 Posting Date",J$9)</t>
  </si>
  <si>
    <t>=-NL("Sum","5802 Value Entry","151 Cost Amount (Expected)","41 Source Type",$C$5,"5 Source No.",$C261,"4 Item Ledger Entry Type",$C$4,"2 Item No.","@@"&amp;$F261,"3 Posting Date",J$9)-NL("Sum","5802 Value Entry","43 Cost Amount (Actual)","41 Source Type",$C$5,"5 Source no.",$C261,"4 Item Ledger Entry Type",$C$4,"2 Item No.","@@"&amp;$F261,"3 Posting Date",J$9)</t>
  </si>
  <si>
    <t>=J261-L261</t>
  </si>
  <si>
    <t>=IF(J261&lt;&gt;0,M261/J261,"")</t>
  </si>
  <si>
    <t>=NL("Sum","5802 Value Entry","150 Sales Amount (Expected)","41 Source Type",$C$5,"5 Source No.",$C261,"4 Item Ledger Entry Type",$C$4,"2 Item No.","@@"&amp;$F261,"3 Posting Date",O$9)+NL("Sum","5802 Value Entry","17 Sales Amount (Actual)","41 Source Type",$C$5,"5 Source no.",$C261,"4 Item Ledger Entry Type",$C$4,"2 Item No.","@@"&amp;$F261,"3 Posting Date",O$9)</t>
  </si>
  <si>
    <t>=-NL("Sum","5802 Value Entry","151 Cost Amount (Expected)","41 Source Type",$C$5,"5 Source No.",$C261,"4 Item Ledger Entry Type",$C$4,"2 Item No.","@@"&amp;$F261,"3 Posting Date",O$9)-NL("Sum","5802 Value Entry","43 Cost Amount (Actual)","41 Source Type",$C$5,"5 Source no.",$C261,"4 Item Ledger Entry Type",$C$4,"2 Item No.","@@"&amp;$F261,"3 Posting Date",O$9)</t>
  </si>
  <si>
    <t>=O261-Q261</t>
  </si>
  <si>
    <t>=IF(O261&lt;&gt;0,R261/O261,"")</t>
  </si>
  <si>
    <t>=NL("Sum","5802 Value Entry","150 Sales Amount (Expected)","41 Source Type",$C$5,"5 Source No.",$C261,"4 Item Ledger Entry Type",$C$4,"2 Item No.","@@"&amp;$F261,"3 Posting Date",U$9)+NL("Sum","5802 Value Entry","17 Sales Amount (Actual)","41 Source Type",$C$5,"5 Source no.",$C261,"4 Item Ledger Entry Type",$C$4,"2 Item No.","@@"&amp;$F261,"3 Posting Date",U$9)</t>
  </si>
  <si>
    <t>=-NL("Sum","5802 Value Entry","151 Cost Amount (Expected)","41 Source Type",$C$5,"5 Source No.",$C261,"4 Item Ledger Entry Type",$C$4,"2 Item No.","@@"&amp;$F261,"3 Posting Date",U$9)-NL("Sum","5802 Value Entry","43 Cost Amount (Actual)","41 Source Type",$C$5,"5 Source no.",$C261,"4 Item Ledger Entry Type",$C$4,"2 Item No.","@@"&amp;$F261,"3 Posting Date",U$9)</t>
  </si>
  <si>
    <t>=U261-W261</t>
  </si>
  <si>
    <t>=IF(U261&lt;&gt;0,X261/U261,"")</t>
  </si>
  <si>
    <t>=NL("Sum","5802 Value Entry","150 Sales Amount (Expected)","41 Source Type",$C$5,"5 Source No.",$C261,"4 Item Ledger Entry Type",$C$4,"2 Item No.","@@"&amp;$F261,"3 Posting Date",Z$9)+NL("Sum","5802 Value Entry","17 Sales Amount (Actual)","41 Source Type",$C$5,"5 Source no.",$C261,"4 Item Ledger Entry Type",$C$4,"2 Item No.","@@"&amp;$F261,"3 Posting Date",Z$9)</t>
  </si>
  <si>
    <t>=-NL("Sum","5802 Value Entry","151 Cost Amount (Expected)","41 Source Type",$C$5,"5 Source No.",$C261,"4 Item Ledger Entry Type",$C$4,"2 Item No.","@@"&amp;$F261,"3 Posting Date",Z$9)-NL("Sum","5802 Value Entry","43 Cost Amount (Actual)","41 Source Type",$C$5,"5 Source no.",$C261,"4 Item Ledger Entry Type",$C$4,"2 Item No.","@@"&amp;$F261,"3 Posting Date",Z$9)</t>
  </si>
  <si>
    <t>=Z261-AB261</t>
  </si>
  <si>
    <t>=IF(Z261&lt;&gt;0,AC261/Z261,"")</t>
  </si>
  <si>
    <t>=C261</t>
  </si>
  <si>
    <t>=NL("Sum","5802 Value Entry","150 Sales Amount (Expected)","41 Source Type",$C$5,"5 Source No.",$C262,"4 Item Ledger Entry Type",$C$4,"2 Item No.","@@"&amp;$F262,"3 Posting Date",J$9)+NL("Sum","5802 Value Entry","17 Sales Amount (Actual)","41 Source Type",$C$5,"5 Source no.",$C262,"4 Item Ledger Entry Type",$C$4,"2 Item No.","@@"&amp;$F262,"3 Posting Date",J$9)</t>
  </si>
  <si>
    <t>=-NL("Sum","5802 Value Entry","151 Cost Amount (Expected)","41 Source Type",$C$5,"5 Source No.",$C262,"4 Item Ledger Entry Type",$C$4,"2 Item No.","@@"&amp;$F262,"3 Posting Date",J$9)-NL("Sum","5802 Value Entry","43 Cost Amount (Actual)","41 Source Type",$C$5,"5 Source no.",$C262,"4 Item Ledger Entry Type",$C$4,"2 Item No.","@@"&amp;$F262,"3 Posting Date",J$9)</t>
  </si>
  <si>
    <t>=J262-L262</t>
  </si>
  <si>
    <t>=IF(J262&lt;&gt;0,M262/J262,"")</t>
  </si>
  <si>
    <t>=NL("Sum","5802 Value Entry","150 Sales Amount (Expected)","41 Source Type",$C$5,"5 Source No.",$C262,"4 Item Ledger Entry Type",$C$4,"2 Item No.","@@"&amp;$F262,"3 Posting Date",O$9)+NL("Sum","5802 Value Entry","17 Sales Amount (Actual)","41 Source Type",$C$5,"5 Source no.",$C262,"4 Item Ledger Entry Type",$C$4,"2 Item No.","@@"&amp;$F262,"3 Posting Date",O$9)</t>
  </si>
  <si>
    <t>=-NL("Sum","5802 Value Entry","151 Cost Amount (Expected)","41 Source Type",$C$5,"5 Source No.",$C262,"4 Item Ledger Entry Type",$C$4,"2 Item No.","@@"&amp;$F262,"3 Posting Date",O$9)-NL("Sum","5802 Value Entry","43 Cost Amount (Actual)","41 Source Type",$C$5,"5 Source no.",$C262,"4 Item Ledger Entry Type",$C$4,"2 Item No.","@@"&amp;$F262,"3 Posting Date",O$9)</t>
  </si>
  <si>
    <t>=O262-Q262</t>
  </si>
  <si>
    <t>=IF(O262&lt;&gt;0,R262/O262,"")</t>
  </si>
  <si>
    <t>=NL("Sum","5802 Value Entry","150 Sales Amount (Expected)","41 Source Type",$C$5,"5 Source No.",$C262,"4 Item Ledger Entry Type",$C$4,"2 Item No.","@@"&amp;$F262,"3 Posting Date",U$9)+NL("Sum","5802 Value Entry","17 Sales Amount (Actual)","41 Source Type",$C$5,"5 Source no.",$C262,"4 Item Ledger Entry Type",$C$4,"2 Item No.","@@"&amp;$F262,"3 Posting Date",U$9)</t>
  </si>
  <si>
    <t>=-NL("Sum","5802 Value Entry","151 Cost Amount (Expected)","41 Source Type",$C$5,"5 Source No.",$C262,"4 Item Ledger Entry Type",$C$4,"2 Item No.","@@"&amp;$F262,"3 Posting Date",U$9)-NL("Sum","5802 Value Entry","43 Cost Amount (Actual)","41 Source Type",$C$5,"5 Source no.",$C262,"4 Item Ledger Entry Type",$C$4,"2 Item No.","@@"&amp;$F262,"3 Posting Date",U$9)</t>
  </si>
  <si>
    <t>=U262-W262</t>
  </si>
  <si>
    <t>=IF(U262&lt;&gt;0,X262/U262,"")</t>
  </si>
  <si>
    <t>=NL("Sum","5802 Value Entry","150 Sales Amount (Expected)","41 Source Type",$C$5,"5 Source No.",$C262,"4 Item Ledger Entry Type",$C$4,"2 Item No.","@@"&amp;$F262,"3 Posting Date",Z$9)+NL("Sum","5802 Value Entry","17 Sales Amount (Actual)","41 Source Type",$C$5,"5 Source no.",$C262,"4 Item Ledger Entry Type",$C$4,"2 Item No.","@@"&amp;$F262,"3 Posting Date",Z$9)</t>
  </si>
  <si>
    <t>=-NL("Sum","5802 Value Entry","151 Cost Amount (Expected)","41 Source Type",$C$5,"5 Source No.",$C262,"4 Item Ledger Entry Type",$C$4,"2 Item No.","@@"&amp;$F262,"3 Posting Date",Z$9)-NL("Sum","5802 Value Entry","43 Cost Amount (Actual)","41 Source Type",$C$5,"5 Source no.",$C262,"4 Item Ledger Entry Type",$C$4,"2 Item No.","@@"&amp;$F262,"3 Posting Date",Z$9)</t>
  </si>
  <si>
    <t>=Z262-AB262</t>
  </si>
  <si>
    <t>=IF(Z262&lt;&gt;0,AC262/Z262,"")</t>
  </si>
  <si>
    <t>=C263</t>
  </si>
  <si>
    <t>=J264-L264</t>
  </si>
  <si>
    <t>=IF(J264&lt;&gt;0,M264/J264,"")</t>
  </si>
  <si>
    <t>=O264-Q264</t>
  </si>
  <si>
    <t>=IF(O264&lt;&gt;0,R264/O264,"")</t>
  </si>
  <si>
    <t>=U264-W264</t>
  </si>
  <si>
    <t>=IF(U264&lt;&gt;0,X264/U264,"")</t>
  </si>
  <si>
    <t>=Z264-AB264</t>
  </si>
  <si>
    <t>=IF(Z264&lt;&gt;0,AC264/Z264,"")</t>
  </si>
  <si>
    <t>=C266</t>
  </si>
  <si>
    <t>=C267</t>
  </si>
  <si>
    <t>=NL("Sum","5802 Value Entry","150 Sales Amount (Expected)","41 Source Type",$C$5,"5 Source No.",$C268,"4 Item Ledger Entry Type",$C$4,"2 Item No.","@@"&amp;$F268,"3 Posting Date",J$9)+NL("Sum","5802 Value Entry","17 Sales Amount (Actual)","41 Source Type",$C$5,"5 Source no.",$C268,"4 Item Ledger Entry Type",$C$4,"2 Item No.","@@"&amp;$F268,"3 Posting Date",J$9)</t>
  </si>
  <si>
    <t>=-NL("Sum","5802 Value Entry","151 Cost Amount (Expected)","41 Source Type",$C$5,"5 Source No.",$C268,"4 Item Ledger Entry Type",$C$4,"2 Item No.","@@"&amp;$F268,"3 Posting Date",J$9)-NL("Sum","5802 Value Entry","43 Cost Amount (Actual)","41 Source Type",$C$5,"5 Source no.",$C268,"4 Item Ledger Entry Type",$C$4,"2 Item No.","@@"&amp;$F268,"3 Posting Date",J$9)</t>
  </si>
  <si>
    <t>=J268-L268</t>
  </si>
  <si>
    <t>=IF(J268&lt;&gt;0,M268/J268,"")</t>
  </si>
  <si>
    <t>=NL("Sum","5802 Value Entry","150 Sales Amount (Expected)","41 Source Type",$C$5,"5 Source No.",$C268,"4 Item Ledger Entry Type",$C$4,"2 Item No.","@@"&amp;$F268,"3 Posting Date",O$9)+NL("Sum","5802 Value Entry","17 Sales Amount (Actual)","41 Source Type",$C$5,"5 Source no.",$C268,"4 Item Ledger Entry Type",$C$4,"2 Item No.","@@"&amp;$F268,"3 Posting Date",O$9)</t>
  </si>
  <si>
    <t>=-NL("Sum","5802 Value Entry","151 Cost Amount (Expected)","41 Source Type",$C$5,"5 Source No.",$C268,"4 Item Ledger Entry Type",$C$4,"2 Item No.","@@"&amp;$F268,"3 Posting Date",O$9)-NL("Sum","5802 Value Entry","43 Cost Amount (Actual)","41 Source Type",$C$5,"5 Source no.",$C268,"4 Item Ledger Entry Type",$C$4,"2 Item No.","@@"&amp;$F268,"3 Posting Date",O$9)</t>
  </si>
  <si>
    <t>=O268-Q268</t>
  </si>
  <si>
    <t>=IF(O268&lt;&gt;0,R268/O268,"")</t>
  </si>
  <si>
    <t>=NL("Sum","5802 Value Entry","150 Sales Amount (Expected)","41 Source Type",$C$5,"5 Source No.",$C268,"4 Item Ledger Entry Type",$C$4,"2 Item No.","@@"&amp;$F268,"3 Posting Date",U$9)+NL("Sum","5802 Value Entry","17 Sales Amount (Actual)","41 Source Type",$C$5,"5 Source no.",$C268,"4 Item Ledger Entry Type",$C$4,"2 Item No.","@@"&amp;$F268,"3 Posting Date",U$9)</t>
  </si>
  <si>
    <t>=-NL("Sum","5802 Value Entry","151 Cost Amount (Expected)","41 Source Type",$C$5,"5 Source No.",$C268,"4 Item Ledger Entry Type",$C$4,"2 Item No.","@@"&amp;$F268,"3 Posting Date",U$9)-NL("Sum","5802 Value Entry","43 Cost Amount (Actual)","41 Source Type",$C$5,"5 Source no.",$C268,"4 Item Ledger Entry Type",$C$4,"2 Item No.","@@"&amp;$F268,"3 Posting Date",U$9)</t>
  </si>
  <si>
    <t>=U268-W268</t>
  </si>
  <si>
    <t>=IF(U268&lt;&gt;0,X268/U268,"")</t>
  </si>
  <si>
    <t>=NL("Sum","5802 Value Entry","150 Sales Amount (Expected)","41 Source Type",$C$5,"5 Source No.",$C268,"4 Item Ledger Entry Type",$C$4,"2 Item No.","@@"&amp;$F268,"3 Posting Date",Z$9)+NL("Sum","5802 Value Entry","17 Sales Amount (Actual)","41 Source Type",$C$5,"5 Source no.",$C268,"4 Item Ledger Entry Type",$C$4,"2 Item No.","@@"&amp;$F268,"3 Posting Date",Z$9)</t>
  </si>
  <si>
    <t>=-NL("Sum","5802 Value Entry","151 Cost Amount (Expected)","41 Source Type",$C$5,"5 Source No.",$C268,"4 Item Ledger Entry Type",$C$4,"2 Item No.","@@"&amp;$F268,"3 Posting Date",Z$9)-NL("Sum","5802 Value Entry","43 Cost Amount (Actual)","41 Source Type",$C$5,"5 Source no.",$C268,"4 Item Ledger Entry Type",$C$4,"2 Item No.","@@"&amp;$F268,"3 Posting Date",Z$9)</t>
  </si>
  <si>
    <t>=Z268-AB268</t>
  </si>
  <si>
    <t>=IF(Z268&lt;&gt;0,AC268/Z268,"")</t>
  </si>
  <si>
    <t>=C268</t>
  </si>
  <si>
    <t>=NL("Sum","5802 Value Entry","150 Sales Amount (Expected)","41 Source Type",$C$5,"5 Source No.",$C269,"4 Item Ledger Entry Type",$C$4,"2 Item No.","@@"&amp;$F269,"3 Posting Date",J$9)+NL("Sum","5802 Value Entry","17 Sales Amount (Actual)","41 Source Type",$C$5,"5 Source no.",$C269,"4 Item Ledger Entry Type",$C$4,"2 Item No.","@@"&amp;$F269,"3 Posting Date",J$9)</t>
  </si>
  <si>
    <t>=-NL("Sum","5802 Value Entry","151 Cost Amount (Expected)","41 Source Type",$C$5,"5 Source No.",$C269,"4 Item Ledger Entry Type",$C$4,"2 Item No.","@@"&amp;$F269,"3 Posting Date",J$9)-NL("Sum","5802 Value Entry","43 Cost Amount (Actual)","41 Source Type",$C$5,"5 Source no.",$C269,"4 Item Ledger Entry Type",$C$4,"2 Item No.","@@"&amp;$F269,"3 Posting Date",J$9)</t>
  </si>
  <si>
    <t>=J269-L269</t>
  </si>
  <si>
    <t>=IF(J269&lt;&gt;0,M269/J269,"")</t>
  </si>
  <si>
    <t>=NL("Sum","5802 Value Entry","150 Sales Amount (Expected)","41 Source Type",$C$5,"5 Source No.",$C269,"4 Item Ledger Entry Type",$C$4,"2 Item No.","@@"&amp;$F269,"3 Posting Date",O$9)+NL("Sum","5802 Value Entry","17 Sales Amount (Actual)","41 Source Type",$C$5,"5 Source no.",$C269,"4 Item Ledger Entry Type",$C$4,"2 Item No.","@@"&amp;$F269,"3 Posting Date",O$9)</t>
  </si>
  <si>
    <t>=-NL("Sum","5802 Value Entry","151 Cost Amount (Expected)","41 Source Type",$C$5,"5 Source No.",$C269,"4 Item Ledger Entry Type",$C$4,"2 Item No.","@@"&amp;$F269,"3 Posting Date",O$9)-NL("Sum","5802 Value Entry","43 Cost Amount (Actual)","41 Source Type",$C$5,"5 Source no.",$C269,"4 Item Ledger Entry Type",$C$4,"2 Item No.","@@"&amp;$F269,"3 Posting Date",O$9)</t>
  </si>
  <si>
    <t>=O269-Q269</t>
  </si>
  <si>
    <t>=IF(O269&lt;&gt;0,R269/O269,"")</t>
  </si>
  <si>
    <t>=NL("Sum","5802 Value Entry","150 Sales Amount (Expected)","41 Source Type",$C$5,"5 Source No.",$C269,"4 Item Ledger Entry Type",$C$4,"2 Item No.","@@"&amp;$F269,"3 Posting Date",U$9)+NL("Sum","5802 Value Entry","17 Sales Amount (Actual)","41 Source Type",$C$5,"5 Source no.",$C269,"4 Item Ledger Entry Type",$C$4,"2 Item No.","@@"&amp;$F269,"3 Posting Date",U$9)</t>
  </si>
  <si>
    <t>=-NL("Sum","5802 Value Entry","151 Cost Amount (Expected)","41 Source Type",$C$5,"5 Source No.",$C269,"4 Item Ledger Entry Type",$C$4,"2 Item No.","@@"&amp;$F269,"3 Posting Date",U$9)-NL("Sum","5802 Value Entry","43 Cost Amount (Actual)","41 Source Type",$C$5,"5 Source no.",$C269,"4 Item Ledger Entry Type",$C$4,"2 Item No.","@@"&amp;$F269,"3 Posting Date",U$9)</t>
  </si>
  <si>
    <t>=U269-W269</t>
  </si>
  <si>
    <t>=IF(U269&lt;&gt;0,X269/U269,"")</t>
  </si>
  <si>
    <t>=NL("Sum","5802 Value Entry","150 Sales Amount (Expected)","41 Source Type",$C$5,"5 Source No.",$C269,"4 Item Ledger Entry Type",$C$4,"2 Item No.","@@"&amp;$F269,"3 Posting Date",Z$9)+NL("Sum","5802 Value Entry","17 Sales Amount (Actual)","41 Source Type",$C$5,"5 Source no.",$C269,"4 Item Ledger Entry Type",$C$4,"2 Item No.","@@"&amp;$F269,"3 Posting Date",Z$9)</t>
  </si>
  <si>
    <t>=-NL("Sum","5802 Value Entry","151 Cost Amount (Expected)","41 Source Type",$C$5,"5 Source No.",$C269,"4 Item Ledger Entry Type",$C$4,"2 Item No.","@@"&amp;$F269,"3 Posting Date",Z$9)-NL("Sum","5802 Value Entry","43 Cost Amount (Actual)","41 Source Type",$C$5,"5 Source no.",$C269,"4 Item Ledger Entry Type",$C$4,"2 Item No.","@@"&amp;$F269,"3 Posting Date",Z$9)</t>
  </si>
  <si>
    <t>=Z269-AB269</t>
  </si>
  <si>
    <t>=IF(Z269&lt;&gt;0,AC269/Z269,"")</t>
  </si>
  <si>
    <t>=C270</t>
  </si>
  <si>
    <t>=J271-L271</t>
  </si>
  <si>
    <t>=IF(J271&lt;&gt;0,M271/J271,"")</t>
  </si>
  <si>
    <t>=O271-Q271</t>
  </si>
  <si>
    <t>=IF(O271&lt;&gt;0,R271/O271,"")</t>
  </si>
  <si>
    <t>=U271-W271</t>
  </si>
  <si>
    <t>=IF(U271&lt;&gt;0,X271/U271,"")</t>
  </si>
  <si>
    <t>=Z271-AB271</t>
  </si>
  <si>
    <t>=IF(Z271&lt;&gt;0,AC271/Z271,"")</t>
  </si>
  <si>
    <t>=C273</t>
  </si>
  <si>
    <t>=C274</t>
  </si>
  <si>
    <t>=NL("Sum","5802 Value Entry","150 Sales Amount (Expected)","41 Source Type",$C$5,"5 Source No.",$C275,"4 Item Ledger Entry Type",$C$4,"2 Item No.","@@"&amp;$F275,"3 Posting Date",J$9)+NL("Sum","5802 Value Entry","17 Sales Amount (Actual)","41 Source Type",$C$5,"5 Source no.",$C275,"4 Item Ledger Entry Type",$C$4,"2 Item No.","@@"&amp;$F275,"3 Posting Date",J$9)</t>
  </si>
  <si>
    <t>=-NL("Sum","5802 Value Entry","151 Cost Amount (Expected)","41 Source Type",$C$5,"5 Source No.",$C275,"4 Item Ledger Entry Type",$C$4,"2 Item No.","@@"&amp;$F275,"3 Posting Date",J$9)-NL("Sum","5802 Value Entry","43 Cost Amount (Actual)","41 Source Type",$C$5,"5 Source no.",$C275,"4 Item Ledger Entry Type",$C$4,"2 Item No.","@@"&amp;$F275,"3 Posting Date",J$9)</t>
  </si>
  <si>
    <t>=J275-L275</t>
  </si>
  <si>
    <t>=IF(J275&lt;&gt;0,M275/J275,"")</t>
  </si>
  <si>
    <t>=NL("Sum","5802 Value Entry","150 Sales Amount (Expected)","41 Source Type",$C$5,"5 Source No.",$C275,"4 Item Ledger Entry Type",$C$4,"2 Item No.","@@"&amp;$F275,"3 Posting Date",O$9)+NL("Sum","5802 Value Entry","17 Sales Amount (Actual)","41 Source Type",$C$5,"5 Source no.",$C275,"4 Item Ledger Entry Type",$C$4,"2 Item No.","@@"&amp;$F275,"3 Posting Date",O$9)</t>
  </si>
  <si>
    <t>=-NL("Sum","5802 Value Entry","151 Cost Amount (Expected)","41 Source Type",$C$5,"5 Source No.",$C275,"4 Item Ledger Entry Type",$C$4,"2 Item No.","@@"&amp;$F275,"3 Posting Date",O$9)-NL("Sum","5802 Value Entry","43 Cost Amount (Actual)","41 Source Type",$C$5,"5 Source no.",$C275,"4 Item Ledger Entry Type",$C$4,"2 Item No.","@@"&amp;$F275,"3 Posting Date",O$9)</t>
  </si>
  <si>
    <t>=O275-Q275</t>
  </si>
  <si>
    <t>=IF(O275&lt;&gt;0,R275/O275,"")</t>
  </si>
  <si>
    <t>=NL("Sum","5802 Value Entry","150 Sales Amount (Expected)","41 Source Type",$C$5,"5 Source No.",$C275,"4 Item Ledger Entry Type",$C$4,"2 Item No.","@@"&amp;$F275,"3 Posting Date",U$9)+NL("Sum","5802 Value Entry","17 Sales Amount (Actual)","41 Source Type",$C$5,"5 Source no.",$C275,"4 Item Ledger Entry Type",$C$4,"2 Item No.","@@"&amp;$F275,"3 Posting Date",U$9)</t>
  </si>
  <si>
    <t>=-NL("Sum","5802 Value Entry","151 Cost Amount (Expected)","41 Source Type",$C$5,"5 Source No.",$C275,"4 Item Ledger Entry Type",$C$4,"2 Item No.","@@"&amp;$F275,"3 Posting Date",U$9)-NL("Sum","5802 Value Entry","43 Cost Amount (Actual)","41 Source Type",$C$5,"5 Source no.",$C275,"4 Item Ledger Entry Type",$C$4,"2 Item No.","@@"&amp;$F275,"3 Posting Date",U$9)</t>
  </si>
  <si>
    <t>=U275-W275</t>
  </si>
  <si>
    <t>=IF(U275&lt;&gt;0,X275/U275,"")</t>
  </si>
  <si>
    <t>=NL("Sum","5802 Value Entry","150 Sales Amount (Expected)","41 Source Type",$C$5,"5 Source No.",$C275,"4 Item Ledger Entry Type",$C$4,"2 Item No.","@@"&amp;$F275,"3 Posting Date",Z$9)+NL("Sum","5802 Value Entry","17 Sales Amount (Actual)","41 Source Type",$C$5,"5 Source no.",$C275,"4 Item Ledger Entry Type",$C$4,"2 Item No.","@@"&amp;$F275,"3 Posting Date",Z$9)</t>
  </si>
  <si>
    <t>=-NL("Sum","5802 Value Entry","151 Cost Amount (Expected)","41 Source Type",$C$5,"5 Source No.",$C275,"4 Item Ledger Entry Type",$C$4,"2 Item No.","@@"&amp;$F275,"3 Posting Date",Z$9)-NL("Sum","5802 Value Entry","43 Cost Amount (Actual)","41 Source Type",$C$5,"5 Source no.",$C275,"4 Item Ledger Entry Type",$C$4,"2 Item No.","@@"&amp;$F275,"3 Posting Date",Z$9)</t>
  </si>
  <si>
    <t>=Z275-AB275</t>
  </si>
  <si>
    <t>=IF(Z275&lt;&gt;0,AC275/Z275,"")</t>
  </si>
  <si>
    <t>=C275</t>
  </si>
  <si>
    <t>=NL("Sum","5802 Value Entry","150 Sales Amount (Expected)","41 Source Type",$C$5,"5 Source No.",$C276,"4 Item Ledger Entry Type",$C$4,"2 Item No.","@@"&amp;$F276,"3 Posting Date",J$9)+NL("Sum","5802 Value Entry","17 Sales Amount (Actual)","41 Source Type",$C$5,"5 Source no.",$C276,"4 Item Ledger Entry Type",$C$4,"2 Item No.","@@"&amp;$F276,"3 Posting Date",J$9)</t>
  </si>
  <si>
    <t>=-NL("Sum","5802 Value Entry","151 Cost Amount (Expected)","41 Source Type",$C$5,"5 Source No.",$C276,"4 Item Ledger Entry Type",$C$4,"2 Item No.","@@"&amp;$F276,"3 Posting Date",J$9)-NL("Sum","5802 Value Entry","43 Cost Amount (Actual)","41 Source Type",$C$5,"5 Source no.",$C276,"4 Item Ledger Entry Type",$C$4,"2 Item No.","@@"&amp;$F276,"3 Posting Date",J$9)</t>
  </si>
  <si>
    <t>=J276-L276</t>
  </si>
  <si>
    <t>=IF(J276&lt;&gt;0,M276/J276,"")</t>
  </si>
  <si>
    <t>=NL("Sum","5802 Value Entry","150 Sales Amount (Expected)","41 Source Type",$C$5,"5 Source No.",$C276,"4 Item Ledger Entry Type",$C$4,"2 Item No.","@@"&amp;$F276,"3 Posting Date",O$9)+NL("Sum","5802 Value Entry","17 Sales Amount (Actual)","41 Source Type",$C$5,"5 Source no.",$C276,"4 Item Ledger Entry Type",$C$4,"2 Item No.","@@"&amp;$F276,"3 Posting Date",O$9)</t>
  </si>
  <si>
    <t>=-NL("Sum","5802 Value Entry","151 Cost Amount (Expected)","41 Source Type",$C$5,"5 Source No.",$C276,"4 Item Ledger Entry Type",$C$4,"2 Item No.","@@"&amp;$F276,"3 Posting Date",O$9)-NL("Sum","5802 Value Entry","43 Cost Amount (Actual)","41 Source Type",$C$5,"5 Source no.",$C276,"4 Item Ledger Entry Type",$C$4,"2 Item No.","@@"&amp;$F276,"3 Posting Date",O$9)</t>
  </si>
  <si>
    <t>=O276-Q276</t>
  </si>
  <si>
    <t>=IF(O276&lt;&gt;0,R276/O276,"")</t>
  </si>
  <si>
    <t>=NL("Sum","5802 Value Entry","150 Sales Amount (Expected)","41 Source Type",$C$5,"5 Source No.",$C276,"4 Item Ledger Entry Type",$C$4,"2 Item No.","@@"&amp;$F276,"3 Posting Date",U$9)+NL("Sum","5802 Value Entry","17 Sales Amount (Actual)","41 Source Type",$C$5,"5 Source no.",$C276,"4 Item Ledger Entry Type",$C$4,"2 Item No.","@@"&amp;$F276,"3 Posting Date",U$9)</t>
  </si>
  <si>
    <t>=-NL("Sum","5802 Value Entry","151 Cost Amount (Expected)","41 Source Type",$C$5,"5 Source No.",$C276,"4 Item Ledger Entry Type",$C$4,"2 Item No.","@@"&amp;$F276,"3 Posting Date",U$9)-NL("Sum","5802 Value Entry","43 Cost Amount (Actual)","41 Source Type",$C$5,"5 Source no.",$C276,"4 Item Ledger Entry Type",$C$4,"2 Item No.","@@"&amp;$F276,"3 Posting Date",U$9)</t>
  </si>
  <si>
    <t>=U276-W276</t>
  </si>
  <si>
    <t>=IF(U276&lt;&gt;0,X276/U276,"")</t>
  </si>
  <si>
    <t>=NL("Sum","5802 Value Entry","150 Sales Amount (Expected)","41 Source Type",$C$5,"5 Source No.",$C276,"4 Item Ledger Entry Type",$C$4,"2 Item No.","@@"&amp;$F276,"3 Posting Date",Z$9)+NL("Sum","5802 Value Entry","17 Sales Amount (Actual)","41 Source Type",$C$5,"5 Source no.",$C276,"4 Item Ledger Entry Type",$C$4,"2 Item No.","@@"&amp;$F276,"3 Posting Date",Z$9)</t>
  </si>
  <si>
    <t>=-NL("Sum","5802 Value Entry","151 Cost Amount (Expected)","41 Source Type",$C$5,"5 Source No.",$C276,"4 Item Ledger Entry Type",$C$4,"2 Item No.","@@"&amp;$F276,"3 Posting Date",Z$9)-NL("Sum","5802 Value Entry","43 Cost Amount (Actual)","41 Source Type",$C$5,"5 Source no.",$C276,"4 Item Ledger Entry Type",$C$4,"2 Item No.","@@"&amp;$F276,"3 Posting Date",Z$9)</t>
  </si>
  <si>
    <t>=Z276-AB276</t>
  </si>
  <si>
    <t>=IF(Z276&lt;&gt;0,AC276/Z276,"")</t>
  </si>
  <si>
    <t>=C276</t>
  </si>
  <si>
    <t>=NL("Sum","5802 Value Entry","150 Sales Amount (Expected)","41 Source Type",$C$5,"5 Source No.",$C277,"4 Item Ledger Entry Type",$C$4,"2 Item No.","@@"&amp;$F277,"3 Posting Date",J$9)+NL("Sum","5802 Value Entry","17 Sales Amount (Actual)","41 Source Type",$C$5,"5 Source no.",$C277,"4 Item Ledger Entry Type",$C$4,"2 Item No.","@@"&amp;$F277,"3 Posting Date",J$9)</t>
  </si>
  <si>
    <t>=-NL("Sum","5802 Value Entry","151 Cost Amount (Expected)","41 Source Type",$C$5,"5 Source No.",$C277,"4 Item Ledger Entry Type",$C$4,"2 Item No.","@@"&amp;$F277,"3 Posting Date",J$9)-NL("Sum","5802 Value Entry","43 Cost Amount (Actual)","41 Source Type",$C$5,"5 Source no.",$C277,"4 Item Ledger Entry Type",$C$4,"2 Item No.","@@"&amp;$F277,"3 Posting Date",J$9)</t>
  </si>
  <si>
    <t>=J277-L277</t>
  </si>
  <si>
    <t>=IF(J277&lt;&gt;0,M277/J277,"")</t>
  </si>
  <si>
    <t>=NL("Sum","5802 Value Entry","150 Sales Amount (Expected)","41 Source Type",$C$5,"5 Source No.",$C277,"4 Item Ledger Entry Type",$C$4,"2 Item No.","@@"&amp;$F277,"3 Posting Date",O$9)+NL("Sum","5802 Value Entry","17 Sales Amount (Actual)","41 Source Type",$C$5,"5 Source no.",$C277,"4 Item Ledger Entry Type",$C$4,"2 Item No.","@@"&amp;$F277,"3 Posting Date",O$9)</t>
  </si>
  <si>
    <t>=-NL("Sum","5802 Value Entry","151 Cost Amount (Expected)","41 Source Type",$C$5,"5 Source No.",$C277,"4 Item Ledger Entry Type",$C$4,"2 Item No.","@@"&amp;$F277,"3 Posting Date",O$9)-NL("Sum","5802 Value Entry","43 Cost Amount (Actual)","41 Source Type",$C$5,"5 Source no.",$C277,"4 Item Ledger Entry Type",$C$4,"2 Item No.","@@"&amp;$F277,"3 Posting Date",O$9)</t>
  </si>
  <si>
    <t>=O277-Q277</t>
  </si>
  <si>
    <t>=IF(O277&lt;&gt;0,R277/O277,"")</t>
  </si>
  <si>
    <t>=NL("Sum","5802 Value Entry","150 Sales Amount (Expected)","41 Source Type",$C$5,"5 Source No.",$C277,"4 Item Ledger Entry Type",$C$4,"2 Item No.","@@"&amp;$F277,"3 Posting Date",U$9)+NL("Sum","5802 Value Entry","17 Sales Amount (Actual)","41 Source Type",$C$5,"5 Source no.",$C277,"4 Item Ledger Entry Type",$C$4,"2 Item No.","@@"&amp;$F277,"3 Posting Date",U$9)</t>
  </si>
  <si>
    <t>=-NL("Sum","5802 Value Entry","151 Cost Amount (Expected)","41 Source Type",$C$5,"5 Source No.",$C277,"4 Item Ledger Entry Type",$C$4,"2 Item No.","@@"&amp;$F277,"3 Posting Date",U$9)-NL("Sum","5802 Value Entry","43 Cost Amount (Actual)","41 Source Type",$C$5,"5 Source no.",$C277,"4 Item Ledger Entry Type",$C$4,"2 Item No.","@@"&amp;$F277,"3 Posting Date",U$9)</t>
  </si>
  <si>
    <t>=U277-W277</t>
  </si>
  <si>
    <t>=IF(U277&lt;&gt;0,X277/U277,"")</t>
  </si>
  <si>
    <t>=NL("Sum","5802 Value Entry","150 Sales Amount (Expected)","41 Source Type",$C$5,"5 Source No.",$C277,"4 Item Ledger Entry Type",$C$4,"2 Item No.","@@"&amp;$F277,"3 Posting Date",Z$9)+NL("Sum","5802 Value Entry","17 Sales Amount (Actual)","41 Source Type",$C$5,"5 Source no.",$C277,"4 Item Ledger Entry Type",$C$4,"2 Item No.","@@"&amp;$F277,"3 Posting Date",Z$9)</t>
  </si>
  <si>
    <t>=-NL("Sum","5802 Value Entry","151 Cost Amount (Expected)","41 Source Type",$C$5,"5 Source No.",$C277,"4 Item Ledger Entry Type",$C$4,"2 Item No.","@@"&amp;$F277,"3 Posting Date",Z$9)-NL("Sum","5802 Value Entry","43 Cost Amount (Actual)","41 Source Type",$C$5,"5 Source no.",$C277,"4 Item Ledger Entry Type",$C$4,"2 Item No.","@@"&amp;$F277,"3 Posting Date",Z$9)</t>
  </si>
  <si>
    <t>=Z277-AB277</t>
  </si>
  <si>
    <t>=IF(Z277&lt;&gt;0,AC277/Z277,"")</t>
  </si>
  <si>
    <t>=C277</t>
  </si>
  <si>
    <t>=NL("Sum","5802 Value Entry","150 Sales Amount (Expected)","41 Source Type",$C$5,"5 Source No.",$C278,"4 Item Ledger Entry Type",$C$4,"2 Item No.","@@"&amp;$F278,"3 Posting Date",J$9)+NL("Sum","5802 Value Entry","17 Sales Amount (Actual)","41 Source Type",$C$5,"5 Source no.",$C278,"4 Item Ledger Entry Type",$C$4,"2 Item No.","@@"&amp;$F278,"3 Posting Date",J$9)</t>
  </si>
  <si>
    <t>=-NL("Sum","5802 Value Entry","151 Cost Amount (Expected)","41 Source Type",$C$5,"5 Source No.",$C278,"4 Item Ledger Entry Type",$C$4,"2 Item No.","@@"&amp;$F278,"3 Posting Date",J$9)-NL("Sum","5802 Value Entry","43 Cost Amount (Actual)","41 Source Type",$C$5,"5 Source no.",$C278,"4 Item Ledger Entry Type",$C$4,"2 Item No.","@@"&amp;$F278,"3 Posting Date",J$9)</t>
  </si>
  <si>
    <t>=J278-L278</t>
  </si>
  <si>
    <t>=IF(J278&lt;&gt;0,M278/J278,"")</t>
  </si>
  <si>
    <t>=NL("Sum","5802 Value Entry","150 Sales Amount (Expected)","41 Source Type",$C$5,"5 Source No.",$C278,"4 Item Ledger Entry Type",$C$4,"2 Item No.","@@"&amp;$F278,"3 Posting Date",O$9)+NL("Sum","5802 Value Entry","17 Sales Amount (Actual)","41 Source Type",$C$5,"5 Source no.",$C278,"4 Item Ledger Entry Type",$C$4,"2 Item No.","@@"&amp;$F278,"3 Posting Date",O$9)</t>
  </si>
  <si>
    <t>=-NL("Sum","5802 Value Entry","151 Cost Amount (Expected)","41 Source Type",$C$5,"5 Source No.",$C278,"4 Item Ledger Entry Type",$C$4,"2 Item No.","@@"&amp;$F278,"3 Posting Date",O$9)-NL("Sum","5802 Value Entry","43 Cost Amount (Actual)","41 Source Type",$C$5,"5 Source no.",$C278,"4 Item Ledger Entry Type",$C$4,"2 Item No.","@@"&amp;$F278,"3 Posting Date",O$9)</t>
  </si>
  <si>
    <t>=O278-Q278</t>
  </si>
  <si>
    <t>=IF(O278&lt;&gt;0,R278/O278,"")</t>
  </si>
  <si>
    <t>=NL("Sum","5802 Value Entry","150 Sales Amount (Expected)","41 Source Type",$C$5,"5 Source No.",$C278,"4 Item Ledger Entry Type",$C$4,"2 Item No.","@@"&amp;$F278,"3 Posting Date",U$9)+NL("Sum","5802 Value Entry","17 Sales Amount (Actual)","41 Source Type",$C$5,"5 Source no.",$C278,"4 Item Ledger Entry Type",$C$4,"2 Item No.","@@"&amp;$F278,"3 Posting Date",U$9)</t>
  </si>
  <si>
    <t>=-NL("Sum","5802 Value Entry","151 Cost Amount (Expected)","41 Source Type",$C$5,"5 Source No.",$C278,"4 Item Ledger Entry Type",$C$4,"2 Item No.","@@"&amp;$F278,"3 Posting Date",U$9)-NL("Sum","5802 Value Entry","43 Cost Amount (Actual)","41 Source Type",$C$5,"5 Source no.",$C278,"4 Item Ledger Entry Type",$C$4,"2 Item No.","@@"&amp;$F278,"3 Posting Date",U$9)</t>
  </si>
  <si>
    <t>=U278-W278</t>
  </si>
  <si>
    <t>=IF(U278&lt;&gt;0,X278/U278,"")</t>
  </si>
  <si>
    <t>=NL("Sum","5802 Value Entry","150 Sales Amount (Expected)","41 Source Type",$C$5,"5 Source No.",$C278,"4 Item Ledger Entry Type",$C$4,"2 Item No.","@@"&amp;$F278,"3 Posting Date",Z$9)+NL("Sum","5802 Value Entry","17 Sales Amount (Actual)","41 Source Type",$C$5,"5 Source no.",$C278,"4 Item Ledger Entry Type",$C$4,"2 Item No.","@@"&amp;$F278,"3 Posting Date",Z$9)</t>
  </si>
  <si>
    <t>=-NL("Sum","5802 Value Entry","151 Cost Amount (Expected)","41 Source Type",$C$5,"5 Source No.",$C278,"4 Item Ledger Entry Type",$C$4,"2 Item No.","@@"&amp;$F278,"3 Posting Date",Z$9)-NL("Sum","5802 Value Entry","43 Cost Amount (Actual)","41 Source Type",$C$5,"5 Source no.",$C278,"4 Item Ledger Entry Type",$C$4,"2 Item No.","@@"&amp;$F278,"3 Posting Date",Z$9)</t>
  </si>
  <si>
    <t>=Z278-AB278</t>
  </si>
  <si>
    <t>=IF(Z278&lt;&gt;0,AC278/Z278,"")</t>
  </si>
  <si>
    <t>=C278</t>
  </si>
  <si>
    <t>=NL("Sum","5802 Value Entry","150 Sales Amount (Expected)","41 Source Type",$C$5,"5 Source No.",$C279,"4 Item Ledger Entry Type",$C$4,"2 Item No.","@@"&amp;$F279,"3 Posting Date",J$9)+NL("Sum","5802 Value Entry","17 Sales Amount (Actual)","41 Source Type",$C$5,"5 Source no.",$C279,"4 Item Ledger Entry Type",$C$4,"2 Item No.","@@"&amp;$F279,"3 Posting Date",J$9)</t>
  </si>
  <si>
    <t>=-NL("Sum","5802 Value Entry","151 Cost Amount (Expected)","41 Source Type",$C$5,"5 Source No.",$C279,"4 Item Ledger Entry Type",$C$4,"2 Item No.","@@"&amp;$F279,"3 Posting Date",J$9)-NL("Sum","5802 Value Entry","43 Cost Amount (Actual)","41 Source Type",$C$5,"5 Source no.",$C279,"4 Item Ledger Entry Type",$C$4,"2 Item No.","@@"&amp;$F279,"3 Posting Date",J$9)</t>
  </si>
  <si>
    <t>=J279-L279</t>
  </si>
  <si>
    <t>=IF(J279&lt;&gt;0,M279/J279,"")</t>
  </si>
  <si>
    <t>=NL("Sum","5802 Value Entry","150 Sales Amount (Expected)","41 Source Type",$C$5,"5 Source No.",$C279,"4 Item Ledger Entry Type",$C$4,"2 Item No.","@@"&amp;$F279,"3 Posting Date",O$9)+NL("Sum","5802 Value Entry","17 Sales Amount (Actual)","41 Source Type",$C$5,"5 Source no.",$C279,"4 Item Ledger Entry Type",$C$4,"2 Item No.","@@"&amp;$F279,"3 Posting Date",O$9)</t>
  </si>
  <si>
    <t>=-NL("Sum","5802 Value Entry","151 Cost Amount (Expected)","41 Source Type",$C$5,"5 Source No.",$C279,"4 Item Ledger Entry Type",$C$4,"2 Item No.","@@"&amp;$F279,"3 Posting Date",O$9)-NL("Sum","5802 Value Entry","43 Cost Amount (Actual)","41 Source Type",$C$5,"5 Source no.",$C279,"4 Item Ledger Entry Type",$C$4,"2 Item No.","@@"&amp;$F279,"3 Posting Date",O$9)</t>
  </si>
  <si>
    <t>=O279-Q279</t>
  </si>
  <si>
    <t>=IF(O279&lt;&gt;0,R279/O279,"")</t>
  </si>
  <si>
    <t>=NL("Sum","5802 Value Entry","150 Sales Amount (Expected)","41 Source Type",$C$5,"5 Source No.",$C279,"4 Item Ledger Entry Type",$C$4,"2 Item No.","@@"&amp;$F279,"3 Posting Date",U$9)+NL("Sum","5802 Value Entry","17 Sales Amount (Actual)","41 Source Type",$C$5,"5 Source no.",$C279,"4 Item Ledger Entry Type",$C$4,"2 Item No.","@@"&amp;$F279,"3 Posting Date",U$9)</t>
  </si>
  <si>
    <t>=-NL("Sum","5802 Value Entry","151 Cost Amount (Expected)","41 Source Type",$C$5,"5 Source No.",$C279,"4 Item Ledger Entry Type",$C$4,"2 Item No.","@@"&amp;$F279,"3 Posting Date",U$9)-NL("Sum","5802 Value Entry","43 Cost Amount (Actual)","41 Source Type",$C$5,"5 Source no.",$C279,"4 Item Ledger Entry Type",$C$4,"2 Item No.","@@"&amp;$F279,"3 Posting Date",U$9)</t>
  </si>
  <si>
    <t>=U279-W279</t>
  </si>
  <si>
    <t>=IF(U279&lt;&gt;0,X279/U279,"")</t>
  </si>
  <si>
    <t>=NL("Sum","5802 Value Entry","150 Sales Amount (Expected)","41 Source Type",$C$5,"5 Source No.",$C279,"4 Item Ledger Entry Type",$C$4,"2 Item No.","@@"&amp;$F279,"3 Posting Date",Z$9)+NL("Sum","5802 Value Entry","17 Sales Amount (Actual)","41 Source Type",$C$5,"5 Source no.",$C279,"4 Item Ledger Entry Type",$C$4,"2 Item No.","@@"&amp;$F279,"3 Posting Date",Z$9)</t>
  </si>
  <si>
    <t>=-NL("Sum","5802 Value Entry","151 Cost Amount (Expected)","41 Source Type",$C$5,"5 Source No.",$C279,"4 Item Ledger Entry Type",$C$4,"2 Item No.","@@"&amp;$F279,"3 Posting Date",Z$9)-NL("Sum","5802 Value Entry","43 Cost Amount (Actual)","41 Source Type",$C$5,"5 Source no.",$C279,"4 Item Ledger Entry Type",$C$4,"2 Item No.","@@"&amp;$F279,"3 Posting Date",Z$9)</t>
  </si>
  <si>
    <t>=Z279-AB279</t>
  </si>
  <si>
    <t>=IF(Z279&lt;&gt;0,AC279/Z279,"")</t>
  </si>
  <si>
    <t>=C279</t>
  </si>
  <si>
    <t>=NL("Sum","5802 Value Entry","150 Sales Amount (Expected)","41 Source Type",$C$5,"5 Source No.",$C280,"4 Item Ledger Entry Type",$C$4,"2 Item No.","@@"&amp;$F280,"3 Posting Date",J$9)+NL("Sum","5802 Value Entry","17 Sales Amount (Actual)","41 Source Type",$C$5,"5 Source no.",$C280,"4 Item Ledger Entry Type",$C$4,"2 Item No.","@@"&amp;$F280,"3 Posting Date",J$9)</t>
  </si>
  <si>
    <t>=-NL("Sum","5802 Value Entry","151 Cost Amount (Expected)","41 Source Type",$C$5,"5 Source No.",$C280,"4 Item Ledger Entry Type",$C$4,"2 Item No.","@@"&amp;$F280,"3 Posting Date",J$9)-NL("Sum","5802 Value Entry","43 Cost Amount (Actual)","41 Source Type",$C$5,"5 Source no.",$C280,"4 Item Ledger Entry Type",$C$4,"2 Item No.","@@"&amp;$F280,"3 Posting Date",J$9)</t>
  </si>
  <si>
    <t>=J280-L280</t>
  </si>
  <si>
    <t>=IF(J280&lt;&gt;0,M280/J280,"")</t>
  </si>
  <si>
    <t>=NL("Sum","5802 Value Entry","150 Sales Amount (Expected)","41 Source Type",$C$5,"5 Source No.",$C280,"4 Item Ledger Entry Type",$C$4,"2 Item No.","@@"&amp;$F280,"3 Posting Date",O$9)+NL("Sum","5802 Value Entry","17 Sales Amount (Actual)","41 Source Type",$C$5,"5 Source no.",$C280,"4 Item Ledger Entry Type",$C$4,"2 Item No.","@@"&amp;$F280,"3 Posting Date",O$9)</t>
  </si>
  <si>
    <t>=-NL("Sum","5802 Value Entry","151 Cost Amount (Expected)","41 Source Type",$C$5,"5 Source No.",$C280,"4 Item Ledger Entry Type",$C$4,"2 Item No.","@@"&amp;$F280,"3 Posting Date",O$9)-NL("Sum","5802 Value Entry","43 Cost Amount (Actual)","41 Source Type",$C$5,"5 Source no.",$C280,"4 Item Ledger Entry Type",$C$4,"2 Item No.","@@"&amp;$F280,"3 Posting Date",O$9)</t>
  </si>
  <si>
    <t>=O280-Q280</t>
  </si>
  <si>
    <t>=IF(O280&lt;&gt;0,R280/O280,"")</t>
  </si>
  <si>
    <t>=NL("Sum","5802 Value Entry","150 Sales Amount (Expected)","41 Source Type",$C$5,"5 Source No.",$C280,"4 Item Ledger Entry Type",$C$4,"2 Item No.","@@"&amp;$F280,"3 Posting Date",U$9)+NL("Sum","5802 Value Entry","17 Sales Amount (Actual)","41 Source Type",$C$5,"5 Source no.",$C280,"4 Item Ledger Entry Type",$C$4,"2 Item No.","@@"&amp;$F280,"3 Posting Date",U$9)</t>
  </si>
  <si>
    <t>=-NL("Sum","5802 Value Entry","151 Cost Amount (Expected)","41 Source Type",$C$5,"5 Source No.",$C280,"4 Item Ledger Entry Type",$C$4,"2 Item No.","@@"&amp;$F280,"3 Posting Date",U$9)-NL("Sum","5802 Value Entry","43 Cost Amount (Actual)","41 Source Type",$C$5,"5 Source no.",$C280,"4 Item Ledger Entry Type",$C$4,"2 Item No.","@@"&amp;$F280,"3 Posting Date",U$9)</t>
  </si>
  <si>
    <t>=U280-W280</t>
  </si>
  <si>
    <t>=IF(U280&lt;&gt;0,X280/U280,"")</t>
  </si>
  <si>
    <t>=NL("Sum","5802 Value Entry","150 Sales Amount (Expected)","41 Source Type",$C$5,"5 Source No.",$C280,"4 Item Ledger Entry Type",$C$4,"2 Item No.","@@"&amp;$F280,"3 Posting Date",Z$9)+NL("Sum","5802 Value Entry","17 Sales Amount (Actual)","41 Source Type",$C$5,"5 Source no.",$C280,"4 Item Ledger Entry Type",$C$4,"2 Item No.","@@"&amp;$F280,"3 Posting Date",Z$9)</t>
  </si>
  <si>
    <t>=-NL("Sum","5802 Value Entry","151 Cost Amount (Expected)","41 Source Type",$C$5,"5 Source No.",$C280,"4 Item Ledger Entry Type",$C$4,"2 Item No.","@@"&amp;$F280,"3 Posting Date",Z$9)-NL("Sum","5802 Value Entry","43 Cost Amount (Actual)","41 Source Type",$C$5,"5 Source no.",$C280,"4 Item Ledger Entry Type",$C$4,"2 Item No.","@@"&amp;$F280,"3 Posting Date",Z$9)</t>
  </si>
  <si>
    <t>=Z280-AB280</t>
  </si>
  <si>
    <t>=IF(Z280&lt;&gt;0,AC280/Z280,"")</t>
  </si>
  <si>
    <t>=C280</t>
  </si>
  <si>
    <t>=NL("Sum","5802 Value Entry","150 Sales Amount (Expected)","41 Source Type",$C$5,"5 Source No.",$C281,"4 Item Ledger Entry Type",$C$4,"2 Item No.","@@"&amp;$F281,"3 Posting Date",J$9)+NL("Sum","5802 Value Entry","17 Sales Amount (Actual)","41 Source Type",$C$5,"5 Source no.",$C281,"4 Item Ledger Entry Type",$C$4,"2 Item No.","@@"&amp;$F281,"3 Posting Date",J$9)</t>
  </si>
  <si>
    <t>=-NL("Sum","5802 Value Entry","151 Cost Amount (Expected)","41 Source Type",$C$5,"5 Source No.",$C281,"4 Item Ledger Entry Type",$C$4,"2 Item No.","@@"&amp;$F281,"3 Posting Date",J$9)-NL("Sum","5802 Value Entry","43 Cost Amount (Actual)","41 Source Type",$C$5,"5 Source no.",$C281,"4 Item Ledger Entry Type",$C$4,"2 Item No.","@@"&amp;$F281,"3 Posting Date",J$9)</t>
  </si>
  <si>
    <t>=J281-L281</t>
  </si>
  <si>
    <t>=IF(J281&lt;&gt;0,M281/J281,"")</t>
  </si>
  <si>
    <t>=NL("Sum","5802 Value Entry","150 Sales Amount (Expected)","41 Source Type",$C$5,"5 Source No.",$C281,"4 Item Ledger Entry Type",$C$4,"2 Item No.","@@"&amp;$F281,"3 Posting Date",O$9)+NL("Sum","5802 Value Entry","17 Sales Amount (Actual)","41 Source Type",$C$5,"5 Source no.",$C281,"4 Item Ledger Entry Type",$C$4,"2 Item No.","@@"&amp;$F281,"3 Posting Date",O$9)</t>
  </si>
  <si>
    <t>=-NL("Sum","5802 Value Entry","151 Cost Amount (Expected)","41 Source Type",$C$5,"5 Source No.",$C281,"4 Item Ledger Entry Type",$C$4,"2 Item No.","@@"&amp;$F281,"3 Posting Date",O$9)-NL("Sum","5802 Value Entry","43 Cost Amount (Actual)","41 Source Type",$C$5,"5 Source no.",$C281,"4 Item Ledger Entry Type",$C$4,"2 Item No.","@@"&amp;$F281,"3 Posting Date",O$9)</t>
  </si>
  <si>
    <t>=O281-Q281</t>
  </si>
  <si>
    <t>=IF(O281&lt;&gt;0,R281/O281,"")</t>
  </si>
  <si>
    <t>=NL("Sum","5802 Value Entry","150 Sales Amount (Expected)","41 Source Type",$C$5,"5 Source No.",$C281,"4 Item Ledger Entry Type",$C$4,"2 Item No.","@@"&amp;$F281,"3 Posting Date",U$9)+NL("Sum","5802 Value Entry","17 Sales Amount (Actual)","41 Source Type",$C$5,"5 Source no.",$C281,"4 Item Ledger Entry Type",$C$4,"2 Item No.","@@"&amp;$F281,"3 Posting Date",U$9)</t>
  </si>
  <si>
    <t>=-NL("Sum","5802 Value Entry","151 Cost Amount (Expected)","41 Source Type",$C$5,"5 Source No.",$C281,"4 Item Ledger Entry Type",$C$4,"2 Item No.","@@"&amp;$F281,"3 Posting Date",U$9)-NL("Sum","5802 Value Entry","43 Cost Amount (Actual)","41 Source Type",$C$5,"5 Source no.",$C281,"4 Item Ledger Entry Type",$C$4,"2 Item No.","@@"&amp;$F281,"3 Posting Date",U$9)</t>
  </si>
  <si>
    <t>=U281-W281</t>
  </si>
  <si>
    <t>=IF(U281&lt;&gt;0,X281/U281,"")</t>
  </si>
  <si>
    <t>=NL("Sum","5802 Value Entry","150 Sales Amount (Expected)","41 Source Type",$C$5,"5 Source No.",$C281,"4 Item Ledger Entry Type",$C$4,"2 Item No.","@@"&amp;$F281,"3 Posting Date",Z$9)+NL("Sum","5802 Value Entry","17 Sales Amount (Actual)","41 Source Type",$C$5,"5 Source no.",$C281,"4 Item Ledger Entry Type",$C$4,"2 Item No.","@@"&amp;$F281,"3 Posting Date",Z$9)</t>
  </si>
  <si>
    <t>=-NL("Sum","5802 Value Entry","151 Cost Amount (Expected)","41 Source Type",$C$5,"5 Source No.",$C281,"4 Item Ledger Entry Type",$C$4,"2 Item No.","@@"&amp;$F281,"3 Posting Date",Z$9)-NL("Sum","5802 Value Entry","43 Cost Amount (Actual)","41 Source Type",$C$5,"5 Source no.",$C281,"4 Item Ledger Entry Type",$C$4,"2 Item No.","@@"&amp;$F281,"3 Posting Date",Z$9)</t>
  </si>
  <si>
    <t>=Z281-AB281</t>
  </si>
  <si>
    <t>=IF(Z281&lt;&gt;0,AC281/Z281,"")</t>
  </si>
  <si>
    <t>=C281</t>
  </si>
  <si>
    <t>=NL("Sum","5802 Value Entry","150 Sales Amount (Expected)","41 Source Type",$C$5,"5 Source No.",$C282,"4 Item Ledger Entry Type",$C$4,"2 Item No.","@@"&amp;$F282,"3 Posting Date",J$9)+NL("Sum","5802 Value Entry","17 Sales Amount (Actual)","41 Source Type",$C$5,"5 Source no.",$C282,"4 Item Ledger Entry Type",$C$4,"2 Item No.","@@"&amp;$F282,"3 Posting Date",J$9)</t>
  </si>
  <si>
    <t>=-NL("Sum","5802 Value Entry","151 Cost Amount (Expected)","41 Source Type",$C$5,"5 Source No.",$C282,"4 Item Ledger Entry Type",$C$4,"2 Item No.","@@"&amp;$F282,"3 Posting Date",J$9)-NL("Sum","5802 Value Entry","43 Cost Amount (Actual)","41 Source Type",$C$5,"5 Source no.",$C282,"4 Item Ledger Entry Type",$C$4,"2 Item No.","@@"&amp;$F282,"3 Posting Date",J$9)</t>
  </si>
  <si>
    <t>=J282-L282</t>
  </si>
  <si>
    <t>=IF(J282&lt;&gt;0,M282/J282,"")</t>
  </si>
  <si>
    <t>=NL("Sum","5802 Value Entry","150 Sales Amount (Expected)","41 Source Type",$C$5,"5 Source No.",$C282,"4 Item Ledger Entry Type",$C$4,"2 Item No.","@@"&amp;$F282,"3 Posting Date",O$9)+NL("Sum","5802 Value Entry","17 Sales Amount (Actual)","41 Source Type",$C$5,"5 Source no.",$C282,"4 Item Ledger Entry Type",$C$4,"2 Item No.","@@"&amp;$F282,"3 Posting Date",O$9)</t>
  </si>
  <si>
    <t>=-NL("Sum","5802 Value Entry","151 Cost Amount (Expected)","41 Source Type",$C$5,"5 Source No.",$C282,"4 Item Ledger Entry Type",$C$4,"2 Item No.","@@"&amp;$F282,"3 Posting Date",O$9)-NL("Sum","5802 Value Entry","43 Cost Amount (Actual)","41 Source Type",$C$5,"5 Source no.",$C282,"4 Item Ledger Entry Type",$C$4,"2 Item No.","@@"&amp;$F282,"3 Posting Date",O$9)</t>
  </si>
  <si>
    <t>=O282-Q282</t>
  </si>
  <si>
    <t>=IF(O282&lt;&gt;0,R282/O282,"")</t>
  </si>
  <si>
    <t>=NL("Sum","5802 Value Entry","150 Sales Amount (Expected)","41 Source Type",$C$5,"5 Source No.",$C282,"4 Item Ledger Entry Type",$C$4,"2 Item No.","@@"&amp;$F282,"3 Posting Date",U$9)+NL("Sum","5802 Value Entry","17 Sales Amount (Actual)","41 Source Type",$C$5,"5 Source no.",$C282,"4 Item Ledger Entry Type",$C$4,"2 Item No.","@@"&amp;$F282,"3 Posting Date",U$9)</t>
  </si>
  <si>
    <t>=-NL("Sum","5802 Value Entry","151 Cost Amount (Expected)","41 Source Type",$C$5,"5 Source No.",$C282,"4 Item Ledger Entry Type",$C$4,"2 Item No.","@@"&amp;$F282,"3 Posting Date",U$9)-NL("Sum","5802 Value Entry","43 Cost Amount (Actual)","41 Source Type",$C$5,"5 Source no.",$C282,"4 Item Ledger Entry Type",$C$4,"2 Item No.","@@"&amp;$F282,"3 Posting Date",U$9)</t>
  </si>
  <si>
    <t>=U282-W282</t>
  </si>
  <si>
    <t>=IF(U282&lt;&gt;0,X282/U282,"")</t>
  </si>
  <si>
    <t>=NL("Sum","5802 Value Entry","150 Sales Amount (Expected)","41 Source Type",$C$5,"5 Source No.",$C282,"4 Item Ledger Entry Type",$C$4,"2 Item No.","@@"&amp;$F282,"3 Posting Date",Z$9)+NL("Sum","5802 Value Entry","17 Sales Amount (Actual)","41 Source Type",$C$5,"5 Source no.",$C282,"4 Item Ledger Entry Type",$C$4,"2 Item No.","@@"&amp;$F282,"3 Posting Date",Z$9)</t>
  </si>
  <si>
    <t>=-NL("Sum","5802 Value Entry","151 Cost Amount (Expected)","41 Source Type",$C$5,"5 Source No.",$C282,"4 Item Ledger Entry Type",$C$4,"2 Item No.","@@"&amp;$F282,"3 Posting Date",Z$9)-NL("Sum","5802 Value Entry","43 Cost Amount (Actual)","41 Source Type",$C$5,"5 Source no.",$C282,"4 Item Ledger Entry Type",$C$4,"2 Item No.","@@"&amp;$F282,"3 Posting Date",Z$9)</t>
  </si>
  <si>
    <t>=Z282-AB282</t>
  </si>
  <si>
    <t>=IF(Z282&lt;&gt;0,AC282/Z282,"")</t>
  </si>
  <si>
    <t>=C282</t>
  </si>
  <si>
    <t>=NL("Sum","5802 Value Entry","150 Sales Amount (Expected)","41 Source Type",$C$5,"5 Source No.",$C283,"4 Item Ledger Entry Type",$C$4,"2 Item No.","@@"&amp;$F283,"3 Posting Date",J$9)+NL("Sum","5802 Value Entry","17 Sales Amount (Actual)","41 Source Type",$C$5,"5 Source no.",$C283,"4 Item Ledger Entry Type",$C$4,"2 Item No.","@@"&amp;$F283,"3 Posting Date",J$9)</t>
  </si>
  <si>
    <t>=-NL("Sum","5802 Value Entry","151 Cost Amount (Expected)","41 Source Type",$C$5,"5 Source No.",$C283,"4 Item Ledger Entry Type",$C$4,"2 Item No.","@@"&amp;$F283,"3 Posting Date",J$9)-NL("Sum","5802 Value Entry","43 Cost Amount (Actual)","41 Source Type",$C$5,"5 Source no.",$C283,"4 Item Ledger Entry Type",$C$4,"2 Item No.","@@"&amp;$F283,"3 Posting Date",J$9)</t>
  </si>
  <si>
    <t>=J283-L283</t>
  </si>
  <si>
    <t>=IF(J283&lt;&gt;0,M283/J283,"")</t>
  </si>
  <si>
    <t>=NL("Sum","5802 Value Entry","150 Sales Amount (Expected)","41 Source Type",$C$5,"5 Source No.",$C283,"4 Item Ledger Entry Type",$C$4,"2 Item No.","@@"&amp;$F283,"3 Posting Date",O$9)+NL("Sum","5802 Value Entry","17 Sales Amount (Actual)","41 Source Type",$C$5,"5 Source no.",$C283,"4 Item Ledger Entry Type",$C$4,"2 Item No.","@@"&amp;$F283,"3 Posting Date",O$9)</t>
  </si>
  <si>
    <t>=-NL("Sum","5802 Value Entry","151 Cost Amount (Expected)","41 Source Type",$C$5,"5 Source No.",$C283,"4 Item Ledger Entry Type",$C$4,"2 Item No.","@@"&amp;$F283,"3 Posting Date",O$9)-NL("Sum","5802 Value Entry","43 Cost Amount (Actual)","41 Source Type",$C$5,"5 Source no.",$C283,"4 Item Ledger Entry Type",$C$4,"2 Item No.","@@"&amp;$F283,"3 Posting Date",O$9)</t>
  </si>
  <si>
    <t>=O283-Q283</t>
  </si>
  <si>
    <t>=IF(O283&lt;&gt;0,R283/O283,"")</t>
  </si>
  <si>
    <t>=NL("Sum","5802 Value Entry","150 Sales Amount (Expected)","41 Source Type",$C$5,"5 Source No.",$C283,"4 Item Ledger Entry Type",$C$4,"2 Item No.","@@"&amp;$F283,"3 Posting Date",U$9)+NL("Sum","5802 Value Entry","17 Sales Amount (Actual)","41 Source Type",$C$5,"5 Source no.",$C283,"4 Item Ledger Entry Type",$C$4,"2 Item No.","@@"&amp;$F283,"3 Posting Date",U$9)</t>
  </si>
  <si>
    <t>=-NL("Sum","5802 Value Entry","151 Cost Amount (Expected)","41 Source Type",$C$5,"5 Source No.",$C283,"4 Item Ledger Entry Type",$C$4,"2 Item No.","@@"&amp;$F283,"3 Posting Date",U$9)-NL("Sum","5802 Value Entry","43 Cost Amount (Actual)","41 Source Type",$C$5,"5 Source no.",$C283,"4 Item Ledger Entry Type",$C$4,"2 Item No.","@@"&amp;$F283,"3 Posting Date",U$9)</t>
  </si>
  <si>
    <t>=U283-W283</t>
  </si>
  <si>
    <t>=IF(U283&lt;&gt;0,X283/U283,"")</t>
  </si>
  <si>
    <t>=NL("Sum","5802 Value Entry","150 Sales Amount (Expected)","41 Source Type",$C$5,"5 Source No.",$C283,"4 Item Ledger Entry Type",$C$4,"2 Item No.","@@"&amp;$F283,"3 Posting Date",Z$9)+NL("Sum","5802 Value Entry","17 Sales Amount (Actual)","41 Source Type",$C$5,"5 Source no.",$C283,"4 Item Ledger Entry Type",$C$4,"2 Item No.","@@"&amp;$F283,"3 Posting Date",Z$9)</t>
  </si>
  <si>
    <t>=-NL("Sum","5802 Value Entry","151 Cost Amount (Expected)","41 Source Type",$C$5,"5 Source No.",$C283,"4 Item Ledger Entry Type",$C$4,"2 Item No.","@@"&amp;$F283,"3 Posting Date",Z$9)-NL("Sum","5802 Value Entry","43 Cost Amount (Actual)","41 Source Type",$C$5,"5 Source no.",$C283,"4 Item Ledger Entry Type",$C$4,"2 Item No.","@@"&amp;$F283,"3 Posting Date",Z$9)</t>
  </si>
  <si>
    <t>=Z283-AB283</t>
  </si>
  <si>
    <t>=IF(Z283&lt;&gt;0,AC283/Z283,"")</t>
  </si>
  <si>
    <t>=C283</t>
  </si>
  <si>
    <t>=NL("Sum","5802 Value Entry","150 Sales Amount (Expected)","41 Source Type",$C$5,"5 Source No.",$C284,"4 Item Ledger Entry Type",$C$4,"2 Item No.","@@"&amp;$F284,"3 Posting Date",J$9)+NL("Sum","5802 Value Entry","17 Sales Amount (Actual)","41 Source Type",$C$5,"5 Source no.",$C284,"4 Item Ledger Entry Type",$C$4,"2 Item No.","@@"&amp;$F284,"3 Posting Date",J$9)</t>
  </si>
  <si>
    <t>=-NL("Sum","5802 Value Entry","151 Cost Amount (Expected)","41 Source Type",$C$5,"5 Source No.",$C284,"4 Item Ledger Entry Type",$C$4,"2 Item No.","@@"&amp;$F284,"3 Posting Date",J$9)-NL("Sum","5802 Value Entry","43 Cost Amount (Actual)","41 Source Type",$C$5,"5 Source no.",$C284,"4 Item Ledger Entry Type",$C$4,"2 Item No.","@@"&amp;$F284,"3 Posting Date",J$9)</t>
  </si>
  <si>
    <t>=J284-L284</t>
  </si>
  <si>
    <t>=IF(J284&lt;&gt;0,M284/J284,"")</t>
  </si>
  <si>
    <t>=NL("Sum","5802 Value Entry","150 Sales Amount (Expected)","41 Source Type",$C$5,"5 Source No.",$C284,"4 Item Ledger Entry Type",$C$4,"2 Item No.","@@"&amp;$F284,"3 Posting Date",O$9)+NL("Sum","5802 Value Entry","17 Sales Amount (Actual)","41 Source Type",$C$5,"5 Source no.",$C284,"4 Item Ledger Entry Type",$C$4,"2 Item No.","@@"&amp;$F284,"3 Posting Date",O$9)</t>
  </si>
  <si>
    <t>=-NL("Sum","5802 Value Entry","151 Cost Amount (Expected)","41 Source Type",$C$5,"5 Source No.",$C284,"4 Item Ledger Entry Type",$C$4,"2 Item No.","@@"&amp;$F284,"3 Posting Date",O$9)-NL("Sum","5802 Value Entry","43 Cost Amount (Actual)","41 Source Type",$C$5,"5 Source no.",$C284,"4 Item Ledger Entry Type",$C$4,"2 Item No.","@@"&amp;$F284,"3 Posting Date",O$9)</t>
  </si>
  <si>
    <t>=O284-Q284</t>
  </si>
  <si>
    <t>=IF(O284&lt;&gt;0,R284/O284,"")</t>
  </si>
  <si>
    <t>=NL("Sum","5802 Value Entry","150 Sales Amount (Expected)","41 Source Type",$C$5,"5 Source No.",$C284,"4 Item Ledger Entry Type",$C$4,"2 Item No.","@@"&amp;$F284,"3 Posting Date",U$9)+NL("Sum","5802 Value Entry","17 Sales Amount (Actual)","41 Source Type",$C$5,"5 Source no.",$C284,"4 Item Ledger Entry Type",$C$4,"2 Item No.","@@"&amp;$F284,"3 Posting Date",U$9)</t>
  </si>
  <si>
    <t>=-NL("Sum","5802 Value Entry","151 Cost Amount (Expected)","41 Source Type",$C$5,"5 Source No.",$C284,"4 Item Ledger Entry Type",$C$4,"2 Item No.","@@"&amp;$F284,"3 Posting Date",U$9)-NL("Sum","5802 Value Entry","43 Cost Amount (Actual)","41 Source Type",$C$5,"5 Source no.",$C284,"4 Item Ledger Entry Type",$C$4,"2 Item No.","@@"&amp;$F284,"3 Posting Date",U$9)</t>
  </si>
  <si>
    <t>=U284-W284</t>
  </si>
  <si>
    <t>=IF(U284&lt;&gt;0,X284/U284,"")</t>
  </si>
  <si>
    <t>=NL("Sum","5802 Value Entry","150 Sales Amount (Expected)","41 Source Type",$C$5,"5 Source No.",$C284,"4 Item Ledger Entry Type",$C$4,"2 Item No.","@@"&amp;$F284,"3 Posting Date",Z$9)+NL("Sum","5802 Value Entry","17 Sales Amount (Actual)","41 Source Type",$C$5,"5 Source no.",$C284,"4 Item Ledger Entry Type",$C$4,"2 Item No.","@@"&amp;$F284,"3 Posting Date",Z$9)</t>
  </si>
  <si>
    <t>=-NL("Sum","5802 Value Entry","151 Cost Amount (Expected)","41 Source Type",$C$5,"5 Source No.",$C284,"4 Item Ledger Entry Type",$C$4,"2 Item No.","@@"&amp;$F284,"3 Posting Date",Z$9)-NL("Sum","5802 Value Entry","43 Cost Amount (Actual)","41 Source Type",$C$5,"5 Source no.",$C284,"4 Item Ledger Entry Type",$C$4,"2 Item No.","@@"&amp;$F284,"3 Posting Date",Z$9)</t>
  </si>
  <si>
    <t>=Z284-AB284</t>
  </si>
  <si>
    <t>=IF(Z284&lt;&gt;0,AC284/Z284,"")</t>
  </si>
  <si>
    <t>=C284</t>
  </si>
  <si>
    <t>=NL("Sum","5802 Value Entry","150 Sales Amount (Expected)","41 Source Type",$C$5,"5 Source No.",$C285,"4 Item Ledger Entry Type",$C$4,"2 Item No.","@@"&amp;$F285,"3 Posting Date",J$9)+NL("Sum","5802 Value Entry","17 Sales Amount (Actual)","41 Source Type",$C$5,"5 Source no.",$C285,"4 Item Ledger Entry Type",$C$4,"2 Item No.","@@"&amp;$F285,"3 Posting Date",J$9)</t>
  </si>
  <si>
    <t>=-NL("Sum","5802 Value Entry","151 Cost Amount (Expected)","41 Source Type",$C$5,"5 Source No.",$C285,"4 Item Ledger Entry Type",$C$4,"2 Item No.","@@"&amp;$F285,"3 Posting Date",J$9)-NL("Sum","5802 Value Entry","43 Cost Amount (Actual)","41 Source Type",$C$5,"5 Source no.",$C285,"4 Item Ledger Entry Type",$C$4,"2 Item No.","@@"&amp;$F285,"3 Posting Date",J$9)</t>
  </si>
  <si>
    <t>=J285-L285</t>
  </si>
  <si>
    <t>=IF(J285&lt;&gt;0,M285/J285,"")</t>
  </si>
  <si>
    <t>=NL("Sum","5802 Value Entry","150 Sales Amount (Expected)","41 Source Type",$C$5,"5 Source No.",$C285,"4 Item Ledger Entry Type",$C$4,"2 Item No.","@@"&amp;$F285,"3 Posting Date",O$9)+NL("Sum","5802 Value Entry","17 Sales Amount (Actual)","41 Source Type",$C$5,"5 Source no.",$C285,"4 Item Ledger Entry Type",$C$4,"2 Item No.","@@"&amp;$F285,"3 Posting Date",O$9)</t>
  </si>
  <si>
    <t>=-NL("Sum","5802 Value Entry","151 Cost Amount (Expected)","41 Source Type",$C$5,"5 Source No.",$C285,"4 Item Ledger Entry Type",$C$4,"2 Item No.","@@"&amp;$F285,"3 Posting Date",O$9)-NL("Sum","5802 Value Entry","43 Cost Amount (Actual)","41 Source Type",$C$5,"5 Source no.",$C285,"4 Item Ledger Entry Type",$C$4,"2 Item No.","@@"&amp;$F285,"3 Posting Date",O$9)</t>
  </si>
  <si>
    <t>=O285-Q285</t>
  </si>
  <si>
    <t>=IF(O285&lt;&gt;0,R285/O285,"")</t>
  </si>
  <si>
    <t>=NL("Sum","5802 Value Entry","150 Sales Amount (Expected)","41 Source Type",$C$5,"5 Source No.",$C285,"4 Item Ledger Entry Type",$C$4,"2 Item No.","@@"&amp;$F285,"3 Posting Date",U$9)+NL("Sum","5802 Value Entry","17 Sales Amount (Actual)","41 Source Type",$C$5,"5 Source no.",$C285,"4 Item Ledger Entry Type",$C$4,"2 Item No.","@@"&amp;$F285,"3 Posting Date",U$9)</t>
  </si>
  <si>
    <t>=-NL("Sum","5802 Value Entry","151 Cost Amount (Expected)","41 Source Type",$C$5,"5 Source No.",$C285,"4 Item Ledger Entry Type",$C$4,"2 Item No.","@@"&amp;$F285,"3 Posting Date",U$9)-NL("Sum","5802 Value Entry","43 Cost Amount (Actual)","41 Source Type",$C$5,"5 Source no.",$C285,"4 Item Ledger Entry Type",$C$4,"2 Item No.","@@"&amp;$F285,"3 Posting Date",U$9)</t>
  </si>
  <si>
    <t>=U285-W285</t>
  </si>
  <si>
    <t>=IF(U285&lt;&gt;0,X285/U285,"")</t>
  </si>
  <si>
    <t>=NL("Sum","5802 Value Entry","150 Sales Amount (Expected)","41 Source Type",$C$5,"5 Source No.",$C285,"4 Item Ledger Entry Type",$C$4,"2 Item No.","@@"&amp;$F285,"3 Posting Date",Z$9)+NL("Sum","5802 Value Entry","17 Sales Amount (Actual)","41 Source Type",$C$5,"5 Source no.",$C285,"4 Item Ledger Entry Type",$C$4,"2 Item No.","@@"&amp;$F285,"3 Posting Date",Z$9)</t>
  </si>
  <si>
    <t>=-NL("Sum","5802 Value Entry","151 Cost Amount (Expected)","41 Source Type",$C$5,"5 Source No.",$C285,"4 Item Ledger Entry Type",$C$4,"2 Item No.","@@"&amp;$F285,"3 Posting Date",Z$9)-NL("Sum","5802 Value Entry","43 Cost Amount (Actual)","41 Source Type",$C$5,"5 Source no.",$C285,"4 Item Ledger Entry Type",$C$4,"2 Item No.","@@"&amp;$F285,"3 Posting Date",Z$9)</t>
  </si>
  <si>
    <t>=Z285-AB285</t>
  </si>
  <si>
    <t>=IF(Z285&lt;&gt;0,AC285/Z285,"")</t>
  </si>
  <si>
    <t>=C285</t>
  </si>
  <si>
    <t>=NL("Sum","5802 Value Entry","150 Sales Amount (Expected)","41 Source Type",$C$5,"5 Source No.",$C286,"4 Item Ledger Entry Type",$C$4,"2 Item No.","@@"&amp;$F286,"3 Posting Date",J$9)+NL("Sum","5802 Value Entry","17 Sales Amount (Actual)","41 Source Type",$C$5,"5 Source no.",$C286,"4 Item Ledger Entry Type",$C$4,"2 Item No.","@@"&amp;$F286,"3 Posting Date",J$9)</t>
  </si>
  <si>
    <t>=-NL("Sum","5802 Value Entry","151 Cost Amount (Expected)","41 Source Type",$C$5,"5 Source No.",$C286,"4 Item Ledger Entry Type",$C$4,"2 Item No.","@@"&amp;$F286,"3 Posting Date",J$9)-NL("Sum","5802 Value Entry","43 Cost Amount (Actual)","41 Source Type",$C$5,"5 Source no.",$C286,"4 Item Ledger Entry Type",$C$4,"2 Item No.","@@"&amp;$F286,"3 Posting Date",J$9)</t>
  </si>
  <si>
    <t>=J286-L286</t>
  </si>
  <si>
    <t>=IF(J286&lt;&gt;0,M286/J286,"")</t>
  </si>
  <si>
    <t>=NL("Sum","5802 Value Entry","150 Sales Amount (Expected)","41 Source Type",$C$5,"5 Source No.",$C286,"4 Item Ledger Entry Type",$C$4,"2 Item No.","@@"&amp;$F286,"3 Posting Date",O$9)+NL("Sum","5802 Value Entry","17 Sales Amount (Actual)","41 Source Type",$C$5,"5 Source no.",$C286,"4 Item Ledger Entry Type",$C$4,"2 Item No.","@@"&amp;$F286,"3 Posting Date",O$9)</t>
  </si>
  <si>
    <t>=-NL("Sum","5802 Value Entry","151 Cost Amount (Expected)","41 Source Type",$C$5,"5 Source No.",$C286,"4 Item Ledger Entry Type",$C$4,"2 Item No.","@@"&amp;$F286,"3 Posting Date",O$9)-NL("Sum","5802 Value Entry","43 Cost Amount (Actual)","41 Source Type",$C$5,"5 Source no.",$C286,"4 Item Ledger Entry Type",$C$4,"2 Item No.","@@"&amp;$F286,"3 Posting Date",O$9)</t>
  </si>
  <si>
    <t>=O286-Q286</t>
  </si>
  <si>
    <t>=IF(O286&lt;&gt;0,R286/O286,"")</t>
  </si>
  <si>
    <t>=NL("Sum","5802 Value Entry","150 Sales Amount (Expected)","41 Source Type",$C$5,"5 Source No.",$C286,"4 Item Ledger Entry Type",$C$4,"2 Item No.","@@"&amp;$F286,"3 Posting Date",U$9)+NL("Sum","5802 Value Entry","17 Sales Amount (Actual)","41 Source Type",$C$5,"5 Source no.",$C286,"4 Item Ledger Entry Type",$C$4,"2 Item No.","@@"&amp;$F286,"3 Posting Date",U$9)</t>
  </si>
  <si>
    <t>=-NL("Sum","5802 Value Entry","151 Cost Amount (Expected)","41 Source Type",$C$5,"5 Source No.",$C286,"4 Item Ledger Entry Type",$C$4,"2 Item No.","@@"&amp;$F286,"3 Posting Date",U$9)-NL("Sum","5802 Value Entry","43 Cost Amount (Actual)","41 Source Type",$C$5,"5 Source no.",$C286,"4 Item Ledger Entry Type",$C$4,"2 Item No.","@@"&amp;$F286,"3 Posting Date",U$9)</t>
  </si>
  <si>
    <t>=U286-W286</t>
  </si>
  <si>
    <t>=IF(U286&lt;&gt;0,X286/U286,"")</t>
  </si>
  <si>
    <t>=NL("Sum","5802 Value Entry","150 Sales Amount (Expected)","41 Source Type",$C$5,"5 Source No.",$C286,"4 Item Ledger Entry Type",$C$4,"2 Item No.","@@"&amp;$F286,"3 Posting Date",Z$9)+NL("Sum","5802 Value Entry","17 Sales Amount (Actual)","41 Source Type",$C$5,"5 Source no.",$C286,"4 Item Ledger Entry Type",$C$4,"2 Item No.","@@"&amp;$F286,"3 Posting Date",Z$9)</t>
  </si>
  <si>
    <t>=-NL("Sum","5802 Value Entry","151 Cost Amount (Expected)","41 Source Type",$C$5,"5 Source No.",$C286,"4 Item Ledger Entry Type",$C$4,"2 Item No.","@@"&amp;$F286,"3 Posting Date",Z$9)-NL("Sum","5802 Value Entry","43 Cost Amount (Actual)","41 Source Type",$C$5,"5 Source no.",$C286,"4 Item Ledger Entry Type",$C$4,"2 Item No.","@@"&amp;$F286,"3 Posting Date",Z$9)</t>
  </si>
  <si>
    <t>=Z286-AB286</t>
  </si>
  <si>
    <t>=IF(Z286&lt;&gt;0,AC286/Z286,"")</t>
  </si>
  <si>
    <t>=C286</t>
  </si>
  <si>
    <t>=NL("Sum","5802 Value Entry","150 Sales Amount (Expected)","41 Source Type",$C$5,"5 Source No.",$C287,"4 Item Ledger Entry Type",$C$4,"2 Item No.","@@"&amp;$F287,"3 Posting Date",J$9)+NL("Sum","5802 Value Entry","17 Sales Amount (Actual)","41 Source Type",$C$5,"5 Source no.",$C287,"4 Item Ledger Entry Type",$C$4,"2 Item No.","@@"&amp;$F287,"3 Posting Date",J$9)</t>
  </si>
  <si>
    <t>=-NL("Sum","5802 Value Entry","151 Cost Amount (Expected)","41 Source Type",$C$5,"5 Source No.",$C287,"4 Item Ledger Entry Type",$C$4,"2 Item No.","@@"&amp;$F287,"3 Posting Date",J$9)-NL("Sum","5802 Value Entry","43 Cost Amount (Actual)","41 Source Type",$C$5,"5 Source no.",$C287,"4 Item Ledger Entry Type",$C$4,"2 Item No.","@@"&amp;$F287,"3 Posting Date",J$9)</t>
  </si>
  <si>
    <t>=J287-L287</t>
  </si>
  <si>
    <t>=IF(J287&lt;&gt;0,M287/J287,"")</t>
  </si>
  <si>
    <t>=NL("Sum","5802 Value Entry","150 Sales Amount (Expected)","41 Source Type",$C$5,"5 Source No.",$C287,"4 Item Ledger Entry Type",$C$4,"2 Item No.","@@"&amp;$F287,"3 Posting Date",O$9)+NL("Sum","5802 Value Entry","17 Sales Amount (Actual)","41 Source Type",$C$5,"5 Source no.",$C287,"4 Item Ledger Entry Type",$C$4,"2 Item No.","@@"&amp;$F287,"3 Posting Date",O$9)</t>
  </si>
  <si>
    <t>=-NL("Sum","5802 Value Entry","151 Cost Amount (Expected)","41 Source Type",$C$5,"5 Source No.",$C287,"4 Item Ledger Entry Type",$C$4,"2 Item No.","@@"&amp;$F287,"3 Posting Date",O$9)-NL("Sum","5802 Value Entry","43 Cost Amount (Actual)","41 Source Type",$C$5,"5 Source no.",$C287,"4 Item Ledger Entry Type",$C$4,"2 Item No.","@@"&amp;$F287,"3 Posting Date",O$9)</t>
  </si>
  <si>
    <t>=O287-Q287</t>
  </si>
  <si>
    <t>=IF(O287&lt;&gt;0,R287/O287,"")</t>
  </si>
  <si>
    <t>=NL("Sum","5802 Value Entry","150 Sales Amount (Expected)","41 Source Type",$C$5,"5 Source No.",$C287,"4 Item Ledger Entry Type",$C$4,"2 Item No.","@@"&amp;$F287,"3 Posting Date",U$9)+NL("Sum","5802 Value Entry","17 Sales Amount (Actual)","41 Source Type",$C$5,"5 Source no.",$C287,"4 Item Ledger Entry Type",$C$4,"2 Item No.","@@"&amp;$F287,"3 Posting Date",U$9)</t>
  </si>
  <si>
    <t>=-NL("Sum","5802 Value Entry","151 Cost Amount (Expected)","41 Source Type",$C$5,"5 Source No.",$C287,"4 Item Ledger Entry Type",$C$4,"2 Item No.","@@"&amp;$F287,"3 Posting Date",U$9)-NL("Sum","5802 Value Entry","43 Cost Amount (Actual)","41 Source Type",$C$5,"5 Source no.",$C287,"4 Item Ledger Entry Type",$C$4,"2 Item No.","@@"&amp;$F287,"3 Posting Date",U$9)</t>
  </si>
  <si>
    <t>=U287-W287</t>
  </si>
  <si>
    <t>=IF(U287&lt;&gt;0,X287/U287,"")</t>
  </si>
  <si>
    <t>=NL("Sum","5802 Value Entry","150 Sales Amount (Expected)","41 Source Type",$C$5,"5 Source No.",$C287,"4 Item Ledger Entry Type",$C$4,"2 Item No.","@@"&amp;$F287,"3 Posting Date",Z$9)+NL("Sum","5802 Value Entry","17 Sales Amount (Actual)","41 Source Type",$C$5,"5 Source no.",$C287,"4 Item Ledger Entry Type",$C$4,"2 Item No.","@@"&amp;$F287,"3 Posting Date",Z$9)</t>
  </si>
  <si>
    <t>=-NL("Sum","5802 Value Entry","151 Cost Amount (Expected)","41 Source Type",$C$5,"5 Source No.",$C287,"4 Item Ledger Entry Type",$C$4,"2 Item No.","@@"&amp;$F287,"3 Posting Date",Z$9)-NL("Sum","5802 Value Entry","43 Cost Amount (Actual)","41 Source Type",$C$5,"5 Source no.",$C287,"4 Item Ledger Entry Type",$C$4,"2 Item No.","@@"&amp;$F287,"3 Posting Date",Z$9)</t>
  </si>
  <si>
    <t>=Z287-AB287</t>
  </si>
  <si>
    <t>=IF(Z287&lt;&gt;0,AC287/Z287,"")</t>
  </si>
  <si>
    <t>=C287</t>
  </si>
  <si>
    <t>=NL("Sum","5802 Value Entry","150 Sales Amount (Expected)","41 Source Type",$C$5,"5 Source No.",$C288,"4 Item Ledger Entry Type",$C$4,"2 Item No.","@@"&amp;$F288,"3 Posting Date",J$9)+NL("Sum","5802 Value Entry","17 Sales Amount (Actual)","41 Source Type",$C$5,"5 Source no.",$C288,"4 Item Ledger Entry Type",$C$4,"2 Item No.","@@"&amp;$F288,"3 Posting Date",J$9)</t>
  </si>
  <si>
    <t>=-NL("Sum","5802 Value Entry","151 Cost Amount (Expected)","41 Source Type",$C$5,"5 Source No.",$C288,"4 Item Ledger Entry Type",$C$4,"2 Item No.","@@"&amp;$F288,"3 Posting Date",J$9)-NL("Sum","5802 Value Entry","43 Cost Amount (Actual)","41 Source Type",$C$5,"5 Source no.",$C288,"4 Item Ledger Entry Type",$C$4,"2 Item No.","@@"&amp;$F288,"3 Posting Date",J$9)</t>
  </si>
  <si>
    <t>=J288-L288</t>
  </si>
  <si>
    <t>=IF(J288&lt;&gt;0,M288/J288,"")</t>
  </si>
  <si>
    <t>=NL("Sum","5802 Value Entry","150 Sales Amount (Expected)","41 Source Type",$C$5,"5 Source No.",$C288,"4 Item Ledger Entry Type",$C$4,"2 Item No.","@@"&amp;$F288,"3 Posting Date",O$9)+NL("Sum","5802 Value Entry","17 Sales Amount (Actual)","41 Source Type",$C$5,"5 Source no.",$C288,"4 Item Ledger Entry Type",$C$4,"2 Item No.","@@"&amp;$F288,"3 Posting Date",O$9)</t>
  </si>
  <si>
    <t>=-NL("Sum","5802 Value Entry","151 Cost Amount (Expected)","41 Source Type",$C$5,"5 Source No.",$C288,"4 Item Ledger Entry Type",$C$4,"2 Item No.","@@"&amp;$F288,"3 Posting Date",O$9)-NL("Sum","5802 Value Entry","43 Cost Amount (Actual)","41 Source Type",$C$5,"5 Source no.",$C288,"4 Item Ledger Entry Type",$C$4,"2 Item No.","@@"&amp;$F288,"3 Posting Date",O$9)</t>
  </si>
  <si>
    <t>=O288-Q288</t>
  </si>
  <si>
    <t>=IF(O288&lt;&gt;0,R288/O288,"")</t>
  </si>
  <si>
    <t>=NL("Sum","5802 Value Entry","150 Sales Amount (Expected)","41 Source Type",$C$5,"5 Source No.",$C288,"4 Item Ledger Entry Type",$C$4,"2 Item No.","@@"&amp;$F288,"3 Posting Date",U$9)+NL("Sum","5802 Value Entry","17 Sales Amount (Actual)","41 Source Type",$C$5,"5 Source no.",$C288,"4 Item Ledger Entry Type",$C$4,"2 Item No.","@@"&amp;$F288,"3 Posting Date",U$9)</t>
  </si>
  <si>
    <t>=-NL("Sum","5802 Value Entry","151 Cost Amount (Expected)","41 Source Type",$C$5,"5 Source No.",$C288,"4 Item Ledger Entry Type",$C$4,"2 Item No.","@@"&amp;$F288,"3 Posting Date",U$9)-NL("Sum","5802 Value Entry","43 Cost Amount (Actual)","41 Source Type",$C$5,"5 Source no.",$C288,"4 Item Ledger Entry Type",$C$4,"2 Item No.","@@"&amp;$F288,"3 Posting Date",U$9)</t>
  </si>
  <si>
    <t>=U288-W288</t>
  </si>
  <si>
    <t>=IF(U288&lt;&gt;0,X288/U288,"")</t>
  </si>
  <si>
    <t>=NL("Sum","5802 Value Entry","150 Sales Amount (Expected)","41 Source Type",$C$5,"5 Source No.",$C288,"4 Item Ledger Entry Type",$C$4,"2 Item No.","@@"&amp;$F288,"3 Posting Date",Z$9)+NL("Sum","5802 Value Entry","17 Sales Amount (Actual)","41 Source Type",$C$5,"5 Source no.",$C288,"4 Item Ledger Entry Type",$C$4,"2 Item No.","@@"&amp;$F288,"3 Posting Date",Z$9)</t>
  </si>
  <si>
    <t>=-NL("Sum","5802 Value Entry","151 Cost Amount (Expected)","41 Source Type",$C$5,"5 Source No.",$C288,"4 Item Ledger Entry Type",$C$4,"2 Item No.","@@"&amp;$F288,"3 Posting Date",Z$9)-NL("Sum","5802 Value Entry","43 Cost Amount (Actual)","41 Source Type",$C$5,"5 Source no.",$C288,"4 Item Ledger Entry Type",$C$4,"2 Item No.","@@"&amp;$F288,"3 Posting Date",Z$9)</t>
  </si>
  <si>
    <t>=Z288-AB288</t>
  </si>
  <si>
    <t>=IF(Z288&lt;&gt;0,AC288/Z288,"")</t>
  </si>
  <si>
    <t>=C288</t>
  </si>
  <si>
    <t>=NL("Sum","5802 Value Entry","150 Sales Amount (Expected)","41 Source Type",$C$5,"5 Source No.",$C289,"4 Item Ledger Entry Type",$C$4,"2 Item No.","@@"&amp;$F289,"3 Posting Date",J$9)+NL("Sum","5802 Value Entry","17 Sales Amount (Actual)","41 Source Type",$C$5,"5 Source no.",$C289,"4 Item Ledger Entry Type",$C$4,"2 Item No.","@@"&amp;$F289,"3 Posting Date",J$9)</t>
  </si>
  <si>
    <t>=-NL("Sum","5802 Value Entry","151 Cost Amount (Expected)","41 Source Type",$C$5,"5 Source No.",$C289,"4 Item Ledger Entry Type",$C$4,"2 Item No.","@@"&amp;$F289,"3 Posting Date",J$9)-NL("Sum","5802 Value Entry","43 Cost Amount (Actual)","41 Source Type",$C$5,"5 Source no.",$C289,"4 Item Ledger Entry Type",$C$4,"2 Item No.","@@"&amp;$F289,"3 Posting Date",J$9)</t>
  </si>
  <si>
    <t>=J289-L289</t>
  </si>
  <si>
    <t>=IF(J289&lt;&gt;0,M289/J289,"")</t>
  </si>
  <si>
    <t>=NL("Sum","5802 Value Entry","150 Sales Amount (Expected)","41 Source Type",$C$5,"5 Source No.",$C289,"4 Item Ledger Entry Type",$C$4,"2 Item No.","@@"&amp;$F289,"3 Posting Date",O$9)+NL("Sum","5802 Value Entry","17 Sales Amount (Actual)","41 Source Type",$C$5,"5 Source no.",$C289,"4 Item Ledger Entry Type",$C$4,"2 Item No.","@@"&amp;$F289,"3 Posting Date",O$9)</t>
  </si>
  <si>
    <t>=-NL("Sum","5802 Value Entry","151 Cost Amount (Expected)","41 Source Type",$C$5,"5 Source No.",$C289,"4 Item Ledger Entry Type",$C$4,"2 Item No.","@@"&amp;$F289,"3 Posting Date",O$9)-NL("Sum","5802 Value Entry","43 Cost Amount (Actual)","41 Source Type",$C$5,"5 Source no.",$C289,"4 Item Ledger Entry Type",$C$4,"2 Item No.","@@"&amp;$F289,"3 Posting Date",O$9)</t>
  </si>
  <si>
    <t>=O289-Q289</t>
  </si>
  <si>
    <t>=IF(O289&lt;&gt;0,R289/O289,"")</t>
  </si>
  <si>
    <t>=NL("Sum","5802 Value Entry","150 Sales Amount (Expected)","41 Source Type",$C$5,"5 Source No.",$C289,"4 Item Ledger Entry Type",$C$4,"2 Item No.","@@"&amp;$F289,"3 Posting Date",U$9)+NL("Sum","5802 Value Entry","17 Sales Amount (Actual)","41 Source Type",$C$5,"5 Source no.",$C289,"4 Item Ledger Entry Type",$C$4,"2 Item No.","@@"&amp;$F289,"3 Posting Date",U$9)</t>
  </si>
  <si>
    <t>=-NL("Sum","5802 Value Entry","151 Cost Amount (Expected)","41 Source Type",$C$5,"5 Source No.",$C289,"4 Item Ledger Entry Type",$C$4,"2 Item No.","@@"&amp;$F289,"3 Posting Date",U$9)-NL("Sum","5802 Value Entry","43 Cost Amount (Actual)","41 Source Type",$C$5,"5 Source no.",$C289,"4 Item Ledger Entry Type",$C$4,"2 Item No.","@@"&amp;$F289,"3 Posting Date",U$9)</t>
  </si>
  <si>
    <t>=U289-W289</t>
  </si>
  <si>
    <t>=IF(U289&lt;&gt;0,X289/U289,"")</t>
  </si>
  <si>
    <t>=NL("Sum","5802 Value Entry","150 Sales Amount (Expected)","41 Source Type",$C$5,"5 Source No.",$C289,"4 Item Ledger Entry Type",$C$4,"2 Item No.","@@"&amp;$F289,"3 Posting Date",Z$9)+NL("Sum","5802 Value Entry","17 Sales Amount (Actual)","41 Source Type",$C$5,"5 Source no.",$C289,"4 Item Ledger Entry Type",$C$4,"2 Item No.","@@"&amp;$F289,"3 Posting Date",Z$9)</t>
  </si>
  <si>
    <t>=-NL("Sum","5802 Value Entry","151 Cost Amount (Expected)","41 Source Type",$C$5,"5 Source No.",$C289,"4 Item Ledger Entry Type",$C$4,"2 Item No.","@@"&amp;$F289,"3 Posting Date",Z$9)-NL("Sum","5802 Value Entry","43 Cost Amount (Actual)","41 Source Type",$C$5,"5 Source no.",$C289,"4 Item Ledger Entry Type",$C$4,"2 Item No.","@@"&amp;$F289,"3 Posting Date",Z$9)</t>
  </si>
  <si>
    <t>=Z289-AB289</t>
  </si>
  <si>
    <t>=IF(Z289&lt;&gt;0,AC289/Z289,"")</t>
  </si>
  <si>
    <t>=C289</t>
  </si>
  <si>
    <t>=NL("Sum","5802 Value Entry","150 Sales Amount (Expected)","41 Source Type",$C$5,"5 Source No.",$C290,"4 Item Ledger Entry Type",$C$4,"2 Item No.","@@"&amp;$F290,"3 Posting Date",J$9)+NL("Sum","5802 Value Entry","17 Sales Amount (Actual)","41 Source Type",$C$5,"5 Source no.",$C290,"4 Item Ledger Entry Type",$C$4,"2 Item No.","@@"&amp;$F290,"3 Posting Date",J$9)</t>
  </si>
  <si>
    <t>=-NL("Sum","5802 Value Entry","151 Cost Amount (Expected)","41 Source Type",$C$5,"5 Source No.",$C290,"4 Item Ledger Entry Type",$C$4,"2 Item No.","@@"&amp;$F290,"3 Posting Date",J$9)-NL("Sum","5802 Value Entry","43 Cost Amount (Actual)","41 Source Type",$C$5,"5 Source no.",$C290,"4 Item Ledger Entry Type",$C$4,"2 Item No.","@@"&amp;$F290,"3 Posting Date",J$9)</t>
  </si>
  <si>
    <t>=J290-L290</t>
  </si>
  <si>
    <t>=IF(J290&lt;&gt;0,M290/J290,"")</t>
  </si>
  <si>
    <t>=NL("Sum","5802 Value Entry","150 Sales Amount (Expected)","41 Source Type",$C$5,"5 Source No.",$C290,"4 Item Ledger Entry Type",$C$4,"2 Item No.","@@"&amp;$F290,"3 Posting Date",O$9)+NL("Sum","5802 Value Entry","17 Sales Amount (Actual)","41 Source Type",$C$5,"5 Source no.",$C290,"4 Item Ledger Entry Type",$C$4,"2 Item No.","@@"&amp;$F290,"3 Posting Date",O$9)</t>
  </si>
  <si>
    <t>=-NL("Sum","5802 Value Entry","151 Cost Amount (Expected)","41 Source Type",$C$5,"5 Source No.",$C290,"4 Item Ledger Entry Type",$C$4,"2 Item No.","@@"&amp;$F290,"3 Posting Date",O$9)-NL("Sum","5802 Value Entry","43 Cost Amount (Actual)","41 Source Type",$C$5,"5 Source no.",$C290,"4 Item Ledger Entry Type",$C$4,"2 Item No.","@@"&amp;$F290,"3 Posting Date",O$9)</t>
  </si>
  <si>
    <t>=O290-Q290</t>
  </si>
  <si>
    <t>=IF(O290&lt;&gt;0,R290/O290,"")</t>
  </si>
  <si>
    <t>=NL("Sum","5802 Value Entry","150 Sales Amount (Expected)","41 Source Type",$C$5,"5 Source No.",$C290,"4 Item Ledger Entry Type",$C$4,"2 Item No.","@@"&amp;$F290,"3 Posting Date",U$9)+NL("Sum","5802 Value Entry","17 Sales Amount (Actual)","41 Source Type",$C$5,"5 Source no.",$C290,"4 Item Ledger Entry Type",$C$4,"2 Item No.","@@"&amp;$F290,"3 Posting Date",U$9)</t>
  </si>
  <si>
    <t>=-NL("Sum","5802 Value Entry","151 Cost Amount (Expected)","41 Source Type",$C$5,"5 Source No.",$C290,"4 Item Ledger Entry Type",$C$4,"2 Item No.","@@"&amp;$F290,"3 Posting Date",U$9)-NL("Sum","5802 Value Entry","43 Cost Amount (Actual)","41 Source Type",$C$5,"5 Source no.",$C290,"4 Item Ledger Entry Type",$C$4,"2 Item No.","@@"&amp;$F290,"3 Posting Date",U$9)</t>
  </si>
  <si>
    <t>=U290-W290</t>
  </si>
  <si>
    <t>=IF(U290&lt;&gt;0,X290/U290,"")</t>
  </si>
  <si>
    <t>=NL("Sum","5802 Value Entry","150 Sales Amount (Expected)","41 Source Type",$C$5,"5 Source No.",$C290,"4 Item Ledger Entry Type",$C$4,"2 Item No.","@@"&amp;$F290,"3 Posting Date",Z$9)+NL("Sum","5802 Value Entry","17 Sales Amount (Actual)","41 Source Type",$C$5,"5 Source no.",$C290,"4 Item Ledger Entry Type",$C$4,"2 Item No.","@@"&amp;$F290,"3 Posting Date",Z$9)</t>
  </si>
  <si>
    <t>=-NL("Sum","5802 Value Entry","151 Cost Amount (Expected)","41 Source Type",$C$5,"5 Source No.",$C290,"4 Item Ledger Entry Type",$C$4,"2 Item No.","@@"&amp;$F290,"3 Posting Date",Z$9)-NL("Sum","5802 Value Entry","43 Cost Amount (Actual)","41 Source Type",$C$5,"5 Source no.",$C290,"4 Item Ledger Entry Type",$C$4,"2 Item No.","@@"&amp;$F290,"3 Posting Date",Z$9)</t>
  </si>
  <si>
    <t>=Z290-AB290</t>
  </si>
  <si>
    <t>=IF(Z290&lt;&gt;0,AC290/Z290,"")</t>
  </si>
  <si>
    <t>=C290</t>
  </si>
  <si>
    <t>=NL("Sum","5802 Value Entry","150 Sales Amount (Expected)","41 Source Type",$C$5,"5 Source No.",$C291,"4 Item Ledger Entry Type",$C$4,"2 Item No.","@@"&amp;$F291,"3 Posting Date",J$9)+NL("Sum","5802 Value Entry","17 Sales Amount (Actual)","41 Source Type",$C$5,"5 Source no.",$C291,"4 Item Ledger Entry Type",$C$4,"2 Item No.","@@"&amp;$F291,"3 Posting Date",J$9)</t>
  </si>
  <si>
    <t>=-NL("Sum","5802 Value Entry","151 Cost Amount (Expected)","41 Source Type",$C$5,"5 Source No.",$C291,"4 Item Ledger Entry Type",$C$4,"2 Item No.","@@"&amp;$F291,"3 Posting Date",J$9)-NL("Sum","5802 Value Entry","43 Cost Amount (Actual)","41 Source Type",$C$5,"5 Source no.",$C291,"4 Item Ledger Entry Type",$C$4,"2 Item No.","@@"&amp;$F291,"3 Posting Date",J$9)</t>
  </si>
  <si>
    <t>=J291-L291</t>
  </si>
  <si>
    <t>=IF(J291&lt;&gt;0,M291/J291,"")</t>
  </si>
  <si>
    <t>=NL("Sum","5802 Value Entry","150 Sales Amount (Expected)","41 Source Type",$C$5,"5 Source No.",$C291,"4 Item Ledger Entry Type",$C$4,"2 Item No.","@@"&amp;$F291,"3 Posting Date",O$9)+NL("Sum","5802 Value Entry","17 Sales Amount (Actual)","41 Source Type",$C$5,"5 Source no.",$C291,"4 Item Ledger Entry Type",$C$4,"2 Item No.","@@"&amp;$F291,"3 Posting Date",O$9)</t>
  </si>
  <si>
    <t>=-NL("Sum","5802 Value Entry","151 Cost Amount (Expected)","41 Source Type",$C$5,"5 Source No.",$C291,"4 Item Ledger Entry Type",$C$4,"2 Item No.","@@"&amp;$F291,"3 Posting Date",O$9)-NL("Sum","5802 Value Entry","43 Cost Amount (Actual)","41 Source Type",$C$5,"5 Source no.",$C291,"4 Item Ledger Entry Type",$C$4,"2 Item No.","@@"&amp;$F291,"3 Posting Date",O$9)</t>
  </si>
  <si>
    <t>=O291-Q291</t>
  </si>
  <si>
    <t>=IF(O291&lt;&gt;0,R291/O291,"")</t>
  </si>
  <si>
    <t>=NL("Sum","5802 Value Entry","150 Sales Amount (Expected)","41 Source Type",$C$5,"5 Source No.",$C291,"4 Item Ledger Entry Type",$C$4,"2 Item No.","@@"&amp;$F291,"3 Posting Date",U$9)+NL("Sum","5802 Value Entry","17 Sales Amount (Actual)","41 Source Type",$C$5,"5 Source no.",$C291,"4 Item Ledger Entry Type",$C$4,"2 Item No.","@@"&amp;$F291,"3 Posting Date",U$9)</t>
  </si>
  <si>
    <t>=-NL("Sum","5802 Value Entry","151 Cost Amount (Expected)","41 Source Type",$C$5,"5 Source No.",$C291,"4 Item Ledger Entry Type",$C$4,"2 Item No.","@@"&amp;$F291,"3 Posting Date",U$9)-NL("Sum","5802 Value Entry","43 Cost Amount (Actual)","41 Source Type",$C$5,"5 Source no.",$C291,"4 Item Ledger Entry Type",$C$4,"2 Item No.","@@"&amp;$F291,"3 Posting Date",U$9)</t>
  </si>
  <si>
    <t>=U291-W291</t>
  </si>
  <si>
    <t>=IF(U291&lt;&gt;0,X291/U291,"")</t>
  </si>
  <si>
    <t>=NL("Sum","5802 Value Entry","150 Sales Amount (Expected)","41 Source Type",$C$5,"5 Source No.",$C291,"4 Item Ledger Entry Type",$C$4,"2 Item No.","@@"&amp;$F291,"3 Posting Date",Z$9)+NL("Sum","5802 Value Entry","17 Sales Amount (Actual)","41 Source Type",$C$5,"5 Source no.",$C291,"4 Item Ledger Entry Type",$C$4,"2 Item No.","@@"&amp;$F291,"3 Posting Date",Z$9)</t>
  </si>
  <si>
    <t>=-NL("Sum","5802 Value Entry","151 Cost Amount (Expected)","41 Source Type",$C$5,"5 Source No.",$C291,"4 Item Ledger Entry Type",$C$4,"2 Item No.","@@"&amp;$F291,"3 Posting Date",Z$9)-NL("Sum","5802 Value Entry","43 Cost Amount (Actual)","41 Source Type",$C$5,"5 Source no.",$C291,"4 Item Ledger Entry Type",$C$4,"2 Item No.","@@"&amp;$F291,"3 Posting Date",Z$9)</t>
  </si>
  <si>
    <t>=Z291-AB291</t>
  </si>
  <si>
    <t>=IF(Z291&lt;&gt;0,AC291/Z291,"")</t>
  </si>
  <si>
    <t>=C292</t>
  </si>
  <si>
    <t>=C293&amp;" TOTAL:"</t>
  </si>
  <si>
    <t>=J293-L293</t>
  </si>
  <si>
    <t>=IF(J293&lt;&gt;0,M293/J293,"")</t>
  </si>
  <si>
    <t>=O293-Q293</t>
  </si>
  <si>
    <t>=IF(O293&lt;&gt;0,R293/O293,"")</t>
  </si>
  <si>
    <t>=U293-W293</t>
  </si>
  <si>
    <t>=IF(U293&lt;&gt;0,X293/U293,"")</t>
  </si>
  <si>
    <t>=Z293-AB293</t>
  </si>
  <si>
    <t>=IF(Z293&lt;&gt;0,AC293/Z293,"")</t>
  </si>
  <si>
    <t>=E295</t>
  </si>
  <si>
    <t>=NL(,"18 Customer","2 Name","1 No.",$E295)</t>
  </si>
  <si>
    <t>=C295</t>
  </si>
  <si>
    <t>=C296</t>
  </si>
  <si>
    <t>=NL("Rows","5802 Value Entry","2 Item No.","4 Item Ledger Entry Type",$C$4,"41 Source Type",$C$5,"5 Source No.",$C297,"Item No.",$C$7,"3 Posting Date",$C$10)</t>
  </si>
  <si>
    <t>=NL("Sum","5802 Value Entry","150 Sales Amount (Expected)","41 Source Type",$C$5,"5 Source No.",$C297,"4 Item Ledger Entry Type",$C$4,"2 Item No.","@@"&amp;$F297,"3 Posting Date",J$9)+NL("Sum","5802 Value Entry","17 Sales Amount (Actual)","41 Source Type",$C$5,"5 Source no.",$C297,"4 Item Ledger Entry Type",$C$4,"2 Item No.","@@"&amp;$F297,"3 Posting Date",J$9)</t>
  </si>
  <si>
    <t>=-NL("Sum","5802 Value Entry","151 Cost Amount (Expected)","41 Source Type",$C$5,"5 Source No.",$C297,"4 Item Ledger Entry Type",$C$4,"2 Item No.","@@"&amp;$F297,"3 Posting Date",J$9)-NL("Sum","5802 Value Entry","43 Cost Amount (Actual)","41 Source Type",$C$5,"5 Source no.",$C297,"4 Item Ledger Entry Type",$C$4,"2 Item No.","@@"&amp;$F297,"3 Posting Date",J$9)</t>
  </si>
  <si>
    <t>=J297-L297</t>
  </si>
  <si>
    <t>=IF(J297&lt;&gt;0,M297/J297,"")</t>
  </si>
  <si>
    <t>=NL("Sum","5802 Value Entry","150 Sales Amount (Expected)","41 Source Type",$C$5,"5 Source No.",$C297,"4 Item Ledger Entry Type",$C$4,"2 Item No.","@@"&amp;$F297,"3 Posting Date",O$9)+NL("Sum","5802 Value Entry","17 Sales Amount (Actual)","41 Source Type",$C$5,"5 Source no.",$C297,"4 Item Ledger Entry Type",$C$4,"2 Item No.","@@"&amp;$F297,"3 Posting Date",O$9)</t>
  </si>
  <si>
    <t>=-NL("Sum","5802 Value Entry","151 Cost Amount (Expected)","41 Source Type",$C$5,"5 Source No.",$C297,"4 Item Ledger Entry Type",$C$4,"2 Item No.","@@"&amp;$F297,"3 Posting Date",O$9)-NL("Sum","5802 Value Entry","43 Cost Amount (Actual)","41 Source Type",$C$5,"5 Source no.",$C297,"4 Item Ledger Entry Type",$C$4,"2 Item No.","@@"&amp;$F297,"3 Posting Date",O$9)</t>
  </si>
  <si>
    <t>=O297-Q297</t>
  </si>
  <si>
    <t>=IF(O297&lt;&gt;0,R297/O297,"")</t>
  </si>
  <si>
    <t>=NL("Sum","5802 Value Entry","150 Sales Amount (Expected)","41 Source Type",$C$5,"5 Source No.",$C297,"4 Item Ledger Entry Type",$C$4,"2 Item No.","@@"&amp;$F297,"3 Posting Date",U$9)+NL("Sum","5802 Value Entry","17 Sales Amount (Actual)","41 Source Type",$C$5,"5 Source no.",$C297,"4 Item Ledger Entry Type",$C$4,"2 Item No.","@@"&amp;$F297,"3 Posting Date",U$9)</t>
  </si>
  <si>
    <t>=-NL("Sum","5802 Value Entry","151 Cost Amount (Expected)","41 Source Type",$C$5,"5 Source No.",$C297,"4 Item Ledger Entry Type",$C$4,"2 Item No.","@@"&amp;$F297,"3 Posting Date",U$9)-NL("Sum","5802 Value Entry","43 Cost Amount (Actual)","41 Source Type",$C$5,"5 Source no.",$C297,"4 Item Ledger Entry Type",$C$4,"2 Item No.","@@"&amp;$F297,"3 Posting Date",U$9)</t>
  </si>
  <si>
    <t>=U297-W297</t>
  </si>
  <si>
    <t>=IF(U297&lt;&gt;0,X297/U297,"")</t>
  </si>
  <si>
    <t>=NL("Sum","5802 Value Entry","150 Sales Amount (Expected)","41 Source Type",$C$5,"5 Source No.",$C297,"4 Item Ledger Entry Type",$C$4,"2 Item No.","@@"&amp;$F297,"3 Posting Date",Z$9)+NL("Sum","5802 Value Entry","17 Sales Amount (Actual)","41 Source Type",$C$5,"5 Source no.",$C297,"4 Item Ledger Entry Type",$C$4,"2 Item No.","@@"&amp;$F297,"3 Posting Date",Z$9)</t>
  </si>
  <si>
    <t>=-NL("Sum","5802 Value Entry","151 Cost Amount (Expected)","41 Source Type",$C$5,"5 Source No.",$C297,"4 Item Ledger Entry Type",$C$4,"2 Item No.","@@"&amp;$F297,"3 Posting Date",Z$9)-NL("Sum","5802 Value Entry","43 Cost Amount (Actual)","41 Source Type",$C$5,"5 Source no.",$C297,"4 Item Ledger Entry Type",$C$4,"2 Item No.","@@"&amp;$F297,"3 Posting Date",Z$9)</t>
  </si>
  <si>
    <t>=Z297-AB297</t>
  </si>
  <si>
    <t>=IF(Z297&lt;&gt;0,AC297/Z297,"")</t>
  </si>
  <si>
    <t>=C297</t>
  </si>
  <si>
    <t>=NL("Sum","5802 Value Entry","150 Sales Amount (Expected)","41 Source Type",$C$5,"5 Source No.",$C298,"4 Item Ledger Entry Type",$C$4,"2 Item No.","@@"&amp;$F298,"3 Posting Date",J$9)+NL("Sum","5802 Value Entry","17 Sales Amount (Actual)","41 Source Type",$C$5,"5 Source no.",$C298,"4 Item Ledger Entry Type",$C$4,"2 Item No.","@@"&amp;$F298,"3 Posting Date",J$9)</t>
  </si>
  <si>
    <t>=-NL("Sum","5802 Value Entry","151 Cost Amount (Expected)","41 Source Type",$C$5,"5 Source No.",$C298,"4 Item Ledger Entry Type",$C$4,"2 Item No.","@@"&amp;$F298,"3 Posting Date",J$9)-NL("Sum","5802 Value Entry","43 Cost Amount (Actual)","41 Source Type",$C$5,"5 Source no.",$C298,"4 Item Ledger Entry Type",$C$4,"2 Item No.","@@"&amp;$F298,"3 Posting Date",J$9)</t>
  </si>
  <si>
    <t>=J298-L298</t>
  </si>
  <si>
    <t>=IF(J298&lt;&gt;0,M298/J298,"")</t>
  </si>
  <si>
    <t>=NL("Sum","5802 Value Entry","150 Sales Amount (Expected)","41 Source Type",$C$5,"5 Source No.",$C298,"4 Item Ledger Entry Type",$C$4,"2 Item No.","@@"&amp;$F298,"3 Posting Date",O$9)+NL("Sum","5802 Value Entry","17 Sales Amount (Actual)","41 Source Type",$C$5,"5 Source no.",$C298,"4 Item Ledger Entry Type",$C$4,"2 Item No.","@@"&amp;$F298,"3 Posting Date",O$9)</t>
  </si>
  <si>
    <t>=-NL("Sum","5802 Value Entry","151 Cost Amount (Expected)","41 Source Type",$C$5,"5 Source No.",$C298,"4 Item Ledger Entry Type",$C$4,"2 Item No.","@@"&amp;$F298,"3 Posting Date",O$9)-NL("Sum","5802 Value Entry","43 Cost Amount (Actual)","41 Source Type",$C$5,"5 Source no.",$C298,"4 Item Ledger Entry Type",$C$4,"2 Item No.","@@"&amp;$F298,"3 Posting Date",O$9)</t>
  </si>
  <si>
    <t>=O298-Q298</t>
  </si>
  <si>
    <t>=IF(O298&lt;&gt;0,R298/O298,"")</t>
  </si>
  <si>
    <t>=NL("Sum","5802 Value Entry","150 Sales Amount (Expected)","41 Source Type",$C$5,"5 Source No.",$C298,"4 Item Ledger Entry Type",$C$4,"2 Item No.","@@"&amp;$F298,"3 Posting Date",U$9)+NL("Sum","5802 Value Entry","17 Sales Amount (Actual)","41 Source Type",$C$5,"5 Source no.",$C298,"4 Item Ledger Entry Type",$C$4,"2 Item No.","@@"&amp;$F298,"3 Posting Date",U$9)</t>
  </si>
  <si>
    <t>=-NL("Sum","5802 Value Entry","151 Cost Amount (Expected)","41 Source Type",$C$5,"5 Source No.",$C298,"4 Item Ledger Entry Type",$C$4,"2 Item No.","@@"&amp;$F298,"3 Posting Date",U$9)-NL("Sum","5802 Value Entry","43 Cost Amount (Actual)","41 Source Type",$C$5,"5 Source no.",$C298,"4 Item Ledger Entry Type",$C$4,"2 Item No.","@@"&amp;$F298,"3 Posting Date",U$9)</t>
  </si>
  <si>
    <t>=U298-W298</t>
  </si>
  <si>
    <t>=IF(U298&lt;&gt;0,X298/U298,"")</t>
  </si>
  <si>
    <t>=NL("Sum","5802 Value Entry","150 Sales Amount (Expected)","41 Source Type",$C$5,"5 Source No.",$C298,"4 Item Ledger Entry Type",$C$4,"2 Item No.","@@"&amp;$F298,"3 Posting Date",Z$9)+NL("Sum","5802 Value Entry","17 Sales Amount (Actual)","41 Source Type",$C$5,"5 Source no.",$C298,"4 Item Ledger Entry Type",$C$4,"2 Item No.","@@"&amp;$F298,"3 Posting Date",Z$9)</t>
  </si>
  <si>
    <t>=-NL("Sum","5802 Value Entry","151 Cost Amount (Expected)","41 Source Type",$C$5,"5 Source No.",$C298,"4 Item Ledger Entry Type",$C$4,"2 Item No.","@@"&amp;$F298,"3 Posting Date",Z$9)-NL("Sum","5802 Value Entry","43 Cost Amount (Actual)","41 Source Type",$C$5,"5 Source no.",$C298,"4 Item Ledger Entry Type",$C$4,"2 Item No.","@@"&amp;$F298,"3 Posting Date",Z$9)</t>
  </si>
  <si>
    <t>=Z298-AB298</t>
  </si>
  <si>
    <t>=IF(Z298&lt;&gt;0,AC298/Z298,"")</t>
  </si>
  <si>
    <t>=C298</t>
  </si>
  <si>
    <t>=NL("Sum","5802 Value Entry","150 Sales Amount (Expected)","41 Source Type",$C$5,"5 Source No.",$C299,"4 Item Ledger Entry Type",$C$4,"2 Item No.","@@"&amp;$F299,"3 Posting Date",J$9)+NL("Sum","5802 Value Entry","17 Sales Amount (Actual)","41 Source Type",$C$5,"5 Source no.",$C299,"4 Item Ledger Entry Type",$C$4,"2 Item No.","@@"&amp;$F299,"3 Posting Date",J$9)</t>
  </si>
  <si>
    <t>=-NL("Sum","5802 Value Entry","151 Cost Amount (Expected)","41 Source Type",$C$5,"5 Source No.",$C299,"4 Item Ledger Entry Type",$C$4,"2 Item No.","@@"&amp;$F299,"3 Posting Date",J$9)-NL("Sum","5802 Value Entry","43 Cost Amount (Actual)","41 Source Type",$C$5,"5 Source no.",$C299,"4 Item Ledger Entry Type",$C$4,"2 Item No.","@@"&amp;$F299,"3 Posting Date",J$9)</t>
  </si>
  <si>
    <t>=J299-L299</t>
  </si>
  <si>
    <t>=IF(J299&lt;&gt;0,M299/J299,"")</t>
  </si>
  <si>
    <t>=NL("Sum","5802 Value Entry","150 Sales Amount (Expected)","41 Source Type",$C$5,"5 Source No.",$C299,"4 Item Ledger Entry Type",$C$4,"2 Item No.","@@"&amp;$F299,"3 Posting Date",O$9)+NL("Sum","5802 Value Entry","17 Sales Amount (Actual)","41 Source Type",$C$5,"5 Source no.",$C299,"4 Item Ledger Entry Type",$C$4,"2 Item No.","@@"&amp;$F299,"3 Posting Date",O$9)</t>
  </si>
  <si>
    <t>=-NL("Sum","5802 Value Entry","151 Cost Amount (Expected)","41 Source Type",$C$5,"5 Source No.",$C299,"4 Item Ledger Entry Type",$C$4,"2 Item No.","@@"&amp;$F299,"3 Posting Date",O$9)-NL("Sum","5802 Value Entry","43 Cost Amount (Actual)","41 Source Type",$C$5,"5 Source no.",$C299,"4 Item Ledger Entry Type",$C$4,"2 Item No.","@@"&amp;$F299,"3 Posting Date",O$9)</t>
  </si>
  <si>
    <t>=O299-Q299</t>
  </si>
  <si>
    <t>=IF(O299&lt;&gt;0,R299/O299,"")</t>
  </si>
  <si>
    <t>=NL("Sum","5802 Value Entry","150 Sales Amount (Expected)","41 Source Type",$C$5,"5 Source No.",$C299,"4 Item Ledger Entry Type",$C$4,"2 Item No.","@@"&amp;$F299,"3 Posting Date",U$9)+NL("Sum","5802 Value Entry","17 Sales Amount (Actual)","41 Source Type",$C$5,"5 Source no.",$C299,"4 Item Ledger Entry Type",$C$4,"2 Item No.","@@"&amp;$F299,"3 Posting Date",U$9)</t>
  </si>
  <si>
    <t>=-NL("Sum","5802 Value Entry","151 Cost Amount (Expected)","41 Source Type",$C$5,"5 Source No.",$C299,"4 Item Ledger Entry Type",$C$4,"2 Item No.","@@"&amp;$F299,"3 Posting Date",U$9)-NL("Sum","5802 Value Entry","43 Cost Amount (Actual)","41 Source Type",$C$5,"5 Source no.",$C299,"4 Item Ledger Entry Type",$C$4,"2 Item No.","@@"&amp;$F299,"3 Posting Date",U$9)</t>
  </si>
  <si>
    <t>=U299-W299</t>
  </si>
  <si>
    <t>=IF(U299&lt;&gt;0,X299/U299,"")</t>
  </si>
  <si>
    <t>=NL("Sum","5802 Value Entry","150 Sales Amount (Expected)","41 Source Type",$C$5,"5 Source No.",$C299,"4 Item Ledger Entry Type",$C$4,"2 Item No.","@@"&amp;$F299,"3 Posting Date",Z$9)+NL("Sum","5802 Value Entry","17 Sales Amount (Actual)","41 Source Type",$C$5,"5 Source no.",$C299,"4 Item Ledger Entry Type",$C$4,"2 Item No.","@@"&amp;$F299,"3 Posting Date",Z$9)</t>
  </si>
  <si>
    <t>=-NL("Sum","5802 Value Entry","151 Cost Amount (Expected)","41 Source Type",$C$5,"5 Source No.",$C299,"4 Item Ledger Entry Type",$C$4,"2 Item No.","@@"&amp;$F299,"3 Posting Date",Z$9)-NL("Sum","5802 Value Entry","43 Cost Amount (Actual)","41 Source Type",$C$5,"5 Source no.",$C299,"4 Item Ledger Entry Type",$C$4,"2 Item No.","@@"&amp;$F299,"3 Posting Date",Z$9)</t>
  </si>
  <si>
    <t>=Z299-AB299</t>
  </si>
  <si>
    <t>=IF(Z299&lt;&gt;0,AC299/Z299,"")</t>
  </si>
  <si>
    <t>=C299</t>
  </si>
  <si>
    <t>=NL("Sum","5802 Value Entry","150 Sales Amount (Expected)","41 Source Type",$C$5,"5 Source No.",$C300,"4 Item Ledger Entry Type",$C$4,"2 Item No.","@@"&amp;$F300,"3 Posting Date",J$9)+NL("Sum","5802 Value Entry","17 Sales Amount (Actual)","41 Source Type",$C$5,"5 Source no.",$C300,"4 Item Ledger Entry Type",$C$4,"2 Item No.","@@"&amp;$F300,"3 Posting Date",J$9)</t>
  </si>
  <si>
    <t>=-NL("Sum","5802 Value Entry","151 Cost Amount (Expected)","41 Source Type",$C$5,"5 Source No.",$C300,"4 Item Ledger Entry Type",$C$4,"2 Item No.","@@"&amp;$F300,"3 Posting Date",J$9)-NL("Sum","5802 Value Entry","43 Cost Amount (Actual)","41 Source Type",$C$5,"5 Source no.",$C300,"4 Item Ledger Entry Type",$C$4,"2 Item No.","@@"&amp;$F300,"3 Posting Date",J$9)</t>
  </si>
  <si>
    <t>=J300-L300</t>
  </si>
  <si>
    <t>=IF(J300&lt;&gt;0,M300/J300,"")</t>
  </si>
  <si>
    <t>=NL("Sum","5802 Value Entry","150 Sales Amount (Expected)","41 Source Type",$C$5,"5 Source No.",$C300,"4 Item Ledger Entry Type",$C$4,"2 Item No.","@@"&amp;$F300,"3 Posting Date",O$9)+NL("Sum","5802 Value Entry","17 Sales Amount (Actual)","41 Source Type",$C$5,"5 Source no.",$C300,"4 Item Ledger Entry Type",$C$4,"2 Item No.","@@"&amp;$F300,"3 Posting Date",O$9)</t>
  </si>
  <si>
    <t>=-NL("Sum","5802 Value Entry","151 Cost Amount (Expected)","41 Source Type",$C$5,"5 Source No.",$C300,"4 Item Ledger Entry Type",$C$4,"2 Item No.","@@"&amp;$F300,"3 Posting Date",O$9)-NL("Sum","5802 Value Entry","43 Cost Amount (Actual)","41 Source Type",$C$5,"5 Source no.",$C300,"4 Item Ledger Entry Type",$C$4,"2 Item No.","@@"&amp;$F300,"3 Posting Date",O$9)</t>
  </si>
  <si>
    <t>=O300-Q300</t>
  </si>
  <si>
    <t>=IF(O300&lt;&gt;0,R300/O300,"")</t>
  </si>
  <si>
    <t>=NL("Sum","5802 Value Entry","150 Sales Amount (Expected)","41 Source Type",$C$5,"5 Source No.",$C300,"4 Item Ledger Entry Type",$C$4,"2 Item No.","@@"&amp;$F300,"3 Posting Date",U$9)+NL("Sum","5802 Value Entry","17 Sales Amount (Actual)","41 Source Type",$C$5,"5 Source no.",$C300,"4 Item Ledger Entry Type",$C$4,"2 Item No.","@@"&amp;$F300,"3 Posting Date",U$9)</t>
  </si>
  <si>
    <t>=-NL("Sum","5802 Value Entry","151 Cost Amount (Expected)","41 Source Type",$C$5,"5 Source No.",$C300,"4 Item Ledger Entry Type",$C$4,"2 Item No.","@@"&amp;$F300,"3 Posting Date",U$9)-NL("Sum","5802 Value Entry","43 Cost Amount (Actual)","41 Source Type",$C$5,"5 Source no.",$C300,"4 Item Ledger Entry Type",$C$4,"2 Item No.","@@"&amp;$F300,"3 Posting Date",U$9)</t>
  </si>
  <si>
    <t>=U300-W300</t>
  </si>
  <si>
    <t>=IF(U300&lt;&gt;0,X300/U300,"")</t>
  </si>
  <si>
    <t>=NL("Sum","5802 Value Entry","150 Sales Amount (Expected)","41 Source Type",$C$5,"5 Source No.",$C300,"4 Item Ledger Entry Type",$C$4,"2 Item No.","@@"&amp;$F300,"3 Posting Date",Z$9)+NL("Sum","5802 Value Entry","17 Sales Amount (Actual)","41 Source Type",$C$5,"5 Source no.",$C300,"4 Item Ledger Entry Type",$C$4,"2 Item No.","@@"&amp;$F300,"3 Posting Date",Z$9)</t>
  </si>
  <si>
    <t>=-NL("Sum","5802 Value Entry","151 Cost Amount (Expected)","41 Source Type",$C$5,"5 Source No.",$C300,"4 Item Ledger Entry Type",$C$4,"2 Item No.","@@"&amp;$F300,"3 Posting Date",Z$9)-NL("Sum","5802 Value Entry","43 Cost Amount (Actual)","41 Source Type",$C$5,"5 Source no.",$C300,"4 Item Ledger Entry Type",$C$4,"2 Item No.","@@"&amp;$F300,"3 Posting Date",Z$9)</t>
  </si>
  <si>
    <t>=Z300-AB300</t>
  </si>
  <si>
    <t>=IF(Z300&lt;&gt;0,AC300/Z300,"")</t>
  </si>
  <si>
    <t>=C300</t>
  </si>
  <si>
    <t>=NL("Sum","5802 Value Entry","150 Sales Amount (Expected)","41 Source Type",$C$5,"5 Source No.",$C301,"4 Item Ledger Entry Type",$C$4,"2 Item No.","@@"&amp;$F301,"3 Posting Date",J$9)+NL("Sum","5802 Value Entry","17 Sales Amount (Actual)","41 Source Type",$C$5,"5 Source no.",$C301,"4 Item Ledger Entry Type",$C$4,"2 Item No.","@@"&amp;$F301,"3 Posting Date",J$9)</t>
  </si>
  <si>
    <t>=-NL("Sum","5802 Value Entry","151 Cost Amount (Expected)","41 Source Type",$C$5,"5 Source No.",$C301,"4 Item Ledger Entry Type",$C$4,"2 Item No.","@@"&amp;$F301,"3 Posting Date",J$9)-NL("Sum","5802 Value Entry","43 Cost Amount (Actual)","41 Source Type",$C$5,"5 Source no.",$C301,"4 Item Ledger Entry Type",$C$4,"2 Item No.","@@"&amp;$F301,"3 Posting Date",J$9)</t>
  </si>
  <si>
    <t>=J301-L301</t>
  </si>
  <si>
    <t>=IF(J301&lt;&gt;0,M301/J301,"")</t>
  </si>
  <si>
    <t>=NL("Sum","5802 Value Entry","150 Sales Amount (Expected)","41 Source Type",$C$5,"5 Source No.",$C301,"4 Item Ledger Entry Type",$C$4,"2 Item No.","@@"&amp;$F301,"3 Posting Date",O$9)+NL("Sum","5802 Value Entry","17 Sales Amount (Actual)","41 Source Type",$C$5,"5 Source no.",$C301,"4 Item Ledger Entry Type",$C$4,"2 Item No.","@@"&amp;$F301,"3 Posting Date",O$9)</t>
  </si>
  <si>
    <t>=-NL("Sum","5802 Value Entry","151 Cost Amount (Expected)","41 Source Type",$C$5,"5 Source No.",$C301,"4 Item Ledger Entry Type",$C$4,"2 Item No.","@@"&amp;$F301,"3 Posting Date",O$9)-NL("Sum","5802 Value Entry","43 Cost Amount (Actual)","41 Source Type",$C$5,"5 Source no.",$C301,"4 Item Ledger Entry Type",$C$4,"2 Item No.","@@"&amp;$F301,"3 Posting Date",O$9)</t>
  </si>
  <si>
    <t>=O301-Q301</t>
  </si>
  <si>
    <t>=IF(O301&lt;&gt;0,R301/O301,"")</t>
  </si>
  <si>
    <t>=NL("Sum","5802 Value Entry","150 Sales Amount (Expected)","41 Source Type",$C$5,"5 Source No.",$C301,"4 Item Ledger Entry Type",$C$4,"2 Item No.","@@"&amp;$F301,"3 Posting Date",U$9)+NL("Sum","5802 Value Entry","17 Sales Amount (Actual)","41 Source Type",$C$5,"5 Source no.",$C301,"4 Item Ledger Entry Type",$C$4,"2 Item No.","@@"&amp;$F301,"3 Posting Date",U$9)</t>
  </si>
  <si>
    <t>=-NL("Sum","5802 Value Entry","151 Cost Amount (Expected)","41 Source Type",$C$5,"5 Source No.",$C301,"4 Item Ledger Entry Type",$C$4,"2 Item No.","@@"&amp;$F301,"3 Posting Date",U$9)-NL("Sum","5802 Value Entry","43 Cost Amount (Actual)","41 Source Type",$C$5,"5 Source no.",$C301,"4 Item Ledger Entry Type",$C$4,"2 Item No.","@@"&amp;$F301,"3 Posting Date",U$9)</t>
  </si>
  <si>
    <t>=U301-W301</t>
  </si>
  <si>
    <t>=IF(U301&lt;&gt;0,X301/U301,"")</t>
  </si>
  <si>
    <t>=NL("Sum","5802 Value Entry","150 Sales Amount (Expected)","41 Source Type",$C$5,"5 Source No.",$C301,"4 Item Ledger Entry Type",$C$4,"2 Item No.","@@"&amp;$F301,"3 Posting Date",Z$9)+NL("Sum","5802 Value Entry","17 Sales Amount (Actual)","41 Source Type",$C$5,"5 Source no.",$C301,"4 Item Ledger Entry Type",$C$4,"2 Item No.","@@"&amp;$F301,"3 Posting Date",Z$9)</t>
  </si>
  <si>
    <t>=-NL("Sum","5802 Value Entry","151 Cost Amount (Expected)","41 Source Type",$C$5,"5 Source No.",$C301,"4 Item Ledger Entry Type",$C$4,"2 Item No.","@@"&amp;$F301,"3 Posting Date",Z$9)-NL("Sum","5802 Value Entry","43 Cost Amount (Actual)","41 Source Type",$C$5,"5 Source no.",$C301,"4 Item Ledger Entry Type",$C$4,"2 Item No.","@@"&amp;$F301,"3 Posting Date",Z$9)</t>
  </si>
  <si>
    <t>=Z301-AB301</t>
  </si>
  <si>
    <t>=IF(Z301&lt;&gt;0,AC301/Z301,"")</t>
  </si>
  <si>
    <t>=C301</t>
  </si>
  <si>
    <t>=NL("Sum","5802 Value Entry","150 Sales Amount (Expected)","41 Source Type",$C$5,"5 Source No.",$C302,"4 Item Ledger Entry Type",$C$4,"2 Item No.","@@"&amp;$F302,"3 Posting Date",J$9)+NL("Sum","5802 Value Entry","17 Sales Amount (Actual)","41 Source Type",$C$5,"5 Source no.",$C302,"4 Item Ledger Entry Type",$C$4,"2 Item No.","@@"&amp;$F302,"3 Posting Date",J$9)</t>
  </si>
  <si>
    <t>=-NL("Sum","5802 Value Entry","151 Cost Amount (Expected)","41 Source Type",$C$5,"5 Source No.",$C302,"4 Item Ledger Entry Type",$C$4,"2 Item No.","@@"&amp;$F302,"3 Posting Date",J$9)-NL("Sum","5802 Value Entry","43 Cost Amount (Actual)","41 Source Type",$C$5,"5 Source no.",$C302,"4 Item Ledger Entry Type",$C$4,"2 Item No.","@@"&amp;$F302,"3 Posting Date",J$9)</t>
  </si>
  <si>
    <t>=J302-L302</t>
  </si>
  <si>
    <t>=IF(J302&lt;&gt;0,M302/J302,"")</t>
  </si>
  <si>
    <t>=NL("Sum","5802 Value Entry","150 Sales Amount (Expected)","41 Source Type",$C$5,"5 Source No.",$C302,"4 Item Ledger Entry Type",$C$4,"2 Item No.","@@"&amp;$F302,"3 Posting Date",O$9)+NL("Sum","5802 Value Entry","17 Sales Amount (Actual)","41 Source Type",$C$5,"5 Source no.",$C302,"4 Item Ledger Entry Type",$C$4,"2 Item No.","@@"&amp;$F302,"3 Posting Date",O$9)</t>
  </si>
  <si>
    <t>=-NL("Sum","5802 Value Entry","151 Cost Amount (Expected)","41 Source Type",$C$5,"5 Source No.",$C302,"4 Item Ledger Entry Type",$C$4,"2 Item No.","@@"&amp;$F302,"3 Posting Date",O$9)-NL("Sum","5802 Value Entry","43 Cost Amount (Actual)","41 Source Type",$C$5,"5 Source no.",$C302,"4 Item Ledger Entry Type",$C$4,"2 Item No.","@@"&amp;$F302,"3 Posting Date",O$9)</t>
  </si>
  <si>
    <t>=O302-Q302</t>
  </si>
  <si>
    <t>=IF(O302&lt;&gt;0,R302/O302,"")</t>
  </si>
  <si>
    <t>=NL("Sum","5802 Value Entry","150 Sales Amount (Expected)","41 Source Type",$C$5,"5 Source No.",$C302,"4 Item Ledger Entry Type",$C$4,"2 Item No.","@@"&amp;$F302,"3 Posting Date",U$9)+NL("Sum","5802 Value Entry","17 Sales Amount (Actual)","41 Source Type",$C$5,"5 Source no.",$C302,"4 Item Ledger Entry Type",$C$4,"2 Item No.","@@"&amp;$F302,"3 Posting Date",U$9)</t>
  </si>
  <si>
    <t>=-NL("Sum","5802 Value Entry","151 Cost Amount (Expected)","41 Source Type",$C$5,"5 Source No.",$C302,"4 Item Ledger Entry Type",$C$4,"2 Item No.","@@"&amp;$F302,"3 Posting Date",U$9)-NL("Sum","5802 Value Entry","43 Cost Amount (Actual)","41 Source Type",$C$5,"5 Source no.",$C302,"4 Item Ledger Entry Type",$C$4,"2 Item No.","@@"&amp;$F302,"3 Posting Date",U$9)</t>
  </si>
  <si>
    <t>=U302-W302</t>
  </si>
  <si>
    <t>=IF(U302&lt;&gt;0,X302/U302,"")</t>
  </si>
  <si>
    <t>=NL("Sum","5802 Value Entry","150 Sales Amount (Expected)","41 Source Type",$C$5,"5 Source No.",$C302,"4 Item Ledger Entry Type",$C$4,"2 Item No.","@@"&amp;$F302,"3 Posting Date",Z$9)+NL("Sum","5802 Value Entry","17 Sales Amount (Actual)","41 Source Type",$C$5,"5 Source no.",$C302,"4 Item Ledger Entry Type",$C$4,"2 Item No.","@@"&amp;$F302,"3 Posting Date",Z$9)</t>
  </si>
  <si>
    <t>=-NL("Sum","5802 Value Entry","151 Cost Amount (Expected)","41 Source Type",$C$5,"5 Source No.",$C302,"4 Item Ledger Entry Type",$C$4,"2 Item No.","@@"&amp;$F302,"3 Posting Date",Z$9)-NL("Sum","5802 Value Entry","43 Cost Amount (Actual)","41 Source Type",$C$5,"5 Source no.",$C302,"4 Item Ledger Entry Type",$C$4,"2 Item No.","@@"&amp;$F302,"3 Posting Date",Z$9)</t>
  </si>
  <si>
    <t>=Z302-AB302</t>
  </si>
  <si>
    <t>=IF(Z302&lt;&gt;0,AC302/Z302,"")</t>
  </si>
  <si>
    <t>=C302</t>
  </si>
  <si>
    <t>=NL("Sum","5802 Value Entry","150 Sales Amount (Expected)","41 Source Type",$C$5,"5 Source No.",$C303,"4 Item Ledger Entry Type",$C$4,"2 Item No.","@@"&amp;$F303,"3 Posting Date",J$9)+NL("Sum","5802 Value Entry","17 Sales Amount (Actual)","41 Source Type",$C$5,"5 Source no.",$C303,"4 Item Ledger Entry Type",$C$4,"2 Item No.","@@"&amp;$F303,"3 Posting Date",J$9)</t>
  </si>
  <si>
    <t>=-NL("Sum","5802 Value Entry","151 Cost Amount (Expected)","41 Source Type",$C$5,"5 Source No.",$C303,"4 Item Ledger Entry Type",$C$4,"2 Item No.","@@"&amp;$F303,"3 Posting Date",J$9)-NL("Sum","5802 Value Entry","43 Cost Amount (Actual)","41 Source Type",$C$5,"5 Source no.",$C303,"4 Item Ledger Entry Type",$C$4,"2 Item No.","@@"&amp;$F303,"3 Posting Date",J$9)</t>
  </si>
  <si>
    <t>=J303-L303</t>
  </si>
  <si>
    <t>=IF(J303&lt;&gt;0,M303/J303,"")</t>
  </si>
  <si>
    <t>=NL("Sum","5802 Value Entry","150 Sales Amount (Expected)","41 Source Type",$C$5,"5 Source No.",$C303,"4 Item Ledger Entry Type",$C$4,"2 Item No.","@@"&amp;$F303,"3 Posting Date",O$9)+NL("Sum","5802 Value Entry","17 Sales Amount (Actual)","41 Source Type",$C$5,"5 Source no.",$C303,"4 Item Ledger Entry Type",$C$4,"2 Item No.","@@"&amp;$F303,"3 Posting Date",O$9)</t>
  </si>
  <si>
    <t>=-NL("Sum","5802 Value Entry","151 Cost Amount (Expected)","41 Source Type",$C$5,"5 Source No.",$C303,"4 Item Ledger Entry Type",$C$4,"2 Item No.","@@"&amp;$F303,"3 Posting Date",O$9)-NL("Sum","5802 Value Entry","43 Cost Amount (Actual)","41 Source Type",$C$5,"5 Source no.",$C303,"4 Item Ledger Entry Type",$C$4,"2 Item No.","@@"&amp;$F303,"3 Posting Date",O$9)</t>
  </si>
  <si>
    <t>=O303-Q303</t>
  </si>
  <si>
    <t>=IF(O303&lt;&gt;0,R303/O303,"")</t>
  </si>
  <si>
    <t>=NL("Sum","5802 Value Entry","150 Sales Amount (Expected)","41 Source Type",$C$5,"5 Source No.",$C303,"4 Item Ledger Entry Type",$C$4,"2 Item No.","@@"&amp;$F303,"3 Posting Date",U$9)+NL("Sum","5802 Value Entry","17 Sales Amount (Actual)","41 Source Type",$C$5,"5 Source no.",$C303,"4 Item Ledger Entry Type",$C$4,"2 Item No.","@@"&amp;$F303,"3 Posting Date",U$9)</t>
  </si>
  <si>
    <t>=-NL("Sum","5802 Value Entry","151 Cost Amount (Expected)","41 Source Type",$C$5,"5 Source No.",$C303,"4 Item Ledger Entry Type",$C$4,"2 Item No.","@@"&amp;$F303,"3 Posting Date",U$9)-NL("Sum","5802 Value Entry","43 Cost Amount (Actual)","41 Source Type",$C$5,"5 Source no.",$C303,"4 Item Ledger Entry Type",$C$4,"2 Item No.","@@"&amp;$F303,"3 Posting Date",U$9)</t>
  </si>
  <si>
    <t>=U303-W303</t>
  </si>
  <si>
    <t>=IF(U303&lt;&gt;0,X303/U303,"")</t>
  </si>
  <si>
    <t>=NL("Sum","5802 Value Entry","150 Sales Amount (Expected)","41 Source Type",$C$5,"5 Source No.",$C303,"4 Item Ledger Entry Type",$C$4,"2 Item No.","@@"&amp;$F303,"3 Posting Date",Z$9)+NL("Sum","5802 Value Entry","17 Sales Amount (Actual)","41 Source Type",$C$5,"5 Source no.",$C303,"4 Item Ledger Entry Type",$C$4,"2 Item No.","@@"&amp;$F303,"3 Posting Date",Z$9)</t>
  </si>
  <si>
    <t>=-NL("Sum","5802 Value Entry","151 Cost Amount (Expected)","41 Source Type",$C$5,"5 Source No.",$C303,"4 Item Ledger Entry Type",$C$4,"2 Item No.","@@"&amp;$F303,"3 Posting Date",Z$9)-NL("Sum","5802 Value Entry","43 Cost Amount (Actual)","41 Source Type",$C$5,"5 Source no.",$C303,"4 Item Ledger Entry Type",$C$4,"2 Item No.","@@"&amp;$F303,"3 Posting Date",Z$9)</t>
  </si>
  <si>
    <t>=Z303-AB303</t>
  </si>
  <si>
    <t>=IF(Z303&lt;&gt;0,AC303/Z303,"")</t>
  </si>
  <si>
    <t>=C303</t>
  </si>
  <si>
    <t>=NL("Sum","5802 Value Entry","150 Sales Amount (Expected)","41 Source Type",$C$5,"5 Source No.",$C304,"4 Item Ledger Entry Type",$C$4,"2 Item No.","@@"&amp;$F304,"3 Posting Date",J$9)+NL("Sum","5802 Value Entry","17 Sales Amount (Actual)","41 Source Type",$C$5,"5 Source no.",$C304,"4 Item Ledger Entry Type",$C$4,"2 Item No.","@@"&amp;$F304,"3 Posting Date",J$9)</t>
  </si>
  <si>
    <t>=-NL("Sum","5802 Value Entry","151 Cost Amount (Expected)","41 Source Type",$C$5,"5 Source No.",$C304,"4 Item Ledger Entry Type",$C$4,"2 Item No.","@@"&amp;$F304,"3 Posting Date",J$9)-NL("Sum","5802 Value Entry","43 Cost Amount (Actual)","41 Source Type",$C$5,"5 Source no.",$C304,"4 Item Ledger Entry Type",$C$4,"2 Item No.","@@"&amp;$F304,"3 Posting Date",J$9)</t>
  </si>
  <si>
    <t>=J304-L304</t>
  </si>
  <si>
    <t>=IF(J304&lt;&gt;0,M304/J304,"")</t>
  </si>
  <si>
    <t>=NL("Sum","5802 Value Entry","150 Sales Amount (Expected)","41 Source Type",$C$5,"5 Source No.",$C304,"4 Item Ledger Entry Type",$C$4,"2 Item No.","@@"&amp;$F304,"3 Posting Date",O$9)+NL("Sum","5802 Value Entry","17 Sales Amount (Actual)","41 Source Type",$C$5,"5 Source no.",$C304,"4 Item Ledger Entry Type",$C$4,"2 Item No.","@@"&amp;$F304,"3 Posting Date",O$9)</t>
  </si>
  <si>
    <t>=-NL("Sum","5802 Value Entry","151 Cost Amount (Expected)","41 Source Type",$C$5,"5 Source No.",$C304,"4 Item Ledger Entry Type",$C$4,"2 Item No.","@@"&amp;$F304,"3 Posting Date",O$9)-NL("Sum","5802 Value Entry","43 Cost Amount (Actual)","41 Source Type",$C$5,"5 Source no.",$C304,"4 Item Ledger Entry Type",$C$4,"2 Item No.","@@"&amp;$F304,"3 Posting Date",O$9)</t>
  </si>
  <si>
    <t>=O304-Q304</t>
  </si>
  <si>
    <t>=IF(O304&lt;&gt;0,R304/O304,"")</t>
  </si>
  <si>
    <t>=NL("Sum","5802 Value Entry","150 Sales Amount (Expected)","41 Source Type",$C$5,"5 Source No.",$C304,"4 Item Ledger Entry Type",$C$4,"2 Item No.","@@"&amp;$F304,"3 Posting Date",U$9)+NL("Sum","5802 Value Entry","17 Sales Amount (Actual)","41 Source Type",$C$5,"5 Source no.",$C304,"4 Item Ledger Entry Type",$C$4,"2 Item No.","@@"&amp;$F304,"3 Posting Date",U$9)</t>
  </si>
  <si>
    <t>=-NL("Sum","5802 Value Entry","151 Cost Amount (Expected)","41 Source Type",$C$5,"5 Source No.",$C304,"4 Item Ledger Entry Type",$C$4,"2 Item No.","@@"&amp;$F304,"3 Posting Date",U$9)-NL("Sum","5802 Value Entry","43 Cost Amount (Actual)","41 Source Type",$C$5,"5 Source no.",$C304,"4 Item Ledger Entry Type",$C$4,"2 Item No.","@@"&amp;$F304,"3 Posting Date",U$9)</t>
  </si>
  <si>
    <t>=U304-W304</t>
  </si>
  <si>
    <t>=IF(U304&lt;&gt;0,X304/U304,"")</t>
  </si>
  <si>
    <t>=NL("Sum","5802 Value Entry","150 Sales Amount (Expected)","41 Source Type",$C$5,"5 Source No.",$C304,"4 Item Ledger Entry Type",$C$4,"2 Item No.","@@"&amp;$F304,"3 Posting Date",Z$9)+NL("Sum","5802 Value Entry","17 Sales Amount (Actual)","41 Source Type",$C$5,"5 Source no.",$C304,"4 Item Ledger Entry Type",$C$4,"2 Item No.","@@"&amp;$F304,"3 Posting Date",Z$9)</t>
  </si>
  <si>
    <t>=-NL("Sum","5802 Value Entry","151 Cost Amount (Expected)","41 Source Type",$C$5,"5 Source No.",$C304,"4 Item Ledger Entry Type",$C$4,"2 Item No.","@@"&amp;$F304,"3 Posting Date",Z$9)-NL("Sum","5802 Value Entry","43 Cost Amount (Actual)","41 Source Type",$C$5,"5 Source no.",$C304,"4 Item Ledger Entry Type",$C$4,"2 Item No.","@@"&amp;$F304,"3 Posting Date",Z$9)</t>
  </si>
  <si>
    <t>=Z304-AB304</t>
  </si>
  <si>
    <t>=IF(Z304&lt;&gt;0,AC304/Z304,"")</t>
  </si>
  <si>
    <t>=C304</t>
  </si>
  <si>
    <t>=NL("Sum","5802 Value Entry","150 Sales Amount (Expected)","41 Source Type",$C$5,"5 Source No.",$C305,"4 Item Ledger Entry Type",$C$4,"2 Item No.","@@"&amp;$F305,"3 Posting Date",J$9)+NL("Sum","5802 Value Entry","17 Sales Amount (Actual)","41 Source Type",$C$5,"5 Source no.",$C305,"4 Item Ledger Entry Type",$C$4,"2 Item No.","@@"&amp;$F305,"3 Posting Date",J$9)</t>
  </si>
  <si>
    <t>=-NL("Sum","5802 Value Entry","151 Cost Amount (Expected)","41 Source Type",$C$5,"5 Source No.",$C305,"4 Item Ledger Entry Type",$C$4,"2 Item No.","@@"&amp;$F305,"3 Posting Date",J$9)-NL("Sum","5802 Value Entry","43 Cost Amount (Actual)","41 Source Type",$C$5,"5 Source no.",$C305,"4 Item Ledger Entry Type",$C$4,"2 Item No.","@@"&amp;$F305,"3 Posting Date",J$9)</t>
  </si>
  <si>
    <t>=J305-L305</t>
  </si>
  <si>
    <t>=IF(J305&lt;&gt;0,M305/J305,"")</t>
  </si>
  <si>
    <t>=NL("Sum","5802 Value Entry","150 Sales Amount (Expected)","41 Source Type",$C$5,"5 Source No.",$C305,"4 Item Ledger Entry Type",$C$4,"2 Item No.","@@"&amp;$F305,"3 Posting Date",O$9)+NL("Sum","5802 Value Entry","17 Sales Amount (Actual)","41 Source Type",$C$5,"5 Source no.",$C305,"4 Item Ledger Entry Type",$C$4,"2 Item No.","@@"&amp;$F305,"3 Posting Date",O$9)</t>
  </si>
  <si>
    <t>=-NL("Sum","5802 Value Entry","151 Cost Amount (Expected)","41 Source Type",$C$5,"5 Source No.",$C305,"4 Item Ledger Entry Type",$C$4,"2 Item No.","@@"&amp;$F305,"3 Posting Date",O$9)-NL("Sum","5802 Value Entry","43 Cost Amount (Actual)","41 Source Type",$C$5,"5 Source no.",$C305,"4 Item Ledger Entry Type",$C$4,"2 Item No.","@@"&amp;$F305,"3 Posting Date",O$9)</t>
  </si>
  <si>
    <t>=O305-Q305</t>
  </si>
  <si>
    <t>=IF(O305&lt;&gt;0,R305/O305,"")</t>
  </si>
  <si>
    <t>=NL("Sum","5802 Value Entry","150 Sales Amount (Expected)","41 Source Type",$C$5,"5 Source No.",$C305,"4 Item Ledger Entry Type",$C$4,"2 Item No.","@@"&amp;$F305,"3 Posting Date",U$9)+NL("Sum","5802 Value Entry","17 Sales Amount (Actual)","41 Source Type",$C$5,"5 Source no.",$C305,"4 Item Ledger Entry Type",$C$4,"2 Item No.","@@"&amp;$F305,"3 Posting Date",U$9)</t>
  </si>
  <si>
    <t>=-NL("Sum","5802 Value Entry","151 Cost Amount (Expected)","41 Source Type",$C$5,"5 Source No.",$C305,"4 Item Ledger Entry Type",$C$4,"2 Item No.","@@"&amp;$F305,"3 Posting Date",U$9)-NL("Sum","5802 Value Entry","43 Cost Amount (Actual)","41 Source Type",$C$5,"5 Source no.",$C305,"4 Item Ledger Entry Type",$C$4,"2 Item No.","@@"&amp;$F305,"3 Posting Date",U$9)</t>
  </si>
  <si>
    <t>=U305-W305</t>
  </si>
  <si>
    <t>=IF(U305&lt;&gt;0,X305/U305,"")</t>
  </si>
  <si>
    <t>=NL("Sum","5802 Value Entry","150 Sales Amount (Expected)","41 Source Type",$C$5,"5 Source No.",$C305,"4 Item Ledger Entry Type",$C$4,"2 Item No.","@@"&amp;$F305,"3 Posting Date",Z$9)+NL("Sum","5802 Value Entry","17 Sales Amount (Actual)","41 Source Type",$C$5,"5 Source no.",$C305,"4 Item Ledger Entry Type",$C$4,"2 Item No.","@@"&amp;$F305,"3 Posting Date",Z$9)</t>
  </si>
  <si>
    <t>=-NL("Sum","5802 Value Entry","151 Cost Amount (Expected)","41 Source Type",$C$5,"5 Source No.",$C305,"4 Item Ledger Entry Type",$C$4,"2 Item No.","@@"&amp;$F305,"3 Posting Date",Z$9)-NL("Sum","5802 Value Entry","43 Cost Amount (Actual)","41 Source Type",$C$5,"5 Source no.",$C305,"4 Item Ledger Entry Type",$C$4,"2 Item No.","@@"&amp;$F305,"3 Posting Date",Z$9)</t>
  </si>
  <si>
    <t>=Z305-AB305</t>
  </si>
  <si>
    <t>=IF(Z305&lt;&gt;0,AC305/Z305,"")</t>
  </si>
  <si>
    <t>=C305</t>
  </si>
  <si>
    <t>="C100043"</t>
  </si>
  <si>
    <t>=NL("Sum","5802 Value Entry","150 Sales Amount (Expected)","41 Source Type",$C$5,"5 Source No.",$C306,"4 Item Ledger Entry Type",$C$4,"2 Item No.","@@"&amp;$F306,"3 Posting Date",J$9)+NL("Sum","5802 Value Entry","17 Sales Amount (Actual)","41 Source Type",$C$5,"5 Source no.",$C306,"4 Item Ledger Entry Type",$C$4,"2 Item No.","@@"&amp;$F306,"3 Posting Date",J$9)</t>
  </si>
  <si>
    <t>=-NL("Sum","5802 Value Entry","151 Cost Amount (Expected)","41 Source Type",$C$5,"5 Source No.",$C306,"4 Item Ledger Entry Type",$C$4,"2 Item No.","@@"&amp;$F306,"3 Posting Date",J$9)-NL("Sum","5802 Value Entry","43 Cost Amount (Actual)","41 Source Type",$C$5,"5 Source no.",$C306,"4 Item Ledger Entry Type",$C$4,"2 Item No.","@@"&amp;$F306,"3 Posting Date",J$9)</t>
  </si>
  <si>
    <t>=J306-L306</t>
  </si>
  <si>
    <t>=IF(J306&lt;&gt;0,M306/J306,"")</t>
  </si>
  <si>
    <t>=NL("Sum","5802 Value Entry","150 Sales Amount (Expected)","41 Source Type",$C$5,"5 Source No.",$C306,"4 Item Ledger Entry Type",$C$4,"2 Item No.","@@"&amp;$F306,"3 Posting Date",O$9)+NL("Sum","5802 Value Entry","17 Sales Amount (Actual)","41 Source Type",$C$5,"5 Source no.",$C306,"4 Item Ledger Entry Type",$C$4,"2 Item No.","@@"&amp;$F306,"3 Posting Date",O$9)</t>
  </si>
  <si>
    <t>=-NL("Sum","5802 Value Entry","151 Cost Amount (Expected)","41 Source Type",$C$5,"5 Source No.",$C306,"4 Item Ledger Entry Type",$C$4,"2 Item No.","@@"&amp;$F306,"3 Posting Date",O$9)-NL("Sum","5802 Value Entry","43 Cost Amount (Actual)","41 Source Type",$C$5,"5 Source no.",$C306,"4 Item Ledger Entry Type",$C$4,"2 Item No.","@@"&amp;$F306,"3 Posting Date",O$9)</t>
  </si>
  <si>
    <t>=O306-Q306</t>
  </si>
  <si>
    <t>=IF(O306&lt;&gt;0,R306/O306,"")</t>
  </si>
  <si>
    <t>=NL("Sum","5802 Value Entry","150 Sales Amount (Expected)","41 Source Type",$C$5,"5 Source No.",$C306,"4 Item Ledger Entry Type",$C$4,"2 Item No.","@@"&amp;$F306,"3 Posting Date",U$9)+NL("Sum","5802 Value Entry","17 Sales Amount (Actual)","41 Source Type",$C$5,"5 Source no.",$C306,"4 Item Ledger Entry Type",$C$4,"2 Item No.","@@"&amp;$F306,"3 Posting Date",U$9)</t>
  </si>
  <si>
    <t>=-NL("Sum","5802 Value Entry","151 Cost Amount (Expected)","41 Source Type",$C$5,"5 Source No.",$C306,"4 Item Ledger Entry Type",$C$4,"2 Item No.","@@"&amp;$F306,"3 Posting Date",U$9)-NL("Sum","5802 Value Entry","43 Cost Amount (Actual)","41 Source Type",$C$5,"5 Source no.",$C306,"4 Item Ledger Entry Type",$C$4,"2 Item No.","@@"&amp;$F306,"3 Posting Date",U$9)</t>
  </si>
  <si>
    <t>=U306-W306</t>
  </si>
  <si>
    <t>=IF(U306&lt;&gt;0,X306/U306,"")</t>
  </si>
  <si>
    <t>=NL("Sum","5802 Value Entry","150 Sales Amount (Expected)","41 Source Type",$C$5,"5 Source No.",$C306,"4 Item Ledger Entry Type",$C$4,"2 Item No.","@@"&amp;$F306,"3 Posting Date",Z$9)+NL("Sum","5802 Value Entry","17 Sales Amount (Actual)","41 Source Type",$C$5,"5 Source no.",$C306,"4 Item Ledger Entry Type",$C$4,"2 Item No.","@@"&amp;$F306,"3 Posting Date",Z$9)</t>
  </si>
  <si>
    <t>=-NL("Sum","5802 Value Entry","151 Cost Amount (Expected)","41 Source Type",$C$5,"5 Source No.",$C306,"4 Item Ledger Entry Type",$C$4,"2 Item No.","@@"&amp;$F306,"3 Posting Date",Z$9)-NL("Sum","5802 Value Entry","43 Cost Amount (Actual)","41 Source Type",$C$5,"5 Source no.",$C306,"4 Item Ledger Entry Type",$C$4,"2 Item No.","@@"&amp;$F306,"3 Posting Date",Z$9)</t>
  </si>
  <si>
    <t>=Z306-AB306</t>
  </si>
  <si>
    <t>=IF(Z306&lt;&gt;0,AC306/Z306,"")</t>
  </si>
  <si>
    <t>=C306</t>
  </si>
  <si>
    <t>=NL("Sum","5802 Value Entry","150 Sales Amount (Expected)","41 Source Type",$C$5,"5 Source No.",$C307,"4 Item Ledger Entry Type",$C$4,"2 Item No.","@@"&amp;$F307,"3 Posting Date",J$9)+NL("Sum","5802 Value Entry","17 Sales Amount (Actual)","41 Source Type",$C$5,"5 Source no.",$C307,"4 Item Ledger Entry Type",$C$4,"2 Item No.","@@"&amp;$F307,"3 Posting Date",J$9)</t>
  </si>
  <si>
    <t>=-NL("Sum","5802 Value Entry","151 Cost Amount (Expected)","41 Source Type",$C$5,"5 Source No.",$C307,"4 Item Ledger Entry Type",$C$4,"2 Item No.","@@"&amp;$F307,"3 Posting Date",J$9)-NL("Sum","5802 Value Entry","43 Cost Amount (Actual)","41 Source Type",$C$5,"5 Source no.",$C307,"4 Item Ledger Entry Type",$C$4,"2 Item No.","@@"&amp;$F307,"3 Posting Date",J$9)</t>
  </si>
  <si>
    <t>=J307-L307</t>
  </si>
  <si>
    <t>=IF(J307&lt;&gt;0,M307/J307,"")</t>
  </si>
  <si>
    <t>=NL("Sum","5802 Value Entry","150 Sales Amount (Expected)","41 Source Type",$C$5,"5 Source No.",$C307,"4 Item Ledger Entry Type",$C$4,"2 Item No.","@@"&amp;$F307,"3 Posting Date",O$9)+NL("Sum","5802 Value Entry","17 Sales Amount (Actual)","41 Source Type",$C$5,"5 Source no.",$C307,"4 Item Ledger Entry Type",$C$4,"2 Item No.","@@"&amp;$F307,"3 Posting Date",O$9)</t>
  </si>
  <si>
    <t>=-NL("Sum","5802 Value Entry","151 Cost Amount (Expected)","41 Source Type",$C$5,"5 Source No.",$C307,"4 Item Ledger Entry Type",$C$4,"2 Item No.","@@"&amp;$F307,"3 Posting Date",O$9)-NL("Sum","5802 Value Entry","43 Cost Amount (Actual)","41 Source Type",$C$5,"5 Source no.",$C307,"4 Item Ledger Entry Type",$C$4,"2 Item No.","@@"&amp;$F307,"3 Posting Date",O$9)</t>
  </si>
  <si>
    <t>=O307-Q307</t>
  </si>
  <si>
    <t>=IF(O307&lt;&gt;0,R307/O307,"")</t>
  </si>
  <si>
    <t>=NL("Sum","5802 Value Entry","150 Sales Amount (Expected)","41 Source Type",$C$5,"5 Source No.",$C307,"4 Item Ledger Entry Type",$C$4,"2 Item No.","@@"&amp;$F307,"3 Posting Date",U$9)+NL("Sum","5802 Value Entry","17 Sales Amount (Actual)","41 Source Type",$C$5,"5 Source no.",$C307,"4 Item Ledger Entry Type",$C$4,"2 Item No.","@@"&amp;$F307,"3 Posting Date",U$9)</t>
  </si>
  <si>
    <t>=-NL("Sum","5802 Value Entry","151 Cost Amount (Expected)","41 Source Type",$C$5,"5 Source No.",$C307,"4 Item Ledger Entry Type",$C$4,"2 Item No.","@@"&amp;$F307,"3 Posting Date",U$9)-NL("Sum","5802 Value Entry","43 Cost Amount (Actual)","41 Source Type",$C$5,"5 Source no.",$C307,"4 Item Ledger Entry Type",$C$4,"2 Item No.","@@"&amp;$F307,"3 Posting Date",U$9)</t>
  </si>
  <si>
    <t>=U307-W307</t>
  </si>
  <si>
    <t>=IF(U307&lt;&gt;0,X307/U307,"")</t>
  </si>
  <si>
    <t>=NL("Sum","5802 Value Entry","150 Sales Amount (Expected)","41 Source Type",$C$5,"5 Source No.",$C307,"4 Item Ledger Entry Type",$C$4,"2 Item No.","@@"&amp;$F307,"3 Posting Date",Z$9)+NL("Sum","5802 Value Entry","17 Sales Amount (Actual)","41 Source Type",$C$5,"5 Source no.",$C307,"4 Item Ledger Entry Type",$C$4,"2 Item No.","@@"&amp;$F307,"3 Posting Date",Z$9)</t>
  </si>
  <si>
    <t>=-NL("Sum","5802 Value Entry","151 Cost Amount (Expected)","41 Source Type",$C$5,"5 Source No.",$C307,"4 Item Ledger Entry Type",$C$4,"2 Item No.","@@"&amp;$F307,"3 Posting Date",Z$9)-NL("Sum","5802 Value Entry","43 Cost Amount (Actual)","41 Source Type",$C$5,"5 Source no.",$C307,"4 Item Ledger Entry Type",$C$4,"2 Item No.","@@"&amp;$F307,"3 Posting Date",Z$9)</t>
  </si>
  <si>
    <t>=Z307-AB307</t>
  </si>
  <si>
    <t>=IF(Z307&lt;&gt;0,AC307/Z307,"")</t>
  </si>
  <si>
    <t>=C307</t>
  </si>
  <si>
    <t>=NL("Sum","5802 Value Entry","150 Sales Amount (Expected)","41 Source Type",$C$5,"5 Source No.",$C308,"4 Item Ledger Entry Type",$C$4,"2 Item No.","@@"&amp;$F308,"3 Posting Date",J$9)+NL("Sum","5802 Value Entry","17 Sales Amount (Actual)","41 Source Type",$C$5,"5 Source no.",$C308,"4 Item Ledger Entry Type",$C$4,"2 Item No.","@@"&amp;$F308,"3 Posting Date",J$9)</t>
  </si>
  <si>
    <t>=-NL("Sum","5802 Value Entry","151 Cost Amount (Expected)","41 Source Type",$C$5,"5 Source No.",$C308,"4 Item Ledger Entry Type",$C$4,"2 Item No.","@@"&amp;$F308,"3 Posting Date",J$9)-NL("Sum","5802 Value Entry","43 Cost Amount (Actual)","41 Source Type",$C$5,"5 Source no.",$C308,"4 Item Ledger Entry Type",$C$4,"2 Item No.","@@"&amp;$F308,"3 Posting Date",J$9)</t>
  </si>
  <si>
    <t>=J308-L308</t>
  </si>
  <si>
    <t>=IF(J308&lt;&gt;0,M308/J308,"")</t>
  </si>
  <si>
    <t>=NL("Sum","5802 Value Entry","150 Sales Amount (Expected)","41 Source Type",$C$5,"5 Source No.",$C308,"4 Item Ledger Entry Type",$C$4,"2 Item No.","@@"&amp;$F308,"3 Posting Date",O$9)+NL("Sum","5802 Value Entry","17 Sales Amount (Actual)","41 Source Type",$C$5,"5 Source no.",$C308,"4 Item Ledger Entry Type",$C$4,"2 Item No.","@@"&amp;$F308,"3 Posting Date",O$9)</t>
  </si>
  <si>
    <t>=-NL("Sum","5802 Value Entry","151 Cost Amount (Expected)","41 Source Type",$C$5,"5 Source No.",$C308,"4 Item Ledger Entry Type",$C$4,"2 Item No.","@@"&amp;$F308,"3 Posting Date",O$9)-NL("Sum","5802 Value Entry","43 Cost Amount (Actual)","41 Source Type",$C$5,"5 Source no.",$C308,"4 Item Ledger Entry Type",$C$4,"2 Item No.","@@"&amp;$F308,"3 Posting Date",O$9)</t>
  </si>
  <si>
    <t>=O308-Q308</t>
  </si>
  <si>
    <t>=IF(O308&lt;&gt;0,R308/O308,"")</t>
  </si>
  <si>
    <t>=NL("Sum","5802 Value Entry","150 Sales Amount (Expected)","41 Source Type",$C$5,"5 Source No.",$C308,"4 Item Ledger Entry Type",$C$4,"2 Item No.","@@"&amp;$F308,"3 Posting Date",U$9)+NL("Sum","5802 Value Entry","17 Sales Amount (Actual)","41 Source Type",$C$5,"5 Source no.",$C308,"4 Item Ledger Entry Type",$C$4,"2 Item No.","@@"&amp;$F308,"3 Posting Date",U$9)</t>
  </si>
  <si>
    <t>=-NL("Sum","5802 Value Entry","151 Cost Amount (Expected)","41 Source Type",$C$5,"5 Source No.",$C308,"4 Item Ledger Entry Type",$C$4,"2 Item No.","@@"&amp;$F308,"3 Posting Date",U$9)-NL("Sum","5802 Value Entry","43 Cost Amount (Actual)","41 Source Type",$C$5,"5 Source no.",$C308,"4 Item Ledger Entry Type",$C$4,"2 Item No.","@@"&amp;$F308,"3 Posting Date",U$9)</t>
  </si>
  <si>
    <t>=U308-W308</t>
  </si>
  <si>
    <t>=IF(U308&lt;&gt;0,X308/U308,"")</t>
  </si>
  <si>
    <t>=NL("Sum","5802 Value Entry","150 Sales Amount (Expected)","41 Source Type",$C$5,"5 Source No.",$C308,"4 Item Ledger Entry Type",$C$4,"2 Item No.","@@"&amp;$F308,"3 Posting Date",Z$9)+NL("Sum","5802 Value Entry","17 Sales Amount (Actual)","41 Source Type",$C$5,"5 Source no.",$C308,"4 Item Ledger Entry Type",$C$4,"2 Item No.","@@"&amp;$F308,"3 Posting Date",Z$9)</t>
  </si>
  <si>
    <t>=-NL("Sum","5802 Value Entry","151 Cost Amount (Expected)","41 Source Type",$C$5,"5 Source No.",$C308,"4 Item Ledger Entry Type",$C$4,"2 Item No.","@@"&amp;$F308,"3 Posting Date",Z$9)-NL("Sum","5802 Value Entry","43 Cost Amount (Actual)","41 Source Type",$C$5,"5 Source no.",$C308,"4 Item Ledger Entry Type",$C$4,"2 Item No.","@@"&amp;$F308,"3 Posting Date",Z$9)</t>
  </si>
  <si>
    <t>=Z308-AB308</t>
  </si>
  <si>
    <t>=IF(Z308&lt;&gt;0,AC308/Z308,"")</t>
  </si>
  <si>
    <t>=C308</t>
  </si>
  <si>
    <t>=NL("Sum","5802 Value Entry","150 Sales Amount (Expected)","41 Source Type",$C$5,"5 Source No.",$C309,"4 Item Ledger Entry Type",$C$4,"2 Item No.","@@"&amp;$F309,"3 Posting Date",J$9)+NL("Sum","5802 Value Entry","17 Sales Amount (Actual)","41 Source Type",$C$5,"5 Source no.",$C309,"4 Item Ledger Entry Type",$C$4,"2 Item No.","@@"&amp;$F309,"3 Posting Date",J$9)</t>
  </si>
  <si>
    <t>=-NL("Sum","5802 Value Entry","151 Cost Amount (Expected)","41 Source Type",$C$5,"5 Source No.",$C309,"4 Item Ledger Entry Type",$C$4,"2 Item No.","@@"&amp;$F309,"3 Posting Date",J$9)-NL("Sum","5802 Value Entry","43 Cost Amount (Actual)","41 Source Type",$C$5,"5 Source no.",$C309,"4 Item Ledger Entry Type",$C$4,"2 Item No.","@@"&amp;$F309,"3 Posting Date",J$9)</t>
  </si>
  <si>
    <t>=J309-L309</t>
  </si>
  <si>
    <t>=IF(J309&lt;&gt;0,M309/J309,"")</t>
  </si>
  <si>
    <t>=NL("Sum","5802 Value Entry","150 Sales Amount (Expected)","41 Source Type",$C$5,"5 Source No.",$C309,"4 Item Ledger Entry Type",$C$4,"2 Item No.","@@"&amp;$F309,"3 Posting Date",O$9)+NL("Sum","5802 Value Entry","17 Sales Amount (Actual)","41 Source Type",$C$5,"5 Source no.",$C309,"4 Item Ledger Entry Type",$C$4,"2 Item No.","@@"&amp;$F309,"3 Posting Date",O$9)</t>
  </si>
  <si>
    <t>=-NL("Sum","5802 Value Entry","151 Cost Amount (Expected)","41 Source Type",$C$5,"5 Source No.",$C309,"4 Item Ledger Entry Type",$C$4,"2 Item No.","@@"&amp;$F309,"3 Posting Date",O$9)-NL("Sum","5802 Value Entry","43 Cost Amount (Actual)","41 Source Type",$C$5,"5 Source no.",$C309,"4 Item Ledger Entry Type",$C$4,"2 Item No.","@@"&amp;$F309,"3 Posting Date",O$9)</t>
  </si>
  <si>
    <t>=O309-Q309</t>
  </si>
  <si>
    <t>=IF(O309&lt;&gt;0,R309/O309,"")</t>
  </si>
  <si>
    <t>=NL("Sum","5802 Value Entry","150 Sales Amount (Expected)","41 Source Type",$C$5,"5 Source No.",$C309,"4 Item Ledger Entry Type",$C$4,"2 Item No.","@@"&amp;$F309,"3 Posting Date",U$9)+NL("Sum","5802 Value Entry","17 Sales Amount (Actual)","41 Source Type",$C$5,"5 Source no.",$C309,"4 Item Ledger Entry Type",$C$4,"2 Item No.","@@"&amp;$F309,"3 Posting Date",U$9)</t>
  </si>
  <si>
    <t>=-NL("Sum","5802 Value Entry","151 Cost Amount (Expected)","41 Source Type",$C$5,"5 Source No.",$C309,"4 Item Ledger Entry Type",$C$4,"2 Item No.","@@"&amp;$F309,"3 Posting Date",U$9)-NL("Sum","5802 Value Entry","43 Cost Amount (Actual)","41 Source Type",$C$5,"5 Source no.",$C309,"4 Item Ledger Entry Type",$C$4,"2 Item No.","@@"&amp;$F309,"3 Posting Date",U$9)</t>
  </si>
  <si>
    <t>=U309-W309</t>
  </si>
  <si>
    <t>=IF(U309&lt;&gt;0,X309/U309,"")</t>
  </si>
  <si>
    <t>=NL("Sum","5802 Value Entry","150 Sales Amount (Expected)","41 Source Type",$C$5,"5 Source No.",$C309,"4 Item Ledger Entry Type",$C$4,"2 Item No.","@@"&amp;$F309,"3 Posting Date",Z$9)+NL("Sum","5802 Value Entry","17 Sales Amount (Actual)","41 Source Type",$C$5,"5 Source no.",$C309,"4 Item Ledger Entry Type",$C$4,"2 Item No.","@@"&amp;$F309,"3 Posting Date",Z$9)</t>
  </si>
  <si>
    <t>=-NL("Sum","5802 Value Entry","151 Cost Amount (Expected)","41 Source Type",$C$5,"5 Source No.",$C309,"4 Item Ledger Entry Type",$C$4,"2 Item No.","@@"&amp;$F309,"3 Posting Date",Z$9)-NL("Sum","5802 Value Entry","43 Cost Amount (Actual)","41 Source Type",$C$5,"5 Source no.",$C309,"4 Item Ledger Entry Type",$C$4,"2 Item No.","@@"&amp;$F309,"3 Posting Date",Z$9)</t>
  </si>
  <si>
    <t>=Z309-AB309</t>
  </si>
  <si>
    <t>=IF(Z309&lt;&gt;0,AC309/Z309,"")</t>
  </si>
  <si>
    <t>=C310</t>
  </si>
  <si>
    <t>=J311-L311</t>
  </si>
  <si>
    <t>=IF(J311&lt;&gt;0,M311/J311,"")</t>
  </si>
  <si>
    <t>=O311-Q311</t>
  </si>
  <si>
    <t>=IF(O311&lt;&gt;0,R311/O311,"")</t>
  </si>
  <si>
    <t>=U311-W311</t>
  </si>
  <si>
    <t>=IF(U311&lt;&gt;0,X311/U311,"")</t>
  </si>
  <si>
    <t>=Z311-AB311</t>
  </si>
  <si>
    <t>=IF(Z311&lt;&gt;0,AC311/Z311,"")</t>
  </si>
  <si>
    <t>=C313</t>
  </si>
  <si>
    <t>=C316</t>
  </si>
  <si>
    <t>=C317</t>
  </si>
  <si>
    <t>=NL("Sum","5802 Value Entry","150 Sales Amount (Expected)","41 Source Type",$C$5,"5 Source No.",$C318,"4 Item Ledger Entry Type",$C$4,"2 Item No.","@@"&amp;$F318,"3 Posting Date",J$9)+NL("Sum","5802 Value Entry","17 Sales Amount (Actual)","41 Source Type",$C$5,"5 Source no.",$C318,"4 Item Ledger Entry Type",$C$4,"2 Item No.","@@"&amp;$F318,"3 Posting Date",J$9)</t>
  </si>
  <si>
    <t>=-NL("Sum","5802 Value Entry","151 Cost Amount (Expected)","41 Source Type",$C$5,"5 Source No.",$C318,"4 Item Ledger Entry Type",$C$4,"2 Item No.","@@"&amp;$F318,"3 Posting Date",J$9)-NL("Sum","5802 Value Entry","43 Cost Amount (Actual)","41 Source Type",$C$5,"5 Source no.",$C318,"4 Item Ledger Entry Type",$C$4,"2 Item No.","@@"&amp;$F318,"3 Posting Date",J$9)</t>
  </si>
  <si>
    <t>=J318-L318</t>
  </si>
  <si>
    <t>=IF(J318&lt;&gt;0,M318/J318,"")</t>
  </si>
  <si>
    <t>=NL("Sum","5802 Value Entry","150 Sales Amount (Expected)","41 Source Type",$C$5,"5 Source No.",$C318,"4 Item Ledger Entry Type",$C$4,"2 Item No.","@@"&amp;$F318,"3 Posting Date",O$9)+NL("Sum","5802 Value Entry","17 Sales Amount (Actual)","41 Source Type",$C$5,"5 Source no.",$C318,"4 Item Ledger Entry Type",$C$4,"2 Item No.","@@"&amp;$F318,"3 Posting Date",O$9)</t>
  </si>
  <si>
    <t>=-NL("Sum","5802 Value Entry","151 Cost Amount (Expected)","41 Source Type",$C$5,"5 Source No.",$C318,"4 Item Ledger Entry Type",$C$4,"2 Item No.","@@"&amp;$F318,"3 Posting Date",O$9)-NL("Sum","5802 Value Entry","43 Cost Amount (Actual)","41 Source Type",$C$5,"5 Source no.",$C318,"4 Item Ledger Entry Type",$C$4,"2 Item No.","@@"&amp;$F318,"3 Posting Date",O$9)</t>
  </si>
  <si>
    <t>=O318-Q318</t>
  </si>
  <si>
    <t>=IF(O318&lt;&gt;0,R318/O318,"")</t>
  </si>
  <si>
    <t>=NL("Sum","5802 Value Entry","150 Sales Amount (Expected)","41 Source Type",$C$5,"5 Source No.",$C318,"4 Item Ledger Entry Type",$C$4,"2 Item No.","@@"&amp;$F318,"3 Posting Date",U$9)+NL("Sum","5802 Value Entry","17 Sales Amount (Actual)","41 Source Type",$C$5,"5 Source no.",$C318,"4 Item Ledger Entry Type",$C$4,"2 Item No.","@@"&amp;$F318,"3 Posting Date",U$9)</t>
  </si>
  <si>
    <t>=-NL("Sum","5802 Value Entry","151 Cost Amount (Expected)","41 Source Type",$C$5,"5 Source No.",$C318,"4 Item Ledger Entry Type",$C$4,"2 Item No.","@@"&amp;$F318,"3 Posting Date",U$9)-NL("Sum","5802 Value Entry","43 Cost Amount (Actual)","41 Source Type",$C$5,"5 Source no.",$C318,"4 Item Ledger Entry Type",$C$4,"2 Item No.","@@"&amp;$F318,"3 Posting Date",U$9)</t>
  </si>
  <si>
    <t>=U318-W318</t>
  </si>
  <si>
    <t>=IF(U318&lt;&gt;0,X318/U318,"")</t>
  </si>
  <si>
    <t>=NL("Sum","5802 Value Entry","150 Sales Amount (Expected)","41 Source Type",$C$5,"5 Source No.",$C318,"4 Item Ledger Entry Type",$C$4,"2 Item No.","@@"&amp;$F318,"3 Posting Date",Z$9)+NL("Sum","5802 Value Entry","17 Sales Amount (Actual)","41 Source Type",$C$5,"5 Source no.",$C318,"4 Item Ledger Entry Type",$C$4,"2 Item No.","@@"&amp;$F318,"3 Posting Date",Z$9)</t>
  </si>
  <si>
    <t>=-NL("Sum","5802 Value Entry","151 Cost Amount (Expected)","41 Source Type",$C$5,"5 Source No.",$C318,"4 Item Ledger Entry Type",$C$4,"2 Item No.","@@"&amp;$F318,"3 Posting Date",Z$9)-NL("Sum","5802 Value Entry","43 Cost Amount (Actual)","41 Source Type",$C$5,"5 Source no.",$C318,"4 Item Ledger Entry Type",$C$4,"2 Item No.","@@"&amp;$F318,"3 Posting Date",Z$9)</t>
  </si>
  <si>
    <t>=Z318-AB318</t>
  </si>
  <si>
    <t>=IF(Z318&lt;&gt;0,AC318/Z318,"")</t>
  </si>
  <si>
    <t>=C318</t>
  </si>
  <si>
    <t>=NL("Sum","5802 Value Entry","150 Sales Amount (Expected)","41 Source Type",$C$5,"5 Source No.",$C319,"4 Item Ledger Entry Type",$C$4,"2 Item No.","@@"&amp;$F319,"3 Posting Date",J$9)+NL("Sum","5802 Value Entry","17 Sales Amount (Actual)","41 Source Type",$C$5,"5 Source no.",$C319,"4 Item Ledger Entry Type",$C$4,"2 Item No.","@@"&amp;$F319,"3 Posting Date",J$9)</t>
  </si>
  <si>
    <t>=-NL("Sum","5802 Value Entry","151 Cost Amount (Expected)","41 Source Type",$C$5,"5 Source No.",$C319,"4 Item Ledger Entry Type",$C$4,"2 Item No.","@@"&amp;$F319,"3 Posting Date",J$9)-NL("Sum","5802 Value Entry","43 Cost Amount (Actual)","41 Source Type",$C$5,"5 Source no.",$C319,"4 Item Ledger Entry Type",$C$4,"2 Item No.","@@"&amp;$F319,"3 Posting Date",J$9)</t>
  </si>
  <si>
    <t>=J319-L319</t>
  </si>
  <si>
    <t>=IF(J319&lt;&gt;0,M319/J319,"")</t>
  </si>
  <si>
    <t>=NL("Sum","5802 Value Entry","150 Sales Amount (Expected)","41 Source Type",$C$5,"5 Source No.",$C319,"4 Item Ledger Entry Type",$C$4,"2 Item No.","@@"&amp;$F319,"3 Posting Date",O$9)+NL("Sum","5802 Value Entry","17 Sales Amount (Actual)","41 Source Type",$C$5,"5 Source no.",$C319,"4 Item Ledger Entry Type",$C$4,"2 Item No.","@@"&amp;$F319,"3 Posting Date",O$9)</t>
  </si>
  <si>
    <t>=-NL("Sum","5802 Value Entry","151 Cost Amount (Expected)","41 Source Type",$C$5,"5 Source No.",$C319,"4 Item Ledger Entry Type",$C$4,"2 Item No.","@@"&amp;$F319,"3 Posting Date",O$9)-NL("Sum","5802 Value Entry","43 Cost Amount (Actual)","41 Source Type",$C$5,"5 Source no.",$C319,"4 Item Ledger Entry Type",$C$4,"2 Item No.","@@"&amp;$F319,"3 Posting Date",O$9)</t>
  </si>
  <si>
    <t>=O319-Q319</t>
  </si>
  <si>
    <t>=IF(O319&lt;&gt;0,R319/O319,"")</t>
  </si>
  <si>
    <t>=NL("Sum","5802 Value Entry","150 Sales Amount (Expected)","41 Source Type",$C$5,"5 Source No.",$C319,"4 Item Ledger Entry Type",$C$4,"2 Item No.","@@"&amp;$F319,"3 Posting Date",U$9)+NL("Sum","5802 Value Entry","17 Sales Amount (Actual)","41 Source Type",$C$5,"5 Source no.",$C319,"4 Item Ledger Entry Type",$C$4,"2 Item No.","@@"&amp;$F319,"3 Posting Date",U$9)</t>
  </si>
  <si>
    <t>=-NL("Sum","5802 Value Entry","151 Cost Amount (Expected)","41 Source Type",$C$5,"5 Source No.",$C319,"4 Item Ledger Entry Type",$C$4,"2 Item No.","@@"&amp;$F319,"3 Posting Date",U$9)-NL("Sum","5802 Value Entry","43 Cost Amount (Actual)","41 Source Type",$C$5,"5 Source no.",$C319,"4 Item Ledger Entry Type",$C$4,"2 Item No.","@@"&amp;$F319,"3 Posting Date",U$9)</t>
  </si>
  <si>
    <t>=U319-W319</t>
  </si>
  <si>
    <t>=IF(U319&lt;&gt;0,X319/U319,"")</t>
  </si>
  <si>
    <t>=NL("Sum","5802 Value Entry","150 Sales Amount (Expected)","41 Source Type",$C$5,"5 Source No.",$C319,"4 Item Ledger Entry Type",$C$4,"2 Item No.","@@"&amp;$F319,"3 Posting Date",Z$9)+NL("Sum","5802 Value Entry","17 Sales Amount (Actual)","41 Source Type",$C$5,"5 Source no.",$C319,"4 Item Ledger Entry Type",$C$4,"2 Item No.","@@"&amp;$F319,"3 Posting Date",Z$9)</t>
  </si>
  <si>
    <t>=-NL("Sum","5802 Value Entry","151 Cost Amount (Expected)","41 Source Type",$C$5,"5 Source No.",$C319,"4 Item Ledger Entry Type",$C$4,"2 Item No.","@@"&amp;$F319,"3 Posting Date",Z$9)-NL("Sum","5802 Value Entry","43 Cost Amount (Actual)","41 Source Type",$C$5,"5 Source no.",$C319,"4 Item Ledger Entry Type",$C$4,"2 Item No.","@@"&amp;$F319,"3 Posting Date",Z$9)</t>
  </si>
  <si>
    <t>=Z319-AB319</t>
  </si>
  <si>
    <t>=IF(Z319&lt;&gt;0,AC319/Z319,"")</t>
  </si>
  <si>
    <t>=C319</t>
  </si>
  <si>
    <t>=NL("Sum","5802 Value Entry","150 Sales Amount (Expected)","41 Source Type",$C$5,"5 Source No.",$C320,"4 Item Ledger Entry Type",$C$4,"2 Item No.","@@"&amp;$F320,"3 Posting Date",J$9)+NL("Sum","5802 Value Entry","17 Sales Amount (Actual)","41 Source Type",$C$5,"5 Source no.",$C320,"4 Item Ledger Entry Type",$C$4,"2 Item No.","@@"&amp;$F320,"3 Posting Date",J$9)</t>
  </si>
  <si>
    <t>=-NL("Sum","5802 Value Entry","151 Cost Amount (Expected)","41 Source Type",$C$5,"5 Source No.",$C320,"4 Item Ledger Entry Type",$C$4,"2 Item No.","@@"&amp;$F320,"3 Posting Date",J$9)-NL("Sum","5802 Value Entry","43 Cost Amount (Actual)","41 Source Type",$C$5,"5 Source no.",$C320,"4 Item Ledger Entry Type",$C$4,"2 Item No.","@@"&amp;$F320,"3 Posting Date",J$9)</t>
  </si>
  <si>
    <t>=J320-L320</t>
  </si>
  <si>
    <t>=IF(J320&lt;&gt;0,M320/J320,"")</t>
  </si>
  <si>
    <t>=NL("Sum","5802 Value Entry","150 Sales Amount (Expected)","41 Source Type",$C$5,"5 Source No.",$C320,"4 Item Ledger Entry Type",$C$4,"2 Item No.","@@"&amp;$F320,"3 Posting Date",O$9)+NL("Sum","5802 Value Entry","17 Sales Amount (Actual)","41 Source Type",$C$5,"5 Source no.",$C320,"4 Item Ledger Entry Type",$C$4,"2 Item No.","@@"&amp;$F320,"3 Posting Date",O$9)</t>
  </si>
  <si>
    <t>=-NL("Sum","5802 Value Entry","151 Cost Amount (Expected)","41 Source Type",$C$5,"5 Source No.",$C320,"4 Item Ledger Entry Type",$C$4,"2 Item No.","@@"&amp;$F320,"3 Posting Date",O$9)-NL("Sum","5802 Value Entry","43 Cost Amount (Actual)","41 Source Type",$C$5,"5 Source no.",$C320,"4 Item Ledger Entry Type",$C$4,"2 Item No.","@@"&amp;$F320,"3 Posting Date",O$9)</t>
  </si>
  <si>
    <t>=O320-Q320</t>
  </si>
  <si>
    <t>=IF(O320&lt;&gt;0,R320/O320,"")</t>
  </si>
  <si>
    <t>=NL("Sum","5802 Value Entry","150 Sales Amount (Expected)","41 Source Type",$C$5,"5 Source No.",$C320,"4 Item Ledger Entry Type",$C$4,"2 Item No.","@@"&amp;$F320,"3 Posting Date",U$9)+NL("Sum","5802 Value Entry","17 Sales Amount (Actual)","41 Source Type",$C$5,"5 Source no.",$C320,"4 Item Ledger Entry Type",$C$4,"2 Item No.","@@"&amp;$F320,"3 Posting Date",U$9)</t>
  </si>
  <si>
    <t>=-NL("Sum","5802 Value Entry","151 Cost Amount (Expected)","41 Source Type",$C$5,"5 Source No.",$C320,"4 Item Ledger Entry Type",$C$4,"2 Item No.","@@"&amp;$F320,"3 Posting Date",U$9)-NL("Sum","5802 Value Entry","43 Cost Amount (Actual)","41 Source Type",$C$5,"5 Source no.",$C320,"4 Item Ledger Entry Type",$C$4,"2 Item No.","@@"&amp;$F320,"3 Posting Date",U$9)</t>
  </si>
  <si>
    <t>=U320-W320</t>
  </si>
  <si>
    <t>=IF(U320&lt;&gt;0,X320/U320,"")</t>
  </si>
  <si>
    <t>=NL("Sum","5802 Value Entry","150 Sales Amount (Expected)","41 Source Type",$C$5,"5 Source No.",$C320,"4 Item Ledger Entry Type",$C$4,"2 Item No.","@@"&amp;$F320,"3 Posting Date",Z$9)+NL("Sum","5802 Value Entry","17 Sales Amount (Actual)","41 Source Type",$C$5,"5 Source no.",$C320,"4 Item Ledger Entry Type",$C$4,"2 Item No.","@@"&amp;$F320,"3 Posting Date",Z$9)</t>
  </si>
  <si>
    <t>=-NL("Sum","5802 Value Entry","151 Cost Amount (Expected)","41 Source Type",$C$5,"5 Source No.",$C320,"4 Item Ledger Entry Type",$C$4,"2 Item No.","@@"&amp;$F320,"3 Posting Date",Z$9)-NL("Sum","5802 Value Entry","43 Cost Amount (Actual)","41 Source Type",$C$5,"5 Source no.",$C320,"4 Item Ledger Entry Type",$C$4,"2 Item No.","@@"&amp;$F320,"3 Posting Date",Z$9)</t>
  </si>
  <si>
    <t>=Z320-AB320</t>
  </si>
  <si>
    <t>=IF(Z320&lt;&gt;0,AC320/Z320,"")</t>
  </si>
  <si>
    <t>=C320</t>
  </si>
  <si>
    <t>=NL("Sum","5802 Value Entry","150 Sales Amount (Expected)","41 Source Type",$C$5,"5 Source No.",$C321,"4 Item Ledger Entry Type",$C$4,"2 Item No.","@@"&amp;$F321,"3 Posting Date",J$9)+NL("Sum","5802 Value Entry","17 Sales Amount (Actual)","41 Source Type",$C$5,"5 Source no.",$C321,"4 Item Ledger Entry Type",$C$4,"2 Item No.","@@"&amp;$F321,"3 Posting Date",J$9)</t>
  </si>
  <si>
    <t>=-NL("Sum","5802 Value Entry","151 Cost Amount (Expected)","41 Source Type",$C$5,"5 Source No.",$C321,"4 Item Ledger Entry Type",$C$4,"2 Item No.","@@"&amp;$F321,"3 Posting Date",J$9)-NL("Sum","5802 Value Entry","43 Cost Amount (Actual)","41 Source Type",$C$5,"5 Source no.",$C321,"4 Item Ledger Entry Type",$C$4,"2 Item No.","@@"&amp;$F321,"3 Posting Date",J$9)</t>
  </si>
  <si>
    <t>=J321-L321</t>
  </si>
  <si>
    <t>=IF(J321&lt;&gt;0,M321/J321,"")</t>
  </si>
  <si>
    <t>=NL("Sum","5802 Value Entry","150 Sales Amount (Expected)","41 Source Type",$C$5,"5 Source No.",$C321,"4 Item Ledger Entry Type",$C$4,"2 Item No.","@@"&amp;$F321,"3 Posting Date",O$9)+NL("Sum","5802 Value Entry","17 Sales Amount (Actual)","41 Source Type",$C$5,"5 Source no.",$C321,"4 Item Ledger Entry Type",$C$4,"2 Item No.","@@"&amp;$F321,"3 Posting Date",O$9)</t>
  </si>
  <si>
    <t>=-NL("Sum","5802 Value Entry","151 Cost Amount (Expected)","41 Source Type",$C$5,"5 Source No.",$C321,"4 Item Ledger Entry Type",$C$4,"2 Item No.","@@"&amp;$F321,"3 Posting Date",O$9)-NL("Sum","5802 Value Entry","43 Cost Amount (Actual)","41 Source Type",$C$5,"5 Source no.",$C321,"4 Item Ledger Entry Type",$C$4,"2 Item No.","@@"&amp;$F321,"3 Posting Date",O$9)</t>
  </si>
  <si>
    <t>=O321-Q321</t>
  </si>
  <si>
    <t>=IF(O321&lt;&gt;0,R321/O321,"")</t>
  </si>
  <si>
    <t>=NL("Sum","5802 Value Entry","150 Sales Amount (Expected)","41 Source Type",$C$5,"5 Source No.",$C321,"4 Item Ledger Entry Type",$C$4,"2 Item No.","@@"&amp;$F321,"3 Posting Date",U$9)+NL("Sum","5802 Value Entry","17 Sales Amount (Actual)","41 Source Type",$C$5,"5 Source no.",$C321,"4 Item Ledger Entry Type",$C$4,"2 Item No.","@@"&amp;$F321,"3 Posting Date",U$9)</t>
  </si>
  <si>
    <t>=-NL("Sum","5802 Value Entry","151 Cost Amount (Expected)","41 Source Type",$C$5,"5 Source No.",$C321,"4 Item Ledger Entry Type",$C$4,"2 Item No.","@@"&amp;$F321,"3 Posting Date",U$9)-NL("Sum","5802 Value Entry","43 Cost Amount (Actual)","41 Source Type",$C$5,"5 Source no.",$C321,"4 Item Ledger Entry Type",$C$4,"2 Item No.","@@"&amp;$F321,"3 Posting Date",U$9)</t>
  </si>
  <si>
    <t>=U321-W321</t>
  </si>
  <si>
    <t>=IF(U321&lt;&gt;0,X321/U321,"")</t>
  </si>
  <si>
    <t>=NL("Sum","5802 Value Entry","150 Sales Amount (Expected)","41 Source Type",$C$5,"5 Source No.",$C321,"4 Item Ledger Entry Type",$C$4,"2 Item No.","@@"&amp;$F321,"3 Posting Date",Z$9)+NL("Sum","5802 Value Entry","17 Sales Amount (Actual)","41 Source Type",$C$5,"5 Source no.",$C321,"4 Item Ledger Entry Type",$C$4,"2 Item No.","@@"&amp;$F321,"3 Posting Date",Z$9)</t>
  </si>
  <si>
    <t>=-NL("Sum","5802 Value Entry","151 Cost Amount (Expected)","41 Source Type",$C$5,"5 Source No.",$C321,"4 Item Ledger Entry Type",$C$4,"2 Item No.","@@"&amp;$F321,"3 Posting Date",Z$9)-NL("Sum","5802 Value Entry","43 Cost Amount (Actual)","41 Source Type",$C$5,"5 Source no.",$C321,"4 Item Ledger Entry Type",$C$4,"2 Item No.","@@"&amp;$F321,"3 Posting Date",Z$9)</t>
  </si>
  <si>
    <t>=Z321-AB321</t>
  </si>
  <si>
    <t>=IF(Z321&lt;&gt;0,AC321/Z321,"")</t>
  </si>
  <si>
    <t>=C321</t>
  </si>
  <si>
    <t>=NL("Sum","5802 Value Entry","150 Sales Amount (Expected)","41 Source Type",$C$5,"5 Source No.",$C322,"4 Item Ledger Entry Type",$C$4,"2 Item No.","@@"&amp;$F322,"3 Posting Date",J$9)+NL("Sum","5802 Value Entry","17 Sales Amount (Actual)","41 Source Type",$C$5,"5 Source no.",$C322,"4 Item Ledger Entry Type",$C$4,"2 Item No.","@@"&amp;$F322,"3 Posting Date",J$9)</t>
  </si>
  <si>
    <t>=-NL("Sum","5802 Value Entry","151 Cost Amount (Expected)","41 Source Type",$C$5,"5 Source No.",$C322,"4 Item Ledger Entry Type",$C$4,"2 Item No.","@@"&amp;$F322,"3 Posting Date",J$9)-NL("Sum","5802 Value Entry","43 Cost Amount (Actual)","41 Source Type",$C$5,"5 Source no.",$C322,"4 Item Ledger Entry Type",$C$4,"2 Item No.","@@"&amp;$F322,"3 Posting Date",J$9)</t>
  </si>
  <si>
    <t>=J322-L322</t>
  </si>
  <si>
    <t>=IF(J322&lt;&gt;0,M322/J322,"")</t>
  </si>
  <si>
    <t>=NL("Sum","5802 Value Entry","150 Sales Amount (Expected)","41 Source Type",$C$5,"5 Source No.",$C322,"4 Item Ledger Entry Type",$C$4,"2 Item No.","@@"&amp;$F322,"3 Posting Date",O$9)+NL("Sum","5802 Value Entry","17 Sales Amount (Actual)","41 Source Type",$C$5,"5 Source no.",$C322,"4 Item Ledger Entry Type",$C$4,"2 Item No.","@@"&amp;$F322,"3 Posting Date",O$9)</t>
  </si>
  <si>
    <t>=-NL("Sum","5802 Value Entry","151 Cost Amount (Expected)","41 Source Type",$C$5,"5 Source No.",$C322,"4 Item Ledger Entry Type",$C$4,"2 Item No.","@@"&amp;$F322,"3 Posting Date",O$9)-NL("Sum","5802 Value Entry","43 Cost Amount (Actual)","41 Source Type",$C$5,"5 Source no.",$C322,"4 Item Ledger Entry Type",$C$4,"2 Item No.","@@"&amp;$F322,"3 Posting Date",O$9)</t>
  </si>
  <si>
    <t>=O322-Q322</t>
  </si>
  <si>
    <t>=IF(O322&lt;&gt;0,R322/O322,"")</t>
  </si>
  <si>
    <t>=NL("Sum","5802 Value Entry","150 Sales Amount (Expected)","41 Source Type",$C$5,"5 Source No.",$C322,"4 Item Ledger Entry Type",$C$4,"2 Item No.","@@"&amp;$F322,"3 Posting Date",U$9)+NL("Sum","5802 Value Entry","17 Sales Amount (Actual)","41 Source Type",$C$5,"5 Source no.",$C322,"4 Item Ledger Entry Type",$C$4,"2 Item No.","@@"&amp;$F322,"3 Posting Date",U$9)</t>
  </si>
  <si>
    <t>=-NL("Sum","5802 Value Entry","151 Cost Amount (Expected)","41 Source Type",$C$5,"5 Source No.",$C322,"4 Item Ledger Entry Type",$C$4,"2 Item No.","@@"&amp;$F322,"3 Posting Date",U$9)-NL("Sum","5802 Value Entry","43 Cost Amount (Actual)","41 Source Type",$C$5,"5 Source no.",$C322,"4 Item Ledger Entry Type",$C$4,"2 Item No.","@@"&amp;$F322,"3 Posting Date",U$9)</t>
  </si>
  <si>
    <t>=U322-W322</t>
  </si>
  <si>
    <t>=IF(U322&lt;&gt;0,X322/U322,"")</t>
  </si>
  <si>
    <t>=NL("Sum","5802 Value Entry","150 Sales Amount (Expected)","41 Source Type",$C$5,"5 Source No.",$C322,"4 Item Ledger Entry Type",$C$4,"2 Item No.","@@"&amp;$F322,"3 Posting Date",Z$9)+NL("Sum","5802 Value Entry","17 Sales Amount (Actual)","41 Source Type",$C$5,"5 Source no.",$C322,"4 Item Ledger Entry Type",$C$4,"2 Item No.","@@"&amp;$F322,"3 Posting Date",Z$9)</t>
  </si>
  <si>
    <t>=-NL("Sum","5802 Value Entry","151 Cost Amount (Expected)","41 Source Type",$C$5,"5 Source No.",$C322,"4 Item Ledger Entry Type",$C$4,"2 Item No.","@@"&amp;$F322,"3 Posting Date",Z$9)-NL("Sum","5802 Value Entry","43 Cost Amount (Actual)","41 Source Type",$C$5,"5 Source no.",$C322,"4 Item Ledger Entry Type",$C$4,"2 Item No.","@@"&amp;$F322,"3 Posting Date",Z$9)</t>
  </si>
  <si>
    <t>=Z322-AB322</t>
  </si>
  <si>
    <t>=IF(Z322&lt;&gt;0,AC322/Z322,"")</t>
  </si>
  <si>
    <t>=C322</t>
  </si>
  <si>
    <t>=NL("Sum","5802 Value Entry","150 Sales Amount (Expected)","41 Source Type",$C$5,"5 Source No.",$C323,"4 Item Ledger Entry Type",$C$4,"2 Item No.","@@"&amp;$F323,"3 Posting Date",J$9)+NL("Sum","5802 Value Entry","17 Sales Amount (Actual)","41 Source Type",$C$5,"5 Source no.",$C323,"4 Item Ledger Entry Type",$C$4,"2 Item No.","@@"&amp;$F323,"3 Posting Date",J$9)</t>
  </si>
  <si>
    <t>=-NL("Sum","5802 Value Entry","151 Cost Amount (Expected)","41 Source Type",$C$5,"5 Source No.",$C323,"4 Item Ledger Entry Type",$C$4,"2 Item No.","@@"&amp;$F323,"3 Posting Date",J$9)-NL("Sum","5802 Value Entry","43 Cost Amount (Actual)","41 Source Type",$C$5,"5 Source no.",$C323,"4 Item Ledger Entry Type",$C$4,"2 Item No.","@@"&amp;$F323,"3 Posting Date",J$9)</t>
  </si>
  <si>
    <t>=J323-L323</t>
  </si>
  <si>
    <t>=IF(J323&lt;&gt;0,M323/J323,"")</t>
  </si>
  <si>
    <t>=NL("Sum","5802 Value Entry","150 Sales Amount (Expected)","41 Source Type",$C$5,"5 Source No.",$C323,"4 Item Ledger Entry Type",$C$4,"2 Item No.","@@"&amp;$F323,"3 Posting Date",O$9)+NL("Sum","5802 Value Entry","17 Sales Amount (Actual)","41 Source Type",$C$5,"5 Source no.",$C323,"4 Item Ledger Entry Type",$C$4,"2 Item No.","@@"&amp;$F323,"3 Posting Date",O$9)</t>
  </si>
  <si>
    <t>=-NL("Sum","5802 Value Entry","151 Cost Amount (Expected)","41 Source Type",$C$5,"5 Source No.",$C323,"4 Item Ledger Entry Type",$C$4,"2 Item No.","@@"&amp;$F323,"3 Posting Date",O$9)-NL("Sum","5802 Value Entry","43 Cost Amount (Actual)","41 Source Type",$C$5,"5 Source no.",$C323,"4 Item Ledger Entry Type",$C$4,"2 Item No.","@@"&amp;$F323,"3 Posting Date",O$9)</t>
  </si>
  <si>
    <t>=O323-Q323</t>
  </si>
  <si>
    <t>=IF(O323&lt;&gt;0,R323/O323,"")</t>
  </si>
  <si>
    <t>=NL("Sum","5802 Value Entry","150 Sales Amount (Expected)","41 Source Type",$C$5,"5 Source No.",$C323,"4 Item Ledger Entry Type",$C$4,"2 Item No.","@@"&amp;$F323,"3 Posting Date",U$9)+NL("Sum","5802 Value Entry","17 Sales Amount (Actual)","41 Source Type",$C$5,"5 Source no.",$C323,"4 Item Ledger Entry Type",$C$4,"2 Item No.","@@"&amp;$F323,"3 Posting Date",U$9)</t>
  </si>
  <si>
    <t>=-NL("Sum","5802 Value Entry","151 Cost Amount (Expected)","41 Source Type",$C$5,"5 Source No.",$C323,"4 Item Ledger Entry Type",$C$4,"2 Item No.","@@"&amp;$F323,"3 Posting Date",U$9)-NL("Sum","5802 Value Entry","43 Cost Amount (Actual)","41 Source Type",$C$5,"5 Source no.",$C323,"4 Item Ledger Entry Type",$C$4,"2 Item No.","@@"&amp;$F323,"3 Posting Date",U$9)</t>
  </si>
  <si>
    <t>=U323-W323</t>
  </si>
  <si>
    <t>=IF(U323&lt;&gt;0,X323/U323,"")</t>
  </si>
  <si>
    <t>=NL("Sum","5802 Value Entry","150 Sales Amount (Expected)","41 Source Type",$C$5,"5 Source No.",$C323,"4 Item Ledger Entry Type",$C$4,"2 Item No.","@@"&amp;$F323,"3 Posting Date",Z$9)+NL("Sum","5802 Value Entry","17 Sales Amount (Actual)","41 Source Type",$C$5,"5 Source no.",$C323,"4 Item Ledger Entry Type",$C$4,"2 Item No.","@@"&amp;$F323,"3 Posting Date",Z$9)</t>
  </si>
  <si>
    <t>=-NL("Sum","5802 Value Entry","151 Cost Amount (Expected)","41 Source Type",$C$5,"5 Source No.",$C323,"4 Item Ledger Entry Type",$C$4,"2 Item No.","@@"&amp;$F323,"3 Posting Date",Z$9)-NL("Sum","5802 Value Entry","43 Cost Amount (Actual)","41 Source Type",$C$5,"5 Source no.",$C323,"4 Item Ledger Entry Type",$C$4,"2 Item No.","@@"&amp;$F323,"3 Posting Date",Z$9)</t>
  </si>
  <si>
    <t>=Z323-AB323</t>
  </si>
  <si>
    <t>=IF(Z323&lt;&gt;0,AC323/Z323,"")</t>
  </si>
  <si>
    <t>=C323</t>
  </si>
  <si>
    <t>=NL("Sum","5802 Value Entry","150 Sales Amount (Expected)","41 Source Type",$C$5,"5 Source No.",$C324,"4 Item Ledger Entry Type",$C$4,"2 Item No.","@@"&amp;$F324,"3 Posting Date",J$9)+NL("Sum","5802 Value Entry","17 Sales Amount (Actual)","41 Source Type",$C$5,"5 Source no.",$C324,"4 Item Ledger Entry Type",$C$4,"2 Item No.","@@"&amp;$F324,"3 Posting Date",J$9)</t>
  </si>
  <si>
    <t>=-NL("Sum","5802 Value Entry","151 Cost Amount (Expected)","41 Source Type",$C$5,"5 Source No.",$C324,"4 Item Ledger Entry Type",$C$4,"2 Item No.","@@"&amp;$F324,"3 Posting Date",J$9)-NL("Sum","5802 Value Entry","43 Cost Amount (Actual)","41 Source Type",$C$5,"5 Source no.",$C324,"4 Item Ledger Entry Type",$C$4,"2 Item No.","@@"&amp;$F324,"3 Posting Date",J$9)</t>
  </si>
  <si>
    <t>=J324-L324</t>
  </si>
  <si>
    <t>=IF(J324&lt;&gt;0,M324/J324,"")</t>
  </si>
  <si>
    <t>=NL("Sum","5802 Value Entry","150 Sales Amount (Expected)","41 Source Type",$C$5,"5 Source No.",$C324,"4 Item Ledger Entry Type",$C$4,"2 Item No.","@@"&amp;$F324,"3 Posting Date",O$9)+NL("Sum","5802 Value Entry","17 Sales Amount (Actual)","41 Source Type",$C$5,"5 Source no.",$C324,"4 Item Ledger Entry Type",$C$4,"2 Item No.","@@"&amp;$F324,"3 Posting Date",O$9)</t>
  </si>
  <si>
    <t>=-NL("Sum","5802 Value Entry","151 Cost Amount (Expected)","41 Source Type",$C$5,"5 Source No.",$C324,"4 Item Ledger Entry Type",$C$4,"2 Item No.","@@"&amp;$F324,"3 Posting Date",O$9)-NL("Sum","5802 Value Entry","43 Cost Amount (Actual)","41 Source Type",$C$5,"5 Source no.",$C324,"4 Item Ledger Entry Type",$C$4,"2 Item No.","@@"&amp;$F324,"3 Posting Date",O$9)</t>
  </si>
  <si>
    <t>=O324-Q324</t>
  </si>
  <si>
    <t>=IF(O324&lt;&gt;0,R324/O324,"")</t>
  </si>
  <si>
    <t>=NL("Sum","5802 Value Entry","150 Sales Amount (Expected)","41 Source Type",$C$5,"5 Source No.",$C324,"4 Item Ledger Entry Type",$C$4,"2 Item No.","@@"&amp;$F324,"3 Posting Date",U$9)+NL("Sum","5802 Value Entry","17 Sales Amount (Actual)","41 Source Type",$C$5,"5 Source no.",$C324,"4 Item Ledger Entry Type",$C$4,"2 Item No.","@@"&amp;$F324,"3 Posting Date",U$9)</t>
  </si>
  <si>
    <t>=-NL("Sum","5802 Value Entry","151 Cost Amount (Expected)","41 Source Type",$C$5,"5 Source No.",$C324,"4 Item Ledger Entry Type",$C$4,"2 Item No.","@@"&amp;$F324,"3 Posting Date",U$9)-NL("Sum","5802 Value Entry","43 Cost Amount (Actual)","41 Source Type",$C$5,"5 Source no.",$C324,"4 Item Ledger Entry Type",$C$4,"2 Item No.","@@"&amp;$F324,"3 Posting Date",U$9)</t>
  </si>
  <si>
    <t>=U324-W324</t>
  </si>
  <si>
    <t>=IF(U324&lt;&gt;0,X324/U324,"")</t>
  </si>
  <si>
    <t>=NL("Sum","5802 Value Entry","150 Sales Amount (Expected)","41 Source Type",$C$5,"5 Source No.",$C324,"4 Item Ledger Entry Type",$C$4,"2 Item No.","@@"&amp;$F324,"3 Posting Date",Z$9)+NL("Sum","5802 Value Entry","17 Sales Amount (Actual)","41 Source Type",$C$5,"5 Source no.",$C324,"4 Item Ledger Entry Type",$C$4,"2 Item No.","@@"&amp;$F324,"3 Posting Date",Z$9)</t>
  </si>
  <si>
    <t>=-NL("Sum","5802 Value Entry","151 Cost Amount (Expected)","41 Source Type",$C$5,"5 Source No.",$C324,"4 Item Ledger Entry Type",$C$4,"2 Item No.","@@"&amp;$F324,"3 Posting Date",Z$9)-NL("Sum","5802 Value Entry","43 Cost Amount (Actual)","41 Source Type",$C$5,"5 Source no.",$C324,"4 Item Ledger Entry Type",$C$4,"2 Item No.","@@"&amp;$F324,"3 Posting Date",Z$9)</t>
  </si>
  <si>
    <t>=Z324-AB324</t>
  </si>
  <si>
    <t>=IF(Z324&lt;&gt;0,AC324/Z324,"")</t>
  </si>
  <si>
    <t>=C324</t>
  </si>
  <si>
    <t>=NL("Sum","5802 Value Entry","150 Sales Amount (Expected)","41 Source Type",$C$5,"5 Source No.",$C325,"4 Item Ledger Entry Type",$C$4,"2 Item No.","@@"&amp;$F325,"3 Posting Date",J$9)+NL("Sum","5802 Value Entry","17 Sales Amount (Actual)","41 Source Type",$C$5,"5 Source no.",$C325,"4 Item Ledger Entry Type",$C$4,"2 Item No.","@@"&amp;$F325,"3 Posting Date",J$9)</t>
  </si>
  <si>
    <t>=-NL("Sum","5802 Value Entry","151 Cost Amount (Expected)","41 Source Type",$C$5,"5 Source No.",$C325,"4 Item Ledger Entry Type",$C$4,"2 Item No.","@@"&amp;$F325,"3 Posting Date",J$9)-NL("Sum","5802 Value Entry","43 Cost Amount (Actual)","41 Source Type",$C$5,"5 Source no.",$C325,"4 Item Ledger Entry Type",$C$4,"2 Item No.","@@"&amp;$F325,"3 Posting Date",J$9)</t>
  </si>
  <si>
    <t>=J325-L325</t>
  </si>
  <si>
    <t>=IF(J325&lt;&gt;0,M325/J325,"")</t>
  </si>
  <si>
    <t>=NL("Sum","5802 Value Entry","150 Sales Amount (Expected)","41 Source Type",$C$5,"5 Source No.",$C325,"4 Item Ledger Entry Type",$C$4,"2 Item No.","@@"&amp;$F325,"3 Posting Date",O$9)+NL("Sum","5802 Value Entry","17 Sales Amount (Actual)","41 Source Type",$C$5,"5 Source no.",$C325,"4 Item Ledger Entry Type",$C$4,"2 Item No.","@@"&amp;$F325,"3 Posting Date",O$9)</t>
  </si>
  <si>
    <t>=-NL("Sum","5802 Value Entry","151 Cost Amount (Expected)","41 Source Type",$C$5,"5 Source No.",$C325,"4 Item Ledger Entry Type",$C$4,"2 Item No.","@@"&amp;$F325,"3 Posting Date",O$9)-NL("Sum","5802 Value Entry","43 Cost Amount (Actual)","41 Source Type",$C$5,"5 Source no.",$C325,"4 Item Ledger Entry Type",$C$4,"2 Item No.","@@"&amp;$F325,"3 Posting Date",O$9)</t>
  </si>
  <si>
    <t>=O325-Q325</t>
  </si>
  <si>
    <t>=IF(O325&lt;&gt;0,R325/O325,"")</t>
  </si>
  <si>
    <t>=NL("Sum","5802 Value Entry","150 Sales Amount (Expected)","41 Source Type",$C$5,"5 Source No.",$C325,"4 Item Ledger Entry Type",$C$4,"2 Item No.","@@"&amp;$F325,"3 Posting Date",U$9)+NL("Sum","5802 Value Entry","17 Sales Amount (Actual)","41 Source Type",$C$5,"5 Source no.",$C325,"4 Item Ledger Entry Type",$C$4,"2 Item No.","@@"&amp;$F325,"3 Posting Date",U$9)</t>
  </si>
  <si>
    <t>=-NL("Sum","5802 Value Entry","151 Cost Amount (Expected)","41 Source Type",$C$5,"5 Source No.",$C325,"4 Item Ledger Entry Type",$C$4,"2 Item No.","@@"&amp;$F325,"3 Posting Date",U$9)-NL("Sum","5802 Value Entry","43 Cost Amount (Actual)","41 Source Type",$C$5,"5 Source no.",$C325,"4 Item Ledger Entry Type",$C$4,"2 Item No.","@@"&amp;$F325,"3 Posting Date",U$9)</t>
  </si>
  <si>
    <t>=U325-W325</t>
  </si>
  <si>
    <t>=IF(U325&lt;&gt;0,X325/U325,"")</t>
  </si>
  <si>
    <t>=NL("Sum","5802 Value Entry","150 Sales Amount (Expected)","41 Source Type",$C$5,"5 Source No.",$C325,"4 Item Ledger Entry Type",$C$4,"2 Item No.","@@"&amp;$F325,"3 Posting Date",Z$9)+NL("Sum","5802 Value Entry","17 Sales Amount (Actual)","41 Source Type",$C$5,"5 Source no.",$C325,"4 Item Ledger Entry Type",$C$4,"2 Item No.","@@"&amp;$F325,"3 Posting Date",Z$9)</t>
  </si>
  <si>
    <t>=-NL("Sum","5802 Value Entry","151 Cost Amount (Expected)","41 Source Type",$C$5,"5 Source No.",$C325,"4 Item Ledger Entry Type",$C$4,"2 Item No.","@@"&amp;$F325,"3 Posting Date",Z$9)-NL("Sum","5802 Value Entry","43 Cost Amount (Actual)","41 Source Type",$C$5,"5 Source no.",$C325,"4 Item Ledger Entry Type",$C$4,"2 Item No.","@@"&amp;$F325,"3 Posting Date",Z$9)</t>
  </si>
  <si>
    <t>=Z325-AB325</t>
  </si>
  <si>
    <t>=IF(Z325&lt;&gt;0,AC325/Z325,"")</t>
  </si>
  <si>
    <t>=C325</t>
  </si>
  <si>
    <t>=NL("Sum","5802 Value Entry","150 Sales Amount (Expected)","41 Source Type",$C$5,"5 Source No.",$C326,"4 Item Ledger Entry Type",$C$4,"2 Item No.","@@"&amp;$F326,"3 Posting Date",J$9)+NL("Sum","5802 Value Entry","17 Sales Amount (Actual)","41 Source Type",$C$5,"5 Source no.",$C326,"4 Item Ledger Entry Type",$C$4,"2 Item No.","@@"&amp;$F326,"3 Posting Date",J$9)</t>
  </si>
  <si>
    <t>=-NL("Sum","5802 Value Entry","151 Cost Amount (Expected)","41 Source Type",$C$5,"5 Source No.",$C326,"4 Item Ledger Entry Type",$C$4,"2 Item No.","@@"&amp;$F326,"3 Posting Date",J$9)-NL("Sum","5802 Value Entry","43 Cost Amount (Actual)","41 Source Type",$C$5,"5 Source no.",$C326,"4 Item Ledger Entry Type",$C$4,"2 Item No.","@@"&amp;$F326,"3 Posting Date",J$9)</t>
  </si>
  <si>
    <t>=J326-L326</t>
  </si>
  <si>
    <t>=IF(J326&lt;&gt;0,M326/J326,"")</t>
  </si>
  <si>
    <t>=NL("Sum","5802 Value Entry","150 Sales Amount (Expected)","41 Source Type",$C$5,"5 Source No.",$C326,"4 Item Ledger Entry Type",$C$4,"2 Item No.","@@"&amp;$F326,"3 Posting Date",O$9)+NL("Sum","5802 Value Entry","17 Sales Amount (Actual)","41 Source Type",$C$5,"5 Source no.",$C326,"4 Item Ledger Entry Type",$C$4,"2 Item No.","@@"&amp;$F326,"3 Posting Date",O$9)</t>
  </si>
  <si>
    <t>=-NL("Sum","5802 Value Entry","151 Cost Amount (Expected)","41 Source Type",$C$5,"5 Source No.",$C326,"4 Item Ledger Entry Type",$C$4,"2 Item No.","@@"&amp;$F326,"3 Posting Date",O$9)-NL("Sum","5802 Value Entry","43 Cost Amount (Actual)","41 Source Type",$C$5,"5 Source no.",$C326,"4 Item Ledger Entry Type",$C$4,"2 Item No.","@@"&amp;$F326,"3 Posting Date",O$9)</t>
  </si>
  <si>
    <t>=O326-Q326</t>
  </si>
  <si>
    <t>=IF(O326&lt;&gt;0,R326/O326,"")</t>
  </si>
  <si>
    <t>=NL("Sum","5802 Value Entry","150 Sales Amount (Expected)","41 Source Type",$C$5,"5 Source No.",$C326,"4 Item Ledger Entry Type",$C$4,"2 Item No.","@@"&amp;$F326,"3 Posting Date",U$9)+NL("Sum","5802 Value Entry","17 Sales Amount (Actual)","41 Source Type",$C$5,"5 Source no.",$C326,"4 Item Ledger Entry Type",$C$4,"2 Item No.","@@"&amp;$F326,"3 Posting Date",U$9)</t>
  </si>
  <si>
    <t>=-NL("Sum","5802 Value Entry","151 Cost Amount (Expected)","41 Source Type",$C$5,"5 Source No.",$C326,"4 Item Ledger Entry Type",$C$4,"2 Item No.","@@"&amp;$F326,"3 Posting Date",U$9)-NL("Sum","5802 Value Entry","43 Cost Amount (Actual)","41 Source Type",$C$5,"5 Source no.",$C326,"4 Item Ledger Entry Type",$C$4,"2 Item No.","@@"&amp;$F326,"3 Posting Date",U$9)</t>
  </si>
  <si>
    <t>=U326-W326</t>
  </si>
  <si>
    <t>=IF(U326&lt;&gt;0,X326/U326,"")</t>
  </si>
  <si>
    <t>=NL("Sum","5802 Value Entry","150 Sales Amount (Expected)","41 Source Type",$C$5,"5 Source No.",$C326,"4 Item Ledger Entry Type",$C$4,"2 Item No.","@@"&amp;$F326,"3 Posting Date",Z$9)+NL("Sum","5802 Value Entry","17 Sales Amount (Actual)","41 Source Type",$C$5,"5 Source no.",$C326,"4 Item Ledger Entry Type",$C$4,"2 Item No.","@@"&amp;$F326,"3 Posting Date",Z$9)</t>
  </si>
  <si>
    <t>=-NL("Sum","5802 Value Entry","151 Cost Amount (Expected)","41 Source Type",$C$5,"5 Source No.",$C326,"4 Item Ledger Entry Type",$C$4,"2 Item No.","@@"&amp;$F326,"3 Posting Date",Z$9)-NL("Sum","5802 Value Entry","43 Cost Amount (Actual)","41 Source Type",$C$5,"5 Source no.",$C326,"4 Item Ledger Entry Type",$C$4,"2 Item No.","@@"&amp;$F326,"3 Posting Date",Z$9)</t>
  </si>
  <si>
    <t>=Z326-AB326</t>
  </si>
  <si>
    <t>=IF(Z326&lt;&gt;0,AC326/Z326,"")</t>
  </si>
  <si>
    <t>=C326</t>
  </si>
  <si>
    <t>=NL("Sum","5802 Value Entry","150 Sales Amount (Expected)","41 Source Type",$C$5,"5 Source No.",$C327,"4 Item Ledger Entry Type",$C$4,"2 Item No.","@@"&amp;$F327,"3 Posting Date",J$9)+NL("Sum","5802 Value Entry","17 Sales Amount (Actual)","41 Source Type",$C$5,"5 Source no.",$C327,"4 Item Ledger Entry Type",$C$4,"2 Item No.","@@"&amp;$F327,"3 Posting Date",J$9)</t>
  </si>
  <si>
    <t>=-NL("Sum","5802 Value Entry","151 Cost Amount (Expected)","41 Source Type",$C$5,"5 Source No.",$C327,"4 Item Ledger Entry Type",$C$4,"2 Item No.","@@"&amp;$F327,"3 Posting Date",J$9)-NL("Sum","5802 Value Entry","43 Cost Amount (Actual)","41 Source Type",$C$5,"5 Source no.",$C327,"4 Item Ledger Entry Type",$C$4,"2 Item No.","@@"&amp;$F327,"3 Posting Date",J$9)</t>
  </si>
  <si>
    <t>=J327-L327</t>
  </si>
  <si>
    <t>=IF(J327&lt;&gt;0,M327/J327,"")</t>
  </si>
  <si>
    <t>=NL("Sum","5802 Value Entry","150 Sales Amount (Expected)","41 Source Type",$C$5,"5 Source No.",$C327,"4 Item Ledger Entry Type",$C$4,"2 Item No.","@@"&amp;$F327,"3 Posting Date",O$9)+NL("Sum","5802 Value Entry","17 Sales Amount (Actual)","41 Source Type",$C$5,"5 Source no.",$C327,"4 Item Ledger Entry Type",$C$4,"2 Item No.","@@"&amp;$F327,"3 Posting Date",O$9)</t>
  </si>
  <si>
    <t>=-NL("Sum","5802 Value Entry","151 Cost Amount (Expected)","41 Source Type",$C$5,"5 Source No.",$C327,"4 Item Ledger Entry Type",$C$4,"2 Item No.","@@"&amp;$F327,"3 Posting Date",O$9)-NL("Sum","5802 Value Entry","43 Cost Amount (Actual)","41 Source Type",$C$5,"5 Source no.",$C327,"4 Item Ledger Entry Type",$C$4,"2 Item No.","@@"&amp;$F327,"3 Posting Date",O$9)</t>
  </si>
  <si>
    <t>=O327-Q327</t>
  </si>
  <si>
    <t>=IF(O327&lt;&gt;0,R327/O327,"")</t>
  </si>
  <si>
    <t>=NL("Sum","5802 Value Entry","150 Sales Amount (Expected)","41 Source Type",$C$5,"5 Source No.",$C327,"4 Item Ledger Entry Type",$C$4,"2 Item No.","@@"&amp;$F327,"3 Posting Date",U$9)+NL("Sum","5802 Value Entry","17 Sales Amount (Actual)","41 Source Type",$C$5,"5 Source no.",$C327,"4 Item Ledger Entry Type",$C$4,"2 Item No.","@@"&amp;$F327,"3 Posting Date",U$9)</t>
  </si>
  <si>
    <t>=-NL("Sum","5802 Value Entry","151 Cost Amount (Expected)","41 Source Type",$C$5,"5 Source No.",$C327,"4 Item Ledger Entry Type",$C$4,"2 Item No.","@@"&amp;$F327,"3 Posting Date",U$9)-NL("Sum","5802 Value Entry","43 Cost Amount (Actual)","41 Source Type",$C$5,"5 Source no.",$C327,"4 Item Ledger Entry Type",$C$4,"2 Item No.","@@"&amp;$F327,"3 Posting Date",U$9)</t>
  </si>
  <si>
    <t>=U327-W327</t>
  </si>
  <si>
    <t>=IF(U327&lt;&gt;0,X327/U327,"")</t>
  </si>
  <si>
    <t>=NL("Sum","5802 Value Entry","150 Sales Amount (Expected)","41 Source Type",$C$5,"5 Source No.",$C327,"4 Item Ledger Entry Type",$C$4,"2 Item No.","@@"&amp;$F327,"3 Posting Date",Z$9)+NL("Sum","5802 Value Entry","17 Sales Amount (Actual)","41 Source Type",$C$5,"5 Source no.",$C327,"4 Item Ledger Entry Type",$C$4,"2 Item No.","@@"&amp;$F327,"3 Posting Date",Z$9)</t>
  </si>
  <si>
    <t>=-NL("Sum","5802 Value Entry","151 Cost Amount (Expected)","41 Source Type",$C$5,"5 Source No.",$C327,"4 Item Ledger Entry Type",$C$4,"2 Item No.","@@"&amp;$F327,"3 Posting Date",Z$9)-NL("Sum","5802 Value Entry","43 Cost Amount (Actual)","41 Source Type",$C$5,"5 Source no.",$C327,"4 Item Ledger Entry Type",$C$4,"2 Item No.","@@"&amp;$F327,"3 Posting Date",Z$9)</t>
  </si>
  <si>
    <t>=Z327-AB327</t>
  </si>
  <si>
    <t>=IF(Z327&lt;&gt;0,AC327/Z327,"")</t>
  </si>
  <si>
    <t>=C327</t>
  </si>
  <si>
    <t>=NL("Sum","5802 Value Entry","150 Sales Amount (Expected)","41 Source Type",$C$5,"5 Source No.",$C328,"4 Item Ledger Entry Type",$C$4,"2 Item No.","@@"&amp;$F328,"3 Posting Date",J$9)+NL("Sum","5802 Value Entry","17 Sales Amount (Actual)","41 Source Type",$C$5,"5 Source no.",$C328,"4 Item Ledger Entry Type",$C$4,"2 Item No.","@@"&amp;$F328,"3 Posting Date",J$9)</t>
  </si>
  <si>
    <t>=-NL("Sum","5802 Value Entry","151 Cost Amount (Expected)","41 Source Type",$C$5,"5 Source No.",$C328,"4 Item Ledger Entry Type",$C$4,"2 Item No.","@@"&amp;$F328,"3 Posting Date",J$9)-NL("Sum","5802 Value Entry","43 Cost Amount (Actual)","41 Source Type",$C$5,"5 Source no.",$C328,"4 Item Ledger Entry Type",$C$4,"2 Item No.","@@"&amp;$F328,"3 Posting Date",J$9)</t>
  </si>
  <si>
    <t>=J328-L328</t>
  </si>
  <si>
    <t>=IF(J328&lt;&gt;0,M328/J328,"")</t>
  </si>
  <si>
    <t>=NL("Sum","5802 Value Entry","150 Sales Amount (Expected)","41 Source Type",$C$5,"5 Source No.",$C328,"4 Item Ledger Entry Type",$C$4,"2 Item No.","@@"&amp;$F328,"3 Posting Date",O$9)+NL("Sum","5802 Value Entry","17 Sales Amount (Actual)","41 Source Type",$C$5,"5 Source no.",$C328,"4 Item Ledger Entry Type",$C$4,"2 Item No.","@@"&amp;$F328,"3 Posting Date",O$9)</t>
  </si>
  <si>
    <t>=-NL("Sum","5802 Value Entry","151 Cost Amount (Expected)","41 Source Type",$C$5,"5 Source No.",$C328,"4 Item Ledger Entry Type",$C$4,"2 Item No.","@@"&amp;$F328,"3 Posting Date",O$9)-NL("Sum","5802 Value Entry","43 Cost Amount (Actual)","41 Source Type",$C$5,"5 Source no.",$C328,"4 Item Ledger Entry Type",$C$4,"2 Item No.","@@"&amp;$F328,"3 Posting Date",O$9)</t>
  </si>
  <si>
    <t>=O328-Q328</t>
  </si>
  <si>
    <t>=IF(O328&lt;&gt;0,R328/O328,"")</t>
  </si>
  <si>
    <t>=NL("Sum","5802 Value Entry","150 Sales Amount (Expected)","41 Source Type",$C$5,"5 Source No.",$C328,"4 Item Ledger Entry Type",$C$4,"2 Item No.","@@"&amp;$F328,"3 Posting Date",U$9)+NL("Sum","5802 Value Entry","17 Sales Amount (Actual)","41 Source Type",$C$5,"5 Source no.",$C328,"4 Item Ledger Entry Type",$C$4,"2 Item No.","@@"&amp;$F328,"3 Posting Date",U$9)</t>
  </si>
  <si>
    <t>=-NL("Sum","5802 Value Entry","151 Cost Amount (Expected)","41 Source Type",$C$5,"5 Source No.",$C328,"4 Item Ledger Entry Type",$C$4,"2 Item No.","@@"&amp;$F328,"3 Posting Date",U$9)-NL("Sum","5802 Value Entry","43 Cost Amount (Actual)","41 Source Type",$C$5,"5 Source no.",$C328,"4 Item Ledger Entry Type",$C$4,"2 Item No.","@@"&amp;$F328,"3 Posting Date",U$9)</t>
  </si>
  <si>
    <t>=U328-W328</t>
  </si>
  <si>
    <t>=IF(U328&lt;&gt;0,X328/U328,"")</t>
  </si>
  <si>
    <t>=NL("Sum","5802 Value Entry","150 Sales Amount (Expected)","41 Source Type",$C$5,"5 Source No.",$C328,"4 Item Ledger Entry Type",$C$4,"2 Item No.","@@"&amp;$F328,"3 Posting Date",Z$9)+NL("Sum","5802 Value Entry","17 Sales Amount (Actual)","41 Source Type",$C$5,"5 Source no.",$C328,"4 Item Ledger Entry Type",$C$4,"2 Item No.","@@"&amp;$F328,"3 Posting Date",Z$9)</t>
  </si>
  <si>
    <t>=-NL("Sum","5802 Value Entry","151 Cost Amount (Expected)","41 Source Type",$C$5,"5 Source No.",$C328,"4 Item Ledger Entry Type",$C$4,"2 Item No.","@@"&amp;$F328,"3 Posting Date",Z$9)-NL("Sum","5802 Value Entry","43 Cost Amount (Actual)","41 Source Type",$C$5,"5 Source no.",$C328,"4 Item Ledger Entry Type",$C$4,"2 Item No.","@@"&amp;$F328,"3 Posting Date",Z$9)</t>
  </si>
  <si>
    <t>=Z328-AB328</t>
  </si>
  <si>
    <t>=IF(Z328&lt;&gt;0,AC328/Z328,"")</t>
  </si>
  <si>
    <t>=C328</t>
  </si>
  <si>
    <t>=NL("Sum","5802 Value Entry","150 Sales Amount (Expected)","41 Source Type",$C$5,"5 Source No.",$C329,"4 Item Ledger Entry Type",$C$4,"2 Item No.","@@"&amp;$F329,"3 Posting Date",J$9)+NL("Sum","5802 Value Entry","17 Sales Amount (Actual)","41 Source Type",$C$5,"5 Source no.",$C329,"4 Item Ledger Entry Type",$C$4,"2 Item No.","@@"&amp;$F329,"3 Posting Date",J$9)</t>
  </si>
  <si>
    <t>=-NL("Sum","5802 Value Entry","151 Cost Amount (Expected)","41 Source Type",$C$5,"5 Source No.",$C329,"4 Item Ledger Entry Type",$C$4,"2 Item No.","@@"&amp;$F329,"3 Posting Date",J$9)-NL("Sum","5802 Value Entry","43 Cost Amount (Actual)","41 Source Type",$C$5,"5 Source no.",$C329,"4 Item Ledger Entry Type",$C$4,"2 Item No.","@@"&amp;$F329,"3 Posting Date",J$9)</t>
  </si>
  <si>
    <t>=J329-L329</t>
  </si>
  <si>
    <t>=IF(J329&lt;&gt;0,M329/J329,"")</t>
  </si>
  <si>
    <t>=NL("Sum","5802 Value Entry","150 Sales Amount (Expected)","41 Source Type",$C$5,"5 Source No.",$C329,"4 Item Ledger Entry Type",$C$4,"2 Item No.","@@"&amp;$F329,"3 Posting Date",O$9)+NL("Sum","5802 Value Entry","17 Sales Amount (Actual)","41 Source Type",$C$5,"5 Source no.",$C329,"4 Item Ledger Entry Type",$C$4,"2 Item No.","@@"&amp;$F329,"3 Posting Date",O$9)</t>
  </si>
  <si>
    <t>=-NL("Sum","5802 Value Entry","151 Cost Amount (Expected)","41 Source Type",$C$5,"5 Source No.",$C329,"4 Item Ledger Entry Type",$C$4,"2 Item No.","@@"&amp;$F329,"3 Posting Date",O$9)-NL("Sum","5802 Value Entry","43 Cost Amount (Actual)","41 Source Type",$C$5,"5 Source no.",$C329,"4 Item Ledger Entry Type",$C$4,"2 Item No.","@@"&amp;$F329,"3 Posting Date",O$9)</t>
  </si>
  <si>
    <t>=O329-Q329</t>
  </si>
  <si>
    <t>=IF(O329&lt;&gt;0,R329/O329,"")</t>
  </si>
  <si>
    <t>=NL("Sum","5802 Value Entry","150 Sales Amount (Expected)","41 Source Type",$C$5,"5 Source No.",$C329,"4 Item Ledger Entry Type",$C$4,"2 Item No.","@@"&amp;$F329,"3 Posting Date",U$9)+NL("Sum","5802 Value Entry","17 Sales Amount (Actual)","41 Source Type",$C$5,"5 Source no.",$C329,"4 Item Ledger Entry Type",$C$4,"2 Item No.","@@"&amp;$F329,"3 Posting Date",U$9)</t>
  </si>
  <si>
    <t>=-NL("Sum","5802 Value Entry","151 Cost Amount (Expected)","41 Source Type",$C$5,"5 Source No.",$C329,"4 Item Ledger Entry Type",$C$4,"2 Item No.","@@"&amp;$F329,"3 Posting Date",U$9)-NL("Sum","5802 Value Entry","43 Cost Amount (Actual)","41 Source Type",$C$5,"5 Source no.",$C329,"4 Item Ledger Entry Type",$C$4,"2 Item No.","@@"&amp;$F329,"3 Posting Date",U$9)</t>
  </si>
  <si>
    <t>=U329-W329</t>
  </si>
  <si>
    <t>=IF(U329&lt;&gt;0,X329/U329,"")</t>
  </si>
  <si>
    <t>=NL("Sum","5802 Value Entry","150 Sales Amount (Expected)","41 Source Type",$C$5,"5 Source No.",$C329,"4 Item Ledger Entry Type",$C$4,"2 Item No.","@@"&amp;$F329,"3 Posting Date",Z$9)+NL("Sum","5802 Value Entry","17 Sales Amount (Actual)","41 Source Type",$C$5,"5 Source no.",$C329,"4 Item Ledger Entry Type",$C$4,"2 Item No.","@@"&amp;$F329,"3 Posting Date",Z$9)</t>
  </si>
  <si>
    <t>=-NL("Sum","5802 Value Entry","151 Cost Amount (Expected)","41 Source Type",$C$5,"5 Source No.",$C329,"4 Item Ledger Entry Type",$C$4,"2 Item No.","@@"&amp;$F329,"3 Posting Date",Z$9)-NL("Sum","5802 Value Entry","43 Cost Amount (Actual)","41 Source Type",$C$5,"5 Source no.",$C329,"4 Item Ledger Entry Type",$C$4,"2 Item No.","@@"&amp;$F329,"3 Posting Date",Z$9)</t>
  </si>
  <si>
    <t>=Z329-AB329</t>
  </si>
  <si>
    <t>=IF(Z329&lt;&gt;0,AC329/Z329,"")</t>
  </si>
  <si>
    <t>=C329</t>
  </si>
  <si>
    <t>=NL("Sum","5802 Value Entry","150 Sales Amount (Expected)","41 Source Type",$C$5,"5 Source No.",$C330,"4 Item Ledger Entry Type",$C$4,"2 Item No.","@@"&amp;$F330,"3 Posting Date",J$9)+NL("Sum","5802 Value Entry","17 Sales Amount (Actual)","41 Source Type",$C$5,"5 Source no.",$C330,"4 Item Ledger Entry Type",$C$4,"2 Item No.","@@"&amp;$F330,"3 Posting Date",J$9)</t>
  </si>
  <si>
    <t>=-NL("Sum","5802 Value Entry","151 Cost Amount (Expected)","41 Source Type",$C$5,"5 Source No.",$C330,"4 Item Ledger Entry Type",$C$4,"2 Item No.","@@"&amp;$F330,"3 Posting Date",J$9)-NL("Sum","5802 Value Entry","43 Cost Amount (Actual)","41 Source Type",$C$5,"5 Source no.",$C330,"4 Item Ledger Entry Type",$C$4,"2 Item No.","@@"&amp;$F330,"3 Posting Date",J$9)</t>
  </si>
  <si>
    <t>=J330-L330</t>
  </si>
  <si>
    <t>=IF(J330&lt;&gt;0,M330/J330,"")</t>
  </si>
  <si>
    <t>=NL("Sum","5802 Value Entry","150 Sales Amount (Expected)","41 Source Type",$C$5,"5 Source No.",$C330,"4 Item Ledger Entry Type",$C$4,"2 Item No.","@@"&amp;$F330,"3 Posting Date",O$9)+NL("Sum","5802 Value Entry","17 Sales Amount (Actual)","41 Source Type",$C$5,"5 Source no.",$C330,"4 Item Ledger Entry Type",$C$4,"2 Item No.","@@"&amp;$F330,"3 Posting Date",O$9)</t>
  </si>
  <si>
    <t>=-NL("Sum","5802 Value Entry","151 Cost Amount (Expected)","41 Source Type",$C$5,"5 Source No.",$C330,"4 Item Ledger Entry Type",$C$4,"2 Item No.","@@"&amp;$F330,"3 Posting Date",O$9)-NL("Sum","5802 Value Entry","43 Cost Amount (Actual)","41 Source Type",$C$5,"5 Source no.",$C330,"4 Item Ledger Entry Type",$C$4,"2 Item No.","@@"&amp;$F330,"3 Posting Date",O$9)</t>
  </si>
  <si>
    <t>=O330-Q330</t>
  </si>
  <si>
    <t>=IF(O330&lt;&gt;0,R330/O330,"")</t>
  </si>
  <si>
    <t>=NL("Sum","5802 Value Entry","150 Sales Amount (Expected)","41 Source Type",$C$5,"5 Source No.",$C330,"4 Item Ledger Entry Type",$C$4,"2 Item No.","@@"&amp;$F330,"3 Posting Date",U$9)+NL("Sum","5802 Value Entry","17 Sales Amount (Actual)","41 Source Type",$C$5,"5 Source no.",$C330,"4 Item Ledger Entry Type",$C$4,"2 Item No.","@@"&amp;$F330,"3 Posting Date",U$9)</t>
  </si>
  <si>
    <t>=-NL("Sum","5802 Value Entry","151 Cost Amount (Expected)","41 Source Type",$C$5,"5 Source No.",$C330,"4 Item Ledger Entry Type",$C$4,"2 Item No.","@@"&amp;$F330,"3 Posting Date",U$9)-NL("Sum","5802 Value Entry","43 Cost Amount (Actual)","41 Source Type",$C$5,"5 Source no.",$C330,"4 Item Ledger Entry Type",$C$4,"2 Item No.","@@"&amp;$F330,"3 Posting Date",U$9)</t>
  </si>
  <si>
    <t>=U330-W330</t>
  </si>
  <si>
    <t>=IF(U330&lt;&gt;0,X330/U330,"")</t>
  </si>
  <si>
    <t>=NL("Sum","5802 Value Entry","150 Sales Amount (Expected)","41 Source Type",$C$5,"5 Source No.",$C330,"4 Item Ledger Entry Type",$C$4,"2 Item No.","@@"&amp;$F330,"3 Posting Date",Z$9)+NL("Sum","5802 Value Entry","17 Sales Amount (Actual)","41 Source Type",$C$5,"5 Source no.",$C330,"4 Item Ledger Entry Type",$C$4,"2 Item No.","@@"&amp;$F330,"3 Posting Date",Z$9)</t>
  </si>
  <si>
    <t>=-NL("Sum","5802 Value Entry","151 Cost Amount (Expected)","41 Source Type",$C$5,"5 Source No.",$C330,"4 Item Ledger Entry Type",$C$4,"2 Item No.","@@"&amp;$F330,"3 Posting Date",Z$9)-NL("Sum","5802 Value Entry","43 Cost Amount (Actual)","41 Source Type",$C$5,"5 Source no.",$C330,"4 Item Ledger Entry Type",$C$4,"2 Item No.","@@"&amp;$F330,"3 Posting Date",Z$9)</t>
  </si>
  <si>
    <t>=Z330-AB330</t>
  </si>
  <si>
    <t>=IF(Z330&lt;&gt;0,AC330/Z330,"")</t>
  </si>
  <si>
    <t>=C330</t>
  </si>
  <si>
    <t>=NL("Sum","5802 Value Entry","150 Sales Amount (Expected)","41 Source Type",$C$5,"5 Source No.",$C331,"4 Item Ledger Entry Type",$C$4,"2 Item No.","@@"&amp;$F331,"3 Posting Date",J$9)+NL("Sum","5802 Value Entry","17 Sales Amount (Actual)","41 Source Type",$C$5,"5 Source no.",$C331,"4 Item Ledger Entry Type",$C$4,"2 Item No.","@@"&amp;$F331,"3 Posting Date",J$9)</t>
  </si>
  <si>
    <t>=-NL("Sum","5802 Value Entry","151 Cost Amount (Expected)","41 Source Type",$C$5,"5 Source No.",$C331,"4 Item Ledger Entry Type",$C$4,"2 Item No.","@@"&amp;$F331,"3 Posting Date",J$9)-NL("Sum","5802 Value Entry","43 Cost Amount (Actual)","41 Source Type",$C$5,"5 Source no.",$C331,"4 Item Ledger Entry Type",$C$4,"2 Item No.","@@"&amp;$F331,"3 Posting Date",J$9)</t>
  </si>
  <si>
    <t>=J331-L331</t>
  </si>
  <si>
    <t>=IF(J331&lt;&gt;0,M331/J331,"")</t>
  </si>
  <si>
    <t>=NL("Sum","5802 Value Entry","150 Sales Amount (Expected)","41 Source Type",$C$5,"5 Source No.",$C331,"4 Item Ledger Entry Type",$C$4,"2 Item No.","@@"&amp;$F331,"3 Posting Date",O$9)+NL("Sum","5802 Value Entry","17 Sales Amount (Actual)","41 Source Type",$C$5,"5 Source no.",$C331,"4 Item Ledger Entry Type",$C$4,"2 Item No.","@@"&amp;$F331,"3 Posting Date",O$9)</t>
  </si>
  <si>
    <t>=-NL("Sum","5802 Value Entry","151 Cost Amount (Expected)","41 Source Type",$C$5,"5 Source No.",$C331,"4 Item Ledger Entry Type",$C$4,"2 Item No.","@@"&amp;$F331,"3 Posting Date",O$9)-NL("Sum","5802 Value Entry","43 Cost Amount (Actual)","41 Source Type",$C$5,"5 Source no.",$C331,"4 Item Ledger Entry Type",$C$4,"2 Item No.","@@"&amp;$F331,"3 Posting Date",O$9)</t>
  </si>
  <si>
    <t>=O331-Q331</t>
  </si>
  <si>
    <t>=IF(O331&lt;&gt;0,R331/O331,"")</t>
  </si>
  <si>
    <t>=NL("Sum","5802 Value Entry","150 Sales Amount (Expected)","41 Source Type",$C$5,"5 Source No.",$C331,"4 Item Ledger Entry Type",$C$4,"2 Item No.","@@"&amp;$F331,"3 Posting Date",U$9)+NL("Sum","5802 Value Entry","17 Sales Amount (Actual)","41 Source Type",$C$5,"5 Source no.",$C331,"4 Item Ledger Entry Type",$C$4,"2 Item No.","@@"&amp;$F331,"3 Posting Date",U$9)</t>
  </si>
  <si>
    <t>=-NL("Sum","5802 Value Entry","151 Cost Amount (Expected)","41 Source Type",$C$5,"5 Source No.",$C331,"4 Item Ledger Entry Type",$C$4,"2 Item No.","@@"&amp;$F331,"3 Posting Date",U$9)-NL("Sum","5802 Value Entry","43 Cost Amount (Actual)","41 Source Type",$C$5,"5 Source no.",$C331,"4 Item Ledger Entry Type",$C$4,"2 Item No.","@@"&amp;$F331,"3 Posting Date",U$9)</t>
  </si>
  <si>
    <t>=U331-W331</t>
  </si>
  <si>
    <t>=IF(U331&lt;&gt;0,X331/U331,"")</t>
  </si>
  <si>
    <t>=NL("Sum","5802 Value Entry","150 Sales Amount (Expected)","41 Source Type",$C$5,"5 Source No.",$C331,"4 Item Ledger Entry Type",$C$4,"2 Item No.","@@"&amp;$F331,"3 Posting Date",Z$9)+NL("Sum","5802 Value Entry","17 Sales Amount (Actual)","41 Source Type",$C$5,"5 Source no.",$C331,"4 Item Ledger Entry Type",$C$4,"2 Item No.","@@"&amp;$F331,"3 Posting Date",Z$9)</t>
  </si>
  <si>
    <t>=-NL("Sum","5802 Value Entry","151 Cost Amount (Expected)","41 Source Type",$C$5,"5 Source No.",$C331,"4 Item Ledger Entry Type",$C$4,"2 Item No.","@@"&amp;$F331,"3 Posting Date",Z$9)-NL("Sum","5802 Value Entry","43 Cost Amount (Actual)","41 Source Type",$C$5,"5 Source no.",$C331,"4 Item Ledger Entry Type",$C$4,"2 Item No.","@@"&amp;$F331,"3 Posting Date",Z$9)</t>
  </si>
  <si>
    <t>=Z331-AB331</t>
  </si>
  <si>
    <t>=IF(Z331&lt;&gt;0,AC331/Z331,"")</t>
  </si>
  <si>
    <t>=C331</t>
  </si>
  <si>
    <t>=NL("Sum","5802 Value Entry","150 Sales Amount (Expected)","41 Source Type",$C$5,"5 Source No.",$C332,"4 Item Ledger Entry Type",$C$4,"2 Item No.","@@"&amp;$F332,"3 Posting Date",J$9)+NL("Sum","5802 Value Entry","17 Sales Amount (Actual)","41 Source Type",$C$5,"5 Source no.",$C332,"4 Item Ledger Entry Type",$C$4,"2 Item No.","@@"&amp;$F332,"3 Posting Date",J$9)</t>
  </si>
  <si>
    <t>=-NL("Sum","5802 Value Entry","151 Cost Amount (Expected)","41 Source Type",$C$5,"5 Source No.",$C332,"4 Item Ledger Entry Type",$C$4,"2 Item No.","@@"&amp;$F332,"3 Posting Date",J$9)-NL("Sum","5802 Value Entry","43 Cost Amount (Actual)","41 Source Type",$C$5,"5 Source no.",$C332,"4 Item Ledger Entry Type",$C$4,"2 Item No.","@@"&amp;$F332,"3 Posting Date",J$9)</t>
  </si>
  <si>
    <t>=J332-L332</t>
  </si>
  <si>
    <t>=IF(J332&lt;&gt;0,M332/J332,"")</t>
  </si>
  <si>
    <t>=NL("Sum","5802 Value Entry","150 Sales Amount (Expected)","41 Source Type",$C$5,"5 Source No.",$C332,"4 Item Ledger Entry Type",$C$4,"2 Item No.","@@"&amp;$F332,"3 Posting Date",O$9)+NL("Sum","5802 Value Entry","17 Sales Amount (Actual)","41 Source Type",$C$5,"5 Source no.",$C332,"4 Item Ledger Entry Type",$C$4,"2 Item No.","@@"&amp;$F332,"3 Posting Date",O$9)</t>
  </si>
  <si>
    <t>=-NL("Sum","5802 Value Entry","151 Cost Amount (Expected)","41 Source Type",$C$5,"5 Source No.",$C332,"4 Item Ledger Entry Type",$C$4,"2 Item No.","@@"&amp;$F332,"3 Posting Date",O$9)-NL("Sum","5802 Value Entry","43 Cost Amount (Actual)","41 Source Type",$C$5,"5 Source no.",$C332,"4 Item Ledger Entry Type",$C$4,"2 Item No.","@@"&amp;$F332,"3 Posting Date",O$9)</t>
  </si>
  <si>
    <t>=O332-Q332</t>
  </si>
  <si>
    <t>=IF(O332&lt;&gt;0,R332/O332,"")</t>
  </si>
  <si>
    <t>=NL("Sum","5802 Value Entry","150 Sales Amount (Expected)","41 Source Type",$C$5,"5 Source No.",$C332,"4 Item Ledger Entry Type",$C$4,"2 Item No.","@@"&amp;$F332,"3 Posting Date",U$9)+NL("Sum","5802 Value Entry","17 Sales Amount (Actual)","41 Source Type",$C$5,"5 Source no.",$C332,"4 Item Ledger Entry Type",$C$4,"2 Item No.","@@"&amp;$F332,"3 Posting Date",U$9)</t>
  </si>
  <si>
    <t>=-NL("Sum","5802 Value Entry","151 Cost Amount (Expected)","41 Source Type",$C$5,"5 Source No.",$C332,"4 Item Ledger Entry Type",$C$4,"2 Item No.","@@"&amp;$F332,"3 Posting Date",U$9)-NL("Sum","5802 Value Entry","43 Cost Amount (Actual)","41 Source Type",$C$5,"5 Source no.",$C332,"4 Item Ledger Entry Type",$C$4,"2 Item No.","@@"&amp;$F332,"3 Posting Date",U$9)</t>
  </si>
  <si>
    <t>=U332-W332</t>
  </si>
  <si>
    <t>=IF(U332&lt;&gt;0,X332/U332,"")</t>
  </si>
  <si>
    <t>=NL("Sum","5802 Value Entry","150 Sales Amount (Expected)","41 Source Type",$C$5,"5 Source No.",$C332,"4 Item Ledger Entry Type",$C$4,"2 Item No.","@@"&amp;$F332,"3 Posting Date",Z$9)+NL("Sum","5802 Value Entry","17 Sales Amount (Actual)","41 Source Type",$C$5,"5 Source no.",$C332,"4 Item Ledger Entry Type",$C$4,"2 Item No.","@@"&amp;$F332,"3 Posting Date",Z$9)</t>
  </si>
  <si>
    <t>=-NL("Sum","5802 Value Entry","151 Cost Amount (Expected)","41 Source Type",$C$5,"5 Source No.",$C332,"4 Item Ledger Entry Type",$C$4,"2 Item No.","@@"&amp;$F332,"3 Posting Date",Z$9)-NL("Sum","5802 Value Entry","43 Cost Amount (Actual)","41 Source Type",$C$5,"5 Source no.",$C332,"4 Item Ledger Entry Type",$C$4,"2 Item No.","@@"&amp;$F332,"3 Posting Date",Z$9)</t>
  </si>
  <si>
    <t>=Z332-AB332</t>
  </si>
  <si>
    <t>=IF(Z332&lt;&gt;0,AC332/Z332,"")</t>
  </si>
  <si>
    <t>=C332</t>
  </si>
  <si>
    <t>=NL("Sum","5802 Value Entry","150 Sales Amount (Expected)","41 Source Type",$C$5,"5 Source No.",$C333,"4 Item Ledger Entry Type",$C$4,"2 Item No.","@@"&amp;$F333,"3 Posting Date",J$9)+NL("Sum","5802 Value Entry","17 Sales Amount (Actual)","41 Source Type",$C$5,"5 Source no.",$C333,"4 Item Ledger Entry Type",$C$4,"2 Item No.","@@"&amp;$F333,"3 Posting Date",J$9)</t>
  </si>
  <si>
    <t>=-NL("Sum","5802 Value Entry","151 Cost Amount (Expected)","41 Source Type",$C$5,"5 Source No.",$C333,"4 Item Ledger Entry Type",$C$4,"2 Item No.","@@"&amp;$F333,"3 Posting Date",J$9)-NL("Sum","5802 Value Entry","43 Cost Amount (Actual)","41 Source Type",$C$5,"5 Source no.",$C333,"4 Item Ledger Entry Type",$C$4,"2 Item No.","@@"&amp;$F333,"3 Posting Date",J$9)</t>
  </si>
  <si>
    <t>=J333-L333</t>
  </si>
  <si>
    <t>=IF(J333&lt;&gt;0,M333/J333,"")</t>
  </si>
  <si>
    <t>=NL("Sum","5802 Value Entry","150 Sales Amount (Expected)","41 Source Type",$C$5,"5 Source No.",$C333,"4 Item Ledger Entry Type",$C$4,"2 Item No.","@@"&amp;$F333,"3 Posting Date",O$9)+NL("Sum","5802 Value Entry","17 Sales Amount (Actual)","41 Source Type",$C$5,"5 Source no.",$C333,"4 Item Ledger Entry Type",$C$4,"2 Item No.","@@"&amp;$F333,"3 Posting Date",O$9)</t>
  </si>
  <si>
    <t>=-NL("Sum","5802 Value Entry","151 Cost Amount (Expected)","41 Source Type",$C$5,"5 Source No.",$C333,"4 Item Ledger Entry Type",$C$4,"2 Item No.","@@"&amp;$F333,"3 Posting Date",O$9)-NL("Sum","5802 Value Entry","43 Cost Amount (Actual)","41 Source Type",$C$5,"5 Source no.",$C333,"4 Item Ledger Entry Type",$C$4,"2 Item No.","@@"&amp;$F333,"3 Posting Date",O$9)</t>
  </si>
  <si>
    <t>=O333-Q333</t>
  </si>
  <si>
    <t>=IF(O333&lt;&gt;0,R333/O333,"")</t>
  </si>
  <si>
    <t>=NL("Sum","5802 Value Entry","150 Sales Amount (Expected)","41 Source Type",$C$5,"5 Source No.",$C333,"4 Item Ledger Entry Type",$C$4,"2 Item No.","@@"&amp;$F333,"3 Posting Date",U$9)+NL("Sum","5802 Value Entry","17 Sales Amount (Actual)","41 Source Type",$C$5,"5 Source no.",$C333,"4 Item Ledger Entry Type",$C$4,"2 Item No.","@@"&amp;$F333,"3 Posting Date",U$9)</t>
  </si>
  <si>
    <t>=-NL("Sum","5802 Value Entry","151 Cost Amount (Expected)","41 Source Type",$C$5,"5 Source No.",$C333,"4 Item Ledger Entry Type",$C$4,"2 Item No.","@@"&amp;$F333,"3 Posting Date",U$9)-NL("Sum","5802 Value Entry","43 Cost Amount (Actual)","41 Source Type",$C$5,"5 Source no.",$C333,"4 Item Ledger Entry Type",$C$4,"2 Item No.","@@"&amp;$F333,"3 Posting Date",U$9)</t>
  </si>
  <si>
    <t>=U333-W333</t>
  </si>
  <si>
    <t>=IF(U333&lt;&gt;0,X333/U333,"")</t>
  </si>
  <si>
    <t>=NL("Sum","5802 Value Entry","150 Sales Amount (Expected)","41 Source Type",$C$5,"5 Source No.",$C333,"4 Item Ledger Entry Type",$C$4,"2 Item No.","@@"&amp;$F333,"3 Posting Date",Z$9)+NL("Sum","5802 Value Entry","17 Sales Amount (Actual)","41 Source Type",$C$5,"5 Source no.",$C333,"4 Item Ledger Entry Type",$C$4,"2 Item No.","@@"&amp;$F333,"3 Posting Date",Z$9)</t>
  </si>
  <si>
    <t>=-NL("Sum","5802 Value Entry","151 Cost Amount (Expected)","41 Source Type",$C$5,"5 Source No.",$C333,"4 Item Ledger Entry Type",$C$4,"2 Item No.","@@"&amp;$F333,"3 Posting Date",Z$9)-NL("Sum","5802 Value Entry","43 Cost Amount (Actual)","41 Source Type",$C$5,"5 Source no.",$C333,"4 Item Ledger Entry Type",$C$4,"2 Item No.","@@"&amp;$F333,"3 Posting Date",Z$9)</t>
  </si>
  <si>
    <t>=Z333-AB333</t>
  </si>
  <si>
    <t>=IF(Z333&lt;&gt;0,AC333/Z333,"")</t>
  </si>
  <si>
    <t>=C333</t>
  </si>
  <si>
    <t>=NL("Sum","5802 Value Entry","150 Sales Amount (Expected)","41 Source Type",$C$5,"5 Source No.",$C334,"4 Item Ledger Entry Type",$C$4,"2 Item No.","@@"&amp;$F334,"3 Posting Date",J$9)+NL("Sum","5802 Value Entry","17 Sales Amount (Actual)","41 Source Type",$C$5,"5 Source no.",$C334,"4 Item Ledger Entry Type",$C$4,"2 Item No.","@@"&amp;$F334,"3 Posting Date",J$9)</t>
  </si>
  <si>
    <t>=-NL("Sum","5802 Value Entry","151 Cost Amount (Expected)","41 Source Type",$C$5,"5 Source No.",$C334,"4 Item Ledger Entry Type",$C$4,"2 Item No.","@@"&amp;$F334,"3 Posting Date",J$9)-NL("Sum","5802 Value Entry","43 Cost Amount (Actual)","41 Source Type",$C$5,"5 Source no.",$C334,"4 Item Ledger Entry Type",$C$4,"2 Item No.","@@"&amp;$F334,"3 Posting Date",J$9)</t>
  </si>
  <si>
    <t>=J334-L334</t>
  </si>
  <si>
    <t>=IF(J334&lt;&gt;0,M334/J334,"")</t>
  </si>
  <si>
    <t>=NL("Sum","5802 Value Entry","150 Sales Amount (Expected)","41 Source Type",$C$5,"5 Source No.",$C334,"4 Item Ledger Entry Type",$C$4,"2 Item No.","@@"&amp;$F334,"3 Posting Date",O$9)+NL("Sum","5802 Value Entry","17 Sales Amount (Actual)","41 Source Type",$C$5,"5 Source no.",$C334,"4 Item Ledger Entry Type",$C$4,"2 Item No.","@@"&amp;$F334,"3 Posting Date",O$9)</t>
  </si>
  <si>
    <t>=-NL("Sum","5802 Value Entry","151 Cost Amount (Expected)","41 Source Type",$C$5,"5 Source No.",$C334,"4 Item Ledger Entry Type",$C$4,"2 Item No.","@@"&amp;$F334,"3 Posting Date",O$9)-NL("Sum","5802 Value Entry","43 Cost Amount (Actual)","41 Source Type",$C$5,"5 Source no.",$C334,"4 Item Ledger Entry Type",$C$4,"2 Item No.","@@"&amp;$F334,"3 Posting Date",O$9)</t>
  </si>
  <si>
    <t>=O334-Q334</t>
  </si>
  <si>
    <t>=IF(O334&lt;&gt;0,R334/O334,"")</t>
  </si>
  <si>
    <t>=NL("Sum","5802 Value Entry","150 Sales Amount (Expected)","41 Source Type",$C$5,"5 Source No.",$C334,"4 Item Ledger Entry Type",$C$4,"2 Item No.","@@"&amp;$F334,"3 Posting Date",U$9)+NL("Sum","5802 Value Entry","17 Sales Amount (Actual)","41 Source Type",$C$5,"5 Source no.",$C334,"4 Item Ledger Entry Type",$C$4,"2 Item No.","@@"&amp;$F334,"3 Posting Date",U$9)</t>
  </si>
  <si>
    <t>=-NL("Sum","5802 Value Entry","151 Cost Amount (Expected)","41 Source Type",$C$5,"5 Source No.",$C334,"4 Item Ledger Entry Type",$C$4,"2 Item No.","@@"&amp;$F334,"3 Posting Date",U$9)-NL("Sum","5802 Value Entry","43 Cost Amount (Actual)","41 Source Type",$C$5,"5 Source no.",$C334,"4 Item Ledger Entry Type",$C$4,"2 Item No.","@@"&amp;$F334,"3 Posting Date",U$9)</t>
  </si>
  <si>
    <t>=U334-W334</t>
  </si>
  <si>
    <t>=IF(U334&lt;&gt;0,X334/U334,"")</t>
  </si>
  <si>
    <t>=NL("Sum","5802 Value Entry","150 Sales Amount (Expected)","41 Source Type",$C$5,"5 Source No.",$C334,"4 Item Ledger Entry Type",$C$4,"2 Item No.","@@"&amp;$F334,"3 Posting Date",Z$9)+NL("Sum","5802 Value Entry","17 Sales Amount (Actual)","41 Source Type",$C$5,"5 Source no.",$C334,"4 Item Ledger Entry Type",$C$4,"2 Item No.","@@"&amp;$F334,"3 Posting Date",Z$9)</t>
  </si>
  <si>
    <t>=-NL("Sum","5802 Value Entry","151 Cost Amount (Expected)","41 Source Type",$C$5,"5 Source No.",$C334,"4 Item Ledger Entry Type",$C$4,"2 Item No.","@@"&amp;$F334,"3 Posting Date",Z$9)-NL("Sum","5802 Value Entry","43 Cost Amount (Actual)","41 Source Type",$C$5,"5 Source no.",$C334,"4 Item Ledger Entry Type",$C$4,"2 Item No.","@@"&amp;$F334,"3 Posting Date",Z$9)</t>
  </si>
  <si>
    <t>=Z334-AB334</t>
  </si>
  <si>
    <t>=IF(Z334&lt;&gt;0,AC334/Z334,"")</t>
  </si>
  <si>
    <t>=C335</t>
  </si>
  <si>
    <t>=J336-L336</t>
  </si>
  <si>
    <t>=IF(J336&lt;&gt;0,M336/J336,"")</t>
  </si>
  <si>
    <t>=O336-Q336</t>
  </si>
  <si>
    <t>=IF(O336&lt;&gt;0,R336/O336,"")</t>
  </si>
  <si>
    <t>=U336-W336</t>
  </si>
  <si>
    <t>=IF(U336&lt;&gt;0,X336/U336,"")</t>
  </si>
  <si>
    <t>=Z336-AB336</t>
  </si>
  <si>
    <t>=IF(Z336&lt;&gt;0,AC336/Z336,"")</t>
  </si>
  <si>
    <t>=C338</t>
  </si>
  <si>
    <t>=C339</t>
  </si>
  <si>
    <t>=NL("Sum","5802 Value Entry","150 Sales Amount (Expected)","41 Source Type",$C$5,"5 Source No.",$C340,"4 Item Ledger Entry Type",$C$4,"2 Item No.","@@"&amp;$F340,"3 Posting Date",J$9)+NL("Sum","5802 Value Entry","17 Sales Amount (Actual)","41 Source Type",$C$5,"5 Source no.",$C340,"4 Item Ledger Entry Type",$C$4,"2 Item No.","@@"&amp;$F340,"3 Posting Date",J$9)</t>
  </si>
  <si>
    <t>=-NL("Sum","5802 Value Entry","151 Cost Amount (Expected)","41 Source Type",$C$5,"5 Source No.",$C340,"4 Item Ledger Entry Type",$C$4,"2 Item No.","@@"&amp;$F340,"3 Posting Date",J$9)-NL("Sum","5802 Value Entry","43 Cost Amount (Actual)","41 Source Type",$C$5,"5 Source no.",$C340,"4 Item Ledger Entry Type",$C$4,"2 Item No.","@@"&amp;$F340,"3 Posting Date",J$9)</t>
  </si>
  <si>
    <t>=J340-L340</t>
  </si>
  <si>
    <t>=IF(J340&lt;&gt;0,M340/J340,"")</t>
  </si>
  <si>
    <t>=NL("Sum","5802 Value Entry","150 Sales Amount (Expected)","41 Source Type",$C$5,"5 Source No.",$C340,"4 Item Ledger Entry Type",$C$4,"2 Item No.","@@"&amp;$F340,"3 Posting Date",O$9)+NL("Sum","5802 Value Entry","17 Sales Amount (Actual)","41 Source Type",$C$5,"5 Source no.",$C340,"4 Item Ledger Entry Type",$C$4,"2 Item No.","@@"&amp;$F340,"3 Posting Date",O$9)</t>
  </si>
  <si>
    <t>=-NL("Sum","5802 Value Entry","151 Cost Amount (Expected)","41 Source Type",$C$5,"5 Source No.",$C340,"4 Item Ledger Entry Type",$C$4,"2 Item No.","@@"&amp;$F340,"3 Posting Date",O$9)-NL("Sum","5802 Value Entry","43 Cost Amount (Actual)","41 Source Type",$C$5,"5 Source no.",$C340,"4 Item Ledger Entry Type",$C$4,"2 Item No.","@@"&amp;$F340,"3 Posting Date",O$9)</t>
  </si>
  <si>
    <t>=O340-Q340</t>
  </si>
  <si>
    <t>=IF(O340&lt;&gt;0,R340/O340,"")</t>
  </si>
  <si>
    <t>=NL("Sum","5802 Value Entry","150 Sales Amount (Expected)","41 Source Type",$C$5,"5 Source No.",$C340,"4 Item Ledger Entry Type",$C$4,"2 Item No.","@@"&amp;$F340,"3 Posting Date",U$9)+NL("Sum","5802 Value Entry","17 Sales Amount (Actual)","41 Source Type",$C$5,"5 Source no.",$C340,"4 Item Ledger Entry Type",$C$4,"2 Item No.","@@"&amp;$F340,"3 Posting Date",U$9)</t>
  </si>
  <si>
    <t>=-NL("Sum","5802 Value Entry","151 Cost Amount (Expected)","41 Source Type",$C$5,"5 Source No.",$C340,"4 Item Ledger Entry Type",$C$4,"2 Item No.","@@"&amp;$F340,"3 Posting Date",U$9)-NL("Sum","5802 Value Entry","43 Cost Amount (Actual)","41 Source Type",$C$5,"5 Source no.",$C340,"4 Item Ledger Entry Type",$C$4,"2 Item No.","@@"&amp;$F340,"3 Posting Date",U$9)</t>
  </si>
  <si>
    <t>=U340-W340</t>
  </si>
  <si>
    <t>=IF(U340&lt;&gt;0,X340/U340,"")</t>
  </si>
  <si>
    <t>=NL("Sum","5802 Value Entry","150 Sales Amount (Expected)","41 Source Type",$C$5,"5 Source No.",$C340,"4 Item Ledger Entry Type",$C$4,"2 Item No.","@@"&amp;$F340,"3 Posting Date",Z$9)+NL("Sum","5802 Value Entry","17 Sales Amount (Actual)","41 Source Type",$C$5,"5 Source no.",$C340,"4 Item Ledger Entry Type",$C$4,"2 Item No.","@@"&amp;$F340,"3 Posting Date",Z$9)</t>
  </si>
  <si>
    <t>=-NL("Sum","5802 Value Entry","151 Cost Amount (Expected)","41 Source Type",$C$5,"5 Source No.",$C340,"4 Item Ledger Entry Type",$C$4,"2 Item No.","@@"&amp;$F340,"3 Posting Date",Z$9)-NL("Sum","5802 Value Entry","43 Cost Amount (Actual)","41 Source Type",$C$5,"5 Source no.",$C340,"4 Item Ledger Entry Type",$C$4,"2 Item No.","@@"&amp;$F340,"3 Posting Date",Z$9)</t>
  </si>
  <si>
    <t>=Z340-AB340</t>
  </si>
  <si>
    <t>=IF(Z340&lt;&gt;0,AC340/Z340,"")</t>
  </si>
  <si>
    <t>=C340</t>
  </si>
  <si>
    <t>=NL("Sum","5802 Value Entry","150 Sales Amount (Expected)","41 Source Type",$C$5,"5 Source No.",$C341,"4 Item Ledger Entry Type",$C$4,"2 Item No.","@@"&amp;$F341,"3 Posting Date",J$9)+NL("Sum","5802 Value Entry","17 Sales Amount (Actual)","41 Source Type",$C$5,"5 Source no.",$C341,"4 Item Ledger Entry Type",$C$4,"2 Item No.","@@"&amp;$F341,"3 Posting Date",J$9)</t>
  </si>
  <si>
    <t>=-NL("Sum","5802 Value Entry","151 Cost Amount (Expected)","41 Source Type",$C$5,"5 Source No.",$C341,"4 Item Ledger Entry Type",$C$4,"2 Item No.","@@"&amp;$F341,"3 Posting Date",J$9)-NL("Sum","5802 Value Entry","43 Cost Amount (Actual)","41 Source Type",$C$5,"5 Source no.",$C341,"4 Item Ledger Entry Type",$C$4,"2 Item No.","@@"&amp;$F341,"3 Posting Date",J$9)</t>
  </si>
  <si>
    <t>=J341-L341</t>
  </si>
  <si>
    <t>=IF(J341&lt;&gt;0,M341/J341,"")</t>
  </si>
  <si>
    <t>=NL("Sum","5802 Value Entry","150 Sales Amount (Expected)","41 Source Type",$C$5,"5 Source No.",$C341,"4 Item Ledger Entry Type",$C$4,"2 Item No.","@@"&amp;$F341,"3 Posting Date",O$9)+NL("Sum","5802 Value Entry","17 Sales Amount (Actual)","41 Source Type",$C$5,"5 Source no.",$C341,"4 Item Ledger Entry Type",$C$4,"2 Item No.","@@"&amp;$F341,"3 Posting Date",O$9)</t>
  </si>
  <si>
    <t>=-NL("Sum","5802 Value Entry","151 Cost Amount (Expected)","41 Source Type",$C$5,"5 Source No.",$C341,"4 Item Ledger Entry Type",$C$4,"2 Item No.","@@"&amp;$F341,"3 Posting Date",O$9)-NL("Sum","5802 Value Entry","43 Cost Amount (Actual)","41 Source Type",$C$5,"5 Source no.",$C341,"4 Item Ledger Entry Type",$C$4,"2 Item No.","@@"&amp;$F341,"3 Posting Date",O$9)</t>
  </si>
  <si>
    <t>=O341-Q341</t>
  </si>
  <si>
    <t>=IF(O341&lt;&gt;0,R341/O341,"")</t>
  </si>
  <si>
    <t>=NL("Sum","5802 Value Entry","150 Sales Amount (Expected)","41 Source Type",$C$5,"5 Source No.",$C341,"4 Item Ledger Entry Type",$C$4,"2 Item No.","@@"&amp;$F341,"3 Posting Date",U$9)+NL("Sum","5802 Value Entry","17 Sales Amount (Actual)","41 Source Type",$C$5,"5 Source no.",$C341,"4 Item Ledger Entry Type",$C$4,"2 Item No.","@@"&amp;$F341,"3 Posting Date",U$9)</t>
  </si>
  <si>
    <t>=-NL("Sum","5802 Value Entry","151 Cost Amount (Expected)","41 Source Type",$C$5,"5 Source No.",$C341,"4 Item Ledger Entry Type",$C$4,"2 Item No.","@@"&amp;$F341,"3 Posting Date",U$9)-NL("Sum","5802 Value Entry","43 Cost Amount (Actual)","41 Source Type",$C$5,"5 Source no.",$C341,"4 Item Ledger Entry Type",$C$4,"2 Item No.","@@"&amp;$F341,"3 Posting Date",U$9)</t>
  </si>
  <si>
    <t>=U341-W341</t>
  </si>
  <si>
    <t>=IF(U341&lt;&gt;0,X341/U341,"")</t>
  </si>
  <si>
    <t>=NL("Sum","5802 Value Entry","150 Sales Amount (Expected)","41 Source Type",$C$5,"5 Source No.",$C341,"4 Item Ledger Entry Type",$C$4,"2 Item No.","@@"&amp;$F341,"3 Posting Date",Z$9)+NL("Sum","5802 Value Entry","17 Sales Amount (Actual)","41 Source Type",$C$5,"5 Source no.",$C341,"4 Item Ledger Entry Type",$C$4,"2 Item No.","@@"&amp;$F341,"3 Posting Date",Z$9)</t>
  </si>
  <si>
    <t>=-NL("Sum","5802 Value Entry","151 Cost Amount (Expected)","41 Source Type",$C$5,"5 Source No.",$C341,"4 Item Ledger Entry Type",$C$4,"2 Item No.","@@"&amp;$F341,"3 Posting Date",Z$9)-NL("Sum","5802 Value Entry","43 Cost Amount (Actual)","41 Source Type",$C$5,"5 Source no.",$C341,"4 Item Ledger Entry Type",$C$4,"2 Item No.","@@"&amp;$F341,"3 Posting Date",Z$9)</t>
  </si>
  <si>
    <t>=Z341-AB341</t>
  </si>
  <si>
    <t>=IF(Z341&lt;&gt;0,AC341/Z341,"")</t>
  </si>
  <si>
    <t>=C341</t>
  </si>
  <si>
    <t>=NL("Sum","5802 Value Entry","150 Sales Amount (Expected)","41 Source Type",$C$5,"5 Source No.",$C342,"4 Item Ledger Entry Type",$C$4,"2 Item No.","@@"&amp;$F342,"3 Posting Date",J$9)+NL("Sum","5802 Value Entry","17 Sales Amount (Actual)","41 Source Type",$C$5,"5 Source no.",$C342,"4 Item Ledger Entry Type",$C$4,"2 Item No.","@@"&amp;$F342,"3 Posting Date",J$9)</t>
  </si>
  <si>
    <t>=-NL("Sum","5802 Value Entry","151 Cost Amount (Expected)","41 Source Type",$C$5,"5 Source No.",$C342,"4 Item Ledger Entry Type",$C$4,"2 Item No.","@@"&amp;$F342,"3 Posting Date",J$9)-NL("Sum","5802 Value Entry","43 Cost Amount (Actual)","41 Source Type",$C$5,"5 Source no.",$C342,"4 Item Ledger Entry Type",$C$4,"2 Item No.","@@"&amp;$F342,"3 Posting Date",J$9)</t>
  </si>
  <si>
    <t>=J342-L342</t>
  </si>
  <si>
    <t>=IF(J342&lt;&gt;0,M342/J342,"")</t>
  </si>
  <si>
    <t>=NL("Sum","5802 Value Entry","150 Sales Amount (Expected)","41 Source Type",$C$5,"5 Source No.",$C342,"4 Item Ledger Entry Type",$C$4,"2 Item No.","@@"&amp;$F342,"3 Posting Date",O$9)+NL("Sum","5802 Value Entry","17 Sales Amount (Actual)","41 Source Type",$C$5,"5 Source no.",$C342,"4 Item Ledger Entry Type",$C$4,"2 Item No.","@@"&amp;$F342,"3 Posting Date",O$9)</t>
  </si>
  <si>
    <t>=-NL("Sum","5802 Value Entry","151 Cost Amount (Expected)","41 Source Type",$C$5,"5 Source No.",$C342,"4 Item Ledger Entry Type",$C$4,"2 Item No.","@@"&amp;$F342,"3 Posting Date",O$9)-NL("Sum","5802 Value Entry","43 Cost Amount (Actual)","41 Source Type",$C$5,"5 Source no.",$C342,"4 Item Ledger Entry Type",$C$4,"2 Item No.","@@"&amp;$F342,"3 Posting Date",O$9)</t>
  </si>
  <si>
    <t>=O342-Q342</t>
  </si>
  <si>
    <t>=IF(O342&lt;&gt;0,R342/O342,"")</t>
  </si>
  <si>
    <t>=NL("Sum","5802 Value Entry","150 Sales Amount (Expected)","41 Source Type",$C$5,"5 Source No.",$C342,"4 Item Ledger Entry Type",$C$4,"2 Item No.","@@"&amp;$F342,"3 Posting Date",U$9)+NL("Sum","5802 Value Entry","17 Sales Amount (Actual)","41 Source Type",$C$5,"5 Source no.",$C342,"4 Item Ledger Entry Type",$C$4,"2 Item No.","@@"&amp;$F342,"3 Posting Date",U$9)</t>
  </si>
  <si>
    <t>=-NL("Sum","5802 Value Entry","151 Cost Amount (Expected)","41 Source Type",$C$5,"5 Source No.",$C342,"4 Item Ledger Entry Type",$C$4,"2 Item No.","@@"&amp;$F342,"3 Posting Date",U$9)-NL("Sum","5802 Value Entry","43 Cost Amount (Actual)","41 Source Type",$C$5,"5 Source no.",$C342,"4 Item Ledger Entry Type",$C$4,"2 Item No.","@@"&amp;$F342,"3 Posting Date",U$9)</t>
  </si>
  <si>
    <t>=U342-W342</t>
  </si>
  <si>
    <t>=IF(U342&lt;&gt;0,X342/U342,"")</t>
  </si>
  <si>
    <t>=NL("Sum","5802 Value Entry","150 Sales Amount (Expected)","41 Source Type",$C$5,"5 Source No.",$C342,"4 Item Ledger Entry Type",$C$4,"2 Item No.","@@"&amp;$F342,"3 Posting Date",Z$9)+NL("Sum","5802 Value Entry","17 Sales Amount (Actual)","41 Source Type",$C$5,"5 Source no.",$C342,"4 Item Ledger Entry Type",$C$4,"2 Item No.","@@"&amp;$F342,"3 Posting Date",Z$9)</t>
  </si>
  <si>
    <t>=-NL("Sum","5802 Value Entry","151 Cost Amount (Expected)","41 Source Type",$C$5,"5 Source No.",$C342,"4 Item Ledger Entry Type",$C$4,"2 Item No.","@@"&amp;$F342,"3 Posting Date",Z$9)-NL("Sum","5802 Value Entry","43 Cost Amount (Actual)","41 Source Type",$C$5,"5 Source no.",$C342,"4 Item Ledger Entry Type",$C$4,"2 Item No.","@@"&amp;$F342,"3 Posting Date",Z$9)</t>
  </si>
  <si>
    <t>=Z342-AB342</t>
  </si>
  <si>
    <t>=IF(Z342&lt;&gt;0,AC342/Z342,"")</t>
  </si>
  <si>
    <t>=C342</t>
  </si>
  <si>
    <t>=NL("Sum","5802 Value Entry","150 Sales Amount (Expected)","41 Source Type",$C$5,"5 Source No.",$C343,"4 Item Ledger Entry Type",$C$4,"2 Item No.","@@"&amp;$F343,"3 Posting Date",J$9)+NL("Sum","5802 Value Entry","17 Sales Amount (Actual)","41 Source Type",$C$5,"5 Source no.",$C343,"4 Item Ledger Entry Type",$C$4,"2 Item No.","@@"&amp;$F343,"3 Posting Date",J$9)</t>
  </si>
  <si>
    <t>=-NL("Sum","5802 Value Entry","151 Cost Amount (Expected)","41 Source Type",$C$5,"5 Source No.",$C343,"4 Item Ledger Entry Type",$C$4,"2 Item No.","@@"&amp;$F343,"3 Posting Date",J$9)-NL("Sum","5802 Value Entry","43 Cost Amount (Actual)","41 Source Type",$C$5,"5 Source no.",$C343,"4 Item Ledger Entry Type",$C$4,"2 Item No.","@@"&amp;$F343,"3 Posting Date",J$9)</t>
  </si>
  <si>
    <t>=J343-L343</t>
  </si>
  <si>
    <t>=IF(J343&lt;&gt;0,M343/J343,"")</t>
  </si>
  <si>
    <t>=NL("Sum","5802 Value Entry","150 Sales Amount (Expected)","41 Source Type",$C$5,"5 Source No.",$C343,"4 Item Ledger Entry Type",$C$4,"2 Item No.","@@"&amp;$F343,"3 Posting Date",O$9)+NL("Sum","5802 Value Entry","17 Sales Amount (Actual)","41 Source Type",$C$5,"5 Source no.",$C343,"4 Item Ledger Entry Type",$C$4,"2 Item No.","@@"&amp;$F343,"3 Posting Date",O$9)</t>
  </si>
  <si>
    <t>=-NL("Sum","5802 Value Entry","151 Cost Amount (Expected)","41 Source Type",$C$5,"5 Source No.",$C343,"4 Item Ledger Entry Type",$C$4,"2 Item No.","@@"&amp;$F343,"3 Posting Date",O$9)-NL("Sum","5802 Value Entry","43 Cost Amount (Actual)","41 Source Type",$C$5,"5 Source no.",$C343,"4 Item Ledger Entry Type",$C$4,"2 Item No.","@@"&amp;$F343,"3 Posting Date",O$9)</t>
  </si>
  <si>
    <t>=O343-Q343</t>
  </si>
  <si>
    <t>=IF(O343&lt;&gt;0,R343/O343,"")</t>
  </si>
  <si>
    <t>=NL("Sum","5802 Value Entry","150 Sales Amount (Expected)","41 Source Type",$C$5,"5 Source No.",$C343,"4 Item Ledger Entry Type",$C$4,"2 Item No.","@@"&amp;$F343,"3 Posting Date",U$9)+NL("Sum","5802 Value Entry","17 Sales Amount (Actual)","41 Source Type",$C$5,"5 Source no.",$C343,"4 Item Ledger Entry Type",$C$4,"2 Item No.","@@"&amp;$F343,"3 Posting Date",U$9)</t>
  </si>
  <si>
    <t>=-NL("Sum","5802 Value Entry","151 Cost Amount (Expected)","41 Source Type",$C$5,"5 Source No.",$C343,"4 Item Ledger Entry Type",$C$4,"2 Item No.","@@"&amp;$F343,"3 Posting Date",U$9)-NL("Sum","5802 Value Entry","43 Cost Amount (Actual)","41 Source Type",$C$5,"5 Source no.",$C343,"4 Item Ledger Entry Type",$C$4,"2 Item No.","@@"&amp;$F343,"3 Posting Date",U$9)</t>
  </si>
  <si>
    <t>=U343-W343</t>
  </si>
  <si>
    <t>=IF(U343&lt;&gt;0,X343/U343,"")</t>
  </si>
  <si>
    <t>=NL("Sum","5802 Value Entry","150 Sales Amount (Expected)","41 Source Type",$C$5,"5 Source No.",$C343,"4 Item Ledger Entry Type",$C$4,"2 Item No.","@@"&amp;$F343,"3 Posting Date",Z$9)+NL("Sum","5802 Value Entry","17 Sales Amount (Actual)","41 Source Type",$C$5,"5 Source no.",$C343,"4 Item Ledger Entry Type",$C$4,"2 Item No.","@@"&amp;$F343,"3 Posting Date",Z$9)</t>
  </si>
  <si>
    <t>=-NL("Sum","5802 Value Entry","151 Cost Amount (Expected)","41 Source Type",$C$5,"5 Source No.",$C343,"4 Item Ledger Entry Type",$C$4,"2 Item No.","@@"&amp;$F343,"3 Posting Date",Z$9)-NL("Sum","5802 Value Entry","43 Cost Amount (Actual)","41 Source Type",$C$5,"5 Source no.",$C343,"4 Item Ledger Entry Type",$C$4,"2 Item No.","@@"&amp;$F343,"3 Posting Date",Z$9)</t>
  </si>
  <si>
    <t>=Z343-AB343</t>
  </si>
  <si>
    <t>=IF(Z343&lt;&gt;0,AC343/Z343,"")</t>
  </si>
  <si>
    <t>=C343</t>
  </si>
  <si>
    <t>=NL("Sum","5802 Value Entry","150 Sales Amount (Expected)","41 Source Type",$C$5,"5 Source No.",$C344,"4 Item Ledger Entry Type",$C$4,"2 Item No.","@@"&amp;$F344,"3 Posting Date",J$9)+NL("Sum","5802 Value Entry","17 Sales Amount (Actual)","41 Source Type",$C$5,"5 Source no.",$C344,"4 Item Ledger Entry Type",$C$4,"2 Item No.","@@"&amp;$F344,"3 Posting Date",J$9)</t>
  </si>
  <si>
    <t>=-NL("Sum","5802 Value Entry","151 Cost Amount (Expected)","41 Source Type",$C$5,"5 Source No.",$C344,"4 Item Ledger Entry Type",$C$4,"2 Item No.","@@"&amp;$F344,"3 Posting Date",J$9)-NL("Sum","5802 Value Entry","43 Cost Amount (Actual)","41 Source Type",$C$5,"5 Source no.",$C344,"4 Item Ledger Entry Type",$C$4,"2 Item No.","@@"&amp;$F344,"3 Posting Date",J$9)</t>
  </si>
  <si>
    <t>=J344-L344</t>
  </si>
  <si>
    <t>=IF(J344&lt;&gt;0,M344/J344,"")</t>
  </si>
  <si>
    <t>=NL("Sum","5802 Value Entry","150 Sales Amount (Expected)","41 Source Type",$C$5,"5 Source No.",$C344,"4 Item Ledger Entry Type",$C$4,"2 Item No.","@@"&amp;$F344,"3 Posting Date",O$9)+NL("Sum","5802 Value Entry","17 Sales Amount (Actual)","41 Source Type",$C$5,"5 Source no.",$C344,"4 Item Ledger Entry Type",$C$4,"2 Item No.","@@"&amp;$F344,"3 Posting Date",O$9)</t>
  </si>
  <si>
    <t>=-NL("Sum","5802 Value Entry","151 Cost Amount (Expected)","41 Source Type",$C$5,"5 Source No.",$C344,"4 Item Ledger Entry Type",$C$4,"2 Item No.","@@"&amp;$F344,"3 Posting Date",O$9)-NL("Sum","5802 Value Entry","43 Cost Amount (Actual)","41 Source Type",$C$5,"5 Source no.",$C344,"4 Item Ledger Entry Type",$C$4,"2 Item No.","@@"&amp;$F344,"3 Posting Date",O$9)</t>
  </si>
  <si>
    <t>=O344-Q344</t>
  </si>
  <si>
    <t>=IF(O344&lt;&gt;0,R344/O344,"")</t>
  </si>
  <si>
    <t>=NL("Sum","5802 Value Entry","150 Sales Amount (Expected)","41 Source Type",$C$5,"5 Source No.",$C344,"4 Item Ledger Entry Type",$C$4,"2 Item No.","@@"&amp;$F344,"3 Posting Date",U$9)+NL("Sum","5802 Value Entry","17 Sales Amount (Actual)","41 Source Type",$C$5,"5 Source no.",$C344,"4 Item Ledger Entry Type",$C$4,"2 Item No.","@@"&amp;$F344,"3 Posting Date",U$9)</t>
  </si>
  <si>
    <t>=-NL("Sum","5802 Value Entry","151 Cost Amount (Expected)","41 Source Type",$C$5,"5 Source No.",$C344,"4 Item Ledger Entry Type",$C$4,"2 Item No.","@@"&amp;$F344,"3 Posting Date",U$9)-NL("Sum","5802 Value Entry","43 Cost Amount (Actual)","41 Source Type",$C$5,"5 Source no.",$C344,"4 Item Ledger Entry Type",$C$4,"2 Item No.","@@"&amp;$F344,"3 Posting Date",U$9)</t>
  </si>
  <si>
    <t>=U344-W344</t>
  </si>
  <si>
    <t>=IF(U344&lt;&gt;0,X344/U344,"")</t>
  </si>
  <si>
    <t>=NL("Sum","5802 Value Entry","150 Sales Amount (Expected)","41 Source Type",$C$5,"5 Source No.",$C344,"4 Item Ledger Entry Type",$C$4,"2 Item No.","@@"&amp;$F344,"3 Posting Date",Z$9)+NL("Sum","5802 Value Entry","17 Sales Amount (Actual)","41 Source Type",$C$5,"5 Source no.",$C344,"4 Item Ledger Entry Type",$C$4,"2 Item No.","@@"&amp;$F344,"3 Posting Date",Z$9)</t>
  </si>
  <si>
    <t>=-NL("Sum","5802 Value Entry","151 Cost Amount (Expected)","41 Source Type",$C$5,"5 Source No.",$C344,"4 Item Ledger Entry Type",$C$4,"2 Item No.","@@"&amp;$F344,"3 Posting Date",Z$9)-NL("Sum","5802 Value Entry","43 Cost Amount (Actual)","41 Source Type",$C$5,"5 Source no.",$C344,"4 Item Ledger Entry Type",$C$4,"2 Item No.","@@"&amp;$F344,"3 Posting Date",Z$9)</t>
  </si>
  <si>
    <t>=Z344-AB344</t>
  </si>
  <si>
    <t>=IF(Z344&lt;&gt;0,AC344/Z344,"")</t>
  </si>
  <si>
    <t>=C345</t>
  </si>
  <si>
    <t>=J346-L346</t>
  </si>
  <si>
    <t>=IF(J346&lt;&gt;0,M346/J346,"")</t>
  </si>
  <si>
    <t>=O346-Q346</t>
  </si>
  <si>
    <t>=IF(O346&lt;&gt;0,R346/O346,"")</t>
  </si>
  <si>
    <t>=U346-W346</t>
  </si>
  <si>
    <t>=IF(U346&lt;&gt;0,X346/U346,"")</t>
  </si>
  <si>
    <t>=Z346-AB346</t>
  </si>
  <si>
    <t>=IF(Z346&lt;&gt;0,AC346/Z346,"")</t>
  </si>
  <si>
    <t>=C348</t>
  </si>
  <si>
    <t>=C349</t>
  </si>
  <si>
    <t>=NL("Sum","5802 Value Entry","150 Sales Amount (Expected)","41 Source Type",$C$5,"5 Source No.",$C350,"4 Item Ledger Entry Type",$C$4,"2 Item No.","@@"&amp;$F350,"3 Posting Date",J$9)+NL("Sum","5802 Value Entry","17 Sales Amount (Actual)","41 Source Type",$C$5,"5 Source no.",$C350,"4 Item Ledger Entry Type",$C$4,"2 Item No.","@@"&amp;$F350,"3 Posting Date",J$9)</t>
  </si>
  <si>
    <t>=-NL("Sum","5802 Value Entry","151 Cost Amount (Expected)","41 Source Type",$C$5,"5 Source No.",$C350,"4 Item Ledger Entry Type",$C$4,"2 Item No.","@@"&amp;$F350,"3 Posting Date",J$9)-NL("Sum","5802 Value Entry","43 Cost Amount (Actual)","41 Source Type",$C$5,"5 Source no.",$C350,"4 Item Ledger Entry Type",$C$4,"2 Item No.","@@"&amp;$F350,"3 Posting Date",J$9)</t>
  </si>
  <si>
    <t>=J350-L350</t>
  </si>
  <si>
    <t>=IF(J350&lt;&gt;0,M350/J350,"")</t>
  </si>
  <si>
    <t>=NL("Sum","5802 Value Entry","150 Sales Amount (Expected)","41 Source Type",$C$5,"5 Source No.",$C350,"4 Item Ledger Entry Type",$C$4,"2 Item No.","@@"&amp;$F350,"3 Posting Date",O$9)+NL("Sum","5802 Value Entry","17 Sales Amount (Actual)","41 Source Type",$C$5,"5 Source no.",$C350,"4 Item Ledger Entry Type",$C$4,"2 Item No.","@@"&amp;$F350,"3 Posting Date",O$9)</t>
  </si>
  <si>
    <t>=-NL("Sum","5802 Value Entry","151 Cost Amount (Expected)","41 Source Type",$C$5,"5 Source No.",$C350,"4 Item Ledger Entry Type",$C$4,"2 Item No.","@@"&amp;$F350,"3 Posting Date",O$9)-NL("Sum","5802 Value Entry","43 Cost Amount (Actual)","41 Source Type",$C$5,"5 Source no.",$C350,"4 Item Ledger Entry Type",$C$4,"2 Item No.","@@"&amp;$F350,"3 Posting Date",O$9)</t>
  </si>
  <si>
    <t>=O350-Q350</t>
  </si>
  <si>
    <t>=IF(O350&lt;&gt;0,R350/O350,"")</t>
  </si>
  <si>
    <t>=NL("Sum","5802 Value Entry","150 Sales Amount (Expected)","41 Source Type",$C$5,"5 Source No.",$C350,"4 Item Ledger Entry Type",$C$4,"2 Item No.","@@"&amp;$F350,"3 Posting Date",U$9)+NL("Sum","5802 Value Entry","17 Sales Amount (Actual)","41 Source Type",$C$5,"5 Source no.",$C350,"4 Item Ledger Entry Type",$C$4,"2 Item No.","@@"&amp;$F350,"3 Posting Date",U$9)</t>
  </si>
  <si>
    <t>=-NL("Sum","5802 Value Entry","151 Cost Amount (Expected)","41 Source Type",$C$5,"5 Source No.",$C350,"4 Item Ledger Entry Type",$C$4,"2 Item No.","@@"&amp;$F350,"3 Posting Date",U$9)-NL("Sum","5802 Value Entry","43 Cost Amount (Actual)","41 Source Type",$C$5,"5 Source no.",$C350,"4 Item Ledger Entry Type",$C$4,"2 Item No.","@@"&amp;$F350,"3 Posting Date",U$9)</t>
  </si>
  <si>
    <t>=U350-W350</t>
  </si>
  <si>
    <t>=IF(U350&lt;&gt;0,X350/U350,"")</t>
  </si>
  <si>
    <t>=NL("Sum","5802 Value Entry","150 Sales Amount (Expected)","41 Source Type",$C$5,"5 Source No.",$C350,"4 Item Ledger Entry Type",$C$4,"2 Item No.","@@"&amp;$F350,"3 Posting Date",Z$9)+NL("Sum","5802 Value Entry","17 Sales Amount (Actual)","41 Source Type",$C$5,"5 Source no.",$C350,"4 Item Ledger Entry Type",$C$4,"2 Item No.","@@"&amp;$F350,"3 Posting Date",Z$9)</t>
  </si>
  <si>
    <t>=-NL("Sum","5802 Value Entry","151 Cost Amount (Expected)","41 Source Type",$C$5,"5 Source No.",$C350,"4 Item Ledger Entry Type",$C$4,"2 Item No.","@@"&amp;$F350,"3 Posting Date",Z$9)-NL("Sum","5802 Value Entry","43 Cost Amount (Actual)","41 Source Type",$C$5,"5 Source no.",$C350,"4 Item Ledger Entry Type",$C$4,"2 Item No.","@@"&amp;$F350,"3 Posting Date",Z$9)</t>
  </si>
  <si>
    <t>=Z350-AB350</t>
  </si>
  <si>
    <t>=IF(Z350&lt;&gt;0,AC350/Z350,"")</t>
  </si>
  <si>
    <t>=C350</t>
  </si>
  <si>
    <t>=NL("Sum","5802 Value Entry","150 Sales Amount (Expected)","41 Source Type",$C$5,"5 Source No.",$C351,"4 Item Ledger Entry Type",$C$4,"2 Item No.","@@"&amp;$F351,"3 Posting Date",J$9)+NL("Sum","5802 Value Entry","17 Sales Amount (Actual)","41 Source Type",$C$5,"5 Source no.",$C351,"4 Item Ledger Entry Type",$C$4,"2 Item No.","@@"&amp;$F351,"3 Posting Date",J$9)</t>
  </si>
  <si>
    <t>=-NL("Sum","5802 Value Entry","151 Cost Amount (Expected)","41 Source Type",$C$5,"5 Source No.",$C351,"4 Item Ledger Entry Type",$C$4,"2 Item No.","@@"&amp;$F351,"3 Posting Date",J$9)-NL("Sum","5802 Value Entry","43 Cost Amount (Actual)","41 Source Type",$C$5,"5 Source no.",$C351,"4 Item Ledger Entry Type",$C$4,"2 Item No.","@@"&amp;$F351,"3 Posting Date",J$9)</t>
  </si>
  <si>
    <t>=J351-L351</t>
  </si>
  <si>
    <t>=IF(J351&lt;&gt;0,M351/J351,"")</t>
  </si>
  <si>
    <t>=NL("Sum","5802 Value Entry","150 Sales Amount (Expected)","41 Source Type",$C$5,"5 Source No.",$C351,"4 Item Ledger Entry Type",$C$4,"2 Item No.","@@"&amp;$F351,"3 Posting Date",O$9)+NL("Sum","5802 Value Entry","17 Sales Amount (Actual)","41 Source Type",$C$5,"5 Source no.",$C351,"4 Item Ledger Entry Type",$C$4,"2 Item No.","@@"&amp;$F351,"3 Posting Date",O$9)</t>
  </si>
  <si>
    <t>=-NL("Sum","5802 Value Entry","151 Cost Amount (Expected)","41 Source Type",$C$5,"5 Source No.",$C351,"4 Item Ledger Entry Type",$C$4,"2 Item No.","@@"&amp;$F351,"3 Posting Date",O$9)-NL("Sum","5802 Value Entry","43 Cost Amount (Actual)","41 Source Type",$C$5,"5 Source no.",$C351,"4 Item Ledger Entry Type",$C$4,"2 Item No.","@@"&amp;$F351,"3 Posting Date",O$9)</t>
  </si>
  <si>
    <t>=O351-Q351</t>
  </si>
  <si>
    <t>=IF(O351&lt;&gt;0,R351/O351,"")</t>
  </si>
  <si>
    <t>=NL("Sum","5802 Value Entry","150 Sales Amount (Expected)","41 Source Type",$C$5,"5 Source No.",$C351,"4 Item Ledger Entry Type",$C$4,"2 Item No.","@@"&amp;$F351,"3 Posting Date",U$9)+NL("Sum","5802 Value Entry","17 Sales Amount (Actual)","41 Source Type",$C$5,"5 Source no.",$C351,"4 Item Ledger Entry Type",$C$4,"2 Item No.","@@"&amp;$F351,"3 Posting Date",U$9)</t>
  </si>
  <si>
    <t>=-NL("Sum","5802 Value Entry","151 Cost Amount (Expected)","41 Source Type",$C$5,"5 Source No.",$C351,"4 Item Ledger Entry Type",$C$4,"2 Item No.","@@"&amp;$F351,"3 Posting Date",U$9)-NL("Sum","5802 Value Entry","43 Cost Amount (Actual)","41 Source Type",$C$5,"5 Source no.",$C351,"4 Item Ledger Entry Type",$C$4,"2 Item No.","@@"&amp;$F351,"3 Posting Date",U$9)</t>
  </si>
  <si>
    <t>=U351-W351</t>
  </si>
  <si>
    <t>=IF(U351&lt;&gt;0,X351/U351,"")</t>
  </si>
  <si>
    <t>=NL("Sum","5802 Value Entry","150 Sales Amount (Expected)","41 Source Type",$C$5,"5 Source No.",$C351,"4 Item Ledger Entry Type",$C$4,"2 Item No.","@@"&amp;$F351,"3 Posting Date",Z$9)+NL("Sum","5802 Value Entry","17 Sales Amount (Actual)","41 Source Type",$C$5,"5 Source no.",$C351,"4 Item Ledger Entry Type",$C$4,"2 Item No.","@@"&amp;$F351,"3 Posting Date",Z$9)</t>
  </si>
  <si>
    <t>=-NL("Sum","5802 Value Entry","151 Cost Amount (Expected)","41 Source Type",$C$5,"5 Source No.",$C351,"4 Item Ledger Entry Type",$C$4,"2 Item No.","@@"&amp;$F351,"3 Posting Date",Z$9)-NL("Sum","5802 Value Entry","43 Cost Amount (Actual)","41 Source Type",$C$5,"5 Source no.",$C351,"4 Item Ledger Entry Type",$C$4,"2 Item No.","@@"&amp;$F351,"3 Posting Date",Z$9)</t>
  </si>
  <si>
    <t>=Z351-AB351</t>
  </si>
  <si>
    <t>=IF(Z351&lt;&gt;0,AC351/Z351,"")</t>
  </si>
  <si>
    <t>=C351</t>
  </si>
  <si>
    <t>=NL("Sum","5802 Value Entry","150 Sales Amount (Expected)","41 Source Type",$C$5,"5 Source No.",$C352,"4 Item Ledger Entry Type",$C$4,"2 Item No.","@@"&amp;$F352,"3 Posting Date",J$9)+NL("Sum","5802 Value Entry","17 Sales Amount (Actual)","41 Source Type",$C$5,"5 Source no.",$C352,"4 Item Ledger Entry Type",$C$4,"2 Item No.","@@"&amp;$F352,"3 Posting Date",J$9)</t>
  </si>
  <si>
    <t>=-NL("Sum","5802 Value Entry","151 Cost Amount (Expected)","41 Source Type",$C$5,"5 Source No.",$C352,"4 Item Ledger Entry Type",$C$4,"2 Item No.","@@"&amp;$F352,"3 Posting Date",J$9)-NL("Sum","5802 Value Entry","43 Cost Amount (Actual)","41 Source Type",$C$5,"5 Source no.",$C352,"4 Item Ledger Entry Type",$C$4,"2 Item No.","@@"&amp;$F352,"3 Posting Date",J$9)</t>
  </si>
  <si>
    <t>=J352-L352</t>
  </si>
  <si>
    <t>=IF(J352&lt;&gt;0,M352/J352,"")</t>
  </si>
  <si>
    <t>=NL("Sum","5802 Value Entry","150 Sales Amount (Expected)","41 Source Type",$C$5,"5 Source No.",$C352,"4 Item Ledger Entry Type",$C$4,"2 Item No.","@@"&amp;$F352,"3 Posting Date",O$9)+NL("Sum","5802 Value Entry","17 Sales Amount (Actual)","41 Source Type",$C$5,"5 Source no.",$C352,"4 Item Ledger Entry Type",$C$4,"2 Item No.","@@"&amp;$F352,"3 Posting Date",O$9)</t>
  </si>
  <si>
    <t>=-NL("Sum","5802 Value Entry","151 Cost Amount (Expected)","41 Source Type",$C$5,"5 Source No.",$C352,"4 Item Ledger Entry Type",$C$4,"2 Item No.","@@"&amp;$F352,"3 Posting Date",O$9)-NL("Sum","5802 Value Entry","43 Cost Amount (Actual)","41 Source Type",$C$5,"5 Source no.",$C352,"4 Item Ledger Entry Type",$C$4,"2 Item No.","@@"&amp;$F352,"3 Posting Date",O$9)</t>
  </si>
  <si>
    <t>=O352-Q352</t>
  </si>
  <si>
    <t>=IF(O352&lt;&gt;0,R352/O352,"")</t>
  </si>
  <si>
    <t>=NL("Sum","5802 Value Entry","150 Sales Amount (Expected)","41 Source Type",$C$5,"5 Source No.",$C352,"4 Item Ledger Entry Type",$C$4,"2 Item No.","@@"&amp;$F352,"3 Posting Date",U$9)+NL("Sum","5802 Value Entry","17 Sales Amount (Actual)","41 Source Type",$C$5,"5 Source no.",$C352,"4 Item Ledger Entry Type",$C$4,"2 Item No.","@@"&amp;$F352,"3 Posting Date",U$9)</t>
  </si>
  <si>
    <t>=-NL("Sum","5802 Value Entry","151 Cost Amount (Expected)","41 Source Type",$C$5,"5 Source No.",$C352,"4 Item Ledger Entry Type",$C$4,"2 Item No.","@@"&amp;$F352,"3 Posting Date",U$9)-NL("Sum","5802 Value Entry","43 Cost Amount (Actual)","41 Source Type",$C$5,"5 Source no.",$C352,"4 Item Ledger Entry Type",$C$4,"2 Item No.","@@"&amp;$F352,"3 Posting Date",U$9)</t>
  </si>
  <si>
    <t>=U352-W352</t>
  </si>
  <si>
    <t>=IF(U352&lt;&gt;0,X352/U352,"")</t>
  </si>
  <si>
    <t>=NL("Sum","5802 Value Entry","150 Sales Amount (Expected)","41 Source Type",$C$5,"5 Source No.",$C352,"4 Item Ledger Entry Type",$C$4,"2 Item No.","@@"&amp;$F352,"3 Posting Date",Z$9)+NL("Sum","5802 Value Entry","17 Sales Amount (Actual)","41 Source Type",$C$5,"5 Source no.",$C352,"4 Item Ledger Entry Type",$C$4,"2 Item No.","@@"&amp;$F352,"3 Posting Date",Z$9)</t>
  </si>
  <si>
    <t>=-NL("Sum","5802 Value Entry","151 Cost Amount (Expected)","41 Source Type",$C$5,"5 Source No.",$C352,"4 Item Ledger Entry Type",$C$4,"2 Item No.","@@"&amp;$F352,"3 Posting Date",Z$9)-NL("Sum","5802 Value Entry","43 Cost Amount (Actual)","41 Source Type",$C$5,"5 Source no.",$C352,"4 Item Ledger Entry Type",$C$4,"2 Item No.","@@"&amp;$F352,"3 Posting Date",Z$9)</t>
  </si>
  <si>
    <t>=Z352-AB352</t>
  </si>
  <si>
    <t>=IF(Z352&lt;&gt;0,AC352/Z352,"")</t>
  </si>
  <si>
    <t>=C353</t>
  </si>
  <si>
    <t>=J354-L354</t>
  </si>
  <si>
    <t>=IF(J354&lt;&gt;0,M354/J354,"")</t>
  </si>
  <si>
    <t>=O354-Q354</t>
  </si>
  <si>
    <t>=IF(O354&lt;&gt;0,R354/O354,"")</t>
  </si>
  <si>
    <t>=U354-W354</t>
  </si>
  <si>
    <t>=IF(U354&lt;&gt;0,X354/U354,"")</t>
  </si>
  <si>
    <t>=Z354-AB354</t>
  </si>
  <si>
    <t>=IF(Z354&lt;&gt;0,AC354/Z354,"")</t>
  </si>
  <si>
    <t>=C356</t>
  </si>
  <si>
    <t>=C357</t>
  </si>
  <si>
    <t>=NL("Sum","5802 Value Entry","150 Sales Amount (Expected)","41 Source Type",$C$5,"5 Source No.",$C358,"4 Item Ledger Entry Type",$C$4,"2 Item No.","@@"&amp;$F358,"3 Posting Date",J$9)+NL("Sum","5802 Value Entry","17 Sales Amount (Actual)","41 Source Type",$C$5,"5 Source no.",$C358,"4 Item Ledger Entry Type",$C$4,"2 Item No.","@@"&amp;$F358,"3 Posting Date",J$9)</t>
  </si>
  <si>
    <t>=-NL("Sum","5802 Value Entry","151 Cost Amount (Expected)","41 Source Type",$C$5,"5 Source No.",$C358,"4 Item Ledger Entry Type",$C$4,"2 Item No.","@@"&amp;$F358,"3 Posting Date",J$9)-NL("Sum","5802 Value Entry","43 Cost Amount (Actual)","41 Source Type",$C$5,"5 Source no.",$C358,"4 Item Ledger Entry Type",$C$4,"2 Item No.","@@"&amp;$F358,"3 Posting Date",J$9)</t>
  </si>
  <si>
    <t>=J358-L358</t>
  </si>
  <si>
    <t>=IF(J358&lt;&gt;0,M358/J358,"")</t>
  </si>
  <si>
    <t>=NL("Sum","5802 Value Entry","150 Sales Amount (Expected)","41 Source Type",$C$5,"5 Source No.",$C358,"4 Item Ledger Entry Type",$C$4,"2 Item No.","@@"&amp;$F358,"3 Posting Date",O$9)+NL("Sum","5802 Value Entry","17 Sales Amount (Actual)","41 Source Type",$C$5,"5 Source no.",$C358,"4 Item Ledger Entry Type",$C$4,"2 Item No.","@@"&amp;$F358,"3 Posting Date",O$9)</t>
  </si>
  <si>
    <t>=-NL("Sum","5802 Value Entry","151 Cost Amount (Expected)","41 Source Type",$C$5,"5 Source No.",$C358,"4 Item Ledger Entry Type",$C$4,"2 Item No.","@@"&amp;$F358,"3 Posting Date",O$9)-NL("Sum","5802 Value Entry","43 Cost Amount (Actual)","41 Source Type",$C$5,"5 Source no.",$C358,"4 Item Ledger Entry Type",$C$4,"2 Item No.","@@"&amp;$F358,"3 Posting Date",O$9)</t>
  </si>
  <si>
    <t>=O358-Q358</t>
  </si>
  <si>
    <t>=IF(O358&lt;&gt;0,R358/O358,"")</t>
  </si>
  <si>
    <t>=NL("Sum","5802 Value Entry","150 Sales Amount (Expected)","41 Source Type",$C$5,"5 Source No.",$C358,"4 Item Ledger Entry Type",$C$4,"2 Item No.","@@"&amp;$F358,"3 Posting Date",U$9)+NL("Sum","5802 Value Entry","17 Sales Amount (Actual)","41 Source Type",$C$5,"5 Source no.",$C358,"4 Item Ledger Entry Type",$C$4,"2 Item No.","@@"&amp;$F358,"3 Posting Date",U$9)</t>
  </si>
  <si>
    <t>=-NL("Sum","5802 Value Entry","151 Cost Amount (Expected)","41 Source Type",$C$5,"5 Source No.",$C358,"4 Item Ledger Entry Type",$C$4,"2 Item No.","@@"&amp;$F358,"3 Posting Date",U$9)-NL("Sum","5802 Value Entry","43 Cost Amount (Actual)","41 Source Type",$C$5,"5 Source no.",$C358,"4 Item Ledger Entry Type",$C$4,"2 Item No.","@@"&amp;$F358,"3 Posting Date",U$9)</t>
  </si>
  <si>
    <t>=U358-W358</t>
  </si>
  <si>
    <t>=IF(U358&lt;&gt;0,X358/U358,"")</t>
  </si>
  <si>
    <t>=NL("Sum","5802 Value Entry","150 Sales Amount (Expected)","41 Source Type",$C$5,"5 Source No.",$C358,"4 Item Ledger Entry Type",$C$4,"2 Item No.","@@"&amp;$F358,"3 Posting Date",Z$9)+NL("Sum","5802 Value Entry","17 Sales Amount (Actual)","41 Source Type",$C$5,"5 Source no.",$C358,"4 Item Ledger Entry Type",$C$4,"2 Item No.","@@"&amp;$F358,"3 Posting Date",Z$9)</t>
  </si>
  <si>
    <t>=-NL("Sum","5802 Value Entry","151 Cost Amount (Expected)","41 Source Type",$C$5,"5 Source No.",$C358,"4 Item Ledger Entry Type",$C$4,"2 Item No.","@@"&amp;$F358,"3 Posting Date",Z$9)-NL("Sum","5802 Value Entry","43 Cost Amount (Actual)","41 Source Type",$C$5,"5 Source no.",$C358,"4 Item Ledger Entry Type",$C$4,"2 Item No.","@@"&amp;$F358,"3 Posting Date",Z$9)</t>
  </si>
  <si>
    <t>=Z358-AB358</t>
  </si>
  <si>
    <t>=IF(Z358&lt;&gt;0,AC358/Z358,"")</t>
  </si>
  <si>
    <t>=C358</t>
  </si>
  <si>
    <t>=NL("Sum","5802 Value Entry","150 Sales Amount (Expected)","41 Source Type",$C$5,"5 Source No.",$C359,"4 Item Ledger Entry Type",$C$4,"2 Item No.","@@"&amp;$F359,"3 Posting Date",J$9)+NL("Sum","5802 Value Entry","17 Sales Amount (Actual)","41 Source Type",$C$5,"5 Source no.",$C359,"4 Item Ledger Entry Type",$C$4,"2 Item No.","@@"&amp;$F359,"3 Posting Date",J$9)</t>
  </si>
  <si>
    <t>=-NL("Sum","5802 Value Entry","151 Cost Amount (Expected)","41 Source Type",$C$5,"5 Source No.",$C359,"4 Item Ledger Entry Type",$C$4,"2 Item No.","@@"&amp;$F359,"3 Posting Date",J$9)-NL("Sum","5802 Value Entry","43 Cost Amount (Actual)","41 Source Type",$C$5,"5 Source no.",$C359,"4 Item Ledger Entry Type",$C$4,"2 Item No.","@@"&amp;$F359,"3 Posting Date",J$9)</t>
  </si>
  <si>
    <t>=J359-L359</t>
  </si>
  <si>
    <t>=IF(J359&lt;&gt;0,M359/J359,"")</t>
  </si>
  <si>
    <t>=NL("Sum","5802 Value Entry","150 Sales Amount (Expected)","41 Source Type",$C$5,"5 Source No.",$C359,"4 Item Ledger Entry Type",$C$4,"2 Item No.","@@"&amp;$F359,"3 Posting Date",O$9)+NL("Sum","5802 Value Entry","17 Sales Amount (Actual)","41 Source Type",$C$5,"5 Source no.",$C359,"4 Item Ledger Entry Type",$C$4,"2 Item No.","@@"&amp;$F359,"3 Posting Date",O$9)</t>
  </si>
  <si>
    <t>=-NL("Sum","5802 Value Entry","151 Cost Amount (Expected)","41 Source Type",$C$5,"5 Source No.",$C359,"4 Item Ledger Entry Type",$C$4,"2 Item No.","@@"&amp;$F359,"3 Posting Date",O$9)-NL("Sum","5802 Value Entry","43 Cost Amount (Actual)","41 Source Type",$C$5,"5 Source no.",$C359,"4 Item Ledger Entry Type",$C$4,"2 Item No.","@@"&amp;$F359,"3 Posting Date",O$9)</t>
  </si>
  <si>
    <t>=O359-Q359</t>
  </si>
  <si>
    <t>=IF(O359&lt;&gt;0,R359/O359,"")</t>
  </si>
  <si>
    <t>=NL("Sum","5802 Value Entry","150 Sales Amount (Expected)","41 Source Type",$C$5,"5 Source No.",$C359,"4 Item Ledger Entry Type",$C$4,"2 Item No.","@@"&amp;$F359,"3 Posting Date",U$9)+NL("Sum","5802 Value Entry","17 Sales Amount (Actual)","41 Source Type",$C$5,"5 Source no.",$C359,"4 Item Ledger Entry Type",$C$4,"2 Item No.","@@"&amp;$F359,"3 Posting Date",U$9)</t>
  </si>
  <si>
    <t>=-NL("Sum","5802 Value Entry","151 Cost Amount (Expected)","41 Source Type",$C$5,"5 Source No.",$C359,"4 Item Ledger Entry Type",$C$4,"2 Item No.","@@"&amp;$F359,"3 Posting Date",U$9)-NL("Sum","5802 Value Entry","43 Cost Amount (Actual)","41 Source Type",$C$5,"5 Source no.",$C359,"4 Item Ledger Entry Type",$C$4,"2 Item No.","@@"&amp;$F359,"3 Posting Date",U$9)</t>
  </si>
  <si>
    <t>=U359-W359</t>
  </si>
  <si>
    <t>=IF(U359&lt;&gt;0,X359/U359,"")</t>
  </si>
  <si>
    <t>=NL("Sum","5802 Value Entry","150 Sales Amount (Expected)","41 Source Type",$C$5,"5 Source No.",$C359,"4 Item Ledger Entry Type",$C$4,"2 Item No.","@@"&amp;$F359,"3 Posting Date",Z$9)+NL("Sum","5802 Value Entry","17 Sales Amount (Actual)","41 Source Type",$C$5,"5 Source no.",$C359,"4 Item Ledger Entry Type",$C$4,"2 Item No.","@@"&amp;$F359,"3 Posting Date",Z$9)</t>
  </si>
  <si>
    <t>=-NL("Sum","5802 Value Entry","151 Cost Amount (Expected)","41 Source Type",$C$5,"5 Source No.",$C359,"4 Item Ledger Entry Type",$C$4,"2 Item No.","@@"&amp;$F359,"3 Posting Date",Z$9)-NL("Sum","5802 Value Entry","43 Cost Amount (Actual)","41 Source Type",$C$5,"5 Source no.",$C359,"4 Item Ledger Entry Type",$C$4,"2 Item No.","@@"&amp;$F359,"3 Posting Date",Z$9)</t>
  </si>
  <si>
    <t>=Z359-AB359</t>
  </si>
  <si>
    <t>=IF(Z359&lt;&gt;0,AC359/Z359,"")</t>
  </si>
  <si>
    <t>=C359</t>
  </si>
  <si>
    <t>=NL("Sum","5802 Value Entry","150 Sales Amount (Expected)","41 Source Type",$C$5,"5 Source No.",$C360,"4 Item Ledger Entry Type",$C$4,"2 Item No.","@@"&amp;$F360,"3 Posting Date",J$9)+NL("Sum","5802 Value Entry","17 Sales Amount (Actual)","41 Source Type",$C$5,"5 Source no.",$C360,"4 Item Ledger Entry Type",$C$4,"2 Item No.","@@"&amp;$F360,"3 Posting Date",J$9)</t>
  </si>
  <si>
    <t>=-NL("Sum","5802 Value Entry","151 Cost Amount (Expected)","41 Source Type",$C$5,"5 Source No.",$C360,"4 Item Ledger Entry Type",$C$4,"2 Item No.","@@"&amp;$F360,"3 Posting Date",J$9)-NL("Sum","5802 Value Entry","43 Cost Amount (Actual)","41 Source Type",$C$5,"5 Source no.",$C360,"4 Item Ledger Entry Type",$C$4,"2 Item No.","@@"&amp;$F360,"3 Posting Date",J$9)</t>
  </si>
  <si>
    <t>=J360-L360</t>
  </si>
  <si>
    <t>=IF(J360&lt;&gt;0,M360/J360,"")</t>
  </si>
  <si>
    <t>=NL("Sum","5802 Value Entry","150 Sales Amount (Expected)","41 Source Type",$C$5,"5 Source No.",$C360,"4 Item Ledger Entry Type",$C$4,"2 Item No.","@@"&amp;$F360,"3 Posting Date",O$9)+NL("Sum","5802 Value Entry","17 Sales Amount (Actual)","41 Source Type",$C$5,"5 Source no.",$C360,"4 Item Ledger Entry Type",$C$4,"2 Item No.","@@"&amp;$F360,"3 Posting Date",O$9)</t>
  </si>
  <si>
    <t>=-NL("Sum","5802 Value Entry","151 Cost Amount (Expected)","41 Source Type",$C$5,"5 Source No.",$C360,"4 Item Ledger Entry Type",$C$4,"2 Item No.","@@"&amp;$F360,"3 Posting Date",O$9)-NL("Sum","5802 Value Entry","43 Cost Amount (Actual)","41 Source Type",$C$5,"5 Source no.",$C360,"4 Item Ledger Entry Type",$C$4,"2 Item No.","@@"&amp;$F360,"3 Posting Date",O$9)</t>
  </si>
  <si>
    <t>=O360-Q360</t>
  </si>
  <si>
    <t>=IF(O360&lt;&gt;0,R360/O360,"")</t>
  </si>
  <si>
    <t>=NL("Sum","5802 Value Entry","150 Sales Amount (Expected)","41 Source Type",$C$5,"5 Source No.",$C360,"4 Item Ledger Entry Type",$C$4,"2 Item No.","@@"&amp;$F360,"3 Posting Date",U$9)+NL("Sum","5802 Value Entry","17 Sales Amount (Actual)","41 Source Type",$C$5,"5 Source no.",$C360,"4 Item Ledger Entry Type",$C$4,"2 Item No.","@@"&amp;$F360,"3 Posting Date",U$9)</t>
  </si>
  <si>
    <t>=-NL("Sum","5802 Value Entry","151 Cost Amount (Expected)","41 Source Type",$C$5,"5 Source No.",$C360,"4 Item Ledger Entry Type",$C$4,"2 Item No.","@@"&amp;$F360,"3 Posting Date",U$9)-NL("Sum","5802 Value Entry","43 Cost Amount (Actual)","41 Source Type",$C$5,"5 Source no.",$C360,"4 Item Ledger Entry Type",$C$4,"2 Item No.","@@"&amp;$F360,"3 Posting Date",U$9)</t>
  </si>
  <si>
    <t>=U360-W360</t>
  </si>
  <si>
    <t>=IF(U360&lt;&gt;0,X360/U360,"")</t>
  </si>
  <si>
    <t>=NL("Sum","5802 Value Entry","150 Sales Amount (Expected)","41 Source Type",$C$5,"5 Source No.",$C360,"4 Item Ledger Entry Type",$C$4,"2 Item No.","@@"&amp;$F360,"3 Posting Date",Z$9)+NL("Sum","5802 Value Entry","17 Sales Amount (Actual)","41 Source Type",$C$5,"5 Source no.",$C360,"4 Item Ledger Entry Type",$C$4,"2 Item No.","@@"&amp;$F360,"3 Posting Date",Z$9)</t>
  </si>
  <si>
    <t>=-NL("Sum","5802 Value Entry","151 Cost Amount (Expected)","41 Source Type",$C$5,"5 Source No.",$C360,"4 Item Ledger Entry Type",$C$4,"2 Item No.","@@"&amp;$F360,"3 Posting Date",Z$9)-NL("Sum","5802 Value Entry","43 Cost Amount (Actual)","41 Source Type",$C$5,"5 Source no.",$C360,"4 Item Ledger Entry Type",$C$4,"2 Item No.","@@"&amp;$F360,"3 Posting Date",Z$9)</t>
  </si>
  <si>
    <t>=Z360-AB360</t>
  </si>
  <si>
    <t>=IF(Z360&lt;&gt;0,AC360/Z360,"")</t>
  </si>
  <si>
    <t>=C360</t>
  </si>
  <si>
    <t>=NL("Sum","5802 Value Entry","150 Sales Amount (Expected)","41 Source Type",$C$5,"5 Source No.",$C361,"4 Item Ledger Entry Type",$C$4,"2 Item No.","@@"&amp;$F361,"3 Posting Date",J$9)+NL("Sum","5802 Value Entry","17 Sales Amount (Actual)","41 Source Type",$C$5,"5 Source no.",$C361,"4 Item Ledger Entry Type",$C$4,"2 Item No.","@@"&amp;$F361,"3 Posting Date",J$9)</t>
  </si>
  <si>
    <t>=-NL("Sum","5802 Value Entry","151 Cost Amount (Expected)","41 Source Type",$C$5,"5 Source No.",$C361,"4 Item Ledger Entry Type",$C$4,"2 Item No.","@@"&amp;$F361,"3 Posting Date",J$9)-NL("Sum","5802 Value Entry","43 Cost Amount (Actual)","41 Source Type",$C$5,"5 Source no.",$C361,"4 Item Ledger Entry Type",$C$4,"2 Item No.","@@"&amp;$F361,"3 Posting Date",J$9)</t>
  </si>
  <si>
    <t>=J361-L361</t>
  </si>
  <si>
    <t>=IF(J361&lt;&gt;0,M361/J361,"")</t>
  </si>
  <si>
    <t>=NL("Sum","5802 Value Entry","150 Sales Amount (Expected)","41 Source Type",$C$5,"5 Source No.",$C361,"4 Item Ledger Entry Type",$C$4,"2 Item No.","@@"&amp;$F361,"3 Posting Date",O$9)+NL("Sum","5802 Value Entry","17 Sales Amount (Actual)","41 Source Type",$C$5,"5 Source no.",$C361,"4 Item Ledger Entry Type",$C$4,"2 Item No.","@@"&amp;$F361,"3 Posting Date",O$9)</t>
  </si>
  <si>
    <t>=-NL("Sum","5802 Value Entry","151 Cost Amount (Expected)","41 Source Type",$C$5,"5 Source No.",$C361,"4 Item Ledger Entry Type",$C$4,"2 Item No.","@@"&amp;$F361,"3 Posting Date",O$9)-NL("Sum","5802 Value Entry","43 Cost Amount (Actual)","41 Source Type",$C$5,"5 Source no.",$C361,"4 Item Ledger Entry Type",$C$4,"2 Item No.","@@"&amp;$F361,"3 Posting Date",O$9)</t>
  </si>
  <si>
    <t>=O361-Q361</t>
  </si>
  <si>
    <t>=IF(O361&lt;&gt;0,R361/O361,"")</t>
  </si>
  <si>
    <t>=NL("Sum","5802 Value Entry","150 Sales Amount (Expected)","41 Source Type",$C$5,"5 Source No.",$C361,"4 Item Ledger Entry Type",$C$4,"2 Item No.","@@"&amp;$F361,"3 Posting Date",U$9)+NL("Sum","5802 Value Entry","17 Sales Amount (Actual)","41 Source Type",$C$5,"5 Source no.",$C361,"4 Item Ledger Entry Type",$C$4,"2 Item No.","@@"&amp;$F361,"3 Posting Date",U$9)</t>
  </si>
  <si>
    <t>=-NL("Sum","5802 Value Entry","151 Cost Amount (Expected)","41 Source Type",$C$5,"5 Source No.",$C361,"4 Item Ledger Entry Type",$C$4,"2 Item No.","@@"&amp;$F361,"3 Posting Date",U$9)-NL("Sum","5802 Value Entry","43 Cost Amount (Actual)","41 Source Type",$C$5,"5 Source no.",$C361,"4 Item Ledger Entry Type",$C$4,"2 Item No.","@@"&amp;$F361,"3 Posting Date",U$9)</t>
  </si>
  <si>
    <t>=U361-W361</t>
  </si>
  <si>
    <t>=IF(U361&lt;&gt;0,X361/U361,"")</t>
  </si>
  <si>
    <t>=NL("Sum","5802 Value Entry","150 Sales Amount (Expected)","41 Source Type",$C$5,"5 Source No.",$C361,"4 Item Ledger Entry Type",$C$4,"2 Item No.","@@"&amp;$F361,"3 Posting Date",Z$9)+NL("Sum","5802 Value Entry","17 Sales Amount (Actual)","41 Source Type",$C$5,"5 Source no.",$C361,"4 Item Ledger Entry Type",$C$4,"2 Item No.","@@"&amp;$F361,"3 Posting Date",Z$9)</t>
  </si>
  <si>
    <t>=-NL("Sum","5802 Value Entry","151 Cost Amount (Expected)","41 Source Type",$C$5,"5 Source No.",$C361,"4 Item Ledger Entry Type",$C$4,"2 Item No.","@@"&amp;$F361,"3 Posting Date",Z$9)-NL("Sum","5802 Value Entry","43 Cost Amount (Actual)","41 Source Type",$C$5,"5 Source no.",$C361,"4 Item Ledger Entry Type",$C$4,"2 Item No.","@@"&amp;$F361,"3 Posting Date",Z$9)</t>
  </si>
  <si>
    <t>=Z361-AB361</t>
  </si>
  <si>
    <t>=IF(Z361&lt;&gt;0,AC361/Z361,"")</t>
  </si>
  <si>
    <t>=C362</t>
  </si>
  <si>
    <t>=J363-L363</t>
  </si>
  <si>
    <t>=IF(J363&lt;&gt;0,M363/J363,"")</t>
  </si>
  <si>
    <t>=O363-Q363</t>
  </si>
  <si>
    <t>=IF(O363&lt;&gt;0,R363/O363,"")</t>
  </si>
  <si>
    <t>=U363-W363</t>
  </si>
  <si>
    <t>=IF(U363&lt;&gt;0,X363/U363,"")</t>
  </si>
  <si>
    <t>=Z363-AB363</t>
  </si>
  <si>
    <t>=IF(Z363&lt;&gt;0,AC363/Z363,"")</t>
  </si>
  <si>
    <t>=C365</t>
  </si>
  <si>
    <t>=C366</t>
  </si>
  <si>
    <t>=NL("Sum","5802 Value Entry","150 Sales Amount (Expected)","41 Source Type",$C$5,"5 Source No.",$C367,"4 Item Ledger Entry Type",$C$4,"2 Item No.","@@"&amp;$F367,"3 Posting Date",J$9)+NL("Sum","5802 Value Entry","17 Sales Amount (Actual)","41 Source Type",$C$5,"5 Source no.",$C367,"4 Item Ledger Entry Type",$C$4,"2 Item No.","@@"&amp;$F367,"3 Posting Date",J$9)</t>
  </si>
  <si>
    <t>=-NL("Sum","5802 Value Entry","151 Cost Amount (Expected)","41 Source Type",$C$5,"5 Source No.",$C367,"4 Item Ledger Entry Type",$C$4,"2 Item No.","@@"&amp;$F367,"3 Posting Date",J$9)-NL("Sum","5802 Value Entry","43 Cost Amount (Actual)","41 Source Type",$C$5,"5 Source no.",$C367,"4 Item Ledger Entry Type",$C$4,"2 Item No.","@@"&amp;$F367,"3 Posting Date",J$9)</t>
  </si>
  <si>
    <t>=J367-L367</t>
  </si>
  <si>
    <t>=IF(J367&lt;&gt;0,M367/J367,"")</t>
  </si>
  <si>
    <t>=NL("Sum","5802 Value Entry","150 Sales Amount (Expected)","41 Source Type",$C$5,"5 Source No.",$C367,"4 Item Ledger Entry Type",$C$4,"2 Item No.","@@"&amp;$F367,"3 Posting Date",O$9)+NL("Sum","5802 Value Entry","17 Sales Amount (Actual)","41 Source Type",$C$5,"5 Source no.",$C367,"4 Item Ledger Entry Type",$C$4,"2 Item No.","@@"&amp;$F367,"3 Posting Date",O$9)</t>
  </si>
  <si>
    <t>=-NL("Sum","5802 Value Entry","151 Cost Amount (Expected)","41 Source Type",$C$5,"5 Source No.",$C367,"4 Item Ledger Entry Type",$C$4,"2 Item No.","@@"&amp;$F367,"3 Posting Date",O$9)-NL("Sum","5802 Value Entry","43 Cost Amount (Actual)","41 Source Type",$C$5,"5 Source no.",$C367,"4 Item Ledger Entry Type",$C$4,"2 Item No.","@@"&amp;$F367,"3 Posting Date",O$9)</t>
  </si>
  <si>
    <t>=O367-Q367</t>
  </si>
  <si>
    <t>=IF(O367&lt;&gt;0,R367/O367,"")</t>
  </si>
  <si>
    <t>=NL("Sum","5802 Value Entry","150 Sales Amount (Expected)","41 Source Type",$C$5,"5 Source No.",$C367,"4 Item Ledger Entry Type",$C$4,"2 Item No.","@@"&amp;$F367,"3 Posting Date",U$9)+NL("Sum","5802 Value Entry","17 Sales Amount (Actual)","41 Source Type",$C$5,"5 Source no.",$C367,"4 Item Ledger Entry Type",$C$4,"2 Item No.","@@"&amp;$F367,"3 Posting Date",U$9)</t>
  </si>
  <si>
    <t>=-NL("Sum","5802 Value Entry","151 Cost Amount (Expected)","41 Source Type",$C$5,"5 Source No.",$C367,"4 Item Ledger Entry Type",$C$4,"2 Item No.","@@"&amp;$F367,"3 Posting Date",U$9)-NL("Sum","5802 Value Entry","43 Cost Amount (Actual)","41 Source Type",$C$5,"5 Source no.",$C367,"4 Item Ledger Entry Type",$C$4,"2 Item No.","@@"&amp;$F367,"3 Posting Date",U$9)</t>
  </si>
  <si>
    <t>=U367-W367</t>
  </si>
  <si>
    <t>=IF(U367&lt;&gt;0,X367/U367,"")</t>
  </si>
  <si>
    <t>=NL("Sum","5802 Value Entry","150 Sales Amount (Expected)","41 Source Type",$C$5,"5 Source No.",$C367,"4 Item Ledger Entry Type",$C$4,"2 Item No.","@@"&amp;$F367,"3 Posting Date",Z$9)+NL("Sum","5802 Value Entry","17 Sales Amount (Actual)","41 Source Type",$C$5,"5 Source no.",$C367,"4 Item Ledger Entry Type",$C$4,"2 Item No.","@@"&amp;$F367,"3 Posting Date",Z$9)</t>
  </si>
  <si>
    <t>=-NL("Sum","5802 Value Entry","151 Cost Amount (Expected)","41 Source Type",$C$5,"5 Source No.",$C367,"4 Item Ledger Entry Type",$C$4,"2 Item No.","@@"&amp;$F367,"3 Posting Date",Z$9)-NL("Sum","5802 Value Entry","43 Cost Amount (Actual)","41 Source Type",$C$5,"5 Source no.",$C367,"4 Item Ledger Entry Type",$C$4,"2 Item No.","@@"&amp;$F367,"3 Posting Date",Z$9)</t>
  </si>
  <si>
    <t>=Z367-AB367</t>
  </si>
  <si>
    <t>=IF(Z367&lt;&gt;0,AC367/Z367,"")</t>
  </si>
  <si>
    <t>=C367</t>
  </si>
  <si>
    <t>=NL("Sum","5802 Value Entry","150 Sales Amount (Expected)","41 Source Type",$C$5,"5 Source No.",$C368,"4 Item Ledger Entry Type",$C$4,"2 Item No.","@@"&amp;$F368,"3 Posting Date",J$9)+NL("Sum","5802 Value Entry","17 Sales Amount (Actual)","41 Source Type",$C$5,"5 Source no.",$C368,"4 Item Ledger Entry Type",$C$4,"2 Item No.","@@"&amp;$F368,"3 Posting Date",J$9)</t>
  </si>
  <si>
    <t>=-NL("Sum","5802 Value Entry","151 Cost Amount (Expected)","41 Source Type",$C$5,"5 Source No.",$C368,"4 Item Ledger Entry Type",$C$4,"2 Item No.","@@"&amp;$F368,"3 Posting Date",J$9)-NL("Sum","5802 Value Entry","43 Cost Amount (Actual)","41 Source Type",$C$5,"5 Source no.",$C368,"4 Item Ledger Entry Type",$C$4,"2 Item No.","@@"&amp;$F368,"3 Posting Date",J$9)</t>
  </si>
  <si>
    <t>=J368-L368</t>
  </si>
  <si>
    <t>=IF(J368&lt;&gt;0,M368/J368,"")</t>
  </si>
  <si>
    <t>=NL("Sum","5802 Value Entry","150 Sales Amount (Expected)","41 Source Type",$C$5,"5 Source No.",$C368,"4 Item Ledger Entry Type",$C$4,"2 Item No.","@@"&amp;$F368,"3 Posting Date",O$9)+NL("Sum","5802 Value Entry","17 Sales Amount (Actual)","41 Source Type",$C$5,"5 Source no.",$C368,"4 Item Ledger Entry Type",$C$4,"2 Item No.","@@"&amp;$F368,"3 Posting Date",O$9)</t>
  </si>
  <si>
    <t>=-NL("Sum","5802 Value Entry","151 Cost Amount (Expected)","41 Source Type",$C$5,"5 Source No.",$C368,"4 Item Ledger Entry Type",$C$4,"2 Item No.","@@"&amp;$F368,"3 Posting Date",O$9)-NL("Sum","5802 Value Entry","43 Cost Amount (Actual)","41 Source Type",$C$5,"5 Source no.",$C368,"4 Item Ledger Entry Type",$C$4,"2 Item No.","@@"&amp;$F368,"3 Posting Date",O$9)</t>
  </si>
  <si>
    <t>=O368-Q368</t>
  </si>
  <si>
    <t>=IF(O368&lt;&gt;0,R368/O368,"")</t>
  </si>
  <si>
    <t>=NL("Sum","5802 Value Entry","150 Sales Amount (Expected)","41 Source Type",$C$5,"5 Source No.",$C368,"4 Item Ledger Entry Type",$C$4,"2 Item No.","@@"&amp;$F368,"3 Posting Date",U$9)+NL("Sum","5802 Value Entry","17 Sales Amount (Actual)","41 Source Type",$C$5,"5 Source no.",$C368,"4 Item Ledger Entry Type",$C$4,"2 Item No.","@@"&amp;$F368,"3 Posting Date",U$9)</t>
  </si>
  <si>
    <t>=-NL("Sum","5802 Value Entry","151 Cost Amount (Expected)","41 Source Type",$C$5,"5 Source No.",$C368,"4 Item Ledger Entry Type",$C$4,"2 Item No.","@@"&amp;$F368,"3 Posting Date",U$9)-NL("Sum","5802 Value Entry","43 Cost Amount (Actual)","41 Source Type",$C$5,"5 Source no.",$C368,"4 Item Ledger Entry Type",$C$4,"2 Item No.","@@"&amp;$F368,"3 Posting Date",U$9)</t>
  </si>
  <si>
    <t>=U368-W368</t>
  </si>
  <si>
    <t>=IF(U368&lt;&gt;0,X368/U368,"")</t>
  </si>
  <si>
    <t>=NL("Sum","5802 Value Entry","150 Sales Amount (Expected)","41 Source Type",$C$5,"5 Source No.",$C368,"4 Item Ledger Entry Type",$C$4,"2 Item No.","@@"&amp;$F368,"3 Posting Date",Z$9)+NL("Sum","5802 Value Entry","17 Sales Amount (Actual)","41 Source Type",$C$5,"5 Source no.",$C368,"4 Item Ledger Entry Type",$C$4,"2 Item No.","@@"&amp;$F368,"3 Posting Date",Z$9)</t>
  </si>
  <si>
    <t>=-NL("Sum","5802 Value Entry","151 Cost Amount (Expected)","41 Source Type",$C$5,"5 Source No.",$C368,"4 Item Ledger Entry Type",$C$4,"2 Item No.","@@"&amp;$F368,"3 Posting Date",Z$9)-NL("Sum","5802 Value Entry","43 Cost Amount (Actual)","41 Source Type",$C$5,"5 Source no.",$C368,"4 Item Ledger Entry Type",$C$4,"2 Item No.","@@"&amp;$F368,"3 Posting Date",Z$9)</t>
  </si>
  <si>
    <t>=Z368-AB368</t>
  </si>
  <si>
    <t>=IF(Z368&lt;&gt;0,AC368/Z368,"")</t>
  </si>
  <si>
    <t>=C368</t>
  </si>
  <si>
    <t>=NL("Sum","5802 Value Entry","150 Sales Amount (Expected)","41 Source Type",$C$5,"5 Source No.",$C369,"4 Item Ledger Entry Type",$C$4,"2 Item No.","@@"&amp;$F369,"3 Posting Date",J$9)+NL("Sum","5802 Value Entry","17 Sales Amount (Actual)","41 Source Type",$C$5,"5 Source no.",$C369,"4 Item Ledger Entry Type",$C$4,"2 Item No.","@@"&amp;$F369,"3 Posting Date",J$9)</t>
  </si>
  <si>
    <t>=-NL("Sum","5802 Value Entry","151 Cost Amount (Expected)","41 Source Type",$C$5,"5 Source No.",$C369,"4 Item Ledger Entry Type",$C$4,"2 Item No.","@@"&amp;$F369,"3 Posting Date",J$9)-NL("Sum","5802 Value Entry","43 Cost Amount (Actual)","41 Source Type",$C$5,"5 Source no.",$C369,"4 Item Ledger Entry Type",$C$4,"2 Item No.","@@"&amp;$F369,"3 Posting Date",J$9)</t>
  </si>
  <si>
    <t>=J369-L369</t>
  </si>
  <si>
    <t>=IF(J369&lt;&gt;0,M369/J369,"")</t>
  </si>
  <si>
    <t>=NL("Sum","5802 Value Entry","150 Sales Amount (Expected)","41 Source Type",$C$5,"5 Source No.",$C369,"4 Item Ledger Entry Type",$C$4,"2 Item No.","@@"&amp;$F369,"3 Posting Date",O$9)+NL("Sum","5802 Value Entry","17 Sales Amount (Actual)","41 Source Type",$C$5,"5 Source no.",$C369,"4 Item Ledger Entry Type",$C$4,"2 Item No.","@@"&amp;$F369,"3 Posting Date",O$9)</t>
  </si>
  <si>
    <t>=-NL("Sum","5802 Value Entry","151 Cost Amount (Expected)","41 Source Type",$C$5,"5 Source No.",$C369,"4 Item Ledger Entry Type",$C$4,"2 Item No.","@@"&amp;$F369,"3 Posting Date",O$9)-NL("Sum","5802 Value Entry","43 Cost Amount (Actual)","41 Source Type",$C$5,"5 Source no.",$C369,"4 Item Ledger Entry Type",$C$4,"2 Item No.","@@"&amp;$F369,"3 Posting Date",O$9)</t>
  </si>
  <si>
    <t>=O369-Q369</t>
  </si>
  <si>
    <t>=IF(O369&lt;&gt;0,R369/O369,"")</t>
  </si>
  <si>
    <t>=NL("Sum","5802 Value Entry","150 Sales Amount (Expected)","41 Source Type",$C$5,"5 Source No.",$C369,"4 Item Ledger Entry Type",$C$4,"2 Item No.","@@"&amp;$F369,"3 Posting Date",U$9)+NL("Sum","5802 Value Entry","17 Sales Amount (Actual)","41 Source Type",$C$5,"5 Source no.",$C369,"4 Item Ledger Entry Type",$C$4,"2 Item No.","@@"&amp;$F369,"3 Posting Date",U$9)</t>
  </si>
  <si>
    <t>=-NL("Sum","5802 Value Entry","151 Cost Amount (Expected)","41 Source Type",$C$5,"5 Source No.",$C369,"4 Item Ledger Entry Type",$C$4,"2 Item No.","@@"&amp;$F369,"3 Posting Date",U$9)-NL("Sum","5802 Value Entry","43 Cost Amount (Actual)","41 Source Type",$C$5,"5 Source no.",$C369,"4 Item Ledger Entry Type",$C$4,"2 Item No.","@@"&amp;$F369,"3 Posting Date",U$9)</t>
  </si>
  <si>
    <t>=U369-W369</t>
  </si>
  <si>
    <t>=IF(U369&lt;&gt;0,X369/U369,"")</t>
  </si>
  <si>
    <t>=NL("Sum","5802 Value Entry","150 Sales Amount (Expected)","41 Source Type",$C$5,"5 Source No.",$C369,"4 Item Ledger Entry Type",$C$4,"2 Item No.","@@"&amp;$F369,"3 Posting Date",Z$9)+NL("Sum","5802 Value Entry","17 Sales Amount (Actual)","41 Source Type",$C$5,"5 Source no.",$C369,"4 Item Ledger Entry Type",$C$4,"2 Item No.","@@"&amp;$F369,"3 Posting Date",Z$9)</t>
  </si>
  <si>
    <t>=-NL("Sum","5802 Value Entry","151 Cost Amount (Expected)","41 Source Type",$C$5,"5 Source No.",$C369,"4 Item Ledger Entry Type",$C$4,"2 Item No.","@@"&amp;$F369,"3 Posting Date",Z$9)-NL("Sum","5802 Value Entry","43 Cost Amount (Actual)","41 Source Type",$C$5,"5 Source no.",$C369,"4 Item Ledger Entry Type",$C$4,"2 Item No.","@@"&amp;$F369,"3 Posting Date",Z$9)</t>
  </si>
  <si>
    <t>=Z369-AB369</t>
  </si>
  <si>
    <t>=IF(Z369&lt;&gt;0,AC369/Z369,"")</t>
  </si>
  <si>
    <t>=C369</t>
  </si>
  <si>
    <t>=NL("Sum","5802 Value Entry","150 Sales Amount (Expected)","41 Source Type",$C$5,"5 Source No.",$C370,"4 Item Ledger Entry Type",$C$4,"2 Item No.","@@"&amp;$F370,"3 Posting Date",J$9)+NL("Sum","5802 Value Entry","17 Sales Amount (Actual)","41 Source Type",$C$5,"5 Source no.",$C370,"4 Item Ledger Entry Type",$C$4,"2 Item No.","@@"&amp;$F370,"3 Posting Date",J$9)</t>
  </si>
  <si>
    <t>=-NL("Sum","5802 Value Entry","151 Cost Amount (Expected)","41 Source Type",$C$5,"5 Source No.",$C370,"4 Item Ledger Entry Type",$C$4,"2 Item No.","@@"&amp;$F370,"3 Posting Date",J$9)-NL("Sum","5802 Value Entry","43 Cost Amount (Actual)","41 Source Type",$C$5,"5 Source no.",$C370,"4 Item Ledger Entry Type",$C$4,"2 Item No.","@@"&amp;$F370,"3 Posting Date",J$9)</t>
  </si>
  <si>
    <t>=J370-L370</t>
  </si>
  <si>
    <t>=IF(J370&lt;&gt;0,M370/J370,"")</t>
  </si>
  <si>
    <t>=NL("Sum","5802 Value Entry","150 Sales Amount (Expected)","41 Source Type",$C$5,"5 Source No.",$C370,"4 Item Ledger Entry Type",$C$4,"2 Item No.","@@"&amp;$F370,"3 Posting Date",O$9)+NL("Sum","5802 Value Entry","17 Sales Amount (Actual)","41 Source Type",$C$5,"5 Source no.",$C370,"4 Item Ledger Entry Type",$C$4,"2 Item No.","@@"&amp;$F370,"3 Posting Date",O$9)</t>
  </si>
  <si>
    <t>=-NL("Sum","5802 Value Entry","151 Cost Amount (Expected)","41 Source Type",$C$5,"5 Source No.",$C370,"4 Item Ledger Entry Type",$C$4,"2 Item No.","@@"&amp;$F370,"3 Posting Date",O$9)-NL("Sum","5802 Value Entry","43 Cost Amount (Actual)","41 Source Type",$C$5,"5 Source no.",$C370,"4 Item Ledger Entry Type",$C$4,"2 Item No.","@@"&amp;$F370,"3 Posting Date",O$9)</t>
  </si>
  <si>
    <t>=O370-Q370</t>
  </si>
  <si>
    <t>=IF(O370&lt;&gt;0,R370/O370,"")</t>
  </si>
  <si>
    <t>=NL("Sum","5802 Value Entry","150 Sales Amount (Expected)","41 Source Type",$C$5,"5 Source No.",$C370,"4 Item Ledger Entry Type",$C$4,"2 Item No.","@@"&amp;$F370,"3 Posting Date",U$9)+NL("Sum","5802 Value Entry","17 Sales Amount (Actual)","41 Source Type",$C$5,"5 Source no.",$C370,"4 Item Ledger Entry Type",$C$4,"2 Item No.","@@"&amp;$F370,"3 Posting Date",U$9)</t>
  </si>
  <si>
    <t>=-NL("Sum","5802 Value Entry","151 Cost Amount (Expected)","41 Source Type",$C$5,"5 Source No.",$C370,"4 Item Ledger Entry Type",$C$4,"2 Item No.","@@"&amp;$F370,"3 Posting Date",U$9)-NL("Sum","5802 Value Entry","43 Cost Amount (Actual)","41 Source Type",$C$5,"5 Source no.",$C370,"4 Item Ledger Entry Type",$C$4,"2 Item No.","@@"&amp;$F370,"3 Posting Date",U$9)</t>
  </si>
  <si>
    <t>=U370-W370</t>
  </si>
  <si>
    <t>=IF(U370&lt;&gt;0,X370/U370,"")</t>
  </si>
  <si>
    <t>=NL("Sum","5802 Value Entry","150 Sales Amount (Expected)","41 Source Type",$C$5,"5 Source No.",$C370,"4 Item Ledger Entry Type",$C$4,"2 Item No.","@@"&amp;$F370,"3 Posting Date",Z$9)+NL("Sum","5802 Value Entry","17 Sales Amount (Actual)","41 Source Type",$C$5,"5 Source no.",$C370,"4 Item Ledger Entry Type",$C$4,"2 Item No.","@@"&amp;$F370,"3 Posting Date",Z$9)</t>
  </si>
  <si>
    <t>=-NL("Sum","5802 Value Entry","151 Cost Amount (Expected)","41 Source Type",$C$5,"5 Source No.",$C370,"4 Item Ledger Entry Type",$C$4,"2 Item No.","@@"&amp;$F370,"3 Posting Date",Z$9)-NL("Sum","5802 Value Entry","43 Cost Amount (Actual)","41 Source Type",$C$5,"5 Source no.",$C370,"4 Item Ledger Entry Type",$C$4,"2 Item No.","@@"&amp;$F370,"3 Posting Date",Z$9)</t>
  </si>
  <si>
    <t>=Z370-AB370</t>
  </si>
  <si>
    <t>=IF(Z370&lt;&gt;0,AC370/Z370,"")</t>
  </si>
  <si>
    <t>=C370</t>
  </si>
  <si>
    <t>=NL("Sum","5802 Value Entry","150 Sales Amount (Expected)","41 Source Type",$C$5,"5 Source No.",$C371,"4 Item Ledger Entry Type",$C$4,"2 Item No.","@@"&amp;$F371,"3 Posting Date",J$9)+NL("Sum","5802 Value Entry","17 Sales Amount (Actual)","41 Source Type",$C$5,"5 Source no.",$C371,"4 Item Ledger Entry Type",$C$4,"2 Item No.","@@"&amp;$F371,"3 Posting Date",J$9)</t>
  </si>
  <si>
    <t>=-NL("Sum","5802 Value Entry","151 Cost Amount (Expected)","41 Source Type",$C$5,"5 Source No.",$C371,"4 Item Ledger Entry Type",$C$4,"2 Item No.","@@"&amp;$F371,"3 Posting Date",J$9)-NL("Sum","5802 Value Entry","43 Cost Amount (Actual)","41 Source Type",$C$5,"5 Source no.",$C371,"4 Item Ledger Entry Type",$C$4,"2 Item No.","@@"&amp;$F371,"3 Posting Date",J$9)</t>
  </si>
  <si>
    <t>=J371-L371</t>
  </si>
  <si>
    <t>=IF(J371&lt;&gt;0,M371/J371,"")</t>
  </si>
  <si>
    <t>=NL("Sum","5802 Value Entry","150 Sales Amount (Expected)","41 Source Type",$C$5,"5 Source No.",$C371,"4 Item Ledger Entry Type",$C$4,"2 Item No.","@@"&amp;$F371,"3 Posting Date",O$9)+NL("Sum","5802 Value Entry","17 Sales Amount (Actual)","41 Source Type",$C$5,"5 Source no.",$C371,"4 Item Ledger Entry Type",$C$4,"2 Item No.","@@"&amp;$F371,"3 Posting Date",O$9)</t>
  </si>
  <si>
    <t>=-NL("Sum","5802 Value Entry","151 Cost Amount (Expected)","41 Source Type",$C$5,"5 Source No.",$C371,"4 Item Ledger Entry Type",$C$4,"2 Item No.","@@"&amp;$F371,"3 Posting Date",O$9)-NL("Sum","5802 Value Entry","43 Cost Amount (Actual)","41 Source Type",$C$5,"5 Source no.",$C371,"4 Item Ledger Entry Type",$C$4,"2 Item No.","@@"&amp;$F371,"3 Posting Date",O$9)</t>
  </si>
  <si>
    <t>=O371-Q371</t>
  </si>
  <si>
    <t>=IF(O371&lt;&gt;0,R371/O371,"")</t>
  </si>
  <si>
    <t>=NL("Sum","5802 Value Entry","150 Sales Amount (Expected)","41 Source Type",$C$5,"5 Source No.",$C371,"4 Item Ledger Entry Type",$C$4,"2 Item No.","@@"&amp;$F371,"3 Posting Date",U$9)+NL("Sum","5802 Value Entry","17 Sales Amount (Actual)","41 Source Type",$C$5,"5 Source no.",$C371,"4 Item Ledger Entry Type",$C$4,"2 Item No.","@@"&amp;$F371,"3 Posting Date",U$9)</t>
  </si>
  <si>
    <t>=-NL("Sum","5802 Value Entry","151 Cost Amount (Expected)","41 Source Type",$C$5,"5 Source No.",$C371,"4 Item Ledger Entry Type",$C$4,"2 Item No.","@@"&amp;$F371,"3 Posting Date",U$9)-NL("Sum","5802 Value Entry","43 Cost Amount (Actual)","41 Source Type",$C$5,"5 Source no.",$C371,"4 Item Ledger Entry Type",$C$4,"2 Item No.","@@"&amp;$F371,"3 Posting Date",U$9)</t>
  </si>
  <si>
    <t>=U371-W371</t>
  </si>
  <si>
    <t>=IF(U371&lt;&gt;0,X371/U371,"")</t>
  </si>
  <si>
    <t>=NL("Sum","5802 Value Entry","150 Sales Amount (Expected)","41 Source Type",$C$5,"5 Source No.",$C371,"4 Item Ledger Entry Type",$C$4,"2 Item No.","@@"&amp;$F371,"3 Posting Date",Z$9)+NL("Sum","5802 Value Entry","17 Sales Amount (Actual)","41 Source Type",$C$5,"5 Source no.",$C371,"4 Item Ledger Entry Type",$C$4,"2 Item No.","@@"&amp;$F371,"3 Posting Date",Z$9)</t>
  </si>
  <si>
    <t>=-NL("Sum","5802 Value Entry","151 Cost Amount (Expected)","41 Source Type",$C$5,"5 Source No.",$C371,"4 Item Ledger Entry Type",$C$4,"2 Item No.","@@"&amp;$F371,"3 Posting Date",Z$9)-NL("Sum","5802 Value Entry","43 Cost Amount (Actual)","41 Source Type",$C$5,"5 Source no.",$C371,"4 Item Ledger Entry Type",$C$4,"2 Item No.","@@"&amp;$F371,"3 Posting Date",Z$9)</t>
  </si>
  <si>
    <t>=Z371-AB371</t>
  </si>
  <si>
    <t>=IF(Z371&lt;&gt;0,AC371/Z371,"")</t>
  </si>
  <si>
    <t>=C371</t>
  </si>
  <si>
    <t>=NL("Sum","5802 Value Entry","150 Sales Amount (Expected)","41 Source Type",$C$5,"5 Source No.",$C372,"4 Item Ledger Entry Type",$C$4,"2 Item No.","@@"&amp;$F372,"3 Posting Date",J$9)+NL("Sum","5802 Value Entry","17 Sales Amount (Actual)","41 Source Type",$C$5,"5 Source no.",$C372,"4 Item Ledger Entry Type",$C$4,"2 Item No.","@@"&amp;$F372,"3 Posting Date",J$9)</t>
  </si>
  <si>
    <t>=-NL("Sum","5802 Value Entry","151 Cost Amount (Expected)","41 Source Type",$C$5,"5 Source No.",$C372,"4 Item Ledger Entry Type",$C$4,"2 Item No.","@@"&amp;$F372,"3 Posting Date",J$9)-NL("Sum","5802 Value Entry","43 Cost Amount (Actual)","41 Source Type",$C$5,"5 Source no.",$C372,"4 Item Ledger Entry Type",$C$4,"2 Item No.","@@"&amp;$F372,"3 Posting Date",J$9)</t>
  </si>
  <si>
    <t>=J372-L372</t>
  </si>
  <si>
    <t>=IF(J372&lt;&gt;0,M372/J372,"")</t>
  </si>
  <si>
    <t>=NL("Sum","5802 Value Entry","150 Sales Amount (Expected)","41 Source Type",$C$5,"5 Source No.",$C372,"4 Item Ledger Entry Type",$C$4,"2 Item No.","@@"&amp;$F372,"3 Posting Date",O$9)+NL("Sum","5802 Value Entry","17 Sales Amount (Actual)","41 Source Type",$C$5,"5 Source no.",$C372,"4 Item Ledger Entry Type",$C$4,"2 Item No.","@@"&amp;$F372,"3 Posting Date",O$9)</t>
  </si>
  <si>
    <t>=-NL("Sum","5802 Value Entry","151 Cost Amount (Expected)","41 Source Type",$C$5,"5 Source No.",$C372,"4 Item Ledger Entry Type",$C$4,"2 Item No.","@@"&amp;$F372,"3 Posting Date",O$9)-NL("Sum","5802 Value Entry","43 Cost Amount (Actual)","41 Source Type",$C$5,"5 Source no.",$C372,"4 Item Ledger Entry Type",$C$4,"2 Item No.","@@"&amp;$F372,"3 Posting Date",O$9)</t>
  </si>
  <si>
    <t>=O372-Q372</t>
  </si>
  <si>
    <t>=IF(O372&lt;&gt;0,R372/O372,"")</t>
  </si>
  <si>
    <t>=NL("Sum","5802 Value Entry","150 Sales Amount (Expected)","41 Source Type",$C$5,"5 Source No.",$C372,"4 Item Ledger Entry Type",$C$4,"2 Item No.","@@"&amp;$F372,"3 Posting Date",U$9)+NL("Sum","5802 Value Entry","17 Sales Amount (Actual)","41 Source Type",$C$5,"5 Source no.",$C372,"4 Item Ledger Entry Type",$C$4,"2 Item No.","@@"&amp;$F372,"3 Posting Date",U$9)</t>
  </si>
  <si>
    <t>=-NL("Sum","5802 Value Entry","151 Cost Amount (Expected)","41 Source Type",$C$5,"5 Source No.",$C372,"4 Item Ledger Entry Type",$C$4,"2 Item No.","@@"&amp;$F372,"3 Posting Date",U$9)-NL("Sum","5802 Value Entry","43 Cost Amount (Actual)","41 Source Type",$C$5,"5 Source no.",$C372,"4 Item Ledger Entry Type",$C$4,"2 Item No.","@@"&amp;$F372,"3 Posting Date",U$9)</t>
  </si>
  <si>
    <t>=U372-W372</t>
  </si>
  <si>
    <t>=IF(U372&lt;&gt;0,X372/U372,"")</t>
  </si>
  <si>
    <t>=NL("Sum","5802 Value Entry","150 Sales Amount (Expected)","41 Source Type",$C$5,"5 Source No.",$C372,"4 Item Ledger Entry Type",$C$4,"2 Item No.","@@"&amp;$F372,"3 Posting Date",Z$9)+NL("Sum","5802 Value Entry","17 Sales Amount (Actual)","41 Source Type",$C$5,"5 Source no.",$C372,"4 Item Ledger Entry Type",$C$4,"2 Item No.","@@"&amp;$F372,"3 Posting Date",Z$9)</t>
  </si>
  <si>
    <t>=-NL("Sum","5802 Value Entry","151 Cost Amount (Expected)","41 Source Type",$C$5,"5 Source No.",$C372,"4 Item Ledger Entry Type",$C$4,"2 Item No.","@@"&amp;$F372,"3 Posting Date",Z$9)-NL("Sum","5802 Value Entry","43 Cost Amount (Actual)","41 Source Type",$C$5,"5 Source no.",$C372,"4 Item Ledger Entry Type",$C$4,"2 Item No.","@@"&amp;$F372,"3 Posting Date",Z$9)</t>
  </si>
  <si>
    <t>=Z372-AB372</t>
  </si>
  <si>
    <t>=IF(Z372&lt;&gt;0,AC372/Z372,"")</t>
  </si>
  <si>
    <t>=C372</t>
  </si>
  <si>
    <t>=NL("Sum","5802 Value Entry","150 Sales Amount (Expected)","41 Source Type",$C$5,"5 Source No.",$C373,"4 Item Ledger Entry Type",$C$4,"2 Item No.","@@"&amp;$F373,"3 Posting Date",J$9)+NL("Sum","5802 Value Entry","17 Sales Amount (Actual)","41 Source Type",$C$5,"5 Source no.",$C373,"4 Item Ledger Entry Type",$C$4,"2 Item No.","@@"&amp;$F373,"3 Posting Date",J$9)</t>
  </si>
  <si>
    <t>=-NL("Sum","5802 Value Entry","151 Cost Amount (Expected)","41 Source Type",$C$5,"5 Source No.",$C373,"4 Item Ledger Entry Type",$C$4,"2 Item No.","@@"&amp;$F373,"3 Posting Date",J$9)-NL("Sum","5802 Value Entry","43 Cost Amount (Actual)","41 Source Type",$C$5,"5 Source no.",$C373,"4 Item Ledger Entry Type",$C$4,"2 Item No.","@@"&amp;$F373,"3 Posting Date",J$9)</t>
  </si>
  <si>
    <t>=J373-L373</t>
  </si>
  <si>
    <t>=IF(J373&lt;&gt;0,M373/J373,"")</t>
  </si>
  <si>
    <t>=NL("Sum","5802 Value Entry","150 Sales Amount (Expected)","41 Source Type",$C$5,"5 Source No.",$C373,"4 Item Ledger Entry Type",$C$4,"2 Item No.","@@"&amp;$F373,"3 Posting Date",O$9)+NL("Sum","5802 Value Entry","17 Sales Amount (Actual)","41 Source Type",$C$5,"5 Source no.",$C373,"4 Item Ledger Entry Type",$C$4,"2 Item No.","@@"&amp;$F373,"3 Posting Date",O$9)</t>
  </si>
  <si>
    <t>=-NL("Sum","5802 Value Entry","151 Cost Amount (Expected)","41 Source Type",$C$5,"5 Source No.",$C373,"4 Item Ledger Entry Type",$C$4,"2 Item No.","@@"&amp;$F373,"3 Posting Date",O$9)-NL("Sum","5802 Value Entry","43 Cost Amount (Actual)","41 Source Type",$C$5,"5 Source no.",$C373,"4 Item Ledger Entry Type",$C$4,"2 Item No.","@@"&amp;$F373,"3 Posting Date",O$9)</t>
  </si>
  <si>
    <t>=O373-Q373</t>
  </si>
  <si>
    <t>=IF(O373&lt;&gt;0,R373/O373,"")</t>
  </si>
  <si>
    <t>=NL("Sum","5802 Value Entry","150 Sales Amount (Expected)","41 Source Type",$C$5,"5 Source No.",$C373,"4 Item Ledger Entry Type",$C$4,"2 Item No.","@@"&amp;$F373,"3 Posting Date",U$9)+NL("Sum","5802 Value Entry","17 Sales Amount (Actual)","41 Source Type",$C$5,"5 Source no.",$C373,"4 Item Ledger Entry Type",$C$4,"2 Item No.","@@"&amp;$F373,"3 Posting Date",U$9)</t>
  </si>
  <si>
    <t>=-NL("Sum","5802 Value Entry","151 Cost Amount (Expected)","41 Source Type",$C$5,"5 Source No.",$C373,"4 Item Ledger Entry Type",$C$4,"2 Item No.","@@"&amp;$F373,"3 Posting Date",U$9)-NL("Sum","5802 Value Entry","43 Cost Amount (Actual)","41 Source Type",$C$5,"5 Source no.",$C373,"4 Item Ledger Entry Type",$C$4,"2 Item No.","@@"&amp;$F373,"3 Posting Date",U$9)</t>
  </si>
  <si>
    <t>=U373-W373</t>
  </si>
  <si>
    <t>=IF(U373&lt;&gt;0,X373/U373,"")</t>
  </si>
  <si>
    <t>=NL("Sum","5802 Value Entry","150 Sales Amount (Expected)","41 Source Type",$C$5,"5 Source No.",$C373,"4 Item Ledger Entry Type",$C$4,"2 Item No.","@@"&amp;$F373,"3 Posting Date",Z$9)+NL("Sum","5802 Value Entry","17 Sales Amount (Actual)","41 Source Type",$C$5,"5 Source no.",$C373,"4 Item Ledger Entry Type",$C$4,"2 Item No.","@@"&amp;$F373,"3 Posting Date",Z$9)</t>
  </si>
  <si>
    <t>=-NL("Sum","5802 Value Entry","151 Cost Amount (Expected)","41 Source Type",$C$5,"5 Source No.",$C373,"4 Item Ledger Entry Type",$C$4,"2 Item No.","@@"&amp;$F373,"3 Posting Date",Z$9)-NL("Sum","5802 Value Entry","43 Cost Amount (Actual)","41 Source Type",$C$5,"5 Source no.",$C373,"4 Item Ledger Entry Type",$C$4,"2 Item No.","@@"&amp;$F373,"3 Posting Date",Z$9)</t>
  </si>
  <si>
    <t>=Z373-AB373</t>
  </si>
  <si>
    <t>=IF(Z373&lt;&gt;0,AC373/Z373,"")</t>
  </si>
  <si>
    <t>=C373</t>
  </si>
  <si>
    <t>=NL("Sum","5802 Value Entry","150 Sales Amount (Expected)","41 Source Type",$C$5,"5 Source No.",$C374,"4 Item Ledger Entry Type",$C$4,"2 Item No.","@@"&amp;$F374,"3 Posting Date",J$9)+NL("Sum","5802 Value Entry","17 Sales Amount (Actual)","41 Source Type",$C$5,"5 Source no.",$C374,"4 Item Ledger Entry Type",$C$4,"2 Item No.","@@"&amp;$F374,"3 Posting Date",J$9)</t>
  </si>
  <si>
    <t>=-NL("Sum","5802 Value Entry","151 Cost Amount (Expected)","41 Source Type",$C$5,"5 Source No.",$C374,"4 Item Ledger Entry Type",$C$4,"2 Item No.","@@"&amp;$F374,"3 Posting Date",J$9)-NL("Sum","5802 Value Entry","43 Cost Amount (Actual)","41 Source Type",$C$5,"5 Source no.",$C374,"4 Item Ledger Entry Type",$C$4,"2 Item No.","@@"&amp;$F374,"3 Posting Date",J$9)</t>
  </si>
  <si>
    <t>=J374-L374</t>
  </si>
  <si>
    <t>=IF(J374&lt;&gt;0,M374/J374,"")</t>
  </si>
  <si>
    <t>=NL("Sum","5802 Value Entry","150 Sales Amount (Expected)","41 Source Type",$C$5,"5 Source No.",$C374,"4 Item Ledger Entry Type",$C$4,"2 Item No.","@@"&amp;$F374,"3 Posting Date",O$9)+NL("Sum","5802 Value Entry","17 Sales Amount (Actual)","41 Source Type",$C$5,"5 Source no.",$C374,"4 Item Ledger Entry Type",$C$4,"2 Item No.","@@"&amp;$F374,"3 Posting Date",O$9)</t>
  </si>
  <si>
    <t>=-NL("Sum","5802 Value Entry","151 Cost Amount (Expected)","41 Source Type",$C$5,"5 Source No.",$C374,"4 Item Ledger Entry Type",$C$4,"2 Item No.","@@"&amp;$F374,"3 Posting Date",O$9)-NL("Sum","5802 Value Entry","43 Cost Amount (Actual)","41 Source Type",$C$5,"5 Source no.",$C374,"4 Item Ledger Entry Type",$C$4,"2 Item No.","@@"&amp;$F374,"3 Posting Date",O$9)</t>
  </si>
  <si>
    <t>=O374-Q374</t>
  </si>
  <si>
    <t>=IF(O374&lt;&gt;0,R374/O374,"")</t>
  </si>
  <si>
    <t>=NL("Sum","5802 Value Entry","150 Sales Amount (Expected)","41 Source Type",$C$5,"5 Source No.",$C374,"4 Item Ledger Entry Type",$C$4,"2 Item No.","@@"&amp;$F374,"3 Posting Date",U$9)+NL("Sum","5802 Value Entry","17 Sales Amount (Actual)","41 Source Type",$C$5,"5 Source no.",$C374,"4 Item Ledger Entry Type",$C$4,"2 Item No.","@@"&amp;$F374,"3 Posting Date",U$9)</t>
  </si>
  <si>
    <t>=-NL("Sum","5802 Value Entry","151 Cost Amount (Expected)","41 Source Type",$C$5,"5 Source No.",$C374,"4 Item Ledger Entry Type",$C$4,"2 Item No.","@@"&amp;$F374,"3 Posting Date",U$9)-NL("Sum","5802 Value Entry","43 Cost Amount (Actual)","41 Source Type",$C$5,"5 Source no.",$C374,"4 Item Ledger Entry Type",$C$4,"2 Item No.","@@"&amp;$F374,"3 Posting Date",U$9)</t>
  </si>
  <si>
    <t>=U374-W374</t>
  </si>
  <si>
    <t>=IF(U374&lt;&gt;0,X374/U374,"")</t>
  </si>
  <si>
    <t>=NL("Sum","5802 Value Entry","150 Sales Amount (Expected)","41 Source Type",$C$5,"5 Source No.",$C374,"4 Item Ledger Entry Type",$C$4,"2 Item No.","@@"&amp;$F374,"3 Posting Date",Z$9)+NL("Sum","5802 Value Entry","17 Sales Amount (Actual)","41 Source Type",$C$5,"5 Source no.",$C374,"4 Item Ledger Entry Type",$C$4,"2 Item No.","@@"&amp;$F374,"3 Posting Date",Z$9)</t>
  </si>
  <si>
    <t>=-NL("Sum","5802 Value Entry","151 Cost Amount (Expected)","41 Source Type",$C$5,"5 Source No.",$C374,"4 Item Ledger Entry Type",$C$4,"2 Item No.","@@"&amp;$F374,"3 Posting Date",Z$9)-NL("Sum","5802 Value Entry","43 Cost Amount (Actual)","41 Source Type",$C$5,"5 Source no.",$C374,"4 Item Ledger Entry Type",$C$4,"2 Item No.","@@"&amp;$F374,"3 Posting Date",Z$9)</t>
  </si>
  <si>
    <t>=Z374-AB374</t>
  </si>
  <si>
    <t>=IF(Z374&lt;&gt;0,AC374/Z374,"")</t>
  </si>
  <si>
    <t>=C374</t>
  </si>
  <si>
    <t>=NL("Sum","5802 Value Entry","150 Sales Amount (Expected)","41 Source Type",$C$5,"5 Source No.",$C375,"4 Item Ledger Entry Type",$C$4,"2 Item No.","@@"&amp;$F375,"3 Posting Date",J$9)+NL("Sum","5802 Value Entry","17 Sales Amount (Actual)","41 Source Type",$C$5,"5 Source no.",$C375,"4 Item Ledger Entry Type",$C$4,"2 Item No.","@@"&amp;$F375,"3 Posting Date",J$9)</t>
  </si>
  <si>
    <t>=-NL("Sum","5802 Value Entry","151 Cost Amount (Expected)","41 Source Type",$C$5,"5 Source No.",$C375,"4 Item Ledger Entry Type",$C$4,"2 Item No.","@@"&amp;$F375,"3 Posting Date",J$9)-NL("Sum","5802 Value Entry","43 Cost Amount (Actual)","41 Source Type",$C$5,"5 Source no.",$C375,"4 Item Ledger Entry Type",$C$4,"2 Item No.","@@"&amp;$F375,"3 Posting Date",J$9)</t>
  </si>
  <si>
    <t>=J375-L375</t>
  </si>
  <si>
    <t>=IF(J375&lt;&gt;0,M375/J375,"")</t>
  </si>
  <si>
    <t>=NL("Sum","5802 Value Entry","150 Sales Amount (Expected)","41 Source Type",$C$5,"5 Source No.",$C375,"4 Item Ledger Entry Type",$C$4,"2 Item No.","@@"&amp;$F375,"3 Posting Date",O$9)+NL("Sum","5802 Value Entry","17 Sales Amount (Actual)","41 Source Type",$C$5,"5 Source no.",$C375,"4 Item Ledger Entry Type",$C$4,"2 Item No.","@@"&amp;$F375,"3 Posting Date",O$9)</t>
  </si>
  <si>
    <t>=-NL("Sum","5802 Value Entry","151 Cost Amount (Expected)","41 Source Type",$C$5,"5 Source No.",$C375,"4 Item Ledger Entry Type",$C$4,"2 Item No.","@@"&amp;$F375,"3 Posting Date",O$9)-NL("Sum","5802 Value Entry","43 Cost Amount (Actual)","41 Source Type",$C$5,"5 Source no.",$C375,"4 Item Ledger Entry Type",$C$4,"2 Item No.","@@"&amp;$F375,"3 Posting Date",O$9)</t>
  </si>
  <si>
    <t>=O375-Q375</t>
  </si>
  <si>
    <t>=IF(O375&lt;&gt;0,R375/O375,"")</t>
  </si>
  <si>
    <t>=NL("Sum","5802 Value Entry","150 Sales Amount (Expected)","41 Source Type",$C$5,"5 Source No.",$C375,"4 Item Ledger Entry Type",$C$4,"2 Item No.","@@"&amp;$F375,"3 Posting Date",U$9)+NL("Sum","5802 Value Entry","17 Sales Amount (Actual)","41 Source Type",$C$5,"5 Source no.",$C375,"4 Item Ledger Entry Type",$C$4,"2 Item No.","@@"&amp;$F375,"3 Posting Date",U$9)</t>
  </si>
  <si>
    <t>=-NL("Sum","5802 Value Entry","151 Cost Amount (Expected)","41 Source Type",$C$5,"5 Source No.",$C375,"4 Item Ledger Entry Type",$C$4,"2 Item No.","@@"&amp;$F375,"3 Posting Date",U$9)-NL("Sum","5802 Value Entry","43 Cost Amount (Actual)","41 Source Type",$C$5,"5 Source no.",$C375,"4 Item Ledger Entry Type",$C$4,"2 Item No.","@@"&amp;$F375,"3 Posting Date",U$9)</t>
  </si>
  <si>
    <t>=U375-W375</t>
  </si>
  <si>
    <t>=IF(U375&lt;&gt;0,X375/U375,"")</t>
  </si>
  <si>
    <t>=NL("Sum","5802 Value Entry","150 Sales Amount (Expected)","41 Source Type",$C$5,"5 Source No.",$C375,"4 Item Ledger Entry Type",$C$4,"2 Item No.","@@"&amp;$F375,"3 Posting Date",Z$9)+NL("Sum","5802 Value Entry","17 Sales Amount (Actual)","41 Source Type",$C$5,"5 Source no.",$C375,"4 Item Ledger Entry Type",$C$4,"2 Item No.","@@"&amp;$F375,"3 Posting Date",Z$9)</t>
  </si>
  <si>
    <t>=-NL("Sum","5802 Value Entry","151 Cost Amount (Expected)","41 Source Type",$C$5,"5 Source No.",$C375,"4 Item Ledger Entry Type",$C$4,"2 Item No.","@@"&amp;$F375,"3 Posting Date",Z$9)-NL("Sum","5802 Value Entry","43 Cost Amount (Actual)","41 Source Type",$C$5,"5 Source no.",$C375,"4 Item Ledger Entry Type",$C$4,"2 Item No.","@@"&amp;$F375,"3 Posting Date",Z$9)</t>
  </si>
  <si>
    <t>=Z375-AB375</t>
  </si>
  <si>
    <t>=IF(Z375&lt;&gt;0,AC375/Z375,"")</t>
  </si>
  <si>
    <t>=C375</t>
  </si>
  <si>
    <t>=NL("Sum","5802 Value Entry","150 Sales Amount (Expected)","41 Source Type",$C$5,"5 Source No.",$C376,"4 Item Ledger Entry Type",$C$4,"2 Item No.","@@"&amp;$F376,"3 Posting Date",J$9)+NL("Sum","5802 Value Entry","17 Sales Amount (Actual)","41 Source Type",$C$5,"5 Source no.",$C376,"4 Item Ledger Entry Type",$C$4,"2 Item No.","@@"&amp;$F376,"3 Posting Date",J$9)</t>
  </si>
  <si>
    <t>=-NL("Sum","5802 Value Entry","151 Cost Amount (Expected)","41 Source Type",$C$5,"5 Source No.",$C376,"4 Item Ledger Entry Type",$C$4,"2 Item No.","@@"&amp;$F376,"3 Posting Date",J$9)-NL("Sum","5802 Value Entry","43 Cost Amount (Actual)","41 Source Type",$C$5,"5 Source no.",$C376,"4 Item Ledger Entry Type",$C$4,"2 Item No.","@@"&amp;$F376,"3 Posting Date",J$9)</t>
  </si>
  <si>
    <t>=J376-L376</t>
  </si>
  <si>
    <t>=IF(J376&lt;&gt;0,M376/J376,"")</t>
  </si>
  <si>
    <t>=NL("Sum","5802 Value Entry","150 Sales Amount (Expected)","41 Source Type",$C$5,"5 Source No.",$C376,"4 Item Ledger Entry Type",$C$4,"2 Item No.","@@"&amp;$F376,"3 Posting Date",O$9)+NL("Sum","5802 Value Entry","17 Sales Amount (Actual)","41 Source Type",$C$5,"5 Source no.",$C376,"4 Item Ledger Entry Type",$C$4,"2 Item No.","@@"&amp;$F376,"3 Posting Date",O$9)</t>
  </si>
  <si>
    <t>=-NL("Sum","5802 Value Entry","151 Cost Amount (Expected)","41 Source Type",$C$5,"5 Source No.",$C376,"4 Item Ledger Entry Type",$C$4,"2 Item No.","@@"&amp;$F376,"3 Posting Date",O$9)-NL("Sum","5802 Value Entry","43 Cost Amount (Actual)","41 Source Type",$C$5,"5 Source no.",$C376,"4 Item Ledger Entry Type",$C$4,"2 Item No.","@@"&amp;$F376,"3 Posting Date",O$9)</t>
  </si>
  <si>
    <t>=O376-Q376</t>
  </si>
  <si>
    <t>=IF(O376&lt;&gt;0,R376/O376,"")</t>
  </si>
  <si>
    <t>=NL("Sum","5802 Value Entry","150 Sales Amount (Expected)","41 Source Type",$C$5,"5 Source No.",$C376,"4 Item Ledger Entry Type",$C$4,"2 Item No.","@@"&amp;$F376,"3 Posting Date",U$9)+NL("Sum","5802 Value Entry","17 Sales Amount (Actual)","41 Source Type",$C$5,"5 Source no.",$C376,"4 Item Ledger Entry Type",$C$4,"2 Item No.","@@"&amp;$F376,"3 Posting Date",U$9)</t>
  </si>
  <si>
    <t>=-NL("Sum","5802 Value Entry","151 Cost Amount (Expected)","41 Source Type",$C$5,"5 Source No.",$C376,"4 Item Ledger Entry Type",$C$4,"2 Item No.","@@"&amp;$F376,"3 Posting Date",U$9)-NL("Sum","5802 Value Entry","43 Cost Amount (Actual)","41 Source Type",$C$5,"5 Source no.",$C376,"4 Item Ledger Entry Type",$C$4,"2 Item No.","@@"&amp;$F376,"3 Posting Date",U$9)</t>
  </si>
  <si>
    <t>=U376-W376</t>
  </si>
  <si>
    <t>=IF(U376&lt;&gt;0,X376/U376,"")</t>
  </si>
  <si>
    <t>=NL("Sum","5802 Value Entry","150 Sales Amount (Expected)","41 Source Type",$C$5,"5 Source No.",$C376,"4 Item Ledger Entry Type",$C$4,"2 Item No.","@@"&amp;$F376,"3 Posting Date",Z$9)+NL("Sum","5802 Value Entry","17 Sales Amount (Actual)","41 Source Type",$C$5,"5 Source no.",$C376,"4 Item Ledger Entry Type",$C$4,"2 Item No.","@@"&amp;$F376,"3 Posting Date",Z$9)</t>
  </si>
  <si>
    <t>=-NL("Sum","5802 Value Entry","151 Cost Amount (Expected)","41 Source Type",$C$5,"5 Source No.",$C376,"4 Item Ledger Entry Type",$C$4,"2 Item No.","@@"&amp;$F376,"3 Posting Date",Z$9)-NL("Sum","5802 Value Entry","43 Cost Amount (Actual)","41 Source Type",$C$5,"5 Source no.",$C376,"4 Item Ledger Entry Type",$C$4,"2 Item No.","@@"&amp;$F376,"3 Posting Date",Z$9)</t>
  </si>
  <si>
    <t>=Z376-AB376</t>
  </si>
  <si>
    <t>=IF(Z376&lt;&gt;0,AC376/Z376,"")</t>
  </si>
  <si>
    <t>=C376</t>
  </si>
  <si>
    <t>=NL("Sum","5802 Value Entry","150 Sales Amount (Expected)","41 Source Type",$C$5,"5 Source No.",$C377,"4 Item Ledger Entry Type",$C$4,"2 Item No.","@@"&amp;$F377,"3 Posting Date",J$9)+NL("Sum","5802 Value Entry","17 Sales Amount (Actual)","41 Source Type",$C$5,"5 Source no.",$C377,"4 Item Ledger Entry Type",$C$4,"2 Item No.","@@"&amp;$F377,"3 Posting Date",J$9)</t>
  </si>
  <si>
    <t>=-NL("Sum","5802 Value Entry","151 Cost Amount (Expected)","41 Source Type",$C$5,"5 Source No.",$C377,"4 Item Ledger Entry Type",$C$4,"2 Item No.","@@"&amp;$F377,"3 Posting Date",J$9)-NL("Sum","5802 Value Entry","43 Cost Amount (Actual)","41 Source Type",$C$5,"5 Source no.",$C377,"4 Item Ledger Entry Type",$C$4,"2 Item No.","@@"&amp;$F377,"3 Posting Date",J$9)</t>
  </si>
  <si>
    <t>=J377-L377</t>
  </si>
  <si>
    <t>=IF(J377&lt;&gt;0,M377/J377,"")</t>
  </si>
  <si>
    <t>=NL("Sum","5802 Value Entry","150 Sales Amount (Expected)","41 Source Type",$C$5,"5 Source No.",$C377,"4 Item Ledger Entry Type",$C$4,"2 Item No.","@@"&amp;$F377,"3 Posting Date",O$9)+NL("Sum","5802 Value Entry","17 Sales Amount (Actual)","41 Source Type",$C$5,"5 Source no.",$C377,"4 Item Ledger Entry Type",$C$4,"2 Item No.","@@"&amp;$F377,"3 Posting Date",O$9)</t>
  </si>
  <si>
    <t>=-NL("Sum","5802 Value Entry","151 Cost Amount (Expected)","41 Source Type",$C$5,"5 Source No.",$C377,"4 Item Ledger Entry Type",$C$4,"2 Item No.","@@"&amp;$F377,"3 Posting Date",O$9)-NL("Sum","5802 Value Entry","43 Cost Amount (Actual)","41 Source Type",$C$5,"5 Source no.",$C377,"4 Item Ledger Entry Type",$C$4,"2 Item No.","@@"&amp;$F377,"3 Posting Date",O$9)</t>
  </si>
  <si>
    <t>=O377-Q377</t>
  </si>
  <si>
    <t>=IF(O377&lt;&gt;0,R377/O377,"")</t>
  </si>
  <si>
    <t>=NL("Sum","5802 Value Entry","150 Sales Amount (Expected)","41 Source Type",$C$5,"5 Source No.",$C377,"4 Item Ledger Entry Type",$C$4,"2 Item No.","@@"&amp;$F377,"3 Posting Date",U$9)+NL("Sum","5802 Value Entry","17 Sales Amount (Actual)","41 Source Type",$C$5,"5 Source no.",$C377,"4 Item Ledger Entry Type",$C$4,"2 Item No.","@@"&amp;$F377,"3 Posting Date",U$9)</t>
  </si>
  <si>
    <t>=-NL("Sum","5802 Value Entry","151 Cost Amount (Expected)","41 Source Type",$C$5,"5 Source No.",$C377,"4 Item Ledger Entry Type",$C$4,"2 Item No.","@@"&amp;$F377,"3 Posting Date",U$9)-NL("Sum","5802 Value Entry","43 Cost Amount (Actual)","41 Source Type",$C$5,"5 Source no.",$C377,"4 Item Ledger Entry Type",$C$4,"2 Item No.","@@"&amp;$F377,"3 Posting Date",U$9)</t>
  </si>
  <si>
    <t>=U377-W377</t>
  </si>
  <si>
    <t>=IF(U377&lt;&gt;0,X377/U377,"")</t>
  </si>
  <si>
    <t>=NL("Sum","5802 Value Entry","150 Sales Amount (Expected)","41 Source Type",$C$5,"5 Source No.",$C377,"4 Item Ledger Entry Type",$C$4,"2 Item No.","@@"&amp;$F377,"3 Posting Date",Z$9)+NL("Sum","5802 Value Entry","17 Sales Amount (Actual)","41 Source Type",$C$5,"5 Source no.",$C377,"4 Item Ledger Entry Type",$C$4,"2 Item No.","@@"&amp;$F377,"3 Posting Date",Z$9)</t>
  </si>
  <si>
    <t>=-NL("Sum","5802 Value Entry","151 Cost Amount (Expected)","41 Source Type",$C$5,"5 Source No.",$C377,"4 Item Ledger Entry Type",$C$4,"2 Item No.","@@"&amp;$F377,"3 Posting Date",Z$9)-NL("Sum","5802 Value Entry","43 Cost Amount (Actual)","41 Source Type",$C$5,"5 Source no.",$C377,"4 Item Ledger Entry Type",$C$4,"2 Item No.","@@"&amp;$F377,"3 Posting Date",Z$9)</t>
  </si>
  <si>
    <t>=Z377-AB377</t>
  </si>
  <si>
    <t>=IF(Z377&lt;&gt;0,AC377/Z377,"")</t>
  </si>
  <si>
    <t>=C377</t>
  </si>
  <si>
    <t>=NL("Sum","5802 Value Entry","150 Sales Amount (Expected)","41 Source Type",$C$5,"5 Source No.",$C378,"4 Item Ledger Entry Type",$C$4,"2 Item No.","@@"&amp;$F378,"3 Posting Date",J$9)+NL("Sum","5802 Value Entry","17 Sales Amount (Actual)","41 Source Type",$C$5,"5 Source no.",$C378,"4 Item Ledger Entry Type",$C$4,"2 Item No.","@@"&amp;$F378,"3 Posting Date",J$9)</t>
  </si>
  <si>
    <t>=-NL("Sum","5802 Value Entry","151 Cost Amount (Expected)","41 Source Type",$C$5,"5 Source No.",$C378,"4 Item Ledger Entry Type",$C$4,"2 Item No.","@@"&amp;$F378,"3 Posting Date",J$9)-NL("Sum","5802 Value Entry","43 Cost Amount (Actual)","41 Source Type",$C$5,"5 Source no.",$C378,"4 Item Ledger Entry Type",$C$4,"2 Item No.","@@"&amp;$F378,"3 Posting Date",J$9)</t>
  </si>
  <si>
    <t>=J378-L378</t>
  </si>
  <si>
    <t>=IF(J378&lt;&gt;0,M378/J378,"")</t>
  </si>
  <si>
    <t>=NL("Sum","5802 Value Entry","150 Sales Amount (Expected)","41 Source Type",$C$5,"5 Source No.",$C378,"4 Item Ledger Entry Type",$C$4,"2 Item No.","@@"&amp;$F378,"3 Posting Date",O$9)+NL("Sum","5802 Value Entry","17 Sales Amount (Actual)","41 Source Type",$C$5,"5 Source no.",$C378,"4 Item Ledger Entry Type",$C$4,"2 Item No.","@@"&amp;$F378,"3 Posting Date",O$9)</t>
  </si>
  <si>
    <t>=-NL("Sum","5802 Value Entry","151 Cost Amount (Expected)","41 Source Type",$C$5,"5 Source No.",$C378,"4 Item Ledger Entry Type",$C$4,"2 Item No.","@@"&amp;$F378,"3 Posting Date",O$9)-NL("Sum","5802 Value Entry","43 Cost Amount (Actual)","41 Source Type",$C$5,"5 Source no.",$C378,"4 Item Ledger Entry Type",$C$4,"2 Item No.","@@"&amp;$F378,"3 Posting Date",O$9)</t>
  </si>
  <si>
    <t>=O378-Q378</t>
  </si>
  <si>
    <t>=IF(O378&lt;&gt;0,R378/O378,"")</t>
  </si>
  <si>
    <t>=NL("Sum","5802 Value Entry","150 Sales Amount (Expected)","41 Source Type",$C$5,"5 Source No.",$C378,"4 Item Ledger Entry Type",$C$4,"2 Item No.","@@"&amp;$F378,"3 Posting Date",U$9)+NL("Sum","5802 Value Entry","17 Sales Amount (Actual)","41 Source Type",$C$5,"5 Source no.",$C378,"4 Item Ledger Entry Type",$C$4,"2 Item No.","@@"&amp;$F378,"3 Posting Date",U$9)</t>
  </si>
  <si>
    <t>=-NL("Sum","5802 Value Entry","151 Cost Amount (Expected)","41 Source Type",$C$5,"5 Source No.",$C378,"4 Item Ledger Entry Type",$C$4,"2 Item No.","@@"&amp;$F378,"3 Posting Date",U$9)-NL("Sum","5802 Value Entry","43 Cost Amount (Actual)","41 Source Type",$C$5,"5 Source no.",$C378,"4 Item Ledger Entry Type",$C$4,"2 Item No.","@@"&amp;$F378,"3 Posting Date",U$9)</t>
  </si>
  <si>
    <t>=U378-W378</t>
  </si>
  <si>
    <t>=IF(U378&lt;&gt;0,X378/U378,"")</t>
  </si>
  <si>
    <t>=NL("Sum","5802 Value Entry","150 Sales Amount (Expected)","41 Source Type",$C$5,"5 Source No.",$C378,"4 Item Ledger Entry Type",$C$4,"2 Item No.","@@"&amp;$F378,"3 Posting Date",Z$9)+NL("Sum","5802 Value Entry","17 Sales Amount (Actual)","41 Source Type",$C$5,"5 Source no.",$C378,"4 Item Ledger Entry Type",$C$4,"2 Item No.","@@"&amp;$F378,"3 Posting Date",Z$9)</t>
  </si>
  <si>
    <t>=-NL("Sum","5802 Value Entry","151 Cost Amount (Expected)","41 Source Type",$C$5,"5 Source No.",$C378,"4 Item Ledger Entry Type",$C$4,"2 Item No.","@@"&amp;$F378,"3 Posting Date",Z$9)-NL("Sum","5802 Value Entry","43 Cost Amount (Actual)","41 Source Type",$C$5,"5 Source no.",$C378,"4 Item Ledger Entry Type",$C$4,"2 Item No.","@@"&amp;$F378,"3 Posting Date",Z$9)</t>
  </si>
  <si>
    <t>=Z378-AB378</t>
  </si>
  <si>
    <t>=IF(Z378&lt;&gt;0,AC378/Z378,"")</t>
  </si>
  <si>
    <t>=C378</t>
  </si>
  <si>
    <t>=NL("Sum","5802 Value Entry","150 Sales Amount (Expected)","41 Source Type",$C$5,"5 Source No.",$C379,"4 Item Ledger Entry Type",$C$4,"2 Item No.","@@"&amp;$F379,"3 Posting Date",J$9)+NL("Sum","5802 Value Entry","17 Sales Amount (Actual)","41 Source Type",$C$5,"5 Source no.",$C379,"4 Item Ledger Entry Type",$C$4,"2 Item No.","@@"&amp;$F379,"3 Posting Date",J$9)</t>
  </si>
  <si>
    <t>=-NL("Sum","5802 Value Entry","151 Cost Amount (Expected)","41 Source Type",$C$5,"5 Source No.",$C379,"4 Item Ledger Entry Type",$C$4,"2 Item No.","@@"&amp;$F379,"3 Posting Date",J$9)-NL("Sum","5802 Value Entry","43 Cost Amount (Actual)","41 Source Type",$C$5,"5 Source no.",$C379,"4 Item Ledger Entry Type",$C$4,"2 Item No.","@@"&amp;$F379,"3 Posting Date",J$9)</t>
  </si>
  <si>
    <t>=J379-L379</t>
  </si>
  <si>
    <t>=IF(J379&lt;&gt;0,M379/J379,"")</t>
  </si>
  <si>
    <t>=NL("Sum","5802 Value Entry","150 Sales Amount (Expected)","41 Source Type",$C$5,"5 Source No.",$C379,"4 Item Ledger Entry Type",$C$4,"2 Item No.","@@"&amp;$F379,"3 Posting Date",O$9)+NL("Sum","5802 Value Entry","17 Sales Amount (Actual)","41 Source Type",$C$5,"5 Source no.",$C379,"4 Item Ledger Entry Type",$C$4,"2 Item No.","@@"&amp;$F379,"3 Posting Date",O$9)</t>
  </si>
  <si>
    <t>=-NL("Sum","5802 Value Entry","151 Cost Amount (Expected)","41 Source Type",$C$5,"5 Source No.",$C379,"4 Item Ledger Entry Type",$C$4,"2 Item No.","@@"&amp;$F379,"3 Posting Date",O$9)-NL("Sum","5802 Value Entry","43 Cost Amount (Actual)","41 Source Type",$C$5,"5 Source no.",$C379,"4 Item Ledger Entry Type",$C$4,"2 Item No.","@@"&amp;$F379,"3 Posting Date",O$9)</t>
  </si>
  <si>
    <t>=O379-Q379</t>
  </si>
  <si>
    <t>=IF(O379&lt;&gt;0,R379/O379,"")</t>
  </si>
  <si>
    <t>=NL("Sum","5802 Value Entry","150 Sales Amount (Expected)","41 Source Type",$C$5,"5 Source No.",$C379,"4 Item Ledger Entry Type",$C$4,"2 Item No.","@@"&amp;$F379,"3 Posting Date",U$9)+NL("Sum","5802 Value Entry","17 Sales Amount (Actual)","41 Source Type",$C$5,"5 Source no.",$C379,"4 Item Ledger Entry Type",$C$4,"2 Item No.","@@"&amp;$F379,"3 Posting Date",U$9)</t>
  </si>
  <si>
    <t>=-NL("Sum","5802 Value Entry","151 Cost Amount (Expected)","41 Source Type",$C$5,"5 Source No.",$C379,"4 Item Ledger Entry Type",$C$4,"2 Item No.","@@"&amp;$F379,"3 Posting Date",U$9)-NL("Sum","5802 Value Entry","43 Cost Amount (Actual)","41 Source Type",$C$5,"5 Source no.",$C379,"4 Item Ledger Entry Type",$C$4,"2 Item No.","@@"&amp;$F379,"3 Posting Date",U$9)</t>
  </si>
  <si>
    <t>=U379-W379</t>
  </si>
  <si>
    <t>=IF(U379&lt;&gt;0,X379/U379,"")</t>
  </si>
  <si>
    <t>=NL("Sum","5802 Value Entry","150 Sales Amount (Expected)","41 Source Type",$C$5,"5 Source No.",$C379,"4 Item Ledger Entry Type",$C$4,"2 Item No.","@@"&amp;$F379,"3 Posting Date",Z$9)+NL("Sum","5802 Value Entry","17 Sales Amount (Actual)","41 Source Type",$C$5,"5 Source no.",$C379,"4 Item Ledger Entry Type",$C$4,"2 Item No.","@@"&amp;$F379,"3 Posting Date",Z$9)</t>
  </si>
  <si>
    <t>=-NL("Sum","5802 Value Entry","151 Cost Amount (Expected)","41 Source Type",$C$5,"5 Source No.",$C379,"4 Item Ledger Entry Type",$C$4,"2 Item No.","@@"&amp;$F379,"3 Posting Date",Z$9)-NL("Sum","5802 Value Entry","43 Cost Amount (Actual)","41 Source Type",$C$5,"5 Source no.",$C379,"4 Item Ledger Entry Type",$C$4,"2 Item No.","@@"&amp;$F379,"3 Posting Date",Z$9)</t>
  </si>
  <si>
    <t>=Z379-AB379</t>
  </si>
  <si>
    <t>=IF(Z379&lt;&gt;0,AC379/Z379,"")</t>
  </si>
  <si>
    <t>=C380</t>
  </si>
  <si>
    <t>=J381-L381</t>
  </si>
  <si>
    <t>=IF(J381&lt;&gt;0,M381/J381,"")</t>
  </si>
  <si>
    <t>=O381-Q381</t>
  </si>
  <si>
    <t>=IF(O381&lt;&gt;0,R381/O381,"")</t>
  </si>
  <si>
    <t>=U381-W381</t>
  </si>
  <si>
    <t>=IF(U381&lt;&gt;0,X381/U381,"")</t>
  </si>
  <si>
    <t>=Z381-AB381</t>
  </si>
  <si>
    <t>=IF(Z381&lt;&gt;0,AC381/Z381,"")</t>
  </si>
  <si>
    <t>=C383</t>
  </si>
  <si>
    <t>=C384</t>
  </si>
  <si>
    <t>=NL("Sum","5802 Value Entry","150 Sales Amount (Expected)","41 Source Type",$C$5,"5 Source No.",$C385,"4 Item Ledger Entry Type",$C$4,"2 Item No.","@@"&amp;$F385,"3 Posting Date",J$9)+NL("Sum","5802 Value Entry","17 Sales Amount (Actual)","41 Source Type",$C$5,"5 Source no.",$C385,"4 Item Ledger Entry Type",$C$4,"2 Item No.","@@"&amp;$F385,"3 Posting Date",J$9)</t>
  </si>
  <si>
    <t>=-NL("Sum","5802 Value Entry","151 Cost Amount (Expected)","41 Source Type",$C$5,"5 Source No.",$C385,"4 Item Ledger Entry Type",$C$4,"2 Item No.","@@"&amp;$F385,"3 Posting Date",J$9)-NL("Sum","5802 Value Entry","43 Cost Amount (Actual)","41 Source Type",$C$5,"5 Source no.",$C385,"4 Item Ledger Entry Type",$C$4,"2 Item No.","@@"&amp;$F385,"3 Posting Date",J$9)</t>
  </si>
  <si>
    <t>=J385-L385</t>
  </si>
  <si>
    <t>=IF(J385&lt;&gt;0,M385/J385,"")</t>
  </si>
  <si>
    <t>=NL("Sum","5802 Value Entry","150 Sales Amount (Expected)","41 Source Type",$C$5,"5 Source No.",$C385,"4 Item Ledger Entry Type",$C$4,"2 Item No.","@@"&amp;$F385,"3 Posting Date",O$9)+NL("Sum","5802 Value Entry","17 Sales Amount (Actual)","41 Source Type",$C$5,"5 Source no.",$C385,"4 Item Ledger Entry Type",$C$4,"2 Item No.","@@"&amp;$F385,"3 Posting Date",O$9)</t>
  </si>
  <si>
    <t>=-NL("Sum","5802 Value Entry","151 Cost Amount (Expected)","41 Source Type",$C$5,"5 Source No.",$C385,"4 Item Ledger Entry Type",$C$4,"2 Item No.","@@"&amp;$F385,"3 Posting Date",O$9)-NL("Sum","5802 Value Entry","43 Cost Amount (Actual)","41 Source Type",$C$5,"5 Source no.",$C385,"4 Item Ledger Entry Type",$C$4,"2 Item No.","@@"&amp;$F385,"3 Posting Date",O$9)</t>
  </si>
  <si>
    <t>=O385-Q385</t>
  </si>
  <si>
    <t>=IF(O385&lt;&gt;0,R385/O385,"")</t>
  </si>
  <si>
    <t>=NL("Sum","5802 Value Entry","150 Sales Amount (Expected)","41 Source Type",$C$5,"5 Source No.",$C385,"4 Item Ledger Entry Type",$C$4,"2 Item No.","@@"&amp;$F385,"3 Posting Date",U$9)+NL("Sum","5802 Value Entry","17 Sales Amount (Actual)","41 Source Type",$C$5,"5 Source no.",$C385,"4 Item Ledger Entry Type",$C$4,"2 Item No.","@@"&amp;$F385,"3 Posting Date",U$9)</t>
  </si>
  <si>
    <t>=-NL("Sum","5802 Value Entry","151 Cost Amount (Expected)","41 Source Type",$C$5,"5 Source No.",$C385,"4 Item Ledger Entry Type",$C$4,"2 Item No.","@@"&amp;$F385,"3 Posting Date",U$9)-NL("Sum","5802 Value Entry","43 Cost Amount (Actual)","41 Source Type",$C$5,"5 Source no.",$C385,"4 Item Ledger Entry Type",$C$4,"2 Item No.","@@"&amp;$F385,"3 Posting Date",U$9)</t>
  </si>
  <si>
    <t>=U385-W385</t>
  </si>
  <si>
    <t>=IF(U385&lt;&gt;0,X385/U385,"")</t>
  </si>
  <si>
    <t>=NL("Sum","5802 Value Entry","150 Sales Amount (Expected)","41 Source Type",$C$5,"5 Source No.",$C385,"4 Item Ledger Entry Type",$C$4,"2 Item No.","@@"&amp;$F385,"3 Posting Date",Z$9)+NL("Sum","5802 Value Entry","17 Sales Amount (Actual)","41 Source Type",$C$5,"5 Source no.",$C385,"4 Item Ledger Entry Type",$C$4,"2 Item No.","@@"&amp;$F385,"3 Posting Date",Z$9)</t>
  </si>
  <si>
    <t>=-NL("Sum","5802 Value Entry","151 Cost Amount (Expected)","41 Source Type",$C$5,"5 Source No.",$C385,"4 Item Ledger Entry Type",$C$4,"2 Item No.","@@"&amp;$F385,"3 Posting Date",Z$9)-NL("Sum","5802 Value Entry","43 Cost Amount (Actual)","41 Source Type",$C$5,"5 Source no.",$C385,"4 Item Ledger Entry Type",$C$4,"2 Item No.","@@"&amp;$F385,"3 Posting Date",Z$9)</t>
  </si>
  <si>
    <t>=Z385-AB385</t>
  </si>
  <si>
    <t>=IF(Z385&lt;&gt;0,AC385/Z385,"")</t>
  </si>
  <si>
    <t>=C385</t>
  </si>
  <si>
    <t>=NL("Sum","5802 Value Entry","150 Sales Amount (Expected)","41 Source Type",$C$5,"5 Source No.",$C386,"4 Item Ledger Entry Type",$C$4,"2 Item No.","@@"&amp;$F386,"3 Posting Date",J$9)+NL("Sum","5802 Value Entry","17 Sales Amount (Actual)","41 Source Type",$C$5,"5 Source no.",$C386,"4 Item Ledger Entry Type",$C$4,"2 Item No.","@@"&amp;$F386,"3 Posting Date",J$9)</t>
  </si>
  <si>
    <t>=-NL("Sum","5802 Value Entry","151 Cost Amount (Expected)","41 Source Type",$C$5,"5 Source No.",$C386,"4 Item Ledger Entry Type",$C$4,"2 Item No.","@@"&amp;$F386,"3 Posting Date",J$9)-NL("Sum","5802 Value Entry","43 Cost Amount (Actual)","41 Source Type",$C$5,"5 Source no.",$C386,"4 Item Ledger Entry Type",$C$4,"2 Item No.","@@"&amp;$F386,"3 Posting Date",J$9)</t>
  </si>
  <si>
    <t>=J386-L386</t>
  </si>
  <si>
    <t>=IF(J386&lt;&gt;0,M386/J386,"")</t>
  </si>
  <si>
    <t>=NL("Sum","5802 Value Entry","150 Sales Amount (Expected)","41 Source Type",$C$5,"5 Source No.",$C386,"4 Item Ledger Entry Type",$C$4,"2 Item No.","@@"&amp;$F386,"3 Posting Date",O$9)+NL("Sum","5802 Value Entry","17 Sales Amount (Actual)","41 Source Type",$C$5,"5 Source no.",$C386,"4 Item Ledger Entry Type",$C$4,"2 Item No.","@@"&amp;$F386,"3 Posting Date",O$9)</t>
  </si>
  <si>
    <t>=-NL("Sum","5802 Value Entry","151 Cost Amount (Expected)","41 Source Type",$C$5,"5 Source No.",$C386,"4 Item Ledger Entry Type",$C$4,"2 Item No.","@@"&amp;$F386,"3 Posting Date",O$9)-NL("Sum","5802 Value Entry","43 Cost Amount (Actual)","41 Source Type",$C$5,"5 Source no.",$C386,"4 Item Ledger Entry Type",$C$4,"2 Item No.","@@"&amp;$F386,"3 Posting Date",O$9)</t>
  </si>
  <si>
    <t>=O386-Q386</t>
  </si>
  <si>
    <t>=IF(O386&lt;&gt;0,R386/O386,"")</t>
  </si>
  <si>
    <t>=NL("Sum","5802 Value Entry","150 Sales Amount (Expected)","41 Source Type",$C$5,"5 Source No.",$C386,"4 Item Ledger Entry Type",$C$4,"2 Item No.","@@"&amp;$F386,"3 Posting Date",U$9)+NL("Sum","5802 Value Entry","17 Sales Amount (Actual)","41 Source Type",$C$5,"5 Source no.",$C386,"4 Item Ledger Entry Type",$C$4,"2 Item No.","@@"&amp;$F386,"3 Posting Date",U$9)</t>
  </si>
  <si>
    <t>=-NL("Sum","5802 Value Entry","151 Cost Amount (Expected)","41 Source Type",$C$5,"5 Source No.",$C386,"4 Item Ledger Entry Type",$C$4,"2 Item No.","@@"&amp;$F386,"3 Posting Date",U$9)-NL("Sum","5802 Value Entry","43 Cost Amount (Actual)","41 Source Type",$C$5,"5 Source no.",$C386,"4 Item Ledger Entry Type",$C$4,"2 Item No.","@@"&amp;$F386,"3 Posting Date",U$9)</t>
  </si>
  <si>
    <t>=U386-W386</t>
  </si>
  <si>
    <t>=IF(U386&lt;&gt;0,X386/U386,"")</t>
  </si>
  <si>
    <t>=NL("Sum","5802 Value Entry","150 Sales Amount (Expected)","41 Source Type",$C$5,"5 Source No.",$C386,"4 Item Ledger Entry Type",$C$4,"2 Item No.","@@"&amp;$F386,"3 Posting Date",Z$9)+NL("Sum","5802 Value Entry","17 Sales Amount (Actual)","41 Source Type",$C$5,"5 Source no.",$C386,"4 Item Ledger Entry Type",$C$4,"2 Item No.","@@"&amp;$F386,"3 Posting Date",Z$9)</t>
  </si>
  <si>
    <t>=-NL("Sum","5802 Value Entry","151 Cost Amount (Expected)","41 Source Type",$C$5,"5 Source No.",$C386,"4 Item Ledger Entry Type",$C$4,"2 Item No.","@@"&amp;$F386,"3 Posting Date",Z$9)-NL("Sum","5802 Value Entry","43 Cost Amount (Actual)","41 Source Type",$C$5,"5 Source no.",$C386,"4 Item Ledger Entry Type",$C$4,"2 Item No.","@@"&amp;$F386,"3 Posting Date",Z$9)</t>
  </si>
  <si>
    <t>=Z386-AB386</t>
  </si>
  <si>
    <t>=IF(Z386&lt;&gt;0,AC386/Z386,"")</t>
  </si>
  <si>
    <t>=C386</t>
  </si>
  <si>
    <t>=NL("Sum","5802 Value Entry","150 Sales Amount (Expected)","41 Source Type",$C$5,"5 Source No.",$C387,"4 Item Ledger Entry Type",$C$4,"2 Item No.","@@"&amp;$F387,"3 Posting Date",J$9)+NL("Sum","5802 Value Entry","17 Sales Amount (Actual)","41 Source Type",$C$5,"5 Source no.",$C387,"4 Item Ledger Entry Type",$C$4,"2 Item No.","@@"&amp;$F387,"3 Posting Date",J$9)</t>
  </si>
  <si>
    <t>=-NL("Sum","5802 Value Entry","151 Cost Amount (Expected)","41 Source Type",$C$5,"5 Source No.",$C387,"4 Item Ledger Entry Type",$C$4,"2 Item No.","@@"&amp;$F387,"3 Posting Date",J$9)-NL("Sum","5802 Value Entry","43 Cost Amount (Actual)","41 Source Type",$C$5,"5 Source no.",$C387,"4 Item Ledger Entry Type",$C$4,"2 Item No.","@@"&amp;$F387,"3 Posting Date",J$9)</t>
  </si>
  <si>
    <t>=J387-L387</t>
  </si>
  <si>
    <t>=IF(J387&lt;&gt;0,M387/J387,"")</t>
  </si>
  <si>
    <t>=NL("Sum","5802 Value Entry","150 Sales Amount (Expected)","41 Source Type",$C$5,"5 Source No.",$C387,"4 Item Ledger Entry Type",$C$4,"2 Item No.","@@"&amp;$F387,"3 Posting Date",O$9)+NL("Sum","5802 Value Entry","17 Sales Amount (Actual)","41 Source Type",$C$5,"5 Source no.",$C387,"4 Item Ledger Entry Type",$C$4,"2 Item No.","@@"&amp;$F387,"3 Posting Date",O$9)</t>
  </si>
  <si>
    <t>=-NL("Sum","5802 Value Entry","151 Cost Amount (Expected)","41 Source Type",$C$5,"5 Source No.",$C387,"4 Item Ledger Entry Type",$C$4,"2 Item No.","@@"&amp;$F387,"3 Posting Date",O$9)-NL("Sum","5802 Value Entry","43 Cost Amount (Actual)","41 Source Type",$C$5,"5 Source no.",$C387,"4 Item Ledger Entry Type",$C$4,"2 Item No.","@@"&amp;$F387,"3 Posting Date",O$9)</t>
  </si>
  <si>
    <t>=O387-Q387</t>
  </si>
  <si>
    <t>=IF(O387&lt;&gt;0,R387/O387,"")</t>
  </si>
  <si>
    <t>=NL("Sum","5802 Value Entry","150 Sales Amount (Expected)","41 Source Type",$C$5,"5 Source No.",$C387,"4 Item Ledger Entry Type",$C$4,"2 Item No.","@@"&amp;$F387,"3 Posting Date",U$9)+NL("Sum","5802 Value Entry","17 Sales Amount (Actual)","41 Source Type",$C$5,"5 Source no.",$C387,"4 Item Ledger Entry Type",$C$4,"2 Item No.","@@"&amp;$F387,"3 Posting Date",U$9)</t>
  </si>
  <si>
    <t>=-NL("Sum","5802 Value Entry","151 Cost Amount (Expected)","41 Source Type",$C$5,"5 Source No.",$C387,"4 Item Ledger Entry Type",$C$4,"2 Item No.","@@"&amp;$F387,"3 Posting Date",U$9)-NL("Sum","5802 Value Entry","43 Cost Amount (Actual)","41 Source Type",$C$5,"5 Source no.",$C387,"4 Item Ledger Entry Type",$C$4,"2 Item No.","@@"&amp;$F387,"3 Posting Date",U$9)</t>
  </si>
  <si>
    <t>=U387-W387</t>
  </si>
  <si>
    <t>=IF(U387&lt;&gt;0,X387/U387,"")</t>
  </si>
  <si>
    <t>=NL("Sum","5802 Value Entry","150 Sales Amount (Expected)","41 Source Type",$C$5,"5 Source No.",$C387,"4 Item Ledger Entry Type",$C$4,"2 Item No.","@@"&amp;$F387,"3 Posting Date",Z$9)+NL("Sum","5802 Value Entry","17 Sales Amount (Actual)","41 Source Type",$C$5,"5 Source no.",$C387,"4 Item Ledger Entry Type",$C$4,"2 Item No.","@@"&amp;$F387,"3 Posting Date",Z$9)</t>
  </si>
  <si>
    <t>=-NL("Sum","5802 Value Entry","151 Cost Amount (Expected)","41 Source Type",$C$5,"5 Source No.",$C387,"4 Item Ledger Entry Type",$C$4,"2 Item No.","@@"&amp;$F387,"3 Posting Date",Z$9)-NL("Sum","5802 Value Entry","43 Cost Amount (Actual)","41 Source Type",$C$5,"5 Source no.",$C387,"4 Item Ledger Entry Type",$C$4,"2 Item No.","@@"&amp;$F387,"3 Posting Date",Z$9)</t>
  </si>
  <si>
    <t>=Z387-AB387</t>
  </si>
  <si>
    <t>=IF(Z387&lt;&gt;0,AC387/Z387,"")</t>
  </si>
  <si>
    <t>=C388</t>
  </si>
  <si>
    <t>=J389-L389</t>
  </si>
  <si>
    <t>=IF(J389&lt;&gt;0,M389/J389,"")</t>
  </si>
  <si>
    <t>=O389-Q389</t>
  </si>
  <si>
    <t>=IF(O389&lt;&gt;0,R389/O389,"")</t>
  </si>
  <si>
    <t>=U389-W389</t>
  </si>
  <si>
    <t>=IF(U389&lt;&gt;0,X389/U389,"")</t>
  </si>
  <si>
    <t>=Z389-AB389</t>
  </si>
  <si>
    <t>=IF(Z389&lt;&gt;0,AC389/Z389,"")</t>
  </si>
  <si>
    <t>=C391</t>
  </si>
  <si>
    <t>=C392</t>
  </si>
  <si>
    <t>=NL("Sum","5802 Value Entry","150 Sales Amount (Expected)","41 Source Type",$C$5,"5 Source No.",$C393,"4 Item Ledger Entry Type",$C$4,"2 Item No.","@@"&amp;$F393,"3 Posting Date",J$9)+NL("Sum","5802 Value Entry","17 Sales Amount (Actual)","41 Source Type",$C$5,"5 Source no.",$C393,"4 Item Ledger Entry Type",$C$4,"2 Item No.","@@"&amp;$F393,"3 Posting Date",J$9)</t>
  </si>
  <si>
    <t>=-NL("Sum","5802 Value Entry","151 Cost Amount (Expected)","41 Source Type",$C$5,"5 Source No.",$C393,"4 Item Ledger Entry Type",$C$4,"2 Item No.","@@"&amp;$F393,"3 Posting Date",J$9)-NL("Sum","5802 Value Entry","43 Cost Amount (Actual)","41 Source Type",$C$5,"5 Source no.",$C393,"4 Item Ledger Entry Type",$C$4,"2 Item No.","@@"&amp;$F393,"3 Posting Date",J$9)</t>
  </si>
  <si>
    <t>=J393-L393</t>
  </si>
  <si>
    <t>=IF(J393&lt;&gt;0,M393/J393,"")</t>
  </si>
  <si>
    <t>=NL("Sum","5802 Value Entry","150 Sales Amount (Expected)","41 Source Type",$C$5,"5 Source No.",$C393,"4 Item Ledger Entry Type",$C$4,"2 Item No.","@@"&amp;$F393,"3 Posting Date",O$9)+NL("Sum","5802 Value Entry","17 Sales Amount (Actual)","41 Source Type",$C$5,"5 Source no.",$C393,"4 Item Ledger Entry Type",$C$4,"2 Item No.","@@"&amp;$F393,"3 Posting Date",O$9)</t>
  </si>
  <si>
    <t>=-NL("Sum","5802 Value Entry","151 Cost Amount (Expected)","41 Source Type",$C$5,"5 Source No.",$C393,"4 Item Ledger Entry Type",$C$4,"2 Item No.","@@"&amp;$F393,"3 Posting Date",O$9)-NL("Sum","5802 Value Entry","43 Cost Amount (Actual)","41 Source Type",$C$5,"5 Source no.",$C393,"4 Item Ledger Entry Type",$C$4,"2 Item No.","@@"&amp;$F393,"3 Posting Date",O$9)</t>
  </si>
  <si>
    <t>=O393-Q393</t>
  </si>
  <si>
    <t>=IF(O393&lt;&gt;0,R393/O393,"")</t>
  </si>
  <si>
    <t>=NL("Sum","5802 Value Entry","150 Sales Amount (Expected)","41 Source Type",$C$5,"5 Source No.",$C393,"4 Item Ledger Entry Type",$C$4,"2 Item No.","@@"&amp;$F393,"3 Posting Date",U$9)+NL("Sum","5802 Value Entry","17 Sales Amount (Actual)","41 Source Type",$C$5,"5 Source no.",$C393,"4 Item Ledger Entry Type",$C$4,"2 Item No.","@@"&amp;$F393,"3 Posting Date",U$9)</t>
  </si>
  <si>
    <t>=-NL("Sum","5802 Value Entry","151 Cost Amount (Expected)","41 Source Type",$C$5,"5 Source No.",$C393,"4 Item Ledger Entry Type",$C$4,"2 Item No.","@@"&amp;$F393,"3 Posting Date",U$9)-NL("Sum","5802 Value Entry","43 Cost Amount (Actual)","41 Source Type",$C$5,"5 Source no.",$C393,"4 Item Ledger Entry Type",$C$4,"2 Item No.","@@"&amp;$F393,"3 Posting Date",U$9)</t>
  </si>
  <si>
    <t>=U393-W393</t>
  </si>
  <si>
    <t>=IF(U393&lt;&gt;0,X393/U393,"")</t>
  </si>
  <si>
    <t>=NL("Sum","5802 Value Entry","150 Sales Amount (Expected)","41 Source Type",$C$5,"5 Source No.",$C393,"4 Item Ledger Entry Type",$C$4,"2 Item No.","@@"&amp;$F393,"3 Posting Date",Z$9)+NL("Sum","5802 Value Entry","17 Sales Amount (Actual)","41 Source Type",$C$5,"5 Source no.",$C393,"4 Item Ledger Entry Type",$C$4,"2 Item No.","@@"&amp;$F393,"3 Posting Date",Z$9)</t>
  </si>
  <si>
    <t>=-NL("Sum","5802 Value Entry","151 Cost Amount (Expected)","41 Source Type",$C$5,"5 Source No.",$C393,"4 Item Ledger Entry Type",$C$4,"2 Item No.","@@"&amp;$F393,"3 Posting Date",Z$9)-NL("Sum","5802 Value Entry","43 Cost Amount (Actual)","41 Source Type",$C$5,"5 Source no.",$C393,"4 Item Ledger Entry Type",$C$4,"2 Item No.","@@"&amp;$F393,"3 Posting Date",Z$9)</t>
  </si>
  <si>
    <t>=Z393-AB393</t>
  </si>
  <si>
    <t>=IF(Z393&lt;&gt;0,AC393/Z393,"")</t>
  </si>
  <si>
    <t>=C393</t>
  </si>
  <si>
    <t>=NL("Sum","5802 Value Entry","150 Sales Amount (Expected)","41 Source Type",$C$5,"5 Source No.",$C394,"4 Item Ledger Entry Type",$C$4,"2 Item No.","@@"&amp;$F394,"3 Posting Date",J$9)+NL("Sum","5802 Value Entry","17 Sales Amount (Actual)","41 Source Type",$C$5,"5 Source no.",$C394,"4 Item Ledger Entry Type",$C$4,"2 Item No.","@@"&amp;$F394,"3 Posting Date",J$9)</t>
  </si>
  <si>
    <t>=-NL("Sum","5802 Value Entry","151 Cost Amount (Expected)","41 Source Type",$C$5,"5 Source No.",$C394,"4 Item Ledger Entry Type",$C$4,"2 Item No.","@@"&amp;$F394,"3 Posting Date",J$9)-NL("Sum","5802 Value Entry","43 Cost Amount (Actual)","41 Source Type",$C$5,"5 Source no.",$C394,"4 Item Ledger Entry Type",$C$4,"2 Item No.","@@"&amp;$F394,"3 Posting Date",J$9)</t>
  </si>
  <si>
    <t>=J394-L394</t>
  </si>
  <si>
    <t>=IF(J394&lt;&gt;0,M394/J394,"")</t>
  </si>
  <si>
    <t>=NL("Sum","5802 Value Entry","150 Sales Amount (Expected)","41 Source Type",$C$5,"5 Source No.",$C394,"4 Item Ledger Entry Type",$C$4,"2 Item No.","@@"&amp;$F394,"3 Posting Date",O$9)+NL("Sum","5802 Value Entry","17 Sales Amount (Actual)","41 Source Type",$C$5,"5 Source no.",$C394,"4 Item Ledger Entry Type",$C$4,"2 Item No.","@@"&amp;$F394,"3 Posting Date",O$9)</t>
  </si>
  <si>
    <t>=-NL("Sum","5802 Value Entry","151 Cost Amount (Expected)","41 Source Type",$C$5,"5 Source No.",$C394,"4 Item Ledger Entry Type",$C$4,"2 Item No.","@@"&amp;$F394,"3 Posting Date",O$9)-NL("Sum","5802 Value Entry","43 Cost Amount (Actual)","41 Source Type",$C$5,"5 Source no.",$C394,"4 Item Ledger Entry Type",$C$4,"2 Item No.","@@"&amp;$F394,"3 Posting Date",O$9)</t>
  </si>
  <si>
    <t>=O394-Q394</t>
  </si>
  <si>
    <t>=IF(O394&lt;&gt;0,R394/O394,"")</t>
  </si>
  <si>
    <t>=NL("Sum","5802 Value Entry","150 Sales Amount (Expected)","41 Source Type",$C$5,"5 Source No.",$C394,"4 Item Ledger Entry Type",$C$4,"2 Item No.","@@"&amp;$F394,"3 Posting Date",U$9)+NL("Sum","5802 Value Entry","17 Sales Amount (Actual)","41 Source Type",$C$5,"5 Source no.",$C394,"4 Item Ledger Entry Type",$C$4,"2 Item No.","@@"&amp;$F394,"3 Posting Date",U$9)</t>
  </si>
  <si>
    <t>=-NL("Sum","5802 Value Entry","151 Cost Amount (Expected)","41 Source Type",$C$5,"5 Source No.",$C394,"4 Item Ledger Entry Type",$C$4,"2 Item No.","@@"&amp;$F394,"3 Posting Date",U$9)-NL("Sum","5802 Value Entry","43 Cost Amount (Actual)","41 Source Type",$C$5,"5 Source no.",$C394,"4 Item Ledger Entry Type",$C$4,"2 Item No.","@@"&amp;$F394,"3 Posting Date",U$9)</t>
  </si>
  <si>
    <t>=U394-W394</t>
  </si>
  <si>
    <t>=IF(U394&lt;&gt;0,X394/U394,"")</t>
  </si>
  <si>
    <t>=NL("Sum","5802 Value Entry","150 Sales Amount (Expected)","41 Source Type",$C$5,"5 Source No.",$C394,"4 Item Ledger Entry Type",$C$4,"2 Item No.","@@"&amp;$F394,"3 Posting Date",Z$9)+NL("Sum","5802 Value Entry","17 Sales Amount (Actual)","41 Source Type",$C$5,"5 Source no.",$C394,"4 Item Ledger Entry Type",$C$4,"2 Item No.","@@"&amp;$F394,"3 Posting Date",Z$9)</t>
  </si>
  <si>
    <t>=-NL("Sum","5802 Value Entry","151 Cost Amount (Expected)","41 Source Type",$C$5,"5 Source No.",$C394,"4 Item Ledger Entry Type",$C$4,"2 Item No.","@@"&amp;$F394,"3 Posting Date",Z$9)-NL("Sum","5802 Value Entry","43 Cost Amount (Actual)","41 Source Type",$C$5,"5 Source no.",$C394,"4 Item Ledger Entry Type",$C$4,"2 Item No.","@@"&amp;$F394,"3 Posting Date",Z$9)</t>
  </si>
  <si>
    <t>=Z394-AB394</t>
  </si>
  <si>
    <t>=IF(Z394&lt;&gt;0,AC394/Z394,"")</t>
  </si>
  <si>
    <t>=C394</t>
  </si>
  <si>
    <t>=NL("Sum","5802 Value Entry","150 Sales Amount (Expected)","41 Source Type",$C$5,"5 Source No.",$C395,"4 Item Ledger Entry Type",$C$4,"2 Item No.","@@"&amp;$F395,"3 Posting Date",J$9)+NL("Sum","5802 Value Entry","17 Sales Amount (Actual)","41 Source Type",$C$5,"5 Source no.",$C395,"4 Item Ledger Entry Type",$C$4,"2 Item No.","@@"&amp;$F395,"3 Posting Date",J$9)</t>
  </si>
  <si>
    <t>=-NL("Sum","5802 Value Entry","151 Cost Amount (Expected)","41 Source Type",$C$5,"5 Source No.",$C395,"4 Item Ledger Entry Type",$C$4,"2 Item No.","@@"&amp;$F395,"3 Posting Date",J$9)-NL("Sum","5802 Value Entry","43 Cost Amount (Actual)","41 Source Type",$C$5,"5 Source no.",$C395,"4 Item Ledger Entry Type",$C$4,"2 Item No.","@@"&amp;$F395,"3 Posting Date",J$9)</t>
  </si>
  <si>
    <t>=J395-L395</t>
  </si>
  <si>
    <t>=IF(J395&lt;&gt;0,M395/J395,"")</t>
  </si>
  <si>
    <t>=NL("Sum","5802 Value Entry","150 Sales Amount (Expected)","41 Source Type",$C$5,"5 Source No.",$C395,"4 Item Ledger Entry Type",$C$4,"2 Item No.","@@"&amp;$F395,"3 Posting Date",O$9)+NL("Sum","5802 Value Entry","17 Sales Amount (Actual)","41 Source Type",$C$5,"5 Source no.",$C395,"4 Item Ledger Entry Type",$C$4,"2 Item No.","@@"&amp;$F395,"3 Posting Date",O$9)</t>
  </si>
  <si>
    <t>=-NL("Sum","5802 Value Entry","151 Cost Amount (Expected)","41 Source Type",$C$5,"5 Source No.",$C395,"4 Item Ledger Entry Type",$C$4,"2 Item No.","@@"&amp;$F395,"3 Posting Date",O$9)-NL("Sum","5802 Value Entry","43 Cost Amount (Actual)","41 Source Type",$C$5,"5 Source no.",$C395,"4 Item Ledger Entry Type",$C$4,"2 Item No.","@@"&amp;$F395,"3 Posting Date",O$9)</t>
  </si>
  <si>
    <t>=O395-Q395</t>
  </si>
  <si>
    <t>=IF(O395&lt;&gt;0,R395/O395,"")</t>
  </si>
  <si>
    <t>=NL("Sum","5802 Value Entry","150 Sales Amount (Expected)","41 Source Type",$C$5,"5 Source No.",$C395,"4 Item Ledger Entry Type",$C$4,"2 Item No.","@@"&amp;$F395,"3 Posting Date",U$9)+NL("Sum","5802 Value Entry","17 Sales Amount (Actual)","41 Source Type",$C$5,"5 Source no.",$C395,"4 Item Ledger Entry Type",$C$4,"2 Item No.","@@"&amp;$F395,"3 Posting Date",U$9)</t>
  </si>
  <si>
    <t>=-NL("Sum","5802 Value Entry","151 Cost Amount (Expected)","41 Source Type",$C$5,"5 Source No.",$C395,"4 Item Ledger Entry Type",$C$4,"2 Item No.","@@"&amp;$F395,"3 Posting Date",U$9)-NL("Sum","5802 Value Entry","43 Cost Amount (Actual)","41 Source Type",$C$5,"5 Source no.",$C395,"4 Item Ledger Entry Type",$C$4,"2 Item No.","@@"&amp;$F395,"3 Posting Date",U$9)</t>
  </si>
  <si>
    <t>=U395-W395</t>
  </si>
  <si>
    <t>=IF(U395&lt;&gt;0,X395/U395,"")</t>
  </si>
  <si>
    <t>=NL("Sum","5802 Value Entry","150 Sales Amount (Expected)","41 Source Type",$C$5,"5 Source No.",$C395,"4 Item Ledger Entry Type",$C$4,"2 Item No.","@@"&amp;$F395,"3 Posting Date",Z$9)+NL("Sum","5802 Value Entry","17 Sales Amount (Actual)","41 Source Type",$C$5,"5 Source no.",$C395,"4 Item Ledger Entry Type",$C$4,"2 Item No.","@@"&amp;$F395,"3 Posting Date",Z$9)</t>
  </si>
  <si>
    <t>=-NL("Sum","5802 Value Entry","151 Cost Amount (Expected)","41 Source Type",$C$5,"5 Source No.",$C395,"4 Item Ledger Entry Type",$C$4,"2 Item No.","@@"&amp;$F395,"3 Posting Date",Z$9)-NL("Sum","5802 Value Entry","43 Cost Amount (Actual)","41 Source Type",$C$5,"5 Source no.",$C395,"4 Item Ledger Entry Type",$C$4,"2 Item No.","@@"&amp;$F395,"3 Posting Date",Z$9)</t>
  </si>
  <si>
    <t>=Z395-AB395</t>
  </si>
  <si>
    <t>=IF(Z395&lt;&gt;0,AC395/Z395,"")</t>
  </si>
  <si>
    <t>=C395</t>
  </si>
  <si>
    <t>=NL("Sum","5802 Value Entry","150 Sales Amount (Expected)","41 Source Type",$C$5,"5 Source No.",$C396,"4 Item Ledger Entry Type",$C$4,"2 Item No.","@@"&amp;$F396,"3 Posting Date",J$9)+NL("Sum","5802 Value Entry","17 Sales Amount (Actual)","41 Source Type",$C$5,"5 Source no.",$C396,"4 Item Ledger Entry Type",$C$4,"2 Item No.","@@"&amp;$F396,"3 Posting Date",J$9)</t>
  </si>
  <si>
    <t>=-NL("Sum","5802 Value Entry","151 Cost Amount (Expected)","41 Source Type",$C$5,"5 Source No.",$C396,"4 Item Ledger Entry Type",$C$4,"2 Item No.","@@"&amp;$F396,"3 Posting Date",J$9)-NL("Sum","5802 Value Entry","43 Cost Amount (Actual)","41 Source Type",$C$5,"5 Source no.",$C396,"4 Item Ledger Entry Type",$C$4,"2 Item No.","@@"&amp;$F396,"3 Posting Date",J$9)</t>
  </si>
  <si>
    <t>=J396-L396</t>
  </si>
  <si>
    <t>=IF(J396&lt;&gt;0,M396/J396,"")</t>
  </si>
  <si>
    <t>=NL("Sum","5802 Value Entry","150 Sales Amount (Expected)","41 Source Type",$C$5,"5 Source No.",$C396,"4 Item Ledger Entry Type",$C$4,"2 Item No.","@@"&amp;$F396,"3 Posting Date",O$9)+NL("Sum","5802 Value Entry","17 Sales Amount (Actual)","41 Source Type",$C$5,"5 Source no.",$C396,"4 Item Ledger Entry Type",$C$4,"2 Item No.","@@"&amp;$F396,"3 Posting Date",O$9)</t>
  </si>
  <si>
    <t>=-NL("Sum","5802 Value Entry","151 Cost Amount (Expected)","41 Source Type",$C$5,"5 Source No.",$C396,"4 Item Ledger Entry Type",$C$4,"2 Item No.","@@"&amp;$F396,"3 Posting Date",O$9)-NL("Sum","5802 Value Entry","43 Cost Amount (Actual)","41 Source Type",$C$5,"5 Source no.",$C396,"4 Item Ledger Entry Type",$C$4,"2 Item No.","@@"&amp;$F396,"3 Posting Date",O$9)</t>
  </si>
  <si>
    <t>=O396-Q396</t>
  </si>
  <si>
    <t>=IF(O396&lt;&gt;0,R396/O396,"")</t>
  </si>
  <si>
    <t>=NL("Sum","5802 Value Entry","150 Sales Amount (Expected)","41 Source Type",$C$5,"5 Source No.",$C396,"4 Item Ledger Entry Type",$C$4,"2 Item No.","@@"&amp;$F396,"3 Posting Date",U$9)+NL("Sum","5802 Value Entry","17 Sales Amount (Actual)","41 Source Type",$C$5,"5 Source no.",$C396,"4 Item Ledger Entry Type",$C$4,"2 Item No.","@@"&amp;$F396,"3 Posting Date",U$9)</t>
  </si>
  <si>
    <t>=-NL("Sum","5802 Value Entry","151 Cost Amount (Expected)","41 Source Type",$C$5,"5 Source No.",$C396,"4 Item Ledger Entry Type",$C$4,"2 Item No.","@@"&amp;$F396,"3 Posting Date",U$9)-NL("Sum","5802 Value Entry","43 Cost Amount (Actual)","41 Source Type",$C$5,"5 Source no.",$C396,"4 Item Ledger Entry Type",$C$4,"2 Item No.","@@"&amp;$F396,"3 Posting Date",U$9)</t>
  </si>
  <si>
    <t>=U396-W396</t>
  </si>
  <si>
    <t>=IF(U396&lt;&gt;0,X396/U396,"")</t>
  </si>
  <si>
    <t>=NL("Sum","5802 Value Entry","150 Sales Amount (Expected)","41 Source Type",$C$5,"5 Source No.",$C396,"4 Item Ledger Entry Type",$C$4,"2 Item No.","@@"&amp;$F396,"3 Posting Date",Z$9)+NL("Sum","5802 Value Entry","17 Sales Amount (Actual)","41 Source Type",$C$5,"5 Source no.",$C396,"4 Item Ledger Entry Type",$C$4,"2 Item No.","@@"&amp;$F396,"3 Posting Date",Z$9)</t>
  </si>
  <si>
    <t>=-NL("Sum","5802 Value Entry","151 Cost Amount (Expected)","41 Source Type",$C$5,"5 Source No.",$C396,"4 Item Ledger Entry Type",$C$4,"2 Item No.","@@"&amp;$F396,"3 Posting Date",Z$9)-NL("Sum","5802 Value Entry","43 Cost Amount (Actual)","41 Source Type",$C$5,"5 Source no.",$C396,"4 Item Ledger Entry Type",$C$4,"2 Item No.","@@"&amp;$F396,"3 Posting Date",Z$9)</t>
  </si>
  <si>
    <t>=Z396-AB396</t>
  </si>
  <si>
    <t>=IF(Z396&lt;&gt;0,AC396/Z396,"")</t>
  </si>
  <si>
    <t>=C396</t>
  </si>
  <si>
    <t>=NL("Sum","5802 Value Entry","150 Sales Amount (Expected)","41 Source Type",$C$5,"5 Source No.",$C397,"4 Item Ledger Entry Type",$C$4,"2 Item No.","@@"&amp;$F397,"3 Posting Date",J$9)+NL("Sum","5802 Value Entry","17 Sales Amount (Actual)","41 Source Type",$C$5,"5 Source no.",$C397,"4 Item Ledger Entry Type",$C$4,"2 Item No.","@@"&amp;$F397,"3 Posting Date",J$9)</t>
  </si>
  <si>
    <t>=-NL("Sum","5802 Value Entry","151 Cost Amount (Expected)","41 Source Type",$C$5,"5 Source No.",$C397,"4 Item Ledger Entry Type",$C$4,"2 Item No.","@@"&amp;$F397,"3 Posting Date",J$9)-NL("Sum","5802 Value Entry","43 Cost Amount (Actual)","41 Source Type",$C$5,"5 Source no.",$C397,"4 Item Ledger Entry Type",$C$4,"2 Item No.","@@"&amp;$F397,"3 Posting Date",J$9)</t>
  </si>
  <si>
    <t>=J397-L397</t>
  </si>
  <si>
    <t>=IF(J397&lt;&gt;0,M397/J397,"")</t>
  </si>
  <si>
    <t>=NL("Sum","5802 Value Entry","150 Sales Amount (Expected)","41 Source Type",$C$5,"5 Source No.",$C397,"4 Item Ledger Entry Type",$C$4,"2 Item No.","@@"&amp;$F397,"3 Posting Date",O$9)+NL("Sum","5802 Value Entry","17 Sales Amount (Actual)","41 Source Type",$C$5,"5 Source no.",$C397,"4 Item Ledger Entry Type",$C$4,"2 Item No.","@@"&amp;$F397,"3 Posting Date",O$9)</t>
  </si>
  <si>
    <t>=-NL("Sum","5802 Value Entry","151 Cost Amount (Expected)","41 Source Type",$C$5,"5 Source No.",$C397,"4 Item Ledger Entry Type",$C$4,"2 Item No.","@@"&amp;$F397,"3 Posting Date",O$9)-NL("Sum","5802 Value Entry","43 Cost Amount (Actual)","41 Source Type",$C$5,"5 Source no.",$C397,"4 Item Ledger Entry Type",$C$4,"2 Item No.","@@"&amp;$F397,"3 Posting Date",O$9)</t>
  </si>
  <si>
    <t>=O397-Q397</t>
  </si>
  <si>
    <t>=IF(O397&lt;&gt;0,R397/O397,"")</t>
  </si>
  <si>
    <t>=NL("Sum","5802 Value Entry","150 Sales Amount (Expected)","41 Source Type",$C$5,"5 Source No.",$C397,"4 Item Ledger Entry Type",$C$4,"2 Item No.","@@"&amp;$F397,"3 Posting Date",U$9)+NL("Sum","5802 Value Entry","17 Sales Amount (Actual)","41 Source Type",$C$5,"5 Source no.",$C397,"4 Item Ledger Entry Type",$C$4,"2 Item No.","@@"&amp;$F397,"3 Posting Date",U$9)</t>
  </si>
  <si>
    <t>=-NL("Sum","5802 Value Entry","151 Cost Amount (Expected)","41 Source Type",$C$5,"5 Source No.",$C397,"4 Item Ledger Entry Type",$C$4,"2 Item No.","@@"&amp;$F397,"3 Posting Date",U$9)-NL("Sum","5802 Value Entry","43 Cost Amount (Actual)","41 Source Type",$C$5,"5 Source no.",$C397,"4 Item Ledger Entry Type",$C$4,"2 Item No.","@@"&amp;$F397,"3 Posting Date",U$9)</t>
  </si>
  <si>
    <t>=U397-W397</t>
  </si>
  <si>
    <t>=IF(U397&lt;&gt;0,X397/U397,"")</t>
  </si>
  <si>
    <t>=NL("Sum","5802 Value Entry","150 Sales Amount (Expected)","41 Source Type",$C$5,"5 Source No.",$C397,"4 Item Ledger Entry Type",$C$4,"2 Item No.","@@"&amp;$F397,"3 Posting Date",Z$9)+NL("Sum","5802 Value Entry","17 Sales Amount (Actual)","41 Source Type",$C$5,"5 Source no.",$C397,"4 Item Ledger Entry Type",$C$4,"2 Item No.","@@"&amp;$F397,"3 Posting Date",Z$9)</t>
  </si>
  <si>
    <t>=-NL("Sum","5802 Value Entry","151 Cost Amount (Expected)","41 Source Type",$C$5,"5 Source No.",$C397,"4 Item Ledger Entry Type",$C$4,"2 Item No.","@@"&amp;$F397,"3 Posting Date",Z$9)-NL("Sum","5802 Value Entry","43 Cost Amount (Actual)","41 Source Type",$C$5,"5 Source no.",$C397,"4 Item Ledger Entry Type",$C$4,"2 Item No.","@@"&amp;$F397,"3 Posting Date",Z$9)</t>
  </si>
  <si>
    <t>=Z397-AB397</t>
  </si>
  <si>
    <t>=IF(Z397&lt;&gt;0,AC397/Z397,"")</t>
  </si>
  <si>
    <t>=C397</t>
  </si>
  <si>
    <t>=NL("Sum","5802 Value Entry","150 Sales Amount (Expected)","41 Source Type",$C$5,"5 Source No.",$C398,"4 Item Ledger Entry Type",$C$4,"2 Item No.","@@"&amp;$F398,"3 Posting Date",J$9)+NL("Sum","5802 Value Entry","17 Sales Amount (Actual)","41 Source Type",$C$5,"5 Source no.",$C398,"4 Item Ledger Entry Type",$C$4,"2 Item No.","@@"&amp;$F398,"3 Posting Date",J$9)</t>
  </si>
  <si>
    <t>=-NL("Sum","5802 Value Entry","151 Cost Amount (Expected)","41 Source Type",$C$5,"5 Source No.",$C398,"4 Item Ledger Entry Type",$C$4,"2 Item No.","@@"&amp;$F398,"3 Posting Date",J$9)-NL("Sum","5802 Value Entry","43 Cost Amount (Actual)","41 Source Type",$C$5,"5 Source no.",$C398,"4 Item Ledger Entry Type",$C$4,"2 Item No.","@@"&amp;$F398,"3 Posting Date",J$9)</t>
  </si>
  <si>
    <t>=J398-L398</t>
  </si>
  <si>
    <t>=IF(J398&lt;&gt;0,M398/J398,"")</t>
  </si>
  <si>
    <t>=NL("Sum","5802 Value Entry","150 Sales Amount (Expected)","41 Source Type",$C$5,"5 Source No.",$C398,"4 Item Ledger Entry Type",$C$4,"2 Item No.","@@"&amp;$F398,"3 Posting Date",O$9)+NL("Sum","5802 Value Entry","17 Sales Amount (Actual)","41 Source Type",$C$5,"5 Source no.",$C398,"4 Item Ledger Entry Type",$C$4,"2 Item No.","@@"&amp;$F398,"3 Posting Date",O$9)</t>
  </si>
  <si>
    <t>=-NL("Sum","5802 Value Entry","151 Cost Amount (Expected)","41 Source Type",$C$5,"5 Source No.",$C398,"4 Item Ledger Entry Type",$C$4,"2 Item No.","@@"&amp;$F398,"3 Posting Date",O$9)-NL("Sum","5802 Value Entry","43 Cost Amount (Actual)","41 Source Type",$C$5,"5 Source no.",$C398,"4 Item Ledger Entry Type",$C$4,"2 Item No.","@@"&amp;$F398,"3 Posting Date",O$9)</t>
  </si>
  <si>
    <t>=O398-Q398</t>
  </si>
  <si>
    <t>=IF(O398&lt;&gt;0,R398/O398,"")</t>
  </si>
  <si>
    <t>=NL("Sum","5802 Value Entry","150 Sales Amount (Expected)","41 Source Type",$C$5,"5 Source No.",$C398,"4 Item Ledger Entry Type",$C$4,"2 Item No.","@@"&amp;$F398,"3 Posting Date",U$9)+NL("Sum","5802 Value Entry","17 Sales Amount (Actual)","41 Source Type",$C$5,"5 Source no.",$C398,"4 Item Ledger Entry Type",$C$4,"2 Item No.","@@"&amp;$F398,"3 Posting Date",U$9)</t>
  </si>
  <si>
    <t>=-NL("Sum","5802 Value Entry","151 Cost Amount (Expected)","41 Source Type",$C$5,"5 Source No.",$C398,"4 Item Ledger Entry Type",$C$4,"2 Item No.","@@"&amp;$F398,"3 Posting Date",U$9)-NL("Sum","5802 Value Entry","43 Cost Amount (Actual)","41 Source Type",$C$5,"5 Source no.",$C398,"4 Item Ledger Entry Type",$C$4,"2 Item No.","@@"&amp;$F398,"3 Posting Date",U$9)</t>
  </si>
  <si>
    <t>=U398-W398</t>
  </si>
  <si>
    <t>=IF(U398&lt;&gt;0,X398/U398,"")</t>
  </si>
  <si>
    <t>=NL("Sum","5802 Value Entry","150 Sales Amount (Expected)","41 Source Type",$C$5,"5 Source No.",$C398,"4 Item Ledger Entry Type",$C$4,"2 Item No.","@@"&amp;$F398,"3 Posting Date",Z$9)+NL("Sum","5802 Value Entry","17 Sales Amount (Actual)","41 Source Type",$C$5,"5 Source no.",$C398,"4 Item Ledger Entry Type",$C$4,"2 Item No.","@@"&amp;$F398,"3 Posting Date",Z$9)</t>
  </si>
  <si>
    <t>=-NL("Sum","5802 Value Entry","151 Cost Amount (Expected)","41 Source Type",$C$5,"5 Source No.",$C398,"4 Item Ledger Entry Type",$C$4,"2 Item No.","@@"&amp;$F398,"3 Posting Date",Z$9)-NL("Sum","5802 Value Entry","43 Cost Amount (Actual)","41 Source Type",$C$5,"5 Source no.",$C398,"4 Item Ledger Entry Type",$C$4,"2 Item No.","@@"&amp;$F398,"3 Posting Date",Z$9)</t>
  </si>
  <si>
    <t>=Z398-AB398</t>
  </si>
  <si>
    <t>=IF(Z398&lt;&gt;0,AC398/Z398,"")</t>
  </si>
  <si>
    <t>=C398</t>
  </si>
  <si>
    <t>=NL("Sum","5802 Value Entry","150 Sales Amount (Expected)","41 Source Type",$C$5,"5 Source No.",$C399,"4 Item Ledger Entry Type",$C$4,"2 Item No.","@@"&amp;$F399,"3 Posting Date",J$9)+NL("Sum","5802 Value Entry","17 Sales Amount (Actual)","41 Source Type",$C$5,"5 Source no.",$C399,"4 Item Ledger Entry Type",$C$4,"2 Item No.","@@"&amp;$F399,"3 Posting Date",J$9)</t>
  </si>
  <si>
    <t>=-NL("Sum","5802 Value Entry","151 Cost Amount (Expected)","41 Source Type",$C$5,"5 Source No.",$C399,"4 Item Ledger Entry Type",$C$4,"2 Item No.","@@"&amp;$F399,"3 Posting Date",J$9)-NL("Sum","5802 Value Entry","43 Cost Amount (Actual)","41 Source Type",$C$5,"5 Source no.",$C399,"4 Item Ledger Entry Type",$C$4,"2 Item No.","@@"&amp;$F399,"3 Posting Date",J$9)</t>
  </si>
  <si>
    <t>=J399-L399</t>
  </si>
  <si>
    <t>=IF(J399&lt;&gt;0,M399/J399,"")</t>
  </si>
  <si>
    <t>=NL("Sum","5802 Value Entry","150 Sales Amount (Expected)","41 Source Type",$C$5,"5 Source No.",$C399,"4 Item Ledger Entry Type",$C$4,"2 Item No.","@@"&amp;$F399,"3 Posting Date",O$9)+NL("Sum","5802 Value Entry","17 Sales Amount (Actual)","41 Source Type",$C$5,"5 Source no.",$C399,"4 Item Ledger Entry Type",$C$4,"2 Item No.","@@"&amp;$F399,"3 Posting Date",O$9)</t>
  </si>
  <si>
    <t>=-NL("Sum","5802 Value Entry","151 Cost Amount (Expected)","41 Source Type",$C$5,"5 Source No.",$C399,"4 Item Ledger Entry Type",$C$4,"2 Item No.","@@"&amp;$F399,"3 Posting Date",O$9)-NL("Sum","5802 Value Entry","43 Cost Amount (Actual)","41 Source Type",$C$5,"5 Source no.",$C399,"4 Item Ledger Entry Type",$C$4,"2 Item No.","@@"&amp;$F399,"3 Posting Date",O$9)</t>
  </si>
  <si>
    <t>=O399-Q399</t>
  </si>
  <si>
    <t>=IF(O399&lt;&gt;0,R399/O399,"")</t>
  </si>
  <si>
    <t>=NL("Sum","5802 Value Entry","150 Sales Amount (Expected)","41 Source Type",$C$5,"5 Source No.",$C399,"4 Item Ledger Entry Type",$C$4,"2 Item No.","@@"&amp;$F399,"3 Posting Date",U$9)+NL("Sum","5802 Value Entry","17 Sales Amount (Actual)","41 Source Type",$C$5,"5 Source no.",$C399,"4 Item Ledger Entry Type",$C$4,"2 Item No.","@@"&amp;$F399,"3 Posting Date",U$9)</t>
  </si>
  <si>
    <t>=-NL("Sum","5802 Value Entry","151 Cost Amount (Expected)","41 Source Type",$C$5,"5 Source No.",$C399,"4 Item Ledger Entry Type",$C$4,"2 Item No.","@@"&amp;$F399,"3 Posting Date",U$9)-NL("Sum","5802 Value Entry","43 Cost Amount (Actual)","41 Source Type",$C$5,"5 Source no.",$C399,"4 Item Ledger Entry Type",$C$4,"2 Item No.","@@"&amp;$F399,"3 Posting Date",U$9)</t>
  </si>
  <si>
    <t>=U399-W399</t>
  </si>
  <si>
    <t>=IF(U399&lt;&gt;0,X399/U399,"")</t>
  </si>
  <si>
    <t>=NL("Sum","5802 Value Entry","150 Sales Amount (Expected)","41 Source Type",$C$5,"5 Source No.",$C399,"4 Item Ledger Entry Type",$C$4,"2 Item No.","@@"&amp;$F399,"3 Posting Date",Z$9)+NL("Sum","5802 Value Entry","17 Sales Amount (Actual)","41 Source Type",$C$5,"5 Source no.",$C399,"4 Item Ledger Entry Type",$C$4,"2 Item No.","@@"&amp;$F399,"3 Posting Date",Z$9)</t>
  </si>
  <si>
    <t>=-NL("Sum","5802 Value Entry","151 Cost Amount (Expected)","41 Source Type",$C$5,"5 Source No.",$C399,"4 Item Ledger Entry Type",$C$4,"2 Item No.","@@"&amp;$F399,"3 Posting Date",Z$9)-NL("Sum","5802 Value Entry","43 Cost Amount (Actual)","41 Source Type",$C$5,"5 Source no.",$C399,"4 Item Ledger Entry Type",$C$4,"2 Item No.","@@"&amp;$F399,"3 Posting Date",Z$9)</t>
  </si>
  <si>
    <t>=Z399-AB399</t>
  </si>
  <si>
    <t>=IF(Z399&lt;&gt;0,AC399/Z399,"")</t>
  </si>
  <si>
    <t>=C399</t>
  </si>
  <si>
    <t>=NL("Sum","5802 Value Entry","150 Sales Amount (Expected)","41 Source Type",$C$5,"5 Source No.",$C400,"4 Item Ledger Entry Type",$C$4,"2 Item No.","@@"&amp;$F400,"3 Posting Date",J$9)+NL("Sum","5802 Value Entry","17 Sales Amount (Actual)","41 Source Type",$C$5,"5 Source no.",$C400,"4 Item Ledger Entry Type",$C$4,"2 Item No.","@@"&amp;$F400,"3 Posting Date",J$9)</t>
  </si>
  <si>
    <t>=-NL("Sum","5802 Value Entry","151 Cost Amount (Expected)","41 Source Type",$C$5,"5 Source No.",$C400,"4 Item Ledger Entry Type",$C$4,"2 Item No.","@@"&amp;$F400,"3 Posting Date",J$9)-NL("Sum","5802 Value Entry","43 Cost Amount (Actual)","41 Source Type",$C$5,"5 Source no.",$C400,"4 Item Ledger Entry Type",$C$4,"2 Item No.","@@"&amp;$F400,"3 Posting Date",J$9)</t>
  </si>
  <si>
    <t>=J400-L400</t>
  </si>
  <si>
    <t>=IF(J400&lt;&gt;0,M400/J400,"")</t>
  </si>
  <si>
    <t>=NL("Sum","5802 Value Entry","150 Sales Amount (Expected)","41 Source Type",$C$5,"5 Source No.",$C400,"4 Item Ledger Entry Type",$C$4,"2 Item No.","@@"&amp;$F400,"3 Posting Date",O$9)+NL("Sum","5802 Value Entry","17 Sales Amount (Actual)","41 Source Type",$C$5,"5 Source no.",$C400,"4 Item Ledger Entry Type",$C$4,"2 Item No.","@@"&amp;$F400,"3 Posting Date",O$9)</t>
  </si>
  <si>
    <t>=-NL("Sum","5802 Value Entry","151 Cost Amount (Expected)","41 Source Type",$C$5,"5 Source No.",$C400,"4 Item Ledger Entry Type",$C$4,"2 Item No.","@@"&amp;$F400,"3 Posting Date",O$9)-NL("Sum","5802 Value Entry","43 Cost Amount (Actual)","41 Source Type",$C$5,"5 Source no.",$C400,"4 Item Ledger Entry Type",$C$4,"2 Item No.","@@"&amp;$F400,"3 Posting Date",O$9)</t>
  </si>
  <si>
    <t>=O400-Q400</t>
  </si>
  <si>
    <t>=IF(O400&lt;&gt;0,R400/O400,"")</t>
  </si>
  <si>
    <t>=NL("Sum","5802 Value Entry","150 Sales Amount (Expected)","41 Source Type",$C$5,"5 Source No.",$C400,"4 Item Ledger Entry Type",$C$4,"2 Item No.","@@"&amp;$F400,"3 Posting Date",U$9)+NL("Sum","5802 Value Entry","17 Sales Amount (Actual)","41 Source Type",$C$5,"5 Source no.",$C400,"4 Item Ledger Entry Type",$C$4,"2 Item No.","@@"&amp;$F400,"3 Posting Date",U$9)</t>
  </si>
  <si>
    <t>=-NL("Sum","5802 Value Entry","151 Cost Amount (Expected)","41 Source Type",$C$5,"5 Source No.",$C400,"4 Item Ledger Entry Type",$C$4,"2 Item No.","@@"&amp;$F400,"3 Posting Date",U$9)-NL("Sum","5802 Value Entry","43 Cost Amount (Actual)","41 Source Type",$C$5,"5 Source no.",$C400,"4 Item Ledger Entry Type",$C$4,"2 Item No.","@@"&amp;$F400,"3 Posting Date",U$9)</t>
  </si>
  <si>
    <t>=U400-W400</t>
  </si>
  <si>
    <t>=IF(U400&lt;&gt;0,X400/U400,"")</t>
  </si>
  <si>
    <t>=NL("Sum","5802 Value Entry","150 Sales Amount (Expected)","41 Source Type",$C$5,"5 Source No.",$C400,"4 Item Ledger Entry Type",$C$4,"2 Item No.","@@"&amp;$F400,"3 Posting Date",Z$9)+NL("Sum","5802 Value Entry","17 Sales Amount (Actual)","41 Source Type",$C$5,"5 Source no.",$C400,"4 Item Ledger Entry Type",$C$4,"2 Item No.","@@"&amp;$F400,"3 Posting Date",Z$9)</t>
  </si>
  <si>
    <t>=-NL("Sum","5802 Value Entry","151 Cost Amount (Expected)","41 Source Type",$C$5,"5 Source No.",$C400,"4 Item Ledger Entry Type",$C$4,"2 Item No.","@@"&amp;$F400,"3 Posting Date",Z$9)-NL("Sum","5802 Value Entry","43 Cost Amount (Actual)","41 Source Type",$C$5,"5 Source no.",$C400,"4 Item Ledger Entry Type",$C$4,"2 Item No.","@@"&amp;$F400,"3 Posting Date",Z$9)</t>
  </si>
  <si>
    <t>=Z400-AB400</t>
  </si>
  <si>
    <t>=IF(Z400&lt;&gt;0,AC400/Z400,"")</t>
  </si>
  <si>
    <t>=C400</t>
  </si>
  <si>
    <t>=NL("Sum","5802 Value Entry","150 Sales Amount (Expected)","41 Source Type",$C$5,"5 Source No.",$C401,"4 Item Ledger Entry Type",$C$4,"2 Item No.","@@"&amp;$F401,"3 Posting Date",J$9)+NL("Sum","5802 Value Entry","17 Sales Amount (Actual)","41 Source Type",$C$5,"5 Source no.",$C401,"4 Item Ledger Entry Type",$C$4,"2 Item No.","@@"&amp;$F401,"3 Posting Date",J$9)</t>
  </si>
  <si>
    <t>=-NL("Sum","5802 Value Entry","151 Cost Amount (Expected)","41 Source Type",$C$5,"5 Source No.",$C401,"4 Item Ledger Entry Type",$C$4,"2 Item No.","@@"&amp;$F401,"3 Posting Date",J$9)-NL("Sum","5802 Value Entry","43 Cost Amount (Actual)","41 Source Type",$C$5,"5 Source no.",$C401,"4 Item Ledger Entry Type",$C$4,"2 Item No.","@@"&amp;$F401,"3 Posting Date",J$9)</t>
  </si>
  <si>
    <t>=J401-L401</t>
  </si>
  <si>
    <t>=IF(J401&lt;&gt;0,M401/J401,"")</t>
  </si>
  <si>
    <t>=NL("Sum","5802 Value Entry","150 Sales Amount (Expected)","41 Source Type",$C$5,"5 Source No.",$C401,"4 Item Ledger Entry Type",$C$4,"2 Item No.","@@"&amp;$F401,"3 Posting Date",O$9)+NL("Sum","5802 Value Entry","17 Sales Amount (Actual)","41 Source Type",$C$5,"5 Source no.",$C401,"4 Item Ledger Entry Type",$C$4,"2 Item No.","@@"&amp;$F401,"3 Posting Date",O$9)</t>
  </si>
  <si>
    <t>=-NL("Sum","5802 Value Entry","151 Cost Amount (Expected)","41 Source Type",$C$5,"5 Source No.",$C401,"4 Item Ledger Entry Type",$C$4,"2 Item No.","@@"&amp;$F401,"3 Posting Date",O$9)-NL("Sum","5802 Value Entry","43 Cost Amount (Actual)","41 Source Type",$C$5,"5 Source no.",$C401,"4 Item Ledger Entry Type",$C$4,"2 Item No.","@@"&amp;$F401,"3 Posting Date",O$9)</t>
  </si>
  <si>
    <t>=O401-Q401</t>
  </si>
  <si>
    <t>=IF(O401&lt;&gt;0,R401/O401,"")</t>
  </si>
  <si>
    <t>=NL("Sum","5802 Value Entry","150 Sales Amount (Expected)","41 Source Type",$C$5,"5 Source No.",$C401,"4 Item Ledger Entry Type",$C$4,"2 Item No.","@@"&amp;$F401,"3 Posting Date",U$9)+NL("Sum","5802 Value Entry","17 Sales Amount (Actual)","41 Source Type",$C$5,"5 Source no.",$C401,"4 Item Ledger Entry Type",$C$4,"2 Item No.","@@"&amp;$F401,"3 Posting Date",U$9)</t>
  </si>
  <si>
    <t>=-NL("Sum","5802 Value Entry","151 Cost Amount (Expected)","41 Source Type",$C$5,"5 Source No.",$C401,"4 Item Ledger Entry Type",$C$4,"2 Item No.","@@"&amp;$F401,"3 Posting Date",U$9)-NL("Sum","5802 Value Entry","43 Cost Amount (Actual)","41 Source Type",$C$5,"5 Source no.",$C401,"4 Item Ledger Entry Type",$C$4,"2 Item No.","@@"&amp;$F401,"3 Posting Date",U$9)</t>
  </si>
  <si>
    <t>=U401-W401</t>
  </si>
  <si>
    <t>=IF(U401&lt;&gt;0,X401/U401,"")</t>
  </si>
  <si>
    <t>=NL("Sum","5802 Value Entry","150 Sales Amount (Expected)","41 Source Type",$C$5,"5 Source No.",$C401,"4 Item Ledger Entry Type",$C$4,"2 Item No.","@@"&amp;$F401,"3 Posting Date",Z$9)+NL("Sum","5802 Value Entry","17 Sales Amount (Actual)","41 Source Type",$C$5,"5 Source no.",$C401,"4 Item Ledger Entry Type",$C$4,"2 Item No.","@@"&amp;$F401,"3 Posting Date",Z$9)</t>
  </si>
  <si>
    <t>=-NL("Sum","5802 Value Entry","151 Cost Amount (Expected)","41 Source Type",$C$5,"5 Source No.",$C401,"4 Item Ledger Entry Type",$C$4,"2 Item No.","@@"&amp;$F401,"3 Posting Date",Z$9)-NL("Sum","5802 Value Entry","43 Cost Amount (Actual)","41 Source Type",$C$5,"5 Source no.",$C401,"4 Item Ledger Entry Type",$C$4,"2 Item No.","@@"&amp;$F401,"3 Posting Date",Z$9)</t>
  </si>
  <si>
    <t>=Z401-AB401</t>
  </si>
  <si>
    <t>=IF(Z401&lt;&gt;0,AC401/Z401,"")</t>
  </si>
  <si>
    <t>=C401</t>
  </si>
  <si>
    <t>=NL("Sum","5802 Value Entry","150 Sales Amount (Expected)","41 Source Type",$C$5,"5 Source No.",$C402,"4 Item Ledger Entry Type",$C$4,"2 Item No.","@@"&amp;$F402,"3 Posting Date",J$9)+NL("Sum","5802 Value Entry","17 Sales Amount (Actual)","41 Source Type",$C$5,"5 Source no.",$C402,"4 Item Ledger Entry Type",$C$4,"2 Item No.","@@"&amp;$F402,"3 Posting Date",J$9)</t>
  </si>
  <si>
    <t>=-NL("Sum","5802 Value Entry","151 Cost Amount (Expected)","41 Source Type",$C$5,"5 Source No.",$C402,"4 Item Ledger Entry Type",$C$4,"2 Item No.","@@"&amp;$F402,"3 Posting Date",J$9)-NL("Sum","5802 Value Entry","43 Cost Amount (Actual)","41 Source Type",$C$5,"5 Source no.",$C402,"4 Item Ledger Entry Type",$C$4,"2 Item No.","@@"&amp;$F402,"3 Posting Date",J$9)</t>
  </si>
  <si>
    <t>=J402-L402</t>
  </si>
  <si>
    <t>=IF(J402&lt;&gt;0,M402/J402,"")</t>
  </si>
  <si>
    <t>=NL("Sum","5802 Value Entry","150 Sales Amount (Expected)","41 Source Type",$C$5,"5 Source No.",$C402,"4 Item Ledger Entry Type",$C$4,"2 Item No.","@@"&amp;$F402,"3 Posting Date",O$9)+NL("Sum","5802 Value Entry","17 Sales Amount (Actual)","41 Source Type",$C$5,"5 Source no.",$C402,"4 Item Ledger Entry Type",$C$4,"2 Item No.","@@"&amp;$F402,"3 Posting Date",O$9)</t>
  </si>
  <si>
    <t>=-NL("Sum","5802 Value Entry","151 Cost Amount (Expected)","41 Source Type",$C$5,"5 Source No.",$C402,"4 Item Ledger Entry Type",$C$4,"2 Item No.","@@"&amp;$F402,"3 Posting Date",O$9)-NL("Sum","5802 Value Entry","43 Cost Amount (Actual)","41 Source Type",$C$5,"5 Source no.",$C402,"4 Item Ledger Entry Type",$C$4,"2 Item No.","@@"&amp;$F402,"3 Posting Date",O$9)</t>
  </si>
  <si>
    <t>=O402-Q402</t>
  </si>
  <si>
    <t>=IF(O402&lt;&gt;0,R402/O402,"")</t>
  </si>
  <si>
    <t>=NL("Sum","5802 Value Entry","150 Sales Amount (Expected)","41 Source Type",$C$5,"5 Source No.",$C402,"4 Item Ledger Entry Type",$C$4,"2 Item No.","@@"&amp;$F402,"3 Posting Date",U$9)+NL("Sum","5802 Value Entry","17 Sales Amount (Actual)","41 Source Type",$C$5,"5 Source no.",$C402,"4 Item Ledger Entry Type",$C$4,"2 Item No.","@@"&amp;$F402,"3 Posting Date",U$9)</t>
  </si>
  <si>
    <t>=-NL("Sum","5802 Value Entry","151 Cost Amount (Expected)","41 Source Type",$C$5,"5 Source No.",$C402,"4 Item Ledger Entry Type",$C$4,"2 Item No.","@@"&amp;$F402,"3 Posting Date",U$9)-NL("Sum","5802 Value Entry","43 Cost Amount (Actual)","41 Source Type",$C$5,"5 Source no.",$C402,"4 Item Ledger Entry Type",$C$4,"2 Item No.","@@"&amp;$F402,"3 Posting Date",U$9)</t>
  </si>
  <si>
    <t>=U402-W402</t>
  </si>
  <si>
    <t>=IF(U402&lt;&gt;0,X402/U402,"")</t>
  </si>
  <si>
    <t>=NL("Sum","5802 Value Entry","150 Sales Amount (Expected)","41 Source Type",$C$5,"5 Source No.",$C402,"4 Item Ledger Entry Type",$C$4,"2 Item No.","@@"&amp;$F402,"3 Posting Date",Z$9)+NL("Sum","5802 Value Entry","17 Sales Amount (Actual)","41 Source Type",$C$5,"5 Source no.",$C402,"4 Item Ledger Entry Type",$C$4,"2 Item No.","@@"&amp;$F402,"3 Posting Date",Z$9)</t>
  </si>
  <si>
    <t>=-NL("Sum","5802 Value Entry","151 Cost Amount (Expected)","41 Source Type",$C$5,"5 Source No.",$C402,"4 Item Ledger Entry Type",$C$4,"2 Item No.","@@"&amp;$F402,"3 Posting Date",Z$9)-NL("Sum","5802 Value Entry","43 Cost Amount (Actual)","41 Source Type",$C$5,"5 Source no.",$C402,"4 Item Ledger Entry Type",$C$4,"2 Item No.","@@"&amp;$F402,"3 Posting Date",Z$9)</t>
  </si>
  <si>
    <t>=Z402-AB402</t>
  </si>
  <si>
    <t>=IF(Z402&lt;&gt;0,AC402/Z402,"")</t>
  </si>
  <si>
    <t>=C402</t>
  </si>
  <si>
    <t>=NL("Sum","5802 Value Entry","150 Sales Amount (Expected)","41 Source Type",$C$5,"5 Source No.",$C403,"4 Item Ledger Entry Type",$C$4,"2 Item No.","@@"&amp;$F403,"3 Posting Date",J$9)+NL("Sum","5802 Value Entry","17 Sales Amount (Actual)","41 Source Type",$C$5,"5 Source no.",$C403,"4 Item Ledger Entry Type",$C$4,"2 Item No.","@@"&amp;$F403,"3 Posting Date",J$9)</t>
  </si>
  <si>
    <t>=-NL("Sum","5802 Value Entry","151 Cost Amount (Expected)","41 Source Type",$C$5,"5 Source No.",$C403,"4 Item Ledger Entry Type",$C$4,"2 Item No.","@@"&amp;$F403,"3 Posting Date",J$9)-NL("Sum","5802 Value Entry","43 Cost Amount (Actual)","41 Source Type",$C$5,"5 Source no.",$C403,"4 Item Ledger Entry Type",$C$4,"2 Item No.","@@"&amp;$F403,"3 Posting Date",J$9)</t>
  </si>
  <si>
    <t>=J403-L403</t>
  </si>
  <si>
    <t>=IF(J403&lt;&gt;0,M403/J403,"")</t>
  </si>
  <si>
    <t>=NL("Sum","5802 Value Entry","150 Sales Amount (Expected)","41 Source Type",$C$5,"5 Source No.",$C403,"4 Item Ledger Entry Type",$C$4,"2 Item No.","@@"&amp;$F403,"3 Posting Date",O$9)+NL("Sum","5802 Value Entry","17 Sales Amount (Actual)","41 Source Type",$C$5,"5 Source no.",$C403,"4 Item Ledger Entry Type",$C$4,"2 Item No.","@@"&amp;$F403,"3 Posting Date",O$9)</t>
  </si>
  <si>
    <t>=-NL("Sum","5802 Value Entry","151 Cost Amount (Expected)","41 Source Type",$C$5,"5 Source No.",$C403,"4 Item Ledger Entry Type",$C$4,"2 Item No.","@@"&amp;$F403,"3 Posting Date",O$9)-NL("Sum","5802 Value Entry","43 Cost Amount (Actual)","41 Source Type",$C$5,"5 Source no.",$C403,"4 Item Ledger Entry Type",$C$4,"2 Item No.","@@"&amp;$F403,"3 Posting Date",O$9)</t>
  </si>
  <si>
    <t>=O403-Q403</t>
  </si>
  <si>
    <t>=IF(O403&lt;&gt;0,R403/O403,"")</t>
  </si>
  <si>
    <t>=NL("Sum","5802 Value Entry","150 Sales Amount (Expected)","41 Source Type",$C$5,"5 Source No.",$C403,"4 Item Ledger Entry Type",$C$4,"2 Item No.","@@"&amp;$F403,"3 Posting Date",U$9)+NL("Sum","5802 Value Entry","17 Sales Amount (Actual)","41 Source Type",$C$5,"5 Source no.",$C403,"4 Item Ledger Entry Type",$C$4,"2 Item No.","@@"&amp;$F403,"3 Posting Date",U$9)</t>
  </si>
  <si>
    <t>=-NL("Sum","5802 Value Entry","151 Cost Amount (Expected)","41 Source Type",$C$5,"5 Source No.",$C403,"4 Item Ledger Entry Type",$C$4,"2 Item No.","@@"&amp;$F403,"3 Posting Date",U$9)-NL("Sum","5802 Value Entry","43 Cost Amount (Actual)","41 Source Type",$C$5,"5 Source no.",$C403,"4 Item Ledger Entry Type",$C$4,"2 Item No.","@@"&amp;$F403,"3 Posting Date",U$9)</t>
  </si>
  <si>
    <t>=U403-W403</t>
  </si>
  <si>
    <t>=IF(U403&lt;&gt;0,X403/U403,"")</t>
  </si>
  <si>
    <t>=NL("Sum","5802 Value Entry","150 Sales Amount (Expected)","41 Source Type",$C$5,"5 Source No.",$C403,"4 Item Ledger Entry Type",$C$4,"2 Item No.","@@"&amp;$F403,"3 Posting Date",Z$9)+NL("Sum","5802 Value Entry","17 Sales Amount (Actual)","41 Source Type",$C$5,"5 Source no.",$C403,"4 Item Ledger Entry Type",$C$4,"2 Item No.","@@"&amp;$F403,"3 Posting Date",Z$9)</t>
  </si>
  <si>
    <t>=-NL("Sum","5802 Value Entry","151 Cost Amount (Expected)","41 Source Type",$C$5,"5 Source No.",$C403,"4 Item Ledger Entry Type",$C$4,"2 Item No.","@@"&amp;$F403,"3 Posting Date",Z$9)-NL("Sum","5802 Value Entry","43 Cost Amount (Actual)","41 Source Type",$C$5,"5 Source no.",$C403,"4 Item Ledger Entry Type",$C$4,"2 Item No.","@@"&amp;$F403,"3 Posting Date",Z$9)</t>
  </si>
  <si>
    <t>=Z403-AB403</t>
  </si>
  <si>
    <t>=IF(Z403&lt;&gt;0,AC403/Z403,"")</t>
  </si>
  <si>
    <t>=C403</t>
  </si>
  <si>
    <t>=NL("Sum","5802 Value Entry","150 Sales Amount (Expected)","41 Source Type",$C$5,"5 Source No.",$C404,"4 Item Ledger Entry Type",$C$4,"2 Item No.","@@"&amp;$F404,"3 Posting Date",J$9)+NL("Sum","5802 Value Entry","17 Sales Amount (Actual)","41 Source Type",$C$5,"5 Source no.",$C404,"4 Item Ledger Entry Type",$C$4,"2 Item No.","@@"&amp;$F404,"3 Posting Date",J$9)</t>
  </si>
  <si>
    <t>=-NL("Sum","5802 Value Entry","151 Cost Amount (Expected)","41 Source Type",$C$5,"5 Source No.",$C404,"4 Item Ledger Entry Type",$C$4,"2 Item No.","@@"&amp;$F404,"3 Posting Date",J$9)-NL("Sum","5802 Value Entry","43 Cost Amount (Actual)","41 Source Type",$C$5,"5 Source no.",$C404,"4 Item Ledger Entry Type",$C$4,"2 Item No.","@@"&amp;$F404,"3 Posting Date",J$9)</t>
  </si>
  <si>
    <t>=J404-L404</t>
  </si>
  <si>
    <t>=IF(J404&lt;&gt;0,M404/J404,"")</t>
  </si>
  <si>
    <t>=NL("Sum","5802 Value Entry","150 Sales Amount (Expected)","41 Source Type",$C$5,"5 Source No.",$C404,"4 Item Ledger Entry Type",$C$4,"2 Item No.","@@"&amp;$F404,"3 Posting Date",O$9)+NL("Sum","5802 Value Entry","17 Sales Amount (Actual)","41 Source Type",$C$5,"5 Source no.",$C404,"4 Item Ledger Entry Type",$C$4,"2 Item No.","@@"&amp;$F404,"3 Posting Date",O$9)</t>
  </si>
  <si>
    <t>=-NL("Sum","5802 Value Entry","151 Cost Amount (Expected)","41 Source Type",$C$5,"5 Source No.",$C404,"4 Item Ledger Entry Type",$C$4,"2 Item No.","@@"&amp;$F404,"3 Posting Date",O$9)-NL("Sum","5802 Value Entry","43 Cost Amount (Actual)","41 Source Type",$C$5,"5 Source no.",$C404,"4 Item Ledger Entry Type",$C$4,"2 Item No.","@@"&amp;$F404,"3 Posting Date",O$9)</t>
  </si>
  <si>
    <t>=O404-Q404</t>
  </si>
  <si>
    <t>=IF(O404&lt;&gt;0,R404/O404,"")</t>
  </si>
  <si>
    <t>=NL("Sum","5802 Value Entry","150 Sales Amount (Expected)","41 Source Type",$C$5,"5 Source No.",$C404,"4 Item Ledger Entry Type",$C$4,"2 Item No.","@@"&amp;$F404,"3 Posting Date",U$9)+NL("Sum","5802 Value Entry","17 Sales Amount (Actual)","41 Source Type",$C$5,"5 Source no.",$C404,"4 Item Ledger Entry Type",$C$4,"2 Item No.","@@"&amp;$F404,"3 Posting Date",U$9)</t>
  </si>
  <si>
    <t>=-NL("Sum","5802 Value Entry","151 Cost Amount (Expected)","41 Source Type",$C$5,"5 Source No.",$C404,"4 Item Ledger Entry Type",$C$4,"2 Item No.","@@"&amp;$F404,"3 Posting Date",U$9)-NL("Sum","5802 Value Entry","43 Cost Amount (Actual)","41 Source Type",$C$5,"5 Source no.",$C404,"4 Item Ledger Entry Type",$C$4,"2 Item No.","@@"&amp;$F404,"3 Posting Date",U$9)</t>
  </si>
  <si>
    <t>=U404-W404</t>
  </si>
  <si>
    <t>=IF(U404&lt;&gt;0,X404/U404,"")</t>
  </si>
  <si>
    <t>=NL("Sum","5802 Value Entry","150 Sales Amount (Expected)","41 Source Type",$C$5,"5 Source No.",$C404,"4 Item Ledger Entry Type",$C$4,"2 Item No.","@@"&amp;$F404,"3 Posting Date",Z$9)+NL("Sum","5802 Value Entry","17 Sales Amount (Actual)","41 Source Type",$C$5,"5 Source no.",$C404,"4 Item Ledger Entry Type",$C$4,"2 Item No.","@@"&amp;$F404,"3 Posting Date",Z$9)</t>
  </si>
  <si>
    <t>=-NL("Sum","5802 Value Entry","151 Cost Amount (Expected)","41 Source Type",$C$5,"5 Source No.",$C404,"4 Item Ledger Entry Type",$C$4,"2 Item No.","@@"&amp;$F404,"3 Posting Date",Z$9)-NL("Sum","5802 Value Entry","43 Cost Amount (Actual)","41 Source Type",$C$5,"5 Source no.",$C404,"4 Item Ledger Entry Type",$C$4,"2 Item No.","@@"&amp;$F404,"3 Posting Date",Z$9)</t>
  </si>
  <si>
    <t>=Z404-AB404</t>
  </si>
  <si>
    <t>=IF(Z404&lt;&gt;0,AC404/Z404,"")</t>
  </si>
  <si>
    <t>=C404</t>
  </si>
  <si>
    <t>=NL("Sum","5802 Value Entry","150 Sales Amount (Expected)","41 Source Type",$C$5,"5 Source No.",$C405,"4 Item Ledger Entry Type",$C$4,"2 Item No.","@@"&amp;$F405,"3 Posting Date",J$9)+NL("Sum","5802 Value Entry","17 Sales Amount (Actual)","41 Source Type",$C$5,"5 Source no.",$C405,"4 Item Ledger Entry Type",$C$4,"2 Item No.","@@"&amp;$F405,"3 Posting Date",J$9)</t>
  </si>
  <si>
    <t>=-NL("Sum","5802 Value Entry","151 Cost Amount (Expected)","41 Source Type",$C$5,"5 Source No.",$C405,"4 Item Ledger Entry Type",$C$4,"2 Item No.","@@"&amp;$F405,"3 Posting Date",J$9)-NL("Sum","5802 Value Entry","43 Cost Amount (Actual)","41 Source Type",$C$5,"5 Source no.",$C405,"4 Item Ledger Entry Type",$C$4,"2 Item No.","@@"&amp;$F405,"3 Posting Date",J$9)</t>
  </si>
  <si>
    <t>=J405-L405</t>
  </si>
  <si>
    <t>=IF(J405&lt;&gt;0,M405/J405,"")</t>
  </si>
  <si>
    <t>=NL("Sum","5802 Value Entry","150 Sales Amount (Expected)","41 Source Type",$C$5,"5 Source No.",$C405,"4 Item Ledger Entry Type",$C$4,"2 Item No.","@@"&amp;$F405,"3 Posting Date",O$9)+NL("Sum","5802 Value Entry","17 Sales Amount (Actual)","41 Source Type",$C$5,"5 Source no.",$C405,"4 Item Ledger Entry Type",$C$4,"2 Item No.","@@"&amp;$F405,"3 Posting Date",O$9)</t>
  </si>
  <si>
    <t>=-NL("Sum","5802 Value Entry","151 Cost Amount (Expected)","41 Source Type",$C$5,"5 Source No.",$C405,"4 Item Ledger Entry Type",$C$4,"2 Item No.","@@"&amp;$F405,"3 Posting Date",O$9)-NL("Sum","5802 Value Entry","43 Cost Amount (Actual)","41 Source Type",$C$5,"5 Source no.",$C405,"4 Item Ledger Entry Type",$C$4,"2 Item No.","@@"&amp;$F405,"3 Posting Date",O$9)</t>
  </si>
  <si>
    <t>=O405-Q405</t>
  </si>
  <si>
    <t>=IF(O405&lt;&gt;0,R405/O405,"")</t>
  </si>
  <si>
    <t>=NL("Sum","5802 Value Entry","150 Sales Amount (Expected)","41 Source Type",$C$5,"5 Source No.",$C405,"4 Item Ledger Entry Type",$C$4,"2 Item No.","@@"&amp;$F405,"3 Posting Date",U$9)+NL("Sum","5802 Value Entry","17 Sales Amount (Actual)","41 Source Type",$C$5,"5 Source no.",$C405,"4 Item Ledger Entry Type",$C$4,"2 Item No.","@@"&amp;$F405,"3 Posting Date",U$9)</t>
  </si>
  <si>
    <t>=-NL("Sum","5802 Value Entry","151 Cost Amount (Expected)","41 Source Type",$C$5,"5 Source No.",$C405,"4 Item Ledger Entry Type",$C$4,"2 Item No.","@@"&amp;$F405,"3 Posting Date",U$9)-NL("Sum","5802 Value Entry","43 Cost Amount (Actual)","41 Source Type",$C$5,"5 Source no.",$C405,"4 Item Ledger Entry Type",$C$4,"2 Item No.","@@"&amp;$F405,"3 Posting Date",U$9)</t>
  </si>
  <si>
    <t>=U405-W405</t>
  </si>
  <si>
    <t>=IF(U405&lt;&gt;0,X405/U405,"")</t>
  </si>
  <si>
    <t>=NL("Sum","5802 Value Entry","150 Sales Amount (Expected)","41 Source Type",$C$5,"5 Source No.",$C405,"4 Item Ledger Entry Type",$C$4,"2 Item No.","@@"&amp;$F405,"3 Posting Date",Z$9)+NL("Sum","5802 Value Entry","17 Sales Amount (Actual)","41 Source Type",$C$5,"5 Source no.",$C405,"4 Item Ledger Entry Type",$C$4,"2 Item No.","@@"&amp;$F405,"3 Posting Date",Z$9)</t>
  </si>
  <si>
    <t>=-NL("Sum","5802 Value Entry","151 Cost Amount (Expected)","41 Source Type",$C$5,"5 Source No.",$C405,"4 Item Ledger Entry Type",$C$4,"2 Item No.","@@"&amp;$F405,"3 Posting Date",Z$9)-NL("Sum","5802 Value Entry","43 Cost Amount (Actual)","41 Source Type",$C$5,"5 Source no.",$C405,"4 Item Ledger Entry Type",$C$4,"2 Item No.","@@"&amp;$F405,"3 Posting Date",Z$9)</t>
  </si>
  <si>
    <t>=Z405-AB405</t>
  </si>
  <si>
    <t>=IF(Z405&lt;&gt;0,AC405/Z405,"")</t>
  </si>
  <si>
    <t>=C405</t>
  </si>
  <si>
    <t>=NL("Sum","5802 Value Entry","150 Sales Amount (Expected)","41 Source Type",$C$5,"5 Source No.",$C406,"4 Item Ledger Entry Type",$C$4,"2 Item No.","@@"&amp;$F406,"3 Posting Date",J$9)+NL("Sum","5802 Value Entry","17 Sales Amount (Actual)","41 Source Type",$C$5,"5 Source no.",$C406,"4 Item Ledger Entry Type",$C$4,"2 Item No.","@@"&amp;$F406,"3 Posting Date",J$9)</t>
  </si>
  <si>
    <t>=-NL("Sum","5802 Value Entry","151 Cost Amount (Expected)","41 Source Type",$C$5,"5 Source No.",$C406,"4 Item Ledger Entry Type",$C$4,"2 Item No.","@@"&amp;$F406,"3 Posting Date",J$9)-NL("Sum","5802 Value Entry","43 Cost Amount (Actual)","41 Source Type",$C$5,"5 Source no.",$C406,"4 Item Ledger Entry Type",$C$4,"2 Item No.","@@"&amp;$F406,"3 Posting Date",J$9)</t>
  </si>
  <si>
    <t>=J406-L406</t>
  </si>
  <si>
    <t>=IF(J406&lt;&gt;0,M406/J406,"")</t>
  </si>
  <si>
    <t>=NL("Sum","5802 Value Entry","150 Sales Amount (Expected)","41 Source Type",$C$5,"5 Source No.",$C406,"4 Item Ledger Entry Type",$C$4,"2 Item No.","@@"&amp;$F406,"3 Posting Date",O$9)+NL("Sum","5802 Value Entry","17 Sales Amount (Actual)","41 Source Type",$C$5,"5 Source no.",$C406,"4 Item Ledger Entry Type",$C$4,"2 Item No.","@@"&amp;$F406,"3 Posting Date",O$9)</t>
  </si>
  <si>
    <t>=-NL("Sum","5802 Value Entry","151 Cost Amount (Expected)","41 Source Type",$C$5,"5 Source No.",$C406,"4 Item Ledger Entry Type",$C$4,"2 Item No.","@@"&amp;$F406,"3 Posting Date",O$9)-NL("Sum","5802 Value Entry","43 Cost Amount (Actual)","41 Source Type",$C$5,"5 Source no.",$C406,"4 Item Ledger Entry Type",$C$4,"2 Item No.","@@"&amp;$F406,"3 Posting Date",O$9)</t>
  </si>
  <si>
    <t>=O406-Q406</t>
  </si>
  <si>
    <t>=IF(O406&lt;&gt;0,R406/O406,"")</t>
  </si>
  <si>
    <t>=NL("Sum","5802 Value Entry","150 Sales Amount (Expected)","41 Source Type",$C$5,"5 Source No.",$C406,"4 Item Ledger Entry Type",$C$4,"2 Item No.","@@"&amp;$F406,"3 Posting Date",U$9)+NL("Sum","5802 Value Entry","17 Sales Amount (Actual)","41 Source Type",$C$5,"5 Source no.",$C406,"4 Item Ledger Entry Type",$C$4,"2 Item No.","@@"&amp;$F406,"3 Posting Date",U$9)</t>
  </si>
  <si>
    <t>=-NL("Sum","5802 Value Entry","151 Cost Amount (Expected)","41 Source Type",$C$5,"5 Source No.",$C406,"4 Item Ledger Entry Type",$C$4,"2 Item No.","@@"&amp;$F406,"3 Posting Date",U$9)-NL("Sum","5802 Value Entry","43 Cost Amount (Actual)","41 Source Type",$C$5,"5 Source no.",$C406,"4 Item Ledger Entry Type",$C$4,"2 Item No.","@@"&amp;$F406,"3 Posting Date",U$9)</t>
  </si>
  <si>
    <t>=U406-W406</t>
  </si>
  <si>
    <t>=IF(U406&lt;&gt;0,X406/U406,"")</t>
  </si>
  <si>
    <t>=NL("Sum","5802 Value Entry","150 Sales Amount (Expected)","41 Source Type",$C$5,"5 Source No.",$C406,"4 Item Ledger Entry Type",$C$4,"2 Item No.","@@"&amp;$F406,"3 Posting Date",Z$9)+NL("Sum","5802 Value Entry","17 Sales Amount (Actual)","41 Source Type",$C$5,"5 Source no.",$C406,"4 Item Ledger Entry Type",$C$4,"2 Item No.","@@"&amp;$F406,"3 Posting Date",Z$9)</t>
  </si>
  <si>
    <t>=-NL("Sum","5802 Value Entry","151 Cost Amount (Expected)","41 Source Type",$C$5,"5 Source No.",$C406,"4 Item Ledger Entry Type",$C$4,"2 Item No.","@@"&amp;$F406,"3 Posting Date",Z$9)-NL("Sum","5802 Value Entry","43 Cost Amount (Actual)","41 Source Type",$C$5,"5 Source no.",$C406,"4 Item Ledger Entry Type",$C$4,"2 Item No.","@@"&amp;$F406,"3 Posting Date",Z$9)</t>
  </si>
  <si>
    <t>=Z406-AB406</t>
  </si>
  <si>
    <t>=IF(Z406&lt;&gt;0,AC406/Z406,"")</t>
  </si>
  <si>
    <t>=C406</t>
  </si>
  <si>
    <t>="C100048"</t>
  </si>
  <si>
    <t>=NL("Sum","5802 Value Entry","150 Sales Amount (Expected)","41 Source Type",$C$5,"5 Source No.",$C407,"4 Item Ledger Entry Type",$C$4,"2 Item No.","@@"&amp;$F407,"3 Posting Date",J$9)+NL("Sum","5802 Value Entry","17 Sales Amount (Actual)","41 Source Type",$C$5,"5 Source no.",$C407,"4 Item Ledger Entry Type",$C$4,"2 Item No.","@@"&amp;$F407,"3 Posting Date",J$9)</t>
  </si>
  <si>
    <t>=-NL("Sum","5802 Value Entry","151 Cost Amount (Expected)","41 Source Type",$C$5,"5 Source No.",$C407,"4 Item Ledger Entry Type",$C$4,"2 Item No.","@@"&amp;$F407,"3 Posting Date",J$9)-NL("Sum","5802 Value Entry","43 Cost Amount (Actual)","41 Source Type",$C$5,"5 Source no.",$C407,"4 Item Ledger Entry Type",$C$4,"2 Item No.","@@"&amp;$F407,"3 Posting Date",J$9)</t>
  </si>
  <si>
    <t>=J407-L407</t>
  </si>
  <si>
    <t>=IF(J407&lt;&gt;0,M407/J407,"")</t>
  </si>
  <si>
    <t>=NL("Sum","5802 Value Entry","150 Sales Amount (Expected)","41 Source Type",$C$5,"5 Source No.",$C407,"4 Item Ledger Entry Type",$C$4,"2 Item No.","@@"&amp;$F407,"3 Posting Date",O$9)+NL("Sum","5802 Value Entry","17 Sales Amount (Actual)","41 Source Type",$C$5,"5 Source no.",$C407,"4 Item Ledger Entry Type",$C$4,"2 Item No.","@@"&amp;$F407,"3 Posting Date",O$9)</t>
  </si>
  <si>
    <t>=-NL("Sum","5802 Value Entry","151 Cost Amount (Expected)","41 Source Type",$C$5,"5 Source No.",$C407,"4 Item Ledger Entry Type",$C$4,"2 Item No.","@@"&amp;$F407,"3 Posting Date",O$9)-NL("Sum","5802 Value Entry","43 Cost Amount (Actual)","41 Source Type",$C$5,"5 Source no.",$C407,"4 Item Ledger Entry Type",$C$4,"2 Item No.","@@"&amp;$F407,"3 Posting Date",O$9)</t>
  </si>
  <si>
    <t>=O407-Q407</t>
  </si>
  <si>
    <t>=IF(O407&lt;&gt;0,R407/O407,"")</t>
  </si>
  <si>
    <t>=NL("Sum","5802 Value Entry","150 Sales Amount (Expected)","41 Source Type",$C$5,"5 Source No.",$C407,"4 Item Ledger Entry Type",$C$4,"2 Item No.","@@"&amp;$F407,"3 Posting Date",U$9)+NL("Sum","5802 Value Entry","17 Sales Amount (Actual)","41 Source Type",$C$5,"5 Source no.",$C407,"4 Item Ledger Entry Type",$C$4,"2 Item No.","@@"&amp;$F407,"3 Posting Date",U$9)</t>
  </si>
  <si>
    <t>=-NL("Sum","5802 Value Entry","151 Cost Amount (Expected)","41 Source Type",$C$5,"5 Source No.",$C407,"4 Item Ledger Entry Type",$C$4,"2 Item No.","@@"&amp;$F407,"3 Posting Date",U$9)-NL("Sum","5802 Value Entry","43 Cost Amount (Actual)","41 Source Type",$C$5,"5 Source no.",$C407,"4 Item Ledger Entry Type",$C$4,"2 Item No.","@@"&amp;$F407,"3 Posting Date",U$9)</t>
  </si>
  <si>
    <t>=U407-W407</t>
  </si>
  <si>
    <t>=IF(U407&lt;&gt;0,X407/U407,"")</t>
  </si>
  <si>
    <t>=NL("Sum","5802 Value Entry","150 Sales Amount (Expected)","41 Source Type",$C$5,"5 Source No.",$C407,"4 Item Ledger Entry Type",$C$4,"2 Item No.","@@"&amp;$F407,"3 Posting Date",Z$9)+NL("Sum","5802 Value Entry","17 Sales Amount (Actual)","41 Source Type",$C$5,"5 Source no.",$C407,"4 Item Ledger Entry Type",$C$4,"2 Item No.","@@"&amp;$F407,"3 Posting Date",Z$9)</t>
  </si>
  <si>
    <t>=-NL("Sum","5802 Value Entry","151 Cost Amount (Expected)","41 Source Type",$C$5,"5 Source No.",$C407,"4 Item Ledger Entry Type",$C$4,"2 Item No.","@@"&amp;$F407,"3 Posting Date",Z$9)-NL("Sum","5802 Value Entry","43 Cost Amount (Actual)","41 Source Type",$C$5,"5 Source no.",$C407,"4 Item Ledger Entry Type",$C$4,"2 Item No.","@@"&amp;$F407,"3 Posting Date",Z$9)</t>
  </si>
  <si>
    <t>=Z407-AB407</t>
  </si>
  <si>
    <t>=IF(Z407&lt;&gt;0,AC407/Z407,"")</t>
  </si>
  <si>
    <t>=C407</t>
  </si>
  <si>
    <t>=NL("Sum","5802 Value Entry","150 Sales Amount (Expected)","41 Source Type",$C$5,"5 Source No.",$C408,"4 Item Ledger Entry Type",$C$4,"2 Item No.","@@"&amp;$F408,"3 Posting Date",J$9)+NL("Sum","5802 Value Entry","17 Sales Amount (Actual)","41 Source Type",$C$5,"5 Source no.",$C408,"4 Item Ledger Entry Type",$C$4,"2 Item No.","@@"&amp;$F408,"3 Posting Date",J$9)</t>
  </si>
  <si>
    <t>=-NL("Sum","5802 Value Entry","151 Cost Amount (Expected)","41 Source Type",$C$5,"5 Source No.",$C408,"4 Item Ledger Entry Type",$C$4,"2 Item No.","@@"&amp;$F408,"3 Posting Date",J$9)-NL("Sum","5802 Value Entry","43 Cost Amount (Actual)","41 Source Type",$C$5,"5 Source no.",$C408,"4 Item Ledger Entry Type",$C$4,"2 Item No.","@@"&amp;$F408,"3 Posting Date",J$9)</t>
  </si>
  <si>
    <t>=J408-L408</t>
  </si>
  <si>
    <t>=IF(J408&lt;&gt;0,M408/J408,"")</t>
  </si>
  <si>
    <t>=NL("Sum","5802 Value Entry","150 Sales Amount (Expected)","41 Source Type",$C$5,"5 Source No.",$C408,"4 Item Ledger Entry Type",$C$4,"2 Item No.","@@"&amp;$F408,"3 Posting Date",O$9)+NL("Sum","5802 Value Entry","17 Sales Amount (Actual)","41 Source Type",$C$5,"5 Source no.",$C408,"4 Item Ledger Entry Type",$C$4,"2 Item No.","@@"&amp;$F408,"3 Posting Date",O$9)</t>
  </si>
  <si>
    <t>=-NL("Sum","5802 Value Entry","151 Cost Amount (Expected)","41 Source Type",$C$5,"5 Source No.",$C408,"4 Item Ledger Entry Type",$C$4,"2 Item No.","@@"&amp;$F408,"3 Posting Date",O$9)-NL("Sum","5802 Value Entry","43 Cost Amount (Actual)","41 Source Type",$C$5,"5 Source no.",$C408,"4 Item Ledger Entry Type",$C$4,"2 Item No.","@@"&amp;$F408,"3 Posting Date",O$9)</t>
  </si>
  <si>
    <t>=O408-Q408</t>
  </si>
  <si>
    <t>=IF(O408&lt;&gt;0,R408/O408,"")</t>
  </si>
  <si>
    <t>=NL("Sum","5802 Value Entry","150 Sales Amount (Expected)","41 Source Type",$C$5,"5 Source No.",$C408,"4 Item Ledger Entry Type",$C$4,"2 Item No.","@@"&amp;$F408,"3 Posting Date",U$9)+NL("Sum","5802 Value Entry","17 Sales Amount (Actual)","41 Source Type",$C$5,"5 Source no.",$C408,"4 Item Ledger Entry Type",$C$4,"2 Item No.","@@"&amp;$F408,"3 Posting Date",U$9)</t>
  </si>
  <si>
    <t>=-NL("Sum","5802 Value Entry","151 Cost Amount (Expected)","41 Source Type",$C$5,"5 Source No.",$C408,"4 Item Ledger Entry Type",$C$4,"2 Item No.","@@"&amp;$F408,"3 Posting Date",U$9)-NL("Sum","5802 Value Entry","43 Cost Amount (Actual)","41 Source Type",$C$5,"5 Source no.",$C408,"4 Item Ledger Entry Type",$C$4,"2 Item No.","@@"&amp;$F408,"3 Posting Date",U$9)</t>
  </si>
  <si>
    <t>=U408-W408</t>
  </si>
  <si>
    <t>=IF(U408&lt;&gt;0,X408/U408,"")</t>
  </si>
  <si>
    <t>=NL("Sum","5802 Value Entry","150 Sales Amount (Expected)","41 Source Type",$C$5,"5 Source No.",$C408,"4 Item Ledger Entry Type",$C$4,"2 Item No.","@@"&amp;$F408,"3 Posting Date",Z$9)+NL("Sum","5802 Value Entry","17 Sales Amount (Actual)","41 Source Type",$C$5,"5 Source no.",$C408,"4 Item Ledger Entry Type",$C$4,"2 Item No.","@@"&amp;$F408,"3 Posting Date",Z$9)</t>
  </si>
  <si>
    <t>=-NL("Sum","5802 Value Entry","151 Cost Amount (Expected)","41 Source Type",$C$5,"5 Source No.",$C408,"4 Item Ledger Entry Type",$C$4,"2 Item No.","@@"&amp;$F408,"3 Posting Date",Z$9)-NL("Sum","5802 Value Entry","43 Cost Amount (Actual)","41 Source Type",$C$5,"5 Source no.",$C408,"4 Item Ledger Entry Type",$C$4,"2 Item No.","@@"&amp;$F408,"3 Posting Date",Z$9)</t>
  </si>
  <si>
    <t>=Z408-AB408</t>
  </si>
  <si>
    <t>=IF(Z408&lt;&gt;0,AC408/Z408,"")</t>
  </si>
  <si>
    <t>=C408</t>
  </si>
  <si>
    <t>=NL("Sum","5802 Value Entry","150 Sales Amount (Expected)","41 Source Type",$C$5,"5 Source No.",$C409,"4 Item Ledger Entry Type",$C$4,"2 Item No.","@@"&amp;$F409,"3 Posting Date",J$9)+NL("Sum","5802 Value Entry","17 Sales Amount (Actual)","41 Source Type",$C$5,"5 Source no.",$C409,"4 Item Ledger Entry Type",$C$4,"2 Item No.","@@"&amp;$F409,"3 Posting Date",J$9)</t>
  </si>
  <si>
    <t>=-NL("Sum","5802 Value Entry","151 Cost Amount (Expected)","41 Source Type",$C$5,"5 Source No.",$C409,"4 Item Ledger Entry Type",$C$4,"2 Item No.","@@"&amp;$F409,"3 Posting Date",J$9)-NL("Sum","5802 Value Entry","43 Cost Amount (Actual)","41 Source Type",$C$5,"5 Source no.",$C409,"4 Item Ledger Entry Type",$C$4,"2 Item No.","@@"&amp;$F409,"3 Posting Date",J$9)</t>
  </si>
  <si>
    <t>=J409-L409</t>
  </si>
  <si>
    <t>=IF(J409&lt;&gt;0,M409/J409,"")</t>
  </si>
  <si>
    <t>=NL("Sum","5802 Value Entry","150 Sales Amount (Expected)","41 Source Type",$C$5,"5 Source No.",$C409,"4 Item Ledger Entry Type",$C$4,"2 Item No.","@@"&amp;$F409,"3 Posting Date",O$9)+NL("Sum","5802 Value Entry","17 Sales Amount (Actual)","41 Source Type",$C$5,"5 Source no.",$C409,"4 Item Ledger Entry Type",$C$4,"2 Item No.","@@"&amp;$F409,"3 Posting Date",O$9)</t>
  </si>
  <si>
    <t>=-NL("Sum","5802 Value Entry","151 Cost Amount (Expected)","41 Source Type",$C$5,"5 Source No.",$C409,"4 Item Ledger Entry Type",$C$4,"2 Item No.","@@"&amp;$F409,"3 Posting Date",O$9)-NL("Sum","5802 Value Entry","43 Cost Amount (Actual)","41 Source Type",$C$5,"5 Source no.",$C409,"4 Item Ledger Entry Type",$C$4,"2 Item No.","@@"&amp;$F409,"3 Posting Date",O$9)</t>
  </si>
  <si>
    <t>=O409-Q409</t>
  </si>
  <si>
    <t>=IF(O409&lt;&gt;0,R409/O409,"")</t>
  </si>
  <si>
    <t>=NL("Sum","5802 Value Entry","150 Sales Amount (Expected)","41 Source Type",$C$5,"5 Source No.",$C409,"4 Item Ledger Entry Type",$C$4,"2 Item No.","@@"&amp;$F409,"3 Posting Date",U$9)+NL("Sum","5802 Value Entry","17 Sales Amount (Actual)","41 Source Type",$C$5,"5 Source no.",$C409,"4 Item Ledger Entry Type",$C$4,"2 Item No.","@@"&amp;$F409,"3 Posting Date",U$9)</t>
  </si>
  <si>
    <t>=-NL("Sum","5802 Value Entry","151 Cost Amount (Expected)","41 Source Type",$C$5,"5 Source No.",$C409,"4 Item Ledger Entry Type",$C$4,"2 Item No.","@@"&amp;$F409,"3 Posting Date",U$9)-NL("Sum","5802 Value Entry","43 Cost Amount (Actual)","41 Source Type",$C$5,"5 Source no.",$C409,"4 Item Ledger Entry Type",$C$4,"2 Item No.","@@"&amp;$F409,"3 Posting Date",U$9)</t>
  </si>
  <si>
    <t>=U409-W409</t>
  </si>
  <si>
    <t>=IF(U409&lt;&gt;0,X409/U409,"")</t>
  </si>
  <si>
    <t>=NL("Sum","5802 Value Entry","150 Sales Amount (Expected)","41 Source Type",$C$5,"5 Source No.",$C409,"4 Item Ledger Entry Type",$C$4,"2 Item No.","@@"&amp;$F409,"3 Posting Date",Z$9)+NL("Sum","5802 Value Entry","17 Sales Amount (Actual)","41 Source Type",$C$5,"5 Source no.",$C409,"4 Item Ledger Entry Type",$C$4,"2 Item No.","@@"&amp;$F409,"3 Posting Date",Z$9)</t>
  </si>
  <si>
    <t>=-NL("Sum","5802 Value Entry","151 Cost Amount (Expected)","41 Source Type",$C$5,"5 Source No.",$C409,"4 Item Ledger Entry Type",$C$4,"2 Item No.","@@"&amp;$F409,"3 Posting Date",Z$9)-NL("Sum","5802 Value Entry","43 Cost Amount (Actual)","41 Source Type",$C$5,"5 Source no.",$C409,"4 Item Ledger Entry Type",$C$4,"2 Item No.","@@"&amp;$F409,"3 Posting Date",Z$9)</t>
  </si>
  <si>
    <t>=Z409-AB409</t>
  </si>
  <si>
    <t>=IF(Z409&lt;&gt;0,AC409/Z409,"")</t>
  </si>
  <si>
    <t>=C409</t>
  </si>
  <si>
    <t>=NL("Sum","5802 Value Entry","150 Sales Amount (Expected)","41 Source Type",$C$5,"5 Source No.",$C410,"4 Item Ledger Entry Type",$C$4,"2 Item No.","@@"&amp;$F410,"3 Posting Date",J$9)+NL("Sum","5802 Value Entry","17 Sales Amount (Actual)","41 Source Type",$C$5,"5 Source no.",$C410,"4 Item Ledger Entry Type",$C$4,"2 Item No.","@@"&amp;$F410,"3 Posting Date",J$9)</t>
  </si>
  <si>
    <t>=-NL("Sum","5802 Value Entry","151 Cost Amount (Expected)","41 Source Type",$C$5,"5 Source No.",$C410,"4 Item Ledger Entry Type",$C$4,"2 Item No.","@@"&amp;$F410,"3 Posting Date",J$9)-NL("Sum","5802 Value Entry","43 Cost Amount (Actual)","41 Source Type",$C$5,"5 Source no.",$C410,"4 Item Ledger Entry Type",$C$4,"2 Item No.","@@"&amp;$F410,"3 Posting Date",J$9)</t>
  </si>
  <si>
    <t>=J410-L410</t>
  </si>
  <si>
    <t>=IF(J410&lt;&gt;0,M410/J410,"")</t>
  </si>
  <si>
    <t>=NL("Sum","5802 Value Entry","150 Sales Amount (Expected)","41 Source Type",$C$5,"5 Source No.",$C410,"4 Item Ledger Entry Type",$C$4,"2 Item No.","@@"&amp;$F410,"3 Posting Date",O$9)+NL("Sum","5802 Value Entry","17 Sales Amount (Actual)","41 Source Type",$C$5,"5 Source no.",$C410,"4 Item Ledger Entry Type",$C$4,"2 Item No.","@@"&amp;$F410,"3 Posting Date",O$9)</t>
  </si>
  <si>
    <t>=-NL("Sum","5802 Value Entry","151 Cost Amount (Expected)","41 Source Type",$C$5,"5 Source No.",$C410,"4 Item Ledger Entry Type",$C$4,"2 Item No.","@@"&amp;$F410,"3 Posting Date",O$9)-NL("Sum","5802 Value Entry","43 Cost Amount (Actual)","41 Source Type",$C$5,"5 Source no.",$C410,"4 Item Ledger Entry Type",$C$4,"2 Item No.","@@"&amp;$F410,"3 Posting Date",O$9)</t>
  </si>
  <si>
    <t>=O410-Q410</t>
  </si>
  <si>
    <t>=IF(O410&lt;&gt;0,R410/O410,"")</t>
  </si>
  <si>
    <t>=NL("Sum","5802 Value Entry","150 Sales Amount (Expected)","41 Source Type",$C$5,"5 Source No.",$C410,"4 Item Ledger Entry Type",$C$4,"2 Item No.","@@"&amp;$F410,"3 Posting Date",U$9)+NL("Sum","5802 Value Entry","17 Sales Amount (Actual)","41 Source Type",$C$5,"5 Source no.",$C410,"4 Item Ledger Entry Type",$C$4,"2 Item No.","@@"&amp;$F410,"3 Posting Date",U$9)</t>
  </si>
  <si>
    <t>=-NL("Sum","5802 Value Entry","151 Cost Amount (Expected)","41 Source Type",$C$5,"5 Source No.",$C410,"4 Item Ledger Entry Type",$C$4,"2 Item No.","@@"&amp;$F410,"3 Posting Date",U$9)-NL("Sum","5802 Value Entry","43 Cost Amount (Actual)","41 Source Type",$C$5,"5 Source no.",$C410,"4 Item Ledger Entry Type",$C$4,"2 Item No.","@@"&amp;$F410,"3 Posting Date",U$9)</t>
  </si>
  <si>
    <t>=U410-W410</t>
  </si>
  <si>
    <t>=IF(U410&lt;&gt;0,X410/U410,"")</t>
  </si>
  <si>
    <t>=NL("Sum","5802 Value Entry","150 Sales Amount (Expected)","41 Source Type",$C$5,"5 Source No.",$C410,"4 Item Ledger Entry Type",$C$4,"2 Item No.","@@"&amp;$F410,"3 Posting Date",Z$9)+NL("Sum","5802 Value Entry","17 Sales Amount (Actual)","41 Source Type",$C$5,"5 Source no.",$C410,"4 Item Ledger Entry Type",$C$4,"2 Item No.","@@"&amp;$F410,"3 Posting Date",Z$9)</t>
  </si>
  <si>
    <t>=-NL("Sum","5802 Value Entry","151 Cost Amount (Expected)","41 Source Type",$C$5,"5 Source No.",$C410,"4 Item Ledger Entry Type",$C$4,"2 Item No.","@@"&amp;$F410,"3 Posting Date",Z$9)-NL("Sum","5802 Value Entry","43 Cost Amount (Actual)","41 Source Type",$C$5,"5 Source no.",$C410,"4 Item Ledger Entry Type",$C$4,"2 Item No.","@@"&amp;$F410,"3 Posting Date",Z$9)</t>
  </si>
  <si>
    <t>=Z410-AB410</t>
  </si>
  <si>
    <t>=IF(Z410&lt;&gt;0,AC410/Z410,"")</t>
  </si>
  <si>
    <t>=C410</t>
  </si>
  <si>
    <t>=NL("Sum","5802 Value Entry","150 Sales Amount (Expected)","41 Source Type",$C$5,"5 Source No.",$C411,"4 Item Ledger Entry Type",$C$4,"2 Item No.","@@"&amp;$F411,"3 Posting Date",J$9)+NL("Sum","5802 Value Entry","17 Sales Amount (Actual)","41 Source Type",$C$5,"5 Source no.",$C411,"4 Item Ledger Entry Type",$C$4,"2 Item No.","@@"&amp;$F411,"3 Posting Date",J$9)</t>
  </si>
  <si>
    <t>=-NL("Sum","5802 Value Entry","151 Cost Amount (Expected)","41 Source Type",$C$5,"5 Source No.",$C411,"4 Item Ledger Entry Type",$C$4,"2 Item No.","@@"&amp;$F411,"3 Posting Date",J$9)-NL("Sum","5802 Value Entry","43 Cost Amount (Actual)","41 Source Type",$C$5,"5 Source no.",$C411,"4 Item Ledger Entry Type",$C$4,"2 Item No.","@@"&amp;$F411,"3 Posting Date",J$9)</t>
  </si>
  <si>
    <t>=J411-L411</t>
  </si>
  <si>
    <t>=IF(J411&lt;&gt;0,M411/J411,"")</t>
  </si>
  <si>
    <t>=NL("Sum","5802 Value Entry","150 Sales Amount (Expected)","41 Source Type",$C$5,"5 Source No.",$C411,"4 Item Ledger Entry Type",$C$4,"2 Item No.","@@"&amp;$F411,"3 Posting Date",O$9)+NL("Sum","5802 Value Entry","17 Sales Amount (Actual)","41 Source Type",$C$5,"5 Source no.",$C411,"4 Item Ledger Entry Type",$C$4,"2 Item No.","@@"&amp;$F411,"3 Posting Date",O$9)</t>
  </si>
  <si>
    <t>=-NL("Sum","5802 Value Entry","151 Cost Amount (Expected)","41 Source Type",$C$5,"5 Source No.",$C411,"4 Item Ledger Entry Type",$C$4,"2 Item No.","@@"&amp;$F411,"3 Posting Date",O$9)-NL("Sum","5802 Value Entry","43 Cost Amount (Actual)","41 Source Type",$C$5,"5 Source no.",$C411,"4 Item Ledger Entry Type",$C$4,"2 Item No.","@@"&amp;$F411,"3 Posting Date",O$9)</t>
  </si>
  <si>
    <t>=O411-Q411</t>
  </si>
  <si>
    <t>=IF(O411&lt;&gt;0,R411/O411,"")</t>
  </si>
  <si>
    <t>=NL("Sum","5802 Value Entry","150 Sales Amount (Expected)","41 Source Type",$C$5,"5 Source No.",$C411,"4 Item Ledger Entry Type",$C$4,"2 Item No.","@@"&amp;$F411,"3 Posting Date",U$9)+NL("Sum","5802 Value Entry","17 Sales Amount (Actual)","41 Source Type",$C$5,"5 Source no.",$C411,"4 Item Ledger Entry Type",$C$4,"2 Item No.","@@"&amp;$F411,"3 Posting Date",U$9)</t>
  </si>
  <si>
    <t>=-NL("Sum","5802 Value Entry","151 Cost Amount (Expected)","41 Source Type",$C$5,"5 Source No.",$C411,"4 Item Ledger Entry Type",$C$4,"2 Item No.","@@"&amp;$F411,"3 Posting Date",U$9)-NL("Sum","5802 Value Entry","43 Cost Amount (Actual)","41 Source Type",$C$5,"5 Source no.",$C411,"4 Item Ledger Entry Type",$C$4,"2 Item No.","@@"&amp;$F411,"3 Posting Date",U$9)</t>
  </si>
  <si>
    <t>=U411-W411</t>
  </si>
  <si>
    <t>=IF(U411&lt;&gt;0,X411/U411,"")</t>
  </si>
  <si>
    <t>=NL("Sum","5802 Value Entry","150 Sales Amount (Expected)","41 Source Type",$C$5,"5 Source No.",$C411,"4 Item Ledger Entry Type",$C$4,"2 Item No.","@@"&amp;$F411,"3 Posting Date",Z$9)+NL("Sum","5802 Value Entry","17 Sales Amount (Actual)","41 Source Type",$C$5,"5 Source no.",$C411,"4 Item Ledger Entry Type",$C$4,"2 Item No.","@@"&amp;$F411,"3 Posting Date",Z$9)</t>
  </si>
  <si>
    <t>=-NL("Sum","5802 Value Entry","151 Cost Amount (Expected)","41 Source Type",$C$5,"5 Source No.",$C411,"4 Item Ledger Entry Type",$C$4,"2 Item No.","@@"&amp;$F411,"3 Posting Date",Z$9)-NL("Sum","5802 Value Entry","43 Cost Amount (Actual)","41 Source Type",$C$5,"5 Source no.",$C411,"4 Item Ledger Entry Type",$C$4,"2 Item No.","@@"&amp;$F411,"3 Posting Date",Z$9)</t>
  </si>
  <si>
    <t>=Z411-AB411</t>
  </si>
  <si>
    <t>=IF(Z411&lt;&gt;0,AC411/Z411,"")</t>
  </si>
  <si>
    <t>=C411</t>
  </si>
  <si>
    <t>=NL("Sum","5802 Value Entry","150 Sales Amount (Expected)","41 Source Type",$C$5,"5 Source No.",$C412,"4 Item Ledger Entry Type",$C$4,"2 Item No.","@@"&amp;$F412,"3 Posting Date",J$9)+NL("Sum","5802 Value Entry","17 Sales Amount (Actual)","41 Source Type",$C$5,"5 Source no.",$C412,"4 Item Ledger Entry Type",$C$4,"2 Item No.","@@"&amp;$F412,"3 Posting Date",J$9)</t>
  </si>
  <si>
    <t>=-NL("Sum","5802 Value Entry","151 Cost Amount (Expected)","41 Source Type",$C$5,"5 Source No.",$C412,"4 Item Ledger Entry Type",$C$4,"2 Item No.","@@"&amp;$F412,"3 Posting Date",J$9)-NL("Sum","5802 Value Entry","43 Cost Amount (Actual)","41 Source Type",$C$5,"5 Source no.",$C412,"4 Item Ledger Entry Type",$C$4,"2 Item No.","@@"&amp;$F412,"3 Posting Date",J$9)</t>
  </si>
  <si>
    <t>=J412-L412</t>
  </si>
  <si>
    <t>=IF(J412&lt;&gt;0,M412/J412,"")</t>
  </si>
  <si>
    <t>=NL("Sum","5802 Value Entry","150 Sales Amount (Expected)","41 Source Type",$C$5,"5 Source No.",$C412,"4 Item Ledger Entry Type",$C$4,"2 Item No.","@@"&amp;$F412,"3 Posting Date",O$9)+NL("Sum","5802 Value Entry","17 Sales Amount (Actual)","41 Source Type",$C$5,"5 Source no.",$C412,"4 Item Ledger Entry Type",$C$4,"2 Item No.","@@"&amp;$F412,"3 Posting Date",O$9)</t>
  </si>
  <si>
    <t>=-NL("Sum","5802 Value Entry","151 Cost Amount (Expected)","41 Source Type",$C$5,"5 Source No.",$C412,"4 Item Ledger Entry Type",$C$4,"2 Item No.","@@"&amp;$F412,"3 Posting Date",O$9)-NL("Sum","5802 Value Entry","43 Cost Amount (Actual)","41 Source Type",$C$5,"5 Source no.",$C412,"4 Item Ledger Entry Type",$C$4,"2 Item No.","@@"&amp;$F412,"3 Posting Date",O$9)</t>
  </si>
  <si>
    <t>=O412-Q412</t>
  </si>
  <si>
    <t>=IF(O412&lt;&gt;0,R412/O412,"")</t>
  </si>
  <si>
    <t>=NL("Sum","5802 Value Entry","150 Sales Amount (Expected)","41 Source Type",$C$5,"5 Source No.",$C412,"4 Item Ledger Entry Type",$C$4,"2 Item No.","@@"&amp;$F412,"3 Posting Date",U$9)+NL("Sum","5802 Value Entry","17 Sales Amount (Actual)","41 Source Type",$C$5,"5 Source no.",$C412,"4 Item Ledger Entry Type",$C$4,"2 Item No.","@@"&amp;$F412,"3 Posting Date",U$9)</t>
  </si>
  <si>
    <t>=-NL("Sum","5802 Value Entry","151 Cost Amount (Expected)","41 Source Type",$C$5,"5 Source No.",$C412,"4 Item Ledger Entry Type",$C$4,"2 Item No.","@@"&amp;$F412,"3 Posting Date",U$9)-NL("Sum","5802 Value Entry","43 Cost Amount (Actual)","41 Source Type",$C$5,"5 Source no.",$C412,"4 Item Ledger Entry Type",$C$4,"2 Item No.","@@"&amp;$F412,"3 Posting Date",U$9)</t>
  </si>
  <si>
    <t>=U412-W412</t>
  </si>
  <si>
    <t>=IF(U412&lt;&gt;0,X412/U412,"")</t>
  </si>
  <si>
    <t>=NL("Sum","5802 Value Entry","150 Sales Amount (Expected)","41 Source Type",$C$5,"5 Source No.",$C412,"4 Item Ledger Entry Type",$C$4,"2 Item No.","@@"&amp;$F412,"3 Posting Date",Z$9)+NL("Sum","5802 Value Entry","17 Sales Amount (Actual)","41 Source Type",$C$5,"5 Source no.",$C412,"4 Item Ledger Entry Type",$C$4,"2 Item No.","@@"&amp;$F412,"3 Posting Date",Z$9)</t>
  </si>
  <si>
    <t>=-NL("Sum","5802 Value Entry","151 Cost Amount (Expected)","41 Source Type",$C$5,"5 Source No.",$C412,"4 Item Ledger Entry Type",$C$4,"2 Item No.","@@"&amp;$F412,"3 Posting Date",Z$9)-NL("Sum","5802 Value Entry","43 Cost Amount (Actual)","41 Source Type",$C$5,"5 Source no.",$C412,"4 Item Ledger Entry Type",$C$4,"2 Item No.","@@"&amp;$F412,"3 Posting Date",Z$9)</t>
  </si>
  <si>
    <t>=Z412-AB412</t>
  </si>
  <si>
    <t>=IF(Z412&lt;&gt;0,AC412/Z412,"")</t>
  </si>
  <si>
    <t>=C412</t>
  </si>
  <si>
    <t>=NL("Sum","5802 Value Entry","150 Sales Amount (Expected)","41 Source Type",$C$5,"5 Source No.",$C413,"4 Item Ledger Entry Type",$C$4,"2 Item No.","@@"&amp;$F413,"3 Posting Date",J$9)+NL("Sum","5802 Value Entry","17 Sales Amount (Actual)","41 Source Type",$C$5,"5 Source no.",$C413,"4 Item Ledger Entry Type",$C$4,"2 Item No.","@@"&amp;$F413,"3 Posting Date",J$9)</t>
  </si>
  <si>
    <t>=-NL("Sum","5802 Value Entry","151 Cost Amount (Expected)","41 Source Type",$C$5,"5 Source No.",$C413,"4 Item Ledger Entry Type",$C$4,"2 Item No.","@@"&amp;$F413,"3 Posting Date",J$9)-NL("Sum","5802 Value Entry","43 Cost Amount (Actual)","41 Source Type",$C$5,"5 Source no.",$C413,"4 Item Ledger Entry Type",$C$4,"2 Item No.","@@"&amp;$F413,"3 Posting Date",J$9)</t>
  </si>
  <si>
    <t>=J413-L413</t>
  </si>
  <si>
    <t>=IF(J413&lt;&gt;0,M413/J413,"")</t>
  </si>
  <si>
    <t>=NL("Sum","5802 Value Entry","150 Sales Amount (Expected)","41 Source Type",$C$5,"5 Source No.",$C413,"4 Item Ledger Entry Type",$C$4,"2 Item No.","@@"&amp;$F413,"3 Posting Date",O$9)+NL("Sum","5802 Value Entry","17 Sales Amount (Actual)","41 Source Type",$C$5,"5 Source no.",$C413,"4 Item Ledger Entry Type",$C$4,"2 Item No.","@@"&amp;$F413,"3 Posting Date",O$9)</t>
  </si>
  <si>
    <t>=-NL("Sum","5802 Value Entry","151 Cost Amount (Expected)","41 Source Type",$C$5,"5 Source No.",$C413,"4 Item Ledger Entry Type",$C$4,"2 Item No.","@@"&amp;$F413,"3 Posting Date",O$9)-NL("Sum","5802 Value Entry","43 Cost Amount (Actual)","41 Source Type",$C$5,"5 Source no.",$C413,"4 Item Ledger Entry Type",$C$4,"2 Item No.","@@"&amp;$F413,"3 Posting Date",O$9)</t>
  </si>
  <si>
    <t>=O413-Q413</t>
  </si>
  <si>
    <t>=IF(O413&lt;&gt;0,R413/O413,"")</t>
  </si>
  <si>
    <t>=NL("Sum","5802 Value Entry","150 Sales Amount (Expected)","41 Source Type",$C$5,"5 Source No.",$C413,"4 Item Ledger Entry Type",$C$4,"2 Item No.","@@"&amp;$F413,"3 Posting Date",U$9)+NL("Sum","5802 Value Entry","17 Sales Amount (Actual)","41 Source Type",$C$5,"5 Source no.",$C413,"4 Item Ledger Entry Type",$C$4,"2 Item No.","@@"&amp;$F413,"3 Posting Date",U$9)</t>
  </si>
  <si>
    <t>=-NL("Sum","5802 Value Entry","151 Cost Amount (Expected)","41 Source Type",$C$5,"5 Source No.",$C413,"4 Item Ledger Entry Type",$C$4,"2 Item No.","@@"&amp;$F413,"3 Posting Date",U$9)-NL("Sum","5802 Value Entry","43 Cost Amount (Actual)","41 Source Type",$C$5,"5 Source no.",$C413,"4 Item Ledger Entry Type",$C$4,"2 Item No.","@@"&amp;$F413,"3 Posting Date",U$9)</t>
  </si>
  <si>
    <t>=U413-W413</t>
  </si>
  <si>
    <t>=IF(U413&lt;&gt;0,X413/U413,"")</t>
  </si>
  <si>
    <t>=NL("Sum","5802 Value Entry","150 Sales Amount (Expected)","41 Source Type",$C$5,"5 Source No.",$C413,"4 Item Ledger Entry Type",$C$4,"2 Item No.","@@"&amp;$F413,"3 Posting Date",Z$9)+NL("Sum","5802 Value Entry","17 Sales Amount (Actual)","41 Source Type",$C$5,"5 Source no.",$C413,"4 Item Ledger Entry Type",$C$4,"2 Item No.","@@"&amp;$F413,"3 Posting Date",Z$9)</t>
  </si>
  <si>
    <t>=-NL("Sum","5802 Value Entry","151 Cost Amount (Expected)","41 Source Type",$C$5,"5 Source No.",$C413,"4 Item Ledger Entry Type",$C$4,"2 Item No.","@@"&amp;$F413,"3 Posting Date",Z$9)-NL("Sum","5802 Value Entry","43 Cost Amount (Actual)","41 Source Type",$C$5,"5 Source no.",$C413,"4 Item Ledger Entry Type",$C$4,"2 Item No.","@@"&amp;$F413,"3 Posting Date",Z$9)</t>
  </si>
  <si>
    <t>=Z413-AB413</t>
  </si>
  <si>
    <t>=IF(Z413&lt;&gt;0,AC413/Z413,"")</t>
  </si>
  <si>
    <t>=C413</t>
  </si>
  <si>
    <t>=NL("Sum","5802 Value Entry","150 Sales Amount (Expected)","41 Source Type",$C$5,"5 Source No.",$C414,"4 Item Ledger Entry Type",$C$4,"2 Item No.","@@"&amp;$F414,"3 Posting Date",J$9)+NL("Sum","5802 Value Entry","17 Sales Amount (Actual)","41 Source Type",$C$5,"5 Source no.",$C414,"4 Item Ledger Entry Type",$C$4,"2 Item No.","@@"&amp;$F414,"3 Posting Date",J$9)</t>
  </si>
  <si>
    <t>=-NL("Sum","5802 Value Entry","151 Cost Amount (Expected)","41 Source Type",$C$5,"5 Source No.",$C414,"4 Item Ledger Entry Type",$C$4,"2 Item No.","@@"&amp;$F414,"3 Posting Date",J$9)-NL("Sum","5802 Value Entry","43 Cost Amount (Actual)","41 Source Type",$C$5,"5 Source no.",$C414,"4 Item Ledger Entry Type",$C$4,"2 Item No.","@@"&amp;$F414,"3 Posting Date",J$9)</t>
  </si>
  <si>
    <t>=J414-L414</t>
  </si>
  <si>
    <t>=IF(J414&lt;&gt;0,M414/J414,"")</t>
  </si>
  <si>
    <t>=NL("Sum","5802 Value Entry","150 Sales Amount (Expected)","41 Source Type",$C$5,"5 Source No.",$C414,"4 Item Ledger Entry Type",$C$4,"2 Item No.","@@"&amp;$F414,"3 Posting Date",O$9)+NL("Sum","5802 Value Entry","17 Sales Amount (Actual)","41 Source Type",$C$5,"5 Source no.",$C414,"4 Item Ledger Entry Type",$C$4,"2 Item No.","@@"&amp;$F414,"3 Posting Date",O$9)</t>
  </si>
  <si>
    <t>=-NL("Sum","5802 Value Entry","151 Cost Amount (Expected)","41 Source Type",$C$5,"5 Source No.",$C414,"4 Item Ledger Entry Type",$C$4,"2 Item No.","@@"&amp;$F414,"3 Posting Date",O$9)-NL("Sum","5802 Value Entry","43 Cost Amount (Actual)","41 Source Type",$C$5,"5 Source no.",$C414,"4 Item Ledger Entry Type",$C$4,"2 Item No.","@@"&amp;$F414,"3 Posting Date",O$9)</t>
  </si>
  <si>
    <t>=O414-Q414</t>
  </si>
  <si>
    <t>=IF(O414&lt;&gt;0,R414/O414,"")</t>
  </si>
  <si>
    <t>=NL("Sum","5802 Value Entry","150 Sales Amount (Expected)","41 Source Type",$C$5,"5 Source No.",$C414,"4 Item Ledger Entry Type",$C$4,"2 Item No.","@@"&amp;$F414,"3 Posting Date",U$9)+NL("Sum","5802 Value Entry","17 Sales Amount (Actual)","41 Source Type",$C$5,"5 Source no.",$C414,"4 Item Ledger Entry Type",$C$4,"2 Item No.","@@"&amp;$F414,"3 Posting Date",U$9)</t>
  </si>
  <si>
    <t>=-NL("Sum","5802 Value Entry","151 Cost Amount (Expected)","41 Source Type",$C$5,"5 Source No.",$C414,"4 Item Ledger Entry Type",$C$4,"2 Item No.","@@"&amp;$F414,"3 Posting Date",U$9)-NL("Sum","5802 Value Entry","43 Cost Amount (Actual)","41 Source Type",$C$5,"5 Source no.",$C414,"4 Item Ledger Entry Type",$C$4,"2 Item No.","@@"&amp;$F414,"3 Posting Date",U$9)</t>
  </si>
  <si>
    <t>=U414-W414</t>
  </si>
  <si>
    <t>=IF(U414&lt;&gt;0,X414/U414,"")</t>
  </si>
  <si>
    <t>=NL("Sum","5802 Value Entry","150 Sales Amount (Expected)","41 Source Type",$C$5,"5 Source No.",$C414,"4 Item Ledger Entry Type",$C$4,"2 Item No.","@@"&amp;$F414,"3 Posting Date",Z$9)+NL("Sum","5802 Value Entry","17 Sales Amount (Actual)","41 Source Type",$C$5,"5 Source no.",$C414,"4 Item Ledger Entry Type",$C$4,"2 Item No.","@@"&amp;$F414,"3 Posting Date",Z$9)</t>
  </si>
  <si>
    <t>=-NL("Sum","5802 Value Entry","151 Cost Amount (Expected)","41 Source Type",$C$5,"5 Source No.",$C414,"4 Item Ledger Entry Type",$C$4,"2 Item No.","@@"&amp;$F414,"3 Posting Date",Z$9)-NL("Sum","5802 Value Entry","43 Cost Amount (Actual)","41 Source Type",$C$5,"5 Source no.",$C414,"4 Item Ledger Entry Type",$C$4,"2 Item No.","@@"&amp;$F414,"3 Posting Date",Z$9)</t>
  </si>
  <si>
    <t>=Z414-AB414</t>
  </si>
  <si>
    <t>=IF(Z414&lt;&gt;0,AC414/Z414,"")</t>
  </si>
  <si>
    <t>=C414</t>
  </si>
  <si>
    <t>=NL("Sum","5802 Value Entry","150 Sales Amount (Expected)","41 Source Type",$C$5,"5 Source No.",$C415,"4 Item Ledger Entry Type",$C$4,"2 Item No.","@@"&amp;$F415,"3 Posting Date",J$9)+NL("Sum","5802 Value Entry","17 Sales Amount (Actual)","41 Source Type",$C$5,"5 Source no.",$C415,"4 Item Ledger Entry Type",$C$4,"2 Item No.","@@"&amp;$F415,"3 Posting Date",J$9)</t>
  </si>
  <si>
    <t>=-NL("Sum","5802 Value Entry","151 Cost Amount (Expected)","41 Source Type",$C$5,"5 Source No.",$C415,"4 Item Ledger Entry Type",$C$4,"2 Item No.","@@"&amp;$F415,"3 Posting Date",J$9)-NL("Sum","5802 Value Entry","43 Cost Amount (Actual)","41 Source Type",$C$5,"5 Source no.",$C415,"4 Item Ledger Entry Type",$C$4,"2 Item No.","@@"&amp;$F415,"3 Posting Date",J$9)</t>
  </si>
  <si>
    <t>=J415-L415</t>
  </si>
  <si>
    <t>=IF(J415&lt;&gt;0,M415/J415,"")</t>
  </si>
  <si>
    <t>=NL("Sum","5802 Value Entry","150 Sales Amount (Expected)","41 Source Type",$C$5,"5 Source No.",$C415,"4 Item Ledger Entry Type",$C$4,"2 Item No.","@@"&amp;$F415,"3 Posting Date",O$9)+NL("Sum","5802 Value Entry","17 Sales Amount (Actual)","41 Source Type",$C$5,"5 Source no.",$C415,"4 Item Ledger Entry Type",$C$4,"2 Item No.","@@"&amp;$F415,"3 Posting Date",O$9)</t>
  </si>
  <si>
    <t>=-NL("Sum","5802 Value Entry","151 Cost Amount (Expected)","41 Source Type",$C$5,"5 Source No.",$C415,"4 Item Ledger Entry Type",$C$4,"2 Item No.","@@"&amp;$F415,"3 Posting Date",O$9)-NL("Sum","5802 Value Entry","43 Cost Amount (Actual)","41 Source Type",$C$5,"5 Source no.",$C415,"4 Item Ledger Entry Type",$C$4,"2 Item No.","@@"&amp;$F415,"3 Posting Date",O$9)</t>
  </si>
  <si>
    <t>=O415-Q415</t>
  </si>
  <si>
    <t>=IF(O415&lt;&gt;0,R415/O415,"")</t>
  </si>
  <si>
    <t>=NL("Sum","5802 Value Entry","150 Sales Amount (Expected)","41 Source Type",$C$5,"5 Source No.",$C415,"4 Item Ledger Entry Type",$C$4,"2 Item No.","@@"&amp;$F415,"3 Posting Date",U$9)+NL("Sum","5802 Value Entry","17 Sales Amount (Actual)","41 Source Type",$C$5,"5 Source no.",$C415,"4 Item Ledger Entry Type",$C$4,"2 Item No.","@@"&amp;$F415,"3 Posting Date",U$9)</t>
  </si>
  <si>
    <t>=-NL("Sum","5802 Value Entry","151 Cost Amount (Expected)","41 Source Type",$C$5,"5 Source No.",$C415,"4 Item Ledger Entry Type",$C$4,"2 Item No.","@@"&amp;$F415,"3 Posting Date",U$9)-NL("Sum","5802 Value Entry","43 Cost Amount (Actual)","41 Source Type",$C$5,"5 Source no.",$C415,"4 Item Ledger Entry Type",$C$4,"2 Item No.","@@"&amp;$F415,"3 Posting Date",U$9)</t>
  </si>
  <si>
    <t>=U415-W415</t>
  </si>
  <si>
    <t>=IF(U415&lt;&gt;0,X415/U415,"")</t>
  </si>
  <si>
    <t>=NL("Sum","5802 Value Entry","150 Sales Amount (Expected)","41 Source Type",$C$5,"5 Source No.",$C415,"4 Item Ledger Entry Type",$C$4,"2 Item No.","@@"&amp;$F415,"3 Posting Date",Z$9)+NL("Sum","5802 Value Entry","17 Sales Amount (Actual)","41 Source Type",$C$5,"5 Source no.",$C415,"4 Item Ledger Entry Type",$C$4,"2 Item No.","@@"&amp;$F415,"3 Posting Date",Z$9)</t>
  </si>
  <si>
    <t>=-NL("Sum","5802 Value Entry","151 Cost Amount (Expected)","41 Source Type",$C$5,"5 Source No.",$C415,"4 Item Ledger Entry Type",$C$4,"2 Item No.","@@"&amp;$F415,"3 Posting Date",Z$9)-NL("Sum","5802 Value Entry","43 Cost Amount (Actual)","41 Source Type",$C$5,"5 Source no.",$C415,"4 Item Ledger Entry Type",$C$4,"2 Item No.","@@"&amp;$F415,"3 Posting Date",Z$9)</t>
  </si>
  <si>
    <t>=Z415-AB415</t>
  </si>
  <si>
    <t>=IF(Z415&lt;&gt;0,AC415/Z415,"")</t>
  </si>
  <si>
    <t>=C415</t>
  </si>
  <si>
    <t>=NL("Sum","5802 Value Entry","150 Sales Amount (Expected)","41 Source Type",$C$5,"5 Source No.",$C416,"4 Item Ledger Entry Type",$C$4,"2 Item No.","@@"&amp;$F416,"3 Posting Date",J$9)+NL("Sum","5802 Value Entry","17 Sales Amount (Actual)","41 Source Type",$C$5,"5 Source no.",$C416,"4 Item Ledger Entry Type",$C$4,"2 Item No.","@@"&amp;$F416,"3 Posting Date",J$9)</t>
  </si>
  <si>
    <t>=-NL("Sum","5802 Value Entry","151 Cost Amount (Expected)","41 Source Type",$C$5,"5 Source No.",$C416,"4 Item Ledger Entry Type",$C$4,"2 Item No.","@@"&amp;$F416,"3 Posting Date",J$9)-NL("Sum","5802 Value Entry","43 Cost Amount (Actual)","41 Source Type",$C$5,"5 Source no.",$C416,"4 Item Ledger Entry Type",$C$4,"2 Item No.","@@"&amp;$F416,"3 Posting Date",J$9)</t>
  </si>
  <si>
    <t>=J416-L416</t>
  </si>
  <si>
    <t>=IF(J416&lt;&gt;0,M416/J416,"")</t>
  </si>
  <si>
    <t>=NL("Sum","5802 Value Entry","150 Sales Amount (Expected)","41 Source Type",$C$5,"5 Source No.",$C416,"4 Item Ledger Entry Type",$C$4,"2 Item No.","@@"&amp;$F416,"3 Posting Date",O$9)+NL("Sum","5802 Value Entry","17 Sales Amount (Actual)","41 Source Type",$C$5,"5 Source no.",$C416,"4 Item Ledger Entry Type",$C$4,"2 Item No.","@@"&amp;$F416,"3 Posting Date",O$9)</t>
  </si>
  <si>
    <t>=-NL("Sum","5802 Value Entry","151 Cost Amount (Expected)","41 Source Type",$C$5,"5 Source No.",$C416,"4 Item Ledger Entry Type",$C$4,"2 Item No.","@@"&amp;$F416,"3 Posting Date",O$9)-NL("Sum","5802 Value Entry","43 Cost Amount (Actual)","41 Source Type",$C$5,"5 Source no.",$C416,"4 Item Ledger Entry Type",$C$4,"2 Item No.","@@"&amp;$F416,"3 Posting Date",O$9)</t>
  </si>
  <si>
    <t>=O416-Q416</t>
  </si>
  <si>
    <t>=IF(O416&lt;&gt;0,R416/O416,"")</t>
  </si>
  <si>
    <t>=NL("Sum","5802 Value Entry","150 Sales Amount (Expected)","41 Source Type",$C$5,"5 Source No.",$C416,"4 Item Ledger Entry Type",$C$4,"2 Item No.","@@"&amp;$F416,"3 Posting Date",U$9)+NL("Sum","5802 Value Entry","17 Sales Amount (Actual)","41 Source Type",$C$5,"5 Source no.",$C416,"4 Item Ledger Entry Type",$C$4,"2 Item No.","@@"&amp;$F416,"3 Posting Date",U$9)</t>
  </si>
  <si>
    <t>=-NL("Sum","5802 Value Entry","151 Cost Amount (Expected)","41 Source Type",$C$5,"5 Source No.",$C416,"4 Item Ledger Entry Type",$C$4,"2 Item No.","@@"&amp;$F416,"3 Posting Date",U$9)-NL("Sum","5802 Value Entry","43 Cost Amount (Actual)","41 Source Type",$C$5,"5 Source no.",$C416,"4 Item Ledger Entry Type",$C$4,"2 Item No.","@@"&amp;$F416,"3 Posting Date",U$9)</t>
  </si>
  <si>
    <t>=U416-W416</t>
  </si>
  <si>
    <t>=IF(U416&lt;&gt;0,X416/U416,"")</t>
  </si>
  <si>
    <t>=NL("Sum","5802 Value Entry","150 Sales Amount (Expected)","41 Source Type",$C$5,"5 Source No.",$C416,"4 Item Ledger Entry Type",$C$4,"2 Item No.","@@"&amp;$F416,"3 Posting Date",Z$9)+NL("Sum","5802 Value Entry","17 Sales Amount (Actual)","41 Source Type",$C$5,"5 Source no.",$C416,"4 Item Ledger Entry Type",$C$4,"2 Item No.","@@"&amp;$F416,"3 Posting Date",Z$9)</t>
  </si>
  <si>
    <t>=-NL("Sum","5802 Value Entry","151 Cost Amount (Expected)","41 Source Type",$C$5,"5 Source No.",$C416,"4 Item Ledger Entry Type",$C$4,"2 Item No.","@@"&amp;$F416,"3 Posting Date",Z$9)-NL("Sum","5802 Value Entry","43 Cost Amount (Actual)","41 Source Type",$C$5,"5 Source no.",$C416,"4 Item Ledger Entry Type",$C$4,"2 Item No.","@@"&amp;$F416,"3 Posting Date",Z$9)</t>
  </si>
  <si>
    <t>=Z416-AB416</t>
  </si>
  <si>
    <t>=IF(Z416&lt;&gt;0,AC416/Z416,"")</t>
  </si>
  <si>
    <t>=C416</t>
  </si>
  <si>
    <t>=NL("Sum","5802 Value Entry","150 Sales Amount (Expected)","41 Source Type",$C$5,"5 Source No.",$C417,"4 Item Ledger Entry Type",$C$4,"2 Item No.","@@"&amp;$F417,"3 Posting Date",J$9)+NL("Sum","5802 Value Entry","17 Sales Amount (Actual)","41 Source Type",$C$5,"5 Source no.",$C417,"4 Item Ledger Entry Type",$C$4,"2 Item No.","@@"&amp;$F417,"3 Posting Date",J$9)</t>
  </si>
  <si>
    <t>=-NL("Sum","5802 Value Entry","151 Cost Amount (Expected)","41 Source Type",$C$5,"5 Source No.",$C417,"4 Item Ledger Entry Type",$C$4,"2 Item No.","@@"&amp;$F417,"3 Posting Date",J$9)-NL("Sum","5802 Value Entry","43 Cost Amount (Actual)","41 Source Type",$C$5,"5 Source no.",$C417,"4 Item Ledger Entry Type",$C$4,"2 Item No.","@@"&amp;$F417,"3 Posting Date",J$9)</t>
  </si>
  <si>
    <t>=J417-L417</t>
  </si>
  <si>
    <t>=IF(J417&lt;&gt;0,M417/J417,"")</t>
  </si>
  <si>
    <t>=NL("Sum","5802 Value Entry","150 Sales Amount (Expected)","41 Source Type",$C$5,"5 Source No.",$C417,"4 Item Ledger Entry Type",$C$4,"2 Item No.","@@"&amp;$F417,"3 Posting Date",O$9)+NL("Sum","5802 Value Entry","17 Sales Amount (Actual)","41 Source Type",$C$5,"5 Source no.",$C417,"4 Item Ledger Entry Type",$C$4,"2 Item No.","@@"&amp;$F417,"3 Posting Date",O$9)</t>
  </si>
  <si>
    <t>=-NL("Sum","5802 Value Entry","151 Cost Amount (Expected)","41 Source Type",$C$5,"5 Source No.",$C417,"4 Item Ledger Entry Type",$C$4,"2 Item No.","@@"&amp;$F417,"3 Posting Date",O$9)-NL("Sum","5802 Value Entry","43 Cost Amount (Actual)","41 Source Type",$C$5,"5 Source no.",$C417,"4 Item Ledger Entry Type",$C$4,"2 Item No.","@@"&amp;$F417,"3 Posting Date",O$9)</t>
  </si>
  <si>
    <t>=O417-Q417</t>
  </si>
  <si>
    <t>=IF(O417&lt;&gt;0,R417/O417,"")</t>
  </si>
  <si>
    <t>=NL("Sum","5802 Value Entry","150 Sales Amount (Expected)","41 Source Type",$C$5,"5 Source No.",$C417,"4 Item Ledger Entry Type",$C$4,"2 Item No.","@@"&amp;$F417,"3 Posting Date",U$9)+NL("Sum","5802 Value Entry","17 Sales Amount (Actual)","41 Source Type",$C$5,"5 Source no.",$C417,"4 Item Ledger Entry Type",$C$4,"2 Item No.","@@"&amp;$F417,"3 Posting Date",U$9)</t>
  </si>
  <si>
    <t>=-NL("Sum","5802 Value Entry","151 Cost Amount (Expected)","41 Source Type",$C$5,"5 Source No.",$C417,"4 Item Ledger Entry Type",$C$4,"2 Item No.","@@"&amp;$F417,"3 Posting Date",U$9)-NL("Sum","5802 Value Entry","43 Cost Amount (Actual)","41 Source Type",$C$5,"5 Source no.",$C417,"4 Item Ledger Entry Type",$C$4,"2 Item No.","@@"&amp;$F417,"3 Posting Date",U$9)</t>
  </si>
  <si>
    <t>=U417-W417</t>
  </si>
  <si>
    <t>=IF(U417&lt;&gt;0,X417/U417,"")</t>
  </si>
  <si>
    <t>=NL("Sum","5802 Value Entry","150 Sales Amount (Expected)","41 Source Type",$C$5,"5 Source No.",$C417,"4 Item Ledger Entry Type",$C$4,"2 Item No.","@@"&amp;$F417,"3 Posting Date",Z$9)+NL("Sum","5802 Value Entry","17 Sales Amount (Actual)","41 Source Type",$C$5,"5 Source no.",$C417,"4 Item Ledger Entry Type",$C$4,"2 Item No.","@@"&amp;$F417,"3 Posting Date",Z$9)</t>
  </si>
  <si>
    <t>=-NL("Sum","5802 Value Entry","151 Cost Amount (Expected)","41 Source Type",$C$5,"5 Source No.",$C417,"4 Item Ledger Entry Type",$C$4,"2 Item No.","@@"&amp;$F417,"3 Posting Date",Z$9)-NL("Sum","5802 Value Entry","43 Cost Amount (Actual)","41 Source Type",$C$5,"5 Source no.",$C417,"4 Item Ledger Entry Type",$C$4,"2 Item No.","@@"&amp;$F417,"3 Posting Date",Z$9)</t>
  </si>
  <si>
    <t>=Z417-AB417</t>
  </si>
  <si>
    <t>=IF(Z417&lt;&gt;0,AC417/Z417,"")</t>
  </si>
  <si>
    <t>=C417</t>
  </si>
  <si>
    <t>=NL("Sum","5802 Value Entry","150 Sales Amount (Expected)","41 Source Type",$C$5,"5 Source No.",$C418,"4 Item Ledger Entry Type",$C$4,"2 Item No.","@@"&amp;$F418,"3 Posting Date",J$9)+NL("Sum","5802 Value Entry","17 Sales Amount (Actual)","41 Source Type",$C$5,"5 Source no.",$C418,"4 Item Ledger Entry Type",$C$4,"2 Item No.","@@"&amp;$F418,"3 Posting Date",J$9)</t>
  </si>
  <si>
    <t>=-NL("Sum","5802 Value Entry","151 Cost Amount (Expected)","41 Source Type",$C$5,"5 Source No.",$C418,"4 Item Ledger Entry Type",$C$4,"2 Item No.","@@"&amp;$F418,"3 Posting Date",J$9)-NL("Sum","5802 Value Entry","43 Cost Amount (Actual)","41 Source Type",$C$5,"5 Source no.",$C418,"4 Item Ledger Entry Type",$C$4,"2 Item No.","@@"&amp;$F418,"3 Posting Date",J$9)</t>
  </si>
  <si>
    <t>=J418-L418</t>
  </si>
  <si>
    <t>=IF(J418&lt;&gt;0,M418/J418,"")</t>
  </si>
  <si>
    <t>=NL("Sum","5802 Value Entry","150 Sales Amount (Expected)","41 Source Type",$C$5,"5 Source No.",$C418,"4 Item Ledger Entry Type",$C$4,"2 Item No.","@@"&amp;$F418,"3 Posting Date",O$9)+NL("Sum","5802 Value Entry","17 Sales Amount (Actual)","41 Source Type",$C$5,"5 Source no.",$C418,"4 Item Ledger Entry Type",$C$4,"2 Item No.","@@"&amp;$F418,"3 Posting Date",O$9)</t>
  </si>
  <si>
    <t>=-NL("Sum","5802 Value Entry","151 Cost Amount (Expected)","41 Source Type",$C$5,"5 Source No.",$C418,"4 Item Ledger Entry Type",$C$4,"2 Item No.","@@"&amp;$F418,"3 Posting Date",O$9)-NL("Sum","5802 Value Entry","43 Cost Amount (Actual)","41 Source Type",$C$5,"5 Source no.",$C418,"4 Item Ledger Entry Type",$C$4,"2 Item No.","@@"&amp;$F418,"3 Posting Date",O$9)</t>
  </si>
  <si>
    <t>=O418-Q418</t>
  </si>
  <si>
    <t>=IF(O418&lt;&gt;0,R418/O418,"")</t>
  </si>
  <si>
    <t>=NL("Sum","5802 Value Entry","150 Sales Amount (Expected)","41 Source Type",$C$5,"5 Source No.",$C418,"4 Item Ledger Entry Type",$C$4,"2 Item No.","@@"&amp;$F418,"3 Posting Date",U$9)+NL("Sum","5802 Value Entry","17 Sales Amount (Actual)","41 Source Type",$C$5,"5 Source no.",$C418,"4 Item Ledger Entry Type",$C$4,"2 Item No.","@@"&amp;$F418,"3 Posting Date",U$9)</t>
  </si>
  <si>
    <t>=-NL("Sum","5802 Value Entry","151 Cost Amount (Expected)","41 Source Type",$C$5,"5 Source No.",$C418,"4 Item Ledger Entry Type",$C$4,"2 Item No.","@@"&amp;$F418,"3 Posting Date",U$9)-NL("Sum","5802 Value Entry","43 Cost Amount (Actual)","41 Source Type",$C$5,"5 Source no.",$C418,"4 Item Ledger Entry Type",$C$4,"2 Item No.","@@"&amp;$F418,"3 Posting Date",U$9)</t>
  </si>
  <si>
    <t>=U418-W418</t>
  </si>
  <si>
    <t>=IF(U418&lt;&gt;0,X418/U418,"")</t>
  </si>
  <si>
    <t>=NL("Sum","5802 Value Entry","150 Sales Amount (Expected)","41 Source Type",$C$5,"5 Source No.",$C418,"4 Item Ledger Entry Type",$C$4,"2 Item No.","@@"&amp;$F418,"3 Posting Date",Z$9)+NL("Sum","5802 Value Entry","17 Sales Amount (Actual)","41 Source Type",$C$5,"5 Source no.",$C418,"4 Item Ledger Entry Type",$C$4,"2 Item No.","@@"&amp;$F418,"3 Posting Date",Z$9)</t>
  </si>
  <si>
    <t>=-NL("Sum","5802 Value Entry","151 Cost Amount (Expected)","41 Source Type",$C$5,"5 Source No.",$C418,"4 Item Ledger Entry Type",$C$4,"2 Item No.","@@"&amp;$F418,"3 Posting Date",Z$9)-NL("Sum","5802 Value Entry","43 Cost Amount (Actual)","41 Source Type",$C$5,"5 Source no.",$C418,"4 Item Ledger Entry Type",$C$4,"2 Item No.","@@"&amp;$F418,"3 Posting Date",Z$9)</t>
  </si>
  <si>
    <t>=Z418-AB418</t>
  </si>
  <si>
    <t>=IF(Z418&lt;&gt;0,AC418/Z418,"")</t>
  </si>
  <si>
    <t>=C419</t>
  </si>
  <si>
    <t>=J420-L420</t>
  </si>
  <si>
    <t>=IF(J420&lt;&gt;0,M420/J420,"")</t>
  </si>
  <si>
    <t>=O420-Q420</t>
  </si>
  <si>
    <t>=IF(O420&lt;&gt;0,R420/O420,"")</t>
  </si>
  <si>
    <t>=U420-W420</t>
  </si>
  <si>
    <t>=IF(U420&lt;&gt;0,X420/U420,"")</t>
  </si>
  <si>
    <t>=Z420-AB420</t>
  </si>
  <si>
    <t>=IF(Z420&lt;&gt;0,AC420/Z420,"")</t>
  </si>
  <si>
    <t>=C422</t>
  </si>
  <si>
    <t>=C423</t>
  </si>
  <si>
    <t>=NL("Sum","5802 Value Entry","150 Sales Amount (Expected)","41 Source Type",$C$5,"5 Source No.",$C424,"4 Item Ledger Entry Type",$C$4,"2 Item No.","@@"&amp;$F424,"3 Posting Date",J$9)+NL("Sum","5802 Value Entry","17 Sales Amount (Actual)","41 Source Type",$C$5,"5 Source no.",$C424,"4 Item Ledger Entry Type",$C$4,"2 Item No.","@@"&amp;$F424,"3 Posting Date",J$9)</t>
  </si>
  <si>
    <t>=-NL("Sum","5802 Value Entry","151 Cost Amount (Expected)","41 Source Type",$C$5,"5 Source No.",$C424,"4 Item Ledger Entry Type",$C$4,"2 Item No.","@@"&amp;$F424,"3 Posting Date",J$9)-NL("Sum","5802 Value Entry","43 Cost Amount (Actual)","41 Source Type",$C$5,"5 Source no.",$C424,"4 Item Ledger Entry Type",$C$4,"2 Item No.","@@"&amp;$F424,"3 Posting Date",J$9)</t>
  </si>
  <si>
    <t>=J424-L424</t>
  </si>
  <si>
    <t>=IF(J424&lt;&gt;0,M424/J424,"")</t>
  </si>
  <si>
    <t>=NL("Sum","5802 Value Entry","150 Sales Amount (Expected)","41 Source Type",$C$5,"5 Source No.",$C424,"4 Item Ledger Entry Type",$C$4,"2 Item No.","@@"&amp;$F424,"3 Posting Date",O$9)+NL("Sum","5802 Value Entry","17 Sales Amount (Actual)","41 Source Type",$C$5,"5 Source no.",$C424,"4 Item Ledger Entry Type",$C$4,"2 Item No.","@@"&amp;$F424,"3 Posting Date",O$9)</t>
  </si>
  <si>
    <t>=-NL("Sum","5802 Value Entry","151 Cost Amount (Expected)","41 Source Type",$C$5,"5 Source No.",$C424,"4 Item Ledger Entry Type",$C$4,"2 Item No.","@@"&amp;$F424,"3 Posting Date",O$9)-NL("Sum","5802 Value Entry","43 Cost Amount (Actual)","41 Source Type",$C$5,"5 Source no.",$C424,"4 Item Ledger Entry Type",$C$4,"2 Item No.","@@"&amp;$F424,"3 Posting Date",O$9)</t>
  </si>
  <si>
    <t>=O424-Q424</t>
  </si>
  <si>
    <t>=IF(O424&lt;&gt;0,R424/O424,"")</t>
  </si>
  <si>
    <t>=NL("Sum","5802 Value Entry","150 Sales Amount (Expected)","41 Source Type",$C$5,"5 Source No.",$C424,"4 Item Ledger Entry Type",$C$4,"2 Item No.","@@"&amp;$F424,"3 Posting Date",U$9)+NL("Sum","5802 Value Entry","17 Sales Amount (Actual)","41 Source Type",$C$5,"5 Source no.",$C424,"4 Item Ledger Entry Type",$C$4,"2 Item No.","@@"&amp;$F424,"3 Posting Date",U$9)</t>
  </si>
  <si>
    <t>=-NL("Sum","5802 Value Entry","151 Cost Amount (Expected)","41 Source Type",$C$5,"5 Source No.",$C424,"4 Item Ledger Entry Type",$C$4,"2 Item No.","@@"&amp;$F424,"3 Posting Date",U$9)-NL("Sum","5802 Value Entry","43 Cost Amount (Actual)","41 Source Type",$C$5,"5 Source no.",$C424,"4 Item Ledger Entry Type",$C$4,"2 Item No.","@@"&amp;$F424,"3 Posting Date",U$9)</t>
  </si>
  <si>
    <t>=U424-W424</t>
  </si>
  <si>
    <t>=IF(U424&lt;&gt;0,X424/U424,"")</t>
  </si>
  <si>
    <t>=NL("Sum","5802 Value Entry","150 Sales Amount (Expected)","41 Source Type",$C$5,"5 Source No.",$C424,"4 Item Ledger Entry Type",$C$4,"2 Item No.","@@"&amp;$F424,"3 Posting Date",Z$9)+NL("Sum","5802 Value Entry","17 Sales Amount (Actual)","41 Source Type",$C$5,"5 Source no.",$C424,"4 Item Ledger Entry Type",$C$4,"2 Item No.","@@"&amp;$F424,"3 Posting Date",Z$9)</t>
  </si>
  <si>
    <t>=-NL("Sum","5802 Value Entry","151 Cost Amount (Expected)","41 Source Type",$C$5,"5 Source No.",$C424,"4 Item Ledger Entry Type",$C$4,"2 Item No.","@@"&amp;$F424,"3 Posting Date",Z$9)-NL("Sum","5802 Value Entry","43 Cost Amount (Actual)","41 Source Type",$C$5,"5 Source no.",$C424,"4 Item Ledger Entry Type",$C$4,"2 Item No.","@@"&amp;$F424,"3 Posting Date",Z$9)</t>
  </si>
  <si>
    <t>=Z424-AB424</t>
  </si>
  <si>
    <t>=IF(Z424&lt;&gt;0,AC424/Z424,"")</t>
  </si>
  <si>
    <t>=C424</t>
  </si>
  <si>
    <t>=NL("Sum","5802 Value Entry","150 Sales Amount (Expected)","41 Source Type",$C$5,"5 Source No.",$C425,"4 Item Ledger Entry Type",$C$4,"2 Item No.","@@"&amp;$F425,"3 Posting Date",J$9)+NL("Sum","5802 Value Entry","17 Sales Amount (Actual)","41 Source Type",$C$5,"5 Source no.",$C425,"4 Item Ledger Entry Type",$C$4,"2 Item No.","@@"&amp;$F425,"3 Posting Date",J$9)</t>
  </si>
  <si>
    <t>=-NL("Sum","5802 Value Entry","151 Cost Amount (Expected)","41 Source Type",$C$5,"5 Source No.",$C425,"4 Item Ledger Entry Type",$C$4,"2 Item No.","@@"&amp;$F425,"3 Posting Date",J$9)-NL("Sum","5802 Value Entry","43 Cost Amount (Actual)","41 Source Type",$C$5,"5 Source no.",$C425,"4 Item Ledger Entry Type",$C$4,"2 Item No.","@@"&amp;$F425,"3 Posting Date",J$9)</t>
  </si>
  <si>
    <t>=J425-L425</t>
  </si>
  <si>
    <t>=IF(J425&lt;&gt;0,M425/J425,"")</t>
  </si>
  <si>
    <t>=NL("Sum","5802 Value Entry","150 Sales Amount (Expected)","41 Source Type",$C$5,"5 Source No.",$C425,"4 Item Ledger Entry Type",$C$4,"2 Item No.","@@"&amp;$F425,"3 Posting Date",O$9)+NL("Sum","5802 Value Entry","17 Sales Amount (Actual)","41 Source Type",$C$5,"5 Source no.",$C425,"4 Item Ledger Entry Type",$C$4,"2 Item No.","@@"&amp;$F425,"3 Posting Date",O$9)</t>
  </si>
  <si>
    <t>=-NL("Sum","5802 Value Entry","151 Cost Amount (Expected)","41 Source Type",$C$5,"5 Source No.",$C425,"4 Item Ledger Entry Type",$C$4,"2 Item No.","@@"&amp;$F425,"3 Posting Date",O$9)-NL("Sum","5802 Value Entry","43 Cost Amount (Actual)","41 Source Type",$C$5,"5 Source no.",$C425,"4 Item Ledger Entry Type",$C$4,"2 Item No.","@@"&amp;$F425,"3 Posting Date",O$9)</t>
  </si>
  <si>
    <t>=O425-Q425</t>
  </si>
  <si>
    <t>=IF(O425&lt;&gt;0,R425/O425,"")</t>
  </si>
  <si>
    <t>=NL("Sum","5802 Value Entry","150 Sales Amount (Expected)","41 Source Type",$C$5,"5 Source No.",$C425,"4 Item Ledger Entry Type",$C$4,"2 Item No.","@@"&amp;$F425,"3 Posting Date",U$9)+NL("Sum","5802 Value Entry","17 Sales Amount (Actual)","41 Source Type",$C$5,"5 Source no.",$C425,"4 Item Ledger Entry Type",$C$4,"2 Item No.","@@"&amp;$F425,"3 Posting Date",U$9)</t>
  </si>
  <si>
    <t>=-NL("Sum","5802 Value Entry","151 Cost Amount (Expected)","41 Source Type",$C$5,"5 Source No.",$C425,"4 Item Ledger Entry Type",$C$4,"2 Item No.","@@"&amp;$F425,"3 Posting Date",U$9)-NL("Sum","5802 Value Entry","43 Cost Amount (Actual)","41 Source Type",$C$5,"5 Source no.",$C425,"4 Item Ledger Entry Type",$C$4,"2 Item No.","@@"&amp;$F425,"3 Posting Date",U$9)</t>
  </si>
  <si>
    <t>=U425-W425</t>
  </si>
  <si>
    <t>=IF(U425&lt;&gt;0,X425/U425,"")</t>
  </si>
  <si>
    <t>=NL("Sum","5802 Value Entry","150 Sales Amount (Expected)","41 Source Type",$C$5,"5 Source No.",$C425,"4 Item Ledger Entry Type",$C$4,"2 Item No.","@@"&amp;$F425,"3 Posting Date",Z$9)+NL("Sum","5802 Value Entry","17 Sales Amount (Actual)","41 Source Type",$C$5,"5 Source no.",$C425,"4 Item Ledger Entry Type",$C$4,"2 Item No.","@@"&amp;$F425,"3 Posting Date",Z$9)</t>
  </si>
  <si>
    <t>=-NL("Sum","5802 Value Entry","151 Cost Amount (Expected)","41 Source Type",$C$5,"5 Source No.",$C425,"4 Item Ledger Entry Type",$C$4,"2 Item No.","@@"&amp;$F425,"3 Posting Date",Z$9)-NL("Sum","5802 Value Entry","43 Cost Amount (Actual)","41 Source Type",$C$5,"5 Source no.",$C425,"4 Item Ledger Entry Type",$C$4,"2 Item No.","@@"&amp;$F425,"3 Posting Date",Z$9)</t>
  </si>
  <si>
    <t>=Z425-AB425</t>
  </si>
  <si>
    <t>=IF(Z425&lt;&gt;0,AC425/Z425,"")</t>
  </si>
  <si>
    <t>=C425</t>
  </si>
  <si>
    <t>=NL("Sum","5802 Value Entry","150 Sales Amount (Expected)","41 Source Type",$C$5,"5 Source No.",$C426,"4 Item Ledger Entry Type",$C$4,"2 Item No.","@@"&amp;$F426,"3 Posting Date",J$9)+NL("Sum","5802 Value Entry","17 Sales Amount (Actual)","41 Source Type",$C$5,"5 Source no.",$C426,"4 Item Ledger Entry Type",$C$4,"2 Item No.","@@"&amp;$F426,"3 Posting Date",J$9)</t>
  </si>
  <si>
    <t>=-NL("Sum","5802 Value Entry","151 Cost Amount (Expected)","41 Source Type",$C$5,"5 Source No.",$C426,"4 Item Ledger Entry Type",$C$4,"2 Item No.","@@"&amp;$F426,"3 Posting Date",J$9)-NL("Sum","5802 Value Entry","43 Cost Amount (Actual)","41 Source Type",$C$5,"5 Source no.",$C426,"4 Item Ledger Entry Type",$C$4,"2 Item No.","@@"&amp;$F426,"3 Posting Date",J$9)</t>
  </si>
  <si>
    <t>=J426-L426</t>
  </si>
  <si>
    <t>=IF(J426&lt;&gt;0,M426/J426,"")</t>
  </si>
  <si>
    <t>=NL("Sum","5802 Value Entry","150 Sales Amount (Expected)","41 Source Type",$C$5,"5 Source No.",$C426,"4 Item Ledger Entry Type",$C$4,"2 Item No.","@@"&amp;$F426,"3 Posting Date",O$9)+NL("Sum","5802 Value Entry","17 Sales Amount (Actual)","41 Source Type",$C$5,"5 Source no.",$C426,"4 Item Ledger Entry Type",$C$4,"2 Item No.","@@"&amp;$F426,"3 Posting Date",O$9)</t>
  </si>
  <si>
    <t>=-NL("Sum","5802 Value Entry","151 Cost Amount (Expected)","41 Source Type",$C$5,"5 Source No.",$C426,"4 Item Ledger Entry Type",$C$4,"2 Item No.","@@"&amp;$F426,"3 Posting Date",O$9)-NL("Sum","5802 Value Entry","43 Cost Amount (Actual)","41 Source Type",$C$5,"5 Source no.",$C426,"4 Item Ledger Entry Type",$C$4,"2 Item No.","@@"&amp;$F426,"3 Posting Date",O$9)</t>
  </si>
  <si>
    <t>=O426-Q426</t>
  </si>
  <si>
    <t>=IF(O426&lt;&gt;0,R426/O426,"")</t>
  </si>
  <si>
    <t>=NL("Sum","5802 Value Entry","150 Sales Amount (Expected)","41 Source Type",$C$5,"5 Source No.",$C426,"4 Item Ledger Entry Type",$C$4,"2 Item No.","@@"&amp;$F426,"3 Posting Date",U$9)+NL("Sum","5802 Value Entry","17 Sales Amount (Actual)","41 Source Type",$C$5,"5 Source no.",$C426,"4 Item Ledger Entry Type",$C$4,"2 Item No.","@@"&amp;$F426,"3 Posting Date",U$9)</t>
  </si>
  <si>
    <t>=-NL("Sum","5802 Value Entry","151 Cost Amount (Expected)","41 Source Type",$C$5,"5 Source No.",$C426,"4 Item Ledger Entry Type",$C$4,"2 Item No.","@@"&amp;$F426,"3 Posting Date",U$9)-NL("Sum","5802 Value Entry","43 Cost Amount (Actual)","41 Source Type",$C$5,"5 Source no.",$C426,"4 Item Ledger Entry Type",$C$4,"2 Item No.","@@"&amp;$F426,"3 Posting Date",U$9)</t>
  </si>
  <si>
    <t>=U426-W426</t>
  </si>
  <si>
    <t>=IF(U426&lt;&gt;0,X426/U426,"")</t>
  </si>
  <si>
    <t>=NL("Sum","5802 Value Entry","150 Sales Amount (Expected)","41 Source Type",$C$5,"5 Source No.",$C426,"4 Item Ledger Entry Type",$C$4,"2 Item No.","@@"&amp;$F426,"3 Posting Date",Z$9)+NL("Sum","5802 Value Entry","17 Sales Amount (Actual)","41 Source Type",$C$5,"5 Source no.",$C426,"4 Item Ledger Entry Type",$C$4,"2 Item No.","@@"&amp;$F426,"3 Posting Date",Z$9)</t>
  </si>
  <si>
    <t>=-NL("Sum","5802 Value Entry","151 Cost Amount (Expected)","41 Source Type",$C$5,"5 Source No.",$C426,"4 Item Ledger Entry Type",$C$4,"2 Item No.","@@"&amp;$F426,"3 Posting Date",Z$9)-NL("Sum","5802 Value Entry","43 Cost Amount (Actual)","41 Source Type",$C$5,"5 Source no.",$C426,"4 Item Ledger Entry Type",$C$4,"2 Item No.","@@"&amp;$F426,"3 Posting Date",Z$9)</t>
  </si>
  <si>
    <t>=Z426-AB426</t>
  </si>
  <si>
    <t>=IF(Z426&lt;&gt;0,AC426/Z426,"")</t>
  </si>
  <si>
    <t>=C426</t>
  </si>
  <si>
    <t>=NL("Sum","5802 Value Entry","150 Sales Amount (Expected)","41 Source Type",$C$5,"5 Source No.",$C427,"4 Item Ledger Entry Type",$C$4,"2 Item No.","@@"&amp;$F427,"3 Posting Date",J$9)+NL("Sum","5802 Value Entry","17 Sales Amount (Actual)","41 Source Type",$C$5,"5 Source no.",$C427,"4 Item Ledger Entry Type",$C$4,"2 Item No.","@@"&amp;$F427,"3 Posting Date",J$9)</t>
  </si>
  <si>
    <t>=-NL("Sum","5802 Value Entry","151 Cost Amount (Expected)","41 Source Type",$C$5,"5 Source No.",$C427,"4 Item Ledger Entry Type",$C$4,"2 Item No.","@@"&amp;$F427,"3 Posting Date",J$9)-NL("Sum","5802 Value Entry","43 Cost Amount (Actual)","41 Source Type",$C$5,"5 Source no.",$C427,"4 Item Ledger Entry Type",$C$4,"2 Item No.","@@"&amp;$F427,"3 Posting Date",J$9)</t>
  </si>
  <si>
    <t>=J427-L427</t>
  </si>
  <si>
    <t>=IF(J427&lt;&gt;0,M427/J427,"")</t>
  </si>
  <si>
    <t>=NL("Sum","5802 Value Entry","150 Sales Amount (Expected)","41 Source Type",$C$5,"5 Source No.",$C427,"4 Item Ledger Entry Type",$C$4,"2 Item No.","@@"&amp;$F427,"3 Posting Date",O$9)+NL("Sum","5802 Value Entry","17 Sales Amount (Actual)","41 Source Type",$C$5,"5 Source no.",$C427,"4 Item Ledger Entry Type",$C$4,"2 Item No.","@@"&amp;$F427,"3 Posting Date",O$9)</t>
  </si>
  <si>
    <t>=-NL("Sum","5802 Value Entry","151 Cost Amount (Expected)","41 Source Type",$C$5,"5 Source No.",$C427,"4 Item Ledger Entry Type",$C$4,"2 Item No.","@@"&amp;$F427,"3 Posting Date",O$9)-NL("Sum","5802 Value Entry","43 Cost Amount (Actual)","41 Source Type",$C$5,"5 Source no.",$C427,"4 Item Ledger Entry Type",$C$4,"2 Item No.","@@"&amp;$F427,"3 Posting Date",O$9)</t>
  </si>
  <si>
    <t>=O427-Q427</t>
  </si>
  <si>
    <t>=IF(O427&lt;&gt;0,R427/O427,"")</t>
  </si>
  <si>
    <t>=NL("Sum","5802 Value Entry","150 Sales Amount (Expected)","41 Source Type",$C$5,"5 Source No.",$C427,"4 Item Ledger Entry Type",$C$4,"2 Item No.","@@"&amp;$F427,"3 Posting Date",U$9)+NL("Sum","5802 Value Entry","17 Sales Amount (Actual)","41 Source Type",$C$5,"5 Source no.",$C427,"4 Item Ledger Entry Type",$C$4,"2 Item No.","@@"&amp;$F427,"3 Posting Date",U$9)</t>
  </si>
  <si>
    <t>=-NL("Sum","5802 Value Entry","151 Cost Amount (Expected)","41 Source Type",$C$5,"5 Source No.",$C427,"4 Item Ledger Entry Type",$C$4,"2 Item No.","@@"&amp;$F427,"3 Posting Date",U$9)-NL("Sum","5802 Value Entry","43 Cost Amount (Actual)","41 Source Type",$C$5,"5 Source no.",$C427,"4 Item Ledger Entry Type",$C$4,"2 Item No.","@@"&amp;$F427,"3 Posting Date",U$9)</t>
  </si>
  <si>
    <t>=U427-W427</t>
  </si>
  <si>
    <t>=IF(U427&lt;&gt;0,X427/U427,"")</t>
  </si>
  <si>
    <t>=NL("Sum","5802 Value Entry","150 Sales Amount (Expected)","41 Source Type",$C$5,"5 Source No.",$C427,"4 Item Ledger Entry Type",$C$4,"2 Item No.","@@"&amp;$F427,"3 Posting Date",Z$9)+NL("Sum","5802 Value Entry","17 Sales Amount (Actual)","41 Source Type",$C$5,"5 Source no.",$C427,"4 Item Ledger Entry Type",$C$4,"2 Item No.","@@"&amp;$F427,"3 Posting Date",Z$9)</t>
  </si>
  <si>
    <t>=-NL("Sum","5802 Value Entry","151 Cost Amount (Expected)","41 Source Type",$C$5,"5 Source No.",$C427,"4 Item Ledger Entry Type",$C$4,"2 Item No.","@@"&amp;$F427,"3 Posting Date",Z$9)-NL("Sum","5802 Value Entry","43 Cost Amount (Actual)","41 Source Type",$C$5,"5 Source no.",$C427,"4 Item Ledger Entry Type",$C$4,"2 Item No.","@@"&amp;$F427,"3 Posting Date",Z$9)</t>
  </si>
  <si>
    <t>=Z427-AB427</t>
  </si>
  <si>
    <t>=IF(Z427&lt;&gt;0,AC427/Z427,"")</t>
  </si>
  <si>
    <t>=C427</t>
  </si>
  <si>
    <t>=NL("Sum","5802 Value Entry","150 Sales Amount (Expected)","41 Source Type",$C$5,"5 Source No.",$C428,"4 Item Ledger Entry Type",$C$4,"2 Item No.","@@"&amp;$F428,"3 Posting Date",J$9)+NL("Sum","5802 Value Entry","17 Sales Amount (Actual)","41 Source Type",$C$5,"5 Source no.",$C428,"4 Item Ledger Entry Type",$C$4,"2 Item No.","@@"&amp;$F428,"3 Posting Date",J$9)</t>
  </si>
  <si>
    <t>=-NL("Sum","5802 Value Entry","151 Cost Amount (Expected)","41 Source Type",$C$5,"5 Source No.",$C428,"4 Item Ledger Entry Type",$C$4,"2 Item No.","@@"&amp;$F428,"3 Posting Date",J$9)-NL("Sum","5802 Value Entry","43 Cost Amount (Actual)","41 Source Type",$C$5,"5 Source no.",$C428,"4 Item Ledger Entry Type",$C$4,"2 Item No.","@@"&amp;$F428,"3 Posting Date",J$9)</t>
  </si>
  <si>
    <t>=J428-L428</t>
  </si>
  <si>
    <t>=IF(J428&lt;&gt;0,M428/J428,"")</t>
  </si>
  <si>
    <t>=NL("Sum","5802 Value Entry","150 Sales Amount (Expected)","41 Source Type",$C$5,"5 Source No.",$C428,"4 Item Ledger Entry Type",$C$4,"2 Item No.","@@"&amp;$F428,"3 Posting Date",O$9)+NL("Sum","5802 Value Entry","17 Sales Amount (Actual)","41 Source Type",$C$5,"5 Source no.",$C428,"4 Item Ledger Entry Type",$C$4,"2 Item No.","@@"&amp;$F428,"3 Posting Date",O$9)</t>
  </si>
  <si>
    <t>=-NL("Sum","5802 Value Entry","151 Cost Amount (Expected)","41 Source Type",$C$5,"5 Source No.",$C428,"4 Item Ledger Entry Type",$C$4,"2 Item No.","@@"&amp;$F428,"3 Posting Date",O$9)-NL("Sum","5802 Value Entry","43 Cost Amount (Actual)","41 Source Type",$C$5,"5 Source no.",$C428,"4 Item Ledger Entry Type",$C$4,"2 Item No.","@@"&amp;$F428,"3 Posting Date",O$9)</t>
  </si>
  <si>
    <t>=O428-Q428</t>
  </si>
  <si>
    <t>=IF(O428&lt;&gt;0,R428/O428,"")</t>
  </si>
  <si>
    <t>=NL("Sum","5802 Value Entry","150 Sales Amount (Expected)","41 Source Type",$C$5,"5 Source No.",$C428,"4 Item Ledger Entry Type",$C$4,"2 Item No.","@@"&amp;$F428,"3 Posting Date",U$9)+NL("Sum","5802 Value Entry","17 Sales Amount (Actual)","41 Source Type",$C$5,"5 Source no.",$C428,"4 Item Ledger Entry Type",$C$4,"2 Item No.","@@"&amp;$F428,"3 Posting Date",U$9)</t>
  </si>
  <si>
    <t>=-NL("Sum","5802 Value Entry","151 Cost Amount (Expected)","41 Source Type",$C$5,"5 Source No.",$C428,"4 Item Ledger Entry Type",$C$4,"2 Item No.","@@"&amp;$F428,"3 Posting Date",U$9)-NL("Sum","5802 Value Entry","43 Cost Amount (Actual)","41 Source Type",$C$5,"5 Source no.",$C428,"4 Item Ledger Entry Type",$C$4,"2 Item No.","@@"&amp;$F428,"3 Posting Date",U$9)</t>
  </si>
  <si>
    <t>=U428-W428</t>
  </si>
  <si>
    <t>=IF(U428&lt;&gt;0,X428/U428,"")</t>
  </si>
  <si>
    <t>=NL("Sum","5802 Value Entry","150 Sales Amount (Expected)","41 Source Type",$C$5,"5 Source No.",$C428,"4 Item Ledger Entry Type",$C$4,"2 Item No.","@@"&amp;$F428,"3 Posting Date",Z$9)+NL("Sum","5802 Value Entry","17 Sales Amount (Actual)","41 Source Type",$C$5,"5 Source no.",$C428,"4 Item Ledger Entry Type",$C$4,"2 Item No.","@@"&amp;$F428,"3 Posting Date",Z$9)</t>
  </si>
  <si>
    <t>=-NL("Sum","5802 Value Entry","151 Cost Amount (Expected)","41 Source Type",$C$5,"5 Source No.",$C428,"4 Item Ledger Entry Type",$C$4,"2 Item No.","@@"&amp;$F428,"3 Posting Date",Z$9)-NL("Sum","5802 Value Entry","43 Cost Amount (Actual)","41 Source Type",$C$5,"5 Source no.",$C428,"4 Item Ledger Entry Type",$C$4,"2 Item No.","@@"&amp;$F428,"3 Posting Date",Z$9)</t>
  </si>
  <si>
    <t>=Z428-AB428</t>
  </si>
  <si>
    <t>=IF(Z428&lt;&gt;0,AC428/Z428,"")</t>
  </si>
  <si>
    <t>=C428</t>
  </si>
  <si>
    <t>=NL("Sum","5802 Value Entry","150 Sales Amount (Expected)","41 Source Type",$C$5,"5 Source No.",$C429,"4 Item Ledger Entry Type",$C$4,"2 Item No.","@@"&amp;$F429,"3 Posting Date",J$9)+NL("Sum","5802 Value Entry","17 Sales Amount (Actual)","41 Source Type",$C$5,"5 Source no.",$C429,"4 Item Ledger Entry Type",$C$4,"2 Item No.","@@"&amp;$F429,"3 Posting Date",J$9)</t>
  </si>
  <si>
    <t>=-NL("Sum","5802 Value Entry","151 Cost Amount (Expected)","41 Source Type",$C$5,"5 Source No.",$C429,"4 Item Ledger Entry Type",$C$4,"2 Item No.","@@"&amp;$F429,"3 Posting Date",J$9)-NL("Sum","5802 Value Entry","43 Cost Amount (Actual)","41 Source Type",$C$5,"5 Source no.",$C429,"4 Item Ledger Entry Type",$C$4,"2 Item No.","@@"&amp;$F429,"3 Posting Date",J$9)</t>
  </si>
  <si>
    <t>=J429-L429</t>
  </si>
  <si>
    <t>=IF(J429&lt;&gt;0,M429/J429,"")</t>
  </si>
  <si>
    <t>=NL("Sum","5802 Value Entry","150 Sales Amount (Expected)","41 Source Type",$C$5,"5 Source No.",$C429,"4 Item Ledger Entry Type",$C$4,"2 Item No.","@@"&amp;$F429,"3 Posting Date",O$9)+NL("Sum","5802 Value Entry","17 Sales Amount (Actual)","41 Source Type",$C$5,"5 Source no.",$C429,"4 Item Ledger Entry Type",$C$4,"2 Item No.","@@"&amp;$F429,"3 Posting Date",O$9)</t>
  </si>
  <si>
    <t>=-NL("Sum","5802 Value Entry","151 Cost Amount (Expected)","41 Source Type",$C$5,"5 Source No.",$C429,"4 Item Ledger Entry Type",$C$4,"2 Item No.","@@"&amp;$F429,"3 Posting Date",O$9)-NL("Sum","5802 Value Entry","43 Cost Amount (Actual)","41 Source Type",$C$5,"5 Source no.",$C429,"4 Item Ledger Entry Type",$C$4,"2 Item No.","@@"&amp;$F429,"3 Posting Date",O$9)</t>
  </si>
  <si>
    <t>=O429-Q429</t>
  </si>
  <si>
    <t>=IF(O429&lt;&gt;0,R429/O429,"")</t>
  </si>
  <si>
    <t>=NL("Sum","5802 Value Entry","150 Sales Amount (Expected)","41 Source Type",$C$5,"5 Source No.",$C429,"4 Item Ledger Entry Type",$C$4,"2 Item No.","@@"&amp;$F429,"3 Posting Date",U$9)+NL("Sum","5802 Value Entry","17 Sales Amount (Actual)","41 Source Type",$C$5,"5 Source no.",$C429,"4 Item Ledger Entry Type",$C$4,"2 Item No.","@@"&amp;$F429,"3 Posting Date",U$9)</t>
  </si>
  <si>
    <t>=-NL("Sum","5802 Value Entry","151 Cost Amount (Expected)","41 Source Type",$C$5,"5 Source No.",$C429,"4 Item Ledger Entry Type",$C$4,"2 Item No.","@@"&amp;$F429,"3 Posting Date",U$9)-NL("Sum","5802 Value Entry","43 Cost Amount (Actual)","41 Source Type",$C$5,"5 Source no.",$C429,"4 Item Ledger Entry Type",$C$4,"2 Item No.","@@"&amp;$F429,"3 Posting Date",U$9)</t>
  </si>
  <si>
    <t>=U429-W429</t>
  </si>
  <si>
    <t>=IF(U429&lt;&gt;0,X429/U429,"")</t>
  </si>
  <si>
    <t>=NL("Sum","5802 Value Entry","150 Sales Amount (Expected)","41 Source Type",$C$5,"5 Source No.",$C429,"4 Item Ledger Entry Type",$C$4,"2 Item No.","@@"&amp;$F429,"3 Posting Date",Z$9)+NL("Sum","5802 Value Entry","17 Sales Amount (Actual)","41 Source Type",$C$5,"5 Source no.",$C429,"4 Item Ledger Entry Type",$C$4,"2 Item No.","@@"&amp;$F429,"3 Posting Date",Z$9)</t>
  </si>
  <si>
    <t>=-NL("Sum","5802 Value Entry","151 Cost Amount (Expected)","41 Source Type",$C$5,"5 Source No.",$C429,"4 Item Ledger Entry Type",$C$4,"2 Item No.","@@"&amp;$F429,"3 Posting Date",Z$9)-NL("Sum","5802 Value Entry","43 Cost Amount (Actual)","41 Source Type",$C$5,"5 Source no.",$C429,"4 Item Ledger Entry Type",$C$4,"2 Item No.","@@"&amp;$F429,"3 Posting Date",Z$9)</t>
  </si>
  <si>
    <t>=Z429-AB429</t>
  </si>
  <si>
    <t>=IF(Z429&lt;&gt;0,AC429/Z429,"")</t>
  </si>
  <si>
    <t>=C429</t>
  </si>
  <si>
    <t>="C100011"</t>
  </si>
  <si>
    <t>=NL("Sum","5802 Value Entry","150 Sales Amount (Expected)","41 Source Type",$C$5,"5 Source No.",$C430,"4 Item Ledger Entry Type",$C$4,"2 Item No.","@@"&amp;$F430,"3 Posting Date",J$9)+NL("Sum","5802 Value Entry","17 Sales Amount (Actual)","41 Source Type",$C$5,"5 Source no.",$C430,"4 Item Ledger Entry Type",$C$4,"2 Item No.","@@"&amp;$F430,"3 Posting Date",J$9)</t>
  </si>
  <si>
    <t>=-NL("Sum","5802 Value Entry","151 Cost Amount (Expected)","41 Source Type",$C$5,"5 Source No.",$C430,"4 Item Ledger Entry Type",$C$4,"2 Item No.","@@"&amp;$F430,"3 Posting Date",J$9)-NL("Sum","5802 Value Entry","43 Cost Amount (Actual)","41 Source Type",$C$5,"5 Source no.",$C430,"4 Item Ledger Entry Type",$C$4,"2 Item No.","@@"&amp;$F430,"3 Posting Date",J$9)</t>
  </si>
  <si>
    <t>=J430-L430</t>
  </si>
  <si>
    <t>=IF(J430&lt;&gt;0,M430/J430,"")</t>
  </si>
  <si>
    <t>=NL("Sum","5802 Value Entry","150 Sales Amount (Expected)","41 Source Type",$C$5,"5 Source No.",$C430,"4 Item Ledger Entry Type",$C$4,"2 Item No.","@@"&amp;$F430,"3 Posting Date",O$9)+NL("Sum","5802 Value Entry","17 Sales Amount (Actual)","41 Source Type",$C$5,"5 Source no.",$C430,"4 Item Ledger Entry Type",$C$4,"2 Item No.","@@"&amp;$F430,"3 Posting Date",O$9)</t>
  </si>
  <si>
    <t>=-NL("Sum","5802 Value Entry","151 Cost Amount (Expected)","41 Source Type",$C$5,"5 Source No.",$C430,"4 Item Ledger Entry Type",$C$4,"2 Item No.","@@"&amp;$F430,"3 Posting Date",O$9)-NL("Sum","5802 Value Entry","43 Cost Amount (Actual)","41 Source Type",$C$5,"5 Source no.",$C430,"4 Item Ledger Entry Type",$C$4,"2 Item No.","@@"&amp;$F430,"3 Posting Date",O$9)</t>
  </si>
  <si>
    <t>=O430-Q430</t>
  </si>
  <si>
    <t>=IF(O430&lt;&gt;0,R430/O430,"")</t>
  </si>
  <si>
    <t>=NL("Sum","5802 Value Entry","150 Sales Amount (Expected)","41 Source Type",$C$5,"5 Source No.",$C430,"4 Item Ledger Entry Type",$C$4,"2 Item No.","@@"&amp;$F430,"3 Posting Date",U$9)+NL("Sum","5802 Value Entry","17 Sales Amount (Actual)","41 Source Type",$C$5,"5 Source no.",$C430,"4 Item Ledger Entry Type",$C$4,"2 Item No.","@@"&amp;$F430,"3 Posting Date",U$9)</t>
  </si>
  <si>
    <t>=-NL("Sum","5802 Value Entry","151 Cost Amount (Expected)","41 Source Type",$C$5,"5 Source No.",$C430,"4 Item Ledger Entry Type",$C$4,"2 Item No.","@@"&amp;$F430,"3 Posting Date",U$9)-NL("Sum","5802 Value Entry","43 Cost Amount (Actual)","41 Source Type",$C$5,"5 Source no.",$C430,"4 Item Ledger Entry Type",$C$4,"2 Item No.","@@"&amp;$F430,"3 Posting Date",U$9)</t>
  </si>
  <si>
    <t>=U430-W430</t>
  </si>
  <si>
    <t>=IF(U430&lt;&gt;0,X430/U430,"")</t>
  </si>
  <si>
    <t>=NL("Sum","5802 Value Entry","150 Sales Amount (Expected)","41 Source Type",$C$5,"5 Source No.",$C430,"4 Item Ledger Entry Type",$C$4,"2 Item No.","@@"&amp;$F430,"3 Posting Date",Z$9)+NL("Sum","5802 Value Entry","17 Sales Amount (Actual)","41 Source Type",$C$5,"5 Source no.",$C430,"4 Item Ledger Entry Type",$C$4,"2 Item No.","@@"&amp;$F430,"3 Posting Date",Z$9)</t>
  </si>
  <si>
    <t>=-NL("Sum","5802 Value Entry","151 Cost Amount (Expected)","41 Source Type",$C$5,"5 Source No.",$C430,"4 Item Ledger Entry Type",$C$4,"2 Item No.","@@"&amp;$F430,"3 Posting Date",Z$9)-NL("Sum","5802 Value Entry","43 Cost Amount (Actual)","41 Source Type",$C$5,"5 Source no.",$C430,"4 Item Ledger Entry Type",$C$4,"2 Item No.","@@"&amp;$F430,"3 Posting Date",Z$9)</t>
  </si>
  <si>
    <t>=Z430-AB430</t>
  </si>
  <si>
    <t>=IF(Z430&lt;&gt;0,AC430/Z430,"")</t>
  </si>
  <si>
    <t>=C430</t>
  </si>
  <si>
    <t>=NL("Sum","5802 Value Entry","150 Sales Amount (Expected)","41 Source Type",$C$5,"5 Source No.",$C431,"4 Item Ledger Entry Type",$C$4,"2 Item No.","@@"&amp;$F431,"3 Posting Date",J$9)+NL("Sum","5802 Value Entry","17 Sales Amount (Actual)","41 Source Type",$C$5,"5 Source no.",$C431,"4 Item Ledger Entry Type",$C$4,"2 Item No.","@@"&amp;$F431,"3 Posting Date",J$9)</t>
  </si>
  <si>
    <t>=-NL("Sum","5802 Value Entry","151 Cost Amount (Expected)","41 Source Type",$C$5,"5 Source No.",$C431,"4 Item Ledger Entry Type",$C$4,"2 Item No.","@@"&amp;$F431,"3 Posting Date",J$9)-NL("Sum","5802 Value Entry","43 Cost Amount (Actual)","41 Source Type",$C$5,"5 Source no.",$C431,"4 Item Ledger Entry Type",$C$4,"2 Item No.","@@"&amp;$F431,"3 Posting Date",J$9)</t>
  </si>
  <si>
    <t>=J431-L431</t>
  </si>
  <si>
    <t>=IF(J431&lt;&gt;0,M431/J431,"")</t>
  </si>
  <si>
    <t>=NL("Sum","5802 Value Entry","150 Sales Amount (Expected)","41 Source Type",$C$5,"5 Source No.",$C431,"4 Item Ledger Entry Type",$C$4,"2 Item No.","@@"&amp;$F431,"3 Posting Date",O$9)+NL("Sum","5802 Value Entry","17 Sales Amount (Actual)","41 Source Type",$C$5,"5 Source no.",$C431,"4 Item Ledger Entry Type",$C$4,"2 Item No.","@@"&amp;$F431,"3 Posting Date",O$9)</t>
  </si>
  <si>
    <t>=-NL("Sum","5802 Value Entry","151 Cost Amount (Expected)","41 Source Type",$C$5,"5 Source No.",$C431,"4 Item Ledger Entry Type",$C$4,"2 Item No.","@@"&amp;$F431,"3 Posting Date",O$9)-NL("Sum","5802 Value Entry","43 Cost Amount (Actual)","41 Source Type",$C$5,"5 Source no.",$C431,"4 Item Ledger Entry Type",$C$4,"2 Item No.","@@"&amp;$F431,"3 Posting Date",O$9)</t>
  </si>
  <si>
    <t>=O431-Q431</t>
  </si>
  <si>
    <t>=IF(O431&lt;&gt;0,R431/O431,"")</t>
  </si>
  <si>
    <t>=NL("Sum","5802 Value Entry","150 Sales Amount (Expected)","41 Source Type",$C$5,"5 Source No.",$C431,"4 Item Ledger Entry Type",$C$4,"2 Item No.","@@"&amp;$F431,"3 Posting Date",U$9)+NL("Sum","5802 Value Entry","17 Sales Amount (Actual)","41 Source Type",$C$5,"5 Source no.",$C431,"4 Item Ledger Entry Type",$C$4,"2 Item No.","@@"&amp;$F431,"3 Posting Date",U$9)</t>
  </si>
  <si>
    <t>=-NL("Sum","5802 Value Entry","151 Cost Amount (Expected)","41 Source Type",$C$5,"5 Source No.",$C431,"4 Item Ledger Entry Type",$C$4,"2 Item No.","@@"&amp;$F431,"3 Posting Date",U$9)-NL("Sum","5802 Value Entry","43 Cost Amount (Actual)","41 Source Type",$C$5,"5 Source no.",$C431,"4 Item Ledger Entry Type",$C$4,"2 Item No.","@@"&amp;$F431,"3 Posting Date",U$9)</t>
  </si>
  <si>
    <t>=U431-W431</t>
  </si>
  <si>
    <t>=IF(U431&lt;&gt;0,X431/U431,"")</t>
  </si>
  <si>
    <t>=NL("Sum","5802 Value Entry","150 Sales Amount (Expected)","41 Source Type",$C$5,"5 Source No.",$C431,"4 Item Ledger Entry Type",$C$4,"2 Item No.","@@"&amp;$F431,"3 Posting Date",Z$9)+NL("Sum","5802 Value Entry","17 Sales Amount (Actual)","41 Source Type",$C$5,"5 Source no.",$C431,"4 Item Ledger Entry Type",$C$4,"2 Item No.","@@"&amp;$F431,"3 Posting Date",Z$9)</t>
  </si>
  <si>
    <t>=-NL("Sum","5802 Value Entry","151 Cost Amount (Expected)","41 Source Type",$C$5,"5 Source No.",$C431,"4 Item Ledger Entry Type",$C$4,"2 Item No.","@@"&amp;$F431,"3 Posting Date",Z$9)-NL("Sum","5802 Value Entry","43 Cost Amount (Actual)","41 Source Type",$C$5,"5 Source no.",$C431,"4 Item Ledger Entry Type",$C$4,"2 Item No.","@@"&amp;$F431,"3 Posting Date",Z$9)</t>
  </si>
  <si>
    <t>=Z431-AB431</t>
  </si>
  <si>
    <t>=IF(Z431&lt;&gt;0,AC431/Z431,"")</t>
  </si>
  <si>
    <t>=C431</t>
  </si>
  <si>
    <t>=NL("Sum","5802 Value Entry","150 Sales Amount (Expected)","41 Source Type",$C$5,"5 Source No.",$C432,"4 Item Ledger Entry Type",$C$4,"2 Item No.","@@"&amp;$F432,"3 Posting Date",J$9)+NL("Sum","5802 Value Entry","17 Sales Amount (Actual)","41 Source Type",$C$5,"5 Source no.",$C432,"4 Item Ledger Entry Type",$C$4,"2 Item No.","@@"&amp;$F432,"3 Posting Date",J$9)</t>
  </si>
  <si>
    <t>=-NL("Sum","5802 Value Entry","151 Cost Amount (Expected)","41 Source Type",$C$5,"5 Source No.",$C432,"4 Item Ledger Entry Type",$C$4,"2 Item No.","@@"&amp;$F432,"3 Posting Date",J$9)-NL("Sum","5802 Value Entry","43 Cost Amount (Actual)","41 Source Type",$C$5,"5 Source no.",$C432,"4 Item Ledger Entry Type",$C$4,"2 Item No.","@@"&amp;$F432,"3 Posting Date",J$9)</t>
  </si>
  <si>
    <t>=J432-L432</t>
  </si>
  <si>
    <t>=IF(J432&lt;&gt;0,M432/J432,"")</t>
  </si>
  <si>
    <t>=NL("Sum","5802 Value Entry","150 Sales Amount (Expected)","41 Source Type",$C$5,"5 Source No.",$C432,"4 Item Ledger Entry Type",$C$4,"2 Item No.","@@"&amp;$F432,"3 Posting Date",O$9)+NL("Sum","5802 Value Entry","17 Sales Amount (Actual)","41 Source Type",$C$5,"5 Source no.",$C432,"4 Item Ledger Entry Type",$C$4,"2 Item No.","@@"&amp;$F432,"3 Posting Date",O$9)</t>
  </si>
  <si>
    <t>=-NL("Sum","5802 Value Entry","151 Cost Amount (Expected)","41 Source Type",$C$5,"5 Source No.",$C432,"4 Item Ledger Entry Type",$C$4,"2 Item No.","@@"&amp;$F432,"3 Posting Date",O$9)-NL("Sum","5802 Value Entry","43 Cost Amount (Actual)","41 Source Type",$C$5,"5 Source no.",$C432,"4 Item Ledger Entry Type",$C$4,"2 Item No.","@@"&amp;$F432,"3 Posting Date",O$9)</t>
  </si>
  <si>
    <t>=O432-Q432</t>
  </si>
  <si>
    <t>=IF(O432&lt;&gt;0,R432/O432,"")</t>
  </si>
  <si>
    <t>=NL("Sum","5802 Value Entry","150 Sales Amount (Expected)","41 Source Type",$C$5,"5 Source No.",$C432,"4 Item Ledger Entry Type",$C$4,"2 Item No.","@@"&amp;$F432,"3 Posting Date",U$9)+NL("Sum","5802 Value Entry","17 Sales Amount (Actual)","41 Source Type",$C$5,"5 Source no.",$C432,"4 Item Ledger Entry Type",$C$4,"2 Item No.","@@"&amp;$F432,"3 Posting Date",U$9)</t>
  </si>
  <si>
    <t>=-NL("Sum","5802 Value Entry","151 Cost Amount (Expected)","41 Source Type",$C$5,"5 Source No.",$C432,"4 Item Ledger Entry Type",$C$4,"2 Item No.","@@"&amp;$F432,"3 Posting Date",U$9)-NL("Sum","5802 Value Entry","43 Cost Amount (Actual)","41 Source Type",$C$5,"5 Source no.",$C432,"4 Item Ledger Entry Type",$C$4,"2 Item No.","@@"&amp;$F432,"3 Posting Date",U$9)</t>
  </si>
  <si>
    <t>=U432-W432</t>
  </si>
  <si>
    <t>=IF(U432&lt;&gt;0,X432/U432,"")</t>
  </si>
  <si>
    <t>=NL("Sum","5802 Value Entry","150 Sales Amount (Expected)","41 Source Type",$C$5,"5 Source No.",$C432,"4 Item Ledger Entry Type",$C$4,"2 Item No.","@@"&amp;$F432,"3 Posting Date",Z$9)+NL("Sum","5802 Value Entry","17 Sales Amount (Actual)","41 Source Type",$C$5,"5 Source no.",$C432,"4 Item Ledger Entry Type",$C$4,"2 Item No.","@@"&amp;$F432,"3 Posting Date",Z$9)</t>
  </si>
  <si>
    <t>=-NL("Sum","5802 Value Entry","151 Cost Amount (Expected)","41 Source Type",$C$5,"5 Source No.",$C432,"4 Item Ledger Entry Type",$C$4,"2 Item No.","@@"&amp;$F432,"3 Posting Date",Z$9)-NL("Sum","5802 Value Entry","43 Cost Amount (Actual)","41 Source Type",$C$5,"5 Source no.",$C432,"4 Item Ledger Entry Type",$C$4,"2 Item No.","@@"&amp;$F432,"3 Posting Date",Z$9)</t>
  </si>
  <si>
    <t>=Z432-AB432</t>
  </si>
  <si>
    <t>=IF(Z432&lt;&gt;0,AC432/Z432,"")</t>
  </si>
  <si>
    <t>=C432</t>
  </si>
  <si>
    <t>=NL("Sum","5802 Value Entry","150 Sales Amount (Expected)","41 Source Type",$C$5,"5 Source No.",$C433,"4 Item Ledger Entry Type",$C$4,"2 Item No.","@@"&amp;$F433,"3 Posting Date",J$9)+NL("Sum","5802 Value Entry","17 Sales Amount (Actual)","41 Source Type",$C$5,"5 Source no.",$C433,"4 Item Ledger Entry Type",$C$4,"2 Item No.","@@"&amp;$F433,"3 Posting Date",J$9)</t>
  </si>
  <si>
    <t>=-NL("Sum","5802 Value Entry","151 Cost Amount (Expected)","41 Source Type",$C$5,"5 Source No.",$C433,"4 Item Ledger Entry Type",$C$4,"2 Item No.","@@"&amp;$F433,"3 Posting Date",J$9)-NL("Sum","5802 Value Entry","43 Cost Amount (Actual)","41 Source Type",$C$5,"5 Source no.",$C433,"4 Item Ledger Entry Type",$C$4,"2 Item No.","@@"&amp;$F433,"3 Posting Date",J$9)</t>
  </si>
  <si>
    <t>=J433-L433</t>
  </si>
  <si>
    <t>=IF(J433&lt;&gt;0,M433/J433,"")</t>
  </si>
  <si>
    <t>=NL("Sum","5802 Value Entry","150 Sales Amount (Expected)","41 Source Type",$C$5,"5 Source No.",$C433,"4 Item Ledger Entry Type",$C$4,"2 Item No.","@@"&amp;$F433,"3 Posting Date",O$9)+NL("Sum","5802 Value Entry","17 Sales Amount (Actual)","41 Source Type",$C$5,"5 Source no.",$C433,"4 Item Ledger Entry Type",$C$4,"2 Item No.","@@"&amp;$F433,"3 Posting Date",O$9)</t>
  </si>
  <si>
    <t>=-NL("Sum","5802 Value Entry","151 Cost Amount (Expected)","41 Source Type",$C$5,"5 Source No.",$C433,"4 Item Ledger Entry Type",$C$4,"2 Item No.","@@"&amp;$F433,"3 Posting Date",O$9)-NL("Sum","5802 Value Entry","43 Cost Amount (Actual)","41 Source Type",$C$5,"5 Source no.",$C433,"4 Item Ledger Entry Type",$C$4,"2 Item No.","@@"&amp;$F433,"3 Posting Date",O$9)</t>
  </si>
  <si>
    <t>=O433-Q433</t>
  </si>
  <si>
    <t>=IF(O433&lt;&gt;0,R433/O433,"")</t>
  </si>
  <si>
    <t>=NL("Sum","5802 Value Entry","150 Sales Amount (Expected)","41 Source Type",$C$5,"5 Source No.",$C433,"4 Item Ledger Entry Type",$C$4,"2 Item No.","@@"&amp;$F433,"3 Posting Date",U$9)+NL("Sum","5802 Value Entry","17 Sales Amount (Actual)","41 Source Type",$C$5,"5 Source no.",$C433,"4 Item Ledger Entry Type",$C$4,"2 Item No.","@@"&amp;$F433,"3 Posting Date",U$9)</t>
  </si>
  <si>
    <t>=-NL("Sum","5802 Value Entry","151 Cost Amount (Expected)","41 Source Type",$C$5,"5 Source No.",$C433,"4 Item Ledger Entry Type",$C$4,"2 Item No.","@@"&amp;$F433,"3 Posting Date",U$9)-NL("Sum","5802 Value Entry","43 Cost Amount (Actual)","41 Source Type",$C$5,"5 Source no.",$C433,"4 Item Ledger Entry Type",$C$4,"2 Item No.","@@"&amp;$F433,"3 Posting Date",U$9)</t>
  </si>
  <si>
    <t>=U433-W433</t>
  </si>
  <si>
    <t>=IF(U433&lt;&gt;0,X433/U433,"")</t>
  </si>
  <si>
    <t>=NL("Sum","5802 Value Entry","150 Sales Amount (Expected)","41 Source Type",$C$5,"5 Source No.",$C433,"4 Item Ledger Entry Type",$C$4,"2 Item No.","@@"&amp;$F433,"3 Posting Date",Z$9)+NL("Sum","5802 Value Entry","17 Sales Amount (Actual)","41 Source Type",$C$5,"5 Source no.",$C433,"4 Item Ledger Entry Type",$C$4,"2 Item No.","@@"&amp;$F433,"3 Posting Date",Z$9)</t>
  </si>
  <si>
    <t>=-NL("Sum","5802 Value Entry","151 Cost Amount (Expected)","41 Source Type",$C$5,"5 Source No.",$C433,"4 Item Ledger Entry Type",$C$4,"2 Item No.","@@"&amp;$F433,"3 Posting Date",Z$9)-NL("Sum","5802 Value Entry","43 Cost Amount (Actual)","41 Source Type",$C$5,"5 Source no.",$C433,"4 Item Ledger Entry Type",$C$4,"2 Item No.","@@"&amp;$F433,"3 Posting Date",Z$9)</t>
  </si>
  <si>
    <t>=Z433-AB433</t>
  </si>
  <si>
    <t>=IF(Z433&lt;&gt;0,AC433/Z433,"")</t>
  </si>
  <si>
    <t>=C433</t>
  </si>
  <si>
    <t>=NL("Sum","5802 Value Entry","150 Sales Amount (Expected)","41 Source Type",$C$5,"5 Source No.",$C434,"4 Item Ledger Entry Type",$C$4,"2 Item No.","@@"&amp;$F434,"3 Posting Date",J$9)+NL("Sum","5802 Value Entry","17 Sales Amount (Actual)","41 Source Type",$C$5,"5 Source no.",$C434,"4 Item Ledger Entry Type",$C$4,"2 Item No.","@@"&amp;$F434,"3 Posting Date",J$9)</t>
  </si>
  <si>
    <t>=-NL("Sum","5802 Value Entry","151 Cost Amount (Expected)","41 Source Type",$C$5,"5 Source No.",$C434,"4 Item Ledger Entry Type",$C$4,"2 Item No.","@@"&amp;$F434,"3 Posting Date",J$9)-NL("Sum","5802 Value Entry","43 Cost Amount (Actual)","41 Source Type",$C$5,"5 Source no.",$C434,"4 Item Ledger Entry Type",$C$4,"2 Item No.","@@"&amp;$F434,"3 Posting Date",J$9)</t>
  </si>
  <si>
    <t>=J434-L434</t>
  </si>
  <si>
    <t>=IF(J434&lt;&gt;0,M434/J434,"")</t>
  </si>
  <si>
    <t>=NL("Sum","5802 Value Entry","150 Sales Amount (Expected)","41 Source Type",$C$5,"5 Source No.",$C434,"4 Item Ledger Entry Type",$C$4,"2 Item No.","@@"&amp;$F434,"3 Posting Date",O$9)+NL("Sum","5802 Value Entry","17 Sales Amount (Actual)","41 Source Type",$C$5,"5 Source no.",$C434,"4 Item Ledger Entry Type",$C$4,"2 Item No.","@@"&amp;$F434,"3 Posting Date",O$9)</t>
  </si>
  <si>
    <t>=-NL("Sum","5802 Value Entry","151 Cost Amount (Expected)","41 Source Type",$C$5,"5 Source No.",$C434,"4 Item Ledger Entry Type",$C$4,"2 Item No.","@@"&amp;$F434,"3 Posting Date",O$9)-NL("Sum","5802 Value Entry","43 Cost Amount (Actual)","41 Source Type",$C$5,"5 Source no.",$C434,"4 Item Ledger Entry Type",$C$4,"2 Item No.","@@"&amp;$F434,"3 Posting Date",O$9)</t>
  </si>
  <si>
    <t>=O434-Q434</t>
  </si>
  <si>
    <t>=IF(O434&lt;&gt;0,R434/O434,"")</t>
  </si>
  <si>
    <t>=NL("Sum","5802 Value Entry","150 Sales Amount (Expected)","41 Source Type",$C$5,"5 Source No.",$C434,"4 Item Ledger Entry Type",$C$4,"2 Item No.","@@"&amp;$F434,"3 Posting Date",U$9)+NL("Sum","5802 Value Entry","17 Sales Amount (Actual)","41 Source Type",$C$5,"5 Source no.",$C434,"4 Item Ledger Entry Type",$C$4,"2 Item No.","@@"&amp;$F434,"3 Posting Date",U$9)</t>
  </si>
  <si>
    <t>=-NL("Sum","5802 Value Entry","151 Cost Amount (Expected)","41 Source Type",$C$5,"5 Source No.",$C434,"4 Item Ledger Entry Type",$C$4,"2 Item No.","@@"&amp;$F434,"3 Posting Date",U$9)-NL("Sum","5802 Value Entry","43 Cost Amount (Actual)","41 Source Type",$C$5,"5 Source no.",$C434,"4 Item Ledger Entry Type",$C$4,"2 Item No.","@@"&amp;$F434,"3 Posting Date",U$9)</t>
  </si>
  <si>
    <t>=U434-W434</t>
  </si>
  <si>
    <t>=IF(U434&lt;&gt;0,X434/U434,"")</t>
  </si>
  <si>
    <t>=NL("Sum","5802 Value Entry","150 Sales Amount (Expected)","41 Source Type",$C$5,"5 Source No.",$C434,"4 Item Ledger Entry Type",$C$4,"2 Item No.","@@"&amp;$F434,"3 Posting Date",Z$9)+NL("Sum","5802 Value Entry","17 Sales Amount (Actual)","41 Source Type",$C$5,"5 Source no.",$C434,"4 Item Ledger Entry Type",$C$4,"2 Item No.","@@"&amp;$F434,"3 Posting Date",Z$9)</t>
  </si>
  <si>
    <t>=-NL("Sum","5802 Value Entry","151 Cost Amount (Expected)","41 Source Type",$C$5,"5 Source No.",$C434,"4 Item Ledger Entry Type",$C$4,"2 Item No.","@@"&amp;$F434,"3 Posting Date",Z$9)-NL("Sum","5802 Value Entry","43 Cost Amount (Actual)","41 Source Type",$C$5,"5 Source no.",$C434,"4 Item Ledger Entry Type",$C$4,"2 Item No.","@@"&amp;$F434,"3 Posting Date",Z$9)</t>
  </si>
  <si>
    <t>=Z434-AB434</t>
  </si>
  <si>
    <t>=IF(Z434&lt;&gt;0,AC434/Z434,"")</t>
  </si>
  <si>
    <t>=C434</t>
  </si>
  <si>
    <t>=NL("Sum","5802 Value Entry","150 Sales Amount (Expected)","41 Source Type",$C$5,"5 Source No.",$C435,"4 Item Ledger Entry Type",$C$4,"2 Item No.","@@"&amp;$F435,"3 Posting Date",J$9)+NL("Sum","5802 Value Entry","17 Sales Amount (Actual)","41 Source Type",$C$5,"5 Source no.",$C435,"4 Item Ledger Entry Type",$C$4,"2 Item No.","@@"&amp;$F435,"3 Posting Date",J$9)</t>
  </si>
  <si>
    <t>=-NL("Sum","5802 Value Entry","151 Cost Amount (Expected)","41 Source Type",$C$5,"5 Source No.",$C435,"4 Item Ledger Entry Type",$C$4,"2 Item No.","@@"&amp;$F435,"3 Posting Date",J$9)-NL("Sum","5802 Value Entry","43 Cost Amount (Actual)","41 Source Type",$C$5,"5 Source no.",$C435,"4 Item Ledger Entry Type",$C$4,"2 Item No.","@@"&amp;$F435,"3 Posting Date",J$9)</t>
  </si>
  <si>
    <t>=J435-L435</t>
  </si>
  <si>
    <t>=IF(J435&lt;&gt;0,M435/J435,"")</t>
  </si>
  <si>
    <t>=NL("Sum","5802 Value Entry","150 Sales Amount (Expected)","41 Source Type",$C$5,"5 Source No.",$C435,"4 Item Ledger Entry Type",$C$4,"2 Item No.","@@"&amp;$F435,"3 Posting Date",O$9)+NL("Sum","5802 Value Entry","17 Sales Amount (Actual)","41 Source Type",$C$5,"5 Source no.",$C435,"4 Item Ledger Entry Type",$C$4,"2 Item No.","@@"&amp;$F435,"3 Posting Date",O$9)</t>
  </si>
  <si>
    <t>=-NL("Sum","5802 Value Entry","151 Cost Amount (Expected)","41 Source Type",$C$5,"5 Source No.",$C435,"4 Item Ledger Entry Type",$C$4,"2 Item No.","@@"&amp;$F435,"3 Posting Date",O$9)-NL("Sum","5802 Value Entry","43 Cost Amount (Actual)","41 Source Type",$C$5,"5 Source no.",$C435,"4 Item Ledger Entry Type",$C$4,"2 Item No.","@@"&amp;$F435,"3 Posting Date",O$9)</t>
  </si>
  <si>
    <t>=O435-Q435</t>
  </si>
  <si>
    <t>=IF(O435&lt;&gt;0,R435/O435,"")</t>
  </si>
  <si>
    <t>=NL("Sum","5802 Value Entry","150 Sales Amount (Expected)","41 Source Type",$C$5,"5 Source No.",$C435,"4 Item Ledger Entry Type",$C$4,"2 Item No.","@@"&amp;$F435,"3 Posting Date",U$9)+NL("Sum","5802 Value Entry","17 Sales Amount (Actual)","41 Source Type",$C$5,"5 Source no.",$C435,"4 Item Ledger Entry Type",$C$4,"2 Item No.","@@"&amp;$F435,"3 Posting Date",U$9)</t>
  </si>
  <si>
    <t>=-NL("Sum","5802 Value Entry","151 Cost Amount (Expected)","41 Source Type",$C$5,"5 Source No.",$C435,"4 Item Ledger Entry Type",$C$4,"2 Item No.","@@"&amp;$F435,"3 Posting Date",U$9)-NL("Sum","5802 Value Entry","43 Cost Amount (Actual)","41 Source Type",$C$5,"5 Source no.",$C435,"4 Item Ledger Entry Type",$C$4,"2 Item No.","@@"&amp;$F435,"3 Posting Date",U$9)</t>
  </si>
  <si>
    <t>=U435-W435</t>
  </si>
  <si>
    <t>=IF(U435&lt;&gt;0,X435/U435,"")</t>
  </si>
  <si>
    <t>=NL("Sum","5802 Value Entry","150 Sales Amount (Expected)","41 Source Type",$C$5,"5 Source No.",$C435,"4 Item Ledger Entry Type",$C$4,"2 Item No.","@@"&amp;$F435,"3 Posting Date",Z$9)+NL("Sum","5802 Value Entry","17 Sales Amount (Actual)","41 Source Type",$C$5,"5 Source no.",$C435,"4 Item Ledger Entry Type",$C$4,"2 Item No.","@@"&amp;$F435,"3 Posting Date",Z$9)</t>
  </si>
  <si>
    <t>=-NL("Sum","5802 Value Entry","151 Cost Amount (Expected)","41 Source Type",$C$5,"5 Source No.",$C435,"4 Item Ledger Entry Type",$C$4,"2 Item No.","@@"&amp;$F435,"3 Posting Date",Z$9)-NL("Sum","5802 Value Entry","43 Cost Amount (Actual)","41 Source Type",$C$5,"5 Source no.",$C435,"4 Item Ledger Entry Type",$C$4,"2 Item No.","@@"&amp;$F435,"3 Posting Date",Z$9)</t>
  </si>
  <si>
    <t>=Z435-AB435</t>
  </si>
  <si>
    <t>=IF(Z435&lt;&gt;0,AC435/Z435,"")</t>
  </si>
  <si>
    <t>=C436</t>
  </si>
  <si>
    <t>=J437-L437</t>
  </si>
  <si>
    <t>=IF(J437&lt;&gt;0,M437/J437,"")</t>
  </si>
  <si>
    <t>=O437-Q437</t>
  </si>
  <si>
    <t>=IF(O437&lt;&gt;0,R437/O437,"")</t>
  </si>
  <si>
    <t>=U437-W437</t>
  </si>
  <si>
    <t>=IF(U437&lt;&gt;0,X437/U437,"")</t>
  </si>
  <si>
    <t>=Z437-AB437</t>
  </si>
  <si>
    <t>=IF(Z437&lt;&gt;0,AC437/Z437,"")</t>
  </si>
  <si>
    <t>=C439</t>
  </si>
  <si>
    <t>=C440</t>
  </si>
  <si>
    <t>=NL("Sum","5802 Value Entry","150 Sales Amount (Expected)","41 Source Type",$C$5,"5 Source No.",$C441,"4 Item Ledger Entry Type",$C$4,"2 Item No.","@@"&amp;$F441,"3 Posting Date",J$9)+NL("Sum","5802 Value Entry","17 Sales Amount (Actual)","41 Source Type",$C$5,"5 Source no.",$C441,"4 Item Ledger Entry Type",$C$4,"2 Item No.","@@"&amp;$F441,"3 Posting Date",J$9)</t>
  </si>
  <si>
    <t>=-NL("Sum","5802 Value Entry","151 Cost Amount (Expected)","41 Source Type",$C$5,"5 Source No.",$C441,"4 Item Ledger Entry Type",$C$4,"2 Item No.","@@"&amp;$F441,"3 Posting Date",J$9)-NL("Sum","5802 Value Entry","43 Cost Amount (Actual)","41 Source Type",$C$5,"5 Source no.",$C441,"4 Item Ledger Entry Type",$C$4,"2 Item No.","@@"&amp;$F441,"3 Posting Date",J$9)</t>
  </si>
  <si>
    <t>=J441-L441</t>
  </si>
  <si>
    <t>=IF(J441&lt;&gt;0,M441/J441,"")</t>
  </si>
  <si>
    <t>=NL("Sum","5802 Value Entry","150 Sales Amount (Expected)","41 Source Type",$C$5,"5 Source No.",$C441,"4 Item Ledger Entry Type",$C$4,"2 Item No.","@@"&amp;$F441,"3 Posting Date",O$9)+NL("Sum","5802 Value Entry","17 Sales Amount (Actual)","41 Source Type",$C$5,"5 Source no.",$C441,"4 Item Ledger Entry Type",$C$4,"2 Item No.","@@"&amp;$F441,"3 Posting Date",O$9)</t>
  </si>
  <si>
    <t>=-NL("Sum","5802 Value Entry","151 Cost Amount (Expected)","41 Source Type",$C$5,"5 Source No.",$C441,"4 Item Ledger Entry Type",$C$4,"2 Item No.","@@"&amp;$F441,"3 Posting Date",O$9)-NL("Sum","5802 Value Entry","43 Cost Amount (Actual)","41 Source Type",$C$5,"5 Source no.",$C441,"4 Item Ledger Entry Type",$C$4,"2 Item No.","@@"&amp;$F441,"3 Posting Date",O$9)</t>
  </si>
  <si>
    <t>=O441-Q441</t>
  </si>
  <si>
    <t>=IF(O441&lt;&gt;0,R441/O441,"")</t>
  </si>
  <si>
    <t>=NL("Sum","5802 Value Entry","150 Sales Amount (Expected)","41 Source Type",$C$5,"5 Source No.",$C441,"4 Item Ledger Entry Type",$C$4,"2 Item No.","@@"&amp;$F441,"3 Posting Date",U$9)+NL("Sum","5802 Value Entry","17 Sales Amount (Actual)","41 Source Type",$C$5,"5 Source no.",$C441,"4 Item Ledger Entry Type",$C$4,"2 Item No.","@@"&amp;$F441,"3 Posting Date",U$9)</t>
  </si>
  <si>
    <t>=-NL("Sum","5802 Value Entry","151 Cost Amount (Expected)","41 Source Type",$C$5,"5 Source No.",$C441,"4 Item Ledger Entry Type",$C$4,"2 Item No.","@@"&amp;$F441,"3 Posting Date",U$9)-NL("Sum","5802 Value Entry","43 Cost Amount (Actual)","41 Source Type",$C$5,"5 Source no.",$C441,"4 Item Ledger Entry Type",$C$4,"2 Item No.","@@"&amp;$F441,"3 Posting Date",U$9)</t>
  </si>
  <si>
    <t>=U441-W441</t>
  </si>
  <si>
    <t>=IF(U441&lt;&gt;0,X441/U441,"")</t>
  </si>
  <si>
    <t>=NL("Sum","5802 Value Entry","150 Sales Amount (Expected)","41 Source Type",$C$5,"5 Source No.",$C441,"4 Item Ledger Entry Type",$C$4,"2 Item No.","@@"&amp;$F441,"3 Posting Date",Z$9)+NL("Sum","5802 Value Entry","17 Sales Amount (Actual)","41 Source Type",$C$5,"5 Source no.",$C441,"4 Item Ledger Entry Type",$C$4,"2 Item No.","@@"&amp;$F441,"3 Posting Date",Z$9)</t>
  </si>
  <si>
    <t>=-NL("Sum","5802 Value Entry","151 Cost Amount (Expected)","41 Source Type",$C$5,"5 Source No.",$C441,"4 Item Ledger Entry Type",$C$4,"2 Item No.","@@"&amp;$F441,"3 Posting Date",Z$9)-NL("Sum","5802 Value Entry","43 Cost Amount (Actual)","41 Source Type",$C$5,"5 Source no.",$C441,"4 Item Ledger Entry Type",$C$4,"2 Item No.","@@"&amp;$F441,"3 Posting Date",Z$9)</t>
  </si>
  <si>
    <t>=Z441-AB441</t>
  </si>
  <si>
    <t>=IF(Z441&lt;&gt;0,AC441/Z441,"")</t>
  </si>
  <si>
    <t>=C441</t>
  </si>
  <si>
    <t>=NL("Sum","5802 Value Entry","150 Sales Amount (Expected)","41 Source Type",$C$5,"5 Source No.",$C442,"4 Item Ledger Entry Type",$C$4,"2 Item No.","@@"&amp;$F442,"3 Posting Date",J$9)+NL("Sum","5802 Value Entry","17 Sales Amount (Actual)","41 Source Type",$C$5,"5 Source no.",$C442,"4 Item Ledger Entry Type",$C$4,"2 Item No.","@@"&amp;$F442,"3 Posting Date",J$9)</t>
  </si>
  <si>
    <t>=-NL("Sum","5802 Value Entry","151 Cost Amount (Expected)","41 Source Type",$C$5,"5 Source No.",$C442,"4 Item Ledger Entry Type",$C$4,"2 Item No.","@@"&amp;$F442,"3 Posting Date",J$9)-NL("Sum","5802 Value Entry","43 Cost Amount (Actual)","41 Source Type",$C$5,"5 Source no.",$C442,"4 Item Ledger Entry Type",$C$4,"2 Item No.","@@"&amp;$F442,"3 Posting Date",J$9)</t>
  </si>
  <si>
    <t>=J442-L442</t>
  </si>
  <si>
    <t>=IF(J442&lt;&gt;0,M442/J442,"")</t>
  </si>
  <si>
    <t>=NL("Sum","5802 Value Entry","150 Sales Amount (Expected)","41 Source Type",$C$5,"5 Source No.",$C442,"4 Item Ledger Entry Type",$C$4,"2 Item No.","@@"&amp;$F442,"3 Posting Date",O$9)+NL("Sum","5802 Value Entry","17 Sales Amount (Actual)","41 Source Type",$C$5,"5 Source no.",$C442,"4 Item Ledger Entry Type",$C$4,"2 Item No.","@@"&amp;$F442,"3 Posting Date",O$9)</t>
  </si>
  <si>
    <t>=-NL("Sum","5802 Value Entry","151 Cost Amount (Expected)","41 Source Type",$C$5,"5 Source No.",$C442,"4 Item Ledger Entry Type",$C$4,"2 Item No.","@@"&amp;$F442,"3 Posting Date",O$9)-NL("Sum","5802 Value Entry","43 Cost Amount (Actual)","41 Source Type",$C$5,"5 Source no.",$C442,"4 Item Ledger Entry Type",$C$4,"2 Item No.","@@"&amp;$F442,"3 Posting Date",O$9)</t>
  </si>
  <si>
    <t>=O442-Q442</t>
  </si>
  <si>
    <t>=IF(O442&lt;&gt;0,R442/O442,"")</t>
  </si>
  <si>
    <t>=NL("Sum","5802 Value Entry","150 Sales Amount (Expected)","41 Source Type",$C$5,"5 Source No.",$C442,"4 Item Ledger Entry Type",$C$4,"2 Item No.","@@"&amp;$F442,"3 Posting Date",U$9)+NL("Sum","5802 Value Entry","17 Sales Amount (Actual)","41 Source Type",$C$5,"5 Source no.",$C442,"4 Item Ledger Entry Type",$C$4,"2 Item No.","@@"&amp;$F442,"3 Posting Date",U$9)</t>
  </si>
  <si>
    <t>=-NL("Sum","5802 Value Entry","151 Cost Amount (Expected)","41 Source Type",$C$5,"5 Source No.",$C442,"4 Item Ledger Entry Type",$C$4,"2 Item No.","@@"&amp;$F442,"3 Posting Date",U$9)-NL("Sum","5802 Value Entry","43 Cost Amount (Actual)","41 Source Type",$C$5,"5 Source no.",$C442,"4 Item Ledger Entry Type",$C$4,"2 Item No.","@@"&amp;$F442,"3 Posting Date",U$9)</t>
  </si>
  <si>
    <t>=U442-W442</t>
  </si>
  <si>
    <t>=IF(U442&lt;&gt;0,X442/U442,"")</t>
  </si>
  <si>
    <t>=NL("Sum","5802 Value Entry","150 Sales Amount (Expected)","41 Source Type",$C$5,"5 Source No.",$C442,"4 Item Ledger Entry Type",$C$4,"2 Item No.","@@"&amp;$F442,"3 Posting Date",Z$9)+NL("Sum","5802 Value Entry","17 Sales Amount (Actual)","41 Source Type",$C$5,"5 Source no.",$C442,"4 Item Ledger Entry Type",$C$4,"2 Item No.","@@"&amp;$F442,"3 Posting Date",Z$9)</t>
  </si>
  <si>
    <t>=-NL("Sum","5802 Value Entry","151 Cost Amount (Expected)","41 Source Type",$C$5,"5 Source No.",$C442,"4 Item Ledger Entry Type",$C$4,"2 Item No.","@@"&amp;$F442,"3 Posting Date",Z$9)-NL("Sum","5802 Value Entry","43 Cost Amount (Actual)","41 Source Type",$C$5,"5 Source no.",$C442,"4 Item Ledger Entry Type",$C$4,"2 Item No.","@@"&amp;$F442,"3 Posting Date",Z$9)</t>
  </si>
  <si>
    <t>=Z442-AB442</t>
  </si>
  <si>
    <t>=IF(Z442&lt;&gt;0,AC442/Z442,"")</t>
  </si>
  <si>
    <t>=C442</t>
  </si>
  <si>
    <t>=NL("Sum","5802 Value Entry","150 Sales Amount (Expected)","41 Source Type",$C$5,"5 Source No.",$C443,"4 Item Ledger Entry Type",$C$4,"2 Item No.","@@"&amp;$F443,"3 Posting Date",J$9)+NL("Sum","5802 Value Entry","17 Sales Amount (Actual)","41 Source Type",$C$5,"5 Source no.",$C443,"4 Item Ledger Entry Type",$C$4,"2 Item No.","@@"&amp;$F443,"3 Posting Date",J$9)</t>
  </si>
  <si>
    <t>=-NL("Sum","5802 Value Entry","151 Cost Amount (Expected)","41 Source Type",$C$5,"5 Source No.",$C443,"4 Item Ledger Entry Type",$C$4,"2 Item No.","@@"&amp;$F443,"3 Posting Date",J$9)-NL("Sum","5802 Value Entry","43 Cost Amount (Actual)","41 Source Type",$C$5,"5 Source no.",$C443,"4 Item Ledger Entry Type",$C$4,"2 Item No.","@@"&amp;$F443,"3 Posting Date",J$9)</t>
  </si>
  <si>
    <t>=J443-L443</t>
  </si>
  <si>
    <t>=IF(J443&lt;&gt;0,M443/J443,"")</t>
  </si>
  <si>
    <t>=NL("Sum","5802 Value Entry","150 Sales Amount (Expected)","41 Source Type",$C$5,"5 Source No.",$C443,"4 Item Ledger Entry Type",$C$4,"2 Item No.","@@"&amp;$F443,"3 Posting Date",O$9)+NL("Sum","5802 Value Entry","17 Sales Amount (Actual)","41 Source Type",$C$5,"5 Source no.",$C443,"4 Item Ledger Entry Type",$C$4,"2 Item No.","@@"&amp;$F443,"3 Posting Date",O$9)</t>
  </si>
  <si>
    <t>=-NL("Sum","5802 Value Entry","151 Cost Amount (Expected)","41 Source Type",$C$5,"5 Source No.",$C443,"4 Item Ledger Entry Type",$C$4,"2 Item No.","@@"&amp;$F443,"3 Posting Date",O$9)-NL("Sum","5802 Value Entry","43 Cost Amount (Actual)","41 Source Type",$C$5,"5 Source no.",$C443,"4 Item Ledger Entry Type",$C$4,"2 Item No.","@@"&amp;$F443,"3 Posting Date",O$9)</t>
  </si>
  <si>
    <t>=O443-Q443</t>
  </si>
  <si>
    <t>=IF(O443&lt;&gt;0,R443/O443,"")</t>
  </si>
  <si>
    <t>=NL("Sum","5802 Value Entry","150 Sales Amount (Expected)","41 Source Type",$C$5,"5 Source No.",$C443,"4 Item Ledger Entry Type",$C$4,"2 Item No.","@@"&amp;$F443,"3 Posting Date",U$9)+NL("Sum","5802 Value Entry","17 Sales Amount (Actual)","41 Source Type",$C$5,"5 Source no.",$C443,"4 Item Ledger Entry Type",$C$4,"2 Item No.","@@"&amp;$F443,"3 Posting Date",U$9)</t>
  </si>
  <si>
    <t>=-NL("Sum","5802 Value Entry","151 Cost Amount (Expected)","41 Source Type",$C$5,"5 Source No.",$C443,"4 Item Ledger Entry Type",$C$4,"2 Item No.","@@"&amp;$F443,"3 Posting Date",U$9)-NL("Sum","5802 Value Entry","43 Cost Amount (Actual)","41 Source Type",$C$5,"5 Source no.",$C443,"4 Item Ledger Entry Type",$C$4,"2 Item No.","@@"&amp;$F443,"3 Posting Date",U$9)</t>
  </si>
  <si>
    <t>=U443-W443</t>
  </si>
  <si>
    <t>=IF(U443&lt;&gt;0,X443/U443,"")</t>
  </si>
  <si>
    <t>=NL("Sum","5802 Value Entry","150 Sales Amount (Expected)","41 Source Type",$C$5,"5 Source No.",$C443,"4 Item Ledger Entry Type",$C$4,"2 Item No.","@@"&amp;$F443,"3 Posting Date",Z$9)+NL("Sum","5802 Value Entry","17 Sales Amount (Actual)","41 Source Type",$C$5,"5 Source no.",$C443,"4 Item Ledger Entry Type",$C$4,"2 Item No.","@@"&amp;$F443,"3 Posting Date",Z$9)</t>
  </si>
  <si>
    <t>=-NL("Sum","5802 Value Entry","151 Cost Amount (Expected)","41 Source Type",$C$5,"5 Source No.",$C443,"4 Item Ledger Entry Type",$C$4,"2 Item No.","@@"&amp;$F443,"3 Posting Date",Z$9)-NL("Sum","5802 Value Entry","43 Cost Amount (Actual)","41 Source Type",$C$5,"5 Source no.",$C443,"4 Item Ledger Entry Type",$C$4,"2 Item No.","@@"&amp;$F443,"3 Posting Date",Z$9)</t>
  </si>
  <si>
    <t>=Z443-AB443</t>
  </si>
  <si>
    <t>=IF(Z443&lt;&gt;0,AC443/Z443,"")</t>
  </si>
  <si>
    <t>=C443</t>
  </si>
  <si>
    <t>=NL("Sum","5802 Value Entry","150 Sales Amount (Expected)","41 Source Type",$C$5,"5 Source No.",$C444,"4 Item Ledger Entry Type",$C$4,"2 Item No.","@@"&amp;$F444,"3 Posting Date",J$9)+NL("Sum","5802 Value Entry","17 Sales Amount (Actual)","41 Source Type",$C$5,"5 Source no.",$C444,"4 Item Ledger Entry Type",$C$4,"2 Item No.","@@"&amp;$F444,"3 Posting Date",J$9)</t>
  </si>
  <si>
    <t>=-NL("Sum","5802 Value Entry","151 Cost Amount (Expected)","41 Source Type",$C$5,"5 Source No.",$C444,"4 Item Ledger Entry Type",$C$4,"2 Item No.","@@"&amp;$F444,"3 Posting Date",J$9)-NL("Sum","5802 Value Entry","43 Cost Amount (Actual)","41 Source Type",$C$5,"5 Source no.",$C444,"4 Item Ledger Entry Type",$C$4,"2 Item No.","@@"&amp;$F444,"3 Posting Date",J$9)</t>
  </si>
  <si>
    <t>=J444-L444</t>
  </si>
  <si>
    <t>=IF(J444&lt;&gt;0,M444/J444,"")</t>
  </si>
  <si>
    <t>=NL("Sum","5802 Value Entry","150 Sales Amount (Expected)","41 Source Type",$C$5,"5 Source No.",$C444,"4 Item Ledger Entry Type",$C$4,"2 Item No.","@@"&amp;$F444,"3 Posting Date",O$9)+NL("Sum","5802 Value Entry","17 Sales Amount (Actual)","41 Source Type",$C$5,"5 Source no.",$C444,"4 Item Ledger Entry Type",$C$4,"2 Item No.","@@"&amp;$F444,"3 Posting Date",O$9)</t>
  </si>
  <si>
    <t>=-NL("Sum","5802 Value Entry","151 Cost Amount (Expected)","41 Source Type",$C$5,"5 Source No.",$C444,"4 Item Ledger Entry Type",$C$4,"2 Item No.","@@"&amp;$F444,"3 Posting Date",O$9)-NL("Sum","5802 Value Entry","43 Cost Amount (Actual)","41 Source Type",$C$5,"5 Source no.",$C444,"4 Item Ledger Entry Type",$C$4,"2 Item No.","@@"&amp;$F444,"3 Posting Date",O$9)</t>
  </si>
  <si>
    <t>=O444-Q444</t>
  </si>
  <si>
    <t>=IF(O444&lt;&gt;0,R444/O444,"")</t>
  </si>
  <si>
    <t>=NL("Sum","5802 Value Entry","150 Sales Amount (Expected)","41 Source Type",$C$5,"5 Source No.",$C444,"4 Item Ledger Entry Type",$C$4,"2 Item No.","@@"&amp;$F444,"3 Posting Date",U$9)+NL("Sum","5802 Value Entry","17 Sales Amount (Actual)","41 Source Type",$C$5,"5 Source no.",$C444,"4 Item Ledger Entry Type",$C$4,"2 Item No.","@@"&amp;$F444,"3 Posting Date",U$9)</t>
  </si>
  <si>
    <t>=-NL("Sum","5802 Value Entry","151 Cost Amount (Expected)","41 Source Type",$C$5,"5 Source No.",$C444,"4 Item Ledger Entry Type",$C$4,"2 Item No.","@@"&amp;$F444,"3 Posting Date",U$9)-NL("Sum","5802 Value Entry","43 Cost Amount (Actual)","41 Source Type",$C$5,"5 Source no.",$C444,"4 Item Ledger Entry Type",$C$4,"2 Item No.","@@"&amp;$F444,"3 Posting Date",U$9)</t>
  </si>
  <si>
    <t>=U444-W444</t>
  </si>
  <si>
    <t>=IF(U444&lt;&gt;0,X444/U444,"")</t>
  </si>
  <si>
    <t>=NL("Sum","5802 Value Entry","150 Sales Amount (Expected)","41 Source Type",$C$5,"5 Source No.",$C444,"4 Item Ledger Entry Type",$C$4,"2 Item No.","@@"&amp;$F444,"3 Posting Date",Z$9)+NL("Sum","5802 Value Entry","17 Sales Amount (Actual)","41 Source Type",$C$5,"5 Source no.",$C444,"4 Item Ledger Entry Type",$C$4,"2 Item No.","@@"&amp;$F444,"3 Posting Date",Z$9)</t>
  </si>
  <si>
    <t>=-NL("Sum","5802 Value Entry","151 Cost Amount (Expected)","41 Source Type",$C$5,"5 Source No.",$C444,"4 Item Ledger Entry Type",$C$4,"2 Item No.","@@"&amp;$F444,"3 Posting Date",Z$9)-NL("Sum","5802 Value Entry","43 Cost Amount (Actual)","41 Source Type",$C$5,"5 Source no.",$C444,"4 Item Ledger Entry Type",$C$4,"2 Item No.","@@"&amp;$F444,"3 Posting Date",Z$9)</t>
  </si>
  <si>
    <t>=Z444-AB444</t>
  </si>
  <si>
    <t>=IF(Z444&lt;&gt;0,AC444/Z444,"")</t>
  </si>
  <si>
    <t>=C444</t>
  </si>
  <si>
    <t>=NL("Sum","5802 Value Entry","150 Sales Amount (Expected)","41 Source Type",$C$5,"5 Source No.",$C445,"4 Item Ledger Entry Type",$C$4,"2 Item No.","@@"&amp;$F445,"3 Posting Date",J$9)+NL("Sum","5802 Value Entry","17 Sales Amount (Actual)","41 Source Type",$C$5,"5 Source no.",$C445,"4 Item Ledger Entry Type",$C$4,"2 Item No.","@@"&amp;$F445,"3 Posting Date",J$9)</t>
  </si>
  <si>
    <t>=-NL("Sum","5802 Value Entry","151 Cost Amount (Expected)","41 Source Type",$C$5,"5 Source No.",$C445,"4 Item Ledger Entry Type",$C$4,"2 Item No.","@@"&amp;$F445,"3 Posting Date",J$9)-NL("Sum","5802 Value Entry","43 Cost Amount (Actual)","41 Source Type",$C$5,"5 Source no.",$C445,"4 Item Ledger Entry Type",$C$4,"2 Item No.","@@"&amp;$F445,"3 Posting Date",J$9)</t>
  </si>
  <si>
    <t>=J445-L445</t>
  </si>
  <si>
    <t>=IF(J445&lt;&gt;0,M445/J445,"")</t>
  </si>
  <si>
    <t>=NL("Sum","5802 Value Entry","150 Sales Amount (Expected)","41 Source Type",$C$5,"5 Source No.",$C445,"4 Item Ledger Entry Type",$C$4,"2 Item No.","@@"&amp;$F445,"3 Posting Date",O$9)+NL("Sum","5802 Value Entry","17 Sales Amount (Actual)","41 Source Type",$C$5,"5 Source no.",$C445,"4 Item Ledger Entry Type",$C$4,"2 Item No.","@@"&amp;$F445,"3 Posting Date",O$9)</t>
  </si>
  <si>
    <t>=-NL("Sum","5802 Value Entry","151 Cost Amount (Expected)","41 Source Type",$C$5,"5 Source No.",$C445,"4 Item Ledger Entry Type",$C$4,"2 Item No.","@@"&amp;$F445,"3 Posting Date",O$9)-NL("Sum","5802 Value Entry","43 Cost Amount (Actual)","41 Source Type",$C$5,"5 Source no.",$C445,"4 Item Ledger Entry Type",$C$4,"2 Item No.","@@"&amp;$F445,"3 Posting Date",O$9)</t>
  </si>
  <si>
    <t>=O445-Q445</t>
  </si>
  <si>
    <t>=IF(O445&lt;&gt;0,R445/O445,"")</t>
  </si>
  <si>
    <t>=NL("Sum","5802 Value Entry","150 Sales Amount (Expected)","41 Source Type",$C$5,"5 Source No.",$C445,"4 Item Ledger Entry Type",$C$4,"2 Item No.","@@"&amp;$F445,"3 Posting Date",U$9)+NL("Sum","5802 Value Entry","17 Sales Amount (Actual)","41 Source Type",$C$5,"5 Source no.",$C445,"4 Item Ledger Entry Type",$C$4,"2 Item No.","@@"&amp;$F445,"3 Posting Date",U$9)</t>
  </si>
  <si>
    <t>=-NL("Sum","5802 Value Entry","151 Cost Amount (Expected)","41 Source Type",$C$5,"5 Source No.",$C445,"4 Item Ledger Entry Type",$C$4,"2 Item No.","@@"&amp;$F445,"3 Posting Date",U$9)-NL("Sum","5802 Value Entry","43 Cost Amount (Actual)","41 Source Type",$C$5,"5 Source no.",$C445,"4 Item Ledger Entry Type",$C$4,"2 Item No.","@@"&amp;$F445,"3 Posting Date",U$9)</t>
  </si>
  <si>
    <t>=U445-W445</t>
  </si>
  <si>
    <t>=IF(U445&lt;&gt;0,X445/U445,"")</t>
  </si>
  <si>
    <t>=NL("Sum","5802 Value Entry","150 Sales Amount (Expected)","41 Source Type",$C$5,"5 Source No.",$C445,"4 Item Ledger Entry Type",$C$4,"2 Item No.","@@"&amp;$F445,"3 Posting Date",Z$9)+NL("Sum","5802 Value Entry","17 Sales Amount (Actual)","41 Source Type",$C$5,"5 Source no.",$C445,"4 Item Ledger Entry Type",$C$4,"2 Item No.","@@"&amp;$F445,"3 Posting Date",Z$9)</t>
  </si>
  <si>
    <t>=-NL("Sum","5802 Value Entry","151 Cost Amount (Expected)","41 Source Type",$C$5,"5 Source No.",$C445,"4 Item Ledger Entry Type",$C$4,"2 Item No.","@@"&amp;$F445,"3 Posting Date",Z$9)-NL("Sum","5802 Value Entry","43 Cost Amount (Actual)","41 Source Type",$C$5,"5 Source no.",$C445,"4 Item Ledger Entry Type",$C$4,"2 Item No.","@@"&amp;$F445,"3 Posting Date",Z$9)</t>
  </si>
  <si>
    <t>=Z445-AB445</t>
  </si>
  <si>
    <t>=IF(Z445&lt;&gt;0,AC445/Z445,"")</t>
  </si>
  <si>
    <t>=C445</t>
  </si>
  <si>
    <t>=NL("Sum","5802 Value Entry","150 Sales Amount (Expected)","41 Source Type",$C$5,"5 Source No.",$C446,"4 Item Ledger Entry Type",$C$4,"2 Item No.","@@"&amp;$F446,"3 Posting Date",J$9)+NL("Sum","5802 Value Entry","17 Sales Amount (Actual)","41 Source Type",$C$5,"5 Source no.",$C446,"4 Item Ledger Entry Type",$C$4,"2 Item No.","@@"&amp;$F446,"3 Posting Date",J$9)</t>
  </si>
  <si>
    <t>=-NL("Sum","5802 Value Entry","151 Cost Amount (Expected)","41 Source Type",$C$5,"5 Source No.",$C446,"4 Item Ledger Entry Type",$C$4,"2 Item No.","@@"&amp;$F446,"3 Posting Date",J$9)-NL("Sum","5802 Value Entry","43 Cost Amount (Actual)","41 Source Type",$C$5,"5 Source no.",$C446,"4 Item Ledger Entry Type",$C$4,"2 Item No.","@@"&amp;$F446,"3 Posting Date",J$9)</t>
  </si>
  <si>
    <t>=J446-L446</t>
  </si>
  <si>
    <t>=IF(J446&lt;&gt;0,M446/J446,"")</t>
  </si>
  <si>
    <t>=NL("Sum","5802 Value Entry","150 Sales Amount (Expected)","41 Source Type",$C$5,"5 Source No.",$C446,"4 Item Ledger Entry Type",$C$4,"2 Item No.","@@"&amp;$F446,"3 Posting Date",O$9)+NL("Sum","5802 Value Entry","17 Sales Amount (Actual)","41 Source Type",$C$5,"5 Source no.",$C446,"4 Item Ledger Entry Type",$C$4,"2 Item No.","@@"&amp;$F446,"3 Posting Date",O$9)</t>
  </si>
  <si>
    <t>=-NL("Sum","5802 Value Entry","151 Cost Amount (Expected)","41 Source Type",$C$5,"5 Source No.",$C446,"4 Item Ledger Entry Type",$C$4,"2 Item No.","@@"&amp;$F446,"3 Posting Date",O$9)-NL("Sum","5802 Value Entry","43 Cost Amount (Actual)","41 Source Type",$C$5,"5 Source no.",$C446,"4 Item Ledger Entry Type",$C$4,"2 Item No.","@@"&amp;$F446,"3 Posting Date",O$9)</t>
  </si>
  <si>
    <t>=O446-Q446</t>
  </si>
  <si>
    <t>=IF(O446&lt;&gt;0,R446/O446,"")</t>
  </si>
  <si>
    <t>=NL("Sum","5802 Value Entry","150 Sales Amount (Expected)","41 Source Type",$C$5,"5 Source No.",$C446,"4 Item Ledger Entry Type",$C$4,"2 Item No.","@@"&amp;$F446,"3 Posting Date",U$9)+NL("Sum","5802 Value Entry","17 Sales Amount (Actual)","41 Source Type",$C$5,"5 Source no.",$C446,"4 Item Ledger Entry Type",$C$4,"2 Item No.","@@"&amp;$F446,"3 Posting Date",U$9)</t>
  </si>
  <si>
    <t>=-NL("Sum","5802 Value Entry","151 Cost Amount (Expected)","41 Source Type",$C$5,"5 Source No.",$C446,"4 Item Ledger Entry Type",$C$4,"2 Item No.","@@"&amp;$F446,"3 Posting Date",U$9)-NL("Sum","5802 Value Entry","43 Cost Amount (Actual)","41 Source Type",$C$5,"5 Source no.",$C446,"4 Item Ledger Entry Type",$C$4,"2 Item No.","@@"&amp;$F446,"3 Posting Date",U$9)</t>
  </si>
  <si>
    <t>=U446-W446</t>
  </si>
  <si>
    <t>=IF(U446&lt;&gt;0,X446/U446,"")</t>
  </si>
  <si>
    <t>=NL("Sum","5802 Value Entry","150 Sales Amount (Expected)","41 Source Type",$C$5,"5 Source No.",$C446,"4 Item Ledger Entry Type",$C$4,"2 Item No.","@@"&amp;$F446,"3 Posting Date",Z$9)+NL("Sum","5802 Value Entry","17 Sales Amount (Actual)","41 Source Type",$C$5,"5 Source no.",$C446,"4 Item Ledger Entry Type",$C$4,"2 Item No.","@@"&amp;$F446,"3 Posting Date",Z$9)</t>
  </si>
  <si>
    <t>=-NL("Sum","5802 Value Entry","151 Cost Amount (Expected)","41 Source Type",$C$5,"5 Source No.",$C446,"4 Item Ledger Entry Type",$C$4,"2 Item No.","@@"&amp;$F446,"3 Posting Date",Z$9)-NL("Sum","5802 Value Entry","43 Cost Amount (Actual)","41 Source Type",$C$5,"5 Source no.",$C446,"4 Item Ledger Entry Type",$C$4,"2 Item No.","@@"&amp;$F446,"3 Posting Date",Z$9)</t>
  </si>
  <si>
    <t>=Z446-AB446</t>
  </si>
  <si>
    <t>=IF(Z446&lt;&gt;0,AC446/Z446,"")</t>
  </si>
  <si>
    <t>=C446</t>
  </si>
  <si>
    <t>=NL("Sum","5802 Value Entry","150 Sales Amount (Expected)","41 Source Type",$C$5,"5 Source No.",$C447,"4 Item Ledger Entry Type",$C$4,"2 Item No.","@@"&amp;$F447,"3 Posting Date",J$9)+NL("Sum","5802 Value Entry","17 Sales Amount (Actual)","41 Source Type",$C$5,"5 Source no.",$C447,"4 Item Ledger Entry Type",$C$4,"2 Item No.","@@"&amp;$F447,"3 Posting Date",J$9)</t>
  </si>
  <si>
    <t>=-NL("Sum","5802 Value Entry","151 Cost Amount (Expected)","41 Source Type",$C$5,"5 Source No.",$C447,"4 Item Ledger Entry Type",$C$4,"2 Item No.","@@"&amp;$F447,"3 Posting Date",J$9)-NL("Sum","5802 Value Entry","43 Cost Amount (Actual)","41 Source Type",$C$5,"5 Source no.",$C447,"4 Item Ledger Entry Type",$C$4,"2 Item No.","@@"&amp;$F447,"3 Posting Date",J$9)</t>
  </si>
  <si>
    <t>=J447-L447</t>
  </si>
  <si>
    <t>=IF(J447&lt;&gt;0,M447/J447,"")</t>
  </si>
  <si>
    <t>=NL("Sum","5802 Value Entry","150 Sales Amount (Expected)","41 Source Type",$C$5,"5 Source No.",$C447,"4 Item Ledger Entry Type",$C$4,"2 Item No.","@@"&amp;$F447,"3 Posting Date",O$9)+NL("Sum","5802 Value Entry","17 Sales Amount (Actual)","41 Source Type",$C$5,"5 Source no.",$C447,"4 Item Ledger Entry Type",$C$4,"2 Item No.","@@"&amp;$F447,"3 Posting Date",O$9)</t>
  </si>
  <si>
    <t>=-NL("Sum","5802 Value Entry","151 Cost Amount (Expected)","41 Source Type",$C$5,"5 Source No.",$C447,"4 Item Ledger Entry Type",$C$4,"2 Item No.","@@"&amp;$F447,"3 Posting Date",O$9)-NL("Sum","5802 Value Entry","43 Cost Amount (Actual)","41 Source Type",$C$5,"5 Source no.",$C447,"4 Item Ledger Entry Type",$C$4,"2 Item No.","@@"&amp;$F447,"3 Posting Date",O$9)</t>
  </si>
  <si>
    <t>=O447-Q447</t>
  </si>
  <si>
    <t>=IF(O447&lt;&gt;0,R447/O447,"")</t>
  </si>
  <si>
    <t>=NL("Sum","5802 Value Entry","150 Sales Amount (Expected)","41 Source Type",$C$5,"5 Source No.",$C447,"4 Item Ledger Entry Type",$C$4,"2 Item No.","@@"&amp;$F447,"3 Posting Date",U$9)+NL("Sum","5802 Value Entry","17 Sales Amount (Actual)","41 Source Type",$C$5,"5 Source no.",$C447,"4 Item Ledger Entry Type",$C$4,"2 Item No.","@@"&amp;$F447,"3 Posting Date",U$9)</t>
  </si>
  <si>
    <t>=-NL("Sum","5802 Value Entry","151 Cost Amount (Expected)","41 Source Type",$C$5,"5 Source No.",$C447,"4 Item Ledger Entry Type",$C$4,"2 Item No.","@@"&amp;$F447,"3 Posting Date",U$9)-NL("Sum","5802 Value Entry","43 Cost Amount (Actual)","41 Source Type",$C$5,"5 Source no.",$C447,"4 Item Ledger Entry Type",$C$4,"2 Item No.","@@"&amp;$F447,"3 Posting Date",U$9)</t>
  </si>
  <si>
    <t>=U447-W447</t>
  </si>
  <si>
    <t>=IF(U447&lt;&gt;0,X447/U447,"")</t>
  </si>
  <si>
    <t>=NL("Sum","5802 Value Entry","150 Sales Amount (Expected)","41 Source Type",$C$5,"5 Source No.",$C447,"4 Item Ledger Entry Type",$C$4,"2 Item No.","@@"&amp;$F447,"3 Posting Date",Z$9)+NL("Sum","5802 Value Entry","17 Sales Amount (Actual)","41 Source Type",$C$5,"5 Source no.",$C447,"4 Item Ledger Entry Type",$C$4,"2 Item No.","@@"&amp;$F447,"3 Posting Date",Z$9)</t>
  </si>
  <si>
    <t>=-NL("Sum","5802 Value Entry","151 Cost Amount (Expected)","41 Source Type",$C$5,"5 Source No.",$C447,"4 Item Ledger Entry Type",$C$4,"2 Item No.","@@"&amp;$F447,"3 Posting Date",Z$9)-NL("Sum","5802 Value Entry","43 Cost Amount (Actual)","41 Source Type",$C$5,"5 Source no.",$C447,"4 Item Ledger Entry Type",$C$4,"2 Item No.","@@"&amp;$F447,"3 Posting Date",Z$9)</t>
  </si>
  <si>
    <t>=Z447-AB447</t>
  </si>
  <si>
    <t>=IF(Z447&lt;&gt;0,AC447/Z447,"")</t>
  </si>
  <si>
    <t>=C447</t>
  </si>
  <si>
    <t>=NL("Sum","5802 Value Entry","150 Sales Amount (Expected)","41 Source Type",$C$5,"5 Source No.",$C448,"4 Item Ledger Entry Type",$C$4,"2 Item No.","@@"&amp;$F448,"3 Posting Date",J$9)+NL("Sum","5802 Value Entry","17 Sales Amount (Actual)","41 Source Type",$C$5,"5 Source no.",$C448,"4 Item Ledger Entry Type",$C$4,"2 Item No.","@@"&amp;$F448,"3 Posting Date",J$9)</t>
  </si>
  <si>
    <t>=-NL("Sum","5802 Value Entry","151 Cost Amount (Expected)","41 Source Type",$C$5,"5 Source No.",$C448,"4 Item Ledger Entry Type",$C$4,"2 Item No.","@@"&amp;$F448,"3 Posting Date",J$9)-NL("Sum","5802 Value Entry","43 Cost Amount (Actual)","41 Source Type",$C$5,"5 Source no.",$C448,"4 Item Ledger Entry Type",$C$4,"2 Item No.","@@"&amp;$F448,"3 Posting Date",J$9)</t>
  </si>
  <si>
    <t>=J448-L448</t>
  </si>
  <si>
    <t>=IF(J448&lt;&gt;0,M448/J448,"")</t>
  </si>
  <si>
    <t>=NL("Sum","5802 Value Entry","150 Sales Amount (Expected)","41 Source Type",$C$5,"5 Source No.",$C448,"4 Item Ledger Entry Type",$C$4,"2 Item No.","@@"&amp;$F448,"3 Posting Date",O$9)+NL("Sum","5802 Value Entry","17 Sales Amount (Actual)","41 Source Type",$C$5,"5 Source no.",$C448,"4 Item Ledger Entry Type",$C$4,"2 Item No.","@@"&amp;$F448,"3 Posting Date",O$9)</t>
  </si>
  <si>
    <t>=-NL("Sum","5802 Value Entry","151 Cost Amount (Expected)","41 Source Type",$C$5,"5 Source No.",$C448,"4 Item Ledger Entry Type",$C$4,"2 Item No.","@@"&amp;$F448,"3 Posting Date",O$9)-NL("Sum","5802 Value Entry","43 Cost Amount (Actual)","41 Source Type",$C$5,"5 Source no.",$C448,"4 Item Ledger Entry Type",$C$4,"2 Item No.","@@"&amp;$F448,"3 Posting Date",O$9)</t>
  </si>
  <si>
    <t>=O448-Q448</t>
  </si>
  <si>
    <t>=IF(O448&lt;&gt;0,R448/O448,"")</t>
  </si>
  <si>
    <t>=NL("Sum","5802 Value Entry","150 Sales Amount (Expected)","41 Source Type",$C$5,"5 Source No.",$C448,"4 Item Ledger Entry Type",$C$4,"2 Item No.","@@"&amp;$F448,"3 Posting Date",U$9)+NL("Sum","5802 Value Entry","17 Sales Amount (Actual)","41 Source Type",$C$5,"5 Source no.",$C448,"4 Item Ledger Entry Type",$C$4,"2 Item No.","@@"&amp;$F448,"3 Posting Date",U$9)</t>
  </si>
  <si>
    <t>=-NL("Sum","5802 Value Entry","151 Cost Amount (Expected)","41 Source Type",$C$5,"5 Source No.",$C448,"4 Item Ledger Entry Type",$C$4,"2 Item No.","@@"&amp;$F448,"3 Posting Date",U$9)-NL("Sum","5802 Value Entry","43 Cost Amount (Actual)","41 Source Type",$C$5,"5 Source no.",$C448,"4 Item Ledger Entry Type",$C$4,"2 Item No.","@@"&amp;$F448,"3 Posting Date",U$9)</t>
  </si>
  <si>
    <t>=U448-W448</t>
  </si>
  <si>
    <t>=IF(U448&lt;&gt;0,X448/U448,"")</t>
  </si>
  <si>
    <t>=NL("Sum","5802 Value Entry","150 Sales Amount (Expected)","41 Source Type",$C$5,"5 Source No.",$C448,"4 Item Ledger Entry Type",$C$4,"2 Item No.","@@"&amp;$F448,"3 Posting Date",Z$9)+NL("Sum","5802 Value Entry","17 Sales Amount (Actual)","41 Source Type",$C$5,"5 Source no.",$C448,"4 Item Ledger Entry Type",$C$4,"2 Item No.","@@"&amp;$F448,"3 Posting Date",Z$9)</t>
  </si>
  <si>
    <t>=-NL("Sum","5802 Value Entry","151 Cost Amount (Expected)","41 Source Type",$C$5,"5 Source No.",$C448,"4 Item Ledger Entry Type",$C$4,"2 Item No.","@@"&amp;$F448,"3 Posting Date",Z$9)-NL("Sum","5802 Value Entry","43 Cost Amount (Actual)","41 Source Type",$C$5,"5 Source no.",$C448,"4 Item Ledger Entry Type",$C$4,"2 Item No.","@@"&amp;$F448,"3 Posting Date",Z$9)</t>
  </si>
  <si>
    <t>=Z448-AB448</t>
  </si>
  <si>
    <t>=IF(Z448&lt;&gt;0,AC448/Z448,"")</t>
  </si>
  <si>
    <t>=C448</t>
  </si>
  <si>
    <t>=NL("Sum","5802 Value Entry","150 Sales Amount (Expected)","41 Source Type",$C$5,"5 Source No.",$C449,"4 Item Ledger Entry Type",$C$4,"2 Item No.","@@"&amp;$F449,"3 Posting Date",J$9)+NL("Sum","5802 Value Entry","17 Sales Amount (Actual)","41 Source Type",$C$5,"5 Source no.",$C449,"4 Item Ledger Entry Type",$C$4,"2 Item No.","@@"&amp;$F449,"3 Posting Date",J$9)</t>
  </si>
  <si>
    <t>=-NL("Sum","5802 Value Entry","151 Cost Amount (Expected)","41 Source Type",$C$5,"5 Source No.",$C449,"4 Item Ledger Entry Type",$C$4,"2 Item No.","@@"&amp;$F449,"3 Posting Date",J$9)-NL("Sum","5802 Value Entry","43 Cost Amount (Actual)","41 Source Type",$C$5,"5 Source no.",$C449,"4 Item Ledger Entry Type",$C$4,"2 Item No.","@@"&amp;$F449,"3 Posting Date",J$9)</t>
  </si>
  <si>
    <t>=J449-L449</t>
  </si>
  <si>
    <t>=IF(J449&lt;&gt;0,M449/J449,"")</t>
  </si>
  <si>
    <t>=NL("Sum","5802 Value Entry","150 Sales Amount (Expected)","41 Source Type",$C$5,"5 Source No.",$C449,"4 Item Ledger Entry Type",$C$4,"2 Item No.","@@"&amp;$F449,"3 Posting Date",O$9)+NL("Sum","5802 Value Entry","17 Sales Amount (Actual)","41 Source Type",$C$5,"5 Source no.",$C449,"4 Item Ledger Entry Type",$C$4,"2 Item No.","@@"&amp;$F449,"3 Posting Date",O$9)</t>
  </si>
  <si>
    <t>=-NL("Sum","5802 Value Entry","151 Cost Amount (Expected)","41 Source Type",$C$5,"5 Source No.",$C449,"4 Item Ledger Entry Type",$C$4,"2 Item No.","@@"&amp;$F449,"3 Posting Date",O$9)-NL("Sum","5802 Value Entry","43 Cost Amount (Actual)","41 Source Type",$C$5,"5 Source no.",$C449,"4 Item Ledger Entry Type",$C$4,"2 Item No.","@@"&amp;$F449,"3 Posting Date",O$9)</t>
  </si>
  <si>
    <t>=O449-Q449</t>
  </si>
  <si>
    <t>=IF(O449&lt;&gt;0,R449/O449,"")</t>
  </si>
  <si>
    <t>=NL("Sum","5802 Value Entry","150 Sales Amount (Expected)","41 Source Type",$C$5,"5 Source No.",$C449,"4 Item Ledger Entry Type",$C$4,"2 Item No.","@@"&amp;$F449,"3 Posting Date",U$9)+NL("Sum","5802 Value Entry","17 Sales Amount (Actual)","41 Source Type",$C$5,"5 Source no.",$C449,"4 Item Ledger Entry Type",$C$4,"2 Item No.","@@"&amp;$F449,"3 Posting Date",U$9)</t>
  </si>
  <si>
    <t>=-NL("Sum","5802 Value Entry","151 Cost Amount (Expected)","41 Source Type",$C$5,"5 Source No.",$C449,"4 Item Ledger Entry Type",$C$4,"2 Item No.","@@"&amp;$F449,"3 Posting Date",U$9)-NL("Sum","5802 Value Entry","43 Cost Amount (Actual)","41 Source Type",$C$5,"5 Source no.",$C449,"4 Item Ledger Entry Type",$C$4,"2 Item No.","@@"&amp;$F449,"3 Posting Date",U$9)</t>
  </si>
  <si>
    <t>=U449-W449</t>
  </si>
  <si>
    <t>=IF(U449&lt;&gt;0,X449/U449,"")</t>
  </si>
  <si>
    <t>=NL("Sum","5802 Value Entry","150 Sales Amount (Expected)","41 Source Type",$C$5,"5 Source No.",$C449,"4 Item Ledger Entry Type",$C$4,"2 Item No.","@@"&amp;$F449,"3 Posting Date",Z$9)+NL("Sum","5802 Value Entry","17 Sales Amount (Actual)","41 Source Type",$C$5,"5 Source no.",$C449,"4 Item Ledger Entry Type",$C$4,"2 Item No.","@@"&amp;$F449,"3 Posting Date",Z$9)</t>
  </si>
  <si>
    <t>=-NL("Sum","5802 Value Entry","151 Cost Amount (Expected)","41 Source Type",$C$5,"5 Source No.",$C449,"4 Item Ledger Entry Type",$C$4,"2 Item No.","@@"&amp;$F449,"3 Posting Date",Z$9)-NL("Sum","5802 Value Entry","43 Cost Amount (Actual)","41 Source Type",$C$5,"5 Source no.",$C449,"4 Item Ledger Entry Type",$C$4,"2 Item No.","@@"&amp;$F449,"3 Posting Date",Z$9)</t>
  </si>
  <si>
    <t>=Z449-AB449</t>
  </si>
  <si>
    <t>=IF(Z449&lt;&gt;0,AC449/Z449,"")</t>
  </si>
  <si>
    <t>=C450</t>
  </si>
  <si>
    <t>=J451-L451</t>
  </si>
  <si>
    <t>=IF(J451&lt;&gt;0,M451/J451,"")</t>
  </si>
  <si>
    <t>=O451-Q451</t>
  </si>
  <si>
    <t>=IF(O451&lt;&gt;0,R451/O451,"")</t>
  </si>
  <si>
    <t>=U451-W451</t>
  </si>
  <si>
    <t>=IF(U451&lt;&gt;0,X451/U451,"")</t>
  </si>
  <si>
    <t>=Z451-AB451</t>
  </si>
  <si>
    <t>=IF(Z451&lt;&gt;0,AC451/Z451,"")</t>
  </si>
  <si>
    <t>=C453</t>
  </si>
  <si>
    <t>=C454</t>
  </si>
  <si>
    <t>=NL("Sum","5802 Value Entry","150 Sales Amount (Expected)","41 Source Type",$C$5,"5 Source No.",$C455,"4 Item Ledger Entry Type",$C$4,"2 Item No.","@@"&amp;$F455,"3 Posting Date",J$9)+NL("Sum","5802 Value Entry","17 Sales Amount (Actual)","41 Source Type",$C$5,"5 Source no.",$C455,"4 Item Ledger Entry Type",$C$4,"2 Item No.","@@"&amp;$F455,"3 Posting Date",J$9)</t>
  </si>
  <si>
    <t>=-NL("Sum","5802 Value Entry","151 Cost Amount (Expected)","41 Source Type",$C$5,"5 Source No.",$C455,"4 Item Ledger Entry Type",$C$4,"2 Item No.","@@"&amp;$F455,"3 Posting Date",J$9)-NL("Sum","5802 Value Entry","43 Cost Amount (Actual)","41 Source Type",$C$5,"5 Source no.",$C455,"4 Item Ledger Entry Type",$C$4,"2 Item No.","@@"&amp;$F455,"3 Posting Date",J$9)</t>
  </si>
  <si>
    <t>=J455-L455</t>
  </si>
  <si>
    <t>=IF(J455&lt;&gt;0,M455/J455,"")</t>
  </si>
  <si>
    <t>=NL("Sum","5802 Value Entry","150 Sales Amount (Expected)","41 Source Type",$C$5,"5 Source No.",$C455,"4 Item Ledger Entry Type",$C$4,"2 Item No.","@@"&amp;$F455,"3 Posting Date",O$9)+NL("Sum","5802 Value Entry","17 Sales Amount (Actual)","41 Source Type",$C$5,"5 Source no.",$C455,"4 Item Ledger Entry Type",$C$4,"2 Item No.","@@"&amp;$F455,"3 Posting Date",O$9)</t>
  </si>
  <si>
    <t>=-NL("Sum","5802 Value Entry","151 Cost Amount (Expected)","41 Source Type",$C$5,"5 Source No.",$C455,"4 Item Ledger Entry Type",$C$4,"2 Item No.","@@"&amp;$F455,"3 Posting Date",O$9)-NL("Sum","5802 Value Entry","43 Cost Amount (Actual)","41 Source Type",$C$5,"5 Source no.",$C455,"4 Item Ledger Entry Type",$C$4,"2 Item No.","@@"&amp;$F455,"3 Posting Date",O$9)</t>
  </si>
  <si>
    <t>=O455-Q455</t>
  </si>
  <si>
    <t>=IF(O455&lt;&gt;0,R455/O455,"")</t>
  </si>
  <si>
    <t>=NL("Sum","5802 Value Entry","150 Sales Amount (Expected)","41 Source Type",$C$5,"5 Source No.",$C455,"4 Item Ledger Entry Type",$C$4,"2 Item No.","@@"&amp;$F455,"3 Posting Date",U$9)+NL("Sum","5802 Value Entry","17 Sales Amount (Actual)","41 Source Type",$C$5,"5 Source no.",$C455,"4 Item Ledger Entry Type",$C$4,"2 Item No.","@@"&amp;$F455,"3 Posting Date",U$9)</t>
  </si>
  <si>
    <t>=-NL("Sum","5802 Value Entry","151 Cost Amount (Expected)","41 Source Type",$C$5,"5 Source No.",$C455,"4 Item Ledger Entry Type",$C$4,"2 Item No.","@@"&amp;$F455,"3 Posting Date",U$9)-NL("Sum","5802 Value Entry","43 Cost Amount (Actual)","41 Source Type",$C$5,"5 Source no.",$C455,"4 Item Ledger Entry Type",$C$4,"2 Item No.","@@"&amp;$F455,"3 Posting Date",U$9)</t>
  </si>
  <si>
    <t>=U455-W455</t>
  </si>
  <si>
    <t>=IF(U455&lt;&gt;0,X455/U455,"")</t>
  </si>
  <si>
    <t>=NL("Sum","5802 Value Entry","150 Sales Amount (Expected)","41 Source Type",$C$5,"5 Source No.",$C455,"4 Item Ledger Entry Type",$C$4,"2 Item No.","@@"&amp;$F455,"3 Posting Date",Z$9)+NL("Sum","5802 Value Entry","17 Sales Amount (Actual)","41 Source Type",$C$5,"5 Source no.",$C455,"4 Item Ledger Entry Type",$C$4,"2 Item No.","@@"&amp;$F455,"3 Posting Date",Z$9)</t>
  </si>
  <si>
    <t>=-NL("Sum","5802 Value Entry","151 Cost Amount (Expected)","41 Source Type",$C$5,"5 Source No.",$C455,"4 Item Ledger Entry Type",$C$4,"2 Item No.","@@"&amp;$F455,"3 Posting Date",Z$9)-NL("Sum","5802 Value Entry","43 Cost Amount (Actual)","41 Source Type",$C$5,"5 Source no.",$C455,"4 Item Ledger Entry Type",$C$4,"2 Item No.","@@"&amp;$F455,"3 Posting Date",Z$9)</t>
  </si>
  <si>
    <t>=Z455-AB455</t>
  </si>
  <si>
    <t>=IF(Z455&lt;&gt;0,AC455/Z455,"")</t>
  </si>
  <si>
    <t>=C455</t>
  </si>
  <si>
    <t>=NL("Sum","5802 Value Entry","150 Sales Amount (Expected)","41 Source Type",$C$5,"5 Source No.",$C456,"4 Item Ledger Entry Type",$C$4,"2 Item No.","@@"&amp;$F456,"3 Posting Date",J$9)+NL("Sum","5802 Value Entry","17 Sales Amount (Actual)","41 Source Type",$C$5,"5 Source no.",$C456,"4 Item Ledger Entry Type",$C$4,"2 Item No.","@@"&amp;$F456,"3 Posting Date",J$9)</t>
  </si>
  <si>
    <t>=-NL("Sum","5802 Value Entry","151 Cost Amount (Expected)","41 Source Type",$C$5,"5 Source No.",$C456,"4 Item Ledger Entry Type",$C$4,"2 Item No.","@@"&amp;$F456,"3 Posting Date",J$9)-NL("Sum","5802 Value Entry","43 Cost Amount (Actual)","41 Source Type",$C$5,"5 Source no.",$C456,"4 Item Ledger Entry Type",$C$4,"2 Item No.","@@"&amp;$F456,"3 Posting Date",J$9)</t>
  </si>
  <si>
    <t>=J456-L456</t>
  </si>
  <si>
    <t>=IF(J456&lt;&gt;0,M456/J456,"")</t>
  </si>
  <si>
    <t>=NL("Sum","5802 Value Entry","150 Sales Amount (Expected)","41 Source Type",$C$5,"5 Source No.",$C456,"4 Item Ledger Entry Type",$C$4,"2 Item No.","@@"&amp;$F456,"3 Posting Date",O$9)+NL("Sum","5802 Value Entry","17 Sales Amount (Actual)","41 Source Type",$C$5,"5 Source no.",$C456,"4 Item Ledger Entry Type",$C$4,"2 Item No.","@@"&amp;$F456,"3 Posting Date",O$9)</t>
  </si>
  <si>
    <t>=-NL("Sum","5802 Value Entry","151 Cost Amount (Expected)","41 Source Type",$C$5,"5 Source No.",$C456,"4 Item Ledger Entry Type",$C$4,"2 Item No.","@@"&amp;$F456,"3 Posting Date",O$9)-NL("Sum","5802 Value Entry","43 Cost Amount (Actual)","41 Source Type",$C$5,"5 Source no.",$C456,"4 Item Ledger Entry Type",$C$4,"2 Item No.","@@"&amp;$F456,"3 Posting Date",O$9)</t>
  </si>
  <si>
    <t>=O456-Q456</t>
  </si>
  <si>
    <t>=IF(O456&lt;&gt;0,R456/O456,"")</t>
  </si>
  <si>
    <t>=NL("Sum","5802 Value Entry","150 Sales Amount (Expected)","41 Source Type",$C$5,"5 Source No.",$C456,"4 Item Ledger Entry Type",$C$4,"2 Item No.","@@"&amp;$F456,"3 Posting Date",U$9)+NL("Sum","5802 Value Entry","17 Sales Amount (Actual)","41 Source Type",$C$5,"5 Source no.",$C456,"4 Item Ledger Entry Type",$C$4,"2 Item No.","@@"&amp;$F456,"3 Posting Date",U$9)</t>
  </si>
  <si>
    <t>=-NL("Sum","5802 Value Entry","151 Cost Amount (Expected)","41 Source Type",$C$5,"5 Source No.",$C456,"4 Item Ledger Entry Type",$C$4,"2 Item No.","@@"&amp;$F456,"3 Posting Date",U$9)-NL("Sum","5802 Value Entry","43 Cost Amount (Actual)","41 Source Type",$C$5,"5 Source no.",$C456,"4 Item Ledger Entry Type",$C$4,"2 Item No.","@@"&amp;$F456,"3 Posting Date",U$9)</t>
  </si>
  <si>
    <t>=U456-W456</t>
  </si>
  <si>
    <t>=IF(U456&lt;&gt;0,X456/U456,"")</t>
  </si>
  <si>
    <t>=NL("Sum","5802 Value Entry","150 Sales Amount (Expected)","41 Source Type",$C$5,"5 Source No.",$C456,"4 Item Ledger Entry Type",$C$4,"2 Item No.","@@"&amp;$F456,"3 Posting Date",Z$9)+NL("Sum","5802 Value Entry","17 Sales Amount (Actual)","41 Source Type",$C$5,"5 Source no.",$C456,"4 Item Ledger Entry Type",$C$4,"2 Item No.","@@"&amp;$F456,"3 Posting Date",Z$9)</t>
  </si>
  <si>
    <t>=-NL("Sum","5802 Value Entry","151 Cost Amount (Expected)","41 Source Type",$C$5,"5 Source No.",$C456,"4 Item Ledger Entry Type",$C$4,"2 Item No.","@@"&amp;$F456,"3 Posting Date",Z$9)-NL("Sum","5802 Value Entry","43 Cost Amount (Actual)","41 Source Type",$C$5,"5 Source no.",$C456,"4 Item Ledger Entry Type",$C$4,"2 Item No.","@@"&amp;$F456,"3 Posting Date",Z$9)</t>
  </si>
  <si>
    <t>=Z456-AB456</t>
  </si>
  <si>
    <t>=IF(Z456&lt;&gt;0,AC456/Z456,"")</t>
  </si>
  <si>
    <t>=C456</t>
  </si>
  <si>
    <t>=NL("Sum","5802 Value Entry","150 Sales Amount (Expected)","41 Source Type",$C$5,"5 Source No.",$C457,"4 Item Ledger Entry Type",$C$4,"2 Item No.","@@"&amp;$F457,"3 Posting Date",J$9)+NL("Sum","5802 Value Entry","17 Sales Amount (Actual)","41 Source Type",$C$5,"5 Source no.",$C457,"4 Item Ledger Entry Type",$C$4,"2 Item No.","@@"&amp;$F457,"3 Posting Date",J$9)</t>
  </si>
  <si>
    <t>=-NL("Sum","5802 Value Entry","151 Cost Amount (Expected)","41 Source Type",$C$5,"5 Source No.",$C457,"4 Item Ledger Entry Type",$C$4,"2 Item No.","@@"&amp;$F457,"3 Posting Date",J$9)-NL("Sum","5802 Value Entry","43 Cost Amount (Actual)","41 Source Type",$C$5,"5 Source no.",$C457,"4 Item Ledger Entry Type",$C$4,"2 Item No.","@@"&amp;$F457,"3 Posting Date",J$9)</t>
  </si>
  <si>
    <t>=J457-L457</t>
  </si>
  <si>
    <t>=IF(J457&lt;&gt;0,M457/J457,"")</t>
  </si>
  <si>
    <t>=NL("Sum","5802 Value Entry","150 Sales Amount (Expected)","41 Source Type",$C$5,"5 Source No.",$C457,"4 Item Ledger Entry Type",$C$4,"2 Item No.","@@"&amp;$F457,"3 Posting Date",O$9)+NL("Sum","5802 Value Entry","17 Sales Amount (Actual)","41 Source Type",$C$5,"5 Source no.",$C457,"4 Item Ledger Entry Type",$C$4,"2 Item No.","@@"&amp;$F457,"3 Posting Date",O$9)</t>
  </si>
  <si>
    <t>=-NL("Sum","5802 Value Entry","151 Cost Amount (Expected)","41 Source Type",$C$5,"5 Source No.",$C457,"4 Item Ledger Entry Type",$C$4,"2 Item No.","@@"&amp;$F457,"3 Posting Date",O$9)-NL("Sum","5802 Value Entry","43 Cost Amount (Actual)","41 Source Type",$C$5,"5 Source no.",$C457,"4 Item Ledger Entry Type",$C$4,"2 Item No.","@@"&amp;$F457,"3 Posting Date",O$9)</t>
  </si>
  <si>
    <t>=O457-Q457</t>
  </si>
  <si>
    <t>=IF(O457&lt;&gt;0,R457/O457,"")</t>
  </si>
  <si>
    <t>=NL("Sum","5802 Value Entry","150 Sales Amount (Expected)","41 Source Type",$C$5,"5 Source No.",$C457,"4 Item Ledger Entry Type",$C$4,"2 Item No.","@@"&amp;$F457,"3 Posting Date",U$9)+NL("Sum","5802 Value Entry","17 Sales Amount (Actual)","41 Source Type",$C$5,"5 Source no.",$C457,"4 Item Ledger Entry Type",$C$4,"2 Item No.","@@"&amp;$F457,"3 Posting Date",U$9)</t>
  </si>
  <si>
    <t>=-NL("Sum","5802 Value Entry","151 Cost Amount (Expected)","41 Source Type",$C$5,"5 Source No.",$C457,"4 Item Ledger Entry Type",$C$4,"2 Item No.","@@"&amp;$F457,"3 Posting Date",U$9)-NL("Sum","5802 Value Entry","43 Cost Amount (Actual)","41 Source Type",$C$5,"5 Source no.",$C457,"4 Item Ledger Entry Type",$C$4,"2 Item No.","@@"&amp;$F457,"3 Posting Date",U$9)</t>
  </si>
  <si>
    <t>=U457-W457</t>
  </si>
  <si>
    <t>=IF(U457&lt;&gt;0,X457/U457,"")</t>
  </si>
  <si>
    <t>=NL("Sum","5802 Value Entry","150 Sales Amount (Expected)","41 Source Type",$C$5,"5 Source No.",$C457,"4 Item Ledger Entry Type",$C$4,"2 Item No.","@@"&amp;$F457,"3 Posting Date",Z$9)+NL("Sum","5802 Value Entry","17 Sales Amount (Actual)","41 Source Type",$C$5,"5 Source no.",$C457,"4 Item Ledger Entry Type",$C$4,"2 Item No.","@@"&amp;$F457,"3 Posting Date",Z$9)</t>
  </si>
  <si>
    <t>=-NL("Sum","5802 Value Entry","151 Cost Amount (Expected)","41 Source Type",$C$5,"5 Source No.",$C457,"4 Item Ledger Entry Type",$C$4,"2 Item No.","@@"&amp;$F457,"3 Posting Date",Z$9)-NL("Sum","5802 Value Entry","43 Cost Amount (Actual)","41 Source Type",$C$5,"5 Source no.",$C457,"4 Item Ledger Entry Type",$C$4,"2 Item No.","@@"&amp;$F457,"3 Posting Date",Z$9)</t>
  </si>
  <si>
    <t>=Z457-AB457</t>
  </si>
  <si>
    <t>=IF(Z457&lt;&gt;0,AC457/Z457,"")</t>
  </si>
  <si>
    <t>=C458</t>
  </si>
  <si>
    <t>=J459-L459</t>
  </si>
  <si>
    <t>=IF(J459&lt;&gt;0,M459/J459,"")</t>
  </si>
  <si>
    <t>=O459-Q459</t>
  </si>
  <si>
    <t>=IF(O459&lt;&gt;0,R459/O459,"")</t>
  </si>
  <si>
    <t>=U459-W459</t>
  </si>
  <si>
    <t>=IF(U459&lt;&gt;0,X459/U459,"")</t>
  </si>
  <si>
    <t>=Z459-AB459</t>
  </si>
  <si>
    <t>=IF(Z459&lt;&gt;0,AC459/Z459,"")</t>
  </si>
  <si>
    <t>=C461</t>
  </si>
  <si>
    <t>=C462</t>
  </si>
  <si>
    <t>=NL("Sum","5802 Value Entry","150 Sales Amount (Expected)","41 Source Type",$C$5,"5 Source No.",$C463,"4 Item Ledger Entry Type",$C$4,"2 Item No.","@@"&amp;$F463,"3 Posting Date",J$9)+NL("Sum","5802 Value Entry","17 Sales Amount (Actual)","41 Source Type",$C$5,"5 Source no.",$C463,"4 Item Ledger Entry Type",$C$4,"2 Item No.","@@"&amp;$F463,"3 Posting Date",J$9)</t>
  </si>
  <si>
    <t>=-NL("Sum","5802 Value Entry","151 Cost Amount (Expected)","41 Source Type",$C$5,"5 Source No.",$C463,"4 Item Ledger Entry Type",$C$4,"2 Item No.","@@"&amp;$F463,"3 Posting Date",J$9)-NL("Sum","5802 Value Entry","43 Cost Amount (Actual)","41 Source Type",$C$5,"5 Source no.",$C463,"4 Item Ledger Entry Type",$C$4,"2 Item No.","@@"&amp;$F463,"3 Posting Date",J$9)</t>
  </si>
  <si>
    <t>=J463-L463</t>
  </si>
  <si>
    <t>=IF(J463&lt;&gt;0,M463/J463,"")</t>
  </si>
  <si>
    <t>=NL("Sum","5802 Value Entry","150 Sales Amount (Expected)","41 Source Type",$C$5,"5 Source No.",$C463,"4 Item Ledger Entry Type",$C$4,"2 Item No.","@@"&amp;$F463,"3 Posting Date",O$9)+NL("Sum","5802 Value Entry","17 Sales Amount (Actual)","41 Source Type",$C$5,"5 Source no.",$C463,"4 Item Ledger Entry Type",$C$4,"2 Item No.","@@"&amp;$F463,"3 Posting Date",O$9)</t>
  </si>
  <si>
    <t>=-NL("Sum","5802 Value Entry","151 Cost Amount (Expected)","41 Source Type",$C$5,"5 Source No.",$C463,"4 Item Ledger Entry Type",$C$4,"2 Item No.","@@"&amp;$F463,"3 Posting Date",O$9)-NL("Sum","5802 Value Entry","43 Cost Amount (Actual)","41 Source Type",$C$5,"5 Source no.",$C463,"4 Item Ledger Entry Type",$C$4,"2 Item No.","@@"&amp;$F463,"3 Posting Date",O$9)</t>
  </si>
  <si>
    <t>=O463-Q463</t>
  </si>
  <si>
    <t>=IF(O463&lt;&gt;0,R463/O463,"")</t>
  </si>
  <si>
    <t>=NL("Sum","5802 Value Entry","150 Sales Amount (Expected)","41 Source Type",$C$5,"5 Source No.",$C463,"4 Item Ledger Entry Type",$C$4,"2 Item No.","@@"&amp;$F463,"3 Posting Date",U$9)+NL("Sum","5802 Value Entry","17 Sales Amount (Actual)","41 Source Type",$C$5,"5 Source no.",$C463,"4 Item Ledger Entry Type",$C$4,"2 Item No.","@@"&amp;$F463,"3 Posting Date",U$9)</t>
  </si>
  <si>
    <t>=-NL("Sum","5802 Value Entry","151 Cost Amount (Expected)","41 Source Type",$C$5,"5 Source No.",$C463,"4 Item Ledger Entry Type",$C$4,"2 Item No.","@@"&amp;$F463,"3 Posting Date",U$9)-NL("Sum","5802 Value Entry","43 Cost Amount (Actual)","41 Source Type",$C$5,"5 Source no.",$C463,"4 Item Ledger Entry Type",$C$4,"2 Item No.","@@"&amp;$F463,"3 Posting Date",U$9)</t>
  </si>
  <si>
    <t>=U463-W463</t>
  </si>
  <si>
    <t>=IF(U463&lt;&gt;0,X463/U463,"")</t>
  </si>
  <si>
    <t>=NL("Sum","5802 Value Entry","150 Sales Amount (Expected)","41 Source Type",$C$5,"5 Source No.",$C463,"4 Item Ledger Entry Type",$C$4,"2 Item No.","@@"&amp;$F463,"3 Posting Date",Z$9)+NL("Sum","5802 Value Entry","17 Sales Amount (Actual)","41 Source Type",$C$5,"5 Source no.",$C463,"4 Item Ledger Entry Type",$C$4,"2 Item No.","@@"&amp;$F463,"3 Posting Date",Z$9)</t>
  </si>
  <si>
    <t>=-NL("Sum","5802 Value Entry","151 Cost Amount (Expected)","41 Source Type",$C$5,"5 Source No.",$C463,"4 Item Ledger Entry Type",$C$4,"2 Item No.","@@"&amp;$F463,"3 Posting Date",Z$9)-NL("Sum","5802 Value Entry","43 Cost Amount (Actual)","41 Source Type",$C$5,"5 Source no.",$C463,"4 Item Ledger Entry Type",$C$4,"2 Item No.","@@"&amp;$F463,"3 Posting Date",Z$9)</t>
  </si>
  <si>
    <t>=Z463-AB463</t>
  </si>
  <si>
    <t>=IF(Z463&lt;&gt;0,AC463/Z463,"")</t>
  </si>
  <si>
    <t>=C463</t>
  </si>
  <si>
    <t>=NL("Sum","5802 Value Entry","150 Sales Amount (Expected)","41 Source Type",$C$5,"5 Source No.",$C464,"4 Item Ledger Entry Type",$C$4,"2 Item No.","@@"&amp;$F464,"3 Posting Date",J$9)+NL("Sum","5802 Value Entry","17 Sales Amount (Actual)","41 Source Type",$C$5,"5 Source no.",$C464,"4 Item Ledger Entry Type",$C$4,"2 Item No.","@@"&amp;$F464,"3 Posting Date",J$9)</t>
  </si>
  <si>
    <t>=-NL("Sum","5802 Value Entry","151 Cost Amount (Expected)","41 Source Type",$C$5,"5 Source No.",$C464,"4 Item Ledger Entry Type",$C$4,"2 Item No.","@@"&amp;$F464,"3 Posting Date",J$9)-NL("Sum","5802 Value Entry","43 Cost Amount (Actual)","41 Source Type",$C$5,"5 Source no.",$C464,"4 Item Ledger Entry Type",$C$4,"2 Item No.","@@"&amp;$F464,"3 Posting Date",J$9)</t>
  </si>
  <si>
    <t>=J464-L464</t>
  </si>
  <si>
    <t>=IF(J464&lt;&gt;0,M464/J464,"")</t>
  </si>
  <si>
    <t>=NL("Sum","5802 Value Entry","150 Sales Amount (Expected)","41 Source Type",$C$5,"5 Source No.",$C464,"4 Item Ledger Entry Type",$C$4,"2 Item No.","@@"&amp;$F464,"3 Posting Date",O$9)+NL("Sum","5802 Value Entry","17 Sales Amount (Actual)","41 Source Type",$C$5,"5 Source no.",$C464,"4 Item Ledger Entry Type",$C$4,"2 Item No.","@@"&amp;$F464,"3 Posting Date",O$9)</t>
  </si>
  <si>
    <t>=-NL("Sum","5802 Value Entry","151 Cost Amount (Expected)","41 Source Type",$C$5,"5 Source No.",$C464,"4 Item Ledger Entry Type",$C$4,"2 Item No.","@@"&amp;$F464,"3 Posting Date",O$9)-NL("Sum","5802 Value Entry","43 Cost Amount (Actual)","41 Source Type",$C$5,"5 Source no.",$C464,"4 Item Ledger Entry Type",$C$4,"2 Item No.","@@"&amp;$F464,"3 Posting Date",O$9)</t>
  </si>
  <si>
    <t>=O464-Q464</t>
  </si>
  <si>
    <t>=IF(O464&lt;&gt;0,R464/O464,"")</t>
  </si>
  <si>
    <t>=NL("Sum","5802 Value Entry","150 Sales Amount (Expected)","41 Source Type",$C$5,"5 Source No.",$C464,"4 Item Ledger Entry Type",$C$4,"2 Item No.","@@"&amp;$F464,"3 Posting Date",U$9)+NL("Sum","5802 Value Entry","17 Sales Amount (Actual)","41 Source Type",$C$5,"5 Source no.",$C464,"4 Item Ledger Entry Type",$C$4,"2 Item No.","@@"&amp;$F464,"3 Posting Date",U$9)</t>
  </si>
  <si>
    <t>=-NL("Sum","5802 Value Entry","151 Cost Amount (Expected)","41 Source Type",$C$5,"5 Source No.",$C464,"4 Item Ledger Entry Type",$C$4,"2 Item No.","@@"&amp;$F464,"3 Posting Date",U$9)-NL("Sum","5802 Value Entry","43 Cost Amount (Actual)","41 Source Type",$C$5,"5 Source no.",$C464,"4 Item Ledger Entry Type",$C$4,"2 Item No.","@@"&amp;$F464,"3 Posting Date",U$9)</t>
  </si>
  <si>
    <t>=U464-W464</t>
  </si>
  <si>
    <t>=IF(U464&lt;&gt;0,X464/U464,"")</t>
  </si>
  <si>
    <t>=NL("Sum","5802 Value Entry","150 Sales Amount (Expected)","41 Source Type",$C$5,"5 Source No.",$C464,"4 Item Ledger Entry Type",$C$4,"2 Item No.","@@"&amp;$F464,"3 Posting Date",Z$9)+NL("Sum","5802 Value Entry","17 Sales Amount (Actual)","41 Source Type",$C$5,"5 Source no.",$C464,"4 Item Ledger Entry Type",$C$4,"2 Item No.","@@"&amp;$F464,"3 Posting Date",Z$9)</t>
  </si>
  <si>
    <t>=-NL("Sum","5802 Value Entry","151 Cost Amount (Expected)","41 Source Type",$C$5,"5 Source No.",$C464,"4 Item Ledger Entry Type",$C$4,"2 Item No.","@@"&amp;$F464,"3 Posting Date",Z$9)-NL("Sum","5802 Value Entry","43 Cost Amount (Actual)","41 Source Type",$C$5,"5 Source no.",$C464,"4 Item Ledger Entry Type",$C$4,"2 Item No.","@@"&amp;$F464,"3 Posting Date",Z$9)</t>
  </si>
  <si>
    <t>=Z464-AB464</t>
  </si>
  <si>
    <t>=IF(Z464&lt;&gt;0,AC464/Z464,"")</t>
  </si>
  <si>
    <t>=C464</t>
  </si>
  <si>
    <t>=NL("Sum","5802 Value Entry","150 Sales Amount (Expected)","41 Source Type",$C$5,"5 Source No.",$C465,"4 Item Ledger Entry Type",$C$4,"2 Item No.","@@"&amp;$F465,"3 Posting Date",J$9)+NL("Sum","5802 Value Entry","17 Sales Amount (Actual)","41 Source Type",$C$5,"5 Source no.",$C465,"4 Item Ledger Entry Type",$C$4,"2 Item No.","@@"&amp;$F465,"3 Posting Date",J$9)</t>
  </si>
  <si>
    <t>=-NL("Sum","5802 Value Entry","151 Cost Amount (Expected)","41 Source Type",$C$5,"5 Source No.",$C465,"4 Item Ledger Entry Type",$C$4,"2 Item No.","@@"&amp;$F465,"3 Posting Date",J$9)-NL("Sum","5802 Value Entry","43 Cost Amount (Actual)","41 Source Type",$C$5,"5 Source no.",$C465,"4 Item Ledger Entry Type",$C$4,"2 Item No.","@@"&amp;$F465,"3 Posting Date",J$9)</t>
  </si>
  <si>
    <t>=J465-L465</t>
  </si>
  <si>
    <t>=IF(J465&lt;&gt;0,M465/J465,"")</t>
  </si>
  <si>
    <t>=NL("Sum","5802 Value Entry","150 Sales Amount (Expected)","41 Source Type",$C$5,"5 Source No.",$C465,"4 Item Ledger Entry Type",$C$4,"2 Item No.","@@"&amp;$F465,"3 Posting Date",O$9)+NL("Sum","5802 Value Entry","17 Sales Amount (Actual)","41 Source Type",$C$5,"5 Source no.",$C465,"4 Item Ledger Entry Type",$C$4,"2 Item No.","@@"&amp;$F465,"3 Posting Date",O$9)</t>
  </si>
  <si>
    <t>=-NL("Sum","5802 Value Entry","151 Cost Amount (Expected)","41 Source Type",$C$5,"5 Source No.",$C465,"4 Item Ledger Entry Type",$C$4,"2 Item No.","@@"&amp;$F465,"3 Posting Date",O$9)-NL("Sum","5802 Value Entry","43 Cost Amount (Actual)","41 Source Type",$C$5,"5 Source no.",$C465,"4 Item Ledger Entry Type",$C$4,"2 Item No.","@@"&amp;$F465,"3 Posting Date",O$9)</t>
  </si>
  <si>
    <t>=O465-Q465</t>
  </si>
  <si>
    <t>=IF(O465&lt;&gt;0,R465/O465,"")</t>
  </si>
  <si>
    <t>=NL("Sum","5802 Value Entry","150 Sales Amount (Expected)","41 Source Type",$C$5,"5 Source No.",$C465,"4 Item Ledger Entry Type",$C$4,"2 Item No.","@@"&amp;$F465,"3 Posting Date",U$9)+NL("Sum","5802 Value Entry","17 Sales Amount (Actual)","41 Source Type",$C$5,"5 Source no.",$C465,"4 Item Ledger Entry Type",$C$4,"2 Item No.","@@"&amp;$F465,"3 Posting Date",U$9)</t>
  </si>
  <si>
    <t>=-NL("Sum","5802 Value Entry","151 Cost Amount (Expected)","41 Source Type",$C$5,"5 Source No.",$C465,"4 Item Ledger Entry Type",$C$4,"2 Item No.","@@"&amp;$F465,"3 Posting Date",U$9)-NL("Sum","5802 Value Entry","43 Cost Amount (Actual)","41 Source Type",$C$5,"5 Source no.",$C465,"4 Item Ledger Entry Type",$C$4,"2 Item No.","@@"&amp;$F465,"3 Posting Date",U$9)</t>
  </si>
  <si>
    <t>=U465-W465</t>
  </si>
  <si>
    <t>=IF(U465&lt;&gt;0,X465/U465,"")</t>
  </si>
  <si>
    <t>=NL("Sum","5802 Value Entry","150 Sales Amount (Expected)","41 Source Type",$C$5,"5 Source No.",$C465,"4 Item Ledger Entry Type",$C$4,"2 Item No.","@@"&amp;$F465,"3 Posting Date",Z$9)+NL("Sum","5802 Value Entry","17 Sales Amount (Actual)","41 Source Type",$C$5,"5 Source no.",$C465,"4 Item Ledger Entry Type",$C$4,"2 Item No.","@@"&amp;$F465,"3 Posting Date",Z$9)</t>
  </si>
  <si>
    <t>=-NL("Sum","5802 Value Entry","151 Cost Amount (Expected)","41 Source Type",$C$5,"5 Source No.",$C465,"4 Item Ledger Entry Type",$C$4,"2 Item No.","@@"&amp;$F465,"3 Posting Date",Z$9)-NL("Sum","5802 Value Entry","43 Cost Amount (Actual)","41 Source Type",$C$5,"5 Source no.",$C465,"4 Item Ledger Entry Type",$C$4,"2 Item No.","@@"&amp;$F465,"3 Posting Date",Z$9)</t>
  </si>
  <si>
    <t>=Z465-AB465</t>
  </si>
  <si>
    <t>=IF(Z465&lt;&gt;0,AC465/Z465,"")</t>
  </si>
  <si>
    <t>=C465</t>
  </si>
  <si>
    <t>=NL("Sum","5802 Value Entry","150 Sales Amount (Expected)","41 Source Type",$C$5,"5 Source No.",$C466,"4 Item Ledger Entry Type",$C$4,"2 Item No.","@@"&amp;$F466,"3 Posting Date",J$9)+NL("Sum","5802 Value Entry","17 Sales Amount (Actual)","41 Source Type",$C$5,"5 Source no.",$C466,"4 Item Ledger Entry Type",$C$4,"2 Item No.","@@"&amp;$F466,"3 Posting Date",J$9)</t>
  </si>
  <si>
    <t>=-NL("Sum","5802 Value Entry","151 Cost Amount (Expected)","41 Source Type",$C$5,"5 Source No.",$C466,"4 Item Ledger Entry Type",$C$4,"2 Item No.","@@"&amp;$F466,"3 Posting Date",J$9)-NL("Sum","5802 Value Entry","43 Cost Amount (Actual)","41 Source Type",$C$5,"5 Source no.",$C466,"4 Item Ledger Entry Type",$C$4,"2 Item No.","@@"&amp;$F466,"3 Posting Date",J$9)</t>
  </si>
  <si>
    <t>=J466-L466</t>
  </si>
  <si>
    <t>=IF(J466&lt;&gt;0,M466/J466,"")</t>
  </si>
  <si>
    <t>=NL("Sum","5802 Value Entry","150 Sales Amount (Expected)","41 Source Type",$C$5,"5 Source No.",$C466,"4 Item Ledger Entry Type",$C$4,"2 Item No.","@@"&amp;$F466,"3 Posting Date",O$9)+NL("Sum","5802 Value Entry","17 Sales Amount (Actual)","41 Source Type",$C$5,"5 Source no.",$C466,"4 Item Ledger Entry Type",$C$4,"2 Item No.","@@"&amp;$F466,"3 Posting Date",O$9)</t>
  </si>
  <si>
    <t>=-NL("Sum","5802 Value Entry","151 Cost Amount (Expected)","41 Source Type",$C$5,"5 Source No.",$C466,"4 Item Ledger Entry Type",$C$4,"2 Item No.","@@"&amp;$F466,"3 Posting Date",O$9)-NL("Sum","5802 Value Entry","43 Cost Amount (Actual)","41 Source Type",$C$5,"5 Source no.",$C466,"4 Item Ledger Entry Type",$C$4,"2 Item No.","@@"&amp;$F466,"3 Posting Date",O$9)</t>
  </si>
  <si>
    <t>=O466-Q466</t>
  </si>
  <si>
    <t>=IF(O466&lt;&gt;0,R466/O466,"")</t>
  </si>
  <si>
    <t>=NL("Sum","5802 Value Entry","150 Sales Amount (Expected)","41 Source Type",$C$5,"5 Source No.",$C466,"4 Item Ledger Entry Type",$C$4,"2 Item No.","@@"&amp;$F466,"3 Posting Date",U$9)+NL("Sum","5802 Value Entry","17 Sales Amount (Actual)","41 Source Type",$C$5,"5 Source no.",$C466,"4 Item Ledger Entry Type",$C$4,"2 Item No.","@@"&amp;$F466,"3 Posting Date",U$9)</t>
  </si>
  <si>
    <t>=-NL("Sum","5802 Value Entry","151 Cost Amount (Expected)","41 Source Type",$C$5,"5 Source No.",$C466,"4 Item Ledger Entry Type",$C$4,"2 Item No.","@@"&amp;$F466,"3 Posting Date",U$9)-NL("Sum","5802 Value Entry","43 Cost Amount (Actual)","41 Source Type",$C$5,"5 Source no.",$C466,"4 Item Ledger Entry Type",$C$4,"2 Item No.","@@"&amp;$F466,"3 Posting Date",U$9)</t>
  </si>
  <si>
    <t>=U466-W466</t>
  </si>
  <si>
    <t>=IF(U466&lt;&gt;0,X466/U466,"")</t>
  </si>
  <si>
    <t>=NL("Sum","5802 Value Entry","150 Sales Amount (Expected)","41 Source Type",$C$5,"5 Source No.",$C466,"4 Item Ledger Entry Type",$C$4,"2 Item No.","@@"&amp;$F466,"3 Posting Date",Z$9)+NL("Sum","5802 Value Entry","17 Sales Amount (Actual)","41 Source Type",$C$5,"5 Source no.",$C466,"4 Item Ledger Entry Type",$C$4,"2 Item No.","@@"&amp;$F466,"3 Posting Date",Z$9)</t>
  </si>
  <si>
    <t>=-NL("Sum","5802 Value Entry","151 Cost Amount (Expected)","41 Source Type",$C$5,"5 Source No.",$C466,"4 Item Ledger Entry Type",$C$4,"2 Item No.","@@"&amp;$F466,"3 Posting Date",Z$9)-NL("Sum","5802 Value Entry","43 Cost Amount (Actual)","41 Source Type",$C$5,"5 Source no.",$C466,"4 Item Ledger Entry Type",$C$4,"2 Item No.","@@"&amp;$F466,"3 Posting Date",Z$9)</t>
  </si>
  <si>
    <t>=Z466-AB466</t>
  </si>
  <si>
    <t>=IF(Z466&lt;&gt;0,AC466/Z466,"")</t>
  </si>
  <si>
    <t>=C466</t>
  </si>
  <si>
    <t>=NL("Sum","5802 Value Entry","150 Sales Amount (Expected)","41 Source Type",$C$5,"5 Source No.",$C467,"4 Item Ledger Entry Type",$C$4,"2 Item No.","@@"&amp;$F467,"3 Posting Date",J$9)+NL("Sum","5802 Value Entry","17 Sales Amount (Actual)","41 Source Type",$C$5,"5 Source no.",$C467,"4 Item Ledger Entry Type",$C$4,"2 Item No.","@@"&amp;$F467,"3 Posting Date",J$9)</t>
  </si>
  <si>
    <t>=-NL("Sum","5802 Value Entry","151 Cost Amount (Expected)","41 Source Type",$C$5,"5 Source No.",$C467,"4 Item Ledger Entry Type",$C$4,"2 Item No.","@@"&amp;$F467,"3 Posting Date",J$9)-NL("Sum","5802 Value Entry","43 Cost Amount (Actual)","41 Source Type",$C$5,"5 Source no.",$C467,"4 Item Ledger Entry Type",$C$4,"2 Item No.","@@"&amp;$F467,"3 Posting Date",J$9)</t>
  </si>
  <si>
    <t>=J467-L467</t>
  </si>
  <si>
    <t>=IF(J467&lt;&gt;0,M467/J467,"")</t>
  </si>
  <si>
    <t>=NL("Sum","5802 Value Entry","150 Sales Amount (Expected)","41 Source Type",$C$5,"5 Source No.",$C467,"4 Item Ledger Entry Type",$C$4,"2 Item No.","@@"&amp;$F467,"3 Posting Date",O$9)+NL("Sum","5802 Value Entry","17 Sales Amount (Actual)","41 Source Type",$C$5,"5 Source no.",$C467,"4 Item Ledger Entry Type",$C$4,"2 Item No.","@@"&amp;$F467,"3 Posting Date",O$9)</t>
  </si>
  <si>
    <t>=-NL("Sum","5802 Value Entry","151 Cost Amount (Expected)","41 Source Type",$C$5,"5 Source No.",$C467,"4 Item Ledger Entry Type",$C$4,"2 Item No.","@@"&amp;$F467,"3 Posting Date",O$9)-NL("Sum","5802 Value Entry","43 Cost Amount (Actual)","41 Source Type",$C$5,"5 Source no.",$C467,"4 Item Ledger Entry Type",$C$4,"2 Item No.","@@"&amp;$F467,"3 Posting Date",O$9)</t>
  </si>
  <si>
    <t>=O467-Q467</t>
  </si>
  <si>
    <t>=IF(O467&lt;&gt;0,R467/O467,"")</t>
  </si>
  <si>
    <t>=NL("Sum","5802 Value Entry","150 Sales Amount (Expected)","41 Source Type",$C$5,"5 Source No.",$C467,"4 Item Ledger Entry Type",$C$4,"2 Item No.","@@"&amp;$F467,"3 Posting Date",U$9)+NL("Sum","5802 Value Entry","17 Sales Amount (Actual)","41 Source Type",$C$5,"5 Source no.",$C467,"4 Item Ledger Entry Type",$C$4,"2 Item No.","@@"&amp;$F467,"3 Posting Date",U$9)</t>
  </si>
  <si>
    <t>=-NL("Sum","5802 Value Entry","151 Cost Amount (Expected)","41 Source Type",$C$5,"5 Source No.",$C467,"4 Item Ledger Entry Type",$C$4,"2 Item No.","@@"&amp;$F467,"3 Posting Date",U$9)-NL("Sum","5802 Value Entry","43 Cost Amount (Actual)","41 Source Type",$C$5,"5 Source no.",$C467,"4 Item Ledger Entry Type",$C$4,"2 Item No.","@@"&amp;$F467,"3 Posting Date",U$9)</t>
  </si>
  <si>
    <t>=U467-W467</t>
  </si>
  <si>
    <t>=IF(U467&lt;&gt;0,X467/U467,"")</t>
  </si>
  <si>
    <t>=NL("Sum","5802 Value Entry","150 Sales Amount (Expected)","41 Source Type",$C$5,"5 Source No.",$C467,"4 Item Ledger Entry Type",$C$4,"2 Item No.","@@"&amp;$F467,"3 Posting Date",Z$9)+NL("Sum","5802 Value Entry","17 Sales Amount (Actual)","41 Source Type",$C$5,"5 Source no.",$C467,"4 Item Ledger Entry Type",$C$4,"2 Item No.","@@"&amp;$F467,"3 Posting Date",Z$9)</t>
  </si>
  <si>
    <t>=-NL("Sum","5802 Value Entry","151 Cost Amount (Expected)","41 Source Type",$C$5,"5 Source No.",$C467,"4 Item Ledger Entry Type",$C$4,"2 Item No.","@@"&amp;$F467,"3 Posting Date",Z$9)-NL("Sum","5802 Value Entry","43 Cost Amount (Actual)","41 Source Type",$C$5,"5 Source no.",$C467,"4 Item Ledger Entry Type",$C$4,"2 Item No.","@@"&amp;$F467,"3 Posting Date",Z$9)</t>
  </si>
  <si>
    <t>=Z467-AB467</t>
  </si>
  <si>
    <t>=IF(Z467&lt;&gt;0,AC467/Z467,"")</t>
  </si>
  <si>
    <t>=C467</t>
  </si>
  <si>
    <t>=NL("Sum","5802 Value Entry","150 Sales Amount (Expected)","41 Source Type",$C$5,"5 Source No.",$C468,"4 Item Ledger Entry Type",$C$4,"2 Item No.","@@"&amp;$F468,"3 Posting Date",J$9)+NL("Sum","5802 Value Entry","17 Sales Amount (Actual)","41 Source Type",$C$5,"5 Source no.",$C468,"4 Item Ledger Entry Type",$C$4,"2 Item No.","@@"&amp;$F468,"3 Posting Date",J$9)</t>
  </si>
  <si>
    <t>=-NL("Sum","5802 Value Entry","151 Cost Amount (Expected)","41 Source Type",$C$5,"5 Source No.",$C468,"4 Item Ledger Entry Type",$C$4,"2 Item No.","@@"&amp;$F468,"3 Posting Date",J$9)-NL("Sum","5802 Value Entry","43 Cost Amount (Actual)","41 Source Type",$C$5,"5 Source no.",$C468,"4 Item Ledger Entry Type",$C$4,"2 Item No.","@@"&amp;$F468,"3 Posting Date",J$9)</t>
  </si>
  <si>
    <t>=J468-L468</t>
  </si>
  <si>
    <t>=IF(J468&lt;&gt;0,M468/J468,"")</t>
  </si>
  <si>
    <t>=NL("Sum","5802 Value Entry","150 Sales Amount (Expected)","41 Source Type",$C$5,"5 Source No.",$C468,"4 Item Ledger Entry Type",$C$4,"2 Item No.","@@"&amp;$F468,"3 Posting Date",O$9)+NL("Sum","5802 Value Entry","17 Sales Amount (Actual)","41 Source Type",$C$5,"5 Source no.",$C468,"4 Item Ledger Entry Type",$C$4,"2 Item No.","@@"&amp;$F468,"3 Posting Date",O$9)</t>
  </si>
  <si>
    <t>=-NL("Sum","5802 Value Entry","151 Cost Amount (Expected)","41 Source Type",$C$5,"5 Source No.",$C468,"4 Item Ledger Entry Type",$C$4,"2 Item No.","@@"&amp;$F468,"3 Posting Date",O$9)-NL("Sum","5802 Value Entry","43 Cost Amount (Actual)","41 Source Type",$C$5,"5 Source no.",$C468,"4 Item Ledger Entry Type",$C$4,"2 Item No.","@@"&amp;$F468,"3 Posting Date",O$9)</t>
  </si>
  <si>
    <t>=O468-Q468</t>
  </si>
  <si>
    <t>=IF(O468&lt;&gt;0,R468/O468,"")</t>
  </si>
  <si>
    <t>=NL("Sum","5802 Value Entry","150 Sales Amount (Expected)","41 Source Type",$C$5,"5 Source No.",$C468,"4 Item Ledger Entry Type",$C$4,"2 Item No.","@@"&amp;$F468,"3 Posting Date",U$9)+NL("Sum","5802 Value Entry","17 Sales Amount (Actual)","41 Source Type",$C$5,"5 Source no.",$C468,"4 Item Ledger Entry Type",$C$4,"2 Item No.","@@"&amp;$F468,"3 Posting Date",U$9)</t>
  </si>
  <si>
    <t>=-NL("Sum","5802 Value Entry","151 Cost Amount (Expected)","41 Source Type",$C$5,"5 Source No.",$C468,"4 Item Ledger Entry Type",$C$4,"2 Item No.","@@"&amp;$F468,"3 Posting Date",U$9)-NL("Sum","5802 Value Entry","43 Cost Amount (Actual)","41 Source Type",$C$5,"5 Source no.",$C468,"4 Item Ledger Entry Type",$C$4,"2 Item No.","@@"&amp;$F468,"3 Posting Date",U$9)</t>
  </si>
  <si>
    <t>=U468-W468</t>
  </si>
  <si>
    <t>=IF(U468&lt;&gt;0,X468/U468,"")</t>
  </si>
  <si>
    <t>=NL("Sum","5802 Value Entry","150 Sales Amount (Expected)","41 Source Type",$C$5,"5 Source No.",$C468,"4 Item Ledger Entry Type",$C$4,"2 Item No.","@@"&amp;$F468,"3 Posting Date",Z$9)+NL("Sum","5802 Value Entry","17 Sales Amount (Actual)","41 Source Type",$C$5,"5 Source no.",$C468,"4 Item Ledger Entry Type",$C$4,"2 Item No.","@@"&amp;$F468,"3 Posting Date",Z$9)</t>
  </si>
  <si>
    <t>=-NL("Sum","5802 Value Entry","151 Cost Amount (Expected)","41 Source Type",$C$5,"5 Source No.",$C468,"4 Item Ledger Entry Type",$C$4,"2 Item No.","@@"&amp;$F468,"3 Posting Date",Z$9)-NL("Sum","5802 Value Entry","43 Cost Amount (Actual)","41 Source Type",$C$5,"5 Source no.",$C468,"4 Item Ledger Entry Type",$C$4,"2 Item No.","@@"&amp;$F468,"3 Posting Date",Z$9)</t>
  </si>
  <si>
    <t>=Z468-AB468</t>
  </si>
  <si>
    <t>=IF(Z468&lt;&gt;0,AC468/Z468,"")</t>
  </si>
  <si>
    <t>=C468</t>
  </si>
  <si>
    <t>=NL("Sum","5802 Value Entry","150 Sales Amount (Expected)","41 Source Type",$C$5,"5 Source No.",$C469,"4 Item Ledger Entry Type",$C$4,"2 Item No.","@@"&amp;$F469,"3 Posting Date",J$9)+NL("Sum","5802 Value Entry","17 Sales Amount (Actual)","41 Source Type",$C$5,"5 Source no.",$C469,"4 Item Ledger Entry Type",$C$4,"2 Item No.","@@"&amp;$F469,"3 Posting Date",J$9)</t>
  </si>
  <si>
    <t>=-NL("Sum","5802 Value Entry","151 Cost Amount (Expected)","41 Source Type",$C$5,"5 Source No.",$C469,"4 Item Ledger Entry Type",$C$4,"2 Item No.","@@"&amp;$F469,"3 Posting Date",J$9)-NL("Sum","5802 Value Entry","43 Cost Amount (Actual)","41 Source Type",$C$5,"5 Source no.",$C469,"4 Item Ledger Entry Type",$C$4,"2 Item No.","@@"&amp;$F469,"3 Posting Date",J$9)</t>
  </si>
  <si>
    <t>=J469-L469</t>
  </si>
  <si>
    <t>=IF(J469&lt;&gt;0,M469/J469,"")</t>
  </si>
  <si>
    <t>=NL("Sum","5802 Value Entry","150 Sales Amount (Expected)","41 Source Type",$C$5,"5 Source No.",$C469,"4 Item Ledger Entry Type",$C$4,"2 Item No.","@@"&amp;$F469,"3 Posting Date",O$9)+NL("Sum","5802 Value Entry","17 Sales Amount (Actual)","41 Source Type",$C$5,"5 Source no.",$C469,"4 Item Ledger Entry Type",$C$4,"2 Item No.","@@"&amp;$F469,"3 Posting Date",O$9)</t>
  </si>
  <si>
    <t>=-NL("Sum","5802 Value Entry","151 Cost Amount (Expected)","41 Source Type",$C$5,"5 Source No.",$C469,"4 Item Ledger Entry Type",$C$4,"2 Item No.","@@"&amp;$F469,"3 Posting Date",O$9)-NL("Sum","5802 Value Entry","43 Cost Amount (Actual)","41 Source Type",$C$5,"5 Source no.",$C469,"4 Item Ledger Entry Type",$C$4,"2 Item No.","@@"&amp;$F469,"3 Posting Date",O$9)</t>
  </si>
  <si>
    <t>=O469-Q469</t>
  </si>
  <si>
    <t>=IF(O469&lt;&gt;0,R469/O469,"")</t>
  </si>
  <si>
    <t>=NL("Sum","5802 Value Entry","150 Sales Amount (Expected)","41 Source Type",$C$5,"5 Source No.",$C469,"4 Item Ledger Entry Type",$C$4,"2 Item No.","@@"&amp;$F469,"3 Posting Date",U$9)+NL("Sum","5802 Value Entry","17 Sales Amount (Actual)","41 Source Type",$C$5,"5 Source no.",$C469,"4 Item Ledger Entry Type",$C$4,"2 Item No.","@@"&amp;$F469,"3 Posting Date",U$9)</t>
  </si>
  <si>
    <t>=-NL("Sum","5802 Value Entry","151 Cost Amount (Expected)","41 Source Type",$C$5,"5 Source No.",$C469,"4 Item Ledger Entry Type",$C$4,"2 Item No.","@@"&amp;$F469,"3 Posting Date",U$9)-NL("Sum","5802 Value Entry","43 Cost Amount (Actual)","41 Source Type",$C$5,"5 Source no.",$C469,"4 Item Ledger Entry Type",$C$4,"2 Item No.","@@"&amp;$F469,"3 Posting Date",U$9)</t>
  </si>
  <si>
    <t>=U469-W469</t>
  </si>
  <si>
    <t>=IF(U469&lt;&gt;0,X469/U469,"")</t>
  </si>
  <si>
    <t>=NL("Sum","5802 Value Entry","150 Sales Amount (Expected)","41 Source Type",$C$5,"5 Source No.",$C469,"4 Item Ledger Entry Type",$C$4,"2 Item No.","@@"&amp;$F469,"3 Posting Date",Z$9)+NL("Sum","5802 Value Entry","17 Sales Amount (Actual)","41 Source Type",$C$5,"5 Source no.",$C469,"4 Item Ledger Entry Type",$C$4,"2 Item No.","@@"&amp;$F469,"3 Posting Date",Z$9)</t>
  </si>
  <si>
    <t>=-NL("Sum","5802 Value Entry","151 Cost Amount (Expected)","41 Source Type",$C$5,"5 Source No.",$C469,"4 Item Ledger Entry Type",$C$4,"2 Item No.","@@"&amp;$F469,"3 Posting Date",Z$9)-NL("Sum","5802 Value Entry","43 Cost Amount (Actual)","41 Source Type",$C$5,"5 Source no.",$C469,"4 Item Ledger Entry Type",$C$4,"2 Item No.","@@"&amp;$F469,"3 Posting Date",Z$9)</t>
  </si>
  <si>
    <t>=Z469-AB469</t>
  </si>
  <si>
    <t>=IF(Z469&lt;&gt;0,AC469/Z469,"")</t>
  </si>
  <si>
    <t>=C469</t>
  </si>
  <si>
    <t>=NL("Sum","5802 Value Entry","150 Sales Amount (Expected)","41 Source Type",$C$5,"5 Source No.",$C470,"4 Item Ledger Entry Type",$C$4,"2 Item No.","@@"&amp;$F470,"3 Posting Date",J$9)+NL("Sum","5802 Value Entry","17 Sales Amount (Actual)","41 Source Type",$C$5,"5 Source no.",$C470,"4 Item Ledger Entry Type",$C$4,"2 Item No.","@@"&amp;$F470,"3 Posting Date",J$9)</t>
  </si>
  <si>
    <t>=-NL("Sum","5802 Value Entry","151 Cost Amount (Expected)","41 Source Type",$C$5,"5 Source No.",$C470,"4 Item Ledger Entry Type",$C$4,"2 Item No.","@@"&amp;$F470,"3 Posting Date",J$9)-NL("Sum","5802 Value Entry","43 Cost Amount (Actual)","41 Source Type",$C$5,"5 Source no.",$C470,"4 Item Ledger Entry Type",$C$4,"2 Item No.","@@"&amp;$F470,"3 Posting Date",J$9)</t>
  </si>
  <si>
    <t>=J470-L470</t>
  </si>
  <si>
    <t>=IF(J470&lt;&gt;0,M470/J470,"")</t>
  </si>
  <si>
    <t>=NL("Sum","5802 Value Entry","150 Sales Amount (Expected)","41 Source Type",$C$5,"5 Source No.",$C470,"4 Item Ledger Entry Type",$C$4,"2 Item No.","@@"&amp;$F470,"3 Posting Date",O$9)+NL("Sum","5802 Value Entry","17 Sales Amount (Actual)","41 Source Type",$C$5,"5 Source no.",$C470,"4 Item Ledger Entry Type",$C$4,"2 Item No.","@@"&amp;$F470,"3 Posting Date",O$9)</t>
  </si>
  <si>
    <t>=-NL("Sum","5802 Value Entry","151 Cost Amount (Expected)","41 Source Type",$C$5,"5 Source No.",$C470,"4 Item Ledger Entry Type",$C$4,"2 Item No.","@@"&amp;$F470,"3 Posting Date",O$9)-NL("Sum","5802 Value Entry","43 Cost Amount (Actual)","41 Source Type",$C$5,"5 Source no.",$C470,"4 Item Ledger Entry Type",$C$4,"2 Item No.","@@"&amp;$F470,"3 Posting Date",O$9)</t>
  </si>
  <si>
    <t>=O470-Q470</t>
  </si>
  <si>
    <t>=IF(O470&lt;&gt;0,R470/O470,"")</t>
  </si>
  <si>
    <t>=NL("Sum","5802 Value Entry","150 Sales Amount (Expected)","41 Source Type",$C$5,"5 Source No.",$C470,"4 Item Ledger Entry Type",$C$4,"2 Item No.","@@"&amp;$F470,"3 Posting Date",U$9)+NL("Sum","5802 Value Entry","17 Sales Amount (Actual)","41 Source Type",$C$5,"5 Source no.",$C470,"4 Item Ledger Entry Type",$C$4,"2 Item No.","@@"&amp;$F470,"3 Posting Date",U$9)</t>
  </si>
  <si>
    <t>=-NL("Sum","5802 Value Entry","151 Cost Amount (Expected)","41 Source Type",$C$5,"5 Source No.",$C470,"4 Item Ledger Entry Type",$C$4,"2 Item No.","@@"&amp;$F470,"3 Posting Date",U$9)-NL("Sum","5802 Value Entry","43 Cost Amount (Actual)","41 Source Type",$C$5,"5 Source no.",$C470,"4 Item Ledger Entry Type",$C$4,"2 Item No.","@@"&amp;$F470,"3 Posting Date",U$9)</t>
  </si>
  <si>
    <t>=U470-W470</t>
  </si>
  <si>
    <t>=IF(U470&lt;&gt;0,X470/U470,"")</t>
  </si>
  <si>
    <t>=NL("Sum","5802 Value Entry","150 Sales Amount (Expected)","41 Source Type",$C$5,"5 Source No.",$C470,"4 Item Ledger Entry Type",$C$4,"2 Item No.","@@"&amp;$F470,"3 Posting Date",Z$9)+NL("Sum","5802 Value Entry","17 Sales Amount (Actual)","41 Source Type",$C$5,"5 Source no.",$C470,"4 Item Ledger Entry Type",$C$4,"2 Item No.","@@"&amp;$F470,"3 Posting Date",Z$9)</t>
  </si>
  <si>
    <t>=-NL("Sum","5802 Value Entry","151 Cost Amount (Expected)","41 Source Type",$C$5,"5 Source No.",$C470,"4 Item Ledger Entry Type",$C$4,"2 Item No.","@@"&amp;$F470,"3 Posting Date",Z$9)-NL("Sum","5802 Value Entry","43 Cost Amount (Actual)","41 Source Type",$C$5,"5 Source no.",$C470,"4 Item Ledger Entry Type",$C$4,"2 Item No.","@@"&amp;$F470,"3 Posting Date",Z$9)</t>
  </si>
  <si>
    <t>=Z470-AB470</t>
  </si>
  <si>
    <t>=IF(Z470&lt;&gt;0,AC470/Z470,"")</t>
  </si>
  <si>
    <t>=C470</t>
  </si>
  <si>
    <t>=NL("Sum","5802 Value Entry","150 Sales Amount (Expected)","41 Source Type",$C$5,"5 Source No.",$C471,"4 Item Ledger Entry Type",$C$4,"2 Item No.","@@"&amp;$F471,"3 Posting Date",J$9)+NL("Sum","5802 Value Entry","17 Sales Amount (Actual)","41 Source Type",$C$5,"5 Source no.",$C471,"4 Item Ledger Entry Type",$C$4,"2 Item No.","@@"&amp;$F471,"3 Posting Date",J$9)</t>
  </si>
  <si>
    <t>=-NL("Sum","5802 Value Entry","151 Cost Amount (Expected)","41 Source Type",$C$5,"5 Source No.",$C471,"4 Item Ledger Entry Type",$C$4,"2 Item No.","@@"&amp;$F471,"3 Posting Date",J$9)-NL("Sum","5802 Value Entry","43 Cost Amount (Actual)","41 Source Type",$C$5,"5 Source no.",$C471,"4 Item Ledger Entry Type",$C$4,"2 Item No.","@@"&amp;$F471,"3 Posting Date",J$9)</t>
  </si>
  <si>
    <t>=J471-L471</t>
  </si>
  <si>
    <t>=IF(J471&lt;&gt;0,M471/J471,"")</t>
  </si>
  <si>
    <t>=NL("Sum","5802 Value Entry","150 Sales Amount (Expected)","41 Source Type",$C$5,"5 Source No.",$C471,"4 Item Ledger Entry Type",$C$4,"2 Item No.","@@"&amp;$F471,"3 Posting Date",O$9)+NL("Sum","5802 Value Entry","17 Sales Amount (Actual)","41 Source Type",$C$5,"5 Source no.",$C471,"4 Item Ledger Entry Type",$C$4,"2 Item No.","@@"&amp;$F471,"3 Posting Date",O$9)</t>
  </si>
  <si>
    <t>=-NL("Sum","5802 Value Entry","151 Cost Amount (Expected)","41 Source Type",$C$5,"5 Source No.",$C471,"4 Item Ledger Entry Type",$C$4,"2 Item No.","@@"&amp;$F471,"3 Posting Date",O$9)-NL("Sum","5802 Value Entry","43 Cost Amount (Actual)","41 Source Type",$C$5,"5 Source no.",$C471,"4 Item Ledger Entry Type",$C$4,"2 Item No.","@@"&amp;$F471,"3 Posting Date",O$9)</t>
  </si>
  <si>
    <t>=O471-Q471</t>
  </si>
  <si>
    <t>=IF(O471&lt;&gt;0,R471/O471,"")</t>
  </si>
  <si>
    <t>=NL("Sum","5802 Value Entry","150 Sales Amount (Expected)","41 Source Type",$C$5,"5 Source No.",$C471,"4 Item Ledger Entry Type",$C$4,"2 Item No.","@@"&amp;$F471,"3 Posting Date",U$9)+NL("Sum","5802 Value Entry","17 Sales Amount (Actual)","41 Source Type",$C$5,"5 Source no.",$C471,"4 Item Ledger Entry Type",$C$4,"2 Item No.","@@"&amp;$F471,"3 Posting Date",U$9)</t>
  </si>
  <si>
    <t>=-NL("Sum","5802 Value Entry","151 Cost Amount (Expected)","41 Source Type",$C$5,"5 Source No.",$C471,"4 Item Ledger Entry Type",$C$4,"2 Item No.","@@"&amp;$F471,"3 Posting Date",U$9)-NL("Sum","5802 Value Entry","43 Cost Amount (Actual)","41 Source Type",$C$5,"5 Source no.",$C471,"4 Item Ledger Entry Type",$C$4,"2 Item No.","@@"&amp;$F471,"3 Posting Date",U$9)</t>
  </si>
  <si>
    <t>=U471-W471</t>
  </si>
  <si>
    <t>=IF(U471&lt;&gt;0,X471/U471,"")</t>
  </si>
  <si>
    <t>=NL("Sum","5802 Value Entry","150 Sales Amount (Expected)","41 Source Type",$C$5,"5 Source No.",$C471,"4 Item Ledger Entry Type",$C$4,"2 Item No.","@@"&amp;$F471,"3 Posting Date",Z$9)+NL("Sum","5802 Value Entry","17 Sales Amount (Actual)","41 Source Type",$C$5,"5 Source no.",$C471,"4 Item Ledger Entry Type",$C$4,"2 Item No.","@@"&amp;$F471,"3 Posting Date",Z$9)</t>
  </si>
  <si>
    <t>=-NL("Sum","5802 Value Entry","151 Cost Amount (Expected)","41 Source Type",$C$5,"5 Source No.",$C471,"4 Item Ledger Entry Type",$C$4,"2 Item No.","@@"&amp;$F471,"3 Posting Date",Z$9)-NL("Sum","5802 Value Entry","43 Cost Amount (Actual)","41 Source Type",$C$5,"5 Source no.",$C471,"4 Item Ledger Entry Type",$C$4,"2 Item No.","@@"&amp;$F471,"3 Posting Date",Z$9)</t>
  </si>
  <si>
    <t>=Z471-AB471</t>
  </si>
  <si>
    <t>=IF(Z471&lt;&gt;0,AC471/Z471,"")</t>
  </si>
  <si>
    <t>=C471</t>
  </si>
  <si>
    <t>=NL("Sum","5802 Value Entry","150 Sales Amount (Expected)","41 Source Type",$C$5,"5 Source No.",$C472,"4 Item Ledger Entry Type",$C$4,"2 Item No.","@@"&amp;$F472,"3 Posting Date",J$9)+NL("Sum","5802 Value Entry","17 Sales Amount (Actual)","41 Source Type",$C$5,"5 Source no.",$C472,"4 Item Ledger Entry Type",$C$4,"2 Item No.","@@"&amp;$F472,"3 Posting Date",J$9)</t>
  </si>
  <si>
    <t>=-NL("Sum","5802 Value Entry","151 Cost Amount (Expected)","41 Source Type",$C$5,"5 Source No.",$C472,"4 Item Ledger Entry Type",$C$4,"2 Item No.","@@"&amp;$F472,"3 Posting Date",J$9)-NL("Sum","5802 Value Entry","43 Cost Amount (Actual)","41 Source Type",$C$5,"5 Source no.",$C472,"4 Item Ledger Entry Type",$C$4,"2 Item No.","@@"&amp;$F472,"3 Posting Date",J$9)</t>
  </si>
  <si>
    <t>=J472-L472</t>
  </si>
  <si>
    <t>=IF(J472&lt;&gt;0,M472/J472,"")</t>
  </si>
  <si>
    <t>=NL("Sum","5802 Value Entry","150 Sales Amount (Expected)","41 Source Type",$C$5,"5 Source No.",$C472,"4 Item Ledger Entry Type",$C$4,"2 Item No.","@@"&amp;$F472,"3 Posting Date",O$9)+NL("Sum","5802 Value Entry","17 Sales Amount (Actual)","41 Source Type",$C$5,"5 Source no.",$C472,"4 Item Ledger Entry Type",$C$4,"2 Item No.","@@"&amp;$F472,"3 Posting Date",O$9)</t>
  </si>
  <si>
    <t>=-NL("Sum","5802 Value Entry","151 Cost Amount (Expected)","41 Source Type",$C$5,"5 Source No.",$C472,"4 Item Ledger Entry Type",$C$4,"2 Item No.","@@"&amp;$F472,"3 Posting Date",O$9)-NL("Sum","5802 Value Entry","43 Cost Amount (Actual)","41 Source Type",$C$5,"5 Source no.",$C472,"4 Item Ledger Entry Type",$C$4,"2 Item No.","@@"&amp;$F472,"3 Posting Date",O$9)</t>
  </si>
  <si>
    <t>=O472-Q472</t>
  </si>
  <si>
    <t>=IF(O472&lt;&gt;0,R472/O472,"")</t>
  </si>
  <si>
    <t>=NL("Sum","5802 Value Entry","150 Sales Amount (Expected)","41 Source Type",$C$5,"5 Source No.",$C472,"4 Item Ledger Entry Type",$C$4,"2 Item No.","@@"&amp;$F472,"3 Posting Date",U$9)+NL("Sum","5802 Value Entry","17 Sales Amount (Actual)","41 Source Type",$C$5,"5 Source no.",$C472,"4 Item Ledger Entry Type",$C$4,"2 Item No.","@@"&amp;$F472,"3 Posting Date",U$9)</t>
  </si>
  <si>
    <t>=-NL("Sum","5802 Value Entry","151 Cost Amount (Expected)","41 Source Type",$C$5,"5 Source No.",$C472,"4 Item Ledger Entry Type",$C$4,"2 Item No.","@@"&amp;$F472,"3 Posting Date",U$9)-NL("Sum","5802 Value Entry","43 Cost Amount (Actual)","41 Source Type",$C$5,"5 Source no.",$C472,"4 Item Ledger Entry Type",$C$4,"2 Item No.","@@"&amp;$F472,"3 Posting Date",U$9)</t>
  </si>
  <si>
    <t>=U472-W472</t>
  </si>
  <si>
    <t>=IF(U472&lt;&gt;0,X472/U472,"")</t>
  </si>
  <si>
    <t>=NL("Sum","5802 Value Entry","150 Sales Amount (Expected)","41 Source Type",$C$5,"5 Source No.",$C472,"4 Item Ledger Entry Type",$C$4,"2 Item No.","@@"&amp;$F472,"3 Posting Date",Z$9)+NL("Sum","5802 Value Entry","17 Sales Amount (Actual)","41 Source Type",$C$5,"5 Source no.",$C472,"4 Item Ledger Entry Type",$C$4,"2 Item No.","@@"&amp;$F472,"3 Posting Date",Z$9)</t>
  </si>
  <si>
    <t>=-NL("Sum","5802 Value Entry","151 Cost Amount (Expected)","41 Source Type",$C$5,"5 Source No.",$C472,"4 Item Ledger Entry Type",$C$4,"2 Item No.","@@"&amp;$F472,"3 Posting Date",Z$9)-NL("Sum","5802 Value Entry","43 Cost Amount (Actual)","41 Source Type",$C$5,"5 Source no.",$C472,"4 Item Ledger Entry Type",$C$4,"2 Item No.","@@"&amp;$F472,"3 Posting Date",Z$9)</t>
  </si>
  <si>
    <t>=Z472-AB472</t>
  </si>
  <si>
    <t>=IF(Z472&lt;&gt;0,AC472/Z472,"")</t>
  </si>
  <si>
    <t>=C472</t>
  </si>
  <si>
    <t>=NL("Sum","5802 Value Entry","150 Sales Amount (Expected)","41 Source Type",$C$5,"5 Source No.",$C473,"4 Item Ledger Entry Type",$C$4,"2 Item No.","@@"&amp;$F473,"3 Posting Date",J$9)+NL("Sum","5802 Value Entry","17 Sales Amount (Actual)","41 Source Type",$C$5,"5 Source no.",$C473,"4 Item Ledger Entry Type",$C$4,"2 Item No.","@@"&amp;$F473,"3 Posting Date",J$9)</t>
  </si>
  <si>
    <t>=-NL("Sum","5802 Value Entry","151 Cost Amount (Expected)","41 Source Type",$C$5,"5 Source No.",$C473,"4 Item Ledger Entry Type",$C$4,"2 Item No.","@@"&amp;$F473,"3 Posting Date",J$9)-NL("Sum","5802 Value Entry","43 Cost Amount (Actual)","41 Source Type",$C$5,"5 Source no.",$C473,"4 Item Ledger Entry Type",$C$4,"2 Item No.","@@"&amp;$F473,"3 Posting Date",J$9)</t>
  </si>
  <si>
    <t>=J473-L473</t>
  </si>
  <si>
    <t>=IF(J473&lt;&gt;0,M473/J473,"")</t>
  </si>
  <si>
    <t>=NL("Sum","5802 Value Entry","150 Sales Amount (Expected)","41 Source Type",$C$5,"5 Source No.",$C473,"4 Item Ledger Entry Type",$C$4,"2 Item No.","@@"&amp;$F473,"3 Posting Date",O$9)+NL("Sum","5802 Value Entry","17 Sales Amount (Actual)","41 Source Type",$C$5,"5 Source no.",$C473,"4 Item Ledger Entry Type",$C$4,"2 Item No.","@@"&amp;$F473,"3 Posting Date",O$9)</t>
  </si>
  <si>
    <t>=-NL("Sum","5802 Value Entry","151 Cost Amount (Expected)","41 Source Type",$C$5,"5 Source No.",$C473,"4 Item Ledger Entry Type",$C$4,"2 Item No.","@@"&amp;$F473,"3 Posting Date",O$9)-NL("Sum","5802 Value Entry","43 Cost Amount (Actual)","41 Source Type",$C$5,"5 Source no.",$C473,"4 Item Ledger Entry Type",$C$4,"2 Item No.","@@"&amp;$F473,"3 Posting Date",O$9)</t>
  </si>
  <si>
    <t>=O473-Q473</t>
  </si>
  <si>
    <t>=IF(O473&lt;&gt;0,R473/O473,"")</t>
  </si>
  <si>
    <t>=NL("Sum","5802 Value Entry","150 Sales Amount (Expected)","41 Source Type",$C$5,"5 Source No.",$C473,"4 Item Ledger Entry Type",$C$4,"2 Item No.","@@"&amp;$F473,"3 Posting Date",U$9)+NL("Sum","5802 Value Entry","17 Sales Amount (Actual)","41 Source Type",$C$5,"5 Source no.",$C473,"4 Item Ledger Entry Type",$C$4,"2 Item No.","@@"&amp;$F473,"3 Posting Date",U$9)</t>
  </si>
  <si>
    <t>=-NL("Sum","5802 Value Entry","151 Cost Amount (Expected)","41 Source Type",$C$5,"5 Source No.",$C473,"4 Item Ledger Entry Type",$C$4,"2 Item No.","@@"&amp;$F473,"3 Posting Date",U$9)-NL("Sum","5802 Value Entry","43 Cost Amount (Actual)","41 Source Type",$C$5,"5 Source no.",$C473,"4 Item Ledger Entry Type",$C$4,"2 Item No.","@@"&amp;$F473,"3 Posting Date",U$9)</t>
  </si>
  <si>
    <t>=U473-W473</t>
  </si>
  <si>
    <t>=IF(U473&lt;&gt;0,X473/U473,"")</t>
  </si>
  <si>
    <t>=NL("Sum","5802 Value Entry","150 Sales Amount (Expected)","41 Source Type",$C$5,"5 Source No.",$C473,"4 Item Ledger Entry Type",$C$4,"2 Item No.","@@"&amp;$F473,"3 Posting Date",Z$9)+NL("Sum","5802 Value Entry","17 Sales Amount (Actual)","41 Source Type",$C$5,"5 Source no.",$C473,"4 Item Ledger Entry Type",$C$4,"2 Item No.","@@"&amp;$F473,"3 Posting Date",Z$9)</t>
  </si>
  <si>
    <t>=-NL("Sum","5802 Value Entry","151 Cost Amount (Expected)","41 Source Type",$C$5,"5 Source No.",$C473,"4 Item Ledger Entry Type",$C$4,"2 Item No.","@@"&amp;$F473,"3 Posting Date",Z$9)-NL("Sum","5802 Value Entry","43 Cost Amount (Actual)","41 Source Type",$C$5,"5 Source no.",$C473,"4 Item Ledger Entry Type",$C$4,"2 Item No.","@@"&amp;$F473,"3 Posting Date",Z$9)</t>
  </si>
  <si>
    <t>=Z473-AB473</t>
  </si>
  <si>
    <t>=IF(Z473&lt;&gt;0,AC473/Z473,"")</t>
  </si>
  <si>
    <t>=C473</t>
  </si>
  <si>
    <t>=NL("Sum","5802 Value Entry","150 Sales Amount (Expected)","41 Source Type",$C$5,"5 Source No.",$C474,"4 Item Ledger Entry Type",$C$4,"2 Item No.","@@"&amp;$F474,"3 Posting Date",J$9)+NL("Sum","5802 Value Entry","17 Sales Amount (Actual)","41 Source Type",$C$5,"5 Source no.",$C474,"4 Item Ledger Entry Type",$C$4,"2 Item No.","@@"&amp;$F474,"3 Posting Date",J$9)</t>
  </si>
  <si>
    <t>=-NL("Sum","5802 Value Entry","151 Cost Amount (Expected)","41 Source Type",$C$5,"5 Source No.",$C474,"4 Item Ledger Entry Type",$C$4,"2 Item No.","@@"&amp;$F474,"3 Posting Date",J$9)-NL("Sum","5802 Value Entry","43 Cost Amount (Actual)","41 Source Type",$C$5,"5 Source no.",$C474,"4 Item Ledger Entry Type",$C$4,"2 Item No.","@@"&amp;$F474,"3 Posting Date",J$9)</t>
  </si>
  <si>
    <t>=J474-L474</t>
  </si>
  <si>
    <t>=IF(J474&lt;&gt;0,M474/J474,"")</t>
  </si>
  <si>
    <t>=NL("Sum","5802 Value Entry","150 Sales Amount (Expected)","41 Source Type",$C$5,"5 Source No.",$C474,"4 Item Ledger Entry Type",$C$4,"2 Item No.","@@"&amp;$F474,"3 Posting Date",O$9)+NL("Sum","5802 Value Entry","17 Sales Amount (Actual)","41 Source Type",$C$5,"5 Source no.",$C474,"4 Item Ledger Entry Type",$C$4,"2 Item No.","@@"&amp;$F474,"3 Posting Date",O$9)</t>
  </si>
  <si>
    <t>=-NL("Sum","5802 Value Entry","151 Cost Amount (Expected)","41 Source Type",$C$5,"5 Source No.",$C474,"4 Item Ledger Entry Type",$C$4,"2 Item No.","@@"&amp;$F474,"3 Posting Date",O$9)-NL("Sum","5802 Value Entry","43 Cost Amount (Actual)","41 Source Type",$C$5,"5 Source no.",$C474,"4 Item Ledger Entry Type",$C$4,"2 Item No.","@@"&amp;$F474,"3 Posting Date",O$9)</t>
  </si>
  <si>
    <t>=O474-Q474</t>
  </si>
  <si>
    <t>=IF(O474&lt;&gt;0,R474/O474,"")</t>
  </si>
  <si>
    <t>=NL("Sum","5802 Value Entry","150 Sales Amount (Expected)","41 Source Type",$C$5,"5 Source No.",$C474,"4 Item Ledger Entry Type",$C$4,"2 Item No.","@@"&amp;$F474,"3 Posting Date",U$9)+NL("Sum","5802 Value Entry","17 Sales Amount (Actual)","41 Source Type",$C$5,"5 Source no.",$C474,"4 Item Ledger Entry Type",$C$4,"2 Item No.","@@"&amp;$F474,"3 Posting Date",U$9)</t>
  </si>
  <si>
    <t>=-NL("Sum","5802 Value Entry","151 Cost Amount (Expected)","41 Source Type",$C$5,"5 Source No.",$C474,"4 Item Ledger Entry Type",$C$4,"2 Item No.","@@"&amp;$F474,"3 Posting Date",U$9)-NL("Sum","5802 Value Entry","43 Cost Amount (Actual)","41 Source Type",$C$5,"5 Source no.",$C474,"4 Item Ledger Entry Type",$C$4,"2 Item No.","@@"&amp;$F474,"3 Posting Date",U$9)</t>
  </si>
  <si>
    <t>=U474-W474</t>
  </si>
  <si>
    <t>=IF(U474&lt;&gt;0,X474/U474,"")</t>
  </si>
  <si>
    <t>=NL("Sum","5802 Value Entry","150 Sales Amount (Expected)","41 Source Type",$C$5,"5 Source No.",$C474,"4 Item Ledger Entry Type",$C$4,"2 Item No.","@@"&amp;$F474,"3 Posting Date",Z$9)+NL("Sum","5802 Value Entry","17 Sales Amount (Actual)","41 Source Type",$C$5,"5 Source no.",$C474,"4 Item Ledger Entry Type",$C$4,"2 Item No.","@@"&amp;$F474,"3 Posting Date",Z$9)</t>
  </si>
  <si>
    <t>=-NL("Sum","5802 Value Entry","151 Cost Amount (Expected)","41 Source Type",$C$5,"5 Source No.",$C474,"4 Item Ledger Entry Type",$C$4,"2 Item No.","@@"&amp;$F474,"3 Posting Date",Z$9)-NL("Sum","5802 Value Entry","43 Cost Amount (Actual)","41 Source Type",$C$5,"5 Source no.",$C474,"4 Item Ledger Entry Type",$C$4,"2 Item No.","@@"&amp;$F474,"3 Posting Date",Z$9)</t>
  </si>
  <si>
    <t>=Z474-AB474</t>
  </si>
  <si>
    <t>=IF(Z474&lt;&gt;0,AC474/Z474,"")</t>
  </si>
  <si>
    <t>=C474</t>
  </si>
  <si>
    <t>=NL("Sum","5802 Value Entry","150 Sales Amount (Expected)","41 Source Type",$C$5,"5 Source No.",$C475,"4 Item Ledger Entry Type",$C$4,"2 Item No.","@@"&amp;$F475,"3 Posting Date",J$9)+NL("Sum","5802 Value Entry","17 Sales Amount (Actual)","41 Source Type",$C$5,"5 Source no.",$C475,"4 Item Ledger Entry Type",$C$4,"2 Item No.","@@"&amp;$F475,"3 Posting Date",J$9)</t>
  </si>
  <si>
    <t>=-NL("Sum","5802 Value Entry","151 Cost Amount (Expected)","41 Source Type",$C$5,"5 Source No.",$C475,"4 Item Ledger Entry Type",$C$4,"2 Item No.","@@"&amp;$F475,"3 Posting Date",J$9)-NL("Sum","5802 Value Entry","43 Cost Amount (Actual)","41 Source Type",$C$5,"5 Source no.",$C475,"4 Item Ledger Entry Type",$C$4,"2 Item No.","@@"&amp;$F475,"3 Posting Date",J$9)</t>
  </si>
  <si>
    <t>=J475-L475</t>
  </si>
  <si>
    <t>=IF(J475&lt;&gt;0,M475/J475,"")</t>
  </si>
  <si>
    <t>=NL("Sum","5802 Value Entry","150 Sales Amount (Expected)","41 Source Type",$C$5,"5 Source No.",$C475,"4 Item Ledger Entry Type",$C$4,"2 Item No.","@@"&amp;$F475,"3 Posting Date",O$9)+NL("Sum","5802 Value Entry","17 Sales Amount (Actual)","41 Source Type",$C$5,"5 Source no.",$C475,"4 Item Ledger Entry Type",$C$4,"2 Item No.","@@"&amp;$F475,"3 Posting Date",O$9)</t>
  </si>
  <si>
    <t>=-NL("Sum","5802 Value Entry","151 Cost Amount (Expected)","41 Source Type",$C$5,"5 Source No.",$C475,"4 Item Ledger Entry Type",$C$4,"2 Item No.","@@"&amp;$F475,"3 Posting Date",O$9)-NL("Sum","5802 Value Entry","43 Cost Amount (Actual)","41 Source Type",$C$5,"5 Source no.",$C475,"4 Item Ledger Entry Type",$C$4,"2 Item No.","@@"&amp;$F475,"3 Posting Date",O$9)</t>
  </si>
  <si>
    <t>=O475-Q475</t>
  </si>
  <si>
    <t>=IF(O475&lt;&gt;0,R475/O475,"")</t>
  </si>
  <si>
    <t>=NL("Sum","5802 Value Entry","150 Sales Amount (Expected)","41 Source Type",$C$5,"5 Source No.",$C475,"4 Item Ledger Entry Type",$C$4,"2 Item No.","@@"&amp;$F475,"3 Posting Date",U$9)+NL("Sum","5802 Value Entry","17 Sales Amount (Actual)","41 Source Type",$C$5,"5 Source no.",$C475,"4 Item Ledger Entry Type",$C$4,"2 Item No.","@@"&amp;$F475,"3 Posting Date",U$9)</t>
  </si>
  <si>
    <t>=-NL("Sum","5802 Value Entry","151 Cost Amount (Expected)","41 Source Type",$C$5,"5 Source No.",$C475,"4 Item Ledger Entry Type",$C$4,"2 Item No.","@@"&amp;$F475,"3 Posting Date",U$9)-NL("Sum","5802 Value Entry","43 Cost Amount (Actual)","41 Source Type",$C$5,"5 Source no.",$C475,"4 Item Ledger Entry Type",$C$4,"2 Item No.","@@"&amp;$F475,"3 Posting Date",U$9)</t>
  </si>
  <si>
    <t>=U475-W475</t>
  </si>
  <si>
    <t>=IF(U475&lt;&gt;0,X475/U475,"")</t>
  </si>
  <si>
    <t>=NL("Sum","5802 Value Entry","150 Sales Amount (Expected)","41 Source Type",$C$5,"5 Source No.",$C475,"4 Item Ledger Entry Type",$C$4,"2 Item No.","@@"&amp;$F475,"3 Posting Date",Z$9)+NL("Sum","5802 Value Entry","17 Sales Amount (Actual)","41 Source Type",$C$5,"5 Source no.",$C475,"4 Item Ledger Entry Type",$C$4,"2 Item No.","@@"&amp;$F475,"3 Posting Date",Z$9)</t>
  </si>
  <si>
    <t>=-NL("Sum","5802 Value Entry","151 Cost Amount (Expected)","41 Source Type",$C$5,"5 Source No.",$C475,"4 Item Ledger Entry Type",$C$4,"2 Item No.","@@"&amp;$F475,"3 Posting Date",Z$9)-NL("Sum","5802 Value Entry","43 Cost Amount (Actual)","41 Source Type",$C$5,"5 Source no.",$C475,"4 Item Ledger Entry Type",$C$4,"2 Item No.","@@"&amp;$F475,"3 Posting Date",Z$9)</t>
  </si>
  <si>
    <t>=Z475-AB475</t>
  </si>
  <si>
    <t>=IF(Z475&lt;&gt;0,AC475/Z475,"")</t>
  </si>
  <si>
    <t>=C475</t>
  </si>
  <si>
    <t>=NL("Sum","5802 Value Entry","150 Sales Amount (Expected)","41 Source Type",$C$5,"5 Source No.",$C476,"4 Item Ledger Entry Type",$C$4,"2 Item No.","@@"&amp;$F476,"3 Posting Date",J$9)+NL("Sum","5802 Value Entry","17 Sales Amount (Actual)","41 Source Type",$C$5,"5 Source no.",$C476,"4 Item Ledger Entry Type",$C$4,"2 Item No.","@@"&amp;$F476,"3 Posting Date",J$9)</t>
  </si>
  <si>
    <t>=-NL("Sum","5802 Value Entry","151 Cost Amount (Expected)","41 Source Type",$C$5,"5 Source No.",$C476,"4 Item Ledger Entry Type",$C$4,"2 Item No.","@@"&amp;$F476,"3 Posting Date",J$9)-NL("Sum","5802 Value Entry","43 Cost Amount (Actual)","41 Source Type",$C$5,"5 Source no.",$C476,"4 Item Ledger Entry Type",$C$4,"2 Item No.","@@"&amp;$F476,"3 Posting Date",J$9)</t>
  </si>
  <si>
    <t>=J476-L476</t>
  </si>
  <si>
    <t>=IF(J476&lt;&gt;0,M476/J476,"")</t>
  </si>
  <si>
    <t>=NL("Sum","5802 Value Entry","150 Sales Amount (Expected)","41 Source Type",$C$5,"5 Source No.",$C476,"4 Item Ledger Entry Type",$C$4,"2 Item No.","@@"&amp;$F476,"3 Posting Date",O$9)+NL("Sum","5802 Value Entry","17 Sales Amount (Actual)","41 Source Type",$C$5,"5 Source no.",$C476,"4 Item Ledger Entry Type",$C$4,"2 Item No.","@@"&amp;$F476,"3 Posting Date",O$9)</t>
  </si>
  <si>
    <t>=-NL("Sum","5802 Value Entry","151 Cost Amount (Expected)","41 Source Type",$C$5,"5 Source No.",$C476,"4 Item Ledger Entry Type",$C$4,"2 Item No.","@@"&amp;$F476,"3 Posting Date",O$9)-NL("Sum","5802 Value Entry","43 Cost Amount (Actual)","41 Source Type",$C$5,"5 Source no.",$C476,"4 Item Ledger Entry Type",$C$4,"2 Item No.","@@"&amp;$F476,"3 Posting Date",O$9)</t>
  </si>
  <si>
    <t>=O476-Q476</t>
  </si>
  <si>
    <t>=IF(O476&lt;&gt;0,R476/O476,"")</t>
  </si>
  <si>
    <t>=NL("Sum","5802 Value Entry","150 Sales Amount (Expected)","41 Source Type",$C$5,"5 Source No.",$C476,"4 Item Ledger Entry Type",$C$4,"2 Item No.","@@"&amp;$F476,"3 Posting Date",U$9)+NL("Sum","5802 Value Entry","17 Sales Amount (Actual)","41 Source Type",$C$5,"5 Source no.",$C476,"4 Item Ledger Entry Type",$C$4,"2 Item No.","@@"&amp;$F476,"3 Posting Date",U$9)</t>
  </si>
  <si>
    <t>=-NL("Sum","5802 Value Entry","151 Cost Amount (Expected)","41 Source Type",$C$5,"5 Source No.",$C476,"4 Item Ledger Entry Type",$C$4,"2 Item No.","@@"&amp;$F476,"3 Posting Date",U$9)-NL("Sum","5802 Value Entry","43 Cost Amount (Actual)","41 Source Type",$C$5,"5 Source no.",$C476,"4 Item Ledger Entry Type",$C$4,"2 Item No.","@@"&amp;$F476,"3 Posting Date",U$9)</t>
  </si>
  <si>
    <t>=U476-W476</t>
  </si>
  <si>
    <t>=IF(U476&lt;&gt;0,X476/U476,"")</t>
  </si>
  <si>
    <t>=NL("Sum","5802 Value Entry","150 Sales Amount (Expected)","41 Source Type",$C$5,"5 Source No.",$C476,"4 Item Ledger Entry Type",$C$4,"2 Item No.","@@"&amp;$F476,"3 Posting Date",Z$9)+NL("Sum","5802 Value Entry","17 Sales Amount (Actual)","41 Source Type",$C$5,"5 Source no.",$C476,"4 Item Ledger Entry Type",$C$4,"2 Item No.","@@"&amp;$F476,"3 Posting Date",Z$9)</t>
  </si>
  <si>
    <t>=-NL("Sum","5802 Value Entry","151 Cost Amount (Expected)","41 Source Type",$C$5,"5 Source No.",$C476,"4 Item Ledger Entry Type",$C$4,"2 Item No.","@@"&amp;$F476,"3 Posting Date",Z$9)-NL("Sum","5802 Value Entry","43 Cost Amount (Actual)","41 Source Type",$C$5,"5 Source no.",$C476,"4 Item Ledger Entry Type",$C$4,"2 Item No.","@@"&amp;$F476,"3 Posting Date",Z$9)</t>
  </si>
  <si>
    <t>=Z476-AB476</t>
  </si>
  <si>
    <t>=IF(Z476&lt;&gt;0,AC476/Z476,"")</t>
  </si>
  <si>
    <t>=C477</t>
  </si>
  <si>
    <t>=J478-L478</t>
  </si>
  <si>
    <t>=IF(J478&lt;&gt;0,M478/J478,"")</t>
  </si>
  <si>
    <t>=O478-Q478</t>
  </si>
  <si>
    <t>=IF(O478&lt;&gt;0,R478/O478,"")</t>
  </si>
  <si>
    <t>=U478-W478</t>
  </si>
  <si>
    <t>=IF(U478&lt;&gt;0,X478/U478,"")</t>
  </si>
  <si>
    <t>=Z478-AB478</t>
  </si>
  <si>
    <t>=IF(Z478&lt;&gt;0,AC478/Z478,"")</t>
  </si>
  <si>
    <t>=C480</t>
  </si>
  <si>
    <t>=C481</t>
  </si>
  <si>
    <t>=NL("Sum","5802 Value Entry","150 Sales Amount (Expected)","41 Source Type",$C$5,"5 Source No.",$C482,"4 Item Ledger Entry Type",$C$4,"2 Item No.","@@"&amp;$F482,"3 Posting Date",J$9)+NL("Sum","5802 Value Entry","17 Sales Amount (Actual)","41 Source Type",$C$5,"5 Source no.",$C482,"4 Item Ledger Entry Type",$C$4,"2 Item No.","@@"&amp;$F482,"3 Posting Date",J$9)</t>
  </si>
  <si>
    <t>=-NL("Sum","5802 Value Entry","151 Cost Amount (Expected)","41 Source Type",$C$5,"5 Source No.",$C482,"4 Item Ledger Entry Type",$C$4,"2 Item No.","@@"&amp;$F482,"3 Posting Date",J$9)-NL("Sum","5802 Value Entry","43 Cost Amount (Actual)","41 Source Type",$C$5,"5 Source no.",$C482,"4 Item Ledger Entry Type",$C$4,"2 Item No.","@@"&amp;$F482,"3 Posting Date",J$9)</t>
  </si>
  <si>
    <t>=J482-L482</t>
  </si>
  <si>
    <t>=IF(J482&lt;&gt;0,M482/J482,"")</t>
  </si>
  <si>
    <t>=NL("Sum","5802 Value Entry","150 Sales Amount (Expected)","41 Source Type",$C$5,"5 Source No.",$C482,"4 Item Ledger Entry Type",$C$4,"2 Item No.","@@"&amp;$F482,"3 Posting Date",O$9)+NL("Sum","5802 Value Entry","17 Sales Amount (Actual)","41 Source Type",$C$5,"5 Source no.",$C482,"4 Item Ledger Entry Type",$C$4,"2 Item No.","@@"&amp;$F482,"3 Posting Date",O$9)</t>
  </si>
  <si>
    <t>=-NL("Sum","5802 Value Entry","151 Cost Amount (Expected)","41 Source Type",$C$5,"5 Source No.",$C482,"4 Item Ledger Entry Type",$C$4,"2 Item No.","@@"&amp;$F482,"3 Posting Date",O$9)-NL("Sum","5802 Value Entry","43 Cost Amount (Actual)","41 Source Type",$C$5,"5 Source no.",$C482,"4 Item Ledger Entry Type",$C$4,"2 Item No.","@@"&amp;$F482,"3 Posting Date",O$9)</t>
  </si>
  <si>
    <t>=O482-Q482</t>
  </si>
  <si>
    <t>=IF(O482&lt;&gt;0,R482/O482,"")</t>
  </si>
  <si>
    <t>=NL("Sum","5802 Value Entry","150 Sales Amount (Expected)","41 Source Type",$C$5,"5 Source No.",$C482,"4 Item Ledger Entry Type",$C$4,"2 Item No.","@@"&amp;$F482,"3 Posting Date",U$9)+NL("Sum","5802 Value Entry","17 Sales Amount (Actual)","41 Source Type",$C$5,"5 Source no.",$C482,"4 Item Ledger Entry Type",$C$4,"2 Item No.","@@"&amp;$F482,"3 Posting Date",U$9)</t>
  </si>
  <si>
    <t>=-NL("Sum","5802 Value Entry","151 Cost Amount (Expected)","41 Source Type",$C$5,"5 Source No.",$C482,"4 Item Ledger Entry Type",$C$4,"2 Item No.","@@"&amp;$F482,"3 Posting Date",U$9)-NL("Sum","5802 Value Entry","43 Cost Amount (Actual)","41 Source Type",$C$5,"5 Source no.",$C482,"4 Item Ledger Entry Type",$C$4,"2 Item No.","@@"&amp;$F482,"3 Posting Date",U$9)</t>
  </si>
  <si>
    <t>=U482-W482</t>
  </si>
  <si>
    <t>=IF(U482&lt;&gt;0,X482/U482,"")</t>
  </si>
  <si>
    <t>=NL("Sum","5802 Value Entry","150 Sales Amount (Expected)","41 Source Type",$C$5,"5 Source No.",$C482,"4 Item Ledger Entry Type",$C$4,"2 Item No.","@@"&amp;$F482,"3 Posting Date",Z$9)+NL("Sum","5802 Value Entry","17 Sales Amount (Actual)","41 Source Type",$C$5,"5 Source no.",$C482,"4 Item Ledger Entry Type",$C$4,"2 Item No.","@@"&amp;$F482,"3 Posting Date",Z$9)</t>
  </si>
  <si>
    <t>=-NL("Sum","5802 Value Entry","151 Cost Amount (Expected)","41 Source Type",$C$5,"5 Source No.",$C482,"4 Item Ledger Entry Type",$C$4,"2 Item No.","@@"&amp;$F482,"3 Posting Date",Z$9)-NL("Sum","5802 Value Entry","43 Cost Amount (Actual)","41 Source Type",$C$5,"5 Source no.",$C482,"4 Item Ledger Entry Type",$C$4,"2 Item No.","@@"&amp;$F482,"3 Posting Date",Z$9)</t>
  </si>
  <si>
    <t>=Z482-AB482</t>
  </si>
  <si>
    <t>=IF(Z482&lt;&gt;0,AC482/Z482,"")</t>
  </si>
  <si>
    <t>=C482</t>
  </si>
  <si>
    <t>=NL("Sum","5802 Value Entry","150 Sales Amount (Expected)","41 Source Type",$C$5,"5 Source No.",$C483,"4 Item Ledger Entry Type",$C$4,"2 Item No.","@@"&amp;$F483,"3 Posting Date",J$9)+NL("Sum","5802 Value Entry","17 Sales Amount (Actual)","41 Source Type",$C$5,"5 Source no.",$C483,"4 Item Ledger Entry Type",$C$4,"2 Item No.","@@"&amp;$F483,"3 Posting Date",J$9)</t>
  </si>
  <si>
    <t>=-NL("Sum","5802 Value Entry","151 Cost Amount (Expected)","41 Source Type",$C$5,"5 Source No.",$C483,"4 Item Ledger Entry Type",$C$4,"2 Item No.","@@"&amp;$F483,"3 Posting Date",J$9)-NL("Sum","5802 Value Entry","43 Cost Amount (Actual)","41 Source Type",$C$5,"5 Source no.",$C483,"4 Item Ledger Entry Type",$C$4,"2 Item No.","@@"&amp;$F483,"3 Posting Date",J$9)</t>
  </si>
  <si>
    <t>=J483-L483</t>
  </si>
  <si>
    <t>=IF(J483&lt;&gt;0,M483/J483,"")</t>
  </si>
  <si>
    <t>=NL("Sum","5802 Value Entry","150 Sales Amount (Expected)","41 Source Type",$C$5,"5 Source No.",$C483,"4 Item Ledger Entry Type",$C$4,"2 Item No.","@@"&amp;$F483,"3 Posting Date",O$9)+NL("Sum","5802 Value Entry","17 Sales Amount (Actual)","41 Source Type",$C$5,"5 Source no.",$C483,"4 Item Ledger Entry Type",$C$4,"2 Item No.","@@"&amp;$F483,"3 Posting Date",O$9)</t>
  </si>
  <si>
    <t>=-NL("Sum","5802 Value Entry","151 Cost Amount (Expected)","41 Source Type",$C$5,"5 Source No.",$C483,"4 Item Ledger Entry Type",$C$4,"2 Item No.","@@"&amp;$F483,"3 Posting Date",O$9)-NL("Sum","5802 Value Entry","43 Cost Amount (Actual)","41 Source Type",$C$5,"5 Source no.",$C483,"4 Item Ledger Entry Type",$C$4,"2 Item No.","@@"&amp;$F483,"3 Posting Date",O$9)</t>
  </si>
  <si>
    <t>=O483-Q483</t>
  </si>
  <si>
    <t>=IF(O483&lt;&gt;0,R483/O483,"")</t>
  </si>
  <si>
    <t>=NL("Sum","5802 Value Entry","150 Sales Amount (Expected)","41 Source Type",$C$5,"5 Source No.",$C483,"4 Item Ledger Entry Type",$C$4,"2 Item No.","@@"&amp;$F483,"3 Posting Date",U$9)+NL("Sum","5802 Value Entry","17 Sales Amount (Actual)","41 Source Type",$C$5,"5 Source no.",$C483,"4 Item Ledger Entry Type",$C$4,"2 Item No.","@@"&amp;$F483,"3 Posting Date",U$9)</t>
  </si>
  <si>
    <t>=-NL("Sum","5802 Value Entry","151 Cost Amount (Expected)","41 Source Type",$C$5,"5 Source No.",$C483,"4 Item Ledger Entry Type",$C$4,"2 Item No.","@@"&amp;$F483,"3 Posting Date",U$9)-NL("Sum","5802 Value Entry","43 Cost Amount (Actual)","41 Source Type",$C$5,"5 Source no.",$C483,"4 Item Ledger Entry Type",$C$4,"2 Item No.","@@"&amp;$F483,"3 Posting Date",U$9)</t>
  </si>
  <si>
    <t>=U483-W483</t>
  </si>
  <si>
    <t>=IF(U483&lt;&gt;0,X483/U483,"")</t>
  </si>
  <si>
    <t>=NL("Sum","5802 Value Entry","150 Sales Amount (Expected)","41 Source Type",$C$5,"5 Source No.",$C483,"4 Item Ledger Entry Type",$C$4,"2 Item No.","@@"&amp;$F483,"3 Posting Date",Z$9)+NL("Sum","5802 Value Entry","17 Sales Amount (Actual)","41 Source Type",$C$5,"5 Source no.",$C483,"4 Item Ledger Entry Type",$C$4,"2 Item No.","@@"&amp;$F483,"3 Posting Date",Z$9)</t>
  </si>
  <si>
    <t>=-NL("Sum","5802 Value Entry","151 Cost Amount (Expected)","41 Source Type",$C$5,"5 Source No.",$C483,"4 Item Ledger Entry Type",$C$4,"2 Item No.","@@"&amp;$F483,"3 Posting Date",Z$9)-NL("Sum","5802 Value Entry","43 Cost Amount (Actual)","41 Source Type",$C$5,"5 Source no.",$C483,"4 Item Ledger Entry Type",$C$4,"2 Item No.","@@"&amp;$F483,"3 Posting Date",Z$9)</t>
  </si>
  <si>
    <t>=Z483-AB483</t>
  </si>
  <si>
    <t>=IF(Z483&lt;&gt;0,AC483/Z483,"")</t>
  </si>
  <si>
    <t>=C483</t>
  </si>
  <si>
    <t>=NL("Sum","5802 Value Entry","150 Sales Amount (Expected)","41 Source Type",$C$5,"5 Source No.",$C484,"4 Item Ledger Entry Type",$C$4,"2 Item No.","@@"&amp;$F484,"3 Posting Date",J$9)+NL("Sum","5802 Value Entry","17 Sales Amount (Actual)","41 Source Type",$C$5,"5 Source no.",$C484,"4 Item Ledger Entry Type",$C$4,"2 Item No.","@@"&amp;$F484,"3 Posting Date",J$9)</t>
  </si>
  <si>
    <t>=-NL("Sum","5802 Value Entry","151 Cost Amount (Expected)","41 Source Type",$C$5,"5 Source No.",$C484,"4 Item Ledger Entry Type",$C$4,"2 Item No.","@@"&amp;$F484,"3 Posting Date",J$9)-NL("Sum","5802 Value Entry","43 Cost Amount (Actual)","41 Source Type",$C$5,"5 Source no.",$C484,"4 Item Ledger Entry Type",$C$4,"2 Item No.","@@"&amp;$F484,"3 Posting Date",J$9)</t>
  </si>
  <si>
    <t>=J484-L484</t>
  </si>
  <si>
    <t>=IF(J484&lt;&gt;0,M484/J484,"")</t>
  </si>
  <si>
    <t>=NL("Sum","5802 Value Entry","150 Sales Amount (Expected)","41 Source Type",$C$5,"5 Source No.",$C484,"4 Item Ledger Entry Type",$C$4,"2 Item No.","@@"&amp;$F484,"3 Posting Date",O$9)+NL("Sum","5802 Value Entry","17 Sales Amount (Actual)","41 Source Type",$C$5,"5 Source no.",$C484,"4 Item Ledger Entry Type",$C$4,"2 Item No.","@@"&amp;$F484,"3 Posting Date",O$9)</t>
  </si>
  <si>
    <t>=-NL("Sum","5802 Value Entry","151 Cost Amount (Expected)","41 Source Type",$C$5,"5 Source No.",$C484,"4 Item Ledger Entry Type",$C$4,"2 Item No.","@@"&amp;$F484,"3 Posting Date",O$9)-NL("Sum","5802 Value Entry","43 Cost Amount (Actual)","41 Source Type",$C$5,"5 Source no.",$C484,"4 Item Ledger Entry Type",$C$4,"2 Item No.","@@"&amp;$F484,"3 Posting Date",O$9)</t>
  </si>
  <si>
    <t>=O484-Q484</t>
  </si>
  <si>
    <t>=IF(O484&lt;&gt;0,R484/O484,"")</t>
  </si>
  <si>
    <t>=NL("Sum","5802 Value Entry","150 Sales Amount (Expected)","41 Source Type",$C$5,"5 Source No.",$C484,"4 Item Ledger Entry Type",$C$4,"2 Item No.","@@"&amp;$F484,"3 Posting Date",U$9)+NL("Sum","5802 Value Entry","17 Sales Amount (Actual)","41 Source Type",$C$5,"5 Source no.",$C484,"4 Item Ledger Entry Type",$C$4,"2 Item No.","@@"&amp;$F484,"3 Posting Date",U$9)</t>
  </si>
  <si>
    <t>=-NL("Sum","5802 Value Entry","151 Cost Amount (Expected)","41 Source Type",$C$5,"5 Source No.",$C484,"4 Item Ledger Entry Type",$C$4,"2 Item No.","@@"&amp;$F484,"3 Posting Date",U$9)-NL("Sum","5802 Value Entry","43 Cost Amount (Actual)","41 Source Type",$C$5,"5 Source no.",$C484,"4 Item Ledger Entry Type",$C$4,"2 Item No.","@@"&amp;$F484,"3 Posting Date",U$9)</t>
  </si>
  <si>
    <t>=U484-W484</t>
  </si>
  <si>
    <t>=IF(U484&lt;&gt;0,X484/U484,"")</t>
  </si>
  <si>
    <t>=NL("Sum","5802 Value Entry","150 Sales Amount (Expected)","41 Source Type",$C$5,"5 Source No.",$C484,"4 Item Ledger Entry Type",$C$4,"2 Item No.","@@"&amp;$F484,"3 Posting Date",Z$9)+NL("Sum","5802 Value Entry","17 Sales Amount (Actual)","41 Source Type",$C$5,"5 Source no.",$C484,"4 Item Ledger Entry Type",$C$4,"2 Item No.","@@"&amp;$F484,"3 Posting Date",Z$9)</t>
  </si>
  <si>
    <t>=-NL("Sum","5802 Value Entry","151 Cost Amount (Expected)","41 Source Type",$C$5,"5 Source No.",$C484,"4 Item Ledger Entry Type",$C$4,"2 Item No.","@@"&amp;$F484,"3 Posting Date",Z$9)-NL("Sum","5802 Value Entry","43 Cost Amount (Actual)","41 Source Type",$C$5,"5 Source no.",$C484,"4 Item Ledger Entry Type",$C$4,"2 Item No.","@@"&amp;$F484,"3 Posting Date",Z$9)</t>
  </si>
  <si>
    <t>=Z484-AB484</t>
  </si>
  <si>
    <t>=IF(Z484&lt;&gt;0,AC484/Z484,"")</t>
  </si>
  <si>
    <t>=C484</t>
  </si>
  <si>
    <t>=NL("Sum","5802 Value Entry","150 Sales Amount (Expected)","41 Source Type",$C$5,"5 Source No.",$C485,"4 Item Ledger Entry Type",$C$4,"2 Item No.","@@"&amp;$F485,"3 Posting Date",J$9)+NL("Sum","5802 Value Entry","17 Sales Amount (Actual)","41 Source Type",$C$5,"5 Source no.",$C485,"4 Item Ledger Entry Type",$C$4,"2 Item No.","@@"&amp;$F485,"3 Posting Date",J$9)</t>
  </si>
  <si>
    <t>=-NL("Sum","5802 Value Entry","151 Cost Amount (Expected)","41 Source Type",$C$5,"5 Source No.",$C485,"4 Item Ledger Entry Type",$C$4,"2 Item No.","@@"&amp;$F485,"3 Posting Date",J$9)-NL("Sum","5802 Value Entry","43 Cost Amount (Actual)","41 Source Type",$C$5,"5 Source no.",$C485,"4 Item Ledger Entry Type",$C$4,"2 Item No.","@@"&amp;$F485,"3 Posting Date",J$9)</t>
  </si>
  <si>
    <t>=J485-L485</t>
  </si>
  <si>
    <t>=IF(J485&lt;&gt;0,M485/J485,"")</t>
  </si>
  <si>
    <t>=NL("Sum","5802 Value Entry","150 Sales Amount (Expected)","41 Source Type",$C$5,"5 Source No.",$C485,"4 Item Ledger Entry Type",$C$4,"2 Item No.","@@"&amp;$F485,"3 Posting Date",O$9)+NL("Sum","5802 Value Entry","17 Sales Amount (Actual)","41 Source Type",$C$5,"5 Source no.",$C485,"4 Item Ledger Entry Type",$C$4,"2 Item No.","@@"&amp;$F485,"3 Posting Date",O$9)</t>
  </si>
  <si>
    <t>=-NL("Sum","5802 Value Entry","151 Cost Amount (Expected)","41 Source Type",$C$5,"5 Source No.",$C485,"4 Item Ledger Entry Type",$C$4,"2 Item No.","@@"&amp;$F485,"3 Posting Date",O$9)-NL("Sum","5802 Value Entry","43 Cost Amount (Actual)","41 Source Type",$C$5,"5 Source no.",$C485,"4 Item Ledger Entry Type",$C$4,"2 Item No.","@@"&amp;$F485,"3 Posting Date",O$9)</t>
  </si>
  <si>
    <t>=O485-Q485</t>
  </si>
  <si>
    <t>=IF(O485&lt;&gt;0,R485/O485,"")</t>
  </si>
  <si>
    <t>=NL("Sum","5802 Value Entry","150 Sales Amount (Expected)","41 Source Type",$C$5,"5 Source No.",$C485,"4 Item Ledger Entry Type",$C$4,"2 Item No.","@@"&amp;$F485,"3 Posting Date",U$9)+NL("Sum","5802 Value Entry","17 Sales Amount (Actual)","41 Source Type",$C$5,"5 Source no.",$C485,"4 Item Ledger Entry Type",$C$4,"2 Item No.","@@"&amp;$F485,"3 Posting Date",U$9)</t>
  </si>
  <si>
    <t>=-NL("Sum","5802 Value Entry","151 Cost Amount (Expected)","41 Source Type",$C$5,"5 Source No.",$C485,"4 Item Ledger Entry Type",$C$4,"2 Item No.","@@"&amp;$F485,"3 Posting Date",U$9)-NL("Sum","5802 Value Entry","43 Cost Amount (Actual)","41 Source Type",$C$5,"5 Source no.",$C485,"4 Item Ledger Entry Type",$C$4,"2 Item No.","@@"&amp;$F485,"3 Posting Date",U$9)</t>
  </si>
  <si>
    <t>=U485-W485</t>
  </si>
  <si>
    <t>=IF(U485&lt;&gt;0,X485/U485,"")</t>
  </si>
  <si>
    <t>=NL("Sum","5802 Value Entry","150 Sales Amount (Expected)","41 Source Type",$C$5,"5 Source No.",$C485,"4 Item Ledger Entry Type",$C$4,"2 Item No.","@@"&amp;$F485,"3 Posting Date",Z$9)+NL("Sum","5802 Value Entry","17 Sales Amount (Actual)","41 Source Type",$C$5,"5 Source no.",$C485,"4 Item Ledger Entry Type",$C$4,"2 Item No.","@@"&amp;$F485,"3 Posting Date",Z$9)</t>
  </si>
  <si>
    <t>=-NL("Sum","5802 Value Entry","151 Cost Amount (Expected)","41 Source Type",$C$5,"5 Source No.",$C485,"4 Item Ledger Entry Type",$C$4,"2 Item No.","@@"&amp;$F485,"3 Posting Date",Z$9)-NL("Sum","5802 Value Entry","43 Cost Amount (Actual)","41 Source Type",$C$5,"5 Source no.",$C485,"4 Item Ledger Entry Type",$C$4,"2 Item No.","@@"&amp;$F485,"3 Posting Date",Z$9)</t>
  </si>
  <si>
    <t>=Z485-AB485</t>
  </si>
  <si>
    <t>=IF(Z485&lt;&gt;0,AC485/Z485,"")</t>
  </si>
  <si>
    <t>=C485</t>
  </si>
  <si>
    <t>=NL("Sum","5802 Value Entry","150 Sales Amount (Expected)","41 Source Type",$C$5,"5 Source No.",$C486,"4 Item Ledger Entry Type",$C$4,"2 Item No.","@@"&amp;$F486,"3 Posting Date",J$9)+NL("Sum","5802 Value Entry","17 Sales Amount (Actual)","41 Source Type",$C$5,"5 Source no.",$C486,"4 Item Ledger Entry Type",$C$4,"2 Item No.","@@"&amp;$F486,"3 Posting Date",J$9)</t>
  </si>
  <si>
    <t>=-NL("Sum","5802 Value Entry","151 Cost Amount (Expected)","41 Source Type",$C$5,"5 Source No.",$C486,"4 Item Ledger Entry Type",$C$4,"2 Item No.","@@"&amp;$F486,"3 Posting Date",J$9)-NL("Sum","5802 Value Entry","43 Cost Amount (Actual)","41 Source Type",$C$5,"5 Source no.",$C486,"4 Item Ledger Entry Type",$C$4,"2 Item No.","@@"&amp;$F486,"3 Posting Date",J$9)</t>
  </si>
  <si>
    <t>=J486-L486</t>
  </si>
  <si>
    <t>=IF(J486&lt;&gt;0,M486/J486,"")</t>
  </si>
  <si>
    <t>=NL("Sum","5802 Value Entry","150 Sales Amount (Expected)","41 Source Type",$C$5,"5 Source No.",$C486,"4 Item Ledger Entry Type",$C$4,"2 Item No.","@@"&amp;$F486,"3 Posting Date",O$9)+NL("Sum","5802 Value Entry","17 Sales Amount (Actual)","41 Source Type",$C$5,"5 Source no.",$C486,"4 Item Ledger Entry Type",$C$4,"2 Item No.","@@"&amp;$F486,"3 Posting Date",O$9)</t>
  </si>
  <si>
    <t>=-NL("Sum","5802 Value Entry","151 Cost Amount (Expected)","41 Source Type",$C$5,"5 Source No.",$C486,"4 Item Ledger Entry Type",$C$4,"2 Item No.","@@"&amp;$F486,"3 Posting Date",O$9)-NL("Sum","5802 Value Entry","43 Cost Amount (Actual)","41 Source Type",$C$5,"5 Source no.",$C486,"4 Item Ledger Entry Type",$C$4,"2 Item No.","@@"&amp;$F486,"3 Posting Date",O$9)</t>
  </si>
  <si>
    <t>=O486-Q486</t>
  </si>
  <si>
    <t>=IF(O486&lt;&gt;0,R486/O486,"")</t>
  </si>
  <si>
    <t>=NL("Sum","5802 Value Entry","150 Sales Amount (Expected)","41 Source Type",$C$5,"5 Source No.",$C486,"4 Item Ledger Entry Type",$C$4,"2 Item No.","@@"&amp;$F486,"3 Posting Date",U$9)+NL("Sum","5802 Value Entry","17 Sales Amount (Actual)","41 Source Type",$C$5,"5 Source no.",$C486,"4 Item Ledger Entry Type",$C$4,"2 Item No.","@@"&amp;$F486,"3 Posting Date",U$9)</t>
  </si>
  <si>
    <t>=-NL("Sum","5802 Value Entry","151 Cost Amount (Expected)","41 Source Type",$C$5,"5 Source No.",$C486,"4 Item Ledger Entry Type",$C$4,"2 Item No.","@@"&amp;$F486,"3 Posting Date",U$9)-NL("Sum","5802 Value Entry","43 Cost Amount (Actual)","41 Source Type",$C$5,"5 Source no.",$C486,"4 Item Ledger Entry Type",$C$4,"2 Item No.","@@"&amp;$F486,"3 Posting Date",U$9)</t>
  </si>
  <si>
    <t>=U486-W486</t>
  </si>
  <si>
    <t>=IF(U486&lt;&gt;0,X486/U486,"")</t>
  </si>
  <si>
    <t>=NL("Sum","5802 Value Entry","150 Sales Amount (Expected)","41 Source Type",$C$5,"5 Source No.",$C486,"4 Item Ledger Entry Type",$C$4,"2 Item No.","@@"&amp;$F486,"3 Posting Date",Z$9)+NL("Sum","5802 Value Entry","17 Sales Amount (Actual)","41 Source Type",$C$5,"5 Source no.",$C486,"4 Item Ledger Entry Type",$C$4,"2 Item No.","@@"&amp;$F486,"3 Posting Date",Z$9)</t>
  </si>
  <si>
    <t>=-NL("Sum","5802 Value Entry","151 Cost Amount (Expected)","41 Source Type",$C$5,"5 Source No.",$C486,"4 Item Ledger Entry Type",$C$4,"2 Item No.","@@"&amp;$F486,"3 Posting Date",Z$9)-NL("Sum","5802 Value Entry","43 Cost Amount (Actual)","41 Source Type",$C$5,"5 Source no.",$C486,"4 Item Ledger Entry Type",$C$4,"2 Item No.","@@"&amp;$F486,"3 Posting Date",Z$9)</t>
  </si>
  <si>
    <t>=Z486-AB486</t>
  </si>
  <si>
    <t>=IF(Z486&lt;&gt;0,AC486/Z486,"")</t>
  </si>
  <si>
    <t>=C486</t>
  </si>
  <si>
    <t>=NL("Sum","5802 Value Entry","150 Sales Amount (Expected)","41 Source Type",$C$5,"5 Source No.",$C487,"4 Item Ledger Entry Type",$C$4,"2 Item No.","@@"&amp;$F487,"3 Posting Date",J$9)+NL("Sum","5802 Value Entry","17 Sales Amount (Actual)","41 Source Type",$C$5,"5 Source no.",$C487,"4 Item Ledger Entry Type",$C$4,"2 Item No.","@@"&amp;$F487,"3 Posting Date",J$9)</t>
  </si>
  <si>
    <t>=-NL("Sum","5802 Value Entry","151 Cost Amount (Expected)","41 Source Type",$C$5,"5 Source No.",$C487,"4 Item Ledger Entry Type",$C$4,"2 Item No.","@@"&amp;$F487,"3 Posting Date",J$9)-NL("Sum","5802 Value Entry","43 Cost Amount (Actual)","41 Source Type",$C$5,"5 Source no.",$C487,"4 Item Ledger Entry Type",$C$4,"2 Item No.","@@"&amp;$F487,"3 Posting Date",J$9)</t>
  </si>
  <si>
    <t>=J487-L487</t>
  </si>
  <si>
    <t>=IF(J487&lt;&gt;0,M487/J487,"")</t>
  </si>
  <si>
    <t>=NL("Sum","5802 Value Entry","150 Sales Amount (Expected)","41 Source Type",$C$5,"5 Source No.",$C487,"4 Item Ledger Entry Type",$C$4,"2 Item No.","@@"&amp;$F487,"3 Posting Date",O$9)+NL("Sum","5802 Value Entry","17 Sales Amount (Actual)","41 Source Type",$C$5,"5 Source no.",$C487,"4 Item Ledger Entry Type",$C$4,"2 Item No.","@@"&amp;$F487,"3 Posting Date",O$9)</t>
  </si>
  <si>
    <t>=-NL("Sum","5802 Value Entry","151 Cost Amount (Expected)","41 Source Type",$C$5,"5 Source No.",$C487,"4 Item Ledger Entry Type",$C$4,"2 Item No.","@@"&amp;$F487,"3 Posting Date",O$9)-NL("Sum","5802 Value Entry","43 Cost Amount (Actual)","41 Source Type",$C$5,"5 Source no.",$C487,"4 Item Ledger Entry Type",$C$4,"2 Item No.","@@"&amp;$F487,"3 Posting Date",O$9)</t>
  </si>
  <si>
    <t>=O487-Q487</t>
  </si>
  <si>
    <t>=IF(O487&lt;&gt;0,R487/O487,"")</t>
  </si>
  <si>
    <t>=NL("Sum","5802 Value Entry","150 Sales Amount (Expected)","41 Source Type",$C$5,"5 Source No.",$C487,"4 Item Ledger Entry Type",$C$4,"2 Item No.","@@"&amp;$F487,"3 Posting Date",U$9)+NL("Sum","5802 Value Entry","17 Sales Amount (Actual)","41 Source Type",$C$5,"5 Source no.",$C487,"4 Item Ledger Entry Type",$C$4,"2 Item No.","@@"&amp;$F487,"3 Posting Date",U$9)</t>
  </si>
  <si>
    <t>=-NL("Sum","5802 Value Entry","151 Cost Amount (Expected)","41 Source Type",$C$5,"5 Source No.",$C487,"4 Item Ledger Entry Type",$C$4,"2 Item No.","@@"&amp;$F487,"3 Posting Date",U$9)-NL("Sum","5802 Value Entry","43 Cost Amount (Actual)","41 Source Type",$C$5,"5 Source no.",$C487,"4 Item Ledger Entry Type",$C$4,"2 Item No.","@@"&amp;$F487,"3 Posting Date",U$9)</t>
  </si>
  <si>
    <t>=U487-W487</t>
  </si>
  <si>
    <t>=IF(U487&lt;&gt;0,X487/U487,"")</t>
  </si>
  <si>
    <t>=NL("Sum","5802 Value Entry","150 Sales Amount (Expected)","41 Source Type",$C$5,"5 Source No.",$C487,"4 Item Ledger Entry Type",$C$4,"2 Item No.","@@"&amp;$F487,"3 Posting Date",Z$9)+NL("Sum","5802 Value Entry","17 Sales Amount (Actual)","41 Source Type",$C$5,"5 Source no.",$C487,"4 Item Ledger Entry Type",$C$4,"2 Item No.","@@"&amp;$F487,"3 Posting Date",Z$9)</t>
  </si>
  <si>
    <t>=-NL("Sum","5802 Value Entry","151 Cost Amount (Expected)","41 Source Type",$C$5,"5 Source No.",$C487,"4 Item Ledger Entry Type",$C$4,"2 Item No.","@@"&amp;$F487,"3 Posting Date",Z$9)-NL("Sum","5802 Value Entry","43 Cost Amount (Actual)","41 Source Type",$C$5,"5 Source no.",$C487,"4 Item Ledger Entry Type",$C$4,"2 Item No.","@@"&amp;$F487,"3 Posting Date",Z$9)</t>
  </si>
  <si>
    <t>=Z487-AB487</t>
  </si>
  <si>
    <t>=IF(Z487&lt;&gt;0,AC487/Z487,"")</t>
  </si>
  <si>
    <t>=C487</t>
  </si>
  <si>
    <t>=NL("Sum","5802 Value Entry","150 Sales Amount (Expected)","41 Source Type",$C$5,"5 Source No.",$C488,"4 Item Ledger Entry Type",$C$4,"2 Item No.","@@"&amp;$F488,"3 Posting Date",J$9)+NL("Sum","5802 Value Entry","17 Sales Amount (Actual)","41 Source Type",$C$5,"5 Source no.",$C488,"4 Item Ledger Entry Type",$C$4,"2 Item No.","@@"&amp;$F488,"3 Posting Date",J$9)</t>
  </si>
  <si>
    <t>=-NL("Sum","5802 Value Entry","151 Cost Amount (Expected)","41 Source Type",$C$5,"5 Source No.",$C488,"4 Item Ledger Entry Type",$C$4,"2 Item No.","@@"&amp;$F488,"3 Posting Date",J$9)-NL("Sum","5802 Value Entry","43 Cost Amount (Actual)","41 Source Type",$C$5,"5 Source no.",$C488,"4 Item Ledger Entry Type",$C$4,"2 Item No.","@@"&amp;$F488,"3 Posting Date",J$9)</t>
  </si>
  <si>
    <t>=J488-L488</t>
  </si>
  <si>
    <t>=IF(J488&lt;&gt;0,M488/J488,"")</t>
  </si>
  <si>
    <t>=NL("Sum","5802 Value Entry","150 Sales Amount (Expected)","41 Source Type",$C$5,"5 Source No.",$C488,"4 Item Ledger Entry Type",$C$4,"2 Item No.","@@"&amp;$F488,"3 Posting Date",O$9)+NL("Sum","5802 Value Entry","17 Sales Amount (Actual)","41 Source Type",$C$5,"5 Source no.",$C488,"4 Item Ledger Entry Type",$C$4,"2 Item No.","@@"&amp;$F488,"3 Posting Date",O$9)</t>
  </si>
  <si>
    <t>=-NL("Sum","5802 Value Entry","151 Cost Amount (Expected)","41 Source Type",$C$5,"5 Source No.",$C488,"4 Item Ledger Entry Type",$C$4,"2 Item No.","@@"&amp;$F488,"3 Posting Date",O$9)-NL("Sum","5802 Value Entry","43 Cost Amount (Actual)","41 Source Type",$C$5,"5 Source no.",$C488,"4 Item Ledger Entry Type",$C$4,"2 Item No.","@@"&amp;$F488,"3 Posting Date",O$9)</t>
  </si>
  <si>
    <t>=O488-Q488</t>
  </si>
  <si>
    <t>=IF(O488&lt;&gt;0,R488/O488,"")</t>
  </si>
  <si>
    <t>=NL("Sum","5802 Value Entry","150 Sales Amount (Expected)","41 Source Type",$C$5,"5 Source No.",$C488,"4 Item Ledger Entry Type",$C$4,"2 Item No.","@@"&amp;$F488,"3 Posting Date",U$9)+NL("Sum","5802 Value Entry","17 Sales Amount (Actual)","41 Source Type",$C$5,"5 Source no.",$C488,"4 Item Ledger Entry Type",$C$4,"2 Item No.","@@"&amp;$F488,"3 Posting Date",U$9)</t>
  </si>
  <si>
    <t>=-NL("Sum","5802 Value Entry","151 Cost Amount (Expected)","41 Source Type",$C$5,"5 Source No.",$C488,"4 Item Ledger Entry Type",$C$4,"2 Item No.","@@"&amp;$F488,"3 Posting Date",U$9)-NL("Sum","5802 Value Entry","43 Cost Amount (Actual)","41 Source Type",$C$5,"5 Source no.",$C488,"4 Item Ledger Entry Type",$C$4,"2 Item No.","@@"&amp;$F488,"3 Posting Date",U$9)</t>
  </si>
  <si>
    <t>=U488-W488</t>
  </si>
  <si>
    <t>=IF(U488&lt;&gt;0,X488/U488,"")</t>
  </si>
  <si>
    <t>=NL("Sum","5802 Value Entry","150 Sales Amount (Expected)","41 Source Type",$C$5,"5 Source No.",$C488,"4 Item Ledger Entry Type",$C$4,"2 Item No.","@@"&amp;$F488,"3 Posting Date",Z$9)+NL("Sum","5802 Value Entry","17 Sales Amount (Actual)","41 Source Type",$C$5,"5 Source no.",$C488,"4 Item Ledger Entry Type",$C$4,"2 Item No.","@@"&amp;$F488,"3 Posting Date",Z$9)</t>
  </si>
  <si>
    <t>=-NL("Sum","5802 Value Entry","151 Cost Amount (Expected)","41 Source Type",$C$5,"5 Source No.",$C488,"4 Item Ledger Entry Type",$C$4,"2 Item No.","@@"&amp;$F488,"3 Posting Date",Z$9)-NL("Sum","5802 Value Entry","43 Cost Amount (Actual)","41 Source Type",$C$5,"5 Source no.",$C488,"4 Item Ledger Entry Type",$C$4,"2 Item No.","@@"&amp;$F488,"3 Posting Date",Z$9)</t>
  </si>
  <si>
    <t>=Z488-AB488</t>
  </si>
  <si>
    <t>=IF(Z488&lt;&gt;0,AC488/Z488,"")</t>
  </si>
  <si>
    <t>=C488</t>
  </si>
  <si>
    <t>=NL("Sum","5802 Value Entry","150 Sales Amount (Expected)","41 Source Type",$C$5,"5 Source No.",$C489,"4 Item Ledger Entry Type",$C$4,"2 Item No.","@@"&amp;$F489,"3 Posting Date",J$9)+NL("Sum","5802 Value Entry","17 Sales Amount (Actual)","41 Source Type",$C$5,"5 Source no.",$C489,"4 Item Ledger Entry Type",$C$4,"2 Item No.","@@"&amp;$F489,"3 Posting Date",J$9)</t>
  </si>
  <si>
    <t>=-NL("Sum","5802 Value Entry","151 Cost Amount (Expected)","41 Source Type",$C$5,"5 Source No.",$C489,"4 Item Ledger Entry Type",$C$4,"2 Item No.","@@"&amp;$F489,"3 Posting Date",J$9)-NL("Sum","5802 Value Entry","43 Cost Amount (Actual)","41 Source Type",$C$5,"5 Source no.",$C489,"4 Item Ledger Entry Type",$C$4,"2 Item No.","@@"&amp;$F489,"3 Posting Date",J$9)</t>
  </si>
  <si>
    <t>=J489-L489</t>
  </si>
  <si>
    <t>=IF(J489&lt;&gt;0,M489/J489,"")</t>
  </si>
  <si>
    <t>=NL("Sum","5802 Value Entry","150 Sales Amount (Expected)","41 Source Type",$C$5,"5 Source No.",$C489,"4 Item Ledger Entry Type",$C$4,"2 Item No.","@@"&amp;$F489,"3 Posting Date",O$9)+NL("Sum","5802 Value Entry","17 Sales Amount (Actual)","41 Source Type",$C$5,"5 Source no.",$C489,"4 Item Ledger Entry Type",$C$4,"2 Item No.","@@"&amp;$F489,"3 Posting Date",O$9)</t>
  </si>
  <si>
    <t>=-NL("Sum","5802 Value Entry","151 Cost Amount (Expected)","41 Source Type",$C$5,"5 Source No.",$C489,"4 Item Ledger Entry Type",$C$4,"2 Item No.","@@"&amp;$F489,"3 Posting Date",O$9)-NL("Sum","5802 Value Entry","43 Cost Amount (Actual)","41 Source Type",$C$5,"5 Source no.",$C489,"4 Item Ledger Entry Type",$C$4,"2 Item No.","@@"&amp;$F489,"3 Posting Date",O$9)</t>
  </si>
  <si>
    <t>=O489-Q489</t>
  </si>
  <si>
    <t>=IF(O489&lt;&gt;0,R489/O489,"")</t>
  </si>
  <si>
    <t>=NL("Sum","5802 Value Entry","150 Sales Amount (Expected)","41 Source Type",$C$5,"5 Source No.",$C489,"4 Item Ledger Entry Type",$C$4,"2 Item No.","@@"&amp;$F489,"3 Posting Date",U$9)+NL("Sum","5802 Value Entry","17 Sales Amount (Actual)","41 Source Type",$C$5,"5 Source no.",$C489,"4 Item Ledger Entry Type",$C$4,"2 Item No.","@@"&amp;$F489,"3 Posting Date",U$9)</t>
  </si>
  <si>
    <t>=-NL("Sum","5802 Value Entry","151 Cost Amount (Expected)","41 Source Type",$C$5,"5 Source No.",$C489,"4 Item Ledger Entry Type",$C$4,"2 Item No.","@@"&amp;$F489,"3 Posting Date",U$9)-NL("Sum","5802 Value Entry","43 Cost Amount (Actual)","41 Source Type",$C$5,"5 Source no.",$C489,"4 Item Ledger Entry Type",$C$4,"2 Item No.","@@"&amp;$F489,"3 Posting Date",U$9)</t>
  </si>
  <si>
    <t>=U489-W489</t>
  </si>
  <si>
    <t>=IF(U489&lt;&gt;0,X489/U489,"")</t>
  </si>
  <si>
    <t>=NL("Sum","5802 Value Entry","150 Sales Amount (Expected)","41 Source Type",$C$5,"5 Source No.",$C489,"4 Item Ledger Entry Type",$C$4,"2 Item No.","@@"&amp;$F489,"3 Posting Date",Z$9)+NL("Sum","5802 Value Entry","17 Sales Amount (Actual)","41 Source Type",$C$5,"5 Source no.",$C489,"4 Item Ledger Entry Type",$C$4,"2 Item No.","@@"&amp;$F489,"3 Posting Date",Z$9)</t>
  </si>
  <si>
    <t>=-NL("Sum","5802 Value Entry","151 Cost Amount (Expected)","41 Source Type",$C$5,"5 Source No.",$C489,"4 Item Ledger Entry Type",$C$4,"2 Item No.","@@"&amp;$F489,"3 Posting Date",Z$9)-NL("Sum","5802 Value Entry","43 Cost Amount (Actual)","41 Source Type",$C$5,"5 Source no.",$C489,"4 Item Ledger Entry Type",$C$4,"2 Item No.","@@"&amp;$F489,"3 Posting Date",Z$9)</t>
  </si>
  <si>
    <t>=Z489-AB489</t>
  </si>
  <si>
    <t>=IF(Z489&lt;&gt;0,AC489/Z489,"")</t>
  </si>
  <si>
    <t>=C489</t>
  </si>
  <si>
    <t>=NL("Sum","5802 Value Entry","150 Sales Amount (Expected)","41 Source Type",$C$5,"5 Source No.",$C490,"4 Item Ledger Entry Type",$C$4,"2 Item No.","@@"&amp;$F490,"3 Posting Date",J$9)+NL("Sum","5802 Value Entry","17 Sales Amount (Actual)","41 Source Type",$C$5,"5 Source no.",$C490,"4 Item Ledger Entry Type",$C$4,"2 Item No.","@@"&amp;$F490,"3 Posting Date",J$9)</t>
  </si>
  <si>
    <t>=-NL("Sum","5802 Value Entry","151 Cost Amount (Expected)","41 Source Type",$C$5,"5 Source No.",$C490,"4 Item Ledger Entry Type",$C$4,"2 Item No.","@@"&amp;$F490,"3 Posting Date",J$9)-NL("Sum","5802 Value Entry","43 Cost Amount (Actual)","41 Source Type",$C$5,"5 Source no.",$C490,"4 Item Ledger Entry Type",$C$4,"2 Item No.","@@"&amp;$F490,"3 Posting Date",J$9)</t>
  </si>
  <si>
    <t>=J490-L490</t>
  </si>
  <si>
    <t>=IF(J490&lt;&gt;0,M490/J490,"")</t>
  </si>
  <si>
    <t>=NL("Sum","5802 Value Entry","150 Sales Amount (Expected)","41 Source Type",$C$5,"5 Source No.",$C490,"4 Item Ledger Entry Type",$C$4,"2 Item No.","@@"&amp;$F490,"3 Posting Date",O$9)+NL("Sum","5802 Value Entry","17 Sales Amount (Actual)","41 Source Type",$C$5,"5 Source no.",$C490,"4 Item Ledger Entry Type",$C$4,"2 Item No.","@@"&amp;$F490,"3 Posting Date",O$9)</t>
  </si>
  <si>
    <t>=-NL("Sum","5802 Value Entry","151 Cost Amount (Expected)","41 Source Type",$C$5,"5 Source No.",$C490,"4 Item Ledger Entry Type",$C$4,"2 Item No.","@@"&amp;$F490,"3 Posting Date",O$9)-NL("Sum","5802 Value Entry","43 Cost Amount (Actual)","41 Source Type",$C$5,"5 Source no.",$C490,"4 Item Ledger Entry Type",$C$4,"2 Item No.","@@"&amp;$F490,"3 Posting Date",O$9)</t>
  </si>
  <si>
    <t>=O490-Q490</t>
  </si>
  <si>
    <t>=IF(O490&lt;&gt;0,R490/O490,"")</t>
  </si>
  <si>
    <t>=NL("Sum","5802 Value Entry","150 Sales Amount (Expected)","41 Source Type",$C$5,"5 Source No.",$C490,"4 Item Ledger Entry Type",$C$4,"2 Item No.","@@"&amp;$F490,"3 Posting Date",U$9)+NL("Sum","5802 Value Entry","17 Sales Amount (Actual)","41 Source Type",$C$5,"5 Source no.",$C490,"4 Item Ledger Entry Type",$C$4,"2 Item No.","@@"&amp;$F490,"3 Posting Date",U$9)</t>
  </si>
  <si>
    <t>=-NL("Sum","5802 Value Entry","151 Cost Amount (Expected)","41 Source Type",$C$5,"5 Source No.",$C490,"4 Item Ledger Entry Type",$C$4,"2 Item No.","@@"&amp;$F490,"3 Posting Date",U$9)-NL("Sum","5802 Value Entry","43 Cost Amount (Actual)","41 Source Type",$C$5,"5 Source no.",$C490,"4 Item Ledger Entry Type",$C$4,"2 Item No.","@@"&amp;$F490,"3 Posting Date",U$9)</t>
  </si>
  <si>
    <t>=U490-W490</t>
  </si>
  <si>
    <t>=IF(U490&lt;&gt;0,X490/U490,"")</t>
  </si>
  <si>
    <t>=NL("Sum","5802 Value Entry","150 Sales Amount (Expected)","41 Source Type",$C$5,"5 Source No.",$C490,"4 Item Ledger Entry Type",$C$4,"2 Item No.","@@"&amp;$F490,"3 Posting Date",Z$9)+NL("Sum","5802 Value Entry","17 Sales Amount (Actual)","41 Source Type",$C$5,"5 Source no.",$C490,"4 Item Ledger Entry Type",$C$4,"2 Item No.","@@"&amp;$F490,"3 Posting Date",Z$9)</t>
  </si>
  <si>
    <t>=-NL("Sum","5802 Value Entry","151 Cost Amount (Expected)","41 Source Type",$C$5,"5 Source No.",$C490,"4 Item Ledger Entry Type",$C$4,"2 Item No.","@@"&amp;$F490,"3 Posting Date",Z$9)-NL("Sum","5802 Value Entry","43 Cost Amount (Actual)","41 Source Type",$C$5,"5 Source no.",$C490,"4 Item Ledger Entry Type",$C$4,"2 Item No.","@@"&amp;$F490,"3 Posting Date",Z$9)</t>
  </si>
  <si>
    <t>=Z490-AB490</t>
  </si>
  <si>
    <t>=IF(Z490&lt;&gt;0,AC490/Z490,"")</t>
  </si>
  <si>
    <t>=C490</t>
  </si>
  <si>
    <t>=NL("Sum","5802 Value Entry","150 Sales Amount (Expected)","41 Source Type",$C$5,"5 Source No.",$C491,"4 Item Ledger Entry Type",$C$4,"2 Item No.","@@"&amp;$F491,"3 Posting Date",J$9)+NL("Sum","5802 Value Entry","17 Sales Amount (Actual)","41 Source Type",$C$5,"5 Source no.",$C491,"4 Item Ledger Entry Type",$C$4,"2 Item No.","@@"&amp;$F491,"3 Posting Date",J$9)</t>
  </si>
  <si>
    <t>=-NL("Sum","5802 Value Entry","151 Cost Amount (Expected)","41 Source Type",$C$5,"5 Source No.",$C491,"4 Item Ledger Entry Type",$C$4,"2 Item No.","@@"&amp;$F491,"3 Posting Date",J$9)-NL("Sum","5802 Value Entry","43 Cost Amount (Actual)","41 Source Type",$C$5,"5 Source no.",$C491,"4 Item Ledger Entry Type",$C$4,"2 Item No.","@@"&amp;$F491,"3 Posting Date",J$9)</t>
  </si>
  <si>
    <t>=J491-L491</t>
  </si>
  <si>
    <t>=IF(J491&lt;&gt;0,M491/J491,"")</t>
  </si>
  <si>
    <t>=NL("Sum","5802 Value Entry","150 Sales Amount (Expected)","41 Source Type",$C$5,"5 Source No.",$C491,"4 Item Ledger Entry Type",$C$4,"2 Item No.","@@"&amp;$F491,"3 Posting Date",O$9)+NL("Sum","5802 Value Entry","17 Sales Amount (Actual)","41 Source Type",$C$5,"5 Source no.",$C491,"4 Item Ledger Entry Type",$C$4,"2 Item No.","@@"&amp;$F491,"3 Posting Date",O$9)</t>
  </si>
  <si>
    <t>=-NL("Sum","5802 Value Entry","151 Cost Amount (Expected)","41 Source Type",$C$5,"5 Source No.",$C491,"4 Item Ledger Entry Type",$C$4,"2 Item No.","@@"&amp;$F491,"3 Posting Date",O$9)-NL("Sum","5802 Value Entry","43 Cost Amount (Actual)","41 Source Type",$C$5,"5 Source no.",$C491,"4 Item Ledger Entry Type",$C$4,"2 Item No.","@@"&amp;$F491,"3 Posting Date",O$9)</t>
  </si>
  <si>
    <t>=O491-Q491</t>
  </si>
  <si>
    <t>=IF(O491&lt;&gt;0,R491/O491,"")</t>
  </si>
  <si>
    <t>=NL("Sum","5802 Value Entry","150 Sales Amount (Expected)","41 Source Type",$C$5,"5 Source No.",$C491,"4 Item Ledger Entry Type",$C$4,"2 Item No.","@@"&amp;$F491,"3 Posting Date",U$9)+NL("Sum","5802 Value Entry","17 Sales Amount (Actual)","41 Source Type",$C$5,"5 Source no.",$C491,"4 Item Ledger Entry Type",$C$4,"2 Item No.","@@"&amp;$F491,"3 Posting Date",U$9)</t>
  </si>
  <si>
    <t>=-NL("Sum","5802 Value Entry","151 Cost Amount (Expected)","41 Source Type",$C$5,"5 Source No.",$C491,"4 Item Ledger Entry Type",$C$4,"2 Item No.","@@"&amp;$F491,"3 Posting Date",U$9)-NL("Sum","5802 Value Entry","43 Cost Amount (Actual)","41 Source Type",$C$5,"5 Source no.",$C491,"4 Item Ledger Entry Type",$C$4,"2 Item No.","@@"&amp;$F491,"3 Posting Date",U$9)</t>
  </si>
  <si>
    <t>=U491-W491</t>
  </si>
  <si>
    <t>=IF(U491&lt;&gt;0,X491/U491,"")</t>
  </si>
  <si>
    <t>=NL("Sum","5802 Value Entry","150 Sales Amount (Expected)","41 Source Type",$C$5,"5 Source No.",$C491,"4 Item Ledger Entry Type",$C$4,"2 Item No.","@@"&amp;$F491,"3 Posting Date",Z$9)+NL("Sum","5802 Value Entry","17 Sales Amount (Actual)","41 Source Type",$C$5,"5 Source no.",$C491,"4 Item Ledger Entry Type",$C$4,"2 Item No.","@@"&amp;$F491,"3 Posting Date",Z$9)</t>
  </si>
  <si>
    <t>=-NL("Sum","5802 Value Entry","151 Cost Amount (Expected)","41 Source Type",$C$5,"5 Source No.",$C491,"4 Item Ledger Entry Type",$C$4,"2 Item No.","@@"&amp;$F491,"3 Posting Date",Z$9)-NL("Sum","5802 Value Entry","43 Cost Amount (Actual)","41 Source Type",$C$5,"5 Source no.",$C491,"4 Item Ledger Entry Type",$C$4,"2 Item No.","@@"&amp;$F491,"3 Posting Date",Z$9)</t>
  </si>
  <si>
    <t>=Z491-AB491</t>
  </si>
  <si>
    <t>=IF(Z491&lt;&gt;0,AC491/Z491,"")</t>
  </si>
  <si>
    <t>=C491</t>
  </si>
  <si>
    <t>=NL("Sum","5802 Value Entry","150 Sales Amount (Expected)","41 Source Type",$C$5,"5 Source No.",$C492,"4 Item Ledger Entry Type",$C$4,"2 Item No.","@@"&amp;$F492,"3 Posting Date",J$9)+NL("Sum","5802 Value Entry","17 Sales Amount (Actual)","41 Source Type",$C$5,"5 Source no.",$C492,"4 Item Ledger Entry Type",$C$4,"2 Item No.","@@"&amp;$F492,"3 Posting Date",J$9)</t>
  </si>
  <si>
    <t>=-NL("Sum","5802 Value Entry","151 Cost Amount (Expected)","41 Source Type",$C$5,"5 Source No.",$C492,"4 Item Ledger Entry Type",$C$4,"2 Item No.","@@"&amp;$F492,"3 Posting Date",J$9)-NL("Sum","5802 Value Entry","43 Cost Amount (Actual)","41 Source Type",$C$5,"5 Source no.",$C492,"4 Item Ledger Entry Type",$C$4,"2 Item No.","@@"&amp;$F492,"3 Posting Date",J$9)</t>
  </si>
  <si>
    <t>=J492-L492</t>
  </si>
  <si>
    <t>=IF(J492&lt;&gt;0,M492/J492,"")</t>
  </si>
  <si>
    <t>=NL("Sum","5802 Value Entry","150 Sales Amount (Expected)","41 Source Type",$C$5,"5 Source No.",$C492,"4 Item Ledger Entry Type",$C$4,"2 Item No.","@@"&amp;$F492,"3 Posting Date",O$9)+NL("Sum","5802 Value Entry","17 Sales Amount (Actual)","41 Source Type",$C$5,"5 Source no.",$C492,"4 Item Ledger Entry Type",$C$4,"2 Item No.","@@"&amp;$F492,"3 Posting Date",O$9)</t>
  </si>
  <si>
    <t>=-NL("Sum","5802 Value Entry","151 Cost Amount (Expected)","41 Source Type",$C$5,"5 Source No.",$C492,"4 Item Ledger Entry Type",$C$4,"2 Item No.","@@"&amp;$F492,"3 Posting Date",O$9)-NL("Sum","5802 Value Entry","43 Cost Amount (Actual)","41 Source Type",$C$5,"5 Source no.",$C492,"4 Item Ledger Entry Type",$C$4,"2 Item No.","@@"&amp;$F492,"3 Posting Date",O$9)</t>
  </si>
  <si>
    <t>=O492-Q492</t>
  </si>
  <si>
    <t>=IF(O492&lt;&gt;0,R492/O492,"")</t>
  </si>
  <si>
    <t>=NL("Sum","5802 Value Entry","150 Sales Amount (Expected)","41 Source Type",$C$5,"5 Source No.",$C492,"4 Item Ledger Entry Type",$C$4,"2 Item No.","@@"&amp;$F492,"3 Posting Date",U$9)+NL("Sum","5802 Value Entry","17 Sales Amount (Actual)","41 Source Type",$C$5,"5 Source no.",$C492,"4 Item Ledger Entry Type",$C$4,"2 Item No.","@@"&amp;$F492,"3 Posting Date",U$9)</t>
  </si>
  <si>
    <t>=-NL("Sum","5802 Value Entry","151 Cost Amount (Expected)","41 Source Type",$C$5,"5 Source No.",$C492,"4 Item Ledger Entry Type",$C$4,"2 Item No.","@@"&amp;$F492,"3 Posting Date",U$9)-NL("Sum","5802 Value Entry","43 Cost Amount (Actual)","41 Source Type",$C$5,"5 Source no.",$C492,"4 Item Ledger Entry Type",$C$4,"2 Item No.","@@"&amp;$F492,"3 Posting Date",U$9)</t>
  </si>
  <si>
    <t>=U492-W492</t>
  </si>
  <si>
    <t>=IF(U492&lt;&gt;0,X492/U492,"")</t>
  </si>
  <si>
    <t>=NL("Sum","5802 Value Entry","150 Sales Amount (Expected)","41 Source Type",$C$5,"5 Source No.",$C492,"4 Item Ledger Entry Type",$C$4,"2 Item No.","@@"&amp;$F492,"3 Posting Date",Z$9)+NL("Sum","5802 Value Entry","17 Sales Amount (Actual)","41 Source Type",$C$5,"5 Source no.",$C492,"4 Item Ledger Entry Type",$C$4,"2 Item No.","@@"&amp;$F492,"3 Posting Date",Z$9)</t>
  </si>
  <si>
    <t>=-NL("Sum","5802 Value Entry","151 Cost Amount (Expected)","41 Source Type",$C$5,"5 Source No.",$C492,"4 Item Ledger Entry Type",$C$4,"2 Item No.","@@"&amp;$F492,"3 Posting Date",Z$9)-NL("Sum","5802 Value Entry","43 Cost Amount (Actual)","41 Source Type",$C$5,"5 Source no.",$C492,"4 Item Ledger Entry Type",$C$4,"2 Item No.","@@"&amp;$F492,"3 Posting Date",Z$9)</t>
  </si>
  <si>
    <t>=Z492-AB492</t>
  </si>
  <si>
    <t>=IF(Z492&lt;&gt;0,AC492/Z492,"")</t>
  </si>
  <si>
    <t>=C493</t>
  </si>
  <si>
    <t>=J494-L494</t>
  </si>
  <si>
    <t>=IF(J494&lt;&gt;0,M494/J494,"")</t>
  </si>
  <si>
    <t>=O494-Q494</t>
  </si>
  <si>
    <t>=IF(O494&lt;&gt;0,R494/O494,"")</t>
  </si>
  <si>
    <t>=U494-W494</t>
  </si>
  <si>
    <t>=IF(U494&lt;&gt;0,X494/U494,"")</t>
  </si>
  <si>
    <t>=Z494-AB494</t>
  </si>
  <si>
    <t>=IF(Z494&lt;&gt;0,AC494/Z494,"")</t>
  </si>
  <si>
    <t>=C496</t>
  </si>
  <si>
    <t>=C497</t>
  </si>
  <si>
    <t>=NL("Sum","5802 Value Entry","150 Sales Amount (Expected)","41 Source Type",$C$5,"5 Source No.",$C498,"4 Item Ledger Entry Type",$C$4,"2 Item No.","@@"&amp;$F498,"3 Posting Date",J$9)+NL("Sum","5802 Value Entry","17 Sales Amount (Actual)","41 Source Type",$C$5,"5 Source no.",$C498,"4 Item Ledger Entry Type",$C$4,"2 Item No.","@@"&amp;$F498,"3 Posting Date",J$9)</t>
  </si>
  <si>
    <t>=-NL("Sum","5802 Value Entry","151 Cost Amount (Expected)","41 Source Type",$C$5,"5 Source No.",$C498,"4 Item Ledger Entry Type",$C$4,"2 Item No.","@@"&amp;$F498,"3 Posting Date",J$9)-NL("Sum","5802 Value Entry","43 Cost Amount (Actual)","41 Source Type",$C$5,"5 Source no.",$C498,"4 Item Ledger Entry Type",$C$4,"2 Item No.","@@"&amp;$F498,"3 Posting Date",J$9)</t>
  </si>
  <si>
    <t>=J498-L498</t>
  </si>
  <si>
    <t>=IF(J498&lt;&gt;0,M498/J498,"")</t>
  </si>
  <si>
    <t>=NL("Sum","5802 Value Entry","150 Sales Amount (Expected)","41 Source Type",$C$5,"5 Source No.",$C498,"4 Item Ledger Entry Type",$C$4,"2 Item No.","@@"&amp;$F498,"3 Posting Date",O$9)+NL("Sum","5802 Value Entry","17 Sales Amount (Actual)","41 Source Type",$C$5,"5 Source no.",$C498,"4 Item Ledger Entry Type",$C$4,"2 Item No.","@@"&amp;$F498,"3 Posting Date",O$9)</t>
  </si>
  <si>
    <t>=-NL("Sum","5802 Value Entry","151 Cost Amount (Expected)","41 Source Type",$C$5,"5 Source No.",$C498,"4 Item Ledger Entry Type",$C$4,"2 Item No.","@@"&amp;$F498,"3 Posting Date",O$9)-NL("Sum","5802 Value Entry","43 Cost Amount (Actual)","41 Source Type",$C$5,"5 Source no.",$C498,"4 Item Ledger Entry Type",$C$4,"2 Item No.","@@"&amp;$F498,"3 Posting Date",O$9)</t>
  </si>
  <si>
    <t>=O498-Q498</t>
  </si>
  <si>
    <t>=IF(O498&lt;&gt;0,R498/O498,"")</t>
  </si>
  <si>
    <t>=NL("Sum","5802 Value Entry","150 Sales Amount (Expected)","41 Source Type",$C$5,"5 Source No.",$C498,"4 Item Ledger Entry Type",$C$4,"2 Item No.","@@"&amp;$F498,"3 Posting Date",U$9)+NL("Sum","5802 Value Entry","17 Sales Amount (Actual)","41 Source Type",$C$5,"5 Source no.",$C498,"4 Item Ledger Entry Type",$C$4,"2 Item No.","@@"&amp;$F498,"3 Posting Date",U$9)</t>
  </si>
  <si>
    <t>=-NL("Sum","5802 Value Entry","151 Cost Amount (Expected)","41 Source Type",$C$5,"5 Source No.",$C498,"4 Item Ledger Entry Type",$C$4,"2 Item No.","@@"&amp;$F498,"3 Posting Date",U$9)-NL("Sum","5802 Value Entry","43 Cost Amount (Actual)","41 Source Type",$C$5,"5 Source no.",$C498,"4 Item Ledger Entry Type",$C$4,"2 Item No.","@@"&amp;$F498,"3 Posting Date",U$9)</t>
  </si>
  <si>
    <t>=U498-W498</t>
  </si>
  <si>
    <t>=IF(U498&lt;&gt;0,X498/U498,"")</t>
  </si>
  <si>
    <t>=NL("Sum","5802 Value Entry","150 Sales Amount (Expected)","41 Source Type",$C$5,"5 Source No.",$C498,"4 Item Ledger Entry Type",$C$4,"2 Item No.","@@"&amp;$F498,"3 Posting Date",Z$9)+NL("Sum","5802 Value Entry","17 Sales Amount (Actual)","41 Source Type",$C$5,"5 Source no.",$C498,"4 Item Ledger Entry Type",$C$4,"2 Item No.","@@"&amp;$F498,"3 Posting Date",Z$9)</t>
  </si>
  <si>
    <t>=-NL("Sum","5802 Value Entry","151 Cost Amount (Expected)","41 Source Type",$C$5,"5 Source No.",$C498,"4 Item Ledger Entry Type",$C$4,"2 Item No.","@@"&amp;$F498,"3 Posting Date",Z$9)-NL("Sum","5802 Value Entry","43 Cost Amount (Actual)","41 Source Type",$C$5,"5 Source no.",$C498,"4 Item Ledger Entry Type",$C$4,"2 Item No.","@@"&amp;$F498,"3 Posting Date",Z$9)</t>
  </si>
  <si>
    <t>=Z498-AB498</t>
  </si>
  <si>
    <t>=IF(Z498&lt;&gt;0,AC498/Z498,"")</t>
  </si>
  <si>
    <t>=C498</t>
  </si>
  <si>
    <t>=NL("Sum","5802 Value Entry","150 Sales Amount (Expected)","41 Source Type",$C$5,"5 Source No.",$C499,"4 Item Ledger Entry Type",$C$4,"2 Item No.","@@"&amp;$F499,"3 Posting Date",J$9)+NL("Sum","5802 Value Entry","17 Sales Amount (Actual)","41 Source Type",$C$5,"5 Source no.",$C499,"4 Item Ledger Entry Type",$C$4,"2 Item No.","@@"&amp;$F499,"3 Posting Date",J$9)</t>
  </si>
  <si>
    <t>=-NL("Sum","5802 Value Entry","151 Cost Amount (Expected)","41 Source Type",$C$5,"5 Source No.",$C499,"4 Item Ledger Entry Type",$C$4,"2 Item No.","@@"&amp;$F499,"3 Posting Date",J$9)-NL("Sum","5802 Value Entry","43 Cost Amount (Actual)","41 Source Type",$C$5,"5 Source no.",$C499,"4 Item Ledger Entry Type",$C$4,"2 Item No.","@@"&amp;$F499,"3 Posting Date",J$9)</t>
  </si>
  <si>
    <t>=J499-L499</t>
  </si>
  <si>
    <t>=IF(J499&lt;&gt;0,M499/J499,"")</t>
  </si>
  <si>
    <t>=NL("Sum","5802 Value Entry","150 Sales Amount (Expected)","41 Source Type",$C$5,"5 Source No.",$C499,"4 Item Ledger Entry Type",$C$4,"2 Item No.","@@"&amp;$F499,"3 Posting Date",O$9)+NL("Sum","5802 Value Entry","17 Sales Amount (Actual)","41 Source Type",$C$5,"5 Source no.",$C499,"4 Item Ledger Entry Type",$C$4,"2 Item No.","@@"&amp;$F499,"3 Posting Date",O$9)</t>
  </si>
  <si>
    <t>=-NL("Sum","5802 Value Entry","151 Cost Amount (Expected)","41 Source Type",$C$5,"5 Source No.",$C499,"4 Item Ledger Entry Type",$C$4,"2 Item No.","@@"&amp;$F499,"3 Posting Date",O$9)-NL("Sum","5802 Value Entry","43 Cost Amount (Actual)","41 Source Type",$C$5,"5 Source no.",$C499,"4 Item Ledger Entry Type",$C$4,"2 Item No.","@@"&amp;$F499,"3 Posting Date",O$9)</t>
  </si>
  <si>
    <t>=O499-Q499</t>
  </si>
  <si>
    <t>=IF(O499&lt;&gt;0,R499/O499,"")</t>
  </si>
  <si>
    <t>=NL("Sum","5802 Value Entry","150 Sales Amount (Expected)","41 Source Type",$C$5,"5 Source No.",$C499,"4 Item Ledger Entry Type",$C$4,"2 Item No.","@@"&amp;$F499,"3 Posting Date",U$9)+NL("Sum","5802 Value Entry","17 Sales Amount (Actual)","41 Source Type",$C$5,"5 Source no.",$C499,"4 Item Ledger Entry Type",$C$4,"2 Item No.","@@"&amp;$F499,"3 Posting Date",U$9)</t>
  </si>
  <si>
    <t>=-NL("Sum","5802 Value Entry","151 Cost Amount (Expected)","41 Source Type",$C$5,"5 Source No.",$C499,"4 Item Ledger Entry Type",$C$4,"2 Item No.","@@"&amp;$F499,"3 Posting Date",U$9)-NL("Sum","5802 Value Entry","43 Cost Amount (Actual)","41 Source Type",$C$5,"5 Source no.",$C499,"4 Item Ledger Entry Type",$C$4,"2 Item No.","@@"&amp;$F499,"3 Posting Date",U$9)</t>
  </si>
  <si>
    <t>=U499-W499</t>
  </si>
  <si>
    <t>=IF(U499&lt;&gt;0,X499/U499,"")</t>
  </si>
  <si>
    <t>=NL("Sum","5802 Value Entry","150 Sales Amount (Expected)","41 Source Type",$C$5,"5 Source No.",$C499,"4 Item Ledger Entry Type",$C$4,"2 Item No.","@@"&amp;$F499,"3 Posting Date",Z$9)+NL("Sum","5802 Value Entry","17 Sales Amount (Actual)","41 Source Type",$C$5,"5 Source no.",$C499,"4 Item Ledger Entry Type",$C$4,"2 Item No.","@@"&amp;$F499,"3 Posting Date",Z$9)</t>
  </si>
  <si>
    <t>=-NL("Sum","5802 Value Entry","151 Cost Amount (Expected)","41 Source Type",$C$5,"5 Source No.",$C499,"4 Item Ledger Entry Type",$C$4,"2 Item No.","@@"&amp;$F499,"3 Posting Date",Z$9)-NL("Sum","5802 Value Entry","43 Cost Amount (Actual)","41 Source Type",$C$5,"5 Source no.",$C499,"4 Item Ledger Entry Type",$C$4,"2 Item No.","@@"&amp;$F499,"3 Posting Date",Z$9)</t>
  </si>
  <si>
    <t>=Z499-AB499</t>
  </si>
  <si>
    <t>=IF(Z499&lt;&gt;0,AC499/Z499,"")</t>
  </si>
  <si>
    <t>=C499</t>
  </si>
  <si>
    <t>=NL("Sum","5802 Value Entry","150 Sales Amount (Expected)","41 Source Type",$C$5,"5 Source No.",$C500,"4 Item Ledger Entry Type",$C$4,"2 Item No.","@@"&amp;$F500,"3 Posting Date",J$9)+NL("Sum","5802 Value Entry","17 Sales Amount (Actual)","41 Source Type",$C$5,"5 Source no.",$C500,"4 Item Ledger Entry Type",$C$4,"2 Item No.","@@"&amp;$F500,"3 Posting Date",J$9)</t>
  </si>
  <si>
    <t>=-NL("Sum","5802 Value Entry","151 Cost Amount (Expected)","41 Source Type",$C$5,"5 Source No.",$C500,"4 Item Ledger Entry Type",$C$4,"2 Item No.","@@"&amp;$F500,"3 Posting Date",J$9)-NL("Sum","5802 Value Entry","43 Cost Amount (Actual)","41 Source Type",$C$5,"5 Source no.",$C500,"4 Item Ledger Entry Type",$C$4,"2 Item No.","@@"&amp;$F500,"3 Posting Date",J$9)</t>
  </si>
  <si>
    <t>=J500-L500</t>
  </si>
  <si>
    <t>=IF(J500&lt;&gt;0,M500/J500,"")</t>
  </si>
  <si>
    <t>=NL("Sum","5802 Value Entry","150 Sales Amount (Expected)","41 Source Type",$C$5,"5 Source No.",$C500,"4 Item Ledger Entry Type",$C$4,"2 Item No.","@@"&amp;$F500,"3 Posting Date",O$9)+NL("Sum","5802 Value Entry","17 Sales Amount (Actual)","41 Source Type",$C$5,"5 Source no.",$C500,"4 Item Ledger Entry Type",$C$4,"2 Item No.","@@"&amp;$F500,"3 Posting Date",O$9)</t>
  </si>
  <si>
    <t>=-NL("Sum","5802 Value Entry","151 Cost Amount (Expected)","41 Source Type",$C$5,"5 Source No.",$C500,"4 Item Ledger Entry Type",$C$4,"2 Item No.","@@"&amp;$F500,"3 Posting Date",O$9)-NL("Sum","5802 Value Entry","43 Cost Amount (Actual)","41 Source Type",$C$5,"5 Source no.",$C500,"4 Item Ledger Entry Type",$C$4,"2 Item No.","@@"&amp;$F500,"3 Posting Date",O$9)</t>
  </si>
  <si>
    <t>=O500-Q500</t>
  </si>
  <si>
    <t>=IF(O500&lt;&gt;0,R500/O500,"")</t>
  </si>
  <si>
    <t>=NL("Sum","5802 Value Entry","150 Sales Amount (Expected)","41 Source Type",$C$5,"5 Source No.",$C500,"4 Item Ledger Entry Type",$C$4,"2 Item No.","@@"&amp;$F500,"3 Posting Date",U$9)+NL("Sum","5802 Value Entry","17 Sales Amount (Actual)","41 Source Type",$C$5,"5 Source no.",$C500,"4 Item Ledger Entry Type",$C$4,"2 Item No.","@@"&amp;$F500,"3 Posting Date",U$9)</t>
  </si>
  <si>
    <t>=-NL("Sum","5802 Value Entry","151 Cost Amount (Expected)","41 Source Type",$C$5,"5 Source No.",$C500,"4 Item Ledger Entry Type",$C$4,"2 Item No.","@@"&amp;$F500,"3 Posting Date",U$9)-NL("Sum","5802 Value Entry","43 Cost Amount (Actual)","41 Source Type",$C$5,"5 Source no.",$C500,"4 Item Ledger Entry Type",$C$4,"2 Item No.","@@"&amp;$F500,"3 Posting Date",U$9)</t>
  </si>
  <si>
    <t>=U500-W500</t>
  </si>
  <si>
    <t>=IF(U500&lt;&gt;0,X500/U500,"")</t>
  </si>
  <si>
    <t>=NL("Sum","5802 Value Entry","150 Sales Amount (Expected)","41 Source Type",$C$5,"5 Source No.",$C500,"4 Item Ledger Entry Type",$C$4,"2 Item No.","@@"&amp;$F500,"3 Posting Date",Z$9)+NL("Sum","5802 Value Entry","17 Sales Amount (Actual)","41 Source Type",$C$5,"5 Source no.",$C500,"4 Item Ledger Entry Type",$C$4,"2 Item No.","@@"&amp;$F500,"3 Posting Date",Z$9)</t>
  </si>
  <si>
    <t>=-NL("Sum","5802 Value Entry","151 Cost Amount (Expected)","41 Source Type",$C$5,"5 Source No.",$C500,"4 Item Ledger Entry Type",$C$4,"2 Item No.","@@"&amp;$F500,"3 Posting Date",Z$9)-NL("Sum","5802 Value Entry","43 Cost Amount (Actual)","41 Source Type",$C$5,"5 Source no.",$C500,"4 Item Ledger Entry Type",$C$4,"2 Item No.","@@"&amp;$F500,"3 Posting Date",Z$9)</t>
  </si>
  <si>
    <t>=Z500-AB500</t>
  </si>
  <si>
    <t>=IF(Z500&lt;&gt;0,AC500/Z500,"")</t>
  </si>
  <si>
    <t>=C500</t>
  </si>
  <si>
    <t>=NL("Sum","5802 Value Entry","150 Sales Amount (Expected)","41 Source Type",$C$5,"5 Source No.",$C501,"4 Item Ledger Entry Type",$C$4,"2 Item No.","@@"&amp;$F501,"3 Posting Date",J$9)+NL("Sum","5802 Value Entry","17 Sales Amount (Actual)","41 Source Type",$C$5,"5 Source no.",$C501,"4 Item Ledger Entry Type",$C$4,"2 Item No.","@@"&amp;$F501,"3 Posting Date",J$9)</t>
  </si>
  <si>
    <t>=-NL("Sum","5802 Value Entry","151 Cost Amount (Expected)","41 Source Type",$C$5,"5 Source No.",$C501,"4 Item Ledger Entry Type",$C$4,"2 Item No.","@@"&amp;$F501,"3 Posting Date",J$9)-NL("Sum","5802 Value Entry","43 Cost Amount (Actual)","41 Source Type",$C$5,"5 Source no.",$C501,"4 Item Ledger Entry Type",$C$4,"2 Item No.","@@"&amp;$F501,"3 Posting Date",J$9)</t>
  </si>
  <si>
    <t>=J501-L501</t>
  </si>
  <si>
    <t>=IF(J501&lt;&gt;0,M501/J501,"")</t>
  </si>
  <si>
    <t>=NL("Sum","5802 Value Entry","150 Sales Amount (Expected)","41 Source Type",$C$5,"5 Source No.",$C501,"4 Item Ledger Entry Type",$C$4,"2 Item No.","@@"&amp;$F501,"3 Posting Date",O$9)+NL("Sum","5802 Value Entry","17 Sales Amount (Actual)","41 Source Type",$C$5,"5 Source no.",$C501,"4 Item Ledger Entry Type",$C$4,"2 Item No.","@@"&amp;$F501,"3 Posting Date",O$9)</t>
  </si>
  <si>
    <t>=-NL("Sum","5802 Value Entry","151 Cost Amount (Expected)","41 Source Type",$C$5,"5 Source No.",$C501,"4 Item Ledger Entry Type",$C$4,"2 Item No.","@@"&amp;$F501,"3 Posting Date",O$9)-NL("Sum","5802 Value Entry","43 Cost Amount (Actual)","41 Source Type",$C$5,"5 Source no.",$C501,"4 Item Ledger Entry Type",$C$4,"2 Item No.","@@"&amp;$F501,"3 Posting Date",O$9)</t>
  </si>
  <si>
    <t>=O501-Q501</t>
  </si>
  <si>
    <t>=IF(O501&lt;&gt;0,R501/O501,"")</t>
  </si>
  <si>
    <t>=NL("Sum","5802 Value Entry","150 Sales Amount (Expected)","41 Source Type",$C$5,"5 Source No.",$C501,"4 Item Ledger Entry Type",$C$4,"2 Item No.","@@"&amp;$F501,"3 Posting Date",U$9)+NL("Sum","5802 Value Entry","17 Sales Amount (Actual)","41 Source Type",$C$5,"5 Source no.",$C501,"4 Item Ledger Entry Type",$C$4,"2 Item No.","@@"&amp;$F501,"3 Posting Date",U$9)</t>
  </si>
  <si>
    <t>=-NL("Sum","5802 Value Entry","151 Cost Amount (Expected)","41 Source Type",$C$5,"5 Source No.",$C501,"4 Item Ledger Entry Type",$C$4,"2 Item No.","@@"&amp;$F501,"3 Posting Date",U$9)-NL("Sum","5802 Value Entry","43 Cost Amount (Actual)","41 Source Type",$C$5,"5 Source no.",$C501,"4 Item Ledger Entry Type",$C$4,"2 Item No.","@@"&amp;$F501,"3 Posting Date",U$9)</t>
  </si>
  <si>
    <t>=U501-W501</t>
  </si>
  <si>
    <t>=IF(U501&lt;&gt;0,X501/U501,"")</t>
  </si>
  <si>
    <t>=NL("Sum","5802 Value Entry","150 Sales Amount (Expected)","41 Source Type",$C$5,"5 Source No.",$C501,"4 Item Ledger Entry Type",$C$4,"2 Item No.","@@"&amp;$F501,"3 Posting Date",Z$9)+NL("Sum","5802 Value Entry","17 Sales Amount (Actual)","41 Source Type",$C$5,"5 Source no.",$C501,"4 Item Ledger Entry Type",$C$4,"2 Item No.","@@"&amp;$F501,"3 Posting Date",Z$9)</t>
  </si>
  <si>
    <t>=-NL("Sum","5802 Value Entry","151 Cost Amount (Expected)","41 Source Type",$C$5,"5 Source No.",$C501,"4 Item Ledger Entry Type",$C$4,"2 Item No.","@@"&amp;$F501,"3 Posting Date",Z$9)-NL("Sum","5802 Value Entry","43 Cost Amount (Actual)","41 Source Type",$C$5,"5 Source no.",$C501,"4 Item Ledger Entry Type",$C$4,"2 Item No.","@@"&amp;$F501,"3 Posting Date",Z$9)</t>
  </si>
  <si>
    <t>=Z501-AB501</t>
  </si>
  <si>
    <t>=IF(Z501&lt;&gt;0,AC501/Z501,"")</t>
  </si>
  <si>
    <t>=C501</t>
  </si>
  <si>
    <t>=NL("Sum","5802 Value Entry","150 Sales Amount (Expected)","41 Source Type",$C$5,"5 Source No.",$C502,"4 Item Ledger Entry Type",$C$4,"2 Item No.","@@"&amp;$F502,"3 Posting Date",J$9)+NL("Sum","5802 Value Entry","17 Sales Amount (Actual)","41 Source Type",$C$5,"5 Source no.",$C502,"4 Item Ledger Entry Type",$C$4,"2 Item No.","@@"&amp;$F502,"3 Posting Date",J$9)</t>
  </si>
  <si>
    <t>=-NL("Sum","5802 Value Entry","151 Cost Amount (Expected)","41 Source Type",$C$5,"5 Source No.",$C502,"4 Item Ledger Entry Type",$C$4,"2 Item No.","@@"&amp;$F502,"3 Posting Date",J$9)-NL("Sum","5802 Value Entry","43 Cost Amount (Actual)","41 Source Type",$C$5,"5 Source no.",$C502,"4 Item Ledger Entry Type",$C$4,"2 Item No.","@@"&amp;$F502,"3 Posting Date",J$9)</t>
  </si>
  <si>
    <t>=J502-L502</t>
  </si>
  <si>
    <t>=IF(J502&lt;&gt;0,M502/J502,"")</t>
  </si>
  <si>
    <t>=NL("Sum","5802 Value Entry","150 Sales Amount (Expected)","41 Source Type",$C$5,"5 Source No.",$C502,"4 Item Ledger Entry Type",$C$4,"2 Item No.","@@"&amp;$F502,"3 Posting Date",O$9)+NL("Sum","5802 Value Entry","17 Sales Amount (Actual)","41 Source Type",$C$5,"5 Source no.",$C502,"4 Item Ledger Entry Type",$C$4,"2 Item No.","@@"&amp;$F502,"3 Posting Date",O$9)</t>
  </si>
  <si>
    <t>=-NL("Sum","5802 Value Entry","151 Cost Amount (Expected)","41 Source Type",$C$5,"5 Source No.",$C502,"4 Item Ledger Entry Type",$C$4,"2 Item No.","@@"&amp;$F502,"3 Posting Date",O$9)-NL("Sum","5802 Value Entry","43 Cost Amount (Actual)","41 Source Type",$C$5,"5 Source no.",$C502,"4 Item Ledger Entry Type",$C$4,"2 Item No.","@@"&amp;$F502,"3 Posting Date",O$9)</t>
  </si>
  <si>
    <t>=O502-Q502</t>
  </si>
  <si>
    <t>=IF(O502&lt;&gt;0,R502/O502,"")</t>
  </si>
  <si>
    <t>=NL("Sum","5802 Value Entry","150 Sales Amount (Expected)","41 Source Type",$C$5,"5 Source No.",$C502,"4 Item Ledger Entry Type",$C$4,"2 Item No.","@@"&amp;$F502,"3 Posting Date",U$9)+NL("Sum","5802 Value Entry","17 Sales Amount (Actual)","41 Source Type",$C$5,"5 Source no.",$C502,"4 Item Ledger Entry Type",$C$4,"2 Item No.","@@"&amp;$F502,"3 Posting Date",U$9)</t>
  </si>
  <si>
    <t>=-NL("Sum","5802 Value Entry","151 Cost Amount (Expected)","41 Source Type",$C$5,"5 Source No.",$C502,"4 Item Ledger Entry Type",$C$4,"2 Item No.","@@"&amp;$F502,"3 Posting Date",U$9)-NL("Sum","5802 Value Entry","43 Cost Amount (Actual)","41 Source Type",$C$5,"5 Source no.",$C502,"4 Item Ledger Entry Type",$C$4,"2 Item No.","@@"&amp;$F502,"3 Posting Date",U$9)</t>
  </si>
  <si>
    <t>=U502-W502</t>
  </si>
  <si>
    <t>=IF(U502&lt;&gt;0,X502/U502,"")</t>
  </si>
  <si>
    <t>=NL("Sum","5802 Value Entry","150 Sales Amount (Expected)","41 Source Type",$C$5,"5 Source No.",$C502,"4 Item Ledger Entry Type",$C$4,"2 Item No.","@@"&amp;$F502,"3 Posting Date",Z$9)+NL("Sum","5802 Value Entry","17 Sales Amount (Actual)","41 Source Type",$C$5,"5 Source no.",$C502,"4 Item Ledger Entry Type",$C$4,"2 Item No.","@@"&amp;$F502,"3 Posting Date",Z$9)</t>
  </si>
  <si>
    <t>=-NL("Sum","5802 Value Entry","151 Cost Amount (Expected)","41 Source Type",$C$5,"5 Source No.",$C502,"4 Item Ledger Entry Type",$C$4,"2 Item No.","@@"&amp;$F502,"3 Posting Date",Z$9)-NL("Sum","5802 Value Entry","43 Cost Amount (Actual)","41 Source Type",$C$5,"5 Source no.",$C502,"4 Item Ledger Entry Type",$C$4,"2 Item No.","@@"&amp;$F502,"3 Posting Date",Z$9)</t>
  </si>
  <si>
    <t>=Z502-AB502</t>
  </si>
  <si>
    <t>=IF(Z502&lt;&gt;0,AC502/Z502,"")</t>
  </si>
  <si>
    <t>=C502</t>
  </si>
  <si>
    <t>=NL("Sum","5802 Value Entry","150 Sales Amount (Expected)","41 Source Type",$C$5,"5 Source No.",$C503,"4 Item Ledger Entry Type",$C$4,"2 Item No.","@@"&amp;$F503,"3 Posting Date",J$9)+NL("Sum","5802 Value Entry","17 Sales Amount (Actual)","41 Source Type",$C$5,"5 Source no.",$C503,"4 Item Ledger Entry Type",$C$4,"2 Item No.","@@"&amp;$F503,"3 Posting Date",J$9)</t>
  </si>
  <si>
    <t>=-NL("Sum","5802 Value Entry","151 Cost Amount (Expected)","41 Source Type",$C$5,"5 Source No.",$C503,"4 Item Ledger Entry Type",$C$4,"2 Item No.","@@"&amp;$F503,"3 Posting Date",J$9)-NL("Sum","5802 Value Entry","43 Cost Amount (Actual)","41 Source Type",$C$5,"5 Source no.",$C503,"4 Item Ledger Entry Type",$C$4,"2 Item No.","@@"&amp;$F503,"3 Posting Date",J$9)</t>
  </si>
  <si>
    <t>=J503-L503</t>
  </si>
  <si>
    <t>=IF(J503&lt;&gt;0,M503/J503,"")</t>
  </si>
  <si>
    <t>=NL("Sum","5802 Value Entry","150 Sales Amount (Expected)","41 Source Type",$C$5,"5 Source No.",$C503,"4 Item Ledger Entry Type",$C$4,"2 Item No.","@@"&amp;$F503,"3 Posting Date",O$9)+NL("Sum","5802 Value Entry","17 Sales Amount (Actual)","41 Source Type",$C$5,"5 Source no.",$C503,"4 Item Ledger Entry Type",$C$4,"2 Item No.","@@"&amp;$F503,"3 Posting Date",O$9)</t>
  </si>
  <si>
    <t>=-NL("Sum","5802 Value Entry","151 Cost Amount (Expected)","41 Source Type",$C$5,"5 Source No.",$C503,"4 Item Ledger Entry Type",$C$4,"2 Item No.","@@"&amp;$F503,"3 Posting Date",O$9)-NL("Sum","5802 Value Entry","43 Cost Amount (Actual)","41 Source Type",$C$5,"5 Source no.",$C503,"4 Item Ledger Entry Type",$C$4,"2 Item No.","@@"&amp;$F503,"3 Posting Date",O$9)</t>
  </si>
  <si>
    <t>=O503-Q503</t>
  </si>
  <si>
    <t>=IF(O503&lt;&gt;0,R503/O503,"")</t>
  </si>
  <si>
    <t>=NL("Sum","5802 Value Entry","150 Sales Amount (Expected)","41 Source Type",$C$5,"5 Source No.",$C503,"4 Item Ledger Entry Type",$C$4,"2 Item No.","@@"&amp;$F503,"3 Posting Date",U$9)+NL("Sum","5802 Value Entry","17 Sales Amount (Actual)","41 Source Type",$C$5,"5 Source no.",$C503,"4 Item Ledger Entry Type",$C$4,"2 Item No.","@@"&amp;$F503,"3 Posting Date",U$9)</t>
  </si>
  <si>
    <t>=-NL("Sum","5802 Value Entry","151 Cost Amount (Expected)","41 Source Type",$C$5,"5 Source No.",$C503,"4 Item Ledger Entry Type",$C$4,"2 Item No.","@@"&amp;$F503,"3 Posting Date",U$9)-NL("Sum","5802 Value Entry","43 Cost Amount (Actual)","41 Source Type",$C$5,"5 Source no.",$C503,"4 Item Ledger Entry Type",$C$4,"2 Item No.","@@"&amp;$F503,"3 Posting Date",U$9)</t>
  </si>
  <si>
    <t>=U503-W503</t>
  </si>
  <si>
    <t>=IF(U503&lt;&gt;0,X503/U503,"")</t>
  </si>
  <si>
    <t>=NL("Sum","5802 Value Entry","150 Sales Amount (Expected)","41 Source Type",$C$5,"5 Source No.",$C503,"4 Item Ledger Entry Type",$C$4,"2 Item No.","@@"&amp;$F503,"3 Posting Date",Z$9)+NL("Sum","5802 Value Entry","17 Sales Amount (Actual)","41 Source Type",$C$5,"5 Source no.",$C503,"4 Item Ledger Entry Type",$C$4,"2 Item No.","@@"&amp;$F503,"3 Posting Date",Z$9)</t>
  </si>
  <si>
    <t>=-NL("Sum","5802 Value Entry","151 Cost Amount (Expected)","41 Source Type",$C$5,"5 Source No.",$C503,"4 Item Ledger Entry Type",$C$4,"2 Item No.","@@"&amp;$F503,"3 Posting Date",Z$9)-NL("Sum","5802 Value Entry","43 Cost Amount (Actual)","41 Source Type",$C$5,"5 Source no.",$C503,"4 Item Ledger Entry Type",$C$4,"2 Item No.","@@"&amp;$F503,"3 Posting Date",Z$9)</t>
  </si>
  <si>
    <t>=Z503-AB503</t>
  </si>
  <si>
    <t>=IF(Z503&lt;&gt;0,AC503/Z503,"")</t>
  </si>
  <si>
    <t>=C503</t>
  </si>
  <si>
    <t>=NL("Sum","5802 Value Entry","150 Sales Amount (Expected)","41 Source Type",$C$5,"5 Source No.",$C504,"4 Item Ledger Entry Type",$C$4,"2 Item No.","@@"&amp;$F504,"3 Posting Date",J$9)+NL("Sum","5802 Value Entry","17 Sales Amount (Actual)","41 Source Type",$C$5,"5 Source no.",$C504,"4 Item Ledger Entry Type",$C$4,"2 Item No.","@@"&amp;$F504,"3 Posting Date",J$9)</t>
  </si>
  <si>
    <t>=-NL("Sum","5802 Value Entry","151 Cost Amount (Expected)","41 Source Type",$C$5,"5 Source No.",$C504,"4 Item Ledger Entry Type",$C$4,"2 Item No.","@@"&amp;$F504,"3 Posting Date",J$9)-NL("Sum","5802 Value Entry","43 Cost Amount (Actual)","41 Source Type",$C$5,"5 Source no.",$C504,"4 Item Ledger Entry Type",$C$4,"2 Item No.","@@"&amp;$F504,"3 Posting Date",J$9)</t>
  </si>
  <si>
    <t>=J504-L504</t>
  </si>
  <si>
    <t>=IF(J504&lt;&gt;0,M504/J504,"")</t>
  </si>
  <si>
    <t>=NL("Sum","5802 Value Entry","150 Sales Amount (Expected)","41 Source Type",$C$5,"5 Source No.",$C504,"4 Item Ledger Entry Type",$C$4,"2 Item No.","@@"&amp;$F504,"3 Posting Date",O$9)+NL("Sum","5802 Value Entry","17 Sales Amount (Actual)","41 Source Type",$C$5,"5 Source no.",$C504,"4 Item Ledger Entry Type",$C$4,"2 Item No.","@@"&amp;$F504,"3 Posting Date",O$9)</t>
  </si>
  <si>
    <t>=-NL("Sum","5802 Value Entry","151 Cost Amount (Expected)","41 Source Type",$C$5,"5 Source No.",$C504,"4 Item Ledger Entry Type",$C$4,"2 Item No.","@@"&amp;$F504,"3 Posting Date",O$9)-NL("Sum","5802 Value Entry","43 Cost Amount (Actual)","41 Source Type",$C$5,"5 Source no.",$C504,"4 Item Ledger Entry Type",$C$4,"2 Item No.","@@"&amp;$F504,"3 Posting Date",O$9)</t>
  </si>
  <si>
    <t>=O504-Q504</t>
  </si>
  <si>
    <t>=IF(O504&lt;&gt;0,R504/O504,"")</t>
  </si>
  <si>
    <t>=NL("Sum","5802 Value Entry","150 Sales Amount (Expected)","41 Source Type",$C$5,"5 Source No.",$C504,"4 Item Ledger Entry Type",$C$4,"2 Item No.","@@"&amp;$F504,"3 Posting Date",U$9)+NL("Sum","5802 Value Entry","17 Sales Amount (Actual)","41 Source Type",$C$5,"5 Source no.",$C504,"4 Item Ledger Entry Type",$C$4,"2 Item No.","@@"&amp;$F504,"3 Posting Date",U$9)</t>
  </si>
  <si>
    <t>=-NL("Sum","5802 Value Entry","151 Cost Amount (Expected)","41 Source Type",$C$5,"5 Source No.",$C504,"4 Item Ledger Entry Type",$C$4,"2 Item No.","@@"&amp;$F504,"3 Posting Date",U$9)-NL("Sum","5802 Value Entry","43 Cost Amount (Actual)","41 Source Type",$C$5,"5 Source no.",$C504,"4 Item Ledger Entry Type",$C$4,"2 Item No.","@@"&amp;$F504,"3 Posting Date",U$9)</t>
  </si>
  <si>
    <t>=U504-W504</t>
  </si>
  <si>
    <t>=IF(U504&lt;&gt;0,X504/U504,"")</t>
  </si>
  <si>
    <t>=NL("Sum","5802 Value Entry","150 Sales Amount (Expected)","41 Source Type",$C$5,"5 Source No.",$C504,"4 Item Ledger Entry Type",$C$4,"2 Item No.","@@"&amp;$F504,"3 Posting Date",Z$9)+NL("Sum","5802 Value Entry","17 Sales Amount (Actual)","41 Source Type",$C$5,"5 Source no.",$C504,"4 Item Ledger Entry Type",$C$4,"2 Item No.","@@"&amp;$F504,"3 Posting Date",Z$9)</t>
  </si>
  <si>
    <t>=-NL("Sum","5802 Value Entry","151 Cost Amount (Expected)","41 Source Type",$C$5,"5 Source No.",$C504,"4 Item Ledger Entry Type",$C$4,"2 Item No.","@@"&amp;$F504,"3 Posting Date",Z$9)-NL("Sum","5802 Value Entry","43 Cost Amount (Actual)","41 Source Type",$C$5,"5 Source no.",$C504,"4 Item Ledger Entry Type",$C$4,"2 Item No.","@@"&amp;$F504,"3 Posting Date",Z$9)</t>
  </si>
  <si>
    <t>=Z504-AB504</t>
  </si>
  <si>
    <t>=IF(Z504&lt;&gt;0,AC504/Z504,"")</t>
  </si>
  <si>
    <t>=C504</t>
  </si>
  <si>
    <t>=NL("Sum","5802 Value Entry","150 Sales Amount (Expected)","41 Source Type",$C$5,"5 Source No.",$C505,"4 Item Ledger Entry Type",$C$4,"2 Item No.","@@"&amp;$F505,"3 Posting Date",J$9)+NL("Sum","5802 Value Entry","17 Sales Amount (Actual)","41 Source Type",$C$5,"5 Source no.",$C505,"4 Item Ledger Entry Type",$C$4,"2 Item No.","@@"&amp;$F505,"3 Posting Date",J$9)</t>
  </si>
  <si>
    <t>=-NL("Sum","5802 Value Entry","151 Cost Amount (Expected)","41 Source Type",$C$5,"5 Source No.",$C505,"4 Item Ledger Entry Type",$C$4,"2 Item No.","@@"&amp;$F505,"3 Posting Date",J$9)-NL("Sum","5802 Value Entry","43 Cost Amount (Actual)","41 Source Type",$C$5,"5 Source no.",$C505,"4 Item Ledger Entry Type",$C$4,"2 Item No.","@@"&amp;$F505,"3 Posting Date",J$9)</t>
  </si>
  <si>
    <t>=J505-L505</t>
  </si>
  <si>
    <t>=IF(J505&lt;&gt;0,M505/J505,"")</t>
  </si>
  <si>
    <t>=NL("Sum","5802 Value Entry","150 Sales Amount (Expected)","41 Source Type",$C$5,"5 Source No.",$C505,"4 Item Ledger Entry Type",$C$4,"2 Item No.","@@"&amp;$F505,"3 Posting Date",O$9)+NL("Sum","5802 Value Entry","17 Sales Amount (Actual)","41 Source Type",$C$5,"5 Source no.",$C505,"4 Item Ledger Entry Type",$C$4,"2 Item No.","@@"&amp;$F505,"3 Posting Date",O$9)</t>
  </si>
  <si>
    <t>=-NL("Sum","5802 Value Entry","151 Cost Amount (Expected)","41 Source Type",$C$5,"5 Source No.",$C505,"4 Item Ledger Entry Type",$C$4,"2 Item No.","@@"&amp;$F505,"3 Posting Date",O$9)-NL("Sum","5802 Value Entry","43 Cost Amount (Actual)","41 Source Type",$C$5,"5 Source no.",$C505,"4 Item Ledger Entry Type",$C$4,"2 Item No.","@@"&amp;$F505,"3 Posting Date",O$9)</t>
  </si>
  <si>
    <t>=O505-Q505</t>
  </si>
  <si>
    <t>=IF(O505&lt;&gt;0,R505/O505,"")</t>
  </si>
  <si>
    <t>=NL("Sum","5802 Value Entry","150 Sales Amount (Expected)","41 Source Type",$C$5,"5 Source No.",$C505,"4 Item Ledger Entry Type",$C$4,"2 Item No.","@@"&amp;$F505,"3 Posting Date",U$9)+NL("Sum","5802 Value Entry","17 Sales Amount (Actual)","41 Source Type",$C$5,"5 Source no.",$C505,"4 Item Ledger Entry Type",$C$4,"2 Item No.","@@"&amp;$F505,"3 Posting Date",U$9)</t>
  </si>
  <si>
    <t>=-NL("Sum","5802 Value Entry","151 Cost Amount (Expected)","41 Source Type",$C$5,"5 Source No.",$C505,"4 Item Ledger Entry Type",$C$4,"2 Item No.","@@"&amp;$F505,"3 Posting Date",U$9)-NL("Sum","5802 Value Entry","43 Cost Amount (Actual)","41 Source Type",$C$5,"5 Source no.",$C505,"4 Item Ledger Entry Type",$C$4,"2 Item No.","@@"&amp;$F505,"3 Posting Date",U$9)</t>
  </si>
  <si>
    <t>=U505-W505</t>
  </si>
  <si>
    <t>=IF(U505&lt;&gt;0,X505/U505,"")</t>
  </si>
  <si>
    <t>=NL("Sum","5802 Value Entry","150 Sales Amount (Expected)","41 Source Type",$C$5,"5 Source No.",$C505,"4 Item Ledger Entry Type",$C$4,"2 Item No.","@@"&amp;$F505,"3 Posting Date",Z$9)+NL("Sum","5802 Value Entry","17 Sales Amount (Actual)","41 Source Type",$C$5,"5 Source no.",$C505,"4 Item Ledger Entry Type",$C$4,"2 Item No.","@@"&amp;$F505,"3 Posting Date",Z$9)</t>
  </si>
  <si>
    <t>=-NL("Sum","5802 Value Entry","151 Cost Amount (Expected)","41 Source Type",$C$5,"5 Source No.",$C505,"4 Item Ledger Entry Type",$C$4,"2 Item No.","@@"&amp;$F505,"3 Posting Date",Z$9)-NL("Sum","5802 Value Entry","43 Cost Amount (Actual)","41 Source Type",$C$5,"5 Source no.",$C505,"4 Item Ledger Entry Type",$C$4,"2 Item No.","@@"&amp;$F505,"3 Posting Date",Z$9)</t>
  </si>
  <si>
    <t>=Z505-AB505</t>
  </si>
  <si>
    <t>=IF(Z505&lt;&gt;0,AC505/Z505,"")</t>
  </si>
  <si>
    <t>=C505</t>
  </si>
  <si>
    <t>=NL("Sum","5802 Value Entry","150 Sales Amount (Expected)","41 Source Type",$C$5,"5 Source No.",$C506,"4 Item Ledger Entry Type",$C$4,"2 Item No.","@@"&amp;$F506,"3 Posting Date",J$9)+NL("Sum","5802 Value Entry","17 Sales Amount (Actual)","41 Source Type",$C$5,"5 Source no.",$C506,"4 Item Ledger Entry Type",$C$4,"2 Item No.","@@"&amp;$F506,"3 Posting Date",J$9)</t>
  </si>
  <si>
    <t>=-NL("Sum","5802 Value Entry","151 Cost Amount (Expected)","41 Source Type",$C$5,"5 Source No.",$C506,"4 Item Ledger Entry Type",$C$4,"2 Item No.","@@"&amp;$F506,"3 Posting Date",J$9)-NL("Sum","5802 Value Entry","43 Cost Amount (Actual)","41 Source Type",$C$5,"5 Source no.",$C506,"4 Item Ledger Entry Type",$C$4,"2 Item No.","@@"&amp;$F506,"3 Posting Date",J$9)</t>
  </si>
  <si>
    <t>=J506-L506</t>
  </si>
  <si>
    <t>=IF(J506&lt;&gt;0,M506/J506,"")</t>
  </si>
  <si>
    <t>=NL("Sum","5802 Value Entry","150 Sales Amount (Expected)","41 Source Type",$C$5,"5 Source No.",$C506,"4 Item Ledger Entry Type",$C$4,"2 Item No.","@@"&amp;$F506,"3 Posting Date",O$9)+NL("Sum","5802 Value Entry","17 Sales Amount (Actual)","41 Source Type",$C$5,"5 Source no.",$C506,"4 Item Ledger Entry Type",$C$4,"2 Item No.","@@"&amp;$F506,"3 Posting Date",O$9)</t>
  </si>
  <si>
    <t>=-NL("Sum","5802 Value Entry","151 Cost Amount (Expected)","41 Source Type",$C$5,"5 Source No.",$C506,"4 Item Ledger Entry Type",$C$4,"2 Item No.","@@"&amp;$F506,"3 Posting Date",O$9)-NL("Sum","5802 Value Entry","43 Cost Amount (Actual)","41 Source Type",$C$5,"5 Source no.",$C506,"4 Item Ledger Entry Type",$C$4,"2 Item No.","@@"&amp;$F506,"3 Posting Date",O$9)</t>
  </si>
  <si>
    <t>=O506-Q506</t>
  </si>
  <si>
    <t>=IF(O506&lt;&gt;0,R506/O506,"")</t>
  </si>
  <si>
    <t>=NL("Sum","5802 Value Entry","150 Sales Amount (Expected)","41 Source Type",$C$5,"5 Source No.",$C506,"4 Item Ledger Entry Type",$C$4,"2 Item No.","@@"&amp;$F506,"3 Posting Date",U$9)+NL("Sum","5802 Value Entry","17 Sales Amount (Actual)","41 Source Type",$C$5,"5 Source no.",$C506,"4 Item Ledger Entry Type",$C$4,"2 Item No.","@@"&amp;$F506,"3 Posting Date",U$9)</t>
  </si>
  <si>
    <t>=-NL("Sum","5802 Value Entry","151 Cost Amount (Expected)","41 Source Type",$C$5,"5 Source No.",$C506,"4 Item Ledger Entry Type",$C$4,"2 Item No.","@@"&amp;$F506,"3 Posting Date",U$9)-NL("Sum","5802 Value Entry","43 Cost Amount (Actual)","41 Source Type",$C$5,"5 Source no.",$C506,"4 Item Ledger Entry Type",$C$4,"2 Item No.","@@"&amp;$F506,"3 Posting Date",U$9)</t>
  </si>
  <si>
    <t>=U506-W506</t>
  </si>
  <si>
    <t>=IF(U506&lt;&gt;0,X506/U506,"")</t>
  </si>
  <si>
    <t>=NL("Sum","5802 Value Entry","150 Sales Amount (Expected)","41 Source Type",$C$5,"5 Source No.",$C506,"4 Item Ledger Entry Type",$C$4,"2 Item No.","@@"&amp;$F506,"3 Posting Date",Z$9)+NL("Sum","5802 Value Entry","17 Sales Amount (Actual)","41 Source Type",$C$5,"5 Source no.",$C506,"4 Item Ledger Entry Type",$C$4,"2 Item No.","@@"&amp;$F506,"3 Posting Date",Z$9)</t>
  </si>
  <si>
    <t>=-NL("Sum","5802 Value Entry","151 Cost Amount (Expected)","41 Source Type",$C$5,"5 Source No.",$C506,"4 Item Ledger Entry Type",$C$4,"2 Item No.","@@"&amp;$F506,"3 Posting Date",Z$9)-NL("Sum","5802 Value Entry","43 Cost Amount (Actual)","41 Source Type",$C$5,"5 Source no.",$C506,"4 Item Ledger Entry Type",$C$4,"2 Item No.","@@"&amp;$F506,"3 Posting Date",Z$9)</t>
  </si>
  <si>
    <t>=Z506-AB506</t>
  </si>
  <si>
    <t>=IF(Z506&lt;&gt;0,AC506/Z506,"")</t>
  </si>
  <si>
    <t>=C506</t>
  </si>
  <si>
    <t>=NL("Sum","5802 Value Entry","150 Sales Amount (Expected)","41 Source Type",$C$5,"5 Source No.",$C507,"4 Item Ledger Entry Type",$C$4,"2 Item No.","@@"&amp;$F507,"3 Posting Date",J$9)+NL("Sum","5802 Value Entry","17 Sales Amount (Actual)","41 Source Type",$C$5,"5 Source no.",$C507,"4 Item Ledger Entry Type",$C$4,"2 Item No.","@@"&amp;$F507,"3 Posting Date",J$9)</t>
  </si>
  <si>
    <t>=-NL("Sum","5802 Value Entry","151 Cost Amount (Expected)","41 Source Type",$C$5,"5 Source No.",$C507,"4 Item Ledger Entry Type",$C$4,"2 Item No.","@@"&amp;$F507,"3 Posting Date",J$9)-NL("Sum","5802 Value Entry","43 Cost Amount (Actual)","41 Source Type",$C$5,"5 Source no.",$C507,"4 Item Ledger Entry Type",$C$4,"2 Item No.","@@"&amp;$F507,"3 Posting Date",J$9)</t>
  </si>
  <si>
    <t>=J507-L507</t>
  </si>
  <si>
    <t>=IF(J507&lt;&gt;0,M507/J507,"")</t>
  </si>
  <si>
    <t>=NL("Sum","5802 Value Entry","150 Sales Amount (Expected)","41 Source Type",$C$5,"5 Source No.",$C507,"4 Item Ledger Entry Type",$C$4,"2 Item No.","@@"&amp;$F507,"3 Posting Date",O$9)+NL("Sum","5802 Value Entry","17 Sales Amount (Actual)","41 Source Type",$C$5,"5 Source no.",$C507,"4 Item Ledger Entry Type",$C$4,"2 Item No.","@@"&amp;$F507,"3 Posting Date",O$9)</t>
  </si>
  <si>
    <t>=-NL("Sum","5802 Value Entry","151 Cost Amount (Expected)","41 Source Type",$C$5,"5 Source No.",$C507,"4 Item Ledger Entry Type",$C$4,"2 Item No.","@@"&amp;$F507,"3 Posting Date",O$9)-NL("Sum","5802 Value Entry","43 Cost Amount (Actual)","41 Source Type",$C$5,"5 Source no.",$C507,"4 Item Ledger Entry Type",$C$4,"2 Item No.","@@"&amp;$F507,"3 Posting Date",O$9)</t>
  </si>
  <si>
    <t>=O507-Q507</t>
  </si>
  <si>
    <t>=IF(O507&lt;&gt;0,R507/O507,"")</t>
  </si>
  <si>
    <t>=NL("Sum","5802 Value Entry","150 Sales Amount (Expected)","41 Source Type",$C$5,"5 Source No.",$C507,"4 Item Ledger Entry Type",$C$4,"2 Item No.","@@"&amp;$F507,"3 Posting Date",U$9)+NL("Sum","5802 Value Entry","17 Sales Amount (Actual)","41 Source Type",$C$5,"5 Source no.",$C507,"4 Item Ledger Entry Type",$C$4,"2 Item No.","@@"&amp;$F507,"3 Posting Date",U$9)</t>
  </si>
  <si>
    <t>=-NL("Sum","5802 Value Entry","151 Cost Amount (Expected)","41 Source Type",$C$5,"5 Source No.",$C507,"4 Item Ledger Entry Type",$C$4,"2 Item No.","@@"&amp;$F507,"3 Posting Date",U$9)-NL("Sum","5802 Value Entry","43 Cost Amount (Actual)","41 Source Type",$C$5,"5 Source no.",$C507,"4 Item Ledger Entry Type",$C$4,"2 Item No.","@@"&amp;$F507,"3 Posting Date",U$9)</t>
  </si>
  <si>
    <t>=U507-W507</t>
  </si>
  <si>
    <t>=IF(U507&lt;&gt;0,X507/U507,"")</t>
  </si>
  <si>
    <t>=NL("Sum","5802 Value Entry","150 Sales Amount (Expected)","41 Source Type",$C$5,"5 Source No.",$C507,"4 Item Ledger Entry Type",$C$4,"2 Item No.","@@"&amp;$F507,"3 Posting Date",Z$9)+NL("Sum","5802 Value Entry","17 Sales Amount (Actual)","41 Source Type",$C$5,"5 Source no.",$C507,"4 Item Ledger Entry Type",$C$4,"2 Item No.","@@"&amp;$F507,"3 Posting Date",Z$9)</t>
  </si>
  <si>
    <t>=-NL("Sum","5802 Value Entry","151 Cost Amount (Expected)","41 Source Type",$C$5,"5 Source No.",$C507,"4 Item Ledger Entry Type",$C$4,"2 Item No.","@@"&amp;$F507,"3 Posting Date",Z$9)-NL("Sum","5802 Value Entry","43 Cost Amount (Actual)","41 Source Type",$C$5,"5 Source no.",$C507,"4 Item Ledger Entry Type",$C$4,"2 Item No.","@@"&amp;$F507,"3 Posting Date",Z$9)</t>
  </si>
  <si>
    <t>=Z507-AB507</t>
  </si>
  <si>
    <t>=IF(Z507&lt;&gt;0,AC507/Z507,"")</t>
  </si>
  <si>
    <t>=C507</t>
  </si>
  <si>
    <t>=NL("Sum","5802 Value Entry","150 Sales Amount (Expected)","41 Source Type",$C$5,"5 Source No.",$C508,"4 Item Ledger Entry Type",$C$4,"2 Item No.","@@"&amp;$F508,"3 Posting Date",J$9)+NL("Sum","5802 Value Entry","17 Sales Amount (Actual)","41 Source Type",$C$5,"5 Source no.",$C508,"4 Item Ledger Entry Type",$C$4,"2 Item No.","@@"&amp;$F508,"3 Posting Date",J$9)</t>
  </si>
  <si>
    <t>=-NL("Sum","5802 Value Entry","151 Cost Amount (Expected)","41 Source Type",$C$5,"5 Source No.",$C508,"4 Item Ledger Entry Type",$C$4,"2 Item No.","@@"&amp;$F508,"3 Posting Date",J$9)-NL("Sum","5802 Value Entry","43 Cost Amount (Actual)","41 Source Type",$C$5,"5 Source no.",$C508,"4 Item Ledger Entry Type",$C$4,"2 Item No.","@@"&amp;$F508,"3 Posting Date",J$9)</t>
  </si>
  <si>
    <t>=J508-L508</t>
  </si>
  <si>
    <t>=IF(J508&lt;&gt;0,M508/J508,"")</t>
  </si>
  <si>
    <t>=NL("Sum","5802 Value Entry","150 Sales Amount (Expected)","41 Source Type",$C$5,"5 Source No.",$C508,"4 Item Ledger Entry Type",$C$4,"2 Item No.","@@"&amp;$F508,"3 Posting Date",O$9)+NL("Sum","5802 Value Entry","17 Sales Amount (Actual)","41 Source Type",$C$5,"5 Source no.",$C508,"4 Item Ledger Entry Type",$C$4,"2 Item No.","@@"&amp;$F508,"3 Posting Date",O$9)</t>
  </si>
  <si>
    <t>=-NL("Sum","5802 Value Entry","151 Cost Amount (Expected)","41 Source Type",$C$5,"5 Source No.",$C508,"4 Item Ledger Entry Type",$C$4,"2 Item No.","@@"&amp;$F508,"3 Posting Date",O$9)-NL("Sum","5802 Value Entry","43 Cost Amount (Actual)","41 Source Type",$C$5,"5 Source no.",$C508,"4 Item Ledger Entry Type",$C$4,"2 Item No.","@@"&amp;$F508,"3 Posting Date",O$9)</t>
  </si>
  <si>
    <t>=O508-Q508</t>
  </si>
  <si>
    <t>=IF(O508&lt;&gt;0,R508/O508,"")</t>
  </si>
  <si>
    <t>=NL("Sum","5802 Value Entry","150 Sales Amount (Expected)","41 Source Type",$C$5,"5 Source No.",$C508,"4 Item Ledger Entry Type",$C$4,"2 Item No.","@@"&amp;$F508,"3 Posting Date",U$9)+NL("Sum","5802 Value Entry","17 Sales Amount (Actual)","41 Source Type",$C$5,"5 Source no.",$C508,"4 Item Ledger Entry Type",$C$4,"2 Item No.","@@"&amp;$F508,"3 Posting Date",U$9)</t>
  </si>
  <si>
    <t>=-NL("Sum","5802 Value Entry","151 Cost Amount (Expected)","41 Source Type",$C$5,"5 Source No.",$C508,"4 Item Ledger Entry Type",$C$4,"2 Item No.","@@"&amp;$F508,"3 Posting Date",U$9)-NL("Sum","5802 Value Entry","43 Cost Amount (Actual)","41 Source Type",$C$5,"5 Source no.",$C508,"4 Item Ledger Entry Type",$C$4,"2 Item No.","@@"&amp;$F508,"3 Posting Date",U$9)</t>
  </si>
  <si>
    <t>=U508-W508</t>
  </si>
  <si>
    <t>=IF(U508&lt;&gt;0,X508/U508,"")</t>
  </si>
  <si>
    <t>=NL("Sum","5802 Value Entry","150 Sales Amount (Expected)","41 Source Type",$C$5,"5 Source No.",$C508,"4 Item Ledger Entry Type",$C$4,"2 Item No.","@@"&amp;$F508,"3 Posting Date",Z$9)+NL("Sum","5802 Value Entry","17 Sales Amount (Actual)","41 Source Type",$C$5,"5 Source no.",$C508,"4 Item Ledger Entry Type",$C$4,"2 Item No.","@@"&amp;$F508,"3 Posting Date",Z$9)</t>
  </si>
  <si>
    <t>=-NL("Sum","5802 Value Entry","151 Cost Amount (Expected)","41 Source Type",$C$5,"5 Source No.",$C508,"4 Item Ledger Entry Type",$C$4,"2 Item No.","@@"&amp;$F508,"3 Posting Date",Z$9)-NL("Sum","5802 Value Entry","43 Cost Amount (Actual)","41 Source Type",$C$5,"5 Source no.",$C508,"4 Item Ledger Entry Type",$C$4,"2 Item No.","@@"&amp;$F508,"3 Posting Date",Z$9)</t>
  </si>
  <si>
    <t>=Z508-AB508</t>
  </si>
  <si>
    <t>=IF(Z508&lt;&gt;0,AC508/Z508,"")</t>
  </si>
  <si>
    <t>=C508</t>
  </si>
  <si>
    <t>=NL("Sum","5802 Value Entry","150 Sales Amount (Expected)","41 Source Type",$C$5,"5 Source No.",$C509,"4 Item Ledger Entry Type",$C$4,"2 Item No.","@@"&amp;$F509,"3 Posting Date",J$9)+NL("Sum","5802 Value Entry","17 Sales Amount (Actual)","41 Source Type",$C$5,"5 Source no.",$C509,"4 Item Ledger Entry Type",$C$4,"2 Item No.","@@"&amp;$F509,"3 Posting Date",J$9)</t>
  </si>
  <si>
    <t>=-NL("Sum","5802 Value Entry","151 Cost Amount (Expected)","41 Source Type",$C$5,"5 Source No.",$C509,"4 Item Ledger Entry Type",$C$4,"2 Item No.","@@"&amp;$F509,"3 Posting Date",J$9)-NL("Sum","5802 Value Entry","43 Cost Amount (Actual)","41 Source Type",$C$5,"5 Source no.",$C509,"4 Item Ledger Entry Type",$C$4,"2 Item No.","@@"&amp;$F509,"3 Posting Date",J$9)</t>
  </si>
  <si>
    <t>=J509-L509</t>
  </si>
  <si>
    <t>=IF(J509&lt;&gt;0,M509/J509,"")</t>
  </si>
  <si>
    <t>=NL("Sum","5802 Value Entry","150 Sales Amount (Expected)","41 Source Type",$C$5,"5 Source No.",$C509,"4 Item Ledger Entry Type",$C$4,"2 Item No.","@@"&amp;$F509,"3 Posting Date",O$9)+NL("Sum","5802 Value Entry","17 Sales Amount (Actual)","41 Source Type",$C$5,"5 Source no.",$C509,"4 Item Ledger Entry Type",$C$4,"2 Item No.","@@"&amp;$F509,"3 Posting Date",O$9)</t>
  </si>
  <si>
    <t>=-NL("Sum","5802 Value Entry","151 Cost Amount (Expected)","41 Source Type",$C$5,"5 Source No.",$C509,"4 Item Ledger Entry Type",$C$4,"2 Item No.","@@"&amp;$F509,"3 Posting Date",O$9)-NL("Sum","5802 Value Entry","43 Cost Amount (Actual)","41 Source Type",$C$5,"5 Source no.",$C509,"4 Item Ledger Entry Type",$C$4,"2 Item No.","@@"&amp;$F509,"3 Posting Date",O$9)</t>
  </si>
  <si>
    <t>=O509-Q509</t>
  </si>
  <si>
    <t>=IF(O509&lt;&gt;0,R509/O509,"")</t>
  </si>
  <si>
    <t>=NL("Sum","5802 Value Entry","150 Sales Amount (Expected)","41 Source Type",$C$5,"5 Source No.",$C509,"4 Item Ledger Entry Type",$C$4,"2 Item No.","@@"&amp;$F509,"3 Posting Date",U$9)+NL("Sum","5802 Value Entry","17 Sales Amount (Actual)","41 Source Type",$C$5,"5 Source no.",$C509,"4 Item Ledger Entry Type",$C$4,"2 Item No.","@@"&amp;$F509,"3 Posting Date",U$9)</t>
  </si>
  <si>
    <t>=-NL("Sum","5802 Value Entry","151 Cost Amount (Expected)","41 Source Type",$C$5,"5 Source No.",$C509,"4 Item Ledger Entry Type",$C$4,"2 Item No.","@@"&amp;$F509,"3 Posting Date",U$9)-NL("Sum","5802 Value Entry","43 Cost Amount (Actual)","41 Source Type",$C$5,"5 Source no.",$C509,"4 Item Ledger Entry Type",$C$4,"2 Item No.","@@"&amp;$F509,"3 Posting Date",U$9)</t>
  </si>
  <si>
    <t>=U509-W509</t>
  </si>
  <si>
    <t>=IF(U509&lt;&gt;0,X509/U509,"")</t>
  </si>
  <si>
    <t>=NL("Sum","5802 Value Entry","150 Sales Amount (Expected)","41 Source Type",$C$5,"5 Source No.",$C509,"4 Item Ledger Entry Type",$C$4,"2 Item No.","@@"&amp;$F509,"3 Posting Date",Z$9)+NL("Sum","5802 Value Entry","17 Sales Amount (Actual)","41 Source Type",$C$5,"5 Source no.",$C509,"4 Item Ledger Entry Type",$C$4,"2 Item No.","@@"&amp;$F509,"3 Posting Date",Z$9)</t>
  </si>
  <si>
    <t>=-NL("Sum","5802 Value Entry","151 Cost Amount (Expected)","41 Source Type",$C$5,"5 Source No.",$C509,"4 Item Ledger Entry Type",$C$4,"2 Item No.","@@"&amp;$F509,"3 Posting Date",Z$9)-NL("Sum","5802 Value Entry","43 Cost Amount (Actual)","41 Source Type",$C$5,"5 Source no.",$C509,"4 Item Ledger Entry Type",$C$4,"2 Item No.","@@"&amp;$F509,"3 Posting Date",Z$9)</t>
  </si>
  <si>
    <t>=Z509-AB509</t>
  </si>
  <si>
    <t>=IF(Z509&lt;&gt;0,AC509/Z509,"")</t>
  </si>
  <si>
    <t>=C509</t>
  </si>
  <si>
    <t>=NL("Sum","5802 Value Entry","150 Sales Amount (Expected)","41 Source Type",$C$5,"5 Source No.",$C510,"4 Item Ledger Entry Type",$C$4,"2 Item No.","@@"&amp;$F510,"3 Posting Date",J$9)+NL("Sum","5802 Value Entry","17 Sales Amount (Actual)","41 Source Type",$C$5,"5 Source no.",$C510,"4 Item Ledger Entry Type",$C$4,"2 Item No.","@@"&amp;$F510,"3 Posting Date",J$9)</t>
  </si>
  <si>
    <t>=-NL("Sum","5802 Value Entry","151 Cost Amount (Expected)","41 Source Type",$C$5,"5 Source No.",$C510,"4 Item Ledger Entry Type",$C$4,"2 Item No.","@@"&amp;$F510,"3 Posting Date",J$9)-NL("Sum","5802 Value Entry","43 Cost Amount (Actual)","41 Source Type",$C$5,"5 Source no.",$C510,"4 Item Ledger Entry Type",$C$4,"2 Item No.","@@"&amp;$F510,"3 Posting Date",J$9)</t>
  </si>
  <si>
    <t>=J510-L510</t>
  </si>
  <si>
    <t>=IF(J510&lt;&gt;0,M510/J510,"")</t>
  </si>
  <si>
    <t>=NL("Sum","5802 Value Entry","150 Sales Amount (Expected)","41 Source Type",$C$5,"5 Source No.",$C510,"4 Item Ledger Entry Type",$C$4,"2 Item No.","@@"&amp;$F510,"3 Posting Date",O$9)+NL("Sum","5802 Value Entry","17 Sales Amount (Actual)","41 Source Type",$C$5,"5 Source no.",$C510,"4 Item Ledger Entry Type",$C$4,"2 Item No.","@@"&amp;$F510,"3 Posting Date",O$9)</t>
  </si>
  <si>
    <t>=-NL("Sum","5802 Value Entry","151 Cost Amount (Expected)","41 Source Type",$C$5,"5 Source No.",$C510,"4 Item Ledger Entry Type",$C$4,"2 Item No.","@@"&amp;$F510,"3 Posting Date",O$9)-NL("Sum","5802 Value Entry","43 Cost Amount (Actual)","41 Source Type",$C$5,"5 Source no.",$C510,"4 Item Ledger Entry Type",$C$4,"2 Item No.","@@"&amp;$F510,"3 Posting Date",O$9)</t>
  </si>
  <si>
    <t>=O510-Q510</t>
  </si>
  <si>
    <t>=IF(O510&lt;&gt;0,R510/O510,"")</t>
  </si>
  <si>
    <t>=NL("Sum","5802 Value Entry","150 Sales Amount (Expected)","41 Source Type",$C$5,"5 Source No.",$C510,"4 Item Ledger Entry Type",$C$4,"2 Item No.","@@"&amp;$F510,"3 Posting Date",U$9)+NL("Sum","5802 Value Entry","17 Sales Amount (Actual)","41 Source Type",$C$5,"5 Source no.",$C510,"4 Item Ledger Entry Type",$C$4,"2 Item No.","@@"&amp;$F510,"3 Posting Date",U$9)</t>
  </si>
  <si>
    <t>=-NL("Sum","5802 Value Entry","151 Cost Amount (Expected)","41 Source Type",$C$5,"5 Source No.",$C510,"4 Item Ledger Entry Type",$C$4,"2 Item No.","@@"&amp;$F510,"3 Posting Date",U$9)-NL("Sum","5802 Value Entry","43 Cost Amount (Actual)","41 Source Type",$C$5,"5 Source no.",$C510,"4 Item Ledger Entry Type",$C$4,"2 Item No.","@@"&amp;$F510,"3 Posting Date",U$9)</t>
  </si>
  <si>
    <t>=U510-W510</t>
  </si>
  <si>
    <t>=IF(U510&lt;&gt;0,X510/U510,"")</t>
  </si>
  <si>
    <t>=NL("Sum","5802 Value Entry","150 Sales Amount (Expected)","41 Source Type",$C$5,"5 Source No.",$C510,"4 Item Ledger Entry Type",$C$4,"2 Item No.","@@"&amp;$F510,"3 Posting Date",Z$9)+NL("Sum","5802 Value Entry","17 Sales Amount (Actual)","41 Source Type",$C$5,"5 Source no.",$C510,"4 Item Ledger Entry Type",$C$4,"2 Item No.","@@"&amp;$F510,"3 Posting Date",Z$9)</t>
  </si>
  <si>
    <t>=-NL("Sum","5802 Value Entry","151 Cost Amount (Expected)","41 Source Type",$C$5,"5 Source No.",$C510,"4 Item Ledger Entry Type",$C$4,"2 Item No.","@@"&amp;$F510,"3 Posting Date",Z$9)-NL("Sum","5802 Value Entry","43 Cost Amount (Actual)","41 Source Type",$C$5,"5 Source no.",$C510,"4 Item Ledger Entry Type",$C$4,"2 Item No.","@@"&amp;$F510,"3 Posting Date",Z$9)</t>
  </si>
  <si>
    <t>=Z510-AB510</t>
  </si>
  <si>
    <t>=IF(Z510&lt;&gt;0,AC510/Z510,"")</t>
  </si>
  <si>
    <t>=C510</t>
  </si>
  <si>
    <t>=NL("Sum","5802 Value Entry","150 Sales Amount (Expected)","41 Source Type",$C$5,"5 Source No.",$C511,"4 Item Ledger Entry Type",$C$4,"2 Item No.","@@"&amp;$F511,"3 Posting Date",J$9)+NL("Sum","5802 Value Entry","17 Sales Amount (Actual)","41 Source Type",$C$5,"5 Source no.",$C511,"4 Item Ledger Entry Type",$C$4,"2 Item No.","@@"&amp;$F511,"3 Posting Date",J$9)</t>
  </si>
  <si>
    <t>=-NL("Sum","5802 Value Entry","151 Cost Amount (Expected)","41 Source Type",$C$5,"5 Source No.",$C511,"4 Item Ledger Entry Type",$C$4,"2 Item No.","@@"&amp;$F511,"3 Posting Date",J$9)-NL("Sum","5802 Value Entry","43 Cost Amount (Actual)","41 Source Type",$C$5,"5 Source no.",$C511,"4 Item Ledger Entry Type",$C$4,"2 Item No.","@@"&amp;$F511,"3 Posting Date",J$9)</t>
  </si>
  <si>
    <t>=J511-L511</t>
  </si>
  <si>
    <t>=IF(J511&lt;&gt;0,M511/J511,"")</t>
  </si>
  <si>
    <t>=NL("Sum","5802 Value Entry","150 Sales Amount (Expected)","41 Source Type",$C$5,"5 Source No.",$C511,"4 Item Ledger Entry Type",$C$4,"2 Item No.","@@"&amp;$F511,"3 Posting Date",O$9)+NL("Sum","5802 Value Entry","17 Sales Amount (Actual)","41 Source Type",$C$5,"5 Source no.",$C511,"4 Item Ledger Entry Type",$C$4,"2 Item No.","@@"&amp;$F511,"3 Posting Date",O$9)</t>
  </si>
  <si>
    <t>=-NL("Sum","5802 Value Entry","151 Cost Amount (Expected)","41 Source Type",$C$5,"5 Source No.",$C511,"4 Item Ledger Entry Type",$C$4,"2 Item No.","@@"&amp;$F511,"3 Posting Date",O$9)-NL("Sum","5802 Value Entry","43 Cost Amount (Actual)","41 Source Type",$C$5,"5 Source no.",$C511,"4 Item Ledger Entry Type",$C$4,"2 Item No.","@@"&amp;$F511,"3 Posting Date",O$9)</t>
  </si>
  <si>
    <t>=O511-Q511</t>
  </si>
  <si>
    <t>=IF(O511&lt;&gt;0,R511/O511,"")</t>
  </si>
  <si>
    <t>=NL("Sum","5802 Value Entry","150 Sales Amount (Expected)","41 Source Type",$C$5,"5 Source No.",$C511,"4 Item Ledger Entry Type",$C$4,"2 Item No.","@@"&amp;$F511,"3 Posting Date",U$9)+NL("Sum","5802 Value Entry","17 Sales Amount (Actual)","41 Source Type",$C$5,"5 Source no.",$C511,"4 Item Ledger Entry Type",$C$4,"2 Item No.","@@"&amp;$F511,"3 Posting Date",U$9)</t>
  </si>
  <si>
    <t>=-NL("Sum","5802 Value Entry","151 Cost Amount (Expected)","41 Source Type",$C$5,"5 Source No.",$C511,"4 Item Ledger Entry Type",$C$4,"2 Item No.","@@"&amp;$F511,"3 Posting Date",U$9)-NL("Sum","5802 Value Entry","43 Cost Amount (Actual)","41 Source Type",$C$5,"5 Source no.",$C511,"4 Item Ledger Entry Type",$C$4,"2 Item No.","@@"&amp;$F511,"3 Posting Date",U$9)</t>
  </si>
  <si>
    <t>=U511-W511</t>
  </si>
  <si>
    <t>=IF(U511&lt;&gt;0,X511/U511,"")</t>
  </si>
  <si>
    <t>=NL("Sum","5802 Value Entry","150 Sales Amount (Expected)","41 Source Type",$C$5,"5 Source No.",$C511,"4 Item Ledger Entry Type",$C$4,"2 Item No.","@@"&amp;$F511,"3 Posting Date",Z$9)+NL("Sum","5802 Value Entry","17 Sales Amount (Actual)","41 Source Type",$C$5,"5 Source no.",$C511,"4 Item Ledger Entry Type",$C$4,"2 Item No.","@@"&amp;$F511,"3 Posting Date",Z$9)</t>
  </si>
  <si>
    <t>=-NL("Sum","5802 Value Entry","151 Cost Amount (Expected)","41 Source Type",$C$5,"5 Source No.",$C511,"4 Item Ledger Entry Type",$C$4,"2 Item No.","@@"&amp;$F511,"3 Posting Date",Z$9)-NL("Sum","5802 Value Entry","43 Cost Amount (Actual)","41 Source Type",$C$5,"5 Source no.",$C511,"4 Item Ledger Entry Type",$C$4,"2 Item No.","@@"&amp;$F511,"3 Posting Date",Z$9)</t>
  </si>
  <si>
    <t>=Z511-AB511</t>
  </si>
  <si>
    <t>=IF(Z511&lt;&gt;0,AC511/Z511,"")</t>
  </si>
  <si>
    <t>=C512</t>
  </si>
  <si>
    <t>=J513-L513</t>
  </si>
  <si>
    <t>=IF(J513&lt;&gt;0,M513/J513,"")</t>
  </si>
  <si>
    <t>=O513-Q513</t>
  </si>
  <si>
    <t>=IF(O513&lt;&gt;0,R513/O513,"")</t>
  </si>
  <si>
    <t>=U513-W513</t>
  </si>
  <si>
    <t>=IF(U513&lt;&gt;0,X513/U513,"")</t>
  </si>
  <si>
    <t>=Z513-AB513</t>
  </si>
  <si>
    <t>=IF(Z513&lt;&gt;0,AC513/Z513,"")</t>
  </si>
  <si>
    <t>=C515</t>
  </si>
  <si>
    <t>=C516</t>
  </si>
  <si>
    <t>=NL("Sum","5802 Value Entry","150 Sales Amount (Expected)","41 Source Type",$C$5,"5 Source No.",$C517,"4 Item Ledger Entry Type",$C$4,"2 Item No.","@@"&amp;$F517,"3 Posting Date",J$9)+NL("Sum","5802 Value Entry","17 Sales Amount (Actual)","41 Source Type",$C$5,"5 Source no.",$C517,"4 Item Ledger Entry Type",$C$4,"2 Item No.","@@"&amp;$F517,"3 Posting Date",J$9)</t>
  </si>
  <si>
    <t>=-NL("Sum","5802 Value Entry","151 Cost Amount (Expected)","41 Source Type",$C$5,"5 Source No.",$C517,"4 Item Ledger Entry Type",$C$4,"2 Item No.","@@"&amp;$F517,"3 Posting Date",J$9)-NL("Sum","5802 Value Entry","43 Cost Amount (Actual)","41 Source Type",$C$5,"5 Source no.",$C517,"4 Item Ledger Entry Type",$C$4,"2 Item No.","@@"&amp;$F517,"3 Posting Date",J$9)</t>
  </si>
  <si>
    <t>=J517-L517</t>
  </si>
  <si>
    <t>=IF(J517&lt;&gt;0,M517/J517,"")</t>
  </si>
  <si>
    <t>=NL("Sum","5802 Value Entry","150 Sales Amount (Expected)","41 Source Type",$C$5,"5 Source No.",$C517,"4 Item Ledger Entry Type",$C$4,"2 Item No.","@@"&amp;$F517,"3 Posting Date",O$9)+NL("Sum","5802 Value Entry","17 Sales Amount (Actual)","41 Source Type",$C$5,"5 Source no.",$C517,"4 Item Ledger Entry Type",$C$4,"2 Item No.","@@"&amp;$F517,"3 Posting Date",O$9)</t>
  </si>
  <si>
    <t>=-NL("Sum","5802 Value Entry","151 Cost Amount (Expected)","41 Source Type",$C$5,"5 Source No.",$C517,"4 Item Ledger Entry Type",$C$4,"2 Item No.","@@"&amp;$F517,"3 Posting Date",O$9)-NL("Sum","5802 Value Entry","43 Cost Amount (Actual)","41 Source Type",$C$5,"5 Source no.",$C517,"4 Item Ledger Entry Type",$C$4,"2 Item No.","@@"&amp;$F517,"3 Posting Date",O$9)</t>
  </si>
  <si>
    <t>=O517-Q517</t>
  </si>
  <si>
    <t>=IF(O517&lt;&gt;0,R517/O517,"")</t>
  </si>
  <si>
    <t>=NL("Sum","5802 Value Entry","150 Sales Amount (Expected)","41 Source Type",$C$5,"5 Source No.",$C517,"4 Item Ledger Entry Type",$C$4,"2 Item No.","@@"&amp;$F517,"3 Posting Date",U$9)+NL("Sum","5802 Value Entry","17 Sales Amount (Actual)","41 Source Type",$C$5,"5 Source no.",$C517,"4 Item Ledger Entry Type",$C$4,"2 Item No.","@@"&amp;$F517,"3 Posting Date",U$9)</t>
  </si>
  <si>
    <t>=-NL("Sum","5802 Value Entry","151 Cost Amount (Expected)","41 Source Type",$C$5,"5 Source No.",$C517,"4 Item Ledger Entry Type",$C$4,"2 Item No.","@@"&amp;$F517,"3 Posting Date",U$9)-NL("Sum","5802 Value Entry","43 Cost Amount (Actual)","41 Source Type",$C$5,"5 Source no.",$C517,"4 Item Ledger Entry Type",$C$4,"2 Item No.","@@"&amp;$F517,"3 Posting Date",U$9)</t>
  </si>
  <si>
    <t>=U517-W517</t>
  </si>
  <si>
    <t>=IF(U517&lt;&gt;0,X517/U517,"")</t>
  </si>
  <si>
    <t>=NL("Sum","5802 Value Entry","150 Sales Amount (Expected)","41 Source Type",$C$5,"5 Source No.",$C517,"4 Item Ledger Entry Type",$C$4,"2 Item No.","@@"&amp;$F517,"3 Posting Date",Z$9)+NL("Sum","5802 Value Entry","17 Sales Amount (Actual)","41 Source Type",$C$5,"5 Source no.",$C517,"4 Item Ledger Entry Type",$C$4,"2 Item No.","@@"&amp;$F517,"3 Posting Date",Z$9)</t>
  </si>
  <si>
    <t>=-NL("Sum","5802 Value Entry","151 Cost Amount (Expected)","41 Source Type",$C$5,"5 Source No.",$C517,"4 Item Ledger Entry Type",$C$4,"2 Item No.","@@"&amp;$F517,"3 Posting Date",Z$9)-NL("Sum","5802 Value Entry","43 Cost Amount (Actual)","41 Source Type",$C$5,"5 Source no.",$C517,"4 Item Ledger Entry Type",$C$4,"2 Item No.","@@"&amp;$F517,"3 Posting Date",Z$9)</t>
  </si>
  <si>
    <t>=Z517-AB517</t>
  </si>
  <si>
    <t>=IF(Z517&lt;&gt;0,AC517/Z517,"")</t>
  </si>
  <si>
    <t>=C518</t>
  </si>
  <si>
    <t>=J519-L519</t>
  </si>
  <si>
    <t>=IF(J519&lt;&gt;0,M519/J519,"")</t>
  </si>
  <si>
    <t>=O519-Q519</t>
  </si>
  <si>
    <t>=IF(O519&lt;&gt;0,R519/O519,"")</t>
  </si>
  <si>
    <t>=U519-W519</t>
  </si>
  <si>
    <t>=IF(U519&lt;&gt;0,X519/U519,"")</t>
  </si>
  <si>
    <t>=Z519-AB519</t>
  </si>
  <si>
    <t>=IF(Z519&lt;&gt;0,AC519/Z519,"")</t>
  </si>
  <si>
    <t>=C521</t>
  </si>
  <si>
    <t>=C522</t>
  </si>
  <si>
    <t>=NL("Sum","5802 Value Entry","150 Sales Amount (Expected)","41 Source Type",$C$5,"5 Source No.",$C523,"4 Item Ledger Entry Type",$C$4,"2 Item No.","@@"&amp;$F523,"3 Posting Date",J$9)+NL("Sum","5802 Value Entry","17 Sales Amount (Actual)","41 Source Type",$C$5,"5 Source no.",$C523,"4 Item Ledger Entry Type",$C$4,"2 Item No.","@@"&amp;$F523,"3 Posting Date",J$9)</t>
  </si>
  <si>
    <t>=-NL("Sum","5802 Value Entry","151 Cost Amount (Expected)","41 Source Type",$C$5,"5 Source No.",$C523,"4 Item Ledger Entry Type",$C$4,"2 Item No.","@@"&amp;$F523,"3 Posting Date",J$9)-NL("Sum","5802 Value Entry","43 Cost Amount (Actual)","41 Source Type",$C$5,"5 Source no.",$C523,"4 Item Ledger Entry Type",$C$4,"2 Item No.","@@"&amp;$F523,"3 Posting Date",J$9)</t>
  </si>
  <si>
    <t>=J523-L523</t>
  </si>
  <si>
    <t>=IF(J523&lt;&gt;0,M523/J523,"")</t>
  </si>
  <si>
    <t>=NL("Sum","5802 Value Entry","150 Sales Amount (Expected)","41 Source Type",$C$5,"5 Source No.",$C523,"4 Item Ledger Entry Type",$C$4,"2 Item No.","@@"&amp;$F523,"3 Posting Date",O$9)+NL("Sum","5802 Value Entry","17 Sales Amount (Actual)","41 Source Type",$C$5,"5 Source no.",$C523,"4 Item Ledger Entry Type",$C$4,"2 Item No.","@@"&amp;$F523,"3 Posting Date",O$9)</t>
  </si>
  <si>
    <t>=-NL("Sum","5802 Value Entry","151 Cost Amount (Expected)","41 Source Type",$C$5,"5 Source No.",$C523,"4 Item Ledger Entry Type",$C$4,"2 Item No.","@@"&amp;$F523,"3 Posting Date",O$9)-NL("Sum","5802 Value Entry","43 Cost Amount (Actual)","41 Source Type",$C$5,"5 Source no.",$C523,"4 Item Ledger Entry Type",$C$4,"2 Item No.","@@"&amp;$F523,"3 Posting Date",O$9)</t>
  </si>
  <si>
    <t>=O523-Q523</t>
  </si>
  <si>
    <t>=IF(O523&lt;&gt;0,R523/O523,"")</t>
  </si>
  <si>
    <t>=NL("Sum","5802 Value Entry","150 Sales Amount (Expected)","41 Source Type",$C$5,"5 Source No.",$C523,"4 Item Ledger Entry Type",$C$4,"2 Item No.","@@"&amp;$F523,"3 Posting Date",U$9)+NL("Sum","5802 Value Entry","17 Sales Amount (Actual)","41 Source Type",$C$5,"5 Source no.",$C523,"4 Item Ledger Entry Type",$C$4,"2 Item No.","@@"&amp;$F523,"3 Posting Date",U$9)</t>
  </si>
  <si>
    <t>=-NL("Sum","5802 Value Entry","151 Cost Amount (Expected)","41 Source Type",$C$5,"5 Source No.",$C523,"4 Item Ledger Entry Type",$C$4,"2 Item No.","@@"&amp;$F523,"3 Posting Date",U$9)-NL("Sum","5802 Value Entry","43 Cost Amount (Actual)","41 Source Type",$C$5,"5 Source no.",$C523,"4 Item Ledger Entry Type",$C$4,"2 Item No.","@@"&amp;$F523,"3 Posting Date",U$9)</t>
  </si>
  <si>
    <t>=U523-W523</t>
  </si>
  <si>
    <t>=IF(U523&lt;&gt;0,X523/U523,"")</t>
  </si>
  <si>
    <t>=NL("Sum","5802 Value Entry","150 Sales Amount (Expected)","41 Source Type",$C$5,"5 Source No.",$C523,"4 Item Ledger Entry Type",$C$4,"2 Item No.","@@"&amp;$F523,"3 Posting Date",Z$9)+NL("Sum","5802 Value Entry","17 Sales Amount (Actual)","41 Source Type",$C$5,"5 Source no.",$C523,"4 Item Ledger Entry Type",$C$4,"2 Item No.","@@"&amp;$F523,"3 Posting Date",Z$9)</t>
  </si>
  <si>
    <t>=-NL("Sum","5802 Value Entry","151 Cost Amount (Expected)","41 Source Type",$C$5,"5 Source No.",$C523,"4 Item Ledger Entry Type",$C$4,"2 Item No.","@@"&amp;$F523,"3 Posting Date",Z$9)-NL("Sum","5802 Value Entry","43 Cost Amount (Actual)","41 Source Type",$C$5,"5 Source no.",$C523,"4 Item Ledger Entry Type",$C$4,"2 Item No.","@@"&amp;$F523,"3 Posting Date",Z$9)</t>
  </si>
  <si>
    <t>=Z523-AB523</t>
  </si>
  <si>
    <t>=IF(Z523&lt;&gt;0,AC523/Z523,"")</t>
  </si>
  <si>
    <t>=C523</t>
  </si>
  <si>
    <t>=NL("Sum","5802 Value Entry","150 Sales Amount (Expected)","41 Source Type",$C$5,"5 Source No.",$C524,"4 Item Ledger Entry Type",$C$4,"2 Item No.","@@"&amp;$F524,"3 Posting Date",J$9)+NL("Sum","5802 Value Entry","17 Sales Amount (Actual)","41 Source Type",$C$5,"5 Source no.",$C524,"4 Item Ledger Entry Type",$C$4,"2 Item No.","@@"&amp;$F524,"3 Posting Date",J$9)</t>
  </si>
  <si>
    <t>=-NL("Sum","5802 Value Entry","151 Cost Amount (Expected)","41 Source Type",$C$5,"5 Source No.",$C524,"4 Item Ledger Entry Type",$C$4,"2 Item No.","@@"&amp;$F524,"3 Posting Date",J$9)-NL("Sum","5802 Value Entry","43 Cost Amount (Actual)","41 Source Type",$C$5,"5 Source no.",$C524,"4 Item Ledger Entry Type",$C$4,"2 Item No.","@@"&amp;$F524,"3 Posting Date",J$9)</t>
  </si>
  <si>
    <t>=J524-L524</t>
  </si>
  <si>
    <t>=IF(J524&lt;&gt;0,M524/J524,"")</t>
  </si>
  <si>
    <t>=NL("Sum","5802 Value Entry","150 Sales Amount (Expected)","41 Source Type",$C$5,"5 Source No.",$C524,"4 Item Ledger Entry Type",$C$4,"2 Item No.","@@"&amp;$F524,"3 Posting Date",O$9)+NL("Sum","5802 Value Entry","17 Sales Amount (Actual)","41 Source Type",$C$5,"5 Source no.",$C524,"4 Item Ledger Entry Type",$C$4,"2 Item No.","@@"&amp;$F524,"3 Posting Date",O$9)</t>
  </si>
  <si>
    <t>=-NL("Sum","5802 Value Entry","151 Cost Amount (Expected)","41 Source Type",$C$5,"5 Source No.",$C524,"4 Item Ledger Entry Type",$C$4,"2 Item No.","@@"&amp;$F524,"3 Posting Date",O$9)-NL("Sum","5802 Value Entry","43 Cost Amount (Actual)","41 Source Type",$C$5,"5 Source no.",$C524,"4 Item Ledger Entry Type",$C$4,"2 Item No.","@@"&amp;$F524,"3 Posting Date",O$9)</t>
  </si>
  <si>
    <t>=O524-Q524</t>
  </si>
  <si>
    <t>=IF(O524&lt;&gt;0,R524/O524,"")</t>
  </si>
  <si>
    <t>=NL("Sum","5802 Value Entry","150 Sales Amount (Expected)","41 Source Type",$C$5,"5 Source No.",$C524,"4 Item Ledger Entry Type",$C$4,"2 Item No.","@@"&amp;$F524,"3 Posting Date",U$9)+NL("Sum","5802 Value Entry","17 Sales Amount (Actual)","41 Source Type",$C$5,"5 Source no.",$C524,"4 Item Ledger Entry Type",$C$4,"2 Item No.","@@"&amp;$F524,"3 Posting Date",U$9)</t>
  </si>
  <si>
    <t>=-NL("Sum","5802 Value Entry","151 Cost Amount (Expected)","41 Source Type",$C$5,"5 Source No.",$C524,"4 Item Ledger Entry Type",$C$4,"2 Item No.","@@"&amp;$F524,"3 Posting Date",U$9)-NL("Sum","5802 Value Entry","43 Cost Amount (Actual)","41 Source Type",$C$5,"5 Source no.",$C524,"4 Item Ledger Entry Type",$C$4,"2 Item No.","@@"&amp;$F524,"3 Posting Date",U$9)</t>
  </si>
  <si>
    <t>=U524-W524</t>
  </si>
  <si>
    <t>=IF(U524&lt;&gt;0,X524/U524,"")</t>
  </si>
  <si>
    <t>=NL("Sum","5802 Value Entry","150 Sales Amount (Expected)","41 Source Type",$C$5,"5 Source No.",$C524,"4 Item Ledger Entry Type",$C$4,"2 Item No.","@@"&amp;$F524,"3 Posting Date",Z$9)+NL("Sum","5802 Value Entry","17 Sales Amount (Actual)","41 Source Type",$C$5,"5 Source no.",$C524,"4 Item Ledger Entry Type",$C$4,"2 Item No.","@@"&amp;$F524,"3 Posting Date",Z$9)</t>
  </si>
  <si>
    <t>=-NL("Sum","5802 Value Entry","151 Cost Amount (Expected)","41 Source Type",$C$5,"5 Source No.",$C524,"4 Item Ledger Entry Type",$C$4,"2 Item No.","@@"&amp;$F524,"3 Posting Date",Z$9)-NL("Sum","5802 Value Entry","43 Cost Amount (Actual)","41 Source Type",$C$5,"5 Source no.",$C524,"4 Item Ledger Entry Type",$C$4,"2 Item No.","@@"&amp;$F524,"3 Posting Date",Z$9)</t>
  </si>
  <si>
    <t>=Z524-AB524</t>
  </si>
  <si>
    <t>=IF(Z524&lt;&gt;0,AC524/Z524,"")</t>
  </si>
  <si>
    <t>=C524</t>
  </si>
  <si>
    <t>=NL("Sum","5802 Value Entry","150 Sales Amount (Expected)","41 Source Type",$C$5,"5 Source No.",$C525,"4 Item Ledger Entry Type",$C$4,"2 Item No.","@@"&amp;$F525,"3 Posting Date",J$9)+NL("Sum","5802 Value Entry","17 Sales Amount (Actual)","41 Source Type",$C$5,"5 Source no.",$C525,"4 Item Ledger Entry Type",$C$4,"2 Item No.","@@"&amp;$F525,"3 Posting Date",J$9)</t>
  </si>
  <si>
    <t>=-NL("Sum","5802 Value Entry","151 Cost Amount (Expected)","41 Source Type",$C$5,"5 Source No.",$C525,"4 Item Ledger Entry Type",$C$4,"2 Item No.","@@"&amp;$F525,"3 Posting Date",J$9)-NL("Sum","5802 Value Entry","43 Cost Amount (Actual)","41 Source Type",$C$5,"5 Source no.",$C525,"4 Item Ledger Entry Type",$C$4,"2 Item No.","@@"&amp;$F525,"3 Posting Date",J$9)</t>
  </si>
  <si>
    <t>=J525-L525</t>
  </si>
  <si>
    <t>=IF(J525&lt;&gt;0,M525/J525,"")</t>
  </si>
  <si>
    <t>=NL("Sum","5802 Value Entry","150 Sales Amount (Expected)","41 Source Type",$C$5,"5 Source No.",$C525,"4 Item Ledger Entry Type",$C$4,"2 Item No.","@@"&amp;$F525,"3 Posting Date",O$9)+NL("Sum","5802 Value Entry","17 Sales Amount (Actual)","41 Source Type",$C$5,"5 Source no.",$C525,"4 Item Ledger Entry Type",$C$4,"2 Item No.","@@"&amp;$F525,"3 Posting Date",O$9)</t>
  </si>
  <si>
    <t>=-NL("Sum","5802 Value Entry","151 Cost Amount (Expected)","41 Source Type",$C$5,"5 Source No.",$C525,"4 Item Ledger Entry Type",$C$4,"2 Item No.","@@"&amp;$F525,"3 Posting Date",O$9)-NL("Sum","5802 Value Entry","43 Cost Amount (Actual)","41 Source Type",$C$5,"5 Source no.",$C525,"4 Item Ledger Entry Type",$C$4,"2 Item No.","@@"&amp;$F525,"3 Posting Date",O$9)</t>
  </si>
  <si>
    <t>=O525-Q525</t>
  </si>
  <si>
    <t>=IF(O525&lt;&gt;0,R525/O525,"")</t>
  </si>
  <si>
    <t>=NL("Sum","5802 Value Entry","150 Sales Amount (Expected)","41 Source Type",$C$5,"5 Source No.",$C525,"4 Item Ledger Entry Type",$C$4,"2 Item No.","@@"&amp;$F525,"3 Posting Date",U$9)+NL("Sum","5802 Value Entry","17 Sales Amount (Actual)","41 Source Type",$C$5,"5 Source no.",$C525,"4 Item Ledger Entry Type",$C$4,"2 Item No.","@@"&amp;$F525,"3 Posting Date",U$9)</t>
  </si>
  <si>
    <t>=-NL("Sum","5802 Value Entry","151 Cost Amount (Expected)","41 Source Type",$C$5,"5 Source No.",$C525,"4 Item Ledger Entry Type",$C$4,"2 Item No.","@@"&amp;$F525,"3 Posting Date",U$9)-NL("Sum","5802 Value Entry","43 Cost Amount (Actual)","41 Source Type",$C$5,"5 Source no.",$C525,"4 Item Ledger Entry Type",$C$4,"2 Item No.","@@"&amp;$F525,"3 Posting Date",U$9)</t>
  </si>
  <si>
    <t>=U525-W525</t>
  </si>
  <si>
    <t>=IF(U525&lt;&gt;0,X525/U525,"")</t>
  </si>
  <si>
    <t>=NL("Sum","5802 Value Entry","150 Sales Amount (Expected)","41 Source Type",$C$5,"5 Source No.",$C525,"4 Item Ledger Entry Type",$C$4,"2 Item No.","@@"&amp;$F525,"3 Posting Date",Z$9)+NL("Sum","5802 Value Entry","17 Sales Amount (Actual)","41 Source Type",$C$5,"5 Source no.",$C525,"4 Item Ledger Entry Type",$C$4,"2 Item No.","@@"&amp;$F525,"3 Posting Date",Z$9)</t>
  </si>
  <si>
    <t>=-NL("Sum","5802 Value Entry","151 Cost Amount (Expected)","41 Source Type",$C$5,"5 Source No.",$C525,"4 Item Ledger Entry Type",$C$4,"2 Item No.","@@"&amp;$F525,"3 Posting Date",Z$9)-NL("Sum","5802 Value Entry","43 Cost Amount (Actual)","41 Source Type",$C$5,"5 Source no.",$C525,"4 Item Ledger Entry Type",$C$4,"2 Item No.","@@"&amp;$F525,"3 Posting Date",Z$9)</t>
  </si>
  <si>
    <t>=Z525-AB525</t>
  </si>
  <si>
    <t>=IF(Z525&lt;&gt;0,AC525/Z525,"")</t>
  </si>
  <si>
    <t>=C525</t>
  </si>
  <si>
    <t>=NL("Sum","5802 Value Entry","150 Sales Amount (Expected)","41 Source Type",$C$5,"5 Source No.",$C526,"4 Item Ledger Entry Type",$C$4,"2 Item No.","@@"&amp;$F526,"3 Posting Date",J$9)+NL("Sum","5802 Value Entry","17 Sales Amount (Actual)","41 Source Type",$C$5,"5 Source no.",$C526,"4 Item Ledger Entry Type",$C$4,"2 Item No.","@@"&amp;$F526,"3 Posting Date",J$9)</t>
  </si>
  <si>
    <t>=-NL("Sum","5802 Value Entry","151 Cost Amount (Expected)","41 Source Type",$C$5,"5 Source No.",$C526,"4 Item Ledger Entry Type",$C$4,"2 Item No.","@@"&amp;$F526,"3 Posting Date",J$9)-NL("Sum","5802 Value Entry","43 Cost Amount (Actual)","41 Source Type",$C$5,"5 Source no.",$C526,"4 Item Ledger Entry Type",$C$4,"2 Item No.","@@"&amp;$F526,"3 Posting Date",J$9)</t>
  </si>
  <si>
    <t>=J526-L526</t>
  </si>
  <si>
    <t>=IF(J526&lt;&gt;0,M526/J526,"")</t>
  </si>
  <si>
    <t>=NL("Sum","5802 Value Entry","150 Sales Amount (Expected)","41 Source Type",$C$5,"5 Source No.",$C526,"4 Item Ledger Entry Type",$C$4,"2 Item No.","@@"&amp;$F526,"3 Posting Date",O$9)+NL("Sum","5802 Value Entry","17 Sales Amount (Actual)","41 Source Type",$C$5,"5 Source no.",$C526,"4 Item Ledger Entry Type",$C$4,"2 Item No.","@@"&amp;$F526,"3 Posting Date",O$9)</t>
  </si>
  <si>
    <t>=-NL("Sum","5802 Value Entry","151 Cost Amount (Expected)","41 Source Type",$C$5,"5 Source No.",$C526,"4 Item Ledger Entry Type",$C$4,"2 Item No.","@@"&amp;$F526,"3 Posting Date",O$9)-NL("Sum","5802 Value Entry","43 Cost Amount (Actual)","41 Source Type",$C$5,"5 Source no.",$C526,"4 Item Ledger Entry Type",$C$4,"2 Item No.","@@"&amp;$F526,"3 Posting Date",O$9)</t>
  </si>
  <si>
    <t>=O526-Q526</t>
  </si>
  <si>
    <t>=IF(O526&lt;&gt;0,R526/O526,"")</t>
  </si>
  <si>
    <t>=NL("Sum","5802 Value Entry","150 Sales Amount (Expected)","41 Source Type",$C$5,"5 Source No.",$C526,"4 Item Ledger Entry Type",$C$4,"2 Item No.","@@"&amp;$F526,"3 Posting Date",U$9)+NL("Sum","5802 Value Entry","17 Sales Amount (Actual)","41 Source Type",$C$5,"5 Source no.",$C526,"4 Item Ledger Entry Type",$C$4,"2 Item No.","@@"&amp;$F526,"3 Posting Date",U$9)</t>
  </si>
  <si>
    <t>=-NL("Sum","5802 Value Entry","151 Cost Amount (Expected)","41 Source Type",$C$5,"5 Source No.",$C526,"4 Item Ledger Entry Type",$C$4,"2 Item No.","@@"&amp;$F526,"3 Posting Date",U$9)-NL("Sum","5802 Value Entry","43 Cost Amount (Actual)","41 Source Type",$C$5,"5 Source no.",$C526,"4 Item Ledger Entry Type",$C$4,"2 Item No.","@@"&amp;$F526,"3 Posting Date",U$9)</t>
  </si>
  <si>
    <t>=U526-W526</t>
  </si>
  <si>
    <t>=IF(U526&lt;&gt;0,X526/U526,"")</t>
  </si>
  <si>
    <t>=NL("Sum","5802 Value Entry","150 Sales Amount (Expected)","41 Source Type",$C$5,"5 Source No.",$C526,"4 Item Ledger Entry Type",$C$4,"2 Item No.","@@"&amp;$F526,"3 Posting Date",Z$9)+NL("Sum","5802 Value Entry","17 Sales Amount (Actual)","41 Source Type",$C$5,"5 Source no.",$C526,"4 Item Ledger Entry Type",$C$4,"2 Item No.","@@"&amp;$F526,"3 Posting Date",Z$9)</t>
  </si>
  <si>
    <t>=-NL("Sum","5802 Value Entry","151 Cost Amount (Expected)","41 Source Type",$C$5,"5 Source No.",$C526,"4 Item Ledger Entry Type",$C$4,"2 Item No.","@@"&amp;$F526,"3 Posting Date",Z$9)-NL("Sum","5802 Value Entry","43 Cost Amount (Actual)","41 Source Type",$C$5,"5 Source no.",$C526,"4 Item Ledger Entry Type",$C$4,"2 Item No.","@@"&amp;$F526,"3 Posting Date",Z$9)</t>
  </si>
  <si>
    <t>=Z526-AB526</t>
  </si>
  <si>
    <t>=IF(Z526&lt;&gt;0,AC526/Z526,"")</t>
  </si>
  <si>
    <t>=C526</t>
  </si>
  <si>
    <t>=NL("Sum","5802 Value Entry","150 Sales Amount (Expected)","41 Source Type",$C$5,"5 Source No.",$C527,"4 Item Ledger Entry Type",$C$4,"2 Item No.","@@"&amp;$F527,"3 Posting Date",J$9)+NL("Sum","5802 Value Entry","17 Sales Amount (Actual)","41 Source Type",$C$5,"5 Source no.",$C527,"4 Item Ledger Entry Type",$C$4,"2 Item No.","@@"&amp;$F527,"3 Posting Date",J$9)</t>
  </si>
  <si>
    <t>=-NL("Sum","5802 Value Entry","151 Cost Amount (Expected)","41 Source Type",$C$5,"5 Source No.",$C527,"4 Item Ledger Entry Type",$C$4,"2 Item No.","@@"&amp;$F527,"3 Posting Date",J$9)-NL("Sum","5802 Value Entry","43 Cost Amount (Actual)","41 Source Type",$C$5,"5 Source no.",$C527,"4 Item Ledger Entry Type",$C$4,"2 Item No.","@@"&amp;$F527,"3 Posting Date",J$9)</t>
  </si>
  <si>
    <t>=J527-L527</t>
  </si>
  <si>
    <t>=IF(J527&lt;&gt;0,M527/J527,"")</t>
  </si>
  <si>
    <t>=NL("Sum","5802 Value Entry","150 Sales Amount (Expected)","41 Source Type",$C$5,"5 Source No.",$C527,"4 Item Ledger Entry Type",$C$4,"2 Item No.","@@"&amp;$F527,"3 Posting Date",O$9)+NL("Sum","5802 Value Entry","17 Sales Amount (Actual)","41 Source Type",$C$5,"5 Source no.",$C527,"4 Item Ledger Entry Type",$C$4,"2 Item No.","@@"&amp;$F527,"3 Posting Date",O$9)</t>
  </si>
  <si>
    <t>=-NL("Sum","5802 Value Entry","151 Cost Amount (Expected)","41 Source Type",$C$5,"5 Source No.",$C527,"4 Item Ledger Entry Type",$C$4,"2 Item No.","@@"&amp;$F527,"3 Posting Date",O$9)-NL("Sum","5802 Value Entry","43 Cost Amount (Actual)","41 Source Type",$C$5,"5 Source no.",$C527,"4 Item Ledger Entry Type",$C$4,"2 Item No.","@@"&amp;$F527,"3 Posting Date",O$9)</t>
  </si>
  <si>
    <t>=O527-Q527</t>
  </si>
  <si>
    <t>=IF(O527&lt;&gt;0,R527/O527,"")</t>
  </si>
  <si>
    <t>=NL("Sum","5802 Value Entry","150 Sales Amount (Expected)","41 Source Type",$C$5,"5 Source No.",$C527,"4 Item Ledger Entry Type",$C$4,"2 Item No.","@@"&amp;$F527,"3 Posting Date",U$9)+NL("Sum","5802 Value Entry","17 Sales Amount (Actual)","41 Source Type",$C$5,"5 Source no.",$C527,"4 Item Ledger Entry Type",$C$4,"2 Item No.","@@"&amp;$F527,"3 Posting Date",U$9)</t>
  </si>
  <si>
    <t>=-NL("Sum","5802 Value Entry","151 Cost Amount (Expected)","41 Source Type",$C$5,"5 Source No.",$C527,"4 Item Ledger Entry Type",$C$4,"2 Item No.","@@"&amp;$F527,"3 Posting Date",U$9)-NL("Sum","5802 Value Entry","43 Cost Amount (Actual)","41 Source Type",$C$5,"5 Source no.",$C527,"4 Item Ledger Entry Type",$C$4,"2 Item No.","@@"&amp;$F527,"3 Posting Date",U$9)</t>
  </si>
  <si>
    <t>=U527-W527</t>
  </si>
  <si>
    <t>=IF(U527&lt;&gt;0,X527/U527,"")</t>
  </si>
  <si>
    <t>=NL("Sum","5802 Value Entry","150 Sales Amount (Expected)","41 Source Type",$C$5,"5 Source No.",$C527,"4 Item Ledger Entry Type",$C$4,"2 Item No.","@@"&amp;$F527,"3 Posting Date",Z$9)+NL("Sum","5802 Value Entry","17 Sales Amount (Actual)","41 Source Type",$C$5,"5 Source no.",$C527,"4 Item Ledger Entry Type",$C$4,"2 Item No.","@@"&amp;$F527,"3 Posting Date",Z$9)</t>
  </si>
  <si>
    <t>=-NL("Sum","5802 Value Entry","151 Cost Amount (Expected)","41 Source Type",$C$5,"5 Source No.",$C527,"4 Item Ledger Entry Type",$C$4,"2 Item No.","@@"&amp;$F527,"3 Posting Date",Z$9)-NL("Sum","5802 Value Entry","43 Cost Amount (Actual)","41 Source Type",$C$5,"5 Source no.",$C527,"4 Item Ledger Entry Type",$C$4,"2 Item No.","@@"&amp;$F527,"3 Posting Date",Z$9)</t>
  </si>
  <si>
    <t>=Z527-AB527</t>
  </si>
  <si>
    <t>=IF(Z527&lt;&gt;0,AC527/Z527,"")</t>
  </si>
  <si>
    <t>=C527</t>
  </si>
  <si>
    <t>=NL("Sum","5802 Value Entry","150 Sales Amount (Expected)","41 Source Type",$C$5,"5 Source No.",$C528,"4 Item Ledger Entry Type",$C$4,"2 Item No.","@@"&amp;$F528,"3 Posting Date",J$9)+NL("Sum","5802 Value Entry","17 Sales Amount (Actual)","41 Source Type",$C$5,"5 Source no.",$C528,"4 Item Ledger Entry Type",$C$4,"2 Item No.","@@"&amp;$F528,"3 Posting Date",J$9)</t>
  </si>
  <si>
    <t>=-NL("Sum","5802 Value Entry","151 Cost Amount (Expected)","41 Source Type",$C$5,"5 Source No.",$C528,"4 Item Ledger Entry Type",$C$4,"2 Item No.","@@"&amp;$F528,"3 Posting Date",J$9)-NL("Sum","5802 Value Entry","43 Cost Amount (Actual)","41 Source Type",$C$5,"5 Source no.",$C528,"4 Item Ledger Entry Type",$C$4,"2 Item No.","@@"&amp;$F528,"3 Posting Date",J$9)</t>
  </si>
  <si>
    <t>=J528-L528</t>
  </si>
  <si>
    <t>=IF(J528&lt;&gt;0,M528/J528,"")</t>
  </si>
  <si>
    <t>=NL("Sum","5802 Value Entry","150 Sales Amount (Expected)","41 Source Type",$C$5,"5 Source No.",$C528,"4 Item Ledger Entry Type",$C$4,"2 Item No.","@@"&amp;$F528,"3 Posting Date",O$9)+NL("Sum","5802 Value Entry","17 Sales Amount (Actual)","41 Source Type",$C$5,"5 Source no.",$C528,"4 Item Ledger Entry Type",$C$4,"2 Item No.","@@"&amp;$F528,"3 Posting Date",O$9)</t>
  </si>
  <si>
    <t>=-NL("Sum","5802 Value Entry","151 Cost Amount (Expected)","41 Source Type",$C$5,"5 Source No.",$C528,"4 Item Ledger Entry Type",$C$4,"2 Item No.","@@"&amp;$F528,"3 Posting Date",O$9)-NL("Sum","5802 Value Entry","43 Cost Amount (Actual)","41 Source Type",$C$5,"5 Source no.",$C528,"4 Item Ledger Entry Type",$C$4,"2 Item No.","@@"&amp;$F528,"3 Posting Date",O$9)</t>
  </si>
  <si>
    <t>=O528-Q528</t>
  </si>
  <si>
    <t>=IF(O528&lt;&gt;0,R528/O528,"")</t>
  </si>
  <si>
    <t>=NL("Sum","5802 Value Entry","150 Sales Amount (Expected)","41 Source Type",$C$5,"5 Source No.",$C528,"4 Item Ledger Entry Type",$C$4,"2 Item No.","@@"&amp;$F528,"3 Posting Date",U$9)+NL("Sum","5802 Value Entry","17 Sales Amount (Actual)","41 Source Type",$C$5,"5 Source no.",$C528,"4 Item Ledger Entry Type",$C$4,"2 Item No.","@@"&amp;$F528,"3 Posting Date",U$9)</t>
  </si>
  <si>
    <t>=-NL("Sum","5802 Value Entry","151 Cost Amount (Expected)","41 Source Type",$C$5,"5 Source No.",$C528,"4 Item Ledger Entry Type",$C$4,"2 Item No.","@@"&amp;$F528,"3 Posting Date",U$9)-NL("Sum","5802 Value Entry","43 Cost Amount (Actual)","41 Source Type",$C$5,"5 Source no.",$C528,"4 Item Ledger Entry Type",$C$4,"2 Item No.","@@"&amp;$F528,"3 Posting Date",U$9)</t>
  </si>
  <si>
    <t>=U528-W528</t>
  </si>
  <si>
    <t>=IF(U528&lt;&gt;0,X528/U528,"")</t>
  </si>
  <si>
    <t>=NL("Sum","5802 Value Entry","150 Sales Amount (Expected)","41 Source Type",$C$5,"5 Source No.",$C528,"4 Item Ledger Entry Type",$C$4,"2 Item No.","@@"&amp;$F528,"3 Posting Date",Z$9)+NL("Sum","5802 Value Entry","17 Sales Amount (Actual)","41 Source Type",$C$5,"5 Source no.",$C528,"4 Item Ledger Entry Type",$C$4,"2 Item No.","@@"&amp;$F528,"3 Posting Date",Z$9)</t>
  </si>
  <si>
    <t>=-NL("Sum","5802 Value Entry","151 Cost Amount (Expected)","41 Source Type",$C$5,"5 Source No.",$C528,"4 Item Ledger Entry Type",$C$4,"2 Item No.","@@"&amp;$F528,"3 Posting Date",Z$9)-NL("Sum","5802 Value Entry","43 Cost Amount (Actual)","41 Source Type",$C$5,"5 Source no.",$C528,"4 Item Ledger Entry Type",$C$4,"2 Item No.","@@"&amp;$F528,"3 Posting Date",Z$9)</t>
  </si>
  <si>
    <t>=Z528-AB528</t>
  </si>
  <si>
    <t>=IF(Z528&lt;&gt;0,AC528/Z528,"")</t>
  </si>
  <si>
    <t>=C528</t>
  </si>
  <si>
    <t>=NL("Sum","5802 Value Entry","150 Sales Amount (Expected)","41 Source Type",$C$5,"5 Source No.",$C529,"4 Item Ledger Entry Type",$C$4,"2 Item No.","@@"&amp;$F529,"3 Posting Date",J$9)+NL("Sum","5802 Value Entry","17 Sales Amount (Actual)","41 Source Type",$C$5,"5 Source no.",$C529,"4 Item Ledger Entry Type",$C$4,"2 Item No.","@@"&amp;$F529,"3 Posting Date",J$9)</t>
  </si>
  <si>
    <t>=-NL("Sum","5802 Value Entry","151 Cost Amount (Expected)","41 Source Type",$C$5,"5 Source No.",$C529,"4 Item Ledger Entry Type",$C$4,"2 Item No.","@@"&amp;$F529,"3 Posting Date",J$9)-NL("Sum","5802 Value Entry","43 Cost Amount (Actual)","41 Source Type",$C$5,"5 Source no.",$C529,"4 Item Ledger Entry Type",$C$4,"2 Item No.","@@"&amp;$F529,"3 Posting Date",J$9)</t>
  </si>
  <si>
    <t>=J529-L529</t>
  </si>
  <si>
    <t>=IF(J529&lt;&gt;0,M529/J529,"")</t>
  </si>
  <si>
    <t>=NL("Sum","5802 Value Entry","150 Sales Amount (Expected)","41 Source Type",$C$5,"5 Source No.",$C529,"4 Item Ledger Entry Type",$C$4,"2 Item No.","@@"&amp;$F529,"3 Posting Date",O$9)+NL("Sum","5802 Value Entry","17 Sales Amount (Actual)","41 Source Type",$C$5,"5 Source no.",$C529,"4 Item Ledger Entry Type",$C$4,"2 Item No.","@@"&amp;$F529,"3 Posting Date",O$9)</t>
  </si>
  <si>
    <t>=-NL("Sum","5802 Value Entry","151 Cost Amount (Expected)","41 Source Type",$C$5,"5 Source No.",$C529,"4 Item Ledger Entry Type",$C$4,"2 Item No.","@@"&amp;$F529,"3 Posting Date",O$9)-NL("Sum","5802 Value Entry","43 Cost Amount (Actual)","41 Source Type",$C$5,"5 Source no.",$C529,"4 Item Ledger Entry Type",$C$4,"2 Item No.","@@"&amp;$F529,"3 Posting Date",O$9)</t>
  </si>
  <si>
    <t>=O529-Q529</t>
  </si>
  <si>
    <t>=IF(O529&lt;&gt;0,R529/O529,"")</t>
  </si>
  <si>
    <t>=NL("Sum","5802 Value Entry","150 Sales Amount (Expected)","41 Source Type",$C$5,"5 Source No.",$C529,"4 Item Ledger Entry Type",$C$4,"2 Item No.","@@"&amp;$F529,"3 Posting Date",U$9)+NL("Sum","5802 Value Entry","17 Sales Amount (Actual)","41 Source Type",$C$5,"5 Source no.",$C529,"4 Item Ledger Entry Type",$C$4,"2 Item No.","@@"&amp;$F529,"3 Posting Date",U$9)</t>
  </si>
  <si>
    <t>=-NL("Sum","5802 Value Entry","151 Cost Amount (Expected)","41 Source Type",$C$5,"5 Source No.",$C529,"4 Item Ledger Entry Type",$C$4,"2 Item No.","@@"&amp;$F529,"3 Posting Date",U$9)-NL("Sum","5802 Value Entry","43 Cost Amount (Actual)","41 Source Type",$C$5,"5 Source no.",$C529,"4 Item Ledger Entry Type",$C$4,"2 Item No.","@@"&amp;$F529,"3 Posting Date",U$9)</t>
  </si>
  <si>
    <t>=U529-W529</t>
  </si>
  <si>
    <t>=IF(U529&lt;&gt;0,X529/U529,"")</t>
  </si>
  <si>
    <t>=NL("Sum","5802 Value Entry","150 Sales Amount (Expected)","41 Source Type",$C$5,"5 Source No.",$C529,"4 Item Ledger Entry Type",$C$4,"2 Item No.","@@"&amp;$F529,"3 Posting Date",Z$9)+NL("Sum","5802 Value Entry","17 Sales Amount (Actual)","41 Source Type",$C$5,"5 Source no.",$C529,"4 Item Ledger Entry Type",$C$4,"2 Item No.","@@"&amp;$F529,"3 Posting Date",Z$9)</t>
  </si>
  <si>
    <t>=-NL("Sum","5802 Value Entry","151 Cost Amount (Expected)","41 Source Type",$C$5,"5 Source No.",$C529,"4 Item Ledger Entry Type",$C$4,"2 Item No.","@@"&amp;$F529,"3 Posting Date",Z$9)-NL("Sum","5802 Value Entry","43 Cost Amount (Actual)","41 Source Type",$C$5,"5 Source no.",$C529,"4 Item Ledger Entry Type",$C$4,"2 Item No.","@@"&amp;$F529,"3 Posting Date",Z$9)</t>
  </si>
  <si>
    <t>=Z529-AB529</t>
  </si>
  <si>
    <t>=IF(Z529&lt;&gt;0,AC529/Z529,"")</t>
  </si>
  <si>
    <t>=C529</t>
  </si>
  <si>
    <t>=NL("Sum","5802 Value Entry","150 Sales Amount (Expected)","41 Source Type",$C$5,"5 Source No.",$C530,"4 Item Ledger Entry Type",$C$4,"2 Item No.","@@"&amp;$F530,"3 Posting Date",J$9)+NL("Sum","5802 Value Entry","17 Sales Amount (Actual)","41 Source Type",$C$5,"5 Source no.",$C530,"4 Item Ledger Entry Type",$C$4,"2 Item No.","@@"&amp;$F530,"3 Posting Date",J$9)</t>
  </si>
  <si>
    <t>=-NL("Sum","5802 Value Entry","151 Cost Amount (Expected)","41 Source Type",$C$5,"5 Source No.",$C530,"4 Item Ledger Entry Type",$C$4,"2 Item No.","@@"&amp;$F530,"3 Posting Date",J$9)-NL("Sum","5802 Value Entry","43 Cost Amount (Actual)","41 Source Type",$C$5,"5 Source no.",$C530,"4 Item Ledger Entry Type",$C$4,"2 Item No.","@@"&amp;$F530,"3 Posting Date",J$9)</t>
  </si>
  <si>
    <t>=J530-L530</t>
  </si>
  <si>
    <t>=IF(J530&lt;&gt;0,M530/J530,"")</t>
  </si>
  <si>
    <t>=NL("Sum","5802 Value Entry","150 Sales Amount (Expected)","41 Source Type",$C$5,"5 Source No.",$C530,"4 Item Ledger Entry Type",$C$4,"2 Item No.","@@"&amp;$F530,"3 Posting Date",O$9)+NL("Sum","5802 Value Entry","17 Sales Amount (Actual)","41 Source Type",$C$5,"5 Source no.",$C530,"4 Item Ledger Entry Type",$C$4,"2 Item No.","@@"&amp;$F530,"3 Posting Date",O$9)</t>
  </si>
  <si>
    <t>=-NL("Sum","5802 Value Entry","151 Cost Amount (Expected)","41 Source Type",$C$5,"5 Source No.",$C530,"4 Item Ledger Entry Type",$C$4,"2 Item No.","@@"&amp;$F530,"3 Posting Date",O$9)-NL("Sum","5802 Value Entry","43 Cost Amount (Actual)","41 Source Type",$C$5,"5 Source no.",$C530,"4 Item Ledger Entry Type",$C$4,"2 Item No.","@@"&amp;$F530,"3 Posting Date",O$9)</t>
  </si>
  <si>
    <t>=O530-Q530</t>
  </si>
  <si>
    <t>=IF(O530&lt;&gt;0,R530/O530,"")</t>
  </si>
  <si>
    <t>=NL("Sum","5802 Value Entry","150 Sales Amount (Expected)","41 Source Type",$C$5,"5 Source No.",$C530,"4 Item Ledger Entry Type",$C$4,"2 Item No.","@@"&amp;$F530,"3 Posting Date",U$9)+NL("Sum","5802 Value Entry","17 Sales Amount (Actual)","41 Source Type",$C$5,"5 Source no.",$C530,"4 Item Ledger Entry Type",$C$4,"2 Item No.","@@"&amp;$F530,"3 Posting Date",U$9)</t>
  </si>
  <si>
    <t>=-NL("Sum","5802 Value Entry","151 Cost Amount (Expected)","41 Source Type",$C$5,"5 Source No.",$C530,"4 Item Ledger Entry Type",$C$4,"2 Item No.","@@"&amp;$F530,"3 Posting Date",U$9)-NL("Sum","5802 Value Entry","43 Cost Amount (Actual)","41 Source Type",$C$5,"5 Source no.",$C530,"4 Item Ledger Entry Type",$C$4,"2 Item No.","@@"&amp;$F530,"3 Posting Date",U$9)</t>
  </si>
  <si>
    <t>=U530-W530</t>
  </si>
  <si>
    <t>=IF(U530&lt;&gt;0,X530/U530,"")</t>
  </si>
  <si>
    <t>=NL("Sum","5802 Value Entry","150 Sales Amount (Expected)","41 Source Type",$C$5,"5 Source No.",$C530,"4 Item Ledger Entry Type",$C$4,"2 Item No.","@@"&amp;$F530,"3 Posting Date",Z$9)+NL("Sum","5802 Value Entry","17 Sales Amount (Actual)","41 Source Type",$C$5,"5 Source no.",$C530,"4 Item Ledger Entry Type",$C$4,"2 Item No.","@@"&amp;$F530,"3 Posting Date",Z$9)</t>
  </si>
  <si>
    <t>=-NL("Sum","5802 Value Entry","151 Cost Amount (Expected)","41 Source Type",$C$5,"5 Source No.",$C530,"4 Item Ledger Entry Type",$C$4,"2 Item No.","@@"&amp;$F530,"3 Posting Date",Z$9)-NL("Sum","5802 Value Entry","43 Cost Amount (Actual)","41 Source Type",$C$5,"5 Source no.",$C530,"4 Item Ledger Entry Type",$C$4,"2 Item No.","@@"&amp;$F530,"3 Posting Date",Z$9)</t>
  </si>
  <si>
    <t>=Z530-AB530</t>
  </si>
  <si>
    <t>=IF(Z530&lt;&gt;0,AC530/Z530,"")</t>
  </si>
  <si>
    <t>=C530</t>
  </si>
  <si>
    <t>=NL("Sum","5802 Value Entry","150 Sales Amount (Expected)","41 Source Type",$C$5,"5 Source No.",$C531,"4 Item Ledger Entry Type",$C$4,"2 Item No.","@@"&amp;$F531,"3 Posting Date",J$9)+NL("Sum","5802 Value Entry","17 Sales Amount (Actual)","41 Source Type",$C$5,"5 Source no.",$C531,"4 Item Ledger Entry Type",$C$4,"2 Item No.","@@"&amp;$F531,"3 Posting Date",J$9)</t>
  </si>
  <si>
    <t>=-NL("Sum","5802 Value Entry","151 Cost Amount (Expected)","41 Source Type",$C$5,"5 Source No.",$C531,"4 Item Ledger Entry Type",$C$4,"2 Item No.","@@"&amp;$F531,"3 Posting Date",J$9)-NL("Sum","5802 Value Entry","43 Cost Amount (Actual)","41 Source Type",$C$5,"5 Source no.",$C531,"4 Item Ledger Entry Type",$C$4,"2 Item No.","@@"&amp;$F531,"3 Posting Date",J$9)</t>
  </si>
  <si>
    <t>=J531-L531</t>
  </si>
  <si>
    <t>=IF(J531&lt;&gt;0,M531/J531,"")</t>
  </si>
  <si>
    <t>=NL("Sum","5802 Value Entry","150 Sales Amount (Expected)","41 Source Type",$C$5,"5 Source No.",$C531,"4 Item Ledger Entry Type",$C$4,"2 Item No.","@@"&amp;$F531,"3 Posting Date",O$9)+NL("Sum","5802 Value Entry","17 Sales Amount (Actual)","41 Source Type",$C$5,"5 Source no.",$C531,"4 Item Ledger Entry Type",$C$4,"2 Item No.","@@"&amp;$F531,"3 Posting Date",O$9)</t>
  </si>
  <si>
    <t>=-NL("Sum","5802 Value Entry","151 Cost Amount (Expected)","41 Source Type",$C$5,"5 Source No.",$C531,"4 Item Ledger Entry Type",$C$4,"2 Item No.","@@"&amp;$F531,"3 Posting Date",O$9)-NL("Sum","5802 Value Entry","43 Cost Amount (Actual)","41 Source Type",$C$5,"5 Source no.",$C531,"4 Item Ledger Entry Type",$C$4,"2 Item No.","@@"&amp;$F531,"3 Posting Date",O$9)</t>
  </si>
  <si>
    <t>=O531-Q531</t>
  </si>
  <si>
    <t>=IF(O531&lt;&gt;0,R531/O531,"")</t>
  </si>
  <si>
    <t>=NL("Sum","5802 Value Entry","150 Sales Amount (Expected)","41 Source Type",$C$5,"5 Source No.",$C531,"4 Item Ledger Entry Type",$C$4,"2 Item No.","@@"&amp;$F531,"3 Posting Date",U$9)+NL("Sum","5802 Value Entry","17 Sales Amount (Actual)","41 Source Type",$C$5,"5 Source no.",$C531,"4 Item Ledger Entry Type",$C$4,"2 Item No.","@@"&amp;$F531,"3 Posting Date",U$9)</t>
  </si>
  <si>
    <t>=-NL("Sum","5802 Value Entry","151 Cost Amount (Expected)","41 Source Type",$C$5,"5 Source No.",$C531,"4 Item Ledger Entry Type",$C$4,"2 Item No.","@@"&amp;$F531,"3 Posting Date",U$9)-NL("Sum","5802 Value Entry","43 Cost Amount (Actual)","41 Source Type",$C$5,"5 Source no.",$C531,"4 Item Ledger Entry Type",$C$4,"2 Item No.","@@"&amp;$F531,"3 Posting Date",U$9)</t>
  </si>
  <si>
    <t>=U531-W531</t>
  </si>
  <si>
    <t>=IF(U531&lt;&gt;0,X531/U531,"")</t>
  </si>
  <si>
    <t>=NL("Sum","5802 Value Entry","150 Sales Amount (Expected)","41 Source Type",$C$5,"5 Source No.",$C531,"4 Item Ledger Entry Type",$C$4,"2 Item No.","@@"&amp;$F531,"3 Posting Date",Z$9)+NL("Sum","5802 Value Entry","17 Sales Amount (Actual)","41 Source Type",$C$5,"5 Source no.",$C531,"4 Item Ledger Entry Type",$C$4,"2 Item No.","@@"&amp;$F531,"3 Posting Date",Z$9)</t>
  </si>
  <si>
    <t>=-NL("Sum","5802 Value Entry","151 Cost Amount (Expected)","41 Source Type",$C$5,"5 Source No.",$C531,"4 Item Ledger Entry Type",$C$4,"2 Item No.","@@"&amp;$F531,"3 Posting Date",Z$9)-NL("Sum","5802 Value Entry","43 Cost Amount (Actual)","41 Source Type",$C$5,"5 Source no.",$C531,"4 Item Ledger Entry Type",$C$4,"2 Item No.","@@"&amp;$F531,"3 Posting Date",Z$9)</t>
  </si>
  <si>
    <t>=Z531-AB531</t>
  </si>
  <si>
    <t>=IF(Z531&lt;&gt;0,AC531/Z531,"")</t>
  </si>
  <si>
    <t>=C531</t>
  </si>
  <si>
    <t>=NL("Sum","5802 Value Entry","150 Sales Amount (Expected)","41 Source Type",$C$5,"5 Source No.",$C532,"4 Item Ledger Entry Type",$C$4,"2 Item No.","@@"&amp;$F532,"3 Posting Date",J$9)+NL("Sum","5802 Value Entry","17 Sales Amount (Actual)","41 Source Type",$C$5,"5 Source no.",$C532,"4 Item Ledger Entry Type",$C$4,"2 Item No.","@@"&amp;$F532,"3 Posting Date",J$9)</t>
  </si>
  <si>
    <t>=-NL("Sum","5802 Value Entry","151 Cost Amount (Expected)","41 Source Type",$C$5,"5 Source No.",$C532,"4 Item Ledger Entry Type",$C$4,"2 Item No.","@@"&amp;$F532,"3 Posting Date",J$9)-NL("Sum","5802 Value Entry","43 Cost Amount (Actual)","41 Source Type",$C$5,"5 Source no.",$C532,"4 Item Ledger Entry Type",$C$4,"2 Item No.","@@"&amp;$F532,"3 Posting Date",J$9)</t>
  </si>
  <si>
    <t>=J532-L532</t>
  </si>
  <si>
    <t>=IF(J532&lt;&gt;0,M532/J532,"")</t>
  </si>
  <si>
    <t>=NL("Sum","5802 Value Entry","150 Sales Amount (Expected)","41 Source Type",$C$5,"5 Source No.",$C532,"4 Item Ledger Entry Type",$C$4,"2 Item No.","@@"&amp;$F532,"3 Posting Date",O$9)+NL("Sum","5802 Value Entry","17 Sales Amount (Actual)","41 Source Type",$C$5,"5 Source no.",$C532,"4 Item Ledger Entry Type",$C$4,"2 Item No.","@@"&amp;$F532,"3 Posting Date",O$9)</t>
  </si>
  <si>
    <t>=-NL("Sum","5802 Value Entry","151 Cost Amount (Expected)","41 Source Type",$C$5,"5 Source No.",$C532,"4 Item Ledger Entry Type",$C$4,"2 Item No.","@@"&amp;$F532,"3 Posting Date",O$9)-NL("Sum","5802 Value Entry","43 Cost Amount (Actual)","41 Source Type",$C$5,"5 Source no.",$C532,"4 Item Ledger Entry Type",$C$4,"2 Item No.","@@"&amp;$F532,"3 Posting Date",O$9)</t>
  </si>
  <si>
    <t>=O532-Q532</t>
  </si>
  <si>
    <t>=IF(O532&lt;&gt;0,R532/O532,"")</t>
  </si>
  <si>
    <t>=NL("Sum","5802 Value Entry","150 Sales Amount (Expected)","41 Source Type",$C$5,"5 Source No.",$C532,"4 Item Ledger Entry Type",$C$4,"2 Item No.","@@"&amp;$F532,"3 Posting Date",U$9)+NL("Sum","5802 Value Entry","17 Sales Amount (Actual)","41 Source Type",$C$5,"5 Source no.",$C532,"4 Item Ledger Entry Type",$C$4,"2 Item No.","@@"&amp;$F532,"3 Posting Date",U$9)</t>
  </si>
  <si>
    <t>=-NL("Sum","5802 Value Entry","151 Cost Amount (Expected)","41 Source Type",$C$5,"5 Source No.",$C532,"4 Item Ledger Entry Type",$C$4,"2 Item No.","@@"&amp;$F532,"3 Posting Date",U$9)-NL("Sum","5802 Value Entry","43 Cost Amount (Actual)","41 Source Type",$C$5,"5 Source no.",$C532,"4 Item Ledger Entry Type",$C$4,"2 Item No.","@@"&amp;$F532,"3 Posting Date",U$9)</t>
  </si>
  <si>
    <t>=U532-W532</t>
  </si>
  <si>
    <t>=IF(U532&lt;&gt;0,X532/U532,"")</t>
  </si>
  <si>
    <t>=NL("Sum","5802 Value Entry","150 Sales Amount (Expected)","41 Source Type",$C$5,"5 Source No.",$C532,"4 Item Ledger Entry Type",$C$4,"2 Item No.","@@"&amp;$F532,"3 Posting Date",Z$9)+NL("Sum","5802 Value Entry","17 Sales Amount (Actual)","41 Source Type",$C$5,"5 Source no.",$C532,"4 Item Ledger Entry Type",$C$4,"2 Item No.","@@"&amp;$F532,"3 Posting Date",Z$9)</t>
  </si>
  <si>
    <t>=-NL("Sum","5802 Value Entry","151 Cost Amount (Expected)","41 Source Type",$C$5,"5 Source No.",$C532,"4 Item Ledger Entry Type",$C$4,"2 Item No.","@@"&amp;$F532,"3 Posting Date",Z$9)-NL("Sum","5802 Value Entry","43 Cost Amount (Actual)","41 Source Type",$C$5,"5 Source no.",$C532,"4 Item Ledger Entry Type",$C$4,"2 Item No.","@@"&amp;$F532,"3 Posting Date",Z$9)</t>
  </si>
  <si>
    <t>=Z532-AB532</t>
  </si>
  <si>
    <t>=IF(Z532&lt;&gt;0,AC532/Z532,"")</t>
  </si>
  <si>
    <t>=C532</t>
  </si>
  <si>
    <t>=NL("Sum","5802 Value Entry","150 Sales Amount (Expected)","41 Source Type",$C$5,"5 Source No.",$C533,"4 Item Ledger Entry Type",$C$4,"2 Item No.","@@"&amp;$F533,"3 Posting Date",J$9)+NL("Sum","5802 Value Entry","17 Sales Amount (Actual)","41 Source Type",$C$5,"5 Source no.",$C533,"4 Item Ledger Entry Type",$C$4,"2 Item No.","@@"&amp;$F533,"3 Posting Date",J$9)</t>
  </si>
  <si>
    <t>=-NL("Sum","5802 Value Entry","151 Cost Amount (Expected)","41 Source Type",$C$5,"5 Source No.",$C533,"4 Item Ledger Entry Type",$C$4,"2 Item No.","@@"&amp;$F533,"3 Posting Date",J$9)-NL("Sum","5802 Value Entry","43 Cost Amount (Actual)","41 Source Type",$C$5,"5 Source no.",$C533,"4 Item Ledger Entry Type",$C$4,"2 Item No.","@@"&amp;$F533,"3 Posting Date",J$9)</t>
  </si>
  <si>
    <t>=J533-L533</t>
  </si>
  <si>
    <t>=IF(J533&lt;&gt;0,M533/J533,"")</t>
  </si>
  <si>
    <t>=NL("Sum","5802 Value Entry","150 Sales Amount (Expected)","41 Source Type",$C$5,"5 Source No.",$C533,"4 Item Ledger Entry Type",$C$4,"2 Item No.","@@"&amp;$F533,"3 Posting Date",O$9)+NL("Sum","5802 Value Entry","17 Sales Amount (Actual)","41 Source Type",$C$5,"5 Source no.",$C533,"4 Item Ledger Entry Type",$C$4,"2 Item No.","@@"&amp;$F533,"3 Posting Date",O$9)</t>
  </si>
  <si>
    <t>=-NL("Sum","5802 Value Entry","151 Cost Amount (Expected)","41 Source Type",$C$5,"5 Source No.",$C533,"4 Item Ledger Entry Type",$C$4,"2 Item No.","@@"&amp;$F533,"3 Posting Date",O$9)-NL("Sum","5802 Value Entry","43 Cost Amount (Actual)","41 Source Type",$C$5,"5 Source no.",$C533,"4 Item Ledger Entry Type",$C$4,"2 Item No.","@@"&amp;$F533,"3 Posting Date",O$9)</t>
  </si>
  <si>
    <t>=O533-Q533</t>
  </si>
  <si>
    <t>=IF(O533&lt;&gt;0,R533/O533,"")</t>
  </si>
  <si>
    <t>=NL("Sum","5802 Value Entry","150 Sales Amount (Expected)","41 Source Type",$C$5,"5 Source No.",$C533,"4 Item Ledger Entry Type",$C$4,"2 Item No.","@@"&amp;$F533,"3 Posting Date",U$9)+NL("Sum","5802 Value Entry","17 Sales Amount (Actual)","41 Source Type",$C$5,"5 Source no.",$C533,"4 Item Ledger Entry Type",$C$4,"2 Item No.","@@"&amp;$F533,"3 Posting Date",U$9)</t>
  </si>
  <si>
    <t>=-NL("Sum","5802 Value Entry","151 Cost Amount (Expected)","41 Source Type",$C$5,"5 Source No.",$C533,"4 Item Ledger Entry Type",$C$4,"2 Item No.","@@"&amp;$F533,"3 Posting Date",U$9)-NL("Sum","5802 Value Entry","43 Cost Amount (Actual)","41 Source Type",$C$5,"5 Source no.",$C533,"4 Item Ledger Entry Type",$C$4,"2 Item No.","@@"&amp;$F533,"3 Posting Date",U$9)</t>
  </si>
  <si>
    <t>=U533-W533</t>
  </si>
  <si>
    <t>=IF(U533&lt;&gt;0,X533/U533,"")</t>
  </si>
  <si>
    <t>=NL("Sum","5802 Value Entry","150 Sales Amount (Expected)","41 Source Type",$C$5,"5 Source No.",$C533,"4 Item Ledger Entry Type",$C$4,"2 Item No.","@@"&amp;$F533,"3 Posting Date",Z$9)+NL("Sum","5802 Value Entry","17 Sales Amount (Actual)","41 Source Type",$C$5,"5 Source no.",$C533,"4 Item Ledger Entry Type",$C$4,"2 Item No.","@@"&amp;$F533,"3 Posting Date",Z$9)</t>
  </si>
  <si>
    <t>=-NL("Sum","5802 Value Entry","151 Cost Amount (Expected)","41 Source Type",$C$5,"5 Source No.",$C533,"4 Item Ledger Entry Type",$C$4,"2 Item No.","@@"&amp;$F533,"3 Posting Date",Z$9)-NL("Sum","5802 Value Entry","43 Cost Amount (Actual)","41 Source Type",$C$5,"5 Source no.",$C533,"4 Item Ledger Entry Type",$C$4,"2 Item No.","@@"&amp;$F533,"3 Posting Date",Z$9)</t>
  </si>
  <si>
    <t>=Z533-AB533</t>
  </si>
  <si>
    <t>=IF(Z533&lt;&gt;0,AC533/Z533,"")</t>
  </si>
  <si>
    <t>=C533</t>
  </si>
  <si>
    <t>=NL("Sum","5802 Value Entry","150 Sales Amount (Expected)","41 Source Type",$C$5,"5 Source No.",$C534,"4 Item Ledger Entry Type",$C$4,"2 Item No.","@@"&amp;$F534,"3 Posting Date",J$9)+NL("Sum","5802 Value Entry","17 Sales Amount (Actual)","41 Source Type",$C$5,"5 Source no.",$C534,"4 Item Ledger Entry Type",$C$4,"2 Item No.","@@"&amp;$F534,"3 Posting Date",J$9)</t>
  </si>
  <si>
    <t>=-NL("Sum","5802 Value Entry","151 Cost Amount (Expected)","41 Source Type",$C$5,"5 Source No.",$C534,"4 Item Ledger Entry Type",$C$4,"2 Item No.","@@"&amp;$F534,"3 Posting Date",J$9)-NL("Sum","5802 Value Entry","43 Cost Amount (Actual)","41 Source Type",$C$5,"5 Source no.",$C534,"4 Item Ledger Entry Type",$C$4,"2 Item No.","@@"&amp;$F534,"3 Posting Date",J$9)</t>
  </si>
  <si>
    <t>=J534-L534</t>
  </si>
  <si>
    <t>=IF(J534&lt;&gt;0,M534/J534,"")</t>
  </si>
  <si>
    <t>=NL("Sum","5802 Value Entry","150 Sales Amount (Expected)","41 Source Type",$C$5,"5 Source No.",$C534,"4 Item Ledger Entry Type",$C$4,"2 Item No.","@@"&amp;$F534,"3 Posting Date",O$9)+NL("Sum","5802 Value Entry","17 Sales Amount (Actual)","41 Source Type",$C$5,"5 Source no.",$C534,"4 Item Ledger Entry Type",$C$4,"2 Item No.","@@"&amp;$F534,"3 Posting Date",O$9)</t>
  </si>
  <si>
    <t>=-NL("Sum","5802 Value Entry","151 Cost Amount (Expected)","41 Source Type",$C$5,"5 Source No.",$C534,"4 Item Ledger Entry Type",$C$4,"2 Item No.","@@"&amp;$F534,"3 Posting Date",O$9)-NL("Sum","5802 Value Entry","43 Cost Amount (Actual)","41 Source Type",$C$5,"5 Source no.",$C534,"4 Item Ledger Entry Type",$C$4,"2 Item No.","@@"&amp;$F534,"3 Posting Date",O$9)</t>
  </si>
  <si>
    <t>=O534-Q534</t>
  </si>
  <si>
    <t>=IF(O534&lt;&gt;0,R534/O534,"")</t>
  </si>
  <si>
    <t>=NL("Sum","5802 Value Entry","150 Sales Amount (Expected)","41 Source Type",$C$5,"5 Source No.",$C534,"4 Item Ledger Entry Type",$C$4,"2 Item No.","@@"&amp;$F534,"3 Posting Date",U$9)+NL("Sum","5802 Value Entry","17 Sales Amount (Actual)","41 Source Type",$C$5,"5 Source no.",$C534,"4 Item Ledger Entry Type",$C$4,"2 Item No.","@@"&amp;$F534,"3 Posting Date",U$9)</t>
  </si>
  <si>
    <t>=-NL("Sum","5802 Value Entry","151 Cost Amount (Expected)","41 Source Type",$C$5,"5 Source No.",$C534,"4 Item Ledger Entry Type",$C$4,"2 Item No.","@@"&amp;$F534,"3 Posting Date",U$9)-NL("Sum","5802 Value Entry","43 Cost Amount (Actual)","41 Source Type",$C$5,"5 Source no.",$C534,"4 Item Ledger Entry Type",$C$4,"2 Item No.","@@"&amp;$F534,"3 Posting Date",U$9)</t>
  </si>
  <si>
    <t>=U534-W534</t>
  </si>
  <si>
    <t>=IF(U534&lt;&gt;0,X534/U534,"")</t>
  </si>
  <si>
    <t>=NL("Sum","5802 Value Entry","150 Sales Amount (Expected)","41 Source Type",$C$5,"5 Source No.",$C534,"4 Item Ledger Entry Type",$C$4,"2 Item No.","@@"&amp;$F534,"3 Posting Date",Z$9)+NL("Sum","5802 Value Entry","17 Sales Amount (Actual)","41 Source Type",$C$5,"5 Source no.",$C534,"4 Item Ledger Entry Type",$C$4,"2 Item No.","@@"&amp;$F534,"3 Posting Date",Z$9)</t>
  </si>
  <si>
    <t>=-NL("Sum","5802 Value Entry","151 Cost Amount (Expected)","41 Source Type",$C$5,"5 Source No.",$C534,"4 Item Ledger Entry Type",$C$4,"2 Item No.","@@"&amp;$F534,"3 Posting Date",Z$9)-NL("Sum","5802 Value Entry","43 Cost Amount (Actual)","41 Source Type",$C$5,"5 Source no.",$C534,"4 Item Ledger Entry Type",$C$4,"2 Item No.","@@"&amp;$F534,"3 Posting Date",Z$9)</t>
  </si>
  <si>
    <t>=Z534-AB534</t>
  </si>
  <si>
    <t>=IF(Z534&lt;&gt;0,AC534/Z534,"")</t>
  </si>
  <si>
    <t>=C534</t>
  </si>
  <si>
    <t>=NL("Sum","5802 Value Entry","150 Sales Amount (Expected)","41 Source Type",$C$5,"5 Source No.",$C535,"4 Item Ledger Entry Type",$C$4,"2 Item No.","@@"&amp;$F535,"3 Posting Date",J$9)+NL("Sum","5802 Value Entry","17 Sales Amount (Actual)","41 Source Type",$C$5,"5 Source no.",$C535,"4 Item Ledger Entry Type",$C$4,"2 Item No.","@@"&amp;$F535,"3 Posting Date",J$9)</t>
  </si>
  <si>
    <t>=-NL("Sum","5802 Value Entry","151 Cost Amount (Expected)","41 Source Type",$C$5,"5 Source No.",$C535,"4 Item Ledger Entry Type",$C$4,"2 Item No.","@@"&amp;$F535,"3 Posting Date",J$9)-NL("Sum","5802 Value Entry","43 Cost Amount (Actual)","41 Source Type",$C$5,"5 Source no.",$C535,"4 Item Ledger Entry Type",$C$4,"2 Item No.","@@"&amp;$F535,"3 Posting Date",J$9)</t>
  </si>
  <si>
    <t>=J535-L535</t>
  </si>
  <si>
    <t>=IF(J535&lt;&gt;0,M535/J535,"")</t>
  </si>
  <si>
    <t>=NL("Sum","5802 Value Entry","150 Sales Amount (Expected)","41 Source Type",$C$5,"5 Source No.",$C535,"4 Item Ledger Entry Type",$C$4,"2 Item No.","@@"&amp;$F535,"3 Posting Date",O$9)+NL("Sum","5802 Value Entry","17 Sales Amount (Actual)","41 Source Type",$C$5,"5 Source no.",$C535,"4 Item Ledger Entry Type",$C$4,"2 Item No.","@@"&amp;$F535,"3 Posting Date",O$9)</t>
  </si>
  <si>
    <t>=-NL("Sum","5802 Value Entry","151 Cost Amount (Expected)","41 Source Type",$C$5,"5 Source No.",$C535,"4 Item Ledger Entry Type",$C$4,"2 Item No.","@@"&amp;$F535,"3 Posting Date",O$9)-NL("Sum","5802 Value Entry","43 Cost Amount (Actual)","41 Source Type",$C$5,"5 Source no.",$C535,"4 Item Ledger Entry Type",$C$4,"2 Item No.","@@"&amp;$F535,"3 Posting Date",O$9)</t>
  </si>
  <si>
    <t>=O535-Q535</t>
  </si>
  <si>
    <t>=IF(O535&lt;&gt;0,R535/O535,"")</t>
  </si>
  <si>
    <t>=NL("Sum","5802 Value Entry","150 Sales Amount (Expected)","41 Source Type",$C$5,"5 Source No.",$C535,"4 Item Ledger Entry Type",$C$4,"2 Item No.","@@"&amp;$F535,"3 Posting Date",U$9)+NL("Sum","5802 Value Entry","17 Sales Amount (Actual)","41 Source Type",$C$5,"5 Source no.",$C535,"4 Item Ledger Entry Type",$C$4,"2 Item No.","@@"&amp;$F535,"3 Posting Date",U$9)</t>
  </si>
  <si>
    <t>=-NL("Sum","5802 Value Entry","151 Cost Amount (Expected)","41 Source Type",$C$5,"5 Source No.",$C535,"4 Item Ledger Entry Type",$C$4,"2 Item No.","@@"&amp;$F535,"3 Posting Date",U$9)-NL("Sum","5802 Value Entry","43 Cost Amount (Actual)","41 Source Type",$C$5,"5 Source no.",$C535,"4 Item Ledger Entry Type",$C$4,"2 Item No.","@@"&amp;$F535,"3 Posting Date",U$9)</t>
  </si>
  <si>
    <t>=U535-W535</t>
  </si>
  <si>
    <t>=IF(U535&lt;&gt;0,X535/U535,"")</t>
  </si>
  <si>
    <t>=NL("Sum","5802 Value Entry","150 Sales Amount (Expected)","41 Source Type",$C$5,"5 Source No.",$C535,"4 Item Ledger Entry Type",$C$4,"2 Item No.","@@"&amp;$F535,"3 Posting Date",Z$9)+NL("Sum","5802 Value Entry","17 Sales Amount (Actual)","41 Source Type",$C$5,"5 Source no.",$C535,"4 Item Ledger Entry Type",$C$4,"2 Item No.","@@"&amp;$F535,"3 Posting Date",Z$9)</t>
  </si>
  <si>
    <t>=-NL("Sum","5802 Value Entry","151 Cost Amount (Expected)","41 Source Type",$C$5,"5 Source No.",$C535,"4 Item Ledger Entry Type",$C$4,"2 Item No.","@@"&amp;$F535,"3 Posting Date",Z$9)-NL("Sum","5802 Value Entry","43 Cost Amount (Actual)","41 Source Type",$C$5,"5 Source no.",$C535,"4 Item Ledger Entry Type",$C$4,"2 Item No.","@@"&amp;$F535,"3 Posting Date",Z$9)</t>
  </si>
  <si>
    <t>=Z535-AB535</t>
  </si>
  <si>
    <t>=IF(Z535&lt;&gt;0,AC535/Z535,"")</t>
  </si>
  <si>
    <t>=C535</t>
  </si>
  <si>
    <t>=NL("Sum","5802 Value Entry","150 Sales Amount (Expected)","41 Source Type",$C$5,"5 Source No.",$C536,"4 Item Ledger Entry Type",$C$4,"2 Item No.","@@"&amp;$F536,"3 Posting Date",J$9)+NL("Sum","5802 Value Entry","17 Sales Amount (Actual)","41 Source Type",$C$5,"5 Source no.",$C536,"4 Item Ledger Entry Type",$C$4,"2 Item No.","@@"&amp;$F536,"3 Posting Date",J$9)</t>
  </si>
  <si>
    <t>=-NL("Sum","5802 Value Entry","151 Cost Amount (Expected)","41 Source Type",$C$5,"5 Source No.",$C536,"4 Item Ledger Entry Type",$C$4,"2 Item No.","@@"&amp;$F536,"3 Posting Date",J$9)-NL("Sum","5802 Value Entry","43 Cost Amount (Actual)","41 Source Type",$C$5,"5 Source no.",$C536,"4 Item Ledger Entry Type",$C$4,"2 Item No.","@@"&amp;$F536,"3 Posting Date",J$9)</t>
  </si>
  <si>
    <t>=J536-L536</t>
  </si>
  <si>
    <t>=IF(J536&lt;&gt;0,M536/J536,"")</t>
  </si>
  <si>
    <t>=NL("Sum","5802 Value Entry","150 Sales Amount (Expected)","41 Source Type",$C$5,"5 Source No.",$C536,"4 Item Ledger Entry Type",$C$4,"2 Item No.","@@"&amp;$F536,"3 Posting Date",O$9)+NL("Sum","5802 Value Entry","17 Sales Amount (Actual)","41 Source Type",$C$5,"5 Source no.",$C536,"4 Item Ledger Entry Type",$C$4,"2 Item No.","@@"&amp;$F536,"3 Posting Date",O$9)</t>
  </si>
  <si>
    <t>=-NL("Sum","5802 Value Entry","151 Cost Amount (Expected)","41 Source Type",$C$5,"5 Source No.",$C536,"4 Item Ledger Entry Type",$C$4,"2 Item No.","@@"&amp;$F536,"3 Posting Date",O$9)-NL("Sum","5802 Value Entry","43 Cost Amount (Actual)","41 Source Type",$C$5,"5 Source no.",$C536,"4 Item Ledger Entry Type",$C$4,"2 Item No.","@@"&amp;$F536,"3 Posting Date",O$9)</t>
  </si>
  <si>
    <t>=O536-Q536</t>
  </si>
  <si>
    <t>=IF(O536&lt;&gt;0,R536/O536,"")</t>
  </si>
  <si>
    <t>=NL("Sum","5802 Value Entry","150 Sales Amount (Expected)","41 Source Type",$C$5,"5 Source No.",$C536,"4 Item Ledger Entry Type",$C$4,"2 Item No.","@@"&amp;$F536,"3 Posting Date",U$9)+NL("Sum","5802 Value Entry","17 Sales Amount (Actual)","41 Source Type",$C$5,"5 Source no.",$C536,"4 Item Ledger Entry Type",$C$4,"2 Item No.","@@"&amp;$F536,"3 Posting Date",U$9)</t>
  </si>
  <si>
    <t>=-NL("Sum","5802 Value Entry","151 Cost Amount (Expected)","41 Source Type",$C$5,"5 Source No.",$C536,"4 Item Ledger Entry Type",$C$4,"2 Item No.","@@"&amp;$F536,"3 Posting Date",U$9)-NL("Sum","5802 Value Entry","43 Cost Amount (Actual)","41 Source Type",$C$5,"5 Source no.",$C536,"4 Item Ledger Entry Type",$C$4,"2 Item No.","@@"&amp;$F536,"3 Posting Date",U$9)</t>
  </si>
  <si>
    <t>=U536-W536</t>
  </si>
  <si>
    <t>=IF(U536&lt;&gt;0,X536/U536,"")</t>
  </si>
  <si>
    <t>=NL("Sum","5802 Value Entry","150 Sales Amount (Expected)","41 Source Type",$C$5,"5 Source No.",$C536,"4 Item Ledger Entry Type",$C$4,"2 Item No.","@@"&amp;$F536,"3 Posting Date",Z$9)+NL("Sum","5802 Value Entry","17 Sales Amount (Actual)","41 Source Type",$C$5,"5 Source no.",$C536,"4 Item Ledger Entry Type",$C$4,"2 Item No.","@@"&amp;$F536,"3 Posting Date",Z$9)</t>
  </si>
  <si>
    <t>=-NL("Sum","5802 Value Entry","151 Cost Amount (Expected)","41 Source Type",$C$5,"5 Source No.",$C536,"4 Item Ledger Entry Type",$C$4,"2 Item No.","@@"&amp;$F536,"3 Posting Date",Z$9)-NL("Sum","5802 Value Entry","43 Cost Amount (Actual)","41 Source Type",$C$5,"5 Source no.",$C536,"4 Item Ledger Entry Type",$C$4,"2 Item No.","@@"&amp;$F536,"3 Posting Date",Z$9)</t>
  </si>
  <si>
    <t>=Z536-AB536</t>
  </si>
  <si>
    <t>=IF(Z536&lt;&gt;0,AC536/Z536,"")</t>
  </si>
  <si>
    <t>=C536</t>
  </si>
  <si>
    <t>=NL("Sum","5802 Value Entry","150 Sales Amount (Expected)","41 Source Type",$C$5,"5 Source No.",$C537,"4 Item Ledger Entry Type",$C$4,"2 Item No.","@@"&amp;$F537,"3 Posting Date",J$9)+NL("Sum","5802 Value Entry","17 Sales Amount (Actual)","41 Source Type",$C$5,"5 Source no.",$C537,"4 Item Ledger Entry Type",$C$4,"2 Item No.","@@"&amp;$F537,"3 Posting Date",J$9)</t>
  </si>
  <si>
    <t>=-NL("Sum","5802 Value Entry","151 Cost Amount (Expected)","41 Source Type",$C$5,"5 Source No.",$C537,"4 Item Ledger Entry Type",$C$4,"2 Item No.","@@"&amp;$F537,"3 Posting Date",J$9)-NL("Sum","5802 Value Entry","43 Cost Amount (Actual)","41 Source Type",$C$5,"5 Source no.",$C537,"4 Item Ledger Entry Type",$C$4,"2 Item No.","@@"&amp;$F537,"3 Posting Date",J$9)</t>
  </si>
  <si>
    <t>=J537-L537</t>
  </si>
  <si>
    <t>=IF(J537&lt;&gt;0,M537/J537,"")</t>
  </si>
  <si>
    <t>=NL("Sum","5802 Value Entry","150 Sales Amount (Expected)","41 Source Type",$C$5,"5 Source No.",$C537,"4 Item Ledger Entry Type",$C$4,"2 Item No.","@@"&amp;$F537,"3 Posting Date",O$9)+NL("Sum","5802 Value Entry","17 Sales Amount (Actual)","41 Source Type",$C$5,"5 Source no.",$C537,"4 Item Ledger Entry Type",$C$4,"2 Item No.","@@"&amp;$F537,"3 Posting Date",O$9)</t>
  </si>
  <si>
    <t>=-NL("Sum","5802 Value Entry","151 Cost Amount (Expected)","41 Source Type",$C$5,"5 Source No.",$C537,"4 Item Ledger Entry Type",$C$4,"2 Item No.","@@"&amp;$F537,"3 Posting Date",O$9)-NL("Sum","5802 Value Entry","43 Cost Amount (Actual)","41 Source Type",$C$5,"5 Source no.",$C537,"4 Item Ledger Entry Type",$C$4,"2 Item No.","@@"&amp;$F537,"3 Posting Date",O$9)</t>
  </si>
  <si>
    <t>=O537-Q537</t>
  </si>
  <si>
    <t>=IF(O537&lt;&gt;0,R537/O537,"")</t>
  </si>
  <si>
    <t>=NL("Sum","5802 Value Entry","150 Sales Amount (Expected)","41 Source Type",$C$5,"5 Source No.",$C537,"4 Item Ledger Entry Type",$C$4,"2 Item No.","@@"&amp;$F537,"3 Posting Date",U$9)+NL("Sum","5802 Value Entry","17 Sales Amount (Actual)","41 Source Type",$C$5,"5 Source no.",$C537,"4 Item Ledger Entry Type",$C$4,"2 Item No.","@@"&amp;$F537,"3 Posting Date",U$9)</t>
  </si>
  <si>
    <t>=-NL("Sum","5802 Value Entry","151 Cost Amount (Expected)","41 Source Type",$C$5,"5 Source No.",$C537,"4 Item Ledger Entry Type",$C$4,"2 Item No.","@@"&amp;$F537,"3 Posting Date",U$9)-NL("Sum","5802 Value Entry","43 Cost Amount (Actual)","41 Source Type",$C$5,"5 Source no.",$C537,"4 Item Ledger Entry Type",$C$4,"2 Item No.","@@"&amp;$F537,"3 Posting Date",U$9)</t>
  </si>
  <si>
    <t>=U537-W537</t>
  </si>
  <si>
    <t>=IF(U537&lt;&gt;0,X537/U537,"")</t>
  </si>
  <si>
    <t>=NL("Sum","5802 Value Entry","150 Sales Amount (Expected)","41 Source Type",$C$5,"5 Source No.",$C537,"4 Item Ledger Entry Type",$C$4,"2 Item No.","@@"&amp;$F537,"3 Posting Date",Z$9)+NL("Sum","5802 Value Entry","17 Sales Amount (Actual)","41 Source Type",$C$5,"5 Source no.",$C537,"4 Item Ledger Entry Type",$C$4,"2 Item No.","@@"&amp;$F537,"3 Posting Date",Z$9)</t>
  </si>
  <si>
    <t>=-NL("Sum","5802 Value Entry","151 Cost Amount (Expected)","41 Source Type",$C$5,"5 Source No.",$C537,"4 Item Ledger Entry Type",$C$4,"2 Item No.","@@"&amp;$F537,"3 Posting Date",Z$9)-NL("Sum","5802 Value Entry","43 Cost Amount (Actual)","41 Source Type",$C$5,"5 Source no.",$C537,"4 Item Ledger Entry Type",$C$4,"2 Item No.","@@"&amp;$F537,"3 Posting Date",Z$9)</t>
  </si>
  <si>
    <t>=Z537-AB537</t>
  </si>
  <si>
    <t>=IF(Z537&lt;&gt;0,AC537/Z537,"")</t>
  </si>
  <si>
    <t>=C537</t>
  </si>
  <si>
    <t>=NL("Sum","5802 Value Entry","150 Sales Amount (Expected)","41 Source Type",$C$5,"5 Source No.",$C538,"4 Item Ledger Entry Type",$C$4,"2 Item No.","@@"&amp;$F538,"3 Posting Date",J$9)+NL("Sum","5802 Value Entry","17 Sales Amount (Actual)","41 Source Type",$C$5,"5 Source no.",$C538,"4 Item Ledger Entry Type",$C$4,"2 Item No.","@@"&amp;$F538,"3 Posting Date",J$9)</t>
  </si>
  <si>
    <t>=-NL("Sum","5802 Value Entry","151 Cost Amount (Expected)","41 Source Type",$C$5,"5 Source No.",$C538,"4 Item Ledger Entry Type",$C$4,"2 Item No.","@@"&amp;$F538,"3 Posting Date",J$9)-NL("Sum","5802 Value Entry","43 Cost Amount (Actual)","41 Source Type",$C$5,"5 Source no.",$C538,"4 Item Ledger Entry Type",$C$4,"2 Item No.","@@"&amp;$F538,"3 Posting Date",J$9)</t>
  </si>
  <si>
    <t>=J538-L538</t>
  </si>
  <si>
    <t>=IF(J538&lt;&gt;0,M538/J538,"")</t>
  </si>
  <si>
    <t>=NL("Sum","5802 Value Entry","150 Sales Amount (Expected)","41 Source Type",$C$5,"5 Source No.",$C538,"4 Item Ledger Entry Type",$C$4,"2 Item No.","@@"&amp;$F538,"3 Posting Date",O$9)+NL("Sum","5802 Value Entry","17 Sales Amount (Actual)","41 Source Type",$C$5,"5 Source no.",$C538,"4 Item Ledger Entry Type",$C$4,"2 Item No.","@@"&amp;$F538,"3 Posting Date",O$9)</t>
  </si>
  <si>
    <t>=-NL("Sum","5802 Value Entry","151 Cost Amount (Expected)","41 Source Type",$C$5,"5 Source No.",$C538,"4 Item Ledger Entry Type",$C$4,"2 Item No.","@@"&amp;$F538,"3 Posting Date",O$9)-NL("Sum","5802 Value Entry","43 Cost Amount (Actual)","41 Source Type",$C$5,"5 Source no.",$C538,"4 Item Ledger Entry Type",$C$4,"2 Item No.","@@"&amp;$F538,"3 Posting Date",O$9)</t>
  </si>
  <si>
    <t>=O538-Q538</t>
  </si>
  <si>
    <t>=IF(O538&lt;&gt;0,R538/O538,"")</t>
  </si>
  <si>
    <t>=NL("Sum","5802 Value Entry","150 Sales Amount (Expected)","41 Source Type",$C$5,"5 Source No.",$C538,"4 Item Ledger Entry Type",$C$4,"2 Item No.","@@"&amp;$F538,"3 Posting Date",U$9)+NL("Sum","5802 Value Entry","17 Sales Amount (Actual)","41 Source Type",$C$5,"5 Source no.",$C538,"4 Item Ledger Entry Type",$C$4,"2 Item No.","@@"&amp;$F538,"3 Posting Date",U$9)</t>
  </si>
  <si>
    <t>=-NL("Sum","5802 Value Entry","151 Cost Amount (Expected)","41 Source Type",$C$5,"5 Source No.",$C538,"4 Item Ledger Entry Type",$C$4,"2 Item No.","@@"&amp;$F538,"3 Posting Date",U$9)-NL("Sum","5802 Value Entry","43 Cost Amount (Actual)","41 Source Type",$C$5,"5 Source no.",$C538,"4 Item Ledger Entry Type",$C$4,"2 Item No.","@@"&amp;$F538,"3 Posting Date",U$9)</t>
  </si>
  <si>
    <t>=U538-W538</t>
  </si>
  <si>
    <t>=IF(U538&lt;&gt;0,X538/U538,"")</t>
  </si>
  <si>
    <t>=NL("Sum","5802 Value Entry","150 Sales Amount (Expected)","41 Source Type",$C$5,"5 Source No.",$C538,"4 Item Ledger Entry Type",$C$4,"2 Item No.","@@"&amp;$F538,"3 Posting Date",Z$9)+NL("Sum","5802 Value Entry","17 Sales Amount (Actual)","41 Source Type",$C$5,"5 Source no.",$C538,"4 Item Ledger Entry Type",$C$4,"2 Item No.","@@"&amp;$F538,"3 Posting Date",Z$9)</t>
  </si>
  <si>
    <t>=-NL("Sum","5802 Value Entry","151 Cost Amount (Expected)","41 Source Type",$C$5,"5 Source No.",$C538,"4 Item Ledger Entry Type",$C$4,"2 Item No.","@@"&amp;$F538,"3 Posting Date",Z$9)-NL("Sum","5802 Value Entry","43 Cost Amount (Actual)","41 Source Type",$C$5,"5 Source no.",$C538,"4 Item Ledger Entry Type",$C$4,"2 Item No.","@@"&amp;$F538,"3 Posting Date",Z$9)</t>
  </si>
  <si>
    <t>=Z538-AB538</t>
  </si>
  <si>
    <t>=IF(Z538&lt;&gt;0,AC538/Z538,"")</t>
  </si>
  <si>
    <t>=C538</t>
  </si>
  <si>
    <t>=NL("Sum","5802 Value Entry","150 Sales Amount (Expected)","41 Source Type",$C$5,"5 Source No.",$C539,"4 Item Ledger Entry Type",$C$4,"2 Item No.","@@"&amp;$F539,"3 Posting Date",J$9)+NL("Sum","5802 Value Entry","17 Sales Amount (Actual)","41 Source Type",$C$5,"5 Source no.",$C539,"4 Item Ledger Entry Type",$C$4,"2 Item No.","@@"&amp;$F539,"3 Posting Date",J$9)</t>
  </si>
  <si>
    <t>=-NL("Sum","5802 Value Entry","151 Cost Amount (Expected)","41 Source Type",$C$5,"5 Source No.",$C539,"4 Item Ledger Entry Type",$C$4,"2 Item No.","@@"&amp;$F539,"3 Posting Date",J$9)-NL("Sum","5802 Value Entry","43 Cost Amount (Actual)","41 Source Type",$C$5,"5 Source no.",$C539,"4 Item Ledger Entry Type",$C$4,"2 Item No.","@@"&amp;$F539,"3 Posting Date",J$9)</t>
  </si>
  <si>
    <t>=J539-L539</t>
  </si>
  <si>
    <t>=IF(J539&lt;&gt;0,M539/J539,"")</t>
  </si>
  <si>
    <t>=NL("Sum","5802 Value Entry","150 Sales Amount (Expected)","41 Source Type",$C$5,"5 Source No.",$C539,"4 Item Ledger Entry Type",$C$4,"2 Item No.","@@"&amp;$F539,"3 Posting Date",O$9)+NL("Sum","5802 Value Entry","17 Sales Amount (Actual)","41 Source Type",$C$5,"5 Source no.",$C539,"4 Item Ledger Entry Type",$C$4,"2 Item No.","@@"&amp;$F539,"3 Posting Date",O$9)</t>
  </si>
  <si>
    <t>=-NL("Sum","5802 Value Entry","151 Cost Amount (Expected)","41 Source Type",$C$5,"5 Source No.",$C539,"4 Item Ledger Entry Type",$C$4,"2 Item No.","@@"&amp;$F539,"3 Posting Date",O$9)-NL("Sum","5802 Value Entry","43 Cost Amount (Actual)","41 Source Type",$C$5,"5 Source no.",$C539,"4 Item Ledger Entry Type",$C$4,"2 Item No.","@@"&amp;$F539,"3 Posting Date",O$9)</t>
  </si>
  <si>
    <t>=O539-Q539</t>
  </si>
  <si>
    <t>=IF(O539&lt;&gt;0,R539/O539,"")</t>
  </si>
  <si>
    <t>=NL("Sum","5802 Value Entry","150 Sales Amount (Expected)","41 Source Type",$C$5,"5 Source No.",$C539,"4 Item Ledger Entry Type",$C$4,"2 Item No.","@@"&amp;$F539,"3 Posting Date",U$9)+NL("Sum","5802 Value Entry","17 Sales Amount (Actual)","41 Source Type",$C$5,"5 Source no.",$C539,"4 Item Ledger Entry Type",$C$4,"2 Item No.","@@"&amp;$F539,"3 Posting Date",U$9)</t>
  </si>
  <si>
    <t>=-NL("Sum","5802 Value Entry","151 Cost Amount (Expected)","41 Source Type",$C$5,"5 Source No.",$C539,"4 Item Ledger Entry Type",$C$4,"2 Item No.","@@"&amp;$F539,"3 Posting Date",U$9)-NL("Sum","5802 Value Entry","43 Cost Amount (Actual)","41 Source Type",$C$5,"5 Source no.",$C539,"4 Item Ledger Entry Type",$C$4,"2 Item No.","@@"&amp;$F539,"3 Posting Date",U$9)</t>
  </si>
  <si>
    <t>=U539-W539</t>
  </si>
  <si>
    <t>=IF(U539&lt;&gt;0,X539/U539,"")</t>
  </si>
  <si>
    <t>=NL("Sum","5802 Value Entry","150 Sales Amount (Expected)","41 Source Type",$C$5,"5 Source No.",$C539,"4 Item Ledger Entry Type",$C$4,"2 Item No.","@@"&amp;$F539,"3 Posting Date",Z$9)+NL("Sum","5802 Value Entry","17 Sales Amount (Actual)","41 Source Type",$C$5,"5 Source no.",$C539,"4 Item Ledger Entry Type",$C$4,"2 Item No.","@@"&amp;$F539,"3 Posting Date",Z$9)</t>
  </si>
  <si>
    <t>=-NL("Sum","5802 Value Entry","151 Cost Amount (Expected)","41 Source Type",$C$5,"5 Source No.",$C539,"4 Item Ledger Entry Type",$C$4,"2 Item No.","@@"&amp;$F539,"3 Posting Date",Z$9)-NL("Sum","5802 Value Entry","43 Cost Amount (Actual)","41 Source Type",$C$5,"5 Source no.",$C539,"4 Item Ledger Entry Type",$C$4,"2 Item No.","@@"&amp;$F539,"3 Posting Date",Z$9)</t>
  </si>
  <si>
    <t>=Z539-AB539</t>
  </si>
  <si>
    <t>=IF(Z539&lt;&gt;0,AC539/Z539,"")</t>
  </si>
  <si>
    <t>=C539</t>
  </si>
  <si>
    <t>=NL("Sum","5802 Value Entry","150 Sales Amount (Expected)","41 Source Type",$C$5,"5 Source No.",$C540,"4 Item Ledger Entry Type",$C$4,"2 Item No.","@@"&amp;$F540,"3 Posting Date",J$9)+NL("Sum","5802 Value Entry","17 Sales Amount (Actual)","41 Source Type",$C$5,"5 Source no.",$C540,"4 Item Ledger Entry Type",$C$4,"2 Item No.","@@"&amp;$F540,"3 Posting Date",J$9)</t>
  </si>
  <si>
    <t>=-NL("Sum","5802 Value Entry","151 Cost Amount (Expected)","41 Source Type",$C$5,"5 Source No.",$C540,"4 Item Ledger Entry Type",$C$4,"2 Item No.","@@"&amp;$F540,"3 Posting Date",J$9)-NL("Sum","5802 Value Entry","43 Cost Amount (Actual)","41 Source Type",$C$5,"5 Source no.",$C540,"4 Item Ledger Entry Type",$C$4,"2 Item No.","@@"&amp;$F540,"3 Posting Date",J$9)</t>
  </si>
  <si>
    <t>=J540-L540</t>
  </si>
  <si>
    <t>=IF(J540&lt;&gt;0,M540/J540,"")</t>
  </si>
  <si>
    <t>=NL("Sum","5802 Value Entry","150 Sales Amount (Expected)","41 Source Type",$C$5,"5 Source No.",$C540,"4 Item Ledger Entry Type",$C$4,"2 Item No.","@@"&amp;$F540,"3 Posting Date",O$9)+NL("Sum","5802 Value Entry","17 Sales Amount (Actual)","41 Source Type",$C$5,"5 Source no.",$C540,"4 Item Ledger Entry Type",$C$4,"2 Item No.","@@"&amp;$F540,"3 Posting Date",O$9)</t>
  </si>
  <si>
    <t>=-NL("Sum","5802 Value Entry","151 Cost Amount (Expected)","41 Source Type",$C$5,"5 Source No.",$C540,"4 Item Ledger Entry Type",$C$4,"2 Item No.","@@"&amp;$F540,"3 Posting Date",O$9)-NL("Sum","5802 Value Entry","43 Cost Amount (Actual)","41 Source Type",$C$5,"5 Source no.",$C540,"4 Item Ledger Entry Type",$C$4,"2 Item No.","@@"&amp;$F540,"3 Posting Date",O$9)</t>
  </si>
  <si>
    <t>=O540-Q540</t>
  </si>
  <si>
    <t>=IF(O540&lt;&gt;0,R540/O540,"")</t>
  </si>
  <si>
    <t>=NL("Sum","5802 Value Entry","150 Sales Amount (Expected)","41 Source Type",$C$5,"5 Source No.",$C540,"4 Item Ledger Entry Type",$C$4,"2 Item No.","@@"&amp;$F540,"3 Posting Date",U$9)+NL("Sum","5802 Value Entry","17 Sales Amount (Actual)","41 Source Type",$C$5,"5 Source no.",$C540,"4 Item Ledger Entry Type",$C$4,"2 Item No.","@@"&amp;$F540,"3 Posting Date",U$9)</t>
  </si>
  <si>
    <t>=-NL("Sum","5802 Value Entry","151 Cost Amount (Expected)","41 Source Type",$C$5,"5 Source No.",$C540,"4 Item Ledger Entry Type",$C$4,"2 Item No.","@@"&amp;$F540,"3 Posting Date",U$9)-NL("Sum","5802 Value Entry","43 Cost Amount (Actual)","41 Source Type",$C$5,"5 Source no.",$C540,"4 Item Ledger Entry Type",$C$4,"2 Item No.","@@"&amp;$F540,"3 Posting Date",U$9)</t>
  </si>
  <si>
    <t>=U540-W540</t>
  </si>
  <si>
    <t>=IF(U540&lt;&gt;0,X540/U540,"")</t>
  </si>
  <si>
    <t>=NL("Sum","5802 Value Entry","150 Sales Amount (Expected)","41 Source Type",$C$5,"5 Source No.",$C540,"4 Item Ledger Entry Type",$C$4,"2 Item No.","@@"&amp;$F540,"3 Posting Date",Z$9)+NL("Sum","5802 Value Entry","17 Sales Amount (Actual)","41 Source Type",$C$5,"5 Source no.",$C540,"4 Item Ledger Entry Type",$C$4,"2 Item No.","@@"&amp;$F540,"3 Posting Date",Z$9)</t>
  </si>
  <si>
    <t>=-NL("Sum","5802 Value Entry","151 Cost Amount (Expected)","41 Source Type",$C$5,"5 Source No.",$C540,"4 Item Ledger Entry Type",$C$4,"2 Item No.","@@"&amp;$F540,"3 Posting Date",Z$9)-NL("Sum","5802 Value Entry","43 Cost Amount (Actual)","41 Source Type",$C$5,"5 Source no.",$C540,"4 Item Ledger Entry Type",$C$4,"2 Item No.","@@"&amp;$F540,"3 Posting Date",Z$9)</t>
  </si>
  <si>
    <t>=Z540-AB540</t>
  </si>
  <si>
    <t>=IF(Z540&lt;&gt;0,AC540/Z540,"")</t>
  </si>
  <si>
    <t>=C540</t>
  </si>
  <si>
    <t>=NL("Sum","5802 Value Entry","150 Sales Amount (Expected)","41 Source Type",$C$5,"5 Source No.",$C541,"4 Item Ledger Entry Type",$C$4,"2 Item No.","@@"&amp;$F541,"3 Posting Date",J$9)+NL("Sum","5802 Value Entry","17 Sales Amount (Actual)","41 Source Type",$C$5,"5 Source no.",$C541,"4 Item Ledger Entry Type",$C$4,"2 Item No.","@@"&amp;$F541,"3 Posting Date",J$9)</t>
  </si>
  <si>
    <t>=-NL("Sum","5802 Value Entry","151 Cost Amount (Expected)","41 Source Type",$C$5,"5 Source No.",$C541,"4 Item Ledger Entry Type",$C$4,"2 Item No.","@@"&amp;$F541,"3 Posting Date",J$9)-NL("Sum","5802 Value Entry","43 Cost Amount (Actual)","41 Source Type",$C$5,"5 Source no.",$C541,"4 Item Ledger Entry Type",$C$4,"2 Item No.","@@"&amp;$F541,"3 Posting Date",J$9)</t>
  </si>
  <si>
    <t>=J541-L541</t>
  </si>
  <si>
    <t>=IF(J541&lt;&gt;0,M541/J541,"")</t>
  </si>
  <si>
    <t>=NL("Sum","5802 Value Entry","150 Sales Amount (Expected)","41 Source Type",$C$5,"5 Source No.",$C541,"4 Item Ledger Entry Type",$C$4,"2 Item No.","@@"&amp;$F541,"3 Posting Date",O$9)+NL("Sum","5802 Value Entry","17 Sales Amount (Actual)","41 Source Type",$C$5,"5 Source no.",$C541,"4 Item Ledger Entry Type",$C$4,"2 Item No.","@@"&amp;$F541,"3 Posting Date",O$9)</t>
  </si>
  <si>
    <t>=-NL("Sum","5802 Value Entry","151 Cost Amount (Expected)","41 Source Type",$C$5,"5 Source No.",$C541,"4 Item Ledger Entry Type",$C$4,"2 Item No.","@@"&amp;$F541,"3 Posting Date",O$9)-NL("Sum","5802 Value Entry","43 Cost Amount (Actual)","41 Source Type",$C$5,"5 Source no.",$C541,"4 Item Ledger Entry Type",$C$4,"2 Item No.","@@"&amp;$F541,"3 Posting Date",O$9)</t>
  </si>
  <si>
    <t>=O541-Q541</t>
  </si>
  <si>
    <t>=IF(O541&lt;&gt;0,R541/O541,"")</t>
  </si>
  <si>
    <t>=NL("Sum","5802 Value Entry","150 Sales Amount (Expected)","41 Source Type",$C$5,"5 Source No.",$C541,"4 Item Ledger Entry Type",$C$4,"2 Item No.","@@"&amp;$F541,"3 Posting Date",U$9)+NL("Sum","5802 Value Entry","17 Sales Amount (Actual)","41 Source Type",$C$5,"5 Source no.",$C541,"4 Item Ledger Entry Type",$C$4,"2 Item No.","@@"&amp;$F541,"3 Posting Date",U$9)</t>
  </si>
  <si>
    <t>=-NL("Sum","5802 Value Entry","151 Cost Amount (Expected)","41 Source Type",$C$5,"5 Source No.",$C541,"4 Item Ledger Entry Type",$C$4,"2 Item No.","@@"&amp;$F541,"3 Posting Date",U$9)-NL("Sum","5802 Value Entry","43 Cost Amount (Actual)","41 Source Type",$C$5,"5 Source no.",$C541,"4 Item Ledger Entry Type",$C$4,"2 Item No.","@@"&amp;$F541,"3 Posting Date",U$9)</t>
  </si>
  <si>
    <t>=U541-W541</t>
  </si>
  <si>
    <t>=IF(U541&lt;&gt;0,X541/U541,"")</t>
  </si>
  <si>
    <t>=NL("Sum","5802 Value Entry","150 Sales Amount (Expected)","41 Source Type",$C$5,"5 Source No.",$C541,"4 Item Ledger Entry Type",$C$4,"2 Item No.","@@"&amp;$F541,"3 Posting Date",Z$9)+NL("Sum","5802 Value Entry","17 Sales Amount (Actual)","41 Source Type",$C$5,"5 Source no.",$C541,"4 Item Ledger Entry Type",$C$4,"2 Item No.","@@"&amp;$F541,"3 Posting Date",Z$9)</t>
  </si>
  <si>
    <t>=-NL("Sum","5802 Value Entry","151 Cost Amount (Expected)","41 Source Type",$C$5,"5 Source No.",$C541,"4 Item Ledger Entry Type",$C$4,"2 Item No.","@@"&amp;$F541,"3 Posting Date",Z$9)-NL("Sum","5802 Value Entry","43 Cost Amount (Actual)","41 Source Type",$C$5,"5 Source no.",$C541,"4 Item Ledger Entry Type",$C$4,"2 Item No.","@@"&amp;$F541,"3 Posting Date",Z$9)</t>
  </si>
  <si>
    <t>=Z541-AB541</t>
  </si>
  <si>
    <t>=IF(Z541&lt;&gt;0,AC541/Z541,"")</t>
  </si>
  <si>
    <t>=C541</t>
  </si>
  <si>
    <t>=NL("Sum","5802 Value Entry","150 Sales Amount (Expected)","41 Source Type",$C$5,"5 Source No.",$C542,"4 Item Ledger Entry Type",$C$4,"2 Item No.","@@"&amp;$F542,"3 Posting Date",J$9)+NL("Sum","5802 Value Entry","17 Sales Amount (Actual)","41 Source Type",$C$5,"5 Source no.",$C542,"4 Item Ledger Entry Type",$C$4,"2 Item No.","@@"&amp;$F542,"3 Posting Date",J$9)</t>
  </si>
  <si>
    <t>=-NL("Sum","5802 Value Entry","151 Cost Amount (Expected)","41 Source Type",$C$5,"5 Source No.",$C542,"4 Item Ledger Entry Type",$C$4,"2 Item No.","@@"&amp;$F542,"3 Posting Date",J$9)-NL("Sum","5802 Value Entry","43 Cost Amount (Actual)","41 Source Type",$C$5,"5 Source no.",$C542,"4 Item Ledger Entry Type",$C$4,"2 Item No.","@@"&amp;$F542,"3 Posting Date",J$9)</t>
  </si>
  <si>
    <t>=J542-L542</t>
  </si>
  <si>
    <t>=IF(J542&lt;&gt;0,M542/J542,"")</t>
  </si>
  <si>
    <t>=NL("Sum","5802 Value Entry","150 Sales Amount (Expected)","41 Source Type",$C$5,"5 Source No.",$C542,"4 Item Ledger Entry Type",$C$4,"2 Item No.","@@"&amp;$F542,"3 Posting Date",O$9)+NL("Sum","5802 Value Entry","17 Sales Amount (Actual)","41 Source Type",$C$5,"5 Source no.",$C542,"4 Item Ledger Entry Type",$C$4,"2 Item No.","@@"&amp;$F542,"3 Posting Date",O$9)</t>
  </si>
  <si>
    <t>=-NL("Sum","5802 Value Entry","151 Cost Amount (Expected)","41 Source Type",$C$5,"5 Source No.",$C542,"4 Item Ledger Entry Type",$C$4,"2 Item No.","@@"&amp;$F542,"3 Posting Date",O$9)-NL("Sum","5802 Value Entry","43 Cost Amount (Actual)","41 Source Type",$C$5,"5 Source no.",$C542,"4 Item Ledger Entry Type",$C$4,"2 Item No.","@@"&amp;$F542,"3 Posting Date",O$9)</t>
  </si>
  <si>
    <t>=O542-Q542</t>
  </si>
  <si>
    <t>=IF(O542&lt;&gt;0,R542/O542,"")</t>
  </si>
  <si>
    <t>=NL("Sum","5802 Value Entry","150 Sales Amount (Expected)","41 Source Type",$C$5,"5 Source No.",$C542,"4 Item Ledger Entry Type",$C$4,"2 Item No.","@@"&amp;$F542,"3 Posting Date",U$9)+NL("Sum","5802 Value Entry","17 Sales Amount (Actual)","41 Source Type",$C$5,"5 Source no.",$C542,"4 Item Ledger Entry Type",$C$4,"2 Item No.","@@"&amp;$F542,"3 Posting Date",U$9)</t>
  </si>
  <si>
    <t>=-NL("Sum","5802 Value Entry","151 Cost Amount (Expected)","41 Source Type",$C$5,"5 Source No.",$C542,"4 Item Ledger Entry Type",$C$4,"2 Item No.","@@"&amp;$F542,"3 Posting Date",U$9)-NL("Sum","5802 Value Entry","43 Cost Amount (Actual)","41 Source Type",$C$5,"5 Source no.",$C542,"4 Item Ledger Entry Type",$C$4,"2 Item No.","@@"&amp;$F542,"3 Posting Date",U$9)</t>
  </si>
  <si>
    <t>=U542-W542</t>
  </si>
  <si>
    <t>=IF(U542&lt;&gt;0,X542/U542,"")</t>
  </si>
  <si>
    <t>=NL("Sum","5802 Value Entry","150 Sales Amount (Expected)","41 Source Type",$C$5,"5 Source No.",$C542,"4 Item Ledger Entry Type",$C$4,"2 Item No.","@@"&amp;$F542,"3 Posting Date",Z$9)+NL("Sum","5802 Value Entry","17 Sales Amount (Actual)","41 Source Type",$C$5,"5 Source no.",$C542,"4 Item Ledger Entry Type",$C$4,"2 Item No.","@@"&amp;$F542,"3 Posting Date",Z$9)</t>
  </si>
  <si>
    <t>=-NL("Sum","5802 Value Entry","151 Cost Amount (Expected)","41 Source Type",$C$5,"5 Source No.",$C542,"4 Item Ledger Entry Type",$C$4,"2 Item No.","@@"&amp;$F542,"3 Posting Date",Z$9)-NL("Sum","5802 Value Entry","43 Cost Amount (Actual)","41 Source Type",$C$5,"5 Source no.",$C542,"4 Item Ledger Entry Type",$C$4,"2 Item No.","@@"&amp;$F542,"3 Posting Date",Z$9)</t>
  </si>
  <si>
    <t>=Z542-AB542</t>
  </si>
  <si>
    <t>=IF(Z542&lt;&gt;0,AC542/Z542,"")</t>
  </si>
  <si>
    <t>=C542</t>
  </si>
  <si>
    <t>=NL("Sum","5802 Value Entry","150 Sales Amount (Expected)","41 Source Type",$C$5,"5 Source No.",$C543,"4 Item Ledger Entry Type",$C$4,"2 Item No.","@@"&amp;$F543,"3 Posting Date",J$9)+NL("Sum","5802 Value Entry","17 Sales Amount (Actual)","41 Source Type",$C$5,"5 Source no.",$C543,"4 Item Ledger Entry Type",$C$4,"2 Item No.","@@"&amp;$F543,"3 Posting Date",J$9)</t>
  </si>
  <si>
    <t>=-NL("Sum","5802 Value Entry","151 Cost Amount (Expected)","41 Source Type",$C$5,"5 Source No.",$C543,"4 Item Ledger Entry Type",$C$4,"2 Item No.","@@"&amp;$F543,"3 Posting Date",J$9)-NL("Sum","5802 Value Entry","43 Cost Amount (Actual)","41 Source Type",$C$5,"5 Source no.",$C543,"4 Item Ledger Entry Type",$C$4,"2 Item No.","@@"&amp;$F543,"3 Posting Date",J$9)</t>
  </si>
  <si>
    <t>=J543-L543</t>
  </si>
  <si>
    <t>=IF(J543&lt;&gt;0,M543/J543,"")</t>
  </si>
  <si>
    <t>=NL("Sum","5802 Value Entry","150 Sales Amount (Expected)","41 Source Type",$C$5,"5 Source No.",$C543,"4 Item Ledger Entry Type",$C$4,"2 Item No.","@@"&amp;$F543,"3 Posting Date",O$9)+NL("Sum","5802 Value Entry","17 Sales Amount (Actual)","41 Source Type",$C$5,"5 Source no.",$C543,"4 Item Ledger Entry Type",$C$4,"2 Item No.","@@"&amp;$F543,"3 Posting Date",O$9)</t>
  </si>
  <si>
    <t>=-NL("Sum","5802 Value Entry","151 Cost Amount (Expected)","41 Source Type",$C$5,"5 Source No.",$C543,"4 Item Ledger Entry Type",$C$4,"2 Item No.","@@"&amp;$F543,"3 Posting Date",O$9)-NL("Sum","5802 Value Entry","43 Cost Amount (Actual)","41 Source Type",$C$5,"5 Source no.",$C543,"4 Item Ledger Entry Type",$C$4,"2 Item No.","@@"&amp;$F543,"3 Posting Date",O$9)</t>
  </si>
  <si>
    <t>=O543-Q543</t>
  </si>
  <si>
    <t>=IF(O543&lt;&gt;0,R543/O543,"")</t>
  </si>
  <si>
    <t>=NL("Sum","5802 Value Entry","150 Sales Amount (Expected)","41 Source Type",$C$5,"5 Source No.",$C543,"4 Item Ledger Entry Type",$C$4,"2 Item No.","@@"&amp;$F543,"3 Posting Date",U$9)+NL("Sum","5802 Value Entry","17 Sales Amount (Actual)","41 Source Type",$C$5,"5 Source no.",$C543,"4 Item Ledger Entry Type",$C$4,"2 Item No.","@@"&amp;$F543,"3 Posting Date",U$9)</t>
  </si>
  <si>
    <t>=-NL("Sum","5802 Value Entry","151 Cost Amount (Expected)","41 Source Type",$C$5,"5 Source No.",$C543,"4 Item Ledger Entry Type",$C$4,"2 Item No.","@@"&amp;$F543,"3 Posting Date",U$9)-NL("Sum","5802 Value Entry","43 Cost Amount (Actual)","41 Source Type",$C$5,"5 Source no.",$C543,"4 Item Ledger Entry Type",$C$4,"2 Item No.","@@"&amp;$F543,"3 Posting Date",U$9)</t>
  </si>
  <si>
    <t>=U543-W543</t>
  </si>
  <si>
    <t>=IF(U543&lt;&gt;0,X543/U543,"")</t>
  </si>
  <si>
    <t>=NL("Sum","5802 Value Entry","150 Sales Amount (Expected)","41 Source Type",$C$5,"5 Source No.",$C543,"4 Item Ledger Entry Type",$C$4,"2 Item No.","@@"&amp;$F543,"3 Posting Date",Z$9)+NL("Sum","5802 Value Entry","17 Sales Amount (Actual)","41 Source Type",$C$5,"5 Source no.",$C543,"4 Item Ledger Entry Type",$C$4,"2 Item No.","@@"&amp;$F543,"3 Posting Date",Z$9)</t>
  </si>
  <si>
    <t>=-NL("Sum","5802 Value Entry","151 Cost Amount (Expected)","41 Source Type",$C$5,"5 Source No.",$C543,"4 Item Ledger Entry Type",$C$4,"2 Item No.","@@"&amp;$F543,"3 Posting Date",Z$9)-NL("Sum","5802 Value Entry","43 Cost Amount (Actual)","41 Source Type",$C$5,"5 Source no.",$C543,"4 Item Ledger Entry Type",$C$4,"2 Item No.","@@"&amp;$F543,"3 Posting Date",Z$9)</t>
  </si>
  <si>
    <t>=Z543-AB543</t>
  </si>
  <si>
    <t>=IF(Z543&lt;&gt;0,AC543/Z543,"")</t>
  </si>
  <si>
    <t>=C544</t>
  </si>
  <si>
    <t>=J545-L545</t>
  </si>
  <si>
    <t>=IF(J545&lt;&gt;0,M545/J545,"")</t>
  </si>
  <si>
    <t>=O545-Q545</t>
  </si>
  <si>
    <t>=IF(O545&lt;&gt;0,R545/O545,"")</t>
  </si>
  <si>
    <t>=U545-W545</t>
  </si>
  <si>
    <t>=IF(U545&lt;&gt;0,X545/U545,"")</t>
  </si>
  <si>
    <t>=Z545-AB545</t>
  </si>
  <si>
    <t>=IF(Z545&lt;&gt;0,AC545/Z545,"")</t>
  </si>
  <si>
    <t>=C547</t>
  </si>
  <si>
    <t>=C548</t>
  </si>
  <si>
    <t>=NL("Sum","5802 Value Entry","150 Sales Amount (Expected)","41 Source Type",$C$5,"5 Source No.",$C549,"4 Item Ledger Entry Type",$C$4,"2 Item No.","@@"&amp;$F549,"3 Posting Date",J$9)+NL("Sum","5802 Value Entry","17 Sales Amount (Actual)","41 Source Type",$C$5,"5 Source no.",$C549,"4 Item Ledger Entry Type",$C$4,"2 Item No.","@@"&amp;$F549,"3 Posting Date",J$9)</t>
  </si>
  <si>
    <t>=-NL("Sum","5802 Value Entry","151 Cost Amount (Expected)","41 Source Type",$C$5,"5 Source No.",$C549,"4 Item Ledger Entry Type",$C$4,"2 Item No.","@@"&amp;$F549,"3 Posting Date",J$9)-NL("Sum","5802 Value Entry","43 Cost Amount (Actual)","41 Source Type",$C$5,"5 Source no.",$C549,"4 Item Ledger Entry Type",$C$4,"2 Item No.","@@"&amp;$F549,"3 Posting Date",J$9)</t>
  </si>
  <si>
    <t>=J549-L549</t>
  </si>
  <si>
    <t>=IF(J549&lt;&gt;0,M549/J549,"")</t>
  </si>
  <si>
    <t>=NL("Sum","5802 Value Entry","150 Sales Amount (Expected)","41 Source Type",$C$5,"5 Source No.",$C549,"4 Item Ledger Entry Type",$C$4,"2 Item No.","@@"&amp;$F549,"3 Posting Date",O$9)+NL("Sum","5802 Value Entry","17 Sales Amount (Actual)","41 Source Type",$C$5,"5 Source no.",$C549,"4 Item Ledger Entry Type",$C$4,"2 Item No.","@@"&amp;$F549,"3 Posting Date",O$9)</t>
  </si>
  <si>
    <t>=-NL("Sum","5802 Value Entry","151 Cost Amount (Expected)","41 Source Type",$C$5,"5 Source No.",$C549,"4 Item Ledger Entry Type",$C$4,"2 Item No.","@@"&amp;$F549,"3 Posting Date",O$9)-NL("Sum","5802 Value Entry","43 Cost Amount (Actual)","41 Source Type",$C$5,"5 Source no.",$C549,"4 Item Ledger Entry Type",$C$4,"2 Item No.","@@"&amp;$F549,"3 Posting Date",O$9)</t>
  </si>
  <si>
    <t>=O549-Q549</t>
  </si>
  <si>
    <t>=IF(O549&lt;&gt;0,R549/O549,"")</t>
  </si>
  <si>
    <t>=NL("Sum","5802 Value Entry","150 Sales Amount (Expected)","41 Source Type",$C$5,"5 Source No.",$C549,"4 Item Ledger Entry Type",$C$4,"2 Item No.","@@"&amp;$F549,"3 Posting Date",U$9)+NL("Sum","5802 Value Entry","17 Sales Amount (Actual)","41 Source Type",$C$5,"5 Source no.",$C549,"4 Item Ledger Entry Type",$C$4,"2 Item No.","@@"&amp;$F549,"3 Posting Date",U$9)</t>
  </si>
  <si>
    <t>=-NL("Sum","5802 Value Entry","151 Cost Amount (Expected)","41 Source Type",$C$5,"5 Source No.",$C549,"4 Item Ledger Entry Type",$C$4,"2 Item No.","@@"&amp;$F549,"3 Posting Date",U$9)-NL("Sum","5802 Value Entry","43 Cost Amount (Actual)","41 Source Type",$C$5,"5 Source no.",$C549,"4 Item Ledger Entry Type",$C$4,"2 Item No.","@@"&amp;$F549,"3 Posting Date",U$9)</t>
  </si>
  <si>
    <t>=U549-W549</t>
  </si>
  <si>
    <t>=IF(U549&lt;&gt;0,X549/U549,"")</t>
  </si>
  <si>
    <t>=NL("Sum","5802 Value Entry","150 Sales Amount (Expected)","41 Source Type",$C$5,"5 Source No.",$C549,"4 Item Ledger Entry Type",$C$4,"2 Item No.","@@"&amp;$F549,"3 Posting Date",Z$9)+NL("Sum","5802 Value Entry","17 Sales Amount (Actual)","41 Source Type",$C$5,"5 Source no.",$C549,"4 Item Ledger Entry Type",$C$4,"2 Item No.","@@"&amp;$F549,"3 Posting Date",Z$9)</t>
  </si>
  <si>
    <t>=-NL("Sum","5802 Value Entry","151 Cost Amount (Expected)","41 Source Type",$C$5,"5 Source No.",$C549,"4 Item Ledger Entry Type",$C$4,"2 Item No.","@@"&amp;$F549,"3 Posting Date",Z$9)-NL("Sum","5802 Value Entry","43 Cost Amount (Actual)","41 Source Type",$C$5,"5 Source no.",$C549,"4 Item Ledger Entry Type",$C$4,"2 Item No.","@@"&amp;$F549,"3 Posting Date",Z$9)</t>
  </si>
  <si>
    <t>=Z549-AB549</t>
  </si>
  <si>
    <t>=IF(Z549&lt;&gt;0,AC549/Z549,"")</t>
  </si>
  <si>
    <t>=C549</t>
  </si>
  <si>
    <t>=NL("Sum","5802 Value Entry","150 Sales Amount (Expected)","41 Source Type",$C$5,"5 Source No.",$C550,"4 Item Ledger Entry Type",$C$4,"2 Item No.","@@"&amp;$F550,"3 Posting Date",J$9)+NL("Sum","5802 Value Entry","17 Sales Amount (Actual)","41 Source Type",$C$5,"5 Source no.",$C550,"4 Item Ledger Entry Type",$C$4,"2 Item No.","@@"&amp;$F550,"3 Posting Date",J$9)</t>
  </si>
  <si>
    <t>=-NL("Sum","5802 Value Entry","151 Cost Amount (Expected)","41 Source Type",$C$5,"5 Source No.",$C550,"4 Item Ledger Entry Type",$C$4,"2 Item No.","@@"&amp;$F550,"3 Posting Date",J$9)-NL("Sum","5802 Value Entry","43 Cost Amount (Actual)","41 Source Type",$C$5,"5 Source no.",$C550,"4 Item Ledger Entry Type",$C$4,"2 Item No.","@@"&amp;$F550,"3 Posting Date",J$9)</t>
  </si>
  <si>
    <t>=J550-L550</t>
  </si>
  <si>
    <t>=IF(J550&lt;&gt;0,M550/J550,"")</t>
  </si>
  <si>
    <t>=NL("Sum","5802 Value Entry","150 Sales Amount (Expected)","41 Source Type",$C$5,"5 Source No.",$C550,"4 Item Ledger Entry Type",$C$4,"2 Item No.","@@"&amp;$F550,"3 Posting Date",O$9)+NL("Sum","5802 Value Entry","17 Sales Amount (Actual)","41 Source Type",$C$5,"5 Source no.",$C550,"4 Item Ledger Entry Type",$C$4,"2 Item No.","@@"&amp;$F550,"3 Posting Date",O$9)</t>
  </si>
  <si>
    <t>=-NL("Sum","5802 Value Entry","151 Cost Amount (Expected)","41 Source Type",$C$5,"5 Source No.",$C550,"4 Item Ledger Entry Type",$C$4,"2 Item No.","@@"&amp;$F550,"3 Posting Date",O$9)-NL("Sum","5802 Value Entry","43 Cost Amount (Actual)","41 Source Type",$C$5,"5 Source no.",$C550,"4 Item Ledger Entry Type",$C$4,"2 Item No.","@@"&amp;$F550,"3 Posting Date",O$9)</t>
  </si>
  <si>
    <t>=O550-Q550</t>
  </si>
  <si>
    <t>=IF(O550&lt;&gt;0,R550/O550,"")</t>
  </si>
  <si>
    <t>=NL("Sum","5802 Value Entry","150 Sales Amount (Expected)","41 Source Type",$C$5,"5 Source No.",$C550,"4 Item Ledger Entry Type",$C$4,"2 Item No.","@@"&amp;$F550,"3 Posting Date",U$9)+NL("Sum","5802 Value Entry","17 Sales Amount (Actual)","41 Source Type",$C$5,"5 Source no.",$C550,"4 Item Ledger Entry Type",$C$4,"2 Item No.","@@"&amp;$F550,"3 Posting Date",U$9)</t>
  </si>
  <si>
    <t>=-NL("Sum","5802 Value Entry","151 Cost Amount (Expected)","41 Source Type",$C$5,"5 Source No.",$C550,"4 Item Ledger Entry Type",$C$4,"2 Item No.","@@"&amp;$F550,"3 Posting Date",U$9)-NL("Sum","5802 Value Entry","43 Cost Amount (Actual)","41 Source Type",$C$5,"5 Source no.",$C550,"4 Item Ledger Entry Type",$C$4,"2 Item No.","@@"&amp;$F550,"3 Posting Date",U$9)</t>
  </si>
  <si>
    <t>=U550-W550</t>
  </si>
  <si>
    <t>=IF(U550&lt;&gt;0,X550/U550,"")</t>
  </si>
  <si>
    <t>=NL("Sum","5802 Value Entry","150 Sales Amount (Expected)","41 Source Type",$C$5,"5 Source No.",$C550,"4 Item Ledger Entry Type",$C$4,"2 Item No.","@@"&amp;$F550,"3 Posting Date",Z$9)+NL("Sum","5802 Value Entry","17 Sales Amount (Actual)","41 Source Type",$C$5,"5 Source no.",$C550,"4 Item Ledger Entry Type",$C$4,"2 Item No.","@@"&amp;$F550,"3 Posting Date",Z$9)</t>
  </si>
  <si>
    <t>=-NL("Sum","5802 Value Entry","151 Cost Amount (Expected)","41 Source Type",$C$5,"5 Source No.",$C550,"4 Item Ledger Entry Type",$C$4,"2 Item No.","@@"&amp;$F550,"3 Posting Date",Z$9)-NL("Sum","5802 Value Entry","43 Cost Amount (Actual)","41 Source Type",$C$5,"5 Source no.",$C550,"4 Item Ledger Entry Type",$C$4,"2 Item No.","@@"&amp;$F550,"3 Posting Date",Z$9)</t>
  </si>
  <si>
    <t>=Z550-AB550</t>
  </si>
  <si>
    <t>=IF(Z550&lt;&gt;0,AC550/Z550,"")</t>
  </si>
  <si>
    <t>=C550</t>
  </si>
  <si>
    <t>=NL("Sum","5802 Value Entry","150 Sales Amount (Expected)","41 Source Type",$C$5,"5 Source No.",$C551,"4 Item Ledger Entry Type",$C$4,"2 Item No.","@@"&amp;$F551,"3 Posting Date",J$9)+NL("Sum","5802 Value Entry","17 Sales Amount (Actual)","41 Source Type",$C$5,"5 Source no.",$C551,"4 Item Ledger Entry Type",$C$4,"2 Item No.","@@"&amp;$F551,"3 Posting Date",J$9)</t>
  </si>
  <si>
    <t>=-NL("Sum","5802 Value Entry","151 Cost Amount (Expected)","41 Source Type",$C$5,"5 Source No.",$C551,"4 Item Ledger Entry Type",$C$4,"2 Item No.","@@"&amp;$F551,"3 Posting Date",J$9)-NL("Sum","5802 Value Entry","43 Cost Amount (Actual)","41 Source Type",$C$5,"5 Source no.",$C551,"4 Item Ledger Entry Type",$C$4,"2 Item No.","@@"&amp;$F551,"3 Posting Date",J$9)</t>
  </si>
  <si>
    <t>=J551-L551</t>
  </si>
  <si>
    <t>=IF(J551&lt;&gt;0,M551/J551,"")</t>
  </si>
  <si>
    <t>=NL("Sum","5802 Value Entry","150 Sales Amount (Expected)","41 Source Type",$C$5,"5 Source No.",$C551,"4 Item Ledger Entry Type",$C$4,"2 Item No.","@@"&amp;$F551,"3 Posting Date",O$9)+NL("Sum","5802 Value Entry","17 Sales Amount (Actual)","41 Source Type",$C$5,"5 Source no.",$C551,"4 Item Ledger Entry Type",$C$4,"2 Item No.","@@"&amp;$F551,"3 Posting Date",O$9)</t>
  </si>
  <si>
    <t>=-NL("Sum","5802 Value Entry","151 Cost Amount (Expected)","41 Source Type",$C$5,"5 Source No.",$C551,"4 Item Ledger Entry Type",$C$4,"2 Item No.","@@"&amp;$F551,"3 Posting Date",O$9)-NL("Sum","5802 Value Entry","43 Cost Amount (Actual)","41 Source Type",$C$5,"5 Source no.",$C551,"4 Item Ledger Entry Type",$C$4,"2 Item No.","@@"&amp;$F551,"3 Posting Date",O$9)</t>
  </si>
  <si>
    <t>=O551-Q551</t>
  </si>
  <si>
    <t>=IF(O551&lt;&gt;0,R551/O551,"")</t>
  </si>
  <si>
    <t>=NL("Sum","5802 Value Entry","150 Sales Amount (Expected)","41 Source Type",$C$5,"5 Source No.",$C551,"4 Item Ledger Entry Type",$C$4,"2 Item No.","@@"&amp;$F551,"3 Posting Date",U$9)+NL("Sum","5802 Value Entry","17 Sales Amount (Actual)","41 Source Type",$C$5,"5 Source no.",$C551,"4 Item Ledger Entry Type",$C$4,"2 Item No.","@@"&amp;$F551,"3 Posting Date",U$9)</t>
  </si>
  <si>
    <t>=-NL("Sum","5802 Value Entry","151 Cost Amount (Expected)","41 Source Type",$C$5,"5 Source No.",$C551,"4 Item Ledger Entry Type",$C$4,"2 Item No.","@@"&amp;$F551,"3 Posting Date",U$9)-NL("Sum","5802 Value Entry","43 Cost Amount (Actual)","41 Source Type",$C$5,"5 Source no.",$C551,"4 Item Ledger Entry Type",$C$4,"2 Item No.","@@"&amp;$F551,"3 Posting Date",U$9)</t>
  </si>
  <si>
    <t>=U551-W551</t>
  </si>
  <si>
    <t>=IF(U551&lt;&gt;0,X551/U551,"")</t>
  </si>
  <si>
    <t>=NL("Sum","5802 Value Entry","150 Sales Amount (Expected)","41 Source Type",$C$5,"5 Source No.",$C551,"4 Item Ledger Entry Type",$C$4,"2 Item No.","@@"&amp;$F551,"3 Posting Date",Z$9)+NL("Sum","5802 Value Entry","17 Sales Amount (Actual)","41 Source Type",$C$5,"5 Source no.",$C551,"4 Item Ledger Entry Type",$C$4,"2 Item No.","@@"&amp;$F551,"3 Posting Date",Z$9)</t>
  </si>
  <si>
    <t>=-NL("Sum","5802 Value Entry","151 Cost Amount (Expected)","41 Source Type",$C$5,"5 Source No.",$C551,"4 Item Ledger Entry Type",$C$4,"2 Item No.","@@"&amp;$F551,"3 Posting Date",Z$9)-NL("Sum","5802 Value Entry","43 Cost Amount (Actual)","41 Source Type",$C$5,"5 Source no.",$C551,"4 Item Ledger Entry Type",$C$4,"2 Item No.","@@"&amp;$F551,"3 Posting Date",Z$9)</t>
  </si>
  <si>
    <t>=Z551-AB551</t>
  </si>
  <si>
    <t>=IF(Z551&lt;&gt;0,AC551/Z551,"")</t>
  </si>
  <si>
    <t>=C551</t>
  </si>
  <si>
    <t>=NL("Sum","5802 Value Entry","150 Sales Amount (Expected)","41 Source Type",$C$5,"5 Source No.",$C552,"4 Item Ledger Entry Type",$C$4,"2 Item No.","@@"&amp;$F552,"3 Posting Date",J$9)+NL("Sum","5802 Value Entry","17 Sales Amount (Actual)","41 Source Type",$C$5,"5 Source no.",$C552,"4 Item Ledger Entry Type",$C$4,"2 Item No.","@@"&amp;$F552,"3 Posting Date",J$9)</t>
  </si>
  <si>
    <t>=-NL("Sum","5802 Value Entry","151 Cost Amount (Expected)","41 Source Type",$C$5,"5 Source No.",$C552,"4 Item Ledger Entry Type",$C$4,"2 Item No.","@@"&amp;$F552,"3 Posting Date",J$9)-NL("Sum","5802 Value Entry","43 Cost Amount (Actual)","41 Source Type",$C$5,"5 Source no.",$C552,"4 Item Ledger Entry Type",$C$4,"2 Item No.","@@"&amp;$F552,"3 Posting Date",J$9)</t>
  </si>
  <si>
    <t>=J552-L552</t>
  </si>
  <si>
    <t>=IF(J552&lt;&gt;0,M552/J552,"")</t>
  </si>
  <si>
    <t>=NL("Sum","5802 Value Entry","150 Sales Amount (Expected)","41 Source Type",$C$5,"5 Source No.",$C552,"4 Item Ledger Entry Type",$C$4,"2 Item No.","@@"&amp;$F552,"3 Posting Date",O$9)+NL("Sum","5802 Value Entry","17 Sales Amount (Actual)","41 Source Type",$C$5,"5 Source no.",$C552,"4 Item Ledger Entry Type",$C$4,"2 Item No.","@@"&amp;$F552,"3 Posting Date",O$9)</t>
  </si>
  <si>
    <t>=-NL("Sum","5802 Value Entry","151 Cost Amount (Expected)","41 Source Type",$C$5,"5 Source No.",$C552,"4 Item Ledger Entry Type",$C$4,"2 Item No.","@@"&amp;$F552,"3 Posting Date",O$9)-NL("Sum","5802 Value Entry","43 Cost Amount (Actual)","41 Source Type",$C$5,"5 Source no.",$C552,"4 Item Ledger Entry Type",$C$4,"2 Item No.","@@"&amp;$F552,"3 Posting Date",O$9)</t>
  </si>
  <si>
    <t>=O552-Q552</t>
  </si>
  <si>
    <t>=IF(O552&lt;&gt;0,R552/O552,"")</t>
  </si>
  <si>
    <t>=NL("Sum","5802 Value Entry","150 Sales Amount (Expected)","41 Source Type",$C$5,"5 Source No.",$C552,"4 Item Ledger Entry Type",$C$4,"2 Item No.","@@"&amp;$F552,"3 Posting Date",U$9)+NL("Sum","5802 Value Entry","17 Sales Amount (Actual)","41 Source Type",$C$5,"5 Source no.",$C552,"4 Item Ledger Entry Type",$C$4,"2 Item No.","@@"&amp;$F552,"3 Posting Date",U$9)</t>
  </si>
  <si>
    <t>=-NL("Sum","5802 Value Entry","151 Cost Amount (Expected)","41 Source Type",$C$5,"5 Source No.",$C552,"4 Item Ledger Entry Type",$C$4,"2 Item No.","@@"&amp;$F552,"3 Posting Date",U$9)-NL("Sum","5802 Value Entry","43 Cost Amount (Actual)","41 Source Type",$C$5,"5 Source no.",$C552,"4 Item Ledger Entry Type",$C$4,"2 Item No.","@@"&amp;$F552,"3 Posting Date",U$9)</t>
  </si>
  <si>
    <t>=U552-W552</t>
  </si>
  <si>
    <t>=IF(U552&lt;&gt;0,X552/U552,"")</t>
  </si>
  <si>
    <t>=NL("Sum","5802 Value Entry","150 Sales Amount (Expected)","41 Source Type",$C$5,"5 Source No.",$C552,"4 Item Ledger Entry Type",$C$4,"2 Item No.","@@"&amp;$F552,"3 Posting Date",Z$9)+NL("Sum","5802 Value Entry","17 Sales Amount (Actual)","41 Source Type",$C$5,"5 Source no.",$C552,"4 Item Ledger Entry Type",$C$4,"2 Item No.","@@"&amp;$F552,"3 Posting Date",Z$9)</t>
  </si>
  <si>
    <t>=-NL("Sum","5802 Value Entry","151 Cost Amount (Expected)","41 Source Type",$C$5,"5 Source No.",$C552,"4 Item Ledger Entry Type",$C$4,"2 Item No.","@@"&amp;$F552,"3 Posting Date",Z$9)-NL("Sum","5802 Value Entry","43 Cost Amount (Actual)","41 Source Type",$C$5,"5 Source no.",$C552,"4 Item Ledger Entry Type",$C$4,"2 Item No.","@@"&amp;$F552,"3 Posting Date",Z$9)</t>
  </si>
  <si>
    <t>=Z552-AB552</t>
  </si>
  <si>
    <t>=IF(Z552&lt;&gt;0,AC552/Z552,"")</t>
  </si>
  <si>
    <t>=C552</t>
  </si>
  <si>
    <t>=NL("Sum","5802 Value Entry","150 Sales Amount (Expected)","41 Source Type",$C$5,"5 Source No.",$C553,"4 Item Ledger Entry Type",$C$4,"2 Item No.","@@"&amp;$F553,"3 Posting Date",J$9)+NL("Sum","5802 Value Entry","17 Sales Amount (Actual)","41 Source Type",$C$5,"5 Source no.",$C553,"4 Item Ledger Entry Type",$C$4,"2 Item No.","@@"&amp;$F553,"3 Posting Date",J$9)</t>
  </si>
  <si>
    <t>=-NL("Sum","5802 Value Entry","151 Cost Amount (Expected)","41 Source Type",$C$5,"5 Source No.",$C553,"4 Item Ledger Entry Type",$C$4,"2 Item No.","@@"&amp;$F553,"3 Posting Date",J$9)-NL("Sum","5802 Value Entry","43 Cost Amount (Actual)","41 Source Type",$C$5,"5 Source no.",$C553,"4 Item Ledger Entry Type",$C$4,"2 Item No.","@@"&amp;$F553,"3 Posting Date",J$9)</t>
  </si>
  <si>
    <t>=J553-L553</t>
  </si>
  <si>
    <t>=IF(J553&lt;&gt;0,M553/J553,"")</t>
  </si>
  <si>
    <t>=NL("Sum","5802 Value Entry","150 Sales Amount (Expected)","41 Source Type",$C$5,"5 Source No.",$C553,"4 Item Ledger Entry Type",$C$4,"2 Item No.","@@"&amp;$F553,"3 Posting Date",O$9)+NL("Sum","5802 Value Entry","17 Sales Amount (Actual)","41 Source Type",$C$5,"5 Source no.",$C553,"4 Item Ledger Entry Type",$C$4,"2 Item No.","@@"&amp;$F553,"3 Posting Date",O$9)</t>
  </si>
  <si>
    <t>=-NL("Sum","5802 Value Entry","151 Cost Amount (Expected)","41 Source Type",$C$5,"5 Source No.",$C553,"4 Item Ledger Entry Type",$C$4,"2 Item No.","@@"&amp;$F553,"3 Posting Date",O$9)-NL("Sum","5802 Value Entry","43 Cost Amount (Actual)","41 Source Type",$C$5,"5 Source no.",$C553,"4 Item Ledger Entry Type",$C$4,"2 Item No.","@@"&amp;$F553,"3 Posting Date",O$9)</t>
  </si>
  <si>
    <t>=O553-Q553</t>
  </si>
  <si>
    <t>=IF(O553&lt;&gt;0,R553/O553,"")</t>
  </si>
  <si>
    <t>=NL("Sum","5802 Value Entry","150 Sales Amount (Expected)","41 Source Type",$C$5,"5 Source No.",$C553,"4 Item Ledger Entry Type",$C$4,"2 Item No.","@@"&amp;$F553,"3 Posting Date",U$9)+NL("Sum","5802 Value Entry","17 Sales Amount (Actual)","41 Source Type",$C$5,"5 Source no.",$C553,"4 Item Ledger Entry Type",$C$4,"2 Item No.","@@"&amp;$F553,"3 Posting Date",U$9)</t>
  </si>
  <si>
    <t>=-NL("Sum","5802 Value Entry","151 Cost Amount (Expected)","41 Source Type",$C$5,"5 Source No.",$C553,"4 Item Ledger Entry Type",$C$4,"2 Item No.","@@"&amp;$F553,"3 Posting Date",U$9)-NL("Sum","5802 Value Entry","43 Cost Amount (Actual)","41 Source Type",$C$5,"5 Source no.",$C553,"4 Item Ledger Entry Type",$C$4,"2 Item No.","@@"&amp;$F553,"3 Posting Date",U$9)</t>
  </si>
  <si>
    <t>=U553-W553</t>
  </si>
  <si>
    <t>=IF(U553&lt;&gt;0,X553/U553,"")</t>
  </si>
  <si>
    <t>=NL("Sum","5802 Value Entry","150 Sales Amount (Expected)","41 Source Type",$C$5,"5 Source No.",$C553,"4 Item Ledger Entry Type",$C$4,"2 Item No.","@@"&amp;$F553,"3 Posting Date",Z$9)+NL("Sum","5802 Value Entry","17 Sales Amount (Actual)","41 Source Type",$C$5,"5 Source no.",$C553,"4 Item Ledger Entry Type",$C$4,"2 Item No.","@@"&amp;$F553,"3 Posting Date",Z$9)</t>
  </si>
  <si>
    <t>=-NL("Sum","5802 Value Entry","151 Cost Amount (Expected)","41 Source Type",$C$5,"5 Source No.",$C553,"4 Item Ledger Entry Type",$C$4,"2 Item No.","@@"&amp;$F553,"3 Posting Date",Z$9)-NL("Sum","5802 Value Entry","43 Cost Amount (Actual)","41 Source Type",$C$5,"5 Source no.",$C553,"4 Item Ledger Entry Type",$C$4,"2 Item No.","@@"&amp;$F553,"3 Posting Date",Z$9)</t>
  </si>
  <si>
    <t>=Z553-AB553</t>
  </si>
  <si>
    <t>=IF(Z553&lt;&gt;0,AC553/Z553,"")</t>
  </si>
  <si>
    <t>=C553</t>
  </si>
  <si>
    <t>=NL("Sum","5802 Value Entry","150 Sales Amount (Expected)","41 Source Type",$C$5,"5 Source No.",$C554,"4 Item Ledger Entry Type",$C$4,"2 Item No.","@@"&amp;$F554,"3 Posting Date",J$9)+NL("Sum","5802 Value Entry","17 Sales Amount (Actual)","41 Source Type",$C$5,"5 Source no.",$C554,"4 Item Ledger Entry Type",$C$4,"2 Item No.","@@"&amp;$F554,"3 Posting Date",J$9)</t>
  </si>
  <si>
    <t>=-NL("Sum","5802 Value Entry","151 Cost Amount (Expected)","41 Source Type",$C$5,"5 Source No.",$C554,"4 Item Ledger Entry Type",$C$4,"2 Item No.","@@"&amp;$F554,"3 Posting Date",J$9)-NL("Sum","5802 Value Entry","43 Cost Amount (Actual)","41 Source Type",$C$5,"5 Source no.",$C554,"4 Item Ledger Entry Type",$C$4,"2 Item No.","@@"&amp;$F554,"3 Posting Date",J$9)</t>
  </si>
  <si>
    <t>=J554-L554</t>
  </si>
  <si>
    <t>=IF(J554&lt;&gt;0,M554/J554,"")</t>
  </si>
  <si>
    <t>=NL("Sum","5802 Value Entry","150 Sales Amount (Expected)","41 Source Type",$C$5,"5 Source No.",$C554,"4 Item Ledger Entry Type",$C$4,"2 Item No.","@@"&amp;$F554,"3 Posting Date",O$9)+NL("Sum","5802 Value Entry","17 Sales Amount (Actual)","41 Source Type",$C$5,"5 Source no.",$C554,"4 Item Ledger Entry Type",$C$4,"2 Item No.","@@"&amp;$F554,"3 Posting Date",O$9)</t>
  </si>
  <si>
    <t>=-NL("Sum","5802 Value Entry","151 Cost Amount (Expected)","41 Source Type",$C$5,"5 Source No.",$C554,"4 Item Ledger Entry Type",$C$4,"2 Item No.","@@"&amp;$F554,"3 Posting Date",O$9)-NL("Sum","5802 Value Entry","43 Cost Amount (Actual)","41 Source Type",$C$5,"5 Source no.",$C554,"4 Item Ledger Entry Type",$C$4,"2 Item No.","@@"&amp;$F554,"3 Posting Date",O$9)</t>
  </si>
  <si>
    <t>=O554-Q554</t>
  </si>
  <si>
    <t>=IF(O554&lt;&gt;0,R554/O554,"")</t>
  </si>
  <si>
    <t>=NL("Sum","5802 Value Entry","150 Sales Amount (Expected)","41 Source Type",$C$5,"5 Source No.",$C554,"4 Item Ledger Entry Type",$C$4,"2 Item No.","@@"&amp;$F554,"3 Posting Date",U$9)+NL("Sum","5802 Value Entry","17 Sales Amount (Actual)","41 Source Type",$C$5,"5 Source no.",$C554,"4 Item Ledger Entry Type",$C$4,"2 Item No.","@@"&amp;$F554,"3 Posting Date",U$9)</t>
  </si>
  <si>
    <t>=-NL("Sum","5802 Value Entry","151 Cost Amount (Expected)","41 Source Type",$C$5,"5 Source No.",$C554,"4 Item Ledger Entry Type",$C$4,"2 Item No.","@@"&amp;$F554,"3 Posting Date",U$9)-NL("Sum","5802 Value Entry","43 Cost Amount (Actual)","41 Source Type",$C$5,"5 Source no.",$C554,"4 Item Ledger Entry Type",$C$4,"2 Item No.","@@"&amp;$F554,"3 Posting Date",U$9)</t>
  </si>
  <si>
    <t>=U554-W554</t>
  </si>
  <si>
    <t>=IF(U554&lt;&gt;0,X554/U554,"")</t>
  </si>
  <si>
    <t>=NL("Sum","5802 Value Entry","150 Sales Amount (Expected)","41 Source Type",$C$5,"5 Source No.",$C554,"4 Item Ledger Entry Type",$C$4,"2 Item No.","@@"&amp;$F554,"3 Posting Date",Z$9)+NL("Sum","5802 Value Entry","17 Sales Amount (Actual)","41 Source Type",$C$5,"5 Source no.",$C554,"4 Item Ledger Entry Type",$C$4,"2 Item No.","@@"&amp;$F554,"3 Posting Date",Z$9)</t>
  </si>
  <si>
    <t>=-NL("Sum","5802 Value Entry","151 Cost Amount (Expected)","41 Source Type",$C$5,"5 Source No.",$C554,"4 Item Ledger Entry Type",$C$4,"2 Item No.","@@"&amp;$F554,"3 Posting Date",Z$9)-NL("Sum","5802 Value Entry","43 Cost Amount (Actual)","41 Source Type",$C$5,"5 Source no.",$C554,"4 Item Ledger Entry Type",$C$4,"2 Item No.","@@"&amp;$F554,"3 Posting Date",Z$9)</t>
  </si>
  <si>
    <t>=Z554-AB554</t>
  </si>
  <si>
    <t>=IF(Z554&lt;&gt;0,AC554/Z554,"")</t>
  </si>
  <si>
    <t>=C554</t>
  </si>
  <si>
    <t>=NL("Sum","5802 Value Entry","150 Sales Amount (Expected)","41 Source Type",$C$5,"5 Source No.",$C555,"4 Item Ledger Entry Type",$C$4,"2 Item No.","@@"&amp;$F555,"3 Posting Date",J$9)+NL("Sum","5802 Value Entry","17 Sales Amount (Actual)","41 Source Type",$C$5,"5 Source no.",$C555,"4 Item Ledger Entry Type",$C$4,"2 Item No.","@@"&amp;$F555,"3 Posting Date",J$9)</t>
  </si>
  <si>
    <t>=-NL("Sum","5802 Value Entry","151 Cost Amount (Expected)","41 Source Type",$C$5,"5 Source No.",$C555,"4 Item Ledger Entry Type",$C$4,"2 Item No.","@@"&amp;$F555,"3 Posting Date",J$9)-NL("Sum","5802 Value Entry","43 Cost Amount (Actual)","41 Source Type",$C$5,"5 Source no.",$C555,"4 Item Ledger Entry Type",$C$4,"2 Item No.","@@"&amp;$F555,"3 Posting Date",J$9)</t>
  </si>
  <si>
    <t>=J555-L555</t>
  </si>
  <si>
    <t>=IF(J555&lt;&gt;0,M555/J555,"")</t>
  </si>
  <si>
    <t>=NL("Sum","5802 Value Entry","150 Sales Amount (Expected)","41 Source Type",$C$5,"5 Source No.",$C555,"4 Item Ledger Entry Type",$C$4,"2 Item No.","@@"&amp;$F555,"3 Posting Date",O$9)+NL("Sum","5802 Value Entry","17 Sales Amount (Actual)","41 Source Type",$C$5,"5 Source no.",$C555,"4 Item Ledger Entry Type",$C$4,"2 Item No.","@@"&amp;$F555,"3 Posting Date",O$9)</t>
  </si>
  <si>
    <t>=-NL("Sum","5802 Value Entry","151 Cost Amount (Expected)","41 Source Type",$C$5,"5 Source No.",$C555,"4 Item Ledger Entry Type",$C$4,"2 Item No.","@@"&amp;$F555,"3 Posting Date",O$9)-NL("Sum","5802 Value Entry","43 Cost Amount (Actual)","41 Source Type",$C$5,"5 Source no.",$C555,"4 Item Ledger Entry Type",$C$4,"2 Item No.","@@"&amp;$F555,"3 Posting Date",O$9)</t>
  </si>
  <si>
    <t>=O555-Q555</t>
  </si>
  <si>
    <t>=IF(O555&lt;&gt;0,R555/O555,"")</t>
  </si>
  <si>
    <t>=NL("Sum","5802 Value Entry","150 Sales Amount (Expected)","41 Source Type",$C$5,"5 Source No.",$C555,"4 Item Ledger Entry Type",$C$4,"2 Item No.","@@"&amp;$F555,"3 Posting Date",U$9)+NL("Sum","5802 Value Entry","17 Sales Amount (Actual)","41 Source Type",$C$5,"5 Source no.",$C555,"4 Item Ledger Entry Type",$C$4,"2 Item No.","@@"&amp;$F555,"3 Posting Date",U$9)</t>
  </si>
  <si>
    <t>=-NL("Sum","5802 Value Entry","151 Cost Amount (Expected)","41 Source Type",$C$5,"5 Source No.",$C555,"4 Item Ledger Entry Type",$C$4,"2 Item No.","@@"&amp;$F555,"3 Posting Date",U$9)-NL("Sum","5802 Value Entry","43 Cost Amount (Actual)","41 Source Type",$C$5,"5 Source no.",$C555,"4 Item Ledger Entry Type",$C$4,"2 Item No.","@@"&amp;$F555,"3 Posting Date",U$9)</t>
  </si>
  <si>
    <t>=U555-W555</t>
  </si>
  <si>
    <t>=IF(U555&lt;&gt;0,X555/U555,"")</t>
  </si>
  <si>
    <t>=NL("Sum","5802 Value Entry","150 Sales Amount (Expected)","41 Source Type",$C$5,"5 Source No.",$C555,"4 Item Ledger Entry Type",$C$4,"2 Item No.","@@"&amp;$F555,"3 Posting Date",Z$9)+NL("Sum","5802 Value Entry","17 Sales Amount (Actual)","41 Source Type",$C$5,"5 Source no.",$C555,"4 Item Ledger Entry Type",$C$4,"2 Item No.","@@"&amp;$F555,"3 Posting Date",Z$9)</t>
  </si>
  <si>
    <t>=-NL("Sum","5802 Value Entry","151 Cost Amount (Expected)","41 Source Type",$C$5,"5 Source No.",$C555,"4 Item Ledger Entry Type",$C$4,"2 Item No.","@@"&amp;$F555,"3 Posting Date",Z$9)-NL("Sum","5802 Value Entry","43 Cost Amount (Actual)","41 Source Type",$C$5,"5 Source no.",$C555,"4 Item Ledger Entry Type",$C$4,"2 Item No.","@@"&amp;$F555,"3 Posting Date",Z$9)</t>
  </si>
  <si>
    <t>=Z555-AB555</t>
  </si>
  <si>
    <t>=IF(Z555&lt;&gt;0,AC555/Z555,"")</t>
  </si>
  <si>
    <t>=C555</t>
  </si>
  <si>
    <t>=NL("Sum","5802 Value Entry","150 Sales Amount (Expected)","41 Source Type",$C$5,"5 Source No.",$C556,"4 Item Ledger Entry Type",$C$4,"2 Item No.","@@"&amp;$F556,"3 Posting Date",J$9)+NL("Sum","5802 Value Entry","17 Sales Amount (Actual)","41 Source Type",$C$5,"5 Source no.",$C556,"4 Item Ledger Entry Type",$C$4,"2 Item No.","@@"&amp;$F556,"3 Posting Date",J$9)</t>
  </si>
  <si>
    <t>=-NL("Sum","5802 Value Entry","151 Cost Amount (Expected)","41 Source Type",$C$5,"5 Source No.",$C556,"4 Item Ledger Entry Type",$C$4,"2 Item No.","@@"&amp;$F556,"3 Posting Date",J$9)-NL("Sum","5802 Value Entry","43 Cost Amount (Actual)","41 Source Type",$C$5,"5 Source no.",$C556,"4 Item Ledger Entry Type",$C$4,"2 Item No.","@@"&amp;$F556,"3 Posting Date",J$9)</t>
  </si>
  <si>
    <t>=J556-L556</t>
  </si>
  <si>
    <t>=IF(J556&lt;&gt;0,M556/J556,"")</t>
  </si>
  <si>
    <t>=NL("Sum","5802 Value Entry","150 Sales Amount (Expected)","41 Source Type",$C$5,"5 Source No.",$C556,"4 Item Ledger Entry Type",$C$4,"2 Item No.","@@"&amp;$F556,"3 Posting Date",O$9)+NL("Sum","5802 Value Entry","17 Sales Amount (Actual)","41 Source Type",$C$5,"5 Source no.",$C556,"4 Item Ledger Entry Type",$C$4,"2 Item No.","@@"&amp;$F556,"3 Posting Date",O$9)</t>
  </si>
  <si>
    <t>=-NL("Sum","5802 Value Entry","151 Cost Amount (Expected)","41 Source Type",$C$5,"5 Source No.",$C556,"4 Item Ledger Entry Type",$C$4,"2 Item No.","@@"&amp;$F556,"3 Posting Date",O$9)-NL("Sum","5802 Value Entry","43 Cost Amount (Actual)","41 Source Type",$C$5,"5 Source no.",$C556,"4 Item Ledger Entry Type",$C$4,"2 Item No.","@@"&amp;$F556,"3 Posting Date",O$9)</t>
  </si>
  <si>
    <t>=O556-Q556</t>
  </si>
  <si>
    <t>=IF(O556&lt;&gt;0,R556/O556,"")</t>
  </si>
  <si>
    <t>=NL("Sum","5802 Value Entry","150 Sales Amount (Expected)","41 Source Type",$C$5,"5 Source No.",$C556,"4 Item Ledger Entry Type",$C$4,"2 Item No.","@@"&amp;$F556,"3 Posting Date",U$9)+NL("Sum","5802 Value Entry","17 Sales Amount (Actual)","41 Source Type",$C$5,"5 Source no.",$C556,"4 Item Ledger Entry Type",$C$4,"2 Item No.","@@"&amp;$F556,"3 Posting Date",U$9)</t>
  </si>
  <si>
    <t>=-NL("Sum","5802 Value Entry","151 Cost Amount (Expected)","41 Source Type",$C$5,"5 Source No.",$C556,"4 Item Ledger Entry Type",$C$4,"2 Item No.","@@"&amp;$F556,"3 Posting Date",U$9)-NL("Sum","5802 Value Entry","43 Cost Amount (Actual)","41 Source Type",$C$5,"5 Source no.",$C556,"4 Item Ledger Entry Type",$C$4,"2 Item No.","@@"&amp;$F556,"3 Posting Date",U$9)</t>
  </si>
  <si>
    <t>=U556-W556</t>
  </si>
  <si>
    <t>=IF(U556&lt;&gt;0,X556/U556,"")</t>
  </si>
  <si>
    <t>=NL("Sum","5802 Value Entry","150 Sales Amount (Expected)","41 Source Type",$C$5,"5 Source No.",$C556,"4 Item Ledger Entry Type",$C$4,"2 Item No.","@@"&amp;$F556,"3 Posting Date",Z$9)+NL("Sum","5802 Value Entry","17 Sales Amount (Actual)","41 Source Type",$C$5,"5 Source no.",$C556,"4 Item Ledger Entry Type",$C$4,"2 Item No.","@@"&amp;$F556,"3 Posting Date",Z$9)</t>
  </si>
  <si>
    <t>=-NL("Sum","5802 Value Entry","151 Cost Amount (Expected)","41 Source Type",$C$5,"5 Source No.",$C556,"4 Item Ledger Entry Type",$C$4,"2 Item No.","@@"&amp;$F556,"3 Posting Date",Z$9)-NL("Sum","5802 Value Entry","43 Cost Amount (Actual)","41 Source Type",$C$5,"5 Source no.",$C556,"4 Item Ledger Entry Type",$C$4,"2 Item No.","@@"&amp;$F556,"3 Posting Date",Z$9)</t>
  </si>
  <si>
    <t>=Z556-AB556</t>
  </si>
  <si>
    <t>=IF(Z556&lt;&gt;0,AC556/Z556,"")</t>
  </si>
  <si>
    <t>=C556</t>
  </si>
  <si>
    <t>=NL("Sum","5802 Value Entry","150 Sales Amount (Expected)","41 Source Type",$C$5,"5 Source No.",$C557,"4 Item Ledger Entry Type",$C$4,"2 Item No.","@@"&amp;$F557,"3 Posting Date",J$9)+NL("Sum","5802 Value Entry","17 Sales Amount (Actual)","41 Source Type",$C$5,"5 Source no.",$C557,"4 Item Ledger Entry Type",$C$4,"2 Item No.","@@"&amp;$F557,"3 Posting Date",J$9)</t>
  </si>
  <si>
    <t>=-NL("Sum","5802 Value Entry","151 Cost Amount (Expected)","41 Source Type",$C$5,"5 Source No.",$C557,"4 Item Ledger Entry Type",$C$4,"2 Item No.","@@"&amp;$F557,"3 Posting Date",J$9)-NL("Sum","5802 Value Entry","43 Cost Amount (Actual)","41 Source Type",$C$5,"5 Source no.",$C557,"4 Item Ledger Entry Type",$C$4,"2 Item No.","@@"&amp;$F557,"3 Posting Date",J$9)</t>
  </si>
  <si>
    <t>=J557-L557</t>
  </si>
  <si>
    <t>=IF(J557&lt;&gt;0,M557/J557,"")</t>
  </si>
  <si>
    <t>=NL("Sum","5802 Value Entry","150 Sales Amount (Expected)","41 Source Type",$C$5,"5 Source No.",$C557,"4 Item Ledger Entry Type",$C$4,"2 Item No.","@@"&amp;$F557,"3 Posting Date",O$9)+NL("Sum","5802 Value Entry","17 Sales Amount (Actual)","41 Source Type",$C$5,"5 Source no.",$C557,"4 Item Ledger Entry Type",$C$4,"2 Item No.","@@"&amp;$F557,"3 Posting Date",O$9)</t>
  </si>
  <si>
    <t>=-NL("Sum","5802 Value Entry","151 Cost Amount (Expected)","41 Source Type",$C$5,"5 Source No.",$C557,"4 Item Ledger Entry Type",$C$4,"2 Item No.","@@"&amp;$F557,"3 Posting Date",O$9)-NL("Sum","5802 Value Entry","43 Cost Amount (Actual)","41 Source Type",$C$5,"5 Source no.",$C557,"4 Item Ledger Entry Type",$C$4,"2 Item No.","@@"&amp;$F557,"3 Posting Date",O$9)</t>
  </si>
  <si>
    <t>=O557-Q557</t>
  </si>
  <si>
    <t>=IF(O557&lt;&gt;0,R557/O557,"")</t>
  </si>
  <si>
    <t>=NL("Sum","5802 Value Entry","150 Sales Amount (Expected)","41 Source Type",$C$5,"5 Source No.",$C557,"4 Item Ledger Entry Type",$C$4,"2 Item No.","@@"&amp;$F557,"3 Posting Date",U$9)+NL("Sum","5802 Value Entry","17 Sales Amount (Actual)","41 Source Type",$C$5,"5 Source no.",$C557,"4 Item Ledger Entry Type",$C$4,"2 Item No.","@@"&amp;$F557,"3 Posting Date",U$9)</t>
  </si>
  <si>
    <t>=-NL("Sum","5802 Value Entry","151 Cost Amount (Expected)","41 Source Type",$C$5,"5 Source No.",$C557,"4 Item Ledger Entry Type",$C$4,"2 Item No.","@@"&amp;$F557,"3 Posting Date",U$9)-NL("Sum","5802 Value Entry","43 Cost Amount (Actual)","41 Source Type",$C$5,"5 Source no.",$C557,"4 Item Ledger Entry Type",$C$4,"2 Item No.","@@"&amp;$F557,"3 Posting Date",U$9)</t>
  </si>
  <si>
    <t>=U557-W557</t>
  </si>
  <si>
    <t>=IF(U557&lt;&gt;0,X557/U557,"")</t>
  </si>
  <si>
    <t>=NL("Sum","5802 Value Entry","150 Sales Amount (Expected)","41 Source Type",$C$5,"5 Source No.",$C557,"4 Item Ledger Entry Type",$C$4,"2 Item No.","@@"&amp;$F557,"3 Posting Date",Z$9)+NL("Sum","5802 Value Entry","17 Sales Amount (Actual)","41 Source Type",$C$5,"5 Source no.",$C557,"4 Item Ledger Entry Type",$C$4,"2 Item No.","@@"&amp;$F557,"3 Posting Date",Z$9)</t>
  </si>
  <si>
    <t>=-NL("Sum","5802 Value Entry","151 Cost Amount (Expected)","41 Source Type",$C$5,"5 Source No.",$C557,"4 Item Ledger Entry Type",$C$4,"2 Item No.","@@"&amp;$F557,"3 Posting Date",Z$9)-NL("Sum","5802 Value Entry","43 Cost Amount (Actual)","41 Source Type",$C$5,"5 Source no.",$C557,"4 Item Ledger Entry Type",$C$4,"2 Item No.","@@"&amp;$F557,"3 Posting Date",Z$9)</t>
  </si>
  <si>
    <t>=Z557-AB557</t>
  </si>
  <si>
    <t>=IF(Z557&lt;&gt;0,AC557/Z557,"")</t>
  </si>
  <si>
    <t>=C557</t>
  </si>
  <si>
    <t>=NL("Sum","5802 Value Entry","150 Sales Amount (Expected)","41 Source Type",$C$5,"5 Source No.",$C558,"4 Item Ledger Entry Type",$C$4,"2 Item No.","@@"&amp;$F558,"3 Posting Date",J$9)+NL("Sum","5802 Value Entry","17 Sales Amount (Actual)","41 Source Type",$C$5,"5 Source no.",$C558,"4 Item Ledger Entry Type",$C$4,"2 Item No.","@@"&amp;$F558,"3 Posting Date",J$9)</t>
  </si>
  <si>
    <t>=-NL("Sum","5802 Value Entry","151 Cost Amount (Expected)","41 Source Type",$C$5,"5 Source No.",$C558,"4 Item Ledger Entry Type",$C$4,"2 Item No.","@@"&amp;$F558,"3 Posting Date",J$9)-NL("Sum","5802 Value Entry","43 Cost Amount (Actual)","41 Source Type",$C$5,"5 Source no.",$C558,"4 Item Ledger Entry Type",$C$4,"2 Item No.","@@"&amp;$F558,"3 Posting Date",J$9)</t>
  </si>
  <si>
    <t>=J558-L558</t>
  </si>
  <si>
    <t>=IF(J558&lt;&gt;0,M558/J558,"")</t>
  </si>
  <si>
    <t>=NL("Sum","5802 Value Entry","150 Sales Amount (Expected)","41 Source Type",$C$5,"5 Source No.",$C558,"4 Item Ledger Entry Type",$C$4,"2 Item No.","@@"&amp;$F558,"3 Posting Date",O$9)+NL("Sum","5802 Value Entry","17 Sales Amount (Actual)","41 Source Type",$C$5,"5 Source no.",$C558,"4 Item Ledger Entry Type",$C$4,"2 Item No.","@@"&amp;$F558,"3 Posting Date",O$9)</t>
  </si>
  <si>
    <t>=-NL("Sum","5802 Value Entry","151 Cost Amount (Expected)","41 Source Type",$C$5,"5 Source No.",$C558,"4 Item Ledger Entry Type",$C$4,"2 Item No.","@@"&amp;$F558,"3 Posting Date",O$9)-NL("Sum","5802 Value Entry","43 Cost Amount (Actual)","41 Source Type",$C$5,"5 Source no.",$C558,"4 Item Ledger Entry Type",$C$4,"2 Item No.","@@"&amp;$F558,"3 Posting Date",O$9)</t>
  </si>
  <si>
    <t>=O558-Q558</t>
  </si>
  <si>
    <t>=IF(O558&lt;&gt;0,R558/O558,"")</t>
  </si>
  <si>
    <t>=NL("Sum","5802 Value Entry","150 Sales Amount (Expected)","41 Source Type",$C$5,"5 Source No.",$C558,"4 Item Ledger Entry Type",$C$4,"2 Item No.","@@"&amp;$F558,"3 Posting Date",U$9)+NL("Sum","5802 Value Entry","17 Sales Amount (Actual)","41 Source Type",$C$5,"5 Source no.",$C558,"4 Item Ledger Entry Type",$C$4,"2 Item No.","@@"&amp;$F558,"3 Posting Date",U$9)</t>
  </si>
  <si>
    <t>=-NL("Sum","5802 Value Entry","151 Cost Amount (Expected)","41 Source Type",$C$5,"5 Source No.",$C558,"4 Item Ledger Entry Type",$C$4,"2 Item No.","@@"&amp;$F558,"3 Posting Date",U$9)-NL("Sum","5802 Value Entry","43 Cost Amount (Actual)","41 Source Type",$C$5,"5 Source no.",$C558,"4 Item Ledger Entry Type",$C$4,"2 Item No.","@@"&amp;$F558,"3 Posting Date",U$9)</t>
  </si>
  <si>
    <t>=U558-W558</t>
  </si>
  <si>
    <t>=IF(U558&lt;&gt;0,X558/U558,"")</t>
  </si>
  <si>
    <t>=NL("Sum","5802 Value Entry","150 Sales Amount (Expected)","41 Source Type",$C$5,"5 Source No.",$C558,"4 Item Ledger Entry Type",$C$4,"2 Item No.","@@"&amp;$F558,"3 Posting Date",Z$9)+NL("Sum","5802 Value Entry","17 Sales Amount (Actual)","41 Source Type",$C$5,"5 Source no.",$C558,"4 Item Ledger Entry Type",$C$4,"2 Item No.","@@"&amp;$F558,"3 Posting Date",Z$9)</t>
  </si>
  <si>
    <t>=-NL("Sum","5802 Value Entry","151 Cost Amount (Expected)","41 Source Type",$C$5,"5 Source No.",$C558,"4 Item Ledger Entry Type",$C$4,"2 Item No.","@@"&amp;$F558,"3 Posting Date",Z$9)-NL("Sum","5802 Value Entry","43 Cost Amount (Actual)","41 Source Type",$C$5,"5 Source no.",$C558,"4 Item Ledger Entry Type",$C$4,"2 Item No.","@@"&amp;$F558,"3 Posting Date",Z$9)</t>
  </si>
  <si>
    <t>=Z558-AB558</t>
  </si>
  <si>
    <t>=IF(Z558&lt;&gt;0,AC558/Z558,"")</t>
  </si>
  <si>
    <t>=C558</t>
  </si>
  <si>
    <t>=NL("Sum","5802 Value Entry","150 Sales Amount (Expected)","41 Source Type",$C$5,"5 Source No.",$C559,"4 Item Ledger Entry Type",$C$4,"2 Item No.","@@"&amp;$F559,"3 Posting Date",J$9)+NL("Sum","5802 Value Entry","17 Sales Amount (Actual)","41 Source Type",$C$5,"5 Source no.",$C559,"4 Item Ledger Entry Type",$C$4,"2 Item No.","@@"&amp;$F559,"3 Posting Date",J$9)</t>
  </si>
  <si>
    <t>=-NL("Sum","5802 Value Entry","151 Cost Amount (Expected)","41 Source Type",$C$5,"5 Source No.",$C559,"4 Item Ledger Entry Type",$C$4,"2 Item No.","@@"&amp;$F559,"3 Posting Date",J$9)-NL("Sum","5802 Value Entry","43 Cost Amount (Actual)","41 Source Type",$C$5,"5 Source no.",$C559,"4 Item Ledger Entry Type",$C$4,"2 Item No.","@@"&amp;$F559,"3 Posting Date",J$9)</t>
  </si>
  <si>
    <t>=J559-L559</t>
  </si>
  <si>
    <t>=IF(J559&lt;&gt;0,M559/J559,"")</t>
  </si>
  <si>
    <t>=NL("Sum","5802 Value Entry","150 Sales Amount (Expected)","41 Source Type",$C$5,"5 Source No.",$C559,"4 Item Ledger Entry Type",$C$4,"2 Item No.","@@"&amp;$F559,"3 Posting Date",O$9)+NL("Sum","5802 Value Entry","17 Sales Amount (Actual)","41 Source Type",$C$5,"5 Source no.",$C559,"4 Item Ledger Entry Type",$C$4,"2 Item No.","@@"&amp;$F559,"3 Posting Date",O$9)</t>
  </si>
  <si>
    <t>=-NL("Sum","5802 Value Entry","151 Cost Amount (Expected)","41 Source Type",$C$5,"5 Source No.",$C559,"4 Item Ledger Entry Type",$C$4,"2 Item No.","@@"&amp;$F559,"3 Posting Date",O$9)-NL("Sum","5802 Value Entry","43 Cost Amount (Actual)","41 Source Type",$C$5,"5 Source no.",$C559,"4 Item Ledger Entry Type",$C$4,"2 Item No.","@@"&amp;$F559,"3 Posting Date",O$9)</t>
  </si>
  <si>
    <t>=O559-Q559</t>
  </si>
  <si>
    <t>=IF(O559&lt;&gt;0,R559/O559,"")</t>
  </si>
  <si>
    <t>=NL("Sum","5802 Value Entry","150 Sales Amount (Expected)","41 Source Type",$C$5,"5 Source No.",$C559,"4 Item Ledger Entry Type",$C$4,"2 Item No.","@@"&amp;$F559,"3 Posting Date",U$9)+NL("Sum","5802 Value Entry","17 Sales Amount (Actual)","41 Source Type",$C$5,"5 Source no.",$C559,"4 Item Ledger Entry Type",$C$4,"2 Item No.","@@"&amp;$F559,"3 Posting Date",U$9)</t>
  </si>
  <si>
    <t>=-NL("Sum","5802 Value Entry","151 Cost Amount (Expected)","41 Source Type",$C$5,"5 Source No.",$C559,"4 Item Ledger Entry Type",$C$4,"2 Item No.","@@"&amp;$F559,"3 Posting Date",U$9)-NL("Sum","5802 Value Entry","43 Cost Amount (Actual)","41 Source Type",$C$5,"5 Source no.",$C559,"4 Item Ledger Entry Type",$C$4,"2 Item No.","@@"&amp;$F559,"3 Posting Date",U$9)</t>
  </si>
  <si>
    <t>=U559-W559</t>
  </si>
  <si>
    <t>=IF(U559&lt;&gt;0,X559/U559,"")</t>
  </si>
  <si>
    <t>=NL("Sum","5802 Value Entry","150 Sales Amount (Expected)","41 Source Type",$C$5,"5 Source No.",$C559,"4 Item Ledger Entry Type",$C$4,"2 Item No.","@@"&amp;$F559,"3 Posting Date",Z$9)+NL("Sum","5802 Value Entry","17 Sales Amount (Actual)","41 Source Type",$C$5,"5 Source no.",$C559,"4 Item Ledger Entry Type",$C$4,"2 Item No.","@@"&amp;$F559,"3 Posting Date",Z$9)</t>
  </si>
  <si>
    <t>=-NL("Sum","5802 Value Entry","151 Cost Amount (Expected)","41 Source Type",$C$5,"5 Source No.",$C559,"4 Item Ledger Entry Type",$C$4,"2 Item No.","@@"&amp;$F559,"3 Posting Date",Z$9)-NL("Sum","5802 Value Entry","43 Cost Amount (Actual)","41 Source Type",$C$5,"5 Source no.",$C559,"4 Item Ledger Entry Type",$C$4,"2 Item No.","@@"&amp;$F559,"3 Posting Date",Z$9)</t>
  </si>
  <si>
    <t>=Z559-AB559</t>
  </si>
  <si>
    <t>=IF(Z559&lt;&gt;0,AC559/Z559,"")</t>
  </si>
  <si>
    <t>=C559</t>
  </si>
  <si>
    <t>=NL("Sum","5802 Value Entry","150 Sales Amount (Expected)","41 Source Type",$C$5,"5 Source No.",$C560,"4 Item Ledger Entry Type",$C$4,"2 Item No.","@@"&amp;$F560,"3 Posting Date",J$9)+NL("Sum","5802 Value Entry","17 Sales Amount (Actual)","41 Source Type",$C$5,"5 Source no.",$C560,"4 Item Ledger Entry Type",$C$4,"2 Item No.","@@"&amp;$F560,"3 Posting Date",J$9)</t>
  </si>
  <si>
    <t>=-NL("Sum","5802 Value Entry","151 Cost Amount (Expected)","41 Source Type",$C$5,"5 Source No.",$C560,"4 Item Ledger Entry Type",$C$4,"2 Item No.","@@"&amp;$F560,"3 Posting Date",J$9)-NL("Sum","5802 Value Entry","43 Cost Amount (Actual)","41 Source Type",$C$5,"5 Source no.",$C560,"4 Item Ledger Entry Type",$C$4,"2 Item No.","@@"&amp;$F560,"3 Posting Date",J$9)</t>
  </si>
  <si>
    <t>=J560-L560</t>
  </si>
  <si>
    <t>=IF(J560&lt;&gt;0,M560/J560,"")</t>
  </si>
  <si>
    <t>=NL("Sum","5802 Value Entry","150 Sales Amount (Expected)","41 Source Type",$C$5,"5 Source No.",$C560,"4 Item Ledger Entry Type",$C$4,"2 Item No.","@@"&amp;$F560,"3 Posting Date",O$9)+NL("Sum","5802 Value Entry","17 Sales Amount (Actual)","41 Source Type",$C$5,"5 Source no.",$C560,"4 Item Ledger Entry Type",$C$4,"2 Item No.","@@"&amp;$F560,"3 Posting Date",O$9)</t>
  </si>
  <si>
    <t>=-NL("Sum","5802 Value Entry","151 Cost Amount (Expected)","41 Source Type",$C$5,"5 Source No.",$C560,"4 Item Ledger Entry Type",$C$4,"2 Item No.","@@"&amp;$F560,"3 Posting Date",O$9)-NL("Sum","5802 Value Entry","43 Cost Amount (Actual)","41 Source Type",$C$5,"5 Source no.",$C560,"4 Item Ledger Entry Type",$C$4,"2 Item No.","@@"&amp;$F560,"3 Posting Date",O$9)</t>
  </si>
  <si>
    <t>=O560-Q560</t>
  </si>
  <si>
    <t>=IF(O560&lt;&gt;0,R560/O560,"")</t>
  </si>
  <si>
    <t>=NL("Sum","5802 Value Entry","150 Sales Amount (Expected)","41 Source Type",$C$5,"5 Source No.",$C560,"4 Item Ledger Entry Type",$C$4,"2 Item No.","@@"&amp;$F560,"3 Posting Date",U$9)+NL("Sum","5802 Value Entry","17 Sales Amount (Actual)","41 Source Type",$C$5,"5 Source no.",$C560,"4 Item Ledger Entry Type",$C$4,"2 Item No.","@@"&amp;$F560,"3 Posting Date",U$9)</t>
  </si>
  <si>
    <t>=-NL("Sum","5802 Value Entry","151 Cost Amount (Expected)","41 Source Type",$C$5,"5 Source No.",$C560,"4 Item Ledger Entry Type",$C$4,"2 Item No.","@@"&amp;$F560,"3 Posting Date",U$9)-NL("Sum","5802 Value Entry","43 Cost Amount (Actual)","41 Source Type",$C$5,"5 Source no.",$C560,"4 Item Ledger Entry Type",$C$4,"2 Item No.","@@"&amp;$F560,"3 Posting Date",U$9)</t>
  </si>
  <si>
    <t>=U560-W560</t>
  </si>
  <si>
    <t>=IF(U560&lt;&gt;0,X560/U560,"")</t>
  </si>
  <si>
    <t>=NL("Sum","5802 Value Entry","150 Sales Amount (Expected)","41 Source Type",$C$5,"5 Source No.",$C560,"4 Item Ledger Entry Type",$C$4,"2 Item No.","@@"&amp;$F560,"3 Posting Date",Z$9)+NL("Sum","5802 Value Entry","17 Sales Amount (Actual)","41 Source Type",$C$5,"5 Source no.",$C560,"4 Item Ledger Entry Type",$C$4,"2 Item No.","@@"&amp;$F560,"3 Posting Date",Z$9)</t>
  </si>
  <si>
    <t>=-NL("Sum","5802 Value Entry","151 Cost Amount (Expected)","41 Source Type",$C$5,"5 Source No.",$C560,"4 Item Ledger Entry Type",$C$4,"2 Item No.","@@"&amp;$F560,"3 Posting Date",Z$9)-NL("Sum","5802 Value Entry","43 Cost Amount (Actual)","41 Source Type",$C$5,"5 Source no.",$C560,"4 Item Ledger Entry Type",$C$4,"2 Item No.","@@"&amp;$F560,"3 Posting Date",Z$9)</t>
  </si>
  <si>
    <t>=Z560-AB560</t>
  </si>
  <si>
    <t>=IF(Z560&lt;&gt;0,AC560/Z560,"")</t>
  </si>
  <si>
    <t>=C560</t>
  </si>
  <si>
    <t>=NL("Sum","5802 Value Entry","150 Sales Amount (Expected)","41 Source Type",$C$5,"5 Source No.",$C561,"4 Item Ledger Entry Type",$C$4,"2 Item No.","@@"&amp;$F561,"3 Posting Date",J$9)+NL("Sum","5802 Value Entry","17 Sales Amount (Actual)","41 Source Type",$C$5,"5 Source no.",$C561,"4 Item Ledger Entry Type",$C$4,"2 Item No.","@@"&amp;$F561,"3 Posting Date",J$9)</t>
  </si>
  <si>
    <t>=-NL("Sum","5802 Value Entry","151 Cost Amount (Expected)","41 Source Type",$C$5,"5 Source No.",$C561,"4 Item Ledger Entry Type",$C$4,"2 Item No.","@@"&amp;$F561,"3 Posting Date",J$9)-NL("Sum","5802 Value Entry","43 Cost Amount (Actual)","41 Source Type",$C$5,"5 Source no.",$C561,"4 Item Ledger Entry Type",$C$4,"2 Item No.","@@"&amp;$F561,"3 Posting Date",J$9)</t>
  </si>
  <si>
    <t>=J561-L561</t>
  </si>
  <si>
    <t>=IF(J561&lt;&gt;0,M561/J561,"")</t>
  </si>
  <si>
    <t>=NL("Sum","5802 Value Entry","150 Sales Amount (Expected)","41 Source Type",$C$5,"5 Source No.",$C561,"4 Item Ledger Entry Type",$C$4,"2 Item No.","@@"&amp;$F561,"3 Posting Date",O$9)+NL("Sum","5802 Value Entry","17 Sales Amount (Actual)","41 Source Type",$C$5,"5 Source no.",$C561,"4 Item Ledger Entry Type",$C$4,"2 Item No.","@@"&amp;$F561,"3 Posting Date",O$9)</t>
  </si>
  <si>
    <t>=-NL("Sum","5802 Value Entry","151 Cost Amount (Expected)","41 Source Type",$C$5,"5 Source No.",$C561,"4 Item Ledger Entry Type",$C$4,"2 Item No.","@@"&amp;$F561,"3 Posting Date",O$9)-NL("Sum","5802 Value Entry","43 Cost Amount (Actual)","41 Source Type",$C$5,"5 Source no.",$C561,"4 Item Ledger Entry Type",$C$4,"2 Item No.","@@"&amp;$F561,"3 Posting Date",O$9)</t>
  </si>
  <si>
    <t>=O561-Q561</t>
  </si>
  <si>
    <t>=IF(O561&lt;&gt;0,R561/O561,"")</t>
  </si>
  <si>
    <t>=NL("Sum","5802 Value Entry","150 Sales Amount (Expected)","41 Source Type",$C$5,"5 Source No.",$C561,"4 Item Ledger Entry Type",$C$4,"2 Item No.","@@"&amp;$F561,"3 Posting Date",U$9)+NL("Sum","5802 Value Entry","17 Sales Amount (Actual)","41 Source Type",$C$5,"5 Source no.",$C561,"4 Item Ledger Entry Type",$C$4,"2 Item No.","@@"&amp;$F561,"3 Posting Date",U$9)</t>
  </si>
  <si>
    <t>=-NL("Sum","5802 Value Entry","151 Cost Amount (Expected)","41 Source Type",$C$5,"5 Source No.",$C561,"4 Item Ledger Entry Type",$C$4,"2 Item No.","@@"&amp;$F561,"3 Posting Date",U$9)-NL("Sum","5802 Value Entry","43 Cost Amount (Actual)","41 Source Type",$C$5,"5 Source no.",$C561,"4 Item Ledger Entry Type",$C$4,"2 Item No.","@@"&amp;$F561,"3 Posting Date",U$9)</t>
  </si>
  <si>
    <t>=U561-W561</t>
  </si>
  <si>
    <t>=IF(U561&lt;&gt;0,X561/U561,"")</t>
  </si>
  <si>
    <t>=NL("Sum","5802 Value Entry","150 Sales Amount (Expected)","41 Source Type",$C$5,"5 Source No.",$C561,"4 Item Ledger Entry Type",$C$4,"2 Item No.","@@"&amp;$F561,"3 Posting Date",Z$9)+NL("Sum","5802 Value Entry","17 Sales Amount (Actual)","41 Source Type",$C$5,"5 Source no.",$C561,"4 Item Ledger Entry Type",$C$4,"2 Item No.","@@"&amp;$F561,"3 Posting Date",Z$9)</t>
  </si>
  <si>
    <t>=-NL("Sum","5802 Value Entry","151 Cost Amount (Expected)","41 Source Type",$C$5,"5 Source No.",$C561,"4 Item Ledger Entry Type",$C$4,"2 Item No.","@@"&amp;$F561,"3 Posting Date",Z$9)-NL("Sum","5802 Value Entry","43 Cost Amount (Actual)","41 Source Type",$C$5,"5 Source no.",$C561,"4 Item Ledger Entry Type",$C$4,"2 Item No.","@@"&amp;$F561,"3 Posting Date",Z$9)</t>
  </si>
  <si>
    <t>=Z561-AB561</t>
  </si>
  <si>
    <t>=IF(Z561&lt;&gt;0,AC561/Z561,"")</t>
  </si>
  <si>
    <t>=C562</t>
  </si>
  <si>
    <t>=J563-L563</t>
  </si>
  <si>
    <t>=IF(J563&lt;&gt;0,M563/J563,"")</t>
  </si>
  <si>
    <t>=O563-Q563</t>
  </si>
  <si>
    <t>=IF(O563&lt;&gt;0,R563/O563,"")</t>
  </si>
  <si>
    <t>=U563-W563</t>
  </si>
  <si>
    <t>=IF(U563&lt;&gt;0,X563/U563,"")</t>
  </si>
  <si>
    <t>=Z563-AB563</t>
  </si>
  <si>
    <t>=IF(Z563&lt;&gt;0,AC563/Z563,"")</t>
  </si>
  <si>
    <t>=C565</t>
  </si>
  <si>
    <t>=C566</t>
  </si>
  <si>
    <t>=NL("Sum","5802 Value Entry","150 Sales Amount (Expected)","41 Source Type",$C$5,"5 Source No.",$C567,"4 Item Ledger Entry Type",$C$4,"2 Item No.","@@"&amp;$F567,"3 Posting Date",J$9)+NL("Sum","5802 Value Entry","17 Sales Amount (Actual)","41 Source Type",$C$5,"5 Source no.",$C567,"4 Item Ledger Entry Type",$C$4,"2 Item No.","@@"&amp;$F567,"3 Posting Date",J$9)</t>
  </si>
  <si>
    <t>=-NL("Sum","5802 Value Entry","151 Cost Amount (Expected)","41 Source Type",$C$5,"5 Source No.",$C567,"4 Item Ledger Entry Type",$C$4,"2 Item No.","@@"&amp;$F567,"3 Posting Date",J$9)-NL("Sum","5802 Value Entry","43 Cost Amount (Actual)","41 Source Type",$C$5,"5 Source no.",$C567,"4 Item Ledger Entry Type",$C$4,"2 Item No.","@@"&amp;$F567,"3 Posting Date",J$9)</t>
  </si>
  <si>
    <t>=J567-L567</t>
  </si>
  <si>
    <t>=IF(J567&lt;&gt;0,M567/J567,"")</t>
  </si>
  <si>
    <t>=NL("Sum","5802 Value Entry","150 Sales Amount (Expected)","41 Source Type",$C$5,"5 Source No.",$C567,"4 Item Ledger Entry Type",$C$4,"2 Item No.","@@"&amp;$F567,"3 Posting Date",O$9)+NL("Sum","5802 Value Entry","17 Sales Amount (Actual)","41 Source Type",$C$5,"5 Source no.",$C567,"4 Item Ledger Entry Type",$C$4,"2 Item No.","@@"&amp;$F567,"3 Posting Date",O$9)</t>
  </si>
  <si>
    <t>=-NL("Sum","5802 Value Entry","151 Cost Amount (Expected)","41 Source Type",$C$5,"5 Source No.",$C567,"4 Item Ledger Entry Type",$C$4,"2 Item No.","@@"&amp;$F567,"3 Posting Date",O$9)-NL("Sum","5802 Value Entry","43 Cost Amount (Actual)","41 Source Type",$C$5,"5 Source no.",$C567,"4 Item Ledger Entry Type",$C$4,"2 Item No.","@@"&amp;$F567,"3 Posting Date",O$9)</t>
  </si>
  <si>
    <t>=O567-Q567</t>
  </si>
  <si>
    <t>=IF(O567&lt;&gt;0,R567/O567,"")</t>
  </si>
  <si>
    <t>=NL("Sum","5802 Value Entry","150 Sales Amount (Expected)","41 Source Type",$C$5,"5 Source No.",$C567,"4 Item Ledger Entry Type",$C$4,"2 Item No.","@@"&amp;$F567,"3 Posting Date",U$9)+NL("Sum","5802 Value Entry","17 Sales Amount (Actual)","41 Source Type",$C$5,"5 Source no.",$C567,"4 Item Ledger Entry Type",$C$4,"2 Item No.","@@"&amp;$F567,"3 Posting Date",U$9)</t>
  </si>
  <si>
    <t>=-NL("Sum","5802 Value Entry","151 Cost Amount (Expected)","41 Source Type",$C$5,"5 Source No.",$C567,"4 Item Ledger Entry Type",$C$4,"2 Item No.","@@"&amp;$F567,"3 Posting Date",U$9)-NL("Sum","5802 Value Entry","43 Cost Amount (Actual)","41 Source Type",$C$5,"5 Source no.",$C567,"4 Item Ledger Entry Type",$C$4,"2 Item No.","@@"&amp;$F567,"3 Posting Date",U$9)</t>
  </si>
  <si>
    <t>=U567-W567</t>
  </si>
  <si>
    <t>=IF(U567&lt;&gt;0,X567/U567,"")</t>
  </si>
  <si>
    <t>=NL("Sum","5802 Value Entry","150 Sales Amount (Expected)","41 Source Type",$C$5,"5 Source No.",$C567,"4 Item Ledger Entry Type",$C$4,"2 Item No.","@@"&amp;$F567,"3 Posting Date",Z$9)+NL("Sum","5802 Value Entry","17 Sales Amount (Actual)","41 Source Type",$C$5,"5 Source no.",$C567,"4 Item Ledger Entry Type",$C$4,"2 Item No.","@@"&amp;$F567,"3 Posting Date",Z$9)</t>
  </si>
  <si>
    <t>=-NL("Sum","5802 Value Entry","151 Cost Amount (Expected)","41 Source Type",$C$5,"5 Source No.",$C567,"4 Item Ledger Entry Type",$C$4,"2 Item No.","@@"&amp;$F567,"3 Posting Date",Z$9)-NL("Sum","5802 Value Entry","43 Cost Amount (Actual)","41 Source Type",$C$5,"5 Source no.",$C567,"4 Item Ledger Entry Type",$C$4,"2 Item No.","@@"&amp;$F567,"3 Posting Date",Z$9)</t>
  </si>
  <si>
    <t>=Z567-AB567</t>
  </si>
  <si>
    <t>=IF(Z567&lt;&gt;0,AC567/Z567,"")</t>
  </si>
  <si>
    <t>=C567</t>
  </si>
  <si>
    <t>=NL("Sum","5802 Value Entry","150 Sales Amount (Expected)","41 Source Type",$C$5,"5 Source No.",$C568,"4 Item Ledger Entry Type",$C$4,"2 Item No.","@@"&amp;$F568,"3 Posting Date",J$9)+NL("Sum","5802 Value Entry","17 Sales Amount (Actual)","41 Source Type",$C$5,"5 Source no.",$C568,"4 Item Ledger Entry Type",$C$4,"2 Item No.","@@"&amp;$F568,"3 Posting Date",J$9)</t>
  </si>
  <si>
    <t>=-NL("Sum","5802 Value Entry","151 Cost Amount (Expected)","41 Source Type",$C$5,"5 Source No.",$C568,"4 Item Ledger Entry Type",$C$4,"2 Item No.","@@"&amp;$F568,"3 Posting Date",J$9)-NL("Sum","5802 Value Entry","43 Cost Amount (Actual)","41 Source Type",$C$5,"5 Source no.",$C568,"4 Item Ledger Entry Type",$C$4,"2 Item No.","@@"&amp;$F568,"3 Posting Date",J$9)</t>
  </si>
  <si>
    <t>=J568-L568</t>
  </si>
  <si>
    <t>=IF(J568&lt;&gt;0,M568/J568,"")</t>
  </si>
  <si>
    <t>=NL("Sum","5802 Value Entry","150 Sales Amount (Expected)","41 Source Type",$C$5,"5 Source No.",$C568,"4 Item Ledger Entry Type",$C$4,"2 Item No.","@@"&amp;$F568,"3 Posting Date",O$9)+NL("Sum","5802 Value Entry","17 Sales Amount (Actual)","41 Source Type",$C$5,"5 Source no.",$C568,"4 Item Ledger Entry Type",$C$4,"2 Item No.","@@"&amp;$F568,"3 Posting Date",O$9)</t>
  </si>
  <si>
    <t>=-NL("Sum","5802 Value Entry","151 Cost Amount (Expected)","41 Source Type",$C$5,"5 Source No.",$C568,"4 Item Ledger Entry Type",$C$4,"2 Item No.","@@"&amp;$F568,"3 Posting Date",O$9)-NL("Sum","5802 Value Entry","43 Cost Amount (Actual)","41 Source Type",$C$5,"5 Source no.",$C568,"4 Item Ledger Entry Type",$C$4,"2 Item No.","@@"&amp;$F568,"3 Posting Date",O$9)</t>
  </si>
  <si>
    <t>=O568-Q568</t>
  </si>
  <si>
    <t>=IF(O568&lt;&gt;0,R568/O568,"")</t>
  </si>
  <si>
    <t>=NL("Sum","5802 Value Entry","150 Sales Amount (Expected)","41 Source Type",$C$5,"5 Source No.",$C568,"4 Item Ledger Entry Type",$C$4,"2 Item No.","@@"&amp;$F568,"3 Posting Date",U$9)+NL("Sum","5802 Value Entry","17 Sales Amount (Actual)","41 Source Type",$C$5,"5 Source no.",$C568,"4 Item Ledger Entry Type",$C$4,"2 Item No.","@@"&amp;$F568,"3 Posting Date",U$9)</t>
  </si>
  <si>
    <t>=-NL("Sum","5802 Value Entry","151 Cost Amount (Expected)","41 Source Type",$C$5,"5 Source No.",$C568,"4 Item Ledger Entry Type",$C$4,"2 Item No.","@@"&amp;$F568,"3 Posting Date",U$9)-NL("Sum","5802 Value Entry","43 Cost Amount (Actual)","41 Source Type",$C$5,"5 Source no.",$C568,"4 Item Ledger Entry Type",$C$4,"2 Item No.","@@"&amp;$F568,"3 Posting Date",U$9)</t>
  </si>
  <si>
    <t>=U568-W568</t>
  </si>
  <si>
    <t>=IF(U568&lt;&gt;0,X568/U568,"")</t>
  </si>
  <si>
    <t>=NL("Sum","5802 Value Entry","150 Sales Amount (Expected)","41 Source Type",$C$5,"5 Source No.",$C568,"4 Item Ledger Entry Type",$C$4,"2 Item No.","@@"&amp;$F568,"3 Posting Date",Z$9)+NL("Sum","5802 Value Entry","17 Sales Amount (Actual)","41 Source Type",$C$5,"5 Source no.",$C568,"4 Item Ledger Entry Type",$C$4,"2 Item No.","@@"&amp;$F568,"3 Posting Date",Z$9)</t>
  </si>
  <si>
    <t>=-NL("Sum","5802 Value Entry","151 Cost Amount (Expected)","41 Source Type",$C$5,"5 Source No.",$C568,"4 Item Ledger Entry Type",$C$4,"2 Item No.","@@"&amp;$F568,"3 Posting Date",Z$9)-NL("Sum","5802 Value Entry","43 Cost Amount (Actual)","41 Source Type",$C$5,"5 Source no.",$C568,"4 Item Ledger Entry Type",$C$4,"2 Item No.","@@"&amp;$F568,"3 Posting Date",Z$9)</t>
  </si>
  <si>
    <t>=Z568-AB568</t>
  </si>
  <si>
    <t>=IF(Z568&lt;&gt;0,AC568/Z568,"")</t>
  </si>
  <si>
    <t>=C568</t>
  </si>
  <si>
    <t>=NL("Sum","5802 Value Entry","150 Sales Amount (Expected)","41 Source Type",$C$5,"5 Source No.",$C569,"4 Item Ledger Entry Type",$C$4,"2 Item No.","@@"&amp;$F569,"3 Posting Date",J$9)+NL("Sum","5802 Value Entry","17 Sales Amount (Actual)","41 Source Type",$C$5,"5 Source no.",$C569,"4 Item Ledger Entry Type",$C$4,"2 Item No.","@@"&amp;$F569,"3 Posting Date",J$9)</t>
  </si>
  <si>
    <t>=-NL("Sum","5802 Value Entry","151 Cost Amount (Expected)","41 Source Type",$C$5,"5 Source No.",$C569,"4 Item Ledger Entry Type",$C$4,"2 Item No.","@@"&amp;$F569,"3 Posting Date",J$9)-NL("Sum","5802 Value Entry","43 Cost Amount (Actual)","41 Source Type",$C$5,"5 Source no.",$C569,"4 Item Ledger Entry Type",$C$4,"2 Item No.","@@"&amp;$F569,"3 Posting Date",J$9)</t>
  </si>
  <si>
    <t>=J569-L569</t>
  </si>
  <si>
    <t>=IF(J569&lt;&gt;0,M569/J569,"")</t>
  </si>
  <si>
    <t>=NL("Sum","5802 Value Entry","150 Sales Amount (Expected)","41 Source Type",$C$5,"5 Source No.",$C569,"4 Item Ledger Entry Type",$C$4,"2 Item No.","@@"&amp;$F569,"3 Posting Date",O$9)+NL("Sum","5802 Value Entry","17 Sales Amount (Actual)","41 Source Type",$C$5,"5 Source no.",$C569,"4 Item Ledger Entry Type",$C$4,"2 Item No.","@@"&amp;$F569,"3 Posting Date",O$9)</t>
  </si>
  <si>
    <t>=-NL("Sum","5802 Value Entry","151 Cost Amount (Expected)","41 Source Type",$C$5,"5 Source No.",$C569,"4 Item Ledger Entry Type",$C$4,"2 Item No.","@@"&amp;$F569,"3 Posting Date",O$9)-NL("Sum","5802 Value Entry","43 Cost Amount (Actual)","41 Source Type",$C$5,"5 Source no.",$C569,"4 Item Ledger Entry Type",$C$4,"2 Item No.","@@"&amp;$F569,"3 Posting Date",O$9)</t>
  </si>
  <si>
    <t>=O569-Q569</t>
  </si>
  <si>
    <t>=IF(O569&lt;&gt;0,R569/O569,"")</t>
  </si>
  <si>
    <t>=NL("Sum","5802 Value Entry","150 Sales Amount (Expected)","41 Source Type",$C$5,"5 Source No.",$C569,"4 Item Ledger Entry Type",$C$4,"2 Item No.","@@"&amp;$F569,"3 Posting Date",U$9)+NL("Sum","5802 Value Entry","17 Sales Amount (Actual)","41 Source Type",$C$5,"5 Source no.",$C569,"4 Item Ledger Entry Type",$C$4,"2 Item No.","@@"&amp;$F569,"3 Posting Date",U$9)</t>
  </si>
  <si>
    <t>=-NL("Sum","5802 Value Entry","151 Cost Amount (Expected)","41 Source Type",$C$5,"5 Source No.",$C569,"4 Item Ledger Entry Type",$C$4,"2 Item No.","@@"&amp;$F569,"3 Posting Date",U$9)-NL("Sum","5802 Value Entry","43 Cost Amount (Actual)","41 Source Type",$C$5,"5 Source no.",$C569,"4 Item Ledger Entry Type",$C$4,"2 Item No.","@@"&amp;$F569,"3 Posting Date",U$9)</t>
  </si>
  <si>
    <t>=U569-W569</t>
  </si>
  <si>
    <t>=IF(U569&lt;&gt;0,X569/U569,"")</t>
  </si>
  <si>
    <t>=NL("Sum","5802 Value Entry","150 Sales Amount (Expected)","41 Source Type",$C$5,"5 Source No.",$C569,"4 Item Ledger Entry Type",$C$4,"2 Item No.","@@"&amp;$F569,"3 Posting Date",Z$9)+NL("Sum","5802 Value Entry","17 Sales Amount (Actual)","41 Source Type",$C$5,"5 Source no.",$C569,"4 Item Ledger Entry Type",$C$4,"2 Item No.","@@"&amp;$F569,"3 Posting Date",Z$9)</t>
  </si>
  <si>
    <t>=-NL("Sum","5802 Value Entry","151 Cost Amount (Expected)","41 Source Type",$C$5,"5 Source No.",$C569,"4 Item Ledger Entry Type",$C$4,"2 Item No.","@@"&amp;$F569,"3 Posting Date",Z$9)-NL("Sum","5802 Value Entry","43 Cost Amount (Actual)","41 Source Type",$C$5,"5 Source no.",$C569,"4 Item Ledger Entry Type",$C$4,"2 Item No.","@@"&amp;$F569,"3 Posting Date",Z$9)</t>
  </si>
  <si>
    <t>=Z569-AB569</t>
  </si>
  <si>
    <t>=IF(Z569&lt;&gt;0,AC569/Z569,"")</t>
  </si>
  <si>
    <t>=C569</t>
  </si>
  <si>
    <t>=NL("Sum","5802 Value Entry","150 Sales Amount (Expected)","41 Source Type",$C$5,"5 Source No.",$C570,"4 Item Ledger Entry Type",$C$4,"2 Item No.","@@"&amp;$F570,"3 Posting Date",J$9)+NL("Sum","5802 Value Entry","17 Sales Amount (Actual)","41 Source Type",$C$5,"5 Source no.",$C570,"4 Item Ledger Entry Type",$C$4,"2 Item No.","@@"&amp;$F570,"3 Posting Date",J$9)</t>
  </si>
  <si>
    <t>=-NL("Sum","5802 Value Entry","151 Cost Amount (Expected)","41 Source Type",$C$5,"5 Source No.",$C570,"4 Item Ledger Entry Type",$C$4,"2 Item No.","@@"&amp;$F570,"3 Posting Date",J$9)-NL("Sum","5802 Value Entry","43 Cost Amount (Actual)","41 Source Type",$C$5,"5 Source no.",$C570,"4 Item Ledger Entry Type",$C$4,"2 Item No.","@@"&amp;$F570,"3 Posting Date",J$9)</t>
  </si>
  <si>
    <t>=J570-L570</t>
  </si>
  <si>
    <t>=IF(J570&lt;&gt;0,M570/J570,"")</t>
  </si>
  <si>
    <t>=NL("Sum","5802 Value Entry","150 Sales Amount (Expected)","41 Source Type",$C$5,"5 Source No.",$C570,"4 Item Ledger Entry Type",$C$4,"2 Item No.","@@"&amp;$F570,"3 Posting Date",O$9)+NL("Sum","5802 Value Entry","17 Sales Amount (Actual)","41 Source Type",$C$5,"5 Source no.",$C570,"4 Item Ledger Entry Type",$C$4,"2 Item No.","@@"&amp;$F570,"3 Posting Date",O$9)</t>
  </si>
  <si>
    <t>=-NL("Sum","5802 Value Entry","151 Cost Amount (Expected)","41 Source Type",$C$5,"5 Source No.",$C570,"4 Item Ledger Entry Type",$C$4,"2 Item No.","@@"&amp;$F570,"3 Posting Date",O$9)-NL("Sum","5802 Value Entry","43 Cost Amount (Actual)","41 Source Type",$C$5,"5 Source no.",$C570,"4 Item Ledger Entry Type",$C$4,"2 Item No.","@@"&amp;$F570,"3 Posting Date",O$9)</t>
  </si>
  <si>
    <t>=O570-Q570</t>
  </si>
  <si>
    <t>=IF(O570&lt;&gt;0,R570/O570,"")</t>
  </si>
  <si>
    <t>=NL("Sum","5802 Value Entry","150 Sales Amount (Expected)","41 Source Type",$C$5,"5 Source No.",$C570,"4 Item Ledger Entry Type",$C$4,"2 Item No.","@@"&amp;$F570,"3 Posting Date",U$9)+NL("Sum","5802 Value Entry","17 Sales Amount (Actual)","41 Source Type",$C$5,"5 Source no.",$C570,"4 Item Ledger Entry Type",$C$4,"2 Item No.","@@"&amp;$F570,"3 Posting Date",U$9)</t>
  </si>
  <si>
    <t>=-NL("Sum","5802 Value Entry","151 Cost Amount (Expected)","41 Source Type",$C$5,"5 Source No.",$C570,"4 Item Ledger Entry Type",$C$4,"2 Item No.","@@"&amp;$F570,"3 Posting Date",U$9)-NL("Sum","5802 Value Entry","43 Cost Amount (Actual)","41 Source Type",$C$5,"5 Source no.",$C570,"4 Item Ledger Entry Type",$C$4,"2 Item No.","@@"&amp;$F570,"3 Posting Date",U$9)</t>
  </si>
  <si>
    <t>=U570-W570</t>
  </si>
  <si>
    <t>=IF(U570&lt;&gt;0,X570/U570,"")</t>
  </si>
  <si>
    <t>=NL("Sum","5802 Value Entry","150 Sales Amount (Expected)","41 Source Type",$C$5,"5 Source No.",$C570,"4 Item Ledger Entry Type",$C$4,"2 Item No.","@@"&amp;$F570,"3 Posting Date",Z$9)+NL("Sum","5802 Value Entry","17 Sales Amount (Actual)","41 Source Type",$C$5,"5 Source no.",$C570,"4 Item Ledger Entry Type",$C$4,"2 Item No.","@@"&amp;$F570,"3 Posting Date",Z$9)</t>
  </si>
  <si>
    <t>=-NL("Sum","5802 Value Entry","151 Cost Amount (Expected)","41 Source Type",$C$5,"5 Source No.",$C570,"4 Item Ledger Entry Type",$C$4,"2 Item No.","@@"&amp;$F570,"3 Posting Date",Z$9)-NL("Sum","5802 Value Entry","43 Cost Amount (Actual)","41 Source Type",$C$5,"5 Source no.",$C570,"4 Item Ledger Entry Type",$C$4,"2 Item No.","@@"&amp;$F570,"3 Posting Date",Z$9)</t>
  </si>
  <si>
    <t>=Z570-AB570</t>
  </si>
  <si>
    <t>=IF(Z570&lt;&gt;0,AC570/Z570,"")</t>
  </si>
  <si>
    <t>=C570</t>
  </si>
  <si>
    <t>=NL("Sum","5802 Value Entry","150 Sales Amount (Expected)","41 Source Type",$C$5,"5 Source No.",$C571,"4 Item Ledger Entry Type",$C$4,"2 Item No.","@@"&amp;$F571,"3 Posting Date",J$9)+NL("Sum","5802 Value Entry","17 Sales Amount (Actual)","41 Source Type",$C$5,"5 Source no.",$C571,"4 Item Ledger Entry Type",$C$4,"2 Item No.","@@"&amp;$F571,"3 Posting Date",J$9)</t>
  </si>
  <si>
    <t>=-NL("Sum","5802 Value Entry","151 Cost Amount (Expected)","41 Source Type",$C$5,"5 Source No.",$C571,"4 Item Ledger Entry Type",$C$4,"2 Item No.","@@"&amp;$F571,"3 Posting Date",J$9)-NL("Sum","5802 Value Entry","43 Cost Amount (Actual)","41 Source Type",$C$5,"5 Source no.",$C571,"4 Item Ledger Entry Type",$C$4,"2 Item No.","@@"&amp;$F571,"3 Posting Date",J$9)</t>
  </si>
  <si>
    <t>=J571-L571</t>
  </si>
  <si>
    <t>=IF(J571&lt;&gt;0,M571/J571,"")</t>
  </si>
  <si>
    <t>=NL("Sum","5802 Value Entry","150 Sales Amount (Expected)","41 Source Type",$C$5,"5 Source No.",$C571,"4 Item Ledger Entry Type",$C$4,"2 Item No.","@@"&amp;$F571,"3 Posting Date",O$9)+NL("Sum","5802 Value Entry","17 Sales Amount (Actual)","41 Source Type",$C$5,"5 Source no.",$C571,"4 Item Ledger Entry Type",$C$4,"2 Item No.","@@"&amp;$F571,"3 Posting Date",O$9)</t>
  </si>
  <si>
    <t>=-NL("Sum","5802 Value Entry","151 Cost Amount (Expected)","41 Source Type",$C$5,"5 Source No.",$C571,"4 Item Ledger Entry Type",$C$4,"2 Item No.","@@"&amp;$F571,"3 Posting Date",O$9)-NL("Sum","5802 Value Entry","43 Cost Amount (Actual)","41 Source Type",$C$5,"5 Source no.",$C571,"4 Item Ledger Entry Type",$C$4,"2 Item No.","@@"&amp;$F571,"3 Posting Date",O$9)</t>
  </si>
  <si>
    <t>=O571-Q571</t>
  </si>
  <si>
    <t>=IF(O571&lt;&gt;0,R571/O571,"")</t>
  </si>
  <si>
    <t>=NL("Sum","5802 Value Entry","150 Sales Amount (Expected)","41 Source Type",$C$5,"5 Source No.",$C571,"4 Item Ledger Entry Type",$C$4,"2 Item No.","@@"&amp;$F571,"3 Posting Date",U$9)+NL("Sum","5802 Value Entry","17 Sales Amount (Actual)","41 Source Type",$C$5,"5 Source no.",$C571,"4 Item Ledger Entry Type",$C$4,"2 Item No.","@@"&amp;$F571,"3 Posting Date",U$9)</t>
  </si>
  <si>
    <t>=-NL("Sum","5802 Value Entry","151 Cost Amount (Expected)","41 Source Type",$C$5,"5 Source No.",$C571,"4 Item Ledger Entry Type",$C$4,"2 Item No.","@@"&amp;$F571,"3 Posting Date",U$9)-NL("Sum","5802 Value Entry","43 Cost Amount (Actual)","41 Source Type",$C$5,"5 Source no.",$C571,"4 Item Ledger Entry Type",$C$4,"2 Item No.","@@"&amp;$F571,"3 Posting Date",U$9)</t>
  </si>
  <si>
    <t>=U571-W571</t>
  </si>
  <si>
    <t>=IF(U571&lt;&gt;0,X571/U571,"")</t>
  </si>
  <si>
    <t>=NL("Sum","5802 Value Entry","150 Sales Amount (Expected)","41 Source Type",$C$5,"5 Source No.",$C571,"4 Item Ledger Entry Type",$C$4,"2 Item No.","@@"&amp;$F571,"3 Posting Date",Z$9)+NL("Sum","5802 Value Entry","17 Sales Amount (Actual)","41 Source Type",$C$5,"5 Source no.",$C571,"4 Item Ledger Entry Type",$C$4,"2 Item No.","@@"&amp;$F571,"3 Posting Date",Z$9)</t>
  </si>
  <si>
    <t>=-NL("Sum","5802 Value Entry","151 Cost Amount (Expected)","41 Source Type",$C$5,"5 Source No.",$C571,"4 Item Ledger Entry Type",$C$4,"2 Item No.","@@"&amp;$F571,"3 Posting Date",Z$9)-NL("Sum","5802 Value Entry","43 Cost Amount (Actual)","41 Source Type",$C$5,"5 Source no.",$C571,"4 Item Ledger Entry Type",$C$4,"2 Item No.","@@"&amp;$F571,"3 Posting Date",Z$9)</t>
  </si>
  <si>
    <t>=Z571-AB571</t>
  </si>
  <si>
    <t>=IF(Z571&lt;&gt;0,AC571/Z571,"")</t>
  </si>
  <si>
    <t>=C571</t>
  </si>
  <si>
    <t>=NL("Sum","5802 Value Entry","150 Sales Amount (Expected)","41 Source Type",$C$5,"5 Source No.",$C572,"4 Item Ledger Entry Type",$C$4,"2 Item No.","@@"&amp;$F572,"3 Posting Date",J$9)+NL("Sum","5802 Value Entry","17 Sales Amount (Actual)","41 Source Type",$C$5,"5 Source no.",$C572,"4 Item Ledger Entry Type",$C$4,"2 Item No.","@@"&amp;$F572,"3 Posting Date",J$9)</t>
  </si>
  <si>
    <t>=-NL("Sum","5802 Value Entry","151 Cost Amount (Expected)","41 Source Type",$C$5,"5 Source No.",$C572,"4 Item Ledger Entry Type",$C$4,"2 Item No.","@@"&amp;$F572,"3 Posting Date",J$9)-NL("Sum","5802 Value Entry","43 Cost Amount (Actual)","41 Source Type",$C$5,"5 Source no.",$C572,"4 Item Ledger Entry Type",$C$4,"2 Item No.","@@"&amp;$F572,"3 Posting Date",J$9)</t>
  </si>
  <si>
    <t>=J572-L572</t>
  </si>
  <si>
    <t>=IF(J572&lt;&gt;0,M572/J572,"")</t>
  </si>
  <si>
    <t>=NL("Sum","5802 Value Entry","150 Sales Amount (Expected)","41 Source Type",$C$5,"5 Source No.",$C572,"4 Item Ledger Entry Type",$C$4,"2 Item No.","@@"&amp;$F572,"3 Posting Date",O$9)+NL("Sum","5802 Value Entry","17 Sales Amount (Actual)","41 Source Type",$C$5,"5 Source no.",$C572,"4 Item Ledger Entry Type",$C$4,"2 Item No.","@@"&amp;$F572,"3 Posting Date",O$9)</t>
  </si>
  <si>
    <t>=-NL("Sum","5802 Value Entry","151 Cost Amount (Expected)","41 Source Type",$C$5,"5 Source No.",$C572,"4 Item Ledger Entry Type",$C$4,"2 Item No.","@@"&amp;$F572,"3 Posting Date",O$9)-NL("Sum","5802 Value Entry","43 Cost Amount (Actual)","41 Source Type",$C$5,"5 Source no.",$C572,"4 Item Ledger Entry Type",$C$4,"2 Item No.","@@"&amp;$F572,"3 Posting Date",O$9)</t>
  </si>
  <si>
    <t>=O572-Q572</t>
  </si>
  <si>
    <t>=IF(O572&lt;&gt;0,R572/O572,"")</t>
  </si>
  <si>
    <t>=NL("Sum","5802 Value Entry","150 Sales Amount (Expected)","41 Source Type",$C$5,"5 Source No.",$C572,"4 Item Ledger Entry Type",$C$4,"2 Item No.","@@"&amp;$F572,"3 Posting Date",U$9)+NL("Sum","5802 Value Entry","17 Sales Amount (Actual)","41 Source Type",$C$5,"5 Source no.",$C572,"4 Item Ledger Entry Type",$C$4,"2 Item No.","@@"&amp;$F572,"3 Posting Date",U$9)</t>
  </si>
  <si>
    <t>=-NL("Sum","5802 Value Entry","151 Cost Amount (Expected)","41 Source Type",$C$5,"5 Source No.",$C572,"4 Item Ledger Entry Type",$C$4,"2 Item No.","@@"&amp;$F572,"3 Posting Date",U$9)-NL("Sum","5802 Value Entry","43 Cost Amount (Actual)","41 Source Type",$C$5,"5 Source no.",$C572,"4 Item Ledger Entry Type",$C$4,"2 Item No.","@@"&amp;$F572,"3 Posting Date",U$9)</t>
  </si>
  <si>
    <t>=U572-W572</t>
  </si>
  <si>
    <t>=IF(U572&lt;&gt;0,X572/U572,"")</t>
  </si>
  <si>
    <t>=NL("Sum","5802 Value Entry","150 Sales Amount (Expected)","41 Source Type",$C$5,"5 Source No.",$C572,"4 Item Ledger Entry Type",$C$4,"2 Item No.","@@"&amp;$F572,"3 Posting Date",Z$9)+NL("Sum","5802 Value Entry","17 Sales Amount (Actual)","41 Source Type",$C$5,"5 Source no.",$C572,"4 Item Ledger Entry Type",$C$4,"2 Item No.","@@"&amp;$F572,"3 Posting Date",Z$9)</t>
  </si>
  <si>
    <t>=-NL("Sum","5802 Value Entry","151 Cost Amount (Expected)","41 Source Type",$C$5,"5 Source No.",$C572,"4 Item Ledger Entry Type",$C$4,"2 Item No.","@@"&amp;$F572,"3 Posting Date",Z$9)-NL("Sum","5802 Value Entry","43 Cost Amount (Actual)","41 Source Type",$C$5,"5 Source no.",$C572,"4 Item Ledger Entry Type",$C$4,"2 Item No.","@@"&amp;$F572,"3 Posting Date",Z$9)</t>
  </si>
  <si>
    <t>=Z572-AB572</t>
  </si>
  <si>
    <t>=IF(Z572&lt;&gt;0,AC572/Z572,"")</t>
  </si>
  <si>
    <t>=C572</t>
  </si>
  <si>
    <t>=NL("Sum","5802 Value Entry","150 Sales Amount (Expected)","41 Source Type",$C$5,"5 Source No.",$C573,"4 Item Ledger Entry Type",$C$4,"2 Item No.","@@"&amp;$F573,"3 Posting Date",J$9)+NL("Sum","5802 Value Entry","17 Sales Amount (Actual)","41 Source Type",$C$5,"5 Source no.",$C573,"4 Item Ledger Entry Type",$C$4,"2 Item No.","@@"&amp;$F573,"3 Posting Date",J$9)</t>
  </si>
  <si>
    <t>=-NL("Sum","5802 Value Entry","151 Cost Amount (Expected)","41 Source Type",$C$5,"5 Source No.",$C573,"4 Item Ledger Entry Type",$C$4,"2 Item No.","@@"&amp;$F573,"3 Posting Date",J$9)-NL("Sum","5802 Value Entry","43 Cost Amount (Actual)","41 Source Type",$C$5,"5 Source no.",$C573,"4 Item Ledger Entry Type",$C$4,"2 Item No.","@@"&amp;$F573,"3 Posting Date",J$9)</t>
  </si>
  <si>
    <t>=J573-L573</t>
  </si>
  <si>
    <t>=IF(J573&lt;&gt;0,M573/J573,"")</t>
  </si>
  <si>
    <t>=NL("Sum","5802 Value Entry","150 Sales Amount (Expected)","41 Source Type",$C$5,"5 Source No.",$C573,"4 Item Ledger Entry Type",$C$4,"2 Item No.","@@"&amp;$F573,"3 Posting Date",O$9)+NL("Sum","5802 Value Entry","17 Sales Amount (Actual)","41 Source Type",$C$5,"5 Source no.",$C573,"4 Item Ledger Entry Type",$C$4,"2 Item No.","@@"&amp;$F573,"3 Posting Date",O$9)</t>
  </si>
  <si>
    <t>=-NL("Sum","5802 Value Entry","151 Cost Amount (Expected)","41 Source Type",$C$5,"5 Source No.",$C573,"4 Item Ledger Entry Type",$C$4,"2 Item No.","@@"&amp;$F573,"3 Posting Date",O$9)-NL("Sum","5802 Value Entry","43 Cost Amount (Actual)","41 Source Type",$C$5,"5 Source no.",$C573,"4 Item Ledger Entry Type",$C$4,"2 Item No.","@@"&amp;$F573,"3 Posting Date",O$9)</t>
  </si>
  <si>
    <t>=O573-Q573</t>
  </si>
  <si>
    <t>=IF(O573&lt;&gt;0,R573/O573,"")</t>
  </si>
  <si>
    <t>=NL("Sum","5802 Value Entry","150 Sales Amount (Expected)","41 Source Type",$C$5,"5 Source No.",$C573,"4 Item Ledger Entry Type",$C$4,"2 Item No.","@@"&amp;$F573,"3 Posting Date",U$9)+NL("Sum","5802 Value Entry","17 Sales Amount (Actual)","41 Source Type",$C$5,"5 Source no.",$C573,"4 Item Ledger Entry Type",$C$4,"2 Item No.","@@"&amp;$F573,"3 Posting Date",U$9)</t>
  </si>
  <si>
    <t>=-NL("Sum","5802 Value Entry","151 Cost Amount (Expected)","41 Source Type",$C$5,"5 Source No.",$C573,"4 Item Ledger Entry Type",$C$4,"2 Item No.","@@"&amp;$F573,"3 Posting Date",U$9)-NL("Sum","5802 Value Entry","43 Cost Amount (Actual)","41 Source Type",$C$5,"5 Source no.",$C573,"4 Item Ledger Entry Type",$C$4,"2 Item No.","@@"&amp;$F573,"3 Posting Date",U$9)</t>
  </si>
  <si>
    <t>=U573-W573</t>
  </si>
  <si>
    <t>=IF(U573&lt;&gt;0,X573/U573,"")</t>
  </si>
  <si>
    <t>=NL("Sum","5802 Value Entry","150 Sales Amount (Expected)","41 Source Type",$C$5,"5 Source No.",$C573,"4 Item Ledger Entry Type",$C$4,"2 Item No.","@@"&amp;$F573,"3 Posting Date",Z$9)+NL("Sum","5802 Value Entry","17 Sales Amount (Actual)","41 Source Type",$C$5,"5 Source no.",$C573,"4 Item Ledger Entry Type",$C$4,"2 Item No.","@@"&amp;$F573,"3 Posting Date",Z$9)</t>
  </si>
  <si>
    <t>=-NL("Sum","5802 Value Entry","151 Cost Amount (Expected)","41 Source Type",$C$5,"5 Source No.",$C573,"4 Item Ledger Entry Type",$C$4,"2 Item No.","@@"&amp;$F573,"3 Posting Date",Z$9)-NL("Sum","5802 Value Entry","43 Cost Amount (Actual)","41 Source Type",$C$5,"5 Source no.",$C573,"4 Item Ledger Entry Type",$C$4,"2 Item No.","@@"&amp;$F573,"3 Posting Date",Z$9)</t>
  </si>
  <si>
    <t>=Z573-AB573</t>
  </si>
  <si>
    <t>=IF(Z573&lt;&gt;0,AC573/Z573,"")</t>
  </si>
  <si>
    <t>=C573</t>
  </si>
  <si>
    <t>=NL("Sum","5802 Value Entry","150 Sales Amount (Expected)","41 Source Type",$C$5,"5 Source No.",$C574,"4 Item Ledger Entry Type",$C$4,"2 Item No.","@@"&amp;$F574,"3 Posting Date",J$9)+NL("Sum","5802 Value Entry","17 Sales Amount (Actual)","41 Source Type",$C$5,"5 Source no.",$C574,"4 Item Ledger Entry Type",$C$4,"2 Item No.","@@"&amp;$F574,"3 Posting Date",J$9)</t>
  </si>
  <si>
    <t>=-NL("Sum","5802 Value Entry","151 Cost Amount (Expected)","41 Source Type",$C$5,"5 Source No.",$C574,"4 Item Ledger Entry Type",$C$4,"2 Item No.","@@"&amp;$F574,"3 Posting Date",J$9)-NL("Sum","5802 Value Entry","43 Cost Amount (Actual)","41 Source Type",$C$5,"5 Source no.",$C574,"4 Item Ledger Entry Type",$C$4,"2 Item No.","@@"&amp;$F574,"3 Posting Date",J$9)</t>
  </si>
  <si>
    <t>=J574-L574</t>
  </si>
  <si>
    <t>=IF(J574&lt;&gt;0,M574/J574,"")</t>
  </si>
  <si>
    <t>=NL("Sum","5802 Value Entry","150 Sales Amount (Expected)","41 Source Type",$C$5,"5 Source No.",$C574,"4 Item Ledger Entry Type",$C$4,"2 Item No.","@@"&amp;$F574,"3 Posting Date",O$9)+NL("Sum","5802 Value Entry","17 Sales Amount (Actual)","41 Source Type",$C$5,"5 Source no.",$C574,"4 Item Ledger Entry Type",$C$4,"2 Item No.","@@"&amp;$F574,"3 Posting Date",O$9)</t>
  </si>
  <si>
    <t>=-NL("Sum","5802 Value Entry","151 Cost Amount (Expected)","41 Source Type",$C$5,"5 Source No.",$C574,"4 Item Ledger Entry Type",$C$4,"2 Item No.","@@"&amp;$F574,"3 Posting Date",O$9)-NL("Sum","5802 Value Entry","43 Cost Amount (Actual)","41 Source Type",$C$5,"5 Source no.",$C574,"4 Item Ledger Entry Type",$C$4,"2 Item No.","@@"&amp;$F574,"3 Posting Date",O$9)</t>
  </si>
  <si>
    <t>=O574-Q574</t>
  </si>
  <si>
    <t>=IF(O574&lt;&gt;0,R574/O574,"")</t>
  </si>
  <si>
    <t>=NL("Sum","5802 Value Entry","150 Sales Amount (Expected)","41 Source Type",$C$5,"5 Source No.",$C574,"4 Item Ledger Entry Type",$C$4,"2 Item No.","@@"&amp;$F574,"3 Posting Date",U$9)+NL("Sum","5802 Value Entry","17 Sales Amount (Actual)","41 Source Type",$C$5,"5 Source no.",$C574,"4 Item Ledger Entry Type",$C$4,"2 Item No.","@@"&amp;$F574,"3 Posting Date",U$9)</t>
  </si>
  <si>
    <t>=-NL("Sum","5802 Value Entry","151 Cost Amount (Expected)","41 Source Type",$C$5,"5 Source No.",$C574,"4 Item Ledger Entry Type",$C$4,"2 Item No.","@@"&amp;$F574,"3 Posting Date",U$9)-NL("Sum","5802 Value Entry","43 Cost Amount (Actual)","41 Source Type",$C$5,"5 Source no.",$C574,"4 Item Ledger Entry Type",$C$4,"2 Item No.","@@"&amp;$F574,"3 Posting Date",U$9)</t>
  </si>
  <si>
    <t>=U574-W574</t>
  </si>
  <si>
    <t>=IF(U574&lt;&gt;0,X574/U574,"")</t>
  </si>
  <si>
    <t>=NL("Sum","5802 Value Entry","150 Sales Amount (Expected)","41 Source Type",$C$5,"5 Source No.",$C574,"4 Item Ledger Entry Type",$C$4,"2 Item No.","@@"&amp;$F574,"3 Posting Date",Z$9)+NL("Sum","5802 Value Entry","17 Sales Amount (Actual)","41 Source Type",$C$5,"5 Source no.",$C574,"4 Item Ledger Entry Type",$C$4,"2 Item No.","@@"&amp;$F574,"3 Posting Date",Z$9)</t>
  </si>
  <si>
    <t>=-NL("Sum","5802 Value Entry","151 Cost Amount (Expected)","41 Source Type",$C$5,"5 Source No.",$C574,"4 Item Ledger Entry Type",$C$4,"2 Item No.","@@"&amp;$F574,"3 Posting Date",Z$9)-NL("Sum","5802 Value Entry","43 Cost Amount (Actual)","41 Source Type",$C$5,"5 Source no.",$C574,"4 Item Ledger Entry Type",$C$4,"2 Item No.","@@"&amp;$F574,"3 Posting Date",Z$9)</t>
  </si>
  <si>
    <t>=Z574-AB574</t>
  </si>
  <si>
    <t>=IF(Z574&lt;&gt;0,AC574/Z574,"")</t>
  </si>
  <si>
    <t>=C574</t>
  </si>
  <si>
    <t>=NL("Sum","5802 Value Entry","150 Sales Amount (Expected)","41 Source Type",$C$5,"5 Source No.",$C575,"4 Item Ledger Entry Type",$C$4,"2 Item No.","@@"&amp;$F575,"3 Posting Date",J$9)+NL("Sum","5802 Value Entry","17 Sales Amount (Actual)","41 Source Type",$C$5,"5 Source no.",$C575,"4 Item Ledger Entry Type",$C$4,"2 Item No.","@@"&amp;$F575,"3 Posting Date",J$9)</t>
  </si>
  <si>
    <t>=-NL("Sum","5802 Value Entry","151 Cost Amount (Expected)","41 Source Type",$C$5,"5 Source No.",$C575,"4 Item Ledger Entry Type",$C$4,"2 Item No.","@@"&amp;$F575,"3 Posting Date",J$9)-NL("Sum","5802 Value Entry","43 Cost Amount (Actual)","41 Source Type",$C$5,"5 Source no.",$C575,"4 Item Ledger Entry Type",$C$4,"2 Item No.","@@"&amp;$F575,"3 Posting Date",J$9)</t>
  </si>
  <si>
    <t>=J575-L575</t>
  </si>
  <si>
    <t>=IF(J575&lt;&gt;0,M575/J575,"")</t>
  </si>
  <si>
    <t>=NL("Sum","5802 Value Entry","150 Sales Amount (Expected)","41 Source Type",$C$5,"5 Source No.",$C575,"4 Item Ledger Entry Type",$C$4,"2 Item No.","@@"&amp;$F575,"3 Posting Date",O$9)+NL("Sum","5802 Value Entry","17 Sales Amount (Actual)","41 Source Type",$C$5,"5 Source no.",$C575,"4 Item Ledger Entry Type",$C$4,"2 Item No.","@@"&amp;$F575,"3 Posting Date",O$9)</t>
  </si>
  <si>
    <t>=-NL("Sum","5802 Value Entry","151 Cost Amount (Expected)","41 Source Type",$C$5,"5 Source No.",$C575,"4 Item Ledger Entry Type",$C$4,"2 Item No.","@@"&amp;$F575,"3 Posting Date",O$9)-NL("Sum","5802 Value Entry","43 Cost Amount (Actual)","41 Source Type",$C$5,"5 Source no.",$C575,"4 Item Ledger Entry Type",$C$4,"2 Item No.","@@"&amp;$F575,"3 Posting Date",O$9)</t>
  </si>
  <si>
    <t>=O575-Q575</t>
  </si>
  <si>
    <t>=IF(O575&lt;&gt;0,R575/O575,"")</t>
  </si>
  <si>
    <t>=NL("Sum","5802 Value Entry","150 Sales Amount (Expected)","41 Source Type",$C$5,"5 Source No.",$C575,"4 Item Ledger Entry Type",$C$4,"2 Item No.","@@"&amp;$F575,"3 Posting Date",U$9)+NL("Sum","5802 Value Entry","17 Sales Amount (Actual)","41 Source Type",$C$5,"5 Source no.",$C575,"4 Item Ledger Entry Type",$C$4,"2 Item No.","@@"&amp;$F575,"3 Posting Date",U$9)</t>
  </si>
  <si>
    <t>=-NL("Sum","5802 Value Entry","151 Cost Amount (Expected)","41 Source Type",$C$5,"5 Source No.",$C575,"4 Item Ledger Entry Type",$C$4,"2 Item No.","@@"&amp;$F575,"3 Posting Date",U$9)-NL("Sum","5802 Value Entry","43 Cost Amount (Actual)","41 Source Type",$C$5,"5 Source no.",$C575,"4 Item Ledger Entry Type",$C$4,"2 Item No.","@@"&amp;$F575,"3 Posting Date",U$9)</t>
  </si>
  <si>
    <t>=U575-W575</t>
  </si>
  <si>
    <t>=IF(U575&lt;&gt;0,X575/U575,"")</t>
  </si>
  <si>
    <t>=NL("Sum","5802 Value Entry","150 Sales Amount (Expected)","41 Source Type",$C$5,"5 Source No.",$C575,"4 Item Ledger Entry Type",$C$4,"2 Item No.","@@"&amp;$F575,"3 Posting Date",Z$9)+NL("Sum","5802 Value Entry","17 Sales Amount (Actual)","41 Source Type",$C$5,"5 Source no.",$C575,"4 Item Ledger Entry Type",$C$4,"2 Item No.","@@"&amp;$F575,"3 Posting Date",Z$9)</t>
  </si>
  <si>
    <t>=-NL("Sum","5802 Value Entry","151 Cost Amount (Expected)","41 Source Type",$C$5,"5 Source No.",$C575,"4 Item Ledger Entry Type",$C$4,"2 Item No.","@@"&amp;$F575,"3 Posting Date",Z$9)-NL("Sum","5802 Value Entry","43 Cost Amount (Actual)","41 Source Type",$C$5,"5 Source no.",$C575,"4 Item Ledger Entry Type",$C$4,"2 Item No.","@@"&amp;$F575,"3 Posting Date",Z$9)</t>
  </si>
  <si>
    <t>=Z575-AB575</t>
  </si>
  <si>
    <t>=IF(Z575&lt;&gt;0,AC575/Z575,"")</t>
  </si>
  <si>
    <t>=C575</t>
  </si>
  <si>
    <t>=NL("Sum","5802 Value Entry","150 Sales Amount (Expected)","41 Source Type",$C$5,"5 Source No.",$C576,"4 Item Ledger Entry Type",$C$4,"2 Item No.","@@"&amp;$F576,"3 Posting Date",J$9)+NL("Sum","5802 Value Entry","17 Sales Amount (Actual)","41 Source Type",$C$5,"5 Source no.",$C576,"4 Item Ledger Entry Type",$C$4,"2 Item No.","@@"&amp;$F576,"3 Posting Date",J$9)</t>
  </si>
  <si>
    <t>=-NL("Sum","5802 Value Entry","151 Cost Amount (Expected)","41 Source Type",$C$5,"5 Source No.",$C576,"4 Item Ledger Entry Type",$C$4,"2 Item No.","@@"&amp;$F576,"3 Posting Date",J$9)-NL("Sum","5802 Value Entry","43 Cost Amount (Actual)","41 Source Type",$C$5,"5 Source no.",$C576,"4 Item Ledger Entry Type",$C$4,"2 Item No.","@@"&amp;$F576,"3 Posting Date",J$9)</t>
  </si>
  <si>
    <t>=J576-L576</t>
  </si>
  <si>
    <t>=IF(J576&lt;&gt;0,M576/J576,"")</t>
  </si>
  <si>
    <t>=NL("Sum","5802 Value Entry","150 Sales Amount (Expected)","41 Source Type",$C$5,"5 Source No.",$C576,"4 Item Ledger Entry Type",$C$4,"2 Item No.","@@"&amp;$F576,"3 Posting Date",O$9)+NL("Sum","5802 Value Entry","17 Sales Amount (Actual)","41 Source Type",$C$5,"5 Source no.",$C576,"4 Item Ledger Entry Type",$C$4,"2 Item No.","@@"&amp;$F576,"3 Posting Date",O$9)</t>
  </si>
  <si>
    <t>=-NL("Sum","5802 Value Entry","151 Cost Amount (Expected)","41 Source Type",$C$5,"5 Source No.",$C576,"4 Item Ledger Entry Type",$C$4,"2 Item No.","@@"&amp;$F576,"3 Posting Date",O$9)-NL("Sum","5802 Value Entry","43 Cost Amount (Actual)","41 Source Type",$C$5,"5 Source no.",$C576,"4 Item Ledger Entry Type",$C$4,"2 Item No.","@@"&amp;$F576,"3 Posting Date",O$9)</t>
  </si>
  <si>
    <t>=O576-Q576</t>
  </si>
  <si>
    <t>=IF(O576&lt;&gt;0,R576/O576,"")</t>
  </si>
  <si>
    <t>=NL("Sum","5802 Value Entry","150 Sales Amount (Expected)","41 Source Type",$C$5,"5 Source No.",$C576,"4 Item Ledger Entry Type",$C$4,"2 Item No.","@@"&amp;$F576,"3 Posting Date",U$9)+NL("Sum","5802 Value Entry","17 Sales Amount (Actual)","41 Source Type",$C$5,"5 Source no.",$C576,"4 Item Ledger Entry Type",$C$4,"2 Item No.","@@"&amp;$F576,"3 Posting Date",U$9)</t>
  </si>
  <si>
    <t>=-NL("Sum","5802 Value Entry","151 Cost Amount (Expected)","41 Source Type",$C$5,"5 Source No.",$C576,"4 Item Ledger Entry Type",$C$4,"2 Item No.","@@"&amp;$F576,"3 Posting Date",U$9)-NL("Sum","5802 Value Entry","43 Cost Amount (Actual)","41 Source Type",$C$5,"5 Source no.",$C576,"4 Item Ledger Entry Type",$C$4,"2 Item No.","@@"&amp;$F576,"3 Posting Date",U$9)</t>
  </si>
  <si>
    <t>=U576-W576</t>
  </si>
  <si>
    <t>=IF(U576&lt;&gt;0,X576/U576,"")</t>
  </si>
  <si>
    <t>=NL("Sum","5802 Value Entry","150 Sales Amount (Expected)","41 Source Type",$C$5,"5 Source No.",$C576,"4 Item Ledger Entry Type",$C$4,"2 Item No.","@@"&amp;$F576,"3 Posting Date",Z$9)+NL("Sum","5802 Value Entry","17 Sales Amount (Actual)","41 Source Type",$C$5,"5 Source no.",$C576,"4 Item Ledger Entry Type",$C$4,"2 Item No.","@@"&amp;$F576,"3 Posting Date",Z$9)</t>
  </si>
  <si>
    <t>=-NL("Sum","5802 Value Entry","151 Cost Amount (Expected)","41 Source Type",$C$5,"5 Source No.",$C576,"4 Item Ledger Entry Type",$C$4,"2 Item No.","@@"&amp;$F576,"3 Posting Date",Z$9)-NL("Sum","5802 Value Entry","43 Cost Amount (Actual)","41 Source Type",$C$5,"5 Source no.",$C576,"4 Item Ledger Entry Type",$C$4,"2 Item No.","@@"&amp;$F576,"3 Posting Date",Z$9)</t>
  </si>
  <si>
    <t>=Z576-AB576</t>
  </si>
  <si>
    <t>=IF(Z576&lt;&gt;0,AC576/Z576,"")</t>
  </si>
  <si>
    <t>=C576</t>
  </si>
  <si>
    <t>=NL("Sum","5802 Value Entry","150 Sales Amount (Expected)","41 Source Type",$C$5,"5 Source No.",$C577,"4 Item Ledger Entry Type",$C$4,"2 Item No.","@@"&amp;$F577,"3 Posting Date",J$9)+NL("Sum","5802 Value Entry","17 Sales Amount (Actual)","41 Source Type",$C$5,"5 Source no.",$C577,"4 Item Ledger Entry Type",$C$4,"2 Item No.","@@"&amp;$F577,"3 Posting Date",J$9)</t>
  </si>
  <si>
    <t>=-NL("Sum","5802 Value Entry","151 Cost Amount (Expected)","41 Source Type",$C$5,"5 Source No.",$C577,"4 Item Ledger Entry Type",$C$4,"2 Item No.","@@"&amp;$F577,"3 Posting Date",J$9)-NL("Sum","5802 Value Entry","43 Cost Amount (Actual)","41 Source Type",$C$5,"5 Source no.",$C577,"4 Item Ledger Entry Type",$C$4,"2 Item No.","@@"&amp;$F577,"3 Posting Date",J$9)</t>
  </si>
  <si>
    <t>=J577-L577</t>
  </si>
  <si>
    <t>=IF(J577&lt;&gt;0,M577/J577,"")</t>
  </si>
  <si>
    <t>=NL("Sum","5802 Value Entry","150 Sales Amount (Expected)","41 Source Type",$C$5,"5 Source No.",$C577,"4 Item Ledger Entry Type",$C$4,"2 Item No.","@@"&amp;$F577,"3 Posting Date",O$9)+NL("Sum","5802 Value Entry","17 Sales Amount (Actual)","41 Source Type",$C$5,"5 Source no.",$C577,"4 Item Ledger Entry Type",$C$4,"2 Item No.","@@"&amp;$F577,"3 Posting Date",O$9)</t>
  </si>
  <si>
    <t>=-NL("Sum","5802 Value Entry","151 Cost Amount (Expected)","41 Source Type",$C$5,"5 Source No.",$C577,"4 Item Ledger Entry Type",$C$4,"2 Item No.","@@"&amp;$F577,"3 Posting Date",O$9)-NL("Sum","5802 Value Entry","43 Cost Amount (Actual)","41 Source Type",$C$5,"5 Source no.",$C577,"4 Item Ledger Entry Type",$C$4,"2 Item No.","@@"&amp;$F577,"3 Posting Date",O$9)</t>
  </si>
  <si>
    <t>=O577-Q577</t>
  </si>
  <si>
    <t>=IF(O577&lt;&gt;0,R577/O577,"")</t>
  </si>
  <si>
    <t>=NL("Sum","5802 Value Entry","150 Sales Amount (Expected)","41 Source Type",$C$5,"5 Source No.",$C577,"4 Item Ledger Entry Type",$C$4,"2 Item No.","@@"&amp;$F577,"3 Posting Date",U$9)+NL("Sum","5802 Value Entry","17 Sales Amount (Actual)","41 Source Type",$C$5,"5 Source no.",$C577,"4 Item Ledger Entry Type",$C$4,"2 Item No.","@@"&amp;$F577,"3 Posting Date",U$9)</t>
  </si>
  <si>
    <t>=-NL("Sum","5802 Value Entry","151 Cost Amount (Expected)","41 Source Type",$C$5,"5 Source No.",$C577,"4 Item Ledger Entry Type",$C$4,"2 Item No.","@@"&amp;$F577,"3 Posting Date",U$9)-NL("Sum","5802 Value Entry","43 Cost Amount (Actual)","41 Source Type",$C$5,"5 Source no.",$C577,"4 Item Ledger Entry Type",$C$4,"2 Item No.","@@"&amp;$F577,"3 Posting Date",U$9)</t>
  </si>
  <si>
    <t>=U577-W577</t>
  </si>
  <si>
    <t>=IF(U577&lt;&gt;0,X577/U577,"")</t>
  </si>
  <si>
    <t>=NL("Sum","5802 Value Entry","150 Sales Amount (Expected)","41 Source Type",$C$5,"5 Source No.",$C577,"4 Item Ledger Entry Type",$C$4,"2 Item No.","@@"&amp;$F577,"3 Posting Date",Z$9)+NL("Sum","5802 Value Entry","17 Sales Amount (Actual)","41 Source Type",$C$5,"5 Source no.",$C577,"4 Item Ledger Entry Type",$C$4,"2 Item No.","@@"&amp;$F577,"3 Posting Date",Z$9)</t>
  </si>
  <si>
    <t>=-NL("Sum","5802 Value Entry","151 Cost Amount (Expected)","41 Source Type",$C$5,"5 Source No.",$C577,"4 Item Ledger Entry Type",$C$4,"2 Item No.","@@"&amp;$F577,"3 Posting Date",Z$9)-NL("Sum","5802 Value Entry","43 Cost Amount (Actual)","41 Source Type",$C$5,"5 Source no.",$C577,"4 Item Ledger Entry Type",$C$4,"2 Item No.","@@"&amp;$F577,"3 Posting Date",Z$9)</t>
  </si>
  <si>
    <t>=Z577-AB577</t>
  </si>
  <si>
    <t>=IF(Z577&lt;&gt;0,AC577/Z577,"")</t>
  </si>
  <si>
    <t>=C577</t>
  </si>
  <si>
    <t>=NL("Sum","5802 Value Entry","150 Sales Amount (Expected)","41 Source Type",$C$5,"5 Source No.",$C578,"4 Item Ledger Entry Type",$C$4,"2 Item No.","@@"&amp;$F578,"3 Posting Date",J$9)+NL("Sum","5802 Value Entry","17 Sales Amount (Actual)","41 Source Type",$C$5,"5 Source no.",$C578,"4 Item Ledger Entry Type",$C$4,"2 Item No.","@@"&amp;$F578,"3 Posting Date",J$9)</t>
  </si>
  <si>
    <t>=-NL("Sum","5802 Value Entry","151 Cost Amount (Expected)","41 Source Type",$C$5,"5 Source No.",$C578,"4 Item Ledger Entry Type",$C$4,"2 Item No.","@@"&amp;$F578,"3 Posting Date",J$9)-NL("Sum","5802 Value Entry","43 Cost Amount (Actual)","41 Source Type",$C$5,"5 Source no.",$C578,"4 Item Ledger Entry Type",$C$4,"2 Item No.","@@"&amp;$F578,"3 Posting Date",J$9)</t>
  </si>
  <si>
    <t>=J578-L578</t>
  </si>
  <si>
    <t>=IF(J578&lt;&gt;0,M578/J578,"")</t>
  </si>
  <si>
    <t>=NL("Sum","5802 Value Entry","150 Sales Amount (Expected)","41 Source Type",$C$5,"5 Source No.",$C578,"4 Item Ledger Entry Type",$C$4,"2 Item No.","@@"&amp;$F578,"3 Posting Date",O$9)+NL("Sum","5802 Value Entry","17 Sales Amount (Actual)","41 Source Type",$C$5,"5 Source no.",$C578,"4 Item Ledger Entry Type",$C$4,"2 Item No.","@@"&amp;$F578,"3 Posting Date",O$9)</t>
  </si>
  <si>
    <t>=-NL("Sum","5802 Value Entry","151 Cost Amount (Expected)","41 Source Type",$C$5,"5 Source No.",$C578,"4 Item Ledger Entry Type",$C$4,"2 Item No.","@@"&amp;$F578,"3 Posting Date",O$9)-NL("Sum","5802 Value Entry","43 Cost Amount (Actual)","41 Source Type",$C$5,"5 Source no.",$C578,"4 Item Ledger Entry Type",$C$4,"2 Item No.","@@"&amp;$F578,"3 Posting Date",O$9)</t>
  </si>
  <si>
    <t>=O578-Q578</t>
  </si>
  <si>
    <t>=IF(O578&lt;&gt;0,R578/O578,"")</t>
  </si>
  <si>
    <t>=NL("Sum","5802 Value Entry","150 Sales Amount (Expected)","41 Source Type",$C$5,"5 Source No.",$C578,"4 Item Ledger Entry Type",$C$4,"2 Item No.","@@"&amp;$F578,"3 Posting Date",U$9)+NL("Sum","5802 Value Entry","17 Sales Amount (Actual)","41 Source Type",$C$5,"5 Source no.",$C578,"4 Item Ledger Entry Type",$C$4,"2 Item No.","@@"&amp;$F578,"3 Posting Date",U$9)</t>
  </si>
  <si>
    <t>=-NL("Sum","5802 Value Entry","151 Cost Amount (Expected)","41 Source Type",$C$5,"5 Source No.",$C578,"4 Item Ledger Entry Type",$C$4,"2 Item No.","@@"&amp;$F578,"3 Posting Date",U$9)-NL("Sum","5802 Value Entry","43 Cost Amount (Actual)","41 Source Type",$C$5,"5 Source no.",$C578,"4 Item Ledger Entry Type",$C$4,"2 Item No.","@@"&amp;$F578,"3 Posting Date",U$9)</t>
  </si>
  <si>
    <t>=U578-W578</t>
  </si>
  <si>
    <t>=IF(U578&lt;&gt;0,X578/U578,"")</t>
  </si>
  <si>
    <t>=NL("Sum","5802 Value Entry","150 Sales Amount (Expected)","41 Source Type",$C$5,"5 Source No.",$C578,"4 Item Ledger Entry Type",$C$4,"2 Item No.","@@"&amp;$F578,"3 Posting Date",Z$9)+NL("Sum","5802 Value Entry","17 Sales Amount (Actual)","41 Source Type",$C$5,"5 Source no.",$C578,"4 Item Ledger Entry Type",$C$4,"2 Item No.","@@"&amp;$F578,"3 Posting Date",Z$9)</t>
  </si>
  <si>
    <t>=-NL("Sum","5802 Value Entry","151 Cost Amount (Expected)","41 Source Type",$C$5,"5 Source No.",$C578,"4 Item Ledger Entry Type",$C$4,"2 Item No.","@@"&amp;$F578,"3 Posting Date",Z$9)-NL("Sum","5802 Value Entry","43 Cost Amount (Actual)","41 Source Type",$C$5,"5 Source no.",$C578,"4 Item Ledger Entry Type",$C$4,"2 Item No.","@@"&amp;$F578,"3 Posting Date",Z$9)</t>
  </si>
  <si>
    <t>=Z578-AB578</t>
  </si>
  <si>
    <t>=IF(Z578&lt;&gt;0,AC578/Z578,"")</t>
  </si>
  <si>
    <t>=C578</t>
  </si>
  <si>
    <t>=NL("Sum","5802 Value Entry","150 Sales Amount (Expected)","41 Source Type",$C$5,"5 Source No.",$C579,"4 Item Ledger Entry Type",$C$4,"2 Item No.","@@"&amp;$F579,"3 Posting Date",J$9)+NL("Sum","5802 Value Entry","17 Sales Amount (Actual)","41 Source Type",$C$5,"5 Source no.",$C579,"4 Item Ledger Entry Type",$C$4,"2 Item No.","@@"&amp;$F579,"3 Posting Date",J$9)</t>
  </si>
  <si>
    <t>=-NL("Sum","5802 Value Entry","151 Cost Amount (Expected)","41 Source Type",$C$5,"5 Source No.",$C579,"4 Item Ledger Entry Type",$C$4,"2 Item No.","@@"&amp;$F579,"3 Posting Date",J$9)-NL("Sum","5802 Value Entry","43 Cost Amount (Actual)","41 Source Type",$C$5,"5 Source no.",$C579,"4 Item Ledger Entry Type",$C$4,"2 Item No.","@@"&amp;$F579,"3 Posting Date",J$9)</t>
  </si>
  <si>
    <t>=J579-L579</t>
  </si>
  <si>
    <t>=IF(J579&lt;&gt;0,M579/J579,"")</t>
  </si>
  <si>
    <t>=NL("Sum","5802 Value Entry","150 Sales Amount (Expected)","41 Source Type",$C$5,"5 Source No.",$C579,"4 Item Ledger Entry Type",$C$4,"2 Item No.","@@"&amp;$F579,"3 Posting Date",O$9)+NL("Sum","5802 Value Entry","17 Sales Amount (Actual)","41 Source Type",$C$5,"5 Source no.",$C579,"4 Item Ledger Entry Type",$C$4,"2 Item No.","@@"&amp;$F579,"3 Posting Date",O$9)</t>
  </si>
  <si>
    <t>=-NL("Sum","5802 Value Entry","151 Cost Amount (Expected)","41 Source Type",$C$5,"5 Source No.",$C579,"4 Item Ledger Entry Type",$C$4,"2 Item No.","@@"&amp;$F579,"3 Posting Date",O$9)-NL("Sum","5802 Value Entry","43 Cost Amount (Actual)","41 Source Type",$C$5,"5 Source no.",$C579,"4 Item Ledger Entry Type",$C$4,"2 Item No.","@@"&amp;$F579,"3 Posting Date",O$9)</t>
  </si>
  <si>
    <t>=O579-Q579</t>
  </si>
  <si>
    <t>=IF(O579&lt;&gt;0,R579/O579,"")</t>
  </si>
  <si>
    <t>=NL("Sum","5802 Value Entry","150 Sales Amount (Expected)","41 Source Type",$C$5,"5 Source No.",$C579,"4 Item Ledger Entry Type",$C$4,"2 Item No.","@@"&amp;$F579,"3 Posting Date",U$9)+NL("Sum","5802 Value Entry","17 Sales Amount (Actual)","41 Source Type",$C$5,"5 Source no.",$C579,"4 Item Ledger Entry Type",$C$4,"2 Item No.","@@"&amp;$F579,"3 Posting Date",U$9)</t>
  </si>
  <si>
    <t>=-NL("Sum","5802 Value Entry","151 Cost Amount (Expected)","41 Source Type",$C$5,"5 Source No.",$C579,"4 Item Ledger Entry Type",$C$4,"2 Item No.","@@"&amp;$F579,"3 Posting Date",U$9)-NL("Sum","5802 Value Entry","43 Cost Amount (Actual)","41 Source Type",$C$5,"5 Source no.",$C579,"4 Item Ledger Entry Type",$C$4,"2 Item No.","@@"&amp;$F579,"3 Posting Date",U$9)</t>
  </si>
  <si>
    <t>=U579-W579</t>
  </si>
  <si>
    <t>=IF(U579&lt;&gt;0,X579/U579,"")</t>
  </si>
  <si>
    <t>=NL("Sum","5802 Value Entry","150 Sales Amount (Expected)","41 Source Type",$C$5,"5 Source No.",$C579,"4 Item Ledger Entry Type",$C$4,"2 Item No.","@@"&amp;$F579,"3 Posting Date",Z$9)+NL("Sum","5802 Value Entry","17 Sales Amount (Actual)","41 Source Type",$C$5,"5 Source no.",$C579,"4 Item Ledger Entry Type",$C$4,"2 Item No.","@@"&amp;$F579,"3 Posting Date",Z$9)</t>
  </si>
  <si>
    <t>=-NL("Sum","5802 Value Entry","151 Cost Amount (Expected)","41 Source Type",$C$5,"5 Source No.",$C579,"4 Item Ledger Entry Type",$C$4,"2 Item No.","@@"&amp;$F579,"3 Posting Date",Z$9)-NL("Sum","5802 Value Entry","43 Cost Amount (Actual)","41 Source Type",$C$5,"5 Source no.",$C579,"4 Item Ledger Entry Type",$C$4,"2 Item No.","@@"&amp;$F579,"3 Posting Date",Z$9)</t>
  </si>
  <si>
    <t>=Z579-AB579</t>
  </si>
  <si>
    <t>=IF(Z579&lt;&gt;0,AC579/Z579,"")</t>
  </si>
  <si>
    <t>=C579</t>
  </si>
  <si>
    <t>=NL("Sum","5802 Value Entry","150 Sales Amount (Expected)","41 Source Type",$C$5,"5 Source No.",$C580,"4 Item Ledger Entry Type",$C$4,"2 Item No.","@@"&amp;$F580,"3 Posting Date",J$9)+NL("Sum","5802 Value Entry","17 Sales Amount (Actual)","41 Source Type",$C$5,"5 Source no.",$C580,"4 Item Ledger Entry Type",$C$4,"2 Item No.","@@"&amp;$F580,"3 Posting Date",J$9)</t>
  </si>
  <si>
    <t>=-NL("Sum","5802 Value Entry","151 Cost Amount (Expected)","41 Source Type",$C$5,"5 Source No.",$C580,"4 Item Ledger Entry Type",$C$4,"2 Item No.","@@"&amp;$F580,"3 Posting Date",J$9)-NL("Sum","5802 Value Entry","43 Cost Amount (Actual)","41 Source Type",$C$5,"5 Source no.",$C580,"4 Item Ledger Entry Type",$C$4,"2 Item No.","@@"&amp;$F580,"3 Posting Date",J$9)</t>
  </si>
  <si>
    <t>=J580-L580</t>
  </si>
  <si>
    <t>=IF(J580&lt;&gt;0,M580/J580,"")</t>
  </si>
  <si>
    <t>=NL("Sum","5802 Value Entry","150 Sales Amount (Expected)","41 Source Type",$C$5,"5 Source No.",$C580,"4 Item Ledger Entry Type",$C$4,"2 Item No.","@@"&amp;$F580,"3 Posting Date",O$9)+NL("Sum","5802 Value Entry","17 Sales Amount (Actual)","41 Source Type",$C$5,"5 Source no.",$C580,"4 Item Ledger Entry Type",$C$4,"2 Item No.","@@"&amp;$F580,"3 Posting Date",O$9)</t>
  </si>
  <si>
    <t>=-NL("Sum","5802 Value Entry","151 Cost Amount (Expected)","41 Source Type",$C$5,"5 Source No.",$C580,"4 Item Ledger Entry Type",$C$4,"2 Item No.","@@"&amp;$F580,"3 Posting Date",O$9)-NL("Sum","5802 Value Entry","43 Cost Amount (Actual)","41 Source Type",$C$5,"5 Source no.",$C580,"4 Item Ledger Entry Type",$C$4,"2 Item No.","@@"&amp;$F580,"3 Posting Date",O$9)</t>
  </si>
  <si>
    <t>=O580-Q580</t>
  </si>
  <si>
    <t>=IF(O580&lt;&gt;0,R580/O580,"")</t>
  </si>
  <si>
    <t>=NL("Sum","5802 Value Entry","150 Sales Amount (Expected)","41 Source Type",$C$5,"5 Source No.",$C580,"4 Item Ledger Entry Type",$C$4,"2 Item No.","@@"&amp;$F580,"3 Posting Date",U$9)+NL("Sum","5802 Value Entry","17 Sales Amount (Actual)","41 Source Type",$C$5,"5 Source no.",$C580,"4 Item Ledger Entry Type",$C$4,"2 Item No.","@@"&amp;$F580,"3 Posting Date",U$9)</t>
  </si>
  <si>
    <t>=-NL("Sum","5802 Value Entry","151 Cost Amount (Expected)","41 Source Type",$C$5,"5 Source No.",$C580,"4 Item Ledger Entry Type",$C$4,"2 Item No.","@@"&amp;$F580,"3 Posting Date",U$9)-NL("Sum","5802 Value Entry","43 Cost Amount (Actual)","41 Source Type",$C$5,"5 Source no.",$C580,"4 Item Ledger Entry Type",$C$4,"2 Item No.","@@"&amp;$F580,"3 Posting Date",U$9)</t>
  </si>
  <si>
    <t>=U580-W580</t>
  </si>
  <si>
    <t>=IF(U580&lt;&gt;0,X580/U580,"")</t>
  </si>
  <si>
    <t>=NL("Sum","5802 Value Entry","150 Sales Amount (Expected)","41 Source Type",$C$5,"5 Source No.",$C580,"4 Item Ledger Entry Type",$C$4,"2 Item No.","@@"&amp;$F580,"3 Posting Date",Z$9)+NL("Sum","5802 Value Entry","17 Sales Amount (Actual)","41 Source Type",$C$5,"5 Source no.",$C580,"4 Item Ledger Entry Type",$C$4,"2 Item No.","@@"&amp;$F580,"3 Posting Date",Z$9)</t>
  </si>
  <si>
    <t>=-NL("Sum","5802 Value Entry","151 Cost Amount (Expected)","41 Source Type",$C$5,"5 Source No.",$C580,"4 Item Ledger Entry Type",$C$4,"2 Item No.","@@"&amp;$F580,"3 Posting Date",Z$9)-NL("Sum","5802 Value Entry","43 Cost Amount (Actual)","41 Source Type",$C$5,"5 Source no.",$C580,"4 Item Ledger Entry Type",$C$4,"2 Item No.","@@"&amp;$F580,"3 Posting Date",Z$9)</t>
  </si>
  <si>
    <t>=Z580-AB580</t>
  </si>
  <si>
    <t>=IF(Z580&lt;&gt;0,AC580/Z580,"")</t>
  </si>
  <si>
    <t>=C580</t>
  </si>
  <si>
    <t>=NL("Sum","5802 Value Entry","150 Sales Amount (Expected)","41 Source Type",$C$5,"5 Source No.",$C581,"4 Item Ledger Entry Type",$C$4,"2 Item No.","@@"&amp;$F581,"3 Posting Date",J$9)+NL("Sum","5802 Value Entry","17 Sales Amount (Actual)","41 Source Type",$C$5,"5 Source no.",$C581,"4 Item Ledger Entry Type",$C$4,"2 Item No.","@@"&amp;$F581,"3 Posting Date",J$9)</t>
  </si>
  <si>
    <t>=-NL("Sum","5802 Value Entry","151 Cost Amount (Expected)","41 Source Type",$C$5,"5 Source No.",$C581,"4 Item Ledger Entry Type",$C$4,"2 Item No.","@@"&amp;$F581,"3 Posting Date",J$9)-NL("Sum","5802 Value Entry","43 Cost Amount (Actual)","41 Source Type",$C$5,"5 Source no.",$C581,"4 Item Ledger Entry Type",$C$4,"2 Item No.","@@"&amp;$F581,"3 Posting Date",J$9)</t>
  </si>
  <si>
    <t>=J581-L581</t>
  </si>
  <si>
    <t>=IF(J581&lt;&gt;0,M581/J581,"")</t>
  </si>
  <si>
    <t>=NL("Sum","5802 Value Entry","150 Sales Amount (Expected)","41 Source Type",$C$5,"5 Source No.",$C581,"4 Item Ledger Entry Type",$C$4,"2 Item No.","@@"&amp;$F581,"3 Posting Date",O$9)+NL("Sum","5802 Value Entry","17 Sales Amount (Actual)","41 Source Type",$C$5,"5 Source no.",$C581,"4 Item Ledger Entry Type",$C$4,"2 Item No.","@@"&amp;$F581,"3 Posting Date",O$9)</t>
  </si>
  <si>
    <t>=-NL("Sum","5802 Value Entry","151 Cost Amount (Expected)","41 Source Type",$C$5,"5 Source No.",$C581,"4 Item Ledger Entry Type",$C$4,"2 Item No.","@@"&amp;$F581,"3 Posting Date",O$9)-NL("Sum","5802 Value Entry","43 Cost Amount (Actual)","41 Source Type",$C$5,"5 Source no.",$C581,"4 Item Ledger Entry Type",$C$4,"2 Item No.","@@"&amp;$F581,"3 Posting Date",O$9)</t>
  </si>
  <si>
    <t>=O581-Q581</t>
  </si>
  <si>
    <t>=IF(O581&lt;&gt;0,R581/O581,"")</t>
  </si>
  <si>
    <t>=NL("Sum","5802 Value Entry","150 Sales Amount (Expected)","41 Source Type",$C$5,"5 Source No.",$C581,"4 Item Ledger Entry Type",$C$4,"2 Item No.","@@"&amp;$F581,"3 Posting Date",U$9)+NL("Sum","5802 Value Entry","17 Sales Amount (Actual)","41 Source Type",$C$5,"5 Source no.",$C581,"4 Item Ledger Entry Type",$C$4,"2 Item No.","@@"&amp;$F581,"3 Posting Date",U$9)</t>
  </si>
  <si>
    <t>=-NL("Sum","5802 Value Entry","151 Cost Amount (Expected)","41 Source Type",$C$5,"5 Source No.",$C581,"4 Item Ledger Entry Type",$C$4,"2 Item No.","@@"&amp;$F581,"3 Posting Date",U$9)-NL("Sum","5802 Value Entry","43 Cost Amount (Actual)","41 Source Type",$C$5,"5 Source no.",$C581,"4 Item Ledger Entry Type",$C$4,"2 Item No.","@@"&amp;$F581,"3 Posting Date",U$9)</t>
  </si>
  <si>
    <t>=U581-W581</t>
  </si>
  <si>
    <t>=IF(U581&lt;&gt;0,X581/U581,"")</t>
  </si>
  <si>
    <t>=NL("Sum","5802 Value Entry","150 Sales Amount (Expected)","41 Source Type",$C$5,"5 Source No.",$C581,"4 Item Ledger Entry Type",$C$4,"2 Item No.","@@"&amp;$F581,"3 Posting Date",Z$9)+NL("Sum","5802 Value Entry","17 Sales Amount (Actual)","41 Source Type",$C$5,"5 Source no.",$C581,"4 Item Ledger Entry Type",$C$4,"2 Item No.","@@"&amp;$F581,"3 Posting Date",Z$9)</t>
  </si>
  <si>
    <t>=-NL("Sum","5802 Value Entry","151 Cost Amount (Expected)","41 Source Type",$C$5,"5 Source No.",$C581,"4 Item Ledger Entry Type",$C$4,"2 Item No.","@@"&amp;$F581,"3 Posting Date",Z$9)-NL("Sum","5802 Value Entry","43 Cost Amount (Actual)","41 Source Type",$C$5,"5 Source no.",$C581,"4 Item Ledger Entry Type",$C$4,"2 Item No.","@@"&amp;$F581,"3 Posting Date",Z$9)</t>
  </si>
  <si>
    <t>=Z581-AB581</t>
  </si>
  <si>
    <t>=IF(Z581&lt;&gt;0,AC581/Z581,"")</t>
  </si>
  <si>
    <t>=C581</t>
  </si>
  <si>
    <t>=NL("Sum","5802 Value Entry","150 Sales Amount (Expected)","41 Source Type",$C$5,"5 Source No.",$C582,"4 Item Ledger Entry Type",$C$4,"2 Item No.","@@"&amp;$F582,"3 Posting Date",J$9)+NL("Sum","5802 Value Entry","17 Sales Amount (Actual)","41 Source Type",$C$5,"5 Source no.",$C582,"4 Item Ledger Entry Type",$C$4,"2 Item No.","@@"&amp;$F582,"3 Posting Date",J$9)</t>
  </si>
  <si>
    <t>=-NL("Sum","5802 Value Entry","151 Cost Amount (Expected)","41 Source Type",$C$5,"5 Source No.",$C582,"4 Item Ledger Entry Type",$C$4,"2 Item No.","@@"&amp;$F582,"3 Posting Date",J$9)-NL("Sum","5802 Value Entry","43 Cost Amount (Actual)","41 Source Type",$C$5,"5 Source no.",$C582,"4 Item Ledger Entry Type",$C$4,"2 Item No.","@@"&amp;$F582,"3 Posting Date",J$9)</t>
  </si>
  <si>
    <t>=J582-L582</t>
  </si>
  <si>
    <t>=IF(J582&lt;&gt;0,M582/J582,"")</t>
  </si>
  <si>
    <t>=NL("Sum","5802 Value Entry","150 Sales Amount (Expected)","41 Source Type",$C$5,"5 Source No.",$C582,"4 Item Ledger Entry Type",$C$4,"2 Item No.","@@"&amp;$F582,"3 Posting Date",O$9)+NL("Sum","5802 Value Entry","17 Sales Amount (Actual)","41 Source Type",$C$5,"5 Source no.",$C582,"4 Item Ledger Entry Type",$C$4,"2 Item No.","@@"&amp;$F582,"3 Posting Date",O$9)</t>
  </si>
  <si>
    <t>=-NL("Sum","5802 Value Entry","151 Cost Amount (Expected)","41 Source Type",$C$5,"5 Source No.",$C582,"4 Item Ledger Entry Type",$C$4,"2 Item No.","@@"&amp;$F582,"3 Posting Date",O$9)-NL("Sum","5802 Value Entry","43 Cost Amount (Actual)","41 Source Type",$C$5,"5 Source no.",$C582,"4 Item Ledger Entry Type",$C$4,"2 Item No.","@@"&amp;$F582,"3 Posting Date",O$9)</t>
  </si>
  <si>
    <t>=O582-Q582</t>
  </si>
  <si>
    <t>=IF(O582&lt;&gt;0,R582/O582,"")</t>
  </si>
  <si>
    <t>=NL("Sum","5802 Value Entry","150 Sales Amount (Expected)","41 Source Type",$C$5,"5 Source No.",$C582,"4 Item Ledger Entry Type",$C$4,"2 Item No.","@@"&amp;$F582,"3 Posting Date",U$9)+NL("Sum","5802 Value Entry","17 Sales Amount (Actual)","41 Source Type",$C$5,"5 Source no.",$C582,"4 Item Ledger Entry Type",$C$4,"2 Item No.","@@"&amp;$F582,"3 Posting Date",U$9)</t>
  </si>
  <si>
    <t>=-NL("Sum","5802 Value Entry","151 Cost Amount (Expected)","41 Source Type",$C$5,"5 Source No.",$C582,"4 Item Ledger Entry Type",$C$4,"2 Item No.","@@"&amp;$F582,"3 Posting Date",U$9)-NL("Sum","5802 Value Entry","43 Cost Amount (Actual)","41 Source Type",$C$5,"5 Source no.",$C582,"4 Item Ledger Entry Type",$C$4,"2 Item No.","@@"&amp;$F582,"3 Posting Date",U$9)</t>
  </si>
  <si>
    <t>=U582-W582</t>
  </si>
  <si>
    <t>=IF(U582&lt;&gt;0,X582/U582,"")</t>
  </si>
  <si>
    <t>=NL("Sum","5802 Value Entry","150 Sales Amount (Expected)","41 Source Type",$C$5,"5 Source No.",$C582,"4 Item Ledger Entry Type",$C$4,"2 Item No.","@@"&amp;$F582,"3 Posting Date",Z$9)+NL("Sum","5802 Value Entry","17 Sales Amount (Actual)","41 Source Type",$C$5,"5 Source no.",$C582,"4 Item Ledger Entry Type",$C$4,"2 Item No.","@@"&amp;$F582,"3 Posting Date",Z$9)</t>
  </si>
  <si>
    <t>=-NL("Sum","5802 Value Entry","151 Cost Amount (Expected)","41 Source Type",$C$5,"5 Source No.",$C582,"4 Item Ledger Entry Type",$C$4,"2 Item No.","@@"&amp;$F582,"3 Posting Date",Z$9)-NL("Sum","5802 Value Entry","43 Cost Amount (Actual)","41 Source Type",$C$5,"5 Source no.",$C582,"4 Item Ledger Entry Type",$C$4,"2 Item No.","@@"&amp;$F582,"3 Posting Date",Z$9)</t>
  </si>
  <si>
    <t>=Z582-AB582</t>
  </si>
  <si>
    <t>=IF(Z582&lt;&gt;0,AC582/Z582,"")</t>
  </si>
  <si>
    <t>=C582</t>
  </si>
  <si>
    <t>=NL("Sum","5802 Value Entry","150 Sales Amount (Expected)","41 Source Type",$C$5,"5 Source No.",$C583,"4 Item Ledger Entry Type",$C$4,"2 Item No.","@@"&amp;$F583,"3 Posting Date",J$9)+NL("Sum","5802 Value Entry","17 Sales Amount (Actual)","41 Source Type",$C$5,"5 Source no.",$C583,"4 Item Ledger Entry Type",$C$4,"2 Item No.","@@"&amp;$F583,"3 Posting Date",J$9)</t>
  </si>
  <si>
    <t>=-NL("Sum","5802 Value Entry","151 Cost Amount (Expected)","41 Source Type",$C$5,"5 Source No.",$C583,"4 Item Ledger Entry Type",$C$4,"2 Item No.","@@"&amp;$F583,"3 Posting Date",J$9)-NL("Sum","5802 Value Entry","43 Cost Amount (Actual)","41 Source Type",$C$5,"5 Source no.",$C583,"4 Item Ledger Entry Type",$C$4,"2 Item No.","@@"&amp;$F583,"3 Posting Date",J$9)</t>
  </si>
  <si>
    <t>=J583-L583</t>
  </si>
  <si>
    <t>=IF(J583&lt;&gt;0,M583/J583,"")</t>
  </si>
  <si>
    <t>=NL("Sum","5802 Value Entry","150 Sales Amount (Expected)","41 Source Type",$C$5,"5 Source No.",$C583,"4 Item Ledger Entry Type",$C$4,"2 Item No.","@@"&amp;$F583,"3 Posting Date",O$9)+NL("Sum","5802 Value Entry","17 Sales Amount (Actual)","41 Source Type",$C$5,"5 Source no.",$C583,"4 Item Ledger Entry Type",$C$4,"2 Item No.","@@"&amp;$F583,"3 Posting Date",O$9)</t>
  </si>
  <si>
    <t>=-NL("Sum","5802 Value Entry","151 Cost Amount (Expected)","41 Source Type",$C$5,"5 Source No.",$C583,"4 Item Ledger Entry Type",$C$4,"2 Item No.","@@"&amp;$F583,"3 Posting Date",O$9)-NL("Sum","5802 Value Entry","43 Cost Amount (Actual)","41 Source Type",$C$5,"5 Source no.",$C583,"4 Item Ledger Entry Type",$C$4,"2 Item No.","@@"&amp;$F583,"3 Posting Date",O$9)</t>
  </si>
  <si>
    <t>=O583-Q583</t>
  </si>
  <si>
    <t>=IF(O583&lt;&gt;0,R583/O583,"")</t>
  </si>
  <si>
    <t>=NL("Sum","5802 Value Entry","150 Sales Amount (Expected)","41 Source Type",$C$5,"5 Source No.",$C583,"4 Item Ledger Entry Type",$C$4,"2 Item No.","@@"&amp;$F583,"3 Posting Date",U$9)+NL("Sum","5802 Value Entry","17 Sales Amount (Actual)","41 Source Type",$C$5,"5 Source no.",$C583,"4 Item Ledger Entry Type",$C$4,"2 Item No.","@@"&amp;$F583,"3 Posting Date",U$9)</t>
  </si>
  <si>
    <t>=-NL("Sum","5802 Value Entry","151 Cost Amount (Expected)","41 Source Type",$C$5,"5 Source No.",$C583,"4 Item Ledger Entry Type",$C$4,"2 Item No.","@@"&amp;$F583,"3 Posting Date",U$9)-NL("Sum","5802 Value Entry","43 Cost Amount (Actual)","41 Source Type",$C$5,"5 Source no.",$C583,"4 Item Ledger Entry Type",$C$4,"2 Item No.","@@"&amp;$F583,"3 Posting Date",U$9)</t>
  </si>
  <si>
    <t>=U583-W583</t>
  </si>
  <si>
    <t>=IF(U583&lt;&gt;0,X583/U583,"")</t>
  </si>
  <si>
    <t>=NL("Sum","5802 Value Entry","150 Sales Amount (Expected)","41 Source Type",$C$5,"5 Source No.",$C583,"4 Item Ledger Entry Type",$C$4,"2 Item No.","@@"&amp;$F583,"3 Posting Date",Z$9)+NL("Sum","5802 Value Entry","17 Sales Amount (Actual)","41 Source Type",$C$5,"5 Source no.",$C583,"4 Item Ledger Entry Type",$C$4,"2 Item No.","@@"&amp;$F583,"3 Posting Date",Z$9)</t>
  </si>
  <si>
    <t>=-NL("Sum","5802 Value Entry","151 Cost Amount (Expected)","41 Source Type",$C$5,"5 Source No.",$C583,"4 Item Ledger Entry Type",$C$4,"2 Item No.","@@"&amp;$F583,"3 Posting Date",Z$9)-NL("Sum","5802 Value Entry","43 Cost Amount (Actual)","41 Source Type",$C$5,"5 Source no.",$C583,"4 Item Ledger Entry Type",$C$4,"2 Item No.","@@"&amp;$F583,"3 Posting Date",Z$9)</t>
  </si>
  <si>
    <t>=Z583-AB583</t>
  </si>
  <si>
    <t>=IF(Z583&lt;&gt;0,AC583/Z583,"")</t>
  </si>
  <si>
    <t>=C584</t>
  </si>
  <si>
    <t>=C585&amp;" TOTAL:"</t>
  </si>
  <si>
    <t>=J585-L585</t>
  </si>
  <si>
    <t>=IF(J585&lt;&gt;0,M585/J585,"")</t>
  </si>
  <si>
    <t>=O585-Q585</t>
  </si>
  <si>
    <t>=IF(O585&lt;&gt;0,R585/O585,"")</t>
  </si>
  <si>
    <t>=U585-W585</t>
  </si>
  <si>
    <t>=IF(U585&lt;&gt;0,X585/U585,"")</t>
  </si>
  <si>
    <t>=Z585-AB585</t>
  </si>
  <si>
    <t>=IF(Z585&lt;&gt;0,AC585/Z585,"")</t>
  </si>
  <si>
    <t>=E587</t>
  </si>
  <si>
    <t>=NL(,"18 Customer","2 Name","1 No.",$E587)</t>
  </si>
  <si>
    <t>=C587</t>
  </si>
  <si>
    <t>=C588</t>
  </si>
  <si>
    <t>=NL("Rows","5802 Value Entry","2 Item No.","4 Item Ledger Entry Type",$C$4,"41 Source Type",$C$5,"5 Source No.",$C589,"Item No.",$C$7,"3 Posting Date",$C$10)</t>
  </si>
  <si>
    <t>=NL("Sum","5802 Value Entry","150 Sales Amount (Expected)","41 Source Type",$C$5,"5 Source No.",$C589,"4 Item Ledger Entry Type",$C$4,"2 Item No.","@@"&amp;$F589,"3 Posting Date",J$9)+NL("Sum","5802 Value Entry","17 Sales Amount (Actual)","41 Source Type",$C$5,"5 Source no.",$C589,"4 Item Ledger Entry Type",$C$4,"2 Item No.","@@"&amp;$F589,"3 Posting Date",J$9)</t>
  </si>
  <si>
    <t>=-NL("Sum","5802 Value Entry","151 Cost Amount (Expected)","41 Source Type",$C$5,"5 Source No.",$C589,"4 Item Ledger Entry Type",$C$4,"2 Item No.","@@"&amp;$F589,"3 Posting Date",J$9)-NL("Sum","5802 Value Entry","43 Cost Amount (Actual)","41 Source Type",$C$5,"5 Source no.",$C589,"4 Item Ledger Entry Type",$C$4,"2 Item No.","@@"&amp;$F589,"3 Posting Date",J$9)</t>
  </si>
  <si>
    <t>=J589-L589</t>
  </si>
  <si>
    <t>=IF(J589&lt;&gt;0,M589/J589,"")</t>
  </si>
  <si>
    <t>=NL("Sum","5802 Value Entry","150 Sales Amount (Expected)","41 Source Type",$C$5,"5 Source No.",$C589,"4 Item Ledger Entry Type",$C$4,"2 Item No.","@@"&amp;$F589,"3 Posting Date",O$9)+NL("Sum","5802 Value Entry","17 Sales Amount (Actual)","41 Source Type",$C$5,"5 Source no.",$C589,"4 Item Ledger Entry Type",$C$4,"2 Item No.","@@"&amp;$F589,"3 Posting Date",O$9)</t>
  </si>
  <si>
    <t>=-NL("Sum","5802 Value Entry","151 Cost Amount (Expected)","41 Source Type",$C$5,"5 Source No.",$C589,"4 Item Ledger Entry Type",$C$4,"2 Item No.","@@"&amp;$F589,"3 Posting Date",O$9)-NL("Sum","5802 Value Entry","43 Cost Amount (Actual)","41 Source Type",$C$5,"5 Source no.",$C589,"4 Item Ledger Entry Type",$C$4,"2 Item No.","@@"&amp;$F589,"3 Posting Date",O$9)</t>
  </si>
  <si>
    <t>=O589-Q589</t>
  </si>
  <si>
    <t>=IF(O589&lt;&gt;0,R589/O589,"")</t>
  </si>
  <si>
    <t>=NL("Sum","5802 Value Entry","150 Sales Amount (Expected)","41 Source Type",$C$5,"5 Source No.",$C589,"4 Item Ledger Entry Type",$C$4,"2 Item No.","@@"&amp;$F589,"3 Posting Date",U$9)+NL("Sum","5802 Value Entry","17 Sales Amount (Actual)","41 Source Type",$C$5,"5 Source no.",$C589,"4 Item Ledger Entry Type",$C$4,"2 Item No.","@@"&amp;$F589,"3 Posting Date",U$9)</t>
  </si>
  <si>
    <t>=-NL("Sum","5802 Value Entry","151 Cost Amount (Expected)","41 Source Type",$C$5,"5 Source No.",$C589,"4 Item Ledger Entry Type",$C$4,"2 Item No.","@@"&amp;$F589,"3 Posting Date",U$9)-NL("Sum","5802 Value Entry","43 Cost Amount (Actual)","41 Source Type",$C$5,"5 Source no.",$C589,"4 Item Ledger Entry Type",$C$4,"2 Item No.","@@"&amp;$F589,"3 Posting Date",U$9)</t>
  </si>
  <si>
    <t>=U589-W589</t>
  </si>
  <si>
    <t>=IF(U589&lt;&gt;0,X589/U589,"")</t>
  </si>
  <si>
    <t>=NL("Sum","5802 Value Entry","150 Sales Amount (Expected)","41 Source Type",$C$5,"5 Source No.",$C589,"4 Item Ledger Entry Type",$C$4,"2 Item No.","@@"&amp;$F589,"3 Posting Date",Z$9)+NL("Sum","5802 Value Entry","17 Sales Amount (Actual)","41 Source Type",$C$5,"5 Source no.",$C589,"4 Item Ledger Entry Type",$C$4,"2 Item No.","@@"&amp;$F589,"3 Posting Date",Z$9)</t>
  </si>
  <si>
    <t>=-NL("Sum","5802 Value Entry","151 Cost Amount (Expected)","41 Source Type",$C$5,"5 Source No.",$C589,"4 Item Ledger Entry Type",$C$4,"2 Item No.","@@"&amp;$F589,"3 Posting Date",Z$9)-NL("Sum","5802 Value Entry","43 Cost Amount (Actual)","41 Source Type",$C$5,"5 Source no.",$C589,"4 Item Ledger Entry Type",$C$4,"2 Item No.","@@"&amp;$F589,"3 Posting Date",Z$9)</t>
  </si>
  <si>
    <t>=Z589-AB589</t>
  </si>
  <si>
    <t>=IF(Z589&lt;&gt;0,AC589/Z589,"")</t>
  </si>
  <si>
    <t>=C589</t>
  </si>
  <si>
    <t>=C590</t>
  </si>
  <si>
    <t>=J591-L591</t>
  </si>
  <si>
    <t>=IF(J591&lt;&gt;0,M591/J591,"")</t>
  </si>
  <si>
    <t>=O591-Q591</t>
  </si>
  <si>
    <t>=IF(O591&lt;&gt;0,R591/O591,"")</t>
  </si>
  <si>
    <t>=U591-W591</t>
  </si>
  <si>
    <t>=IF(U591&lt;&gt;0,X591/U591,"")</t>
  </si>
  <si>
    <t>=Z591-AB591</t>
  </si>
  <si>
    <t>=IF(Z591&lt;&gt;0,AC591/Z591,"")</t>
  </si>
  <si>
    <t>=C593</t>
  </si>
  <si>
    <t>=C594</t>
  </si>
  <si>
    <t>=NL("Sum","5802 Value Entry","150 Sales Amount (Expected)","41 Source Type",$C$5,"5 Source No.",$C595,"4 Item Ledger Entry Type",$C$4,"2 Item No.","@@"&amp;$F595,"3 Posting Date",J$9)+NL("Sum","5802 Value Entry","17 Sales Amount (Actual)","41 Source Type",$C$5,"5 Source no.",$C595,"4 Item Ledger Entry Type",$C$4,"2 Item No.","@@"&amp;$F595,"3 Posting Date",J$9)</t>
  </si>
  <si>
    <t>=-NL("Sum","5802 Value Entry","151 Cost Amount (Expected)","41 Source Type",$C$5,"5 Source No.",$C595,"4 Item Ledger Entry Type",$C$4,"2 Item No.","@@"&amp;$F595,"3 Posting Date",J$9)-NL("Sum","5802 Value Entry","43 Cost Amount (Actual)","41 Source Type",$C$5,"5 Source no.",$C595,"4 Item Ledger Entry Type",$C$4,"2 Item No.","@@"&amp;$F595,"3 Posting Date",J$9)</t>
  </si>
  <si>
    <t>=J595-L595</t>
  </si>
  <si>
    <t>=IF(J595&lt;&gt;0,M595/J595,"")</t>
  </si>
  <si>
    <t>=NL("Sum","5802 Value Entry","150 Sales Amount (Expected)","41 Source Type",$C$5,"5 Source No.",$C595,"4 Item Ledger Entry Type",$C$4,"2 Item No.","@@"&amp;$F595,"3 Posting Date",O$9)+NL("Sum","5802 Value Entry","17 Sales Amount (Actual)","41 Source Type",$C$5,"5 Source no.",$C595,"4 Item Ledger Entry Type",$C$4,"2 Item No.","@@"&amp;$F595,"3 Posting Date",O$9)</t>
  </si>
  <si>
    <t>=-NL("Sum","5802 Value Entry","151 Cost Amount (Expected)","41 Source Type",$C$5,"5 Source No.",$C595,"4 Item Ledger Entry Type",$C$4,"2 Item No.","@@"&amp;$F595,"3 Posting Date",O$9)-NL("Sum","5802 Value Entry","43 Cost Amount (Actual)","41 Source Type",$C$5,"5 Source no.",$C595,"4 Item Ledger Entry Type",$C$4,"2 Item No.","@@"&amp;$F595,"3 Posting Date",O$9)</t>
  </si>
  <si>
    <t>=O595-Q595</t>
  </si>
  <si>
    <t>=IF(O595&lt;&gt;0,R595/O595,"")</t>
  </si>
  <si>
    <t>=NL("Sum","5802 Value Entry","150 Sales Amount (Expected)","41 Source Type",$C$5,"5 Source No.",$C595,"4 Item Ledger Entry Type",$C$4,"2 Item No.","@@"&amp;$F595,"3 Posting Date",U$9)+NL("Sum","5802 Value Entry","17 Sales Amount (Actual)","41 Source Type",$C$5,"5 Source no.",$C595,"4 Item Ledger Entry Type",$C$4,"2 Item No.","@@"&amp;$F595,"3 Posting Date",U$9)</t>
  </si>
  <si>
    <t>=-NL("Sum","5802 Value Entry","151 Cost Amount (Expected)","41 Source Type",$C$5,"5 Source No.",$C595,"4 Item Ledger Entry Type",$C$4,"2 Item No.","@@"&amp;$F595,"3 Posting Date",U$9)-NL("Sum","5802 Value Entry","43 Cost Amount (Actual)","41 Source Type",$C$5,"5 Source no.",$C595,"4 Item Ledger Entry Type",$C$4,"2 Item No.","@@"&amp;$F595,"3 Posting Date",U$9)</t>
  </si>
  <si>
    <t>=U595-W595</t>
  </si>
  <si>
    <t>=IF(U595&lt;&gt;0,X595/U595,"")</t>
  </si>
  <si>
    <t>=NL("Sum","5802 Value Entry","150 Sales Amount (Expected)","41 Source Type",$C$5,"5 Source No.",$C595,"4 Item Ledger Entry Type",$C$4,"2 Item No.","@@"&amp;$F595,"3 Posting Date",Z$9)+NL("Sum","5802 Value Entry","17 Sales Amount (Actual)","41 Source Type",$C$5,"5 Source no.",$C595,"4 Item Ledger Entry Type",$C$4,"2 Item No.","@@"&amp;$F595,"3 Posting Date",Z$9)</t>
  </si>
  <si>
    <t>=-NL("Sum","5802 Value Entry","151 Cost Amount (Expected)","41 Source Type",$C$5,"5 Source No.",$C595,"4 Item Ledger Entry Type",$C$4,"2 Item No.","@@"&amp;$F595,"3 Posting Date",Z$9)-NL("Sum","5802 Value Entry","43 Cost Amount (Actual)","41 Source Type",$C$5,"5 Source no.",$C595,"4 Item Ledger Entry Type",$C$4,"2 Item No.","@@"&amp;$F595,"3 Posting Date",Z$9)</t>
  </si>
  <si>
    <t>=Z595-AB595</t>
  </si>
  <si>
    <t>=IF(Z595&lt;&gt;0,AC595/Z595,"")</t>
  </si>
  <si>
    <t>=C595</t>
  </si>
  <si>
    <t>=NL("Sum","5802 Value Entry","150 Sales Amount (Expected)","41 Source Type",$C$5,"5 Source No.",$C596,"4 Item Ledger Entry Type",$C$4,"2 Item No.","@@"&amp;$F596,"3 Posting Date",J$9)+NL("Sum","5802 Value Entry","17 Sales Amount (Actual)","41 Source Type",$C$5,"5 Source no.",$C596,"4 Item Ledger Entry Type",$C$4,"2 Item No.","@@"&amp;$F596,"3 Posting Date",J$9)</t>
  </si>
  <si>
    <t>=-NL("Sum","5802 Value Entry","151 Cost Amount (Expected)","41 Source Type",$C$5,"5 Source No.",$C596,"4 Item Ledger Entry Type",$C$4,"2 Item No.","@@"&amp;$F596,"3 Posting Date",J$9)-NL("Sum","5802 Value Entry","43 Cost Amount (Actual)","41 Source Type",$C$5,"5 Source no.",$C596,"4 Item Ledger Entry Type",$C$4,"2 Item No.","@@"&amp;$F596,"3 Posting Date",J$9)</t>
  </si>
  <si>
    <t>=J596-L596</t>
  </si>
  <si>
    <t>=IF(J596&lt;&gt;0,M596/J596,"")</t>
  </si>
  <si>
    <t>=NL("Sum","5802 Value Entry","150 Sales Amount (Expected)","41 Source Type",$C$5,"5 Source No.",$C596,"4 Item Ledger Entry Type",$C$4,"2 Item No.","@@"&amp;$F596,"3 Posting Date",O$9)+NL("Sum","5802 Value Entry","17 Sales Amount (Actual)","41 Source Type",$C$5,"5 Source no.",$C596,"4 Item Ledger Entry Type",$C$4,"2 Item No.","@@"&amp;$F596,"3 Posting Date",O$9)</t>
  </si>
  <si>
    <t>=-NL("Sum","5802 Value Entry","151 Cost Amount (Expected)","41 Source Type",$C$5,"5 Source No.",$C596,"4 Item Ledger Entry Type",$C$4,"2 Item No.","@@"&amp;$F596,"3 Posting Date",O$9)-NL("Sum","5802 Value Entry","43 Cost Amount (Actual)","41 Source Type",$C$5,"5 Source no.",$C596,"4 Item Ledger Entry Type",$C$4,"2 Item No.","@@"&amp;$F596,"3 Posting Date",O$9)</t>
  </si>
  <si>
    <t>=O596-Q596</t>
  </si>
  <si>
    <t>=IF(O596&lt;&gt;0,R596/O596,"")</t>
  </si>
  <si>
    <t>=NL("Sum","5802 Value Entry","150 Sales Amount (Expected)","41 Source Type",$C$5,"5 Source No.",$C596,"4 Item Ledger Entry Type",$C$4,"2 Item No.","@@"&amp;$F596,"3 Posting Date",U$9)+NL("Sum","5802 Value Entry","17 Sales Amount (Actual)","41 Source Type",$C$5,"5 Source no.",$C596,"4 Item Ledger Entry Type",$C$4,"2 Item No.","@@"&amp;$F596,"3 Posting Date",U$9)</t>
  </si>
  <si>
    <t>=-NL("Sum","5802 Value Entry","151 Cost Amount (Expected)","41 Source Type",$C$5,"5 Source No.",$C596,"4 Item Ledger Entry Type",$C$4,"2 Item No.","@@"&amp;$F596,"3 Posting Date",U$9)-NL("Sum","5802 Value Entry","43 Cost Amount (Actual)","41 Source Type",$C$5,"5 Source no.",$C596,"4 Item Ledger Entry Type",$C$4,"2 Item No.","@@"&amp;$F596,"3 Posting Date",U$9)</t>
  </si>
  <si>
    <t>=U596-W596</t>
  </si>
  <si>
    <t>=IF(U596&lt;&gt;0,X596/U596,"")</t>
  </si>
  <si>
    <t>=NL("Sum","5802 Value Entry","150 Sales Amount (Expected)","41 Source Type",$C$5,"5 Source No.",$C596,"4 Item Ledger Entry Type",$C$4,"2 Item No.","@@"&amp;$F596,"3 Posting Date",Z$9)+NL("Sum","5802 Value Entry","17 Sales Amount (Actual)","41 Source Type",$C$5,"5 Source no.",$C596,"4 Item Ledger Entry Type",$C$4,"2 Item No.","@@"&amp;$F596,"3 Posting Date",Z$9)</t>
  </si>
  <si>
    <t>=-NL("Sum","5802 Value Entry","151 Cost Amount (Expected)","41 Source Type",$C$5,"5 Source No.",$C596,"4 Item Ledger Entry Type",$C$4,"2 Item No.","@@"&amp;$F596,"3 Posting Date",Z$9)-NL("Sum","5802 Value Entry","43 Cost Amount (Actual)","41 Source Type",$C$5,"5 Source no.",$C596,"4 Item Ledger Entry Type",$C$4,"2 Item No.","@@"&amp;$F596,"3 Posting Date",Z$9)</t>
  </si>
  <si>
    <t>=Z596-AB596</t>
  </si>
  <si>
    <t>=IF(Z596&lt;&gt;0,AC596/Z596,"")</t>
  </si>
  <si>
    <t>=C596</t>
  </si>
  <si>
    <t>=NL("Sum","5802 Value Entry","150 Sales Amount (Expected)","41 Source Type",$C$5,"5 Source No.",$C597,"4 Item Ledger Entry Type",$C$4,"2 Item No.","@@"&amp;$F597,"3 Posting Date",J$9)+NL("Sum","5802 Value Entry","17 Sales Amount (Actual)","41 Source Type",$C$5,"5 Source no.",$C597,"4 Item Ledger Entry Type",$C$4,"2 Item No.","@@"&amp;$F597,"3 Posting Date",J$9)</t>
  </si>
  <si>
    <t>=-NL("Sum","5802 Value Entry","151 Cost Amount (Expected)","41 Source Type",$C$5,"5 Source No.",$C597,"4 Item Ledger Entry Type",$C$4,"2 Item No.","@@"&amp;$F597,"3 Posting Date",J$9)-NL("Sum","5802 Value Entry","43 Cost Amount (Actual)","41 Source Type",$C$5,"5 Source no.",$C597,"4 Item Ledger Entry Type",$C$4,"2 Item No.","@@"&amp;$F597,"3 Posting Date",J$9)</t>
  </si>
  <si>
    <t>=J597-L597</t>
  </si>
  <si>
    <t>=IF(J597&lt;&gt;0,M597/J597,"")</t>
  </si>
  <si>
    <t>=NL("Sum","5802 Value Entry","150 Sales Amount (Expected)","41 Source Type",$C$5,"5 Source No.",$C597,"4 Item Ledger Entry Type",$C$4,"2 Item No.","@@"&amp;$F597,"3 Posting Date",O$9)+NL("Sum","5802 Value Entry","17 Sales Amount (Actual)","41 Source Type",$C$5,"5 Source no.",$C597,"4 Item Ledger Entry Type",$C$4,"2 Item No.","@@"&amp;$F597,"3 Posting Date",O$9)</t>
  </si>
  <si>
    <t>=-NL("Sum","5802 Value Entry","151 Cost Amount (Expected)","41 Source Type",$C$5,"5 Source No.",$C597,"4 Item Ledger Entry Type",$C$4,"2 Item No.","@@"&amp;$F597,"3 Posting Date",O$9)-NL("Sum","5802 Value Entry","43 Cost Amount (Actual)","41 Source Type",$C$5,"5 Source no.",$C597,"4 Item Ledger Entry Type",$C$4,"2 Item No.","@@"&amp;$F597,"3 Posting Date",O$9)</t>
  </si>
  <si>
    <t>=O597-Q597</t>
  </si>
  <si>
    <t>=IF(O597&lt;&gt;0,R597/O597,"")</t>
  </si>
  <si>
    <t>=NL("Sum","5802 Value Entry","150 Sales Amount (Expected)","41 Source Type",$C$5,"5 Source No.",$C597,"4 Item Ledger Entry Type",$C$4,"2 Item No.","@@"&amp;$F597,"3 Posting Date",U$9)+NL("Sum","5802 Value Entry","17 Sales Amount (Actual)","41 Source Type",$C$5,"5 Source no.",$C597,"4 Item Ledger Entry Type",$C$4,"2 Item No.","@@"&amp;$F597,"3 Posting Date",U$9)</t>
  </si>
  <si>
    <t>=-NL("Sum","5802 Value Entry","151 Cost Amount (Expected)","41 Source Type",$C$5,"5 Source No.",$C597,"4 Item Ledger Entry Type",$C$4,"2 Item No.","@@"&amp;$F597,"3 Posting Date",U$9)-NL("Sum","5802 Value Entry","43 Cost Amount (Actual)","41 Source Type",$C$5,"5 Source no.",$C597,"4 Item Ledger Entry Type",$C$4,"2 Item No.","@@"&amp;$F597,"3 Posting Date",U$9)</t>
  </si>
  <si>
    <t>=U597-W597</t>
  </si>
  <si>
    <t>=IF(U597&lt;&gt;0,X597/U597,"")</t>
  </si>
  <si>
    <t>=NL("Sum","5802 Value Entry","150 Sales Amount (Expected)","41 Source Type",$C$5,"5 Source No.",$C597,"4 Item Ledger Entry Type",$C$4,"2 Item No.","@@"&amp;$F597,"3 Posting Date",Z$9)+NL("Sum","5802 Value Entry","17 Sales Amount (Actual)","41 Source Type",$C$5,"5 Source no.",$C597,"4 Item Ledger Entry Type",$C$4,"2 Item No.","@@"&amp;$F597,"3 Posting Date",Z$9)</t>
  </si>
  <si>
    <t>=-NL("Sum","5802 Value Entry","151 Cost Amount (Expected)","41 Source Type",$C$5,"5 Source No.",$C597,"4 Item Ledger Entry Type",$C$4,"2 Item No.","@@"&amp;$F597,"3 Posting Date",Z$9)-NL("Sum","5802 Value Entry","43 Cost Amount (Actual)","41 Source Type",$C$5,"5 Source no.",$C597,"4 Item Ledger Entry Type",$C$4,"2 Item No.","@@"&amp;$F597,"3 Posting Date",Z$9)</t>
  </si>
  <si>
    <t>=Z597-AB597</t>
  </si>
  <si>
    <t>=IF(Z597&lt;&gt;0,AC597/Z597,"")</t>
  </si>
  <si>
    <t>=C597</t>
  </si>
  <si>
    <t>=NL("Sum","5802 Value Entry","150 Sales Amount (Expected)","41 Source Type",$C$5,"5 Source No.",$C598,"4 Item Ledger Entry Type",$C$4,"2 Item No.","@@"&amp;$F598,"3 Posting Date",J$9)+NL("Sum","5802 Value Entry","17 Sales Amount (Actual)","41 Source Type",$C$5,"5 Source no.",$C598,"4 Item Ledger Entry Type",$C$4,"2 Item No.","@@"&amp;$F598,"3 Posting Date",J$9)</t>
  </si>
  <si>
    <t>=-NL("Sum","5802 Value Entry","151 Cost Amount (Expected)","41 Source Type",$C$5,"5 Source No.",$C598,"4 Item Ledger Entry Type",$C$4,"2 Item No.","@@"&amp;$F598,"3 Posting Date",J$9)-NL("Sum","5802 Value Entry","43 Cost Amount (Actual)","41 Source Type",$C$5,"5 Source no.",$C598,"4 Item Ledger Entry Type",$C$4,"2 Item No.","@@"&amp;$F598,"3 Posting Date",J$9)</t>
  </si>
  <si>
    <t>=J598-L598</t>
  </si>
  <si>
    <t>=IF(J598&lt;&gt;0,M598/J598,"")</t>
  </si>
  <si>
    <t>=NL("Sum","5802 Value Entry","150 Sales Amount (Expected)","41 Source Type",$C$5,"5 Source No.",$C598,"4 Item Ledger Entry Type",$C$4,"2 Item No.","@@"&amp;$F598,"3 Posting Date",O$9)+NL("Sum","5802 Value Entry","17 Sales Amount (Actual)","41 Source Type",$C$5,"5 Source no.",$C598,"4 Item Ledger Entry Type",$C$4,"2 Item No.","@@"&amp;$F598,"3 Posting Date",O$9)</t>
  </si>
  <si>
    <t>=-NL("Sum","5802 Value Entry","151 Cost Amount (Expected)","41 Source Type",$C$5,"5 Source No.",$C598,"4 Item Ledger Entry Type",$C$4,"2 Item No.","@@"&amp;$F598,"3 Posting Date",O$9)-NL("Sum","5802 Value Entry","43 Cost Amount (Actual)","41 Source Type",$C$5,"5 Source no.",$C598,"4 Item Ledger Entry Type",$C$4,"2 Item No.","@@"&amp;$F598,"3 Posting Date",O$9)</t>
  </si>
  <si>
    <t>=O598-Q598</t>
  </si>
  <si>
    <t>=IF(O598&lt;&gt;0,R598/O598,"")</t>
  </si>
  <si>
    <t>=NL("Sum","5802 Value Entry","150 Sales Amount (Expected)","41 Source Type",$C$5,"5 Source No.",$C598,"4 Item Ledger Entry Type",$C$4,"2 Item No.","@@"&amp;$F598,"3 Posting Date",U$9)+NL("Sum","5802 Value Entry","17 Sales Amount (Actual)","41 Source Type",$C$5,"5 Source no.",$C598,"4 Item Ledger Entry Type",$C$4,"2 Item No.","@@"&amp;$F598,"3 Posting Date",U$9)</t>
  </si>
  <si>
    <t>=-NL("Sum","5802 Value Entry","151 Cost Amount (Expected)","41 Source Type",$C$5,"5 Source No.",$C598,"4 Item Ledger Entry Type",$C$4,"2 Item No.","@@"&amp;$F598,"3 Posting Date",U$9)-NL("Sum","5802 Value Entry","43 Cost Amount (Actual)","41 Source Type",$C$5,"5 Source no.",$C598,"4 Item Ledger Entry Type",$C$4,"2 Item No.","@@"&amp;$F598,"3 Posting Date",U$9)</t>
  </si>
  <si>
    <t>=U598-W598</t>
  </si>
  <si>
    <t>=IF(U598&lt;&gt;0,X598/U598,"")</t>
  </si>
  <si>
    <t>=NL("Sum","5802 Value Entry","150 Sales Amount (Expected)","41 Source Type",$C$5,"5 Source No.",$C598,"4 Item Ledger Entry Type",$C$4,"2 Item No.","@@"&amp;$F598,"3 Posting Date",Z$9)+NL("Sum","5802 Value Entry","17 Sales Amount (Actual)","41 Source Type",$C$5,"5 Source no.",$C598,"4 Item Ledger Entry Type",$C$4,"2 Item No.","@@"&amp;$F598,"3 Posting Date",Z$9)</t>
  </si>
  <si>
    <t>=-NL("Sum","5802 Value Entry","151 Cost Amount (Expected)","41 Source Type",$C$5,"5 Source No.",$C598,"4 Item Ledger Entry Type",$C$4,"2 Item No.","@@"&amp;$F598,"3 Posting Date",Z$9)-NL("Sum","5802 Value Entry","43 Cost Amount (Actual)","41 Source Type",$C$5,"5 Source no.",$C598,"4 Item Ledger Entry Type",$C$4,"2 Item No.","@@"&amp;$F598,"3 Posting Date",Z$9)</t>
  </si>
  <si>
    <t>=Z598-AB598</t>
  </si>
  <si>
    <t>=IF(Z598&lt;&gt;0,AC598/Z598,"")</t>
  </si>
  <si>
    <t>=C598</t>
  </si>
  <si>
    <t>=NL("Sum","5802 Value Entry","150 Sales Amount (Expected)","41 Source Type",$C$5,"5 Source No.",$C599,"4 Item Ledger Entry Type",$C$4,"2 Item No.","@@"&amp;$F599,"3 Posting Date",J$9)+NL("Sum","5802 Value Entry","17 Sales Amount (Actual)","41 Source Type",$C$5,"5 Source no.",$C599,"4 Item Ledger Entry Type",$C$4,"2 Item No.","@@"&amp;$F599,"3 Posting Date",J$9)</t>
  </si>
  <si>
    <t>=-NL("Sum","5802 Value Entry","151 Cost Amount (Expected)","41 Source Type",$C$5,"5 Source No.",$C599,"4 Item Ledger Entry Type",$C$4,"2 Item No.","@@"&amp;$F599,"3 Posting Date",J$9)-NL("Sum","5802 Value Entry","43 Cost Amount (Actual)","41 Source Type",$C$5,"5 Source no.",$C599,"4 Item Ledger Entry Type",$C$4,"2 Item No.","@@"&amp;$F599,"3 Posting Date",J$9)</t>
  </si>
  <si>
    <t>=J599-L599</t>
  </si>
  <si>
    <t>=IF(J599&lt;&gt;0,M599/J599,"")</t>
  </si>
  <si>
    <t>=NL("Sum","5802 Value Entry","150 Sales Amount (Expected)","41 Source Type",$C$5,"5 Source No.",$C599,"4 Item Ledger Entry Type",$C$4,"2 Item No.","@@"&amp;$F599,"3 Posting Date",O$9)+NL("Sum","5802 Value Entry","17 Sales Amount (Actual)","41 Source Type",$C$5,"5 Source no.",$C599,"4 Item Ledger Entry Type",$C$4,"2 Item No.","@@"&amp;$F599,"3 Posting Date",O$9)</t>
  </si>
  <si>
    <t>=-NL("Sum","5802 Value Entry","151 Cost Amount (Expected)","41 Source Type",$C$5,"5 Source No.",$C599,"4 Item Ledger Entry Type",$C$4,"2 Item No.","@@"&amp;$F599,"3 Posting Date",O$9)-NL("Sum","5802 Value Entry","43 Cost Amount (Actual)","41 Source Type",$C$5,"5 Source no.",$C599,"4 Item Ledger Entry Type",$C$4,"2 Item No.","@@"&amp;$F599,"3 Posting Date",O$9)</t>
  </si>
  <si>
    <t>=O599-Q599</t>
  </si>
  <si>
    <t>=IF(O599&lt;&gt;0,R599/O599,"")</t>
  </si>
  <si>
    <t>=NL("Sum","5802 Value Entry","150 Sales Amount (Expected)","41 Source Type",$C$5,"5 Source No.",$C599,"4 Item Ledger Entry Type",$C$4,"2 Item No.","@@"&amp;$F599,"3 Posting Date",U$9)+NL("Sum","5802 Value Entry","17 Sales Amount (Actual)","41 Source Type",$C$5,"5 Source no.",$C599,"4 Item Ledger Entry Type",$C$4,"2 Item No.","@@"&amp;$F599,"3 Posting Date",U$9)</t>
  </si>
  <si>
    <t>=-NL("Sum","5802 Value Entry","151 Cost Amount (Expected)","41 Source Type",$C$5,"5 Source No.",$C599,"4 Item Ledger Entry Type",$C$4,"2 Item No.","@@"&amp;$F599,"3 Posting Date",U$9)-NL("Sum","5802 Value Entry","43 Cost Amount (Actual)","41 Source Type",$C$5,"5 Source no.",$C599,"4 Item Ledger Entry Type",$C$4,"2 Item No.","@@"&amp;$F599,"3 Posting Date",U$9)</t>
  </si>
  <si>
    <t>=U599-W599</t>
  </si>
  <si>
    <t>=IF(U599&lt;&gt;0,X599/U599,"")</t>
  </si>
  <si>
    <t>=NL("Sum","5802 Value Entry","150 Sales Amount (Expected)","41 Source Type",$C$5,"5 Source No.",$C599,"4 Item Ledger Entry Type",$C$4,"2 Item No.","@@"&amp;$F599,"3 Posting Date",Z$9)+NL("Sum","5802 Value Entry","17 Sales Amount (Actual)","41 Source Type",$C$5,"5 Source no.",$C599,"4 Item Ledger Entry Type",$C$4,"2 Item No.","@@"&amp;$F599,"3 Posting Date",Z$9)</t>
  </si>
  <si>
    <t>=-NL("Sum","5802 Value Entry","151 Cost Amount (Expected)","41 Source Type",$C$5,"5 Source No.",$C599,"4 Item Ledger Entry Type",$C$4,"2 Item No.","@@"&amp;$F599,"3 Posting Date",Z$9)-NL("Sum","5802 Value Entry","43 Cost Amount (Actual)","41 Source Type",$C$5,"5 Source no.",$C599,"4 Item Ledger Entry Type",$C$4,"2 Item No.","@@"&amp;$F599,"3 Posting Date",Z$9)</t>
  </si>
  <si>
    <t>=Z599-AB599</t>
  </si>
  <si>
    <t>=IF(Z599&lt;&gt;0,AC599/Z599,"")</t>
  </si>
  <si>
    <t>=C599</t>
  </si>
  <si>
    <t>=NL("Sum","5802 Value Entry","150 Sales Amount (Expected)","41 Source Type",$C$5,"5 Source No.",$C600,"4 Item Ledger Entry Type",$C$4,"2 Item No.","@@"&amp;$F600,"3 Posting Date",J$9)+NL("Sum","5802 Value Entry","17 Sales Amount (Actual)","41 Source Type",$C$5,"5 Source no.",$C600,"4 Item Ledger Entry Type",$C$4,"2 Item No.","@@"&amp;$F600,"3 Posting Date",J$9)</t>
  </si>
  <si>
    <t>=-NL("Sum","5802 Value Entry","151 Cost Amount (Expected)","41 Source Type",$C$5,"5 Source No.",$C600,"4 Item Ledger Entry Type",$C$4,"2 Item No.","@@"&amp;$F600,"3 Posting Date",J$9)-NL("Sum","5802 Value Entry","43 Cost Amount (Actual)","41 Source Type",$C$5,"5 Source no.",$C600,"4 Item Ledger Entry Type",$C$4,"2 Item No.","@@"&amp;$F600,"3 Posting Date",J$9)</t>
  </si>
  <si>
    <t>=J600-L600</t>
  </si>
  <si>
    <t>=IF(J600&lt;&gt;0,M600/J600,"")</t>
  </si>
  <si>
    <t>=NL("Sum","5802 Value Entry","150 Sales Amount (Expected)","41 Source Type",$C$5,"5 Source No.",$C600,"4 Item Ledger Entry Type",$C$4,"2 Item No.","@@"&amp;$F600,"3 Posting Date",O$9)+NL("Sum","5802 Value Entry","17 Sales Amount (Actual)","41 Source Type",$C$5,"5 Source no.",$C600,"4 Item Ledger Entry Type",$C$4,"2 Item No.","@@"&amp;$F600,"3 Posting Date",O$9)</t>
  </si>
  <si>
    <t>=-NL("Sum","5802 Value Entry","151 Cost Amount (Expected)","41 Source Type",$C$5,"5 Source No.",$C600,"4 Item Ledger Entry Type",$C$4,"2 Item No.","@@"&amp;$F600,"3 Posting Date",O$9)-NL("Sum","5802 Value Entry","43 Cost Amount (Actual)","41 Source Type",$C$5,"5 Source no.",$C600,"4 Item Ledger Entry Type",$C$4,"2 Item No.","@@"&amp;$F600,"3 Posting Date",O$9)</t>
  </si>
  <si>
    <t>=O600-Q600</t>
  </si>
  <si>
    <t>=IF(O600&lt;&gt;0,R600/O600,"")</t>
  </si>
  <si>
    <t>=NL("Sum","5802 Value Entry","150 Sales Amount (Expected)","41 Source Type",$C$5,"5 Source No.",$C600,"4 Item Ledger Entry Type",$C$4,"2 Item No.","@@"&amp;$F600,"3 Posting Date",U$9)+NL("Sum","5802 Value Entry","17 Sales Amount (Actual)","41 Source Type",$C$5,"5 Source no.",$C600,"4 Item Ledger Entry Type",$C$4,"2 Item No.","@@"&amp;$F600,"3 Posting Date",U$9)</t>
  </si>
  <si>
    <t>=-NL("Sum","5802 Value Entry","151 Cost Amount (Expected)","41 Source Type",$C$5,"5 Source No.",$C600,"4 Item Ledger Entry Type",$C$4,"2 Item No.","@@"&amp;$F600,"3 Posting Date",U$9)-NL("Sum","5802 Value Entry","43 Cost Amount (Actual)","41 Source Type",$C$5,"5 Source no.",$C600,"4 Item Ledger Entry Type",$C$4,"2 Item No.","@@"&amp;$F600,"3 Posting Date",U$9)</t>
  </si>
  <si>
    <t>=U600-W600</t>
  </si>
  <si>
    <t>=IF(U600&lt;&gt;0,X600/U600,"")</t>
  </si>
  <si>
    <t>=NL("Sum","5802 Value Entry","150 Sales Amount (Expected)","41 Source Type",$C$5,"5 Source No.",$C600,"4 Item Ledger Entry Type",$C$4,"2 Item No.","@@"&amp;$F600,"3 Posting Date",Z$9)+NL("Sum","5802 Value Entry","17 Sales Amount (Actual)","41 Source Type",$C$5,"5 Source no.",$C600,"4 Item Ledger Entry Type",$C$4,"2 Item No.","@@"&amp;$F600,"3 Posting Date",Z$9)</t>
  </si>
  <si>
    <t>=-NL("Sum","5802 Value Entry","151 Cost Amount (Expected)","41 Source Type",$C$5,"5 Source No.",$C600,"4 Item Ledger Entry Type",$C$4,"2 Item No.","@@"&amp;$F600,"3 Posting Date",Z$9)-NL("Sum","5802 Value Entry","43 Cost Amount (Actual)","41 Source Type",$C$5,"5 Source no.",$C600,"4 Item Ledger Entry Type",$C$4,"2 Item No.","@@"&amp;$F600,"3 Posting Date",Z$9)</t>
  </si>
  <si>
    <t>=Z600-AB600</t>
  </si>
  <si>
    <t>=IF(Z600&lt;&gt;0,AC600/Z600,"")</t>
  </si>
  <si>
    <t>=C600</t>
  </si>
  <si>
    <t>=NL("Sum","5802 Value Entry","150 Sales Amount (Expected)","41 Source Type",$C$5,"5 Source No.",$C601,"4 Item Ledger Entry Type",$C$4,"2 Item No.","@@"&amp;$F601,"3 Posting Date",J$9)+NL("Sum","5802 Value Entry","17 Sales Amount (Actual)","41 Source Type",$C$5,"5 Source no.",$C601,"4 Item Ledger Entry Type",$C$4,"2 Item No.","@@"&amp;$F601,"3 Posting Date",J$9)</t>
  </si>
  <si>
    <t>=-NL("Sum","5802 Value Entry","151 Cost Amount (Expected)","41 Source Type",$C$5,"5 Source No.",$C601,"4 Item Ledger Entry Type",$C$4,"2 Item No.","@@"&amp;$F601,"3 Posting Date",J$9)-NL("Sum","5802 Value Entry","43 Cost Amount (Actual)","41 Source Type",$C$5,"5 Source no.",$C601,"4 Item Ledger Entry Type",$C$4,"2 Item No.","@@"&amp;$F601,"3 Posting Date",J$9)</t>
  </si>
  <si>
    <t>=J601-L601</t>
  </si>
  <si>
    <t>=IF(J601&lt;&gt;0,M601/J601,"")</t>
  </si>
  <si>
    <t>=NL("Sum","5802 Value Entry","150 Sales Amount (Expected)","41 Source Type",$C$5,"5 Source No.",$C601,"4 Item Ledger Entry Type",$C$4,"2 Item No.","@@"&amp;$F601,"3 Posting Date",O$9)+NL("Sum","5802 Value Entry","17 Sales Amount (Actual)","41 Source Type",$C$5,"5 Source no.",$C601,"4 Item Ledger Entry Type",$C$4,"2 Item No.","@@"&amp;$F601,"3 Posting Date",O$9)</t>
  </si>
  <si>
    <t>=-NL("Sum","5802 Value Entry","151 Cost Amount (Expected)","41 Source Type",$C$5,"5 Source No.",$C601,"4 Item Ledger Entry Type",$C$4,"2 Item No.","@@"&amp;$F601,"3 Posting Date",O$9)-NL("Sum","5802 Value Entry","43 Cost Amount (Actual)","41 Source Type",$C$5,"5 Source no.",$C601,"4 Item Ledger Entry Type",$C$4,"2 Item No.","@@"&amp;$F601,"3 Posting Date",O$9)</t>
  </si>
  <si>
    <t>=O601-Q601</t>
  </si>
  <si>
    <t>=IF(O601&lt;&gt;0,R601/O601,"")</t>
  </si>
  <si>
    <t>=NL("Sum","5802 Value Entry","150 Sales Amount (Expected)","41 Source Type",$C$5,"5 Source No.",$C601,"4 Item Ledger Entry Type",$C$4,"2 Item No.","@@"&amp;$F601,"3 Posting Date",U$9)+NL("Sum","5802 Value Entry","17 Sales Amount (Actual)","41 Source Type",$C$5,"5 Source no.",$C601,"4 Item Ledger Entry Type",$C$4,"2 Item No.","@@"&amp;$F601,"3 Posting Date",U$9)</t>
  </si>
  <si>
    <t>=-NL("Sum","5802 Value Entry","151 Cost Amount (Expected)","41 Source Type",$C$5,"5 Source No.",$C601,"4 Item Ledger Entry Type",$C$4,"2 Item No.","@@"&amp;$F601,"3 Posting Date",U$9)-NL("Sum","5802 Value Entry","43 Cost Amount (Actual)","41 Source Type",$C$5,"5 Source no.",$C601,"4 Item Ledger Entry Type",$C$4,"2 Item No.","@@"&amp;$F601,"3 Posting Date",U$9)</t>
  </si>
  <si>
    <t>=U601-W601</t>
  </si>
  <si>
    <t>=IF(U601&lt;&gt;0,X601/U601,"")</t>
  </si>
  <si>
    <t>=NL("Sum","5802 Value Entry","150 Sales Amount (Expected)","41 Source Type",$C$5,"5 Source No.",$C601,"4 Item Ledger Entry Type",$C$4,"2 Item No.","@@"&amp;$F601,"3 Posting Date",Z$9)+NL("Sum","5802 Value Entry","17 Sales Amount (Actual)","41 Source Type",$C$5,"5 Source no.",$C601,"4 Item Ledger Entry Type",$C$4,"2 Item No.","@@"&amp;$F601,"3 Posting Date",Z$9)</t>
  </si>
  <si>
    <t>=-NL("Sum","5802 Value Entry","151 Cost Amount (Expected)","41 Source Type",$C$5,"5 Source No.",$C601,"4 Item Ledger Entry Type",$C$4,"2 Item No.","@@"&amp;$F601,"3 Posting Date",Z$9)-NL("Sum","5802 Value Entry","43 Cost Amount (Actual)","41 Source Type",$C$5,"5 Source no.",$C601,"4 Item Ledger Entry Type",$C$4,"2 Item No.","@@"&amp;$F601,"3 Posting Date",Z$9)</t>
  </si>
  <si>
    <t>=Z601-AB601</t>
  </si>
  <si>
    <t>=IF(Z601&lt;&gt;0,AC601/Z601,"")</t>
  </si>
  <si>
    <t>=C601</t>
  </si>
  <si>
    <t>=NL("Sum","5802 Value Entry","150 Sales Amount (Expected)","41 Source Type",$C$5,"5 Source No.",$C602,"4 Item Ledger Entry Type",$C$4,"2 Item No.","@@"&amp;$F602,"3 Posting Date",J$9)+NL("Sum","5802 Value Entry","17 Sales Amount (Actual)","41 Source Type",$C$5,"5 Source no.",$C602,"4 Item Ledger Entry Type",$C$4,"2 Item No.","@@"&amp;$F602,"3 Posting Date",J$9)</t>
  </si>
  <si>
    <t>=-NL("Sum","5802 Value Entry","151 Cost Amount (Expected)","41 Source Type",$C$5,"5 Source No.",$C602,"4 Item Ledger Entry Type",$C$4,"2 Item No.","@@"&amp;$F602,"3 Posting Date",J$9)-NL("Sum","5802 Value Entry","43 Cost Amount (Actual)","41 Source Type",$C$5,"5 Source no.",$C602,"4 Item Ledger Entry Type",$C$4,"2 Item No.","@@"&amp;$F602,"3 Posting Date",J$9)</t>
  </si>
  <si>
    <t>=J602-L602</t>
  </si>
  <si>
    <t>=IF(J602&lt;&gt;0,M602/J602,"")</t>
  </si>
  <si>
    <t>=NL("Sum","5802 Value Entry","150 Sales Amount (Expected)","41 Source Type",$C$5,"5 Source No.",$C602,"4 Item Ledger Entry Type",$C$4,"2 Item No.","@@"&amp;$F602,"3 Posting Date",O$9)+NL("Sum","5802 Value Entry","17 Sales Amount (Actual)","41 Source Type",$C$5,"5 Source no.",$C602,"4 Item Ledger Entry Type",$C$4,"2 Item No.","@@"&amp;$F602,"3 Posting Date",O$9)</t>
  </si>
  <si>
    <t>=-NL("Sum","5802 Value Entry","151 Cost Amount (Expected)","41 Source Type",$C$5,"5 Source No.",$C602,"4 Item Ledger Entry Type",$C$4,"2 Item No.","@@"&amp;$F602,"3 Posting Date",O$9)-NL("Sum","5802 Value Entry","43 Cost Amount (Actual)","41 Source Type",$C$5,"5 Source no.",$C602,"4 Item Ledger Entry Type",$C$4,"2 Item No.","@@"&amp;$F602,"3 Posting Date",O$9)</t>
  </si>
  <si>
    <t>=O602-Q602</t>
  </si>
  <si>
    <t>=IF(O602&lt;&gt;0,R602/O602,"")</t>
  </si>
  <si>
    <t>=NL("Sum","5802 Value Entry","150 Sales Amount (Expected)","41 Source Type",$C$5,"5 Source No.",$C602,"4 Item Ledger Entry Type",$C$4,"2 Item No.","@@"&amp;$F602,"3 Posting Date",U$9)+NL("Sum","5802 Value Entry","17 Sales Amount (Actual)","41 Source Type",$C$5,"5 Source no.",$C602,"4 Item Ledger Entry Type",$C$4,"2 Item No.","@@"&amp;$F602,"3 Posting Date",U$9)</t>
  </si>
  <si>
    <t>=-NL("Sum","5802 Value Entry","151 Cost Amount (Expected)","41 Source Type",$C$5,"5 Source No.",$C602,"4 Item Ledger Entry Type",$C$4,"2 Item No.","@@"&amp;$F602,"3 Posting Date",U$9)-NL("Sum","5802 Value Entry","43 Cost Amount (Actual)","41 Source Type",$C$5,"5 Source no.",$C602,"4 Item Ledger Entry Type",$C$4,"2 Item No.","@@"&amp;$F602,"3 Posting Date",U$9)</t>
  </si>
  <si>
    <t>=U602-W602</t>
  </si>
  <si>
    <t>=IF(U602&lt;&gt;0,X602/U602,"")</t>
  </si>
  <si>
    <t>=NL("Sum","5802 Value Entry","150 Sales Amount (Expected)","41 Source Type",$C$5,"5 Source No.",$C602,"4 Item Ledger Entry Type",$C$4,"2 Item No.","@@"&amp;$F602,"3 Posting Date",Z$9)+NL("Sum","5802 Value Entry","17 Sales Amount (Actual)","41 Source Type",$C$5,"5 Source no.",$C602,"4 Item Ledger Entry Type",$C$4,"2 Item No.","@@"&amp;$F602,"3 Posting Date",Z$9)</t>
  </si>
  <si>
    <t>=-NL("Sum","5802 Value Entry","151 Cost Amount (Expected)","41 Source Type",$C$5,"5 Source No.",$C602,"4 Item Ledger Entry Type",$C$4,"2 Item No.","@@"&amp;$F602,"3 Posting Date",Z$9)-NL("Sum","5802 Value Entry","43 Cost Amount (Actual)","41 Source Type",$C$5,"5 Source no.",$C602,"4 Item Ledger Entry Type",$C$4,"2 Item No.","@@"&amp;$F602,"3 Posting Date",Z$9)</t>
  </si>
  <si>
    <t>=Z602-AB602</t>
  </si>
  <si>
    <t>=IF(Z602&lt;&gt;0,AC602/Z602,"")</t>
  </si>
  <si>
    <t>=C602</t>
  </si>
  <si>
    <t>=NL("Sum","5802 Value Entry","150 Sales Amount (Expected)","41 Source Type",$C$5,"5 Source No.",$C603,"4 Item Ledger Entry Type",$C$4,"2 Item No.","@@"&amp;$F603,"3 Posting Date",J$9)+NL("Sum","5802 Value Entry","17 Sales Amount (Actual)","41 Source Type",$C$5,"5 Source no.",$C603,"4 Item Ledger Entry Type",$C$4,"2 Item No.","@@"&amp;$F603,"3 Posting Date",J$9)</t>
  </si>
  <si>
    <t>=-NL("Sum","5802 Value Entry","151 Cost Amount (Expected)","41 Source Type",$C$5,"5 Source No.",$C603,"4 Item Ledger Entry Type",$C$4,"2 Item No.","@@"&amp;$F603,"3 Posting Date",J$9)-NL("Sum","5802 Value Entry","43 Cost Amount (Actual)","41 Source Type",$C$5,"5 Source no.",$C603,"4 Item Ledger Entry Type",$C$4,"2 Item No.","@@"&amp;$F603,"3 Posting Date",J$9)</t>
  </si>
  <si>
    <t>=J603-L603</t>
  </si>
  <si>
    <t>=IF(J603&lt;&gt;0,M603/J603,"")</t>
  </si>
  <si>
    <t>=NL("Sum","5802 Value Entry","150 Sales Amount (Expected)","41 Source Type",$C$5,"5 Source No.",$C603,"4 Item Ledger Entry Type",$C$4,"2 Item No.","@@"&amp;$F603,"3 Posting Date",O$9)+NL("Sum","5802 Value Entry","17 Sales Amount (Actual)","41 Source Type",$C$5,"5 Source no.",$C603,"4 Item Ledger Entry Type",$C$4,"2 Item No.","@@"&amp;$F603,"3 Posting Date",O$9)</t>
  </si>
  <si>
    <t>=-NL("Sum","5802 Value Entry","151 Cost Amount (Expected)","41 Source Type",$C$5,"5 Source No.",$C603,"4 Item Ledger Entry Type",$C$4,"2 Item No.","@@"&amp;$F603,"3 Posting Date",O$9)-NL("Sum","5802 Value Entry","43 Cost Amount (Actual)","41 Source Type",$C$5,"5 Source no.",$C603,"4 Item Ledger Entry Type",$C$4,"2 Item No.","@@"&amp;$F603,"3 Posting Date",O$9)</t>
  </si>
  <si>
    <t>=O603-Q603</t>
  </si>
  <si>
    <t>=IF(O603&lt;&gt;0,R603/O603,"")</t>
  </si>
  <si>
    <t>=NL("Sum","5802 Value Entry","150 Sales Amount (Expected)","41 Source Type",$C$5,"5 Source No.",$C603,"4 Item Ledger Entry Type",$C$4,"2 Item No.","@@"&amp;$F603,"3 Posting Date",U$9)+NL("Sum","5802 Value Entry","17 Sales Amount (Actual)","41 Source Type",$C$5,"5 Source no.",$C603,"4 Item Ledger Entry Type",$C$4,"2 Item No.","@@"&amp;$F603,"3 Posting Date",U$9)</t>
  </si>
  <si>
    <t>=-NL("Sum","5802 Value Entry","151 Cost Amount (Expected)","41 Source Type",$C$5,"5 Source No.",$C603,"4 Item Ledger Entry Type",$C$4,"2 Item No.","@@"&amp;$F603,"3 Posting Date",U$9)-NL("Sum","5802 Value Entry","43 Cost Amount (Actual)","41 Source Type",$C$5,"5 Source no.",$C603,"4 Item Ledger Entry Type",$C$4,"2 Item No.","@@"&amp;$F603,"3 Posting Date",U$9)</t>
  </si>
  <si>
    <t>=U603-W603</t>
  </si>
  <si>
    <t>=IF(U603&lt;&gt;0,X603/U603,"")</t>
  </si>
  <si>
    <t>=NL("Sum","5802 Value Entry","150 Sales Amount (Expected)","41 Source Type",$C$5,"5 Source No.",$C603,"4 Item Ledger Entry Type",$C$4,"2 Item No.","@@"&amp;$F603,"3 Posting Date",Z$9)+NL("Sum","5802 Value Entry","17 Sales Amount (Actual)","41 Source Type",$C$5,"5 Source no.",$C603,"4 Item Ledger Entry Type",$C$4,"2 Item No.","@@"&amp;$F603,"3 Posting Date",Z$9)</t>
  </si>
  <si>
    <t>=-NL("Sum","5802 Value Entry","151 Cost Amount (Expected)","41 Source Type",$C$5,"5 Source No.",$C603,"4 Item Ledger Entry Type",$C$4,"2 Item No.","@@"&amp;$F603,"3 Posting Date",Z$9)-NL("Sum","5802 Value Entry","43 Cost Amount (Actual)","41 Source Type",$C$5,"5 Source no.",$C603,"4 Item Ledger Entry Type",$C$4,"2 Item No.","@@"&amp;$F603,"3 Posting Date",Z$9)</t>
  </si>
  <si>
    <t>=Z603-AB603</t>
  </si>
  <si>
    <t>=IF(Z603&lt;&gt;0,AC603/Z603,"")</t>
  </si>
  <si>
    <t>=C603</t>
  </si>
  <si>
    <t>=NL("Sum","5802 Value Entry","150 Sales Amount (Expected)","41 Source Type",$C$5,"5 Source No.",$C604,"4 Item Ledger Entry Type",$C$4,"2 Item No.","@@"&amp;$F604,"3 Posting Date",J$9)+NL("Sum","5802 Value Entry","17 Sales Amount (Actual)","41 Source Type",$C$5,"5 Source no.",$C604,"4 Item Ledger Entry Type",$C$4,"2 Item No.","@@"&amp;$F604,"3 Posting Date",J$9)</t>
  </si>
  <si>
    <t>=-NL("Sum","5802 Value Entry","151 Cost Amount (Expected)","41 Source Type",$C$5,"5 Source No.",$C604,"4 Item Ledger Entry Type",$C$4,"2 Item No.","@@"&amp;$F604,"3 Posting Date",J$9)-NL("Sum","5802 Value Entry","43 Cost Amount (Actual)","41 Source Type",$C$5,"5 Source no.",$C604,"4 Item Ledger Entry Type",$C$4,"2 Item No.","@@"&amp;$F604,"3 Posting Date",J$9)</t>
  </si>
  <si>
    <t>=J604-L604</t>
  </si>
  <si>
    <t>=IF(J604&lt;&gt;0,M604/J604,"")</t>
  </si>
  <si>
    <t>=NL("Sum","5802 Value Entry","150 Sales Amount (Expected)","41 Source Type",$C$5,"5 Source No.",$C604,"4 Item Ledger Entry Type",$C$4,"2 Item No.","@@"&amp;$F604,"3 Posting Date",O$9)+NL("Sum","5802 Value Entry","17 Sales Amount (Actual)","41 Source Type",$C$5,"5 Source no.",$C604,"4 Item Ledger Entry Type",$C$4,"2 Item No.","@@"&amp;$F604,"3 Posting Date",O$9)</t>
  </si>
  <si>
    <t>=-NL("Sum","5802 Value Entry","151 Cost Amount (Expected)","41 Source Type",$C$5,"5 Source No.",$C604,"4 Item Ledger Entry Type",$C$4,"2 Item No.","@@"&amp;$F604,"3 Posting Date",O$9)-NL("Sum","5802 Value Entry","43 Cost Amount (Actual)","41 Source Type",$C$5,"5 Source no.",$C604,"4 Item Ledger Entry Type",$C$4,"2 Item No.","@@"&amp;$F604,"3 Posting Date",O$9)</t>
  </si>
  <si>
    <t>=O604-Q604</t>
  </si>
  <si>
    <t>=IF(O604&lt;&gt;0,R604/O604,"")</t>
  </si>
  <si>
    <t>=NL("Sum","5802 Value Entry","150 Sales Amount (Expected)","41 Source Type",$C$5,"5 Source No.",$C604,"4 Item Ledger Entry Type",$C$4,"2 Item No.","@@"&amp;$F604,"3 Posting Date",U$9)+NL("Sum","5802 Value Entry","17 Sales Amount (Actual)","41 Source Type",$C$5,"5 Source no.",$C604,"4 Item Ledger Entry Type",$C$4,"2 Item No.","@@"&amp;$F604,"3 Posting Date",U$9)</t>
  </si>
  <si>
    <t>=-NL("Sum","5802 Value Entry","151 Cost Amount (Expected)","41 Source Type",$C$5,"5 Source No.",$C604,"4 Item Ledger Entry Type",$C$4,"2 Item No.","@@"&amp;$F604,"3 Posting Date",U$9)-NL("Sum","5802 Value Entry","43 Cost Amount (Actual)","41 Source Type",$C$5,"5 Source no.",$C604,"4 Item Ledger Entry Type",$C$4,"2 Item No.","@@"&amp;$F604,"3 Posting Date",U$9)</t>
  </si>
  <si>
    <t>=U604-W604</t>
  </si>
  <si>
    <t>=IF(U604&lt;&gt;0,X604/U604,"")</t>
  </si>
  <si>
    <t>=NL("Sum","5802 Value Entry","150 Sales Amount (Expected)","41 Source Type",$C$5,"5 Source No.",$C604,"4 Item Ledger Entry Type",$C$4,"2 Item No.","@@"&amp;$F604,"3 Posting Date",Z$9)+NL("Sum","5802 Value Entry","17 Sales Amount (Actual)","41 Source Type",$C$5,"5 Source no.",$C604,"4 Item Ledger Entry Type",$C$4,"2 Item No.","@@"&amp;$F604,"3 Posting Date",Z$9)</t>
  </si>
  <si>
    <t>=-NL("Sum","5802 Value Entry","151 Cost Amount (Expected)","41 Source Type",$C$5,"5 Source No.",$C604,"4 Item Ledger Entry Type",$C$4,"2 Item No.","@@"&amp;$F604,"3 Posting Date",Z$9)-NL("Sum","5802 Value Entry","43 Cost Amount (Actual)","41 Source Type",$C$5,"5 Source no.",$C604,"4 Item Ledger Entry Type",$C$4,"2 Item No.","@@"&amp;$F604,"3 Posting Date",Z$9)</t>
  </si>
  <si>
    <t>=Z604-AB604</t>
  </si>
  <si>
    <t>=IF(Z604&lt;&gt;0,AC604/Z604,"")</t>
  </si>
  <si>
    <t>=C604</t>
  </si>
  <si>
    <t>=NL("Sum","5802 Value Entry","150 Sales Amount (Expected)","41 Source Type",$C$5,"5 Source No.",$C605,"4 Item Ledger Entry Type",$C$4,"2 Item No.","@@"&amp;$F605,"3 Posting Date",J$9)+NL("Sum","5802 Value Entry","17 Sales Amount (Actual)","41 Source Type",$C$5,"5 Source no.",$C605,"4 Item Ledger Entry Type",$C$4,"2 Item No.","@@"&amp;$F605,"3 Posting Date",J$9)</t>
  </si>
  <si>
    <t>=-NL("Sum","5802 Value Entry","151 Cost Amount (Expected)","41 Source Type",$C$5,"5 Source No.",$C605,"4 Item Ledger Entry Type",$C$4,"2 Item No.","@@"&amp;$F605,"3 Posting Date",J$9)-NL("Sum","5802 Value Entry","43 Cost Amount (Actual)","41 Source Type",$C$5,"5 Source no.",$C605,"4 Item Ledger Entry Type",$C$4,"2 Item No.","@@"&amp;$F605,"3 Posting Date",J$9)</t>
  </si>
  <si>
    <t>=J605-L605</t>
  </si>
  <si>
    <t>=IF(J605&lt;&gt;0,M605/J605,"")</t>
  </si>
  <si>
    <t>=NL("Sum","5802 Value Entry","150 Sales Amount (Expected)","41 Source Type",$C$5,"5 Source No.",$C605,"4 Item Ledger Entry Type",$C$4,"2 Item No.","@@"&amp;$F605,"3 Posting Date",O$9)+NL("Sum","5802 Value Entry","17 Sales Amount (Actual)","41 Source Type",$C$5,"5 Source no.",$C605,"4 Item Ledger Entry Type",$C$4,"2 Item No.","@@"&amp;$F605,"3 Posting Date",O$9)</t>
  </si>
  <si>
    <t>=-NL("Sum","5802 Value Entry","151 Cost Amount (Expected)","41 Source Type",$C$5,"5 Source No.",$C605,"4 Item Ledger Entry Type",$C$4,"2 Item No.","@@"&amp;$F605,"3 Posting Date",O$9)-NL("Sum","5802 Value Entry","43 Cost Amount (Actual)","41 Source Type",$C$5,"5 Source no.",$C605,"4 Item Ledger Entry Type",$C$4,"2 Item No.","@@"&amp;$F605,"3 Posting Date",O$9)</t>
  </si>
  <si>
    <t>=O605-Q605</t>
  </si>
  <si>
    <t>=IF(O605&lt;&gt;0,R605/O605,"")</t>
  </si>
  <si>
    <t>=NL("Sum","5802 Value Entry","150 Sales Amount (Expected)","41 Source Type",$C$5,"5 Source No.",$C605,"4 Item Ledger Entry Type",$C$4,"2 Item No.","@@"&amp;$F605,"3 Posting Date",U$9)+NL("Sum","5802 Value Entry","17 Sales Amount (Actual)","41 Source Type",$C$5,"5 Source no.",$C605,"4 Item Ledger Entry Type",$C$4,"2 Item No.","@@"&amp;$F605,"3 Posting Date",U$9)</t>
  </si>
  <si>
    <t>=-NL("Sum","5802 Value Entry","151 Cost Amount (Expected)","41 Source Type",$C$5,"5 Source No.",$C605,"4 Item Ledger Entry Type",$C$4,"2 Item No.","@@"&amp;$F605,"3 Posting Date",U$9)-NL("Sum","5802 Value Entry","43 Cost Amount (Actual)","41 Source Type",$C$5,"5 Source no.",$C605,"4 Item Ledger Entry Type",$C$4,"2 Item No.","@@"&amp;$F605,"3 Posting Date",U$9)</t>
  </si>
  <si>
    <t>=U605-W605</t>
  </si>
  <si>
    <t>=IF(U605&lt;&gt;0,X605/U605,"")</t>
  </si>
  <si>
    <t>=NL("Sum","5802 Value Entry","150 Sales Amount (Expected)","41 Source Type",$C$5,"5 Source No.",$C605,"4 Item Ledger Entry Type",$C$4,"2 Item No.","@@"&amp;$F605,"3 Posting Date",Z$9)+NL("Sum","5802 Value Entry","17 Sales Amount (Actual)","41 Source Type",$C$5,"5 Source no.",$C605,"4 Item Ledger Entry Type",$C$4,"2 Item No.","@@"&amp;$F605,"3 Posting Date",Z$9)</t>
  </si>
  <si>
    <t>=-NL("Sum","5802 Value Entry","151 Cost Amount (Expected)","41 Source Type",$C$5,"5 Source No.",$C605,"4 Item Ledger Entry Type",$C$4,"2 Item No.","@@"&amp;$F605,"3 Posting Date",Z$9)-NL("Sum","5802 Value Entry","43 Cost Amount (Actual)","41 Source Type",$C$5,"5 Source no.",$C605,"4 Item Ledger Entry Type",$C$4,"2 Item No.","@@"&amp;$F605,"3 Posting Date",Z$9)</t>
  </si>
  <si>
    <t>=Z605-AB605</t>
  </si>
  <si>
    <t>=IF(Z605&lt;&gt;0,AC605/Z605,"")</t>
  </si>
  <si>
    <t>=C605</t>
  </si>
  <si>
    <t>=NL("Sum","5802 Value Entry","150 Sales Amount (Expected)","41 Source Type",$C$5,"5 Source No.",$C606,"4 Item Ledger Entry Type",$C$4,"2 Item No.","@@"&amp;$F606,"3 Posting Date",J$9)+NL("Sum","5802 Value Entry","17 Sales Amount (Actual)","41 Source Type",$C$5,"5 Source no.",$C606,"4 Item Ledger Entry Type",$C$4,"2 Item No.","@@"&amp;$F606,"3 Posting Date",J$9)</t>
  </si>
  <si>
    <t>=-NL("Sum","5802 Value Entry","151 Cost Amount (Expected)","41 Source Type",$C$5,"5 Source No.",$C606,"4 Item Ledger Entry Type",$C$4,"2 Item No.","@@"&amp;$F606,"3 Posting Date",J$9)-NL("Sum","5802 Value Entry","43 Cost Amount (Actual)","41 Source Type",$C$5,"5 Source no.",$C606,"4 Item Ledger Entry Type",$C$4,"2 Item No.","@@"&amp;$F606,"3 Posting Date",J$9)</t>
  </si>
  <si>
    <t>=J606-L606</t>
  </si>
  <si>
    <t>=IF(J606&lt;&gt;0,M606/J606,"")</t>
  </si>
  <si>
    <t>=NL("Sum","5802 Value Entry","150 Sales Amount (Expected)","41 Source Type",$C$5,"5 Source No.",$C606,"4 Item Ledger Entry Type",$C$4,"2 Item No.","@@"&amp;$F606,"3 Posting Date",O$9)+NL("Sum","5802 Value Entry","17 Sales Amount (Actual)","41 Source Type",$C$5,"5 Source no.",$C606,"4 Item Ledger Entry Type",$C$4,"2 Item No.","@@"&amp;$F606,"3 Posting Date",O$9)</t>
  </si>
  <si>
    <t>=-NL("Sum","5802 Value Entry","151 Cost Amount (Expected)","41 Source Type",$C$5,"5 Source No.",$C606,"4 Item Ledger Entry Type",$C$4,"2 Item No.","@@"&amp;$F606,"3 Posting Date",O$9)-NL("Sum","5802 Value Entry","43 Cost Amount (Actual)","41 Source Type",$C$5,"5 Source no.",$C606,"4 Item Ledger Entry Type",$C$4,"2 Item No.","@@"&amp;$F606,"3 Posting Date",O$9)</t>
  </si>
  <si>
    <t>=O606-Q606</t>
  </si>
  <si>
    <t>=IF(O606&lt;&gt;0,R606/O606,"")</t>
  </si>
  <si>
    <t>=NL("Sum","5802 Value Entry","150 Sales Amount (Expected)","41 Source Type",$C$5,"5 Source No.",$C606,"4 Item Ledger Entry Type",$C$4,"2 Item No.","@@"&amp;$F606,"3 Posting Date",U$9)+NL("Sum","5802 Value Entry","17 Sales Amount (Actual)","41 Source Type",$C$5,"5 Source no.",$C606,"4 Item Ledger Entry Type",$C$4,"2 Item No.","@@"&amp;$F606,"3 Posting Date",U$9)</t>
  </si>
  <si>
    <t>=-NL("Sum","5802 Value Entry","151 Cost Amount (Expected)","41 Source Type",$C$5,"5 Source No.",$C606,"4 Item Ledger Entry Type",$C$4,"2 Item No.","@@"&amp;$F606,"3 Posting Date",U$9)-NL("Sum","5802 Value Entry","43 Cost Amount (Actual)","41 Source Type",$C$5,"5 Source no.",$C606,"4 Item Ledger Entry Type",$C$4,"2 Item No.","@@"&amp;$F606,"3 Posting Date",U$9)</t>
  </si>
  <si>
    <t>=U606-W606</t>
  </si>
  <si>
    <t>=IF(U606&lt;&gt;0,X606/U606,"")</t>
  </si>
  <si>
    <t>=NL("Sum","5802 Value Entry","150 Sales Amount (Expected)","41 Source Type",$C$5,"5 Source No.",$C606,"4 Item Ledger Entry Type",$C$4,"2 Item No.","@@"&amp;$F606,"3 Posting Date",Z$9)+NL("Sum","5802 Value Entry","17 Sales Amount (Actual)","41 Source Type",$C$5,"5 Source no.",$C606,"4 Item Ledger Entry Type",$C$4,"2 Item No.","@@"&amp;$F606,"3 Posting Date",Z$9)</t>
  </si>
  <si>
    <t>=-NL("Sum","5802 Value Entry","151 Cost Amount (Expected)","41 Source Type",$C$5,"5 Source No.",$C606,"4 Item Ledger Entry Type",$C$4,"2 Item No.","@@"&amp;$F606,"3 Posting Date",Z$9)-NL("Sum","5802 Value Entry","43 Cost Amount (Actual)","41 Source Type",$C$5,"5 Source no.",$C606,"4 Item Ledger Entry Type",$C$4,"2 Item No.","@@"&amp;$F606,"3 Posting Date",Z$9)</t>
  </si>
  <si>
    <t>=Z606-AB606</t>
  </si>
  <si>
    <t>=IF(Z606&lt;&gt;0,AC606/Z606,"")</t>
  </si>
  <si>
    <t>=C606</t>
  </si>
  <si>
    <t>=NL("Sum","5802 Value Entry","150 Sales Amount (Expected)","41 Source Type",$C$5,"5 Source No.",$C607,"4 Item Ledger Entry Type",$C$4,"2 Item No.","@@"&amp;$F607,"3 Posting Date",J$9)+NL("Sum","5802 Value Entry","17 Sales Amount (Actual)","41 Source Type",$C$5,"5 Source no.",$C607,"4 Item Ledger Entry Type",$C$4,"2 Item No.","@@"&amp;$F607,"3 Posting Date",J$9)</t>
  </si>
  <si>
    <t>=-NL("Sum","5802 Value Entry","151 Cost Amount (Expected)","41 Source Type",$C$5,"5 Source No.",$C607,"4 Item Ledger Entry Type",$C$4,"2 Item No.","@@"&amp;$F607,"3 Posting Date",J$9)-NL("Sum","5802 Value Entry","43 Cost Amount (Actual)","41 Source Type",$C$5,"5 Source no.",$C607,"4 Item Ledger Entry Type",$C$4,"2 Item No.","@@"&amp;$F607,"3 Posting Date",J$9)</t>
  </si>
  <si>
    <t>=J607-L607</t>
  </si>
  <si>
    <t>=IF(J607&lt;&gt;0,M607/J607,"")</t>
  </si>
  <si>
    <t>=NL("Sum","5802 Value Entry","150 Sales Amount (Expected)","41 Source Type",$C$5,"5 Source No.",$C607,"4 Item Ledger Entry Type",$C$4,"2 Item No.","@@"&amp;$F607,"3 Posting Date",O$9)+NL("Sum","5802 Value Entry","17 Sales Amount (Actual)","41 Source Type",$C$5,"5 Source no.",$C607,"4 Item Ledger Entry Type",$C$4,"2 Item No.","@@"&amp;$F607,"3 Posting Date",O$9)</t>
  </si>
  <si>
    <t>=-NL("Sum","5802 Value Entry","151 Cost Amount (Expected)","41 Source Type",$C$5,"5 Source No.",$C607,"4 Item Ledger Entry Type",$C$4,"2 Item No.","@@"&amp;$F607,"3 Posting Date",O$9)-NL("Sum","5802 Value Entry","43 Cost Amount (Actual)","41 Source Type",$C$5,"5 Source no.",$C607,"4 Item Ledger Entry Type",$C$4,"2 Item No.","@@"&amp;$F607,"3 Posting Date",O$9)</t>
  </si>
  <si>
    <t>=O607-Q607</t>
  </si>
  <si>
    <t>=IF(O607&lt;&gt;0,R607/O607,"")</t>
  </si>
  <si>
    <t>=NL("Sum","5802 Value Entry","150 Sales Amount (Expected)","41 Source Type",$C$5,"5 Source No.",$C607,"4 Item Ledger Entry Type",$C$4,"2 Item No.","@@"&amp;$F607,"3 Posting Date",U$9)+NL("Sum","5802 Value Entry","17 Sales Amount (Actual)","41 Source Type",$C$5,"5 Source no.",$C607,"4 Item Ledger Entry Type",$C$4,"2 Item No.","@@"&amp;$F607,"3 Posting Date",U$9)</t>
  </si>
  <si>
    <t>=-NL("Sum","5802 Value Entry","151 Cost Amount (Expected)","41 Source Type",$C$5,"5 Source No.",$C607,"4 Item Ledger Entry Type",$C$4,"2 Item No.","@@"&amp;$F607,"3 Posting Date",U$9)-NL("Sum","5802 Value Entry","43 Cost Amount (Actual)","41 Source Type",$C$5,"5 Source no.",$C607,"4 Item Ledger Entry Type",$C$4,"2 Item No.","@@"&amp;$F607,"3 Posting Date",U$9)</t>
  </si>
  <si>
    <t>=U607-W607</t>
  </si>
  <si>
    <t>=IF(U607&lt;&gt;0,X607/U607,"")</t>
  </si>
  <si>
    <t>=NL("Sum","5802 Value Entry","150 Sales Amount (Expected)","41 Source Type",$C$5,"5 Source No.",$C607,"4 Item Ledger Entry Type",$C$4,"2 Item No.","@@"&amp;$F607,"3 Posting Date",Z$9)+NL("Sum","5802 Value Entry","17 Sales Amount (Actual)","41 Source Type",$C$5,"5 Source no.",$C607,"4 Item Ledger Entry Type",$C$4,"2 Item No.","@@"&amp;$F607,"3 Posting Date",Z$9)</t>
  </si>
  <si>
    <t>=-NL("Sum","5802 Value Entry","151 Cost Amount (Expected)","41 Source Type",$C$5,"5 Source No.",$C607,"4 Item Ledger Entry Type",$C$4,"2 Item No.","@@"&amp;$F607,"3 Posting Date",Z$9)-NL("Sum","5802 Value Entry","43 Cost Amount (Actual)","41 Source Type",$C$5,"5 Source no.",$C607,"4 Item Ledger Entry Type",$C$4,"2 Item No.","@@"&amp;$F607,"3 Posting Date",Z$9)</t>
  </si>
  <si>
    <t>=Z607-AB607</t>
  </si>
  <si>
    <t>=IF(Z607&lt;&gt;0,AC607/Z607,"")</t>
  </si>
  <si>
    <t>=C607</t>
  </si>
  <si>
    <t>=NL("Sum","5802 Value Entry","150 Sales Amount (Expected)","41 Source Type",$C$5,"5 Source No.",$C608,"4 Item Ledger Entry Type",$C$4,"2 Item No.","@@"&amp;$F608,"3 Posting Date",J$9)+NL("Sum","5802 Value Entry","17 Sales Amount (Actual)","41 Source Type",$C$5,"5 Source no.",$C608,"4 Item Ledger Entry Type",$C$4,"2 Item No.","@@"&amp;$F608,"3 Posting Date",J$9)</t>
  </si>
  <si>
    <t>=-NL("Sum","5802 Value Entry","151 Cost Amount (Expected)","41 Source Type",$C$5,"5 Source No.",$C608,"4 Item Ledger Entry Type",$C$4,"2 Item No.","@@"&amp;$F608,"3 Posting Date",J$9)-NL("Sum","5802 Value Entry","43 Cost Amount (Actual)","41 Source Type",$C$5,"5 Source no.",$C608,"4 Item Ledger Entry Type",$C$4,"2 Item No.","@@"&amp;$F608,"3 Posting Date",J$9)</t>
  </si>
  <si>
    <t>=J608-L608</t>
  </si>
  <si>
    <t>=IF(J608&lt;&gt;0,M608/J608,"")</t>
  </si>
  <si>
    <t>=NL("Sum","5802 Value Entry","150 Sales Amount (Expected)","41 Source Type",$C$5,"5 Source No.",$C608,"4 Item Ledger Entry Type",$C$4,"2 Item No.","@@"&amp;$F608,"3 Posting Date",O$9)+NL("Sum","5802 Value Entry","17 Sales Amount (Actual)","41 Source Type",$C$5,"5 Source no.",$C608,"4 Item Ledger Entry Type",$C$4,"2 Item No.","@@"&amp;$F608,"3 Posting Date",O$9)</t>
  </si>
  <si>
    <t>=-NL("Sum","5802 Value Entry","151 Cost Amount (Expected)","41 Source Type",$C$5,"5 Source No.",$C608,"4 Item Ledger Entry Type",$C$4,"2 Item No.","@@"&amp;$F608,"3 Posting Date",O$9)-NL("Sum","5802 Value Entry","43 Cost Amount (Actual)","41 Source Type",$C$5,"5 Source no.",$C608,"4 Item Ledger Entry Type",$C$4,"2 Item No.","@@"&amp;$F608,"3 Posting Date",O$9)</t>
  </si>
  <si>
    <t>=O608-Q608</t>
  </si>
  <si>
    <t>=IF(O608&lt;&gt;0,R608/O608,"")</t>
  </si>
  <si>
    <t>=NL("Sum","5802 Value Entry","150 Sales Amount (Expected)","41 Source Type",$C$5,"5 Source No.",$C608,"4 Item Ledger Entry Type",$C$4,"2 Item No.","@@"&amp;$F608,"3 Posting Date",U$9)+NL("Sum","5802 Value Entry","17 Sales Amount (Actual)","41 Source Type",$C$5,"5 Source no.",$C608,"4 Item Ledger Entry Type",$C$4,"2 Item No.","@@"&amp;$F608,"3 Posting Date",U$9)</t>
  </si>
  <si>
    <t>=-NL("Sum","5802 Value Entry","151 Cost Amount (Expected)","41 Source Type",$C$5,"5 Source No.",$C608,"4 Item Ledger Entry Type",$C$4,"2 Item No.","@@"&amp;$F608,"3 Posting Date",U$9)-NL("Sum","5802 Value Entry","43 Cost Amount (Actual)","41 Source Type",$C$5,"5 Source no.",$C608,"4 Item Ledger Entry Type",$C$4,"2 Item No.","@@"&amp;$F608,"3 Posting Date",U$9)</t>
  </si>
  <si>
    <t>=U608-W608</t>
  </si>
  <si>
    <t>=IF(U608&lt;&gt;0,X608/U608,"")</t>
  </si>
  <si>
    <t>=NL("Sum","5802 Value Entry","150 Sales Amount (Expected)","41 Source Type",$C$5,"5 Source No.",$C608,"4 Item Ledger Entry Type",$C$4,"2 Item No.","@@"&amp;$F608,"3 Posting Date",Z$9)+NL("Sum","5802 Value Entry","17 Sales Amount (Actual)","41 Source Type",$C$5,"5 Source no.",$C608,"4 Item Ledger Entry Type",$C$4,"2 Item No.","@@"&amp;$F608,"3 Posting Date",Z$9)</t>
  </si>
  <si>
    <t>=-NL("Sum","5802 Value Entry","151 Cost Amount (Expected)","41 Source Type",$C$5,"5 Source No.",$C608,"4 Item Ledger Entry Type",$C$4,"2 Item No.","@@"&amp;$F608,"3 Posting Date",Z$9)-NL("Sum","5802 Value Entry","43 Cost Amount (Actual)","41 Source Type",$C$5,"5 Source no.",$C608,"4 Item Ledger Entry Type",$C$4,"2 Item No.","@@"&amp;$F608,"3 Posting Date",Z$9)</t>
  </si>
  <si>
    <t>=Z608-AB608</t>
  </si>
  <si>
    <t>=IF(Z608&lt;&gt;0,AC608/Z608,"")</t>
  </si>
  <si>
    <t>=C608</t>
  </si>
  <si>
    <t>=NL("Sum","5802 Value Entry","150 Sales Amount (Expected)","41 Source Type",$C$5,"5 Source No.",$C609,"4 Item Ledger Entry Type",$C$4,"2 Item No.","@@"&amp;$F609,"3 Posting Date",J$9)+NL("Sum","5802 Value Entry","17 Sales Amount (Actual)","41 Source Type",$C$5,"5 Source no.",$C609,"4 Item Ledger Entry Type",$C$4,"2 Item No.","@@"&amp;$F609,"3 Posting Date",J$9)</t>
  </si>
  <si>
    <t>=-NL("Sum","5802 Value Entry","151 Cost Amount (Expected)","41 Source Type",$C$5,"5 Source No.",$C609,"4 Item Ledger Entry Type",$C$4,"2 Item No.","@@"&amp;$F609,"3 Posting Date",J$9)-NL("Sum","5802 Value Entry","43 Cost Amount (Actual)","41 Source Type",$C$5,"5 Source no.",$C609,"4 Item Ledger Entry Type",$C$4,"2 Item No.","@@"&amp;$F609,"3 Posting Date",J$9)</t>
  </si>
  <si>
    <t>=J609-L609</t>
  </si>
  <si>
    <t>=IF(J609&lt;&gt;0,M609/J609,"")</t>
  </si>
  <si>
    <t>=NL("Sum","5802 Value Entry","150 Sales Amount (Expected)","41 Source Type",$C$5,"5 Source No.",$C609,"4 Item Ledger Entry Type",$C$4,"2 Item No.","@@"&amp;$F609,"3 Posting Date",O$9)+NL("Sum","5802 Value Entry","17 Sales Amount (Actual)","41 Source Type",$C$5,"5 Source no.",$C609,"4 Item Ledger Entry Type",$C$4,"2 Item No.","@@"&amp;$F609,"3 Posting Date",O$9)</t>
  </si>
  <si>
    <t>=-NL("Sum","5802 Value Entry","151 Cost Amount (Expected)","41 Source Type",$C$5,"5 Source No.",$C609,"4 Item Ledger Entry Type",$C$4,"2 Item No.","@@"&amp;$F609,"3 Posting Date",O$9)-NL("Sum","5802 Value Entry","43 Cost Amount (Actual)","41 Source Type",$C$5,"5 Source no.",$C609,"4 Item Ledger Entry Type",$C$4,"2 Item No.","@@"&amp;$F609,"3 Posting Date",O$9)</t>
  </si>
  <si>
    <t>=O609-Q609</t>
  </si>
  <si>
    <t>=IF(O609&lt;&gt;0,R609/O609,"")</t>
  </si>
  <si>
    <t>=NL("Sum","5802 Value Entry","150 Sales Amount (Expected)","41 Source Type",$C$5,"5 Source No.",$C609,"4 Item Ledger Entry Type",$C$4,"2 Item No.","@@"&amp;$F609,"3 Posting Date",U$9)+NL("Sum","5802 Value Entry","17 Sales Amount (Actual)","41 Source Type",$C$5,"5 Source no.",$C609,"4 Item Ledger Entry Type",$C$4,"2 Item No.","@@"&amp;$F609,"3 Posting Date",U$9)</t>
  </si>
  <si>
    <t>=-NL("Sum","5802 Value Entry","151 Cost Amount (Expected)","41 Source Type",$C$5,"5 Source No.",$C609,"4 Item Ledger Entry Type",$C$4,"2 Item No.","@@"&amp;$F609,"3 Posting Date",U$9)-NL("Sum","5802 Value Entry","43 Cost Amount (Actual)","41 Source Type",$C$5,"5 Source no.",$C609,"4 Item Ledger Entry Type",$C$4,"2 Item No.","@@"&amp;$F609,"3 Posting Date",U$9)</t>
  </si>
  <si>
    <t>=U609-W609</t>
  </si>
  <si>
    <t>=IF(U609&lt;&gt;0,X609/U609,"")</t>
  </si>
  <si>
    <t>=NL("Sum","5802 Value Entry","150 Sales Amount (Expected)","41 Source Type",$C$5,"5 Source No.",$C609,"4 Item Ledger Entry Type",$C$4,"2 Item No.","@@"&amp;$F609,"3 Posting Date",Z$9)+NL("Sum","5802 Value Entry","17 Sales Amount (Actual)","41 Source Type",$C$5,"5 Source no.",$C609,"4 Item Ledger Entry Type",$C$4,"2 Item No.","@@"&amp;$F609,"3 Posting Date",Z$9)</t>
  </si>
  <si>
    <t>=-NL("Sum","5802 Value Entry","151 Cost Amount (Expected)","41 Source Type",$C$5,"5 Source No.",$C609,"4 Item Ledger Entry Type",$C$4,"2 Item No.","@@"&amp;$F609,"3 Posting Date",Z$9)-NL("Sum","5802 Value Entry","43 Cost Amount (Actual)","41 Source Type",$C$5,"5 Source no.",$C609,"4 Item Ledger Entry Type",$C$4,"2 Item No.","@@"&amp;$F609,"3 Posting Date",Z$9)</t>
  </si>
  <si>
    <t>=Z609-AB609</t>
  </si>
  <si>
    <t>=IF(Z609&lt;&gt;0,AC609/Z609,"")</t>
  </si>
  <si>
    <t>=C609</t>
  </si>
  <si>
    <t>=NL("Sum","5802 Value Entry","150 Sales Amount (Expected)","41 Source Type",$C$5,"5 Source No.",$C610,"4 Item Ledger Entry Type",$C$4,"2 Item No.","@@"&amp;$F610,"3 Posting Date",J$9)+NL("Sum","5802 Value Entry","17 Sales Amount (Actual)","41 Source Type",$C$5,"5 Source no.",$C610,"4 Item Ledger Entry Type",$C$4,"2 Item No.","@@"&amp;$F610,"3 Posting Date",J$9)</t>
  </si>
  <si>
    <t>=-NL("Sum","5802 Value Entry","151 Cost Amount (Expected)","41 Source Type",$C$5,"5 Source No.",$C610,"4 Item Ledger Entry Type",$C$4,"2 Item No.","@@"&amp;$F610,"3 Posting Date",J$9)-NL("Sum","5802 Value Entry","43 Cost Amount (Actual)","41 Source Type",$C$5,"5 Source no.",$C610,"4 Item Ledger Entry Type",$C$4,"2 Item No.","@@"&amp;$F610,"3 Posting Date",J$9)</t>
  </si>
  <si>
    <t>=J610-L610</t>
  </si>
  <si>
    <t>=IF(J610&lt;&gt;0,M610/J610,"")</t>
  </si>
  <si>
    <t>=NL("Sum","5802 Value Entry","150 Sales Amount (Expected)","41 Source Type",$C$5,"5 Source No.",$C610,"4 Item Ledger Entry Type",$C$4,"2 Item No.","@@"&amp;$F610,"3 Posting Date",O$9)+NL("Sum","5802 Value Entry","17 Sales Amount (Actual)","41 Source Type",$C$5,"5 Source no.",$C610,"4 Item Ledger Entry Type",$C$4,"2 Item No.","@@"&amp;$F610,"3 Posting Date",O$9)</t>
  </si>
  <si>
    <t>=-NL("Sum","5802 Value Entry","151 Cost Amount (Expected)","41 Source Type",$C$5,"5 Source No.",$C610,"4 Item Ledger Entry Type",$C$4,"2 Item No.","@@"&amp;$F610,"3 Posting Date",O$9)-NL("Sum","5802 Value Entry","43 Cost Amount (Actual)","41 Source Type",$C$5,"5 Source no.",$C610,"4 Item Ledger Entry Type",$C$4,"2 Item No.","@@"&amp;$F610,"3 Posting Date",O$9)</t>
  </si>
  <si>
    <t>=O610-Q610</t>
  </si>
  <si>
    <t>=IF(O610&lt;&gt;0,R610/O610,"")</t>
  </si>
  <si>
    <t>=NL("Sum","5802 Value Entry","150 Sales Amount (Expected)","41 Source Type",$C$5,"5 Source No.",$C610,"4 Item Ledger Entry Type",$C$4,"2 Item No.","@@"&amp;$F610,"3 Posting Date",U$9)+NL("Sum","5802 Value Entry","17 Sales Amount (Actual)","41 Source Type",$C$5,"5 Source no.",$C610,"4 Item Ledger Entry Type",$C$4,"2 Item No.","@@"&amp;$F610,"3 Posting Date",U$9)</t>
  </si>
  <si>
    <t>=-NL("Sum","5802 Value Entry","151 Cost Amount (Expected)","41 Source Type",$C$5,"5 Source No.",$C610,"4 Item Ledger Entry Type",$C$4,"2 Item No.","@@"&amp;$F610,"3 Posting Date",U$9)-NL("Sum","5802 Value Entry","43 Cost Amount (Actual)","41 Source Type",$C$5,"5 Source no.",$C610,"4 Item Ledger Entry Type",$C$4,"2 Item No.","@@"&amp;$F610,"3 Posting Date",U$9)</t>
  </si>
  <si>
    <t>=U610-W610</t>
  </si>
  <si>
    <t>=IF(U610&lt;&gt;0,X610/U610,"")</t>
  </si>
  <si>
    <t>=NL("Sum","5802 Value Entry","150 Sales Amount (Expected)","41 Source Type",$C$5,"5 Source No.",$C610,"4 Item Ledger Entry Type",$C$4,"2 Item No.","@@"&amp;$F610,"3 Posting Date",Z$9)+NL("Sum","5802 Value Entry","17 Sales Amount (Actual)","41 Source Type",$C$5,"5 Source no.",$C610,"4 Item Ledger Entry Type",$C$4,"2 Item No.","@@"&amp;$F610,"3 Posting Date",Z$9)</t>
  </si>
  <si>
    <t>=-NL("Sum","5802 Value Entry","151 Cost Amount (Expected)","41 Source Type",$C$5,"5 Source No.",$C610,"4 Item Ledger Entry Type",$C$4,"2 Item No.","@@"&amp;$F610,"3 Posting Date",Z$9)-NL("Sum","5802 Value Entry","43 Cost Amount (Actual)","41 Source Type",$C$5,"5 Source no.",$C610,"4 Item Ledger Entry Type",$C$4,"2 Item No.","@@"&amp;$F610,"3 Posting Date",Z$9)</t>
  </si>
  <si>
    <t>=Z610-AB610</t>
  </si>
  <si>
    <t>=IF(Z610&lt;&gt;0,AC610/Z610,"")</t>
  </si>
  <si>
    <t>=C610</t>
  </si>
  <si>
    <t>=NL("Sum","5802 Value Entry","150 Sales Amount (Expected)","41 Source Type",$C$5,"5 Source No.",$C611,"4 Item Ledger Entry Type",$C$4,"2 Item No.","@@"&amp;$F611,"3 Posting Date",J$9)+NL("Sum","5802 Value Entry","17 Sales Amount (Actual)","41 Source Type",$C$5,"5 Source no.",$C611,"4 Item Ledger Entry Type",$C$4,"2 Item No.","@@"&amp;$F611,"3 Posting Date",J$9)</t>
  </si>
  <si>
    <t>=-NL("Sum","5802 Value Entry","151 Cost Amount (Expected)","41 Source Type",$C$5,"5 Source No.",$C611,"4 Item Ledger Entry Type",$C$4,"2 Item No.","@@"&amp;$F611,"3 Posting Date",J$9)-NL("Sum","5802 Value Entry","43 Cost Amount (Actual)","41 Source Type",$C$5,"5 Source no.",$C611,"4 Item Ledger Entry Type",$C$4,"2 Item No.","@@"&amp;$F611,"3 Posting Date",J$9)</t>
  </si>
  <si>
    <t>=J611-L611</t>
  </si>
  <si>
    <t>=IF(J611&lt;&gt;0,M611/J611,"")</t>
  </si>
  <si>
    <t>=NL("Sum","5802 Value Entry","150 Sales Amount (Expected)","41 Source Type",$C$5,"5 Source No.",$C611,"4 Item Ledger Entry Type",$C$4,"2 Item No.","@@"&amp;$F611,"3 Posting Date",O$9)+NL("Sum","5802 Value Entry","17 Sales Amount (Actual)","41 Source Type",$C$5,"5 Source no.",$C611,"4 Item Ledger Entry Type",$C$4,"2 Item No.","@@"&amp;$F611,"3 Posting Date",O$9)</t>
  </si>
  <si>
    <t>=-NL("Sum","5802 Value Entry","151 Cost Amount (Expected)","41 Source Type",$C$5,"5 Source No.",$C611,"4 Item Ledger Entry Type",$C$4,"2 Item No.","@@"&amp;$F611,"3 Posting Date",O$9)-NL("Sum","5802 Value Entry","43 Cost Amount (Actual)","41 Source Type",$C$5,"5 Source no.",$C611,"4 Item Ledger Entry Type",$C$4,"2 Item No.","@@"&amp;$F611,"3 Posting Date",O$9)</t>
  </si>
  <si>
    <t>=O611-Q611</t>
  </si>
  <si>
    <t>=IF(O611&lt;&gt;0,R611/O611,"")</t>
  </si>
  <si>
    <t>=NL("Sum","5802 Value Entry","150 Sales Amount (Expected)","41 Source Type",$C$5,"5 Source No.",$C611,"4 Item Ledger Entry Type",$C$4,"2 Item No.","@@"&amp;$F611,"3 Posting Date",U$9)+NL("Sum","5802 Value Entry","17 Sales Amount (Actual)","41 Source Type",$C$5,"5 Source no.",$C611,"4 Item Ledger Entry Type",$C$4,"2 Item No.","@@"&amp;$F611,"3 Posting Date",U$9)</t>
  </si>
  <si>
    <t>=-NL("Sum","5802 Value Entry","151 Cost Amount (Expected)","41 Source Type",$C$5,"5 Source No.",$C611,"4 Item Ledger Entry Type",$C$4,"2 Item No.","@@"&amp;$F611,"3 Posting Date",U$9)-NL("Sum","5802 Value Entry","43 Cost Amount (Actual)","41 Source Type",$C$5,"5 Source no.",$C611,"4 Item Ledger Entry Type",$C$4,"2 Item No.","@@"&amp;$F611,"3 Posting Date",U$9)</t>
  </si>
  <si>
    <t>=U611-W611</t>
  </si>
  <si>
    <t>=IF(U611&lt;&gt;0,X611/U611,"")</t>
  </si>
  <si>
    <t>=NL("Sum","5802 Value Entry","150 Sales Amount (Expected)","41 Source Type",$C$5,"5 Source No.",$C611,"4 Item Ledger Entry Type",$C$4,"2 Item No.","@@"&amp;$F611,"3 Posting Date",Z$9)+NL("Sum","5802 Value Entry","17 Sales Amount (Actual)","41 Source Type",$C$5,"5 Source no.",$C611,"4 Item Ledger Entry Type",$C$4,"2 Item No.","@@"&amp;$F611,"3 Posting Date",Z$9)</t>
  </si>
  <si>
    <t>=-NL("Sum","5802 Value Entry","151 Cost Amount (Expected)","41 Source Type",$C$5,"5 Source No.",$C611,"4 Item Ledger Entry Type",$C$4,"2 Item No.","@@"&amp;$F611,"3 Posting Date",Z$9)-NL("Sum","5802 Value Entry","43 Cost Amount (Actual)","41 Source Type",$C$5,"5 Source no.",$C611,"4 Item Ledger Entry Type",$C$4,"2 Item No.","@@"&amp;$F611,"3 Posting Date",Z$9)</t>
  </si>
  <si>
    <t>=Z611-AB611</t>
  </si>
  <si>
    <t>=IF(Z611&lt;&gt;0,AC611/Z611,"")</t>
  </si>
  <si>
    <t>=C611</t>
  </si>
  <si>
    <t>=NL("Sum","5802 Value Entry","150 Sales Amount (Expected)","41 Source Type",$C$5,"5 Source No.",$C612,"4 Item Ledger Entry Type",$C$4,"2 Item No.","@@"&amp;$F612,"3 Posting Date",J$9)+NL("Sum","5802 Value Entry","17 Sales Amount (Actual)","41 Source Type",$C$5,"5 Source no.",$C612,"4 Item Ledger Entry Type",$C$4,"2 Item No.","@@"&amp;$F612,"3 Posting Date",J$9)</t>
  </si>
  <si>
    <t>=-NL("Sum","5802 Value Entry","151 Cost Amount (Expected)","41 Source Type",$C$5,"5 Source No.",$C612,"4 Item Ledger Entry Type",$C$4,"2 Item No.","@@"&amp;$F612,"3 Posting Date",J$9)-NL("Sum","5802 Value Entry","43 Cost Amount (Actual)","41 Source Type",$C$5,"5 Source no.",$C612,"4 Item Ledger Entry Type",$C$4,"2 Item No.","@@"&amp;$F612,"3 Posting Date",J$9)</t>
  </si>
  <si>
    <t>=J612-L612</t>
  </si>
  <si>
    <t>=IF(J612&lt;&gt;0,M612/J612,"")</t>
  </si>
  <si>
    <t>=NL("Sum","5802 Value Entry","150 Sales Amount (Expected)","41 Source Type",$C$5,"5 Source No.",$C612,"4 Item Ledger Entry Type",$C$4,"2 Item No.","@@"&amp;$F612,"3 Posting Date",O$9)+NL("Sum","5802 Value Entry","17 Sales Amount (Actual)","41 Source Type",$C$5,"5 Source no.",$C612,"4 Item Ledger Entry Type",$C$4,"2 Item No.","@@"&amp;$F612,"3 Posting Date",O$9)</t>
  </si>
  <si>
    <t>=-NL("Sum","5802 Value Entry","151 Cost Amount (Expected)","41 Source Type",$C$5,"5 Source No.",$C612,"4 Item Ledger Entry Type",$C$4,"2 Item No.","@@"&amp;$F612,"3 Posting Date",O$9)-NL("Sum","5802 Value Entry","43 Cost Amount (Actual)","41 Source Type",$C$5,"5 Source no.",$C612,"4 Item Ledger Entry Type",$C$4,"2 Item No.","@@"&amp;$F612,"3 Posting Date",O$9)</t>
  </si>
  <si>
    <t>=O612-Q612</t>
  </si>
  <si>
    <t>=IF(O612&lt;&gt;0,R612/O612,"")</t>
  </si>
  <si>
    <t>=NL("Sum","5802 Value Entry","150 Sales Amount (Expected)","41 Source Type",$C$5,"5 Source No.",$C612,"4 Item Ledger Entry Type",$C$4,"2 Item No.","@@"&amp;$F612,"3 Posting Date",U$9)+NL("Sum","5802 Value Entry","17 Sales Amount (Actual)","41 Source Type",$C$5,"5 Source no.",$C612,"4 Item Ledger Entry Type",$C$4,"2 Item No.","@@"&amp;$F612,"3 Posting Date",U$9)</t>
  </si>
  <si>
    <t>=-NL("Sum","5802 Value Entry","151 Cost Amount (Expected)","41 Source Type",$C$5,"5 Source No.",$C612,"4 Item Ledger Entry Type",$C$4,"2 Item No.","@@"&amp;$F612,"3 Posting Date",U$9)-NL("Sum","5802 Value Entry","43 Cost Amount (Actual)","41 Source Type",$C$5,"5 Source no.",$C612,"4 Item Ledger Entry Type",$C$4,"2 Item No.","@@"&amp;$F612,"3 Posting Date",U$9)</t>
  </si>
  <si>
    <t>=U612-W612</t>
  </si>
  <si>
    <t>=IF(U612&lt;&gt;0,X612/U612,"")</t>
  </si>
  <si>
    <t>=NL("Sum","5802 Value Entry","150 Sales Amount (Expected)","41 Source Type",$C$5,"5 Source No.",$C612,"4 Item Ledger Entry Type",$C$4,"2 Item No.","@@"&amp;$F612,"3 Posting Date",Z$9)+NL("Sum","5802 Value Entry","17 Sales Amount (Actual)","41 Source Type",$C$5,"5 Source no.",$C612,"4 Item Ledger Entry Type",$C$4,"2 Item No.","@@"&amp;$F612,"3 Posting Date",Z$9)</t>
  </si>
  <si>
    <t>=-NL("Sum","5802 Value Entry","151 Cost Amount (Expected)","41 Source Type",$C$5,"5 Source No.",$C612,"4 Item Ledger Entry Type",$C$4,"2 Item No.","@@"&amp;$F612,"3 Posting Date",Z$9)-NL("Sum","5802 Value Entry","43 Cost Amount (Actual)","41 Source Type",$C$5,"5 Source no.",$C612,"4 Item Ledger Entry Type",$C$4,"2 Item No.","@@"&amp;$F612,"3 Posting Date",Z$9)</t>
  </si>
  <si>
    <t>=Z612-AB612</t>
  </si>
  <si>
    <t>=IF(Z612&lt;&gt;0,AC612/Z612,"")</t>
  </si>
  <si>
    <t>=C613</t>
  </si>
  <si>
    <t>=J614-L614</t>
  </si>
  <si>
    <t>=IF(J614&lt;&gt;0,M614/J614,"")</t>
  </si>
  <si>
    <t>=O614-Q614</t>
  </si>
  <si>
    <t>=IF(O614&lt;&gt;0,R614/O614,"")</t>
  </si>
  <si>
    <t>=U614-W614</t>
  </si>
  <si>
    <t>=IF(U614&lt;&gt;0,X614/U614,"")</t>
  </si>
  <si>
    <t>=Z614-AB614</t>
  </si>
  <si>
    <t>=IF(Z614&lt;&gt;0,AC614/Z614,"")</t>
  </si>
  <si>
    <t>=C616</t>
  </si>
  <si>
    <t>=C617</t>
  </si>
  <si>
    <t>=NL("Sum","5802 Value Entry","150 Sales Amount (Expected)","41 Source Type",$C$5,"5 Source No.",$C618,"4 Item Ledger Entry Type",$C$4,"2 Item No.","@@"&amp;$F618,"3 Posting Date",J$9)+NL("Sum","5802 Value Entry","17 Sales Amount (Actual)","41 Source Type",$C$5,"5 Source no.",$C618,"4 Item Ledger Entry Type",$C$4,"2 Item No.","@@"&amp;$F618,"3 Posting Date",J$9)</t>
  </si>
  <si>
    <t>=-NL("Sum","5802 Value Entry","151 Cost Amount (Expected)","41 Source Type",$C$5,"5 Source No.",$C618,"4 Item Ledger Entry Type",$C$4,"2 Item No.","@@"&amp;$F618,"3 Posting Date",J$9)-NL("Sum","5802 Value Entry","43 Cost Amount (Actual)","41 Source Type",$C$5,"5 Source no.",$C618,"4 Item Ledger Entry Type",$C$4,"2 Item No.","@@"&amp;$F618,"3 Posting Date",J$9)</t>
  </si>
  <si>
    <t>=J618-L618</t>
  </si>
  <si>
    <t>=IF(J618&lt;&gt;0,M618/J618,"")</t>
  </si>
  <si>
    <t>=NL("Sum","5802 Value Entry","150 Sales Amount (Expected)","41 Source Type",$C$5,"5 Source No.",$C618,"4 Item Ledger Entry Type",$C$4,"2 Item No.","@@"&amp;$F618,"3 Posting Date",O$9)+NL("Sum","5802 Value Entry","17 Sales Amount (Actual)","41 Source Type",$C$5,"5 Source no.",$C618,"4 Item Ledger Entry Type",$C$4,"2 Item No.","@@"&amp;$F618,"3 Posting Date",O$9)</t>
  </si>
  <si>
    <t>=-NL("Sum","5802 Value Entry","151 Cost Amount (Expected)","41 Source Type",$C$5,"5 Source No.",$C618,"4 Item Ledger Entry Type",$C$4,"2 Item No.","@@"&amp;$F618,"3 Posting Date",O$9)-NL("Sum","5802 Value Entry","43 Cost Amount (Actual)","41 Source Type",$C$5,"5 Source no.",$C618,"4 Item Ledger Entry Type",$C$4,"2 Item No.","@@"&amp;$F618,"3 Posting Date",O$9)</t>
  </si>
  <si>
    <t>=O618-Q618</t>
  </si>
  <si>
    <t>=IF(O618&lt;&gt;0,R618/O618,"")</t>
  </si>
  <si>
    <t>=NL("Sum","5802 Value Entry","150 Sales Amount (Expected)","41 Source Type",$C$5,"5 Source No.",$C618,"4 Item Ledger Entry Type",$C$4,"2 Item No.","@@"&amp;$F618,"3 Posting Date",U$9)+NL("Sum","5802 Value Entry","17 Sales Amount (Actual)","41 Source Type",$C$5,"5 Source no.",$C618,"4 Item Ledger Entry Type",$C$4,"2 Item No.","@@"&amp;$F618,"3 Posting Date",U$9)</t>
  </si>
  <si>
    <t>=-NL("Sum","5802 Value Entry","151 Cost Amount (Expected)","41 Source Type",$C$5,"5 Source No.",$C618,"4 Item Ledger Entry Type",$C$4,"2 Item No.","@@"&amp;$F618,"3 Posting Date",U$9)-NL("Sum","5802 Value Entry","43 Cost Amount (Actual)","41 Source Type",$C$5,"5 Source no.",$C618,"4 Item Ledger Entry Type",$C$4,"2 Item No.","@@"&amp;$F618,"3 Posting Date",U$9)</t>
  </si>
  <si>
    <t>=U618-W618</t>
  </si>
  <si>
    <t>=IF(U618&lt;&gt;0,X618/U618,"")</t>
  </si>
  <si>
    <t>=NL("Sum","5802 Value Entry","150 Sales Amount (Expected)","41 Source Type",$C$5,"5 Source No.",$C618,"4 Item Ledger Entry Type",$C$4,"2 Item No.","@@"&amp;$F618,"3 Posting Date",Z$9)+NL("Sum","5802 Value Entry","17 Sales Amount (Actual)","41 Source Type",$C$5,"5 Source no.",$C618,"4 Item Ledger Entry Type",$C$4,"2 Item No.","@@"&amp;$F618,"3 Posting Date",Z$9)</t>
  </si>
  <si>
    <t>=-NL("Sum","5802 Value Entry","151 Cost Amount (Expected)","41 Source Type",$C$5,"5 Source No.",$C618,"4 Item Ledger Entry Type",$C$4,"2 Item No.","@@"&amp;$F618,"3 Posting Date",Z$9)-NL("Sum","5802 Value Entry","43 Cost Amount (Actual)","41 Source Type",$C$5,"5 Source no.",$C618,"4 Item Ledger Entry Type",$C$4,"2 Item No.","@@"&amp;$F618,"3 Posting Date",Z$9)</t>
  </si>
  <si>
    <t>=Z618-AB618</t>
  </si>
  <si>
    <t>=IF(Z618&lt;&gt;0,AC618/Z618,"")</t>
  </si>
  <si>
    <t>=C618</t>
  </si>
  <si>
    <t>=NL("Sum","5802 Value Entry","150 Sales Amount (Expected)","41 Source Type",$C$5,"5 Source No.",$C619,"4 Item Ledger Entry Type",$C$4,"2 Item No.","@@"&amp;$F619,"3 Posting Date",J$9)+NL("Sum","5802 Value Entry","17 Sales Amount (Actual)","41 Source Type",$C$5,"5 Source no.",$C619,"4 Item Ledger Entry Type",$C$4,"2 Item No.","@@"&amp;$F619,"3 Posting Date",J$9)</t>
  </si>
  <si>
    <t>=-NL("Sum","5802 Value Entry","151 Cost Amount (Expected)","41 Source Type",$C$5,"5 Source No.",$C619,"4 Item Ledger Entry Type",$C$4,"2 Item No.","@@"&amp;$F619,"3 Posting Date",J$9)-NL("Sum","5802 Value Entry","43 Cost Amount (Actual)","41 Source Type",$C$5,"5 Source no.",$C619,"4 Item Ledger Entry Type",$C$4,"2 Item No.","@@"&amp;$F619,"3 Posting Date",J$9)</t>
  </si>
  <si>
    <t>=J619-L619</t>
  </si>
  <si>
    <t>=IF(J619&lt;&gt;0,M619/J619,"")</t>
  </si>
  <si>
    <t>=NL("Sum","5802 Value Entry","150 Sales Amount (Expected)","41 Source Type",$C$5,"5 Source No.",$C619,"4 Item Ledger Entry Type",$C$4,"2 Item No.","@@"&amp;$F619,"3 Posting Date",O$9)+NL("Sum","5802 Value Entry","17 Sales Amount (Actual)","41 Source Type",$C$5,"5 Source no.",$C619,"4 Item Ledger Entry Type",$C$4,"2 Item No.","@@"&amp;$F619,"3 Posting Date",O$9)</t>
  </si>
  <si>
    <t>=-NL("Sum","5802 Value Entry","151 Cost Amount (Expected)","41 Source Type",$C$5,"5 Source No.",$C619,"4 Item Ledger Entry Type",$C$4,"2 Item No.","@@"&amp;$F619,"3 Posting Date",O$9)-NL("Sum","5802 Value Entry","43 Cost Amount (Actual)","41 Source Type",$C$5,"5 Source no.",$C619,"4 Item Ledger Entry Type",$C$4,"2 Item No.","@@"&amp;$F619,"3 Posting Date",O$9)</t>
  </si>
  <si>
    <t>=O619-Q619</t>
  </si>
  <si>
    <t>=IF(O619&lt;&gt;0,R619/O619,"")</t>
  </si>
  <si>
    <t>=NL("Sum","5802 Value Entry","150 Sales Amount (Expected)","41 Source Type",$C$5,"5 Source No.",$C619,"4 Item Ledger Entry Type",$C$4,"2 Item No.","@@"&amp;$F619,"3 Posting Date",U$9)+NL("Sum","5802 Value Entry","17 Sales Amount (Actual)","41 Source Type",$C$5,"5 Source no.",$C619,"4 Item Ledger Entry Type",$C$4,"2 Item No.","@@"&amp;$F619,"3 Posting Date",U$9)</t>
  </si>
  <si>
    <t>=-NL("Sum","5802 Value Entry","151 Cost Amount (Expected)","41 Source Type",$C$5,"5 Source No.",$C619,"4 Item Ledger Entry Type",$C$4,"2 Item No.","@@"&amp;$F619,"3 Posting Date",U$9)-NL("Sum","5802 Value Entry","43 Cost Amount (Actual)","41 Source Type",$C$5,"5 Source no.",$C619,"4 Item Ledger Entry Type",$C$4,"2 Item No.","@@"&amp;$F619,"3 Posting Date",U$9)</t>
  </si>
  <si>
    <t>=U619-W619</t>
  </si>
  <si>
    <t>=IF(U619&lt;&gt;0,X619/U619,"")</t>
  </si>
  <si>
    <t>=NL("Sum","5802 Value Entry","150 Sales Amount (Expected)","41 Source Type",$C$5,"5 Source No.",$C619,"4 Item Ledger Entry Type",$C$4,"2 Item No.","@@"&amp;$F619,"3 Posting Date",Z$9)+NL("Sum","5802 Value Entry","17 Sales Amount (Actual)","41 Source Type",$C$5,"5 Source no.",$C619,"4 Item Ledger Entry Type",$C$4,"2 Item No.","@@"&amp;$F619,"3 Posting Date",Z$9)</t>
  </si>
  <si>
    <t>=-NL("Sum","5802 Value Entry","151 Cost Amount (Expected)","41 Source Type",$C$5,"5 Source No.",$C619,"4 Item Ledger Entry Type",$C$4,"2 Item No.","@@"&amp;$F619,"3 Posting Date",Z$9)-NL("Sum","5802 Value Entry","43 Cost Amount (Actual)","41 Source Type",$C$5,"5 Source no.",$C619,"4 Item Ledger Entry Type",$C$4,"2 Item No.","@@"&amp;$F619,"3 Posting Date",Z$9)</t>
  </si>
  <si>
    <t>=Z619-AB619</t>
  </si>
  <si>
    <t>=IF(Z619&lt;&gt;0,AC619/Z619,"")</t>
  </si>
  <si>
    <t>=C619</t>
  </si>
  <si>
    <t>=NL("Sum","5802 Value Entry","150 Sales Amount (Expected)","41 Source Type",$C$5,"5 Source No.",$C620,"4 Item Ledger Entry Type",$C$4,"2 Item No.","@@"&amp;$F620,"3 Posting Date",J$9)+NL("Sum","5802 Value Entry","17 Sales Amount (Actual)","41 Source Type",$C$5,"5 Source no.",$C620,"4 Item Ledger Entry Type",$C$4,"2 Item No.","@@"&amp;$F620,"3 Posting Date",J$9)</t>
  </si>
  <si>
    <t>=-NL("Sum","5802 Value Entry","151 Cost Amount (Expected)","41 Source Type",$C$5,"5 Source No.",$C620,"4 Item Ledger Entry Type",$C$4,"2 Item No.","@@"&amp;$F620,"3 Posting Date",J$9)-NL("Sum","5802 Value Entry","43 Cost Amount (Actual)","41 Source Type",$C$5,"5 Source no.",$C620,"4 Item Ledger Entry Type",$C$4,"2 Item No.","@@"&amp;$F620,"3 Posting Date",J$9)</t>
  </si>
  <si>
    <t>=J620-L620</t>
  </si>
  <si>
    <t>=IF(J620&lt;&gt;0,M620/J620,"")</t>
  </si>
  <si>
    <t>=NL("Sum","5802 Value Entry","150 Sales Amount (Expected)","41 Source Type",$C$5,"5 Source No.",$C620,"4 Item Ledger Entry Type",$C$4,"2 Item No.","@@"&amp;$F620,"3 Posting Date",O$9)+NL("Sum","5802 Value Entry","17 Sales Amount (Actual)","41 Source Type",$C$5,"5 Source no.",$C620,"4 Item Ledger Entry Type",$C$4,"2 Item No.","@@"&amp;$F620,"3 Posting Date",O$9)</t>
  </si>
  <si>
    <t>=-NL("Sum","5802 Value Entry","151 Cost Amount (Expected)","41 Source Type",$C$5,"5 Source No.",$C620,"4 Item Ledger Entry Type",$C$4,"2 Item No.","@@"&amp;$F620,"3 Posting Date",O$9)-NL("Sum","5802 Value Entry","43 Cost Amount (Actual)","41 Source Type",$C$5,"5 Source no.",$C620,"4 Item Ledger Entry Type",$C$4,"2 Item No.","@@"&amp;$F620,"3 Posting Date",O$9)</t>
  </si>
  <si>
    <t>=O620-Q620</t>
  </si>
  <si>
    <t>=IF(O620&lt;&gt;0,R620/O620,"")</t>
  </si>
  <si>
    <t>=NL("Sum","5802 Value Entry","150 Sales Amount (Expected)","41 Source Type",$C$5,"5 Source No.",$C620,"4 Item Ledger Entry Type",$C$4,"2 Item No.","@@"&amp;$F620,"3 Posting Date",U$9)+NL("Sum","5802 Value Entry","17 Sales Amount (Actual)","41 Source Type",$C$5,"5 Source no.",$C620,"4 Item Ledger Entry Type",$C$4,"2 Item No.","@@"&amp;$F620,"3 Posting Date",U$9)</t>
  </si>
  <si>
    <t>=-NL("Sum","5802 Value Entry","151 Cost Amount (Expected)","41 Source Type",$C$5,"5 Source No.",$C620,"4 Item Ledger Entry Type",$C$4,"2 Item No.","@@"&amp;$F620,"3 Posting Date",U$9)-NL("Sum","5802 Value Entry","43 Cost Amount (Actual)","41 Source Type",$C$5,"5 Source no.",$C620,"4 Item Ledger Entry Type",$C$4,"2 Item No.","@@"&amp;$F620,"3 Posting Date",U$9)</t>
  </si>
  <si>
    <t>=U620-W620</t>
  </si>
  <si>
    <t>=IF(U620&lt;&gt;0,X620/U620,"")</t>
  </si>
  <si>
    <t>=NL("Sum","5802 Value Entry","150 Sales Amount (Expected)","41 Source Type",$C$5,"5 Source No.",$C620,"4 Item Ledger Entry Type",$C$4,"2 Item No.","@@"&amp;$F620,"3 Posting Date",Z$9)+NL("Sum","5802 Value Entry","17 Sales Amount (Actual)","41 Source Type",$C$5,"5 Source no.",$C620,"4 Item Ledger Entry Type",$C$4,"2 Item No.","@@"&amp;$F620,"3 Posting Date",Z$9)</t>
  </si>
  <si>
    <t>=-NL("Sum","5802 Value Entry","151 Cost Amount (Expected)","41 Source Type",$C$5,"5 Source No.",$C620,"4 Item Ledger Entry Type",$C$4,"2 Item No.","@@"&amp;$F620,"3 Posting Date",Z$9)-NL("Sum","5802 Value Entry","43 Cost Amount (Actual)","41 Source Type",$C$5,"5 Source no.",$C620,"4 Item Ledger Entry Type",$C$4,"2 Item No.","@@"&amp;$F620,"3 Posting Date",Z$9)</t>
  </si>
  <si>
    <t>=Z620-AB620</t>
  </si>
  <si>
    <t>=IF(Z620&lt;&gt;0,AC620/Z620,"")</t>
  </si>
  <si>
    <t>=C620</t>
  </si>
  <si>
    <t>=NL("Sum","5802 Value Entry","150 Sales Amount (Expected)","41 Source Type",$C$5,"5 Source No.",$C621,"4 Item Ledger Entry Type",$C$4,"2 Item No.","@@"&amp;$F621,"3 Posting Date",J$9)+NL("Sum","5802 Value Entry","17 Sales Amount (Actual)","41 Source Type",$C$5,"5 Source no.",$C621,"4 Item Ledger Entry Type",$C$4,"2 Item No.","@@"&amp;$F621,"3 Posting Date",J$9)</t>
  </si>
  <si>
    <t>=-NL("Sum","5802 Value Entry","151 Cost Amount (Expected)","41 Source Type",$C$5,"5 Source No.",$C621,"4 Item Ledger Entry Type",$C$4,"2 Item No.","@@"&amp;$F621,"3 Posting Date",J$9)-NL("Sum","5802 Value Entry","43 Cost Amount (Actual)","41 Source Type",$C$5,"5 Source no.",$C621,"4 Item Ledger Entry Type",$C$4,"2 Item No.","@@"&amp;$F621,"3 Posting Date",J$9)</t>
  </si>
  <si>
    <t>=J621-L621</t>
  </si>
  <si>
    <t>=IF(J621&lt;&gt;0,M621/J621,"")</t>
  </si>
  <si>
    <t>=NL("Sum","5802 Value Entry","150 Sales Amount (Expected)","41 Source Type",$C$5,"5 Source No.",$C621,"4 Item Ledger Entry Type",$C$4,"2 Item No.","@@"&amp;$F621,"3 Posting Date",O$9)+NL("Sum","5802 Value Entry","17 Sales Amount (Actual)","41 Source Type",$C$5,"5 Source no.",$C621,"4 Item Ledger Entry Type",$C$4,"2 Item No.","@@"&amp;$F621,"3 Posting Date",O$9)</t>
  </si>
  <si>
    <t>=-NL("Sum","5802 Value Entry","151 Cost Amount (Expected)","41 Source Type",$C$5,"5 Source No.",$C621,"4 Item Ledger Entry Type",$C$4,"2 Item No.","@@"&amp;$F621,"3 Posting Date",O$9)-NL("Sum","5802 Value Entry","43 Cost Amount (Actual)","41 Source Type",$C$5,"5 Source no.",$C621,"4 Item Ledger Entry Type",$C$4,"2 Item No.","@@"&amp;$F621,"3 Posting Date",O$9)</t>
  </si>
  <si>
    <t>=O621-Q621</t>
  </si>
  <si>
    <t>=IF(O621&lt;&gt;0,R621/O621,"")</t>
  </si>
  <si>
    <t>=NL("Sum","5802 Value Entry","150 Sales Amount (Expected)","41 Source Type",$C$5,"5 Source No.",$C621,"4 Item Ledger Entry Type",$C$4,"2 Item No.","@@"&amp;$F621,"3 Posting Date",U$9)+NL("Sum","5802 Value Entry","17 Sales Amount (Actual)","41 Source Type",$C$5,"5 Source no.",$C621,"4 Item Ledger Entry Type",$C$4,"2 Item No.","@@"&amp;$F621,"3 Posting Date",U$9)</t>
  </si>
  <si>
    <t>=-NL("Sum","5802 Value Entry","151 Cost Amount (Expected)","41 Source Type",$C$5,"5 Source No.",$C621,"4 Item Ledger Entry Type",$C$4,"2 Item No.","@@"&amp;$F621,"3 Posting Date",U$9)-NL("Sum","5802 Value Entry","43 Cost Amount (Actual)","41 Source Type",$C$5,"5 Source no.",$C621,"4 Item Ledger Entry Type",$C$4,"2 Item No.","@@"&amp;$F621,"3 Posting Date",U$9)</t>
  </si>
  <si>
    <t>=U621-W621</t>
  </si>
  <si>
    <t>=IF(U621&lt;&gt;0,X621/U621,"")</t>
  </si>
  <si>
    <t>=NL("Sum","5802 Value Entry","150 Sales Amount (Expected)","41 Source Type",$C$5,"5 Source No.",$C621,"4 Item Ledger Entry Type",$C$4,"2 Item No.","@@"&amp;$F621,"3 Posting Date",Z$9)+NL("Sum","5802 Value Entry","17 Sales Amount (Actual)","41 Source Type",$C$5,"5 Source no.",$C621,"4 Item Ledger Entry Type",$C$4,"2 Item No.","@@"&amp;$F621,"3 Posting Date",Z$9)</t>
  </si>
  <si>
    <t>=-NL("Sum","5802 Value Entry","151 Cost Amount (Expected)","41 Source Type",$C$5,"5 Source No.",$C621,"4 Item Ledger Entry Type",$C$4,"2 Item No.","@@"&amp;$F621,"3 Posting Date",Z$9)-NL("Sum","5802 Value Entry","43 Cost Amount (Actual)","41 Source Type",$C$5,"5 Source no.",$C621,"4 Item Ledger Entry Type",$C$4,"2 Item No.","@@"&amp;$F621,"3 Posting Date",Z$9)</t>
  </si>
  <si>
    <t>=Z621-AB621</t>
  </si>
  <si>
    <t>=IF(Z621&lt;&gt;0,AC621/Z621,"")</t>
  </si>
  <si>
    <t>=C621</t>
  </si>
  <si>
    <t>=NL("Sum","5802 Value Entry","150 Sales Amount (Expected)","41 Source Type",$C$5,"5 Source No.",$C622,"4 Item Ledger Entry Type",$C$4,"2 Item No.","@@"&amp;$F622,"3 Posting Date",J$9)+NL("Sum","5802 Value Entry","17 Sales Amount (Actual)","41 Source Type",$C$5,"5 Source no.",$C622,"4 Item Ledger Entry Type",$C$4,"2 Item No.","@@"&amp;$F622,"3 Posting Date",J$9)</t>
  </si>
  <si>
    <t>=-NL("Sum","5802 Value Entry","151 Cost Amount (Expected)","41 Source Type",$C$5,"5 Source No.",$C622,"4 Item Ledger Entry Type",$C$4,"2 Item No.","@@"&amp;$F622,"3 Posting Date",J$9)-NL("Sum","5802 Value Entry","43 Cost Amount (Actual)","41 Source Type",$C$5,"5 Source no.",$C622,"4 Item Ledger Entry Type",$C$4,"2 Item No.","@@"&amp;$F622,"3 Posting Date",J$9)</t>
  </si>
  <si>
    <t>=J622-L622</t>
  </si>
  <si>
    <t>=IF(J622&lt;&gt;0,M622/J622,"")</t>
  </si>
  <si>
    <t>=NL("Sum","5802 Value Entry","150 Sales Amount (Expected)","41 Source Type",$C$5,"5 Source No.",$C622,"4 Item Ledger Entry Type",$C$4,"2 Item No.","@@"&amp;$F622,"3 Posting Date",O$9)+NL("Sum","5802 Value Entry","17 Sales Amount (Actual)","41 Source Type",$C$5,"5 Source no.",$C622,"4 Item Ledger Entry Type",$C$4,"2 Item No.","@@"&amp;$F622,"3 Posting Date",O$9)</t>
  </si>
  <si>
    <t>=-NL("Sum","5802 Value Entry","151 Cost Amount (Expected)","41 Source Type",$C$5,"5 Source No.",$C622,"4 Item Ledger Entry Type",$C$4,"2 Item No.","@@"&amp;$F622,"3 Posting Date",O$9)-NL("Sum","5802 Value Entry","43 Cost Amount (Actual)","41 Source Type",$C$5,"5 Source no.",$C622,"4 Item Ledger Entry Type",$C$4,"2 Item No.","@@"&amp;$F622,"3 Posting Date",O$9)</t>
  </si>
  <si>
    <t>=O622-Q622</t>
  </si>
  <si>
    <t>=IF(O622&lt;&gt;0,R622/O622,"")</t>
  </si>
  <si>
    <t>=NL("Sum","5802 Value Entry","150 Sales Amount (Expected)","41 Source Type",$C$5,"5 Source No.",$C622,"4 Item Ledger Entry Type",$C$4,"2 Item No.","@@"&amp;$F622,"3 Posting Date",U$9)+NL("Sum","5802 Value Entry","17 Sales Amount (Actual)","41 Source Type",$C$5,"5 Source no.",$C622,"4 Item Ledger Entry Type",$C$4,"2 Item No.","@@"&amp;$F622,"3 Posting Date",U$9)</t>
  </si>
  <si>
    <t>=-NL("Sum","5802 Value Entry","151 Cost Amount (Expected)","41 Source Type",$C$5,"5 Source No.",$C622,"4 Item Ledger Entry Type",$C$4,"2 Item No.","@@"&amp;$F622,"3 Posting Date",U$9)-NL("Sum","5802 Value Entry","43 Cost Amount (Actual)","41 Source Type",$C$5,"5 Source no.",$C622,"4 Item Ledger Entry Type",$C$4,"2 Item No.","@@"&amp;$F622,"3 Posting Date",U$9)</t>
  </si>
  <si>
    <t>=U622-W622</t>
  </si>
  <si>
    <t>=IF(U622&lt;&gt;0,X622/U622,"")</t>
  </si>
  <si>
    <t>=NL("Sum","5802 Value Entry","150 Sales Amount (Expected)","41 Source Type",$C$5,"5 Source No.",$C622,"4 Item Ledger Entry Type",$C$4,"2 Item No.","@@"&amp;$F622,"3 Posting Date",Z$9)+NL("Sum","5802 Value Entry","17 Sales Amount (Actual)","41 Source Type",$C$5,"5 Source no.",$C622,"4 Item Ledger Entry Type",$C$4,"2 Item No.","@@"&amp;$F622,"3 Posting Date",Z$9)</t>
  </si>
  <si>
    <t>=-NL("Sum","5802 Value Entry","151 Cost Amount (Expected)","41 Source Type",$C$5,"5 Source No.",$C622,"4 Item Ledger Entry Type",$C$4,"2 Item No.","@@"&amp;$F622,"3 Posting Date",Z$9)-NL("Sum","5802 Value Entry","43 Cost Amount (Actual)","41 Source Type",$C$5,"5 Source no.",$C622,"4 Item Ledger Entry Type",$C$4,"2 Item No.","@@"&amp;$F622,"3 Posting Date",Z$9)</t>
  </si>
  <si>
    <t>=Z622-AB622</t>
  </si>
  <si>
    <t>=IF(Z622&lt;&gt;0,AC622/Z622,"")</t>
  </si>
  <si>
    <t>=C622</t>
  </si>
  <si>
    <t>=NL("Sum","5802 Value Entry","150 Sales Amount (Expected)","41 Source Type",$C$5,"5 Source No.",$C623,"4 Item Ledger Entry Type",$C$4,"2 Item No.","@@"&amp;$F623,"3 Posting Date",J$9)+NL("Sum","5802 Value Entry","17 Sales Amount (Actual)","41 Source Type",$C$5,"5 Source no.",$C623,"4 Item Ledger Entry Type",$C$4,"2 Item No.","@@"&amp;$F623,"3 Posting Date",J$9)</t>
  </si>
  <si>
    <t>=-NL("Sum","5802 Value Entry","151 Cost Amount (Expected)","41 Source Type",$C$5,"5 Source No.",$C623,"4 Item Ledger Entry Type",$C$4,"2 Item No.","@@"&amp;$F623,"3 Posting Date",J$9)-NL("Sum","5802 Value Entry","43 Cost Amount (Actual)","41 Source Type",$C$5,"5 Source no.",$C623,"4 Item Ledger Entry Type",$C$4,"2 Item No.","@@"&amp;$F623,"3 Posting Date",J$9)</t>
  </si>
  <si>
    <t>=J623-L623</t>
  </si>
  <si>
    <t>=IF(J623&lt;&gt;0,M623/J623,"")</t>
  </si>
  <si>
    <t>=NL("Sum","5802 Value Entry","150 Sales Amount (Expected)","41 Source Type",$C$5,"5 Source No.",$C623,"4 Item Ledger Entry Type",$C$4,"2 Item No.","@@"&amp;$F623,"3 Posting Date",O$9)+NL("Sum","5802 Value Entry","17 Sales Amount (Actual)","41 Source Type",$C$5,"5 Source no.",$C623,"4 Item Ledger Entry Type",$C$4,"2 Item No.","@@"&amp;$F623,"3 Posting Date",O$9)</t>
  </si>
  <si>
    <t>=-NL("Sum","5802 Value Entry","151 Cost Amount (Expected)","41 Source Type",$C$5,"5 Source No.",$C623,"4 Item Ledger Entry Type",$C$4,"2 Item No.","@@"&amp;$F623,"3 Posting Date",O$9)-NL("Sum","5802 Value Entry","43 Cost Amount (Actual)","41 Source Type",$C$5,"5 Source no.",$C623,"4 Item Ledger Entry Type",$C$4,"2 Item No.","@@"&amp;$F623,"3 Posting Date",O$9)</t>
  </si>
  <si>
    <t>=O623-Q623</t>
  </si>
  <si>
    <t>=IF(O623&lt;&gt;0,R623/O623,"")</t>
  </si>
  <si>
    <t>=NL("Sum","5802 Value Entry","150 Sales Amount (Expected)","41 Source Type",$C$5,"5 Source No.",$C623,"4 Item Ledger Entry Type",$C$4,"2 Item No.","@@"&amp;$F623,"3 Posting Date",U$9)+NL("Sum","5802 Value Entry","17 Sales Amount (Actual)","41 Source Type",$C$5,"5 Source no.",$C623,"4 Item Ledger Entry Type",$C$4,"2 Item No.","@@"&amp;$F623,"3 Posting Date",U$9)</t>
  </si>
  <si>
    <t>=-NL("Sum","5802 Value Entry","151 Cost Amount (Expected)","41 Source Type",$C$5,"5 Source No.",$C623,"4 Item Ledger Entry Type",$C$4,"2 Item No.","@@"&amp;$F623,"3 Posting Date",U$9)-NL("Sum","5802 Value Entry","43 Cost Amount (Actual)","41 Source Type",$C$5,"5 Source no.",$C623,"4 Item Ledger Entry Type",$C$4,"2 Item No.","@@"&amp;$F623,"3 Posting Date",U$9)</t>
  </si>
  <si>
    <t>=U623-W623</t>
  </si>
  <si>
    <t>=IF(U623&lt;&gt;0,X623/U623,"")</t>
  </si>
  <si>
    <t>=NL("Sum","5802 Value Entry","150 Sales Amount (Expected)","41 Source Type",$C$5,"5 Source No.",$C623,"4 Item Ledger Entry Type",$C$4,"2 Item No.","@@"&amp;$F623,"3 Posting Date",Z$9)+NL("Sum","5802 Value Entry","17 Sales Amount (Actual)","41 Source Type",$C$5,"5 Source no.",$C623,"4 Item Ledger Entry Type",$C$4,"2 Item No.","@@"&amp;$F623,"3 Posting Date",Z$9)</t>
  </si>
  <si>
    <t>=-NL("Sum","5802 Value Entry","151 Cost Amount (Expected)","41 Source Type",$C$5,"5 Source No.",$C623,"4 Item Ledger Entry Type",$C$4,"2 Item No.","@@"&amp;$F623,"3 Posting Date",Z$9)-NL("Sum","5802 Value Entry","43 Cost Amount (Actual)","41 Source Type",$C$5,"5 Source no.",$C623,"4 Item Ledger Entry Type",$C$4,"2 Item No.","@@"&amp;$F623,"3 Posting Date",Z$9)</t>
  </si>
  <si>
    <t>=Z623-AB623</t>
  </si>
  <si>
    <t>=IF(Z623&lt;&gt;0,AC623/Z623,"")</t>
  </si>
  <si>
    <t>=C623</t>
  </si>
  <si>
    <t>=NL("Sum","5802 Value Entry","150 Sales Amount (Expected)","41 Source Type",$C$5,"5 Source No.",$C624,"4 Item Ledger Entry Type",$C$4,"2 Item No.","@@"&amp;$F624,"3 Posting Date",J$9)+NL("Sum","5802 Value Entry","17 Sales Amount (Actual)","41 Source Type",$C$5,"5 Source no.",$C624,"4 Item Ledger Entry Type",$C$4,"2 Item No.","@@"&amp;$F624,"3 Posting Date",J$9)</t>
  </si>
  <si>
    <t>=-NL("Sum","5802 Value Entry","151 Cost Amount (Expected)","41 Source Type",$C$5,"5 Source No.",$C624,"4 Item Ledger Entry Type",$C$4,"2 Item No.","@@"&amp;$F624,"3 Posting Date",J$9)-NL("Sum","5802 Value Entry","43 Cost Amount (Actual)","41 Source Type",$C$5,"5 Source no.",$C624,"4 Item Ledger Entry Type",$C$4,"2 Item No.","@@"&amp;$F624,"3 Posting Date",J$9)</t>
  </si>
  <si>
    <t>=J624-L624</t>
  </si>
  <si>
    <t>=IF(J624&lt;&gt;0,M624/J624,"")</t>
  </si>
  <si>
    <t>=NL("Sum","5802 Value Entry","150 Sales Amount (Expected)","41 Source Type",$C$5,"5 Source No.",$C624,"4 Item Ledger Entry Type",$C$4,"2 Item No.","@@"&amp;$F624,"3 Posting Date",O$9)+NL("Sum","5802 Value Entry","17 Sales Amount (Actual)","41 Source Type",$C$5,"5 Source no.",$C624,"4 Item Ledger Entry Type",$C$4,"2 Item No.","@@"&amp;$F624,"3 Posting Date",O$9)</t>
  </si>
  <si>
    <t>=-NL("Sum","5802 Value Entry","151 Cost Amount (Expected)","41 Source Type",$C$5,"5 Source No.",$C624,"4 Item Ledger Entry Type",$C$4,"2 Item No.","@@"&amp;$F624,"3 Posting Date",O$9)-NL("Sum","5802 Value Entry","43 Cost Amount (Actual)","41 Source Type",$C$5,"5 Source no.",$C624,"4 Item Ledger Entry Type",$C$4,"2 Item No.","@@"&amp;$F624,"3 Posting Date",O$9)</t>
  </si>
  <si>
    <t>=O624-Q624</t>
  </si>
  <si>
    <t>=IF(O624&lt;&gt;0,R624/O624,"")</t>
  </si>
  <si>
    <t>=NL("Sum","5802 Value Entry","150 Sales Amount (Expected)","41 Source Type",$C$5,"5 Source No.",$C624,"4 Item Ledger Entry Type",$C$4,"2 Item No.","@@"&amp;$F624,"3 Posting Date",U$9)+NL("Sum","5802 Value Entry","17 Sales Amount (Actual)","41 Source Type",$C$5,"5 Source no.",$C624,"4 Item Ledger Entry Type",$C$4,"2 Item No.","@@"&amp;$F624,"3 Posting Date",U$9)</t>
  </si>
  <si>
    <t>=-NL("Sum","5802 Value Entry","151 Cost Amount (Expected)","41 Source Type",$C$5,"5 Source No.",$C624,"4 Item Ledger Entry Type",$C$4,"2 Item No.","@@"&amp;$F624,"3 Posting Date",U$9)-NL("Sum","5802 Value Entry","43 Cost Amount (Actual)","41 Source Type",$C$5,"5 Source no.",$C624,"4 Item Ledger Entry Type",$C$4,"2 Item No.","@@"&amp;$F624,"3 Posting Date",U$9)</t>
  </si>
  <si>
    <t>=U624-W624</t>
  </si>
  <si>
    <t>=IF(U624&lt;&gt;0,X624/U624,"")</t>
  </si>
  <si>
    <t>=NL("Sum","5802 Value Entry","150 Sales Amount (Expected)","41 Source Type",$C$5,"5 Source No.",$C624,"4 Item Ledger Entry Type",$C$4,"2 Item No.","@@"&amp;$F624,"3 Posting Date",Z$9)+NL("Sum","5802 Value Entry","17 Sales Amount (Actual)","41 Source Type",$C$5,"5 Source no.",$C624,"4 Item Ledger Entry Type",$C$4,"2 Item No.","@@"&amp;$F624,"3 Posting Date",Z$9)</t>
  </si>
  <si>
    <t>=-NL("Sum","5802 Value Entry","151 Cost Amount (Expected)","41 Source Type",$C$5,"5 Source No.",$C624,"4 Item Ledger Entry Type",$C$4,"2 Item No.","@@"&amp;$F624,"3 Posting Date",Z$9)-NL("Sum","5802 Value Entry","43 Cost Amount (Actual)","41 Source Type",$C$5,"5 Source no.",$C624,"4 Item Ledger Entry Type",$C$4,"2 Item No.","@@"&amp;$F624,"3 Posting Date",Z$9)</t>
  </si>
  <si>
    <t>=Z624-AB624</t>
  </si>
  <si>
    <t>=IF(Z624&lt;&gt;0,AC624/Z624,"")</t>
  </si>
  <si>
    <t>=C625</t>
  </si>
  <si>
    <t>=J626-L626</t>
  </si>
  <si>
    <t>=IF(J626&lt;&gt;0,M626/J626,"")</t>
  </si>
  <si>
    <t>=O626-Q626</t>
  </si>
  <si>
    <t>=IF(O626&lt;&gt;0,R626/O626,"")</t>
  </si>
  <si>
    <t>=U626-W626</t>
  </si>
  <si>
    <t>=IF(U626&lt;&gt;0,X626/U626,"")</t>
  </si>
  <si>
    <t>=Z626-AB626</t>
  </si>
  <si>
    <t>=IF(Z626&lt;&gt;0,AC626/Z626,"")</t>
  </si>
  <si>
    <t>=C628</t>
  </si>
  <si>
    <t>=C631</t>
  </si>
  <si>
    <t>=C632</t>
  </si>
  <si>
    <t>=NL("Sum","5802 Value Entry","150 Sales Amount (Expected)","41 Source Type",$C$5,"5 Source No.",$C633,"4 Item Ledger Entry Type",$C$4,"2 Item No.","@@"&amp;$F633,"3 Posting Date",J$9)+NL("Sum","5802 Value Entry","17 Sales Amount (Actual)","41 Source Type",$C$5,"5 Source no.",$C633,"4 Item Ledger Entry Type",$C$4,"2 Item No.","@@"&amp;$F633,"3 Posting Date",J$9)</t>
  </si>
  <si>
    <t>=-NL("Sum","5802 Value Entry","151 Cost Amount (Expected)","41 Source Type",$C$5,"5 Source No.",$C633,"4 Item Ledger Entry Type",$C$4,"2 Item No.","@@"&amp;$F633,"3 Posting Date",J$9)-NL("Sum","5802 Value Entry","43 Cost Amount (Actual)","41 Source Type",$C$5,"5 Source no.",$C633,"4 Item Ledger Entry Type",$C$4,"2 Item No.","@@"&amp;$F633,"3 Posting Date",J$9)</t>
  </si>
  <si>
    <t>=J633-L633</t>
  </si>
  <si>
    <t>=IF(J633&lt;&gt;0,M633/J633,"")</t>
  </si>
  <si>
    <t>=NL("Sum","5802 Value Entry","150 Sales Amount (Expected)","41 Source Type",$C$5,"5 Source No.",$C633,"4 Item Ledger Entry Type",$C$4,"2 Item No.","@@"&amp;$F633,"3 Posting Date",O$9)+NL("Sum","5802 Value Entry","17 Sales Amount (Actual)","41 Source Type",$C$5,"5 Source no.",$C633,"4 Item Ledger Entry Type",$C$4,"2 Item No.","@@"&amp;$F633,"3 Posting Date",O$9)</t>
  </si>
  <si>
    <t>=-NL("Sum","5802 Value Entry","151 Cost Amount (Expected)","41 Source Type",$C$5,"5 Source No.",$C633,"4 Item Ledger Entry Type",$C$4,"2 Item No.","@@"&amp;$F633,"3 Posting Date",O$9)-NL("Sum","5802 Value Entry","43 Cost Amount (Actual)","41 Source Type",$C$5,"5 Source no.",$C633,"4 Item Ledger Entry Type",$C$4,"2 Item No.","@@"&amp;$F633,"3 Posting Date",O$9)</t>
  </si>
  <si>
    <t>=O633-Q633</t>
  </si>
  <si>
    <t>=IF(O633&lt;&gt;0,R633/O633,"")</t>
  </si>
  <si>
    <t>=NL("Sum","5802 Value Entry","150 Sales Amount (Expected)","41 Source Type",$C$5,"5 Source No.",$C633,"4 Item Ledger Entry Type",$C$4,"2 Item No.","@@"&amp;$F633,"3 Posting Date",U$9)+NL("Sum","5802 Value Entry","17 Sales Amount (Actual)","41 Source Type",$C$5,"5 Source no.",$C633,"4 Item Ledger Entry Type",$C$4,"2 Item No.","@@"&amp;$F633,"3 Posting Date",U$9)</t>
  </si>
  <si>
    <t>=-NL("Sum","5802 Value Entry","151 Cost Amount (Expected)","41 Source Type",$C$5,"5 Source No.",$C633,"4 Item Ledger Entry Type",$C$4,"2 Item No.","@@"&amp;$F633,"3 Posting Date",U$9)-NL("Sum","5802 Value Entry","43 Cost Amount (Actual)","41 Source Type",$C$5,"5 Source no.",$C633,"4 Item Ledger Entry Type",$C$4,"2 Item No.","@@"&amp;$F633,"3 Posting Date",U$9)</t>
  </si>
  <si>
    <t>=U633-W633</t>
  </si>
  <si>
    <t>=IF(U633&lt;&gt;0,X633/U633,"")</t>
  </si>
  <si>
    <t>=NL("Sum","5802 Value Entry","150 Sales Amount (Expected)","41 Source Type",$C$5,"5 Source No.",$C633,"4 Item Ledger Entry Type",$C$4,"2 Item No.","@@"&amp;$F633,"3 Posting Date",Z$9)+NL("Sum","5802 Value Entry","17 Sales Amount (Actual)","41 Source Type",$C$5,"5 Source no.",$C633,"4 Item Ledger Entry Type",$C$4,"2 Item No.","@@"&amp;$F633,"3 Posting Date",Z$9)</t>
  </si>
  <si>
    <t>=-NL("Sum","5802 Value Entry","151 Cost Amount (Expected)","41 Source Type",$C$5,"5 Source No.",$C633,"4 Item Ledger Entry Type",$C$4,"2 Item No.","@@"&amp;$F633,"3 Posting Date",Z$9)-NL("Sum","5802 Value Entry","43 Cost Amount (Actual)","41 Source Type",$C$5,"5 Source no.",$C633,"4 Item Ledger Entry Type",$C$4,"2 Item No.","@@"&amp;$F633,"3 Posting Date",Z$9)</t>
  </si>
  <si>
    <t>=Z633-AB633</t>
  </si>
  <si>
    <t>=IF(Z633&lt;&gt;0,AC633/Z633,"")</t>
  </si>
  <si>
    <t>=C633</t>
  </si>
  <si>
    <t>=NL("Sum","5802 Value Entry","150 Sales Amount (Expected)","41 Source Type",$C$5,"5 Source No.",$C634,"4 Item Ledger Entry Type",$C$4,"2 Item No.","@@"&amp;$F634,"3 Posting Date",J$9)+NL("Sum","5802 Value Entry","17 Sales Amount (Actual)","41 Source Type",$C$5,"5 Source no.",$C634,"4 Item Ledger Entry Type",$C$4,"2 Item No.","@@"&amp;$F634,"3 Posting Date",J$9)</t>
  </si>
  <si>
    <t>=-NL("Sum","5802 Value Entry","151 Cost Amount (Expected)","41 Source Type",$C$5,"5 Source No.",$C634,"4 Item Ledger Entry Type",$C$4,"2 Item No.","@@"&amp;$F634,"3 Posting Date",J$9)-NL("Sum","5802 Value Entry","43 Cost Amount (Actual)","41 Source Type",$C$5,"5 Source no.",$C634,"4 Item Ledger Entry Type",$C$4,"2 Item No.","@@"&amp;$F634,"3 Posting Date",J$9)</t>
  </si>
  <si>
    <t>=J634-L634</t>
  </si>
  <si>
    <t>=IF(J634&lt;&gt;0,M634/J634,"")</t>
  </si>
  <si>
    <t>=NL("Sum","5802 Value Entry","150 Sales Amount (Expected)","41 Source Type",$C$5,"5 Source No.",$C634,"4 Item Ledger Entry Type",$C$4,"2 Item No.","@@"&amp;$F634,"3 Posting Date",O$9)+NL("Sum","5802 Value Entry","17 Sales Amount (Actual)","41 Source Type",$C$5,"5 Source no.",$C634,"4 Item Ledger Entry Type",$C$4,"2 Item No.","@@"&amp;$F634,"3 Posting Date",O$9)</t>
  </si>
  <si>
    <t>=-NL("Sum","5802 Value Entry","151 Cost Amount (Expected)","41 Source Type",$C$5,"5 Source No.",$C634,"4 Item Ledger Entry Type",$C$4,"2 Item No.","@@"&amp;$F634,"3 Posting Date",O$9)-NL("Sum","5802 Value Entry","43 Cost Amount (Actual)","41 Source Type",$C$5,"5 Source no.",$C634,"4 Item Ledger Entry Type",$C$4,"2 Item No.","@@"&amp;$F634,"3 Posting Date",O$9)</t>
  </si>
  <si>
    <t>=O634-Q634</t>
  </si>
  <si>
    <t>=IF(O634&lt;&gt;0,R634/O634,"")</t>
  </si>
  <si>
    <t>=NL("Sum","5802 Value Entry","150 Sales Amount (Expected)","41 Source Type",$C$5,"5 Source No.",$C634,"4 Item Ledger Entry Type",$C$4,"2 Item No.","@@"&amp;$F634,"3 Posting Date",U$9)+NL("Sum","5802 Value Entry","17 Sales Amount (Actual)","41 Source Type",$C$5,"5 Source no.",$C634,"4 Item Ledger Entry Type",$C$4,"2 Item No.","@@"&amp;$F634,"3 Posting Date",U$9)</t>
  </si>
  <si>
    <t>=-NL("Sum","5802 Value Entry","151 Cost Amount (Expected)","41 Source Type",$C$5,"5 Source No.",$C634,"4 Item Ledger Entry Type",$C$4,"2 Item No.","@@"&amp;$F634,"3 Posting Date",U$9)-NL("Sum","5802 Value Entry","43 Cost Amount (Actual)","41 Source Type",$C$5,"5 Source no.",$C634,"4 Item Ledger Entry Type",$C$4,"2 Item No.","@@"&amp;$F634,"3 Posting Date",U$9)</t>
  </si>
  <si>
    <t>=U634-W634</t>
  </si>
  <si>
    <t>=IF(U634&lt;&gt;0,X634/U634,"")</t>
  </si>
  <si>
    <t>=NL("Sum","5802 Value Entry","150 Sales Amount (Expected)","41 Source Type",$C$5,"5 Source No.",$C634,"4 Item Ledger Entry Type",$C$4,"2 Item No.","@@"&amp;$F634,"3 Posting Date",Z$9)+NL("Sum","5802 Value Entry","17 Sales Amount (Actual)","41 Source Type",$C$5,"5 Source no.",$C634,"4 Item Ledger Entry Type",$C$4,"2 Item No.","@@"&amp;$F634,"3 Posting Date",Z$9)</t>
  </si>
  <si>
    <t>=-NL("Sum","5802 Value Entry","151 Cost Amount (Expected)","41 Source Type",$C$5,"5 Source No.",$C634,"4 Item Ledger Entry Type",$C$4,"2 Item No.","@@"&amp;$F634,"3 Posting Date",Z$9)-NL("Sum","5802 Value Entry","43 Cost Amount (Actual)","41 Source Type",$C$5,"5 Source no.",$C634,"4 Item Ledger Entry Type",$C$4,"2 Item No.","@@"&amp;$F634,"3 Posting Date",Z$9)</t>
  </si>
  <si>
    <t>=Z634-AB634</t>
  </si>
  <si>
    <t>=IF(Z634&lt;&gt;0,AC634/Z634,"")</t>
  </si>
  <si>
    <t>=C634</t>
  </si>
  <si>
    <t>=NL("Sum","5802 Value Entry","150 Sales Amount (Expected)","41 Source Type",$C$5,"5 Source No.",$C635,"4 Item Ledger Entry Type",$C$4,"2 Item No.","@@"&amp;$F635,"3 Posting Date",J$9)+NL("Sum","5802 Value Entry","17 Sales Amount (Actual)","41 Source Type",$C$5,"5 Source no.",$C635,"4 Item Ledger Entry Type",$C$4,"2 Item No.","@@"&amp;$F635,"3 Posting Date",J$9)</t>
  </si>
  <si>
    <t>=-NL("Sum","5802 Value Entry","151 Cost Amount (Expected)","41 Source Type",$C$5,"5 Source No.",$C635,"4 Item Ledger Entry Type",$C$4,"2 Item No.","@@"&amp;$F635,"3 Posting Date",J$9)-NL("Sum","5802 Value Entry","43 Cost Amount (Actual)","41 Source Type",$C$5,"5 Source no.",$C635,"4 Item Ledger Entry Type",$C$4,"2 Item No.","@@"&amp;$F635,"3 Posting Date",J$9)</t>
  </si>
  <si>
    <t>=J635-L635</t>
  </si>
  <si>
    <t>=IF(J635&lt;&gt;0,M635/J635,"")</t>
  </si>
  <si>
    <t>=NL("Sum","5802 Value Entry","150 Sales Amount (Expected)","41 Source Type",$C$5,"5 Source No.",$C635,"4 Item Ledger Entry Type",$C$4,"2 Item No.","@@"&amp;$F635,"3 Posting Date",O$9)+NL("Sum","5802 Value Entry","17 Sales Amount (Actual)","41 Source Type",$C$5,"5 Source no.",$C635,"4 Item Ledger Entry Type",$C$4,"2 Item No.","@@"&amp;$F635,"3 Posting Date",O$9)</t>
  </si>
  <si>
    <t>=-NL("Sum","5802 Value Entry","151 Cost Amount (Expected)","41 Source Type",$C$5,"5 Source No.",$C635,"4 Item Ledger Entry Type",$C$4,"2 Item No.","@@"&amp;$F635,"3 Posting Date",O$9)-NL("Sum","5802 Value Entry","43 Cost Amount (Actual)","41 Source Type",$C$5,"5 Source no.",$C635,"4 Item Ledger Entry Type",$C$4,"2 Item No.","@@"&amp;$F635,"3 Posting Date",O$9)</t>
  </si>
  <si>
    <t>=O635-Q635</t>
  </si>
  <si>
    <t>=IF(O635&lt;&gt;0,R635/O635,"")</t>
  </si>
  <si>
    <t>=NL("Sum","5802 Value Entry","150 Sales Amount (Expected)","41 Source Type",$C$5,"5 Source No.",$C635,"4 Item Ledger Entry Type",$C$4,"2 Item No.","@@"&amp;$F635,"3 Posting Date",U$9)+NL("Sum","5802 Value Entry","17 Sales Amount (Actual)","41 Source Type",$C$5,"5 Source no.",$C635,"4 Item Ledger Entry Type",$C$4,"2 Item No.","@@"&amp;$F635,"3 Posting Date",U$9)</t>
  </si>
  <si>
    <t>=-NL("Sum","5802 Value Entry","151 Cost Amount (Expected)","41 Source Type",$C$5,"5 Source No.",$C635,"4 Item Ledger Entry Type",$C$4,"2 Item No.","@@"&amp;$F635,"3 Posting Date",U$9)-NL("Sum","5802 Value Entry","43 Cost Amount (Actual)","41 Source Type",$C$5,"5 Source no.",$C635,"4 Item Ledger Entry Type",$C$4,"2 Item No.","@@"&amp;$F635,"3 Posting Date",U$9)</t>
  </si>
  <si>
    <t>=U635-W635</t>
  </si>
  <si>
    <t>=IF(U635&lt;&gt;0,X635/U635,"")</t>
  </si>
  <si>
    <t>=NL("Sum","5802 Value Entry","150 Sales Amount (Expected)","41 Source Type",$C$5,"5 Source No.",$C635,"4 Item Ledger Entry Type",$C$4,"2 Item No.","@@"&amp;$F635,"3 Posting Date",Z$9)+NL("Sum","5802 Value Entry","17 Sales Amount (Actual)","41 Source Type",$C$5,"5 Source no.",$C635,"4 Item Ledger Entry Type",$C$4,"2 Item No.","@@"&amp;$F635,"3 Posting Date",Z$9)</t>
  </si>
  <si>
    <t>=-NL("Sum","5802 Value Entry","151 Cost Amount (Expected)","41 Source Type",$C$5,"5 Source No.",$C635,"4 Item Ledger Entry Type",$C$4,"2 Item No.","@@"&amp;$F635,"3 Posting Date",Z$9)-NL("Sum","5802 Value Entry","43 Cost Amount (Actual)","41 Source Type",$C$5,"5 Source no.",$C635,"4 Item Ledger Entry Type",$C$4,"2 Item No.","@@"&amp;$F635,"3 Posting Date",Z$9)</t>
  </si>
  <si>
    <t>=Z635-AB635</t>
  </si>
  <si>
    <t>=IF(Z635&lt;&gt;0,AC635/Z635,"")</t>
  </si>
  <si>
    <t>=C635</t>
  </si>
  <si>
    <t>=NL("Sum","5802 Value Entry","150 Sales Amount (Expected)","41 Source Type",$C$5,"5 Source No.",$C636,"4 Item Ledger Entry Type",$C$4,"2 Item No.","@@"&amp;$F636,"3 Posting Date",J$9)+NL("Sum","5802 Value Entry","17 Sales Amount (Actual)","41 Source Type",$C$5,"5 Source no.",$C636,"4 Item Ledger Entry Type",$C$4,"2 Item No.","@@"&amp;$F636,"3 Posting Date",J$9)</t>
  </si>
  <si>
    <t>=-NL("Sum","5802 Value Entry","151 Cost Amount (Expected)","41 Source Type",$C$5,"5 Source No.",$C636,"4 Item Ledger Entry Type",$C$4,"2 Item No.","@@"&amp;$F636,"3 Posting Date",J$9)-NL("Sum","5802 Value Entry","43 Cost Amount (Actual)","41 Source Type",$C$5,"5 Source no.",$C636,"4 Item Ledger Entry Type",$C$4,"2 Item No.","@@"&amp;$F636,"3 Posting Date",J$9)</t>
  </si>
  <si>
    <t>=J636-L636</t>
  </si>
  <si>
    <t>=IF(J636&lt;&gt;0,M636/J636,"")</t>
  </si>
  <si>
    <t>=NL("Sum","5802 Value Entry","150 Sales Amount (Expected)","41 Source Type",$C$5,"5 Source No.",$C636,"4 Item Ledger Entry Type",$C$4,"2 Item No.","@@"&amp;$F636,"3 Posting Date",O$9)+NL("Sum","5802 Value Entry","17 Sales Amount (Actual)","41 Source Type",$C$5,"5 Source no.",$C636,"4 Item Ledger Entry Type",$C$4,"2 Item No.","@@"&amp;$F636,"3 Posting Date",O$9)</t>
  </si>
  <si>
    <t>=-NL("Sum","5802 Value Entry","151 Cost Amount (Expected)","41 Source Type",$C$5,"5 Source No.",$C636,"4 Item Ledger Entry Type",$C$4,"2 Item No.","@@"&amp;$F636,"3 Posting Date",O$9)-NL("Sum","5802 Value Entry","43 Cost Amount (Actual)","41 Source Type",$C$5,"5 Source no.",$C636,"4 Item Ledger Entry Type",$C$4,"2 Item No.","@@"&amp;$F636,"3 Posting Date",O$9)</t>
  </si>
  <si>
    <t>=O636-Q636</t>
  </si>
  <si>
    <t>=IF(O636&lt;&gt;0,R636/O636,"")</t>
  </si>
  <si>
    <t>=NL("Sum","5802 Value Entry","150 Sales Amount (Expected)","41 Source Type",$C$5,"5 Source No.",$C636,"4 Item Ledger Entry Type",$C$4,"2 Item No.","@@"&amp;$F636,"3 Posting Date",U$9)+NL("Sum","5802 Value Entry","17 Sales Amount (Actual)","41 Source Type",$C$5,"5 Source no.",$C636,"4 Item Ledger Entry Type",$C$4,"2 Item No.","@@"&amp;$F636,"3 Posting Date",U$9)</t>
  </si>
  <si>
    <t>=-NL("Sum","5802 Value Entry","151 Cost Amount (Expected)","41 Source Type",$C$5,"5 Source No.",$C636,"4 Item Ledger Entry Type",$C$4,"2 Item No.","@@"&amp;$F636,"3 Posting Date",U$9)-NL("Sum","5802 Value Entry","43 Cost Amount (Actual)","41 Source Type",$C$5,"5 Source no.",$C636,"4 Item Ledger Entry Type",$C$4,"2 Item No.","@@"&amp;$F636,"3 Posting Date",U$9)</t>
  </si>
  <si>
    <t>=U636-W636</t>
  </si>
  <si>
    <t>=IF(U636&lt;&gt;0,X636/U636,"")</t>
  </si>
  <si>
    <t>=NL("Sum","5802 Value Entry","150 Sales Amount (Expected)","41 Source Type",$C$5,"5 Source No.",$C636,"4 Item Ledger Entry Type",$C$4,"2 Item No.","@@"&amp;$F636,"3 Posting Date",Z$9)+NL("Sum","5802 Value Entry","17 Sales Amount (Actual)","41 Source Type",$C$5,"5 Source no.",$C636,"4 Item Ledger Entry Type",$C$4,"2 Item No.","@@"&amp;$F636,"3 Posting Date",Z$9)</t>
  </si>
  <si>
    <t>=-NL("Sum","5802 Value Entry","151 Cost Amount (Expected)","41 Source Type",$C$5,"5 Source No.",$C636,"4 Item Ledger Entry Type",$C$4,"2 Item No.","@@"&amp;$F636,"3 Posting Date",Z$9)-NL("Sum","5802 Value Entry","43 Cost Amount (Actual)","41 Source Type",$C$5,"5 Source no.",$C636,"4 Item Ledger Entry Type",$C$4,"2 Item No.","@@"&amp;$F636,"3 Posting Date",Z$9)</t>
  </si>
  <si>
    <t>=Z636-AB636</t>
  </si>
  <si>
    <t>=IF(Z636&lt;&gt;0,AC636/Z636,"")</t>
  </si>
  <si>
    <t>=C636</t>
  </si>
  <si>
    <t>=NL("Sum","5802 Value Entry","150 Sales Amount (Expected)","41 Source Type",$C$5,"5 Source No.",$C637,"4 Item Ledger Entry Type",$C$4,"2 Item No.","@@"&amp;$F637,"3 Posting Date",J$9)+NL("Sum","5802 Value Entry","17 Sales Amount (Actual)","41 Source Type",$C$5,"5 Source no.",$C637,"4 Item Ledger Entry Type",$C$4,"2 Item No.","@@"&amp;$F637,"3 Posting Date",J$9)</t>
  </si>
  <si>
    <t>=-NL("Sum","5802 Value Entry","151 Cost Amount (Expected)","41 Source Type",$C$5,"5 Source No.",$C637,"4 Item Ledger Entry Type",$C$4,"2 Item No.","@@"&amp;$F637,"3 Posting Date",J$9)-NL("Sum","5802 Value Entry","43 Cost Amount (Actual)","41 Source Type",$C$5,"5 Source no.",$C637,"4 Item Ledger Entry Type",$C$4,"2 Item No.","@@"&amp;$F637,"3 Posting Date",J$9)</t>
  </si>
  <si>
    <t>=J637-L637</t>
  </si>
  <si>
    <t>=IF(J637&lt;&gt;0,M637/J637,"")</t>
  </si>
  <si>
    <t>=NL("Sum","5802 Value Entry","150 Sales Amount (Expected)","41 Source Type",$C$5,"5 Source No.",$C637,"4 Item Ledger Entry Type",$C$4,"2 Item No.","@@"&amp;$F637,"3 Posting Date",O$9)+NL("Sum","5802 Value Entry","17 Sales Amount (Actual)","41 Source Type",$C$5,"5 Source no.",$C637,"4 Item Ledger Entry Type",$C$4,"2 Item No.","@@"&amp;$F637,"3 Posting Date",O$9)</t>
  </si>
  <si>
    <t>=-NL("Sum","5802 Value Entry","151 Cost Amount (Expected)","41 Source Type",$C$5,"5 Source No.",$C637,"4 Item Ledger Entry Type",$C$4,"2 Item No.","@@"&amp;$F637,"3 Posting Date",O$9)-NL("Sum","5802 Value Entry","43 Cost Amount (Actual)","41 Source Type",$C$5,"5 Source no.",$C637,"4 Item Ledger Entry Type",$C$4,"2 Item No.","@@"&amp;$F637,"3 Posting Date",O$9)</t>
  </si>
  <si>
    <t>=O637-Q637</t>
  </si>
  <si>
    <t>=IF(O637&lt;&gt;0,R637/O637,"")</t>
  </si>
  <si>
    <t>=NL("Sum","5802 Value Entry","150 Sales Amount (Expected)","41 Source Type",$C$5,"5 Source No.",$C637,"4 Item Ledger Entry Type",$C$4,"2 Item No.","@@"&amp;$F637,"3 Posting Date",U$9)+NL("Sum","5802 Value Entry","17 Sales Amount (Actual)","41 Source Type",$C$5,"5 Source no.",$C637,"4 Item Ledger Entry Type",$C$4,"2 Item No.","@@"&amp;$F637,"3 Posting Date",U$9)</t>
  </si>
  <si>
    <t>=-NL("Sum","5802 Value Entry","151 Cost Amount (Expected)","41 Source Type",$C$5,"5 Source No.",$C637,"4 Item Ledger Entry Type",$C$4,"2 Item No.","@@"&amp;$F637,"3 Posting Date",U$9)-NL("Sum","5802 Value Entry","43 Cost Amount (Actual)","41 Source Type",$C$5,"5 Source no.",$C637,"4 Item Ledger Entry Type",$C$4,"2 Item No.","@@"&amp;$F637,"3 Posting Date",U$9)</t>
  </si>
  <si>
    <t>=U637-W637</t>
  </si>
  <si>
    <t>=IF(U637&lt;&gt;0,X637/U637,"")</t>
  </si>
  <si>
    <t>=NL("Sum","5802 Value Entry","150 Sales Amount (Expected)","41 Source Type",$C$5,"5 Source No.",$C637,"4 Item Ledger Entry Type",$C$4,"2 Item No.","@@"&amp;$F637,"3 Posting Date",Z$9)+NL("Sum","5802 Value Entry","17 Sales Amount (Actual)","41 Source Type",$C$5,"5 Source no.",$C637,"4 Item Ledger Entry Type",$C$4,"2 Item No.","@@"&amp;$F637,"3 Posting Date",Z$9)</t>
  </si>
  <si>
    <t>=-NL("Sum","5802 Value Entry","151 Cost Amount (Expected)","41 Source Type",$C$5,"5 Source No.",$C637,"4 Item Ledger Entry Type",$C$4,"2 Item No.","@@"&amp;$F637,"3 Posting Date",Z$9)-NL("Sum","5802 Value Entry","43 Cost Amount (Actual)","41 Source Type",$C$5,"5 Source no.",$C637,"4 Item Ledger Entry Type",$C$4,"2 Item No.","@@"&amp;$F637,"3 Posting Date",Z$9)</t>
  </si>
  <si>
    <t>=Z637-AB637</t>
  </si>
  <si>
    <t>=IF(Z637&lt;&gt;0,AC637/Z637,"")</t>
  </si>
  <si>
    <t>=C637</t>
  </si>
  <si>
    <t>=NL("Sum","5802 Value Entry","150 Sales Amount (Expected)","41 Source Type",$C$5,"5 Source No.",$C638,"4 Item Ledger Entry Type",$C$4,"2 Item No.","@@"&amp;$F638,"3 Posting Date",J$9)+NL("Sum","5802 Value Entry","17 Sales Amount (Actual)","41 Source Type",$C$5,"5 Source no.",$C638,"4 Item Ledger Entry Type",$C$4,"2 Item No.","@@"&amp;$F638,"3 Posting Date",J$9)</t>
  </si>
  <si>
    <t>=-NL("Sum","5802 Value Entry","151 Cost Amount (Expected)","41 Source Type",$C$5,"5 Source No.",$C638,"4 Item Ledger Entry Type",$C$4,"2 Item No.","@@"&amp;$F638,"3 Posting Date",J$9)-NL("Sum","5802 Value Entry","43 Cost Amount (Actual)","41 Source Type",$C$5,"5 Source no.",$C638,"4 Item Ledger Entry Type",$C$4,"2 Item No.","@@"&amp;$F638,"3 Posting Date",J$9)</t>
  </si>
  <si>
    <t>=J638-L638</t>
  </si>
  <si>
    <t>=IF(J638&lt;&gt;0,M638/J638,"")</t>
  </si>
  <si>
    <t>=NL("Sum","5802 Value Entry","150 Sales Amount (Expected)","41 Source Type",$C$5,"5 Source No.",$C638,"4 Item Ledger Entry Type",$C$4,"2 Item No.","@@"&amp;$F638,"3 Posting Date",O$9)+NL("Sum","5802 Value Entry","17 Sales Amount (Actual)","41 Source Type",$C$5,"5 Source no.",$C638,"4 Item Ledger Entry Type",$C$4,"2 Item No.","@@"&amp;$F638,"3 Posting Date",O$9)</t>
  </si>
  <si>
    <t>=-NL("Sum","5802 Value Entry","151 Cost Amount (Expected)","41 Source Type",$C$5,"5 Source No.",$C638,"4 Item Ledger Entry Type",$C$4,"2 Item No.","@@"&amp;$F638,"3 Posting Date",O$9)-NL("Sum","5802 Value Entry","43 Cost Amount (Actual)","41 Source Type",$C$5,"5 Source no.",$C638,"4 Item Ledger Entry Type",$C$4,"2 Item No.","@@"&amp;$F638,"3 Posting Date",O$9)</t>
  </si>
  <si>
    <t>=O638-Q638</t>
  </si>
  <si>
    <t>=IF(O638&lt;&gt;0,R638/O638,"")</t>
  </si>
  <si>
    <t>=NL("Sum","5802 Value Entry","150 Sales Amount (Expected)","41 Source Type",$C$5,"5 Source No.",$C638,"4 Item Ledger Entry Type",$C$4,"2 Item No.","@@"&amp;$F638,"3 Posting Date",U$9)+NL("Sum","5802 Value Entry","17 Sales Amount (Actual)","41 Source Type",$C$5,"5 Source no.",$C638,"4 Item Ledger Entry Type",$C$4,"2 Item No.","@@"&amp;$F638,"3 Posting Date",U$9)</t>
  </si>
  <si>
    <t>=-NL("Sum","5802 Value Entry","151 Cost Amount (Expected)","41 Source Type",$C$5,"5 Source No.",$C638,"4 Item Ledger Entry Type",$C$4,"2 Item No.","@@"&amp;$F638,"3 Posting Date",U$9)-NL("Sum","5802 Value Entry","43 Cost Amount (Actual)","41 Source Type",$C$5,"5 Source no.",$C638,"4 Item Ledger Entry Type",$C$4,"2 Item No.","@@"&amp;$F638,"3 Posting Date",U$9)</t>
  </si>
  <si>
    <t>=U638-W638</t>
  </si>
  <si>
    <t>=IF(U638&lt;&gt;0,X638/U638,"")</t>
  </si>
  <si>
    <t>=NL("Sum","5802 Value Entry","150 Sales Amount (Expected)","41 Source Type",$C$5,"5 Source No.",$C638,"4 Item Ledger Entry Type",$C$4,"2 Item No.","@@"&amp;$F638,"3 Posting Date",Z$9)+NL("Sum","5802 Value Entry","17 Sales Amount (Actual)","41 Source Type",$C$5,"5 Source no.",$C638,"4 Item Ledger Entry Type",$C$4,"2 Item No.","@@"&amp;$F638,"3 Posting Date",Z$9)</t>
  </si>
  <si>
    <t>=-NL("Sum","5802 Value Entry","151 Cost Amount (Expected)","41 Source Type",$C$5,"5 Source No.",$C638,"4 Item Ledger Entry Type",$C$4,"2 Item No.","@@"&amp;$F638,"3 Posting Date",Z$9)-NL("Sum","5802 Value Entry","43 Cost Amount (Actual)","41 Source Type",$C$5,"5 Source no.",$C638,"4 Item Ledger Entry Type",$C$4,"2 Item No.","@@"&amp;$F638,"3 Posting Date",Z$9)</t>
  </si>
  <si>
    <t>=Z638-AB638</t>
  </si>
  <si>
    <t>=IF(Z638&lt;&gt;0,AC638/Z638,"")</t>
  </si>
  <si>
    <t>=C638</t>
  </si>
  <si>
    <t>=NL("Sum","5802 Value Entry","150 Sales Amount (Expected)","41 Source Type",$C$5,"5 Source No.",$C639,"4 Item Ledger Entry Type",$C$4,"2 Item No.","@@"&amp;$F639,"3 Posting Date",J$9)+NL("Sum","5802 Value Entry","17 Sales Amount (Actual)","41 Source Type",$C$5,"5 Source no.",$C639,"4 Item Ledger Entry Type",$C$4,"2 Item No.","@@"&amp;$F639,"3 Posting Date",J$9)</t>
  </si>
  <si>
    <t>=-NL("Sum","5802 Value Entry","151 Cost Amount (Expected)","41 Source Type",$C$5,"5 Source No.",$C639,"4 Item Ledger Entry Type",$C$4,"2 Item No.","@@"&amp;$F639,"3 Posting Date",J$9)-NL("Sum","5802 Value Entry","43 Cost Amount (Actual)","41 Source Type",$C$5,"5 Source no.",$C639,"4 Item Ledger Entry Type",$C$4,"2 Item No.","@@"&amp;$F639,"3 Posting Date",J$9)</t>
  </si>
  <si>
    <t>=J639-L639</t>
  </si>
  <si>
    <t>=IF(J639&lt;&gt;0,M639/J639,"")</t>
  </si>
  <si>
    <t>=NL("Sum","5802 Value Entry","150 Sales Amount (Expected)","41 Source Type",$C$5,"5 Source No.",$C639,"4 Item Ledger Entry Type",$C$4,"2 Item No.","@@"&amp;$F639,"3 Posting Date",O$9)+NL("Sum","5802 Value Entry","17 Sales Amount (Actual)","41 Source Type",$C$5,"5 Source no.",$C639,"4 Item Ledger Entry Type",$C$4,"2 Item No.","@@"&amp;$F639,"3 Posting Date",O$9)</t>
  </si>
  <si>
    <t>=-NL("Sum","5802 Value Entry","151 Cost Amount (Expected)","41 Source Type",$C$5,"5 Source No.",$C639,"4 Item Ledger Entry Type",$C$4,"2 Item No.","@@"&amp;$F639,"3 Posting Date",O$9)-NL("Sum","5802 Value Entry","43 Cost Amount (Actual)","41 Source Type",$C$5,"5 Source no.",$C639,"4 Item Ledger Entry Type",$C$4,"2 Item No.","@@"&amp;$F639,"3 Posting Date",O$9)</t>
  </si>
  <si>
    <t>=O639-Q639</t>
  </si>
  <si>
    <t>=IF(O639&lt;&gt;0,R639/O639,"")</t>
  </si>
  <si>
    <t>=NL("Sum","5802 Value Entry","150 Sales Amount (Expected)","41 Source Type",$C$5,"5 Source No.",$C639,"4 Item Ledger Entry Type",$C$4,"2 Item No.","@@"&amp;$F639,"3 Posting Date",U$9)+NL("Sum","5802 Value Entry","17 Sales Amount (Actual)","41 Source Type",$C$5,"5 Source no.",$C639,"4 Item Ledger Entry Type",$C$4,"2 Item No.","@@"&amp;$F639,"3 Posting Date",U$9)</t>
  </si>
  <si>
    <t>=-NL("Sum","5802 Value Entry","151 Cost Amount (Expected)","41 Source Type",$C$5,"5 Source No.",$C639,"4 Item Ledger Entry Type",$C$4,"2 Item No.","@@"&amp;$F639,"3 Posting Date",U$9)-NL("Sum","5802 Value Entry","43 Cost Amount (Actual)","41 Source Type",$C$5,"5 Source no.",$C639,"4 Item Ledger Entry Type",$C$4,"2 Item No.","@@"&amp;$F639,"3 Posting Date",U$9)</t>
  </si>
  <si>
    <t>=U639-W639</t>
  </si>
  <si>
    <t>=IF(U639&lt;&gt;0,X639/U639,"")</t>
  </si>
  <si>
    <t>=NL("Sum","5802 Value Entry","150 Sales Amount (Expected)","41 Source Type",$C$5,"5 Source No.",$C639,"4 Item Ledger Entry Type",$C$4,"2 Item No.","@@"&amp;$F639,"3 Posting Date",Z$9)+NL("Sum","5802 Value Entry","17 Sales Amount (Actual)","41 Source Type",$C$5,"5 Source no.",$C639,"4 Item Ledger Entry Type",$C$4,"2 Item No.","@@"&amp;$F639,"3 Posting Date",Z$9)</t>
  </si>
  <si>
    <t>=-NL("Sum","5802 Value Entry","151 Cost Amount (Expected)","41 Source Type",$C$5,"5 Source No.",$C639,"4 Item Ledger Entry Type",$C$4,"2 Item No.","@@"&amp;$F639,"3 Posting Date",Z$9)-NL("Sum","5802 Value Entry","43 Cost Amount (Actual)","41 Source Type",$C$5,"5 Source no.",$C639,"4 Item Ledger Entry Type",$C$4,"2 Item No.","@@"&amp;$F639,"3 Posting Date",Z$9)</t>
  </si>
  <si>
    <t>=Z639-AB639</t>
  </si>
  <si>
    <t>=IF(Z639&lt;&gt;0,AC639/Z639,"")</t>
  </si>
  <si>
    <t>=C639</t>
  </si>
  <si>
    <t>=NL("Sum","5802 Value Entry","150 Sales Amount (Expected)","41 Source Type",$C$5,"5 Source No.",$C640,"4 Item Ledger Entry Type",$C$4,"2 Item No.","@@"&amp;$F640,"3 Posting Date",J$9)+NL("Sum","5802 Value Entry","17 Sales Amount (Actual)","41 Source Type",$C$5,"5 Source no.",$C640,"4 Item Ledger Entry Type",$C$4,"2 Item No.","@@"&amp;$F640,"3 Posting Date",J$9)</t>
  </si>
  <si>
    <t>=-NL("Sum","5802 Value Entry","151 Cost Amount (Expected)","41 Source Type",$C$5,"5 Source No.",$C640,"4 Item Ledger Entry Type",$C$4,"2 Item No.","@@"&amp;$F640,"3 Posting Date",J$9)-NL("Sum","5802 Value Entry","43 Cost Amount (Actual)","41 Source Type",$C$5,"5 Source no.",$C640,"4 Item Ledger Entry Type",$C$4,"2 Item No.","@@"&amp;$F640,"3 Posting Date",J$9)</t>
  </si>
  <si>
    <t>=J640-L640</t>
  </si>
  <si>
    <t>=IF(J640&lt;&gt;0,M640/J640,"")</t>
  </si>
  <si>
    <t>=NL("Sum","5802 Value Entry","150 Sales Amount (Expected)","41 Source Type",$C$5,"5 Source No.",$C640,"4 Item Ledger Entry Type",$C$4,"2 Item No.","@@"&amp;$F640,"3 Posting Date",O$9)+NL("Sum","5802 Value Entry","17 Sales Amount (Actual)","41 Source Type",$C$5,"5 Source no.",$C640,"4 Item Ledger Entry Type",$C$4,"2 Item No.","@@"&amp;$F640,"3 Posting Date",O$9)</t>
  </si>
  <si>
    <t>=-NL("Sum","5802 Value Entry","151 Cost Amount (Expected)","41 Source Type",$C$5,"5 Source No.",$C640,"4 Item Ledger Entry Type",$C$4,"2 Item No.","@@"&amp;$F640,"3 Posting Date",O$9)-NL("Sum","5802 Value Entry","43 Cost Amount (Actual)","41 Source Type",$C$5,"5 Source no.",$C640,"4 Item Ledger Entry Type",$C$4,"2 Item No.","@@"&amp;$F640,"3 Posting Date",O$9)</t>
  </si>
  <si>
    <t>=O640-Q640</t>
  </si>
  <si>
    <t>=IF(O640&lt;&gt;0,R640/O640,"")</t>
  </si>
  <si>
    <t>=NL("Sum","5802 Value Entry","150 Sales Amount (Expected)","41 Source Type",$C$5,"5 Source No.",$C640,"4 Item Ledger Entry Type",$C$4,"2 Item No.","@@"&amp;$F640,"3 Posting Date",U$9)+NL("Sum","5802 Value Entry","17 Sales Amount (Actual)","41 Source Type",$C$5,"5 Source no.",$C640,"4 Item Ledger Entry Type",$C$4,"2 Item No.","@@"&amp;$F640,"3 Posting Date",U$9)</t>
  </si>
  <si>
    <t>=-NL("Sum","5802 Value Entry","151 Cost Amount (Expected)","41 Source Type",$C$5,"5 Source No.",$C640,"4 Item Ledger Entry Type",$C$4,"2 Item No.","@@"&amp;$F640,"3 Posting Date",U$9)-NL("Sum","5802 Value Entry","43 Cost Amount (Actual)","41 Source Type",$C$5,"5 Source no.",$C640,"4 Item Ledger Entry Type",$C$4,"2 Item No.","@@"&amp;$F640,"3 Posting Date",U$9)</t>
  </si>
  <si>
    <t>=U640-W640</t>
  </si>
  <si>
    <t>=IF(U640&lt;&gt;0,X640/U640,"")</t>
  </si>
  <si>
    <t>=NL("Sum","5802 Value Entry","150 Sales Amount (Expected)","41 Source Type",$C$5,"5 Source No.",$C640,"4 Item Ledger Entry Type",$C$4,"2 Item No.","@@"&amp;$F640,"3 Posting Date",Z$9)+NL("Sum","5802 Value Entry","17 Sales Amount (Actual)","41 Source Type",$C$5,"5 Source no.",$C640,"4 Item Ledger Entry Type",$C$4,"2 Item No.","@@"&amp;$F640,"3 Posting Date",Z$9)</t>
  </si>
  <si>
    <t>=-NL("Sum","5802 Value Entry","151 Cost Amount (Expected)","41 Source Type",$C$5,"5 Source No.",$C640,"4 Item Ledger Entry Type",$C$4,"2 Item No.","@@"&amp;$F640,"3 Posting Date",Z$9)-NL("Sum","5802 Value Entry","43 Cost Amount (Actual)","41 Source Type",$C$5,"5 Source no.",$C640,"4 Item Ledger Entry Type",$C$4,"2 Item No.","@@"&amp;$F640,"3 Posting Date",Z$9)</t>
  </si>
  <si>
    <t>=Z640-AB640</t>
  </si>
  <si>
    <t>=IF(Z640&lt;&gt;0,AC640/Z640,"")</t>
  </si>
  <si>
    <t>=C640</t>
  </si>
  <si>
    <t>=NL("Sum","5802 Value Entry","150 Sales Amount (Expected)","41 Source Type",$C$5,"5 Source No.",$C641,"4 Item Ledger Entry Type",$C$4,"2 Item No.","@@"&amp;$F641,"3 Posting Date",J$9)+NL("Sum","5802 Value Entry","17 Sales Amount (Actual)","41 Source Type",$C$5,"5 Source no.",$C641,"4 Item Ledger Entry Type",$C$4,"2 Item No.","@@"&amp;$F641,"3 Posting Date",J$9)</t>
  </si>
  <si>
    <t>=-NL("Sum","5802 Value Entry","151 Cost Amount (Expected)","41 Source Type",$C$5,"5 Source No.",$C641,"4 Item Ledger Entry Type",$C$4,"2 Item No.","@@"&amp;$F641,"3 Posting Date",J$9)-NL("Sum","5802 Value Entry","43 Cost Amount (Actual)","41 Source Type",$C$5,"5 Source no.",$C641,"4 Item Ledger Entry Type",$C$4,"2 Item No.","@@"&amp;$F641,"3 Posting Date",J$9)</t>
  </si>
  <si>
    <t>=J641-L641</t>
  </si>
  <si>
    <t>=IF(J641&lt;&gt;0,M641/J641,"")</t>
  </si>
  <si>
    <t>=NL("Sum","5802 Value Entry","150 Sales Amount (Expected)","41 Source Type",$C$5,"5 Source No.",$C641,"4 Item Ledger Entry Type",$C$4,"2 Item No.","@@"&amp;$F641,"3 Posting Date",O$9)+NL("Sum","5802 Value Entry","17 Sales Amount (Actual)","41 Source Type",$C$5,"5 Source no.",$C641,"4 Item Ledger Entry Type",$C$4,"2 Item No.","@@"&amp;$F641,"3 Posting Date",O$9)</t>
  </si>
  <si>
    <t>=-NL("Sum","5802 Value Entry","151 Cost Amount (Expected)","41 Source Type",$C$5,"5 Source No.",$C641,"4 Item Ledger Entry Type",$C$4,"2 Item No.","@@"&amp;$F641,"3 Posting Date",O$9)-NL("Sum","5802 Value Entry","43 Cost Amount (Actual)","41 Source Type",$C$5,"5 Source no.",$C641,"4 Item Ledger Entry Type",$C$4,"2 Item No.","@@"&amp;$F641,"3 Posting Date",O$9)</t>
  </si>
  <si>
    <t>=O641-Q641</t>
  </si>
  <si>
    <t>=IF(O641&lt;&gt;0,R641/O641,"")</t>
  </si>
  <si>
    <t>=NL("Sum","5802 Value Entry","150 Sales Amount (Expected)","41 Source Type",$C$5,"5 Source No.",$C641,"4 Item Ledger Entry Type",$C$4,"2 Item No.","@@"&amp;$F641,"3 Posting Date",U$9)+NL("Sum","5802 Value Entry","17 Sales Amount (Actual)","41 Source Type",$C$5,"5 Source no.",$C641,"4 Item Ledger Entry Type",$C$4,"2 Item No.","@@"&amp;$F641,"3 Posting Date",U$9)</t>
  </si>
  <si>
    <t>=-NL("Sum","5802 Value Entry","151 Cost Amount (Expected)","41 Source Type",$C$5,"5 Source No.",$C641,"4 Item Ledger Entry Type",$C$4,"2 Item No.","@@"&amp;$F641,"3 Posting Date",U$9)-NL("Sum","5802 Value Entry","43 Cost Amount (Actual)","41 Source Type",$C$5,"5 Source no.",$C641,"4 Item Ledger Entry Type",$C$4,"2 Item No.","@@"&amp;$F641,"3 Posting Date",U$9)</t>
  </si>
  <si>
    <t>=U641-W641</t>
  </si>
  <si>
    <t>=IF(U641&lt;&gt;0,X641/U641,"")</t>
  </si>
  <si>
    <t>=NL("Sum","5802 Value Entry","150 Sales Amount (Expected)","41 Source Type",$C$5,"5 Source No.",$C641,"4 Item Ledger Entry Type",$C$4,"2 Item No.","@@"&amp;$F641,"3 Posting Date",Z$9)+NL("Sum","5802 Value Entry","17 Sales Amount (Actual)","41 Source Type",$C$5,"5 Source no.",$C641,"4 Item Ledger Entry Type",$C$4,"2 Item No.","@@"&amp;$F641,"3 Posting Date",Z$9)</t>
  </si>
  <si>
    <t>=-NL("Sum","5802 Value Entry","151 Cost Amount (Expected)","41 Source Type",$C$5,"5 Source No.",$C641,"4 Item Ledger Entry Type",$C$4,"2 Item No.","@@"&amp;$F641,"3 Posting Date",Z$9)-NL("Sum","5802 Value Entry","43 Cost Amount (Actual)","41 Source Type",$C$5,"5 Source no.",$C641,"4 Item Ledger Entry Type",$C$4,"2 Item No.","@@"&amp;$F641,"3 Posting Date",Z$9)</t>
  </si>
  <si>
    <t>=Z641-AB641</t>
  </si>
  <si>
    <t>=IF(Z641&lt;&gt;0,AC641/Z641,"")</t>
  </si>
  <si>
    <t>=C641</t>
  </si>
  <si>
    <t>=NL("Sum","5802 Value Entry","150 Sales Amount (Expected)","41 Source Type",$C$5,"5 Source No.",$C642,"4 Item Ledger Entry Type",$C$4,"2 Item No.","@@"&amp;$F642,"3 Posting Date",J$9)+NL("Sum","5802 Value Entry","17 Sales Amount (Actual)","41 Source Type",$C$5,"5 Source no.",$C642,"4 Item Ledger Entry Type",$C$4,"2 Item No.","@@"&amp;$F642,"3 Posting Date",J$9)</t>
  </si>
  <si>
    <t>=-NL("Sum","5802 Value Entry","151 Cost Amount (Expected)","41 Source Type",$C$5,"5 Source No.",$C642,"4 Item Ledger Entry Type",$C$4,"2 Item No.","@@"&amp;$F642,"3 Posting Date",J$9)-NL("Sum","5802 Value Entry","43 Cost Amount (Actual)","41 Source Type",$C$5,"5 Source no.",$C642,"4 Item Ledger Entry Type",$C$4,"2 Item No.","@@"&amp;$F642,"3 Posting Date",J$9)</t>
  </si>
  <si>
    <t>=J642-L642</t>
  </si>
  <si>
    <t>=IF(J642&lt;&gt;0,M642/J642,"")</t>
  </si>
  <si>
    <t>=NL("Sum","5802 Value Entry","150 Sales Amount (Expected)","41 Source Type",$C$5,"5 Source No.",$C642,"4 Item Ledger Entry Type",$C$4,"2 Item No.","@@"&amp;$F642,"3 Posting Date",O$9)+NL("Sum","5802 Value Entry","17 Sales Amount (Actual)","41 Source Type",$C$5,"5 Source no.",$C642,"4 Item Ledger Entry Type",$C$4,"2 Item No.","@@"&amp;$F642,"3 Posting Date",O$9)</t>
  </si>
  <si>
    <t>=-NL("Sum","5802 Value Entry","151 Cost Amount (Expected)","41 Source Type",$C$5,"5 Source No.",$C642,"4 Item Ledger Entry Type",$C$4,"2 Item No.","@@"&amp;$F642,"3 Posting Date",O$9)-NL("Sum","5802 Value Entry","43 Cost Amount (Actual)","41 Source Type",$C$5,"5 Source no.",$C642,"4 Item Ledger Entry Type",$C$4,"2 Item No.","@@"&amp;$F642,"3 Posting Date",O$9)</t>
  </si>
  <si>
    <t>=O642-Q642</t>
  </si>
  <si>
    <t>=IF(O642&lt;&gt;0,R642/O642,"")</t>
  </si>
  <si>
    <t>=NL("Sum","5802 Value Entry","150 Sales Amount (Expected)","41 Source Type",$C$5,"5 Source No.",$C642,"4 Item Ledger Entry Type",$C$4,"2 Item No.","@@"&amp;$F642,"3 Posting Date",U$9)+NL("Sum","5802 Value Entry","17 Sales Amount (Actual)","41 Source Type",$C$5,"5 Source no.",$C642,"4 Item Ledger Entry Type",$C$4,"2 Item No.","@@"&amp;$F642,"3 Posting Date",U$9)</t>
  </si>
  <si>
    <t>=-NL("Sum","5802 Value Entry","151 Cost Amount (Expected)","41 Source Type",$C$5,"5 Source No.",$C642,"4 Item Ledger Entry Type",$C$4,"2 Item No.","@@"&amp;$F642,"3 Posting Date",U$9)-NL("Sum","5802 Value Entry","43 Cost Amount (Actual)","41 Source Type",$C$5,"5 Source no.",$C642,"4 Item Ledger Entry Type",$C$4,"2 Item No.","@@"&amp;$F642,"3 Posting Date",U$9)</t>
  </si>
  <si>
    <t>=U642-W642</t>
  </si>
  <si>
    <t>=IF(U642&lt;&gt;0,X642/U642,"")</t>
  </si>
  <si>
    <t>=NL("Sum","5802 Value Entry","150 Sales Amount (Expected)","41 Source Type",$C$5,"5 Source No.",$C642,"4 Item Ledger Entry Type",$C$4,"2 Item No.","@@"&amp;$F642,"3 Posting Date",Z$9)+NL("Sum","5802 Value Entry","17 Sales Amount (Actual)","41 Source Type",$C$5,"5 Source no.",$C642,"4 Item Ledger Entry Type",$C$4,"2 Item No.","@@"&amp;$F642,"3 Posting Date",Z$9)</t>
  </si>
  <si>
    <t>=-NL("Sum","5802 Value Entry","151 Cost Amount (Expected)","41 Source Type",$C$5,"5 Source No.",$C642,"4 Item Ledger Entry Type",$C$4,"2 Item No.","@@"&amp;$F642,"3 Posting Date",Z$9)-NL("Sum","5802 Value Entry","43 Cost Amount (Actual)","41 Source Type",$C$5,"5 Source no.",$C642,"4 Item Ledger Entry Type",$C$4,"2 Item No.","@@"&amp;$F642,"3 Posting Date",Z$9)</t>
  </si>
  <si>
    <t>=Z642-AB642</t>
  </si>
  <si>
    <t>=IF(Z642&lt;&gt;0,AC642/Z642,"")</t>
  </si>
  <si>
    <t>=C642</t>
  </si>
  <si>
    <t>=NL("Sum","5802 Value Entry","150 Sales Amount (Expected)","41 Source Type",$C$5,"5 Source No.",$C643,"4 Item Ledger Entry Type",$C$4,"2 Item No.","@@"&amp;$F643,"3 Posting Date",J$9)+NL("Sum","5802 Value Entry","17 Sales Amount (Actual)","41 Source Type",$C$5,"5 Source no.",$C643,"4 Item Ledger Entry Type",$C$4,"2 Item No.","@@"&amp;$F643,"3 Posting Date",J$9)</t>
  </si>
  <si>
    <t>=-NL("Sum","5802 Value Entry","151 Cost Amount (Expected)","41 Source Type",$C$5,"5 Source No.",$C643,"4 Item Ledger Entry Type",$C$4,"2 Item No.","@@"&amp;$F643,"3 Posting Date",J$9)-NL("Sum","5802 Value Entry","43 Cost Amount (Actual)","41 Source Type",$C$5,"5 Source no.",$C643,"4 Item Ledger Entry Type",$C$4,"2 Item No.","@@"&amp;$F643,"3 Posting Date",J$9)</t>
  </si>
  <si>
    <t>=J643-L643</t>
  </si>
  <si>
    <t>=IF(J643&lt;&gt;0,M643/J643,"")</t>
  </si>
  <si>
    <t>=NL("Sum","5802 Value Entry","150 Sales Amount (Expected)","41 Source Type",$C$5,"5 Source No.",$C643,"4 Item Ledger Entry Type",$C$4,"2 Item No.","@@"&amp;$F643,"3 Posting Date",O$9)+NL("Sum","5802 Value Entry","17 Sales Amount (Actual)","41 Source Type",$C$5,"5 Source no.",$C643,"4 Item Ledger Entry Type",$C$4,"2 Item No.","@@"&amp;$F643,"3 Posting Date",O$9)</t>
  </si>
  <si>
    <t>=-NL("Sum","5802 Value Entry","151 Cost Amount (Expected)","41 Source Type",$C$5,"5 Source No.",$C643,"4 Item Ledger Entry Type",$C$4,"2 Item No.","@@"&amp;$F643,"3 Posting Date",O$9)-NL("Sum","5802 Value Entry","43 Cost Amount (Actual)","41 Source Type",$C$5,"5 Source no.",$C643,"4 Item Ledger Entry Type",$C$4,"2 Item No.","@@"&amp;$F643,"3 Posting Date",O$9)</t>
  </si>
  <si>
    <t>=O643-Q643</t>
  </si>
  <si>
    <t>=IF(O643&lt;&gt;0,R643/O643,"")</t>
  </si>
  <si>
    <t>=NL("Sum","5802 Value Entry","150 Sales Amount (Expected)","41 Source Type",$C$5,"5 Source No.",$C643,"4 Item Ledger Entry Type",$C$4,"2 Item No.","@@"&amp;$F643,"3 Posting Date",U$9)+NL("Sum","5802 Value Entry","17 Sales Amount (Actual)","41 Source Type",$C$5,"5 Source no.",$C643,"4 Item Ledger Entry Type",$C$4,"2 Item No.","@@"&amp;$F643,"3 Posting Date",U$9)</t>
  </si>
  <si>
    <t>=-NL("Sum","5802 Value Entry","151 Cost Amount (Expected)","41 Source Type",$C$5,"5 Source No.",$C643,"4 Item Ledger Entry Type",$C$4,"2 Item No.","@@"&amp;$F643,"3 Posting Date",U$9)-NL("Sum","5802 Value Entry","43 Cost Amount (Actual)","41 Source Type",$C$5,"5 Source no.",$C643,"4 Item Ledger Entry Type",$C$4,"2 Item No.","@@"&amp;$F643,"3 Posting Date",U$9)</t>
  </si>
  <si>
    <t>=U643-W643</t>
  </si>
  <si>
    <t>=IF(U643&lt;&gt;0,X643/U643,"")</t>
  </si>
  <si>
    <t>=NL("Sum","5802 Value Entry","150 Sales Amount (Expected)","41 Source Type",$C$5,"5 Source No.",$C643,"4 Item Ledger Entry Type",$C$4,"2 Item No.","@@"&amp;$F643,"3 Posting Date",Z$9)+NL("Sum","5802 Value Entry","17 Sales Amount (Actual)","41 Source Type",$C$5,"5 Source no.",$C643,"4 Item Ledger Entry Type",$C$4,"2 Item No.","@@"&amp;$F643,"3 Posting Date",Z$9)</t>
  </si>
  <si>
    <t>=-NL("Sum","5802 Value Entry","151 Cost Amount (Expected)","41 Source Type",$C$5,"5 Source No.",$C643,"4 Item Ledger Entry Type",$C$4,"2 Item No.","@@"&amp;$F643,"3 Posting Date",Z$9)-NL("Sum","5802 Value Entry","43 Cost Amount (Actual)","41 Source Type",$C$5,"5 Source no.",$C643,"4 Item Ledger Entry Type",$C$4,"2 Item No.","@@"&amp;$F643,"3 Posting Date",Z$9)</t>
  </si>
  <si>
    <t>=Z643-AB643</t>
  </si>
  <si>
    <t>=IF(Z643&lt;&gt;0,AC643/Z643,"")</t>
  </si>
  <si>
    <t>=C643</t>
  </si>
  <si>
    <t>=NL("Sum","5802 Value Entry","150 Sales Amount (Expected)","41 Source Type",$C$5,"5 Source No.",$C644,"4 Item Ledger Entry Type",$C$4,"2 Item No.","@@"&amp;$F644,"3 Posting Date",J$9)+NL("Sum","5802 Value Entry","17 Sales Amount (Actual)","41 Source Type",$C$5,"5 Source no.",$C644,"4 Item Ledger Entry Type",$C$4,"2 Item No.","@@"&amp;$F644,"3 Posting Date",J$9)</t>
  </si>
  <si>
    <t>=-NL("Sum","5802 Value Entry","151 Cost Amount (Expected)","41 Source Type",$C$5,"5 Source No.",$C644,"4 Item Ledger Entry Type",$C$4,"2 Item No.","@@"&amp;$F644,"3 Posting Date",J$9)-NL("Sum","5802 Value Entry","43 Cost Amount (Actual)","41 Source Type",$C$5,"5 Source no.",$C644,"4 Item Ledger Entry Type",$C$4,"2 Item No.","@@"&amp;$F644,"3 Posting Date",J$9)</t>
  </si>
  <si>
    <t>=J644-L644</t>
  </si>
  <si>
    <t>=IF(J644&lt;&gt;0,M644/J644,"")</t>
  </si>
  <si>
    <t>=NL("Sum","5802 Value Entry","150 Sales Amount (Expected)","41 Source Type",$C$5,"5 Source No.",$C644,"4 Item Ledger Entry Type",$C$4,"2 Item No.","@@"&amp;$F644,"3 Posting Date",O$9)+NL("Sum","5802 Value Entry","17 Sales Amount (Actual)","41 Source Type",$C$5,"5 Source no.",$C644,"4 Item Ledger Entry Type",$C$4,"2 Item No.","@@"&amp;$F644,"3 Posting Date",O$9)</t>
  </si>
  <si>
    <t>=-NL("Sum","5802 Value Entry","151 Cost Amount (Expected)","41 Source Type",$C$5,"5 Source No.",$C644,"4 Item Ledger Entry Type",$C$4,"2 Item No.","@@"&amp;$F644,"3 Posting Date",O$9)-NL("Sum","5802 Value Entry","43 Cost Amount (Actual)","41 Source Type",$C$5,"5 Source no.",$C644,"4 Item Ledger Entry Type",$C$4,"2 Item No.","@@"&amp;$F644,"3 Posting Date",O$9)</t>
  </si>
  <si>
    <t>=O644-Q644</t>
  </si>
  <si>
    <t>=IF(O644&lt;&gt;0,R644/O644,"")</t>
  </si>
  <si>
    <t>=NL("Sum","5802 Value Entry","150 Sales Amount (Expected)","41 Source Type",$C$5,"5 Source No.",$C644,"4 Item Ledger Entry Type",$C$4,"2 Item No.","@@"&amp;$F644,"3 Posting Date",U$9)+NL("Sum","5802 Value Entry","17 Sales Amount (Actual)","41 Source Type",$C$5,"5 Source no.",$C644,"4 Item Ledger Entry Type",$C$4,"2 Item No.","@@"&amp;$F644,"3 Posting Date",U$9)</t>
  </si>
  <si>
    <t>=-NL("Sum","5802 Value Entry","151 Cost Amount (Expected)","41 Source Type",$C$5,"5 Source No.",$C644,"4 Item Ledger Entry Type",$C$4,"2 Item No.","@@"&amp;$F644,"3 Posting Date",U$9)-NL("Sum","5802 Value Entry","43 Cost Amount (Actual)","41 Source Type",$C$5,"5 Source no.",$C644,"4 Item Ledger Entry Type",$C$4,"2 Item No.","@@"&amp;$F644,"3 Posting Date",U$9)</t>
  </si>
  <si>
    <t>=U644-W644</t>
  </si>
  <si>
    <t>=IF(U644&lt;&gt;0,X644/U644,"")</t>
  </si>
  <si>
    <t>=NL("Sum","5802 Value Entry","150 Sales Amount (Expected)","41 Source Type",$C$5,"5 Source No.",$C644,"4 Item Ledger Entry Type",$C$4,"2 Item No.","@@"&amp;$F644,"3 Posting Date",Z$9)+NL("Sum","5802 Value Entry","17 Sales Amount (Actual)","41 Source Type",$C$5,"5 Source no.",$C644,"4 Item Ledger Entry Type",$C$4,"2 Item No.","@@"&amp;$F644,"3 Posting Date",Z$9)</t>
  </si>
  <si>
    <t>=-NL("Sum","5802 Value Entry","151 Cost Amount (Expected)","41 Source Type",$C$5,"5 Source No.",$C644,"4 Item Ledger Entry Type",$C$4,"2 Item No.","@@"&amp;$F644,"3 Posting Date",Z$9)-NL("Sum","5802 Value Entry","43 Cost Amount (Actual)","41 Source Type",$C$5,"5 Source no.",$C644,"4 Item Ledger Entry Type",$C$4,"2 Item No.","@@"&amp;$F644,"3 Posting Date",Z$9)</t>
  </si>
  <si>
    <t>=Z644-AB644</t>
  </si>
  <si>
    <t>=IF(Z644&lt;&gt;0,AC644/Z644,"")</t>
  </si>
  <si>
    <t>=C644</t>
  </si>
  <si>
    <t>=NL("Sum","5802 Value Entry","150 Sales Amount (Expected)","41 Source Type",$C$5,"5 Source No.",$C645,"4 Item Ledger Entry Type",$C$4,"2 Item No.","@@"&amp;$F645,"3 Posting Date",J$9)+NL("Sum","5802 Value Entry","17 Sales Amount (Actual)","41 Source Type",$C$5,"5 Source no.",$C645,"4 Item Ledger Entry Type",$C$4,"2 Item No.","@@"&amp;$F645,"3 Posting Date",J$9)</t>
  </si>
  <si>
    <t>=-NL("Sum","5802 Value Entry","151 Cost Amount (Expected)","41 Source Type",$C$5,"5 Source No.",$C645,"4 Item Ledger Entry Type",$C$4,"2 Item No.","@@"&amp;$F645,"3 Posting Date",J$9)-NL("Sum","5802 Value Entry","43 Cost Amount (Actual)","41 Source Type",$C$5,"5 Source no.",$C645,"4 Item Ledger Entry Type",$C$4,"2 Item No.","@@"&amp;$F645,"3 Posting Date",J$9)</t>
  </si>
  <si>
    <t>=J645-L645</t>
  </si>
  <si>
    <t>=IF(J645&lt;&gt;0,M645/J645,"")</t>
  </si>
  <si>
    <t>=NL("Sum","5802 Value Entry","150 Sales Amount (Expected)","41 Source Type",$C$5,"5 Source No.",$C645,"4 Item Ledger Entry Type",$C$4,"2 Item No.","@@"&amp;$F645,"3 Posting Date",O$9)+NL("Sum","5802 Value Entry","17 Sales Amount (Actual)","41 Source Type",$C$5,"5 Source no.",$C645,"4 Item Ledger Entry Type",$C$4,"2 Item No.","@@"&amp;$F645,"3 Posting Date",O$9)</t>
  </si>
  <si>
    <t>=-NL("Sum","5802 Value Entry","151 Cost Amount (Expected)","41 Source Type",$C$5,"5 Source No.",$C645,"4 Item Ledger Entry Type",$C$4,"2 Item No.","@@"&amp;$F645,"3 Posting Date",O$9)-NL("Sum","5802 Value Entry","43 Cost Amount (Actual)","41 Source Type",$C$5,"5 Source no.",$C645,"4 Item Ledger Entry Type",$C$4,"2 Item No.","@@"&amp;$F645,"3 Posting Date",O$9)</t>
  </si>
  <si>
    <t>=O645-Q645</t>
  </si>
  <si>
    <t>=IF(O645&lt;&gt;0,R645/O645,"")</t>
  </si>
  <si>
    <t>=NL("Sum","5802 Value Entry","150 Sales Amount (Expected)","41 Source Type",$C$5,"5 Source No.",$C645,"4 Item Ledger Entry Type",$C$4,"2 Item No.","@@"&amp;$F645,"3 Posting Date",U$9)+NL("Sum","5802 Value Entry","17 Sales Amount (Actual)","41 Source Type",$C$5,"5 Source no.",$C645,"4 Item Ledger Entry Type",$C$4,"2 Item No.","@@"&amp;$F645,"3 Posting Date",U$9)</t>
  </si>
  <si>
    <t>=-NL("Sum","5802 Value Entry","151 Cost Amount (Expected)","41 Source Type",$C$5,"5 Source No.",$C645,"4 Item Ledger Entry Type",$C$4,"2 Item No.","@@"&amp;$F645,"3 Posting Date",U$9)-NL("Sum","5802 Value Entry","43 Cost Amount (Actual)","41 Source Type",$C$5,"5 Source no.",$C645,"4 Item Ledger Entry Type",$C$4,"2 Item No.","@@"&amp;$F645,"3 Posting Date",U$9)</t>
  </si>
  <si>
    <t>=U645-W645</t>
  </si>
  <si>
    <t>=IF(U645&lt;&gt;0,X645/U645,"")</t>
  </si>
  <si>
    <t>=NL("Sum","5802 Value Entry","150 Sales Amount (Expected)","41 Source Type",$C$5,"5 Source No.",$C645,"4 Item Ledger Entry Type",$C$4,"2 Item No.","@@"&amp;$F645,"3 Posting Date",Z$9)+NL("Sum","5802 Value Entry","17 Sales Amount (Actual)","41 Source Type",$C$5,"5 Source no.",$C645,"4 Item Ledger Entry Type",$C$4,"2 Item No.","@@"&amp;$F645,"3 Posting Date",Z$9)</t>
  </si>
  <si>
    <t>=-NL("Sum","5802 Value Entry","151 Cost Amount (Expected)","41 Source Type",$C$5,"5 Source No.",$C645,"4 Item Ledger Entry Type",$C$4,"2 Item No.","@@"&amp;$F645,"3 Posting Date",Z$9)-NL("Sum","5802 Value Entry","43 Cost Amount (Actual)","41 Source Type",$C$5,"5 Source no.",$C645,"4 Item Ledger Entry Type",$C$4,"2 Item No.","@@"&amp;$F645,"3 Posting Date",Z$9)</t>
  </si>
  <si>
    <t>=Z645-AB645</t>
  </si>
  <si>
    <t>=IF(Z645&lt;&gt;0,AC645/Z645,"")</t>
  </si>
  <si>
    <t>=C645</t>
  </si>
  <si>
    <t>=NL("Sum","5802 Value Entry","150 Sales Amount (Expected)","41 Source Type",$C$5,"5 Source No.",$C646,"4 Item Ledger Entry Type",$C$4,"2 Item No.","@@"&amp;$F646,"3 Posting Date",J$9)+NL("Sum","5802 Value Entry","17 Sales Amount (Actual)","41 Source Type",$C$5,"5 Source no.",$C646,"4 Item Ledger Entry Type",$C$4,"2 Item No.","@@"&amp;$F646,"3 Posting Date",J$9)</t>
  </si>
  <si>
    <t>=-NL("Sum","5802 Value Entry","151 Cost Amount (Expected)","41 Source Type",$C$5,"5 Source No.",$C646,"4 Item Ledger Entry Type",$C$4,"2 Item No.","@@"&amp;$F646,"3 Posting Date",J$9)-NL("Sum","5802 Value Entry","43 Cost Amount (Actual)","41 Source Type",$C$5,"5 Source no.",$C646,"4 Item Ledger Entry Type",$C$4,"2 Item No.","@@"&amp;$F646,"3 Posting Date",J$9)</t>
  </si>
  <si>
    <t>=J646-L646</t>
  </si>
  <si>
    <t>=IF(J646&lt;&gt;0,M646/J646,"")</t>
  </si>
  <si>
    <t>=NL("Sum","5802 Value Entry","150 Sales Amount (Expected)","41 Source Type",$C$5,"5 Source No.",$C646,"4 Item Ledger Entry Type",$C$4,"2 Item No.","@@"&amp;$F646,"3 Posting Date",O$9)+NL("Sum","5802 Value Entry","17 Sales Amount (Actual)","41 Source Type",$C$5,"5 Source no.",$C646,"4 Item Ledger Entry Type",$C$4,"2 Item No.","@@"&amp;$F646,"3 Posting Date",O$9)</t>
  </si>
  <si>
    <t>=-NL("Sum","5802 Value Entry","151 Cost Amount (Expected)","41 Source Type",$C$5,"5 Source No.",$C646,"4 Item Ledger Entry Type",$C$4,"2 Item No.","@@"&amp;$F646,"3 Posting Date",O$9)-NL("Sum","5802 Value Entry","43 Cost Amount (Actual)","41 Source Type",$C$5,"5 Source no.",$C646,"4 Item Ledger Entry Type",$C$4,"2 Item No.","@@"&amp;$F646,"3 Posting Date",O$9)</t>
  </si>
  <si>
    <t>=O646-Q646</t>
  </si>
  <si>
    <t>=IF(O646&lt;&gt;0,R646/O646,"")</t>
  </si>
  <si>
    <t>=NL("Sum","5802 Value Entry","150 Sales Amount (Expected)","41 Source Type",$C$5,"5 Source No.",$C646,"4 Item Ledger Entry Type",$C$4,"2 Item No.","@@"&amp;$F646,"3 Posting Date",U$9)+NL("Sum","5802 Value Entry","17 Sales Amount (Actual)","41 Source Type",$C$5,"5 Source no.",$C646,"4 Item Ledger Entry Type",$C$4,"2 Item No.","@@"&amp;$F646,"3 Posting Date",U$9)</t>
  </si>
  <si>
    <t>=-NL("Sum","5802 Value Entry","151 Cost Amount (Expected)","41 Source Type",$C$5,"5 Source No.",$C646,"4 Item Ledger Entry Type",$C$4,"2 Item No.","@@"&amp;$F646,"3 Posting Date",U$9)-NL("Sum","5802 Value Entry","43 Cost Amount (Actual)","41 Source Type",$C$5,"5 Source no.",$C646,"4 Item Ledger Entry Type",$C$4,"2 Item No.","@@"&amp;$F646,"3 Posting Date",U$9)</t>
  </si>
  <si>
    <t>=U646-W646</t>
  </si>
  <si>
    <t>=IF(U646&lt;&gt;0,X646/U646,"")</t>
  </si>
  <si>
    <t>=NL("Sum","5802 Value Entry","150 Sales Amount (Expected)","41 Source Type",$C$5,"5 Source No.",$C646,"4 Item Ledger Entry Type",$C$4,"2 Item No.","@@"&amp;$F646,"3 Posting Date",Z$9)+NL("Sum","5802 Value Entry","17 Sales Amount (Actual)","41 Source Type",$C$5,"5 Source no.",$C646,"4 Item Ledger Entry Type",$C$4,"2 Item No.","@@"&amp;$F646,"3 Posting Date",Z$9)</t>
  </si>
  <si>
    <t>=-NL("Sum","5802 Value Entry","151 Cost Amount (Expected)","41 Source Type",$C$5,"5 Source No.",$C646,"4 Item Ledger Entry Type",$C$4,"2 Item No.","@@"&amp;$F646,"3 Posting Date",Z$9)-NL("Sum","5802 Value Entry","43 Cost Amount (Actual)","41 Source Type",$C$5,"5 Source no.",$C646,"4 Item Ledger Entry Type",$C$4,"2 Item No.","@@"&amp;$F646,"3 Posting Date",Z$9)</t>
  </si>
  <si>
    <t>=Z646-AB646</t>
  </si>
  <si>
    <t>=IF(Z646&lt;&gt;0,AC646/Z646,"")</t>
  </si>
  <si>
    <t>=C646</t>
  </si>
  <si>
    <t>=NL("Sum","5802 Value Entry","150 Sales Amount (Expected)","41 Source Type",$C$5,"5 Source No.",$C647,"4 Item Ledger Entry Type",$C$4,"2 Item No.","@@"&amp;$F647,"3 Posting Date",J$9)+NL("Sum","5802 Value Entry","17 Sales Amount (Actual)","41 Source Type",$C$5,"5 Source no.",$C647,"4 Item Ledger Entry Type",$C$4,"2 Item No.","@@"&amp;$F647,"3 Posting Date",J$9)</t>
  </si>
  <si>
    <t>=-NL("Sum","5802 Value Entry","151 Cost Amount (Expected)","41 Source Type",$C$5,"5 Source No.",$C647,"4 Item Ledger Entry Type",$C$4,"2 Item No.","@@"&amp;$F647,"3 Posting Date",J$9)-NL("Sum","5802 Value Entry","43 Cost Amount (Actual)","41 Source Type",$C$5,"5 Source no.",$C647,"4 Item Ledger Entry Type",$C$4,"2 Item No.","@@"&amp;$F647,"3 Posting Date",J$9)</t>
  </si>
  <si>
    <t>=J647-L647</t>
  </si>
  <si>
    <t>=IF(J647&lt;&gt;0,M647/J647,"")</t>
  </si>
  <si>
    <t>=NL("Sum","5802 Value Entry","150 Sales Amount (Expected)","41 Source Type",$C$5,"5 Source No.",$C647,"4 Item Ledger Entry Type",$C$4,"2 Item No.","@@"&amp;$F647,"3 Posting Date",O$9)+NL("Sum","5802 Value Entry","17 Sales Amount (Actual)","41 Source Type",$C$5,"5 Source no.",$C647,"4 Item Ledger Entry Type",$C$4,"2 Item No.","@@"&amp;$F647,"3 Posting Date",O$9)</t>
  </si>
  <si>
    <t>=-NL("Sum","5802 Value Entry","151 Cost Amount (Expected)","41 Source Type",$C$5,"5 Source No.",$C647,"4 Item Ledger Entry Type",$C$4,"2 Item No.","@@"&amp;$F647,"3 Posting Date",O$9)-NL("Sum","5802 Value Entry","43 Cost Amount (Actual)","41 Source Type",$C$5,"5 Source no.",$C647,"4 Item Ledger Entry Type",$C$4,"2 Item No.","@@"&amp;$F647,"3 Posting Date",O$9)</t>
  </si>
  <si>
    <t>=O647-Q647</t>
  </si>
  <si>
    <t>=IF(O647&lt;&gt;0,R647/O647,"")</t>
  </si>
  <si>
    <t>=NL("Sum","5802 Value Entry","150 Sales Amount (Expected)","41 Source Type",$C$5,"5 Source No.",$C647,"4 Item Ledger Entry Type",$C$4,"2 Item No.","@@"&amp;$F647,"3 Posting Date",U$9)+NL("Sum","5802 Value Entry","17 Sales Amount (Actual)","41 Source Type",$C$5,"5 Source no.",$C647,"4 Item Ledger Entry Type",$C$4,"2 Item No.","@@"&amp;$F647,"3 Posting Date",U$9)</t>
  </si>
  <si>
    <t>=-NL("Sum","5802 Value Entry","151 Cost Amount (Expected)","41 Source Type",$C$5,"5 Source No.",$C647,"4 Item Ledger Entry Type",$C$4,"2 Item No.","@@"&amp;$F647,"3 Posting Date",U$9)-NL("Sum","5802 Value Entry","43 Cost Amount (Actual)","41 Source Type",$C$5,"5 Source no.",$C647,"4 Item Ledger Entry Type",$C$4,"2 Item No.","@@"&amp;$F647,"3 Posting Date",U$9)</t>
  </si>
  <si>
    <t>=U647-W647</t>
  </si>
  <si>
    <t>=IF(U647&lt;&gt;0,X647/U647,"")</t>
  </si>
  <si>
    <t>=NL("Sum","5802 Value Entry","150 Sales Amount (Expected)","41 Source Type",$C$5,"5 Source No.",$C647,"4 Item Ledger Entry Type",$C$4,"2 Item No.","@@"&amp;$F647,"3 Posting Date",Z$9)+NL("Sum","5802 Value Entry","17 Sales Amount (Actual)","41 Source Type",$C$5,"5 Source no.",$C647,"4 Item Ledger Entry Type",$C$4,"2 Item No.","@@"&amp;$F647,"3 Posting Date",Z$9)</t>
  </si>
  <si>
    <t>=-NL("Sum","5802 Value Entry","151 Cost Amount (Expected)","41 Source Type",$C$5,"5 Source No.",$C647,"4 Item Ledger Entry Type",$C$4,"2 Item No.","@@"&amp;$F647,"3 Posting Date",Z$9)-NL("Sum","5802 Value Entry","43 Cost Amount (Actual)","41 Source Type",$C$5,"5 Source no.",$C647,"4 Item Ledger Entry Type",$C$4,"2 Item No.","@@"&amp;$F647,"3 Posting Date",Z$9)</t>
  </si>
  <si>
    <t>=Z647-AB647</t>
  </si>
  <si>
    <t>=IF(Z647&lt;&gt;0,AC647/Z647,"")</t>
  </si>
  <si>
    <t>=C647</t>
  </si>
  <si>
    <t>=NL("Sum","5802 Value Entry","150 Sales Amount (Expected)","41 Source Type",$C$5,"5 Source No.",$C648,"4 Item Ledger Entry Type",$C$4,"2 Item No.","@@"&amp;$F648,"3 Posting Date",J$9)+NL("Sum","5802 Value Entry","17 Sales Amount (Actual)","41 Source Type",$C$5,"5 Source no.",$C648,"4 Item Ledger Entry Type",$C$4,"2 Item No.","@@"&amp;$F648,"3 Posting Date",J$9)</t>
  </si>
  <si>
    <t>=-NL("Sum","5802 Value Entry","151 Cost Amount (Expected)","41 Source Type",$C$5,"5 Source No.",$C648,"4 Item Ledger Entry Type",$C$4,"2 Item No.","@@"&amp;$F648,"3 Posting Date",J$9)-NL("Sum","5802 Value Entry","43 Cost Amount (Actual)","41 Source Type",$C$5,"5 Source no.",$C648,"4 Item Ledger Entry Type",$C$4,"2 Item No.","@@"&amp;$F648,"3 Posting Date",J$9)</t>
  </si>
  <si>
    <t>=J648-L648</t>
  </si>
  <si>
    <t>=IF(J648&lt;&gt;0,M648/J648,"")</t>
  </si>
  <si>
    <t>=NL("Sum","5802 Value Entry","150 Sales Amount (Expected)","41 Source Type",$C$5,"5 Source No.",$C648,"4 Item Ledger Entry Type",$C$4,"2 Item No.","@@"&amp;$F648,"3 Posting Date",O$9)+NL("Sum","5802 Value Entry","17 Sales Amount (Actual)","41 Source Type",$C$5,"5 Source no.",$C648,"4 Item Ledger Entry Type",$C$4,"2 Item No.","@@"&amp;$F648,"3 Posting Date",O$9)</t>
  </si>
  <si>
    <t>=-NL("Sum","5802 Value Entry","151 Cost Amount (Expected)","41 Source Type",$C$5,"5 Source No.",$C648,"4 Item Ledger Entry Type",$C$4,"2 Item No.","@@"&amp;$F648,"3 Posting Date",O$9)-NL("Sum","5802 Value Entry","43 Cost Amount (Actual)","41 Source Type",$C$5,"5 Source no.",$C648,"4 Item Ledger Entry Type",$C$4,"2 Item No.","@@"&amp;$F648,"3 Posting Date",O$9)</t>
  </si>
  <si>
    <t>=O648-Q648</t>
  </si>
  <si>
    <t>=IF(O648&lt;&gt;0,R648/O648,"")</t>
  </si>
  <si>
    <t>=NL("Sum","5802 Value Entry","150 Sales Amount (Expected)","41 Source Type",$C$5,"5 Source No.",$C648,"4 Item Ledger Entry Type",$C$4,"2 Item No.","@@"&amp;$F648,"3 Posting Date",U$9)+NL("Sum","5802 Value Entry","17 Sales Amount (Actual)","41 Source Type",$C$5,"5 Source no.",$C648,"4 Item Ledger Entry Type",$C$4,"2 Item No.","@@"&amp;$F648,"3 Posting Date",U$9)</t>
  </si>
  <si>
    <t>=-NL("Sum","5802 Value Entry","151 Cost Amount (Expected)","41 Source Type",$C$5,"5 Source No.",$C648,"4 Item Ledger Entry Type",$C$4,"2 Item No.","@@"&amp;$F648,"3 Posting Date",U$9)-NL("Sum","5802 Value Entry","43 Cost Amount (Actual)","41 Source Type",$C$5,"5 Source no.",$C648,"4 Item Ledger Entry Type",$C$4,"2 Item No.","@@"&amp;$F648,"3 Posting Date",U$9)</t>
  </si>
  <si>
    <t>=U648-W648</t>
  </si>
  <si>
    <t>=IF(U648&lt;&gt;0,X648/U648,"")</t>
  </si>
  <si>
    <t>=NL("Sum","5802 Value Entry","150 Sales Amount (Expected)","41 Source Type",$C$5,"5 Source No.",$C648,"4 Item Ledger Entry Type",$C$4,"2 Item No.","@@"&amp;$F648,"3 Posting Date",Z$9)+NL("Sum","5802 Value Entry","17 Sales Amount (Actual)","41 Source Type",$C$5,"5 Source no.",$C648,"4 Item Ledger Entry Type",$C$4,"2 Item No.","@@"&amp;$F648,"3 Posting Date",Z$9)</t>
  </si>
  <si>
    <t>=-NL("Sum","5802 Value Entry","151 Cost Amount (Expected)","41 Source Type",$C$5,"5 Source No.",$C648,"4 Item Ledger Entry Type",$C$4,"2 Item No.","@@"&amp;$F648,"3 Posting Date",Z$9)-NL("Sum","5802 Value Entry","43 Cost Amount (Actual)","41 Source Type",$C$5,"5 Source no.",$C648,"4 Item Ledger Entry Type",$C$4,"2 Item No.","@@"&amp;$F648,"3 Posting Date",Z$9)</t>
  </si>
  <si>
    <t>=Z648-AB648</t>
  </si>
  <si>
    <t>=IF(Z648&lt;&gt;0,AC648/Z648,"")</t>
  </si>
  <si>
    <t>=C648</t>
  </si>
  <si>
    <t>=NL("Sum","5802 Value Entry","150 Sales Amount (Expected)","41 Source Type",$C$5,"5 Source No.",$C649,"4 Item Ledger Entry Type",$C$4,"2 Item No.","@@"&amp;$F649,"3 Posting Date",J$9)+NL("Sum","5802 Value Entry","17 Sales Amount (Actual)","41 Source Type",$C$5,"5 Source no.",$C649,"4 Item Ledger Entry Type",$C$4,"2 Item No.","@@"&amp;$F649,"3 Posting Date",J$9)</t>
  </si>
  <si>
    <t>=-NL("Sum","5802 Value Entry","151 Cost Amount (Expected)","41 Source Type",$C$5,"5 Source No.",$C649,"4 Item Ledger Entry Type",$C$4,"2 Item No.","@@"&amp;$F649,"3 Posting Date",J$9)-NL("Sum","5802 Value Entry","43 Cost Amount (Actual)","41 Source Type",$C$5,"5 Source no.",$C649,"4 Item Ledger Entry Type",$C$4,"2 Item No.","@@"&amp;$F649,"3 Posting Date",J$9)</t>
  </si>
  <si>
    <t>=J649-L649</t>
  </si>
  <si>
    <t>=IF(J649&lt;&gt;0,M649/J649,"")</t>
  </si>
  <si>
    <t>=NL("Sum","5802 Value Entry","150 Sales Amount (Expected)","41 Source Type",$C$5,"5 Source No.",$C649,"4 Item Ledger Entry Type",$C$4,"2 Item No.","@@"&amp;$F649,"3 Posting Date",O$9)+NL("Sum","5802 Value Entry","17 Sales Amount (Actual)","41 Source Type",$C$5,"5 Source no.",$C649,"4 Item Ledger Entry Type",$C$4,"2 Item No.","@@"&amp;$F649,"3 Posting Date",O$9)</t>
  </si>
  <si>
    <t>=-NL("Sum","5802 Value Entry","151 Cost Amount (Expected)","41 Source Type",$C$5,"5 Source No.",$C649,"4 Item Ledger Entry Type",$C$4,"2 Item No.","@@"&amp;$F649,"3 Posting Date",O$9)-NL("Sum","5802 Value Entry","43 Cost Amount (Actual)","41 Source Type",$C$5,"5 Source no.",$C649,"4 Item Ledger Entry Type",$C$4,"2 Item No.","@@"&amp;$F649,"3 Posting Date",O$9)</t>
  </si>
  <si>
    <t>=O649-Q649</t>
  </si>
  <si>
    <t>=IF(O649&lt;&gt;0,R649/O649,"")</t>
  </si>
  <si>
    <t>=NL("Sum","5802 Value Entry","150 Sales Amount (Expected)","41 Source Type",$C$5,"5 Source No.",$C649,"4 Item Ledger Entry Type",$C$4,"2 Item No.","@@"&amp;$F649,"3 Posting Date",U$9)+NL("Sum","5802 Value Entry","17 Sales Amount (Actual)","41 Source Type",$C$5,"5 Source no.",$C649,"4 Item Ledger Entry Type",$C$4,"2 Item No.","@@"&amp;$F649,"3 Posting Date",U$9)</t>
  </si>
  <si>
    <t>=-NL("Sum","5802 Value Entry","151 Cost Amount (Expected)","41 Source Type",$C$5,"5 Source No.",$C649,"4 Item Ledger Entry Type",$C$4,"2 Item No.","@@"&amp;$F649,"3 Posting Date",U$9)-NL("Sum","5802 Value Entry","43 Cost Amount (Actual)","41 Source Type",$C$5,"5 Source no.",$C649,"4 Item Ledger Entry Type",$C$4,"2 Item No.","@@"&amp;$F649,"3 Posting Date",U$9)</t>
  </si>
  <si>
    <t>=U649-W649</t>
  </si>
  <si>
    <t>=IF(U649&lt;&gt;0,X649/U649,"")</t>
  </si>
  <si>
    <t>=NL("Sum","5802 Value Entry","150 Sales Amount (Expected)","41 Source Type",$C$5,"5 Source No.",$C649,"4 Item Ledger Entry Type",$C$4,"2 Item No.","@@"&amp;$F649,"3 Posting Date",Z$9)+NL("Sum","5802 Value Entry","17 Sales Amount (Actual)","41 Source Type",$C$5,"5 Source no.",$C649,"4 Item Ledger Entry Type",$C$4,"2 Item No.","@@"&amp;$F649,"3 Posting Date",Z$9)</t>
  </si>
  <si>
    <t>=-NL("Sum","5802 Value Entry","151 Cost Amount (Expected)","41 Source Type",$C$5,"5 Source No.",$C649,"4 Item Ledger Entry Type",$C$4,"2 Item No.","@@"&amp;$F649,"3 Posting Date",Z$9)-NL("Sum","5802 Value Entry","43 Cost Amount (Actual)","41 Source Type",$C$5,"5 Source no.",$C649,"4 Item Ledger Entry Type",$C$4,"2 Item No.","@@"&amp;$F649,"3 Posting Date",Z$9)</t>
  </si>
  <si>
    <t>=Z649-AB649</t>
  </si>
  <si>
    <t>=IF(Z649&lt;&gt;0,AC649/Z649,"")</t>
  </si>
  <si>
    <t>=C649</t>
  </si>
  <si>
    <t>=NL("Sum","5802 Value Entry","150 Sales Amount (Expected)","41 Source Type",$C$5,"5 Source No.",$C650,"4 Item Ledger Entry Type",$C$4,"2 Item No.","@@"&amp;$F650,"3 Posting Date",J$9)+NL("Sum","5802 Value Entry","17 Sales Amount (Actual)","41 Source Type",$C$5,"5 Source no.",$C650,"4 Item Ledger Entry Type",$C$4,"2 Item No.","@@"&amp;$F650,"3 Posting Date",J$9)</t>
  </si>
  <si>
    <t>=-NL("Sum","5802 Value Entry","151 Cost Amount (Expected)","41 Source Type",$C$5,"5 Source No.",$C650,"4 Item Ledger Entry Type",$C$4,"2 Item No.","@@"&amp;$F650,"3 Posting Date",J$9)-NL("Sum","5802 Value Entry","43 Cost Amount (Actual)","41 Source Type",$C$5,"5 Source no.",$C650,"4 Item Ledger Entry Type",$C$4,"2 Item No.","@@"&amp;$F650,"3 Posting Date",J$9)</t>
  </si>
  <si>
    <t>=J650-L650</t>
  </si>
  <si>
    <t>=IF(J650&lt;&gt;0,M650/J650,"")</t>
  </si>
  <si>
    <t>=NL("Sum","5802 Value Entry","150 Sales Amount (Expected)","41 Source Type",$C$5,"5 Source No.",$C650,"4 Item Ledger Entry Type",$C$4,"2 Item No.","@@"&amp;$F650,"3 Posting Date",O$9)+NL("Sum","5802 Value Entry","17 Sales Amount (Actual)","41 Source Type",$C$5,"5 Source no.",$C650,"4 Item Ledger Entry Type",$C$4,"2 Item No.","@@"&amp;$F650,"3 Posting Date",O$9)</t>
  </si>
  <si>
    <t>=-NL("Sum","5802 Value Entry","151 Cost Amount (Expected)","41 Source Type",$C$5,"5 Source No.",$C650,"4 Item Ledger Entry Type",$C$4,"2 Item No.","@@"&amp;$F650,"3 Posting Date",O$9)-NL("Sum","5802 Value Entry","43 Cost Amount (Actual)","41 Source Type",$C$5,"5 Source no.",$C650,"4 Item Ledger Entry Type",$C$4,"2 Item No.","@@"&amp;$F650,"3 Posting Date",O$9)</t>
  </si>
  <si>
    <t>=O650-Q650</t>
  </si>
  <si>
    <t>=IF(O650&lt;&gt;0,R650/O650,"")</t>
  </si>
  <si>
    <t>=NL("Sum","5802 Value Entry","150 Sales Amount (Expected)","41 Source Type",$C$5,"5 Source No.",$C650,"4 Item Ledger Entry Type",$C$4,"2 Item No.","@@"&amp;$F650,"3 Posting Date",U$9)+NL("Sum","5802 Value Entry","17 Sales Amount (Actual)","41 Source Type",$C$5,"5 Source no.",$C650,"4 Item Ledger Entry Type",$C$4,"2 Item No.","@@"&amp;$F650,"3 Posting Date",U$9)</t>
  </si>
  <si>
    <t>=-NL("Sum","5802 Value Entry","151 Cost Amount (Expected)","41 Source Type",$C$5,"5 Source No.",$C650,"4 Item Ledger Entry Type",$C$4,"2 Item No.","@@"&amp;$F650,"3 Posting Date",U$9)-NL("Sum","5802 Value Entry","43 Cost Amount (Actual)","41 Source Type",$C$5,"5 Source no.",$C650,"4 Item Ledger Entry Type",$C$4,"2 Item No.","@@"&amp;$F650,"3 Posting Date",U$9)</t>
  </si>
  <si>
    <t>=U650-W650</t>
  </si>
  <si>
    <t>=IF(U650&lt;&gt;0,X650/U650,"")</t>
  </si>
  <si>
    <t>=NL("Sum","5802 Value Entry","150 Sales Amount (Expected)","41 Source Type",$C$5,"5 Source No.",$C650,"4 Item Ledger Entry Type",$C$4,"2 Item No.","@@"&amp;$F650,"3 Posting Date",Z$9)+NL("Sum","5802 Value Entry","17 Sales Amount (Actual)","41 Source Type",$C$5,"5 Source no.",$C650,"4 Item Ledger Entry Type",$C$4,"2 Item No.","@@"&amp;$F650,"3 Posting Date",Z$9)</t>
  </si>
  <si>
    <t>=-NL("Sum","5802 Value Entry","151 Cost Amount (Expected)","41 Source Type",$C$5,"5 Source No.",$C650,"4 Item Ledger Entry Type",$C$4,"2 Item No.","@@"&amp;$F650,"3 Posting Date",Z$9)-NL("Sum","5802 Value Entry","43 Cost Amount (Actual)","41 Source Type",$C$5,"5 Source no.",$C650,"4 Item Ledger Entry Type",$C$4,"2 Item No.","@@"&amp;$F650,"3 Posting Date",Z$9)</t>
  </si>
  <si>
    <t>=Z650-AB650</t>
  </si>
  <si>
    <t>=IF(Z650&lt;&gt;0,AC650/Z650,"")</t>
  </si>
  <si>
    <t>=C650</t>
  </si>
  <si>
    <t>=NL("Sum","5802 Value Entry","150 Sales Amount (Expected)","41 Source Type",$C$5,"5 Source No.",$C651,"4 Item Ledger Entry Type",$C$4,"2 Item No.","@@"&amp;$F651,"3 Posting Date",J$9)+NL("Sum","5802 Value Entry","17 Sales Amount (Actual)","41 Source Type",$C$5,"5 Source no.",$C651,"4 Item Ledger Entry Type",$C$4,"2 Item No.","@@"&amp;$F651,"3 Posting Date",J$9)</t>
  </si>
  <si>
    <t>=-NL("Sum","5802 Value Entry","151 Cost Amount (Expected)","41 Source Type",$C$5,"5 Source No.",$C651,"4 Item Ledger Entry Type",$C$4,"2 Item No.","@@"&amp;$F651,"3 Posting Date",J$9)-NL("Sum","5802 Value Entry","43 Cost Amount (Actual)","41 Source Type",$C$5,"5 Source no.",$C651,"4 Item Ledger Entry Type",$C$4,"2 Item No.","@@"&amp;$F651,"3 Posting Date",J$9)</t>
  </si>
  <si>
    <t>=J651-L651</t>
  </si>
  <si>
    <t>=IF(J651&lt;&gt;0,M651/J651,"")</t>
  </si>
  <si>
    <t>=NL("Sum","5802 Value Entry","150 Sales Amount (Expected)","41 Source Type",$C$5,"5 Source No.",$C651,"4 Item Ledger Entry Type",$C$4,"2 Item No.","@@"&amp;$F651,"3 Posting Date",O$9)+NL("Sum","5802 Value Entry","17 Sales Amount (Actual)","41 Source Type",$C$5,"5 Source no.",$C651,"4 Item Ledger Entry Type",$C$4,"2 Item No.","@@"&amp;$F651,"3 Posting Date",O$9)</t>
  </si>
  <si>
    <t>=-NL("Sum","5802 Value Entry","151 Cost Amount (Expected)","41 Source Type",$C$5,"5 Source No.",$C651,"4 Item Ledger Entry Type",$C$4,"2 Item No.","@@"&amp;$F651,"3 Posting Date",O$9)-NL("Sum","5802 Value Entry","43 Cost Amount (Actual)","41 Source Type",$C$5,"5 Source no.",$C651,"4 Item Ledger Entry Type",$C$4,"2 Item No.","@@"&amp;$F651,"3 Posting Date",O$9)</t>
  </si>
  <si>
    <t>=O651-Q651</t>
  </si>
  <si>
    <t>=IF(O651&lt;&gt;0,R651/O651,"")</t>
  </si>
  <si>
    <t>=NL("Sum","5802 Value Entry","150 Sales Amount (Expected)","41 Source Type",$C$5,"5 Source No.",$C651,"4 Item Ledger Entry Type",$C$4,"2 Item No.","@@"&amp;$F651,"3 Posting Date",U$9)+NL("Sum","5802 Value Entry","17 Sales Amount (Actual)","41 Source Type",$C$5,"5 Source no.",$C651,"4 Item Ledger Entry Type",$C$4,"2 Item No.","@@"&amp;$F651,"3 Posting Date",U$9)</t>
  </si>
  <si>
    <t>=-NL("Sum","5802 Value Entry","151 Cost Amount (Expected)","41 Source Type",$C$5,"5 Source No.",$C651,"4 Item Ledger Entry Type",$C$4,"2 Item No.","@@"&amp;$F651,"3 Posting Date",U$9)-NL("Sum","5802 Value Entry","43 Cost Amount (Actual)","41 Source Type",$C$5,"5 Source no.",$C651,"4 Item Ledger Entry Type",$C$4,"2 Item No.","@@"&amp;$F651,"3 Posting Date",U$9)</t>
  </si>
  <si>
    <t>=U651-W651</t>
  </si>
  <si>
    <t>=IF(U651&lt;&gt;0,X651/U651,"")</t>
  </si>
  <si>
    <t>=NL("Sum","5802 Value Entry","150 Sales Amount (Expected)","41 Source Type",$C$5,"5 Source No.",$C651,"4 Item Ledger Entry Type",$C$4,"2 Item No.","@@"&amp;$F651,"3 Posting Date",Z$9)+NL("Sum","5802 Value Entry","17 Sales Amount (Actual)","41 Source Type",$C$5,"5 Source no.",$C651,"4 Item Ledger Entry Type",$C$4,"2 Item No.","@@"&amp;$F651,"3 Posting Date",Z$9)</t>
  </si>
  <si>
    <t>=-NL("Sum","5802 Value Entry","151 Cost Amount (Expected)","41 Source Type",$C$5,"5 Source No.",$C651,"4 Item Ledger Entry Type",$C$4,"2 Item No.","@@"&amp;$F651,"3 Posting Date",Z$9)-NL("Sum","5802 Value Entry","43 Cost Amount (Actual)","41 Source Type",$C$5,"5 Source no.",$C651,"4 Item Ledger Entry Type",$C$4,"2 Item No.","@@"&amp;$F651,"3 Posting Date",Z$9)</t>
  </si>
  <si>
    <t>=Z651-AB651</t>
  </si>
  <si>
    <t>=IF(Z651&lt;&gt;0,AC651/Z651,"")</t>
  </si>
  <si>
    <t>=C651</t>
  </si>
  <si>
    <t>=NL("Sum","5802 Value Entry","150 Sales Amount (Expected)","41 Source Type",$C$5,"5 Source No.",$C652,"4 Item Ledger Entry Type",$C$4,"2 Item No.","@@"&amp;$F652,"3 Posting Date",J$9)+NL("Sum","5802 Value Entry","17 Sales Amount (Actual)","41 Source Type",$C$5,"5 Source no.",$C652,"4 Item Ledger Entry Type",$C$4,"2 Item No.","@@"&amp;$F652,"3 Posting Date",J$9)</t>
  </si>
  <si>
    <t>=-NL("Sum","5802 Value Entry","151 Cost Amount (Expected)","41 Source Type",$C$5,"5 Source No.",$C652,"4 Item Ledger Entry Type",$C$4,"2 Item No.","@@"&amp;$F652,"3 Posting Date",J$9)-NL("Sum","5802 Value Entry","43 Cost Amount (Actual)","41 Source Type",$C$5,"5 Source no.",$C652,"4 Item Ledger Entry Type",$C$4,"2 Item No.","@@"&amp;$F652,"3 Posting Date",J$9)</t>
  </si>
  <si>
    <t>=J652-L652</t>
  </si>
  <si>
    <t>=IF(J652&lt;&gt;0,M652/J652,"")</t>
  </si>
  <si>
    <t>=NL("Sum","5802 Value Entry","150 Sales Amount (Expected)","41 Source Type",$C$5,"5 Source No.",$C652,"4 Item Ledger Entry Type",$C$4,"2 Item No.","@@"&amp;$F652,"3 Posting Date",O$9)+NL("Sum","5802 Value Entry","17 Sales Amount (Actual)","41 Source Type",$C$5,"5 Source no.",$C652,"4 Item Ledger Entry Type",$C$4,"2 Item No.","@@"&amp;$F652,"3 Posting Date",O$9)</t>
  </si>
  <si>
    <t>=-NL("Sum","5802 Value Entry","151 Cost Amount (Expected)","41 Source Type",$C$5,"5 Source No.",$C652,"4 Item Ledger Entry Type",$C$4,"2 Item No.","@@"&amp;$F652,"3 Posting Date",O$9)-NL("Sum","5802 Value Entry","43 Cost Amount (Actual)","41 Source Type",$C$5,"5 Source no.",$C652,"4 Item Ledger Entry Type",$C$4,"2 Item No.","@@"&amp;$F652,"3 Posting Date",O$9)</t>
  </si>
  <si>
    <t>=O652-Q652</t>
  </si>
  <si>
    <t>=IF(O652&lt;&gt;0,R652/O652,"")</t>
  </si>
  <si>
    <t>=NL("Sum","5802 Value Entry","150 Sales Amount (Expected)","41 Source Type",$C$5,"5 Source No.",$C652,"4 Item Ledger Entry Type",$C$4,"2 Item No.","@@"&amp;$F652,"3 Posting Date",U$9)+NL("Sum","5802 Value Entry","17 Sales Amount (Actual)","41 Source Type",$C$5,"5 Source no.",$C652,"4 Item Ledger Entry Type",$C$4,"2 Item No.","@@"&amp;$F652,"3 Posting Date",U$9)</t>
  </si>
  <si>
    <t>=-NL("Sum","5802 Value Entry","151 Cost Amount (Expected)","41 Source Type",$C$5,"5 Source No.",$C652,"4 Item Ledger Entry Type",$C$4,"2 Item No.","@@"&amp;$F652,"3 Posting Date",U$9)-NL("Sum","5802 Value Entry","43 Cost Amount (Actual)","41 Source Type",$C$5,"5 Source no.",$C652,"4 Item Ledger Entry Type",$C$4,"2 Item No.","@@"&amp;$F652,"3 Posting Date",U$9)</t>
  </si>
  <si>
    <t>=U652-W652</t>
  </si>
  <si>
    <t>=IF(U652&lt;&gt;0,X652/U652,"")</t>
  </si>
  <si>
    <t>=NL("Sum","5802 Value Entry","150 Sales Amount (Expected)","41 Source Type",$C$5,"5 Source No.",$C652,"4 Item Ledger Entry Type",$C$4,"2 Item No.","@@"&amp;$F652,"3 Posting Date",Z$9)+NL("Sum","5802 Value Entry","17 Sales Amount (Actual)","41 Source Type",$C$5,"5 Source no.",$C652,"4 Item Ledger Entry Type",$C$4,"2 Item No.","@@"&amp;$F652,"3 Posting Date",Z$9)</t>
  </si>
  <si>
    <t>=-NL("Sum","5802 Value Entry","151 Cost Amount (Expected)","41 Source Type",$C$5,"5 Source No.",$C652,"4 Item Ledger Entry Type",$C$4,"2 Item No.","@@"&amp;$F652,"3 Posting Date",Z$9)-NL("Sum","5802 Value Entry","43 Cost Amount (Actual)","41 Source Type",$C$5,"5 Source no.",$C652,"4 Item Ledger Entry Type",$C$4,"2 Item No.","@@"&amp;$F652,"3 Posting Date",Z$9)</t>
  </si>
  <si>
    <t>=Z652-AB652</t>
  </si>
  <si>
    <t>=IF(Z652&lt;&gt;0,AC652/Z652,"")</t>
  </si>
  <si>
    <t>=C652</t>
  </si>
  <si>
    <t>=NL("Sum","5802 Value Entry","150 Sales Amount (Expected)","41 Source Type",$C$5,"5 Source No.",$C653,"4 Item Ledger Entry Type",$C$4,"2 Item No.","@@"&amp;$F653,"3 Posting Date",J$9)+NL("Sum","5802 Value Entry","17 Sales Amount (Actual)","41 Source Type",$C$5,"5 Source no.",$C653,"4 Item Ledger Entry Type",$C$4,"2 Item No.","@@"&amp;$F653,"3 Posting Date",J$9)</t>
  </si>
  <si>
    <t>=-NL("Sum","5802 Value Entry","151 Cost Amount (Expected)","41 Source Type",$C$5,"5 Source No.",$C653,"4 Item Ledger Entry Type",$C$4,"2 Item No.","@@"&amp;$F653,"3 Posting Date",J$9)-NL("Sum","5802 Value Entry","43 Cost Amount (Actual)","41 Source Type",$C$5,"5 Source no.",$C653,"4 Item Ledger Entry Type",$C$4,"2 Item No.","@@"&amp;$F653,"3 Posting Date",J$9)</t>
  </si>
  <si>
    <t>=J653-L653</t>
  </si>
  <si>
    <t>=IF(J653&lt;&gt;0,M653/J653,"")</t>
  </si>
  <si>
    <t>=NL("Sum","5802 Value Entry","150 Sales Amount (Expected)","41 Source Type",$C$5,"5 Source No.",$C653,"4 Item Ledger Entry Type",$C$4,"2 Item No.","@@"&amp;$F653,"3 Posting Date",O$9)+NL("Sum","5802 Value Entry","17 Sales Amount (Actual)","41 Source Type",$C$5,"5 Source no.",$C653,"4 Item Ledger Entry Type",$C$4,"2 Item No.","@@"&amp;$F653,"3 Posting Date",O$9)</t>
  </si>
  <si>
    <t>=-NL("Sum","5802 Value Entry","151 Cost Amount (Expected)","41 Source Type",$C$5,"5 Source No.",$C653,"4 Item Ledger Entry Type",$C$4,"2 Item No.","@@"&amp;$F653,"3 Posting Date",O$9)-NL("Sum","5802 Value Entry","43 Cost Amount (Actual)","41 Source Type",$C$5,"5 Source no.",$C653,"4 Item Ledger Entry Type",$C$4,"2 Item No.","@@"&amp;$F653,"3 Posting Date",O$9)</t>
  </si>
  <si>
    <t>=O653-Q653</t>
  </si>
  <si>
    <t>=IF(O653&lt;&gt;0,R653/O653,"")</t>
  </si>
  <si>
    <t>=NL("Sum","5802 Value Entry","150 Sales Amount (Expected)","41 Source Type",$C$5,"5 Source No.",$C653,"4 Item Ledger Entry Type",$C$4,"2 Item No.","@@"&amp;$F653,"3 Posting Date",U$9)+NL("Sum","5802 Value Entry","17 Sales Amount (Actual)","41 Source Type",$C$5,"5 Source no.",$C653,"4 Item Ledger Entry Type",$C$4,"2 Item No.","@@"&amp;$F653,"3 Posting Date",U$9)</t>
  </si>
  <si>
    <t>=-NL("Sum","5802 Value Entry","151 Cost Amount (Expected)","41 Source Type",$C$5,"5 Source No.",$C653,"4 Item Ledger Entry Type",$C$4,"2 Item No.","@@"&amp;$F653,"3 Posting Date",U$9)-NL("Sum","5802 Value Entry","43 Cost Amount (Actual)","41 Source Type",$C$5,"5 Source no.",$C653,"4 Item Ledger Entry Type",$C$4,"2 Item No.","@@"&amp;$F653,"3 Posting Date",U$9)</t>
  </si>
  <si>
    <t>=U653-W653</t>
  </si>
  <si>
    <t>=IF(U653&lt;&gt;0,X653/U653,"")</t>
  </si>
  <si>
    <t>=NL("Sum","5802 Value Entry","150 Sales Amount (Expected)","41 Source Type",$C$5,"5 Source No.",$C653,"4 Item Ledger Entry Type",$C$4,"2 Item No.","@@"&amp;$F653,"3 Posting Date",Z$9)+NL("Sum","5802 Value Entry","17 Sales Amount (Actual)","41 Source Type",$C$5,"5 Source no.",$C653,"4 Item Ledger Entry Type",$C$4,"2 Item No.","@@"&amp;$F653,"3 Posting Date",Z$9)</t>
  </si>
  <si>
    <t>=-NL("Sum","5802 Value Entry","151 Cost Amount (Expected)","41 Source Type",$C$5,"5 Source No.",$C653,"4 Item Ledger Entry Type",$C$4,"2 Item No.","@@"&amp;$F653,"3 Posting Date",Z$9)-NL("Sum","5802 Value Entry","43 Cost Amount (Actual)","41 Source Type",$C$5,"5 Source no.",$C653,"4 Item Ledger Entry Type",$C$4,"2 Item No.","@@"&amp;$F653,"3 Posting Date",Z$9)</t>
  </si>
  <si>
    <t>=Z653-AB653</t>
  </si>
  <si>
    <t>=IF(Z653&lt;&gt;0,AC653/Z653,"")</t>
  </si>
  <si>
    <t>=C653</t>
  </si>
  <si>
    <t>=NL("Sum","5802 Value Entry","150 Sales Amount (Expected)","41 Source Type",$C$5,"5 Source No.",$C654,"4 Item Ledger Entry Type",$C$4,"2 Item No.","@@"&amp;$F654,"3 Posting Date",J$9)+NL("Sum","5802 Value Entry","17 Sales Amount (Actual)","41 Source Type",$C$5,"5 Source no.",$C654,"4 Item Ledger Entry Type",$C$4,"2 Item No.","@@"&amp;$F654,"3 Posting Date",J$9)</t>
  </si>
  <si>
    <t>=-NL("Sum","5802 Value Entry","151 Cost Amount (Expected)","41 Source Type",$C$5,"5 Source No.",$C654,"4 Item Ledger Entry Type",$C$4,"2 Item No.","@@"&amp;$F654,"3 Posting Date",J$9)-NL("Sum","5802 Value Entry","43 Cost Amount (Actual)","41 Source Type",$C$5,"5 Source no.",$C654,"4 Item Ledger Entry Type",$C$4,"2 Item No.","@@"&amp;$F654,"3 Posting Date",J$9)</t>
  </si>
  <si>
    <t>=J654-L654</t>
  </si>
  <si>
    <t>=IF(J654&lt;&gt;0,M654/J654,"")</t>
  </si>
  <si>
    <t>=NL("Sum","5802 Value Entry","150 Sales Amount (Expected)","41 Source Type",$C$5,"5 Source No.",$C654,"4 Item Ledger Entry Type",$C$4,"2 Item No.","@@"&amp;$F654,"3 Posting Date",O$9)+NL("Sum","5802 Value Entry","17 Sales Amount (Actual)","41 Source Type",$C$5,"5 Source no.",$C654,"4 Item Ledger Entry Type",$C$4,"2 Item No.","@@"&amp;$F654,"3 Posting Date",O$9)</t>
  </si>
  <si>
    <t>=-NL("Sum","5802 Value Entry","151 Cost Amount (Expected)","41 Source Type",$C$5,"5 Source No.",$C654,"4 Item Ledger Entry Type",$C$4,"2 Item No.","@@"&amp;$F654,"3 Posting Date",O$9)-NL("Sum","5802 Value Entry","43 Cost Amount (Actual)","41 Source Type",$C$5,"5 Source no.",$C654,"4 Item Ledger Entry Type",$C$4,"2 Item No.","@@"&amp;$F654,"3 Posting Date",O$9)</t>
  </si>
  <si>
    <t>=O654-Q654</t>
  </si>
  <si>
    <t>=IF(O654&lt;&gt;0,R654/O654,"")</t>
  </si>
  <si>
    <t>=NL("Sum","5802 Value Entry","150 Sales Amount (Expected)","41 Source Type",$C$5,"5 Source No.",$C654,"4 Item Ledger Entry Type",$C$4,"2 Item No.","@@"&amp;$F654,"3 Posting Date",U$9)+NL("Sum","5802 Value Entry","17 Sales Amount (Actual)","41 Source Type",$C$5,"5 Source no.",$C654,"4 Item Ledger Entry Type",$C$4,"2 Item No.","@@"&amp;$F654,"3 Posting Date",U$9)</t>
  </si>
  <si>
    <t>=-NL("Sum","5802 Value Entry","151 Cost Amount (Expected)","41 Source Type",$C$5,"5 Source No.",$C654,"4 Item Ledger Entry Type",$C$4,"2 Item No.","@@"&amp;$F654,"3 Posting Date",U$9)-NL("Sum","5802 Value Entry","43 Cost Amount (Actual)","41 Source Type",$C$5,"5 Source no.",$C654,"4 Item Ledger Entry Type",$C$4,"2 Item No.","@@"&amp;$F654,"3 Posting Date",U$9)</t>
  </si>
  <si>
    <t>=U654-W654</t>
  </si>
  <si>
    <t>=IF(U654&lt;&gt;0,X654/U654,"")</t>
  </si>
  <si>
    <t>=NL("Sum","5802 Value Entry","150 Sales Amount (Expected)","41 Source Type",$C$5,"5 Source No.",$C654,"4 Item Ledger Entry Type",$C$4,"2 Item No.","@@"&amp;$F654,"3 Posting Date",Z$9)+NL("Sum","5802 Value Entry","17 Sales Amount (Actual)","41 Source Type",$C$5,"5 Source no.",$C654,"4 Item Ledger Entry Type",$C$4,"2 Item No.","@@"&amp;$F654,"3 Posting Date",Z$9)</t>
  </si>
  <si>
    <t>=-NL("Sum","5802 Value Entry","151 Cost Amount (Expected)","41 Source Type",$C$5,"5 Source No.",$C654,"4 Item Ledger Entry Type",$C$4,"2 Item No.","@@"&amp;$F654,"3 Posting Date",Z$9)-NL("Sum","5802 Value Entry","43 Cost Amount (Actual)","41 Source Type",$C$5,"5 Source no.",$C654,"4 Item Ledger Entry Type",$C$4,"2 Item No.","@@"&amp;$F654,"3 Posting Date",Z$9)</t>
  </si>
  <si>
    <t>=Z654-AB654</t>
  </si>
  <si>
    <t>=IF(Z654&lt;&gt;0,AC654/Z654,"")</t>
  </si>
  <si>
    <t>=C654</t>
  </si>
  <si>
    <t>=NL("Sum","5802 Value Entry","150 Sales Amount (Expected)","41 Source Type",$C$5,"5 Source No.",$C655,"4 Item Ledger Entry Type",$C$4,"2 Item No.","@@"&amp;$F655,"3 Posting Date",J$9)+NL("Sum","5802 Value Entry","17 Sales Amount (Actual)","41 Source Type",$C$5,"5 Source no.",$C655,"4 Item Ledger Entry Type",$C$4,"2 Item No.","@@"&amp;$F655,"3 Posting Date",J$9)</t>
  </si>
  <si>
    <t>=-NL("Sum","5802 Value Entry","151 Cost Amount (Expected)","41 Source Type",$C$5,"5 Source No.",$C655,"4 Item Ledger Entry Type",$C$4,"2 Item No.","@@"&amp;$F655,"3 Posting Date",J$9)-NL("Sum","5802 Value Entry","43 Cost Amount (Actual)","41 Source Type",$C$5,"5 Source no.",$C655,"4 Item Ledger Entry Type",$C$4,"2 Item No.","@@"&amp;$F655,"3 Posting Date",J$9)</t>
  </si>
  <si>
    <t>=J655-L655</t>
  </si>
  <si>
    <t>=IF(J655&lt;&gt;0,M655/J655,"")</t>
  </si>
  <si>
    <t>=NL("Sum","5802 Value Entry","150 Sales Amount (Expected)","41 Source Type",$C$5,"5 Source No.",$C655,"4 Item Ledger Entry Type",$C$4,"2 Item No.","@@"&amp;$F655,"3 Posting Date",O$9)+NL("Sum","5802 Value Entry","17 Sales Amount (Actual)","41 Source Type",$C$5,"5 Source no.",$C655,"4 Item Ledger Entry Type",$C$4,"2 Item No.","@@"&amp;$F655,"3 Posting Date",O$9)</t>
  </si>
  <si>
    <t>=-NL("Sum","5802 Value Entry","151 Cost Amount (Expected)","41 Source Type",$C$5,"5 Source No.",$C655,"4 Item Ledger Entry Type",$C$4,"2 Item No.","@@"&amp;$F655,"3 Posting Date",O$9)-NL("Sum","5802 Value Entry","43 Cost Amount (Actual)","41 Source Type",$C$5,"5 Source no.",$C655,"4 Item Ledger Entry Type",$C$4,"2 Item No.","@@"&amp;$F655,"3 Posting Date",O$9)</t>
  </si>
  <si>
    <t>=O655-Q655</t>
  </si>
  <si>
    <t>=IF(O655&lt;&gt;0,R655/O655,"")</t>
  </si>
  <si>
    <t>=NL("Sum","5802 Value Entry","150 Sales Amount (Expected)","41 Source Type",$C$5,"5 Source No.",$C655,"4 Item Ledger Entry Type",$C$4,"2 Item No.","@@"&amp;$F655,"3 Posting Date",U$9)+NL("Sum","5802 Value Entry","17 Sales Amount (Actual)","41 Source Type",$C$5,"5 Source no.",$C655,"4 Item Ledger Entry Type",$C$4,"2 Item No.","@@"&amp;$F655,"3 Posting Date",U$9)</t>
  </si>
  <si>
    <t>=-NL("Sum","5802 Value Entry","151 Cost Amount (Expected)","41 Source Type",$C$5,"5 Source No.",$C655,"4 Item Ledger Entry Type",$C$4,"2 Item No.","@@"&amp;$F655,"3 Posting Date",U$9)-NL("Sum","5802 Value Entry","43 Cost Amount (Actual)","41 Source Type",$C$5,"5 Source no.",$C655,"4 Item Ledger Entry Type",$C$4,"2 Item No.","@@"&amp;$F655,"3 Posting Date",U$9)</t>
  </si>
  <si>
    <t>=U655-W655</t>
  </si>
  <si>
    <t>=IF(U655&lt;&gt;0,X655/U655,"")</t>
  </si>
  <si>
    <t>=NL("Sum","5802 Value Entry","150 Sales Amount (Expected)","41 Source Type",$C$5,"5 Source No.",$C655,"4 Item Ledger Entry Type",$C$4,"2 Item No.","@@"&amp;$F655,"3 Posting Date",Z$9)+NL("Sum","5802 Value Entry","17 Sales Amount (Actual)","41 Source Type",$C$5,"5 Source no.",$C655,"4 Item Ledger Entry Type",$C$4,"2 Item No.","@@"&amp;$F655,"3 Posting Date",Z$9)</t>
  </si>
  <si>
    <t>=-NL("Sum","5802 Value Entry","151 Cost Amount (Expected)","41 Source Type",$C$5,"5 Source No.",$C655,"4 Item Ledger Entry Type",$C$4,"2 Item No.","@@"&amp;$F655,"3 Posting Date",Z$9)-NL("Sum","5802 Value Entry","43 Cost Amount (Actual)","41 Source Type",$C$5,"5 Source no.",$C655,"4 Item Ledger Entry Type",$C$4,"2 Item No.","@@"&amp;$F655,"3 Posting Date",Z$9)</t>
  </si>
  <si>
    <t>=Z655-AB655</t>
  </si>
  <si>
    <t>=IF(Z655&lt;&gt;0,AC655/Z655,"")</t>
  </si>
  <si>
    <t>=C655</t>
  </si>
  <si>
    <t>=NL("Sum","5802 Value Entry","150 Sales Amount (Expected)","41 Source Type",$C$5,"5 Source No.",$C656,"4 Item Ledger Entry Type",$C$4,"2 Item No.","@@"&amp;$F656,"3 Posting Date",J$9)+NL("Sum","5802 Value Entry","17 Sales Amount (Actual)","41 Source Type",$C$5,"5 Source no.",$C656,"4 Item Ledger Entry Type",$C$4,"2 Item No.","@@"&amp;$F656,"3 Posting Date",J$9)</t>
  </si>
  <si>
    <t>=-NL("Sum","5802 Value Entry","151 Cost Amount (Expected)","41 Source Type",$C$5,"5 Source No.",$C656,"4 Item Ledger Entry Type",$C$4,"2 Item No.","@@"&amp;$F656,"3 Posting Date",J$9)-NL("Sum","5802 Value Entry","43 Cost Amount (Actual)","41 Source Type",$C$5,"5 Source no.",$C656,"4 Item Ledger Entry Type",$C$4,"2 Item No.","@@"&amp;$F656,"3 Posting Date",J$9)</t>
  </si>
  <si>
    <t>=J656-L656</t>
  </si>
  <si>
    <t>=IF(J656&lt;&gt;0,M656/J656,"")</t>
  </si>
  <si>
    <t>=NL("Sum","5802 Value Entry","150 Sales Amount (Expected)","41 Source Type",$C$5,"5 Source No.",$C656,"4 Item Ledger Entry Type",$C$4,"2 Item No.","@@"&amp;$F656,"3 Posting Date",O$9)+NL("Sum","5802 Value Entry","17 Sales Amount (Actual)","41 Source Type",$C$5,"5 Source no.",$C656,"4 Item Ledger Entry Type",$C$4,"2 Item No.","@@"&amp;$F656,"3 Posting Date",O$9)</t>
  </si>
  <si>
    <t>=-NL("Sum","5802 Value Entry","151 Cost Amount (Expected)","41 Source Type",$C$5,"5 Source No.",$C656,"4 Item Ledger Entry Type",$C$4,"2 Item No.","@@"&amp;$F656,"3 Posting Date",O$9)-NL("Sum","5802 Value Entry","43 Cost Amount (Actual)","41 Source Type",$C$5,"5 Source no.",$C656,"4 Item Ledger Entry Type",$C$4,"2 Item No.","@@"&amp;$F656,"3 Posting Date",O$9)</t>
  </si>
  <si>
    <t>=O656-Q656</t>
  </si>
  <si>
    <t>=IF(O656&lt;&gt;0,R656/O656,"")</t>
  </si>
  <si>
    <t>=NL("Sum","5802 Value Entry","150 Sales Amount (Expected)","41 Source Type",$C$5,"5 Source No.",$C656,"4 Item Ledger Entry Type",$C$4,"2 Item No.","@@"&amp;$F656,"3 Posting Date",U$9)+NL("Sum","5802 Value Entry","17 Sales Amount (Actual)","41 Source Type",$C$5,"5 Source no.",$C656,"4 Item Ledger Entry Type",$C$4,"2 Item No.","@@"&amp;$F656,"3 Posting Date",U$9)</t>
  </si>
  <si>
    <t>=-NL("Sum","5802 Value Entry","151 Cost Amount (Expected)","41 Source Type",$C$5,"5 Source No.",$C656,"4 Item Ledger Entry Type",$C$4,"2 Item No.","@@"&amp;$F656,"3 Posting Date",U$9)-NL("Sum","5802 Value Entry","43 Cost Amount (Actual)","41 Source Type",$C$5,"5 Source no.",$C656,"4 Item Ledger Entry Type",$C$4,"2 Item No.","@@"&amp;$F656,"3 Posting Date",U$9)</t>
  </si>
  <si>
    <t>=U656-W656</t>
  </si>
  <si>
    <t>=IF(U656&lt;&gt;0,X656/U656,"")</t>
  </si>
  <si>
    <t>=NL("Sum","5802 Value Entry","150 Sales Amount (Expected)","41 Source Type",$C$5,"5 Source No.",$C656,"4 Item Ledger Entry Type",$C$4,"2 Item No.","@@"&amp;$F656,"3 Posting Date",Z$9)+NL("Sum","5802 Value Entry","17 Sales Amount (Actual)","41 Source Type",$C$5,"5 Source no.",$C656,"4 Item Ledger Entry Type",$C$4,"2 Item No.","@@"&amp;$F656,"3 Posting Date",Z$9)</t>
  </si>
  <si>
    <t>=-NL("Sum","5802 Value Entry","151 Cost Amount (Expected)","41 Source Type",$C$5,"5 Source No.",$C656,"4 Item Ledger Entry Type",$C$4,"2 Item No.","@@"&amp;$F656,"3 Posting Date",Z$9)-NL("Sum","5802 Value Entry","43 Cost Amount (Actual)","41 Source Type",$C$5,"5 Source no.",$C656,"4 Item Ledger Entry Type",$C$4,"2 Item No.","@@"&amp;$F656,"3 Posting Date",Z$9)</t>
  </si>
  <si>
    <t>=Z656-AB656</t>
  </si>
  <si>
    <t>=IF(Z656&lt;&gt;0,AC656/Z656,"")</t>
  </si>
  <si>
    <t>=C656</t>
  </si>
  <si>
    <t>=NL("Sum","5802 Value Entry","150 Sales Amount (Expected)","41 Source Type",$C$5,"5 Source No.",$C657,"4 Item Ledger Entry Type",$C$4,"2 Item No.","@@"&amp;$F657,"3 Posting Date",J$9)+NL("Sum","5802 Value Entry","17 Sales Amount (Actual)","41 Source Type",$C$5,"5 Source no.",$C657,"4 Item Ledger Entry Type",$C$4,"2 Item No.","@@"&amp;$F657,"3 Posting Date",J$9)</t>
  </si>
  <si>
    <t>=-NL("Sum","5802 Value Entry","151 Cost Amount (Expected)","41 Source Type",$C$5,"5 Source No.",$C657,"4 Item Ledger Entry Type",$C$4,"2 Item No.","@@"&amp;$F657,"3 Posting Date",J$9)-NL("Sum","5802 Value Entry","43 Cost Amount (Actual)","41 Source Type",$C$5,"5 Source no.",$C657,"4 Item Ledger Entry Type",$C$4,"2 Item No.","@@"&amp;$F657,"3 Posting Date",J$9)</t>
  </si>
  <si>
    <t>=J657-L657</t>
  </si>
  <si>
    <t>=IF(J657&lt;&gt;0,M657/J657,"")</t>
  </si>
  <si>
    <t>=NL("Sum","5802 Value Entry","150 Sales Amount (Expected)","41 Source Type",$C$5,"5 Source No.",$C657,"4 Item Ledger Entry Type",$C$4,"2 Item No.","@@"&amp;$F657,"3 Posting Date",O$9)+NL("Sum","5802 Value Entry","17 Sales Amount (Actual)","41 Source Type",$C$5,"5 Source no.",$C657,"4 Item Ledger Entry Type",$C$4,"2 Item No.","@@"&amp;$F657,"3 Posting Date",O$9)</t>
  </si>
  <si>
    <t>=-NL("Sum","5802 Value Entry","151 Cost Amount (Expected)","41 Source Type",$C$5,"5 Source No.",$C657,"4 Item Ledger Entry Type",$C$4,"2 Item No.","@@"&amp;$F657,"3 Posting Date",O$9)-NL("Sum","5802 Value Entry","43 Cost Amount (Actual)","41 Source Type",$C$5,"5 Source no.",$C657,"4 Item Ledger Entry Type",$C$4,"2 Item No.","@@"&amp;$F657,"3 Posting Date",O$9)</t>
  </si>
  <si>
    <t>=O657-Q657</t>
  </si>
  <si>
    <t>=IF(O657&lt;&gt;0,R657/O657,"")</t>
  </si>
  <si>
    <t>=NL("Sum","5802 Value Entry","150 Sales Amount (Expected)","41 Source Type",$C$5,"5 Source No.",$C657,"4 Item Ledger Entry Type",$C$4,"2 Item No.","@@"&amp;$F657,"3 Posting Date",U$9)+NL("Sum","5802 Value Entry","17 Sales Amount (Actual)","41 Source Type",$C$5,"5 Source no.",$C657,"4 Item Ledger Entry Type",$C$4,"2 Item No.","@@"&amp;$F657,"3 Posting Date",U$9)</t>
  </si>
  <si>
    <t>=-NL("Sum","5802 Value Entry","151 Cost Amount (Expected)","41 Source Type",$C$5,"5 Source No.",$C657,"4 Item Ledger Entry Type",$C$4,"2 Item No.","@@"&amp;$F657,"3 Posting Date",U$9)-NL("Sum","5802 Value Entry","43 Cost Amount (Actual)","41 Source Type",$C$5,"5 Source no.",$C657,"4 Item Ledger Entry Type",$C$4,"2 Item No.","@@"&amp;$F657,"3 Posting Date",U$9)</t>
  </si>
  <si>
    <t>=U657-W657</t>
  </si>
  <si>
    <t>=IF(U657&lt;&gt;0,X657/U657,"")</t>
  </si>
  <si>
    <t>=NL("Sum","5802 Value Entry","150 Sales Amount (Expected)","41 Source Type",$C$5,"5 Source No.",$C657,"4 Item Ledger Entry Type",$C$4,"2 Item No.","@@"&amp;$F657,"3 Posting Date",Z$9)+NL("Sum","5802 Value Entry","17 Sales Amount (Actual)","41 Source Type",$C$5,"5 Source no.",$C657,"4 Item Ledger Entry Type",$C$4,"2 Item No.","@@"&amp;$F657,"3 Posting Date",Z$9)</t>
  </si>
  <si>
    <t>=-NL("Sum","5802 Value Entry","151 Cost Amount (Expected)","41 Source Type",$C$5,"5 Source No.",$C657,"4 Item Ledger Entry Type",$C$4,"2 Item No.","@@"&amp;$F657,"3 Posting Date",Z$9)-NL("Sum","5802 Value Entry","43 Cost Amount (Actual)","41 Source Type",$C$5,"5 Source no.",$C657,"4 Item Ledger Entry Type",$C$4,"2 Item No.","@@"&amp;$F657,"3 Posting Date",Z$9)</t>
  </si>
  <si>
    <t>=Z657-AB657</t>
  </si>
  <si>
    <t>=IF(Z657&lt;&gt;0,AC657/Z657,"")</t>
  </si>
  <si>
    <t>=C657</t>
  </si>
  <si>
    <t>=NL("Sum","5802 Value Entry","150 Sales Amount (Expected)","41 Source Type",$C$5,"5 Source No.",$C658,"4 Item Ledger Entry Type",$C$4,"2 Item No.","@@"&amp;$F658,"3 Posting Date",J$9)+NL("Sum","5802 Value Entry","17 Sales Amount (Actual)","41 Source Type",$C$5,"5 Source no.",$C658,"4 Item Ledger Entry Type",$C$4,"2 Item No.","@@"&amp;$F658,"3 Posting Date",J$9)</t>
  </si>
  <si>
    <t>=-NL("Sum","5802 Value Entry","151 Cost Amount (Expected)","41 Source Type",$C$5,"5 Source No.",$C658,"4 Item Ledger Entry Type",$C$4,"2 Item No.","@@"&amp;$F658,"3 Posting Date",J$9)-NL("Sum","5802 Value Entry","43 Cost Amount (Actual)","41 Source Type",$C$5,"5 Source no.",$C658,"4 Item Ledger Entry Type",$C$4,"2 Item No.","@@"&amp;$F658,"3 Posting Date",J$9)</t>
  </si>
  <si>
    <t>=J658-L658</t>
  </si>
  <si>
    <t>=IF(J658&lt;&gt;0,M658/J658,"")</t>
  </si>
  <si>
    <t>=NL("Sum","5802 Value Entry","150 Sales Amount (Expected)","41 Source Type",$C$5,"5 Source No.",$C658,"4 Item Ledger Entry Type",$C$4,"2 Item No.","@@"&amp;$F658,"3 Posting Date",O$9)+NL("Sum","5802 Value Entry","17 Sales Amount (Actual)","41 Source Type",$C$5,"5 Source no.",$C658,"4 Item Ledger Entry Type",$C$4,"2 Item No.","@@"&amp;$F658,"3 Posting Date",O$9)</t>
  </si>
  <si>
    <t>=-NL("Sum","5802 Value Entry","151 Cost Amount (Expected)","41 Source Type",$C$5,"5 Source No.",$C658,"4 Item Ledger Entry Type",$C$4,"2 Item No.","@@"&amp;$F658,"3 Posting Date",O$9)-NL("Sum","5802 Value Entry","43 Cost Amount (Actual)","41 Source Type",$C$5,"5 Source no.",$C658,"4 Item Ledger Entry Type",$C$4,"2 Item No.","@@"&amp;$F658,"3 Posting Date",O$9)</t>
  </si>
  <si>
    <t>=O658-Q658</t>
  </si>
  <si>
    <t>=IF(O658&lt;&gt;0,R658/O658,"")</t>
  </si>
  <si>
    <t>=NL("Sum","5802 Value Entry","150 Sales Amount (Expected)","41 Source Type",$C$5,"5 Source No.",$C658,"4 Item Ledger Entry Type",$C$4,"2 Item No.","@@"&amp;$F658,"3 Posting Date",U$9)+NL("Sum","5802 Value Entry","17 Sales Amount (Actual)","41 Source Type",$C$5,"5 Source no.",$C658,"4 Item Ledger Entry Type",$C$4,"2 Item No.","@@"&amp;$F658,"3 Posting Date",U$9)</t>
  </si>
  <si>
    <t>=-NL("Sum","5802 Value Entry","151 Cost Amount (Expected)","41 Source Type",$C$5,"5 Source No.",$C658,"4 Item Ledger Entry Type",$C$4,"2 Item No.","@@"&amp;$F658,"3 Posting Date",U$9)-NL("Sum","5802 Value Entry","43 Cost Amount (Actual)","41 Source Type",$C$5,"5 Source no.",$C658,"4 Item Ledger Entry Type",$C$4,"2 Item No.","@@"&amp;$F658,"3 Posting Date",U$9)</t>
  </si>
  <si>
    <t>=U658-W658</t>
  </si>
  <si>
    <t>=IF(U658&lt;&gt;0,X658/U658,"")</t>
  </si>
  <si>
    <t>=NL("Sum","5802 Value Entry","150 Sales Amount (Expected)","41 Source Type",$C$5,"5 Source No.",$C658,"4 Item Ledger Entry Type",$C$4,"2 Item No.","@@"&amp;$F658,"3 Posting Date",Z$9)+NL("Sum","5802 Value Entry","17 Sales Amount (Actual)","41 Source Type",$C$5,"5 Source no.",$C658,"4 Item Ledger Entry Type",$C$4,"2 Item No.","@@"&amp;$F658,"3 Posting Date",Z$9)</t>
  </si>
  <si>
    <t>=-NL("Sum","5802 Value Entry","151 Cost Amount (Expected)","41 Source Type",$C$5,"5 Source No.",$C658,"4 Item Ledger Entry Type",$C$4,"2 Item No.","@@"&amp;$F658,"3 Posting Date",Z$9)-NL("Sum","5802 Value Entry","43 Cost Amount (Actual)","41 Source Type",$C$5,"5 Source no.",$C658,"4 Item Ledger Entry Type",$C$4,"2 Item No.","@@"&amp;$F658,"3 Posting Date",Z$9)</t>
  </si>
  <si>
    <t>=Z658-AB658</t>
  </si>
  <si>
    <t>=IF(Z658&lt;&gt;0,AC658/Z658,"")</t>
  </si>
  <si>
    <t>=C658</t>
  </si>
  <si>
    <t>=NL("Sum","5802 Value Entry","150 Sales Amount (Expected)","41 Source Type",$C$5,"5 Source No.",$C659,"4 Item Ledger Entry Type",$C$4,"2 Item No.","@@"&amp;$F659,"3 Posting Date",J$9)+NL("Sum","5802 Value Entry","17 Sales Amount (Actual)","41 Source Type",$C$5,"5 Source no.",$C659,"4 Item Ledger Entry Type",$C$4,"2 Item No.","@@"&amp;$F659,"3 Posting Date",J$9)</t>
  </si>
  <si>
    <t>=-NL("Sum","5802 Value Entry","151 Cost Amount (Expected)","41 Source Type",$C$5,"5 Source No.",$C659,"4 Item Ledger Entry Type",$C$4,"2 Item No.","@@"&amp;$F659,"3 Posting Date",J$9)-NL("Sum","5802 Value Entry","43 Cost Amount (Actual)","41 Source Type",$C$5,"5 Source no.",$C659,"4 Item Ledger Entry Type",$C$4,"2 Item No.","@@"&amp;$F659,"3 Posting Date",J$9)</t>
  </si>
  <si>
    <t>=J659-L659</t>
  </si>
  <si>
    <t>=IF(J659&lt;&gt;0,M659/J659,"")</t>
  </si>
  <si>
    <t>=NL("Sum","5802 Value Entry","150 Sales Amount (Expected)","41 Source Type",$C$5,"5 Source No.",$C659,"4 Item Ledger Entry Type",$C$4,"2 Item No.","@@"&amp;$F659,"3 Posting Date",O$9)+NL("Sum","5802 Value Entry","17 Sales Amount (Actual)","41 Source Type",$C$5,"5 Source no.",$C659,"4 Item Ledger Entry Type",$C$4,"2 Item No.","@@"&amp;$F659,"3 Posting Date",O$9)</t>
  </si>
  <si>
    <t>=-NL("Sum","5802 Value Entry","151 Cost Amount (Expected)","41 Source Type",$C$5,"5 Source No.",$C659,"4 Item Ledger Entry Type",$C$4,"2 Item No.","@@"&amp;$F659,"3 Posting Date",O$9)-NL("Sum","5802 Value Entry","43 Cost Amount (Actual)","41 Source Type",$C$5,"5 Source no.",$C659,"4 Item Ledger Entry Type",$C$4,"2 Item No.","@@"&amp;$F659,"3 Posting Date",O$9)</t>
  </si>
  <si>
    <t>=O659-Q659</t>
  </si>
  <si>
    <t>=IF(O659&lt;&gt;0,R659/O659,"")</t>
  </si>
  <si>
    <t>=NL("Sum","5802 Value Entry","150 Sales Amount (Expected)","41 Source Type",$C$5,"5 Source No.",$C659,"4 Item Ledger Entry Type",$C$4,"2 Item No.","@@"&amp;$F659,"3 Posting Date",U$9)+NL("Sum","5802 Value Entry","17 Sales Amount (Actual)","41 Source Type",$C$5,"5 Source no.",$C659,"4 Item Ledger Entry Type",$C$4,"2 Item No.","@@"&amp;$F659,"3 Posting Date",U$9)</t>
  </si>
  <si>
    <t>=-NL("Sum","5802 Value Entry","151 Cost Amount (Expected)","41 Source Type",$C$5,"5 Source No.",$C659,"4 Item Ledger Entry Type",$C$4,"2 Item No.","@@"&amp;$F659,"3 Posting Date",U$9)-NL("Sum","5802 Value Entry","43 Cost Amount (Actual)","41 Source Type",$C$5,"5 Source no.",$C659,"4 Item Ledger Entry Type",$C$4,"2 Item No.","@@"&amp;$F659,"3 Posting Date",U$9)</t>
  </si>
  <si>
    <t>=U659-W659</t>
  </si>
  <si>
    <t>=IF(U659&lt;&gt;0,X659/U659,"")</t>
  </si>
  <si>
    <t>=NL("Sum","5802 Value Entry","150 Sales Amount (Expected)","41 Source Type",$C$5,"5 Source No.",$C659,"4 Item Ledger Entry Type",$C$4,"2 Item No.","@@"&amp;$F659,"3 Posting Date",Z$9)+NL("Sum","5802 Value Entry","17 Sales Amount (Actual)","41 Source Type",$C$5,"5 Source no.",$C659,"4 Item Ledger Entry Type",$C$4,"2 Item No.","@@"&amp;$F659,"3 Posting Date",Z$9)</t>
  </si>
  <si>
    <t>=-NL("Sum","5802 Value Entry","151 Cost Amount (Expected)","41 Source Type",$C$5,"5 Source No.",$C659,"4 Item Ledger Entry Type",$C$4,"2 Item No.","@@"&amp;$F659,"3 Posting Date",Z$9)-NL("Sum","5802 Value Entry","43 Cost Amount (Actual)","41 Source Type",$C$5,"5 Source no.",$C659,"4 Item Ledger Entry Type",$C$4,"2 Item No.","@@"&amp;$F659,"3 Posting Date",Z$9)</t>
  </si>
  <si>
    <t>=Z659-AB659</t>
  </si>
  <si>
    <t>=IF(Z659&lt;&gt;0,AC659/Z659,"")</t>
  </si>
  <si>
    <t>=C659</t>
  </si>
  <si>
    <t>=NL("Sum","5802 Value Entry","150 Sales Amount (Expected)","41 Source Type",$C$5,"5 Source No.",$C660,"4 Item Ledger Entry Type",$C$4,"2 Item No.","@@"&amp;$F660,"3 Posting Date",J$9)+NL("Sum","5802 Value Entry","17 Sales Amount (Actual)","41 Source Type",$C$5,"5 Source no.",$C660,"4 Item Ledger Entry Type",$C$4,"2 Item No.","@@"&amp;$F660,"3 Posting Date",J$9)</t>
  </si>
  <si>
    <t>=-NL("Sum","5802 Value Entry","151 Cost Amount (Expected)","41 Source Type",$C$5,"5 Source No.",$C660,"4 Item Ledger Entry Type",$C$4,"2 Item No.","@@"&amp;$F660,"3 Posting Date",J$9)-NL("Sum","5802 Value Entry","43 Cost Amount (Actual)","41 Source Type",$C$5,"5 Source no.",$C660,"4 Item Ledger Entry Type",$C$4,"2 Item No.","@@"&amp;$F660,"3 Posting Date",J$9)</t>
  </si>
  <si>
    <t>=J660-L660</t>
  </si>
  <si>
    <t>=IF(J660&lt;&gt;0,M660/J660,"")</t>
  </si>
  <si>
    <t>=NL("Sum","5802 Value Entry","150 Sales Amount (Expected)","41 Source Type",$C$5,"5 Source No.",$C660,"4 Item Ledger Entry Type",$C$4,"2 Item No.","@@"&amp;$F660,"3 Posting Date",O$9)+NL("Sum","5802 Value Entry","17 Sales Amount (Actual)","41 Source Type",$C$5,"5 Source no.",$C660,"4 Item Ledger Entry Type",$C$4,"2 Item No.","@@"&amp;$F660,"3 Posting Date",O$9)</t>
  </si>
  <si>
    <t>=-NL("Sum","5802 Value Entry","151 Cost Amount (Expected)","41 Source Type",$C$5,"5 Source No.",$C660,"4 Item Ledger Entry Type",$C$4,"2 Item No.","@@"&amp;$F660,"3 Posting Date",O$9)-NL("Sum","5802 Value Entry","43 Cost Amount (Actual)","41 Source Type",$C$5,"5 Source no.",$C660,"4 Item Ledger Entry Type",$C$4,"2 Item No.","@@"&amp;$F660,"3 Posting Date",O$9)</t>
  </si>
  <si>
    <t>=O660-Q660</t>
  </si>
  <si>
    <t>=IF(O660&lt;&gt;0,R660/O660,"")</t>
  </si>
  <si>
    <t>=NL("Sum","5802 Value Entry","150 Sales Amount (Expected)","41 Source Type",$C$5,"5 Source No.",$C660,"4 Item Ledger Entry Type",$C$4,"2 Item No.","@@"&amp;$F660,"3 Posting Date",U$9)+NL("Sum","5802 Value Entry","17 Sales Amount (Actual)","41 Source Type",$C$5,"5 Source no.",$C660,"4 Item Ledger Entry Type",$C$4,"2 Item No.","@@"&amp;$F660,"3 Posting Date",U$9)</t>
  </si>
  <si>
    <t>=-NL("Sum","5802 Value Entry","151 Cost Amount (Expected)","41 Source Type",$C$5,"5 Source No.",$C660,"4 Item Ledger Entry Type",$C$4,"2 Item No.","@@"&amp;$F660,"3 Posting Date",U$9)-NL("Sum","5802 Value Entry","43 Cost Amount (Actual)","41 Source Type",$C$5,"5 Source no.",$C660,"4 Item Ledger Entry Type",$C$4,"2 Item No.","@@"&amp;$F660,"3 Posting Date",U$9)</t>
  </si>
  <si>
    <t>=U660-W660</t>
  </si>
  <si>
    <t>=IF(U660&lt;&gt;0,X660/U660,"")</t>
  </si>
  <si>
    <t>=NL("Sum","5802 Value Entry","150 Sales Amount (Expected)","41 Source Type",$C$5,"5 Source No.",$C660,"4 Item Ledger Entry Type",$C$4,"2 Item No.","@@"&amp;$F660,"3 Posting Date",Z$9)+NL("Sum","5802 Value Entry","17 Sales Amount (Actual)","41 Source Type",$C$5,"5 Source no.",$C660,"4 Item Ledger Entry Type",$C$4,"2 Item No.","@@"&amp;$F660,"3 Posting Date",Z$9)</t>
  </si>
  <si>
    <t>=-NL("Sum","5802 Value Entry","151 Cost Amount (Expected)","41 Source Type",$C$5,"5 Source No.",$C660,"4 Item Ledger Entry Type",$C$4,"2 Item No.","@@"&amp;$F660,"3 Posting Date",Z$9)-NL("Sum","5802 Value Entry","43 Cost Amount (Actual)","41 Source Type",$C$5,"5 Source no.",$C660,"4 Item Ledger Entry Type",$C$4,"2 Item No.","@@"&amp;$F660,"3 Posting Date",Z$9)</t>
  </si>
  <si>
    <t>=Z660-AB660</t>
  </si>
  <si>
    <t>=IF(Z660&lt;&gt;0,AC660/Z660,"")</t>
  </si>
  <si>
    <t>=C661</t>
  </si>
  <si>
    <t>=J662-L662</t>
  </si>
  <si>
    <t>=IF(J662&lt;&gt;0,M662/J662,"")</t>
  </si>
  <si>
    <t>=O662-Q662</t>
  </si>
  <si>
    <t>=IF(O662&lt;&gt;0,R662/O662,"")</t>
  </si>
  <si>
    <t>=U662-W662</t>
  </si>
  <si>
    <t>=IF(U662&lt;&gt;0,X662/U662,"")</t>
  </si>
  <si>
    <t>=Z662-AB662</t>
  </si>
  <si>
    <t>=IF(Z662&lt;&gt;0,AC662/Z662,"")</t>
  </si>
  <si>
    <t>=C664</t>
  </si>
  <si>
    <t>=C665</t>
  </si>
  <si>
    <t>=NL("Sum","5802 Value Entry","150 Sales Amount (Expected)","41 Source Type",$C$5,"5 Source No.",$C666,"4 Item Ledger Entry Type",$C$4,"2 Item No.","@@"&amp;$F666,"3 Posting Date",J$9)+NL("Sum","5802 Value Entry","17 Sales Amount (Actual)","41 Source Type",$C$5,"5 Source no.",$C666,"4 Item Ledger Entry Type",$C$4,"2 Item No.","@@"&amp;$F666,"3 Posting Date",J$9)</t>
  </si>
  <si>
    <t>=-NL("Sum","5802 Value Entry","151 Cost Amount (Expected)","41 Source Type",$C$5,"5 Source No.",$C666,"4 Item Ledger Entry Type",$C$4,"2 Item No.","@@"&amp;$F666,"3 Posting Date",J$9)-NL("Sum","5802 Value Entry","43 Cost Amount (Actual)","41 Source Type",$C$5,"5 Source no.",$C666,"4 Item Ledger Entry Type",$C$4,"2 Item No.","@@"&amp;$F666,"3 Posting Date",J$9)</t>
  </si>
  <si>
    <t>=J666-L666</t>
  </si>
  <si>
    <t>=IF(J666&lt;&gt;0,M666/J666,"")</t>
  </si>
  <si>
    <t>=NL("Sum","5802 Value Entry","150 Sales Amount (Expected)","41 Source Type",$C$5,"5 Source No.",$C666,"4 Item Ledger Entry Type",$C$4,"2 Item No.","@@"&amp;$F666,"3 Posting Date",O$9)+NL("Sum","5802 Value Entry","17 Sales Amount (Actual)","41 Source Type",$C$5,"5 Source no.",$C666,"4 Item Ledger Entry Type",$C$4,"2 Item No.","@@"&amp;$F666,"3 Posting Date",O$9)</t>
  </si>
  <si>
    <t>=-NL("Sum","5802 Value Entry","151 Cost Amount (Expected)","41 Source Type",$C$5,"5 Source No.",$C666,"4 Item Ledger Entry Type",$C$4,"2 Item No.","@@"&amp;$F666,"3 Posting Date",O$9)-NL("Sum","5802 Value Entry","43 Cost Amount (Actual)","41 Source Type",$C$5,"5 Source no.",$C666,"4 Item Ledger Entry Type",$C$4,"2 Item No.","@@"&amp;$F666,"3 Posting Date",O$9)</t>
  </si>
  <si>
    <t>=O666-Q666</t>
  </si>
  <si>
    <t>=IF(O666&lt;&gt;0,R666/O666,"")</t>
  </si>
  <si>
    <t>=NL("Sum","5802 Value Entry","150 Sales Amount (Expected)","41 Source Type",$C$5,"5 Source No.",$C666,"4 Item Ledger Entry Type",$C$4,"2 Item No.","@@"&amp;$F666,"3 Posting Date",U$9)+NL("Sum","5802 Value Entry","17 Sales Amount (Actual)","41 Source Type",$C$5,"5 Source no.",$C666,"4 Item Ledger Entry Type",$C$4,"2 Item No.","@@"&amp;$F666,"3 Posting Date",U$9)</t>
  </si>
  <si>
    <t>=-NL("Sum","5802 Value Entry","151 Cost Amount (Expected)","41 Source Type",$C$5,"5 Source No.",$C666,"4 Item Ledger Entry Type",$C$4,"2 Item No.","@@"&amp;$F666,"3 Posting Date",U$9)-NL("Sum","5802 Value Entry","43 Cost Amount (Actual)","41 Source Type",$C$5,"5 Source no.",$C666,"4 Item Ledger Entry Type",$C$4,"2 Item No.","@@"&amp;$F666,"3 Posting Date",U$9)</t>
  </si>
  <si>
    <t>=U666-W666</t>
  </si>
  <si>
    <t>=IF(U666&lt;&gt;0,X666/U666,"")</t>
  </si>
  <si>
    <t>=NL("Sum","5802 Value Entry","150 Sales Amount (Expected)","41 Source Type",$C$5,"5 Source No.",$C666,"4 Item Ledger Entry Type",$C$4,"2 Item No.","@@"&amp;$F666,"3 Posting Date",Z$9)+NL("Sum","5802 Value Entry","17 Sales Amount (Actual)","41 Source Type",$C$5,"5 Source no.",$C666,"4 Item Ledger Entry Type",$C$4,"2 Item No.","@@"&amp;$F666,"3 Posting Date",Z$9)</t>
  </si>
  <si>
    <t>=-NL("Sum","5802 Value Entry","151 Cost Amount (Expected)","41 Source Type",$C$5,"5 Source No.",$C666,"4 Item Ledger Entry Type",$C$4,"2 Item No.","@@"&amp;$F666,"3 Posting Date",Z$9)-NL("Sum","5802 Value Entry","43 Cost Amount (Actual)","41 Source Type",$C$5,"5 Source no.",$C666,"4 Item Ledger Entry Type",$C$4,"2 Item No.","@@"&amp;$F666,"3 Posting Date",Z$9)</t>
  </si>
  <si>
    <t>=Z666-AB666</t>
  </si>
  <si>
    <t>=IF(Z666&lt;&gt;0,AC666/Z666,"")</t>
  </si>
  <si>
    <t>=C666</t>
  </si>
  <si>
    <t>=NL("Sum","5802 Value Entry","150 Sales Amount (Expected)","41 Source Type",$C$5,"5 Source No.",$C667,"4 Item Ledger Entry Type",$C$4,"2 Item No.","@@"&amp;$F667,"3 Posting Date",J$9)+NL("Sum","5802 Value Entry","17 Sales Amount (Actual)","41 Source Type",$C$5,"5 Source no.",$C667,"4 Item Ledger Entry Type",$C$4,"2 Item No.","@@"&amp;$F667,"3 Posting Date",J$9)</t>
  </si>
  <si>
    <t>=-NL("Sum","5802 Value Entry","151 Cost Amount (Expected)","41 Source Type",$C$5,"5 Source No.",$C667,"4 Item Ledger Entry Type",$C$4,"2 Item No.","@@"&amp;$F667,"3 Posting Date",J$9)-NL("Sum","5802 Value Entry","43 Cost Amount (Actual)","41 Source Type",$C$5,"5 Source no.",$C667,"4 Item Ledger Entry Type",$C$4,"2 Item No.","@@"&amp;$F667,"3 Posting Date",J$9)</t>
  </si>
  <si>
    <t>=J667-L667</t>
  </si>
  <si>
    <t>=IF(J667&lt;&gt;0,M667/J667,"")</t>
  </si>
  <si>
    <t>=NL("Sum","5802 Value Entry","150 Sales Amount (Expected)","41 Source Type",$C$5,"5 Source No.",$C667,"4 Item Ledger Entry Type",$C$4,"2 Item No.","@@"&amp;$F667,"3 Posting Date",O$9)+NL("Sum","5802 Value Entry","17 Sales Amount (Actual)","41 Source Type",$C$5,"5 Source no.",$C667,"4 Item Ledger Entry Type",$C$4,"2 Item No.","@@"&amp;$F667,"3 Posting Date",O$9)</t>
  </si>
  <si>
    <t>=-NL("Sum","5802 Value Entry","151 Cost Amount (Expected)","41 Source Type",$C$5,"5 Source No.",$C667,"4 Item Ledger Entry Type",$C$4,"2 Item No.","@@"&amp;$F667,"3 Posting Date",O$9)-NL("Sum","5802 Value Entry","43 Cost Amount (Actual)","41 Source Type",$C$5,"5 Source no.",$C667,"4 Item Ledger Entry Type",$C$4,"2 Item No.","@@"&amp;$F667,"3 Posting Date",O$9)</t>
  </si>
  <si>
    <t>=O667-Q667</t>
  </si>
  <si>
    <t>=IF(O667&lt;&gt;0,R667/O667,"")</t>
  </si>
  <si>
    <t>=NL("Sum","5802 Value Entry","150 Sales Amount (Expected)","41 Source Type",$C$5,"5 Source No.",$C667,"4 Item Ledger Entry Type",$C$4,"2 Item No.","@@"&amp;$F667,"3 Posting Date",U$9)+NL("Sum","5802 Value Entry","17 Sales Amount (Actual)","41 Source Type",$C$5,"5 Source no.",$C667,"4 Item Ledger Entry Type",$C$4,"2 Item No.","@@"&amp;$F667,"3 Posting Date",U$9)</t>
  </si>
  <si>
    <t>=-NL("Sum","5802 Value Entry","151 Cost Amount (Expected)","41 Source Type",$C$5,"5 Source No.",$C667,"4 Item Ledger Entry Type",$C$4,"2 Item No.","@@"&amp;$F667,"3 Posting Date",U$9)-NL("Sum","5802 Value Entry","43 Cost Amount (Actual)","41 Source Type",$C$5,"5 Source no.",$C667,"4 Item Ledger Entry Type",$C$4,"2 Item No.","@@"&amp;$F667,"3 Posting Date",U$9)</t>
  </si>
  <si>
    <t>=U667-W667</t>
  </si>
  <si>
    <t>=IF(U667&lt;&gt;0,X667/U667,"")</t>
  </si>
  <si>
    <t>=NL("Sum","5802 Value Entry","150 Sales Amount (Expected)","41 Source Type",$C$5,"5 Source No.",$C667,"4 Item Ledger Entry Type",$C$4,"2 Item No.","@@"&amp;$F667,"3 Posting Date",Z$9)+NL("Sum","5802 Value Entry","17 Sales Amount (Actual)","41 Source Type",$C$5,"5 Source no.",$C667,"4 Item Ledger Entry Type",$C$4,"2 Item No.","@@"&amp;$F667,"3 Posting Date",Z$9)</t>
  </si>
  <si>
    <t>=-NL("Sum","5802 Value Entry","151 Cost Amount (Expected)","41 Source Type",$C$5,"5 Source No.",$C667,"4 Item Ledger Entry Type",$C$4,"2 Item No.","@@"&amp;$F667,"3 Posting Date",Z$9)-NL("Sum","5802 Value Entry","43 Cost Amount (Actual)","41 Source Type",$C$5,"5 Source no.",$C667,"4 Item Ledger Entry Type",$C$4,"2 Item No.","@@"&amp;$F667,"3 Posting Date",Z$9)</t>
  </si>
  <si>
    <t>=Z667-AB667</t>
  </si>
  <si>
    <t>=IF(Z667&lt;&gt;0,AC667/Z667,"")</t>
  </si>
  <si>
    <t>=C667</t>
  </si>
  <si>
    <t>=NL("Sum","5802 Value Entry","150 Sales Amount (Expected)","41 Source Type",$C$5,"5 Source No.",$C668,"4 Item Ledger Entry Type",$C$4,"2 Item No.","@@"&amp;$F668,"3 Posting Date",J$9)+NL("Sum","5802 Value Entry","17 Sales Amount (Actual)","41 Source Type",$C$5,"5 Source no.",$C668,"4 Item Ledger Entry Type",$C$4,"2 Item No.","@@"&amp;$F668,"3 Posting Date",J$9)</t>
  </si>
  <si>
    <t>=-NL("Sum","5802 Value Entry","151 Cost Amount (Expected)","41 Source Type",$C$5,"5 Source No.",$C668,"4 Item Ledger Entry Type",$C$4,"2 Item No.","@@"&amp;$F668,"3 Posting Date",J$9)-NL("Sum","5802 Value Entry","43 Cost Amount (Actual)","41 Source Type",$C$5,"5 Source no.",$C668,"4 Item Ledger Entry Type",$C$4,"2 Item No.","@@"&amp;$F668,"3 Posting Date",J$9)</t>
  </si>
  <si>
    <t>=J668-L668</t>
  </si>
  <si>
    <t>=IF(J668&lt;&gt;0,M668/J668,"")</t>
  </si>
  <si>
    <t>=NL("Sum","5802 Value Entry","150 Sales Amount (Expected)","41 Source Type",$C$5,"5 Source No.",$C668,"4 Item Ledger Entry Type",$C$4,"2 Item No.","@@"&amp;$F668,"3 Posting Date",O$9)+NL("Sum","5802 Value Entry","17 Sales Amount (Actual)","41 Source Type",$C$5,"5 Source no.",$C668,"4 Item Ledger Entry Type",$C$4,"2 Item No.","@@"&amp;$F668,"3 Posting Date",O$9)</t>
  </si>
  <si>
    <t>=-NL("Sum","5802 Value Entry","151 Cost Amount (Expected)","41 Source Type",$C$5,"5 Source No.",$C668,"4 Item Ledger Entry Type",$C$4,"2 Item No.","@@"&amp;$F668,"3 Posting Date",O$9)-NL("Sum","5802 Value Entry","43 Cost Amount (Actual)","41 Source Type",$C$5,"5 Source no.",$C668,"4 Item Ledger Entry Type",$C$4,"2 Item No.","@@"&amp;$F668,"3 Posting Date",O$9)</t>
  </si>
  <si>
    <t>=O668-Q668</t>
  </si>
  <si>
    <t>=IF(O668&lt;&gt;0,R668/O668,"")</t>
  </si>
  <si>
    <t>=NL("Sum","5802 Value Entry","150 Sales Amount (Expected)","41 Source Type",$C$5,"5 Source No.",$C668,"4 Item Ledger Entry Type",$C$4,"2 Item No.","@@"&amp;$F668,"3 Posting Date",U$9)+NL("Sum","5802 Value Entry","17 Sales Amount (Actual)","41 Source Type",$C$5,"5 Source no.",$C668,"4 Item Ledger Entry Type",$C$4,"2 Item No.","@@"&amp;$F668,"3 Posting Date",U$9)</t>
  </si>
  <si>
    <t>=-NL("Sum","5802 Value Entry","151 Cost Amount (Expected)","41 Source Type",$C$5,"5 Source No.",$C668,"4 Item Ledger Entry Type",$C$4,"2 Item No.","@@"&amp;$F668,"3 Posting Date",U$9)-NL("Sum","5802 Value Entry","43 Cost Amount (Actual)","41 Source Type",$C$5,"5 Source no.",$C668,"4 Item Ledger Entry Type",$C$4,"2 Item No.","@@"&amp;$F668,"3 Posting Date",U$9)</t>
  </si>
  <si>
    <t>=U668-W668</t>
  </si>
  <si>
    <t>=IF(U668&lt;&gt;0,X668/U668,"")</t>
  </si>
  <si>
    <t>=NL("Sum","5802 Value Entry","150 Sales Amount (Expected)","41 Source Type",$C$5,"5 Source No.",$C668,"4 Item Ledger Entry Type",$C$4,"2 Item No.","@@"&amp;$F668,"3 Posting Date",Z$9)+NL("Sum","5802 Value Entry","17 Sales Amount (Actual)","41 Source Type",$C$5,"5 Source no.",$C668,"4 Item Ledger Entry Type",$C$4,"2 Item No.","@@"&amp;$F668,"3 Posting Date",Z$9)</t>
  </si>
  <si>
    <t>=-NL("Sum","5802 Value Entry","151 Cost Amount (Expected)","41 Source Type",$C$5,"5 Source No.",$C668,"4 Item Ledger Entry Type",$C$4,"2 Item No.","@@"&amp;$F668,"3 Posting Date",Z$9)-NL("Sum","5802 Value Entry","43 Cost Amount (Actual)","41 Source Type",$C$5,"5 Source no.",$C668,"4 Item Ledger Entry Type",$C$4,"2 Item No.","@@"&amp;$F668,"3 Posting Date",Z$9)</t>
  </si>
  <si>
    <t>=Z668-AB668</t>
  </si>
  <si>
    <t>=IF(Z668&lt;&gt;0,AC668/Z668,"")</t>
  </si>
  <si>
    <t>=C668</t>
  </si>
  <si>
    <t>=NL("Sum","5802 Value Entry","150 Sales Amount (Expected)","41 Source Type",$C$5,"5 Source No.",$C669,"4 Item Ledger Entry Type",$C$4,"2 Item No.","@@"&amp;$F669,"3 Posting Date",J$9)+NL("Sum","5802 Value Entry","17 Sales Amount (Actual)","41 Source Type",$C$5,"5 Source no.",$C669,"4 Item Ledger Entry Type",$C$4,"2 Item No.","@@"&amp;$F669,"3 Posting Date",J$9)</t>
  </si>
  <si>
    <t>=-NL("Sum","5802 Value Entry","151 Cost Amount (Expected)","41 Source Type",$C$5,"5 Source No.",$C669,"4 Item Ledger Entry Type",$C$4,"2 Item No.","@@"&amp;$F669,"3 Posting Date",J$9)-NL("Sum","5802 Value Entry","43 Cost Amount (Actual)","41 Source Type",$C$5,"5 Source no.",$C669,"4 Item Ledger Entry Type",$C$4,"2 Item No.","@@"&amp;$F669,"3 Posting Date",J$9)</t>
  </si>
  <si>
    <t>=J669-L669</t>
  </si>
  <si>
    <t>=IF(J669&lt;&gt;0,M669/J669,"")</t>
  </si>
  <si>
    <t>=NL("Sum","5802 Value Entry","150 Sales Amount (Expected)","41 Source Type",$C$5,"5 Source No.",$C669,"4 Item Ledger Entry Type",$C$4,"2 Item No.","@@"&amp;$F669,"3 Posting Date",O$9)+NL("Sum","5802 Value Entry","17 Sales Amount (Actual)","41 Source Type",$C$5,"5 Source no.",$C669,"4 Item Ledger Entry Type",$C$4,"2 Item No.","@@"&amp;$F669,"3 Posting Date",O$9)</t>
  </si>
  <si>
    <t>=-NL("Sum","5802 Value Entry","151 Cost Amount (Expected)","41 Source Type",$C$5,"5 Source No.",$C669,"4 Item Ledger Entry Type",$C$4,"2 Item No.","@@"&amp;$F669,"3 Posting Date",O$9)-NL("Sum","5802 Value Entry","43 Cost Amount (Actual)","41 Source Type",$C$5,"5 Source no.",$C669,"4 Item Ledger Entry Type",$C$4,"2 Item No.","@@"&amp;$F669,"3 Posting Date",O$9)</t>
  </si>
  <si>
    <t>=O669-Q669</t>
  </si>
  <si>
    <t>=IF(O669&lt;&gt;0,R669/O669,"")</t>
  </si>
  <si>
    <t>=NL("Sum","5802 Value Entry","150 Sales Amount (Expected)","41 Source Type",$C$5,"5 Source No.",$C669,"4 Item Ledger Entry Type",$C$4,"2 Item No.","@@"&amp;$F669,"3 Posting Date",U$9)+NL("Sum","5802 Value Entry","17 Sales Amount (Actual)","41 Source Type",$C$5,"5 Source no.",$C669,"4 Item Ledger Entry Type",$C$4,"2 Item No.","@@"&amp;$F669,"3 Posting Date",U$9)</t>
  </si>
  <si>
    <t>=-NL("Sum","5802 Value Entry","151 Cost Amount (Expected)","41 Source Type",$C$5,"5 Source No.",$C669,"4 Item Ledger Entry Type",$C$4,"2 Item No.","@@"&amp;$F669,"3 Posting Date",U$9)-NL("Sum","5802 Value Entry","43 Cost Amount (Actual)","41 Source Type",$C$5,"5 Source no.",$C669,"4 Item Ledger Entry Type",$C$4,"2 Item No.","@@"&amp;$F669,"3 Posting Date",U$9)</t>
  </si>
  <si>
    <t>=U669-W669</t>
  </si>
  <si>
    <t>=IF(U669&lt;&gt;0,X669/U669,"")</t>
  </si>
  <si>
    <t>=NL("Sum","5802 Value Entry","150 Sales Amount (Expected)","41 Source Type",$C$5,"5 Source No.",$C669,"4 Item Ledger Entry Type",$C$4,"2 Item No.","@@"&amp;$F669,"3 Posting Date",Z$9)+NL("Sum","5802 Value Entry","17 Sales Amount (Actual)","41 Source Type",$C$5,"5 Source no.",$C669,"4 Item Ledger Entry Type",$C$4,"2 Item No.","@@"&amp;$F669,"3 Posting Date",Z$9)</t>
  </si>
  <si>
    <t>=-NL("Sum","5802 Value Entry","151 Cost Amount (Expected)","41 Source Type",$C$5,"5 Source No.",$C669,"4 Item Ledger Entry Type",$C$4,"2 Item No.","@@"&amp;$F669,"3 Posting Date",Z$9)-NL("Sum","5802 Value Entry","43 Cost Amount (Actual)","41 Source Type",$C$5,"5 Source no.",$C669,"4 Item Ledger Entry Type",$C$4,"2 Item No.","@@"&amp;$F669,"3 Posting Date",Z$9)</t>
  </si>
  <si>
    <t>=Z669-AB669</t>
  </si>
  <si>
    <t>=IF(Z669&lt;&gt;0,AC669/Z669,"")</t>
  </si>
  <si>
    <t>=C669</t>
  </si>
  <si>
    <t>=NL("Sum","5802 Value Entry","150 Sales Amount (Expected)","41 Source Type",$C$5,"5 Source No.",$C670,"4 Item Ledger Entry Type",$C$4,"2 Item No.","@@"&amp;$F670,"3 Posting Date",J$9)+NL("Sum","5802 Value Entry","17 Sales Amount (Actual)","41 Source Type",$C$5,"5 Source no.",$C670,"4 Item Ledger Entry Type",$C$4,"2 Item No.","@@"&amp;$F670,"3 Posting Date",J$9)</t>
  </si>
  <si>
    <t>=-NL("Sum","5802 Value Entry","151 Cost Amount (Expected)","41 Source Type",$C$5,"5 Source No.",$C670,"4 Item Ledger Entry Type",$C$4,"2 Item No.","@@"&amp;$F670,"3 Posting Date",J$9)-NL("Sum","5802 Value Entry","43 Cost Amount (Actual)","41 Source Type",$C$5,"5 Source no.",$C670,"4 Item Ledger Entry Type",$C$4,"2 Item No.","@@"&amp;$F670,"3 Posting Date",J$9)</t>
  </si>
  <si>
    <t>=J670-L670</t>
  </si>
  <si>
    <t>=IF(J670&lt;&gt;0,M670/J670,"")</t>
  </si>
  <si>
    <t>=NL("Sum","5802 Value Entry","150 Sales Amount (Expected)","41 Source Type",$C$5,"5 Source No.",$C670,"4 Item Ledger Entry Type",$C$4,"2 Item No.","@@"&amp;$F670,"3 Posting Date",O$9)+NL("Sum","5802 Value Entry","17 Sales Amount (Actual)","41 Source Type",$C$5,"5 Source no.",$C670,"4 Item Ledger Entry Type",$C$4,"2 Item No.","@@"&amp;$F670,"3 Posting Date",O$9)</t>
  </si>
  <si>
    <t>=-NL("Sum","5802 Value Entry","151 Cost Amount (Expected)","41 Source Type",$C$5,"5 Source No.",$C670,"4 Item Ledger Entry Type",$C$4,"2 Item No.","@@"&amp;$F670,"3 Posting Date",O$9)-NL("Sum","5802 Value Entry","43 Cost Amount (Actual)","41 Source Type",$C$5,"5 Source no.",$C670,"4 Item Ledger Entry Type",$C$4,"2 Item No.","@@"&amp;$F670,"3 Posting Date",O$9)</t>
  </si>
  <si>
    <t>=O670-Q670</t>
  </si>
  <si>
    <t>=IF(O670&lt;&gt;0,R670/O670,"")</t>
  </si>
  <si>
    <t>=NL("Sum","5802 Value Entry","150 Sales Amount (Expected)","41 Source Type",$C$5,"5 Source No.",$C670,"4 Item Ledger Entry Type",$C$4,"2 Item No.","@@"&amp;$F670,"3 Posting Date",U$9)+NL("Sum","5802 Value Entry","17 Sales Amount (Actual)","41 Source Type",$C$5,"5 Source no.",$C670,"4 Item Ledger Entry Type",$C$4,"2 Item No.","@@"&amp;$F670,"3 Posting Date",U$9)</t>
  </si>
  <si>
    <t>=-NL("Sum","5802 Value Entry","151 Cost Amount (Expected)","41 Source Type",$C$5,"5 Source No.",$C670,"4 Item Ledger Entry Type",$C$4,"2 Item No.","@@"&amp;$F670,"3 Posting Date",U$9)-NL("Sum","5802 Value Entry","43 Cost Amount (Actual)","41 Source Type",$C$5,"5 Source no.",$C670,"4 Item Ledger Entry Type",$C$4,"2 Item No.","@@"&amp;$F670,"3 Posting Date",U$9)</t>
  </si>
  <si>
    <t>=U670-W670</t>
  </si>
  <si>
    <t>=IF(U670&lt;&gt;0,X670/U670,"")</t>
  </si>
  <si>
    <t>=NL("Sum","5802 Value Entry","150 Sales Amount (Expected)","41 Source Type",$C$5,"5 Source No.",$C670,"4 Item Ledger Entry Type",$C$4,"2 Item No.","@@"&amp;$F670,"3 Posting Date",Z$9)+NL("Sum","5802 Value Entry","17 Sales Amount (Actual)","41 Source Type",$C$5,"5 Source no.",$C670,"4 Item Ledger Entry Type",$C$4,"2 Item No.","@@"&amp;$F670,"3 Posting Date",Z$9)</t>
  </si>
  <si>
    <t>=-NL("Sum","5802 Value Entry","151 Cost Amount (Expected)","41 Source Type",$C$5,"5 Source No.",$C670,"4 Item Ledger Entry Type",$C$4,"2 Item No.","@@"&amp;$F670,"3 Posting Date",Z$9)-NL("Sum","5802 Value Entry","43 Cost Amount (Actual)","41 Source Type",$C$5,"5 Source no.",$C670,"4 Item Ledger Entry Type",$C$4,"2 Item No.","@@"&amp;$F670,"3 Posting Date",Z$9)</t>
  </si>
  <si>
    <t>=Z670-AB670</t>
  </si>
  <si>
    <t>=IF(Z670&lt;&gt;0,AC670/Z670,"")</t>
  </si>
  <si>
    <t>=C670</t>
  </si>
  <si>
    <t>=NL("Sum","5802 Value Entry","150 Sales Amount (Expected)","41 Source Type",$C$5,"5 Source No.",$C671,"4 Item Ledger Entry Type",$C$4,"2 Item No.","@@"&amp;$F671,"3 Posting Date",J$9)+NL("Sum","5802 Value Entry","17 Sales Amount (Actual)","41 Source Type",$C$5,"5 Source no.",$C671,"4 Item Ledger Entry Type",$C$4,"2 Item No.","@@"&amp;$F671,"3 Posting Date",J$9)</t>
  </si>
  <si>
    <t>=-NL("Sum","5802 Value Entry","151 Cost Amount (Expected)","41 Source Type",$C$5,"5 Source No.",$C671,"4 Item Ledger Entry Type",$C$4,"2 Item No.","@@"&amp;$F671,"3 Posting Date",J$9)-NL("Sum","5802 Value Entry","43 Cost Amount (Actual)","41 Source Type",$C$5,"5 Source no.",$C671,"4 Item Ledger Entry Type",$C$4,"2 Item No.","@@"&amp;$F671,"3 Posting Date",J$9)</t>
  </si>
  <si>
    <t>=J671-L671</t>
  </si>
  <si>
    <t>=IF(J671&lt;&gt;0,M671/J671,"")</t>
  </si>
  <si>
    <t>=NL("Sum","5802 Value Entry","150 Sales Amount (Expected)","41 Source Type",$C$5,"5 Source No.",$C671,"4 Item Ledger Entry Type",$C$4,"2 Item No.","@@"&amp;$F671,"3 Posting Date",O$9)+NL("Sum","5802 Value Entry","17 Sales Amount (Actual)","41 Source Type",$C$5,"5 Source no.",$C671,"4 Item Ledger Entry Type",$C$4,"2 Item No.","@@"&amp;$F671,"3 Posting Date",O$9)</t>
  </si>
  <si>
    <t>=-NL("Sum","5802 Value Entry","151 Cost Amount (Expected)","41 Source Type",$C$5,"5 Source No.",$C671,"4 Item Ledger Entry Type",$C$4,"2 Item No.","@@"&amp;$F671,"3 Posting Date",O$9)-NL("Sum","5802 Value Entry","43 Cost Amount (Actual)","41 Source Type",$C$5,"5 Source no.",$C671,"4 Item Ledger Entry Type",$C$4,"2 Item No.","@@"&amp;$F671,"3 Posting Date",O$9)</t>
  </si>
  <si>
    <t>=O671-Q671</t>
  </si>
  <si>
    <t>=IF(O671&lt;&gt;0,R671/O671,"")</t>
  </si>
  <si>
    <t>=NL("Sum","5802 Value Entry","150 Sales Amount (Expected)","41 Source Type",$C$5,"5 Source No.",$C671,"4 Item Ledger Entry Type",$C$4,"2 Item No.","@@"&amp;$F671,"3 Posting Date",U$9)+NL("Sum","5802 Value Entry","17 Sales Amount (Actual)","41 Source Type",$C$5,"5 Source no.",$C671,"4 Item Ledger Entry Type",$C$4,"2 Item No.","@@"&amp;$F671,"3 Posting Date",U$9)</t>
  </si>
  <si>
    <t>=-NL("Sum","5802 Value Entry","151 Cost Amount (Expected)","41 Source Type",$C$5,"5 Source No.",$C671,"4 Item Ledger Entry Type",$C$4,"2 Item No.","@@"&amp;$F671,"3 Posting Date",U$9)-NL("Sum","5802 Value Entry","43 Cost Amount (Actual)","41 Source Type",$C$5,"5 Source no.",$C671,"4 Item Ledger Entry Type",$C$4,"2 Item No.","@@"&amp;$F671,"3 Posting Date",U$9)</t>
  </si>
  <si>
    <t>=U671-W671</t>
  </si>
  <si>
    <t>=IF(U671&lt;&gt;0,X671/U671,"")</t>
  </si>
  <si>
    <t>=NL("Sum","5802 Value Entry","150 Sales Amount (Expected)","41 Source Type",$C$5,"5 Source No.",$C671,"4 Item Ledger Entry Type",$C$4,"2 Item No.","@@"&amp;$F671,"3 Posting Date",Z$9)+NL("Sum","5802 Value Entry","17 Sales Amount (Actual)","41 Source Type",$C$5,"5 Source no.",$C671,"4 Item Ledger Entry Type",$C$4,"2 Item No.","@@"&amp;$F671,"3 Posting Date",Z$9)</t>
  </si>
  <si>
    <t>=-NL("Sum","5802 Value Entry","151 Cost Amount (Expected)","41 Source Type",$C$5,"5 Source No.",$C671,"4 Item Ledger Entry Type",$C$4,"2 Item No.","@@"&amp;$F671,"3 Posting Date",Z$9)-NL("Sum","5802 Value Entry","43 Cost Amount (Actual)","41 Source Type",$C$5,"5 Source no.",$C671,"4 Item Ledger Entry Type",$C$4,"2 Item No.","@@"&amp;$F671,"3 Posting Date",Z$9)</t>
  </si>
  <si>
    <t>=Z671-AB671</t>
  </si>
  <si>
    <t>=IF(Z671&lt;&gt;0,AC671/Z671,"")</t>
  </si>
  <si>
    <t>=C671</t>
  </si>
  <si>
    <t>=NL("Sum","5802 Value Entry","150 Sales Amount (Expected)","41 Source Type",$C$5,"5 Source No.",$C672,"4 Item Ledger Entry Type",$C$4,"2 Item No.","@@"&amp;$F672,"3 Posting Date",J$9)+NL("Sum","5802 Value Entry","17 Sales Amount (Actual)","41 Source Type",$C$5,"5 Source no.",$C672,"4 Item Ledger Entry Type",$C$4,"2 Item No.","@@"&amp;$F672,"3 Posting Date",J$9)</t>
  </si>
  <si>
    <t>=-NL("Sum","5802 Value Entry","151 Cost Amount (Expected)","41 Source Type",$C$5,"5 Source No.",$C672,"4 Item Ledger Entry Type",$C$4,"2 Item No.","@@"&amp;$F672,"3 Posting Date",J$9)-NL("Sum","5802 Value Entry","43 Cost Amount (Actual)","41 Source Type",$C$5,"5 Source no.",$C672,"4 Item Ledger Entry Type",$C$4,"2 Item No.","@@"&amp;$F672,"3 Posting Date",J$9)</t>
  </si>
  <si>
    <t>=J672-L672</t>
  </si>
  <si>
    <t>=IF(J672&lt;&gt;0,M672/J672,"")</t>
  </si>
  <si>
    <t>=NL("Sum","5802 Value Entry","150 Sales Amount (Expected)","41 Source Type",$C$5,"5 Source No.",$C672,"4 Item Ledger Entry Type",$C$4,"2 Item No.","@@"&amp;$F672,"3 Posting Date",O$9)+NL("Sum","5802 Value Entry","17 Sales Amount (Actual)","41 Source Type",$C$5,"5 Source no.",$C672,"4 Item Ledger Entry Type",$C$4,"2 Item No.","@@"&amp;$F672,"3 Posting Date",O$9)</t>
  </si>
  <si>
    <t>=-NL("Sum","5802 Value Entry","151 Cost Amount (Expected)","41 Source Type",$C$5,"5 Source No.",$C672,"4 Item Ledger Entry Type",$C$4,"2 Item No.","@@"&amp;$F672,"3 Posting Date",O$9)-NL("Sum","5802 Value Entry","43 Cost Amount (Actual)","41 Source Type",$C$5,"5 Source no.",$C672,"4 Item Ledger Entry Type",$C$4,"2 Item No.","@@"&amp;$F672,"3 Posting Date",O$9)</t>
  </si>
  <si>
    <t>=O672-Q672</t>
  </si>
  <si>
    <t>=IF(O672&lt;&gt;0,R672/O672,"")</t>
  </si>
  <si>
    <t>=NL("Sum","5802 Value Entry","150 Sales Amount (Expected)","41 Source Type",$C$5,"5 Source No.",$C672,"4 Item Ledger Entry Type",$C$4,"2 Item No.","@@"&amp;$F672,"3 Posting Date",U$9)+NL("Sum","5802 Value Entry","17 Sales Amount (Actual)","41 Source Type",$C$5,"5 Source no.",$C672,"4 Item Ledger Entry Type",$C$4,"2 Item No.","@@"&amp;$F672,"3 Posting Date",U$9)</t>
  </si>
  <si>
    <t>=-NL("Sum","5802 Value Entry","151 Cost Amount (Expected)","41 Source Type",$C$5,"5 Source No.",$C672,"4 Item Ledger Entry Type",$C$4,"2 Item No.","@@"&amp;$F672,"3 Posting Date",U$9)-NL("Sum","5802 Value Entry","43 Cost Amount (Actual)","41 Source Type",$C$5,"5 Source no.",$C672,"4 Item Ledger Entry Type",$C$4,"2 Item No.","@@"&amp;$F672,"3 Posting Date",U$9)</t>
  </si>
  <si>
    <t>=U672-W672</t>
  </si>
  <si>
    <t>=IF(U672&lt;&gt;0,X672/U672,"")</t>
  </si>
  <si>
    <t>=NL("Sum","5802 Value Entry","150 Sales Amount (Expected)","41 Source Type",$C$5,"5 Source No.",$C672,"4 Item Ledger Entry Type",$C$4,"2 Item No.","@@"&amp;$F672,"3 Posting Date",Z$9)+NL("Sum","5802 Value Entry","17 Sales Amount (Actual)","41 Source Type",$C$5,"5 Source no.",$C672,"4 Item Ledger Entry Type",$C$4,"2 Item No.","@@"&amp;$F672,"3 Posting Date",Z$9)</t>
  </si>
  <si>
    <t>=-NL("Sum","5802 Value Entry","151 Cost Amount (Expected)","41 Source Type",$C$5,"5 Source No.",$C672,"4 Item Ledger Entry Type",$C$4,"2 Item No.","@@"&amp;$F672,"3 Posting Date",Z$9)-NL("Sum","5802 Value Entry","43 Cost Amount (Actual)","41 Source Type",$C$5,"5 Source no.",$C672,"4 Item Ledger Entry Type",$C$4,"2 Item No.","@@"&amp;$F672,"3 Posting Date",Z$9)</t>
  </si>
  <si>
    <t>=Z672-AB672</t>
  </si>
  <si>
    <t>=IF(Z672&lt;&gt;0,AC672/Z672,"")</t>
  </si>
  <si>
    <t>=C672</t>
  </si>
  <si>
    <t>=NL("Sum","5802 Value Entry","150 Sales Amount (Expected)","41 Source Type",$C$5,"5 Source No.",$C673,"4 Item Ledger Entry Type",$C$4,"2 Item No.","@@"&amp;$F673,"3 Posting Date",J$9)+NL("Sum","5802 Value Entry","17 Sales Amount (Actual)","41 Source Type",$C$5,"5 Source no.",$C673,"4 Item Ledger Entry Type",$C$4,"2 Item No.","@@"&amp;$F673,"3 Posting Date",J$9)</t>
  </si>
  <si>
    <t>=-NL("Sum","5802 Value Entry","151 Cost Amount (Expected)","41 Source Type",$C$5,"5 Source No.",$C673,"4 Item Ledger Entry Type",$C$4,"2 Item No.","@@"&amp;$F673,"3 Posting Date",J$9)-NL("Sum","5802 Value Entry","43 Cost Amount (Actual)","41 Source Type",$C$5,"5 Source no.",$C673,"4 Item Ledger Entry Type",$C$4,"2 Item No.","@@"&amp;$F673,"3 Posting Date",J$9)</t>
  </si>
  <si>
    <t>=J673-L673</t>
  </si>
  <si>
    <t>=IF(J673&lt;&gt;0,M673/J673,"")</t>
  </si>
  <si>
    <t>=NL("Sum","5802 Value Entry","150 Sales Amount (Expected)","41 Source Type",$C$5,"5 Source No.",$C673,"4 Item Ledger Entry Type",$C$4,"2 Item No.","@@"&amp;$F673,"3 Posting Date",O$9)+NL("Sum","5802 Value Entry","17 Sales Amount (Actual)","41 Source Type",$C$5,"5 Source no.",$C673,"4 Item Ledger Entry Type",$C$4,"2 Item No.","@@"&amp;$F673,"3 Posting Date",O$9)</t>
  </si>
  <si>
    <t>=-NL("Sum","5802 Value Entry","151 Cost Amount (Expected)","41 Source Type",$C$5,"5 Source No.",$C673,"4 Item Ledger Entry Type",$C$4,"2 Item No.","@@"&amp;$F673,"3 Posting Date",O$9)-NL("Sum","5802 Value Entry","43 Cost Amount (Actual)","41 Source Type",$C$5,"5 Source no.",$C673,"4 Item Ledger Entry Type",$C$4,"2 Item No.","@@"&amp;$F673,"3 Posting Date",O$9)</t>
  </si>
  <si>
    <t>=O673-Q673</t>
  </si>
  <si>
    <t>=IF(O673&lt;&gt;0,R673/O673,"")</t>
  </si>
  <si>
    <t>=NL("Sum","5802 Value Entry","150 Sales Amount (Expected)","41 Source Type",$C$5,"5 Source No.",$C673,"4 Item Ledger Entry Type",$C$4,"2 Item No.","@@"&amp;$F673,"3 Posting Date",U$9)+NL("Sum","5802 Value Entry","17 Sales Amount (Actual)","41 Source Type",$C$5,"5 Source no.",$C673,"4 Item Ledger Entry Type",$C$4,"2 Item No.","@@"&amp;$F673,"3 Posting Date",U$9)</t>
  </si>
  <si>
    <t>=-NL("Sum","5802 Value Entry","151 Cost Amount (Expected)","41 Source Type",$C$5,"5 Source No.",$C673,"4 Item Ledger Entry Type",$C$4,"2 Item No.","@@"&amp;$F673,"3 Posting Date",U$9)-NL("Sum","5802 Value Entry","43 Cost Amount (Actual)","41 Source Type",$C$5,"5 Source no.",$C673,"4 Item Ledger Entry Type",$C$4,"2 Item No.","@@"&amp;$F673,"3 Posting Date",U$9)</t>
  </si>
  <si>
    <t>=U673-W673</t>
  </si>
  <si>
    <t>=IF(U673&lt;&gt;0,X673/U673,"")</t>
  </si>
  <si>
    <t>=NL("Sum","5802 Value Entry","150 Sales Amount (Expected)","41 Source Type",$C$5,"5 Source No.",$C673,"4 Item Ledger Entry Type",$C$4,"2 Item No.","@@"&amp;$F673,"3 Posting Date",Z$9)+NL("Sum","5802 Value Entry","17 Sales Amount (Actual)","41 Source Type",$C$5,"5 Source no.",$C673,"4 Item Ledger Entry Type",$C$4,"2 Item No.","@@"&amp;$F673,"3 Posting Date",Z$9)</t>
  </si>
  <si>
    <t>=-NL("Sum","5802 Value Entry","151 Cost Amount (Expected)","41 Source Type",$C$5,"5 Source No.",$C673,"4 Item Ledger Entry Type",$C$4,"2 Item No.","@@"&amp;$F673,"3 Posting Date",Z$9)-NL("Sum","5802 Value Entry","43 Cost Amount (Actual)","41 Source Type",$C$5,"5 Source no.",$C673,"4 Item Ledger Entry Type",$C$4,"2 Item No.","@@"&amp;$F673,"3 Posting Date",Z$9)</t>
  </si>
  <si>
    <t>=Z673-AB673</t>
  </si>
  <si>
    <t>=IF(Z673&lt;&gt;0,AC673/Z673,"")</t>
  </si>
  <si>
    <t>=C673</t>
  </si>
  <si>
    <t>=NL("Sum","5802 Value Entry","150 Sales Amount (Expected)","41 Source Type",$C$5,"5 Source No.",$C674,"4 Item Ledger Entry Type",$C$4,"2 Item No.","@@"&amp;$F674,"3 Posting Date",J$9)+NL("Sum","5802 Value Entry","17 Sales Amount (Actual)","41 Source Type",$C$5,"5 Source no.",$C674,"4 Item Ledger Entry Type",$C$4,"2 Item No.","@@"&amp;$F674,"3 Posting Date",J$9)</t>
  </si>
  <si>
    <t>=-NL("Sum","5802 Value Entry","151 Cost Amount (Expected)","41 Source Type",$C$5,"5 Source No.",$C674,"4 Item Ledger Entry Type",$C$4,"2 Item No.","@@"&amp;$F674,"3 Posting Date",J$9)-NL("Sum","5802 Value Entry","43 Cost Amount (Actual)","41 Source Type",$C$5,"5 Source no.",$C674,"4 Item Ledger Entry Type",$C$4,"2 Item No.","@@"&amp;$F674,"3 Posting Date",J$9)</t>
  </si>
  <si>
    <t>=J674-L674</t>
  </si>
  <si>
    <t>=IF(J674&lt;&gt;0,M674/J674,"")</t>
  </si>
  <si>
    <t>=NL("Sum","5802 Value Entry","150 Sales Amount (Expected)","41 Source Type",$C$5,"5 Source No.",$C674,"4 Item Ledger Entry Type",$C$4,"2 Item No.","@@"&amp;$F674,"3 Posting Date",O$9)+NL("Sum","5802 Value Entry","17 Sales Amount (Actual)","41 Source Type",$C$5,"5 Source no.",$C674,"4 Item Ledger Entry Type",$C$4,"2 Item No.","@@"&amp;$F674,"3 Posting Date",O$9)</t>
  </si>
  <si>
    <t>=-NL("Sum","5802 Value Entry","151 Cost Amount (Expected)","41 Source Type",$C$5,"5 Source No.",$C674,"4 Item Ledger Entry Type",$C$4,"2 Item No.","@@"&amp;$F674,"3 Posting Date",O$9)-NL("Sum","5802 Value Entry","43 Cost Amount (Actual)","41 Source Type",$C$5,"5 Source no.",$C674,"4 Item Ledger Entry Type",$C$4,"2 Item No.","@@"&amp;$F674,"3 Posting Date",O$9)</t>
  </si>
  <si>
    <t>=O674-Q674</t>
  </si>
  <si>
    <t>=IF(O674&lt;&gt;0,R674/O674,"")</t>
  </si>
  <si>
    <t>=NL("Sum","5802 Value Entry","150 Sales Amount (Expected)","41 Source Type",$C$5,"5 Source No.",$C674,"4 Item Ledger Entry Type",$C$4,"2 Item No.","@@"&amp;$F674,"3 Posting Date",U$9)+NL("Sum","5802 Value Entry","17 Sales Amount (Actual)","41 Source Type",$C$5,"5 Source no.",$C674,"4 Item Ledger Entry Type",$C$4,"2 Item No.","@@"&amp;$F674,"3 Posting Date",U$9)</t>
  </si>
  <si>
    <t>=-NL("Sum","5802 Value Entry","151 Cost Amount (Expected)","41 Source Type",$C$5,"5 Source No.",$C674,"4 Item Ledger Entry Type",$C$4,"2 Item No.","@@"&amp;$F674,"3 Posting Date",U$9)-NL("Sum","5802 Value Entry","43 Cost Amount (Actual)","41 Source Type",$C$5,"5 Source no.",$C674,"4 Item Ledger Entry Type",$C$4,"2 Item No.","@@"&amp;$F674,"3 Posting Date",U$9)</t>
  </si>
  <si>
    <t>=U674-W674</t>
  </si>
  <si>
    <t>=IF(U674&lt;&gt;0,X674/U674,"")</t>
  </si>
  <si>
    <t>=NL("Sum","5802 Value Entry","150 Sales Amount (Expected)","41 Source Type",$C$5,"5 Source No.",$C674,"4 Item Ledger Entry Type",$C$4,"2 Item No.","@@"&amp;$F674,"3 Posting Date",Z$9)+NL("Sum","5802 Value Entry","17 Sales Amount (Actual)","41 Source Type",$C$5,"5 Source no.",$C674,"4 Item Ledger Entry Type",$C$4,"2 Item No.","@@"&amp;$F674,"3 Posting Date",Z$9)</t>
  </si>
  <si>
    <t>=-NL("Sum","5802 Value Entry","151 Cost Amount (Expected)","41 Source Type",$C$5,"5 Source No.",$C674,"4 Item Ledger Entry Type",$C$4,"2 Item No.","@@"&amp;$F674,"3 Posting Date",Z$9)-NL("Sum","5802 Value Entry","43 Cost Amount (Actual)","41 Source Type",$C$5,"5 Source no.",$C674,"4 Item Ledger Entry Type",$C$4,"2 Item No.","@@"&amp;$F674,"3 Posting Date",Z$9)</t>
  </si>
  <si>
    <t>=Z674-AB674</t>
  </si>
  <si>
    <t>=IF(Z674&lt;&gt;0,AC674/Z674,"")</t>
  </si>
  <si>
    <t>=C674</t>
  </si>
  <si>
    <t>=NL("Sum","5802 Value Entry","150 Sales Amount (Expected)","41 Source Type",$C$5,"5 Source No.",$C675,"4 Item Ledger Entry Type",$C$4,"2 Item No.","@@"&amp;$F675,"3 Posting Date",J$9)+NL("Sum","5802 Value Entry","17 Sales Amount (Actual)","41 Source Type",$C$5,"5 Source no.",$C675,"4 Item Ledger Entry Type",$C$4,"2 Item No.","@@"&amp;$F675,"3 Posting Date",J$9)</t>
  </si>
  <si>
    <t>=-NL("Sum","5802 Value Entry","151 Cost Amount (Expected)","41 Source Type",$C$5,"5 Source No.",$C675,"4 Item Ledger Entry Type",$C$4,"2 Item No.","@@"&amp;$F675,"3 Posting Date",J$9)-NL("Sum","5802 Value Entry","43 Cost Amount (Actual)","41 Source Type",$C$5,"5 Source no.",$C675,"4 Item Ledger Entry Type",$C$4,"2 Item No.","@@"&amp;$F675,"3 Posting Date",J$9)</t>
  </si>
  <si>
    <t>=J675-L675</t>
  </si>
  <si>
    <t>=IF(J675&lt;&gt;0,M675/J675,"")</t>
  </si>
  <si>
    <t>=NL("Sum","5802 Value Entry","150 Sales Amount (Expected)","41 Source Type",$C$5,"5 Source No.",$C675,"4 Item Ledger Entry Type",$C$4,"2 Item No.","@@"&amp;$F675,"3 Posting Date",O$9)+NL("Sum","5802 Value Entry","17 Sales Amount (Actual)","41 Source Type",$C$5,"5 Source no.",$C675,"4 Item Ledger Entry Type",$C$4,"2 Item No.","@@"&amp;$F675,"3 Posting Date",O$9)</t>
  </si>
  <si>
    <t>=-NL("Sum","5802 Value Entry","151 Cost Amount (Expected)","41 Source Type",$C$5,"5 Source No.",$C675,"4 Item Ledger Entry Type",$C$4,"2 Item No.","@@"&amp;$F675,"3 Posting Date",O$9)-NL("Sum","5802 Value Entry","43 Cost Amount (Actual)","41 Source Type",$C$5,"5 Source no.",$C675,"4 Item Ledger Entry Type",$C$4,"2 Item No.","@@"&amp;$F675,"3 Posting Date",O$9)</t>
  </si>
  <si>
    <t>=O675-Q675</t>
  </si>
  <si>
    <t>=IF(O675&lt;&gt;0,R675/O675,"")</t>
  </si>
  <si>
    <t>=NL("Sum","5802 Value Entry","150 Sales Amount (Expected)","41 Source Type",$C$5,"5 Source No.",$C675,"4 Item Ledger Entry Type",$C$4,"2 Item No.","@@"&amp;$F675,"3 Posting Date",U$9)+NL("Sum","5802 Value Entry","17 Sales Amount (Actual)","41 Source Type",$C$5,"5 Source no.",$C675,"4 Item Ledger Entry Type",$C$4,"2 Item No.","@@"&amp;$F675,"3 Posting Date",U$9)</t>
  </si>
  <si>
    <t>=-NL("Sum","5802 Value Entry","151 Cost Amount (Expected)","41 Source Type",$C$5,"5 Source No.",$C675,"4 Item Ledger Entry Type",$C$4,"2 Item No.","@@"&amp;$F675,"3 Posting Date",U$9)-NL("Sum","5802 Value Entry","43 Cost Amount (Actual)","41 Source Type",$C$5,"5 Source no.",$C675,"4 Item Ledger Entry Type",$C$4,"2 Item No.","@@"&amp;$F675,"3 Posting Date",U$9)</t>
  </si>
  <si>
    <t>=U675-W675</t>
  </si>
  <si>
    <t>=IF(U675&lt;&gt;0,X675/U675,"")</t>
  </si>
  <si>
    <t>=NL("Sum","5802 Value Entry","150 Sales Amount (Expected)","41 Source Type",$C$5,"5 Source No.",$C675,"4 Item Ledger Entry Type",$C$4,"2 Item No.","@@"&amp;$F675,"3 Posting Date",Z$9)+NL("Sum","5802 Value Entry","17 Sales Amount (Actual)","41 Source Type",$C$5,"5 Source no.",$C675,"4 Item Ledger Entry Type",$C$4,"2 Item No.","@@"&amp;$F675,"3 Posting Date",Z$9)</t>
  </si>
  <si>
    <t>=-NL("Sum","5802 Value Entry","151 Cost Amount (Expected)","41 Source Type",$C$5,"5 Source No.",$C675,"4 Item Ledger Entry Type",$C$4,"2 Item No.","@@"&amp;$F675,"3 Posting Date",Z$9)-NL("Sum","5802 Value Entry","43 Cost Amount (Actual)","41 Source Type",$C$5,"5 Source no.",$C675,"4 Item Ledger Entry Type",$C$4,"2 Item No.","@@"&amp;$F675,"3 Posting Date",Z$9)</t>
  </si>
  <si>
    <t>=Z675-AB675</t>
  </si>
  <si>
    <t>=IF(Z675&lt;&gt;0,AC675/Z675,"")</t>
  </si>
  <si>
    <t>=C675</t>
  </si>
  <si>
    <t>=NL("Sum","5802 Value Entry","150 Sales Amount (Expected)","41 Source Type",$C$5,"5 Source No.",$C676,"4 Item Ledger Entry Type",$C$4,"2 Item No.","@@"&amp;$F676,"3 Posting Date",J$9)+NL("Sum","5802 Value Entry","17 Sales Amount (Actual)","41 Source Type",$C$5,"5 Source no.",$C676,"4 Item Ledger Entry Type",$C$4,"2 Item No.","@@"&amp;$F676,"3 Posting Date",J$9)</t>
  </si>
  <si>
    <t>=-NL("Sum","5802 Value Entry","151 Cost Amount (Expected)","41 Source Type",$C$5,"5 Source No.",$C676,"4 Item Ledger Entry Type",$C$4,"2 Item No.","@@"&amp;$F676,"3 Posting Date",J$9)-NL("Sum","5802 Value Entry","43 Cost Amount (Actual)","41 Source Type",$C$5,"5 Source no.",$C676,"4 Item Ledger Entry Type",$C$4,"2 Item No.","@@"&amp;$F676,"3 Posting Date",J$9)</t>
  </si>
  <si>
    <t>=J676-L676</t>
  </si>
  <si>
    <t>=IF(J676&lt;&gt;0,M676/J676,"")</t>
  </si>
  <si>
    <t>=NL("Sum","5802 Value Entry","150 Sales Amount (Expected)","41 Source Type",$C$5,"5 Source No.",$C676,"4 Item Ledger Entry Type",$C$4,"2 Item No.","@@"&amp;$F676,"3 Posting Date",O$9)+NL("Sum","5802 Value Entry","17 Sales Amount (Actual)","41 Source Type",$C$5,"5 Source no.",$C676,"4 Item Ledger Entry Type",$C$4,"2 Item No.","@@"&amp;$F676,"3 Posting Date",O$9)</t>
  </si>
  <si>
    <t>=-NL("Sum","5802 Value Entry","151 Cost Amount (Expected)","41 Source Type",$C$5,"5 Source No.",$C676,"4 Item Ledger Entry Type",$C$4,"2 Item No.","@@"&amp;$F676,"3 Posting Date",O$9)-NL("Sum","5802 Value Entry","43 Cost Amount (Actual)","41 Source Type",$C$5,"5 Source no.",$C676,"4 Item Ledger Entry Type",$C$4,"2 Item No.","@@"&amp;$F676,"3 Posting Date",O$9)</t>
  </si>
  <si>
    <t>=O676-Q676</t>
  </si>
  <si>
    <t>=IF(O676&lt;&gt;0,R676/O676,"")</t>
  </si>
  <si>
    <t>=NL("Sum","5802 Value Entry","150 Sales Amount (Expected)","41 Source Type",$C$5,"5 Source No.",$C676,"4 Item Ledger Entry Type",$C$4,"2 Item No.","@@"&amp;$F676,"3 Posting Date",U$9)+NL("Sum","5802 Value Entry","17 Sales Amount (Actual)","41 Source Type",$C$5,"5 Source no.",$C676,"4 Item Ledger Entry Type",$C$4,"2 Item No.","@@"&amp;$F676,"3 Posting Date",U$9)</t>
  </si>
  <si>
    <t>=-NL("Sum","5802 Value Entry","151 Cost Amount (Expected)","41 Source Type",$C$5,"5 Source No.",$C676,"4 Item Ledger Entry Type",$C$4,"2 Item No.","@@"&amp;$F676,"3 Posting Date",U$9)-NL("Sum","5802 Value Entry","43 Cost Amount (Actual)","41 Source Type",$C$5,"5 Source no.",$C676,"4 Item Ledger Entry Type",$C$4,"2 Item No.","@@"&amp;$F676,"3 Posting Date",U$9)</t>
  </si>
  <si>
    <t>=U676-W676</t>
  </si>
  <si>
    <t>=IF(U676&lt;&gt;0,X676/U676,"")</t>
  </si>
  <si>
    <t>=NL("Sum","5802 Value Entry","150 Sales Amount (Expected)","41 Source Type",$C$5,"5 Source No.",$C676,"4 Item Ledger Entry Type",$C$4,"2 Item No.","@@"&amp;$F676,"3 Posting Date",Z$9)+NL("Sum","5802 Value Entry","17 Sales Amount (Actual)","41 Source Type",$C$5,"5 Source no.",$C676,"4 Item Ledger Entry Type",$C$4,"2 Item No.","@@"&amp;$F676,"3 Posting Date",Z$9)</t>
  </si>
  <si>
    <t>=-NL("Sum","5802 Value Entry","151 Cost Amount (Expected)","41 Source Type",$C$5,"5 Source No.",$C676,"4 Item Ledger Entry Type",$C$4,"2 Item No.","@@"&amp;$F676,"3 Posting Date",Z$9)-NL("Sum","5802 Value Entry","43 Cost Amount (Actual)","41 Source Type",$C$5,"5 Source no.",$C676,"4 Item Ledger Entry Type",$C$4,"2 Item No.","@@"&amp;$F676,"3 Posting Date",Z$9)</t>
  </si>
  <si>
    <t>=Z676-AB676</t>
  </si>
  <si>
    <t>=IF(Z676&lt;&gt;0,AC676/Z676,"")</t>
  </si>
  <si>
    <t>=C676</t>
  </si>
  <si>
    <t>=NL("Sum","5802 Value Entry","150 Sales Amount (Expected)","41 Source Type",$C$5,"5 Source No.",$C677,"4 Item Ledger Entry Type",$C$4,"2 Item No.","@@"&amp;$F677,"3 Posting Date",J$9)+NL("Sum","5802 Value Entry","17 Sales Amount (Actual)","41 Source Type",$C$5,"5 Source no.",$C677,"4 Item Ledger Entry Type",$C$4,"2 Item No.","@@"&amp;$F677,"3 Posting Date",J$9)</t>
  </si>
  <si>
    <t>=-NL("Sum","5802 Value Entry","151 Cost Amount (Expected)","41 Source Type",$C$5,"5 Source No.",$C677,"4 Item Ledger Entry Type",$C$4,"2 Item No.","@@"&amp;$F677,"3 Posting Date",J$9)-NL("Sum","5802 Value Entry","43 Cost Amount (Actual)","41 Source Type",$C$5,"5 Source no.",$C677,"4 Item Ledger Entry Type",$C$4,"2 Item No.","@@"&amp;$F677,"3 Posting Date",J$9)</t>
  </si>
  <si>
    <t>=J677-L677</t>
  </si>
  <si>
    <t>=IF(J677&lt;&gt;0,M677/J677,"")</t>
  </si>
  <si>
    <t>=NL("Sum","5802 Value Entry","150 Sales Amount (Expected)","41 Source Type",$C$5,"5 Source No.",$C677,"4 Item Ledger Entry Type",$C$4,"2 Item No.","@@"&amp;$F677,"3 Posting Date",O$9)+NL("Sum","5802 Value Entry","17 Sales Amount (Actual)","41 Source Type",$C$5,"5 Source no.",$C677,"4 Item Ledger Entry Type",$C$4,"2 Item No.","@@"&amp;$F677,"3 Posting Date",O$9)</t>
  </si>
  <si>
    <t>=-NL("Sum","5802 Value Entry","151 Cost Amount (Expected)","41 Source Type",$C$5,"5 Source No.",$C677,"4 Item Ledger Entry Type",$C$4,"2 Item No.","@@"&amp;$F677,"3 Posting Date",O$9)-NL("Sum","5802 Value Entry","43 Cost Amount (Actual)","41 Source Type",$C$5,"5 Source no.",$C677,"4 Item Ledger Entry Type",$C$4,"2 Item No.","@@"&amp;$F677,"3 Posting Date",O$9)</t>
  </si>
  <si>
    <t>=O677-Q677</t>
  </si>
  <si>
    <t>=IF(O677&lt;&gt;0,R677/O677,"")</t>
  </si>
  <si>
    <t>=NL("Sum","5802 Value Entry","150 Sales Amount (Expected)","41 Source Type",$C$5,"5 Source No.",$C677,"4 Item Ledger Entry Type",$C$4,"2 Item No.","@@"&amp;$F677,"3 Posting Date",U$9)+NL("Sum","5802 Value Entry","17 Sales Amount (Actual)","41 Source Type",$C$5,"5 Source no.",$C677,"4 Item Ledger Entry Type",$C$4,"2 Item No.","@@"&amp;$F677,"3 Posting Date",U$9)</t>
  </si>
  <si>
    <t>=-NL("Sum","5802 Value Entry","151 Cost Amount (Expected)","41 Source Type",$C$5,"5 Source No.",$C677,"4 Item Ledger Entry Type",$C$4,"2 Item No.","@@"&amp;$F677,"3 Posting Date",U$9)-NL("Sum","5802 Value Entry","43 Cost Amount (Actual)","41 Source Type",$C$5,"5 Source no.",$C677,"4 Item Ledger Entry Type",$C$4,"2 Item No.","@@"&amp;$F677,"3 Posting Date",U$9)</t>
  </si>
  <si>
    <t>=U677-W677</t>
  </si>
  <si>
    <t>=IF(U677&lt;&gt;0,X677/U677,"")</t>
  </si>
  <si>
    <t>=NL("Sum","5802 Value Entry","150 Sales Amount (Expected)","41 Source Type",$C$5,"5 Source No.",$C677,"4 Item Ledger Entry Type",$C$4,"2 Item No.","@@"&amp;$F677,"3 Posting Date",Z$9)+NL("Sum","5802 Value Entry","17 Sales Amount (Actual)","41 Source Type",$C$5,"5 Source no.",$C677,"4 Item Ledger Entry Type",$C$4,"2 Item No.","@@"&amp;$F677,"3 Posting Date",Z$9)</t>
  </si>
  <si>
    <t>=-NL("Sum","5802 Value Entry","151 Cost Amount (Expected)","41 Source Type",$C$5,"5 Source No.",$C677,"4 Item Ledger Entry Type",$C$4,"2 Item No.","@@"&amp;$F677,"3 Posting Date",Z$9)-NL("Sum","5802 Value Entry","43 Cost Amount (Actual)","41 Source Type",$C$5,"5 Source no.",$C677,"4 Item Ledger Entry Type",$C$4,"2 Item No.","@@"&amp;$F677,"3 Posting Date",Z$9)</t>
  </si>
  <si>
    <t>=Z677-AB677</t>
  </si>
  <si>
    <t>=IF(Z677&lt;&gt;0,AC677/Z677,"")</t>
  </si>
  <si>
    <t>=C677</t>
  </si>
  <si>
    <t>=NL("Sum","5802 Value Entry","150 Sales Amount (Expected)","41 Source Type",$C$5,"5 Source No.",$C678,"4 Item Ledger Entry Type",$C$4,"2 Item No.","@@"&amp;$F678,"3 Posting Date",J$9)+NL("Sum","5802 Value Entry","17 Sales Amount (Actual)","41 Source Type",$C$5,"5 Source no.",$C678,"4 Item Ledger Entry Type",$C$4,"2 Item No.","@@"&amp;$F678,"3 Posting Date",J$9)</t>
  </si>
  <si>
    <t>=-NL("Sum","5802 Value Entry","151 Cost Amount (Expected)","41 Source Type",$C$5,"5 Source No.",$C678,"4 Item Ledger Entry Type",$C$4,"2 Item No.","@@"&amp;$F678,"3 Posting Date",J$9)-NL("Sum","5802 Value Entry","43 Cost Amount (Actual)","41 Source Type",$C$5,"5 Source no.",$C678,"4 Item Ledger Entry Type",$C$4,"2 Item No.","@@"&amp;$F678,"3 Posting Date",J$9)</t>
  </si>
  <si>
    <t>=J678-L678</t>
  </si>
  <si>
    <t>=IF(J678&lt;&gt;0,M678/J678,"")</t>
  </si>
  <si>
    <t>=NL("Sum","5802 Value Entry","150 Sales Amount (Expected)","41 Source Type",$C$5,"5 Source No.",$C678,"4 Item Ledger Entry Type",$C$4,"2 Item No.","@@"&amp;$F678,"3 Posting Date",O$9)+NL("Sum","5802 Value Entry","17 Sales Amount (Actual)","41 Source Type",$C$5,"5 Source no.",$C678,"4 Item Ledger Entry Type",$C$4,"2 Item No.","@@"&amp;$F678,"3 Posting Date",O$9)</t>
  </si>
  <si>
    <t>=-NL("Sum","5802 Value Entry","151 Cost Amount (Expected)","41 Source Type",$C$5,"5 Source No.",$C678,"4 Item Ledger Entry Type",$C$4,"2 Item No.","@@"&amp;$F678,"3 Posting Date",O$9)-NL("Sum","5802 Value Entry","43 Cost Amount (Actual)","41 Source Type",$C$5,"5 Source no.",$C678,"4 Item Ledger Entry Type",$C$4,"2 Item No.","@@"&amp;$F678,"3 Posting Date",O$9)</t>
  </si>
  <si>
    <t>=O678-Q678</t>
  </si>
  <si>
    <t>=IF(O678&lt;&gt;0,R678/O678,"")</t>
  </si>
  <si>
    <t>=NL("Sum","5802 Value Entry","150 Sales Amount (Expected)","41 Source Type",$C$5,"5 Source No.",$C678,"4 Item Ledger Entry Type",$C$4,"2 Item No.","@@"&amp;$F678,"3 Posting Date",U$9)+NL("Sum","5802 Value Entry","17 Sales Amount (Actual)","41 Source Type",$C$5,"5 Source no.",$C678,"4 Item Ledger Entry Type",$C$4,"2 Item No.","@@"&amp;$F678,"3 Posting Date",U$9)</t>
  </si>
  <si>
    <t>=-NL("Sum","5802 Value Entry","151 Cost Amount (Expected)","41 Source Type",$C$5,"5 Source No.",$C678,"4 Item Ledger Entry Type",$C$4,"2 Item No.","@@"&amp;$F678,"3 Posting Date",U$9)-NL("Sum","5802 Value Entry","43 Cost Amount (Actual)","41 Source Type",$C$5,"5 Source no.",$C678,"4 Item Ledger Entry Type",$C$4,"2 Item No.","@@"&amp;$F678,"3 Posting Date",U$9)</t>
  </si>
  <si>
    <t>=U678-W678</t>
  </si>
  <si>
    <t>=IF(U678&lt;&gt;0,X678/U678,"")</t>
  </si>
  <si>
    <t>=NL("Sum","5802 Value Entry","150 Sales Amount (Expected)","41 Source Type",$C$5,"5 Source No.",$C678,"4 Item Ledger Entry Type",$C$4,"2 Item No.","@@"&amp;$F678,"3 Posting Date",Z$9)+NL("Sum","5802 Value Entry","17 Sales Amount (Actual)","41 Source Type",$C$5,"5 Source no.",$C678,"4 Item Ledger Entry Type",$C$4,"2 Item No.","@@"&amp;$F678,"3 Posting Date",Z$9)</t>
  </si>
  <si>
    <t>=-NL("Sum","5802 Value Entry","151 Cost Amount (Expected)","41 Source Type",$C$5,"5 Source No.",$C678,"4 Item Ledger Entry Type",$C$4,"2 Item No.","@@"&amp;$F678,"3 Posting Date",Z$9)-NL("Sum","5802 Value Entry","43 Cost Amount (Actual)","41 Source Type",$C$5,"5 Source no.",$C678,"4 Item Ledger Entry Type",$C$4,"2 Item No.","@@"&amp;$F678,"3 Posting Date",Z$9)</t>
  </si>
  <si>
    <t>=Z678-AB678</t>
  </si>
  <si>
    <t>=IF(Z678&lt;&gt;0,AC678/Z678,"")</t>
  </si>
  <si>
    <t>=C678</t>
  </si>
  <si>
    <t>=NL("Sum","5802 Value Entry","150 Sales Amount (Expected)","41 Source Type",$C$5,"5 Source No.",$C679,"4 Item Ledger Entry Type",$C$4,"2 Item No.","@@"&amp;$F679,"3 Posting Date",J$9)+NL("Sum","5802 Value Entry","17 Sales Amount (Actual)","41 Source Type",$C$5,"5 Source no.",$C679,"4 Item Ledger Entry Type",$C$4,"2 Item No.","@@"&amp;$F679,"3 Posting Date",J$9)</t>
  </si>
  <si>
    <t>=-NL("Sum","5802 Value Entry","151 Cost Amount (Expected)","41 Source Type",$C$5,"5 Source No.",$C679,"4 Item Ledger Entry Type",$C$4,"2 Item No.","@@"&amp;$F679,"3 Posting Date",J$9)-NL("Sum","5802 Value Entry","43 Cost Amount (Actual)","41 Source Type",$C$5,"5 Source no.",$C679,"4 Item Ledger Entry Type",$C$4,"2 Item No.","@@"&amp;$F679,"3 Posting Date",J$9)</t>
  </si>
  <si>
    <t>=J679-L679</t>
  </si>
  <si>
    <t>=IF(J679&lt;&gt;0,M679/J679,"")</t>
  </si>
  <si>
    <t>=NL("Sum","5802 Value Entry","150 Sales Amount (Expected)","41 Source Type",$C$5,"5 Source No.",$C679,"4 Item Ledger Entry Type",$C$4,"2 Item No.","@@"&amp;$F679,"3 Posting Date",O$9)+NL("Sum","5802 Value Entry","17 Sales Amount (Actual)","41 Source Type",$C$5,"5 Source no.",$C679,"4 Item Ledger Entry Type",$C$4,"2 Item No.","@@"&amp;$F679,"3 Posting Date",O$9)</t>
  </si>
  <si>
    <t>=-NL("Sum","5802 Value Entry","151 Cost Amount (Expected)","41 Source Type",$C$5,"5 Source No.",$C679,"4 Item Ledger Entry Type",$C$4,"2 Item No.","@@"&amp;$F679,"3 Posting Date",O$9)-NL("Sum","5802 Value Entry","43 Cost Amount (Actual)","41 Source Type",$C$5,"5 Source no.",$C679,"4 Item Ledger Entry Type",$C$4,"2 Item No.","@@"&amp;$F679,"3 Posting Date",O$9)</t>
  </si>
  <si>
    <t>=O679-Q679</t>
  </si>
  <si>
    <t>=IF(O679&lt;&gt;0,R679/O679,"")</t>
  </si>
  <si>
    <t>=NL("Sum","5802 Value Entry","150 Sales Amount (Expected)","41 Source Type",$C$5,"5 Source No.",$C679,"4 Item Ledger Entry Type",$C$4,"2 Item No.","@@"&amp;$F679,"3 Posting Date",U$9)+NL("Sum","5802 Value Entry","17 Sales Amount (Actual)","41 Source Type",$C$5,"5 Source no.",$C679,"4 Item Ledger Entry Type",$C$4,"2 Item No.","@@"&amp;$F679,"3 Posting Date",U$9)</t>
  </si>
  <si>
    <t>=-NL("Sum","5802 Value Entry","151 Cost Amount (Expected)","41 Source Type",$C$5,"5 Source No.",$C679,"4 Item Ledger Entry Type",$C$4,"2 Item No.","@@"&amp;$F679,"3 Posting Date",U$9)-NL("Sum","5802 Value Entry","43 Cost Amount (Actual)","41 Source Type",$C$5,"5 Source no.",$C679,"4 Item Ledger Entry Type",$C$4,"2 Item No.","@@"&amp;$F679,"3 Posting Date",U$9)</t>
  </si>
  <si>
    <t>=U679-W679</t>
  </si>
  <si>
    <t>=IF(U679&lt;&gt;0,X679/U679,"")</t>
  </si>
  <si>
    <t>=NL("Sum","5802 Value Entry","150 Sales Amount (Expected)","41 Source Type",$C$5,"5 Source No.",$C679,"4 Item Ledger Entry Type",$C$4,"2 Item No.","@@"&amp;$F679,"3 Posting Date",Z$9)+NL("Sum","5802 Value Entry","17 Sales Amount (Actual)","41 Source Type",$C$5,"5 Source no.",$C679,"4 Item Ledger Entry Type",$C$4,"2 Item No.","@@"&amp;$F679,"3 Posting Date",Z$9)</t>
  </si>
  <si>
    <t>=-NL("Sum","5802 Value Entry","151 Cost Amount (Expected)","41 Source Type",$C$5,"5 Source No.",$C679,"4 Item Ledger Entry Type",$C$4,"2 Item No.","@@"&amp;$F679,"3 Posting Date",Z$9)-NL("Sum","5802 Value Entry","43 Cost Amount (Actual)","41 Source Type",$C$5,"5 Source no.",$C679,"4 Item Ledger Entry Type",$C$4,"2 Item No.","@@"&amp;$F679,"3 Posting Date",Z$9)</t>
  </si>
  <si>
    <t>=Z679-AB679</t>
  </si>
  <si>
    <t>=IF(Z679&lt;&gt;0,AC679/Z679,"")</t>
  </si>
  <si>
    <t>=C679</t>
  </si>
  <si>
    <t>=NL("Sum","5802 Value Entry","150 Sales Amount (Expected)","41 Source Type",$C$5,"5 Source No.",$C680,"4 Item Ledger Entry Type",$C$4,"2 Item No.","@@"&amp;$F680,"3 Posting Date",J$9)+NL("Sum","5802 Value Entry","17 Sales Amount (Actual)","41 Source Type",$C$5,"5 Source no.",$C680,"4 Item Ledger Entry Type",$C$4,"2 Item No.","@@"&amp;$F680,"3 Posting Date",J$9)</t>
  </si>
  <si>
    <t>=-NL("Sum","5802 Value Entry","151 Cost Amount (Expected)","41 Source Type",$C$5,"5 Source No.",$C680,"4 Item Ledger Entry Type",$C$4,"2 Item No.","@@"&amp;$F680,"3 Posting Date",J$9)-NL("Sum","5802 Value Entry","43 Cost Amount (Actual)","41 Source Type",$C$5,"5 Source no.",$C680,"4 Item Ledger Entry Type",$C$4,"2 Item No.","@@"&amp;$F680,"3 Posting Date",J$9)</t>
  </si>
  <si>
    <t>=J680-L680</t>
  </si>
  <si>
    <t>=IF(J680&lt;&gt;0,M680/J680,"")</t>
  </si>
  <si>
    <t>=NL("Sum","5802 Value Entry","150 Sales Amount (Expected)","41 Source Type",$C$5,"5 Source No.",$C680,"4 Item Ledger Entry Type",$C$4,"2 Item No.","@@"&amp;$F680,"3 Posting Date",O$9)+NL("Sum","5802 Value Entry","17 Sales Amount (Actual)","41 Source Type",$C$5,"5 Source no.",$C680,"4 Item Ledger Entry Type",$C$4,"2 Item No.","@@"&amp;$F680,"3 Posting Date",O$9)</t>
  </si>
  <si>
    <t>=-NL("Sum","5802 Value Entry","151 Cost Amount (Expected)","41 Source Type",$C$5,"5 Source No.",$C680,"4 Item Ledger Entry Type",$C$4,"2 Item No.","@@"&amp;$F680,"3 Posting Date",O$9)-NL("Sum","5802 Value Entry","43 Cost Amount (Actual)","41 Source Type",$C$5,"5 Source no.",$C680,"4 Item Ledger Entry Type",$C$4,"2 Item No.","@@"&amp;$F680,"3 Posting Date",O$9)</t>
  </si>
  <si>
    <t>=O680-Q680</t>
  </si>
  <si>
    <t>=IF(O680&lt;&gt;0,R680/O680,"")</t>
  </si>
  <si>
    <t>=NL("Sum","5802 Value Entry","150 Sales Amount (Expected)","41 Source Type",$C$5,"5 Source No.",$C680,"4 Item Ledger Entry Type",$C$4,"2 Item No.","@@"&amp;$F680,"3 Posting Date",U$9)+NL("Sum","5802 Value Entry","17 Sales Amount (Actual)","41 Source Type",$C$5,"5 Source no.",$C680,"4 Item Ledger Entry Type",$C$4,"2 Item No.","@@"&amp;$F680,"3 Posting Date",U$9)</t>
  </si>
  <si>
    <t>=-NL("Sum","5802 Value Entry","151 Cost Amount (Expected)","41 Source Type",$C$5,"5 Source No.",$C680,"4 Item Ledger Entry Type",$C$4,"2 Item No.","@@"&amp;$F680,"3 Posting Date",U$9)-NL("Sum","5802 Value Entry","43 Cost Amount (Actual)","41 Source Type",$C$5,"5 Source no.",$C680,"4 Item Ledger Entry Type",$C$4,"2 Item No.","@@"&amp;$F680,"3 Posting Date",U$9)</t>
  </si>
  <si>
    <t>=U680-W680</t>
  </si>
  <si>
    <t>=IF(U680&lt;&gt;0,X680/U680,"")</t>
  </si>
  <si>
    <t>=NL("Sum","5802 Value Entry","150 Sales Amount (Expected)","41 Source Type",$C$5,"5 Source No.",$C680,"4 Item Ledger Entry Type",$C$4,"2 Item No.","@@"&amp;$F680,"3 Posting Date",Z$9)+NL("Sum","5802 Value Entry","17 Sales Amount (Actual)","41 Source Type",$C$5,"5 Source no.",$C680,"4 Item Ledger Entry Type",$C$4,"2 Item No.","@@"&amp;$F680,"3 Posting Date",Z$9)</t>
  </si>
  <si>
    <t>=-NL("Sum","5802 Value Entry","151 Cost Amount (Expected)","41 Source Type",$C$5,"5 Source No.",$C680,"4 Item Ledger Entry Type",$C$4,"2 Item No.","@@"&amp;$F680,"3 Posting Date",Z$9)-NL("Sum","5802 Value Entry","43 Cost Amount (Actual)","41 Source Type",$C$5,"5 Source no.",$C680,"4 Item Ledger Entry Type",$C$4,"2 Item No.","@@"&amp;$F680,"3 Posting Date",Z$9)</t>
  </si>
  <si>
    <t>=Z680-AB680</t>
  </si>
  <si>
    <t>=IF(Z680&lt;&gt;0,AC680/Z680,"")</t>
  </si>
  <si>
    <t>=C680</t>
  </si>
  <si>
    <t>=NL("Sum","5802 Value Entry","150 Sales Amount (Expected)","41 Source Type",$C$5,"5 Source No.",$C681,"4 Item Ledger Entry Type",$C$4,"2 Item No.","@@"&amp;$F681,"3 Posting Date",J$9)+NL("Sum","5802 Value Entry","17 Sales Amount (Actual)","41 Source Type",$C$5,"5 Source no.",$C681,"4 Item Ledger Entry Type",$C$4,"2 Item No.","@@"&amp;$F681,"3 Posting Date",J$9)</t>
  </si>
  <si>
    <t>=-NL("Sum","5802 Value Entry","151 Cost Amount (Expected)","41 Source Type",$C$5,"5 Source No.",$C681,"4 Item Ledger Entry Type",$C$4,"2 Item No.","@@"&amp;$F681,"3 Posting Date",J$9)-NL("Sum","5802 Value Entry","43 Cost Amount (Actual)","41 Source Type",$C$5,"5 Source no.",$C681,"4 Item Ledger Entry Type",$C$4,"2 Item No.","@@"&amp;$F681,"3 Posting Date",J$9)</t>
  </si>
  <si>
    <t>=J681-L681</t>
  </si>
  <si>
    <t>=IF(J681&lt;&gt;0,M681/J681,"")</t>
  </si>
  <si>
    <t>=NL("Sum","5802 Value Entry","150 Sales Amount (Expected)","41 Source Type",$C$5,"5 Source No.",$C681,"4 Item Ledger Entry Type",$C$4,"2 Item No.","@@"&amp;$F681,"3 Posting Date",O$9)+NL("Sum","5802 Value Entry","17 Sales Amount (Actual)","41 Source Type",$C$5,"5 Source no.",$C681,"4 Item Ledger Entry Type",$C$4,"2 Item No.","@@"&amp;$F681,"3 Posting Date",O$9)</t>
  </si>
  <si>
    <t>=-NL("Sum","5802 Value Entry","151 Cost Amount (Expected)","41 Source Type",$C$5,"5 Source No.",$C681,"4 Item Ledger Entry Type",$C$4,"2 Item No.","@@"&amp;$F681,"3 Posting Date",O$9)-NL("Sum","5802 Value Entry","43 Cost Amount (Actual)","41 Source Type",$C$5,"5 Source no.",$C681,"4 Item Ledger Entry Type",$C$4,"2 Item No.","@@"&amp;$F681,"3 Posting Date",O$9)</t>
  </si>
  <si>
    <t>=O681-Q681</t>
  </si>
  <si>
    <t>=IF(O681&lt;&gt;0,R681/O681,"")</t>
  </si>
  <si>
    <t>=NL("Sum","5802 Value Entry","150 Sales Amount (Expected)","41 Source Type",$C$5,"5 Source No.",$C681,"4 Item Ledger Entry Type",$C$4,"2 Item No.","@@"&amp;$F681,"3 Posting Date",U$9)+NL("Sum","5802 Value Entry","17 Sales Amount (Actual)","41 Source Type",$C$5,"5 Source no.",$C681,"4 Item Ledger Entry Type",$C$4,"2 Item No.","@@"&amp;$F681,"3 Posting Date",U$9)</t>
  </si>
  <si>
    <t>=-NL("Sum","5802 Value Entry","151 Cost Amount (Expected)","41 Source Type",$C$5,"5 Source No.",$C681,"4 Item Ledger Entry Type",$C$4,"2 Item No.","@@"&amp;$F681,"3 Posting Date",U$9)-NL("Sum","5802 Value Entry","43 Cost Amount (Actual)","41 Source Type",$C$5,"5 Source no.",$C681,"4 Item Ledger Entry Type",$C$4,"2 Item No.","@@"&amp;$F681,"3 Posting Date",U$9)</t>
  </si>
  <si>
    <t>=U681-W681</t>
  </si>
  <si>
    <t>=IF(U681&lt;&gt;0,X681/U681,"")</t>
  </si>
  <si>
    <t>=NL("Sum","5802 Value Entry","150 Sales Amount (Expected)","41 Source Type",$C$5,"5 Source No.",$C681,"4 Item Ledger Entry Type",$C$4,"2 Item No.","@@"&amp;$F681,"3 Posting Date",Z$9)+NL("Sum","5802 Value Entry","17 Sales Amount (Actual)","41 Source Type",$C$5,"5 Source no.",$C681,"4 Item Ledger Entry Type",$C$4,"2 Item No.","@@"&amp;$F681,"3 Posting Date",Z$9)</t>
  </si>
  <si>
    <t>=-NL("Sum","5802 Value Entry","151 Cost Amount (Expected)","41 Source Type",$C$5,"5 Source No.",$C681,"4 Item Ledger Entry Type",$C$4,"2 Item No.","@@"&amp;$F681,"3 Posting Date",Z$9)-NL("Sum","5802 Value Entry","43 Cost Amount (Actual)","41 Source Type",$C$5,"5 Source no.",$C681,"4 Item Ledger Entry Type",$C$4,"2 Item No.","@@"&amp;$F681,"3 Posting Date",Z$9)</t>
  </si>
  <si>
    <t>=Z681-AB681</t>
  </si>
  <si>
    <t>=IF(Z681&lt;&gt;0,AC681/Z681,"")</t>
  </si>
  <si>
    <t>=C681</t>
  </si>
  <si>
    <t>=NL("Sum","5802 Value Entry","150 Sales Amount (Expected)","41 Source Type",$C$5,"5 Source No.",$C682,"4 Item Ledger Entry Type",$C$4,"2 Item No.","@@"&amp;$F682,"3 Posting Date",J$9)+NL("Sum","5802 Value Entry","17 Sales Amount (Actual)","41 Source Type",$C$5,"5 Source no.",$C682,"4 Item Ledger Entry Type",$C$4,"2 Item No.","@@"&amp;$F682,"3 Posting Date",J$9)</t>
  </si>
  <si>
    <t>=-NL("Sum","5802 Value Entry","151 Cost Amount (Expected)","41 Source Type",$C$5,"5 Source No.",$C682,"4 Item Ledger Entry Type",$C$4,"2 Item No.","@@"&amp;$F682,"3 Posting Date",J$9)-NL("Sum","5802 Value Entry","43 Cost Amount (Actual)","41 Source Type",$C$5,"5 Source no.",$C682,"4 Item Ledger Entry Type",$C$4,"2 Item No.","@@"&amp;$F682,"3 Posting Date",J$9)</t>
  </si>
  <si>
    <t>=J682-L682</t>
  </si>
  <si>
    <t>=IF(J682&lt;&gt;0,M682/J682,"")</t>
  </si>
  <si>
    <t>=NL("Sum","5802 Value Entry","150 Sales Amount (Expected)","41 Source Type",$C$5,"5 Source No.",$C682,"4 Item Ledger Entry Type",$C$4,"2 Item No.","@@"&amp;$F682,"3 Posting Date",O$9)+NL("Sum","5802 Value Entry","17 Sales Amount (Actual)","41 Source Type",$C$5,"5 Source no.",$C682,"4 Item Ledger Entry Type",$C$4,"2 Item No.","@@"&amp;$F682,"3 Posting Date",O$9)</t>
  </si>
  <si>
    <t>=-NL("Sum","5802 Value Entry","151 Cost Amount (Expected)","41 Source Type",$C$5,"5 Source No.",$C682,"4 Item Ledger Entry Type",$C$4,"2 Item No.","@@"&amp;$F682,"3 Posting Date",O$9)-NL("Sum","5802 Value Entry","43 Cost Amount (Actual)","41 Source Type",$C$5,"5 Source no.",$C682,"4 Item Ledger Entry Type",$C$4,"2 Item No.","@@"&amp;$F682,"3 Posting Date",O$9)</t>
  </si>
  <si>
    <t>=O682-Q682</t>
  </si>
  <si>
    <t>=IF(O682&lt;&gt;0,R682/O682,"")</t>
  </si>
  <si>
    <t>=NL("Sum","5802 Value Entry","150 Sales Amount (Expected)","41 Source Type",$C$5,"5 Source No.",$C682,"4 Item Ledger Entry Type",$C$4,"2 Item No.","@@"&amp;$F682,"3 Posting Date",U$9)+NL("Sum","5802 Value Entry","17 Sales Amount (Actual)","41 Source Type",$C$5,"5 Source no.",$C682,"4 Item Ledger Entry Type",$C$4,"2 Item No.","@@"&amp;$F682,"3 Posting Date",U$9)</t>
  </si>
  <si>
    <t>=-NL("Sum","5802 Value Entry","151 Cost Amount (Expected)","41 Source Type",$C$5,"5 Source No.",$C682,"4 Item Ledger Entry Type",$C$4,"2 Item No.","@@"&amp;$F682,"3 Posting Date",U$9)-NL("Sum","5802 Value Entry","43 Cost Amount (Actual)","41 Source Type",$C$5,"5 Source no.",$C682,"4 Item Ledger Entry Type",$C$4,"2 Item No.","@@"&amp;$F682,"3 Posting Date",U$9)</t>
  </si>
  <si>
    <t>=U682-W682</t>
  </si>
  <si>
    <t>=IF(U682&lt;&gt;0,X682/U682,"")</t>
  </si>
  <si>
    <t>=NL("Sum","5802 Value Entry","150 Sales Amount (Expected)","41 Source Type",$C$5,"5 Source No.",$C682,"4 Item Ledger Entry Type",$C$4,"2 Item No.","@@"&amp;$F682,"3 Posting Date",Z$9)+NL("Sum","5802 Value Entry","17 Sales Amount (Actual)","41 Source Type",$C$5,"5 Source no.",$C682,"4 Item Ledger Entry Type",$C$4,"2 Item No.","@@"&amp;$F682,"3 Posting Date",Z$9)</t>
  </si>
  <si>
    <t>=-NL("Sum","5802 Value Entry","151 Cost Amount (Expected)","41 Source Type",$C$5,"5 Source No.",$C682,"4 Item Ledger Entry Type",$C$4,"2 Item No.","@@"&amp;$F682,"3 Posting Date",Z$9)-NL("Sum","5802 Value Entry","43 Cost Amount (Actual)","41 Source Type",$C$5,"5 Source no.",$C682,"4 Item Ledger Entry Type",$C$4,"2 Item No.","@@"&amp;$F682,"3 Posting Date",Z$9)</t>
  </si>
  <si>
    <t>=Z682-AB682</t>
  </si>
  <si>
    <t>=IF(Z682&lt;&gt;0,AC682/Z682,"")</t>
  </si>
  <si>
    <t>=C682</t>
  </si>
  <si>
    <t>=NL("Sum","5802 Value Entry","150 Sales Amount (Expected)","41 Source Type",$C$5,"5 Source No.",$C683,"4 Item Ledger Entry Type",$C$4,"2 Item No.","@@"&amp;$F683,"3 Posting Date",J$9)+NL("Sum","5802 Value Entry","17 Sales Amount (Actual)","41 Source Type",$C$5,"5 Source no.",$C683,"4 Item Ledger Entry Type",$C$4,"2 Item No.","@@"&amp;$F683,"3 Posting Date",J$9)</t>
  </si>
  <si>
    <t>=-NL("Sum","5802 Value Entry","151 Cost Amount (Expected)","41 Source Type",$C$5,"5 Source No.",$C683,"4 Item Ledger Entry Type",$C$4,"2 Item No.","@@"&amp;$F683,"3 Posting Date",J$9)-NL("Sum","5802 Value Entry","43 Cost Amount (Actual)","41 Source Type",$C$5,"5 Source no.",$C683,"4 Item Ledger Entry Type",$C$4,"2 Item No.","@@"&amp;$F683,"3 Posting Date",J$9)</t>
  </si>
  <si>
    <t>=J683-L683</t>
  </si>
  <si>
    <t>=IF(J683&lt;&gt;0,M683/J683,"")</t>
  </si>
  <si>
    <t>=NL("Sum","5802 Value Entry","150 Sales Amount (Expected)","41 Source Type",$C$5,"5 Source No.",$C683,"4 Item Ledger Entry Type",$C$4,"2 Item No.","@@"&amp;$F683,"3 Posting Date",O$9)+NL("Sum","5802 Value Entry","17 Sales Amount (Actual)","41 Source Type",$C$5,"5 Source no.",$C683,"4 Item Ledger Entry Type",$C$4,"2 Item No.","@@"&amp;$F683,"3 Posting Date",O$9)</t>
  </si>
  <si>
    <t>=-NL("Sum","5802 Value Entry","151 Cost Amount (Expected)","41 Source Type",$C$5,"5 Source No.",$C683,"4 Item Ledger Entry Type",$C$4,"2 Item No.","@@"&amp;$F683,"3 Posting Date",O$9)-NL("Sum","5802 Value Entry","43 Cost Amount (Actual)","41 Source Type",$C$5,"5 Source no.",$C683,"4 Item Ledger Entry Type",$C$4,"2 Item No.","@@"&amp;$F683,"3 Posting Date",O$9)</t>
  </si>
  <si>
    <t>=O683-Q683</t>
  </si>
  <si>
    <t>=IF(O683&lt;&gt;0,R683/O683,"")</t>
  </si>
  <si>
    <t>=NL("Sum","5802 Value Entry","150 Sales Amount (Expected)","41 Source Type",$C$5,"5 Source No.",$C683,"4 Item Ledger Entry Type",$C$4,"2 Item No.","@@"&amp;$F683,"3 Posting Date",U$9)+NL("Sum","5802 Value Entry","17 Sales Amount (Actual)","41 Source Type",$C$5,"5 Source no.",$C683,"4 Item Ledger Entry Type",$C$4,"2 Item No.","@@"&amp;$F683,"3 Posting Date",U$9)</t>
  </si>
  <si>
    <t>=-NL("Sum","5802 Value Entry","151 Cost Amount (Expected)","41 Source Type",$C$5,"5 Source No.",$C683,"4 Item Ledger Entry Type",$C$4,"2 Item No.","@@"&amp;$F683,"3 Posting Date",U$9)-NL("Sum","5802 Value Entry","43 Cost Amount (Actual)","41 Source Type",$C$5,"5 Source no.",$C683,"4 Item Ledger Entry Type",$C$4,"2 Item No.","@@"&amp;$F683,"3 Posting Date",U$9)</t>
  </si>
  <si>
    <t>=U683-W683</t>
  </si>
  <si>
    <t>=IF(U683&lt;&gt;0,X683/U683,"")</t>
  </si>
  <si>
    <t>=NL("Sum","5802 Value Entry","150 Sales Amount (Expected)","41 Source Type",$C$5,"5 Source No.",$C683,"4 Item Ledger Entry Type",$C$4,"2 Item No.","@@"&amp;$F683,"3 Posting Date",Z$9)+NL("Sum","5802 Value Entry","17 Sales Amount (Actual)","41 Source Type",$C$5,"5 Source no.",$C683,"4 Item Ledger Entry Type",$C$4,"2 Item No.","@@"&amp;$F683,"3 Posting Date",Z$9)</t>
  </si>
  <si>
    <t>=-NL("Sum","5802 Value Entry","151 Cost Amount (Expected)","41 Source Type",$C$5,"5 Source No.",$C683,"4 Item Ledger Entry Type",$C$4,"2 Item No.","@@"&amp;$F683,"3 Posting Date",Z$9)-NL("Sum","5802 Value Entry","43 Cost Amount (Actual)","41 Source Type",$C$5,"5 Source no.",$C683,"4 Item Ledger Entry Type",$C$4,"2 Item No.","@@"&amp;$F683,"3 Posting Date",Z$9)</t>
  </si>
  <si>
    <t>=Z683-AB683</t>
  </si>
  <si>
    <t>=IF(Z683&lt;&gt;0,AC683/Z683,"")</t>
  </si>
  <si>
    <t>=C683</t>
  </si>
  <si>
    <t>=NL("Sum","5802 Value Entry","150 Sales Amount (Expected)","41 Source Type",$C$5,"5 Source No.",$C684,"4 Item Ledger Entry Type",$C$4,"2 Item No.","@@"&amp;$F684,"3 Posting Date",J$9)+NL("Sum","5802 Value Entry","17 Sales Amount (Actual)","41 Source Type",$C$5,"5 Source no.",$C684,"4 Item Ledger Entry Type",$C$4,"2 Item No.","@@"&amp;$F684,"3 Posting Date",J$9)</t>
  </si>
  <si>
    <t>=-NL("Sum","5802 Value Entry","151 Cost Amount (Expected)","41 Source Type",$C$5,"5 Source No.",$C684,"4 Item Ledger Entry Type",$C$4,"2 Item No.","@@"&amp;$F684,"3 Posting Date",J$9)-NL("Sum","5802 Value Entry","43 Cost Amount (Actual)","41 Source Type",$C$5,"5 Source no.",$C684,"4 Item Ledger Entry Type",$C$4,"2 Item No.","@@"&amp;$F684,"3 Posting Date",J$9)</t>
  </si>
  <si>
    <t>=J684-L684</t>
  </si>
  <si>
    <t>=IF(J684&lt;&gt;0,M684/J684,"")</t>
  </si>
  <si>
    <t>=NL("Sum","5802 Value Entry","150 Sales Amount (Expected)","41 Source Type",$C$5,"5 Source No.",$C684,"4 Item Ledger Entry Type",$C$4,"2 Item No.","@@"&amp;$F684,"3 Posting Date",O$9)+NL("Sum","5802 Value Entry","17 Sales Amount (Actual)","41 Source Type",$C$5,"5 Source no.",$C684,"4 Item Ledger Entry Type",$C$4,"2 Item No.","@@"&amp;$F684,"3 Posting Date",O$9)</t>
  </si>
  <si>
    <t>=-NL("Sum","5802 Value Entry","151 Cost Amount (Expected)","41 Source Type",$C$5,"5 Source No.",$C684,"4 Item Ledger Entry Type",$C$4,"2 Item No.","@@"&amp;$F684,"3 Posting Date",O$9)-NL("Sum","5802 Value Entry","43 Cost Amount (Actual)","41 Source Type",$C$5,"5 Source no.",$C684,"4 Item Ledger Entry Type",$C$4,"2 Item No.","@@"&amp;$F684,"3 Posting Date",O$9)</t>
  </si>
  <si>
    <t>=O684-Q684</t>
  </si>
  <si>
    <t>=IF(O684&lt;&gt;0,R684/O684,"")</t>
  </si>
  <si>
    <t>=NL("Sum","5802 Value Entry","150 Sales Amount (Expected)","41 Source Type",$C$5,"5 Source No.",$C684,"4 Item Ledger Entry Type",$C$4,"2 Item No.","@@"&amp;$F684,"3 Posting Date",U$9)+NL("Sum","5802 Value Entry","17 Sales Amount (Actual)","41 Source Type",$C$5,"5 Source no.",$C684,"4 Item Ledger Entry Type",$C$4,"2 Item No.","@@"&amp;$F684,"3 Posting Date",U$9)</t>
  </si>
  <si>
    <t>=-NL("Sum","5802 Value Entry","151 Cost Amount (Expected)","41 Source Type",$C$5,"5 Source No.",$C684,"4 Item Ledger Entry Type",$C$4,"2 Item No.","@@"&amp;$F684,"3 Posting Date",U$9)-NL("Sum","5802 Value Entry","43 Cost Amount (Actual)","41 Source Type",$C$5,"5 Source no.",$C684,"4 Item Ledger Entry Type",$C$4,"2 Item No.","@@"&amp;$F684,"3 Posting Date",U$9)</t>
  </si>
  <si>
    <t>=U684-W684</t>
  </si>
  <si>
    <t>=IF(U684&lt;&gt;0,X684/U684,"")</t>
  </si>
  <si>
    <t>=NL("Sum","5802 Value Entry","150 Sales Amount (Expected)","41 Source Type",$C$5,"5 Source No.",$C684,"4 Item Ledger Entry Type",$C$4,"2 Item No.","@@"&amp;$F684,"3 Posting Date",Z$9)+NL("Sum","5802 Value Entry","17 Sales Amount (Actual)","41 Source Type",$C$5,"5 Source no.",$C684,"4 Item Ledger Entry Type",$C$4,"2 Item No.","@@"&amp;$F684,"3 Posting Date",Z$9)</t>
  </si>
  <si>
    <t>=-NL("Sum","5802 Value Entry","151 Cost Amount (Expected)","41 Source Type",$C$5,"5 Source No.",$C684,"4 Item Ledger Entry Type",$C$4,"2 Item No.","@@"&amp;$F684,"3 Posting Date",Z$9)-NL("Sum","5802 Value Entry","43 Cost Amount (Actual)","41 Source Type",$C$5,"5 Source no.",$C684,"4 Item Ledger Entry Type",$C$4,"2 Item No.","@@"&amp;$F684,"3 Posting Date",Z$9)</t>
  </si>
  <si>
    <t>=Z684-AB684</t>
  </si>
  <si>
    <t>=IF(Z684&lt;&gt;0,AC684/Z684,"")</t>
  </si>
  <si>
    <t>=C685</t>
  </si>
  <si>
    <t>=J686-L686</t>
  </si>
  <si>
    <t>=IF(J686&lt;&gt;0,M686/J686,"")</t>
  </si>
  <si>
    <t>=O686-Q686</t>
  </si>
  <si>
    <t>=IF(O686&lt;&gt;0,R686/O686,"")</t>
  </si>
  <si>
    <t>=U686-W686</t>
  </si>
  <si>
    <t>=IF(U686&lt;&gt;0,X686/U686,"")</t>
  </si>
  <si>
    <t>=Z686-AB686</t>
  </si>
  <si>
    <t>=IF(Z686&lt;&gt;0,AC686/Z686,"")</t>
  </si>
  <si>
    <t>=C688</t>
  </si>
  <si>
    <t>=C689</t>
  </si>
  <si>
    <t>=NL("Sum","5802 Value Entry","150 Sales Amount (Expected)","41 Source Type",$C$5,"5 Source No.",$C690,"4 Item Ledger Entry Type",$C$4,"2 Item No.","@@"&amp;$F690,"3 Posting Date",J$9)+NL("Sum","5802 Value Entry","17 Sales Amount (Actual)","41 Source Type",$C$5,"5 Source no.",$C690,"4 Item Ledger Entry Type",$C$4,"2 Item No.","@@"&amp;$F690,"3 Posting Date",J$9)</t>
  </si>
  <si>
    <t>=-NL("Sum","5802 Value Entry","151 Cost Amount (Expected)","41 Source Type",$C$5,"5 Source No.",$C690,"4 Item Ledger Entry Type",$C$4,"2 Item No.","@@"&amp;$F690,"3 Posting Date",J$9)-NL("Sum","5802 Value Entry","43 Cost Amount (Actual)","41 Source Type",$C$5,"5 Source no.",$C690,"4 Item Ledger Entry Type",$C$4,"2 Item No.","@@"&amp;$F690,"3 Posting Date",J$9)</t>
  </si>
  <si>
    <t>=J690-L690</t>
  </si>
  <si>
    <t>=IF(J690&lt;&gt;0,M690/J690,"")</t>
  </si>
  <si>
    <t>=NL("Sum","5802 Value Entry","150 Sales Amount (Expected)","41 Source Type",$C$5,"5 Source No.",$C690,"4 Item Ledger Entry Type",$C$4,"2 Item No.","@@"&amp;$F690,"3 Posting Date",O$9)+NL("Sum","5802 Value Entry","17 Sales Amount (Actual)","41 Source Type",$C$5,"5 Source no.",$C690,"4 Item Ledger Entry Type",$C$4,"2 Item No.","@@"&amp;$F690,"3 Posting Date",O$9)</t>
  </si>
  <si>
    <t>=-NL("Sum","5802 Value Entry","151 Cost Amount (Expected)","41 Source Type",$C$5,"5 Source No.",$C690,"4 Item Ledger Entry Type",$C$4,"2 Item No.","@@"&amp;$F690,"3 Posting Date",O$9)-NL("Sum","5802 Value Entry","43 Cost Amount (Actual)","41 Source Type",$C$5,"5 Source no.",$C690,"4 Item Ledger Entry Type",$C$4,"2 Item No.","@@"&amp;$F690,"3 Posting Date",O$9)</t>
  </si>
  <si>
    <t>=O690-Q690</t>
  </si>
  <si>
    <t>=IF(O690&lt;&gt;0,R690/O690,"")</t>
  </si>
  <si>
    <t>=NL("Sum","5802 Value Entry","150 Sales Amount (Expected)","41 Source Type",$C$5,"5 Source No.",$C690,"4 Item Ledger Entry Type",$C$4,"2 Item No.","@@"&amp;$F690,"3 Posting Date",U$9)+NL("Sum","5802 Value Entry","17 Sales Amount (Actual)","41 Source Type",$C$5,"5 Source no.",$C690,"4 Item Ledger Entry Type",$C$4,"2 Item No.","@@"&amp;$F690,"3 Posting Date",U$9)</t>
  </si>
  <si>
    <t>=-NL("Sum","5802 Value Entry","151 Cost Amount (Expected)","41 Source Type",$C$5,"5 Source No.",$C690,"4 Item Ledger Entry Type",$C$4,"2 Item No.","@@"&amp;$F690,"3 Posting Date",U$9)-NL("Sum","5802 Value Entry","43 Cost Amount (Actual)","41 Source Type",$C$5,"5 Source no.",$C690,"4 Item Ledger Entry Type",$C$4,"2 Item No.","@@"&amp;$F690,"3 Posting Date",U$9)</t>
  </si>
  <si>
    <t>=U690-W690</t>
  </si>
  <si>
    <t>=IF(U690&lt;&gt;0,X690/U690,"")</t>
  </si>
  <si>
    <t>=NL("Sum","5802 Value Entry","150 Sales Amount (Expected)","41 Source Type",$C$5,"5 Source No.",$C690,"4 Item Ledger Entry Type",$C$4,"2 Item No.","@@"&amp;$F690,"3 Posting Date",Z$9)+NL("Sum","5802 Value Entry","17 Sales Amount (Actual)","41 Source Type",$C$5,"5 Source no.",$C690,"4 Item Ledger Entry Type",$C$4,"2 Item No.","@@"&amp;$F690,"3 Posting Date",Z$9)</t>
  </si>
  <si>
    <t>=-NL("Sum","5802 Value Entry","151 Cost Amount (Expected)","41 Source Type",$C$5,"5 Source No.",$C690,"4 Item Ledger Entry Type",$C$4,"2 Item No.","@@"&amp;$F690,"3 Posting Date",Z$9)-NL("Sum","5802 Value Entry","43 Cost Amount (Actual)","41 Source Type",$C$5,"5 Source no.",$C690,"4 Item Ledger Entry Type",$C$4,"2 Item No.","@@"&amp;$F690,"3 Posting Date",Z$9)</t>
  </si>
  <si>
    <t>=Z690-AB690</t>
  </si>
  <si>
    <t>=IF(Z690&lt;&gt;0,AC690/Z690,"")</t>
  </si>
  <si>
    <t>=C690</t>
  </si>
  <si>
    <t>=NL("Sum","5802 Value Entry","150 Sales Amount (Expected)","41 Source Type",$C$5,"5 Source No.",$C691,"4 Item Ledger Entry Type",$C$4,"2 Item No.","@@"&amp;$F691,"3 Posting Date",J$9)+NL("Sum","5802 Value Entry","17 Sales Amount (Actual)","41 Source Type",$C$5,"5 Source no.",$C691,"4 Item Ledger Entry Type",$C$4,"2 Item No.","@@"&amp;$F691,"3 Posting Date",J$9)</t>
  </si>
  <si>
    <t>=-NL("Sum","5802 Value Entry","151 Cost Amount (Expected)","41 Source Type",$C$5,"5 Source No.",$C691,"4 Item Ledger Entry Type",$C$4,"2 Item No.","@@"&amp;$F691,"3 Posting Date",J$9)-NL("Sum","5802 Value Entry","43 Cost Amount (Actual)","41 Source Type",$C$5,"5 Source no.",$C691,"4 Item Ledger Entry Type",$C$4,"2 Item No.","@@"&amp;$F691,"3 Posting Date",J$9)</t>
  </si>
  <si>
    <t>=J691-L691</t>
  </si>
  <si>
    <t>=IF(J691&lt;&gt;0,M691/J691,"")</t>
  </si>
  <si>
    <t>=NL("Sum","5802 Value Entry","150 Sales Amount (Expected)","41 Source Type",$C$5,"5 Source No.",$C691,"4 Item Ledger Entry Type",$C$4,"2 Item No.","@@"&amp;$F691,"3 Posting Date",O$9)+NL("Sum","5802 Value Entry","17 Sales Amount (Actual)","41 Source Type",$C$5,"5 Source no.",$C691,"4 Item Ledger Entry Type",$C$4,"2 Item No.","@@"&amp;$F691,"3 Posting Date",O$9)</t>
  </si>
  <si>
    <t>=-NL("Sum","5802 Value Entry","151 Cost Amount (Expected)","41 Source Type",$C$5,"5 Source No.",$C691,"4 Item Ledger Entry Type",$C$4,"2 Item No.","@@"&amp;$F691,"3 Posting Date",O$9)-NL("Sum","5802 Value Entry","43 Cost Amount (Actual)","41 Source Type",$C$5,"5 Source no.",$C691,"4 Item Ledger Entry Type",$C$4,"2 Item No.","@@"&amp;$F691,"3 Posting Date",O$9)</t>
  </si>
  <si>
    <t>=O691-Q691</t>
  </si>
  <si>
    <t>=IF(O691&lt;&gt;0,R691/O691,"")</t>
  </si>
  <si>
    <t>=NL("Sum","5802 Value Entry","150 Sales Amount (Expected)","41 Source Type",$C$5,"5 Source No.",$C691,"4 Item Ledger Entry Type",$C$4,"2 Item No.","@@"&amp;$F691,"3 Posting Date",U$9)+NL("Sum","5802 Value Entry","17 Sales Amount (Actual)","41 Source Type",$C$5,"5 Source no.",$C691,"4 Item Ledger Entry Type",$C$4,"2 Item No.","@@"&amp;$F691,"3 Posting Date",U$9)</t>
  </si>
  <si>
    <t>=-NL("Sum","5802 Value Entry","151 Cost Amount (Expected)","41 Source Type",$C$5,"5 Source No.",$C691,"4 Item Ledger Entry Type",$C$4,"2 Item No.","@@"&amp;$F691,"3 Posting Date",U$9)-NL("Sum","5802 Value Entry","43 Cost Amount (Actual)","41 Source Type",$C$5,"5 Source no.",$C691,"4 Item Ledger Entry Type",$C$4,"2 Item No.","@@"&amp;$F691,"3 Posting Date",U$9)</t>
  </si>
  <si>
    <t>=U691-W691</t>
  </si>
  <si>
    <t>=IF(U691&lt;&gt;0,X691/U691,"")</t>
  </si>
  <si>
    <t>=NL("Sum","5802 Value Entry","150 Sales Amount (Expected)","41 Source Type",$C$5,"5 Source No.",$C691,"4 Item Ledger Entry Type",$C$4,"2 Item No.","@@"&amp;$F691,"3 Posting Date",Z$9)+NL("Sum","5802 Value Entry","17 Sales Amount (Actual)","41 Source Type",$C$5,"5 Source no.",$C691,"4 Item Ledger Entry Type",$C$4,"2 Item No.","@@"&amp;$F691,"3 Posting Date",Z$9)</t>
  </si>
  <si>
    <t>=-NL("Sum","5802 Value Entry","151 Cost Amount (Expected)","41 Source Type",$C$5,"5 Source No.",$C691,"4 Item Ledger Entry Type",$C$4,"2 Item No.","@@"&amp;$F691,"3 Posting Date",Z$9)-NL("Sum","5802 Value Entry","43 Cost Amount (Actual)","41 Source Type",$C$5,"5 Source no.",$C691,"4 Item Ledger Entry Type",$C$4,"2 Item No.","@@"&amp;$F691,"3 Posting Date",Z$9)</t>
  </si>
  <si>
    <t>=Z691-AB691</t>
  </si>
  <si>
    <t>=IF(Z691&lt;&gt;0,AC691/Z691,"")</t>
  </si>
  <si>
    <t>=C691</t>
  </si>
  <si>
    <t>=NL("Sum","5802 Value Entry","150 Sales Amount (Expected)","41 Source Type",$C$5,"5 Source No.",$C692,"4 Item Ledger Entry Type",$C$4,"2 Item No.","@@"&amp;$F692,"3 Posting Date",J$9)+NL("Sum","5802 Value Entry","17 Sales Amount (Actual)","41 Source Type",$C$5,"5 Source no.",$C692,"4 Item Ledger Entry Type",$C$4,"2 Item No.","@@"&amp;$F692,"3 Posting Date",J$9)</t>
  </si>
  <si>
    <t>=-NL("Sum","5802 Value Entry","151 Cost Amount (Expected)","41 Source Type",$C$5,"5 Source No.",$C692,"4 Item Ledger Entry Type",$C$4,"2 Item No.","@@"&amp;$F692,"3 Posting Date",J$9)-NL("Sum","5802 Value Entry","43 Cost Amount (Actual)","41 Source Type",$C$5,"5 Source no.",$C692,"4 Item Ledger Entry Type",$C$4,"2 Item No.","@@"&amp;$F692,"3 Posting Date",J$9)</t>
  </si>
  <si>
    <t>=J692-L692</t>
  </si>
  <si>
    <t>=IF(J692&lt;&gt;0,M692/J692,"")</t>
  </si>
  <si>
    <t>=NL("Sum","5802 Value Entry","150 Sales Amount (Expected)","41 Source Type",$C$5,"5 Source No.",$C692,"4 Item Ledger Entry Type",$C$4,"2 Item No.","@@"&amp;$F692,"3 Posting Date",O$9)+NL("Sum","5802 Value Entry","17 Sales Amount (Actual)","41 Source Type",$C$5,"5 Source no.",$C692,"4 Item Ledger Entry Type",$C$4,"2 Item No.","@@"&amp;$F692,"3 Posting Date",O$9)</t>
  </si>
  <si>
    <t>=-NL("Sum","5802 Value Entry","151 Cost Amount (Expected)","41 Source Type",$C$5,"5 Source No.",$C692,"4 Item Ledger Entry Type",$C$4,"2 Item No.","@@"&amp;$F692,"3 Posting Date",O$9)-NL("Sum","5802 Value Entry","43 Cost Amount (Actual)","41 Source Type",$C$5,"5 Source no.",$C692,"4 Item Ledger Entry Type",$C$4,"2 Item No.","@@"&amp;$F692,"3 Posting Date",O$9)</t>
  </si>
  <si>
    <t>=O692-Q692</t>
  </si>
  <si>
    <t>=IF(O692&lt;&gt;0,R692/O692,"")</t>
  </si>
  <si>
    <t>=NL("Sum","5802 Value Entry","150 Sales Amount (Expected)","41 Source Type",$C$5,"5 Source No.",$C692,"4 Item Ledger Entry Type",$C$4,"2 Item No.","@@"&amp;$F692,"3 Posting Date",U$9)+NL("Sum","5802 Value Entry","17 Sales Amount (Actual)","41 Source Type",$C$5,"5 Source no.",$C692,"4 Item Ledger Entry Type",$C$4,"2 Item No.","@@"&amp;$F692,"3 Posting Date",U$9)</t>
  </si>
  <si>
    <t>=-NL("Sum","5802 Value Entry","151 Cost Amount (Expected)","41 Source Type",$C$5,"5 Source No.",$C692,"4 Item Ledger Entry Type",$C$4,"2 Item No.","@@"&amp;$F692,"3 Posting Date",U$9)-NL("Sum","5802 Value Entry","43 Cost Amount (Actual)","41 Source Type",$C$5,"5 Source no.",$C692,"4 Item Ledger Entry Type",$C$4,"2 Item No.","@@"&amp;$F692,"3 Posting Date",U$9)</t>
  </si>
  <si>
    <t>=U692-W692</t>
  </si>
  <si>
    <t>=IF(U692&lt;&gt;0,X692/U692,"")</t>
  </si>
  <si>
    <t>=NL("Sum","5802 Value Entry","150 Sales Amount (Expected)","41 Source Type",$C$5,"5 Source No.",$C692,"4 Item Ledger Entry Type",$C$4,"2 Item No.","@@"&amp;$F692,"3 Posting Date",Z$9)+NL("Sum","5802 Value Entry","17 Sales Amount (Actual)","41 Source Type",$C$5,"5 Source no.",$C692,"4 Item Ledger Entry Type",$C$4,"2 Item No.","@@"&amp;$F692,"3 Posting Date",Z$9)</t>
  </si>
  <si>
    <t>=-NL("Sum","5802 Value Entry","151 Cost Amount (Expected)","41 Source Type",$C$5,"5 Source No.",$C692,"4 Item Ledger Entry Type",$C$4,"2 Item No.","@@"&amp;$F692,"3 Posting Date",Z$9)-NL("Sum","5802 Value Entry","43 Cost Amount (Actual)","41 Source Type",$C$5,"5 Source no.",$C692,"4 Item Ledger Entry Type",$C$4,"2 Item No.","@@"&amp;$F692,"3 Posting Date",Z$9)</t>
  </si>
  <si>
    <t>=Z692-AB692</t>
  </si>
  <si>
    <t>=IF(Z692&lt;&gt;0,AC692/Z692,"")</t>
  </si>
  <si>
    <t>=C692</t>
  </si>
  <si>
    <t>=NL("Sum","5802 Value Entry","150 Sales Amount (Expected)","41 Source Type",$C$5,"5 Source No.",$C693,"4 Item Ledger Entry Type",$C$4,"2 Item No.","@@"&amp;$F693,"3 Posting Date",J$9)+NL("Sum","5802 Value Entry","17 Sales Amount (Actual)","41 Source Type",$C$5,"5 Source no.",$C693,"4 Item Ledger Entry Type",$C$4,"2 Item No.","@@"&amp;$F693,"3 Posting Date",J$9)</t>
  </si>
  <si>
    <t>=-NL("Sum","5802 Value Entry","151 Cost Amount (Expected)","41 Source Type",$C$5,"5 Source No.",$C693,"4 Item Ledger Entry Type",$C$4,"2 Item No.","@@"&amp;$F693,"3 Posting Date",J$9)-NL("Sum","5802 Value Entry","43 Cost Amount (Actual)","41 Source Type",$C$5,"5 Source no.",$C693,"4 Item Ledger Entry Type",$C$4,"2 Item No.","@@"&amp;$F693,"3 Posting Date",J$9)</t>
  </si>
  <si>
    <t>=J693-L693</t>
  </si>
  <si>
    <t>=IF(J693&lt;&gt;0,M693/J693,"")</t>
  </si>
  <si>
    <t>=NL("Sum","5802 Value Entry","150 Sales Amount (Expected)","41 Source Type",$C$5,"5 Source No.",$C693,"4 Item Ledger Entry Type",$C$4,"2 Item No.","@@"&amp;$F693,"3 Posting Date",O$9)+NL("Sum","5802 Value Entry","17 Sales Amount (Actual)","41 Source Type",$C$5,"5 Source no.",$C693,"4 Item Ledger Entry Type",$C$4,"2 Item No.","@@"&amp;$F693,"3 Posting Date",O$9)</t>
  </si>
  <si>
    <t>=-NL("Sum","5802 Value Entry","151 Cost Amount (Expected)","41 Source Type",$C$5,"5 Source No.",$C693,"4 Item Ledger Entry Type",$C$4,"2 Item No.","@@"&amp;$F693,"3 Posting Date",O$9)-NL("Sum","5802 Value Entry","43 Cost Amount (Actual)","41 Source Type",$C$5,"5 Source no.",$C693,"4 Item Ledger Entry Type",$C$4,"2 Item No.","@@"&amp;$F693,"3 Posting Date",O$9)</t>
  </si>
  <si>
    <t>=O693-Q693</t>
  </si>
  <si>
    <t>=IF(O693&lt;&gt;0,R693/O693,"")</t>
  </si>
  <si>
    <t>=NL("Sum","5802 Value Entry","150 Sales Amount (Expected)","41 Source Type",$C$5,"5 Source No.",$C693,"4 Item Ledger Entry Type",$C$4,"2 Item No.","@@"&amp;$F693,"3 Posting Date",U$9)+NL("Sum","5802 Value Entry","17 Sales Amount (Actual)","41 Source Type",$C$5,"5 Source no.",$C693,"4 Item Ledger Entry Type",$C$4,"2 Item No.","@@"&amp;$F693,"3 Posting Date",U$9)</t>
  </si>
  <si>
    <t>=-NL("Sum","5802 Value Entry","151 Cost Amount (Expected)","41 Source Type",$C$5,"5 Source No.",$C693,"4 Item Ledger Entry Type",$C$4,"2 Item No.","@@"&amp;$F693,"3 Posting Date",U$9)-NL("Sum","5802 Value Entry","43 Cost Amount (Actual)","41 Source Type",$C$5,"5 Source no.",$C693,"4 Item Ledger Entry Type",$C$4,"2 Item No.","@@"&amp;$F693,"3 Posting Date",U$9)</t>
  </si>
  <si>
    <t>=U693-W693</t>
  </si>
  <si>
    <t>=IF(U693&lt;&gt;0,X693/U693,"")</t>
  </si>
  <si>
    <t>=NL("Sum","5802 Value Entry","150 Sales Amount (Expected)","41 Source Type",$C$5,"5 Source No.",$C693,"4 Item Ledger Entry Type",$C$4,"2 Item No.","@@"&amp;$F693,"3 Posting Date",Z$9)+NL("Sum","5802 Value Entry","17 Sales Amount (Actual)","41 Source Type",$C$5,"5 Source no.",$C693,"4 Item Ledger Entry Type",$C$4,"2 Item No.","@@"&amp;$F693,"3 Posting Date",Z$9)</t>
  </si>
  <si>
    <t>=-NL("Sum","5802 Value Entry","151 Cost Amount (Expected)","41 Source Type",$C$5,"5 Source No.",$C693,"4 Item Ledger Entry Type",$C$4,"2 Item No.","@@"&amp;$F693,"3 Posting Date",Z$9)-NL("Sum","5802 Value Entry","43 Cost Amount (Actual)","41 Source Type",$C$5,"5 Source no.",$C693,"4 Item Ledger Entry Type",$C$4,"2 Item No.","@@"&amp;$F693,"3 Posting Date",Z$9)</t>
  </si>
  <si>
    <t>=Z693-AB693</t>
  </si>
  <si>
    <t>=IF(Z693&lt;&gt;0,AC693/Z693,"")</t>
  </si>
  <si>
    <t>=C693</t>
  </si>
  <si>
    <t>=NL("Sum","5802 Value Entry","150 Sales Amount (Expected)","41 Source Type",$C$5,"5 Source No.",$C694,"4 Item Ledger Entry Type",$C$4,"2 Item No.","@@"&amp;$F694,"3 Posting Date",J$9)+NL("Sum","5802 Value Entry","17 Sales Amount (Actual)","41 Source Type",$C$5,"5 Source no.",$C694,"4 Item Ledger Entry Type",$C$4,"2 Item No.","@@"&amp;$F694,"3 Posting Date",J$9)</t>
  </si>
  <si>
    <t>=-NL("Sum","5802 Value Entry","151 Cost Amount (Expected)","41 Source Type",$C$5,"5 Source No.",$C694,"4 Item Ledger Entry Type",$C$4,"2 Item No.","@@"&amp;$F694,"3 Posting Date",J$9)-NL("Sum","5802 Value Entry","43 Cost Amount (Actual)","41 Source Type",$C$5,"5 Source no.",$C694,"4 Item Ledger Entry Type",$C$4,"2 Item No.","@@"&amp;$F694,"3 Posting Date",J$9)</t>
  </si>
  <si>
    <t>=J694-L694</t>
  </si>
  <si>
    <t>=IF(J694&lt;&gt;0,M694/J694,"")</t>
  </si>
  <si>
    <t>=NL("Sum","5802 Value Entry","150 Sales Amount (Expected)","41 Source Type",$C$5,"5 Source No.",$C694,"4 Item Ledger Entry Type",$C$4,"2 Item No.","@@"&amp;$F694,"3 Posting Date",O$9)+NL("Sum","5802 Value Entry","17 Sales Amount (Actual)","41 Source Type",$C$5,"5 Source no.",$C694,"4 Item Ledger Entry Type",$C$4,"2 Item No.","@@"&amp;$F694,"3 Posting Date",O$9)</t>
  </si>
  <si>
    <t>=-NL("Sum","5802 Value Entry","151 Cost Amount (Expected)","41 Source Type",$C$5,"5 Source No.",$C694,"4 Item Ledger Entry Type",$C$4,"2 Item No.","@@"&amp;$F694,"3 Posting Date",O$9)-NL("Sum","5802 Value Entry","43 Cost Amount (Actual)","41 Source Type",$C$5,"5 Source no.",$C694,"4 Item Ledger Entry Type",$C$4,"2 Item No.","@@"&amp;$F694,"3 Posting Date",O$9)</t>
  </si>
  <si>
    <t>=O694-Q694</t>
  </si>
  <si>
    <t>=IF(O694&lt;&gt;0,R694/O694,"")</t>
  </si>
  <si>
    <t>=NL("Sum","5802 Value Entry","150 Sales Amount (Expected)","41 Source Type",$C$5,"5 Source No.",$C694,"4 Item Ledger Entry Type",$C$4,"2 Item No.","@@"&amp;$F694,"3 Posting Date",U$9)+NL("Sum","5802 Value Entry","17 Sales Amount (Actual)","41 Source Type",$C$5,"5 Source no.",$C694,"4 Item Ledger Entry Type",$C$4,"2 Item No.","@@"&amp;$F694,"3 Posting Date",U$9)</t>
  </si>
  <si>
    <t>=-NL("Sum","5802 Value Entry","151 Cost Amount (Expected)","41 Source Type",$C$5,"5 Source No.",$C694,"4 Item Ledger Entry Type",$C$4,"2 Item No.","@@"&amp;$F694,"3 Posting Date",U$9)-NL("Sum","5802 Value Entry","43 Cost Amount (Actual)","41 Source Type",$C$5,"5 Source no.",$C694,"4 Item Ledger Entry Type",$C$4,"2 Item No.","@@"&amp;$F694,"3 Posting Date",U$9)</t>
  </si>
  <si>
    <t>=U694-W694</t>
  </si>
  <si>
    <t>=IF(U694&lt;&gt;0,X694/U694,"")</t>
  </si>
  <si>
    <t>=NL("Sum","5802 Value Entry","150 Sales Amount (Expected)","41 Source Type",$C$5,"5 Source No.",$C694,"4 Item Ledger Entry Type",$C$4,"2 Item No.","@@"&amp;$F694,"3 Posting Date",Z$9)+NL("Sum","5802 Value Entry","17 Sales Amount (Actual)","41 Source Type",$C$5,"5 Source no.",$C694,"4 Item Ledger Entry Type",$C$4,"2 Item No.","@@"&amp;$F694,"3 Posting Date",Z$9)</t>
  </si>
  <si>
    <t>=-NL("Sum","5802 Value Entry","151 Cost Amount (Expected)","41 Source Type",$C$5,"5 Source No.",$C694,"4 Item Ledger Entry Type",$C$4,"2 Item No.","@@"&amp;$F694,"3 Posting Date",Z$9)-NL("Sum","5802 Value Entry","43 Cost Amount (Actual)","41 Source Type",$C$5,"5 Source no.",$C694,"4 Item Ledger Entry Type",$C$4,"2 Item No.","@@"&amp;$F694,"3 Posting Date",Z$9)</t>
  </si>
  <si>
    <t>=Z694-AB694</t>
  </si>
  <si>
    <t>=IF(Z694&lt;&gt;0,AC694/Z694,"")</t>
  </si>
  <si>
    <t>=C694</t>
  </si>
  <si>
    <t>=NL("Sum","5802 Value Entry","150 Sales Amount (Expected)","41 Source Type",$C$5,"5 Source No.",$C695,"4 Item Ledger Entry Type",$C$4,"2 Item No.","@@"&amp;$F695,"3 Posting Date",J$9)+NL("Sum","5802 Value Entry","17 Sales Amount (Actual)","41 Source Type",$C$5,"5 Source no.",$C695,"4 Item Ledger Entry Type",$C$4,"2 Item No.","@@"&amp;$F695,"3 Posting Date",J$9)</t>
  </si>
  <si>
    <t>=-NL("Sum","5802 Value Entry","151 Cost Amount (Expected)","41 Source Type",$C$5,"5 Source No.",$C695,"4 Item Ledger Entry Type",$C$4,"2 Item No.","@@"&amp;$F695,"3 Posting Date",J$9)-NL("Sum","5802 Value Entry","43 Cost Amount (Actual)","41 Source Type",$C$5,"5 Source no.",$C695,"4 Item Ledger Entry Type",$C$4,"2 Item No.","@@"&amp;$F695,"3 Posting Date",J$9)</t>
  </si>
  <si>
    <t>=J695-L695</t>
  </si>
  <si>
    <t>=IF(J695&lt;&gt;0,M695/J695,"")</t>
  </si>
  <si>
    <t>=NL("Sum","5802 Value Entry","150 Sales Amount (Expected)","41 Source Type",$C$5,"5 Source No.",$C695,"4 Item Ledger Entry Type",$C$4,"2 Item No.","@@"&amp;$F695,"3 Posting Date",O$9)+NL("Sum","5802 Value Entry","17 Sales Amount (Actual)","41 Source Type",$C$5,"5 Source no.",$C695,"4 Item Ledger Entry Type",$C$4,"2 Item No.","@@"&amp;$F695,"3 Posting Date",O$9)</t>
  </si>
  <si>
    <t>=-NL("Sum","5802 Value Entry","151 Cost Amount (Expected)","41 Source Type",$C$5,"5 Source No.",$C695,"4 Item Ledger Entry Type",$C$4,"2 Item No.","@@"&amp;$F695,"3 Posting Date",O$9)-NL("Sum","5802 Value Entry","43 Cost Amount (Actual)","41 Source Type",$C$5,"5 Source no.",$C695,"4 Item Ledger Entry Type",$C$4,"2 Item No.","@@"&amp;$F695,"3 Posting Date",O$9)</t>
  </si>
  <si>
    <t>=O695-Q695</t>
  </si>
  <si>
    <t>=IF(O695&lt;&gt;0,R695/O695,"")</t>
  </si>
  <si>
    <t>=NL("Sum","5802 Value Entry","150 Sales Amount (Expected)","41 Source Type",$C$5,"5 Source No.",$C695,"4 Item Ledger Entry Type",$C$4,"2 Item No.","@@"&amp;$F695,"3 Posting Date",U$9)+NL("Sum","5802 Value Entry","17 Sales Amount (Actual)","41 Source Type",$C$5,"5 Source no.",$C695,"4 Item Ledger Entry Type",$C$4,"2 Item No.","@@"&amp;$F695,"3 Posting Date",U$9)</t>
  </si>
  <si>
    <t>=-NL("Sum","5802 Value Entry","151 Cost Amount (Expected)","41 Source Type",$C$5,"5 Source No.",$C695,"4 Item Ledger Entry Type",$C$4,"2 Item No.","@@"&amp;$F695,"3 Posting Date",U$9)-NL("Sum","5802 Value Entry","43 Cost Amount (Actual)","41 Source Type",$C$5,"5 Source no.",$C695,"4 Item Ledger Entry Type",$C$4,"2 Item No.","@@"&amp;$F695,"3 Posting Date",U$9)</t>
  </si>
  <si>
    <t>=U695-W695</t>
  </si>
  <si>
    <t>=IF(U695&lt;&gt;0,X695/U695,"")</t>
  </si>
  <si>
    <t>=NL("Sum","5802 Value Entry","150 Sales Amount (Expected)","41 Source Type",$C$5,"5 Source No.",$C695,"4 Item Ledger Entry Type",$C$4,"2 Item No.","@@"&amp;$F695,"3 Posting Date",Z$9)+NL("Sum","5802 Value Entry","17 Sales Amount (Actual)","41 Source Type",$C$5,"5 Source no.",$C695,"4 Item Ledger Entry Type",$C$4,"2 Item No.","@@"&amp;$F695,"3 Posting Date",Z$9)</t>
  </si>
  <si>
    <t>=-NL("Sum","5802 Value Entry","151 Cost Amount (Expected)","41 Source Type",$C$5,"5 Source No.",$C695,"4 Item Ledger Entry Type",$C$4,"2 Item No.","@@"&amp;$F695,"3 Posting Date",Z$9)-NL("Sum","5802 Value Entry","43 Cost Amount (Actual)","41 Source Type",$C$5,"5 Source no.",$C695,"4 Item Ledger Entry Type",$C$4,"2 Item No.","@@"&amp;$F695,"3 Posting Date",Z$9)</t>
  </si>
  <si>
    <t>=Z695-AB695</t>
  </si>
  <si>
    <t>=IF(Z695&lt;&gt;0,AC695/Z695,"")</t>
  </si>
  <si>
    <t>=C695</t>
  </si>
  <si>
    <t>=NL("Sum","5802 Value Entry","150 Sales Amount (Expected)","41 Source Type",$C$5,"5 Source No.",$C696,"4 Item Ledger Entry Type",$C$4,"2 Item No.","@@"&amp;$F696,"3 Posting Date",J$9)+NL("Sum","5802 Value Entry","17 Sales Amount (Actual)","41 Source Type",$C$5,"5 Source no.",$C696,"4 Item Ledger Entry Type",$C$4,"2 Item No.","@@"&amp;$F696,"3 Posting Date",J$9)</t>
  </si>
  <si>
    <t>=-NL("Sum","5802 Value Entry","151 Cost Amount (Expected)","41 Source Type",$C$5,"5 Source No.",$C696,"4 Item Ledger Entry Type",$C$4,"2 Item No.","@@"&amp;$F696,"3 Posting Date",J$9)-NL("Sum","5802 Value Entry","43 Cost Amount (Actual)","41 Source Type",$C$5,"5 Source no.",$C696,"4 Item Ledger Entry Type",$C$4,"2 Item No.","@@"&amp;$F696,"3 Posting Date",J$9)</t>
  </si>
  <si>
    <t>=J696-L696</t>
  </si>
  <si>
    <t>=IF(J696&lt;&gt;0,M696/J696,"")</t>
  </si>
  <si>
    <t>=NL("Sum","5802 Value Entry","150 Sales Amount (Expected)","41 Source Type",$C$5,"5 Source No.",$C696,"4 Item Ledger Entry Type",$C$4,"2 Item No.","@@"&amp;$F696,"3 Posting Date",O$9)+NL("Sum","5802 Value Entry","17 Sales Amount (Actual)","41 Source Type",$C$5,"5 Source no.",$C696,"4 Item Ledger Entry Type",$C$4,"2 Item No.","@@"&amp;$F696,"3 Posting Date",O$9)</t>
  </si>
  <si>
    <t>=-NL("Sum","5802 Value Entry","151 Cost Amount (Expected)","41 Source Type",$C$5,"5 Source No.",$C696,"4 Item Ledger Entry Type",$C$4,"2 Item No.","@@"&amp;$F696,"3 Posting Date",O$9)-NL("Sum","5802 Value Entry","43 Cost Amount (Actual)","41 Source Type",$C$5,"5 Source no.",$C696,"4 Item Ledger Entry Type",$C$4,"2 Item No.","@@"&amp;$F696,"3 Posting Date",O$9)</t>
  </si>
  <si>
    <t>=O696-Q696</t>
  </si>
  <si>
    <t>=IF(O696&lt;&gt;0,R696/O696,"")</t>
  </si>
  <si>
    <t>=NL("Sum","5802 Value Entry","150 Sales Amount (Expected)","41 Source Type",$C$5,"5 Source No.",$C696,"4 Item Ledger Entry Type",$C$4,"2 Item No.","@@"&amp;$F696,"3 Posting Date",U$9)+NL("Sum","5802 Value Entry","17 Sales Amount (Actual)","41 Source Type",$C$5,"5 Source no.",$C696,"4 Item Ledger Entry Type",$C$4,"2 Item No.","@@"&amp;$F696,"3 Posting Date",U$9)</t>
  </si>
  <si>
    <t>=-NL("Sum","5802 Value Entry","151 Cost Amount (Expected)","41 Source Type",$C$5,"5 Source No.",$C696,"4 Item Ledger Entry Type",$C$4,"2 Item No.","@@"&amp;$F696,"3 Posting Date",U$9)-NL("Sum","5802 Value Entry","43 Cost Amount (Actual)","41 Source Type",$C$5,"5 Source no.",$C696,"4 Item Ledger Entry Type",$C$4,"2 Item No.","@@"&amp;$F696,"3 Posting Date",U$9)</t>
  </si>
  <si>
    <t>=U696-W696</t>
  </si>
  <si>
    <t>=IF(U696&lt;&gt;0,X696/U696,"")</t>
  </si>
  <si>
    <t>=NL("Sum","5802 Value Entry","150 Sales Amount (Expected)","41 Source Type",$C$5,"5 Source No.",$C696,"4 Item Ledger Entry Type",$C$4,"2 Item No.","@@"&amp;$F696,"3 Posting Date",Z$9)+NL("Sum","5802 Value Entry","17 Sales Amount (Actual)","41 Source Type",$C$5,"5 Source no.",$C696,"4 Item Ledger Entry Type",$C$4,"2 Item No.","@@"&amp;$F696,"3 Posting Date",Z$9)</t>
  </si>
  <si>
    <t>=-NL("Sum","5802 Value Entry","151 Cost Amount (Expected)","41 Source Type",$C$5,"5 Source No.",$C696,"4 Item Ledger Entry Type",$C$4,"2 Item No.","@@"&amp;$F696,"3 Posting Date",Z$9)-NL("Sum","5802 Value Entry","43 Cost Amount (Actual)","41 Source Type",$C$5,"5 Source no.",$C696,"4 Item Ledger Entry Type",$C$4,"2 Item No.","@@"&amp;$F696,"3 Posting Date",Z$9)</t>
  </si>
  <si>
    <t>=Z696-AB696</t>
  </si>
  <si>
    <t>=IF(Z696&lt;&gt;0,AC696/Z696,"")</t>
  </si>
  <si>
    <t>=C696</t>
  </si>
  <si>
    <t>=NL("Sum","5802 Value Entry","150 Sales Amount (Expected)","41 Source Type",$C$5,"5 Source No.",$C697,"4 Item Ledger Entry Type",$C$4,"2 Item No.","@@"&amp;$F697,"3 Posting Date",J$9)+NL("Sum","5802 Value Entry","17 Sales Amount (Actual)","41 Source Type",$C$5,"5 Source no.",$C697,"4 Item Ledger Entry Type",$C$4,"2 Item No.","@@"&amp;$F697,"3 Posting Date",J$9)</t>
  </si>
  <si>
    <t>=-NL("Sum","5802 Value Entry","151 Cost Amount (Expected)","41 Source Type",$C$5,"5 Source No.",$C697,"4 Item Ledger Entry Type",$C$4,"2 Item No.","@@"&amp;$F697,"3 Posting Date",J$9)-NL("Sum","5802 Value Entry","43 Cost Amount (Actual)","41 Source Type",$C$5,"5 Source no.",$C697,"4 Item Ledger Entry Type",$C$4,"2 Item No.","@@"&amp;$F697,"3 Posting Date",J$9)</t>
  </si>
  <si>
    <t>=J697-L697</t>
  </si>
  <si>
    <t>=IF(J697&lt;&gt;0,M697/J697,"")</t>
  </si>
  <si>
    <t>=NL("Sum","5802 Value Entry","150 Sales Amount (Expected)","41 Source Type",$C$5,"5 Source No.",$C697,"4 Item Ledger Entry Type",$C$4,"2 Item No.","@@"&amp;$F697,"3 Posting Date",O$9)+NL("Sum","5802 Value Entry","17 Sales Amount (Actual)","41 Source Type",$C$5,"5 Source no.",$C697,"4 Item Ledger Entry Type",$C$4,"2 Item No.","@@"&amp;$F697,"3 Posting Date",O$9)</t>
  </si>
  <si>
    <t>=-NL("Sum","5802 Value Entry","151 Cost Amount (Expected)","41 Source Type",$C$5,"5 Source No.",$C697,"4 Item Ledger Entry Type",$C$4,"2 Item No.","@@"&amp;$F697,"3 Posting Date",O$9)-NL("Sum","5802 Value Entry","43 Cost Amount (Actual)","41 Source Type",$C$5,"5 Source no.",$C697,"4 Item Ledger Entry Type",$C$4,"2 Item No.","@@"&amp;$F697,"3 Posting Date",O$9)</t>
  </si>
  <si>
    <t>=O697-Q697</t>
  </si>
  <si>
    <t>=IF(O697&lt;&gt;0,R697/O697,"")</t>
  </si>
  <si>
    <t>=NL("Sum","5802 Value Entry","150 Sales Amount (Expected)","41 Source Type",$C$5,"5 Source No.",$C697,"4 Item Ledger Entry Type",$C$4,"2 Item No.","@@"&amp;$F697,"3 Posting Date",U$9)+NL("Sum","5802 Value Entry","17 Sales Amount (Actual)","41 Source Type",$C$5,"5 Source no.",$C697,"4 Item Ledger Entry Type",$C$4,"2 Item No.","@@"&amp;$F697,"3 Posting Date",U$9)</t>
  </si>
  <si>
    <t>=-NL("Sum","5802 Value Entry","151 Cost Amount (Expected)","41 Source Type",$C$5,"5 Source No.",$C697,"4 Item Ledger Entry Type",$C$4,"2 Item No.","@@"&amp;$F697,"3 Posting Date",U$9)-NL("Sum","5802 Value Entry","43 Cost Amount (Actual)","41 Source Type",$C$5,"5 Source no.",$C697,"4 Item Ledger Entry Type",$C$4,"2 Item No.","@@"&amp;$F697,"3 Posting Date",U$9)</t>
  </si>
  <si>
    <t>=U697-W697</t>
  </si>
  <si>
    <t>=IF(U697&lt;&gt;0,X697/U697,"")</t>
  </si>
  <si>
    <t>=NL("Sum","5802 Value Entry","150 Sales Amount (Expected)","41 Source Type",$C$5,"5 Source No.",$C697,"4 Item Ledger Entry Type",$C$4,"2 Item No.","@@"&amp;$F697,"3 Posting Date",Z$9)+NL("Sum","5802 Value Entry","17 Sales Amount (Actual)","41 Source Type",$C$5,"5 Source no.",$C697,"4 Item Ledger Entry Type",$C$4,"2 Item No.","@@"&amp;$F697,"3 Posting Date",Z$9)</t>
  </si>
  <si>
    <t>=-NL("Sum","5802 Value Entry","151 Cost Amount (Expected)","41 Source Type",$C$5,"5 Source No.",$C697,"4 Item Ledger Entry Type",$C$4,"2 Item No.","@@"&amp;$F697,"3 Posting Date",Z$9)-NL("Sum","5802 Value Entry","43 Cost Amount (Actual)","41 Source Type",$C$5,"5 Source no.",$C697,"4 Item Ledger Entry Type",$C$4,"2 Item No.","@@"&amp;$F697,"3 Posting Date",Z$9)</t>
  </si>
  <si>
    <t>=Z697-AB697</t>
  </si>
  <si>
    <t>=IF(Z697&lt;&gt;0,AC697/Z697,"")</t>
  </si>
  <si>
    <t>=C697</t>
  </si>
  <si>
    <t>=NL("Sum","5802 Value Entry","150 Sales Amount (Expected)","41 Source Type",$C$5,"5 Source No.",$C698,"4 Item Ledger Entry Type",$C$4,"2 Item No.","@@"&amp;$F698,"3 Posting Date",J$9)+NL("Sum","5802 Value Entry","17 Sales Amount (Actual)","41 Source Type",$C$5,"5 Source no.",$C698,"4 Item Ledger Entry Type",$C$4,"2 Item No.","@@"&amp;$F698,"3 Posting Date",J$9)</t>
  </si>
  <si>
    <t>=-NL("Sum","5802 Value Entry","151 Cost Amount (Expected)","41 Source Type",$C$5,"5 Source No.",$C698,"4 Item Ledger Entry Type",$C$4,"2 Item No.","@@"&amp;$F698,"3 Posting Date",J$9)-NL("Sum","5802 Value Entry","43 Cost Amount (Actual)","41 Source Type",$C$5,"5 Source no.",$C698,"4 Item Ledger Entry Type",$C$4,"2 Item No.","@@"&amp;$F698,"3 Posting Date",J$9)</t>
  </si>
  <si>
    <t>=J698-L698</t>
  </si>
  <si>
    <t>=IF(J698&lt;&gt;0,M698/J698,"")</t>
  </si>
  <si>
    <t>=NL("Sum","5802 Value Entry","150 Sales Amount (Expected)","41 Source Type",$C$5,"5 Source No.",$C698,"4 Item Ledger Entry Type",$C$4,"2 Item No.","@@"&amp;$F698,"3 Posting Date",O$9)+NL("Sum","5802 Value Entry","17 Sales Amount (Actual)","41 Source Type",$C$5,"5 Source no.",$C698,"4 Item Ledger Entry Type",$C$4,"2 Item No.","@@"&amp;$F698,"3 Posting Date",O$9)</t>
  </si>
  <si>
    <t>=-NL("Sum","5802 Value Entry","151 Cost Amount (Expected)","41 Source Type",$C$5,"5 Source No.",$C698,"4 Item Ledger Entry Type",$C$4,"2 Item No.","@@"&amp;$F698,"3 Posting Date",O$9)-NL("Sum","5802 Value Entry","43 Cost Amount (Actual)","41 Source Type",$C$5,"5 Source no.",$C698,"4 Item Ledger Entry Type",$C$4,"2 Item No.","@@"&amp;$F698,"3 Posting Date",O$9)</t>
  </si>
  <si>
    <t>=O698-Q698</t>
  </si>
  <si>
    <t>=IF(O698&lt;&gt;0,R698/O698,"")</t>
  </si>
  <si>
    <t>=NL("Sum","5802 Value Entry","150 Sales Amount (Expected)","41 Source Type",$C$5,"5 Source No.",$C698,"4 Item Ledger Entry Type",$C$4,"2 Item No.","@@"&amp;$F698,"3 Posting Date",U$9)+NL("Sum","5802 Value Entry","17 Sales Amount (Actual)","41 Source Type",$C$5,"5 Source no.",$C698,"4 Item Ledger Entry Type",$C$4,"2 Item No.","@@"&amp;$F698,"3 Posting Date",U$9)</t>
  </si>
  <si>
    <t>=-NL("Sum","5802 Value Entry","151 Cost Amount (Expected)","41 Source Type",$C$5,"5 Source No.",$C698,"4 Item Ledger Entry Type",$C$4,"2 Item No.","@@"&amp;$F698,"3 Posting Date",U$9)-NL("Sum","5802 Value Entry","43 Cost Amount (Actual)","41 Source Type",$C$5,"5 Source no.",$C698,"4 Item Ledger Entry Type",$C$4,"2 Item No.","@@"&amp;$F698,"3 Posting Date",U$9)</t>
  </si>
  <si>
    <t>=U698-W698</t>
  </si>
  <si>
    <t>=IF(U698&lt;&gt;0,X698/U698,"")</t>
  </si>
  <si>
    <t>=NL("Sum","5802 Value Entry","150 Sales Amount (Expected)","41 Source Type",$C$5,"5 Source No.",$C698,"4 Item Ledger Entry Type",$C$4,"2 Item No.","@@"&amp;$F698,"3 Posting Date",Z$9)+NL("Sum","5802 Value Entry","17 Sales Amount (Actual)","41 Source Type",$C$5,"5 Source no.",$C698,"4 Item Ledger Entry Type",$C$4,"2 Item No.","@@"&amp;$F698,"3 Posting Date",Z$9)</t>
  </si>
  <si>
    <t>=-NL("Sum","5802 Value Entry","151 Cost Amount (Expected)","41 Source Type",$C$5,"5 Source No.",$C698,"4 Item Ledger Entry Type",$C$4,"2 Item No.","@@"&amp;$F698,"3 Posting Date",Z$9)-NL("Sum","5802 Value Entry","43 Cost Amount (Actual)","41 Source Type",$C$5,"5 Source no.",$C698,"4 Item Ledger Entry Type",$C$4,"2 Item No.","@@"&amp;$F698,"3 Posting Date",Z$9)</t>
  </si>
  <si>
    <t>=Z698-AB698</t>
  </si>
  <si>
    <t>=IF(Z698&lt;&gt;0,AC698/Z698,"")</t>
  </si>
  <si>
    <t>=C698</t>
  </si>
  <si>
    <t>=NL("Sum","5802 Value Entry","150 Sales Amount (Expected)","41 Source Type",$C$5,"5 Source No.",$C699,"4 Item Ledger Entry Type",$C$4,"2 Item No.","@@"&amp;$F699,"3 Posting Date",J$9)+NL("Sum","5802 Value Entry","17 Sales Amount (Actual)","41 Source Type",$C$5,"5 Source no.",$C699,"4 Item Ledger Entry Type",$C$4,"2 Item No.","@@"&amp;$F699,"3 Posting Date",J$9)</t>
  </si>
  <si>
    <t>=-NL("Sum","5802 Value Entry","151 Cost Amount (Expected)","41 Source Type",$C$5,"5 Source No.",$C699,"4 Item Ledger Entry Type",$C$4,"2 Item No.","@@"&amp;$F699,"3 Posting Date",J$9)-NL("Sum","5802 Value Entry","43 Cost Amount (Actual)","41 Source Type",$C$5,"5 Source no.",$C699,"4 Item Ledger Entry Type",$C$4,"2 Item No.","@@"&amp;$F699,"3 Posting Date",J$9)</t>
  </si>
  <si>
    <t>=J699-L699</t>
  </si>
  <si>
    <t>=IF(J699&lt;&gt;0,M699/J699,"")</t>
  </si>
  <si>
    <t>=NL("Sum","5802 Value Entry","150 Sales Amount (Expected)","41 Source Type",$C$5,"5 Source No.",$C699,"4 Item Ledger Entry Type",$C$4,"2 Item No.","@@"&amp;$F699,"3 Posting Date",O$9)+NL("Sum","5802 Value Entry","17 Sales Amount (Actual)","41 Source Type",$C$5,"5 Source no.",$C699,"4 Item Ledger Entry Type",$C$4,"2 Item No.","@@"&amp;$F699,"3 Posting Date",O$9)</t>
  </si>
  <si>
    <t>=-NL("Sum","5802 Value Entry","151 Cost Amount (Expected)","41 Source Type",$C$5,"5 Source No.",$C699,"4 Item Ledger Entry Type",$C$4,"2 Item No.","@@"&amp;$F699,"3 Posting Date",O$9)-NL("Sum","5802 Value Entry","43 Cost Amount (Actual)","41 Source Type",$C$5,"5 Source no.",$C699,"4 Item Ledger Entry Type",$C$4,"2 Item No.","@@"&amp;$F699,"3 Posting Date",O$9)</t>
  </si>
  <si>
    <t>=O699-Q699</t>
  </si>
  <si>
    <t>=IF(O699&lt;&gt;0,R699/O699,"")</t>
  </si>
  <si>
    <t>=NL("Sum","5802 Value Entry","150 Sales Amount (Expected)","41 Source Type",$C$5,"5 Source No.",$C699,"4 Item Ledger Entry Type",$C$4,"2 Item No.","@@"&amp;$F699,"3 Posting Date",U$9)+NL("Sum","5802 Value Entry","17 Sales Amount (Actual)","41 Source Type",$C$5,"5 Source no.",$C699,"4 Item Ledger Entry Type",$C$4,"2 Item No.","@@"&amp;$F699,"3 Posting Date",U$9)</t>
  </si>
  <si>
    <t>=-NL("Sum","5802 Value Entry","151 Cost Amount (Expected)","41 Source Type",$C$5,"5 Source No.",$C699,"4 Item Ledger Entry Type",$C$4,"2 Item No.","@@"&amp;$F699,"3 Posting Date",U$9)-NL("Sum","5802 Value Entry","43 Cost Amount (Actual)","41 Source Type",$C$5,"5 Source no.",$C699,"4 Item Ledger Entry Type",$C$4,"2 Item No.","@@"&amp;$F699,"3 Posting Date",U$9)</t>
  </si>
  <si>
    <t>=U699-W699</t>
  </si>
  <si>
    <t>=IF(U699&lt;&gt;0,X699/U699,"")</t>
  </si>
  <si>
    <t>=NL("Sum","5802 Value Entry","150 Sales Amount (Expected)","41 Source Type",$C$5,"5 Source No.",$C699,"4 Item Ledger Entry Type",$C$4,"2 Item No.","@@"&amp;$F699,"3 Posting Date",Z$9)+NL("Sum","5802 Value Entry","17 Sales Amount (Actual)","41 Source Type",$C$5,"5 Source no.",$C699,"4 Item Ledger Entry Type",$C$4,"2 Item No.","@@"&amp;$F699,"3 Posting Date",Z$9)</t>
  </si>
  <si>
    <t>=-NL("Sum","5802 Value Entry","151 Cost Amount (Expected)","41 Source Type",$C$5,"5 Source No.",$C699,"4 Item Ledger Entry Type",$C$4,"2 Item No.","@@"&amp;$F699,"3 Posting Date",Z$9)-NL("Sum","5802 Value Entry","43 Cost Amount (Actual)","41 Source Type",$C$5,"5 Source no.",$C699,"4 Item Ledger Entry Type",$C$4,"2 Item No.","@@"&amp;$F699,"3 Posting Date",Z$9)</t>
  </si>
  <si>
    <t>=Z699-AB699</t>
  </si>
  <si>
    <t>=IF(Z699&lt;&gt;0,AC699/Z699,"")</t>
  </si>
  <si>
    <t>=C699</t>
  </si>
  <si>
    <t>=NL("Sum","5802 Value Entry","150 Sales Amount (Expected)","41 Source Type",$C$5,"5 Source No.",$C700,"4 Item Ledger Entry Type",$C$4,"2 Item No.","@@"&amp;$F700,"3 Posting Date",J$9)+NL("Sum","5802 Value Entry","17 Sales Amount (Actual)","41 Source Type",$C$5,"5 Source no.",$C700,"4 Item Ledger Entry Type",$C$4,"2 Item No.","@@"&amp;$F700,"3 Posting Date",J$9)</t>
  </si>
  <si>
    <t>=-NL("Sum","5802 Value Entry","151 Cost Amount (Expected)","41 Source Type",$C$5,"5 Source No.",$C700,"4 Item Ledger Entry Type",$C$4,"2 Item No.","@@"&amp;$F700,"3 Posting Date",J$9)-NL("Sum","5802 Value Entry","43 Cost Amount (Actual)","41 Source Type",$C$5,"5 Source no.",$C700,"4 Item Ledger Entry Type",$C$4,"2 Item No.","@@"&amp;$F700,"3 Posting Date",J$9)</t>
  </si>
  <si>
    <t>=J700-L700</t>
  </si>
  <si>
    <t>=IF(J700&lt;&gt;0,M700/J700,"")</t>
  </si>
  <si>
    <t>=NL("Sum","5802 Value Entry","150 Sales Amount (Expected)","41 Source Type",$C$5,"5 Source No.",$C700,"4 Item Ledger Entry Type",$C$4,"2 Item No.","@@"&amp;$F700,"3 Posting Date",O$9)+NL("Sum","5802 Value Entry","17 Sales Amount (Actual)","41 Source Type",$C$5,"5 Source no.",$C700,"4 Item Ledger Entry Type",$C$4,"2 Item No.","@@"&amp;$F700,"3 Posting Date",O$9)</t>
  </si>
  <si>
    <t>=-NL("Sum","5802 Value Entry","151 Cost Amount (Expected)","41 Source Type",$C$5,"5 Source No.",$C700,"4 Item Ledger Entry Type",$C$4,"2 Item No.","@@"&amp;$F700,"3 Posting Date",O$9)-NL("Sum","5802 Value Entry","43 Cost Amount (Actual)","41 Source Type",$C$5,"5 Source no.",$C700,"4 Item Ledger Entry Type",$C$4,"2 Item No.","@@"&amp;$F700,"3 Posting Date",O$9)</t>
  </si>
  <si>
    <t>=O700-Q700</t>
  </si>
  <si>
    <t>=IF(O700&lt;&gt;0,R700/O700,"")</t>
  </si>
  <si>
    <t>=NL("Sum","5802 Value Entry","150 Sales Amount (Expected)","41 Source Type",$C$5,"5 Source No.",$C700,"4 Item Ledger Entry Type",$C$4,"2 Item No.","@@"&amp;$F700,"3 Posting Date",U$9)+NL("Sum","5802 Value Entry","17 Sales Amount (Actual)","41 Source Type",$C$5,"5 Source no.",$C700,"4 Item Ledger Entry Type",$C$4,"2 Item No.","@@"&amp;$F700,"3 Posting Date",U$9)</t>
  </si>
  <si>
    <t>=-NL("Sum","5802 Value Entry","151 Cost Amount (Expected)","41 Source Type",$C$5,"5 Source No.",$C700,"4 Item Ledger Entry Type",$C$4,"2 Item No.","@@"&amp;$F700,"3 Posting Date",U$9)-NL("Sum","5802 Value Entry","43 Cost Amount (Actual)","41 Source Type",$C$5,"5 Source no.",$C700,"4 Item Ledger Entry Type",$C$4,"2 Item No.","@@"&amp;$F700,"3 Posting Date",U$9)</t>
  </si>
  <si>
    <t>=U700-W700</t>
  </si>
  <si>
    <t>=IF(U700&lt;&gt;0,X700/U700,"")</t>
  </si>
  <si>
    <t>=NL("Sum","5802 Value Entry","150 Sales Amount (Expected)","41 Source Type",$C$5,"5 Source No.",$C700,"4 Item Ledger Entry Type",$C$4,"2 Item No.","@@"&amp;$F700,"3 Posting Date",Z$9)+NL("Sum","5802 Value Entry","17 Sales Amount (Actual)","41 Source Type",$C$5,"5 Source no.",$C700,"4 Item Ledger Entry Type",$C$4,"2 Item No.","@@"&amp;$F700,"3 Posting Date",Z$9)</t>
  </si>
  <si>
    <t>=-NL("Sum","5802 Value Entry","151 Cost Amount (Expected)","41 Source Type",$C$5,"5 Source No.",$C700,"4 Item Ledger Entry Type",$C$4,"2 Item No.","@@"&amp;$F700,"3 Posting Date",Z$9)-NL("Sum","5802 Value Entry","43 Cost Amount (Actual)","41 Source Type",$C$5,"5 Source no.",$C700,"4 Item Ledger Entry Type",$C$4,"2 Item No.","@@"&amp;$F700,"3 Posting Date",Z$9)</t>
  </si>
  <si>
    <t>=Z700-AB700</t>
  </si>
  <si>
    <t>=IF(Z700&lt;&gt;0,AC700/Z700,"")</t>
  </si>
  <si>
    <t>=C700</t>
  </si>
  <si>
    <t>=NL("Sum","5802 Value Entry","150 Sales Amount (Expected)","41 Source Type",$C$5,"5 Source No.",$C701,"4 Item Ledger Entry Type",$C$4,"2 Item No.","@@"&amp;$F701,"3 Posting Date",J$9)+NL("Sum","5802 Value Entry","17 Sales Amount (Actual)","41 Source Type",$C$5,"5 Source no.",$C701,"4 Item Ledger Entry Type",$C$4,"2 Item No.","@@"&amp;$F701,"3 Posting Date",J$9)</t>
  </si>
  <si>
    <t>=-NL("Sum","5802 Value Entry","151 Cost Amount (Expected)","41 Source Type",$C$5,"5 Source No.",$C701,"4 Item Ledger Entry Type",$C$4,"2 Item No.","@@"&amp;$F701,"3 Posting Date",J$9)-NL("Sum","5802 Value Entry","43 Cost Amount (Actual)","41 Source Type",$C$5,"5 Source no.",$C701,"4 Item Ledger Entry Type",$C$4,"2 Item No.","@@"&amp;$F701,"3 Posting Date",J$9)</t>
  </si>
  <si>
    <t>=J701-L701</t>
  </si>
  <si>
    <t>=IF(J701&lt;&gt;0,M701/J701,"")</t>
  </si>
  <si>
    <t>=NL("Sum","5802 Value Entry","150 Sales Amount (Expected)","41 Source Type",$C$5,"5 Source No.",$C701,"4 Item Ledger Entry Type",$C$4,"2 Item No.","@@"&amp;$F701,"3 Posting Date",O$9)+NL("Sum","5802 Value Entry","17 Sales Amount (Actual)","41 Source Type",$C$5,"5 Source no.",$C701,"4 Item Ledger Entry Type",$C$4,"2 Item No.","@@"&amp;$F701,"3 Posting Date",O$9)</t>
  </si>
  <si>
    <t>=-NL("Sum","5802 Value Entry","151 Cost Amount (Expected)","41 Source Type",$C$5,"5 Source No.",$C701,"4 Item Ledger Entry Type",$C$4,"2 Item No.","@@"&amp;$F701,"3 Posting Date",O$9)-NL("Sum","5802 Value Entry","43 Cost Amount (Actual)","41 Source Type",$C$5,"5 Source no.",$C701,"4 Item Ledger Entry Type",$C$4,"2 Item No.","@@"&amp;$F701,"3 Posting Date",O$9)</t>
  </si>
  <si>
    <t>=O701-Q701</t>
  </si>
  <si>
    <t>=IF(O701&lt;&gt;0,R701/O701,"")</t>
  </si>
  <si>
    <t>=NL("Sum","5802 Value Entry","150 Sales Amount (Expected)","41 Source Type",$C$5,"5 Source No.",$C701,"4 Item Ledger Entry Type",$C$4,"2 Item No.","@@"&amp;$F701,"3 Posting Date",U$9)+NL("Sum","5802 Value Entry","17 Sales Amount (Actual)","41 Source Type",$C$5,"5 Source no.",$C701,"4 Item Ledger Entry Type",$C$4,"2 Item No.","@@"&amp;$F701,"3 Posting Date",U$9)</t>
  </si>
  <si>
    <t>=-NL("Sum","5802 Value Entry","151 Cost Amount (Expected)","41 Source Type",$C$5,"5 Source No.",$C701,"4 Item Ledger Entry Type",$C$4,"2 Item No.","@@"&amp;$F701,"3 Posting Date",U$9)-NL("Sum","5802 Value Entry","43 Cost Amount (Actual)","41 Source Type",$C$5,"5 Source no.",$C701,"4 Item Ledger Entry Type",$C$4,"2 Item No.","@@"&amp;$F701,"3 Posting Date",U$9)</t>
  </si>
  <si>
    <t>=U701-W701</t>
  </si>
  <si>
    <t>=IF(U701&lt;&gt;0,X701/U701,"")</t>
  </si>
  <si>
    <t>=NL("Sum","5802 Value Entry","150 Sales Amount (Expected)","41 Source Type",$C$5,"5 Source No.",$C701,"4 Item Ledger Entry Type",$C$4,"2 Item No.","@@"&amp;$F701,"3 Posting Date",Z$9)+NL("Sum","5802 Value Entry","17 Sales Amount (Actual)","41 Source Type",$C$5,"5 Source no.",$C701,"4 Item Ledger Entry Type",$C$4,"2 Item No.","@@"&amp;$F701,"3 Posting Date",Z$9)</t>
  </si>
  <si>
    <t>=-NL("Sum","5802 Value Entry","151 Cost Amount (Expected)","41 Source Type",$C$5,"5 Source No.",$C701,"4 Item Ledger Entry Type",$C$4,"2 Item No.","@@"&amp;$F701,"3 Posting Date",Z$9)-NL("Sum","5802 Value Entry","43 Cost Amount (Actual)","41 Source Type",$C$5,"5 Source no.",$C701,"4 Item Ledger Entry Type",$C$4,"2 Item No.","@@"&amp;$F701,"3 Posting Date",Z$9)</t>
  </si>
  <si>
    <t>=Z701-AB701</t>
  </si>
  <si>
    <t>=IF(Z701&lt;&gt;0,AC701/Z701,"")</t>
  </si>
  <si>
    <t>=C701</t>
  </si>
  <si>
    <t>=NL("Sum","5802 Value Entry","150 Sales Amount (Expected)","41 Source Type",$C$5,"5 Source No.",$C702,"4 Item Ledger Entry Type",$C$4,"2 Item No.","@@"&amp;$F702,"3 Posting Date",J$9)+NL("Sum","5802 Value Entry","17 Sales Amount (Actual)","41 Source Type",$C$5,"5 Source no.",$C702,"4 Item Ledger Entry Type",$C$4,"2 Item No.","@@"&amp;$F702,"3 Posting Date",J$9)</t>
  </si>
  <si>
    <t>=-NL("Sum","5802 Value Entry","151 Cost Amount (Expected)","41 Source Type",$C$5,"5 Source No.",$C702,"4 Item Ledger Entry Type",$C$4,"2 Item No.","@@"&amp;$F702,"3 Posting Date",J$9)-NL("Sum","5802 Value Entry","43 Cost Amount (Actual)","41 Source Type",$C$5,"5 Source no.",$C702,"4 Item Ledger Entry Type",$C$4,"2 Item No.","@@"&amp;$F702,"3 Posting Date",J$9)</t>
  </si>
  <si>
    <t>=J702-L702</t>
  </si>
  <si>
    <t>=IF(J702&lt;&gt;0,M702/J702,"")</t>
  </si>
  <si>
    <t>=NL("Sum","5802 Value Entry","150 Sales Amount (Expected)","41 Source Type",$C$5,"5 Source No.",$C702,"4 Item Ledger Entry Type",$C$4,"2 Item No.","@@"&amp;$F702,"3 Posting Date",O$9)+NL("Sum","5802 Value Entry","17 Sales Amount (Actual)","41 Source Type",$C$5,"5 Source no.",$C702,"4 Item Ledger Entry Type",$C$4,"2 Item No.","@@"&amp;$F702,"3 Posting Date",O$9)</t>
  </si>
  <si>
    <t>=-NL("Sum","5802 Value Entry","151 Cost Amount (Expected)","41 Source Type",$C$5,"5 Source No.",$C702,"4 Item Ledger Entry Type",$C$4,"2 Item No.","@@"&amp;$F702,"3 Posting Date",O$9)-NL("Sum","5802 Value Entry","43 Cost Amount (Actual)","41 Source Type",$C$5,"5 Source no.",$C702,"4 Item Ledger Entry Type",$C$4,"2 Item No.","@@"&amp;$F702,"3 Posting Date",O$9)</t>
  </si>
  <si>
    <t>=O702-Q702</t>
  </si>
  <si>
    <t>=IF(O702&lt;&gt;0,R702/O702,"")</t>
  </si>
  <si>
    <t>=NL("Sum","5802 Value Entry","150 Sales Amount (Expected)","41 Source Type",$C$5,"5 Source No.",$C702,"4 Item Ledger Entry Type",$C$4,"2 Item No.","@@"&amp;$F702,"3 Posting Date",U$9)+NL("Sum","5802 Value Entry","17 Sales Amount (Actual)","41 Source Type",$C$5,"5 Source no.",$C702,"4 Item Ledger Entry Type",$C$4,"2 Item No.","@@"&amp;$F702,"3 Posting Date",U$9)</t>
  </si>
  <si>
    <t>=-NL("Sum","5802 Value Entry","151 Cost Amount (Expected)","41 Source Type",$C$5,"5 Source No.",$C702,"4 Item Ledger Entry Type",$C$4,"2 Item No.","@@"&amp;$F702,"3 Posting Date",U$9)-NL("Sum","5802 Value Entry","43 Cost Amount (Actual)","41 Source Type",$C$5,"5 Source no.",$C702,"4 Item Ledger Entry Type",$C$4,"2 Item No.","@@"&amp;$F702,"3 Posting Date",U$9)</t>
  </si>
  <si>
    <t>=U702-W702</t>
  </si>
  <si>
    <t>=IF(U702&lt;&gt;0,X702/U702,"")</t>
  </si>
  <si>
    <t>=NL("Sum","5802 Value Entry","150 Sales Amount (Expected)","41 Source Type",$C$5,"5 Source No.",$C702,"4 Item Ledger Entry Type",$C$4,"2 Item No.","@@"&amp;$F702,"3 Posting Date",Z$9)+NL("Sum","5802 Value Entry","17 Sales Amount (Actual)","41 Source Type",$C$5,"5 Source no.",$C702,"4 Item Ledger Entry Type",$C$4,"2 Item No.","@@"&amp;$F702,"3 Posting Date",Z$9)</t>
  </si>
  <si>
    <t>=-NL("Sum","5802 Value Entry","151 Cost Amount (Expected)","41 Source Type",$C$5,"5 Source No.",$C702,"4 Item Ledger Entry Type",$C$4,"2 Item No.","@@"&amp;$F702,"3 Posting Date",Z$9)-NL("Sum","5802 Value Entry","43 Cost Amount (Actual)","41 Source Type",$C$5,"5 Source no.",$C702,"4 Item Ledger Entry Type",$C$4,"2 Item No.","@@"&amp;$F702,"3 Posting Date",Z$9)</t>
  </si>
  <si>
    <t>=Z702-AB702</t>
  </si>
  <si>
    <t>=IF(Z702&lt;&gt;0,AC702/Z702,"")</t>
  </si>
  <si>
    <t>=C703</t>
  </si>
  <si>
    <t>=J704-L704</t>
  </si>
  <si>
    <t>=IF(J704&lt;&gt;0,M704/J704,"")</t>
  </si>
  <si>
    <t>=O704-Q704</t>
  </si>
  <si>
    <t>=IF(O704&lt;&gt;0,R704/O704,"")</t>
  </si>
  <si>
    <t>=U704-W704</t>
  </si>
  <si>
    <t>=IF(U704&lt;&gt;0,X704/U704,"")</t>
  </si>
  <si>
    <t>=Z704-AB704</t>
  </si>
  <si>
    <t>=IF(Z704&lt;&gt;0,AC704/Z704,"")</t>
  </si>
  <si>
    <t>=C706</t>
  </si>
  <si>
    <t>=C708</t>
  </si>
  <si>
    <t>=J709-L709</t>
  </si>
  <si>
    <t>=IF(J709&lt;&gt;0,M709/J709,"")</t>
  </si>
  <si>
    <t>=O709-Q709</t>
  </si>
  <si>
    <t>=IF(O709&lt;&gt;0,R709/O709,"")</t>
  </si>
  <si>
    <t>=U709-W709</t>
  </si>
  <si>
    <t>=IF(U709&lt;&gt;0,X709/U709,"")</t>
  </si>
  <si>
    <t>=Z709-AB709</t>
  </si>
  <si>
    <t>=IF(Z709&lt;&gt;0,AC709/Z709,"")</t>
  </si>
  <si>
    <t>=C711</t>
  </si>
  <si>
    <t>=C712</t>
  </si>
  <si>
    <t>=NL("Sum","5802 Value Entry","150 Sales Amount (Expected)","41 Source Type",$C$5,"5 Source No.",$C713,"4 Item Ledger Entry Type",$C$4,"2 Item No.","@@"&amp;$F713,"3 Posting Date",J$9)+NL("Sum","5802 Value Entry","17 Sales Amount (Actual)","41 Source Type",$C$5,"5 Source no.",$C713,"4 Item Ledger Entry Type",$C$4,"2 Item No.","@@"&amp;$F713,"3 Posting Date",J$9)</t>
  </si>
  <si>
    <t>=-NL("Sum","5802 Value Entry","151 Cost Amount (Expected)","41 Source Type",$C$5,"5 Source No.",$C713,"4 Item Ledger Entry Type",$C$4,"2 Item No.","@@"&amp;$F713,"3 Posting Date",J$9)-NL("Sum","5802 Value Entry","43 Cost Amount (Actual)","41 Source Type",$C$5,"5 Source no.",$C713,"4 Item Ledger Entry Type",$C$4,"2 Item No.","@@"&amp;$F713,"3 Posting Date",J$9)</t>
  </si>
  <si>
    <t>=J713-L713</t>
  </si>
  <si>
    <t>=IF(J713&lt;&gt;0,M713/J713,"")</t>
  </si>
  <si>
    <t>=NL("Sum","5802 Value Entry","150 Sales Amount (Expected)","41 Source Type",$C$5,"5 Source No.",$C713,"4 Item Ledger Entry Type",$C$4,"2 Item No.","@@"&amp;$F713,"3 Posting Date",O$9)+NL("Sum","5802 Value Entry","17 Sales Amount (Actual)","41 Source Type",$C$5,"5 Source no.",$C713,"4 Item Ledger Entry Type",$C$4,"2 Item No.","@@"&amp;$F713,"3 Posting Date",O$9)</t>
  </si>
  <si>
    <t>=-NL("Sum","5802 Value Entry","151 Cost Amount (Expected)","41 Source Type",$C$5,"5 Source No.",$C713,"4 Item Ledger Entry Type",$C$4,"2 Item No.","@@"&amp;$F713,"3 Posting Date",O$9)-NL("Sum","5802 Value Entry","43 Cost Amount (Actual)","41 Source Type",$C$5,"5 Source no.",$C713,"4 Item Ledger Entry Type",$C$4,"2 Item No.","@@"&amp;$F713,"3 Posting Date",O$9)</t>
  </si>
  <si>
    <t>=O713-Q713</t>
  </si>
  <si>
    <t>=IF(O713&lt;&gt;0,R713/O713,"")</t>
  </si>
  <si>
    <t>=NL("Sum","5802 Value Entry","150 Sales Amount (Expected)","41 Source Type",$C$5,"5 Source No.",$C713,"4 Item Ledger Entry Type",$C$4,"2 Item No.","@@"&amp;$F713,"3 Posting Date",U$9)+NL("Sum","5802 Value Entry","17 Sales Amount (Actual)","41 Source Type",$C$5,"5 Source no.",$C713,"4 Item Ledger Entry Type",$C$4,"2 Item No.","@@"&amp;$F713,"3 Posting Date",U$9)</t>
  </si>
  <si>
    <t>=-NL("Sum","5802 Value Entry","151 Cost Amount (Expected)","41 Source Type",$C$5,"5 Source No.",$C713,"4 Item Ledger Entry Type",$C$4,"2 Item No.","@@"&amp;$F713,"3 Posting Date",U$9)-NL("Sum","5802 Value Entry","43 Cost Amount (Actual)","41 Source Type",$C$5,"5 Source no.",$C713,"4 Item Ledger Entry Type",$C$4,"2 Item No.","@@"&amp;$F713,"3 Posting Date",U$9)</t>
  </si>
  <si>
    <t>=U713-W713</t>
  </si>
  <si>
    <t>=IF(U713&lt;&gt;0,X713/U713,"")</t>
  </si>
  <si>
    <t>=NL("Sum","5802 Value Entry","150 Sales Amount (Expected)","41 Source Type",$C$5,"5 Source No.",$C713,"4 Item Ledger Entry Type",$C$4,"2 Item No.","@@"&amp;$F713,"3 Posting Date",Z$9)+NL("Sum","5802 Value Entry","17 Sales Amount (Actual)","41 Source Type",$C$5,"5 Source no.",$C713,"4 Item Ledger Entry Type",$C$4,"2 Item No.","@@"&amp;$F713,"3 Posting Date",Z$9)</t>
  </si>
  <si>
    <t>=-NL("Sum","5802 Value Entry","151 Cost Amount (Expected)","41 Source Type",$C$5,"5 Source No.",$C713,"4 Item Ledger Entry Type",$C$4,"2 Item No.","@@"&amp;$F713,"3 Posting Date",Z$9)-NL("Sum","5802 Value Entry","43 Cost Amount (Actual)","41 Source Type",$C$5,"5 Source no.",$C713,"4 Item Ledger Entry Type",$C$4,"2 Item No.","@@"&amp;$F713,"3 Posting Date",Z$9)</t>
  </si>
  <si>
    <t>=Z713-AB713</t>
  </si>
  <si>
    <t>=IF(Z713&lt;&gt;0,AC713/Z713,"")</t>
  </si>
  <si>
    <t>=C713</t>
  </si>
  <si>
    <t>=NL("Sum","5802 Value Entry","150 Sales Amount (Expected)","41 Source Type",$C$5,"5 Source No.",$C714,"4 Item Ledger Entry Type",$C$4,"2 Item No.","@@"&amp;$F714,"3 Posting Date",J$9)+NL("Sum","5802 Value Entry","17 Sales Amount (Actual)","41 Source Type",$C$5,"5 Source no.",$C714,"4 Item Ledger Entry Type",$C$4,"2 Item No.","@@"&amp;$F714,"3 Posting Date",J$9)</t>
  </si>
  <si>
    <t>=-NL("Sum","5802 Value Entry","151 Cost Amount (Expected)","41 Source Type",$C$5,"5 Source No.",$C714,"4 Item Ledger Entry Type",$C$4,"2 Item No.","@@"&amp;$F714,"3 Posting Date",J$9)-NL("Sum","5802 Value Entry","43 Cost Amount (Actual)","41 Source Type",$C$5,"5 Source no.",$C714,"4 Item Ledger Entry Type",$C$4,"2 Item No.","@@"&amp;$F714,"3 Posting Date",J$9)</t>
  </si>
  <si>
    <t>=J714-L714</t>
  </si>
  <si>
    <t>=IF(J714&lt;&gt;0,M714/J714,"")</t>
  </si>
  <si>
    <t>=NL("Sum","5802 Value Entry","150 Sales Amount (Expected)","41 Source Type",$C$5,"5 Source No.",$C714,"4 Item Ledger Entry Type",$C$4,"2 Item No.","@@"&amp;$F714,"3 Posting Date",O$9)+NL("Sum","5802 Value Entry","17 Sales Amount (Actual)","41 Source Type",$C$5,"5 Source no.",$C714,"4 Item Ledger Entry Type",$C$4,"2 Item No.","@@"&amp;$F714,"3 Posting Date",O$9)</t>
  </si>
  <si>
    <t>=-NL("Sum","5802 Value Entry","151 Cost Amount (Expected)","41 Source Type",$C$5,"5 Source No.",$C714,"4 Item Ledger Entry Type",$C$4,"2 Item No.","@@"&amp;$F714,"3 Posting Date",O$9)-NL("Sum","5802 Value Entry","43 Cost Amount (Actual)","41 Source Type",$C$5,"5 Source no.",$C714,"4 Item Ledger Entry Type",$C$4,"2 Item No.","@@"&amp;$F714,"3 Posting Date",O$9)</t>
  </si>
  <si>
    <t>=O714-Q714</t>
  </si>
  <si>
    <t>=IF(O714&lt;&gt;0,R714/O714,"")</t>
  </si>
  <si>
    <t>=NL("Sum","5802 Value Entry","150 Sales Amount (Expected)","41 Source Type",$C$5,"5 Source No.",$C714,"4 Item Ledger Entry Type",$C$4,"2 Item No.","@@"&amp;$F714,"3 Posting Date",U$9)+NL("Sum","5802 Value Entry","17 Sales Amount (Actual)","41 Source Type",$C$5,"5 Source no.",$C714,"4 Item Ledger Entry Type",$C$4,"2 Item No.","@@"&amp;$F714,"3 Posting Date",U$9)</t>
  </si>
  <si>
    <t>=-NL("Sum","5802 Value Entry","151 Cost Amount (Expected)","41 Source Type",$C$5,"5 Source No.",$C714,"4 Item Ledger Entry Type",$C$4,"2 Item No.","@@"&amp;$F714,"3 Posting Date",U$9)-NL("Sum","5802 Value Entry","43 Cost Amount (Actual)","41 Source Type",$C$5,"5 Source no.",$C714,"4 Item Ledger Entry Type",$C$4,"2 Item No.","@@"&amp;$F714,"3 Posting Date",U$9)</t>
  </si>
  <si>
    <t>=U714-W714</t>
  </si>
  <si>
    <t>=IF(U714&lt;&gt;0,X714/U714,"")</t>
  </si>
  <si>
    <t>=NL("Sum","5802 Value Entry","150 Sales Amount (Expected)","41 Source Type",$C$5,"5 Source No.",$C714,"4 Item Ledger Entry Type",$C$4,"2 Item No.","@@"&amp;$F714,"3 Posting Date",Z$9)+NL("Sum","5802 Value Entry","17 Sales Amount (Actual)","41 Source Type",$C$5,"5 Source no.",$C714,"4 Item Ledger Entry Type",$C$4,"2 Item No.","@@"&amp;$F714,"3 Posting Date",Z$9)</t>
  </si>
  <si>
    <t>=-NL("Sum","5802 Value Entry","151 Cost Amount (Expected)","41 Source Type",$C$5,"5 Source No.",$C714,"4 Item Ledger Entry Type",$C$4,"2 Item No.","@@"&amp;$F714,"3 Posting Date",Z$9)-NL("Sum","5802 Value Entry","43 Cost Amount (Actual)","41 Source Type",$C$5,"5 Source no.",$C714,"4 Item Ledger Entry Type",$C$4,"2 Item No.","@@"&amp;$F714,"3 Posting Date",Z$9)</t>
  </si>
  <si>
    <t>=Z714-AB714</t>
  </si>
  <si>
    <t>=IF(Z714&lt;&gt;0,AC714/Z714,"")</t>
  </si>
  <si>
    <t>=C714</t>
  </si>
  <si>
    <t>=NL("Sum","5802 Value Entry","150 Sales Amount (Expected)","41 Source Type",$C$5,"5 Source No.",$C715,"4 Item Ledger Entry Type",$C$4,"2 Item No.","@@"&amp;$F715,"3 Posting Date",J$9)+NL("Sum","5802 Value Entry","17 Sales Amount (Actual)","41 Source Type",$C$5,"5 Source no.",$C715,"4 Item Ledger Entry Type",$C$4,"2 Item No.","@@"&amp;$F715,"3 Posting Date",J$9)</t>
  </si>
  <si>
    <t>=-NL("Sum","5802 Value Entry","151 Cost Amount (Expected)","41 Source Type",$C$5,"5 Source No.",$C715,"4 Item Ledger Entry Type",$C$4,"2 Item No.","@@"&amp;$F715,"3 Posting Date",J$9)-NL("Sum","5802 Value Entry","43 Cost Amount (Actual)","41 Source Type",$C$5,"5 Source no.",$C715,"4 Item Ledger Entry Type",$C$4,"2 Item No.","@@"&amp;$F715,"3 Posting Date",J$9)</t>
  </si>
  <si>
    <t>=J715-L715</t>
  </si>
  <si>
    <t>=IF(J715&lt;&gt;0,M715/J715,"")</t>
  </si>
  <si>
    <t>=NL("Sum","5802 Value Entry","150 Sales Amount (Expected)","41 Source Type",$C$5,"5 Source No.",$C715,"4 Item Ledger Entry Type",$C$4,"2 Item No.","@@"&amp;$F715,"3 Posting Date",O$9)+NL("Sum","5802 Value Entry","17 Sales Amount (Actual)","41 Source Type",$C$5,"5 Source no.",$C715,"4 Item Ledger Entry Type",$C$4,"2 Item No.","@@"&amp;$F715,"3 Posting Date",O$9)</t>
  </si>
  <si>
    <t>=-NL("Sum","5802 Value Entry","151 Cost Amount (Expected)","41 Source Type",$C$5,"5 Source No.",$C715,"4 Item Ledger Entry Type",$C$4,"2 Item No.","@@"&amp;$F715,"3 Posting Date",O$9)-NL("Sum","5802 Value Entry","43 Cost Amount (Actual)","41 Source Type",$C$5,"5 Source no.",$C715,"4 Item Ledger Entry Type",$C$4,"2 Item No.","@@"&amp;$F715,"3 Posting Date",O$9)</t>
  </si>
  <si>
    <t>=O715-Q715</t>
  </si>
  <si>
    <t>=IF(O715&lt;&gt;0,R715/O715,"")</t>
  </si>
  <si>
    <t>=NL("Sum","5802 Value Entry","150 Sales Amount (Expected)","41 Source Type",$C$5,"5 Source No.",$C715,"4 Item Ledger Entry Type",$C$4,"2 Item No.","@@"&amp;$F715,"3 Posting Date",U$9)+NL("Sum","5802 Value Entry","17 Sales Amount (Actual)","41 Source Type",$C$5,"5 Source no.",$C715,"4 Item Ledger Entry Type",$C$4,"2 Item No.","@@"&amp;$F715,"3 Posting Date",U$9)</t>
  </si>
  <si>
    <t>=-NL("Sum","5802 Value Entry","151 Cost Amount (Expected)","41 Source Type",$C$5,"5 Source No.",$C715,"4 Item Ledger Entry Type",$C$4,"2 Item No.","@@"&amp;$F715,"3 Posting Date",U$9)-NL("Sum","5802 Value Entry","43 Cost Amount (Actual)","41 Source Type",$C$5,"5 Source no.",$C715,"4 Item Ledger Entry Type",$C$4,"2 Item No.","@@"&amp;$F715,"3 Posting Date",U$9)</t>
  </si>
  <si>
    <t>=U715-W715</t>
  </si>
  <si>
    <t>=IF(U715&lt;&gt;0,X715/U715,"")</t>
  </si>
  <si>
    <t>=NL("Sum","5802 Value Entry","150 Sales Amount (Expected)","41 Source Type",$C$5,"5 Source No.",$C715,"4 Item Ledger Entry Type",$C$4,"2 Item No.","@@"&amp;$F715,"3 Posting Date",Z$9)+NL("Sum","5802 Value Entry","17 Sales Amount (Actual)","41 Source Type",$C$5,"5 Source no.",$C715,"4 Item Ledger Entry Type",$C$4,"2 Item No.","@@"&amp;$F715,"3 Posting Date",Z$9)</t>
  </si>
  <si>
    <t>=-NL("Sum","5802 Value Entry","151 Cost Amount (Expected)","41 Source Type",$C$5,"5 Source No.",$C715,"4 Item Ledger Entry Type",$C$4,"2 Item No.","@@"&amp;$F715,"3 Posting Date",Z$9)-NL("Sum","5802 Value Entry","43 Cost Amount (Actual)","41 Source Type",$C$5,"5 Source no.",$C715,"4 Item Ledger Entry Type",$C$4,"2 Item No.","@@"&amp;$F715,"3 Posting Date",Z$9)</t>
  </si>
  <si>
    <t>=Z715-AB715</t>
  </si>
  <si>
    <t>=IF(Z715&lt;&gt;0,AC715/Z715,"")</t>
  </si>
  <si>
    <t>=C715</t>
  </si>
  <si>
    <t>=NL("Sum","5802 Value Entry","150 Sales Amount (Expected)","41 Source Type",$C$5,"5 Source No.",$C716,"4 Item Ledger Entry Type",$C$4,"2 Item No.","@@"&amp;$F716,"3 Posting Date",J$9)+NL("Sum","5802 Value Entry","17 Sales Amount (Actual)","41 Source Type",$C$5,"5 Source no.",$C716,"4 Item Ledger Entry Type",$C$4,"2 Item No.","@@"&amp;$F716,"3 Posting Date",J$9)</t>
  </si>
  <si>
    <t>=-NL("Sum","5802 Value Entry","151 Cost Amount (Expected)","41 Source Type",$C$5,"5 Source No.",$C716,"4 Item Ledger Entry Type",$C$4,"2 Item No.","@@"&amp;$F716,"3 Posting Date",J$9)-NL("Sum","5802 Value Entry","43 Cost Amount (Actual)","41 Source Type",$C$5,"5 Source no.",$C716,"4 Item Ledger Entry Type",$C$4,"2 Item No.","@@"&amp;$F716,"3 Posting Date",J$9)</t>
  </si>
  <si>
    <t>=J716-L716</t>
  </si>
  <si>
    <t>=IF(J716&lt;&gt;0,M716/J716,"")</t>
  </si>
  <si>
    <t>=NL("Sum","5802 Value Entry","150 Sales Amount (Expected)","41 Source Type",$C$5,"5 Source No.",$C716,"4 Item Ledger Entry Type",$C$4,"2 Item No.","@@"&amp;$F716,"3 Posting Date",O$9)+NL("Sum","5802 Value Entry","17 Sales Amount (Actual)","41 Source Type",$C$5,"5 Source no.",$C716,"4 Item Ledger Entry Type",$C$4,"2 Item No.","@@"&amp;$F716,"3 Posting Date",O$9)</t>
  </si>
  <si>
    <t>=-NL("Sum","5802 Value Entry","151 Cost Amount (Expected)","41 Source Type",$C$5,"5 Source No.",$C716,"4 Item Ledger Entry Type",$C$4,"2 Item No.","@@"&amp;$F716,"3 Posting Date",O$9)-NL("Sum","5802 Value Entry","43 Cost Amount (Actual)","41 Source Type",$C$5,"5 Source no.",$C716,"4 Item Ledger Entry Type",$C$4,"2 Item No.","@@"&amp;$F716,"3 Posting Date",O$9)</t>
  </si>
  <si>
    <t>=O716-Q716</t>
  </si>
  <si>
    <t>=IF(O716&lt;&gt;0,R716/O716,"")</t>
  </si>
  <si>
    <t>=NL("Sum","5802 Value Entry","150 Sales Amount (Expected)","41 Source Type",$C$5,"5 Source No.",$C716,"4 Item Ledger Entry Type",$C$4,"2 Item No.","@@"&amp;$F716,"3 Posting Date",U$9)+NL("Sum","5802 Value Entry","17 Sales Amount (Actual)","41 Source Type",$C$5,"5 Source no.",$C716,"4 Item Ledger Entry Type",$C$4,"2 Item No.","@@"&amp;$F716,"3 Posting Date",U$9)</t>
  </si>
  <si>
    <t>=-NL("Sum","5802 Value Entry","151 Cost Amount (Expected)","41 Source Type",$C$5,"5 Source No.",$C716,"4 Item Ledger Entry Type",$C$4,"2 Item No.","@@"&amp;$F716,"3 Posting Date",U$9)-NL("Sum","5802 Value Entry","43 Cost Amount (Actual)","41 Source Type",$C$5,"5 Source no.",$C716,"4 Item Ledger Entry Type",$C$4,"2 Item No.","@@"&amp;$F716,"3 Posting Date",U$9)</t>
  </si>
  <si>
    <t>=U716-W716</t>
  </si>
  <si>
    <t>=IF(U716&lt;&gt;0,X716/U716,"")</t>
  </si>
  <si>
    <t>=NL("Sum","5802 Value Entry","150 Sales Amount (Expected)","41 Source Type",$C$5,"5 Source No.",$C716,"4 Item Ledger Entry Type",$C$4,"2 Item No.","@@"&amp;$F716,"3 Posting Date",Z$9)+NL("Sum","5802 Value Entry","17 Sales Amount (Actual)","41 Source Type",$C$5,"5 Source no.",$C716,"4 Item Ledger Entry Type",$C$4,"2 Item No.","@@"&amp;$F716,"3 Posting Date",Z$9)</t>
  </si>
  <si>
    <t>=-NL("Sum","5802 Value Entry","151 Cost Amount (Expected)","41 Source Type",$C$5,"5 Source No.",$C716,"4 Item Ledger Entry Type",$C$4,"2 Item No.","@@"&amp;$F716,"3 Posting Date",Z$9)-NL("Sum","5802 Value Entry","43 Cost Amount (Actual)","41 Source Type",$C$5,"5 Source no.",$C716,"4 Item Ledger Entry Type",$C$4,"2 Item No.","@@"&amp;$F716,"3 Posting Date",Z$9)</t>
  </si>
  <si>
    <t>=Z716-AB716</t>
  </si>
  <si>
    <t>=IF(Z716&lt;&gt;0,AC716/Z716,"")</t>
  </si>
  <si>
    <t>=C716</t>
  </si>
  <si>
    <t>=NL("Sum","5802 Value Entry","150 Sales Amount (Expected)","41 Source Type",$C$5,"5 Source No.",$C717,"4 Item Ledger Entry Type",$C$4,"2 Item No.","@@"&amp;$F717,"3 Posting Date",J$9)+NL("Sum","5802 Value Entry","17 Sales Amount (Actual)","41 Source Type",$C$5,"5 Source no.",$C717,"4 Item Ledger Entry Type",$C$4,"2 Item No.","@@"&amp;$F717,"3 Posting Date",J$9)</t>
  </si>
  <si>
    <t>=-NL("Sum","5802 Value Entry","151 Cost Amount (Expected)","41 Source Type",$C$5,"5 Source No.",$C717,"4 Item Ledger Entry Type",$C$4,"2 Item No.","@@"&amp;$F717,"3 Posting Date",J$9)-NL("Sum","5802 Value Entry","43 Cost Amount (Actual)","41 Source Type",$C$5,"5 Source no.",$C717,"4 Item Ledger Entry Type",$C$4,"2 Item No.","@@"&amp;$F717,"3 Posting Date",J$9)</t>
  </si>
  <si>
    <t>=J717-L717</t>
  </si>
  <si>
    <t>=IF(J717&lt;&gt;0,M717/J717,"")</t>
  </si>
  <si>
    <t>=NL("Sum","5802 Value Entry","150 Sales Amount (Expected)","41 Source Type",$C$5,"5 Source No.",$C717,"4 Item Ledger Entry Type",$C$4,"2 Item No.","@@"&amp;$F717,"3 Posting Date",O$9)+NL("Sum","5802 Value Entry","17 Sales Amount (Actual)","41 Source Type",$C$5,"5 Source no.",$C717,"4 Item Ledger Entry Type",$C$4,"2 Item No.","@@"&amp;$F717,"3 Posting Date",O$9)</t>
  </si>
  <si>
    <t>=-NL("Sum","5802 Value Entry","151 Cost Amount (Expected)","41 Source Type",$C$5,"5 Source No.",$C717,"4 Item Ledger Entry Type",$C$4,"2 Item No.","@@"&amp;$F717,"3 Posting Date",O$9)-NL("Sum","5802 Value Entry","43 Cost Amount (Actual)","41 Source Type",$C$5,"5 Source no.",$C717,"4 Item Ledger Entry Type",$C$4,"2 Item No.","@@"&amp;$F717,"3 Posting Date",O$9)</t>
  </si>
  <si>
    <t>=O717-Q717</t>
  </si>
  <si>
    <t>=IF(O717&lt;&gt;0,R717/O717,"")</t>
  </si>
  <si>
    <t>=NL("Sum","5802 Value Entry","150 Sales Amount (Expected)","41 Source Type",$C$5,"5 Source No.",$C717,"4 Item Ledger Entry Type",$C$4,"2 Item No.","@@"&amp;$F717,"3 Posting Date",U$9)+NL("Sum","5802 Value Entry","17 Sales Amount (Actual)","41 Source Type",$C$5,"5 Source no.",$C717,"4 Item Ledger Entry Type",$C$4,"2 Item No.","@@"&amp;$F717,"3 Posting Date",U$9)</t>
  </si>
  <si>
    <t>=-NL("Sum","5802 Value Entry","151 Cost Amount (Expected)","41 Source Type",$C$5,"5 Source No.",$C717,"4 Item Ledger Entry Type",$C$4,"2 Item No.","@@"&amp;$F717,"3 Posting Date",U$9)-NL("Sum","5802 Value Entry","43 Cost Amount (Actual)","41 Source Type",$C$5,"5 Source no.",$C717,"4 Item Ledger Entry Type",$C$4,"2 Item No.","@@"&amp;$F717,"3 Posting Date",U$9)</t>
  </si>
  <si>
    <t>=U717-W717</t>
  </si>
  <si>
    <t>=IF(U717&lt;&gt;0,X717/U717,"")</t>
  </si>
  <si>
    <t>=NL("Sum","5802 Value Entry","150 Sales Amount (Expected)","41 Source Type",$C$5,"5 Source No.",$C717,"4 Item Ledger Entry Type",$C$4,"2 Item No.","@@"&amp;$F717,"3 Posting Date",Z$9)+NL("Sum","5802 Value Entry","17 Sales Amount (Actual)","41 Source Type",$C$5,"5 Source no.",$C717,"4 Item Ledger Entry Type",$C$4,"2 Item No.","@@"&amp;$F717,"3 Posting Date",Z$9)</t>
  </si>
  <si>
    <t>=-NL("Sum","5802 Value Entry","151 Cost Amount (Expected)","41 Source Type",$C$5,"5 Source No.",$C717,"4 Item Ledger Entry Type",$C$4,"2 Item No.","@@"&amp;$F717,"3 Posting Date",Z$9)-NL("Sum","5802 Value Entry","43 Cost Amount (Actual)","41 Source Type",$C$5,"5 Source no.",$C717,"4 Item Ledger Entry Type",$C$4,"2 Item No.","@@"&amp;$F717,"3 Posting Date",Z$9)</t>
  </si>
  <si>
    <t>=Z717-AB717</t>
  </si>
  <si>
    <t>=IF(Z717&lt;&gt;0,AC717/Z717,"")</t>
  </si>
  <si>
    <t>=C717</t>
  </si>
  <si>
    <t>=NL("Sum","5802 Value Entry","150 Sales Amount (Expected)","41 Source Type",$C$5,"5 Source No.",$C718,"4 Item Ledger Entry Type",$C$4,"2 Item No.","@@"&amp;$F718,"3 Posting Date",J$9)+NL("Sum","5802 Value Entry","17 Sales Amount (Actual)","41 Source Type",$C$5,"5 Source no.",$C718,"4 Item Ledger Entry Type",$C$4,"2 Item No.","@@"&amp;$F718,"3 Posting Date",J$9)</t>
  </si>
  <si>
    <t>=-NL("Sum","5802 Value Entry","151 Cost Amount (Expected)","41 Source Type",$C$5,"5 Source No.",$C718,"4 Item Ledger Entry Type",$C$4,"2 Item No.","@@"&amp;$F718,"3 Posting Date",J$9)-NL("Sum","5802 Value Entry","43 Cost Amount (Actual)","41 Source Type",$C$5,"5 Source no.",$C718,"4 Item Ledger Entry Type",$C$4,"2 Item No.","@@"&amp;$F718,"3 Posting Date",J$9)</t>
  </si>
  <si>
    <t>=J718-L718</t>
  </si>
  <si>
    <t>=IF(J718&lt;&gt;0,M718/J718,"")</t>
  </si>
  <si>
    <t>=NL("Sum","5802 Value Entry","150 Sales Amount (Expected)","41 Source Type",$C$5,"5 Source No.",$C718,"4 Item Ledger Entry Type",$C$4,"2 Item No.","@@"&amp;$F718,"3 Posting Date",O$9)+NL("Sum","5802 Value Entry","17 Sales Amount (Actual)","41 Source Type",$C$5,"5 Source no.",$C718,"4 Item Ledger Entry Type",$C$4,"2 Item No.","@@"&amp;$F718,"3 Posting Date",O$9)</t>
  </si>
  <si>
    <t>=-NL("Sum","5802 Value Entry","151 Cost Amount (Expected)","41 Source Type",$C$5,"5 Source No.",$C718,"4 Item Ledger Entry Type",$C$4,"2 Item No.","@@"&amp;$F718,"3 Posting Date",O$9)-NL("Sum","5802 Value Entry","43 Cost Amount (Actual)","41 Source Type",$C$5,"5 Source no.",$C718,"4 Item Ledger Entry Type",$C$4,"2 Item No.","@@"&amp;$F718,"3 Posting Date",O$9)</t>
  </si>
  <si>
    <t>=O718-Q718</t>
  </si>
  <si>
    <t>=IF(O718&lt;&gt;0,R718/O718,"")</t>
  </si>
  <si>
    <t>=NL("Sum","5802 Value Entry","150 Sales Amount (Expected)","41 Source Type",$C$5,"5 Source No.",$C718,"4 Item Ledger Entry Type",$C$4,"2 Item No.","@@"&amp;$F718,"3 Posting Date",U$9)+NL("Sum","5802 Value Entry","17 Sales Amount (Actual)","41 Source Type",$C$5,"5 Source no.",$C718,"4 Item Ledger Entry Type",$C$4,"2 Item No.","@@"&amp;$F718,"3 Posting Date",U$9)</t>
  </si>
  <si>
    <t>=-NL("Sum","5802 Value Entry","151 Cost Amount (Expected)","41 Source Type",$C$5,"5 Source No.",$C718,"4 Item Ledger Entry Type",$C$4,"2 Item No.","@@"&amp;$F718,"3 Posting Date",U$9)-NL("Sum","5802 Value Entry","43 Cost Amount (Actual)","41 Source Type",$C$5,"5 Source no.",$C718,"4 Item Ledger Entry Type",$C$4,"2 Item No.","@@"&amp;$F718,"3 Posting Date",U$9)</t>
  </si>
  <si>
    <t>=U718-W718</t>
  </si>
  <si>
    <t>=IF(U718&lt;&gt;0,X718/U718,"")</t>
  </si>
  <si>
    <t>=NL("Sum","5802 Value Entry","150 Sales Amount (Expected)","41 Source Type",$C$5,"5 Source No.",$C718,"4 Item Ledger Entry Type",$C$4,"2 Item No.","@@"&amp;$F718,"3 Posting Date",Z$9)+NL("Sum","5802 Value Entry","17 Sales Amount (Actual)","41 Source Type",$C$5,"5 Source no.",$C718,"4 Item Ledger Entry Type",$C$4,"2 Item No.","@@"&amp;$F718,"3 Posting Date",Z$9)</t>
  </si>
  <si>
    <t>=-NL("Sum","5802 Value Entry","151 Cost Amount (Expected)","41 Source Type",$C$5,"5 Source No.",$C718,"4 Item Ledger Entry Type",$C$4,"2 Item No.","@@"&amp;$F718,"3 Posting Date",Z$9)-NL("Sum","5802 Value Entry","43 Cost Amount (Actual)","41 Source Type",$C$5,"5 Source no.",$C718,"4 Item Ledger Entry Type",$C$4,"2 Item No.","@@"&amp;$F718,"3 Posting Date",Z$9)</t>
  </si>
  <si>
    <t>=Z718-AB718</t>
  </si>
  <si>
    <t>=IF(Z718&lt;&gt;0,AC718/Z718,"")</t>
  </si>
  <si>
    <t>=C718</t>
  </si>
  <si>
    <t>=NL("Sum","5802 Value Entry","150 Sales Amount (Expected)","41 Source Type",$C$5,"5 Source No.",$C719,"4 Item Ledger Entry Type",$C$4,"2 Item No.","@@"&amp;$F719,"3 Posting Date",J$9)+NL("Sum","5802 Value Entry","17 Sales Amount (Actual)","41 Source Type",$C$5,"5 Source no.",$C719,"4 Item Ledger Entry Type",$C$4,"2 Item No.","@@"&amp;$F719,"3 Posting Date",J$9)</t>
  </si>
  <si>
    <t>=-NL("Sum","5802 Value Entry","151 Cost Amount (Expected)","41 Source Type",$C$5,"5 Source No.",$C719,"4 Item Ledger Entry Type",$C$4,"2 Item No.","@@"&amp;$F719,"3 Posting Date",J$9)-NL("Sum","5802 Value Entry","43 Cost Amount (Actual)","41 Source Type",$C$5,"5 Source no.",$C719,"4 Item Ledger Entry Type",$C$4,"2 Item No.","@@"&amp;$F719,"3 Posting Date",J$9)</t>
  </si>
  <si>
    <t>=J719-L719</t>
  </si>
  <si>
    <t>=IF(J719&lt;&gt;0,M719/J719,"")</t>
  </si>
  <si>
    <t>=NL("Sum","5802 Value Entry","150 Sales Amount (Expected)","41 Source Type",$C$5,"5 Source No.",$C719,"4 Item Ledger Entry Type",$C$4,"2 Item No.","@@"&amp;$F719,"3 Posting Date",O$9)+NL("Sum","5802 Value Entry","17 Sales Amount (Actual)","41 Source Type",$C$5,"5 Source no.",$C719,"4 Item Ledger Entry Type",$C$4,"2 Item No.","@@"&amp;$F719,"3 Posting Date",O$9)</t>
  </si>
  <si>
    <t>=-NL("Sum","5802 Value Entry","151 Cost Amount (Expected)","41 Source Type",$C$5,"5 Source No.",$C719,"4 Item Ledger Entry Type",$C$4,"2 Item No.","@@"&amp;$F719,"3 Posting Date",O$9)-NL("Sum","5802 Value Entry","43 Cost Amount (Actual)","41 Source Type",$C$5,"5 Source no.",$C719,"4 Item Ledger Entry Type",$C$4,"2 Item No.","@@"&amp;$F719,"3 Posting Date",O$9)</t>
  </si>
  <si>
    <t>=O719-Q719</t>
  </si>
  <si>
    <t>=IF(O719&lt;&gt;0,R719/O719,"")</t>
  </si>
  <si>
    <t>=NL("Sum","5802 Value Entry","150 Sales Amount (Expected)","41 Source Type",$C$5,"5 Source No.",$C719,"4 Item Ledger Entry Type",$C$4,"2 Item No.","@@"&amp;$F719,"3 Posting Date",U$9)+NL("Sum","5802 Value Entry","17 Sales Amount (Actual)","41 Source Type",$C$5,"5 Source no.",$C719,"4 Item Ledger Entry Type",$C$4,"2 Item No.","@@"&amp;$F719,"3 Posting Date",U$9)</t>
  </si>
  <si>
    <t>=-NL("Sum","5802 Value Entry","151 Cost Amount (Expected)","41 Source Type",$C$5,"5 Source No.",$C719,"4 Item Ledger Entry Type",$C$4,"2 Item No.","@@"&amp;$F719,"3 Posting Date",U$9)-NL("Sum","5802 Value Entry","43 Cost Amount (Actual)","41 Source Type",$C$5,"5 Source no.",$C719,"4 Item Ledger Entry Type",$C$4,"2 Item No.","@@"&amp;$F719,"3 Posting Date",U$9)</t>
  </si>
  <si>
    <t>=U719-W719</t>
  </si>
  <si>
    <t>=IF(U719&lt;&gt;0,X719/U719,"")</t>
  </si>
  <si>
    <t>=NL("Sum","5802 Value Entry","150 Sales Amount (Expected)","41 Source Type",$C$5,"5 Source No.",$C719,"4 Item Ledger Entry Type",$C$4,"2 Item No.","@@"&amp;$F719,"3 Posting Date",Z$9)+NL("Sum","5802 Value Entry","17 Sales Amount (Actual)","41 Source Type",$C$5,"5 Source no.",$C719,"4 Item Ledger Entry Type",$C$4,"2 Item No.","@@"&amp;$F719,"3 Posting Date",Z$9)</t>
  </si>
  <si>
    <t>=-NL("Sum","5802 Value Entry","151 Cost Amount (Expected)","41 Source Type",$C$5,"5 Source No.",$C719,"4 Item Ledger Entry Type",$C$4,"2 Item No.","@@"&amp;$F719,"3 Posting Date",Z$9)-NL("Sum","5802 Value Entry","43 Cost Amount (Actual)","41 Source Type",$C$5,"5 Source no.",$C719,"4 Item Ledger Entry Type",$C$4,"2 Item No.","@@"&amp;$F719,"3 Posting Date",Z$9)</t>
  </si>
  <si>
    <t>=Z719-AB719</t>
  </si>
  <si>
    <t>=IF(Z719&lt;&gt;0,AC719/Z719,"")</t>
  </si>
  <si>
    <t>=C719</t>
  </si>
  <si>
    <t>=NL("Sum","5802 Value Entry","150 Sales Amount (Expected)","41 Source Type",$C$5,"5 Source No.",$C720,"4 Item Ledger Entry Type",$C$4,"2 Item No.","@@"&amp;$F720,"3 Posting Date",J$9)+NL("Sum","5802 Value Entry","17 Sales Amount (Actual)","41 Source Type",$C$5,"5 Source no.",$C720,"4 Item Ledger Entry Type",$C$4,"2 Item No.","@@"&amp;$F720,"3 Posting Date",J$9)</t>
  </si>
  <si>
    <t>=-NL("Sum","5802 Value Entry","151 Cost Amount (Expected)","41 Source Type",$C$5,"5 Source No.",$C720,"4 Item Ledger Entry Type",$C$4,"2 Item No.","@@"&amp;$F720,"3 Posting Date",J$9)-NL("Sum","5802 Value Entry","43 Cost Amount (Actual)","41 Source Type",$C$5,"5 Source no.",$C720,"4 Item Ledger Entry Type",$C$4,"2 Item No.","@@"&amp;$F720,"3 Posting Date",J$9)</t>
  </si>
  <si>
    <t>=J720-L720</t>
  </si>
  <si>
    <t>=IF(J720&lt;&gt;0,M720/J720,"")</t>
  </si>
  <si>
    <t>=NL("Sum","5802 Value Entry","150 Sales Amount (Expected)","41 Source Type",$C$5,"5 Source No.",$C720,"4 Item Ledger Entry Type",$C$4,"2 Item No.","@@"&amp;$F720,"3 Posting Date",O$9)+NL("Sum","5802 Value Entry","17 Sales Amount (Actual)","41 Source Type",$C$5,"5 Source no.",$C720,"4 Item Ledger Entry Type",$C$4,"2 Item No.","@@"&amp;$F720,"3 Posting Date",O$9)</t>
  </si>
  <si>
    <t>=-NL("Sum","5802 Value Entry","151 Cost Amount (Expected)","41 Source Type",$C$5,"5 Source No.",$C720,"4 Item Ledger Entry Type",$C$4,"2 Item No.","@@"&amp;$F720,"3 Posting Date",O$9)-NL("Sum","5802 Value Entry","43 Cost Amount (Actual)","41 Source Type",$C$5,"5 Source no.",$C720,"4 Item Ledger Entry Type",$C$4,"2 Item No.","@@"&amp;$F720,"3 Posting Date",O$9)</t>
  </si>
  <si>
    <t>=O720-Q720</t>
  </si>
  <si>
    <t>=IF(O720&lt;&gt;0,R720/O720,"")</t>
  </si>
  <si>
    <t>=NL("Sum","5802 Value Entry","150 Sales Amount (Expected)","41 Source Type",$C$5,"5 Source No.",$C720,"4 Item Ledger Entry Type",$C$4,"2 Item No.","@@"&amp;$F720,"3 Posting Date",U$9)+NL("Sum","5802 Value Entry","17 Sales Amount (Actual)","41 Source Type",$C$5,"5 Source no.",$C720,"4 Item Ledger Entry Type",$C$4,"2 Item No.","@@"&amp;$F720,"3 Posting Date",U$9)</t>
  </si>
  <si>
    <t>=-NL("Sum","5802 Value Entry","151 Cost Amount (Expected)","41 Source Type",$C$5,"5 Source No.",$C720,"4 Item Ledger Entry Type",$C$4,"2 Item No.","@@"&amp;$F720,"3 Posting Date",U$9)-NL("Sum","5802 Value Entry","43 Cost Amount (Actual)","41 Source Type",$C$5,"5 Source no.",$C720,"4 Item Ledger Entry Type",$C$4,"2 Item No.","@@"&amp;$F720,"3 Posting Date",U$9)</t>
  </si>
  <si>
    <t>=U720-W720</t>
  </si>
  <si>
    <t>=IF(U720&lt;&gt;0,X720/U720,"")</t>
  </si>
  <si>
    <t>=NL("Sum","5802 Value Entry","150 Sales Amount (Expected)","41 Source Type",$C$5,"5 Source No.",$C720,"4 Item Ledger Entry Type",$C$4,"2 Item No.","@@"&amp;$F720,"3 Posting Date",Z$9)+NL("Sum","5802 Value Entry","17 Sales Amount (Actual)","41 Source Type",$C$5,"5 Source no.",$C720,"4 Item Ledger Entry Type",$C$4,"2 Item No.","@@"&amp;$F720,"3 Posting Date",Z$9)</t>
  </si>
  <si>
    <t>=-NL("Sum","5802 Value Entry","151 Cost Amount (Expected)","41 Source Type",$C$5,"5 Source No.",$C720,"4 Item Ledger Entry Type",$C$4,"2 Item No.","@@"&amp;$F720,"3 Posting Date",Z$9)-NL("Sum","5802 Value Entry","43 Cost Amount (Actual)","41 Source Type",$C$5,"5 Source no.",$C720,"4 Item Ledger Entry Type",$C$4,"2 Item No.","@@"&amp;$F720,"3 Posting Date",Z$9)</t>
  </si>
  <si>
    <t>=Z720-AB720</t>
  </si>
  <si>
    <t>=IF(Z720&lt;&gt;0,AC720/Z720,"")</t>
  </si>
  <si>
    <t>=C720</t>
  </si>
  <si>
    <t>=NL("Sum","5802 Value Entry","150 Sales Amount (Expected)","41 Source Type",$C$5,"5 Source No.",$C721,"4 Item Ledger Entry Type",$C$4,"2 Item No.","@@"&amp;$F721,"3 Posting Date",J$9)+NL("Sum","5802 Value Entry","17 Sales Amount (Actual)","41 Source Type",$C$5,"5 Source no.",$C721,"4 Item Ledger Entry Type",$C$4,"2 Item No.","@@"&amp;$F721,"3 Posting Date",J$9)</t>
  </si>
  <si>
    <t>=-NL("Sum","5802 Value Entry","151 Cost Amount (Expected)","41 Source Type",$C$5,"5 Source No.",$C721,"4 Item Ledger Entry Type",$C$4,"2 Item No.","@@"&amp;$F721,"3 Posting Date",J$9)-NL("Sum","5802 Value Entry","43 Cost Amount (Actual)","41 Source Type",$C$5,"5 Source no.",$C721,"4 Item Ledger Entry Type",$C$4,"2 Item No.","@@"&amp;$F721,"3 Posting Date",J$9)</t>
  </si>
  <si>
    <t>=J721-L721</t>
  </si>
  <si>
    <t>=IF(J721&lt;&gt;0,M721/J721,"")</t>
  </si>
  <si>
    <t>=NL("Sum","5802 Value Entry","150 Sales Amount (Expected)","41 Source Type",$C$5,"5 Source No.",$C721,"4 Item Ledger Entry Type",$C$4,"2 Item No.","@@"&amp;$F721,"3 Posting Date",O$9)+NL("Sum","5802 Value Entry","17 Sales Amount (Actual)","41 Source Type",$C$5,"5 Source no.",$C721,"4 Item Ledger Entry Type",$C$4,"2 Item No.","@@"&amp;$F721,"3 Posting Date",O$9)</t>
  </si>
  <si>
    <t>=-NL("Sum","5802 Value Entry","151 Cost Amount (Expected)","41 Source Type",$C$5,"5 Source No.",$C721,"4 Item Ledger Entry Type",$C$4,"2 Item No.","@@"&amp;$F721,"3 Posting Date",O$9)-NL("Sum","5802 Value Entry","43 Cost Amount (Actual)","41 Source Type",$C$5,"5 Source no.",$C721,"4 Item Ledger Entry Type",$C$4,"2 Item No.","@@"&amp;$F721,"3 Posting Date",O$9)</t>
  </si>
  <si>
    <t>=O721-Q721</t>
  </si>
  <si>
    <t>=IF(O721&lt;&gt;0,R721/O721,"")</t>
  </si>
  <si>
    <t>=NL("Sum","5802 Value Entry","150 Sales Amount (Expected)","41 Source Type",$C$5,"5 Source No.",$C721,"4 Item Ledger Entry Type",$C$4,"2 Item No.","@@"&amp;$F721,"3 Posting Date",U$9)+NL("Sum","5802 Value Entry","17 Sales Amount (Actual)","41 Source Type",$C$5,"5 Source no.",$C721,"4 Item Ledger Entry Type",$C$4,"2 Item No.","@@"&amp;$F721,"3 Posting Date",U$9)</t>
  </si>
  <si>
    <t>=-NL("Sum","5802 Value Entry","151 Cost Amount (Expected)","41 Source Type",$C$5,"5 Source No.",$C721,"4 Item Ledger Entry Type",$C$4,"2 Item No.","@@"&amp;$F721,"3 Posting Date",U$9)-NL("Sum","5802 Value Entry","43 Cost Amount (Actual)","41 Source Type",$C$5,"5 Source no.",$C721,"4 Item Ledger Entry Type",$C$4,"2 Item No.","@@"&amp;$F721,"3 Posting Date",U$9)</t>
  </si>
  <si>
    <t>=U721-W721</t>
  </si>
  <si>
    <t>=IF(U721&lt;&gt;0,X721/U721,"")</t>
  </si>
  <si>
    <t>=NL("Sum","5802 Value Entry","150 Sales Amount (Expected)","41 Source Type",$C$5,"5 Source No.",$C721,"4 Item Ledger Entry Type",$C$4,"2 Item No.","@@"&amp;$F721,"3 Posting Date",Z$9)+NL("Sum","5802 Value Entry","17 Sales Amount (Actual)","41 Source Type",$C$5,"5 Source no.",$C721,"4 Item Ledger Entry Type",$C$4,"2 Item No.","@@"&amp;$F721,"3 Posting Date",Z$9)</t>
  </si>
  <si>
    <t>=-NL("Sum","5802 Value Entry","151 Cost Amount (Expected)","41 Source Type",$C$5,"5 Source No.",$C721,"4 Item Ledger Entry Type",$C$4,"2 Item No.","@@"&amp;$F721,"3 Posting Date",Z$9)-NL("Sum","5802 Value Entry","43 Cost Amount (Actual)","41 Source Type",$C$5,"5 Source no.",$C721,"4 Item Ledger Entry Type",$C$4,"2 Item No.","@@"&amp;$F721,"3 Posting Date",Z$9)</t>
  </si>
  <si>
    <t>=Z721-AB721</t>
  </si>
  <si>
    <t>=IF(Z721&lt;&gt;0,AC721/Z721,"")</t>
  </si>
  <si>
    <t>=C721</t>
  </si>
  <si>
    <t>=NL("Sum","5802 Value Entry","150 Sales Amount (Expected)","41 Source Type",$C$5,"5 Source No.",$C722,"4 Item Ledger Entry Type",$C$4,"2 Item No.","@@"&amp;$F722,"3 Posting Date",J$9)+NL("Sum","5802 Value Entry","17 Sales Amount (Actual)","41 Source Type",$C$5,"5 Source no.",$C722,"4 Item Ledger Entry Type",$C$4,"2 Item No.","@@"&amp;$F722,"3 Posting Date",J$9)</t>
  </si>
  <si>
    <t>=-NL("Sum","5802 Value Entry","151 Cost Amount (Expected)","41 Source Type",$C$5,"5 Source No.",$C722,"4 Item Ledger Entry Type",$C$4,"2 Item No.","@@"&amp;$F722,"3 Posting Date",J$9)-NL("Sum","5802 Value Entry","43 Cost Amount (Actual)","41 Source Type",$C$5,"5 Source no.",$C722,"4 Item Ledger Entry Type",$C$4,"2 Item No.","@@"&amp;$F722,"3 Posting Date",J$9)</t>
  </si>
  <si>
    <t>=J722-L722</t>
  </si>
  <si>
    <t>=IF(J722&lt;&gt;0,M722/J722,"")</t>
  </si>
  <si>
    <t>=NL("Sum","5802 Value Entry","150 Sales Amount (Expected)","41 Source Type",$C$5,"5 Source No.",$C722,"4 Item Ledger Entry Type",$C$4,"2 Item No.","@@"&amp;$F722,"3 Posting Date",O$9)+NL("Sum","5802 Value Entry","17 Sales Amount (Actual)","41 Source Type",$C$5,"5 Source no.",$C722,"4 Item Ledger Entry Type",$C$4,"2 Item No.","@@"&amp;$F722,"3 Posting Date",O$9)</t>
  </si>
  <si>
    <t>=-NL("Sum","5802 Value Entry","151 Cost Amount (Expected)","41 Source Type",$C$5,"5 Source No.",$C722,"4 Item Ledger Entry Type",$C$4,"2 Item No.","@@"&amp;$F722,"3 Posting Date",O$9)-NL("Sum","5802 Value Entry","43 Cost Amount (Actual)","41 Source Type",$C$5,"5 Source no.",$C722,"4 Item Ledger Entry Type",$C$4,"2 Item No.","@@"&amp;$F722,"3 Posting Date",O$9)</t>
  </si>
  <si>
    <t>=O722-Q722</t>
  </si>
  <si>
    <t>=IF(O722&lt;&gt;0,R722/O722,"")</t>
  </si>
  <si>
    <t>=NL("Sum","5802 Value Entry","150 Sales Amount (Expected)","41 Source Type",$C$5,"5 Source No.",$C722,"4 Item Ledger Entry Type",$C$4,"2 Item No.","@@"&amp;$F722,"3 Posting Date",U$9)+NL("Sum","5802 Value Entry","17 Sales Amount (Actual)","41 Source Type",$C$5,"5 Source no.",$C722,"4 Item Ledger Entry Type",$C$4,"2 Item No.","@@"&amp;$F722,"3 Posting Date",U$9)</t>
  </si>
  <si>
    <t>=-NL("Sum","5802 Value Entry","151 Cost Amount (Expected)","41 Source Type",$C$5,"5 Source No.",$C722,"4 Item Ledger Entry Type",$C$4,"2 Item No.","@@"&amp;$F722,"3 Posting Date",U$9)-NL("Sum","5802 Value Entry","43 Cost Amount (Actual)","41 Source Type",$C$5,"5 Source no.",$C722,"4 Item Ledger Entry Type",$C$4,"2 Item No.","@@"&amp;$F722,"3 Posting Date",U$9)</t>
  </si>
  <si>
    <t>=U722-W722</t>
  </si>
  <si>
    <t>=IF(U722&lt;&gt;0,X722/U722,"")</t>
  </si>
  <si>
    <t>=NL("Sum","5802 Value Entry","150 Sales Amount (Expected)","41 Source Type",$C$5,"5 Source No.",$C722,"4 Item Ledger Entry Type",$C$4,"2 Item No.","@@"&amp;$F722,"3 Posting Date",Z$9)+NL("Sum","5802 Value Entry","17 Sales Amount (Actual)","41 Source Type",$C$5,"5 Source no.",$C722,"4 Item Ledger Entry Type",$C$4,"2 Item No.","@@"&amp;$F722,"3 Posting Date",Z$9)</t>
  </si>
  <si>
    <t>=-NL("Sum","5802 Value Entry","151 Cost Amount (Expected)","41 Source Type",$C$5,"5 Source No.",$C722,"4 Item Ledger Entry Type",$C$4,"2 Item No.","@@"&amp;$F722,"3 Posting Date",Z$9)-NL("Sum","5802 Value Entry","43 Cost Amount (Actual)","41 Source Type",$C$5,"5 Source no.",$C722,"4 Item Ledger Entry Type",$C$4,"2 Item No.","@@"&amp;$F722,"3 Posting Date",Z$9)</t>
  </si>
  <si>
    <t>=Z722-AB722</t>
  </si>
  <si>
    <t>=IF(Z722&lt;&gt;0,AC722/Z722,"")</t>
  </si>
  <si>
    <t>=C722</t>
  </si>
  <si>
    <t>=NL("Sum","5802 Value Entry","150 Sales Amount (Expected)","41 Source Type",$C$5,"5 Source No.",$C723,"4 Item Ledger Entry Type",$C$4,"2 Item No.","@@"&amp;$F723,"3 Posting Date",J$9)+NL("Sum","5802 Value Entry","17 Sales Amount (Actual)","41 Source Type",$C$5,"5 Source no.",$C723,"4 Item Ledger Entry Type",$C$4,"2 Item No.","@@"&amp;$F723,"3 Posting Date",J$9)</t>
  </si>
  <si>
    <t>=-NL("Sum","5802 Value Entry","151 Cost Amount (Expected)","41 Source Type",$C$5,"5 Source No.",$C723,"4 Item Ledger Entry Type",$C$4,"2 Item No.","@@"&amp;$F723,"3 Posting Date",J$9)-NL("Sum","5802 Value Entry","43 Cost Amount (Actual)","41 Source Type",$C$5,"5 Source no.",$C723,"4 Item Ledger Entry Type",$C$4,"2 Item No.","@@"&amp;$F723,"3 Posting Date",J$9)</t>
  </si>
  <si>
    <t>=J723-L723</t>
  </si>
  <si>
    <t>=IF(J723&lt;&gt;0,M723/J723,"")</t>
  </si>
  <si>
    <t>=NL("Sum","5802 Value Entry","150 Sales Amount (Expected)","41 Source Type",$C$5,"5 Source No.",$C723,"4 Item Ledger Entry Type",$C$4,"2 Item No.","@@"&amp;$F723,"3 Posting Date",O$9)+NL("Sum","5802 Value Entry","17 Sales Amount (Actual)","41 Source Type",$C$5,"5 Source no.",$C723,"4 Item Ledger Entry Type",$C$4,"2 Item No.","@@"&amp;$F723,"3 Posting Date",O$9)</t>
  </si>
  <si>
    <t>=-NL("Sum","5802 Value Entry","151 Cost Amount (Expected)","41 Source Type",$C$5,"5 Source No.",$C723,"4 Item Ledger Entry Type",$C$4,"2 Item No.","@@"&amp;$F723,"3 Posting Date",O$9)-NL("Sum","5802 Value Entry","43 Cost Amount (Actual)","41 Source Type",$C$5,"5 Source no.",$C723,"4 Item Ledger Entry Type",$C$4,"2 Item No.","@@"&amp;$F723,"3 Posting Date",O$9)</t>
  </si>
  <si>
    <t>=O723-Q723</t>
  </si>
  <si>
    <t>=IF(O723&lt;&gt;0,R723/O723,"")</t>
  </si>
  <si>
    <t>=NL("Sum","5802 Value Entry","150 Sales Amount (Expected)","41 Source Type",$C$5,"5 Source No.",$C723,"4 Item Ledger Entry Type",$C$4,"2 Item No.","@@"&amp;$F723,"3 Posting Date",U$9)+NL("Sum","5802 Value Entry","17 Sales Amount (Actual)","41 Source Type",$C$5,"5 Source no.",$C723,"4 Item Ledger Entry Type",$C$4,"2 Item No.","@@"&amp;$F723,"3 Posting Date",U$9)</t>
  </si>
  <si>
    <t>=-NL("Sum","5802 Value Entry","151 Cost Amount (Expected)","41 Source Type",$C$5,"5 Source No.",$C723,"4 Item Ledger Entry Type",$C$4,"2 Item No.","@@"&amp;$F723,"3 Posting Date",U$9)-NL("Sum","5802 Value Entry","43 Cost Amount (Actual)","41 Source Type",$C$5,"5 Source no.",$C723,"4 Item Ledger Entry Type",$C$4,"2 Item No.","@@"&amp;$F723,"3 Posting Date",U$9)</t>
  </si>
  <si>
    <t>=U723-W723</t>
  </si>
  <si>
    <t>=IF(U723&lt;&gt;0,X723/U723,"")</t>
  </si>
  <si>
    <t>=NL("Sum","5802 Value Entry","150 Sales Amount (Expected)","41 Source Type",$C$5,"5 Source No.",$C723,"4 Item Ledger Entry Type",$C$4,"2 Item No.","@@"&amp;$F723,"3 Posting Date",Z$9)+NL("Sum","5802 Value Entry","17 Sales Amount (Actual)","41 Source Type",$C$5,"5 Source no.",$C723,"4 Item Ledger Entry Type",$C$4,"2 Item No.","@@"&amp;$F723,"3 Posting Date",Z$9)</t>
  </si>
  <si>
    <t>=-NL("Sum","5802 Value Entry","151 Cost Amount (Expected)","41 Source Type",$C$5,"5 Source No.",$C723,"4 Item Ledger Entry Type",$C$4,"2 Item No.","@@"&amp;$F723,"3 Posting Date",Z$9)-NL("Sum","5802 Value Entry","43 Cost Amount (Actual)","41 Source Type",$C$5,"5 Source no.",$C723,"4 Item Ledger Entry Type",$C$4,"2 Item No.","@@"&amp;$F723,"3 Posting Date",Z$9)</t>
  </si>
  <si>
    <t>=Z723-AB723</t>
  </si>
  <si>
    <t>=IF(Z723&lt;&gt;0,AC723/Z723,"")</t>
  </si>
  <si>
    <t>=C723</t>
  </si>
  <si>
    <t>=NL("Sum","5802 Value Entry","150 Sales Amount (Expected)","41 Source Type",$C$5,"5 Source No.",$C724,"4 Item Ledger Entry Type",$C$4,"2 Item No.","@@"&amp;$F724,"3 Posting Date",J$9)+NL("Sum","5802 Value Entry","17 Sales Amount (Actual)","41 Source Type",$C$5,"5 Source no.",$C724,"4 Item Ledger Entry Type",$C$4,"2 Item No.","@@"&amp;$F724,"3 Posting Date",J$9)</t>
  </si>
  <si>
    <t>=-NL("Sum","5802 Value Entry","151 Cost Amount (Expected)","41 Source Type",$C$5,"5 Source No.",$C724,"4 Item Ledger Entry Type",$C$4,"2 Item No.","@@"&amp;$F724,"3 Posting Date",J$9)-NL("Sum","5802 Value Entry","43 Cost Amount (Actual)","41 Source Type",$C$5,"5 Source no.",$C724,"4 Item Ledger Entry Type",$C$4,"2 Item No.","@@"&amp;$F724,"3 Posting Date",J$9)</t>
  </si>
  <si>
    <t>=J724-L724</t>
  </si>
  <si>
    <t>=IF(J724&lt;&gt;0,M724/J724,"")</t>
  </si>
  <si>
    <t>=NL("Sum","5802 Value Entry","150 Sales Amount (Expected)","41 Source Type",$C$5,"5 Source No.",$C724,"4 Item Ledger Entry Type",$C$4,"2 Item No.","@@"&amp;$F724,"3 Posting Date",O$9)+NL("Sum","5802 Value Entry","17 Sales Amount (Actual)","41 Source Type",$C$5,"5 Source no.",$C724,"4 Item Ledger Entry Type",$C$4,"2 Item No.","@@"&amp;$F724,"3 Posting Date",O$9)</t>
  </si>
  <si>
    <t>=-NL("Sum","5802 Value Entry","151 Cost Amount (Expected)","41 Source Type",$C$5,"5 Source No.",$C724,"4 Item Ledger Entry Type",$C$4,"2 Item No.","@@"&amp;$F724,"3 Posting Date",O$9)-NL("Sum","5802 Value Entry","43 Cost Amount (Actual)","41 Source Type",$C$5,"5 Source no.",$C724,"4 Item Ledger Entry Type",$C$4,"2 Item No.","@@"&amp;$F724,"3 Posting Date",O$9)</t>
  </si>
  <si>
    <t>=O724-Q724</t>
  </si>
  <si>
    <t>=IF(O724&lt;&gt;0,R724/O724,"")</t>
  </si>
  <si>
    <t>=NL("Sum","5802 Value Entry","150 Sales Amount (Expected)","41 Source Type",$C$5,"5 Source No.",$C724,"4 Item Ledger Entry Type",$C$4,"2 Item No.","@@"&amp;$F724,"3 Posting Date",U$9)+NL("Sum","5802 Value Entry","17 Sales Amount (Actual)","41 Source Type",$C$5,"5 Source no.",$C724,"4 Item Ledger Entry Type",$C$4,"2 Item No.","@@"&amp;$F724,"3 Posting Date",U$9)</t>
  </si>
  <si>
    <t>=-NL("Sum","5802 Value Entry","151 Cost Amount (Expected)","41 Source Type",$C$5,"5 Source No.",$C724,"4 Item Ledger Entry Type",$C$4,"2 Item No.","@@"&amp;$F724,"3 Posting Date",U$9)-NL("Sum","5802 Value Entry","43 Cost Amount (Actual)","41 Source Type",$C$5,"5 Source no.",$C724,"4 Item Ledger Entry Type",$C$4,"2 Item No.","@@"&amp;$F724,"3 Posting Date",U$9)</t>
  </si>
  <si>
    <t>=U724-W724</t>
  </si>
  <si>
    <t>=IF(U724&lt;&gt;0,X724/U724,"")</t>
  </si>
  <si>
    <t>=NL("Sum","5802 Value Entry","150 Sales Amount (Expected)","41 Source Type",$C$5,"5 Source No.",$C724,"4 Item Ledger Entry Type",$C$4,"2 Item No.","@@"&amp;$F724,"3 Posting Date",Z$9)+NL("Sum","5802 Value Entry","17 Sales Amount (Actual)","41 Source Type",$C$5,"5 Source no.",$C724,"4 Item Ledger Entry Type",$C$4,"2 Item No.","@@"&amp;$F724,"3 Posting Date",Z$9)</t>
  </si>
  <si>
    <t>=-NL("Sum","5802 Value Entry","151 Cost Amount (Expected)","41 Source Type",$C$5,"5 Source No.",$C724,"4 Item Ledger Entry Type",$C$4,"2 Item No.","@@"&amp;$F724,"3 Posting Date",Z$9)-NL("Sum","5802 Value Entry","43 Cost Amount (Actual)","41 Source Type",$C$5,"5 Source no.",$C724,"4 Item Ledger Entry Type",$C$4,"2 Item No.","@@"&amp;$F724,"3 Posting Date",Z$9)</t>
  </si>
  <si>
    <t>=Z724-AB724</t>
  </si>
  <si>
    <t>=IF(Z724&lt;&gt;0,AC724/Z724,"")</t>
  </si>
  <si>
    <t>=C724</t>
  </si>
  <si>
    <t>=NL("Sum","5802 Value Entry","150 Sales Amount (Expected)","41 Source Type",$C$5,"5 Source No.",$C725,"4 Item Ledger Entry Type",$C$4,"2 Item No.","@@"&amp;$F725,"3 Posting Date",J$9)+NL("Sum","5802 Value Entry","17 Sales Amount (Actual)","41 Source Type",$C$5,"5 Source no.",$C725,"4 Item Ledger Entry Type",$C$4,"2 Item No.","@@"&amp;$F725,"3 Posting Date",J$9)</t>
  </si>
  <si>
    <t>=-NL("Sum","5802 Value Entry","151 Cost Amount (Expected)","41 Source Type",$C$5,"5 Source No.",$C725,"4 Item Ledger Entry Type",$C$4,"2 Item No.","@@"&amp;$F725,"3 Posting Date",J$9)-NL("Sum","5802 Value Entry","43 Cost Amount (Actual)","41 Source Type",$C$5,"5 Source no.",$C725,"4 Item Ledger Entry Type",$C$4,"2 Item No.","@@"&amp;$F725,"3 Posting Date",J$9)</t>
  </si>
  <si>
    <t>=J725-L725</t>
  </si>
  <si>
    <t>=IF(J725&lt;&gt;0,M725/J725,"")</t>
  </si>
  <si>
    <t>=NL("Sum","5802 Value Entry","150 Sales Amount (Expected)","41 Source Type",$C$5,"5 Source No.",$C725,"4 Item Ledger Entry Type",$C$4,"2 Item No.","@@"&amp;$F725,"3 Posting Date",O$9)+NL("Sum","5802 Value Entry","17 Sales Amount (Actual)","41 Source Type",$C$5,"5 Source no.",$C725,"4 Item Ledger Entry Type",$C$4,"2 Item No.","@@"&amp;$F725,"3 Posting Date",O$9)</t>
  </si>
  <si>
    <t>=-NL("Sum","5802 Value Entry","151 Cost Amount (Expected)","41 Source Type",$C$5,"5 Source No.",$C725,"4 Item Ledger Entry Type",$C$4,"2 Item No.","@@"&amp;$F725,"3 Posting Date",O$9)-NL("Sum","5802 Value Entry","43 Cost Amount (Actual)","41 Source Type",$C$5,"5 Source no.",$C725,"4 Item Ledger Entry Type",$C$4,"2 Item No.","@@"&amp;$F725,"3 Posting Date",O$9)</t>
  </si>
  <si>
    <t>=O725-Q725</t>
  </si>
  <si>
    <t>=IF(O725&lt;&gt;0,R725/O725,"")</t>
  </si>
  <si>
    <t>=NL("Sum","5802 Value Entry","150 Sales Amount (Expected)","41 Source Type",$C$5,"5 Source No.",$C725,"4 Item Ledger Entry Type",$C$4,"2 Item No.","@@"&amp;$F725,"3 Posting Date",U$9)+NL("Sum","5802 Value Entry","17 Sales Amount (Actual)","41 Source Type",$C$5,"5 Source no.",$C725,"4 Item Ledger Entry Type",$C$4,"2 Item No.","@@"&amp;$F725,"3 Posting Date",U$9)</t>
  </si>
  <si>
    <t>=-NL("Sum","5802 Value Entry","151 Cost Amount (Expected)","41 Source Type",$C$5,"5 Source No.",$C725,"4 Item Ledger Entry Type",$C$4,"2 Item No.","@@"&amp;$F725,"3 Posting Date",U$9)-NL("Sum","5802 Value Entry","43 Cost Amount (Actual)","41 Source Type",$C$5,"5 Source no.",$C725,"4 Item Ledger Entry Type",$C$4,"2 Item No.","@@"&amp;$F725,"3 Posting Date",U$9)</t>
  </si>
  <si>
    <t>=U725-W725</t>
  </si>
  <si>
    <t>=IF(U725&lt;&gt;0,X725/U725,"")</t>
  </si>
  <si>
    <t>=NL("Sum","5802 Value Entry","150 Sales Amount (Expected)","41 Source Type",$C$5,"5 Source No.",$C725,"4 Item Ledger Entry Type",$C$4,"2 Item No.","@@"&amp;$F725,"3 Posting Date",Z$9)+NL("Sum","5802 Value Entry","17 Sales Amount (Actual)","41 Source Type",$C$5,"5 Source no.",$C725,"4 Item Ledger Entry Type",$C$4,"2 Item No.","@@"&amp;$F725,"3 Posting Date",Z$9)</t>
  </si>
  <si>
    <t>=-NL("Sum","5802 Value Entry","151 Cost Amount (Expected)","41 Source Type",$C$5,"5 Source No.",$C725,"4 Item Ledger Entry Type",$C$4,"2 Item No.","@@"&amp;$F725,"3 Posting Date",Z$9)-NL("Sum","5802 Value Entry","43 Cost Amount (Actual)","41 Source Type",$C$5,"5 Source no.",$C725,"4 Item Ledger Entry Type",$C$4,"2 Item No.","@@"&amp;$F725,"3 Posting Date",Z$9)</t>
  </si>
  <si>
    <t>=Z725-AB725</t>
  </si>
  <si>
    <t>=IF(Z725&lt;&gt;0,AC725/Z725,"")</t>
  </si>
  <si>
    <t>=C725</t>
  </si>
  <si>
    <t>=NL("Sum","5802 Value Entry","150 Sales Amount (Expected)","41 Source Type",$C$5,"5 Source No.",$C726,"4 Item Ledger Entry Type",$C$4,"2 Item No.","@@"&amp;$F726,"3 Posting Date",J$9)+NL("Sum","5802 Value Entry","17 Sales Amount (Actual)","41 Source Type",$C$5,"5 Source no.",$C726,"4 Item Ledger Entry Type",$C$4,"2 Item No.","@@"&amp;$F726,"3 Posting Date",J$9)</t>
  </si>
  <si>
    <t>=-NL("Sum","5802 Value Entry","151 Cost Amount (Expected)","41 Source Type",$C$5,"5 Source No.",$C726,"4 Item Ledger Entry Type",$C$4,"2 Item No.","@@"&amp;$F726,"3 Posting Date",J$9)-NL("Sum","5802 Value Entry","43 Cost Amount (Actual)","41 Source Type",$C$5,"5 Source no.",$C726,"4 Item Ledger Entry Type",$C$4,"2 Item No.","@@"&amp;$F726,"3 Posting Date",J$9)</t>
  </si>
  <si>
    <t>=J726-L726</t>
  </si>
  <si>
    <t>=IF(J726&lt;&gt;0,M726/J726,"")</t>
  </si>
  <si>
    <t>=NL("Sum","5802 Value Entry","150 Sales Amount (Expected)","41 Source Type",$C$5,"5 Source No.",$C726,"4 Item Ledger Entry Type",$C$4,"2 Item No.","@@"&amp;$F726,"3 Posting Date",O$9)+NL("Sum","5802 Value Entry","17 Sales Amount (Actual)","41 Source Type",$C$5,"5 Source no.",$C726,"4 Item Ledger Entry Type",$C$4,"2 Item No.","@@"&amp;$F726,"3 Posting Date",O$9)</t>
  </si>
  <si>
    <t>=-NL("Sum","5802 Value Entry","151 Cost Amount (Expected)","41 Source Type",$C$5,"5 Source No.",$C726,"4 Item Ledger Entry Type",$C$4,"2 Item No.","@@"&amp;$F726,"3 Posting Date",O$9)-NL("Sum","5802 Value Entry","43 Cost Amount (Actual)","41 Source Type",$C$5,"5 Source no.",$C726,"4 Item Ledger Entry Type",$C$4,"2 Item No.","@@"&amp;$F726,"3 Posting Date",O$9)</t>
  </si>
  <si>
    <t>=O726-Q726</t>
  </si>
  <si>
    <t>=IF(O726&lt;&gt;0,R726/O726,"")</t>
  </si>
  <si>
    <t>=NL("Sum","5802 Value Entry","150 Sales Amount (Expected)","41 Source Type",$C$5,"5 Source No.",$C726,"4 Item Ledger Entry Type",$C$4,"2 Item No.","@@"&amp;$F726,"3 Posting Date",U$9)+NL("Sum","5802 Value Entry","17 Sales Amount (Actual)","41 Source Type",$C$5,"5 Source no.",$C726,"4 Item Ledger Entry Type",$C$4,"2 Item No.","@@"&amp;$F726,"3 Posting Date",U$9)</t>
  </si>
  <si>
    <t>=-NL("Sum","5802 Value Entry","151 Cost Amount (Expected)","41 Source Type",$C$5,"5 Source No.",$C726,"4 Item Ledger Entry Type",$C$4,"2 Item No.","@@"&amp;$F726,"3 Posting Date",U$9)-NL("Sum","5802 Value Entry","43 Cost Amount (Actual)","41 Source Type",$C$5,"5 Source no.",$C726,"4 Item Ledger Entry Type",$C$4,"2 Item No.","@@"&amp;$F726,"3 Posting Date",U$9)</t>
  </si>
  <si>
    <t>=U726-W726</t>
  </si>
  <si>
    <t>=IF(U726&lt;&gt;0,X726/U726,"")</t>
  </si>
  <si>
    <t>=NL("Sum","5802 Value Entry","150 Sales Amount (Expected)","41 Source Type",$C$5,"5 Source No.",$C726,"4 Item Ledger Entry Type",$C$4,"2 Item No.","@@"&amp;$F726,"3 Posting Date",Z$9)+NL("Sum","5802 Value Entry","17 Sales Amount (Actual)","41 Source Type",$C$5,"5 Source no.",$C726,"4 Item Ledger Entry Type",$C$4,"2 Item No.","@@"&amp;$F726,"3 Posting Date",Z$9)</t>
  </si>
  <si>
    <t>=-NL("Sum","5802 Value Entry","151 Cost Amount (Expected)","41 Source Type",$C$5,"5 Source No.",$C726,"4 Item Ledger Entry Type",$C$4,"2 Item No.","@@"&amp;$F726,"3 Posting Date",Z$9)-NL("Sum","5802 Value Entry","43 Cost Amount (Actual)","41 Source Type",$C$5,"5 Source no.",$C726,"4 Item Ledger Entry Type",$C$4,"2 Item No.","@@"&amp;$F726,"3 Posting Date",Z$9)</t>
  </si>
  <si>
    <t>=Z726-AB726</t>
  </si>
  <si>
    <t>=IF(Z726&lt;&gt;0,AC726/Z726,"")</t>
  </si>
  <si>
    <t>=C726</t>
  </si>
  <si>
    <t>=NL("Sum","5802 Value Entry","150 Sales Amount (Expected)","41 Source Type",$C$5,"5 Source No.",$C727,"4 Item Ledger Entry Type",$C$4,"2 Item No.","@@"&amp;$F727,"3 Posting Date",J$9)+NL("Sum","5802 Value Entry","17 Sales Amount (Actual)","41 Source Type",$C$5,"5 Source no.",$C727,"4 Item Ledger Entry Type",$C$4,"2 Item No.","@@"&amp;$F727,"3 Posting Date",J$9)</t>
  </si>
  <si>
    <t>=-NL("Sum","5802 Value Entry","151 Cost Amount (Expected)","41 Source Type",$C$5,"5 Source No.",$C727,"4 Item Ledger Entry Type",$C$4,"2 Item No.","@@"&amp;$F727,"3 Posting Date",J$9)-NL("Sum","5802 Value Entry","43 Cost Amount (Actual)","41 Source Type",$C$5,"5 Source no.",$C727,"4 Item Ledger Entry Type",$C$4,"2 Item No.","@@"&amp;$F727,"3 Posting Date",J$9)</t>
  </si>
  <si>
    <t>=J727-L727</t>
  </si>
  <si>
    <t>=IF(J727&lt;&gt;0,M727/J727,"")</t>
  </si>
  <si>
    <t>=NL("Sum","5802 Value Entry","150 Sales Amount (Expected)","41 Source Type",$C$5,"5 Source No.",$C727,"4 Item Ledger Entry Type",$C$4,"2 Item No.","@@"&amp;$F727,"3 Posting Date",O$9)+NL("Sum","5802 Value Entry","17 Sales Amount (Actual)","41 Source Type",$C$5,"5 Source no.",$C727,"4 Item Ledger Entry Type",$C$4,"2 Item No.","@@"&amp;$F727,"3 Posting Date",O$9)</t>
  </si>
  <si>
    <t>=-NL("Sum","5802 Value Entry","151 Cost Amount (Expected)","41 Source Type",$C$5,"5 Source No.",$C727,"4 Item Ledger Entry Type",$C$4,"2 Item No.","@@"&amp;$F727,"3 Posting Date",O$9)-NL("Sum","5802 Value Entry","43 Cost Amount (Actual)","41 Source Type",$C$5,"5 Source no.",$C727,"4 Item Ledger Entry Type",$C$4,"2 Item No.","@@"&amp;$F727,"3 Posting Date",O$9)</t>
  </si>
  <si>
    <t>=O727-Q727</t>
  </si>
  <si>
    <t>=IF(O727&lt;&gt;0,R727/O727,"")</t>
  </si>
  <si>
    <t>=NL("Sum","5802 Value Entry","150 Sales Amount (Expected)","41 Source Type",$C$5,"5 Source No.",$C727,"4 Item Ledger Entry Type",$C$4,"2 Item No.","@@"&amp;$F727,"3 Posting Date",U$9)+NL("Sum","5802 Value Entry","17 Sales Amount (Actual)","41 Source Type",$C$5,"5 Source no.",$C727,"4 Item Ledger Entry Type",$C$4,"2 Item No.","@@"&amp;$F727,"3 Posting Date",U$9)</t>
  </si>
  <si>
    <t>=-NL("Sum","5802 Value Entry","151 Cost Amount (Expected)","41 Source Type",$C$5,"5 Source No.",$C727,"4 Item Ledger Entry Type",$C$4,"2 Item No.","@@"&amp;$F727,"3 Posting Date",U$9)-NL("Sum","5802 Value Entry","43 Cost Amount (Actual)","41 Source Type",$C$5,"5 Source no.",$C727,"4 Item Ledger Entry Type",$C$4,"2 Item No.","@@"&amp;$F727,"3 Posting Date",U$9)</t>
  </si>
  <si>
    <t>=U727-W727</t>
  </si>
  <si>
    <t>=IF(U727&lt;&gt;0,X727/U727,"")</t>
  </si>
  <si>
    <t>=NL("Sum","5802 Value Entry","150 Sales Amount (Expected)","41 Source Type",$C$5,"5 Source No.",$C727,"4 Item Ledger Entry Type",$C$4,"2 Item No.","@@"&amp;$F727,"3 Posting Date",Z$9)+NL("Sum","5802 Value Entry","17 Sales Amount (Actual)","41 Source Type",$C$5,"5 Source no.",$C727,"4 Item Ledger Entry Type",$C$4,"2 Item No.","@@"&amp;$F727,"3 Posting Date",Z$9)</t>
  </si>
  <si>
    <t>=-NL("Sum","5802 Value Entry","151 Cost Amount (Expected)","41 Source Type",$C$5,"5 Source No.",$C727,"4 Item Ledger Entry Type",$C$4,"2 Item No.","@@"&amp;$F727,"3 Posting Date",Z$9)-NL("Sum","5802 Value Entry","43 Cost Amount (Actual)","41 Source Type",$C$5,"5 Source no.",$C727,"4 Item Ledger Entry Type",$C$4,"2 Item No.","@@"&amp;$F727,"3 Posting Date",Z$9)</t>
  </si>
  <si>
    <t>=Z727-AB727</t>
  </si>
  <si>
    <t>=IF(Z727&lt;&gt;0,AC727/Z727,"")</t>
  </si>
  <si>
    <t>=C727</t>
  </si>
  <si>
    <t>=NL("Sum","5802 Value Entry","150 Sales Amount (Expected)","41 Source Type",$C$5,"5 Source No.",$C728,"4 Item Ledger Entry Type",$C$4,"2 Item No.","@@"&amp;$F728,"3 Posting Date",J$9)+NL("Sum","5802 Value Entry","17 Sales Amount (Actual)","41 Source Type",$C$5,"5 Source no.",$C728,"4 Item Ledger Entry Type",$C$4,"2 Item No.","@@"&amp;$F728,"3 Posting Date",J$9)</t>
  </si>
  <si>
    <t>=-NL("Sum","5802 Value Entry","151 Cost Amount (Expected)","41 Source Type",$C$5,"5 Source No.",$C728,"4 Item Ledger Entry Type",$C$4,"2 Item No.","@@"&amp;$F728,"3 Posting Date",J$9)-NL("Sum","5802 Value Entry","43 Cost Amount (Actual)","41 Source Type",$C$5,"5 Source no.",$C728,"4 Item Ledger Entry Type",$C$4,"2 Item No.","@@"&amp;$F728,"3 Posting Date",J$9)</t>
  </si>
  <si>
    <t>=J728-L728</t>
  </si>
  <si>
    <t>=IF(J728&lt;&gt;0,M728/J728,"")</t>
  </si>
  <si>
    <t>=NL("Sum","5802 Value Entry","150 Sales Amount (Expected)","41 Source Type",$C$5,"5 Source No.",$C728,"4 Item Ledger Entry Type",$C$4,"2 Item No.","@@"&amp;$F728,"3 Posting Date",O$9)+NL("Sum","5802 Value Entry","17 Sales Amount (Actual)","41 Source Type",$C$5,"5 Source no.",$C728,"4 Item Ledger Entry Type",$C$4,"2 Item No.","@@"&amp;$F728,"3 Posting Date",O$9)</t>
  </si>
  <si>
    <t>=-NL("Sum","5802 Value Entry","151 Cost Amount (Expected)","41 Source Type",$C$5,"5 Source No.",$C728,"4 Item Ledger Entry Type",$C$4,"2 Item No.","@@"&amp;$F728,"3 Posting Date",O$9)-NL("Sum","5802 Value Entry","43 Cost Amount (Actual)","41 Source Type",$C$5,"5 Source no.",$C728,"4 Item Ledger Entry Type",$C$4,"2 Item No.","@@"&amp;$F728,"3 Posting Date",O$9)</t>
  </si>
  <si>
    <t>=O728-Q728</t>
  </si>
  <si>
    <t>=IF(O728&lt;&gt;0,R728/O728,"")</t>
  </si>
  <si>
    <t>=NL("Sum","5802 Value Entry","150 Sales Amount (Expected)","41 Source Type",$C$5,"5 Source No.",$C728,"4 Item Ledger Entry Type",$C$4,"2 Item No.","@@"&amp;$F728,"3 Posting Date",U$9)+NL("Sum","5802 Value Entry","17 Sales Amount (Actual)","41 Source Type",$C$5,"5 Source no.",$C728,"4 Item Ledger Entry Type",$C$4,"2 Item No.","@@"&amp;$F728,"3 Posting Date",U$9)</t>
  </si>
  <si>
    <t>=-NL("Sum","5802 Value Entry","151 Cost Amount (Expected)","41 Source Type",$C$5,"5 Source No.",$C728,"4 Item Ledger Entry Type",$C$4,"2 Item No.","@@"&amp;$F728,"3 Posting Date",U$9)-NL("Sum","5802 Value Entry","43 Cost Amount (Actual)","41 Source Type",$C$5,"5 Source no.",$C728,"4 Item Ledger Entry Type",$C$4,"2 Item No.","@@"&amp;$F728,"3 Posting Date",U$9)</t>
  </si>
  <si>
    <t>=U728-W728</t>
  </si>
  <si>
    <t>=IF(U728&lt;&gt;0,X728/U728,"")</t>
  </si>
  <si>
    <t>=NL("Sum","5802 Value Entry","150 Sales Amount (Expected)","41 Source Type",$C$5,"5 Source No.",$C728,"4 Item Ledger Entry Type",$C$4,"2 Item No.","@@"&amp;$F728,"3 Posting Date",Z$9)+NL("Sum","5802 Value Entry","17 Sales Amount (Actual)","41 Source Type",$C$5,"5 Source no.",$C728,"4 Item Ledger Entry Type",$C$4,"2 Item No.","@@"&amp;$F728,"3 Posting Date",Z$9)</t>
  </si>
  <si>
    <t>=-NL("Sum","5802 Value Entry","151 Cost Amount (Expected)","41 Source Type",$C$5,"5 Source No.",$C728,"4 Item Ledger Entry Type",$C$4,"2 Item No.","@@"&amp;$F728,"3 Posting Date",Z$9)-NL("Sum","5802 Value Entry","43 Cost Amount (Actual)","41 Source Type",$C$5,"5 Source no.",$C728,"4 Item Ledger Entry Type",$C$4,"2 Item No.","@@"&amp;$F728,"3 Posting Date",Z$9)</t>
  </si>
  <si>
    <t>=Z728-AB728</t>
  </si>
  <si>
    <t>=IF(Z728&lt;&gt;0,AC728/Z728,"")</t>
  </si>
  <si>
    <t>=C728</t>
  </si>
  <si>
    <t>=NL("Sum","5802 Value Entry","150 Sales Amount (Expected)","41 Source Type",$C$5,"5 Source No.",$C729,"4 Item Ledger Entry Type",$C$4,"2 Item No.","@@"&amp;$F729,"3 Posting Date",J$9)+NL("Sum","5802 Value Entry","17 Sales Amount (Actual)","41 Source Type",$C$5,"5 Source no.",$C729,"4 Item Ledger Entry Type",$C$4,"2 Item No.","@@"&amp;$F729,"3 Posting Date",J$9)</t>
  </si>
  <si>
    <t>=-NL("Sum","5802 Value Entry","151 Cost Amount (Expected)","41 Source Type",$C$5,"5 Source No.",$C729,"4 Item Ledger Entry Type",$C$4,"2 Item No.","@@"&amp;$F729,"3 Posting Date",J$9)-NL("Sum","5802 Value Entry","43 Cost Amount (Actual)","41 Source Type",$C$5,"5 Source no.",$C729,"4 Item Ledger Entry Type",$C$4,"2 Item No.","@@"&amp;$F729,"3 Posting Date",J$9)</t>
  </si>
  <si>
    <t>=J729-L729</t>
  </si>
  <si>
    <t>=IF(J729&lt;&gt;0,M729/J729,"")</t>
  </si>
  <si>
    <t>=NL("Sum","5802 Value Entry","150 Sales Amount (Expected)","41 Source Type",$C$5,"5 Source No.",$C729,"4 Item Ledger Entry Type",$C$4,"2 Item No.","@@"&amp;$F729,"3 Posting Date",O$9)+NL("Sum","5802 Value Entry","17 Sales Amount (Actual)","41 Source Type",$C$5,"5 Source no.",$C729,"4 Item Ledger Entry Type",$C$4,"2 Item No.","@@"&amp;$F729,"3 Posting Date",O$9)</t>
  </si>
  <si>
    <t>=-NL("Sum","5802 Value Entry","151 Cost Amount (Expected)","41 Source Type",$C$5,"5 Source No.",$C729,"4 Item Ledger Entry Type",$C$4,"2 Item No.","@@"&amp;$F729,"3 Posting Date",O$9)-NL("Sum","5802 Value Entry","43 Cost Amount (Actual)","41 Source Type",$C$5,"5 Source no.",$C729,"4 Item Ledger Entry Type",$C$4,"2 Item No.","@@"&amp;$F729,"3 Posting Date",O$9)</t>
  </si>
  <si>
    <t>=O729-Q729</t>
  </si>
  <si>
    <t>=IF(O729&lt;&gt;0,R729/O729,"")</t>
  </si>
  <si>
    <t>=NL("Sum","5802 Value Entry","150 Sales Amount (Expected)","41 Source Type",$C$5,"5 Source No.",$C729,"4 Item Ledger Entry Type",$C$4,"2 Item No.","@@"&amp;$F729,"3 Posting Date",U$9)+NL("Sum","5802 Value Entry","17 Sales Amount (Actual)","41 Source Type",$C$5,"5 Source no.",$C729,"4 Item Ledger Entry Type",$C$4,"2 Item No.","@@"&amp;$F729,"3 Posting Date",U$9)</t>
  </si>
  <si>
    <t>=-NL("Sum","5802 Value Entry","151 Cost Amount (Expected)","41 Source Type",$C$5,"5 Source No.",$C729,"4 Item Ledger Entry Type",$C$4,"2 Item No.","@@"&amp;$F729,"3 Posting Date",U$9)-NL("Sum","5802 Value Entry","43 Cost Amount (Actual)","41 Source Type",$C$5,"5 Source no.",$C729,"4 Item Ledger Entry Type",$C$4,"2 Item No.","@@"&amp;$F729,"3 Posting Date",U$9)</t>
  </si>
  <si>
    <t>=U729-W729</t>
  </si>
  <si>
    <t>=IF(U729&lt;&gt;0,X729/U729,"")</t>
  </si>
  <si>
    <t>=NL("Sum","5802 Value Entry","150 Sales Amount (Expected)","41 Source Type",$C$5,"5 Source No.",$C729,"4 Item Ledger Entry Type",$C$4,"2 Item No.","@@"&amp;$F729,"3 Posting Date",Z$9)+NL("Sum","5802 Value Entry","17 Sales Amount (Actual)","41 Source Type",$C$5,"5 Source no.",$C729,"4 Item Ledger Entry Type",$C$4,"2 Item No.","@@"&amp;$F729,"3 Posting Date",Z$9)</t>
  </si>
  <si>
    <t>=-NL("Sum","5802 Value Entry","151 Cost Amount (Expected)","41 Source Type",$C$5,"5 Source No.",$C729,"4 Item Ledger Entry Type",$C$4,"2 Item No.","@@"&amp;$F729,"3 Posting Date",Z$9)-NL("Sum","5802 Value Entry","43 Cost Amount (Actual)","41 Source Type",$C$5,"5 Source no.",$C729,"4 Item Ledger Entry Type",$C$4,"2 Item No.","@@"&amp;$F729,"3 Posting Date",Z$9)</t>
  </si>
  <si>
    <t>=Z729-AB729</t>
  </si>
  <si>
    <t>=IF(Z729&lt;&gt;0,AC729/Z729,"")</t>
  </si>
  <si>
    <t>=C729</t>
  </si>
  <si>
    <t>=NL("Sum","5802 Value Entry","150 Sales Amount (Expected)","41 Source Type",$C$5,"5 Source No.",$C730,"4 Item Ledger Entry Type",$C$4,"2 Item No.","@@"&amp;$F730,"3 Posting Date",J$9)+NL("Sum","5802 Value Entry","17 Sales Amount (Actual)","41 Source Type",$C$5,"5 Source no.",$C730,"4 Item Ledger Entry Type",$C$4,"2 Item No.","@@"&amp;$F730,"3 Posting Date",J$9)</t>
  </si>
  <si>
    <t>=-NL("Sum","5802 Value Entry","151 Cost Amount (Expected)","41 Source Type",$C$5,"5 Source No.",$C730,"4 Item Ledger Entry Type",$C$4,"2 Item No.","@@"&amp;$F730,"3 Posting Date",J$9)-NL("Sum","5802 Value Entry","43 Cost Amount (Actual)","41 Source Type",$C$5,"5 Source no.",$C730,"4 Item Ledger Entry Type",$C$4,"2 Item No.","@@"&amp;$F730,"3 Posting Date",J$9)</t>
  </si>
  <si>
    <t>=J730-L730</t>
  </si>
  <si>
    <t>=IF(J730&lt;&gt;0,M730/J730,"")</t>
  </si>
  <si>
    <t>=NL("Sum","5802 Value Entry","150 Sales Amount (Expected)","41 Source Type",$C$5,"5 Source No.",$C730,"4 Item Ledger Entry Type",$C$4,"2 Item No.","@@"&amp;$F730,"3 Posting Date",O$9)+NL("Sum","5802 Value Entry","17 Sales Amount (Actual)","41 Source Type",$C$5,"5 Source no.",$C730,"4 Item Ledger Entry Type",$C$4,"2 Item No.","@@"&amp;$F730,"3 Posting Date",O$9)</t>
  </si>
  <si>
    <t>=-NL("Sum","5802 Value Entry","151 Cost Amount (Expected)","41 Source Type",$C$5,"5 Source No.",$C730,"4 Item Ledger Entry Type",$C$4,"2 Item No.","@@"&amp;$F730,"3 Posting Date",O$9)-NL("Sum","5802 Value Entry","43 Cost Amount (Actual)","41 Source Type",$C$5,"5 Source no.",$C730,"4 Item Ledger Entry Type",$C$4,"2 Item No.","@@"&amp;$F730,"3 Posting Date",O$9)</t>
  </si>
  <si>
    <t>=O730-Q730</t>
  </si>
  <si>
    <t>=IF(O730&lt;&gt;0,R730/O730,"")</t>
  </si>
  <si>
    <t>=NL("Sum","5802 Value Entry","150 Sales Amount (Expected)","41 Source Type",$C$5,"5 Source No.",$C730,"4 Item Ledger Entry Type",$C$4,"2 Item No.","@@"&amp;$F730,"3 Posting Date",U$9)+NL("Sum","5802 Value Entry","17 Sales Amount (Actual)","41 Source Type",$C$5,"5 Source no.",$C730,"4 Item Ledger Entry Type",$C$4,"2 Item No.","@@"&amp;$F730,"3 Posting Date",U$9)</t>
  </si>
  <si>
    <t>=-NL("Sum","5802 Value Entry","151 Cost Amount (Expected)","41 Source Type",$C$5,"5 Source No.",$C730,"4 Item Ledger Entry Type",$C$4,"2 Item No.","@@"&amp;$F730,"3 Posting Date",U$9)-NL("Sum","5802 Value Entry","43 Cost Amount (Actual)","41 Source Type",$C$5,"5 Source no.",$C730,"4 Item Ledger Entry Type",$C$4,"2 Item No.","@@"&amp;$F730,"3 Posting Date",U$9)</t>
  </si>
  <si>
    <t>=U730-W730</t>
  </si>
  <si>
    <t>=IF(U730&lt;&gt;0,X730/U730,"")</t>
  </si>
  <si>
    <t>=NL("Sum","5802 Value Entry","150 Sales Amount (Expected)","41 Source Type",$C$5,"5 Source No.",$C730,"4 Item Ledger Entry Type",$C$4,"2 Item No.","@@"&amp;$F730,"3 Posting Date",Z$9)+NL("Sum","5802 Value Entry","17 Sales Amount (Actual)","41 Source Type",$C$5,"5 Source no.",$C730,"4 Item Ledger Entry Type",$C$4,"2 Item No.","@@"&amp;$F730,"3 Posting Date",Z$9)</t>
  </si>
  <si>
    <t>=-NL("Sum","5802 Value Entry","151 Cost Amount (Expected)","41 Source Type",$C$5,"5 Source No.",$C730,"4 Item Ledger Entry Type",$C$4,"2 Item No.","@@"&amp;$F730,"3 Posting Date",Z$9)-NL("Sum","5802 Value Entry","43 Cost Amount (Actual)","41 Source Type",$C$5,"5 Source no.",$C730,"4 Item Ledger Entry Type",$C$4,"2 Item No.","@@"&amp;$F730,"3 Posting Date",Z$9)</t>
  </si>
  <si>
    <t>=Z730-AB730</t>
  </si>
  <si>
    <t>=IF(Z730&lt;&gt;0,AC730/Z730,"")</t>
  </si>
  <si>
    <t>=C730</t>
  </si>
  <si>
    <t>=NL("Sum","5802 Value Entry","150 Sales Amount (Expected)","41 Source Type",$C$5,"5 Source No.",$C731,"4 Item Ledger Entry Type",$C$4,"2 Item No.","@@"&amp;$F731,"3 Posting Date",J$9)+NL("Sum","5802 Value Entry","17 Sales Amount (Actual)","41 Source Type",$C$5,"5 Source no.",$C731,"4 Item Ledger Entry Type",$C$4,"2 Item No.","@@"&amp;$F731,"3 Posting Date",J$9)</t>
  </si>
  <si>
    <t>=-NL("Sum","5802 Value Entry","151 Cost Amount (Expected)","41 Source Type",$C$5,"5 Source No.",$C731,"4 Item Ledger Entry Type",$C$4,"2 Item No.","@@"&amp;$F731,"3 Posting Date",J$9)-NL("Sum","5802 Value Entry","43 Cost Amount (Actual)","41 Source Type",$C$5,"5 Source no.",$C731,"4 Item Ledger Entry Type",$C$4,"2 Item No.","@@"&amp;$F731,"3 Posting Date",J$9)</t>
  </si>
  <si>
    <t>=J731-L731</t>
  </si>
  <si>
    <t>=IF(J731&lt;&gt;0,M731/J731,"")</t>
  </si>
  <si>
    <t>=NL("Sum","5802 Value Entry","150 Sales Amount (Expected)","41 Source Type",$C$5,"5 Source No.",$C731,"4 Item Ledger Entry Type",$C$4,"2 Item No.","@@"&amp;$F731,"3 Posting Date",O$9)+NL("Sum","5802 Value Entry","17 Sales Amount (Actual)","41 Source Type",$C$5,"5 Source no.",$C731,"4 Item Ledger Entry Type",$C$4,"2 Item No.","@@"&amp;$F731,"3 Posting Date",O$9)</t>
  </si>
  <si>
    <t>=-NL("Sum","5802 Value Entry","151 Cost Amount (Expected)","41 Source Type",$C$5,"5 Source No.",$C731,"4 Item Ledger Entry Type",$C$4,"2 Item No.","@@"&amp;$F731,"3 Posting Date",O$9)-NL("Sum","5802 Value Entry","43 Cost Amount (Actual)","41 Source Type",$C$5,"5 Source no.",$C731,"4 Item Ledger Entry Type",$C$4,"2 Item No.","@@"&amp;$F731,"3 Posting Date",O$9)</t>
  </si>
  <si>
    <t>=O731-Q731</t>
  </si>
  <si>
    <t>=IF(O731&lt;&gt;0,R731/O731,"")</t>
  </si>
  <si>
    <t>=NL("Sum","5802 Value Entry","150 Sales Amount (Expected)","41 Source Type",$C$5,"5 Source No.",$C731,"4 Item Ledger Entry Type",$C$4,"2 Item No.","@@"&amp;$F731,"3 Posting Date",U$9)+NL("Sum","5802 Value Entry","17 Sales Amount (Actual)","41 Source Type",$C$5,"5 Source no.",$C731,"4 Item Ledger Entry Type",$C$4,"2 Item No.","@@"&amp;$F731,"3 Posting Date",U$9)</t>
  </si>
  <si>
    <t>=-NL("Sum","5802 Value Entry","151 Cost Amount (Expected)","41 Source Type",$C$5,"5 Source No.",$C731,"4 Item Ledger Entry Type",$C$4,"2 Item No.","@@"&amp;$F731,"3 Posting Date",U$9)-NL("Sum","5802 Value Entry","43 Cost Amount (Actual)","41 Source Type",$C$5,"5 Source no.",$C731,"4 Item Ledger Entry Type",$C$4,"2 Item No.","@@"&amp;$F731,"3 Posting Date",U$9)</t>
  </si>
  <si>
    <t>=U731-W731</t>
  </si>
  <si>
    <t>=IF(U731&lt;&gt;0,X731/U731,"")</t>
  </si>
  <si>
    <t>=NL("Sum","5802 Value Entry","150 Sales Amount (Expected)","41 Source Type",$C$5,"5 Source No.",$C731,"4 Item Ledger Entry Type",$C$4,"2 Item No.","@@"&amp;$F731,"3 Posting Date",Z$9)+NL("Sum","5802 Value Entry","17 Sales Amount (Actual)","41 Source Type",$C$5,"5 Source no.",$C731,"4 Item Ledger Entry Type",$C$4,"2 Item No.","@@"&amp;$F731,"3 Posting Date",Z$9)</t>
  </si>
  <si>
    <t>=-NL("Sum","5802 Value Entry","151 Cost Amount (Expected)","41 Source Type",$C$5,"5 Source No.",$C731,"4 Item Ledger Entry Type",$C$4,"2 Item No.","@@"&amp;$F731,"3 Posting Date",Z$9)-NL("Sum","5802 Value Entry","43 Cost Amount (Actual)","41 Source Type",$C$5,"5 Source no.",$C731,"4 Item Ledger Entry Type",$C$4,"2 Item No.","@@"&amp;$F731,"3 Posting Date",Z$9)</t>
  </si>
  <si>
    <t>=Z731-AB731</t>
  </si>
  <si>
    <t>=IF(Z731&lt;&gt;0,AC731/Z731,"")</t>
  </si>
  <si>
    <t>=C731</t>
  </si>
  <si>
    <t>=NL("Sum","5802 Value Entry","150 Sales Amount (Expected)","41 Source Type",$C$5,"5 Source No.",$C732,"4 Item Ledger Entry Type",$C$4,"2 Item No.","@@"&amp;$F732,"3 Posting Date",J$9)+NL("Sum","5802 Value Entry","17 Sales Amount (Actual)","41 Source Type",$C$5,"5 Source no.",$C732,"4 Item Ledger Entry Type",$C$4,"2 Item No.","@@"&amp;$F732,"3 Posting Date",J$9)</t>
  </si>
  <si>
    <t>=-NL("Sum","5802 Value Entry","151 Cost Amount (Expected)","41 Source Type",$C$5,"5 Source No.",$C732,"4 Item Ledger Entry Type",$C$4,"2 Item No.","@@"&amp;$F732,"3 Posting Date",J$9)-NL("Sum","5802 Value Entry","43 Cost Amount (Actual)","41 Source Type",$C$5,"5 Source no.",$C732,"4 Item Ledger Entry Type",$C$4,"2 Item No.","@@"&amp;$F732,"3 Posting Date",J$9)</t>
  </si>
  <si>
    <t>=J732-L732</t>
  </si>
  <si>
    <t>=IF(J732&lt;&gt;0,M732/J732,"")</t>
  </si>
  <si>
    <t>=NL("Sum","5802 Value Entry","150 Sales Amount (Expected)","41 Source Type",$C$5,"5 Source No.",$C732,"4 Item Ledger Entry Type",$C$4,"2 Item No.","@@"&amp;$F732,"3 Posting Date",O$9)+NL("Sum","5802 Value Entry","17 Sales Amount (Actual)","41 Source Type",$C$5,"5 Source no.",$C732,"4 Item Ledger Entry Type",$C$4,"2 Item No.","@@"&amp;$F732,"3 Posting Date",O$9)</t>
  </si>
  <si>
    <t>=-NL("Sum","5802 Value Entry","151 Cost Amount (Expected)","41 Source Type",$C$5,"5 Source No.",$C732,"4 Item Ledger Entry Type",$C$4,"2 Item No.","@@"&amp;$F732,"3 Posting Date",O$9)-NL("Sum","5802 Value Entry","43 Cost Amount (Actual)","41 Source Type",$C$5,"5 Source no.",$C732,"4 Item Ledger Entry Type",$C$4,"2 Item No.","@@"&amp;$F732,"3 Posting Date",O$9)</t>
  </si>
  <si>
    <t>=O732-Q732</t>
  </si>
  <si>
    <t>=IF(O732&lt;&gt;0,R732/O732,"")</t>
  </si>
  <si>
    <t>=NL("Sum","5802 Value Entry","150 Sales Amount (Expected)","41 Source Type",$C$5,"5 Source No.",$C732,"4 Item Ledger Entry Type",$C$4,"2 Item No.","@@"&amp;$F732,"3 Posting Date",U$9)+NL("Sum","5802 Value Entry","17 Sales Amount (Actual)","41 Source Type",$C$5,"5 Source no.",$C732,"4 Item Ledger Entry Type",$C$4,"2 Item No.","@@"&amp;$F732,"3 Posting Date",U$9)</t>
  </si>
  <si>
    <t>=-NL("Sum","5802 Value Entry","151 Cost Amount (Expected)","41 Source Type",$C$5,"5 Source No.",$C732,"4 Item Ledger Entry Type",$C$4,"2 Item No.","@@"&amp;$F732,"3 Posting Date",U$9)-NL("Sum","5802 Value Entry","43 Cost Amount (Actual)","41 Source Type",$C$5,"5 Source no.",$C732,"4 Item Ledger Entry Type",$C$4,"2 Item No.","@@"&amp;$F732,"3 Posting Date",U$9)</t>
  </si>
  <si>
    <t>=U732-W732</t>
  </si>
  <si>
    <t>=IF(U732&lt;&gt;0,X732/U732,"")</t>
  </si>
  <si>
    <t>=NL("Sum","5802 Value Entry","150 Sales Amount (Expected)","41 Source Type",$C$5,"5 Source No.",$C732,"4 Item Ledger Entry Type",$C$4,"2 Item No.","@@"&amp;$F732,"3 Posting Date",Z$9)+NL("Sum","5802 Value Entry","17 Sales Amount (Actual)","41 Source Type",$C$5,"5 Source no.",$C732,"4 Item Ledger Entry Type",$C$4,"2 Item No.","@@"&amp;$F732,"3 Posting Date",Z$9)</t>
  </si>
  <si>
    <t>=-NL("Sum","5802 Value Entry","151 Cost Amount (Expected)","41 Source Type",$C$5,"5 Source No.",$C732,"4 Item Ledger Entry Type",$C$4,"2 Item No.","@@"&amp;$F732,"3 Posting Date",Z$9)-NL("Sum","5802 Value Entry","43 Cost Amount (Actual)","41 Source Type",$C$5,"5 Source no.",$C732,"4 Item Ledger Entry Type",$C$4,"2 Item No.","@@"&amp;$F732,"3 Posting Date",Z$9)</t>
  </si>
  <si>
    <t>=Z732-AB732</t>
  </si>
  <si>
    <t>=IF(Z732&lt;&gt;0,AC732/Z732,"")</t>
  </si>
  <si>
    <t>=C732</t>
  </si>
  <si>
    <t>=NL("Sum","5802 Value Entry","150 Sales Amount (Expected)","41 Source Type",$C$5,"5 Source No.",$C733,"4 Item Ledger Entry Type",$C$4,"2 Item No.","@@"&amp;$F733,"3 Posting Date",J$9)+NL("Sum","5802 Value Entry","17 Sales Amount (Actual)","41 Source Type",$C$5,"5 Source no.",$C733,"4 Item Ledger Entry Type",$C$4,"2 Item No.","@@"&amp;$F733,"3 Posting Date",J$9)</t>
  </si>
  <si>
    <t>=-NL("Sum","5802 Value Entry","151 Cost Amount (Expected)","41 Source Type",$C$5,"5 Source No.",$C733,"4 Item Ledger Entry Type",$C$4,"2 Item No.","@@"&amp;$F733,"3 Posting Date",J$9)-NL("Sum","5802 Value Entry","43 Cost Amount (Actual)","41 Source Type",$C$5,"5 Source no.",$C733,"4 Item Ledger Entry Type",$C$4,"2 Item No.","@@"&amp;$F733,"3 Posting Date",J$9)</t>
  </si>
  <si>
    <t>=J733-L733</t>
  </si>
  <si>
    <t>=IF(J733&lt;&gt;0,M733/J733,"")</t>
  </si>
  <si>
    <t>=NL("Sum","5802 Value Entry","150 Sales Amount (Expected)","41 Source Type",$C$5,"5 Source No.",$C733,"4 Item Ledger Entry Type",$C$4,"2 Item No.","@@"&amp;$F733,"3 Posting Date",O$9)+NL("Sum","5802 Value Entry","17 Sales Amount (Actual)","41 Source Type",$C$5,"5 Source no.",$C733,"4 Item Ledger Entry Type",$C$4,"2 Item No.","@@"&amp;$F733,"3 Posting Date",O$9)</t>
  </si>
  <si>
    <t>=-NL("Sum","5802 Value Entry","151 Cost Amount (Expected)","41 Source Type",$C$5,"5 Source No.",$C733,"4 Item Ledger Entry Type",$C$4,"2 Item No.","@@"&amp;$F733,"3 Posting Date",O$9)-NL("Sum","5802 Value Entry","43 Cost Amount (Actual)","41 Source Type",$C$5,"5 Source no.",$C733,"4 Item Ledger Entry Type",$C$4,"2 Item No.","@@"&amp;$F733,"3 Posting Date",O$9)</t>
  </si>
  <si>
    <t>=O733-Q733</t>
  </si>
  <si>
    <t>=IF(O733&lt;&gt;0,R733/O733,"")</t>
  </si>
  <si>
    <t>=NL("Sum","5802 Value Entry","150 Sales Amount (Expected)","41 Source Type",$C$5,"5 Source No.",$C733,"4 Item Ledger Entry Type",$C$4,"2 Item No.","@@"&amp;$F733,"3 Posting Date",U$9)+NL("Sum","5802 Value Entry","17 Sales Amount (Actual)","41 Source Type",$C$5,"5 Source no.",$C733,"4 Item Ledger Entry Type",$C$4,"2 Item No.","@@"&amp;$F733,"3 Posting Date",U$9)</t>
  </si>
  <si>
    <t>=-NL("Sum","5802 Value Entry","151 Cost Amount (Expected)","41 Source Type",$C$5,"5 Source No.",$C733,"4 Item Ledger Entry Type",$C$4,"2 Item No.","@@"&amp;$F733,"3 Posting Date",U$9)-NL("Sum","5802 Value Entry","43 Cost Amount (Actual)","41 Source Type",$C$5,"5 Source no.",$C733,"4 Item Ledger Entry Type",$C$4,"2 Item No.","@@"&amp;$F733,"3 Posting Date",U$9)</t>
  </si>
  <si>
    <t>=U733-W733</t>
  </si>
  <si>
    <t>=IF(U733&lt;&gt;0,X733/U733,"")</t>
  </si>
  <si>
    <t>=NL("Sum","5802 Value Entry","150 Sales Amount (Expected)","41 Source Type",$C$5,"5 Source No.",$C733,"4 Item Ledger Entry Type",$C$4,"2 Item No.","@@"&amp;$F733,"3 Posting Date",Z$9)+NL("Sum","5802 Value Entry","17 Sales Amount (Actual)","41 Source Type",$C$5,"5 Source no.",$C733,"4 Item Ledger Entry Type",$C$4,"2 Item No.","@@"&amp;$F733,"3 Posting Date",Z$9)</t>
  </si>
  <si>
    <t>=-NL("Sum","5802 Value Entry","151 Cost Amount (Expected)","41 Source Type",$C$5,"5 Source No.",$C733,"4 Item Ledger Entry Type",$C$4,"2 Item No.","@@"&amp;$F733,"3 Posting Date",Z$9)-NL("Sum","5802 Value Entry","43 Cost Amount (Actual)","41 Source Type",$C$5,"5 Source no.",$C733,"4 Item Ledger Entry Type",$C$4,"2 Item No.","@@"&amp;$F733,"3 Posting Date",Z$9)</t>
  </si>
  <si>
    <t>=Z733-AB733</t>
  </si>
  <si>
    <t>=IF(Z733&lt;&gt;0,AC733/Z733,"")</t>
  </si>
  <si>
    <t>=C733</t>
  </si>
  <si>
    <t>=NL("Sum","5802 Value Entry","150 Sales Amount (Expected)","41 Source Type",$C$5,"5 Source No.",$C734,"4 Item Ledger Entry Type",$C$4,"2 Item No.","@@"&amp;$F734,"3 Posting Date",J$9)+NL("Sum","5802 Value Entry","17 Sales Amount (Actual)","41 Source Type",$C$5,"5 Source no.",$C734,"4 Item Ledger Entry Type",$C$4,"2 Item No.","@@"&amp;$F734,"3 Posting Date",J$9)</t>
  </si>
  <si>
    <t>=-NL("Sum","5802 Value Entry","151 Cost Amount (Expected)","41 Source Type",$C$5,"5 Source No.",$C734,"4 Item Ledger Entry Type",$C$4,"2 Item No.","@@"&amp;$F734,"3 Posting Date",J$9)-NL("Sum","5802 Value Entry","43 Cost Amount (Actual)","41 Source Type",$C$5,"5 Source no.",$C734,"4 Item Ledger Entry Type",$C$4,"2 Item No.","@@"&amp;$F734,"3 Posting Date",J$9)</t>
  </si>
  <si>
    <t>=J734-L734</t>
  </si>
  <si>
    <t>=IF(J734&lt;&gt;0,M734/J734,"")</t>
  </si>
  <si>
    <t>=NL("Sum","5802 Value Entry","150 Sales Amount (Expected)","41 Source Type",$C$5,"5 Source No.",$C734,"4 Item Ledger Entry Type",$C$4,"2 Item No.","@@"&amp;$F734,"3 Posting Date",O$9)+NL("Sum","5802 Value Entry","17 Sales Amount (Actual)","41 Source Type",$C$5,"5 Source no.",$C734,"4 Item Ledger Entry Type",$C$4,"2 Item No.","@@"&amp;$F734,"3 Posting Date",O$9)</t>
  </si>
  <si>
    <t>=-NL("Sum","5802 Value Entry","151 Cost Amount (Expected)","41 Source Type",$C$5,"5 Source No.",$C734,"4 Item Ledger Entry Type",$C$4,"2 Item No.","@@"&amp;$F734,"3 Posting Date",O$9)-NL("Sum","5802 Value Entry","43 Cost Amount (Actual)","41 Source Type",$C$5,"5 Source no.",$C734,"4 Item Ledger Entry Type",$C$4,"2 Item No.","@@"&amp;$F734,"3 Posting Date",O$9)</t>
  </si>
  <si>
    <t>=O734-Q734</t>
  </si>
  <si>
    <t>=IF(O734&lt;&gt;0,R734/O734,"")</t>
  </si>
  <si>
    <t>=NL("Sum","5802 Value Entry","150 Sales Amount (Expected)","41 Source Type",$C$5,"5 Source No.",$C734,"4 Item Ledger Entry Type",$C$4,"2 Item No.","@@"&amp;$F734,"3 Posting Date",U$9)+NL("Sum","5802 Value Entry","17 Sales Amount (Actual)","41 Source Type",$C$5,"5 Source no.",$C734,"4 Item Ledger Entry Type",$C$4,"2 Item No.","@@"&amp;$F734,"3 Posting Date",U$9)</t>
  </si>
  <si>
    <t>=-NL("Sum","5802 Value Entry","151 Cost Amount (Expected)","41 Source Type",$C$5,"5 Source No.",$C734,"4 Item Ledger Entry Type",$C$4,"2 Item No.","@@"&amp;$F734,"3 Posting Date",U$9)-NL("Sum","5802 Value Entry","43 Cost Amount (Actual)","41 Source Type",$C$5,"5 Source no.",$C734,"4 Item Ledger Entry Type",$C$4,"2 Item No.","@@"&amp;$F734,"3 Posting Date",U$9)</t>
  </si>
  <si>
    <t>=U734-W734</t>
  </si>
  <si>
    <t>=IF(U734&lt;&gt;0,X734/U734,"")</t>
  </si>
  <si>
    <t>=NL("Sum","5802 Value Entry","150 Sales Amount (Expected)","41 Source Type",$C$5,"5 Source No.",$C734,"4 Item Ledger Entry Type",$C$4,"2 Item No.","@@"&amp;$F734,"3 Posting Date",Z$9)+NL("Sum","5802 Value Entry","17 Sales Amount (Actual)","41 Source Type",$C$5,"5 Source no.",$C734,"4 Item Ledger Entry Type",$C$4,"2 Item No.","@@"&amp;$F734,"3 Posting Date",Z$9)</t>
  </si>
  <si>
    <t>=-NL("Sum","5802 Value Entry","151 Cost Amount (Expected)","41 Source Type",$C$5,"5 Source No.",$C734,"4 Item Ledger Entry Type",$C$4,"2 Item No.","@@"&amp;$F734,"3 Posting Date",Z$9)-NL("Sum","5802 Value Entry","43 Cost Amount (Actual)","41 Source Type",$C$5,"5 Source no.",$C734,"4 Item Ledger Entry Type",$C$4,"2 Item No.","@@"&amp;$F734,"3 Posting Date",Z$9)</t>
  </si>
  <si>
    <t>=Z734-AB734</t>
  </si>
  <si>
    <t>=IF(Z734&lt;&gt;0,AC734/Z734,"")</t>
  </si>
  <si>
    <t>=C734</t>
  </si>
  <si>
    <t>=NL("Sum","5802 Value Entry","150 Sales Amount (Expected)","41 Source Type",$C$5,"5 Source No.",$C735,"4 Item Ledger Entry Type",$C$4,"2 Item No.","@@"&amp;$F735,"3 Posting Date",J$9)+NL("Sum","5802 Value Entry","17 Sales Amount (Actual)","41 Source Type",$C$5,"5 Source no.",$C735,"4 Item Ledger Entry Type",$C$4,"2 Item No.","@@"&amp;$F735,"3 Posting Date",J$9)</t>
  </si>
  <si>
    <t>=-NL("Sum","5802 Value Entry","151 Cost Amount (Expected)","41 Source Type",$C$5,"5 Source No.",$C735,"4 Item Ledger Entry Type",$C$4,"2 Item No.","@@"&amp;$F735,"3 Posting Date",J$9)-NL("Sum","5802 Value Entry","43 Cost Amount (Actual)","41 Source Type",$C$5,"5 Source no.",$C735,"4 Item Ledger Entry Type",$C$4,"2 Item No.","@@"&amp;$F735,"3 Posting Date",J$9)</t>
  </si>
  <si>
    <t>=J735-L735</t>
  </si>
  <si>
    <t>=IF(J735&lt;&gt;0,M735/J735,"")</t>
  </si>
  <si>
    <t>=NL("Sum","5802 Value Entry","150 Sales Amount (Expected)","41 Source Type",$C$5,"5 Source No.",$C735,"4 Item Ledger Entry Type",$C$4,"2 Item No.","@@"&amp;$F735,"3 Posting Date",O$9)+NL("Sum","5802 Value Entry","17 Sales Amount (Actual)","41 Source Type",$C$5,"5 Source no.",$C735,"4 Item Ledger Entry Type",$C$4,"2 Item No.","@@"&amp;$F735,"3 Posting Date",O$9)</t>
  </si>
  <si>
    <t>=-NL("Sum","5802 Value Entry","151 Cost Amount (Expected)","41 Source Type",$C$5,"5 Source No.",$C735,"4 Item Ledger Entry Type",$C$4,"2 Item No.","@@"&amp;$F735,"3 Posting Date",O$9)-NL("Sum","5802 Value Entry","43 Cost Amount (Actual)","41 Source Type",$C$5,"5 Source no.",$C735,"4 Item Ledger Entry Type",$C$4,"2 Item No.","@@"&amp;$F735,"3 Posting Date",O$9)</t>
  </si>
  <si>
    <t>=O735-Q735</t>
  </si>
  <si>
    <t>=IF(O735&lt;&gt;0,R735/O735,"")</t>
  </si>
  <si>
    <t>=NL("Sum","5802 Value Entry","150 Sales Amount (Expected)","41 Source Type",$C$5,"5 Source No.",$C735,"4 Item Ledger Entry Type",$C$4,"2 Item No.","@@"&amp;$F735,"3 Posting Date",U$9)+NL("Sum","5802 Value Entry","17 Sales Amount (Actual)","41 Source Type",$C$5,"5 Source no.",$C735,"4 Item Ledger Entry Type",$C$4,"2 Item No.","@@"&amp;$F735,"3 Posting Date",U$9)</t>
  </si>
  <si>
    <t>=-NL("Sum","5802 Value Entry","151 Cost Amount (Expected)","41 Source Type",$C$5,"5 Source No.",$C735,"4 Item Ledger Entry Type",$C$4,"2 Item No.","@@"&amp;$F735,"3 Posting Date",U$9)-NL("Sum","5802 Value Entry","43 Cost Amount (Actual)","41 Source Type",$C$5,"5 Source no.",$C735,"4 Item Ledger Entry Type",$C$4,"2 Item No.","@@"&amp;$F735,"3 Posting Date",U$9)</t>
  </si>
  <si>
    <t>=U735-W735</t>
  </si>
  <si>
    <t>=IF(U735&lt;&gt;0,X735/U735,"")</t>
  </si>
  <si>
    <t>=NL("Sum","5802 Value Entry","150 Sales Amount (Expected)","41 Source Type",$C$5,"5 Source No.",$C735,"4 Item Ledger Entry Type",$C$4,"2 Item No.","@@"&amp;$F735,"3 Posting Date",Z$9)+NL("Sum","5802 Value Entry","17 Sales Amount (Actual)","41 Source Type",$C$5,"5 Source no.",$C735,"4 Item Ledger Entry Type",$C$4,"2 Item No.","@@"&amp;$F735,"3 Posting Date",Z$9)</t>
  </si>
  <si>
    <t>=-NL("Sum","5802 Value Entry","151 Cost Amount (Expected)","41 Source Type",$C$5,"5 Source No.",$C735,"4 Item Ledger Entry Type",$C$4,"2 Item No.","@@"&amp;$F735,"3 Posting Date",Z$9)-NL("Sum","5802 Value Entry","43 Cost Amount (Actual)","41 Source Type",$C$5,"5 Source no.",$C735,"4 Item Ledger Entry Type",$C$4,"2 Item No.","@@"&amp;$F735,"3 Posting Date",Z$9)</t>
  </si>
  <si>
    <t>=Z735-AB735</t>
  </si>
  <si>
    <t>=IF(Z735&lt;&gt;0,AC735/Z735,"")</t>
  </si>
  <si>
    <t>=C735</t>
  </si>
  <si>
    <t>=NL("Sum","5802 Value Entry","150 Sales Amount (Expected)","41 Source Type",$C$5,"5 Source No.",$C736,"4 Item Ledger Entry Type",$C$4,"2 Item No.","@@"&amp;$F736,"3 Posting Date",J$9)+NL("Sum","5802 Value Entry","17 Sales Amount (Actual)","41 Source Type",$C$5,"5 Source no.",$C736,"4 Item Ledger Entry Type",$C$4,"2 Item No.","@@"&amp;$F736,"3 Posting Date",J$9)</t>
  </si>
  <si>
    <t>=-NL("Sum","5802 Value Entry","151 Cost Amount (Expected)","41 Source Type",$C$5,"5 Source No.",$C736,"4 Item Ledger Entry Type",$C$4,"2 Item No.","@@"&amp;$F736,"3 Posting Date",J$9)-NL("Sum","5802 Value Entry","43 Cost Amount (Actual)","41 Source Type",$C$5,"5 Source no.",$C736,"4 Item Ledger Entry Type",$C$4,"2 Item No.","@@"&amp;$F736,"3 Posting Date",J$9)</t>
  </si>
  <si>
    <t>=J736-L736</t>
  </si>
  <si>
    <t>=IF(J736&lt;&gt;0,M736/J736,"")</t>
  </si>
  <si>
    <t>=NL("Sum","5802 Value Entry","150 Sales Amount (Expected)","41 Source Type",$C$5,"5 Source No.",$C736,"4 Item Ledger Entry Type",$C$4,"2 Item No.","@@"&amp;$F736,"3 Posting Date",O$9)+NL("Sum","5802 Value Entry","17 Sales Amount (Actual)","41 Source Type",$C$5,"5 Source no.",$C736,"4 Item Ledger Entry Type",$C$4,"2 Item No.","@@"&amp;$F736,"3 Posting Date",O$9)</t>
  </si>
  <si>
    <t>=-NL("Sum","5802 Value Entry","151 Cost Amount (Expected)","41 Source Type",$C$5,"5 Source No.",$C736,"4 Item Ledger Entry Type",$C$4,"2 Item No.","@@"&amp;$F736,"3 Posting Date",O$9)-NL("Sum","5802 Value Entry","43 Cost Amount (Actual)","41 Source Type",$C$5,"5 Source no.",$C736,"4 Item Ledger Entry Type",$C$4,"2 Item No.","@@"&amp;$F736,"3 Posting Date",O$9)</t>
  </si>
  <si>
    <t>=O736-Q736</t>
  </si>
  <si>
    <t>=IF(O736&lt;&gt;0,R736/O736,"")</t>
  </si>
  <si>
    <t>=NL("Sum","5802 Value Entry","150 Sales Amount (Expected)","41 Source Type",$C$5,"5 Source No.",$C736,"4 Item Ledger Entry Type",$C$4,"2 Item No.","@@"&amp;$F736,"3 Posting Date",U$9)+NL("Sum","5802 Value Entry","17 Sales Amount (Actual)","41 Source Type",$C$5,"5 Source no.",$C736,"4 Item Ledger Entry Type",$C$4,"2 Item No.","@@"&amp;$F736,"3 Posting Date",U$9)</t>
  </si>
  <si>
    <t>=-NL("Sum","5802 Value Entry","151 Cost Amount (Expected)","41 Source Type",$C$5,"5 Source No.",$C736,"4 Item Ledger Entry Type",$C$4,"2 Item No.","@@"&amp;$F736,"3 Posting Date",U$9)-NL("Sum","5802 Value Entry","43 Cost Amount (Actual)","41 Source Type",$C$5,"5 Source no.",$C736,"4 Item Ledger Entry Type",$C$4,"2 Item No.","@@"&amp;$F736,"3 Posting Date",U$9)</t>
  </si>
  <si>
    <t>=U736-W736</t>
  </si>
  <si>
    <t>=IF(U736&lt;&gt;0,X736/U736,"")</t>
  </si>
  <si>
    <t>=NL("Sum","5802 Value Entry","150 Sales Amount (Expected)","41 Source Type",$C$5,"5 Source No.",$C736,"4 Item Ledger Entry Type",$C$4,"2 Item No.","@@"&amp;$F736,"3 Posting Date",Z$9)+NL("Sum","5802 Value Entry","17 Sales Amount (Actual)","41 Source Type",$C$5,"5 Source no.",$C736,"4 Item Ledger Entry Type",$C$4,"2 Item No.","@@"&amp;$F736,"3 Posting Date",Z$9)</t>
  </si>
  <si>
    <t>=-NL("Sum","5802 Value Entry","151 Cost Amount (Expected)","41 Source Type",$C$5,"5 Source No.",$C736,"4 Item Ledger Entry Type",$C$4,"2 Item No.","@@"&amp;$F736,"3 Posting Date",Z$9)-NL("Sum","5802 Value Entry","43 Cost Amount (Actual)","41 Source Type",$C$5,"5 Source no.",$C736,"4 Item Ledger Entry Type",$C$4,"2 Item No.","@@"&amp;$F736,"3 Posting Date",Z$9)</t>
  </si>
  <si>
    <t>=Z736-AB736</t>
  </si>
  <si>
    <t>=IF(Z736&lt;&gt;0,AC736/Z736,"")</t>
  </si>
  <si>
    <t>=C736</t>
  </si>
  <si>
    <t>=NL("Sum","5802 Value Entry","150 Sales Amount (Expected)","41 Source Type",$C$5,"5 Source No.",$C737,"4 Item Ledger Entry Type",$C$4,"2 Item No.","@@"&amp;$F737,"3 Posting Date",J$9)+NL("Sum","5802 Value Entry","17 Sales Amount (Actual)","41 Source Type",$C$5,"5 Source no.",$C737,"4 Item Ledger Entry Type",$C$4,"2 Item No.","@@"&amp;$F737,"3 Posting Date",J$9)</t>
  </si>
  <si>
    <t>=-NL("Sum","5802 Value Entry","151 Cost Amount (Expected)","41 Source Type",$C$5,"5 Source No.",$C737,"4 Item Ledger Entry Type",$C$4,"2 Item No.","@@"&amp;$F737,"3 Posting Date",J$9)-NL("Sum","5802 Value Entry","43 Cost Amount (Actual)","41 Source Type",$C$5,"5 Source no.",$C737,"4 Item Ledger Entry Type",$C$4,"2 Item No.","@@"&amp;$F737,"3 Posting Date",J$9)</t>
  </si>
  <si>
    <t>=J737-L737</t>
  </si>
  <si>
    <t>=IF(J737&lt;&gt;0,M737/J737,"")</t>
  </si>
  <si>
    <t>=NL("Sum","5802 Value Entry","150 Sales Amount (Expected)","41 Source Type",$C$5,"5 Source No.",$C737,"4 Item Ledger Entry Type",$C$4,"2 Item No.","@@"&amp;$F737,"3 Posting Date",O$9)+NL("Sum","5802 Value Entry","17 Sales Amount (Actual)","41 Source Type",$C$5,"5 Source no.",$C737,"4 Item Ledger Entry Type",$C$4,"2 Item No.","@@"&amp;$F737,"3 Posting Date",O$9)</t>
  </si>
  <si>
    <t>=-NL("Sum","5802 Value Entry","151 Cost Amount (Expected)","41 Source Type",$C$5,"5 Source No.",$C737,"4 Item Ledger Entry Type",$C$4,"2 Item No.","@@"&amp;$F737,"3 Posting Date",O$9)-NL("Sum","5802 Value Entry","43 Cost Amount (Actual)","41 Source Type",$C$5,"5 Source no.",$C737,"4 Item Ledger Entry Type",$C$4,"2 Item No.","@@"&amp;$F737,"3 Posting Date",O$9)</t>
  </si>
  <si>
    <t>=O737-Q737</t>
  </si>
  <si>
    <t>=IF(O737&lt;&gt;0,R737/O737,"")</t>
  </si>
  <si>
    <t>=NL("Sum","5802 Value Entry","150 Sales Amount (Expected)","41 Source Type",$C$5,"5 Source No.",$C737,"4 Item Ledger Entry Type",$C$4,"2 Item No.","@@"&amp;$F737,"3 Posting Date",U$9)+NL("Sum","5802 Value Entry","17 Sales Amount (Actual)","41 Source Type",$C$5,"5 Source no.",$C737,"4 Item Ledger Entry Type",$C$4,"2 Item No.","@@"&amp;$F737,"3 Posting Date",U$9)</t>
  </si>
  <si>
    <t>=-NL("Sum","5802 Value Entry","151 Cost Amount (Expected)","41 Source Type",$C$5,"5 Source No.",$C737,"4 Item Ledger Entry Type",$C$4,"2 Item No.","@@"&amp;$F737,"3 Posting Date",U$9)-NL("Sum","5802 Value Entry","43 Cost Amount (Actual)","41 Source Type",$C$5,"5 Source no.",$C737,"4 Item Ledger Entry Type",$C$4,"2 Item No.","@@"&amp;$F737,"3 Posting Date",U$9)</t>
  </si>
  <si>
    <t>=U737-W737</t>
  </si>
  <si>
    <t>=IF(U737&lt;&gt;0,X737/U737,"")</t>
  </si>
  <si>
    <t>=NL("Sum","5802 Value Entry","150 Sales Amount (Expected)","41 Source Type",$C$5,"5 Source No.",$C737,"4 Item Ledger Entry Type",$C$4,"2 Item No.","@@"&amp;$F737,"3 Posting Date",Z$9)+NL("Sum","5802 Value Entry","17 Sales Amount (Actual)","41 Source Type",$C$5,"5 Source no.",$C737,"4 Item Ledger Entry Type",$C$4,"2 Item No.","@@"&amp;$F737,"3 Posting Date",Z$9)</t>
  </si>
  <si>
    <t>=-NL("Sum","5802 Value Entry","151 Cost Amount (Expected)","41 Source Type",$C$5,"5 Source No.",$C737,"4 Item Ledger Entry Type",$C$4,"2 Item No.","@@"&amp;$F737,"3 Posting Date",Z$9)-NL("Sum","5802 Value Entry","43 Cost Amount (Actual)","41 Source Type",$C$5,"5 Source no.",$C737,"4 Item Ledger Entry Type",$C$4,"2 Item No.","@@"&amp;$F737,"3 Posting Date",Z$9)</t>
  </si>
  <si>
    <t>=Z737-AB737</t>
  </si>
  <si>
    <t>=IF(Z737&lt;&gt;0,AC737/Z737,"")</t>
  </si>
  <si>
    <t>=C737</t>
  </si>
  <si>
    <t>=NL("Sum","5802 Value Entry","150 Sales Amount (Expected)","41 Source Type",$C$5,"5 Source No.",$C738,"4 Item Ledger Entry Type",$C$4,"2 Item No.","@@"&amp;$F738,"3 Posting Date",J$9)+NL("Sum","5802 Value Entry","17 Sales Amount (Actual)","41 Source Type",$C$5,"5 Source no.",$C738,"4 Item Ledger Entry Type",$C$4,"2 Item No.","@@"&amp;$F738,"3 Posting Date",J$9)</t>
  </si>
  <si>
    <t>=-NL("Sum","5802 Value Entry","151 Cost Amount (Expected)","41 Source Type",$C$5,"5 Source No.",$C738,"4 Item Ledger Entry Type",$C$4,"2 Item No.","@@"&amp;$F738,"3 Posting Date",J$9)-NL("Sum","5802 Value Entry","43 Cost Amount (Actual)","41 Source Type",$C$5,"5 Source no.",$C738,"4 Item Ledger Entry Type",$C$4,"2 Item No.","@@"&amp;$F738,"3 Posting Date",J$9)</t>
  </si>
  <si>
    <t>=J738-L738</t>
  </si>
  <si>
    <t>=IF(J738&lt;&gt;0,M738/J738,"")</t>
  </si>
  <si>
    <t>=NL("Sum","5802 Value Entry","150 Sales Amount (Expected)","41 Source Type",$C$5,"5 Source No.",$C738,"4 Item Ledger Entry Type",$C$4,"2 Item No.","@@"&amp;$F738,"3 Posting Date",O$9)+NL("Sum","5802 Value Entry","17 Sales Amount (Actual)","41 Source Type",$C$5,"5 Source no.",$C738,"4 Item Ledger Entry Type",$C$4,"2 Item No.","@@"&amp;$F738,"3 Posting Date",O$9)</t>
  </si>
  <si>
    <t>=-NL("Sum","5802 Value Entry","151 Cost Amount (Expected)","41 Source Type",$C$5,"5 Source No.",$C738,"4 Item Ledger Entry Type",$C$4,"2 Item No.","@@"&amp;$F738,"3 Posting Date",O$9)-NL("Sum","5802 Value Entry","43 Cost Amount (Actual)","41 Source Type",$C$5,"5 Source no.",$C738,"4 Item Ledger Entry Type",$C$4,"2 Item No.","@@"&amp;$F738,"3 Posting Date",O$9)</t>
  </si>
  <si>
    <t>=O738-Q738</t>
  </si>
  <si>
    <t>=IF(O738&lt;&gt;0,R738/O738,"")</t>
  </si>
  <si>
    <t>=NL("Sum","5802 Value Entry","150 Sales Amount (Expected)","41 Source Type",$C$5,"5 Source No.",$C738,"4 Item Ledger Entry Type",$C$4,"2 Item No.","@@"&amp;$F738,"3 Posting Date",U$9)+NL("Sum","5802 Value Entry","17 Sales Amount (Actual)","41 Source Type",$C$5,"5 Source no.",$C738,"4 Item Ledger Entry Type",$C$4,"2 Item No.","@@"&amp;$F738,"3 Posting Date",U$9)</t>
  </si>
  <si>
    <t>=-NL("Sum","5802 Value Entry","151 Cost Amount (Expected)","41 Source Type",$C$5,"5 Source No.",$C738,"4 Item Ledger Entry Type",$C$4,"2 Item No.","@@"&amp;$F738,"3 Posting Date",U$9)-NL("Sum","5802 Value Entry","43 Cost Amount (Actual)","41 Source Type",$C$5,"5 Source no.",$C738,"4 Item Ledger Entry Type",$C$4,"2 Item No.","@@"&amp;$F738,"3 Posting Date",U$9)</t>
  </si>
  <si>
    <t>=U738-W738</t>
  </si>
  <si>
    <t>=IF(U738&lt;&gt;0,X738/U738,"")</t>
  </si>
  <si>
    <t>=NL("Sum","5802 Value Entry","150 Sales Amount (Expected)","41 Source Type",$C$5,"5 Source No.",$C738,"4 Item Ledger Entry Type",$C$4,"2 Item No.","@@"&amp;$F738,"3 Posting Date",Z$9)+NL("Sum","5802 Value Entry","17 Sales Amount (Actual)","41 Source Type",$C$5,"5 Source no.",$C738,"4 Item Ledger Entry Type",$C$4,"2 Item No.","@@"&amp;$F738,"3 Posting Date",Z$9)</t>
  </si>
  <si>
    <t>=-NL("Sum","5802 Value Entry","151 Cost Amount (Expected)","41 Source Type",$C$5,"5 Source No.",$C738,"4 Item Ledger Entry Type",$C$4,"2 Item No.","@@"&amp;$F738,"3 Posting Date",Z$9)-NL("Sum","5802 Value Entry","43 Cost Amount (Actual)","41 Source Type",$C$5,"5 Source no.",$C738,"4 Item Ledger Entry Type",$C$4,"2 Item No.","@@"&amp;$F738,"3 Posting Date",Z$9)</t>
  </si>
  <si>
    <t>=Z738-AB738</t>
  </si>
  <si>
    <t>=IF(Z738&lt;&gt;0,AC738/Z738,"")</t>
  </si>
  <si>
    <t>=C738</t>
  </si>
  <si>
    <t>=NL("Sum","5802 Value Entry","150 Sales Amount (Expected)","41 Source Type",$C$5,"5 Source No.",$C739,"4 Item Ledger Entry Type",$C$4,"2 Item No.","@@"&amp;$F739,"3 Posting Date",J$9)+NL("Sum","5802 Value Entry","17 Sales Amount (Actual)","41 Source Type",$C$5,"5 Source no.",$C739,"4 Item Ledger Entry Type",$C$4,"2 Item No.","@@"&amp;$F739,"3 Posting Date",J$9)</t>
  </si>
  <si>
    <t>=-NL("Sum","5802 Value Entry","151 Cost Amount (Expected)","41 Source Type",$C$5,"5 Source No.",$C739,"4 Item Ledger Entry Type",$C$4,"2 Item No.","@@"&amp;$F739,"3 Posting Date",J$9)-NL("Sum","5802 Value Entry","43 Cost Amount (Actual)","41 Source Type",$C$5,"5 Source no.",$C739,"4 Item Ledger Entry Type",$C$4,"2 Item No.","@@"&amp;$F739,"3 Posting Date",J$9)</t>
  </si>
  <si>
    <t>=J739-L739</t>
  </si>
  <si>
    <t>=IF(J739&lt;&gt;0,M739/J739,"")</t>
  </si>
  <si>
    <t>=NL("Sum","5802 Value Entry","150 Sales Amount (Expected)","41 Source Type",$C$5,"5 Source No.",$C739,"4 Item Ledger Entry Type",$C$4,"2 Item No.","@@"&amp;$F739,"3 Posting Date",O$9)+NL("Sum","5802 Value Entry","17 Sales Amount (Actual)","41 Source Type",$C$5,"5 Source no.",$C739,"4 Item Ledger Entry Type",$C$4,"2 Item No.","@@"&amp;$F739,"3 Posting Date",O$9)</t>
  </si>
  <si>
    <t>=-NL("Sum","5802 Value Entry","151 Cost Amount (Expected)","41 Source Type",$C$5,"5 Source No.",$C739,"4 Item Ledger Entry Type",$C$4,"2 Item No.","@@"&amp;$F739,"3 Posting Date",O$9)-NL("Sum","5802 Value Entry","43 Cost Amount (Actual)","41 Source Type",$C$5,"5 Source no.",$C739,"4 Item Ledger Entry Type",$C$4,"2 Item No.","@@"&amp;$F739,"3 Posting Date",O$9)</t>
  </si>
  <si>
    <t>=O739-Q739</t>
  </si>
  <si>
    <t>=IF(O739&lt;&gt;0,R739/O739,"")</t>
  </si>
  <si>
    <t>=NL("Sum","5802 Value Entry","150 Sales Amount (Expected)","41 Source Type",$C$5,"5 Source No.",$C739,"4 Item Ledger Entry Type",$C$4,"2 Item No.","@@"&amp;$F739,"3 Posting Date",U$9)+NL("Sum","5802 Value Entry","17 Sales Amount (Actual)","41 Source Type",$C$5,"5 Source no.",$C739,"4 Item Ledger Entry Type",$C$4,"2 Item No.","@@"&amp;$F739,"3 Posting Date",U$9)</t>
  </si>
  <si>
    <t>=-NL("Sum","5802 Value Entry","151 Cost Amount (Expected)","41 Source Type",$C$5,"5 Source No.",$C739,"4 Item Ledger Entry Type",$C$4,"2 Item No.","@@"&amp;$F739,"3 Posting Date",U$9)-NL("Sum","5802 Value Entry","43 Cost Amount (Actual)","41 Source Type",$C$5,"5 Source no.",$C739,"4 Item Ledger Entry Type",$C$4,"2 Item No.","@@"&amp;$F739,"3 Posting Date",U$9)</t>
  </si>
  <si>
    <t>=U739-W739</t>
  </si>
  <si>
    <t>=IF(U739&lt;&gt;0,X739/U739,"")</t>
  </si>
  <si>
    <t>=NL("Sum","5802 Value Entry","150 Sales Amount (Expected)","41 Source Type",$C$5,"5 Source No.",$C739,"4 Item Ledger Entry Type",$C$4,"2 Item No.","@@"&amp;$F739,"3 Posting Date",Z$9)+NL("Sum","5802 Value Entry","17 Sales Amount (Actual)","41 Source Type",$C$5,"5 Source no.",$C739,"4 Item Ledger Entry Type",$C$4,"2 Item No.","@@"&amp;$F739,"3 Posting Date",Z$9)</t>
  </si>
  <si>
    <t>=-NL("Sum","5802 Value Entry","151 Cost Amount (Expected)","41 Source Type",$C$5,"5 Source No.",$C739,"4 Item Ledger Entry Type",$C$4,"2 Item No.","@@"&amp;$F739,"3 Posting Date",Z$9)-NL("Sum","5802 Value Entry","43 Cost Amount (Actual)","41 Source Type",$C$5,"5 Source no.",$C739,"4 Item Ledger Entry Type",$C$4,"2 Item No.","@@"&amp;$F739,"3 Posting Date",Z$9)</t>
  </si>
  <si>
    <t>=Z739-AB739</t>
  </si>
  <si>
    <t>=IF(Z739&lt;&gt;0,AC739/Z739,"")</t>
  </si>
  <si>
    <t>=C740</t>
  </si>
  <si>
    <t>=J741-L741</t>
  </si>
  <si>
    <t>=IF(J741&lt;&gt;0,M741/J741,"")</t>
  </si>
  <si>
    <t>=O741-Q741</t>
  </si>
  <si>
    <t>=IF(O741&lt;&gt;0,R741/O741,"")</t>
  </si>
  <si>
    <t>=U741-W741</t>
  </si>
  <si>
    <t>=IF(U741&lt;&gt;0,X741/U741,"")</t>
  </si>
  <si>
    <t>=Z741-AB741</t>
  </si>
  <si>
    <t>=IF(Z741&lt;&gt;0,AC741/Z741,"")</t>
  </si>
  <si>
    <t>=C743</t>
  </si>
  <si>
    <t>=C744</t>
  </si>
  <si>
    <t>=NL("Sum","5802 Value Entry","150 Sales Amount (Expected)","41 Source Type",$C$5,"5 Source No.",$C745,"4 Item Ledger Entry Type",$C$4,"2 Item No.","@@"&amp;$F745,"3 Posting Date",J$9)+NL("Sum","5802 Value Entry","17 Sales Amount (Actual)","41 Source Type",$C$5,"5 Source no.",$C745,"4 Item Ledger Entry Type",$C$4,"2 Item No.","@@"&amp;$F745,"3 Posting Date",J$9)</t>
  </si>
  <si>
    <t>=-NL("Sum","5802 Value Entry","151 Cost Amount (Expected)","41 Source Type",$C$5,"5 Source No.",$C745,"4 Item Ledger Entry Type",$C$4,"2 Item No.","@@"&amp;$F745,"3 Posting Date",J$9)-NL("Sum","5802 Value Entry","43 Cost Amount (Actual)","41 Source Type",$C$5,"5 Source no.",$C745,"4 Item Ledger Entry Type",$C$4,"2 Item No.","@@"&amp;$F745,"3 Posting Date",J$9)</t>
  </si>
  <si>
    <t>=J745-L745</t>
  </si>
  <si>
    <t>=IF(J745&lt;&gt;0,M745/J745,"")</t>
  </si>
  <si>
    <t>=NL("Sum","5802 Value Entry","150 Sales Amount (Expected)","41 Source Type",$C$5,"5 Source No.",$C745,"4 Item Ledger Entry Type",$C$4,"2 Item No.","@@"&amp;$F745,"3 Posting Date",O$9)+NL("Sum","5802 Value Entry","17 Sales Amount (Actual)","41 Source Type",$C$5,"5 Source no.",$C745,"4 Item Ledger Entry Type",$C$4,"2 Item No.","@@"&amp;$F745,"3 Posting Date",O$9)</t>
  </si>
  <si>
    <t>=-NL("Sum","5802 Value Entry","151 Cost Amount (Expected)","41 Source Type",$C$5,"5 Source No.",$C745,"4 Item Ledger Entry Type",$C$4,"2 Item No.","@@"&amp;$F745,"3 Posting Date",O$9)-NL("Sum","5802 Value Entry","43 Cost Amount (Actual)","41 Source Type",$C$5,"5 Source no.",$C745,"4 Item Ledger Entry Type",$C$4,"2 Item No.","@@"&amp;$F745,"3 Posting Date",O$9)</t>
  </si>
  <si>
    <t>=O745-Q745</t>
  </si>
  <si>
    <t>=IF(O745&lt;&gt;0,R745/O745,"")</t>
  </si>
  <si>
    <t>=NL("Sum","5802 Value Entry","150 Sales Amount (Expected)","41 Source Type",$C$5,"5 Source No.",$C745,"4 Item Ledger Entry Type",$C$4,"2 Item No.","@@"&amp;$F745,"3 Posting Date",U$9)+NL("Sum","5802 Value Entry","17 Sales Amount (Actual)","41 Source Type",$C$5,"5 Source no.",$C745,"4 Item Ledger Entry Type",$C$4,"2 Item No.","@@"&amp;$F745,"3 Posting Date",U$9)</t>
  </si>
  <si>
    <t>=-NL("Sum","5802 Value Entry","151 Cost Amount (Expected)","41 Source Type",$C$5,"5 Source No.",$C745,"4 Item Ledger Entry Type",$C$4,"2 Item No.","@@"&amp;$F745,"3 Posting Date",U$9)-NL("Sum","5802 Value Entry","43 Cost Amount (Actual)","41 Source Type",$C$5,"5 Source no.",$C745,"4 Item Ledger Entry Type",$C$4,"2 Item No.","@@"&amp;$F745,"3 Posting Date",U$9)</t>
  </si>
  <si>
    <t>=U745-W745</t>
  </si>
  <si>
    <t>=IF(U745&lt;&gt;0,X745/U745,"")</t>
  </si>
  <si>
    <t>=NL("Sum","5802 Value Entry","150 Sales Amount (Expected)","41 Source Type",$C$5,"5 Source No.",$C745,"4 Item Ledger Entry Type",$C$4,"2 Item No.","@@"&amp;$F745,"3 Posting Date",Z$9)+NL("Sum","5802 Value Entry","17 Sales Amount (Actual)","41 Source Type",$C$5,"5 Source no.",$C745,"4 Item Ledger Entry Type",$C$4,"2 Item No.","@@"&amp;$F745,"3 Posting Date",Z$9)</t>
  </si>
  <si>
    <t>=-NL("Sum","5802 Value Entry","151 Cost Amount (Expected)","41 Source Type",$C$5,"5 Source No.",$C745,"4 Item Ledger Entry Type",$C$4,"2 Item No.","@@"&amp;$F745,"3 Posting Date",Z$9)-NL("Sum","5802 Value Entry","43 Cost Amount (Actual)","41 Source Type",$C$5,"5 Source no.",$C745,"4 Item Ledger Entry Type",$C$4,"2 Item No.","@@"&amp;$F745,"3 Posting Date",Z$9)</t>
  </si>
  <si>
    <t>=Z745-AB745</t>
  </si>
  <si>
    <t>=IF(Z745&lt;&gt;0,AC745/Z745,"")</t>
  </si>
  <si>
    <t>=C745</t>
  </si>
  <si>
    <t>=NL("Sum","5802 Value Entry","150 Sales Amount (Expected)","41 Source Type",$C$5,"5 Source No.",$C746,"4 Item Ledger Entry Type",$C$4,"2 Item No.","@@"&amp;$F746,"3 Posting Date",J$9)+NL("Sum","5802 Value Entry","17 Sales Amount (Actual)","41 Source Type",$C$5,"5 Source no.",$C746,"4 Item Ledger Entry Type",$C$4,"2 Item No.","@@"&amp;$F746,"3 Posting Date",J$9)</t>
  </si>
  <si>
    <t>=-NL("Sum","5802 Value Entry","151 Cost Amount (Expected)","41 Source Type",$C$5,"5 Source No.",$C746,"4 Item Ledger Entry Type",$C$4,"2 Item No.","@@"&amp;$F746,"3 Posting Date",J$9)-NL("Sum","5802 Value Entry","43 Cost Amount (Actual)","41 Source Type",$C$5,"5 Source no.",$C746,"4 Item Ledger Entry Type",$C$4,"2 Item No.","@@"&amp;$F746,"3 Posting Date",J$9)</t>
  </si>
  <si>
    <t>=J746-L746</t>
  </si>
  <si>
    <t>=IF(J746&lt;&gt;0,M746/J746,"")</t>
  </si>
  <si>
    <t>=NL("Sum","5802 Value Entry","150 Sales Amount (Expected)","41 Source Type",$C$5,"5 Source No.",$C746,"4 Item Ledger Entry Type",$C$4,"2 Item No.","@@"&amp;$F746,"3 Posting Date",O$9)+NL("Sum","5802 Value Entry","17 Sales Amount (Actual)","41 Source Type",$C$5,"5 Source no.",$C746,"4 Item Ledger Entry Type",$C$4,"2 Item No.","@@"&amp;$F746,"3 Posting Date",O$9)</t>
  </si>
  <si>
    <t>=-NL("Sum","5802 Value Entry","151 Cost Amount (Expected)","41 Source Type",$C$5,"5 Source No.",$C746,"4 Item Ledger Entry Type",$C$4,"2 Item No.","@@"&amp;$F746,"3 Posting Date",O$9)-NL("Sum","5802 Value Entry","43 Cost Amount (Actual)","41 Source Type",$C$5,"5 Source no.",$C746,"4 Item Ledger Entry Type",$C$4,"2 Item No.","@@"&amp;$F746,"3 Posting Date",O$9)</t>
  </si>
  <si>
    <t>=O746-Q746</t>
  </si>
  <si>
    <t>=IF(O746&lt;&gt;0,R746/O746,"")</t>
  </si>
  <si>
    <t>=NL("Sum","5802 Value Entry","150 Sales Amount (Expected)","41 Source Type",$C$5,"5 Source No.",$C746,"4 Item Ledger Entry Type",$C$4,"2 Item No.","@@"&amp;$F746,"3 Posting Date",U$9)+NL("Sum","5802 Value Entry","17 Sales Amount (Actual)","41 Source Type",$C$5,"5 Source no.",$C746,"4 Item Ledger Entry Type",$C$4,"2 Item No.","@@"&amp;$F746,"3 Posting Date",U$9)</t>
  </si>
  <si>
    <t>=-NL("Sum","5802 Value Entry","151 Cost Amount (Expected)","41 Source Type",$C$5,"5 Source No.",$C746,"4 Item Ledger Entry Type",$C$4,"2 Item No.","@@"&amp;$F746,"3 Posting Date",U$9)-NL("Sum","5802 Value Entry","43 Cost Amount (Actual)","41 Source Type",$C$5,"5 Source no.",$C746,"4 Item Ledger Entry Type",$C$4,"2 Item No.","@@"&amp;$F746,"3 Posting Date",U$9)</t>
  </si>
  <si>
    <t>=U746-W746</t>
  </si>
  <si>
    <t>=IF(U746&lt;&gt;0,X746/U746,"")</t>
  </si>
  <si>
    <t>=NL("Sum","5802 Value Entry","150 Sales Amount (Expected)","41 Source Type",$C$5,"5 Source No.",$C746,"4 Item Ledger Entry Type",$C$4,"2 Item No.","@@"&amp;$F746,"3 Posting Date",Z$9)+NL("Sum","5802 Value Entry","17 Sales Amount (Actual)","41 Source Type",$C$5,"5 Source no.",$C746,"4 Item Ledger Entry Type",$C$4,"2 Item No.","@@"&amp;$F746,"3 Posting Date",Z$9)</t>
  </si>
  <si>
    <t>=-NL("Sum","5802 Value Entry","151 Cost Amount (Expected)","41 Source Type",$C$5,"5 Source No.",$C746,"4 Item Ledger Entry Type",$C$4,"2 Item No.","@@"&amp;$F746,"3 Posting Date",Z$9)-NL("Sum","5802 Value Entry","43 Cost Amount (Actual)","41 Source Type",$C$5,"5 Source no.",$C746,"4 Item Ledger Entry Type",$C$4,"2 Item No.","@@"&amp;$F746,"3 Posting Date",Z$9)</t>
  </si>
  <si>
    <t>=Z746-AB746</t>
  </si>
  <si>
    <t>=IF(Z746&lt;&gt;0,AC746/Z746,"")</t>
  </si>
  <si>
    <t>=C746</t>
  </si>
  <si>
    <t>=NL("Sum","5802 Value Entry","150 Sales Amount (Expected)","41 Source Type",$C$5,"5 Source No.",$C747,"4 Item Ledger Entry Type",$C$4,"2 Item No.","@@"&amp;$F747,"3 Posting Date",J$9)+NL("Sum","5802 Value Entry","17 Sales Amount (Actual)","41 Source Type",$C$5,"5 Source no.",$C747,"4 Item Ledger Entry Type",$C$4,"2 Item No.","@@"&amp;$F747,"3 Posting Date",J$9)</t>
  </si>
  <si>
    <t>=-NL("Sum","5802 Value Entry","151 Cost Amount (Expected)","41 Source Type",$C$5,"5 Source No.",$C747,"4 Item Ledger Entry Type",$C$4,"2 Item No.","@@"&amp;$F747,"3 Posting Date",J$9)-NL("Sum","5802 Value Entry","43 Cost Amount (Actual)","41 Source Type",$C$5,"5 Source no.",$C747,"4 Item Ledger Entry Type",$C$4,"2 Item No.","@@"&amp;$F747,"3 Posting Date",J$9)</t>
  </si>
  <si>
    <t>=J747-L747</t>
  </si>
  <si>
    <t>=IF(J747&lt;&gt;0,M747/J747,"")</t>
  </si>
  <si>
    <t>=NL("Sum","5802 Value Entry","150 Sales Amount (Expected)","41 Source Type",$C$5,"5 Source No.",$C747,"4 Item Ledger Entry Type",$C$4,"2 Item No.","@@"&amp;$F747,"3 Posting Date",O$9)+NL("Sum","5802 Value Entry","17 Sales Amount (Actual)","41 Source Type",$C$5,"5 Source no.",$C747,"4 Item Ledger Entry Type",$C$4,"2 Item No.","@@"&amp;$F747,"3 Posting Date",O$9)</t>
  </si>
  <si>
    <t>=-NL("Sum","5802 Value Entry","151 Cost Amount (Expected)","41 Source Type",$C$5,"5 Source No.",$C747,"4 Item Ledger Entry Type",$C$4,"2 Item No.","@@"&amp;$F747,"3 Posting Date",O$9)-NL("Sum","5802 Value Entry","43 Cost Amount (Actual)","41 Source Type",$C$5,"5 Source no.",$C747,"4 Item Ledger Entry Type",$C$4,"2 Item No.","@@"&amp;$F747,"3 Posting Date",O$9)</t>
  </si>
  <si>
    <t>=O747-Q747</t>
  </si>
  <si>
    <t>=IF(O747&lt;&gt;0,R747/O747,"")</t>
  </si>
  <si>
    <t>=NL("Sum","5802 Value Entry","150 Sales Amount (Expected)","41 Source Type",$C$5,"5 Source No.",$C747,"4 Item Ledger Entry Type",$C$4,"2 Item No.","@@"&amp;$F747,"3 Posting Date",U$9)+NL("Sum","5802 Value Entry","17 Sales Amount (Actual)","41 Source Type",$C$5,"5 Source no.",$C747,"4 Item Ledger Entry Type",$C$4,"2 Item No.","@@"&amp;$F747,"3 Posting Date",U$9)</t>
  </si>
  <si>
    <t>=-NL("Sum","5802 Value Entry","151 Cost Amount (Expected)","41 Source Type",$C$5,"5 Source No.",$C747,"4 Item Ledger Entry Type",$C$4,"2 Item No.","@@"&amp;$F747,"3 Posting Date",U$9)-NL("Sum","5802 Value Entry","43 Cost Amount (Actual)","41 Source Type",$C$5,"5 Source no.",$C747,"4 Item Ledger Entry Type",$C$4,"2 Item No.","@@"&amp;$F747,"3 Posting Date",U$9)</t>
  </si>
  <si>
    <t>=U747-W747</t>
  </si>
  <si>
    <t>=IF(U747&lt;&gt;0,X747/U747,"")</t>
  </si>
  <si>
    <t>=NL("Sum","5802 Value Entry","150 Sales Amount (Expected)","41 Source Type",$C$5,"5 Source No.",$C747,"4 Item Ledger Entry Type",$C$4,"2 Item No.","@@"&amp;$F747,"3 Posting Date",Z$9)+NL("Sum","5802 Value Entry","17 Sales Amount (Actual)","41 Source Type",$C$5,"5 Source no.",$C747,"4 Item Ledger Entry Type",$C$4,"2 Item No.","@@"&amp;$F747,"3 Posting Date",Z$9)</t>
  </si>
  <si>
    <t>=-NL("Sum","5802 Value Entry","151 Cost Amount (Expected)","41 Source Type",$C$5,"5 Source No.",$C747,"4 Item Ledger Entry Type",$C$4,"2 Item No.","@@"&amp;$F747,"3 Posting Date",Z$9)-NL("Sum","5802 Value Entry","43 Cost Amount (Actual)","41 Source Type",$C$5,"5 Source no.",$C747,"4 Item Ledger Entry Type",$C$4,"2 Item No.","@@"&amp;$F747,"3 Posting Date",Z$9)</t>
  </si>
  <si>
    <t>=Z747-AB747</t>
  </si>
  <si>
    <t>=IF(Z747&lt;&gt;0,AC747/Z747,"")</t>
  </si>
  <si>
    <t>=C747</t>
  </si>
  <si>
    <t>=NL("Sum","5802 Value Entry","150 Sales Amount (Expected)","41 Source Type",$C$5,"5 Source No.",$C748,"4 Item Ledger Entry Type",$C$4,"2 Item No.","@@"&amp;$F748,"3 Posting Date",J$9)+NL("Sum","5802 Value Entry","17 Sales Amount (Actual)","41 Source Type",$C$5,"5 Source no.",$C748,"4 Item Ledger Entry Type",$C$4,"2 Item No.","@@"&amp;$F748,"3 Posting Date",J$9)</t>
  </si>
  <si>
    <t>=-NL("Sum","5802 Value Entry","151 Cost Amount (Expected)","41 Source Type",$C$5,"5 Source No.",$C748,"4 Item Ledger Entry Type",$C$4,"2 Item No.","@@"&amp;$F748,"3 Posting Date",J$9)-NL("Sum","5802 Value Entry","43 Cost Amount (Actual)","41 Source Type",$C$5,"5 Source no.",$C748,"4 Item Ledger Entry Type",$C$4,"2 Item No.","@@"&amp;$F748,"3 Posting Date",J$9)</t>
  </si>
  <si>
    <t>=J748-L748</t>
  </si>
  <si>
    <t>=IF(J748&lt;&gt;0,M748/J748,"")</t>
  </si>
  <si>
    <t>=NL("Sum","5802 Value Entry","150 Sales Amount (Expected)","41 Source Type",$C$5,"5 Source No.",$C748,"4 Item Ledger Entry Type",$C$4,"2 Item No.","@@"&amp;$F748,"3 Posting Date",O$9)+NL("Sum","5802 Value Entry","17 Sales Amount (Actual)","41 Source Type",$C$5,"5 Source no.",$C748,"4 Item Ledger Entry Type",$C$4,"2 Item No.","@@"&amp;$F748,"3 Posting Date",O$9)</t>
  </si>
  <si>
    <t>=-NL("Sum","5802 Value Entry","151 Cost Amount (Expected)","41 Source Type",$C$5,"5 Source No.",$C748,"4 Item Ledger Entry Type",$C$4,"2 Item No.","@@"&amp;$F748,"3 Posting Date",O$9)-NL("Sum","5802 Value Entry","43 Cost Amount (Actual)","41 Source Type",$C$5,"5 Source no.",$C748,"4 Item Ledger Entry Type",$C$4,"2 Item No.","@@"&amp;$F748,"3 Posting Date",O$9)</t>
  </si>
  <si>
    <t>=O748-Q748</t>
  </si>
  <si>
    <t>=IF(O748&lt;&gt;0,R748/O748,"")</t>
  </si>
  <si>
    <t>=NL("Sum","5802 Value Entry","150 Sales Amount (Expected)","41 Source Type",$C$5,"5 Source No.",$C748,"4 Item Ledger Entry Type",$C$4,"2 Item No.","@@"&amp;$F748,"3 Posting Date",U$9)+NL("Sum","5802 Value Entry","17 Sales Amount (Actual)","41 Source Type",$C$5,"5 Source no.",$C748,"4 Item Ledger Entry Type",$C$4,"2 Item No.","@@"&amp;$F748,"3 Posting Date",U$9)</t>
  </si>
  <si>
    <t>=-NL("Sum","5802 Value Entry","151 Cost Amount (Expected)","41 Source Type",$C$5,"5 Source No.",$C748,"4 Item Ledger Entry Type",$C$4,"2 Item No.","@@"&amp;$F748,"3 Posting Date",U$9)-NL("Sum","5802 Value Entry","43 Cost Amount (Actual)","41 Source Type",$C$5,"5 Source no.",$C748,"4 Item Ledger Entry Type",$C$4,"2 Item No.","@@"&amp;$F748,"3 Posting Date",U$9)</t>
  </si>
  <si>
    <t>=U748-W748</t>
  </si>
  <si>
    <t>=IF(U748&lt;&gt;0,X748/U748,"")</t>
  </si>
  <si>
    <t>=NL("Sum","5802 Value Entry","150 Sales Amount (Expected)","41 Source Type",$C$5,"5 Source No.",$C748,"4 Item Ledger Entry Type",$C$4,"2 Item No.","@@"&amp;$F748,"3 Posting Date",Z$9)+NL("Sum","5802 Value Entry","17 Sales Amount (Actual)","41 Source Type",$C$5,"5 Source no.",$C748,"4 Item Ledger Entry Type",$C$4,"2 Item No.","@@"&amp;$F748,"3 Posting Date",Z$9)</t>
  </si>
  <si>
    <t>=-NL("Sum","5802 Value Entry","151 Cost Amount (Expected)","41 Source Type",$C$5,"5 Source No.",$C748,"4 Item Ledger Entry Type",$C$4,"2 Item No.","@@"&amp;$F748,"3 Posting Date",Z$9)-NL("Sum","5802 Value Entry","43 Cost Amount (Actual)","41 Source Type",$C$5,"5 Source no.",$C748,"4 Item Ledger Entry Type",$C$4,"2 Item No.","@@"&amp;$F748,"3 Posting Date",Z$9)</t>
  </si>
  <si>
    <t>=Z748-AB748</t>
  </si>
  <si>
    <t>=IF(Z748&lt;&gt;0,AC748/Z748,"")</t>
  </si>
  <si>
    <t>=C748</t>
  </si>
  <si>
    <t>=NL("Sum","5802 Value Entry","150 Sales Amount (Expected)","41 Source Type",$C$5,"5 Source No.",$C749,"4 Item Ledger Entry Type",$C$4,"2 Item No.","@@"&amp;$F749,"3 Posting Date",J$9)+NL("Sum","5802 Value Entry","17 Sales Amount (Actual)","41 Source Type",$C$5,"5 Source no.",$C749,"4 Item Ledger Entry Type",$C$4,"2 Item No.","@@"&amp;$F749,"3 Posting Date",J$9)</t>
  </si>
  <si>
    <t>=-NL("Sum","5802 Value Entry","151 Cost Amount (Expected)","41 Source Type",$C$5,"5 Source No.",$C749,"4 Item Ledger Entry Type",$C$4,"2 Item No.","@@"&amp;$F749,"3 Posting Date",J$9)-NL("Sum","5802 Value Entry","43 Cost Amount (Actual)","41 Source Type",$C$5,"5 Source no.",$C749,"4 Item Ledger Entry Type",$C$4,"2 Item No.","@@"&amp;$F749,"3 Posting Date",J$9)</t>
  </si>
  <si>
    <t>=J749-L749</t>
  </si>
  <si>
    <t>=IF(J749&lt;&gt;0,M749/J749,"")</t>
  </si>
  <si>
    <t>=NL("Sum","5802 Value Entry","150 Sales Amount (Expected)","41 Source Type",$C$5,"5 Source No.",$C749,"4 Item Ledger Entry Type",$C$4,"2 Item No.","@@"&amp;$F749,"3 Posting Date",O$9)+NL("Sum","5802 Value Entry","17 Sales Amount (Actual)","41 Source Type",$C$5,"5 Source no.",$C749,"4 Item Ledger Entry Type",$C$4,"2 Item No.","@@"&amp;$F749,"3 Posting Date",O$9)</t>
  </si>
  <si>
    <t>=-NL("Sum","5802 Value Entry","151 Cost Amount (Expected)","41 Source Type",$C$5,"5 Source No.",$C749,"4 Item Ledger Entry Type",$C$4,"2 Item No.","@@"&amp;$F749,"3 Posting Date",O$9)-NL("Sum","5802 Value Entry","43 Cost Amount (Actual)","41 Source Type",$C$5,"5 Source no.",$C749,"4 Item Ledger Entry Type",$C$4,"2 Item No.","@@"&amp;$F749,"3 Posting Date",O$9)</t>
  </si>
  <si>
    <t>=O749-Q749</t>
  </si>
  <si>
    <t>=IF(O749&lt;&gt;0,R749/O749,"")</t>
  </si>
  <si>
    <t>=NL("Sum","5802 Value Entry","150 Sales Amount (Expected)","41 Source Type",$C$5,"5 Source No.",$C749,"4 Item Ledger Entry Type",$C$4,"2 Item No.","@@"&amp;$F749,"3 Posting Date",U$9)+NL("Sum","5802 Value Entry","17 Sales Amount (Actual)","41 Source Type",$C$5,"5 Source no.",$C749,"4 Item Ledger Entry Type",$C$4,"2 Item No.","@@"&amp;$F749,"3 Posting Date",U$9)</t>
  </si>
  <si>
    <t>=-NL("Sum","5802 Value Entry","151 Cost Amount (Expected)","41 Source Type",$C$5,"5 Source No.",$C749,"4 Item Ledger Entry Type",$C$4,"2 Item No.","@@"&amp;$F749,"3 Posting Date",U$9)-NL("Sum","5802 Value Entry","43 Cost Amount (Actual)","41 Source Type",$C$5,"5 Source no.",$C749,"4 Item Ledger Entry Type",$C$4,"2 Item No.","@@"&amp;$F749,"3 Posting Date",U$9)</t>
  </si>
  <si>
    <t>=U749-W749</t>
  </si>
  <si>
    <t>=IF(U749&lt;&gt;0,X749/U749,"")</t>
  </si>
  <si>
    <t>=NL("Sum","5802 Value Entry","150 Sales Amount (Expected)","41 Source Type",$C$5,"5 Source No.",$C749,"4 Item Ledger Entry Type",$C$4,"2 Item No.","@@"&amp;$F749,"3 Posting Date",Z$9)+NL("Sum","5802 Value Entry","17 Sales Amount (Actual)","41 Source Type",$C$5,"5 Source no.",$C749,"4 Item Ledger Entry Type",$C$4,"2 Item No.","@@"&amp;$F749,"3 Posting Date",Z$9)</t>
  </si>
  <si>
    <t>=-NL("Sum","5802 Value Entry","151 Cost Amount (Expected)","41 Source Type",$C$5,"5 Source No.",$C749,"4 Item Ledger Entry Type",$C$4,"2 Item No.","@@"&amp;$F749,"3 Posting Date",Z$9)-NL("Sum","5802 Value Entry","43 Cost Amount (Actual)","41 Source Type",$C$5,"5 Source no.",$C749,"4 Item Ledger Entry Type",$C$4,"2 Item No.","@@"&amp;$F749,"3 Posting Date",Z$9)</t>
  </si>
  <si>
    <t>=Z749-AB749</t>
  </si>
  <si>
    <t>=IF(Z749&lt;&gt;0,AC749/Z749,"")</t>
  </si>
  <si>
    <t>=C749</t>
  </si>
  <si>
    <t>=NL("Sum","5802 Value Entry","150 Sales Amount (Expected)","41 Source Type",$C$5,"5 Source No.",$C750,"4 Item Ledger Entry Type",$C$4,"2 Item No.","@@"&amp;$F750,"3 Posting Date",J$9)+NL("Sum","5802 Value Entry","17 Sales Amount (Actual)","41 Source Type",$C$5,"5 Source no.",$C750,"4 Item Ledger Entry Type",$C$4,"2 Item No.","@@"&amp;$F750,"3 Posting Date",J$9)</t>
  </si>
  <si>
    <t>=-NL("Sum","5802 Value Entry","151 Cost Amount (Expected)","41 Source Type",$C$5,"5 Source No.",$C750,"4 Item Ledger Entry Type",$C$4,"2 Item No.","@@"&amp;$F750,"3 Posting Date",J$9)-NL("Sum","5802 Value Entry","43 Cost Amount (Actual)","41 Source Type",$C$5,"5 Source no.",$C750,"4 Item Ledger Entry Type",$C$4,"2 Item No.","@@"&amp;$F750,"3 Posting Date",J$9)</t>
  </si>
  <si>
    <t>=J750-L750</t>
  </si>
  <si>
    <t>=IF(J750&lt;&gt;0,M750/J750,"")</t>
  </si>
  <si>
    <t>=NL("Sum","5802 Value Entry","150 Sales Amount (Expected)","41 Source Type",$C$5,"5 Source No.",$C750,"4 Item Ledger Entry Type",$C$4,"2 Item No.","@@"&amp;$F750,"3 Posting Date",O$9)+NL("Sum","5802 Value Entry","17 Sales Amount (Actual)","41 Source Type",$C$5,"5 Source no.",$C750,"4 Item Ledger Entry Type",$C$4,"2 Item No.","@@"&amp;$F750,"3 Posting Date",O$9)</t>
  </si>
  <si>
    <t>=-NL("Sum","5802 Value Entry","151 Cost Amount (Expected)","41 Source Type",$C$5,"5 Source No.",$C750,"4 Item Ledger Entry Type",$C$4,"2 Item No.","@@"&amp;$F750,"3 Posting Date",O$9)-NL("Sum","5802 Value Entry","43 Cost Amount (Actual)","41 Source Type",$C$5,"5 Source no.",$C750,"4 Item Ledger Entry Type",$C$4,"2 Item No.","@@"&amp;$F750,"3 Posting Date",O$9)</t>
  </si>
  <si>
    <t>=O750-Q750</t>
  </si>
  <si>
    <t>=IF(O750&lt;&gt;0,R750/O750,"")</t>
  </si>
  <si>
    <t>=NL("Sum","5802 Value Entry","150 Sales Amount (Expected)","41 Source Type",$C$5,"5 Source No.",$C750,"4 Item Ledger Entry Type",$C$4,"2 Item No.","@@"&amp;$F750,"3 Posting Date",U$9)+NL("Sum","5802 Value Entry","17 Sales Amount (Actual)","41 Source Type",$C$5,"5 Source no.",$C750,"4 Item Ledger Entry Type",$C$4,"2 Item No.","@@"&amp;$F750,"3 Posting Date",U$9)</t>
  </si>
  <si>
    <t>=-NL("Sum","5802 Value Entry","151 Cost Amount (Expected)","41 Source Type",$C$5,"5 Source No.",$C750,"4 Item Ledger Entry Type",$C$4,"2 Item No.","@@"&amp;$F750,"3 Posting Date",U$9)-NL("Sum","5802 Value Entry","43 Cost Amount (Actual)","41 Source Type",$C$5,"5 Source no.",$C750,"4 Item Ledger Entry Type",$C$4,"2 Item No.","@@"&amp;$F750,"3 Posting Date",U$9)</t>
  </si>
  <si>
    <t>=U750-W750</t>
  </si>
  <si>
    <t>=IF(U750&lt;&gt;0,X750/U750,"")</t>
  </si>
  <si>
    <t>=NL("Sum","5802 Value Entry","150 Sales Amount (Expected)","41 Source Type",$C$5,"5 Source No.",$C750,"4 Item Ledger Entry Type",$C$4,"2 Item No.","@@"&amp;$F750,"3 Posting Date",Z$9)+NL("Sum","5802 Value Entry","17 Sales Amount (Actual)","41 Source Type",$C$5,"5 Source no.",$C750,"4 Item Ledger Entry Type",$C$4,"2 Item No.","@@"&amp;$F750,"3 Posting Date",Z$9)</t>
  </si>
  <si>
    <t>=-NL("Sum","5802 Value Entry","151 Cost Amount (Expected)","41 Source Type",$C$5,"5 Source No.",$C750,"4 Item Ledger Entry Type",$C$4,"2 Item No.","@@"&amp;$F750,"3 Posting Date",Z$9)-NL("Sum","5802 Value Entry","43 Cost Amount (Actual)","41 Source Type",$C$5,"5 Source no.",$C750,"4 Item Ledger Entry Type",$C$4,"2 Item No.","@@"&amp;$F750,"3 Posting Date",Z$9)</t>
  </si>
  <si>
    <t>=Z750-AB750</t>
  </si>
  <si>
    <t>=IF(Z750&lt;&gt;0,AC750/Z750,"")</t>
  </si>
  <si>
    <t>=C750</t>
  </si>
  <si>
    <t>=NL("Sum","5802 Value Entry","150 Sales Amount (Expected)","41 Source Type",$C$5,"5 Source No.",$C751,"4 Item Ledger Entry Type",$C$4,"2 Item No.","@@"&amp;$F751,"3 Posting Date",J$9)+NL("Sum","5802 Value Entry","17 Sales Amount (Actual)","41 Source Type",$C$5,"5 Source no.",$C751,"4 Item Ledger Entry Type",$C$4,"2 Item No.","@@"&amp;$F751,"3 Posting Date",J$9)</t>
  </si>
  <si>
    <t>=-NL("Sum","5802 Value Entry","151 Cost Amount (Expected)","41 Source Type",$C$5,"5 Source No.",$C751,"4 Item Ledger Entry Type",$C$4,"2 Item No.","@@"&amp;$F751,"3 Posting Date",J$9)-NL("Sum","5802 Value Entry","43 Cost Amount (Actual)","41 Source Type",$C$5,"5 Source no.",$C751,"4 Item Ledger Entry Type",$C$4,"2 Item No.","@@"&amp;$F751,"3 Posting Date",J$9)</t>
  </si>
  <si>
    <t>=J751-L751</t>
  </si>
  <si>
    <t>=IF(J751&lt;&gt;0,M751/J751,"")</t>
  </si>
  <si>
    <t>=NL("Sum","5802 Value Entry","150 Sales Amount (Expected)","41 Source Type",$C$5,"5 Source No.",$C751,"4 Item Ledger Entry Type",$C$4,"2 Item No.","@@"&amp;$F751,"3 Posting Date",O$9)+NL("Sum","5802 Value Entry","17 Sales Amount (Actual)","41 Source Type",$C$5,"5 Source no.",$C751,"4 Item Ledger Entry Type",$C$4,"2 Item No.","@@"&amp;$F751,"3 Posting Date",O$9)</t>
  </si>
  <si>
    <t>=-NL("Sum","5802 Value Entry","151 Cost Amount (Expected)","41 Source Type",$C$5,"5 Source No.",$C751,"4 Item Ledger Entry Type",$C$4,"2 Item No.","@@"&amp;$F751,"3 Posting Date",O$9)-NL("Sum","5802 Value Entry","43 Cost Amount (Actual)","41 Source Type",$C$5,"5 Source no.",$C751,"4 Item Ledger Entry Type",$C$4,"2 Item No.","@@"&amp;$F751,"3 Posting Date",O$9)</t>
  </si>
  <si>
    <t>=O751-Q751</t>
  </si>
  <si>
    <t>=IF(O751&lt;&gt;0,R751/O751,"")</t>
  </si>
  <si>
    <t>=NL("Sum","5802 Value Entry","150 Sales Amount (Expected)","41 Source Type",$C$5,"5 Source No.",$C751,"4 Item Ledger Entry Type",$C$4,"2 Item No.","@@"&amp;$F751,"3 Posting Date",U$9)+NL("Sum","5802 Value Entry","17 Sales Amount (Actual)","41 Source Type",$C$5,"5 Source no.",$C751,"4 Item Ledger Entry Type",$C$4,"2 Item No.","@@"&amp;$F751,"3 Posting Date",U$9)</t>
  </si>
  <si>
    <t>=-NL("Sum","5802 Value Entry","151 Cost Amount (Expected)","41 Source Type",$C$5,"5 Source No.",$C751,"4 Item Ledger Entry Type",$C$4,"2 Item No.","@@"&amp;$F751,"3 Posting Date",U$9)-NL("Sum","5802 Value Entry","43 Cost Amount (Actual)","41 Source Type",$C$5,"5 Source no.",$C751,"4 Item Ledger Entry Type",$C$4,"2 Item No.","@@"&amp;$F751,"3 Posting Date",U$9)</t>
  </si>
  <si>
    <t>=U751-W751</t>
  </si>
  <si>
    <t>=IF(U751&lt;&gt;0,X751/U751,"")</t>
  </si>
  <si>
    <t>=NL("Sum","5802 Value Entry","150 Sales Amount (Expected)","41 Source Type",$C$5,"5 Source No.",$C751,"4 Item Ledger Entry Type",$C$4,"2 Item No.","@@"&amp;$F751,"3 Posting Date",Z$9)+NL("Sum","5802 Value Entry","17 Sales Amount (Actual)","41 Source Type",$C$5,"5 Source no.",$C751,"4 Item Ledger Entry Type",$C$4,"2 Item No.","@@"&amp;$F751,"3 Posting Date",Z$9)</t>
  </si>
  <si>
    <t>=-NL("Sum","5802 Value Entry","151 Cost Amount (Expected)","41 Source Type",$C$5,"5 Source No.",$C751,"4 Item Ledger Entry Type",$C$4,"2 Item No.","@@"&amp;$F751,"3 Posting Date",Z$9)-NL("Sum","5802 Value Entry","43 Cost Amount (Actual)","41 Source Type",$C$5,"5 Source no.",$C751,"4 Item Ledger Entry Type",$C$4,"2 Item No.","@@"&amp;$F751,"3 Posting Date",Z$9)</t>
  </si>
  <si>
    <t>=Z751-AB751</t>
  </si>
  <si>
    <t>=IF(Z751&lt;&gt;0,AC751/Z751,"")</t>
  </si>
  <si>
    <t>=C751</t>
  </si>
  <si>
    <t>=NL("Sum","5802 Value Entry","150 Sales Amount (Expected)","41 Source Type",$C$5,"5 Source No.",$C752,"4 Item Ledger Entry Type",$C$4,"2 Item No.","@@"&amp;$F752,"3 Posting Date",J$9)+NL("Sum","5802 Value Entry","17 Sales Amount (Actual)","41 Source Type",$C$5,"5 Source no.",$C752,"4 Item Ledger Entry Type",$C$4,"2 Item No.","@@"&amp;$F752,"3 Posting Date",J$9)</t>
  </si>
  <si>
    <t>=-NL("Sum","5802 Value Entry","151 Cost Amount (Expected)","41 Source Type",$C$5,"5 Source No.",$C752,"4 Item Ledger Entry Type",$C$4,"2 Item No.","@@"&amp;$F752,"3 Posting Date",J$9)-NL("Sum","5802 Value Entry","43 Cost Amount (Actual)","41 Source Type",$C$5,"5 Source no.",$C752,"4 Item Ledger Entry Type",$C$4,"2 Item No.","@@"&amp;$F752,"3 Posting Date",J$9)</t>
  </si>
  <si>
    <t>=J752-L752</t>
  </si>
  <si>
    <t>=IF(J752&lt;&gt;0,M752/J752,"")</t>
  </si>
  <si>
    <t>=NL("Sum","5802 Value Entry","150 Sales Amount (Expected)","41 Source Type",$C$5,"5 Source No.",$C752,"4 Item Ledger Entry Type",$C$4,"2 Item No.","@@"&amp;$F752,"3 Posting Date",O$9)+NL("Sum","5802 Value Entry","17 Sales Amount (Actual)","41 Source Type",$C$5,"5 Source no.",$C752,"4 Item Ledger Entry Type",$C$4,"2 Item No.","@@"&amp;$F752,"3 Posting Date",O$9)</t>
  </si>
  <si>
    <t>=-NL("Sum","5802 Value Entry","151 Cost Amount (Expected)","41 Source Type",$C$5,"5 Source No.",$C752,"4 Item Ledger Entry Type",$C$4,"2 Item No.","@@"&amp;$F752,"3 Posting Date",O$9)-NL("Sum","5802 Value Entry","43 Cost Amount (Actual)","41 Source Type",$C$5,"5 Source no.",$C752,"4 Item Ledger Entry Type",$C$4,"2 Item No.","@@"&amp;$F752,"3 Posting Date",O$9)</t>
  </si>
  <si>
    <t>=O752-Q752</t>
  </si>
  <si>
    <t>=IF(O752&lt;&gt;0,R752/O752,"")</t>
  </si>
  <si>
    <t>=NL("Sum","5802 Value Entry","150 Sales Amount (Expected)","41 Source Type",$C$5,"5 Source No.",$C752,"4 Item Ledger Entry Type",$C$4,"2 Item No.","@@"&amp;$F752,"3 Posting Date",U$9)+NL("Sum","5802 Value Entry","17 Sales Amount (Actual)","41 Source Type",$C$5,"5 Source no.",$C752,"4 Item Ledger Entry Type",$C$4,"2 Item No.","@@"&amp;$F752,"3 Posting Date",U$9)</t>
  </si>
  <si>
    <t>=-NL("Sum","5802 Value Entry","151 Cost Amount (Expected)","41 Source Type",$C$5,"5 Source No.",$C752,"4 Item Ledger Entry Type",$C$4,"2 Item No.","@@"&amp;$F752,"3 Posting Date",U$9)-NL("Sum","5802 Value Entry","43 Cost Amount (Actual)","41 Source Type",$C$5,"5 Source no.",$C752,"4 Item Ledger Entry Type",$C$4,"2 Item No.","@@"&amp;$F752,"3 Posting Date",U$9)</t>
  </si>
  <si>
    <t>=U752-W752</t>
  </si>
  <si>
    <t>=IF(U752&lt;&gt;0,X752/U752,"")</t>
  </si>
  <si>
    <t>=NL("Sum","5802 Value Entry","150 Sales Amount (Expected)","41 Source Type",$C$5,"5 Source No.",$C752,"4 Item Ledger Entry Type",$C$4,"2 Item No.","@@"&amp;$F752,"3 Posting Date",Z$9)+NL("Sum","5802 Value Entry","17 Sales Amount (Actual)","41 Source Type",$C$5,"5 Source no.",$C752,"4 Item Ledger Entry Type",$C$4,"2 Item No.","@@"&amp;$F752,"3 Posting Date",Z$9)</t>
  </si>
  <si>
    <t>=-NL("Sum","5802 Value Entry","151 Cost Amount (Expected)","41 Source Type",$C$5,"5 Source No.",$C752,"4 Item Ledger Entry Type",$C$4,"2 Item No.","@@"&amp;$F752,"3 Posting Date",Z$9)-NL("Sum","5802 Value Entry","43 Cost Amount (Actual)","41 Source Type",$C$5,"5 Source no.",$C752,"4 Item Ledger Entry Type",$C$4,"2 Item No.","@@"&amp;$F752,"3 Posting Date",Z$9)</t>
  </si>
  <si>
    <t>=Z752-AB752</t>
  </si>
  <si>
    <t>=IF(Z752&lt;&gt;0,AC752/Z752,"")</t>
  </si>
  <si>
    <t>=C752</t>
  </si>
  <si>
    <t>=NL("Sum","5802 Value Entry","150 Sales Amount (Expected)","41 Source Type",$C$5,"5 Source No.",$C753,"4 Item Ledger Entry Type",$C$4,"2 Item No.","@@"&amp;$F753,"3 Posting Date",J$9)+NL("Sum","5802 Value Entry","17 Sales Amount (Actual)","41 Source Type",$C$5,"5 Source no.",$C753,"4 Item Ledger Entry Type",$C$4,"2 Item No.","@@"&amp;$F753,"3 Posting Date",J$9)</t>
  </si>
  <si>
    <t>=-NL("Sum","5802 Value Entry","151 Cost Amount (Expected)","41 Source Type",$C$5,"5 Source No.",$C753,"4 Item Ledger Entry Type",$C$4,"2 Item No.","@@"&amp;$F753,"3 Posting Date",J$9)-NL("Sum","5802 Value Entry","43 Cost Amount (Actual)","41 Source Type",$C$5,"5 Source no.",$C753,"4 Item Ledger Entry Type",$C$4,"2 Item No.","@@"&amp;$F753,"3 Posting Date",J$9)</t>
  </si>
  <si>
    <t>=J753-L753</t>
  </si>
  <si>
    <t>=IF(J753&lt;&gt;0,M753/J753,"")</t>
  </si>
  <si>
    <t>=NL("Sum","5802 Value Entry","150 Sales Amount (Expected)","41 Source Type",$C$5,"5 Source No.",$C753,"4 Item Ledger Entry Type",$C$4,"2 Item No.","@@"&amp;$F753,"3 Posting Date",O$9)+NL("Sum","5802 Value Entry","17 Sales Amount (Actual)","41 Source Type",$C$5,"5 Source no.",$C753,"4 Item Ledger Entry Type",$C$4,"2 Item No.","@@"&amp;$F753,"3 Posting Date",O$9)</t>
  </si>
  <si>
    <t>=-NL("Sum","5802 Value Entry","151 Cost Amount (Expected)","41 Source Type",$C$5,"5 Source No.",$C753,"4 Item Ledger Entry Type",$C$4,"2 Item No.","@@"&amp;$F753,"3 Posting Date",O$9)-NL("Sum","5802 Value Entry","43 Cost Amount (Actual)","41 Source Type",$C$5,"5 Source no.",$C753,"4 Item Ledger Entry Type",$C$4,"2 Item No.","@@"&amp;$F753,"3 Posting Date",O$9)</t>
  </si>
  <si>
    <t>=O753-Q753</t>
  </si>
  <si>
    <t>=IF(O753&lt;&gt;0,R753/O753,"")</t>
  </si>
  <si>
    <t>=NL("Sum","5802 Value Entry","150 Sales Amount (Expected)","41 Source Type",$C$5,"5 Source No.",$C753,"4 Item Ledger Entry Type",$C$4,"2 Item No.","@@"&amp;$F753,"3 Posting Date",U$9)+NL("Sum","5802 Value Entry","17 Sales Amount (Actual)","41 Source Type",$C$5,"5 Source no.",$C753,"4 Item Ledger Entry Type",$C$4,"2 Item No.","@@"&amp;$F753,"3 Posting Date",U$9)</t>
  </si>
  <si>
    <t>=-NL("Sum","5802 Value Entry","151 Cost Amount (Expected)","41 Source Type",$C$5,"5 Source No.",$C753,"4 Item Ledger Entry Type",$C$4,"2 Item No.","@@"&amp;$F753,"3 Posting Date",U$9)-NL("Sum","5802 Value Entry","43 Cost Amount (Actual)","41 Source Type",$C$5,"5 Source no.",$C753,"4 Item Ledger Entry Type",$C$4,"2 Item No.","@@"&amp;$F753,"3 Posting Date",U$9)</t>
  </si>
  <si>
    <t>=U753-W753</t>
  </si>
  <si>
    <t>=IF(U753&lt;&gt;0,X753/U753,"")</t>
  </si>
  <si>
    <t>=NL("Sum","5802 Value Entry","150 Sales Amount (Expected)","41 Source Type",$C$5,"5 Source No.",$C753,"4 Item Ledger Entry Type",$C$4,"2 Item No.","@@"&amp;$F753,"3 Posting Date",Z$9)+NL("Sum","5802 Value Entry","17 Sales Amount (Actual)","41 Source Type",$C$5,"5 Source no.",$C753,"4 Item Ledger Entry Type",$C$4,"2 Item No.","@@"&amp;$F753,"3 Posting Date",Z$9)</t>
  </si>
  <si>
    <t>=-NL("Sum","5802 Value Entry","151 Cost Amount (Expected)","41 Source Type",$C$5,"5 Source No.",$C753,"4 Item Ledger Entry Type",$C$4,"2 Item No.","@@"&amp;$F753,"3 Posting Date",Z$9)-NL("Sum","5802 Value Entry","43 Cost Amount (Actual)","41 Source Type",$C$5,"5 Source no.",$C753,"4 Item Ledger Entry Type",$C$4,"2 Item No.","@@"&amp;$F753,"3 Posting Date",Z$9)</t>
  </si>
  <si>
    <t>=Z753-AB753</t>
  </si>
  <si>
    <t>=IF(Z753&lt;&gt;0,AC753/Z753,"")</t>
  </si>
  <si>
    <t>=C753</t>
  </si>
  <si>
    <t>=NL("Sum","5802 Value Entry","150 Sales Amount (Expected)","41 Source Type",$C$5,"5 Source No.",$C754,"4 Item Ledger Entry Type",$C$4,"2 Item No.","@@"&amp;$F754,"3 Posting Date",J$9)+NL("Sum","5802 Value Entry","17 Sales Amount (Actual)","41 Source Type",$C$5,"5 Source no.",$C754,"4 Item Ledger Entry Type",$C$4,"2 Item No.","@@"&amp;$F754,"3 Posting Date",J$9)</t>
  </si>
  <si>
    <t>=-NL("Sum","5802 Value Entry","151 Cost Amount (Expected)","41 Source Type",$C$5,"5 Source No.",$C754,"4 Item Ledger Entry Type",$C$4,"2 Item No.","@@"&amp;$F754,"3 Posting Date",J$9)-NL("Sum","5802 Value Entry","43 Cost Amount (Actual)","41 Source Type",$C$5,"5 Source no.",$C754,"4 Item Ledger Entry Type",$C$4,"2 Item No.","@@"&amp;$F754,"3 Posting Date",J$9)</t>
  </si>
  <si>
    <t>=J754-L754</t>
  </si>
  <si>
    <t>=IF(J754&lt;&gt;0,M754/J754,"")</t>
  </si>
  <si>
    <t>=NL("Sum","5802 Value Entry","150 Sales Amount (Expected)","41 Source Type",$C$5,"5 Source No.",$C754,"4 Item Ledger Entry Type",$C$4,"2 Item No.","@@"&amp;$F754,"3 Posting Date",O$9)+NL("Sum","5802 Value Entry","17 Sales Amount (Actual)","41 Source Type",$C$5,"5 Source no.",$C754,"4 Item Ledger Entry Type",$C$4,"2 Item No.","@@"&amp;$F754,"3 Posting Date",O$9)</t>
  </si>
  <si>
    <t>=-NL("Sum","5802 Value Entry","151 Cost Amount (Expected)","41 Source Type",$C$5,"5 Source No.",$C754,"4 Item Ledger Entry Type",$C$4,"2 Item No.","@@"&amp;$F754,"3 Posting Date",O$9)-NL("Sum","5802 Value Entry","43 Cost Amount (Actual)","41 Source Type",$C$5,"5 Source no.",$C754,"4 Item Ledger Entry Type",$C$4,"2 Item No.","@@"&amp;$F754,"3 Posting Date",O$9)</t>
  </si>
  <si>
    <t>=O754-Q754</t>
  </si>
  <si>
    <t>=IF(O754&lt;&gt;0,R754/O754,"")</t>
  </si>
  <si>
    <t>=NL("Sum","5802 Value Entry","150 Sales Amount (Expected)","41 Source Type",$C$5,"5 Source No.",$C754,"4 Item Ledger Entry Type",$C$4,"2 Item No.","@@"&amp;$F754,"3 Posting Date",U$9)+NL("Sum","5802 Value Entry","17 Sales Amount (Actual)","41 Source Type",$C$5,"5 Source no.",$C754,"4 Item Ledger Entry Type",$C$4,"2 Item No.","@@"&amp;$F754,"3 Posting Date",U$9)</t>
  </si>
  <si>
    <t>=-NL("Sum","5802 Value Entry","151 Cost Amount (Expected)","41 Source Type",$C$5,"5 Source No.",$C754,"4 Item Ledger Entry Type",$C$4,"2 Item No.","@@"&amp;$F754,"3 Posting Date",U$9)-NL("Sum","5802 Value Entry","43 Cost Amount (Actual)","41 Source Type",$C$5,"5 Source no.",$C754,"4 Item Ledger Entry Type",$C$4,"2 Item No.","@@"&amp;$F754,"3 Posting Date",U$9)</t>
  </si>
  <si>
    <t>=U754-W754</t>
  </si>
  <si>
    <t>=IF(U754&lt;&gt;0,X754/U754,"")</t>
  </si>
  <si>
    <t>=NL("Sum","5802 Value Entry","150 Sales Amount (Expected)","41 Source Type",$C$5,"5 Source No.",$C754,"4 Item Ledger Entry Type",$C$4,"2 Item No.","@@"&amp;$F754,"3 Posting Date",Z$9)+NL("Sum","5802 Value Entry","17 Sales Amount (Actual)","41 Source Type",$C$5,"5 Source no.",$C754,"4 Item Ledger Entry Type",$C$4,"2 Item No.","@@"&amp;$F754,"3 Posting Date",Z$9)</t>
  </si>
  <si>
    <t>=-NL("Sum","5802 Value Entry","151 Cost Amount (Expected)","41 Source Type",$C$5,"5 Source No.",$C754,"4 Item Ledger Entry Type",$C$4,"2 Item No.","@@"&amp;$F754,"3 Posting Date",Z$9)-NL("Sum","5802 Value Entry","43 Cost Amount (Actual)","41 Source Type",$C$5,"5 Source no.",$C754,"4 Item Ledger Entry Type",$C$4,"2 Item No.","@@"&amp;$F754,"3 Posting Date",Z$9)</t>
  </si>
  <si>
    <t>=Z754-AB754</t>
  </si>
  <si>
    <t>=IF(Z754&lt;&gt;0,AC754/Z754,"")</t>
  </si>
  <si>
    <t>=C754</t>
  </si>
  <si>
    <t>=NL("Sum","5802 Value Entry","150 Sales Amount (Expected)","41 Source Type",$C$5,"5 Source No.",$C755,"4 Item Ledger Entry Type",$C$4,"2 Item No.","@@"&amp;$F755,"3 Posting Date",J$9)+NL("Sum","5802 Value Entry","17 Sales Amount (Actual)","41 Source Type",$C$5,"5 Source no.",$C755,"4 Item Ledger Entry Type",$C$4,"2 Item No.","@@"&amp;$F755,"3 Posting Date",J$9)</t>
  </si>
  <si>
    <t>=-NL("Sum","5802 Value Entry","151 Cost Amount (Expected)","41 Source Type",$C$5,"5 Source No.",$C755,"4 Item Ledger Entry Type",$C$4,"2 Item No.","@@"&amp;$F755,"3 Posting Date",J$9)-NL("Sum","5802 Value Entry","43 Cost Amount (Actual)","41 Source Type",$C$5,"5 Source no.",$C755,"4 Item Ledger Entry Type",$C$4,"2 Item No.","@@"&amp;$F755,"3 Posting Date",J$9)</t>
  </si>
  <si>
    <t>=J755-L755</t>
  </si>
  <si>
    <t>=IF(J755&lt;&gt;0,M755/J755,"")</t>
  </si>
  <si>
    <t>=NL("Sum","5802 Value Entry","150 Sales Amount (Expected)","41 Source Type",$C$5,"5 Source No.",$C755,"4 Item Ledger Entry Type",$C$4,"2 Item No.","@@"&amp;$F755,"3 Posting Date",O$9)+NL("Sum","5802 Value Entry","17 Sales Amount (Actual)","41 Source Type",$C$5,"5 Source no.",$C755,"4 Item Ledger Entry Type",$C$4,"2 Item No.","@@"&amp;$F755,"3 Posting Date",O$9)</t>
  </si>
  <si>
    <t>=-NL("Sum","5802 Value Entry","151 Cost Amount (Expected)","41 Source Type",$C$5,"5 Source No.",$C755,"4 Item Ledger Entry Type",$C$4,"2 Item No.","@@"&amp;$F755,"3 Posting Date",O$9)-NL("Sum","5802 Value Entry","43 Cost Amount (Actual)","41 Source Type",$C$5,"5 Source no.",$C755,"4 Item Ledger Entry Type",$C$4,"2 Item No.","@@"&amp;$F755,"3 Posting Date",O$9)</t>
  </si>
  <si>
    <t>=O755-Q755</t>
  </si>
  <si>
    <t>=IF(O755&lt;&gt;0,R755/O755,"")</t>
  </si>
  <si>
    <t>=NL("Sum","5802 Value Entry","150 Sales Amount (Expected)","41 Source Type",$C$5,"5 Source No.",$C755,"4 Item Ledger Entry Type",$C$4,"2 Item No.","@@"&amp;$F755,"3 Posting Date",U$9)+NL("Sum","5802 Value Entry","17 Sales Amount (Actual)","41 Source Type",$C$5,"5 Source no.",$C755,"4 Item Ledger Entry Type",$C$4,"2 Item No.","@@"&amp;$F755,"3 Posting Date",U$9)</t>
  </si>
  <si>
    <t>=-NL("Sum","5802 Value Entry","151 Cost Amount (Expected)","41 Source Type",$C$5,"5 Source No.",$C755,"4 Item Ledger Entry Type",$C$4,"2 Item No.","@@"&amp;$F755,"3 Posting Date",U$9)-NL("Sum","5802 Value Entry","43 Cost Amount (Actual)","41 Source Type",$C$5,"5 Source no.",$C755,"4 Item Ledger Entry Type",$C$4,"2 Item No.","@@"&amp;$F755,"3 Posting Date",U$9)</t>
  </si>
  <si>
    <t>=U755-W755</t>
  </si>
  <si>
    <t>=IF(U755&lt;&gt;0,X755/U755,"")</t>
  </si>
  <si>
    <t>=NL("Sum","5802 Value Entry","150 Sales Amount (Expected)","41 Source Type",$C$5,"5 Source No.",$C755,"4 Item Ledger Entry Type",$C$4,"2 Item No.","@@"&amp;$F755,"3 Posting Date",Z$9)+NL("Sum","5802 Value Entry","17 Sales Amount (Actual)","41 Source Type",$C$5,"5 Source no.",$C755,"4 Item Ledger Entry Type",$C$4,"2 Item No.","@@"&amp;$F755,"3 Posting Date",Z$9)</t>
  </si>
  <si>
    <t>=-NL("Sum","5802 Value Entry","151 Cost Amount (Expected)","41 Source Type",$C$5,"5 Source No.",$C755,"4 Item Ledger Entry Type",$C$4,"2 Item No.","@@"&amp;$F755,"3 Posting Date",Z$9)-NL("Sum","5802 Value Entry","43 Cost Amount (Actual)","41 Source Type",$C$5,"5 Source no.",$C755,"4 Item Ledger Entry Type",$C$4,"2 Item No.","@@"&amp;$F755,"3 Posting Date",Z$9)</t>
  </si>
  <si>
    <t>=Z755-AB755</t>
  </si>
  <si>
    <t>=IF(Z755&lt;&gt;0,AC755/Z755,"")</t>
  </si>
  <si>
    <t>=C755</t>
  </si>
  <si>
    <t>=NL("Sum","5802 Value Entry","150 Sales Amount (Expected)","41 Source Type",$C$5,"5 Source No.",$C756,"4 Item Ledger Entry Type",$C$4,"2 Item No.","@@"&amp;$F756,"3 Posting Date",J$9)+NL("Sum","5802 Value Entry","17 Sales Amount (Actual)","41 Source Type",$C$5,"5 Source no.",$C756,"4 Item Ledger Entry Type",$C$4,"2 Item No.","@@"&amp;$F756,"3 Posting Date",J$9)</t>
  </si>
  <si>
    <t>=-NL("Sum","5802 Value Entry","151 Cost Amount (Expected)","41 Source Type",$C$5,"5 Source No.",$C756,"4 Item Ledger Entry Type",$C$4,"2 Item No.","@@"&amp;$F756,"3 Posting Date",J$9)-NL("Sum","5802 Value Entry","43 Cost Amount (Actual)","41 Source Type",$C$5,"5 Source no.",$C756,"4 Item Ledger Entry Type",$C$4,"2 Item No.","@@"&amp;$F756,"3 Posting Date",J$9)</t>
  </si>
  <si>
    <t>=J756-L756</t>
  </si>
  <si>
    <t>=IF(J756&lt;&gt;0,M756/J756,"")</t>
  </si>
  <si>
    <t>=NL("Sum","5802 Value Entry","150 Sales Amount (Expected)","41 Source Type",$C$5,"5 Source No.",$C756,"4 Item Ledger Entry Type",$C$4,"2 Item No.","@@"&amp;$F756,"3 Posting Date",O$9)+NL("Sum","5802 Value Entry","17 Sales Amount (Actual)","41 Source Type",$C$5,"5 Source no.",$C756,"4 Item Ledger Entry Type",$C$4,"2 Item No.","@@"&amp;$F756,"3 Posting Date",O$9)</t>
  </si>
  <si>
    <t>=-NL("Sum","5802 Value Entry","151 Cost Amount (Expected)","41 Source Type",$C$5,"5 Source No.",$C756,"4 Item Ledger Entry Type",$C$4,"2 Item No.","@@"&amp;$F756,"3 Posting Date",O$9)-NL("Sum","5802 Value Entry","43 Cost Amount (Actual)","41 Source Type",$C$5,"5 Source no.",$C756,"4 Item Ledger Entry Type",$C$4,"2 Item No.","@@"&amp;$F756,"3 Posting Date",O$9)</t>
  </si>
  <si>
    <t>=O756-Q756</t>
  </si>
  <si>
    <t>=IF(O756&lt;&gt;0,R756/O756,"")</t>
  </si>
  <si>
    <t>=NL("Sum","5802 Value Entry","150 Sales Amount (Expected)","41 Source Type",$C$5,"5 Source No.",$C756,"4 Item Ledger Entry Type",$C$4,"2 Item No.","@@"&amp;$F756,"3 Posting Date",U$9)+NL("Sum","5802 Value Entry","17 Sales Amount (Actual)","41 Source Type",$C$5,"5 Source no.",$C756,"4 Item Ledger Entry Type",$C$4,"2 Item No.","@@"&amp;$F756,"3 Posting Date",U$9)</t>
  </si>
  <si>
    <t>=-NL("Sum","5802 Value Entry","151 Cost Amount (Expected)","41 Source Type",$C$5,"5 Source No.",$C756,"4 Item Ledger Entry Type",$C$4,"2 Item No.","@@"&amp;$F756,"3 Posting Date",U$9)-NL("Sum","5802 Value Entry","43 Cost Amount (Actual)","41 Source Type",$C$5,"5 Source no.",$C756,"4 Item Ledger Entry Type",$C$4,"2 Item No.","@@"&amp;$F756,"3 Posting Date",U$9)</t>
  </si>
  <si>
    <t>=U756-W756</t>
  </si>
  <si>
    <t>=IF(U756&lt;&gt;0,X756/U756,"")</t>
  </si>
  <si>
    <t>=NL("Sum","5802 Value Entry","150 Sales Amount (Expected)","41 Source Type",$C$5,"5 Source No.",$C756,"4 Item Ledger Entry Type",$C$4,"2 Item No.","@@"&amp;$F756,"3 Posting Date",Z$9)+NL("Sum","5802 Value Entry","17 Sales Amount (Actual)","41 Source Type",$C$5,"5 Source no.",$C756,"4 Item Ledger Entry Type",$C$4,"2 Item No.","@@"&amp;$F756,"3 Posting Date",Z$9)</t>
  </si>
  <si>
    <t>=-NL("Sum","5802 Value Entry","151 Cost Amount (Expected)","41 Source Type",$C$5,"5 Source No.",$C756,"4 Item Ledger Entry Type",$C$4,"2 Item No.","@@"&amp;$F756,"3 Posting Date",Z$9)-NL("Sum","5802 Value Entry","43 Cost Amount (Actual)","41 Source Type",$C$5,"5 Source no.",$C756,"4 Item Ledger Entry Type",$C$4,"2 Item No.","@@"&amp;$F756,"3 Posting Date",Z$9)</t>
  </si>
  <si>
    <t>=Z756-AB756</t>
  </si>
  <si>
    <t>=IF(Z756&lt;&gt;0,AC756/Z756,"")</t>
  </si>
  <si>
    <t>=C756</t>
  </si>
  <si>
    <t>=NL("Sum","5802 Value Entry","150 Sales Amount (Expected)","41 Source Type",$C$5,"5 Source No.",$C757,"4 Item Ledger Entry Type",$C$4,"2 Item No.","@@"&amp;$F757,"3 Posting Date",J$9)+NL("Sum","5802 Value Entry","17 Sales Amount (Actual)","41 Source Type",$C$5,"5 Source no.",$C757,"4 Item Ledger Entry Type",$C$4,"2 Item No.","@@"&amp;$F757,"3 Posting Date",J$9)</t>
  </si>
  <si>
    <t>=-NL("Sum","5802 Value Entry","151 Cost Amount (Expected)","41 Source Type",$C$5,"5 Source No.",$C757,"4 Item Ledger Entry Type",$C$4,"2 Item No.","@@"&amp;$F757,"3 Posting Date",J$9)-NL("Sum","5802 Value Entry","43 Cost Amount (Actual)","41 Source Type",$C$5,"5 Source no.",$C757,"4 Item Ledger Entry Type",$C$4,"2 Item No.","@@"&amp;$F757,"3 Posting Date",J$9)</t>
  </si>
  <si>
    <t>=J757-L757</t>
  </si>
  <si>
    <t>=IF(J757&lt;&gt;0,M757/J757,"")</t>
  </si>
  <si>
    <t>=NL("Sum","5802 Value Entry","150 Sales Amount (Expected)","41 Source Type",$C$5,"5 Source No.",$C757,"4 Item Ledger Entry Type",$C$4,"2 Item No.","@@"&amp;$F757,"3 Posting Date",O$9)+NL("Sum","5802 Value Entry","17 Sales Amount (Actual)","41 Source Type",$C$5,"5 Source no.",$C757,"4 Item Ledger Entry Type",$C$4,"2 Item No.","@@"&amp;$F757,"3 Posting Date",O$9)</t>
  </si>
  <si>
    <t>=-NL("Sum","5802 Value Entry","151 Cost Amount (Expected)","41 Source Type",$C$5,"5 Source No.",$C757,"4 Item Ledger Entry Type",$C$4,"2 Item No.","@@"&amp;$F757,"3 Posting Date",O$9)-NL("Sum","5802 Value Entry","43 Cost Amount (Actual)","41 Source Type",$C$5,"5 Source no.",$C757,"4 Item Ledger Entry Type",$C$4,"2 Item No.","@@"&amp;$F757,"3 Posting Date",O$9)</t>
  </si>
  <si>
    <t>=O757-Q757</t>
  </si>
  <si>
    <t>=IF(O757&lt;&gt;0,R757/O757,"")</t>
  </si>
  <si>
    <t>=NL("Sum","5802 Value Entry","150 Sales Amount (Expected)","41 Source Type",$C$5,"5 Source No.",$C757,"4 Item Ledger Entry Type",$C$4,"2 Item No.","@@"&amp;$F757,"3 Posting Date",U$9)+NL("Sum","5802 Value Entry","17 Sales Amount (Actual)","41 Source Type",$C$5,"5 Source no.",$C757,"4 Item Ledger Entry Type",$C$4,"2 Item No.","@@"&amp;$F757,"3 Posting Date",U$9)</t>
  </si>
  <si>
    <t>=-NL("Sum","5802 Value Entry","151 Cost Amount (Expected)","41 Source Type",$C$5,"5 Source No.",$C757,"4 Item Ledger Entry Type",$C$4,"2 Item No.","@@"&amp;$F757,"3 Posting Date",U$9)-NL("Sum","5802 Value Entry","43 Cost Amount (Actual)","41 Source Type",$C$5,"5 Source no.",$C757,"4 Item Ledger Entry Type",$C$4,"2 Item No.","@@"&amp;$F757,"3 Posting Date",U$9)</t>
  </si>
  <si>
    <t>=U757-W757</t>
  </si>
  <si>
    <t>=IF(U757&lt;&gt;0,X757/U757,"")</t>
  </si>
  <si>
    <t>=NL("Sum","5802 Value Entry","150 Sales Amount (Expected)","41 Source Type",$C$5,"5 Source No.",$C757,"4 Item Ledger Entry Type",$C$4,"2 Item No.","@@"&amp;$F757,"3 Posting Date",Z$9)+NL("Sum","5802 Value Entry","17 Sales Amount (Actual)","41 Source Type",$C$5,"5 Source no.",$C757,"4 Item Ledger Entry Type",$C$4,"2 Item No.","@@"&amp;$F757,"3 Posting Date",Z$9)</t>
  </si>
  <si>
    <t>=-NL("Sum","5802 Value Entry","151 Cost Amount (Expected)","41 Source Type",$C$5,"5 Source No.",$C757,"4 Item Ledger Entry Type",$C$4,"2 Item No.","@@"&amp;$F757,"3 Posting Date",Z$9)-NL("Sum","5802 Value Entry","43 Cost Amount (Actual)","41 Source Type",$C$5,"5 Source no.",$C757,"4 Item Ledger Entry Type",$C$4,"2 Item No.","@@"&amp;$F757,"3 Posting Date",Z$9)</t>
  </si>
  <si>
    <t>=Z757-AB757</t>
  </si>
  <si>
    <t>=IF(Z757&lt;&gt;0,AC757/Z757,"")</t>
  </si>
  <si>
    <t>=C757</t>
  </si>
  <si>
    <t>=NL("Sum","5802 Value Entry","150 Sales Amount (Expected)","41 Source Type",$C$5,"5 Source No.",$C758,"4 Item Ledger Entry Type",$C$4,"2 Item No.","@@"&amp;$F758,"3 Posting Date",J$9)+NL("Sum","5802 Value Entry","17 Sales Amount (Actual)","41 Source Type",$C$5,"5 Source no.",$C758,"4 Item Ledger Entry Type",$C$4,"2 Item No.","@@"&amp;$F758,"3 Posting Date",J$9)</t>
  </si>
  <si>
    <t>=-NL("Sum","5802 Value Entry","151 Cost Amount (Expected)","41 Source Type",$C$5,"5 Source No.",$C758,"4 Item Ledger Entry Type",$C$4,"2 Item No.","@@"&amp;$F758,"3 Posting Date",J$9)-NL("Sum","5802 Value Entry","43 Cost Amount (Actual)","41 Source Type",$C$5,"5 Source no.",$C758,"4 Item Ledger Entry Type",$C$4,"2 Item No.","@@"&amp;$F758,"3 Posting Date",J$9)</t>
  </si>
  <si>
    <t>=J758-L758</t>
  </si>
  <si>
    <t>=IF(J758&lt;&gt;0,M758/J758,"")</t>
  </si>
  <si>
    <t>=NL("Sum","5802 Value Entry","150 Sales Amount (Expected)","41 Source Type",$C$5,"5 Source No.",$C758,"4 Item Ledger Entry Type",$C$4,"2 Item No.","@@"&amp;$F758,"3 Posting Date",O$9)+NL("Sum","5802 Value Entry","17 Sales Amount (Actual)","41 Source Type",$C$5,"5 Source no.",$C758,"4 Item Ledger Entry Type",$C$4,"2 Item No.","@@"&amp;$F758,"3 Posting Date",O$9)</t>
  </si>
  <si>
    <t>=-NL("Sum","5802 Value Entry","151 Cost Amount (Expected)","41 Source Type",$C$5,"5 Source No.",$C758,"4 Item Ledger Entry Type",$C$4,"2 Item No.","@@"&amp;$F758,"3 Posting Date",O$9)-NL("Sum","5802 Value Entry","43 Cost Amount (Actual)","41 Source Type",$C$5,"5 Source no.",$C758,"4 Item Ledger Entry Type",$C$4,"2 Item No.","@@"&amp;$F758,"3 Posting Date",O$9)</t>
  </si>
  <si>
    <t>=O758-Q758</t>
  </si>
  <si>
    <t>=IF(O758&lt;&gt;0,R758/O758,"")</t>
  </si>
  <si>
    <t>=NL("Sum","5802 Value Entry","150 Sales Amount (Expected)","41 Source Type",$C$5,"5 Source No.",$C758,"4 Item Ledger Entry Type",$C$4,"2 Item No.","@@"&amp;$F758,"3 Posting Date",U$9)+NL("Sum","5802 Value Entry","17 Sales Amount (Actual)","41 Source Type",$C$5,"5 Source no.",$C758,"4 Item Ledger Entry Type",$C$4,"2 Item No.","@@"&amp;$F758,"3 Posting Date",U$9)</t>
  </si>
  <si>
    <t>=-NL("Sum","5802 Value Entry","151 Cost Amount (Expected)","41 Source Type",$C$5,"5 Source No.",$C758,"4 Item Ledger Entry Type",$C$4,"2 Item No.","@@"&amp;$F758,"3 Posting Date",U$9)-NL("Sum","5802 Value Entry","43 Cost Amount (Actual)","41 Source Type",$C$5,"5 Source no.",$C758,"4 Item Ledger Entry Type",$C$4,"2 Item No.","@@"&amp;$F758,"3 Posting Date",U$9)</t>
  </si>
  <si>
    <t>=U758-W758</t>
  </si>
  <si>
    <t>=IF(U758&lt;&gt;0,X758/U758,"")</t>
  </si>
  <si>
    <t>=NL("Sum","5802 Value Entry","150 Sales Amount (Expected)","41 Source Type",$C$5,"5 Source No.",$C758,"4 Item Ledger Entry Type",$C$4,"2 Item No.","@@"&amp;$F758,"3 Posting Date",Z$9)+NL("Sum","5802 Value Entry","17 Sales Amount (Actual)","41 Source Type",$C$5,"5 Source no.",$C758,"4 Item Ledger Entry Type",$C$4,"2 Item No.","@@"&amp;$F758,"3 Posting Date",Z$9)</t>
  </si>
  <si>
    <t>=-NL("Sum","5802 Value Entry","151 Cost Amount (Expected)","41 Source Type",$C$5,"5 Source No.",$C758,"4 Item Ledger Entry Type",$C$4,"2 Item No.","@@"&amp;$F758,"3 Posting Date",Z$9)-NL("Sum","5802 Value Entry","43 Cost Amount (Actual)","41 Source Type",$C$5,"5 Source no.",$C758,"4 Item Ledger Entry Type",$C$4,"2 Item No.","@@"&amp;$F758,"3 Posting Date",Z$9)</t>
  </si>
  <si>
    <t>=Z758-AB758</t>
  </si>
  <si>
    <t>=IF(Z758&lt;&gt;0,AC758/Z758,"")</t>
  </si>
  <si>
    <t>=C758</t>
  </si>
  <si>
    <t>=NL("Sum","5802 Value Entry","150 Sales Amount (Expected)","41 Source Type",$C$5,"5 Source No.",$C759,"4 Item Ledger Entry Type",$C$4,"2 Item No.","@@"&amp;$F759,"3 Posting Date",J$9)+NL("Sum","5802 Value Entry","17 Sales Amount (Actual)","41 Source Type",$C$5,"5 Source no.",$C759,"4 Item Ledger Entry Type",$C$4,"2 Item No.","@@"&amp;$F759,"3 Posting Date",J$9)</t>
  </si>
  <si>
    <t>=-NL("Sum","5802 Value Entry","151 Cost Amount (Expected)","41 Source Type",$C$5,"5 Source No.",$C759,"4 Item Ledger Entry Type",$C$4,"2 Item No.","@@"&amp;$F759,"3 Posting Date",J$9)-NL("Sum","5802 Value Entry","43 Cost Amount (Actual)","41 Source Type",$C$5,"5 Source no.",$C759,"4 Item Ledger Entry Type",$C$4,"2 Item No.","@@"&amp;$F759,"3 Posting Date",J$9)</t>
  </si>
  <si>
    <t>=J759-L759</t>
  </si>
  <si>
    <t>=IF(J759&lt;&gt;0,M759/J759,"")</t>
  </si>
  <si>
    <t>=NL("Sum","5802 Value Entry","150 Sales Amount (Expected)","41 Source Type",$C$5,"5 Source No.",$C759,"4 Item Ledger Entry Type",$C$4,"2 Item No.","@@"&amp;$F759,"3 Posting Date",O$9)+NL("Sum","5802 Value Entry","17 Sales Amount (Actual)","41 Source Type",$C$5,"5 Source no.",$C759,"4 Item Ledger Entry Type",$C$4,"2 Item No.","@@"&amp;$F759,"3 Posting Date",O$9)</t>
  </si>
  <si>
    <t>=-NL("Sum","5802 Value Entry","151 Cost Amount (Expected)","41 Source Type",$C$5,"5 Source No.",$C759,"4 Item Ledger Entry Type",$C$4,"2 Item No.","@@"&amp;$F759,"3 Posting Date",O$9)-NL("Sum","5802 Value Entry","43 Cost Amount (Actual)","41 Source Type",$C$5,"5 Source no.",$C759,"4 Item Ledger Entry Type",$C$4,"2 Item No.","@@"&amp;$F759,"3 Posting Date",O$9)</t>
  </si>
  <si>
    <t>=O759-Q759</t>
  </si>
  <si>
    <t>=IF(O759&lt;&gt;0,R759/O759,"")</t>
  </si>
  <si>
    <t>=NL("Sum","5802 Value Entry","150 Sales Amount (Expected)","41 Source Type",$C$5,"5 Source No.",$C759,"4 Item Ledger Entry Type",$C$4,"2 Item No.","@@"&amp;$F759,"3 Posting Date",U$9)+NL("Sum","5802 Value Entry","17 Sales Amount (Actual)","41 Source Type",$C$5,"5 Source no.",$C759,"4 Item Ledger Entry Type",$C$4,"2 Item No.","@@"&amp;$F759,"3 Posting Date",U$9)</t>
  </si>
  <si>
    <t>=-NL("Sum","5802 Value Entry","151 Cost Amount (Expected)","41 Source Type",$C$5,"5 Source No.",$C759,"4 Item Ledger Entry Type",$C$4,"2 Item No.","@@"&amp;$F759,"3 Posting Date",U$9)-NL("Sum","5802 Value Entry","43 Cost Amount (Actual)","41 Source Type",$C$5,"5 Source no.",$C759,"4 Item Ledger Entry Type",$C$4,"2 Item No.","@@"&amp;$F759,"3 Posting Date",U$9)</t>
  </si>
  <si>
    <t>=U759-W759</t>
  </si>
  <si>
    <t>=IF(U759&lt;&gt;0,X759/U759,"")</t>
  </si>
  <si>
    <t>=NL("Sum","5802 Value Entry","150 Sales Amount (Expected)","41 Source Type",$C$5,"5 Source No.",$C759,"4 Item Ledger Entry Type",$C$4,"2 Item No.","@@"&amp;$F759,"3 Posting Date",Z$9)+NL("Sum","5802 Value Entry","17 Sales Amount (Actual)","41 Source Type",$C$5,"5 Source no.",$C759,"4 Item Ledger Entry Type",$C$4,"2 Item No.","@@"&amp;$F759,"3 Posting Date",Z$9)</t>
  </si>
  <si>
    <t>=-NL("Sum","5802 Value Entry","151 Cost Amount (Expected)","41 Source Type",$C$5,"5 Source No.",$C759,"4 Item Ledger Entry Type",$C$4,"2 Item No.","@@"&amp;$F759,"3 Posting Date",Z$9)-NL("Sum","5802 Value Entry","43 Cost Amount (Actual)","41 Source Type",$C$5,"5 Source no.",$C759,"4 Item Ledger Entry Type",$C$4,"2 Item No.","@@"&amp;$F759,"3 Posting Date",Z$9)</t>
  </si>
  <si>
    <t>=Z759-AB759</t>
  </si>
  <si>
    <t>=IF(Z759&lt;&gt;0,AC759/Z759,"")</t>
  </si>
  <si>
    <t>=C759</t>
  </si>
  <si>
    <t>=NL("Sum","5802 Value Entry","150 Sales Amount (Expected)","41 Source Type",$C$5,"5 Source No.",$C760,"4 Item Ledger Entry Type",$C$4,"2 Item No.","@@"&amp;$F760,"3 Posting Date",J$9)+NL("Sum","5802 Value Entry","17 Sales Amount (Actual)","41 Source Type",$C$5,"5 Source no.",$C760,"4 Item Ledger Entry Type",$C$4,"2 Item No.","@@"&amp;$F760,"3 Posting Date",J$9)</t>
  </si>
  <si>
    <t>=-NL("Sum","5802 Value Entry","151 Cost Amount (Expected)","41 Source Type",$C$5,"5 Source No.",$C760,"4 Item Ledger Entry Type",$C$4,"2 Item No.","@@"&amp;$F760,"3 Posting Date",J$9)-NL("Sum","5802 Value Entry","43 Cost Amount (Actual)","41 Source Type",$C$5,"5 Source no.",$C760,"4 Item Ledger Entry Type",$C$4,"2 Item No.","@@"&amp;$F760,"3 Posting Date",J$9)</t>
  </si>
  <si>
    <t>=J760-L760</t>
  </si>
  <si>
    <t>=IF(J760&lt;&gt;0,M760/J760,"")</t>
  </si>
  <si>
    <t>=NL("Sum","5802 Value Entry","150 Sales Amount (Expected)","41 Source Type",$C$5,"5 Source No.",$C760,"4 Item Ledger Entry Type",$C$4,"2 Item No.","@@"&amp;$F760,"3 Posting Date",O$9)+NL("Sum","5802 Value Entry","17 Sales Amount (Actual)","41 Source Type",$C$5,"5 Source no.",$C760,"4 Item Ledger Entry Type",$C$4,"2 Item No.","@@"&amp;$F760,"3 Posting Date",O$9)</t>
  </si>
  <si>
    <t>=-NL("Sum","5802 Value Entry","151 Cost Amount (Expected)","41 Source Type",$C$5,"5 Source No.",$C760,"4 Item Ledger Entry Type",$C$4,"2 Item No.","@@"&amp;$F760,"3 Posting Date",O$9)-NL("Sum","5802 Value Entry","43 Cost Amount (Actual)","41 Source Type",$C$5,"5 Source no.",$C760,"4 Item Ledger Entry Type",$C$4,"2 Item No.","@@"&amp;$F760,"3 Posting Date",O$9)</t>
  </si>
  <si>
    <t>=O760-Q760</t>
  </si>
  <si>
    <t>=IF(O760&lt;&gt;0,R760/O760,"")</t>
  </si>
  <si>
    <t>=NL("Sum","5802 Value Entry","150 Sales Amount (Expected)","41 Source Type",$C$5,"5 Source No.",$C760,"4 Item Ledger Entry Type",$C$4,"2 Item No.","@@"&amp;$F760,"3 Posting Date",U$9)+NL("Sum","5802 Value Entry","17 Sales Amount (Actual)","41 Source Type",$C$5,"5 Source no.",$C760,"4 Item Ledger Entry Type",$C$4,"2 Item No.","@@"&amp;$F760,"3 Posting Date",U$9)</t>
  </si>
  <si>
    <t>=-NL("Sum","5802 Value Entry","151 Cost Amount (Expected)","41 Source Type",$C$5,"5 Source No.",$C760,"4 Item Ledger Entry Type",$C$4,"2 Item No.","@@"&amp;$F760,"3 Posting Date",U$9)-NL("Sum","5802 Value Entry","43 Cost Amount (Actual)","41 Source Type",$C$5,"5 Source no.",$C760,"4 Item Ledger Entry Type",$C$4,"2 Item No.","@@"&amp;$F760,"3 Posting Date",U$9)</t>
  </si>
  <si>
    <t>=U760-W760</t>
  </si>
  <si>
    <t>=IF(U760&lt;&gt;0,X760/U760,"")</t>
  </si>
  <si>
    <t>=NL("Sum","5802 Value Entry","150 Sales Amount (Expected)","41 Source Type",$C$5,"5 Source No.",$C760,"4 Item Ledger Entry Type",$C$4,"2 Item No.","@@"&amp;$F760,"3 Posting Date",Z$9)+NL("Sum","5802 Value Entry","17 Sales Amount (Actual)","41 Source Type",$C$5,"5 Source no.",$C760,"4 Item Ledger Entry Type",$C$4,"2 Item No.","@@"&amp;$F760,"3 Posting Date",Z$9)</t>
  </si>
  <si>
    <t>=-NL("Sum","5802 Value Entry","151 Cost Amount (Expected)","41 Source Type",$C$5,"5 Source No.",$C760,"4 Item Ledger Entry Type",$C$4,"2 Item No.","@@"&amp;$F760,"3 Posting Date",Z$9)-NL("Sum","5802 Value Entry","43 Cost Amount (Actual)","41 Source Type",$C$5,"5 Source no.",$C760,"4 Item Ledger Entry Type",$C$4,"2 Item No.","@@"&amp;$F760,"3 Posting Date",Z$9)</t>
  </si>
  <si>
    <t>=Z760-AB760</t>
  </si>
  <si>
    <t>=IF(Z760&lt;&gt;0,AC760/Z760,"")</t>
  </si>
  <si>
    <t>=C761</t>
  </si>
  <si>
    <t>=J762-L762</t>
  </si>
  <si>
    <t>=IF(J762&lt;&gt;0,M762/J762,"")</t>
  </si>
  <si>
    <t>=O762-Q762</t>
  </si>
  <si>
    <t>=IF(O762&lt;&gt;0,R762/O762,"")</t>
  </si>
  <si>
    <t>=U762-W762</t>
  </si>
  <si>
    <t>=IF(U762&lt;&gt;0,X762/U762,"")</t>
  </si>
  <si>
    <t>=Z762-AB762</t>
  </si>
  <si>
    <t>=IF(Z762&lt;&gt;0,AC762/Z762,"")</t>
  </si>
  <si>
    <t>=C764</t>
  </si>
  <si>
    <t>=C765</t>
  </si>
  <si>
    <t>=NL("Sum","5802 Value Entry","150 Sales Amount (Expected)","41 Source Type",$C$5,"5 Source No.",$C766,"4 Item Ledger Entry Type",$C$4,"2 Item No.","@@"&amp;$F766,"3 Posting Date",J$9)+NL("Sum","5802 Value Entry","17 Sales Amount (Actual)","41 Source Type",$C$5,"5 Source no.",$C766,"4 Item Ledger Entry Type",$C$4,"2 Item No.","@@"&amp;$F766,"3 Posting Date",J$9)</t>
  </si>
  <si>
    <t>=-NL("Sum","5802 Value Entry","151 Cost Amount (Expected)","41 Source Type",$C$5,"5 Source No.",$C766,"4 Item Ledger Entry Type",$C$4,"2 Item No.","@@"&amp;$F766,"3 Posting Date",J$9)-NL("Sum","5802 Value Entry","43 Cost Amount (Actual)","41 Source Type",$C$5,"5 Source no.",$C766,"4 Item Ledger Entry Type",$C$4,"2 Item No.","@@"&amp;$F766,"3 Posting Date",J$9)</t>
  </si>
  <si>
    <t>=J766-L766</t>
  </si>
  <si>
    <t>=IF(J766&lt;&gt;0,M766/J766,"")</t>
  </si>
  <si>
    <t>=NL("Sum","5802 Value Entry","150 Sales Amount (Expected)","41 Source Type",$C$5,"5 Source No.",$C766,"4 Item Ledger Entry Type",$C$4,"2 Item No.","@@"&amp;$F766,"3 Posting Date",O$9)+NL("Sum","5802 Value Entry","17 Sales Amount (Actual)","41 Source Type",$C$5,"5 Source no.",$C766,"4 Item Ledger Entry Type",$C$4,"2 Item No.","@@"&amp;$F766,"3 Posting Date",O$9)</t>
  </si>
  <si>
    <t>=-NL("Sum","5802 Value Entry","151 Cost Amount (Expected)","41 Source Type",$C$5,"5 Source No.",$C766,"4 Item Ledger Entry Type",$C$4,"2 Item No.","@@"&amp;$F766,"3 Posting Date",O$9)-NL("Sum","5802 Value Entry","43 Cost Amount (Actual)","41 Source Type",$C$5,"5 Source no.",$C766,"4 Item Ledger Entry Type",$C$4,"2 Item No.","@@"&amp;$F766,"3 Posting Date",O$9)</t>
  </si>
  <si>
    <t>=O766-Q766</t>
  </si>
  <si>
    <t>=IF(O766&lt;&gt;0,R766/O766,"")</t>
  </si>
  <si>
    <t>=NL("Sum","5802 Value Entry","150 Sales Amount (Expected)","41 Source Type",$C$5,"5 Source No.",$C766,"4 Item Ledger Entry Type",$C$4,"2 Item No.","@@"&amp;$F766,"3 Posting Date",U$9)+NL("Sum","5802 Value Entry","17 Sales Amount (Actual)","41 Source Type",$C$5,"5 Source no.",$C766,"4 Item Ledger Entry Type",$C$4,"2 Item No.","@@"&amp;$F766,"3 Posting Date",U$9)</t>
  </si>
  <si>
    <t>=-NL("Sum","5802 Value Entry","151 Cost Amount (Expected)","41 Source Type",$C$5,"5 Source No.",$C766,"4 Item Ledger Entry Type",$C$4,"2 Item No.","@@"&amp;$F766,"3 Posting Date",U$9)-NL("Sum","5802 Value Entry","43 Cost Amount (Actual)","41 Source Type",$C$5,"5 Source no.",$C766,"4 Item Ledger Entry Type",$C$4,"2 Item No.","@@"&amp;$F766,"3 Posting Date",U$9)</t>
  </si>
  <si>
    <t>=U766-W766</t>
  </si>
  <si>
    <t>=IF(U766&lt;&gt;0,X766/U766,"")</t>
  </si>
  <si>
    <t>=NL("Sum","5802 Value Entry","150 Sales Amount (Expected)","41 Source Type",$C$5,"5 Source No.",$C766,"4 Item Ledger Entry Type",$C$4,"2 Item No.","@@"&amp;$F766,"3 Posting Date",Z$9)+NL("Sum","5802 Value Entry","17 Sales Amount (Actual)","41 Source Type",$C$5,"5 Source no.",$C766,"4 Item Ledger Entry Type",$C$4,"2 Item No.","@@"&amp;$F766,"3 Posting Date",Z$9)</t>
  </si>
  <si>
    <t>=-NL("Sum","5802 Value Entry","151 Cost Amount (Expected)","41 Source Type",$C$5,"5 Source No.",$C766,"4 Item Ledger Entry Type",$C$4,"2 Item No.","@@"&amp;$F766,"3 Posting Date",Z$9)-NL("Sum","5802 Value Entry","43 Cost Amount (Actual)","41 Source Type",$C$5,"5 Source no.",$C766,"4 Item Ledger Entry Type",$C$4,"2 Item No.","@@"&amp;$F766,"3 Posting Date",Z$9)</t>
  </si>
  <si>
    <t>=Z766-AB766</t>
  </si>
  <si>
    <t>=IF(Z766&lt;&gt;0,AC766/Z766,"")</t>
  </si>
  <si>
    <t>=C767</t>
  </si>
  <si>
    <t>=C768&amp;" TOTAL:"</t>
  </si>
  <si>
    <t>=J768-L768</t>
  </si>
  <si>
    <t>=IF(J768&lt;&gt;0,M768/J768,"")</t>
  </si>
  <si>
    <t>=O768-Q768</t>
  </si>
  <si>
    <t>=IF(O768&lt;&gt;0,R768/O768,"")</t>
  </si>
  <si>
    <t>=U768-W768</t>
  </si>
  <si>
    <t>=IF(U768&lt;&gt;0,X768/U768,"")</t>
  </si>
  <si>
    <t>=Z768-AB768</t>
  </si>
  <si>
    <t>=IF(Z768&lt;&gt;0,AC768/Z768,"")</t>
  </si>
  <si>
    <t>=E770</t>
  </si>
  <si>
    <t>=NL(,"18 Customer","2 Name","1 No.",$E770)</t>
  </si>
  <si>
    <t>=C770</t>
  </si>
  <si>
    <t>=C771</t>
  </si>
  <si>
    <t>=NL("Rows","5802 Value Entry","2 Item No.","4 Item Ledger Entry Type",$C$4,"41 Source Type",$C$5,"5 Source No.",$C772,"Item No.",$C$7,"3 Posting Date",$C$10)</t>
  </si>
  <si>
    <t>=NL("Sum","5802 Value Entry","150 Sales Amount (Expected)","41 Source Type",$C$5,"5 Source No.",$C772,"4 Item Ledger Entry Type",$C$4,"2 Item No.","@@"&amp;$F772,"3 Posting Date",J$9)+NL("Sum","5802 Value Entry","17 Sales Amount (Actual)","41 Source Type",$C$5,"5 Source no.",$C772,"4 Item Ledger Entry Type",$C$4,"2 Item No.","@@"&amp;$F772,"3 Posting Date",J$9)</t>
  </si>
  <si>
    <t>=-NL("Sum","5802 Value Entry","151 Cost Amount (Expected)","41 Source Type",$C$5,"5 Source No.",$C772,"4 Item Ledger Entry Type",$C$4,"2 Item No.","@@"&amp;$F772,"3 Posting Date",J$9)-NL("Sum","5802 Value Entry","43 Cost Amount (Actual)","41 Source Type",$C$5,"5 Source no.",$C772,"4 Item Ledger Entry Type",$C$4,"2 Item No.","@@"&amp;$F772,"3 Posting Date",J$9)</t>
  </si>
  <si>
    <t>=J772-L772</t>
  </si>
  <si>
    <t>=IF(J772&lt;&gt;0,M772/J772,"")</t>
  </si>
  <si>
    <t>=NL("Sum","5802 Value Entry","150 Sales Amount (Expected)","41 Source Type",$C$5,"5 Source No.",$C772,"4 Item Ledger Entry Type",$C$4,"2 Item No.","@@"&amp;$F772,"3 Posting Date",O$9)+NL("Sum","5802 Value Entry","17 Sales Amount (Actual)","41 Source Type",$C$5,"5 Source no.",$C772,"4 Item Ledger Entry Type",$C$4,"2 Item No.","@@"&amp;$F772,"3 Posting Date",O$9)</t>
  </si>
  <si>
    <t>=-NL("Sum","5802 Value Entry","151 Cost Amount (Expected)","41 Source Type",$C$5,"5 Source No.",$C772,"4 Item Ledger Entry Type",$C$4,"2 Item No.","@@"&amp;$F772,"3 Posting Date",O$9)-NL("Sum","5802 Value Entry","43 Cost Amount (Actual)","41 Source Type",$C$5,"5 Source no.",$C772,"4 Item Ledger Entry Type",$C$4,"2 Item No.","@@"&amp;$F772,"3 Posting Date",O$9)</t>
  </si>
  <si>
    <t>=O772-Q772</t>
  </si>
  <si>
    <t>=IF(O772&lt;&gt;0,R772/O772,"")</t>
  </si>
  <si>
    <t>=NL("Sum","5802 Value Entry","150 Sales Amount (Expected)","41 Source Type",$C$5,"5 Source No.",$C772,"4 Item Ledger Entry Type",$C$4,"2 Item No.","@@"&amp;$F772,"3 Posting Date",U$9)+NL("Sum","5802 Value Entry","17 Sales Amount (Actual)","41 Source Type",$C$5,"5 Source no.",$C772,"4 Item Ledger Entry Type",$C$4,"2 Item No.","@@"&amp;$F772,"3 Posting Date",U$9)</t>
  </si>
  <si>
    <t>=-NL("Sum","5802 Value Entry","151 Cost Amount (Expected)","41 Source Type",$C$5,"5 Source No.",$C772,"4 Item Ledger Entry Type",$C$4,"2 Item No.","@@"&amp;$F772,"3 Posting Date",U$9)-NL("Sum","5802 Value Entry","43 Cost Amount (Actual)","41 Source Type",$C$5,"5 Source no.",$C772,"4 Item Ledger Entry Type",$C$4,"2 Item No.","@@"&amp;$F772,"3 Posting Date",U$9)</t>
  </si>
  <si>
    <t>=U772-W772</t>
  </si>
  <si>
    <t>=IF(U772&lt;&gt;0,X772/U772,"")</t>
  </si>
  <si>
    <t>=NL("Sum","5802 Value Entry","150 Sales Amount (Expected)","41 Source Type",$C$5,"5 Source No.",$C772,"4 Item Ledger Entry Type",$C$4,"2 Item No.","@@"&amp;$F772,"3 Posting Date",Z$9)+NL("Sum","5802 Value Entry","17 Sales Amount (Actual)","41 Source Type",$C$5,"5 Source no.",$C772,"4 Item Ledger Entry Type",$C$4,"2 Item No.","@@"&amp;$F772,"3 Posting Date",Z$9)</t>
  </si>
  <si>
    <t>=-NL("Sum","5802 Value Entry","151 Cost Amount (Expected)","41 Source Type",$C$5,"5 Source No.",$C772,"4 Item Ledger Entry Type",$C$4,"2 Item No.","@@"&amp;$F772,"3 Posting Date",Z$9)-NL("Sum","5802 Value Entry","43 Cost Amount (Actual)","41 Source Type",$C$5,"5 Source no.",$C772,"4 Item Ledger Entry Type",$C$4,"2 Item No.","@@"&amp;$F772,"3 Posting Date",Z$9)</t>
  </si>
  <si>
    <t>=Z772-AB772</t>
  </si>
  <si>
    <t>=IF(Z772&lt;&gt;0,AC772/Z772,"")</t>
  </si>
  <si>
    <t>=C772</t>
  </si>
  <si>
    <t>=NL("Sum","5802 Value Entry","150 Sales Amount (Expected)","41 Source Type",$C$5,"5 Source No.",$C773,"4 Item Ledger Entry Type",$C$4,"2 Item No.","@@"&amp;$F773,"3 Posting Date",J$9)+NL("Sum","5802 Value Entry","17 Sales Amount (Actual)","41 Source Type",$C$5,"5 Source no.",$C773,"4 Item Ledger Entry Type",$C$4,"2 Item No.","@@"&amp;$F773,"3 Posting Date",J$9)</t>
  </si>
  <si>
    <t>=-NL("Sum","5802 Value Entry","151 Cost Amount (Expected)","41 Source Type",$C$5,"5 Source No.",$C773,"4 Item Ledger Entry Type",$C$4,"2 Item No.","@@"&amp;$F773,"3 Posting Date",J$9)-NL("Sum","5802 Value Entry","43 Cost Amount (Actual)","41 Source Type",$C$5,"5 Source no.",$C773,"4 Item Ledger Entry Type",$C$4,"2 Item No.","@@"&amp;$F773,"3 Posting Date",J$9)</t>
  </si>
  <si>
    <t>=J773-L773</t>
  </si>
  <si>
    <t>=IF(J773&lt;&gt;0,M773/J773,"")</t>
  </si>
  <si>
    <t>=NL("Sum","5802 Value Entry","150 Sales Amount (Expected)","41 Source Type",$C$5,"5 Source No.",$C773,"4 Item Ledger Entry Type",$C$4,"2 Item No.","@@"&amp;$F773,"3 Posting Date",O$9)+NL("Sum","5802 Value Entry","17 Sales Amount (Actual)","41 Source Type",$C$5,"5 Source no.",$C773,"4 Item Ledger Entry Type",$C$4,"2 Item No.","@@"&amp;$F773,"3 Posting Date",O$9)</t>
  </si>
  <si>
    <t>=-NL("Sum","5802 Value Entry","151 Cost Amount (Expected)","41 Source Type",$C$5,"5 Source No.",$C773,"4 Item Ledger Entry Type",$C$4,"2 Item No.","@@"&amp;$F773,"3 Posting Date",O$9)-NL("Sum","5802 Value Entry","43 Cost Amount (Actual)","41 Source Type",$C$5,"5 Source no.",$C773,"4 Item Ledger Entry Type",$C$4,"2 Item No.","@@"&amp;$F773,"3 Posting Date",O$9)</t>
  </si>
  <si>
    <t>=O773-Q773</t>
  </si>
  <si>
    <t>=IF(O773&lt;&gt;0,R773/O773,"")</t>
  </si>
  <si>
    <t>=NL("Sum","5802 Value Entry","150 Sales Amount (Expected)","41 Source Type",$C$5,"5 Source No.",$C773,"4 Item Ledger Entry Type",$C$4,"2 Item No.","@@"&amp;$F773,"3 Posting Date",U$9)+NL("Sum","5802 Value Entry","17 Sales Amount (Actual)","41 Source Type",$C$5,"5 Source no.",$C773,"4 Item Ledger Entry Type",$C$4,"2 Item No.","@@"&amp;$F773,"3 Posting Date",U$9)</t>
  </si>
  <si>
    <t>=-NL("Sum","5802 Value Entry","151 Cost Amount (Expected)","41 Source Type",$C$5,"5 Source No.",$C773,"4 Item Ledger Entry Type",$C$4,"2 Item No.","@@"&amp;$F773,"3 Posting Date",U$9)-NL("Sum","5802 Value Entry","43 Cost Amount (Actual)","41 Source Type",$C$5,"5 Source no.",$C773,"4 Item Ledger Entry Type",$C$4,"2 Item No.","@@"&amp;$F773,"3 Posting Date",U$9)</t>
  </si>
  <si>
    <t>=U773-W773</t>
  </si>
  <si>
    <t>=IF(U773&lt;&gt;0,X773/U773,"")</t>
  </si>
  <si>
    <t>=NL("Sum","5802 Value Entry","150 Sales Amount (Expected)","41 Source Type",$C$5,"5 Source No.",$C773,"4 Item Ledger Entry Type",$C$4,"2 Item No.","@@"&amp;$F773,"3 Posting Date",Z$9)+NL("Sum","5802 Value Entry","17 Sales Amount (Actual)","41 Source Type",$C$5,"5 Source no.",$C773,"4 Item Ledger Entry Type",$C$4,"2 Item No.","@@"&amp;$F773,"3 Posting Date",Z$9)</t>
  </si>
  <si>
    <t>=-NL("Sum","5802 Value Entry","151 Cost Amount (Expected)","41 Source Type",$C$5,"5 Source No.",$C773,"4 Item Ledger Entry Type",$C$4,"2 Item No.","@@"&amp;$F773,"3 Posting Date",Z$9)-NL("Sum","5802 Value Entry","43 Cost Amount (Actual)","41 Source Type",$C$5,"5 Source no.",$C773,"4 Item Ledger Entry Type",$C$4,"2 Item No.","@@"&amp;$F773,"3 Posting Date",Z$9)</t>
  </si>
  <si>
    <t>=Z773-AB773</t>
  </si>
  <si>
    <t>=IF(Z773&lt;&gt;0,AC773/Z773,"")</t>
  </si>
  <si>
    <t>=C773</t>
  </si>
  <si>
    <t>=NL("Sum","5802 Value Entry","150 Sales Amount (Expected)","41 Source Type",$C$5,"5 Source No.",$C774,"4 Item Ledger Entry Type",$C$4,"2 Item No.","@@"&amp;$F774,"3 Posting Date",J$9)+NL("Sum","5802 Value Entry","17 Sales Amount (Actual)","41 Source Type",$C$5,"5 Source no.",$C774,"4 Item Ledger Entry Type",$C$4,"2 Item No.","@@"&amp;$F774,"3 Posting Date",J$9)</t>
  </si>
  <si>
    <t>=-NL("Sum","5802 Value Entry","151 Cost Amount (Expected)","41 Source Type",$C$5,"5 Source No.",$C774,"4 Item Ledger Entry Type",$C$4,"2 Item No.","@@"&amp;$F774,"3 Posting Date",J$9)-NL("Sum","5802 Value Entry","43 Cost Amount (Actual)","41 Source Type",$C$5,"5 Source no.",$C774,"4 Item Ledger Entry Type",$C$4,"2 Item No.","@@"&amp;$F774,"3 Posting Date",J$9)</t>
  </si>
  <si>
    <t>=J774-L774</t>
  </si>
  <si>
    <t>=IF(J774&lt;&gt;0,M774/J774,"")</t>
  </si>
  <si>
    <t>=NL("Sum","5802 Value Entry","150 Sales Amount (Expected)","41 Source Type",$C$5,"5 Source No.",$C774,"4 Item Ledger Entry Type",$C$4,"2 Item No.","@@"&amp;$F774,"3 Posting Date",O$9)+NL("Sum","5802 Value Entry","17 Sales Amount (Actual)","41 Source Type",$C$5,"5 Source no.",$C774,"4 Item Ledger Entry Type",$C$4,"2 Item No.","@@"&amp;$F774,"3 Posting Date",O$9)</t>
  </si>
  <si>
    <t>=-NL("Sum","5802 Value Entry","151 Cost Amount (Expected)","41 Source Type",$C$5,"5 Source No.",$C774,"4 Item Ledger Entry Type",$C$4,"2 Item No.","@@"&amp;$F774,"3 Posting Date",O$9)-NL("Sum","5802 Value Entry","43 Cost Amount (Actual)","41 Source Type",$C$5,"5 Source no.",$C774,"4 Item Ledger Entry Type",$C$4,"2 Item No.","@@"&amp;$F774,"3 Posting Date",O$9)</t>
  </si>
  <si>
    <t>=O774-Q774</t>
  </si>
  <si>
    <t>=IF(O774&lt;&gt;0,R774/O774,"")</t>
  </si>
  <si>
    <t>=NL("Sum","5802 Value Entry","150 Sales Amount (Expected)","41 Source Type",$C$5,"5 Source No.",$C774,"4 Item Ledger Entry Type",$C$4,"2 Item No.","@@"&amp;$F774,"3 Posting Date",U$9)+NL("Sum","5802 Value Entry","17 Sales Amount (Actual)","41 Source Type",$C$5,"5 Source no.",$C774,"4 Item Ledger Entry Type",$C$4,"2 Item No.","@@"&amp;$F774,"3 Posting Date",U$9)</t>
  </si>
  <si>
    <t>=-NL("Sum","5802 Value Entry","151 Cost Amount (Expected)","41 Source Type",$C$5,"5 Source No.",$C774,"4 Item Ledger Entry Type",$C$4,"2 Item No.","@@"&amp;$F774,"3 Posting Date",U$9)-NL("Sum","5802 Value Entry","43 Cost Amount (Actual)","41 Source Type",$C$5,"5 Source no.",$C774,"4 Item Ledger Entry Type",$C$4,"2 Item No.","@@"&amp;$F774,"3 Posting Date",U$9)</t>
  </si>
  <si>
    <t>=U774-W774</t>
  </si>
  <si>
    <t>=IF(U774&lt;&gt;0,X774/U774,"")</t>
  </si>
  <si>
    <t>=NL("Sum","5802 Value Entry","150 Sales Amount (Expected)","41 Source Type",$C$5,"5 Source No.",$C774,"4 Item Ledger Entry Type",$C$4,"2 Item No.","@@"&amp;$F774,"3 Posting Date",Z$9)+NL("Sum","5802 Value Entry","17 Sales Amount (Actual)","41 Source Type",$C$5,"5 Source no.",$C774,"4 Item Ledger Entry Type",$C$4,"2 Item No.","@@"&amp;$F774,"3 Posting Date",Z$9)</t>
  </si>
  <si>
    <t>=-NL("Sum","5802 Value Entry","151 Cost Amount (Expected)","41 Source Type",$C$5,"5 Source No.",$C774,"4 Item Ledger Entry Type",$C$4,"2 Item No.","@@"&amp;$F774,"3 Posting Date",Z$9)-NL("Sum","5802 Value Entry","43 Cost Amount (Actual)","41 Source Type",$C$5,"5 Source no.",$C774,"4 Item Ledger Entry Type",$C$4,"2 Item No.","@@"&amp;$F774,"3 Posting Date",Z$9)</t>
  </si>
  <si>
    <t>=Z774-AB774</t>
  </si>
  <si>
    <t>=IF(Z774&lt;&gt;0,AC774/Z774,"")</t>
  </si>
  <si>
    <t>=C774</t>
  </si>
  <si>
    <t>=NL("Sum","5802 Value Entry","150 Sales Amount (Expected)","41 Source Type",$C$5,"5 Source No.",$C775,"4 Item Ledger Entry Type",$C$4,"2 Item No.","@@"&amp;$F775,"3 Posting Date",J$9)+NL("Sum","5802 Value Entry","17 Sales Amount (Actual)","41 Source Type",$C$5,"5 Source no.",$C775,"4 Item Ledger Entry Type",$C$4,"2 Item No.","@@"&amp;$F775,"3 Posting Date",J$9)</t>
  </si>
  <si>
    <t>=-NL("Sum","5802 Value Entry","151 Cost Amount (Expected)","41 Source Type",$C$5,"5 Source No.",$C775,"4 Item Ledger Entry Type",$C$4,"2 Item No.","@@"&amp;$F775,"3 Posting Date",J$9)-NL("Sum","5802 Value Entry","43 Cost Amount (Actual)","41 Source Type",$C$5,"5 Source no.",$C775,"4 Item Ledger Entry Type",$C$4,"2 Item No.","@@"&amp;$F775,"3 Posting Date",J$9)</t>
  </si>
  <si>
    <t>=J775-L775</t>
  </si>
  <si>
    <t>=IF(J775&lt;&gt;0,M775/J775,"")</t>
  </si>
  <si>
    <t>=NL("Sum","5802 Value Entry","150 Sales Amount (Expected)","41 Source Type",$C$5,"5 Source No.",$C775,"4 Item Ledger Entry Type",$C$4,"2 Item No.","@@"&amp;$F775,"3 Posting Date",O$9)+NL("Sum","5802 Value Entry","17 Sales Amount (Actual)","41 Source Type",$C$5,"5 Source no.",$C775,"4 Item Ledger Entry Type",$C$4,"2 Item No.","@@"&amp;$F775,"3 Posting Date",O$9)</t>
  </si>
  <si>
    <t>=-NL("Sum","5802 Value Entry","151 Cost Amount (Expected)","41 Source Type",$C$5,"5 Source No.",$C775,"4 Item Ledger Entry Type",$C$4,"2 Item No.","@@"&amp;$F775,"3 Posting Date",O$9)-NL("Sum","5802 Value Entry","43 Cost Amount (Actual)","41 Source Type",$C$5,"5 Source no.",$C775,"4 Item Ledger Entry Type",$C$4,"2 Item No.","@@"&amp;$F775,"3 Posting Date",O$9)</t>
  </si>
  <si>
    <t>=O775-Q775</t>
  </si>
  <si>
    <t>=IF(O775&lt;&gt;0,R775/O775,"")</t>
  </si>
  <si>
    <t>=NL("Sum","5802 Value Entry","150 Sales Amount (Expected)","41 Source Type",$C$5,"5 Source No.",$C775,"4 Item Ledger Entry Type",$C$4,"2 Item No.","@@"&amp;$F775,"3 Posting Date",U$9)+NL("Sum","5802 Value Entry","17 Sales Amount (Actual)","41 Source Type",$C$5,"5 Source no.",$C775,"4 Item Ledger Entry Type",$C$4,"2 Item No.","@@"&amp;$F775,"3 Posting Date",U$9)</t>
  </si>
  <si>
    <t>=-NL("Sum","5802 Value Entry","151 Cost Amount (Expected)","41 Source Type",$C$5,"5 Source No.",$C775,"4 Item Ledger Entry Type",$C$4,"2 Item No.","@@"&amp;$F775,"3 Posting Date",U$9)-NL("Sum","5802 Value Entry","43 Cost Amount (Actual)","41 Source Type",$C$5,"5 Source no.",$C775,"4 Item Ledger Entry Type",$C$4,"2 Item No.","@@"&amp;$F775,"3 Posting Date",U$9)</t>
  </si>
  <si>
    <t>=U775-W775</t>
  </si>
  <si>
    <t>=IF(U775&lt;&gt;0,X775/U775,"")</t>
  </si>
  <si>
    <t>=NL("Sum","5802 Value Entry","150 Sales Amount (Expected)","41 Source Type",$C$5,"5 Source No.",$C775,"4 Item Ledger Entry Type",$C$4,"2 Item No.","@@"&amp;$F775,"3 Posting Date",Z$9)+NL("Sum","5802 Value Entry","17 Sales Amount (Actual)","41 Source Type",$C$5,"5 Source no.",$C775,"4 Item Ledger Entry Type",$C$4,"2 Item No.","@@"&amp;$F775,"3 Posting Date",Z$9)</t>
  </si>
  <si>
    <t>=-NL("Sum","5802 Value Entry","151 Cost Amount (Expected)","41 Source Type",$C$5,"5 Source No.",$C775,"4 Item Ledger Entry Type",$C$4,"2 Item No.","@@"&amp;$F775,"3 Posting Date",Z$9)-NL("Sum","5802 Value Entry","43 Cost Amount (Actual)","41 Source Type",$C$5,"5 Source no.",$C775,"4 Item Ledger Entry Type",$C$4,"2 Item No.","@@"&amp;$F775,"3 Posting Date",Z$9)</t>
  </si>
  <si>
    <t>=Z775-AB775</t>
  </si>
  <si>
    <t>=IF(Z775&lt;&gt;0,AC775/Z775,"")</t>
  </si>
  <si>
    <t>=C775</t>
  </si>
  <si>
    <t>=NL("Sum","5802 Value Entry","150 Sales Amount (Expected)","41 Source Type",$C$5,"5 Source No.",$C776,"4 Item Ledger Entry Type",$C$4,"2 Item No.","@@"&amp;$F776,"3 Posting Date",J$9)+NL("Sum","5802 Value Entry","17 Sales Amount (Actual)","41 Source Type",$C$5,"5 Source no.",$C776,"4 Item Ledger Entry Type",$C$4,"2 Item No.","@@"&amp;$F776,"3 Posting Date",J$9)</t>
  </si>
  <si>
    <t>=-NL("Sum","5802 Value Entry","151 Cost Amount (Expected)","41 Source Type",$C$5,"5 Source No.",$C776,"4 Item Ledger Entry Type",$C$4,"2 Item No.","@@"&amp;$F776,"3 Posting Date",J$9)-NL("Sum","5802 Value Entry","43 Cost Amount (Actual)","41 Source Type",$C$5,"5 Source no.",$C776,"4 Item Ledger Entry Type",$C$4,"2 Item No.","@@"&amp;$F776,"3 Posting Date",J$9)</t>
  </si>
  <si>
    <t>=J776-L776</t>
  </si>
  <si>
    <t>=IF(J776&lt;&gt;0,M776/J776,"")</t>
  </si>
  <si>
    <t>=NL("Sum","5802 Value Entry","150 Sales Amount (Expected)","41 Source Type",$C$5,"5 Source No.",$C776,"4 Item Ledger Entry Type",$C$4,"2 Item No.","@@"&amp;$F776,"3 Posting Date",O$9)+NL("Sum","5802 Value Entry","17 Sales Amount (Actual)","41 Source Type",$C$5,"5 Source no.",$C776,"4 Item Ledger Entry Type",$C$4,"2 Item No.","@@"&amp;$F776,"3 Posting Date",O$9)</t>
  </si>
  <si>
    <t>=-NL("Sum","5802 Value Entry","151 Cost Amount (Expected)","41 Source Type",$C$5,"5 Source No.",$C776,"4 Item Ledger Entry Type",$C$4,"2 Item No.","@@"&amp;$F776,"3 Posting Date",O$9)-NL("Sum","5802 Value Entry","43 Cost Amount (Actual)","41 Source Type",$C$5,"5 Source no.",$C776,"4 Item Ledger Entry Type",$C$4,"2 Item No.","@@"&amp;$F776,"3 Posting Date",O$9)</t>
  </si>
  <si>
    <t>=O776-Q776</t>
  </si>
  <si>
    <t>=IF(O776&lt;&gt;0,R776/O776,"")</t>
  </si>
  <si>
    <t>=NL("Sum","5802 Value Entry","150 Sales Amount (Expected)","41 Source Type",$C$5,"5 Source No.",$C776,"4 Item Ledger Entry Type",$C$4,"2 Item No.","@@"&amp;$F776,"3 Posting Date",U$9)+NL("Sum","5802 Value Entry","17 Sales Amount (Actual)","41 Source Type",$C$5,"5 Source no.",$C776,"4 Item Ledger Entry Type",$C$4,"2 Item No.","@@"&amp;$F776,"3 Posting Date",U$9)</t>
  </si>
  <si>
    <t>=-NL("Sum","5802 Value Entry","151 Cost Amount (Expected)","41 Source Type",$C$5,"5 Source No.",$C776,"4 Item Ledger Entry Type",$C$4,"2 Item No.","@@"&amp;$F776,"3 Posting Date",U$9)-NL("Sum","5802 Value Entry","43 Cost Amount (Actual)","41 Source Type",$C$5,"5 Source no.",$C776,"4 Item Ledger Entry Type",$C$4,"2 Item No.","@@"&amp;$F776,"3 Posting Date",U$9)</t>
  </si>
  <si>
    <t>=U776-W776</t>
  </si>
  <si>
    <t>=IF(U776&lt;&gt;0,X776/U776,"")</t>
  </si>
  <si>
    <t>=NL("Sum","5802 Value Entry","150 Sales Amount (Expected)","41 Source Type",$C$5,"5 Source No.",$C776,"4 Item Ledger Entry Type",$C$4,"2 Item No.","@@"&amp;$F776,"3 Posting Date",Z$9)+NL("Sum","5802 Value Entry","17 Sales Amount (Actual)","41 Source Type",$C$5,"5 Source no.",$C776,"4 Item Ledger Entry Type",$C$4,"2 Item No.","@@"&amp;$F776,"3 Posting Date",Z$9)</t>
  </si>
  <si>
    <t>=-NL("Sum","5802 Value Entry","151 Cost Amount (Expected)","41 Source Type",$C$5,"5 Source No.",$C776,"4 Item Ledger Entry Type",$C$4,"2 Item No.","@@"&amp;$F776,"3 Posting Date",Z$9)-NL("Sum","5802 Value Entry","43 Cost Amount (Actual)","41 Source Type",$C$5,"5 Source no.",$C776,"4 Item Ledger Entry Type",$C$4,"2 Item No.","@@"&amp;$F776,"3 Posting Date",Z$9)</t>
  </si>
  <si>
    <t>=Z776-AB776</t>
  </si>
  <si>
    <t>=IF(Z776&lt;&gt;0,AC776/Z776,"")</t>
  </si>
  <si>
    <t>=C776</t>
  </si>
  <si>
    <t>=NL("Sum","5802 Value Entry","150 Sales Amount (Expected)","41 Source Type",$C$5,"5 Source No.",$C777,"4 Item Ledger Entry Type",$C$4,"2 Item No.","@@"&amp;$F777,"3 Posting Date",J$9)+NL("Sum","5802 Value Entry","17 Sales Amount (Actual)","41 Source Type",$C$5,"5 Source no.",$C777,"4 Item Ledger Entry Type",$C$4,"2 Item No.","@@"&amp;$F777,"3 Posting Date",J$9)</t>
  </si>
  <si>
    <t>=-NL("Sum","5802 Value Entry","151 Cost Amount (Expected)","41 Source Type",$C$5,"5 Source No.",$C777,"4 Item Ledger Entry Type",$C$4,"2 Item No.","@@"&amp;$F777,"3 Posting Date",J$9)-NL("Sum","5802 Value Entry","43 Cost Amount (Actual)","41 Source Type",$C$5,"5 Source no.",$C777,"4 Item Ledger Entry Type",$C$4,"2 Item No.","@@"&amp;$F777,"3 Posting Date",J$9)</t>
  </si>
  <si>
    <t>=J777-L777</t>
  </si>
  <si>
    <t>=IF(J777&lt;&gt;0,M777/J777,"")</t>
  </si>
  <si>
    <t>=NL("Sum","5802 Value Entry","150 Sales Amount (Expected)","41 Source Type",$C$5,"5 Source No.",$C777,"4 Item Ledger Entry Type",$C$4,"2 Item No.","@@"&amp;$F777,"3 Posting Date",O$9)+NL("Sum","5802 Value Entry","17 Sales Amount (Actual)","41 Source Type",$C$5,"5 Source no.",$C777,"4 Item Ledger Entry Type",$C$4,"2 Item No.","@@"&amp;$F777,"3 Posting Date",O$9)</t>
  </si>
  <si>
    <t>=-NL("Sum","5802 Value Entry","151 Cost Amount (Expected)","41 Source Type",$C$5,"5 Source No.",$C777,"4 Item Ledger Entry Type",$C$4,"2 Item No.","@@"&amp;$F777,"3 Posting Date",O$9)-NL("Sum","5802 Value Entry","43 Cost Amount (Actual)","41 Source Type",$C$5,"5 Source no.",$C777,"4 Item Ledger Entry Type",$C$4,"2 Item No.","@@"&amp;$F777,"3 Posting Date",O$9)</t>
  </si>
  <si>
    <t>=O777-Q777</t>
  </si>
  <si>
    <t>=IF(O777&lt;&gt;0,R777/O777,"")</t>
  </si>
  <si>
    <t>=NL("Sum","5802 Value Entry","150 Sales Amount (Expected)","41 Source Type",$C$5,"5 Source No.",$C777,"4 Item Ledger Entry Type",$C$4,"2 Item No.","@@"&amp;$F777,"3 Posting Date",U$9)+NL("Sum","5802 Value Entry","17 Sales Amount (Actual)","41 Source Type",$C$5,"5 Source no.",$C777,"4 Item Ledger Entry Type",$C$4,"2 Item No.","@@"&amp;$F777,"3 Posting Date",U$9)</t>
  </si>
  <si>
    <t>=-NL("Sum","5802 Value Entry","151 Cost Amount (Expected)","41 Source Type",$C$5,"5 Source No.",$C777,"4 Item Ledger Entry Type",$C$4,"2 Item No.","@@"&amp;$F777,"3 Posting Date",U$9)-NL("Sum","5802 Value Entry","43 Cost Amount (Actual)","41 Source Type",$C$5,"5 Source no.",$C777,"4 Item Ledger Entry Type",$C$4,"2 Item No.","@@"&amp;$F777,"3 Posting Date",U$9)</t>
  </si>
  <si>
    <t>=U777-W777</t>
  </si>
  <si>
    <t>=IF(U777&lt;&gt;0,X777/U777,"")</t>
  </si>
  <si>
    <t>=NL("Sum","5802 Value Entry","150 Sales Amount (Expected)","41 Source Type",$C$5,"5 Source No.",$C777,"4 Item Ledger Entry Type",$C$4,"2 Item No.","@@"&amp;$F777,"3 Posting Date",Z$9)+NL("Sum","5802 Value Entry","17 Sales Amount (Actual)","41 Source Type",$C$5,"5 Source no.",$C777,"4 Item Ledger Entry Type",$C$4,"2 Item No.","@@"&amp;$F777,"3 Posting Date",Z$9)</t>
  </si>
  <si>
    <t>=-NL("Sum","5802 Value Entry","151 Cost Amount (Expected)","41 Source Type",$C$5,"5 Source No.",$C777,"4 Item Ledger Entry Type",$C$4,"2 Item No.","@@"&amp;$F777,"3 Posting Date",Z$9)-NL("Sum","5802 Value Entry","43 Cost Amount (Actual)","41 Source Type",$C$5,"5 Source no.",$C777,"4 Item Ledger Entry Type",$C$4,"2 Item No.","@@"&amp;$F777,"3 Posting Date",Z$9)</t>
  </si>
  <si>
    <t>=Z777-AB777</t>
  </si>
  <si>
    <t>=IF(Z777&lt;&gt;0,AC777/Z777,"")</t>
  </si>
  <si>
    <t>=C777</t>
  </si>
  <si>
    <t>=NL("Sum","5802 Value Entry","150 Sales Amount (Expected)","41 Source Type",$C$5,"5 Source No.",$C778,"4 Item Ledger Entry Type",$C$4,"2 Item No.","@@"&amp;$F778,"3 Posting Date",J$9)+NL("Sum","5802 Value Entry","17 Sales Amount (Actual)","41 Source Type",$C$5,"5 Source no.",$C778,"4 Item Ledger Entry Type",$C$4,"2 Item No.","@@"&amp;$F778,"3 Posting Date",J$9)</t>
  </si>
  <si>
    <t>=-NL("Sum","5802 Value Entry","151 Cost Amount (Expected)","41 Source Type",$C$5,"5 Source No.",$C778,"4 Item Ledger Entry Type",$C$4,"2 Item No.","@@"&amp;$F778,"3 Posting Date",J$9)-NL("Sum","5802 Value Entry","43 Cost Amount (Actual)","41 Source Type",$C$5,"5 Source no.",$C778,"4 Item Ledger Entry Type",$C$4,"2 Item No.","@@"&amp;$F778,"3 Posting Date",J$9)</t>
  </si>
  <si>
    <t>=J778-L778</t>
  </si>
  <si>
    <t>=IF(J778&lt;&gt;0,M778/J778,"")</t>
  </si>
  <si>
    <t>=NL("Sum","5802 Value Entry","150 Sales Amount (Expected)","41 Source Type",$C$5,"5 Source No.",$C778,"4 Item Ledger Entry Type",$C$4,"2 Item No.","@@"&amp;$F778,"3 Posting Date",O$9)+NL("Sum","5802 Value Entry","17 Sales Amount (Actual)","41 Source Type",$C$5,"5 Source no.",$C778,"4 Item Ledger Entry Type",$C$4,"2 Item No.","@@"&amp;$F778,"3 Posting Date",O$9)</t>
  </si>
  <si>
    <t>=-NL("Sum","5802 Value Entry","151 Cost Amount (Expected)","41 Source Type",$C$5,"5 Source No.",$C778,"4 Item Ledger Entry Type",$C$4,"2 Item No.","@@"&amp;$F778,"3 Posting Date",O$9)-NL("Sum","5802 Value Entry","43 Cost Amount (Actual)","41 Source Type",$C$5,"5 Source no.",$C778,"4 Item Ledger Entry Type",$C$4,"2 Item No.","@@"&amp;$F778,"3 Posting Date",O$9)</t>
  </si>
  <si>
    <t>=O778-Q778</t>
  </si>
  <si>
    <t>=IF(O778&lt;&gt;0,R778/O778,"")</t>
  </si>
  <si>
    <t>=NL("Sum","5802 Value Entry","150 Sales Amount (Expected)","41 Source Type",$C$5,"5 Source No.",$C778,"4 Item Ledger Entry Type",$C$4,"2 Item No.","@@"&amp;$F778,"3 Posting Date",U$9)+NL("Sum","5802 Value Entry","17 Sales Amount (Actual)","41 Source Type",$C$5,"5 Source no.",$C778,"4 Item Ledger Entry Type",$C$4,"2 Item No.","@@"&amp;$F778,"3 Posting Date",U$9)</t>
  </si>
  <si>
    <t>=-NL("Sum","5802 Value Entry","151 Cost Amount (Expected)","41 Source Type",$C$5,"5 Source No.",$C778,"4 Item Ledger Entry Type",$C$4,"2 Item No.","@@"&amp;$F778,"3 Posting Date",U$9)-NL("Sum","5802 Value Entry","43 Cost Amount (Actual)","41 Source Type",$C$5,"5 Source no.",$C778,"4 Item Ledger Entry Type",$C$4,"2 Item No.","@@"&amp;$F778,"3 Posting Date",U$9)</t>
  </si>
  <si>
    <t>=U778-W778</t>
  </si>
  <si>
    <t>=IF(U778&lt;&gt;0,X778/U778,"")</t>
  </si>
  <si>
    <t>=NL("Sum","5802 Value Entry","150 Sales Amount (Expected)","41 Source Type",$C$5,"5 Source No.",$C778,"4 Item Ledger Entry Type",$C$4,"2 Item No.","@@"&amp;$F778,"3 Posting Date",Z$9)+NL("Sum","5802 Value Entry","17 Sales Amount (Actual)","41 Source Type",$C$5,"5 Source no.",$C778,"4 Item Ledger Entry Type",$C$4,"2 Item No.","@@"&amp;$F778,"3 Posting Date",Z$9)</t>
  </si>
  <si>
    <t>=-NL("Sum","5802 Value Entry","151 Cost Amount (Expected)","41 Source Type",$C$5,"5 Source No.",$C778,"4 Item Ledger Entry Type",$C$4,"2 Item No.","@@"&amp;$F778,"3 Posting Date",Z$9)-NL("Sum","5802 Value Entry","43 Cost Amount (Actual)","41 Source Type",$C$5,"5 Source no.",$C778,"4 Item Ledger Entry Type",$C$4,"2 Item No.","@@"&amp;$F778,"3 Posting Date",Z$9)</t>
  </si>
  <si>
    <t>=Z778-AB778</t>
  </si>
  <si>
    <t>=IF(Z778&lt;&gt;0,AC778/Z778,"")</t>
  </si>
  <si>
    <t>=C778</t>
  </si>
  <si>
    <t>=NL("Sum","5802 Value Entry","150 Sales Amount (Expected)","41 Source Type",$C$5,"5 Source No.",$C779,"4 Item Ledger Entry Type",$C$4,"2 Item No.","@@"&amp;$F779,"3 Posting Date",J$9)+NL("Sum","5802 Value Entry","17 Sales Amount (Actual)","41 Source Type",$C$5,"5 Source no.",$C779,"4 Item Ledger Entry Type",$C$4,"2 Item No.","@@"&amp;$F779,"3 Posting Date",J$9)</t>
  </si>
  <si>
    <t>=-NL("Sum","5802 Value Entry","151 Cost Amount (Expected)","41 Source Type",$C$5,"5 Source No.",$C779,"4 Item Ledger Entry Type",$C$4,"2 Item No.","@@"&amp;$F779,"3 Posting Date",J$9)-NL("Sum","5802 Value Entry","43 Cost Amount (Actual)","41 Source Type",$C$5,"5 Source no.",$C779,"4 Item Ledger Entry Type",$C$4,"2 Item No.","@@"&amp;$F779,"3 Posting Date",J$9)</t>
  </si>
  <si>
    <t>=J779-L779</t>
  </si>
  <si>
    <t>=IF(J779&lt;&gt;0,M779/J779,"")</t>
  </si>
  <si>
    <t>=NL("Sum","5802 Value Entry","150 Sales Amount (Expected)","41 Source Type",$C$5,"5 Source No.",$C779,"4 Item Ledger Entry Type",$C$4,"2 Item No.","@@"&amp;$F779,"3 Posting Date",O$9)+NL("Sum","5802 Value Entry","17 Sales Amount (Actual)","41 Source Type",$C$5,"5 Source no.",$C779,"4 Item Ledger Entry Type",$C$4,"2 Item No.","@@"&amp;$F779,"3 Posting Date",O$9)</t>
  </si>
  <si>
    <t>=-NL("Sum","5802 Value Entry","151 Cost Amount (Expected)","41 Source Type",$C$5,"5 Source No.",$C779,"4 Item Ledger Entry Type",$C$4,"2 Item No.","@@"&amp;$F779,"3 Posting Date",O$9)-NL("Sum","5802 Value Entry","43 Cost Amount (Actual)","41 Source Type",$C$5,"5 Source no.",$C779,"4 Item Ledger Entry Type",$C$4,"2 Item No.","@@"&amp;$F779,"3 Posting Date",O$9)</t>
  </si>
  <si>
    <t>=O779-Q779</t>
  </si>
  <si>
    <t>=IF(O779&lt;&gt;0,R779/O779,"")</t>
  </si>
  <si>
    <t>=NL("Sum","5802 Value Entry","150 Sales Amount (Expected)","41 Source Type",$C$5,"5 Source No.",$C779,"4 Item Ledger Entry Type",$C$4,"2 Item No.","@@"&amp;$F779,"3 Posting Date",U$9)+NL("Sum","5802 Value Entry","17 Sales Amount (Actual)","41 Source Type",$C$5,"5 Source no.",$C779,"4 Item Ledger Entry Type",$C$4,"2 Item No.","@@"&amp;$F779,"3 Posting Date",U$9)</t>
  </si>
  <si>
    <t>=-NL("Sum","5802 Value Entry","151 Cost Amount (Expected)","41 Source Type",$C$5,"5 Source No.",$C779,"4 Item Ledger Entry Type",$C$4,"2 Item No.","@@"&amp;$F779,"3 Posting Date",U$9)-NL("Sum","5802 Value Entry","43 Cost Amount (Actual)","41 Source Type",$C$5,"5 Source no.",$C779,"4 Item Ledger Entry Type",$C$4,"2 Item No.","@@"&amp;$F779,"3 Posting Date",U$9)</t>
  </si>
  <si>
    <t>=U779-W779</t>
  </si>
  <si>
    <t>=IF(U779&lt;&gt;0,X779/U779,"")</t>
  </si>
  <si>
    <t>=NL("Sum","5802 Value Entry","150 Sales Amount (Expected)","41 Source Type",$C$5,"5 Source No.",$C779,"4 Item Ledger Entry Type",$C$4,"2 Item No.","@@"&amp;$F779,"3 Posting Date",Z$9)+NL("Sum","5802 Value Entry","17 Sales Amount (Actual)","41 Source Type",$C$5,"5 Source no.",$C779,"4 Item Ledger Entry Type",$C$4,"2 Item No.","@@"&amp;$F779,"3 Posting Date",Z$9)</t>
  </si>
  <si>
    <t>=-NL("Sum","5802 Value Entry","151 Cost Amount (Expected)","41 Source Type",$C$5,"5 Source No.",$C779,"4 Item Ledger Entry Type",$C$4,"2 Item No.","@@"&amp;$F779,"3 Posting Date",Z$9)-NL("Sum","5802 Value Entry","43 Cost Amount (Actual)","41 Source Type",$C$5,"5 Source no.",$C779,"4 Item Ledger Entry Type",$C$4,"2 Item No.","@@"&amp;$F779,"3 Posting Date",Z$9)</t>
  </si>
  <si>
    <t>=Z779-AB779</t>
  </si>
  <si>
    <t>=IF(Z779&lt;&gt;0,AC779/Z779,"")</t>
  </si>
  <si>
    <t>=C779</t>
  </si>
  <si>
    <t>=NL("Sum","5802 Value Entry","150 Sales Amount (Expected)","41 Source Type",$C$5,"5 Source No.",$C780,"4 Item Ledger Entry Type",$C$4,"2 Item No.","@@"&amp;$F780,"3 Posting Date",J$9)+NL("Sum","5802 Value Entry","17 Sales Amount (Actual)","41 Source Type",$C$5,"5 Source no.",$C780,"4 Item Ledger Entry Type",$C$4,"2 Item No.","@@"&amp;$F780,"3 Posting Date",J$9)</t>
  </si>
  <si>
    <t>=-NL("Sum","5802 Value Entry","151 Cost Amount (Expected)","41 Source Type",$C$5,"5 Source No.",$C780,"4 Item Ledger Entry Type",$C$4,"2 Item No.","@@"&amp;$F780,"3 Posting Date",J$9)-NL("Sum","5802 Value Entry","43 Cost Amount (Actual)","41 Source Type",$C$5,"5 Source no.",$C780,"4 Item Ledger Entry Type",$C$4,"2 Item No.","@@"&amp;$F780,"3 Posting Date",J$9)</t>
  </si>
  <si>
    <t>=J780-L780</t>
  </si>
  <si>
    <t>=IF(J780&lt;&gt;0,M780/J780,"")</t>
  </si>
  <si>
    <t>=NL("Sum","5802 Value Entry","150 Sales Amount (Expected)","41 Source Type",$C$5,"5 Source No.",$C780,"4 Item Ledger Entry Type",$C$4,"2 Item No.","@@"&amp;$F780,"3 Posting Date",O$9)+NL("Sum","5802 Value Entry","17 Sales Amount (Actual)","41 Source Type",$C$5,"5 Source no.",$C780,"4 Item Ledger Entry Type",$C$4,"2 Item No.","@@"&amp;$F780,"3 Posting Date",O$9)</t>
  </si>
  <si>
    <t>=-NL("Sum","5802 Value Entry","151 Cost Amount (Expected)","41 Source Type",$C$5,"5 Source No.",$C780,"4 Item Ledger Entry Type",$C$4,"2 Item No.","@@"&amp;$F780,"3 Posting Date",O$9)-NL("Sum","5802 Value Entry","43 Cost Amount (Actual)","41 Source Type",$C$5,"5 Source no.",$C780,"4 Item Ledger Entry Type",$C$4,"2 Item No.","@@"&amp;$F780,"3 Posting Date",O$9)</t>
  </si>
  <si>
    <t>=O780-Q780</t>
  </si>
  <si>
    <t>=IF(O780&lt;&gt;0,R780/O780,"")</t>
  </si>
  <si>
    <t>=NL("Sum","5802 Value Entry","150 Sales Amount (Expected)","41 Source Type",$C$5,"5 Source No.",$C780,"4 Item Ledger Entry Type",$C$4,"2 Item No.","@@"&amp;$F780,"3 Posting Date",U$9)+NL("Sum","5802 Value Entry","17 Sales Amount (Actual)","41 Source Type",$C$5,"5 Source no.",$C780,"4 Item Ledger Entry Type",$C$4,"2 Item No.","@@"&amp;$F780,"3 Posting Date",U$9)</t>
  </si>
  <si>
    <t>=-NL("Sum","5802 Value Entry","151 Cost Amount (Expected)","41 Source Type",$C$5,"5 Source No.",$C780,"4 Item Ledger Entry Type",$C$4,"2 Item No.","@@"&amp;$F780,"3 Posting Date",U$9)-NL("Sum","5802 Value Entry","43 Cost Amount (Actual)","41 Source Type",$C$5,"5 Source no.",$C780,"4 Item Ledger Entry Type",$C$4,"2 Item No.","@@"&amp;$F780,"3 Posting Date",U$9)</t>
  </si>
  <si>
    <t>=U780-W780</t>
  </si>
  <si>
    <t>=IF(U780&lt;&gt;0,X780/U780,"")</t>
  </si>
  <si>
    <t>=NL("Sum","5802 Value Entry","150 Sales Amount (Expected)","41 Source Type",$C$5,"5 Source No.",$C780,"4 Item Ledger Entry Type",$C$4,"2 Item No.","@@"&amp;$F780,"3 Posting Date",Z$9)+NL("Sum","5802 Value Entry","17 Sales Amount (Actual)","41 Source Type",$C$5,"5 Source no.",$C780,"4 Item Ledger Entry Type",$C$4,"2 Item No.","@@"&amp;$F780,"3 Posting Date",Z$9)</t>
  </si>
  <si>
    <t>=-NL("Sum","5802 Value Entry","151 Cost Amount (Expected)","41 Source Type",$C$5,"5 Source No.",$C780,"4 Item Ledger Entry Type",$C$4,"2 Item No.","@@"&amp;$F780,"3 Posting Date",Z$9)-NL("Sum","5802 Value Entry","43 Cost Amount (Actual)","41 Source Type",$C$5,"5 Source no.",$C780,"4 Item Ledger Entry Type",$C$4,"2 Item No.","@@"&amp;$F780,"3 Posting Date",Z$9)</t>
  </si>
  <si>
    <t>=Z780-AB780</t>
  </si>
  <si>
    <t>=IF(Z780&lt;&gt;0,AC780/Z780,"")</t>
  </si>
  <si>
    <t>=C780</t>
  </si>
  <si>
    <t>=NL("Sum","5802 Value Entry","150 Sales Amount (Expected)","41 Source Type",$C$5,"5 Source No.",$C781,"4 Item Ledger Entry Type",$C$4,"2 Item No.","@@"&amp;$F781,"3 Posting Date",J$9)+NL("Sum","5802 Value Entry","17 Sales Amount (Actual)","41 Source Type",$C$5,"5 Source no.",$C781,"4 Item Ledger Entry Type",$C$4,"2 Item No.","@@"&amp;$F781,"3 Posting Date",J$9)</t>
  </si>
  <si>
    <t>=-NL("Sum","5802 Value Entry","151 Cost Amount (Expected)","41 Source Type",$C$5,"5 Source No.",$C781,"4 Item Ledger Entry Type",$C$4,"2 Item No.","@@"&amp;$F781,"3 Posting Date",J$9)-NL("Sum","5802 Value Entry","43 Cost Amount (Actual)","41 Source Type",$C$5,"5 Source no.",$C781,"4 Item Ledger Entry Type",$C$4,"2 Item No.","@@"&amp;$F781,"3 Posting Date",J$9)</t>
  </si>
  <si>
    <t>=J781-L781</t>
  </si>
  <si>
    <t>=IF(J781&lt;&gt;0,M781/J781,"")</t>
  </si>
  <si>
    <t>=NL("Sum","5802 Value Entry","150 Sales Amount (Expected)","41 Source Type",$C$5,"5 Source No.",$C781,"4 Item Ledger Entry Type",$C$4,"2 Item No.","@@"&amp;$F781,"3 Posting Date",O$9)+NL("Sum","5802 Value Entry","17 Sales Amount (Actual)","41 Source Type",$C$5,"5 Source no.",$C781,"4 Item Ledger Entry Type",$C$4,"2 Item No.","@@"&amp;$F781,"3 Posting Date",O$9)</t>
  </si>
  <si>
    <t>=-NL("Sum","5802 Value Entry","151 Cost Amount (Expected)","41 Source Type",$C$5,"5 Source No.",$C781,"4 Item Ledger Entry Type",$C$4,"2 Item No.","@@"&amp;$F781,"3 Posting Date",O$9)-NL("Sum","5802 Value Entry","43 Cost Amount (Actual)","41 Source Type",$C$5,"5 Source no.",$C781,"4 Item Ledger Entry Type",$C$4,"2 Item No.","@@"&amp;$F781,"3 Posting Date",O$9)</t>
  </si>
  <si>
    <t>=O781-Q781</t>
  </si>
  <si>
    <t>=IF(O781&lt;&gt;0,R781/O781,"")</t>
  </si>
  <si>
    <t>=NL("Sum","5802 Value Entry","150 Sales Amount (Expected)","41 Source Type",$C$5,"5 Source No.",$C781,"4 Item Ledger Entry Type",$C$4,"2 Item No.","@@"&amp;$F781,"3 Posting Date",U$9)+NL("Sum","5802 Value Entry","17 Sales Amount (Actual)","41 Source Type",$C$5,"5 Source no.",$C781,"4 Item Ledger Entry Type",$C$4,"2 Item No.","@@"&amp;$F781,"3 Posting Date",U$9)</t>
  </si>
  <si>
    <t>=-NL("Sum","5802 Value Entry","151 Cost Amount (Expected)","41 Source Type",$C$5,"5 Source No.",$C781,"4 Item Ledger Entry Type",$C$4,"2 Item No.","@@"&amp;$F781,"3 Posting Date",U$9)-NL("Sum","5802 Value Entry","43 Cost Amount (Actual)","41 Source Type",$C$5,"5 Source no.",$C781,"4 Item Ledger Entry Type",$C$4,"2 Item No.","@@"&amp;$F781,"3 Posting Date",U$9)</t>
  </si>
  <si>
    <t>=U781-W781</t>
  </si>
  <si>
    <t>=IF(U781&lt;&gt;0,X781/U781,"")</t>
  </si>
  <si>
    <t>=NL("Sum","5802 Value Entry","150 Sales Amount (Expected)","41 Source Type",$C$5,"5 Source No.",$C781,"4 Item Ledger Entry Type",$C$4,"2 Item No.","@@"&amp;$F781,"3 Posting Date",Z$9)+NL("Sum","5802 Value Entry","17 Sales Amount (Actual)","41 Source Type",$C$5,"5 Source no.",$C781,"4 Item Ledger Entry Type",$C$4,"2 Item No.","@@"&amp;$F781,"3 Posting Date",Z$9)</t>
  </si>
  <si>
    <t>=-NL("Sum","5802 Value Entry","151 Cost Amount (Expected)","41 Source Type",$C$5,"5 Source No.",$C781,"4 Item Ledger Entry Type",$C$4,"2 Item No.","@@"&amp;$F781,"3 Posting Date",Z$9)-NL("Sum","5802 Value Entry","43 Cost Amount (Actual)","41 Source Type",$C$5,"5 Source no.",$C781,"4 Item Ledger Entry Type",$C$4,"2 Item No.","@@"&amp;$F781,"3 Posting Date",Z$9)</t>
  </si>
  <si>
    <t>=Z781-AB781</t>
  </si>
  <si>
    <t>=IF(Z781&lt;&gt;0,AC781/Z781,"")</t>
  </si>
  <si>
    <t>=C781</t>
  </si>
  <si>
    <t>=NL("Sum","5802 Value Entry","150 Sales Amount (Expected)","41 Source Type",$C$5,"5 Source No.",$C782,"4 Item Ledger Entry Type",$C$4,"2 Item No.","@@"&amp;$F782,"3 Posting Date",J$9)+NL("Sum","5802 Value Entry","17 Sales Amount (Actual)","41 Source Type",$C$5,"5 Source no.",$C782,"4 Item Ledger Entry Type",$C$4,"2 Item No.","@@"&amp;$F782,"3 Posting Date",J$9)</t>
  </si>
  <si>
    <t>=-NL("Sum","5802 Value Entry","151 Cost Amount (Expected)","41 Source Type",$C$5,"5 Source No.",$C782,"4 Item Ledger Entry Type",$C$4,"2 Item No.","@@"&amp;$F782,"3 Posting Date",J$9)-NL("Sum","5802 Value Entry","43 Cost Amount (Actual)","41 Source Type",$C$5,"5 Source no.",$C782,"4 Item Ledger Entry Type",$C$4,"2 Item No.","@@"&amp;$F782,"3 Posting Date",J$9)</t>
  </si>
  <si>
    <t>=J782-L782</t>
  </si>
  <si>
    <t>=IF(J782&lt;&gt;0,M782/J782,"")</t>
  </si>
  <si>
    <t>=NL("Sum","5802 Value Entry","150 Sales Amount (Expected)","41 Source Type",$C$5,"5 Source No.",$C782,"4 Item Ledger Entry Type",$C$4,"2 Item No.","@@"&amp;$F782,"3 Posting Date",O$9)+NL("Sum","5802 Value Entry","17 Sales Amount (Actual)","41 Source Type",$C$5,"5 Source no.",$C782,"4 Item Ledger Entry Type",$C$4,"2 Item No.","@@"&amp;$F782,"3 Posting Date",O$9)</t>
  </si>
  <si>
    <t>=-NL("Sum","5802 Value Entry","151 Cost Amount (Expected)","41 Source Type",$C$5,"5 Source No.",$C782,"4 Item Ledger Entry Type",$C$4,"2 Item No.","@@"&amp;$F782,"3 Posting Date",O$9)-NL("Sum","5802 Value Entry","43 Cost Amount (Actual)","41 Source Type",$C$5,"5 Source no.",$C782,"4 Item Ledger Entry Type",$C$4,"2 Item No.","@@"&amp;$F782,"3 Posting Date",O$9)</t>
  </si>
  <si>
    <t>=O782-Q782</t>
  </si>
  <si>
    <t>=IF(O782&lt;&gt;0,R782/O782,"")</t>
  </si>
  <si>
    <t>=NL("Sum","5802 Value Entry","150 Sales Amount (Expected)","41 Source Type",$C$5,"5 Source No.",$C782,"4 Item Ledger Entry Type",$C$4,"2 Item No.","@@"&amp;$F782,"3 Posting Date",U$9)+NL("Sum","5802 Value Entry","17 Sales Amount (Actual)","41 Source Type",$C$5,"5 Source no.",$C782,"4 Item Ledger Entry Type",$C$4,"2 Item No.","@@"&amp;$F782,"3 Posting Date",U$9)</t>
  </si>
  <si>
    <t>=-NL("Sum","5802 Value Entry","151 Cost Amount (Expected)","41 Source Type",$C$5,"5 Source No.",$C782,"4 Item Ledger Entry Type",$C$4,"2 Item No.","@@"&amp;$F782,"3 Posting Date",U$9)-NL("Sum","5802 Value Entry","43 Cost Amount (Actual)","41 Source Type",$C$5,"5 Source no.",$C782,"4 Item Ledger Entry Type",$C$4,"2 Item No.","@@"&amp;$F782,"3 Posting Date",U$9)</t>
  </si>
  <si>
    <t>=U782-W782</t>
  </si>
  <si>
    <t>=IF(U782&lt;&gt;0,X782/U782,"")</t>
  </si>
  <si>
    <t>=NL("Sum","5802 Value Entry","150 Sales Amount (Expected)","41 Source Type",$C$5,"5 Source No.",$C782,"4 Item Ledger Entry Type",$C$4,"2 Item No.","@@"&amp;$F782,"3 Posting Date",Z$9)+NL("Sum","5802 Value Entry","17 Sales Amount (Actual)","41 Source Type",$C$5,"5 Source no.",$C782,"4 Item Ledger Entry Type",$C$4,"2 Item No.","@@"&amp;$F782,"3 Posting Date",Z$9)</t>
  </si>
  <si>
    <t>=-NL("Sum","5802 Value Entry","151 Cost Amount (Expected)","41 Source Type",$C$5,"5 Source No.",$C782,"4 Item Ledger Entry Type",$C$4,"2 Item No.","@@"&amp;$F782,"3 Posting Date",Z$9)-NL("Sum","5802 Value Entry","43 Cost Amount (Actual)","41 Source Type",$C$5,"5 Source no.",$C782,"4 Item Ledger Entry Type",$C$4,"2 Item No.","@@"&amp;$F782,"3 Posting Date",Z$9)</t>
  </si>
  <si>
    <t>=Z782-AB782</t>
  </si>
  <si>
    <t>=IF(Z782&lt;&gt;0,AC782/Z782,"")</t>
  </si>
  <si>
    <t>=C782</t>
  </si>
  <si>
    <t>=NL("Sum","5802 Value Entry","150 Sales Amount (Expected)","41 Source Type",$C$5,"5 Source No.",$C783,"4 Item Ledger Entry Type",$C$4,"2 Item No.","@@"&amp;$F783,"3 Posting Date",J$9)+NL("Sum","5802 Value Entry","17 Sales Amount (Actual)","41 Source Type",$C$5,"5 Source no.",$C783,"4 Item Ledger Entry Type",$C$4,"2 Item No.","@@"&amp;$F783,"3 Posting Date",J$9)</t>
  </si>
  <si>
    <t>=-NL("Sum","5802 Value Entry","151 Cost Amount (Expected)","41 Source Type",$C$5,"5 Source No.",$C783,"4 Item Ledger Entry Type",$C$4,"2 Item No.","@@"&amp;$F783,"3 Posting Date",J$9)-NL("Sum","5802 Value Entry","43 Cost Amount (Actual)","41 Source Type",$C$5,"5 Source no.",$C783,"4 Item Ledger Entry Type",$C$4,"2 Item No.","@@"&amp;$F783,"3 Posting Date",J$9)</t>
  </si>
  <si>
    <t>=J783-L783</t>
  </si>
  <si>
    <t>=IF(J783&lt;&gt;0,M783/J783,"")</t>
  </si>
  <si>
    <t>=NL("Sum","5802 Value Entry","150 Sales Amount (Expected)","41 Source Type",$C$5,"5 Source No.",$C783,"4 Item Ledger Entry Type",$C$4,"2 Item No.","@@"&amp;$F783,"3 Posting Date",O$9)+NL("Sum","5802 Value Entry","17 Sales Amount (Actual)","41 Source Type",$C$5,"5 Source no.",$C783,"4 Item Ledger Entry Type",$C$4,"2 Item No.","@@"&amp;$F783,"3 Posting Date",O$9)</t>
  </si>
  <si>
    <t>=-NL("Sum","5802 Value Entry","151 Cost Amount (Expected)","41 Source Type",$C$5,"5 Source No.",$C783,"4 Item Ledger Entry Type",$C$4,"2 Item No.","@@"&amp;$F783,"3 Posting Date",O$9)-NL("Sum","5802 Value Entry","43 Cost Amount (Actual)","41 Source Type",$C$5,"5 Source no.",$C783,"4 Item Ledger Entry Type",$C$4,"2 Item No.","@@"&amp;$F783,"3 Posting Date",O$9)</t>
  </si>
  <si>
    <t>=O783-Q783</t>
  </si>
  <si>
    <t>=IF(O783&lt;&gt;0,R783/O783,"")</t>
  </si>
  <si>
    <t>=NL("Sum","5802 Value Entry","150 Sales Amount (Expected)","41 Source Type",$C$5,"5 Source No.",$C783,"4 Item Ledger Entry Type",$C$4,"2 Item No.","@@"&amp;$F783,"3 Posting Date",U$9)+NL("Sum","5802 Value Entry","17 Sales Amount (Actual)","41 Source Type",$C$5,"5 Source no.",$C783,"4 Item Ledger Entry Type",$C$4,"2 Item No.","@@"&amp;$F783,"3 Posting Date",U$9)</t>
  </si>
  <si>
    <t>=-NL("Sum","5802 Value Entry","151 Cost Amount (Expected)","41 Source Type",$C$5,"5 Source No.",$C783,"4 Item Ledger Entry Type",$C$4,"2 Item No.","@@"&amp;$F783,"3 Posting Date",U$9)-NL("Sum","5802 Value Entry","43 Cost Amount (Actual)","41 Source Type",$C$5,"5 Source no.",$C783,"4 Item Ledger Entry Type",$C$4,"2 Item No.","@@"&amp;$F783,"3 Posting Date",U$9)</t>
  </si>
  <si>
    <t>=U783-W783</t>
  </si>
  <si>
    <t>=IF(U783&lt;&gt;0,X783/U783,"")</t>
  </si>
  <si>
    <t>=NL("Sum","5802 Value Entry","150 Sales Amount (Expected)","41 Source Type",$C$5,"5 Source No.",$C783,"4 Item Ledger Entry Type",$C$4,"2 Item No.","@@"&amp;$F783,"3 Posting Date",Z$9)+NL("Sum","5802 Value Entry","17 Sales Amount (Actual)","41 Source Type",$C$5,"5 Source no.",$C783,"4 Item Ledger Entry Type",$C$4,"2 Item No.","@@"&amp;$F783,"3 Posting Date",Z$9)</t>
  </si>
  <si>
    <t>=-NL("Sum","5802 Value Entry","151 Cost Amount (Expected)","41 Source Type",$C$5,"5 Source No.",$C783,"4 Item Ledger Entry Type",$C$4,"2 Item No.","@@"&amp;$F783,"3 Posting Date",Z$9)-NL("Sum","5802 Value Entry","43 Cost Amount (Actual)","41 Source Type",$C$5,"5 Source no.",$C783,"4 Item Ledger Entry Type",$C$4,"2 Item No.","@@"&amp;$F783,"3 Posting Date",Z$9)</t>
  </si>
  <si>
    <t>=Z783-AB783</t>
  </si>
  <si>
    <t>=IF(Z783&lt;&gt;0,AC783/Z783,"")</t>
  </si>
  <si>
    <t>=C783</t>
  </si>
  <si>
    <t>=NL("Sum","5802 Value Entry","150 Sales Amount (Expected)","41 Source Type",$C$5,"5 Source No.",$C784,"4 Item Ledger Entry Type",$C$4,"2 Item No.","@@"&amp;$F784,"3 Posting Date",J$9)+NL("Sum","5802 Value Entry","17 Sales Amount (Actual)","41 Source Type",$C$5,"5 Source no.",$C784,"4 Item Ledger Entry Type",$C$4,"2 Item No.","@@"&amp;$F784,"3 Posting Date",J$9)</t>
  </si>
  <si>
    <t>=-NL("Sum","5802 Value Entry","151 Cost Amount (Expected)","41 Source Type",$C$5,"5 Source No.",$C784,"4 Item Ledger Entry Type",$C$4,"2 Item No.","@@"&amp;$F784,"3 Posting Date",J$9)-NL("Sum","5802 Value Entry","43 Cost Amount (Actual)","41 Source Type",$C$5,"5 Source no.",$C784,"4 Item Ledger Entry Type",$C$4,"2 Item No.","@@"&amp;$F784,"3 Posting Date",J$9)</t>
  </si>
  <si>
    <t>=J784-L784</t>
  </si>
  <si>
    <t>=IF(J784&lt;&gt;0,M784/J784,"")</t>
  </si>
  <si>
    <t>=NL("Sum","5802 Value Entry","150 Sales Amount (Expected)","41 Source Type",$C$5,"5 Source No.",$C784,"4 Item Ledger Entry Type",$C$4,"2 Item No.","@@"&amp;$F784,"3 Posting Date",O$9)+NL("Sum","5802 Value Entry","17 Sales Amount (Actual)","41 Source Type",$C$5,"5 Source no.",$C784,"4 Item Ledger Entry Type",$C$4,"2 Item No.","@@"&amp;$F784,"3 Posting Date",O$9)</t>
  </si>
  <si>
    <t>=-NL("Sum","5802 Value Entry","151 Cost Amount (Expected)","41 Source Type",$C$5,"5 Source No.",$C784,"4 Item Ledger Entry Type",$C$4,"2 Item No.","@@"&amp;$F784,"3 Posting Date",O$9)-NL("Sum","5802 Value Entry","43 Cost Amount (Actual)","41 Source Type",$C$5,"5 Source no.",$C784,"4 Item Ledger Entry Type",$C$4,"2 Item No.","@@"&amp;$F784,"3 Posting Date",O$9)</t>
  </si>
  <si>
    <t>=O784-Q784</t>
  </si>
  <si>
    <t>=IF(O784&lt;&gt;0,R784/O784,"")</t>
  </si>
  <si>
    <t>=NL("Sum","5802 Value Entry","150 Sales Amount (Expected)","41 Source Type",$C$5,"5 Source No.",$C784,"4 Item Ledger Entry Type",$C$4,"2 Item No.","@@"&amp;$F784,"3 Posting Date",U$9)+NL("Sum","5802 Value Entry","17 Sales Amount (Actual)","41 Source Type",$C$5,"5 Source no.",$C784,"4 Item Ledger Entry Type",$C$4,"2 Item No.","@@"&amp;$F784,"3 Posting Date",U$9)</t>
  </si>
  <si>
    <t>=-NL("Sum","5802 Value Entry","151 Cost Amount (Expected)","41 Source Type",$C$5,"5 Source No.",$C784,"4 Item Ledger Entry Type",$C$4,"2 Item No.","@@"&amp;$F784,"3 Posting Date",U$9)-NL("Sum","5802 Value Entry","43 Cost Amount (Actual)","41 Source Type",$C$5,"5 Source no.",$C784,"4 Item Ledger Entry Type",$C$4,"2 Item No.","@@"&amp;$F784,"3 Posting Date",U$9)</t>
  </si>
  <si>
    <t>=U784-W784</t>
  </si>
  <si>
    <t>=IF(U784&lt;&gt;0,X784/U784,"")</t>
  </si>
  <si>
    <t>=NL("Sum","5802 Value Entry","150 Sales Amount (Expected)","41 Source Type",$C$5,"5 Source No.",$C784,"4 Item Ledger Entry Type",$C$4,"2 Item No.","@@"&amp;$F784,"3 Posting Date",Z$9)+NL("Sum","5802 Value Entry","17 Sales Amount (Actual)","41 Source Type",$C$5,"5 Source no.",$C784,"4 Item Ledger Entry Type",$C$4,"2 Item No.","@@"&amp;$F784,"3 Posting Date",Z$9)</t>
  </si>
  <si>
    <t>=-NL("Sum","5802 Value Entry","151 Cost Amount (Expected)","41 Source Type",$C$5,"5 Source No.",$C784,"4 Item Ledger Entry Type",$C$4,"2 Item No.","@@"&amp;$F784,"3 Posting Date",Z$9)-NL("Sum","5802 Value Entry","43 Cost Amount (Actual)","41 Source Type",$C$5,"5 Source no.",$C784,"4 Item Ledger Entry Type",$C$4,"2 Item No.","@@"&amp;$F784,"3 Posting Date",Z$9)</t>
  </si>
  <si>
    <t>=Z784-AB784</t>
  </si>
  <si>
    <t>=IF(Z784&lt;&gt;0,AC784/Z784,"")</t>
  </si>
  <si>
    <t>=C784</t>
  </si>
  <si>
    <t>=NL("Sum","5802 Value Entry","150 Sales Amount (Expected)","41 Source Type",$C$5,"5 Source No.",$C785,"4 Item Ledger Entry Type",$C$4,"2 Item No.","@@"&amp;$F785,"3 Posting Date",J$9)+NL("Sum","5802 Value Entry","17 Sales Amount (Actual)","41 Source Type",$C$5,"5 Source no.",$C785,"4 Item Ledger Entry Type",$C$4,"2 Item No.","@@"&amp;$F785,"3 Posting Date",J$9)</t>
  </si>
  <si>
    <t>=-NL("Sum","5802 Value Entry","151 Cost Amount (Expected)","41 Source Type",$C$5,"5 Source No.",$C785,"4 Item Ledger Entry Type",$C$4,"2 Item No.","@@"&amp;$F785,"3 Posting Date",J$9)-NL("Sum","5802 Value Entry","43 Cost Amount (Actual)","41 Source Type",$C$5,"5 Source no.",$C785,"4 Item Ledger Entry Type",$C$4,"2 Item No.","@@"&amp;$F785,"3 Posting Date",J$9)</t>
  </si>
  <si>
    <t>=J785-L785</t>
  </si>
  <si>
    <t>=IF(J785&lt;&gt;0,M785/J785,"")</t>
  </si>
  <si>
    <t>=NL("Sum","5802 Value Entry","150 Sales Amount (Expected)","41 Source Type",$C$5,"5 Source No.",$C785,"4 Item Ledger Entry Type",$C$4,"2 Item No.","@@"&amp;$F785,"3 Posting Date",O$9)+NL("Sum","5802 Value Entry","17 Sales Amount (Actual)","41 Source Type",$C$5,"5 Source no.",$C785,"4 Item Ledger Entry Type",$C$4,"2 Item No.","@@"&amp;$F785,"3 Posting Date",O$9)</t>
  </si>
  <si>
    <t>=-NL("Sum","5802 Value Entry","151 Cost Amount (Expected)","41 Source Type",$C$5,"5 Source No.",$C785,"4 Item Ledger Entry Type",$C$4,"2 Item No.","@@"&amp;$F785,"3 Posting Date",O$9)-NL("Sum","5802 Value Entry","43 Cost Amount (Actual)","41 Source Type",$C$5,"5 Source no.",$C785,"4 Item Ledger Entry Type",$C$4,"2 Item No.","@@"&amp;$F785,"3 Posting Date",O$9)</t>
  </si>
  <si>
    <t>=O785-Q785</t>
  </si>
  <si>
    <t>=IF(O785&lt;&gt;0,R785/O785,"")</t>
  </si>
  <si>
    <t>=NL("Sum","5802 Value Entry","150 Sales Amount (Expected)","41 Source Type",$C$5,"5 Source No.",$C785,"4 Item Ledger Entry Type",$C$4,"2 Item No.","@@"&amp;$F785,"3 Posting Date",U$9)+NL("Sum","5802 Value Entry","17 Sales Amount (Actual)","41 Source Type",$C$5,"5 Source no.",$C785,"4 Item Ledger Entry Type",$C$4,"2 Item No.","@@"&amp;$F785,"3 Posting Date",U$9)</t>
  </si>
  <si>
    <t>=-NL("Sum","5802 Value Entry","151 Cost Amount (Expected)","41 Source Type",$C$5,"5 Source No.",$C785,"4 Item Ledger Entry Type",$C$4,"2 Item No.","@@"&amp;$F785,"3 Posting Date",U$9)-NL("Sum","5802 Value Entry","43 Cost Amount (Actual)","41 Source Type",$C$5,"5 Source no.",$C785,"4 Item Ledger Entry Type",$C$4,"2 Item No.","@@"&amp;$F785,"3 Posting Date",U$9)</t>
  </si>
  <si>
    <t>=U785-W785</t>
  </si>
  <si>
    <t>=IF(U785&lt;&gt;0,X785/U785,"")</t>
  </si>
  <si>
    <t>=NL("Sum","5802 Value Entry","150 Sales Amount (Expected)","41 Source Type",$C$5,"5 Source No.",$C785,"4 Item Ledger Entry Type",$C$4,"2 Item No.","@@"&amp;$F785,"3 Posting Date",Z$9)+NL("Sum","5802 Value Entry","17 Sales Amount (Actual)","41 Source Type",$C$5,"5 Source no.",$C785,"4 Item Ledger Entry Type",$C$4,"2 Item No.","@@"&amp;$F785,"3 Posting Date",Z$9)</t>
  </si>
  <si>
    <t>=-NL("Sum","5802 Value Entry","151 Cost Amount (Expected)","41 Source Type",$C$5,"5 Source No.",$C785,"4 Item Ledger Entry Type",$C$4,"2 Item No.","@@"&amp;$F785,"3 Posting Date",Z$9)-NL("Sum","5802 Value Entry","43 Cost Amount (Actual)","41 Source Type",$C$5,"5 Source no.",$C785,"4 Item Ledger Entry Type",$C$4,"2 Item No.","@@"&amp;$F785,"3 Posting Date",Z$9)</t>
  </si>
  <si>
    <t>=Z785-AB785</t>
  </si>
  <si>
    <t>=IF(Z785&lt;&gt;0,AC785/Z785,"")</t>
  </si>
  <si>
    <t>=C785</t>
  </si>
  <si>
    <t>=NL("Sum","5802 Value Entry","150 Sales Amount (Expected)","41 Source Type",$C$5,"5 Source No.",$C786,"4 Item Ledger Entry Type",$C$4,"2 Item No.","@@"&amp;$F786,"3 Posting Date",J$9)+NL("Sum","5802 Value Entry","17 Sales Amount (Actual)","41 Source Type",$C$5,"5 Source no.",$C786,"4 Item Ledger Entry Type",$C$4,"2 Item No.","@@"&amp;$F786,"3 Posting Date",J$9)</t>
  </si>
  <si>
    <t>=-NL("Sum","5802 Value Entry","151 Cost Amount (Expected)","41 Source Type",$C$5,"5 Source No.",$C786,"4 Item Ledger Entry Type",$C$4,"2 Item No.","@@"&amp;$F786,"3 Posting Date",J$9)-NL("Sum","5802 Value Entry","43 Cost Amount (Actual)","41 Source Type",$C$5,"5 Source no.",$C786,"4 Item Ledger Entry Type",$C$4,"2 Item No.","@@"&amp;$F786,"3 Posting Date",J$9)</t>
  </si>
  <si>
    <t>=J786-L786</t>
  </si>
  <si>
    <t>=IF(J786&lt;&gt;0,M786/J786,"")</t>
  </si>
  <si>
    <t>=NL("Sum","5802 Value Entry","150 Sales Amount (Expected)","41 Source Type",$C$5,"5 Source No.",$C786,"4 Item Ledger Entry Type",$C$4,"2 Item No.","@@"&amp;$F786,"3 Posting Date",O$9)+NL("Sum","5802 Value Entry","17 Sales Amount (Actual)","41 Source Type",$C$5,"5 Source no.",$C786,"4 Item Ledger Entry Type",$C$4,"2 Item No.","@@"&amp;$F786,"3 Posting Date",O$9)</t>
  </si>
  <si>
    <t>=-NL("Sum","5802 Value Entry","151 Cost Amount (Expected)","41 Source Type",$C$5,"5 Source No.",$C786,"4 Item Ledger Entry Type",$C$4,"2 Item No.","@@"&amp;$F786,"3 Posting Date",O$9)-NL("Sum","5802 Value Entry","43 Cost Amount (Actual)","41 Source Type",$C$5,"5 Source no.",$C786,"4 Item Ledger Entry Type",$C$4,"2 Item No.","@@"&amp;$F786,"3 Posting Date",O$9)</t>
  </si>
  <si>
    <t>=O786-Q786</t>
  </si>
  <si>
    <t>=IF(O786&lt;&gt;0,R786/O786,"")</t>
  </si>
  <si>
    <t>=NL("Sum","5802 Value Entry","150 Sales Amount (Expected)","41 Source Type",$C$5,"5 Source No.",$C786,"4 Item Ledger Entry Type",$C$4,"2 Item No.","@@"&amp;$F786,"3 Posting Date",U$9)+NL("Sum","5802 Value Entry","17 Sales Amount (Actual)","41 Source Type",$C$5,"5 Source no.",$C786,"4 Item Ledger Entry Type",$C$4,"2 Item No.","@@"&amp;$F786,"3 Posting Date",U$9)</t>
  </si>
  <si>
    <t>=-NL("Sum","5802 Value Entry","151 Cost Amount (Expected)","41 Source Type",$C$5,"5 Source No.",$C786,"4 Item Ledger Entry Type",$C$4,"2 Item No.","@@"&amp;$F786,"3 Posting Date",U$9)-NL("Sum","5802 Value Entry","43 Cost Amount (Actual)","41 Source Type",$C$5,"5 Source no.",$C786,"4 Item Ledger Entry Type",$C$4,"2 Item No.","@@"&amp;$F786,"3 Posting Date",U$9)</t>
  </si>
  <si>
    <t>=U786-W786</t>
  </si>
  <si>
    <t>=IF(U786&lt;&gt;0,X786/U786,"")</t>
  </si>
  <si>
    <t>=NL("Sum","5802 Value Entry","150 Sales Amount (Expected)","41 Source Type",$C$5,"5 Source No.",$C786,"4 Item Ledger Entry Type",$C$4,"2 Item No.","@@"&amp;$F786,"3 Posting Date",Z$9)+NL("Sum","5802 Value Entry","17 Sales Amount (Actual)","41 Source Type",$C$5,"5 Source no.",$C786,"4 Item Ledger Entry Type",$C$4,"2 Item No.","@@"&amp;$F786,"3 Posting Date",Z$9)</t>
  </si>
  <si>
    <t>=-NL("Sum","5802 Value Entry","151 Cost Amount (Expected)","41 Source Type",$C$5,"5 Source No.",$C786,"4 Item Ledger Entry Type",$C$4,"2 Item No.","@@"&amp;$F786,"3 Posting Date",Z$9)-NL("Sum","5802 Value Entry","43 Cost Amount (Actual)","41 Source Type",$C$5,"5 Source no.",$C786,"4 Item Ledger Entry Type",$C$4,"2 Item No.","@@"&amp;$F786,"3 Posting Date",Z$9)</t>
  </si>
  <si>
    <t>=Z786-AB786</t>
  </si>
  <si>
    <t>=IF(Z786&lt;&gt;0,AC786/Z786,"")</t>
  </si>
  <si>
    <t>=C786</t>
  </si>
  <si>
    <t>=NL("Sum","5802 Value Entry","150 Sales Amount (Expected)","41 Source Type",$C$5,"5 Source No.",$C787,"4 Item Ledger Entry Type",$C$4,"2 Item No.","@@"&amp;$F787,"3 Posting Date",J$9)+NL("Sum","5802 Value Entry","17 Sales Amount (Actual)","41 Source Type",$C$5,"5 Source no.",$C787,"4 Item Ledger Entry Type",$C$4,"2 Item No.","@@"&amp;$F787,"3 Posting Date",J$9)</t>
  </si>
  <si>
    <t>=-NL("Sum","5802 Value Entry","151 Cost Amount (Expected)","41 Source Type",$C$5,"5 Source No.",$C787,"4 Item Ledger Entry Type",$C$4,"2 Item No.","@@"&amp;$F787,"3 Posting Date",J$9)-NL("Sum","5802 Value Entry","43 Cost Amount (Actual)","41 Source Type",$C$5,"5 Source no.",$C787,"4 Item Ledger Entry Type",$C$4,"2 Item No.","@@"&amp;$F787,"3 Posting Date",J$9)</t>
  </si>
  <si>
    <t>=J787-L787</t>
  </si>
  <si>
    <t>=IF(J787&lt;&gt;0,M787/J787,"")</t>
  </si>
  <si>
    <t>=NL("Sum","5802 Value Entry","150 Sales Amount (Expected)","41 Source Type",$C$5,"5 Source No.",$C787,"4 Item Ledger Entry Type",$C$4,"2 Item No.","@@"&amp;$F787,"3 Posting Date",O$9)+NL("Sum","5802 Value Entry","17 Sales Amount (Actual)","41 Source Type",$C$5,"5 Source no.",$C787,"4 Item Ledger Entry Type",$C$4,"2 Item No.","@@"&amp;$F787,"3 Posting Date",O$9)</t>
  </si>
  <si>
    <t>=-NL("Sum","5802 Value Entry","151 Cost Amount (Expected)","41 Source Type",$C$5,"5 Source No.",$C787,"4 Item Ledger Entry Type",$C$4,"2 Item No.","@@"&amp;$F787,"3 Posting Date",O$9)-NL("Sum","5802 Value Entry","43 Cost Amount (Actual)","41 Source Type",$C$5,"5 Source no.",$C787,"4 Item Ledger Entry Type",$C$4,"2 Item No.","@@"&amp;$F787,"3 Posting Date",O$9)</t>
  </si>
  <si>
    <t>=O787-Q787</t>
  </si>
  <si>
    <t>=IF(O787&lt;&gt;0,R787/O787,"")</t>
  </si>
  <si>
    <t>=NL("Sum","5802 Value Entry","150 Sales Amount (Expected)","41 Source Type",$C$5,"5 Source No.",$C787,"4 Item Ledger Entry Type",$C$4,"2 Item No.","@@"&amp;$F787,"3 Posting Date",U$9)+NL("Sum","5802 Value Entry","17 Sales Amount (Actual)","41 Source Type",$C$5,"5 Source no.",$C787,"4 Item Ledger Entry Type",$C$4,"2 Item No.","@@"&amp;$F787,"3 Posting Date",U$9)</t>
  </si>
  <si>
    <t>=-NL("Sum","5802 Value Entry","151 Cost Amount (Expected)","41 Source Type",$C$5,"5 Source No.",$C787,"4 Item Ledger Entry Type",$C$4,"2 Item No.","@@"&amp;$F787,"3 Posting Date",U$9)-NL("Sum","5802 Value Entry","43 Cost Amount (Actual)","41 Source Type",$C$5,"5 Source no.",$C787,"4 Item Ledger Entry Type",$C$4,"2 Item No.","@@"&amp;$F787,"3 Posting Date",U$9)</t>
  </si>
  <si>
    <t>=U787-W787</t>
  </si>
  <si>
    <t>=IF(U787&lt;&gt;0,X787/U787,"")</t>
  </si>
  <si>
    <t>=NL("Sum","5802 Value Entry","150 Sales Amount (Expected)","41 Source Type",$C$5,"5 Source No.",$C787,"4 Item Ledger Entry Type",$C$4,"2 Item No.","@@"&amp;$F787,"3 Posting Date",Z$9)+NL("Sum","5802 Value Entry","17 Sales Amount (Actual)","41 Source Type",$C$5,"5 Source no.",$C787,"4 Item Ledger Entry Type",$C$4,"2 Item No.","@@"&amp;$F787,"3 Posting Date",Z$9)</t>
  </si>
  <si>
    <t>=-NL("Sum","5802 Value Entry","151 Cost Amount (Expected)","41 Source Type",$C$5,"5 Source No.",$C787,"4 Item Ledger Entry Type",$C$4,"2 Item No.","@@"&amp;$F787,"3 Posting Date",Z$9)-NL("Sum","5802 Value Entry","43 Cost Amount (Actual)","41 Source Type",$C$5,"5 Source no.",$C787,"4 Item Ledger Entry Type",$C$4,"2 Item No.","@@"&amp;$F787,"3 Posting Date",Z$9)</t>
  </si>
  <si>
    <t>=Z787-AB787</t>
  </si>
  <si>
    <t>=IF(Z787&lt;&gt;0,AC787/Z787,"")</t>
  </si>
  <si>
    <t>=C787</t>
  </si>
  <si>
    <t>=NL("Sum","5802 Value Entry","150 Sales Amount (Expected)","41 Source Type",$C$5,"5 Source No.",$C788,"4 Item Ledger Entry Type",$C$4,"2 Item No.","@@"&amp;$F788,"3 Posting Date",J$9)+NL("Sum","5802 Value Entry","17 Sales Amount (Actual)","41 Source Type",$C$5,"5 Source no.",$C788,"4 Item Ledger Entry Type",$C$4,"2 Item No.","@@"&amp;$F788,"3 Posting Date",J$9)</t>
  </si>
  <si>
    <t>=-NL("Sum","5802 Value Entry","151 Cost Amount (Expected)","41 Source Type",$C$5,"5 Source No.",$C788,"4 Item Ledger Entry Type",$C$4,"2 Item No.","@@"&amp;$F788,"3 Posting Date",J$9)-NL("Sum","5802 Value Entry","43 Cost Amount (Actual)","41 Source Type",$C$5,"5 Source no.",$C788,"4 Item Ledger Entry Type",$C$4,"2 Item No.","@@"&amp;$F788,"3 Posting Date",J$9)</t>
  </si>
  <si>
    <t>=J788-L788</t>
  </si>
  <si>
    <t>=IF(J788&lt;&gt;0,M788/J788,"")</t>
  </si>
  <si>
    <t>=NL("Sum","5802 Value Entry","150 Sales Amount (Expected)","41 Source Type",$C$5,"5 Source No.",$C788,"4 Item Ledger Entry Type",$C$4,"2 Item No.","@@"&amp;$F788,"3 Posting Date",O$9)+NL("Sum","5802 Value Entry","17 Sales Amount (Actual)","41 Source Type",$C$5,"5 Source no.",$C788,"4 Item Ledger Entry Type",$C$4,"2 Item No.","@@"&amp;$F788,"3 Posting Date",O$9)</t>
  </si>
  <si>
    <t>=-NL("Sum","5802 Value Entry","151 Cost Amount (Expected)","41 Source Type",$C$5,"5 Source No.",$C788,"4 Item Ledger Entry Type",$C$4,"2 Item No.","@@"&amp;$F788,"3 Posting Date",O$9)-NL("Sum","5802 Value Entry","43 Cost Amount (Actual)","41 Source Type",$C$5,"5 Source no.",$C788,"4 Item Ledger Entry Type",$C$4,"2 Item No.","@@"&amp;$F788,"3 Posting Date",O$9)</t>
  </si>
  <si>
    <t>=O788-Q788</t>
  </si>
  <si>
    <t>=IF(O788&lt;&gt;0,R788/O788,"")</t>
  </si>
  <si>
    <t>=NL("Sum","5802 Value Entry","150 Sales Amount (Expected)","41 Source Type",$C$5,"5 Source No.",$C788,"4 Item Ledger Entry Type",$C$4,"2 Item No.","@@"&amp;$F788,"3 Posting Date",U$9)+NL("Sum","5802 Value Entry","17 Sales Amount (Actual)","41 Source Type",$C$5,"5 Source no.",$C788,"4 Item Ledger Entry Type",$C$4,"2 Item No.","@@"&amp;$F788,"3 Posting Date",U$9)</t>
  </si>
  <si>
    <t>=-NL("Sum","5802 Value Entry","151 Cost Amount (Expected)","41 Source Type",$C$5,"5 Source No.",$C788,"4 Item Ledger Entry Type",$C$4,"2 Item No.","@@"&amp;$F788,"3 Posting Date",U$9)-NL("Sum","5802 Value Entry","43 Cost Amount (Actual)","41 Source Type",$C$5,"5 Source no.",$C788,"4 Item Ledger Entry Type",$C$4,"2 Item No.","@@"&amp;$F788,"3 Posting Date",U$9)</t>
  </si>
  <si>
    <t>=U788-W788</t>
  </si>
  <si>
    <t>=IF(U788&lt;&gt;0,X788/U788,"")</t>
  </si>
  <si>
    <t>=NL("Sum","5802 Value Entry","150 Sales Amount (Expected)","41 Source Type",$C$5,"5 Source No.",$C788,"4 Item Ledger Entry Type",$C$4,"2 Item No.","@@"&amp;$F788,"3 Posting Date",Z$9)+NL("Sum","5802 Value Entry","17 Sales Amount (Actual)","41 Source Type",$C$5,"5 Source no.",$C788,"4 Item Ledger Entry Type",$C$4,"2 Item No.","@@"&amp;$F788,"3 Posting Date",Z$9)</t>
  </si>
  <si>
    <t>=-NL("Sum","5802 Value Entry","151 Cost Amount (Expected)","41 Source Type",$C$5,"5 Source No.",$C788,"4 Item Ledger Entry Type",$C$4,"2 Item No.","@@"&amp;$F788,"3 Posting Date",Z$9)-NL("Sum","5802 Value Entry","43 Cost Amount (Actual)","41 Source Type",$C$5,"5 Source no.",$C788,"4 Item Ledger Entry Type",$C$4,"2 Item No.","@@"&amp;$F788,"3 Posting Date",Z$9)</t>
  </si>
  <si>
    <t>=Z788-AB788</t>
  </si>
  <si>
    <t>=IF(Z788&lt;&gt;0,AC788/Z788,"")</t>
  </si>
  <si>
    <t>=C788</t>
  </si>
  <si>
    <t>=NL("Sum","5802 Value Entry","150 Sales Amount (Expected)","41 Source Type",$C$5,"5 Source No.",$C789,"4 Item Ledger Entry Type",$C$4,"2 Item No.","@@"&amp;$F789,"3 Posting Date",J$9)+NL("Sum","5802 Value Entry","17 Sales Amount (Actual)","41 Source Type",$C$5,"5 Source no.",$C789,"4 Item Ledger Entry Type",$C$4,"2 Item No.","@@"&amp;$F789,"3 Posting Date",J$9)</t>
  </si>
  <si>
    <t>=-NL("Sum","5802 Value Entry","151 Cost Amount (Expected)","41 Source Type",$C$5,"5 Source No.",$C789,"4 Item Ledger Entry Type",$C$4,"2 Item No.","@@"&amp;$F789,"3 Posting Date",J$9)-NL("Sum","5802 Value Entry","43 Cost Amount (Actual)","41 Source Type",$C$5,"5 Source no.",$C789,"4 Item Ledger Entry Type",$C$4,"2 Item No.","@@"&amp;$F789,"3 Posting Date",J$9)</t>
  </si>
  <si>
    <t>=J789-L789</t>
  </si>
  <si>
    <t>=IF(J789&lt;&gt;0,M789/J789,"")</t>
  </si>
  <si>
    <t>=NL("Sum","5802 Value Entry","150 Sales Amount (Expected)","41 Source Type",$C$5,"5 Source No.",$C789,"4 Item Ledger Entry Type",$C$4,"2 Item No.","@@"&amp;$F789,"3 Posting Date",O$9)+NL("Sum","5802 Value Entry","17 Sales Amount (Actual)","41 Source Type",$C$5,"5 Source no.",$C789,"4 Item Ledger Entry Type",$C$4,"2 Item No.","@@"&amp;$F789,"3 Posting Date",O$9)</t>
  </si>
  <si>
    <t>=-NL("Sum","5802 Value Entry","151 Cost Amount (Expected)","41 Source Type",$C$5,"5 Source No.",$C789,"4 Item Ledger Entry Type",$C$4,"2 Item No.","@@"&amp;$F789,"3 Posting Date",O$9)-NL("Sum","5802 Value Entry","43 Cost Amount (Actual)","41 Source Type",$C$5,"5 Source no.",$C789,"4 Item Ledger Entry Type",$C$4,"2 Item No.","@@"&amp;$F789,"3 Posting Date",O$9)</t>
  </si>
  <si>
    <t>=O789-Q789</t>
  </si>
  <si>
    <t>=IF(O789&lt;&gt;0,R789/O789,"")</t>
  </si>
  <si>
    <t>=NL("Sum","5802 Value Entry","150 Sales Amount (Expected)","41 Source Type",$C$5,"5 Source No.",$C789,"4 Item Ledger Entry Type",$C$4,"2 Item No.","@@"&amp;$F789,"3 Posting Date",U$9)+NL("Sum","5802 Value Entry","17 Sales Amount (Actual)","41 Source Type",$C$5,"5 Source no.",$C789,"4 Item Ledger Entry Type",$C$4,"2 Item No.","@@"&amp;$F789,"3 Posting Date",U$9)</t>
  </si>
  <si>
    <t>=-NL("Sum","5802 Value Entry","151 Cost Amount (Expected)","41 Source Type",$C$5,"5 Source No.",$C789,"4 Item Ledger Entry Type",$C$4,"2 Item No.","@@"&amp;$F789,"3 Posting Date",U$9)-NL("Sum","5802 Value Entry","43 Cost Amount (Actual)","41 Source Type",$C$5,"5 Source no.",$C789,"4 Item Ledger Entry Type",$C$4,"2 Item No.","@@"&amp;$F789,"3 Posting Date",U$9)</t>
  </si>
  <si>
    <t>=U789-W789</t>
  </si>
  <si>
    <t>=IF(U789&lt;&gt;0,X789/U789,"")</t>
  </si>
  <si>
    <t>=NL("Sum","5802 Value Entry","150 Sales Amount (Expected)","41 Source Type",$C$5,"5 Source No.",$C789,"4 Item Ledger Entry Type",$C$4,"2 Item No.","@@"&amp;$F789,"3 Posting Date",Z$9)+NL("Sum","5802 Value Entry","17 Sales Amount (Actual)","41 Source Type",$C$5,"5 Source no.",$C789,"4 Item Ledger Entry Type",$C$4,"2 Item No.","@@"&amp;$F789,"3 Posting Date",Z$9)</t>
  </si>
  <si>
    <t>=-NL("Sum","5802 Value Entry","151 Cost Amount (Expected)","41 Source Type",$C$5,"5 Source No.",$C789,"4 Item Ledger Entry Type",$C$4,"2 Item No.","@@"&amp;$F789,"3 Posting Date",Z$9)-NL("Sum","5802 Value Entry","43 Cost Amount (Actual)","41 Source Type",$C$5,"5 Source no.",$C789,"4 Item Ledger Entry Type",$C$4,"2 Item No.","@@"&amp;$F789,"3 Posting Date",Z$9)</t>
  </si>
  <si>
    <t>=Z789-AB789</t>
  </si>
  <si>
    <t>=IF(Z789&lt;&gt;0,AC789/Z789,"")</t>
  </si>
  <si>
    <t>=C790</t>
  </si>
  <si>
    <t>=C791&amp;" TOTAL:"</t>
  </si>
  <si>
    <t>=SUBTOTAL(9,J771:J790)</t>
  </si>
  <si>
    <t>=SUBTOTAL(9,K771:K790)</t>
  </si>
  <si>
    <t>=SUBTOTAL(9,L771:L790)</t>
  </si>
  <si>
    <t>=J791-L791</t>
  </si>
  <si>
    <t>=IF(J791&lt;&gt;0,M791/J791,"")</t>
  </si>
  <si>
    <t>=SUBTOTAL(9,O771:O790)</t>
  </si>
  <si>
    <t>=SUBTOTAL(9,P771:P790)</t>
  </si>
  <si>
    <t>=SUBTOTAL(9,Q771:Q790)</t>
  </si>
  <si>
    <t>=O791-Q791</t>
  </si>
  <si>
    <t>=IF(O791&lt;&gt;0,R791/O791,"")</t>
  </si>
  <si>
    <t>=SUBTOTAL(9,U771:U790)</t>
  </si>
  <si>
    <t>=SUBTOTAL(9,V771:V790)</t>
  </si>
  <si>
    <t>=SUBTOTAL(9,W771:W790)</t>
  </si>
  <si>
    <t>=U791-W791</t>
  </si>
  <si>
    <t>=IF(U791&lt;&gt;0,X791/U791,"")</t>
  </si>
  <si>
    <t>=SUBTOTAL(9,Z771:Z790)</t>
  </si>
  <si>
    <t>=SUBTOTAL(9,AA771:AA790)</t>
  </si>
  <si>
    <t>=SUBTOTAL(9,AB771:AB790)</t>
  </si>
  <si>
    <t>=Z791-AB791</t>
  </si>
  <si>
    <t>=IF(Z791&lt;&gt;0,AC791/Z791,"")</t>
  </si>
  <si>
    <t>=E793</t>
  </si>
  <si>
    <t>=NL(,"18 Customer","2 Name","1 No.",$E793)</t>
  </si>
  <si>
    <t>=C793</t>
  </si>
  <si>
    <t>=C794</t>
  </si>
  <si>
    <t>=NL("Rows","5802 Value Entry","2 Item No.","4 Item Ledger Entry Type",$C$4,"41 Source Type",$C$5,"5 Source No.",$C795,"Item No.",$C$7,"3 Posting Date",$C$10)</t>
  </si>
  <si>
    <t>=NL("Sum","5802 Value Entry","150 Sales Amount (Expected)","41 Source Type",$C$5,"5 Source No.",$C795,"4 Item Ledger Entry Type",$C$4,"2 Item No.","@@"&amp;$F795,"3 Posting Date",J$9)+NL("Sum","5802 Value Entry","17 Sales Amount (Actual)","41 Source Type",$C$5,"5 Source no.",$C795,"4 Item Ledger Entry Type",$C$4,"2 Item No.","@@"&amp;$F795,"3 Posting Date",J$9)</t>
  </si>
  <si>
    <t>=-NL("Sum","5802 Value Entry","151 Cost Amount (Expected)","41 Source Type",$C$5,"5 Source No.",$C795,"4 Item Ledger Entry Type",$C$4,"2 Item No.","@@"&amp;$F795,"3 Posting Date",J$9)-NL("Sum","5802 Value Entry","43 Cost Amount (Actual)","41 Source Type",$C$5,"5 Source no.",$C795,"4 Item Ledger Entry Type",$C$4,"2 Item No.","@@"&amp;$F795,"3 Posting Date",J$9)</t>
  </si>
  <si>
    <t>=J795-L795</t>
  </si>
  <si>
    <t>=IF(J795&lt;&gt;0,M795/J795,"")</t>
  </si>
  <si>
    <t>=NL("Sum","5802 Value Entry","150 Sales Amount (Expected)","41 Source Type",$C$5,"5 Source No.",$C795,"4 Item Ledger Entry Type",$C$4,"2 Item No.","@@"&amp;$F795,"3 Posting Date",O$9)+NL("Sum","5802 Value Entry","17 Sales Amount (Actual)","41 Source Type",$C$5,"5 Source no.",$C795,"4 Item Ledger Entry Type",$C$4,"2 Item No.","@@"&amp;$F795,"3 Posting Date",O$9)</t>
  </si>
  <si>
    <t>=-NL("Sum","5802 Value Entry","151 Cost Amount (Expected)","41 Source Type",$C$5,"5 Source No.",$C795,"4 Item Ledger Entry Type",$C$4,"2 Item No.","@@"&amp;$F795,"3 Posting Date",O$9)-NL("Sum","5802 Value Entry","43 Cost Amount (Actual)","41 Source Type",$C$5,"5 Source no.",$C795,"4 Item Ledger Entry Type",$C$4,"2 Item No.","@@"&amp;$F795,"3 Posting Date",O$9)</t>
  </si>
  <si>
    <t>=O795-Q795</t>
  </si>
  <si>
    <t>=IF(O795&lt;&gt;0,R795/O795,"")</t>
  </si>
  <si>
    <t>=NL("Sum","5802 Value Entry","150 Sales Amount (Expected)","41 Source Type",$C$5,"5 Source No.",$C795,"4 Item Ledger Entry Type",$C$4,"2 Item No.","@@"&amp;$F795,"3 Posting Date",U$9)+NL("Sum","5802 Value Entry","17 Sales Amount (Actual)","41 Source Type",$C$5,"5 Source no.",$C795,"4 Item Ledger Entry Type",$C$4,"2 Item No.","@@"&amp;$F795,"3 Posting Date",U$9)</t>
  </si>
  <si>
    <t>=-NL("Sum","5802 Value Entry","151 Cost Amount (Expected)","41 Source Type",$C$5,"5 Source No.",$C795,"4 Item Ledger Entry Type",$C$4,"2 Item No.","@@"&amp;$F795,"3 Posting Date",U$9)-NL("Sum","5802 Value Entry","43 Cost Amount (Actual)","41 Source Type",$C$5,"5 Source no.",$C795,"4 Item Ledger Entry Type",$C$4,"2 Item No.","@@"&amp;$F795,"3 Posting Date",U$9)</t>
  </si>
  <si>
    <t>=U795-W795</t>
  </si>
  <si>
    <t>=IF(U795&lt;&gt;0,X795/U795,"")</t>
  </si>
  <si>
    <t>=NL("Sum","5802 Value Entry","150 Sales Amount (Expected)","41 Source Type",$C$5,"5 Source No.",$C795,"4 Item Ledger Entry Type",$C$4,"2 Item No.","@@"&amp;$F795,"3 Posting Date",Z$9)+NL("Sum","5802 Value Entry","17 Sales Amount (Actual)","41 Source Type",$C$5,"5 Source no.",$C795,"4 Item Ledger Entry Type",$C$4,"2 Item No.","@@"&amp;$F795,"3 Posting Date",Z$9)</t>
  </si>
  <si>
    <t>=-NL("Sum","5802 Value Entry","151 Cost Amount (Expected)","41 Source Type",$C$5,"5 Source No.",$C795,"4 Item Ledger Entry Type",$C$4,"2 Item No.","@@"&amp;$F795,"3 Posting Date",Z$9)-NL("Sum","5802 Value Entry","43 Cost Amount (Actual)","41 Source Type",$C$5,"5 Source no.",$C795,"4 Item Ledger Entry Type",$C$4,"2 Item No.","@@"&amp;$F795,"3 Posting Date",Z$9)</t>
  </si>
  <si>
    <t>=Z795-AB795</t>
  </si>
  <si>
    <t>=IF(Z795&lt;&gt;0,AC795/Z795,"")</t>
  </si>
  <si>
    <t>=C795</t>
  </si>
  <si>
    <t>=NL("Sum","5802 Value Entry","150 Sales Amount (Expected)","41 Source Type",$C$5,"5 Source No.",$C796,"4 Item Ledger Entry Type",$C$4,"2 Item No.","@@"&amp;$F796,"3 Posting Date",J$9)+NL("Sum","5802 Value Entry","17 Sales Amount (Actual)","41 Source Type",$C$5,"5 Source no.",$C796,"4 Item Ledger Entry Type",$C$4,"2 Item No.","@@"&amp;$F796,"3 Posting Date",J$9)</t>
  </si>
  <si>
    <t>=-NL("Sum","5802 Value Entry","151 Cost Amount (Expected)","41 Source Type",$C$5,"5 Source No.",$C796,"4 Item Ledger Entry Type",$C$4,"2 Item No.","@@"&amp;$F796,"3 Posting Date",J$9)-NL("Sum","5802 Value Entry","43 Cost Amount (Actual)","41 Source Type",$C$5,"5 Source no.",$C796,"4 Item Ledger Entry Type",$C$4,"2 Item No.","@@"&amp;$F796,"3 Posting Date",J$9)</t>
  </si>
  <si>
    <t>=J796-L796</t>
  </si>
  <si>
    <t>=IF(J796&lt;&gt;0,M796/J796,"")</t>
  </si>
  <si>
    <t>=NL("Sum","5802 Value Entry","150 Sales Amount (Expected)","41 Source Type",$C$5,"5 Source No.",$C796,"4 Item Ledger Entry Type",$C$4,"2 Item No.","@@"&amp;$F796,"3 Posting Date",O$9)+NL("Sum","5802 Value Entry","17 Sales Amount (Actual)","41 Source Type",$C$5,"5 Source no.",$C796,"4 Item Ledger Entry Type",$C$4,"2 Item No.","@@"&amp;$F796,"3 Posting Date",O$9)</t>
  </si>
  <si>
    <t>=-NL("Sum","5802 Value Entry","151 Cost Amount (Expected)","41 Source Type",$C$5,"5 Source No.",$C796,"4 Item Ledger Entry Type",$C$4,"2 Item No.","@@"&amp;$F796,"3 Posting Date",O$9)-NL("Sum","5802 Value Entry","43 Cost Amount (Actual)","41 Source Type",$C$5,"5 Source no.",$C796,"4 Item Ledger Entry Type",$C$4,"2 Item No.","@@"&amp;$F796,"3 Posting Date",O$9)</t>
  </si>
  <si>
    <t>=O796-Q796</t>
  </si>
  <si>
    <t>=IF(O796&lt;&gt;0,R796/O796,"")</t>
  </si>
  <si>
    <t>=NL("Sum","5802 Value Entry","150 Sales Amount (Expected)","41 Source Type",$C$5,"5 Source No.",$C796,"4 Item Ledger Entry Type",$C$4,"2 Item No.","@@"&amp;$F796,"3 Posting Date",U$9)+NL("Sum","5802 Value Entry","17 Sales Amount (Actual)","41 Source Type",$C$5,"5 Source no.",$C796,"4 Item Ledger Entry Type",$C$4,"2 Item No.","@@"&amp;$F796,"3 Posting Date",U$9)</t>
  </si>
  <si>
    <t>=-NL("Sum","5802 Value Entry","151 Cost Amount (Expected)","41 Source Type",$C$5,"5 Source No.",$C796,"4 Item Ledger Entry Type",$C$4,"2 Item No.","@@"&amp;$F796,"3 Posting Date",U$9)-NL("Sum","5802 Value Entry","43 Cost Amount (Actual)","41 Source Type",$C$5,"5 Source no.",$C796,"4 Item Ledger Entry Type",$C$4,"2 Item No.","@@"&amp;$F796,"3 Posting Date",U$9)</t>
  </si>
  <si>
    <t>=U796-W796</t>
  </si>
  <si>
    <t>=IF(U796&lt;&gt;0,X796/U796,"")</t>
  </si>
  <si>
    <t>=NL("Sum","5802 Value Entry","150 Sales Amount (Expected)","41 Source Type",$C$5,"5 Source No.",$C796,"4 Item Ledger Entry Type",$C$4,"2 Item No.","@@"&amp;$F796,"3 Posting Date",Z$9)+NL("Sum","5802 Value Entry","17 Sales Amount (Actual)","41 Source Type",$C$5,"5 Source no.",$C796,"4 Item Ledger Entry Type",$C$4,"2 Item No.","@@"&amp;$F796,"3 Posting Date",Z$9)</t>
  </si>
  <si>
    <t>=-NL("Sum","5802 Value Entry","151 Cost Amount (Expected)","41 Source Type",$C$5,"5 Source No.",$C796,"4 Item Ledger Entry Type",$C$4,"2 Item No.","@@"&amp;$F796,"3 Posting Date",Z$9)-NL("Sum","5802 Value Entry","43 Cost Amount (Actual)","41 Source Type",$C$5,"5 Source no.",$C796,"4 Item Ledger Entry Type",$C$4,"2 Item No.","@@"&amp;$F796,"3 Posting Date",Z$9)</t>
  </si>
  <si>
    <t>=Z796-AB796</t>
  </si>
  <si>
    <t>=IF(Z796&lt;&gt;0,AC796/Z796,"")</t>
  </si>
  <si>
    <t>=C796</t>
  </si>
  <si>
    <t>=NL("Sum","5802 Value Entry","150 Sales Amount (Expected)","41 Source Type",$C$5,"5 Source No.",$C797,"4 Item Ledger Entry Type",$C$4,"2 Item No.","@@"&amp;$F797,"3 Posting Date",J$9)+NL("Sum","5802 Value Entry","17 Sales Amount (Actual)","41 Source Type",$C$5,"5 Source no.",$C797,"4 Item Ledger Entry Type",$C$4,"2 Item No.","@@"&amp;$F797,"3 Posting Date",J$9)</t>
  </si>
  <si>
    <t>=-NL("Sum","5802 Value Entry","151 Cost Amount (Expected)","41 Source Type",$C$5,"5 Source No.",$C797,"4 Item Ledger Entry Type",$C$4,"2 Item No.","@@"&amp;$F797,"3 Posting Date",J$9)-NL("Sum","5802 Value Entry","43 Cost Amount (Actual)","41 Source Type",$C$5,"5 Source no.",$C797,"4 Item Ledger Entry Type",$C$4,"2 Item No.","@@"&amp;$F797,"3 Posting Date",J$9)</t>
  </si>
  <si>
    <t>=J797-L797</t>
  </si>
  <si>
    <t>=IF(J797&lt;&gt;0,M797/J797,"")</t>
  </si>
  <si>
    <t>=NL("Sum","5802 Value Entry","150 Sales Amount (Expected)","41 Source Type",$C$5,"5 Source No.",$C797,"4 Item Ledger Entry Type",$C$4,"2 Item No.","@@"&amp;$F797,"3 Posting Date",O$9)+NL("Sum","5802 Value Entry","17 Sales Amount (Actual)","41 Source Type",$C$5,"5 Source no.",$C797,"4 Item Ledger Entry Type",$C$4,"2 Item No.","@@"&amp;$F797,"3 Posting Date",O$9)</t>
  </si>
  <si>
    <t>=-NL("Sum","5802 Value Entry","151 Cost Amount (Expected)","41 Source Type",$C$5,"5 Source No.",$C797,"4 Item Ledger Entry Type",$C$4,"2 Item No.","@@"&amp;$F797,"3 Posting Date",O$9)-NL("Sum","5802 Value Entry","43 Cost Amount (Actual)","41 Source Type",$C$5,"5 Source no.",$C797,"4 Item Ledger Entry Type",$C$4,"2 Item No.","@@"&amp;$F797,"3 Posting Date",O$9)</t>
  </si>
  <si>
    <t>=O797-Q797</t>
  </si>
  <si>
    <t>=IF(O797&lt;&gt;0,R797/O797,"")</t>
  </si>
  <si>
    <t>=NL("Sum","5802 Value Entry","150 Sales Amount (Expected)","41 Source Type",$C$5,"5 Source No.",$C797,"4 Item Ledger Entry Type",$C$4,"2 Item No.","@@"&amp;$F797,"3 Posting Date",U$9)+NL("Sum","5802 Value Entry","17 Sales Amount (Actual)","41 Source Type",$C$5,"5 Source no.",$C797,"4 Item Ledger Entry Type",$C$4,"2 Item No.","@@"&amp;$F797,"3 Posting Date",U$9)</t>
  </si>
  <si>
    <t>=-NL("Sum","5802 Value Entry","151 Cost Amount (Expected)","41 Source Type",$C$5,"5 Source No.",$C797,"4 Item Ledger Entry Type",$C$4,"2 Item No.","@@"&amp;$F797,"3 Posting Date",U$9)-NL("Sum","5802 Value Entry","43 Cost Amount (Actual)","41 Source Type",$C$5,"5 Source no.",$C797,"4 Item Ledger Entry Type",$C$4,"2 Item No.","@@"&amp;$F797,"3 Posting Date",U$9)</t>
  </si>
  <si>
    <t>=U797-W797</t>
  </si>
  <si>
    <t>=IF(U797&lt;&gt;0,X797/U797,"")</t>
  </si>
  <si>
    <t>=NL("Sum","5802 Value Entry","150 Sales Amount (Expected)","41 Source Type",$C$5,"5 Source No.",$C797,"4 Item Ledger Entry Type",$C$4,"2 Item No.","@@"&amp;$F797,"3 Posting Date",Z$9)+NL("Sum","5802 Value Entry","17 Sales Amount (Actual)","41 Source Type",$C$5,"5 Source no.",$C797,"4 Item Ledger Entry Type",$C$4,"2 Item No.","@@"&amp;$F797,"3 Posting Date",Z$9)</t>
  </si>
  <si>
    <t>=-NL("Sum","5802 Value Entry","151 Cost Amount (Expected)","41 Source Type",$C$5,"5 Source No.",$C797,"4 Item Ledger Entry Type",$C$4,"2 Item No.","@@"&amp;$F797,"3 Posting Date",Z$9)-NL("Sum","5802 Value Entry","43 Cost Amount (Actual)","41 Source Type",$C$5,"5 Source no.",$C797,"4 Item Ledger Entry Type",$C$4,"2 Item No.","@@"&amp;$F797,"3 Posting Date",Z$9)</t>
  </si>
  <si>
    <t>=Z797-AB797</t>
  </si>
  <si>
    <t>=IF(Z797&lt;&gt;0,AC797/Z797,"")</t>
  </si>
  <si>
    <t>=C797</t>
  </si>
  <si>
    <t>=NL("Sum","5802 Value Entry","150 Sales Amount (Expected)","41 Source Type",$C$5,"5 Source No.",$C798,"4 Item Ledger Entry Type",$C$4,"2 Item No.","@@"&amp;$F798,"3 Posting Date",J$9)+NL("Sum","5802 Value Entry","17 Sales Amount (Actual)","41 Source Type",$C$5,"5 Source no.",$C798,"4 Item Ledger Entry Type",$C$4,"2 Item No.","@@"&amp;$F798,"3 Posting Date",J$9)</t>
  </si>
  <si>
    <t>=-NL("Sum","5802 Value Entry","151 Cost Amount (Expected)","41 Source Type",$C$5,"5 Source No.",$C798,"4 Item Ledger Entry Type",$C$4,"2 Item No.","@@"&amp;$F798,"3 Posting Date",J$9)-NL("Sum","5802 Value Entry","43 Cost Amount (Actual)","41 Source Type",$C$5,"5 Source no.",$C798,"4 Item Ledger Entry Type",$C$4,"2 Item No.","@@"&amp;$F798,"3 Posting Date",J$9)</t>
  </si>
  <si>
    <t>=J798-L798</t>
  </si>
  <si>
    <t>=IF(J798&lt;&gt;0,M798/J798,"")</t>
  </si>
  <si>
    <t>=NL("Sum","5802 Value Entry","150 Sales Amount (Expected)","41 Source Type",$C$5,"5 Source No.",$C798,"4 Item Ledger Entry Type",$C$4,"2 Item No.","@@"&amp;$F798,"3 Posting Date",O$9)+NL("Sum","5802 Value Entry","17 Sales Amount (Actual)","41 Source Type",$C$5,"5 Source no.",$C798,"4 Item Ledger Entry Type",$C$4,"2 Item No.","@@"&amp;$F798,"3 Posting Date",O$9)</t>
  </si>
  <si>
    <t>=-NL("Sum","5802 Value Entry","151 Cost Amount (Expected)","41 Source Type",$C$5,"5 Source No.",$C798,"4 Item Ledger Entry Type",$C$4,"2 Item No.","@@"&amp;$F798,"3 Posting Date",O$9)-NL("Sum","5802 Value Entry","43 Cost Amount (Actual)","41 Source Type",$C$5,"5 Source no.",$C798,"4 Item Ledger Entry Type",$C$4,"2 Item No.","@@"&amp;$F798,"3 Posting Date",O$9)</t>
  </si>
  <si>
    <t>=O798-Q798</t>
  </si>
  <si>
    <t>=IF(O798&lt;&gt;0,R798/O798,"")</t>
  </si>
  <si>
    <t>=NL("Sum","5802 Value Entry","150 Sales Amount (Expected)","41 Source Type",$C$5,"5 Source No.",$C798,"4 Item Ledger Entry Type",$C$4,"2 Item No.","@@"&amp;$F798,"3 Posting Date",U$9)+NL("Sum","5802 Value Entry","17 Sales Amount (Actual)","41 Source Type",$C$5,"5 Source no.",$C798,"4 Item Ledger Entry Type",$C$4,"2 Item No.","@@"&amp;$F798,"3 Posting Date",U$9)</t>
  </si>
  <si>
    <t>=-NL("Sum","5802 Value Entry","151 Cost Amount (Expected)","41 Source Type",$C$5,"5 Source No.",$C798,"4 Item Ledger Entry Type",$C$4,"2 Item No.","@@"&amp;$F798,"3 Posting Date",U$9)-NL("Sum","5802 Value Entry","43 Cost Amount (Actual)","41 Source Type",$C$5,"5 Source no.",$C798,"4 Item Ledger Entry Type",$C$4,"2 Item No.","@@"&amp;$F798,"3 Posting Date",U$9)</t>
  </si>
  <si>
    <t>=U798-W798</t>
  </si>
  <si>
    <t>=IF(U798&lt;&gt;0,X798/U798,"")</t>
  </si>
  <si>
    <t>=NL("Sum","5802 Value Entry","150 Sales Amount (Expected)","41 Source Type",$C$5,"5 Source No.",$C798,"4 Item Ledger Entry Type",$C$4,"2 Item No.","@@"&amp;$F798,"3 Posting Date",Z$9)+NL("Sum","5802 Value Entry","17 Sales Amount (Actual)","41 Source Type",$C$5,"5 Source no.",$C798,"4 Item Ledger Entry Type",$C$4,"2 Item No.","@@"&amp;$F798,"3 Posting Date",Z$9)</t>
  </si>
  <si>
    <t>=-NL("Sum","5802 Value Entry","151 Cost Amount (Expected)","41 Source Type",$C$5,"5 Source No.",$C798,"4 Item Ledger Entry Type",$C$4,"2 Item No.","@@"&amp;$F798,"3 Posting Date",Z$9)-NL("Sum","5802 Value Entry","43 Cost Amount (Actual)","41 Source Type",$C$5,"5 Source no.",$C798,"4 Item Ledger Entry Type",$C$4,"2 Item No.","@@"&amp;$F798,"3 Posting Date",Z$9)</t>
  </si>
  <si>
    <t>=Z798-AB798</t>
  </si>
  <si>
    <t>=IF(Z798&lt;&gt;0,AC798/Z798,"")</t>
  </si>
  <si>
    <t>=C798</t>
  </si>
  <si>
    <t>=NL("Sum","5802 Value Entry","150 Sales Amount (Expected)","41 Source Type",$C$5,"5 Source No.",$C799,"4 Item Ledger Entry Type",$C$4,"2 Item No.","@@"&amp;$F799,"3 Posting Date",J$9)+NL("Sum","5802 Value Entry","17 Sales Amount (Actual)","41 Source Type",$C$5,"5 Source no.",$C799,"4 Item Ledger Entry Type",$C$4,"2 Item No.","@@"&amp;$F799,"3 Posting Date",J$9)</t>
  </si>
  <si>
    <t>=-NL("Sum","5802 Value Entry","151 Cost Amount (Expected)","41 Source Type",$C$5,"5 Source No.",$C799,"4 Item Ledger Entry Type",$C$4,"2 Item No.","@@"&amp;$F799,"3 Posting Date",J$9)-NL("Sum","5802 Value Entry","43 Cost Amount (Actual)","41 Source Type",$C$5,"5 Source no.",$C799,"4 Item Ledger Entry Type",$C$4,"2 Item No.","@@"&amp;$F799,"3 Posting Date",J$9)</t>
  </si>
  <si>
    <t>=J799-L799</t>
  </si>
  <si>
    <t>=IF(J799&lt;&gt;0,M799/J799,"")</t>
  </si>
  <si>
    <t>=NL("Sum","5802 Value Entry","150 Sales Amount (Expected)","41 Source Type",$C$5,"5 Source No.",$C799,"4 Item Ledger Entry Type",$C$4,"2 Item No.","@@"&amp;$F799,"3 Posting Date",O$9)+NL("Sum","5802 Value Entry","17 Sales Amount (Actual)","41 Source Type",$C$5,"5 Source no.",$C799,"4 Item Ledger Entry Type",$C$4,"2 Item No.","@@"&amp;$F799,"3 Posting Date",O$9)</t>
  </si>
  <si>
    <t>=-NL("Sum","5802 Value Entry","151 Cost Amount (Expected)","41 Source Type",$C$5,"5 Source No.",$C799,"4 Item Ledger Entry Type",$C$4,"2 Item No.","@@"&amp;$F799,"3 Posting Date",O$9)-NL("Sum","5802 Value Entry","43 Cost Amount (Actual)","41 Source Type",$C$5,"5 Source no.",$C799,"4 Item Ledger Entry Type",$C$4,"2 Item No.","@@"&amp;$F799,"3 Posting Date",O$9)</t>
  </si>
  <si>
    <t>=O799-Q799</t>
  </si>
  <si>
    <t>=IF(O799&lt;&gt;0,R799/O799,"")</t>
  </si>
  <si>
    <t>=NL("Sum","5802 Value Entry","150 Sales Amount (Expected)","41 Source Type",$C$5,"5 Source No.",$C799,"4 Item Ledger Entry Type",$C$4,"2 Item No.","@@"&amp;$F799,"3 Posting Date",U$9)+NL("Sum","5802 Value Entry","17 Sales Amount (Actual)","41 Source Type",$C$5,"5 Source no.",$C799,"4 Item Ledger Entry Type",$C$4,"2 Item No.","@@"&amp;$F799,"3 Posting Date",U$9)</t>
  </si>
  <si>
    <t>=-NL("Sum","5802 Value Entry","151 Cost Amount (Expected)","41 Source Type",$C$5,"5 Source No.",$C799,"4 Item Ledger Entry Type",$C$4,"2 Item No.","@@"&amp;$F799,"3 Posting Date",U$9)-NL("Sum","5802 Value Entry","43 Cost Amount (Actual)","41 Source Type",$C$5,"5 Source no.",$C799,"4 Item Ledger Entry Type",$C$4,"2 Item No.","@@"&amp;$F799,"3 Posting Date",U$9)</t>
  </si>
  <si>
    <t>=U799-W799</t>
  </si>
  <si>
    <t>=IF(U799&lt;&gt;0,X799/U799,"")</t>
  </si>
  <si>
    <t>=NL("Sum","5802 Value Entry","150 Sales Amount (Expected)","41 Source Type",$C$5,"5 Source No.",$C799,"4 Item Ledger Entry Type",$C$4,"2 Item No.","@@"&amp;$F799,"3 Posting Date",Z$9)+NL("Sum","5802 Value Entry","17 Sales Amount (Actual)","41 Source Type",$C$5,"5 Source no.",$C799,"4 Item Ledger Entry Type",$C$4,"2 Item No.","@@"&amp;$F799,"3 Posting Date",Z$9)</t>
  </si>
  <si>
    <t>=-NL("Sum","5802 Value Entry","151 Cost Amount (Expected)","41 Source Type",$C$5,"5 Source No.",$C799,"4 Item Ledger Entry Type",$C$4,"2 Item No.","@@"&amp;$F799,"3 Posting Date",Z$9)-NL("Sum","5802 Value Entry","43 Cost Amount (Actual)","41 Source Type",$C$5,"5 Source no.",$C799,"4 Item Ledger Entry Type",$C$4,"2 Item No.","@@"&amp;$F799,"3 Posting Date",Z$9)</t>
  </si>
  <si>
    <t>=Z799-AB799</t>
  </si>
  <si>
    <t>=IF(Z799&lt;&gt;0,AC799/Z799,"")</t>
  </si>
  <si>
    <t>=C799</t>
  </si>
  <si>
    <t>=NL("Sum","5802 Value Entry","150 Sales Amount (Expected)","41 Source Type",$C$5,"5 Source No.",$C800,"4 Item Ledger Entry Type",$C$4,"2 Item No.","@@"&amp;$F800,"3 Posting Date",J$9)+NL("Sum","5802 Value Entry","17 Sales Amount (Actual)","41 Source Type",$C$5,"5 Source no.",$C800,"4 Item Ledger Entry Type",$C$4,"2 Item No.","@@"&amp;$F800,"3 Posting Date",J$9)</t>
  </si>
  <si>
    <t>=-NL("Sum","5802 Value Entry","151 Cost Amount (Expected)","41 Source Type",$C$5,"5 Source No.",$C800,"4 Item Ledger Entry Type",$C$4,"2 Item No.","@@"&amp;$F800,"3 Posting Date",J$9)-NL("Sum","5802 Value Entry","43 Cost Amount (Actual)","41 Source Type",$C$5,"5 Source no.",$C800,"4 Item Ledger Entry Type",$C$4,"2 Item No.","@@"&amp;$F800,"3 Posting Date",J$9)</t>
  </si>
  <si>
    <t>=J800-L800</t>
  </si>
  <si>
    <t>=IF(J800&lt;&gt;0,M800/J800,"")</t>
  </si>
  <si>
    <t>=NL("Sum","5802 Value Entry","150 Sales Amount (Expected)","41 Source Type",$C$5,"5 Source No.",$C800,"4 Item Ledger Entry Type",$C$4,"2 Item No.","@@"&amp;$F800,"3 Posting Date",O$9)+NL("Sum","5802 Value Entry","17 Sales Amount (Actual)","41 Source Type",$C$5,"5 Source no.",$C800,"4 Item Ledger Entry Type",$C$4,"2 Item No.","@@"&amp;$F800,"3 Posting Date",O$9)</t>
  </si>
  <si>
    <t>=-NL("Sum","5802 Value Entry","151 Cost Amount (Expected)","41 Source Type",$C$5,"5 Source No.",$C800,"4 Item Ledger Entry Type",$C$4,"2 Item No.","@@"&amp;$F800,"3 Posting Date",O$9)-NL("Sum","5802 Value Entry","43 Cost Amount (Actual)","41 Source Type",$C$5,"5 Source no.",$C800,"4 Item Ledger Entry Type",$C$4,"2 Item No.","@@"&amp;$F800,"3 Posting Date",O$9)</t>
  </si>
  <si>
    <t>=O800-Q800</t>
  </si>
  <si>
    <t>=IF(O800&lt;&gt;0,R800/O800,"")</t>
  </si>
  <si>
    <t>=NL("Sum","5802 Value Entry","150 Sales Amount (Expected)","41 Source Type",$C$5,"5 Source No.",$C800,"4 Item Ledger Entry Type",$C$4,"2 Item No.","@@"&amp;$F800,"3 Posting Date",U$9)+NL("Sum","5802 Value Entry","17 Sales Amount (Actual)","41 Source Type",$C$5,"5 Source no.",$C800,"4 Item Ledger Entry Type",$C$4,"2 Item No.","@@"&amp;$F800,"3 Posting Date",U$9)</t>
  </si>
  <si>
    <t>=-NL("Sum","5802 Value Entry","151 Cost Amount (Expected)","41 Source Type",$C$5,"5 Source No.",$C800,"4 Item Ledger Entry Type",$C$4,"2 Item No.","@@"&amp;$F800,"3 Posting Date",U$9)-NL("Sum","5802 Value Entry","43 Cost Amount (Actual)","41 Source Type",$C$5,"5 Source no.",$C800,"4 Item Ledger Entry Type",$C$4,"2 Item No.","@@"&amp;$F800,"3 Posting Date",U$9)</t>
  </si>
  <si>
    <t>=U800-W800</t>
  </si>
  <si>
    <t>=IF(U800&lt;&gt;0,X800/U800,"")</t>
  </si>
  <si>
    <t>=NL("Sum","5802 Value Entry","150 Sales Amount (Expected)","41 Source Type",$C$5,"5 Source No.",$C800,"4 Item Ledger Entry Type",$C$4,"2 Item No.","@@"&amp;$F800,"3 Posting Date",Z$9)+NL("Sum","5802 Value Entry","17 Sales Amount (Actual)","41 Source Type",$C$5,"5 Source no.",$C800,"4 Item Ledger Entry Type",$C$4,"2 Item No.","@@"&amp;$F800,"3 Posting Date",Z$9)</t>
  </si>
  <si>
    <t>=-NL("Sum","5802 Value Entry","151 Cost Amount (Expected)","41 Source Type",$C$5,"5 Source No.",$C800,"4 Item Ledger Entry Type",$C$4,"2 Item No.","@@"&amp;$F800,"3 Posting Date",Z$9)-NL("Sum","5802 Value Entry","43 Cost Amount (Actual)","41 Source Type",$C$5,"5 Source no.",$C800,"4 Item Ledger Entry Type",$C$4,"2 Item No.","@@"&amp;$F800,"3 Posting Date",Z$9)</t>
  </si>
  <si>
    <t>=Z800-AB800</t>
  </si>
  <si>
    <t>=IF(Z800&lt;&gt;0,AC800/Z800,"")</t>
  </si>
  <si>
    <t>=C800</t>
  </si>
  <si>
    <t>=NL("Sum","5802 Value Entry","150 Sales Amount (Expected)","41 Source Type",$C$5,"5 Source No.",$C801,"4 Item Ledger Entry Type",$C$4,"2 Item No.","@@"&amp;$F801,"3 Posting Date",J$9)+NL("Sum","5802 Value Entry","17 Sales Amount (Actual)","41 Source Type",$C$5,"5 Source no.",$C801,"4 Item Ledger Entry Type",$C$4,"2 Item No.","@@"&amp;$F801,"3 Posting Date",J$9)</t>
  </si>
  <si>
    <t>=-NL("Sum","5802 Value Entry","151 Cost Amount (Expected)","41 Source Type",$C$5,"5 Source No.",$C801,"4 Item Ledger Entry Type",$C$4,"2 Item No.","@@"&amp;$F801,"3 Posting Date",J$9)-NL("Sum","5802 Value Entry","43 Cost Amount (Actual)","41 Source Type",$C$5,"5 Source no.",$C801,"4 Item Ledger Entry Type",$C$4,"2 Item No.","@@"&amp;$F801,"3 Posting Date",J$9)</t>
  </si>
  <si>
    <t>=J801-L801</t>
  </si>
  <si>
    <t>=IF(J801&lt;&gt;0,M801/J801,"")</t>
  </si>
  <si>
    <t>=NL("Sum","5802 Value Entry","150 Sales Amount (Expected)","41 Source Type",$C$5,"5 Source No.",$C801,"4 Item Ledger Entry Type",$C$4,"2 Item No.","@@"&amp;$F801,"3 Posting Date",O$9)+NL("Sum","5802 Value Entry","17 Sales Amount (Actual)","41 Source Type",$C$5,"5 Source no.",$C801,"4 Item Ledger Entry Type",$C$4,"2 Item No.","@@"&amp;$F801,"3 Posting Date",O$9)</t>
  </si>
  <si>
    <t>=-NL("Sum","5802 Value Entry","151 Cost Amount (Expected)","41 Source Type",$C$5,"5 Source No.",$C801,"4 Item Ledger Entry Type",$C$4,"2 Item No.","@@"&amp;$F801,"3 Posting Date",O$9)-NL("Sum","5802 Value Entry","43 Cost Amount (Actual)","41 Source Type",$C$5,"5 Source no.",$C801,"4 Item Ledger Entry Type",$C$4,"2 Item No.","@@"&amp;$F801,"3 Posting Date",O$9)</t>
  </si>
  <si>
    <t>=O801-Q801</t>
  </si>
  <si>
    <t>=IF(O801&lt;&gt;0,R801/O801,"")</t>
  </si>
  <si>
    <t>=NL("Sum","5802 Value Entry","150 Sales Amount (Expected)","41 Source Type",$C$5,"5 Source No.",$C801,"4 Item Ledger Entry Type",$C$4,"2 Item No.","@@"&amp;$F801,"3 Posting Date",U$9)+NL("Sum","5802 Value Entry","17 Sales Amount (Actual)","41 Source Type",$C$5,"5 Source no.",$C801,"4 Item Ledger Entry Type",$C$4,"2 Item No.","@@"&amp;$F801,"3 Posting Date",U$9)</t>
  </si>
  <si>
    <t>=-NL("Sum","5802 Value Entry","151 Cost Amount (Expected)","41 Source Type",$C$5,"5 Source No.",$C801,"4 Item Ledger Entry Type",$C$4,"2 Item No.","@@"&amp;$F801,"3 Posting Date",U$9)-NL("Sum","5802 Value Entry","43 Cost Amount (Actual)","41 Source Type",$C$5,"5 Source no.",$C801,"4 Item Ledger Entry Type",$C$4,"2 Item No.","@@"&amp;$F801,"3 Posting Date",U$9)</t>
  </si>
  <si>
    <t>=U801-W801</t>
  </si>
  <si>
    <t>=IF(U801&lt;&gt;0,X801/U801,"")</t>
  </si>
  <si>
    <t>=NL("Sum","5802 Value Entry","150 Sales Amount (Expected)","41 Source Type",$C$5,"5 Source No.",$C801,"4 Item Ledger Entry Type",$C$4,"2 Item No.","@@"&amp;$F801,"3 Posting Date",Z$9)+NL("Sum","5802 Value Entry","17 Sales Amount (Actual)","41 Source Type",$C$5,"5 Source no.",$C801,"4 Item Ledger Entry Type",$C$4,"2 Item No.","@@"&amp;$F801,"3 Posting Date",Z$9)</t>
  </si>
  <si>
    <t>=-NL("Sum","5802 Value Entry","151 Cost Amount (Expected)","41 Source Type",$C$5,"5 Source No.",$C801,"4 Item Ledger Entry Type",$C$4,"2 Item No.","@@"&amp;$F801,"3 Posting Date",Z$9)-NL("Sum","5802 Value Entry","43 Cost Amount (Actual)","41 Source Type",$C$5,"5 Source no.",$C801,"4 Item Ledger Entry Type",$C$4,"2 Item No.","@@"&amp;$F801,"3 Posting Date",Z$9)</t>
  </si>
  <si>
    <t>=Z801-AB801</t>
  </si>
  <si>
    <t>=IF(Z801&lt;&gt;0,AC801/Z801,"")</t>
  </si>
  <si>
    <t>=C801</t>
  </si>
  <si>
    <t>=NL("Sum","5802 Value Entry","150 Sales Amount (Expected)","41 Source Type",$C$5,"5 Source No.",$C802,"4 Item Ledger Entry Type",$C$4,"2 Item No.","@@"&amp;$F802,"3 Posting Date",J$9)+NL("Sum","5802 Value Entry","17 Sales Amount (Actual)","41 Source Type",$C$5,"5 Source no.",$C802,"4 Item Ledger Entry Type",$C$4,"2 Item No.","@@"&amp;$F802,"3 Posting Date",J$9)</t>
  </si>
  <si>
    <t>=-NL("Sum","5802 Value Entry","151 Cost Amount (Expected)","41 Source Type",$C$5,"5 Source No.",$C802,"4 Item Ledger Entry Type",$C$4,"2 Item No.","@@"&amp;$F802,"3 Posting Date",J$9)-NL("Sum","5802 Value Entry","43 Cost Amount (Actual)","41 Source Type",$C$5,"5 Source no.",$C802,"4 Item Ledger Entry Type",$C$4,"2 Item No.","@@"&amp;$F802,"3 Posting Date",J$9)</t>
  </si>
  <si>
    <t>=J802-L802</t>
  </si>
  <si>
    <t>=IF(J802&lt;&gt;0,M802/J802,"")</t>
  </si>
  <si>
    <t>=NL("Sum","5802 Value Entry","150 Sales Amount (Expected)","41 Source Type",$C$5,"5 Source No.",$C802,"4 Item Ledger Entry Type",$C$4,"2 Item No.","@@"&amp;$F802,"3 Posting Date",O$9)+NL("Sum","5802 Value Entry","17 Sales Amount (Actual)","41 Source Type",$C$5,"5 Source no.",$C802,"4 Item Ledger Entry Type",$C$4,"2 Item No.","@@"&amp;$F802,"3 Posting Date",O$9)</t>
  </si>
  <si>
    <t>=-NL("Sum","5802 Value Entry","151 Cost Amount (Expected)","41 Source Type",$C$5,"5 Source No.",$C802,"4 Item Ledger Entry Type",$C$4,"2 Item No.","@@"&amp;$F802,"3 Posting Date",O$9)-NL("Sum","5802 Value Entry","43 Cost Amount (Actual)","41 Source Type",$C$5,"5 Source no.",$C802,"4 Item Ledger Entry Type",$C$4,"2 Item No.","@@"&amp;$F802,"3 Posting Date",O$9)</t>
  </si>
  <si>
    <t>=O802-Q802</t>
  </si>
  <si>
    <t>=IF(O802&lt;&gt;0,R802/O802,"")</t>
  </si>
  <si>
    <t>=NL("Sum","5802 Value Entry","150 Sales Amount (Expected)","41 Source Type",$C$5,"5 Source No.",$C802,"4 Item Ledger Entry Type",$C$4,"2 Item No.","@@"&amp;$F802,"3 Posting Date",U$9)+NL("Sum","5802 Value Entry","17 Sales Amount (Actual)","41 Source Type",$C$5,"5 Source no.",$C802,"4 Item Ledger Entry Type",$C$4,"2 Item No.","@@"&amp;$F802,"3 Posting Date",U$9)</t>
  </si>
  <si>
    <t>=-NL("Sum","5802 Value Entry","151 Cost Amount (Expected)","41 Source Type",$C$5,"5 Source No.",$C802,"4 Item Ledger Entry Type",$C$4,"2 Item No.","@@"&amp;$F802,"3 Posting Date",U$9)-NL("Sum","5802 Value Entry","43 Cost Amount (Actual)","41 Source Type",$C$5,"5 Source no.",$C802,"4 Item Ledger Entry Type",$C$4,"2 Item No.","@@"&amp;$F802,"3 Posting Date",U$9)</t>
  </si>
  <si>
    <t>=U802-W802</t>
  </si>
  <si>
    <t>=IF(U802&lt;&gt;0,X802/U802,"")</t>
  </si>
  <si>
    <t>=NL("Sum","5802 Value Entry","150 Sales Amount (Expected)","41 Source Type",$C$5,"5 Source No.",$C802,"4 Item Ledger Entry Type",$C$4,"2 Item No.","@@"&amp;$F802,"3 Posting Date",Z$9)+NL("Sum","5802 Value Entry","17 Sales Amount (Actual)","41 Source Type",$C$5,"5 Source no.",$C802,"4 Item Ledger Entry Type",$C$4,"2 Item No.","@@"&amp;$F802,"3 Posting Date",Z$9)</t>
  </si>
  <si>
    <t>=-NL("Sum","5802 Value Entry","151 Cost Amount (Expected)","41 Source Type",$C$5,"5 Source No.",$C802,"4 Item Ledger Entry Type",$C$4,"2 Item No.","@@"&amp;$F802,"3 Posting Date",Z$9)-NL("Sum","5802 Value Entry","43 Cost Amount (Actual)","41 Source Type",$C$5,"5 Source no.",$C802,"4 Item Ledger Entry Type",$C$4,"2 Item No.","@@"&amp;$F802,"3 Posting Date",Z$9)</t>
  </si>
  <si>
    <t>=Z802-AB802</t>
  </si>
  <si>
    <t>=IF(Z802&lt;&gt;0,AC802/Z802,"")</t>
  </si>
  <si>
    <t>=C802</t>
  </si>
  <si>
    <t>=NL("Sum","5802 Value Entry","150 Sales Amount (Expected)","41 Source Type",$C$5,"5 Source No.",$C803,"4 Item Ledger Entry Type",$C$4,"2 Item No.","@@"&amp;$F803,"3 Posting Date",J$9)+NL("Sum","5802 Value Entry","17 Sales Amount (Actual)","41 Source Type",$C$5,"5 Source no.",$C803,"4 Item Ledger Entry Type",$C$4,"2 Item No.","@@"&amp;$F803,"3 Posting Date",J$9)</t>
  </si>
  <si>
    <t>=-NL("Sum","5802 Value Entry","151 Cost Amount (Expected)","41 Source Type",$C$5,"5 Source No.",$C803,"4 Item Ledger Entry Type",$C$4,"2 Item No.","@@"&amp;$F803,"3 Posting Date",J$9)-NL("Sum","5802 Value Entry","43 Cost Amount (Actual)","41 Source Type",$C$5,"5 Source no.",$C803,"4 Item Ledger Entry Type",$C$4,"2 Item No.","@@"&amp;$F803,"3 Posting Date",J$9)</t>
  </si>
  <si>
    <t>=J803-L803</t>
  </si>
  <si>
    <t>=IF(J803&lt;&gt;0,M803/J803,"")</t>
  </si>
  <si>
    <t>=NL("Sum","5802 Value Entry","150 Sales Amount (Expected)","41 Source Type",$C$5,"5 Source No.",$C803,"4 Item Ledger Entry Type",$C$4,"2 Item No.","@@"&amp;$F803,"3 Posting Date",O$9)+NL("Sum","5802 Value Entry","17 Sales Amount (Actual)","41 Source Type",$C$5,"5 Source no.",$C803,"4 Item Ledger Entry Type",$C$4,"2 Item No.","@@"&amp;$F803,"3 Posting Date",O$9)</t>
  </si>
  <si>
    <t>=-NL("Sum","5802 Value Entry","151 Cost Amount (Expected)","41 Source Type",$C$5,"5 Source No.",$C803,"4 Item Ledger Entry Type",$C$4,"2 Item No.","@@"&amp;$F803,"3 Posting Date",O$9)-NL("Sum","5802 Value Entry","43 Cost Amount (Actual)","41 Source Type",$C$5,"5 Source no.",$C803,"4 Item Ledger Entry Type",$C$4,"2 Item No.","@@"&amp;$F803,"3 Posting Date",O$9)</t>
  </si>
  <si>
    <t>=O803-Q803</t>
  </si>
  <si>
    <t>=IF(O803&lt;&gt;0,R803/O803,"")</t>
  </si>
  <si>
    <t>=NL("Sum","5802 Value Entry","150 Sales Amount (Expected)","41 Source Type",$C$5,"5 Source No.",$C803,"4 Item Ledger Entry Type",$C$4,"2 Item No.","@@"&amp;$F803,"3 Posting Date",U$9)+NL("Sum","5802 Value Entry","17 Sales Amount (Actual)","41 Source Type",$C$5,"5 Source no.",$C803,"4 Item Ledger Entry Type",$C$4,"2 Item No.","@@"&amp;$F803,"3 Posting Date",U$9)</t>
  </si>
  <si>
    <t>=-NL("Sum","5802 Value Entry","151 Cost Amount (Expected)","41 Source Type",$C$5,"5 Source No.",$C803,"4 Item Ledger Entry Type",$C$4,"2 Item No.","@@"&amp;$F803,"3 Posting Date",U$9)-NL("Sum","5802 Value Entry","43 Cost Amount (Actual)","41 Source Type",$C$5,"5 Source no.",$C803,"4 Item Ledger Entry Type",$C$4,"2 Item No.","@@"&amp;$F803,"3 Posting Date",U$9)</t>
  </si>
  <si>
    <t>=U803-W803</t>
  </si>
  <si>
    <t>=IF(U803&lt;&gt;0,X803/U803,"")</t>
  </si>
  <si>
    <t>=NL("Sum","5802 Value Entry","150 Sales Amount (Expected)","41 Source Type",$C$5,"5 Source No.",$C803,"4 Item Ledger Entry Type",$C$4,"2 Item No.","@@"&amp;$F803,"3 Posting Date",Z$9)+NL("Sum","5802 Value Entry","17 Sales Amount (Actual)","41 Source Type",$C$5,"5 Source no.",$C803,"4 Item Ledger Entry Type",$C$4,"2 Item No.","@@"&amp;$F803,"3 Posting Date",Z$9)</t>
  </si>
  <si>
    <t>=-NL("Sum","5802 Value Entry","151 Cost Amount (Expected)","41 Source Type",$C$5,"5 Source No.",$C803,"4 Item Ledger Entry Type",$C$4,"2 Item No.","@@"&amp;$F803,"3 Posting Date",Z$9)-NL("Sum","5802 Value Entry","43 Cost Amount (Actual)","41 Source Type",$C$5,"5 Source no.",$C803,"4 Item Ledger Entry Type",$C$4,"2 Item No.","@@"&amp;$F803,"3 Posting Date",Z$9)</t>
  </si>
  <si>
    <t>=Z803-AB803</t>
  </si>
  <si>
    <t>=IF(Z803&lt;&gt;0,AC803/Z803,"")</t>
  </si>
  <si>
    <t>=C803</t>
  </si>
  <si>
    <t>=NL("Sum","5802 Value Entry","150 Sales Amount (Expected)","41 Source Type",$C$5,"5 Source No.",$C804,"4 Item Ledger Entry Type",$C$4,"2 Item No.","@@"&amp;$F804,"3 Posting Date",J$9)+NL("Sum","5802 Value Entry","17 Sales Amount (Actual)","41 Source Type",$C$5,"5 Source no.",$C804,"4 Item Ledger Entry Type",$C$4,"2 Item No.","@@"&amp;$F804,"3 Posting Date",J$9)</t>
  </si>
  <si>
    <t>=-NL("Sum","5802 Value Entry","151 Cost Amount (Expected)","41 Source Type",$C$5,"5 Source No.",$C804,"4 Item Ledger Entry Type",$C$4,"2 Item No.","@@"&amp;$F804,"3 Posting Date",J$9)-NL("Sum","5802 Value Entry","43 Cost Amount (Actual)","41 Source Type",$C$5,"5 Source no.",$C804,"4 Item Ledger Entry Type",$C$4,"2 Item No.","@@"&amp;$F804,"3 Posting Date",J$9)</t>
  </si>
  <si>
    <t>=J804-L804</t>
  </si>
  <si>
    <t>=IF(J804&lt;&gt;0,M804/J804,"")</t>
  </si>
  <si>
    <t>=NL("Sum","5802 Value Entry","150 Sales Amount (Expected)","41 Source Type",$C$5,"5 Source No.",$C804,"4 Item Ledger Entry Type",$C$4,"2 Item No.","@@"&amp;$F804,"3 Posting Date",O$9)+NL("Sum","5802 Value Entry","17 Sales Amount (Actual)","41 Source Type",$C$5,"5 Source no.",$C804,"4 Item Ledger Entry Type",$C$4,"2 Item No.","@@"&amp;$F804,"3 Posting Date",O$9)</t>
  </si>
  <si>
    <t>=-NL("Sum","5802 Value Entry","151 Cost Amount (Expected)","41 Source Type",$C$5,"5 Source No.",$C804,"4 Item Ledger Entry Type",$C$4,"2 Item No.","@@"&amp;$F804,"3 Posting Date",O$9)-NL("Sum","5802 Value Entry","43 Cost Amount (Actual)","41 Source Type",$C$5,"5 Source no.",$C804,"4 Item Ledger Entry Type",$C$4,"2 Item No.","@@"&amp;$F804,"3 Posting Date",O$9)</t>
  </si>
  <si>
    <t>=O804-Q804</t>
  </si>
  <si>
    <t>=IF(O804&lt;&gt;0,R804/O804,"")</t>
  </si>
  <si>
    <t>=NL("Sum","5802 Value Entry","150 Sales Amount (Expected)","41 Source Type",$C$5,"5 Source No.",$C804,"4 Item Ledger Entry Type",$C$4,"2 Item No.","@@"&amp;$F804,"3 Posting Date",U$9)+NL("Sum","5802 Value Entry","17 Sales Amount (Actual)","41 Source Type",$C$5,"5 Source no.",$C804,"4 Item Ledger Entry Type",$C$4,"2 Item No.","@@"&amp;$F804,"3 Posting Date",U$9)</t>
  </si>
  <si>
    <t>=-NL("Sum","5802 Value Entry","151 Cost Amount (Expected)","41 Source Type",$C$5,"5 Source No.",$C804,"4 Item Ledger Entry Type",$C$4,"2 Item No.","@@"&amp;$F804,"3 Posting Date",U$9)-NL("Sum","5802 Value Entry","43 Cost Amount (Actual)","41 Source Type",$C$5,"5 Source no.",$C804,"4 Item Ledger Entry Type",$C$4,"2 Item No.","@@"&amp;$F804,"3 Posting Date",U$9)</t>
  </si>
  <si>
    <t>=U804-W804</t>
  </si>
  <si>
    <t>=IF(U804&lt;&gt;0,X804/U804,"")</t>
  </si>
  <si>
    <t>=NL("Sum","5802 Value Entry","150 Sales Amount (Expected)","41 Source Type",$C$5,"5 Source No.",$C804,"4 Item Ledger Entry Type",$C$4,"2 Item No.","@@"&amp;$F804,"3 Posting Date",Z$9)+NL("Sum","5802 Value Entry","17 Sales Amount (Actual)","41 Source Type",$C$5,"5 Source no.",$C804,"4 Item Ledger Entry Type",$C$4,"2 Item No.","@@"&amp;$F804,"3 Posting Date",Z$9)</t>
  </si>
  <si>
    <t>=-NL("Sum","5802 Value Entry","151 Cost Amount (Expected)","41 Source Type",$C$5,"5 Source No.",$C804,"4 Item Ledger Entry Type",$C$4,"2 Item No.","@@"&amp;$F804,"3 Posting Date",Z$9)-NL("Sum","5802 Value Entry","43 Cost Amount (Actual)","41 Source Type",$C$5,"5 Source no.",$C804,"4 Item Ledger Entry Type",$C$4,"2 Item No.","@@"&amp;$F804,"3 Posting Date",Z$9)</t>
  </si>
  <si>
    <t>=Z804-AB804</t>
  </si>
  <si>
    <t>=IF(Z804&lt;&gt;0,AC804/Z804,"")</t>
  </si>
  <si>
    <t>=C804</t>
  </si>
  <si>
    <t>=NL("Sum","5802 Value Entry","150 Sales Amount (Expected)","41 Source Type",$C$5,"5 Source No.",$C805,"4 Item Ledger Entry Type",$C$4,"2 Item No.","@@"&amp;$F805,"3 Posting Date",J$9)+NL("Sum","5802 Value Entry","17 Sales Amount (Actual)","41 Source Type",$C$5,"5 Source no.",$C805,"4 Item Ledger Entry Type",$C$4,"2 Item No.","@@"&amp;$F805,"3 Posting Date",J$9)</t>
  </si>
  <si>
    <t>=-NL("Sum","5802 Value Entry","151 Cost Amount (Expected)","41 Source Type",$C$5,"5 Source No.",$C805,"4 Item Ledger Entry Type",$C$4,"2 Item No.","@@"&amp;$F805,"3 Posting Date",J$9)-NL("Sum","5802 Value Entry","43 Cost Amount (Actual)","41 Source Type",$C$5,"5 Source no.",$C805,"4 Item Ledger Entry Type",$C$4,"2 Item No.","@@"&amp;$F805,"3 Posting Date",J$9)</t>
  </si>
  <si>
    <t>=J805-L805</t>
  </si>
  <si>
    <t>=IF(J805&lt;&gt;0,M805/J805,"")</t>
  </si>
  <si>
    <t>=NL("Sum","5802 Value Entry","150 Sales Amount (Expected)","41 Source Type",$C$5,"5 Source No.",$C805,"4 Item Ledger Entry Type",$C$4,"2 Item No.","@@"&amp;$F805,"3 Posting Date",O$9)+NL("Sum","5802 Value Entry","17 Sales Amount (Actual)","41 Source Type",$C$5,"5 Source no.",$C805,"4 Item Ledger Entry Type",$C$4,"2 Item No.","@@"&amp;$F805,"3 Posting Date",O$9)</t>
  </si>
  <si>
    <t>=-NL("Sum","5802 Value Entry","151 Cost Amount (Expected)","41 Source Type",$C$5,"5 Source No.",$C805,"4 Item Ledger Entry Type",$C$4,"2 Item No.","@@"&amp;$F805,"3 Posting Date",O$9)-NL("Sum","5802 Value Entry","43 Cost Amount (Actual)","41 Source Type",$C$5,"5 Source no.",$C805,"4 Item Ledger Entry Type",$C$4,"2 Item No.","@@"&amp;$F805,"3 Posting Date",O$9)</t>
  </si>
  <si>
    <t>=O805-Q805</t>
  </si>
  <si>
    <t>=IF(O805&lt;&gt;0,R805/O805,"")</t>
  </si>
  <si>
    <t>=NL("Sum","5802 Value Entry","150 Sales Amount (Expected)","41 Source Type",$C$5,"5 Source No.",$C805,"4 Item Ledger Entry Type",$C$4,"2 Item No.","@@"&amp;$F805,"3 Posting Date",U$9)+NL("Sum","5802 Value Entry","17 Sales Amount (Actual)","41 Source Type",$C$5,"5 Source no.",$C805,"4 Item Ledger Entry Type",$C$4,"2 Item No.","@@"&amp;$F805,"3 Posting Date",U$9)</t>
  </si>
  <si>
    <t>=-NL("Sum","5802 Value Entry","151 Cost Amount (Expected)","41 Source Type",$C$5,"5 Source No.",$C805,"4 Item Ledger Entry Type",$C$4,"2 Item No.","@@"&amp;$F805,"3 Posting Date",U$9)-NL("Sum","5802 Value Entry","43 Cost Amount (Actual)","41 Source Type",$C$5,"5 Source no.",$C805,"4 Item Ledger Entry Type",$C$4,"2 Item No.","@@"&amp;$F805,"3 Posting Date",U$9)</t>
  </si>
  <si>
    <t>=U805-W805</t>
  </si>
  <si>
    <t>=IF(U805&lt;&gt;0,X805/U805,"")</t>
  </si>
  <si>
    <t>=NL("Sum","5802 Value Entry","150 Sales Amount (Expected)","41 Source Type",$C$5,"5 Source No.",$C805,"4 Item Ledger Entry Type",$C$4,"2 Item No.","@@"&amp;$F805,"3 Posting Date",Z$9)+NL("Sum","5802 Value Entry","17 Sales Amount (Actual)","41 Source Type",$C$5,"5 Source no.",$C805,"4 Item Ledger Entry Type",$C$4,"2 Item No.","@@"&amp;$F805,"3 Posting Date",Z$9)</t>
  </si>
  <si>
    <t>=-NL("Sum","5802 Value Entry","151 Cost Amount (Expected)","41 Source Type",$C$5,"5 Source No.",$C805,"4 Item Ledger Entry Type",$C$4,"2 Item No.","@@"&amp;$F805,"3 Posting Date",Z$9)-NL("Sum","5802 Value Entry","43 Cost Amount (Actual)","41 Source Type",$C$5,"5 Source no.",$C805,"4 Item Ledger Entry Type",$C$4,"2 Item No.","@@"&amp;$F805,"3 Posting Date",Z$9)</t>
  </si>
  <si>
    <t>=Z805-AB805</t>
  </si>
  <si>
    <t>=IF(Z805&lt;&gt;0,AC805/Z805,"")</t>
  </si>
  <si>
    <t>=C805</t>
  </si>
  <si>
    <t>=NL("Sum","5802 Value Entry","150 Sales Amount (Expected)","41 Source Type",$C$5,"5 Source No.",$C806,"4 Item Ledger Entry Type",$C$4,"2 Item No.","@@"&amp;$F806,"3 Posting Date",J$9)+NL("Sum","5802 Value Entry","17 Sales Amount (Actual)","41 Source Type",$C$5,"5 Source no.",$C806,"4 Item Ledger Entry Type",$C$4,"2 Item No.","@@"&amp;$F806,"3 Posting Date",J$9)</t>
  </si>
  <si>
    <t>=-NL("Sum","5802 Value Entry","151 Cost Amount (Expected)","41 Source Type",$C$5,"5 Source No.",$C806,"4 Item Ledger Entry Type",$C$4,"2 Item No.","@@"&amp;$F806,"3 Posting Date",J$9)-NL("Sum","5802 Value Entry","43 Cost Amount (Actual)","41 Source Type",$C$5,"5 Source no.",$C806,"4 Item Ledger Entry Type",$C$4,"2 Item No.","@@"&amp;$F806,"3 Posting Date",J$9)</t>
  </si>
  <si>
    <t>=J806-L806</t>
  </si>
  <si>
    <t>=IF(J806&lt;&gt;0,M806/J806,"")</t>
  </si>
  <si>
    <t>=NL("Sum","5802 Value Entry","150 Sales Amount (Expected)","41 Source Type",$C$5,"5 Source No.",$C806,"4 Item Ledger Entry Type",$C$4,"2 Item No.","@@"&amp;$F806,"3 Posting Date",O$9)+NL("Sum","5802 Value Entry","17 Sales Amount (Actual)","41 Source Type",$C$5,"5 Source no.",$C806,"4 Item Ledger Entry Type",$C$4,"2 Item No.","@@"&amp;$F806,"3 Posting Date",O$9)</t>
  </si>
  <si>
    <t>=-NL("Sum","5802 Value Entry","151 Cost Amount (Expected)","41 Source Type",$C$5,"5 Source No.",$C806,"4 Item Ledger Entry Type",$C$4,"2 Item No.","@@"&amp;$F806,"3 Posting Date",O$9)-NL("Sum","5802 Value Entry","43 Cost Amount (Actual)","41 Source Type",$C$5,"5 Source no.",$C806,"4 Item Ledger Entry Type",$C$4,"2 Item No.","@@"&amp;$F806,"3 Posting Date",O$9)</t>
  </si>
  <si>
    <t>=O806-Q806</t>
  </si>
  <si>
    <t>=IF(O806&lt;&gt;0,R806/O806,"")</t>
  </si>
  <si>
    <t>=NL("Sum","5802 Value Entry","150 Sales Amount (Expected)","41 Source Type",$C$5,"5 Source No.",$C806,"4 Item Ledger Entry Type",$C$4,"2 Item No.","@@"&amp;$F806,"3 Posting Date",U$9)+NL("Sum","5802 Value Entry","17 Sales Amount (Actual)","41 Source Type",$C$5,"5 Source no.",$C806,"4 Item Ledger Entry Type",$C$4,"2 Item No.","@@"&amp;$F806,"3 Posting Date",U$9)</t>
  </si>
  <si>
    <t>=-NL("Sum","5802 Value Entry","151 Cost Amount (Expected)","41 Source Type",$C$5,"5 Source No.",$C806,"4 Item Ledger Entry Type",$C$4,"2 Item No.","@@"&amp;$F806,"3 Posting Date",U$9)-NL("Sum","5802 Value Entry","43 Cost Amount (Actual)","41 Source Type",$C$5,"5 Source no.",$C806,"4 Item Ledger Entry Type",$C$4,"2 Item No.","@@"&amp;$F806,"3 Posting Date",U$9)</t>
  </si>
  <si>
    <t>=U806-W806</t>
  </si>
  <si>
    <t>=IF(U806&lt;&gt;0,X806/U806,"")</t>
  </si>
  <si>
    <t>=NL("Sum","5802 Value Entry","150 Sales Amount (Expected)","41 Source Type",$C$5,"5 Source No.",$C806,"4 Item Ledger Entry Type",$C$4,"2 Item No.","@@"&amp;$F806,"3 Posting Date",Z$9)+NL("Sum","5802 Value Entry","17 Sales Amount (Actual)","41 Source Type",$C$5,"5 Source no.",$C806,"4 Item Ledger Entry Type",$C$4,"2 Item No.","@@"&amp;$F806,"3 Posting Date",Z$9)</t>
  </si>
  <si>
    <t>=-NL("Sum","5802 Value Entry","151 Cost Amount (Expected)","41 Source Type",$C$5,"5 Source No.",$C806,"4 Item Ledger Entry Type",$C$4,"2 Item No.","@@"&amp;$F806,"3 Posting Date",Z$9)-NL("Sum","5802 Value Entry","43 Cost Amount (Actual)","41 Source Type",$C$5,"5 Source no.",$C806,"4 Item Ledger Entry Type",$C$4,"2 Item No.","@@"&amp;$F806,"3 Posting Date",Z$9)</t>
  </si>
  <si>
    <t>=Z806-AB806</t>
  </si>
  <si>
    <t>=IF(Z806&lt;&gt;0,AC806/Z806,"")</t>
  </si>
  <si>
    <t>=C806</t>
  </si>
  <si>
    <t>=NL("Sum","5802 Value Entry","150 Sales Amount (Expected)","41 Source Type",$C$5,"5 Source No.",$C807,"4 Item Ledger Entry Type",$C$4,"2 Item No.","@@"&amp;$F807,"3 Posting Date",J$9)+NL("Sum","5802 Value Entry","17 Sales Amount (Actual)","41 Source Type",$C$5,"5 Source no.",$C807,"4 Item Ledger Entry Type",$C$4,"2 Item No.","@@"&amp;$F807,"3 Posting Date",J$9)</t>
  </si>
  <si>
    <t>=-NL("Sum","5802 Value Entry","151 Cost Amount (Expected)","41 Source Type",$C$5,"5 Source No.",$C807,"4 Item Ledger Entry Type",$C$4,"2 Item No.","@@"&amp;$F807,"3 Posting Date",J$9)-NL("Sum","5802 Value Entry","43 Cost Amount (Actual)","41 Source Type",$C$5,"5 Source no.",$C807,"4 Item Ledger Entry Type",$C$4,"2 Item No.","@@"&amp;$F807,"3 Posting Date",J$9)</t>
  </si>
  <si>
    <t>=J807-L807</t>
  </si>
  <si>
    <t>=IF(J807&lt;&gt;0,M807/J807,"")</t>
  </si>
  <si>
    <t>=NL("Sum","5802 Value Entry","150 Sales Amount (Expected)","41 Source Type",$C$5,"5 Source No.",$C807,"4 Item Ledger Entry Type",$C$4,"2 Item No.","@@"&amp;$F807,"3 Posting Date",O$9)+NL("Sum","5802 Value Entry","17 Sales Amount (Actual)","41 Source Type",$C$5,"5 Source no.",$C807,"4 Item Ledger Entry Type",$C$4,"2 Item No.","@@"&amp;$F807,"3 Posting Date",O$9)</t>
  </si>
  <si>
    <t>=-NL("Sum","5802 Value Entry","151 Cost Amount (Expected)","41 Source Type",$C$5,"5 Source No.",$C807,"4 Item Ledger Entry Type",$C$4,"2 Item No.","@@"&amp;$F807,"3 Posting Date",O$9)-NL("Sum","5802 Value Entry","43 Cost Amount (Actual)","41 Source Type",$C$5,"5 Source no.",$C807,"4 Item Ledger Entry Type",$C$4,"2 Item No.","@@"&amp;$F807,"3 Posting Date",O$9)</t>
  </si>
  <si>
    <t>=O807-Q807</t>
  </si>
  <si>
    <t>=IF(O807&lt;&gt;0,R807/O807,"")</t>
  </si>
  <si>
    <t>=NL("Sum","5802 Value Entry","150 Sales Amount (Expected)","41 Source Type",$C$5,"5 Source No.",$C807,"4 Item Ledger Entry Type",$C$4,"2 Item No.","@@"&amp;$F807,"3 Posting Date",U$9)+NL("Sum","5802 Value Entry","17 Sales Amount (Actual)","41 Source Type",$C$5,"5 Source no.",$C807,"4 Item Ledger Entry Type",$C$4,"2 Item No.","@@"&amp;$F807,"3 Posting Date",U$9)</t>
  </si>
  <si>
    <t>=-NL("Sum","5802 Value Entry","151 Cost Amount (Expected)","41 Source Type",$C$5,"5 Source No.",$C807,"4 Item Ledger Entry Type",$C$4,"2 Item No.","@@"&amp;$F807,"3 Posting Date",U$9)-NL("Sum","5802 Value Entry","43 Cost Amount (Actual)","41 Source Type",$C$5,"5 Source no.",$C807,"4 Item Ledger Entry Type",$C$4,"2 Item No.","@@"&amp;$F807,"3 Posting Date",U$9)</t>
  </si>
  <si>
    <t>=U807-W807</t>
  </si>
  <si>
    <t>=IF(U807&lt;&gt;0,X807/U807,"")</t>
  </si>
  <si>
    <t>=NL("Sum","5802 Value Entry","150 Sales Amount (Expected)","41 Source Type",$C$5,"5 Source No.",$C807,"4 Item Ledger Entry Type",$C$4,"2 Item No.","@@"&amp;$F807,"3 Posting Date",Z$9)+NL("Sum","5802 Value Entry","17 Sales Amount (Actual)","41 Source Type",$C$5,"5 Source no.",$C807,"4 Item Ledger Entry Type",$C$4,"2 Item No.","@@"&amp;$F807,"3 Posting Date",Z$9)</t>
  </si>
  <si>
    <t>=-NL("Sum","5802 Value Entry","151 Cost Amount (Expected)","41 Source Type",$C$5,"5 Source No.",$C807,"4 Item Ledger Entry Type",$C$4,"2 Item No.","@@"&amp;$F807,"3 Posting Date",Z$9)-NL("Sum","5802 Value Entry","43 Cost Amount (Actual)","41 Source Type",$C$5,"5 Source no.",$C807,"4 Item Ledger Entry Type",$C$4,"2 Item No.","@@"&amp;$F807,"3 Posting Date",Z$9)</t>
  </si>
  <si>
    <t>=Z807-AB807</t>
  </si>
  <si>
    <t>=IF(Z807&lt;&gt;0,AC807/Z807,"")</t>
  </si>
  <si>
    <t>=C807</t>
  </si>
  <si>
    <t>=NL("Sum","5802 Value Entry","150 Sales Amount (Expected)","41 Source Type",$C$5,"5 Source No.",$C808,"4 Item Ledger Entry Type",$C$4,"2 Item No.","@@"&amp;$F808,"3 Posting Date",J$9)+NL("Sum","5802 Value Entry","17 Sales Amount (Actual)","41 Source Type",$C$5,"5 Source no.",$C808,"4 Item Ledger Entry Type",$C$4,"2 Item No.","@@"&amp;$F808,"3 Posting Date",J$9)</t>
  </si>
  <si>
    <t>=-NL("Sum","5802 Value Entry","151 Cost Amount (Expected)","41 Source Type",$C$5,"5 Source No.",$C808,"4 Item Ledger Entry Type",$C$4,"2 Item No.","@@"&amp;$F808,"3 Posting Date",J$9)-NL("Sum","5802 Value Entry","43 Cost Amount (Actual)","41 Source Type",$C$5,"5 Source no.",$C808,"4 Item Ledger Entry Type",$C$4,"2 Item No.","@@"&amp;$F808,"3 Posting Date",J$9)</t>
  </si>
  <si>
    <t>=J808-L808</t>
  </si>
  <si>
    <t>=IF(J808&lt;&gt;0,M808/J808,"")</t>
  </si>
  <si>
    <t>=NL("Sum","5802 Value Entry","150 Sales Amount (Expected)","41 Source Type",$C$5,"5 Source No.",$C808,"4 Item Ledger Entry Type",$C$4,"2 Item No.","@@"&amp;$F808,"3 Posting Date",O$9)+NL("Sum","5802 Value Entry","17 Sales Amount (Actual)","41 Source Type",$C$5,"5 Source no.",$C808,"4 Item Ledger Entry Type",$C$4,"2 Item No.","@@"&amp;$F808,"3 Posting Date",O$9)</t>
  </si>
  <si>
    <t>=-NL("Sum","5802 Value Entry","151 Cost Amount (Expected)","41 Source Type",$C$5,"5 Source No.",$C808,"4 Item Ledger Entry Type",$C$4,"2 Item No.","@@"&amp;$F808,"3 Posting Date",O$9)-NL("Sum","5802 Value Entry","43 Cost Amount (Actual)","41 Source Type",$C$5,"5 Source no.",$C808,"4 Item Ledger Entry Type",$C$4,"2 Item No.","@@"&amp;$F808,"3 Posting Date",O$9)</t>
  </si>
  <si>
    <t>=O808-Q808</t>
  </si>
  <si>
    <t>=IF(O808&lt;&gt;0,R808/O808,"")</t>
  </si>
  <si>
    <t>=NL("Sum","5802 Value Entry","150 Sales Amount (Expected)","41 Source Type",$C$5,"5 Source No.",$C808,"4 Item Ledger Entry Type",$C$4,"2 Item No.","@@"&amp;$F808,"3 Posting Date",U$9)+NL("Sum","5802 Value Entry","17 Sales Amount (Actual)","41 Source Type",$C$5,"5 Source no.",$C808,"4 Item Ledger Entry Type",$C$4,"2 Item No.","@@"&amp;$F808,"3 Posting Date",U$9)</t>
  </si>
  <si>
    <t>=-NL("Sum","5802 Value Entry","151 Cost Amount (Expected)","41 Source Type",$C$5,"5 Source No.",$C808,"4 Item Ledger Entry Type",$C$4,"2 Item No.","@@"&amp;$F808,"3 Posting Date",U$9)-NL("Sum","5802 Value Entry","43 Cost Amount (Actual)","41 Source Type",$C$5,"5 Source no.",$C808,"4 Item Ledger Entry Type",$C$4,"2 Item No.","@@"&amp;$F808,"3 Posting Date",U$9)</t>
  </si>
  <si>
    <t>=U808-W808</t>
  </si>
  <si>
    <t>=IF(U808&lt;&gt;0,X808/U808,"")</t>
  </si>
  <si>
    <t>=NL("Sum","5802 Value Entry","150 Sales Amount (Expected)","41 Source Type",$C$5,"5 Source No.",$C808,"4 Item Ledger Entry Type",$C$4,"2 Item No.","@@"&amp;$F808,"3 Posting Date",Z$9)+NL("Sum","5802 Value Entry","17 Sales Amount (Actual)","41 Source Type",$C$5,"5 Source no.",$C808,"4 Item Ledger Entry Type",$C$4,"2 Item No.","@@"&amp;$F808,"3 Posting Date",Z$9)</t>
  </si>
  <si>
    <t>=-NL("Sum","5802 Value Entry","151 Cost Amount (Expected)","41 Source Type",$C$5,"5 Source No.",$C808,"4 Item Ledger Entry Type",$C$4,"2 Item No.","@@"&amp;$F808,"3 Posting Date",Z$9)-NL("Sum","5802 Value Entry","43 Cost Amount (Actual)","41 Source Type",$C$5,"5 Source no.",$C808,"4 Item Ledger Entry Type",$C$4,"2 Item No.","@@"&amp;$F808,"3 Posting Date",Z$9)</t>
  </si>
  <si>
    <t>=Z808-AB808</t>
  </si>
  <si>
    <t>=IF(Z808&lt;&gt;0,AC808/Z808,"")</t>
  </si>
  <si>
    <t>=C808</t>
  </si>
  <si>
    <t>=NL("Sum","5802 Value Entry","150 Sales Amount (Expected)","41 Source Type",$C$5,"5 Source No.",$C809,"4 Item Ledger Entry Type",$C$4,"2 Item No.","@@"&amp;$F809,"3 Posting Date",J$9)+NL("Sum","5802 Value Entry","17 Sales Amount (Actual)","41 Source Type",$C$5,"5 Source no.",$C809,"4 Item Ledger Entry Type",$C$4,"2 Item No.","@@"&amp;$F809,"3 Posting Date",J$9)</t>
  </si>
  <si>
    <t>=-NL("Sum","5802 Value Entry","151 Cost Amount (Expected)","41 Source Type",$C$5,"5 Source No.",$C809,"4 Item Ledger Entry Type",$C$4,"2 Item No.","@@"&amp;$F809,"3 Posting Date",J$9)-NL("Sum","5802 Value Entry","43 Cost Amount (Actual)","41 Source Type",$C$5,"5 Source no.",$C809,"4 Item Ledger Entry Type",$C$4,"2 Item No.","@@"&amp;$F809,"3 Posting Date",J$9)</t>
  </si>
  <si>
    <t>=J809-L809</t>
  </si>
  <si>
    <t>=IF(J809&lt;&gt;0,M809/J809,"")</t>
  </si>
  <si>
    <t>=NL("Sum","5802 Value Entry","150 Sales Amount (Expected)","41 Source Type",$C$5,"5 Source No.",$C809,"4 Item Ledger Entry Type",$C$4,"2 Item No.","@@"&amp;$F809,"3 Posting Date",O$9)+NL("Sum","5802 Value Entry","17 Sales Amount (Actual)","41 Source Type",$C$5,"5 Source no.",$C809,"4 Item Ledger Entry Type",$C$4,"2 Item No.","@@"&amp;$F809,"3 Posting Date",O$9)</t>
  </si>
  <si>
    <t>=-NL("Sum","5802 Value Entry","151 Cost Amount (Expected)","41 Source Type",$C$5,"5 Source No.",$C809,"4 Item Ledger Entry Type",$C$4,"2 Item No.","@@"&amp;$F809,"3 Posting Date",O$9)-NL("Sum","5802 Value Entry","43 Cost Amount (Actual)","41 Source Type",$C$5,"5 Source no.",$C809,"4 Item Ledger Entry Type",$C$4,"2 Item No.","@@"&amp;$F809,"3 Posting Date",O$9)</t>
  </si>
  <si>
    <t>=O809-Q809</t>
  </si>
  <si>
    <t>=IF(O809&lt;&gt;0,R809/O809,"")</t>
  </si>
  <si>
    <t>=NL("Sum","5802 Value Entry","150 Sales Amount (Expected)","41 Source Type",$C$5,"5 Source No.",$C809,"4 Item Ledger Entry Type",$C$4,"2 Item No.","@@"&amp;$F809,"3 Posting Date",U$9)+NL("Sum","5802 Value Entry","17 Sales Amount (Actual)","41 Source Type",$C$5,"5 Source no.",$C809,"4 Item Ledger Entry Type",$C$4,"2 Item No.","@@"&amp;$F809,"3 Posting Date",U$9)</t>
  </si>
  <si>
    <t>=-NL("Sum","5802 Value Entry","151 Cost Amount (Expected)","41 Source Type",$C$5,"5 Source No.",$C809,"4 Item Ledger Entry Type",$C$4,"2 Item No.","@@"&amp;$F809,"3 Posting Date",U$9)-NL("Sum","5802 Value Entry","43 Cost Amount (Actual)","41 Source Type",$C$5,"5 Source no.",$C809,"4 Item Ledger Entry Type",$C$4,"2 Item No.","@@"&amp;$F809,"3 Posting Date",U$9)</t>
  </si>
  <si>
    <t>=U809-W809</t>
  </si>
  <si>
    <t>=IF(U809&lt;&gt;0,X809/U809,"")</t>
  </si>
  <si>
    <t>=NL("Sum","5802 Value Entry","150 Sales Amount (Expected)","41 Source Type",$C$5,"5 Source No.",$C809,"4 Item Ledger Entry Type",$C$4,"2 Item No.","@@"&amp;$F809,"3 Posting Date",Z$9)+NL("Sum","5802 Value Entry","17 Sales Amount (Actual)","41 Source Type",$C$5,"5 Source no.",$C809,"4 Item Ledger Entry Type",$C$4,"2 Item No.","@@"&amp;$F809,"3 Posting Date",Z$9)</t>
  </si>
  <si>
    <t>=-NL("Sum","5802 Value Entry","151 Cost Amount (Expected)","41 Source Type",$C$5,"5 Source No.",$C809,"4 Item Ledger Entry Type",$C$4,"2 Item No.","@@"&amp;$F809,"3 Posting Date",Z$9)-NL("Sum","5802 Value Entry","43 Cost Amount (Actual)","41 Source Type",$C$5,"5 Source no.",$C809,"4 Item Ledger Entry Type",$C$4,"2 Item No.","@@"&amp;$F809,"3 Posting Date",Z$9)</t>
  </si>
  <si>
    <t>=Z809-AB809</t>
  </si>
  <si>
    <t>=IF(Z809&lt;&gt;0,AC809/Z809,"")</t>
  </si>
  <si>
    <t>=C809</t>
  </si>
  <si>
    <t>=NL("Sum","5802 Value Entry","150 Sales Amount (Expected)","41 Source Type",$C$5,"5 Source No.",$C810,"4 Item Ledger Entry Type",$C$4,"2 Item No.","@@"&amp;$F810,"3 Posting Date",J$9)+NL("Sum","5802 Value Entry","17 Sales Amount (Actual)","41 Source Type",$C$5,"5 Source no.",$C810,"4 Item Ledger Entry Type",$C$4,"2 Item No.","@@"&amp;$F810,"3 Posting Date",J$9)</t>
  </si>
  <si>
    <t>=-NL("Sum","5802 Value Entry","151 Cost Amount (Expected)","41 Source Type",$C$5,"5 Source No.",$C810,"4 Item Ledger Entry Type",$C$4,"2 Item No.","@@"&amp;$F810,"3 Posting Date",J$9)-NL("Sum","5802 Value Entry","43 Cost Amount (Actual)","41 Source Type",$C$5,"5 Source no.",$C810,"4 Item Ledger Entry Type",$C$4,"2 Item No.","@@"&amp;$F810,"3 Posting Date",J$9)</t>
  </si>
  <si>
    <t>=J810-L810</t>
  </si>
  <si>
    <t>=IF(J810&lt;&gt;0,M810/J810,"")</t>
  </si>
  <si>
    <t>=NL("Sum","5802 Value Entry","150 Sales Amount (Expected)","41 Source Type",$C$5,"5 Source No.",$C810,"4 Item Ledger Entry Type",$C$4,"2 Item No.","@@"&amp;$F810,"3 Posting Date",O$9)+NL("Sum","5802 Value Entry","17 Sales Amount (Actual)","41 Source Type",$C$5,"5 Source no.",$C810,"4 Item Ledger Entry Type",$C$4,"2 Item No.","@@"&amp;$F810,"3 Posting Date",O$9)</t>
  </si>
  <si>
    <t>=-NL("Sum","5802 Value Entry","151 Cost Amount (Expected)","41 Source Type",$C$5,"5 Source No.",$C810,"4 Item Ledger Entry Type",$C$4,"2 Item No.","@@"&amp;$F810,"3 Posting Date",O$9)-NL("Sum","5802 Value Entry","43 Cost Amount (Actual)","41 Source Type",$C$5,"5 Source no.",$C810,"4 Item Ledger Entry Type",$C$4,"2 Item No.","@@"&amp;$F810,"3 Posting Date",O$9)</t>
  </si>
  <si>
    <t>=O810-Q810</t>
  </si>
  <si>
    <t>=IF(O810&lt;&gt;0,R810/O810,"")</t>
  </si>
  <si>
    <t>=NL("Sum","5802 Value Entry","150 Sales Amount (Expected)","41 Source Type",$C$5,"5 Source No.",$C810,"4 Item Ledger Entry Type",$C$4,"2 Item No.","@@"&amp;$F810,"3 Posting Date",U$9)+NL("Sum","5802 Value Entry","17 Sales Amount (Actual)","41 Source Type",$C$5,"5 Source no.",$C810,"4 Item Ledger Entry Type",$C$4,"2 Item No.","@@"&amp;$F810,"3 Posting Date",U$9)</t>
  </si>
  <si>
    <t>=-NL("Sum","5802 Value Entry","151 Cost Amount (Expected)","41 Source Type",$C$5,"5 Source No.",$C810,"4 Item Ledger Entry Type",$C$4,"2 Item No.","@@"&amp;$F810,"3 Posting Date",U$9)-NL("Sum","5802 Value Entry","43 Cost Amount (Actual)","41 Source Type",$C$5,"5 Source no.",$C810,"4 Item Ledger Entry Type",$C$4,"2 Item No.","@@"&amp;$F810,"3 Posting Date",U$9)</t>
  </si>
  <si>
    <t>=U810-W810</t>
  </si>
  <si>
    <t>=IF(U810&lt;&gt;0,X810/U810,"")</t>
  </si>
  <si>
    <t>=NL("Sum","5802 Value Entry","150 Sales Amount (Expected)","41 Source Type",$C$5,"5 Source No.",$C810,"4 Item Ledger Entry Type",$C$4,"2 Item No.","@@"&amp;$F810,"3 Posting Date",Z$9)+NL("Sum","5802 Value Entry","17 Sales Amount (Actual)","41 Source Type",$C$5,"5 Source no.",$C810,"4 Item Ledger Entry Type",$C$4,"2 Item No.","@@"&amp;$F810,"3 Posting Date",Z$9)</t>
  </si>
  <si>
    <t>=-NL("Sum","5802 Value Entry","151 Cost Amount (Expected)","41 Source Type",$C$5,"5 Source No.",$C810,"4 Item Ledger Entry Type",$C$4,"2 Item No.","@@"&amp;$F810,"3 Posting Date",Z$9)-NL("Sum","5802 Value Entry","43 Cost Amount (Actual)","41 Source Type",$C$5,"5 Source no.",$C810,"4 Item Ledger Entry Type",$C$4,"2 Item No.","@@"&amp;$F810,"3 Posting Date",Z$9)</t>
  </si>
  <si>
    <t>=Z810-AB810</t>
  </si>
  <si>
    <t>=IF(Z810&lt;&gt;0,AC810/Z810,"")</t>
  </si>
  <si>
    <t>=C811</t>
  </si>
  <si>
    <t>=J812-L812</t>
  </si>
  <si>
    <t>=IF(J812&lt;&gt;0,M812/J812,"")</t>
  </si>
  <si>
    <t>=O812-Q812</t>
  </si>
  <si>
    <t>=IF(O812&lt;&gt;0,R812/O812,"")</t>
  </si>
  <si>
    <t>=U812-W812</t>
  </si>
  <si>
    <t>=IF(U812&lt;&gt;0,X812/U812,"")</t>
  </si>
  <si>
    <t>=Z812-AB812</t>
  </si>
  <si>
    <t>=IF(Z812&lt;&gt;0,AC812/Z812,"")</t>
  </si>
  <si>
    <t>=C814</t>
  </si>
  <si>
    <t>=C815</t>
  </si>
  <si>
    <t>=NL("Sum","5802 Value Entry","150 Sales Amount (Expected)","41 Source Type",$C$5,"5 Source No.",$C816,"4 Item Ledger Entry Type",$C$4,"2 Item No.","@@"&amp;$F816,"3 Posting Date",J$9)+NL("Sum","5802 Value Entry","17 Sales Amount (Actual)","41 Source Type",$C$5,"5 Source no.",$C816,"4 Item Ledger Entry Type",$C$4,"2 Item No.","@@"&amp;$F816,"3 Posting Date",J$9)</t>
  </si>
  <si>
    <t>=-NL("Sum","5802 Value Entry","151 Cost Amount (Expected)","41 Source Type",$C$5,"5 Source No.",$C816,"4 Item Ledger Entry Type",$C$4,"2 Item No.","@@"&amp;$F816,"3 Posting Date",J$9)-NL("Sum","5802 Value Entry","43 Cost Amount (Actual)","41 Source Type",$C$5,"5 Source no.",$C816,"4 Item Ledger Entry Type",$C$4,"2 Item No.","@@"&amp;$F816,"3 Posting Date",J$9)</t>
  </si>
  <si>
    <t>=J816-L816</t>
  </si>
  <si>
    <t>=IF(J816&lt;&gt;0,M816/J816,"")</t>
  </si>
  <si>
    <t>=NL("Sum","5802 Value Entry","150 Sales Amount (Expected)","41 Source Type",$C$5,"5 Source No.",$C816,"4 Item Ledger Entry Type",$C$4,"2 Item No.","@@"&amp;$F816,"3 Posting Date",O$9)+NL("Sum","5802 Value Entry","17 Sales Amount (Actual)","41 Source Type",$C$5,"5 Source no.",$C816,"4 Item Ledger Entry Type",$C$4,"2 Item No.","@@"&amp;$F816,"3 Posting Date",O$9)</t>
  </si>
  <si>
    <t>=-NL("Sum","5802 Value Entry","151 Cost Amount (Expected)","41 Source Type",$C$5,"5 Source No.",$C816,"4 Item Ledger Entry Type",$C$4,"2 Item No.","@@"&amp;$F816,"3 Posting Date",O$9)-NL("Sum","5802 Value Entry","43 Cost Amount (Actual)","41 Source Type",$C$5,"5 Source no.",$C816,"4 Item Ledger Entry Type",$C$4,"2 Item No.","@@"&amp;$F816,"3 Posting Date",O$9)</t>
  </si>
  <si>
    <t>=O816-Q816</t>
  </si>
  <si>
    <t>=IF(O816&lt;&gt;0,R816/O816,"")</t>
  </si>
  <si>
    <t>=NL("Sum","5802 Value Entry","150 Sales Amount (Expected)","41 Source Type",$C$5,"5 Source No.",$C816,"4 Item Ledger Entry Type",$C$4,"2 Item No.","@@"&amp;$F816,"3 Posting Date",U$9)+NL("Sum","5802 Value Entry","17 Sales Amount (Actual)","41 Source Type",$C$5,"5 Source no.",$C816,"4 Item Ledger Entry Type",$C$4,"2 Item No.","@@"&amp;$F816,"3 Posting Date",U$9)</t>
  </si>
  <si>
    <t>=-NL("Sum","5802 Value Entry","151 Cost Amount (Expected)","41 Source Type",$C$5,"5 Source No.",$C816,"4 Item Ledger Entry Type",$C$4,"2 Item No.","@@"&amp;$F816,"3 Posting Date",U$9)-NL("Sum","5802 Value Entry","43 Cost Amount (Actual)","41 Source Type",$C$5,"5 Source no.",$C816,"4 Item Ledger Entry Type",$C$4,"2 Item No.","@@"&amp;$F816,"3 Posting Date",U$9)</t>
  </si>
  <si>
    <t>=U816-W816</t>
  </si>
  <si>
    <t>=IF(U816&lt;&gt;0,X816/U816,"")</t>
  </si>
  <si>
    <t>=NL("Sum","5802 Value Entry","150 Sales Amount (Expected)","41 Source Type",$C$5,"5 Source No.",$C816,"4 Item Ledger Entry Type",$C$4,"2 Item No.","@@"&amp;$F816,"3 Posting Date",Z$9)+NL("Sum","5802 Value Entry","17 Sales Amount (Actual)","41 Source Type",$C$5,"5 Source no.",$C816,"4 Item Ledger Entry Type",$C$4,"2 Item No.","@@"&amp;$F816,"3 Posting Date",Z$9)</t>
  </si>
  <si>
    <t>=-NL("Sum","5802 Value Entry","151 Cost Amount (Expected)","41 Source Type",$C$5,"5 Source No.",$C816,"4 Item Ledger Entry Type",$C$4,"2 Item No.","@@"&amp;$F816,"3 Posting Date",Z$9)-NL("Sum","5802 Value Entry","43 Cost Amount (Actual)","41 Source Type",$C$5,"5 Source no.",$C816,"4 Item Ledger Entry Type",$C$4,"2 Item No.","@@"&amp;$F816,"3 Posting Date",Z$9)</t>
  </si>
  <si>
    <t>=Z816-AB816</t>
  </si>
  <si>
    <t>=IF(Z816&lt;&gt;0,AC816/Z816,"")</t>
  </si>
  <si>
    <t>=C816</t>
  </si>
  <si>
    <t>=NL("Sum","5802 Value Entry","150 Sales Amount (Expected)","41 Source Type",$C$5,"5 Source No.",$C817,"4 Item Ledger Entry Type",$C$4,"2 Item No.","@@"&amp;$F817,"3 Posting Date",J$9)+NL("Sum","5802 Value Entry","17 Sales Amount (Actual)","41 Source Type",$C$5,"5 Source no.",$C817,"4 Item Ledger Entry Type",$C$4,"2 Item No.","@@"&amp;$F817,"3 Posting Date",J$9)</t>
  </si>
  <si>
    <t>=-NL("Sum","5802 Value Entry","151 Cost Amount (Expected)","41 Source Type",$C$5,"5 Source No.",$C817,"4 Item Ledger Entry Type",$C$4,"2 Item No.","@@"&amp;$F817,"3 Posting Date",J$9)-NL("Sum","5802 Value Entry","43 Cost Amount (Actual)","41 Source Type",$C$5,"5 Source no.",$C817,"4 Item Ledger Entry Type",$C$4,"2 Item No.","@@"&amp;$F817,"3 Posting Date",J$9)</t>
  </si>
  <si>
    <t>=J817-L817</t>
  </si>
  <si>
    <t>=IF(J817&lt;&gt;0,M817/J817,"")</t>
  </si>
  <si>
    <t>=NL("Sum","5802 Value Entry","150 Sales Amount (Expected)","41 Source Type",$C$5,"5 Source No.",$C817,"4 Item Ledger Entry Type",$C$4,"2 Item No.","@@"&amp;$F817,"3 Posting Date",O$9)+NL("Sum","5802 Value Entry","17 Sales Amount (Actual)","41 Source Type",$C$5,"5 Source no.",$C817,"4 Item Ledger Entry Type",$C$4,"2 Item No.","@@"&amp;$F817,"3 Posting Date",O$9)</t>
  </si>
  <si>
    <t>=-NL("Sum","5802 Value Entry","151 Cost Amount (Expected)","41 Source Type",$C$5,"5 Source No.",$C817,"4 Item Ledger Entry Type",$C$4,"2 Item No.","@@"&amp;$F817,"3 Posting Date",O$9)-NL("Sum","5802 Value Entry","43 Cost Amount (Actual)","41 Source Type",$C$5,"5 Source no.",$C817,"4 Item Ledger Entry Type",$C$4,"2 Item No.","@@"&amp;$F817,"3 Posting Date",O$9)</t>
  </si>
  <si>
    <t>=O817-Q817</t>
  </si>
  <si>
    <t>=IF(O817&lt;&gt;0,R817/O817,"")</t>
  </si>
  <si>
    <t>=NL("Sum","5802 Value Entry","150 Sales Amount (Expected)","41 Source Type",$C$5,"5 Source No.",$C817,"4 Item Ledger Entry Type",$C$4,"2 Item No.","@@"&amp;$F817,"3 Posting Date",U$9)+NL("Sum","5802 Value Entry","17 Sales Amount (Actual)","41 Source Type",$C$5,"5 Source no.",$C817,"4 Item Ledger Entry Type",$C$4,"2 Item No.","@@"&amp;$F817,"3 Posting Date",U$9)</t>
  </si>
  <si>
    <t>=-NL("Sum","5802 Value Entry","151 Cost Amount (Expected)","41 Source Type",$C$5,"5 Source No.",$C817,"4 Item Ledger Entry Type",$C$4,"2 Item No.","@@"&amp;$F817,"3 Posting Date",U$9)-NL("Sum","5802 Value Entry","43 Cost Amount (Actual)","41 Source Type",$C$5,"5 Source no.",$C817,"4 Item Ledger Entry Type",$C$4,"2 Item No.","@@"&amp;$F817,"3 Posting Date",U$9)</t>
  </si>
  <si>
    <t>=U817-W817</t>
  </si>
  <si>
    <t>=IF(U817&lt;&gt;0,X817/U817,"")</t>
  </si>
  <si>
    <t>=NL("Sum","5802 Value Entry","150 Sales Amount (Expected)","41 Source Type",$C$5,"5 Source No.",$C817,"4 Item Ledger Entry Type",$C$4,"2 Item No.","@@"&amp;$F817,"3 Posting Date",Z$9)+NL("Sum","5802 Value Entry","17 Sales Amount (Actual)","41 Source Type",$C$5,"5 Source no.",$C817,"4 Item Ledger Entry Type",$C$4,"2 Item No.","@@"&amp;$F817,"3 Posting Date",Z$9)</t>
  </si>
  <si>
    <t>=-NL("Sum","5802 Value Entry","151 Cost Amount (Expected)","41 Source Type",$C$5,"5 Source No.",$C817,"4 Item Ledger Entry Type",$C$4,"2 Item No.","@@"&amp;$F817,"3 Posting Date",Z$9)-NL("Sum","5802 Value Entry","43 Cost Amount (Actual)","41 Source Type",$C$5,"5 Source no.",$C817,"4 Item Ledger Entry Type",$C$4,"2 Item No.","@@"&amp;$F817,"3 Posting Date",Z$9)</t>
  </si>
  <si>
    <t>=Z817-AB817</t>
  </si>
  <si>
    <t>=IF(Z817&lt;&gt;0,AC817/Z817,"")</t>
  </si>
  <si>
    <t>=C817</t>
  </si>
  <si>
    <t>=NL("Sum","5802 Value Entry","150 Sales Amount (Expected)","41 Source Type",$C$5,"5 Source No.",$C818,"4 Item Ledger Entry Type",$C$4,"2 Item No.","@@"&amp;$F818,"3 Posting Date",J$9)+NL("Sum","5802 Value Entry","17 Sales Amount (Actual)","41 Source Type",$C$5,"5 Source no.",$C818,"4 Item Ledger Entry Type",$C$4,"2 Item No.","@@"&amp;$F818,"3 Posting Date",J$9)</t>
  </si>
  <si>
    <t>=-NL("Sum","5802 Value Entry","151 Cost Amount (Expected)","41 Source Type",$C$5,"5 Source No.",$C818,"4 Item Ledger Entry Type",$C$4,"2 Item No.","@@"&amp;$F818,"3 Posting Date",J$9)-NL("Sum","5802 Value Entry","43 Cost Amount (Actual)","41 Source Type",$C$5,"5 Source no.",$C818,"4 Item Ledger Entry Type",$C$4,"2 Item No.","@@"&amp;$F818,"3 Posting Date",J$9)</t>
  </si>
  <si>
    <t>=J818-L818</t>
  </si>
  <si>
    <t>=IF(J818&lt;&gt;0,M818/J818,"")</t>
  </si>
  <si>
    <t>=NL("Sum","5802 Value Entry","150 Sales Amount (Expected)","41 Source Type",$C$5,"5 Source No.",$C818,"4 Item Ledger Entry Type",$C$4,"2 Item No.","@@"&amp;$F818,"3 Posting Date",O$9)+NL("Sum","5802 Value Entry","17 Sales Amount (Actual)","41 Source Type",$C$5,"5 Source no.",$C818,"4 Item Ledger Entry Type",$C$4,"2 Item No.","@@"&amp;$F818,"3 Posting Date",O$9)</t>
  </si>
  <si>
    <t>=-NL("Sum","5802 Value Entry","151 Cost Amount (Expected)","41 Source Type",$C$5,"5 Source No.",$C818,"4 Item Ledger Entry Type",$C$4,"2 Item No.","@@"&amp;$F818,"3 Posting Date",O$9)-NL("Sum","5802 Value Entry","43 Cost Amount (Actual)","41 Source Type",$C$5,"5 Source no.",$C818,"4 Item Ledger Entry Type",$C$4,"2 Item No.","@@"&amp;$F818,"3 Posting Date",O$9)</t>
  </si>
  <si>
    <t>=O818-Q818</t>
  </si>
  <si>
    <t>=IF(O818&lt;&gt;0,R818/O818,"")</t>
  </si>
  <si>
    <t>=NL("Sum","5802 Value Entry","150 Sales Amount (Expected)","41 Source Type",$C$5,"5 Source No.",$C818,"4 Item Ledger Entry Type",$C$4,"2 Item No.","@@"&amp;$F818,"3 Posting Date",U$9)+NL("Sum","5802 Value Entry","17 Sales Amount (Actual)","41 Source Type",$C$5,"5 Source no.",$C818,"4 Item Ledger Entry Type",$C$4,"2 Item No.","@@"&amp;$F818,"3 Posting Date",U$9)</t>
  </si>
  <si>
    <t>=-NL("Sum","5802 Value Entry","151 Cost Amount (Expected)","41 Source Type",$C$5,"5 Source No.",$C818,"4 Item Ledger Entry Type",$C$4,"2 Item No.","@@"&amp;$F818,"3 Posting Date",U$9)-NL("Sum","5802 Value Entry","43 Cost Amount (Actual)","41 Source Type",$C$5,"5 Source no.",$C818,"4 Item Ledger Entry Type",$C$4,"2 Item No.","@@"&amp;$F818,"3 Posting Date",U$9)</t>
  </si>
  <si>
    <t>=U818-W818</t>
  </si>
  <si>
    <t>=IF(U818&lt;&gt;0,X818/U818,"")</t>
  </si>
  <si>
    <t>=NL("Sum","5802 Value Entry","150 Sales Amount (Expected)","41 Source Type",$C$5,"5 Source No.",$C818,"4 Item Ledger Entry Type",$C$4,"2 Item No.","@@"&amp;$F818,"3 Posting Date",Z$9)+NL("Sum","5802 Value Entry","17 Sales Amount (Actual)","41 Source Type",$C$5,"5 Source no.",$C818,"4 Item Ledger Entry Type",$C$4,"2 Item No.","@@"&amp;$F818,"3 Posting Date",Z$9)</t>
  </si>
  <si>
    <t>=-NL("Sum","5802 Value Entry","151 Cost Amount (Expected)","41 Source Type",$C$5,"5 Source No.",$C818,"4 Item Ledger Entry Type",$C$4,"2 Item No.","@@"&amp;$F818,"3 Posting Date",Z$9)-NL("Sum","5802 Value Entry","43 Cost Amount (Actual)","41 Source Type",$C$5,"5 Source no.",$C818,"4 Item Ledger Entry Type",$C$4,"2 Item No.","@@"&amp;$F818,"3 Posting Date",Z$9)</t>
  </si>
  <si>
    <t>=Z818-AB818</t>
  </si>
  <si>
    <t>=IF(Z818&lt;&gt;0,AC818/Z818,"")</t>
  </si>
  <si>
    <t>=C818</t>
  </si>
  <si>
    <t>=NL("Sum","5802 Value Entry","150 Sales Amount (Expected)","41 Source Type",$C$5,"5 Source No.",$C819,"4 Item Ledger Entry Type",$C$4,"2 Item No.","@@"&amp;$F819,"3 Posting Date",J$9)+NL("Sum","5802 Value Entry","17 Sales Amount (Actual)","41 Source Type",$C$5,"5 Source no.",$C819,"4 Item Ledger Entry Type",$C$4,"2 Item No.","@@"&amp;$F819,"3 Posting Date",J$9)</t>
  </si>
  <si>
    <t>=-NL("Sum","5802 Value Entry","151 Cost Amount (Expected)","41 Source Type",$C$5,"5 Source No.",$C819,"4 Item Ledger Entry Type",$C$4,"2 Item No.","@@"&amp;$F819,"3 Posting Date",J$9)-NL("Sum","5802 Value Entry","43 Cost Amount (Actual)","41 Source Type",$C$5,"5 Source no.",$C819,"4 Item Ledger Entry Type",$C$4,"2 Item No.","@@"&amp;$F819,"3 Posting Date",J$9)</t>
  </si>
  <si>
    <t>=J819-L819</t>
  </si>
  <si>
    <t>=IF(J819&lt;&gt;0,M819/J819,"")</t>
  </si>
  <si>
    <t>=NL("Sum","5802 Value Entry","150 Sales Amount (Expected)","41 Source Type",$C$5,"5 Source No.",$C819,"4 Item Ledger Entry Type",$C$4,"2 Item No.","@@"&amp;$F819,"3 Posting Date",O$9)+NL("Sum","5802 Value Entry","17 Sales Amount (Actual)","41 Source Type",$C$5,"5 Source no.",$C819,"4 Item Ledger Entry Type",$C$4,"2 Item No.","@@"&amp;$F819,"3 Posting Date",O$9)</t>
  </si>
  <si>
    <t>=-NL("Sum","5802 Value Entry","151 Cost Amount (Expected)","41 Source Type",$C$5,"5 Source No.",$C819,"4 Item Ledger Entry Type",$C$4,"2 Item No.","@@"&amp;$F819,"3 Posting Date",O$9)-NL("Sum","5802 Value Entry","43 Cost Amount (Actual)","41 Source Type",$C$5,"5 Source no.",$C819,"4 Item Ledger Entry Type",$C$4,"2 Item No.","@@"&amp;$F819,"3 Posting Date",O$9)</t>
  </si>
  <si>
    <t>=O819-Q819</t>
  </si>
  <si>
    <t>=IF(O819&lt;&gt;0,R819/O819,"")</t>
  </si>
  <si>
    <t>=NL("Sum","5802 Value Entry","150 Sales Amount (Expected)","41 Source Type",$C$5,"5 Source No.",$C819,"4 Item Ledger Entry Type",$C$4,"2 Item No.","@@"&amp;$F819,"3 Posting Date",U$9)+NL("Sum","5802 Value Entry","17 Sales Amount (Actual)","41 Source Type",$C$5,"5 Source no.",$C819,"4 Item Ledger Entry Type",$C$4,"2 Item No.","@@"&amp;$F819,"3 Posting Date",U$9)</t>
  </si>
  <si>
    <t>=-NL("Sum","5802 Value Entry","151 Cost Amount (Expected)","41 Source Type",$C$5,"5 Source No.",$C819,"4 Item Ledger Entry Type",$C$4,"2 Item No.","@@"&amp;$F819,"3 Posting Date",U$9)-NL("Sum","5802 Value Entry","43 Cost Amount (Actual)","41 Source Type",$C$5,"5 Source no.",$C819,"4 Item Ledger Entry Type",$C$4,"2 Item No.","@@"&amp;$F819,"3 Posting Date",U$9)</t>
  </si>
  <si>
    <t>=U819-W819</t>
  </si>
  <si>
    <t>=IF(U819&lt;&gt;0,X819/U819,"")</t>
  </si>
  <si>
    <t>=NL("Sum","5802 Value Entry","150 Sales Amount (Expected)","41 Source Type",$C$5,"5 Source No.",$C819,"4 Item Ledger Entry Type",$C$4,"2 Item No.","@@"&amp;$F819,"3 Posting Date",Z$9)+NL("Sum","5802 Value Entry","17 Sales Amount (Actual)","41 Source Type",$C$5,"5 Source no.",$C819,"4 Item Ledger Entry Type",$C$4,"2 Item No.","@@"&amp;$F819,"3 Posting Date",Z$9)</t>
  </si>
  <si>
    <t>=-NL("Sum","5802 Value Entry","151 Cost Amount (Expected)","41 Source Type",$C$5,"5 Source No.",$C819,"4 Item Ledger Entry Type",$C$4,"2 Item No.","@@"&amp;$F819,"3 Posting Date",Z$9)-NL("Sum","5802 Value Entry","43 Cost Amount (Actual)","41 Source Type",$C$5,"5 Source no.",$C819,"4 Item Ledger Entry Type",$C$4,"2 Item No.","@@"&amp;$F819,"3 Posting Date",Z$9)</t>
  </si>
  <si>
    <t>=Z819-AB819</t>
  </si>
  <si>
    <t>=IF(Z819&lt;&gt;0,AC819/Z819,"")</t>
  </si>
  <si>
    <t>=C819</t>
  </si>
  <si>
    <t>=NL("Sum","5802 Value Entry","150 Sales Amount (Expected)","41 Source Type",$C$5,"5 Source No.",$C820,"4 Item Ledger Entry Type",$C$4,"2 Item No.","@@"&amp;$F820,"3 Posting Date",J$9)+NL("Sum","5802 Value Entry","17 Sales Amount (Actual)","41 Source Type",$C$5,"5 Source no.",$C820,"4 Item Ledger Entry Type",$C$4,"2 Item No.","@@"&amp;$F820,"3 Posting Date",J$9)</t>
  </si>
  <si>
    <t>=-NL("Sum","5802 Value Entry","151 Cost Amount (Expected)","41 Source Type",$C$5,"5 Source No.",$C820,"4 Item Ledger Entry Type",$C$4,"2 Item No.","@@"&amp;$F820,"3 Posting Date",J$9)-NL("Sum","5802 Value Entry","43 Cost Amount (Actual)","41 Source Type",$C$5,"5 Source no.",$C820,"4 Item Ledger Entry Type",$C$4,"2 Item No.","@@"&amp;$F820,"3 Posting Date",J$9)</t>
  </si>
  <si>
    <t>=J820-L820</t>
  </si>
  <si>
    <t>=IF(J820&lt;&gt;0,M820/J820,"")</t>
  </si>
  <si>
    <t>=NL("Sum","5802 Value Entry","150 Sales Amount (Expected)","41 Source Type",$C$5,"5 Source No.",$C820,"4 Item Ledger Entry Type",$C$4,"2 Item No.","@@"&amp;$F820,"3 Posting Date",O$9)+NL("Sum","5802 Value Entry","17 Sales Amount (Actual)","41 Source Type",$C$5,"5 Source no.",$C820,"4 Item Ledger Entry Type",$C$4,"2 Item No.","@@"&amp;$F820,"3 Posting Date",O$9)</t>
  </si>
  <si>
    <t>=-NL("Sum","5802 Value Entry","151 Cost Amount (Expected)","41 Source Type",$C$5,"5 Source No.",$C820,"4 Item Ledger Entry Type",$C$4,"2 Item No.","@@"&amp;$F820,"3 Posting Date",O$9)-NL("Sum","5802 Value Entry","43 Cost Amount (Actual)","41 Source Type",$C$5,"5 Source no.",$C820,"4 Item Ledger Entry Type",$C$4,"2 Item No.","@@"&amp;$F820,"3 Posting Date",O$9)</t>
  </si>
  <si>
    <t>=O820-Q820</t>
  </si>
  <si>
    <t>=IF(O820&lt;&gt;0,R820/O820,"")</t>
  </si>
  <si>
    <t>=NL("Sum","5802 Value Entry","150 Sales Amount (Expected)","41 Source Type",$C$5,"5 Source No.",$C820,"4 Item Ledger Entry Type",$C$4,"2 Item No.","@@"&amp;$F820,"3 Posting Date",U$9)+NL("Sum","5802 Value Entry","17 Sales Amount (Actual)","41 Source Type",$C$5,"5 Source no.",$C820,"4 Item Ledger Entry Type",$C$4,"2 Item No.","@@"&amp;$F820,"3 Posting Date",U$9)</t>
  </si>
  <si>
    <t>=-NL("Sum","5802 Value Entry","151 Cost Amount (Expected)","41 Source Type",$C$5,"5 Source No.",$C820,"4 Item Ledger Entry Type",$C$4,"2 Item No.","@@"&amp;$F820,"3 Posting Date",U$9)-NL("Sum","5802 Value Entry","43 Cost Amount (Actual)","41 Source Type",$C$5,"5 Source no.",$C820,"4 Item Ledger Entry Type",$C$4,"2 Item No.","@@"&amp;$F820,"3 Posting Date",U$9)</t>
  </si>
  <si>
    <t>=U820-W820</t>
  </si>
  <si>
    <t>=IF(U820&lt;&gt;0,X820/U820,"")</t>
  </si>
  <si>
    <t>=NL("Sum","5802 Value Entry","150 Sales Amount (Expected)","41 Source Type",$C$5,"5 Source No.",$C820,"4 Item Ledger Entry Type",$C$4,"2 Item No.","@@"&amp;$F820,"3 Posting Date",Z$9)+NL("Sum","5802 Value Entry","17 Sales Amount (Actual)","41 Source Type",$C$5,"5 Source no.",$C820,"4 Item Ledger Entry Type",$C$4,"2 Item No.","@@"&amp;$F820,"3 Posting Date",Z$9)</t>
  </si>
  <si>
    <t>=-NL("Sum","5802 Value Entry","151 Cost Amount (Expected)","41 Source Type",$C$5,"5 Source No.",$C820,"4 Item Ledger Entry Type",$C$4,"2 Item No.","@@"&amp;$F820,"3 Posting Date",Z$9)-NL("Sum","5802 Value Entry","43 Cost Amount (Actual)","41 Source Type",$C$5,"5 Source no.",$C820,"4 Item Ledger Entry Type",$C$4,"2 Item No.","@@"&amp;$F820,"3 Posting Date",Z$9)</t>
  </si>
  <si>
    <t>=Z820-AB820</t>
  </si>
  <si>
    <t>=IF(Z820&lt;&gt;0,AC820/Z820,"")</t>
  </si>
  <si>
    <t>=C820</t>
  </si>
  <si>
    <t>=NL("Sum","5802 Value Entry","150 Sales Amount (Expected)","41 Source Type",$C$5,"5 Source No.",$C821,"4 Item Ledger Entry Type",$C$4,"2 Item No.","@@"&amp;$F821,"3 Posting Date",J$9)+NL("Sum","5802 Value Entry","17 Sales Amount (Actual)","41 Source Type",$C$5,"5 Source no.",$C821,"4 Item Ledger Entry Type",$C$4,"2 Item No.","@@"&amp;$F821,"3 Posting Date",J$9)</t>
  </si>
  <si>
    <t>=-NL("Sum","5802 Value Entry","151 Cost Amount (Expected)","41 Source Type",$C$5,"5 Source No.",$C821,"4 Item Ledger Entry Type",$C$4,"2 Item No.","@@"&amp;$F821,"3 Posting Date",J$9)-NL("Sum","5802 Value Entry","43 Cost Amount (Actual)","41 Source Type",$C$5,"5 Source no.",$C821,"4 Item Ledger Entry Type",$C$4,"2 Item No.","@@"&amp;$F821,"3 Posting Date",J$9)</t>
  </si>
  <si>
    <t>=J821-L821</t>
  </si>
  <si>
    <t>=IF(J821&lt;&gt;0,M821/J821,"")</t>
  </si>
  <si>
    <t>=NL("Sum","5802 Value Entry","150 Sales Amount (Expected)","41 Source Type",$C$5,"5 Source No.",$C821,"4 Item Ledger Entry Type",$C$4,"2 Item No.","@@"&amp;$F821,"3 Posting Date",O$9)+NL("Sum","5802 Value Entry","17 Sales Amount (Actual)","41 Source Type",$C$5,"5 Source no.",$C821,"4 Item Ledger Entry Type",$C$4,"2 Item No.","@@"&amp;$F821,"3 Posting Date",O$9)</t>
  </si>
  <si>
    <t>=-NL("Sum","5802 Value Entry","151 Cost Amount (Expected)","41 Source Type",$C$5,"5 Source No.",$C821,"4 Item Ledger Entry Type",$C$4,"2 Item No.","@@"&amp;$F821,"3 Posting Date",O$9)-NL("Sum","5802 Value Entry","43 Cost Amount (Actual)","41 Source Type",$C$5,"5 Source no.",$C821,"4 Item Ledger Entry Type",$C$4,"2 Item No.","@@"&amp;$F821,"3 Posting Date",O$9)</t>
  </si>
  <si>
    <t>=O821-Q821</t>
  </si>
  <si>
    <t>=IF(O821&lt;&gt;0,R821/O821,"")</t>
  </si>
  <si>
    <t>=NL("Sum","5802 Value Entry","150 Sales Amount (Expected)","41 Source Type",$C$5,"5 Source No.",$C821,"4 Item Ledger Entry Type",$C$4,"2 Item No.","@@"&amp;$F821,"3 Posting Date",U$9)+NL("Sum","5802 Value Entry","17 Sales Amount (Actual)","41 Source Type",$C$5,"5 Source no.",$C821,"4 Item Ledger Entry Type",$C$4,"2 Item No.","@@"&amp;$F821,"3 Posting Date",U$9)</t>
  </si>
  <si>
    <t>=-NL("Sum","5802 Value Entry","151 Cost Amount (Expected)","41 Source Type",$C$5,"5 Source No.",$C821,"4 Item Ledger Entry Type",$C$4,"2 Item No.","@@"&amp;$F821,"3 Posting Date",U$9)-NL("Sum","5802 Value Entry","43 Cost Amount (Actual)","41 Source Type",$C$5,"5 Source no.",$C821,"4 Item Ledger Entry Type",$C$4,"2 Item No.","@@"&amp;$F821,"3 Posting Date",U$9)</t>
  </si>
  <si>
    <t>=U821-W821</t>
  </si>
  <si>
    <t>=IF(U821&lt;&gt;0,X821/U821,"")</t>
  </si>
  <si>
    <t>=NL("Sum","5802 Value Entry","150 Sales Amount (Expected)","41 Source Type",$C$5,"5 Source No.",$C821,"4 Item Ledger Entry Type",$C$4,"2 Item No.","@@"&amp;$F821,"3 Posting Date",Z$9)+NL("Sum","5802 Value Entry","17 Sales Amount (Actual)","41 Source Type",$C$5,"5 Source no.",$C821,"4 Item Ledger Entry Type",$C$4,"2 Item No.","@@"&amp;$F821,"3 Posting Date",Z$9)</t>
  </si>
  <si>
    <t>=-NL("Sum","5802 Value Entry","151 Cost Amount (Expected)","41 Source Type",$C$5,"5 Source No.",$C821,"4 Item Ledger Entry Type",$C$4,"2 Item No.","@@"&amp;$F821,"3 Posting Date",Z$9)-NL("Sum","5802 Value Entry","43 Cost Amount (Actual)","41 Source Type",$C$5,"5 Source no.",$C821,"4 Item Ledger Entry Type",$C$4,"2 Item No.","@@"&amp;$F821,"3 Posting Date",Z$9)</t>
  </si>
  <si>
    <t>=Z821-AB821</t>
  </si>
  <si>
    <t>=IF(Z821&lt;&gt;0,AC821/Z821,"")</t>
  </si>
  <si>
    <t>=C821</t>
  </si>
  <si>
    <t>=NL("Sum","5802 Value Entry","150 Sales Amount (Expected)","41 Source Type",$C$5,"5 Source No.",$C822,"4 Item Ledger Entry Type",$C$4,"2 Item No.","@@"&amp;$F822,"3 Posting Date",J$9)+NL("Sum","5802 Value Entry","17 Sales Amount (Actual)","41 Source Type",$C$5,"5 Source no.",$C822,"4 Item Ledger Entry Type",$C$4,"2 Item No.","@@"&amp;$F822,"3 Posting Date",J$9)</t>
  </si>
  <si>
    <t>=-NL("Sum","5802 Value Entry","151 Cost Amount (Expected)","41 Source Type",$C$5,"5 Source No.",$C822,"4 Item Ledger Entry Type",$C$4,"2 Item No.","@@"&amp;$F822,"3 Posting Date",J$9)-NL("Sum","5802 Value Entry","43 Cost Amount (Actual)","41 Source Type",$C$5,"5 Source no.",$C822,"4 Item Ledger Entry Type",$C$4,"2 Item No.","@@"&amp;$F822,"3 Posting Date",J$9)</t>
  </si>
  <si>
    <t>=J822-L822</t>
  </si>
  <si>
    <t>=IF(J822&lt;&gt;0,M822/J822,"")</t>
  </si>
  <si>
    <t>=NL("Sum","5802 Value Entry","150 Sales Amount (Expected)","41 Source Type",$C$5,"5 Source No.",$C822,"4 Item Ledger Entry Type",$C$4,"2 Item No.","@@"&amp;$F822,"3 Posting Date",O$9)+NL("Sum","5802 Value Entry","17 Sales Amount (Actual)","41 Source Type",$C$5,"5 Source no.",$C822,"4 Item Ledger Entry Type",$C$4,"2 Item No.","@@"&amp;$F822,"3 Posting Date",O$9)</t>
  </si>
  <si>
    <t>=-NL("Sum","5802 Value Entry","151 Cost Amount (Expected)","41 Source Type",$C$5,"5 Source No.",$C822,"4 Item Ledger Entry Type",$C$4,"2 Item No.","@@"&amp;$F822,"3 Posting Date",O$9)-NL("Sum","5802 Value Entry","43 Cost Amount (Actual)","41 Source Type",$C$5,"5 Source no.",$C822,"4 Item Ledger Entry Type",$C$4,"2 Item No.","@@"&amp;$F822,"3 Posting Date",O$9)</t>
  </si>
  <si>
    <t>=O822-Q822</t>
  </si>
  <si>
    <t>=IF(O822&lt;&gt;0,R822/O822,"")</t>
  </si>
  <si>
    <t>=NL("Sum","5802 Value Entry","150 Sales Amount (Expected)","41 Source Type",$C$5,"5 Source No.",$C822,"4 Item Ledger Entry Type",$C$4,"2 Item No.","@@"&amp;$F822,"3 Posting Date",U$9)+NL("Sum","5802 Value Entry","17 Sales Amount (Actual)","41 Source Type",$C$5,"5 Source no.",$C822,"4 Item Ledger Entry Type",$C$4,"2 Item No.","@@"&amp;$F822,"3 Posting Date",U$9)</t>
  </si>
  <si>
    <t>=-NL("Sum","5802 Value Entry","151 Cost Amount (Expected)","41 Source Type",$C$5,"5 Source No.",$C822,"4 Item Ledger Entry Type",$C$4,"2 Item No.","@@"&amp;$F822,"3 Posting Date",U$9)-NL("Sum","5802 Value Entry","43 Cost Amount (Actual)","41 Source Type",$C$5,"5 Source no.",$C822,"4 Item Ledger Entry Type",$C$4,"2 Item No.","@@"&amp;$F822,"3 Posting Date",U$9)</t>
  </si>
  <si>
    <t>=U822-W822</t>
  </si>
  <si>
    <t>=IF(U822&lt;&gt;0,X822/U822,"")</t>
  </si>
  <si>
    <t>=NL("Sum","5802 Value Entry","150 Sales Amount (Expected)","41 Source Type",$C$5,"5 Source No.",$C822,"4 Item Ledger Entry Type",$C$4,"2 Item No.","@@"&amp;$F822,"3 Posting Date",Z$9)+NL("Sum","5802 Value Entry","17 Sales Amount (Actual)","41 Source Type",$C$5,"5 Source no.",$C822,"4 Item Ledger Entry Type",$C$4,"2 Item No.","@@"&amp;$F822,"3 Posting Date",Z$9)</t>
  </si>
  <si>
    <t>=-NL("Sum","5802 Value Entry","151 Cost Amount (Expected)","41 Source Type",$C$5,"5 Source No.",$C822,"4 Item Ledger Entry Type",$C$4,"2 Item No.","@@"&amp;$F822,"3 Posting Date",Z$9)-NL("Sum","5802 Value Entry","43 Cost Amount (Actual)","41 Source Type",$C$5,"5 Source no.",$C822,"4 Item Ledger Entry Type",$C$4,"2 Item No.","@@"&amp;$F822,"3 Posting Date",Z$9)</t>
  </si>
  <si>
    <t>=Z822-AB822</t>
  </si>
  <si>
    <t>=IF(Z822&lt;&gt;0,AC822/Z822,"")</t>
  </si>
  <si>
    <t>=C822</t>
  </si>
  <si>
    <t>=NL("Sum","5802 Value Entry","150 Sales Amount (Expected)","41 Source Type",$C$5,"5 Source No.",$C823,"4 Item Ledger Entry Type",$C$4,"2 Item No.","@@"&amp;$F823,"3 Posting Date",J$9)+NL("Sum","5802 Value Entry","17 Sales Amount (Actual)","41 Source Type",$C$5,"5 Source no.",$C823,"4 Item Ledger Entry Type",$C$4,"2 Item No.","@@"&amp;$F823,"3 Posting Date",J$9)</t>
  </si>
  <si>
    <t>=-NL("Sum","5802 Value Entry","151 Cost Amount (Expected)","41 Source Type",$C$5,"5 Source No.",$C823,"4 Item Ledger Entry Type",$C$4,"2 Item No.","@@"&amp;$F823,"3 Posting Date",J$9)-NL("Sum","5802 Value Entry","43 Cost Amount (Actual)","41 Source Type",$C$5,"5 Source no.",$C823,"4 Item Ledger Entry Type",$C$4,"2 Item No.","@@"&amp;$F823,"3 Posting Date",J$9)</t>
  </si>
  <si>
    <t>=J823-L823</t>
  </si>
  <si>
    <t>=IF(J823&lt;&gt;0,M823/J823,"")</t>
  </si>
  <si>
    <t>=NL("Sum","5802 Value Entry","150 Sales Amount (Expected)","41 Source Type",$C$5,"5 Source No.",$C823,"4 Item Ledger Entry Type",$C$4,"2 Item No.","@@"&amp;$F823,"3 Posting Date",O$9)+NL("Sum","5802 Value Entry","17 Sales Amount (Actual)","41 Source Type",$C$5,"5 Source no.",$C823,"4 Item Ledger Entry Type",$C$4,"2 Item No.","@@"&amp;$F823,"3 Posting Date",O$9)</t>
  </si>
  <si>
    <t>=-NL("Sum","5802 Value Entry","151 Cost Amount (Expected)","41 Source Type",$C$5,"5 Source No.",$C823,"4 Item Ledger Entry Type",$C$4,"2 Item No.","@@"&amp;$F823,"3 Posting Date",O$9)-NL("Sum","5802 Value Entry","43 Cost Amount (Actual)","41 Source Type",$C$5,"5 Source no.",$C823,"4 Item Ledger Entry Type",$C$4,"2 Item No.","@@"&amp;$F823,"3 Posting Date",O$9)</t>
  </si>
  <si>
    <t>=O823-Q823</t>
  </si>
  <si>
    <t>=IF(O823&lt;&gt;0,R823/O823,"")</t>
  </si>
  <si>
    <t>=NL("Sum","5802 Value Entry","150 Sales Amount (Expected)","41 Source Type",$C$5,"5 Source No.",$C823,"4 Item Ledger Entry Type",$C$4,"2 Item No.","@@"&amp;$F823,"3 Posting Date",U$9)+NL("Sum","5802 Value Entry","17 Sales Amount (Actual)","41 Source Type",$C$5,"5 Source no.",$C823,"4 Item Ledger Entry Type",$C$4,"2 Item No.","@@"&amp;$F823,"3 Posting Date",U$9)</t>
  </si>
  <si>
    <t>=-NL("Sum","5802 Value Entry","151 Cost Amount (Expected)","41 Source Type",$C$5,"5 Source No.",$C823,"4 Item Ledger Entry Type",$C$4,"2 Item No.","@@"&amp;$F823,"3 Posting Date",U$9)-NL("Sum","5802 Value Entry","43 Cost Amount (Actual)","41 Source Type",$C$5,"5 Source no.",$C823,"4 Item Ledger Entry Type",$C$4,"2 Item No.","@@"&amp;$F823,"3 Posting Date",U$9)</t>
  </si>
  <si>
    <t>=U823-W823</t>
  </si>
  <si>
    <t>=IF(U823&lt;&gt;0,X823/U823,"")</t>
  </si>
  <si>
    <t>=NL("Sum","5802 Value Entry","150 Sales Amount (Expected)","41 Source Type",$C$5,"5 Source No.",$C823,"4 Item Ledger Entry Type",$C$4,"2 Item No.","@@"&amp;$F823,"3 Posting Date",Z$9)+NL("Sum","5802 Value Entry","17 Sales Amount (Actual)","41 Source Type",$C$5,"5 Source no.",$C823,"4 Item Ledger Entry Type",$C$4,"2 Item No.","@@"&amp;$F823,"3 Posting Date",Z$9)</t>
  </si>
  <si>
    <t>=-NL("Sum","5802 Value Entry","151 Cost Amount (Expected)","41 Source Type",$C$5,"5 Source No.",$C823,"4 Item Ledger Entry Type",$C$4,"2 Item No.","@@"&amp;$F823,"3 Posting Date",Z$9)-NL("Sum","5802 Value Entry","43 Cost Amount (Actual)","41 Source Type",$C$5,"5 Source no.",$C823,"4 Item Ledger Entry Type",$C$4,"2 Item No.","@@"&amp;$F823,"3 Posting Date",Z$9)</t>
  </si>
  <si>
    <t>=Z823-AB823</t>
  </si>
  <si>
    <t>=IF(Z823&lt;&gt;0,AC823/Z823,"")</t>
  </si>
  <si>
    <t>="C100056"</t>
  </si>
  <si>
    <t>=C824</t>
  </si>
  <si>
    <t>="C100061"</t>
  </si>
  <si>
    <t>=J825-L825</t>
  </si>
  <si>
    <t>=IF(J825&lt;&gt;0,M825/J825,"")</t>
  </si>
  <si>
    <t>=O825-Q825</t>
  </si>
  <si>
    <t>=IF(O825&lt;&gt;0,R825/O825,"")</t>
  </si>
  <si>
    <t>=U825-W825</t>
  </si>
  <si>
    <t>=IF(U825&lt;&gt;0,X825/U825,"")</t>
  </si>
  <si>
    <t>=Z825-AB825</t>
  </si>
  <si>
    <t>=IF(Z825&lt;&gt;0,AC825/Z825,"")</t>
  </si>
  <si>
    <t>="C100063"</t>
  </si>
  <si>
    <t>=C827</t>
  </si>
  <si>
    <t>="C100067"</t>
  </si>
  <si>
    <t>=C828</t>
  </si>
  <si>
    <t>=NL("Sum","5802 Value Entry","150 Sales Amount (Expected)","41 Source Type",$C$5,"5 Source No.",$C829,"4 Item Ledger Entry Type",$C$4,"2 Item No.","@@"&amp;$F829,"3 Posting Date",J$9)+NL("Sum","5802 Value Entry","17 Sales Amount (Actual)","41 Source Type",$C$5,"5 Source no.",$C829,"4 Item Ledger Entry Type",$C$4,"2 Item No.","@@"&amp;$F829,"3 Posting Date",J$9)</t>
  </si>
  <si>
    <t>=-NL("Sum","5802 Value Entry","151 Cost Amount (Expected)","41 Source Type",$C$5,"5 Source No.",$C829,"4 Item Ledger Entry Type",$C$4,"2 Item No.","@@"&amp;$F829,"3 Posting Date",J$9)-NL("Sum","5802 Value Entry","43 Cost Amount (Actual)","41 Source Type",$C$5,"5 Source no.",$C829,"4 Item Ledger Entry Type",$C$4,"2 Item No.","@@"&amp;$F829,"3 Posting Date",J$9)</t>
  </si>
  <si>
    <t>=J829-L829</t>
  </si>
  <si>
    <t>=IF(J829&lt;&gt;0,M829/J829,"")</t>
  </si>
  <si>
    <t>=NL("Sum","5802 Value Entry","150 Sales Amount (Expected)","41 Source Type",$C$5,"5 Source No.",$C829,"4 Item Ledger Entry Type",$C$4,"2 Item No.","@@"&amp;$F829,"3 Posting Date",O$9)+NL("Sum","5802 Value Entry","17 Sales Amount (Actual)","41 Source Type",$C$5,"5 Source no.",$C829,"4 Item Ledger Entry Type",$C$4,"2 Item No.","@@"&amp;$F829,"3 Posting Date",O$9)</t>
  </si>
  <si>
    <t>=-NL("Sum","5802 Value Entry","151 Cost Amount (Expected)","41 Source Type",$C$5,"5 Source No.",$C829,"4 Item Ledger Entry Type",$C$4,"2 Item No.","@@"&amp;$F829,"3 Posting Date",O$9)-NL("Sum","5802 Value Entry","43 Cost Amount (Actual)","41 Source Type",$C$5,"5 Source no.",$C829,"4 Item Ledger Entry Type",$C$4,"2 Item No.","@@"&amp;$F829,"3 Posting Date",O$9)</t>
  </si>
  <si>
    <t>=O829-Q829</t>
  </si>
  <si>
    <t>=IF(O829&lt;&gt;0,R829/O829,"")</t>
  </si>
  <si>
    <t>=NL("Sum","5802 Value Entry","150 Sales Amount (Expected)","41 Source Type",$C$5,"5 Source No.",$C829,"4 Item Ledger Entry Type",$C$4,"2 Item No.","@@"&amp;$F829,"3 Posting Date",U$9)+NL("Sum","5802 Value Entry","17 Sales Amount (Actual)","41 Source Type",$C$5,"5 Source no.",$C829,"4 Item Ledger Entry Type",$C$4,"2 Item No.","@@"&amp;$F829,"3 Posting Date",U$9)</t>
  </si>
  <si>
    <t>=-NL("Sum","5802 Value Entry","151 Cost Amount (Expected)","41 Source Type",$C$5,"5 Source No.",$C829,"4 Item Ledger Entry Type",$C$4,"2 Item No.","@@"&amp;$F829,"3 Posting Date",U$9)-NL("Sum","5802 Value Entry","43 Cost Amount (Actual)","41 Source Type",$C$5,"5 Source no.",$C829,"4 Item Ledger Entry Type",$C$4,"2 Item No.","@@"&amp;$F829,"3 Posting Date",U$9)</t>
  </si>
  <si>
    <t>=U829-W829</t>
  </si>
  <si>
    <t>=IF(U829&lt;&gt;0,X829/U829,"")</t>
  </si>
  <si>
    <t>=NL("Sum","5802 Value Entry","150 Sales Amount (Expected)","41 Source Type",$C$5,"5 Source No.",$C829,"4 Item Ledger Entry Type",$C$4,"2 Item No.","@@"&amp;$F829,"3 Posting Date",Z$9)+NL("Sum","5802 Value Entry","17 Sales Amount (Actual)","41 Source Type",$C$5,"5 Source no.",$C829,"4 Item Ledger Entry Type",$C$4,"2 Item No.","@@"&amp;$F829,"3 Posting Date",Z$9)</t>
  </si>
  <si>
    <t>=-NL("Sum","5802 Value Entry","151 Cost Amount (Expected)","41 Source Type",$C$5,"5 Source No.",$C829,"4 Item Ledger Entry Type",$C$4,"2 Item No.","@@"&amp;$F829,"3 Posting Date",Z$9)-NL("Sum","5802 Value Entry","43 Cost Amount (Actual)","41 Source Type",$C$5,"5 Source no.",$C829,"4 Item Ledger Entry Type",$C$4,"2 Item No.","@@"&amp;$F829,"3 Posting Date",Z$9)</t>
  </si>
  <si>
    <t>=Z829-AB829</t>
  </si>
  <si>
    <t>=IF(Z829&lt;&gt;0,AC829/Z829,"")</t>
  </si>
  <si>
    <t>=C829</t>
  </si>
  <si>
    <t>="E100002"</t>
  </si>
  <si>
    <t>=NL("Sum","5802 Value Entry","150 Sales Amount (Expected)","41 Source Type",$C$5,"5 Source No.",$C830,"4 Item Ledger Entry Type",$C$4,"2 Item No.","@@"&amp;$F830,"3 Posting Date",J$9)+NL("Sum","5802 Value Entry","17 Sales Amount (Actual)","41 Source Type",$C$5,"5 Source no.",$C830,"4 Item Ledger Entry Type",$C$4,"2 Item No.","@@"&amp;$F830,"3 Posting Date",J$9)</t>
  </si>
  <si>
    <t>=-NL("Sum","5802 Value Entry","151 Cost Amount (Expected)","41 Source Type",$C$5,"5 Source No.",$C830,"4 Item Ledger Entry Type",$C$4,"2 Item No.","@@"&amp;$F830,"3 Posting Date",J$9)-NL("Sum","5802 Value Entry","43 Cost Amount (Actual)","41 Source Type",$C$5,"5 Source no.",$C830,"4 Item Ledger Entry Type",$C$4,"2 Item No.","@@"&amp;$F830,"3 Posting Date",J$9)</t>
  </si>
  <si>
    <t>=J830-L830</t>
  </si>
  <si>
    <t>=IF(J830&lt;&gt;0,M830/J830,"")</t>
  </si>
  <si>
    <t>=NL("Sum","5802 Value Entry","150 Sales Amount (Expected)","41 Source Type",$C$5,"5 Source No.",$C830,"4 Item Ledger Entry Type",$C$4,"2 Item No.","@@"&amp;$F830,"3 Posting Date",O$9)+NL("Sum","5802 Value Entry","17 Sales Amount (Actual)","41 Source Type",$C$5,"5 Source no.",$C830,"4 Item Ledger Entry Type",$C$4,"2 Item No.","@@"&amp;$F830,"3 Posting Date",O$9)</t>
  </si>
  <si>
    <t>=-NL("Sum","5802 Value Entry","151 Cost Amount (Expected)","41 Source Type",$C$5,"5 Source No.",$C830,"4 Item Ledger Entry Type",$C$4,"2 Item No.","@@"&amp;$F830,"3 Posting Date",O$9)-NL("Sum","5802 Value Entry","43 Cost Amount (Actual)","41 Source Type",$C$5,"5 Source no.",$C830,"4 Item Ledger Entry Type",$C$4,"2 Item No.","@@"&amp;$F830,"3 Posting Date",O$9)</t>
  </si>
  <si>
    <t>=O830-Q830</t>
  </si>
  <si>
    <t>=IF(O830&lt;&gt;0,R830/O830,"")</t>
  </si>
  <si>
    <t>=NL("Sum","5802 Value Entry","150 Sales Amount (Expected)","41 Source Type",$C$5,"5 Source No.",$C830,"4 Item Ledger Entry Type",$C$4,"2 Item No.","@@"&amp;$F830,"3 Posting Date",U$9)+NL("Sum","5802 Value Entry","17 Sales Amount (Actual)","41 Source Type",$C$5,"5 Source no.",$C830,"4 Item Ledger Entry Type",$C$4,"2 Item No.","@@"&amp;$F830,"3 Posting Date",U$9)</t>
  </si>
  <si>
    <t>=-NL("Sum","5802 Value Entry","151 Cost Amount (Expected)","41 Source Type",$C$5,"5 Source No.",$C830,"4 Item Ledger Entry Type",$C$4,"2 Item No.","@@"&amp;$F830,"3 Posting Date",U$9)-NL("Sum","5802 Value Entry","43 Cost Amount (Actual)","41 Source Type",$C$5,"5 Source no.",$C830,"4 Item Ledger Entry Type",$C$4,"2 Item No.","@@"&amp;$F830,"3 Posting Date",U$9)</t>
  </si>
  <si>
    <t>=U830-W830</t>
  </si>
  <si>
    <t>=IF(U830&lt;&gt;0,X830/U830,"")</t>
  </si>
  <si>
    <t>=NL("Sum","5802 Value Entry","150 Sales Amount (Expected)","41 Source Type",$C$5,"5 Source No.",$C830,"4 Item Ledger Entry Type",$C$4,"2 Item No.","@@"&amp;$F830,"3 Posting Date",Z$9)+NL("Sum","5802 Value Entry","17 Sales Amount (Actual)","41 Source Type",$C$5,"5 Source no.",$C830,"4 Item Ledger Entry Type",$C$4,"2 Item No.","@@"&amp;$F830,"3 Posting Date",Z$9)</t>
  </si>
  <si>
    <t>=-NL("Sum","5802 Value Entry","151 Cost Amount (Expected)","41 Source Type",$C$5,"5 Source No.",$C830,"4 Item Ledger Entry Type",$C$4,"2 Item No.","@@"&amp;$F830,"3 Posting Date",Z$9)-NL("Sum","5802 Value Entry","43 Cost Amount (Actual)","41 Source Type",$C$5,"5 Source no.",$C830,"4 Item Ledger Entry Type",$C$4,"2 Item No.","@@"&amp;$F830,"3 Posting Date",Z$9)</t>
  </si>
  <si>
    <t>=Z830-AB830</t>
  </si>
  <si>
    <t>=IF(Z830&lt;&gt;0,AC830/Z830,"")</t>
  </si>
  <si>
    <t>=C830</t>
  </si>
  <si>
    <t>="E100004"</t>
  </si>
  <si>
    <t>=NL("Sum","5802 Value Entry","150 Sales Amount (Expected)","41 Source Type",$C$5,"5 Source No.",$C831,"4 Item Ledger Entry Type",$C$4,"2 Item No.","@@"&amp;$F831,"3 Posting Date",J$9)+NL("Sum","5802 Value Entry","17 Sales Amount (Actual)","41 Source Type",$C$5,"5 Source no.",$C831,"4 Item Ledger Entry Type",$C$4,"2 Item No.","@@"&amp;$F831,"3 Posting Date",J$9)</t>
  </si>
  <si>
    <t>=-NL("Sum","5802 Value Entry","151 Cost Amount (Expected)","41 Source Type",$C$5,"5 Source No.",$C831,"4 Item Ledger Entry Type",$C$4,"2 Item No.","@@"&amp;$F831,"3 Posting Date",J$9)-NL("Sum","5802 Value Entry","43 Cost Amount (Actual)","41 Source Type",$C$5,"5 Source no.",$C831,"4 Item Ledger Entry Type",$C$4,"2 Item No.","@@"&amp;$F831,"3 Posting Date",J$9)</t>
  </si>
  <si>
    <t>=J831-L831</t>
  </si>
  <si>
    <t>=IF(J831&lt;&gt;0,M831/J831,"")</t>
  </si>
  <si>
    <t>=NL("Sum","5802 Value Entry","150 Sales Amount (Expected)","41 Source Type",$C$5,"5 Source No.",$C831,"4 Item Ledger Entry Type",$C$4,"2 Item No.","@@"&amp;$F831,"3 Posting Date",O$9)+NL("Sum","5802 Value Entry","17 Sales Amount (Actual)","41 Source Type",$C$5,"5 Source no.",$C831,"4 Item Ledger Entry Type",$C$4,"2 Item No.","@@"&amp;$F831,"3 Posting Date",O$9)</t>
  </si>
  <si>
    <t>=-NL("Sum","5802 Value Entry","151 Cost Amount (Expected)","41 Source Type",$C$5,"5 Source No.",$C831,"4 Item Ledger Entry Type",$C$4,"2 Item No.","@@"&amp;$F831,"3 Posting Date",O$9)-NL("Sum","5802 Value Entry","43 Cost Amount (Actual)","41 Source Type",$C$5,"5 Source no.",$C831,"4 Item Ledger Entry Type",$C$4,"2 Item No.","@@"&amp;$F831,"3 Posting Date",O$9)</t>
  </si>
  <si>
    <t>=O831-Q831</t>
  </si>
  <si>
    <t>=IF(O831&lt;&gt;0,R831/O831,"")</t>
  </si>
  <si>
    <t>=NL("Sum","5802 Value Entry","150 Sales Amount (Expected)","41 Source Type",$C$5,"5 Source No.",$C831,"4 Item Ledger Entry Type",$C$4,"2 Item No.","@@"&amp;$F831,"3 Posting Date",U$9)+NL("Sum","5802 Value Entry","17 Sales Amount (Actual)","41 Source Type",$C$5,"5 Source no.",$C831,"4 Item Ledger Entry Type",$C$4,"2 Item No.","@@"&amp;$F831,"3 Posting Date",U$9)</t>
  </si>
  <si>
    <t>=-NL("Sum","5802 Value Entry","151 Cost Amount (Expected)","41 Source Type",$C$5,"5 Source No.",$C831,"4 Item Ledger Entry Type",$C$4,"2 Item No.","@@"&amp;$F831,"3 Posting Date",U$9)-NL("Sum","5802 Value Entry","43 Cost Amount (Actual)","41 Source Type",$C$5,"5 Source no.",$C831,"4 Item Ledger Entry Type",$C$4,"2 Item No.","@@"&amp;$F831,"3 Posting Date",U$9)</t>
  </si>
  <si>
    <t>=U831-W831</t>
  </si>
  <si>
    <t>=IF(U831&lt;&gt;0,X831/U831,"")</t>
  </si>
  <si>
    <t>=NL("Sum","5802 Value Entry","150 Sales Amount (Expected)","41 Source Type",$C$5,"5 Source No.",$C831,"4 Item Ledger Entry Type",$C$4,"2 Item No.","@@"&amp;$F831,"3 Posting Date",Z$9)+NL("Sum","5802 Value Entry","17 Sales Amount (Actual)","41 Source Type",$C$5,"5 Source no.",$C831,"4 Item Ledger Entry Type",$C$4,"2 Item No.","@@"&amp;$F831,"3 Posting Date",Z$9)</t>
  </si>
  <si>
    <t>=-NL("Sum","5802 Value Entry","151 Cost Amount (Expected)","41 Source Type",$C$5,"5 Source No.",$C831,"4 Item Ledger Entry Type",$C$4,"2 Item No.","@@"&amp;$F831,"3 Posting Date",Z$9)-NL("Sum","5802 Value Entry","43 Cost Amount (Actual)","41 Source Type",$C$5,"5 Source no.",$C831,"4 Item Ledger Entry Type",$C$4,"2 Item No.","@@"&amp;$F831,"3 Posting Date",Z$9)</t>
  </si>
  <si>
    <t>=Z831-AB831</t>
  </si>
  <si>
    <t>=IF(Z831&lt;&gt;0,AC831/Z831,"")</t>
  </si>
  <si>
    <t>=C831</t>
  </si>
  <si>
    <t>="E100005"</t>
  </si>
  <si>
    <t>=NL("Sum","5802 Value Entry","150 Sales Amount (Expected)","41 Source Type",$C$5,"5 Source No.",$C832,"4 Item Ledger Entry Type",$C$4,"2 Item No.","@@"&amp;$F832,"3 Posting Date",J$9)+NL("Sum","5802 Value Entry","17 Sales Amount (Actual)","41 Source Type",$C$5,"5 Source no.",$C832,"4 Item Ledger Entry Type",$C$4,"2 Item No.","@@"&amp;$F832,"3 Posting Date",J$9)</t>
  </si>
  <si>
    <t>=-NL("Sum","5802 Value Entry","151 Cost Amount (Expected)","41 Source Type",$C$5,"5 Source No.",$C832,"4 Item Ledger Entry Type",$C$4,"2 Item No.","@@"&amp;$F832,"3 Posting Date",J$9)-NL("Sum","5802 Value Entry","43 Cost Amount (Actual)","41 Source Type",$C$5,"5 Source no.",$C832,"4 Item Ledger Entry Type",$C$4,"2 Item No.","@@"&amp;$F832,"3 Posting Date",J$9)</t>
  </si>
  <si>
    <t>=J832-L832</t>
  </si>
  <si>
    <t>=IF(J832&lt;&gt;0,M832/J832,"")</t>
  </si>
  <si>
    <t>=NL("Sum","5802 Value Entry","150 Sales Amount (Expected)","41 Source Type",$C$5,"5 Source No.",$C832,"4 Item Ledger Entry Type",$C$4,"2 Item No.","@@"&amp;$F832,"3 Posting Date",O$9)+NL("Sum","5802 Value Entry","17 Sales Amount (Actual)","41 Source Type",$C$5,"5 Source no.",$C832,"4 Item Ledger Entry Type",$C$4,"2 Item No.","@@"&amp;$F832,"3 Posting Date",O$9)</t>
  </si>
  <si>
    <t>=-NL("Sum","5802 Value Entry","151 Cost Amount (Expected)","41 Source Type",$C$5,"5 Source No.",$C832,"4 Item Ledger Entry Type",$C$4,"2 Item No.","@@"&amp;$F832,"3 Posting Date",O$9)-NL("Sum","5802 Value Entry","43 Cost Amount (Actual)","41 Source Type",$C$5,"5 Source no.",$C832,"4 Item Ledger Entry Type",$C$4,"2 Item No.","@@"&amp;$F832,"3 Posting Date",O$9)</t>
  </si>
  <si>
    <t>=O832-Q832</t>
  </si>
  <si>
    <t>=IF(O832&lt;&gt;0,R832/O832,"")</t>
  </si>
  <si>
    <t>=NL("Sum","5802 Value Entry","150 Sales Amount (Expected)","41 Source Type",$C$5,"5 Source No.",$C832,"4 Item Ledger Entry Type",$C$4,"2 Item No.","@@"&amp;$F832,"3 Posting Date",U$9)+NL("Sum","5802 Value Entry","17 Sales Amount (Actual)","41 Source Type",$C$5,"5 Source no.",$C832,"4 Item Ledger Entry Type",$C$4,"2 Item No.","@@"&amp;$F832,"3 Posting Date",U$9)</t>
  </si>
  <si>
    <t>=-NL("Sum","5802 Value Entry","151 Cost Amount (Expected)","41 Source Type",$C$5,"5 Source No.",$C832,"4 Item Ledger Entry Type",$C$4,"2 Item No.","@@"&amp;$F832,"3 Posting Date",U$9)-NL("Sum","5802 Value Entry","43 Cost Amount (Actual)","41 Source Type",$C$5,"5 Source no.",$C832,"4 Item Ledger Entry Type",$C$4,"2 Item No.","@@"&amp;$F832,"3 Posting Date",U$9)</t>
  </si>
  <si>
    <t>=U832-W832</t>
  </si>
  <si>
    <t>=IF(U832&lt;&gt;0,X832/U832,"")</t>
  </si>
  <si>
    <t>=NL("Sum","5802 Value Entry","150 Sales Amount (Expected)","41 Source Type",$C$5,"5 Source No.",$C832,"4 Item Ledger Entry Type",$C$4,"2 Item No.","@@"&amp;$F832,"3 Posting Date",Z$9)+NL("Sum","5802 Value Entry","17 Sales Amount (Actual)","41 Source Type",$C$5,"5 Source no.",$C832,"4 Item Ledger Entry Type",$C$4,"2 Item No.","@@"&amp;$F832,"3 Posting Date",Z$9)</t>
  </si>
  <si>
    <t>=-NL("Sum","5802 Value Entry","151 Cost Amount (Expected)","41 Source Type",$C$5,"5 Source No.",$C832,"4 Item Ledger Entry Type",$C$4,"2 Item No.","@@"&amp;$F832,"3 Posting Date",Z$9)-NL("Sum","5802 Value Entry","43 Cost Amount (Actual)","41 Source Type",$C$5,"5 Source no.",$C832,"4 Item Ledger Entry Type",$C$4,"2 Item No.","@@"&amp;$F832,"3 Posting Date",Z$9)</t>
  </si>
  <si>
    <t>=Z832-AB832</t>
  </si>
  <si>
    <t>=IF(Z832&lt;&gt;0,AC832/Z832,"")</t>
  </si>
  <si>
    <t>=C832</t>
  </si>
  <si>
    <t>="E100006"</t>
  </si>
  <si>
    <t>=NL("Sum","5802 Value Entry","150 Sales Amount (Expected)","41 Source Type",$C$5,"5 Source No.",$C833,"4 Item Ledger Entry Type",$C$4,"2 Item No.","@@"&amp;$F833,"3 Posting Date",J$9)+NL("Sum","5802 Value Entry","17 Sales Amount (Actual)","41 Source Type",$C$5,"5 Source no.",$C833,"4 Item Ledger Entry Type",$C$4,"2 Item No.","@@"&amp;$F833,"3 Posting Date",J$9)</t>
  </si>
  <si>
    <t>=-NL("Sum","5802 Value Entry","151 Cost Amount (Expected)","41 Source Type",$C$5,"5 Source No.",$C833,"4 Item Ledger Entry Type",$C$4,"2 Item No.","@@"&amp;$F833,"3 Posting Date",J$9)-NL("Sum","5802 Value Entry","43 Cost Amount (Actual)","41 Source Type",$C$5,"5 Source no.",$C833,"4 Item Ledger Entry Type",$C$4,"2 Item No.","@@"&amp;$F833,"3 Posting Date",J$9)</t>
  </si>
  <si>
    <t>=J833-L833</t>
  </si>
  <si>
    <t>=IF(J833&lt;&gt;0,M833/J833,"")</t>
  </si>
  <si>
    <t>=NL("Sum","5802 Value Entry","150 Sales Amount (Expected)","41 Source Type",$C$5,"5 Source No.",$C833,"4 Item Ledger Entry Type",$C$4,"2 Item No.","@@"&amp;$F833,"3 Posting Date",O$9)+NL("Sum","5802 Value Entry","17 Sales Amount (Actual)","41 Source Type",$C$5,"5 Source no.",$C833,"4 Item Ledger Entry Type",$C$4,"2 Item No.","@@"&amp;$F833,"3 Posting Date",O$9)</t>
  </si>
  <si>
    <t>=-NL("Sum","5802 Value Entry","151 Cost Amount (Expected)","41 Source Type",$C$5,"5 Source No.",$C833,"4 Item Ledger Entry Type",$C$4,"2 Item No.","@@"&amp;$F833,"3 Posting Date",O$9)-NL("Sum","5802 Value Entry","43 Cost Amount (Actual)","41 Source Type",$C$5,"5 Source no.",$C833,"4 Item Ledger Entry Type",$C$4,"2 Item No.","@@"&amp;$F833,"3 Posting Date",O$9)</t>
  </si>
  <si>
    <t>=O833-Q833</t>
  </si>
  <si>
    <t>=IF(O833&lt;&gt;0,R833/O833,"")</t>
  </si>
  <si>
    <t>=NL("Sum","5802 Value Entry","150 Sales Amount (Expected)","41 Source Type",$C$5,"5 Source No.",$C833,"4 Item Ledger Entry Type",$C$4,"2 Item No.","@@"&amp;$F833,"3 Posting Date",U$9)+NL("Sum","5802 Value Entry","17 Sales Amount (Actual)","41 Source Type",$C$5,"5 Source no.",$C833,"4 Item Ledger Entry Type",$C$4,"2 Item No.","@@"&amp;$F833,"3 Posting Date",U$9)</t>
  </si>
  <si>
    <t>=-NL("Sum","5802 Value Entry","151 Cost Amount (Expected)","41 Source Type",$C$5,"5 Source No.",$C833,"4 Item Ledger Entry Type",$C$4,"2 Item No.","@@"&amp;$F833,"3 Posting Date",U$9)-NL("Sum","5802 Value Entry","43 Cost Amount (Actual)","41 Source Type",$C$5,"5 Source no.",$C833,"4 Item Ledger Entry Type",$C$4,"2 Item No.","@@"&amp;$F833,"3 Posting Date",U$9)</t>
  </si>
  <si>
    <t>=U833-W833</t>
  </si>
  <si>
    <t>=IF(U833&lt;&gt;0,X833/U833,"")</t>
  </si>
  <si>
    <t>=NL("Sum","5802 Value Entry","150 Sales Amount (Expected)","41 Source Type",$C$5,"5 Source No.",$C833,"4 Item Ledger Entry Type",$C$4,"2 Item No.","@@"&amp;$F833,"3 Posting Date",Z$9)+NL("Sum","5802 Value Entry","17 Sales Amount (Actual)","41 Source Type",$C$5,"5 Source no.",$C833,"4 Item Ledger Entry Type",$C$4,"2 Item No.","@@"&amp;$F833,"3 Posting Date",Z$9)</t>
  </si>
  <si>
    <t>=-NL("Sum","5802 Value Entry","151 Cost Amount (Expected)","41 Source Type",$C$5,"5 Source No.",$C833,"4 Item Ledger Entry Type",$C$4,"2 Item No.","@@"&amp;$F833,"3 Posting Date",Z$9)-NL("Sum","5802 Value Entry","43 Cost Amount (Actual)","41 Source Type",$C$5,"5 Source no.",$C833,"4 Item Ledger Entry Type",$C$4,"2 Item No.","@@"&amp;$F833,"3 Posting Date",Z$9)</t>
  </si>
  <si>
    <t>=Z833-AB833</t>
  </si>
  <si>
    <t>=IF(Z833&lt;&gt;0,AC833/Z833,"")</t>
  </si>
  <si>
    <t>=C833</t>
  </si>
  <si>
    <t>="E100007"</t>
  </si>
  <si>
    <t>=NL("Sum","5802 Value Entry","150 Sales Amount (Expected)","41 Source Type",$C$5,"5 Source No.",$C834,"4 Item Ledger Entry Type",$C$4,"2 Item No.","@@"&amp;$F834,"3 Posting Date",J$9)+NL("Sum","5802 Value Entry","17 Sales Amount (Actual)","41 Source Type",$C$5,"5 Source no.",$C834,"4 Item Ledger Entry Type",$C$4,"2 Item No.","@@"&amp;$F834,"3 Posting Date",J$9)</t>
  </si>
  <si>
    <t>=-NL("Sum","5802 Value Entry","151 Cost Amount (Expected)","41 Source Type",$C$5,"5 Source No.",$C834,"4 Item Ledger Entry Type",$C$4,"2 Item No.","@@"&amp;$F834,"3 Posting Date",J$9)-NL("Sum","5802 Value Entry","43 Cost Amount (Actual)","41 Source Type",$C$5,"5 Source no.",$C834,"4 Item Ledger Entry Type",$C$4,"2 Item No.","@@"&amp;$F834,"3 Posting Date",J$9)</t>
  </si>
  <si>
    <t>=J834-L834</t>
  </si>
  <si>
    <t>=IF(J834&lt;&gt;0,M834/J834,"")</t>
  </si>
  <si>
    <t>=NL("Sum","5802 Value Entry","150 Sales Amount (Expected)","41 Source Type",$C$5,"5 Source No.",$C834,"4 Item Ledger Entry Type",$C$4,"2 Item No.","@@"&amp;$F834,"3 Posting Date",O$9)+NL("Sum","5802 Value Entry","17 Sales Amount (Actual)","41 Source Type",$C$5,"5 Source no.",$C834,"4 Item Ledger Entry Type",$C$4,"2 Item No.","@@"&amp;$F834,"3 Posting Date",O$9)</t>
  </si>
  <si>
    <t>=-NL("Sum","5802 Value Entry","151 Cost Amount (Expected)","41 Source Type",$C$5,"5 Source No.",$C834,"4 Item Ledger Entry Type",$C$4,"2 Item No.","@@"&amp;$F834,"3 Posting Date",O$9)-NL("Sum","5802 Value Entry","43 Cost Amount (Actual)","41 Source Type",$C$5,"5 Source no.",$C834,"4 Item Ledger Entry Type",$C$4,"2 Item No.","@@"&amp;$F834,"3 Posting Date",O$9)</t>
  </si>
  <si>
    <t>=O834-Q834</t>
  </si>
  <si>
    <t>=IF(O834&lt;&gt;0,R834/O834,"")</t>
  </si>
  <si>
    <t>=NL("Sum","5802 Value Entry","150 Sales Amount (Expected)","41 Source Type",$C$5,"5 Source No.",$C834,"4 Item Ledger Entry Type",$C$4,"2 Item No.","@@"&amp;$F834,"3 Posting Date",U$9)+NL("Sum","5802 Value Entry","17 Sales Amount (Actual)","41 Source Type",$C$5,"5 Source no.",$C834,"4 Item Ledger Entry Type",$C$4,"2 Item No.","@@"&amp;$F834,"3 Posting Date",U$9)</t>
  </si>
  <si>
    <t>=-NL("Sum","5802 Value Entry","151 Cost Amount (Expected)","41 Source Type",$C$5,"5 Source No.",$C834,"4 Item Ledger Entry Type",$C$4,"2 Item No.","@@"&amp;$F834,"3 Posting Date",U$9)-NL("Sum","5802 Value Entry","43 Cost Amount (Actual)","41 Source Type",$C$5,"5 Source no.",$C834,"4 Item Ledger Entry Type",$C$4,"2 Item No.","@@"&amp;$F834,"3 Posting Date",U$9)</t>
  </si>
  <si>
    <t>=U834-W834</t>
  </si>
  <si>
    <t>=IF(U834&lt;&gt;0,X834/U834,"")</t>
  </si>
  <si>
    <t>=NL("Sum","5802 Value Entry","150 Sales Amount (Expected)","41 Source Type",$C$5,"5 Source No.",$C834,"4 Item Ledger Entry Type",$C$4,"2 Item No.","@@"&amp;$F834,"3 Posting Date",Z$9)+NL("Sum","5802 Value Entry","17 Sales Amount (Actual)","41 Source Type",$C$5,"5 Source no.",$C834,"4 Item Ledger Entry Type",$C$4,"2 Item No.","@@"&amp;$F834,"3 Posting Date",Z$9)</t>
  </si>
  <si>
    <t>=-NL("Sum","5802 Value Entry","151 Cost Amount (Expected)","41 Source Type",$C$5,"5 Source No.",$C834,"4 Item Ledger Entry Type",$C$4,"2 Item No.","@@"&amp;$F834,"3 Posting Date",Z$9)-NL("Sum","5802 Value Entry","43 Cost Amount (Actual)","41 Source Type",$C$5,"5 Source no.",$C834,"4 Item Ledger Entry Type",$C$4,"2 Item No.","@@"&amp;$F834,"3 Posting Date",Z$9)</t>
  </si>
  <si>
    <t>=Z834-AB834</t>
  </si>
  <si>
    <t>=IF(Z834&lt;&gt;0,AC834/Z834,"")</t>
  </si>
  <si>
    <t>=C834</t>
  </si>
  <si>
    <t>="E100009"</t>
  </si>
  <si>
    <t>=NL("Sum","5802 Value Entry","150 Sales Amount (Expected)","41 Source Type",$C$5,"5 Source No.",$C835,"4 Item Ledger Entry Type",$C$4,"2 Item No.","@@"&amp;$F835,"3 Posting Date",J$9)+NL("Sum","5802 Value Entry","17 Sales Amount (Actual)","41 Source Type",$C$5,"5 Source no.",$C835,"4 Item Ledger Entry Type",$C$4,"2 Item No.","@@"&amp;$F835,"3 Posting Date",J$9)</t>
  </si>
  <si>
    <t>=-NL("Sum","5802 Value Entry","151 Cost Amount (Expected)","41 Source Type",$C$5,"5 Source No.",$C835,"4 Item Ledger Entry Type",$C$4,"2 Item No.","@@"&amp;$F835,"3 Posting Date",J$9)-NL("Sum","5802 Value Entry","43 Cost Amount (Actual)","41 Source Type",$C$5,"5 Source no.",$C835,"4 Item Ledger Entry Type",$C$4,"2 Item No.","@@"&amp;$F835,"3 Posting Date",J$9)</t>
  </si>
  <si>
    <t>=J835-L835</t>
  </si>
  <si>
    <t>=IF(J835&lt;&gt;0,M835/J835,"")</t>
  </si>
  <si>
    <t>=NL("Sum","5802 Value Entry","150 Sales Amount (Expected)","41 Source Type",$C$5,"5 Source No.",$C835,"4 Item Ledger Entry Type",$C$4,"2 Item No.","@@"&amp;$F835,"3 Posting Date",O$9)+NL("Sum","5802 Value Entry","17 Sales Amount (Actual)","41 Source Type",$C$5,"5 Source no.",$C835,"4 Item Ledger Entry Type",$C$4,"2 Item No.","@@"&amp;$F835,"3 Posting Date",O$9)</t>
  </si>
  <si>
    <t>=-NL("Sum","5802 Value Entry","151 Cost Amount (Expected)","41 Source Type",$C$5,"5 Source No.",$C835,"4 Item Ledger Entry Type",$C$4,"2 Item No.","@@"&amp;$F835,"3 Posting Date",O$9)-NL("Sum","5802 Value Entry","43 Cost Amount (Actual)","41 Source Type",$C$5,"5 Source no.",$C835,"4 Item Ledger Entry Type",$C$4,"2 Item No.","@@"&amp;$F835,"3 Posting Date",O$9)</t>
  </si>
  <si>
    <t>=O835-Q835</t>
  </si>
  <si>
    <t>=IF(O835&lt;&gt;0,R835/O835,"")</t>
  </si>
  <si>
    <t>=NL("Sum","5802 Value Entry","150 Sales Amount (Expected)","41 Source Type",$C$5,"5 Source No.",$C835,"4 Item Ledger Entry Type",$C$4,"2 Item No.","@@"&amp;$F835,"3 Posting Date",U$9)+NL("Sum","5802 Value Entry","17 Sales Amount (Actual)","41 Source Type",$C$5,"5 Source no.",$C835,"4 Item Ledger Entry Type",$C$4,"2 Item No.","@@"&amp;$F835,"3 Posting Date",U$9)</t>
  </si>
  <si>
    <t>=-NL("Sum","5802 Value Entry","151 Cost Amount (Expected)","41 Source Type",$C$5,"5 Source No.",$C835,"4 Item Ledger Entry Type",$C$4,"2 Item No.","@@"&amp;$F835,"3 Posting Date",U$9)-NL("Sum","5802 Value Entry","43 Cost Amount (Actual)","41 Source Type",$C$5,"5 Source no.",$C835,"4 Item Ledger Entry Type",$C$4,"2 Item No.","@@"&amp;$F835,"3 Posting Date",U$9)</t>
  </si>
  <si>
    <t>=U835-W835</t>
  </si>
  <si>
    <t>=IF(U835&lt;&gt;0,X835/U835,"")</t>
  </si>
  <si>
    <t>=NL("Sum","5802 Value Entry","150 Sales Amount (Expected)","41 Source Type",$C$5,"5 Source No.",$C835,"4 Item Ledger Entry Type",$C$4,"2 Item No.","@@"&amp;$F835,"3 Posting Date",Z$9)+NL("Sum","5802 Value Entry","17 Sales Amount (Actual)","41 Source Type",$C$5,"5 Source no.",$C835,"4 Item Ledger Entry Type",$C$4,"2 Item No.","@@"&amp;$F835,"3 Posting Date",Z$9)</t>
  </si>
  <si>
    <t>=-NL("Sum","5802 Value Entry","151 Cost Amount (Expected)","41 Source Type",$C$5,"5 Source No.",$C835,"4 Item Ledger Entry Type",$C$4,"2 Item No.","@@"&amp;$F835,"3 Posting Date",Z$9)-NL("Sum","5802 Value Entry","43 Cost Amount (Actual)","41 Source Type",$C$5,"5 Source no.",$C835,"4 Item Ledger Entry Type",$C$4,"2 Item No.","@@"&amp;$F835,"3 Posting Date",Z$9)</t>
  </si>
  <si>
    <t>=Z835-AB835</t>
  </si>
  <si>
    <t>=IF(Z835&lt;&gt;0,AC835/Z835,"")</t>
  </si>
  <si>
    <t>=C835</t>
  </si>
  <si>
    <t>="E100010"</t>
  </si>
  <si>
    <t>=NL("Sum","5802 Value Entry","150 Sales Amount (Expected)","41 Source Type",$C$5,"5 Source No.",$C836,"4 Item Ledger Entry Type",$C$4,"2 Item No.","@@"&amp;$F836,"3 Posting Date",J$9)+NL("Sum","5802 Value Entry","17 Sales Amount (Actual)","41 Source Type",$C$5,"5 Source no.",$C836,"4 Item Ledger Entry Type",$C$4,"2 Item No.","@@"&amp;$F836,"3 Posting Date",J$9)</t>
  </si>
  <si>
    <t>=-NL("Sum","5802 Value Entry","151 Cost Amount (Expected)","41 Source Type",$C$5,"5 Source No.",$C836,"4 Item Ledger Entry Type",$C$4,"2 Item No.","@@"&amp;$F836,"3 Posting Date",J$9)-NL("Sum","5802 Value Entry","43 Cost Amount (Actual)","41 Source Type",$C$5,"5 Source no.",$C836,"4 Item Ledger Entry Type",$C$4,"2 Item No.","@@"&amp;$F836,"3 Posting Date",J$9)</t>
  </si>
  <si>
    <t>=J836-L836</t>
  </si>
  <si>
    <t>=IF(J836&lt;&gt;0,M836/J836,"")</t>
  </si>
  <si>
    <t>=NL("Sum","5802 Value Entry","150 Sales Amount (Expected)","41 Source Type",$C$5,"5 Source No.",$C836,"4 Item Ledger Entry Type",$C$4,"2 Item No.","@@"&amp;$F836,"3 Posting Date",O$9)+NL("Sum","5802 Value Entry","17 Sales Amount (Actual)","41 Source Type",$C$5,"5 Source no.",$C836,"4 Item Ledger Entry Type",$C$4,"2 Item No.","@@"&amp;$F836,"3 Posting Date",O$9)</t>
  </si>
  <si>
    <t>=-NL("Sum","5802 Value Entry","151 Cost Amount (Expected)","41 Source Type",$C$5,"5 Source No.",$C836,"4 Item Ledger Entry Type",$C$4,"2 Item No.","@@"&amp;$F836,"3 Posting Date",O$9)-NL("Sum","5802 Value Entry","43 Cost Amount (Actual)","41 Source Type",$C$5,"5 Source no.",$C836,"4 Item Ledger Entry Type",$C$4,"2 Item No.","@@"&amp;$F836,"3 Posting Date",O$9)</t>
  </si>
  <si>
    <t>=O836-Q836</t>
  </si>
  <si>
    <t>=IF(O836&lt;&gt;0,R836/O836,"")</t>
  </si>
  <si>
    <t>=NL("Sum","5802 Value Entry","150 Sales Amount (Expected)","41 Source Type",$C$5,"5 Source No.",$C836,"4 Item Ledger Entry Type",$C$4,"2 Item No.","@@"&amp;$F836,"3 Posting Date",U$9)+NL("Sum","5802 Value Entry","17 Sales Amount (Actual)","41 Source Type",$C$5,"5 Source no.",$C836,"4 Item Ledger Entry Type",$C$4,"2 Item No.","@@"&amp;$F836,"3 Posting Date",U$9)</t>
  </si>
  <si>
    <t>=-NL("Sum","5802 Value Entry","151 Cost Amount (Expected)","41 Source Type",$C$5,"5 Source No.",$C836,"4 Item Ledger Entry Type",$C$4,"2 Item No.","@@"&amp;$F836,"3 Posting Date",U$9)-NL("Sum","5802 Value Entry","43 Cost Amount (Actual)","41 Source Type",$C$5,"5 Source no.",$C836,"4 Item Ledger Entry Type",$C$4,"2 Item No.","@@"&amp;$F836,"3 Posting Date",U$9)</t>
  </si>
  <si>
    <t>=U836-W836</t>
  </si>
  <si>
    <t>=IF(U836&lt;&gt;0,X836/U836,"")</t>
  </si>
  <si>
    <t>=NL("Sum","5802 Value Entry","150 Sales Amount (Expected)","41 Source Type",$C$5,"5 Source No.",$C836,"4 Item Ledger Entry Type",$C$4,"2 Item No.","@@"&amp;$F836,"3 Posting Date",Z$9)+NL("Sum","5802 Value Entry","17 Sales Amount (Actual)","41 Source Type",$C$5,"5 Source no.",$C836,"4 Item Ledger Entry Type",$C$4,"2 Item No.","@@"&amp;$F836,"3 Posting Date",Z$9)</t>
  </si>
  <si>
    <t>=-NL("Sum","5802 Value Entry","151 Cost Amount (Expected)","41 Source Type",$C$5,"5 Source No.",$C836,"4 Item Ledger Entry Type",$C$4,"2 Item No.","@@"&amp;$F836,"3 Posting Date",Z$9)-NL("Sum","5802 Value Entry","43 Cost Amount (Actual)","41 Source Type",$C$5,"5 Source no.",$C836,"4 Item Ledger Entry Type",$C$4,"2 Item No.","@@"&amp;$F836,"3 Posting Date",Z$9)</t>
  </si>
  <si>
    <t>=Z836-AB836</t>
  </si>
  <si>
    <t>=IF(Z836&lt;&gt;0,AC836/Z836,"")</t>
  </si>
  <si>
    <t>=C836</t>
  </si>
  <si>
    <t>=NL("Sum","5802 Value Entry","150 Sales Amount (Expected)","41 Source Type",$C$5,"5 Source No.",$C837,"4 Item Ledger Entry Type",$C$4,"2 Item No.","@@"&amp;$F837,"3 Posting Date",J$9)+NL("Sum","5802 Value Entry","17 Sales Amount (Actual)","41 Source Type",$C$5,"5 Source no.",$C837,"4 Item Ledger Entry Type",$C$4,"2 Item No.","@@"&amp;$F837,"3 Posting Date",J$9)</t>
  </si>
  <si>
    <t>=-NL("Sum","5802 Value Entry","151 Cost Amount (Expected)","41 Source Type",$C$5,"5 Source No.",$C837,"4 Item Ledger Entry Type",$C$4,"2 Item No.","@@"&amp;$F837,"3 Posting Date",J$9)-NL("Sum","5802 Value Entry","43 Cost Amount (Actual)","41 Source Type",$C$5,"5 Source no.",$C837,"4 Item Ledger Entry Type",$C$4,"2 Item No.","@@"&amp;$F837,"3 Posting Date",J$9)</t>
  </si>
  <si>
    <t>=J837-L837</t>
  </si>
  <si>
    <t>=IF(J837&lt;&gt;0,M837/J837,"")</t>
  </si>
  <si>
    <t>=NL("Sum","5802 Value Entry","150 Sales Amount (Expected)","41 Source Type",$C$5,"5 Source No.",$C837,"4 Item Ledger Entry Type",$C$4,"2 Item No.","@@"&amp;$F837,"3 Posting Date",O$9)+NL("Sum","5802 Value Entry","17 Sales Amount (Actual)","41 Source Type",$C$5,"5 Source no.",$C837,"4 Item Ledger Entry Type",$C$4,"2 Item No.","@@"&amp;$F837,"3 Posting Date",O$9)</t>
  </si>
  <si>
    <t>=-NL("Sum","5802 Value Entry","151 Cost Amount (Expected)","41 Source Type",$C$5,"5 Source No.",$C837,"4 Item Ledger Entry Type",$C$4,"2 Item No.","@@"&amp;$F837,"3 Posting Date",O$9)-NL("Sum","5802 Value Entry","43 Cost Amount (Actual)","41 Source Type",$C$5,"5 Source no.",$C837,"4 Item Ledger Entry Type",$C$4,"2 Item No.","@@"&amp;$F837,"3 Posting Date",O$9)</t>
  </si>
  <si>
    <t>=O837-Q837</t>
  </si>
  <si>
    <t>=IF(O837&lt;&gt;0,R837/O837,"")</t>
  </si>
  <si>
    <t>=NL("Sum","5802 Value Entry","150 Sales Amount (Expected)","41 Source Type",$C$5,"5 Source No.",$C837,"4 Item Ledger Entry Type",$C$4,"2 Item No.","@@"&amp;$F837,"3 Posting Date",U$9)+NL("Sum","5802 Value Entry","17 Sales Amount (Actual)","41 Source Type",$C$5,"5 Source no.",$C837,"4 Item Ledger Entry Type",$C$4,"2 Item No.","@@"&amp;$F837,"3 Posting Date",U$9)</t>
  </si>
  <si>
    <t>=-NL("Sum","5802 Value Entry","151 Cost Amount (Expected)","41 Source Type",$C$5,"5 Source No.",$C837,"4 Item Ledger Entry Type",$C$4,"2 Item No.","@@"&amp;$F837,"3 Posting Date",U$9)-NL("Sum","5802 Value Entry","43 Cost Amount (Actual)","41 Source Type",$C$5,"5 Source no.",$C837,"4 Item Ledger Entry Type",$C$4,"2 Item No.","@@"&amp;$F837,"3 Posting Date",U$9)</t>
  </si>
  <si>
    <t>=U837-W837</t>
  </si>
  <si>
    <t>=IF(U837&lt;&gt;0,X837/U837,"")</t>
  </si>
  <si>
    <t>=NL("Sum","5802 Value Entry","150 Sales Amount (Expected)","41 Source Type",$C$5,"5 Source No.",$C837,"4 Item Ledger Entry Type",$C$4,"2 Item No.","@@"&amp;$F837,"3 Posting Date",Z$9)+NL("Sum","5802 Value Entry","17 Sales Amount (Actual)","41 Source Type",$C$5,"5 Source no.",$C837,"4 Item Ledger Entry Type",$C$4,"2 Item No.","@@"&amp;$F837,"3 Posting Date",Z$9)</t>
  </si>
  <si>
    <t>=-NL("Sum","5802 Value Entry","151 Cost Amount (Expected)","41 Source Type",$C$5,"5 Source No.",$C837,"4 Item Ledger Entry Type",$C$4,"2 Item No.","@@"&amp;$F837,"3 Posting Date",Z$9)-NL("Sum","5802 Value Entry","43 Cost Amount (Actual)","41 Source Type",$C$5,"5 Source no.",$C837,"4 Item Ledger Entry Type",$C$4,"2 Item No.","@@"&amp;$F837,"3 Posting Date",Z$9)</t>
  </si>
  <si>
    <t>=Z837-AB837</t>
  </si>
  <si>
    <t>=IF(Z837&lt;&gt;0,AC837/Z837,"")</t>
  </si>
  <si>
    <t>=C837</t>
  </si>
  <si>
    <t>=NL("Sum","5802 Value Entry","150 Sales Amount (Expected)","41 Source Type",$C$5,"5 Source No.",$C838,"4 Item Ledger Entry Type",$C$4,"2 Item No.","@@"&amp;$F838,"3 Posting Date",J$9)+NL("Sum","5802 Value Entry","17 Sales Amount (Actual)","41 Source Type",$C$5,"5 Source no.",$C838,"4 Item Ledger Entry Type",$C$4,"2 Item No.","@@"&amp;$F838,"3 Posting Date",J$9)</t>
  </si>
  <si>
    <t>=-NL("Sum","5802 Value Entry","151 Cost Amount (Expected)","41 Source Type",$C$5,"5 Source No.",$C838,"4 Item Ledger Entry Type",$C$4,"2 Item No.","@@"&amp;$F838,"3 Posting Date",J$9)-NL("Sum","5802 Value Entry","43 Cost Amount (Actual)","41 Source Type",$C$5,"5 Source no.",$C838,"4 Item Ledger Entry Type",$C$4,"2 Item No.","@@"&amp;$F838,"3 Posting Date",J$9)</t>
  </si>
  <si>
    <t>=J838-L838</t>
  </si>
  <si>
    <t>=IF(J838&lt;&gt;0,M838/J838,"")</t>
  </si>
  <si>
    <t>=NL("Sum","5802 Value Entry","150 Sales Amount (Expected)","41 Source Type",$C$5,"5 Source No.",$C838,"4 Item Ledger Entry Type",$C$4,"2 Item No.","@@"&amp;$F838,"3 Posting Date",O$9)+NL("Sum","5802 Value Entry","17 Sales Amount (Actual)","41 Source Type",$C$5,"5 Source no.",$C838,"4 Item Ledger Entry Type",$C$4,"2 Item No.","@@"&amp;$F838,"3 Posting Date",O$9)</t>
  </si>
  <si>
    <t>=-NL("Sum","5802 Value Entry","151 Cost Amount (Expected)","41 Source Type",$C$5,"5 Source No.",$C838,"4 Item Ledger Entry Type",$C$4,"2 Item No.","@@"&amp;$F838,"3 Posting Date",O$9)-NL("Sum","5802 Value Entry","43 Cost Amount (Actual)","41 Source Type",$C$5,"5 Source no.",$C838,"4 Item Ledger Entry Type",$C$4,"2 Item No.","@@"&amp;$F838,"3 Posting Date",O$9)</t>
  </si>
  <si>
    <t>=O838-Q838</t>
  </si>
  <si>
    <t>=IF(O838&lt;&gt;0,R838/O838,"")</t>
  </si>
  <si>
    <t>=NL("Sum","5802 Value Entry","150 Sales Amount (Expected)","41 Source Type",$C$5,"5 Source No.",$C838,"4 Item Ledger Entry Type",$C$4,"2 Item No.","@@"&amp;$F838,"3 Posting Date",U$9)+NL("Sum","5802 Value Entry","17 Sales Amount (Actual)","41 Source Type",$C$5,"5 Source no.",$C838,"4 Item Ledger Entry Type",$C$4,"2 Item No.","@@"&amp;$F838,"3 Posting Date",U$9)</t>
  </si>
  <si>
    <t>=-NL("Sum","5802 Value Entry","151 Cost Amount (Expected)","41 Source Type",$C$5,"5 Source No.",$C838,"4 Item Ledger Entry Type",$C$4,"2 Item No.","@@"&amp;$F838,"3 Posting Date",U$9)-NL("Sum","5802 Value Entry","43 Cost Amount (Actual)","41 Source Type",$C$5,"5 Source no.",$C838,"4 Item Ledger Entry Type",$C$4,"2 Item No.","@@"&amp;$F838,"3 Posting Date",U$9)</t>
  </si>
  <si>
    <t>=U838-W838</t>
  </si>
  <si>
    <t>=IF(U838&lt;&gt;0,X838/U838,"")</t>
  </si>
  <si>
    <t>=NL("Sum","5802 Value Entry","150 Sales Amount (Expected)","41 Source Type",$C$5,"5 Source No.",$C838,"4 Item Ledger Entry Type",$C$4,"2 Item No.","@@"&amp;$F838,"3 Posting Date",Z$9)+NL("Sum","5802 Value Entry","17 Sales Amount (Actual)","41 Source Type",$C$5,"5 Source no.",$C838,"4 Item Ledger Entry Type",$C$4,"2 Item No.","@@"&amp;$F838,"3 Posting Date",Z$9)</t>
  </si>
  <si>
    <t>=-NL("Sum","5802 Value Entry","151 Cost Amount (Expected)","41 Source Type",$C$5,"5 Source No.",$C838,"4 Item Ledger Entry Type",$C$4,"2 Item No.","@@"&amp;$F838,"3 Posting Date",Z$9)-NL("Sum","5802 Value Entry","43 Cost Amount (Actual)","41 Source Type",$C$5,"5 Source no.",$C838,"4 Item Ledger Entry Type",$C$4,"2 Item No.","@@"&amp;$F838,"3 Posting Date",Z$9)</t>
  </si>
  <si>
    <t>=Z838-AB838</t>
  </si>
  <si>
    <t>=IF(Z838&lt;&gt;0,AC838/Z838,"")</t>
  </si>
  <si>
    <t>=C838</t>
  </si>
  <si>
    <t>=NL("Sum","5802 Value Entry","150 Sales Amount (Expected)","41 Source Type",$C$5,"5 Source No.",$C839,"4 Item Ledger Entry Type",$C$4,"2 Item No.","@@"&amp;$F839,"3 Posting Date",J$9)+NL("Sum","5802 Value Entry","17 Sales Amount (Actual)","41 Source Type",$C$5,"5 Source no.",$C839,"4 Item Ledger Entry Type",$C$4,"2 Item No.","@@"&amp;$F839,"3 Posting Date",J$9)</t>
  </si>
  <si>
    <t>=-NL("Sum","5802 Value Entry","151 Cost Amount (Expected)","41 Source Type",$C$5,"5 Source No.",$C839,"4 Item Ledger Entry Type",$C$4,"2 Item No.","@@"&amp;$F839,"3 Posting Date",J$9)-NL("Sum","5802 Value Entry","43 Cost Amount (Actual)","41 Source Type",$C$5,"5 Source no.",$C839,"4 Item Ledger Entry Type",$C$4,"2 Item No.","@@"&amp;$F839,"3 Posting Date",J$9)</t>
  </si>
  <si>
    <t>=J839-L839</t>
  </si>
  <si>
    <t>=IF(J839&lt;&gt;0,M839/J839,"")</t>
  </si>
  <si>
    <t>=NL("Sum","5802 Value Entry","150 Sales Amount (Expected)","41 Source Type",$C$5,"5 Source No.",$C839,"4 Item Ledger Entry Type",$C$4,"2 Item No.","@@"&amp;$F839,"3 Posting Date",O$9)+NL("Sum","5802 Value Entry","17 Sales Amount (Actual)","41 Source Type",$C$5,"5 Source no.",$C839,"4 Item Ledger Entry Type",$C$4,"2 Item No.","@@"&amp;$F839,"3 Posting Date",O$9)</t>
  </si>
  <si>
    <t>=-NL("Sum","5802 Value Entry","151 Cost Amount (Expected)","41 Source Type",$C$5,"5 Source No.",$C839,"4 Item Ledger Entry Type",$C$4,"2 Item No.","@@"&amp;$F839,"3 Posting Date",O$9)-NL("Sum","5802 Value Entry","43 Cost Amount (Actual)","41 Source Type",$C$5,"5 Source no.",$C839,"4 Item Ledger Entry Type",$C$4,"2 Item No.","@@"&amp;$F839,"3 Posting Date",O$9)</t>
  </si>
  <si>
    <t>=O839-Q839</t>
  </si>
  <si>
    <t>=IF(O839&lt;&gt;0,R839/O839,"")</t>
  </si>
  <si>
    <t>=NL("Sum","5802 Value Entry","150 Sales Amount (Expected)","41 Source Type",$C$5,"5 Source No.",$C839,"4 Item Ledger Entry Type",$C$4,"2 Item No.","@@"&amp;$F839,"3 Posting Date",U$9)+NL("Sum","5802 Value Entry","17 Sales Amount (Actual)","41 Source Type",$C$5,"5 Source no.",$C839,"4 Item Ledger Entry Type",$C$4,"2 Item No.","@@"&amp;$F839,"3 Posting Date",U$9)</t>
  </si>
  <si>
    <t>=-NL("Sum","5802 Value Entry","151 Cost Amount (Expected)","41 Source Type",$C$5,"5 Source No.",$C839,"4 Item Ledger Entry Type",$C$4,"2 Item No.","@@"&amp;$F839,"3 Posting Date",U$9)-NL("Sum","5802 Value Entry","43 Cost Amount (Actual)","41 Source Type",$C$5,"5 Source no.",$C839,"4 Item Ledger Entry Type",$C$4,"2 Item No.","@@"&amp;$F839,"3 Posting Date",U$9)</t>
  </si>
  <si>
    <t>=U839-W839</t>
  </si>
  <si>
    <t>=IF(U839&lt;&gt;0,X839/U839,"")</t>
  </si>
  <si>
    <t>=NL("Sum","5802 Value Entry","150 Sales Amount (Expected)","41 Source Type",$C$5,"5 Source No.",$C839,"4 Item Ledger Entry Type",$C$4,"2 Item No.","@@"&amp;$F839,"3 Posting Date",Z$9)+NL("Sum","5802 Value Entry","17 Sales Amount (Actual)","41 Source Type",$C$5,"5 Source no.",$C839,"4 Item Ledger Entry Type",$C$4,"2 Item No.","@@"&amp;$F839,"3 Posting Date",Z$9)</t>
  </si>
  <si>
    <t>=-NL("Sum","5802 Value Entry","151 Cost Amount (Expected)","41 Source Type",$C$5,"5 Source No.",$C839,"4 Item Ledger Entry Type",$C$4,"2 Item No.","@@"&amp;$F839,"3 Posting Date",Z$9)-NL("Sum","5802 Value Entry","43 Cost Amount (Actual)","41 Source Type",$C$5,"5 Source no.",$C839,"4 Item Ledger Entry Type",$C$4,"2 Item No.","@@"&amp;$F839,"3 Posting Date",Z$9)</t>
  </si>
  <si>
    <t>=Z839-AB839</t>
  </si>
  <si>
    <t>=IF(Z839&lt;&gt;0,AC839/Z839,"")</t>
  </si>
  <si>
    <t>=C839</t>
  </si>
  <si>
    <t>=NL("Sum","5802 Value Entry","150 Sales Amount (Expected)","41 Source Type",$C$5,"5 Source No.",$C840,"4 Item Ledger Entry Type",$C$4,"2 Item No.","@@"&amp;$F840,"3 Posting Date",J$9)+NL("Sum","5802 Value Entry","17 Sales Amount (Actual)","41 Source Type",$C$5,"5 Source no.",$C840,"4 Item Ledger Entry Type",$C$4,"2 Item No.","@@"&amp;$F840,"3 Posting Date",J$9)</t>
  </si>
  <si>
    <t>=-NL("Sum","5802 Value Entry","151 Cost Amount (Expected)","41 Source Type",$C$5,"5 Source No.",$C840,"4 Item Ledger Entry Type",$C$4,"2 Item No.","@@"&amp;$F840,"3 Posting Date",J$9)-NL("Sum","5802 Value Entry","43 Cost Amount (Actual)","41 Source Type",$C$5,"5 Source no.",$C840,"4 Item Ledger Entry Type",$C$4,"2 Item No.","@@"&amp;$F840,"3 Posting Date",J$9)</t>
  </si>
  <si>
    <t>=J840-L840</t>
  </si>
  <si>
    <t>=IF(J840&lt;&gt;0,M840/J840,"")</t>
  </si>
  <si>
    <t>=NL("Sum","5802 Value Entry","150 Sales Amount (Expected)","41 Source Type",$C$5,"5 Source No.",$C840,"4 Item Ledger Entry Type",$C$4,"2 Item No.","@@"&amp;$F840,"3 Posting Date",O$9)+NL("Sum","5802 Value Entry","17 Sales Amount (Actual)","41 Source Type",$C$5,"5 Source no.",$C840,"4 Item Ledger Entry Type",$C$4,"2 Item No.","@@"&amp;$F840,"3 Posting Date",O$9)</t>
  </si>
  <si>
    <t>=-NL("Sum","5802 Value Entry","151 Cost Amount (Expected)","41 Source Type",$C$5,"5 Source No.",$C840,"4 Item Ledger Entry Type",$C$4,"2 Item No.","@@"&amp;$F840,"3 Posting Date",O$9)-NL("Sum","5802 Value Entry","43 Cost Amount (Actual)","41 Source Type",$C$5,"5 Source no.",$C840,"4 Item Ledger Entry Type",$C$4,"2 Item No.","@@"&amp;$F840,"3 Posting Date",O$9)</t>
  </si>
  <si>
    <t>=O840-Q840</t>
  </si>
  <si>
    <t>=IF(O840&lt;&gt;0,R840/O840,"")</t>
  </si>
  <si>
    <t>=NL("Sum","5802 Value Entry","150 Sales Amount (Expected)","41 Source Type",$C$5,"5 Source No.",$C840,"4 Item Ledger Entry Type",$C$4,"2 Item No.","@@"&amp;$F840,"3 Posting Date",U$9)+NL("Sum","5802 Value Entry","17 Sales Amount (Actual)","41 Source Type",$C$5,"5 Source no.",$C840,"4 Item Ledger Entry Type",$C$4,"2 Item No.","@@"&amp;$F840,"3 Posting Date",U$9)</t>
  </si>
  <si>
    <t>=-NL("Sum","5802 Value Entry","151 Cost Amount (Expected)","41 Source Type",$C$5,"5 Source No.",$C840,"4 Item Ledger Entry Type",$C$4,"2 Item No.","@@"&amp;$F840,"3 Posting Date",U$9)-NL("Sum","5802 Value Entry","43 Cost Amount (Actual)","41 Source Type",$C$5,"5 Source no.",$C840,"4 Item Ledger Entry Type",$C$4,"2 Item No.","@@"&amp;$F840,"3 Posting Date",U$9)</t>
  </si>
  <si>
    <t>=U840-W840</t>
  </si>
  <si>
    <t>=IF(U840&lt;&gt;0,X840/U840,"")</t>
  </si>
  <si>
    <t>=NL("Sum","5802 Value Entry","150 Sales Amount (Expected)","41 Source Type",$C$5,"5 Source No.",$C840,"4 Item Ledger Entry Type",$C$4,"2 Item No.","@@"&amp;$F840,"3 Posting Date",Z$9)+NL("Sum","5802 Value Entry","17 Sales Amount (Actual)","41 Source Type",$C$5,"5 Source no.",$C840,"4 Item Ledger Entry Type",$C$4,"2 Item No.","@@"&amp;$F840,"3 Posting Date",Z$9)</t>
  </si>
  <si>
    <t>=-NL("Sum","5802 Value Entry","151 Cost Amount (Expected)","41 Source Type",$C$5,"5 Source No.",$C840,"4 Item Ledger Entry Type",$C$4,"2 Item No.","@@"&amp;$F840,"3 Posting Date",Z$9)-NL("Sum","5802 Value Entry","43 Cost Amount (Actual)","41 Source Type",$C$5,"5 Source no.",$C840,"4 Item Ledger Entry Type",$C$4,"2 Item No.","@@"&amp;$F840,"3 Posting Date",Z$9)</t>
  </si>
  <si>
    <t>=Z840-AB840</t>
  </si>
  <si>
    <t>=IF(Z840&lt;&gt;0,AC840/Z840,"")</t>
  </si>
  <si>
    <t>=C840</t>
  </si>
  <si>
    <t>=NL("Sum","5802 Value Entry","150 Sales Amount (Expected)","41 Source Type",$C$5,"5 Source No.",$C841,"4 Item Ledger Entry Type",$C$4,"2 Item No.","@@"&amp;$F841,"3 Posting Date",J$9)+NL("Sum","5802 Value Entry","17 Sales Amount (Actual)","41 Source Type",$C$5,"5 Source no.",$C841,"4 Item Ledger Entry Type",$C$4,"2 Item No.","@@"&amp;$F841,"3 Posting Date",J$9)</t>
  </si>
  <si>
    <t>=-NL("Sum","5802 Value Entry","151 Cost Amount (Expected)","41 Source Type",$C$5,"5 Source No.",$C841,"4 Item Ledger Entry Type",$C$4,"2 Item No.","@@"&amp;$F841,"3 Posting Date",J$9)-NL("Sum","5802 Value Entry","43 Cost Amount (Actual)","41 Source Type",$C$5,"5 Source no.",$C841,"4 Item Ledger Entry Type",$C$4,"2 Item No.","@@"&amp;$F841,"3 Posting Date",J$9)</t>
  </si>
  <si>
    <t>=J841-L841</t>
  </si>
  <si>
    <t>=IF(J841&lt;&gt;0,M841/J841,"")</t>
  </si>
  <si>
    <t>=NL("Sum","5802 Value Entry","150 Sales Amount (Expected)","41 Source Type",$C$5,"5 Source No.",$C841,"4 Item Ledger Entry Type",$C$4,"2 Item No.","@@"&amp;$F841,"3 Posting Date",O$9)+NL("Sum","5802 Value Entry","17 Sales Amount (Actual)","41 Source Type",$C$5,"5 Source no.",$C841,"4 Item Ledger Entry Type",$C$4,"2 Item No.","@@"&amp;$F841,"3 Posting Date",O$9)</t>
  </si>
  <si>
    <t>=-NL("Sum","5802 Value Entry","151 Cost Amount (Expected)","41 Source Type",$C$5,"5 Source No.",$C841,"4 Item Ledger Entry Type",$C$4,"2 Item No.","@@"&amp;$F841,"3 Posting Date",O$9)-NL("Sum","5802 Value Entry","43 Cost Amount (Actual)","41 Source Type",$C$5,"5 Source no.",$C841,"4 Item Ledger Entry Type",$C$4,"2 Item No.","@@"&amp;$F841,"3 Posting Date",O$9)</t>
  </si>
  <si>
    <t>=O841-Q841</t>
  </si>
  <si>
    <t>=IF(O841&lt;&gt;0,R841/O841,"")</t>
  </si>
  <si>
    <t>=NL("Sum","5802 Value Entry","150 Sales Amount (Expected)","41 Source Type",$C$5,"5 Source No.",$C841,"4 Item Ledger Entry Type",$C$4,"2 Item No.","@@"&amp;$F841,"3 Posting Date",U$9)+NL("Sum","5802 Value Entry","17 Sales Amount (Actual)","41 Source Type",$C$5,"5 Source no.",$C841,"4 Item Ledger Entry Type",$C$4,"2 Item No.","@@"&amp;$F841,"3 Posting Date",U$9)</t>
  </si>
  <si>
    <t>=-NL("Sum","5802 Value Entry","151 Cost Amount (Expected)","41 Source Type",$C$5,"5 Source No.",$C841,"4 Item Ledger Entry Type",$C$4,"2 Item No.","@@"&amp;$F841,"3 Posting Date",U$9)-NL("Sum","5802 Value Entry","43 Cost Amount (Actual)","41 Source Type",$C$5,"5 Source no.",$C841,"4 Item Ledger Entry Type",$C$4,"2 Item No.","@@"&amp;$F841,"3 Posting Date",U$9)</t>
  </si>
  <si>
    <t>=U841-W841</t>
  </si>
  <si>
    <t>=IF(U841&lt;&gt;0,X841/U841,"")</t>
  </si>
  <si>
    <t>=NL("Sum","5802 Value Entry","150 Sales Amount (Expected)","41 Source Type",$C$5,"5 Source No.",$C841,"4 Item Ledger Entry Type",$C$4,"2 Item No.","@@"&amp;$F841,"3 Posting Date",Z$9)+NL("Sum","5802 Value Entry","17 Sales Amount (Actual)","41 Source Type",$C$5,"5 Source no.",$C841,"4 Item Ledger Entry Type",$C$4,"2 Item No.","@@"&amp;$F841,"3 Posting Date",Z$9)</t>
  </si>
  <si>
    <t>=-NL("Sum","5802 Value Entry","151 Cost Amount (Expected)","41 Source Type",$C$5,"5 Source No.",$C841,"4 Item Ledger Entry Type",$C$4,"2 Item No.","@@"&amp;$F841,"3 Posting Date",Z$9)-NL("Sum","5802 Value Entry","43 Cost Amount (Actual)","41 Source Type",$C$5,"5 Source no.",$C841,"4 Item Ledger Entry Type",$C$4,"2 Item No.","@@"&amp;$F841,"3 Posting Date",Z$9)</t>
  </si>
  <si>
    <t>=Z841-AB841</t>
  </si>
  <si>
    <t>=IF(Z841&lt;&gt;0,AC841/Z841,"")</t>
  </si>
  <si>
    <t>=C841</t>
  </si>
  <si>
    <t>=NL("Sum","5802 Value Entry","150 Sales Amount (Expected)","41 Source Type",$C$5,"5 Source No.",$C842,"4 Item Ledger Entry Type",$C$4,"2 Item No.","@@"&amp;$F842,"3 Posting Date",J$9)+NL("Sum","5802 Value Entry","17 Sales Amount (Actual)","41 Source Type",$C$5,"5 Source no.",$C842,"4 Item Ledger Entry Type",$C$4,"2 Item No.","@@"&amp;$F842,"3 Posting Date",J$9)</t>
  </si>
  <si>
    <t>=-NL("Sum","5802 Value Entry","151 Cost Amount (Expected)","41 Source Type",$C$5,"5 Source No.",$C842,"4 Item Ledger Entry Type",$C$4,"2 Item No.","@@"&amp;$F842,"3 Posting Date",J$9)-NL("Sum","5802 Value Entry","43 Cost Amount (Actual)","41 Source Type",$C$5,"5 Source no.",$C842,"4 Item Ledger Entry Type",$C$4,"2 Item No.","@@"&amp;$F842,"3 Posting Date",J$9)</t>
  </si>
  <si>
    <t>=J842-L842</t>
  </si>
  <si>
    <t>=IF(J842&lt;&gt;0,M842/J842,"")</t>
  </si>
  <si>
    <t>=NL("Sum","5802 Value Entry","150 Sales Amount (Expected)","41 Source Type",$C$5,"5 Source No.",$C842,"4 Item Ledger Entry Type",$C$4,"2 Item No.","@@"&amp;$F842,"3 Posting Date",O$9)+NL("Sum","5802 Value Entry","17 Sales Amount (Actual)","41 Source Type",$C$5,"5 Source no.",$C842,"4 Item Ledger Entry Type",$C$4,"2 Item No.","@@"&amp;$F842,"3 Posting Date",O$9)</t>
  </si>
  <si>
    <t>=-NL("Sum","5802 Value Entry","151 Cost Amount (Expected)","41 Source Type",$C$5,"5 Source No.",$C842,"4 Item Ledger Entry Type",$C$4,"2 Item No.","@@"&amp;$F842,"3 Posting Date",O$9)-NL("Sum","5802 Value Entry","43 Cost Amount (Actual)","41 Source Type",$C$5,"5 Source no.",$C842,"4 Item Ledger Entry Type",$C$4,"2 Item No.","@@"&amp;$F842,"3 Posting Date",O$9)</t>
  </si>
  <si>
    <t>=O842-Q842</t>
  </si>
  <si>
    <t>=IF(O842&lt;&gt;0,R842/O842,"")</t>
  </si>
  <si>
    <t>=NL("Sum","5802 Value Entry","150 Sales Amount (Expected)","41 Source Type",$C$5,"5 Source No.",$C842,"4 Item Ledger Entry Type",$C$4,"2 Item No.","@@"&amp;$F842,"3 Posting Date",U$9)+NL("Sum","5802 Value Entry","17 Sales Amount (Actual)","41 Source Type",$C$5,"5 Source no.",$C842,"4 Item Ledger Entry Type",$C$4,"2 Item No.","@@"&amp;$F842,"3 Posting Date",U$9)</t>
  </si>
  <si>
    <t>=-NL("Sum","5802 Value Entry","151 Cost Amount (Expected)","41 Source Type",$C$5,"5 Source No.",$C842,"4 Item Ledger Entry Type",$C$4,"2 Item No.","@@"&amp;$F842,"3 Posting Date",U$9)-NL("Sum","5802 Value Entry","43 Cost Amount (Actual)","41 Source Type",$C$5,"5 Source no.",$C842,"4 Item Ledger Entry Type",$C$4,"2 Item No.","@@"&amp;$F842,"3 Posting Date",U$9)</t>
  </si>
  <si>
    <t>=U842-W842</t>
  </si>
  <si>
    <t>=IF(U842&lt;&gt;0,X842/U842,"")</t>
  </si>
  <si>
    <t>=NL("Sum","5802 Value Entry","150 Sales Amount (Expected)","41 Source Type",$C$5,"5 Source No.",$C842,"4 Item Ledger Entry Type",$C$4,"2 Item No.","@@"&amp;$F842,"3 Posting Date",Z$9)+NL("Sum","5802 Value Entry","17 Sales Amount (Actual)","41 Source Type",$C$5,"5 Source no.",$C842,"4 Item Ledger Entry Type",$C$4,"2 Item No.","@@"&amp;$F842,"3 Posting Date",Z$9)</t>
  </si>
  <si>
    <t>=-NL("Sum","5802 Value Entry","151 Cost Amount (Expected)","41 Source Type",$C$5,"5 Source No.",$C842,"4 Item Ledger Entry Type",$C$4,"2 Item No.","@@"&amp;$F842,"3 Posting Date",Z$9)-NL("Sum","5802 Value Entry","43 Cost Amount (Actual)","41 Source Type",$C$5,"5 Source no.",$C842,"4 Item Ledger Entry Type",$C$4,"2 Item No.","@@"&amp;$F842,"3 Posting Date",Z$9)</t>
  </si>
  <si>
    <t>=Z842-AB842</t>
  </si>
  <si>
    <t>=IF(Z842&lt;&gt;0,AC842/Z842,"")</t>
  </si>
  <si>
    <t>=C842</t>
  </si>
  <si>
    <t>=NL("Sum","5802 Value Entry","150 Sales Amount (Expected)","41 Source Type",$C$5,"5 Source No.",$C843,"4 Item Ledger Entry Type",$C$4,"2 Item No.","@@"&amp;$F843,"3 Posting Date",J$9)+NL("Sum","5802 Value Entry","17 Sales Amount (Actual)","41 Source Type",$C$5,"5 Source no.",$C843,"4 Item Ledger Entry Type",$C$4,"2 Item No.","@@"&amp;$F843,"3 Posting Date",J$9)</t>
  </si>
  <si>
    <t>=-NL("Sum","5802 Value Entry","151 Cost Amount (Expected)","41 Source Type",$C$5,"5 Source No.",$C843,"4 Item Ledger Entry Type",$C$4,"2 Item No.","@@"&amp;$F843,"3 Posting Date",J$9)-NL("Sum","5802 Value Entry","43 Cost Amount (Actual)","41 Source Type",$C$5,"5 Source no.",$C843,"4 Item Ledger Entry Type",$C$4,"2 Item No.","@@"&amp;$F843,"3 Posting Date",J$9)</t>
  </si>
  <si>
    <t>=J843-L843</t>
  </si>
  <si>
    <t>=IF(J843&lt;&gt;0,M843/J843,"")</t>
  </si>
  <si>
    <t>=NL("Sum","5802 Value Entry","150 Sales Amount (Expected)","41 Source Type",$C$5,"5 Source No.",$C843,"4 Item Ledger Entry Type",$C$4,"2 Item No.","@@"&amp;$F843,"3 Posting Date",O$9)+NL("Sum","5802 Value Entry","17 Sales Amount (Actual)","41 Source Type",$C$5,"5 Source no.",$C843,"4 Item Ledger Entry Type",$C$4,"2 Item No.","@@"&amp;$F843,"3 Posting Date",O$9)</t>
  </si>
  <si>
    <t>=-NL("Sum","5802 Value Entry","151 Cost Amount (Expected)","41 Source Type",$C$5,"5 Source No.",$C843,"4 Item Ledger Entry Type",$C$4,"2 Item No.","@@"&amp;$F843,"3 Posting Date",O$9)-NL("Sum","5802 Value Entry","43 Cost Amount (Actual)","41 Source Type",$C$5,"5 Source no.",$C843,"4 Item Ledger Entry Type",$C$4,"2 Item No.","@@"&amp;$F843,"3 Posting Date",O$9)</t>
  </si>
  <si>
    <t>=O843-Q843</t>
  </si>
  <si>
    <t>=IF(O843&lt;&gt;0,R843/O843,"")</t>
  </si>
  <si>
    <t>=NL("Sum","5802 Value Entry","150 Sales Amount (Expected)","41 Source Type",$C$5,"5 Source No.",$C843,"4 Item Ledger Entry Type",$C$4,"2 Item No.","@@"&amp;$F843,"3 Posting Date",U$9)+NL("Sum","5802 Value Entry","17 Sales Amount (Actual)","41 Source Type",$C$5,"5 Source no.",$C843,"4 Item Ledger Entry Type",$C$4,"2 Item No.","@@"&amp;$F843,"3 Posting Date",U$9)</t>
  </si>
  <si>
    <t>=-NL("Sum","5802 Value Entry","151 Cost Amount (Expected)","41 Source Type",$C$5,"5 Source No.",$C843,"4 Item Ledger Entry Type",$C$4,"2 Item No.","@@"&amp;$F843,"3 Posting Date",U$9)-NL("Sum","5802 Value Entry","43 Cost Amount (Actual)","41 Source Type",$C$5,"5 Source no.",$C843,"4 Item Ledger Entry Type",$C$4,"2 Item No.","@@"&amp;$F843,"3 Posting Date",U$9)</t>
  </si>
  <si>
    <t>=U843-W843</t>
  </si>
  <si>
    <t>=IF(U843&lt;&gt;0,X843/U843,"")</t>
  </si>
  <si>
    <t>=NL("Sum","5802 Value Entry","150 Sales Amount (Expected)","41 Source Type",$C$5,"5 Source No.",$C843,"4 Item Ledger Entry Type",$C$4,"2 Item No.","@@"&amp;$F843,"3 Posting Date",Z$9)+NL("Sum","5802 Value Entry","17 Sales Amount (Actual)","41 Source Type",$C$5,"5 Source no.",$C843,"4 Item Ledger Entry Type",$C$4,"2 Item No.","@@"&amp;$F843,"3 Posting Date",Z$9)</t>
  </si>
  <si>
    <t>=-NL("Sum","5802 Value Entry","151 Cost Amount (Expected)","41 Source Type",$C$5,"5 Source No.",$C843,"4 Item Ledger Entry Type",$C$4,"2 Item No.","@@"&amp;$F843,"3 Posting Date",Z$9)-NL("Sum","5802 Value Entry","43 Cost Amount (Actual)","41 Source Type",$C$5,"5 Source no.",$C843,"4 Item Ledger Entry Type",$C$4,"2 Item No.","@@"&amp;$F843,"3 Posting Date",Z$9)</t>
  </si>
  <si>
    <t>=Z843-AB843</t>
  </si>
  <si>
    <t>=IF(Z843&lt;&gt;0,AC843/Z843,"")</t>
  </si>
  <si>
    <t>=C843</t>
  </si>
  <si>
    <t>="E100024"</t>
  </si>
  <si>
    <t>=NL("Sum","5802 Value Entry","150 Sales Amount (Expected)","41 Source Type",$C$5,"5 Source No.",$C844,"4 Item Ledger Entry Type",$C$4,"2 Item No.","@@"&amp;$F844,"3 Posting Date",J$9)+NL("Sum","5802 Value Entry","17 Sales Amount (Actual)","41 Source Type",$C$5,"5 Source no.",$C844,"4 Item Ledger Entry Type",$C$4,"2 Item No.","@@"&amp;$F844,"3 Posting Date",J$9)</t>
  </si>
  <si>
    <t>=-NL("Sum","5802 Value Entry","151 Cost Amount (Expected)","41 Source Type",$C$5,"5 Source No.",$C844,"4 Item Ledger Entry Type",$C$4,"2 Item No.","@@"&amp;$F844,"3 Posting Date",J$9)-NL("Sum","5802 Value Entry","43 Cost Amount (Actual)","41 Source Type",$C$5,"5 Source no.",$C844,"4 Item Ledger Entry Type",$C$4,"2 Item No.","@@"&amp;$F844,"3 Posting Date",J$9)</t>
  </si>
  <si>
    <t>=J844-L844</t>
  </si>
  <si>
    <t>=IF(J844&lt;&gt;0,M844/J844,"")</t>
  </si>
  <si>
    <t>=NL("Sum","5802 Value Entry","150 Sales Amount (Expected)","41 Source Type",$C$5,"5 Source No.",$C844,"4 Item Ledger Entry Type",$C$4,"2 Item No.","@@"&amp;$F844,"3 Posting Date",O$9)+NL("Sum","5802 Value Entry","17 Sales Amount (Actual)","41 Source Type",$C$5,"5 Source no.",$C844,"4 Item Ledger Entry Type",$C$4,"2 Item No.","@@"&amp;$F844,"3 Posting Date",O$9)</t>
  </si>
  <si>
    <t>=-NL("Sum","5802 Value Entry","151 Cost Amount (Expected)","41 Source Type",$C$5,"5 Source No.",$C844,"4 Item Ledger Entry Type",$C$4,"2 Item No.","@@"&amp;$F844,"3 Posting Date",O$9)-NL("Sum","5802 Value Entry","43 Cost Amount (Actual)","41 Source Type",$C$5,"5 Source no.",$C844,"4 Item Ledger Entry Type",$C$4,"2 Item No.","@@"&amp;$F844,"3 Posting Date",O$9)</t>
  </si>
  <si>
    <t>=O844-Q844</t>
  </si>
  <si>
    <t>=IF(O844&lt;&gt;0,R844/O844,"")</t>
  </si>
  <si>
    <t>=NL("Sum","5802 Value Entry","150 Sales Amount (Expected)","41 Source Type",$C$5,"5 Source No.",$C844,"4 Item Ledger Entry Type",$C$4,"2 Item No.","@@"&amp;$F844,"3 Posting Date",U$9)+NL("Sum","5802 Value Entry","17 Sales Amount (Actual)","41 Source Type",$C$5,"5 Source no.",$C844,"4 Item Ledger Entry Type",$C$4,"2 Item No.","@@"&amp;$F844,"3 Posting Date",U$9)</t>
  </si>
  <si>
    <t>=-NL("Sum","5802 Value Entry","151 Cost Amount (Expected)","41 Source Type",$C$5,"5 Source No.",$C844,"4 Item Ledger Entry Type",$C$4,"2 Item No.","@@"&amp;$F844,"3 Posting Date",U$9)-NL("Sum","5802 Value Entry","43 Cost Amount (Actual)","41 Source Type",$C$5,"5 Source no.",$C844,"4 Item Ledger Entry Type",$C$4,"2 Item No.","@@"&amp;$F844,"3 Posting Date",U$9)</t>
  </si>
  <si>
    <t>=U844-W844</t>
  </si>
  <si>
    <t>=IF(U844&lt;&gt;0,X844/U844,"")</t>
  </si>
  <si>
    <t>=NL("Sum","5802 Value Entry","150 Sales Amount (Expected)","41 Source Type",$C$5,"5 Source No.",$C844,"4 Item Ledger Entry Type",$C$4,"2 Item No.","@@"&amp;$F844,"3 Posting Date",Z$9)+NL("Sum","5802 Value Entry","17 Sales Amount (Actual)","41 Source Type",$C$5,"5 Source no.",$C844,"4 Item Ledger Entry Type",$C$4,"2 Item No.","@@"&amp;$F844,"3 Posting Date",Z$9)</t>
  </si>
  <si>
    <t>=-NL("Sum","5802 Value Entry","151 Cost Amount (Expected)","41 Source Type",$C$5,"5 Source No.",$C844,"4 Item Ledger Entry Type",$C$4,"2 Item No.","@@"&amp;$F844,"3 Posting Date",Z$9)-NL("Sum","5802 Value Entry","43 Cost Amount (Actual)","41 Source Type",$C$5,"5 Source no.",$C844,"4 Item Ledger Entry Type",$C$4,"2 Item No.","@@"&amp;$F844,"3 Posting Date",Z$9)</t>
  </si>
  <si>
    <t>=Z844-AB844</t>
  </si>
  <si>
    <t>=IF(Z844&lt;&gt;0,AC844/Z844,"")</t>
  </si>
  <si>
    <t>=C844</t>
  </si>
  <si>
    <t>="E100025"</t>
  </si>
  <si>
    <t>=NL("Sum","5802 Value Entry","150 Sales Amount (Expected)","41 Source Type",$C$5,"5 Source No.",$C845,"4 Item Ledger Entry Type",$C$4,"2 Item No.","@@"&amp;$F845,"3 Posting Date",J$9)+NL("Sum","5802 Value Entry","17 Sales Amount (Actual)","41 Source Type",$C$5,"5 Source no.",$C845,"4 Item Ledger Entry Type",$C$4,"2 Item No.","@@"&amp;$F845,"3 Posting Date",J$9)</t>
  </si>
  <si>
    <t>=-NL("Sum","5802 Value Entry","151 Cost Amount (Expected)","41 Source Type",$C$5,"5 Source No.",$C845,"4 Item Ledger Entry Type",$C$4,"2 Item No.","@@"&amp;$F845,"3 Posting Date",J$9)-NL("Sum","5802 Value Entry","43 Cost Amount (Actual)","41 Source Type",$C$5,"5 Source no.",$C845,"4 Item Ledger Entry Type",$C$4,"2 Item No.","@@"&amp;$F845,"3 Posting Date",J$9)</t>
  </si>
  <si>
    <t>=J845-L845</t>
  </si>
  <si>
    <t>=IF(J845&lt;&gt;0,M845/J845,"")</t>
  </si>
  <si>
    <t>=NL("Sum","5802 Value Entry","150 Sales Amount (Expected)","41 Source Type",$C$5,"5 Source No.",$C845,"4 Item Ledger Entry Type",$C$4,"2 Item No.","@@"&amp;$F845,"3 Posting Date",O$9)+NL("Sum","5802 Value Entry","17 Sales Amount (Actual)","41 Source Type",$C$5,"5 Source no.",$C845,"4 Item Ledger Entry Type",$C$4,"2 Item No.","@@"&amp;$F845,"3 Posting Date",O$9)</t>
  </si>
  <si>
    <t>=-NL("Sum","5802 Value Entry","151 Cost Amount (Expected)","41 Source Type",$C$5,"5 Source No.",$C845,"4 Item Ledger Entry Type",$C$4,"2 Item No.","@@"&amp;$F845,"3 Posting Date",O$9)-NL("Sum","5802 Value Entry","43 Cost Amount (Actual)","41 Source Type",$C$5,"5 Source no.",$C845,"4 Item Ledger Entry Type",$C$4,"2 Item No.","@@"&amp;$F845,"3 Posting Date",O$9)</t>
  </si>
  <si>
    <t>=O845-Q845</t>
  </si>
  <si>
    <t>=IF(O845&lt;&gt;0,R845/O845,"")</t>
  </si>
  <si>
    <t>=NL("Sum","5802 Value Entry","150 Sales Amount (Expected)","41 Source Type",$C$5,"5 Source No.",$C845,"4 Item Ledger Entry Type",$C$4,"2 Item No.","@@"&amp;$F845,"3 Posting Date",U$9)+NL("Sum","5802 Value Entry","17 Sales Amount (Actual)","41 Source Type",$C$5,"5 Source no.",$C845,"4 Item Ledger Entry Type",$C$4,"2 Item No.","@@"&amp;$F845,"3 Posting Date",U$9)</t>
  </si>
  <si>
    <t>=-NL("Sum","5802 Value Entry","151 Cost Amount (Expected)","41 Source Type",$C$5,"5 Source No.",$C845,"4 Item Ledger Entry Type",$C$4,"2 Item No.","@@"&amp;$F845,"3 Posting Date",U$9)-NL("Sum","5802 Value Entry","43 Cost Amount (Actual)","41 Source Type",$C$5,"5 Source no.",$C845,"4 Item Ledger Entry Type",$C$4,"2 Item No.","@@"&amp;$F845,"3 Posting Date",U$9)</t>
  </si>
  <si>
    <t>=U845-W845</t>
  </si>
  <si>
    <t>=IF(U845&lt;&gt;0,X845/U845,"")</t>
  </si>
  <si>
    <t>=NL("Sum","5802 Value Entry","150 Sales Amount (Expected)","41 Source Type",$C$5,"5 Source No.",$C845,"4 Item Ledger Entry Type",$C$4,"2 Item No.","@@"&amp;$F845,"3 Posting Date",Z$9)+NL("Sum","5802 Value Entry","17 Sales Amount (Actual)","41 Source Type",$C$5,"5 Source no.",$C845,"4 Item Ledger Entry Type",$C$4,"2 Item No.","@@"&amp;$F845,"3 Posting Date",Z$9)</t>
  </si>
  <si>
    <t>=-NL("Sum","5802 Value Entry","151 Cost Amount (Expected)","41 Source Type",$C$5,"5 Source No.",$C845,"4 Item Ledger Entry Type",$C$4,"2 Item No.","@@"&amp;$F845,"3 Posting Date",Z$9)-NL("Sum","5802 Value Entry","43 Cost Amount (Actual)","41 Source Type",$C$5,"5 Source no.",$C845,"4 Item Ledger Entry Type",$C$4,"2 Item No.","@@"&amp;$F845,"3 Posting Date",Z$9)</t>
  </si>
  <si>
    <t>=Z845-AB845</t>
  </si>
  <si>
    <t>=IF(Z845&lt;&gt;0,AC845/Z845,"")</t>
  </si>
  <si>
    <t>=C845</t>
  </si>
  <si>
    <t>="E100026"</t>
  </si>
  <si>
    <t>=NL("Sum","5802 Value Entry","150 Sales Amount (Expected)","41 Source Type",$C$5,"5 Source No.",$C846,"4 Item Ledger Entry Type",$C$4,"2 Item No.","@@"&amp;$F846,"3 Posting Date",J$9)+NL("Sum","5802 Value Entry","17 Sales Amount (Actual)","41 Source Type",$C$5,"5 Source no.",$C846,"4 Item Ledger Entry Type",$C$4,"2 Item No.","@@"&amp;$F846,"3 Posting Date",J$9)</t>
  </si>
  <si>
    <t>=-NL("Sum","5802 Value Entry","151 Cost Amount (Expected)","41 Source Type",$C$5,"5 Source No.",$C846,"4 Item Ledger Entry Type",$C$4,"2 Item No.","@@"&amp;$F846,"3 Posting Date",J$9)-NL("Sum","5802 Value Entry","43 Cost Amount (Actual)","41 Source Type",$C$5,"5 Source no.",$C846,"4 Item Ledger Entry Type",$C$4,"2 Item No.","@@"&amp;$F846,"3 Posting Date",J$9)</t>
  </si>
  <si>
    <t>=J846-L846</t>
  </si>
  <si>
    <t>=IF(J846&lt;&gt;0,M846/J846,"")</t>
  </si>
  <si>
    <t>=NL("Sum","5802 Value Entry","150 Sales Amount (Expected)","41 Source Type",$C$5,"5 Source No.",$C846,"4 Item Ledger Entry Type",$C$4,"2 Item No.","@@"&amp;$F846,"3 Posting Date",O$9)+NL("Sum","5802 Value Entry","17 Sales Amount (Actual)","41 Source Type",$C$5,"5 Source no.",$C846,"4 Item Ledger Entry Type",$C$4,"2 Item No.","@@"&amp;$F846,"3 Posting Date",O$9)</t>
  </si>
  <si>
    <t>=-NL("Sum","5802 Value Entry","151 Cost Amount (Expected)","41 Source Type",$C$5,"5 Source No.",$C846,"4 Item Ledger Entry Type",$C$4,"2 Item No.","@@"&amp;$F846,"3 Posting Date",O$9)-NL("Sum","5802 Value Entry","43 Cost Amount (Actual)","41 Source Type",$C$5,"5 Source no.",$C846,"4 Item Ledger Entry Type",$C$4,"2 Item No.","@@"&amp;$F846,"3 Posting Date",O$9)</t>
  </si>
  <si>
    <t>=O846-Q846</t>
  </si>
  <si>
    <t>=IF(O846&lt;&gt;0,R846/O846,"")</t>
  </si>
  <si>
    <t>=NL("Sum","5802 Value Entry","150 Sales Amount (Expected)","41 Source Type",$C$5,"5 Source No.",$C846,"4 Item Ledger Entry Type",$C$4,"2 Item No.","@@"&amp;$F846,"3 Posting Date",U$9)+NL("Sum","5802 Value Entry","17 Sales Amount (Actual)","41 Source Type",$C$5,"5 Source no.",$C846,"4 Item Ledger Entry Type",$C$4,"2 Item No.","@@"&amp;$F846,"3 Posting Date",U$9)</t>
  </si>
  <si>
    <t>=-NL("Sum","5802 Value Entry","151 Cost Amount (Expected)","41 Source Type",$C$5,"5 Source No.",$C846,"4 Item Ledger Entry Type",$C$4,"2 Item No.","@@"&amp;$F846,"3 Posting Date",U$9)-NL("Sum","5802 Value Entry","43 Cost Amount (Actual)","41 Source Type",$C$5,"5 Source no.",$C846,"4 Item Ledger Entry Type",$C$4,"2 Item No.","@@"&amp;$F846,"3 Posting Date",U$9)</t>
  </si>
  <si>
    <t>=U846-W846</t>
  </si>
  <si>
    <t>=IF(U846&lt;&gt;0,X846/U846,"")</t>
  </si>
  <si>
    <t>=NL("Sum","5802 Value Entry","150 Sales Amount (Expected)","41 Source Type",$C$5,"5 Source No.",$C846,"4 Item Ledger Entry Type",$C$4,"2 Item No.","@@"&amp;$F846,"3 Posting Date",Z$9)+NL("Sum","5802 Value Entry","17 Sales Amount (Actual)","41 Source Type",$C$5,"5 Source no.",$C846,"4 Item Ledger Entry Type",$C$4,"2 Item No.","@@"&amp;$F846,"3 Posting Date",Z$9)</t>
  </si>
  <si>
    <t>=-NL("Sum","5802 Value Entry","151 Cost Amount (Expected)","41 Source Type",$C$5,"5 Source No.",$C846,"4 Item Ledger Entry Type",$C$4,"2 Item No.","@@"&amp;$F846,"3 Posting Date",Z$9)-NL("Sum","5802 Value Entry","43 Cost Amount (Actual)","41 Source Type",$C$5,"5 Source no.",$C846,"4 Item Ledger Entry Type",$C$4,"2 Item No.","@@"&amp;$F846,"3 Posting Date",Z$9)</t>
  </si>
  <si>
    <t>=Z846-AB846</t>
  </si>
  <si>
    <t>=IF(Z846&lt;&gt;0,AC846/Z846,"")</t>
  </si>
  <si>
    <t>=C846</t>
  </si>
  <si>
    <t>="E100027"</t>
  </si>
  <si>
    <t>=NL("Sum","5802 Value Entry","150 Sales Amount (Expected)","41 Source Type",$C$5,"5 Source No.",$C847,"4 Item Ledger Entry Type",$C$4,"2 Item No.","@@"&amp;$F847,"3 Posting Date",J$9)+NL("Sum","5802 Value Entry","17 Sales Amount (Actual)","41 Source Type",$C$5,"5 Source no.",$C847,"4 Item Ledger Entry Type",$C$4,"2 Item No.","@@"&amp;$F847,"3 Posting Date",J$9)</t>
  </si>
  <si>
    <t>=-NL("Sum","5802 Value Entry","151 Cost Amount (Expected)","41 Source Type",$C$5,"5 Source No.",$C847,"4 Item Ledger Entry Type",$C$4,"2 Item No.","@@"&amp;$F847,"3 Posting Date",J$9)-NL("Sum","5802 Value Entry","43 Cost Amount (Actual)","41 Source Type",$C$5,"5 Source no.",$C847,"4 Item Ledger Entry Type",$C$4,"2 Item No.","@@"&amp;$F847,"3 Posting Date",J$9)</t>
  </si>
  <si>
    <t>=J847-L847</t>
  </si>
  <si>
    <t>=IF(J847&lt;&gt;0,M847/J847,"")</t>
  </si>
  <si>
    <t>=NL("Sum","5802 Value Entry","150 Sales Amount (Expected)","41 Source Type",$C$5,"5 Source No.",$C847,"4 Item Ledger Entry Type",$C$4,"2 Item No.","@@"&amp;$F847,"3 Posting Date",O$9)+NL("Sum","5802 Value Entry","17 Sales Amount (Actual)","41 Source Type",$C$5,"5 Source no.",$C847,"4 Item Ledger Entry Type",$C$4,"2 Item No.","@@"&amp;$F847,"3 Posting Date",O$9)</t>
  </si>
  <si>
    <t>=-NL("Sum","5802 Value Entry","151 Cost Amount (Expected)","41 Source Type",$C$5,"5 Source No.",$C847,"4 Item Ledger Entry Type",$C$4,"2 Item No.","@@"&amp;$F847,"3 Posting Date",O$9)-NL("Sum","5802 Value Entry","43 Cost Amount (Actual)","41 Source Type",$C$5,"5 Source no.",$C847,"4 Item Ledger Entry Type",$C$4,"2 Item No.","@@"&amp;$F847,"3 Posting Date",O$9)</t>
  </si>
  <si>
    <t>=O847-Q847</t>
  </si>
  <si>
    <t>=IF(O847&lt;&gt;0,R847/O847,"")</t>
  </si>
  <si>
    <t>=NL("Sum","5802 Value Entry","150 Sales Amount (Expected)","41 Source Type",$C$5,"5 Source No.",$C847,"4 Item Ledger Entry Type",$C$4,"2 Item No.","@@"&amp;$F847,"3 Posting Date",U$9)+NL("Sum","5802 Value Entry","17 Sales Amount (Actual)","41 Source Type",$C$5,"5 Source no.",$C847,"4 Item Ledger Entry Type",$C$4,"2 Item No.","@@"&amp;$F847,"3 Posting Date",U$9)</t>
  </si>
  <si>
    <t>=-NL("Sum","5802 Value Entry","151 Cost Amount (Expected)","41 Source Type",$C$5,"5 Source No.",$C847,"4 Item Ledger Entry Type",$C$4,"2 Item No.","@@"&amp;$F847,"3 Posting Date",U$9)-NL("Sum","5802 Value Entry","43 Cost Amount (Actual)","41 Source Type",$C$5,"5 Source no.",$C847,"4 Item Ledger Entry Type",$C$4,"2 Item No.","@@"&amp;$F847,"3 Posting Date",U$9)</t>
  </si>
  <si>
    <t>=U847-W847</t>
  </si>
  <si>
    <t>=IF(U847&lt;&gt;0,X847/U847,"")</t>
  </si>
  <si>
    <t>=NL("Sum","5802 Value Entry","150 Sales Amount (Expected)","41 Source Type",$C$5,"5 Source No.",$C847,"4 Item Ledger Entry Type",$C$4,"2 Item No.","@@"&amp;$F847,"3 Posting Date",Z$9)+NL("Sum","5802 Value Entry","17 Sales Amount (Actual)","41 Source Type",$C$5,"5 Source no.",$C847,"4 Item Ledger Entry Type",$C$4,"2 Item No.","@@"&amp;$F847,"3 Posting Date",Z$9)</t>
  </si>
  <si>
    <t>=-NL("Sum","5802 Value Entry","151 Cost Amount (Expected)","41 Source Type",$C$5,"5 Source No.",$C847,"4 Item Ledger Entry Type",$C$4,"2 Item No.","@@"&amp;$F847,"3 Posting Date",Z$9)-NL("Sum","5802 Value Entry","43 Cost Amount (Actual)","41 Source Type",$C$5,"5 Source no.",$C847,"4 Item Ledger Entry Type",$C$4,"2 Item No.","@@"&amp;$F847,"3 Posting Date",Z$9)</t>
  </si>
  <si>
    <t>=Z847-AB847</t>
  </si>
  <si>
    <t>=IF(Z847&lt;&gt;0,AC847/Z847,"")</t>
  </si>
  <si>
    <t>=C847</t>
  </si>
  <si>
    <t>="E100028"</t>
  </si>
  <si>
    <t>=NL("Sum","5802 Value Entry","150 Sales Amount (Expected)","41 Source Type",$C$5,"5 Source No.",$C848,"4 Item Ledger Entry Type",$C$4,"2 Item No.","@@"&amp;$F848,"3 Posting Date",J$9)+NL("Sum","5802 Value Entry","17 Sales Amount (Actual)","41 Source Type",$C$5,"5 Source no.",$C848,"4 Item Ledger Entry Type",$C$4,"2 Item No.","@@"&amp;$F848,"3 Posting Date",J$9)</t>
  </si>
  <si>
    <t>=-NL("Sum","5802 Value Entry","151 Cost Amount (Expected)","41 Source Type",$C$5,"5 Source No.",$C848,"4 Item Ledger Entry Type",$C$4,"2 Item No.","@@"&amp;$F848,"3 Posting Date",J$9)-NL("Sum","5802 Value Entry","43 Cost Amount (Actual)","41 Source Type",$C$5,"5 Source no.",$C848,"4 Item Ledger Entry Type",$C$4,"2 Item No.","@@"&amp;$F848,"3 Posting Date",J$9)</t>
  </si>
  <si>
    <t>=J848-L848</t>
  </si>
  <si>
    <t>=IF(J848&lt;&gt;0,M848/J848,"")</t>
  </si>
  <si>
    <t>=NL("Sum","5802 Value Entry","150 Sales Amount (Expected)","41 Source Type",$C$5,"5 Source No.",$C848,"4 Item Ledger Entry Type",$C$4,"2 Item No.","@@"&amp;$F848,"3 Posting Date",O$9)+NL("Sum","5802 Value Entry","17 Sales Amount (Actual)","41 Source Type",$C$5,"5 Source no.",$C848,"4 Item Ledger Entry Type",$C$4,"2 Item No.","@@"&amp;$F848,"3 Posting Date",O$9)</t>
  </si>
  <si>
    <t>=-NL("Sum","5802 Value Entry","151 Cost Amount (Expected)","41 Source Type",$C$5,"5 Source No.",$C848,"4 Item Ledger Entry Type",$C$4,"2 Item No.","@@"&amp;$F848,"3 Posting Date",O$9)-NL("Sum","5802 Value Entry","43 Cost Amount (Actual)","41 Source Type",$C$5,"5 Source no.",$C848,"4 Item Ledger Entry Type",$C$4,"2 Item No.","@@"&amp;$F848,"3 Posting Date",O$9)</t>
  </si>
  <si>
    <t>=O848-Q848</t>
  </si>
  <si>
    <t>=IF(O848&lt;&gt;0,R848/O848,"")</t>
  </si>
  <si>
    <t>=NL("Sum","5802 Value Entry","150 Sales Amount (Expected)","41 Source Type",$C$5,"5 Source No.",$C848,"4 Item Ledger Entry Type",$C$4,"2 Item No.","@@"&amp;$F848,"3 Posting Date",U$9)+NL("Sum","5802 Value Entry","17 Sales Amount (Actual)","41 Source Type",$C$5,"5 Source no.",$C848,"4 Item Ledger Entry Type",$C$4,"2 Item No.","@@"&amp;$F848,"3 Posting Date",U$9)</t>
  </si>
  <si>
    <t>=-NL("Sum","5802 Value Entry","151 Cost Amount (Expected)","41 Source Type",$C$5,"5 Source No.",$C848,"4 Item Ledger Entry Type",$C$4,"2 Item No.","@@"&amp;$F848,"3 Posting Date",U$9)-NL("Sum","5802 Value Entry","43 Cost Amount (Actual)","41 Source Type",$C$5,"5 Source no.",$C848,"4 Item Ledger Entry Type",$C$4,"2 Item No.","@@"&amp;$F848,"3 Posting Date",U$9)</t>
  </si>
  <si>
    <t>=U848-W848</t>
  </si>
  <si>
    <t>=IF(U848&lt;&gt;0,X848/U848,"")</t>
  </si>
  <si>
    <t>=NL("Sum","5802 Value Entry","150 Sales Amount (Expected)","41 Source Type",$C$5,"5 Source No.",$C848,"4 Item Ledger Entry Type",$C$4,"2 Item No.","@@"&amp;$F848,"3 Posting Date",Z$9)+NL("Sum","5802 Value Entry","17 Sales Amount (Actual)","41 Source Type",$C$5,"5 Source no.",$C848,"4 Item Ledger Entry Type",$C$4,"2 Item No.","@@"&amp;$F848,"3 Posting Date",Z$9)</t>
  </si>
  <si>
    <t>=-NL("Sum","5802 Value Entry","151 Cost Amount (Expected)","41 Source Type",$C$5,"5 Source No.",$C848,"4 Item Ledger Entry Type",$C$4,"2 Item No.","@@"&amp;$F848,"3 Posting Date",Z$9)-NL("Sum","5802 Value Entry","43 Cost Amount (Actual)","41 Source Type",$C$5,"5 Source no.",$C848,"4 Item Ledger Entry Type",$C$4,"2 Item No.","@@"&amp;$F848,"3 Posting Date",Z$9)</t>
  </si>
  <si>
    <t>=Z848-AB848</t>
  </si>
  <si>
    <t>=IF(Z848&lt;&gt;0,AC848/Z848,"")</t>
  </si>
  <si>
    <t>=C848</t>
  </si>
  <si>
    <t>="E100029"</t>
  </si>
  <si>
    <t>=NL("Sum","5802 Value Entry","150 Sales Amount (Expected)","41 Source Type",$C$5,"5 Source No.",$C849,"4 Item Ledger Entry Type",$C$4,"2 Item No.","@@"&amp;$F849,"3 Posting Date",J$9)+NL("Sum","5802 Value Entry","17 Sales Amount (Actual)","41 Source Type",$C$5,"5 Source no.",$C849,"4 Item Ledger Entry Type",$C$4,"2 Item No.","@@"&amp;$F849,"3 Posting Date",J$9)</t>
  </si>
  <si>
    <t>=-NL("Sum","5802 Value Entry","151 Cost Amount (Expected)","41 Source Type",$C$5,"5 Source No.",$C849,"4 Item Ledger Entry Type",$C$4,"2 Item No.","@@"&amp;$F849,"3 Posting Date",J$9)-NL("Sum","5802 Value Entry","43 Cost Amount (Actual)","41 Source Type",$C$5,"5 Source no.",$C849,"4 Item Ledger Entry Type",$C$4,"2 Item No.","@@"&amp;$F849,"3 Posting Date",J$9)</t>
  </si>
  <si>
    <t>=J849-L849</t>
  </si>
  <si>
    <t>=IF(J849&lt;&gt;0,M849/J849,"")</t>
  </si>
  <si>
    <t>=NL("Sum","5802 Value Entry","150 Sales Amount (Expected)","41 Source Type",$C$5,"5 Source No.",$C849,"4 Item Ledger Entry Type",$C$4,"2 Item No.","@@"&amp;$F849,"3 Posting Date",O$9)+NL("Sum","5802 Value Entry","17 Sales Amount (Actual)","41 Source Type",$C$5,"5 Source no.",$C849,"4 Item Ledger Entry Type",$C$4,"2 Item No.","@@"&amp;$F849,"3 Posting Date",O$9)</t>
  </si>
  <si>
    <t>=-NL("Sum","5802 Value Entry","151 Cost Amount (Expected)","41 Source Type",$C$5,"5 Source No.",$C849,"4 Item Ledger Entry Type",$C$4,"2 Item No.","@@"&amp;$F849,"3 Posting Date",O$9)-NL("Sum","5802 Value Entry","43 Cost Amount (Actual)","41 Source Type",$C$5,"5 Source no.",$C849,"4 Item Ledger Entry Type",$C$4,"2 Item No.","@@"&amp;$F849,"3 Posting Date",O$9)</t>
  </si>
  <si>
    <t>=O849-Q849</t>
  </si>
  <si>
    <t>=IF(O849&lt;&gt;0,R849/O849,"")</t>
  </si>
  <si>
    <t>=NL("Sum","5802 Value Entry","150 Sales Amount (Expected)","41 Source Type",$C$5,"5 Source No.",$C849,"4 Item Ledger Entry Type",$C$4,"2 Item No.","@@"&amp;$F849,"3 Posting Date",U$9)+NL("Sum","5802 Value Entry","17 Sales Amount (Actual)","41 Source Type",$C$5,"5 Source no.",$C849,"4 Item Ledger Entry Type",$C$4,"2 Item No.","@@"&amp;$F849,"3 Posting Date",U$9)</t>
  </si>
  <si>
    <t>=-NL("Sum","5802 Value Entry","151 Cost Amount (Expected)","41 Source Type",$C$5,"5 Source No.",$C849,"4 Item Ledger Entry Type",$C$4,"2 Item No.","@@"&amp;$F849,"3 Posting Date",U$9)-NL("Sum","5802 Value Entry","43 Cost Amount (Actual)","41 Source Type",$C$5,"5 Source no.",$C849,"4 Item Ledger Entry Type",$C$4,"2 Item No.","@@"&amp;$F849,"3 Posting Date",U$9)</t>
  </si>
  <si>
    <t>=U849-W849</t>
  </si>
  <si>
    <t>=IF(U849&lt;&gt;0,X849/U849,"")</t>
  </si>
  <si>
    <t>=NL("Sum","5802 Value Entry","150 Sales Amount (Expected)","41 Source Type",$C$5,"5 Source No.",$C849,"4 Item Ledger Entry Type",$C$4,"2 Item No.","@@"&amp;$F849,"3 Posting Date",Z$9)+NL("Sum","5802 Value Entry","17 Sales Amount (Actual)","41 Source Type",$C$5,"5 Source no.",$C849,"4 Item Ledger Entry Type",$C$4,"2 Item No.","@@"&amp;$F849,"3 Posting Date",Z$9)</t>
  </si>
  <si>
    <t>=-NL("Sum","5802 Value Entry","151 Cost Amount (Expected)","41 Source Type",$C$5,"5 Source No.",$C849,"4 Item Ledger Entry Type",$C$4,"2 Item No.","@@"&amp;$F849,"3 Posting Date",Z$9)-NL("Sum","5802 Value Entry","43 Cost Amount (Actual)","41 Source Type",$C$5,"5 Source no.",$C849,"4 Item Ledger Entry Type",$C$4,"2 Item No.","@@"&amp;$F849,"3 Posting Date",Z$9)</t>
  </si>
  <si>
    <t>=Z849-AB849</t>
  </si>
  <si>
    <t>=IF(Z849&lt;&gt;0,AC849/Z849,"")</t>
  </si>
  <si>
    <t>=C849</t>
  </si>
  <si>
    <t>="E100030"</t>
  </si>
  <si>
    <t>=NL("Sum","5802 Value Entry","150 Sales Amount (Expected)","41 Source Type",$C$5,"5 Source No.",$C850,"4 Item Ledger Entry Type",$C$4,"2 Item No.","@@"&amp;$F850,"3 Posting Date",J$9)+NL("Sum","5802 Value Entry","17 Sales Amount (Actual)","41 Source Type",$C$5,"5 Source no.",$C850,"4 Item Ledger Entry Type",$C$4,"2 Item No.","@@"&amp;$F850,"3 Posting Date",J$9)</t>
  </si>
  <si>
    <t>=-NL("Sum","5802 Value Entry","151 Cost Amount (Expected)","41 Source Type",$C$5,"5 Source No.",$C850,"4 Item Ledger Entry Type",$C$4,"2 Item No.","@@"&amp;$F850,"3 Posting Date",J$9)-NL("Sum","5802 Value Entry","43 Cost Amount (Actual)","41 Source Type",$C$5,"5 Source no.",$C850,"4 Item Ledger Entry Type",$C$4,"2 Item No.","@@"&amp;$F850,"3 Posting Date",J$9)</t>
  </si>
  <si>
    <t>=J850-L850</t>
  </si>
  <si>
    <t>=IF(J850&lt;&gt;0,M850/J850,"")</t>
  </si>
  <si>
    <t>=NL("Sum","5802 Value Entry","150 Sales Amount (Expected)","41 Source Type",$C$5,"5 Source No.",$C850,"4 Item Ledger Entry Type",$C$4,"2 Item No.","@@"&amp;$F850,"3 Posting Date",O$9)+NL("Sum","5802 Value Entry","17 Sales Amount (Actual)","41 Source Type",$C$5,"5 Source no.",$C850,"4 Item Ledger Entry Type",$C$4,"2 Item No.","@@"&amp;$F850,"3 Posting Date",O$9)</t>
  </si>
  <si>
    <t>=-NL("Sum","5802 Value Entry","151 Cost Amount (Expected)","41 Source Type",$C$5,"5 Source No.",$C850,"4 Item Ledger Entry Type",$C$4,"2 Item No.","@@"&amp;$F850,"3 Posting Date",O$9)-NL("Sum","5802 Value Entry","43 Cost Amount (Actual)","41 Source Type",$C$5,"5 Source no.",$C850,"4 Item Ledger Entry Type",$C$4,"2 Item No.","@@"&amp;$F850,"3 Posting Date",O$9)</t>
  </si>
  <si>
    <t>=O850-Q850</t>
  </si>
  <si>
    <t>=IF(O850&lt;&gt;0,R850/O850,"")</t>
  </si>
  <si>
    <t>=NL("Sum","5802 Value Entry","150 Sales Amount (Expected)","41 Source Type",$C$5,"5 Source No.",$C850,"4 Item Ledger Entry Type",$C$4,"2 Item No.","@@"&amp;$F850,"3 Posting Date",U$9)+NL("Sum","5802 Value Entry","17 Sales Amount (Actual)","41 Source Type",$C$5,"5 Source no.",$C850,"4 Item Ledger Entry Type",$C$4,"2 Item No.","@@"&amp;$F850,"3 Posting Date",U$9)</t>
  </si>
  <si>
    <t>=-NL("Sum","5802 Value Entry","151 Cost Amount (Expected)","41 Source Type",$C$5,"5 Source No.",$C850,"4 Item Ledger Entry Type",$C$4,"2 Item No.","@@"&amp;$F850,"3 Posting Date",U$9)-NL("Sum","5802 Value Entry","43 Cost Amount (Actual)","41 Source Type",$C$5,"5 Source no.",$C850,"4 Item Ledger Entry Type",$C$4,"2 Item No.","@@"&amp;$F850,"3 Posting Date",U$9)</t>
  </si>
  <si>
    <t>=U850-W850</t>
  </si>
  <si>
    <t>=IF(U850&lt;&gt;0,X850/U850,"")</t>
  </si>
  <si>
    <t>=NL("Sum","5802 Value Entry","150 Sales Amount (Expected)","41 Source Type",$C$5,"5 Source No.",$C850,"4 Item Ledger Entry Type",$C$4,"2 Item No.","@@"&amp;$F850,"3 Posting Date",Z$9)+NL("Sum","5802 Value Entry","17 Sales Amount (Actual)","41 Source Type",$C$5,"5 Source no.",$C850,"4 Item Ledger Entry Type",$C$4,"2 Item No.","@@"&amp;$F850,"3 Posting Date",Z$9)</t>
  </si>
  <si>
    <t>=-NL("Sum","5802 Value Entry","151 Cost Amount (Expected)","41 Source Type",$C$5,"5 Source No.",$C850,"4 Item Ledger Entry Type",$C$4,"2 Item No.","@@"&amp;$F850,"3 Posting Date",Z$9)-NL("Sum","5802 Value Entry","43 Cost Amount (Actual)","41 Source Type",$C$5,"5 Source no.",$C850,"4 Item Ledger Entry Type",$C$4,"2 Item No.","@@"&amp;$F850,"3 Posting Date",Z$9)</t>
  </si>
  <si>
    <t>=Z850-AB850</t>
  </si>
  <si>
    <t>=IF(Z850&lt;&gt;0,AC850/Z850,"")</t>
  </si>
  <si>
    <t>=C850</t>
  </si>
  <si>
    <t>="E100031"</t>
  </si>
  <si>
    <t>=NL("Sum","5802 Value Entry","150 Sales Amount (Expected)","41 Source Type",$C$5,"5 Source No.",$C851,"4 Item Ledger Entry Type",$C$4,"2 Item No.","@@"&amp;$F851,"3 Posting Date",J$9)+NL("Sum","5802 Value Entry","17 Sales Amount (Actual)","41 Source Type",$C$5,"5 Source no.",$C851,"4 Item Ledger Entry Type",$C$4,"2 Item No.","@@"&amp;$F851,"3 Posting Date",J$9)</t>
  </si>
  <si>
    <t>=-NL("Sum","5802 Value Entry","151 Cost Amount (Expected)","41 Source Type",$C$5,"5 Source No.",$C851,"4 Item Ledger Entry Type",$C$4,"2 Item No.","@@"&amp;$F851,"3 Posting Date",J$9)-NL("Sum","5802 Value Entry","43 Cost Amount (Actual)","41 Source Type",$C$5,"5 Source no.",$C851,"4 Item Ledger Entry Type",$C$4,"2 Item No.","@@"&amp;$F851,"3 Posting Date",J$9)</t>
  </si>
  <si>
    <t>=J851-L851</t>
  </si>
  <si>
    <t>=IF(J851&lt;&gt;0,M851/J851,"")</t>
  </si>
  <si>
    <t>=NL("Sum","5802 Value Entry","150 Sales Amount (Expected)","41 Source Type",$C$5,"5 Source No.",$C851,"4 Item Ledger Entry Type",$C$4,"2 Item No.","@@"&amp;$F851,"3 Posting Date",O$9)+NL("Sum","5802 Value Entry","17 Sales Amount (Actual)","41 Source Type",$C$5,"5 Source no.",$C851,"4 Item Ledger Entry Type",$C$4,"2 Item No.","@@"&amp;$F851,"3 Posting Date",O$9)</t>
  </si>
  <si>
    <t>=-NL("Sum","5802 Value Entry","151 Cost Amount (Expected)","41 Source Type",$C$5,"5 Source No.",$C851,"4 Item Ledger Entry Type",$C$4,"2 Item No.","@@"&amp;$F851,"3 Posting Date",O$9)-NL("Sum","5802 Value Entry","43 Cost Amount (Actual)","41 Source Type",$C$5,"5 Source no.",$C851,"4 Item Ledger Entry Type",$C$4,"2 Item No.","@@"&amp;$F851,"3 Posting Date",O$9)</t>
  </si>
  <si>
    <t>=O851-Q851</t>
  </si>
  <si>
    <t>=IF(O851&lt;&gt;0,R851/O851,"")</t>
  </si>
  <si>
    <t>=NL("Sum","5802 Value Entry","150 Sales Amount (Expected)","41 Source Type",$C$5,"5 Source No.",$C851,"4 Item Ledger Entry Type",$C$4,"2 Item No.","@@"&amp;$F851,"3 Posting Date",U$9)+NL("Sum","5802 Value Entry","17 Sales Amount (Actual)","41 Source Type",$C$5,"5 Source no.",$C851,"4 Item Ledger Entry Type",$C$4,"2 Item No.","@@"&amp;$F851,"3 Posting Date",U$9)</t>
  </si>
  <si>
    <t>=-NL("Sum","5802 Value Entry","151 Cost Amount (Expected)","41 Source Type",$C$5,"5 Source No.",$C851,"4 Item Ledger Entry Type",$C$4,"2 Item No.","@@"&amp;$F851,"3 Posting Date",U$9)-NL("Sum","5802 Value Entry","43 Cost Amount (Actual)","41 Source Type",$C$5,"5 Source no.",$C851,"4 Item Ledger Entry Type",$C$4,"2 Item No.","@@"&amp;$F851,"3 Posting Date",U$9)</t>
  </si>
  <si>
    <t>=U851-W851</t>
  </si>
  <si>
    <t>=IF(U851&lt;&gt;0,X851/U851,"")</t>
  </si>
  <si>
    <t>=NL("Sum","5802 Value Entry","150 Sales Amount (Expected)","41 Source Type",$C$5,"5 Source No.",$C851,"4 Item Ledger Entry Type",$C$4,"2 Item No.","@@"&amp;$F851,"3 Posting Date",Z$9)+NL("Sum","5802 Value Entry","17 Sales Amount (Actual)","41 Source Type",$C$5,"5 Source no.",$C851,"4 Item Ledger Entry Type",$C$4,"2 Item No.","@@"&amp;$F851,"3 Posting Date",Z$9)</t>
  </si>
  <si>
    <t>=-NL("Sum","5802 Value Entry","151 Cost Amount (Expected)","41 Source Type",$C$5,"5 Source No.",$C851,"4 Item Ledger Entry Type",$C$4,"2 Item No.","@@"&amp;$F851,"3 Posting Date",Z$9)-NL("Sum","5802 Value Entry","43 Cost Amount (Actual)","41 Source Type",$C$5,"5 Source no.",$C851,"4 Item Ledger Entry Type",$C$4,"2 Item No.","@@"&amp;$F851,"3 Posting Date",Z$9)</t>
  </si>
  <si>
    <t>=Z851-AB851</t>
  </si>
  <si>
    <t>=IF(Z851&lt;&gt;0,AC851/Z851,"")</t>
  </si>
  <si>
    <t>=C851</t>
  </si>
  <si>
    <t>="E100032"</t>
  </si>
  <si>
    <t>=NL("Sum","5802 Value Entry","150 Sales Amount (Expected)","41 Source Type",$C$5,"5 Source No.",$C852,"4 Item Ledger Entry Type",$C$4,"2 Item No.","@@"&amp;$F852,"3 Posting Date",J$9)+NL("Sum","5802 Value Entry","17 Sales Amount (Actual)","41 Source Type",$C$5,"5 Source no.",$C852,"4 Item Ledger Entry Type",$C$4,"2 Item No.","@@"&amp;$F852,"3 Posting Date",J$9)</t>
  </si>
  <si>
    <t>=-NL("Sum","5802 Value Entry","151 Cost Amount (Expected)","41 Source Type",$C$5,"5 Source No.",$C852,"4 Item Ledger Entry Type",$C$4,"2 Item No.","@@"&amp;$F852,"3 Posting Date",J$9)-NL("Sum","5802 Value Entry","43 Cost Amount (Actual)","41 Source Type",$C$5,"5 Source no.",$C852,"4 Item Ledger Entry Type",$C$4,"2 Item No.","@@"&amp;$F852,"3 Posting Date",J$9)</t>
  </si>
  <si>
    <t>=J852-L852</t>
  </si>
  <si>
    <t>=IF(J852&lt;&gt;0,M852/J852,"")</t>
  </si>
  <si>
    <t>=NL("Sum","5802 Value Entry","150 Sales Amount (Expected)","41 Source Type",$C$5,"5 Source No.",$C852,"4 Item Ledger Entry Type",$C$4,"2 Item No.","@@"&amp;$F852,"3 Posting Date",O$9)+NL("Sum","5802 Value Entry","17 Sales Amount (Actual)","41 Source Type",$C$5,"5 Source no.",$C852,"4 Item Ledger Entry Type",$C$4,"2 Item No.","@@"&amp;$F852,"3 Posting Date",O$9)</t>
  </si>
  <si>
    <t>=-NL("Sum","5802 Value Entry","151 Cost Amount (Expected)","41 Source Type",$C$5,"5 Source No.",$C852,"4 Item Ledger Entry Type",$C$4,"2 Item No.","@@"&amp;$F852,"3 Posting Date",O$9)-NL("Sum","5802 Value Entry","43 Cost Amount (Actual)","41 Source Type",$C$5,"5 Source no.",$C852,"4 Item Ledger Entry Type",$C$4,"2 Item No.","@@"&amp;$F852,"3 Posting Date",O$9)</t>
  </si>
  <si>
    <t>=O852-Q852</t>
  </si>
  <si>
    <t>=IF(O852&lt;&gt;0,R852/O852,"")</t>
  </si>
  <si>
    <t>=NL("Sum","5802 Value Entry","150 Sales Amount (Expected)","41 Source Type",$C$5,"5 Source No.",$C852,"4 Item Ledger Entry Type",$C$4,"2 Item No.","@@"&amp;$F852,"3 Posting Date",U$9)+NL("Sum","5802 Value Entry","17 Sales Amount (Actual)","41 Source Type",$C$5,"5 Source no.",$C852,"4 Item Ledger Entry Type",$C$4,"2 Item No.","@@"&amp;$F852,"3 Posting Date",U$9)</t>
  </si>
  <si>
    <t>=-NL("Sum","5802 Value Entry","151 Cost Amount (Expected)","41 Source Type",$C$5,"5 Source No.",$C852,"4 Item Ledger Entry Type",$C$4,"2 Item No.","@@"&amp;$F852,"3 Posting Date",U$9)-NL("Sum","5802 Value Entry","43 Cost Amount (Actual)","41 Source Type",$C$5,"5 Source no.",$C852,"4 Item Ledger Entry Type",$C$4,"2 Item No.","@@"&amp;$F852,"3 Posting Date",U$9)</t>
  </si>
  <si>
    <t>=U852-W852</t>
  </si>
  <si>
    <t>=IF(U852&lt;&gt;0,X852/U852,"")</t>
  </si>
  <si>
    <t>=NL("Sum","5802 Value Entry","150 Sales Amount (Expected)","41 Source Type",$C$5,"5 Source No.",$C852,"4 Item Ledger Entry Type",$C$4,"2 Item No.","@@"&amp;$F852,"3 Posting Date",Z$9)+NL("Sum","5802 Value Entry","17 Sales Amount (Actual)","41 Source Type",$C$5,"5 Source no.",$C852,"4 Item Ledger Entry Type",$C$4,"2 Item No.","@@"&amp;$F852,"3 Posting Date",Z$9)</t>
  </si>
  <si>
    <t>=-NL("Sum","5802 Value Entry","151 Cost Amount (Expected)","41 Source Type",$C$5,"5 Source No.",$C852,"4 Item Ledger Entry Type",$C$4,"2 Item No.","@@"&amp;$F852,"3 Posting Date",Z$9)-NL("Sum","5802 Value Entry","43 Cost Amount (Actual)","41 Source Type",$C$5,"5 Source no.",$C852,"4 Item Ledger Entry Type",$C$4,"2 Item No.","@@"&amp;$F852,"3 Posting Date",Z$9)</t>
  </si>
  <si>
    <t>=Z852-AB852</t>
  </si>
  <si>
    <t>=IF(Z852&lt;&gt;0,AC852/Z852,"")</t>
  </si>
  <si>
    <t>=C852</t>
  </si>
  <si>
    <t>="E100033"</t>
  </si>
  <si>
    <t>=NL("Sum","5802 Value Entry","150 Sales Amount (Expected)","41 Source Type",$C$5,"5 Source No.",$C853,"4 Item Ledger Entry Type",$C$4,"2 Item No.","@@"&amp;$F853,"3 Posting Date",J$9)+NL("Sum","5802 Value Entry","17 Sales Amount (Actual)","41 Source Type",$C$5,"5 Source no.",$C853,"4 Item Ledger Entry Type",$C$4,"2 Item No.","@@"&amp;$F853,"3 Posting Date",J$9)</t>
  </si>
  <si>
    <t>=-NL("Sum","5802 Value Entry","151 Cost Amount (Expected)","41 Source Type",$C$5,"5 Source No.",$C853,"4 Item Ledger Entry Type",$C$4,"2 Item No.","@@"&amp;$F853,"3 Posting Date",J$9)-NL("Sum","5802 Value Entry","43 Cost Amount (Actual)","41 Source Type",$C$5,"5 Source no.",$C853,"4 Item Ledger Entry Type",$C$4,"2 Item No.","@@"&amp;$F853,"3 Posting Date",J$9)</t>
  </si>
  <si>
    <t>=J853-L853</t>
  </si>
  <si>
    <t>=IF(J853&lt;&gt;0,M853/J853,"")</t>
  </si>
  <si>
    <t>=NL("Sum","5802 Value Entry","150 Sales Amount (Expected)","41 Source Type",$C$5,"5 Source No.",$C853,"4 Item Ledger Entry Type",$C$4,"2 Item No.","@@"&amp;$F853,"3 Posting Date",O$9)+NL("Sum","5802 Value Entry","17 Sales Amount (Actual)","41 Source Type",$C$5,"5 Source no.",$C853,"4 Item Ledger Entry Type",$C$4,"2 Item No.","@@"&amp;$F853,"3 Posting Date",O$9)</t>
  </si>
  <si>
    <t>=-NL("Sum","5802 Value Entry","151 Cost Amount (Expected)","41 Source Type",$C$5,"5 Source No.",$C853,"4 Item Ledger Entry Type",$C$4,"2 Item No.","@@"&amp;$F853,"3 Posting Date",O$9)-NL("Sum","5802 Value Entry","43 Cost Amount (Actual)","41 Source Type",$C$5,"5 Source no.",$C853,"4 Item Ledger Entry Type",$C$4,"2 Item No.","@@"&amp;$F853,"3 Posting Date",O$9)</t>
  </si>
  <si>
    <t>=O853-Q853</t>
  </si>
  <si>
    <t>=IF(O853&lt;&gt;0,R853/O853,"")</t>
  </si>
  <si>
    <t>=NL("Sum","5802 Value Entry","150 Sales Amount (Expected)","41 Source Type",$C$5,"5 Source No.",$C853,"4 Item Ledger Entry Type",$C$4,"2 Item No.","@@"&amp;$F853,"3 Posting Date",U$9)+NL("Sum","5802 Value Entry","17 Sales Amount (Actual)","41 Source Type",$C$5,"5 Source no.",$C853,"4 Item Ledger Entry Type",$C$4,"2 Item No.","@@"&amp;$F853,"3 Posting Date",U$9)</t>
  </si>
  <si>
    <t>=-NL("Sum","5802 Value Entry","151 Cost Amount (Expected)","41 Source Type",$C$5,"5 Source No.",$C853,"4 Item Ledger Entry Type",$C$4,"2 Item No.","@@"&amp;$F853,"3 Posting Date",U$9)-NL("Sum","5802 Value Entry","43 Cost Amount (Actual)","41 Source Type",$C$5,"5 Source no.",$C853,"4 Item Ledger Entry Type",$C$4,"2 Item No.","@@"&amp;$F853,"3 Posting Date",U$9)</t>
  </si>
  <si>
    <t>=U853-W853</t>
  </si>
  <si>
    <t>=IF(U853&lt;&gt;0,X853/U853,"")</t>
  </si>
  <si>
    <t>=NL("Sum","5802 Value Entry","150 Sales Amount (Expected)","41 Source Type",$C$5,"5 Source No.",$C853,"4 Item Ledger Entry Type",$C$4,"2 Item No.","@@"&amp;$F853,"3 Posting Date",Z$9)+NL("Sum","5802 Value Entry","17 Sales Amount (Actual)","41 Source Type",$C$5,"5 Source no.",$C853,"4 Item Ledger Entry Type",$C$4,"2 Item No.","@@"&amp;$F853,"3 Posting Date",Z$9)</t>
  </si>
  <si>
    <t>=-NL("Sum","5802 Value Entry","151 Cost Amount (Expected)","41 Source Type",$C$5,"5 Source No.",$C853,"4 Item Ledger Entry Type",$C$4,"2 Item No.","@@"&amp;$F853,"3 Posting Date",Z$9)-NL("Sum","5802 Value Entry","43 Cost Amount (Actual)","41 Source Type",$C$5,"5 Source no.",$C853,"4 Item Ledger Entry Type",$C$4,"2 Item No.","@@"&amp;$F853,"3 Posting Date",Z$9)</t>
  </si>
  <si>
    <t>=Z853-AB853</t>
  </si>
  <si>
    <t>=IF(Z853&lt;&gt;0,AC853/Z853,"")</t>
  </si>
  <si>
    <t>=C853</t>
  </si>
  <si>
    <t>="E100034"</t>
  </si>
  <si>
    <t>=NL("Sum","5802 Value Entry","150 Sales Amount (Expected)","41 Source Type",$C$5,"5 Source No.",$C854,"4 Item Ledger Entry Type",$C$4,"2 Item No.","@@"&amp;$F854,"3 Posting Date",J$9)+NL("Sum","5802 Value Entry","17 Sales Amount (Actual)","41 Source Type",$C$5,"5 Source no.",$C854,"4 Item Ledger Entry Type",$C$4,"2 Item No.","@@"&amp;$F854,"3 Posting Date",J$9)</t>
  </si>
  <si>
    <t>=-NL("Sum","5802 Value Entry","151 Cost Amount (Expected)","41 Source Type",$C$5,"5 Source No.",$C854,"4 Item Ledger Entry Type",$C$4,"2 Item No.","@@"&amp;$F854,"3 Posting Date",J$9)-NL("Sum","5802 Value Entry","43 Cost Amount (Actual)","41 Source Type",$C$5,"5 Source no.",$C854,"4 Item Ledger Entry Type",$C$4,"2 Item No.","@@"&amp;$F854,"3 Posting Date",J$9)</t>
  </si>
  <si>
    <t>=J854-L854</t>
  </si>
  <si>
    <t>=IF(J854&lt;&gt;0,M854/J854,"")</t>
  </si>
  <si>
    <t>=NL("Sum","5802 Value Entry","150 Sales Amount (Expected)","41 Source Type",$C$5,"5 Source No.",$C854,"4 Item Ledger Entry Type",$C$4,"2 Item No.","@@"&amp;$F854,"3 Posting Date",O$9)+NL("Sum","5802 Value Entry","17 Sales Amount (Actual)","41 Source Type",$C$5,"5 Source no.",$C854,"4 Item Ledger Entry Type",$C$4,"2 Item No.","@@"&amp;$F854,"3 Posting Date",O$9)</t>
  </si>
  <si>
    <t>=-NL("Sum","5802 Value Entry","151 Cost Amount (Expected)","41 Source Type",$C$5,"5 Source No.",$C854,"4 Item Ledger Entry Type",$C$4,"2 Item No.","@@"&amp;$F854,"3 Posting Date",O$9)-NL("Sum","5802 Value Entry","43 Cost Amount (Actual)","41 Source Type",$C$5,"5 Source no.",$C854,"4 Item Ledger Entry Type",$C$4,"2 Item No.","@@"&amp;$F854,"3 Posting Date",O$9)</t>
  </si>
  <si>
    <t>=O854-Q854</t>
  </si>
  <si>
    <t>=IF(O854&lt;&gt;0,R854/O854,"")</t>
  </si>
  <si>
    <t>=NL("Sum","5802 Value Entry","150 Sales Amount (Expected)","41 Source Type",$C$5,"5 Source No.",$C854,"4 Item Ledger Entry Type",$C$4,"2 Item No.","@@"&amp;$F854,"3 Posting Date",U$9)+NL("Sum","5802 Value Entry","17 Sales Amount (Actual)","41 Source Type",$C$5,"5 Source no.",$C854,"4 Item Ledger Entry Type",$C$4,"2 Item No.","@@"&amp;$F854,"3 Posting Date",U$9)</t>
  </si>
  <si>
    <t>=-NL("Sum","5802 Value Entry","151 Cost Amount (Expected)","41 Source Type",$C$5,"5 Source No.",$C854,"4 Item Ledger Entry Type",$C$4,"2 Item No.","@@"&amp;$F854,"3 Posting Date",U$9)-NL("Sum","5802 Value Entry","43 Cost Amount (Actual)","41 Source Type",$C$5,"5 Source no.",$C854,"4 Item Ledger Entry Type",$C$4,"2 Item No.","@@"&amp;$F854,"3 Posting Date",U$9)</t>
  </si>
  <si>
    <t>=U854-W854</t>
  </si>
  <si>
    <t>=IF(U854&lt;&gt;0,X854/U854,"")</t>
  </si>
  <si>
    <t>=NL("Sum","5802 Value Entry","150 Sales Amount (Expected)","41 Source Type",$C$5,"5 Source No.",$C854,"4 Item Ledger Entry Type",$C$4,"2 Item No.","@@"&amp;$F854,"3 Posting Date",Z$9)+NL("Sum","5802 Value Entry","17 Sales Amount (Actual)","41 Source Type",$C$5,"5 Source no.",$C854,"4 Item Ledger Entry Type",$C$4,"2 Item No.","@@"&amp;$F854,"3 Posting Date",Z$9)</t>
  </si>
  <si>
    <t>=-NL("Sum","5802 Value Entry","151 Cost Amount (Expected)","41 Source Type",$C$5,"5 Source No.",$C854,"4 Item Ledger Entry Type",$C$4,"2 Item No.","@@"&amp;$F854,"3 Posting Date",Z$9)-NL("Sum","5802 Value Entry","43 Cost Amount (Actual)","41 Source Type",$C$5,"5 Source no.",$C854,"4 Item Ledger Entry Type",$C$4,"2 Item No.","@@"&amp;$F854,"3 Posting Date",Z$9)</t>
  </si>
  <si>
    <t>=Z854-AB854</t>
  </si>
  <si>
    <t>=IF(Z854&lt;&gt;0,AC854/Z854,"")</t>
  </si>
  <si>
    <t>=C854</t>
  </si>
  <si>
    <t>="E100038"</t>
  </si>
  <si>
    <t>=NL("Sum","5802 Value Entry","150 Sales Amount (Expected)","41 Source Type",$C$5,"5 Source No.",$C855,"4 Item Ledger Entry Type",$C$4,"2 Item No.","@@"&amp;$F855,"3 Posting Date",J$9)+NL("Sum","5802 Value Entry","17 Sales Amount (Actual)","41 Source Type",$C$5,"5 Source no.",$C855,"4 Item Ledger Entry Type",$C$4,"2 Item No.","@@"&amp;$F855,"3 Posting Date",J$9)</t>
  </si>
  <si>
    <t>=-NL("Sum","5802 Value Entry","151 Cost Amount (Expected)","41 Source Type",$C$5,"5 Source No.",$C855,"4 Item Ledger Entry Type",$C$4,"2 Item No.","@@"&amp;$F855,"3 Posting Date",J$9)-NL("Sum","5802 Value Entry","43 Cost Amount (Actual)","41 Source Type",$C$5,"5 Source no.",$C855,"4 Item Ledger Entry Type",$C$4,"2 Item No.","@@"&amp;$F855,"3 Posting Date",J$9)</t>
  </si>
  <si>
    <t>=J855-L855</t>
  </si>
  <si>
    <t>=IF(J855&lt;&gt;0,M855/J855,"")</t>
  </si>
  <si>
    <t>=NL("Sum","5802 Value Entry","150 Sales Amount (Expected)","41 Source Type",$C$5,"5 Source No.",$C855,"4 Item Ledger Entry Type",$C$4,"2 Item No.","@@"&amp;$F855,"3 Posting Date",O$9)+NL("Sum","5802 Value Entry","17 Sales Amount (Actual)","41 Source Type",$C$5,"5 Source no.",$C855,"4 Item Ledger Entry Type",$C$4,"2 Item No.","@@"&amp;$F855,"3 Posting Date",O$9)</t>
  </si>
  <si>
    <t>=-NL("Sum","5802 Value Entry","151 Cost Amount (Expected)","41 Source Type",$C$5,"5 Source No.",$C855,"4 Item Ledger Entry Type",$C$4,"2 Item No.","@@"&amp;$F855,"3 Posting Date",O$9)-NL("Sum","5802 Value Entry","43 Cost Amount (Actual)","41 Source Type",$C$5,"5 Source no.",$C855,"4 Item Ledger Entry Type",$C$4,"2 Item No.","@@"&amp;$F855,"3 Posting Date",O$9)</t>
  </si>
  <si>
    <t>=O855-Q855</t>
  </si>
  <si>
    <t>=IF(O855&lt;&gt;0,R855/O855,"")</t>
  </si>
  <si>
    <t>=NL("Sum","5802 Value Entry","150 Sales Amount (Expected)","41 Source Type",$C$5,"5 Source No.",$C855,"4 Item Ledger Entry Type",$C$4,"2 Item No.","@@"&amp;$F855,"3 Posting Date",U$9)+NL("Sum","5802 Value Entry","17 Sales Amount (Actual)","41 Source Type",$C$5,"5 Source no.",$C855,"4 Item Ledger Entry Type",$C$4,"2 Item No.","@@"&amp;$F855,"3 Posting Date",U$9)</t>
  </si>
  <si>
    <t>=-NL("Sum","5802 Value Entry","151 Cost Amount (Expected)","41 Source Type",$C$5,"5 Source No.",$C855,"4 Item Ledger Entry Type",$C$4,"2 Item No.","@@"&amp;$F855,"3 Posting Date",U$9)-NL("Sum","5802 Value Entry","43 Cost Amount (Actual)","41 Source Type",$C$5,"5 Source no.",$C855,"4 Item Ledger Entry Type",$C$4,"2 Item No.","@@"&amp;$F855,"3 Posting Date",U$9)</t>
  </si>
  <si>
    <t>=U855-W855</t>
  </si>
  <si>
    <t>=IF(U855&lt;&gt;0,X855/U855,"")</t>
  </si>
  <si>
    <t>=NL("Sum","5802 Value Entry","150 Sales Amount (Expected)","41 Source Type",$C$5,"5 Source No.",$C855,"4 Item Ledger Entry Type",$C$4,"2 Item No.","@@"&amp;$F855,"3 Posting Date",Z$9)+NL("Sum","5802 Value Entry","17 Sales Amount (Actual)","41 Source Type",$C$5,"5 Source no.",$C855,"4 Item Ledger Entry Type",$C$4,"2 Item No.","@@"&amp;$F855,"3 Posting Date",Z$9)</t>
  </si>
  <si>
    <t>=-NL("Sum","5802 Value Entry","151 Cost Amount (Expected)","41 Source Type",$C$5,"5 Source No.",$C855,"4 Item Ledger Entry Type",$C$4,"2 Item No.","@@"&amp;$F855,"3 Posting Date",Z$9)-NL("Sum","5802 Value Entry","43 Cost Amount (Actual)","41 Source Type",$C$5,"5 Source no.",$C855,"4 Item Ledger Entry Type",$C$4,"2 Item No.","@@"&amp;$F855,"3 Posting Date",Z$9)</t>
  </si>
  <si>
    <t>=Z855-AB855</t>
  </si>
  <si>
    <t>=IF(Z855&lt;&gt;0,AC855/Z855,"")</t>
  </si>
  <si>
    <t>=C855</t>
  </si>
  <si>
    <t>="E100039"</t>
  </si>
  <si>
    <t>=NL("Sum","5802 Value Entry","150 Sales Amount (Expected)","41 Source Type",$C$5,"5 Source No.",$C856,"4 Item Ledger Entry Type",$C$4,"2 Item No.","@@"&amp;$F856,"3 Posting Date",J$9)+NL("Sum","5802 Value Entry","17 Sales Amount (Actual)","41 Source Type",$C$5,"5 Source no.",$C856,"4 Item Ledger Entry Type",$C$4,"2 Item No.","@@"&amp;$F856,"3 Posting Date",J$9)</t>
  </si>
  <si>
    <t>=-NL("Sum","5802 Value Entry","151 Cost Amount (Expected)","41 Source Type",$C$5,"5 Source No.",$C856,"4 Item Ledger Entry Type",$C$4,"2 Item No.","@@"&amp;$F856,"3 Posting Date",J$9)-NL("Sum","5802 Value Entry","43 Cost Amount (Actual)","41 Source Type",$C$5,"5 Source no.",$C856,"4 Item Ledger Entry Type",$C$4,"2 Item No.","@@"&amp;$F856,"3 Posting Date",J$9)</t>
  </si>
  <si>
    <t>=J856-L856</t>
  </si>
  <si>
    <t>=IF(J856&lt;&gt;0,M856/J856,"")</t>
  </si>
  <si>
    <t>=NL("Sum","5802 Value Entry","150 Sales Amount (Expected)","41 Source Type",$C$5,"5 Source No.",$C856,"4 Item Ledger Entry Type",$C$4,"2 Item No.","@@"&amp;$F856,"3 Posting Date",O$9)+NL("Sum","5802 Value Entry","17 Sales Amount (Actual)","41 Source Type",$C$5,"5 Source no.",$C856,"4 Item Ledger Entry Type",$C$4,"2 Item No.","@@"&amp;$F856,"3 Posting Date",O$9)</t>
  </si>
  <si>
    <t>=-NL("Sum","5802 Value Entry","151 Cost Amount (Expected)","41 Source Type",$C$5,"5 Source No.",$C856,"4 Item Ledger Entry Type",$C$4,"2 Item No.","@@"&amp;$F856,"3 Posting Date",O$9)-NL("Sum","5802 Value Entry","43 Cost Amount (Actual)","41 Source Type",$C$5,"5 Source no.",$C856,"4 Item Ledger Entry Type",$C$4,"2 Item No.","@@"&amp;$F856,"3 Posting Date",O$9)</t>
  </si>
  <si>
    <t>=O856-Q856</t>
  </si>
  <si>
    <t>=IF(O856&lt;&gt;0,R856/O856,"")</t>
  </si>
  <si>
    <t>=NL("Sum","5802 Value Entry","150 Sales Amount (Expected)","41 Source Type",$C$5,"5 Source No.",$C856,"4 Item Ledger Entry Type",$C$4,"2 Item No.","@@"&amp;$F856,"3 Posting Date",U$9)+NL("Sum","5802 Value Entry","17 Sales Amount (Actual)","41 Source Type",$C$5,"5 Source no.",$C856,"4 Item Ledger Entry Type",$C$4,"2 Item No.","@@"&amp;$F856,"3 Posting Date",U$9)</t>
  </si>
  <si>
    <t>=-NL("Sum","5802 Value Entry","151 Cost Amount (Expected)","41 Source Type",$C$5,"5 Source No.",$C856,"4 Item Ledger Entry Type",$C$4,"2 Item No.","@@"&amp;$F856,"3 Posting Date",U$9)-NL("Sum","5802 Value Entry","43 Cost Amount (Actual)","41 Source Type",$C$5,"5 Source no.",$C856,"4 Item Ledger Entry Type",$C$4,"2 Item No.","@@"&amp;$F856,"3 Posting Date",U$9)</t>
  </si>
  <si>
    <t>=U856-W856</t>
  </si>
  <si>
    <t>=IF(U856&lt;&gt;0,X856/U856,"")</t>
  </si>
  <si>
    <t>=NL("Sum","5802 Value Entry","150 Sales Amount (Expected)","41 Source Type",$C$5,"5 Source No.",$C856,"4 Item Ledger Entry Type",$C$4,"2 Item No.","@@"&amp;$F856,"3 Posting Date",Z$9)+NL("Sum","5802 Value Entry","17 Sales Amount (Actual)","41 Source Type",$C$5,"5 Source no.",$C856,"4 Item Ledger Entry Type",$C$4,"2 Item No.","@@"&amp;$F856,"3 Posting Date",Z$9)</t>
  </si>
  <si>
    <t>=-NL("Sum","5802 Value Entry","151 Cost Amount (Expected)","41 Source Type",$C$5,"5 Source No.",$C856,"4 Item Ledger Entry Type",$C$4,"2 Item No.","@@"&amp;$F856,"3 Posting Date",Z$9)-NL("Sum","5802 Value Entry","43 Cost Amount (Actual)","41 Source Type",$C$5,"5 Source no.",$C856,"4 Item Ledger Entry Type",$C$4,"2 Item No.","@@"&amp;$F856,"3 Posting Date",Z$9)</t>
  </si>
  <si>
    <t>=Z856-AB856</t>
  </si>
  <si>
    <t>=IF(Z856&lt;&gt;0,AC856/Z856,"")</t>
  </si>
  <si>
    <t>=C856</t>
  </si>
  <si>
    <t>="E100040"</t>
  </si>
  <si>
    <t>=NL("Sum","5802 Value Entry","150 Sales Amount (Expected)","41 Source Type",$C$5,"5 Source No.",$C857,"4 Item Ledger Entry Type",$C$4,"2 Item No.","@@"&amp;$F857,"3 Posting Date",J$9)+NL("Sum","5802 Value Entry","17 Sales Amount (Actual)","41 Source Type",$C$5,"5 Source no.",$C857,"4 Item Ledger Entry Type",$C$4,"2 Item No.","@@"&amp;$F857,"3 Posting Date",J$9)</t>
  </si>
  <si>
    <t>=-NL("Sum","5802 Value Entry","151 Cost Amount (Expected)","41 Source Type",$C$5,"5 Source No.",$C857,"4 Item Ledger Entry Type",$C$4,"2 Item No.","@@"&amp;$F857,"3 Posting Date",J$9)-NL("Sum","5802 Value Entry","43 Cost Amount (Actual)","41 Source Type",$C$5,"5 Source no.",$C857,"4 Item Ledger Entry Type",$C$4,"2 Item No.","@@"&amp;$F857,"3 Posting Date",J$9)</t>
  </si>
  <si>
    <t>=J857-L857</t>
  </si>
  <si>
    <t>=IF(J857&lt;&gt;0,M857/J857,"")</t>
  </si>
  <si>
    <t>=NL("Sum","5802 Value Entry","150 Sales Amount (Expected)","41 Source Type",$C$5,"5 Source No.",$C857,"4 Item Ledger Entry Type",$C$4,"2 Item No.","@@"&amp;$F857,"3 Posting Date",O$9)+NL("Sum","5802 Value Entry","17 Sales Amount (Actual)","41 Source Type",$C$5,"5 Source no.",$C857,"4 Item Ledger Entry Type",$C$4,"2 Item No.","@@"&amp;$F857,"3 Posting Date",O$9)</t>
  </si>
  <si>
    <t>=-NL("Sum","5802 Value Entry","151 Cost Amount (Expected)","41 Source Type",$C$5,"5 Source No.",$C857,"4 Item Ledger Entry Type",$C$4,"2 Item No.","@@"&amp;$F857,"3 Posting Date",O$9)-NL("Sum","5802 Value Entry","43 Cost Amount (Actual)","41 Source Type",$C$5,"5 Source no.",$C857,"4 Item Ledger Entry Type",$C$4,"2 Item No.","@@"&amp;$F857,"3 Posting Date",O$9)</t>
  </si>
  <si>
    <t>=O857-Q857</t>
  </si>
  <si>
    <t>=IF(O857&lt;&gt;0,R857/O857,"")</t>
  </si>
  <si>
    <t>=NL("Sum","5802 Value Entry","150 Sales Amount (Expected)","41 Source Type",$C$5,"5 Source No.",$C857,"4 Item Ledger Entry Type",$C$4,"2 Item No.","@@"&amp;$F857,"3 Posting Date",U$9)+NL("Sum","5802 Value Entry","17 Sales Amount (Actual)","41 Source Type",$C$5,"5 Source no.",$C857,"4 Item Ledger Entry Type",$C$4,"2 Item No.","@@"&amp;$F857,"3 Posting Date",U$9)</t>
  </si>
  <si>
    <t>=-NL("Sum","5802 Value Entry","151 Cost Amount (Expected)","41 Source Type",$C$5,"5 Source No.",$C857,"4 Item Ledger Entry Type",$C$4,"2 Item No.","@@"&amp;$F857,"3 Posting Date",U$9)-NL("Sum","5802 Value Entry","43 Cost Amount (Actual)","41 Source Type",$C$5,"5 Source no.",$C857,"4 Item Ledger Entry Type",$C$4,"2 Item No.","@@"&amp;$F857,"3 Posting Date",U$9)</t>
  </si>
  <si>
    <t>=U857-W857</t>
  </si>
  <si>
    <t>=IF(U857&lt;&gt;0,X857/U857,"")</t>
  </si>
  <si>
    <t>=NL("Sum","5802 Value Entry","150 Sales Amount (Expected)","41 Source Type",$C$5,"5 Source No.",$C857,"4 Item Ledger Entry Type",$C$4,"2 Item No.","@@"&amp;$F857,"3 Posting Date",Z$9)+NL("Sum","5802 Value Entry","17 Sales Amount (Actual)","41 Source Type",$C$5,"5 Source no.",$C857,"4 Item Ledger Entry Type",$C$4,"2 Item No.","@@"&amp;$F857,"3 Posting Date",Z$9)</t>
  </si>
  <si>
    <t>=-NL("Sum","5802 Value Entry","151 Cost Amount (Expected)","41 Source Type",$C$5,"5 Source No.",$C857,"4 Item Ledger Entry Type",$C$4,"2 Item No.","@@"&amp;$F857,"3 Posting Date",Z$9)-NL("Sum","5802 Value Entry","43 Cost Amount (Actual)","41 Source Type",$C$5,"5 Source no.",$C857,"4 Item Ledger Entry Type",$C$4,"2 Item No.","@@"&amp;$F857,"3 Posting Date",Z$9)</t>
  </si>
  <si>
    <t>=Z857-AB857</t>
  </si>
  <si>
    <t>=IF(Z857&lt;&gt;0,AC857/Z857,"")</t>
  </si>
  <si>
    <t>=C857</t>
  </si>
  <si>
    <t>="E100042"</t>
  </si>
  <si>
    <t>=NL("Sum","5802 Value Entry","150 Sales Amount (Expected)","41 Source Type",$C$5,"5 Source No.",$C858,"4 Item Ledger Entry Type",$C$4,"2 Item No.","@@"&amp;$F858,"3 Posting Date",J$9)+NL("Sum","5802 Value Entry","17 Sales Amount (Actual)","41 Source Type",$C$5,"5 Source no.",$C858,"4 Item Ledger Entry Type",$C$4,"2 Item No.","@@"&amp;$F858,"3 Posting Date",J$9)</t>
  </si>
  <si>
    <t>=-NL("Sum","5802 Value Entry","151 Cost Amount (Expected)","41 Source Type",$C$5,"5 Source No.",$C858,"4 Item Ledger Entry Type",$C$4,"2 Item No.","@@"&amp;$F858,"3 Posting Date",J$9)-NL("Sum","5802 Value Entry","43 Cost Amount (Actual)","41 Source Type",$C$5,"5 Source no.",$C858,"4 Item Ledger Entry Type",$C$4,"2 Item No.","@@"&amp;$F858,"3 Posting Date",J$9)</t>
  </si>
  <si>
    <t>=J858-L858</t>
  </si>
  <si>
    <t>=IF(J858&lt;&gt;0,M858/J858,"")</t>
  </si>
  <si>
    <t>=NL("Sum","5802 Value Entry","150 Sales Amount (Expected)","41 Source Type",$C$5,"5 Source No.",$C858,"4 Item Ledger Entry Type",$C$4,"2 Item No.","@@"&amp;$F858,"3 Posting Date",O$9)+NL("Sum","5802 Value Entry","17 Sales Amount (Actual)","41 Source Type",$C$5,"5 Source no.",$C858,"4 Item Ledger Entry Type",$C$4,"2 Item No.","@@"&amp;$F858,"3 Posting Date",O$9)</t>
  </si>
  <si>
    <t>=-NL("Sum","5802 Value Entry","151 Cost Amount (Expected)","41 Source Type",$C$5,"5 Source No.",$C858,"4 Item Ledger Entry Type",$C$4,"2 Item No.","@@"&amp;$F858,"3 Posting Date",O$9)-NL("Sum","5802 Value Entry","43 Cost Amount (Actual)","41 Source Type",$C$5,"5 Source no.",$C858,"4 Item Ledger Entry Type",$C$4,"2 Item No.","@@"&amp;$F858,"3 Posting Date",O$9)</t>
  </si>
  <si>
    <t>=O858-Q858</t>
  </si>
  <si>
    <t>=IF(O858&lt;&gt;0,R858/O858,"")</t>
  </si>
  <si>
    <t>=NL("Sum","5802 Value Entry","150 Sales Amount (Expected)","41 Source Type",$C$5,"5 Source No.",$C858,"4 Item Ledger Entry Type",$C$4,"2 Item No.","@@"&amp;$F858,"3 Posting Date",U$9)+NL("Sum","5802 Value Entry","17 Sales Amount (Actual)","41 Source Type",$C$5,"5 Source no.",$C858,"4 Item Ledger Entry Type",$C$4,"2 Item No.","@@"&amp;$F858,"3 Posting Date",U$9)</t>
  </si>
  <si>
    <t>=-NL("Sum","5802 Value Entry","151 Cost Amount (Expected)","41 Source Type",$C$5,"5 Source No.",$C858,"4 Item Ledger Entry Type",$C$4,"2 Item No.","@@"&amp;$F858,"3 Posting Date",U$9)-NL("Sum","5802 Value Entry","43 Cost Amount (Actual)","41 Source Type",$C$5,"5 Source no.",$C858,"4 Item Ledger Entry Type",$C$4,"2 Item No.","@@"&amp;$F858,"3 Posting Date",U$9)</t>
  </si>
  <si>
    <t>=U858-W858</t>
  </si>
  <si>
    <t>=IF(U858&lt;&gt;0,X858/U858,"")</t>
  </si>
  <si>
    <t>=NL("Sum","5802 Value Entry","150 Sales Amount (Expected)","41 Source Type",$C$5,"5 Source No.",$C858,"4 Item Ledger Entry Type",$C$4,"2 Item No.","@@"&amp;$F858,"3 Posting Date",Z$9)+NL("Sum","5802 Value Entry","17 Sales Amount (Actual)","41 Source Type",$C$5,"5 Source no.",$C858,"4 Item Ledger Entry Type",$C$4,"2 Item No.","@@"&amp;$F858,"3 Posting Date",Z$9)</t>
  </si>
  <si>
    <t>=-NL("Sum","5802 Value Entry","151 Cost Amount (Expected)","41 Source Type",$C$5,"5 Source No.",$C858,"4 Item Ledger Entry Type",$C$4,"2 Item No.","@@"&amp;$F858,"3 Posting Date",Z$9)-NL("Sum","5802 Value Entry","43 Cost Amount (Actual)","41 Source Type",$C$5,"5 Source no.",$C858,"4 Item Ledger Entry Type",$C$4,"2 Item No.","@@"&amp;$F858,"3 Posting Date",Z$9)</t>
  </si>
  <si>
    <t>=Z858-AB858</t>
  </si>
  <si>
    <t>=IF(Z858&lt;&gt;0,AC858/Z858,"")</t>
  </si>
  <si>
    <t>=C858</t>
  </si>
  <si>
    <t>="E100043"</t>
  </si>
  <si>
    <t>=NL("Sum","5802 Value Entry","150 Sales Amount (Expected)","41 Source Type",$C$5,"5 Source No.",$C859,"4 Item Ledger Entry Type",$C$4,"2 Item No.","@@"&amp;$F859,"3 Posting Date",J$9)+NL("Sum","5802 Value Entry","17 Sales Amount (Actual)","41 Source Type",$C$5,"5 Source no.",$C859,"4 Item Ledger Entry Type",$C$4,"2 Item No.","@@"&amp;$F859,"3 Posting Date",J$9)</t>
  </si>
  <si>
    <t>=-NL("Sum","5802 Value Entry","151 Cost Amount (Expected)","41 Source Type",$C$5,"5 Source No.",$C859,"4 Item Ledger Entry Type",$C$4,"2 Item No.","@@"&amp;$F859,"3 Posting Date",J$9)-NL("Sum","5802 Value Entry","43 Cost Amount (Actual)","41 Source Type",$C$5,"5 Source no.",$C859,"4 Item Ledger Entry Type",$C$4,"2 Item No.","@@"&amp;$F859,"3 Posting Date",J$9)</t>
  </si>
  <si>
    <t>=J859-L859</t>
  </si>
  <si>
    <t>=IF(J859&lt;&gt;0,M859/J859,"")</t>
  </si>
  <si>
    <t>=NL("Sum","5802 Value Entry","150 Sales Amount (Expected)","41 Source Type",$C$5,"5 Source No.",$C859,"4 Item Ledger Entry Type",$C$4,"2 Item No.","@@"&amp;$F859,"3 Posting Date",O$9)+NL("Sum","5802 Value Entry","17 Sales Amount (Actual)","41 Source Type",$C$5,"5 Source no.",$C859,"4 Item Ledger Entry Type",$C$4,"2 Item No.","@@"&amp;$F859,"3 Posting Date",O$9)</t>
  </si>
  <si>
    <t>=-NL("Sum","5802 Value Entry","151 Cost Amount (Expected)","41 Source Type",$C$5,"5 Source No.",$C859,"4 Item Ledger Entry Type",$C$4,"2 Item No.","@@"&amp;$F859,"3 Posting Date",O$9)-NL("Sum","5802 Value Entry","43 Cost Amount (Actual)","41 Source Type",$C$5,"5 Source no.",$C859,"4 Item Ledger Entry Type",$C$4,"2 Item No.","@@"&amp;$F859,"3 Posting Date",O$9)</t>
  </si>
  <si>
    <t>=O859-Q859</t>
  </si>
  <si>
    <t>=IF(O859&lt;&gt;0,R859/O859,"")</t>
  </si>
  <si>
    <t>=NL("Sum","5802 Value Entry","150 Sales Amount (Expected)","41 Source Type",$C$5,"5 Source No.",$C859,"4 Item Ledger Entry Type",$C$4,"2 Item No.","@@"&amp;$F859,"3 Posting Date",U$9)+NL("Sum","5802 Value Entry","17 Sales Amount (Actual)","41 Source Type",$C$5,"5 Source no.",$C859,"4 Item Ledger Entry Type",$C$4,"2 Item No.","@@"&amp;$F859,"3 Posting Date",U$9)</t>
  </si>
  <si>
    <t>=-NL("Sum","5802 Value Entry","151 Cost Amount (Expected)","41 Source Type",$C$5,"5 Source No.",$C859,"4 Item Ledger Entry Type",$C$4,"2 Item No.","@@"&amp;$F859,"3 Posting Date",U$9)-NL("Sum","5802 Value Entry","43 Cost Amount (Actual)","41 Source Type",$C$5,"5 Source no.",$C859,"4 Item Ledger Entry Type",$C$4,"2 Item No.","@@"&amp;$F859,"3 Posting Date",U$9)</t>
  </si>
  <si>
    <t>=U859-W859</t>
  </si>
  <si>
    <t>=IF(U859&lt;&gt;0,X859/U859,"")</t>
  </si>
  <si>
    <t>=NL("Sum","5802 Value Entry","150 Sales Amount (Expected)","41 Source Type",$C$5,"5 Source No.",$C859,"4 Item Ledger Entry Type",$C$4,"2 Item No.","@@"&amp;$F859,"3 Posting Date",Z$9)+NL("Sum","5802 Value Entry","17 Sales Amount (Actual)","41 Source Type",$C$5,"5 Source no.",$C859,"4 Item Ledger Entry Type",$C$4,"2 Item No.","@@"&amp;$F859,"3 Posting Date",Z$9)</t>
  </si>
  <si>
    <t>=-NL("Sum","5802 Value Entry","151 Cost Amount (Expected)","41 Source Type",$C$5,"5 Source No.",$C859,"4 Item Ledger Entry Type",$C$4,"2 Item No.","@@"&amp;$F859,"3 Posting Date",Z$9)-NL("Sum","5802 Value Entry","43 Cost Amount (Actual)","41 Source Type",$C$5,"5 Source no.",$C859,"4 Item Ledger Entry Type",$C$4,"2 Item No.","@@"&amp;$F859,"3 Posting Date",Z$9)</t>
  </si>
  <si>
    <t>=Z859-AB859</t>
  </si>
  <si>
    <t>=IF(Z859&lt;&gt;0,AC859/Z859,"")</t>
  </si>
  <si>
    <t>=C859</t>
  </si>
  <si>
    <t>="E100045"</t>
  </si>
  <si>
    <t>=NL("Sum","5802 Value Entry","150 Sales Amount (Expected)","41 Source Type",$C$5,"5 Source No.",$C860,"4 Item Ledger Entry Type",$C$4,"2 Item No.","@@"&amp;$F860,"3 Posting Date",J$9)+NL("Sum","5802 Value Entry","17 Sales Amount (Actual)","41 Source Type",$C$5,"5 Source no.",$C860,"4 Item Ledger Entry Type",$C$4,"2 Item No.","@@"&amp;$F860,"3 Posting Date",J$9)</t>
  </si>
  <si>
    <t>=-NL("Sum","5802 Value Entry","151 Cost Amount (Expected)","41 Source Type",$C$5,"5 Source No.",$C860,"4 Item Ledger Entry Type",$C$4,"2 Item No.","@@"&amp;$F860,"3 Posting Date",J$9)-NL("Sum","5802 Value Entry","43 Cost Amount (Actual)","41 Source Type",$C$5,"5 Source no.",$C860,"4 Item Ledger Entry Type",$C$4,"2 Item No.","@@"&amp;$F860,"3 Posting Date",J$9)</t>
  </si>
  <si>
    <t>=J860-L860</t>
  </si>
  <si>
    <t>=IF(J860&lt;&gt;0,M860/J860,"")</t>
  </si>
  <si>
    <t>=NL("Sum","5802 Value Entry","150 Sales Amount (Expected)","41 Source Type",$C$5,"5 Source No.",$C860,"4 Item Ledger Entry Type",$C$4,"2 Item No.","@@"&amp;$F860,"3 Posting Date",O$9)+NL("Sum","5802 Value Entry","17 Sales Amount (Actual)","41 Source Type",$C$5,"5 Source no.",$C860,"4 Item Ledger Entry Type",$C$4,"2 Item No.","@@"&amp;$F860,"3 Posting Date",O$9)</t>
  </si>
  <si>
    <t>=-NL("Sum","5802 Value Entry","151 Cost Amount (Expected)","41 Source Type",$C$5,"5 Source No.",$C860,"4 Item Ledger Entry Type",$C$4,"2 Item No.","@@"&amp;$F860,"3 Posting Date",O$9)-NL("Sum","5802 Value Entry","43 Cost Amount (Actual)","41 Source Type",$C$5,"5 Source no.",$C860,"4 Item Ledger Entry Type",$C$4,"2 Item No.","@@"&amp;$F860,"3 Posting Date",O$9)</t>
  </si>
  <si>
    <t>=O860-Q860</t>
  </si>
  <si>
    <t>=IF(O860&lt;&gt;0,R860/O860,"")</t>
  </si>
  <si>
    <t>=NL("Sum","5802 Value Entry","150 Sales Amount (Expected)","41 Source Type",$C$5,"5 Source No.",$C860,"4 Item Ledger Entry Type",$C$4,"2 Item No.","@@"&amp;$F860,"3 Posting Date",U$9)+NL("Sum","5802 Value Entry","17 Sales Amount (Actual)","41 Source Type",$C$5,"5 Source no.",$C860,"4 Item Ledger Entry Type",$C$4,"2 Item No.","@@"&amp;$F860,"3 Posting Date",U$9)</t>
  </si>
  <si>
    <t>=-NL("Sum","5802 Value Entry","151 Cost Amount (Expected)","41 Source Type",$C$5,"5 Source No.",$C860,"4 Item Ledger Entry Type",$C$4,"2 Item No.","@@"&amp;$F860,"3 Posting Date",U$9)-NL("Sum","5802 Value Entry","43 Cost Amount (Actual)","41 Source Type",$C$5,"5 Source no.",$C860,"4 Item Ledger Entry Type",$C$4,"2 Item No.","@@"&amp;$F860,"3 Posting Date",U$9)</t>
  </si>
  <si>
    <t>=U860-W860</t>
  </si>
  <si>
    <t>=IF(U860&lt;&gt;0,X860/U860,"")</t>
  </si>
  <si>
    <t>=NL("Sum","5802 Value Entry","150 Sales Amount (Expected)","41 Source Type",$C$5,"5 Source No.",$C860,"4 Item Ledger Entry Type",$C$4,"2 Item No.","@@"&amp;$F860,"3 Posting Date",Z$9)+NL("Sum","5802 Value Entry","17 Sales Amount (Actual)","41 Source Type",$C$5,"5 Source no.",$C860,"4 Item Ledger Entry Type",$C$4,"2 Item No.","@@"&amp;$F860,"3 Posting Date",Z$9)</t>
  </si>
  <si>
    <t>=-NL("Sum","5802 Value Entry","151 Cost Amount (Expected)","41 Source Type",$C$5,"5 Source No.",$C860,"4 Item Ledger Entry Type",$C$4,"2 Item No.","@@"&amp;$F860,"3 Posting Date",Z$9)-NL("Sum","5802 Value Entry","43 Cost Amount (Actual)","41 Source Type",$C$5,"5 Source no.",$C860,"4 Item Ledger Entry Type",$C$4,"2 Item No.","@@"&amp;$F860,"3 Posting Date",Z$9)</t>
  </si>
  <si>
    <t>=Z860-AB860</t>
  </si>
  <si>
    <t>=IF(Z860&lt;&gt;0,AC860/Z860,"")</t>
  </si>
  <si>
    <t>=C860</t>
  </si>
  <si>
    <t>="E100046"</t>
  </si>
  <si>
    <t>=NL("Sum","5802 Value Entry","150 Sales Amount (Expected)","41 Source Type",$C$5,"5 Source No.",$C861,"4 Item Ledger Entry Type",$C$4,"2 Item No.","@@"&amp;$F861,"3 Posting Date",J$9)+NL("Sum","5802 Value Entry","17 Sales Amount (Actual)","41 Source Type",$C$5,"5 Source no.",$C861,"4 Item Ledger Entry Type",$C$4,"2 Item No.","@@"&amp;$F861,"3 Posting Date",J$9)</t>
  </si>
  <si>
    <t>=-NL("Sum","5802 Value Entry","151 Cost Amount (Expected)","41 Source Type",$C$5,"5 Source No.",$C861,"4 Item Ledger Entry Type",$C$4,"2 Item No.","@@"&amp;$F861,"3 Posting Date",J$9)-NL("Sum","5802 Value Entry","43 Cost Amount (Actual)","41 Source Type",$C$5,"5 Source no.",$C861,"4 Item Ledger Entry Type",$C$4,"2 Item No.","@@"&amp;$F861,"3 Posting Date",J$9)</t>
  </si>
  <si>
    <t>=J861-L861</t>
  </si>
  <si>
    <t>=IF(J861&lt;&gt;0,M861/J861,"")</t>
  </si>
  <si>
    <t>=NL("Sum","5802 Value Entry","150 Sales Amount (Expected)","41 Source Type",$C$5,"5 Source No.",$C861,"4 Item Ledger Entry Type",$C$4,"2 Item No.","@@"&amp;$F861,"3 Posting Date",O$9)+NL("Sum","5802 Value Entry","17 Sales Amount (Actual)","41 Source Type",$C$5,"5 Source no.",$C861,"4 Item Ledger Entry Type",$C$4,"2 Item No.","@@"&amp;$F861,"3 Posting Date",O$9)</t>
  </si>
  <si>
    <t>=-NL("Sum","5802 Value Entry","151 Cost Amount (Expected)","41 Source Type",$C$5,"5 Source No.",$C861,"4 Item Ledger Entry Type",$C$4,"2 Item No.","@@"&amp;$F861,"3 Posting Date",O$9)-NL("Sum","5802 Value Entry","43 Cost Amount (Actual)","41 Source Type",$C$5,"5 Source no.",$C861,"4 Item Ledger Entry Type",$C$4,"2 Item No.","@@"&amp;$F861,"3 Posting Date",O$9)</t>
  </si>
  <si>
    <t>=O861-Q861</t>
  </si>
  <si>
    <t>=IF(O861&lt;&gt;0,R861/O861,"")</t>
  </si>
  <si>
    <t>=NL("Sum","5802 Value Entry","150 Sales Amount (Expected)","41 Source Type",$C$5,"5 Source No.",$C861,"4 Item Ledger Entry Type",$C$4,"2 Item No.","@@"&amp;$F861,"3 Posting Date",U$9)+NL("Sum","5802 Value Entry","17 Sales Amount (Actual)","41 Source Type",$C$5,"5 Source no.",$C861,"4 Item Ledger Entry Type",$C$4,"2 Item No.","@@"&amp;$F861,"3 Posting Date",U$9)</t>
  </si>
  <si>
    <t>=-NL("Sum","5802 Value Entry","151 Cost Amount (Expected)","41 Source Type",$C$5,"5 Source No.",$C861,"4 Item Ledger Entry Type",$C$4,"2 Item No.","@@"&amp;$F861,"3 Posting Date",U$9)-NL("Sum","5802 Value Entry","43 Cost Amount (Actual)","41 Source Type",$C$5,"5 Source no.",$C861,"4 Item Ledger Entry Type",$C$4,"2 Item No.","@@"&amp;$F861,"3 Posting Date",U$9)</t>
  </si>
  <si>
    <t>=U861-W861</t>
  </si>
  <si>
    <t>=IF(U861&lt;&gt;0,X861/U861,"")</t>
  </si>
  <si>
    <t>=NL("Sum","5802 Value Entry","150 Sales Amount (Expected)","41 Source Type",$C$5,"5 Source No.",$C861,"4 Item Ledger Entry Type",$C$4,"2 Item No.","@@"&amp;$F861,"3 Posting Date",Z$9)+NL("Sum","5802 Value Entry","17 Sales Amount (Actual)","41 Source Type",$C$5,"5 Source no.",$C861,"4 Item Ledger Entry Type",$C$4,"2 Item No.","@@"&amp;$F861,"3 Posting Date",Z$9)</t>
  </si>
  <si>
    <t>=-NL("Sum","5802 Value Entry","151 Cost Amount (Expected)","41 Source Type",$C$5,"5 Source No.",$C861,"4 Item Ledger Entry Type",$C$4,"2 Item No.","@@"&amp;$F861,"3 Posting Date",Z$9)-NL("Sum","5802 Value Entry","43 Cost Amount (Actual)","41 Source Type",$C$5,"5 Source no.",$C861,"4 Item Ledger Entry Type",$C$4,"2 Item No.","@@"&amp;$F861,"3 Posting Date",Z$9)</t>
  </si>
  <si>
    <t>=Z861-AB861</t>
  </si>
  <si>
    <t>=IF(Z861&lt;&gt;0,AC861/Z861,"")</t>
  </si>
  <si>
    <t>=C861</t>
  </si>
  <si>
    <t>=NL("Sum","5802 Value Entry","150 Sales Amount (Expected)","41 Source Type",$C$5,"5 Source No.",$C862,"4 Item Ledger Entry Type",$C$4,"2 Item No.","@@"&amp;$F862,"3 Posting Date",J$9)+NL("Sum","5802 Value Entry","17 Sales Amount (Actual)","41 Source Type",$C$5,"5 Source no.",$C862,"4 Item Ledger Entry Type",$C$4,"2 Item No.","@@"&amp;$F862,"3 Posting Date",J$9)</t>
  </si>
  <si>
    <t>=-NL("Sum","5802 Value Entry","151 Cost Amount (Expected)","41 Source Type",$C$5,"5 Source No.",$C862,"4 Item Ledger Entry Type",$C$4,"2 Item No.","@@"&amp;$F862,"3 Posting Date",J$9)-NL("Sum","5802 Value Entry","43 Cost Amount (Actual)","41 Source Type",$C$5,"5 Source no.",$C862,"4 Item Ledger Entry Type",$C$4,"2 Item No.","@@"&amp;$F862,"3 Posting Date",J$9)</t>
  </si>
  <si>
    <t>=J862-L862</t>
  </si>
  <si>
    <t>=IF(J862&lt;&gt;0,M862/J862,"")</t>
  </si>
  <si>
    <t>=NL("Sum","5802 Value Entry","150 Sales Amount (Expected)","41 Source Type",$C$5,"5 Source No.",$C862,"4 Item Ledger Entry Type",$C$4,"2 Item No.","@@"&amp;$F862,"3 Posting Date",O$9)+NL("Sum","5802 Value Entry","17 Sales Amount (Actual)","41 Source Type",$C$5,"5 Source no.",$C862,"4 Item Ledger Entry Type",$C$4,"2 Item No.","@@"&amp;$F862,"3 Posting Date",O$9)</t>
  </si>
  <si>
    <t>=-NL("Sum","5802 Value Entry","151 Cost Amount (Expected)","41 Source Type",$C$5,"5 Source No.",$C862,"4 Item Ledger Entry Type",$C$4,"2 Item No.","@@"&amp;$F862,"3 Posting Date",O$9)-NL("Sum","5802 Value Entry","43 Cost Amount (Actual)","41 Source Type",$C$5,"5 Source no.",$C862,"4 Item Ledger Entry Type",$C$4,"2 Item No.","@@"&amp;$F862,"3 Posting Date",O$9)</t>
  </si>
  <si>
    <t>=O862-Q862</t>
  </si>
  <si>
    <t>=IF(O862&lt;&gt;0,R862/O862,"")</t>
  </si>
  <si>
    <t>=NL("Sum","5802 Value Entry","150 Sales Amount (Expected)","41 Source Type",$C$5,"5 Source No.",$C862,"4 Item Ledger Entry Type",$C$4,"2 Item No.","@@"&amp;$F862,"3 Posting Date",U$9)+NL("Sum","5802 Value Entry","17 Sales Amount (Actual)","41 Source Type",$C$5,"5 Source no.",$C862,"4 Item Ledger Entry Type",$C$4,"2 Item No.","@@"&amp;$F862,"3 Posting Date",U$9)</t>
  </si>
  <si>
    <t>=-NL("Sum","5802 Value Entry","151 Cost Amount (Expected)","41 Source Type",$C$5,"5 Source No.",$C862,"4 Item Ledger Entry Type",$C$4,"2 Item No.","@@"&amp;$F862,"3 Posting Date",U$9)-NL("Sum","5802 Value Entry","43 Cost Amount (Actual)","41 Source Type",$C$5,"5 Source no.",$C862,"4 Item Ledger Entry Type",$C$4,"2 Item No.","@@"&amp;$F862,"3 Posting Date",U$9)</t>
  </si>
  <si>
    <t>=U862-W862</t>
  </si>
  <si>
    <t>=IF(U862&lt;&gt;0,X862/U862,"")</t>
  </si>
  <si>
    <t>=NL("Sum","5802 Value Entry","150 Sales Amount (Expected)","41 Source Type",$C$5,"5 Source No.",$C862,"4 Item Ledger Entry Type",$C$4,"2 Item No.","@@"&amp;$F862,"3 Posting Date",Z$9)+NL("Sum","5802 Value Entry","17 Sales Amount (Actual)","41 Source Type",$C$5,"5 Source no.",$C862,"4 Item Ledger Entry Type",$C$4,"2 Item No.","@@"&amp;$F862,"3 Posting Date",Z$9)</t>
  </si>
  <si>
    <t>=-NL("Sum","5802 Value Entry","151 Cost Amount (Expected)","41 Source Type",$C$5,"5 Source No.",$C862,"4 Item Ledger Entry Type",$C$4,"2 Item No.","@@"&amp;$F862,"3 Posting Date",Z$9)-NL("Sum","5802 Value Entry","43 Cost Amount (Actual)","41 Source Type",$C$5,"5 Source no.",$C862,"4 Item Ledger Entry Type",$C$4,"2 Item No.","@@"&amp;$F862,"3 Posting Date",Z$9)</t>
  </si>
  <si>
    <t>=Z862-AB862</t>
  </si>
  <si>
    <t>=IF(Z862&lt;&gt;0,AC862/Z862,"")</t>
  </si>
  <si>
    <t>=C862</t>
  </si>
  <si>
    <t>=NL("Sum","5802 Value Entry","150 Sales Amount (Expected)","41 Source Type",$C$5,"5 Source No.",$C863,"4 Item Ledger Entry Type",$C$4,"2 Item No.","@@"&amp;$F863,"3 Posting Date",J$9)+NL("Sum","5802 Value Entry","17 Sales Amount (Actual)","41 Source Type",$C$5,"5 Source no.",$C863,"4 Item Ledger Entry Type",$C$4,"2 Item No.","@@"&amp;$F863,"3 Posting Date",J$9)</t>
  </si>
  <si>
    <t>=-NL("Sum","5802 Value Entry","151 Cost Amount (Expected)","41 Source Type",$C$5,"5 Source No.",$C863,"4 Item Ledger Entry Type",$C$4,"2 Item No.","@@"&amp;$F863,"3 Posting Date",J$9)-NL("Sum","5802 Value Entry","43 Cost Amount (Actual)","41 Source Type",$C$5,"5 Source no.",$C863,"4 Item Ledger Entry Type",$C$4,"2 Item No.","@@"&amp;$F863,"3 Posting Date",J$9)</t>
  </si>
  <si>
    <t>=J863-L863</t>
  </si>
  <si>
    <t>=IF(J863&lt;&gt;0,M863/J863,"")</t>
  </si>
  <si>
    <t>=NL("Sum","5802 Value Entry","150 Sales Amount (Expected)","41 Source Type",$C$5,"5 Source No.",$C863,"4 Item Ledger Entry Type",$C$4,"2 Item No.","@@"&amp;$F863,"3 Posting Date",O$9)+NL("Sum","5802 Value Entry","17 Sales Amount (Actual)","41 Source Type",$C$5,"5 Source no.",$C863,"4 Item Ledger Entry Type",$C$4,"2 Item No.","@@"&amp;$F863,"3 Posting Date",O$9)</t>
  </si>
  <si>
    <t>=-NL("Sum","5802 Value Entry","151 Cost Amount (Expected)","41 Source Type",$C$5,"5 Source No.",$C863,"4 Item Ledger Entry Type",$C$4,"2 Item No.","@@"&amp;$F863,"3 Posting Date",O$9)-NL("Sum","5802 Value Entry","43 Cost Amount (Actual)","41 Source Type",$C$5,"5 Source no.",$C863,"4 Item Ledger Entry Type",$C$4,"2 Item No.","@@"&amp;$F863,"3 Posting Date",O$9)</t>
  </si>
  <si>
    <t>=O863-Q863</t>
  </si>
  <si>
    <t>=IF(O863&lt;&gt;0,R863/O863,"")</t>
  </si>
  <si>
    <t>=NL("Sum","5802 Value Entry","150 Sales Amount (Expected)","41 Source Type",$C$5,"5 Source No.",$C863,"4 Item Ledger Entry Type",$C$4,"2 Item No.","@@"&amp;$F863,"3 Posting Date",U$9)+NL("Sum","5802 Value Entry","17 Sales Amount (Actual)","41 Source Type",$C$5,"5 Source no.",$C863,"4 Item Ledger Entry Type",$C$4,"2 Item No.","@@"&amp;$F863,"3 Posting Date",U$9)</t>
  </si>
  <si>
    <t>=-NL("Sum","5802 Value Entry","151 Cost Amount (Expected)","41 Source Type",$C$5,"5 Source No.",$C863,"4 Item Ledger Entry Type",$C$4,"2 Item No.","@@"&amp;$F863,"3 Posting Date",U$9)-NL("Sum","5802 Value Entry","43 Cost Amount (Actual)","41 Source Type",$C$5,"5 Source no.",$C863,"4 Item Ledger Entry Type",$C$4,"2 Item No.","@@"&amp;$F863,"3 Posting Date",U$9)</t>
  </si>
  <si>
    <t>=U863-W863</t>
  </si>
  <si>
    <t>=IF(U863&lt;&gt;0,X863/U863,"")</t>
  </si>
  <si>
    <t>=NL("Sum","5802 Value Entry","150 Sales Amount (Expected)","41 Source Type",$C$5,"5 Source No.",$C863,"4 Item Ledger Entry Type",$C$4,"2 Item No.","@@"&amp;$F863,"3 Posting Date",Z$9)+NL("Sum","5802 Value Entry","17 Sales Amount (Actual)","41 Source Type",$C$5,"5 Source no.",$C863,"4 Item Ledger Entry Type",$C$4,"2 Item No.","@@"&amp;$F863,"3 Posting Date",Z$9)</t>
  </si>
  <si>
    <t>=-NL("Sum","5802 Value Entry","151 Cost Amount (Expected)","41 Source Type",$C$5,"5 Source No.",$C863,"4 Item Ledger Entry Type",$C$4,"2 Item No.","@@"&amp;$F863,"3 Posting Date",Z$9)-NL("Sum","5802 Value Entry","43 Cost Amount (Actual)","41 Source Type",$C$5,"5 Source no.",$C863,"4 Item Ledger Entry Type",$C$4,"2 Item No.","@@"&amp;$F863,"3 Posting Date",Z$9)</t>
  </si>
  <si>
    <t>=Z863-AB863</t>
  </si>
  <si>
    <t>=IF(Z863&lt;&gt;0,AC863/Z863,"")</t>
  </si>
  <si>
    <t>=C864</t>
  </si>
  <si>
    <t>=J865-L865</t>
  </si>
  <si>
    <t>=IF(J865&lt;&gt;0,M865/J865,"")</t>
  </si>
  <si>
    <t>=O865-Q865</t>
  </si>
  <si>
    <t>=IF(O865&lt;&gt;0,R865/O865,"")</t>
  </si>
  <si>
    <t>=U865-W865</t>
  </si>
  <si>
    <t>=IF(U865&lt;&gt;0,X865/U865,"")</t>
  </si>
  <si>
    <t>=Z865-AB865</t>
  </si>
  <si>
    <t>=IF(Z865&lt;&gt;0,AC865/Z865,"")</t>
  </si>
  <si>
    <t>="S100024"</t>
  </si>
  <si>
    <t>=C867</t>
  </si>
  <si>
    <t>="S100025"</t>
  </si>
  <si>
    <t>=C868</t>
  </si>
  <si>
    <t>="S100026"</t>
  </si>
  <si>
    <t>=NL("Sum","5802 Value Entry","150 Sales Amount (Expected)","41 Source Type",$C$5,"5 Source No.",$C869,"4 Item Ledger Entry Type",$C$4,"2 Item No.","@@"&amp;$F869,"3 Posting Date",J$9)+NL("Sum","5802 Value Entry","17 Sales Amount (Actual)","41 Source Type",$C$5,"5 Source no.",$C869,"4 Item Ledger Entry Type",$C$4,"2 Item No.","@@"&amp;$F869,"3 Posting Date",J$9)</t>
  </si>
  <si>
    <t>=-NL("Sum","5802 Value Entry","151 Cost Amount (Expected)","41 Source Type",$C$5,"5 Source No.",$C869,"4 Item Ledger Entry Type",$C$4,"2 Item No.","@@"&amp;$F869,"3 Posting Date",J$9)-NL("Sum","5802 Value Entry","43 Cost Amount (Actual)","41 Source Type",$C$5,"5 Source no.",$C869,"4 Item Ledger Entry Type",$C$4,"2 Item No.","@@"&amp;$F869,"3 Posting Date",J$9)</t>
  </si>
  <si>
    <t>=J869-L869</t>
  </si>
  <si>
    <t>=IF(J869&lt;&gt;0,M869/J869,"")</t>
  </si>
  <si>
    <t>=NL("Sum","5802 Value Entry","150 Sales Amount (Expected)","41 Source Type",$C$5,"5 Source No.",$C869,"4 Item Ledger Entry Type",$C$4,"2 Item No.","@@"&amp;$F869,"3 Posting Date",O$9)+NL("Sum","5802 Value Entry","17 Sales Amount (Actual)","41 Source Type",$C$5,"5 Source no.",$C869,"4 Item Ledger Entry Type",$C$4,"2 Item No.","@@"&amp;$F869,"3 Posting Date",O$9)</t>
  </si>
  <si>
    <t>=-NL("Sum","5802 Value Entry","151 Cost Amount (Expected)","41 Source Type",$C$5,"5 Source No.",$C869,"4 Item Ledger Entry Type",$C$4,"2 Item No.","@@"&amp;$F869,"3 Posting Date",O$9)-NL("Sum","5802 Value Entry","43 Cost Amount (Actual)","41 Source Type",$C$5,"5 Source no.",$C869,"4 Item Ledger Entry Type",$C$4,"2 Item No.","@@"&amp;$F869,"3 Posting Date",O$9)</t>
  </si>
  <si>
    <t>=O869-Q869</t>
  </si>
  <si>
    <t>=IF(O869&lt;&gt;0,R869/O869,"")</t>
  </si>
  <si>
    <t>=NL("Sum","5802 Value Entry","150 Sales Amount (Expected)","41 Source Type",$C$5,"5 Source No.",$C869,"4 Item Ledger Entry Type",$C$4,"2 Item No.","@@"&amp;$F869,"3 Posting Date",U$9)+NL("Sum","5802 Value Entry","17 Sales Amount (Actual)","41 Source Type",$C$5,"5 Source no.",$C869,"4 Item Ledger Entry Type",$C$4,"2 Item No.","@@"&amp;$F869,"3 Posting Date",U$9)</t>
  </si>
  <si>
    <t>=-NL("Sum","5802 Value Entry","151 Cost Amount (Expected)","41 Source Type",$C$5,"5 Source No.",$C869,"4 Item Ledger Entry Type",$C$4,"2 Item No.","@@"&amp;$F869,"3 Posting Date",U$9)-NL("Sum","5802 Value Entry","43 Cost Amount (Actual)","41 Source Type",$C$5,"5 Source no.",$C869,"4 Item Ledger Entry Type",$C$4,"2 Item No.","@@"&amp;$F869,"3 Posting Date",U$9)</t>
  </si>
  <si>
    <t>=U869-W869</t>
  </si>
  <si>
    <t>=IF(U869&lt;&gt;0,X869/U869,"")</t>
  </si>
  <si>
    <t>=NL("Sum","5802 Value Entry","150 Sales Amount (Expected)","41 Source Type",$C$5,"5 Source No.",$C869,"4 Item Ledger Entry Type",$C$4,"2 Item No.","@@"&amp;$F869,"3 Posting Date",Z$9)+NL("Sum","5802 Value Entry","17 Sales Amount (Actual)","41 Source Type",$C$5,"5 Source no.",$C869,"4 Item Ledger Entry Type",$C$4,"2 Item No.","@@"&amp;$F869,"3 Posting Date",Z$9)</t>
  </si>
  <si>
    <t>=-NL("Sum","5802 Value Entry","151 Cost Amount (Expected)","41 Source Type",$C$5,"5 Source No.",$C869,"4 Item Ledger Entry Type",$C$4,"2 Item No.","@@"&amp;$F869,"3 Posting Date",Z$9)-NL("Sum","5802 Value Entry","43 Cost Amount (Actual)","41 Source Type",$C$5,"5 Source no.",$C869,"4 Item Ledger Entry Type",$C$4,"2 Item No.","@@"&amp;$F869,"3 Posting Date",Z$9)</t>
  </si>
  <si>
    <t>=Z869-AB869</t>
  </si>
  <si>
    <t>=IF(Z869&lt;&gt;0,AC869/Z869,"")</t>
  </si>
  <si>
    <t>=C869</t>
  </si>
  <si>
    <t>="S200001"</t>
  </si>
  <si>
    <t>=C870</t>
  </si>
  <si>
    <t>="S200006"</t>
  </si>
  <si>
    <t>=J871-L871</t>
  </si>
  <si>
    <t>=IF(J871&lt;&gt;0,M871/J871,"")</t>
  </si>
  <si>
    <t>=O871-Q871</t>
  </si>
  <si>
    <t>=IF(O871&lt;&gt;0,R871/O871,"")</t>
  </si>
  <si>
    <t>=U871-W871</t>
  </si>
  <si>
    <t>=IF(U871&lt;&gt;0,X871/U871,"")</t>
  </si>
  <si>
    <t>=Z871-AB871</t>
  </si>
  <si>
    <t>=IF(Z871&lt;&gt;0,AC871/Z871,"")</t>
  </si>
  <si>
    <t>="S200008"</t>
  </si>
  <si>
    <t>="S200013"</t>
  </si>
  <si>
    <t>=C873</t>
  </si>
  <si>
    <t>="S200024"</t>
  </si>
  <si>
    <t>=C874</t>
  </si>
  <si>
    <t>="S200028"</t>
  </si>
  <si>
    <t>=NL("Sum","5802 Value Entry","150 Sales Amount (Expected)","41 Source Type",$C$5,"5 Source No.",$C875,"4 Item Ledger Entry Type",$C$4,"2 Item No.","@@"&amp;$F875,"3 Posting Date",J$9)+NL("Sum","5802 Value Entry","17 Sales Amount (Actual)","41 Source Type",$C$5,"5 Source no.",$C875,"4 Item Ledger Entry Type",$C$4,"2 Item No.","@@"&amp;$F875,"3 Posting Date",J$9)</t>
  </si>
  <si>
    <t>=-NL("Sum","5802 Value Entry","151 Cost Amount (Expected)","41 Source Type",$C$5,"5 Source No.",$C875,"4 Item Ledger Entry Type",$C$4,"2 Item No.","@@"&amp;$F875,"3 Posting Date",J$9)-NL("Sum","5802 Value Entry","43 Cost Amount (Actual)","41 Source Type",$C$5,"5 Source no.",$C875,"4 Item Ledger Entry Type",$C$4,"2 Item No.","@@"&amp;$F875,"3 Posting Date",J$9)</t>
  </si>
  <si>
    <t>=J875-L875</t>
  </si>
  <si>
    <t>=IF(J875&lt;&gt;0,M875/J875,"")</t>
  </si>
  <si>
    <t>=NL("Sum","5802 Value Entry","150 Sales Amount (Expected)","41 Source Type",$C$5,"5 Source No.",$C875,"4 Item Ledger Entry Type",$C$4,"2 Item No.","@@"&amp;$F875,"3 Posting Date",O$9)+NL("Sum","5802 Value Entry","17 Sales Amount (Actual)","41 Source Type",$C$5,"5 Source no.",$C875,"4 Item Ledger Entry Type",$C$4,"2 Item No.","@@"&amp;$F875,"3 Posting Date",O$9)</t>
  </si>
  <si>
    <t>=-NL("Sum","5802 Value Entry","151 Cost Amount (Expected)","41 Source Type",$C$5,"5 Source No.",$C875,"4 Item Ledger Entry Type",$C$4,"2 Item No.","@@"&amp;$F875,"3 Posting Date",O$9)-NL("Sum","5802 Value Entry","43 Cost Amount (Actual)","41 Source Type",$C$5,"5 Source no.",$C875,"4 Item Ledger Entry Type",$C$4,"2 Item No.","@@"&amp;$F875,"3 Posting Date",O$9)</t>
  </si>
  <si>
    <t>=O875-Q875</t>
  </si>
  <si>
    <t>=IF(O875&lt;&gt;0,R875/O875,"")</t>
  </si>
  <si>
    <t>=NL("Sum","5802 Value Entry","150 Sales Amount (Expected)","41 Source Type",$C$5,"5 Source No.",$C875,"4 Item Ledger Entry Type",$C$4,"2 Item No.","@@"&amp;$F875,"3 Posting Date",U$9)+NL("Sum","5802 Value Entry","17 Sales Amount (Actual)","41 Source Type",$C$5,"5 Source no.",$C875,"4 Item Ledger Entry Type",$C$4,"2 Item No.","@@"&amp;$F875,"3 Posting Date",U$9)</t>
  </si>
  <si>
    <t>=-NL("Sum","5802 Value Entry","151 Cost Amount (Expected)","41 Source Type",$C$5,"5 Source No.",$C875,"4 Item Ledger Entry Type",$C$4,"2 Item No.","@@"&amp;$F875,"3 Posting Date",U$9)-NL("Sum","5802 Value Entry","43 Cost Amount (Actual)","41 Source Type",$C$5,"5 Source no.",$C875,"4 Item Ledger Entry Type",$C$4,"2 Item No.","@@"&amp;$F875,"3 Posting Date",U$9)</t>
  </si>
  <si>
    <t>=U875-W875</t>
  </si>
  <si>
    <t>=IF(U875&lt;&gt;0,X875/U875,"")</t>
  </si>
  <si>
    <t>=NL("Sum","5802 Value Entry","150 Sales Amount (Expected)","41 Source Type",$C$5,"5 Source No.",$C875,"4 Item Ledger Entry Type",$C$4,"2 Item No.","@@"&amp;$F875,"3 Posting Date",Z$9)+NL("Sum","5802 Value Entry","17 Sales Amount (Actual)","41 Source Type",$C$5,"5 Source no.",$C875,"4 Item Ledger Entry Type",$C$4,"2 Item No.","@@"&amp;$F875,"3 Posting Date",Z$9)</t>
  </si>
  <si>
    <t>=-NL("Sum","5802 Value Entry","151 Cost Amount (Expected)","41 Source Type",$C$5,"5 Source No.",$C875,"4 Item Ledger Entry Type",$C$4,"2 Item No.","@@"&amp;$F875,"3 Posting Date",Z$9)-NL("Sum","5802 Value Entry","43 Cost Amount (Actual)","41 Source Type",$C$5,"5 Source no.",$C875,"4 Item Ledger Entry Type",$C$4,"2 Item No.","@@"&amp;$F875,"3 Posting Date",Z$9)</t>
  </si>
  <si>
    <t>=Z875-AB875</t>
  </si>
  <si>
    <t>=IF(Z875&lt;&gt;0,AC875/Z875,"")</t>
  </si>
  <si>
    <t>=C875</t>
  </si>
  <si>
    <t>="S200030"</t>
  </si>
  <si>
    <t>=NL("Sum","5802 Value Entry","150 Sales Amount (Expected)","41 Source Type",$C$5,"5 Source No.",$C876,"4 Item Ledger Entry Type",$C$4,"2 Item No.","@@"&amp;$F876,"3 Posting Date",J$9)+NL("Sum","5802 Value Entry","17 Sales Amount (Actual)","41 Source Type",$C$5,"5 Source no.",$C876,"4 Item Ledger Entry Type",$C$4,"2 Item No.","@@"&amp;$F876,"3 Posting Date",J$9)</t>
  </si>
  <si>
    <t>=-NL("Sum","5802 Value Entry","151 Cost Amount (Expected)","41 Source Type",$C$5,"5 Source No.",$C876,"4 Item Ledger Entry Type",$C$4,"2 Item No.","@@"&amp;$F876,"3 Posting Date",J$9)-NL("Sum","5802 Value Entry","43 Cost Amount (Actual)","41 Source Type",$C$5,"5 Source no.",$C876,"4 Item Ledger Entry Type",$C$4,"2 Item No.","@@"&amp;$F876,"3 Posting Date",J$9)</t>
  </si>
  <si>
    <t>=J876-L876</t>
  </si>
  <si>
    <t>=IF(J876&lt;&gt;0,M876/J876,"")</t>
  </si>
  <si>
    <t>=NL("Sum","5802 Value Entry","150 Sales Amount (Expected)","41 Source Type",$C$5,"5 Source No.",$C876,"4 Item Ledger Entry Type",$C$4,"2 Item No.","@@"&amp;$F876,"3 Posting Date",O$9)+NL("Sum","5802 Value Entry","17 Sales Amount (Actual)","41 Source Type",$C$5,"5 Source no.",$C876,"4 Item Ledger Entry Type",$C$4,"2 Item No.","@@"&amp;$F876,"3 Posting Date",O$9)</t>
  </si>
  <si>
    <t>=-NL("Sum","5802 Value Entry","151 Cost Amount (Expected)","41 Source Type",$C$5,"5 Source No.",$C876,"4 Item Ledger Entry Type",$C$4,"2 Item No.","@@"&amp;$F876,"3 Posting Date",O$9)-NL("Sum","5802 Value Entry","43 Cost Amount (Actual)","41 Source Type",$C$5,"5 Source no.",$C876,"4 Item Ledger Entry Type",$C$4,"2 Item No.","@@"&amp;$F876,"3 Posting Date",O$9)</t>
  </si>
  <si>
    <t>=O876-Q876</t>
  </si>
  <si>
    <t>=IF(O876&lt;&gt;0,R876/O876,"")</t>
  </si>
  <si>
    <t>=NL("Sum","5802 Value Entry","150 Sales Amount (Expected)","41 Source Type",$C$5,"5 Source No.",$C876,"4 Item Ledger Entry Type",$C$4,"2 Item No.","@@"&amp;$F876,"3 Posting Date",U$9)+NL("Sum","5802 Value Entry","17 Sales Amount (Actual)","41 Source Type",$C$5,"5 Source no.",$C876,"4 Item Ledger Entry Type",$C$4,"2 Item No.","@@"&amp;$F876,"3 Posting Date",U$9)</t>
  </si>
  <si>
    <t>=-NL("Sum","5802 Value Entry","151 Cost Amount (Expected)","41 Source Type",$C$5,"5 Source No.",$C876,"4 Item Ledger Entry Type",$C$4,"2 Item No.","@@"&amp;$F876,"3 Posting Date",U$9)-NL("Sum","5802 Value Entry","43 Cost Amount (Actual)","41 Source Type",$C$5,"5 Source no.",$C876,"4 Item Ledger Entry Type",$C$4,"2 Item No.","@@"&amp;$F876,"3 Posting Date",U$9)</t>
  </si>
  <si>
    <t>=U876-W876</t>
  </si>
  <si>
    <t>=IF(U876&lt;&gt;0,X876/U876,"")</t>
  </si>
  <si>
    <t>=NL("Sum","5802 Value Entry","150 Sales Amount (Expected)","41 Source Type",$C$5,"5 Source No.",$C876,"4 Item Ledger Entry Type",$C$4,"2 Item No.","@@"&amp;$F876,"3 Posting Date",Z$9)+NL("Sum","5802 Value Entry","17 Sales Amount (Actual)","41 Source Type",$C$5,"5 Source no.",$C876,"4 Item Ledger Entry Type",$C$4,"2 Item No.","@@"&amp;$F876,"3 Posting Date",Z$9)</t>
  </si>
  <si>
    <t>=-NL("Sum","5802 Value Entry","151 Cost Amount (Expected)","41 Source Type",$C$5,"5 Source No.",$C876,"4 Item Ledger Entry Type",$C$4,"2 Item No.","@@"&amp;$F876,"3 Posting Date",Z$9)-NL("Sum","5802 Value Entry","43 Cost Amount (Actual)","41 Source Type",$C$5,"5 Source no.",$C876,"4 Item Ledger Entry Type",$C$4,"2 Item No.","@@"&amp;$F876,"3 Posting Date",Z$9)</t>
  </si>
  <si>
    <t>=Z876-AB876</t>
  </si>
  <si>
    <t>=IF(Z876&lt;&gt;0,AC876/Z876,"")</t>
  </si>
  <si>
    <t>=C877</t>
  </si>
  <si>
    <t>=J878-L878</t>
  </si>
  <si>
    <t>=IF(J878&lt;&gt;0,M878/J878,"")</t>
  </si>
  <si>
    <t>=O878-Q878</t>
  </si>
  <si>
    <t>=IF(O878&lt;&gt;0,R878/O878,"")</t>
  </si>
  <si>
    <t>=U878-W878</t>
  </si>
  <si>
    <t>=IF(U878&lt;&gt;0,X878/U878,"")</t>
  </si>
  <si>
    <t>=Z878-AB878</t>
  </si>
  <si>
    <t>=IF(Z878&lt;&gt;0,AC878/Z878,"")</t>
  </si>
  <si>
    <t>=C880</t>
  </si>
  <si>
    <t>=C881</t>
  </si>
  <si>
    <t>=NL("Sum","5802 Value Entry","150 Sales Amount (Expected)","41 Source Type",$C$5,"5 Source No.",$C882,"4 Item Ledger Entry Type",$C$4,"2 Item No.","@@"&amp;$F882,"3 Posting Date",J$9)+NL("Sum","5802 Value Entry","17 Sales Amount (Actual)","41 Source Type",$C$5,"5 Source no.",$C882,"4 Item Ledger Entry Type",$C$4,"2 Item No.","@@"&amp;$F882,"3 Posting Date",J$9)</t>
  </si>
  <si>
    <t>=-NL("Sum","5802 Value Entry","151 Cost Amount (Expected)","41 Source Type",$C$5,"5 Source No.",$C882,"4 Item Ledger Entry Type",$C$4,"2 Item No.","@@"&amp;$F882,"3 Posting Date",J$9)-NL("Sum","5802 Value Entry","43 Cost Amount (Actual)","41 Source Type",$C$5,"5 Source no.",$C882,"4 Item Ledger Entry Type",$C$4,"2 Item No.","@@"&amp;$F882,"3 Posting Date",J$9)</t>
  </si>
  <si>
    <t>=J882-L882</t>
  </si>
  <si>
    <t>=IF(J882&lt;&gt;0,M882/J882,"")</t>
  </si>
  <si>
    <t>=NL("Sum","5802 Value Entry","150 Sales Amount (Expected)","41 Source Type",$C$5,"5 Source No.",$C882,"4 Item Ledger Entry Type",$C$4,"2 Item No.","@@"&amp;$F882,"3 Posting Date",O$9)+NL("Sum","5802 Value Entry","17 Sales Amount (Actual)","41 Source Type",$C$5,"5 Source no.",$C882,"4 Item Ledger Entry Type",$C$4,"2 Item No.","@@"&amp;$F882,"3 Posting Date",O$9)</t>
  </si>
  <si>
    <t>=-NL("Sum","5802 Value Entry","151 Cost Amount (Expected)","41 Source Type",$C$5,"5 Source No.",$C882,"4 Item Ledger Entry Type",$C$4,"2 Item No.","@@"&amp;$F882,"3 Posting Date",O$9)-NL("Sum","5802 Value Entry","43 Cost Amount (Actual)","41 Source Type",$C$5,"5 Source no.",$C882,"4 Item Ledger Entry Type",$C$4,"2 Item No.","@@"&amp;$F882,"3 Posting Date",O$9)</t>
  </si>
  <si>
    <t>=O882-Q882</t>
  </si>
  <si>
    <t>=IF(O882&lt;&gt;0,R882/O882,"")</t>
  </si>
  <si>
    <t>=NL("Sum","5802 Value Entry","150 Sales Amount (Expected)","41 Source Type",$C$5,"5 Source No.",$C882,"4 Item Ledger Entry Type",$C$4,"2 Item No.","@@"&amp;$F882,"3 Posting Date",U$9)+NL("Sum","5802 Value Entry","17 Sales Amount (Actual)","41 Source Type",$C$5,"5 Source no.",$C882,"4 Item Ledger Entry Type",$C$4,"2 Item No.","@@"&amp;$F882,"3 Posting Date",U$9)</t>
  </si>
  <si>
    <t>=-NL("Sum","5802 Value Entry","151 Cost Amount (Expected)","41 Source Type",$C$5,"5 Source No.",$C882,"4 Item Ledger Entry Type",$C$4,"2 Item No.","@@"&amp;$F882,"3 Posting Date",U$9)-NL("Sum","5802 Value Entry","43 Cost Amount (Actual)","41 Source Type",$C$5,"5 Source no.",$C882,"4 Item Ledger Entry Type",$C$4,"2 Item No.","@@"&amp;$F882,"3 Posting Date",U$9)</t>
  </si>
  <si>
    <t>=U882-W882</t>
  </si>
  <si>
    <t>=IF(U882&lt;&gt;0,X882/U882,"")</t>
  </si>
  <si>
    <t>=NL("Sum","5802 Value Entry","150 Sales Amount (Expected)","41 Source Type",$C$5,"5 Source No.",$C882,"4 Item Ledger Entry Type",$C$4,"2 Item No.","@@"&amp;$F882,"3 Posting Date",Z$9)+NL("Sum","5802 Value Entry","17 Sales Amount (Actual)","41 Source Type",$C$5,"5 Source no.",$C882,"4 Item Ledger Entry Type",$C$4,"2 Item No.","@@"&amp;$F882,"3 Posting Date",Z$9)</t>
  </si>
  <si>
    <t>=-NL("Sum","5802 Value Entry","151 Cost Amount (Expected)","41 Source Type",$C$5,"5 Source No.",$C882,"4 Item Ledger Entry Type",$C$4,"2 Item No.","@@"&amp;$F882,"3 Posting Date",Z$9)-NL("Sum","5802 Value Entry","43 Cost Amount (Actual)","41 Source Type",$C$5,"5 Source no.",$C882,"4 Item Ledger Entry Type",$C$4,"2 Item No.","@@"&amp;$F882,"3 Posting Date",Z$9)</t>
  </si>
  <si>
    <t>=Z882-AB882</t>
  </si>
  <si>
    <t>=IF(Z882&lt;&gt;0,AC882/Z882,"")</t>
  </si>
  <si>
    <t>=C882</t>
  </si>
  <si>
    <t>=NL("Sum","5802 Value Entry","150 Sales Amount (Expected)","41 Source Type",$C$5,"5 Source No.",$C883,"4 Item Ledger Entry Type",$C$4,"2 Item No.","@@"&amp;$F883,"3 Posting Date",J$9)+NL("Sum","5802 Value Entry","17 Sales Amount (Actual)","41 Source Type",$C$5,"5 Source no.",$C883,"4 Item Ledger Entry Type",$C$4,"2 Item No.","@@"&amp;$F883,"3 Posting Date",J$9)</t>
  </si>
  <si>
    <t>=-NL("Sum","5802 Value Entry","151 Cost Amount (Expected)","41 Source Type",$C$5,"5 Source No.",$C883,"4 Item Ledger Entry Type",$C$4,"2 Item No.","@@"&amp;$F883,"3 Posting Date",J$9)-NL("Sum","5802 Value Entry","43 Cost Amount (Actual)","41 Source Type",$C$5,"5 Source no.",$C883,"4 Item Ledger Entry Type",$C$4,"2 Item No.","@@"&amp;$F883,"3 Posting Date",J$9)</t>
  </si>
  <si>
    <t>=J883-L883</t>
  </si>
  <si>
    <t>=IF(J883&lt;&gt;0,M883/J883,"")</t>
  </si>
  <si>
    <t>=NL("Sum","5802 Value Entry","150 Sales Amount (Expected)","41 Source Type",$C$5,"5 Source No.",$C883,"4 Item Ledger Entry Type",$C$4,"2 Item No.","@@"&amp;$F883,"3 Posting Date",O$9)+NL("Sum","5802 Value Entry","17 Sales Amount (Actual)","41 Source Type",$C$5,"5 Source no.",$C883,"4 Item Ledger Entry Type",$C$4,"2 Item No.","@@"&amp;$F883,"3 Posting Date",O$9)</t>
  </si>
  <si>
    <t>=-NL("Sum","5802 Value Entry","151 Cost Amount (Expected)","41 Source Type",$C$5,"5 Source No.",$C883,"4 Item Ledger Entry Type",$C$4,"2 Item No.","@@"&amp;$F883,"3 Posting Date",O$9)-NL("Sum","5802 Value Entry","43 Cost Amount (Actual)","41 Source Type",$C$5,"5 Source no.",$C883,"4 Item Ledger Entry Type",$C$4,"2 Item No.","@@"&amp;$F883,"3 Posting Date",O$9)</t>
  </si>
  <si>
    <t>=O883-Q883</t>
  </si>
  <si>
    <t>=IF(O883&lt;&gt;0,R883/O883,"")</t>
  </si>
  <si>
    <t>=NL("Sum","5802 Value Entry","150 Sales Amount (Expected)","41 Source Type",$C$5,"5 Source No.",$C883,"4 Item Ledger Entry Type",$C$4,"2 Item No.","@@"&amp;$F883,"3 Posting Date",U$9)+NL("Sum","5802 Value Entry","17 Sales Amount (Actual)","41 Source Type",$C$5,"5 Source no.",$C883,"4 Item Ledger Entry Type",$C$4,"2 Item No.","@@"&amp;$F883,"3 Posting Date",U$9)</t>
  </si>
  <si>
    <t>=-NL("Sum","5802 Value Entry","151 Cost Amount (Expected)","41 Source Type",$C$5,"5 Source No.",$C883,"4 Item Ledger Entry Type",$C$4,"2 Item No.","@@"&amp;$F883,"3 Posting Date",U$9)-NL("Sum","5802 Value Entry","43 Cost Amount (Actual)","41 Source Type",$C$5,"5 Source no.",$C883,"4 Item Ledger Entry Type",$C$4,"2 Item No.","@@"&amp;$F883,"3 Posting Date",U$9)</t>
  </si>
  <si>
    <t>=U883-W883</t>
  </si>
  <si>
    <t>=IF(U883&lt;&gt;0,X883/U883,"")</t>
  </si>
  <si>
    <t>=NL("Sum","5802 Value Entry","150 Sales Amount (Expected)","41 Source Type",$C$5,"5 Source No.",$C883,"4 Item Ledger Entry Type",$C$4,"2 Item No.","@@"&amp;$F883,"3 Posting Date",Z$9)+NL("Sum","5802 Value Entry","17 Sales Amount (Actual)","41 Source Type",$C$5,"5 Source no.",$C883,"4 Item Ledger Entry Type",$C$4,"2 Item No.","@@"&amp;$F883,"3 Posting Date",Z$9)</t>
  </si>
  <si>
    <t>=-NL("Sum","5802 Value Entry","151 Cost Amount (Expected)","41 Source Type",$C$5,"5 Source No.",$C883,"4 Item Ledger Entry Type",$C$4,"2 Item No.","@@"&amp;$F883,"3 Posting Date",Z$9)-NL("Sum","5802 Value Entry","43 Cost Amount (Actual)","41 Source Type",$C$5,"5 Source no.",$C883,"4 Item Ledger Entry Type",$C$4,"2 Item No.","@@"&amp;$F883,"3 Posting Date",Z$9)</t>
  </si>
  <si>
    <t>=Z883-AB883</t>
  </si>
  <si>
    <t>=IF(Z883&lt;&gt;0,AC883/Z883,"")</t>
  </si>
  <si>
    <t>=C883</t>
  </si>
  <si>
    <t>=NL("Sum","5802 Value Entry","150 Sales Amount (Expected)","41 Source Type",$C$5,"5 Source No.",$C884,"4 Item Ledger Entry Type",$C$4,"2 Item No.","@@"&amp;$F884,"3 Posting Date",J$9)+NL("Sum","5802 Value Entry","17 Sales Amount (Actual)","41 Source Type",$C$5,"5 Source no.",$C884,"4 Item Ledger Entry Type",$C$4,"2 Item No.","@@"&amp;$F884,"3 Posting Date",J$9)</t>
  </si>
  <si>
    <t>=-NL("Sum","5802 Value Entry","151 Cost Amount (Expected)","41 Source Type",$C$5,"5 Source No.",$C884,"4 Item Ledger Entry Type",$C$4,"2 Item No.","@@"&amp;$F884,"3 Posting Date",J$9)-NL("Sum","5802 Value Entry","43 Cost Amount (Actual)","41 Source Type",$C$5,"5 Source no.",$C884,"4 Item Ledger Entry Type",$C$4,"2 Item No.","@@"&amp;$F884,"3 Posting Date",J$9)</t>
  </si>
  <si>
    <t>=J884-L884</t>
  </si>
  <si>
    <t>=IF(J884&lt;&gt;0,M884/J884,"")</t>
  </si>
  <si>
    <t>=NL("Sum","5802 Value Entry","150 Sales Amount (Expected)","41 Source Type",$C$5,"5 Source No.",$C884,"4 Item Ledger Entry Type",$C$4,"2 Item No.","@@"&amp;$F884,"3 Posting Date",O$9)+NL("Sum","5802 Value Entry","17 Sales Amount (Actual)","41 Source Type",$C$5,"5 Source no.",$C884,"4 Item Ledger Entry Type",$C$4,"2 Item No.","@@"&amp;$F884,"3 Posting Date",O$9)</t>
  </si>
  <si>
    <t>=-NL("Sum","5802 Value Entry","151 Cost Amount (Expected)","41 Source Type",$C$5,"5 Source No.",$C884,"4 Item Ledger Entry Type",$C$4,"2 Item No.","@@"&amp;$F884,"3 Posting Date",O$9)-NL("Sum","5802 Value Entry","43 Cost Amount (Actual)","41 Source Type",$C$5,"5 Source no.",$C884,"4 Item Ledger Entry Type",$C$4,"2 Item No.","@@"&amp;$F884,"3 Posting Date",O$9)</t>
  </si>
  <si>
    <t>=O884-Q884</t>
  </si>
  <si>
    <t>=IF(O884&lt;&gt;0,R884/O884,"")</t>
  </si>
  <si>
    <t>=NL("Sum","5802 Value Entry","150 Sales Amount (Expected)","41 Source Type",$C$5,"5 Source No.",$C884,"4 Item Ledger Entry Type",$C$4,"2 Item No.","@@"&amp;$F884,"3 Posting Date",U$9)+NL("Sum","5802 Value Entry","17 Sales Amount (Actual)","41 Source Type",$C$5,"5 Source no.",$C884,"4 Item Ledger Entry Type",$C$4,"2 Item No.","@@"&amp;$F884,"3 Posting Date",U$9)</t>
  </si>
  <si>
    <t>=-NL("Sum","5802 Value Entry","151 Cost Amount (Expected)","41 Source Type",$C$5,"5 Source No.",$C884,"4 Item Ledger Entry Type",$C$4,"2 Item No.","@@"&amp;$F884,"3 Posting Date",U$9)-NL("Sum","5802 Value Entry","43 Cost Amount (Actual)","41 Source Type",$C$5,"5 Source no.",$C884,"4 Item Ledger Entry Type",$C$4,"2 Item No.","@@"&amp;$F884,"3 Posting Date",U$9)</t>
  </si>
  <si>
    <t>=U884-W884</t>
  </si>
  <si>
    <t>=IF(U884&lt;&gt;0,X884/U884,"")</t>
  </si>
  <si>
    <t>=NL("Sum","5802 Value Entry","150 Sales Amount (Expected)","41 Source Type",$C$5,"5 Source No.",$C884,"4 Item Ledger Entry Type",$C$4,"2 Item No.","@@"&amp;$F884,"3 Posting Date",Z$9)+NL("Sum","5802 Value Entry","17 Sales Amount (Actual)","41 Source Type",$C$5,"5 Source no.",$C884,"4 Item Ledger Entry Type",$C$4,"2 Item No.","@@"&amp;$F884,"3 Posting Date",Z$9)</t>
  </si>
  <si>
    <t>=-NL("Sum","5802 Value Entry","151 Cost Amount (Expected)","41 Source Type",$C$5,"5 Source No.",$C884,"4 Item Ledger Entry Type",$C$4,"2 Item No.","@@"&amp;$F884,"3 Posting Date",Z$9)-NL("Sum","5802 Value Entry","43 Cost Amount (Actual)","41 Source Type",$C$5,"5 Source no.",$C884,"4 Item Ledger Entry Type",$C$4,"2 Item No.","@@"&amp;$F884,"3 Posting Date",Z$9)</t>
  </si>
  <si>
    <t>=Z884-AB884</t>
  </si>
  <si>
    <t>=IF(Z884&lt;&gt;0,AC884/Z884,"")</t>
  </si>
  <si>
    <t>=C884</t>
  </si>
  <si>
    <t>=NL("Sum","5802 Value Entry","150 Sales Amount (Expected)","41 Source Type",$C$5,"5 Source No.",$C885,"4 Item Ledger Entry Type",$C$4,"2 Item No.","@@"&amp;$F885,"3 Posting Date",J$9)+NL("Sum","5802 Value Entry","17 Sales Amount (Actual)","41 Source Type",$C$5,"5 Source no.",$C885,"4 Item Ledger Entry Type",$C$4,"2 Item No.","@@"&amp;$F885,"3 Posting Date",J$9)</t>
  </si>
  <si>
    <t>=-NL("Sum","5802 Value Entry","151 Cost Amount (Expected)","41 Source Type",$C$5,"5 Source No.",$C885,"4 Item Ledger Entry Type",$C$4,"2 Item No.","@@"&amp;$F885,"3 Posting Date",J$9)-NL("Sum","5802 Value Entry","43 Cost Amount (Actual)","41 Source Type",$C$5,"5 Source no.",$C885,"4 Item Ledger Entry Type",$C$4,"2 Item No.","@@"&amp;$F885,"3 Posting Date",J$9)</t>
  </si>
  <si>
    <t>=J885-L885</t>
  </si>
  <si>
    <t>=IF(J885&lt;&gt;0,M885/J885,"")</t>
  </si>
  <si>
    <t>=NL("Sum","5802 Value Entry","150 Sales Amount (Expected)","41 Source Type",$C$5,"5 Source No.",$C885,"4 Item Ledger Entry Type",$C$4,"2 Item No.","@@"&amp;$F885,"3 Posting Date",O$9)+NL("Sum","5802 Value Entry","17 Sales Amount (Actual)","41 Source Type",$C$5,"5 Source no.",$C885,"4 Item Ledger Entry Type",$C$4,"2 Item No.","@@"&amp;$F885,"3 Posting Date",O$9)</t>
  </si>
  <si>
    <t>=-NL("Sum","5802 Value Entry","151 Cost Amount (Expected)","41 Source Type",$C$5,"5 Source No.",$C885,"4 Item Ledger Entry Type",$C$4,"2 Item No.","@@"&amp;$F885,"3 Posting Date",O$9)-NL("Sum","5802 Value Entry","43 Cost Amount (Actual)","41 Source Type",$C$5,"5 Source no.",$C885,"4 Item Ledger Entry Type",$C$4,"2 Item No.","@@"&amp;$F885,"3 Posting Date",O$9)</t>
  </si>
  <si>
    <t>=O885-Q885</t>
  </si>
  <si>
    <t>=IF(O885&lt;&gt;0,R885/O885,"")</t>
  </si>
  <si>
    <t>=NL("Sum","5802 Value Entry","150 Sales Amount (Expected)","41 Source Type",$C$5,"5 Source No.",$C885,"4 Item Ledger Entry Type",$C$4,"2 Item No.","@@"&amp;$F885,"3 Posting Date",U$9)+NL("Sum","5802 Value Entry","17 Sales Amount (Actual)","41 Source Type",$C$5,"5 Source no.",$C885,"4 Item Ledger Entry Type",$C$4,"2 Item No.","@@"&amp;$F885,"3 Posting Date",U$9)</t>
  </si>
  <si>
    <t>=-NL("Sum","5802 Value Entry","151 Cost Amount (Expected)","41 Source Type",$C$5,"5 Source No.",$C885,"4 Item Ledger Entry Type",$C$4,"2 Item No.","@@"&amp;$F885,"3 Posting Date",U$9)-NL("Sum","5802 Value Entry","43 Cost Amount (Actual)","41 Source Type",$C$5,"5 Source no.",$C885,"4 Item Ledger Entry Type",$C$4,"2 Item No.","@@"&amp;$F885,"3 Posting Date",U$9)</t>
  </si>
  <si>
    <t>=U885-W885</t>
  </si>
  <si>
    <t>=IF(U885&lt;&gt;0,X885/U885,"")</t>
  </si>
  <si>
    <t>=NL("Sum","5802 Value Entry","150 Sales Amount (Expected)","41 Source Type",$C$5,"5 Source No.",$C885,"4 Item Ledger Entry Type",$C$4,"2 Item No.","@@"&amp;$F885,"3 Posting Date",Z$9)+NL("Sum","5802 Value Entry","17 Sales Amount (Actual)","41 Source Type",$C$5,"5 Source no.",$C885,"4 Item Ledger Entry Type",$C$4,"2 Item No.","@@"&amp;$F885,"3 Posting Date",Z$9)</t>
  </si>
  <si>
    <t>=-NL("Sum","5802 Value Entry","151 Cost Amount (Expected)","41 Source Type",$C$5,"5 Source No.",$C885,"4 Item Ledger Entry Type",$C$4,"2 Item No.","@@"&amp;$F885,"3 Posting Date",Z$9)-NL("Sum","5802 Value Entry","43 Cost Amount (Actual)","41 Source Type",$C$5,"5 Source no.",$C885,"4 Item Ledger Entry Type",$C$4,"2 Item No.","@@"&amp;$F885,"3 Posting Date",Z$9)</t>
  </si>
  <si>
    <t>=Z885-AB885</t>
  </si>
  <si>
    <t>=IF(Z885&lt;&gt;0,AC885/Z885,"")</t>
  </si>
  <si>
    <t>=C885</t>
  </si>
  <si>
    <t>=NL("Sum","5802 Value Entry","150 Sales Amount (Expected)","41 Source Type",$C$5,"5 Source No.",$C886,"4 Item Ledger Entry Type",$C$4,"2 Item No.","@@"&amp;$F886,"3 Posting Date",J$9)+NL("Sum","5802 Value Entry","17 Sales Amount (Actual)","41 Source Type",$C$5,"5 Source no.",$C886,"4 Item Ledger Entry Type",$C$4,"2 Item No.","@@"&amp;$F886,"3 Posting Date",J$9)</t>
  </si>
  <si>
    <t>=-NL("Sum","5802 Value Entry","151 Cost Amount (Expected)","41 Source Type",$C$5,"5 Source No.",$C886,"4 Item Ledger Entry Type",$C$4,"2 Item No.","@@"&amp;$F886,"3 Posting Date",J$9)-NL("Sum","5802 Value Entry","43 Cost Amount (Actual)","41 Source Type",$C$5,"5 Source no.",$C886,"4 Item Ledger Entry Type",$C$4,"2 Item No.","@@"&amp;$F886,"3 Posting Date",J$9)</t>
  </si>
  <si>
    <t>=J886-L886</t>
  </si>
  <si>
    <t>=IF(J886&lt;&gt;0,M886/J886,"")</t>
  </si>
  <si>
    <t>=NL("Sum","5802 Value Entry","150 Sales Amount (Expected)","41 Source Type",$C$5,"5 Source No.",$C886,"4 Item Ledger Entry Type",$C$4,"2 Item No.","@@"&amp;$F886,"3 Posting Date",O$9)+NL("Sum","5802 Value Entry","17 Sales Amount (Actual)","41 Source Type",$C$5,"5 Source no.",$C886,"4 Item Ledger Entry Type",$C$4,"2 Item No.","@@"&amp;$F886,"3 Posting Date",O$9)</t>
  </si>
  <si>
    <t>=-NL("Sum","5802 Value Entry","151 Cost Amount (Expected)","41 Source Type",$C$5,"5 Source No.",$C886,"4 Item Ledger Entry Type",$C$4,"2 Item No.","@@"&amp;$F886,"3 Posting Date",O$9)-NL("Sum","5802 Value Entry","43 Cost Amount (Actual)","41 Source Type",$C$5,"5 Source no.",$C886,"4 Item Ledger Entry Type",$C$4,"2 Item No.","@@"&amp;$F886,"3 Posting Date",O$9)</t>
  </si>
  <si>
    <t>=O886-Q886</t>
  </si>
  <si>
    <t>=IF(O886&lt;&gt;0,R886/O886,"")</t>
  </si>
  <si>
    <t>=NL("Sum","5802 Value Entry","150 Sales Amount (Expected)","41 Source Type",$C$5,"5 Source No.",$C886,"4 Item Ledger Entry Type",$C$4,"2 Item No.","@@"&amp;$F886,"3 Posting Date",U$9)+NL("Sum","5802 Value Entry","17 Sales Amount (Actual)","41 Source Type",$C$5,"5 Source no.",$C886,"4 Item Ledger Entry Type",$C$4,"2 Item No.","@@"&amp;$F886,"3 Posting Date",U$9)</t>
  </si>
  <si>
    <t>=-NL("Sum","5802 Value Entry","151 Cost Amount (Expected)","41 Source Type",$C$5,"5 Source No.",$C886,"4 Item Ledger Entry Type",$C$4,"2 Item No.","@@"&amp;$F886,"3 Posting Date",U$9)-NL("Sum","5802 Value Entry","43 Cost Amount (Actual)","41 Source Type",$C$5,"5 Source no.",$C886,"4 Item Ledger Entry Type",$C$4,"2 Item No.","@@"&amp;$F886,"3 Posting Date",U$9)</t>
  </si>
  <si>
    <t>=U886-W886</t>
  </si>
  <si>
    <t>=IF(U886&lt;&gt;0,X886/U886,"")</t>
  </si>
  <si>
    <t>=NL("Sum","5802 Value Entry","150 Sales Amount (Expected)","41 Source Type",$C$5,"5 Source No.",$C886,"4 Item Ledger Entry Type",$C$4,"2 Item No.","@@"&amp;$F886,"3 Posting Date",Z$9)+NL("Sum","5802 Value Entry","17 Sales Amount (Actual)","41 Source Type",$C$5,"5 Source no.",$C886,"4 Item Ledger Entry Type",$C$4,"2 Item No.","@@"&amp;$F886,"3 Posting Date",Z$9)</t>
  </si>
  <si>
    <t>=-NL("Sum","5802 Value Entry","151 Cost Amount (Expected)","41 Source Type",$C$5,"5 Source No.",$C886,"4 Item Ledger Entry Type",$C$4,"2 Item No.","@@"&amp;$F886,"3 Posting Date",Z$9)-NL("Sum","5802 Value Entry","43 Cost Amount (Actual)","41 Source Type",$C$5,"5 Source no.",$C886,"4 Item Ledger Entry Type",$C$4,"2 Item No.","@@"&amp;$F886,"3 Posting Date",Z$9)</t>
  </si>
  <si>
    <t>=Z886-AB886</t>
  </si>
  <si>
    <t>=IF(Z886&lt;&gt;0,AC886/Z886,"")</t>
  </si>
  <si>
    <t>=C886</t>
  </si>
  <si>
    <t>=NL("Sum","5802 Value Entry","150 Sales Amount (Expected)","41 Source Type",$C$5,"5 Source No.",$C887,"4 Item Ledger Entry Type",$C$4,"2 Item No.","@@"&amp;$F887,"3 Posting Date",J$9)+NL("Sum","5802 Value Entry","17 Sales Amount (Actual)","41 Source Type",$C$5,"5 Source no.",$C887,"4 Item Ledger Entry Type",$C$4,"2 Item No.","@@"&amp;$F887,"3 Posting Date",J$9)</t>
  </si>
  <si>
    <t>=-NL("Sum","5802 Value Entry","151 Cost Amount (Expected)","41 Source Type",$C$5,"5 Source No.",$C887,"4 Item Ledger Entry Type",$C$4,"2 Item No.","@@"&amp;$F887,"3 Posting Date",J$9)-NL("Sum","5802 Value Entry","43 Cost Amount (Actual)","41 Source Type",$C$5,"5 Source no.",$C887,"4 Item Ledger Entry Type",$C$4,"2 Item No.","@@"&amp;$F887,"3 Posting Date",J$9)</t>
  </si>
  <si>
    <t>=J887-L887</t>
  </si>
  <si>
    <t>=IF(J887&lt;&gt;0,M887/J887,"")</t>
  </si>
  <si>
    <t>=NL("Sum","5802 Value Entry","150 Sales Amount (Expected)","41 Source Type",$C$5,"5 Source No.",$C887,"4 Item Ledger Entry Type",$C$4,"2 Item No.","@@"&amp;$F887,"3 Posting Date",O$9)+NL("Sum","5802 Value Entry","17 Sales Amount (Actual)","41 Source Type",$C$5,"5 Source no.",$C887,"4 Item Ledger Entry Type",$C$4,"2 Item No.","@@"&amp;$F887,"3 Posting Date",O$9)</t>
  </si>
  <si>
    <t>=-NL("Sum","5802 Value Entry","151 Cost Amount (Expected)","41 Source Type",$C$5,"5 Source No.",$C887,"4 Item Ledger Entry Type",$C$4,"2 Item No.","@@"&amp;$F887,"3 Posting Date",O$9)-NL("Sum","5802 Value Entry","43 Cost Amount (Actual)","41 Source Type",$C$5,"5 Source no.",$C887,"4 Item Ledger Entry Type",$C$4,"2 Item No.","@@"&amp;$F887,"3 Posting Date",O$9)</t>
  </si>
  <si>
    <t>=O887-Q887</t>
  </si>
  <si>
    <t>=IF(O887&lt;&gt;0,R887/O887,"")</t>
  </si>
  <si>
    <t>=NL("Sum","5802 Value Entry","150 Sales Amount (Expected)","41 Source Type",$C$5,"5 Source No.",$C887,"4 Item Ledger Entry Type",$C$4,"2 Item No.","@@"&amp;$F887,"3 Posting Date",U$9)+NL("Sum","5802 Value Entry","17 Sales Amount (Actual)","41 Source Type",$C$5,"5 Source no.",$C887,"4 Item Ledger Entry Type",$C$4,"2 Item No.","@@"&amp;$F887,"3 Posting Date",U$9)</t>
  </si>
  <si>
    <t>=-NL("Sum","5802 Value Entry","151 Cost Amount (Expected)","41 Source Type",$C$5,"5 Source No.",$C887,"4 Item Ledger Entry Type",$C$4,"2 Item No.","@@"&amp;$F887,"3 Posting Date",U$9)-NL("Sum","5802 Value Entry","43 Cost Amount (Actual)","41 Source Type",$C$5,"5 Source no.",$C887,"4 Item Ledger Entry Type",$C$4,"2 Item No.","@@"&amp;$F887,"3 Posting Date",U$9)</t>
  </si>
  <si>
    <t>=U887-W887</t>
  </si>
  <si>
    <t>=IF(U887&lt;&gt;0,X887/U887,"")</t>
  </si>
  <si>
    <t>=NL("Sum","5802 Value Entry","150 Sales Amount (Expected)","41 Source Type",$C$5,"5 Source No.",$C887,"4 Item Ledger Entry Type",$C$4,"2 Item No.","@@"&amp;$F887,"3 Posting Date",Z$9)+NL("Sum","5802 Value Entry","17 Sales Amount (Actual)","41 Source Type",$C$5,"5 Source no.",$C887,"4 Item Ledger Entry Type",$C$4,"2 Item No.","@@"&amp;$F887,"3 Posting Date",Z$9)</t>
  </si>
  <si>
    <t>=-NL("Sum","5802 Value Entry","151 Cost Amount (Expected)","41 Source Type",$C$5,"5 Source No.",$C887,"4 Item Ledger Entry Type",$C$4,"2 Item No.","@@"&amp;$F887,"3 Posting Date",Z$9)-NL("Sum","5802 Value Entry","43 Cost Amount (Actual)","41 Source Type",$C$5,"5 Source no.",$C887,"4 Item Ledger Entry Type",$C$4,"2 Item No.","@@"&amp;$F887,"3 Posting Date",Z$9)</t>
  </si>
  <si>
    <t>=Z887-AB887</t>
  </si>
  <si>
    <t>=IF(Z887&lt;&gt;0,AC887/Z887,"")</t>
  </si>
  <si>
    <t>=C887</t>
  </si>
  <si>
    <t>=NL("Sum","5802 Value Entry","150 Sales Amount (Expected)","41 Source Type",$C$5,"5 Source No.",$C888,"4 Item Ledger Entry Type",$C$4,"2 Item No.","@@"&amp;$F888,"3 Posting Date",J$9)+NL("Sum","5802 Value Entry","17 Sales Amount (Actual)","41 Source Type",$C$5,"5 Source no.",$C888,"4 Item Ledger Entry Type",$C$4,"2 Item No.","@@"&amp;$F888,"3 Posting Date",J$9)</t>
  </si>
  <si>
    <t>=-NL("Sum","5802 Value Entry","151 Cost Amount (Expected)","41 Source Type",$C$5,"5 Source No.",$C888,"4 Item Ledger Entry Type",$C$4,"2 Item No.","@@"&amp;$F888,"3 Posting Date",J$9)-NL("Sum","5802 Value Entry","43 Cost Amount (Actual)","41 Source Type",$C$5,"5 Source no.",$C888,"4 Item Ledger Entry Type",$C$4,"2 Item No.","@@"&amp;$F888,"3 Posting Date",J$9)</t>
  </si>
  <si>
    <t>=J888-L888</t>
  </si>
  <si>
    <t>=IF(J888&lt;&gt;0,M888/J888,"")</t>
  </si>
  <si>
    <t>=NL("Sum","5802 Value Entry","150 Sales Amount (Expected)","41 Source Type",$C$5,"5 Source No.",$C888,"4 Item Ledger Entry Type",$C$4,"2 Item No.","@@"&amp;$F888,"3 Posting Date",O$9)+NL("Sum","5802 Value Entry","17 Sales Amount (Actual)","41 Source Type",$C$5,"5 Source no.",$C888,"4 Item Ledger Entry Type",$C$4,"2 Item No.","@@"&amp;$F888,"3 Posting Date",O$9)</t>
  </si>
  <si>
    <t>=-NL("Sum","5802 Value Entry","151 Cost Amount (Expected)","41 Source Type",$C$5,"5 Source No.",$C888,"4 Item Ledger Entry Type",$C$4,"2 Item No.","@@"&amp;$F888,"3 Posting Date",O$9)-NL("Sum","5802 Value Entry","43 Cost Amount (Actual)","41 Source Type",$C$5,"5 Source no.",$C888,"4 Item Ledger Entry Type",$C$4,"2 Item No.","@@"&amp;$F888,"3 Posting Date",O$9)</t>
  </si>
  <si>
    <t>=O888-Q888</t>
  </si>
  <si>
    <t>=IF(O888&lt;&gt;0,R888/O888,"")</t>
  </si>
  <si>
    <t>=NL("Sum","5802 Value Entry","150 Sales Amount (Expected)","41 Source Type",$C$5,"5 Source No.",$C888,"4 Item Ledger Entry Type",$C$4,"2 Item No.","@@"&amp;$F888,"3 Posting Date",U$9)+NL("Sum","5802 Value Entry","17 Sales Amount (Actual)","41 Source Type",$C$5,"5 Source no.",$C888,"4 Item Ledger Entry Type",$C$4,"2 Item No.","@@"&amp;$F888,"3 Posting Date",U$9)</t>
  </si>
  <si>
    <t>=-NL("Sum","5802 Value Entry","151 Cost Amount (Expected)","41 Source Type",$C$5,"5 Source No.",$C888,"4 Item Ledger Entry Type",$C$4,"2 Item No.","@@"&amp;$F888,"3 Posting Date",U$9)-NL("Sum","5802 Value Entry","43 Cost Amount (Actual)","41 Source Type",$C$5,"5 Source no.",$C888,"4 Item Ledger Entry Type",$C$4,"2 Item No.","@@"&amp;$F888,"3 Posting Date",U$9)</t>
  </si>
  <si>
    <t>=U888-W888</t>
  </si>
  <si>
    <t>=IF(U888&lt;&gt;0,X888/U888,"")</t>
  </si>
  <si>
    <t>=NL("Sum","5802 Value Entry","150 Sales Amount (Expected)","41 Source Type",$C$5,"5 Source No.",$C888,"4 Item Ledger Entry Type",$C$4,"2 Item No.","@@"&amp;$F888,"3 Posting Date",Z$9)+NL("Sum","5802 Value Entry","17 Sales Amount (Actual)","41 Source Type",$C$5,"5 Source no.",$C888,"4 Item Ledger Entry Type",$C$4,"2 Item No.","@@"&amp;$F888,"3 Posting Date",Z$9)</t>
  </si>
  <si>
    <t>=-NL("Sum","5802 Value Entry","151 Cost Amount (Expected)","41 Source Type",$C$5,"5 Source No.",$C888,"4 Item Ledger Entry Type",$C$4,"2 Item No.","@@"&amp;$F888,"3 Posting Date",Z$9)-NL("Sum","5802 Value Entry","43 Cost Amount (Actual)","41 Source Type",$C$5,"5 Source no.",$C888,"4 Item Ledger Entry Type",$C$4,"2 Item No.","@@"&amp;$F888,"3 Posting Date",Z$9)</t>
  </si>
  <si>
    <t>=Z888-AB888</t>
  </si>
  <si>
    <t>=IF(Z888&lt;&gt;0,AC888/Z888,"")</t>
  </si>
  <si>
    <t>=C888</t>
  </si>
  <si>
    <t>=NL("Sum","5802 Value Entry","150 Sales Amount (Expected)","41 Source Type",$C$5,"5 Source No.",$C889,"4 Item Ledger Entry Type",$C$4,"2 Item No.","@@"&amp;$F889,"3 Posting Date",J$9)+NL("Sum","5802 Value Entry","17 Sales Amount (Actual)","41 Source Type",$C$5,"5 Source no.",$C889,"4 Item Ledger Entry Type",$C$4,"2 Item No.","@@"&amp;$F889,"3 Posting Date",J$9)</t>
  </si>
  <si>
    <t>=-NL("Sum","5802 Value Entry","151 Cost Amount (Expected)","41 Source Type",$C$5,"5 Source No.",$C889,"4 Item Ledger Entry Type",$C$4,"2 Item No.","@@"&amp;$F889,"3 Posting Date",J$9)-NL("Sum","5802 Value Entry","43 Cost Amount (Actual)","41 Source Type",$C$5,"5 Source no.",$C889,"4 Item Ledger Entry Type",$C$4,"2 Item No.","@@"&amp;$F889,"3 Posting Date",J$9)</t>
  </si>
  <si>
    <t>=J889-L889</t>
  </si>
  <si>
    <t>=IF(J889&lt;&gt;0,M889/J889,"")</t>
  </si>
  <si>
    <t>=NL("Sum","5802 Value Entry","150 Sales Amount (Expected)","41 Source Type",$C$5,"5 Source No.",$C889,"4 Item Ledger Entry Type",$C$4,"2 Item No.","@@"&amp;$F889,"3 Posting Date",O$9)+NL("Sum","5802 Value Entry","17 Sales Amount (Actual)","41 Source Type",$C$5,"5 Source no.",$C889,"4 Item Ledger Entry Type",$C$4,"2 Item No.","@@"&amp;$F889,"3 Posting Date",O$9)</t>
  </si>
  <si>
    <t>=-NL("Sum","5802 Value Entry","151 Cost Amount (Expected)","41 Source Type",$C$5,"5 Source No.",$C889,"4 Item Ledger Entry Type",$C$4,"2 Item No.","@@"&amp;$F889,"3 Posting Date",O$9)-NL("Sum","5802 Value Entry","43 Cost Amount (Actual)","41 Source Type",$C$5,"5 Source no.",$C889,"4 Item Ledger Entry Type",$C$4,"2 Item No.","@@"&amp;$F889,"3 Posting Date",O$9)</t>
  </si>
  <si>
    <t>=O889-Q889</t>
  </si>
  <si>
    <t>=IF(O889&lt;&gt;0,R889/O889,"")</t>
  </si>
  <si>
    <t>=NL("Sum","5802 Value Entry","150 Sales Amount (Expected)","41 Source Type",$C$5,"5 Source No.",$C889,"4 Item Ledger Entry Type",$C$4,"2 Item No.","@@"&amp;$F889,"3 Posting Date",U$9)+NL("Sum","5802 Value Entry","17 Sales Amount (Actual)","41 Source Type",$C$5,"5 Source no.",$C889,"4 Item Ledger Entry Type",$C$4,"2 Item No.","@@"&amp;$F889,"3 Posting Date",U$9)</t>
  </si>
  <si>
    <t>=-NL("Sum","5802 Value Entry","151 Cost Amount (Expected)","41 Source Type",$C$5,"5 Source No.",$C889,"4 Item Ledger Entry Type",$C$4,"2 Item No.","@@"&amp;$F889,"3 Posting Date",U$9)-NL("Sum","5802 Value Entry","43 Cost Amount (Actual)","41 Source Type",$C$5,"5 Source no.",$C889,"4 Item Ledger Entry Type",$C$4,"2 Item No.","@@"&amp;$F889,"3 Posting Date",U$9)</t>
  </si>
  <si>
    <t>=U889-W889</t>
  </si>
  <si>
    <t>=IF(U889&lt;&gt;0,X889/U889,"")</t>
  </si>
  <si>
    <t>=NL("Sum","5802 Value Entry","150 Sales Amount (Expected)","41 Source Type",$C$5,"5 Source No.",$C889,"4 Item Ledger Entry Type",$C$4,"2 Item No.","@@"&amp;$F889,"3 Posting Date",Z$9)+NL("Sum","5802 Value Entry","17 Sales Amount (Actual)","41 Source Type",$C$5,"5 Source no.",$C889,"4 Item Ledger Entry Type",$C$4,"2 Item No.","@@"&amp;$F889,"3 Posting Date",Z$9)</t>
  </si>
  <si>
    <t>=-NL("Sum","5802 Value Entry","151 Cost Amount (Expected)","41 Source Type",$C$5,"5 Source No.",$C889,"4 Item Ledger Entry Type",$C$4,"2 Item No.","@@"&amp;$F889,"3 Posting Date",Z$9)-NL("Sum","5802 Value Entry","43 Cost Amount (Actual)","41 Source Type",$C$5,"5 Source no.",$C889,"4 Item Ledger Entry Type",$C$4,"2 Item No.","@@"&amp;$F889,"3 Posting Date",Z$9)</t>
  </si>
  <si>
    <t>=Z889-AB889</t>
  </si>
  <si>
    <t>=IF(Z889&lt;&gt;0,AC889/Z889,"")</t>
  </si>
  <si>
    <t>=C889</t>
  </si>
  <si>
    <t>=NL("Sum","5802 Value Entry","150 Sales Amount (Expected)","41 Source Type",$C$5,"5 Source No.",$C890,"4 Item Ledger Entry Type",$C$4,"2 Item No.","@@"&amp;$F890,"3 Posting Date",J$9)+NL("Sum","5802 Value Entry","17 Sales Amount (Actual)","41 Source Type",$C$5,"5 Source no.",$C890,"4 Item Ledger Entry Type",$C$4,"2 Item No.","@@"&amp;$F890,"3 Posting Date",J$9)</t>
  </si>
  <si>
    <t>=-NL("Sum","5802 Value Entry","151 Cost Amount (Expected)","41 Source Type",$C$5,"5 Source No.",$C890,"4 Item Ledger Entry Type",$C$4,"2 Item No.","@@"&amp;$F890,"3 Posting Date",J$9)-NL("Sum","5802 Value Entry","43 Cost Amount (Actual)","41 Source Type",$C$5,"5 Source no.",$C890,"4 Item Ledger Entry Type",$C$4,"2 Item No.","@@"&amp;$F890,"3 Posting Date",J$9)</t>
  </si>
  <si>
    <t>=J890-L890</t>
  </si>
  <si>
    <t>=IF(J890&lt;&gt;0,M890/J890,"")</t>
  </si>
  <si>
    <t>=NL("Sum","5802 Value Entry","150 Sales Amount (Expected)","41 Source Type",$C$5,"5 Source No.",$C890,"4 Item Ledger Entry Type",$C$4,"2 Item No.","@@"&amp;$F890,"3 Posting Date",O$9)+NL("Sum","5802 Value Entry","17 Sales Amount (Actual)","41 Source Type",$C$5,"5 Source no.",$C890,"4 Item Ledger Entry Type",$C$4,"2 Item No.","@@"&amp;$F890,"3 Posting Date",O$9)</t>
  </si>
  <si>
    <t>=-NL("Sum","5802 Value Entry","151 Cost Amount (Expected)","41 Source Type",$C$5,"5 Source No.",$C890,"4 Item Ledger Entry Type",$C$4,"2 Item No.","@@"&amp;$F890,"3 Posting Date",O$9)-NL("Sum","5802 Value Entry","43 Cost Amount (Actual)","41 Source Type",$C$5,"5 Source no.",$C890,"4 Item Ledger Entry Type",$C$4,"2 Item No.","@@"&amp;$F890,"3 Posting Date",O$9)</t>
  </si>
  <si>
    <t>=O890-Q890</t>
  </si>
  <si>
    <t>=IF(O890&lt;&gt;0,R890/O890,"")</t>
  </si>
  <si>
    <t>=NL("Sum","5802 Value Entry","150 Sales Amount (Expected)","41 Source Type",$C$5,"5 Source No.",$C890,"4 Item Ledger Entry Type",$C$4,"2 Item No.","@@"&amp;$F890,"3 Posting Date",U$9)+NL("Sum","5802 Value Entry","17 Sales Amount (Actual)","41 Source Type",$C$5,"5 Source no.",$C890,"4 Item Ledger Entry Type",$C$4,"2 Item No.","@@"&amp;$F890,"3 Posting Date",U$9)</t>
  </si>
  <si>
    <t>=-NL("Sum","5802 Value Entry","151 Cost Amount (Expected)","41 Source Type",$C$5,"5 Source No.",$C890,"4 Item Ledger Entry Type",$C$4,"2 Item No.","@@"&amp;$F890,"3 Posting Date",U$9)-NL("Sum","5802 Value Entry","43 Cost Amount (Actual)","41 Source Type",$C$5,"5 Source no.",$C890,"4 Item Ledger Entry Type",$C$4,"2 Item No.","@@"&amp;$F890,"3 Posting Date",U$9)</t>
  </si>
  <si>
    <t>=U890-W890</t>
  </si>
  <si>
    <t>=IF(U890&lt;&gt;0,X890/U890,"")</t>
  </si>
  <si>
    <t>=NL("Sum","5802 Value Entry","150 Sales Amount (Expected)","41 Source Type",$C$5,"5 Source No.",$C890,"4 Item Ledger Entry Type",$C$4,"2 Item No.","@@"&amp;$F890,"3 Posting Date",Z$9)+NL("Sum","5802 Value Entry","17 Sales Amount (Actual)","41 Source Type",$C$5,"5 Source no.",$C890,"4 Item Ledger Entry Type",$C$4,"2 Item No.","@@"&amp;$F890,"3 Posting Date",Z$9)</t>
  </si>
  <si>
    <t>=-NL("Sum","5802 Value Entry","151 Cost Amount (Expected)","41 Source Type",$C$5,"5 Source No.",$C890,"4 Item Ledger Entry Type",$C$4,"2 Item No.","@@"&amp;$F890,"3 Posting Date",Z$9)-NL("Sum","5802 Value Entry","43 Cost Amount (Actual)","41 Source Type",$C$5,"5 Source no.",$C890,"4 Item Ledger Entry Type",$C$4,"2 Item No.","@@"&amp;$F890,"3 Posting Date",Z$9)</t>
  </si>
  <si>
    <t>=Z890-AB890</t>
  </si>
  <si>
    <t>=IF(Z890&lt;&gt;0,AC890/Z890,"")</t>
  </si>
  <si>
    <t>=C890</t>
  </si>
  <si>
    <t>=NL("Sum","5802 Value Entry","150 Sales Amount (Expected)","41 Source Type",$C$5,"5 Source No.",$C891,"4 Item Ledger Entry Type",$C$4,"2 Item No.","@@"&amp;$F891,"3 Posting Date",J$9)+NL("Sum","5802 Value Entry","17 Sales Amount (Actual)","41 Source Type",$C$5,"5 Source no.",$C891,"4 Item Ledger Entry Type",$C$4,"2 Item No.","@@"&amp;$F891,"3 Posting Date",J$9)</t>
  </si>
  <si>
    <t>=-NL("Sum","5802 Value Entry","151 Cost Amount (Expected)","41 Source Type",$C$5,"5 Source No.",$C891,"4 Item Ledger Entry Type",$C$4,"2 Item No.","@@"&amp;$F891,"3 Posting Date",J$9)-NL("Sum","5802 Value Entry","43 Cost Amount (Actual)","41 Source Type",$C$5,"5 Source no.",$C891,"4 Item Ledger Entry Type",$C$4,"2 Item No.","@@"&amp;$F891,"3 Posting Date",J$9)</t>
  </si>
  <si>
    <t>=J891-L891</t>
  </si>
  <si>
    <t>=IF(J891&lt;&gt;0,M891/J891,"")</t>
  </si>
  <si>
    <t>=NL("Sum","5802 Value Entry","150 Sales Amount (Expected)","41 Source Type",$C$5,"5 Source No.",$C891,"4 Item Ledger Entry Type",$C$4,"2 Item No.","@@"&amp;$F891,"3 Posting Date",O$9)+NL("Sum","5802 Value Entry","17 Sales Amount (Actual)","41 Source Type",$C$5,"5 Source no.",$C891,"4 Item Ledger Entry Type",$C$4,"2 Item No.","@@"&amp;$F891,"3 Posting Date",O$9)</t>
  </si>
  <si>
    <t>=-NL("Sum","5802 Value Entry","151 Cost Amount (Expected)","41 Source Type",$C$5,"5 Source No.",$C891,"4 Item Ledger Entry Type",$C$4,"2 Item No.","@@"&amp;$F891,"3 Posting Date",O$9)-NL("Sum","5802 Value Entry","43 Cost Amount (Actual)","41 Source Type",$C$5,"5 Source no.",$C891,"4 Item Ledger Entry Type",$C$4,"2 Item No.","@@"&amp;$F891,"3 Posting Date",O$9)</t>
  </si>
  <si>
    <t>=O891-Q891</t>
  </si>
  <si>
    <t>=IF(O891&lt;&gt;0,R891/O891,"")</t>
  </si>
  <si>
    <t>=NL("Sum","5802 Value Entry","150 Sales Amount (Expected)","41 Source Type",$C$5,"5 Source No.",$C891,"4 Item Ledger Entry Type",$C$4,"2 Item No.","@@"&amp;$F891,"3 Posting Date",U$9)+NL("Sum","5802 Value Entry","17 Sales Amount (Actual)","41 Source Type",$C$5,"5 Source no.",$C891,"4 Item Ledger Entry Type",$C$4,"2 Item No.","@@"&amp;$F891,"3 Posting Date",U$9)</t>
  </si>
  <si>
    <t>=-NL("Sum","5802 Value Entry","151 Cost Amount (Expected)","41 Source Type",$C$5,"5 Source No.",$C891,"4 Item Ledger Entry Type",$C$4,"2 Item No.","@@"&amp;$F891,"3 Posting Date",U$9)-NL("Sum","5802 Value Entry","43 Cost Amount (Actual)","41 Source Type",$C$5,"5 Source no.",$C891,"4 Item Ledger Entry Type",$C$4,"2 Item No.","@@"&amp;$F891,"3 Posting Date",U$9)</t>
  </si>
  <si>
    <t>=U891-W891</t>
  </si>
  <si>
    <t>=IF(U891&lt;&gt;0,X891/U891,"")</t>
  </si>
  <si>
    <t>=NL("Sum","5802 Value Entry","150 Sales Amount (Expected)","41 Source Type",$C$5,"5 Source No.",$C891,"4 Item Ledger Entry Type",$C$4,"2 Item No.","@@"&amp;$F891,"3 Posting Date",Z$9)+NL("Sum","5802 Value Entry","17 Sales Amount (Actual)","41 Source Type",$C$5,"5 Source no.",$C891,"4 Item Ledger Entry Type",$C$4,"2 Item No.","@@"&amp;$F891,"3 Posting Date",Z$9)</t>
  </si>
  <si>
    <t>=-NL("Sum","5802 Value Entry","151 Cost Amount (Expected)","41 Source Type",$C$5,"5 Source No.",$C891,"4 Item Ledger Entry Type",$C$4,"2 Item No.","@@"&amp;$F891,"3 Posting Date",Z$9)-NL("Sum","5802 Value Entry","43 Cost Amount (Actual)","41 Source Type",$C$5,"5 Source no.",$C891,"4 Item Ledger Entry Type",$C$4,"2 Item No.","@@"&amp;$F891,"3 Posting Date",Z$9)</t>
  </si>
  <si>
    <t>=Z891-AB891</t>
  </si>
  <si>
    <t>=IF(Z891&lt;&gt;0,AC891/Z891,"")</t>
  </si>
  <si>
    <t>=C891</t>
  </si>
  <si>
    <t>=NL("Sum","5802 Value Entry","150 Sales Amount (Expected)","41 Source Type",$C$5,"5 Source No.",$C892,"4 Item Ledger Entry Type",$C$4,"2 Item No.","@@"&amp;$F892,"3 Posting Date",J$9)+NL("Sum","5802 Value Entry","17 Sales Amount (Actual)","41 Source Type",$C$5,"5 Source no.",$C892,"4 Item Ledger Entry Type",$C$4,"2 Item No.","@@"&amp;$F892,"3 Posting Date",J$9)</t>
  </si>
  <si>
    <t>=-NL("Sum","5802 Value Entry","151 Cost Amount (Expected)","41 Source Type",$C$5,"5 Source No.",$C892,"4 Item Ledger Entry Type",$C$4,"2 Item No.","@@"&amp;$F892,"3 Posting Date",J$9)-NL("Sum","5802 Value Entry","43 Cost Amount (Actual)","41 Source Type",$C$5,"5 Source no.",$C892,"4 Item Ledger Entry Type",$C$4,"2 Item No.","@@"&amp;$F892,"3 Posting Date",J$9)</t>
  </si>
  <si>
    <t>=J892-L892</t>
  </si>
  <si>
    <t>=IF(J892&lt;&gt;0,M892/J892,"")</t>
  </si>
  <si>
    <t>=NL("Sum","5802 Value Entry","150 Sales Amount (Expected)","41 Source Type",$C$5,"5 Source No.",$C892,"4 Item Ledger Entry Type",$C$4,"2 Item No.","@@"&amp;$F892,"3 Posting Date",O$9)+NL("Sum","5802 Value Entry","17 Sales Amount (Actual)","41 Source Type",$C$5,"5 Source no.",$C892,"4 Item Ledger Entry Type",$C$4,"2 Item No.","@@"&amp;$F892,"3 Posting Date",O$9)</t>
  </si>
  <si>
    <t>=-NL("Sum","5802 Value Entry","151 Cost Amount (Expected)","41 Source Type",$C$5,"5 Source No.",$C892,"4 Item Ledger Entry Type",$C$4,"2 Item No.","@@"&amp;$F892,"3 Posting Date",O$9)-NL("Sum","5802 Value Entry","43 Cost Amount (Actual)","41 Source Type",$C$5,"5 Source no.",$C892,"4 Item Ledger Entry Type",$C$4,"2 Item No.","@@"&amp;$F892,"3 Posting Date",O$9)</t>
  </si>
  <si>
    <t>=O892-Q892</t>
  </si>
  <si>
    <t>=IF(O892&lt;&gt;0,R892/O892,"")</t>
  </si>
  <si>
    <t>=NL("Sum","5802 Value Entry","150 Sales Amount (Expected)","41 Source Type",$C$5,"5 Source No.",$C892,"4 Item Ledger Entry Type",$C$4,"2 Item No.","@@"&amp;$F892,"3 Posting Date",U$9)+NL("Sum","5802 Value Entry","17 Sales Amount (Actual)","41 Source Type",$C$5,"5 Source no.",$C892,"4 Item Ledger Entry Type",$C$4,"2 Item No.","@@"&amp;$F892,"3 Posting Date",U$9)</t>
  </si>
  <si>
    <t>=-NL("Sum","5802 Value Entry","151 Cost Amount (Expected)","41 Source Type",$C$5,"5 Source No.",$C892,"4 Item Ledger Entry Type",$C$4,"2 Item No.","@@"&amp;$F892,"3 Posting Date",U$9)-NL("Sum","5802 Value Entry","43 Cost Amount (Actual)","41 Source Type",$C$5,"5 Source no.",$C892,"4 Item Ledger Entry Type",$C$4,"2 Item No.","@@"&amp;$F892,"3 Posting Date",U$9)</t>
  </si>
  <si>
    <t>=U892-W892</t>
  </si>
  <si>
    <t>=IF(U892&lt;&gt;0,X892/U892,"")</t>
  </si>
  <si>
    <t>=NL("Sum","5802 Value Entry","150 Sales Amount (Expected)","41 Source Type",$C$5,"5 Source No.",$C892,"4 Item Ledger Entry Type",$C$4,"2 Item No.","@@"&amp;$F892,"3 Posting Date",Z$9)+NL("Sum","5802 Value Entry","17 Sales Amount (Actual)","41 Source Type",$C$5,"5 Source no.",$C892,"4 Item Ledger Entry Type",$C$4,"2 Item No.","@@"&amp;$F892,"3 Posting Date",Z$9)</t>
  </si>
  <si>
    <t>=-NL("Sum","5802 Value Entry","151 Cost Amount (Expected)","41 Source Type",$C$5,"5 Source No.",$C892,"4 Item Ledger Entry Type",$C$4,"2 Item No.","@@"&amp;$F892,"3 Posting Date",Z$9)-NL("Sum","5802 Value Entry","43 Cost Amount (Actual)","41 Source Type",$C$5,"5 Source no.",$C892,"4 Item Ledger Entry Type",$C$4,"2 Item No.","@@"&amp;$F892,"3 Posting Date",Z$9)</t>
  </si>
  <si>
    <t>=Z892-AB892</t>
  </si>
  <si>
    <t>=IF(Z892&lt;&gt;0,AC892/Z892,"")</t>
  </si>
  <si>
    <t>=C892</t>
  </si>
  <si>
    <t>=NL("Sum","5802 Value Entry","150 Sales Amount (Expected)","41 Source Type",$C$5,"5 Source No.",$C893,"4 Item Ledger Entry Type",$C$4,"2 Item No.","@@"&amp;$F893,"3 Posting Date",J$9)+NL("Sum","5802 Value Entry","17 Sales Amount (Actual)","41 Source Type",$C$5,"5 Source no.",$C893,"4 Item Ledger Entry Type",$C$4,"2 Item No.","@@"&amp;$F893,"3 Posting Date",J$9)</t>
  </si>
  <si>
    <t>=-NL("Sum","5802 Value Entry","151 Cost Amount (Expected)","41 Source Type",$C$5,"5 Source No.",$C893,"4 Item Ledger Entry Type",$C$4,"2 Item No.","@@"&amp;$F893,"3 Posting Date",J$9)-NL("Sum","5802 Value Entry","43 Cost Amount (Actual)","41 Source Type",$C$5,"5 Source no.",$C893,"4 Item Ledger Entry Type",$C$4,"2 Item No.","@@"&amp;$F893,"3 Posting Date",J$9)</t>
  </si>
  <si>
    <t>=J893-L893</t>
  </si>
  <si>
    <t>=IF(J893&lt;&gt;0,M893/J893,"")</t>
  </si>
  <si>
    <t>=NL("Sum","5802 Value Entry","150 Sales Amount (Expected)","41 Source Type",$C$5,"5 Source No.",$C893,"4 Item Ledger Entry Type",$C$4,"2 Item No.","@@"&amp;$F893,"3 Posting Date",O$9)+NL("Sum","5802 Value Entry","17 Sales Amount (Actual)","41 Source Type",$C$5,"5 Source no.",$C893,"4 Item Ledger Entry Type",$C$4,"2 Item No.","@@"&amp;$F893,"3 Posting Date",O$9)</t>
  </si>
  <si>
    <t>=-NL("Sum","5802 Value Entry","151 Cost Amount (Expected)","41 Source Type",$C$5,"5 Source No.",$C893,"4 Item Ledger Entry Type",$C$4,"2 Item No.","@@"&amp;$F893,"3 Posting Date",O$9)-NL("Sum","5802 Value Entry","43 Cost Amount (Actual)","41 Source Type",$C$5,"5 Source no.",$C893,"4 Item Ledger Entry Type",$C$4,"2 Item No.","@@"&amp;$F893,"3 Posting Date",O$9)</t>
  </si>
  <si>
    <t>=O893-Q893</t>
  </si>
  <si>
    <t>=IF(O893&lt;&gt;0,R893/O893,"")</t>
  </si>
  <si>
    <t>=NL("Sum","5802 Value Entry","150 Sales Amount (Expected)","41 Source Type",$C$5,"5 Source No.",$C893,"4 Item Ledger Entry Type",$C$4,"2 Item No.","@@"&amp;$F893,"3 Posting Date",U$9)+NL("Sum","5802 Value Entry","17 Sales Amount (Actual)","41 Source Type",$C$5,"5 Source no.",$C893,"4 Item Ledger Entry Type",$C$4,"2 Item No.","@@"&amp;$F893,"3 Posting Date",U$9)</t>
  </si>
  <si>
    <t>=-NL("Sum","5802 Value Entry","151 Cost Amount (Expected)","41 Source Type",$C$5,"5 Source No.",$C893,"4 Item Ledger Entry Type",$C$4,"2 Item No.","@@"&amp;$F893,"3 Posting Date",U$9)-NL("Sum","5802 Value Entry","43 Cost Amount (Actual)","41 Source Type",$C$5,"5 Source no.",$C893,"4 Item Ledger Entry Type",$C$4,"2 Item No.","@@"&amp;$F893,"3 Posting Date",U$9)</t>
  </si>
  <si>
    <t>=U893-W893</t>
  </si>
  <si>
    <t>=IF(U893&lt;&gt;0,X893/U893,"")</t>
  </si>
  <si>
    <t>=NL("Sum","5802 Value Entry","150 Sales Amount (Expected)","41 Source Type",$C$5,"5 Source No.",$C893,"4 Item Ledger Entry Type",$C$4,"2 Item No.","@@"&amp;$F893,"3 Posting Date",Z$9)+NL("Sum","5802 Value Entry","17 Sales Amount (Actual)","41 Source Type",$C$5,"5 Source no.",$C893,"4 Item Ledger Entry Type",$C$4,"2 Item No.","@@"&amp;$F893,"3 Posting Date",Z$9)</t>
  </si>
  <si>
    <t>=-NL("Sum","5802 Value Entry","151 Cost Amount (Expected)","41 Source Type",$C$5,"5 Source No.",$C893,"4 Item Ledger Entry Type",$C$4,"2 Item No.","@@"&amp;$F893,"3 Posting Date",Z$9)-NL("Sum","5802 Value Entry","43 Cost Amount (Actual)","41 Source Type",$C$5,"5 Source no.",$C893,"4 Item Ledger Entry Type",$C$4,"2 Item No.","@@"&amp;$F893,"3 Posting Date",Z$9)</t>
  </si>
  <si>
    <t>=Z893-AB893</t>
  </si>
  <si>
    <t>=IF(Z893&lt;&gt;0,AC893/Z893,"")</t>
  </si>
  <si>
    <t>=C893</t>
  </si>
  <si>
    <t>=NL("Sum","5802 Value Entry","150 Sales Amount (Expected)","41 Source Type",$C$5,"5 Source No.",$C894,"4 Item Ledger Entry Type",$C$4,"2 Item No.","@@"&amp;$F894,"3 Posting Date",J$9)+NL("Sum","5802 Value Entry","17 Sales Amount (Actual)","41 Source Type",$C$5,"5 Source no.",$C894,"4 Item Ledger Entry Type",$C$4,"2 Item No.","@@"&amp;$F894,"3 Posting Date",J$9)</t>
  </si>
  <si>
    <t>=-NL("Sum","5802 Value Entry","151 Cost Amount (Expected)","41 Source Type",$C$5,"5 Source No.",$C894,"4 Item Ledger Entry Type",$C$4,"2 Item No.","@@"&amp;$F894,"3 Posting Date",J$9)-NL("Sum","5802 Value Entry","43 Cost Amount (Actual)","41 Source Type",$C$5,"5 Source no.",$C894,"4 Item Ledger Entry Type",$C$4,"2 Item No.","@@"&amp;$F894,"3 Posting Date",J$9)</t>
  </si>
  <si>
    <t>=J894-L894</t>
  </si>
  <si>
    <t>=IF(J894&lt;&gt;0,M894/J894,"")</t>
  </si>
  <si>
    <t>=NL("Sum","5802 Value Entry","150 Sales Amount (Expected)","41 Source Type",$C$5,"5 Source No.",$C894,"4 Item Ledger Entry Type",$C$4,"2 Item No.","@@"&amp;$F894,"3 Posting Date",O$9)+NL("Sum","5802 Value Entry","17 Sales Amount (Actual)","41 Source Type",$C$5,"5 Source no.",$C894,"4 Item Ledger Entry Type",$C$4,"2 Item No.","@@"&amp;$F894,"3 Posting Date",O$9)</t>
  </si>
  <si>
    <t>=-NL("Sum","5802 Value Entry","151 Cost Amount (Expected)","41 Source Type",$C$5,"5 Source No.",$C894,"4 Item Ledger Entry Type",$C$4,"2 Item No.","@@"&amp;$F894,"3 Posting Date",O$9)-NL("Sum","5802 Value Entry","43 Cost Amount (Actual)","41 Source Type",$C$5,"5 Source no.",$C894,"4 Item Ledger Entry Type",$C$4,"2 Item No.","@@"&amp;$F894,"3 Posting Date",O$9)</t>
  </si>
  <si>
    <t>=O894-Q894</t>
  </si>
  <si>
    <t>=IF(O894&lt;&gt;0,R894/O894,"")</t>
  </si>
  <si>
    <t>=NL("Sum","5802 Value Entry","150 Sales Amount (Expected)","41 Source Type",$C$5,"5 Source No.",$C894,"4 Item Ledger Entry Type",$C$4,"2 Item No.","@@"&amp;$F894,"3 Posting Date",U$9)+NL("Sum","5802 Value Entry","17 Sales Amount (Actual)","41 Source Type",$C$5,"5 Source no.",$C894,"4 Item Ledger Entry Type",$C$4,"2 Item No.","@@"&amp;$F894,"3 Posting Date",U$9)</t>
  </si>
  <si>
    <t>=-NL("Sum","5802 Value Entry","151 Cost Amount (Expected)","41 Source Type",$C$5,"5 Source No.",$C894,"4 Item Ledger Entry Type",$C$4,"2 Item No.","@@"&amp;$F894,"3 Posting Date",U$9)-NL("Sum","5802 Value Entry","43 Cost Amount (Actual)","41 Source Type",$C$5,"5 Source no.",$C894,"4 Item Ledger Entry Type",$C$4,"2 Item No.","@@"&amp;$F894,"3 Posting Date",U$9)</t>
  </si>
  <si>
    <t>=U894-W894</t>
  </si>
  <si>
    <t>=IF(U894&lt;&gt;0,X894/U894,"")</t>
  </si>
  <si>
    <t>=NL("Sum","5802 Value Entry","150 Sales Amount (Expected)","41 Source Type",$C$5,"5 Source No.",$C894,"4 Item Ledger Entry Type",$C$4,"2 Item No.","@@"&amp;$F894,"3 Posting Date",Z$9)+NL("Sum","5802 Value Entry","17 Sales Amount (Actual)","41 Source Type",$C$5,"5 Source no.",$C894,"4 Item Ledger Entry Type",$C$4,"2 Item No.","@@"&amp;$F894,"3 Posting Date",Z$9)</t>
  </si>
  <si>
    <t>=-NL("Sum","5802 Value Entry","151 Cost Amount (Expected)","41 Source Type",$C$5,"5 Source No.",$C894,"4 Item Ledger Entry Type",$C$4,"2 Item No.","@@"&amp;$F894,"3 Posting Date",Z$9)-NL("Sum","5802 Value Entry","43 Cost Amount (Actual)","41 Source Type",$C$5,"5 Source no.",$C894,"4 Item Ledger Entry Type",$C$4,"2 Item No.","@@"&amp;$F894,"3 Posting Date",Z$9)</t>
  </si>
  <si>
    <t>=Z894-AB894</t>
  </si>
  <si>
    <t>=IF(Z894&lt;&gt;0,AC894/Z894,"")</t>
  </si>
  <si>
    <t>=C894</t>
  </si>
  <si>
    <t>=NL("Sum","5802 Value Entry","150 Sales Amount (Expected)","41 Source Type",$C$5,"5 Source No.",$C895,"4 Item Ledger Entry Type",$C$4,"2 Item No.","@@"&amp;$F895,"3 Posting Date",J$9)+NL("Sum","5802 Value Entry","17 Sales Amount (Actual)","41 Source Type",$C$5,"5 Source no.",$C895,"4 Item Ledger Entry Type",$C$4,"2 Item No.","@@"&amp;$F895,"3 Posting Date",J$9)</t>
  </si>
  <si>
    <t>=-NL("Sum","5802 Value Entry","151 Cost Amount (Expected)","41 Source Type",$C$5,"5 Source No.",$C895,"4 Item Ledger Entry Type",$C$4,"2 Item No.","@@"&amp;$F895,"3 Posting Date",J$9)-NL("Sum","5802 Value Entry","43 Cost Amount (Actual)","41 Source Type",$C$5,"5 Source no.",$C895,"4 Item Ledger Entry Type",$C$4,"2 Item No.","@@"&amp;$F895,"3 Posting Date",J$9)</t>
  </si>
  <si>
    <t>=J895-L895</t>
  </si>
  <si>
    <t>=IF(J895&lt;&gt;0,M895/J895,"")</t>
  </si>
  <si>
    <t>=NL("Sum","5802 Value Entry","150 Sales Amount (Expected)","41 Source Type",$C$5,"5 Source No.",$C895,"4 Item Ledger Entry Type",$C$4,"2 Item No.","@@"&amp;$F895,"3 Posting Date",O$9)+NL("Sum","5802 Value Entry","17 Sales Amount (Actual)","41 Source Type",$C$5,"5 Source no.",$C895,"4 Item Ledger Entry Type",$C$4,"2 Item No.","@@"&amp;$F895,"3 Posting Date",O$9)</t>
  </si>
  <si>
    <t>=-NL("Sum","5802 Value Entry","151 Cost Amount (Expected)","41 Source Type",$C$5,"5 Source No.",$C895,"4 Item Ledger Entry Type",$C$4,"2 Item No.","@@"&amp;$F895,"3 Posting Date",O$9)-NL("Sum","5802 Value Entry","43 Cost Amount (Actual)","41 Source Type",$C$5,"5 Source no.",$C895,"4 Item Ledger Entry Type",$C$4,"2 Item No.","@@"&amp;$F895,"3 Posting Date",O$9)</t>
  </si>
  <si>
    <t>=O895-Q895</t>
  </si>
  <si>
    <t>=IF(O895&lt;&gt;0,R895/O895,"")</t>
  </si>
  <si>
    <t>=NL("Sum","5802 Value Entry","150 Sales Amount (Expected)","41 Source Type",$C$5,"5 Source No.",$C895,"4 Item Ledger Entry Type",$C$4,"2 Item No.","@@"&amp;$F895,"3 Posting Date",U$9)+NL("Sum","5802 Value Entry","17 Sales Amount (Actual)","41 Source Type",$C$5,"5 Source no.",$C895,"4 Item Ledger Entry Type",$C$4,"2 Item No.","@@"&amp;$F895,"3 Posting Date",U$9)</t>
  </si>
  <si>
    <t>=-NL("Sum","5802 Value Entry","151 Cost Amount (Expected)","41 Source Type",$C$5,"5 Source No.",$C895,"4 Item Ledger Entry Type",$C$4,"2 Item No.","@@"&amp;$F895,"3 Posting Date",U$9)-NL("Sum","5802 Value Entry","43 Cost Amount (Actual)","41 Source Type",$C$5,"5 Source no.",$C895,"4 Item Ledger Entry Type",$C$4,"2 Item No.","@@"&amp;$F895,"3 Posting Date",U$9)</t>
  </si>
  <si>
    <t>=U895-W895</t>
  </si>
  <si>
    <t>=IF(U895&lt;&gt;0,X895/U895,"")</t>
  </si>
  <si>
    <t>=NL("Sum","5802 Value Entry","150 Sales Amount (Expected)","41 Source Type",$C$5,"5 Source No.",$C895,"4 Item Ledger Entry Type",$C$4,"2 Item No.","@@"&amp;$F895,"3 Posting Date",Z$9)+NL("Sum","5802 Value Entry","17 Sales Amount (Actual)","41 Source Type",$C$5,"5 Source no.",$C895,"4 Item Ledger Entry Type",$C$4,"2 Item No.","@@"&amp;$F895,"3 Posting Date",Z$9)</t>
  </si>
  <si>
    <t>=-NL("Sum","5802 Value Entry","151 Cost Amount (Expected)","41 Source Type",$C$5,"5 Source No.",$C895,"4 Item Ledger Entry Type",$C$4,"2 Item No.","@@"&amp;$F895,"3 Posting Date",Z$9)-NL("Sum","5802 Value Entry","43 Cost Amount (Actual)","41 Source Type",$C$5,"5 Source no.",$C895,"4 Item Ledger Entry Type",$C$4,"2 Item No.","@@"&amp;$F895,"3 Posting Date",Z$9)</t>
  </si>
  <si>
    <t>=Z895-AB895</t>
  </si>
  <si>
    <t>=IF(Z895&lt;&gt;0,AC895/Z895,"")</t>
  </si>
  <si>
    <t>=C896</t>
  </si>
  <si>
    <t>=J897-L897</t>
  </si>
  <si>
    <t>=IF(J897&lt;&gt;0,M897/J897,"")</t>
  </si>
  <si>
    <t>=O897-Q897</t>
  </si>
  <si>
    <t>=IF(O897&lt;&gt;0,R897/O897,"")</t>
  </si>
  <si>
    <t>=U897-W897</t>
  </si>
  <si>
    <t>=IF(U897&lt;&gt;0,X897/U897,"")</t>
  </si>
  <si>
    <t>=Z897-AB897</t>
  </si>
  <si>
    <t>=IF(Z897&lt;&gt;0,AC897/Z897,"")</t>
  </si>
  <si>
    <t>=C899</t>
  </si>
  <si>
    <t>=C902</t>
  </si>
  <si>
    <t>=C905</t>
  </si>
  <si>
    <t>=C906</t>
  </si>
  <si>
    <t>=NL("Sum","5802 Value Entry","150 Sales Amount (Expected)","41 Source Type",$C$5,"5 Source No.",$C907,"4 Item Ledger Entry Type",$C$4,"2 Item No.","@@"&amp;$F907,"3 Posting Date",J$9)+NL("Sum","5802 Value Entry","17 Sales Amount (Actual)","41 Source Type",$C$5,"5 Source no.",$C907,"4 Item Ledger Entry Type",$C$4,"2 Item No.","@@"&amp;$F907,"3 Posting Date",J$9)</t>
  </si>
  <si>
    <t>=-NL("Sum","5802 Value Entry","151 Cost Amount (Expected)","41 Source Type",$C$5,"5 Source No.",$C907,"4 Item Ledger Entry Type",$C$4,"2 Item No.","@@"&amp;$F907,"3 Posting Date",J$9)-NL("Sum","5802 Value Entry","43 Cost Amount (Actual)","41 Source Type",$C$5,"5 Source no.",$C907,"4 Item Ledger Entry Type",$C$4,"2 Item No.","@@"&amp;$F907,"3 Posting Date",J$9)</t>
  </si>
  <si>
    <t>=J907-L907</t>
  </si>
  <si>
    <t>=IF(J907&lt;&gt;0,M907/J907,"")</t>
  </si>
  <si>
    <t>=NL("Sum","5802 Value Entry","150 Sales Amount (Expected)","41 Source Type",$C$5,"5 Source No.",$C907,"4 Item Ledger Entry Type",$C$4,"2 Item No.","@@"&amp;$F907,"3 Posting Date",O$9)+NL("Sum","5802 Value Entry","17 Sales Amount (Actual)","41 Source Type",$C$5,"5 Source no.",$C907,"4 Item Ledger Entry Type",$C$4,"2 Item No.","@@"&amp;$F907,"3 Posting Date",O$9)</t>
  </si>
  <si>
    <t>=-NL("Sum","5802 Value Entry","151 Cost Amount (Expected)","41 Source Type",$C$5,"5 Source No.",$C907,"4 Item Ledger Entry Type",$C$4,"2 Item No.","@@"&amp;$F907,"3 Posting Date",O$9)-NL("Sum","5802 Value Entry","43 Cost Amount (Actual)","41 Source Type",$C$5,"5 Source no.",$C907,"4 Item Ledger Entry Type",$C$4,"2 Item No.","@@"&amp;$F907,"3 Posting Date",O$9)</t>
  </si>
  <si>
    <t>=O907-Q907</t>
  </si>
  <si>
    <t>=IF(O907&lt;&gt;0,R907/O907,"")</t>
  </si>
  <si>
    <t>=NL("Sum","5802 Value Entry","150 Sales Amount (Expected)","41 Source Type",$C$5,"5 Source No.",$C907,"4 Item Ledger Entry Type",$C$4,"2 Item No.","@@"&amp;$F907,"3 Posting Date",U$9)+NL("Sum","5802 Value Entry","17 Sales Amount (Actual)","41 Source Type",$C$5,"5 Source no.",$C907,"4 Item Ledger Entry Type",$C$4,"2 Item No.","@@"&amp;$F907,"3 Posting Date",U$9)</t>
  </si>
  <si>
    <t>=-NL("Sum","5802 Value Entry","151 Cost Amount (Expected)","41 Source Type",$C$5,"5 Source No.",$C907,"4 Item Ledger Entry Type",$C$4,"2 Item No.","@@"&amp;$F907,"3 Posting Date",U$9)-NL("Sum","5802 Value Entry","43 Cost Amount (Actual)","41 Source Type",$C$5,"5 Source no.",$C907,"4 Item Ledger Entry Type",$C$4,"2 Item No.","@@"&amp;$F907,"3 Posting Date",U$9)</t>
  </si>
  <si>
    <t>=U907-W907</t>
  </si>
  <si>
    <t>=IF(U907&lt;&gt;0,X907/U907,"")</t>
  </si>
  <si>
    <t>=NL("Sum","5802 Value Entry","150 Sales Amount (Expected)","41 Source Type",$C$5,"5 Source No.",$C907,"4 Item Ledger Entry Type",$C$4,"2 Item No.","@@"&amp;$F907,"3 Posting Date",Z$9)+NL("Sum","5802 Value Entry","17 Sales Amount (Actual)","41 Source Type",$C$5,"5 Source no.",$C907,"4 Item Ledger Entry Type",$C$4,"2 Item No.","@@"&amp;$F907,"3 Posting Date",Z$9)</t>
  </si>
  <si>
    <t>=-NL("Sum","5802 Value Entry","151 Cost Amount (Expected)","41 Source Type",$C$5,"5 Source No.",$C907,"4 Item Ledger Entry Type",$C$4,"2 Item No.","@@"&amp;$F907,"3 Posting Date",Z$9)-NL("Sum","5802 Value Entry","43 Cost Amount (Actual)","41 Source Type",$C$5,"5 Source no.",$C907,"4 Item Ledger Entry Type",$C$4,"2 Item No.","@@"&amp;$F907,"3 Posting Date",Z$9)</t>
  </si>
  <si>
    <t>=Z907-AB907</t>
  </si>
  <si>
    <t>=IF(Z907&lt;&gt;0,AC907/Z907,"")</t>
  </si>
  <si>
    <t>=C907</t>
  </si>
  <si>
    <t>=NL("Sum","5802 Value Entry","150 Sales Amount (Expected)","41 Source Type",$C$5,"5 Source No.",$C908,"4 Item Ledger Entry Type",$C$4,"2 Item No.","@@"&amp;$F908,"3 Posting Date",J$9)+NL("Sum","5802 Value Entry","17 Sales Amount (Actual)","41 Source Type",$C$5,"5 Source no.",$C908,"4 Item Ledger Entry Type",$C$4,"2 Item No.","@@"&amp;$F908,"3 Posting Date",J$9)</t>
  </si>
  <si>
    <t>=-NL("Sum","5802 Value Entry","151 Cost Amount (Expected)","41 Source Type",$C$5,"5 Source No.",$C908,"4 Item Ledger Entry Type",$C$4,"2 Item No.","@@"&amp;$F908,"3 Posting Date",J$9)-NL("Sum","5802 Value Entry","43 Cost Amount (Actual)","41 Source Type",$C$5,"5 Source no.",$C908,"4 Item Ledger Entry Type",$C$4,"2 Item No.","@@"&amp;$F908,"3 Posting Date",J$9)</t>
  </si>
  <si>
    <t>=J908-L908</t>
  </si>
  <si>
    <t>=IF(J908&lt;&gt;0,M908/J908,"")</t>
  </si>
  <si>
    <t>=NL("Sum","5802 Value Entry","150 Sales Amount (Expected)","41 Source Type",$C$5,"5 Source No.",$C908,"4 Item Ledger Entry Type",$C$4,"2 Item No.","@@"&amp;$F908,"3 Posting Date",O$9)+NL("Sum","5802 Value Entry","17 Sales Amount (Actual)","41 Source Type",$C$5,"5 Source no.",$C908,"4 Item Ledger Entry Type",$C$4,"2 Item No.","@@"&amp;$F908,"3 Posting Date",O$9)</t>
  </si>
  <si>
    <t>=-NL("Sum","5802 Value Entry","151 Cost Amount (Expected)","41 Source Type",$C$5,"5 Source No.",$C908,"4 Item Ledger Entry Type",$C$4,"2 Item No.","@@"&amp;$F908,"3 Posting Date",O$9)-NL("Sum","5802 Value Entry","43 Cost Amount (Actual)","41 Source Type",$C$5,"5 Source no.",$C908,"4 Item Ledger Entry Type",$C$4,"2 Item No.","@@"&amp;$F908,"3 Posting Date",O$9)</t>
  </si>
  <si>
    <t>=O908-Q908</t>
  </si>
  <si>
    <t>=IF(O908&lt;&gt;0,R908/O908,"")</t>
  </si>
  <si>
    <t>=NL("Sum","5802 Value Entry","150 Sales Amount (Expected)","41 Source Type",$C$5,"5 Source No.",$C908,"4 Item Ledger Entry Type",$C$4,"2 Item No.","@@"&amp;$F908,"3 Posting Date",U$9)+NL("Sum","5802 Value Entry","17 Sales Amount (Actual)","41 Source Type",$C$5,"5 Source no.",$C908,"4 Item Ledger Entry Type",$C$4,"2 Item No.","@@"&amp;$F908,"3 Posting Date",U$9)</t>
  </si>
  <si>
    <t>=-NL("Sum","5802 Value Entry","151 Cost Amount (Expected)","41 Source Type",$C$5,"5 Source No.",$C908,"4 Item Ledger Entry Type",$C$4,"2 Item No.","@@"&amp;$F908,"3 Posting Date",U$9)-NL("Sum","5802 Value Entry","43 Cost Amount (Actual)","41 Source Type",$C$5,"5 Source no.",$C908,"4 Item Ledger Entry Type",$C$4,"2 Item No.","@@"&amp;$F908,"3 Posting Date",U$9)</t>
  </si>
  <si>
    <t>=U908-W908</t>
  </si>
  <si>
    <t>=IF(U908&lt;&gt;0,X908/U908,"")</t>
  </si>
  <si>
    <t>=NL("Sum","5802 Value Entry","150 Sales Amount (Expected)","41 Source Type",$C$5,"5 Source No.",$C908,"4 Item Ledger Entry Type",$C$4,"2 Item No.","@@"&amp;$F908,"3 Posting Date",Z$9)+NL("Sum","5802 Value Entry","17 Sales Amount (Actual)","41 Source Type",$C$5,"5 Source no.",$C908,"4 Item Ledger Entry Type",$C$4,"2 Item No.","@@"&amp;$F908,"3 Posting Date",Z$9)</t>
  </si>
  <si>
    <t>=-NL("Sum","5802 Value Entry","151 Cost Amount (Expected)","41 Source Type",$C$5,"5 Source No.",$C908,"4 Item Ledger Entry Type",$C$4,"2 Item No.","@@"&amp;$F908,"3 Posting Date",Z$9)-NL("Sum","5802 Value Entry","43 Cost Amount (Actual)","41 Source Type",$C$5,"5 Source no.",$C908,"4 Item Ledger Entry Type",$C$4,"2 Item No.","@@"&amp;$F908,"3 Posting Date",Z$9)</t>
  </si>
  <si>
    <t>=Z908-AB908</t>
  </si>
  <si>
    <t>=IF(Z908&lt;&gt;0,AC908/Z908,"")</t>
  </si>
  <si>
    <t>=C908</t>
  </si>
  <si>
    <t>=NL("Sum","5802 Value Entry","150 Sales Amount (Expected)","41 Source Type",$C$5,"5 Source No.",$C909,"4 Item Ledger Entry Type",$C$4,"2 Item No.","@@"&amp;$F909,"3 Posting Date",J$9)+NL("Sum","5802 Value Entry","17 Sales Amount (Actual)","41 Source Type",$C$5,"5 Source no.",$C909,"4 Item Ledger Entry Type",$C$4,"2 Item No.","@@"&amp;$F909,"3 Posting Date",J$9)</t>
  </si>
  <si>
    <t>=-NL("Sum","5802 Value Entry","151 Cost Amount (Expected)","41 Source Type",$C$5,"5 Source No.",$C909,"4 Item Ledger Entry Type",$C$4,"2 Item No.","@@"&amp;$F909,"3 Posting Date",J$9)-NL("Sum","5802 Value Entry","43 Cost Amount (Actual)","41 Source Type",$C$5,"5 Source no.",$C909,"4 Item Ledger Entry Type",$C$4,"2 Item No.","@@"&amp;$F909,"3 Posting Date",J$9)</t>
  </si>
  <si>
    <t>=J909-L909</t>
  </si>
  <si>
    <t>=IF(J909&lt;&gt;0,M909/J909,"")</t>
  </si>
  <si>
    <t>=NL("Sum","5802 Value Entry","150 Sales Amount (Expected)","41 Source Type",$C$5,"5 Source No.",$C909,"4 Item Ledger Entry Type",$C$4,"2 Item No.","@@"&amp;$F909,"3 Posting Date",O$9)+NL("Sum","5802 Value Entry","17 Sales Amount (Actual)","41 Source Type",$C$5,"5 Source no.",$C909,"4 Item Ledger Entry Type",$C$4,"2 Item No.","@@"&amp;$F909,"3 Posting Date",O$9)</t>
  </si>
  <si>
    <t>=-NL("Sum","5802 Value Entry","151 Cost Amount (Expected)","41 Source Type",$C$5,"5 Source No.",$C909,"4 Item Ledger Entry Type",$C$4,"2 Item No.","@@"&amp;$F909,"3 Posting Date",O$9)-NL("Sum","5802 Value Entry","43 Cost Amount (Actual)","41 Source Type",$C$5,"5 Source no.",$C909,"4 Item Ledger Entry Type",$C$4,"2 Item No.","@@"&amp;$F909,"3 Posting Date",O$9)</t>
  </si>
  <si>
    <t>=O909-Q909</t>
  </si>
  <si>
    <t>=IF(O909&lt;&gt;0,R909/O909,"")</t>
  </si>
  <si>
    <t>=NL("Sum","5802 Value Entry","150 Sales Amount (Expected)","41 Source Type",$C$5,"5 Source No.",$C909,"4 Item Ledger Entry Type",$C$4,"2 Item No.","@@"&amp;$F909,"3 Posting Date",U$9)+NL("Sum","5802 Value Entry","17 Sales Amount (Actual)","41 Source Type",$C$5,"5 Source no.",$C909,"4 Item Ledger Entry Type",$C$4,"2 Item No.","@@"&amp;$F909,"3 Posting Date",U$9)</t>
  </si>
  <si>
    <t>=-NL("Sum","5802 Value Entry","151 Cost Amount (Expected)","41 Source Type",$C$5,"5 Source No.",$C909,"4 Item Ledger Entry Type",$C$4,"2 Item No.","@@"&amp;$F909,"3 Posting Date",U$9)-NL("Sum","5802 Value Entry","43 Cost Amount (Actual)","41 Source Type",$C$5,"5 Source no.",$C909,"4 Item Ledger Entry Type",$C$4,"2 Item No.","@@"&amp;$F909,"3 Posting Date",U$9)</t>
  </si>
  <si>
    <t>=U909-W909</t>
  </si>
  <si>
    <t>=IF(U909&lt;&gt;0,X909/U909,"")</t>
  </si>
  <si>
    <t>=NL("Sum","5802 Value Entry","150 Sales Amount (Expected)","41 Source Type",$C$5,"5 Source No.",$C909,"4 Item Ledger Entry Type",$C$4,"2 Item No.","@@"&amp;$F909,"3 Posting Date",Z$9)+NL("Sum","5802 Value Entry","17 Sales Amount (Actual)","41 Source Type",$C$5,"5 Source no.",$C909,"4 Item Ledger Entry Type",$C$4,"2 Item No.","@@"&amp;$F909,"3 Posting Date",Z$9)</t>
  </si>
  <si>
    <t>=-NL("Sum","5802 Value Entry","151 Cost Amount (Expected)","41 Source Type",$C$5,"5 Source No.",$C909,"4 Item Ledger Entry Type",$C$4,"2 Item No.","@@"&amp;$F909,"3 Posting Date",Z$9)-NL("Sum","5802 Value Entry","43 Cost Amount (Actual)","41 Source Type",$C$5,"5 Source no.",$C909,"4 Item Ledger Entry Type",$C$4,"2 Item No.","@@"&amp;$F909,"3 Posting Date",Z$9)</t>
  </si>
  <si>
    <t>=Z909-AB909</t>
  </si>
  <si>
    <t>=IF(Z909&lt;&gt;0,AC909/Z909,"")</t>
  </si>
  <si>
    <t>=C909</t>
  </si>
  <si>
    <t>=NL("Sum","5802 Value Entry","150 Sales Amount (Expected)","41 Source Type",$C$5,"5 Source No.",$C910,"4 Item Ledger Entry Type",$C$4,"2 Item No.","@@"&amp;$F910,"3 Posting Date",J$9)+NL("Sum","5802 Value Entry","17 Sales Amount (Actual)","41 Source Type",$C$5,"5 Source no.",$C910,"4 Item Ledger Entry Type",$C$4,"2 Item No.","@@"&amp;$F910,"3 Posting Date",J$9)</t>
  </si>
  <si>
    <t>=-NL("Sum","5802 Value Entry","151 Cost Amount (Expected)","41 Source Type",$C$5,"5 Source No.",$C910,"4 Item Ledger Entry Type",$C$4,"2 Item No.","@@"&amp;$F910,"3 Posting Date",J$9)-NL("Sum","5802 Value Entry","43 Cost Amount (Actual)","41 Source Type",$C$5,"5 Source no.",$C910,"4 Item Ledger Entry Type",$C$4,"2 Item No.","@@"&amp;$F910,"3 Posting Date",J$9)</t>
  </si>
  <si>
    <t>=J910-L910</t>
  </si>
  <si>
    <t>=IF(J910&lt;&gt;0,M910/J910,"")</t>
  </si>
  <si>
    <t>=NL("Sum","5802 Value Entry","150 Sales Amount (Expected)","41 Source Type",$C$5,"5 Source No.",$C910,"4 Item Ledger Entry Type",$C$4,"2 Item No.","@@"&amp;$F910,"3 Posting Date",O$9)+NL("Sum","5802 Value Entry","17 Sales Amount (Actual)","41 Source Type",$C$5,"5 Source no.",$C910,"4 Item Ledger Entry Type",$C$4,"2 Item No.","@@"&amp;$F910,"3 Posting Date",O$9)</t>
  </si>
  <si>
    <t>=-NL("Sum","5802 Value Entry","151 Cost Amount (Expected)","41 Source Type",$C$5,"5 Source No.",$C910,"4 Item Ledger Entry Type",$C$4,"2 Item No.","@@"&amp;$F910,"3 Posting Date",O$9)-NL("Sum","5802 Value Entry","43 Cost Amount (Actual)","41 Source Type",$C$5,"5 Source no.",$C910,"4 Item Ledger Entry Type",$C$4,"2 Item No.","@@"&amp;$F910,"3 Posting Date",O$9)</t>
  </si>
  <si>
    <t>=O910-Q910</t>
  </si>
  <si>
    <t>=IF(O910&lt;&gt;0,R910/O910,"")</t>
  </si>
  <si>
    <t>=NL("Sum","5802 Value Entry","150 Sales Amount (Expected)","41 Source Type",$C$5,"5 Source No.",$C910,"4 Item Ledger Entry Type",$C$4,"2 Item No.","@@"&amp;$F910,"3 Posting Date",U$9)+NL("Sum","5802 Value Entry","17 Sales Amount (Actual)","41 Source Type",$C$5,"5 Source no.",$C910,"4 Item Ledger Entry Type",$C$4,"2 Item No.","@@"&amp;$F910,"3 Posting Date",U$9)</t>
  </si>
  <si>
    <t>=-NL("Sum","5802 Value Entry","151 Cost Amount (Expected)","41 Source Type",$C$5,"5 Source No.",$C910,"4 Item Ledger Entry Type",$C$4,"2 Item No.","@@"&amp;$F910,"3 Posting Date",U$9)-NL("Sum","5802 Value Entry","43 Cost Amount (Actual)","41 Source Type",$C$5,"5 Source no.",$C910,"4 Item Ledger Entry Type",$C$4,"2 Item No.","@@"&amp;$F910,"3 Posting Date",U$9)</t>
  </si>
  <si>
    <t>=U910-W910</t>
  </si>
  <si>
    <t>=IF(U910&lt;&gt;0,X910/U910,"")</t>
  </si>
  <si>
    <t>=NL("Sum","5802 Value Entry","150 Sales Amount (Expected)","41 Source Type",$C$5,"5 Source No.",$C910,"4 Item Ledger Entry Type",$C$4,"2 Item No.","@@"&amp;$F910,"3 Posting Date",Z$9)+NL("Sum","5802 Value Entry","17 Sales Amount (Actual)","41 Source Type",$C$5,"5 Source no.",$C910,"4 Item Ledger Entry Type",$C$4,"2 Item No.","@@"&amp;$F910,"3 Posting Date",Z$9)</t>
  </si>
  <si>
    <t>=-NL("Sum","5802 Value Entry","151 Cost Amount (Expected)","41 Source Type",$C$5,"5 Source No.",$C910,"4 Item Ledger Entry Type",$C$4,"2 Item No.","@@"&amp;$F910,"3 Posting Date",Z$9)-NL("Sum","5802 Value Entry","43 Cost Amount (Actual)","41 Source Type",$C$5,"5 Source no.",$C910,"4 Item Ledger Entry Type",$C$4,"2 Item No.","@@"&amp;$F910,"3 Posting Date",Z$9)</t>
  </si>
  <si>
    <t>=Z910-AB910</t>
  </si>
  <si>
    <t>=IF(Z910&lt;&gt;0,AC910/Z910,"")</t>
  </si>
  <si>
    <t>=C910</t>
  </si>
  <si>
    <t>=NL("Sum","5802 Value Entry","150 Sales Amount (Expected)","41 Source Type",$C$5,"5 Source No.",$C911,"4 Item Ledger Entry Type",$C$4,"2 Item No.","@@"&amp;$F911,"3 Posting Date",J$9)+NL("Sum","5802 Value Entry","17 Sales Amount (Actual)","41 Source Type",$C$5,"5 Source no.",$C911,"4 Item Ledger Entry Type",$C$4,"2 Item No.","@@"&amp;$F911,"3 Posting Date",J$9)</t>
  </si>
  <si>
    <t>=-NL("Sum","5802 Value Entry","151 Cost Amount (Expected)","41 Source Type",$C$5,"5 Source No.",$C911,"4 Item Ledger Entry Type",$C$4,"2 Item No.","@@"&amp;$F911,"3 Posting Date",J$9)-NL("Sum","5802 Value Entry","43 Cost Amount (Actual)","41 Source Type",$C$5,"5 Source no.",$C911,"4 Item Ledger Entry Type",$C$4,"2 Item No.","@@"&amp;$F911,"3 Posting Date",J$9)</t>
  </si>
  <si>
    <t>=J911-L911</t>
  </si>
  <si>
    <t>=IF(J911&lt;&gt;0,M911/J911,"")</t>
  </si>
  <si>
    <t>=NL("Sum","5802 Value Entry","150 Sales Amount (Expected)","41 Source Type",$C$5,"5 Source No.",$C911,"4 Item Ledger Entry Type",$C$4,"2 Item No.","@@"&amp;$F911,"3 Posting Date",O$9)+NL("Sum","5802 Value Entry","17 Sales Amount (Actual)","41 Source Type",$C$5,"5 Source no.",$C911,"4 Item Ledger Entry Type",$C$4,"2 Item No.","@@"&amp;$F911,"3 Posting Date",O$9)</t>
  </si>
  <si>
    <t>=-NL("Sum","5802 Value Entry","151 Cost Amount (Expected)","41 Source Type",$C$5,"5 Source No.",$C911,"4 Item Ledger Entry Type",$C$4,"2 Item No.","@@"&amp;$F911,"3 Posting Date",O$9)-NL("Sum","5802 Value Entry","43 Cost Amount (Actual)","41 Source Type",$C$5,"5 Source no.",$C911,"4 Item Ledger Entry Type",$C$4,"2 Item No.","@@"&amp;$F911,"3 Posting Date",O$9)</t>
  </si>
  <si>
    <t>=O911-Q911</t>
  </si>
  <si>
    <t>=IF(O911&lt;&gt;0,R911/O911,"")</t>
  </si>
  <si>
    <t>=NL("Sum","5802 Value Entry","150 Sales Amount (Expected)","41 Source Type",$C$5,"5 Source No.",$C911,"4 Item Ledger Entry Type",$C$4,"2 Item No.","@@"&amp;$F911,"3 Posting Date",U$9)+NL("Sum","5802 Value Entry","17 Sales Amount (Actual)","41 Source Type",$C$5,"5 Source no.",$C911,"4 Item Ledger Entry Type",$C$4,"2 Item No.","@@"&amp;$F911,"3 Posting Date",U$9)</t>
  </si>
  <si>
    <t>=-NL("Sum","5802 Value Entry","151 Cost Amount (Expected)","41 Source Type",$C$5,"5 Source No.",$C911,"4 Item Ledger Entry Type",$C$4,"2 Item No.","@@"&amp;$F911,"3 Posting Date",U$9)-NL("Sum","5802 Value Entry","43 Cost Amount (Actual)","41 Source Type",$C$5,"5 Source no.",$C911,"4 Item Ledger Entry Type",$C$4,"2 Item No.","@@"&amp;$F911,"3 Posting Date",U$9)</t>
  </si>
  <si>
    <t>=U911-W911</t>
  </si>
  <si>
    <t>=IF(U911&lt;&gt;0,X911/U911,"")</t>
  </si>
  <si>
    <t>=NL("Sum","5802 Value Entry","150 Sales Amount (Expected)","41 Source Type",$C$5,"5 Source No.",$C911,"4 Item Ledger Entry Type",$C$4,"2 Item No.","@@"&amp;$F911,"3 Posting Date",Z$9)+NL("Sum","5802 Value Entry","17 Sales Amount (Actual)","41 Source Type",$C$5,"5 Source no.",$C911,"4 Item Ledger Entry Type",$C$4,"2 Item No.","@@"&amp;$F911,"3 Posting Date",Z$9)</t>
  </si>
  <si>
    <t>=-NL("Sum","5802 Value Entry","151 Cost Amount (Expected)","41 Source Type",$C$5,"5 Source No.",$C911,"4 Item Ledger Entry Type",$C$4,"2 Item No.","@@"&amp;$F911,"3 Posting Date",Z$9)-NL("Sum","5802 Value Entry","43 Cost Amount (Actual)","41 Source Type",$C$5,"5 Source no.",$C911,"4 Item Ledger Entry Type",$C$4,"2 Item No.","@@"&amp;$F911,"3 Posting Date",Z$9)</t>
  </si>
  <si>
    <t>=Z911-AB911</t>
  </si>
  <si>
    <t>=IF(Z911&lt;&gt;0,AC911/Z911,"")</t>
  </si>
  <si>
    <t>=C911</t>
  </si>
  <si>
    <t>=NL("Sum","5802 Value Entry","150 Sales Amount (Expected)","41 Source Type",$C$5,"5 Source No.",$C912,"4 Item Ledger Entry Type",$C$4,"2 Item No.","@@"&amp;$F912,"3 Posting Date",J$9)+NL("Sum","5802 Value Entry","17 Sales Amount (Actual)","41 Source Type",$C$5,"5 Source no.",$C912,"4 Item Ledger Entry Type",$C$4,"2 Item No.","@@"&amp;$F912,"3 Posting Date",J$9)</t>
  </si>
  <si>
    <t>=-NL("Sum","5802 Value Entry","151 Cost Amount (Expected)","41 Source Type",$C$5,"5 Source No.",$C912,"4 Item Ledger Entry Type",$C$4,"2 Item No.","@@"&amp;$F912,"3 Posting Date",J$9)-NL("Sum","5802 Value Entry","43 Cost Amount (Actual)","41 Source Type",$C$5,"5 Source no.",$C912,"4 Item Ledger Entry Type",$C$4,"2 Item No.","@@"&amp;$F912,"3 Posting Date",J$9)</t>
  </si>
  <si>
    <t>=J912-L912</t>
  </si>
  <si>
    <t>=IF(J912&lt;&gt;0,M912/J912,"")</t>
  </si>
  <si>
    <t>=NL("Sum","5802 Value Entry","150 Sales Amount (Expected)","41 Source Type",$C$5,"5 Source No.",$C912,"4 Item Ledger Entry Type",$C$4,"2 Item No.","@@"&amp;$F912,"3 Posting Date",O$9)+NL("Sum","5802 Value Entry","17 Sales Amount (Actual)","41 Source Type",$C$5,"5 Source no.",$C912,"4 Item Ledger Entry Type",$C$4,"2 Item No.","@@"&amp;$F912,"3 Posting Date",O$9)</t>
  </si>
  <si>
    <t>=-NL("Sum","5802 Value Entry","151 Cost Amount (Expected)","41 Source Type",$C$5,"5 Source No.",$C912,"4 Item Ledger Entry Type",$C$4,"2 Item No.","@@"&amp;$F912,"3 Posting Date",O$9)-NL("Sum","5802 Value Entry","43 Cost Amount (Actual)","41 Source Type",$C$5,"5 Source no.",$C912,"4 Item Ledger Entry Type",$C$4,"2 Item No.","@@"&amp;$F912,"3 Posting Date",O$9)</t>
  </si>
  <si>
    <t>=O912-Q912</t>
  </si>
  <si>
    <t>=IF(O912&lt;&gt;0,R912/O912,"")</t>
  </si>
  <si>
    <t>=NL("Sum","5802 Value Entry","150 Sales Amount (Expected)","41 Source Type",$C$5,"5 Source No.",$C912,"4 Item Ledger Entry Type",$C$4,"2 Item No.","@@"&amp;$F912,"3 Posting Date",U$9)+NL("Sum","5802 Value Entry","17 Sales Amount (Actual)","41 Source Type",$C$5,"5 Source no.",$C912,"4 Item Ledger Entry Type",$C$4,"2 Item No.","@@"&amp;$F912,"3 Posting Date",U$9)</t>
  </si>
  <si>
    <t>=-NL("Sum","5802 Value Entry","151 Cost Amount (Expected)","41 Source Type",$C$5,"5 Source No.",$C912,"4 Item Ledger Entry Type",$C$4,"2 Item No.","@@"&amp;$F912,"3 Posting Date",U$9)-NL("Sum","5802 Value Entry","43 Cost Amount (Actual)","41 Source Type",$C$5,"5 Source no.",$C912,"4 Item Ledger Entry Type",$C$4,"2 Item No.","@@"&amp;$F912,"3 Posting Date",U$9)</t>
  </si>
  <si>
    <t>=U912-W912</t>
  </si>
  <si>
    <t>=IF(U912&lt;&gt;0,X912/U912,"")</t>
  </si>
  <si>
    <t>=NL("Sum","5802 Value Entry","150 Sales Amount (Expected)","41 Source Type",$C$5,"5 Source No.",$C912,"4 Item Ledger Entry Type",$C$4,"2 Item No.","@@"&amp;$F912,"3 Posting Date",Z$9)+NL("Sum","5802 Value Entry","17 Sales Amount (Actual)","41 Source Type",$C$5,"5 Source no.",$C912,"4 Item Ledger Entry Type",$C$4,"2 Item No.","@@"&amp;$F912,"3 Posting Date",Z$9)</t>
  </si>
  <si>
    <t>=-NL("Sum","5802 Value Entry","151 Cost Amount (Expected)","41 Source Type",$C$5,"5 Source No.",$C912,"4 Item Ledger Entry Type",$C$4,"2 Item No.","@@"&amp;$F912,"3 Posting Date",Z$9)-NL("Sum","5802 Value Entry","43 Cost Amount (Actual)","41 Source Type",$C$5,"5 Source no.",$C912,"4 Item Ledger Entry Type",$C$4,"2 Item No.","@@"&amp;$F912,"3 Posting Date",Z$9)</t>
  </si>
  <si>
    <t>=Z912-AB912</t>
  </si>
  <si>
    <t>=IF(Z912&lt;&gt;0,AC912/Z912,"")</t>
  </si>
  <si>
    <t>=C912</t>
  </si>
  <si>
    <t>=NL("Sum","5802 Value Entry","150 Sales Amount (Expected)","41 Source Type",$C$5,"5 Source No.",$C913,"4 Item Ledger Entry Type",$C$4,"2 Item No.","@@"&amp;$F913,"3 Posting Date",J$9)+NL("Sum","5802 Value Entry","17 Sales Amount (Actual)","41 Source Type",$C$5,"5 Source no.",$C913,"4 Item Ledger Entry Type",$C$4,"2 Item No.","@@"&amp;$F913,"3 Posting Date",J$9)</t>
  </si>
  <si>
    <t>=-NL("Sum","5802 Value Entry","151 Cost Amount (Expected)","41 Source Type",$C$5,"5 Source No.",$C913,"4 Item Ledger Entry Type",$C$4,"2 Item No.","@@"&amp;$F913,"3 Posting Date",J$9)-NL("Sum","5802 Value Entry","43 Cost Amount (Actual)","41 Source Type",$C$5,"5 Source no.",$C913,"4 Item Ledger Entry Type",$C$4,"2 Item No.","@@"&amp;$F913,"3 Posting Date",J$9)</t>
  </si>
  <si>
    <t>=J913-L913</t>
  </si>
  <si>
    <t>=IF(J913&lt;&gt;0,M913/J913,"")</t>
  </si>
  <si>
    <t>=NL("Sum","5802 Value Entry","150 Sales Amount (Expected)","41 Source Type",$C$5,"5 Source No.",$C913,"4 Item Ledger Entry Type",$C$4,"2 Item No.","@@"&amp;$F913,"3 Posting Date",O$9)+NL("Sum","5802 Value Entry","17 Sales Amount (Actual)","41 Source Type",$C$5,"5 Source no.",$C913,"4 Item Ledger Entry Type",$C$4,"2 Item No.","@@"&amp;$F913,"3 Posting Date",O$9)</t>
  </si>
  <si>
    <t>=-NL("Sum","5802 Value Entry","151 Cost Amount (Expected)","41 Source Type",$C$5,"5 Source No.",$C913,"4 Item Ledger Entry Type",$C$4,"2 Item No.","@@"&amp;$F913,"3 Posting Date",O$9)-NL("Sum","5802 Value Entry","43 Cost Amount (Actual)","41 Source Type",$C$5,"5 Source no.",$C913,"4 Item Ledger Entry Type",$C$4,"2 Item No.","@@"&amp;$F913,"3 Posting Date",O$9)</t>
  </si>
  <si>
    <t>=O913-Q913</t>
  </si>
  <si>
    <t>=IF(O913&lt;&gt;0,R913/O913,"")</t>
  </si>
  <si>
    <t>=NL("Sum","5802 Value Entry","150 Sales Amount (Expected)","41 Source Type",$C$5,"5 Source No.",$C913,"4 Item Ledger Entry Type",$C$4,"2 Item No.","@@"&amp;$F913,"3 Posting Date",U$9)+NL("Sum","5802 Value Entry","17 Sales Amount (Actual)","41 Source Type",$C$5,"5 Source no.",$C913,"4 Item Ledger Entry Type",$C$4,"2 Item No.","@@"&amp;$F913,"3 Posting Date",U$9)</t>
  </si>
  <si>
    <t>=-NL("Sum","5802 Value Entry","151 Cost Amount (Expected)","41 Source Type",$C$5,"5 Source No.",$C913,"4 Item Ledger Entry Type",$C$4,"2 Item No.","@@"&amp;$F913,"3 Posting Date",U$9)-NL("Sum","5802 Value Entry","43 Cost Amount (Actual)","41 Source Type",$C$5,"5 Source no.",$C913,"4 Item Ledger Entry Type",$C$4,"2 Item No.","@@"&amp;$F913,"3 Posting Date",U$9)</t>
  </si>
  <si>
    <t>=U913-W913</t>
  </si>
  <si>
    <t>=IF(U913&lt;&gt;0,X913/U913,"")</t>
  </si>
  <si>
    <t>=NL("Sum","5802 Value Entry","150 Sales Amount (Expected)","41 Source Type",$C$5,"5 Source No.",$C913,"4 Item Ledger Entry Type",$C$4,"2 Item No.","@@"&amp;$F913,"3 Posting Date",Z$9)+NL("Sum","5802 Value Entry","17 Sales Amount (Actual)","41 Source Type",$C$5,"5 Source no.",$C913,"4 Item Ledger Entry Type",$C$4,"2 Item No.","@@"&amp;$F913,"3 Posting Date",Z$9)</t>
  </si>
  <si>
    <t>=-NL("Sum","5802 Value Entry","151 Cost Amount (Expected)","41 Source Type",$C$5,"5 Source No.",$C913,"4 Item Ledger Entry Type",$C$4,"2 Item No.","@@"&amp;$F913,"3 Posting Date",Z$9)-NL("Sum","5802 Value Entry","43 Cost Amount (Actual)","41 Source Type",$C$5,"5 Source no.",$C913,"4 Item Ledger Entry Type",$C$4,"2 Item No.","@@"&amp;$F913,"3 Posting Date",Z$9)</t>
  </si>
  <si>
    <t>=Z913-AB913</t>
  </si>
  <si>
    <t>=IF(Z913&lt;&gt;0,AC913/Z913,"")</t>
  </si>
  <si>
    <t>=C913</t>
  </si>
  <si>
    <t>=NL("Sum","5802 Value Entry","150 Sales Amount (Expected)","41 Source Type",$C$5,"5 Source No.",$C914,"4 Item Ledger Entry Type",$C$4,"2 Item No.","@@"&amp;$F914,"3 Posting Date",J$9)+NL("Sum","5802 Value Entry","17 Sales Amount (Actual)","41 Source Type",$C$5,"5 Source no.",$C914,"4 Item Ledger Entry Type",$C$4,"2 Item No.","@@"&amp;$F914,"3 Posting Date",J$9)</t>
  </si>
  <si>
    <t>=-NL("Sum","5802 Value Entry","151 Cost Amount (Expected)","41 Source Type",$C$5,"5 Source No.",$C914,"4 Item Ledger Entry Type",$C$4,"2 Item No.","@@"&amp;$F914,"3 Posting Date",J$9)-NL("Sum","5802 Value Entry","43 Cost Amount (Actual)","41 Source Type",$C$5,"5 Source no.",$C914,"4 Item Ledger Entry Type",$C$4,"2 Item No.","@@"&amp;$F914,"3 Posting Date",J$9)</t>
  </si>
  <si>
    <t>=J914-L914</t>
  </si>
  <si>
    <t>=IF(J914&lt;&gt;0,M914/J914,"")</t>
  </si>
  <si>
    <t>=NL("Sum","5802 Value Entry","150 Sales Amount (Expected)","41 Source Type",$C$5,"5 Source No.",$C914,"4 Item Ledger Entry Type",$C$4,"2 Item No.","@@"&amp;$F914,"3 Posting Date",O$9)+NL("Sum","5802 Value Entry","17 Sales Amount (Actual)","41 Source Type",$C$5,"5 Source no.",$C914,"4 Item Ledger Entry Type",$C$4,"2 Item No.","@@"&amp;$F914,"3 Posting Date",O$9)</t>
  </si>
  <si>
    <t>=-NL("Sum","5802 Value Entry","151 Cost Amount (Expected)","41 Source Type",$C$5,"5 Source No.",$C914,"4 Item Ledger Entry Type",$C$4,"2 Item No.","@@"&amp;$F914,"3 Posting Date",O$9)-NL("Sum","5802 Value Entry","43 Cost Amount (Actual)","41 Source Type",$C$5,"5 Source no.",$C914,"4 Item Ledger Entry Type",$C$4,"2 Item No.","@@"&amp;$F914,"3 Posting Date",O$9)</t>
  </si>
  <si>
    <t>=O914-Q914</t>
  </si>
  <si>
    <t>=IF(O914&lt;&gt;0,R914/O914,"")</t>
  </si>
  <si>
    <t>=NL("Sum","5802 Value Entry","150 Sales Amount (Expected)","41 Source Type",$C$5,"5 Source No.",$C914,"4 Item Ledger Entry Type",$C$4,"2 Item No.","@@"&amp;$F914,"3 Posting Date",U$9)+NL("Sum","5802 Value Entry","17 Sales Amount (Actual)","41 Source Type",$C$5,"5 Source no.",$C914,"4 Item Ledger Entry Type",$C$4,"2 Item No.","@@"&amp;$F914,"3 Posting Date",U$9)</t>
  </si>
  <si>
    <t>=-NL("Sum","5802 Value Entry","151 Cost Amount (Expected)","41 Source Type",$C$5,"5 Source No.",$C914,"4 Item Ledger Entry Type",$C$4,"2 Item No.","@@"&amp;$F914,"3 Posting Date",U$9)-NL("Sum","5802 Value Entry","43 Cost Amount (Actual)","41 Source Type",$C$5,"5 Source no.",$C914,"4 Item Ledger Entry Type",$C$4,"2 Item No.","@@"&amp;$F914,"3 Posting Date",U$9)</t>
  </si>
  <si>
    <t>=U914-W914</t>
  </si>
  <si>
    <t>=IF(U914&lt;&gt;0,X914/U914,"")</t>
  </si>
  <si>
    <t>=NL("Sum","5802 Value Entry","150 Sales Amount (Expected)","41 Source Type",$C$5,"5 Source No.",$C914,"4 Item Ledger Entry Type",$C$4,"2 Item No.","@@"&amp;$F914,"3 Posting Date",Z$9)+NL("Sum","5802 Value Entry","17 Sales Amount (Actual)","41 Source Type",$C$5,"5 Source no.",$C914,"4 Item Ledger Entry Type",$C$4,"2 Item No.","@@"&amp;$F914,"3 Posting Date",Z$9)</t>
  </si>
  <si>
    <t>=-NL("Sum","5802 Value Entry","151 Cost Amount (Expected)","41 Source Type",$C$5,"5 Source No.",$C914,"4 Item Ledger Entry Type",$C$4,"2 Item No.","@@"&amp;$F914,"3 Posting Date",Z$9)-NL("Sum","5802 Value Entry","43 Cost Amount (Actual)","41 Source Type",$C$5,"5 Source no.",$C914,"4 Item Ledger Entry Type",$C$4,"2 Item No.","@@"&amp;$F914,"3 Posting Date",Z$9)</t>
  </si>
  <si>
    <t>=Z914-AB914</t>
  </si>
  <si>
    <t>=IF(Z914&lt;&gt;0,AC914/Z914,"")</t>
  </si>
  <si>
    <t>=C914</t>
  </si>
  <si>
    <t>=NL("Sum","5802 Value Entry","150 Sales Amount (Expected)","41 Source Type",$C$5,"5 Source No.",$C915,"4 Item Ledger Entry Type",$C$4,"2 Item No.","@@"&amp;$F915,"3 Posting Date",J$9)+NL("Sum","5802 Value Entry","17 Sales Amount (Actual)","41 Source Type",$C$5,"5 Source no.",$C915,"4 Item Ledger Entry Type",$C$4,"2 Item No.","@@"&amp;$F915,"3 Posting Date",J$9)</t>
  </si>
  <si>
    <t>=-NL("Sum","5802 Value Entry","151 Cost Amount (Expected)","41 Source Type",$C$5,"5 Source No.",$C915,"4 Item Ledger Entry Type",$C$4,"2 Item No.","@@"&amp;$F915,"3 Posting Date",J$9)-NL("Sum","5802 Value Entry","43 Cost Amount (Actual)","41 Source Type",$C$5,"5 Source no.",$C915,"4 Item Ledger Entry Type",$C$4,"2 Item No.","@@"&amp;$F915,"3 Posting Date",J$9)</t>
  </si>
  <si>
    <t>=J915-L915</t>
  </si>
  <si>
    <t>=IF(J915&lt;&gt;0,M915/J915,"")</t>
  </si>
  <si>
    <t>=NL("Sum","5802 Value Entry","150 Sales Amount (Expected)","41 Source Type",$C$5,"5 Source No.",$C915,"4 Item Ledger Entry Type",$C$4,"2 Item No.","@@"&amp;$F915,"3 Posting Date",O$9)+NL("Sum","5802 Value Entry","17 Sales Amount (Actual)","41 Source Type",$C$5,"5 Source no.",$C915,"4 Item Ledger Entry Type",$C$4,"2 Item No.","@@"&amp;$F915,"3 Posting Date",O$9)</t>
  </si>
  <si>
    <t>=-NL("Sum","5802 Value Entry","151 Cost Amount (Expected)","41 Source Type",$C$5,"5 Source No.",$C915,"4 Item Ledger Entry Type",$C$4,"2 Item No.","@@"&amp;$F915,"3 Posting Date",O$9)-NL("Sum","5802 Value Entry","43 Cost Amount (Actual)","41 Source Type",$C$5,"5 Source no.",$C915,"4 Item Ledger Entry Type",$C$4,"2 Item No.","@@"&amp;$F915,"3 Posting Date",O$9)</t>
  </si>
  <si>
    <t>=O915-Q915</t>
  </si>
  <si>
    <t>=IF(O915&lt;&gt;0,R915/O915,"")</t>
  </si>
  <si>
    <t>=NL("Sum","5802 Value Entry","150 Sales Amount (Expected)","41 Source Type",$C$5,"5 Source No.",$C915,"4 Item Ledger Entry Type",$C$4,"2 Item No.","@@"&amp;$F915,"3 Posting Date",U$9)+NL("Sum","5802 Value Entry","17 Sales Amount (Actual)","41 Source Type",$C$5,"5 Source no.",$C915,"4 Item Ledger Entry Type",$C$4,"2 Item No.","@@"&amp;$F915,"3 Posting Date",U$9)</t>
  </si>
  <si>
    <t>=-NL("Sum","5802 Value Entry","151 Cost Amount (Expected)","41 Source Type",$C$5,"5 Source No.",$C915,"4 Item Ledger Entry Type",$C$4,"2 Item No.","@@"&amp;$F915,"3 Posting Date",U$9)-NL("Sum","5802 Value Entry","43 Cost Amount (Actual)","41 Source Type",$C$5,"5 Source no.",$C915,"4 Item Ledger Entry Type",$C$4,"2 Item No.","@@"&amp;$F915,"3 Posting Date",U$9)</t>
  </si>
  <si>
    <t>=U915-W915</t>
  </si>
  <si>
    <t>=IF(U915&lt;&gt;0,X915/U915,"")</t>
  </si>
  <si>
    <t>=NL("Sum","5802 Value Entry","150 Sales Amount (Expected)","41 Source Type",$C$5,"5 Source No.",$C915,"4 Item Ledger Entry Type",$C$4,"2 Item No.","@@"&amp;$F915,"3 Posting Date",Z$9)+NL("Sum","5802 Value Entry","17 Sales Amount (Actual)","41 Source Type",$C$5,"5 Source no.",$C915,"4 Item Ledger Entry Type",$C$4,"2 Item No.","@@"&amp;$F915,"3 Posting Date",Z$9)</t>
  </si>
  <si>
    <t>=-NL("Sum","5802 Value Entry","151 Cost Amount (Expected)","41 Source Type",$C$5,"5 Source No.",$C915,"4 Item Ledger Entry Type",$C$4,"2 Item No.","@@"&amp;$F915,"3 Posting Date",Z$9)-NL("Sum","5802 Value Entry","43 Cost Amount (Actual)","41 Source Type",$C$5,"5 Source no.",$C915,"4 Item Ledger Entry Type",$C$4,"2 Item No.","@@"&amp;$F915,"3 Posting Date",Z$9)</t>
  </si>
  <si>
    <t>=Z915-AB915</t>
  </si>
  <si>
    <t>=IF(Z915&lt;&gt;0,AC915/Z915,"")</t>
  </si>
  <si>
    <t>=C915</t>
  </si>
  <si>
    <t>=NL("Sum","5802 Value Entry","150 Sales Amount (Expected)","41 Source Type",$C$5,"5 Source No.",$C916,"4 Item Ledger Entry Type",$C$4,"2 Item No.","@@"&amp;$F916,"3 Posting Date",J$9)+NL("Sum","5802 Value Entry","17 Sales Amount (Actual)","41 Source Type",$C$5,"5 Source no.",$C916,"4 Item Ledger Entry Type",$C$4,"2 Item No.","@@"&amp;$F916,"3 Posting Date",J$9)</t>
  </si>
  <si>
    <t>=-NL("Sum","5802 Value Entry","151 Cost Amount (Expected)","41 Source Type",$C$5,"5 Source No.",$C916,"4 Item Ledger Entry Type",$C$4,"2 Item No.","@@"&amp;$F916,"3 Posting Date",J$9)-NL("Sum","5802 Value Entry","43 Cost Amount (Actual)","41 Source Type",$C$5,"5 Source no.",$C916,"4 Item Ledger Entry Type",$C$4,"2 Item No.","@@"&amp;$F916,"3 Posting Date",J$9)</t>
  </si>
  <si>
    <t>=J916-L916</t>
  </si>
  <si>
    <t>=IF(J916&lt;&gt;0,M916/J916,"")</t>
  </si>
  <si>
    <t>=NL("Sum","5802 Value Entry","150 Sales Amount (Expected)","41 Source Type",$C$5,"5 Source No.",$C916,"4 Item Ledger Entry Type",$C$4,"2 Item No.","@@"&amp;$F916,"3 Posting Date",O$9)+NL("Sum","5802 Value Entry","17 Sales Amount (Actual)","41 Source Type",$C$5,"5 Source no.",$C916,"4 Item Ledger Entry Type",$C$4,"2 Item No.","@@"&amp;$F916,"3 Posting Date",O$9)</t>
  </si>
  <si>
    <t>=-NL("Sum","5802 Value Entry","151 Cost Amount (Expected)","41 Source Type",$C$5,"5 Source No.",$C916,"4 Item Ledger Entry Type",$C$4,"2 Item No.","@@"&amp;$F916,"3 Posting Date",O$9)-NL("Sum","5802 Value Entry","43 Cost Amount (Actual)","41 Source Type",$C$5,"5 Source no.",$C916,"4 Item Ledger Entry Type",$C$4,"2 Item No.","@@"&amp;$F916,"3 Posting Date",O$9)</t>
  </si>
  <si>
    <t>=O916-Q916</t>
  </si>
  <si>
    <t>=IF(O916&lt;&gt;0,R916/O916,"")</t>
  </si>
  <si>
    <t>=NL("Sum","5802 Value Entry","150 Sales Amount (Expected)","41 Source Type",$C$5,"5 Source No.",$C916,"4 Item Ledger Entry Type",$C$4,"2 Item No.","@@"&amp;$F916,"3 Posting Date",U$9)+NL("Sum","5802 Value Entry","17 Sales Amount (Actual)","41 Source Type",$C$5,"5 Source no.",$C916,"4 Item Ledger Entry Type",$C$4,"2 Item No.","@@"&amp;$F916,"3 Posting Date",U$9)</t>
  </si>
  <si>
    <t>=-NL("Sum","5802 Value Entry","151 Cost Amount (Expected)","41 Source Type",$C$5,"5 Source No.",$C916,"4 Item Ledger Entry Type",$C$4,"2 Item No.","@@"&amp;$F916,"3 Posting Date",U$9)-NL("Sum","5802 Value Entry","43 Cost Amount (Actual)","41 Source Type",$C$5,"5 Source no.",$C916,"4 Item Ledger Entry Type",$C$4,"2 Item No.","@@"&amp;$F916,"3 Posting Date",U$9)</t>
  </si>
  <si>
    <t>=U916-W916</t>
  </si>
  <si>
    <t>=IF(U916&lt;&gt;0,X916/U916,"")</t>
  </si>
  <si>
    <t>=NL("Sum","5802 Value Entry","150 Sales Amount (Expected)","41 Source Type",$C$5,"5 Source No.",$C916,"4 Item Ledger Entry Type",$C$4,"2 Item No.","@@"&amp;$F916,"3 Posting Date",Z$9)+NL("Sum","5802 Value Entry","17 Sales Amount (Actual)","41 Source Type",$C$5,"5 Source no.",$C916,"4 Item Ledger Entry Type",$C$4,"2 Item No.","@@"&amp;$F916,"3 Posting Date",Z$9)</t>
  </si>
  <si>
    <t>=-NL("Sum","5802 Value Entry","151 Cost Amount (Expected)","41 Source Type",$C$5,"5 Source No.",$C916,"4 Item Ledger Entry Type",$C$4,"2 Item No.","@@"&amp;$F916,"3 Posting Date",Z$9)-NL("Sum","5802 Value Entry","43 Cost Amount (Actual)","41 Source Type",$C$5,"5 Source no.",$C916,"4 Item Ledger Entry Type",$C$4,"2 Item No.","@@"&amp;$F916,"3 Posting Date",Z$9)</t>
  </si>
  <si>
    <t>=Z916-AB916</t>
  </si>
  <si>
    <t>=IF(Z916&lt;&gt;0,AC916/Z916,"")</t>
  </si>
  <si>
    <t>=C916</t>
  </si>
  <si>
    <t>=NL("Sum","5802 Value Entry","150 Sales Amount (Expected)","41 Source Type",$C$5,"5 Source No.",$C917,"4 Item Ledger Entry Type",$C$4,"2 Item No.","@@"&amp;$F917,"3 Posting Date",J$9)+NL("Sum","5802 Value Entry","17 Sales Amount (Actual)","41 Source Type",$C$5,"5 Source no.",$C917,"4 Item Ledger Entry Type",$C$4,"2 Item No.","@@"&amp;$F917,"3 Posting Date",J$9)</t>
  </si>
  <si>
    <t>=-NL("Sum","5802 Value Entry","151 Cost Amount (Expected)","41 Source Type",$C$5,"5 Source No.",$C917,"4 Item Ledger Entry Type",$C$4,"2 Item No.","@@"&amp;$F917,"3 Posting Date",J$9)-NL("Sum","5802 Value Entry","43 Cost Amount (Actual)","41 Source Type",$C$5,"5 Source no.",$C917,"4 Item Ledger Entry Type",$C$4,"2 Item No.","@@"&amp;$F917,"3 Posting Date",J$9)</t>
  </si>
  <si>
    <t>=J917-L917</t>
  </si>
  <si>
    <t>=IF(J917&lt;&gt;0,M917/J917,"")</t>
  </si>
  <si>
    <t>=NL("Sum","5802 Value Entry","150 Sales Amount (Expected)","41 Source Type",$C$5,"5 Source No.",$C917,"4 Item Ledger Entry Type",$C$4,"2 Item No.","@@"&amp;$F917,"3 Posting Date",O$9)+NL("Sum","5802 Value Entry","17 Sales Amount (Actual)","41 Source Type",$C$5,"5 Source no.",$C917,"4 Item Ledger Entry Type",$C$4,"2 Item No.","@@"&amp;$F917,"3 Posting Date",O$9)</t>
  </si>
  <si>
    <t>=-NL("Sum","5802 Value Entry","151 Cost Amount (Expected)","41 Source Type",$C$5,"5 Source No.",$C917,"4 Item Ledger Entry Type",$C$4,"2 Item No.","@@"&amp;$F917,"3 Posting Date",O$9)-NL("Sum","5802 Value Entry","43 Cost Amount (Actual)","41 Source Type",$C$5,"5 Source no.",$C917,"4 Item Ledger Entry Type",$C$4,"2 Item No.","@@"&amp;$F917,"3 Posting Date",O$9)</t>
  </si>
  <si>
    <t>=O917-Q917</t>
  </si>
  <si>
    <t>=IF(O917&lt;&gt;0,R917/O917,"")</t>
  </si>
  <si>
    <t>=NL("Sum","5802 Value Entry","150 Sales Amount (Expected)","41 Source Type",$C$5,"5 Source No.",$C917,"4 Item Ledger Entry Type",$C$4,"2 Item No.","@@"&amp;$F917,"3 Posting Date",U$9)+NL("Sum","5802 Value Entry","17 Sales Amount (Actual)","41 Source Type",$C$5,"5 Source no.",$C917,"4 Item Ledger Entry Type",$C$4,"2 Item No.","@@"&amp;$F917,"3 Posting Date",U$9)</t>
  </si>
  <si>
    <t>=-NL("Sum","5802 Value Entry","151 Cost Amount (Expected)","41 Source Type",$C$5,"5 Source No.",$C917,"4 Item Ledger Entry Type",$C$4,"2 Item No.","@@"&amp;$F917,"3 Posting Date",U$9)-NL("Sum","5802 Value Entry","43 Cost Amount (Actual)","41 Source Type",$C$5,"5 Source no.",$C917,"4 Item Ledger Entry Type",$C$4,"2 Item No.","@@"&amp;$F917,"3 Posting Date",U$9)</t>
  </si>
  <si>
    <t>=U917-W917</t>
  </si>
  <si>
    <t>=IF(U917&lt;&gt;0,X917/U917,"")</t>
  </si>
  <si>
    <t>=NL("Sum","5802 Value Entry","150 Sales Amount (Expected)","41 Source Type",$C$5,"5 Source No.",$C917,"4 Item Ledger Entry Type",$C$4,"2 Item No.","@@"&amp;$F917,"3 Posting Date",Z$9)+NL("Sum","5802 Value Entry","17 Sales Amount (Actual)","41 Source Type",$C$5,"5 Source no.",$C917,"4 Item Ledger Entry Type",$C$4,"2 Item No.","@@"&amp;$F917,"3 Posting Date",Z$9)</t>
  </si>
  <si>
    <t>=-NL("Sum","5802 Value Entry","151 Cost Amount (Expected)","41 Source Type",$C$5,"5 Source No.",$C917,"4 Item Ledger Entry Type",$C$4,"2 Item No.","@@"&amp;$F917,"3 Posting Date",Z$9)-NL("Sum","5802 Value Entry","43 Cost Amount (Actual)","41 Source Type",$C$5,"5 Source no.",$C917,"4 Item Ledger Entry Type",$C$4,"2 Item No.","@@"&amp;$F917,"3 Posting Date",Z$9)</t>
  </si>
  <si>
    <t>=Z917-AB917</t>
  </si>
  <si>
    <t>=IF(Z917&lt;&gt;0,AC917/Z917,"")</t>
  </si>
  <si>
    <t>=C917</t>
  </si>
  <si>
    <t>=NL("Sum","5802 Value Entry","150 Sales Amount (Expected)","41 Source Type",$C$5,"5 Source No.",$C918,"4 Item Ledger Entry Type",$C$4,"2 Item No.","@@"&amp;$F918,"3 Posting Date",J$9)+NL("Sum","5802 Value Entry","17 Sales Amount (Actual)","41 Source Type",$C$5,"5 Source no.",$C918,"4 Item Ledger Entry Type",$C$4,"2 Item No.","@@"&amp;$F918,"3 Posting Date",J$9)</t>
  </si>
  <si>
    <t>=-NL("Sum","5802 Value Entry","151 Cost Amount (Expected)","41 Source Type",$C$5,"5 Source No.",$C918,"4 Item Ledger Entry Type",$C$4,"2 Item No.","@@"&amp;$F918,"3 Posting Date",J$9)-NL("Sum","5802 Value Entry","43 Cost Amount (Actual)","41 Source Type",$C$5,"5 Source no.",$C918,"4 Item Ledger Entry Type",$C$4,"2 Item No.","@@"&amp;$F918,"3 Posting Date",J$9)</t>
  </si>
  <si>
    <t>=J918-L918</t>
  </si>
  <si>
    <t>=IF(J918&lt;&gt;0,M918/J918,"")</t>
  </si>
  <si>
    <t>=NL("Sum","5802 Value Entry","150 Sales Amount (Expected)","41 Source Type",$C$5,"5 Source No.",$C918,"4 Item Ledger Entry Type",$C$4,"2 Item No.","@@"&amp;$F918,"3 Posting Date",O$9)+NL("Sum","5802 Value Entry","17 Sales Amount (Actual)","41 Source Type",$C$5,"5 Source no.",$C918,"4 Item Ledger Entry Type",$C$4,"2 Item No.","@@"&amp;$F918,"3 Posting Date",O$9)</t>
  </si>
  <si>
    <t>=-NL("Sum","5802 Value Entry","151 Cost Amount (Expected)","41 Source Type",$C$5,"5 Source No.",$C918,"4 Item Ledger Entry Type",$C$4,"2 Item No.","@@"&amp;$F918,"3 Posting Date",O$9)-NL("Sum","5802 Value Entry","43 Cost Amount (Actual)","41 Source Type",$C$5,"5 Source no.",$C918,"4 Item Ledger Entry Type",$C$4,"2 Item No.","@@"&amp;$F918,"3 Posting Date",O$9)</t>
  </si>
  <si>
    <t>=O918-Q918</t>
  </si>
  <si>
    <t>=IF(O918&lt;&gt;0,R918/O918,"")</t>
  </si>
  <si>
    <t>=NL("Sum","5802 Value Entry","150 Sales Amount (Expected)","41 Source Type",$C$5,"5 Source No.",$C918,"4 Item Ledger Entry Type",$C$4,"2 Item No.","@@"&amp;$F918,"3 Posting Date",U$9)+NL("Sum","5802 Value Entry","17 Sales Amount (Actual)","41 Source Type",$C$5,"5 Source no.",$C918,"4 Item Ledger Entry Type",$C$4,"2 Item No.","@@"&amp;$F918,"3 Posting Date",U$9)</t>
  </si>
  <si>
    <t>=-NL("Sum","5802 Value Entry","151 Cost Amount (Expected)","41 Source Type",$C$5,"5 Source No.",$C918,"4 Item Ledger Entry Type",$C$4,"2 Item No.","@@"&amp;$F918,"3 Posting Date",U$9)-NL("Sum","5802 Value Entry","43 Cost Amount (Actual)","41 Source Type",$C$5,"5 Source no.",$C918,"4 Item Ledger Entry Type",$C$4,"2 Item No.","@@"&amp;$F918,"3 Posting Date",U$9)</t>
  </si>
  <si>
    <t>=U918-W918</t>
  </si>
  <si>
    <t>=IF(U918&lt;&gt;0,X918/U918,"")</t>
  </si>
  <si>
    <t>=NL("Sum","5802 Value Entry","150 Sales Amount (Expected)","41 Source Type",$C$5,"5 Source No.",$C918,"4 Item Ledger Entry Type",$C$4,"2 Item No.","@@"&amp;$F918,"3 Posting Date",Z$9)+NL("Sum","5802 Value Entry","17 Sales Amount (Actual)","41 Source Type",$C$5,"5 Source no.",$C918,"4 Item Ledger Entry Type",$C$4,"2 Item No.","@@"&amp;$F918,"3 Posting Date",Z$9)</t>
  </si>
  <si>
    <t>=-NL("Sum","5802 Value Entry","151 Cost Amount (Expected)","41 Source Type",$C$5,"5 Source No.",$C918,"4 Item Ledger Entry Type",$C$4,"2 Item No.","@@"&amp;$F918,"3 Posting Date",Z$9)-NL("Sum","5802 Value Entry","43 Cost Amount (Actual)","41 Source Type",$C$5,"5 Source no.",$C918,"4 Item Ledger Entry Type",$C$4,"2 Item No.","@@"&amp;$F918,"3 Posting Date",Z$9)</t>
  </si>
  <si>
    <t>=Z918-AB918</t>
  </si>
  <si>
    <t>=IF(Z918&lt;&gt;0,AC918/Z918,"")</t>
  </si>
  <si>
    <t>=C918</t>
  </si>
  <si>
    <t>=NL("Sum","5802 Value Entry","150 Sales Amount (Expected)","41 Source Type",$C$5,"5 Source No.",$C919,"4 Item Ledger Entry Type",$C$4,"2 Item No.","@@"&amp;$F919,"3 Posting Date",J$9)+NL("Sum","5802 Value Entry","17 Sales Amount (Actual)","41 Source Type",$C$5,"5 Source no.",$C919,"4 Item Ledger Entry Type",$C$4,"2 Item No.","@@"&amp;$F919,"3 Posting Date",J$9)</t>
  </si>
  <si>
    <t>=-NL("Sum","5802 Value Entry","151 Cost Amount (Expected)","41 Source Type",$C$5,"5 Source No.",$C919,"4 Item Ledger Entry Type",$C$4,"2 Item No.","@@"&amp;$F919,"3 Posting Date",J$9)-NL("Sum","5802 Value Entry","43 Cost Amount (Actual)","41 Source Type",$C$5,"5 Source no.",$C919,"4 Item Ledger Entry Type",$C$4,"2 Item No.","@@"&amp;$F919,"3 Posting Date",J$9)</t>
  </si>
  <si>
    <t>=J919-L919</t>
  </si>
  <si>
    <t>=IF(J919&lt;&gt;0,M919/J919,"")</t>
  </si>
  <si>
    <t>=NL("Sum","5802 Value Entry","150 Sales Amount (Expected)","41 Source Type",$C$5,"5 Source No.",$C919,"4 Item Ledger Entry Type",$C$4,"2 Item No.","@@"&amp;$F919,"3 Posting Date",O$9)+NL("Sum","5802 Value Entry","17 Sales Amount (Actual)","41 Source Type",$C$5,"5 Source no.",$C919,"4 Item Ledger Entry Type",$C$4,"2 Item No.","@@"&amp;$F919,"3 Posting Date",O$9)</t>
  </si>
  <si>
    <t>=-NL("Sum","5802 Value Entry","151 Cost Amount (Expected)","41 Source Type",$C$5,"5 Source No.",$C919,"4 Item Ledger Entry Type",$C$4,"2 Item No.","@@"&amp;$F919,"3 Posting Date",O$9)-NL("Sum","5802 Value Entry","43 Cost Amount (Actual)","41 Source Type",$C$5,"5 Source no.",$C919,"4 Item Ledger Entry Type",$C$4,"2 Item No.","@@"&amp;$F919,"3 Posting Date",O$9)</t>
  </si>
  <si>
    <t>=O919-Q919</t>
  </si>
  <si>
    <t>=IF(O919&lt;&gt;0,R919/O919,"")</t>
  </si>
  <si>
    <t>=NL("Sum","5802 Value Entry","150 Sales Amount (Expected)","41 Source Type",$C$5,"5 Source No.",$C919,"4 Item Ledger Entry Type",$C$4,"2 Item No.","@@"&amp;$F919,"3 Posting Date",U$9)+NL("Sum","5802 Value Entry","17 Sales Amount (Actual)","41 Source Type",$C$5,"5 Source no.",$C919,"4 Item Ledger Entry Type",$C$4,"2 Item No.","@@"&amp;$F919,"3 Posting Date",U$9)</t>
  </si>
  <si>
    <t>=-NL("Sum","5802 Value Entry","151 Cost Amount (Expected)","41 Source Type",$C$5,"5 Source No.",$C919,"4 Item Ledger Entry Type",$C$4,"2 Item No.","@@"&amp;$F919,"3 Posting Date",U$9)-NL("Sum","5802 Value Entry","43 Cost Amount (Actual)","41 Source Type",$C$5,"5 Source no.",$C919,"4 Item Ledger Entry Type",$C$4,"2 Item No.","@@"&amp;$F919,"3 Posting Date",U$9)</t>
  </si>
  <si>
    <t>=U919-W919</t>
  </si>
  <si>
    <t>=IF(U919&lt;&gt;0,X919/U919,"")</t>
  </si>
  <si>
    <t>=NL("Sum","5802 Value Entry","150 Sales Amount (Expected)","41 Source Type",$C$5,"5 Source No.",$C919,"4 Item Ledger Entry Type",$C$4,"2 Item No.","@@"&amp;$F919,"3 Posting Date",Z$9)+NL("Sum","5802 Value Entry","17 Sales Amount (Actual)","41 Source Type",$C$5,"5 Source no.",$C919,"4 Item Ledger Entry Type",$C$4,"2 Item No.","@@"&amp;$F919,"3 Posting Date",Z$9)</t>
  </si>
  <si>
    <t>=-NL("Sum","5802 Value Entry","151 Cost Amount (Expected)","41 Source Type",$C$5,"5 Source No.",$C919,"4 Item Ledger Entry Type",$C$4,"2 Item No.","@@"&amp;$F919,"3 Posting Date",Z$9)-NL("Sum","5802 Value Entry","43 Cost Amount (Actual)","41 Source Type",$C$5,"5 Source no.",$C919,"4 Item Ledger Entry Type",$C$4,"2 Item No.","@@"&amp;$F919,"3 Posting Date",Z$9)</t>
  </si>
  <si>
    <t>=Z919-AB919</t>
  </si>
  <si>
    <t>=IF(Z919&lt;&gt;0,AC919/Z919,"")</t>
  </si>
  <si>
    <t>=C919</t>
  </si>
  <si>
    <t>=NL("Sum","5802 Value Entry","150 Sales Amount (Expected)","41 Source Type",$C$5,"5 Source No.",$C920,"4 Item Ledger Entry Type",$C$4,"2 Item No.","@@"&amp;$F920,"3 Posting Date",J$9)+NL("Sum","5802 Value Entry","17 Sales Amount (Actual)","41 Source Type",$C$5,"5 Source no.",$C920,"4 Item Ledger Entry Type",$C$4,"2 Item No.","@@"&amp;$F920,"3 Posting Date",J$9)</t>
  </si>
  <si>
    <t>=-NL("Sum","5802 Value Entry","151 Cost Amount (Expected)","41 Source Type",$C$5,"5 Source No.",$C920,"4 Item Ledger Entry Type",$C$4,"2 Item No.","@@"&amp;$F920,"3 Posting Date",J$9)-NL("Sum","5802 Value Entry","43 Cost Amount (Actual)","41 Source Type",$C$5,"5 Source no.",$C920,"4 Item Ledger Entry Type",$C$4,"2 Item No.","@@"&amp;$F920,"3 Posting Date",J$9)</t>
  </si>
  <si>
    <t>=J920-L920</t>
  </si>
  <si>
    <t>=IF(J920&lt;&gt;0,M920/J920,"")</t>
  </si>
  <si>
    <t>=NL("Sum","5802 Value Entry","150 Sales Amount (Expected)","41 Source Type",$C$5,"5 Source No.",$C920,"4 Item Ledger Entry Type",$C$4,"2 Item No.","@@"&amp;$F920,"3 Posting Date",O$9)+NL("Sum","5802 Value Entry","17 Sales Amount (Actual)","41 Source Type",$C$5,"5 Source no.",$C920,"4 Item Ledger Entry Type",$C$4,"2 Item No.","@@"&amp;$F920,"3 Posting Date",O$9)</t>
  </si>
  <si>
    <t>=-NL("Sum","5802 Value Entry","151 Cost Amount (Expected)","41 Source Type",$C$5,"5 Source No.",$C920,"4 Item Ledger Entry Type",$C$4,"2 Item No.","@@"&amp;$F920,"3 Posting Date",O$9)-NL("Sum","5802 Value Entry","43 Cost Amount (Actual)","41 Source Type",$C$5,"5 Source no.",$C920,"4 Item Ledger Entry Type",$C$4,"2 Item No.","@@"&amp;$F920,"3 Posting Date",O$9)</t>
  </si>
  <si>
    <t>=O920-Q920</t>
  </si>
  <si>
    <t>=IF(O920&lt;&gt;0,R920/O920,"")</t>
  </si>
  <si>
    <t>=NL("Sum","5802 Value Entry","150 Sales Amount (Expected)","41 Source Type",$C$5,"5 Source No.",$C920,"4 Item Ledger Entry Type",$C$4,"2 Item No.","@@"&amp;$F920,"3 Posting Date",U$9)+NL("Sum","5802 Value Entry","17 Sales Amount (Actual)","41 Source Type",$C$5,"5 Source no.",$C920,"4 Item Ledger Entry Type",$C$4,"2 Item No.","@@"&amp;$F920,"3 Posting Date",U$9)</t>
  </si>
  <si>
    <t>=-NL("Sum","5802 Value Entry","151 Cost Amount (Expected)","41 Source Type",$C$5,"5 Source No.",$C920,"4 Item Ledger Entry Type",$C$4,"2 Item No.","@@"&amp;$F920,"3 Posting Date",U$9)-NL("Sum","5802 Value Entry","43 Cost Amount (Actual)","41 Source Type",$C$5,"5 Source no.",$C920,"4 Item Ledger Entry Type",$C$4,"2 Item No.","@@"&amp;$F920,"3 Posting Date",U$9)</t>
  </si>
  <si>
    <t>=U920-W920</t>
  </si>
  <si>
    <t>=IF(U920&lt;&gt;0,X920/U920,"")</t>
  </si>
  <si>
    <t>=NL("Sum","5802 Value Entry","150 Sales Amount (Expected)","41 Source Type",$C$5,"5 Source No.",$C920,"4 Item Ledger Entry Type",$C$4,"2 Item No.","@@"&amp;$F920,"3 Posting Date",Z$9)+NL("Sum","5802 Value Entry","17 Sales Amount (Actual)","41 Source Type",$C$5,"5 Source no.",$C920,"4 Item Ledger Entry Type",$C$4,"2 Item No.","@@"&amp;$F920,"3 Posting Date",Z$9)</t>
  </si>
  <si>
    <t>=-NL("Sum","5802 Value Entry","151 Cost Amount (Expected)","41 Source Type",$C$5,"5 Source No.",$C920,"4 Item Ledger Entry Type",$C$4,"2 Item No.","@@"&amp;$F920,"3 Posting Date",Z$9)-NL("Sum","5802 Value Entry","43 Cost Amount (Actual)","41 Source Type",$C$5,"5 Source no.",$C920,"4 Item Ledger Entry Type",$C$4,"2 Item No.","@@"&amp;$F920,"3 Posting Date",Z$9)</t>
  </si>
  <si>
    <t>=Z920-AB920</t>
  </si>
  <si>
    <t>=IF(Z920&lt;&gt;0,AC920/Z920,"")</t>
  </si>
  <si>
    <t>=C920</t>
  </si>
  <si>
    <t>=NL("Sum","5802 Value Entry","150 Sales Amount (Expected)","41 Source Type",$C$5,"5 Source No.",$C921,"4 Item Ledger Entry Type",$C$4,"2 Item No.","@@"&amp;$F921,"3 Posting Date",J$9)+NL("Sum","5802 Value Entry","17 Sales Amount (Actual)","41 Source Type",$C$5,"5 Source no.",$C921,"4 Item Ledger Entry Type",$C$4,"2 Item No.","@@"&amp;$F921,"3 Posting Date",J$9)</t>
  </si>
  <si>
    <t>=-NL("Sum","5802 Value Entry","151 Cost Amount (Expected)","41 Source Type",$C$5,"5 Source No.",$C921,"4 Item Ledger Entry Type",$C$4,"2 Item No.","@@"&amp;$F921,"3 Posting Date",J$9)-NL("Sum","5802 Value Entry","43 Cost Amount (Actual)","41 Source Type",$C$5,"5 Source no.",$C921,"4 Item Ledger Entry Type",$C$4,"2 Item No.","@@"&amp;$F921,"3 Posting Date",J$9)</t>
  </si>
  <si>
    <t>=J921-L921</t>
  </si>
  <si>
    <t>=IF(J921&lt;&gt;0,M921/J921,"")</t>
  </si>
  <si>
    <t>=NL("Sum","5802 Value Entry","150 Sales Amount (Expected)","41 Source Type",$C$5,"5 Source No.",$C921,"4 Item Ledger Entry Type",$C$4,"2 Item No.","@@"&amp;$F921,"3 Posting Date",O$9)+NL("Sum","5802 Value Entry","17 Sales Amount (Actual)","41 Source Type",$C$5,"5 Source no.",$C921,"4 Item Ledger Entry Type",$C$4,"2 Item No.","@@"&amp;$F921,"3 Posting Date",O$9)</t>
  </si>
  <si>
    <t>=-NL("Sum","5802 Value Entry","151 Cost Amount (Expected)","41 Source Type",$C$5,"5 Source No.",$C921,"4 Item Ledger Entry Type",$C$4,"2 Item No.","@@"&amp;$F921,"3 Posting Date",O$9)-NL("Sum","5802 Value Entry","43 Cost Amount (Actual)","41 Source Type",$C$5,"5 Source no.",$C921,"4 Item Ledger Entry Type",$C$4,"2 Item No.","@@"&amp;$F921,"3 Posting Date",O$9)</t>
  </si>
  <si>
    <t>=O921-Q921</t>
  </si>
  <si>
    <t>=IF(O921&lt;&gt;0,R921/O921,"")</t>
  </si>
  <si>
    <t>=NL("Sum","5802 Value Entry","150 Sales Amount (Expected)","41 Source Type",$C$5,"5 Source No.",$C921,"4 Item Ledger Entry Type",$C$4,"2 Item No.","@@"&amp;$F921,"3 Posting Date",U$9)+NL("Sum","5802 Value Entry","17 Sales Amount (Actual)","41 Source Type",$C$5,"5 Source no.",$C921,"4 Item Ledger Entry Type",$C$4,"2 Item No.","@@"&amp;$F921,"3 Posting Date",U$9)</t>
  </si>
  <si>
    <t>=-NL("Sum","5802 Value Entry","151 Cost Amount (Expected)","41 Source Type",$C$5,"5 Source No.",$C921,"4 Item Ledger Entry Type",$C$4,"2 Item No.","@@"&amp;$F921,"3 Posting Date",U$9)-NL("Sum","5802 Value Entry","43 Cost Amount (Actual)","41 Source Type",$C$5,"5 Source no.",$C921,"4 Item Ledger Entry Type",$C$4,"2 Item No.","@@"&amp;$F921,"3 Posting Date",U$9)</t>
  </si>
  <si>
    <t>=U921-W921</t>
  </si>
  <si>
    <t>=IF(U921&lt;&gt;0,X921/U921,"")</t>
  </si>
  <si>
    <t>=NL("Sum","5802 Value Entry","150 Sales Amount (Expected)","41 Source Type",$C$5,"5 Source No.",$C921,"4 Item Ledger Entry Type",$C$4,"2 Item No.","@@"&amp;$F921,"3 Posting Date",Z$9)+NL("Sum","5802 Value Entry","17 Sales Amount (Actual)","41 Source Type",$C$5,"5 Source no.",$C921,"4 Item Ledger Entry Type",$C$4,"2 Item No.","@@"&amp;$F921,"3 Posting Date",Z$9)</t>
  </si>
  <si>
    <t>=-NL("Sum","5802 Value Entry","151 Cost Amount (Expected)","41 Source Type",$C$5,"5 Source No.",$C921,"4 Item Ledger Entry Type",$C$4,"2 Item No.","@@"&amp;$F921,"3 Posting Date",Z$9)-NL("Sum","5802 Value Entry","43 Cost Amount (Actual)","41 Source Type",$C$5,"5 Source no.",$C921,"4 Item Ledger Entry Type",$C$4,"2 Item No.","@@"&amp;$F921,"3 Posting Date",Z$9)</t>
  </si>
  <si>
    <t>=Z921-AB921</t>
  </si>
  <si>
    <t>=IF(Z921&lt;&gt;0,AC921/Z921,"")</t>
  </si>
  <si>
    <t>=C921</t>
  </si>
  <si>
    <t>=NL("Sum","5802 Value Entry","150 Sales Amount (Expected)","41 Source Type",$C$5,"5 Source No.",$C922,"4 Item Ledger Entry Type",$C$4,"2 Item No.","@@"&amp;$F922,"3 Posting Date",J$9)+NL("Sum","5802 Value Entry","17 Sales Amount (Actual)","41 Source Type",$C$5,"5 Source no.",$C922,"4 Item Ledger Entry Type",$C$4,"2 Item No.","@@"&amp;$F922,"3 Posting Date",J$9)</t>
  </si>
  <si>
    <t>=-NL("Sum","5802 Value Entry","151 Cost Amount (Expected)","41 Source Type",$C$5,"5 Source No.",$C922,"4 Item Ledger Entry Type",$C$4,"2 Item No.","@@"&amp;$F922,"3 Posting Date",J$9)-NL("Sum","5802 Value Entry","43 Cost Amount (Actual)","41 Source Type",$C$5,"5 Source no.",$C922,"4 Item Ledger Entry Type",$C$4,"2 Item No.","@@"&amp;$F922,"3 Posting Date",J$9)</t>
  </si>
  <si>
    <t>=J922-L922</t>
  </si>
  <si>
    <t>=IF(J922&lt;&gt;0,M922/J922,"")</t>
  </si>
  <si>
    <t>=NL("Sum","5802 Value Entry","150 Sales Amount (Expected)","41 Source Type",$C$5,"5 Source No.",$C922,"4 Item Ledger Entry Type",$C$4,"2 Item No.","@@"&amp;$F922,"3 Posting Date",O$9)+NL("Sum","5802 Value Entry","17 Sales Amount (Actual)","41 Source Type",$C$5,"5 Source no.",$C922,"4 Item Ledger Entry Type",$C$4,"2 Item No.","@@"&amp;$F922,"3 Posting Date",O$9)</t>
  </si>
  <si>
    <t>=-NL("Sum","5802 Value Entry","151 Cost Amount (Expected)","41 Source Type",$C$5,"5 Source No.",$C922,"4 Item Ledger Entry Type",$C$4,"2 Item No.","@@"&amp;$F922,"3 Posting Date",O$9)-NL("Sum","5802 Value Entry","43 Cost Amount (Actual)","41 Source Type",$C$5,"5 Source no.",$C922,"4 Item Ledger Entry Type",$C$4,"2 Item No.","@@"&amp;$F922,"3 Posting Date",O$9)</t>
  </si>
  <si>
    <t>=O922-Q922</t>
  </si>
  <si>
    <t>=IF(O922&lt;&gt;0,R922/O922,"")</t>
  </si>
  <si>
    <t>=NL("Sum","5802 Value Entry","150 Sales Amount (Expected)","41 Source Type",$C$5,"5 Source No.",$C922,"4 Item Ledger Entry Type",$C$4,"2 Item No.","@@"&amp;$F922,"3 Posting Date",U$9)+NL("Sum","5802 Value Entry","17 Sales Amount (Actual)","41 Source Type",$C$5,"5 Source no.",$C922,"4 Item Ledger Entry Type",$C$4,"2 Item No.","@@"&amp;$F922,"3 Posting Date",U$9)</t>
  </si>
  <si>
    <t>=-NL("Sum","5802 Value Entry","151 Cost Amount (Expected)","41 Source Type",$C$5,"5 Source No.",$C922,"4 Item Ledger Entry Type",$C$4,"2 Item No.","@@"&amp;$F922,"3 Posting Date",U$9)-NL("Sum","5802 Value Entry","43 Cost Amount (Actual)","41 Source Type",$C$5,"5 Source no.",$C922,"4 Item Ledger Entry Type",$C$4,"2 Item No.","@@"&amp;$F922,"3 Posting Date",U$9)</t>
  </si>
  <si>
    <t>=U922-W922</t>
  </si>
  <si>
    <t>=IF(U922&lt;&gt;0,X922/U922,"")</t>
  </si>
  <si>
    <t>=NL("Sum","5802 Value Entry","150 Sales Amount (Expected)","41 Source Type",$C$5,"5 Source No.",$C922,"4 Item Ledger Entry Type",$C$4,"2 Item No.","@@"&amp;$F922,"3 Posting Date",Z$9)+NL("Sum","5802 Value Entry","17 Sales Amount (Actual)","41 Source Type",$C$5,"5 Source no.",$C922,"4 Item Ledger Entry Type",$C$4,"2 Item No.","@@"&amp;$F922,"3 Posting Date",Z$9)</t>
  </si>
  <si>
    <t>=-NL("Sum","5802 Value Entry","151 Cost Amount (Expected)","41 Source Type",$C$5,"5 Source No.",$C922,"4 Item Ledger Entry Type",$C$4,"2 Item No.","@@"&amp;$F922,"3 Posting Date",Z$9)-NL("Sum","5802 Value Entry","43 Cost Amount (Actual)","41 Source Type",$C$5,"5 Source no.",$C922,"4 Item Ledger Entry Type",$C$4,"2 Item No.","@@"&amp;$F922,"3 Posting Date",Z$9)</t>
  </si>
  <si>
    <t>=Z922-AB922</t>
  </si>
  <si>
    <t>=IF(Z922&lt;&gt;0,AC922/Z922,"")</t>
  </si>
  <si>
    <t>=C922</t>
  </si>
  <si>
    <t>=NL("Sum","5802 Value Entry","150 Sales Amount (Expected)","41 Source Type",$C$5,"5 Source No.",$C923,"4 Item Ledger Entry Type",$C$4,"2 Item No.","@@"&amp;$F923,"3 Posting Date",J$9)+NL("Sum","5802 Value Entry","17 Sales Amount (Actual)","41 Source Type",$C$5,"5 Source no.",$C923,"4 Item Ledger Entry Type",$C$4,"2 Item No.","@@"&amp;$F923,"3 Posting Date",J$9)</t>
  </si>
  <si>
    <t>=-NL("Sum","5802 Value Entry","151 Cost Amount (Expected)","41 Source Type",$C$5,"5 Source No.",$C923,"4 Item Ledger Entry Type",$C$4,"2 Item No.","@@"&amp;$F923,"3 Posting Date",J$9)-NL("Sum","5802 Value Entry","43 Cost Amount (Actual)","41 Source Type",$C$5,"5 Source no.",$C923,"4 Item Ledger Entry Type",$C$4,"2 Item No.","@@"&amp;$F923,"3 Posting Date",J$9)</t>
  </si>
  <si>
    <t>=J923-L923</t>
  </si>
  <si>
    <t>=IF(J923&lt;&gt;0,M923/J923,"")</t>
  </si>
  <si>
    <t>=NL("Sum","5802 Value Entry","150 Sales Amount (Expected)","41 Source Type",$C$5,"5 Source No.",$C923,"4 Item Ledger Entry Type",$C$4,"2 Item No.","@@"&amp;$F923,"3 Posting Date",O$9)+NL("Sum","5802 Value Entry","17 Sales Amount (Actual)","41 Source Type",$C$5,"5 Source no.",$C923,"4 Item Ledger Entry Type",$C$4,"2 Item No.","@@"&amp;$F923,"3 Posting Date",O$9)</t>
  </si>
  <si>
    <t>=-NL("Sum","5802 Value Entry","151 Cost Amount (Expected)","41 Source Type",$C$5,"5 Source No.",$C923,"4 Item Ledger Entry Type",$C$4,"2 Item No.","@@"&amp;$F923,"3 Posting Date",O$9)-NL("Sum","5802 Value Entry","43 Cost Amount (Actual)","41 Source Type",$C$5,"5 Source no.",$C923,"4 Item Ledger Entry Type",$C$4,"2 Item No.","@@"&amp;$F923,"3 Posting Date",O$9)</t>
  </si>
  <si>
    <t>=O923-Q923</t>
  </si>
  <si>
    <t>=IF(O923&lt;&gt;0,R923/O923,"")</t>
  </si>
  <si>
    <t>=NL("Sum","5802 Value Entry","150 Sales Amount (Expected)","41 Source Type",$C$5,"5 Source No.",$C923,"4 Item Ledger Entry Type",$C$4,"2 Item No.","@@"&amp;$F923,"3 Posting Date",U$9)+NL("Sum","5802 Value Entry","17 Sales Amount (Actual)","41 Source Type",$C$5,"5 Source no.",$C923,"4 Item Ledger Entry Type",$C$4,"2 Item No.","@@"&amp;$F923,"3 Posting Date",U$9)</t>
  </si>
  <si>
    <t>=-NL("Sum","5802 Value Entry","151 Cost Amount (Expected)","41 Source Type",$C$5,"5 Source No.",$C923,"4 Item Ledger Entry Type",$C$4,"2 Item No.","@@"&amp;$F923,"3 Posting Date",U$9)-NL("Sum","5802 Value Entry","43 Cost Amount (Actual)","41 Source Type",$C$5,"5 Source no.",$C923,"4 Item Ledger Entry Type",$C$4,"2 Item No.","@@"&amp;$F923,"3 Posting Date",U$9)</t>
  </si>
  <si>
    <t>=U923-W923</t>
  </si>
  <si>
    <t>=IF(U923&lt;&gt;0,X923/U923,"")</t>
  </si>
  <si>
    <t>=NL("Sum","5802 Value Entry","150 Sales Amount (Expected)","41 Source Type",$C$5,"5 Source No.",$C923,"4 Item Ledger Entry Type",$C$4,"2 Item No.","@@"&amp;$F923,"3 Posting Date",Z$9)+NL("Sum","5802 Value Entry","17 Sales Amount (Actual)","41 Source Type",$C$5,"5 Source no.",$C923,"4 Item Ledger Entry Type",$C$4,"2 Item No.","@@"&amp;$F923,"3 Posting Date",Z$9)</t>
  </si>
  <si>
    <t>=-NL("Sum","5802 Value Entry","151 Cost Amount (Expected)","41 Source Type",$C$5,"5 Source No.",$C923,"4 Item Ledger Entry Type",$C$4,"2 Item No.","@@"&amp;$F923,"3 Posting Date",Z$9)-NL("Sum","5802 Value Entry","43 Cost Amount (Actual)","41 Source Type",$C$5,"5 Source no.",$C923,"4 Item Ledger Entry Type",$C$4,"2 Item No.","@@"&amp;$F923,"3 Posting Date",Z$9)</t>
  </si>
  <si>
    <t>=Z923-AB923</t>
  </si>
  <si>
    <t>=IF(Z923&lt;&gt;0,AC923/Z923,"")</t>
  </si>
  <si>
    <t>=C923</t>
  </si>
  <si>
    <t>=NL("Sum","5802 Value Entry","150 Sales Amount (Expected)","41 Source Type",$C$5,"5 Source No.",$C924,"4 Item Ledger Entry Type",$C$4,"2 Item No.","@@"&amp;$F924,"3 Posting Date",J$9)+NL("Sum","5802 Value Entry","17 Sales Amount (Actual)","41 Source Type",$C$5,"5 Source no.",$C924,"4 Item Ledger Entry Type",$C$4,"2 Item No.","@@"&amp;$F924,"3 Posting Date",J$9)</t>
  </si>
  <si>
    <t>=-NL("Sum","5802 Value Entry","151 Cost Amount (Expected)","41 Source Type",$C$5,"5 Source No.",$C924,"4 Item Ledger Entry Type",$C$4,"2 Item No.","@@"&amp;$F924,"3 Posting Date",J$9)-NL("Sum","5802 Value Entry","43 Cost Amount (Actual)","41 Source Type",$C$5,"5 Source no.",$C924,"4 Item Ledger Entry Type",$C$4,"2 Item No.","@@"&amp;$F924,"3 Posting Date",J$9)</t>
  </si>
  <si>
    <t>=J924-L924</t>
  </si>
  <si>
    <t>=IF(J924&lt;&gt;0,M924/J924,"")</t>
  </si>
  <si>
    <t>=NL("Sum","5802 Value Entry","150 Sales Amount (Expected)","41 Source Type",$C$5,"5 Source No.",$C924,"4 Item Ledger Entry Type",$C$4,"2 Item No.","@@"&amp;$F924,"3 Posting Date",O$9)+NL("Sum","5802 Value Entry","17 Sales Amount (Actual)","41 Source Type",$C$5,"5 Source no.",$C924,"4 Item Ledger Entry Type",$C$4,"2 Item No.","@@"&amp;$F924,"3 Posting Date",O$9)</t>
  </si>
  <si>
    <t>=-NL("Sum","5802 Value Entry","151 Cost Amount (Expected)","41 Source Type",$C$5,"5 Source No.",$C924,"4 Item Ledger Entry Type",$C$4,"2 Item No.","@@"&amp;$F924,"3 Posting Date",O$9)-NL("Sum","5802 Value Entry","43 Cost Amount (Actual)","41 Source Type",$C$5,"5 Source no.",$C924,"4 Item Ledger Entry Type",$C$4,"2 Item No.","@@"&amp;$F924,"3 Posting Date",O$9)</t>
  </si>
  <si>
    <t>=O924-Q924</t>
  </si>
  <si>
    <t>=IF(O924&lt;&gt;0,R924/O924,"")</t>
  </si>
  <si>
    <t>=NL("Sum","5802 Value Entry","150 Sales Amount (Expected)","41 Source Type",$C$5,"5 Source No.",$C924,"4 Item Ledger Entry Type",$C$4,"2 Item No.","@@"&amp;$F924,"3 Posting Date",U$9)+NL("Sum","5802 Value Entry","17 Sales Amount (Actual)","41 Source Type",$C$5,"5 Source no.",$C924,"4 Item Ledger Entry Type",$C$4,"2 Item No.","@@"&amp;$F924,"3 Posting Date",U$9)</t>
  </si>
  <si>
    <t>=-NL("Sum","5802 Value Entry","151 Cost Amount (Expected)","41 Source Type",$C$5,"5 Source No.",$C924,"4 Item Ledger Entry Type",$C$4,"2 Item No.","@@"&amp;$F924,"3 Posting Date",U$9)-NL("Sum","5802 Value Entry","43 Cost Amount (Actual)","41 Source Type",$C$5,"5 Source no.",$C924,"4 Item Ledger Entry Type",$C$4,"2 Item No.","@@"&amp;$F924,"3 Posting Date",U$9)</t>
  </si>
  <si>
    <t>=U924-W924</t>
  </si>
  <si>
    <t>=IF(U924&lt;&gt;0,X924/U924,"")</t>
  </si>
  <si>
    <t>=NL("Sum","5802 Value Entry","150 Sales Amount (Expected)","41 Source Type",$C$5,"5 Source No.",$C924,"4 Item Ledger Entry Type",$C$4,"2 Item No.","@@"&amp;$F924,"3 Posting Date",Z$9)+NL("Sum","5802 Value Entry","17 Sales Amount (Actual)","41 Source Type",$C$5,"5 Source no.",$C924,"4 Item Ledger Entry Type",$C$4,"2 Item No.","@@"&amp;$F924,"3 Posting Date",Z$9)</t>
  </si>
  <si>
    <t>=-NL("Sum","5802 Value Entry","151 Cost Amount (Expected)","41 Source Type",$C$5,"5 Source No.",$C924,"4 Item Ledger Entry Type",$C$4,"2 Item No.","@@"&amp;$F924,"3 Posting Date",Z$9)-NL("Sum","5802 Value Entry","43 Cost Amount (Actual)","41 Source Type",$C$5,"5 Source no.",$C924,"4 Item Ledger Entry Type",$C$4,"2 Item No.","@@"&amp;$F924,"3 Posting Date",Z$9)</t>
  </si>
  <si>
    <t>=Z924-AB924</t>
  </si>
  <si>
    <t>=IF(Z924&lt;&gt;0,AC924/Z924,"")</t>
  </si>
  <si>
    <t>=C924</t>
  </si>
  <si>
    <t>=NL("Sum","5802 Value Entry","150 Sales Amount (Expected)","41 Source Type",$C$5,"5 Source No.",$C925,"4 Item Ledger Entry Type",$C$4,"2 Item No.","@@"&amp;$F925,"3 Posting Date",J$9)+NL("Sum","5802 Value Entry","17 Sales Amount (Actual)","41 Source Type",$C$5,"5 Source no.",$C925,"4 Item Ledger Entry Type",$C$4,"2 Item No.","@@"&amp;$F925,"3 Posting Date",J$9)</t>
  </si>
  <si>
    <t>=-NL("Sum","5802 Value Entry","151 Cost Amount (Expected)","41 Source Type",$C$5,"5 Source No.",$C925,"4 Item Ledger Entry Type",$C$4,"2 Item No.","@@"&amp;$F925,"3 Posting Date",J$9)-NL("Sum","5802 Value Entry","43 Cost Amount (Actual)","41 Source Type",$C$5,"5 Source no.",$C925,"4 Item Ledger Entry Type",$C$4,"2 Item No.","@@"&amp;$F925,"3 Posting Date",J$9)</t>
  </si>
  <si>
    <t>=J925-L925</t>
  </si>
  <si>
    <t>=IF(J925&lt;&gt;0,M925/J925,"")</t>
  </si>
  <si>
    <t>=NL("Sum","5802 Value Entry","150 Sales Amount (Expected)","41 Source Type",$C$5,"5 Source No.",$C925,"4 Item Ledger Entry Type",$C$4,"2 Item No.","@@"&amp;$F925,"3 Posting Date",O$9)+NL("Sum","5802 Value Entry","17 Sales Amount (Actual)","41 Source Type",$C$5,"5 Source no.",$C925,"4 Item Ledger Entry Type",$C$4,"2 Item No.","@@"&amp;$F925,"3 Posting Date",O$9)</t>
  </si>
  <si>
    <t>=-NL("Sum","5802 Value Entry","151 Cost Amount (Expected)","41 Source Type",$C$5,"5 Source No.",$C925,"4 Item Ledger Entry Type",$C$4,"2 Item No.","@@"&amp;$F925,"3 Posting Date",O$9)-NL("Sum","5802 Value Entry","43 Cost Amount (Actual)","41 Source Type",$C$5,"5 Source no.",$C925,"4 Item Ledger Entry Type",$C$4,"2 Item No.","@@"&amp;$F925,"3 Posting Date",O$9)</t>
  </si>
  <si>
    <t>=O925-Q925</t>
  </si>
  <si>
    <t>=IF(O925&lt;&gt;0,R925/O925,"")</t>
  </si>
  <si>
    <t>=NL("Sum","5802 Value Entry","150 Sales Amount (Expected)","41 Source Type",$C$5,"5 Source No.",$C925,"4 Item Ledger Entry Type",$C$4,"2 Item No.","@@"&amp;$F925,"3 Posting Date",U$9)+NL("Sum","5802 Value Entry","17 Sales Amount (Actual)","41 Source Type",$C$5,"5 Source no.",$C925,"4 Item Ledger Entry Type",$C$4,"2 Item No.","@@"&amp;$F925,"3 Posting Date",U$9)</t>
  </si>
  <si>
    <t>=-NL("Sum","5802 Value Entry","151 Cost Amount (Expected)","41 Source Type",$C$5,"5 Source No.",$C925,"4 Item Ledger Entry Type",$C$4,"2 Item No.","@@"&amp;$F925,"3 Posting Date",U$9)-NL("Sum","5802 Value Entry","43 Cost Amount (Actual)","41 Source Type",$C$5,"5 Source no.",$C925,"4 Item Ledger Entry Type",$C$4,"2 Item No.","@@"&amp;$F925,"3 Posting Date",U$9)</t>
  </si>
  <si>
    <t>=U925-W925</t>
  </si>
  <si>
    <t>=IF(U925&lt;&gt;0,X925/U925,"")</t>
  </si>
  <si>
    <t>=NL("Sum","5802 Value Entry","150 Sales Amount (Expected)","41 Source Type",$C$5,"5 Source No.",$C925,"4 Item Ledger Entry Type",$C$4,"2 Item No.","@@"&amp;$F925,"3 Posting Date",Z$9)+NL("Sum","5802 Value Entry","17 Sales Amount (Actual)","41 Source Type",$C$5,"5 Source no.",$C925,"4 Item Ledger Entry Type",$C$4,"2 Item No.","@@"&amp;$F925,"3 Posting Date",Z$9)</t>
  </si>
  <si>
    <t>=-NL("Sum","5802 Value Entry","151 Cost Amount (Expected)","41 Source Type",$C$5,"5 Source No.",$C925,"4 Item Ledger Entry Type",$C$4,"2 Item No.","@@"&amp;$F925,"3 Posting Date",Z$9)-NL("Sum","5802 Value Entry","43 Cost Amount (Actual)","41 Source Type",$C$5,"5 Source no.",$C925,"4 Item Ledger Entry Type",$C$4,"2 Item No.","@@"&amp;$F925,"3 Posting Date",Z$9)</t>
  </si>
  <si>
    <t>=Z925-AB925</t>
  </si>
  <si>
    <t>=IF(Z925&lt;&gt;0,AC925/Z925,"")</t>
  </si>
  <si>
    <t>=C925</t>
  </si>
  <si>
    <t>=NL("Sum","5802 Value Entry","150 Sales Amount (Expected)","41 Source Type",$C$5,"5 Source No.",$C926,"4 Item Ledger Entry Type",$C$4,"2 Item No.","@@"&amp;$F926,"3 Posting Date",J$9)+NL("Sum","5802 Value Entry","17 Sales Amount (Actual)","41 Source Type",$C$5,"5 Source no.",$C926,"4 Item Ledger Entry Type",$C$4,"2 Item No.","@@"&amp;$F926,"3 Posting Date",J$9)</t>
  </si>
  <si>
    <t>=-NL("Sum","5802 Value Entry","151 Cost Amount (Expected)","41 Source Type",$C$5,"5 Source No.",$C926,"4 Item Ledger Entry Type",$C$4,"2 Item No.","@@"&amp;$F926,"3 Posting Date",J$9)-NL("Sum","5802 Value Entry","43 Cost Amount (Actual)","41 Source Type",$C$5,"5 Source no.",$C926,"4 Item Ledger Entry Type",$C$4,"2 Item No.","@@"&amp;$F926,"3 Posting Date",J$9)</t>
  </si>
  <si>
    <t>=J926-L926</t>
  </si>
  <si>
    <t>=IF(J926&lt;&gt;0,M926/J926,"")</t>
  </si>
  <si>
    <t>=NL("Sum","5802 Value Entry","150 Sales Amount (Expected)","41 Source Type",$C$5,"5 Source No.",$C926,"4 Item Ledger Entry Type",$C$4,"2 Item No.","@@"&amp;$F926,"3 Posting Date",O$9)+NL("Sum","5802 Value Entry","17 Sales Amount (Actual)","41 Source Type",$C$5,"5 Source no.",$C926,"4 Item Ledger Entry Type",$C$4,"2 Item No.","@@"&amp;$F926,"3 Posting Date",O$9)</t>
  </si>
  <si>
    <t>=-NL("Sum","5802 Value Entry","151 Cost Amount (Expected)","41 Source Type",$C$5,"5 Source No.",$C926,"4 Item Ledger Entry Type",$C$4,"2 Item No.","@@"&amp;$F926,"3 Posting Date",O$9)-NL("Sum","5802 Value Entry","43 Cost Amount (Actual)","41 Source Type",$C$5,"5 Source no.",$C926,"4 Item Ledger Entry Type",$C$4,"2 Item No.","@@"&amp;$F926,"3 Posting Date",O$9)</t>
  </si>
  <si>
    <t>=O926-Q926</t>
  </si>
  <si>
    <t>=IF(O926&lt;&gt;0,R926/O926,"")</t>
  </si>
  <si>
    <t>=NL("Sum","5802 Value Entry","150 Sales Amount (Expected)","41 Source Type",$C$5,"5 Source No.",$C926,"4 Item Ledger Entry Type",$C$4,"2 Item No.","@@"&amp;$F926,"3 Posting Date",U$9)+NL("Sum","5802 Value Entry","17 Sales Amount (Actual)","41 Source Type",$C$5,"5 Source no.",$C926,"4 Item Ledger Entry Type",$C$4,"2 Item No.","@@"&amp;$F926,"3 Posting Date",U$9)</t>
  </si>
  <si>
    <t>=-NL("Sum","5802 Value Entry","151 Cost Amount (Expected)","41 Source Type",$C$5,"5 Source No.",$C926,"4 Item Ledger Entry Type",$C$4,"2 Item No.","@@"&amp;$F926,"3 Posting Date",U$9)-NL("Sum","5802 Value Entry","43 Cost Amount (Actual)","41 Source Type",$C$5,"5 Source no.",$C926,"4 Item Ledger Entry Type",$C$4,"2 Item No.","@@"&amp;$F926,"3 Posting Date",U$9)</t>
  </si>
  <si>
    <t>=U926-W926</t>
  </si>
  <si>
    <t>=IF(U926&lt;&gt;0,X926/U926,"")</t>
  </si>
  <si>
    <t>=NL("Sum","5802 Value Entry","150 Sales Amount (Expected)","41 Source Type",$C$5,"5 Source No.",$C926,"4 Item Ledger Entry Type",$C$4,"2 Item No.","@@"&amp;$F926,"3 Posting Date",Z$9)+NL("Sum","5802 Value Entry","17 Sales Amount (Actual)","41 Source Type",$C$5,"5 Source no.",$C926,"4 Item Ledger Entry Type",$C$4,"2 Item No.","@@"&amp;$F926,"3 Posting Date",Z$9)</t>
  </si>
  <si>
    <t>=-NL("Sum","5802 Value Entry","151 Cost Amount (Expected)","41 Source Type",$C$5,"5 Source No.",$C926,"4 Item Ledger Entry Type",$C$4,"2 Item No.","@@"&amp;$F926,"3 Posting Date",Z$9)-NL("Sum","5802 Value Entry","43 Cost Amount (Actual)","41 Source Type",$C$5,"5 Source no.",$C926,"4 Item Ledger Entry Type",$C$4,"2 Item No.","@@"&amp;$F926,"3 Posting Date",Z$9)</t>
  </si>
  <si>
    <t>=Z926-AB926</t>
  </si>
  <si>
    <t>=IF(Z926&lt;&gt;0,AC926/Z926,"")</t>
  </si>
  <si>
    <t>=C926</t>
  </si>
  <si>
    <t>=NL("Sum","5802 Value Entry","150 Sales Amount (Expected)","41 Source Type",$C$5,"5 Source No.",$C927,"4 Item Ledger Entry Type",$C$4,"2 Item No.","@@"&amp;$F927,"3 Posting Date",J$9)+NL("Sum","5802 Value Entry","17 Sales Amount (Actual)","41 Source Type",$C$5,"5 Source no.",$C927,"4 Item Ledger Entry Type",$C$4,"2 Item No.","@@"&amp;$F927,"3 Posting Date",J$9)</t>
  </si>
  <si>
    <t>=-NL("Sum","5802 Value Entry","151 Cost Amount (Expected)","41 Source Type",$C$5,"5 Source No.",$C927,"4 Item Ledger Entry Type",$C$4,"2 Item No.","@@"&amp;$F927,"3 Posting Date",J$9)-NL("Sum","5802 Value Entry","43 Cost Amount (Actual)","41 Source Type",$C$5,"5 Source no.",$C927,"4 Item Ledger Entry Type",$C$4,"2 Item No.","@@"&amp;$F927,"3 Posting Date",J$9)</t>
  </si>
  <si>
    <t>=J927-L927</t>
  </si>
  <si>
    <t>=IF(J927&lt;&gt;0,M927/J927,"")</t>
  </si>
  <si>
    <t>=NL("Sum","5802 Value Entry","150 Sales Amount (Expected)","41 Source Type",$C$5,"5 Source No.",$C927,"4 Item Ledger Entry Type",$C$4,"2 Item No.","@@"&amp;$F927,"3 Posting Date",O$9)+NL("Sum","5802 Value Entry","17 Sales Amount (Actual)","41 Source Type",$C$5,"5 Source no.",$C927,"4 Item Ledger Entry Type",$C$4,"2 Item No.","@@"&amp;$F927,"3 Posting Date",O$9)</t>
  </si>
  <si>
    <t>=-NL("Sum","5802 Value Entry","151 Cost Amount (Expected)","41 Source Type",$C$5,"5 Source No.",$C927,"4 Item Ledger Entry Type",$C$4,"2 Item No.","@@"&amp;$F927,"3 Posting Date",O$9)-NL("Sum","5802 Value Entry","43 Cost Amount (Actual)","41 Source Type",$C$5,"5 Source no.",$C927,"4 Item Ledger Entry Type",$C$4,"2 Item No.","@@"&amp;$F927,"3 Posting Date",O$9)</t>
  </si>
  <si>
    <t>=O927-Q927</t>
  </si>
  <si>
    <t>=IF(O927&lt;&gt;0,R927/O927,"")</t>
  </si>
  <si>
    <t>=NL("Sum","5802 Value Entry","150 Sales Amount (Expected)","41 Source Type",$C$5,"5 Source No.",$C927,"4 Item Ledger Entry Type",$C$4,"2 Item No.","@@"&amp;$F927,"3 Posting Date",U$9)+NL("Sum","5802 Value Entry","17 Sales Amount (Actual)","41 Source Type",$C$5,"5 Source no.",$C927,"4 Item Ledger Entry Type",$C$4,"2 Item No.","@@"&amp;$F927,"3 Posting Date",U$9)</t>
  </si>
  <si>
    <t>=-NL("Sum","5802 Value Entry","151 Cost Amount (Expected)","41 Source Type",$C$5,"5 Source No.",$C927,"4 Item Ledger Entry Type",$C$4,"2 Item No.","@@"&amp;$F927,"3 Posting Date",U$9)-NL("Sum","5802 Value Entry","43 Cost Amount (Actual)","41 Source Type",$C$5,"5 Source no.",$C927,"4 Item Ledger Entry Type",$C$4,"2 Item No.","@@"&amp;$F927,"3 Posting Date",U$9)</t>
  </si>
  <si>
    <t>=U927-W927</t>
  </si>
  <si>
    <t>=IF(U927&lt;&gt;0,X927/U927,"")</t>
  </si>
  <si>
    <t>=NL("Sum","5802 Value Entry","150 Sales Amount (Expected)","41 Source Type",$C$5,"5 Source No.",$C927,"4 Item Ledger Entry Type",$C$4,"2 Item No.","@@"&amp;$F927,"3 Posting Date",Z$9)+NL("Sum","5802 Value Entry","17 Sales Amount (Actual)","41 Source Type",$C$5,"5 Source no.",$C927,"4 Item Ledger Entry Type",$C$4,"2 Item No.","@@"&amp;$F927,"3 Posting Date",Z$9)</t>
  </si>
  <si>
    <t>=-NL("Sum","5802 Value Entry","151 Cost Amount (Expected)","41 Source Type",$C$5,"5 Source No.",$C927,"4 Item Ledger Entry Type",$C$4,"2 Item No.","@@"&amp;$F927,"3 Posting Date",Z$9)-NL("Sum","5802 Value Entry","43 Cost Amount (Actual)","41 Source Type",$C$5,"5 Source no.",$C927,"4 Item Ledger Entry Type",$C$4,"2 Item No.","@@"&amp;$F927,"3 Posting Date",Z$9)</t>
  </si>
  <si>
    <t>=Z927-AB927</t>
  </si>
  <si>
    <t>=IF(Z927&lt;&gt;0,AC927/Z927,"")</t>
  </si>
  <si>
    <t>=C927</t>
  </si>
  <si>
    <t>=NL("Sum","5802 Value Entry","150 Sales Amount (Expected)","41 Source Type",$C$5,"5 Source No.",$C928,"4 Item Ledger Entry Type",$C$4,"2 Item No.","@@"&amp;$F928,"3 Posting Date",J$9)+NL("Sum","5802 Value Entry","17 Sales Amount (Actual)","41 Source Type",$C$5,"5 Source no.",$C928,"4 Item Ledger Entry Type",$C$4,"2 Item No.","@@"&amp;$F928,"3 Posting Date",J$9)</t>
  </si>
  <si>
    <t>=-NL("Sum","5802 Value Entry","151 Cost Amount (Expected)","41 Source Type",$C$5,"5 Source No.",$C928,"4 Item Ledger Entry Type",$C$4,"2 Item No.","@@"&amp;$F928,"3 Posting Date",J$9)-NL("Sum","5802 Value Entry","43 Cost Amount (Actual)","41 Source Type",$C$5,"5 Source no.",$C928,"4 Item Ledger Entry Type",$C$4,"2 Item No.","@@"&amp;$F928,"3 Posting Date",J$9)</t>
  </si>
  <si>
    <t>=J928-L928</t>
  </si>
  <si>
    <t>=IF(J928&lt;&gt;0,M928/J928,"")</t>
  </si>
  <si>
    <t>=NL("Sum","5802 Value Entry","150 Sales Amount (Expected)","41 Source Type",$C$5,"5 Source No.",$C928,"4 Item Ledger Entry Type",$C$4,"2 Item No.","@@"&amp;$F928,"3 Posting Date",O$9)+NL("Sum","5802 Value Entry","17 Sales Amount (Actual)","41 Source Type",$C$5,"5 Source no.",$C928,"4 Item Ledger Entry Type",$C$4,"2 Item No.","@@"&amp;$F928,"3 Posting Date",O$9)</t>
  </si>
  <si>
    <t>=-NL("Sum","5802 Value Entry","151 Cost Amount (Expected)","41 Source Type",$C$5,"5 Source No.",$C928,"4 Item Ledger Entry Type",$C$4,"2 Item No.","@@"&amp;$F928,"3 Posting Date",O$9)-NL("Sum","5802 Value Entry","43 Cost Amount (Actual)","41 Source Type",$C$5,"5 Source no.",$C928,"4 Item Ledger Entry Type",$C$4,"2 Item No.","@@"&amp;$F928,"3 Posting Date",O$9)</t>
  </si>
  <si>
    <t>=O928-Q928</t>
  </si>
  <si>
    <t>=IF(O928&lt;&gt;0,R928/O928,"")</t>
  </si>
  <si>
    <t>=NL("Sum","5802 Value Entry","150 Sales Amount (Expected)","41 Source Type",$C$5,"5 Source No.",$C928,"4 Item Ledger Entry Type",$C$4,"2 Item No.","@@"&amp;$F928,"3 Posting Date",U$9)+NL("Sum","5802 Value Entry","17 Sales Amount (Actual)","41 Source Type",$C$5,"5 Source no.",$C928,"4 Item Ledger Entry Type",$C$4,"2 Item No.","@@"&amp;$F928,"3 Posting Date",U$9)</t>
  </si>
  <si>
    <t>=-NL("Sum","5802 Value Entry","151 Cost Amount (Expected)","41 Source Type",$C$5,"5 Source No.",$C928,"4 Item Ledger Entry Type",$C$4,"2 Item No.","@@"&amp;$F928,"3 Posting Date",U$9)-NL("Sum","5802 Value Entry","43 Cost Amount (Actual)","41 Source Type",$C$5,"5 Source no.",$C928,"4 Item Ledger Entry Type",$C$4,"2 Item No.","@@"&amp;$F928,"3 Posting Date",U$9)</t>
  </si>
  <si>
    <t>=U928-W928</t>
  </si>
  <si>
    <t>=IF(U928&lt;&gt;0,X928/U928,"")</t>
  </si>
  <si>
    <t>=NL("Sum","5802 Value Entry","150 Sales Amount (Expected)","41 Source Type",$C$5,"5 Source No.",$C928,"4 Item Ledger Entry Type",$C$4,"2 Item No.","@@"&amp;$F928,"3 Posting Date",Z$9)+NL("Sum","5802 Value Entry","17 Sales Amount (Actual)","41 Source Type",$C$5,"5 Source no.",$C928,"4 Item Ledger Entry Type",$C$4,"2 Item No.","@@"&amp;$F928,"3 Posting Date",Z$9)</t>
  </si>
  <si>
    <t>=-NL("Sum","5802 Value Entry","151 Cost Amount (Expected)","41 Source Type",$C$5,"5 Source No.",$C928,"4 Item Ledger Entry Type",$C$4,"2 Item No.","@@"&amp;$F928,"3 Posting Date",Z$9)-NL("Sum","5802 Value Entry","43 Cost Amount (Actual)","41 Source Type",$C$5,"5 Source no.",$C928,"4 Item Ledger Entry Type",$C$4,"2 Item No.","@@"&amp;$F928,"3 Posting Date",Z$9)</t>
  </si>
  <si>
    <t>=Z928-AB928</t>
  </si>
  <si>
    <t>=IF(Z928&lt;&gt;0,AC928/Z928,"")</t>
  </si>
  <si>
    <t>=C928</t>
  </si>
  <si>
    <t>=NL("Sum","5802 Value Entry","150 Sales Amount (Expected)","41 Source Type",$C$5,"5 Source No.",$C929,"4 Item Ledger Entry Type",$C$4,"2 Item No.","@@"&amp;$F929,"3 Posting Date",J$9)+NL("Sum","5802 Value Entry","17 Sales Amount (Actual)","41 Source Type",$C$5,"5 Source no.",$C929,"4 Item Ledger Entry Type",$C$4,"2 Item No.","@@"&amp;$F929,"3 Posting Date",J$9)</t>
  </si>
  <si>
    <t>=-NL("Sum","5802 Value Entry","151 Cost Amount (Expected)","41 Source Type",$C$5,"5 Source No.",$C929,"4 Item Ledger Entry Type",$C$4,"2 Item No.","@@"&amp;$F929,"3 Posting Date",J$9)-NL("Sum","5802 Value Entry","43 Cost Amount (Actual)","41 Source Type",$C$5,"5 Source no.",$C929,"4 Item Ledger Entry Type",$C$4,"2 Item No.","@@"&amp;$F929,"3 Posting Date",J$9)</t>
  </si>
  <si>
    <t>=J929-L929</t>
  </si>
  <si>
    <t>=IF(J929&lt;&gt;0,M929/J929,"")</t>
  </si>
  <si>
    <t>=NL("Sum","5802 Value Entry","150 Sales Amount (Expected)","41 Source Type",$C$5,"5 Source No.",$C929,"4 Item Ledger Entry Type",$C$4,"2 Item No.","@@"&amp;$F929,"3 Posting Date",O$9)+NL("Sum","5802 Value Entry","17 Sales Amount (Actual)","41 Source Type",$C$5,"5 Source no.",$C929,"4 Item Ledger Entry Type",$C$4,"2 Item No.","@@"&amp;$F929,"3 Posting Date",O$9)</t>
  </si>
  <si>
    <t>=-NL("Sum","5802 Value Entry","151 Cost Amount (Expected)","41 Source Type",$C$5,"5 Source No.",$C929,"4 Item Ledger Entry Type",$C$4,"2 Item No.","@@"&amp;$F929,"3 Posting Date",O$9)-NL("Sum","5802 Value Entry","43 Cost Amount (Actual)","41 Source Type",$C$5,"5 Source no.",$C929,"4 Item Ledger Entry Type",$C$4,"2 Item No.","@@"&amp;$F929,"3 Posting Date",O$9)</t>
  </si>
  <si>
    <t>=O929-Q929</t>
  </si>
  <si>
    <t>=IF(O929&lt;&gt;0,R929/O929,"")</t>
  </si>
  <si>
    <t>=NL("Sum","5802 Value Entry","150 Sales Amount (Expected)","41 Source Type",$C$5,"5 Source No.",$C929,"4 Item Ledger Entry Type",$C$4,"2 Item No.","@@"&amp;$F929,"3 Posting Date",U$9)+NL("Sum","5802 Value Entry","17 Sales Amount (Actual)","41 Source Type",$C$5,"5 Source no.",$C929,"4 Item Ledger Entry Type",$C$4,"2 Item No.","@@"&amp;$F929,"3 Posting Date",U$9)</t>
  </si>
  <si>
    <t>=-NL("Sum","5802 Value Entry","151 Cost Amount (Expected)","41 Source Type",$C$5,"5 Source No.",$C929,"4 Item Ledger Entry Type",$C$4,"2 Item No.","@@"&amp;$F929,"3 Posting Date",U$9)-NL("Sum","5802 Value Entry","43 Cost Amount (Actual)","41 Source Type",$C$5,"5 Source no.",$C929,"4 Item Ledger Entry Type",$C$4,"2 Item No.","@@"&amp;$F929,"3 Posting Date",U$9)</t>
  </si>
  <si>
    <t>=U929-W929</t>
  </si>
  <si>
    <t>=IF(U929&lt;&gt;0,X929/U929,"")</t>
  </si>
  <si>
    <t>=NL("Sum","5802 Value Entry","150 Sales Amount (Expected)","41 Source Type",$C$5,"5 Source No.",$C929,"4 Item Ledger Entry Type",$C$4,"2 Item No.","@@"&amp;$F929,"3 Posting Date",Z$9)+NL("Sum","5802 Value Entry","17 Sales Amount (Actual)","41 Source Type",$C$5,"5 Source no.",$C929,"4 Item Ledger Entry Type",$C$4,"2 Item No.","@@"&amp;$F929,"3 Posting Date",Z$9)</t>
  </si>
  <si>
    <t>=-NL("Sum","5802 Value Entry","151 Cost Amount (Expected)","41 Source Type",$C$5,"5 Source No.",$C929,"4 Item Ledger Entry Type",$C$4,"2 Item No.","@@"&amp;$F929,"3 Posting Date",Z$9)-NL("Sum","5802 Value Entry","43 Cost Amount (Actual)","41 Source Type",$C$5,"5 Source no.",$C929,"4 Item Ledger Entry Type",$C$4,"2 Item No.","@@"&amp;$F929,"3 Posting Date",Z$9)</t>
  </si>
  <si>
    <t>=Z929-AB929</t>
  </si>
  <si>
    <t>=IF(Z929&lt;&gt;0,AC929/Z929,"")</t>
  </si>
  <si>
    <t>=C929</t>
  </si>
  <si>
    <t>=NL("Sum","5802 Value Entry","150 Sales Amount (Expected)","41 Source Type",$C$5,"5 Source No.",$C930,"4 Item Ledger Entry Type",$C$4,"2 Item No.","@@"&amp;$F930,"3 Posting Date",J$9)+NL("Sum","5802 Value Entry","17 Sales Amount (Actual)","41 Source Type",$C$5,"5 Source no.",$C930,"4 Item Ledger Entry Type",$C$4,"2 Item No.","@@"&amp;$F930,"3 Posting Date",J$9)</t>
  </si>
  <si>
    <t>=-NL("Sum","5802 Value Entry","151 Cost Amount (Expected)","41 Source Type",$C$5,"5 Source No.",$C930,"4 Item Ledger Entry Type",$C$4,"2 Item No.","@@"&amp;$F930,"3 Posting Date",J$9)-NL("Sum","5802 Value Entry","43 Cost Amount (Actual)","41 Source Type",$C$5,"5 Source no.",$C930,"4 Item Ledger Entry Type",$C$4,"2 Item No.","@@"&amp;$F930,"3 Posting Date",J$9)</t>
  </si>
  <si>
    <t>=J930-L930</t>
  </si>
  <si>
    <t>=IF(J930&lt;&gt;0,M930/J930,"")</t>
  </si>
  <si>
    <t>=NL("Sum","5802 Value Entry","150 Sales Amount (Expected)","41 Source Type",$C$5,"5 Source No.",$C930,"4 Item Ledger Entry Type",$C$4,"2 Item No.","@@"&amp;$F930,"3 Posting Date",O$9)+NL("Sum","5802 Value Entry","17 Sales Amount (Actual)","41 Source Type",$C$5,"5 Source no.",$C930,"4 Item Ledger Entry Type",$C$4,"2 Item No.","@@"&amp;$F930,"3 Posting Date",O$9)</t>
  </si>
  <si>
    <t>=-NL("Sum","5802 Value Entry","151 Cost Amount (Expected)","41 Source Type",$C$5,"5 Source No.",$C930,"4 Item Ledger Entry Type",$C$4,"2 Item No.","@@"&amp;$F930,"3 Posting Date",O$9)-NL("Sum","5802 Value Entry","43 Cost Amount (Actual)","41 Source Type",$C$5,"5 Source no.",$C930,"4 Item Ledger Entry Type",$C$4,"2 Item No.","@@"&amp;$F930,"3 Posting Date",O$9)</t>
  </si>
  <si>
    <t>=O930-Q930</t>
  </si>
  <si>
    <t>=IF(O930&lt;&gt;0,R930/O930,"")</t>
  </si>
  <si>
    <t>=NL("Sum","5802 Value Entry","150 Sales Amount (Expected)","41 Source Type",$C$5,"5 Source No.",$C930,"4 Item Ledger Entry Type",$C$4,"2 Item No.","@@"&amp;$F930,"3 Posting Date",U$9)+NL("Sum","5802 Value Entry","17 Sales Amount (Actual)","41 Source Type",$C$5,"5 Source no.",$C930,"4 Item Ledger Entry Type",$C$4,"2 Item No.","@@"&amp;$F930,"3 Posting Date",U$9)</t>
  </si>
  <si>
    <t>=-NL("Sum","5802 Value Entry","151 Cost Amount (Expected)","41 Source Type",$C$5,"5 Source No.",$C930,"4 Item Ledger Entry Type",$C$4,"2 Item No.","@@"&amp;$F930,"3 Posting Date",U$9)-NL("Sum","5802 Value Entry","43 Cost Amount (Actual)","41 Source Type",$C$5,"5 Source no.",$C930,"4 Item Ledger Entry Type",$C$4,"2 Item No.","@@"&amp;$F930,"3 Posting Date",U$9)</t>
  </si>
  <si>
    <t>=U930-W930</t>
  </si>
  <si>
    <t>=IF(U930&lt;&gt;0,X930/U930,"")</t>
  </si>
  <si>
    <t>=NL("Sum","5802 Value Entry","150 Sales Amount (Expected)","41 Source Type",$C$5,"5 Source No.",$C930,"4 Item Ledger Entry Type",$C$4,"2 Item No.","@@"&amp;$F930,"3 Posting Date",Z$9)+NL("Sum","5802 Value Entry","17 Sales Amount (Actual)","41 Source Type",$C$5,"5 Source no.",$C930,"4 Item Ledger Entry Type",$C$4,"2 Item No.","@@"&amp;$F930,"3 Posting Date",Z$9)</t>
  </si>
  <si>
    <t>=-NL("Sum","5802 Value Entry","151 Cost Amount (Expected)","41 Source Type",$C$5,"5 Source No.",$C930,"4 Item Ledger Entry Type",$C$4,"2 Item No.","@@"&amp;$F930,"3 Posting Date",Z$9)-NL("Sum","5802 Value Entry","43 Cost Amount (Actual)","41 Source Type",$C$5,"5 Source no.",$C930,"4 Item Ledger Entry Type",$C$4,"2 Item No.","@@"&amp;$F930,"3 Posting Date",Z$9)</t>
  </si>
  <si>
    <t>=Z930-AB930</t>
  </si>
  <si>
    <t>=IF(Z930&lt;&gt;0,AC930/Z930,"")</t>
  </si>
  <si>
    <t>=C930</t>
  </si>
  <si>
    <t>=NL("Sum","5802 Value Entry","150 Sales Amount (Expected)","41 Source Type",$C$5,"5 Source No.",$C931,"4 Item Ledger Entry Type",$C$4,"2 Item No.","@@"&amp;$F931,"3 Posting Date",J$9)+NL("Sum","5802 Value Entry","17 Sales Amount (Actual)","41 Source Type",$C$5,"5 Source no.",$C931,"4 Item Ledger Entry Type",$C$4,"2 Item No.","@@"&amp;$F931,"3 Posting Date",J$9)</t>
  </si>
  <si>
    <t>=-NL("Sum","5802 Value Entry","151 Cost Amount (Expected)","41 Source Type",$C$5,"5 Source No.",$C931,"4 Item Ledger Entry Type",$C$4,"2 Item No.","@@"&amp;$F931,"3 Posting Date",J$9)-NL("Sum","5802 Value Entry","43 Cost Amount (Actual)","41 Source Type",$C$5,"5 Source no.",$C931,"4 Item Ledger Entry Type",$C$4,"2 Item No.","@@"&amp;$F931,"3 Posting Date",J$9)</t>
  </si>
  <si>
    <t>=J931-L931</t>
  </si>
  <si>
    <t>=IF(J931&lt;&gt;0,M931/J931,"")</t>
  </si>
  <si>
    <t>=NL("Sum","5802 Value Entry","150 Sales Amount (Expected)","41 Source Type",$C$5,"5 Source No.",$C931,"4 Item Ledger Entry Type",$C$4,"2 Item No.","@@"&amp;$F931,"3 Posting Date",O$9)+NL("Sum","5802 Value Entry","17 Sales Amount (Actual)","41 Source Type",$C$5,"5 Source no.",$C931,"4 Item Ledger Entry Type",$C$4,"2 Item No.","@@"&amp;$F931,"3 Posting Date",O$9)</t>
  </si>
  <si>
    <t>=-NL("Sum","5802 Value Entry","151 Cost Amount (Expected)","41 Source Type",$C$5,"5 Source No.",$C931,"4 Item Ledger Entry Type",$C$4,"2 Item No.","@@"&amp;$F931,"3 Posting Date",O$9)-NL("Sum","5802 Value Entry","43 Cost Amount (Actual)","41 Source Type",$C$5,"5 Source no.",$C931,"4 Item Ledger Entry Type",$C$4,"2 Item No.","@@"&amp;$F931,"3 Posting Date",O$9)</t>
  </si>
  <si>
    <t>=O931-Q931</t>
  </si>
  <si>
    <t>=IF(O931&lt;&gt;0,R931/O931,"")</t>
  </si>
  <si>
    <t>=NL("Sum","5802 Value Entry","150 Sales Amount (Expected)","41 Source Type",$C$5,"5 Source No.",$C931,"4 Item Ledger Entry Type",$C$4,"2 Item No.","@@"&amp;$F931,"3 Posting Date",U$9)+NL("Sum","5802 Value Entry","17 Sales Amount (Actual)","41 Source Type",$C$5,"5 Source no.",$C931,"4 Item Ledger Entry Type",$C$4,"2 Item No.","@@"&amp;$F931,"3 Posting Date",U$9)</t>
  </si>
  <si>
    <t>=-NL("Sum","5802 Value Entry","151 Cost Amount (Expected)","41 Source Type",$C$5,"5 Source No.",$C931,"4 Item Ledger Entry Type",$C$4,"2 Item No.","@@"&amp;$F931,"3 Posting Date",U$9)-NL("Sum","5802 Value Entry","43 Cost Amount (Actual)","41 Source Type",$C$5,"5 Source no.",$C931,"4 Item Ledger Entry Type",$C$4,"2 Item No.","@@"&amp;$F931,"3 Posting Date",U$9)</t>
  </si>
  <si>
    <t>=U931-W931</t>
  </si>
  <si>
    <t>=IF(U931&lt;&gt;0,X931/U931,"")</t>
  </si>
  <si>
    <t>=NL("Sum","5802 Value Entry","150 Sales Amount (Expected)","41 Source Type",$C$5,"5 Source No.",$C931,"4 Item Ledger Entry Type",$C$4,"2 Item No.","@@"&amp;$F931,"3 Posting Date",Z$9)+NL("Sum","5802 Value Entry","17 Sales Amount (Actual)","41 Source Type",$C$5,"5 Source no.",$C931,"4 Item Ledger Entry Type",$C$4,"2 Item No.","@@"&amp;$F931,"3 Posting Date",Z$9)</t>
  </si>
  <si>
    <t>=-NL("Sum","5802 Value Entry","151 Cost Amount (Expected)","41 Source Type",$C$5,"5 Source No.",$C931,"4 Item Ledger Entry Type",$C$4,"2 Item No.","@@"&amp;$F931,"3 Posting Date",Z$9)-NL("Sum","5802 Value Entry","43 Cost Amount (Actual)","41 Source Type",$C$5,"5 Source no.",$C931,"4 Item Ledger Entry Type",$C$4,"2 Item No.","@@"&amp;$F931,"3 Posting Date",Z$9)</t>
  </si>
  <si>
    <t>=Z931-AB931</t>
  </si>
  <si>
    <t>=IF(Z931&lt;&gt;0,AC931/Z931,"")</t>
  </si>
  <si>
    <t>=C931</t>
  </si>
  <si>
    <t>=NL("Sum","5802 Value Entry","150 Sales Amount (Expected)","41 Source Type",$C$5,"5 Source No.",$C932,"4 Item Ledger Entry Type",$C$4,"2 Item No.","@@"&amp;$F932,"3 Posting Date",J$9)+NL("Sum","5802 Value Entry","17 Sales Amount (Actual)","41 Source Type",$C$5,"5 Source no.",$C932,"4 Item Ledger Entry Type",$C$4,"2 Item No.","@@"&amp;$F932,"3 Posting Date",J$9)</t>
  </si>
  <si>
    <t>=-NL("Sum","5802 Value Entry","151 Cost Amount (Expected)","41 Source Type",$C$5,"5 Source No.",$C932,"4 Item Ledger Entry Type",$C$4,"2 Item No.","@@"&amp;$F932,"3 Posting Date",J$9)-NL("Sum","5802 Value Entry","43 Cost Amount (Actual)","41 Source Type",$C$5,"5 Source no.",$C932,"4 Item Ledger Entry Type",$C$4,"2 Item No.","@@"&amp;$F932,"3 Posting Date",J$9)</t>
  </si>
  <si>
    <t>=J932-L932</t>
  </si>
  <si>
    <t>=IF(J932&lt;&gt;0,M932/J932,"")</t>
  </si>
  <si>
    <t>=NL("Sum","5802 Value Entry","150 Sales Amount (Expected)","41 Source Type",$C$5,"5 Source No.",$C932,"4 Item Ledger Entry Type",$C$4,"2 Item No.","@@"&amp;$F932,"3 Posting Date",O$9)+NL("Sum","5802 Value Entry","17 Sales Amount (Actual)","41 Source Type",$C$5,"5 Source no.",$C932,"4 Item Ledger Entry Type",$C$4,"2 Item No.","@@"&amp;$F932,"3 Posting Date",O$9)</t>
  </si>
  <si>
    <t>=-NL("Sum","5802 Value Entry","151 Cost Amount (Expected)","41 Source Type",$C$5,"5 Source No.",$C932,"4 Item Ledger Entry Type",$C$4,"2 Item No.","@@"&amp;$F932,"3 Posting Date",O$9)-NL("Sum","5802 Value Entry","43 Cost Amount (Actual)","41 Source Type",$C$5,"5 Source no.",$C932,"4 Item Ledger Entry Type",$C$4,"2 Item No.","@@"&amp;$F932,"3 Posting Date",O$9)</t>
  </si>
  <si>
    <t>=O932-Q932</t>
  </si>
  <si>
    <t>=IF(O932&lt;&gt;0,R932/O932,"")</t>
  </si>
  <si>
    <t>=NL("Sum","5802 Value Entry","150 Sales Amount (Expected)","41 Source Type",$C$5,"5 Source No.",$C932,"4 Item Ledger Entry Type",$C$4,"2 Item No.","@@"&amp;$F932,"3 Posting Date",U$9)+NL("Sum","5802 Value Entry","17 Sales Amount (Actual)","41 Source Type",$C$5,"5 Source no.",$C932,"4 Item Ledger Entry Type",$C$4,"2 Item No.","@@"&amp;$F932,"3 Posting Date",U$9)</t>
  </si>
  <si>
    <t>=-NL("Sum","5802 Value Entry","151 Cost Amount (Expected)","41 Source Type",$C$5,"5 Source No.",$C932,"4 Item Ledger Entry Type",$C$4,"2 Item No.","@@"&amp;$F932,"3 Posting Date",U$9)-NL("Sum","5802 Value Entry","43 Cost Amount (Actual)","41 Source Type",$C$5,"5 Source no.",$C932,"4 Item Ledger Entry Type",$C$4,"2 Item No.","@@"&amp;$F932,"3 Posting Date",U$9)</t>
  </si>
  <si>
    <t>=U932-W932</t>
  </si>
  <si>
    <t>=IF(U932&lt;&gt;0,X932/U932,"")</t>
  </si>
  <si>
    <t>=NL("Sum","5802 Value Entry","150 Sales Amount (Expected)","41 Source Type",$C$5,"5 Source No.",$C932,"4 Item Ledger Entry Type",$C$4,"2 Item No.","@@"&amp;$F932,"3 Posting Date",Z$9)+NL("Sum","5802 Value Entry","17 Sales Amount (Actual)","41 Source Type",$C$5,"5 Source no.",$C932,"4 Item Ledger Entry Type",$C$4,"2 Item No.","@@"&amp;$F932,"3 Posting Date",Z$9)</t>
  </si>
  <si>
    <t>=-NL("Sum","5802 Value Entry","151 Cost Amount (Expected)","41 Source Type",$C$5,"5 Source No.",$C932,"4 Item Ledger Entry Type",$C$4,"2 Item No.","@@"&amp;$F932,"3 Posting Date",Z$9)-NL("Sum","5802 Value Entry","43 Cost Amount (Actual)","41 Source Type",$C$5,"5 Source no.",$C932,"4 Item Ledger Entry Type",$C$4,"2 Item No.","@@"&amp;$F932,"3 Posting Date",Z$9)</t>
  </si>
  <si>
    <t>=Z932-AB932</t>
  </si>
  <si>
    <t>=IF(Z932&lt;&gt;0,AC932/Z932,"")</t>
  </si>
  <si>
    <t>=C932</t>
  </si>
  <si>
    <t>=NL("Sum","5802 Value Entry","150 Sales Amount (Expected)","41 Source Type",$C$5,"5 Source No.",$C933,"4 Item Ledger Entry Type",$C$4,"2 Item No.","@@"&amp;$F933,"3 Posting Date",J$9)+NL("Sum","5802 Value Entry","17 Sales Amount (Actual)","41 Source Type",$C$5,"5 Source no.",$C933,"4 Item Ledger Entry Type",$C$4,"2 Item No.","@@"&amp;$F933,"3 Posting Date",J$9)</t>
  </si>
  <si>
    <t>=-NL("Sum","5802 Value Entry","151 Cost Amount (Expected)","41 Source Type",$C$5,"5 Source No.",$C933,"4 Item Ledger Entry Type",$C$4,"2 Item No.","@@"&amp;$F933,"3 Posting Date",J$9)-NL("Sum","5802 Value Entry","43 Cost Amount (Actual)","41 Source Type",$C$5,"5 Source no.",$C933,"4 Item Ledger Entry Type",$C$4,"2 Item No.","@@"&amp;$F933,"3 Posting Date",J$9)</t>
  </si>
  <si>
    <t>=J933-L933</t>
  </si>
  <si>
    <t>=IF(J933&lt;&gt;0,M933/J933,"")</t>
  </si>
  <si>
    <t>=NL("Sum","5802 Value Entry","150 Sales Amount (Expected)","41 Source Type",$C$5,"5 Source No.",$C933,"4 Item Ledger Entry Type",$C$4,"2 Item No.","@@"&amp;$F933,"3 Posting Date",O$9)+NL("Sum","5802 Value Entry","17 Sales Amount (Actual)","41 Source Type",$C$5,"5 Source no.",$C933,"4 Item Ledger Entry Type",$C$4,"2 Item No.","@@"&amp;$F933,"3 Posting Date",O$9)</t>
  </si>
  <si>
    <t>=-NL("Sum","5802 Value Entry","151 Cost Amount (Expected)","41 Source Type",$C$5,"5 Source No.",$C933,"4 Item Ledger Entry Type",$C$4,"2 Item No.","@@"&amp;$F933,"3 Posting Date",O$9)-NL("Sum","5802 Value Entry","43 Cost Amount (Actual)","41 Source Type",$C$5,"5 Source no.",$C933,"4 Item Ledger Entry Type",$C$4,"2 Item No.","@@"&amp;$F933,"3 Posting Date",O$9)</t>
  </si>
  <si>
    <t>=O933-Q933</t>
  </si>
  <si>
    <t>=IF(O933&lt;&gt;0,R933/O933,"")</t>
  </si>
  <si>
    <t>=NL("Sum","5802 Value Entry","150 Sales Amount (Expected)","41 Source Type",$C$5,"5 Source No.",$C933,"4 Item Ledger Entry Type",$C$4,"2 Item No.","@@"&amp;$F933,"3 Posting Date",U$9)+NL("Sum","5802 Value Entry","17 Sales Amount (Actual)","41 Source Type",$C$5,"5 Source no.",$C933,"4 Item Ledger Entry Type",$C$4,"2 Item No.","@@"&amp;$F933,"3 Posting Date",U$9)</t>
  </si>
  <si>
    <t>=-NL("Sum","5802 Value Entry","151 Cost Amount (Expected)","41 Source Type",$C$5,"5 Source No.",$C933,"4 Item Ledger Entry Type",$C$4,"2 Item No.","@@"&amp;$F933,"3 Posting Date",U$9)-NL("Sum","5802 Value Entry","43 Cost Amount (Actual)","41 Source Type",$C$5,"5 Source no.",$C933,"4 Item Ledger Entry Type",$C$4,"2 Item No.","@@"&amp;$F933,"3 Posting Date",U$9)</t>
  </si>
  <si>
    <t>=U933-W933</t>
  </si>
  <si>
    <t>=IF(U933&lt;&gt;0,X933/U933,"")</t>
  </si>
  <si>
    <t>=NL("Sum","5802 Value Entry","150 Sales Amount (Expected)","41 Source Type",$C$5,"5 Source No.",$C933,"4 Item Ledger Entry Type",$C$4,"2 Item No.","@@"&amp;$F933,"3 Posting Date",Z$9)+NL("Sum","5802 Value Entry","17 Sales Amount (Actual)","41 Source Type",$C$5,"5 Source no.",$C933,"4 Item Ledger Entry Type",$C$4,"2 Item No.","@@"&amp;$F933,"3 Posting Date",Z$9)</t>
  </si>
  <si>
    <t>=-NL("Sum","5802 Value Entry","151 Cost Amount (Expected)","41 Source Type",$C$5,"5 Source No.",$C933,"4 Item Ledger Entry Type",$C$4,"2 Item No.","@@"&amp;$F933,"3 Posting Date",Z$9)-NL("Sum","5802 Value Entry","43 Cost Amount (Actual)","41 Source Type",$C$5,"5 Source no.",$C933,"4 Item Ledger Entry Type",$C$4,"2 Item No.","@@"&amp;$F933,"3 Posting Date",Z$9)</t>
  </si>
  <si>
    <t>=Z933-AB933</t>
  </si>
  <si>
    <t>=IF(Z933&lt;&gt;0,AC933/Z933,"")</t>
  </si>
  <si>
    <t>=C933</t>
  </si>
  <si>
    <t>=NL("Sum","5802 Value Entry","150 Sales Amount (Expected)","41 Source Type",$C$5,"5 Source No.",$C934,"4 Item Ledger Entry Type",$C$4,"2 Item No.","@@"&amp;$F934,"3 Posting Date",J$9)+NL("Sum","5802 Value Entry","17 Sales Amount (Actual)","41 Source Type",$C$5,"5 Source no.",$C934,"4 Item Ledger Entry Type",$C$4,"2 Item No.","@@"&amp;$F934,"3 Posting Date",J$9)</t>
  </si>
  <si>
    <t>=-NL("Sum","5802 Value Entry","151 Cost Amount (Expected)","41 Source Type",$C$5,"5 Source No.",$C934,"4 Item Ledger Entry Type",$C$4,"2 Item No.","@@"&amp;$F934,"3 Posting Date",J$9)-NL("Sum","5802 Value Entry","43 Cost Amount (Actual)","41 Source Type",$C$5,"5 Source no.",$C934,"4 Item Ledger Entry Type",$C$4,"2 Item No.","@@"&amp;$F934,"3 Posting Date",J$9)</t>
  </si>
  <si>
    <t>=J934-L934</t>
  </si>
  <si>
    <t>=IF(J934&lt;&gt;0,M934/J934,"")</t>
  </si>
  <si>
    <t>=NL("Sum","5802 Value Entry","150 Sales Amount (Expected)","41 Source Type",$C$5,"5 Source No.",$C934,"4 Item Ledger Entry Type",$C$4,"2 Item No.","@@"&amp;$F934,"3 Posting Date",O$9)+NL("Sum","5802 Value Entry","17 Sales Amount (Actual)","41 Source Type",$C$5,"5 Source no.",$C934,"4 Item Ledger Entry Type",$C$4,"2 Item No.","@@"&amp;$F934,"3 Posting Date",O$9)</t>
  </si>
  <si>
    <t>=-NL("Sum","5802 Value Entry","151 Cost Amount (Expected)","41 Source Type",$C$5,"5 Source No.",$C934,"4 Item Ledger Entry Type",$C$4,"2 Item No.","@@"&amp;$F934,"3 Posting Date",O$9)-NL("Sum","5802 Value Entry","43 Cost Amount (Actual)","41 Source Type",$C$5,"5 Source no.",$C934,"4 Item Ledger Entry Type",$C$4,"2 Item No.","@@"&amp;$F934,"3 Posting Date",O$9)</t>
  </si>
  <si>
    <t>=O934-Q934</t>
  </si>
  <si>
    <t>=IF(O934&lt;&gt;0,R934/O934,"")</t>
  </si>
  <si>
    <t>=NL("Sum","5802 Value Entry","150 Sales Amount (Expected)","41 Source Type",$C$5,"5 Source No.",$C934,"4 Item Ledger Entry Type",$C$4,"2 Item No.","@@"&amp;$F934,"3 Posting Date",U$9)+NL("Sum","5802 Value Entry","17 Sales Amount (Actual)","41 Source Type",$C$5,"5 Source no.",$C934,"4 Item Ledger Entry Type",$C$4,"2 Item No.","@@"&amp;$F934,"3 Posting Date",U$9)</t>
  </si>
  <si>
    <t>=-NL("Sum","5802 Value Entry","151 Cost Amount (Expected)","41 Source Type",$C$5,"5 Source No.",$C934,"4 Item Ledger Entry Type",$C$4,"2 Item No.","@@"&amp;$F934,"3 Posting Date",U$9)-NL("Sum","5802 Value Entry","43 Cost Amount (Actual)","41 Source Type",$C$5,"5 Source no.",$C934,"4 Item Ledger Entry Type",$C$4,"2 Item No.","@@"&amp;$F934,"3 Posting Date",U$9)</t>
  </si>
  <si>
    <t>=U934-W934</t>
  </si>
  <si>
    <t>=IF(U934&lt;&gt;0,X934/U934,"")</t>
  </si>
  <si>
    <t>=NL("Sum","5802 Value Entry","150 Sales Amount (Expected)","41 Source Type",$C$5,"5 Source No.",$C934,"4 Item Ledger Entry Type",$C$4,"2 Item No.","@@"&amp;$F934,"3 Posting Date",Z$9)+NL("Sum","5802 Value Entry","17 Sales Amount (Actual)","41 Source Type",$C$5,"5 Source no.",$C934,"4 Item Ledger Entry Type",$C$4,"2 Item No.","@@"&amp;$F934,"3 Posting Date",Z$9)</t>
  </si>
  <si>
    <t>=-NL("Sum","5802 Value Entry","151 Cost Amount (Expected)","41 Source Type",$C$5,"5 Source No.",$C934,"4 Item Ledger Entry Type",$C$4,"2 Item No.","@@"&amp;$F934,"3 Posting Date",Z$9)-NL("Sum","5802 Value Entry","43 Cost Amount (Actual)","41 Source Type",$C$5,"5 Source no.",$C934,"4 Item Ledger Entry Type",$C$4,"2 Item No.","@@"&amp;$F934,"3 Posting Date",Z$9)</t>
  </si>
  <si>
    <t>=Z934-AB934</t>
  </si>
  <si>
    <t>=IF(Z934&lt;&gt;0,AC934/Z934,"")</t>
  </si>
  <si>
    <t>=C934</t>
  </si>
  <si>
    <t>=NL("Sum","5802 Value Entry","150 Sales Amount (Expected)","41 Source Type",$C$5,"5 Source No.",$C935,"4 Item Ledger Entry Type",$C$4,"2 Item No.","@@"&amp;$F935,"3 Posting Date",J$9)+NL("Sum","5802 Value Entry","17 Sales Amount (Actual)","41 Source Type",$C$5,"5 Source no.",$C935,"4 Item Ledger Entry Type",$C$4,"2 Item No.","@@"&amp;$F935,"3 Posting Date",J$9)</t>
  </si>
  <si>
    <t>=-NL("Sum","5802 Value Entry","151 Cost Amount (Expected)","41 Source Type",$C$5,"5 Source No.",$C935,"4 Item Ledger Entry Type",$C$4,"2 Item No.","@@"&amp;$F935,"3 Posting Date",J$9)-NL("Sum","5802 Value Entry","43 Cost Amount (Actual)","41 Source Type",$C$5,"5 Source no.",$C935,"4 Item Ledger Entry Type",$C$4,"2 Item No.","@@"&amp;$F935,"3 Posting Date",J$9)</t>
  </si>
  <si>
    <t>=J935-L935</t>
  </si>
  <si>
    <t>=IF(J935&lt;&gt;0,M935/J935,"")</t>
  </si>
  <si>
    <t>=NL("Sum","5802 Value Entry","150 Sales Amount (Expected)","41 Source Type",$C$5,"5 Source No.",$C935,"4 Item Ledger Entry Type",$C$4,"2 Item No.","@@"&amp;$F935,"3 Posting Date",O$9)+NL("Sum","5802 Value Entry","17 Sales Amount (Actual)","41 Source Type",$C$5,"5 Source no.",$C935,"4 Item Ledger Entry Type",$C$4,"2 Item No.","@@"&amp;$F935,"3 Posting Date",O$9)</t>
  </si>
  <si>
    <t>=-NL("Sum","5802 Value Entry","151 Cost Amount (Expected)","41 Source Type",$C$5,"5 Source No.",$C935,"4 Item Ledger Entry Type",$C$4,"2 Item No.","@@"&amp;$F935,"3 Posting Date",O$9)-NL("Sum","5802 Value Entry","43 Cost Amount (Actual)","41 Source Type",$C$5,"5 Source no.",$C935,"4 Item Ledger Entry Type",$C$4,"2 Item No.","@@"&amp;$F935,"3 Posting Date",O$9)</t>
  </si>
  <si>
    <t>=O935-Q935</t>
  </si>
  <si>
    <t>=IF(O935&lt;&gt;0,R935/O935,"")</t>
  </si>
  <si>
    <t>=NL("Sum","5802 Value Entry","150 Sales Amount (Expected)","41 Source Type",$C$5,"5 Source No.",$C935,"4 Item Ledger Entry Type",$C$4,"2 Item No.","@@"&amp;$F935,"3 Posting Date",U$9)+NL("Sum","5802 Value Entry","17 Sales Amount (Actual)","41 Source Type",$C$5,"5 Source no.",$C935,"4 Item Ledger Entry Type",$C$4,"2 Item No.","@@"&amp;$F935,"3 Posting Date",U$9)</t>
  </si>
  <si>
    <t>=-NL("Sum","5802 Value Entry","151 Cost Amount (Expected)","41 Source Type",$C$5,"5 Source No.",$C935,"4 Item Ledger Entry Type",$C$4,"2 Item No.","@@"&amp;$F935,"3 Posting Date",U$9)-NL("Sum","5802 Value Entry","43 Cost Amount (Actual)","41 Source Type",$C$5,"5 Source no.",$C935,"4 Item Ledger Entry Type",$C$4,"2 Item No.","@@"&amp;$F935,"3 Posting Date",U$9)</t>
  </si>
  <si>
    <t>=U935-W935</t>
  </si>
  <si>
    <t>=IF(U935&lt;&gt;0,X935/U935,"")</t>
  </si>
  <si>
    <t>=NL("Sum","5802 Value Entry","150 Sales Amount (Expected)","41 Source Type",$C$5,"5 Source No.",$C935,"4 Item Ledger Entry Type",$C$4,"2 Item No.","@@"&amp;$F935,"3 Posting Date",Z$9)+NL("Sum","5802 Value Entry","17 Sales Amount (Actual)","41 Source Type",$C$5,"5 Source no.",$C935,"4 Item Ledger Entry Type",$C$4,"2 Item No.","@@"&amp;$F935,"3 Posting Date",Z$9)</t>
  </si>
  <si>
    <t>=-NL("Sum","5802 Value Entry","151 Cost Amount (Expected)","41 Source Type",$C$5,"5 Source No.",$C935,"4 Item Ledger Entry Type",$C$4,"2 Item No.","@@"&amp;$F935,"3 Posting Date",Z$9)-NL("Sum","5802 Value Entry","43 Cost Amount (Actual)","41 Source Type",$C$5,"5 Source no.",$C935,"4 Item Ledger Entry Type",$C$4,"2 Item No.","@@"&amp;$F935,"3 Posting Date",Z$9)</t>
  </si>
  <si>
    <t>=Z935-AB935</t>
  </si>
  <si>
    <t>=IF(Z935&lt;&gt;0,AC935/Z935,"")</t>
  </si>
  <si>
    <t>=C936</t>
  </si>
  <si>
    <t>=J937-L937</t>
  </si>
  <si>
    <t>=IF(J937&lt;&gt;0,M937/J937,"")</t>
  </si>
  <si>
    <t>=O937-Q937</t>
  </si>
  <si>
    <t>=IF(O937&lt;&gt;0,R937/O937,"")</t>
  </si>
  <si>
    <t>=U937-W937</t>
  </si>
  <si>
    <t>=IF(U937&lt;&gt;0,X937/U937,"")</t>
  </si>
  <si>
    <t>=Z937-AB937</t>
  </si>
  <si>
    <t>=IF(Z937&lt;&gt;0,AC937/Z937,"")</t>
  </si>
  <si>
    <t>=C941</t>
  </si>
  <si>
    <t>=C942</t>
  </si>
  <si>
    <t>=NL("Sum","5802 Value Entry","150 Sales Amount (Expected)","41 Source Type",$C$5,"5 Source No.",$C943,"4 Item Ledger Entry Type",$C$4,"2 Item No.","@@"&amp;$F943,"3 Posting Date",J$9)+NL("Sum","5802 Value Entry","17 Sales Amount (Actual)","41 Source Type",$C$5,"5 Source no.",$C943,"4 Item Ledger Entry Type",$C$4,"2 Item No.","@@"&amp;$F943,"3 Posting Date",J$9)</t>
  </si>
  <si>
    <t>=-NL("Sum","5802 Value Entry","151 Cost Amount (Expected)","41 Source Type",$C$5,"5 Source No.",$C943,"4 Item Ledger Entry Type",$C$4,"2 Item No.","@@"&amp;$F943,"3 Posting Date",J$9)-NL("Sum","5802 Value Entry","43 Cost Amount (Actual)","41 Source Type",$C$5,"5 Source no.",$C943,"4 Item Ledger Entry Type",$C$4,"2 Item No.","@@"&amp;$F943,"3 Posting Date",J$9)</t>
  </si>
  <si>
    <t>=J943-L943</t>
  </si>
  <si>
    <t>=IF(J943&lt;&gt;0,M943/J943,"")</t>
  </si>
  <si>
    <t>=NL("Sum","5802 Value Entry","150 Sales Amount (Expected)","41 Source Type",$C$5,"5 Source No.",$C943,"4 Item Ledger Entry Type",$C$4,"2 Item No.","@@"&amp;$F943,"3 Posting Date",O$9)+NL("Sum","5802 Value Entry","17 Sales Amount (Actual)","41 Source Type",$C$5,"5 Source no.",$C943,"4 Item Ledger Entry Type",$C$4,"2 Item No.","@@"&amp;$F943,"3 Posting Date",O$9)</t>
  </si>
  <si>
    <t>=-NL("Sum","5802 Value Entry","151 Cost Amount (Expected)","41 Source Type",$C$5,"5 Source No.",$C943,"4 Item Ledger Entry Type",$C$4,"2 Item No.","@@"&amp;$F943,"3 Posting Date",O$9)-NL("Sum","5802 Value Entry","43 Cost Amount (Actual)","41 Source Type",$C$5,"5 Source no.",$C943,"4 Item Ledger Entry Type",$C$4,"2 Item No.","@@"&amp;$F943,"3 Posting Date",O$9)</t>
  </si>
  <si>
    <t>=O943-Q943</t>
  </si>
  <si>
    <t>=IF(O943&lt;&gt;0,R943/O943,"")</t>
  </si>
  <si>
    <t>=NL("Sum","5802 Value Entry","150 Sales Amount (Expected)","41 Source Type",$C$5,"5 Source No.",$C943,"4 Item Ledger Entry Type",$C$4,"2 Item No.","@@"&amp;$F943,"3 Posting Date",U$9)+NL("Sum","5802 Value Entry","17 Sales Amount (Actual)","41 Source Type",$C$5,"5 Source no.",$C943,"4 Item Ledger Entry Type",$C$4,"2 Item No.","@@"&amp;$F943,"3 Posting Date",U$9)</t>
  </si>
  <si>
    <t>=-NL("Sum","5802 Value Entry","151 Cost Amount (Expected)","41 Source Type",$C$5,"5 Source No.",$C943,"4 Item Ledger Entry Type",$C$4,"2 Item No.","@@"&amp;$F943,"3 Posting Date",U$9)-NL("Sum","5802 Value Entry","43 Cost Amount (Actual)","41 Source Type",$C$5,"5 Source no.",$C943,"4 Item Ledger Entry Type",$C$4,"2 Item No.","@@"&amp;$F943,"3 Posting Date",U$9)</t>
  </si>
  <si>
    <t>=U943-W943</t>
  </si>
  <si>
    <t>=IF(U943&lt;&gt;0,X943/U943,"")</t>
  </si>
  <si>
    <t>=NL("Sum","5802 Value Entry","150 Sales Amount (Expected)","41 Source Type",$C$5,"5 Source No.",$C943,"4 Item Ledger Entry Type",$C$4,"2 Item No.","@@"&amp;$F943,"3 Posting Date",Z$9)+NL("Sum","5802 Value Entry","17 Sales Amount (Actual)","41 Source Type",$C$5,"5 Source no.",$C943,"4 Item Ledger Entry Type",$C$4,"2 Item No.","@@"&amp;$F943,"3 Posting Date",Z$9)</t>
  </si>
  <si>
    <t>=-NL("Sum","5802 Value Entry","151 Cost Amount (Expected)","41 Source Type",$C$5,"5 Source No.",$C943,"4 Item Ledger Entry Type",$C$4,"2 Item No.","@@"&amp;$F943,"3 Posting Date",Z$9)-NL("Sum","5802 Value Entry","43 Cost Amount (Actual)","41 Source Type",$C$5,"5 Source no.",$C943,"4 Item Ledger Entry Type",$C$4,"2 Item No.","@@"&amp;$F943,"3 Posting Date",Z$9)</t>
  </si>
  <si>
    <t>=Z943-AB943</t>
  </si>
  <si>
    <t>=IF(Z943&lt;&gt;0,AC943/Z943,"")</t>
  </si>
  <si>
    <t>=C943</t>
  </si>
  <si>
    <t>=NL("Sum","5802 Value Entry","150 Sales Amount (Expected)","41 Source Type",$C$5,"5 Source No.",$C944,"4 Item Ledger Entry Type",$C$4,"2 Item No.","@@"&amp;$F944,"3 Posting Date",J$9)+NL("Sum","5802 Value Entry","17 Sales Amount (Actual)","41 Source Type",$C$5,"5 Source no.",$C944,"4 Item Ledger Entry Type",$C$4,"2 Item No.","@@"&amp;$F944,"3 Posting Date",J$9)</t>
  </si>
  <si>
    <t>=-NL("Sum","5802 Value Entry","151 Cost Amount (Expected)","41 Source Type",$C$5,"5 Source No.",$C944,"4 Item Ledger Entry Type",$C$4,"2 Item No.","@@"&amp;$F944,"3 Posting Date",J$9)-NL("Sum","5802 Value Entry","43 Cost Amount (Actual)","41 Source Type",$C$5,"5 Source no.",$C944,"4 Item Ledger Entry Type",$C$4,"2 Item No.","@@"&amp;$F944,"3 Posting Date",J$9)</t>
  </si>
  <si>
    <t>=J944-L944</t>
  </si>
  <si>
    <t>=IF(J944&lt;&gt;0,M944/J944,"")</t>
  </si>
  <si>
    <t>=NL("Sum","5802 Value Entry","150 Sales Amount (Expected)","41 Source Type",$C$5,"5 Source No.",$C944,"4 Item Ledger Entry Type",$C$4,"2 Item No.","@@"&amp;$F944,"3 Posting Date",O$9)+NL("Sum","5802 Value Entry","17 Sales Amount (Actual)","41 Source Type",$C$5,"5 Source no.",$C944,"4 Item Ledger Entry Type",$C$4,"2 Item No.","@@"&amp;$F944,"3 Posting Date",O$9)</t>
  </si>
  <si>
    <t>=-NL("Sum","5802 Value Entry","151 Cost Amount (Expected)","41 Source Type",$C$5,"5 Source No.",$C944,"4 Item Ledger Entry Type",$C$4,"2 Item No.","@@"&amp;$F944,"3 Posting Date",O$9)-NL("Sum","5802 Value Entry","43 Cost Amount (Actual)","41 Source Type",$C$5,"5 Source no.",$C944,"4 Item Ledger Entry Type",$C$4,"2 Item No.","@@"&amp;$F944,"3 Posting Date",O$9)</t>
  </si>
  <si>
    <t>=O944-Q944</t>
  </si>
  <si>
    <t>=IF(O944&lt;&gt;0,R944/O944,"")</t>
  </si>
  <si>
    <t>=NL("Sum","5802 Value Entry","150 Sales Amount (Expected)","41 Source Type",$C$5,"5 Source No.",$C944,"4 Item Ledger Entry Type",$C$4,"2 Item No.","@@"&amp;$F944,"3 Posting Date",U$9)+NL("Sum","5802 Value Entry","17 Sales Amount (Actual)","41 Source Type",$C$5,"5 Source no.",$C944,"4 Item Ledger Entry Type",$C$4,"2 Item No.","@@"&amp;$F944,"3 Posting Date",U$9)</t>
  </si>
  <si>
    <t>=-NL("Sum","5802 Value Entry","151 Cost Amount (Expected)","41 Source Type",$C$5,"5 Source No.",$C944,"4 Item Ledger Entry Type",$C$4,"2 Item No.","@@"&amp;$F944,"3 Posting Date",U$9)-NL("Sum","5802 Value Entry","43 Cost Amount (Actual)","41 Source Type",$C$5,"5 Source no.",$C944,"4 Item Ledger Entry Type",$C$4,"2 Item No.","@@"&amp;$F944,"3 Posting Date",U$9)</t>
  </si>
  <si>
    <t>=U944-W944</t>
  </si>
  <si>
    <t>=IF(U944&lt;&gt;0,X944/U944,"")</t>
  </si>
  <si>
    <t>=NL("Sum","5802 Value Entry","150 Sales Amount (Expected)","41 Source Type",$C$5,"5 Source No.",$C944,"4 Item Ledger Entry Type",$C$4,"2 Item No.","@@"&amp;$F944,"3 Posting Date",Z$9)+NL("Sum","5802 Value Entry","17 Sales Amount (Actual)","41 Source Type",$C$5,"5 Source no.",$C944,"4 Item Ledger Entry Type",$C$4,"2 Item No.","@@"&amp;$F944,"3 Posting Date",Z$9)</t>
  </si>
  <si>
    <t>=-NL("Sum","5802 Value Entry","151 Cost Amount (Expected)","41 Source Type",$C$5,"5 Source No.",$C944,"4 Item Ledger Entry Type",$C$4,"2 Item No.","@@"&amp;$F944,"3 Posting Date",Z$9)-NL("Sum","5802 Value Entry","43 Cost Amount (Actual)","41 Source Type",$C$5,"5 Source no.",$C944,"4 Item Ledger Entry Type",$C$4,"2 Item No.","@@"&amp;$F944,"3 Posting Date",Z$9)</t>
  </si>
  <si>
    <t>=Z944-AB944</t>
  </si>
  <si>
    <t>=IF(Z944&lt;&gt;0,AC944/Z944,"")</t>
  </si>
  <si>
    <t>=C944</t>
  </si>
  <si>
    <t>=NL("Sum","5802 Value Entry","150 Sales Amount (Expected)","41 Source Type",$C$5,"5 Source No.",$C945,"4 Item Ledger Entry Type",$C$4,"2 Item No.","@@"&amp;$F945,"3 Posting Date",J$9)+NL("Sum","5802 Value Entry","17 Sales Amount (Actual)","41 Source Type",$C$5,"5 Source no.",$C945,"4 Item Ledger Entry Type",$C$4,"2 Item No.","@@"&amp;$F945,"3 Posting Date",J$9)</t>
  </si>
  <si>
    <t>=-NL("Sum","5802 Value Entry","151 Cost Amount (Expected)","41 Source Type",$C$5,"5 Source No.",$C945,"4 Item Ledger Entry Type",$C$4,"2 Item No.","@@"&amp;$F945,"3 Posting Date",J$9)-NL("Sum","5802 Value Entry","43 Cost Amount (Actual)","41 Source Type",$C$5,"5 Source no.",$C945,"4 Item Ledger Entry Type",$C$4,"2 Item No.","@@"&amp;$F945,"3 Posting Date",J$9)</t>
  </si>
  <si>
    <t>=J945-L945</t>
  </si>
  <si>
    <t>=IF(J945&lt;&gt;0,M945/J945,"")</t>
  </si>
  <si>
    <t>=NL("Sum","5802 Value Entry","150 Sales Amount (Expected)","41 Source Type",$C$5,"5 Source No.",$C945,"4 Item Ledger Entry Type",$C$4,"2 Item No.","@@"&amp;$F945,"3 Posting Date",O$9)+NL("Sum","5802 Value Entry","17 Sales Amount (Actual)","41 Source Type",$C$5,"5 Source no.",$C945,"4 Item Ledger Entry Type",$C$4,"2 Item No.","@@"&amp;$F945,"3 Posting Date",O$9)</t>
  </si>
  <si>
    <t>=-NL("Sum","5802 Value Entry","151 Cost Amount (Expected)","41 Source Type",$C$5,"5 Source No.",$C945,"4 Item Ledger Entry Type",$C$4,"2 Item No.","@@"&amp;$F945,"3 Posting Date",O$9)-NL("Sum","5802 Value Entry","43 Cost Amount (Actual)","41 Source Type",$C$5,"5 Source no.",$C945,"4 Item Ledger Entry Type",$C$4,"2 Item No.","@@"&amp;$F945,"3 Posting Date",O$9)</t>
  </si>
  <si>
    <t>=O945-Q945</t>
  </si>
  <si>
    <t>=IF(O945&lt;&gt;0,R945/O945,"")</t>
  </si>
  <si>
    <t>=NL("Sum","5802 Value Entry","150 Sales Amount (Expected)","41 Source Type",$C$5,"5 Source No.",$C945,"4 Item Ledger Entry Type",$C$4,"2 Item No.","@@"&amp;$F945,"3 Posting Date",U$9)+NL("Sum","5802 Value Entry","17 Sales Amount (Actual)","41 Source Type",$C$5,"5 Source no.",$C945,"4 Item Ledger Entry Type",$C$4,"2 Item No.","@@"&amp;$F945,"3 Posting Date",U$9)</t>
  </si>
  <si>
    <t>=-NL("Sum","5802 Value Entry","151 Cost Amount (Expected)","41 Source Type",$C$5,"5 Source No.",$C945,"4 Item Ledger Entry Type",$C$4,"2 Item No.","@@"&amp;$F945,"3 Posting Date",U$9)-NL("Sum","5802 Value Entry","43 Cost Amount (Actual)","41 Source Type",$C$5,"5 Source no.",$C945,"4 Item Ledger Entry Type",$C$4,"2 Item No.","@@"&amp;$F945,"3 Posting Date",U$9)</t>
  </si>
  <si>
    <t>=U945-W945</t>
  </si>
  <si>
    <t>=IF(U945&lt;&gt;0,X945/U945,"")</t>
  </si>
  <si>
    <t>=NL("Sum","5802 Value Entry","150 Sales Amount (Expected)","41 Source Type",$C$5,"5 Source No.",$C945,"4 Item Ledger Entry Type",$C$4,"2 Item No.","@@"&amp;$F945,"3 Posting Date",Z$9)+NL("Sum","5802 Value Entry","17 Sales Amount (Actual)","41 Source Type",$C$5,"5 Source no.",$C945,"4 Item Ledger Entry Type",$C$4,"2 Item No.","@@"&amp;$F945,"3 Posting Date",Z$9)</t>
  </si>
  <si>
    <t>=-NL("Sum","5802 Value Entry","151 Cost Amount (Expected)","41 Source Type",$C$5,"5 Source No.",$C945,"4 Item Ledger Entry Type",$C$4,"2 Item No.","@@"&amp;$F945,"3 Posting Date",Z$9)-NL("Sum","5802 Value Entry","43 Cost Amount (Actual)","41 Source Type",$C$5,"5 Source no.",$C945,"4 Item Ledger Entry Type",$C$4,"2 Item No.","@@"&amp;$F945,"3 Posting Date",Z$9)</t>
  </si>
  <si>
    <t>=Z945-AB945</t>
  </si>
  <si>
    <t>=IF(Z945&lt;&gt;0,AC945/Z945,"")</t>
  </si>
  <si>
    <t>=C945</t>
  </si>
  <si>
    <t>=NL("Sum","5802 Value Entry","150 Sales Amount (Expected)","41 Source Type",$C$5,"5 Source No.",$C946,"4 Item Ledger Entry Type",$C$4,"2 Item No.","@@"&amp;$F946,"3 Posting Date",J$9)+NL("Sum","5802 Value Entry","17 Sales Amount (Actual)","41 Source Type",$C$5,"5 Source no.",$C946,"4 Item Ledger Entry Type",$C$4,"2 Item No.","@@"&amp;$F946,"3 Posting Date",J$9)</t>
  </si>
  <si>
    <t>=-NL("Sum","5802 Value Entry","151 Cost Amount (Expected)","41 Source Type",$C$5,"5 Source No.",$C946,"4 Item Ledger Entry Type",$C$4,"2 Item No.","@@"&amp;$F946,"3 Posting Date",J$9)-NL("Sum","5802 Value Entry","43 Cost Amount (Actual)","41 Source Type",$C$5,"5 Source no.",$C946,"4 Item Ledger Entry Type",$C$4,"2 Item No.","@@"&amp;$F946,"3 Posting Date",J$9)</t>
  </si>
  <si>
    <t>=J946-L946</t>
  </si>
  <si>
    <t>=IF(J946&lt;&gt;0,M946/J946,"")</t>
  </si>
  <si>
    <t>=NL("Sum","5802 Value Entry","150 Sales Amount (Expected)","41 Source Type",$C$5,"5 Source No.",$C946,"4 Item Ledger Entry Type",$C$4,"2 Item No.","@@"&amp;$F946,"3 Posting Date",O$9)+NL("Sum","5802 Value Entry","17 Sales Amount (Actual)","41 Source Type",$C$5,"5 Source no.",$C946,"4 Item Ledger Entry Type",$C$4,"2 Item No.","@@"&amp;$F946,"3 Posting Date",O$9)</t>
  </si>
  <si>
    <t>=-NL("Sum","5802 Value Entry","151 Cost Amount (Expected)","41 Source Type",$C$5,"5 Source No.",$C946,"4 Item Ledger Entry Type",$C$4,"2 Item No.","@@"&amp;$F946,"3 Posting Date",O$9)-NL("Sum","5802 Value Entry","43 Cost Amount (Actual)","41 Source Type",$C$5,"5 Source no.",$C946,"4 Item Ledger Entry Type",$C$4,"2 Item No.","@@"&amp;$F946,"3 Posting Date",O$9)</t>
  </si>
  <si>
    <t>=O946-Q946</t>
  </si>
  <si>
    <t>=IF(O946&lt;&gt;0,R946/O946,"")</t>
  </si>
  <si>
    <t>=NL("Sum","5802 Value Entry","150 Sales Amount (Expected)","41 Source Type",$C$5,"5 Source No.",$C946,"4 Item Ledger Entry Type",$C$4,"2 Item No.","@@"&amp;$F946,"3 Posting Date",U$9)+NL("Sum","5802 Value Entry","17 Sales Amount (Actual)","41 Source Type",$C$5,"5 Source no.",$C946,"4 Item Ledger Entry Type",$C$4,"2 Item No.","@@"&amp;$F946,"3 Posting Date",U$9)</t>
  </si>
  <si>
    <t>=-NL("Sum","5802 Value Entry","151 Cost Amount (Expected)","41 Source Type",$C$5,"5 Source No.",$C946,"4 Item Ledger Entry Type",$C$4,"2 Item No.","@@"&amp;$F946,"3 Posting Date",U$9)-NL("Sum","5802 Value Entry","43 Cost Amount (Actual)","41 Source Type",$C$5,"5 Source no.",$C946,"4 Item Ledger Entry Type",$C$4,"2 Item No.","@@"&amp;$F946,"3 Posting Date",U$9)</t>
  </si>
  <si>
    <t>=U946-W946</t>
  </si>
  <si>
    <t>=IF(U946&lt;&gt;0,X946/U946,"")</t>
  </si>
  <si>
    <t>=NL("Sum","5802 Value Entry","150 Sales Amount (Expected)","41 Source Type",$C$5,"5 Source No.",$C946,"4 Item Ledger Entry Type",$C$4,"2 Item No.","@@"&amp;$F946,"3 Posting Date",Z$9)+NL("Sum","5802 Value Entry","17 Sales Amount (Actual)","41 Source Type",$C$5,"5 Source no.",$C946,"4 Item Ledger Entry Type",$C$4,"2 Item No.","@@"&amp;$F946,"3 Posting Date",Z$9)</t>
  </si>
  <si>
    <t>=-NL("Sum","5802 Value Entry","151 Cost Amount (Expected)","41 Source Type",$C$5,"5 Source No.",$C946,"4 Item Ledger Entry Type",$C$4,"2 Item No.","@@"&amp;$F946,"3 Posting Date",Z$9)-NL("Sum","5802 Value Entry","43 Cost Amount (Actual)","41 Source Type",$C$5,"5 Source no.",$C946,"4 Item Ledger Entry Type",$C$4,"2 Item No.","@@"&amp;$F946,"3 Posting Date",Z$9)</t>
  </si>
  <si>
    <t>=Z946-AB946</t>
  </si>
  <si>
    <t>=IF(Z946&lt;&gt;0,AC946/Z946,"")</t>
  </si>
  <si>
    <t>=C947</t>
  </si>
  <si>
    <t>=J948-L948</t>
  </si>
  <si>
    <t>=IF(J948&lt;&gt;0,M948/J948,"")</t>
  </si>
  <si>
    <t>=O948-Q948</t>
  </si>
  <si>
    <t>=IF(O948&lt;&gt;0,R948/O948,"")</t>
  </si>
  <si>
    <t>=U948-W948</t>
  </si>
  <si>
    <t>=IF(U948&lt;&gt;0,X948/U948,"")</t>
  </si>
  <si>
    <t>=Z948-AB948</t>
  </si>
  <si>
    <t>=IF(Z948&lt;&gt;0,AC948/Z948,"")</t>
  </si>
  <si>
    <t>=C950</t>
  </si>
  <si>
    <t>=C951</t>
  </si>
  <si>
    <t>=NL("Sum","5802 Value Entry","150 Sales Amount (Expected)","41 Source Type",$C$5,"5 Source No.",$C952,"4 Item Ledger Entry Type",$C$4,"2 Item No.","@@"&amp;$F952,"3 Posting Date",J$9)+NL("Sum","5802 Value Entry","17 Sales Amount (Actual)","41 Source Type",$C$5,"5 Source no.",$C952,"4 Item Ledger Entry Type",$C$4,"2 Item No.","@@"&amp;$F952,"3 Posting Date",J$9)</t>
  </si>
  <si>
    <t>=-NL("Sum","5802 Value Entry","151 Cost Amount (Expected)","41 Source Type",$C$5,"5 Source No.",$C952,"4 Item Ledger Entry Type",$C$4,"2 Item No.","@@"&amp;$F952,"3 Posting Date",J$9)-NL("Sum","5802 Value Entry","43 Cost Amount (Actual)","41 Source Type",$C$5,"5 Source no.",$C952,"4 Item Ledger Entry Type",$C$4,"2 Item No.","@@"&amp;$F952,"3 Posting Date",J$9)</t>
  </si>
  <si>
    <t>=J952-L952</t>
  </si>
  <si>
    <t>=IF(J952&lt;&gt;0,M952/J952,"")</t>
  </si>
  <si>
    <t>=NL("Sum","5802 Value Entry","150 Sales Amount (Expected)","41 Source Type",$C$5,"5 Source No.",$C952,"4 Item Ledger Entry Type",$C$4,"2 Item No.","@@"&amp;$F952,"3 Posting Date",O$9)+NL("Sum","5802 Value Entry","17 Sales Amount (Actual)","41 Source Type",$C$5,"5 Source no.",$C952,"4 Item Ledger Entry Type",$C$4,"2 Item No.","@@"&amp;$F952,"3 Posting Date",O$9)</t>
  </si>
  <si>
    <t>=-NL("Sum","5802 Value Entry","151 Cost Amount (Expected)","41 Source Type",$C$5,"5 Source No.",$C952,"4 Item Ledger Entry Type",$C$4,"2 Item No.","@@"&amp;$F952,"3 Posting Date",O$9)-NL("Sum","5802 Value Entry","43 Cost Amount (Actual)","41 Source Type",$C$5,"5 Source no.",$C952,"4 Item Ledger Entry Type",$C$4,"2 Item No.","@@"&amp;$F952,"3 Posting Date",O$9)</t>
  </si>
  <si>
    <t>=O952-Q952</t>
  </si>
  <si>
    <t>=IF(O952&lt;&gt;0,R952/O952,"")</t>
  </si>
  <si>
    <t>=NL("Sum","5802 Value Entry","150 Sales Amount (Expected)","41 Source Type",$C$5,"5 Source No.",$C952,"4 Item Ledger Entry Type",$C$4,"2 Item No.","@@"&amp;$F952,"3 Posting Date",U$9)+NL("Sum","5802 Value Entry","17 Sales Amount (Actual)","41 Source Type",$C$5,"5 Source no.",$C952,"4 Item Ledger Entry Type",$C$4,"2 Item No.","@@"&amp;$F952,"3 Posting Date",U$9)</t>
  </si>
  <si>
    <t>=-NL("Sum","5802 Value Entry","151 Cost Amount (Expected)","41 Source Type",$C$5,"5 Source No.",$C952,"4 Item Ledger Entry Type",$C$4,"2 Item No.","@@"&amp;$F952,"3 Posting Date",U$9)-NL("Sum","5802 Value Entry","43 Cost Amount (Actual)","41 Source Type",$C$5,"5 Source no.",$C952,"4 Item Ledger Entry Type",$C$4,"2 Item No.","@@"&amp;$F952,"3 Posting Date",U$9)</t>
  </si>
  <si>
    <t>=U952-W952</t>
  </si>
  <si>
    <t>=IF(U952&lt;&gt;0,X952/U952,"")</t>
  </si>
  <si>
    <t>=NL("Sum","5802 Value Entry","150 Sales Amount (Expected)","41 Source Type",$C$5,"5 Source No.",$C952,"4 Item Ledger Entry Type",$C$4,"2 Item No.","@@"&amp;$F952,"3 Posting Date",Z$9)+NL("Sum","5802 Value Entry","17 Sales Amount (Actual)","41 Source Type",$C$5,"5 Source no.",$C952,"4 Item Ledger Entry Type",$C$4,"2 Item No.","@@"&amp;$F952,"3 Posting Date",Z$9)</t>
  </si>
  <si>
    <t>=-NL("Sum","5802 Value Entry","151 Cost Amount (Expected)","41 Source Type",$C$5,"5 Source No.",$C952,"4 Item Ledger Entry Type",$C$4,"2 Item No.","@@"&amp;$F952,"3 Posting Date",Z$9)-NL("Sum","5802 Value Entry","43 Cost Amount (Actual)","41 Source Type",$C$5,"5 Source no.",$C952,"4 Item Ledger Entry Type",$C$4,"2 Item No.","@@"&amp;$F952,"3 Posting Date",Z$9)</t>
  </si>
  <si>
    <t>=Z952-AB952</t>
  </si>
  <si>
    <t>=IF(Z952&lt;&gt;0,AC952/Z952,"")</t>
  </si>
  <si>
    <t>=C952</t>
  </si>
  <si>
    <t>=NL("Sum","5802 Value Entry","150 Sales Amount (Expected)","41 Source Type",$C$5,"5 Source No.",$C953,"4 Item Ledger Entry Type",$C$4,"2 Item No.","@@"&amp;$F953,"3 Posting Date",J$9)+NL("Sum","5802 Value Entry","17 Sales Amount (Actual)","41 Source Type",$C$5,"5 Source no.",$C953,"4 Item Ledger Entry Type",$C$4,"2 Item No.","@@"&amp;$F953,"3 Posting Date",J$9)</t>
  </si>
  <si>
    <t>=-NL("Sum","5802 Value Entry","151 Cost Amount (Expected)","41 Source Type",$C$5,"5 Source No.",$C953,"4 Item Ledger Entry Type",$C$4,"2 Item No.","@@"&amp;$F953,"3 Posting Date",J$9)-NL("Sum","5802 Value Entry","43 Cost Amount (Actual)","41 Source Type",$C$5,"5 Source no.",$C953,"4 Item Ledger Entry Type",$C$4,"2 Item No.","@@"&amp;$F953,"3 Posting Date",J$9)</t>
  </si>
  <si>
    <t>=J953-L953</t>
  </si>
  <si>
    <t>=IF(J953&lt;&gt;0,M953/J953,"")</t>
  </si>
  <si>
    <t>=NL("Sum","5802 Value Entry","150 Sales Amount (Expected)","41 Source Type",$C$5,"5 Source No.",$C953,"4 Item Ledger Entry Type",$C$4,"2 Item No.","@@"&amp;$F953,"3 Posting Date",O$9)+NL("Sum","5802 Value Entry","17 Sales Amount (Actual)","41 Source Type",$C$5,"5 Source no.",$C953,"4 Item Ledger Entry Type",$C$4,"2 Item No.","@@"&amp;$F953,"3 Posting Date",O$9)</t>
  </si>
  <si>
    <t>=-NL("Sum","5802 Value Entry","151 Cost Amount (Expected)","41 Source Type",$C$5,"5 Source No.",$C953,"4 Item Ledger Entry Type",$C$4,"2 Item No.","@@"&amp;$F953,"3 Posting Date",O$9)-NL("Sum","5802 Value Entry","43 Cost Amount (Actual)","41 Source Type",$C$5,"5 Source no.",$C953,"4 Item Ledger Entry Type",$C$4,"2 Item No.","@@"&amp;$F953,"3 Posting Date",O$9)</t>
  </si>
  <si>
    <t>=O953-Q953</t>
  </si>
  <si>
    <t>=IF(O953&lt;&gt;0,R953/O953,"")</t>
  </si>
  <si>
    <t>=NL("Sum","5802 Value Entry","150 Sales Amount (Expected)","41 Source Type",$C$5,"5 Source No.",$C953,"4 Item Ledger Entry Type",$C$4,"2 Item No.","@@"&amp;$F953,"3 Posting Date",U$9)+NL("Sum","5802 Value Entry","17 Sales Amount (Actual)","41 Source Type",$C$5,"5 Source no.",$C953,"4 Item Ledger Entry Type",$C$4,"2 Item No.","@@"&amp;$F953,"3 Posting Date",U$9)</t>
  </si>
  <si>
    <t>=-NL("Sum","5802 Value Entry","151 Cost Amount (Expected)","41 Source Type",$C$5,"5 Source No.",$C953,"4 Item Ledger Entry Type",$C$4,"2 Item No.","@@"&amp;$F953,"3 Posting Date",U$9)-NL("Sum","5802 Value Entry","43 Cost Amount (Actual)","41 Source Type",$C$5,"5 Source no.",$C953,"4 Item Ledger Entry Type",$C$4,"2 Item No.","@@"&amp;$F953,"3 Posting Date",U$9)</t>
  </si>
  <si>
    <t>=U953-W953</t>
  </si>
  <si>
    <t>=IF(U953&lt;&gt;0,X953/U953,"")</t>
  </si>
  <si>
    <t>=NL("Sum","5802 Value Entry","150 Sales Amount (Expected)","41 Source Type",$C$5,"5 Source No.",$C953,"4 Item Ledger Entry Type",$C$4,"2 Item No.","@@"&amp;$F953,"3 Posting Date",Z$9)+NL("Sum","5802 Value Entry","17 Sales Amount (Actual)","41 Source Type",$C$5,"5 Source no.",$C953,"4 Item Ledger Entry Type",$C$4,"2 Item No.","@@"&amp;$F953,"3 Posting Date",Z$9)</t>
  </si>
  <si>
    <t>=-NL("Sum","5802 Value Entry","151 Cost Amount (Expected)","41 Source Type",$C$5,"5 Source No.",$C953,"4 Item Ledger Entry Type",$C$4,"2 Item No.","@@"&amp;$F953,"3 Posting Date",Z$9)-NL("Sum","5802 Value Entry","43 Cost Amount (Actual)","41 Source Type",$C$5,"5 Source no.",$C953,"4 Item Ledger Entry Type",$C$4,"2 Item No.","@@"&amp;$F953,"3 Posting Date",Z$9)</t>
  </si>
  <si>
    <t>=Z953-AB953</t>
  </si>
  <si>
    <t>=IF(Z953&lt;&gt;0,AC953/Z953,"")</t>
  </si>
  <si>
    <t>=C953</t>
  </si>
  <si>
    <t>=NL("Sum","5802 Value Entry","150 Sales Amount (Expected)","41 Source Type",$C$5,"5 Source No.",$C954,"4 Item Ledger Entry Type",$C$4,"2 Item No.","@@"&amp;$F954,"3 Posting Date",J$9)+NL("Sum","5802 Value Entry","17 Sales Amount (Actual)","41 Source Type",$C$5,"5 Source no.",$C954,"4 Item Ledger Entry Type",$C$4,"2 Item No.","@@"&amp;$F954,"3 Posting Date",J$9)</t>
  </si>
  <si>
    <t>=-NL("Sum","5802 Value Entry","151 Cost Amount (Expected)","41 Source Type",$C$5,"5 Source No.",$C954,"4 Item Ledger Entry Type",$C$4,"2 Item No.","@@"&amp;$F954,"3 Posting Date",J$9)-NL("Sum","5802 Value Entry","43 Cost Amount (Actual)","41 Source Type",$C$5,"5 Source no.",$C954,"4 Item Ledger Entry Type",$C$4,"2 Item No.","@@"&amp;$F954,"3 Posting Date",J$9)</t>
  </si>
  <si>
    <t>=J954-L954</t>
  </si>
  <si>
    <t>=IF(J954&lt;&gt;0,M954/J954,"")</t>
  </si>
  <si>
    <t>=NL("Sum","5802 Value Entry","150 Sales Amount (Expected)","41 Source Type",$C$5,"5 Source No.",$C954,"4 Item Ledger Entry Type",$C$4,"2 Item No.","@@"&amp;$F954,"3 Posting Date",O$9)+NL("Sum","5802 Value Entry","17 Sales Amount (Actual)","41 Source Type",$C$5,"5 Source no.",$C954,"4 Item Ledger Entry Type",$C$4,"2 Item No.","@@"&amp;$F954,"3 Posting Date",O$9)</t>
  </si>
  <si>
    <t>=-NL("Sum","5802 Value Entry","151 Cost Amount (Expected)","41 Source Type",$C$5,"5 Source No.",$C954,"4 Item Ledger Entry Type",$C$4,"2 Item No.","@@"&amp;$F954,"3 Posting Date",O$9)-NL("Sum","5802 Value Entry","43 Cost Amount (Actual)","41 Source Type",$C$5,"5 Source no.",$C954,"4 Item Ledger Entry Type",$C$4,"2 Item No.","@@"&amp;$F954,"3 Posting Date",O$9)</t>
  </si>
  <si>
    <t>=O954-Q954</t>
  </si>
  <si>
    <t>=IF(O954&lt;&gt;0,R954/O954,"")</t>
  </si>
  <si>
    <t>=NL("Sum","5802 Value Entry","150 Sales Amount (Expected)","41 Source Type",$C$5,"5 Source No.",$C954,"4 Item Ledger Entry Type",$C$4,"2 Item No.","@@"&amp;$F954,"3 Posting Date",U$9)+NL("Sum","5802 Value Entry","17 Sales Amount (Actual)","41 Source Type",$C$5,"5 Source no.",$C954,"4 Item Ledger Entry Type",$C$4,"2 Item No.","@@"&amp;$F954,"3 Posting Date",U$9)</t>
  </si>
  <si>
    <t>=-NL("Sum","5802 Value Entry","151 Cost Amount (Expected)","41 Source Type",$C$5,"5 Source No.",$C954,"4 Item Ledger Entry Type",$C$4,"2 Item No.","@@"&amp;$F954,"3 Posting Date",U$9)-NL("Sum","5802 Value Entry","43 Cost Amount (Actual)","41 Source Type",$C$5,"5 Source no.",$C954,"4 Item Ledger Entry Type",$C$4,"2 Item No.","@@"&amp;$F954,"3 Posting Date",U$9)</t>
  </si>
  <si>
    <t>=U954-W954</t>
  </si>
  <si>
    <t>=IF(U954&lt;&gt;0,X954/U954,"")</t>
  </si>
  <si>
    <t>=NL("Sum","5802 Value Entry","150 Sales Amount (Expected)","41 Source Type",$C$5,"5 Source No.",$C954,"4 Item Ledger Entry Type",$C$4,"2 Item No.","@@"&amp;$F954,"3 Posting Date",Z$9)+NL("Sum","5802 Value Entry","17 Sales Amount (Actual)","41 Source Type",$C$5,"5 Source no.",$C954,"4 Item Ledger Entry Type",$C$4,"2 Item No.","@@"&amp;$F954,"3 Posting Date",Z$9)</t>
  </si>
  <si>
    <t>=-NL("Sum","5802 Value Entry","151 Cost Amount (Expected)","41 Source Type",$C$5,"5 Source No.",$C954,"4 Item Ledger Entry Type",$C$4,"2 Item No.","@@"&amp;$F954,"3 Posting Date",Z$9)-NL("Sum","5802 Value Entry","43 Cost Amount (Actual)","41 Source Type",$C$5,"5 Source no.",$C954,"4 Item Ledger Entry Type",$C$4,"2 Item No.","@@"&amp;$F954,"3 Posting Date",Z$9)</t>
  </si>
  <si>
    <t>=Z954-AB954</t>
  </si>
  <si>
    <t>=IF(Z954&lt;&gt;0,AC954/Z954,"")</t>
  </si>
  <si>
    <t>=C954</t>
  </si>
  <si>
    <t>=NL("Sum","5802 Value Entry","150 Sales Amount (Expected)","41 Source Type",$C$5,"5 Source No.",$C955,"4 Item Ledger Entry Type",$C$4,"2 Item No.","@@"&amp;$F955,"3 Posting Date",J$9)+NL("Sum","5802 Value Entry","17 Sales Amount (Actual)","41 Source Type",$C$5,"5 Source no.",$C955,"4 Item Ledger Entry Type",$C$4,"2 Item No.","@@"&amp;$F955,"3 Posting Date",J$9)</t>
  </si>
  <si>
    <t>=-NL("Sum","5802 Value Entry","151 Cost Amount (Expected)","41 Source Type",$C$5,"5 Source No.",$C955,"4 Item Ledger Entry Type",$C$4,"2 Item No.","@@"&amp;$F955,"3 Posting Date",J$9)-NL("Sum","5802 Value Entry","43 Cost Amount (Actual)","41 Source Type",$C$5,"5 Source no.",$C955,"4 Item Ledger Entry Type",$C$4,"2 Item No.","@@"&amp;$F955,"3 Posting Date",J$9)</t>
  </si>
  <si>
    <t>=J955-L955</t>
  </si>
  <si>
    <t>=IF(J955&lt;&gt;0,M955/J955,"")</t>
  </si>
  <si>
    <t>=NL("Sum","5802 Value Entry","150 Sales Amount (Expected)","41 Source Type",$C$5,"5 Source No.",$C955,"4 Item Ledger Entry Type",$C$4,"2 Item No.","@@"&amp;$F955,"3 Posting Date",O$9)+NL("Sum","5802 Value Entry","17 Sales Amount (Actual)","41 Source Type",$C$5,"5 Source no.",$C955,"4 Item Ledger Entry Type",$C$4,"2 Item No.","@@"&amp;$F955,"3 Posting Date",O$9)</t>
  </si>
  <si>
    <t>=-NL("Sum","5802 Value Entry","151 Cost Amount (Expected)","41 Source Type",$C$5,"5 Source No.",$C955,"4 Item Ledger Entry Type",$C$4,"2 Item No.","@@"&amp;$F955,"3 Posting Date",O$9)-NL("Sum","5802 Value Entry","43 Cost Amount (Actual)","41 Source Type",$C$5,"5 Source no.",$C955,"4 Item Ledger Entry Type",$C$4,"2 Item No.","@@"&amp;$F955,"3 Posting Date",O$9)</t>
  </si>
  <si>
    <t>=O955-Q955</t>
  </si>
  <si>
    <t>=IF(O955&lt;&gt;0,R955/O955,"")</t>
  </si>
  <si>
    <t>=NL("Sum","5802 Value Entry","150 Sales Amount (Expected)","41 Source Type",$C$5,"5 Source No.",$C955,"4 Item Ledger Entry Type",$C$4,"2 Item No.","@@"&amp;$F955,"3 Posting Date",U$9)+NL("Sum","5802 Value Entry","17 Sales Amount (Actual)","41 Source Type",$C$5,"5 Source no.",$C955,"4 Item Ledger Entry Type",$C$4,"2 Item No.","@@"&amp;$F955,"3 Posting Date",U$9)</t>
  </si>
  <si>
    <t>=-NL("Sum","5802 Value Entry","151 Cost Amount (Expected)","41 Source Type",$C$5,"5 Source No.",$C955,"4 Item Ledger Entry Type",$C$4,"2 Item No.","@@"&amp;$F955,"3 Posting Date",U$9)-NL("Sum","5802 Value Entry","43 Cost Amount (Actual)","41 Source Type",$C$5,"5 Source no.",$C955,"4 Item Ledger Entry Type",$C$4,"2 Item No.","@@"&amp;$F955,"3 Posting Date",U$9)</t>
  </si>
  <si>
    <t>=U955-W955</t>
  </si>
  <si>
    <t>=IF(U955&lt;&gt;0,X955/U955,"")</t>
  </si>
  <si>
    <t>=NL("Sum","5802 Value Entry","150 Sales Amount (Expected)","41 Source Type",$C$5,"5 Source No.",$C955,"4 Item Ledger Entry Type",$C$4,"2 Item No.","@@"&amp;$F955,"3 Posting Date",Z$9)+NL("Sum","5802 Value Entry","17 Sales Amount (Actual)","41 Source Type",$C$5,"5 Source no.",$C955,"4 Item Ledger Entry Type",$C$4,"2 Item No.","@@"&amp;$F955,"3 Posting Date",Z$9)</t>
  </si>
  <si>
    <t>=-NL("Sum","5802 Value Entry","151 Cost Amount (Expected)","41 Source Type",$C$5,"5 Source No.",$C955,"4 Item Ledger Entry Type",$C$4,"2 Item No.","@@"&amp;$F955,"3 Posting Date",Z$9)-NL("Sum","5802 Value Entry","43 Cost Amount (Actual)","41 Source Type",$C$5,"5 Source no.",$C955,"4 Item Ledger Entry Type",$C$4,"2 Item No.","@@"&amp;$F955,"3 Posting Date",Z$9)</t>
  </si>
  <si>
    <t>=Z955-AB955</t>
  </si>
  <si>
    <t>=IF(Z955&lt;&gt;0,AC955/Z955,"")</t>
  </si>
  <si>
    <t>=C955</t>
  </si>
  <si>
    <t>=NL("Sum","5802 Value Entry","150 Sales Amount (Expected)","41 Source Type",$C$5,"5 Source No.",$C956,"4 Item Ledger Entry Type",$C$4,"2 Item No.","@@"&amp;$F956,"3 Posting Date",J$9)+NL("Sum","5802 Value Entry","17 Sales Amount (Actual)","41 Source Type",$C$5,"5 Source no.",$C956,"4 Item Ledger Entry Type",$C$4,"2 Item No.","@@"&amp;$F956,"3 Posting Date",J$9)</t>
  </si>
  <si>
    <t>=-NL("Sum","5802 Value Entry","151 Cost Amount (Expected)","41 Source Type",$C$5,"5 Source No.",$C956,"4 Item Ledger Entry Type",$C$4,"2 Item No.","@@"&amp;$F956,"3 Posting Date",J$9)-NL("Sum","5802 Value Entry","43 Cost Amount (Actual)","41 Source Type",$C$5,"5 Source no.",$C956,"4 Item Ledger Entry Type",$C$4,"2 Item No.","@@"&amp;$F956,"3 Posting Date",J$9)</t>
  </si>
  <si>
    <t>=J956-L956</t>
  </si>
  <si>
    <t>=IF(J956&lt;&gt;0,M956/J956,"")</t>
  </si>
  <si>
    <t>=NL("Sum","5802 Value Entry","150 Sales Amount (Expected)","41 Source Type",$C$5,"5 Source No.",$C956,"4 Item Ledger Entry Type",$C$4,"2 Item No.","@@"&amp;$F956,"3 Posting Date",O$9)+NL("Sum","5802 Value Entry","17 Sales Amount (Actual)","41 Source Type",$C$5,"5 Source no.",$C956,"4 Item Ledger Entry Type",$C$4,"2 Item No.","@@"&amp;$F956,"3 Posting Date",O$9)</t>
  </si>
  <si>
    <t>=-NL("Sum","5802 Value Entry","151 Cost Amount (Expected)","41 Source Type",$C$5,"5 Source No.",$C956,"4 Item Ledger Entry Type",$C$4,"2 Item No.","@@"&amp;$F956,"3 Posting Date",O$9)-NL("Sum","5802 Value Entry","43 Cost Amount (Actual)","41 Source Type",$C$5,"5 Source no.",$C956,"4 Item Ledger Entry Type",$C$4,"2 Item No.","@@"&amp;$F956,"3 Posting Date",O$9)</t>
  </si>
  <si>
    <t>=O956-Q956</t>
  </si>
  <si>
    <t>=IF(O956&lt;&gt;0,R956/O956,"")</t>
  </si>
  <si>
    <t>=NL("Sum","5802 Value Entry","150 Sales Amount (Expected)","41 Source Type",$C$5,"5 Source No.",$C956,"4 Item Ledger Entry Type",$C$4,"2 Item No.","@@"&amp;$F956,"3 Posting Date",U$9)+NL("Sum","5802 Value Entry","17 Sales Amount (Actual)","41 Source Type",$C$5,"5 Source no.",$C956,"4 Item Ledger Entry Type",$C$4,"2 Item No.","@@"&amp;$F956,"3 Posting Date",U$9)</t>
  </si>
  <si>
    <t>=-NL("Sum","5802 Value Entry","151 Cost Amount (Expected)","41 Source Type",$C$5,"5 Source No.",$C956,"4 Item Ledger Entry Type",$C$4,"2 Item No.","@@"&amp;$F956,"3 Posting Date",U$9)-NL("Sum","5802 Value Entry","43 Cost Amount (Actual)","41 Source Type",$C$5,"5 Source no.",$C956,"4 Item Ledger Entry Type",$C$4,"2 Item No.","@@"&amp;$F956,"3 Posting Date",U$9)</t>
  </si>
  <si>
    <t>=U956-W956</t>
  </si>
  <si>
    <t>=IF(U956&lt;&gt;0,X956/U956,"")</t>
  </si>
  <si>
    <t>=NL("Sum","5802 Value Entry","150 Sales Amount (Expected)","41 Source Type",$C$5,"5 Source No.",$C956,"4 Item Ledger Entry Type",$C$4,"2 Item No.","@@"&amp;$F956,"3 Posting Date",Z$9)+NL("Sum","5802 Value Entry","17 Sales Amount (Actual)","41 Source Type",$C$5,"5 Source no.",$C956,"4 Item Ledger Entry Type",$C$4,"2 Item No.","@@"&amp;$F956,"3 Posting Date",Z$9)</t>
  </si>
  <si>
    <t>=-NL("Sum","5802 Value Entry","151 Cost Amount (Expected)","41 Source Type",$C$5,"5 Source No.",$C956,"4 Item Ledger Entry Type",$C$4,"2 Item No.","@@"&amp;$F956,"3 Posting Date",Z$9)-NL("Sum","5802 Value Entry","43 Cost Amount (Actual)","41 Source Type",$C$5,"5 Source no.",$C956,"4 Item Ledger Entry Type",$C$4,"2 Item No.","@@"&amp;$F956,"3 Posting Date",Z$9)</t>
  </si>
  <si>
    <t>=Z956-AB956</t>
  </si>
  <si>
    <t>=IF(Z956&lt;&gt;0,AC956/Z956,"")</t>
  </si>
  <si>
    <t>=C956</t>
  </si>
  <si>
    <t>=NL("Sum","5802 Value Entry","150 Sales Amount (Expected)","41 Source Type",$C$5,"5 Source No.",$C957,"4 Item Ledger Entry Type",$C$4,"2 Item No.","@@"&amp;$F957,"3 Posting Date",J$9)+NL("Sum","5802 Value Entry","17 Sales Amount (Actual)","41 Source Type",$C$5,"5 Source no.",$C957,"4 Item Ledger Entry Type",$C$4,"2 Item No.","@@"&amp;$F957,"3 Posting Date",J$9)</t>
  </si>
  <si>
    <t>=-NL("Sum","5802 Value Entry","151 Cost Amount (Expected)","41 Source Type",$C$5,"5 Source No.",$C957,"4 Item Ledger Entry Type",$C$4,"2 Item No.","@@"&amp;$F957,"3 Posting Date",J$9)-NL("Sum","5802 Value Entry","43 Cost Amount (Actual)","41 Source Type",$C$5,"5 Source no.",$C957,"4 Item Ledger Entry Type",$C$4,"2 Item No.","@@"&amp;$F957,"3 Posting Date",J$9)</t>
  </si>
  <si>
    <t>=J957-L957</t>
  </si>
  <si>
    <t>=IF(J957&lt;&gt;0,M957/J957,"")</t>
  </si>
  <si>
    <t>=NL("Sum","5802 Value Entry","150 Sales Amount (Expected)","41 Source Type",$C$5,"5 Source No.",$C957,"4 Item Ledger Entry Type",$C$4,"2 Item No.","@@"&amp;$F957,"3 Posting Date",O$9)+NL("Sum","5802 Value Entry","17 Sales Amount (Actual)","41 Source Type",$C$5,"5 Source no.",$C957,"4 Item Ledger Entry Type",$C$4,"2 Item No.","@@"&amp;$F957,"3 Posting Date",O$9)</t>
  </si>
  <si>
    <t>=-NL("Sum","5802 Value Entry","151 Cost Amount (Expected)","41 Source Type",$C$5,"5 Source No.",$C957,"4 Item Ledger Entry Type",$C$4,"2 Item No.","@@"&amp;$F957,"3 Posting Date",O$9)-NL("Sum","5802 Value Entry","43 Cost Amount (Actual)","41 Source Type",$C$5,"5 Source no.",$C957,"4 Item Ledger Entry Type",$C$4,"2 Item No.","@@"&amp;$F957,"3 Posting Date",O$9)</t>
  </si>
  <si>
    <t>=O957-Q957</t>
  </si>
  <si>
    <t>=IF(O957&lt;&gt;0,R957/O957,"")</t>
  </si>
  <si>
    <t>=NL("Sum","5802 Value Entry","150 Sales Amount (Expected)","41 Source Type",$C$5,"5 Source No.",$C957,"4 Item Ledger Entry Type",$C$4,"2 Item No.","@@"&amp;$F957,"3 Posting Date",U$9)+NL("Sum","5802 Value Entry","17 Sales Amount (Actual)","41 Source Type",$C$5,"5 Source no.",$C957,"4 Item Ledger Entry Type",$C$4,"2 Item No.","@@"&amp;$F957,"3 Posting Date",U$9)</t>
  </si>
  <si>
    <t>=-NL("Sum","5802 Value Entry","151 Cost Amount (Expected)","41 Source Type",$C$5,"5 Source No.",$C957,"4 Item Ledger Entry Type",$C$4,"2 Item No.","@@"&amp;$F957,"3 Posting Date",U$9)-NL("Sum","5802 Value Entry","43 Cost Amount (Actual)","41 Source Type",$C$5,"5 Source no.",$C957,"4 Item Ledger Entry Type",$C$4,"2 Item No.","@@"&amp;$F957,"3 Posting Date",U$9)</t>
  </si>
  <si>
    <t>=U957-W957</t>
  </si>
  <si>
    <t>=IF(U957&lt;&gt;0,X957/U957,"")</t>
  </si>
  <si>
    <t>=NL("Sum","5802 Value Entry","150 Sales Amount (Expected)","41 Source Type",$C$5,"5 Source No.",$C957,"4 Item Ledger Entry Type",$C$4,"2 Item No.","@@"&amp;$F957,"3 Posting Date",Z$9)+NL("Sum","5802 Value Entry","17 Sales Amount (Actual)","41 Source Type",$C$5,"5 Source no.",$C957,"4 Item Ledger Entry Type",$C$4,"2 Item No.","@@"&amp;$F957,"3 Posting Date",Z$9)</t>
  </si>
  <si>
    <t>=-NL("Sum","5802 Value Entry","151 Cost Amount (Expected)","41 Source Type",$C$5,"5 Source No.",$C957,"4 Item Ledger Entry Type",$C$4,"2 Item No.","@@"&amp;$F957,"3 Posting Date",Z$9)-NL("Sum","5802 Value Entry","43 Cost Amount (Actual)","41 Source Type",$C$5,"5 Source no.",$C957,"4 Item Ledger Entry Type",$C$4,"2 Item No.","@@"&amp;$F957,"3 Posting Date",Z$9)</t>
  </si>
  <si>
    <t>=Z957-AB957</t>
  </si>
  <si>
    <t>=IF(Z957&lt;&gt;0,AC957/Z957,"")</t>
  </si>
  <si>
    <t>=C957</t>
  </si>
  <si>
    <t>=NL("Sum","5802 Value Entry","150 Sales Amount (Expected)","41 Source Type",$C$5,"5 Source No.",$C958,"4 Item Ledger Entry Type",$C$4,"2 Item No.","@@"&amp;$F958,"3 Posting Date",J$9)+NL("Sum","5802 Value Entry","17 Sales Amount (Actual)","41 Source Type",$C$5,"5 Source no.",$C958,"4 Item Ledger Entry Type",$C$4,"2 Item No.","@@"&amp;$F958,"3 Posting Date",J$9)</t>
  </si>
  <si>
    <t>=-NL("Sum","5802 Value Entry","151 Cost Amount (Expected)","41 Source Type",$C$5,"5 Source No.",$C958,"4 Item Ledger Entry Type",$C$4,"2 Item No.","@@"&amp;$F958,"3 Posting Date",J$9)-NL("Sum","5802 Value Entry","43 Cost Amount (Actual)","41 Source Type",$C$5,"5 Source no.",$C958,"4 Item Ledger Entry Type",$C$4,"2 Item No.","@@"&amp;$F958,"3 Posting Date",J$9)</t>
  </si>
  <si>
    <t>=J958-L958</t>
  </si>
  <si>
    <t>=IF(J958&lt;&gt;0,M958/J958,"")</t>
  </si>
  <si>
    <t>=NL("Sum","5802 Value Entry","150 Sales Amount (Expected)","41 Source Type",$C$5,"5 Source No.",$C958,"4 Item Ledger Entry Type",$C$4,"2 Item No.","@@"&amp;$F958,"3 Posting Date",O$9)+NL("Sum","5802 Value Entry","17 Sales Amount (Actual)","41 Source Type",$C$5,"5 Source no.",$C958,"4 Item Ledger Entry Type",$C$4,"2 Item No.","@@"&amp;$F958,"3 Posting Date",O$9)</t>
  </si>
  <si>
    <t>=-NL("Sum","5802 Value Entry","151 Cost Amount (Expected)","41 Source Type",$C$5,"5 Source No.",$C958,"4 Item Ledger Entry Type",$C$4,"2 Item No.","@@"&amp;$F958,"3 Posting Date",O$9)-NL("Sum","5802 Value Entry","43 Cost Amount (Actual)","41 Source Type",$C$5,"5 Source no.",$C958,"4 Item Ledger Entry Type",$C$4,"2 Item No.","@@"&amp;$F958,"3 Posting Date",O$9)</t>
  </si>
  <si>
    <t>=O958-Q958</t>
  </si>
  <si>
    <t>=IF(O958&lt;&gt;0,R958/O958,"")</t>
  </si>
  <si>
    <t>=NL("Sum","5802 Value Entry","150 Sales Amount (Expected)","41 Source Type",$C$5,"5 Source No.",$C958,"4 Item Ledger Entry Type",$C$4,"2 Item No.","@@"&amp;$F958,"3 Posting Date",U$9)+NL("Sum","5802 Value Entry","17 Sales Amount (Actual)","41 Source Type",$C$5,"5 Source no.",$C958,"4 Item Ledger Entry Type",$C$4,"2 Item No.","@@"&amp;$F958,"3 Posting Date",U$9)</t>
  </si>
  <si>
    <t>=-NL("Sum","5802 Value Entry","151 Cost Amount (Expected)","41 Source Type",$C$5,"5 Source No.",$C958,"4 Item Ledger Entry Type",$C$4,"2 Item No.","@@"&amp;$F958,"3 Posting Date",U$9)-NL("Sum","5802 Value Entry","43 Cost Amount (Actual)","41 Source Type",$C$5,"5 Source no.",$C958,"4 Item Ledger Entry Type",$C$4,"2 Item No.","@@"&amp;$F958,"3 Posting Date",U$9)</t>
  </si>
  <si>
    <t>=U958-W958</t>
  </si>
  <si>
    <t>=IF(U958&lt;&gt;0,X958/U958,"")</t>
  </si>
  <si>
    <t>=NL("Sum","5802 Value Entry","150 Sales Amount (Expected)","41 Source Type",$C$5,"5 Source No.",$C958,"4 Item Ledger Entry Type",$C$4,"2 Item No.","@@"&amp;$F958,"3 Posting Date",Z$9)+NL("Sum","5802 Value Entry","17 Sales Amount (Actual)","41 Source Type",$C$5,"5 Source no.",$C958,"4 Item Ledger Entry Type",$C$4,"2 Item No.","@@"&amp;$F958,"3 Posting Date",Z$9)</t>
  </si>
  <si>
    <t>=-NL("Sum","5802 Value Entry","151 Cost Amount (Expected)","41 Source Type",$C$5,"5 Source No.",$C958,"4 Item Ledger Entry Type",$C$4,"2 Item No.","@@"&amp;$F958,"3 Posting Date",Z$9)-NL("Sum","5802 Value Entry","43 Cost Amount (Actual)","41 Source Type",$C$5,"5 Source no.",$C958,"4 Item Ledger Entry Type",$C$4,"2 Item No.","@@"&amp;$F958,"3 Posting Date",Z$9)</t>
  </si>
  <si>
    <t>=Z958-AB958</t>
  </si>
  <si>
    <t>=IF(Z958&lt;&gt;0,AC958/Z958,"")</t>
  </si>
  <si>
    <t>=C958</t>
  </si>
  <si>
    <t>=NL("Sum","5802 Value Entry","150 Sales Amount (Expected)","41 Source Type",$C$5,"5 Source No.",$C959,"4 Item Ledger Entry Type",$C$4,"2 Item No.","@@"&amp;$F959,"3 Posting Date",J$9)+NL("Sum","5802 Value Entry","17 Sales Amount (Actual)","41 Source Type",$C$5,"5 Source no.",$C959,"4 Item Ledger Entry Type",$C$4,"2 Item No.","@@"&amp;$F959,"3 Posting Date",J$9)</t>
  </si>
  <si>
    <t>=-NL("Sum","5802 Value Entry","151 Cost Amount (Expected)","41 Source Type",$C$5,"5 Source No.",$C959,"4 Item Ledger Entry Type",$C$4,"2 Item No.","@@"&amp;$F959,"3 Posting Date",J$9)-NL("Sum","5802 Value Entry","43 Cost Amount (Actual)","41 Source Type",$C$5,"5 Source no.",$C959,"4 Item Ledger Entry Type",$C$4,"2 Item No.","@@"&amp;$F959,"3 Posting Date",J$9)</t>
  </si>
  <si>
    <t>=J959-L959</t>
  </si>
  <si>
    <t>=IF(J959&lt;&gt;0,M959/J959,"")</t>
  </si>
  <si>
    <t>=NL("Sum","5802 Value Entry","150 Sales Amount (Expected)","41 Source Type",$C$5,"5 Source No.",$C959,"4 Item Ledger Entry Type",$C$4,"2 Item No.","@@"&amp;$F959,"3 Posting Date",O$9)+NL("Sum","5802 Value Entry","17 Sales Amount (Actual)","41 Source Type",$C$5,"5 Source no.",$C959,"4 Item Ledger Entry Type",$C$4,"2 Item No.","@@"&amp;$F959,"3 Posting Date",O$9)</t>
  </si>
  <si>
    <t>=-NL("Sum","5802 Value Entry","151 Cost Amount (Expected)","41 Source Type",$C$5,"5 Source No.",$C959,"4 Item Ledger Entry Type",$C$4,"2 Item No.","@@"&amp;$F959,"3 Posting Date",O$9)-NL("Sum","5802 Value Entry","43 Cost Amount (Actual)","41 Source Type",$C$5,"5 Source no.",$C959,"4 Item Ledger Entry Type",$C$4,"2 Item No.","@@"&amp;$F959,"3 Posting Date",O$9)</t>
  </si>
  <si>
    <t>=O959-Q959</t>
  </si>
  <si>
    <t>=IF(O959&lt;&gt;0,R959/O959,"")</t>
  </si>
  <si>
    <t>=NL("Sum","5802 Value Entry","150 Sales Amount (Expected)","41 Source Type",$C$5,"5 Source No.",$C959,"4 Item Ledger Entry Type",$C$4,"2 Item No.","@@"&amp;$F959,"3 Posting Date",U$9)+NL("Sum","5802 Value Entry","17 Sales Amount (Actual)","41 Source Type",$C$5,"5 Source no.",$C959,"4 Item Ledger Entry Type",$C$4,"2 Item No.","@@"&amp;$F959,"3 Posting Date",U$9)</t>
  </si>
  <si>
    <t>=-NL("Sum","5802 Value Entry","151 Cost Amount (Expected)","41 Source Type",$C$5,"5 Source No.",$C959,"4 Item Ledger Entry Type",$C$4,"2 Item No.","@@"&amp;$F959,"3 Posting Date",U$9)-NL("Sum","5802 Value Entry","43 Cost Amount (Actual)","41 Source Type",$C$5,"5 Source no.",$C959,"4 Item Ledger Entry Type",$C$4,"2 Item No.","@@"&amp;$F959,"3 Posting Date",U$9)</t>
  </si>
  <si>
    <t>=U959-W959</t>
  </si>
  <si>
    <t>=IF(U959&lt;&gt;0,X959/U959,"")</t>
  </si>
  <si>
    <t>=NL("Sum","5802 Value Entry","150 Sales Amount (Expected)","41 Source Type",$C$5,"5 Source No.",$C959,"4 Item Ledger Entry Type",$C$4,"2 Item No.","@@"&amp;$F959,"3 Posting Date",Z$9)+NL("Sum","5802 Value Entry","17 Sales Amount (Actual)","41 Source Type",$C$5,"5 Source no.",$C959,"4 Item Ledger Entry Type",$C$4,"2 Item No.","@@"&amp;$F959,"3 Posting Date",Z$9)</t>
  </si>
  <si>
    <t>=-NL("Sum","5802 Value Entry","151 Cost Amount (Expected)","41 Source Type",$C$5,"5 Source No.",$C959,"4 Item Ledger Entry Type",$C$4,"2 Item No.","@@"&amp;$F959,"3 Posting Date",Z$9)-NL("Sum","5802 Value Entry","43 Cost Amount (Actual)","41 Source Type",$C$5,"5 Source no.",$C959,"4 Item Ledger Entry Type",$C$4,"2 Item No.","@@"&amp;$F959,"3 Posting Date",Z$9)</t>
  </si>
  <si>
    <t>=Z959-AB959</t>
  </si>
  <si>
    <t>=IF(Z959&lt;&gt;0,AC959/Z959,"")</t>
  </si>
  <si>
    <t>=C959</t>
  </si>
  <si>
    <t>=NL("Sum","5802 Value Entry","150 Sales Amount (Expected)","41 Source Type",$C$5,"5 Source No.",$C960,"4 Item Ledger Entry Type",$C$4,"2 Item No.","@@"&amp;$F960,"3 Posting Date",J$9)+NL("Sum","5802 Value Entry","17 Sales Amount (Actual)","41 Source Type",$C$5,"5 Source no.",$C960,"4 Item Ledger Entry Type",$C$4,"2 Item No.","@@"&amp;$F960,"3 Posting Date",J$9)</t>
  </si>
  <si>
    <t>=-NL("Sum","5802 Value Entry","151 Cost Amount (Expected)","41 Source Type",$C$5,"5 Source No.",$C960,"4 Item Ledger Entry Type",$C$4,"2 Item No.","@@"&amp;$F960,"3 Posting Date",J$9)-NL("Sum","5802 Value Entry","43 Cost Amount (Actual)","41 Source Type",$C$5,"5 Source no.",$C960,"4 Item Ledger Entry Type",$C$4,"2 Item No.","@@"&amp;$F960,"3 Posting Date",J$9)</t>
  </si>
  <si>
    <t>=J960-L960</t>
  </si>
  <si>
    <t>=IF(J960&lt;&gt;0,M960/J960,"")</t>
  </si>
  <si>
    <t>=NL("Sum","5802 Value Entry","150 Sales Amount (Expected)","41 Source Type",$C$5,"5 Source No.",$C960,"4 Item Ledger Entry Type",$C$4,"2 Item No.","@@"&amp;$F960,"3 Posting Date",O$9)+NL("Sum","5802 Value Entry","17 Sales Amount (Actual)","41 Source Type",$C$5,"5 Source no.",$C960,"4 Item Ledger Entry Type",$C$4,"2 Item No.","@@"&amp;$F960,"3 Posting Date",O$9)</t>
  </si>
  <si>
    <t>=-NL("Sum","5802 Value Entry","151 Cost Amount (Expected)","41 Source Type",$C$5,"5 Source No.",$C960,"4 Item Ledger Entry Type",$C$4,"2 Item No.","@@"&amp;$F960,"3 Posting Date",O$9)-NL("Sum","5802 Value Entry","43 Cost Amount (Actual)","41 Source Type",$C$5,"5 Source no.",$C960,"4 Item Ledger Entry Type",$C$4,"2 Item No.","@@"&amp;$F960,"3 Posting Date",O$9)</t>
  </si>
  <si>
    <t>=O960-Q960</t>
  </si>
  <si>
    <t>=IF(O960&lt;&gt;0,R960/O960,"")</t>
  </si>
  <si>
    <t>=NL("Sum","5802 Value Entry","150 Sales Amount (Expected)","41 Source Type",$C$5,"5 Source No.",$C960,"4 Item Ledger Entry Type",$C$4,"2 Item No.","@@"&amp;$F960,"3 Posting Date",U$9)+NL("Sum","5802 Value Entry","17 Sales Amount (Actual)","41 Source Type",$C$5,"5 Source no.",$C960,"4 Item Ledger Entry Type",$C$4,"2 Item No.","@@"&amp;$F960,"3 Posting Date",U$9)</t>
  </si>
  <si>
    <t>=-NL("Sum","5802 Value Entry","151 Cost Amount (Expected)","41 Source Type",$C$5,"5 Source No.",$C960,"4 Item Ledger Entry Type",$C$4,"2 Item No.","@@"&amp;$F960,"3 Posting Date",U$9)-NL("Sum","5802 Value Entry","43 Cost Amount (Actual)","41 Source Type",$C$5,"5 Source no.",$C960,"4 Item Ledger Entry Type",$C$4,"2 Item No.","@@"&amp;$F960,"3 Posting Date",U$9)</t>
  </si>
  <si>
    <t>=U960-W960</t>
  </si>
  <si>
    <t>=IF(U960&lt;&gt;0,X960/U960,"")</t>
  </si>
  <si>
    <t>=NL("Sum","5802 Value Entry","150 Sales Amount (Expected)","41 Source Type",$C$5,"5 Source No.",$C960,"4 Item Ledger Entry Type",$C$4,"2 Item No.","@@"&amp;$F960,"3 Posting Date",Z$9)+NL("Sum","5802 Value Entry","17 Sales Amount (Actual)","41 Source Type",$C$5,"5 Source no.",$C960,"4 Item Ledger Entry Type",$C$4,"2 Item No.","@@"&amp;$F960,"3 Posting Date",Z$9)</t>
  </si>
  <si>
    <t>=-NL("Sum","5802 Value Entry","151 Cost Amount (Expected)","41 Source Type",$C$5,"5 Source No.",$C960,"4 Item Ledger Entry Type",$C$4,"2 Item No.","@@"&amp;$F960,"3 Posting Date",Z$9)-NL("Sum","5802 Value Entry","43 Cost Amount (Actual)","41 Source Type",$C$5,"5 Source no.",$C960,"4 Item Ledger Entry Type",$C$4,"2 Item No.","@@"&amp;$F960,"3 Posting Date",Z$9)</t>
  </si>
  <si>
    <t>=Z960-AB960</t>
  </si>
  <si>
    <t>=IF(Z960&lt;&gt;0,AC960/Z960,"")</t>
  </si>
  <si>
    <t>=C960</t>
  </si>
  <si>
    <t>=NL("Sum","5802 Value Entry","150 Sales Amount (Expected)","41 Source Type",$C$5,"5 Source No.",$C961,"4 Item Ledger Entry Type",$C$4,"2 Item No.","@@"&amp;$F961,"3 Posting Date",J$9)+NL("Sum","5802 Value Entry","17 Sales Amount (Actual)","41 Source Type",$C$5,"5 Source no.",$C961,"4 Item Ledger Entry Type",$C$4,"2 Item No.","@@"&amp;$F961,"3 Posting Date",J$9)</t>
  </si>
  <si>
    <t>=-NL("Sum","5802 Value Entry","151 Cost Amount (Expected)","41 Source Type",$C$5,"5 Source No.",$C961,"4 Item Ledger Entry Type",$C$4,"2 Item No.","@@"&amp;$F961,"3 Posting Date",J$9)-NL("Sum","5802 Value Entry","43 Cost Amount (Actual)","41 Source Type",$C$5,"5 Source no.",$C961,"4 Item Ledger Entry Type",$C$4,"2 Item No.","@@"&amp;$F961,"3 Posting Date",J$9)</t>
  </si>
  <si>
    <t>=J961-L961</t>
  </si>
  <si>
    <t>=IF(J961&lt;&gt;0,M961/J961,"")</t>
  </si>
  <si>
    <t>=NL("Sum","5802 Value Entry","150 Sales Amount (Expected)","41 Source Type",$C$5,"5 Source No.",$C961,"4 Item Ledger Entry Type",$C$4,"2 Item No.","@@"&amp;$F961,"3 Posting Date",O$9)+NL("Sum","5802 Value Entry","17 Sales Amount (Actual)","41 Source Type",$C$5,"5 Source no.",$C961,"4 Item Ledger Entry Type",$C$4,"2 Item No.","@@"&amp;$F961,"3 Posting Date",O$9)</t>
  </si>
  <si>
    <t>=-NL("Sum","5802 Value Entry","151 Cost Amount (Expected)","41 Source Type",$C$5,"5 Source No.",$C961,"4 Item Ledger Entry Type",$C$4,"2 Item No.","@@"&amp;$F961,"3 Posting Date",O$9)-NL("Sum","5802 Value Entry","43 Cost Amount (Actual)","41 Source Type",$C$5,"5 Source no.",$C961,"4 Item Ledger Entry Type",$C$4,"2 Item No.","@@"&amp;$F961,"3 Posting Date",O$9)</t>
  </si>
  <si>
    <t>=O961-Q961</t>
  </si>
  <si>
    <t>=IF(O961&lt;&gt;0,R961/O961,"")</t>
  </si>
  <si>
    <t>=NL("Sum","5802 Value Entry","150 Sales Amount (Expected)","41 Source Type",$C$5,"5 Source No.",$C961,"4 Item Ledger Entry Type",$C$4,"2 Item No.","@@"&amp;$F961,"3 Posting Date",U$9)+NL("Sum","5802 Value Entry","17 Sales Amount (Actual)","41 Source Type",$C$5,"5 Source no.",$C961,"4 Item Ledger Entry Type",$C$4,"2 Item No.","@@"&amp;$F961,"3 Posting Date",U$9)</t>
  </si>
  <si>
    <t>=-NL("Sum","5802 Value Entry","151 Cost Amount (Expected)","41 Source Type",$C$5,"5 Source No.",$C961,"4 Item Ledger Entry Type",$C$4,"2 Item No.","@@"&amp;$F961,"3 Posting Date",U$9)-NL("Sum","5802 Value Entry","43 Cost Amount (Actual)","41 Source Type",$C$5,"5 Source no.",$C961,"4 Item Ledger Entry Type",$C$4,"2 Item No.","@@"&amp;$F961,"3 Posting Date",U$9)</t>
  </si>
  <si>
    <t>=U961-W961</t>
  </si>
  <si>
    <t>=IF(U961&lt;&gt;0,X961/U961,"")</t>
  </si>
  <si>
    <t>=NL("Sum","5802 Value Entry","150 Sales Amount (Expected)","41 Source Type",$C$5,"5 Source No.",$C961,"4 Item Ledger Entry Type",$C$4,"2 Item No.","@@"&amp;$F961,"3 Posting Date",Z$9)+NL("Sum","5802 Value Entry","17 Sales Amount (Actual)","41 Source Type",$C$5,"5 Source no.",$C961,"4 Item Ledger Entry Type",$C$4,"2 Item No.","@@"&amp;$F961,"3 Posting Date",Z$9)</t>
  </si>
  <si>
    <t>=-NL("Sum","5802 Value Entry","151 Cost Amount (Expected)","41 Source Type",$C$5,"5 Source No.",$C961,"4 Item Ledger Entry Type",$C$4,"2 Item No.","@@"&amp;$F961,"3 Posting Date",Z$9)-NL("Sum","5802 Value Entry","43 Cost Amount (Actual)","41 Source Type",$C$5,"5 Source no.",$C961,"4 Item Ledger Entry Type",$C$4,"2 Item No.","@@"&amp;$F961,"3 Posting Date",Z$9)</t>
  </si>
  <si>
    <t>=Z961-AB961</t>
  </si>
  <si>
    <t>=IF(Z961&lt;&gt;0,AC961/Z961,"")</t>
  </si>
  <si>
    <t>=C961</t>
  </si>
  <si>
    <t>=NL("Sum","5802 Value Entry","150 Sales Amount (Expected)","41 Source Type",$C$5,"5 Source No.",$C962,"4 Item Ledger Entry Type",$C$4,"2 Item No.","@@"&amp;$F962,"3 Posting Date",J$9)+NL("Sum","5802 Value Entry","17 Sales Amount (Actual)","41 Source Type",$C$5,"5 Source no.",$C962,"4 Item Ledger Entry Type",$C$4,"2 Item No.","@@"&amp;$F962,"3 Posting Date",J$9)</t>
  </si>
  <si>
    <t>=-NL("Sum","5802 Value Entry","151 Cost Amount (Expected)","41 Source Type",$C$5,"5 Source No.",$C962,"4 Item Ledger Entry Type",$C$4,"2 Item No.","@@"&amp;$F962,"3 Posting Date",J$9)-NL("Sum","5802 Value Entry","43 Cost Amount (Actual)","41 Source Type",$C$5,"5 Source no.",$C962,"4 Item Ledger Entry Type",$C$4,"2 Item No.","@@"&amp;$F962,"3 Posting Date",J$9)</t>
  </si>
  <si>
    <t>=J962-L962</t>
  </si>
  <si>
    <t>=IF(J962&lt;&gt;0,M962/J962,"")</t>
  </si>
  <si>
    <t>=NL("Sum","5802 Value Entry","150 Sales Amount (Expected)","41 Source Type",$C$5,"5 Source No.",$C962,"4 Item Ledger Entry Type",$C$4,"2 Item No.","@@"&amp;$F962,"3 Posting Date",O$9)+NL("Sum","5802 Value Entry","17 Sales Amount (Actual)","41 Source Type",$C$5,"5 Source no.",$C962,"4 Item Ledger Entry Type",$C$4,"2 Item No.","@@"&amp;$F962,"3 Posting Date",O$9)</t>
  </si>
  <si>
    <t>=-NL("Sum","5802 Value Entry","151 Cost Amount (Expected)","41 Source Type",$C$5,"5 Source No.",$C962,"4 Item Ledger Entry Type",$C$4,"2 Item No.","@@"&amp;$F962,"3 Posting Date",O$9)-NL("Sum","5802 Value Entry","43 Cost Amount (Actual)","41 Source Type",$C$5,"5 Source no.",$C962,"4 Item Ledger Entry Type",$C$4,"2 Item No.","@@"&amp;$F962,"3 Posting Date",O$9)</t>
  </si>
  <si>
    <t>=O962-Q962</t>
  </si>
  <si>
    <t>=IF(O962&lt;&gt;0,R962/O962,"")</t>
  </si>
  <si>
    <t>=NL("Sum","5802 Value Entry","150 Sales Amount (Expected)","41 Source Type",$C$5,"5 Source No.",$C962,"4 Item Ledger Entry Type",$C$4,"2 Item No.","@@"&amp;$F962,"3 Posting Date",U$9)+NL("Sum","5802 Value Entry","17 Sales Amount (Actual)","41 Source Type",$C$5,"5 Source no.",$C962,"4 Item Ledger Entry Type",$C$4,"2 Item No.","@@"&amp;$F962,"3 Posting Date",U$9)</t>
  </si>
  <si>
    <t>=-NL("Sum","5802 Value Entry","151 Cost Amount (Expected)","41 Source Type",$C$5,"5 Source No.",$C962,"4 Item Ledger Entry Type",$C$4,"2 Item No.","@@"&amp;$F962,"3 Posting Date",U$9)-NL("Sum","5802 Value Entry","43 Cost Amount (Actual)","41 Source Type",$C$5,"5 Source no.",$C962,"4 Item Ledger Entry Type",$C$4,"2 Item No.","@@"&amp;$F962,"3 Posting Date",U$9)</t>
  </si>
  <si>
    <t>=U962-W962</t>
  </si>
  <si>
    <t>=IF(U962&lt;&gt;0,X962/U962,"")</t>
  </si>
  <si>
    <t>=NL("Sum","5802 Value Entry","150 Sales Amount (Expected)","41 Source Type",$C$5,"5 Source No.",$C962,"4 Item Ledger Entry Type",$C$4,"2 Item No.","@@"&amp;$F962,"3 Posting Date",Z$9)+NL("Sum","5802 Value Entry","17 Sales Amount (Actual)","41 Source Type",$C$5,"5 Source no.",$C962,"4 Item Ledger Entry Type",$C$4,"2 Item No.","@@"&amp;$F962,"3 Posting Date",Z$9)</t>
  </si>
  <si>
    <t>=-NL("Sum","5802 Value Entry","151 Cost Amount (Expected)","41 Source Type",$C$5,"5 Source No.",$C962,"4 Item Ledger Entry Type",$C$4,"2 Item No.","@@"&amp;$F962,"3 Posting Date",Z$9)-NL("Sum","5802 Value Entry","43 Cost Amount (Actual)","41 Source Type",$C$5,"5 Source no.",$C962,"4 Item Ledger Entry Type",$C$4,"2 Item No.","@@"&amp;$F962,"3 Posting Date",Z$9)</t>
  </si>
  <si>
    <t>=Z962-AB962</t>
  </si>
  <si>
    <t>=IF(Z962&lt;&gt;0,AC962/Z962,"")</t>
  </si>
  <si>
    <t>=C962</t>
  </si>
  <si>
    <t>=NL("Sum","5802 Value Entry","150 Sales Amount (Expected)","41 Source Type",$C$5,"5 Source No.",$C963,"4 Item Ledger Entry Type",$C$4,"2 Item No.","@@"&amp;$F963,"3 Posting Date",J$9)+NL("Sum","5802 Value Entry","17 Sales Amount (Actual)","41 Source Type",$C$5,"5 Source no.",$C963,"4 Item Ledger Entry Type",$C$4,"2 Item No.","@@"&amp;$F963,"3 Posting Date",J$9)</t>
  </si>
  <si>
    <t>=-NL("Sum","5802 Value Entry","151 Cost Amount (Expected)","41 Source Type",$C$5,"5 Source No.",$C963,"4 Item Ledger Entry Type",$C$4,"2 Item No.","@@"&amp;$F963,"3 Posting Date",J$9)-NL("Sum","5802 Value Entry","43 Cost Amount (Actual)","41 Source Type",$C$5,"5 Source no.",$C963,"4 Item Ledger Entry Type",$C$4,"2 Item No.","@@"&amp;$F963,"3 Posting Date",J$9)</t>
  </si>
  <si>
    <t>=J963-L963</t>
  </si>
  <si>
    <t>=IF(J963&lt;&gt;0,M963/J963,"")</t>
  </si>
  <si>
    <t>=NL("Sum","5802 Value Entry","150 Sales Amount (Expected)","41 Source Type",$C$5,"5 Source No.",$C963,"4 Item Ledger Entry Type",$C$4,"2 Item No.","@@"&amp;$F963,"3 Posting Date",O$9)+NL("Sum","5802 Value Entry","17 Sales Amount (Actual)","41 Source Type",$C$5,"5 Source no.",$C963,"4 Item Ledger Entry Type",$C$4,"2 Item No.","@@"&amp;$F963,"3 Posting Date",O$9)</t>
  </si>
  <si>
    <t>=-NL("Sum","5802 Value Entry","151 Cost Amount (Expected)","41 Source Type",$C$5,"5 Source No.",$C963,"4 Item Ledger Entry Type",$C$4,"2 Item No.","@@"&amp;$F963,"3 Posting Date",O$9)-NL("Sum","5802 Value Entry","43 Cost Amount (Actual)","41 Source Type",$C$5,"5 Source no.",$C963,"4 Item Ledger Entry Type",$C$4,"2 Item No.","@@"&amp;$F963,"3 Posting Date",O$9)</t>
  </si>
  <si>
    <t>=O963-Q963</t>
  </si>
  <si>
    <t>=IF(O963&lt;&gt;0,R963/O963,"")</t>
  </si>
  <si>
    <t>=NL("Sum","5802 Value Entry","150 Sales Amount (Expected)","41 Source Type",$C$5,"5 Source No.",$C963,"4 Item Ledger Entry Type",$C$4,"2 Item No.","@@"&amp;$F963,"3 Posting Date",U$9)+NL("Sum","5802 Value Entry","17 Sales Amount (Actual)","41 Source Type",$C$5,"5 Source no.",$C963,"4 Item Ledger Entry Type",$C$4,"2 Item No.","@@"&amp;$F963,"3 Posting Date",U$9)</t>
  </si>
  <si>
    <t>=-NL("Sum","5802 Value Entry","151 Cost Amount (Expected)","41 Source Type",$C$5,"5 Source No.",$C963,"4 Item Ledger Entry Type",$C$4,"2 Item No.","@@"&amp;$F963,"3 Posting Date",U$9)-NL("Sum","5802 Value Entry","43 Cost Amount (Actual)","41 Source Type",$C$5,"5 Source no.",$C963,"4 Item Ledger Entry Type",$C$4,"2 Item No.","@@"&amp;$F963,"3 Posting Date",U$9)</t>
  </si>
  <si>
    <t>=U963-W963</t>
  </si>
  <si>
    <t>=IF(U963&lt;&gt;0,X963/U963,"")</t>
  </si>
  <si>
    <t>=NL("Sum","5802 Value Entry","150 Sales Amount (Expected)","41 Source Type",$C$5,"5 Source No.",$C963,"4 Item Ledger Entry Type",$C$4,"2 Item No.","@@"&amp;$F963,"3 Posting Date",Z$9)+NL("Sum","5802 Value Entry","17 Sales Amount (Actual)","41 Source Type",$C$5,"5 Source no.",$C963,"4 Item Ledger Entry Type",$C$4,"2 Item No.","@@"&amp;$F963,"3 Posting Date",Z$9)</t>
  </si>
  <si>
    <t>=-NL("Sum","5802 Value Entry","151 Cost Amount (Expected)","41 Source Type",$C$5,"5 Source No.",$C963,"4 Item Ledger Entry Type",$C$4,"2 Item No.","@@"&amp;$F963,"3 Posting Date",Z$9)-NL("Sum","5802 Value Entry","43 Cost Amount (Actual)","41 Source Type",$C$5,"5 Source no.",$C963,"4 Item Ledger Entry Type",$C$4,"2 Item No.","@@"&amp;$F963,"3 Posting Date",Z$9)</t>
  </si>
  <si>
    <t>=Z963-AB963</t>
  </si>
  <si>
    <t>=IF(Z963&lt;&gt;0,AC963/Z963,"")</t>
  </si>
  <si>
    <t>=C963</t>
  </si>
  <si>
    <t>=NL("Sum","5802 Value Entry","150 Sales Amount (Expected)","41 Source Type",$C$5,"5 Source No.",$C964,"4 Item Ledger Entry Type",$C$4,"2 Item No.","@@"&amp;$F964,"3 Posting Date",J$9)+NL("Sum","5802 Value Entry","17 Sales Amount (Actual)","41 Source Type",$C$5,"5 Source no.",$C964,"4 Item Ledger Entry Type",$C$4,"2 Item No.","@@"&amp;$F964,"3 Posting Date",J$9)</t>
  </si>
  <si>
    <t>=-NL("Sum","5802 Value Entry","151 Cost Amount (Expected)","41 Source Type",$C$5,"5 Source No.",$C964,"4 Item Ledger Entry Type",$C$4,"2 Item No.","@@"&amp;$F964,"3 Posting Date",J$9)-NL("Sum","5802 Value Entry","43 Cost Amount (Actual)","41 Source Type",$C$5,"5 Source no.",$C964,"4 Item Ledger Entry Type",$C$4,"2 Item No.","@@"&amp;$F964,"3 Posting Date",J$9)</t>
  </si>
  <si>
    <t>=J964-L964</t>
  </si>
  <si>
    <t>=IF(J964&lt;&gt;0,M964/J964,"")</t>
  </si>
  <si>
    <t>=NL("Sum","5802 Value Entry","150 Sales Amount (Expected)","41 Source Type",$C$5,"5 Source No.",$C964,"4 Item Ledger Entry Type",$C$4,"2 Item No.","@@"&amp;$F964,"3 Posting Date",O$9)+NL("Sum","5802 Value Entry","17 Sales Amount (Actual)","41 Source Type",$C$5,"5 Source no.",$C964,"4 Item Ledger Entry Type",$C$4,"2 Item No.","@@"&amp;$F964,"3 Posting Date",O$9)</t>
  </si>
  <si>
    <t>=-NL("Sum","5802 Value Entry","151 Cost Amount (Expected)","41 Source Type",$C$5,"5 Source No.",$C964,"4 Item Ledger Entry Type",$C$4,"2 Item No.","@@"&amp;$F964,"3 Posting Date",O$9)-NL("Sum","5802 Value Entry","43 Cost Amount (Actual)","41 Source Type",$C$5,"5 Source no.",$C964,"4 Item Ledger Entry Type",$C$4,"2 Item No.","@@"&amp;$F964,"3 Posting Date",O$9)</t>
  </si>
  <si>
    <t>=O964-Q964</t>
  </si>
  <si>
    <t>=IF(O964&lt;&gt;0,R964/O964,"")</t>
  </si>
  <si>
    <t>=NL("Sum","5802 Value Entry","150 Sales Amount (Expected)","41 Source Type",$C$5,"5 Source No.",$C964,"4 Item Ledger Entry Type",$C$4,"2 Item No.","@@"&amp;$F964,"3 Posting Date",U$9)+NL("Sum","5802 Value Entry","17 Sales Amount (Actual)","41 Source Type",$C$5,"5 Source no.",$C964,"4 Item Ledger Entry Type",$C$4,"2 Item No.","@@"&amp;$F964,"3 Posting Date",U$9)</t>
  </si>
  <si>
    <t>=-NL("Sum","5802 Value Entry","151 Cost Amount (Expected)","41 Source Type",$C$5,"5 Source No.",$C964,"4 Item Ledger Entry Type",$C$4,"2 Item No.","@@"&amp;$F964,"3 Posting Date",U$9)-NL("Sum","5802 Value Entry","43 Cost Amount (Actual)","41 Source Type",$C$5,"5 Source no.",$C964,"4 Item Ledger Entry Type",$C$4,"2 Item No.","@@"&amp;$F964,"3 Posting Date",U$9)</t>
  </si>
  <si>
    <t>=U964-W964</t>
  </si>
  <si>
    <t>=IF(U964&lt;&gt;0,X964/U964,"")</t>
  </si>
  <si>
    <t>=NL("Sum","5802 Value Entry","150 Sales Amount (Expected)","41 Source Type",$C$5,"5 Source No.",$C964,"4 Item Ledger Entry Type",$C$4,"2 Item No.","@@"&amp;$F964,"3 Posting Date",Z$9)+NL("Sum","5802 Value Entry","17 Sales Amount (Actual)","41 Source Type",$C$5,"5 Source no.",$C964,"4 Item Ledger Entry Type",$C$4,"2 Item No.","@@"&amp;$F964,"3 Posting Date",Z$9)</t>
  </si>
  <si>
    <t>=-NL("Sum","5802 Value Entry","151 Cost Amount (Expected)","41 Source Type",$C$5,"5 Source No.",$C964,"4 Item Ledger Entry Type",$C$4,"2 Item No.","@@"&amp;$F964,"3 Posting Date",Z$9)-NL("Sum","5802 Value Entry","43 Cost Amount (Actual)","41 Source Type",$C$5,"5 Source no.",$C964,"4 Item Ledger Entry Type",$C$4,"2 Item No.","@@"&amp;$F964,"3 Posting Date",Z$9)</t>
  </si>
  <si>
    <t>=Z964-AB964</t>
  </si>
  <si>
    <t>=IF(Z964&lt;&gt;0,AC964/Z964,"")</t>
  </si>
  <si>
    <t>=C964</t>
  </si>
  <si>
    <t>=NL("Sum","5802 Value Entry","150 Sales Amount (Expected)","41 Source Type",$C$5,"5 Source No.",$C965,"4 Item Ledger Entry Type",$C$4,"2 Item No.","@@"&amp;$F965,"3 Posting Date",J$9)+NL("Sum","5802 Value Entry","17 Sales Amount (Actual)","41 Source Type",$C$5,"5 Source no.",$C965,"4 Item Ledger Entry Type",$C$4,"2 Item No.","@@"&amp;$F965,"3 Posting Date",J$9)</t>
  </si>
  <si>
    <t>=-NL("Sum","5802 Value Entry","151 Cost Amount (Expected)","41 Source Type",$C$5,"5 Source No.",$C965,"4 Item Ledger Entry Type",$C$4,"2 Item No.","@@"&amp;$F965,"3 Posting Date",J$9)-NL("Sum","5802 Value Entry","43 Cost Amount (Actual)","41 Source Type",$C$5,"5 Source no.",$C965,"4 Item Ledger Entry Type",$C$4,"2 Item No.","@@"&amp;$F965,"3 Posting Date",J$9)</t>
  </si>
  <si>
    <t>=J965-L965</t>
  </si>
  <si>
    <t>=IF(J965&lt;&gt;0,M965/J965,"")</t>
  </si>
  <si>
    <t>=NL("Sum","5802 Value Entry","150 Sales Amount (Expected)","41 Source Type",$C$5,"5 Source No.",$C965,"4 Item Ledger Entry Type",$C$4,"2 Item No.","@@"&amp;$F965,"3 Posting Date",O$9)+NL("Sum","5802 Value Entry","17 Sales Amount (Actual)","41 Source Type",$C$5,"5 Source no.",$C965,"4 Item Ledger Entry Type",$C$4,"2 Item No.","@@"&amp;$F965,"3 Posting Date",O$9)</t>
  </si>
  <si>
    <t>=-NL("Sum","5802 Value Entry","151 Cost Amount (Expected)","41 Source Type",$C$5,"5 Source No.",$C965,"4 Item Ledger Entry Type",$C$4,"2 Item No.","@@"&amp;$F965,"3 Posting Date",O$9)-NL("Sum","5802 Value Entry","43 Cost Amount (Actual)","41 Source Type",$C$5,"5 Source no.",$C965,"4 Item Ledger Entry Type",$C$4,"2 Item No.","@@"&amp;$F965,"3 Posting Date",O$9)</t>
  </si>
  <si>
    <t>=O965-Q965</t>
  </si>
  <si>
    <t>=IF(O965&lt;&gt;0,R965/O965,"")</t>
  </si>
  <si>
    <t>=NL("Sum","5802 Value Entry","150 Sales Amount (Expected)","41 Source Type",$C$5,"5 Source No.",$C965,"4 Item Ledger Entry Type",$C$4,"2 Item No.","@@"&amp;$F965,"3 Posting Date",U$9)+NL("Sum","5802 Value Entry","17 Sales Amount (Actual)","41 Source Type",$C$5,"5 Source no.",$C965,"4 Item Ledger Entry Type",$C$4,"2 Item No.","@@"&amp;$F965,"3 Posting Date",U$9)</t>
  </si>
  <si>
    <t>=-NL("Sum","5802 Value Entry","151 Cost Amount (Expected)","41 Source Type",$C$5,"5 Source No.",$C965,"4 Item Ledger Entry Type",$C$4,"2 Item No.","@@"&amp;$F965,"3 Posting Date",U$9)-NL("Sum","5802 Value Entry","43 Cost Amount (Actual)","41 Source Type",$C$5,"5 Source no.",$C965,"4 Item Ledger Entry Type",$C$4,"2 Item No.","@@"&amp;$F965,"3 Posting Date",U$9)</t>
  </si>
  <si>
    <t>=U965-W965</t>
  </si>
  <si>
    <t>=IF(U965&lt;&gt;0,X965/U965,"")</t>
  </si>
  <si>
    <t>=NL("Sum","5802 Value Entry","150 Sales Amount (Expected)","41 Source Type",$C$5,"5 Source No.",$C965,"4 Item Ledger Entry Type",$C$4,"2 Item No.","@@"&amp;$F965,"3 Posting Date",Z$9)+NL("Sum","5802 Value Entry","17 Sales Amount (Actual)","41 Source Type",$C$5,"5 Source no.",$C965,"4 Item Ledger Entry Type",$C$4,"2 Item No.","@@"&amp;$F965,"3 Posting Date",Z$9)</t>
  </si>
  <si>
    <t>=-NL("Sum","5802 Value Entry","151 Cost Amount (Expected)","41 Source Type",$C$5,"5 Source No.",$C965,"4 Item Ledger Entry Type",$C$4,"2 Item No.","@@"&amp;$F965,"3 Posting Date",Z$9)-NL("Sum","5802 Value Entry","43 Cost Amount (Actual)","41 Source Type",$C$5,"5 Source no.",$C965,"4 Item Ledger Entry Type",$C$4,"2 Item No.","@@"&amp;$F965,"3 Posting Date",Z$9)</t>
  </si>
  <si>
    <t>=Z965-AB965</t>
  </si>
  <si>
    <t>=IF(Z965&lt;&gt;0,AC965/Z965,"")</t>
  </si>
  <si>
    <t>=C965</t>
  </si>
  <si>
    <t>=NL("Sum","5802 Value Entry","150 Sales Amount (Expected)","41 Source Type",$C$5,"5 Source No.",$C966,"4 Item Ledger Entry Type",$C$4,"2 Item No.","@@"&amp;$F966,"3 Posting Date",J$9)+NL("Sum","5802 Value Entry","17 Sales Amount (Actual)","41 Source Type",$C$5,"5 Source no.",$C966,"4 Item Ledger Entry Type",$C$4,"2 Item No.","@@"&amp;$F966,"3 Posting Date",J$9)</t>
  </si>
  <si>
    <t>=-NL("Sum","5802 Value Entry","151 Cost Amount (Expected)","41 Source Type",$C$5,"5 Source No.",$C966,"4 Item Ledger Entry Type",$C$4,"2 Item No.","@@"&amp;$F966,"3 Posting Date",J$9)-NL("Sum","5802 Value Entry","43 Cost Amount (Actual)","41 Source Type",$C$5,"5 Source no.",$C966,"4 Item Ledger Entry Type",$C$4,"2 Item No.","@@"&amp;$F966,"3 Posting Date",J$9)</t>
  </si>
  <si>
    <t>=J966-L966</t>
  </si>
  <si>
    <t>=IF(J966&lt;&gt;0,M966/J966,"")</t>
  </si>
  <si>
    <t>=NL("Sum","5802 Value Entry","150 Sales Amount (Expected)","41 Source Type",$C$5,"5 Source No.",$C966,"4 Item Ledger Entry Type",$C$4,"2 Item No.","@@"&amp;$F966,"3 Posting Date",O$9)+NL("Sum","5802 Value Entry","17 Sales Amount (Actual)","41 Source Type",$C$5,"5 Source no.",$C966,"4 Item Ledger Entry Type",$C$4,"2 Item No.","@@"&amp;$F966,"3 Posting Date",O$9)</t>
  </si>
  <si>
    <t>=-NL("Sum","5802 Value Entry","151 Cost Amount (Expected)","41 Source Type",$C$5,"5 Source No.",$C966,"4 Item Ledger Entry Type",$C$4,"2 Item No.","@@"&amp;$F966,"3 Posting Date",O$9)-NL("Sum","5802 Value Entry","43 Cost Amount (Actual)","41 Source Type",$C$5,"5 Source no.",$C966,"4 Item Ledger Entry Type",$C$4,"2 Item No.","@@"&amp;$F966,"3 Posting Date",O$9)</t>
  </si>
  <si>
    <t>=O966-Q966</t>
  </si>
  <si>
    <t>=IF(O966&lt;&gt;0,R966/O966,"")</t>
  </si>
  <si>
    <t>=NL("Sum","5802 Value Entry","150 Sales Amount (Expected)","41 Source Type",$C$5,"5 Source No.",$C966,"4 Item Ledger Entry Type",$C$4,"2 Item No.","@@"&amp;$F966,"3 Posting Date",U$9)+NL("Sum","5802 Value Entry","17 Sales Amount (Actual)","41 Source Type",$C$5,"5 Source no.",$C966,"4 Item Ledger Entry Type",$C$4,"2 Item No.","@@"&amp;$F966,"3 Posting Date",U$9)</t>
  </si>
  <si>
    <t>=-NL("Sum","5802 Value Entry","151 Cost Amount (Expected)","41 Source Type",$C$5,"5 Source No.",$C966,"4 Item Ledger Entry Type",$C$4,"2 Item No.","@@"&amp;$F966,"3 Posting Date",U$9)-NL("Sum","5802 Value Entry","43 Cost Amount (Actual)","41 Source Type",$C$5,"5 Source no.",$C966,"4 Item Ledger Entry Type",$C$4,"2 Item No.","@@"&amp;$F966,"3 Posting Date",U$9)</t>
  </si>
  <si>
    <t>=U966-W966</t>
  </si>
  <si>
    <t>=IF(U966&lt;&gt;0,X966/U966,"")</t>
  </si>
  <si>
    <t>=NL("Sum","5802 Value Entry","150 Sales Amount (Expected)","41 Source Type",$C$5,"5 Source No.",$C966,"4 Item Ledger Entry Type",$C$4,"2 Item No.","@@"&amp;$F966,"3 Posting Date",Z$9)+NL("Sum","5802 Value Entry","17 Sales Amount (Actual)","41 Source Type",$C$5,"5 Source no.",$C966,"4 Item Ledger Entry Type",$C$4,"2 Item No.","@@"&amp;$F966,"3 Posting Date",Z$9)</t>
  </si>
  <si>
    <t>=-NL("Sum","5802 Value Entry","151 Cost Amount (Expected)","41 Source Type",$C$5,"5 Source No.",$C966,"4 Item Ledger Entry Type",$C$4,"2 Item No.","@@"&amp;$F966,"3 Posting Date",Z$9)-NL("Sum","5802 Value Entry","43 Cost Amount (Actual)","41 Source Type",$C$5,"5 Source no.",$C966,"4 Item Ledger Entry Type",$C$4,"2 Item No.","@@"&amp;$F966,"3 Posting Date",Z$9)</t>
  </si>
  <si>
    <t>=Z966-AB966</t>
  </si>
  <si>
    <t>=IF(Z966&lt;&gt;0,AC966/Z966,"")</t>
  </si>
  <si>
    <t>=C966</t>
  </si>
  <si>
    <t>=NL("Sum","5802 Value Entry","150 Sales Amount (Expected)","41 Source Type",$C$5,"5 Source No.",$C967,"4 Item Ledger Entry Type",$C$4,"2 Item No.","@@"&amp;$F967,"3 Posting Date",J$9)+NL("Sum","5802 Value Entry","17 Sales Amount (Actual)","41 Source Type",$C$5,"5 Source no.",$C967,"4 Item Ledger Entry Type",$C$4,"2 Item No.","@@"&amp;$F967,"3 Posting Date",J$9)</t>
  </si>
  <si>
    <t>=-NL("Sum","5802 Value Entry","151 Cost Amount (Expected)","41 Source Type",$C$5,"5 Source No.",$C967,"4 Item Ledger Entry Type",$C$4,"2 Item No.","@@"&amp;$F967,"3 Posting Date",J$9)-NL("Sum","5802 Value Entry","43 Cost Amount (Actual)","41 Source Type",$C$5,"5 Source no.",$C967,"4 Item Ledger Entry Type",$C$4,"2 Item No.","@@"&amp;$F967,"3 Posting Date",J$9)</t>
  </si>
  <si>
    <t>=J967-L967</t>
  </si>
  <si>
    <t>=IF(J967&lt;&gt;0,M967/J967,"")</t>
  </si>
  <si>
    <t>=NL("Sum","5802 Value Entry","150 Sales Amount (Expected)","41 Source Type",$C$5,"5 Source No.",$C967,"4 Item Ledger Entry Type",$C$4,"2 Item No.","@@"&amp;$F967,"3 Posting Date",O$9)+NL("Sum","5802 Value Entry","17 Sales Amount (Actual)","41 Source Type",$C$5,"5 Source no.",$C967,"4 Item Ledger Entry Type",$C$4,"2 Item No.","@@"&amp;$F967,"3 Posting Date",O$9)</t>
  </si>
  <si>
    <t>=-NL("Sum","5802 Value Entry","151 Cost Amount (Expected)","41 Source Type",$C$5,"5 Source No.",$C967,"4 Item Ledger Entry Type",$C$4,"2 Item No.","@@"&amp;$F967,"3 Posting Date",O$9)-NL("Sum","5802 Value Entry","43 Cost Amount (Actual)","41 Source Type",$C$5,"5 Source no.",$C967,"4 Item Ledger Entry Type",$C$4,"2 Item No.","@@"&amp;$F967,"3 Posting Date",O$9)</t>
  </si>
  <si>
    <t>=O967-Q967</t>
  </si>
  <si>
    <t>=IF(O967&lt;&gt;0,R967/O967,"")</t>
  </si>
  <si>
    <t>=NL("Sum","5802 Value Entry","150 Sales Amount (Expected)","41 Source Type",$C$5,"5 Source No.",$C967,"4 Item Ledger Entry Type",$C$4,"2 Item No.","@@"&amp;$F967,"3 Posting Date",U$9)+NL("Sum","5802 Value Entry","17 Sales Amount (Actual)","41 Source Type",$C$5,"5 Source no.",$C967,"4 Item Ledger Entry Type",$C$4,"2 Item No.","@@"&amp;$F967,"3 Posting Date",U$9)</t>
  </si>
  <si>
    <t>=-NL("Sum","5802 Value Entry","151 Cost Amount (Expected)","41 Source Type",$C$5,"5 Source No.",$C967,"4 Item Ledger Entry Type",$C$4,"2 Item No.","@@"&amp;$F967,"3 Posting Date",U$9)-NL("Sum","5802 Value Entry","43 Cost Amount (Actual)","41 Source Type",$C$5,"5 Source no.",$C967,"4 Item Ledger Entry Type",$C$4,"2 Item No.","@@"&amp;$F967,"3 Posting Date",U$9)</t>
  </si>
  <si>
    <t>=U967-W967</t>
  </si>
  <si>
    <t>=IF(U967&lt;&gt;0,X967/U967,"")</t>
  </si>
  <si>
    <t>=NL("Sum","5802 Value Entry","150 Sales Amount (Expected)","41 Source Type",$C$5,"5 Source No.",$C967,"4 Item Ledger Entry Type",$C$4,"2 Item No.","@@"&amp;$F967,"3 Posting Date",Z$9)+NL("Sum","5802 Value Entry","17 Sales Amount (Actual)","41 Source Type",$C$5,"5 Source no.",$C967,"4 Item Ledger Entry Type",$C$4,"2 Item No.","@@"&amp;$F967,"3 Posting Date",Z$9)</t>
  </si>
  <si>
    <t>=-NL("Sum","5802 Value Entry","151 Cost Amount (Expected)","41 Source Type",$C$5,"5 Source No.",$C967,"4 Item Ledger Entry Type",$C$4,"2 Item No.","@@"&amp;$F967,"3 Posting Date",Z$9)-NL("Sum","5802 Value Entry","43 Cost Amount (Actual)","41 Source Type",$C$5,"5 Source no.",$C967,"4 Item Ledger Entry Type",$C$4,"2 Item No.","@@"&amp;$F967,"3 Posting Date",Z$9)</t>
  </si>
  <si>
    <t>=Z967-AB967</t>
  </si>
  <si>
    <t>=IF(Z967&lt;&gt;0,AC967/Z967,"")</t>
  </si>
  <si>
    <t>=C967</t>
  </si>
  <si>
    <t>=NL("Sum","5802 Value Entry","150 Sales Amount (Expected)","41 Source Type",$C$5,"5 Source No.",$C968,"4 Item Ledger Entry Type",$C$4,"2 Item No.","@@"&amp;$F968,"3 Posting Date",J$9)+NL("Sum","5802 Value Entry","17 Sales Amount (Actual)","41 Source Type",$C$5,"5 Source no.",$C968,"4 Item Ledger Entry Type",$C$4,"2 Item No.","@@"&amp;$F968,"3 Posting Date",J$9)</t>
  </si>
  <si>
    <t>=-NL("Sum","5802 Value Entry","151 Cost Amount (Expected)","41 Source Type",$C$5,"5 Source No.",$C968,"4 Item Ledger Entry Type",$C$4,"2 Item No.","@@"&amp;$F968,"3 Posting Date",J$9)-NL("Sum","5802 Value Entry","43 Cost Amount (Actual)","41 Source Type",$C$5,"5 Source no.",$C968,"4 Item Ledger Entry Type",$C$4,"2 Item No.","@@"&amp;$F968,"3 Posting Date",J$9)</t>
  </si>
  <si>
    <t>=J968-L968</t>
  </si>
  <si>
    <t>=IF(J968&lt;&gt;0,M968/J968,"")</t>
  </si>
  <si>
    <t>=NL("Sum","5802 Value Entry","150 Sales Amount (Expected)","41 Source Type",$C$5,"5 Source No.",$C968,"4 Item Ledger Entry Type",$C$4,"2 Item No.","@@"&amp;$F968,"3 Posting Date",O$9)+NL("Sum","5802 Value Entry","17 Sales Amount (Actual)","41 Source Type",$C$5,"5 Source no.",$C968,"4 Item Ledger Entry Type",$C$4,"2 Item No.","@@"&amp;$F968,"3 Posting Date",O$9)</t>
  </si>
  <si>
    <t>=-NL("Sum","5802 Value Entry","151 Cost Amount (Expected)","41 Source Type",$C$5,"5 Source No.",$C968,"4 Item Ledger Entry Type",$C$4,"2 Item No.","@@"&amp;$F968,"3 Posting Date",O$9)-NL("Sum","5802 Value Entry","43 Cost Amount (Actual)","41 Source Type",$C$5,"5 Source no.",$C968,"4 Item Ledger Entry Type",$C$4,"2 Item No.","@@"&amp;$F968,"3 Posting Date",O$9)</t>
  </si>
  <si>
    <t>=O968-Q968</t>
  </si>
  <si>
    <t>=IF(O968&lt;&gt;0,R968/O968,"")</t>
  </si>
  <si>
    <t>=NL("Sum","5802 Value Entry","150 Sales Amount (Expected)","41 Source Type",$C$5,"5 Source No.",$C968,"4 Item Ledger Entry Type",$C$4,"2 Item No.","@@"&amp;$F968,"3 Posting Date",U$9)+NL("Sum","5802 Value Entry","17 Sales Amount (Actual)","41 Source Type",$C$5,"5 Source no.",$C968,"4 Item Ledger Entry Type",$C$4,"2 Item No.","@@"&amp;$F968,"3 Posting Date",U$9)</t>
  </si>
  <si>
    <t>=-NL("Sum","5802 Value Entry","151 Cost Amount (Expected)","41 Source Type",$C$5,"5 Source No.",$C968,"4 Item Ledger Entry Type",$C$4,"2 Item No.","@@"&amp;$F968,"3 Posting Date",U$9)-NL("Sum","5802 Value Entry","43 Cost Amount (Actual)","41 Source Type",$C$5,"5 Source no.",$C968,"4 Item Ledger Entry Type",$C$4,"2 Item No.","@@"&amp;$F968,"3 Posting Date",U$9)</t>
  </si>
  <si>
    <t>=U968-W968</t>
  </si>
  <si>
    <t>=IF(U968&lt;&gt;0,X968/U968,"")</t>
  </si>
  <si>
    <t>=NL("Sum","5802 Value Entry","150 Sales Amount (Expected)","41 Source Type",$C$5,"5 Source No.",$C968,"4 Item Ledger Entry Type",$C$4,"2 Item No.","@@"&amp;$F968,"3 Posting Date",Z$9)+NL("Sum","5802 Value Entry","17 Sales Amount (Actual)","41 Source Type",$C$5,"5 Source no.",$C968,"4 Item Ledger Entry Type",$C$4,"2 Item No.","@@"&amp;$F968,"3 Posting Date",Z$9)</t>
  </si>
  <si>
    <t>=-NL("Sum","5802 Value Entry","151 Cost Amount (Expected)","41 Source Type",$C$5,"5 Source No.",$C968,"4 Item Ledger Entry Type",$C$4,"2 Item No.","@@"&amp;$F968,"3 Posting Date",Z$9)-NL("Sum","5802 Value Entry","43 Cost Amount (Actual)","41 Source Type",$C$5,"5 Source no.",$C968,"4 Item Ledger Entry Type",$C$4,"2 Item No.","@@"&amp;$F968,"3 Posting Date",Z$9)</t>
  </si>
  <si>
    <t>=Z968-AB968</t>
  </si>
  <si>
    <t>=IF(Z968&lt;&gt;0,AC968/Z968,"")</t>
  </si>
  <si>
    <t>=C968</t>
  </si>
  <si>
    <t>=NL("Sum","5802 Value Entry","150 Sales Amount (Expected)","41 Source Type",$C$5,"5 Source No.",$C969,"4 Item Ledger Entry Type",$C$4,"2 Item No.","@@"&amp;$F969,"3 Posting Date",J$9)+NL("Sum","5802 Value Entry","17 Sales Amount (Actual)","41 Source Type",$C$5,"5 Source no.",$C969,"4 Item Ledger Entry Type",$C$4,"2 Item No.","@@"&amp;$F969,"3 Posting Date",J$9)</t>
  </si>
  <si>
    <t>=-NL("Sum","5802 Value Entry","151 Cost Amount (Expected)","41 Source Type",$C$5,"5 Source No.",$C969,"4 Item Ledger Entry Type",$C$4,"2 Item No.","@@"&amp;$F969,"3 Posting Date",J$9)-NL("Sum","5802 Value Entry","43 Cost Amount (Actual)","41 Source Type",$C$5,"5 Source no.",$C969,"4 Item Ledger Entry Type",$C$4,"2 Item No.","@@"&amp;$F969,"3 Posting Date",J$9)</t>
  </si>
  <si>
    <t>=J969-L969</t>
  </si>
  <si>
    <t>=IF(J969&lt;&gt;0,M969/J969,"")</t>
  </si>
  <si>
    <t>=NL("Sum","5802 Value Entry","150 Sales Amount (Expected)","41 Source Type",$C$5,"5 Source No.",$C969,"4 Item Ledger Entry Type",$C$4,"2 Item No.","@@"&amp;$F969,"3 Posting Date",O$9)+NL("Sum","5802 Value Entry","17 Sales Amount (Actual)","41 Source Type",$C$5,"5 Source no.",$C969,"4 Item Ledger Entry Type",$C$4,"2 Item No.","@@"&amp;$F969,"3 Posting Date",O$9)</t>
  </si>
  <si>
    <t>=-NL("Sum","5802 Value Entry","151 Cost Amount (Expected)","41 Source Type",$C$5,"5 Source No.",$C969,"4 Item Ledger Entry Type",$C$4,"2 Item No.","@@"&amp;$F969,"3 Posting Date",O$9)-NL("Sum","5802 Value Entry","43 Cost Amount (Actual)","41 Source Type",$C$5,"5 Source no.",$C969,"4 Item Ledger Entry Type",$C$4,"2 Item No.","@@"&amp;$F969,"3 Posting Date",O$9)</t>
  </si>
  <si>
    <t>=O969-Q969</t>
  </si>
  <si>
    <t>=IF(O969&lt;&gt;0,R969/O969,"")</t>
  </si>
  <si>
    <t>=NL("Sum","5802 Value Entry","150 Sales Amount (Expected)","41 Source Type",$C$5,"5 Source No.",$C969,"4 Item Ledger Entry Type",$C$4,"2 Item No.","@@"&amp;$F969,"3 Posting Date",U$9)+NL("Sum","5802 Value Entry","17 Sales Amount (Actual)","41 Source Type",$C$5,"5 Source no.",$C969,"4 Item Ledger Entry Type",$C$4,"2 Item No.","@@"&amp;$F969,"3 Posting Date",U$9)</t>
  </si>
  <si>
    <t>=-NL("Sum","5802 Value Entry","151 Cost Amount (Expected)","41 Source Type",$C$5,"5 Source No.",$C969,"4 Item Ledger Entry Type",$C$4,"2 Item No.","@@"&amp;$F969,"3 Posting Date",U$9)-NL("Sum","5802 Value Entry","43 Cost Amount (Actual)","41 Source Type",$C$5,"5 Source no.",$C969,"4 Item Ledger Entry Type",$C$4,"2 Item No.","@@"&amp;$F969,"3 Posting Date",U$9)</t>
  </si>
  <si>
    <t>=U969-W969</t>
  </si>
  <si>
    <t>=IF(U969&lt;&gt;0,X969/U969,"")</t>
  </si>
  <si>
    <t>=NL("Sum","5802 Value Entry","150 Sales Amount (Expected)","41 Source Type",$C$5,"5 Source No.",$C969,"4 Item Ledger Entry Type",$C$4,"2 Item No.","@@"&amp;$F969,"3 Posting Date",Z$9)+NL("Sum","5802 Value Entry","17 Sales Amount (Actual)","41 Source Type",$C$5,"5 Source no.",$C969,"4 Item Ledger Entry Type",$C$4,"2 Item No.","@@"&amp;$F969,"3 Posting Date",Z$9)</t>
  </si>
  <si>
    <t>=-NL("Sum","5802 Value Entry","151 Cost Amount (Expected)","41 Source Type",$C$5,"5 Source No.",$C969,"4 Item Ledger Entry Type",$C$4,"2 Item No.","@@"&amp;$F969,"3 Posting Date",Z$9)-NL("Sum","5802 Value Entry","43 Cost Amount (Actual)","41 Source Type",$C$5,"5 Source no.",$C969,"4 Item Ledger Entry Type",$C$4,"2 Item No.","@@"&amp;$F969,"3 Posting Date",Z$9)</t>
  </si>
  <si>
    <t>=Z969-AB969</t>
  </si>
  <si>
    <t>=IF(Z969&lt;&gt;0,AC969/Z969,"")</t>
  </si>
  <si>
    <t>=C969</t>
  </si>
  <si>
    <t>=NL("Sum","5802 Value Entry","150 Sales Amount (Expected)","41 Source Type",$C$5,"5 Source No.",$C970,"4 Item Ledger Entry Type",$C$4,"2 Item No.","@@"&amp;$F970,"3 Posting Date",J$9)+NL("Sum","5802 Value Entry","17 Sales Amount (Actual)","41 Source Type",$C$5,"5 Source no.",$C970,"4 Item Ledger Entry Type",$C$4,"2 Item No.","@@"&amp;$F970,"3 Posting Date",J$9)</t>
  </si>
  <si>
    <t>=-NL("Sum","5802 Value Entry","151 Cost Amount (Expected)","41 Source Type",$C$5,"5 Source No.",$C970,"4 Item Ledger Entry Type",$C$4,"2 Item No.","@@"&amp;$F970,"3 Posting Date",J$9)-NL("Sum","5802 Value Entry","43 Cost Amount (Actual)","41 Source Type",$C$5,"5 Source no.",$C970,"4 Item Ledger Entry Type",$C$4,"2 Item No.","@@"&amp;$F970,"3 Posting Date",J$9)</t>
  </si>
  <si>
    <t>=J970-L970</t>
  </si>
  <si>
    <t>=IF(J970&lt;&gt;0,M970/J970,"")</t>
  </si>
  <si>
    <t>=NL("Sum","5802 Value Entry","150 Sales Amount (Expected)","41 Source Type",$C$5,"5 Source No.",$C970,"4 Item Ledger Entry Type",$C$4,"2 Item No.","@@"&amp;$F970,"3 Posting Date",O$9)+NL("Sum","5802 Value Entry","17 Sales Amount (Actual)","41 Source Type",$C$5,"5 Source no.",$C970,"4 Item Ledger Entry Type",$C$4,"2 Item No.","@@"&amp;$F970,"3 Posting Date",O$9)</t>
  </si>
  <si>
    <t>=-NL("Sum","5802 Value Entry","151 Cost Amount (Expected)","41 Source Type",$C$5,"5 Source No.",$C970,"4 Item Ledger Entry Type",$C$4,"2 Item No.","@@"&amp;$F970,"3 Posting Date",O$9)-NL("Sum","5802 Value Entry","43 Cost Amount (Actual)","41 Source Type",$C$5,"5 Source no.",$C970,"4 Item Ledger Entry Type",$C$4,"2 Item No.","@@"&amp;$F970,"3 Posting Date",O$9)</t>
  </si>
  <si>
    <t>=O970-Q970</t>
  </si>
  <si>
    <t>=IF(O970&lt;&gt;0,R970/O970,"")</t>
  </si>
  <si>
    <t>=NL("Sum","5802 Value Entry","150 Sales Amount (Expected)","41 Source Type",$C$5,"5 Source No.",$C970,"4 Item Ledger Entry Type",$C$4,"2 Item No.","@@"&amp;$F970,"3 Posting Date",U$9)+NL("Sum","5802 Value Entry","17 Sales Amount (Actual)","41 Source Type",$C$5,"5 Source no.",$C970,"4 Item Ledger Entry Type",$C$4,"2 Item No.","@@"&amp;$F970,"3 Posting Date",U$9)</t>
  </si>
  <si>
    <t>=-NL("Sum","5802 Value Entry","151 Cost Amount (Expected)","41 Source Type",$C$5,"5 Source No.",$C970,"4 Item Ledger Entry Type",$C$4,"2 Item No.","@@"&amp;$F970,"3 Posting Date",U$9)-NL("Sum","5802 Value Entry","43 Cost Amount (Actual)","41 Source Type",$C$5,"5 Source no.",$C970,"4 Item Ledger Entry Type",$C$4,"2 Item No.","@@"&amp;$F970,"3 Posting Date",U$9)</t>
  </si>
  <si>
    <t>=U970-W970</t>
  </si>
  <si>
    <t>=IF(U970&lt;&gt;0,X970/U970,"")</t>
  </si>
  <si>
    <t>=NL("Sum","5802 Value Entry","150 Sales Amount (Expected)","41 Source Type",$C$5,"5 Source No.",$C970,"4 Item Ledger Entry Type",$C$4,"2 Item No.","@@"&amp;$F970,"3 Posting Date",Z$9)+NL("Sum","5802 Value Entry","17 Sales Amount (Actual)","41 Source Type",$C$5,"5 Source no.",$C970,"4 Item Ledger Entry Type",$C$4,"2 Item No.","@@"&amp;$F970,"3 Posting Date",Z$9)</t>
  </si>
  <si>
    <t>=-NL("Sum","5802 Value Entry","151 Cost Amount (Expected)","41 Source Type",$C$5,"5 Source No.",$C970,"4 Item Ledger Entry Type",$C$4,"2 Item No.","@@"&amp;$F970,"3 Posting Date",Z$9)-NL("Sum","5802 Value Entry","43 Cost Amount (Actual)","41 Source Type",$C$5,"5 Source no.",$C970,"4 Item Ledger Entry Type",$C$4,"2 Item No.","@@"&amp;$F970,"3 Posting Date",Z$9)</t>
  </si>
  <si>
    <t>=Z970-AB970</t>
  </si>
  <si>
    <t>=IF(Z970&lt;&gt;0,AC970/Z970,"")</t>
  </si>
  <si>
    <t>=C970</t>
  </si>
  <si>
    <t>=NL("Sum","5802 Value Entry","150 Sales Amount (Expected)","41 Source Type",$C$5,"5 Source No.",$C971,"4 Item Ledger Entry Type",$C$4,"2 Item No.","@@"&amp;$F971,"3 Posting Date",J$9)+NL("Sum","5802 Value Entry","17 Sales Amount (Actual)","41 Source Type",$C$5,"5 Source no.",$C971,"4 Item Ledger Entry Type",$C$4,"2 Item No.","@@"&amp;$F971,"3 Posting Date",J$9)</t>
  </si>
  <si>
    <t>=-NL("Sum","5802 Value Entry","151 Cost Amount (Expected)","41 Source Type",$C$5,"5 Source No.",$C971,"4 Item Ledger Entry Type",$C$4,"2 Item No.","@@"&amp;$F971,"3 Posting Date",J$9)-NL("Sum","5802 Value Entry","43 Cost Amount (Actual)","41 Source Type",$C$5,"5 Source no.",$C971,"4 Item Ledger Entry Type",$C$4,"2 Item No.","@@"&amp;$F971,"3 Posting Date",J$9)</t>
  </si>
  <si>
    <t>=J971-L971</t>
  </si>
  <si>
    <t>=IF(J971&lt;&gt;0,M971/J971,"")</t>
  </si>
  <si>
    <t>=NL("Sum","5802 Value Entry","150 Sales Amount (Expected)","41 Source Type",$C$5,"5 Source No.",$C971,"4 Item Ledger Entry Type",$C$4,"2 Item No.","@@"&amp;$F971,"3 Posting Date",O$9)+NL("Sum","5802 Value Entry","17 Sales Amount (Actual)","41 Source Type",$C$5,"5 Source no.",$C971,"4 Item Ledger Entry Type",$C$4,"2 Item No.","@@"&amp;$F971,"3 Posting Date",O$9)</t>
  </si>
  <si>
    <t>=-NL("Sum","5802 Value Entry","151 Cost Amount (Expected)","41 Source Type",$C$5,"5 Source No.",$C971,"4 Item Ledger Entry Type",$C$4,"2 Item No.","@@"&amp;$F971,"3 Posting Date",O$9)-NL("Sum","5802 Value Entry","43 Cost Amount (Actual)","41 Source Type",$C$5,"5 Source no.",$C971,"4 Item Ledger Entry Type",$C$4,"2 Item No.","@@"&amp;$F971,"3 Posting Date",O$9)</t>
  </si>
  <si>
    <t>=O971-Q971</t>
  </si>
  <si>
    <t>=IF(O971&lt;&gt;0,R971/O971,"")</t>
  </si>
  <si>
    <t>=NL("Sum","5802 Value Entry","150 Sales Amount (Expected)","41 Source Type",$C$5,"5 Source No.",$C971,"4 Item Ledger Entry Type",$C$4,"2 Item No.","@@"&amp;$F971,"3 Posting Date",U$9)+NL("Sum","5802 Value Entry","17 Sales Amount (Actual)","41 Source Type",$C$5,"5 Source no.",$C971,"4 Item Ledger Entry Type",$C$4,"2 Item No.","@@"&amp;$F971,"3 Posting Date",U$9)</t>
  </si>
  <si>
    <t>=-NL("Sum","5802 Value Entry","151 Cost Amount (Expected)","41 Source Type",$C$5,"5 Source No.",$C971,"4 Item Ledger Entry Type",$C$4,"2 Item No.","@@"&amp;$F971,"3 Posting Date",U$9)-NL("Sum","5802 Value Entry","43 Cost Amount (Actual)","41 Source Type",$C$5,"5 Source no.",$C971,"4 Item Ledger Entry Type",$C$4,"2 Item No.","@@"&amp;$F971,"3 Posting Date",U$9)</t>
  </si>
  <si>
    <t>=U971-W971</t>
  </si>
  <si>
    <t>=IF(U971&lt;&gt;0,X971/U971,"")</t>
  </si>
  <si>
    <t>=NL("Sum","5802 Value Entry","150 Sales Amount (Expected)","41 Source Type",$C$5,"5 Source No.",$C971,"4 Item Ledger Entry Type",$C$4,"2 Item No.","@@"&amp;$F971,"3 Posting Date",Z$9)+NL("Sum","5802 Value Entry","17 Sales Amount (Actual)","41 Source Type",$C$5,"5 Source no.",$C971,"4 Item Ledger Entry Type",$C$4,"2 Item No.","@@"&amp;$F971,"3 Posting Date",Z$9)</t>
  </si>
  <si>
    <t>=-NL("Sum","5802 Value Entry","151 Cost Amount (Expected)","41 Source Type",$C$5,"5 Source No.",$C971,"4 Item Ledger Entry Type",$C$4,"2 Item No.","@@"&amp;$F971,"3 Posting Date",Z$9)-NL("Sum","5802 Value Entry","43 Cost Amount (Actual)","41 Source Type",$C$5,"5 Source no.",$C971,"4 Item Ledger Entry Type",$C$4,"2 Item No.","@@"&amp;$F971,"3 Posting Date",Z$9)</t>
  </si>
  <si>
    <t>=Z971-AB971</t>
  </si>
  <si>
    <t>=IF(Z971&lt;&gt;0,AC971/Z971,"")</t>
  </si>
  <si>
    <t>=C972</t>
  </si>
  <si>
    <t>=J973-L973</t>
  </si>
  <si>
    <t>=IF(J973&lt;&gt;0,M973/J973,"")</t>
  </si>
  <si>
    <t>=O973-Q973</t>
  </si>
  <si>
    <t>=IF(O973&lt;&gt;0,R973/O973,"")</t>
  </si>
  <si>
    <t>=U973-W973</t>
  </si>
  <si>
    <t>=IF(U973&lt;&gt;0,X973/U973,"")</t>
  </si>
  <si>
    <t>=Z973-AB973</t>
  </si>
  <si>
    <t>=IF(Z973&lt;&gt;0,AC973/Z973,"")</t>
  </si>
  <si>
    <t>=C977</t>
  </si>
  <si>
    <t>=C978</t>
  </si>
  <si>
    <t>=NL("Sum","5802 Value Entry","150 Sales Amount (Expected)","41 Source Type",$C$5,"5 Source No.",$C979,"4 Item Ledger Entry Type",$C$4,"2 Item No.","@@"&amp;$F979,"3 Posting Date",J$9)+NL("Sum","5802 Value Entry","17 Sales Amount (Actual)","41 Source Type",$C$5,"5 Source no.",$C979,"4 Item Ledger Entry Type",$C$4,"2 Item No.","@@"&amp;$F979,"3 Posting Date",J$9)</t>
  </si>
  <si>
    <t>=-NL("Sum","5802 Value Entry","151 Cost Amount (Expected)","41 Source Type",$C$5,"5 Source No.",$C979,"4 Item Ledger Entry Type",$C$4,"2 Item No.","@@"&amp;$F979,"3 Posting Date",J$9)-NL("Sum","5802 Value Entry","43 Cost Amount (Actual)","41 Source Type",$C$5,"5 Source no.",$C979,"4 Item Ledger Entry Type",$C$4,"2 Item No.","@@"&amp;$F979,"3 Posting Date",J$9)</t>
  </si>
  <si>
    <t>=J979-L979</t>
  </si>
  <si>
    <t>=IF(J979&lt;&gt;0,M979/J979,"")</t>
  </si>
  <si>
    <t>=NL("Sum","5802 Value Entry","150 Sales Amount (Expected)","41 Source Type",$C$5,"5 Source No.",$C979,"4 Item Ledger Entry Type",$C$4,"2 Item No.","@@"&amp;$F979,"3 Posting Date",O$9)+NL("Sum","5802 Value Entry","17 Sales Amount (Actual)","41 Source Type",$C$5,"5 Source no.",$C979,"4 Item Ledger Entry Type",$C$4,"2 Item No.","@@"&amp;$F979,"3 Posting Date",O$9)</t>
  </si>
  <si>
    <t>=-NL("Sum","5802 Value Entry","151 Cost Amount (Expected)","41 Source Type",$C$5,"5 Source No.",$C979,"4 Item Ledger Entry Type",$C$4,"2 Item No.","@@"&amp;$F979,"3 Posting Date",O$9)-NL("Sum","5802 Value Entry","43 Cost Amount (Actual)","41 Source Type",$C$5,"5 Source no.",$C979,"4 Item Ledger Entry Type",$C$4,"2 Item No.","@@"&amp;$F979,"3 Posting Date",O$9)</t>
  </si>
  <si>
    <t>=O979-Q979</t>
  </si>
  <si>
    <t>=IF(O979&lt;&gt;0,R979/O979,"")</t>
  </si>
  <si>
    <t>=NL("Sum","5802 Value Entry","150 Sales Amount (Expected)","41 Source Type",$C$5,"5 Source No.",$C979,"4 Item Ledger Entry Type",$C$4,"2 Item No.","@@"&amp;$F979,"3 Posting Date",U$9)+NL("Sum","5802 Value Entry","17 Sales Amount (Actual)","41 Source Type",$C$5,"5 Source no.",$C979,"4 Item Ledger Entry Type",$C$4,"2 Item No.","@@"&amp;$F979,"3 Posting Date",U$9)</t>
  </si>
  <si>
    <t>=-NL("Sum","5802 Value Entry","151 Cost Amount (Expected)","41 Source Type",$C$5,"5 Source No.",$C979,"4 Item Ledger Entry Type",$C$4,"2 Item No.","@@"&amp;$F979,"3 Posting Date",U$9)-NL("Sum","5802 Value Entry","43 Cost Amount (Actual)","41 Source Type",$C$5,"5 Source no.",$C979,"4 Item Ledger Entry Type",$C$4,"2 Item No.","@@"&amp;$F979,"3 Posting Date",U$9)</t>
  </si>
  <si>
    <t>=U979-W979</t>
  </si>
  <si>
    <t>=IF(U979&lt;&gt;0,X979/U979,"")</t>
  </si>
  <si>
    <t>=NL("Sum","5802 Value Entry","150 Sales Amount (Expected)","41 Source Type",$C$5,"5 Source No.",$C979,"4 Item Ledger Entry Type",$C$4,"2 Item No.","@@"&amp;$F979,"3 Posting Date",Z$9)+NL("Sum","5802 Value Entry","17 Sales Amount (Actual)","41 Source Type",$C$5,"5 Source no.",$C979,"4 Item Ledger Entry Type",$C$4,"2 Item No.","@@"&amp;$F979,"3 Posting Date",Z$9)</t>
  </si>
  <si>
    <t>=-NL("Sum","5802 Value Entry","151 Cost Amount (Expected)","41 Source Type",$C$5,"5 Source No.",$C979,"4 Item Ledger Entry Type",$C$4,"2 Item No.","@@"&amp;$F979,"3 Posting Date",Z$9)-NL("Sum","5802 Value Entry","43 Cost Amount (Actual)","41 Source Type",$C$5,"5 Source no.",$C979,"4 Item Ledger Entry Type",$C$4,"2 Item No.","@@"&amp;$F979,"3 Posting Date",Z$9)</t>
  </si>
  <si>
    <t>=Z979-AB979</t>
  </si>
  <si>
    <t>=IF(Z979&lt;&gt;0,AC979/Z979,"")</t>
  </si>
  <si>
    <t>=C979</t>
  </si>
  <si>
    <t>=NL("Sum","5802 Value Entry","150 Sales Amount (Expected)","41 Source Type",$C$5,"5 Source No.",$C980,"4 Item Ledger Entry Type",$C$4,"2 Item No.","@@"&amp;$F980,"3 Posting Date",J$9)+NL("Sum","5802 Value Entry","17 Sales Amount (Actual)","41 Source Type",$C$5,"5 Source no.",$C980,"4 Item Ledger Entry Type",$C$4,"2 Item No.","@@"&amp;$F980,"3 Posting Date",J$9)</t>
  </si>
  <si>
    <t>=-NL("Sum","5802 Value Entry","151 Cost Amount (Expected)","41 Source Type",$C$5,"5 Source No.",$C980,"4 Item Ledger Entry Type",$C$4,"2 Item No.","@@"&amp;$F980,"3 Posting Date",J$9)-NL("Sum","5802 Value Entry","43 Cost Amount (Actual)","41 Source Type",$C$5,"5 Source no.",$C980,"4 Item Ledger Entry Type",$C$4,"2 Item No.","@@"&amp;$F980,"3 Posting Date",J$9)</t>
  </si>
  <si>
    <t>=J980-L980</t>
  </si>
  <si>
    <t>=IF(J980&lt;&gt;0,M980/J980,"")</t>
  </si>
  <si>
    <t>=NL("Sum","5802 Value Entry","150 Sales Amount (Expected)","41 Source Type",$C$5,"5 Source No.",$C980,"4 Item Ledger Entry Type",$C$4,"2 Item No.","@@"&amp;$F980,"3 Posting Date",O$9)+NL("Sum","5802 Value Entry","17 Sales Amount (Actual)","41 Source Type",$C$5,"5 Source no.",$C980,"4 Item Ledger Entry Type",$C$4,"2 Item No.","@@"&amp;$F980,"3 Posting Date",O$9)</t>
  </si>
  <si>
    <t>=-NL("Sum","5802 Value Entry","151 Cost Amount (Expected)","41 Source Type",$C$5,"5 Source No.",$C980,"4 Item Ledger Entry Type",$C$4,"2 Item No.","@@"&amp;$F980,"3 Posting Date",O$9)-NL("Sum","5802 Value Entry","43 Cost Amount (Actual)","41 Source Type",$C$5,"5 Source no.",$C980,"4 Item Ledger Entry Type",$C$4,"2 Item No.","@@"&amp;$F980,"3 Posting Date",O$9)</t>
  </si>
  <si>
    <t>=O980-Q980</t>
  </si>
  <si>
    <t>=IF(O980&lt;&gt;0,R980/O980,"")</t>
  </si>
  <si>
    <t>=NL("Sum","5802 Value Entry","150 Sales Amount (Expected)","41 Source Type",$C$5,"5 Source No.",$C980,"4 Item Ledger Entry Type",$C$4,"2 Item No.","@@"&amp;$F980,"3 Posting Date",U$9)+NL("Sum","5802 Value Entry","17 Sales Amount (Actual)","41 Source Type",$C$5,"5 Source no.",$C980,"4 Item Ledger Entry Type",$C$4,"2 Item No.","@@"&amp;$F980,"3 Posting Date",U$9)</t>
  </si>
  <si>
    <t>=-NL("Sum","5802 Value Entry","151 Cost Amount (Expected)","41 Source Type",$C$5,"5 Source No.",$C980,"4 Item Ledger Entry Type",$C$4,"2 Item No.","@@"&amp;$F980,"3 Posting Date",U$9)-NL("Sum","5802 Value Entry","43 Cost Amount (Actual)","41 Source Type",$C$5,"5 Source no.",$C980,"4 Item Ledger Entry Type",$C$4,"2 Item No.","@@"&amp;$F980,"3 Posting Date",U$9)</t>
  </si>
  <si>
    <t>=U980-W980</t>
  </si>
  <si>
    <t>=IF(U980&lt;&gt;0,X980/U980,"")</t>
  </si>
  <si>
    <t>=NL("Sum","5802 Value Entry","150 Sales Amount (Expected)","41 Source Type",$C$5,"5 Source No.",$C980,"4 Item Ledger Entry Type",$C$4,"2 Item No.","@@"&amp;$F980,"3 Posting Date",Z$9)+NL("Sum","5802 Value Entry","17 Sales Amount (Actual)","41 Source Type",$C$5,"5 Source no.",$C980,"4 Item Ledger Entry Type",$C$4,"2 Item No.","@@"&amp;$F980,"3 Posting Date",Z$9)</t>
  </si>
  <si>
    <t>=-NL("Sum","5802 Value Entry","151 Cost Amount (Expected)","41 Source Type",$C$5,"5 Source No.",$C980,"4 Item Ledger Entry Type",$C$4,"2 Item No.","@@"&amp;$F980,"3 Posting Date",Z$9)-NL("Sum","5802 Value Entry","43 Cost Amount (Actual)","41 Source Type",$C$5,"5 Source no.",$C980,"4 Item Ledger Entry Type",$C$4,"2 Item No.","@@"&amp;$F980,"3 Posting Date",Z$9)</t>
  </si>
  <si>
    <t>=Z980-AB980</t>
  </si>
  <si>
    <t>=IF(Z980&lt;&gt;0,AC980/Z980,"")</t>
  </si>
  <si>
    <t>=C980</t>
  </si>
  <si>
    <t>=NL("Sum","5802 Value Entry","150 Sales Amount (Expected)","41 Source Type",$C$5,"5 Source No.",$C981,"4 Item Ledger Entry Type",$C$4,"2 Item No.","@@"&amp;$F981,"3 Posting Date",J$9)+NL("Sum","5802 Value Entry","17 Sales Amount (Actual)","41 Source Type",$C$5,"5 Source no.",$C981,"4 Item Ledger Entry Type",$C$4,"2 Item No.","@@"&amp;$F981,"3 Posting Date",J$9)</t>
  </si>
  <si>
    <t>=-NL("Sum","5802 Value Entry","151 Cost Amount (Expected)","41 Source Type",$C$5,"5 Source No.",$C981,"4 Item Ledger Entry Type",$C$4,"2 Item No.","@@"&amp;$F981,"3 Posting Date",J$9)-NL("Sum","5802 Value Entry","43 Cost Amount (Actual)","41 Source Type",$C$5,"5 Source no.",$C981,"4 Item Ledger Entry Type",$C$4,"2 Item No.","@@"&amp;$F981,"3 Posting Date",J$9)</t>
  </si>
  <si>
    <t>=J981-L981</t>
  </si>
  <si>
    <t>=IF(J981&lt;&gt;0,M981/J981,"")</t>
  </si>
  <si>
    <t>=NL("Sum","5802 Value Entry","150 Sales Amount (Expected)","41 Source Type",$C$5,"5 Source No.",$C981,"4 Item Ledger Entry Type",$C$4,"2 Item No.","@@"&amp;$F981,"3 Posting Date",O$9)+NL("Sum","5802 Value Entry","17 Sales Amount (Actual)","41 Source Type",$C$5,"5 Source no.",$C981,"4 Item Ledger Entry Type",$C$4,"2 Item No.","@@"&amp;$F981,"3 Posting Date",O$9)</t>
  </si>
  <si>
    <t>=-NL("Sum","5802 Value Entry","151 Cost Amount (Expected)","41 Source Type",$C$5,"5 Source No.",$C981,"4 Item Ledger Entry Type",$C$4,"2 Item No.","@@"&amp;$F981,"3 Posting Date",O$9)-NL("Sum","5802 Value Entry","43 Cost Amount (Actual)","41 Source Type",$C$5,"5 Source no.",$C981,"4 Item Ledger Entry Type",$C$4,"2 Item No.","@@"&amp;$F981,"3 Posting Date",O$9)</t>
  </si>
  <si>
    <t>=O981-Q981</t>
  </si>
  <si>
    <t>=IF(O981&lt;&gt;0,R981/O981,"")</t>
  </si>
  <si>
    <t>=NL("Sum","5802 Value Entry","150 Sales Amount (Expected)","41 Source Type",$C$5,"5 Source No.",$C981,"4 Item Ledger Entry Type",$C$4,"2 Item No.","@@"&amp;$F981,"3 Posting Date",U$9)+NL("Sum","5802 Value Entry","17 Sales Amount (Actual)","41 Source Type",$C$5,"5 Source no.",$C981,"4 Item Ledger Entry Type",$C$4,"2 Item No.","@@"&amp;$F981,"3 Posting Date",U$9)</t>
  </si>
  <si>
    <t>=-NL("Sum","5802 Value Entry","151 Cost Amount (Expected)","41 Source Type",$C$5,"5 Source No.",$C981,"4 Item Ledger Entry Type",$C$4,"2 Item No.","@@"&amp;$F981,"3 Posting Date",U$9)-NL("Sum","5802 Value Entry","43 Cost Amount (Actual)","41 Source Type",$C$5,"5 Source no.",$C981,"4 Item Ledger Entry Type",$C$4,"2 Item No.","@@"&amp;$F981,"3 Posting Date",U$9)</t>
  </si>
  <si>
    <t>=U981-W981</t>
  </si>
  <si>
    <t>=IF(U981&lt;&gt;0,X981/U981,"")</t>
  </si>
  <si>
    <t>=NL("Sum","5802 Value Entry","150 Sales Amount (Expected)","41 Source Type",$C$5,"5 Source No.",$C981,"4 Item Ledger Entry Type",$C$4,"2 Item No.","@@"&amp;$F981,"3 Posting Date",Z$9)+NL("Sum","5802 Value Entry","17 Sales Amount (Actual)","41 Source Type",$C$5,"5 Source no.",$C981,"4 Item Ledger Entry Type",$C$4,"2 Item No.","@@"&amp;$F981,"3 Posting Date",Z$9)</t>
  </si>
  <si>
    <t>=-NL("Sum","5802 Value Entry","151 Cost Amount (Expected)","41 Source Type",$C$5,"5 Source No.",$C981,"4 Item Ledger Entry Type",$C$4,"2 Item No.","@@"&amp;$F981,"3 Posting Date",Z$9)-NL("Sum","5802 Value Entry","43 Cost Amount (Actual)","41 Source Type",$C$5,"5 Source no.",$C981,"4 Item Ledger Entry Type",$C$4,"2 Item No.","@@"&amp;$F981,"3 Posting Date",Z$9)</t>
  </si>
  <si>
    <t>=Z981-AB981</t>
  </si>
  <si>
    <t>=IF(Z981&lt;&gt;0,AC981/Z981,"")</t>
  </si>
  <si>
    <t>=C981</t>
  </si>
  <si>
    <t>=NL("Sum","5802 Value Entry","150 Sales Amount (Expected)","41 Source Type",$C$5,"5 Source No.",$C982,"4 Item Ledger Entry Type",$C$4,"2 Item No.","@@"&amp;$F982,"3 Posting Date",J$9)+NL("Sum","5802 Value Entry","17 Sales Amount (Actual)","41 Source Type",$C$5,"5 Source no.",$C982,"4 Item Ledger Entry Type",$C$4,"2 Item No.","@@"&amp;$F982,"3 Posting Date",J$9)</t>
  </si>
  <si>
    <t>=-NL("Sum","5802 Value Entry","151 Cost Amount (Expected)","41 Source Type",$C$5,"5 Source No.",$C982,"4 Item Ledger Entry Type",$C$4,"2 Item No.","@@"&amp;$F982,"3 Posting Date",J$9)-NL("Sum","5802 Value Entry","43 Cost Amount (Actual)","41 Source Type",$C$5,"5 Source no.",$C982,"4 Item Ledger Entry Type",$C$4,"2 Item No.","@@"&amp;$F982,"3 Posting Date",J$9)</t>
  </si>
  <si>
    <t>=J982-L982</t>
  </si>
  <si>
    <t>=IF(J982&lt;&gt;0,M982/J982,"")</t>
  </si>
  <si>
    <t>=NL("Sum","5802 Value Entry","150 Sales Amount (Expected)","41 Source Type",$C$5,"5 Source No.",$C982,"4 Item Ledger Entry Type",$C$4,"2 Item No.","@@"&amp;$F982,"3 Posting Date",O$9)+NL("Sum","5802 Value Entry","17 Sales Amount (Actual)","41 Source Type",$C$5,"5 Source no.",$C982,"4 Item Ledger Entry Type",$C$4,"2 Item No.","@@"&amp;$F982,"3 Posting Date",O$9)</t>
  </si>
  <si>
    <t>=-NL("Sum","5802 Value Entry","151 Cost Amount (Expected)","41 Source Type",$C$5,"5 Source No.",$C982,"4 Item Ledger Entry Type",$C$4,"2 Item No.","@@"&amp;$F982,"3 Posting Date",O$9)-NL("Sum","5802 Value Entry","43 Cost Amount (Actual)","41 Source Type",$C$5,"5 Source no.",$C982,"4 Item Ledger Entry Type",$C$4,"2 Item No.","@@"&amp;$F982,"3 Posting Date",O$9)</t>
  </si>
  <si>
    <t>=O982-Q982</t>
  </si>
  <si>
    <t>=IF(O982&lt;&gt;0,R982/O982,"")</t>
  </si>
  <si>
    <t>=NL("Sum","5802 Value Entry","150 Sales Amount (Expected)","41 Source Type",$C$5,"5 Source No.",$C982,"4 Item Ledger Entry Type",$C$4,"2 Item No.","@@"&amp;$F982,"3 Posting Date",U$9)+NL("Sum","5802 Value Entry","17 Sales Amount (Actual)","41 Source Type",$C$5,"5 Source no.",$C982,"4 Item Ledger Entry Type",$C$4,"2 Item No.","@@"&amp;$F982,"3 Posting Date",U$9)</t>
  </si>
  <si>
    <t>=-NL("Sum","5802 Value Entry","151 Cost Amount (Expected)","41 Source Type",$C$5,"5 Source No.",$C982,"4 Item Ledger Entry Type",$C$4,"2 Item No.","@@"&amp;$F982,"3 Posting Date",U$9)-NL("Sum","5802 Value Entry","43 Cost Amount (Actual)","41 Source Type",$C$5,"5 Source no.",$C982,"4 Item Ledger Entry Type",$C$4,"2 Item No.","@@"&amp;$F982,"3 Posting Date",U$9)</t>
  </si>
  <si>
    <t>=U982-W982</t>
  </si>
  <si>
    <t>=IF(U982&lt;&gt;0,X982/U982,"")</t>
  </si>
  <si>
    <t>=NL("Sum","5802 Value Entry","150 Sales Amount (Expected)","41 Source Type",$C$5,"5 Source No.",$C982,"4 Item Ledger Entry Type",$C$4,"2 Item No.","@@"&amp;$F982,"3 Posting Date",Z$9)+NL("Sum","5802 Value Entry","17 Sales Amount (Actual)","41 Source Type",$C$5,"5 Source no.",$C982,"4 Item Ledger Entry Type",$C$4,"2 Item No.","@@"&amp;$F982,"3 Posting Date",Z$9)</t>
  </si>
  <si>
    <t>=-NL("Sum","5802 Value Entry","151 Cost Amount (Expected)","41 Source Type",$C$5,"5 Source No.",$C982,"4 Item Ledger Entry Type",$C$4,"2 Item No.","@@"&amp;$F982,"3 Posting Date",Z$9)-NL("Sum","5802 Value Entry","43 Cost Amount (Actual)","41 Source Type",$C$5,"5 Source no.",$C982,"4 Item Ledger Entry Type",$C$4,"2 Item No.","@@"&amp;$F982,"3 Posting Date",Z$9)</t>
  </si>
  <si>
    <t>=Z982-AB982</t>
  </si>
  <si>
    <t>=IF(Z982&lt;&gt;0,AC982/Z982,"")</t>
  </si>
  <si>
    <t>=C982</t>
  </si>
  <si>
    <t>=NL("Sum","5802 Value Entry","150 Sales Amount (Expected)","41 Source Type",$C$5,"5 Source No.",$C983,"4 Item Ledger Entry Type",$C$4,"2 Item No.","@@"&amp;$F983,"3 Posting Date",J$9)+NL("Sum","5802 Value Entry","17 Sales Amount (Actual)","41 Source Type",$C$5,"5 Source no.",$C983,"4 Item Ledger Entry Type",$C$4,"2 Item No.","@@"&amp;$F983,"3 Posting Date",J$9)</t>
  </si>
  <si>
    <t>=-NL("Sum","5802 Value Entry","151 Cost Amount (Expected)","41 Source Type",$C$5,"5 Source No.",$C983,"4 Item Ledger Entry Type",$C$4,"2 Item No.","@@"&amp;$F983,"3 Posting Date",J$9)-NL("Sum","5802 Value Entry","43 Cost Amount (Actual)","41 Source Type",$C$5,"5 Source no.",$C983,"4 Item Ledger Entry Type",$C$4,"2 Item No.","@@"&amp;$F983,"3 Posting Date",J$9)</t>
  </si>
  <si>
    <t>=J983-L983</t>
  </si>
  <si>
    <t>=IF(J983&lt;&gt;0,M983/J983,"")</t>
  </si>
  <si>
    <t>=NL("Sum","5802 Value Entry","150 Sales Amount (Expected)","41 Source Type",$C$5,"5 Source No.",$C983,"4 Item Ledger Entry Type",$C$4,"2 Item No.","@@"&amp;$F983,"3 Posting Date",O$9)+NL("Sum","5802 Value Entry","17 Sales Amount (Actual)","41 Source Type",$C$5,"5 Source no.",$C983,"4 Item Ledger Entry Type",$C$4,"2 Item No.","@@"&amp;$F983,"3 Posting Date",O$9)</t>
  </si>
  <si>
    <t>=-NL("Sum","5802 Value Entry","151 Cost Amount (Expected)","41 Source Type",$C$5,"5 Source No.",$C983,"4 Item Ledger Entry Type",$C$4,"2 Item No.","@@"&amp;$F983,"3 Posting Date",O$9)-NL("Sum","5802 Value Entry","43 Cost Amount (Actual)","41 Source Type",$C$5,"5 Source no.",$C983,"4 Item Ledger Entry Type",$C$4,"2 Item No.","@@"&amp;$F983,"3 Posting Date",O$9)</t>
  </si>
  <si>
    <t>=O983-Q983</t>
  </si>
  <si>
    <t>=IF(O983&lt;&gt;0,R983/O983,"")</t>
  </si>
  <si>
    <t>=NL("Sum","5802 Value Entry","150 Sales Amount (Expected)","41 Source Type",$C$5,"5 Source No.",$C983,"4 Item Ledger Entry Type",$C$4,"2 Item No.","@@"&amp;$F983,"3 Posting Date",U$9)+NL("Sum","5802 Value Entry","17 Sales Amount (Actual)","41 Source Type",$C$5,"5 Source no.",$C983,"4 Item Ledger Entry Type",$C$4,"2 Item No.","@@"&amp;$F983,"3 Posting Date",U$9)</t>
  </si>
  <si>
    <t>=-NL("Sum","5802 Value Entry","151 Cost Amount (Expected)","41 Source Type",$C$5,"5 Source No.",$C983,"4 Item Ledger Entry Type",$C$4,"2 Item No.","@@"&amp;$F983,"3 Posting Date",U$9)-NL("Sum","5802 Value Entry","43 Cost Amount (Actual)","41 Source Type",$C$5,"5 Source no.",$C983,"4 Item Ledger Entry Type",$C$4,"2 Item No.","@@"&amp;$F983,"3 Posting Date",U$9)</t>
  </si>
  <si>
    <t>=U983-W983</t>
  </si>
  <si>
    <t>=IF(U983&lt;&gt;0,X983/U983,"")</t>
  </si>
  <si>
    <t>=NL("Sum","5802 Value Entry","150 Sales Amount (Expected)","41 Source Type",$C$5,"5 Source No.",$C983,"4 Item Ledger Entry Type",$C$4,"2 Item No.","@@"&amp;$F983,"3 Posting Date",Z$9)+NL("Sum","5802 Value Entry","17 Sales Amount (Actual)","41 Source Type",$C$5,"5 Source no.",$C983,"4 Item Ledger Entry Type",$C$4,"2 Item No.","@@"&amp;$F983,"3 Posting Date",Z$9)</t>
  </si>
  <si>
    <t>=-NL("Sum","5802 Value Entry","151 Cost Amount (Expected)","41 Source Type",$C$5,"5 Source No.",$C983,"4 Item Ledger Entry Type",$C$4,"2 Item No.","@@"&amp;$F983,"3 Posting Date",Z$9)-NL("Sum","5802 Value Entry","43 Cost Amount (Actual)","41 Source Type",$C$5,"5 Source no.",$C983,"4 Item Ledger Entry Type",$C$4,"2 Item No.","@@"&amp;$F983,"3 Posting Date",Z$9)</t>
  </si>
  <si>
    <t>=Z983-AB983</t>
  </si>
  <si>
    <t>=IF(Z983&lt;&gt;0,AC983/Z983,"")</t>
  </si>
  <si>
    <t>=C983</t>
  </si>
  <si>
    <t>=NL("Sum","5802 Value Entry","150 Sales Amount (Expected)","41 Source Type",$C$5,"5 Source No.",$C984,"4 Item Ledger Entry Type",$C$4,"2 Item No.","@@"&amp;$F984,"3 Posting Date",J$9)+NL("Sum","5802 Value Entry","17 Sales Amount (Actual)","41 Source Type",$C$5,"5 Source no.",$C984,"4 Item Ledger Entry Type",$C$4,"2 Item No.","@@"&amp;$F984,"3 Posting Date",J$9)</t>
  </si>
  <si>
    <t>=-NL("Sum","5802 Value Entry","151 Cost Amount (Expected)","41 Source Type",$C$5,"5 Source No.",$C984,"4 Item Ledger Entry Type",$C$4,"2 Item No.","@@"&amp;$F984,"3 Posting Date",J$9)-NL("Sum","5802 Value Entry","43 Cost Amount (Actual)","41 Source Type",$C$5,"5 Source no.",$C984,"4 Item Ledger Entry Type",$C$4,"2 Item No.","@@"&amp;$F984,"3 Posting Date",J$9)</t>
  </si>
  <si>
    <t>=J984-L984</t>
  </si>
  <si>
    <t>=IF(J984&lt;&gt;0,M984/J984,"")</t>
  </si>
  <si>
    <t>=NL("Sum","5802 Value Entry","150 Sales Amount (Expected)","41 Source Type",$C$5,"5 Source No.",$C984,"4 Item Ledger Entry Type",$C$4,"2 Item No.","@@"&amp;$F984,"3 Posting Date",O$9)+NL("Sum","5802 Value Entry","17 Sales Amount (Actual)","41 Source Type",$C$5,"5 Source no.",$C984,"4 Item Ledger Entry Type",$C$4,"2 Item No.","@@"&amp;$F984,"3 Posting Date",O$9)</t>
  </si>
  <si>
    <t>=-NL("Sum","5802 Value Entry","151 Cost Amount (Expected)","41 Source Type",$C$5,"5 Source No.",$C984,"4 Item Ledger Entry Type",$C$4,"2 Item No.","@@"&amp;$F984,"3 Posting Date",O$9)-NL("Sum","5802 Value Entry","43 Cost Amount (Actual)","41 Source Type",$C$5,"5 Source no.",$C984,"4 Item Ledger Entry Type",$C$4,"2 Item No.","@@"&amp;$F984,"3 Posting Date",O$9)</t>
  </si>
  <si>
    <t>=O984-Q984</t>
  </si>
  <si>
    <t>=IF(O984&lt;&gt;0,R984/O984,"")</t>
  </si>
  <si>
    <t>=NL("Sum","5802 Value Entry","150 Sales Amount (Expected)","41 Source Type",$C$5,"5 Source No.",$C984,"4 Item Ledger Entry Type",$C$4,"2 Item No.","@@"&amp;$F984,"3 Posting Date",U$9)+NL("Sum","5802 Value Entry","17 Sales Amount (Actual)","41 Source Type",$C$5,"5 Source no.",$C984,"4 Item Ledger Entry Type",$C$4,"2 Item No.","@@"&amp;$F984,"3 Posting Date",U$9)</t>
  </si>
  <si>
    <t>=-NL("Sum","5802 Value Entry","151 Cost Amount (Expected)","41 Source Type",$C$5,"5 Source No.",$C984,"4 Item Ledger Entry Type",$C$4,"2 Item No.","@@"&amp;$F984,"3 Posting Date",U$9)-NL("Sum","5802 Value Entry","43 Cost Amount (Actual)","41 Source Type",$C$5,"5 Source no.",$C984,"4 Item Ledger Entry Type",$C$4,"2 Item No.","@@"&amp;$F984,"3 Posting Date",U$9)</t>
  </si>
  <si>
    <t>=U984-W984</t>
  </si>
  <si>
    <t>=IF(U984&lt;&gt;0,X984/U984,"")</t>
  </si>
  <si>
    <t>=NL("Sum","5802 Value Entry","150 Sales Amount (Expected)","41 Source Type",$C$5,"5 Source No.",$C984,"4 Item Ledger Entry Type",$C$4,"2 Item No.","@@"&amp;$F984,"3 Posting Date",Z$9)+NL("Sum","5802 Value Entry","17 Sales Amount (Actual)","41 Source Type",$C$5,"5 Source no.",$C984,"4 Item Ledger Entry Type",$C$4,"2 Item No.","@@"&amp;$F984,"3 Posting Date",Z$9)</t>
  </si>
  <si>
    <t>=-NL("Sum","5802 Value Entry","151 Cost Amount (Expected)","41 Source Type",$C$5,"5 Source No.",$C984,"4 Item Ledger Entry Type",$C$4,"2 Item No.","@@"&amp;$F984,"3 Posting Date",Z$9)-NL("Sum","5802 Value Entry","43 Cost Amount (Actual)","41 Source Type",$C$5,"5 Source no.",$C984,"4 Item Ledger Entry Type",$C$4,"2 Item No.","@@"&amp;$F984,"3 Posting Date",Z$9)</t>
  </si>
  <si>
    <t>=Z984-AB984</t>
  </si>
  <si>
    <t>=IF(Z984&lt;&gt;0,AC984/Z984,"")</t>
  </si>
  <si>
    <t>=C984</t>
  </si>
  <si>
    <t>=NL("Sum","5802 Value Entry","150 Sales Amount (Expected)","41 Source Type",$C$5,"5 Source No.",$C985,"4 Item Ledger Entry Type",$C$4,"2 Item No.","@@"&amp;$F985,"3 Posting Date",J$9)+NL("Sum","5802 Value Entry","17 Sales Amount (Actual)","41 Source Type",$C$5,"5 Source no.",$C985,"4 Item Ledger Entry Type",$C$4,"2 Item No.","@@"&amp;$F985,"3 Posting Date",J$9)</t>
  </si>
  <si>
    <t>=-NL("Sum","5802 Value Entry","151 Cost Amount (Expected)","41 Source Type",$C$5,"5 Source No.",$C985,"4 Item Ledger Entry Type",$C$4,"2 Item No.","@@"&amp;$F985,"3 Posting Date",J$9)-NL("Sum","5802 Value Entry","43 Cost Amount (Actual)","41 Source Type",$C$5,"5 Source no.",$C985,"4 Item Ledger Entry Type",$C$4,"2 Item No.","@@"&amp;$F985,"3 Posting Date",J$9)</t>
  </si>
  <si>
    <t>=J985-L985</t>
  </si>
  <si>
    <t>=IF(J985&lt;&gt;0,M985/J985,"")</t>
  </si>
  <si>
    <t>=NL("Sum","5802 Value Entry","150 Sales Amount (Expected)","41 Source Type",$C$5,"5 Source No.",$C985,"4 Item Ledger Entry Type",$C$4,"2 Item No.","@@"&amp;$F985,"3 Posting Date",O$9)+NL("Sum","5802 Value Entry","17 Sales Amount (Actual)","41 Source Type",$C$5,"5 Source no.",$C985,"4 Item Ledger Entry Type",$C$4,"2 Item No.","@@"&amp;$F985,"3 Posting Date",O$9)</t>
  </si>
  <si>
    <t>=-NL("Sum","5802 Value Entry","151 Cost Amount (Expected)","41 Source Type",$C$5,"5 Source No.",$C985,"4 Item Ledger Entry Type",$C$4,"2 Item No.","@@"&amp;$F985,"3 Posting Date",O$9)-NL("Sum","5802 Value Entry","43 Cost Amount (Actual)","41 Source Type",$C$5,"5 Source no.",$C985,"4 Item Ledger Entry Type",$C$4,"2 Item No.","@@"&amp;$F985,"3 Posting Date",O$9)</t>
  </si>
  <si>
    <t>=O985-Q985</t>
  </si>
  <si>
    <t>=IF(O985&lt;&gt;0,R985/O985,"")</t>
  </si>
  <si>
    <t>=NL("Sum","5802 Value Entry","150 Sales Amount (Expected)","41 Source Type",$C$5,"5 Source No.",$C985,"4 Item Ledger Entry Type",$C$4,"2 Item No.","@@"&amp;$F985,"3 Posting Date",U$9)+NL("Sum","5802 Value Entry","17 Sales Amount (Actual)","41 Source Type",$C$5,"5 Source no.",$C985,"4 Item Ledger Entry Type",$C$4,"2 Item No.","@@"&amp;$F985,"3 Posting Date",U$9)</t>
  </si>
  <si>
    <t>=-NL("Sum","5802 Value Entry","151 Cost Amount (Expected)","41 Source Type",$C$5,"5 Source No.",$C985,"4 Item Ledger Entry Type",$C$4,"2 Item No.","@@"&amp;$F985,"3 Posting Date",U$9)-NL("Sum","5802 Value Entry","43 Cost Amount (Actual)","41 Source Type",$C$5,"5 Source no.",$C985,"4 Item Ledger Entry Type",$C$4,"2 Item No.","@@"&amp;$F985,"3 Posting Date",U$9)</t>
  </si>
  <si>
    <t>=U985-W985</t>
  </si>
  <si>
    <t>=IF(U985&lt;&gt;0,X985/U985,"")</t>
  </si>
  <si>
    <t>=NL("Sum","5802 Value Entry","150 Sales Amount (Expected)","41 Source Type",$C$5,"5 Source No.",$C985,"4 Item Ledger Entry Type",$C$4,"2 Item No.","@@"&amp;$F985,"3 Posting Date",Z$9)+NL("Sum","5802 Value Entry","17 Sales Amount (Actual)","41 Source Type",$C$5,"5 Source no.",$C985,"4 Item Ledger Entry Type",$C$4,"2 Item No.","@@"&amp;$F985,"3 Posting Date",Z$9)</t>
  </si>
  <si>
    <t>=-NL("Sum","5802 Value Entry","151 Cost Amount (Expected)","41 Source Type",$C$5,"5 Source No.",$C985,"4 Item Ledger Entry Type",$C$4,"2 Item No.","@@"&amp;$F985,"3 Posting Date",Z$9)-NL("Sum","5802 Value Entry","43 Cost Amount (Actual)","41 Source Type",$C$5,"5 Source no.",$C985,"4 Item Ledger Entry Type",$C$4,"2 Item No.","@@"&amp;$F985,"3 Posting Date",Z$9)</t>
  </si>
  <si>
    <t>=Z985-AB985</t>
  </si>
  <si>
    <t>=IF(Z985&lt;&gt;0,AC985/Z985,"")</t>
  </si>
  <si>
    <t>=C985</t>
  </si>
  <si>
    <t>=NL("Sum","5802 Value Entry","150 Sales Amount (Expected)","41 Source Type",$C$5,"5 Source No.",$C986,"4 Item Ledger Entry Type",$C$4,"2 Item No.","@@"&amp;$F986,"3 Posting Date",J$9)+NL("Sum","5802 Value Entry","17 Sales Amount (Actual)","41 Source Type",$C$5,"5 Source no.",$C986,"4 Item Ledger Entry Type",$C$4,"2 Item No.","@@"&amp;$F986,"3 Posting Date",J$9)</t>
  </si>
  <si>
    <t>=-NL("Sum","5802 Value Entry","151 Cost Amount (Expected)","41 Source Type",$C$5,"5 Source No.",$C986,"4 Item Ledger Entry Type",$C$4,"2 Item No.","@@"&amp;$F986,"3 Posting Date",J$9)-NL("Sum","5802 Value Entry","43 Cost Amount (Actual)","41 Source Type",$C$5,"5 Source no.",$C986,"4 Item Ledger Entry Type",$C$4,"2 Item No.","@@"&amp;$F986,"3 Posting Date",J$9)</t>
  </si>
  <si>
    <t>=J986-L986</t>
  </si>
  <si>
    <t>=IF(J986&lt;&gt;0,M986/J986,"")</t>
  </si>
  <si>
    <t>=NL("Sum","5802 Value Entry","150 Sales Amount (Expected)","41 Source Type",$C$5,"5 Source No.",$C986,"4 Item Ledger Entry Type",$C$4,"2 Item No.","@@"&amp;$F986,"3 Posting Date",O$9)+NL("Sum","5802 Value Entry","17 Sales Amount (Actual)","41 Source Type",$C$5,"5 Source no.",$C986,"4 Item Ledger Entry Type",$C$4,"2 Item No.","@@"&amp;$F986,"3 Posting Date",O$9)</t>
  </si>
  <si>
    <t>=-NL("Sum","5802 Value Entry","151 Cost Amount (Expected)","41 Source Type",$C$5,"5 Source No.",$C986,"4 Item Ledger Entry Type",$C$4,"2 Item No.","@@"&amp;$F986,"3 Posting Date",O$9)-NL("Sum","5802 Value Entry","43 Cost Amount (Actual)","41 Source Type",$C$5,"5 Source no.",$C986,"4 Item Ledger Entry Type",$C$4,"2 Item No.","@@"&amp;$F986,"3 Posting Date",O$9)</t>
  </si>
  <si>
    <t>=O986-Q986</t>
  </si>
  <si>
    <t>=IF(O986&lt;&gt;0,R986/O986,"")</t>
  </si>
  <si>
    <t>=NL("Sum","5802 Value Entry","150 Sales Amount (Expected)","41 Source Type",$C$5,"5 Source No.",$C986,"4 Item Ledger Entry Type",$C$4,"2 Item No.","@@"&amp;$F986,"3 Posting Date",U$9)+NL("Sum","5802 Value Entry","17 Sales Amount (Actual)","41 Source Type",$C$5,"5 Source no.",$C986,"4 Item Ledger Entry Type",$C$4,"2 Item No.","@@"&amp;$F986,"3 Posting Date",U$9)</t>
  </si>
  <si>
    <t>=-NL("Sum","5802 Value Entry","151 Cost Amount (Expected)","41 Source Type",$C$5,"5 Source No.",$C986,"4 Item Ledger Entry Type",$C$4,"2 Item No.","@@"&amp;$F986,"3 Posting Date",U$9)-NL("Sum","5802 Value Entry","43 Cost Amount (Actual)","41 Source Type",$C$5,"5 Source no.",$C986,"4 Item Ledger Entry Type",$C$4,"2 Item No.","@@"&amp;$F986,"3 Posting Date",U$9)</t>
  </si>
  <si>
    <t>=U986-W986</t>
  </si>
  <si>
    <t>=IF(U986&lt;&gt;0,X986/U986,"")</t>
  </si>
  <si>
    <t>=NL("Sum","5802 Value Entry","150 Sales Amount (Expected)","41 Source Type",$C$5,"5 Source No.",$C986,"4 Item Ledger Entry Type",$C$4,"2 Item No.","@@"&amp;$F986,"3 Posting Date",Z$9)+NL("Sum","5802 Value Entry","17 Sales Amount (Actual)","41 Source Type",$C$5,"5 Source no.",$C986,"4 Item Ledger Entry Type",$C$4,"2 Item No.","@@"&amp;$F986,"3 Posting Date",Z$9)</t>
  </si>
  <si>
    <t>=-NL("Sum","5802 Value Entry","151 Cost Amount (Expected)","41 Source Type",$C$5,"5 Source No.",$C986,"4 Item Ledger Entry Type",$C$4,"2 Item No.","@@"&amp;$F986,"3 Posting Date",Z$9)-NL("Sum","5802 Value Entry","43 Cost Amount (Actual)","41 Source Type",$C$5,"5 Source no.",$C986,"4 Item Ledger Entry Type",$C$4,"2 Item No.","@@"&amp;$F986,"3 Posting Date",Z$9)</t>
  </si>
  <si>
    <t>=Z986-AB986</t>
  </si>
  <si>
    <t>=IF(Z986&lt;&gt;0,AC986/Z986,"")</t>
  </si>
  <si>
    <t>=C987</t>
  </si>
  <si>
    <t>=J988-L988</t>
  </si>
  <si>
    <t>=IF(J988&lt;&gt;0,M988/J988,"")</t>
  </si>
  <si>
    <t>=O988-Q988</t>
  </si>
  <si>
    <t>=IF(O988&lt;&gt;0,R988/O988,"")</t>
  </si>
  <si>
    <t>=U988-W988</t>
  </si>
  <si>
    <t>=IF(U988&lt;&gt;0,X988/U988,"")</t>
  </si>
  <si>
    <t>=Z988-AB988</t>
  </si>
  <si>
    <t>=IF(Z988&lt;&gt;0,AC988/Z988,"")</t>
  </si>
  <si>
    <t>=C990</t>
  </si>
  <si>
    <t>=C991</t>
  </si>
  <si>
    <t>=NL("Sum","5802 Value Entry","150 Sales Amount (Expected)","41 Source Type",$C$5,"5 Source No.",$C992,"4 Item Ledger Entry Type",$C$4,"2 Item No.","@@"&amp;$F992,"3 Posting Date",J$9)+NL("Sum","5802 Value Entry","17 Sales Amount (Actual)","41 Source Type",$C$5,"5 Source no.",$C992,"4 Item Ledger Entry Type",$C$4,"2 Item No.","@@"&amp;$F992,"3 Posting Date",J$9)</t>
  </si>
  <si>
    <t>=-NL("Sum","5802 Value Entry","151 Cost Amount (Expected)","41 Source Type",$C$5,"5 Source No.",$C992,"4 Item Ledger Entry Type",$C$4,"2 Item No.","@@"&amp;$F992,"3 Posting Date",J$9)-NL("Sum","5802 Value Entry","43 Cost Amount (Actual)","41 Source Type",$C$5,"5 Source no.",$C992,"4 Item Ledger Entry Type",$C$4,"2 Item No.","@@"&amp;$F992,"3 Posting Date",J$9)</t>
  </si>
  <si>
    <t>=J992-L992</t>
  </si>
  <si>
    <t>=IF(J992&lt;&gt;0,M992/J992,"")</t>
  </si>
  <si>
    <t>=NL("Sum","5802 Value Entry","150 Sales Amount (Expected)","41 Source Type",$C$5,"5 Source No.",$C992,"4 Item Ledger Entry Type",$C$4,"2 Item No.","@@"&amp;$F992,"3 Posting Date",O$9)+NL("Sum","5802 Value Entry","17 Sales Amount (Actual)","41 Source Type",$C$5,"5 Source no.",$C992,"4 Item Ledger Entry Type",$C$4,"2 Item No.","@@"&amp;$F992,"3 Posting Date",O$9)</t>
  </si>
  <si>
    <t>=-NL("Sum","5802 Value Entry","151 Cost Amount (Expected)","41 Source Type",$C$5,"5 Source No.",$C992,"4 Item Ledger Entry Type",$C$4,"2 Item No.","@@"&amp;$F992,"3 Posting Date",O$9)-NL("Sum","5802 Value Entry","43 Cost Amount (Actual)","41 Source Type",$C$5,"5 Source no.",$C992,"4 Item Ledger Entry Type",$C$4,"2 Item No.","@@"&amp;$F992,"3 Posting Date",O$9)</t>
  </si>
  <si>
    <t>=O992-Q992</t>
  </si>
  <si>
    <t>=IF(O992&lt;&gt;0,R992/O992,"")</t>
  </si>
  <si>
    <t>=NL("Sum","5802 Value Entry","150 Sales Amount (Expected)","41 Source Type",$C$5,"5 Source No.",$C992,"4 Item Ledger Entry Type",$C$4,"2 Item No.","@@"&amp;$F992,"3 Posting Date",U$9)+NL("Sum","5802 Value Entry","17 Sales Amount (Actual)","41 Source Type",$C$5,"5 Source no.",$C992,"4 Item Ledger Entry Type",$C$4,"2 Item No.","@@"&amp;$F992,"3 Posting Date",U$9)</t>
  </si>
  <si>
    <t>=-NL("Sum","5802 Value Entry","151 Cost Amount (Expected)","41 Source Type",$C$5,"5 Source No.",$C992,"4 Item Ledger Entry Type",$C$4,"2 Item No.","@@"&amp;$F992,"3 Posting Date",U$9)-NL("Sum","5802 Value Entry","43 Cost Amount (Actual)","41 Source Type",$C$5,"5 Source no.",$C992,"4 Item Ledger Entry Type",$C$4,"2 Item No.","@@"&amp;$F992,"3 Posting Date",U$9)</t>
  </si>
  <si>
    <t>=U992-W992</t>
  </si>
  <si>
    <t>=IF(U992&lt;&gt;0,X992/U992,"")</t>
  </si>
  <si>
    <t>=NL("Sum","5802 Value Entry","150 Sales Amount (Expected)","41 Source Type",$C$5,"5 Source No.",$C992,"4 Item Ledger Entry Type",$C$4,"2 Item No.","@@"&amp;$F992,"3 Posting Date",Z$9)+NL("Sum","5802 Value Entry","17 Sales Amount (Actual)","41 Source Type",$C$5,"5 Source no.",$C992,"4 Item Ledger Entry Type",$C$4,"2 Item No.","@@"&amp;$F992,"3 Posting Date",Z$9)</t>
  </si>
  <si>
    <t>=-NL("Sum","5802 Value Entry","151 Cost Amount (Expected)","41 Source Type",$C$5,"5 Source No.",$C992,"4 Item Ledger Entry Type",$C$4,"2 Item No.","@@"&amp;$F992,"3 Posting Date",Z$9)-NL("Sum","5802 Value Entry","43 Cost Amount (Actual)","41 Source Type",$C$5,"5 Source no.",$C992,"4 Item Ledger Entry Type",$C$4,"2 Item No.","@@"&amp;$F992,"3 Posting Date",Z$9)</t>
  </si>
  <si>
    <t>=Z992-AB992</t>
  </si>
  <si>
    <t>=IF(Z992&lt;&gt;0,AC992/Z992,"")</t>
  </si>
  <si>
    <t>=C992</t>
  </si>
  <si>
    <t>=NL("Sum","5802 Value Entry","150 Sales Amount (Expected)","41 Source Type",$C$5,"5 Source No.",$C993,"4 Item Ledger Entry Type",$C$4,"2 Item No.","@@"&amp;$F993,"3 Posting Date",J$9)+NL("Sum","5802 Value Entry","17 Sales Amount (Actual)","41 Source Type",$C$5,"5 Source no.",$C993,"4 Item Ledger Entry Type",$C$4,"2 Item No.","@@"&amp;$F993,"3 Posting Date",J$9)</t>
  </si>
  <si>
    <t>=-NL("Sum","5802 Value Entry","151 Cost Amount (Expected)","41 Source Type",$C$5,"5 Source No.",$C993,"4 Item Ledger Entry Type",$C$4,"2 Item No.","@@"&amp;$F993,"3 Posting Date",J$9)-NL("Sum","5802 Value Entry","43 Cost Amount (Actual)","41 Source Type",$C$5,"5 Source no.",$C993,"4 Item Ledger Entry Type",$C$4,"2 Item No.","@@"&amp;$F993,"3 Posting Date",J$9)</t>
  </si>
  <si>
    <t>=J993-L993</t>
  </si>
  <si>
    <t>=IF(J993&lt;&gt;0,M993/J993,"")</t>
  </si>
  <si>
    <t>=NL("Sum","5802 Value Entry","150 Sales Amount (Expected)","41 Source Type",$C$5,"5 Source No.",$C993,"4 Item Ledger Entry Type",$C$4,"2 Item No.","@@"&amp;$F993,"3 Posting Date",O$9)+NL("Sum","5802 Value Entry","17 Sales Amount (Actual)","41 Source Type",$C$5,"5 Source no.",$C993,"4 Item Ledger Entry Type",$C$4,"2 Item No.","@@"&amp;$F993,"3 Posting Date",O$9)</t>
  </si>
  <si>
    <t>=-NL("Sum","5802 Value Entry","151 Cost Amount (Expected)","41 Source Type",$C$5,"5 Source No.",$C993,"4 Item Ledger Entry Type",$C$4,"2 Item No.","@@"&amp;$F993,"3 Posting Date",O$9)-NL("Sum","5802 Value Entry","43 Cost Amount (Actual)","41 Source Type",$C$5,"5 Source no.",$C993,"4 Item Ledger Entry Type",$C$4,"2 Item No.","@@"&amp;$F993,"3 Posting Date",O$9)</t>
  </si>
  <si>
    <t>=O993-Q993</t>
  </si>
  <si>
    <t>=IF(O993&lt;&gt;0,R993/O993,"")</t>
  </si>
  <si>
    <t>=NL("Sum","5802 Value Entry","150 Sales Amount (Expected)","41 Source Type",$C$5,"5 Source No.",$C993,"4 Item Ledger Entry Type",$C$4,"2 Item No.","@@"&amp;$F993,"3 Posting Date",U$9)+NL("Sum","5802 Value Entry","17 Sales Amount (Actual)","41 Source Type",$C$5,"5 Source no.",$C993,"4 Item Ledger Entry Type",$C$4,"2 Item No.","@@"&amp;$F993,"3 Posting Date",U$9)</t>
  </si>
  <si>
    <t>=-NL("Sum","5802 Value Entry","151 Cost Amount (Expected)","41 Source Type",$C$5,"5 Source No.",$C993,"4 Item Ledger Entry Type",$C$4,"2 Item No.","@@"&amp;$F993,"3 Posting Date",U$9)-NL("Sum","5802 Value Entry","43 Cost Amount (Actual)","41 Source Type",$C$5,"5 Source no.",$C993,"4 Item Ledger Entry Type",$C$4,"2 Item No.","@@"&amp;$F993,"3 Posting Date",U$9)</t>
  </si>
  <si>
    <t>=U993-W993</t>
  </si>
  <si>
    <t>=IF(U993&lt;&gt;0,X993/U993,"")</t>
  </si>
  <si>
    <t>=NL("Sum","5802 Value Entry","150 Sales Amount (Expected)","41 Source Type",$C$5,"5 Source No.",$C993,"4 Item Ledger Entry Type",$C$4,"2 Item No.","@@"&amp;$F993,"3 Posting Date",Z$9)+NL("Sum","5802 Value Entry","17 Sales Amount (Actual)","41 Source Type",$C$5,"5 Source no.",$C993,"4 Item Ledger Entry Type",$C$4,"2 Item No.","@@"&amp;$F993,"3 Posting Date",Z$9)</t>
  </si>
  <si>
    <t>=-NL("Sum","5802 Value Entry","151 Cost Amount (Expected)","41 Source Type",$C$5,"5 Source No.",$C993,"4 Item Ledger Entry Type",$C$4,"2 Item No.","@@"&amp;$F993,"3 Posting Date",Z$9)-NL("Sum","5802 Value Entry","43 Cost Amount (Actual)","41 Source Type",$C$5,"5 Source no.",$C993,"4 Item Ledger Entry Type",$C$4,"2 Item No.","@@"&amp;$F993,"3 Posting Date",Z$9)</t>
  </si>
  <si>
    <t>=Z993-AB993</t>
  </si>
  <si>
    <t>=IF(Z993&lt;&gt;0,AC993/Z993,"")</t>
  </si>
  <si>
    <t>=C993</t>
  </si>
  <si>
    <t>=NL("Sum","5802 Value Entry","150 Sales Amount (Expected)","41 Source Type",$C$5,"5 Source No.",$C994,"4 Item Ledger Entry Type",$C$4,"2 Item No.","@@"&amp;$F994,"3 Posting Date",J$9)+NL("Sum","5802 Value Entry","17 Sales Amount (Actual)","41 Source Type",$C$5,"5 Source no.",$C994,"4 Item Ledger Entry Type",$C$4,"2 Item No.","@@"&amp;$F994,"3 Posting Date",J$9)</t>
  </si>
  <si>
    <t>=-NL("Sum","5802 Value Entry","151 Cost Amount (Expected)","41 Source Type",$C$5,"5 Source No.",$C994,"4 Item Ledger Entry Type",$C$4,"2 Item No.","@@"&amp;$F994,"3 Posting Date",J$9)-NL("Sum","5802 Value Entry","43 Cost Amount (Actual)","41 Source Type",$C$5,"5 Source no.",$C994,"4 Item Ledger Entry Type",$C$4,"2 Item No.","@@"&amp;$F994,"3 Posting Date",J$9)</t>
  </si>
  <si>
    <t>=J994-L994</t>
  </si>
  <si>
    <t>=IF(J994&lt;&gt;0,M994/J994,"")</t>
  </si>
  <si>
    <t>=NL("Sum","5802 Value Entry","150 Sales Amount (Expected)","41 Source Type",$C$5,"5 Source No.",$C994,"4 Item Ledger Entry Type",$C$4,"2 Item No.","@@"&amp;$F994,"3 Posting Date",O$9)+NL("Sum","5802 Value Entry","17 Sales Amount (Actual)","41 Source Type",$C$5,"5 Source no.",$C994,"4 Item Ledger Entry Type",$C$4,"2 Item No.","@@"&amp;$F994,"3 Posting Date",O$9)</t>
  </si>
  <si>
    <t>=-NL("Sum","5802 Value Entry","151 Cost Amount (Expected)","41 Source Type",$C$5,"5 Source No.",$C994,"4 Item Ledger Entry Type",$C$4,"2 Item No.","@@"&amp;$F994,"3 Posting Date",O$9)-NL("Sum","5802 Value Entry","43 Cost Amount (Actual)","41 Source Type",$C$5,"5 Source no.",$C994,"4 Item Ledger Entry Type",$C$4,"2 Item No.","@@"&amp;$F994,"3 Posting Date",O$9)</t>
  </si>
  <si>
    <t>=O994-Q994</t>
  </si>
  <si>
    <t>=IF(O994&lt;&gt;0,R994/O994,"")</t>
  </si>
  <si>
    <t>=NL("Sum","5802 Value Entry","150 Sales Amount (Expected)","41 Source Type",$C$5,"5 Source No.",$C994,"4 Item Ledger Entry Type",$C$4,"2 Item No.","@@"&amp;$F994,"3 Posting Date",U$9)+NL("Sum","5802 Value Entry","17 Sales Amount (Actual)","41 Source Type",$C$5,"5 Source no.",$C994,"4 Item Ledger Entry Type",$C$4,"2 Item No.","@@"&amp;$F994,"3 Posting Date",U$9)</t>
  </si>
  <si>
    <t>=-NL("Sum","5802 Value Entry","151 Cost Amount (Expected)","41 Source Type",$C$5,"5 Source No.",$C994,"4 Item Ledger Entry Type",$C$4,"2 Item No.","@@"&amp;$F994,"3 Posting Date",U$9)-NL("Sum","5802 Value Entry","43 Cost Amount (Actual)","41 Source Type",$C$5,"5 Source no.",$C994,"4 Item Ledger Entry Type",$C$4,"2 Item No.","@@"&amp;$F994,"3 Posting Date",U$9)</t>
  </si>
  <si>
    <t>=U994-W994</t>
  </si>
  <si>
    <t>=IF(U994&lt;&gt;0,X994/U994,"")</t>
  </si>
  <si>
    <t>=NL("Sum","5802 Value Entry","150 Sales Amount (Expected)","41 Source Type",$C$5,"5 Source No.",$C994,"4 Item Ledger Entry Type",$C$4,"2 Item No.","@@"&amp;$F994,"3 Posting Date",Z$9)+NL("Sum","5802 Value Entry","17 Sales Amount (Actual)","41 Source Type",$C$5,"5 Source no.",$C994,"4 Item Ledger Entry Type",$C$4,"2 Item No.","@@"&amp;$F994,"3 Posting Date",Z$9)</t>
  </si>
  <si>
    <t>=-NL("Sum","5802 Value Entry","151 Cost Amount (Expected)","41 Source Type",$C$5,"5 Source No.",$C994,"4 Item Ledger Entry Type",$C$4,"2 Item No.","@@"&amp;$F994,"3 Posting Date",Z$9)-NL("Sum","5802 Value Entry","43 Cost Amount (Actual)","41 Source Type",$C$5,"5 Source no.",$C994,"4 Item Ledger Entry Type",$C$4,"2 Item No.","@@"&amp;$F994,"3 Posting Date",Z$9)</t>
  </si>
  <si>
    <t>=Z994-AB994</t>
  </si>
  <si>
    <t>=IF(Z994&lt;&gt;0,AC994/Z994,"")</t>
  </si>
  <si>
    <t>=C994</t>
  </si>
  <si>
    <t>=NL("Sum","5802 Value Entry","150 Sales Amount (Expected)","41 Source Type",$C$5,"5 Source No.",$C995,"4 Item Ledger Entry Type",$C$4,"2 Item No.","@@"&amp;$F995,"3 Posting Date",J$9)+NL("Sum","5802 Value Entry","17 Sales Amount (Actual)","41 Source Type",$C$5,"5 Source no.",$C995,"4 Item Ledger Entry Type",$C$4,"2 Item No.","@@"&amp;$F995,"3 Posting Date",J$9)</t>
  </si>
  <si>
    <t>=-NL("Sum","5802 Value Entry","151 Cost Amount (Expected)","41 Source Type",$C$5,"5 Source No.",$C995,"4 Item Ledger Entry Type",$C$4,"2 Item No.","@@"&amp;$F995,"3 Posting Date",J$9)-NL("Sum","5802 Value Entry","43 Cost Amount (Actual)","41 Source Type",$C$5,"5 Source no.",$C995,"4 Item Ledger Entry Type",$C$4,"2 Item No.","@@"&amp;$F995,"3 Posting Date",J$9)</t>
  </si>
  <si>
    <t>=J995-L995</t>
  </si>
  <si>
    <t>=IF(J995&lt;&gt;0,M995/J995,"")</t>
  </si>
  <si>
    <t>=NL("Sum","5802 Value Entry","150 Sales Amount (Expected)","41 Source Type",$C$5,"5 Source No.",$C995,"4 Item Ledger Entry Type",$C$4,"2 Item No.","@@"&amp;$F995,"3 Posting Date",O$9)+NL("Sum","5802 Value Entry","17 Sales Amount (Actual)","41 Source Type",$C$5,"5 Source no.",$C995,"4 Item Ledger Entry Type",$C$4,"2 Item No.","@@"&amp;$F995,"3 Posting Date",O$9)</t>
  </si>
  <si>
    <t>=-NL("Sum","5802 Value Entry","151 Cost Amount (Expected)","41 Source Type",$C$5,"5 Source No.",$C995,"4 Item Ledger Entry Type",$C$4,"2 Item No.","@@"&amp;$F995,"3 Posting Date",O$9)-NL("Sum","5802 Value Entry","43 Cost Amount (Actual)","41 Source Type",$C$5,"5 Source no.",$C995,"4 Item Ledger Entry Type",$C$4,"2 Item No.","@@"&amp;$F995,"3 Posting Date",O$9)</t>
  </si>
  <si>
    <t>=O995-Q995</t>
  </si>
  <si>
    <t>=IF(O995&lt;&gt;0,R995/O995,"")</t>
  </si>
  <si>
    <t>=NL("Sum","5802 Value Entry","150 Sales Amount (Expected)","41 Source Type",$C$5,"5 Source No.",$C995,"4 Item Ledger Entry Type",$C$4,"2 Item No.","@@"&amp;$F995,"3 Posting Date",U$9)+NL("Sum","5802 Value Entry","17 Sales Amount (Actual)","41 Source Type",$C$5,"5 Source no.",$C995,"4 Item Ledger Entry Type",$C$4,"2 Item No.","@@"&amp;$F995,"3 Posting Date",U$9)</t>
  </si>
  <si>
    <t>=-NL("Sum","5802 Value Entry","151 Cost Amount (Expected)","41 Source Type",$C$5,"5 Source No.",$C995,"4 Item Ledger Entry Type",$C$4,"2 Item No.","@@"&amp;$F995,"3 Posting Date",U$9)-NL("Sum","5802 Value Entry","43 Cost Amount (Actual)","41 Source Type",$C$5,"5 Source no.",$C995,"4 Item Ledger Entry Type",$C$4,"2 Item No.","@@"&amp;$F995,"3 Posting Date",U$9)</t>
  </si>
  <si>
    <t>=U995-W995</t>
  </si>
  <si>
    <t>=IF(U995&lt;&gt;0,X995/U995,"")</t>
  </si>
  <si>
    <t>=NL("Sum","5802 Value Entry","150 Sales Amount (Expected)","41 Source Type",$C$5,"5 Source No.",$C995,"4 Item Ledger Entry Type",$C$4,"2 Item No.","@@"&amp;$F995,"3 Posting Date",Z$9)+NL("Sum","5802 Value Entry","17 Sales Amount (Actual)","41 Source Type",$C$5,"5 Source no.",$C995,"4 Item Ledger Entry Type",$C$4,"2 Item No.","@@"&amp;$F995,"3 Posting Date",Z$9)</t>
  </si>
  <si>
    <t>=-NL("Sum","5802 Value Entry","151 Cost Amount (Expected)","41 Source Type",$C$5,"5 Source No.",$C995,"4 Item Ledger Entry Type",$C$4,"2 Item No.","@@"&amp;$F995,"3 Posting Date",Z$9)-NL("Sum","5802 Value Entry","43 Cost Amount (Actual)","41 Source Type",$C$5,"5 Source no.",$C995,"4 Item Ledger Entry Type",$C$4,"2 Item No.","@@"&amp;$F995,"3 Posting Date",Z$9)</t>
  </si>
  <si>
    <t>=Z995-AB995</t>
  </si>
  <si>
    <t>=IF(Z995&lt;&gt;0,AC995/Z995,"")</t>
  </si>
  <si>
    <t>=C995</t>
  </si>
  <si>
    <t>=NL("Sum","5802 Value Entry","150 Sales Amount (Expected)","41 Source Type",$C$5,"5 Source No.",$C996,"4 Item Ledger Entry Type",$C$4,"2 Item No.","@@"&amp;$F996,"3 Posting Date",J$9)+NL("Sum","5802 Value Entry","17 Sales Amount (Actual)","41 Source Type",$C$5,"5 Source no.",$C996,"4 Item Ledger Entry Type",$C$4,"2 Item No.","@@"&amp;$F996,"3 Posting Date",J$9)</t>
  </si>
  <si>
    <t>=-NL("Sum","5802 Value Entry","151 Cost Amount (Expected)","41 Source Type",$C$5,"5 Source No.",$C996,"4 Item Ledger Entry Type",$C$4,"2 Item No.","@@"&amp;$F996,"3 Posting Date",J$9)-NL("Sum","5802 Value Entry","43 Cost Amount (Actual)","41 Source Type",$C$5,"5 Source no.",$C996,"4 Item Ledger Entry Type",$C$4,"2 Item No.","@@"&amp;$F996,"3 Posting Date",J$9)</t>
  </si>
  <si>
    <t>=J996-L996</t>
  </si>
  <si>
    <t>=IF(J996&lt;&gt;0,M996/J996,"")</t>
  </si>
  <si>
    <t>=NL("Sum","5802 Value Entry","150 Sales Amount (Expected)","41 Source Type",$C$5,"5 Source No.",$C996,"4 Item Ledger Entry Type",$C$4,"2 Item No.","@@"&amp;$F996,"3 Posting Date",O$9)+NL("Sum","5802 Value Entry","17 Sales Amount (Actual)","41 Source Type",$C$5,"5 Source no.",$C996,"4 Item Ledger Entry Type",$C$4,"2 Item No.","@@"&amp;$F996,"3 Posting Date",O$9)</t>
  </si>
  <si>
    <t>=-NL("Sum","5802 Value Entry","151 Cost Amount (Expected)","41 Source Type",$C$5,"5 Source No.",$C996,"4 Item Ledger Entry Type",$C$4,"2 Item No.","@@"&amp;$F996,"3 Posting Date",O$9)-NL("Sum","5802 Value Entry","43 Cost Amount (Actual)","41 Source Type",$C$5,"5 Source no.",$C996,"4 Item Ledger Entry Type",$C$4,"2 Item No.","@@"&amp;$F996,"3 Posting Date",O$9)</t>
  </si>
  <si>
    <t>=O996-Q996</t>
  </si>
  <si>
    <t>=IF(O996&lt;&gt;0,R996/O996,"")</t>
  </si>
  <si>
    <t>=NL("Sum","5802 Value Entry","150 Sales Amount (Expected)","41 Source Type",$C$5,"5 Source No.",$C996,"4 Item Ledger Entry Type",$C$4,"2 Item No.","@@"&amp;$F996,"3 Posting Date",U$9)+NL("Sum","5802 Value Entry","17 Sales Amount (Actual)","41 Source Type",$C$5,"5 Source no.",$C996,"4 Item Ledger Entry Type",$C$4,"2 Item No.","@@"&amp;$F996,"3 Posting Date",U$9)</t>
  </si>
  <si>
    <t>=-NL("Sum","5802 Value Entry","151 Cost Amount (Expected)","41 Source Type",$C$5,"5 Source No.",$C996,"4 Item Ledger Entry Type",$C$4,"2 Item No.","@@"&amp;$F996,"3 Posting Date",U$9)-NL("Sum","5802 Value Entry","43 Cost Amount (Actual)","41 Source Type",$C$5,"5 Source no.",$C996,"4 Item Ledger Entry Type",$C$4,"2 Item No.","@@"&amp;$F996,"3 Posting Date",U$9)</t>
  </si>
  <si>
    <t>=U996-W996</t>
  </si>
  <si>
    <t>=IF(U996&lt;&gt;0,X996/U996,"")</t>
  </si>
  <si>
    <t>=NL("Sum","5802 Value Entry","150 Sales Amount (Expected)","41 Source Type",$C$5,"5 Source No.",$C996,"4 Item Ledger Entry Type",$C$4,"2 Item No.","@@"&amp;$F996,"3 Posting Date",Z$9)+NL("Sum","5802 Value Entry","17 Sales Amount (Actual)","41 Source Type",$C$5,"5 Source no.",$C996,"4 Item Ledger Entry Type",$C$4,"2 Item No.","@@"&amp;$F996,"3 Posting Date",Z$9)</t>
  </si>
  <si>
    <t>=-NL("Sum","5802 Value Entry","151 Cost Amount (Expected)","41 Source Type",$C$5,"5 Source No.",$C996,"4 Item Ledger Entry Type",$C$4,"2 Item No.","@@"&amp;$F996,"3 Posting Date",Z$9)-NL("Sum","5802 Value Entry","43 Cost Amount (Actual)","41 Source Type",$C$5,"5 Source no.",$C996,"4 Item Ledger Entry Type",$C$4,"2 Item No.","@@"&amp;$F996,"3 Posting Date",Z$9)</t>
  </si>
  <si>
    <t>=Z996-AB996</t>
  </si>
  <si>
    <t>=IF(Z996&lt;&gt;0,AC996/Z996,"")</t>
  </si>
  <si>
    <t>=C996</t>
  </si>
  <si>
    <t>=NL("Sum","5802 Value Entry","150 Sales Amount (Expected)","41 Source Type",$C$5,"5 Source No.",$C997,"4 Item Ledger Entry Type",$C$4,"2 Item No.","@@"&amp;$F997,"3 Posting Date",J$9)+NL("Sum","5802 Value Entry","17 Sales Amount (Actual)","41 Source Type",$C$5,"5 Source no.",$C997,"4 Item Ledger Entry Type",$C$4,"2 Item No.","@@"&amp;$F997,"3 Posting Date",J$9)</t>
  </si>
  <si>
    <t>=-NL("Sum","5802 Value Entry","151 Cost Amount (Expected)","41 Source Type",$C$5,"5 Source No.",$C997,"4 Item Ledger Entry Type",$C$4,"2 Item No.","@@"&amp;$F997,"3 Posting Date",J$9)-NL("Sum","5802 Value Entry","43 Cost Amount (Actual)","41 Source Type",$C$5,"5 Source no.",$C997,"4 Item Ledger Entry Type",$C$4,"2 Item No.","@@"&amp;$F997,"3 Posting Date",J$9)</t>
  </si>
  <si>
    <t>=J997-L997</t>
  </si>
  <si>
    <t>=IF(J997&lt;&gt;0,M997/J997,"")</t>
  </si>
  <si>
    <t>=NL("Sum","5802 Value Entry","150 Sales Amount (Expected)","41 Source Type",$C$5,"5 Source No.",$C997,"4 Item Ledger Entry Type",$C$4,"2 Item No.","@@"&amp;$F997,"3 Posting Date",O$9)+NL("Sum","5802 Value Entry","17 Sales Amount (Actual)","41 Source Type",$C$5,"5 Source no.",$C997,"4 Item Ledger Entry Type",$C$4,"2 Item No.","@@"&amp;$F997,"3 Posting Date",O$9)</t>
  </si>
  <si>
    <t>=-NL("Sum","5802 Value Entry","151 Cost Amount (Expected)","41 Source Type",$C$5,"5 Source No.",$C997,"4 Item Ledger Entry Type",$C$4,"2 Item No.","@@"&amp;$F997,"3 Posting Date",O$9)-NL("Sum","5802 Value Entry","43 Cost Amount (Actual)","41 Source Type",$C$5,"5 Source no.",$C997,"4 Item Ledger Entry Type",$C$4,"2 Item No.","@@"&amp;$F997,"3 Posting Date",O$9)</t>
  </si>
  <si>
    <t>=O997-Q997</t>
  </si>
  <si>
    <t>=IF(O997&lt;&gt;0,R997/O997,"")</t>
  </si>
  <si>
    <t>=NL("Sum","5802 Value Entry","150 Sales Amount (Expected)","41 Source Type",$C$5,"5 Source No.",$C997,"4 Item Ledger Entry Type",$C$4,"2 Item No.","@@"&amp;$F997,"3 Posting Date",U$9)+NL("Sum","5802 Value Entry","17 Sales Amount (Actual)","41 Source Type",$C$5,"5 Source no.",$C997,"4 Item Ledger Entry Type",$C$4,"2 Item No.","@@"&amp;$F997,"3 Posting Date",U$9)</t>
  </si>
  <si>
    <t>=-NL("Sum","5802 Value Entry","151 Cost Amount (Expected)","41 Source Type",$C$5,"5 Source No.",$C997,"4 Item Ledger Entry Type",$C$4,"2 Item No.","@@"&amp;$F997,"3 Posting Date",U$9)-NL("Sum","5802 Value Entry","43 Cost Amount (Actual)","41 Source Type",$C$5,"5 Source no.",$C997,"4 Item Ledger Entry Type",$C$4,"2 Item No.","@@"&amp;$F997,"3 Posting Date",U$9)</t>
  </si>
  <si>
    <t>=U997-W997</t>
  </si>
  <si>
    <t>=IF(U997&lt;&gt;0,X997/U997,"")</t>
  </si>
  <si>
    <t>=NL("Sum","5802 Value Entry","150 Sales Amount (Expected)","41 Source Type",$C$5,"5 Source No.",$C997,"4 Item Ledger Entry Type",$C$4,"2 Item No.","@@"&amp;$F997,"3 Posting Date",Z$9)+NL("Sum","5802 Value Entry","17 Sales Amount (Actual)","41 Source Type",$C$5,"5 Source no.",$C997,"4 Item Ledger Entry Type",$C$4,"2 Item No.","@@"&amp;$F997,"3 Posting Date",Z$9)</t>
  </si>
  <si>
    <t>=-NL("Sum","5802 Value Entry","151 Cost Amount (Expected)","41 Source Type",$C$5,"5 Source No.",$C997,"4 Item Ledger Entry Type",$C$4,"2 Item No.","@@"&amp;$F997,"3 Posting Date",Z$9)-NL("Sum","5802 Value Entry","43 Cost Amount (Actual)","41 Source Type",$C$5,"5 Source no.",$C997,"4 Item Ledger Entry Type",$C$4,"2 Item No.","@@"&amp;$F997,"3 Posting Date",Z$9)</t>
  </si>
  <si>
    <t>=Z997-AB997</t>
  </si>
  <si>
    <t>=IF(Z997&lt;&gt;0,AC997/Z997,"")</t>
  </si>
  <si>
    <t>=C997</t>
  </si>
  <si>
    <t>=NL("Sum","5802 Value Entry","150 Sales Amount (Expected)","41 Source Type",$C$5,"5 Source No.",$C998,"4 Item Ledger Entry Type",$C$4,"2 Item No.","@@"&amp;$F998,"3 Posting Date",J$9)+NL("Sum","5802 Value Entry","17 Sales Amount (Actual)","41 Source Type",$C$5,"5 Source no.",$C998,"4 Item Ledger Entry Type",$C$4,"2 Item No.","@@"&amp;$F998,"3 Posting Date",J$9)</t>
  </si>
  <si>
    <t>=-NL("Sum","5802 Value Entry","151 Cost Amount (Expected)","41 Source Type",$C$5,"5 Source No.",$C998,"4 Item Ledger Entry Type",$C$4,"2 Item No.","@@"&amp;$F998,"3 Posting Date",J$9)-NL("Sum","5802 Value Entry","43 Cost Amount (Actual)","41 Source Type",$C$5,"5 Source no.",$C998,"4 Item Ledger Entry Type",$C$4,"2 Item No.","@@"&amp;$F998,"3 Posting Date",J$9)</t>
  </si>
  <si>
    <t>=J998-L998</t>
  </si>
  <si>
    <t>=IF(J998&lt;&gt;0,M998/J998,"")</t>
  </si>
  <si>
    <t>=NL("Sum","5802 Value Entry","150 Sales Amount (Expected)","41 Source Type",$C$5,"5 Source No.",$C998,"4 Item Ledger Entry Type",$C$4,"2 Item No.","@@"&amp;$F998,"3 Posting Date",O$9)+NL("Sum","5802 Value Entry","17 Sales Amount (Actual)","41 Source Type",$C$5,"5 Source no.",$C998,"4 Item Ledger Entry Type",$C$4,"2 Item No.","@@"&amp;$F998,"3 Posting Date",O$9)</t>
  </si>
  <si>
    <t>=-NL("Sum","5802 Value Entry","151 Cost Amount (Expected)","41 Source Type",$C$5,"5 Source No.",$C998,"4 Item Ledger Entry Type",$C$4,"2 Item No.","@@"&amp;$F998,"3 Posting Date",O$9)-NL("Sum","5802 Value Entry","43 Cost Amount (Actual)","41 Source Type",$C$5,"5 Source no.",$C998,"4 Item Ledger Entry Type",$C$4,"2 Item No.","@@"&amp;$F998,"3 Posting Date",O$9)</t>
  </si>
  <si>
    <t>=O998-Q998</t>
  </si>
  <si>
    <t>=IF(O998&lt;&gt;0,R998/O998,"")</t>
  </si>
  <si>
    <t>=NL("Sum","5802 Value Entry","150 Sales Amount (Expected)","41 Source Type",$C$5,"5 Source No.",$C998,"4 Item Ledger Entry Type",$C$4,"2 Item No.","@@"&amp;$F998,"3 Posting Date",U$9)+NL("Sum","5802 Value Entry","17 Sales Amount (Actual)","41 Source Type",$C$5,"5 Source no.",$C998,"4 Item Ledger Entry Type",$C$4,"2 Item No.","@@"&amp;$F998,"3 Posting Date",U$9)</t>
  </si>
  <si>
    <t>=-NL("Sum","5802 Value Entry","151 Cost Amount (Expected)","41 Source Type",$C$5,"5 Source No.",$C998,"4 Item Ledger Entry Type",$C$4,"2 Item No.","@@"&amp;$F998,"3 Posting Date",U$9)-NL("Sum","5802 Value Entry","43 Cost Amount (Actual)","41 Source Type",$C$5,"5 Source no.",$C998,"4 Item Ledger Entry Type",$C$4,"2 Item No.","@@"&amp;$F998,"3 Posting Date",U$9)</t>
  </si>
  <si>
    <t>=U998-W998</t>
  </si>
  <si>
    <t>=IF(U998&lt;&gt;0,X998/U998,"")</t>
  </si>
  <si>
    <t>=NL("Sum","5802 Value Entry","150 Sales Amount (Expected)","41 Source Type",$C$5,"5 Source No.",$C998,"4 Item Ledger Entry Type",$C$4,"2 Item No.","@@"&amp;$F998,"3 Posting Date",Z$9)+NL("Sum","5802 Value Entry","17 Sales Amount (Actual)","41 Source Type",$C$5,"5 Source no.",$C998,"4 Item Ledger Entry Type",$C$4,"2 Item No.","@@"&amp;$F998,"3 Posting Date",Z$9)</t>
  </si>
  <si>
    <t>=-NL("Sum","5802 Value Entry","151 Cost Amount (Expected)","41 Source Type",$C$5,"5 Source No.",$C998,"4 Item Ledger Entry Type",$C$4,"2 Item No.","@@"&amp;$F998,"3 Posting Date",Z$9)-NL("Sum","5802 Value Entry","43 Cost Amount (Actual)","41 Source Type",$C$5,"5 Source no.",$C998,"4 Item Ledger Entry Type",$C$4,"2 Item No.","@@"&amp;$F998,"3 Posting Date",Z$9)</t>
  </si>
  <si>
    <t>=Z998-AB998</t>
  </si>
  <si>
    <t>=IF(Z998&lt;&gt;0,AC998/Z998,"")</t>
  </si>
  <si>
    <t>=C998</t>
  </si>
  <si>
    <t>=NL("Sum","5802 Value Entry","150 Sales Amount (Expected)","41 Source Type",$C$5,"5 Source No.",$C999,"4 Item Ledger Entry Type",$C$4,"2 Item No.","@@"&amp;$F999,"3 Posting Date",J$9)+NL("Sum","5802 Value Entry","17 Sales Amount (Actual)","41 Source Type",$C$5,"5 Source no.",$C999,"4 Item Ledger Entry Type",$C$4,"2 Item No.","@@"&amp;$F999,"3 Posting Date",J$9)</t>
  </si>
  <si>
    <t>=-NL("Sum","5802 Value Entry","151 Cost Amount (Expected)","41 Source Type",$C$5,"5 Source No.",$C999,"4 Item Ledger Entry Type",$C$4,"2 Item No.","@@"&amp;$F999,"3 Posting Date",J$9)-NL("Sum","5802 Value Entry","43 Cost Amount (Actual)","41 Source Type",$C$5,"5 Source no.",$C999,"4 Item Ledger Entry Type",$C$4,"2 Item No.","@@"&amp;$F999,"3 Posting Date",J$9)</t>
  </si>
  <si>
    <t>=J999-L999</t>
  </si>
  <si>
    <t>=IF(J999&lt;&gt;0,M999/J999,"")</t>
  </si>
  <si>
    <t>=NL("Sum","5802 Value Entry","150 Sales Amount (Expected)","41 Source Type",$C$5,"5 Source No.",$C999,"4 Item Ledger Entry Type",$C$4,"2 Item No.","@@"&amp;$F999,"3 Posting Date",O$9)+NL("Sum","5802 Value Entry","17 Sales Amount (Actual)","41 Source Type",$C$5,"5 Source no.",$C999,"4 Item Ledger Entry Type",$C$4,"2 Item No.","@@"&amp;$F999,"3 Posting Date",O$9)</t>
  </si>
  <si>
    <t>=-NL("Sum","5802 Value Entry","151 Cost Amount (Expected)","41 Source Type",$C$5,"5 Source No.",$C999,"4 Item Ledger Entry Type",$C$4,"2 Item No.","@@"&amp;$F999,"3 Posting Date",O$9)-NL("Sum","5802 Value Entry","43 Cost Amount (Actual)","41 Source Type",$C$5,"5 Source no.",$C999,"4 Item Ledger Entry Type",$C$4,"2 Item No.","@@"&amp;$F999,"3 Posting Date",O$9)</t>
  </si>
  <si>
    <t>=O999-Q999</t>
  </si>
  <si>
    <t>=IF(O999&lt;&gt;0,R999/O999,"")</t>
  </si>
  <si>
    <t>=NL("Sum","5802 Value Entry","150 Sales Amount (Expected)","41 Source Type",$C$5,"5 Source No.",$C999,"4 Item Ledger Entry Type",$C$4,"2 Item No.","@@"&amp;$F999,"3 Posting Date",U$9)+NL("Sum","5802 Value Entry","17 Sales Amount (Actual)","41 Source Type",$C$5,"5 Source no.",$C999,"4 Item Ledger Entry Type",$C$4,"2 Item No.","@@"&amp;$F999,"3 Posting Date",U$9)</t>
  </si>
  <si>
    <t>=-NL("Sum","5802 Value Entry","151 Cost Amount (Expected)","41 Source Type",$C$5,"5 Source No.",$C999,"4 Item Ledger Entry Type",$C$4,"2 Item No.","@@"&amp;$F999,"3 Posting Date",U$9)-NL("Sum","5802 Value Entry","43 Cost Amount (Actual)","41 Source Type",$C$5,"5 Source no.",$C999,"4 Item Ledger Entry Type",$C$4,"2 Item No.","@@"&amp;$F999,"3 Posting Date",U$9)</t>
  </si>
  <si>
    <t>=U999-W999</t>
  </si>
  <si>
    <t>=IF(U999&lt;&gt;0,X999/U999,"")</t>
  </si>
  <si>
    <t>=NL("Sum","5802 Value Entry","150 Sales Amount (Expected)","41 Source Type",$C$5,"5 Source No.",$C999,"4 Item Ledger Entry Type",$C$4,"2 Item No.","@@"&amp;$F999,"3 Posting Date",Z$9)+NL("Sum","5802 Value Entry","17 Sales Amount (Actual)","41 Source Type",$C$5,"5 Source no.",$C999,"4 Item Ledger Entry Type",$C$4,"2 Item No.","@@"&amp;$F999,"3 Posting Date",Z$9)</t>
  </si>
  <si>
    <t>=-NL("Sum","5802 Value Entry","151 Cost Amount (Expected)","41 Source Type",$C$5,"5 Source No.",$C999,"4 Item Ledger Entry Type",$C$4,"2 Item No.","@@"&amp;$F999,"3 Posting Date",Z$9)-NL("Sum","5802 Value Entry","43 Cost Amount (Actual)","41 Source Type",$C$5,"5 Source no.",$C999,"4 Item Ledger Entry Type",$C$4,"2 Item No.","@@"&amp;$F999,"3 Posting Date",Z$9)</t>
  </si>
  <si>
    <t>=Z999-AB999</t>
  </si>
  <si>
    <t>=IF(Z999&lt;&gt;0,AC999/Z999,"")</t>
  </si>
  <si>
    <t>=C999</t>
  </si>
  <si>
    <t>=NL("Sum","5802 Value Entry","150 Sales Amount (Expected)","41 Source Type",$C$5,"5 Source No.",$C1000,"4 Item Ledger Entry Type",$C$4,"2 Item No.","@@"&amp;$F1000,"3 Posting Date",J$9)+NL("Sum","5802 Value Entry","17 Sales Amount (Actual)","41 Source Type",$C$5,"5 Source no.",$C1000,"4 Item Ledger Entry Type",$C$4,"2 Item No.","@@"&amp;$F1000,"3 Posting Date",J$9)</t>
  </si>
  <si>
    <t>=-NL("Sum","5802 Value Entry","151 Cost Amount (Expected)","41 Source Type",$C$5,"5 Source No.",$C1000,"4 Item Ledger Entry Type",$C$4,"2 Item No.","@@"&amp;$F1000,"3 Posting Date",J$9)-NL("Sum","5802 Value Entry","43 Cost Amount (Actual)","41 Source Type",$C$5,"5 Source no.",$C1000,"4 Item Ledger Entry Type",$C$4,"2 Item No.","@@"&amp;$F1000,"3 Posting Date",J$9)</t>
  </si>
  <si>
    <t>=J1000-L1000</t>
  </si>
  <si>
    <t>=IF(J1000&lt;&gt;0,M1000/J1000,"")</t>
  </si>
  <si>
    <t>=NL("Sum","5802 Value Entry","150 Sales Amount (Expected)","41 Source Type",$C$5,"5 Source No.",$C1000,"4 Item Ledger Entry Type",$C$4,"2 Item No.","@@"&amp;$F1000,"3 Posting Date",O$9)+NL("Sum","5802 Value Entry","17 Sales Amount (Actual)","41 Source Type",$C$5,"5 Source no.",$C1000,"4 Item Ledger Entry Type",$C$4,"2 Item No.","@@"&amp;$F1000,"3 Posting Date",O$9)</t>
  </si>
  <si>
    <t>=-NL("Sum","5802 Value Entry","151 Cost Amount (Expected)","41 Source Type",$C$5,"5 Source No.",$C1000,"4 Item Ledger Entry Type",$C$4,"2 Item No.","@@"&amp;$F1000,"3 Posting Date",O$9)-NL("Sum","5802 Value Entry","43 Cost Amount (Actual)","41 Source Type",$C$5,"5 Source no.",$C1000,"4 Item Ledger Entry Type",$C$4,"2 Item No.","@@"&amp;$F1000,"3 Posting Date",O$9)</t>
  </si>
  <si>
    <t>=O1000-Q1000</t>
  </si>
  <si>
    <t>=IF(O1000&lt;&gt;0,R1000/O1000,"")</t>
  </si>
  <si>
    <t>=NL("Sum","5802 Value Entry","150 Sales Amount (Expected)","41 Source Type",$C$5,"5 Source No.",$C1000,"4 Item Ledger Entry Type",$C$4,"2 Item No.","@@"&amp;$F1000,"3 Posting Date",U$9)+NL("Sum","5802 Value Entry","17 Sales Amount (Actual)","41 Source Type",$C$5,"5 Source no.",$C1000,"4 Item Ledger Entry Type",$C$4,"2 Item No.","@@"&amp;$F1000,"3 Posting Date",U$9)</t>
  </si>
  <si>
    <t>=-NL("Sum","5802 Value Entry","151 Cost Amount (Expected)","41 Source Type",$C$5,"5 Source No.",$C1000,"4 Item Ledger Entry Type",$C$4,"2 Item No.","@@"&amp;$F1000,"3 Posting Date",U$9)-NL("Sum","5802 Value Entry","43 Cost Amount (Actual)","41 Source Type",$C$5,"5 Source no.",$C1000,"4 Item Ledger Entry Type",$C$4,"2 Item No.","@@"&amp;$F1000,"3 Posting Date",U$9)</t>
  </si>
  <si>
    <t>=U1000-W1000</t>
  </si>
  <si>
    <t>=IF(U1000&lt;&gt;0,X1000/U1000,"")</t>
  </si>
  <si>
    <t>=NL("Sum","5802 Value Entry","150 Sales Amount (Expected)","41 Source Type",$C$5,"5 Source No.",$C1000,"4 Item Ledger Entry Type",$C$4,"2 Item No.","@@"&amp;$F1000,"3 Posting Date",Z$9)+NL("Sum","5802 Value Entry","17 Sales Amount (Actual)","41 Source Type",$C$5,"5 Source no.",$C1000,"4 Item Ledger Entry Type",$C$4,"2 Item No.","@@"&amp;$F1000,"3 Posting Date",Z$9)</t>
  </si>
  <si>
    <t>=-NL("Sum","5802 Value Entry","151 Cost Amount (Expected)","41 Source Type",$C$5,"5 Source No.",$C1000,"4 Item Ledger Entry Type",$C$4,"2 Item No.","@@"&amp;$F1000,"3 Posting Date",Z$9)-NL("Sum","5802 Value Entry","43 Cost Amount (Actual)","41 Source Type",$C$5,"5 Source no.",$C1000,"4 Item Ledger Entry Type",$C$4,"2 Item No.","@@"&amp;$F1000,"3 Posting Date",Z$9)</t>
  </si>
  <si>
    <t>=Z1000-AB1000</t>
  </si>
  <si>
    <t>=IF(Z1000&lt;&gt;0,AC1000/Z1000,"")</t>
  </si>
  <si>
    <t>=C1000</t>
  </si>
  <si>
    <t>=NL("Sum","5802 Value Entry","150 Sales Amount (Expected)","41 Source Type",$C$5,"5 Source No.",$C1001,"4 Item Ledger Entry Type",$C$4,"2 Item No.","@@"&amp;$F1001,"3 Posting Date",J$9)+NL("Sum","5802 Value Entry","17 Sales Amount (Actual)","41 Source Type",$C$5,"5 Source no.",$C1001,"4 Item Ledger Entry Type",$C$4,"2 Item No.","@@"&amp;$F1001,"3 Posting Date",J$9)</t>
  </si>
  <si>
    <t>=-NL("Sum","5802 Value Entry","151 Cost Amount (Expected)","41 Source Type",$C$5,"5 Source No.",$C1001,"4 Item Ledger Entry Type",$C$4,"2 Item No.","@@"&amp;$F1001,"3 Posting Date",J$9)-NL("Sum","5802 Value Entry","43 Cost Amount (Actual)","41 Source Type",$C$5,"5 Source no.",$C1001,"4 Item Ledger Entry Type",$C$4,"2 Item No.","@@"&amp;$F1001,"3 Posting Date",J$9)</t>
  </si>
  <si>
    <t>=J1001-L1001</t>
  </si>
  <si>
    <t>=IF(J1001&lt;&gt;0,M1001/J1001,"")</t>
  </si>
  <si>
    <t>=NL("Sum","5802 Value Entry","150 Sales Amount (Expected)","41 Source Type",$C$5,"5 Source No.",$C1001,"4 Item Ledger Entry Type",$C$4,"2 Item No.","@@"&amp;$F1001,"3 Posting Date",O$9)+NL("Sum","5802 Value Entry","17 Sales Amount (Actual)","41 Source Type",$C$5,"5 Source no.",$C1001,"4 Item Ledger Entry Type",$C$4,"2 Item No.","@@"&amp;$F1001,"3 Posting Date",O$9)</t>
  </si>
  <si>
    <t>=-NL("Sum","5802 Value Entry","151 Cost Amount (Expected)","41 Source Type",$C$5,"5 Source No.",$C1001,"4 Item Ledger Entry Type",$C$4,"2 Item No.","@@"&amp;$F1001,"3 Posting Date",O$9)-NL("Sum","5802 Value Entry","43 Cost Amount (Actual)","41 Source Type",$C$5,"5 Source no.",$C1001,"4 Item Ledger Entry Type",$C$4,"2 Item No.","@@"&amp;$F1001,"3 Posting Date",O$9)</t>
  </si>
  <si>
    <t>=O1001-Q1001</t>
  </si>
  <si>
    <t>=IF(O1001&lt;&gt;0,R1001/O1001,"")</t>
  </si>
  <si>
    <t>=NL("Sum","5802 Value Entry","150 Sales Amount (Expected)","41 Source Type",$C$5,"5 Source No.",$C1001,"4 Item Ledger Entry Type",$C$4,"2 Item No.","@@"&amp;$F1001,"3 Posting Date",U$9)+NL("Sum","5802 Value Entry","17 Sales Amount (Actual)","41 Source Type",$C$5,"5 Source no.",$C1001,"4 Item Ledger Entry Type",$C$4,"2 Item No.","@@"&amp;$F1001,"3 Posting Date",U$9)</t>
  </si>
  <si>
    <t>=-NL("Sum","5802 Value Entry","151 Cost Amount (Expected)","41 Source Type",$C$5,"5 Source No.",$C1001,"4 Item Ledger Entry Type",$C$4,"2 Item No.","@@"&amp;$F1001,"3 Posting Date",U$9)-NL("Sum","5802 Value Entry","43 Cost Amount (Actual)","41 Source Type",$C$5,"5 Source no.",$C1001,"4 Item Ledger Entry Type",$C$4,"2 Item No.","@@"&amp;$F1001,"3 Posting Date",U$9)</t>
  </si>
  <si>
    <t>=U1001-W1001</t>
  </si>
  <si>
    <t>=IF(U1001&lt;&gt;0,X1001/U1001,"")</t>
  </si>
  <si>
    <t>=NL("Sum","5802 Value Entry","150 Sales Amount (Expected)","41 Source Type",$C$5,"5 Source No.",$C1001,"4 Item Ledger Entry Type",$C$4,"2 Item No.","@@"&amp;$F1001,"3 Posting Date",Z$9)+NL("Sum","5802 Value Entry","17 Sales Amount (Actual)","41 Source Type",$C$5,"5 Source no.",$C1001,"4 Item Ledger Entry Type",$C$4,"2 Item No.","@@"&amp;$F1001,"3 Posting Date",Z$9)</t>
  </si>
  <si>
    <t>=-NL("Sum","5802 Value Entry","151 Cost Amount (Expected)","41 Source Type",$C$5,"5 Source No.",$C1001,"4 Item Ledger Entry Type",$C$4,"2 Item No.","@@"&amp;$F1001,"3 Posting Date",Z$9)-NL("Sum","5802 Value Entry","43 Cost Amount (Actual)","41 Source Type",$C$5,"5 Source no.",$C1001,"4 Item Ledger Entry Type",$C$4,"2 Item No.","@@"&amp;$F1001,"3 Posting Date",Z$9)</t>
  </si>
  <si>
    <t>=Z1001-AB1001</t>
  </si>
  <si>
    <t>=IF(Z1001&lt;&gt;0,AC1001/Z1001,"")</t>
  </si>
  <si>
    <t>=C1001</t>
  </si>
  <si>
    <t>=NL("Sum","5802 Value Entry","150 Sales Amount (Expected)","41 Source Type",$C$5,"5 Source No.",$C1002,"4 Item Ledger Entry Type",$C$4,"2 Item No.","@@"&amp;$F1002,"3 Posting Date",J$9)+NL("Sum","5802 Value Entry","17 Sales Amount (Actual)","41 Source Type",$C$5,"5 Source no.",$C1002,"4 Item Ledger Entry Type",$C$4,"2 Item No.","@@"&amp;$F1002,"3 Posting Date",J$9)</t>
  </si>
  <si>
    <t>=-NL("Sum","5802 Value Entry","151 Cost Amount (Expected)","41 Source Type",$C$5,"5 Source No.",$C1002,"4 Item Ledger Entry Type",$C$4,"2 Item No.","@@"&amp;$F1002,"3 Posting Date",J$9)-NL("Sum","5802 Value Entry","43 Cost Amount (Actual)","41 Source Type",$C$5,"5 Source no.",$C1002,"4 Item Ledger Entry Type",$C$4,"2 Item No.","@@"&amp;$F1002,"3 Posting Date",J$9)</t>
  </si>
  <si>
    <t>=J1002-L1002</t>
  </si>
  <si>
    <t>=IF(J1002&lt;&gt;0,M1002/J1002,"")</t>
  </si>
  <si>
    <t>=NL("Sum","5802 Value Entry","150 Sales Amount (Expected)","41 Source Type",$C$5,"5 Source No.",$C1002,"4 Item Ledger Entry Type",$C$4,"2 Item No.","@@"&amp;$F1002,"3 Posting Date",O$9)+NL("Sum","5802 Value Entry","17 Sales Amount (Actual)","41 Source Type",$C$5,"5 Source no.",$C1002,"4 Item Ledger Entry Type",$C$4,"2 Item No.","@@"&amp;$F1002,"3 Posting Date",O$9)</t>
  </si>
  <si>
    <t>=-NL("Sum","5802 Value Entry","151 Cost Amount (Expected)","41 Source Type",$C$5,"5 Source No.",$C1002,"4 Item Ledger Entry Type",$C$4,"2 Item No.","@@"&amp;$F1002,"3 Posting Date",O$9)-NL("Sum","5802 Value Entry","43 Cost Amount (Actual)","41 Source Type",$C$5,"5 Source no.",$C1002,"4 Item Ledger Entry Type",$C$4,"2 Item No.","@@"&amp;$F1002,"3 Posting Date",O$9)</t>
  </si>
  <si>
    <t>=O1002-Q1002</t>
  </si>
  <si>
    <t>=IF(O1002&lt;&gt;0,R1002/O1002,"")</t>
  </si>
  <si>
    <t>=NL("Sum","5802 Value Entry","150 Sales Amount (Expected)","41 Source Type",$C$5,"5 Source No.",$C1002,"4 Item Ledger Entry Type",$C$4,"2 Item No.","@@"&amp;$F1002,"3 Posting Date",U$9)+NL("Sum","5802 Value Entry","17 Sales Amount (Actual)","41 Source Type",$C$5,"5 Source no.",$C1002,"4 Item Ledger Entry Type",$C$4,"2 Item No.","@@"&amp;$F1002,"3 Posting Date",U$9)</t>
  </si>
  <si>
    <t>=-NL("Sum","5802 Value Entry","151 Cost Amount (Expected)","41 Source Type",$C$5,"5 Source No.",$C1002,"4 Item Ledger Entry Type",$C$4,"2 Item No.","@@"&amp;$F1002,"3 Posting Date",U$9)-NL("Sum","5802 Value Entry","43 Cost Amount (Actual)","41 Source Type",$C$5,"5 Source no.",$C1002,"4 Item Ledger Entry Type",$C$4,"2 Item No.","@@"&amp;$F1002,"3 Posting Date",U$9)</t>
  </si>
  <si>
    <t>=U1002-W1002</t>
  </si>
  <si>
    <t>=IF(U1002&lt;&gt;0,X1002/U1002,"")</t>
  </si>
  <si>
    <t>=NL("Sum","5802 Value Entry","150 Sales Amount (Expected)","41 Source Type",$C$5,"5 Source No.",$C1002,"4 Item Ledger Entry Type",$C$4,"2 Item No.","@@"&amp;$F1002,"3 Posting Date",Z$9)+NL("Sum","5802 Value Entry","17 Sales Amount (Actual)","41 Source Type",$C$5,"5 Source no.",$C1002,"4 Item Ledger Entry Type",$C$4,"2 Item No.","@@"&amp;$F1002,"3 Posting Date",Z$9)</t>
  </si>
  <si>
    <t>=-NL("Sum","5802 Value Entry","151 Cost Amount (Expected)","41 Source Type",$C$5,"5 Source No.",$C1002,"4 Item Ledger Entry Type",$C$4,"2 Item No.","@@"&amp;$F1002,"3 Posting Date",Z$9)-NL("Sum","5802 Value Entry","43 Cost Amount (Actual)","41 Source Type",$C$5,"5 Source no.",$C1002,"4 Item Ledger Entry Type",$C$4,"2 Item No.","@@"&amp;$F1002,"3 Posting Date",Z$9)</t>
  </si>
  <si>
    <t>=Z1002-AB1002</t>
  </si>
  <si>
    <t>=IF(Z1002&lt;&gt;0,AC1002/Z1002,"")</t>
  </si>
  <si>
    <t>=C1002</t>
  </si>
  <si>
    <t>=NL("Sum","5802 Value Entry","150 Sales Amount (Expected)","41 Source Type",$C$5,"5 Source No.",$C1003,"4 Item Ledger Entry Type",$C$4,"2 Item No.","@@"&amp;$F1003,"3 Posting Date",J$9)+NL("Sum","5802 Value Entry","17 Sales Amount (Actual)","41 Source Type",$C$5,"5 Source no.",$C1003,"4 Item Ledger Entry Type",$C$4,"2 Item No.","@@"&amp;$F1003,"3 Posting Date",J$9)</t>
  </si>
  <si>
    <t>=-NL("Sum","5802 Value Entry","151 Cost Amount (Expected)","41 Source Type",$C$5,"5 Source No.",$C1003,"4 Item Ledger Entry Type",$C$4,"2 Item No.","@@"&amp;$F1003,"3 Posting Date",J$9)-NL("Sum","5802 Value Entry","43 Cost Amount (Actual)","41 Source Type",$C$5,"5 Source no.",$C1003,"4 Item Ledger Entry Type",$C$4,"2 Item No.","@@"&amp;$F1003,"3 Posting Date",J$9)</t>
  </si>
  <si>
    <t>=J1003-L1003</t>
  </si>
  <si>
    <t>=IF(J1003&lt;&gt;0,M1003/J1003,"")</t>
  </si>
  <si>
    <t>=NL("Sum","5802 Value Entry","150 Sales Amount (Expected)","41 Source Type",$C$5,"5 Source No.",$C1003,"4 Item Ledger Entry Type",$C$4,"2 Item No.","@@"&amp;$F1003,"3 Posting Date",O$9)+NL("Sum","5802 Value Entry","17 Sales Amount (Actual)","41 Source Type",$C$5,"5 Source no.",$C1003,"4 Item Ledger Entry Type",$C$4,"2 Item No.","@@"&amp;$F1003,"3 Posting Date",O$9)</t>
  </si>
  <si>
    <t>=-NL("Sum","5802 Value Entry","151 Cost Amount (Expected)","41 Source Type",$C$5,"5 Source No.",$C1003,"4 Item Ledger Entry Type",$C$4,"2 Item No.","@@"&amp;$F1003,"3 Posting Date",O$9)-NL("Sum","5802 Value Entry","43 Cost Amount (Actual)","41 Source Type",$C$5,"5 Source no.",$C1003,"4 Item Ledger Entry Type",$C$4,"2 Item No.","@@"&amp;$F1003,"3 Posting Date",O$9)</t>
  </si>
  <si>
    <t>=O1003-Q1003</t>
  </si>
  <si>
    <t>=IF(O1003&lt;&gt;0,R1003/O1003,"")</t>
  </si>
  <si>
    <t>=NL("Sum","5802 Value Entry","150 Sales Amount (Expected)","41 Source Type",$C$5,"5 Source No.",$C1003,"4 Item Ledger Entry Type",$C$4,"2 Item No.","@@"&amp;$F1003,"3 Posting Date",U$9)+NL("Sum","5802 Value Entry","17 Sales Amount (Actual)","41 Source Type",$C$5,"5 Source no.",$C1003,"4 Item Ledger Entry Type",$C$4,"2 Item No.","@@"&amp;$F1003,"3 Posting Date",U$9)</t>
  </si>
  <si>
    <t>=-NL("Sum","5802 Value Entry","151 Cost Amount (Expected)","41 Source Type",$C$5,"5 Source No.",$C1003,"4 Item Ledger Entry Type",$C$4,"2 Item No.","@@"&amp;$F1003,"3 Posting Date",U$9)-NL("Sum","5802 Value Entry","43 Cost Amount (Actual)","41 Source Type",$C$5,"5 Source no.",$C1003,"4 Item Ledger Entry Type",$C$4,"2 Item No.","@@"&amp;$F1003,"3 Posting Date",U$9)</t>
  </si>
  <si>
    <t>=U1003-W1003</t>
  </si>
  <si>
    <t>=IF(U1003&lt;&gt;0,X1003/U1003,"")</t>
  </si>
  <si>
    <t>=NL("Sum","5802 Value Entry","150 Sales Amount (Expected)","41 Source Type",$C$5,"5 Source No.",$C1003,"4 Item Ledger Entry Type",$C$4,"2 Item No.","@@"&amp;$F1003,"3 Posting Date",Z$9)+NL("Sum","5802 Value Entry","17 Sales Amount (Actual)","41 Source Type",$C$5,"5 Source no.",$C1003,"4 Item Ledger Entry Type",$C$4,"2 Item No.","@@"&amp;$F1003,"3 Posting Date",Z$9)</t>
  </si>
  <si>
    <t>=-NL("Sum","5802 Value Entry","151 Cost Amount (Expected)","41 Source Type",$C$5,"5 Source No.",$C1003,"4 Item Ledger Entry Type",$C$4,"2 Item No.","@@"&amp;$F1003,"3 Posting Date",Z$9)-NL("Sum","5802 Value Entry","43 Cost Amount (Actual)","41 Source Type",$C$5,"5 Source no.",$C1003,"4 Item Ledger Entry Type",$C$4,"2 Item No.","@@"&amp;$F1003,"3 Posting Date",Z$9)</t>
  </si>
  <si>
    <t>=Z1003-AB1003</t>
  </si>
  <si>
    <t>=IF(Z1003&lt;&gt;0,AC1003/Z1003,"")</t>
  </si>
  <si>
    <t>=C1003</t>
  </si>
  <si>
    <t>=NL("Sum","5802 Value Entry","150 Sales Amount (Expected)","41 Source Type",$C$5,"5 Source No.",$C1004,"4 Item Ledger Entry Type",$C$4,"2 Item No.","@@"&amp;$F1004,"3 Posting Date",J$9)+NL("Sum","5802 Value Entry","17 Sales Amount (Actual)","41 Source Type",$C$5,"5 Source no.",$C1004,"4 Item Ledger Entry Type",$C$4,"2 Item No.","@@"&amp;$F1004,"3 Posting Date",J$9)</t>
  </si>
  <si>
    <t>=-NL("Sum","5802 Value Entry","151 Cost Amount (Expected)","41 Source Type",$C$5,"5 Source No.",$C1004,"4 Item Ledger Entry Type",$C$4,"2 Item No.","@@"&amp;$F1004,"3 Posting Date",J$9)-NL("Sum","5802 Value Entry","43 Cost Amount (Actual)","41 Source Type",$C$5,"5 Source no.",$C1004,"4 Item Ledger Entry Type",$C$4,"2 Item No.","@@"&amp;$F1004,"3 Posting Date",J$9)</t>
  </si>
  <si>
    <t>=J1004-L1004</t>
  </si>
  <si>
    <t>=IF(J1004&lt;&gt;0,M1004/J1004,"")</t>
  </si>
  <si>
    <t>=NL("Sum","5802 Value Entry","150 Sales Amount (Expected)","41 Source Type",$C$5,"5 Source No.",$C1004,"4 Item Ledger Entry Type",$C$4,"2 Item No.","@@"&amp;$F1004,"3 Posting Date",O$9)+NL("Sum","5802 Value Entry","17 Sales Amount (Actual)","41 Source Type",$C$5,"5 Source no.",$C1004,"4 Item Ledger Entry Type",$C$4,"2 Item No.","@@"&amp;$F1004,"3 Posting Date",O$9)</t>
  </si>
  <si>
    <t>=-NL("Sum","5802 Value Entry","151 Cost Amount (Expected)","41 Source Type",$C$5,"5 Source No.",$C1004,"4 Item Ledger Entry Type",$C$4,"2 Item No.","@@"&amp;$F1004,"3 Posting Date",O$9)-NL("Sum","5802 Value Entry","43 Cost Amount (Actual)","41 Source Type",$C$5,"5 Source no.",$C1004,"4 Item Ledger Entry Type",$C$4,"2 Item No.","@@"&amp;$F1004,"3 Posting Date",O$9)</t>
  </si>
  <si>
    <t>=O1004-Q1004</t>
  </si>
  <si>
    <t>=IF(O1004&lt;&gt;0,R1004/O1004,"")</t>
  </si>
  <si>
    <t>=NL("Sum","5802 Value Entry","150 Sales Amount (Expected)","41 Source Type",$C$5,"5 Source No.",$C1004,"4 Item Ledger Entry Type",$C$4,"2 Item No.","@@"&amp;$F1004,"3 Posting Date",U$9)+NL("Sum","5802 Value Entry","17 Sales Amount (Actual)","41 Source Type",$C$5,"5 Source no.",$C1004,"4 Item Ledger Entry Type",$C$4,"2 Item No.","@@"&amp;$F1004,"3 Posting Date",U$9)</t>
  </si>
  <si>
    <t>=-NL("Sum","5802 Value Entry","151 Cost Amount (Expected)","41 Source Type",$C$5,"5 Source No.",$C1004,"4 Item Ledger Entry Type",$C$4,"2 Item No.","@@"&amp;$F1004,"3 Posting Date",U$9)-NL("Sum","5802 Value Entry","43 Cost Amount (Actual)","41 Source Type",$C$5,"5 Source no.",$C1004,"4 Item Ledger Entry Type",$C$4,"2 Item No.","@@"&amp;$F1004,"3 Posting Date",U$9)</t>
  </si>
  <si>
    <t>=U1004-W1004</t>
  </si>
  <si>
    <t>=IF(U1004&lt;&gt;0,X1004/U1004,"")</t>
  </si>
  <si>
    <t>=NL("Sum","5802 Value Entry","150 Sales Amount (Expected)","41 Source Type",$C$5,"5 Source No.",$C1004,"4 Item Ledger Entry Type",$C$4,"2 Item No.","@@"&amp;$F1004,"3 Posting Date",Z$9)+NL("Sum","5802 Value Entry","17 Sales Amount (Actual)","41 Source Type",$C$5,"5 Source no.",$C1004,"4 Item Ledger Entry Type",$C$4,"2 Item No.","@@"&amp;$F1004,"3 Posting Date",Z$9)</t>
  </si>
  <si>
    <t>=-NL("Sum","5802 Value Entry","151 Cost Amount (Expected)","41 Source Type",$C$5,"5 Source No.",$C1004,"4 Item Ledger Entry Type",$C$4,"2 Item No.","@@"&amp;$F1004,"3 Posting Date",Z$9)-NL("Sum","5802 Value Entry","43 Cost Amount (Actual)","41 Source Type",$C$5,"5 Source no.",$C1004,"4 Item Ledger Entry Type",$C$4,"2 Item No.","@@"&amp;$F1004,"3 Posting Date",Z$9)</t>
  </si>
  <si>
    <t>=Z1004-AB1004</t>
  </si>
  <si>
    <t>=IF(Z1004&lt;&gt;0,AC1004/Z1004,"")</t>
  </si>
  <si>
    <t>=C1005</t>
  </si>
  <si>
    <t>=J1006-L1006</t>
  </si>
  <si>
    <t>=IF(J1006&lt;&gt;0,M1006/J1006,"")</t>
  </si>
  <si>
    <t>=O1006-Q1006</t>
  </si>
  <si>
    <t>=IF(O1006&lt;&gt;0,R1006/O1006,"")</t>
  </si>
  <si>
    <t>=U1006-W1006</t>
  </si>
  <si>
    <t>=IF(U1006&lt;&gt;0,X1006/U1006,"")</t>
  </si>
  <si>
    <t>=Z1006-AB1006</t>
  </si>
  <si>
    <t>=IF(Z1006&lt;&gt;0,AC1006/Z1006,"")</t>
  </si>
  <si>
    <t>=C1008</t>
  </si>
  <si>
    <t>=C1009</t>
  </si>
  <si>
    <t>=NL("Sum","5802 Value Entry","150 Sales Amount (Expected)","41 Source Type",$C$5,"5 Source No.",$C1010,"4 Item Ledger Entry Type",$C$4,"2 Item No.","@@"&amp;$F1010,"3 Posting Date",J$9)+NL("Sum","5802 Value Entry","17 Sales Amount (Actual)","41 Source Type",$C$5,"5 Source no.",$C1010,"4 Item Ledger Entry Type",$C$4,"2 Item No.","@@"&amp;$F1010,"3 Posting Date",J$9)</t>
  </si>
  <si>
    <t>=-NL("Sum","5802 Value Entry","151 Cost Amount (Expected)","41 Source Type",$C$5,"5 Source No.",$C1010,"4 Item Ledger Entry Type",$C$4,"2 Item No.","@@"&amp;$F1010,"3 Posting Date",J$9)-NL("Sum","5802 Value Entry","43 Cost Amount (Actual)","41 Source Type",$C$5,"5 Source no.",$C1010,"4 Item Ledger Entry Type",$C$4,"2 Item No.","@@"&amp;$F1010,"3 Posting Date",J$9)</t>
  </si>
  <si>
    <t>=J1010-L1010</t>
  </si>
  <si>
    <t>=IF(J1010&lt;&gt;0,M1010/J1010,"")</t>
  </si>
  <si>
    <t>=NL("Sum","5802 Value Entry","150 Sales Amount (Expected)","41 Source Type",$C$5,"5 Source No.",$C1010,"4 Item Ledger Entry Type",$C$4,"2 Item No.","@@"&amp;$F1010,"3 Posting Date",O$9)+NL("Sum","5802 Value Entry","17 Sales Amount (Actual)","41 Source Type",$C$5,"5 Source no.",$C1010,"4 Item Ledger Entry Type",$C$4,"2 Item No.","@@"&amp;$F1010,"3 Posting Date",O$9)</t>
  </si>
  <si>
    <t>=-NL("Sum","5802 Value Entry","151 Cost Amount (Expected)","41 Source Type",$C$5,"5 Source No.",$C1010,"4 Item Ledger Entry Type",$C$4,"2 Item No.","@@"&amp;$F1010,"3 Posting Date",O$9)-NL("Sum","5802 Value Entry","43 Cost Amount (Actual)","41 Source Type",$C$5,"5 Source no.",$C1010,"4 Item Ledger Entry Type",$C$4,"2 Item No.","@@"&amp;$F1010,"3 Posting Date",O$9)</t>
  </si>
  <si>
    <t>=O1010-Q1010</t>
  </si>
  <si>
    <t>=IF(O1010&lt;&gt;0,R1010/O1010,"")</t>
  </si>
  <si>
    <t>=NL("Sum","5802 Value Entry","150 Sales Amount (Expected)","41 Source Type",$C$5,"5 Source No.",$C1010,"4 Item Ledger Entry Type",$C$4,"2 Item No.","@@"&amp;$F1010,"3 Posting Date",U$9)+NL("Sum","5802 Value Entry","17 Sales Amount (Actual)","41 Source Type",$C$5,"5 Source no.",$C1010,"4 Item Ledger Entry Type",$C$4,"2 Item No.","@@"&amp;$F1010,"3 Posting Date",U$9)</t>
  </si>
  <si>
    <t>=-NL("Sum","5802 Value Entry","151 Cost Amount (Expected)","41 Source Type",$C$5,"5 Source No.",$C1010,"4 Item Ledger Entry Type",$C$4,"2 Item No.","@@"&amp;$F1010,"3 Posting Date",U$9)-NL("Sum","5802 Value Entry","43 Cost Amount (Actual)","41 Source Type",$C$5,"5 Source no.",$C1010,"4 Item Ledger Entry Type",$C$4,"2 Item No.","@@"&amp;$F1010,"3 Posting Date",U$9)</t>
  </si>
  <si>
    <t>=U1010-W1010</t>
  </si>
  <si>
    <t>=IF(U1010&lt;&gt;0,X1010/U1010,"")</t>
  </si>
  <si>
    <t>=NL("Sum","5802 Value Entry","150 Sales Amount (Expected)","41 Source Type",$C$5,"5 Source No.",$C1010,"4 Item Ledger Entry Type",$C$4,"2 Item No.","@@"&amp;$F1010,"3 Posting Date",Z$9)+NL("Sum","5802 Value Entry","17 Sales Amount (Actual)","41 Source Type",$C$5,"5 Source no.",$C1010,"4 Item Ledger Entry Type",$C$4,"2 Item No.","@@"&amp;$F1010,"3 Posting Date",Z$9)</t>
  </si>
  <si>
    <t>=-NL("Sum","5802 Value Entry","151 Cost Amount (Expected)","41 Source Type",$C$5,"5 Source No.",$C1010,"4 Item Ledger Entry Type",$C$4,"2 Item No.","@@"&amp;$F1010,"3 Posting Date",Z$9)-NL("Sum","5802 Value Entry","43 Cost Amount (Actual)","41 Source Type",$C$5,"5 Source no.",$C1010,"4 Item Ledger Entry Type",$C$4,"2 Item No.","@@"&amp;$F1010,"3 Posting Date",Z$9)</t>
  </si>
  <si>
    <t>=Z1010-AB1010</t>
  </si>
  <si>
    <t>=IF(Z1010&lt;&gt;0,AC1010/Z1010,"")</t>
  </si>
  <si>
    <t>=C1010</t>
  </si>
  <si>
    <t>=NL("Sum","5802 Value Entry","150 Sales Amount (Expected)","41 Source Type",$C$5,"5 Source No.",$C1011,"4 Item Ledger Entry Type",$C$4,"2 Item No.","@@"&amp;$F1011,"3 Posting Date",J$9)+NL("Sum","5802 Value Entry","17 Sales Amount (Actual)","41 Source Type",$C$5,"5 Source no.",$C1011,"4 Item Ledger Entry Type",$C$4,"2 Item No.","@@"&amp;$F1011,"3 Posting Date",J$9)</t>
  </si>
  <si>
    <t>=-NL("Sum","5802 Value Entry","151 Cost Amount (Expected)","41 Source Type",$C$5,"5 Source No.",$C1011,"4 Item Ledger Entry Type",$C$4,"2 Item No.","@@"&amp;$F1011,"3 Posting Date",J$9)-NL("Sum","5802 Value Entry","43 Cost Amount (Actual)","41 Source Type",$C$5,"5 Source no.",$C1011,"4 Item Ledger Entry Type",$C$4,"2 Item No.","@@"&amp;$F1011,"3 Posting Date",J$9)</t>
  </si>
  <si>
    <t>=J1011-L1011</t>
  </si>
  <si>
    <t>=IF(J1011&lt;&gt;0,M1011/J1011,"")</t>
  </si>
  <si>
    <t>=NL("Sum","5802 Value Entry","150 Sales Amount (Expected)","41 Source Type",$C$5,"5 Source No.",$C1011,"4 Item Ledger Entry Type",$C$4,"2 Item No.","@@"&amp;$F1011,"3 Posting Date",O$9)+NL("Sum","5802 Value Entry","17 Sales Amount (Actual)","41 Source Type",$C$5,"5 Source no.",$C1011,"4 Item Ledger Entry Type",$C$4,"2 Item No.","@@"&amp;$F1011,"3 Posting Date",O$9)</t>
  </si>
  <si>
    <t>=-NL("Sum","5802 Value Entry","151 Cost Amount (Expected)","41 Source Type",$C$5,"5 Source No.",$C1011,"4 Item Ledger Entry Type",$C$4,"2 Item No.","@@"&amp;$F1011,"3 Posting Date",O$9)-NL("Sum","5802 Value Entry","43 Cost Amount (Actual)","41 Source Type",$C$5,"5 Source no.",$C1011,"4 Item Ledger Entry Type",$C$4,"2 Item No.","@@"&amp;$F1011,"3 Posting Date",O$9)</t>
  </si>
  <si>
    <t>=O1011-Q1011</t>
  </si>
  <si>
    <t>=IF(O1011&lt;&gt;0,R1011/O1011,"")</t>
  </si>
  <si>
    <t>=NL("Sum","5802 Value Entry","150 Sales Amount (Expected)","41 Source Type",$C$5,"5 Source No.",$C1011,"4 Item Ledger Entry Type",$C$4,"2 Item No.","@@"&amp;$F1011,"3 Posting Date",U$9)+NL("Sum","5802 Value Entry","17 Sales Amount (Actual)","41 Source Type",$C$5,"5 Source no.",$C1011,"4 Item Ledger Entry Type",$C$4,"2 Item No.","@@"&amp;$F1011,"3 Posting Date",U$9)</t>
  </si>
  <si>
    <t>=-NL("Sum","5802 Value Entry","151 Cost Amount (Expected)","41 Source Type",$C$5,"5 Source No.",$C1011,"4 Item Ledger Entry Type",$C$4,"2 Item No.","@@"&amp;$F1011,"3 Posting Date",U$9)-NL("Sum","5802 Value Entry","43 Cost Amount (Actual)","41 Source Type",$C$5,"5 Source no.",$C1011,"4 Item Ledger Entry Type",$C$4,"2 Item No.","@@"&amp;$F1011,"3 Posting Date",U$9)</t>
  </si>
  <si>
    <t>=U1011-W1011</t>
  </si>
  <si>
    <t>=IF(U1011&lt;&gt;0,X1011/U1011,"")</t>
  </si>
  <si>
    <t>=NL("Sum","5802 Value Entry","150 Sales Amount (Expected)","41 Source Type",$C$5,"5 Source No.",$C1011,"4 Item Ledger Entry Type",$C$4,"2 Item No.","@@"&amp;$F1011,"3 Posting Date",Z$9)+NL("Sum","5802 Value Entry","17 Sales Amount (Actual)","41 Source Type",$C$5,"5 Source no.",$C1011,"4 Item Ledger Entry Type",$C$4,"2 Item No.","@@"&amp;$F1011,"3 Posting Date",Z$9)</t>
  </si>
  <si>
    <t>=-NL("Sum","5802 Value Entry","151 Cost Amount (Expected)","41 Source Type",$C$5,"5 Source No.",$C1011,"4 Item Ledger Entry Type",$C$4,"2 Item No.","@@"&amp;$F1011,"3 Posting Date",Z$9)-NL("Sum","5802 Value Entry","43 Cost Amount (Actual)","41 Source Type",$C$5,"5 Source no.",$C1011,"4 Item Ledger Entry Type",$C$4,"2 Item No.","@@"&amp;$F1011,"3 Posting Date",Z$9)</t>
  </si>
  <si>
    <t>=Z1011-AB1011</t>
  </si>
  <si>
    <t>=IF(Z1011&lt;&gt;0,AC1011/Z1011,"")</t>
  </si>
  <si>
    <t>=C1011</t>
  </si>
  <si>
    <t>=NL("Sum","5802 Value Entry","150 Sales Amount (Expected)","41 Source Type",$C$5,"5 Source No.",$C1012,"4 Item Ledger Entry Type",$C$4,"2 Item No.","@@"&amp;$F1012,"3 Posting Date",J$9)+NL("Sum","5802 Value Entry","17 Sales Amount (Actual)","41 Source Type",$C$5,"5 Source no.",$C1012,"4 Item Ledger Entry Type",$C$4,"2 Item No.","@@"&amp;$F1012,"3 Posting Date",J$9)</t>
  </si>
  <si>
    <t>=-NL("Sum","5802 Value Entry","151 Cost Amount (Expected)","41 Source Type",$C$5,"5 Source No.",$C1012,"4 Item Ledger Entry Type",$C$4,"2 Item No.","@@"&amp;$F1012,"3 Posting Date",J$9)-NL("Sum","5802 Value Entry","43 Cost Amount (Actual)","41 Source Type",$C$5,"5 Source no.",$C1012,"4 Item Ledger Entry Type",$C$4,"2 Item No.","@@"&amp;$F1012,"3 Posting Date",J$9)</t>
  </si>
  <si>
    <t>=J1012-L1012</t>
  </si>
  <si>
    <t>=IF(J1012&lt;&gt;0,M1012/J1012,"")</t>
  </si>
  <si>
    <t>=NL("Sum","5802 Value Entry","150 Sales Amount (Expected)","41 Source Type",$C$5,"5 Source No.",$C1012,"4 Item Ledger Entry Type",$C$4,"2 Item No.","@@"&amp;$F1012,"3 Posting Date",O$9)+NL("Sum","5802 Value Entry","17 Sales Amount (Actual)","41 Source Type",$C$5,"5 Source no.",$C1012,"4 Item Ledger Entry Type",$C$4,"2 Item No.","@@"&amp;$F1012,"3 Posting Date",O$9)</t>
  </si>
  <si>
    <t>=-NL("Sum","5802 Value Entry","151 Cost Amount (Expected)","41 Source Type",$C$5,"5 Source No.",$C1012,"4 Item Ledger Entry Type",$C$4,"2 Item No.","@@"&amp;$F1012,"3 Posting Date",O$9)-NL("Sum","5802 Value Entry","43 Cost Amount (Actual)","41 Source Type",$C$5,"5 Source no.",$C1012,"4 Item Ledger Entry Type",$C$4,"2 Item No.","@@"&amp;$F1012,"3 Posting Date",O$9)</t>
  </si>
  <si>
    <t>=O1012-Q1012</t>
  </si>
  <si>
    <t>=IF(O1012&lt;&gt;0,R1012/O1012,"")</t>
  </si>
  <si>
    <t>=NL("Sum","5802 Value Entry","150 Sales Amount (Expected)","41 Source Type",$C$5,"5 Source No.",$C1012,"4 Item Ledger Entry Type",$C$4,"2 Item No.","@@"&amp;$F1012,"3 Posting Date",U$9)+NL("Sum","5802 Value Entry","17 Sales Amount (Actual)","41 Source Type",$C$5,"5 Source no.",$C1012,"4 Item Ledger Entry Type",$C$4,"2 Item No.","@@"&amp;$F1012,"3 Posting Date",U$9)</t>
  </si>
  <si>
    <t>=-NL("Sum","5802 Value Entry","151 Cost Amount (Expected)","41 Source Type",$C$5,"5 Source No.",$C1012,"4 Item Ledger Entry Type",$C$4,"2 Item No.","@@"&amp;$F1012,"3 Posting Date",U$9)-NL("Sum","5802 Value Entry","43 Cost Amount (Actual)","41 Source Type",$C$5,"5 Source no.",$C1012,"4 Item Ledger Entry Type",$C$4,"2 Item No.","@@"&amp;$F1012,"3 Posting Date",U$9)</t>
  </si>
  <si>
    <t>=U1012-W1012</t>
  </si>
  <si>
    <t>=IF(U1012&lt;&gt;0,X1012/U1012,"")</t>
  </si>
  <si>
    <t>=NL("Sum","5802 Value Entry","150 Sales Amount (Expected)","41 Source Type",$C$5,"5 Source No.",$C1012,"4 Item Ledger Entry Type",$C$4,"2 Item No.","@@"&amp;$F1012,"3 Posting Date",Z$9)+NL("Sum","5802 Value Entry","17 Sales Amount (Actual)","41 Source Type",$C$5,"5 Source no.",$C1012,"4 Item Ledger Entry Type",$C$4,"2 Item No.","@@"&amp;$F1012,"3 Posting Date",Z$9)</t>
  </si>
  <si>
    <t>=-NL("Sum","5802 Value Entry","151 Cost Amount (Expected)","41 Source Type",$C$5,"5 Source No.",$C1012,"4 Item Ledger Entry Type",$C$4,"2 Item No.","@@"&amp;$F1012,"3 Posting Date",Z$9)-NL("Sum","5802 Value Entry","43 Cost Amount (Actual)","41 Source Type",$C$5,"5 Source no.",$C1012,"4 Item Ledger Entry Type",$C$4,"2 Item No.","@@"&amp;$F1012,"3 Posting Date",Z$9)</t>
  </si>
  <si>
    <t>=Z1012-AB1012</t>
  </si>
  <si>
    <t>=IF(Z1012&lt;&gt;0,AC1012/Z1012,"")</t>
  </si>
  <si>
    <t>=C1013</t>
  </si>
  <si>
    <t>=J1014-L1014</t>
  </si>
  <si>
    <t>=IF(J1014&lt;&gt;0,M1014/J1014,"")</t>
  </si>
  <si>
    <t>=O1014-Q1014</t>
  </si>
  <si>
    <t>=IF(O1014&lt;&gt;0,R1014/O1014,"")</t>
  </si>
  <si>
    <t>=U1014-W1014</t>
  </si>
  <si>
    <t>=IF(U1014&lt;&gt;0,X1014/U1014,"")</t>
  </si>
  <si>
    <t>=Z1014-AB1014</t>
  </si>
  <si>
    <t>=IF(Z1014&lt;&gt;0,AC1014/Z1014,"")</t>
  </si>
  <si>
    <t>=C1016</t>
  </si>
  <si>
    <t>=C1017</t>
  </si>
  <si>
    <t>=NL("Sum","5802 Value Entry","150 Sales Amount (Expected)","41 Source Type",$C$5,"5 Source No.",$C1018,"4 Item Ledger Entry Type",$C$4,"2 Item No.","@@"&amp;$F1018,"3 Posting Date",J$9)+NL("Sum","5802 Value Entry","17 Sales Amount (Actual)","41 Source Type",$C$5,"5 Source no.",$C1018,"4 Item Ledger Entry Type",$C$4,"2 Item No.","@@"&amp;$F1018,"3 Posting Date",J$9)</t>
  </si>
  <si>
    <t>=-NL("Sum","5802 Value Entry","151 Cost Amount (Expected)","41 Source Type",$C$5,"5 Source No.",$C1018,"4 Item Ledger Entry Type",$C$4,"2 Item No.","@@"&amp;$F1018,"3 Posting Date",J$9)-NL("Sum","5802 Value Entry","43 Cost Amount (Actual)","41 Source Type",$C$5,"5 Source no.",$C1018,"4 Item Ledger Entry Type",$C$4,"2 Item No.","@@"&amp;$F1018,"3 Posting Date",J$9)</t>
  </si>
  <si>
    <t>=J1018-L1018</t>
  </si>
  <si>
    <t>=IF(J1018&lt;&gt;0,M1018/J1018,"")</t>
  </si>
  <si>
    <t>=NL("Sum","5802 Value Entry","150 Sales Amount (Expected)","41 Source Type",$C$5,"5 Source No.",$C1018,"4 Item Ledger Entry Type",$C$4,"2 Item No.","@@"&amp;$F1018,"3 Posting Date",O$9)+NL("Sum","5802 Value Entry","17 Sales Amount (Actual)","41 Source Type",$C$5,"5 Source no.",$C1018,"4 Item Ledger Entry Type",$C$4,"2 Item No.","@@"&amp;$F1018,"3 Posting Date",O$9)</t>
  </si>
  <si>
    <t>=-NL("Sum","5802 Value Entry","151 Cost Amount (Expected)","41 Source Type",$C$5,"5 Source No.",$C1018,"4 Item Ledger Entry Type",$C$4,"2 Item No.","@@"&amp;$F1018,"3 Posting Date",O$9)-NL("Sum","5802 Value Entry","43 Cost Amount (Actual)","41 Source Type",$C$5,"5 Source no.",$C1018,"4 Item Ledger Entry Type",$C$4,"2 Item No.","@@"&amp;$F1018,"3 Posting Date",O$9)</t>
  </si>
  <si>
    <t>=O1018-Q1018</t>
  </si>
  <si>
    <t>=IF(O1018&lt;&gt;0,R1018/O1018,"")</t>
  </si>
  <si>
    <t>=NL("Sum","5802 Value Entry","150 Sales Amount (Expected)","41 Source Type",$C$5,"5 Source No.",$C1018,"4 Item Ledger Entry Type",$C$4,"2 Item No.","@@"&amp;$F1018,"3 Posting Date",U$9)+NL("Sum","5802 Value Entry","17 Sales Amount (Actual)","41 Source Type",$C$5,"5 Source no.",$C1018,"4 Item Ledger Entry Type",$C$4,"2 Item No.","@@"&amp;$F1018,"3 Posting Date",U$9)</t>
  </si>
  <si>
    <t>=-NL("Sum","5802 Value Entry","151 Cost Amount (Expected)","41 Source Type",$C$5,"5 Source No.",$C1018,"4 Item Ledger Entry Type",$C$4,"2 Item No.","@@"&amp;$F1018,"3 Posting Date",U$9)-NL("Sum","5802 Value Entry","43 Cost Amount (Actual)","41 Source Type",$C$5,"5 Source no.",$C1018,"4 Item Ledger Entry Type",$C$4,"2 Item No.","@@"&amp;$F1018,"3 Posting Date",U$9)</t>
  </si>
  <si>
    <t>=U1018-W1018</t>
  </si>
  <si>
    <t>=IF(U1018&lt;&gt;0,X1018/U1018,"")</t>
  </si>
  <si>
    <t>=NL("Sum","5802 Value Entry","150 Sales Amount (Expected)","41 Source Type",$C$5,"5 Source No.",$C1018,"4 Item Ledger Entry Type",$C$4,"2 Item No.","@@"&amp;$F1018,"3 Posting Date",Z$9)+NL("Sum","5802 Value Entry","17 Sales Amount (Actual)","41 Source Type",$C$5,"5 Source no.",$C1018,"4 Item Ledger Entry Type",$C$4,"2 Item No.","@@"&amp;$F1018,"3 Posting Date",Z$9)</t>
  </si>
  <si>
    <t>=-NL("Sum","5802 Value Entry","151 Cost Amount (Expected)","41 Source Type",$C$5,"5 Source No.",$C1018,"4 Item Ledger Entry Type",$C$4,"2 Item No.","@@"&amp;$F1018,"3 Posting Date",Z$9)-NL("Sum","5802 Value Entry","43 Cost Amount (Actual)","41 Source Type",$C$5,"5 Source no.",$C1018,"4 Item Ledger Entry Type",$C$4,"2 Item No.","@@"&amp;$F1018,"3 Posting Date",Z$9)</t>
  </si>
  <si>
    <t>=Z1018-AB1018</t>
  </si>
  <si>
    <t>=IF(Z1018&lt;&gt;0,AC1018/Z1018,"")</t>
  </si>
  <si>
    <t>=C1018</t>
  </si>
  <si>
    <t>=NL("Sum","5802 Value Entry","150 Sales Amount (Expected)","41 Source Type",$C$5,"5 Source No.",$C1019,"4 Item Ledger Entry Type",$C$4,"2 Item No.","@@"&amp;$F1019,"3 Posting Date",J$9)+NL("Sum","5802 Value Entry","17 Sales Amount (Actual)","41 Source Type",$C$5,"5 Source no.",$C1019,"4 Item Ledger Entry Type",$C$4,"2 Item No.","@@"&amp;$F1019,"3 Posting Date",J$9)</t>
  </si>
  <si>
    <t>=-NL("Sum","5802 Value Entry","151 Cost Amount (Expected)","41 Source Type",$C$5,"5 Source No.",$C1019,"4 Item Ledger Entry Type",$C$4,"2 Item No.","@@"&amp;$F1019,"3 Posting Date",J$9)-NL("Sum","5802 Value Entry","43 Cost Amount (Actual)","41 Source Type",$C$5,"5 Source no.",$C1019,"4 Item Ledger Entry Type",$C$4,"2 Item No.","@@"&amp;$F1019,"3 Posting Date",J$9)</t>
  </si>
  <si>
    <t>=J1019-L1019</t>
  </si>
  <si>
    <t>=IF(J1019&lt;&gt;0,M1019/J1019,"")</t>
  </si>
  <si>
    <t>=NL("Sum","5802 Value Entry","150 Sales Amount (Expected)","41 Source Type",$C$5,"5 Source No.",$C1019,"4 Item Ledger Entry Type",$C$4,"2 Item No.","@@"&amp;$F1019,"3 Posting Date",O$9)+NL("Sum","5802 Value Entry","17 Sales Amount (Actual)","41 Source Type",$C$5,"5 Source no.",$C1019,"4 Item Ledger Entry Type",$C$4,"2 Item No.","@@"&amp;$F1019,"3 Posting Date",O$9)</t>
  </si>
  <si>
    <t>=-NL("Sum","5802 Value Entry","151 Cost Amount (Expected)","41 Source Type",$C$5,"5 Source No.",$C1019,"4 Item Ledger Entry Type",$C$4,"2 Item No.","@@"&amp;$F1019,"3 Posting Date",O$9)-NL("Sum","5802 Value Entry","43 Cost Amount (Actual)","41 Source Type",$C$5,"5 Source no.",$C1019,"4 Item Ledger Entry Type",$C$4,"2 Item No.","@@"&amp;$F1019,"3 Posting Date",O$9)</t>
  </si>
  <si>
    <t>=O1019-Q1019</t>
  </si>
  <si>
    <t>=IF(O1019&lt;&gt;0,R1019/O1019,"")</t>
  </si>
  <si>
    <t>=NL("Sum","5802 Value Entry","150 Sales Amount (Expected)","41 Source Type",$C$5,"5 Source No.",$C1019,"4 Item Ledger Entry Type",$C$4,"2 Item No.","@@"&amp;$F1019,"3 Posting Date",U$9)+NL("Sum","5802 Value Entry","17 Sales Amount (Actual)","41 Source Type",$C$5,"5 Source no.",$C1019,"4 Item Ledger Entry Type",$C$4,"2 Item No.","@@"&amp;$F1019,"3 Posting Date",U$9)</t>
  </si>
  <si>
    <t>=-NL("Sum","5802 Value Entry","151 Cost Amount (Expected)","41 Source Type",$C$5,"5 Source No.",$C1019,"4 Item Ledger Entry Type",$C$4,"2 Item No.","@@"&amp;$F1019,"3 Posting Date",U$9)-NL("Sum","5802 Value Entry","43 Cost Amount (Actual)","41 Source Type",$C$5,"5 Source no.",$C1019,"4 Item Ledger Entry Type",$C$4,"2 Item No.","@@"&amp;$F1019,"3 Posting Date",U$9)</t>
  </si>
  <si>
    <t>=U1019-W1019</t>
  </si>
  <si>
    <t>=IF(U1019&lt;&gt;0,X1019/U1019,"")</t>
  </si>
  <si>
    <t>=NL("Sum","5802 Value Entry","150 Sales Amount (Expected)","41 Source Type",$C$5,"5 Source No.",$C1019,"4 Item Ledger Entry Type",$C$4,"2 Item No.","@@"&amp;$F1019,"3 Posting Date",Z$9)+NL("Sum","5802 Value Entry","17 Sales Amount (Actual)","41 Source Type",$C$5,"5 Source no.",$C1019,"4 Item Ledger Entry Type",$C$4,"2 Item No.","@@"&amp;$F1019,"3 Posting Date",Z$9)</t>
  </si>
  <si>
    <t>=-NL("Sum","5802 Value Entry","151 Cost Amount (Expected)","41 Source Type",$C$5,"5 Source No.",$C1019,"4 Item Ledger Entry Type",$C$4,"2 Item No.","@@"&amp;$F1019,"3 Posting Date",Z$9)-NL("Sum","5802 Value Entry","43 Cost Amount (Actual)","41 Source Type",$C$5,"5 Source no.",$C1019,"4 Item Ledger Entry Type",$C$4,"2 Item No.","@@"&amp;$F1019,"3 Posting Date",Z$9)</t>
  </si>
  <si>
    <t>=Z1019-AB1019</t>
  </si>
  <si>
    <t>=IF(Z1019&lt;&gt;0,AC1019/Z1019,"")</t>
  </si>
  <si>
    <t>=C1019</t>
  </si>
  <si>
    <t>=NL("Sum","5802 Value Entry","150 Sales Amount (Expected)","41 Source Type",$C$5,"5 Source No.",$C1020,"4 Item Ledger Entry Type",$C$4,"2 Item No.","@@"&amp;$F1020,"3 Posting Date",J$9)+NL("Sum","5802 Value Entry","17 Sales Amount (Actual)","41 Source Type",$C$5,"5 Source no.",$C1020,"4 Item Ledger Entry Type",$C$4,"2 Item No.","@@"&amp;$F1020,"3 Posting Date",J$9)</t>
  </si>
  <si>
    <t>=-NL("Sum","5802 Value Entry","151 Cost Amount (Expected)","41 Source Type",$C$5,"5 Source No.",$C1020,"4 Item Ledger Entry Type",$C$4,"2 Item No.","@@"&amp;$F1020,"3 Posting Date",J$9)-NL("Sum","5802 Value Entry","43 Cost Amount (Actual)","41 Source Type",$C$5,"5 Source no.",$C1020,"4 Item Ledger Entry Type",$C$4,"2 Item No.","@@"&amp;$F1020,"3 Posting Date",J$9)</t>
  </si>
  <si>
    <t>=J1020-L1020</t>
  </si>
  <si>
    <t>=IF(J1020&lt;&gt;0,M1020/J1020,"")</t>
  </si>
  <si>
    <t>=NL("Sum","5802 Value Entry","150 Sales Amount (Expected)","41 Source Type",$C$5,"5 Source No.",$C1020,"4 Item Ledger Entry Type",$C$4,"2 Item No.","@@"&amp;$F1020,"3 Posting Date",O$9)+NL("Sum","5802 Value Entry","17 Sales Amount (Actual)","41 Source Type",$C$5,"5 Source no.",$C1020,"4 Item Ledger Entry Type",$C$4,"2 Item No.","@@"&amp;$F1020,"3 Posting Date",O$9)</t>
  </si>
  <si>
    <t>=-NL("Sum","5802 Value Entry","151 Cost Amount (Expected)","41 Source Type",$C$5,"5 Source No.",$C1020,"4 Item Ledger Entry Type",$C$4,"2 Item No.","@@"&amp;$F1020,"3 Posting Date",O$9)-NL("Sum","5802 Value Entry","43 Cost Amount (Actual)","41 Source Type",$C$5,"5 Source no.",$C1020,"4 Item Ledger Entry Type",$C$4,"2 Item No.","@@"&amp;$F1020,"3 Posting Date",O$9)</t>
  </si>
  <si>
    <t>=O1020-Q1020</t>
  </si>
  <si>
    <t>=IF(O1020&lt;&gt;0,R1020/O1020,"")</t>
  </si>
  <si>
    <t>=NL("Sum","5802 Value Entry","150 Sales Amount (Expected)","41 Source Type",$C$5,"5 Source No.",$C1020,"4 Item Ledger Entry Type",$C$4,"2 Item No.","@@"&amp;$F1020,"3 Posting Date",U$9)+NL("Sum","5802 Value Entry","17 Sales Amount (Actual)","41 Source Type",$C$5,"5 Source no.",$C1020,"4 Item Ledger Entry Type",$C$4,"2 Item No.","@@"&amp;$F1020,"3 Posting Date",U$9)</t>
  </si>
  <si>
    <t>=-NL("Sum","5802 Value Entry","151 Cost Amount (Expected)","41 Source Type",$C$5,"5 Source No.",$C1020,"4 Item Ledger Entry Type",$C$4,"2 Item No.","@@"&amp;$F1020,"3 Posting Date",U$9)-NL("Sum","5802 Value Entry","43 Cost Amount (Actual)","41 Source Type",$C$5,"5 Source no.",$C1020,"4 Item Ledger Entry Type",$C$4,"2 Item No.","@@"&amp;$F1020,"3 Posting Date",U$9)</t>
  </si>
  <si>
    <t>=U1020-W1020</t>
  </si>
  <si>
    <t>=IF(U1020&lt;&gt;0,X1020/U1020,"")</t>
  </si>
  <si>
    <t>=NL("Sum","5802 Value Entry","150 Sales Amount (Expected)","41 Source Type",$C$5,"5 Source No.",$C1020,"4 Item Ledger Entry Type",$C$4,"2 Item No.","@@"&amp;$F1020,"3 Posting Date",Z$9)+NL("Sum","5802 Value Entry","17 Sales Amount (Actual)","41 Source Type",$C$5,"5 Source no.",$C1020,"4 Item Ledger Entry Type",$C$4,"2 Item No.","@@"&amp;$F1020,"3 Posting Date",Z$9)</t>
  </si>
  <si>
    <t>=-NL("Sum","5802 Value Entry","151 Cost Amount (Expected)","41 Source Type",$C$5,"5 Source No.",$C1020,"4 Item Ledger Entry Type",$C$4,"2 Item No.","@@"&amp;$F1020,"3 Posting Date",Z$9)-NL("Sum","5802 Value Entry","43 Cost Amount (Actual)","41 Source Type",$C$5,"5 Source no.",$C1020,"4 Item Ledger Entry Type",$C$4,"2 Item No.","@@"&amp;$F1020,"3 Posting Date",Z$9)</t>
  </si>
  <si>
    <t>=Z1020-AB1020</t>
  </si>
  <si>
    <t>=IF(Z1020&lt;&gt;0,AC1020/Z1020,"")</t>
  </si>
  <si>
    <t>=C1020</t>
  </si>
  <si>
    <t>=NL("Sum","5802 Value Entry","150 Sales Amount (Expected)","41 Source Type",$C$5,"5 Source No.",$C1021,"4 Item Ledger Entry Type",$C$4,"2 Item No.","@@"&amp;$F1021,"3 Posting Date",J$9)+NL("Sum","5802 Value Entry","17 Sales Amount (Actual)","41 Source Type",$C$5,"5 Source no.",$C1021,"4 Item Ledger Entry Type",$C$4,"2 Item No.","@@"&amp;$F1021,"3 Posting Date",J$9)</t>
  </si>
  <si>
    <t>=-NL("Sum","5802 Value Entry","151 Cost Amount (Expected)","41 Source Type",$C$5,"5 Source No.",$C1021,"4 Item Ledger Entry Type",$C$4,"2 Item No.","@@"&amp;$F1021,"3 Posting Date",J$9)-NL("Sum","5802 Value Entry","43 Cost Amount (Actual)","41 Source Type",$C$5,"5 Source no.",$C1021,"4 Item Ledger Entry Type",$C$4,"2 Item No.","@@"&amp;$F1021,"3 Posting Date",J$9)</t>
  </si>
  <si>
    <t>=J1021-L1021</t>
  </si>
  <si>
    <t>=IF(J1021&lt;&gt;0,M1021/J1021,"")</t>
  </si>
  <si>
    <t>=NL("Sum","5802 Value Entry","150 Sales Amount (Expected)","41 Source Type",$C$5,"5 Source No.",$C1021,"4 Item Ledger Entry Type",$C$4,"2 Item No.","@@"&amp;$F1021,"3 Posting Date",O$9)+NL("Sum","5802 Value Entry","17 Sales Amount (Actual)","41 Source Type",$C$5,"5 Source no.",$C1021,"4 Item Ledger Entry Type",$C$4,"2 Item No.","@@"&amp;$F1021,"3 Posting Date",O$9)</t>
  </si>
  <si>
    <t>=-NL("Sum","5802 Value Entry","151 Cost Amount (Expected)","41 Source Type",$C$5,"5 Source No.",$C1021,"4 Item Ledger Entry Type",$C$4,"2 Item No.","@@"&amp;$F1021,"3 Posting Date",O$9)-NL("Sum","5802 Value Entry","43 Cost Amount (Actual)","41 Source Type",$C$5,"5 Source no.",$C1021,"4 Item Ledger Entry Type",$C$4,"2 Item No.","@@"&amp;$F1021,"3 Posting Date",O$9)</t>
  </si>
  <si>
    <t>=O1021-Q1021</t>
  </si>
  <si>
    <t>=IF(O1021&lt;&gt;0,R1021/O1021,"")</t>
  </si>
  <si>
    <t>=NL("Sum","5802 Value Entry","150 Sales Amount (Expected)","41 Source Type",$C$5,"5 Source No.",$C1021,"4 Item Ledger Entry Type",$C$4,"2 Item No.","@@"&amp;$F1021,"3 Posting Date",U$9)+NL("Sum","5802 Value Entry","17 Sales Amount (Actual)","41 Source Type",$C$5,"5 Source no.",$C1021,"4 Item Ledger Entry Type",$C$4,"2 Item No.","@@"&amp;$F1021,"3 Posting Date",U$9)</t>
  </si>
  <si>
    <t>=-NL("Sum","5802 Value Entry","151 Cost Amount (Expected)","41 Source Type",$C$5,"5 Source No.",$C1021,"4 Item Ledger Entry Type",$C$4,"2 Item No.","@@"&amp;$F1021,"3 Posting Date",U$9)-NL("Sum","5802 Value Entry","43 Cost Amount (Actual)","41 Source Type",$C$5,"5 Source no.",$C1021,"4 Item Ledger Entry Type",$C$4,"2 Item No.","@@"&amp;$F1021,"3 Posting Date",U$9)</t>
  </si>
  <si>
    <t>=U1021-W1021</t>
  </si>
  <si>
    <t>=IF(U1021&lt;&gt;0,X1021/U1021,"")</t>
  </si>
  <si>
    <t>=NL("Sum","5802 Value Entry","150 Sales Amount (Expected)","41 Source Type",$C$5,"5 Source No.",$C1021,"4 Item Ledger Entry Type",$C$4,"2 Item No.","@@"&amp;$F1021,"3 Posting Date",Z$9)+NL("Sum","5802 Value Entry","17 Sales Amount (Actual)","41 Source Type",$C$5,"5 Source no.",$C1021,"4 Item Ledger Entry Type",$C$4,"2 Item No.","@@"&amp;$F1021,"3 Posting Date",Z$9)</t>
  </si>
  <si>
    <t>=-NL("Sum","5802 Value Entry","151 Cost Amount (Expected)","41 Source Type",$C$5,"5 Source No.",$C1021,"4 Item Ledger Entry Type",$C$4,"2 Item No.","@@"&amp;$F1021,"3 Posting Date",Z$9)-NL("Sum","5802 Value Entry","43 Cost Amount (Actual)","41 Source Type",$C$5,"5 Source no.",$C1021,"4 Item Ledger Entry Type",$C$4,"2 Item No.","@@"&amp;$F1021,"3 Posting Date",Z$9)</t>
  </si>
  <si>
    <t>=Z1021-AB1021</t>
  </si>
  <si>
    <t>=IF(Z1021&lt;&gt;0,AC1021/Z1021,"")</t>
  </si>
  <si>
    <t>=C1022</t>
  </si>
  <si>
    <t>=J1023-L1023</t>
  </si>
  <si>
    <t>=IF(J1023&lt;&gt;0,M1023/J1023,"")</t>
  </si>
  <si>
    <t>=O1023-Q1023</t>
  </si>
  <si>
    <t>=IF(O1023&lt;&gt;0,R1023/O1023,"")</t>
  </si>
  <si>
    <t>=U1023-W1023</t>
  </si>
  <si>
    <t>=IF(U1023&lt;&gt;0,X1023/U1023,"")</t>
  </si>
  <si>
    <t>=Z1023-AB1023</t>
  </si>
  <si>
    <t>=IF(Z1023&lt;&gt;0,AC1023/Z1023,"")</t>
  </si>
  <si>
    <t>="C100058"</t>
  </si>
  <si>
    <t>=C1025</t>
  </si>
  <si>
    <t>=C1026</t>
  </si>
  <si>
    <t>=NL("Sum","5802 Value Entry","150 Sales Amount (Expected)","41 Source Type",$C$5,"5 Source No.",$C1027,"4 Item Ledger Entry Type",$C$4,"2 Item No.","@@"&amp;$F1027,"3 Posting Date",J$9)+NL("Sum","5802 Value Entry","17 Sales Amount (Actual)","41 Source Type",$C$5,"5 Source no.",$C1027,"4 Item Ledger Entry Type",$C$4,"2 Item No.","@@"&amp;$F1027,"3 Posting Date",J$9)</t>
  </si>
  <si>
    <t>=-NL("Sum","5802 Value Entry","151 Cost Amount (Expected)","41 Source Type",$C$5,"5 Source No.",$C1027,"4 Item Ledger Entry Type",$C$4,"2 Item No.","@@"&amp;$F1027,"3 Posting Date",J$9)-NL("Sum","5802 Value Entry","43 Cost Amount (Actual)","41 Source Type",$C$5,"5 Source no.",$C1027,"4 Item Ledger Entry Type",$C$4,"2 Item No.","@@"&amp;$F1027,"3 Posting Date",J$9)</t>
  </si>
  <si>
    <t>=J1027-L1027</t>
  </si>
  <si>
    <t>=IF(J1027&lt;&gt;0,M1027/J1027,"")</t>
  </si>
  <si>
    <t>=NL("Sum","5802 Value Entry","150 Sales Amount (Expected)","41 Source Type",$C$5,"5 Source No.",$C1027,"4 Item Ledger Entry Type",$C$4,"2 Item No.","@@"&amp;$F1027,"3 Posting Date",O$9)+NL("Sum","5802 Value Entry","17 Sales Amount (Actual)","41 Source Type",$C$5,"5 Source no.",$C1027,"4 Item Ledger Entry Type",$C$4,"2 Item No.","@@"&amp;$F1027,"3 Posting Date",O$9)</t>
  </si>
  <si>
    <t>=-NL("Sum","5802 Value Entry","151 Cost Amount (Expected)","41 Source Type",$C$5,"5 Source No.",$C1027,"4 Item Ledger Entry Type",$C$4,"2 Item No.","@@"&amp;$F1027,"3 Posting Date",O$9)-NL("Sum","5802 Value Entry","43 Cost Amount (Actual)","41 Source Type",$C$5,"5 Source no.",$C1027,"4 Item Ledger Entry Type",$C$4,"2 Item No.","@@"&amp;$F1027,"3 Posting Date",O$9)</t>
  </si>
  <si>
    <t>=O1027-Q1027</t>
  </si>
  <si>
    <t>=IF(O1027&lt;&gt;0,R1027/O1027,"")</t>
  </si>
  <si>
    <t>=NL("Sum","5802 Value Entry","150 Sales Amount (Expected)","41 Source Type",$C$5,"5 Source No.",$C1027,"4 Item Ledger Entry Type",$C$4,"2 Item No.","@@"&amp;$F1027,"3 Posting Date",U$9)+NL("Sum","5802 Value Entry","17 Sales Amount (Actual)","41 Source Type",$C$5,"5 Source no.",$C1027,"4 Item Ledger Entry Type",$C$4,"2 Item No.","@@"&amp;$F1027,"3 Posting Date",U$9)</t>
  </si>
  <si>
    <t>=-NL("Sum","5802 Value Entry","151 Cost Amount (Expected)","41 Source Type",$C$5,"5 Source No.",$C1027,"4 Item Ledger Entry Type",$C$4,"2 Item No.","@@"&amp;$F1027,"3 Posting Date",U$9)-NL("Sum","5802 Value Entry","43 Cost Amount (Actual)","41 Source Type",$C$5,"5 Source no.",$C1027,"4 Item Ledger Entry Type",$C$4,"2 Item No.","@@"&amp;$F1027,"3 Posting Date",U$9)</t>
  </si>
  <si>
    <t>=U1027-W1027</t>
  </si>
  <si>
    <t>=IF(U1027&lt;&gt;0,X1027/U1027,"")</t>
  </si>
  <si>
    <t>=NL("Sum","5802 Value Entry","150 Sales Amount (Expected)","41 Source Type",$C$5,"5 Source No.",$C1027,"4 Item Ledger Entry Type",$C$4,"2 Item No.","@@"&amp;$F1027,"3 Posting Date",Z$9)+NL("Sum","5802 Value Entry","17 Sales Amount (Actual)","41 Source Type",$C$5,"5 Source no.",$C1027,"4 Item Ledger Entry Type",$C$4,"2 Item No.","@@"&amp;$F1027,"3 Posting Date",Z$9)</t>
  </si>
  <si>
    <t>=-NL("Sum","5802 Value Entry","151 Cost Amount (Expected)","41 Source Type",$C$5,"5 Source No.",$C1027,"4 Item Ledger Entry Type",$C$4,"2 Item No.","@@"&amp;$F1027,"3 Posting Date",Z$9)-NL("Sum","5802 Value Entry","43 Cost Amount (Actual)","41 Source Type",$C$5,"5 Source no.",$C1027,"4 Item Ledger Entry Type",$C$4,"2 Item No.","@@"&amp;$F1027,"3 Posting Date",Z$9)</t>
  </si>
  <si>
    <t>=Z1027-AB1027</t>
  </si>
  <si>
    <t>=IF(Z1027&lt;&gt;0,AC1027/Z1027,"")</t>
  </si>
  <si>
    <t>=C1027</t>
  </si>
  <si>
    <t>=NL("Sum","5802 Value Entry","150 Sales Amount (Expected)","41 Source Type",$C$5,"5 Source No.",$C1028,"4 Item Ledger Entry Type",$C$4,"2 Item No.","@@"&amp;$F1028,"3 Posting Date",J$9)+NL("Sum","5802 Value Entry","17 Sales Amount (Actual)","41 Source Type",$C$5,"5 Source no.",$C1028,"4 Item Ledger Entry Type",$C$4,"2 Item No.","@@"&amp;$F1028,"3 Posting Date",J$9)</t>
  </si>
  <si>
    <t>=-NL("Sum","5802 Value Entry","151 Cost Amount (Expected)","41 Source Type",$C$5,"5 Source No.",$C1028,"4 Item Ledger Entry Type",$C$4,"2 Item No.","@@"&amp;$F1028,"3 Posting Date",J$9)-NL("Sum","5802 Value Entry","43 Cost Amount (Actual)","41 Source Type",$C$5,"5 Source no.",$C1028,"4 Item Ledger Entry Type",$C$4,"2 Item No.","@@"&amp;$F1028,"3 Posting Date",J$9)</t>
  </si>
  <si>
    <t>=J1028-L1028</t>
  </si>
  <si>
    <t>=IF(J1028&lt;&gt;0,M1028/J1028,"")</t>
  </si>
  <si>
    <t>=NL("Sum","5802 Value Entry","150 Sales Amount (Expected)","41 Source Type",$C$5,"5 Source No.",$C1028,"4 Item Ledger Entry Type",$C$4,"2 Item No.","@@"&amp;$F1028,"3 Posting Date",O$9)+NL("Sum","5802 Value Entry","17 Sales Amount (Actual)","41 Source Type",$C$5,"5 Source no.",$C1028,"4 Item Ledger Entry Type",$C$4,"2 Item No.","@@"&amp;$F1028,"3 Posting Date",O$9)</t>
  </si>
  <si>
    <t>=-NL("Sum","5802 Value Entry","151 Cost Amount (Expected)","41 Source Type",$C$5,"5 Source No.",$C1028,"4 Item Ledger Entry Type",$C$4,"2 Item No.","@@"&amp;$F1028,"3 Posting Date",O$9)-NL("Sum","5802 Value Entry","43 Cost Amount (Actual)","41 Source Type",$C$5,"5 Source no.",$C1028,"4 Item Ledger Entry Type",$C$4,"2 Item No.","@@"&amp;$F1028,"3 Posting Date",O$9)</t>
  </si>
  <si>
    <t>=O1028-Q1028</t>
  </si>
  <si>
    <t>=IF(O1028&lt;&gt;0,R1028/O1028,"")</t>
  </si>
  <si>
    <t>=NL("Sum","5802 Value Entry","150 Sales Amount (Expected)","41 Source Type",$C$5,"5 Source No.",$C1028,"4 Item Ledger Entry Type",$C$4,"2 Item No.","@@"&amp;$F1028,"3 Posting Date",U$9)+NL("Sum","5802 Value Entry","17 Sales Amount (Actual)","41 Source Type",$C$5,"5 Source no.",$C1028,"4 Item Ledger Entry Type",$C$4,"2 Item No.","@@"&amp;$F1028,"3 Posting Date",U$9)</t>
  </si>
  <si>
    <t>=-NL("Sum","5802 Value Entry","151 Cost Amount (Expected)","41 Source Type",$C$5,"5 Source No.",$C1028,"4 Item Ledger Entry Type",$C$4,"2 Item No.","@@"&amp;$F1028,"3 Posting Date",U$9)-NL("Sum","5802 Value Entry","43 Cost Amount (Actual)","41 Source Type",$C$5,"5 Source no.",$C1028,"4 Item Ledger Entry Type",$C$4,"2 Item No.","@@"&amp;$F1028,"3 Posting Date",U$9)</t>
  </si>
  <si>
    <t>=U1028-W1028</t>
  </si>
  <si>
    <t>=IF(U1028&lt;&gt;0,X1028/U1028,"")</t>
  </si>
  <si>
    <t>=NL("Sum","5802 Value Entry","150 Sales Amount (Expected)","41 Source Type",$C$5,"5 Source No.",$C1028,"4 Item Ledger Entry Type",$C$4,"2 Item No.","@@"&amp;$F1028,"3 Posting Date",Z$9)+NL("Sum","5802 Value Entry","17 Sales Amount (Actual)","41 Source Type",$C$5,"5 Source no.",$C1028,"4 Item Ledger Entry Type",$C$4,"2 Item No.","@@"&amp;$F1028,"3 Posting Date",Z$9)</t>
  </si>
  <si>
    <t>=-NL("Sum","5802 Value Entry","151 Cost Amount (Expected)","41 Source Type",$C$5,"5 Source No.",$C1028,"4 Item Ledger Entry Type",$C$4,"2 Item No.","@@"&amp;$F1028,"3 Posting Date",Z$9)-NL("Sum","5802 Value Entry","43 Cost Amount (Actual)","41 Source Type",$C$5,"5 Source no.",$C1028,"4 Item Ledger Entry Type",$C$4,"2 Item No.","@@"&amp;$F1028,"3 Posting Date",Z$9)</t>
  </si>
  <si>
    <t>=Z1028-AB1028</t>
  </si>
  <si>
    <t>=IF(Z1028&lt;&gt;0,AC1028/Z1028,"")</t>
  </si>
  <si>
    <t>=C1028</t>
  </si>
  <si>
    <t>=NL("Sum","5802 Value Entry","150 Sales Amount (Expected)","41 Source Type",$C$5,"5 Source No.",$C1029,"4 Item Ledger Entry Type",$C$4,"2 Item No.","@@"&amp;$F1029,"3 Posting Date",J$9)+NL("Sum","5802 Value Entry","17 Sales Amount (Actual)","41 Source Type",$C$5,"5 Source no.",$C1029,"4 Item Ledger Entry Type",$C$4,"2 Item No.","@@"&amp;$F1029,"3 Posting Date",J$9)</t>
  </si>
  <si>
    <t>=-NL("Sum","5802 Value Entry","151 Cost Amount (Expected)","41 Source Type",$C$5,"5 Source No.",$C1029,"4 Item Ledger Entry Type",$C$4,"2 Item No.","@@"&amp;$F1029,"3 Posting Date",J$9)-NL("Sum","5802 Value Entry","43 Cost Amount (Actual)","41 Source Type",$C$5,"5 Source no.",$C1029,"4 Item Ledger Entry Type",$C$4,"2 Item No.","@@"&amp;$F1029,"3 Posting Date",J$9)</t>
  </si>
  <si>
    <t>=J1029-L1029</t>
  </si>
  <si>
    <t>=IF(J1029&lt;&gt;0,M1029/J1029,"")</t>
  </si>
  <si>
    <t>=NL("Sum","5802 Value Entry","150 Sales Amount (Expected)","41 Source Type",$C$5,"5 Source No.",$C1029,"4 Item Ledger Entry Type",$C$4,"2 Item No.","@@"&amp;$F1029,"3 Posting Date",O$9)+NL("Sum","5802 Value Entry","17 Sales Amount (Actual)","41 Source Type",$C$5,"5 Source no.",$C1029,"4 Item Ledger Entry Type",$C$4,"2 Item No.","@@"&amp;$F1029,"3 Posting Date",O$9)</t>
  </si>
  <si>
    <t>=-NL("Sum","5802 Value Entry","151 Cost Amount (Expected)","41 Source Type",$C$5,"5 Source No.",$C1029,"4 Item Ledger Entry Type",$C$4,"2 Item No.","@@"&amp;$F1029,"3 Posting Date",O$9)-NL("Sum","5802 Value Entry","43 Cost Amount (Actual)","41 Source Type",$C$5,"5 Source no.",$C1029,"4 Item Ledger Entry Type",$C$4,"2 Item No.","@@"&amp;$F1029,"3 Posting Date",O$9)</t>
  </si>
  <si>
    <t>=O1029-Q1029</t>
  </si>
  <si>
    <t>=IF(O1029&lt;&gt;0,R1029/O1029,"")</t>
  </si>
  <si>
    <t>=NL("Sum","5802 Value Entry","150 Sales Amount (Expected)","41 Source Type",$C$5,"5 Source No.",$C1029,"4 Item Ledger Entry Type",$C$4,"2 Item No.","@@"&amp;$F1029,"3 Posting Date",U$9)+NL("Sum","5802 Value Entry","17 Sales Amount (Actual)","41 Source Type",$C$5,"5 Source no.",$C1029,"4 Item Ledger Entry Type",$C$4,"2 Item No.","@@"&amp;$F1029,"3 Posting Date",U$9)</t>
  </si>
  <si>
    <t>=-NL("Sum","5802 Value Entry","151 Cost Amount (Expected)","41 Source Type",$C$5,"5 Source No.",$C1029,"4 Item Ledger Entry Type",$C$4,"2 Item No.","@@"&amp;$F1029,"3 Posting Date",U$9)-NL("Sum","5802 Value Entry","43 Cost Amount (Actual)","41 Source Type",$C$5,"5 Source no.",$C1029,"4 Item Ledger Entry Type",$C$4,"2 Item No.","@@"&amp;$F1029,"3 Posting Date",U$9)</t>
  </si>
  <si>
    <t>=U1029-W1029</t>
  </si>
  <si>
    <t>=IF(U1029&lt;&gt;0,X1029/U1029,"")</t>
  </si>
  <si>
    <t>=NL("Sum","5802 Value Entry","150 Sales Amount (Expected)","41 Source Type",$C$5,"5 Source No.",$C1029,"4 Item Ledger Entry Type",$C$4,"2 Item No.","@@"&amp;$F1029,"3 Posting Date",Z$9)+NL("Sum","5802 Value Entry","17 Sales Amount (Actual)","41 Source Type",$C$5,"5 Source no.",$C1029,"4 Item Ledger Entry Type",$C$4,"2 Item No.","@@"&amp;$F1029,"3 Posting Date",Z$9)</t>
  </si>
  <si>
    <t>=-NL("Sum","5802 Value Entry","151 Cost Amount (Expected)","41 Source Type",$C$5,"5 Source No.",$C1029,"4 Item Ledger Entry Type",$C$4,"2 Item No.","@@"&amp;$F1029,"3 Posting Date",Z$9)-NL("Sum","5802 Value Entry","43 Cost Amount (Actual)","41 Source Type",$C$5,"5 Source no.",$C1029,"4 Item Ledger Entry Type",$C$4,"2 Item No.","@@"&amp;$F1029,"3 Posting Date",Z$9)</t>
  </si>
  <si>
    <t>=Z1029-AB1029</t>
  </si>
  <si>
    <t>=IF(Z1029&lt;&gt;0,AC1029/Z1029,"")</t>
  </si>
  <si>
    <t>=C1029</t>
  </si>
  <si>
    <t>=NL("Sum","5802 Value Entry","150 Sales Amount (Expected)","41 Source Type",$C$5,"5 Source No.",$C1030,"4 Item Ledger Entry Type",$C$4,"2 Item No.","@@"&amp;$F1030,"3 Posting Date",J$9)+NL("Sum","5802 Value Entry","17 Sales Amount (Actual)","41 Source Type",$C$5,"5 Source no.",$C1030,"4 Item Ledger Entry Type",$C$4,"2 Item No.","@@"&amp;$F1030,"3 Posting Date",J$9)</t>
  </si>
  <si>
    <t>=-NL("Sum","5802 Value Entry","151 Cost Amount (Expected)","41 Source Type",$C$5,"5 Source No.",$C1030,"4 Item Ledger Entry Type",$C$4,"2 Item No.","@@"&amp;$F1030,"3 Posting Date",J$9)-NL("Sum","5802 Value Entry","43 Cost Amount (Actual)","41 Source Type",$C$5,"5 Source no.",$C1030,"4 Item Ledger Entry Type",$C$4,"2 Item No.","@@"&amp;$F1030,"3 Posting Date",J$9)</t>
  </si>
  <si>
    <t>=J1030-L1030</t>
  </si>
  <si>
    <t>=IF(J1030&lt;&gt;0,M1030/J1030,"")</t>
  </si>
  <si>
    <t>=NL("Sum","5802 Value Entry","150 Sales Amount (Expected)","41 Source Type",$C$5,"5 Source No.",$C1030,"4 Item Ledger Entry Type",$C$4,"2 Item No.","@@"&amp;$F1030,"3 Posting Date",O$9)+NL("Sum","5802 Value Entry","17 Sales Amount (Actual)","41 Source Type",$C$5,"5 Source no.",$C1030,"4 Item Ledger Entry Type",$C$4,"2 Item No.","@@"&amp;$F1030,"3 Posting Date",O$9)</t>
  </si>
  <si>
    <t>=-NL("Sum","5802 Value Entry","151 Cost Amount (Expected)","41 Source Type",$C$5,"5 Source No.",$C1030,"4 Item Ledger Entry Type",$C$4,"2 Item No.","@@"&amp;$F1030,"3 Posting Date",O$9)-NL("Sum","5802 Value Entry","43 Cost Amount (Actual)","41 Source Type",$C$5,"5 Source no.",$C1030,"4 Item Ledger Entry Type",$C$4,"2 Item No.","@@"&amp;$F1030,"3 Posting Date",O$9)</t>
  </si>
  <si>
    <t>=O1030-Q1030</t>
  </si>
  <si>
    <t>=IF(O1030&lt;&gt;0,R1030/O1030,"")</t>
  </si>
  <si>
    <t>=NL("Sum","5802 Value Entry","150 Sales Amount (Expected)","41 Source Type",$C$5,"5 Source No.",$C1030,"4 Item Ledger Entry Type",$C$4,"2 Item No.","@@"&amp;$F1030,"3 Posting Date",U$9)+NL("Sum","5802 Value Entry","17 Sales Amount (Actual)","41 Source Type",$C$5,"5 Source no.",$C1030,"4 Item Ledger Entry Type",$C$4,"2 Item No.","@@"&amp;$F1030,"3 Posting Date",U$9)</t>
  </si>
  <si>
    <t>=-NL("Sum","5802 Value Entry","151 Cost Amount (Expected)","41 Source Type",$C$5,"5 Source No.",$C1030,"4 Item Ledger Entry Type",$C$4,"2 Item No.","@@"&amp;$F1030,"3 Posting Date",U$9)-NL("Sum","5802 Value Entry","43 Cost Amount (Actual)","41 Source Type",$C$5,"5 Source no.",$C1030,"4 Item Ledger Entry Type",$C$4,"2 Item No.","@@"&amp;$F1030,"3 Posting Date",U$9)</t>
  </si>
  <si>
    <t>=U1030-W1030</t>
  </si>
  <si>
    <t>=IF(U1030&lt;&gt;0,X1030/U1030,"")</t>
  </si>
  <si>
    <t>=NL("Sum","5802 Value Entry","150 Sales Amount (Expected)","41 Source Type",$C$5,"5 Source No.",$C1030,"4 Item Ledger Entry Type",$C$4,"2 Item No.","@@"&amp;$F1030,"3 Posting Date",Z$9)+NL("Sum","5802 Value Entry","17 Sales Amount (Actual)","41 Source Type",$C$5,"5 Source no.",$C1030,"4 Item Ledger Entry Type",$C$4,"2 Item No.","@@"&amp;$F1030,"3 Posting Date",Z$9)</t>
  </si>
  <si>
    <t>=-NL("Sum","5802 Value Entry","151 Cost Amount (Expected)","41 Source Type",$C$5,"5 Source No.",$C1030,"4 Item Ledger Entry Type",$C$4,"2 Item No.","@@"&amp;$F1030,"3 Posting Date",Z$9)-NL("Sum","5802 Value Entry","43 Cost Amount (Actual)","41 Source Type",$C$5,"5 Source no.",$C1030,"4 Item Ledger Entry Type",$C$4,"2 Item No.","@@"&amp;$F1030,"3 Posting Date",Z$9)</t>
  </si>
  <si>
    <t>=Z1030-AB1030</t>
  </si>
  <si>
    <t>=IF(Z1030&lt;&gt;0,AC1030/Z1030,"")</t>
  </si>
  <si>
    <t>=C1030</t>
  </si>
  <si>
    <t>=NL("Sum","5802 Value Entry","150 Sales Amount (Expected)","41 Source Type",$C$5,"5 Source No.",$C1031,"4 Item Ledger Entry Type",$C$4,"2 Item No.","@@"&amp;$F1031,"3 Posting Date",J$9)+NL("Sum","5802 Value Entry","17 Sales Amount (Actual)","41 Source Type",$C$5,"5 Source no.",$C1031,"4 Item Ledger Entry Type",$C$4,"2 Item No.","@@"&amp;$F1031,"3 Posting Date",J$9)</t>
  </si>
  <si>
    <t>=-NL("Sum","5802 Value Entry","151 Cost Amount (Expected)","41 Source Type",$C$5,"5 Source No.",$C1031,"4 Item Ledger Entry Type",$C$4,"2 Item No.","@@"&amp;$F1031,"3 Posting Date",J$9)-NL("Sum","5802 Value Entry","43 Cost Amount (Actual)","41 Source Type",$C$5,"5 Source no.",$C1031,"4 Item Ledger Entry Type",$C$4,"2 Item No.","@@"&amp;$F1031,"3 Posting Date",J$9)</t>
  </si>
  <si>
    <t>=J1031-L1031</t>
  </si>
  <si>
    <t>=IF(J1031&lt;&gt;0,M1031/J1031,"")</t>
  </si>
  <si>
    <t>=NL("Sum","5802 Value Entry","150 Sales Amount (Expected)","41 Source Type",$C$5,"5 Source No.",$C1031,"4 Item Ledger Entry Type",$C$4,"2 Item No.","@@"&amp;$F1031,"3 Posting Date",O$9)+NL("Sum","5802 Value Entry","17 Sales Amount (Actual)","41 Source Type",$C$5,"5 Source no.",$C1031,"4 Item Ledger Entry Type",$C$4,"2 Item No.","@@"&amp;$F1031,"3 Posting Date",O$9)</t>
  </si>
  <si>
    <t>=-NL("Sum","5802 Value Entry","151 Cost Amount (Expected)","41 Source Type",$C$5,"5 Source No.",$C1031,"4 Item Ledger Entry Type",$C$4,"2 Item No.","@@"&amp;$F1031,"3 Posting Date",O$9)-NL("Sum","5802 Value Entry","43 Cost Amount (Actual)","41 Source Type",$C$5,"5 Source no.",$C1031,"4 Item Ledger Entry Type",$C$4,"2 Item No.","@@"&amp;$F1031,"3 Posting Date",O$9)</t>
  </si>
  <si>
    <t>=O1031-Q1031</t>
  </si>
  <si>
    <t>=IF(O1031&lt;&gt;0,R1031/O1031,"")</t>
  </si>
  <si>
    <t>=NL("Sum","5802 Value Entry","150 Sales Amount (Expected)","41 Source Type",$C$5,"5 Source No.",$C1031,"4 Item Ledger Entry Type",$C$4,"2 Item No.","@@"&amp;$F1031,"3 Posting Date",U$9)+NL("Sum","5802 Value Entry","17 Sales Amount (Actual)","41 Source Type",$C$5,"5 Source no.",$C1031,"4 Item Ledger Entry Type",$C$4,"2 Item No.","@@"&amp;$F1031,"3 Posting Date",U$9)</t>
  </si>
  <si>
    <t>=-NL("Sum","5802 Value Entry","151 Cost Amount (Expected)","41 Source Type",$C$5,"5 Source No.",$C1031,"4 Item Ledger Entry Type",$C$4,"2 Item No.","@@"&amp;$F1031,"3 Posting Date",U$9)-NL("Sum","5802 Value Entry","43 Cost Amount (Actual)","41 Source Type",$C$5,"5 Source no.",$C1031,"4 Item Ledger Entry Type",$C$4,"2 Item No.","@@"&amp;$F1031,"3 Posting Date",U$9)</t>
  </si>
  <si>
    <t>=U1031-W1031</t>
  </si>
  <si>
    <t>=IF(U1031&lt;&gt;0,X1031/U1031,"")</t>
  </si>
  <si>
    <t>=NL("Sum","5802 Value Entry","150 Sales Amount (Expected)","41 Source Type",$C$5,"5 Source No.",$C1031,"4 Item Ledger Entry Type",$C$4,"2 Item No.","@@"&amp;$F1031,"3 Posting Date",Z$9)+NL("Sum","5802 Value Entry","17 Sales Amount (Actual)","41 Source Type",$C$5,"5 Source no.",$C1031,"4 Item Ledger Entry Type",$C$4,"2 Item No.","@@"&amp;$F1031,"3 Posting Date",Z$9)</t>
  </si>
  <si>
    <t>=-NL("Sum","5802 Value Entry","151 Cost Amount (Expected)","41 Source Type",$C$5,"5 Source No.",$C1031,"4 Item Ledger Entry Type",$C$4,"2 Item No.","@@"&amp;$F1031,"3 Posting Date",Z$9)-NL("Sum","5802 Value Entry","43 Cost Amount (Actual)","41 Source Type",$C$5,"5 Source no.",$C1031,"4 Item Ledger Entry Type",$C$4,"2 Item No.","@@"&amp;$F1031,"3 Posting Date",Z$9)</t>
  </si>
  <si>
    <t>=Z1031-AB1031</t>
  </si>
  <si>
    <t>=IF(Z1031&lt;&gt;0,AC1031/Z1031,"")</t>
  </si>
  <si>
    <t>=C1031</t>
  </si>
  <si>
    <t>=NL("Sum","5802 Value Entry","150 Sales Amount (Expected)","41 Source Type",$C$5,"5 Source No.",$C1032,"4 Item Ledger Entry Type",$C$4,"2 Item No.","@@"&amp;$F1032,"3 Posting Date",J$9)+NL("Sum","5802 Value Entry","17 Sales Amount (Actual)","41 Source Type",$C$5,"5 Source no.",$C1032,"4 Item Ledger Entry Type",$C$4,"2 Item No.","@@"&amp;$F1032,"3 Posting Date",J$9)</t>
  </si>
  <si>
    <t>=-NL("Sum","5802 Value Entry","151 Cost Amount (Expected)","41 Source Type",$C$5,"5 Source No.",$C1032,"4 Item Ledger Entry Type",$C$4,"2 Item No.","@@"&amp;$F1032,"3 Posting Date",J$9)-NL("Sum","5802 Value Entry","43 Cost Amount (Actual)","41 Source Type",$C$5,"5 Source no.",$C1032,"4 Item Ledger Entry Type",$C$4,"2 Item No.","@@"&amp;$F1032,"3 Posting Date",J$9)</t>
  </si>
  <si>
    <t>=J1032-L1032</t>
  </si>
  <si>
    <t>=IF(J1032&lt;&gt;0,M1032/J1032,"")</t>
  </si>
  <si>
    <t>=NL("Sum","5802 Value Entry","150 Sales Amount (Expected)","41 Source Type",$C$5,"5 Source No.",$C1032,"4 Item Ledger Entry Type",$C$4,"2 Item No.","@@"&amp;$F1032,"3 Posting Date",O$9)+NL("Sum","5802 Value Entry","17 Sales Amount (Actual)","41 Source Type",$C$5,"5 Source no.",$C1032,"4 Item Ledger Entry Type",$C$4,"2 Item No.","@@"&amp;$F1032,"3 Posting Date",O$9)</t>
  </si>
  <si>
    <t>=-NL("Sum","5802 Value Entry","151 Cost Amount (Expected)","41 Source Type",$C$5,"5 Source No.",$C1032,"4 Item Ledger Entry Type",$C$4,"2 Item No.","@@"&amp;$F1032,"3 Posting Date",O$9)-NL("Sum","5802 Value Entry","43 Cost Amount (Actual)","41 Source Type",$C$5,"5 Source no.",$C1032,"4 Item Ledger Entry Type",$C$4,"2 Item No.","@@"&amp;$F1032,"3 Posting Date",O$9)</t>
  </si>
  <si>
    <t>=O1032-Q1032</t>
  </si>
  <si>
    <t>=IF(O1032&lt;&gt;0,R1032/O1032,"")</t>
  </si>
  <si>
    <t>=NL("Sum","5802 Value Entry","150 Sales Amount (Expected)","41 Source Type",$C$5,"5 Source No.",$C1032,"4 Item Ledger Entry Type",$C$4,"2 Item No.","@@"&amp;$F1032,"3 Posting Date",U$9)+NL("Sum","5802 Value Entry","17 Sales Amount (Actual)","41 Source Type",$C$5,"5 Source no.",$C1032,"4 Item Ledger Entry Type",$C$4,"2 Item No.","@@"&amp;$F1032,"3 Posting Date",U$9)</t>
  </si>
  <si>
    <t>=-NL("Sum","5802 Value Entry","151 Cost Amount (Expected)","41 Source Type",$C$5,"5 Source No.",$C1032,"4 Item Ledger Entry Type",$C$4,"2 Item No.","@@"&amp;$F1032,"3 Posting Date",U$9)-NL("Sum","5802 Value Entry","43 Cost Amount (Actual)","41 Source Type",$C$5,"5 Source no.",$C1032,"4 Item Ledger Entry Type",$C$4,"2 Item No.","@@"&amp;$F1032,"3 Posting Date",U$9)</t>
  </si>
  <si>
    <t>=U1032-W1032</t>
  </si>
  <si>
    <t>=IF(U1032&lt;&gt;0,X1032/U1032,"")</t>
  </si>
  <si>
    <t>=NL("Sum","5802 Value Entry","150 Sales Amount (Expected)","41 Source Type",$C$5,"5 Source No.",$C1032,"4 Item Ledger Entry Type",$C$4,"2 Item No.","@@"&amp;$F1032,"3 Posting Date",Z$9)+NL("Sum","5802 Value Entry","17 Sales Amount (Actual)","41 Source Type",$C$5,"5 Source no.",$C1032,"4 Item Ledger Entry Type",$C$4,"2 Item No.","@@"&amp;$F1032,"3 Posting Date",Z$9)</t>
  </si>
  <si>
    <t>=-NL("Sum","5802 Value Entry","151 Cost Amount (Expected)","41 Source Type",$C$5,"5 Source No.",$C1032,"4 Item Ledger Entry Type",$C$4,"2 Item No.","@@"&amp;$F1032,"3 Posting Date",Z$9)-NL("Sum","5802 Value Entry","43 Cost Amount (Actual)","41 Source Type",$C$5,"5 Source no.",$C1032,"4 Item Ledger Entry Type",$C$4,"2 Item No.","@@"&amp;$F1032,"3 Posting Date",Z$9)</t>
  </si>
  <si>
    <t>=Z1032-AB1032</t>
  </si>
  <si>
    <t>=IF(Z1032&lt;&gt;0,AC1032/Z1032,"")</t>
  </si>
  <si>
    <t>=C1032</t>
  </si>
  <si>
    <t>=NL("Sum","5802 Value Entry","150 Sales Amount (Expected)","41 Source Type",$C$5,"5 Source No.",$C1033,"4 Item Ledger Entry Type",$C$4,"2 Item No.","@@"&amp;$F1033,"3 Posting Date",J$9)+NL("Sum","5802 Value Entry","17 Sales Amount (Actual)","41 Source Type",$C$5,"5 Source no.",$C1033,"4 Item Ledger Entry Type",$C$4,"2 Item No.","@@"&amp;$F1033,"3 Posting Date",J$9)</t>
  </si>
  <si>
    <t>=-NL("Sum","5802 Value Entry","151 Cost Amount (Expected)","41 Source Type",$C$5,"5 Source No.",$C1033,"4 Item Ledger Entry Type",$C$4,"2 Item No.","@@"&amp;$F1033,"3 Posting Date",J$9)-NL("Sum","5802 Value Entry","43 Cost Amount (Actual)","41 Source Type",$C$5,"5 Source no.",$C1033,"4 Item Ledger Entry Type",$C$4,"2 Item No.","@@"&amp;$F1033,"3 Posting Date",J$9)</t>
  </si>
  <si>
    <t>=J1033-L1033</t>
  </si>
  <si>
    <t>=IF(J1033&lt;&gt;0,M1033/J1033,"")</t>
  </si>
  <si>
    <t>=NL("Sum","5802 Value Entry","150 Sales Amount (Expected)","41 Source Type",$C$5,"5 Source No.",$C1033,"4 Item Ledger Entry Type",$C$4,"2 Item No.","@@"&amp;$F1033,"3 Posting Date",O$9)+NL("Sum","5802 Value Entry","17 Sales Amount (Actual)","41 Source Type",$C$5,"5 Source no.",$C1033,"4 Item Ledger Entry Type",$C$4,"2 Item No.","@@"&amp;$F1033,"3 Posting Date",O$9)</t>
  </si>
  <si>
    <t>=-NL("Sum","5802 Value Entry","151 Cost Amount (Expected)","41 Source Type",$C$5,"5 Source No.",$C1033,"4 Item Ledger Entry Type",$C$4,"2 Item No.","@@"&amp;$F1033,"3 Posting Date",O$9)-NL("Sum","5802 Value Entry","43 Cost Amount (Actual)","41 Source Type",$C$5,"5 Source no.",$C1033,"4 Item Ledger Entry Type",$C$4,"2 Item No.","@@"&amp;$F1033,"3 Posting Date",O$9)</t>
  </si>
  <si>
    <t>=O1033-Q1033</t>
  </si>
  <si>
    <t>=IF(O1033&lt;&gt;0,R1033/O1033,"")</t>
  </si>
  <si>
    <t>=NL("Sum","5802 Value Entry","150 Sales Amount (Expected)","41 Source Type",$C$5,"5 Source No.",$C1033,"4 Item Ledger Entry Type",$C$4,"2 Item No.","@@"&amp;$F1033,"3 Posting Date",U$9)+NL("Sum","5802 Value Entry","17 Sales Amount (Actual)","41 Source Type",$C$5,"5 Source no.",$C1033,"4 Item Ledger Entry Type",$C$4,"2 Item No.","@@"&amp;$F1033,"3 Posting Date",U$9)</t>
  </si>
  <si>
    <t>=-NL("Sum","5802 Value Entry","151 Cost Amount (Expected)","41 Source Type",$C$5,"5 Source No.",$C1033,"4 Item Ledger Entry Type",$C$4,"2 Item No.","@@"&amp;$F1033,"3 Posting Date",U$9)-NL("Sum","5802 Value Entry","43 Cost Amount (Actual)","41 Source Type",$C$5,"5 Source no.",$C1033,"4 Item Ledger Entry Type",$C$4,"2 Item No.","@@"&amp;$F1033,"3 Posting Date",U$9)</t>
  </si>
  <si>
    <t>=U1033-W1033</t>
  </si>
  <si>
    <t>=IF(U1033&lt;&gt;0,X1033/U1033,"")</t>
  </si>
  <si>
    <t>=NL("Sum","5802 Value Entry","150 Sales Amount (Expected)","41 Source Type",$C$5,"5 Source No.",$C1033,"4 Item Ledger Entry Type",$C$4,"2 Item No.","@@"&amp;$F1033,"3 Posting Date",Z$9)+NL("Sum","5802 Value Entry","17 Sales Amount (Actual)","41 Source Type",$C$5,"5 Source no.",$C1033,"4 Item Ledger Entry Type",$C$4,"2 Item No.","@@"&amp;$F1033,"3 Posting Date",Z$9)</t>
  </si>
  <si>
    <t>=-NL("Sum","5802 Value Entry","151 Cost Amount (Expected)","41 Source Type",$C$5,"5 Source No.",$C1033,"4 Item Ledger Entry Type",$C$4,"2 Item No.","@@"&amp;$F1033,"3 Posting Date",Z$9)-NL("Sum","5802 Value Entry","43 Cost Amount (Actual)","41 Source Type",$C$5,"5 Source no.",$C1033,"4 Item Ledger Entry Type",$C$4,"2 Item No.","@@"&amp;$F1033,"3 Posting Date",Z$9)</t>
  </si>
  <si>
    <t>=Z1033-AB1033</t>
  </si>
  <si>
    <t>=IF(Z1033&lt;&gt;0,AC1033/Z1033,"")</t>
  </si>
  <si>
    <t>=C1033</t>
  </si>
  <si>
    <t>=NL("Sum","5802 Value Entry","150 Sales Amount (Expected)","41 Source Type",$C$5,"5 Source No.",$C1034,"4 Item Ledger Entry Type",$C$4,"2 Item No.","@@"&amp;$F1034,"3 Posting Date",J$9)+NL("Sum","5802 Value Entry","17 Sales Amount (Actual)","41 Source Type",$C$5,"5 Source no.",$C1034,"4 Item Ledger Entry Type",$C$4,"2 Item No.","@@"&amp;$F1034,"3 Posting Date",J$9)</t>
  </si>
  <si>
    <t>=-NL("Sum","5802 Value Entry","151 Cost Amount (Expected)","41 Source Type",$C$5,"5 Source No.",$C1034,"4 Item Ledger Entry Type",$C$4,"2 Item No.","@@"&amp;$F1034,"3 Posting Date",J$9)-NL("Sum","5802 Value Entry","43 Cost Amount (Actual)","41 Source Type",$C$5,"5 Source no.",$C1034,"4 Item Ledger Entry Type",$C$4,"2 Item No.","@@"&amp;$F1034,"3 Posting Date",J$9)</t>
  </si>
  <si>
    <t>=J1034-L1034</t>
  </si>
  <si>
    <t>=IF(J1034&lt;&gt;0,M1034/J1034,"")</t>
  </si>
  <si>
    <t>=NL("Sum","5802 Value Entry","150 Sales Amount (Expected)","41 Source Type",$C$5,"5 Source No.",$C1034,"4 Item Ledger Entry Type",$C$4,"2 Item No.","@@"&amp;$F1034,"3 Posting Date",O$9)+NL("Sum","5802 Value Entry","17 Sales Amount (Actual)","41 Source Type",$C$5,"5 Source no.",$C1034,"4 Item Ledger Entry Type",$C$4,"2 Item No.","@@"&amp;$F1034,"3 Posting Date",O$9)</t>
  </si>
  <si>
    <t>=-NL("Sum","5802 Value Entry","151 Cost Amount (Expected)","41 Source Type",$C$5,"5 Source No.",$C1034,"4 Item Ledger Entry Type",$C$4,"2 Item No.","@@"&amp;$F1034,"3 Posting Date",O$9)-NL("Sum","5802 Value Entry","43 Cost Amount (Actual)","41 Source Type",$C$5,"5 Source no.",$C1034,"4 Item Ledger Entry Type",$C$4,"2 Item No.","@@"&amp;$F1034,"3 Posting Date",O$9)</t>
  </si>
  <si>
    <t>=O1034-Q1034</t>
  </si>
  <si>
    <t>=IF(O1034&lt;&gt;0,R1034/O1034,"")</t>
  </si>
  <si>
    <t>=NL("Sum","5802 Value Entry","150 Sales Amount (Expected)","41 Source Type",$C$5,"5 Source No.",$C1034,"4 Item Ledger Entry Type",$C$4,"2 Item No.","@@"&amp;$F1034,"3 Posting Date",U$9)+NL("Sum","5802 Value Entry","17 Sales Amount (Actual)","41 Source Type",$C$5,"5 Source no.",$C1034,"4 Item Ledger Entry Type",$C$4,"2 Item No.","@@"&amp;$F1034,"3 Posting Date",U$9)</t>
  </si>
  <si>
    <t>=-NL("Sum","5802 Value Entry","151 Cost Amount (Expected)","41 Source Type",$C$5,"5 Source No.",$C1034,"4 Item Ledger Entry Type",$C$4,"2 Item No.","@@"&amp;$F1034,"3 Posting Date",U$9)-NL("Sum","5802 Value Entry","43 Cost Amount (Actual)","41 Source Type",$C$5,"5 Source no.",$C1034,"4 Item Ledger Entry Type",$C$4,"2 Item No.","@@"&amp;$F1034,"3 Posting Date",U$9)</t>
  </si>
  <si>
    <t>=U1034-W1034</t>
  </si>
  <si>
    <t>=IF(U1034&lt;&gt;0,X1034/U1034,"")</t>
  </si>
  <si>
    <t>=NL("Sum","5802 Value Entry","150 Sales Amount (Expected)","41 Source Type",$C$5,"5 Source No.",$C1034,"4 Item Ledger Entry Type",$C$4,"2 Item No.","@@"&amp;$F1034,"3 Posting Date",Z$9)+NL("Sum","5802 Value Entry","17 Sales Amount (Actual)","41 Source Type",$C$5,"5 Source no.",$C1034,"4 Item Ledger Entry Type",$C$4,"2 Item No.","@@"&amp;$F1034,"3 Posting Date",Z$9)</t>
  </si>
  <si>
    <t>=-NL("Sum","5802 Value Entry","151 Cost Amount (Expected)","41 Source Type",$C$5,"5 Source No.",$C1034,"4 Item Ledger Entry Type",$C$4,"2 Item No.","@@"&amp;$F1034,"3 Posting Date",Z$9)-NL("Sum","5802 Value Entry","43 Cost Amount (Actual)","41 Source Type",$C$5,"5 Source no.",$C1034,"4 Item Ledger Entry Type",$C$4,"2 Item No.","@@"&amp;$F1034,"3 Posting Date",Z$9)</t>
  </si>
  <si>
    <t>=Z1034-AB1034</t>
  </si>
  <si>
    <t>=IF(Z1034&lt;&gt;0,AC1034/Z1034,"")</t>
  </si>
  <si>
    <t>=C1034</t>
  </si>
  <si>
    <t>=NL("Sum","5802 Value Entry","150 Sales Amount (Expected)","41 Source Type",$C$5,"5 Source No.",$C1035,"4 Item Ledger Entry Type",$C$4,"2 Item No.","@@"&amp;$F1035,"3 Posting Date",J$9)+NL("Sum","5802 Value Entry","17 Sales Amount (Actual)","41 Source Type",$C$5,"5 Source no.",$C1035,"4 Item Ledger Entry Type",$C$4,"2 Item No.","@@"&amp;$F1035,"3 Posting Date",J$9)</t>
  </si>
  <si>
    <t>=-NL("Sum","5802 Value Entry","151 Cost Amount (Expected)","41 Source Type",$C$5,"5 Source No.",$C1035,"4 Item Ledger Entry Type",$C$4,"2 Item No.","@@"&amp;$F1035,"3 Posting Date",J$9)-NL("Sum","5802 Value Entry","43 Cost Amount (Actual)","41 Source Type",$C$5,"5 Source no.",$C1035,"4 Item Ledger Entry Type",$C$4,"2 Item No.","@@"&amp;$F1035,"3 Posting Date",J$9)</t>
  </si>
  <si>
    <t>=J1035-L1035</t>
  </si>
  <si>
    <t>=IF(J1035&lt;&gt;0,M1035/J1035,"")</t>
  </si>
  <si>
    <t>=NL("Sum","5802 Value Entry","150 Sales Amount (Expected)","41 Source Type",$C$5,"5 Source No.",$C1035,"4 Item Ledger Entry Type",$C$4,"2 Item No.","@@"&amp;$F1035,"3 Posting Date",O$9)+NL("Sum","5802 Value Entry","17 Sales Amount (Actual)","41 Source Type",$C$5,"5 Source no.",$C1035,"4 Item Ledger Entry Type",$C$4,"2 Item No.","@@"&amp;$F1035,"3 Posting Date",O$9)</t>
  </si>
  <si>
    <t>=-NL("Sum","5802 Value Entry","151 Cost Amount (Expected)","41 Source Type",$C$5,"5 Source No.",$C1035,"4 Item Ledger Entry Type",$C$4,"2 Item No.","@@"&amp;$F1035,"3 Posting Date",O$9)-NL("Sum","5802 Value Entry","43 Cost Amount (Actual)","41 Source Type",$C$5,"5 Source no.",$C1035,"4 Item Ledger Entry Type",$C$4,"2 Item No.","@@"&amp;$F1035,"3 Posting Date",O$9)</t>
  </si>
  <si>
    <t>=O1035-Q1035</t>
  </si>
  <si>
    <t>=IF(O1035&lt;&gt;0,R1035/O1035,"")</t>
  </si>
  <si>
    <t>=NL("Sum","5802 Value Entry","150 Sales Amount (Expected)","41 Source Type",$C$5,"5 Source No.",$C1035,"4 Item Ledger Entry Type",$C$4,"2 Item No.","@@"&amp;$F1035,"3 Posting Date",U$9)+NL("Sum","5802 Value Entry","17 Sales Amount (Actual)","41 Source Type",$C$5,"5 Source no.",$C1035,"4 Item Ledger Entry Type",$C$4,"2 Item No.","@@"&amp;$F1035,"3 Posting Date",U$9)</t>
  </si>
  <si>
    <t>=-NL("Sum","5802 Value Entry","151 Cost Amount (Expected)","41 Source Type",$C$5,"5 Source No.",$C1035,"4 Item Ledger Entry Type",$C$4,"2 Item No.","@@"&amp;$F1035,"3 Posting Date",U$9)-NL("Sum","5802 Value Entry","43 Cost Amount (Actual)","41 Source Type",$C$5,"5 Source no.",$C1035,"4 Item Ledger Entry Type",$C$4,"2 Item No.","@@"&amp;$F1035,"3 Posting Date",U$9)</t>
  </si>
  <si>
    <t>=U1035-W1035</t>
  </si>
  <si>
    <t>=IF(U1035&lt;&gt;0,X1035/U1035,"")</t>
  </si>
  <si>
    <t>=NL("Sum","5802 Value Entry","150 Sales Amount (Expected)","41 Source Type",$C$5,"5 Source No.",$C1035,"4 Item Ledger Entry Type",$C$4,"2 Item No.","@@"&amp;$F1035,"3 Posting Date",Z$9)+NL("Sum","5802 Value Entry","17 Sales Amount (Actual)","41 Source Type",$C$5,"5 Source no.",$C1035,"4 Item Ledger Entry Type",$C$4,"2 Item No.","@@"&amp;$F1035,"3 Posting Date",Z$9)</t>
  </si>
  <si>
    <t>=-NL("Sum","5802 Value Entry","151 Cost Amount (Expected)","41 Source Type",$C$5,"5 Source No.",$C1035,"4 Item Ledger Entry Type",$C$4,"2 Item No.","@@"&amp;$F1035,"3 Posting Date",Z$9)-NL("Sum","5802 Value Entry","43 Cost Amount (Actual)","41 Source Type",$C$5,"5 Source no.",$C1035,"4 Item Ledger Entry Type",$C$4,"2 Item No.","@@"&amp;$F1035,"3 Posting Date",Z$9)</t>
  </si>
  <si>
    <t>=Z1035-AB1035</t>
  </si>
  <si>
    <t>=IF(Z1035&lt;&gt;0,AC1035/Z1035,"")</t>
  </si>
  <si>
    <t>=C1035</t>
  </si>
  <si>
    <t>="C100062"</t>
  </si>
  <si>
    <t>=NL("Sum","5802 Value Entry","150 Sales Amount (Expected)","41 Source Type",$C$5,"5 Source No.",$C1036,"4 Item Ledger Entry Type",$C$4,"2 Item No.","@@"&amp;$F1036,"3 Posting Date",J$9)+NL("Sum","5802 Value Entry","17 Sales Amount (Actual)","41 Source Type",$C$5,"5 Source no.",$C1036,"4 Item Ledger Entry Type",$C$4,"2 Item No.","@@"&amp;$F1036,"3 Posting Date",J$9)</t>
  </si>
  <si>
    <t>=-NL("Sum","5802 Value Entry","151 Cost Amount (Expected)","41 Source Type",$C$5,"5 Source No.",$C1036,"4 Item Ledger Entry Type",$C$4,"2 Item No.","@@"&amp;$F1036,"3 Posting Date",J$9)-NL("Sum","5802 Value Entry","43 Cost Amount (Actual)","41 Source Type",$C$5,"5 Source no.",$C1036,"4 Item Ledger Entry Type",$C$4,"2 Item No.","@@"&amp;$F1036,"3 Posting Date",J$9)</t>
  </si>
  <si>
    <t>=J1036-L1036</t>
  </si>
  <si>
    <t>=IF(J1036&lt;&gt;0,M1036/J1036,"")</t>
  </si>
  <si>
    <t>=NL("Sum","5802 Value Entry","150 Sales Amount (Expected)","41 Source Type",$C$5,"5 Source No.",$C1036,"4 Item Ledger Entry Type",$C$4,"2 Item No.","@@"&amp;$F1036,"3 Posting Date",O$9)+NL("Sum","5802 Value Entry","17 Sales Amount (Actual)","41 Source Type",$C$5,"5 Source no.",$C1036,"4 Item Ledger Entry Type",$C$4,"2 Item No.","@@"&amp;$F1036,"3 Posting Date",O$9)</t>
  </si>
  <si>
    <t>=-NL("Sum","5802 Value Entry","151 Cost Amount (Expected)","41 Source Type",$C$5,"5 Source No.",$C1036,"4 Item Ledger Entry Type",$C$4,"2 Item No.","@@"&amp;$F1036,"3 Posting Date",O$9)-NL("Sum","5802 Value Entry","43 Cost Amount (Actual)","41 Source Type",$C$5,"5 Source no.",$C1036,"4 Item Ledger Entry Type",$C$4,"2 Item No.","@@"&amp;$F1036,"3 Posting Date",O$9)</t>
  </si>
  <si>
    <t>=O1036-Q1036</t>
  </si>
  <si>
    <t>=IF(O1036&lt;&gt;0,R1036/O1036,"")</t>
  </si>
  <si>
    <t>=NL("Sum","5802 Value Entry","150 Sales Amount (Expected)","41 Source Type",$C$5,"5 Source No.",$C1036,"4 Item Ledger Entry Type",$C$4,"2 Item No.","@@"&amp;$F1036,"3 Posting Date",U$9)+NL("Sum","5802 Value Entry","17 Sales Amount (Actual)","41 Source Type",$C$5,"5 Source no.",$C1036,"4 Item Ledger Entry Type",$C$4,"2 Item No.","@@"&amp;$F1036,"3 Posting Date",U$9)</t>
  </si>
  <si>
    <t>=-NL("Sum","5802 Value Entry","151 Cost Amount (Expected)","41 Source Type",$C$5,"5 Source No.",$C1036,"4 Item Ledger Entry Type",$C$4,"2 Item No.","@@"&amp;$F1036,"3 Posting Date",U$9)-NL("Sum","5802 Value Entry","43 Cost Amount (Actual)","41 Source Type",$C$5,"5 Source no.",$C1036,"4 Item Ledger Entry Type",$C$4,"2 Item No.","@@"&amp;$F1036,"3 Posting Date",U$9)</t>
  </si>
  <si>
    <t>=U1036-W1036</t>
  </si>
  <si>
    <t>=IF(U1036&lt;&gt;0,X1036/U1036,"")</t>
  </si>
  <si>
    <t>=NL("Sum","5802 Value Entry","150 Sales Amount (Expected)","41 Source Type",$C$5,"5 Source No.",$C1036,"4 Item Ledger Entry Type",$C$4,"2 Item No.","@@"&amp;$F1036,"3 Posting Date",Z$9)+NL("Sum","5802 Value Entry","17 Sales Amount (Actual)","41 Source Type",$C$5,"5 Source no.",$C1036,"4 Item Ledger Entry Type",$C$4,"2 Item No.","@@"&amp;$F1036,"3 Posting Date",Z$9)</t>
  </si>
  <si>
    <t>=-NL("Sum","5802 Value Entry","151 Cost Amount (Expected)","41 Source Type",$C$5,"5 Source No.",$C1036,"4 Item Ledger Entry Type",$C$4,"2 Item No.","@@"&amp;$F1036,"3 Posting Date",Z$9)-NL("Sum","5802 Value Entry","43 Cost Amount (Actual)","41 Source Type",$C$5,"5 Source no.",$C1036,"4 Item Ledger Entry Type",$C$4,"2 Item No.","@@"&amp;$F1036,"3 Posting Date",Z$9)</t>
  </si>
  <si>
    <t>=Z1036-AB1036</t>
  </si>
  <si>
    <t>=IF(Z1036&lt;&gt;0,AC1036/Z1036,"")</t>
  </si>
  <si>
    <t>=C1036</t>
  </si>
  <si>
    <t>=NL("Sum","5802 Value Entry","150 Sales Amount (Expected)","41 Source Type",$C$5,"5 Source No.",$C1037,"4 Item Ledger Entry Type",$C$4,"2 Item No.","@@"&amp;$F1037,"3 Posting Date",J$9)+NL("Sum","5802 Value Entry","17 Sales Amount (Actual)","41 Source Type",$C$5,"5 Source no.",$C1037,"4 Item Ledger Entry Type",$C$4,"2 Item No.","@@"&amp;$F1037,"3 Posting Date",J$9)</t>
  </si>
  <si>
    <t>=-NL("Sum","5802 Value Entry","151 Cost Amount (Expected)","41 Source Type",$C$5,"5 Source No.",$C1037,"4 Item Ledger Entry Type",$C$4,"2 Item No.","@@"&amp;$F1037,"3 Posting Date",J$9)-NL("Sum","5802 Value Entry","43 Cost Amount (Actual)","41 Source Type",$C$5,"5 Source no.",$C1037,"4 Item Ledger Entry Type",$C$4,"2 Item No.","@@"&amp;$F1037,"3 Posting Date",J$9)</t>
  </si>
  <si>
    <t>=J1037-L1037</t>
  </si>
  <si>
    <t>=IF(J1037&lt;&gt;0,M1037/J1037,"")</t>
  </si>
  <si>
    <t>=NL("Sum","5802 Value Entry","150 Sales Amount (Expected)","41 Source Type",$C$5,"5 Source No.",$C1037,"4 Item Ledger Entry Type",$C$4,"2 Item No.","@@"&amp;$F1037,"3 Posting Date",O$9)+NL("Sum","5802 Value Entry","17 Sales Amount (Actual)","41 Source Type",$C$5,"5 Source no.",$C1037,"4 Item Ledger Entry Type",$C$4,"2 Item No.","@@"&amp;$F1037,"3 Posting Date",O$9)</t>
  </si>
  <si>
    <t>=-NL("Sum","5802 Value Entry","151 Cost Amount (Expected)","41 Source Type",$C$5,"5 Source No.",$C1037,"4 Item Ledger Entry Type",$C$4,"2 Item No.","@@"&amp;$F1037,"3 Posting Date",O$9)-NL("Sum","5802 Value Entry","43 Cost Amount (Actual)","41 Source Type",$C$5,"5 Source no.",$C1037,"4 Item Ledger Entry Type",$C$4,"2 Item No.","@@"&amp;$F1037,"3 Posting Date",O$9)</t>
  </si>
  <si>
    <t>=O1037-Q1037</t>
  </si>
  <si>
    <t>=IF(O1037&lt;&gt;0,R1037/O1037,"")</t>
  </si>
  <si>
    <t>=NL("Sum","5802 Value Entry","150 Sales Amount (Expected)","41 Source Type",$C$5,"5 Source No.",$C1037,"4 Item Ledger Entry Type",$C$4,"2 Item No.","@@"&amp;$F1037,"3 Posting Date",U$9)+NL("Sum","5802 Value Entry","17 Sales Amount (Actual)","41 Source Type",$C$5,"5 Source no.",$C1037,"4 Item Ledger Entry Type",$C$4,"2 Item No.","@@"&amp;$F1037,"3 Posting Date",U$9)</t>
  </si>
  <si>
    <t>=-NL("Sum","5802 Value Entry","151 Cost Amount (Expected)","41 Source Type",$C$5,"5 Source No.",$C1037,"4 Item Ledger Entry Type",$C$4,"2 Item No.","@@"&amp;$F1037,"3 Posting Date",U$9)-NL("Sum","5802 Value Entry","43 Cost Amount (Actual)","41 Source Type",$C$5,"5 Source no.",$C1037,"4 Item Ledger Entry Type",$C$4,"2 Item No.","@@"&amp;$F1037,"3 Posting Date",U$9)</t>
  </si>
  <si>
    <t>=U1037-W1037</t>
  </si>
  <si>
    <t>=IF(U1037&lt;&gt;0,X1037/U1037,"")</t>
  </si>
  <si>
    <t>=NL("Sum","5802 Value Entry","150 Sales Amount (Expected)","41 Source Type",$C$5,"5 Source No.",$C1037,"4 Item Ledger Entry Type",$C$4,"2 Item No.","@@"&amp;$F1037,"3 Posting Date",Z$9)+NL("Sum","5802 Value Entry","17 Sales Amount (Actual)","41 Source Type",$C$5,"5 Source no.",$C1037,"4 Item Ledger Entry Type",$C$4,"2 Item No.","@@"&amp;$F1037,"3 Posting Date",Z$9)</t>
  </si>
  <si>
    <t>=-NL("Sum","5802 Value Entry","151 Cost Amount (Expected)","41 Source Type",$C$5,"5 Source No.",$C1037,"4 Item Ledger Entry Type",$C$4,"2 Item No.","@@"&amp;$F1037,"3 Posting Date",Z$9)-NL("Sum","5802 Value Entry","43 Cost Amount (Actual)","41 Source Type",$C$5,"5 Source no.",$C1037,"4 Item Ledger Entry Type",$C$4,"2 Item No.","@@"&amp;$F1037,"3 Posting Date",Z$9)</t>
  </si>
  <si>
    <t>=Z1037-AB1037</t>
  </si>
  <si>
    <t>=IF(Z1037&lt;&gt;0,AC1037/Z1037,"")</t>
  </si>
  <si>
    <t>=C1037</t>
  </si>
  <si>
    <t>=NL("Sum","5802 Value Entry","150 Sales Amount (Expected)","41 Source Type",$C$5,"5 Source No.",$C1038,"4 Item Ledger Entry Type",$C$4,"2 Item No.","@@"&amp;$F1038,"3 Posting Date",J$9)+NL("Sum","5802 Value Entry","17 Sales Amount (Actual)","41 Source Type",$C$5,"5 Source no.",$C1038,"4 Item Ledger Entry Type",$C$4,"2 Item No.","@@"&amp;$F1038,"3 Posting Date",J$9)</t>
  </si>
  <si>
    <t>=-NL("Sum","5802 Value Entry","151 Cost Amount (Expected)","41 Source Type",$C$5,"5 Source No.",$C1038,"4 Item Ledger Entry Type",$C$4,"2 Item No.","@@"&amp;$F1038,"3 Posting Date",J$9)-NL("Sum","5802 Value Entry","43 Cost Amount (Actual)","41 Source Type",$C$5,"5 Source no.",$C1038,"4 Item Ledger Entry Type",$C$4,"2 Item No.","@@"&amp;$F1038,"3 Posting Date",J$9)</t>
  </si>
  <si>
    <t>=J1038-L1038</t>
  </si>
  <si>
    <t>=IF(J1038&lt;&gt;0,M1038/J1038,"")</t>
  </si>
  <si>
    <t>=NL("Sum","5802 Value Entry","150 Sales Amount (Expected)","41 Source Type",$C$5,"5 Source No.",$C1038,"4 Item Ledger Entry Type",$C$4,"2 Item No.","@@"&amp;$F1038,"3 Posting Date",O$9)+NL("Sum","5802 Value Entry","17 Sales Amount (Actual)","41 Source Type",$C$5,"5 Source no.",$C1038,"4 Item Ledger Entry Type",$C$4,"2 Item No.","@@"&amp;$F1038,"3 Posting Date",O$9)</t>
  </si>
  <si>
    <t>=-NL("Sum","5802 Value Entry","151 Cost Amount (Expected)","41 Source Type",$C$5,"5 Source No.",$C1038,"4 Item Ledger Entry Type",$C$4,"2 Item No.","@@"&amp;$F1038,"3 Posting Date",O$9)-NL("Sum","5802 Value Entry","43 Cost Amount (Actual)","41 Source Type",$C$5,"5 Source no.",$C1038,"4 Item Ledger Entry Type",$C$4,"2 Item No.","@@"&amp;$F1038,"3 Posting Date",O$9)</t>
  </si>
  <si>
    <t>=O1038-Q1038</t>
  </si>
  <si>
    <t>=IF(O1038&lt;&gt;0,R1038/O1038,"")</t>
  </si>
  <si>
    <t>=NL("Sum","5802 Value Entry","150 Sales Amount (Expected)","41 Source Type",$C$5,"5 Source No.",$C1038,"4 Item Ledger Entry Type",$C$4,"2 Item No.","@@"&amp;$F1038,"3 Posting Date",U$9)+NL("Sum","5802 Value Entry","17 Sales Amount (Actual)","41 Source Type",$C$5,"5 Source no.",$C1038,"4 Item Ledger Entry Type",$C$4,"2 Item No.","@@"&amp;$F1038,"3 Posting Date",U$9)</t>
  </si>
  <si>
    <t>=-NL("Sum","5802 Value Entry","151 Cost Amount (Expected)","41 Source Type",$C$5,"5 Source No.",$C1038,"4 Item Ledger Entry Type",$C$4,"2 Item No.","@@"&amp;$F1038,"3 Posting Date",U$9)-NL("Sum","5802 Value Entry","43 Cost Amount (Actual)","41 Source Type",$C$5,"5 Source no.",$C1038,"4 Item Ledger Entry Type",$C$4,"2 Item No.","@@"&amp;$F1038,"3 Posting Date",U$9)</t>
  </si>
  <si>
    <t>=U1038-W1038</t>
  </si>
  <si>
    <t>=IF(U1038&lt;&gt;0,X1038/U1038,"")</t>
  </si>
  <si>
    <t>=NL("Sum","5802 Value Entry","150 Sales Amount (Expected)","41 Source Type",$C$5,"5 Source No.",$C1038,"4 Item Ledger Entry Type",$C$4,"2 Item No.","@@"&amp;$F1038,"3 Posting Date",Z$9)+NL("Sum","5802 Value Entry","17 Sales Amount (Actual)","41 Source Type",$C$5,"5 Source no.",$C1038,"4 Item Ledger Entry Type",$C$4,"2 Item No.","@@"&amp;$F1038,"3 Posting Date",Z$9)</t>
  </si>
  <si>
    <t>=-NL("Sum","5802 Value Entry","151 Cost Amount (Expected)","41 Source Type",$C$5,"5 Source No.",$C1038,"4 Item Ledger Entry Type",$C$4,"2 Item No.","@@"&amp;$F1038,"3 Posting Date",Z$9)-NL("Sum","5802 Value Entry","43 Cost Amount (Actual)","41 Source Type",$C$5,"5 Source no.",$C1038,"4 Item Ledger Entry Type",$C$4,"2 Item No.","@@"&amp;$F1038,"3 Posting Date",Z$9)</t>
  </si>
  <si>
    <t>=Z1038-AB1038</t>
  </si>
  <si>
    <t>=IF(Z1038&lt;&gt;0,AC1038/Z1038,"")</t>
  </si>
  <si>
    <t>=C1038</t>
  </si>
  <si>
    <t>=NL("Sum","5802 Value Entry","150 Sales Amount (Expected)","41 Source Type",$C$5,"5 Source No.",$C1039,"4 Item Ledger Entry Type",$C$4,"2 Item No.","@@"&amp;$F1039,"3 Posting Date",J$9)+NL("Sum","5802 Value Entry","17 Sales Amount (Actual)","41 Source Type",$C$5,"5 Source no.",$C1039,"4 Item Ledger Entry Type",$C$4,"2 Item No.","@@"&amp;$F1039,"3 Posting Date",J$9)</t>
  </si>
  <si>
    <t>=-NL("Sum","5802 Value Entry","151 Cost Amount (Expected)","41 Source Type",$C$5,"5 Source No.",$C1039,"4 Item Ledger Entry Type",$C$4,"2 Item No.","@@"&amp;$F1039,"3 Posting Date",J$9)-NL("Sum","5802 Value Entry","43 Cost Amount (Actual)","41 Source Type",$C$5,"5 Source no.",$C1039,"4 Item Ledger Entry Type",$C$4,"2 Item No.","@@"&amp;$F1039,"3 Posting Date",J$9)</t>
  </si>
  <si>
    <t>=J1039-L1039</t>
  </si>
  <si>
    <t>=IF(J1039&lt;&gt;0,M1039/J1039,"")</t>
  </si>
  <si>
    <t>=NL("Sum","5802 Value Entry","150 Sales Amount (Expected)","41 Source Type",$C$5,"5 Source No.",$C1039,"4 Item Ledger Entry Type",$C$4,"2 Item No.","@@"&amp;$F1039,"3 Posting Date",O$9)+NL("Sum","5802 Value Entry","17 Sales Amount (Actual)","41 Source Type",$C$5,"5 Source no.",$C1039,"4 Item Ledger Entry Type",$C$4,"2 Item No.","@@"&amp;$F1039,"3 Posting Date",O$9)</t>
  </si>
  <si>
    <t>=-NL("Sum","5802 Value Entry","151 Cost Amount (Expected)","41 Source Type",$C$5,"5 Source No.",$C1039,"4 Item Ledger Entry Type",$C$4,"2 Item No.","@@"&amp;$F1039,"3 Posting Date",O$9)-NL("Sum","5802 Value Entry","43 Cost Amount (Actual)","41 Source Type",$C$5,"5 Source no.",$C1039,"4 Item Ledger Entry Type",$C$4,"2 Item No.","@@"&amp;$F1039,"3 Posting Date",O$9)</t>
  </si>
  <si>
    <t>=O1039-Q1039</t>
  </si>
  <si>
    <t>=IF(O1039&lt;&gt;0,R1039/O1039,"")</t>
  </si>
  <si>
    <t>=NL("Sum","5802 Value Entry","150 Sales Amount (Expected)","41 Source Type",$C$5,"5 Source No.",$C1039,"4 Item Ledger Entry Type",$C$4,"2 Item No.","@@"&amp;$F1039,"3 Posting Date",U$9)+NL("Sum","5802 Value Entry","17 Sales Amount (Actual)","41 Source Type",$C$5,"5 Source no.",$C1039,"4 Item Ledger Entry Type",$C$4,"2 Item No.","@@"&amp;$F1039,"3 Posting Date",U$9)</t>
  </si>
  <si>
    <t>=-NL("Sum","5802 Value Entry","151 Cost Amount (Expected)","41 Source Type",$C$5,"5 Source No.",$C1039,"4 Item Ledger Entry Type",$C$4,"2 Item No.","@@"&amp;$F1039,"3 Posting Date",U$9)-NL("Sum","5802 Value Entry","43 Cost Amount (Actual)","41 Source Type",$C$5,"5 Source no.",$C1039,"4 Item Ledger Entry Type",$C$4,"2 Item No.","@@"&amp;$F1039,"3 Posting Date",U$9)</t>
  </si>
  <si>
    <t>=U1039-W1039</t>
  </si>
  <si>
    <t>=IF(U1039&lt;&gt;0,X1039/U1039,"")</t>
  </si>
  <si>
    <t>=NL("Sum","5802 Value Entry","150 Sales Amount (Expected)","41 Source Type",$C$5,"5 Source No.",$C1039,"4 Item Ledger Entry Type",$C$4,"2 Item No.","@@"&amp;$F1039,"3 Posting Date",Z$9)+NL("Sum","5802 Value Entry","17 Sales Amount (Actual)","41 Source Type",$C$5,"5 Source no.",$C1039,"4 Item Ledger Entry Type",$C$4,"2 Item No.","@@"&amp;$F1039,"3 Posting Date",Z$9)</t>
  </si>
  <si>
    <t>=-NL("Sum","5802 Value Entry","151 Cost Amount (Expected)","41 Source Type",$C$5,"5 Source No.",$C1039,"4 Item Ledger Entry Type",$C$4,"2 Item No.","@@"&amp;$F1039,"3 Posting Date",Z$9)-NL("Sum","5802 Value Entry","43 Cost Amount (Actual)","41 Source Type",$C$5,"5 Source no.",$C1039,"4 Item Ledger Entry Type",$C$4,"2 Item No.","@@"&amp;$F1039,"3 Posting Date",Z$9)</t>
  </si>
  <si>
    <t>=Z1039-AB1039</t>
  </si>
  <si>
    <t>=IF(Z1039&lt;&gt;0,AC1039/Z1039,"")</t>
  </si>
  <si>
    <t>=C1039</t>
  </si>
  <si>
    <t>=NL("Sum","5802 Value Entry","150 Sales Amount (Expected)","41 Source Type",$C$5,"5 Source No.",$C1040,"4 Item Ledger Entry Type",$C$4,"2 Item No.","@@"&amp;$F1040,"3 Posting Date",J$9)+NL("Sum","5802 Value Entry","17 Sales Amount (Actual)","41 Source Type",$C$5,"5 Source no.",$C1040,"4 Item Ledger Entry Type",$C$4,"2 Item No.","@@"&amp;$F1040,"3 Posting Date",J$9)</t>
  </si>
  <si>
    <t>=-NL("Sum","5802 Value Entry","151 Cost Amount (Expected)","41 Source Type",$C$5,"5 Source No.",$C1040,"4 Item Ledger Entry Type",$C$4,"2 Item No.","@@"&amp;$F1040,"3 Posting Date",J$9)-NL("Sum","5802 Value Entry","43 Cost Amount (Actual)","41 Source Type",$C$5,"5 Source no.",$C1040,"4 Item Ledger Entry Type",$C$4,"2 Item No.","@@"&amp;$F1040,"3 Posting Date",J$9)</t>
  </si>
  <si>
    <t>=J1040-L1040</t>
  </si>
  <si>
    <t>=IF(J1040&lt;&gt;0,M1040/J1040,"")</t>
  </si>
  <si>
    <t>=NL("Sum","5802 Value Entry","150 Sales Amount (Expected)","41 Source Type",$C$5,"5 Source No.",$C1040,"4 Item Ledger Entry Type",$C$4,"2 Item No.","@@"&amp;$F1040,"3 Posting Date",O$9)+NL("Sum","5802 Value Entry","17 Sales Amount (Actual)","41 Source Type",$C$5,"5 Source no.",$C1040,"4 Item Ledger Entry Type",$C$4,"2 Item No.","@@"&amp;$F1040,"3 Posting Date",O$9)</t>
  </si>
  <si>
    <t>=-NL("Sum","5802 Value Entry","151 Cost Amount (Expected)","41 Source Type",$C$5,"5 Source No.",$C1040,"4 Item Ledger Entry Type",$C$4,"2 Item No.","@@"&amp;$F1040,"3 Posting Date",O$9)-NL("Sum","5802 Value Entry","43 Cost Amount (Actual)","41 Source Type",$C$5,"5 Source no.",$C1040,"4 Item Ledger Entry Type",$C$4,"2 Item No.","@@"&amp;$F1040,"3 Posting Date",O$9)</t>
  </si>
  <si>
    <t>=O1040-Q1040</t>
  </si>
  <si>
    <t>=IF(O1040&lt;&gt;0,R1040/O1040,"")</t>
  </si>
  <si>
    <t>=NL("Sum","5802 Value Entry","150 Sales Amount (Expected)","41 Source Type",$C$5,"5 Source No.",$C1040,"4 Item Ledger Entry Type",$C$4,"2 Item No.","@@"&amp;$F1040,"3 Posting Date",U$9)+NL("Sum","5802 Value Entry","17 Sales Amount (Actual)","41 Source Type",$C$5,"5 Source no.",$C1040,"4 Item Ledger Entry Type",$C$4,"2 Item No.","@@"&amp;$F1040,"3 Posting Date",U$9)</t>
  </si>
  <si>
    <t>=-NL("Sum","5802 Value Entry","151 Cost Amount (Expected)","41 Source Type",$C$5,"5 Source No.",$C1040,"4 Item Ledger Entry Type",$C$4,"2 Item No.","@@"&amp;$F1040,"3 Posting Date",U$9)-NL("Sum","5802 Value Entry","43 Cost Amount (Actual)","41 Source Type",$C$5,"5 Source no.",$C1040,"4 Item Ledger Entry Type",$C$4,"2 Item No.","@@"&amp;$F1040,"3 Posting Date",U$9)</t>
  </si>
  <si>
    <t>=U1040-W1040</t>
  </si>
  <si>
    <t>=IF(U1040&lt;&gt;0,X1040/U1040,"")</t>
  </si>
  <si>
    <t>=NL("Sum","5802 Value Entry","150 Sales Amount (Expected)","41 Source Type",$C$5,"5 Source No.",$C1040,"4 Item Ledger Entry Type",$C$4,"2 Item No.","@@"&amp;$F1040,"3 Posting Date",Z$9)+NL("Sum","5802 Value Entry","17 Sales Amount (Actual)","41 Source Type",$C$5,"5 Source no.",$C1040,"4 Item Ledger Entry Type",$C$4,"2 Item No.","@@"&amp;$F1040,"3 Posting Date",Z$9)</t>
  </si>
  <si>
    <t>=-NL("Sum","5802 Value Entry","151 Cost Amount (Expected)","41 Source Type",$C$5,"5 Source No.",$C1040,"4 Item Ledger Entry Type",$C$4,"2 Item No.","@@"&amp;$F1040,"3 Posting Date",Z$9)-NL("Sum","5802 Value Entry","43 Cost Amount (Actual)","41 Source Type",$C$5,"5 Source no.",$C1040,"4 Item Ledger Entry Type",$C$4,"2 Item No.","@@"&amp;$F1040,"3 Posting Date",Z$9)</t>
  </si>
  <si>
    <t>=Z1040-AB1040</t>
  </si>
  <si>
    <t>=IF(Z1040&lt;&gt;0,AC1040/Z1040,"")</t>
  </si>
  <si>
    <t>=C1040</t>
  </si>
  <si>
    <t>=NL("Sum","5802 Value Entry","150 Sales Amount (Expected)","41 Source Type",$C$5,"5 Source No.",$C1041,"4 Item Ledger Entry Type",$C$4,"2 Item No.","@@"&amp;$F1041,"3 Posting Date",J$9)+NL("Sum","5802 Value Entry","17 Sales Amount (Actual)","41 Source Type",$C$5,"5 Source no.",$C1041,"4 Item Ledger Entry Type",$C$4,"2 Item No.","@@"&amp;$F1041,"3 Posting Date",J$9)</t>
  </si>
  <si>
    <t>=-NL("Sum","5802 Value Entry","151 Cost Amount (Expected)","41 Source Type",$C$5,"5 Source No.",$C1041,"4 Item Ledger Entry Type",$C$4,"2 Item No.","@@"&amp;$F1041,"3 Posting Date",J$9)-NL("Sum","5802 Value Entry","43 Cost Amount (Actual)","41 Source Type",$C$5,"5 Source no.",$C1041,"4 Item Ledger Entry Type",$C$4,"2 Item No.","@@"&amp;$F1041,"3 Posting Date",J$9)</t>
  </si>
  <si>
    <t>=J1041-L1041</t>
  </si>
  <si>
    <t>=IF(J1041&lt;&gt;0,M1041/J1041,"")</t>
  </si>
  <si>
    <t>=NL("Sum","5802 Value Entry","150 Sales Amount (Expected)","41 Source Type",$C$5,"5 Source No.",$C1041,"4 Item Ledger Entry Type",$C$4,"2 Item No.","@@"&amp;$F1041,"3 Posting Date",O$9)+NL("Sum","5802 Value Entry","17 Sales Amount (Actual)","41 Source Type",$C$5,"5 Source no.",$C1041,"4 Item Ledger Entry Type",$C$4,"2 Item No.","@@"&amp;$F1041,"3 Posting Date",O$9)</t>
  </si>
  <si>
    <t>=-NL("Sum","5802 Value Entry","151 Cost Amount (Expected)","41 Source Type",$C$5,"5 Source No.",$C1041,"4 Item Ledger Entry Type",$C$4,"2 Item No.","@@"&amp;$F1041,"3 Posting Date",O$9)-NL("Sum","5802 Value Entry","43 Cost Amount (Actual)","41 Source Type",$C$5,"5 Source no.",$C1041,"4 Item Ledger Entry Type",$C$4,"2 Item No.","@@"&amp;$F1041,"3 Posting Date",O$9)</t>
  </si>
  <si>
    <t>=O1041-Q1041</t>
  </si>
  <si>
    <t>=IF(O1041&lt;&gt;0,R1041/O1041,"")</t>
  </si>
  <si>
    <t>=NL("Sum","5802 Value Entry","150 Sales Amount (Expected)","41 Source Type",$C$5,"5 Source No.",$C1041,"4 Item Ledger Entry Type",$C$4,"2 Item No.","@@"&amp;$F1041,"3 Posting Date",U$9)+NL("Sum","5802 Value Entry","17 Sales Amount (Actual)","41 Source Type",$C$5,"5 Source no.",$C1041,"4 Item Ledger Entry Type",$C$4,"2 Item No.","@@"&amp;$F1041,"3 Posting Date",U$9)</t>
  </si>
  <si>
    <t>=-NL("Sum","5802 Value Entry","151 Cost Amount (Expected)","41 Source Type",$C$5,"5 Source No.",$C1041,"4 Item Ledger Entry Type",$C$4,"2 Item No.","@@"&amp;$F1041,"3 Posting Date",U$9)-NL("Sum","5802 Value Entry","43 Cost Amount (Actual)","41 Source Type",$C$5,"5 Source no.",$C1041,"4 Item Ledger Entry Type",$C$4,"2 Item No.","@@"&amp;$F1041,"3 Posting Date",U$9)</t>
  </si>
  <si>
    <t>=U1041-W1041</t>
  </si>
  <si>
    <t>=IF(U1041&lt;&gt;0,X1041/U1041,"")</t>
  </si>
  <si>
    <t>=NL("Sum","5802 Value Entry","150 Sales Amount (Expected)","41 Source Type",$C$5,"5 Source No.",$C1041,"4 Item Ledger Entry Type",$C$4,"2 Item No.","@@"&amp;$F1041,"3 Posting Date",Z$9)+NL("Sum","5802 Value Entry","17 Sales Amount (Actual)","41 Source Type",$C$5,"5 Source no.",$C1041,"4 Item Ledger Entry Type",$C$4,"2 Item No.","@@"&amp;$F1041,"3 Posting Date",Z$9)</t>
  </si>
  <si>
    <t>=-NL("Sum","5802 Value Entry","151 Cost Amount (Expected)","41 Source Type",$C$5,"5 Source No.",$C1041,"4 Item Ledger Entry Type",$C$4,"2 Item No.","@@"&amp;$F1041,"3 Posting Date",Z$9)-NL("Sum","5802 Value Entry","43 Cost Amount (Actual)","41 Source Type",$C$5,"5 Source no.",$C1041,"4 Item Ledger Entry Type",$C$4,"2 Item No.","@@"&amp;$F1041,"3 Posting Date",Z$9)</t>
  </si>
  <si>
    <t>=Z1041-AB1041</t>
  </si>
  <si>
    <t>=IF(Z1041&lt;&gt;0,AC1041/Z1041,"")</t>
  </si>
  <si>
    <t>=C1041</t>
  </si>
  <si>
    <t>=NL("Sum","5802 Value Entry","150 Sales Amount (Expected)","41 Source Type",$C$5,"5 Source No.",$C1042,"4 Item Ledger Entry Type",$C$4,"2 Item No.","@@"&amp;$F1042,"3 Posting Date",J$9)+NL("Sum","5802 Value Entry","17 Sales Amount (Actual)","41 Source Type",$C$5,"5 Source no.",$C1042,"4 Item Ledger Entry Type",$C$4,"2 Item No.","@@"&amp;$F1042,"3 Posting Date",J$9)</t>
  </si>
  <si>
    <t>=-NL("Sum","5802 Value Entry","151 Cost Amount (Expected)","41 Source Type",$C$5,"5 Source No.",$C1042,"4 Item Ledger Entry Type",$C$4,"2 Item No.","@@"&amp;$F1042,"3 Posting Date",J$9)-NL("Sum","5802 Value Entry","43 Cost Amount (Actual)","41 Source Type",$C$5,"5 Source no.",$C1042,"4 Item Ledger Entry Type",$C$4,"2 Item No.","@@"&amp;$F1042,"3 Posting Date",J$9)</t>
  </si>
  <si>
    <t>=J1042-L1042</t>
  </si>
  <si>
    <t>=IF(J1042&lt;&gt;0,M1042/J1042,"")</t>
  </si>
  <si>
    <t>=NL("Sum","5802 Value Entry","150 Sales Amount (Expected)","41 Source Type",$C$5,"5 Source No.",$C1042,"4 Item Ledger Entry Type",$C$4,"2 Item No.","@@"&amp;$F1042,"3 Posting Date",O$9)+NL("Sum","5802 Value Entry","17 Sales Amount (Actual)","41 Source Type",$C$5,"5 Source no.",$C1042,"4 Item Ledger Entry Type",$C$4,"2 Item No.","@@"&amp;$F1042,"3 Posting Date",O$9)</t>
  </si>
  <si>
    <t>=-NL("Sum","5802 Value Entry","151 Cost Amount (Expected)","41 Source Type",$C$5,"5 Source No.",$C1042,"4 Item Ledger Entry Type",$C$4,"2 Item No.","@@"&amp;$F1042,"3 Posting Date",O$9)-NL("Sum","5802 Value Entry","43 Cost Amount (Actual)","41 Source Type",$C$5,"5 Source no.",$C1042,"4 Item Ledger Entry Type",$C$4,"2 Item No.","@@"&amp;$F1042,"3 Posting Date",O$9)</t>
  </si>
  <si>
    <t>=O1042-Q1042</t>
  </si>
  <si>
    <t>=IF(O1042&lt;&gt;0,R1042/O1042,"")</t>
  </si>
  <si>
    <t>=NL("Sum","5802 Value Entry","150 Sales Amount (Expected)","41 Source Type",$C$5,"5 Source No.",$C1042,"4 Item Ledger Entry Type",$C$4,"2 Item No.","@@"&amp;$F1042,"3 Posting Date",U$9)+NL("Sum","5802 Value Entry","17 Sales Amount (Actual)","41 Source Type",$C$5,"5 Source no.",$C1042,"4 Item Ledger Entry Type",$C$4,"2 Item No.","@@"&amp;$F1042,"3 Posting Date",U$9)</t>
  </si>
  <si>
    <t>=-NL("Sum","5802 Value Entry","151 Cost Amount (Expected)","41 Source Type",$C$5,"5 Source No.",$C1042,"4 Item Ledger Entry Type",$C$4,"2 Item No.","@@"&amp;$F1042,"3 Posting Date",U$9)-NL("Sum","5802 Value Entry","43 Cost Amount (Actual)","41 Source Type",$C$5,"5 Source no.",$C1042,"4 Item Ledger Entry Type",$C$4,"2 Item No.","@@"&amp;$F1042,"3 Posting Date",U$9)</t>
  </si>
  <si>
    <t>=U1042-W1042</t>
  </si>
  <si>
    <t>=IF(U1042&lt;&gt;0,X1042/U1042,"")</t>
  </si>
  <si>
    <t>=NL("Sum","5802 Value Entry","150 Sales Amount (Expected)","41 Source Type",$C$5,"5 Source No.",$C1042,"4 Item Ledger Entry Type",$C$4,"2 Item No.","@@"&amp;$F1042,"3 Posting Date",Z$9)+NL("Sum","5802 Value Entry","17 Sales Amount (Actual)","41 Source Type",$C$5,"5 Source no.",$C1042,"4 Item Ledger Entry Type",$C$4,"2 Item No.","@@"&amp;$F1042,"3 Posting Date",Z$9)</t>
  </si>
  <si>
    <t>=-NL("Sum","5802 Value Entry","151 Cost Amount (Expected)","41 Source Type",$C$5,"5 Source No.",$C1042,"4 Item Ledger Entry Type",$C$4,"2 Item No.","@@"&amp;$F1042,"3 Posting Date",Z$9)-NL("Sum","5802 Value Entry","43 Cost Amount (Actual)","41 Source Type",$C$5,"5 Source no.",$C1042,"4 Item Ledger Entry Type",$C$4,"2 Item No.","@@"&amp;$F1042,"3 Posting Date",Z$9)</t>
  </si>
  <si>
    <t>=Z1042-AB1042</t>
  </si>
  <si>
    <t>=IF(Z1042&lt;&gt;0,AC1042/Z1042,"")</t>
  </si>
  <si>
    <t>=C1042</t>
  </si>
  <si>
    <t>=NL("Sum","5802 Value Entry","150 Sales Amount (Expected)","41 Source Type",$C$5,"5 Source No.",$C1043,"4 Item Ledger Entry Type",$C$4,"2 Item No.","@@"&amp;$F1043,"3 Posting Date",J$9)+NL("Sum","5802 Value Entry","17 Sales Amount (Actual)","41 Source Type",$C$5,"5 Source no.",$C1043,"4 Item Ledger Entry Type",$C$4,"2 Item No.","@@"&amp;$F1043,"3 Posting Date",J$9)</t>
  </si>
  <si>
    <t>=-NL("Sum","5802 Value Entry","151 Cost Amount (Expected)","41 Source Type",$C$5,"5 Source No.",$C1043,"4 Item Ledger Entry Type",$C$4,"2 Item No.","@@"&amp;$F1043,"3 Posting Date",J$9)-NL("Sum","5802 Value Entry","43 Cost Amount (Actual)","41 Source Type",$C$5,"5 Source no.",$C1043,"4 Item Ledger Entry Type",$C$4,"2 Item No.","@@"&amp;$F1043,"3 Posting Date",J$9)</t>
  </si>
  <si>
    <t>=J1043-L1043</t>
  </si>
  <si>
    <t>=IF(J1043&lt;&gt;0,M1043/J1043,"")</t>
  </si>
  <si>
    <t>=NL("Sum","5802 Value Entry","150 Sales Amount (Expected)","41 Source Type",$C$5,"5 Source No.",$C1043,"4 Item Ledger Entry Type",$C$4,"2 Item No.","@@"&amp;$F1043,"3 Posting Date",O$9)+NL("Sum","5802 Value Entry","17 Sales Amount (Actual)","41 Source Type",$C$5,"5 Source no.",$C1043,"4 Item Ledger Entry Type",$C$4,"2 Item No.","@@"&amp;$F1043,"3 Posting Date",O$9)</t>
  </si>
  <si>
    <t>=-NL("Sum","5802 Value Entry","151 Cost Amount (Expected)","41 Source Type",$C$5,"5 Source No.",$C1043,"4 Item Ledger Entry Type",$C$4,"2 Item No.","@@"&amp;$F1043,"3 Posting Date",O$9)-NL("Sum","5802 Value Entry","43 Cost Amount (Actual)","41 Source Type",$C$5,"5 Source no.",$C1043,"4 Item Ledger Entry Type",$C$4,"2 Item No.","@@"&amp;$F1043,"3 Posting Date",O$9)</t>
  </si>
  <si>
    <t>=O1043-Q1043</t>
  </si>
  <si>
    <t>=IF(O1043&lt;&gt;0,R1043/O1043,"")</t>
  </si>
  <si>
    <t>=NL("Sum","5802 Value Entry","150 Sales Amount (Expected)","41 Source Type",$C$5,"5 Source No.",$C1043,"4 Item Ledger Entry Type",$C$4,"2 Item No.","@@"&amp;$F1043,"3 Posting Date",U$9)+NL("Sum","5802 Value Entry","17 Sales Amount (Actual)","41 Source Type",$C$5,"5 Source no.",$C1043,"4 Item Ledger Entry Type",$C$4,"2 Item No.","@@"&amp;$F1043,"3 Posting Date",U$9)</t>
  </si>
  <si>
    <t>=-NL("Sum","5802 Value Entry","151 Cost Amount (Expected)","41 Source Type",$C$5,"5 Source No.",$C1043,"4 Item Ledger Entry Type",$C$4,"2 Item No.","@@"&amp;$F1043,"3 Posting Date",U$9)-NL("Sum","5802 Value Entry","43 Cost Amount (Actual)","41 Source Type",$C$5,"5 Source no.",$C1043,"4 Item Ledger Entry Type",$C$4,"2 Item No.","@@"&amp;$F1043,"3 Posting Date",U$9)</t>
  </si>
  <si>
    <t>=U1043-W1043</t>
  </si>
  <si>
    <t>=IF(U1043&lt;&gt;0,X1043/U1043,"")</t>
  </si>
  <si>
    <t>=NL("Sum","5802 Value Entry","150 Sales Amount (Expected)","41 Source Type",$C$5,"5 Source No.",$C1043,"4 Item Ledger Entry Type",$C$4,"2 Item No.","@@"&amp;$F1043,"3 Posting Date",Z$9)+NL("Sum","5802 Value Entry","17 Sales Amount (Actual)","41 Source Type",$C$5,"5 Source no.",$C1043,"4 Item Ledger Entry Type",$C$4,"2 Item No.","@@"&amp;$F1043,"3 Posting Date",Z$9)</t>
  </si>
  <si>
    <t>=-NL("Sum","5802 Value Entry","151 Cost Amount (Expected)","41 Source Type",$C$5,"5 Source No.",$C1043,"4 Item Ledger Entry Type",$C$4,"2 Item No.","@@"&amp;$F1043,"3 Posting Date",Z$9)-NL("Sum","5802 Value Entry","43 Cost Amount (Actual)","41 Source Type",$C$5,"5 Source no.",$C1043,"4 Item Ledger Entry Type",$C$4,"2 Item No.","@@"&amp;$F1043,"3 Posting Date",Z$9)</t>
  </si>
  <si>
    <t>=Z1043-AB1043</t>
  </si>
  <si>
    <t>=IF(Z1043&lt;&gt;0,AC1043/Z1043,"")</t>
  </si>
  <si>
    <t>=C1043</t>
  </si>
  <si>
    <t>=NL("Sum","5802 Value Entry","150 Sales Amount (Expected)","41 Source Type",$C$5,"5 Source No.",$C1044,"4 Item Ledger Entry Type",$C$4,"2 Item No.","@@"&amp;$F1044,"3 Posting Date",J$9)+NL("Sum","5802 Value Entry","17 Sales Amount (Actual)","41 Source Type",$C$5,"5 Source no.",$C1044,"4 Item Ledger Entry Type",$C$4,"2 Item No.","@@"&amp;$F1044,"3 Posting Date",J$9)</t>
  </si>
  <si>
    <t>=-NL("Sum","5802 Value Entry","151 Cost Amount (Expected)","41 Source Type",$C$5,"5 Source No.",$C1044,"4 Item Ledger Entry Type",$C$4,"2 Item No.","@@"&amp;$F1044,"3 Posting Date",J$9)-NL("Sum","5802 Value Entry","43 Cost Amount (Actual)","41 Source Type",$C$5,"5 Source no.",$C1044,"4 Item Ledger Entry Type",$C$4,"2 Item No.","@@"&amp;$F1044,"3 Posting Date",J$9)</t>
  </si>
  <si>
    <t>=J1044-L1044</t>
  </si>
  <si>
    <t>=IF(J1044&lt;&gt;0,M1044/J1044,"")</t>
  </si>
  <si>
    <t>=NL("Sum","5802 Value Entry","150 Sales Amount (Expected)","41 Source Type",$C$5,"5 Source No.",$C1044,"4 Item Ledger Entry Type",$C$4,"2 Item No.","@@"&amp;$F1044,"3 Posting Date",O$9)+NL("Sum","5802 Value Entry","17 Sales Amount (Actual)","41 Source Type",$C$5,"5 Source no.",$C1044,"4 Item Ledger Entry Type",$C$4,"2 Item No.","@@"&amp;$F1044,"3 Posting Date",O$9)</t>
  </si>
  <si>
    <t>=-NL("Sum","5802 Value Entry","151 Cost Amount (Expected)","41 Source Type",$C$5,"5 Source No.",$C1044,"4 Item Ledger Entry Type",$C$4,"2 Item No.","@@"&amp;$F1044,"3 Posting Date",O$9)-NL("Sum","5802 Value Entry","43 Cost Amount (Actual)","41 Source Type",$C$5,"5 Source no.",$C1044,"4 Item Ledger Entry Type",$C$4,"2 Item No.","@@"&amp;$F1044,"3 Posting Date",O$9)</t>
  </si>
  <si>
    <t>=O1044-Q1044</t>
  </si>
  <si>
    <t>=IF(O1044&lt;&gt;0,R1044/O1044,"")</t>
  </si>
  <si>
    <t>=NL("Sum","5802 Value Entry","150 Sales Amount (Expected)","41 Source Type",$C$5,"5 Source No.",$C1044,"4 Item Ledger Entry Type",$C$4,"2 Item No.","@@"&amp;$F1044,"3 Posting Date",U$9)+NL("Sum","5802 Value Entry","17 Sales Amount (Actual)","41 Source Type",$C$5,"5 Source no.",$C1044,"4 Item Ledger Entry Type",$C$4,"2 Item No.","@@"&amp;$F1044,"3 Posting Date",U$9)</t>
  </si>
  <si>
    <t>=-NL("Sum","5802 Value Entry","151 Cost Amount (Expected)","41 Source Type",$C$5,"5 Source No.",$C1044,"4 Item Ledger Entry Type",$C$4,"2 Item No.","@@"&amp;$F1044,"3 Posting Date",U$9)-NL("Sum","5802 Value Entry","43 Cost Amount (Actual)","41 Source Type",$C$5,"5 Source no.",$C1044,"4 Item Ledger Entry Type",$C$4,"2 Item No.","@@"&amp;$F1044,"3 Posting Date",U$9)</t>
  </si>
  <si>
    <t>=U1044-W1044</t>
  </si>
  <si>
    <t>=IF(U1044&lt;&gt;0,X1044/U1044,"")</t>
  </si>
  <si>
    <t>=NL("Sum","5802 Value Entry","150 Sales Amount (Expected)","41 Source Type",$C$5,"5 Source No.",$C1044,"4 Item Ledger Entry Type",$C$4,"2 Item No.","@@"&amp;$F1044,"3 Posting Date",Z$9)+NL("Sum","5802 Value Entry","17 Sales Amount (Actual)","41 Source Type",$C$5,"5 Source no.",$C1044,"4 Item Ledger Entry Type",$C$4,"2 Item No.","@@"&amp;$F1044,"3 Posting Date",Z$9)</t>
  </si>
  <si>
    <t>=-NL("Sum","5802 Value Entry","151 Cost Amount (Expected)","41 Source Type",$C$5,"5 Source No.",$C1044,"4 Item Ledger Entry Type",$C$4,"2 Item No.","@@"&amp;$F1044,"3 Posting Date",Z$9)-NL("Sum","5802 Value Entry","43 Cost Amount (Actual)","41 Source Type",$C$5,"5 Source no.",$C1044,"4 Item Ledger Entry Type",$C$4,"2 Item No.","@@"&amp;$F1044,"3 Posting Date",Z$9)</t>
  </si>
  <si>
    <t>=Z1044-AB1044</t>
  </si>
  <si>
    <t>=IF(Z1044&lt;&gt;0,AC1044/Z1044,"")</t>
  </si>
  <si>
    <t>=C1044</t>
  </si>
  <si>
    <t>=NL("Sum","5802 Value Entry","150 Sales Amount (Expected)","41 Source Type",$C$5,"5 Source No.",$C1045,"4 Item Ledger Entry Type",$C$4,"2 Item No.","@@"&amp;$F1045,"3 Posting Date",J$9)+NL("Sum","5802 Value Entry","17 Sales Amount (Actual)","41 Source Type",$C$5,"5 Source no.",$C1045,"4 Item Ledger Entry Type",$C$4,"2 Item No.","@@"&amp;$F1045,"3 Posting Date",J$9)</t>
  </si>
  <si>
    <t>=-NL("Sum","5802 Value Entry","151 Cost Amount (Expected)","41 Source Type",$C$5,"5 Source No.",$C1045,"4 Item Ledger Entry Type",$C$4,"2 Item No.","@@"&amp;$F1045,"3 Posting Date",J$9)-NL("Sum","5802 Value Entry","43 Cost Amount (Actual)","41 Source Type",$C$5,"5 Source no.",$C1045,"4 Item Ledger Entry Type",$C$4,"2 Item No.","@@"&amp;$F1045,"3 Posting Date",J$9)</t>
  </si>
  <si>
    <t>=J1045-L1045</t>
  </si>
  <si>
    <t>=IF(J1045&lt;&gt;0,M1045/J1045,"")</t>
  </si>
  <si>
    <t>=NL("Sum","5802 Value Entry","150 Sales Amount (Expected)","41 Source Type",$C$5,"5 Source No.",$C1045,"4 Item Ledger Entry Type",$C$4,"2 Item No.","@@"&amp;$F1045,"3 Posting Date",O$9)+NL("Sum","5802 Value Entry","17 Sales Amount (Actual)","41 Source Type",$C$5,"5 Source no.",$C1045,"4 Item Ledger Entry Type",$C$4,"2 Item No.","@@"&amp;$F1045,"3 Posting Date",O$9)</t>
  </si>
  <si>
    <t>=-NL("Sum","5802 Value Entry","151 Cost Amount (Expected)","41 Source Type",$C$5,"5 Source No.",$C1045,"4 Item Ledger Entry Type",$C$4,"2 Item No.","@@"&amp;$F1045,"3 Posting Date",O$9)-NL("Sum","5802 Value Entry","43 Cost Amount (Actual)","41 Source Type",$C$5,"5 Source no.",$C1045,"4 Item Ledger Entry Type",$C$4,"2 Item No.","@@"&amp;$F1045,"3 Posting Date",O$9)</t>
  </si>
  <si>
    <t>=O1045-Q1045</t>
  </si>
  <si>
    <t>=IF(O1045&lt;&gt;0,R1045/O1045,"")</t>
  </si>
  <si>
    <t>=NL("Sum","5802 Value Entry","150 Sales Amount (Expected)","41 Source Type",$C$5,"5 Source No.",$C1045,"4 Item Ledger Entry Type",$C$4,"2 Item No.","@@"&amp;$F1045,"3 Posting Date",U$9)+NL("Sum","5802 Value Entry","17 Sales Amount (Actual)","41 Source Type",$C$5,"5 Source no.",$C1045,"4 Item Ledger Entry Type",$C$4,"2 Item No.","@@"&amp;$F1045,"3 Posting Date",U$9)</t>
  </si>
  <si>
    <t>=-NL("Sum","5802 Value Entry","151 Cost Amount (Expected)","41 Source Type",$C$5,"5 Source No.",$C1045,"4 Item Ledger Entry Type",$C$4,"2 Item No.","@@"&amp;$F1045,"3 Posting Date",U$9)-NL("Sum","5802 Value Entry","43 Cost Amount (Actual)","41 Source Type",$C$5,"5 Source no.",$C1045,"4 Item Ledger Entry Type",$C$4,"2 Item No.","@@"&amp;$F1045,"3 Posting Date",U$9)</t>
  </si>
  <si>
    <t>=U1045-W1045</t>
  </si>
  <si>
    <t>=IF(U1045&lt;&gt;0,X1045/U1045,"")</t>
  </si>
  <si>
    <t>=NL("Sum","5802 Value Entry","150 Sales Amount (Expected)","41 Source Type",$C$5,"5 Source No.",$C1045,"4 Item Ledger Entry Type",$C$4,"2 Item No.","@@"&amp;$F1045,"3 Posting Date",Z$9)+NL("Sum","5802 Value Entry","17 Sales Amount (Actual)","41 Source Type",$C$5,"5 Source no.",$C1045,"4 Item Ledger Entry Type",$C$4,"2 Item No.","@@"&amp;$F1045,"3 Posting Date",Z$9)</t>
  </si>
  <si>
    <t>=-NL("Sum","5802 Value Entry","151 Cost Amount (Expected)","41 Source Type",$C$5,"5 Source No.",$C1045,"4 Item Ledger Entry Type",$C$4,"2 Item No.","@@"&amp;$F1045,"3 Posting Date",Z$9)-NL("Sum","5802 Value Entry","43 Cost Amount (Actual)","41 Source Type",$C$5,"5 Source no.",$C1045,"4 Item Ledger Entry Type",$C$4,"2 Item No.","@@"&amp;$F1045,"3 Posting Date",Z$9)</t>
  </si>
  <si>
    <t>=Z1045-AB1045</t>
  </si>
  <si>
    <t>=IF(Z1045&lt;&gt;0,AC1045/Z1045,"")</t>
  </si>
  <si>
    <t>=C1045</t>
  </si>
  <si>
    <t>=NL("Sum","5802 Value Entry","150 Sales Amount (Expected)","41 Source Type",$C$5,"5 Source No.",$C1046,"4 Item Ledger Entry Type",$C$4,"2 Item No.","@@"&amp;$F1046,"3 Posting Date",J$9)+NL("Sum","5802 Value Entry","17 Sales Amount (Actual)","41 Source Type",$C$5,"5 Source no.",$C1046,"4 Item Ledger Entry Type",$C$4,"2 Item No.","@@"&amp;$F1046,"3 Posting Date",J$9)</t>
  </si>
  <si>
    <t>=-NL("Sum","5802 Value Entry","151 Cost Amount (Expected)","41 Source Type",$C$5,"5 Source No.",$C1046,"4 Item Ledger Entry Type",$C$4,"2 Item No.","@@"&amp;$F1046,"3 Posting Date",J$9)-NL("Sum","5802 Value Entry","43 Cost Amount (Actual)","41 Source Type",$C$5,"5 Source no.",$C1046,"4 Item Ledger Entry Type",$C$4,"2 Item No.","@@"&amp;$F1046,"3 Posting Date",J$9)</t>
  </si>
  <si>
    <t>=J1046-L1046</t>
  </si>
  <si>
    <t>=IF(J1046&lt;&gt;0,M1046/J1046,"")</t>
  </si>
  <si>
    <t>=NL("Sum","5802 Value Entry","150 Sales Amount (Expected)","41 Source Type",$C$5,"5 Source No.",$C1046,"4 Item Ledger Entry Type",$C$4,"2 Item No.","@@"&amp;$F1046,"3 Posting Date",O$9)+NL("Sum","5802 Value Entry","17 Sales Amount (Actual)","41 Source Type",$C$5,"5 Source no.",$C1046,"4 Item Ledger Entry Type",$C$4,"2 Item No.","@@"&amp;$F1046,"3 Posting Date",O$9)</t>
  </si>
  <si>
    <t>=-NL("Sum","5802 Value Entry","151 Cost Amount (Expected)","41 Source Type",$C$5,"5 Source No.",$C1046,"4 Item Ledger Entry Type",$C$4,"2 Item No.","@@"&amp;$F1046,"3 Posting Date",O$9)-NL("Sum","5802 Value Entry","43 Cost Amount (Actual)","41 Source Type",$C$5,"5 Source no.",$C1046,"4 Item Ledger Entry Type",$C$4,"2 Item No.","@@"&amp;$F1046,"3 Posting Date",O$9)</t>
  </si>
  <si>
    <t>=O1046-Q1046</t>
  </si>
  <si>
    <t>=IF(O1046&lt;&gt;0,R1046/O1046,"")</t>
  </si>
  <si>
    <t>=NL("Sum","5802 Value Entry","150 Sales Amount (Expected)","41 Source Type",$C$5,"5 Source No.",$C1046,"4 Item Ledger Entry Type",$C$4,"2 Item No.","@@"&amp;$F1046,"3 Posting Date",U$9)+NL("Sum","5802 Value Entry","17 Sales Amount (Actual)","41 Source Type",$C$5,"5 Source no.",$C1046,"4 Item Ledger Entry Type",$C$4,"2 Item No.","@@"&amp;$F1046,"3 Posting Date",U$9)</t>
  </si>
  <si>
    <t>=-NL("Sum","5802 Value Entry","151 Cost Amount (Expected)","41 Source Type",$C$5,"5 Source No.",$C1046,"4 Item Ledger Entry Type",$C$4,"2 Item No.","@@"&amp;$F1046,"3 Posting Date",U$9)-NL("Sum","5802 Value Entry","43 Cost Amount (Actual)","41 Source Type",$C$5,"5 Source no.",$C1046,"4 Item Ledger Entry Type",$C$4,"2 Item No.","@@"&amp;$F1046,"3 Posting Date",U$9)</t>
  </si>
  <si>
    <t>=U1046-W1046</t>
  </si>
  <si>
    <t>=IF(U1046&lt;&gt;0,X1046/U1046,"")</t>
  </si>
  <si>
    <t>=NL("Sum","5802 Value Entry","150 Sales Amount (Expected)","41 Source Type",$C$5,"5 Source No.",$C1046,"4 Item Ledger Entry Type",$C$4,"2 Item No.","@@"&amp;$F1046,"3 Posting Date",Z$9)+NL("Sum","5802 Value Entry","17 Sales Amount (Actual)","41 Source Type",$C$5,"5 Source no.",$C1046,"4 Item Ledger Entry Type",$C$4,"2 Item No.","@@"&amp;$F1046,"3 Posting Date",Z$9)</t>
  </si>
  <si>
    <t>=-NL("Sum","5802 Value Entry","151 Cost Amount (Expected)","41 Source Type",$C$5,"5 Source No.",$C1046,"4 Item Ledger Entry Type",$C$4,"2 Item No.","@@"&amp;$F1046,"3 Posting Date",Z$9)-NL("Sum","5802 Value Entry","43 Cost Amount (Actual)","41 Source Type",$C$5,"5 Source no.",$C1046,"4 Item Ledger Entry Type",$C$4,"2 Item No.","@@"&amp;$F1046,"3 Posting Date",Z$9)</t>
  </si>
  <si>
    <t>=Z1046-AB1046</t>
  </si>
  <si>
    <t>=IF(Z1046&lt;&gt;0,AC1046/Z1046,"")</t>
  </si>
  <si>
    <t>=C1046</t>
  </si>
  <si>
    <t>=NL("Sum","5802 Value Entry","150 Sales Amount (Expected)","41 Source Type",$C$5,"5 Source No.",$C1047,"4 Item Ledger Entry Type",$C$4,"2 Item No.","@@"&amp;$F1047,"3 Posting Date",J$9)+NL("Sum","5802 Value Entry","17 Sales Amount (Actual)","41 Source Type",$C$5,"5 Source no.",$C1047,"4 Item Ledger Entry Type",$C$4,"2 Item No.","@@"&amp;$F1047,"3 Posting Date",J$9)</t>
  </si>
  <si>
    <t>=-NL("Sum","5802 Value Entry","151 Cost Amount (Expected)","41 Source Type",$C$5,"5 Source No.",$C1047,"4 Item Ledger Entry Type",$C$4,"2 Item No.","@@"&amp;$F1047,"3 Posting Date",J$9)-NL("Sum","5802 Value Entry","43 Cost Amount (Actual)","41 Source Type",$C$5,"5 Source no.",$C1047,"4 Item Ledger Entry Type",$C$4,"2 Item No.","@@"&amp;$F1047,"3 Posting Date",J$9)</t>
  </si>
  <si>
    <t>=J1047-L1047</t>
  </si>
  <si>
    <t>=IF(J1047&lt;&gt;0,M1047/J1047,"")</t>
  </si>
  <si>
    <t>=NL("Sum","5802 Value Entry","150 Sales Amount (Expected)","41 Source Type",$C$5,"5 Source No.",$C1047,"4 Item Ledger Entry Type",$C$4,"2 Item No.","@@"&amp;$F1047,"3 Posting Date",O$9)+NL("Sum","5802 Value Entry","17 Sales Amount (Actual)","41 Source Type",$C$5,"5 Source no.",$C1047,"4 Item Ledger Entry Type",$C$4,"2 Item No.","@@"&amp;$F1047,"3 Posting Date",O$9)</t>
  </si>
  <si>
    <t>=-NL("Sum","5802 Value Entry","151 Cost Amount (Expected)","41 Source Type",$C$5,"5 Source No.",$C1047,"4 Item Ledger Entry Type",$C$4,"2 Item No.","@@"&amp;$F1047,"3 Posting Date",O$9)-NL("Sum","5802 Value Entry","43 Cost Amount (Actual)","41 Source Type",$C$5,"5 Source no.",$C1047,"4 Item Ledger Entry Type",$C$4,"2 Item No.","@@"&amp;$F1047,"3 Posting Date",O$9)</t>
  </si>
  <si>
    <t>=O1047-Q1047</t>
  </si>
  <si>
    <t>=IF(O1047&lt;&gt;0,R1047/O1047,"")</t>
  </si>
  <si>
    <t>=NL("Sum","5802 Value Entry","150 Sales Amount (Expected)","41 Source Type",$C$5,"5 Source No.",$C1047,"4 Item Ledger Entry Type",$C$4,"2 Item No.","@@"&amp;$F1047,"3 Posting Date",U$9)+NL("Sum","5802 Value Entry","17 Sales Amount (Actual)","41 Source Type",$C$5,"5 Source no.",$C1047,"4 Item Ledger Entry Type",$C$4,"2 Item No.","@@"&amp;$F1047,"3 Posting Date",U$9)</t>
  </si>
  <si>
    <t>=-NL("Sum","5802 Value Entry","151 Cost Amount (Expected)","41 Source Type",$C$5,"5 Source No.",$C1047,"4 Item Ledger Entry Type",$C$4,"2 Item No.","@@"&amp;$F1047,"3 Posting Date",U$9)-NL("Sum","5802 Value Entry","43 Cost Amount (Actual)","41 Source Type",$C$5,"5 Source no.",$C1047,"4 Item Ledger Entry Type",$C$4,"2 Item No.","@@"&amp;$F1047,"3 Posting Date",U$9)</t>
  </si>
  <si>
    <t>=U1047-W1047</t>
  </si>
  <si>
    <t>=IF(U1047&lt;&gt;0,X1047/U1047,"")</t>
  </si>
  <si>
    <t>=NL("Sum","5802 Value Entry","150 Sales Amount (Expected)","41 Source Type",$C$5,"5 Source No.",$C1047,"4 Item Ledger Entry Type",$C$4,"2 Item No.","@@"&amp;$F1047,"3 Posting Date",Z$9)+NL("Sum","5802 Value Entry","17 Sales Amount (Actual)","41 Source Type",$C$5,"5 Source no.",$C1047,"4 Item Ledger Entry Type",$C$4,"2 Item No.","@@"&amp;$F1047,"3 Posting Date",Z$9)</t>
  </si>
  <si>
    <t>=-NL("Sum","5802 Value Entry","151 Cost Amount (Expected)","41 Source Type",$C$5,"5 Source No.",$C1047,"4 Item Ledger Entry Type",$C$4,"2 Item No.","@@"&amp;$F1047,"3 Posting Date",Z$9)-NL("Sum","5802 Value Entry","43 Cost Amount (Actual)","41 Source Type",$C$5,"5 Source no.",$C1047,"4 Item Ledger Entry Type",$C$4,"2 Item No.","@@"&amp;$F1047,"3 Posting Date",Z$9)</t>
  </si>
  <si>
    <t>=Z1047-AB1047</t>
  </si>
  <si>
    <t>=IF(Z1047&lt;&gt;0,AC1047/Z1047,"")</t>
  </si>
  <si>
    <t>=C1047</t>
  </si>
  <si>
    <t>=NL("Sum","5802 Value Entry","150 Sales Amount (Expected)","41 Source Type",$C$5,"5 Source No.",$C1048,"4 Item Ledger Entry Type",$C$4,"2 Item No.","@@"&amp;$F1048,"3 Posting Date",J$9)+NL("Sum","5802 Value Entry","17 Sales Amount (Actual)","41 Source Type",$C$5,"5 Source no.",$C1048,"4 Item Ledger Entry Type",$C$4,"2 Item No.","@@"&amp;$F1048,"3 Posting Date",J$9)</t>
  </si>
  <si>
    <t>=-NL("Sum","5802 Value Entry","151 Cost Amount (Expected)","41 Source Type",$C$5,"5 Source No.",$C1048,"4 Item Ledger Entry Type",$C$4,"2 Item No.","@@"&amp;$F1048,"3 Posting Date",J$9)-NL("Sum","5802 Value Entry","43 Cost Amount (Actual)","41 Source Type",$C$5,"5 Source no.",$C1048,"4 Item Ledger Entry Type",$C$4,"2 Item No.","@@"&amp;$F1048,"3 Posting Date",J$9)</t>
  </si>
  <si>
    <t>=J1048-L1048</t>
  </si>
  <si>
    <t>=IF(J1048&lt;&gt;0,M1048/J1048,"")</t>
  </si>
  <si>
    <t>=NL("Sum","5802 Value Entry","150 Sales Amount (Expected)","41 Source Type",$C$5,"5 Source No.",$C1048,"4 Item Ledger Entry Type",$C$4,"2 Item No.","@@"&amp;$F1048,"3 Posting Date",O$9)+NL("Sum","5802 Value Entry","17 Sales Amount (Actual)","41 Source Type",$C$5,"5 Source no.",$C1048,"4 Item Ledger Entry Type",$C$4,"2 Item No.","@@"&amp;$F1048,"3 Posting Date",O$9)</t>
  </si>
  <si>
    <t>=-NL("Sum","5802 Value Entry","151 Cost Amount (Expected)","41 Source Type",$C$5,"5 Source No.",$C1048,"4 Item Ledger Entry Type",$C$4,"2 Item No.","@@"&amp;$F1048,"3 Posting Date",O$9)-NL("Sum","5802 Value Entry","43 Cost Amount (Actual)","41 Source Type",$C$5,"5 Source no.",$C1048,"4 Item Ledger Entry Type",$C$4,"2 Item No.","@@"&amp;$F1048,"3 Posting Date",O$9)</t>
  </si>
  <si>
    <t>=O1048-Q1048</t>
  </si>
  <si>
    <t>=IF(O1048&lt;&gt;0,R1048/O1048,"")</t>
  </si>
  <si>
    <t>=NL("Sum","5802 Value Entry","150 Sales Amount (Expected)","41 Source Type",$C$5,"5 Source No.",$C1048,"4 Item Ledger Entry Type",$C$4,"2 Item No.","@@"&amp;$F1048,"3 Posting Date",U$9)+NL("Sum","5802 Value Entry","17 Sales Amount (Actual)","41 Source Type",$C$5,"5 Source no.",$C1048,"4 Item Ledger Entry Type",$C$4,"2 Item No.","@@"&amp;$F1048,"3 Posting Date",U$9)</t>
  </si>
  <si>
    <t>=-NL("Sum","5802 Value Entry","151 Cost Amount (Expected)","41 Source Type",$C$5,"5 Source No.",$C1048,"4 Item Ledger Entry Type",$C$4,"2 Item No.","@@"&amp;$F1048,"3 Posting Date",U$9)-NL("Sum","5802 Value Entry","43 Cost Amount (Actual)","41 Source Type",$C$5,"5 Source no.",$C1048,"4 Item Ledger Entry Type",$C$4,"2 Item No.","@@"&amp;$F1048,"3 Posting Date",U$9)</t>
  </si>
  <si>
    <t>=U1048-W1048</t>
  </si>
  <si>
    <t>=IF(U1048&lt;&gt;0,X1048/U1048,"")</t>
  </si>
  <si>
    <t>=NL("Sum","5802 Value Entry","150 Sales Amount (Expected)","41 Source Type",$C$5,"5 Source No.",$C1048,"4 Item Ledger Entry Type",$C$4,"2 Item No.","@@"&amp;$F1048,"3 Posting Date",Z$9)+NL("Sum","5802 Value Entry","17 Sales Amount (Actual)","41 Source Type",$C$5,"5 Source no.",$C1048,"4 Item Ledger Entry Type",$C$4,"2 Item No.","@@"&amp;$F1048,"3 Posting Date",Z$9)</t>
  </si>
  <si>
    <t>=-NL("Sum","5802 Value Entry","151 Cost Amount (Expected)","41 Source Type",$C$5,"5 Source No.",$C1048,"4 Item Ledger Entry Type",$C$4,"2 Item No.","@@"&amp;$F1048,"3 Posting Date",Z$9)-NL("Sum","5802 Value Entry","43 Cost Amount (Actual)","41 Source Type",$C$5,"5 Source no.",$C1048,"4 Item Ledger Entry Type",$C$4,"2 Item No.","@@"&amp;$F1048,"3 Posting Date",Z$9)</t>
  </si>
  <si>
    <t>=Z1048-AB1048</t>
  </si>
  <si>
    <t>=IF(Z1048&lt;&gt;0,AC1048/Z1048,"")</t>
  </si>
  <si>
    <t>=C1048</t>
  </si>
  <si>
    <t>=NL("Sum","5802 Value Entry","150 Sales Amount (Expected)","41 Source Type",$C$5,"5 Source No.",$C1049,"4 Item Ledger Entry Type",$C$4,"2 Item No.","@@"&amp;$F1049,"3 Posting Date",J$9)+NL("Sum","5802 Value Entry","17 Sales Amount (Actual)","41 Source Type",$C$5,"5 Source no.",$C1049,"4 Item Ledger Entry Type",$C$4,"2 Item No.","@@"&amp;$F1049,"3 Posting Date",J$9)</t>
  </si>
  <si>
    <t>=-NL("Sum","5802 Value Entry","151 Cost Amount (Expected)","41 Source Type",$C$5,"5 Source No.",$C1049,"4 Item Ledger Entry Type",$C$4,"2 Item No.","@@"&amp;$F1049,"3 Posting Date",J$9)-NL("Sum","5802 Value Entry","43 Cost Amount (Actual)","41 Source Type",$C$5,"5 Source no.",$C1049,"4 Item Ledger Entry Type",$C$4,"2 Item No.","@@"&amp;$F1049,"3 Posting Date",J$9)</t>
  </si>
  <si>
    <t>=J1049-L1049</t>
  </si>
  <si>
    <t>=IF(J1049&lt;&gt;0,M1049/J1049,"")</t>
  </si>
  <si>
    <t>=NL("Sum","5802 Value Entry","150 Sales Amount (Expected)","41 Source Type",$C$5,"5 Source No.",$C1049,"4 Item Ledger Entry Type",$C$4,"2 Item No.","@@"&amp;$F1049,"3 Posting Date",O$9)+NL("Sum","5802 Value Entry","17 Sales Amount (Actual)","41 Source Type",$C$5,"5 Source no.",$C1049,"4 Item Ledger Entry Type",$C$4,"2 Item No.","@@"&amp;$F1049,"3 Posting Date",O$9)</t>
  </si>
  <si>
    <t>=-NL("Sum","5802 Value Entry","151 Cost Amount (Expected)","41 Source Type",$C$5,"5 Source No.",$C1049,"4 Item Ledger Entry Type",$C$4,"2 Item No.","@@"&amp;$F1049,"3 Posting Date",O$9)-NL("Sum","5802 Value Entry","43 Cost Amount (Actual)","41 Source Type",$C$5,"5 Source no.",$C1049,"4 Item Ledger Entry Type",$C$4,"2 Item No.","@@"&amp;$F1049,"3 Posting Date",O$9)</t>
  </si>
  <si>
    <t>=O1049-Q1049</t>
  </si>
  <si>
    <t>=IF(O1049&lt;&gt;0,R1049/O1049,"")</t>
  </si>
  <si>
    <t>=NL("Sum","5802 Value Entry","150 Sales Amount (Expected)","41 Source Type",$C$5,"5 Source No.",$C1049,"4 Item Ledger Entry Type",$C$4,"2 Item No.","@@"&amp;$F1049,"3 Posting Date",U$9)+NL("Sum","5802 Value Entry","17 Sales Amount (Actual)","41 Source Type",$C$5,"5 Source no.",$C1049,"4 Item Ledger Entry Type",$C$4,"2 Item No.","@@"&amp;$F1049,"3 Posting Date",U$9)</t>
  </si>
  <si>
    <t>=-NL("Sum","5802 Value Entry","151 Cost Amount (Expected)","41 Source Type",$C$5,"5 Source No.",$C1049,"4 Item Ledger Entry Type",$C$4,"2 Item No.","@@"&amp;$F1049,"3 Posting Date",U$9)-NL("Sum","5802 Value Entry","43 Cost Amount (Actual)","41 Source Type",$C$5,"5 Source no.",$C1049,"4 Item Ledger Entry Type",$C$4,"2 Item No.","@@"&amp;$F1049,"3 Posting Date",U$9)</t>
  </si>
  <si>
    <t>=U1049-W1049</t>
  </si>
  <si>
    <t>=IF(U1049&lt;&gt;0,X1049/U1049,"")</t>
  </si>
  <si>
    <t>=NL("Sum","5802 Value Entry","150 Sales Amount (Expected)","41 Source Type",$C$5,"5 Source No.",$C1049,"4 Item Ledger Entry Type",$C$4,"2 Item No.","@@"&amp;$F1049,"3 Posting Date",Z$9)+NL("Sum","5802 Value Entry","17 Sales Amount (Actual)","41 Source Type",$C$5,"5 Source no.",$C1049,"4 Item Ledger Entry Type",$C$4,"2 Item No.","@@"&amp;$F1049,"3 Posting Date",Z$9)</t>
  </si>
  <si>
    <t>=-NL("Sum","5802 Value Entry","151 Cost Amount (Expected)","41 Source Type",$C$5,"5 Source No.",$C1049,"4 Item Ledger Entry Type",$C$4,"2 Item No.","@@"&amp;$F1049,"3 Posting Date",Z$9)-NL("Sum","5802 Value Entry","43 Cost Amount (Actual)","41 Source Type",$C$5,"5 Source no.",$C1049,"4 Item Ledger Entry Type",$C$4,"2 Item No.","@@"&amp;$F1049,"3 Posting Date",Z$9)</t>
  </si>
  <si>
    <t>=Z1049-AB1049</t>
  </si>
  <si>
    <t>=IF(Z1049&lt;&gt;0,AC1049/Z1049,"")</t>
  </si>
  <si>
    <t>=C1049</t>
  </si>
  <si>
    <t>=NL("Sum","5802 Value Entry","150 Sales Amount (Expected)","41 Source Type",$C$5,"5 Source No.",$C1050,"4 Item Ledger Entry Type",$C$4,"2 Item No.","@@"&amp;$F1050,"3 Posting Date",J$9)+NL("Sum","5802 Value Entry","17 Sales Amount (Actual)","41 Source Type",$C$5,"5 Source no.",$C1050,"4 Item Ledger Entry Type",$C$4,"2 Item No.","@@"&amp;$F1050,"3 Posting Date",J$9)</t>
  </si>
  <si>
    <t>=-NL("Sum","5802 Value Entry","151 Cost Amount (Expected)","41 Source Type",$C$5,"5 Source No.",$C1050,"4 Item Ledger Entry Type",$C$4,"2 Item No.","@@"&amp;$F1050,"3 Posting Date",J$9)-NL("Sum","5802 Value Entry","43 Cost Amount (Actual)","41 Source Type",$C$5,"5 Source no.",$C1050,"4 Item Ledger Entry Type",$C$4,"2 Item No.","@@"&amp;$F1050,"3 Posting Date",J$9)</t>
  </si>
  <si>
    <t>=J1050-L1050</t>
  </si>
  <si>
    <t>=IF(J1050&lt;&gt;0,M1050/J1050,"")</t>
  </si>
  <si>
    <t>=NL("Sum","5802 Value Entry","150 Sales Amount (Expected)","41 Source Type",$C$5,"5 Source No.",$C1050,"4 Item Ledger Entry Type",$C$4,"2 Item No.","@@"&amp;$F1050,"3 Posting Date",O$9)+NL("Sum","5802 Value Entry","17 Sales Amount (Actual)","41 Source Type",$C$5,"5 Source no.",$C1050,"4 Item Ledger Entry Type",$C$4,"2 Item No.","@@"&amp;$F1050,"3 Posting Date",O$9)</t>
  </si>
  <si>
    <t>=-NL("Sum","5802 Value Entry","151 Cost Amount (Expected)","41 Source Type",$C$5,"5 Source No.",$C1050,"4 Item Ledger Entry Type",$C$4,"2 Item No.","@@"&amp;$F1050,"3 Posting Date",O$9)-NL("Sum","5802 Value Entry","43 Cost Amount (Actual)","41 Source Type",$C$5,"5 Source no.",$C1050,"4 Item Ledger Entry Type",$C$4,"2 Item No.","@@"&amp;$F1050,"3 Posting Date",O$9)</t>
  </si>
  <si>
    <t>=O1050-Q1050</t>
  </si>
  <si>
    <t>=IF(O1050&lt;&gt;0,R1050/O1050,"")</t>
  </si>
  <si>
    <t>=NL("Sum","5802 Value Entry","150 Sales Amount (Expected)","41 Source Type",$C$5,"5 Source No.",$C1050,"4 Item Ledger Entry Type",$C$4,"2 Item No.","@@"&amp;$F1050,"3 Posting Date",U$9)+NL("Sum","5802 Value Entry","17 Sales Amount (Actual)","41 Source Type",$C$5,"5 Source no.",$C1050,"4 Item Ledger Entry Type",$C$4,"2 Item No.","@@"&amp;$F1050,"3 Posting Date",U$9)</t>
  </si>
  <si>
    <t>=-NL("Sum","5802 Value Entry","151 Cost Amount (Expected)","41 Source Type",$C$5,"5 Source No.",$C1050,"4 Item Ledger Entry Type",$C$4,"2 Item No.","@@"&amp;$F1050,"3 Posting Date",U$9)-NL("Sum","5802 Value Entry","43 Cost Amount (Actual)","41 Source Type",$C$5,"5 Source no.",$C1050,"4 Item Ledger Entry Type",$C$4,"2 Item No.","@@"&amp;$F1050,"3 Posting Date",U$9)</t>
  </si>
  <si>
    <t>=U1050-W1050</t>
  </si>
  <si>
    <t>=IF(U1050&lt;&gt;0,X1050/U1050,"")</t>
  </si>
  <si>
    <t>=NL("Sum","5802 Value Entry","150 Sales Amount (Expected)","41 Source Type",$C$5,"5 Source No.",$C1050,"4 Item Ledger Entry Type",$C$4,"2 Item No.","@@"&amp;$F1050,"3 Posting Date",Z$9)+NL("Sum","5802 Value Entry","17 Sales Amount (Actual)","41 Source Type",$C$5,"5 Source no.",$C1050,"4 Item Ledger Entry Type",$C$4,"2 Item No.","@@"&amp;$F1050,"3 Posting Date",Z$9)</t>
  </si>
  <si>
    <t>=-NL("Sum","5802 Value Entry","151 Cost Amount (Expected)","41 Source Type",$C$5,"5 Source No.",$C1050,"4 Item Ledger Entry Type",$C$4,"2 Item No.","@@"&amp;$F1050,"3 Posting Date",Z$9)-NL("Sum","5802 Value Entry","43 Cost Amount (Actual)","41 Source Type",$C$5,"5 Source no.",$C1050,"4 Item Ledger Entry Type",$C$4,"2 Item No.","@@"&amp;$F1050,"3 Posting Date",Z$9)</t>
  </si>
  <si>
    <t>=Z1050-AB1050</t>
  </si>
  <si>
    <t>=IF(Z1050&lt;&gt;0,AC1050/Z1050,"")</t>
  </si>
  <si>
    <t>=C1050</t>
  </si>
  <si>
    <t>=NL("Sum","5802 Value Entry","150 Sales Amount (Expected)","41 Source Type",$C$5,"5 Source No.",$C1051,"4 Item Ledger Entry Type",$C$4,"2 Item No.","@@"&amp;$F1051,"3 Posting Date",J$9)+NL("Sum","5802 Value Entry","17 Sales Amount (Actual)","41 Source Type",$C$5,"5 Source no.",$C1051,"4 Item Ledger Entry Type",$C$4,"2 Item No.","@@"&amp;$F1051,"3 Posting Date",J$9)</t>
  </si>
  <si>
    <t>=-NL("Sum","5802 Value Entry","151 Cost Amount (Expected)","41 Source Type",$C$5,"5 Source No.",$C1051,"4 Item Ledger Entry Type",$C$4,"2 Item No.","@@"&amp;$F1051,"3 Posting Date",J$9)-NL("Sum","5802 Value Entry","43 Cost Amount (Actual)","41 Source Type",$C$5,"5 Source no.",$C1051,"4 Item Ledger Entry Type",$C$4,"2 Item No.","@@"&amp;$F1051,"3 Posting Date",J$9)</t>
  </si>
  <si>
    <t>=J1051-L1051</t>
  </si>
  <si>
    <t>=IF(J1051&lt;&gt;0,M1051/J1051,"")</t>
  </si>
  <si>
    <t>=NL("Sum","5802 Value Entry","150 Sales Amount (Expected)","41 Source Type",$C$5,"5 Source No.",$C1051,"4 Item Ledger Entry Type",$C$4,"2 Item No.","@@"&amp;$F1051,"3 Posting Date",O$9)+NL("Sum","5802 Value Entry","17 Sales Amount (Actual)","41 Source Type",$C$5,"5 Source no.",$C1051,"4 Item Ledger Entry Type",$C$4,"2 Item No.","@@"&amp;$F1051,"3 Posting Date",O$9)</t>
  </si>
  <si>
    <t>=-NL("Sum","5802 Value Entry","151 Cost Amount (Expected)","41 Source Type",$C$5,"5 Source No.",$C1051,"4 Item Ledger Entry Type",$C$4,"2 Item No.","@@"&amp;$F1051,"3 Posting Date",O$9)-NL("Sum","5802 Value Entry","43 Cost Amount (Actual)","41 Source Type",$C$5,"5 Source no.",$C1051,"4 Item Ledger Entry Type",$C$4,"2 Item No.","@@"&amp;$F1051,"3 Posting Date",O$9)</t>
  </si>
  <si>
    <t>=O1051-Q1051</t>
  </si>
  <si>
    <t>=IF(O1051&lt;&gt;0,R1051/O1051,"")</t>
  </si>
  <si>
    <t>=NL("Sum","5802 Value Entry","150 Sales Amount (Expected)","41 Source Type",$C$5,"5 Source No.",$C1051,"4 Item Ledger Entry Type",$C$4,"2 Item No.","@@"&amp;$F1051,"3 Posting Date",U$9)+NL("Sum","5802 Value Entry","17 Sales Amount (Actual)","41 Source Type",$C$5,"5 Source no.",$C1051,"4 Item Ledger Entry Type",$C$4,"2 Item No.","@@"&amp;$F1051,"3 Posting Date",U$9)</t>
  </si>
  <si>
    <t>=-NL("Sum","5802 Value Entry","151 Cost Amount (Expected)","41 Source Type",$C$5,"5 Source No.",$C1051,"4 Item Ledger Entry Type",$C$4,"2 Item No.","@@"&amp;$F1051,"3 Posting Date",U$9)-NL("Sum","5802 Value Entry","43 Cost Amount (Actual)","41 Source Type",$C$5,"5 Source no.",$C1051,"4 Item Ledger Entry Type",$C$4,"2 Item No.","@@"&amp;$F1051,"3 Posting Date",U$9)</t>
  </si>
  <si>
    <t>=U1051-W1051</t>
  </si>
  <si>
    <t>=IF(U1051&lt;&gt;0,X1051/U1051,"")</t>
  </si>
  <si>
    <t>=NL("Sum","5802 Value Entry","150 Sales Amount (Expected)","41 Source Type",$C$5,"5 Source No.",$C1051,"4 Item Ledger Entry Type",$C$4,"2 Item No.","@@"&amp;$F1051,"3 Posting Date",Z$9)+NL("Sum","5802 Value Entry","17 Sales Amount (Actual)","41 Source Type",$C$5,"5 Source no.",$C1051,"4 Item Ledger Entry Type",$C$4,"2 Item No.","@@"&amp;$F1051,"3 Posting Date",Z$9)</t>
  </si>
  <si>
    <t>=-NL("Sum","5802 Value Entry","151 Cost Amount (Expected)","41 Source Type",$C$5,"5 Source No.",$C1051,"4 Item Ledger Entry Type",$C$4,"2 Item No.","@@"&amp;$F1051,"3 Posting Date",Z$9)-NL("Sum","5802 Value Entry","43 Cost Amount (Actual)","41 Source Type",$C$5,"5 Source no.",$C1051,"4 Item Ledger Entry Type",$C$4,"2 Item No.","@@"&amp;$F1051,"3 Posting Date",Z$9)</t>
  </si>
  <si>
    <t>=Z1051-AB1051</t>
  </si>
  <si>
    <t>=IF(Z1051&lt;&gt;0,AC1051/Z1051,"")</t>
  </si>
  <si>
    <t>=C1051</t>
  </si>
  <si>
    <t>=NL("Sum","5802 Value Entry","150 Sales Amount (Expected)","41 Source Type",$C$5,"5 Source No.",$C1052,"4 Item Ledger Entry Type",$C$4,"2 Item No.","@@"&amp;$F1052,"3 Posting Date",J$9)+NL("Sum","5802 Value Entry","17 Sales Amount (Actual)","41 Source Type",$C$5,"5 Source no.",$C1052,"4 Item Ledger Entry Type",$C$4,"2 Item No.","@@"&amp;$F1052,"3 Posting Date",J$9)</t>
  </si>
  <si>
    <t>=-NL("Sum","5802 Value Entry","151 Cost Amount (Expected)","41 Source Type",$C$5,"5 Source No.",$C1052,"4 Item Ledger Entry Type",$C$4,"2 Item No.","@@"&amp;$F1052,"3 Posting Date",J$9)-NL("Sum","5802 Value Entry","43 Cost Amount (Actual)","41 Source Type",$C$5,"5 Source no.",$C1052,"4 Item Ledger Entry Type",$C$4,"2 Item No.","@@"&amp;$F1052,"3 Posting Date",J$9)</t>
  </si>
  <si>
    <t>=J1052-L1052</t>
  </si>
  <si>
    <t>=IF(J1052&lt;&gt;0,M1052/J1052,"")</t>
  </si>
  <si>
    <t>=NL("Sum","5802 Value Entry","150 Sales Amount (Expected)","41 Source Type",$C$5,"5 Source No.",$C1052,"4 Item Ledger Entry Type",$C$4,"2 Item No.","@@"&amp;$F1052,"3 Posting Date",O$9)+NL("Sum","5802 Value Entry","17 Sales Amount (Actual)","41 Source Type",$C$5,"5 Source no.",$C1052,"4 Item Ledger Entry Type",$C$4,"2 Item No.","@@"&amp;$F1052,"3 Posting Date",O$9)</t>
  </si>
  <si>
    <t>=-NL("Sum","5802 Value Entry","151 Cost Amount (Expected)","41 Source Type",$C$5,"5 Source No.",$C1052,"4 Item Ledger Entry Type",$C$4,"2 Item No.","@@"&amp;$F1052,"3 Posting Date",O$9)-NL("Sum","5802 Value Entry","43 Cost Amount (Actual)","41 Source Type",$C$5,"5 Source no.",$C1052,"4 Item Ledger Entry Type",$C$4,"2 Item No.","@@"&amp;$F1052,"3 Posting Date",O$9)</t>
  </si>
  <si>
    <t>=O1052-Q1052</t>
  </si>
  <si>
    <t>=IF(O1052&lt;&gt;0,R1052/O1052,"")</t>
  </si>
  <si>
    <t>=NL("Sum","5802 Value Entry","150 Sales Amount (Expected)","41 Source Type",$C$5,"5 Source No.",$C1052,"4 Item Ledger Entry Type",$C$4,"2 Item No.","@@"&amp;$F1052,"3 Posting Date",U$9)+NL("Sum","5802 Value Entry","17 Sales Amount (Actual)","41 Source Type",$C$5,"5 Source no.",$C1052,"4 Item Ledger Entry Type",$C$4,"2 Item No.","@@"&amp;$F1052,"3 Posting Date",U$9)</t>
  </si>
  <si>
    <t>=-NL("Sum","5802 Value Entry","151 Cost Amount (Expected)","41 Source Type",$C$5,"5 Source No.",$C1052,"4 Item Ledger Entry Type",$C$4,"2 Item No.","@@"&amp;$F1052,"3 Posting Date",U$9)-NL("Sum","5802 Value Entry","43 Cost Amount (Actual)","41 Source Type",$C$5,"5 Source no.",$C1052,"4 Item Ledger Entry Type",$C$4,"2 Item No.","@@"&amp;$F1052,"3 Posting Date",U$9)</t>
  </si>
  <si>
    <t>=U1052-W1052</t>
  </si>
  <si>
    <t>=IF(U1052&lt;&gt;0,X1052/U1052,"")</t>
  </si>
  <si>
    <t>=NL("Sum","5802 Value Entry","150 Sales Amount (Expected)","41 Source Type",$C$5,"5 Source No.",$C1052,"4 Item Ledger Entry Type",$C$4,"2 Item No.","@@"&amp;$F1052,"3 Posting Date",Z$9)+NL("Sum","5802 Value Entry","17 Sales Amount (Actual)","41 Source Type",$C$5,"5 Source no.",$C1052,"4 Item Ledger Entry Type",$C$4,"2 Item No.","@@"&amp;$F1052,"3 Posting Date",Z$9)</t>
  </si>
  <si>
    <t>=-NL("Sum","5802 Value Entry","151 Cost Amount (Expected)","41 Source Type",$C$5,"5 Source No.",$C1052,"4 Item Ledger Entry Type",$C$4,"2 Item No.","@@"&amp;$F1052,"3 Posting Date",Z$9)-NL("Sum","5802 Value Entry","43 Cost Amount (Actual)","41 Source Type",$C$5,"5 Source no.",$C1052,"4 Item Ledger Entry Type",$C$4,"2 Item No.","@@"&amp;$F1052,"3 Posting Date",Z$9)</t>
  </si>
  <si>
    <t>=Z1052-AB1052</t>
  </si>
  <si>
    <t>=IF(Z1052&lt;&gt;0,AC1052/Z1052,"")</t>
  </si>
  <si>
    <t>=C1052</t>
  </si>
  <si>
    <t>=NL("Sum","5802 Value Entry","150 Sales Amount (Expected)","41 Source Type",$C$5,"5 Source No.",$C1053,"4 Item Ledger Entry Type",$C$4,"2 Item No.","@@"&amp;$F1053,"3 Posting Date",J$9)+NL("Sum","5802 Value Entry","17 Sales Amount (Actual)","41 Source Type",$C$5,"5 Source no.",$C1053,"4 Item Ledger Entry Type",$C$4,"2 Item No.","@@"&amp;$F1053,"3 Posting Date",J$9)</t>
  </si>
  <si>
    <t>=-NL("Sum","5802 Value Entry","151 Cost Amount (Expected)","41 Source Type",$C$5,"5 Source No.",$C1053,"4 Item Ledger Entry Type",$C$4,"2 Item No.","@@"&amp;$F1053,"3 Posting Date",J$9)-NL("Sum","5802 Value Entry","43 Cost Amount (Actual)","41 Source Type",$C$5,"5 Source no.",$C1053,"4 Item Ledger Entry Type",$C$4,"2 Item No.","@@"&amp;$F1053,"3 Posting Date",J$9)</t>
  </si>
  <si>
    <t>=J1053-L1053</t>
  </si>
  <si>
    <t>=IF(J1053&lt;&gt;0,M1053/J1053,"")</t>
  </si>
  <si>
    <t>=NL("Sum","5802 Value Entry","150 Sales Amount (Expected)","41 Source Type",$C$5,"5 Source No.",$C1053,"4 Item Ledger Entry Type",$C$4,"2 Item No.","@@"&amp;$F1053,"3 Posting Date",O$9)+NL("Sum","5802 Value Entry","17 Sales Amount (Actual)","41 Source Type",$C$5,"5 Source no.",$C1053,"4 Item Ledger Entry Type",$C$4,"2 Item No.","@@"&amp;$F1053,"3 Posting Date",O$9)</t>
  </si>
  <si>
    <t>=-NL("Sum","5802 Value Entry","151 Cost Amount (Expected)","41 Source Type",$C$5,"5 Source No.",$C1053,"4 Item Ledger Entry Type",$C$4,"2 Item No.","@@"&amp;$F1053,"3 Posting Date",O$9)-NL("Sum","5802 Value Entry","43 Cost Amount (Actual)","41 Source Type",$C$5,"5 Source no.",$C1053,"4 Item Ledger Entry Type",$C$4,"2 Item No.","@@"&amp;$F1053,"3 Posting Date",O$9)</t>
  </si>
  <si>
    <t>=O1053-Q1053</t>
  </si>
  <si>
    <t>=IF(O1053&lt;&gt;0,R1053/O1053,"")</t>
  </si>
  <si>
    <t>=NL("Sum","5802 Value Entry","150 Sales Amount (Expected)","41 Source Type",$C$5,"5 Source No.",$C1053,"4 Item Ledger Entry Type",$C$4,"2 Item No.","@@"&amp;$F1053,"3 Posting Date",U$9)+NL("Sum","5802 Value Entry","17 Sales Amount (Actual)","41 Source Type",$C$5,"5 Source no.",$C1053,"4 Item Ledger Entry Type",$C$4,"2 Item No.","@@"&amp;$F1053,"3 Posting Date",U$9)</t>
  </si>
  <si>
    <t>=-NL("Sum","5802 Value Entry","151 Cost Amount (Expected)","41 Source Type",$C$5,"5 Source No.",$C1053,"4 Item Ledger Entry Type",$C$4,"2 Item No.","@@"&amp;$F1053,"3 Posting Date",U$9)-NL("Sum","5802 Value Entry","43 Cost Amount (Actual)","41 Source Type",$C$5,"5 Source no.",$C1053,"4 Item Ledger Entry Type",$C$4,"2 Item No.","@@"&amp;$F1053,"3 Posting Date",U$9)</t>
  </si>
  <si>
    <t>=U1053-W1053</t>
  </si>
  <si>
    <t>=IF(U1053&lt;&gt;0,X1053/U1053,"")</t>
  </si>
  <si>
    <t>=NL("Sum","5802 Value Entry","150 Sales Amount (Expected)","41 Source Type",$C$5,"5 Source No.",$C1053,"4 Item Ledger Entry Type",$C$4,"2 Item No.","@@"&amp;$F1053,"3 Posting Date",Z$9)+NL("Sum","5802 Value Entry","17 Sales Amount (Actual)","41 Source Type",$C$5,"5 Source no.",$C1053,"4 Item Ledger Entry Type",$C$4,"2 Item No.","@@"&amp;$F1053,"3 Posting Date",Z$9)</t>
  </si>
  <si>
    <t>=-NL("Sum","5802 Value Entry","151 Cost Amount (Expected)","41 Source Type",$C$5,"5 Source No.",$C1053,"4 Item Ledger Entry Type",$C$4,"2 Item No.","@@"&amp;$F1053,"3 Posting Date",Z$9)-NL("Sum","5802 Value Entry","43 Cost Amount (Actual)","41 Source Type",$C$5,"5 Source no.",$C1053,"4 Item Ledger Entry Type",$C$4,"2 Item No.","@@"&amp;$F1053,"3 Posting Date",Z$9)</t>
  </si>
  <si>
    <t>=Z1053-AB1053</t>
  </si>
  <si>
    <t>=IF(Z1053&lt;&gt;0,AC1053/Z1053,"")</t>
  </si>
  <si>
    <t>=C1053</t>
  </si>
  <si>
    <t>=NL("Sum","5802 Value Entry","150 Sales Amount (Expected)","41 Source Type",$C$5,"5 Source No.",$C1054,"4 Item Ledger Entry Type",$C$4,"2 Item No.","@@"&amp;$F1054,"3 Posting Date",J$9)+NL("Sum","5802 Value Entry","17 Sales Amount (Actual)","41 Source Type",$C$5,"5 Source no.",$C1054,"4 Item Ledger Entry Type",$C$4,"2 Item No.","@@"&amp;$F1054,"3 Posting Date",J$9)</t>
  </si>
  <si>
    <t>=-NL("Sum","5802 Value Entry","151 Cost Amount (Expected)","41 Source Type",$C$5,"5 Source No.",$C1054,"4 Item Ledger Entry Type",$C$4,"2 Item No.","@@"&amp;$F1054,"3 Posting Date",J$9)-NL("Sum","5802 Value Entry","43 Cost Amount (Actual)","41 Source Type",$C$5,"5 Source no.",$C1054,"4 Item Ledger Entry Type",$C$4,"2 Item No.","@@"&amp;$F1054,"3 Posting Date",J$9)</t>
  </si>
  <si>
    <t>=J1054-L1054</t>
  </si>
  <si>
    <t>=IF(J1054&lt;&gt;0,M1054/J1054,"")</t>
  </si>
  <si>
    <t>=NL("Sum","5802 Value Entry","150 Sales Amount (Expected)","41 Source Type",$C$5,"5 Source No.",$C1054,"4 Item Ledger Entry Type",$C$4,"2 Item No.","@@"&amp;$F1054,"3 Posting Date",O$9)+NL("Sum","5802 Value Entry","17 Sales Amount (Actual)","41 Source Type",$C$5,"5 Source no.",$C1054,"4 Item Ledger Entry Type",$C$4,"2 Item No.","@@"&amp;$F1054,"3 Posting Date",O$9)</t>
  </si>
  <si>
    <t>=-NL("Sum","5802 Value Entry","151 Cost Amount (Expected)","41 Source Type",$C$5,"5 Source No.",$C1054,"4 Item Ledger Entry Type",$C$4,"2 Item No.","@@"&amp;$F1054,"3 Posting Date",O$9)-NL("Sum","5802 Value Entry","43 Cost Amount (Actual)","41 Source Type",$C$5,"5 Source no.",$C1054,"4 Item Ledger Entry Type",$C$4,"2 Item No.","@@"&amp;$F1054,"3 Posting Date",O$9)</t>
  </si>
  <si>
    <t>=O1054-Q1054</t>
  </si>
  <si>
    <t>=IF(O1054&lt;&gt;0,R1054/O1054,"")</t>
  </si>
  <si>
    <t>=NL("Sum","5802 Value Entry","150 Sales Amount (Expected)","41 Source Type",$C$5,"5 Source No.",$C1054,"4 Item Ledger Entry Type",$C$4,"2 Item No.","@@"&amp;$F1054,"3 Posting Date",U$9)+NL("Sum","5802 Value Entry","17 Sales Amount (Actual)","41 Source Type",$C$5,"5 Source no.",$C1054,"4 Item Ledger Entry Type",$C$4,"2 Item No.","@@"&amp;$F1054,"3 Posting Date",U$9)</t>
  </si>
  <si>
    <t>=-NL("Sum","5802 Value Entry","151 Cost Amount (Expected)","41 Source Type",$C$5,"5 Source No.",$C1054,"4 Item Ledger Entry Type",$C$4,"2 Item No.","@@"&amp;$F1054,"3 Posting Date",U$9)-NL("Sum","5802 Value Entry","43 Cost Amount (Actual)","41 Source Type",$C$5,"5 Source no.",$C1054,"4 Item Ledger Entry Type",$C$4,"2 Item No.","@@"&amp;$F1054,"3 Posting Date",U$9)</t>
  </si>
  <si>
    <t>=U1054-W1054</t>
  </si>
  <si>
    <t>=IF(U1054&lt;&gt;0,X1054/U1054,"")</t>
  </si>
  <si>
    <t>=NL("Sum","5802 Value Entry","150 Sales Amount (Expected)","41 Source Type",$C$5,"5 Source No.",$C1054,"4 Item Ledger Entry Type",$C$4,"2 Item No.","@@"&amp;$F1054,"3 Posting Date",Z$9)+NL("Sum","5802 Value Entry","17 Sales Amount (Actual)","41 Source Type",$C$5,"5 Source no.",$C1054,"4 Item Ledger Entry Type",$C$4,"2 Item No.","@@"&amp;$F1054,"3 Posting Date",Z$9)</t>
  </si>
  <si>
    <t>=-NL("Sum","5802 Value Entry","151 Cost Amount (Expected)","41 Source Type",$C$5,"5 Source No.",$C1054,"4 Item Ledger Entry Type",$C$4,"2 Item No.","@@"&amp;$F1054,"3 Posting Date",Z$9)-NL("Sum","5802 Value Entry","43 Cost Amount (Actual)","41 Source Type",$C$5,"5 Source no.",$C1054,"4 Item Ledger Entry Type",$C$4,"2 Item No.","@@"&amp;$F1054,"3 Posting Date",Z$9)</t>
  </si>
  <si>
    <t>=Z1054-AB1054</t>
  </si>
  <si>
    <t>=IF(Z1054&lt;&gt;0,AC1054/Z1054,"")</t>
  </si>
  <si>
    <t>=C1054</t>
  </si>
  <si>
    <t>="E100035"</t>
  </si>
  <si>
    <t>=NL("Sum","5802 Value Entry","150 Sales Amount (Expected)","41 Source Type",$C$5,"5 Source No.",$C1055,"4 Item Ledger Entry Type",$C$4,"2 Item No.","@@"&amp;$F1055,"3 Posting Date",J$9)+NL("Sum","5802 Value Entry","17 Sales Amount (Actual)","41 Source Type",$C$5,"5 Source no.",$C1055,"4 Item Ledger Entry Type",$C$4,"2 Item No.","@@"&amp;$F1055,"3 Posting Date",J$9)</t>
  </si>
  <si>
    <t>=-NL("Sum","5802 Value Entry","151 Cost Amount (Expected)","41 Source Type",$C$5,"5 Source No.",$C1055,"4 Item Ledger Entry Type",$C$4,"2 Item No.","@@"&amp;$F1055,"3 Posting Date",J$9)-NL("Sum","5802 Value Entry","43 Cost Amount (Actual)","41 Source Type",$C$5,"5 Source no.",$C1055,"4 Item Ledger Entry Type",$C$4,"2 Item No.","@@"&amp;$F1055,"3 Posting Date",J$9)</t>
  </si>
  <si>
    <t>=J1055-L1055</t>
  </si>
  <si>
    <t>=IF(J1055&lt;&gt;0,M1055/J1055,"")</t>
  </si>
  <si>
    <t>=NL("Sum","5802 Value Entry","150 Sales Amount (Expected)","41 Source Type",$C$5,"5 Source No.",$C1055,"4 Item Ledger Entry Type",$C$4,"2 Item No.","@@"&amp;$F1055,"3 Posting Date",O$9)+NL("Sum","5802 Value Entry","17 Sales Amount (Actual)","41 Source Type",$C$5,"5 Source no.",$C1055,"4 Item Ledger Entry Type",$C$4,"2 Item No.","@@"&amp;$F1055,"3 Posting Date",O$9)</t>
  </si>
  <si>
    <t>=-NL("Sum","5802 Value Entry","151 Cost Amount (Expected)","41 Source Type",$C$5,"5 Source No.",$C1055,"4 Item Ledger Entry Type",$C$4,"2 Item No.","@@"&amp;$F1055,"3 Posting Date",O$9)-NL("Sum","5802 Value Entry","43 Cost Amount (Actual)","41 Source Type",$C$5,"5 Source no.",$C1055,"4 Item Ledger Entry Type",$C$4,"2 Item No.","@@"&amp;$F1055,"3 Posting Date",O$9)</t>
  </si>
  <si>
    <t>=O1055-Q1055</t>
  </si>
  <si>
    <t>=IF(O1055&lt;&gt;0,R1055/O1055,"")</t>
  </si>
  <si>
    <t>=NL("Sum","5802 Value Entry","150 Sales Amount (Expected)","41 Source Type",$C$5,"5 Source No.",$C1055,"4 Item Ledger Entry Type",$C$4,"2 Item No.","@@"&amp;$F1055,"3 Posting Date",U$9)+NL("Sum","5802 Value Entry","17 Sales Amount (Actual)","41 Source Type",$C$5,"5 Source no.",$C1055,"4 Item Ledger Entry Type",$C$4,"2 Item No.","@@"&amp;$F1055,"3 Posting Date",U$9)</t>
  </si>
  <si>
    <t>=-NL("Sum","5802 Value Entry","151 Cost Amount (Expected)","41 Source Type",$C$5,"5 Source No.",$C1055,"4 Item Ledger Entry Type",$C$4,"2 Item No.","@@"&amp;$F1055,"3 Posting Date",U$9)-NL("Sum","5802 Value Entry","43 Cost Amount (Actual)","41 Source Type",$C$5,"5 Source no.",$C1055,"4 Item Ledger Entry Type",$C$4,"2 Item No.","@@"&amp;$F1055,"3 Posting Date",U$9)</t>
  </si>
  <si>
    <t>=U1055-W1055</t>
  </si>
  <si>
    <t>=IF(U1055&lt;&gt;0,X1055/U1055,"")</t>
  </si>
  <si>
    <t>=NL("Sum","5802 Value Entry","150 Sales Amount (Expected)","41 Source Type",$C$5,"5 Source No.",$C1055,"4 Item Ledger Entry Type",$C$4,"2 Item No.","@@"&amp;$F1055,"3 Posting Date",Z$9)+NL("Sum","5802 Value Entry","17 Sales Amount (Actual)","41 Source Type",$C$5,"5 Source no.",$C1055,"4 Item Ledger Entry Type",$C$4,"2 Item No.","@@"&amp;$F1055,"3 Posting Date",Z$9)</t>
  </si>
  <si>
    <t>=-NL("Sum","5802 Value Entry","151 Cost Amount (Expected)","41 Source Type",$C$5,"5 Source No.",$C1055,"4 Item Ledger Entry Type",$C$4,"2 Item No.","@@"&amp;$F1055,"3 Posting Date",Z$9)-NL("Sum","5802 Value Entry","43 Cost Amount (Actual)","41 Source Type",$C$5,"5 Source no.",$C1055,"4 Item Ledger Entry Type",$C$4,"2 Item No.","@@"&amp;$F1055,"3 Posting Date",Z$9)</t>
  </si>
  <si>
    <t>=Z1055-AB1055</t>
  </si>
  <si>
    <t>=IF(Z1055&lt;&gt;0,AC1055/Z1055,"")</t>
  </si>
  <si>
    <t>=C1055</t>
  </si>
  <si>
    <t>="E100041"</t>
  </si>
  <si>
    <t>=NL("Sum","5802 Value Entry","150 Sales Amount (Expected)","41 Source Type",$C$5,"5 Source No.",$C1056,"4 Item Ledger Entry Type",$C$4,"2 Item No.","@@"&amp;$F1056,"3 Posting Date",J$9)+NL("Sum","5802 Value Entry","17 Sales Amount (Actual)","41 Source Type",$C$5,"5 Source no.",$C1056,"4 Item Ledger Entry Type",$C$4,"2 Item No.","@@"&amp;$F1056,"3 Posting Date",J$9)</t>
  </si>
  <si>
    <t>=-NL("Sum","5802 Value Entry","151 Cost Amount (Expected)","41 Source Type",$C$5,"5 Source No.",$C1056,"4 Item Ledger Entry Type",$C$4,"2 Item No.","@@"&amp;$F1056,"3 Posting Date",J$9)-NL("Sum","5802 Value Entry","43 Cost Amount (Actual)","41 Source Type",$C$5,"5 Source no.",$C1056,"4 Item Ledger Entry Type",$C$4,"2 Item No.","@@"&amp;$F1056,"3 Posting Date",J$9)</t>
  </si>
  <si>
    <t>=J1056-L1056</t>
  </si>
  <si>
    <t>=IF(J1056&lt;&gt;0,M1056/J1056,"")</t>
  </si>
  <si>
    <t>=NL("Sum","5802 Value Entry","150 Sales Amount (Expected)","41 Source Type",$C$5,"5 Source No.",$C1056,"4 Item Ledger Entry Type",$C$4,"2 Item No.","@@"&amp;$F1056,"3 Posting Date",O$9)+NL("Sum","5802 Value Entry","17 Sales Amount (Actual)","41 Source Type",$C$5,"5 Source no.",$C1056,"4 Item Ledger Entry Type",$C$4,"2 Item No.","@@"&amp;$F1056,"3 Posting Date",O$9)</t>
  </si>
  <si>
    <t>=-NL("Sum","5802 Value Entry","151 Cost Amount (Expected)","41 Source Type",$C$5,"5 Source No.",$C1056,"4 Item Ledger Entry Type",$C$4,"2 Item No.","@@"&amp;$F1056,"3 Posting Date",O$9)-NL("Sum","5802 Value Entry","43 Cost Amount (Actual)","41 Source Type",$C$5,"5 Source no.",$C1056,"4 Item Ledger Entry Type",$C$4,"2 Item No.","@@"&amp;$F1056,"3 Posting Date",O$9)</t>
  </si>
  <si>
    <t>=O1056-Q1056</t>
  </si>
  <si>
    <t>=IF(O1056&lt;&gt;0,R1056/O1056,"")</t>
  </si>
  <si>
    <t>=NL("Sum","5802 Value Entry","150 Sales Amount (Expected)","41 Source Type",$C$5,"5 Source No.",$C1056,"4 Item Ledger Entry Type",$C$4,"2 Item No.","@@"&amp;$F1056,"3 Posting Date",U$9)+NL("Sum","5802 Value Entry","17 Sales Amount (Actual)","41 Source Type",$C$5,"5 Source no.",$C1056,"4 Item Ledger Entry Type",$C$4,"2 Item No.","@@"&amp;$F1056,"3 Posting Date",U$9)</t>
  </si>
  <si>
    <t>=-NL("Sum","5802 Value Entry","151 Cost Amount (Expected)","41 Source Type",$C$5,"5 Source No.",$C1056,"4 Item Ledger Entry Type",$C$4,"2 Item No.","@@"&amp;$F1056,"3 Posting Date",U$9)-NL("Sum","5802 Value Entry","43 Cost Amount (Actual)","41 Source Type",$C$5,"5 Source no.",$C1056,"4 Item Ledger Entry Type",$C$4,"2 Item No.","@@"&amp;$F1056,"3 Posting Date",U$9)</t>
  </si>
  <si>
    <t>=U1056-W1056</t>
  </si>
  <si>
    <t>=IF(U1056&lt;&gt;0,X1056/U1056,"")</t>
  </si>
  <si>
    <t>=NL("Sum","5802 Value Entry","150 Sales Amount (Expected)","41 Source Type",$C$5,"5 Source No.",$C1056,"4 Item Ledger Entry Type",$C$4,"2 Item No.","@@"&amp;$F1056,"3 Posting Date",Z$9)+NL("Sum","5802 Value Entry","17 Sales Amount (Actual)","41 Source Type",$C$5,"5 Source no.",$C1056,"4 Item Ledger Entry Type",$C$4,"2 Item No.","@@"&amp;$F1056,"3 Posting Date",Z$9)</t>
  </si>
  <si>
    <t>=-NL("Sum","5802 Value Entry","151 Cost Amount (Expected)","41 Source Type",$C$5,"5 Source No.",$C1056,"4 Item Ledger Entry Type",$C$4,"2 Item No.","@@"&amp;$F1056,"3 Posting Date",Z$9)-NL("Sum","5802 Value Entry","43 Cost Amount (Actual)","41 Source Type",$C$5,"5 Source no.",$C1056,"4 Item Ledger Entry Type",$C$4,"2 Item No.","@@"&amp;$F1056,"3 Posting Date",Z$9)</t>
  </si>
  <si>
    <t>=Z1056-AB1056</t>
  </si>
  <si>
    <t>=IF(Z1056&lt;&gt;0,AC1056/Z1056,"")</t>
  </si>
  <si>
    <t>=C1056</t>
  </si>
  <si>
    <t>=NL("Sum","5802 Value Entry","150 Sales Amount (Expected)","41 Source Type",$C$5,"5 Source No.",$C1057,"4 Item Ledger Entry Type",$C$4,"2 Item No.","@@"&amp;$F1057,"3 Posting Date",J$9)+NL("Sum","5802 Value Entry","17 Sales Amount (Actual)","41 Source Type",$C$5,"5 Source no.",$C1057,"4 Item Ledger Entry Type",$C$4,"2 Item No.","@@"&amp;$F1057,"3 Posting Date",J$9)</t>
  </si>
  <si>
    <t>=-NL("Sum","5802 Value Entry","151 Cost Amount (Expected)","41 Source Type",$C$5,"5 Source No.",$C1057,"4 Item Ledger Entry Type",$C$4,"2 Item No.","@@"&amp;$F1057,"3 Posting Date",J$9)-NL("Sum","5802 Value Entry","43 Cost Amount (Actual)","41 Source Type",$C$5,"5 Source no.",$C1057,"4 Item Ledger Entry Type",$C$4,"2 Item No.","@@"&amp;$F1057,"3 Posting Date",J$9)</t>
  </si>
  <si>
    <t>=J1057-L1057</t>
  </si>
  <si>
    <t>=IF(J1057&lt;&gt;0,M1057/J1057,"")</t>
  </si>
  <si>
    <t>=NL("Sum","5802 Value Entry","150 Sales Amount (Expected)","41 Source Type",$C$5,"5 Source No.",$C1057,"4 Item Ledger Entry Type",$C$4,"2 Item No.","@@"&amp;$F1057,"3 Posting Date",O$9)+NL("Sum","5802 Value Entry","17 Sales Amount (Actual)","41 Source Type",$C$5,"5 Source no.",$C1057,"4 Item Ledger Entry Type",$C$4,"2 Item No.","@@"&amp;$F1057,"3 Posting Date",O$9)</t>
  </si>
  <si>
    <t>=-NL("Sum","5802 Value Entry","151 Cost Amount (Expected)","41 Source Type",$C$5,"5 Source No.",$C1057,"4 Item Ledger Entry Type",$C$4,"2 Item No.","@@"&amp;$F1057,"3 Posting Date",O$9)-NL("Sum","5802 Value Entry","43 Cost Amount (Actual)","41 Source Type",$C$5,"5 Source no.",$C1057,"4 Item Ledger Entry Type",$C$4,"2 Item No.","@@"&amp;$F1057,"3 Posting Date",O$9)</t>
  </si>
  <si>
    <t>=O1057-Q1057</t>
  </si>
  <si>
    <t>=IF(O1057&lt;&gt;0,R1057/O1057,"")</t>
  </si>
  <si>
    <t>=NL("Sum","5802 Value Entry","150 Sales Amount (Expected)","41 Source Type",$C$5,"5 Source No.",$C1057,"4 Item Ledger Entry Type",$C$4,"2 Item No.","@@"&amp;$F1057,"3 Posting Date",U$9)+NL("Sum","5802 Value Entry","17 Sales Amount (Actual)","41 Source Type",$C$5,"5 Source no.",$C1057,"4 Item Ledger Entry Type",$C$4,"2 Item No.","@@"&amp;$F1057,"3 Posting Date",U$9)</t>
  </si>
  <si>
    <t>=-NL("Sum","5802 Value Entry","151 Cost Amount (Expected)","41 Source Type",$C$5,"5 Source No.",$C1057,"4 Item Ledger Entry Type",$C$4,"2 Item No.","@@"&amp;$F1057,"3 Posting Date",U$9)-NL("Sum","5802 Value Entry","43 Cost Amount (Actual)","41 Source Type",$C$5,"5 Source no.",$C1057,"4 Item Ledger Entry Type",$C$4,"2 Item No.","@@"&amp;$F1057,"3 Posting Date",U$9)</t>
  </si>
  <si>
    <t>=U1057-W1057</t>
  </si>
  <si>
    <t>=IF(U1057&lt;&gt;0,X1057/U1057,"")</t>
  </si>
  <si>
    <t>=NL("Sum","5802 Value Entry","150 Sales Amount (Expected)","41 Source Type",$C$5,"5 Source No.",$C1057,"4 Item Ledger Entry Type",$C$4,"2 Item No.","@@"&amp;$F1057,"3 Posting Date",Z$9)+NL("Sum","5802 Value Entry","17 Sales Amount (Actual)","41 Source Type",$C$5,"5 Source no.",$C1057,"4 Item Ledger Entry Type",$C$4,"2 Item No.","@@"&amp;$F1057,"3 Posting Date",Z$9)</t>
  </si>
  <si>
    <t>=-NL("Sum","5802 Value Entry","151 Cost Amount (Expected)","41 Source Type",$C$5,"5 Source No.",$C1057,"4 Item Ledger Entry Type",$C$4,"2 Item No.","@@"&amp;$F1057,"3 Posting Date",Z$9)-NL("Sum","5802 Value Entry","43 Cost Amount (Actual)","41 Source Type",$C$5,"5 Source no.",$C1057,"4 Item Ledger Entry Type",$C$4,"2 Item No.","@@"&amp;$F1057,"3 Posting Date",Z$9)</t>
  </si>
  <si>
    <t>=Z1057-AB1057</t>
  </si>
  <si>
    <t>=IF(Z1057&lt;&gt;0,AC1057/Z1057,"")</t>
  </si>
  <si>
    <t>="E100044"</t>
  </si>
  <si>
    <t>=C1058</t>
  </si>
  <si>
    <t>="E100047"</t>
  </si>
  <si>
    <t>=J1059-L1059</t>
  </si>
  <si>
    <t>=IF(J1059&lt;&gt;0,M1059/J1059,"")</t>
  </si>
  <si>
    <t>=O1059-Q1059</t>
  </si>
  <si>
    <t>=IF(O1059&lt;&gt;0,R1059/O1059,"")</t>
  </si>
  <si>
    <t>=U1059-W1059</t>
  </si>
  <si>
    <t>=IF(U1059&lt;&gt;0,X1059/U1059,"")</t>
  </si>
  <si>
    <t>=Z1059-AB1059</t>
  </si>
  <si>
    <t>=IF(Z1059&lt;&gt;0,AC1059/Z1059,"")</t>
  </si>
  <si>
    <t>=C1061</t>
  </si>
  <si>
    <t>=C1062</t>
  </si>
  <si>
    <t>="S100023"</t>
  </si>
  <si>
    <t>=NL("Sum","5802 Value Entry","150 Sales Amount (Expected)","41 Source Type",$C$5,"5 Source No.",$C1063,"4 Item Ledger Entry Type",$C$4,"2 Item No.","@@"&amp;$F1063,"3 Posting Date",J$9)+NL("Sum","5802 Value Entry","17 Sales Amount (Actual)","41 Source Type",$C$5,"5 Source no.",$C1063,"4 Item Ledger Entry Type",$C$4,"2 Item No.","@@"&amp;$F1063,"3 Posting Date",J$9)</t>
  </si>
  <si>
    <t>=-NL("Sum","5802 Value Entry","151 Cost Amount (Expected)","41 Source Type",$C$5,"5 Source No.",$C1063,"4 Item Ledger Entry Type",$C$4,"2 Item No.","@@"&amp;$F1063,"3 Posting Date",J$9)-NL("Sum","5802 Value Entry","43 Cost Amount (Actual)","41 Source Type",$C$5,"5 Source no.",$C1063,"4 Item Ledger Entry Type",$C$4,"2 Item No.","@@"&amp;$F1063,"3 Posting Date",J$9)</t>
  </si>
  <si>
    <t>=J1063-L1063</t>
  </si>
  <si>
    <t>=IF(J1063&lt;&gt;0,M1063/J1063,"")</t>
  </si>
  <si>
    <t>=NL("Sum","5802 Value Entry","150 Sales Amount (Expected)","41 Source Type",$C$5,"5 Source No.",$C1063,"4 Item Ledger Entry Type",$C$4,"2 Item No.","@@"&amp;$F1063,"3 Posting Date",O$9)+NL("Sum","5802 Value Entry","17 Sales Amount (Actual)","41 Source Type",$C$5,"5 Source no.",$C1063,"4 Item Ledger Entry Type",$C$4,"2 Item No.","@@"&amp;$F1063,"3 Posting Date",O$9)</t>
  </si>
  <si>
    <t>=-NL("Sum","5802 Value Entry","151 Cost Amount (Expected)","41 Source Type",$C$5,"5 Source No.",$C1063,"4 Item Ledger Entry Type",$C$4,"2 Item No.","@@"&amp;$F1063,"3 Posting Date",O$9)-NL("Sum","5802 Value Entry","43 Cost Amount (Actual)","41 Source Type",$C$5,"5 Source no.",$C1063,"4 Item Ledger Entry Type",$C$4,"2 Item No.","@@"&amp;$F1063,"3 Posting Date",O$9)</t>
  </si>
  <si>
    <t>=O1063-Q1063</t>
  </si>
  <si>
    <t>=IF(O1063&lt;&gt;0,R1063/O1063,"")</t>
  </si>
  <si>
    <t>=NL("Sum","5802 Value Entry","150 Sales Amount (Expected)","41 Source Type",$C$5,"5 Source No.",$C1063,"4 Item Ledger Entry Type",$C$4,"2 Item No.","@@"&amp;$F1063,"3 Posting Date",U$9)+NL("Sum","5802 Value Entry","17 Sales Amount (Actual)","41 Source Type",$C$5,"5 Source no.",$C1063,"4 Item Ledger Entry Type",$C$4,"2 Item No.","@@"&amp;$F1063,"3 Posting Date",U$9)</t>
  </si>
  <si>
    <t>=-NL("Sum","5802 Value Entry","151 Cost Amount (Expected)","41 Source Type",$C$5,"5 Source No.",$C1063,"4 Item Ledger Entry Type",$C$4,"2 Item No.","@@"&amp;$F1063,"3 Posting Date",U$9)-NL("Sum","5802 Value Entry","43 Cost Amount (Actual)","41 Source Type",$C$5,"5 Source no.",$C1063,"4 Item Ledger Entry Type",$C$4,"2 Item No.","@@"&amp;$F1063,"3 Posting Date",U$9)</t>
  </si>
  <si>
    <t>=U1063-W1063</t>
  </si>
  <si>
    <t>=IF(U1063&lt;&gt;0,X1063/U1063,"")</t>
  </si>
  <si>
    <t>=NL("Sum","5802 Value Entry","150 Sales Amount (Expected)","41 Source Type",$C$5,"5 Source No.",$C1063,"4 Item Ledger Entry Type",$C$4,"2 Item No.","@@"&amp;$F1063,"3 Posting Date",Z$9)+NL("Sum","5802 Value Entry","17 Sales Amount (Actual)","41 Source Type",$C$5,"5 Source no.",$C1063,"4 Item Ledger Entry Type",$C$4,"2 Item No.","@@"&amp;$F1063,"3 Posting Date",Z$9)</t>
  </si>
  <si>
    <t>=-NL("Sum","5802 Value Entry","151 Cost Amount (Expected)","41 Source Type",$C$5,"5 Source No.",$C1063,"4 Item Ledger Entry Type",$C$4,"2 Item No.","@@"&amp;$F1063,"3 Posting Date",Z$9)-NL("Sum","5802 Value Entry","43 Cost Amount (Actual)","41 Source Type",$C$5,"5 Source no.",$C1063,"4 Item Ledger Entry Type",$C$4,"2 Item No.","@@"&amp;$F1063,"3 Posting Date",Z$9)</t>
  </si>
  <si>
    <t>=Z1063-AB1063</t>
  </si>
  <si>
    <t>=IF(Z1063&lt;&gt;0,AC1063/Z1063,"")</t>
  </si>
  <si>
    <t>=C1063</t>
  </si>
  <si>
    <t>=NL("Sum","5802 Value Entry","150 Sales Amount (Expected)","41 Source Type",$C$5,"5 Source No.",$C1064,"4 Item Ledger Entry Type",$C$4,"2 Item No.","@@"&amp;$F1064,"3 Posting Date",J$9)+NL("Sum","5802 Value Entry","17 Sales Amount (Actual)","41 Source Type",$C$5,"5 Source no.",$C1064,"4 Item Ledger Entry Type",$C$4,"2 Item No.","@@"&amp;$F1064,"3 Posting Date",J$9)</t>
  </si>
  <si>
    <t>=-NL("Sum","5802 Value Entry","151 Cost Amount (Expected)","41 Source Type",$C$5,"5 Source No.",$C1064,"4 Item Ledger Entry Type",$C$4,"2 Item No.","@@"&amp;$F1064,"3 Posting Date",J$9)-NL("Sum","5802 Value Entry","43 Cost Amount (Actual)","41 Source Type",$C$5,"5 Source no.",$C1064,"4 Item Ledger Entry Type",$C$4,"2 Item No.","@@"&amp;$F1064,"3 Posting Date",J$9)</t>
  </si>
  <si>
    <t>=J1064-L1064</t>
  </si>
  <si>
    <t>=IF(J1064&lt;&gt;0,M1064/J1064,"")</t>
  </si>
  <si>
    <t>=NL("Sum","5802 Value Entry","150 Sales Amount (Expected)","41 Source Type",$C$5,"5 Source No.",$C1064,"4 Item Ledger Entry Type",$C$4,"2 Item No.","@@"&amp;$F1064,"3 Posting Date",O$9)+NL("Sum","5802 Value Entry","17 Sales Amount (Actual)","41 Source Type",$C$5,"5 Source no.",$C1064,"4 Item Ledger Entry Type",$C$4,"2 Item No.","@@"&amp;$F1064,"3 Posting Date",O$9)</t>
  </si>
  <si>
    <t>=-NL("Sum","5802 Value Entry","151 Cost Amount (Expected)","41 Source Type",$C$5,"5 Source No.",$C1064,"4 Item Ledger Entry Type",$C$4,"2 Item No.","@@"&amp;$F1064,"3 Posting Date",O$9)-NL("Sum","5802 Value Entry","43 Cost Amount (Actual)","41 Source Type",$C$5,"5 Source no.",$C1064,"4 Item Ledger Entry Type",$C$4,"2 Item No.","@@"&amp;$F1064,"3 Posting Date",O$9)</t>
  </si>
  <si>
    <t>=O1064-Q1064</t>
  </si>
  <si>
    <t>=IF(O1064&lt;&gt;0,R1064/O1064,"")</t>
  </si>
  <si>
    <t>=NL("Sum","5802 Value Entry","150 Sales Amount (Expected)","41 Source Type",$C$5,"5 Source No.",$C1064,"4 Item Ledger Entry Type",$C$4,"2 Item No.","@@"&amp;$F1064,"3 Posting Date",U$9)+NL("Sum","5802 Value Entry","17 Sales Amount (Actual)","41 Source Type",$C$5,"5 Source no.",$C1064,"4 Item Ledger Entry Type",$C$4,"2 Item No.","@@"&amp;$F1064,"3 Posting Date",U$9)</t>
  </si>
  <si>
    <t>=-NL("Sum","5802 Value Entry","151 Cost Amount (Expected)","41 Source Type",$C$5,"5 Source No.",$C1064,"4 Item Ledger Entry Type",$C$4,"2 Item No.","@@"&amp;$F1064,"3 Posting Date",U$9)-NL("Sum","5802 Value Entry","43 Cost Amount (Actual)","41 Source Type",$C$5,"5 Source no.",$C1064,"4 Item Ledger Entry Type",$C$4,"2 Item No.","@@"&amp;$F1064,"3 Posting Date",U$9)</t>
  </si>
  <si>
    <t>=U1064-W1064</t>
  </si>
  <si>
    <t>=IF(U1064&lt;&gt;0,X1064/U1064,"")</t>
  </si>
  <si>
    <t>=NL("Sum","5802 Value Entry","150 Sales Amount (Expected)","41 Source Type",$C$5,"5 Source No.",$C1064,"4 Item Ledger Entry Type",$C$4,"2 Item No.","@@"&amp;$F1064,"3 Posting Date",Z$9)+NL("Sum","5802 Value Entry","17 Sales Amount (Actual)","41 Source Type",$C$5,"5 Source no.",$C1064,"4 Item Ledger Entry Type",$C$4,"2 Item No.","@@"&amp;$F1064,"3 Posting Date",Z$9)</t>
  </si>
  <si>
    <t>=-NL("Sum","5802 Value Entry","151 Cost Amount (Expected)","41 Source Type",$C$5,"5 Source No.",$C1064,"4 Item Ledger Entry Type",$C$4,"2 Item No.","@@"&amp;$F1064,"3 Posting Date",Z$9)-NL("Sum","5802 Value Entry","43 Cost Amount (Actual)","41 Source Type",$C$5,"5 Source no.",$C1064,"4 Item Ledger Entry Type",$C$4,"2 Item No.","@@"&amp;$F1064,"3 Posting Date",Z$9)</t>
  </si>
  <si>
    <t>=Z1064-AB1064</t>
  </si>
  <si>
    <t>=IF(Z1064&lt;&gt;0,AC1064/Z1064,"")</t>
  </si>
  <si>
    <t>=C1064</t>
  </si>
  <si>
    <t>=NL("Sum","5802 Value Entry","150 Sales Amount (Expected)","41 Source Type",$C$5,"5 Source No.",$C1065,"4 Item Ledger Entry Type",$C$4,"2 Item No.","@@"&amp;$F1065,"3 Posting Date",J$9)+NL("Sum","5802 Value Entry","17 Sales Amount (Actual)","41 Source Type",$C$5,"5 Source no.",$C1065,"4 Item Ledger Entry Type",$C$4,"2 Item No.","@@"&amp;$F1065,"3 Posting Date",J$9)</t>
  </si>
  <si>
    <t>=-NL("Sum","5802 Value Entry","151 Cost Amount (Expected)","41 Source Type",$C$5,"5 Source No.",$C1065,"4 Item Ledger Entry Type",$C$4,"2 Item No.","@@"&amp;$F1065,"3 Posting Date",J$9)-NL("Sum","5802 Value Entry","43 Cost Amount (Actual)","41 Source Type",$C$5,"5 Source no.",$C1065,"4 Item Ledger Entry Type",$C$4,"2 Item No.","@@"&amp;$F1065,"3 Posting Date",J$9)</t>
  </si>
  <si>
    <t>=J1065-L1065</t>
  </si>
  <si>
    <t>=IF(J1065&lt;&gt;0,M1065/J1065,"")</t>
  </si>
  <si>
    <t>=NL("Sum","5802 Value Entry","150 Sales Amount (Expected)","41 Source Type",$C$5,"5 Source No.",$C1065,"4 Item Ledger Entry Type",$C$4,"2 Item No.","@@"&amp;$F1065,"3 Posting Date",O$9)+NL("Sum","5802 Value Entry","17 Sales Amount (Actual)","41 Source Type",$C$5,"5 Source no.",$C1065,"4 Item Ledger Entry Type",$C$4,"2 Item No.","@@"&amp;$F1065,"3 Posting Date",O$9)</t>
  </si>
  <si>
    <t>=-NL("Sum","5802 Value Entry","151 Cost Amount (Expected)","41 Source Type",$C$5,"5 Source No.",$C1065,"4 Item Ledger Entry Type",$C$4,"2 Item No.","@@"&amp;$F1065,"3 Posting Date",O$9)-NL("Sum","5802 Value Entry","43 Cost Amount (Actual)","41 Source Type",$C$5,"5 Source no.",$C1065,"4 Item Ledger Entry Type",$C$4,"2 Item No.","@@"&amp;$F1065,"3 Posting Date",O$9)</t>
  </si>
  <si>
    <t>=O1065-Q1065</t>
  </si>
  <si>
    <t>=IF(O1065&lt;&gt;0,R1065/O1065,"")</t>
  </si>
  <si>
    <t>=NL("Sum","5802 Value Entry","150 Sales Amount (Expected)","41 Source Type",$C$5,"5 Source No.",$C1065,"4 Item Ledger Entry Type",$C$4,"2 Item No.","@@"&amp;$F1065,"3 Posting Date",U$9)+NL("Sum","5802 Value Entry","17 Sales Amount (Actual)","41 Source Type",$C$5,"5 Source no.",$C1065,"4 Item Ledger Entry Type",$C$4,"2 Item No.","@@"&amp;$F1065,"3 Posting Date",U$9)</t>
  </si>
  <si>
    <t>=-NL("Sum","5802 Value Entry","151 Cost Amount (Expected)","41 Source Type",$C$5,"5 Source No.",$C1065,"4 Item Ledger Entry Type",$C$4,"2 Item No.","@@"&amp;$F1065,"3 Posting Date",U$9)-NL("Sum","5802 Value Entry","43 Cost Amount (Actual)","41 Source Type",$C$5,"5 Source no.",$C1065,"4 Item Ledger Entry Type",$C$4,"2 Item No.","@@"&amp;$F1065,"3 Posting Date",U$9)</t>
  </si>
  <si>
    <t>=U1065-W1065</t>
  </si>
  <si>
    <t>=IF(U1065&lt;&gt;0,X1065/U1065,"")</t>
  </si>
  <si>
    <t>=NL("Sum","5802 Value Entry","150 Sales Amount (Expected)","41 Source Type",$C$5,"5 Source No.",$C1065,"4 Item Ledger Entry Type",$C$4,"2 Item No.","@@"&amp;$F1065,"3 Posting Date",Z$9)+NL("Sum","5802 Value Entry","17 Sales Amount (Actual)","41 Source Type",$C$5,"5 Source no.",$C1065,"4 Item Ledger Entry Type",$C$4,"2 Item No.","@@"&amp;$F1065,"3 Posting Date",Z$9)</t>
  </si>
  <si>
    <t>=-NL("Sum","5802 Value Entry","151 Cost Amount (Expected)","41 Source Type",$C$5,"5 Source No.",$C1065,"4 Item Ledger Entry Type",$C$4,"2 Item No.","@@"&amp;$F1065,"3 Posting Date",Z$9)-NL("Sum","5802 Value Entry","43 Cost Amount (Actual)","41 Source Type",$C$5,"5 Source no.",$C1065,"4 Item Ledger Entry Type",$C$4,"2 Item No.","@@"&amp;$F1065,"3 Posting Date",Z$9)</t>
  </si>
  <si>
    <t>=Z1065-AB1065</t>
  </si>
  <si>
    <t>=IF(Z1065&lt;&gt;0,AC1065/Z1065,"")</t>
  </si>
  <si>
    <t>=C1065</t>
  </si>
  <si>
    <t>=NL("Sum","5802 Value Entry","150 Sales Amount (Expected)","41 Source Type",$C$5,"5 Source No.",$C1066,"4 Item Ledger Entry Type",$C$4,"2 Item No.","@@"&amp;$F1066,"3 Posting Date",J$9)+NL("Sum","5802 Value Entry","17 Sales Amount (Actual)","41 Source Type",$C$5,"5 Source no.",$C1066,"4 Item Ledger Entry Type",$C$4,"2 Item No.","@@"&amp;$F1066,"3 Posting Date",J$9)</t>
  </si>
  <si>
    <t>=-NL("Sum","5802 Value Entry","151 Cost Amount (Expected)","41 Source Type",$C$5,"5 Source No.",$C1066,"4 Item Ledger Entry Type",$C$4,"2 Item No.","@@"&amp;$F1066,"3 Posting Date",J$9)-NL("Sum","5802 Value Entry","43 Cost Amount (Actual)","41 Source Type",$C$5,"5 Source no.",$C1066,"4 Item Ledger Entry Type",$C$4,"2 Item No.","@@"&amp;$F1066,"3 Posting Date",J$9)</t>
  </si>
  <si>
    <t>=J1066-L1066</t>
  </si>
  <si>
    <t>=IF(J1066&lt;&gt;0,M1066/J1066,"")</t>
  </si>
  <si>
    <t>=NL("Sum","5802 Value Entry","150 Sales Amount (Expected)","41 Source Type",$C$5,"5 Source No.",$C1066,"4 Item Ledger Entry Type",$C$4,"2 Item No.","@@"&amp;$F1066,"3 Posting Date",O$9)+NL("Sum","5802 Value Entry","17 Sales Amount (Actual)","41 Source Type",$C$5,"5 Source no.",$C1066,"4 Item Ledger Entry Type",$C$4,"2 Item No.","@@"&amp;$F1066,"3 Posting Date",O$9)</t>
  </si>
  <si>
    <t>=-NL("Sum","5802 Value Entry","151 Cost Amount (Expected)","41 Source Type",$C$5,"5 Source No.",$C1066,"4 Item Ledger Entry Type",$C$4,"2 Item No.","@@"&amp;$F1066,"3 Posting Date",O$9)-NL("Sum","5802 Value Entry","43 Cost Amount (Actual)","41 Source Type",$C$5,"5 Source no.",$C1066,"4 Item Ledger Entry Type",$C$4,"2 Item No.","@@"&amp;$F1066,"3 Posting Date",O$9)</t>
  </si>
  <si>
    <t>=O1066-Q1066</t>
  </si>
  <si>
    <t>=IF(O1066&lt;&gt;0,R1066/O1066,"")</t>
  </si>
  <si>
    <t>=NL("Sum","5802 Value Entry","150 Sales Amount (Expected)","41 Source Type",$C$5,"5 Source No.",$C1066,"4 Item Ledger Entry Type",$C$4,"2 Item No.","@@"&amp;$F1066,"3 Posting Date",U$9)+NL("Sum","5802 Value Entry","17 Sales Amount (Actual)","41 Source Type",$C$5,"5 Source no.",$C1066,"4 Item Ledger Entry Type",$C$4,"2 Item No.","@@"&amp;$F1066,"3 Posting Date",U$9)</t>
  </si>
  <si>
    <t>=-NL("Sum","5802 Value Entry","151 Cost Amount (Expected)","41 Source Type",$C$5,"5 Source No.",$C1066,"4 Item Ledger Entry Type",$C$4,"2 Item No.","@@"&amp;$F1066,"3 Posting Date",U$9)-NL("Sum","5802 Value Entry","43 Cost Amount (Actual)","41 Source Type",$C$5,"5 Source no.",$C1066,"4 Item Ledger Entry Type",$C$4,"2 Item No.","@@"&amp;$F1066,"3 Posting Date",U$9)</t>
  </si>
  <si>
    <t>=U1066-W1066</t>
  </si>
  <si>
    <t>=IF(U1066&lt;&gt;0,X1066/U1066,"")</t>
  </si>
  <si>
    <t>=NL("Sum","5802 Value Entry","150 Sales Amount (Expected)","41 Source Type",$C$5,"5 Source No.",$C1066,"4 Item Ledger Entry Type",$C$4,"2 Item No.","@@"&amp;$F1066,"3 Posting Date",Z$9)+NL("Sum","5802 Value Entry","17 Sales Amount (Actual)","41 Source Type",$C$5,"5 Source no.",$C1066,"4 Item Ledger Entry Type",$C$4,"2 Item No.","@@"&amp;$F1066,"3 Posting Date",Z$9)</t>
  </si>
  <si>
    <t>=-NL("Sum","5802 Value Entry","151 Cost Amount (Expected)","41 Source Type",$C$5,"5 Source No.",$C1066,"4 Item Ledger Entry Type",$C$4,"2 Item No.","@@"&amp;$F1066,"3 Posting Date",Z$9)-NL("Sum","5802 Value Entry","43 Cost Amount (Actual)","41 Source Type",$C$5,"5 Source no.",$C1066,"4 Item Ledger Entry Type",$C$4,"2 Item No.","@@"&amp;$F1066,"3 Posting Date",Z$9)</t>
  </si>
  <si>
    <t>=Z1066-AB1066</t>
  </si>
  <si>
    <t>=IF(Z1066&lt;&gt;0,AC1066/Z1066,"")</t>
  </si>
  <si>
    <t>=C1067</t>
  </si>
  <si>
    <t>=J1068-L1068</t>
  </si>
  <si>
    <t>=IF(J1068&lt;&gt;0,M1068/J1068,"")</t>
  </si>
  <si>
    <t>=O1068-Q1068</t>
  </si>
  <si>
    <t>=IF(O1068&lt;&gt;0,R1068/O1068,"")</t>
  </si>
  <si>
    <t>=U1068-W1068</t>
  </si>
  <si>
    <t>=IF(U1068&lt;&gt;0,X1068/U1068,"")</t>
  </si>
  <si>
    <t>=Z1068-AB1068</t>
  </si>
  <si>
    <t>=IF(Z1068&lt;&gt;0,AC1068/Z1068,"")</t>
  </si>
  <si>
    <t>=C1070</t>
  </si>
  <si>
    <t>=C1071</t>
  </si>
  <si>
    <t>=NL("Sum","5802 Value Entry","150 Sales Amount (Expected)","41 Source Type",$C$5,"5 Source No.",$C1072,"4 Item Ledger Entry Type",$C$4,"2 Item No.","@@"&amp;$F1072,"3 Posting Date",J$9)+NL("Sum","5802 Value Entry","17 Sales Amount (Actual)","41 Source Type",$C$5,"5 Source no.",$C1072,"4 Item Ledger Entry Type",$C$4,"2 Item No.","@@"&amp;$F1072,"3 Posting Date",J$9)</t>
  </si>
  <si>
    <t>=-NL("Sum","5802 Value Entry","151 Cost Amount (Expected)","41 Source Type",$C$5,"5 Source No.",$C1072,"4 Item Ledger Entry Type",$C$4,"2 Item No.","@@"&amp;$F1072,"3 Posting Date",J$9)-NL("Sum","5802 Value Entry","43 Cost Amount (Actual)","41 Source Type",$C$5,"5 Source no.",$C1072,"4 Item Ledger Entry Type",$C$4,"2 Item No.","@@"&amp;$F1072,"3 Posting Date",J$9)</t>
  </si>
  <si>
    <t>=J1072-L1072</t>
  </si>
  <si>
    <t>=IF(J1072&lt;&gt;0,M1072/J1072,"")</t>
  </si>
  <si>
    <t>=NL("Sum","5802 Value Entry","150 Sales Amount (Expected)","41 Source Type",$C$5,"5 Source No.",$C1072,"4 Item Ledger Entry Type",$C$4,"2 Item No.","@@"&amp;$F1072,"3 Posting Date",O$9)+NL("Sum","5802 Value Entry","17 Sales Amount (Actual)","41 Source Type",$C$5,"5 Source no.",$C1072,"4 Item Ledger Entry Type",$C$4,"2 Item No.","@@"&amp;$F1072,"3 Posting Date",O$9)</t>
  </si>
  <si>
    <t>=-NL("Sum","5802 Value Entry","151 Cost Amount (Expected)","41 Source Type",$C$5,"5 Source No.",$C1072,"4 Item Ledger Entry Type",$C$4,"2 Item No.","@@"&amp;$F1072,"3 Posting Date",O$9)-NL("Sum","5802 Value Entry","43 Cost Amount (Actual)","41 Source Type",$C$5,"5 Source no.",$C1072,"4 Item Ledger Entry Type",$C$4,"2 Item No.","@@"&amp;$F1072,"3 Posting Date",O$9)</t>
  </si>
  <si>
    <t>=O1072-Q1072</t>
  </si>
  <si>
    <t>=IF(O1072&lt;&gt;0,R1072/O1072,"")</t>
  </si>
  <si>
    <t>=NL("Sum","5802 Value Entry","150 Sales Amount (Expected)","41 Source Type",$C$5,"5 Source No.",$C1072,"4 Item Ledger Entry Type",$C$4,"2 Item No.","@@"&amp;$F1072,"3 Posting Date",U$9)+NL("Sum","5802 Value Entry","17 Sales Amount (Actual)","41 Source Type",$C$5,"5 Source no.",$C1072,"4 Item Ledger Entry Type",$C$4,"2 Item No.","@@"&amp;$F1072,"3 Posting Date",U$9)</t>
  </si>
  <si>
    <t>=-NL("Sum","5802 Value Entry","151 Cost Amount (Expected)","41 Source Type",$C$5,"5 Source No.",$C1072,"4 Item Ledger Entry Type",$C$4,"2 Item No.","@@"&amp;$F1072,"3 Posting Date",U$9)-NL("Sum","5802 Value Entry","43 Cost Amount (Actual)","41 Source Type",$C$5,"5 Source no.",$C1072,"4 Item Ledger Entry Type",$C$4,"2 Item No.","@@"&amp;$F1072,"3 Posting Date",U$9)</t>
  </si>
  <si>
    <t>=U1072-W1072</t>
  </si>
  <si>
    <t>=IF(U1072&lt;&gt;0,X1072/U1072,"")</t>
  </si>
  <si>
    <t>=NL("Sum","5802 Value Entry","150 Sales Amount (Expected)","41 Source Type",$C$5,"5 Source No.",$C1072,"4 Item Ledger Entry Type",$C$4,"2 Item No.","@@"&amp;$F1072,"3 Posting Date",Z$9)+NL("Sum","5802 Value Entry","17 Sales Amount (Actual)","41 Source Type",$C$5,"5 Source no.",$C1072,"4 Item Ledger Entry Type",$C$4,"2 Item No.","@@"&amp;$F1072,"3 Posting Date",Z$9)</t>
  </si>
  <si>
    <t>=-NL("Sum","5802 Value Entry","151 Cost Amount (Expected)","41 Source Type",$C$5,"5 Source No.",$C1072,"4 Item Ledger Entry Type",$C$4,"2 Item No.","@@"&amp;$F1072,"3 Posting Date",Z$9)-NL("Sum","5802 Value Entry","43 Cost Amount (Actual)","41 Source Type",$C$5,"5 Source no.",$C1072,"4 Item Ledger Entry Type",$C$4,"2 Item No.","@@"&amp;$F1072,"3 Posting Date",Z$9)</t>
  </si>
  <si>
    <t>=Z1072-AB1072</t>
  </si>
  <si>
    <t>=IF(Z1072&lt;&gt;0,AC1072/Z1072,"")</t>
  </si>
  <si>
    <t>=C1072</t>
  </si>
  <si>
    <t>=NL("Sum","5802 Value Entry","150 Sales Amount (Expected)","41 Source Type",$C$5,"5 Source No.",$C1073,"4 Item Ledger Entry Type",$C$4,"2 Item No.","@@"&amp;$F1073,"3 Posting Date",J$9)+NL("Sum","5802 Value Entry","17 Sales Amount (Actual)","41 Source Type",$C$5,"5 Source no.",$C1073,"4 Item Ledger Entry Type",$C$4,"2 Item No.","@@"&amp;$F1073,"3 Posting Date",J$9)</t>
  </si>
  <si>
    <t>=-NL("Sum","5802 Value Entry","151 Cost Amount (Expected)","41 Source Type",$C$5,"5 Source No.",$C1073,"4 Item Ledger Entry Type",$C$4,"2 Item No.","@@"&amp;$F1073,"3 Posting Date",J$9)-NL("Sum","5802 Value Entry","43 Cost Amount (Actual)","41 Source Type",$C$5,"5 Source no.",$C1073,"4 Item Ledger Entry Type",$C$4,"2 Item No.","@@"&amp;$F1073,"3 Posting Date",J$9)</t>
  </si>
  <si>
    <t>=J1073-L1073</t>
  </si>
  <si>
    <t>=IF(J1073&lt;&gt;0,M1073/J1073,"")</t>
  </si>
  <si>
    <t>=NL("Sum","5802 Value Entry","150 Sales Amount (Expected)","41 Source Type",$C$5,"5 Source No.",$C1073,"4 Item Ledger Entry Type",$C$4,"2 Item No.","@@"&amp;$F1073,"3 Posting Date",O$9)+NL("Sum","5802 Value Entry","17 Sales Amount (Actual)","41 Source Type",$C$5,"5 Source no.",$C1073,"4 Item Ledger Entry Type",$C$4,"2 Item No.","@@"&amp;$F1073,"3 Posting Date",O$9)</t>
  </si>
  <si>
    <t>=-NL("Sum","5802 Value Entry","151 Cost Amount (Expected)","41 Source Type",$C$5,"5 Source No.",$C1073,"4 Item Ledger Entry Type",$C$4,"2 Item No.","@@"&amp;$F1073,"3 Posting Date",O$9)-NL("Sum","5802 Value Entry","43 Cost Amount (Actual)","41 Source Type",$C$5,"5 Source no.",$C1073,"4 Item Ledger Entry Type",$C$4,"2 Item No.","@@"&amp;$F1073,"3 Posting Date",O$9)</t>
  </si>
  <si>
    <t>=O1073-Q1073</t>
  </si>
  <si>
    <t>=IF(O1073&lt;&gt;0,R1073/O1073,"")</t>
  </si>
  <si>
    <t>=NL("Sum","5802 Value Entry","150 Sales Amount (Expected)","41 Source Type",$C$5,"5 Source No.",$C1073,"4 Item Ledger Entry Type",$C$4,"2 Item No.","@@"&amp;$F1073,"3 Posting Date",U$9)+NL("Sum","5802 Value Entry","17 Sales Amount (Actual)","41 Source Type",$C$5,"5 Source no.",$C1073,"4 Item Ledger Entry Type",$C$4,"2 Item No.","@@"&amp;$F1073,"3 Posting Date",U$9)</t>
  </si>
  <si>
    <t>=-NL("Sum","5802 Value Entry","151 Cost Amount (Expected)","41 Source Type",$C$5,"5 Source No.",$C1073,"4 Item Ledger Entry Type",$C$4,"2 Item No.","@@"&amp;$F1073,"3 Posting Date",U$9)-NL("Sum","5802 Value Entry","43 Cost Amount (Actual)","41 Source Type",$C$5,"5 Source no.",$C1073,"4 Item Ledger Entry Type",$C$4,"2 Item No.","@@"&amp;$F1073,"3 Posting Date",U$9)</t>
  </si>
  <si>
    <t>=U1073-W1073</t>
  </si>
  <si>
    <t>=IF(U1073&lt;&gt;0,X1073/U1073,"")</t>
  </si>
  <si>
    <t>=NL("Sum","5802 Value Entry","150 Sales Amount (Expected)","41 Source Type",$C$5,"5 Source No.",$C1073,"4 Item Ledger Entry Type",$C$4,"2 Item No.","@@"&amp;$F1073,"3 Posting Date",Z$9)+NL("Sum","5802 Value Entry","17 Sales Amount (Actual)","41 Source Type",$C$5,"5 Source no.",$C1073,"4 Item Ledger Entry Type",$C$4,"2 Item No.","@@"&amp;$F1073,"3 Posting Date",Z$9)</t>
  </si>
  <si>
    <t>=-NL("Sum","5802 Value Entry","151 Cost Amount (Expected)","41 Source Type",$C$5,"5 Source No.",$C1073,"4 Item Ledger Entry Type",$C$4,"2 Item No.","@@"&amp;$F1073,"3 Posting Date",Z$9)-NL("Sum","5802 Value Entry","43 Cost Amount (Actual)","41 Source Type",$C$5,"5 Source no.",$C1073,"4 Item Ledger Entry Type",$C$4,"2 Item No.","@@"&amp;$F1073,"3 Posting Date",Z$9)</t>
  </si>
  <si>
    <t>=Z1073-AB1073</t>
  </si>
  <si>
    <t>=IF(Z1073&lt;&gt;0,AC1073/Z1073,"")</t>
  </si>
  <si>
    <t>=C1073</t>
  </si>
  <si>
    <t>=NL("Sum","5802 Value Entry","150 Sales Amount (Expected)","41 Source Type",$C$5,"5 Source No.",$C1074,"4 Item Ledger Entry Type",$C$4,"2 Item No.","@@"&amp;$F1074,"3 Posting Date",J$9)+NL("Sum","5802 Value Entry","17 Sales Amount (Actual)","41 Source Type",$C$5,"5 Source no.",$C1074,"4 Item Ledger Entry Type",$C$4,"2 Item No.","@@"&amp;$F1074,"3 Posting Date",J$9)</t>
  </si>
  <si>
    <t>=-NL("Sum","5802 Value Entry","151 Cost Amount (Expected)","41 Source Type",$C$5,"5 Source No.",$C1074,"4 Item Ledger Entry Type",$C$4,"2 Item No.","@@"&amp;$F1074,"3 Posting Date",J$9)-NL("Sum","5802 Value Entry","43 Cost Amount (Actual)","41 Source Type",$C$5,"5 Source no.",$C1074,"4 Item Ledger Entry Type",$C$4,"2 Item No.","@@"&amp;$F1074,"3 Posting Date",J$9)</t>
  </si>
  <si>
    <t>=J1074-L1074</t>
  </si>
  <si>
    <t>=IF(J1074&lt;&gt;0,M1074/J1074,"")</t>
  </si>
  <si>
    <t>=NL("Sum","5802 Value Entry","150 Sales Amount (Expected)","41 Source Type",$C$5,"5 Source No.",$C1074,"4 Item Ledger Entry Type",$C$4,"2 Item No.","@@"&amp;$F1074,"3 Posting Date",O$9)+NL("Sum","5802 Value Entry","17 Sales Amount (Actual)","41 Source Type",$C$5,"5 Source no.",$C1074,"4 Item Ledger Entry Type",$C$4,"2 Item No.","@@"&amp;$F1074,"3 Posting Date",O$9)</t>
  </si>
  <si>
    <t>=-NL("Sum","5802 Value Entry","151 Cost Amount (Expected)","41 Source Type",$C$5,"5 Source No.",$C1074,"4 Item Ledger Entry Type",$C$4,"2 Item No.","@@"&amp;$F1074,"3 Posting Date",O$9)-NL("Sum","5802 Value Entry","43 Cost Amount (Actual)","41 Source Type",$C$5,"5 Source no.",$C1074,"4 Item Ledger Entry Type",$C$4,"2 Item No.","@@"&amp;$F1074,"3 Posting Date",O$9)</t>
  </si>
  <si>
    <t>=O1074-Q1074</t>
  </si>
  <si>
    <t>=IF(O1074&lt;&gt;0,R1074/O1074,"")</t>
  </si>
  <si>
    <t>=NL("Sum","5802 Value Entry","150 Sales Amount (Expected)","41 Source Type",$C$5,"5 Source No.",$C1074,"4 Item Ledger Entry Type",$C$4,"2 Item No.","@@"&amp;$F1074,"3 Posting Date",U$9)+NL("Sum","5802 Value Entry","17 Sales Amount (Actual)","41 Source Type",$C$5,"5 Source no.",$C1074,"4 Item Ledger Entry Type",$C$4,"2 Item No.","@@"&amp;$F1074,"3 Posting Date",U$9)</t>
  </si>
  <si>
    <t>=-NL("Sum","5802 Value Entry","151 Cost Amount (Expected)","41 Source Type",$C$5,"5 Source No.",$C1074,"4 Item Ledger Entry Type",$C$4,"2 Item No.","@@"&amp;$F1074,"3 Posting Date",U$9)-NL("Sum","5802 Value Entry","43 Cost Amount (Actual)","41 Source Type",$C$5,"5 Source no.",$C1074,"4 Item Ledger Entry Type",$C$4,"2 Item No.","@@"&amp;$F1074,"3 Posting Date",U$9)</t>
  </si>
  <si>
    <t>=U1074-W1074</t>
  </si>
  <si>
    <t>=IF(U1074&lt;&gt;0,X1074/U1074,"")</t>
  </si>
  <si>
    <t>=NL("Sum","5802 Value Entry","150 Sales Amount (Expected)","41 Source Type",$C$5,"5 Source No.",$C1074,"4 Item Ledger Entry Type",$C$4,"2 Item No.","@@"&amp;$F1074,"3 Posting Date",Z$9)+NL("Sum","5802 Value Entry","17 Sales Amount (Actual)","41 Source Type",$C$5,"5 Source no.",$C1074,"4 Item Ledger Entry Type",$C$4,"2 Item No.","@@"&amp;$F1074,"3 Posting Date",Z$9)</t>
  </si>
  <si>
    <t>=-NL("Sum","5802 Value Entry","151 Cost Amount (Expected)","41 Source Type",$C$5,"5 Source No.",$C1074,"4 Item Ledger Entry Type",$C$4,"2 Item No.","@@"&amp;$F1074,"3 Posting Date",Z$9)-NL("Sum","5802 Value Entry","43 Cost Amount (Actual)","41 Source Type",$C$5,"5 Source no.",$C1074,"4 Item Ledger Entry Type",$C$4,"2 Item No.","@@"&amp;$F1074,"3 Posting Date",Z$9)</t>
  </si>
  <si>
    <t>=Z1074-AB1074</t>
  </si>
  <si>
    <t>=IF(Z1074&lt;&gt;0,AC1074/Z1074,"")</t>
  </si>
  <si>
    <t>=C1074</t>
  </si>
  <si>
    <t>=NL("Sum","5802 Value Entry","150 Sales Amount (Expected)","41 Source Type",$C$5,"5 Source No.",$C1075,"4 Item Ledger Entry Type",$C$4,"2 Item No.","@@"&amp;$F1075,"3 Posting Date",J$9)+NL("Sum","5802 Value Entry","17 Sales Amount (Actual)","41 Source Type",$C$5,"5 Source no.",$C1075,"4 Item Ledger Entry Type",$C$4,"2 Item No.","@@"&amp;$F1075,"3 Posting Date",J$9)</t>
  </si>
  <si>
    <t>=-NL("Sum","5802 Value Entry","151 Cost Amount (Expected)","41 Source Type",$C$5,"5 Source No.",$C1075,"4 Item Ledger Entry Type",$C$4,"2 Item No.","@@"&amp;$F1075,"3 Posting Date",J$9)-NL("Sum","5802 Value Entry","43 Cost Amount (Actual)","41 Source Type",$C$5,"5 Source no.",$C1075,"4 Item Ledger Entry Type",$C$4,"2 Item No.","@@"&amp;$F1075,"3 Posting Date",J$9)</t>
  </si>
  <si>
    <t>=J1075-L1075</t>
  </si>
  <si>
    <t>=IF(J1075&lt;&gt;0,M1075/J1075,"")</t>
  </si>
  <si>
    <t>=NL("Sum","5802 Value Entry","150 Sales Amount (Expected)","41 Source Type",$C$5,"5 Source No.",$C1075,"4 Item Ledger Entry Type",$C$4,"2 Item No.","@@"&amp;$F1075,"3 Posting Date",O$9)+NL("Sum","5802 Value Entry","17 Sales Amount (Actual)","41 Source Type",$C$5,"5 Source no.",$C1075,"4 Item Ledger Entry Type",$C$4,"2 Item No.","@@"&amp;$F1075,"3 Posting Date",O$9)</t>
  </si>
  <si>
    <t>=-NL("Sum","5802 Value Entry","151 Cost Amount (Expected)","41 Source Type",$C$5,"5 Source No.",$C1075,"4 Item Ledger Entry Type",$C$4,"2 Item No.","@@"&amp;$F1075,"3 Posting Date",O$9)-NL("Sum","5802 Value Entry","43 Cost Amount (Actual)","41 Source Type",$C$5,"5 Source no.",$C1075,"4 Item Ledger Entry Type",$C$4,"2 Item No.","@@"&amp;$F1075,"3 Posting Date",O$9)</t>
  </si>
  <si>
    <t>=O1075-Q1075</t>
  </si>
  <si>
    <t>=IF(O1075&lt;&gt;0,R1075/O1075,"")</t>
  </si>
  <si>
    <t>=NL("Sum","5802 Value Entry","150 Sales Amount (Expected)","41 Source Type",$C$5,"5 Source No.",$C1075,"4 Item Ledger Entry Type",$C$4,"2 Item No.","@@"&amp;$F1075,"3 Posting Date",U$9)+NL("Sum","5802 Value Entry","17 Sales Amount (Actual)","41 Source Type",$C$5,"5 Source no.",$C1075,"4 Item Ledger Entry Type",$C$4,"2 Item No.","@@"&amp;$F1075,"3 Posting Date",U$9)</t>
  </si>
  <si>
    <t>=-NL("Sum","5802 Value Entry","151 Cost Amount (Expected)","41 Source Type",$C$5,"5 Source No.",$C1075,"4 Item Ledger Entry Type",$C$4,"2 Item No.","@@"&amp;$F1075,"3 Posting Date",U$9)-NL("Sum","5802 Value Entry","43 Cost Amount (Actual)","41 Source Type",$C$5,"5 Source no.",$C1075,"4 Item Ledger Entry Type",$C$4,"2 Item No.","@@"&amp;$F1075,"3 Posting Date",U$9)</t>
  </si>
  <si>
    <t>=U1075-W1075</t>
  </si>
  <si>
    <t>=IF(U1075&lt;&gt;0,X1075/U1075,"")</t>
  </si>
  <si>
    <t>=NL("Sum","5802 Value Entry","150 Sales Amount (Expected)","41 Source Type",$C$5,"5 Source No.",$C1075,"4 Item Ledger Entry Type",$C$4,"2 Item No.","@@"&amp;$F1075,"3 Posting Date",Z$9)+NL("Sum","5802 Value Entry","17 Sales Amount (Actual)","41 Source Type",$C$5,"5 Source no.",$C1075,"4 Item Ledger Entry Type",$C$4,"2 Item No.","@@"&amp;$F1075,"3 Posting Date",Z$9)</t>
  </si>
  <si>
    <t>=-NL("Sum","5802 Value Entry","151 Cost Amount (Expected)","41 Source Type",$C$5,"5 Source No.",$C1075,"4 Item Ledger Entry Type",$C$4,"2 Item No.","@@"&amp;$F1075,"3 Posting Date",Z$9)-NL("Sum","5802 Value Entry","43 Cost Amount (Actual)","41 Source Type",$C$5,"5 Source no.",$C1075,"4 Item Ledger Entry Type",$C$4,"2 Item No.","@@"&amp;$F1075,"3 Posting Date",Z$9)</t>
  </si>
  <si>
    <t>=Z1075-AB1075</t>
  </si>
  <si>
    <t>=IF(Z1075&lt;&gt;0,AC1075/Z1075,"")</t>
  </si>
  <si>
    <t>=C1075</t>
  </si>
  <si>
    <t>=NL("Sum","5802 Value Entry","150 Sales Amount (Expected)","41 Source Type",$C$5,"5 Source No.",$C1076,"4 Item Ledger Entry Type",$C$4,"2 Item No.","@@"&amp;$F1076,"3 Posting Date",J$9)+NL("Sum","5802 Value Entry","17 Sales Amount (Actual)","41 Source Type",$C$5,"5 Source no.",$C1076,"4 Item Ledger Entry Type",$C$4,"2 Item No.","@@"&amp;$F1076,"3 Posting Date",J$9)</t>
  </si>
  <si>
    <t>=-NL("Sum","5802 Value Entry","151 Cost Amount (Expected)","41 Source Type",$C$5,"5 Source No.",$C1076,"4 Item Ledger Entry Type",$C$4,"2 Item No.","@@"&amp;$F1076,"3 Posting Date",J$9)-NL("Sum","5802 Value Entry","43 Cost Amount (Actual)","41 Source Type",$C$5,"5 Source no.",$C1076,"4 Item Ledger Entry Type",$C$4,"2 Item No.","@@"&amp;$F1076,"3 Posting Date",J$9)</t>
  </si>
  <si>
    <t>=J1076-L1076</t>
  </si>
  <si>
    <t>=IF(J1076&lt;&gt;0,M1076/J1076,"")</t>
  </si>
  <si>
    <t>=NL("Sum","5802 Value Entry","150 Sales Amount (Expected)","41 Source Type",$C$5,"5 Source No.",$C1076,"4 Item Ledger Entry Type",$C$4,"2 Item No.","@@"&amp;$F1076,"3 Posting Date",O$9)+NL("Sum","5802 Value Entry","17 Sales Amount (Actual)","41 Source Type",$C$5,"5 Source no.",$C1076,"4 Item Ledger Entry Type",$C$4,"2 Item No.","@@"&amp;$F1076,"3 Posting Date",O$9)</t>
  </si>
  <si>
    <t>=-NL("Sum","5802 Value Entry","151 Cost Amount (Expected)","41 Source Type",$C$5,"5 Source No.",$C1076,"4 Item Ledger Entry Type",$C$4,"2 Item No.","@@"&amp;$F1076,"3 Posting Date",O$9)-NL("Sum","5802 Value Entry","43 Cost Amount (Actual)","41 Source Type",$C$5,"5 Source no.",$C1076,"4 Item Ledger Entry Type",$C$4,"2 Item No.","@@"&amp;$F1076,"3 Posting Date",O$9)</t>
  </si>
  <si>
    <t>=O1076-Q1076</t>
  </si>
  <si>
    <t>=IF(O1076&lt;&gt;0,R1076/O1076,"")</t>
  </si>
  <si>
    <t>=NL("Sum","5802 Value Entry","150 Sales Amount (Expected)","41 Source Type",$C$5,"5 Source No.",$C1076,"4 Item Ledger Entry Type",$C$4,"2 Item No.","@@"&amp;$F1076,"3 Posting Date",U$9)+NL("Sum","5802 Value Entry","17 Sales Amount (Actual)","41 Source Type",$C$5,"5 Source no.",$C1076,"4 Item Ledger Entry Type",$C$4,"2 Item No.","@@"&amp;$F1076,"3 Posting Date",U$9)</t>
  </si>
  <si>
    <t>=-NL("Sum","5802 Value Entry","151 Cost Amount (Expected)","41 Source Type",$C$5,"5 Source No.",$C1076,"4 Item Ledger Entry Type",$C$4,"2 Item No.","@@"&amp;$F1076,"3 Posting Date",U$9)-NL("Sum","5802 Value Entry","43 Cost Amount (Actual)","41 Source Type",$C$5,"5 Source no.",$C1076,"4 Item Ledger Entry Type",$C$4,"2 Item No.","@@"&amp;$F1076,"3 Posting Date",U$9)</t>
  </si>
  <si>
    <t>=U1076-W1076</t>
  </si>
  <si>
    <t>=IF(U1076&lt;&gt;0,X1076/U1076,"")</t>
  </si>
  <si>
    <t>=NL("Sum","5802 Value Entry","150 Sales Amount (Expected)","41 Source Type",$C$5,"5 Source No.",$C1076,"4 Item Ledger Entry Type",$C$4,"2 Item No.","@@"&amp;$F1076,"3 Posting Date",Z$9)+NL("Sum","5802 Value Entry","17 Sales Amount (Actual)","41 Source Type",$C$5,"5 Source no.",$C1076,"4 Item Ledger Entry Type",$C$4,"2 Item No.","@@"&amp;$F1076,"3 Posting Date",Z$9)</t>
  </si>
  <si>
    <t>=-NL("Sum","5802 Value Entry","151 Cost Amount (Expected)","41 Source Type",$C$5,"5 Source No.",$C1076,"4 Item Ledger Entry Type",$C$4,"2 Item No.","@@"&amp;$F1076,"3 Posting Date",Z$9)-NL("Sum","5802 Value Entry","43 Cost Amount (Actual)","41 Source Type",$C$5,"5 Source no.",$C1076,"4 Item Ledger Entry Type",$C$4,"2 Item No.","@@"&amp;$F1076,"3 Posting Date",Z$9)</t>
  </si>
  <si>
    <t>=Z1076-AB1076</t>
  </si>
  <si>
    <t>=IF(Z1076&lt;&gt;0,AC1076/Z1076,"")</t>
  </si>
  <si>
    <t>=C1076</t>
  </si>
  <si>
    <t>=NL("Sum","5802 Value Entry","150 Sales Amount (Expected)","41 Source Type",$C$5,"5 Source No.",$C1077,"4 Item Ledger Entry Type",$C$4,"2 Item No.","@@"&amp;$F1077,"3 Posting Date",J$9)+NL("Sum","5802 Value Entry","17 Sales Amount (Actual)","41 Source Type",$C$5,"5 Source no.",$C1077,"4 Item Ledger Entry Type",$C$4,"2 Item No.","@@"&amp;$F1077,"3 Posting Date",J$9)</t>
  </si>
  <si>
    <t>=-NL("Sum","5802 Value Entry","151 Cost Amount (Expected)","41 Source Type",$C$5,"5 Source No.",$C1077,"4 Item Ledger Entry Type",$C$4,"2 Item No.","@@"&amp;$F1077,"3 Posting Date",J$9)-NL("Sum","5802 Value Entry","43 Cost Amount (Actual)","41 Source Type",$C$5,"5 Source no.",$C1077,"4 Item Ledger Entry Type",$C$4,"2 Item No.","@@"&amp;$F1077,"3 Posting Date",J$9)</t>
  </si>
  <si>
    <t>=J1077-L1077</t>
  </si>
  <si>
    <t>=IF(J1077&lt;&gt;0,M1077/J1077,"")</t>
  </si>
  <si>
    <t>=NL("Sum","5802 Value Entry","150 Sales Amount (Expected)","41 Source Type",$C$5,"5 Source No.",$C1077,"4 Item Ledger Entry Type",$C$4,"2 Item No.","@@"&amp;$F1077,"3 Posting Date",O$9)+NL("Sum","5802 Value Entry","17 Sales Amount (Actual)","41 Source Type",$C$5,"5 Source no.",$C1077,"4 Item Ledger Entry Type",$C$4,"2 Item No.","@@"&amp;$F1077,"3 Posting Date",O$9)</t>
  </si>
  <si>
    <t>=-NL("Sum","5802 Value Entry","151 Cost Amount (Expected)","41 Source Type",$C$5,"5 Source No.",$C1077,"4 Item Ledger Entry Type",$C$4,"2 Item No.","@@"&amp;$F1077,"3 Posting Date",O$9)-NL("Sum","5802 Value Entry","43 Cost Amount (Actual)","41 Source Type",$C$5,"5 Source no.",$C1077,"4 Item Ledger Entry Type",$C$4,"2 Item No.","@@"&amp;$F1077,"3 Posting Date",O$9)</t>
  </si>
  <si>
    <t>=O1077-Q1077</t>
  </si>
  <si>
    <t>=IF(O1077&lt;&gt;0,R1077/O1077,"")</t>
  </si>
  <si>
    <t>=NL("Sum","5802 Value Entry","150 Sales Amount (Expected)","41 Source Type",$C$5,"5 Source No.",$C1077,"4 Item Ledger Entry Type",$C$4,"2 Item No.","@@"&amp;$F1077,"3 Posting Date",U$9)+NL("Sum","5802 Value Entry","17 Sales Amount (Actual)","41 Source Type",$C$5,"5 Source no.",$C1077,"4 Item Ledger Entry Type",$C$4,"2 Item No.","@@"&amp;$F1077,"3 Posting Date",U$9)</t>
  </si>
  <si>
    <t>=-NL("Sum","5802 Value Entry","151 Cost Amount (Expected)","41 Source Type",$C$5,"5 Source No.",$C1077,"4 Item Ledger Entry Type",$C$4,"2 Item No.","@@"&amp;$F1077,"3 Posting Date",U$9)-NL("Sum","5802 Value Entry","43 Cost Amount (Actual)","41 Source Type",$C$5,"5 Source no.",$C1077,"4 Item Ledger Entry Type",$C$4,"2 Item No.","@@"&amp;$F1077,"3 Posting Date",U$9)</t>
  </si>
  <si>
    <t>=U1077-W1077</t>
  </si>
  <si>
    <t>=IF(U1077&lt;&gt;0,X1077/U1077,"")</t>
  </si>
  <si>
    <t>=NL("Sum","5802 Value Entry","150 Sales Amount (Expected)","41 Source Type",$C$5,"5 Source No.",$C1077,"4 Item Ledger Entry Type",$C$4,"2 Item No.","@@"&amp;$F1077,"3 Posting Date",Z$9)+NL("Sum","5802 Value Entry","17 Sales Amount (Actual)","41 Source Type",$C$5,"5 Source no.",$C1077,"4 Item Ledger Entry Type",$C$4,"2 Item No.","@@"&amp;$F1077,"3 Posting Date",Z$9)</t>
  </si>
  <si>
    <t>=-NL("Sum","5802 Value Entry","151 Cost Amount (Expected)","41 Source Type",$C$5,"5 Source No.",$C1077,"4 Item Ledger Entry Type",$C$4,"2 Item No.","@@"&amp;$F1077,"3 Posting Date",Z$9)-NL("Sum","5802 Value Entry","43 Cost Amount (Actual)","41 Source Type",$C$5,"5 Source no.",$C1077,"4 Item Ledger Entry Type",$C$4,"2 Item No.","@@"&amp;$F1077,"3 Posting Date",Z$9)</t>
  </si>
  <si>
    <t>=Z1077-AB1077</t>
  </si>
  <si>
    <t>=IF(Z1077&lt;&gt;0,AC1077/Z1077,"")</t>
  </si>
  <si>
    <t>=C1077</t>
  </si>
  <si>
    <t>=NL("Sum","5802 Value Entry","150 Sales Amount (Expected)","41 Source Type",$C$5,"5 Source No.",$C1078,"4 Item Ledger Entry Type",$C$4,"2 Item No.","@@"&amp;$F1078,"3 Posting Date",J$9)+NL("Sum","5802 Value Entry","17 Sales Amount (Actual)","41 Source Type",$C$5,"5 Source no.",$C1078,"4 Item Ledger Entry Type",$C$4,"2 Item No.","@@"&amp;$F1078,"3 Posting Date",J$9)</t>
  </si>
  <si>
    <t>=-NL("Sum","5802 Value Entry","151 Cost Amount (Expected)","41 Source Type",$C$5,"5 Source No.",$C1078,"4 Item Ledger Entry Type",$C$4,"2 Item No.","@@"&amp;$F1078,"3 Posting Date",J$9)-NL("Sum","5802 Value Entry","43 Cost Amount (Actual)","41 Source Type",$C$5,"5 Source no.",$C1078,"4 Item Ledger Entry Type",$C$4,"2 Item No.","@@"&amp;$F1078,"3 Posting Date",J$9)</t>
  </si>
  <si>
    <t>=J1078-L1078</t>
  </si>
  <si>
    <t>=IF(J1078&lt;&gt;0,M1078/J1078,"")</t>
  </si>
  <si>
    <t>=NL("Sum","5802 Value Entry","150 Sales Amount (Expected)","41 Source Type",$C$5,"5 Source No.",$C1078,"4 Item Ledger Entry Type",$C$4,"2 Item No.","@@"&amp;$F1078,"3 Posting Date",O$9)+NL("Sum","5802 Value Entry","17 Sales Amount (Actual)","41 Source Type",$C$5,"5 Source no.",$C1078,"4 Item Ledger Entry Type",$C$4,"2 Item No.","@@"&amp;$F1078,"3 Posting Date",O$9)</t>
  </si>
  <si>
    <t>=-NL("Sum","5802 Value Entry","151 Cost Amount (Expected)","41 Source Type",$C$5,"5 Source No.",$C1078,"4 Item Ledger Entry Type",$C$4,"2 Item No.","@@"&amp;$F1078,"3 Posting Date",O$9)-NL("Sum","5802 Value Entry","43 Cost Amount (Actual)","41 Source Type",$C$5,"5 Source no.",$C1078,"4 Item Ledger Entry Type",$C$4,"2 Item No.","@@"&amp;$F1078,"3 Posting Date",O$9)</t>
  </si>
  <si>
    <t>=O1078-Q1078</t>
  </si>
  <si>
    <t>=IF(O1078&lt;&gt;0,R1078/O1078,"")</t>
  </si>
  <si>
    <t>=NL("Sum","5802 Value Entry","150 Sales Amount (Expected)","41 Source Type",$C$5,"5 Source No.",$C1078,"4 Item Ledger Entry Type",$C$4,"2 Item No.","@@"&amp;$F1078,"3 Posting Date",U$9)+NL("Sum","5802 Value Entry","17 Sales Amount (Actual)","41 Source Type",$C$5,"5 Source no.",$C1078,"4 Item Ledger Entry Type",$C$4,"2 Item No.","@@"&amp;$F1078,"3 Posting Date",U$9)</t>
  </si>
  <si>
    <t>=-NL("Sum","5802 Value Entry","151 Cost Amount (Expected)","41 Source Type",$C$5,"5 Source No.",$C1078,"4 Item Ledger Entry Type",$C$4,"2 Item No.","@@"&amp;$F1078,"3 Posting Date",U$9)-NL("Sum","5802 Value Entry","43 Cost Amount (Actual)","41 Source Type",$C$5,"5 Source no.",$C1078,"4 Item Ledger Entry Type",$C$4,"2 Item No.","@@"&amp;$F1078,"3 Posting Date",U$9)</t>
  </si>
  <si>
    <t>=U1078-W1078</t>
  </si>
  <si>
    <t>=IF(U1078&lt;&gt;0,X1078/U1078,"")</t>
  </si>
  <si>
    <t>=NL("Sum","5802 Value Entry","150 Sales Amount (Expected)","41 Source Type",$C$5,"5 Source No.",$C1078,"4 Item Ledger Entry Type",$C$4,"2 Item No.","@@"&amp;$F1078,"3 Posting Date",Z$9)+NL("Sum","5802 Value Entry","17 Sales Amount (Actual)","41 Source Type",$C$5,"5 Source no.",$C1078,"4 Item Ledger Entry Type",$C$4,"2 Item No.","@@"&amp;$F1078,"3 Posting Date",Z$9)</t>
  </si>
  <si>
    <t>=-NL("Sum","5802 Value Entry","151 Cost Amount (Expected)","41 Source Type",$C$5,"5 Source No.",$C1078,"4 Item Ledger Entry Type",$C$4,"2 Item No.","@@"&amp;$F1078,"3 Posting Date",Z$9)-NL("Sum","5802 Value Entry","43 Cost Amount (Actual)","41 Source Type",$C$5,"5 Source no.",$C1078,"4 Item Ledger Entry Type",$C$4,"2 Item No.","@@"&amp;$F1078,"3 Posting Date",Z$9)</t>
  </si>
  <si>
    <t>=Z1078-AB1078</t>
  </si>
  <si>
    <t>=IF(Z1078&lt;&gt;0,AC1078/Z1078,"")</t>
  </si>
  <si>
    <t>=C1079</t>
  </si>
  <si>
    <t>=J1080-L1080</t>
  </si>
  <si>
    <t>=IF(J1080&lt;&gt;0,M1080/J1080,"")</t>
  </si>
  <si>
    <t>=O1080-Q1080</t>
  </si>
  <si>
    <t>=IF(O1080&lt;&gt;0,R1080/O1080,"")</t>
  </si>
  <si>
    <t>=U1080-W1080</t>
  </si>
  <si>
    <t>=IF(U1080&lt;&gt;0,X1080/U1080,"")</t>
  </si>
  <si>
    <t>=Z1080-AB1080</t>
  </si>
  <si>
    <t>=IF(Z1080&lt;&gt;0,AC1080/Z1080,"")</t>
  </si>
  <si>
    <t>=C1082</t>
  </si>
  <si>
    <t>=C1083</t>
  </si>
  <si>
    <t>=NL("Sum","5802 Value Entry","150 Sales Amount (Expected)","41 Source Type",$C$5,"5 Source No.",$C1084,"4 Item Ledger Entry Type",$C$4,"2 Item No.","@@"&amp;$F1084,"3 Posting Date",J$9)+NL("Sum","5802 Value Entry","17 Sales Amount (Actual)","41 Source Type",$C$5,"5 Source no.",$C1084,"4 Item Ledger Entry Type",$C$4,"2 Item No.","@@"&amp;$F1084,"3 Posting Date",J$9)</t>
  </si>
  <si>
    <t>=-NL("Sum","5802 Value Entry","151 Cost Amount (Expected)","41 Source Type",$C$5,"5 Source No.",$C1084,"4 Item Ledger Entry Type",$C$4,"2 Item No.","@@"&amp;$F1084,"3 Posting Date",J$9)-NL("Sum","5802 Value Entry","43 Cost Amount (Actual)","41 Source Type",$C$5,"5 Source no.",$C1084,"4 Item Ledger Entry Type",$C$4,"2 Item No.","@@"&amp;$F1084,"3 Posting Date",J$9)</t>
  </si>
  <si>
    <t>=J1084-L1084</t>
  </si>
  <si>
    <t>=IF(J1084&lt;&gt;0,M1084/J1084,"")</t>
  </si>
  <si>
    <t>=NL("Sum","5802 Value Entry","150 Sales Amount (Expected)","41 Source Type",$C$5,"5 Source No.",$C1084,"4 Item Ledger Entry Type",$C$4,"2 Item No.","@@"&amp;$F1084,"3 Posting Date",O$9)+NL("Sum","5802 Value Entry","17 Sales Amount (Actual)","41 Source Type",$C$5,"5 Source no.",$C1084,"4 Item Ledger Entry Type",$C$4,"2 Item No.","@@"&amp;$F1084,"3 Posting Date",O$9)</t>
  </si>
  <si>
    <t>=-NL("Sum","5802 Value Entry","151 Cost Amount (Expected)","41 Source Type",$C$5,"5 Source No.",$C1084,"4 Item Ledger Entry Type",$C$4,"2 Item No.","@@"&amp;$F1084,"3 Posting Date",O$9)-NL("Sum","5802 Value Entry","43 Cost Amount (Actual)","41 Source Type",$C$5,"5 Source no.",$C1084,"4 Item Ledger Entry Type",$C$4,"2 Item No.","@@"&amp;$F1084,"3 Posting Date",O$9)</t>
  </si>
  <si>
    <t>=O1084-Q1084</t>
  </si>
  <si>
    <t>=IF(O1084&lt;&gt;0,R1084/O1084,"")</t>
  </si>
  <si>
    <t>=NL("Sum","5802 Value Entry","150 Sales Amount (Expected)","41 Source Type",$C$5,"5 Source No.",$C1084,"4 Item Ledger Entry Type",$C$4,"2 Item No.","@@"&amp;$F1084,"3 Posting Date",U$9)+NL("Sum","5802 Value Entry","17 Sales Amount (Actual)","41 Source Type",$C$5,"5 Source no.",$C1084,"4 Item Ledger Entry Type",$C$4,"2 Item No.","@@"&amp;$F1084,"3 Posting Date",U$9)</t>
  </si>
  <si>
    <t>=-NL("Sum","5802 Value Entry","151 Cost Amount (Expected)","41 Source Type",$C$5,"5 Source No.",$C1084,"4 Item Ledger Entry Type",$C$4,"2 Item No.","@@"&amp;$F1084,"3 Posting Date",U$9)-NL("Sum","5802 Value Entry","43 Cost Amount (Actual)","41 Source Type",$C$5,"5 Source no.",$C1084,"4 Item Ledger Entry Type",$C$4,"2 Item No.","@@"&amp;$F1084,"3 Posting Date",U$9)</t>
  </si>
  <si>
    <t>=U1084-W1084</t>
  </si>
  <si>
    <t>=IF(U1084&lt;&gt;0,X1084/U1084,"")</t>
  </si>
  <si>
    <t>=NL("Sum","5802 Value Entry","150 Sales Amount (Expected)","41 Source Type",$C$5,"5 Source No.",$C1084,"4 Item Ledger Entry Type",$C$4,"2 Item No.","@@"&amp;$F1084,"3 Posting Date",Z$9)+NL("Sum","5802 Value Entry","17 Sales Amount (Actual)","41 Source Type",$C$5,"5 Source no.",$C1084,"4 Item Ledger Entry Type",$C$4,"2 Item No.","@@"&amp;$F1084,"3 Posting Date",Z$9)</t>
  </si>
  <si>
    <t>=-NL("Sum","5802 Value Entry","151 Cost Amount (Expected)","41 Source Type",$C$5,"5 Source No.",$C1084,"4 Item Ledger Entry Type",$C$4,"2 Item No.","@@"&amp;$F1084,"3 Posting Date",Z$9)-NL("Sum","5802 Value Entry","43 Cost Amount (Actual)","41 Source Type",$C$5,"5 Source no.",$C1084,"4 Item Ledger Entry Type",$C$4,"2 Item No.","@@"&amp;$F1084,"3 Posting Date",Z$9)</t>
  </si>
  <si>
    <t>=Z1084-AB1084</t>
  </si>
  <si>
    <t>=IF(Z1084&lt;&gt;0,AC1084/Z1084,"")</t>
  </si>
  <si>
    <t>=C1084</t>
  </si>
  <si>
    <t>=NL("Sum","5802 Value Entry","150 Sales Amount (Expected)","41 Source Type",$C$5,"5 Source No.",$C1085,"4 Item Ledger Entry Type",$C$4,"2 Item No.","@@"&amp;$F1085,"3 Posting Date",J$9)+NL("Sum","5802 Value Entry","17 Sales Amount (Actual)","41 Source Type",$C$5,"5 Source no.",$C1085,"4 Item Ledger Entry Type",$C$4,"2 Item No.","@@"&amp;$F1085,"3 Posting Date",J$9)</t>
  </si>
  <si>
    <t>=-NL("Sum","5802 Value Entry","151 Cost Amount (Expected)","41 Source Type",$C$5,"5 Source No.",$C1085,"4 Item Ledger Entry Type",$C$4,"2 Item No.","@@"&amp;$F1085,"3 Posting Date",J$9)-NL("Sum","5802 Value Entry","43 Cost Amount (Actual)","41 Source Type",$C$5,"5 Source no.",$C1085,"4 Item Ledger Entry Type",$C$4,"2 Item No.","@@"&amp;$F1085,"3 Posting Date",J$9)</t>
  </si>
  <si>
    <t>=J1085-L1085</t>
  </si>
  <si>
    <t>=IF(J1085&lt;&gt;0,M1085/J1085,"")</t>
  </si>
  <si>
    <t>=NL("Sum","5802 Value Entry","150 Sales Amount (Expected)","41 Source Type",$C$5,"5 Source No.",$C1085,"4 Item Ledger Entry Type",$C$4,"2 Item No.","@@"&amp;$F1085,"3 Posting Date",O$9)+NL("Sum","5802 Value Entry","17 Sales Amount (Actual)","41 Source Type",$C$5,"5 Source no.",$C1085,"4 Item Ledger Entry Type",$C$4,"2 Item No.","@@"&amp;$F1085,"3 Posting Date",O$9)</t>
  </si>
  <si>
    <t>=-NL("Sum","5802 Value Entry","151 Cost Amount (Expected)","41 Source Type",$C$5,"5 Source No.",$C1085,"4 Item Ledger Entry Type",$C$4,"2 Item No.","@@"&amp;$F1085,"3 Posting Date",O$9)-NL("Sum","5802 Value Entry","43 Cost Amount (Actual)","41 Source Type",$C$5,"5 Source no.",$C1085,"4 Item Ledger Entry Type",$C$4,"2 Item No.","@@"&amp;$F1085,"3 Posting Date",O$9)</t>
  </si>
  <si>
    <t>=O1085-Q1085</t>
  </si>
  <si>
    <t>=IF(O1085&lt;&gt;0,R1085/O1085,"")</t>
  </si>
  <si>
    <t>=NL("Sum","5802 Value Entry","150 Sales Amount (Expected)","41 Source Type",$C$5,"5 Source No.",$C1085,"4 Item Ledger Entry Type",$C$4,"2 Item No.","@@"&amp;$F1085,"3 Posting Date",U$9)+NL("Sum","5802 Value Entry","17 Sales Amount (Actual)","41 Source Type",$C$5,"5 Source no.",$C1085,"4 Item Ledger Entry Type",$C$4,"2 Item No.","@@"&amp;$F1085,"3 Posting Date",U$9)</t>
  </si>
  <si>
    <t>=-NL("Sum","5802 Value Entry","151 Cost Amount (Expected)","41 Source Type",$C$5,"5 Source No.",$C1085,"4 Item Ledger Entry Type",$C$4,"2 Item No.","@@"&amp;$F1085,"3 Posting Date",U$9)-NL("Sum","5802 Value Entry","43 Cost Amount (Actual)","41 Source Type",$C$5,"5 Source no.",$C1085,"4 Item Ledger Entry Type",$C$4,"2 Item No.","@@"&amp;$F1085,"3 Posting Date",U$9)</t>
  </si>
  <si>
    <t>=U1085-W1085</t>
  </si>
  <si>
    <t>=IF(U1085&lt;&gt;0,X1085/U1085,"")</t>
  </si>
  <si>
    <t>=NL("Sum","5802 Value Entry","150 Sales Amount (Expected)","41 Source Type",$C$5,"5 Source No.",$C1085,"4 Item Ledger Entry Type",$C$4,"2 Item No.","@@"&amp;$F1085,"3 Posting Date",Z$9)+NL("Sum","5802 Value Entry","17 Sales Amount (Actual)","41 Source Type",$C$5,"5 Source no.",$C1085,"4 Item Ledger Entry Type",$C$4,"2 Item No.","@@"&amp;$F1085,"3 Posting Date",Z$9)</t>
  </si>
  <si>
    <t>=-NL("Sum","5802 Value Entry","151 Cost Amount (Expected)","41 Source Type",$C$5,"5 Source No.",$C1085,"4 Item Ledger Entry Type",$C$4,"2 Item No.","@@"&amp;$F1085,"3 Posting Date",Z$9)-NL("Sum","5802 Value Entry","43 Cost Amount (Actual)","41 Source Type",$C$5,"5 Source no.",$C1085,"4 Item Ledger Entry Type",$C$4,"2 Item No.","@@"&amp;$F1085,"3 Posting Date",Z$9)</t>
  </si>
  <si>
    <t>=Z1085-AB1085</t>
  </si>
  <si>
    <t>=IF(Z1085&lt;&gt;0,AC1085/Z1085,"")</t>
  </si>
  <si>
    <t>=C1085</t>
  </si>
  <si>
    <t>=NL("Sum","5802 Value Entry","150 Sales Amount (Expected)","41 Source Type",$C$5,"5 Source No.",$C1086,"4 Item Ledger Entry Type",$C$4,"2 Item No.","@@"&amp;$F1086,"3 Posting Date",J$9)+NL("Sum","5802 Value Entry","17 Sales Amount (Actual)","41 Source Type",$C$5,"5 Source no.",$C1086,"4 Item Ledger Entry Type",$C$4,"2 Item No.","@@"&amp;$F1086,"3 Posting Date",J$9)</t>
  </si>
  <si>
    <t>=-NL("Sum","5802 Value Entry","151 Cost Amount (Expected)","41 Source Type",$C$5,"5 Source No.",$C1086,"4 Item Ledger Entry Type",$C$4,"2 Item No.","@@"&amp;$F1086,"3 Posting Date",J$9)-NL("Sum","5802 Value Entry","43 Cost Amount (Actual)","41 Source Type",$C$5,"5 Source no.",$C1086,"4 Item Ledger Entry Type",$C$4,"2 Item No.","@@"&amp;$F1086,"3 Posting Date",J$9)</t>
  </si>
  <si>
    <t>=J1086-L1086</t>
  </si>
  <si>
    <t>=IF(J1086&lt;&gt;0,M1086/J1086,"")</t>
  </si>
  <si>
    <t>=NL("Sum","5802 Value Entry","150 Sales Amount (Expected)","41 Source Type",$C$5,"5 Source No.",$C1086,"4 Item Ledger Entry Type",$C$4,"2 Item No.","@@"&amp;$F1086,"3 Posting Date",O$9)+NL("Sum","5802 Value Entry","17 Sales Amount (Actual)","41 Source Type",$C$5,"5 Source no.",$C1086,"4 Item Ledger Entry Type",$C$4,"2 Item No.","@@"&amp;$F1086,"3 Posting Date",O$9)</t>
  </si>
  <si>
    <t>=-NL("Sum","5802 Value Entry","151 Cost Amount (Expected)","41 Source Type",$C$5,"5 Source No.",$C1086,"4 Item Ledger Entry Type",$C$4,"2 Item No.","@@"&amp;$F1086,"3 Posting Date",O$9)-NL("Sum","5802 Value Entry","43 Cost Amount (Actual)","41 Source Type",$C$5,"5 Source no.",$C1086,"4 Item Ledger Entry Type",$C$4,"2 Item No.","@@"&amp;$F1086,"3 Posting Date",O$9)</t>
  </si>
  <si>
    <t>=O1086-Q1086</t>
  </si>
  <si>
    <t>=IF(O1086&lt;&gt;0,R1086/O1086,"")</t>
  </si>
  <si>
    <t>=NL("Sum","5802 Value Entry","150 Sales Amount (Expected)","41 Source Type",$C$5,"5 Source No.",$C1086,"4 Item Ledger Entry Type",$C$4,"2 Item No.","@@"&amp;$F1086,"3 Posting Date",U$9)+NL("Sum","5802 Value Entry","17 Sales Amount (Actual)","41 Source Type",$C$5,"5 Source no.",$C1086,"4 Item Ledger Entry Type",$C$4,"2 Item No.","@@"&amp;$F1086,"3 Posting Date",U$9)</t>
  </si>
  <si>
    <t>=-NL("Sum","5802 Value Entry","151 Cost Amount (Expected)","41 Source Type",$C$5,"5 Source No.",$C1086,"4 Item Ledger Entry Type",$C$4,"2 Item No.","@@"&amp;$F1086,"3 Posting Date",U$9)-NL("Sum","5802 Value Entry","43 Cost Amount (Actual)","41 Source Type",$C$5,"5 Source no.",$C1086,"4 Item Ledger Entry Type",$C$4,"2 Item No.","@@"&amp;$F1086,"3 Posting Date",U$9)</t>
  </si>
  <si>
    <t>=U1086-W1086</t>
  </si>
  <si>
    <t>=IF(U1086&lt;&gt;0,X1086/U1086,"")</t>
  </si>
  <si>
    <t>=NL("Sum","5802 Value Entry","150 Sales Amount (Expected)","41 Source Type",$C$5,"5 Source No.",$C1086,"4 Item Ledger Entry Type",$C$4,"2 Item No.","@@"&amp;$F1086,"3 Posting Date",Z$9)+NL("Sum","5802 Value Entry","17 Sales Amount (Actual)","41 Source Type",$C$5,"5 Source no.",$C1086,"4 Item Ledger Entry Type",$C$4,"2 Item No.","@@"&amp;$F1086,"3 Posting Date",Z$9)</t>
  </si>
  <si>
    <t>=-NL("Sum","5802 Value Entry","151 Cost Amount (Expected)","41 Source Type",$C$5,"5 Source No.",$C1086,"4 Item Ledger Entry Type",$C$4,"2 Item No.","@@"&amp;$F1086,"3 Posting Date",Z$9)-NL("Sum","5802 Value Entry","43 Cost Amount (Actual)","41 Source Type",$C$5,"5 Source no.",$C1086,"4 Item Ledger Entry Type",$C$4,"2 Item No.","@@"&amp;$F1086,"3 Posting Date",Z$9)</t>
  </si>
  <si>
    <t>=Z1086-AB1086</t>
  </si>
  <si>
    <t>=IF(Z1086&lt;&gt;0,AC1086/Z1086,"")</t>
  </si>
  <si>
    <t>=C1086</t>
  </si>
  <si>
    <t>=NL("Sum","5802 Value Entry","150 Sales Amount (Expected)","41 Source Type",$C$5,"5 Source No.",$C1087,"4 Item Ledger Entry Type",$C$4,"2 Item No.","@@"&amp;$F1087,"3 Posting Date",J$9)+NL("Sum","5802 Value Entry","17 Sales Amount (Actual)","41 Source Type",$C$5,"5 Source no.",$C1087,"4 Item Ledger Entry Type",$C$4,"2 Item No.","@@"&amp;$F1087,"3 Posting Date",J$9)</t>
  </si>
  <si>
    <t>=-NL("Sum","5802 Value Entry","151 Cost Amount (Expected)","41 Source Type",$C$5,"5 Source No.",$C1087,"4 Item Ledger Entry Type",$C$4,"2 Item No.","@@"&amp;$F1087,"3 Posting Date",J$9)-NL("Sum","5802 Value Entry","43 Cost Amount (Actual)","41 Source Type",$C$5,"5 Source no.",$C1087,"4 Item Ledger Entry Type",$C$4,"2 Item No.","@@"&amp;$F1087,"3 Posting Date",J$9)</t>
  </si>
  <si>
    <t>=J1087-L1087</t>
  </si>
  <si>
    <t>=IF(J1087&lt;&gt;0,M1087/J1087,"")</t>
  </si>
  <si>
    <t>=NL("Sum","5802 Value Entry","150 Sales Amount (Expected)","41 Source Type",$C$5,"5 Source No.",$C1087,"4 Item Ledger Entry Type",$C$4,"2 Item No.","@@"&amp;$F1087,"3 Posting Date",O$9)+NL("Sum","5802 Value Entry","17 Sales Amount (Actual)","41 Source Type",$C$5,"5 Source no.",$C1087,"4 Item Ledger Entry Type",$C$4,"2 Item No.","@@"&amp;$F1087,"3 Posting Date",O$9)</t>
  </si>
  <si>
    <t>=-NL("Sum","5802 Value Entry","151 Cost Amount (Expected)","41 Source Type",$C$5,"5 Source No.",$C1087,"4 Item Ledger Entry Type",$C$4,"2 Item No.","@@"&amp;$F1087,"3 Posting Date",O$9)-NL("Sum","5802 Value Entry","43 Cost Amount (Actual)","41 Source Type",$C$5,"5 Source no.",$C1087,"4 Item Ledger Entry Type",$C$4,"2 Item No.","@@"&amp;$F1087,"3 Posting Date",O$9)</t>
  </si>
  <si>
    <t>=O1087-Q1087</t>
  </si>
  <si>
    <t>=IF(O1087&lt;&gt;0,R1087/O1087,"")</t>
  </si>
  <si>
    <t>=NL("Sum","5802 Value Entry","150 Sales Amount (Expected)","41 Source Type",$C$5,"5 Source No.",$C1087,"4 Item Ledger Entry Type",$C$4,"2 Item No.","@@"&amp;$F1087,"3 Posting Date",U$9)+NL("Sum","5802 Value Entry","17 Sales Amount (Actual)","41 Source Type",$C$5,"5 Source no.",$C1087,"4 Item Ledger Entry Type",$C$4,"2 Item No.","@@"&amp;$F1087,"3 Posting Date",U$9)</t>
  </si>
  <si>
    <t>=-NL("Sum","5802 Value Entry","151 Cost Amount (Expected)","41 Source Type",$C$5,"5 Source No.",$C1087,"4 Item Ledger Entry Type",$C$4,"2 Item No.","@@"&amp;$F1087,"3 Posting Date",U$9)-NL("Sum","5802 Value Entry","43 Cost Amount (Actual)","41 Source Type",$C$5,"5 Source no.",$C1087,"4 Item Ledger Entry Type",$C$4,"2 Item No.","@@"&amp;$F1087,"3 Posting Date",U$9)</t>
  </si>
  <si>
    <t>=U1087-W1087</t>
  </si>
  <si>
    <t>=IF(U1087&lt;&gt;0,X1087/U1087,"")</t>
  </si>
  <si>
    <t>=NL("Sum","5802 Value Entry","150 Sales Amount (Expected)","41 Source Type",$C$5,"5 Source No.",$C1087,"4 Item Ledger Entry Type",$C$4,"2 Item No.","@@"&amp;$F1087,"3 Posting Date",Z$9)+NL("Sum","5802 Value Entry","17 Sales Amount (Actual)","41 Source Type",$C$5,"5 Source no.",$C1087,"4 Item Ledger Entry Type",$C$4,"2 Item No.","@@"&amp;$F1087,"3 Posting Date",Z$9)</t>
  </si>
  <si>
    <t>=-NL("Sum","5802 Value Entry","151 Cost Amount (Expected)","41 Source Type",$C$5,"5 Source No.",$C1087,"4 Item Ledger Entry Type",$C$4,"2 Item No.","@@"&amp;$F1087,"3 Posting Date",Z$9)-NL("Sum","5802 Value Entry","43 Cost Amount (Actual)","41 Source Type",$C$5,"5 Source no.",$C1087,"4 Item Ledger Entry Type",$C$4,"2 Item No.","@@"&amp;$F1087,"3 Posting Date",Z$9)</t>
  </si>
  <si>
    <t>=Z1087-AB1087</t>
  </si>
  <si>
    <t>=IF(Z1087&lt;&gt;0,AC1087/Z1087,"")</t>
  </si>
  <si>
    <t>=C1087</t>
  </si>
  <si>
    <t>=NL("Sum","5802 Value Entry","150 Sales Amount (Expected)","41 Source Type",$C$5,"5 Source No.",$C1088,"4 Item Ledger Entry Type",$C$4,"2 Item No.","@@"&amp;$F1088,"3 Posting Date",J$9)+NL("Sum","5802 Value Entry","17 Sales Amount (Actual)","41 Source Type",$C$5,"5 Source no.",$C1088,"4 Item Ledger Entry Type",$C$4,"2 Item No.","@@"&amp;$F1088,"3 Posting Date",J$9)</t>
  </si>
  <si>
    <t>=-NL("Sum","5802 Value Entry","151 Cost Amount (Expected)","41 Source Type",$C$5,"5 Source No.",$C1088,"4 Item Ledger Entry Type",$C$4,"2 Item No.","@@"&amp;$F1088,"3 Posting Date",J$9)-NL("Sum","5802 Value Entry","43 Cost Amount (Actual)","41 Source Type",$C$5,"5 Source no.",$C1088,"4 Item Ledger Entry Type",$C$4,"2 Item No.","@@"&amp;$F1088,"3 Posting Date",J$9)</t>
  </si>
  <si>
    <t>=J1088-L1088</t>
  </si>
  <si>
    <t>=IF(J1088&lt;&gt;0,M1088/J1088,"")</t>
  </si>
  <si>
    <t>=NL("Sum","5802 Value Entry","150 Sales Amount (Expected)","41 Source Type",$C$5,"5 Source No.",$C1088,"4 Item Ledger Entry Type",$C$4,"2 Item No.","@@"&amp;$F1088,"3 Posting Date",O$9)+NL("Sum","5802 Value Entry","17 Sales Amount (Actual)","41 Source Type",$C$5,"5 Source no.",$C1088,"4 Item Ledger Entry Type",$C$4,"2 Item No.","@@"&amp;$F1088,"3 Posting Date",O$9)</t>
  </si>
  <si>
    <t>=-NL("Sum","5802 Value Entry","151 Cost Amount (Expected)","41 Source Type",$C$5,"5 Source No.",$C1088,"4 Item Ledger Entry Type",$C$4,"2 Item No.","@@"&amp;$F1088,"3 Posting Date",O$9)-NL("Sum","5802 Value Entry","43 Cost Amount (Actual)","41 Source Type",$C$5,"5 Source no.",$C1088,"4 Item Ledger Entry Type",$C$4,"2 Item No.","@@"&amp;$F1088,"3 Posting Date",O$9)</t>
  </si>
  <si>
    <t>=O1088-Q1088</t>
  </si>
  <si>
    <t>=IF(O1088&lt;&gt;0,R1088/O1088,"")</t>
  </si>
  <si>
    <t>=NL("Sum","5802 Value Entry","150 Sales Amount (Expected)","41 Source Type",$C$5,"5 Source No.",$C1088,"4 Item Ledger Entry Type",$C$4,"2 Item No.","@@"&amp;$F1088,"3 Posting Date",U$9)+NL("Sum","5802 Value Entry","17 Sales Amount (Actual)","41 Source Type",$C$5,"5 Source no.",$C1088,"4 Item Ledger Entry Type",$C$4,"2 Item No.","@@"&amp;$F1088,"3 Posting Date",U$9)</t>
  </si>
  <si>
    <t>=-NL("Sum","5802 Value Entry","151 Cost Amount (Expected)","41 Source Type",$C$5,"5 Source No.",$C1088,"4 Item Ledger Entry Type",$C$4,"2 Item No.","@@"&amp;$F1088,"3 Posting Date",U$9)-NL("Sum","5802 Value Entry","43 Cost Amount (Actual)","41 Source Type",$C$5,"5 Source no.",$C1088,"4 Item Ledger Entry Type",$C$4,"2 Item No.","@@"&amp;$F1088,"3 Posting Date",U$9)</t>
  </si>
  <si>
    <t>=U1088-W1088</t>
  </si>
  <si>
    <t>=IF(U1088&lt;&gt;0,X1088/U1088,"")</t>
  </si>
  <si>
    <t>=NL("Sum","5802 Value Entry","150 Sales Amount (Expected)","41 Source Type",$C$5,"5 Source No.",$C1088,"4 Item Ledger Entry Type",$C$4,"2 Item No.","@@"&amp;$F1088,"3 Posting Date",Z$9)+NL("Sum","5802 Value Entry","17 Sales Amount (Actual)","41 Source Type",$C$5,"5 Source no.",$C1088,"4 Item Ledger Entry Type",$C$4,"2 Item No.","@@"&amp;$F1088,"3 Posting Date",Z$9)</t>
  </si>
  <si>
    <t>=-NL("Sum","5802 Value Entry","151 Cost Amount (Expected)","41 Source Type",$C$5,"5 Source No.",$C1088,"4 Item Ledger Entry Type",$C$4,"2 Item No.","@@"&amp;$F1088,"3 Posting Date",Z$9)-NL("Sum","5802 Value Entry","43 Cost Amount (Actual)","41 Source Type",$C$5,"5 Source no.",$C1088,"4 Item Ledger Entry Type",$C$4,"2 Item No.","@@"&amp;$F1088,"3 Posting Date",Z$9)</t>
  </si>
  <si>
    <t>=Z1088-AB1088</t>
  </si>
  <si>
    <t>=IF(Z1088&lt;&gt;0,AC1088/Z1088,"")</t>
  </si>
  <si>
    <t>=C1088</t>
  </si>
  <si>
    <t>=NL("Sum","5802 Value Entry","150 Sales Amount (Expected)","41 Source Type",$C$5,"5 Source No.",$C1089,"4 Item Ledger Entry Type",$C$4,"2 Item No.","@@"&amp;$F1089,"3 Posting Date",J$9)+NL("Sum","5802 Value Entry","17 Sales Amount (Actual)","41 Source Type",$C$5,"5 Source no.",$C1089,"4 Item Ledger Entry Type",$C$4,"2 Item No.","@@"&amp;$F1089,"3 Posting Date",J$9)</t>
  </si>
  <si>
    <t>=-NL("Sum","5802 Value Entry","151 Cost Amount (Expected)","41 Source Type",$C$5,"5 Source No.",$C1089,"4 Item Ledger Entry Type",$C$4,"2 Item No.","@@"&amp;$F1089,"3 Posting Date",J$9)-NL("Sum","5802 Value Entry","43 Cost Amount (Actual)","41 Source Type",$C$5,"5 Source no.",$C1089,"4 Item Ledger Entry Type",$C$4,"2 Item No.","@@"&amp;$F1089,"3 Posting Date",J$9)</t>
  </si>
  <si>
    <t>=J1089-L1089</t>
  </si>
  <si>
    <t>=IF(J1089&lt;&gt;0,M1089/J1089,"")</t>
  </si>
  <si>
    <t>=NL("Sum","5802 Value Entry","150 Sales Amount (Expected)","41 Source Type",$C$5,"5 Source No.",$C1089,"4 Item Ledger Entry Type",$C$4,"2 Item No.","@@"&amp;$F1089,"3 Posting Date",O$9)+NL("Sum","5802 Value Entry","17 Sales Amount (Actual)","41 Source Type",$C$5,"5 Source no.",$C1089,"4 Item Ledger Entry Type",$C$4,"2 Item No.","@@"&amp;$F1089,"3 Posting Date",O$9)</t>
  </si>
  <si>
    <t>=-NL("Sum","5802 Value Entry","151 Cost Amount (Expected)","41 Source Type",$C$5,"5 Source No.",$C1089,"4 Item Ledger Entry Type",$C$4,"2 Item No.","@@"&amp;$F1089,"3 Posting Date",O$9)-NL("Sum","5802 Value Entry","43 Cost Amount (Actual)","41 Source Type",$C$5,"5 Source no.",$C1089,"4 Item Ledger Entry Type",$C$4,"2 Item No.","@@"&amp;$F1089,"3 Posting Date",O$9)</t>
  </si>
  <si>
    <t>=O1089-Q1089</t>
  </si>
  <si>
    <t>=IF(O1089&lt;&gt;0,R1089/O1089,"")</t>
  </si>
  <si>
    <t>=NL("Sum","5802 Value Entry","150 Sales Amount (Expected)","41 Source Type",$C$5,"5 Source No.",$C1089,"4 Item Ledger Entry Type",$C$4,"2 Item No.","@@"&amp;$F1089,"3 Posting Date",U$9)+NL("Sum","5802 Value Entry","17 Sales Amount (Actual)","41 Source Type",$C$5,"5 Source no.",$C1089,"4 Item Ledger Entry Type",$C$4,"2 Item No.","@@"&amp;$F1089,"3 Posting Date",U$9)</t>
  </si>
  <si>
    <t>=-NL("Sum","5802 Value Entry","151 Cost Amount (Expected)","41 Source Type",$C$5,"5 Source No.",$C1089,"4 Item Ledger Entry Type",$C$4,"2 Item No.","@@"&amp;$F1089,"3 Posting Date",U$9)-NL("Sum","5802 Value Entry","43 Cost Amount (Actual)","41 Source Type",$C$5,"5 Source no.",$C1089,"4 Item Ledger Entry Type",$C$4,"2 Item No.","@@"&amp;$F1089,"3 Posting Date",U$9)</t>
  </si>
  <si>
    <t>=U1089-W1089</t>
  </si>
  <si>
    <t>=IF(U1089&lt;&gt;0,X1089/U1089,"")</t>
  </si>
  <si>
    <t>=NL("Sum","5802 Value Entry","150 Sales Amount (Expected)","41 Source Type",$C$5,"5 Source No.",$C1089,"4 Item Ledger Entry Type",$C$4,"2 Item No.","@@"&amp;$F1089,"3 Posting Date",Z$9)+NL("Sum","5802 Value Entry","17 Sales Amount (Actual)","41 Source Type",$C$5,"5 Source no.",$C1089,"4 Item Ledger Entry Type",$C$4,"2 Item No.","@@"&amp;$F1089,"3 Posting Date",Z$9)</t>
  </si>
  <si>
    <t>=-NL("Sum","5802 Value Entry","151 Cost Amount (Expected)","41 Source Type",$C$5,"5 Source No.",$C1089,"4 Item Ledger Entry Type",$C$4,"2 Item No.","@@"&amp;$F1089,"3 Posting Date",Z$9)-NL("Sum","5802 Value Entry","43 Cost Amount (Actual)","41 Source Type",$C$5,"5 Source no.",$C1089,"4 Item Ledger Entry Type",$C$4,"2 Item No.","@@"&amp;$F1089,"3 Posting Date",Z$9)</t>
  </si>
  <si>
    <t>=Z1089-AB1089</t>
  </si>
  <si>
    <t>=IF(Z1089&lt;&gt;0,AC1089/Z1089,"")</t>
  </si>
  <si>
    <t>=C1089</t>
  </si>
  <si>
    <t>=NL("Sum","5802 Value Entry","150 Sales Amount (Expected)","41 Source Type",$C$5,"5 Source No.",$C1090,"4 Item Ledger Entry Type",$C$4,"2 Item No.","@@"&amp;$F1090,"3 Posting Date",J$9)+NL("Sum","5802 Value Entry","17 Sales Amount (Actual)","41 Source Type",$C$5,"5 Source no.",$C1090,"4 Item Ledger Entry Type",$C$4,"2 Item No.","@@"&amp;$F1090,"3 Posting Date",J$9)</t>
  </si>
  <si>
    <t>=-NL("Sum","5802 Value Entry","151 Cost Amount (Expected)","41 Source Type",$C$5,"5 Source No.",$C1090,"4 Item Ledger Entry Type",$C$4,"2 Item No.","@@"&amp;$F1090,"3 Posting Date",J$9)-NL("Sum","5802 Value Entry","43 Cost Amount (Actual)","41 Source Type",$C$5,"5 Source no.",$C1090,"4 Item Ledger Entry Type",$C$4,"2 Item No.","@@"&amp;$F1090,"3 Posting Date",J$9)</t>
  </si>
  <si>
    <t>=J1090-L1090</t>
  </si>
  <si>
    <t>=IF(J1090&lt;&gt;0,M1090/J1090,"")</t>
  </si>
  <si>
    <t>=NL("Sum","5802 Value Entry","150 Sales Amount (Expected)","41 Source Type",$C$5,"5 Source No.",$C1090,"4 Item Ledger Entry Type",$C$4,"2 Item No.","@@"&amp;$F1090,"3 Posting Date",O$9)+NL("Sum","5802 Value Entry","17 Sales Amount (Actual)","41 Source Type",$C$5,"5 Source no.",$C1090,"4 Item Ledger Entry Type",$C$4,"2 Item No.","@@"&amp;$F1090,"3 Posting Date",O$9)</t>
  </si>
  <si>
    <t>=-NL("Sum","5802 Value Entry","151 Cost Amount (Expected)","41 Source Type",$C$5,"5 Source No.",$C1090,"4 Item Ledger Entry Type",$C$4,"2 Item No.","@@"&amp;$F1090,"3 Posting Date",O$9)-NL("Sum","5802 Value Entry","43 Cost Amount (Actual)","41 Source Type",$C$5,"5 Source no.",$C1090,"4 Item Ledger Entry Type",$C$4,"2 Item No.","@@"&amp;$F1090,"3 Posting Date",O$9)</t>
  </si>
  <si>
    <t>=O1090-Q1090</t>
  </si>
  <si>
    <t>=IF(O1090&lt;&gt;0,R1090/O1090,"")</t>
  </si>
  <si>
    <t>=NL("Sum","5802 Value Entry","150 Sales Amount (Expected)","41 Source Type",$C$5,"5 Source No.",$C1090,"4 Item Ledger Entry Type",$C$4,"2 Item No.","@@"&amp;$F1090,"3 Posting Date",U$9)+NL("Sum","5802 Value Entry","17 Sales Amount (Actual)","41 Source Type",$C$5,"5 Source no.",$C1090,"4 Item Ledger Entry Type",$C$4,"2 Item No.","@@"&amp;$F1090,"3 Posting Date",U$9)</t>
  </si>
  <si>
    <t>=-NL("Sum","5802 Value Entry","151 Cost Amount (Expected)","41 Source Type",$C$5,"5 Source No.",$C1090,"4 Item Ledger Entry Type",$C$4,"2 Item No.","@@"&amp;$F1090,"3 Posting Date",U$9)-NL("Sum","5802 Value Entry","43 Cost Amount (Actual)","41 Source Type",$C$5,"5 Source no.",$C1090,"4 Item Ledger Entry Type",$C$4,"2 Item No.","@@"&amp;$F1090,"3 Posting Date",U$9)</t>
  </si>
  <si>
    <t>=U1090-W1090</t>
  </si>
  <si>
    <t>=IF(U1090&lt;&gt;0,X1090/U1090,"")</t>
  </si>
  <si>
    <t>=NL("Sum","5802 Value Entry","150 Sales Amount (Expected)","41 Source Type",$C$5,"5 Source No.",$C1090,"4 Item Ledger Entry Type",$C$4,"2 Item No.","@@"&amp;$F1090,"3 Posting Date",Z$9)+NL("Sum","5802 Value Entry","17 Sales Amount (Actual)","41 Source Type",$C$5,"5 Source no.",$C1090,"4 Item Ledger Entry Type",$C$4,"2 Item No.","@@"&amp;$F1090,"3 Posting Date",Z$9)</t>
  </si>
  <si>
    <t>=-NL("Sum","5802 Value Entry","151 Cost Amount (Expected)","41 Source Type",$C$5,"5 Source No.",$C1090,"4 Item Ledger Entry Type",$C$4,"2 Item No.","@@"&amp;$F1090,"3 Posting Date",Z$9)-NL("Sum","5802 Value Entry","43 Cost Amount (Actual)","41 Source Type",$C$5,"5 Source no.",$C1090,"4 Item Ledger Entry Type",$C$4,"2 Item No.","@@"&amp;$F1090,"3 Posting Date",Z$9)</t>
  </si>
  <si>
    <t>=Z1090-AB1090</t>
  </si>
  <si>
    <t>=IF(Z1090&lt;&gt;0,AC1090/Z1090,"")</t>
  </si>
  <si>
    <t>=C1090</t>
  </si>
  <si>
    <t>=NL("Sum","5802 Value Entry","150 Sales Amount (Expected)","41 Source Type",$C$5,"5 Source No.",$C1091,"4 Item Ledger Entry Type",$C$4,"2 Item No.","@@"&amp;$F1091,"3 Posting Date",J$9)+NL("Sum","5802 Value Entry","17 Sales Amount (Actual)","41 Source Type",$C$5,"5 Source no.",$C1091,"4 Item Ledger Entry Type",$C$4,"2 Item No.","@@"&amp;$F1091,"3 Posting Date",J$9)</t>
  </si>
  <si>
    <t>=-NL("Sum","5802 Value Entry","151 Cost Amount (Expected)","41 Source Type",$C$5,"5 Source No.",$C1091,"4 Item Ledger Entry Type",$C$4,"2 Item No.","@@"&amp;$F1091,"3 Posting Date",J$9)-NL("Sum","5802 Value Entry","43 Cost Amount (Actual)","41 Source Type",$C$5,"5 Source no.",$C1091,"4 Item Ledger Entry Type",$C$4,"2 Item No.","@@"&amp;$F1091,"3 Posting Date",J$9)</t>
  </si>
  <si>
    <t>=J1091-L1091</t>
  </si>
  <si>
    <t>=IF(J1091&lt;&gt;0,M1091/J1091,"")</t>
  </si>
  <si>
    <t>=NL("Sum","5802 Value Entry","150 Sales Amount (Expected)","41 Source Type",$C$5,"5 Source No.",$C1091,"4 Item Ledger Entry Type",$C$4,"2 Item No.","@@"&amp;$F1091,"3 Posting Date",O$9)+NL("Sum","5802 Value Entry","17 Sales Amount (Actual)","41 Source Type",$C$5,"5 Source no.",$C1091,"4 Item Ledger Entry Type",$C$4,"2 Item No.","@@"&amp;$F1091,"3 Posting Date",O$9)</t>
  </si>
  <si>
    <t>=-NL("Sum","5802 Value Entry","151 Cost Amount (Expected)","41 Source Type",$C$5,"5 Source No.",$C1091,"4 Item Ledger Entry Type",$C$4,"2 Item No.","@@"&amp;$F1091,"3 Posting Date",O$9)-NL("Sum","5802 Value Entry","43 Cost Amount (Actual)","41 Source Type",$C$5,"5 Source no.",$C1091,"4 Item Ledger Entry Type",$C$4,"2 Item No.","@@"&amp;$F1091,"3 Posting Date",O$9)</t>
  </si>
  <si>
    <t>=O1091-Q1091</t>
  </si>
  <si>
    <t>=IF(O1091&lt;&gt;0,R1091/O1091,"")</t>
  </si>
  <si>
    <t>=NL("Sum","5802 Value Entry","150 Sales Amount (Expected)","41 Source Type",$C$5,"5 Source No.",$C1091,"4 Item Ledger Entry Type",$C$4,"2 Item No.","@@"&amp;$F1091,"3 Posting Date",U$9)+NL("Sum","5802 Value Entry","17 Sales Amount (Actual)","41 Source Type",$C$5,"5 Source no.",$C1091,"4 Item Ledger Entry Type",$C$4,"2 Item No.","@@"&amp;$F1091,"3 Posting Date",U$9)</t>
  </si>
  <si>
    <t>=-NL("Sum","5802 Value Entry","151 Cost Amount (Expected)","41 Source Type",$C$5,"5 Source No.",$C1091,"4 Item Ledger Entry Type",$C$4,"2 Item No.","@@"&amp;$F1091,"3 Posting Date",U$9)-NL("Sum","5802 Value Entry","43 Cost Amount (Actual)","41 Source Type",$C$5,"5 Source no.",$C1091,"4 Item Ledger Entry Type",$C$4,"2 Item No.","@@"&amp;$F1091,"3 Posting Date",U$9)</t>
  </si>
  <si>
    <t>=U1091-W1091</t>
  </si>
  <si>
    <t>=IF(U1091&lt;&gt;0,X1091/U1091,"")</t>
  </si>
  <si>
    <t>=NL("Sum","5802 Value Entry","150 Sales Amount (Expected)","41 Source Type",$C$5,"5 Source No.",$C1091,"4 Item Ledger Entry Type",$C$4,"2 Item No.","@@"&amp;$F1091,"3 Posting Date",Z$9)+NL("Sum","5802 Value Entry","17 Sales Amount (Actual)","41 Source Type",$C$5,"5 Source no.",$C1091,"4 Item Ledger Entry Type",$C$4,"2 Item No.","@@"&amp;$F1091,"3 Posting Date",Z$9)</t>
  </si>
  <si>
    <t>=-NL("Sum","5802 Value Entry","151 Cost Amount (Expected)","41 Source Type",$C$5,"5 Source No.",$C1091,"4 Item Ledger Entry Type",$C$4,"2 Item No.","@@"&amp;$F1091,"3 Posting Date",Z$9)-NL("Sum","5802 Value Entry","43 Cost Amount (Actual)","41 Source Type",$C$5,"5 Source no.",$C1091,"4 Item Ledger Entry Type",$C$4,"2 Item No.","@@"&amp;$F1091,"3 Posting Date",Z$9)</t>
  </si>
  <si>
    <t>=Z1091-AB1091</t>
  </si>
  <si>
    <t>=IF(Z1091&lt;&gt;0,AC1091/Z1091,"")</t>
  </si>
  <si>
    <t>=C1091</t>
  </si>
  <si>
    <t>=NL("Sum","5802 Value Entry","150 Sales Amount (Expected)","41 Source Type",$C$5,"5 Source No.",$C1092,"4 Item Ledger Entry Type",$C$4,"2 Item No.","@@"&amp;$F1092,"3 Posting Date",J$9)+NL("Sum","5802 Value Entry","17 Sales Amount (Actual)","41 Source Type",$C$5,"5 Source no.",$C1092,"4 Item Ledger Entry Type",$C$4,"2 Item No.","@@"&amp;$F1092,"3 Posting Date",J$9)</t>
  </si>
  <si>
    <t>=-NL("Sum","5802 Value Entry","151 Cost Amount (Expected)","41 Source Type",$C$5,"5 Source No.",$C1092,"4 Item Ledger Entry Type",$C$4,"2 Item No.","@@"&amp;$F1092,"3 Posting Date",J$9)-NL("Sum","5802 Value Entry","43 Cost Amount (Actual)","41 Source Type",$C$5,"5 Source no.",$C1092,"4 Item Ledger Entry Type",$C$4,"2 Item No.","@@"&amp;$F1092,"3 Posting Date",J$9)</t>
  </si>
  <si>
    <t>=J1092-L1092</t>
  </si>
  <si>
    <t>=IF(J1092&lt;&gt;0,M1092/J1092,"")</t>
  </si>
  <si>
    <t>=NL("Sum","5802 Value Entry","150 Sales Amount (Expected)","41 Source Type",$C$5,"5 Source No.",$C1092,"4 Item Ledger Entry Type",$C$4,"2 Item No.","@@"&amp;$F1092,"3 Posting Date",O$9)+NL("Sum","5802 Value Entry","17 Sales Amount (Actual)","41 Source Type",$C$5,"5 Source no.",$C1092,"4 Item Ledger Entry Type",$C$4,"2 Item No.","@@"&amp;$F1092,"3 Posting Date",O$9)</t>
  </si>
  <si>
    <t>=-NL("Sum","5802 Value Entry","151 Cost Amount (Expected)","41 Source Type",$C$5,"5 Source No.",$C1092,"4 Item Ledger Entry Type",$C$4,"2 Item No.","@@"&amp;$F1092,"3 Posting Date",O$9)-NL("Sum","5802 Value Entry","43 Cost Amount (Actual)","41 Source Type",$C$5,"5 Source no.",$C1092,"4 Item Ledger Entry Type",$C$4,"2 Item No.","@@"&amp;$F1092,"3 Posting Date",O$9)</t>
  </si>
  <si>
    <t>=O1092-Q1092</t>
  </si>
  <si>
    <t>=IF(O1092&lt;&gt;0,R1092/O1092,"")</t>
  </si>
  <si>
    <t>=NL("Sum","5802 Value Entry","150 Sales Amount (Expected)","41 Source Type",$C$5,"5 Source No.",$C1092,"4 Item Ledger Entry Type",$C$4,"2 Item No.","@@"&amp;$F1092,"3 Posting Date",U$9)+NL("Sum","5802 Value Entry","17 Sales Amount (Actual)","41 Source Type",$C$5,"5 Source no.",$C1092,"4 Item Ledger Entry Type",$C$4,"2 Item No.","@@"&amp;$F1092,"3 Posting Date",U$9)</t>
  </si>
  <si>
    <t>=-NL("Sum","5802 Value Entry","151 Cost Amount (Expected)","41 Source Type",$C$5,"5 Source No.",$C1092,"4 Item Ledger Entry Type",$C$4,"2 Item No.","@@"&amp;$F1092,"3 Posting Date",U$9)-NL("Sum","5802 Value Entry","43 Cost Amount (Actual)","41 Source Type",$C$5,"5 Source no.",$C1092,"4 Item Ledger Entry Type",$C$4,"2 Item No.","@@"&amp;$F1092,"3 Posting Date",U$9)</t>
  </si>
  <si>
    <t>=U1092-W1092</t>
  </si>
  <si>
    <t>=IF(U1092&lt;&gt;0,X1092/U1092,"")</t>
  </si>
  <si>
    <t>=NL("Sum","5802 Value Entry","150 Sales Amount (Expected)","41 Source Type",$C$5,"5 Source No.",$C1092,"4 Item Ledger Entry Type",$C$4,"2 Item No.","@@"&amp;$F1092,"3 Posting Date",Z$9)+NL("Sum","5802 Value Entry","17 Sales Amount (Actual)","41 Source Type",$C$5,"5 Source no.",$C1092,"4 Item Ledger Entry Type",$C$4,"2 Item No.","@@"&amp;$F1092,"3 Posting Date",Z$9)</t>
  </si>
  <si>
    <t>=-NL("Sum","5802 Value Entry","151 Cost Amount (Expected)","41 Source Type",$C$5,"5 Source No.",$C1092,"4 Item Ledger Entry Type",$C$4,"2 Item No.","@@"&amp;$F1092,"3 Posting Date",Z$9)-NL("Sum","5802 Value Entry","43 Cost Amount (Actual)","41 Source Type",$C$5,"5 Source no.",$C1092,"4 Item Ledger Entry Type",$C$4,"2 Item No.","@@"&amp;$F1092,"3 Posting Date",Z$9)</t>
  </si>
  <si>
    <t>=Z1092-AB1092</t>
  </si>
  <si>
    <t>=IF(Z1092&lt;&gt;0,AC1092/Z1092,"")</t>
  </si>
  <si>
    <t>=C1092</t>
  </si>
  <si>
    <t>=NL("Sum","5802 Value Entry","150 Sales Amount (Expected)","41 Source Type",$C$5,"5 Source No.",$C1093,"4 Item Ledger Entry Type",$C$4,"2 Item No.","@@"&amp;$F1093,"3 Posting Date",J$9)+NL("Sum","5802 Value Entry","17 Sales Amount (Actual)","41 Source Type",$C$5,"5 Source no.",$C1093,"4 Item Ledger Entry Type",$C$4,"2 Item No.","@@"&amp;$F1093,"3 Posting Date",J$9)</t>
  </si>
  <si>
    <t>=-NL("Sum","5802 Value Entry","151 Cost Amount (Expected)","41 Source Type",$C$5,"5 Source No.",$C1093,"4 Item Ledger Entry Type",$C$4,"2 Item No.","@@"&amp;$F1093,"3 Posting Date",J$9)-NL("Sum","5802 Value Entry","43 Cost Amount (Actual)","41 Source Type",$C$5,"5 Source no.",$C1093,"4 Item Ledger Entry Type",$C$4,"2 Item No.","@@"&amp;$F1093,"3 Posting Date",J$9)</t>
  </si>
  <si>
    <t>=J1093-L1093</t>
  </si>
  <si>
    <t>=IF(J1093&lt;&gt;0,M1093/J1093,"")</t>
  </si>
  <si>
    <t>=NL("Sum","5802 Value Entry","150 Sales Amount (Expected)","41 Source Type",$C$5,"5 Source No.",$C1093,"4 Item Ledger Entry Type",$C$4,"2 Item No.","@@"&amp;$F1093,"3 Posting Date",O$9)+NL("Sum","5802 Value Entry","17 Sales Amount (Actual)","41 Source Type",$C$5,"5 Source no.",$C1093,"4 Item Ledger Entry Type",$C$4,"2 Item No.","@@"&amp;$F1093,"3 Posting Date",O$9)</t>
  </si>
  <si>
    <t>=-NL("Sum","5802 Value Entry","151 Cost Amount (Expected)","41 Source Type",$C$5,"5 Source No.",$C1093,"4 Item Ledger Entry Type",$C$4,"2 Item No.","@@"&amp;$F1093,"3 Posting Date",O$9)-NL("Sum","5802 Value Entry","43 Cost Amount (Actual)","41 Source Type",$C$5,"5 Source no.",$C1093,"4 Item Ledger Entry Type",$C$4,"2 Item No.","@@"&amp;$F1093,"3 Posting Date",O$9)</t>
  </si>
  <si>
    <t>=O1093-Q1093</t>
  </si>
  <si>
    <t>=IF(O1093&lt;&gt;0,R1093/O1093,"")</t>
  </si>
  <si>
    <t>=NL("Sum","5802 Value Entry","150 Sales Amount (Expected)","41 Source Type",$C$5,"5 Source No.",$C1093,"4 Item Ledger Entry Type",$C$4,"2 Item No.","@@"&amp;$F1093,"3 Posting Date",U$9)+NL("Sum","5802 Value Entry","17 Sales Amount (Actual)","41 Source Type",$C$5,"5 Source no.",$C1093,"4 Item Ledger Entry Type",$C$4,"2 Item No.","@@"&amp;$F1093,"3 Posting Date",U$9)</t>
  </si>
  <si>
    <t>=-NL("Sum","5802 Value Entry","151 Cost Amount (Expected)","41 Source Type",$C$5,"5 Source No.",$C1093,"4 Item Ledger Entry Type",$C$4,"2 Item No.","@@"&amp;$F1093,"3 Posting Date",U$9)-NL("Sum","5802 Value Entry","43 Cost Amount (Actual)","41 Source Type",$C$5,"5 Source no.",$C1093,"4 Item Ledger Entry Type",$C$4,"2 Item No.","@@"&amp;$F1093,"3 Posting Date",U$9)</t>
  </si>
  <si>
    <t>=U1093-W1093</t>
  </si>
  <si>
    <t>=IF(U1093&lt;&gt;0,X1093/U1093,"")</t>
  </si>
  <si>
    <t>=NL("Sum","5802 Value Entry","150 Sales Amount (Expected)","41 Source Type",$C$5,"5 Source No.",$C1093,"4 Item Ledger Entry Type",$C$4,"2 Item No.","@@"&amp;$F1093,"3 Posting Date",Z$9)+NL("Sum","5802 Value Entry","17 Sales Amount (Actual)","41 Source Type",$C$5,"5 Source no.",$C1093,"4 Item Ledger Entry Type",$C$4,"2 Item No.","@@"&amp;$F1093,"3 Posting Date",Z$9)</t>
  </si>
  <si>
    <t>=-NL("Sum","5802 Value Entry","151 Cost Amount (Expected)","41 Source Type",$C$5,"5 Source No.",$C1093,"4 Item Ledger Entry Type",$C$4,"2 Item No.","@@"&amp;$F1093,"3 Posting Date",Z$9)-NL("Sum","5802 Value Entry","43 Cost Amount (Actual)","41 Source Type",$C$5,"5 Source no.",$C1093,"4 Item Ledger Entry Type",$C$4,"2 Item No.","@@"&amp;$F1093,"3 Posting Date",Z$9)</t>
  </si>
  <si>
    <t>=Z1093-AB1093</t>
  </si>
  <si>
    <t>=IF(Z1093&lt;&gt;0,AC1093/Z1093,"")</t>
  </si>
  <si>
    <t>=C1093</t>
  </si>
  <si>
    <t>=NL("Sum","5802 Value Entry","150 Sales Amount (Expected)","41 Source Type",$C$5,"5 Source No.",$C1094,"4 Item Ledger Entry Type",$C$4,"2 Item No.","@@"&amp;$F1094,"3 Posting Date",J$9)+NL("Sum","5802 Value Entry","17 Sales Amount (Actual)","41 Source Type",$C$5,"5 Source no.",$C1094,"4 Item Ledger Entry Type",$C$4,"2 Item No.","@@"&amp;$F1094,"3 Posting Date",J$9)</t>
  </si>
  <si>
    <t>=-NL("Sum","5802 Value Entry","151 Cost Amount (Expected)","41 Source Type",$C$5,"5 Source No.",$C1094,"4 Item Ledger Entry Type",$C$4,"2 Item No.","@@"&amp;$F1094,"3 Posting Date",J$9)-NL("Sum","5802 Value Entry","43 Cost Amount (Actual)","41 Source Type",$C$5,"5 Source no.",$C1094,"4 Item Ledger Entry Type",$C$4,"2 Item No.","@@"&amp;$F1094,"3 Posting Date",J$9)</t>
  </si>
  <si>
    <t>=J1094-L1094</t>
  </si>
  <si>
    <t>=IF(J1094&lt;&gt;0,M1094/J1094,"")</t>
  </si>
  <si>
    <t>=NL("Sum","5802 Value Entry","150 Sales Amount (Expected)","41 Source Type",$C$5,"5 Source No.",$C1094,"4 Item Ledger Entry Type",$C$4,"2 Item No.","@@"&amp;$F1094,"3 Posting Date",O$9)+NL("Sum","5802 Value Entry","17 Sales Amount (Actual)","41 Source Type",$C$5,"5 Source no.",$C1094,"4 Item Ledger Entry Type",$C$4,"2 Item No.","@@"&amp;$F1094,"3 Posting Date",O$9)</t>
  </si>
  <si>
    <t>=-NL("Sum","5802 Value Entry","151 Cost Amount (Expected)","41 Source Type",$C$5,"5 Source No.",$C1094,"4 Item Ledger Entry Type",$C$4,"2 Item No.","@@"&amp;$F1094,"3 Posting Date",O$9)-NL("Sum","5802 Value Entry","43 Cost Amount (Actual)","41 Source Type",$C$5,"5 Source no.",$C1094,"4 Item Ledger Entry Type",$C$4,"2 Item No.","@@"&amp;$F1094,"3 Posting Date",O$9)</t>
  </si>
  <si>
    <t>=O1094-Q1094</t>
  </si>
  <si>
    <t>=IF(O1094&lt;&gt;0,R1094/O1094,"")</t>
  </si>
  <si>
    <t>=NL("Sum","5802 Value Entry","150 Sales Amount (Expected)","41 Source Type",$C$5,"5 Source No.",$C1094,"4 Item Ledger Entry Type",$C$4,"2 Item No.","@@"&amp;$F1094,"3 Posting Date",U$9)+NL("Sum","5802 Value Entry","17 Sales Amount (Actual)","41 Source Type",$C$5,"5 Source no.",$C1094,"4 Item Ledger Entry Type",$C$4,"2 Item No.","@@"&amp;$F1094,"3 Posting Date",U$9)</t>
  </si>
  <si>
    <t>=-NL("Sum","5802 Value Entry","151 Cost Amount (Expected)","41 Source Type",$C$5,"5 Source No.",$C1094,"4 Item Ledger Entry Type",$C$4,"2 Item No.","@@"&amp;$F1094,"3 Posting Date",U$9)-NL("Sum","5802 Value Entry","43 Cost Amount (Actual)","41 Source Type",$C$5,"5 Source no.",$C1094,"4 Item Ledger Entry Type",$C$4,"2 Item No.","@@"&amp;$F1094,"3 Posting Date",U$9)</t>
  </si>
  <si>
    <t>=U1094-W1094</t>
  </si>
  <si>
    <t>=IF(U1094&lt;&gt;0,X1094/U1094,"")</t>
  </si>
  <si>
    <t>=NL("Sum","5802 Value Entry","150 Sales Amount (Expected)","41 Source Type",$C$5,"5 Source No.",$C1094,"4 Item Ledger Entry Type",$C$4,"2 Item No.","@@"&amp;$F1094,"3 Posting Date",Z$9)+NL("Sum","5802 Value Entry","17 Sales Amount (Actual)","41 Source Type",$C$5,"5 Source no.",$C1094,"4 Item Ledger Entry Type",$C$4,"2 Item No.","@@"&amp;$F1094,"3 Posting Date",Z$9)</t>
  </si>
  <si>
    <t>=-NL("Sum","5802 Value Entry","151 Cost Amount (Expected)","41 Source Type",$C$5,"5 Source No.",$C1094,"4 Item Ledger Entry Type",$C$4,"2 Item No.","@@"&amp;$F1094,"3 Posting Date",Z$9)-NL("Sum","5802 Value Entry","43 Cost Amount (Actual)","41 Source Type",$C$5,"5 Source no.",$C1094,"4 Item Ledger Entry Type",$C$4,"2 Item No.","@@"&amp;$F1094,"3 Posting Date",Z$9)</t>
  </si>
  <si>
    <t>=Z1094-AB1094</t>
  </si>
  <si>
    <t>=IF(Z1094&lt;&gt;0,AC1094/Z1094,"")</t>
  </si>
  <si>
    <t>=C1094</t>
  </si>
  <si>
    <t>=NL("Sum","5802 Value Entry","150 Sales Amount (Expected)","41 Source Type",$C$5,"5 Source No.",$C1095,"4 Item Ledger Entry Type",$C$4,"2 Item No.","@@"&amp;$F1095,"3 Posting Date",J$9)+NL("Sum","5802 Value Entry","17 Sales Amount (Actual)","41 Source Type",$C$5,"5 Source no.",$C1095,"4 Item Ledger Entry Type",$C$4,"2 Item No.","@@"&amp;$F1095,"3 Posting Date",J$9)</t>
  </si>
  <si>
    <t>=-NL("Sum","5802 Value Entry","151 Cost Amount (Expected)","41 Source Type",$C$5,"5 Source No.",$C1095,"4 Item Ledger Entry Type",$C$4,"2 Item No.","@@"&amp;$F1095,"3 Posting Date",J$9)-NL("Sum","5802 Value Entry","43 Cost Amount (Actual)","41 Source Type",$C$5,"5 Source no.",$C1095,"4 Item Ledger Entry Type",$C$4,"2 Item No.","@@"&amp;$F1095,"3 Posting Date",J$9)</t>
  </si>
  <si>
    <t>=J1095-L1095</t>
  </si>
  <si>
    <t>=IF(J1095&lt;&gt;0,M1095/J1095,"")</t>
  </si>
  <si>
    <t>=NL("Sum","5802 Value Entry","150 Sales Amount (Expected)","41 Source Type",$C$5,"5 Source No.",$C1095,"4 Item Ledger Entry Type",$C$4,"2 Item No.","@@"&amp;$F1095,"3 Posting Date",O$9)+NL("Sum","5802 Value Entry","17 Sales Amount (Actual)","41 Source Type",$C$5,"5 Source no.",$C1095,"4 Item Ledger Entry Type",$C$4,"2 Item No.","@@"&amp;$F1095,"3 Posting Date",O$9)</t>
  </si>
  <si>
    <t>=-NL("Sum","5802 Value Entry","151 Cost Amount (Expected)","41 Source Type",$C$5,"5 Source No.",$C1095,"4 Item Ledger Entry Type",$C$4,"2 Item No.","@@"&amp;$F1095,"3 Posting Date",O$9)-NL("Sum","5802 Value Entry","43 Cost Amount (Actual)","41 Source Type",$C$5,"5 Source no.",$C1095,"4 Item Ledger Entry Type",$C$4,"2 Item No.","@@"&amp;$F1095,"3 Posting Date",O$9)</t>
  </si>
  <si>
    <t>=O1095-Q1095</t>
  </si>
  <si>
    <t>=IF(O1095&lt;&gt;0,R1095/O1095,"")</t>
  </si>
  <si>
    <t>=NL("Sum","5802 Value Entry","150 Sales Amount (Expected)","41 Source Type",$C$5,"5 Source No.",$C1095,"4 Item Ledger Entry Type",$C$4,"2 Item No.","@@"&amp;$F1095,"3 Posting Date",U$9)+NL("Sum","5802 Value Entry","17 Sales Amount (Actual)","41 Source Type",$C$5,"5 Source no.",$C1095,"4 Item Ledger Entry Type",$C$4,"2 Item No.","@@"&amp;$F1095,"3 Posting Date",U$9)</t>
  </si>
  <si>
    <t>=-NL("Sum","5802 Value Entry","151 Cost Amount (Expected)","41 Source Type",$C$5,"5 Source No.",$C1095,"4 Item Ledger Entry Type",$C$4,"2 Item No.","@@"&amp;$F1095,"3 Posting Date",U$9)-NL("Sum","5802 Value Entry","43 Cost Amount (Actual)","41 Source Type",$C$5,"5 Source no.",$C1095,"4 Item Ledger Entry Type",$C$4,"2 Item No.","@@"&amp;$F1095,"3 Posting Date",U$9)</t>
  </si>
  <si>
    <t>=U1095-W1095</t>
  </si>
  <si>
    <t>=IF(U1095&lt;&gt;0,X1095/U1095,"")</t>
  </si>
  <si>
    <t>=NL("Sum","5802 Value Entry","150 Sales Amount (Expected)","41 Source Type",$C$5,"5 Source No.",$C1095,"4 Item Ledger Entry Type",$C$4,"2 Item No.","@@"&amp;$F1095,"3 Posting Date",Z$9)+NL("Sum","5802 Value Entry","17 Sales Amount (Actual)","41 Source Type",$C$5,"5 Source no.",$C1095,"4 Item Ledger Entry Type",$C$4,"2 Item No.","@@"&amp;$F1095,"3 Posting Date",Z$9)</t>
  </si>
  <si>
    <t>=-NL("Sum","5802 Value Entry","151 Cost Amount (Expected)","41 Source Type",$C$5,"5 Source No.",$C1095,"4 Item Ledger Entry Type",$C$4,"2 Item No.","@@"&amp;$F1095,"3 Posting Date",Z$9)-NL("Sum","5802 Value Entry","43 Cost Amount (Actual)","41 Source Type",$C$5,"5 Source no.",$C1095,"4 Item Ledger Entry Type",$C$4,"2 Item No.","@@"&amp;$F1095,"3 Posting Date",Z$9)</t>
  </si>
  <si>
    <t>=Z1095-AB1095</t>
  </si>
  <si>
    <t>=IF(Z1095&lt;&gt;0,AC1095/Z1095,"")</t>
  </si>
  <si>
    <t>=C1095</t>
  </si>
  <si>
    <t>=NL("Sum","5802 Value Entry","150 Sales Amount (Expected)","41 Source Type",$C$5,"5 Source No.",$C1096,"4 Item Ledger Entry Type",$C$4,"2 Item No.","@@"&amp;$F1096,"3 Posting Date",J$9)+NL("Sum","5802 Value Entry","17 Sales Amount (Actual)","41 Source Type",$C$5,"5 Source no.",$C1096,"4 Item Ledger Entry Type",$C$4,"2 Item No.","@@"&amp;$F1096,"3 Posting Date",J$9)</t>
  </si>
  <si>
    <t>=-NL("Sum","5802 Value Entry","151 Cost Amount (Expected)","41 Source Type",$C$5,"5 Source No.",$C1096,"4 Item Ledger Entry Type",$C$4,"2 Item No.","@@"&amp;$F1096,"3 Posting Date",J$9)-NL("Sum","5802 Value Entry","43 Cost Amount (Actual)","41 Source Type",$C$5,"5 Source no.",$C1096,"4 Item Ledger Entry Type",$C$4,"2 Item No.","@@"&amp;$F1096,"3 Posting Date",J$9)</t>
  </si>
  <si>
    <t>=J1096-L1096</t>
  </si>
  <si>
    <t>=IF(J1096&lt;&gt;0,M1096/J1096,"")</t>
  </si>
  <si>
    <t>=NL("Sum","5802 Value Entry","150 Sales Amount (Expected)","41 Source Type",$C$5,"5 Source No.",$C1096,"4 Item Ledger Entry Type",$C$4,"2 Item No.","@@"&amp;$F1096,"3 Posting Date",O$9)+NL("Sum","5802 Value Entry","17 Sales Amount (Actual)","41 Source Type",$C$5,"5 Source no.",$C1096,"4 Item Ledger Entry Type",$C$4,"2 Item No.","@@"&amp;$F1096,"3 Posting Date",O$9)</t>
  </si>
  <si>
    <t>=-NL("Sum","5802 Value Entry","151 Cost Amount (Expected)","41 Source Type",$C$5,"5 Source No.",$C1096,"4 Item Ledger Entry Type",$C$4,"2 Item No.","@@"&amp;$F1096,"3 Posting Date",O$9)-NL("Sum","5802 Value Entry","43 Cost Amount (Actual)","41 Source Type",$C$5,"5 Source no.",$C1096,"4 Item Ledger Entry Type",$C$4,"2 Item No.","@@"&amp;$F1096,"3 Posting Date",O$9)</t>
  </si>
  <si>
    <t>=O1096-Q1096</t>
  </si>
  <si>
    <t>=IF(O1096&lt;&gt;0,R1096/O1096,"")</t>
  </si>
  <si>
    <t>=NL("Sum","5802 Value Entry","150 Sales Amount (Expected)","41 Source Type",$C$5,"5 Source No.",$C1096,"4 Item Ledger Entry Type",$C$4,"2 Item No.","@@"&amp;$F1096,"3 Posting Date",U$9)+NL("Sum","5802 Value Entry","17 Sales Amount (Actual)","41 Source Type",$C$5,"5 Source no.",$C1096,"4 Item Ledger Entry Type",$C$4,"2 Item No.","@@"&amp;$F1096,"3 Posting Date",U$9)</t>
  </si>
  <si>
    <t>=-NL("Sum","5802 Value Entry","151 Cost Amount (Expected)","41 Source Type",$C$5,"5 Source No.",$C1096,"4 Item Ledger Entry Type",$C$4,"2 Item No.","@@"&amp;$F1096,"3 Posting Date",U$9)-NL("Sum","5802 Value Entry","43 Cost Amount (Actual)","41 Source Type",$C$5,"5 Source no.",$C1096,"4 Item Ledger Entry Type",$C$4,"2 Item No.","@@"&amp;$F1096,"3 Posting Date",U$9)</t>
  </si>
  <si>
    <t>=U1096-W1096</t>
  </si>
  <si>
    <t>=IF(U1096&lt;&gt;0,X1096/U1096,"")</t>
  </si>
  <si>
    <t>=NL("Sum","5802 Value Entry","150 Sales Amount (Expected)","41 Source Type",$C$5,"5 Source No.",$C1096,"4 Item Ledger Entry Type",$C$4,"2 Item No.","@@"&amp;$F1096,"3 Posting Date",Z$9)+NL("Sum","5802 Value Entry","17 Sales Amount (Actual)","41 Source Type",$C$5,"5 Source no.",$C1096,"4 Item Ledger Entry Type",$C$4,"2 Item No.","@@"&amp;$F1096,"3 Posting Date",Z$9)</t>
  </si>
  <si>
    <t>=-NL("Sum","5802 Value Entry","151 Cost Amount (Expected)","41 Source Type",$C$5,"5 Source No.",$C1096,"4 Item Ledger Entry Type",$C$4,"2 Item No.","@@"&amp;$F1096,"3 Posting Date",Z$9)-NL("Sum","5802 Value Entry","43 Cost Amount (Actual)","41 Source Type",$C$5,"5 Source no.",$C1096,"4 Item Ledger Entry Type",$C$4,"2 Item No.","@@"&amp;$F1096,"3 Posting Date",Z$9)</t>
  </si>
  <si>
    <t>=Z1096-AB1096</t>
  </si>
  <si>
    <t>=IF(Z1096&lt;&gt;0,AC1096/Z1096,"")</t>
  </si>
  <si>
    <t>=C1096</t>
  </si>
  <si>
    <t>=NL("Sum","5802 Value Entry","150 Sales Amount (Expected)","41 Source Type",$C$5,"5 Source No.",$C1097,"4 Item Ledger Entry Type",$C$4,"2 Item No.","@@"&amp;$F1097,"3 Posting Date",J$9)+NL("Sum","5802 Value Entry","17 Sales Amount (Actual)","41 Source Type",$C$5,"5 Source no.",$C1097,"4 Item Ledger Entry Type",$C$4,"2 Item No.","@@"&amp;$F1097,"3 Posting Date",J$9)</t>
  </si>
  <si>
    <t>=-NL("Sum","5802 Value Entry","151 Cost Amount (Expected)","41 Source Type",$C$5,"5 Source No.",$C1097,"4 Item Ledger Entry Type",$C$4,"2 Item No.","@@"&amp;$F1097,"3 Posting Date",J$9)-NL("Sum","5802 Value Entry","43 Cost Amount (Actual)","41 Source Type",$C$5,"5 Source no.",$C1097,"4 Item Ledger Entry Type",$C$4,"2 Item No.","@@"&amp;$F1097,"3 Posting Date",J$9)</t>
  </si>
  <si>
    <t>=J1097-L1097</t>
  </si>
  <si>
    <t>=IF(J1097&lt;&gt;0,M1097/J1097,"")</t>
  </si>
  <si>
    <t>=NL("Sum","5802 Value Entry","150 Sales Amount (Expected)","41 Source Type",$C$5,"5 Source No.",$C1097,"4 Item Ledger Entry Type",$C$4,"2 Item No.","@@"&amp;$F1097,"3 Posting Date",O$9)+NL("Sum","5802 Value Entry","17 Sales Amount (Actual)","41 Source Type",$C$5,"5 Source no.",$C1097,"4 Item Ledger Entry Type",$C$4,"2 Item No.","@@"&amp;$F1097,"3 Posting Date",O$9)</t>
  </si>
  <si>
    <t>=-NL("Sum","5802 Value Entry","151 Cost Amount (Expected)","41 Source Type",$C$5,"5 Source No.",$C1097,"4 Item Ledger Entry Type",$C$4,"2 Item No.","@@"&amp;$F1097,"3 Posting Date",O$9)-NL("Sum","5802 Value Entry","43 Cost Amount (Actual)","41 Source Type",$C$5,"5 Source no.",$C1097,"4 Item Ledger Entry Type",$C$4,"2 Item No.","@@"&amp;$F1097,"3 Posting Date",O$9)</t>
  </si>
  <si>
    <t>=O1097-Q1097</t>
  </si>
  <si>
    <t>=IF(O1097&lt;&gt;0,R1097/O1097,"")</t>
  </si>
  <si>
    <t>=NL("Sum","5802 Value Entry","150 Sales Amount (Expected)","41 Source Type",$C$5,"5 Source No.",$C1097,"4 Item Ledger Entry Type",$C$4,"2 Item No.","@@"&amp;$F1097,"3 Posting Date",U$9)+NL("Sum","5802 Value Entry","17 Sales Amount (Actual)","41 Source Type",$C$5,"5 Source no.",$C1097,"4 Item Ledger Entry Type",$C$4,"2 Item No.","@@"&amp;$F1097,"3 Posting Date",U$9)</t>
  </si>
  <si>
    <t>=-NL("Sum","5802 Value Entry","151 Cost Amount (Expected)","41 Source Type",$C$5,"5 Source No.",$C1097,"4 Item Ledger Entry Type",$C$4,"2 Item No.","@@"&amp;$F1097,"3 Posting Date",U$9)-NL("Sum","5802 Value Entry","43 Cost Amount (Actual)","41 Source Type",$C$5,"5 Source no.",$C1097,"4 Item Ledger Entry Type",$C$4,"2 Item No.","@@"&amp;$F1097,"3 Posting Date",U$9)</t>
  </si>
  <si>
    <t>=U1097-W1097</t>
  </si>
  <si>
    <t>=IF(U1097&lt;&gt;0,X1097/U1097,"")</t>
  </si>
  <si>
    <t>=NL("Sum","5802 Value Entry","150 Sales Amount (Expected)","41 Source Type",$C$5,"5 Source No.",$C1097,"4 Item Ledger Entry Type",$C$4,"2 Item No.","@@"&amp;$F1097,"3 Posting Date",Z$9)+NL("Sum","5802 Value Entry","17 Sales Amount (Actual)","41 Source Type",$C$5,"5 Source no.",$C1097,"4 Item Ledger Entry Type",$C$4,"2 Item No.","@@"&amp;$F1097,"3 Posting Date",Z$9)</t>
  </si>
  <si>
    <t>=-NL("Sum","5802 Value Entry","151 Cost Amount (Expected)","41 Source Type",$C$5,"5 Source No.",$C1097,"4 Item Ledger Entry Type",$C$4,"2 Item No.","@@"&amp;$F1097,"3 Posting Date",Z$9)-NL("Sum","5802 Value Entry","43 Cost Amount (Actual)","41 Source Type",$C$5,"5 Source no.",$C1097,"4 Item Ledger Entry Type",$C$4,"2 Item No.","@@"&amp;$F1097,"3 Posting Date",Z$9)</t>
  </si>
  <si>
    <t>=Z1097-AB1097</t>
  </si>
  <si>
    <t>=IF(Z1097&lt;&gt;0,AC1097/Z1097,"")</t>
  </si>
  <si>
    <t>=C1097</t>
  </si>
  <si>
    <t>=NL("Sum","5802 Value Entry","150 Sales Amount (Expected)","41 Source Type",$C$5,"5 Source No.",$C1098,"4 Item Ledger Entry Type",$C$4,"2 Item No.","@@"&amp;$F1098,"3 Posting Date",J$9)+NL("Sum","5802 Value Entry","17 Sales Amount (Actual)","41 Source Type",$C$5,"5 Source no.",$C1098,"4 Item Ledger Entry Type",$C$4,"2 Item No.","@@"&amp;$F1098,"3 Posting Date",J$9)</t>
  </si>
  <si>
    <t>=-NL("Sum","5802 Value Entry","151 Cost Amount (Expected)","41 Source Type",$C$5,"5 Source No.",$C1098,"4 Item Ledger Entry Type",$C$4,"2 Item No.","@@"&amp;$F1098,"3 Posting Date",J$9)-NL("Sum","5802 Value Entry","43 Cost Amount (Actual)","41 Source Type",$C$5,"5 Source no.",$C1098,"4 Item Ledger Entry Type",$C$4,"2 Item No.","@@"&amp;$F1098,"3 Posting Date",J$9)</t>
  </si>
  <si>
    <t>=J1098-L1098</t>
  </si>
  <si>
    <t>=IF(J1098&lt;&gt;0,M1098/J1098,"")</t>
  </si>
  <si>
    <t>=NL("Sum","5802 Value Entry","150 Sales Amount (Expected)","41 Source Type",$C$5,"5 Source No.",$C1098,"4 Item Ledger Entry Type",$C$4,"2 Item No.","@@"&amp;$F1098,"3 Posting Date",O$9)+NL("Sum","5802 Value Entry","17 Sales Amount (Actual)","41 Source Type",$C$5,"5 Source no.",$C1098,"4 Item Ledger Entry Type",$C$4,"2 Item No.","@@"&amp;$F1098,"3 Posting Date",O$9)</t>
  </si>
  <si>
    <t>=-NL("Sum","5802 Value Entry","151 Cost Amount (Expected)","41 Source Type",$C$5,"5 Source No.",$C1098,"4 Item Ledger Entry Type",$C$4,"2 Item No.","@@"&amp;$F1098,"3 Posting Date",O$9)-NL("Sum","5802 Value Entry","43 Cost Amount (Actual)","41 Source Type",$C$5,"5 Source no.",$C1098,"4 Item Ledger Entry Type",$C$4,"2 Item No.","@@"&amp;$F1098,"3 Posting Date",O$9)</t>
  </si>
  <si>
    <t>=O1098-Q1098</t>
  </si>
  <si>
    <t>=IF(O1098&lt;&gt;0,R1098/O1098,"")</t>
  </si>
  <si>
    <t>=NL("Sum","5802 Value Entry","150 Sales Amount (Expected)","41 Source Type",$C$5,"5 Source No.",$C1098,"4 Item Ledger Entry Type",$C$4,"2 Item No.","@@"&amp;$F1098,"3 Posting Date",U$9)+NL("Sum","5802 Value Entry","17 Sales Amount (Actual)","41 Source Type",$C$5,"5 Source no.",$C1098,"4 Item Ledger Entry Type",$C$4,"2 Item No.","@@"&amp;$F1098,"3 Posting Date",U$9)</t>
  </si>
  <si>
    <t>=-NL("Sum","5802 Value Entry","151 Cost Amount (Expected)","41 Source Type",$C$5,"5 Source No.",$C1098,"4 Item Ledger Entry Type",$C$4,"2 Item No.","@@"&amp;$F1098,"3 Posting Date",U$9)-NL("Sum","5802 Value Entry","43 Cost Amount (Actual)","41 Source Type",$C$5,"5 Source no.",$C1098,"4 Item Ledger Entry Type",$C$4,"2 Item No.","@@"&amp;$F1098,"3 Posting Date",U$9)</t>
  </si>
  <si>
    <t>=U1098-W1098</t>
  </si>
  <si>
    <t>=IF(U1098&lt;&gt;0,X1098/U1098,"")</t>
  </si>
  <si>
    <t>=NL("Sum","5802 Value Entry","150 Sales Amount (Expected)","41 Source Type",$C$5,"5 Source No.",$C1098,"4 Item Ledger Entry Type",$C$4,"2 Item No.","@@"&amp;$F1098,"3 Posting Date",Z$9)+NL("Sum","5802 Value Entry","17 Sales Amount (Actual)","41 Source Type",$C$5,"5 Source no.",$C1098,"4 Item Ledger Entry Type",$C$4,"2 Item No.","@@"&amp;$F1098,"3 Posting Date",Z$9)</t>
  </si>
  <si>
    <t>=-NL("Sum","5802 Value Entry","151 Cost Amount (Expected)","41 Source Type",$C$5,"5 Source No.",$C1098,"4 Item Ledger Entry Type",$C$4,"2 Item No.","@@"&amp;$F1098,"3 Posting Date",Z$9)-NL("Sum","5802 Value Entry","43 Cost Amount (Actual)","41 Source Type",$C$5,"5 Source no.",$C1098,"4 Item Ledger Entry Type",$C$4,"2 Item No.","@@"&amp;$F1098,"3 Posting Date",Z$9)</t>
  </si>
  <si>
    <t>=Z1098-AB1098</t>
  </si>
  <si>
    <t>=IF(Z1098&lt;&gt;0,AC1098/Z1098,"")</t>
  </si>
  <si>
    <t>=C1098</t>
  </si>
  <si>
    <t>=NL("Sum","5802 Value Entry","150 Sales Amount (Expected)","41 Source Type",$C$5,"5 Source No.",$C1099,"4 Item Ledger Entry Type",$C$4,"2 Item No.","@@"&amp;$F1099,"3 Posting Date",J$9)+NL("Sum","5802 Value Entry","17 Sales Amount (Actual)","41 Source Type",$C$5,"5 Source no.",$C1099,"4 Item Ledger Entry Type",$C$4,"2 Item No.","@@"&amp;$F1099,"3 Posting Date",J$9)</t>
  </si>
  <si>
    <t>=-NL("Sum","5802 Value Entry","151 Cost Amount (Expected)","41 Source Type",$C$5,"5 Source No.",$C1099,"4 Item Ledger Entry Type",$C$4,"2 Item No.","@@"&amp;$F1099,"3 Posting Date",J$9)-NL("Sum","5802 Value Entry","43 Cost Amount (Actual)","41 Source Type",$C$5,"5 Source no.",$C1099,"4 Item Ledger Entry Type",$C$4,"2 Item No.","@@"&amp;$F1099,"3 Posting Date",J$9)</t>
  </si>
  <si>
    <t>=J1099-L1099</t>
  </si>
  <si>
    <t>=IF(J1099&lt;&gt;0,M1099/J1099,"")</t>
  </si>
  <si>
    <t>=NL("Sum","5802 Value Entry","150 Sales Amount (Expected)","41 Source Type",$C$5,"5 Source No.",$C1099,"4 Item Ledger Entry Type",$C$4,"2 Item No.","@@"&amp;$F1099,"3 Posting Date",O$9)+NL("Sum","5802 Value Entry","17 Sales Amount (Actual)","41 Source Type",$C$5,"5 Source no.",$C1099,"4 Item Ledger Entry Type",$C$4,"2 Item No.","@@"&amp;$F1099,"3 Posting Date",O$9)</t>
  </si>
  <si>
    <t>=-NL("Sum","5802 Value Entry","151 Cost Amount (Expected)","41 Source Type",$C$5,"5 Source No.",$C1099,"4 Item Ledger Entry Type",$C$4,"2 Item No.","@@"&amp;$F1099,"3 Posting Date",O$9)-NL("Sum","5802 Value Entry","43 Cost Amount (Actual)","41 Source Type",$C$5,"5 Source no.",$C1099,"4 Item Ledger Entry Type",$C$4,"2 Item No.","@@"&amp;$F1099,"3 Posting Date",O$9)</t>
  </si>
  <si>
    <t>=O1099-Q1099</t>
  </si>
  <si>
    <t>=IF(O1099&lt;&gt;0,R1099/O1099,"")</t>
  </si>
  <si>
    <t>=NL("Sum","5802 Value Entry","150 Sales Amount (Expected)","41 Source Type",$C$5,"5 Source No.",$C1099,"4 Item Ledger Entry Type",$C$4,"2 Item No.","@@"&amp;$F1099,"3 Posting Date",U$9)+NL("Sum","5802 Value Entry","17 Sales Amount (Actual)","41 Source Type",$C$5,"5 Source no.",$C1099,"4 Item Ledger Entry Type",$C$4,"2 Item No.","@@"&amp;$F1099,"3 Posting Date",U$9)</t>
  </si>
  <si>
    <t>=-NL("Sum","5802 Value Entry","151 Cost Amount (Expected)","41 Source Type",$C$5,"5 Source No.",$C1099,"4 Item Ledger Entry Type",$C$4,"2 Item No.","@@"&amp;$F1099,"3 Posting Date",U$9)-NL("Sum","5802 Value Entry","43 Cost Amount (Actual)","41 Source Type",$C$5,"5 Source no.",$C1099,"4 Item Ledger Entry Type",$C$4,"2 Item No.","@@"&amp;$F1099,"3 Posting Date",U$9)</t>
  </si>
  <si>
    <t>=U1099-W1099</t>
  </si>
  <si>
    <t>=IF(U1099&lt;&gt;0,X1099/U1099,"")</t>
  </si>
  <si>
    <t>=NL("Sum","5802 Value Entry","150 Sales Amount (Expected)","41 Source Type",$C$5,"5 Source No.",$C1099,"4 Item Ledger Entry Type",$C$4,"2 Item No.","@@"&amp;$F1099,"3 Posting Date",Z$9)+NL("Sum","5802 Value Entry","17 Sales Amount (Actual)","41 Source Type",$C$5,"5 Source no.",$C1099,"4 Item Ledger Entry Type",$C$4,"2 Item No.","@@"&amp;$F1099,"3 Posting Date",Z$9)</t>
  </si>
  <si>
    <t>=-NL("Sum","5802 Value Entry","151 Cost Amount (Expected)","41 Source Type",$C$5,"5 Source No.",$C1099,"4 Item Ledger Entry Type",$C$4,"2 Item No.","@@"&amp;$F1099,"3 Posting Date",Z$9)-NL("Sum","5802 Value Entry","43 Cost Amount (Actual)","41 Source Type",$C$5,"5 Source no.",$C1099,"4 Item Ledger Entry Type",$C$4,"2 Item No.","@@"&amp;$F1099,"3 Posting Date",Z$9)</t>
  </si>
  <si>
    <t>=Z1099-AB1099</t>
  </si>
  <si>
    <t>=IF(Z1099&lt;&gt;0,AC1099/Z1099,"")</t>
  </si>
  <si>
    <t>=C1099</t>
  </si>
  <si>
    <t>=NL("Sum","5802 Value Entry","150 Sales Amount (Expected)","41 Source Type",$C$5,"5 Source No.",$C1100,"4 Item Ledger Entry Type",$C$4,"2 Item No.","@@"&amp;$F1100,"3 Posting Date",J$9)+NL("Sum","5802 Value Entry","17 Sales Amount (Actual)","41 Source Type",$C$5,"5 Source no.",$C1100,"4 Item Ledger Entry Type",$C$4,"2 Item No.","@@"&amp;$F1100,"3 Posting Date",J$9)</t>
  </si>
  <si>
    <t>=-NL("Sum","5802 Value Entry","151 Cost Amount (Expected)","41 Source Type",$C$5,"5 Source No.",$C1100,"4 Item Ledger Entry Type",$C$4,"2 Item No.","@@"&amp;$F1100,"3 Posting Date",J$9)-NL("Sum","5802 Value Entry","43 Cost Amount (Actual)","41 Source Type",$C$5,"5 Source no.",$C1100,"4 Item Ledger Entry Type",$C$4,"2 Item No.","@@"&amp;$F1100,"3 Posting Date",J$9)</t>
  </si>
  <si>
    <t>=J1100-L1100</t>
  </si>
  <si>
    <t>=IF(J1100&lt;&gt;0,M1100/J1100,"")</t>
  </si>
  <si>
    <t>=NL("Sum","5802 Value Entry","150 Sales Amount (Expected)","41 Source Type",$C$5,"5 Source No.",$C1100,"4 Item Ledger Entry Type",$C$4,"2 Item No.","@@"&amp;$F1100,"3 Posting Date",O$9)+NL("Sum","5802 Value Entry","17 Sales Amount (Actual)","41 Source Type",$C$5,"5 Source no.",$C1100,"4 Item Ledger Entry Type",$C$4,"2 Item No.","@@"&amp;$F1100,"3 Posting Date",O$9)</t>
  </si>
  <si>
    <t>=-NL("Sum","5802 Value Entry","151 Cost Amount (Expected)","41 Source Type",$C$5,"5 Source No.",$C1100,"4 Item Ledger Entry Type",$C$4,"2 Item No.","@@"&amp;$F1100,"3 Posting Date",O$9)-NL("Sum","5802 Value Entry","43 Cost Amount (Actual)","41 Source Type",$C$5,"5 Source no.",$C1100,"4 Item Ledger Entry Type",$C$4,"2 Item No.","@@"&amp;$F1100,"3 Posting Date",O$9)</t>
  </si>
  <si>
    <t>=O1100-Q1100</t>
  </si>
  <si>
    <t>=IF(O1100&lt;&gt;0,R1100/O1100,"")</t>
  </si>
  <si>
    <t>=NL("Sum","5802 Value Entry","150 Sales Amount (Expected)","41 Source Type",$C$5,"5 Source No.",$C1100,"4 Item Ledger Entry Type",$C$4,"2 Item No.","@@"&amp;$F1100,"3 Posting Date",U$9)+NL("Sum","5802 Value Entry","17 Sales Amount (Actual)","41 Source Type",$C$5,"5 Source no.",$C1100,"4 Item Ledger Entry Type",$C$4,"2 Item No.","@@"&amp;$F1100,"3 Posting Date",U$9)</t>
  </si>
  <si>
    <t>=-NL("Sum","5802 Value Entry","151 Cost Amount (Expected)","41 Source Type",$C$5,"5 Source No.",$C1100,"4 Item Ledger Entry Type",$C$4,"2 Item No.","@@"&amp;$F1100,"3 Posting Date",U$9)-NL("Sum","5802 Value Entry","43 Cost Amount (Actual)","41 Source Type",$C$5,"5 Source no.",$C1100,"4 Item Ledger Entry Type",$C$4,"2 Item No.","@@"&amp;$F1100,"3 Posting Date",U$9)</t>
  </si>
  <si>
    <t>=U1100-W1100</t>
  </si>
  <si>
    <t>=IF(U1100&lt;&gt;0,X1100/U1100,"")</t>
  </si>
  <si>
    <t>=NL("Sum","5802 Value Entry","150 Sales Amount (Expected)","41 Source Type",$C$5,"5 Source No.",$C1100,"4 Item Ledger Entry Type",$C$4,"2 Item No.","@@"&amp;$F1100,"3 Posting Date",Z$9)+NL("Sum","5802 Value Entry","17 Sales Amount (Actual)","41 Source Type",$C$5,"5 Source no.",$C1100,"4 Item Ledger Entry Type",$C$4,"2 Item No.","@@"&amp;$F1100,"3 Posting Date",Z$9)</t>
  </si>
  <si>
    <t>=-NL("Sum","5802 Value Entry","151 Cost Amount (Expected)","41 Source Type",$C$5,"5 Source No.",$C1100,"4 Item Ledger Entry Type",$C$4,"2 Item No.","@@"&amp;$F1100,"3 Posting Date",Z$9)-NL("Sum","5802 Value Entry","43 Cost Amount (Actual)","41 Source Type",$C$5,"5 Source no.",$C1100,"4 Item Ledger Entry Type",$C$4,"2 Item No.","@@"&amp;$F1100,"3 Posting Date",Z$9)</t>
  </si>
  <si>
    <t>=Z1100-AB1100</t>
  </si>
  <si>
    <t>=IF(Z1100&lt;&gt;0,AC1100/Z1100,"")</t>
  </si>
  <si>
    <t>=C1100</t>
  </si>
  <si>
    <t>=NL("Sum","5802 Value Entry","150 Sales Amount (Expected)","41 Source Type",$C$5,"5 Source No.",$C1101,"4 Item Ledger Entry Type",$C$4,"2 Item No.","@@"&amp;$F1101,"3 Posting Date",J$9)+NL("Sum","5802 Value Entry","17 Sales Amount (Actual)","41 Source Type",$C$5,"5 Source no.",$C1101,"4 Item Ledger Entry Type",$C$4,"2 Item No.","@@"&amp;$F1101,"3 Posting Date",J$9)</t>
  </si>
  <si>
    <t>=-NL("Sum","5802 Value Entry","151 Cost Amount (Expected)","41 Source Type",$C$5,"5 Source No.",$C1101,"4 Item Ledger Entry Type",$C$4,"2 Item No.","@@"&amp;$F1101,"3 Posting Date",J$9)-NL("Sum","5802 Value Entry","43 Cost Amount (Actual)","41 Source Type",$C$5,"5 Source no.",$C1101,"4 Item Ledger Entry Type",$C$4,"2 Item No.","@@"&amp;$F1101,"3 Posting Date",J$9)</t>
  </si>
  <si>
    <t>=J1101-L1101</t>
  </si>
  <si>
    <t>=IF(J1101&lt;&gt;0,M1101/J1101,"")</t>
  </si>
  <si>
    <t>=NL("Sum","5802 Value Entry","150 Sales Amount (Expected)","41 Source Type",$C$5,"5 Source No.",$C1101,"4 Item Ledger Entry Type",$C$4,"2 Item No.","@@"&amp;$F1101,"3 Posting Date",O$9)+NL("Sum","5802 Value Entry","17 Sales Amount (Actual)","41 Source Type",$C$5,"5 Source no.",$C1101,"4 Item Ledger Entry Type",$C$4,"2 Item No.","@@"&amp;$F1101,"3 Posting Date",O$9)</t>
  </si>
  <si>
    <t>=-NL("Sum","5802 Value Entry","151 Cost Amount (Expected)","41 Source Type",$C$5,"5 Source No.",$C1101,"4 Item Ledger Entry Type",$C$4,"2 Item No.","@@"&amp;$F1101,"3 Posting Date",O$9)-NL("Sum","5802 Value Entry","43 Cost Amount (Actual)","41 Source Type",$C$5,"5 Source no.",$C1101,"4 Item Ledger Entry Type",$C$4,"2 Item No.","@@"&amp;$F1101,"3 Posting Date",O$9)</t>
  </si>
  <si>
    <t>=O1101-Q1101</t>
  </si>
  <si>
    <t>=IF(O1101&lt;&gt;0,R1101/O1101,"")</t>
  </si>
  <si>
    <t>=NL("Sum","5802 Value Entry","150 Sales Amount (Expected)","41 Source Type",$C$5,"5 Source No.",$C1101,"4 Item Ledger Entry Type",$C$4,"2 Item No.","@@"&amp;$F1101,"3 Posting Date",U$9)+NL("Sum","5802 Value Entry","17 Sales Amount (Actual)","41 Source Type",$C$5,"5 Source no.",$C1101,"4 Item Ledger Entry Type",$C$4,"2 Item No.","@@"&amp;$F1101,"3 Posting Date",U$9)</t>
  </si>
  <si>
    <t>=-NL("Sum","5802 Value Entry","151 Cost Amount (Expected)","41 Source Type",$C$5,"5 Source No.",$C1101,"4 Item Ledger Entry Type",$C$4,"2 Item No.","@@"&amp;$F1101,"3 Posting Date",U$9)-NL("Sum","5802 Value Entry","43 Cost Amount (Actual)","41 Source Type",$C$5,"5 Source no.",$C1101,"4 Item Ledger Entry Type",$C$4,"2 Item No.","@@"&amp;$F1101,"3 Posting Date",U$9)</t>
  </si>
  <si>
    <t>=U1101-W1101</t>
  </si>
  <si>
    <t>=IF(U1101&lt;&gt;0,X1101/U1101,"")</t>
  </si>
  <si>
    <t>=NL("Sum","5802 Value Entry","150 Sales Amount (Expected)","41 Source Type",$C$5,"5 Source No.",$C1101,"4 Item Ledger Entry Type",$C$4,"2 Item No.","@@"&amp;$F1101,"3 Posting Date",Z$9)+NL("Sum","5802 Value Entry","17 Sales Amount (Actual)","41 Source Type",$C$5,"5 Source no.",$C1101,"4 Item Ledger Entry Type",$C$4,"2 Item No.","@@"&amp;$F1101,"3 Posting Date",Z$9)</t>
  </si>
  <si>
    <t>=-NL("Sum","5802 Value Entry","151 Cost Amount (Expected)","41 Source Type",$C$5,"5 Source No.",$C1101,"4 Item Ledger Entry Type",$C$4,"2 Item No.","@@"&amp;$F1101,"3 Posting Date",Z$9)-NL("Sum","5802 Value Entry","43 Cost Amount (Actual)","41 Source Type",$C$5,"5 Source no.",$C1101,"4 Item Ledger Entry Type",$C$4,"2 Item No.","@@"&amp;$F1101,"3 Posting Date",Z$9)</t>
  </si>
  <si>
    <t>=Z1101-AB1101</t>
  </si>
  <si>
    <t>=IF(Z1101&lt;&gt;0,AC1101/Z1101,"")</t>
  </si>
  <si>
    <t>=C1101</t>
  </si>
  <si>
    <t>=NL("Sum","5802 Value Entry","150 Sales Amount (Expected)","41 Source Type",$C$5,"5 Source No.",$C1102,"4 Item Ledger Entry Type",$C$4,"2 Item No.","@@"&amp;$F1102,"3 Posting Date",J$9)+NL("Sum","5802 Value Entry","17 Sales Amount (Actual)","41 Source Type",$C$5,"5 Source no.",$C1102,"4 Item Ledger Entry Type",$C$4,"2 Item No.","@@"&amp;$F1102,"3 Posting Date",J$9)</t>
  </si>
  <si>
    <t>=-NL("Sum","5802 Value Entry","151 Cost Amount (Expected)","41 Source Type",$C$5,"5 Source No.",$C1102,"4 Item Ledger Entry Type",$C$4,"2 Item No.","@@"&amp;$F1102,"3 Posting Date",J$9)-NL("Sum","5802 Value Entry","43 Cost Amount (Actual)","41 Source Type",$C$5,"5 Source no.",$C1102,"4 Item Ledger Entry Type",$C$4,"2 Item No.","@@"&amp;$F1102,"3 Posting Date",J$9)</t>
  </si>
  <si>
    <t>=J1102-L1102</t>
  </si>
  <si>
    <t>=IF(J1102&lt;&gt;0,M1102/J1102,"")</t>
  </si>
  <si>
    <t>=NL("Sum","5802 Value Entry","150 Sales Amount (Expected)","41 Source Type",$C$5,"5 Source No.",$C1102,"4 Item Ledger Entry Type",$C$4,"2 Item No.","@@"&amp;$F1102,"3 Posting Date",O$9)+NL("Sum","5802 Value Entry","17 Sales Amount (Actual)","41 Source Type",$C$5,"5 Source no.",$C1102,"4 Item Ledger Entry Type",$C$4,"2 Item No.","@@"&amp;$F1102,"3 Posting Date",O$9)</t>
  </si>
  <si>
    <t>=-NL("Sum","5802 Value Entry","151 Cost Amount (Expected)","41 Source Type",$C$5,"5 Source No.",$C1102,"4 Item Ledger Entry Type",$C$4,"2 Item No.","@@"&amp;$F1102,"3 Posting Date",O$9)-NL("Sum","5802 Value Entry","43 Cost Amount (Actual)","41 Source Type",$C$5,"5 Source no.",$C1102,"4 Item Ledger Entry Type",$C$4,"2 Item No.","@@"&amp;$F1102,"3 Posting Date",O$9)</t>
  </si>
  <si>
    <t>=O1102-Q1102</t>
  </si>
  <si>
    <t>=IF(O1102&lt;&gt;0,R1102/O1102,"")</t>
  </si>
  <si>
    <t>=NL("Sum","5802 Value Entry","150 Sales Amount (Expected)","41 Source Type",$C$5,"5 Source No.",$C1102,"4 Item Ledger Entry Type",$C$4,"2 Item No.","@@"&amp;$F1102,"3 Posting Date",U$9)+NL("Sum","5802 Value Entry","17 Sales Amount (Actual)","41 Source Type",$C$5,"5 Source no.",$C1102,"4 Item Ledger Entry Type",$C$4,"2 Item No.","@@"&amp;$F1102,"3 Posting Date",U$9)</t>
  </si>
  <si>
    <t>=-NL("Sum","5802 Value Entry","151 Cost Amount (Expected)","41 Source Type",$C$5,"5 Source No.",$C1102,"4 Item Ledger Entry Type",$C$4,"2 Item No.","@@"&amp;$F1102,"3 Posting Date",U$9)-NL("Sum","5802 Value Entry","43 Cost Amount (Actual)","41 Source Type",$C$5,"5 Source no.",$C1102,"4 Item Ledger Entry Type",$C$4,"2 Item No.","@@"&amp;$F1102,"3 Posting Date",U$9)</t>
  </si>
  <si>
    <t>=U1102-W1102</t>
  </si>
  <si>
    <t>=IF(U1102&lt;&gt;0,X1102/U1102,"")</t>
  </si>
  <si>
    <t>=NL("Sum","5802 Value Entry","150 Sales Amount (Expected)","41 Source Type",$C$5,"5 Source No.",$C1102,"4 Item Ledger Entry Type",$C$4,"2 Item No.","@@"&amp;$F1102,"3 Posting Date",Z$9)+NL("Sum","5802 Value Entry","17 Sales Amount (Actual)","41 Source Type",$C$5,"5 Source no.",$C1102,"4 Item Ledger Entry Type",$C$4,"2 Item No.","@@"&amp;$F1102,"3 Posting Date",Z$9)</t>
  </si>
  <si>
    <t>=-NL("Sum","5802 Value Entry","151 Cost Amount (Expected)","41 Source Type",$C$5,"5 Source No.",$C1102,"4 Item Ledger Entry Type",$C$4,"2 Item No.","@@"&amp;$F1102,"3 Posting Date",Z$9)-NL("Sum","5802 Value Entry","43 Cost Amount (Actual)","41 Source Type",$C$5,"5 Source no.",$C1102,"4 Item Ledger Entry Type",$C$4,"2 Item No.","@@"&amp;$F1102,"3 Posting Date",Z$9)</t>
  </si>
  <si>
    <t>=Z1102-AB1102</t>
  </si>
  <si>
    <t>=IF(Z1102&lt;&gt;0,AC1102/Z1102,"")</t>
  </si>
  <si>
    <t>=C1102</t>
  </si>
  <si>
    <t>=NL("Sum","5802 Value Entry","150 Sales Amount (Expected)","41 Source Type",$C$5,"5 Source No.",$C1103,"4 Item Ledger Entry Type",$C$4,"2 Item No.","@@"&amp;$F1103,"3 Posting Date",J$9)+NL("Sum","5802 Value Entry","17 Sales Amount (Actual)","41 Source Type",$C$5,"5 Source no.",$C1103,"4 Item Ledger Entry Type",$C$4,"2 Item No.","@@"&amp;$F1103,"3 Posting Date",J$9)</t>
  </si>
  <si>
    <t>=-NL("Sum","5802 Value Entry","151 Cost Amount (Expected)","41 Source Type",$C$5,"5 Source No.",$C1103,"4 Item Ledger Entry Type",$C$4,"2 Item No.","@@"&amp;$F1103,"3 Posting Date",J$9)-NL("Sum","5802 Value Entry","43 Cost Amount (Actual)","41 Source Type",$C$5,"5 Source no.",$C1103,"4 Item Ledger Entry Type",$C$4,"2 Item No.","@@"&amp;$F1103,"3 Posting Date",J$9)</t>
  </si>
  <si>
    <t>=J1103-L1103</t>
  </si>
  <si>
    <t>=IF(J1103&lt;&gt;0,M1103/J1103,"")</t>
  </si>
  <si>
    <t>=NL("Sum","5802 Value Entry","150 Sales Amount (Expected)","41 Source Type",$C$5,"5 Source No.",$C1103,"4 Item Ledger Entry Type",$C$4,"2 Item No.","@@"&amp;$F1103,"3 Posting Date",O$9)+NL("Sum","5802 Value Entry","17 Sales Amount (Actual)","41 Source Type",$C$5,"5 Source no.",$C1103,"4 Item Ledger Entry Type",$C$4,"2 Item No.","@@"&amp;$F1103,"3 Posting Date",O$9)</t>
  </si>
  <si>
    <t>=-NL("Sum","5802 Value Entry","151 Cost Amount (Expected)","41 Source Type",$C$5,"5 Source No.",$C1103,"4 Item Ledger Entry Type",$C$4,"2 Item No.","@@"&amp;$F1103,"3 Posting Date",O$9)-NL("Sum","5802 Value Entry","43 Cost Amount (Actual)","41 Source Type",$C$5,"5 Source no.",$C1103,"4 Item Ledger Entry Type",$C$4,"2 Item No.","@@"&amp;$F1103,"3 Posting Date",O$9)</t>
  </si>
  <si>
    <t>=O1103-Q1103</t>
  </si>
  <si>
    <t>=IF(O1103&lt;&gt;0,R1103/O1103,"")</t>
  </si>
  <si>
    <t>=NL("Sum","5802 Value Entry","150 Sales Amount (Expected)","41 Source Type",$C$5,"5 Source No.",$C1103,"4 Item Ledger Entry Type",$C$4,"2 Item No.","@@"&amp;$F1103,"3 Posting Date",U$9)+NL("Sum","5802 Value Entry","17 Sales Amount (Actual)","41 Source Type",$C$5,"5 Source no.",$C1103,"4 Item Ledger Entry Type",$C$4,"2 Item No.","@@"&amp;$F1103,"3 Posting Date",U$9)</t>
  </si>
  <si>
    <t>=-NL("Sum","5802 Value Entry","151 Cost Amount (Expected)","41 Source Type",$C$5,"5 Source No.",$C1103,"4 Item Ledger Entry Type",$C$4,"2 Item No.","@@"&amp;$F1103,"3 Posting Date",U$9)-NL("Sum","5802 Value Entry","43 Cost Amount (Actual)","41 Source Type",$C$5,"5 Source no.",$C1103,"4 Item Ledger Entry Type",$C$4,"2 Item No.","@@"&amp;$F1103,"3 Posting Date",U$9)</t>
  </si>
  <si>
    <t>=U1103-W1103</t>
  </si>
  <si>
    <t>=IF(U1103&lt;&gt;0,X1103/U1103,"")</t>
  </si>
  <si>
    <t>=NL("Sum","5802 Value Entry","150 Sales Amount (Expected)","41 Source Type",$C$5,"5 Source No.",$C1103,"4 Item Ledger Entry Type",$C$4,"2 Item No.","@@"&amp;$F1103,"3 Posting Date",Z$9)+NL("Sum","5802 Value Entry","17 Sales Amount (Actual)","41 Source Type",$C$5,"5 Source no.",$C1103,"4 Item Ledger Entry Type",$C$4,"2 Item No.","@@"&amp;$F1103,"3 Posting Date",Z$9)</t>
  </si>
  <si>
    <t>=-NL("Sum","5802 Value Entry","151 Cost Amount (Expected)","41 Source Type",$C$5,"5 Source No.",$C1103,"4 Item Ledger Entry Type",$C$4,"2 Item No.","@@"&amp;$F1103,"3 Posting Date",Z$9)-NL("Sum","5802 Value Entry","43 Cost Amount (Actual)","41 Source Type",$C$5,"5 Source no.",$C1103,"4 Item Ledger Entry Type",$C$4,"2 Item No.","@@"&amp;$F1103,"3 Posting Date",Z$9)</t>
  </si>
  <si>
    <t>=Z1103-AB1103</t>
  </si>
  <si>
    <t>=IF(Z1103&lt;&gt;0,AC1103/Z1103,"")</t>
  </si>
  <si>
    <t>=C1103</t>
  </si>
  <si>
    <t>=NL("Sum","5802 Value Entry","150 Sales Amount (Expected)","41 Source Type",$C$5,"5 Source No.",$C1104,"4 Item Ledger Entry Type",$C$4,"2 Item No.","@@"&amp;$F1104,"3 Posting Date",J$9)+NL("Sum","5802 Value Entry","17 Sales Amount (Actual)","41 Source Type",$C$5,"5 Source no.",$C1104,"4 Item Ledger Entry Type",$C$4,"2 Item No.","@@"&amp;$F1104,"3 Posting Date",J$9)</t>
  </si>
  <si>
    <t>=-NL("Sum","5802 Value Entry","151 Cost Amount (Expected)","41 Source Type",$C$5,"5 Source No.",$C1104,"4 Item Ledger Entry Type",$C$4,"2 Item No.","@@"&amp;$F1104,"3 Posting Date",J$9)-NL("Sum","5802 Value Entry","43 Cost Amount (Actual)","41 Source Type",$C$5,"5 Source no.",$C1104,"4 Item Ledger Entry Type",$C$4,"2 Item No.","@@"&amp;$F1104,"3 Posting Date",J$9)</t>
  </si>
  <si>
    <t>=J1104-L1104</t>
  </si>
  <si>
    <t>=IF(J1104&lt;&gt;0,M1104/J1104,"")</t>
  </si>
  <si>
    <t>=NL("Sum","5802 Value Entry","150 Sales Amount (Expected)","41 Source Type",$C$5,"5 Source No.",$C1104,"4 Item Ledger Entry Type",$C$4,"2 Item No.","@@"&amp;$F1104,"3 Posting Date",O$9)+NL("Sum","5802 Value Entry","17 Sales Amount (Actual)","41 Source Type",$C$5,"5 Source no.",$C1104,"4 Item Ledger Entry Type",$C$4,"2 Item No.","@@"&amp;$F1104,"3 Posting Date",O$9)</t>
  </si>
  <si>
    <t>=-NL("Sum","5802 Value Entry","151 Cost Amount (Expected)","41 Source Type",$C$5,"5 Source No.",$C1104,"4 Item Ledger Entry Type",$C$4,"2 Item No.","@@"&amp;$F1104,"3 Posting Date",O$9)-NL("Sum","5802 Value Entry","43 Cost Amount (Actual)","41 Source Type",$C$5,"5 Source no.",$C1104,"4 Item Ledger Entry Type",$C$4,"2 Item No.","@@"&amp;$F1104,"3 Posting Date",O$9)</t>
  </si>
  <si>
    <t>=O1104-Q1104</t>
  </si>
  <si>
    <t>=IF(O1104&lt;&gt;0,R1104/O1104,"")</t>
  </si>
  <si>
    <t>=NL("Sum","5802 Value Entry","150 Sales Amount (Expected)","41 Source Type",$C$5,"5 Source No.",$C1104,"4 Item Ledger Entry Type",$C$4,"2 Item No.","@@"&amp;$F1104,"3 Posting Date",U$9)+NL("Sum","5802 Value Entry","17 Sales Amount (Actual)","41 Source Type",$C$5,"5 Source no.",$C1104,"4 Item Ledger Entry Type",$C$4,"2 Item No.","@@"&amp;$F1104,"3 Posting Date",U$9)</t>
  </si>
  <si>
    <t>=-NL("Sum","5802 Value Entry","151 Cost Amount (Expected)","41 Source Type",$C$5,"5 Source No.",$C1104,"4 Item Ledger Entry Type",$C$4,"2 Item No.","@@"&amp;$F1104,"3 Posting Date",U$9)-NL("Sum","5802 Value Entry","43 Cost Amount (Actual)","41 Source Type",$C$5,"5 Source no.",$C1104,"4 Item Ledger Entry Type",$C$4,"2 Item No.","@@"&amp;$F1104,"3 Posting Date",U$9)</t>
  </si>
  <si>
    <t>=U1104-W1104</t>
  </si>
  <si>
    <t>=IF(U1104&lt;&gt;0,X1104/U1104,"")</t>
  </si>
  <si>
    <t>=NL("Sum","5802 Value Entry","150 Sales Amount (Expected)","41 Source Type",$C$5,"5 Source No.",$C1104,"4 Item Ledger Entry Type",$C$4,"2 Item No.","@@"&amp;$F1104,"3 Posting Date",Z$9)+NL("Sum","5802 Value Entry","17 Sales Amount (Actual)","41 Source Type",$C$5,"5 Source no.",$C1104,"4 Item Ledger Entry Type",$C$4,"2 Item No.","@@"&amp;$F1104,"3 Posting Date",Z$9)</t>
  </si>
  <si>
    <t>=-NL("Sum","5802 Value Entry","151 Cost Amount (Expected)","41 Source Type",$C$5,"5 Source No.",$C1104,"4 Item Ledger Entry Type",$C$4,"2 Item No.","@@"&amp;$F1104,"3 Posting Date",Z$9)-NL("Sum","5802 Value Entry","43 Cost Amount (Actual)","41 Source Type",$C$5,"5 Source no.",$C1104,"4 Item Ledger Entry Type",$C$4,"2 Item No.","@@"&amp;$F1104,"3 Posting Date",Z$9)</t>
  </si>
  <si>
    <t>=Z1104-AB1104</t>
  </si>
  <si>
    <t>=IF(Z1104&lt;&gt;0,AC1104/Z1104,"")</t>
  </si>
  <si>
    <t>=C1104</t>
  </si>
  <si>
    <t>=NL("Sum","5802 Value Entry","150 Sales Amount (Expected)","41 Source Type",$C$5,"5 Source No.",$C1105,"4 Item Ledger Entry Type",$C$4,"2 Item No.","@@"&amp;$F1105,"3 Posting Date",J$9)+NL("Sum","5802 Value Entry","17 Sales Amount (Actual)","41 Source Type",$C$5,"5 Source no.",$C1105,"4 Item Ledger Entry Type",$C$4,"2 Item No.","@@"&amp;$F1105,"3 Posting Date",J$9)</t>
  </si>
  <si>
    <t>=-NL("Sum","5802 Value Entry","151 Cost Amount (Expected)","41 Source Type",$C$5,"5 Source No.",$C1105,"4 Item Ledger Entry Type",$C$4,"2 Item No.","@@"&amp;$F1105,"3 Posting Date",J$9)-NL("Sum","5802 Value Entry","43 Cost Amount (Actual)","41 Source Type",$C$5,"5 Source no.",$C1105,"4 Item Ledger Entry Type",$C$4,"2 Item No.","@@"&amp;$F1105,"3 Posting Date",J$9)</t>
  </si>
  <si>
    <t>=J1105-L1105</t>
  </si>
  <si>
    <t>=IF(J1105&lt;&gt;0,M1105/J1105,"")</t>
  </si>
  <si>
    <t>=NL("Sum","5802 Value Entry","150 Sales Amount (Expected)","41 Source Type",$C$5,"5 Source No.",$C1105,"4 Item Ledger Entry Type",$C$4,"2 Item No.","@@"&amp;$F1105,"3 Posting Date",O$9)+NL("Sum","5802 Value Entry","17 Sales Amount (Actual)","41 Source Type",$C$5,"5 Source no.",$C1105,"4 Item Ledger Entry Type",$C$4,"2 Item No.","@@"&amp;$F1105,"3 Posting Date",O$9)</t>
  </si>
  <si>
    <t>=-NL("Sum","5802 Value Entry","151 Cost Amount (Expected)","41 Source Type",$C$5,"5 Source No.",$C1105,"4 Item Ledger Entry Type",$C$4,"2 Item No.","@@"&amp;$F1105,"3 Posting Date",O$9)-NL("Sum","5802 Value Entry","43 Cost Amount (Actual)","41 Source Type",$C$5,"5 Source no.",$C1105,"4 Item Ledger Entry Type",$C$4,"2 Item No.","@@"&amp;$F1105,"3 Posting Date",O$9)</t>
  </si>
  <si>
    <t>=O1105-Q1105</t>
  </si>
  <si>
    <t>=IF(O1105&lt;&gt;0,R1105/O1105,"")</t>
  </si>
  <si>
    <t>=NL("Sum","5802 Value Entry","150 Sales Amount (Expected)","41 Source Type",$C$5,"5 Source No.",$C1105,"4 Item Ledger Entry Type",$C$4,"2 Item No.","@@"&amp;$F1105,"3 Posting Date",U$9)+NL("Sum","5802 Value Entry","17 Sales Amount (Actual)","41 Source Type",$C$5,"5 Source no.",$C1105,"4 Item Ledger Entry Type",$C$4,"2 Item No.","@@"&amp;$F1105,"3 Posting Date",U$9)</t>
  </si>
  <si>
    <t>=-NL("Sum","5802 Value Entry","151 Cost Amount (Expected)","41 Source Type",$C$5,"5 Source No.",$C1105,"4 Item Ledger Entry Type",$C$4,"2 Item No.","@@"&amp;$F1105,"3 Posting Date",U$9)-NL("Sum","5802 Value Entry","43 Cost Amount (Actual)","41 Source Type",$C$5,"5 Source no.",$C1105,"4 Item Ledger Entry Type",$C$4,"2 Item No.","@@"&amp;$F1105,"3 Posting Date",U$9)</t>
  </si>
  <si>
    <t>=U1105-W1105</t>
  </si>
  <si>
    <t>=IF(U1105&lt;&gt;0,X1105/U1105,"")</t>
  </si>
  <si>
    <t>=NL("Sum","5802 Value Entry","150 Sales Amount (Expected)","41 Source Type",$C$5,"5 Source No.",$C1105,"4 Item Ledger Entry Type",$C$4,"2 Item No.","@@"&amp;$F1105,"3 Posting Date",Z$9)+NL("Sum","5802 Value Entry","17 Sales Amount (Actual)","41 Source Type",$C$5,"5 Source no.",$C1105,"4 Item Ledger Entry Type",$C$4,"2 Item No.","@@"&amp;$F1105,"3 Posting Date",Z$9)</t>
  </si>
  <si>
    <t>=-NL("Sum","5802 Value Entry","151 Cost Amount (Expected)","41 Source Type",$C$5,"5 Source No.",$C1105,"4 Item Ledger Entry Type",$C$4,"2 Item No.","@@"&amp;$F1105,"3 Posting Date",Z$9)-NL("Sum","5802 Value Entry","43 Cost Amount (Actual)","41 Source Type",$C$5,"5 Source no.",$C1105,"4 Item Ledger Entry Type",$C$4,"2 Item No.","@@"&amp;$F1105,"3 Posting Date",Z$9)</t>
  </si>
  <si>
    <t>=Z1105-AB1105</t>
  </si>
  <si>
    <t>=IF(Z1105&lt;&gt;0,AC1105/Z1105,"")</t>
  </si>
  <si>
    <t>=C1105</t>
  </si>
  <si>
    <t>=NL("Sum","5802 Value Entry","150 Sales Amount (Expected)","41 Source Type",$C$5,"5 Source No.",$C1106,"4 Item Ledger Entry Type",$C$4,"2 Item No.","@@"&amp;$F1106,"3 Posting Date",J$9)+NL("Sum","5802 Value Entry","17 Sales Amount (Actual)","41 Source Type",$C$5,"5 Source no.",$C1106,"4 Item Ledger Entry Type",$C$4,"2 Item No.","@@"&amp;$F1106,"3 Posting Date",J$9)</t>
  </si>
  <si>
    <t>=-NL("Sum","5802 Value Entry","151 Cost Amount (Expected)","41 Source Type",$C$5,"5 Source No.",$C1106,"4 Item Ledger Entry Type",$C$4,"2 Item No.","@@"&amp;$F1106,"3 Posting Date",J$9)-NL("Sum","5802 Value Entry","43 Cost Amount (Actual)","41 Source Type",$C$5,"5 Source no.",$C1106,"4 Item Ledger Entry Type",$C$4,"2 Item No.","@@"&amp;$F1106,"3 Posting Date",J$9)</t>
  </si>
  <si>
    <t>=J1106-L1106</t>
  </si>
  <si>
    <t>=IF(J1106&lt;&gt;0,M1106/J1106,"")</t>
  </si>
  <si>
    <t>=NL("Sum","5802 Value Entry","150 Sales Amount (Expected)","41 Source Type",$C$5,"5 Source No.",$C1106,"4 Item Ledger Entry Type",$C$4,"2 Item No.","@@"&amp;$F1106,"3 Posting Date",O$9)+NL("Sum","5802 Value Entry","17 Sales Amount (Actual)","41 Source Type",$C$5,"5 Source no.",$C1106,"4 Item Ledger Entry Type",$C$4,"2 Item No.","@@"&amp;$F1106,"3 Posting Date",O$9)</t>
  </si>
  <si>
    <t>=-NL("Sum","5802 Value Entry","151 Cost Amount (Expected)","41 Source Type",$C$5,"5 Source No.",$C1106,"4 Item Ledger Entry Type",$C$4,"2 Item No.","@@"&amp;$F1106,"3 Posting Date",O$9)-NL("Sum","5802 Value Entry","43 Cost Amount (Actual)","41 Source Type",$C$5,"5 Source no.",$C1106,"4 Item Ledger Entry Type",$C$4,"2 Item No.","@@"&amp;$F1106,"3 Posting Date",O$9)</t>
  </si>
  <si>
    <t>=O1106-Q1106</t>
  </si>
  <si>
    <t>=IF(O1106&lt;&gt;0,R1106/O1106,"")</t>
  </si>
  <si>
    <t>=NL("Sum","5802 Value Entry","150 Sales Amount (Expected)","41 Source Type",$C$5,"5 Source No.",$C1106,"4 Item Ledger Entry Type",$C$4,"2 Item No.","@@"&amp;$F1106,"3 Posting Date",U$9)+NL("Sum","5802 Value Entry","17 Sales Amount (Actual)","41 Source Type",$C$5,"5 Source no.",$C1106,"4 Item Ledger Entry Type",$C$4,"2 Item No.","@@"&amp;$F1106,"3 Posting Date",U$9)</t>
  </si>
  <si>
    <t>=-NL("Sum","5802 Value Entry","151 Cost Amount (Expected)","41 Source Type",$C$5,"5 Source No.",$C1106,"4 Item Ledger Entry Type",$C$4,"2 Item No.","@@"&amp;$F1106,"3 Posting Date",U$9)-NL("Sum","5802 Value Entry","43 Cost Amount (Actual)","41 Source Type",$C$5,"5 Source no.",$C1106,"4 Item Ledger Entry Type",$C$4,"2 Item No.","@@"&amp;$F1106,"3 Posting Date",U$9)</t>
  </si>
  <si>
    <t>=U1106-W1106</t>
  </si>
  <si>
    <t>=IF(U1106&lt;&gt;0,X1106/U1106,"")</t>
  </si>
  <si>
    <t>=NL("Sum","5802 Value Entry","150 Sales Amount (Expected)","41 Source Type",$C$5,"5 Source No.",$C1106,"4 Item Ledger Entry Type",$C$4,"2 Item No.","@@"&amp;$F1106,"3 Posting Date",Z$9)+NL("Sum","5802 Value Entry","17 Sales Amount (Actual)","41 Source Type",$C$5,"5 Source no.",$C1106,"4 Item Ledger Entry Type",$C$4,"2 Item No.","@@"&amp;$F1106,"3 Posting Date",Z$9)</t>
  </si>
  <si>
    <t>=-NL("Sum","5802 Value Entry","151 Cost Amount (Expected)","41 Source Type",$C$5,"5 Source No.",$C1106,"4 Item Ledger Entry Type",$C$4,"2 Item No.","@@"&amp;$F1106,"3 Posting Date",Z$9)-NL("Sum","5802 Value Entry","43 Cost Amount (Actual)","41 Source Type",$C$5,"5 Source no.",$C1106,"4 Item Ledger Entry Type",$C$4,"2 Item No.","@@"&amp;$F1106,"3 Posting Date",Z$9)</t>
  </si>
  <si>
    <t>=Z1106-AB1106</t>
  </si>
  <si>
    <t>=IF(Z1106&lt;&gt;0,AC1106/Z1106,"")</t>
  </si>
  <si>
    <t>=C1106</t>
  </si>
  <si>
    <t>=NL("Sum","5802 Value Entry","150 Sales Amount (Expected)","41 Source Type",$C$5,"5 Source No.",$C1107,"4 Item Ledger Entry Type",$C$4,"2 Item No.","@@"&amp;$F1107,"3 Posting Date",J$9)+NL("Sum","5802 Value Entry","17 Sales Amount (Actual)","41 Source Type",$C$5,"5 Source no.",$C1107,"4 Item Ledger Entry Type",$C$4,"2 Item No.","@@"&amp;$F1107,"3 Posting Date",J$9)</t>
  </si>
  <si>
    <t>=-NL("Sum","5802 Value Entry","151 Cost Amount (Expected)","41 Source Type",$C$5,"5 Source No.",$C1107,"4 Item Ledger Entry Type",$C$4,"2 Item No.","@@"&amp;$F1107,"3 Posting Date",J$9)-NL("Sum","5802 Value Entry","43 Cost Amount (Actual)","41 Source Type",$C$5,"5 Source no.",$C1107,"4 Item Ledger Entry Type",$C$4,"2 Item No.","@@"&amp;$F1107,"3 Posting Date",J$9)</t>
  </si>
  <si>
    <t>=J1107-L1107</t>
  </si>
  <si>
    <t>=IF(J1107&lt;&gt;0,M1107/J1107,"")</t>
  </si>
  <si>
    <t>=NL("Sum","5802 Value Entry","150 Sales Amount (Expected)","41 Source Type",$C$5,"5 Source No.",$C1107,"4 Item Ledger Entry Type",$C$4,"2 Item No.","@@"&amp;$F1107,"3 Posting Date",O$9)+NL("Sum","5802 Value Entry","17 Sales Amount (Actual)","41 Source Type",$C$5,"5 Source no.",$C1107,"4 Item Ledger Entry Type",$C$4,"2 Item No.","@@"&amp;$F1107,"3 Posting Date",O$9)</t>
  </si>
  <si>
    <t>=-NL("Sum","5802 Value Entry","151 Cost Amount (Expected)","41 Source Type",$C$5,"5 Source No.",$C1107,"4 Item Ledger Entry Type",$C$4,"2 Item No.","@@"&amp;$F1107,"3 Posting Date",O$9)-NL("Sum","5802 Value Entry","43 Cost Amount (Actual)","41 Source Type",$C$5,"5 Source no.",$C1107,"4 Item Ledger Entry Type",$C$4,"2 Item No.","@@"&amp;$F1107,"3 Posting Date",O$9)</t>
  </si>
  <si>
    <t>=O1107-Q1107</t>
  </si>
  <si>
    <t>=IF(O1107&lt;&gt;0,R1107/O1107,"")</t>
  </si>
  <si>
    <t>=NL("Sum","5802 Value Entry","150 Sales Amount (Expected)","41 Source Type",$C$5,"5 Source No.",$C1107,"4 Item Ledger Entry Type",$C$4,"2 Item No.","@@"&amp;$F1107,"3 Posting Date",U$9)+NL("Sum","5802 Value Entry","17 Sales Amount (Actual)","41 Source Type",$C$5,"5 Source no.",$C1107,"4 Item Ledger Entry Type",$C$4,"2 Item No.","@@"&amp;$F1107,"3 Posting Date",U$9)</t>
  </si>
  <si>
    <t>=-NL("Sum","5802 Value Entry","151 Cost Amount (Expected)","41 Source Type",$C$5,"5 Source No.",$C1107,"4 Item Ledger Entry Type",$C$4,"2 Item No.","@@"&amp;$F1107,"3 Posting Date",U$9)-NL("Sum","5802 Value Entry","43 Cost Amount (Actual)","41 Source Type",$C$5,"5 Source no.",$C1107,"4 Item Ledger Entry Type",$C$4,"2 Item No.","@@"&amp;$F1107,"3 Posting Date",U$9)</t>
  </si>
  <si>
    <t>=U1107-W1107</t>
  </si>
  <si>
    <t>=IF(U1107&lt;&gt;0,X1107/U1107,"")</t>
  </si>
  <si>
    <t>=NL("Sum","5802 Value Entry","150 Sales Amount (Expected)","41 Source Type",$C$5,"5 Source No.",$C1107,"4 Item Ledger Entry Type",$C$4,"2 Item No.","@@"&amp;$F1107,"3 Posting Date",Z$9)+NL("Sum","5802 Value Entry","17 Sales Amount (Actual)","41 Source Type",$C$5,"5 Source no.",$C1107,"4 Item Ledger Entry Type",$C$4,"2 Item No.","@@"&amp;$F1107,"3 Posting Date",Z$9)</t>
  </si>
  <si>
    <t>=-NL("Sum","5802 Value Entry","151 Cost Amount (Expected)","41 Source Type",$C$5,"5 Source No.",$C1107,"4 Item Ledger Entry Type",$C$4,"2 Item No.","@@"&amp;$F1107,"3 Posting Date",Z$9)-NL("Sum","5802 Value Entry","43 Cost Amount (Actual)","41 Source Type",$C$5,"5 Source no.",$C1107,"4 Item Ledger Entry Type",$C$4,"2 Item No.","@@"&amp;$F1107,"3 Posting Date",Z$9)</t>
  </si>
  <si>
    <t>=Z1107-AB1107</t>
  </si>
  <si>
    <t>=IF(Z1107&lt;&gt;0,AC1107/Z1107,"")</t>
  </si>
  <si>
    <t>=C1107</t>
  </si>
  <si>
    <t>=NL("Sum","5802 Value Entry","150 Sales Amount (Expected)","41 Source Type",$C$5,"5 Source No.",$C1108,"4 Item Ledger Entry Type",$C$4,"2 Item No.","@@"&amp;$F1108,"3 Posting Date",J$9)+NL("Sum","5802 Value Entry","17 Sales Amount (Actual)","41 Source Type",$C$5,"5 Source no.",$C1108,"4 Item Ledger Entry Type",$C$4,"2 Item No.","@@"&amp;$F1108,"3 Posting Date",J$9)</t>
  </si>
  <si>
    <t>=-NL("Sum","5802 Value Entry","151 Cost Amount (Expected)","41 Source Type",$C$5,"5 Source No.",$C1108,"4 Item Ledger Entry Type",$C$4,"2 Item No.","@@"&amp;$F1108,"3 Posting Date",J$9)-NL("Sum","5802 Value Entry","43 Cost Amount (Actual)","41 Source Type",$C$5,"5 Source no.",$C1108,"4 Item Ledger Entry Type",$C$4,"2 Item No.","@@"&amp;$F1108,"3 Posting Date",J$9)</t>
  </si>
  <si>
    <t>=J1108-L1108</t>
  </si>
  <si>
    <t>=IF(J1108&lt;&gt;0,M1108/J1108,"")</t>
  </si>
  <si>
    <t>=NL("Sum","5802 Value Entry","150 Sales Amount (Expected)","41 Source Type",$C$5,"5 Source No.",$C1108,"4 Item Ledger Entry Type",$C$4,"2 Item No.","@@"&amp;$F1108,"3 Posting Date",O$9)+NL("Sum","5802 Value Entry","17 Sales Amount (Actual)","41 Source Type",$C$5,"5 Source no.",$C1108,"4 Item Ledger Entry Type",$C$4,"2 Item No.","@@"&amp;$F1108,"3 Posting Date",O$9)</t>
  </si>
  <si>
    <t>=-NL("Sum","5802 Value Entry","151 Cost Amount (Expected)","41 Source Type",$C$5,"5 Source No.",$C1108,"4 Item Ledger Entry Type",$C$4,"2 Item No.","@@"&amp;$F1108,"3 Posting Date",O$9)-NL("Sum","5802 Value Entry","43 Cost Amount (Actual)","41 Source Type",$C$5,"5 Source no.",$C1108,"4 Item Ledger Entry Type",$C$4,"2 Item No.","@@"&amp;$F1108,"3 Posting Date",O$9)</t>
  </si>
  <si>
    <t>=O1108-Q1108</t>
  </si>
  <si>
    <t>=IF(O1108&lt;&gt;0,R1108/O1108,"")</t>
  </si>
  <si>
    <t>=NL("Sum","5802 Value Entry","150 Sales Amount (Expected)","41 Source Type",$C$5,"5 Source No.",$C1108,"4 Item Ledger Entry Type",$C$4,"2 Item No.","@@"&amp;$F1108,"3 Posting Date",U$9)+NL("Sum","5802 Value Entry","17 Sales Amount (Actual)","41 Source Type",$C$5,"5 Source no.",$C1108,"4 Item Ledger Entry Type",$C$4,"2 Item No.","@@"&amp;$F1108,"3 Posting Date",U$9)</t>
  </si>
  <si>
    <t>=-NL("Sum","5802 Value Entry","151 Cost Amount (Expected)","41 Source Type",$C$5,"5 Source No.",$C1108,"4 Item Ledger Entry Type",$C$4,"2 Item No.","@@"&amp;$F1108,"3 Posting Date",U$9)-NL("Sum","5802 Value Entry","43 Cost Amount (Actual)","41 Source Type",$C$5,"5 Source no.",$C1108,"4 Item Ledger Entry Type",$C$4,"2 Item No.","@@"&amp;$F1108,"3 Posting Date",U$9)</t>
  </si>
  <si>
    <t>=U1108-W1108</t>
  </si>
  <si>
    <t>=IF(U1108&lt;&gt;0,X1108/U1108,"")</t>
  </si>
  <si>
    <t>=NL("Sum","5802 Value Entry","150 Sales Amount (Expected)","41 Source Type",$C$5,"5 Source No.",$C1108,"4 Item Ledger Entry Type",$C$4,"2 Item No.","@@"&amp;$F1108,"3 Posting Date",Z$9)+NL("Sum","5802 Value Entry","17 Sales Amount (Actual)","41 Source Type",$C$5,"5 Source no.",$C1108,"4 Item Ledger Entry Type",$C$4,"2 Item No.","@@"&amp;$F1108,"3 Posting Date",Z$9)</t>
  </si>
  <si>
    <t>=-NL("Sum","5802 Value Entry","151 Cost Amount (Expected)","41 Source Type",$C$5,"5 Source No.",$C1108,"4 Item Ledger Entry Type",$C$4,"2 Item No.","@@"&amp;$F1108,"3 Posting Date",Z$9)-NL("Sum","5802 Value Entry","43 Cost Amount (Actual)","41 Source Type",$C$5,"5 Source no.",$C1108,"4 Item Ledger Entry Type",$C$4,"2 Item No.","@@"&amp;$F1108,"3 Posting Date",Z$9)</t>
  </si>
  <si>
    <t>=Z1108-AB1108</t>
  </si>
  <si>
    <t>=IF(Z1108&lt;&gt;0,AC1108/Z1108,"")</t>
  </si>
  <si>
    <t>=C1108</t>
  </si>
  <si>
    <t>=NL("Sum","5802 Value Entry","150 Sales Amount (Expected)","41 Source Type",$C$5,"5 Source No.",$C1109,"4 Item Ledger Entry Type",$C$4,"2 Item No.","@@"&amp;$F1109,"3 Posting Date",J$9)+NL("Sum","5802 Value Entry","17 Sales Amount (Actual)","41 Source Type",$C$5,"5 Source no.",$C1109,"4 Item Ledger Entry Type",$C$4,"2 Item No.","@@"&amp;$F1109,"3 Posting Date",J$9)</t>
  </si>
  <si>
    <t>=-NL("Sum","5802 Value Entry","151 Cost Amount (Expected)","41 Source Type",$C$5,"5 Source No.",$C1109,"4 Item Ledger Entry Type",$C$4,"2 Item No.","@@"&amp;$F1109,"3 Posting Date",J$9)-NL("Sum","5802 Value Entry","43 Cost Amount (Actual)","41 Source Type",$C$5,"5 Source no.",$C1109,"4 Item Ledger Entry Type",$C$4,"2 Item No.","@@"&amp;$F1109,"3 Posting Date",J$9)</t>
  </si>
  <si>
    <t>=J1109-L1109</t>
  </si>
  <si>
    <t>=IF(J1109&lt;&gt;0,M1109/J1109,"")</t>
  </si>
  <si>
    <t>=NL("Sum","5802 Value Entry","150 Sales Amount (Expected)","41 Source Type",$C$5,"5 Source No.",$C1109,"4 Item Ledger Entry Type",$C$4,"2 Item No.","@@"&amp;$F1109,"3 Posting Date",O$9)+NL("Sum","5802 Value Entry","17 Sales Amount (Actual)","41 Source Type",$C$5,"5 Source no.",$C1109,"4 Item Ledger Entry Type",$C$4,"2 Item No.","@@"&amp;$F1109,"3 Posting Date",O$9)</t>
  </si>
  <si>
    <t>=-NL("Sum","5802 Value Entry","151 Cost Amount (Expected)","41 Source Type",$C$5,"5 Source No.",$C1109,"4 Item Ledger Entry Type",$C$4,"2 Item No.","@@"&amp;$F1109,"3 Posting Date",O$9)-NL("Sum","5802 Value Entry","43 Cost Amount (Actual)","41 Source Type",$C$5,"5 Source no.",$C1109,"4 Item Ledger Entry Type",$C$4,"2 Item No.","@@"&amp;$F1109,"3 Posting Date",O$9)</t>
  </si>
  <si>
    <t>=O1109-Q1109</t>
  </si>
  <si>
    <t>=IF(O1109&lt;&gt;0,R1109/O1109,"")</t>
  </si>
  <si>
    <t>=NL("Sum","5802 Value Entry","150 Sales Amount (Expected)","41 Source Type",$C$5,"5 Source No.",$C1109,"4 Item Ledger Entry Type",$C$4,"2 Item No.","@@"&amp;$F1109,"3 Posting Date",U$9)+NL("Sum","5802 Value Entry","17 Sales Amount (Actual)","41 Source Type",$C$5,"5 Source no.",$C1109,"4 Item Ledger Entry Type",$C$4,"2 Item No.","@@"&amp;$F1109,"3 Posting Date",U$9)</t>
  </si>
  <si>
    <t>=-NL("Sum","5802 Value Entry","151 Cost Amount (Expected)","41 Source Type",$C$5,"5 Source No.",$C1109,"4 Item Ledger Entry Type",$C$4,"2 Item No.","@@"&amp;$F1109,"3 Posting Date",U$9)-NL("Sum","5802 Value Entry","43 Cost Amount (Actual)","41 Source Type",$C$5,"5 Source no.",$C1109,"4 Item Ledger Entry Type",$C$4,"2 Item No.","@@"&amp;$F1109,"3 Posting Date",U$9)</t>
  </si>
  <si>
    <t>=U1109-W1109</t>
  </si>
  <si>
    <t>=IF(U1109&lt;&gt;0,X1109/U1109,"")</t>
  </si>
  <si>
    <t>=NL("Sum","5802 Value Entry","150 Sales Amount (Expected)","41 Source Type",$C$5,"5 Source No.",$C1109,"4 Item Ledger Entry Type",$C$4,"2 Item No.","@@"&amp;$F1109,"3 Posting Date",Z$9)+NL("Sum","5802 Value Entry","17 Sales Amount (Actual)","41 Source Type",$C$5,"5 Source no.",$C1109,"4 Item Ledger Entry Type",$C$4,"2 Item No.","@@"&amp;$F1109,"3 Posting Date",Z$9)</t>
  </si>
  <si>
    <t>=-NL("Sum","5802 Value Entry","151 Cost Amount (Expected)","41 Source Type",$C$5,"5 Source No.",$C1109,"4 Item Ledger Entry Type",$C$4,"2 Item No.","@@"&amp;$F1109,"3 Posting Date",Z$9)-NL("Sum","5802 Value Entry","43 Cost Amount (Actual)","41 Source Type",$C$5,"5 Source no.",$C1109,"4 Item Ledger Entry Type",$C$4,"2 Item No.","@@"&amp;$F1109,"3 Posting Date",Z$9)</t>
  </si>
  <si>
    <t>=Z1109-AB1109</t>
  </si>
  <si>
    <t>=IF(Z1109&lt;&gt;0,AC1109/Z1109,"")</t>
  </si>
  <si>
    <t>=C1110</t>
  </si>
  <si>
    <t>=J1111-L1111</t>
  </si>
  <si>
    <t>=IF(J1111&lt;&gt;0,M1111/J1111,"")</t>
  </si>
  <si>
    <t>=O1111-Q1111</t>
  </si>
  <si>
    <t>=IF(O1111&lt;&gt;0,R1111/O1111,"")</t>
  </si>
  <si>
    <t>=U1111-W1111</t>
  </si>
  <si>
    <t>=IF(U1111&lt;&gt;0,X1111/U1111,"")</t>
  </si>
  <si>
    <t>=Z1111-AB1111</t>
  </si>
  <si>
    <t>=IF(Z1111&lt;&gt;0,AC1111/Z1111,"")</t>
  </si>
  <si>
    <t>=C1113</t>
  </si>
  <si>
    <t>=C1115</t>
  </si>
  <si>
    <t>=J1116-L1116</t>
  </si>
  <si>
    <t>=IF(J1116&lt;&gt;0,M1116/J1116,"")</t>
  </si>
  <si>
    <t>=O1116-Q1116</t>
  </si>
  <si>
    <t>=IF(O1116&lt;&gt;0,R1116/O1116,"")</t>
  </si>
  <si>
    <t>=U1116-W1116</t>
  </si>
  <si>
    <t>=IF(U1116&lt;&gt;0,X1116/U1116,"")</t>
  </si>
  <si>
    <t>=Z1116-AB1116</t>
  </si>
  <si>
    <t>=IF(Z1116&lt;&gt;0,AC1116/Z1116,"")</t>
  </si>
  <si>
    <t>=C1118</t>
  </si>
  <si>
    <t>=C1119</t>
  </si>
  <si>
    <t>=NL("Sum","5802 Value Entry","150 Sales Amount (Expected)","41 Source Type",$C$5,"5 Source No.",$C1120,"4 Item Ledger Entry Type",$C$4,"2 Item No.","@@"&amp;$F1120,"3 Posting Date",J$9)+NL("Sum","5802 Value Entry","17 Sales Amount (Actual)","41 Source Type",$C$5,"5 Source no.",$C1120,"4 Item Ledger Entry Type",$C$4,"2 Item No.","@@"&amp;$F1120,"3 Posting Date",J$9)</t>
  </si>
  <si>
    <t>=-NL("Sum","5802 Value Entry","151 Cost Amount (Expected)","41 Source Type",$C$5,"5 Source No.",$C1120,"4 Item Ledger Entry Type",$C$4,"2 Item No.","@@"&amp;$F1120,"3 Posting Date",J$9)-NL("Sum","5802 Value Entry","43 Cost Amount (Actual)","41 Source Type",$C$5,"5 Source no.",$C1120,"4 Item Ledger Entry Type",$C$4,"2 Item No.","@@"&amp;$F1120,"3 Posting Date",J$9)</t>
  </si>
  <si>
    <t>=J1120-L1120</t>
  </si>
  <si>
    <t>=IF(J1120&lt;&gt;0,M1120/J1120,"")</t>
  </si>
  <si>
    <t>=NL("Sum","5802 Value Entry","150 Sales Amount (Expected)","41 Source Type",$C$5,"5 Source No.",$C1120,"4 Item Ledger Entry Type",$C$4,"2 Item No.","@@"&amp;$F1120,"3 Posting Date",O$9)+NL("Sum","5802 Value Entry","17 Sales Amount (Actual)","41 Source Type",$C$5,"5 Source no.",$C1120,"4 Item Ledger Entry Type",$C$4,"2 Item No.","@@"&amp;$F1120,"3 Posting Date",O$9)</t>
  </si>
  <si>
    <t>=-NL("Sum","5802 Value Entry","151 Cost Amount (Expected)","41 Source Type",$C$5,"5 Source No.",$C1120,"4 Item Ledger Entry Type",$C$4,"2 Item No.","@@"&amp;$F1120,"3 Posting Date",O$9)-NL("Sum","5802 Value Entry","43 Cost Amount (Actual)","41 Source Type",$C$5,"5 Source no.",$C1120,"4 Item Ledger Entry Type",$C$4,"2 Item No.","@@"&amp;$F1120,"3 Posting Date",O$9)</t>
  </si>
  <si>
    <t>=O1120-Q1120</t>
  </si>
  <si>
    <t>=IF(O1120&lt;&gt;0,R1120/O1120,"")</t>
  </si>
  <si>
    <t>=NL("Sum","5802 Value Entry","150 Sales Amount (Expected)","41 Source Type",$C$5,"5 Source No.",$C1120,"4 Item Ledger Entry Type",$C$4,"2 Item No.","@@"&amp;$F1120,"3 Posting Date",U$9)+NL("Sum","5802 Value Entry","17 Sales Amount (Actual)","41 Source Type",$C$5,"5 Source no.",$C1120,"4 Item Ledger Entry Type",$C$4,"2 Item No.","@@"&amp;$F1120,"3 Posting Date",U$9)</t>
  </si>
  <si>
    <t>=-NL("Sum","5802 Value Entry","151 Cost Amount (Expected)","41 Source Type",$C$5,"5 Source No.",$C1120,"4 Item Ledger Entry Type",$C$4,"2 Item No.","@@"&amp;$F1120,"3 Posting Date",U$9)-NL("Sum","5802 Value Entry","43 Cost Amount (Actual)","41 Source Type",$C$5,"5 Source no.",$C1120,"4 Item Ledger Entry Type",$C$4,"2 Item No.","@@"&amp;$F1120,"3 Posting Date",U$9)</t>
  </si>
  <si>
    <t>=U1120-W1120</t>
  </si>
  <si>
    <t>=IF(U1120&lt;&gt;0,X1120/U1120,"")</t>
  </si>
  <si>
    <t>=NL("Sum","5802 Value Entry","150 Sales Amount (Expected)","41 Source Type",$C$5,"5 Source No.",$C1120,"4 Item Ledger Entry Type",$C$4,"2 Item No.","@@"&amp;$F1120,"3 Posting Date",Z$9)+NL("Sum","5802 Value Entry","17 Sales Amount (Actual)","41 Source Type",$C$5,"5 Source no.",$C1120,"4 Item Ledger Entry Type",$C$4,"2 Item No.","@@"&amp;$F1120,"3 Posting Date",Z$9)</t>
  </si>
  <si>
    <t>=-NL("Sum","5802 Value Entry","151 Cost Amount (Expected)","41 Source Type",$C$5,"5 Source No.",$C1120,"4 Item Ledger Entry Type",$C$4,"2 Item No.","@@"&amp;$F1120,"3 Posting Date",Z$9)-NL("Sum","5802 Value Entry","43 Cost Amount (Actual)","41 Source Type",$C$5,"5 Source no.",$C1120,"4 Item Ledger Entry Type",$C$4,"2 Item No.","@@"&amp;$F1120,"3 Posting Date",Z$9)</t>
  </si>
  <si>
    <t>=Z1120-AB1120</t>
  </si>
  <si>
    <t>=IF(Z1120&lt;&gt;0,AC1120/Z1120,"")</t>
  </si>
  <si>
    <t>=C1120</t>
  </si>
  <si>
    <t>=C1121</t>
  </si>
  <si>
    <t>=J1122-L1122</t>
  </si>
  <si>
    <t>=IF(J1122&lt;&gt;0,M1122/J1122,"")</t>
  </si>
  <si>
    <t>=O1122-Q1122</t>
  </si>
  <si>
    <t>=IF(O1122&lt;&gt;0,R1122/O1122,"")</t>
  </si>
  <si>
    <t>=U1122-W1122</t>
  </si>
  <si>
    <t>=IF(U1122&lt;&gt;0,X1122/U1122,"")</t>
  </si>
  <si>
    <t>=Z1122-AB1122</t>
  </si>
  <si>
    <t>=IF(Z1122&lt;&gt;0,AC1122/Z1122,"")</t>
  </si>
  <si>
    <t>=C1124</t>
  </si>
  <si>
    <t>=C1125</t>
  </si>
  <si>
    <t>=NL("Sum","5802 Value Entry","150 Sales Amount (Expected)","41 Source Type",$C$5,"5 Source No.",$C1126,"4 Item Ledger Entry Type",$C$4,"2 Item No.","@@"&amp;$F1126,"3 Posting Date",J$9)+NL("Sum","5802 Value Entry","17 Sales Amount (Actual)","41 Source Type",$C$5,"5 Source no.",$C1126,"4 Item Ledger Entry Type",$C$4,"2 Item No.","@@"&amp;$F1126,"3 Posting Date",J$9)</t>
  </si>
  <si>
    <t>=-NL("Sum","5802 Value Entry","151 Cost Amount (Expected)","41 Source Type",$C$5,"5 Source No.",$C1126,"4 Item Ledger Entry Type",$C$4,"2 Item No.","@@"&amp;$F1126,"3 Posting Date",J$9)-NL("Sum","5802 Value Entry","43 Cost Amount (Actual)","41 Source Type",$C$5,"5 Source no.",$C1126,"4 Item Ledger Entry Type",$C$4,"2 Item No.","@@"&amp;$F1126,"3 Posting Date",J$9)</t>
  </si>
  <si>
    <t>=J1126-L1126</t>
  </si>
  <si>
    <t>=IF(J1126&lt;&gt;0,M1126/J1126,"")</t>
  </si>
  <si>
    <t>=NL("Sum","5802 Value Entry","150 Sales Amount (Expected)","41 Source Type",$C$5,"5 Source No.",$C1126,"4 Item Ledger Entry Type",$C$4,"2 Item No.","@@"&amp;$F1126,"3 Posting Date",O$9)+NL("Sum","5802 Value Entry","17 Sales Amount (Actual)","41 Source Type",$C$5,"5 Source no.",$C1126,"4 Item Ledger Entry Type",$C$4,"2 Item No.","@@"&amp;$F1126,"3 Posting Date",O$9)</t>
  </si>
  <si>
    <t>=-NL("Sum","5802 Value Entry","151 Cost Amount (Expected)","41 Source Type",$C$5,"5 Source No.",$C1126,"4 Item Ledger Entry Type",$C$4,"2 Item No.","@@"&amp;$F1126,"3 Posting Date",O$9)-NL("Sum","5802 Value Entry","43 Cost Amount (Actual)","41 Source Type",$C$5,"5 Source no.",$C1126,"4 Item Ledger Entry Type",$C$4,"2 Item No.","@@"&amp;$F1126,"3 Posting Date",O$9)</t>
  </si>
  <si>
    <t>=O1126-Q1126</t>
  </si>
  <si>
    <t>=IF(O1126&lt;&gt;0,R1126/O1126,"")</t>
  </si>
  <si>
    <t>=NL("Sum","5802 Value Entry","150 Sales Amount (Expected)","41 Source Type",$C$5,"5 Source No.",$C1126,"4 Item Ledger Entry Type",$C$4,"2 Item No.","@@"&amp;$F1126,"3 Posting Date",U$9)+NL("Sum","5802 Value Entry","17 Sales Amount (Actual)","41 Source Type",$C$5,"5 Source no.",$C1126,"4 Item Ledger Entry Type",$C$4,"2 Item No.","@@"&amp;$F1126,"3 Posting Date",U$9)</t>
  </si>
  <si>
    <t>=-NL("Sum","5802 Value Entry","151 Cost Amount (Expected)","41 Source Type",$C$5,"5 Source No.",$C1126,"4 Item Ledger Entry Type",$C$4,"2 Item No.","@@"&amp;$F1126,"3 Posting Date",U$9)-NL("Sum","5802 Value Entry","43 Cost Amount (Actual)","41 Source Type",$C$5,"5 Source no.",$C1126,"4 Item Ledger Entry Type",$C$4,"2 Item No.","@@"&amp;$F1126,"3 Posting Date",U$9)</t>
  </si>
  <si>
    <t>=U1126-W1126</t>
  </si>
  <si>
    <t>=IF(U1126&lt;&gt;0,X1126/U1126,"")</t>
  </si>
  <si>
    <t>=NL("Sum","5802 Value Entry","150 Sales Amount (Expected)","41 Source Type",$C$5,"5 Source No.",$C1126,"4 Item Ledger Entry Type",$C$4,"2 Item No.","@@"&amp;$F1126,"3 Posting Date",Z$9)+NL("Sum","5802 Value Entry","17 Sales Amount (Actual)","41 Source Type",$C$5,"5 Source no.",$C1126,"4 Item Ledger Entry Type",$C$4,"2 Item No.","@@"&amp;$F1126,"3 Posting Date",Z$9)</t>
  </si>
  <si>
    <t>=-NL("Sum","5802 Value Entry","151 Cost Amount (Expected)","41 Source Type",$C$5,"5 Source No.",$C1126,"4 Item Ledger Entry Type",$C$4,"2 Item No.","@@"&amp;$F1126,"3 Posting Date",Z$9)-NL("Sum","5802 Value Entry","43 Cost Amount (Actual)","41 Source Type",$C$5,"5 Source no.",$C1126,"4 Item Ledger Entry Type",$C$4,"2 Item No.","@@"&amp;$F1126,"3 Posting Date",Z$9)</t>
  </si>
  <si>
    <t>=Z1126-AB1126</t>
  </si>
  <si>
    <t>=IF(Z1126&lt;&gt;0,AC1126/Z1126,"")</t>
  </si>
  <si>
    <t>=C1126</t>
  </si>
  <si>
    <t>=NL("Sum","5802 Value Entry","150 Sales Amount (Expected)","41 Source Type",$C$5,"5 Source No.",$C1127,"4 Item Ledger Entry Type",$C$4,"2 Item No.","@@"&amp;$F1127,"3 Posting Date",J$9)+NL("Sum","5802 Value Entry","17 Sales Amount (Actual)","41 Source Type",$C$5,"5 Source no.",$C1127,"4 Item Ledger Entry Type",$C$4,"2 Item No.","@@"&amp;$F1127,"3 Posting Date",J$9)</t>
  </si>
  <si>
    <t>=-NL("Sum","5802 Value Entry","151 Cost Amount (Expected)","41 Source Type",$C$5,"5 Source No.",$C1127,"4 Item Ledger Entry Type",$C$4,"2 Item No.","@@"&amp;$F1127,"3 Posting Date",J$9)-NL("Sum","5802 Value Entry","43 Cost Amount (Actual)","41 Source Type",$C$5,"5 Source no.",$C1127,"4 Item Ledger Entry Type",$C$4,"2 Item No.","@@"&amp;$F1127,"3 Posting Date",J$9)</t>
  </si>
  <si>
    <t>=J1127-L1127</t>
  </si>
  <si>
    <t>=IF(J1127&lt;&gt;0,M1127/J1127,"")</t>
  </si>
  <si>
    <t>=NL("Sum","5802 Value Entry","150 Sales Amount (Expected)","41 Source Type",$C$5,"5 Source No.",$C1127,"4 Item Ledger Entry Type",$C$4,"2 Item No.","@@"&amp;$F1127,"3 Posting Date",O$9)+NL("Sum","5802 Value Entry","17 Sales Amount (Actual)","41 Source Type",$C$5,"5 Source no.",$C1127,"4 Item Ledger Entry Type",$C$4,"2 Item No.","@@"&amp;$F1127,"3 Posting Date",O$9)</t>
  </si>
  <si>
    <t>=-NL("Sum","5802 Value Entry","151 Cost Amount (Expected)","41 Source Type",$C$5,"5 Source No.",$C1127,"4 Item Ledger Entry Type",$C$4,"2 Item No.","@@"&amp;$F1127,"3 Posting Date",O$9)-NL("Sum","5802 Value Entry","43 Cost Amount (Actual)","41 Source Type",$C$5,"5 Source no.",$C1127,"4 Item Ledger Entry Type",$C$4,"2 Item No.","@@"&amp;$F1127,"3 Posting Date",O$9)</t>
  </si>
  <si>
    <t>=O1127-Q1127</t>
  </si>
  <si>
    <t>=IF(O1127&lt;&gt;0,R1127/O1127,"")</t>
  </si>
  <si>
    <t>=NL("Sum","5802 Value Entry","150 Sales Amount (Expected)","41 Source Type",$C$5,"5 Source No.",$C1127,"4 Item Ledger Entry Type",$C$4,"2 Item No.","@@"&amp;$F1127,"3 Posting Date",U$9)+NL("Sum","5802 Value Entry","17 Sales Amount (Actual)","41 Source Type",$C$5,"5 Source no.",$C1127,"4 Item Ledger Entry Type",$C$4,"2 Item No.","@@"&amp;$F1127,"3 Posting Date",U$9)</t>
  </si>
  <si>
    <t>=-NL("Sum","5802 Value Entry","151 Cost Amount (Expected)","41 Source Type",$C$5,"5 Source No.",$C1127,"4 Item Ledger Entry Type",$C$4,"2 Item No.","@@"&amp;$F1127,"3 Posting Date",U$9)-NL("Sum","5802 Value Entry","43 Cost Amount (Actual)","41 Source Type",$C$5,"5 Source no.",$C1127,"4 Item Ledger Entry Type",$C$4,"2 Item No.","@@"&amp;$F1127,"3 Posting Date",U$9)</t>
  </si>
  <si>
    <t>=U1127-W1127</t>
  </si>
  <si>
    <t>=IF(U1127&lt;&gt;0,X1127/U1127,"")</t>
  </si>
  <si>
    <t>=NL("Sum","5802 Value Entry","150 Sales Amount (Expected)","41 Source Type",$C$5,"5 Source No.",$C1127,"4 Item Ledger Entry Type",$C$4,"2 Item No.","@@"&amp;$F1127,"3 Posting Date",Z$9)+NL("Sum","5802 Value Entry","17 Sales Amount (Actual)","41 Source Type",$C$5,"5 Source no.",$C1127,"4 Item Ledger Entry Type",$C$4,"2 Item No.","@@"&amp;$F1127,"3 Posting Date",Z$9)</t>
  </si>
  <si>
    <t>=-NL("Sum","5802 Value Entry","151 Cost Amount (Expected)","41 Source Type",$C$5,"5 Source No.",$C1127,"4 Item Ledger Entry Type",$C$4,"2 Item No.","@@"&amp;$F1127,"3 Posting Date",Z$9)-NL("Sum","5802 Value Entry","43 Cost Amount (Actual)","41 Source Type",$C$5,"5 Source no.",$C1127,"4 Item Ledger Entry Type",$C$4,"2 Item No.","@@"&amp;$F1127,"3 Posting Date",Z$9)</t>
  </si>
  <si>
    <t>=Z1127-AB1127</t>
  </si>
  <si>
    <t>=IF(Z1127&lt;&gt;0,AC1127/Z1127,"")</t>
  </si>
  <si>
    <t>=C1127</t>
  </si>
  <si>
    <t>=NL("Sum","5802 Value Entry","150 Sales Amount (Expected)","41 Source Type",$C$5,"5 Source No.",$C1128,"4 Item Ledger Entry Type",$C$4,"2 Item No.","@@"&amp;$F1128,"3 Posting Date",J$9)+NL("Sum","5802 Value Entry","17 Sales Amount (Actual)","41 Source Type",$C$5,"5 Source no.",$C1128,"4 Item Ledger Entry Type",$C$4,"2 Item No.","@@"&amp;$F1128,"3 Posting Date",J$9)</t>
  </si>
  <si>
    <t>=-NL("Sum","5802 Value Entry","151 Cost Amount (Expected)","41 Source Type",$C$5,"5 Source No.",$C1128,"4 Item Ledger Entry Type",$C$4,"2 Item No.","@@"&amp;$F1128,"3 Posting Date",J$9)-NL("Sum","5802 Value Entry","43 Cost Amount (Actual)","41 Source Type",$C$5,"5 Source no.",$C1128,"4 Item Ledger Entry Type",$C$4,"2 Item No.","@@"&amp;$F1128,"3 Posting Date",J$9)</t>
  </si>
  <si>
    <t>=J1128-L1128</t>
  </si>
  <si>
    <t>=IF(J1128&lt;&gt;0,M1128/J1128,"")</t>
  </si>
  <si>
    <t>=NL("Sum","5802 Value Entry","150 Sales Amount (Expected)","41 Source Type",$C$5,"5 Source No.",$C1128,"4 Item Ledger Entry Type",$C$4,"2 Item No.","@@"&amp;$F1128,"3 Posting Date",O$9)+NL("Sum","5802 Value Entry","17 Sales Amount (Actual)","41 Source Type",$C$5,"5 Source no.",$C1128,"4 Item Ledger Entry Type",$C$4,"2 Item No.","@@"&amp;$F1128,"3 Posting Date",O$9)</t>
  </si>
  <si>
    <t>=-NL("Sum","5802 Value Entry","151 Cost Amount (Expected)","41 Source Type",$C$5,"5 Source No.",$C1128,"4 Item Ledger Entry Type",$C$4,"2 Item No.","@@"&amp;$F1128,"3 Posting Date",O$9)-NL("Sum","5802 Value Entry","43 Cost Amount (Actual)","41 Source Type",$C$5,"5 Source no.",$C1128,"4 Item Ledger Entry Type",$C$4,"2 Item No.","@@"&amp;$F1128,"3 Posting Date",O$9)</t>
  </si>
  <si>
    <t>=O1128-Q1128</t>
  </si>
  <si>
    <t>=IF(O1128&lt;&gt;0,R1128/O1128,"")</t>
  </si>
  <si>
    <t>=NL("Sum","5802 Value Entry","150 Sales Amount (Expected)","41 Source Type",$C$5,"5 Source No.",$C1128,"4 Item Ledger Entry Type",$C$4,"2 Item No.","@@"&amp;$F1128,"3 Posting Date",U$9)+NL("Sum","5802 Value Entry","17 Sales Amount (Actual)","41 Source Type",$C$5,"5 Source no.",$C1128,"4 Item Ledger Entry Type",$C$4,"2 Item No.","@@"&amp;$F1128,"3 Posting Date",U$9)</t>
  </si>
  <si>
    <t>=-NL("Sum","5802 Value Entry","151 Cost Amount (Expected)","41 Source Type",$C$5,"5 Source No.",$C1128,"4 Item Ledger Entry Type",$C$4,"2 Item No.","@@"&amp;$F1128,"3 Posting Date",U$9)-NL("Sum","5802 Value Entry","43 Cost Amount (Actual)","41 Source Type",$C$5,"5 Source no.",$C1128,"4 Item Ledger Entry Type",$C$4,"2 Item No.","@@"&amp;$F1128,"3 Posting Date",U$9)</t>
  </si>
  <si>
    <t>=U1128-W1128</t>
  </si>
  <si>
    <t>=IF(U1128&lt;&gt;0,X1128/U1128,"")</t>
  </si>
  <si>
    <t>=NL("Sum","5802 Value Entry","150 Sales Amount (Expected)","41 Source Type",$C$5,"5 Source No.",$C1128,"4 Item Ledger Entry Type",$C$4,"2 Item No.","@@"&amp;$F1128,"3 Posting Date",Z$9)+NL("Sum","5802 Value Entry","17 Sales Amount (Actual)","41 Source Type",$C$5,"5 Source no.",$C1128,"4 Item Ledger Entry Type",$C$4,"2 Item No.","@@"&amp;$F1128,"3 Posting Date",Z$9)</t>
  </si>
  <si>
    <t>=-NL("Sum","5802 Value Entry","151 Cost Amount (Expected)","41 Source Type",$C$5,"5 Source No.",$C1128,"4 Item Ledger Entry Type",$C$4,"2 Item No.","@@"&amp;$F1128,"3 Posting Date",Z$9)-NL("Sum","5802 Value Entry","43 Cost Amount (Actual)","41 Source Type",$C$5,"5 Source no.",$C1128,"4 Item Ledger Entry Type",$C$4,"2 Item No.","@@"&amp;$F1128,"3 Posting Date",Z$9)</t>
  </si>
  <si>
    <t>=Z1128-AB1128</t>
  </si>
  <si>
    <t>=IF(Z1128&lt;&gt;0,AC1128/Z1128,"")</t>
  </si>
  <si>
    <t>=C1128</t>
  </si>
  <si>
    <t>=NL("Sum","5802 Value Entry","150 Sales Amount (Expected)","41 Source Type",$C$5,"5 Source No.",$C1129,"4 Item Ledger Entry Type",$C$4,"2 Item No.","@@"&amp;$F1129,"3 Posting Date",J$9)+NL("Sum","5802 Value Entry","17 Sales Amount (Actual)","41 Source Type",$C$5,"5 Source no.",$C1129,"4 Item Ledger Entry Type",$C$4,"2 Item No.","@@"&amp;$F1129,"3 Posting Date",J$9)</t>
  </si>
  <si>
    <t>=-NL("Sum","5802 Value Entry","151 Cost Amount (Expected)","41 Source Type",$C$5,"5 Source No.",$C1129,"4 Item Ledger Entry Type",$C$4,"2 Item No.","@@"&amp;$F1129,"3 Posting Date",J$9)-NL("Sum","5802 Value Entry","43 Cost Amount (Actual)","41 Source Type",$C$5,"5 Source no.",$C1129,"4 Item Ledger Entry Type",$C$4,"2 Item No.","@@"&amp;$F1129,"3 Posting Date",J$9)</t>
  </si>
  <si>
    <t>=J1129-L1129</t>
  </si>
  <si>
    <t>=IF(J1129&lt;&gt;0,M1129/J1129,"")</t>
  </si>
  <si>
    <t>=NL("Sum","5802 Value Entry","150 Sales Amount (Expected)","41 Source Type",$C$5,"5 Source No.",$C1129,"4 Item Ledger Entry Type",$C$4,"2 Item No.","@@"&amp;$F1129,"3 Posting Date",O$9)+NL("Sum","5802 Value Entry","17 Sales Amount (Actual)","41 Source Type",$C$5,"5 Source no.",$C1129,"4 Item Ledger Entry Type",$C$4,"2 Item No.","@@"&amp;$F1129,"3 Posting Date",O$9)</t>
  </si>
  <si>
    <t>=-NL("Sum","5802 Value Entry","151 Cost Amount (Expected)","41 Source Type",$C$5,"5 Source No.",$C1129,"4 Item Ledger Entry Type",$C$4,"2 Item No.","@@"&amp;$F1129,"3 Posting Date",O$9)-NL("Sum","5802 Value Entry","43 Cost Amount (Actual)","41 Source Type",$C$5,"5 Source no.",$C1129,"4 Item Ledger Entry Type",$C$4,"2 Item No.","@@"&amp;$F1129,"3 Posting Date",O$9)</t>
  </si>
  <si>
    <t>=O1129-Q1129</t>
  </si>
  <si>
    <t>=IF(O1129&lt;&gt;0,R1129/O1129,"")</t>
  </si>
  <si>
    <t>=NL("Sum","5802 Value Entry","150 Sales Amount (Expected)","41 Source Type",$C$5,"5 Source No.",$C1129,"4 Item Ledger Entry Type",$C$4,"2 Item No.","@@"&amp;$F1129,"3 Posting Date",U$9)+NL("Sum","5802 Value Entry","17 Sales Amount (Actual)","41 Source Type",$C$5,"5 Source no.",$C1129,"4 Item Ledger Entry Type",$C$4,"2 Item No.","@@"&amp;$F1129,"3 Posting Date",U$9)</t>
  </si>
  <si>
    <t>=-NL("Sum","5802 Value Entry","151 Cost Amount (Expected)","41 Source Type",$C$5,"5 Source No.",$C1129,"4 Item Ledger Entry Type",$C$4,"2 Item No.","@@"&amp;$F1129,"3 Posting Date",U$9)-NL("Sum","5802 Value Entry","43 Cost Amount (Actual)","41 Source Type",$C$5,"5 Source no.",$C1129,"4 Item Ledger Entry Type",$C$4,"2 Item No.","@@"&amp;$F1129,"3 Posting Date",U$9)</t>
  </si>
  <si>
    <t>=U1129-W1129</t>
  </si>
  <si>
    <t>=IF(U1129&lt;&gt;0,X1129/U1129,"")</t>
  </si>
  <si>
    <t>=NL("Sum","5802 Value Entry","150 Sales Amount (Expected)","41 Source Type",$C$5,"5 Source No.",$C1129,"4 Item Ledger Entry Type",$C$4,"2 Item No.","@@"&amp;$F1129,"3 Posting Date",Z$9)+NL("Sum","5802 Value Entry","17 Sales Amount (Actual)","41 Source Type",$C$5,"5 Source no.",$C1129,"4 Item Ledger Entry Type",$C$4,"2 Item No.","@@"&amp;$F1129,"3 Posting Date",Z$9)</t>
  </si>
  <si>
    <t>=-NL("Sum","5802 Value Entry","151 Cost Amount (Expected)","41 Source Type",$C$5,"5 Source No.",$C1129,"4 Item Ledger Entry Type",$C$4,"2 Item No.","@@"&amp;$F1129,"3 Posting Date",Z$9)-NL("Sum","5802 Value Entry","43 Cost Amount (Actual)","41 Source Type",$C$5,"5 Source no.",$C1129,"4 Item Ledger Entry Type",$C$4,"2 Item No.","@@"&amp;$F1129,"3 Posting Date",Z$9)</t>
  </si>
  <si>
    <t>=Z1129-AB1129</t>
  </si>
  <si>
    <t>=IF(Z1129&lt;&gt;0,AC1129/Z1129,"")</t>
  </si>
  <si>
    <t>=C1129</t>
  </si>
  <si>
    <t>=NL("Sum","5802 Value Entry","150 Sales Amount (Expected)","41 Source Type",$C$5,"5 Source No.",$C1130,"4 Item Ledger Entry Type",$C$4,"2 Item No.","@@"&amp;$F1130,"3 Posting Date",J$9)+NL("Sum","5802 Value Entry","17 Sales Amount (Actual)","41 Source Type",$C$5,"5 Source no.",$C1130,"4 Item Ledger Entry Type",$C$4,"2 Item No.","@@"&amp;$F1130,"3 Posting Date",J$9)</t>
  </si>
  <si>
    <t>=-NL("Sum","5802 Value Entry","151 Cost Amount (Expected)","41 Source Type",$C$5,"5 Source No.",$C1130,"4 Item Ledger Entry Type",$C$4,"2 Item No.","@@"&amp;$F1130,"3 Posting Date",J$9)-NL("Sum","5802 Value Entry","43 Cost Amount (Actual)","41 Source Type",$C$5,"5 Source no.",$C1130,"4 Item Ledger Entry Type",$C$4,"2 Item No.","@@"&amp;$F1130,"3 Posting Date",J$9)</t>
  </si>
  <si>
    <t>=J1130-L1130</t>
  </si>
  <si>
    <t>=IF(J1130&lt;&gt;0,M1130/J1130,"")</t>
  </si>
  <si>
    <t>=NL("Sum","5802 Value Entry","150 Sales Amount (Expected)","41 Source Type",$C$5,"5 Source No.",$C1130,"4 Item Ledger Entry Type",$C$4,"2 Item No.","@@"&amp;$F1130,"3 Posting Date",O$9)+NL("Sum","5802 Value Entry","17 Sales Amount (Actual)","41 Source Type",$C$5,"5 Source no.",$C1130,"4 Item Ledger Entry Type",$C$4,"2 Item No.","@@"&amp;$F1130,"3 Posting Date",O$9)</t>
  </si>
  <si>
    <t>=-NL("Sum","5802 Value Entry","151 Cost Amount (Expected)","41 Source Type",$C$5,"5 Source No.",$C1130,"4 Item Ledger Entry Type",$C$4,"2 Item No.","@@"&amp;$F1130,"3 Posting Date",O$9)-NL("Sum","5802 Value Entry","43 Cost Amount (Actual)","41 Source Type",$C$5,"5 Source no.",$C1130,"4 Item Ledger Entry Type",$C$4,"2 Item No.","@@"&amp;$F1130,"3 Posting Date",O$9)</t>
  </si>
  <si>
    <t>=O1130-Q1130</t>
  </si>
  <si>
    <t>=IF(O1130&lt;&gt;0,R1130/O1130,"")</t>
  </si>
  <si>
    <t>=NL("Sum","5802 Value Entry","150 Sales Amount (Expected)","41 Source Type",$C$5,"5 Source No.",$C1130,"4 Item Ledger Entry Type",$C$4,"2 Item No.","@@"&amp;$F1130,"3 Posting Date",U$9)+NL("Sum","5802 Value Entry","17 Sales Amount (Actual)","41 Source Type",$C$5,"5 Source no.",$C1130,"4 Item Ledger Entry Type",$C$4,"2 Item No.","@@"&amp;$F1130,"3 Posting Date",U$9)</t>
  </si>
  <si>
    <t>=-NL("Sum","5802 Value Entry","151 Cost Amount (Expected)","41 Source Type",$C$5,"5 Source No.",$C1130,"4 Item Ledger Entry Type",$C$4,"2 Item No.","@@"&amp;$F1130,"3 Posting Date",U$9)-NL("Sum","5802 Value Entry","43 Cost Amount (Actual)","41 Source Type",$C$5,"5 Source no.",$C1130,"4 Item Ledger Entry Type",$C$4,"2 Item No.","@@"&amp;$F1130,"3 Posting Date",U$9)</t>
  </si>
  <si>
    <t>=U1130-W1130</t>
  </si>
  <si>
    <t>=IF(U1130&lt;&gt;0,X1130/U1130,"")</t>
  </si>
  <si>
    <t>=NL("Sum","5802 Value Entry","150 Sales Amount (Expected)","41 Source Type",$C$5,"5 Source No.",$C1130,"4 Item Ledger Entry Type",$C$4,"2 Item No.","@@"&amp;$F1130,"3 Posting Date",Z$9)+NL("Sum","5802 Value Entry","17 Sales Amount (Actual)","41 Source Type",$C$5,"5 Source no.",$C1130,"4 Item Ledger Entry Type",$C$4,"2 Item No.","@@"&amp;$F1130,"3 Posting Date",Z$9)</t>
  </si>
  <si>
    <t>=-NL("Sum","5802 Value Entry","151 Cost Amount (Expected)","41 Source Type",$C$5,"5 Source No.",$C1130,"4 Item Ledger Entry Type",$C$4,"2 Item No.","@@"&amp;$F1130,"3 Posting Date",Z$9)-NL("Sum","5802 Value Entry","43 Cost Amount (Actual)","41 Source Type",$C$5,"5 Source no.",$C1130,"4 Item Ledger Entry Type",$C$4,"2 Item No.","@@"&amp;$F1130,"3 Posting Date",Z$9)</t>
  </si>
  <si>
    <t>=Z1130-AB1130</t>
  </si>
  <si>
    <t>=IF(Z1130&lt;&gt;0,AC1130/Z1130,"")</t>
  </si>
  <si>
    <t>=C1130</t>
  </si>
  <si>
    <t>=NL("Sum","5802 Value Entry","150 Sales Amount (Expected)","41 Source Type",$C$5,"5 Source No.",$C1131,"4 Item Ledger Entry Type",$C$4,"2 Item No.","@@"&amp;$F1131,"3 Posting Date",J$9)+NL("Sum","5802 Value Entry","17 Sales Amount (Actual)","41 Source Type",$C$5,"5 Source no.",$C1131,"4 Item Ledger Entry Type",$C$4,"2 Item No.","@@"&amp;$F1131,"3 Posting Date",J$9)</t>
  </si>
  <si>
    <t>=-NL("Sum","5802 Value Entry","151 Cost Amount (Expected)","41 Source Type",$C$5,"5 Source No.",$C1131,"4 Item Ledger Entry Type",$C$4,"2 Item No.","@@"&amp;$F1131,"3 Posting Date",J$9)-NL("Sum","5802 Value Entry","43 Cost Amount (Actual)","41 Source Type",$C$5,"5 Source no.",$C1131,"4 Item Ledger Entry Type",$C$4,"2 Item No.","@@"&amp;$F1131,"3 Posting Date",J$9)</t>
  </si>
  <si>
    <t>=J1131-L1131</t>
  </si>
  <si>
    <t>=IF(J1131&lt;&gt;0,M1131/J1131,"")</t>
  </si>
  <si>
    <t>=NL("Sum","5802 Value Entry","150 Sales Amount (Expected)","41 Source Type",$C$5,"5 Source No.",$C1131,"4 Item Ledger Entry Type",$C$4,"2 Item No.","@@"&amp;$F1131,"3 Posting Date",O$9)+NL("Sum","5802 Value Entry","17 Sales Amount (Actual)","41 Source Type",$C$5,"5 Source no.",$C1131,"4 Item Ledger Entry Type",$C$4,"2 Item No.","@@"&amp;$F1131,"3 Posting Date",O$9)</t>
  </si>
  <si>
    <t>=-NL("Sum","5802 Value Entry","151 Cost Amount (Expected)","41 Source Type",$C$5,"5 Source No.",$C1131,"4 Item Ledger Entry Type",$C$4,"2 Item No.","@@"&amp;$F1131,"3 Posting Date",O$9)-NL("Sum","5802 Value Entry","43 Cost Amount (Actual)","41 Source Type",$C$5,"5 Source no.",$C1131,"4 Item Ledger Entry Type",$C$4,"2 Item No.","@@"&amp;$F1131,"3 Posting Date",O$9)</t>
  </si>
  <si>
    <t>=O1131-Q1131</t>
  </si>
  <si>
    <t>=IF(O1131&lt;&gt;0,R1131/O1131,"")</t>
  </si>
  <si>
    <t>=NL("Sum","5802 Value Entry","150 Sales Amount (Expected)","41 Source Type",$C$5,"5 Source No.",$C1131,"4 Item Ledger Entry Type",$C$4,"2 Item No.","@@"&amp;$F1131,"3 Posting Date",U$9)+NL("Sum","5802 Value Entry","17 Sales Amount (Actual)","41 Source Type",$C$5,"5 Source no.",$C1131,"4 Item Ledger Entry Type",$C$4,"2 Item No.","@@"&amp;$F1131,"3 Posting Date",U$9)</t>
  </si>
  <si>
    <t>=-NL("Sum","5802 Value Entry","151 Cost Amount (Expected)","41 Source Type",$C$5,"5 Source No.",$C1131,"4 Item Ledger Entry Type",$C$4,"2 Item No.","@@"&amp;$F1131,"3 Posting Date",U$9)-NL("Sum","5802 Value Entry","43 Cost Amount (Actual)","41 Source Type",$C$5,"5 Source no.",$C1131,"4 Item Ledger Entry Type",$C$4,"2 Item No.","@@"&amp;$F1131,"3 Posting Date",U$9)</t>
  </si>
  <si>
    <t>=U1131-W1131</t>
  </si>
  <si>
    <t>=IF(U1131&lt;&gt;0,X1131/U1131,"")</t>
  </si>
  <si>
    <t>=NL("Sum","5802 Value Entry","150 Sales Amount (Expected)","41 Source Type",$C$5,"5 Source No.",$C1131,"4 Item Ledger Entry Type",$C$4,"2 Item No.","@@"&amp;$F1131,"3 Posting Date",Z$9)+NL("Sum","5802 Value Entry","17 Sales Amount (Actual)","41 Source Type",$C$5,"5 Source no.",$C1131,"4 Item Ledger Entry Type",$C$4,"2 Item No.","@@"&amp;$F1131,"3 Posting Date",Z$9)</t>
  </si>
  <si>
    <t>=-NL("Sum","5802 Value Entry","151 Cost Amount (Expected)","41 Source Type",$C$5,"5 Source No.",$C1131,"4 Item Ledger Entry Type",$C$4,"2 Item No.","@@"&amp;$F1131,"3 Posting Date",Z$9)-NL("Sum","5802 Value Entry","43 Cost Amount (Actual)","41 Source Type",$C$5,"5 Source no.",$C1131,"4 Item Ledger Entry Type",$C$4,"2 Item No.","@@"&amp;$F1131,"3 Posting Date",Z$9)</t>
  </si>
  <si>
    <t>=Z1131-AB1131</t>
  </si>
  <si>
    <t>=IF(Z1131&lt;&gt;0,AC1131/Z1131,"")</t>
  </si>
  <si>
    <t>=C1131</t>
  </si>
  <si>
    <t>=NL("Sum","5802 Value Entry","150 Sales Amount (Expected)","41 Source Type",$C$5,"5 Source No.",$C1132,"4 Item Ledger Entry Type",$C$4,"2 Item No.","@@"&amp;$F1132,"3 Posting Date",J$9)+NL("Sum","5802 Value Entry","17 Sales Amount (Actual)","41 Source Type",$C$5,"5 Source no.",$C1132,"4 Item Ledger Entry Type",$C$4,"2 Item No.","@@"&amp;$F1132,"3 Posting Date",J$9)</t>
  </si>
  <si>
    <t>=-NL("Sum","5802 Value Entry","151 Cost Amount (Expected)","41 Source Type",$C$5,"5 Source No.",$C1132,"4 Item Ledger Entry Type",$C$4,"2 Item No.","@@"&amp;$F1132,"3 Posting Date",J$9)-NL("Sum","5802 Value Entry","43 Cost Amount (Actual)","41 Source Type",$C$5,"5 Source no.",$C1132,"4 Item Ledger Entry Type",$C$4,"2 Item No.","@@"&amp;$F1132,"3 Posting Date",J$9)</t>
  </si>
  <si>
    <t>=J1132-L1132</t>
  </si>
  <si>
    <t>=IF(J1132&lt;&gt;0,M1132/J1132,"")</t>
  </si>
  <si>
    <t>=NL("Sum","5802 Value Entry","150 Sales Amount (Expected)","41 Source Type",$C$5,"5 Source No.",$C1132,"4 Item Ledger Entry Type",$C$4,"2 Item No.","@@"&amp;$F1132,"3 Posting Date",O$9)+NL("Sum","5802 Value Entry","17 Sales Amount (Actual)","41 Source Type",$C$5,"5 Source no.",$C1132,"4 Item Ledger Entry Type",$C$4,"2 Item No.","@@"&amp;$F1132,"3 Posting Date",O$9)</t>
  </si>
  <si>
    <t>=-NL("Sum","5802 Value Entry","151 Cost Amount (Expected)","41 Source Type",$C$5,"5 Source No.",$C1132,"4 Item Ledger Entry Type",$C$4,"2 Item No.","@@"&amp;$F1132,"3 Posting Date",O$9)-NL("Sum","5802 Value Entry","43 Cost Amount (Actual)","41 Source Type",$C$5,"5 Source no.",$C1132,"4 Item Ledger Entry Type",$C$4,"2 Item No.","@@"&amp;$F1132,"3 Posting Date",O$9)</t>
  </si>
  <si>
    <t>=O1132-Q1132</t>
  </si>
  <si>
    <t>=IF(O1132&lt;&gt;0,R1132/O1132,"")</t>
  </si>
  <si>
    <t>=NL("Sum","5802 Value Entry","150 Sales Amount (Expected)","41 Source Type",$C$5,"5 Source No.",$C1132,"4 Item Ledger Entry Type",$C$4,"2 Item No.","@@"&amp;$F1132,"3 Posting Date",U$9)+NL("Sum","5802 Value Entry","17 Sales Amount (Actual)","41 Source Type",$C$5,"5 Source no.",$C1132,"4 Item Ledger Entry Type",$C$4,"2 Item No.","@@"&amp;$F1132,"3 Posting Date",U$9)</t>
  </si>
  <si>
    <t>=-NL("Sum","5802 Value Entry","151 Cost Amount (Expected)","41 Source Type",$C$5,"5 Source No.",$C1132,"4 Item Ledger Entry Type",$C$4,"2 Item No.","@@"&amp;$F1132,"3 Posting Date",U$9)-NL("Sum","5802 Value Entry","43 Cost Amount (Actual)","41 Source Type",$C$5,"5 Source no.",$C1132,"4 Item Ledger Entry Type",$C$4,"2 Item No.","@@"&amp;$F1132,"3 Posting Date",U$9)</t>
  </si>
  <si>
    <t>=U1132-W1132</t>
  </si>
  <si>
    <t>=IF(U1132&lt;&gt;0,X1132/U1132,"")</t>
  </si>
  <si>
    <t>=NL("Sum","5802 Value Entry","150 Sales Amount (Expected)","41 Source Type",$C$5,"5 Source No.",$C1132,"4 Item Ledger Entry Type",$C$4,"2 Item No.","@@"&amp;$F1132,"3 Posting Date",Z$9)+NL("Sum","5802 Value Entry","17 Sales Amount (Actual)","41 Source Type",$C$5,"5 Source no.",$C1132,"4 Item Ledger Entry Type",$C$4,"2 Item No.","@@"&amp;$F1132,"3 Posting Date",Z$9)</t>
  </si>
  <si>
    <t>=-NL("Sum","5802 Value Entry","151 Cost Amount (Expected)","41 Source Type",$C$5,"5 Source No.",$C1132,"4 Item Ledger Entry Type",$C$4,"2 Item No.","@@"&amp;$F1132,"3 Posting Date",Z$9)-NL("Sum","5802 Value Entry","43 Cost Amount (Actual)","41 Source Type",$C$5,"5 Source no.",$C1132,"4 Item Ledger Entry Type",$C$4,"2 Item No.","@@"&amp;$F1132,"3 Posting Date",Z$9)</t>
  </si>
  <si>
    <t>=Z1132-AB1132</t>
  </si>
  <si>
    <t>=IF(Z1132&lt;&gt;0,AC1132/Z1132,"")</t>
  </si>
  <si>
    <t>=C1132</t>
  </si>
  <si>
    <t>=NL("Sum","5802 Value Entry","150 Sales Amount (Expected)","41 Source Type",$C$5,"5 Source No.",$C1133,"4 Item Ledger Entry Type",$C$4,"2 Item No.","@@"&amp;$F1133,"3 Posting Date",J$9)+NL("Sum","5802 Value Entry","17 Sales Amount (Actual)","41 Source Type",$C$5,"5 Source no.",$C1133,"4 Item Ledger Entry Type",$C$4,"2 Item No.","@@"&amp;$F1133,"3 Posting Date",J$9)</t>
  </si>
  <si>
    <t>=-NL("Sum","5802 Value Entry","151 Cost Amount (Expected)","41 Source Type",$C$5,"5 Source No.",$C1133,"4 Item Ledger Entry Type",$C$4,"2 Item No.","@@"&amp;$F1133,"3 Posting Date",J$9)-NL("Sum","5802 Value Entry","43 Cost Amount (Actual)","41 Source Type",$C$5,"5 Source no.",$C1133,"4 Item Ledger Entry Type",$C$4,"2 Item No.","@@"&amp;$F1133,"3 Posting Date",J$9)</t>
  </si>
  <si>
    <t>=J1133-L1133</t>
  </si>
  <si>
    <t>=IF(J1133&lt;&gt;0,M1133/J1133,"")</t>
  </si>
  <si>
    <t>=NL("Sum","5802 Value Entry","150 Sales Amount (Expected)","41 Source Type",$C$5,"5 Source No.",$C1133,"4 Item Ledger Entry Type",$C$4,"2 Item No.","@@"&amp;$F1133,"3 Posting Date",O$9)+NL("Sum","5802 Value Entry","17 Sales Amount (Actual)","41 Source Type",$C$5,"5 Source no.",$C1133,"4 Item Ledger Entry Type",$C$4,"2 Item No.","@@"&amp;$F1133,"3 Posting Date",O$9)</t>
  </si>
  <si>
    <t>=-NL("Sum","5802 Value Entry","151 Cost Amount (Expected)","41 Source Type",$C$5,"5 Source No.",$C1133,"4 Item Ledger Entry Type",$C$4,"2 Item No.","@@"&amp;$F1133,"3 Posting Date",O$9)-NL("Sum","5802 Value Entry","43 Cost Amount (Actual)","41 Source Type",$C$5,"5 Source no.",$C1133,"4 Item Ledger Entry Type",$C$4,"2 Item No.","@@"&amp;$F1133,"3 Posting Date",O$9)</t>
  </si>
  <si>
    <t>=O1133-Q1133</t>
  </si>
  <si>
    <t>=IF(O1133&lt;&gt;0,R1133/O1133,"")</t>
  </si>
  <si>
    <t>=NL("Sum","5802 Value Entry","150 Sales Amount (Expected)","41 Source Type",$C$5,"5 Source No.",$C1133,"4 Item Ledger Entry Type",$C$4,"2 Item No.","@@"&amp;$F1133,"3 Posting Date",U$9)+NL("Sum","5802 Value Entry","17 Sales Amount (Actual)","41 Source Type",$C$5,"5 Source no.",$C1133,"4 Item Ledger Entry Type",$C$4,"2 Item No.","@@"&amp;$F1133,"3 Posting Date",U$9)</t>
  </si>
  <si>
    <t>=-NL("Sum","5802 Value Entry","151 Cost Amount (Expected)","41 Source Type",$C$5,"5 Source No.",$C1133,"4 Item Ledger Entry Type",$C$4,"2 Item No.","@@"&amp;$F1133,"3 Posting Date",U$9)-NL("Sum","5802 Value Entry","43 Cost Amount (Actual)","41 Source Type",$C$5,"5 Source no.",$C1133,"4 Item Ledger Entry Type",$C$4,"2 Item No.","@@"&amp;$F1133,"3 Posting Date",U$9)</t>
  </si>
  <si>
    <t>=U1133-W1133</t>
  </si>
  <si>
    <t>=IF(U1133&lt;&gt;0,X1133/U1133,"")</t>
  </si>
  <si>
    <t>=NL("Sum","5802 Value Entry","150 Sales Amount (Expected)","41 Source Type",$C$5,"5 Source No.",$C1133,"4 Item Ledger Entry Type",$C$4,"2 Item No.","@@"&amp;$F1133,"3 Posting Date",Z$9)+NL("Sum","5802 Value Entry","17 Sales Amount (Actual)","41 Source Type",$C$5,"5 Source no.",$C1133,"4 Item Ledger Entry Type",$C$4,"2 Item No.","@@"&amp;$F1133,"3 Posting Date",Z$9)</t>
  </si>
  <si>
    <t>=-NL("Sum","5802 Value Entry","151 Cost Amount (Expected)","41 Source Type",$C$5,"5 Source No.",$C1133,"4 Item Ledger Entry Type",$C$4,"2 Item No.","@@"&amp;$F1133,"3 Posting Date",Z$9)-NL("Sum","5802 Value Entry","43 Cost Amount (Actual)","41 Source Type",$C$5,"5 Source no.",$C1133,"4 Item Ledger Entry Type",$C$4,"2 Item No.","@@"&amp;$F1133,"3 Posting Date",Z$9)</t>
  </si>
  <si>
    <t>=Z1133-AB1133</t>
  </si>
  <si>
    <t>=IF(Z1133&lt;&gt;0,AC1133/Z1133,"")</t>
  </si>
  <si>
    <t>=C1133</t>
  </si>
  <si>
    <t>=NL("Sum","5802 Value Entry","150 Sales Amount (Expected)","41 Source Type",$C$5,"5 Source No.",$C1134,"4 Item Ledger Entry Type",$C$4,"2 Item No.","@@"&amp;$F1134,"3 Posting Date",J$9)+NL("Sum","5802 Value Entry","17 Sales Amount (Actual)","41 Source Type",$C$5,"5 Source no.",$C1134,"4 Item Ledger Entry Type",$C$4,"2 Item No.","@@"&amp;$F1134,"3 Posting Date",J$9)</t>
  </si>
  <si>
    <t>=-NL("Sum","5802 Value Entry","151 Cost Amount (Expected)","41 Source Type",$C$5,"5 Source No.",$C1134,"4 Item Ledger Entry Type",$C$4,"2 Item No.","@@"&amp;$F1134,"3 Posting Date",J$9)-NL("Sum","5802 Value Entry","43 Cost Amount (Actual)","41 Source Type",$C$5,"5 Source no.",$C1134,"4 Item Ledger Entry Type",$C$4,"2 Item No.","@@"&amp;$F1134,"3 Posting Date",J$9)</t>
  </si>
  <si>
    <t>=J1134-L1134</t>
  </si>
  <si>
    <t>=IF(J1134&lt;&gt;0,M1134/J1134,"")</t>
  </si>
  <si>
    <t>=NL("Sum","5802 Value Entry","150 Sales Amount (Expected)","41 Source Type",$C$5,"5 Source No.",$C1134,"4 Item Ledger Entry Type",$C$4,"2 Item No.","@@"&amp;$F1134,"3 Posting Date",O$9)+NL("Sum","5802 Value Entry","17 Sales Amount (Actual)","41 Source Type",$C$5,"5 Source no.",$C1134,"4 Item Ledger Entry Type",$C$4,"2 Item No.","@@"&amp;$F1134,"3 Posting Date",O$9)</t>
  </si>
  <si>
    <t>=-NL("Sum","5802 Value Entry","151 Cost Amount (Expected)","41 Source Type",$C$5,"5 Source No.",$C1134,"4 Item Ledger Entry Type",$C$4,"2 Item No.","@@"&amp;$F1134,"3 Posting Date",O$9)-NL("Sum","5802 Value Entry","43 Cost Amount (Actual)","41 Source Type",$C$5,"5 Source no.",$C1134,"4 Item Ledger Entry Type",$C$4,"2 Item No.","@@"&amp;$F1134,"3 Posting Date",O$9)</t>
  </si>
  <si>
    <t>=O1134-Q1134</t>
  </si>
  <si>
    <t>=IF(O1134&lt;&gt;0,R1134/O1134,"")</t>
  </si>
  <si>
    <t>=NL("Sum","5802 Value Entry","150 Sales Amount (Expected)","41 Source Type",$C$5,"5 Source No.",$C1134,"4 Item Ledger Entry Type",$C$4,"2 Item No.","@@"&amp;$F1134,"3 Posting Date",U$9)+NL("Sum","5802 Value Entry","17 Sales Amount (Actual)","41 Source Type",$C$5,"5 Source no.",$C1134,"4 Item Ledger Entry Type",$C$4,"2 Item No.","@@"&amp;$F1134,"3 Posting Date",U$9)</t>
  </si>
  <si>
    <t>=-NL("Sum","5802 Value Entry","151 Cost Amount (Expected)","41 Source Type",$C$5,"5 Source No.",$C1134,"4 Item Ledger Entry Type",$C$4,"2 Item No.","@@"&amp;$F1134,"3 Posting Date",U$9)-NL("Sum","5802 Value Entry","43 Cost Amount (Actual)","41 Source Type",$C$5,"5 Source no.",$C1134,"4 Item Ledger Entry Type",$C$4,"2 Item No.","@@"&amp;$F1134,"3 Posting Date",U$9)</t>
  </si>
  <si>
    <t>=U1134-W1134</t>
  </si>
  <si>
    <t>=IF(U1134&lt;&gt;0,X1134/U1134,"")</t>
  </si>
  <si>
    <t>=NL("Sum","5802 Value Entry","150 Sales Amount (Expected)","41 Source Type",$C$5,"5 Source No.",$C1134,"4 Item Ledger Entry Type",$C$4,"2 Item No.","@@"&amp;$F1134,"3 Posting Date",Z$9)+NL("Sum","5802 Value Entry","17 Sales Amount (Actual)","41 Source Type",$C$5,"5 Source no.",$C1134,"4 Item Ledger Entry Type",$C$4,"2 Item No.","@@"&amp;$F1134,"3 Posting Date",Z$9)</t>
  </si>
  <si>
    <t>=-NL("Sum","5802 Value Entry","151 Cost Amount (Expected)","41 Source Type",$C$5,"5 Source No.",$C1134,"4 Item Ledger Entry Type",$C$4,"2 Item No.","@@"&amp;$F1134,"3 Posting Date",Z$9)-NL("Sum","5802 Value Entry","43 Cost Amount (Actual)","41 Source Type",$C$5,"5 Source no.",$C1134,"4 Item Ledger Entry Type",$C$4,"2 Item No.","@@"&amp;$F1134,"3 Posting Date",Z$9)</t>
  </si>
  <si>
    <t>=Z1134-AB1134</t>
  </si>
  <si>
    <t>=IF(Z1134&lt;&gt;0,AC1134/Z1134,"")</t>
  </si>
  <si>
    <t>=C1134</t>
  </si>
  <si>
    <t>=NL("Sum","5802 Value Entry","150 Sales Amount (Expected)","41 Source Type",$C$5,"5 Source No.",$C1135,"4 Item Ledger Entry Type",$C$4,"2 Item No.","@@"&amp;$F1135,"3 Posting Date",J$9)+NL("Sum","5802 Value Entry","17 Sales Amount (Actual)","41 Source Type",$C$5,"5 Source no.",$C1135,"4 Item Ledger Entry Type",$C$4,"2 Item No.","@@"&amp;$F1135,"3 Posting Date",J$9)</t>
  </si>
  <si>
    <t>=-NL("Sum","5802 Value Entry","151 Cost Amount (Expected)","41 Source Type",$C$5,"5 Source No.",$C1135,"4 Item Ledger Entry Type",$C$4,"2 Item No.","@@"&amp;$F1135,"3 Posting Date",J$9)-NL("Sum","5802 Value Entry","43 Cost Amount (Actual)","41 Source Type",$C$5,"5 Source no.",$C1135,"4 Item Ledger Entry Type",$C$4,"2 Item No.","@@"&amp;$F1135,"3 Posting Date",J$9)</t>
  </si>
  <si>
    <t>=J1135-L1135</t>
  </si>
  <si>
    <t>=IF(J1135&lt;&gt;0,M1135/J1135,"")</t>
  </si>
  <si>
    <t>=NL("Sum","5802 Value Entry","150 Sales Amount (Expected)","41 Source Type",$C$5,"5 Source No.",$C1135,"4 Item Ledger Entry Type",$C$4,"2 Item No.","@@"&amp;$F1135,"3 Posting Date",O$9)+NL("Sum","5802 Value Entry","17 Sales Amount (Actual)","41 Source Type",$C$5,"5 Source no.",$C1135,"4 Item Ledger Entry Type",$C$4,"2 Item No.","@@"&amp;$F1135,"3 Posting Date",O$9)</t>
  </si>
  <si>
    <t>=-NL("Sum","5802 Value Entry","151 Cost Amount (Expected)","41 Source Type",$C$5,"5 Source No.",$C1135,"4 Item Ledger Entry Type",$C$4,"2 Item No.","@@"&amp;$F1135,"3 Posting Date",O$9)-NL("Sum","5802 Value Entry","43 Cost Amount (Actual)","41 Source Type",$C$5,"5 Source no.",$C1135,"4 Item Ledger Entry Type",$C$4,"2 Item No.","@@"&amp;$F1135,"3 Posting Date",O$9)</t>
  </si>
  <si>
    <t>=O1135-Q1135</t>
  </si>
  <si>
    <t>=IF(O1135&lt;&gt;0,R1135/O1135,"")</t>
  </si>
  <si>
    <t>=NL("Sum","5802 Value Entry","150 Sales Amount (Expected)","41 Source Type",$C$5,"5 Source No.",$C1135,"4 Item Ledger Entry Type",$C$4,"2 Item No.","@@"&amp;$F1135,"3 Posting Date",U$9)+NL("Sum","5802 Value Entry","17 Sales Amount (Actual)","41 Source Type",$C$5,"5 Source no.",$C1135,"4 Item Ledger Entry Type",$C$4,"2 Item No.","@@"&amp;$F1135,"3 Posting Date",U$9)</t>
  </si>
  <si>
    <t>=-NL("Sum","5802 Value Entry","151 Cost Amount (Expected)","41 Source Type",$C$5,"5 Source No.",$C1135,"4 Item Ledger Entry Type",$C$4,"2 Item No.","@@"&amp;$F1135,"3 Posting Date",U$9)-NL("Sum","5802 Value Entry","43 Cost Amount (Actual)","41 Source Type",$C$5,"5 Source no.",$C1135,"4 Item Ledger Entry Type",$C$4,"2 Item No.","@@"&amp;$F1135,"3 Posting Date",U$9)</t>
  </si>
  <si>
    <t>=U1135-W1135</t>
  </si>
  <si>
    <t>=IF(U1135&lt;&gt;0,X1135/U1135,"")</t>
  </si>
  <si>
    <t>=NL("Sum","5802 Value Entry","150 Sales Amount (Expected)","41 Source Type",$C$5,"5 Source No.",$C1135,"4 Item Ledger Entry Type",$C$4,"2 Item No.","@@"&amp;$F1135,"3 Posting Date",Z$9)+NL("Sum","5802 Value Entry","17 Sales Amount (Actual)","41 Source Type",$C$5,"5 Source no.",$C1135,"4 Item Ledger Entry Type",$C$4,"2 Item No.","@@"&amp;$F1135,"3 Posting Date",Z$9)</t>
  </si>
  <si>
    <t>=-NL("Sum","5802 Value Entry","151 Cost Amount (Expected)","41 Source Type",$C$5,"5 Source No.",$C1135,"4 Item Ledger Entry Type",$C$4,"2 Item No.","@@"&amp;$F1135,"3 Posting Date",Z$9)-NL("Sum","5802 Value Entry","43 Cost Amount (Actual)","41 Source Type",$C$5,"5 Source no.",$C1135,"4 Item Ledger Entry Type",$C$4,"2 Item No.","@@"&amp;$F1135,"3 Posting Date",Z$9)</t>
  </si>
  <si>
    <t>=Z1135-AB1135</t>
  </si>
  <si>
    <t>=IF(Z1135&lt;&gt;0,AC1135/Z1135,"")</t>
  </si>
  <si>
    <t>=C1136</t>
  </si>
  <si>
    <t>=J1137-L1137</t>
  </si>
  <si>
    <t>=IF(J1137&lt;&gt;0,M1137/J1137,"")</t>
  </si>
  <si>
    <t>=O1137-Q1137</t>
  </si>
  <si>
    <t>=IF(O1137&lt;&gt;0,R1137/O1137,"")</t>
  </si>
  <si>
    <t>=U1137-W1137</t>
  </si>
  <si>
    <t>=IF(U1137&lt;&gt;0,X1137/U1137,"")</t>
  </si>
  <si>
    <t>=Z1137-AB1137</t>
  </si>
  <si>
    <t>=IF(Z1137&lt;&gt;0,AC1137/Z1137,"")</t>
  </si>
  <si>
    <t>=C1139</t>
  </si>
  <si>
    <t>=C1140</t>
  </si>
  <si>
    <t>=NL("Sum","5802 Value Entry","150 Sales Amount (Expected)","41 Source Type",$C$5,"5 Source No.",$C1141,"4 Item Ledger Entry Type",$C$4,"2 Item No.","@@"&amp;$F1141,"3 Posting Date",J$9)+NL("Sum","5802 Value Entry","17 Sales Amount (Actual)","41 Source Type",$C$5,"5 Source no.",$C1141,"4 Item Ledger Entry Type",$C$4,"2 Item No.","@@"&amp;$F1141,"3 Posting Date",J$9)</t>
  </si>
  <si>
    <t>=-NL("Sum","5802 Value Entry","151 Cost Amount (Expected)","41 Source Type",$C$5,"5 Source No.",$C1141,"4 Item Ledger Entry Type",$C$4,"2 Item No.","@@"&amp;$F1141,"3 Posting Date",J$9)-NL("Sum","5802 Value Entry","43 Cost Amount (Actual)","41 Source Type",$C$5,"5 Source no.",$C1141,"4 Item Ledger Entry Type",$C$4,"2 Item No.","@@"&amp;$F1141,"3 Posting Date",J$9)</t>
  </si>
  <si>
    <t>=J1141-L1141</t>
  </si>
  <si>
    <t>=IF(J1141&lt;&gt;0,M1141/J1141,"")</t>
  </si>
  <si>
    <t>=NL("Sum","5802 Value Entry","150 Sales Amount (Expected)","41 Source Type",$C$5,"5 Source No.",$C1141,"4 Item Ledger Entry Type",$C$4,"2 Item No.","@@"&amp;$F1141,"3 Posting Date",O$9)+NL("Sum","5802 Value Entry","17 Sales Amount (Actual)","41 Source Type",$C$5,"5 Source no.",$C1141,"4 Item Ledger Entry Type",$C$4,"2 Item No.","@@"&amp;$F1141,"3 Posting Date",O$9)</t>
  </si>
  <si>
    <t>=-NL("Sum","5802 Value Entry","151 Cost Amount (Expected)","41 Source Type",$C$5,"5 Source No.",$C1141,"4 Item Ledger Entry Type",$C$4,"2 Item No.","@@"&amp;$F1141,"3 Posting Date",O$9)-NL("Sum","5802 Value Entry","43 Cost Amount (Actual)","41 Source Type",$C$5,"5 Source no.",$C1141,"4 Item Ledger Entry Type",$C$4,"2 Item No.","@@"&amp;$F1141,"3 Posting Date",O$9)</t>
  </si>
  <si>
    <t>=O1141-Q1141</t>
  </si>
  <si>
    <t>=IF(O1141&lt;&gt;0,R1141/O1141,"")</t>
  </si>
  <si>
    <t>=NL("Sum","5802 Value Entry","150 Sales Amount (Expected)","41 Source Type",$C$5,"5 Source No.",$C1141,"4 Item Ledger Entry Type",$C$4,"2 Item No.","@@"&amp;$F1141,"3 Posting Date",U$9)+NL("Sum","5802 Value Entry","17 Sales Amount (Actual)","41 Source Type",$C$5,"5 Source no.",$C1141,"4 Item Ledger Entry Type",$C$4,"2 Item No.","@@"&amp;$F1141,"3 Posting Date",U$9)</t>
  </si>
  <si>
    <t>=-NL("Sum","5802 Value Entry","151 Cost Amount (Expected)","41 Source Type",$C$5,"5 Source No.",$C1141,"4 Item Ledger Entry Type",$C$4,"2 Item No.","@@"&amp;$F1141,"3 Posting Date",U$9)-NL("Sum","5802 Value Entry","43 Cost Amount (Actual)","41 Source Type",$C$5,"5 Source no.",$C1141,"4 Item Ledger Entry Type",$C$4,"2 Item No.","@@"&amp;$F1141,"3 Posting Date",U$9)</t>
  </si>
  <si>
    <t>=U1141-W1141</t>
  </si>
  <si>
    <t>=IF(U1141&lt;&gt;0,X1141/U1141,"")</t>
  </si>
  <si>
    <t>=NL("Sum","5802 Value Entry","150 Sales Amount (Expected)","41 Source Type",$C$5,"5 Source No.",$C1141,"4 Item Ledger Entry Type",$C$4,"2 Item No.","@@"&amp;$F1141,"3 Posting Date",Z$9)+NL("Sum","5802 Value Entry","17 Sales Amount (Actual)","41 Source Type",$C$5,"5 Source no.",$C1141,"4 Item Ledger Entry Type",$C$4,"2 Item No.","@@"&amp;$F1141,"3 Posting Date",Z$9)</t>
  </si>
  <si>
    <t>=-NL("Sum","5802 Value Entry","151 Cost Amount (Expected)","41 Source Type",$C$5,"5 Source No.",$C1141,"4 Item Ledger Entry Type",$C$4,"2 Item No.","@@"&amp;$F1141,"3 Posting Date",Z$9)-NL("Sum","5802 Value Entry","43 Cost Amount (Actual)","41 Source Type",$C$5,"5 Source no.",$C1141,"4 Item Ledger Entry Type",$C$4,"2 Item No.","@@"&amp;$F1141,"3 Posting Date",Z$9)</t>
  </si>
  <si>
    <t>=Z1141-AB1141</t>
  </si>
  <si>
    <t>=IF(Z1141&lt;&gt;0,AC1141/Z1141,"")</t>
  </si>
  <si>
    <t>=C1141</t>
  </si>
  <si>
    <t>=NL("Sum","5802 Value Entry","150 Sales Amount (Expected)","41 Source Type",$C$5,"5 Source No.",$C1142,"4 Item Ledger Entry Type",$C$4,"2 Item No.","@@"&amp;$F1142,"3 Posting Date",J$9)+NL("Sum","5802 Value Entry","17 Sales Amount (Actual)","41 Source Type",$C$5,"5 Source no.",$C1142,"4 Item Ledger Entry Type",$C$4,"2 Item No.","@@"&amp;$F1142,"3 Posting Date",J$9)</t>
  </si>
  <si>
    <t>=-NL("Sum","5802 Value Entry","151 Cost Amount (Expected)","41 Source Type",$C$5,"5 Source No.",$C1142,"4 Item Ledger Entry Type",$C$4,"2 Item No.","@@"&amp;$F1142,"3 Posting Date",J$9)-NL("Sum","5802 Value Entry","43 Cost Amount (Actual)","41 Source Type",$C$5,"5 Source no.",$C1142,"4 Item Ledger Entry Type",$C$4,"2 Item No.","@@"&amp;$F1142,"3 Posting Date",J$9)</t>
  </si>
  <si>
    <t>=J1142-L1142</t>
  </si>
  <si>
    <t>=IF(J1142&lt;&gt;0,M1142/J1142,"")</t>
  </si>
  <si>
    <t>=NL("Sum","5802 Value Entry","150 Sales Amount (Expected)","41 Source Type",$C$5,"5 Source No.",$C1142,"4 Item Ledger Entry Type",$C$4,"2 Item No.","@@"&amp;$F1142,"3 Posting Date",O$9)+NL("Sum","5802 Value Entry","17 Sales Amount (Actual)","41 Source Type",$C$5,"5 Source no.",$C1142,"4 Item Ledger Entry Type",$C$4,"2 Item No.","@@"&amp;$F1142,"3 Posting Date",O$9)</t>
  </si>
  <si>
    <t>=-NL("Sum","5802 Value Entry","151 Cost Amount (Expected)","41 Source Type",$C$5,"5 Source No.",$C1142,"4 Item Ledger Entry Type",$C$4,"2 Item No.","@@"&amp;$F1142,"3 Posting Date",O$9)-NL("Sum","5802 Value Entry","43 Cost Amount (Actual)","41 Source Type",$C$5,"5 Source no.",$C1142,"4 Item Ledger Entry Type",$C$4,"2 Item No.","@@"&amp;$F1142,"3 Posting Date",O$9)</t>
  </si>
  <si>
    <t>=O1142-Q1142</t>
  </si>
  <si>
    <t>=IF(O1142&lt;&gt;0,R1142/O1142,"")</t>
  </si>
  <si>
    <t>=NL("Sum","5802 Value Entry","150 Sales Amount (Expected)","41 Source Type",$C$5,"5 Source No.",$C1142,"4 Item Ledger Entry Type",$C$4,"2 Item No.","@@"&amp;$F1142,"3 Posting Date",U$9)+NL("Sum","5802 Value Entry","17 Sales Amount (Actual)","41 Source Type",$C$5,"5 Source no.",$C1142,"4 Item Ledger Entry Type",$C$4,"2 Item No.","@@"&amp;$F1142,"3 Posting Date",U$9)</t>
  </si>
  <si>
    <t>=-NL("Sum","5802 Value Entry","151 Cost Amount (Expected)","41 Source Type",$C$5,"5 Source No.",$C1142,"4 Item Ledger Entry Type",$C$4,"2 Item No.","@@"&amp;$F1142,"3 Posting Date",U$9)-NL("Sum","5802 Value Entry","43 Cost Amount (Actual)","41 Source Type",$C$5,"5 Source no.",$C1142,"4 Item Ledger Entry Type",$C$4,"2 Item No.","@@"&amp;$F1142,"3 Posting Date",U$9)</t>
  </si>
  <si>
    <t>=U1142-W1142</t>
  </si>
  <si>
    <t>=IF(U1142&lt;&gt;0,X1142/U1142,"")</t>
  </si>
  <si>
    <t>=NL("Sum","5802 Value Entry","150 Sales Amount (Expected)","41 Source Type",$C$5,"5 Source No.",$C1142,"4 Item Ledger Entry Type",$C$4,"2 Item No.","@@"&amp;$F1142,"3 Posting Date",Z$9)+NL("Sum","5802 Value Entry","17 Sales Amount (Actual)","41 Source Type",$C$5,"5 Source no.",$C1142,"4 Item Ledger Entry Type",$C$4,"2 Item No.","@@"&amp;$F1142,"3 Posting Date",Z$9)</t>
  </si>
  <si>
    <t>=-NL("Sum","5802 Value Entry","151 Cost Amount (Expected)","41 Source Type",$C$5,"5 Source No.",$C1142,"4 Item Ledger Entry Type",$C$4,"2 Item No.","@@"&amp;$F1142,"3 Posting Date",Z$9)-NL("Sum","5802 Value Entry","43 Cost Amount (Actual)","41 Source Type",$C$5,"5 Source no.",$C1142,"4 Item Ledger Entry Type",$C$4,"2 Item No.","@@"&amp;$F1142,"3 Posting Date",Z$9)</t>
  </si>
  <si>
    <t>=Z1142-AB1142</t>
  </si>
  <si>
    <t>=IF(Z1142&lt;&gt;0,AC1142/Z1142,"")</t>
  </si>
  <si>
    <t>=C1142</t>
  </si>
  <si>
    <t>=NL("Sum","5802 Value Entry","150 Sales Amount (Expected)","41 Source Type",$C$5,"5 Source No.",$C1143,"4 Item Ledger Entry Type",$C$4,"2 Item No.","@@"&amp;$F1143,"3 Posting Date",J$9)+NL("Sum","5802 Value Entry","17 Sales Amount (Actual)","41 Source Type",$C$5,"5 Source no.",$C1143,"4 Item Ledger Entry Type",$C$4,"2 Item No.","@@"&amp;$F1143,"3 Posting Date",J$9)</t>
  </si>
  <si>
    <t>=-NL("Sum","5802 Value Entry","151 Cost Amount (Expected)","41 Source Type",$C$5,"5 Source No.",$C1143,"4 Item Ledger Entry Type",$C$4,"2 Item No.","@@"&amp;$F1143,"3 Posting Date",J$9)-NL("Sum","5802 Value Entry","43 Cost Amount (Actual)","41 Source Type",$C$5,"5 Source no.",$C1143,"4 Item Ledger Entry Type",$C$4,"2 Item No.","@@"&amp;$F1143,"3 Posting Date",J$9)</t>
  </si>
  <si>
    <t>=J1143-L1143</t>
  </si>
  <si>
    <t>=IF(J1143&lt;&gt;0,M1143/J1143,"")</t>
  </si>
  <si>
    <t>=NL("Sum","5802 Value Entry","150 Sales Amount (Expected)","41 Source Type",$C$5,"5 Source No.",$C1143,"4 Item Ledger Entry Type",$C$4,"2 Item No.","@@"&amp;$F1143,"3 Posting Date",O$9)+NL("Sum","5802 Value Entry","17 Sales Amount (Actual)","41 Source Type",$C$5,"5 Source no.",$C1143,"4 Item Ledger Entry Type",$C$4,"2 Item No.","@@"&amp;$F1143,"3 Posting Date",O$9)</t>
  </si>
  <si>
    <t>=-NL("Sum","5802 Value Entry","151 Cost Amount (Expected)","41 Source Type",$C$5,"5 Source No.",$C1143,"4 Item Ledger Entry Type",$C$4,"2 Item No.","@@"&amp;$F1143,"3 Posting Date",O$9)-NL("Sum","5802 Value Entry","43 Cost Amount (Actual)","41 Source Type",$C$5,"5 Source no.",$C1143,"4 Item Ledger Entry Type",$C$4,"2 Item No.","@@"&amp;$F1143,"3 Posting Date",O$9)</t>
  </si>
  <si>
    <t>=O1143-Q1143</t>
  </si>
  <si>
    <t>=IF(O1143&lt;&gt;0,R1143/O1143,"")</t>
  </si>
  <si>
    <t>=NL("Sum","5802 Value Entry","150 Sales Amount (Expected)","41 Source Type",$C$5,"5 Source No.",$C1143,"4 Item Ledger Entry Type",$C$4,"2 Item No.","@@"&amp;$F1143,"3 Posting Date",U$9)+NL("Sum","5802 Value Entry","17 Sales Amount (Actual)","41 Source Type",$C$5,"5 Source no.",$C1143,"4 Item Ledger Entry Type",$C$4,"2 Item No.","@@"&amp;$F1143,"3 Posting Date",U$9)</t>
  </si>
  <si>
    <t>=-NL("Sum","5802 Value Entry","151 Cost Amount (Expected)","41 Source Type",$C$5,"5 Source No.",$C1143,"4 Item Ledger Entry Type",$C$4,"2 Item No.","@@"&amp;$F1143,"3 Posting Date",U$9)-NL("Sum","5802 Value Entry","43 Cost Amount (Actual)","41 Source Type",$C$5,"5 Source no.",$C1143,"4 Item Ledger Entry Type",$C$4,"2 Item No.","@@"&amp;$F1143,"3 Posting Date",U$9)</t>
  </si>
  <si>
    <t>=U1143-W1143</t>
  </si>
  <si>
    <t>=IF(U1143&lt;&gt;0,X1143/U1143,"")</t>
  </si>
  <si>
    <t>=NL("Sum","5802 Value Entry","150 Sales Amount (Expected)","41 Source Type",$C$5,"5 Source No.",$C1143,"4 Item Ledger Entry Type",$C$4,"2 Item No.","@@"&amp;$F1143,"3 Posting Date",Z$9)+NL("Sum","5802 Value Entry","17 Sales Amount (Actual)","41 Source Type",$C$5,"5 Source no.",$C1143,"4 Item Ledger Entry Type",$C$4,"2 Item No.","@@"&amp;$F1143,"3 Posting Date",Z$9)</t>
  </si>
  <si>
    <t>=-NL("Sum","5802 Value Entry","151 Cost Amount (Expected)","41 Source Type",$C$5,"5 Source No.",$C1143,"4 Item Ledger Entry Type",$C$4,"2 Item No.","@@"&amp;$F1143,"3 Posting Date",Z$9)-NL("Sum","5802 Value Entry","43 Cost Amount (Actual)","41 Source Type",$C$5,"5 Source no.",$C1143,"4 Item Ledger Entry Type",$C$4,"2 Item No.","@@"&amp;$F1143,"3 Posting Date",Z$9)</t>
  </si>
  <si>
    <t>=Z1143-AB1143</t>
  </si>
  <si>
    <t>=IF(Z1143&lt;&gt;0,AC1143/Z1143,"")</t>
  </si>
  <si>
    <t>=C1143</t>
  </si>
  <si>
    <t>=NL("Sum","5802 Value Entry","150 Sales Amount (Expected)","41 Source Type",$C$5,"5 Source No.",$C1144,"4 Item Ledger Entry Type",$C$4,"2 Item No.","@@"&amp;$F1144,"3 Posting Date",J$9)+NL("Sum","5802 Value Entry","17 Sales Amount (Actual)","41 Source Type",$C$5,"5 Source no.",$C1144,"4 Item Ledger Entry Type",$C$4,"2 Item No.","@@"&amp;$F1144,"3 Posting Date",J$9)</t>
  </si>
  <si>
    <t>=-NL("Sum","5802 Value Entry","151 Cost Amount (Expected)","41 Source Type",$C$5,"5 Source No.",$C1144,"4 Item Ledger Entry Type",$C$4,"2 Item No.","@@"&amp;$F1144,"3 Posting Date",J$9)-NL("Sum","5802 Value Entry","43 Cost Amount (Actual)","41 Source Type",$C$5,"5 Source no.",$C1144,"4 Item Ledger Entry Type",$C$4,"2 Item No.","@@"&amp;$F1144,"3 Posting Date",J$9)</t>
  </si>
  <si>
    <t>=J1144-L1144</t>
  </si>
  <si>
    <t>=IF(J1144&lt;&gt;0,M1144/J1144,"")</t>
  </si>
  <si>
    <t>=NL("Sum","5802 Value Entry","150 Sales Amount (Expected)","41 Source Type",$C$5,"5 Source No.",$C1144,"4 Item Ledger Entry Type",$C$4,"2 Item No.","@@"&amp;$F1144,"3 Posting Date",O$9)+NL("Sum","5802 Value Entry","17 Sales Amount (Actual)","41 Source Type",$C$5,"5 Source no.",$C1144,"4 Item Ledger Entry Type",$C$4,"2 Item No.","@@"&amp;$F1144,"3 Posting Date",O$9)</t>
  </si>
  <si>
    <t>=-NL("Sum","5802 Value Entry","151 Cost Amount (Expected)","41 Source Type",$C$5,"5 Source No.",$C1144,"4 Item Ledger Entry Type",$C$4,"2 Item No.","@@"&amp;$F1144,"3 Posting Date",O$9)-NL("Sum","5802 Value Entry","43 Cost Amount (Actual)","41 Source Type",$C$5,"5 Source no.",$C1144,"4 Item Ledger Entry Type",$C$4,"2 Item No.","@@"&amp;$F1144,"3 Posting Date",O$9)</t>
  </si>
  <si>
    <t>=O1144-Q1144</t>
  </si>
  <si>
    <t>=IF(O1144&lt;&gt;0,R1144/O1144,"")</t>
  </si>
  <si>
    <t>=NL("Sum","5802 Value Entry","150 Sales Amount (Expected)","41 Source Type",$C$5,"5 Source No.",$C1144,"4 Item Ledger Entry Type",$C$4,"2 Item No.","@@"&amp;$F1144,"3 Posting Date",U$9)+NL("Sum","5802 Value Entry","17 Sales Amount (Actual)","41 Source Type",$C$5,"5 Source no.",$C1144,"4 Item Ledger Entry Type",$C$4,"2 Item No.","@@"&amp;$F1144,"3 Posting Date",U$9)</t>
  </si>
  <si>
    <t>=-NL("Sum","5802 Value Entry","151 Cost Amount (Expected)","41 Source Type",$C$5,"5 Source No.",$C1144,"4 Item Ledger Entry Type",$C$4,"2 Item No.","@@"&amp;$F1144,"3 Posting Date",U$9)-NL("Sum","5802 Value Entry","43 Cost Amount (Actual)","41 Source Type",$C$5,"5 Source no.",$C1144,"4 Item Ledger Entry Type",$C$4,"2 Item No.","@@"&amp;$F1144,"3 Posting Date",U$9)</t>
  </si>
  <si>
    <t>=U1144-W1144</t>
  </si>
  <si>
    <t>=IF(U1144&lt;&gt;0,X1144/U1144,"")</t>
  </si>
  <si>
    <t>=NL("Sum","5802 Value Entry","150 Sales Amount (Expected)","41 Source Type",$C$5,"5 Source No.",$C1144,"4 Item Ledger Entry Type",$C$4,"2 Item No.","@@"&amp;$F1144,"3 Posting Date",Z$9)+NL("Sum","5802 Value Entry","17 Sales Amount (Actual)","41 Source Type",$C$5,"5 Source no.",$C1144,"4 Item Ledger Entry Type",$C$4,"2 Item No.","@@"&amp;$F1144,"3 Posting Date",Z$9)</t>
  </si>
  <si>
    <t>=-NL("Sum","5802 Value Entry","151 Cost Amount (Expected)","41 Source Type",$C$5,"5 Source No.",$C1144,"4 Item Ledger Entry Type",$C$4,"2 Item No.","@@"&amp;$F1144,"3 Posting Date",Z$9)-NL("Sum","5802 Value Entry","43 Cost Amount (Actual)","41 Source Type",$C$5,"5 Source no.",$C1144,"4 Item Ledger Entry Type",$C$4,"2 Item No.","@@"&amp;$F1144,"3 Posting Date",Z$9)</t>
  </si>
  <si>
    <t>=Z1144-AB1144</t>
  </si>
  <si>
    <t>=IF(Z1144&lt;&gt;0,AC1144/Z1144,"")</t>
  </si>
  <si>
    <t>=C1144</t>
  </si>
  <si>
    <t>=NL("Sum","5802 Value Entry","150 Sales Amount (Expected)","41 Source Type",$C$5,"5 Source No.",$C1145,"4 Item Ledger Entry Type",$C$4,"2 Item No.","@@"&amp;$F1145,"3 Posting Date",J$9)+NL("Sum","5802 Value Entry","17 Sales Amount (Actual)","41 Source Type",$C$5,"5 Source no.",$C1145,"4 Item Ledger Entry Type",$C$4,"2 Item No.","@@"&amp;$F1145,"3 Posting Date",J$9)</t>
  </si>
  <si>
    <t>=-NL("Sum","5802 Value Entry","151 Cost Amount (Expected)","41 Source Type",$C$5,"5 Source No.",$C1145,"4 Item Ledger Entry Type",$C$4,"2 Item No.","@@"&amp;$F1145,"3 Posting Date",J$9)-NL("Sum","5802 Value Entry","43 Cost Amount (Actual)","41 Source Type",$C$5,"5 Source no.",$C1145,"4 Item Ledger Entry Type",$C$4,"2 Item No.","@@"&amp;$F1145,"3 Posting Date",J$9)</t>
  </si>
  <si>
    <t>=J1145-L1145</t>
  </si>
  <si>
    <t>=IF(J1145&lt;&gt;0,M1145/J1145,"")</t>
  </si>
  <si>
    <t>=NL("Sum","5802 Value Entry","150 Sales Amount (Expected)","41 Source Type",$C$5,"5 Source No.",$C1145,"4 Item Ledger Entry Type",$C$4,"2 Item No.","@@"&amp;$F1145,"3 Posting Date",O$9)+NL("Sum","5802 Value Entry","17 Sales Amount (Actual)","41 Source Type",$C$5,"5 Source no.",$C1145,"4 Item Ledger Entry Type",$C$4,"2 Item No.","@@"&amp;$F1145,"3 Posting Date",O$9)</t>
  </si>
  <si>
    <t>=-NL("Sum","5802 Value Entry","151 Cost Amount (Expected)","41 Source Type",$C$5,"5 Source No.",$C1145,"4 Item Ledger Entry Type",$C$4,"2 Item No.","@@"&amp;$F1145,"3 Posting Date",O$9)-NL("Sum","5802 Value Entry","43 Cost Amount (Actual)","41 Source Type",$C$5,"5 Source no.",$C1145,"4 Item Ledger Entry Type",$C$4,"2 Item No.","@@"&amp;$F1145,"3 Posting Date",O$9)</t>
  </si>
  <si>
    <t>=O1145-Q1145</t>
  </si>
  <si>
    <t>=IF(O1145&lt;&gt;0,R1145/O1145,"")</t>
  </si>
  <si>
    <t>=NL("Sum","5802 Value Entry","150 Sales Amount (Expected)","41 Source Type",$C$5,"5 Source No.",$C1145,"4 Item Ledger Entry Type",$C$4,"2 Item No.","@@"&amp;$F1145,"3 Posting Date",U$9)+NL("Sum","5802 Value Entry","17 Sales Amount (Actual)","41 Source Type",$C$5,"5 Source no.",$C1145,"4 Item Ledger Entry Type",$C$4,"2 Item No.","@@"&amp;$F1145,"3 Posting Date",U$9)</t>
  </si>
  <si>
    <t>=-NL("Sum","5802 Value Entry","151 Cost Amount (Expected)","41 Source Type",$C$5,"5 Source No.",$C1145,"4 Item Ledger Entry Type",$C$4,"2 Item No.","@@"&amp;$F1145,"3 Posting Date",U$9)-NL("Sum","5802 Value Entry","43 Cost Amount (Actual)","41 Source Type",$C$5,"5 Source no.",$C1145,"4 Item Ledger Entry Type",$C$4,"2 Item No.","@@"&amp;$F1145,"3 Posting Date",U$9)</t>
  </si>
  <si>
    <t>=U1145-W1145</t>
  </si>
  <si>
    <t>=IF(U1145&lt;&gt;0,X1145/U1145,"")</t>
  </si>
  <si>
    <t>=NL("Sum","5802 Value Entry","150 Sales Amount (Expected)","41 Source Type",$C$5,"5 Source No.",$C1145,"4 Item Ledger Entry Type",$C$4,"2 Item No.","@@"&amp;$F1145,"3 Posting Date",Z$9)+NL("Sum","5802 Value Entry","17 Sales Amount (Actual)","41 Source Type",$C$5,"5 Source no.",$C1145,"4 Item Ledger Entry Type",$C$4,"2 Item No.","@@"&amp;$F1145,"3 Posting Date",Z$9)</t>
  </si>
  <si>
    <t>=-NL("Sum","5802 Value Entry","151 Cost Amount (Expected)","41 Source Type",$C$5,"5 Source No.",$C1145,"4 Item Ledger Entry Type",$C$4,"2 Item No.","@@"&amp;$F1145,"3 Posting Date",Z$9)-NL("Sum","5802 Value Entry","43 Cost Amount (Actual)","41 Source Type",$C$5,"5 Source no.",$C1145,"4 Item Ledger Entry Type",$C$4,"2 Item No.","@@"&amp;$F1145,"3 Posting Date",Z$9)</t>
  </si>
  <si>
    <t>=Z1145-AB1145</t>
  </si>
  <si>
    <t>=IF(Z1145&lt;&gt;0,AC1145/Z1145,"")</t>
  </si>
  <si>
    <t>=C1145</t>
  </si>
  <si>
    <t>=NL("Sum","5802 Value Entry","150 Sales Amount (Expected)","41 Source Type",$C$5,"5 Source No.",$C1146,"4 Item Ledger Entry Type",$C$4,"2 Item No.","@@"&amp;$F1146,"3 Posting Date",J$9)+NL("Sum","5802 Value Entry","17 Sales Amount (Actual)","41 Source Type",$C$5,"5 Source no.",$C1146,"4 Item Ledger Entry Type",$C$4,"2 Item No.","@@"&amp;$F1146,"3 Posting Date",J$9)</t>
  </si>
  <si>
    <t>=-NL("Sum","5802 Value Entry","151 Cost Amount (Expected)","41 Source Type",$C$5,"5 Source No.",$C1146,"4 Item Ledger Entry Type",$C$4,"2 Item No.","@@"&amp;$F1146,"3 Posting Date",J$9)-NL("Sum","5802 Value Entry","43 Cost Amount (Actual)","41 Source Type",$C$5,"5 Source no.",$C1146,"4 Item Ledger Entry Type",$C$4,"2 Item No.","@@"&amp;$F1146,"3 Posting Date",J$9)</t>
  </si>
  <si>
    <t>=J1146-L1146</t>
  </si>
  <si>
    <t>=IF(J1146&lt;&gt;0,M1146/J1146,"")</t>
  </si>
  <si>
    <t>=NL("Sum","5802 Value Entry","150 Sales Amount (Expected)","41 Source Type",$C$5,"5 Source No.",$C1146,"4 Item Ledger Entry Type",$C$4,"2 Item No.","@@"&amp;$F1146,"3 Posting Date",O$9)+NL("Sum","5802 Value Entry","17 Sales Amount (Actual)","41 Source Type",$C$5,"5 Source no.",$C1146,"4 Item Ledger Entry Type",$C$4,"2 Item No.","@@"&amp;$F1146,"3 Posting Date",O$9)</t>
  </si>
  <si>
    <t>=-NL("Sum","5802 Value Entry","151 Cost Amount (Expected)","41 Source Type",$C$5,"5 Source No.",$C1146,"4 Item Ledger Entry Type",$C$4,"2 Item No.","@@"&amp;$F1146,"3 Posting Date",O$9)-NL("Sum","5802 Value Entry","43 Cost Amount (Actual)","41 Source Type",$C$5,"5 Source no.",$C1146,"4 Item Ledger Entry Type",$C$4,"2 Item No.","@@"&amp;$F1146,"3 Posting Date",O$9)</t>
  </si>
  <si>
    <t>=O1146-Q1146</t>
  </si>
  <si>
    <t>=IF(O1146&lt;&gt;0,R1146/O1146,"")</t>
  </si>
  <si>
    <t>=NL("Sum","5802 Value Entry","150 Sales Amount (Expected)","41 Source Type",$C$5,"5 Source No.",$C1146,"4 Item Ledger Entry Type",$C$4,"2 Item No.","@@"&amp;$F1146,"3 Posting Date",U$9)+NL("Sum","5802 Value Entry","17 Sales Amount (Actual)","41 Source Type",$C$5,"5 Source no.",$C1146,"4 Item Ledger Entry Type",$C$4,"2 Item No.","@@"&amp;$F1146,"3 Posting Date",U$9)</t>
  </si>
  <si>
    <t>=-NL("Sum","5802 Value Entry","151 Cost Amount (Expected)","41 Source Type",$C$5,"5 Source No.",$C1146,"4 Item Ledger Entry Type",$C$4,"2 Item No.","@@"&amp;$F1146,"3 Posting Date",U$9)-NL("Sum","5802 Value Entry","43 Cost Amount (Actual)","41 Source Type",$C$5,"5 Source no.",$C1146,"4 Item Ledger Entry Type",$C$4,"2 Item No.","@@"&amp;$F1146,"3 Posting Date",U$9)</t>
  </si>
  <si>
    <t>=U1146-W1146</t>
  </si>
  <si>
    <t>=IF(U1146&lt;&gt;0,X1146/U1146,"")</t>
  </si>
  <si>
    <t>=NL("Sum","5802 Value Entry","150 Sales Amount (Expected)","41 Source Type",$C$5,"5 Source No.",$C1146,"4 Item Ledger Entry Type",$C$4,"2 Item No.","@@"&amp;$F1146,"3 Posting Date",Z$9)+NL("Sum","5802 Value Entry","17 Sales Amount (Actual)","41 Source Type",$C$5,"5 Source no.",$C1146,"4 Item Ledger Entry Type",$C$4,"2 Item No.","@@"&amp;$F1146,"3 Posting Date",Z$9)</t>
  </si>
  <si>
    <t>=-NL("Sum","5802 Value Entry","151 Cost Amount (Expected)","41 Source Type",$C$5,"5 Source No.",$C1146,"4 Item Ledger Entry Type",$C$4,"2 Item No.","@@"&amp;$F1146,"3 Posting Date",Z$9)-NL("Sum","5802 Value Entry","43 Cost Amount (Actual)","41 Source Type",$C$5,"5 Source no.",$C1146,"4 Item Ledger Entry Type",$C$4,"2 Item No.","@@"&amp;$F1146,"3 Posting Date",Z$9)</t>
  </si>
  <si>
    <t>=Z1146-AB1146</t>
  </si>
  <si>
    <t>=IF(Z1146&lt;&gt;0,AC1146/Z1146,"")</t>
  </si>
  <si>
    <t>=C1146</t>
  </si>
  <si>
    <t>=NL("Sum","5802 Value Entry","150 Sales Amount (Expected)","41 Source Type",$C$5,"5 Source No.",$C1147,"4 Item Ledger Entry Type",$C$4,"2 Item No.","@@"&amp;$F1147,"3 Posting Date",J$9)+NL("Sum","5802 Value Entry","17 Sales Amount (Actual)","41 Source Type",$C$5,"5 Source no.",$C1147,"4 Item Ledger Entry Type",$C$4,"2 Item No.","@@"&amp;$F1147,"3 Posting Date",J$9)</t>
  </si>
  <si>
    <t>=-NL("Sum","5802 Value Entry","151 Cost Amount (Expected)","41 Source Type",$C$5,"5 Source No.",$C1147,"4 Item Ledger Entry Type",$C$4,"2 Item No.","@@"&amp;$F1147,"3 Posting Date",J$9)-NL("Sum","5802 Value Entry","43 Cost Amount (Actual)","41 Source Type",$C$5,"5 Source no.",$C1147,"4 Item Ledger Entry Type",$C$4,"2 Item No.","@@"&amp;$F1147,"3 Posting Date",J$9)</t>
  </si>
  <si>
    <t>=J1147-L1147</t>
  </si>
  <si>
    <t>=IF(J1147&lt;&gt;0,M1147/J1147,"")</t>
  </si>
  <si>
    <t>=NL("Sum","5802 Value Entry","150 Sales Amount (Expected)","41 Source Type",$C$5,"5 Source No.",$C1147,"4 Item Ledger Entry Type",$C$4,"2 Item No.","@@"&amp;$F1147,"3 Posting Date",O$9)+NL("Sum","5802 Value Entry","17 Sales Amount (Actual)","41 Source Type",$C$5,"5 Source no.",$C1147,"4 Item Ledger Entry Type",$C$4,"2 Item No.","@@"&amp;$F1147,"3 Posting Date",O$9)</t>
  </si>
  <si>
    <t>=-NL("Sum","5802 Value Entry","151 Cost Amount (Expected)","41 Source Type",$C$5,"5 Source No.",$C1147,"4 Item Ledger Entry Type",$C$4,"2 Item No.","@@"&amp;$F1147,"3 Posting Date",O$9)-NL("Sum","5802 Value Entry","43 Cost Amount (Actual)","41 Source Type",$C$5,"5 Source no.",$C1147,"4 Item Ledger Entry Type",$C$4,"2 Item No.","@@"&amp;$F1147,"3 Posting Date",O$9)</t>
  </si>
  <si>
    <t>=O1147-Q1147</t>
  </si>
  <si>
    <t>=IF(O1147&lt;&gt;0,R1147/O1147,"")</t>
  </si>
  <si>
    <t>=NL("Sum","5802 Value Entry","150 Sales Amount (Expected)","41 Source Type",$C$5,"5 Source No.",$C1147,"4 Item Ledger Entry Type",$C$4,"2 Item No.","@@"&amp;$F1147,"3 Posting Date",U$9)+NL("Sum","5802 Value Entry","17 Sales Amount (Actual)","41 Source Type",$C$5,"5 Source no.",$C1147,"4 Item Ledger Entry Type",$C$4,"2 Item No.","@@"&amp;$F1147,"3 Posting Date",U$9)</t>
  </si>
  <si>
    <t>=-NL("Sum","5802 Value Entry","151 Cost Amount (Expected)","41 Source Type",$C$5,"5 Source No.",$C1147,"4 Item Ledger Entry Type",$C$4,"2 Item No.","@@"&amp;$F1147,"3 Posting Date",U$9)-NL("Sum","5802 Value Entry","43 Cost Amount (Actual)","41 Source Type",$C$5,"5 Source no.",$C1147,"4 Item Ledger Entry Type",$C$4,"2 Item No.","@@"&amp;$F1147,"3 Posting Date",U$9)</t>
  </si>
  <si>
    <t>=U1147-W1147</t>
  </si>
  <si>
    <t>=IF(U1147&lt;&gt;0,X1147/U1147,"")</t>
  </si>
  <si>
    <t>=NL("Sum","5802 Value Entry","150 Sales Amount (Expected)","41 Source Type",$C$5,"5 Source No.",$C1147,"4 Item Ledger Entry Type",$C$4,"2 Item No.","@@"&amp;$F1147,"3 Posting Date",Z$9)+NL("Sum","5802 Value Entry","17 Sales Amount (Actual)","41 Source Type",$C$5,"5 Source no.",$C1147,"4 Item Ledger Entry Type",$C$4,"2 Item No.","@@"&amp;$F1147,"3 Posting Date",Z$9)</t>
  </si>
  <si>
    <t>=-NL("Sum","5802 Value Entry","151 Cost Amount (Expected)","41 Source Type",$C$5,"5 Source No.",$C1147,"4 Item Ledger Entry Type",$C$4,"2 Item No.","@@"&amp;$F1147,"3 Posting Date",Z$9)-NL("Sum","5802 Value Entry","43 Cost Amount (Actual)","41 Source Type",$C$5,"5 Source no.",$C1147,"4 Item Ledger Entry Type",$C$4,"2 Item No.","@@"&amp;$F1147,"3 Posting Date",Z$9)</t>
  </si>
  <si>
    <t>=Z1147-AB1147</t>
  </si>
  <si>
    <t>=IF(Z1147&lt;&gt;0,AC1147/Z1147,"")</t>
  </si>
  <si>
    <t>=C1147</t>
  </si>
  <si>
    <t>=NL("Sum","5802 Value Entry","150 Sales Amount (Expected)","41 Source Type",$C$5,"5 Source No.",$C1148,"4 Item Ledger Entry Type",$C$4,"2 Item No.","@@"&amp;$F1148,"3 Posting Date",J$9)+NL("Sum","5802 Value Entry","17 Sales Amount (Actual)","41 Source Type",$C$5,"5 Source no.",$C1148,"4 Item Ledger Entry Type",$C$4,"2 Item No.","@@"&amp;$F1148,"3 Posting Date",J$9)</t>
  </si>
  <si>
    <t>=-NL("Sum","5802 Value Entry","151 Cost Amount (Expected)","41 Source Type",$C$5,"5 Source No.",$C1148,"4 Item Ledger Entry Type",$C$4,"2 Item No.","@@"&amp;$F1148,"3 Posting Date",J$9)-NL("Sum","5802 Value Entry","43 Cost Amount (Actual)","41 Source Type",$C$5,"5 Source no.",$C1148,"4 Item Ledger Entry Type",$C$4,"2 Item No.","@@"&amp;$F1148,"3 Posting Date",J$9)</t>
  </si>
  <si>
    <t>=J1148-L1148</t>
  </si>
  <si>
    <t>=IF(J1148&lt;&gt;0,M1148/J1148,"")</t>
  </si>
  <si>
    <t>=NL("Sum","5802 Value Entry","150 Sales Amount (Expected)","41 Source Type",$C$5,"5 Source No.",$C1148,"4 Item Ledger Entry Type",$C$4,"2 Item No.","@@"&amp;$F1148,"3 Posting Date",O$9)+NL("Sum","5802 Value Entry","17 Sales Amount (Actual)","41 Source Type",$C$5,"5 Source no.",$C1148,"4 Item Ledger Entry Type",$C$4,"2 Item No.","@@"&amp;$F1148,"3 Posting Date",O$9)</t>
  </si>
  <si>
    <t>=-NL("Sum","5802 Value Entry","151 Cost Amount (Expected)","41 Source Type",$C$5,"5 Source No.",$C1148,"4 Item Ledger Entry Type",$C$4,"2 Item No.","@@"&amp;$F1148,"3 Posting Date",O$9)-NL("Sum","5802 Value Entry","43 Cost Amount (Actual)","41 Source Type",$C$5,"5 Source no.",$C1148,"4 Item Ledger Entry Type",$C$4,"2 Item No.","@@"&amp;$F1148,"3 Posting Date",O$9)</t>
  </si>
  <si>
    <t>=O1148-Q1148</t>
  </si>
  <si>
    <t>=IF(O1148&lt;&gt;0,R1148/O1148,"")</t>
  </si>
  <si>
    <t>=NL("Sum","5802 Value Entry","150 Sales Amount (Expected)","41 Source Type",$C$5,"5 Source No.",$C1148,"4 Item Ledger Entry Type",$C$4,"2 Item No.","@@"&amp;$F1148,"3 Posting Date",U$9)+NL("Sum","5802 Value Entry","17 Sales Amount (Actual)","41 Source Type",$C$5,"5 Source no.",$C1148,"4 Item Ledger Entry Type",$C$4,"2 Item No.","@@"&amp;$F1148,"3 Posting Date",U$9)</t>
  </si>
  <si>
    <t>=-NL("Sum","5802 Value Entry","151 Cost Amount (Expected)","41 Source Type",$C$5,"5 Source No.",$C1148,"4 Item Ledger Entry Type",$C$4,"2 Item No.","@@"&amp;$F1148,"3 Posting Date",U$9)-NL("Sum","5802 Value Entry","43 Cost Amount (Actual)","41 Source Type",$C$5,"5 Source no.",$C1148,"4 Item Ledger Entry Type",$C$4,"2 Item No.","@@"&amp;$F1148,"3 Posting Date",U$9)</t>
  </si>
  <si>
    <t>=U1148-W1148</t>
  </si>
  <si>
    <t>=IF(U1148&lt;&gt;0,X1148/U1148,"")</t>
  </si>
  <si>
    <t>=NL("Sum","5802 Value Entry","150 Sales Amount (Expected)","41 Source Type",$C$5,"5 Source No.",$C1148,"4 Item Ledger Entry Type",$C$4,"2 Item No.","@@"&amp;$F1148,"3 Posting Date",Z$9)+NL("Sum","5802 Value Entry","17 Sales Amount (Actual)","41 Source Type",$C$5,"5 Source no.",$C1148,"4 Item Ledger Entry Type",$C$4,"2 Item No.","@@"&amp;$F1148,"3 Posting Date",Z$9)</t>
  </si>
  <si>
    <t>=-NL("Sum","5802 Value Entry","151 Cost Amount (Expected)","41 Source Type",$C$5,"5 Source No.",$C1148,"4 Item Ledger Entry Type",$C$4,"2 Item No.","@@"&amp;$F1148,"3 Posting Date",Z$9)-NL("Sum","5802 Value Entry","43 Cost Amount (Actual)","41 Source Type",$C$5,"5 Source no.",$C1148,"4 Item Ledger Entry Type",$C$4,"2 Item No.","@@"&amp;$F1148,"3 Posting Date",Z$9)</t>
  </si>
  <si>
    <t>=Z1148-AB1148</t>
  </si>
  <si>
    <t>=IF(Z1148&lt;&gt;0,AC1148/Z1148,"")</t>
  </si>
  <si>
    <t>=C1148</t>
  </si>
  <si>
    <t>=NL("Sum","5802 Value Entry","150 Sales Amount (Expected)","41 Source Type",$C$5,"5 Source No.",$C1149,"4 Item Ledger Entry Type",$C$4,"2 Item No.","@@"&amp;$F1149,"3 Posting Date",J$9)+NL("Sum","5802 Value Entry","17 Sales Amount (Actual)","41 Source Type",$C$5,"5 Source no.",$C1149,"4 Item Ledger Entry Type",$C$4,"2 Item No.","@@"&amp;$F1149,"3 Posting Date",J$9)</t>
  </si>
  <si>
    <t>=-NL("Sum","5802 Value Entry","151 Cost Amount (Expected)","41 Source Type",$C$5,"5 Source No.",$C1149,"4 Item Ledger Entry Type",$C$4,"2 Item No.","@@"&amp;$F1149,"3 Posting Date",J$9)-NL("Sum","5802 Value Entry","43 Cost Amount (Actual)","41 Source Type",$C$5,"5 Source no.",$C1149,"4 Item Ledger Entry Type",$C$4,"2 Item No.","@@"&amp;$F1149,"3 Posting Date",J$9)</t>
  </si>
  <si>
    <t>=J1149-L1149</t>
  </si>
  <si>
    <t>=IF(J1149&lt;&gt;0,M1149/J1149,"")</t>
  </si>
  <si>
    <t>=NL("Sum","5802 Value Entry","150 Sales Amount (Expected)","41 Source Type",$C$5,"5 Source No.",$C1149,"4 Item Ledger Entry Type",$C$4,"2 Item No.","@@"&amp;$F1149,"3 Posting Date",O$9)+NL("Sum","5802 Value Entry","17 Sales Amount (Actual)","41 Source Type",$C$5,"5 Source no.",$C1149,"4 Item Ledger Entry Type",$C$4,"2 Item No.","@@"&amp;$F1149,"3 Posting Date",O$9)</t>
  </si>
  <si>
    <t>=-NL("Sum","5802 Value Entry","151 Cost Amount (Expected)","41 Source Type",$C$5,"5 Source No.",$C1149,"4 Item Ledger Entry Type",$C$4,"2 Item No.","@@"&amp;$F1149,"3 Posting Date",O$9)-NL("Sum","5802 Value Entry","43 Cost Amount (Actual)","41 Source Type",$C$5,"5 Source no.",$C1149,"4 Item Ledger Entry Type",$C$4,"2 Item No.","@@"&amp;$F1149,"3 Posting Date",O$9)</t>
  </si>
  <si>
    <t>=O1149-Q1149</t>
  </si>
  <si>
    <t>=IF(O1149&lt;&gt;0,R1149/O1149,"")</t>
  </si>
  <si>
    <t>=NL("Sum","5802 Value Entry","150 Sales Amount (Expected)","41 Source Type",$C$5,"5 Source No.",$C1149,"4 Item Ledger Entry Type",$C$4,"2 Item No.","@@"&amp;$F1149,"3 Posting Date",U$9)+NL("Sum","5802 Value Entry","17 Sales Amount (Actual)","41 Source Type",$C$5,"5 Source no.",$C1149,"4 Item Ledger Entry Type",$C$4,"2 Item No.","@@"&amp;$F1149,"3 Posting Date",U$9)</t>
  </si>
  <si>
    <t>=-NL("Sum","5802 Value Entry","151 Cost Amount (Expected)","41 Source Type",$C$5,"5 Source No.",$C1149,"4 Item Ledger Entry Type",$C$4,"2 Item No.","@@"&amp;$F1149,"3 Posting Date",U$9)-NL("Sum","5802 Value Entry","43 Cost Amount (Actual)","41 Source Type",$C$5,"5 Source no.",$C1149,"4 Item Ledger Entry Type",$C$4,"2 Item No.","@@"&amp;$F1149,"3 Posting Date",U$9)</t>
  </si>
  <si>
    <t>=U1149-W1149</t>
  </si>
  <si>
    <t>=IF(U1149&lt;&gt;0,X1149/U1149,"")</t>
  </si>
  <si>
    <t>=NL("Sum","5802 Value Entry","150 Sales Amount (Expected)","41 Source Type",$C$5,"5 Source No.",$C1149,"4 Item Ledger Entry Type",$C$4,"2 Item No.","@@"&amp;$F1149,"3 Posting Date",Z$9)+NL("Sum","5802 Value Entry","17 Sales Amount (Actual)","41 Source Type",$C$5,"5 Source no.",$C1149,"4 Item Ledger Entry Type",$C$4,"2 Item No.","@@"&amp;$F1149,"3 Posting Date",Z$9)</t>
  </si>
  <si>
    <t>=-NL("Sum","5802 Value Entry","151 Cost Amount (Expected)","41 Source Type",$C$5,"5 Source No.",$C1149,"4 Item Ledger Entry Type",$C$4,"2 Item No.","@@"&amp;$F1149,"3 Posting Date",Z$9)-NL("Sum","5802 Value Entry","43 Cost Amount (Actual)","41 Source Type",$C$5,"5 Source no.",$C1149,"4 Item Ledger Entry Type",$C$4,"2 Item No.","@@"&amp;$F1149,"3 Posting Date",Z$9)</t>
  </si>
  <si>
    <t>=Z1149-AB1149</t>
  </si>
  <si>
    <t>=IF(Z1149&lt;&gt;0,AC1149/Z1149,"")</t>
  </si>
  <si>
    <t>=C1150</t>
  </si>
  <si>
    <t>=J1151-L1151</t>
  </si>
  <si>
    <t>=IF(J1151&lt;&gt;0,M1151/J1151,"")</t>
  </si>
  <si>
    <t>=O1151-Q1151</t>
  </si>
  <si>
    <t>=IF(O1151&lt;&gt;0,R1151/O1151,"")</t>
  </si>
  <si>
    <t>=U1151-W1151</t>
  </si>
  <si>
    <t>=IF(U1151&lt;&gt;0,X1151/U1151,"")</t>
  </si>
  <si>
    <t>=Z1151-AB1151</t>
  </si>
  <si>
    <t>=IF(Z1151&lt;&gt;0,AC1151/Z1151,"")</t>
  </si>
  <si>
    <t>=C1153</t>
  </si>
  <si>
    <t>=C1154</t>
  </si>
  <si>
    <t>=NL("Sum","5802 Value Entry","150 Sales Amount (Expected)","41 Source Type",$C$5,"5 Source No.",$C1155,"4 Item Ledger Entry Type",$C$4,"2 Item No.","@@"&amp;$F1155,"3 Posting Date",J$9)+NL("Sum","5802 Value Entry","17 Sales Amount (Actual)","41 Source Type",$C$5,"5 Source no.",$C1155,"4 Item Ledger Entry Type",$C$4,"2 Item No.","@@"&amp;$F1155,"3 Posting Date",J$9)</t>
  </si>
  <si>
    <t>=-NL("Sum","5802 Value Entry","151 Cost Amount (Expected)","41 Source Type",$C$5,"5 Source No.",$C1155,"4 Item Ledger Entry Type",$C$4,"2 Item No.","@@"&amp;$F1155,"3 Posting Date",J$9)-NL("Sum","5802 Value Entry","43 Cost Amount (Actual)","41 Source Type",$C$5,"5 Source no.",$C1155,"4 Item Ledger Entry Type",$C$4,"2 Item No.","@@"&amp;$F1155,"3 Posting Date",J$9)</t>
  </si>
  <si>
    <t>=J1155-L1155</t>
  </si>
  <si>
    <t>=IF(J1155&lt;&gt;0,M1155/J1155,"")</t>
  </si>
  <si>
    <t>=NL("Sum","5802 Value Entry","150 Sales Amount (Expected)","41 Source Type",$C$5,"5 Source No.",$C1155,"4 Item Ledger Entry Type",$C$4,"2 Item No.","@@"&amp;$F1155,"3 Posting Date",O$9)+NL("Sum","5802 Value Entry","17 Sales Amount (Actual)","41 Source Type",$C$5,"5 Source no.",$C1155,"4 Item Ledger Entry Type",$C$4,"2 Item No.","@@"&amp;$F1155,"3 Posting Date",O$9)</t>
  </si>
  <si>
    <t>=-NL("Sum","5802 Value Entry","151 Cost Amount (Expected)","41 Source Type",$C$5,"5 Source No.",$C1155,"4 Item Ledger Entry Type",$C$4,"2 Item No.","@@"&amp;$F1155,"3 Posting Date",O$9)-NL("Sum","5802 Value Entry","43 Cost Amount (Actual)","41 Source Type",$C$5,"5 Source no.",$C1155,"4 Item Ledger Entry Type",$C$4,"2 Item No.","@@"&amp;$F1155,"3 Posting Date",O$9)</t>
  </si>
  <si>
    <t>=O1155-Q1155</t>
  </si>
  <si>
    <t>=IF(O1155&lt;&gt;0,R1155/O1155,"")</t>
  </si>
  <si>
    <t>=NL("Sum","5802 Value Entry","150 Sales Amount (Expected)","41 Source Type",$C$5,"5 Source No.",$C1155,"4 Item Ledger Entry Type",$C$4,"2 Item No.","@@"&amp;$F1155,"3 Posting Date",U$9)+NL("Sum","5802 Value Entry","17 Sales Amount (Actual)","41 Source Type",$C$5,"5 Source no.",$C1155,"4 Item Ledger Entry Type",$C$4,"2 Item No.","@@"&amp;$F1155,"3 Posting Date",U$9)</t>
  </si>
  <si>
    <t>=-NL("Sum","5802 Value Entry","151 Cost Amount (Expected)","41 Source Type",$C$5,"5 Source No.",$C1155,"4 Item Ledger Entry Type",$C$4,"2 Item No.","@@"&amp;$F1155,"3 Posting Date",U$9)-NL("Sum","5802 Value Entry","43 Cost Amount (Actual)","41 Source Type",$C$5,"5 Source no.",$C1155,"4 Item Ledger Entry Type",$C$4,"2 Item No.","@@"&amp;$F1155,"3 Posting Date",U$9)</t>
  </si>
  <si>
    <t>=U1155-W1155</t>
  </si>
  <si>
    <t>=IF(U1155&lt;&gt;0,X1155/U1155,"")</t>
  </si>
  <si>
    <t>=NL("Sum","5802 Value Entry","150 Sales Amount (Expected)","41 Source Type",$C$5,"5 Source No.",$C1155,"4 Item Ledger Entry Type",$C$4,"2 Item No.","@@"&amp;$F1155,"3 Posting Date",Z$9)+NL("Sum","5802 Value Entry","17 Sales Amount (Actual)","41 Source Type",$C$5,"5 Source no.",$C1155,"4 Item Ledger Entry Type",$C$4,"2 Item No.","@@"&amp;$F1155,"3 Posting Date",Z$9)</t>
  </si>
  <si>
    <t>=-NL("Sum","5802 Value Entry","151 Cost Amount (Expected)","41 Source Type",$C$5,"5 Source No.",$C1155,"4 Item Ledger Entry Type",$C$4,"2 Item No.","@@"&amp;$F1155,"3 Posting Date",Z$9)-NL("Sum","5802 Value Entry","43 Cost Amount (Actual)","41 Source Type",$C$5,"5 Source no.",$C1155,"4 Item Ledger Entry Type",$C$4,"2 Item No.","@@"&amp;$F1155,"3 Posting Date",Z$9)</t>
  </si>
  <si>
    <t>=Z1155-AB1155</t>
  </si>
  <si>
    <t>=IF(Z1155&lt;&gt;0,AC1155/Z1155,"")</t>
  </si>
  <si>
    <t>=C1156</t>
  </si>
  <si>
    <t>=J1157-L1157</t>
  </si>
  <si>
    <t>=IF(J1157&lt;&gt;0,M1157/J1157,"")</t>
  </si>
  <si>
    <t>=O1157-Q1157</t>
  </si>
  <si>
    <t>=IF(O1157&lt;&gt;0,R1157/O1157,"")</t>
  </si>
  <si>
    <t>=U1157-W1157</t>
  </si>
  <si>
    <t>=IF(U1157&lt;&gt;0,X1157/U1157,"")</t>
  </si>
  <si>
    <t>=Z1157-AB1157</t>
  </si>
  <si>
    <t>=IF(Z1157&lt;&gt;0,AC1157/Z1157,"")</t>
  </si>
  <si>
    <t>=C1159</t>
  </si>
  <si>
    <t>=C1160</t>
  </si>
  <si>
    <t>=NL("Sum","5802 Value Entry","150 Sales Amount (Expected)","41 Source Type",$C$5,"5 Source No.",$C1161,"4 Item Ledger Entry Type",$C$4,"2 Item No.","@@"&amp;$F1161,"3 Posting Date",J$9)+NL("Sum","5802 Value Entry","17 Sales Amount (Actual)","41 Source Type",$C$5,"5 Source no.",$C1161,"4 Item Ledger Entry Type",$C$4,"2 Item No.","@@"&amp;$F1161,"3 Posting Date",J$9)</t>
  </si>
  <si>
    <t>=-NL("Sum","5802 Value Entry","151 Cost Amount (Expected)","41 Source Type",$C$5,"5 Source No.",$C1161,"4 Item Ledger Entry Type",$C$4,"2 Item No.","@@"&amp;$F1161,"3 Posting Date",J$9)-NL("Sum","5802 Value Entry","43 Cost Amount (Actual)","41 Source Type",$C$5,"5 Source no.",$C1161,"4 Item Ledger Entry Type",$C$4,"2 Item No.","@@"&amp;$F1161,"3 Posting Date",J$9)</t>
  </si>
  <si>
    <t>=J1161-L1161</t>
  </si>
  <si>
    <t>=IF(J1161&lt;&gt;0,M1161/J1161,"")</t>
  </si>
  <si>
    <t>=NL("Sum","5802 Value Entry","150 Sales Amount (Expected)","41 Source Type",$C$5,"5 Source No.",$C1161,"4 Item Ledger Entry Type",$C$4,"2 Item No.","@@"&amp;$F1161,"3 Posting Date",O$9)+NL("Sum","5802 Value Entry","17 Sales Amount (Actual)","41 Source Type",$C$5,"5 Source no.",$C1161,"4 Item Ledger Entry Type",$C$4,"2 Item No.","@@"&amp;$F1161,"3 Posting Date",O$9)</t>
  </si>
  <si>
    <t>=-NL("Sum","5802 Value Entry","151 Cost Amount (Expected)","41 Source Type",$C$5,"5 Source No.",$C1161,"4 Item Ledger Entry Type",$C$4,"2 Item No.","@@"&amp;$F1161,"3 Posting Date",O$9)-NL("Sum","5802 Value Entry","43 Cost Amount (Actual)","41 Source Type",$C$5,"5 Source no.",$C1161,"4 Item Ledger Entry Type",$C$4,"2 Item No.","@@"&amp;$F1161,"3 Posting Date",O$9)</t>
  </si>
  <si>
    <t>=O1161-Q1161</t>
  </si>
  <si>
    <t>=IF(O1161&lt;&gt;0,R1161/O1161,"")</t>
  </si>
  <si>
    <t>=NL("Sum","5802 Value Entry","150 Sales Amount (Expected)","41 Source Type",$C$5,"5 Source No.",$C1161,"4 Item Ledger Entry Type",$C$4,"2 Item No.","@@"&amp;$F1161,"3 Posting Date",U$9)+NL("Sum","5802 Value Entry","17 Sales Amount (Actual)","41 Source Type",$C$5,"5 Source no.",$C1161,"4 Item Ledger Entry Type",$C$4,"2 Item No.","@@"&amp;$F1161,"3 Posting Date",U$9)</t>
  </si>
  <si>
    <t>=-NL("Sum","5802 Value Entry","151 Cost Amount (Expected)","41 Source Type",$C$5,"5 Source No.",$C1161,"4 Item Ledger Entry Type",$C$4,"2 Item No.","@@"&amp;$F1161,"3 Posting Date",U$9)-NL("Sum","5802 Value Entry","43 Cost Amount (Actual)","41 Source Type",$C$5,"5 Source no.",$C1161,"4 Item Ledger Entry Type",$C$4,"2 Item No.","@@"&amp;$F1161,"3 Posting Date",U$9)</t>
  </si>
  <si>
    <t>=U1161-W1161</t>
  </si>
  <si>
    <t>=IF(U1161&lt;&gt;0,X1161/U1161,"")</t>
  </si>
  <si>
    <t>=NL("Sum","5802 Value Entry","150 Sales Amount (Expected)","41 Source Type",$C$5,"5 Source No.",$C1161,"4 Item Ledger Entry Type",$C$4,"2 Item No.","@@"&amp;$F1161,"3 Posting Date",Z$9)+NL("Sum","5802 Value Entry","17 Sales Amount (Actual)","41 Source Type",$C$5,"5 Source no.",$C1161,"4 Item Ledger Entry Type",$C$4,"2 Item No.","@@"&amp;$F1161,"3 Posting Date",Z$9)</t>
  </si>
  <si>
    <t>=-NL("Sum","5802 Value Entry","151 Cost Amount (Expected)","41 Source Type",$C$5,"5 Source No.",$C1161,"4 Item Ledger Entry Type",$C$4,"2 Item No.","@@"&amp;$F1161,"3 Posting Date",Z$9)-NL("Sum","5802 Value Entry","43 Cost Amount (Actual)","41 Source Type",$C$5,"5 Source no.",$C1161,"4 Item Ledger Entry Type",$C$4,"2 Item No.","@@"&amp;$F1161,"3 Posting Date",Z$9)</t>
  </si>
  <si>
    <t>=Z1161-AB1161</t>
  </si>
  <si>
    <t>=IF(Z1161&lt;&gt;0,AC1161/Z1161,"")</t>
  </si>
  <si>
    <t>=C1161</t>
  </si>
  <si>
    <t>=C1162</t>
  </si>
  <si>
    <t>=J1163-L1163</t>
  </si>
  <si>
    <t>=IF(J1163&lt;&gt;0,M1163/J1163,"")</t>
  </si>
  <si>
    <t>=O1163-Q1163</t>
  </si>
  <si>
    <t>=IF(O1163&lt;&gt;0,R1163/O1163,"")</t>
  </si>
  <si>
    <t>=U1163-W1163</t>
  </si>
  <si>
    <t>=IF(U1163&lt;&gt;0,X1163/U1163,"")</t>
  </si>
  <si>
    <t>=Z1163-AB1163</t>
  </si>
  <si>
    <t>=IF(Z1163&lt;&gt;0,AC1163/Z1163,"")</t>
  </si>
  <si>
    <t>=C1165</t>
  </si>
  <si>
    <t>=C1166</t>
  </si>
  <si>
    <t>=NL("Sum","5802 Value Entry","150 Sales Amount (Expected)","41 Source Type",$C$5,"5 Source No.",$C1167,"4 Item Ledger Entry Type",$C$4,"2 Item No.","@@"&amp;$F1167,"3 Posting Date",J$9)+NL("Sum","5802 Value Entry","17 Sales Amount (Actual)","41 Source Type",$C$5,"5 Source no.",$C1167,"4 Item Ledger Entry Type",$C$4,"2 Item No.","@@"&amp;$F1167,"3 Posting Date",J$9)</t>
  </si>
  <si>
    <t>=-NL("Sum","5802 Value Entry","151 Cost Amount (Expected)","41 Source Type",$C$5,"5 Source No.",$C1167,"4 Item Ledger Entry Type",$C$4,"2 Item No.","@@"&amp;$F1167,"3 Posting Date",J$9)-NL("Sum","5802 Value Entry","43 Cost Amount (Actual)","41 Source Type",$C$5,"5 Source no.",$C1167,"4 Item Ledger Entry Type",$C$4,"2 Item No.","@@"&amp;$F1167,"3 Posting Date",J$9)</t>
  </si>
  <si>
    <t>=J1167-L1167</t>
  </si>
  <si>
    <t>=IF(J1167&lt;&gt;0,M1167/J1167,"")</t>
  </si>
  <si>
    <t>=NL("Sum","5802 Value Entry","150 Sales Amount (Expected)","41 Source Type",$C$5,"5 Source No.",$C1167,"4 Item Ledger Entry Type",$C$4,"2 Item No.","@@"&amp;$F1167,"3 Posting Date",O$9)+NL("Sum","5802 Value Entry","17 Sales Amount (Actual)","41 Source Type",$C$5,"5 Source no.",$C1167,"4 Item Ledger Entry Type",$C$4,"2 Item No.","@@"&amp;$F1167,"3 Posting Date",O$9)</t>
  </si>
  <si>
    <t>=-NL("Sum","5802 Value Entry","151 Cost Amount (Expected)","41 Source Type",$C$5,"5 Source No.",$C1167,"4 Item Ledger Entry Type",$C$4,"2 Item No.","@@"&amp;$F1167,"3 Posting Date",O$9)-NL("Sum","5802 Value Entry","43 Cost Amount (Actual)","41 Source Type",$C$5,"5 Source no.",$C1167,"4 Item Ledger Entry Type",$C$4,"2 Item No.","@@"&amp;$F1167,"3 Posting Date",O$9)</t>
  </si>
  <si>
    <t>=O1167-Q1167</t>
  </si>
  <si>
    <t>=IF(O1167&lt;&gt;0,R1167/O1167,"")</t>
  </si>
  <si>
    <t>=NL("Sum","5802 Value Entry","150 Sales Amount (Expected)","41 Source Type",$C$5,"5 Source No.",$C1167,"4 Item Ledger Entry Type",$C$4,"2 Item No.","@@"&amp;$F1167,"3 Posting Date",U$9)+NL("Sum","5802 Value Entry","17 Sales Amount (Actual)","41 Source Type",$C$5,"5 Source no.",$C1167,"4 Item Ledger Entry Type",$C$4,"2 Item No.","@@"&amp;$F1167,"3 Posting Date",U$9)</t>
  </si>
  <si>
    <t>=-NL("Sum","5802 Value Entry","151 Cost Amount (Expected)","41 Source Type",$C$5,"5 Source No.",$C1167,"4 Item Ledger Entry Type",$C$4,"2 Item No.","@@"&amp;$F1167,"3 Posting Date",U$9)-NL("Sum","5802 Value Entry","43 Cost Amount (Actual)","41 Source Type",$C$5,"5 Source no.",$C1167,"4 Item Ledger Entry Type",$C$4,"2 Item No.","@@"&amp;$F1167,"3 Posting Date",U$9)</t>
  </si>
  <si>
    <t>=U1167-W1167</t>
  </si>
  <si>
    <t>=IF(U1167&lt;&gt;0,X1167/U1167,"")</t>
  </si>
  <si>
    <t>=NL("Sum","5802 Value Entry","150 Sales Amount (Expected)","41 Source Type",$C$5,"5 Source No.",$C1167,"4 Item Ledger Entry Type",$C$4,"2 Item No.","@@"&amp;$F1167,"3 Posting Date",Z$9)+NL("Sum","5802 Value Entry","17 Sales Amount (Actual)","41 Source Type",$C$5,"5 Source no.",$C1167,"4 Item Ledger Entry Type",$C$4,"2 Item No.","@@"&amp;$F1167,"3 Posting Date",Z$9)</t>
  </si>
  <si>
    <t>=-NL("Sum","5802 Value Entry","151 Cost Amount (Expected)","41 Source Type",$C$5,"5 Source No.",$C1167,"4 Item Ledger Entry Type",$C$4,"2 Item No.","@@"&amp;$F1167,"3 Posting Date",Z$9)-NL("Sum","5802 Value Entry","43 Cost Amount (Actual)","41 Source Type",$C$5,"5 Source no.",$C1167,"4 Item Ledger Entry Type",$C$4,"2 Item No.","@@"&amp;$F1167,"3 Posting Date",Z$9)</t>
  </si>
  <si>
    <t>=Z1167-AB1167</t>
  </si>
  <si>
    <t>=IF(Z1167&lt;&gt;0,AC1167/Z1167,"")</t>
  </si>
  <si>
    <t>=C1167</t>
  </si>
  <si>
    <t>=NL("Sum","5802 Value Entry","150 Sales Amount (Expected)","41 Source Type",$C$5,"5 Source No.",$C1168,"4 Item Ledger Entry Type",$C$4,"2 Item No.","@@"&amp;$F1168,"3 Posting Date",J$9)+NL("Sum","5802 Value Entry","17 Sales Amount (Actual)","41 Source Type",$C$5,"5 Source no.",$C1168,"4 Item Ledger Entry Type",$C$4,"2 Item No.","@@"&amp;$F1168,"3 Posting Date",J$9)</t>
  </si>
  <si>
    <t>=-NL("Sum","5802 Value Entry","151 Cost Amount (Expected)","41 Source Type",$C$5,"5 Source No.",$C1168,"4 Item Ledger Entry Type",$C$4,"2 Item No.","@@"&amp;$F1168,"3 Posting Date",J$9)-NL("Sum","5802 Value Entry","43 Cost Amount (Actual)","41 Source Type",$C$5,"5 Source no.",$C1168,"4 Item Ledger Entry Type",$C$4,"2 Item No.","@@"&amp;$F1168,"3 Posting Date",J$9)</t>
  </si>
  <si>
    <t>=J1168-L1168</t>
  </si>
  <si>
    <t>=IF(J1168&lt;&gt;0,M1168/J1168,"")</t>
  </si>
  <si>
    <t>=NL("Sum","5802 Value Entry","150 Sales Amount (Expected)","41 Source Type",$C$5,"5 Source No.",$C1168,"4 Item Ledger Entry Type",$C$4,"2 Item No.","@@"&amp;$F1168,"3 Posting Date",O$9)+NL("Sum","5802 Value Entry","17 Sales Amount (Actual)","41 Source Type",$C$5,"5 Source no.",$C1168,"4 Item Ledger Entry Type",$C$4,"2 Item No.","@@"&amp;$F1168,"3 Posting Date",O$9)</t>
  </si>
  <si>
    <t>=-NL("Sum","5802 Value Entry","151 Cost Amount (Expected)","41 Source Type",$C$5,"5 Source No.",$C1168,"4 Item Ledger Entry Type",$C$4,"2 Item No.","@@"&amp;$F1168,"3 Posting Date",O$9)-NL("Sum","5802 Value Entry","43 Cost Amount (Actual)","41 Source Type",$C$5,"5 Source no.",$C1168,"4 Item Ledger Entry Type",$C$4,"2 Item No.","@@"&amp;$F1168,"3 Posting Date",O$9)</t>
  </si>
  <si>
    <t>=O1168-Q1168</t>
  </si>
  <si>
    <t>=IF(O1168&lt;&gt;0,R1168/O1168,"")</t>
  </si>
  <si>
    <t>=NL("Sum","5802 Value Entry","150 Sales Amount (Expected)","41 Source Type",$C$5,"5 Source No.",$C1168,"4 Item Ledger Entry Type",$C$4,"2 Item No.","@@"&amp;$F1168,"3 Posting Date",U$9)+NL("Sum","5802 Value Entry","17 Sales Amount (Actual)","41 Source Type",$C$5,"5 Source no.",$C1168,"4 Item Ledger Entry Type",$C$4,"2 Item No.","@@"&amp;$F1168,"3 Posting Date",U$9)</t>
  </si>
  <si>
    <t>=-NL("Sum","5802 Value Entry","151 Cost Amount (Expected)","41 Source Type",$C$5,"5 Source No.",$C1168,"4 Item Ledger Entry Type",$C$4,"2 Item No.","@@"&amp;$F1168,"3 Posting Date",U$9)-NL("Sum","5802 Value Entry","43 Cost Amount (Actual)","41 Source Type",$C$5,"5 Source no.",$C1168,"4 Item Ledger Entry Type",$C$4,"2 Item No.","@@"&amp;$F1168,"3 Posting Date",U$9)</t>
  </si>
  <si>
    <t>=U1168-W1168</t>
  </si>
  <si>
    <t>=IF(U1168&lt;&gt;0,X1168/U1168,"")</t>
  </si>
  <si>
    <t>=NL("Sum","5802 Value Entry","150 Sales Amount (Expected)","41 Source Type",$C$5,"5 Source No.",$C1168,"4 Item Ledger Entry Type",$C$4,"2 Item No.","@@"&amp;$F1168,"3 Posting Date",Z$9)+NL("Sum","5802 Value Entry","17 Sales Amount (Actual)","41 Source Type",$C$5,"5 Source no.",$C1168,"4 Item Ledger Entry Type",$C$4,"2 Item No.","@@"&amp;$F1168,"3 Posting Date",Z$9)</t>
  </si>
  <si>
    <t>=-NL("Sum","5802 Value Entry","151 Cost Amount (Expected)","41 Source Type",$C$5,"5 Source No.",$C1168,"4 Item Ledger Entry Type",$C$4,"2 Item No.","@@"&amp;$F1168,"3 Posting Date",Z$9)-NL("Sum","5802 Value Entry","43 Cost Amount (Actual)","41 Source Type",$C$5,"5 Source no.",$C1168,"4 Item Ledger Entry Type",$C$4,"2 Item No.","@@"&amp;$F1168,"3 Posting Date",Z$9)</t>
  </si>
  <si>
    <t>=Z1168-AB1168</t>
  </si>
  <si>
    <t>=IF(Z1168&lt;&gt;0,AC1168/Z1168,"")</t>
  </si>
  <si>
    <t>=C1168</t>
  </si>
  <si>
    <t>=NL("Sum","5802 Value Entry","150 Sales Amount (Expected)","41 Source Type",$C$5,"5 Source No.",$C1169,"4 Item Ledger Entry Type",$C$4,"2 Item No.","@@"&amp;$F1169,"3 Posting Date",J$9)+NL("Sum","5802 Value Entry","17 Sales Amount (Actual)","41 Source Type",$C$5,"5 Source no.",$C1169,"4 Item Ledger Entry Type",$C$4,"2 Item No.","@@"&amp;$F1169,"3 Posting Date",J$9)</t>
  </si>
  <si>
    <t>=-NL("Sum","5802 Value Entry","151 Cost Amount (Expected)","41 Source Type",$C$5,"5 Source No.",$C1169,"4 Item Ledger Entry Type",$C$4,"2 Item No.","@@"&amp;$F1169,"3 Posting Date",J$9)-NL("Sum","5802 Value Entry","43 Cost Amount (Actual)","41 Source Type",$C$5,"5 Source no.",$C1169,"4 Item Ledger Entry Type",$C$4,"2 Item No.","@@"&amp;$F1169,"3 Posting Date",J$9)</t>
  </si>
  <si>
    <t>=J1169-L1169</t>
  </si>
  <si>
    <t>=IF(J1169&lt;&gt;0,M1169/J1169,"")</t>
  </si>
  <si>
    <t>=NL("Sum","5802 Value Entry","150 Sales Amount (Expected)","41 Source Type",$C$5,"5 Source No.",$C1169,"4 Item Ledger Entry Type",$C$4,"2 Item No.","@@"&amp;$F1169,"3 Posting Date",O$9)+NL("Sum","5802 Value Entry","17 Sales Amount (Actual)","41 Source Type",$C$5,"5 Source no.",$C1169,"4 Item Ledger Entry Type",$C$4,"2 Item No.","@@"&amp;$F1169,"3 Posting Date",O$9)</t>
  </si>
  <si>
    <t>=-NL("Sum","5802 Value Entry","151 Cost Amount (Expected)","41 Source Type",$C$5,"5 Source No.",$C1169,"4 Item Ledger Entry Type",$C$4,"2 Item No.","@@"&amp;$F1169,"3 Posting Date",O$9)-NL("Sum","5802 Value Entry","43 Cost Amount (Actual)","41 Source Type",$C$5,"5 Source no.",$C1169,"4 Item Ledger Entry Type",$C$4,"2 Item No.","@@"&amp;$F1169,"3 Posting Date",O$9)</t>
  </si>
  <si>
    <t>=O1169-Q1169</t>
  </si>
  <si>
    <t>=IF(O1169&lt;&gt;0,R1169/O1169,"")</t>
  </si>
  <si>
    <t>=NL("Sum","5802 Value Entry","150 Sales Amount (Expected)","41 Source Type",$C$5,"5 Source No.",$C1169,"4 Item Ledger Entry Type",$C$4,"2 Item No.","@@"&amp;$F1169,"3 Posting Date",U$9)+NL("Sum","5802 Value Entry","17 Sales Amount (Actual)","41 Source Type",$C$5,"5 Source no.",$C1169,"4 Item Ledger Entry Type",$C$4,"2 Item No.","@@"&amp;$F1169,"3 Posting Date",U$9)</t>
  </si>
  <si>
    <t>=-NL("Sum","5802 Value Entry","151 Cost Amount (Expected)","41 Source Type",$C$5,"5 Source No.",$C1169,"4 Item Ledger Entry Type",$C$4,"2 Item No.","@@"&amp;$F1169,"3 Posting Date",U$9)-NL("Sum","5802 Value Entry","43 Cost Amount (Actual)","41 Source Type",$C$5,"5 Source no.",$C1169,"4 Item Ledger Entry Type",$C$4,"2 Item No.","@@"&amp;$F1169,"3 Posting Date",U$9)</t>
  </si>
  <si>
    <t>=U1169-W1169</t>
  </si>
  <si>
    <t>=IF(U1169&lt;&gt;0,X1169/U1169,"")</t>
  </si>
  <si>
    <t>=NL("Sum","5802 Value Entry","150 Sales Amount (Expected)","41 Source Type",$C$5,"5 Source No.",$C1169,"4 Item Ledger Entry Type",$C$4,"2 Item No.","@@"&amp;$F1169,"3 Posting Date",Z$9)+NL("Sum","5802 Value Entry","17 Sales Amount (Actual)","41 Source Type",$C$5,"5 Source no.",$C1169,"4 Item Ledger Entry Type",$C$4,"2 Item No.","@@"&amp;$F1169,"3 Posting Date",Z$9)</t>
  </si>
  <si>
    <t>=-NL("Sum","5802 Value Entry","151 Cost Amount (Expected)","41 Source Type",$C$5,"5 Source No.",$C1169,"4 Item Ledger Entry Type",$C$4,"2 Item No.","@@"&amp;$F1169,"3 Posting Date",Z$9)-NL("Sum","5802 Value Entry","43 Cost Amount (Actual)","41 Source Type",$C$5,"5 Source no.",$C1169,"4 Item Ledger Entry Type",$C$4,"2 Item No.","@@"&amp;$F1169,"3 Posting Date",Z$9)</t>
  </si>
  <si>
    <t>=Z1169-AB1169</t>
  </si>
  <si>
    <t>=IF(Z1169&lt;&gt;0,AC1169/Z1169,"")</t>
  </si>
  <si>
    <t>=C1169</t>
  </si>
  <si>
    <t>=NL("Sum","5802 Value Entry","150 Sales Amount (Expected)","41 Source Type",$C$5,"5 Source No.",$C1170,"4 Item Ledger Entry Type",$C$4,"2 Item No.","@@"&amp;$F1170,"3 Posting Date",J$9)+NL("Sum","5802 Value Entry","17 Sales Amount (Actual)","41 Source Type",$C$5,"5 Source no.",$C1170,"4 Item Ledger Entry Type",$C$4,"2 Item No.","@@"&amp;$F1170,"3 Posting Date",J$9)</t>
  </si>
  <si>
    <t>=-NL("Sum","5802 Value Entry","151 Cost Amount (Expected)","41 Source Type",$C$5,"5 Source No.",$C1170,"4 Item Ledger Entry Type",$C$4,"2 Item No.","@@"&amp;$F1170,"3 Posting Date",J$9)-NL("Sum","5802 Value Entry","43 Cost Amount (Actual)","41 Source Type",$C$5,"5 Source no.",$C1170,"4 Item Ledger Entry Type",$C$4,"2 Item No.","@@"&amp;$F1170,"3 Posting Date",J$9)</t>
  </si>
  <si>
    <t>=J1170-L1170</t>
  </si>
  <si>
    <t>=IF(J1170&lt;&gt;0,M1170/J1170,"")</t>
  </si>
  <si>
    <t>=NL("Sum","5802 Value Entry","150 Sales Amount (Expected)","41 Source Type",$C$5,"5 Source No.",$C1170,"4 Item Ledger Entry Type",$C$4,"2 Item No.","@@"&amp;$F1170,"3 Posting Date",O$9)+NL("Sum","5802 Value Entry","17 Sales Amount (Actual)","41 Source Type",$C$5,"5 Source no.",$C1170,"4 Item Ledger Entry Type",$C$4,"2 Item No.","@@"&amp;$F1170,"3 Posting Date",O$9)</t>
  </si>
  <si>
    <t>=-NL("Sum","5802 Value Entry","151 Cost Amount (Expected)","41 Source Type",$C$5,"5 Source No.",$C1170,"4 Item Ledger Entry Type",$C$4,"2 Item No.","@@"&amp;$F1170,"3 Posting Date",O$9)-NL("Sum","5802 Value Entry","43 Cost Amount (Actual)","41 Source Type",$C$5,"5 Source no.",$C1170,"4 Item Ledger Entry Type",$C$4,"2 Item No.","@@"&amp;$F1170,"3 Posting Date",O$9)</t>
  </si>
  <si>
    <t>=O1170-Q1170</t>
  </si>
  <si>
    <t>=IF(O1170&lt;&gt;0,R1170/O1170,"")</t>
  </si>
  <si>
    <t>=NL("Sum","5802 Value Entry","150 Sales Amount (Expected)","41 Source Type",$C$5,"5 Source No.",$C1170,"4 Item Ledger Entry Type",$C$4,"2 Item No.","@@"&amp;$F1170,"3 Posting Date",U$9)+NL("Sum","5802 Value Entry","17 Sales Amount (Actual)","41 Source Type",$C$5,"5 Source no.",$C1170,"4 Item Ledger Entry Type",$C$4,"2 Item No.","@@"&amp;$F1170,"3 Posting Date",U$9)</t>
  </si>
  <si>
    <t>=-NL("Sum","5802 Value Entry","151 Cost Amount (Expected)","41 Source Type",$C$5,"5 Source No.",$C1170,"4 Item Ledger Entry Type",$C$4,"2 Item No.","@@"&amp;$F1170,"3 Posting Date",U$9)-NL("Sum","5802 Value Entry","43 Cost Amount (Actual)","41 Source Type",$C$5,"5 Source no.",$C1170,"4 Item Ledger Entry Type",$C$4,"2 Item No.","@@"&amp;$F1170,"3 Posting Date",U$9)</t>
  </si>
  <si>
    <t>=U1170-W1170</t>
  </si>
  <si>
    <t>=IF(U1170&lt;&gt;0,X1170/U1170,"")</t>
  </si>
  <si>
    <t>=NL("Sum","5802 Value Entry","150 Sales Amount (Expected)","41 Source Type",$C$5,"5 Source No.",$C1170,"4 Item Ledger Entry Type",$C$4,"2 Item No.","@@"&amp;$F1170,"3 Posting Date",Z$9)+NL("Sum","5802 Value Entry","17 Sales Amount (Actual)","41 Source Type",$C$5,"5 Source no.",$C1170,"4 Item Ledger Entry Type",$C$4,"2 Item No.","@@"&amp;$F1170,"3 Posting Date",Z$9)</t>
  </si>
  <si>
    <t>=-NL("Sum","5802 Value Entry","151 Cost Amount (Expected)","41 Source Type",$C$5,"5 Source No.",$C1170,"4 Item Ledger Entry Type",$C$4,"2 Item No.","@@"&amp;$F1170,"3 Posting Date",Z$9)-NL("Sum","5802 Value Entry","43 Cost Amount (Actual)","41 Source Type",$C$5,"5 Source no.",$C1170,"4 Item Ledger Entry Type",$C$4,"2 Item No.","@@"&amp;$F1170,"3 Posting Date",Z$9)</t>
  </si>
  <si>
    <t>=Z1170-AB1170</t>
  </si>
  <si>
    <t>=IF(Z1170&lt;&gt;0,AC1170/Z1170,"")</t>
  </si>
  <si>
    <t>=C1170</t>
  </si>
  <si>
    <t>=NL("Sum","5802 Value Entry","150 Sales Amount (Expected)","41 Source Type",$C$5,"5 Source No.",$C1171,"4 Item Ledger Entry Type",$C$4,"2 Item No.","@@"&amp;$F1171,"3 Posting Date",J$9)+NL("Sum","5802 Value Entry","17 Sales Amount (Actual)","41 Source Type",$C$5,"5 Source no.",$C1171,"4 Item Ledger Entry Type",$C$4,"2 Item No.","@@"&amp;$F1171,"3 Posting Date",J$9)</t>
  </si>
  <si>
    <t>=-NL("Sum","5802 Value Entry","151 Cost Amount (Expected)","41 Source Type",$C$5,"5 Source No.",$C1171,"4 Item Ledger Entry Type",$C$4,"2 Item No.","@@"&amp;$F1171,"3 Posting Date",J$9)-NL("Sum","5802 Value Entry","43 Cost Amount (Actual)","41 Source Type",$C$5,"5 Source no.",$C1171,"4 Item Ledger Entry Type",$C$4,"2 Item No.","@@"&amp;$F1171,"3 Posting Date",J$9)</t>
  </si>
  <si>
    <t>=J1171-L1171</t>
  </si>
  <si>
    <t>=IF(J1171&lt;&gt;0,M1171/J1171,"")</t>
  </si>
  <si>
    <t>=NL("Sum","5802 Value Entry","150 Sales Amount (Expected)","41 Source Type",$C$5,"5 Source No.",$C1171,"4 Item Ledger Entry Type",$C$4,"2 Item No.","@@"&amp;$F1171,"3 Posting Date",O$9)+NL("Sum","5802 Value Entry","17 Sales Amount (Actual)","41 Source Type",$C$5,"5 Source no.",$C1171,"4 Item Ledger Entry Type",$C$4,"2 Item No.","@@"&amp;$F1171,"3 Posting Date",O$9)</t>
  </si>
  <si>
    <t>=-NL("Sum","5802 Value Entry","151 Cost Amount (Expected)","41 Source Type",$C$5,"5 Source No.",$C1171,"4 Item Ledger Entry Type",$C$4,"2 Item No.","@@"&amp;$F1171,"3 Posting Date",O$9)-NL("Sum","5802 Value Entry","43 Cost Amount (Actual)","41 Source Type",$C$5,"5 Source no.",$C1171,"4 Item Ledger Entry Type",$C$4,"2 Item No.","@@"&amp;$F1171,"3 Posting Date",O$9)</t>
  </si>
  <si>
    <t>=O1171-Q1171</t>
  </si>
  <si>
    <t>=IF(O1171&lt;&gt;0,R1171/O1171,"")</t>
  </si>
  <si>
    <t>=NL("Sum","5802 Value Entry","150 Sales Amount (Expected)","41 Source Type",$C$5,"5 Source No.",$C1171,"4 Item Ledger Entry Type",$C$4,"2 Item No.","@@"&amp;$F1171,"3 Posting Date",U$9)+NL("Sum","5802 Value Entry","17 Sales Amount (Actual)","41 Source Type",$C$5,"5 Source no.",$C1171,"4 Item Ledger Entry Type",$C$4,"2 Item No.","@@"&amp;$F1171,"3 Posting Date",U$9)</t>
  </si>
  <si>
    <t>=-NL("Sum","5802 Value Entry","151 Cost Amount (Expected)","41 Source Type",$C$5,"5 Source No.",$C1171,"4 Item Ledger Entry Type",$C$4,"2 Item No.","@@"&amp;$F1171,"3 Posting Date",U$9)-NL("Sum","5802 Value Entry","43 Cost Amount (Actual)","41 Source Type",$C$5,"5 Source no.",$C1171,"4 Item Ledger Entry Type",$C$4,"2 Item No.","@@"&amp;$F1171,"3 Posting Date",U$9)</t>
  </si>
  <si>
    <t>=U1171-W1171</t>
  </si>
  <si>
    <t>=IF(U1171&lt;&gt;0,X1171/U1171,"")</t>
  </si>
  <si>
    <t>=NL("Sum","5802 Value Entry","150 Sales Amount (Expected)","41 Source Type",$C$5,"5 Source No.",$C1171,"4 Item Ledger Entry Type",$C$4,"2 Item No.","@@"&amp;$F1171,"3 Posting Date",Z$9)+NL("Sum","5802 Value Entry","17 Sales Amount (Actual)","41 Source Type",$C$5,"5 Source no.",$C1171,"4 Item Ledger Entry Type",$C$4,"2 Item No.","@@"&amp;$F1171,"3 Posting Date",Z$9)</t>
  </si>
  <si>
    <t>=-NL("Sum","5802 Value Entry","151 Cost Amount (Expected)","41 Source Type",$C$5,"5 Source No.",$C1171,"4 Item Ledger Entry Type",$C$4,"2 Item No.","@@"&amp;$F1171,"3 Posting Date",Z$9)-NL("Sum","5802 Value Entry","43 Cost Amount (Actual)","41 Source Type",$C$5,"5 Source no.",$C1171,"4 Item Ledger Entry Type",$C$4,"2 Item No.","@@"&amp;$F1171,"3 Posting Date",Z$9)</t>
  </si>
  <si>
    <t>=Z1171-AB1171</t>
  </si>
  <si>
    <t>=IF(Z1171&lt;&gt;0,AC1171/Z1171,"")</t>
  </si>
  <si>
    <t>=C1171</t>
  </si>
  <si>
    <t>=NL("Sum","5802 Value Entry","150 Sales Amount (Expected)","41 Source Type",$C$5,"5 Source No.",$C1172,"4 Item Ledger Entry Type",$C$4,"2 Item No.","@@"&amp;$F1172,"3 Posting Date",J$9)+NL("Sum","5802 Value Entry","17 Sales Amount (Actual)","41 Source Type",$C$5,"5 Source no.",$C1172,"4 Item Ledger Entry Type",$C$4,"2 Item No.","@@"&amp;$F1172,"3 Posting Date",J$9)</t>
  </si>
  <si>
    <t>=-NL("Sum","5802 Value Entry","151 Cost Amount (Expected)","41 Source Type",$C$5,"5 Source No.",$C1172,"4 Item Ledger Entry Type",$C$4,"2 Item No.","@@"&amp;$F1172,"3 Posting Date",J$9)-NL("Sum","5802 Value Entry","43 Cost Amount (Actual)","41 Source Type",$C$5,"5 Source no.",$C1172,"4 Item Ledger Entry Type",$C$4,"2 Item No.","@@"&amp;$F1172,"3 Posting Date",J$9)</t>
  </si>
  <si>
    <t>=J1172-L1172</t>
  </si>
  <si>
    <t>=IF(J1172&lt;&gt;0,M1172/J1172,"")</t>
  </si>
  <si>
    <t>=NL("Sum","5802 Value Entry","150 Sales Amount (Expected)","41 Source Type",$C$5,"5 Source No.",$C1172,"4 Item Ledger Entry Type",$C$4,"2 Item No.","@@"&amp;$F1172,"3 Posting Date",O$9)+NL("Sum","5802 Value Entry","17 Sales Amount (Actual)","41 Source Type",$C$5,"5 Source no.",$C1172,"4 Item Ledger Entry Type",$C$4,"2 Item No.","@@"&amp;$F1172,"3 Posting Date",O$9)</t>
  </si>
  <si>
    <t>=-NL("Sum","5802 Value Entry","151 Cost Amount (Expected)","41 Source Type",$C$5,"5 Source No.",$C1172,"4 Item Ledger Entry Type",$C$4,"2 Item No.","@@"&amp;$F1172,"3 Posting Date",O$9)-NL("Sum","5802 Value Entry","43 Cost Amount (Actual)","41 Source Type",$C$5,"5 Source no.",$C1172,"4 Item Ledger Entry Type",$C$4,"2 Item No.","@@"&amp;$F1172,"3 Posting Date",O$9)</t>
  </si>
  <si>
    <t>=O1172-Q1172</t>
  </si>
  <si>
    <t>=IF(O1172&lt;&gt;0,R1172/O1172,"")</t>
  </si>
  <si>
    <t>=NL("Sum","5802 Value Entry","150 Sales Amount (Expected)","41 Source Type",$C$5,"5 Source No.",$C1172,"4 Item Ledger Entry Type",$C$4,"2 Item No.","@@"&amp;$F1172,"3 Posting Date",U$9)+NL("Sum","5802 Value Entry","17 Sales Amount (Actual)","41 Source Type",$C$5,"5 Source no.",$C1172,"4 Item Ledger Entry Type",$C$4,"2 Item No.","@@"&amp;$F1172,"3 Posting Date",U$9)</t>
  </si>
  <si>
    <t>=-NL("Sum","5802 Value Entry","151 Cost Amount (Expected)","41 Source Type",$C$5,"5 Source No.",$C1172,"4 Item Ledger Entry Type",$C$4,"2 Item No.","@@"&amp;$F1172,"3 Posting Date",U$9)-NL("Sum","5802 Value Entry","43 Cost Amount (Actual)","41 Source Type",$C$5,"5 Source no.",$C1172,"4 Item Ledger Entry Type",$C$4,"2 Item No.","@@"&amp;$F1172,"3 Posting Date",U$9)</t>
  </si>
  <si>
    <t>=U1172-W1172</t>
  </si>
  <si>
    <t>=IF(U1172&lt;&gt;0,X1172/U1172,"")</t>
  </si>
  <si>
    <t>=NL("Sum","5802 Value Entry","150 Sales Amount (Expected)","41 Source Type",$C$5,"5 Source No.",$C1172,"4 Item Ledger Entry Type",$C$4,"2 Item No.","@@"&amp;$F1172,"3 Posting Date",Z$9)+NL("Sum","5802 Value Entry","17 Sales Amount (Actual)","41 Source Type",$C$5,"5 Source no.",$C1172,"4 Item Ledger Entry Type",$C$4,"2 Item No.","@@"&amp;$F1172,"3 Posting Date",Z$9)</t>
  </si>
  <si>
    <t>=-NL("Sum","5802 Value Entry","151 Cost Amount (Expected)","41 Source Type",$C$5,"5 Source No.",$C1172,"4 Item Ledger Entry Type",$C$4,"2 Item No.","@@"&amp;$F1172,"3 Posting Date",Z$9)-NL("Sum","5802 Value Entry","43 Cost Amount (Actual)","41 Source Type",$C$5,"5 Source no.",$C1172,"4 Item Ledger Entry Type",$C$4,"2 Item No.","@@"&amp;$F1172,"3 Posting Date",Z$9)</t>
  </si>
  <si>
    <t>=Z1172-AB1172</t>
  </si>
  <si>
    <t>=IF(Z1172&lt;&gt;0,AC1172/Z1172,"")</t>
  </si>
  <si>
    <t>=C1172</t>
  </si>
  <si>
    <t>=NL("Sum","5802 Value Entry","150 Sales Amount (Expected)","41 Source Type",$C$5,"5 Source No.",$C1173,"4 Item Ledger Entry Type",$C$4,"2 Item No.","@@"&amp;$F1173,"3 Posting Date",J$9)+NL("Sum","5802 Value Entry","17 Sales Amount (Actual)","41 Source Type",$C$5,"5 Source no.",$C1173,"4 Item Ledger Entry Type",$C$4,"2 Item No.","@@"&amp;$F1173,"3 Posting Date",J$9)</t>
  </si>
  <si>
    <t>=-NL("Sum","5802 Value Entry","151 Cost Amount (Expected)","41 Source Type",$C$5,"5 Source No.",$C1173,"4 Item Ledger Entry Type",$C$4,"2 Item No.","@@"&amp;$F1173,"3 Posting Date",J$9)-NL("Sum","5802 Value Entry","43 Cost Amount (Actual)","41 Source Type",$C$5,"5 Source no.",$C1173,"4 Item Ledger Entry Type",$C$4,"2 Item No.","@@"&amp;$F1173,"3 Posting Date",J$9)</t>
  </si>
  <si>
    <t>=J1173-L1173</t>
  </si>
  <si>
    <t>=IF(J1173&lt;&gt;0,M1173/J1173,"")</t>
  </si>
  <si>
    <t>=NL("Sum","5802 Value Entry","150 Sales Amount (Expected)","41 Source Type",$C$5,"5 Source No.",$C1173,"4 Item Ledger Entry Type",$C$4,"2 Item No.","@@"&amp;$F1173,"3 Posting Date",O$9)+NL("Sum","5802 Value Entry","17 Sales Amount (Actual)","41 Source Type",$C$5,"5 Source no.",$C1173,"4 Item Ledger Entry Type",$C$4,"2 Item No.","@@"&amp;$F1173,"3 Posting Date",O$9)</t>
  </si>
  <si>
    <t>=-NL("Sum","5802 Value Entry","151 Cost Amount (Expected)","41 Source Type",$C$5,"5 Source No.",$C1173,"4 Item Ledger Entry Type",$C$4,"2 Item No.","@@"&amp;$F1173,"3 Posting Date",O$9)-NL("Sum","5802 Value Entry","43 Cost Amount (Actual)","41 Source Type",$C$5,"5 Source no.",$C1173,"4 Item Ledger Entry Type",$C$4,"2 Item No.","@@"&amp;$F1173,"3 Posting Date",O$9)</t>
  </si>
  <si>
    <t>=O1173-Q1173</t>
  </si>
  <si>
    <t>=IF(O1173&lt;&gt;0,R1173/O1173,"")</t>
  </si>
  <si>
    <t>=NL("Sum","5802 Value Entry","150 Sales Amount (Expected)","41 Source Type",$C$5,"5 Source No.",$C1173,"4 Item Ledger Entry Type",$C$4,"2 Item No.","@@"&amp;$F1173,"3 Posting Date",U$9)+NL("Sum","5802 Value Entry","17 Sales Amount (Actual)","41 Source Type",$C$5,"5 Source no.",$C1173,"4 Item Ledger Entry Type",$C$4,"2 Item No.","@@"&amp;$F1173,"3 Posting Date",U$9)</t>
  </si>
  <si>
    <t>=-NL("Sum","5802 Value Entry","151 Cost Amount (Expected)","41 Source Type",$C$5,"5 Source No.",$C1173,"4 Item Ledger Entry Type",$C$4,"2 Item No.","@@"&amp;$F1173,"3 Posting Date",U$9)-NL("Sum","5802 Value Entry","43 Cost Amount (Actual)","41 Source Type",$C$5,"5 Source no.",$C1173,"4 Item Ledger Entry Type",$C$4,"2 Item No.","@@"&amp;$F1173,"3 Posting Date",U$9)</t>
  </si>
  <si>
    <t>=U1173-W1173</t>
  </si>
  <si>
    <t>=IF(U1173&lt;&gt;0,X1173/U1173,"")</t>
  </si>
  <si>
    <t>=NL("Sum","5802 Value Entry","150 Sales Amount (Expected)","41 Source Type",$C$5,"5 Source No.",$C1173,"4 Item Ledger Entry Type",$C$4,"2 Item No.","@@"&amp;$F1173,"3 Posting Date",Z$9)+NL("Sum","5802 Value Entry","17 Sales Amount (Actual)","41 Source Type",$C$5,"5 Source no.",$C1173,"4 Item Ledger Entry Type",$C$4,"2 Item No.","@@"&amp;$F1173,"3 Posting Date",Z$9)</t>
  </si>
  <si>
    <t>=-NL("Sum","5802 Value Entry","151 Cost Amount (Expected)","41 Source Type",$C$5,"5 Source No.",$C1173,"4 Item Ledger Entry Type",$C$4,"2 Item No.","@@"&amp;$F1173,"3 Posting Date",Z$9)-NL("Sum","5802 Value Entry","43 Cost Amount (Actual)","41 Source Type",$C$5,"5 Source no.",$C1173,"4 Item Ledger Entry Type",$C$4,"2 Item No.","@@"&amp;$F1173,"3 Posting Date",Z$9)</t>
  </si>
  <si>
    <t>=Z1173-AB1173</t>
  </si>
  <si>
    <t>=IF(Z1173&lt;&gt;0,AC1173/Z1173,"")</t>
  </si>
  <si>
    <t>=C1173</t>
  </si>
  <si>
    <t>=NL("Sum","5802 Value Entry","150 Sales Amount (Expected)","41 Source Type",$C$5,"5 Source No.",$C1174,"4 Item Ledger Entry Type",$C$4,"2 Item No.","@@"&amp;$F1174,"3 Posting Date",J$9)+NL("Sum","5802 Value Entry","17 Sales Amount (Actual)","41 Source Type",$C$5,"5 Source no.",$C1174,"4 Item Ledger Entry Type",$C$4,"2 Item No.","@@"&amp;$F1174,"3 Posting Date",J$9)</t>
  </si>
  <si>
    <t>=-NL("Sum","5802 Value Entry","151 Cost Amount (Expected)","41 Source Type",$C$5,"5 Source No.",$C1174,"4 Item Ledger Entry Type",$C$4,"2 Item No.","@@"&amp;$F1174,"3 Posting Date",J$9)-NL("Sum","5802 Value Entry","43 Cost Amount (Actual)","41 Source Type",$C$5,"5 Source no.",$C1174,"4 Item Ledger Entry Type",$C$4,"2 Item No.","@@"&amp;$F1174,"3 Posting Date",J$9)</t>
  </si>
  <si>
    <t>=J1174-L1174</t>
  </si>
  <si>
    <t>=IF(J1174&lt;&gt;0,M1174/J1174,"")</t>
  </si>
  <si>
    <t>=NL("Sum","5802 Value Entry","150 Sales Amount (Expected)","41 Source Type",$C$5,"5 Source No.",$C1174,"4 Item Ledger Entry Type",$C$4,"2 Item No.","@@"&amp;$F1174,"3 Posting Date",O$9)+NL("Sum","5802 Value Entry","17 Sales Amount (Actual)","41 Source Type",$C$5,"5 Source no.",$C1174,"4 Item Ledger Entry Type",$C$4,"2 Item No.","@@"&amp;$F1174,"3 Posting Date",O$9)</t>
  </si>
  <si>
    <t>=-NL("Sum","5802 Value Entry","151 Cost Amount (Expected)","41 Source Type",$C$5,"5 Source No.",$C1174,"4 Item Ledger Entry Type",$C$4,"2 Item No.","@@"&amp;$F1174,"3 Posting Date",O$9)-NL("Sum","5802 Value Entry","43 Cost Amount (Actual)","41 Source Type",$C$5,"5 Source no.",$C1174,"4 Item Ledger Entry Type",$C$4,"2 Item No.","@@"&amp;$F1174,"3 Posting Date",O$9)</t>
  </si>
  <si>
    <t>=O1174-Q1174</t>
  </si>
  <si>
    <t>=IF(O1174&lt;&gt;0,R1174/O1174,"")</t>
  </si>
  <si>
    <t>=NL("Sum","5802 Value Entry","150 Sales Amount (Expected)","41 Source Type",$C$5,"5 Source No.",$C1174,"4 Item Ledger Entry Type",$C$4,"2 Item No.","@@"&amp;$F1174,"3 Posting Date",U$9)+NL("Sum","5802 Value Entry","17 Sales Amount (Actual)","41 Source Type",$C$5,"5 Source no.",$C1174,"4 Item Ledger Entry Type",$C$4,"2 Item No.","@@"&amp;$F1174,"3 Posting Date",U$9)</t>
  </si>
  <si>
    <t>=-NL("Sum","5802 Value Entry","151 Cost Amount (Expected)","41 Source Type",$C$5,"5 Source No.",$C1174,"4 Item Ledger Entry Type",$C$4,"2 Item No.","@@"&amp;$F1174,"3 Posting Date",U$9)-NL("Sum","5802 Value Entry","43 Cost Amount (Actual)","41 Source Type",$C$5,"5 Source no.",$C1174,"4 Item Ledger Entry Type",$C$4,"2 Item No.","@@"&amp;$F1174,"3 Posting Date",U$9)</t>
  </si>
  <si>
    <t>=U1174-W1174</t>
  </si>
  <si>
    <t>=IF(U1174&lt;&gt;0,X1174/U1174,"")</t>
  </si>
  <si>
    <t>=NL("Sum","5802 Value Entry","150 Sales Amount (Expected)","41 Source Type",$C$5,"5 Source No.",$C1174,"4 Item Ledger Entry Type",$C$4,"2 Item No.","@@"&amp;$F1174,"3 Posting Date",Z$9)+NL("Sum","5802 Value Entry","17 Sales Amount (Actual)","41 Source Type",$C$5,"5 Source no.",$C1174,"4 Item Ledger Entry Type",$C$4,"2 Item No.","@@"&amp;$F1174,"3 Posting Date",Z$9)</t>
  </si>
  <si>
    <t>=-NL("Sum","5802 Value Entry","151 Cost Amount (Expected)","41 Source Type",$C$5,"5 Source No.",$C1174,"4 Item Ledger Entry Type",$C$4,"2 Item No.","@@"&amp;$F1174,"3 Posting Date",Z$9)-NL("Sum","5802 Value Entry","43 Cost Amount (Actual)","41 Source Type",$C$5,"5 Source no.",$C1174,"4 Item Ledger Entry Type",$C$4,"2 Item No.","@@"&amp;$F1174,"3 Posting Date",Z$9)</t>
  </si>
  <si>
    <t>=Z1174-AB1174</t>
  </si>
  <si>
    <t>=IF(Z1174&lt;&gt;0,AC1174/Z1174,"")</t>
  </si>
  <si>
    <t>=C1174</t>
  </si>
  <si>
    <t>=NL("Sum","5802 Value Entry","150 Sales Amount (Expected)","41 Source Type",$C$5,"5 Source No.",$C1175,"4 Item Ledger Entry Type",$C$4,"2 Item No.","@@"&amp;$F1175,"3 Posting Date",J$9)+NL("Sum","5802 Value Entry","17 Sales Amount (Actual)","41 Source Type",$C$5,"5 Source no.",$C1175,"4 Item Ledger Entry Type",$C$4,"2 Item No.","@@"&amp;$F1175,"3 Posting Date",J$9)</t>
  </si>
  <si>
    <t>=-NL("Sum","5802 Value Entry","151 Cost Amount (Expected)","41 Source Type",$C$5,"5 Source No.",$C1175,"4 Item Ledger Entry Type",$C$4,"2 Item No.","@@"&amp;$F1175,"3 Posting Date",J$9)-NL("Sum","5802 Value Entry","43 Cost Amount (Actual)","41 Source Type",$C$5,"5 Source no.",$C1175,"4 Item Ledger Entry Type",$C$4,"2 Item No.","@@"&amp;$F1175,"3 Posting Date",J$9)</t>
  </si>
  <si>
    <t>=J1175-L1175</t>
  </si>
  <si>
    <t>=IF(J1175&lt;&gt;0,M1175/J1175,"")</t>
  </si>
  <si>
    <t>=NL("Sum","5802 Value Entry","150 Sales Amount (Expected)","41 Source Type",$C$5,"5 Source No.",$C1175,"4 Item Ledger Entry Type",$C$4,"2 Item No.","@@"&amp;$F1175,"3 Posting Date",O$9)+NL("Sum","5802 Value Entry","17 Sales Amount (Actual)","41 Source Type",$C$5,"5 Source no.",$C1175,"4 Item Ledger Entry Type",$C$4,"2 Item No.","@@"&amp;$F1175,"3 Posting Date",O$9)</t>
  </si>
  <si>
    <t>=-NL("Sum","5802 Value Entry","151 Cost Amount (Expected)","41 Source Type",$C$5,"5 Source No.",$C1175,"4 Item Ledger Entry Type",$C$4,"2 Item No.","@@"&amp;$F1175,"3 Posting Date",O$9)-NL("Sum","5802 Value Entry","43 Cost Amount (Actual)","41 Source Type",$C$5,"5 Source no.",$C1175,"4 Item Ledger Entry Type",$C$4,"2 Item No.","@@"&amp;$F1175,"3 Posting Date",O$9)</t>
  </si>
  <si>
    <t>=O1175-Q1175</t>
  </si>
  <si>
    <t>=IF(O1175&lt;&gt;0,R1175/O1175,"")</t>
  </si>
  <si>
    <t>=NL("Sum","5802 Value Entry","150 Sales Amount (Expected)","41 Source Type",$C$5,"5 Source No.",$C1175,"4 Item Ledger Entry Type",$C$4,"2 Item No.","@@"&amp;$F1175,"3 Posting Date",U$9)+NL("Sum","5802 Value Entry","17 Sales Amount (Actual)","41 Source Type",$C$5,"5 Source no.",$C1175,"4 Item Ledger Entry Type",$C$4,"2 Item No.","@@"&amp;$F1175,"3 Posting Date",U$9)</t>
  </si>
  <si>
    <t>=-NL("Sum","5802 Value Entry","151 Cost Amount (Expected)","41 Source Type",$C$5,"5 Source No.",$C1175,"4 Item Ledger Entry Type",$C$4,"2 Item No.","@@"&amp;$F1175,"3 Posting Date",U$9)-NL("Sum","5802 Value Entry","43 Cost Amount (Actual)","41 Source Type",$C$5,"5 Source no.",$C1175,"4 Item Ledger Entry Type",$C$4,"2 Item No.","@@"&amp;$F1175,"3 Posting Date",U$9)</t>
  </si>
  <si>
    <t>=U1175-W1175</t>
  </si>
  <si>
    <t>=IF(U1175&lt;&gt;0,X1175/U1175,"")</t>
  </si>
  <si>
    <t>=NL("Sum","5802 Value Entry","150 Sales Amount (Expected)","41 Source Type",$C$5,"5 Source No.",$C1175,"4 Item Ledger Entry Type",$C$4,"2 Item No.","@@"&amp;$F1175,"3 Posting Date",Z$9)+NL("Sum","5802 Value Entry","17 Sales Amount (Actual)","41 Source Type",$C$5,"5 Source no.",$C1175,"4 Item Ledger Entry Type",$C$4,"2 Item No.","@@"&amp;$F1175,"3 Posting Date",Z$9)</t>
  </si>
  <si>
    <t>=-NL("Sum","5802 Value Entry","151 Cost Amount (Expected)","41 Source Type",$C$5,"5 Source No.",$C1175,"4 Item Ledger Entry Type",$C$4,"2 Item No.","@@"&amp;$F1175,"3 Posting Date",Z$9)-NL("Sum","5802 Value Entry","43 Cost Amount (Actual)","41 Source Type",$C$5,"5 Source no.",$C1175,"4 Item Ledger Entry Type",$C$4,"2 Item No.","@@"&amp;$F1175,"3 Posting Date",Z$9)</t>
  </si>
  <si>
    <t>=Z1175-AB1175</t>
  </si>
  <si>
    <t>=IF(Z1175&lt;&gt;0,AC1175/Z1175,"")</t>
  </si>
  <si>
    <t>=C1175</t>
  </si>
  <si>
    <t>=NL("Sum","5802 Value Entry","150 Sales Amount (Expected)","41 Source Type",$C$5,"5 Source No.",$C1176,"4 Item Ledger Entry Type",$C$4,"2 Item No.","@@"&amp;$F1176,"3 Posting Date",J$9)+NL("Sum","5802 Value Entry","17 Sales Amount (Actual)","41 Source Type",$C$5,"5 Source no.",$C1176,"4 Item Ledger Entry Type",$C$4,"2 Item No.","@@"&amp;$F1176,"3 Posting Date",J$9)</t>
  </si>
  <si>
    <t>=-NL("Sum","5802 Value Entry","151 Cost Amount (Expected)","41 Source Type",$C$5,"5 Source No.",$C1176,"4 Item Ledger Entry Type",$C$4,"2 Item No.","@@"&amp;$F1176,"3 Posting Date",J$9)-NL("Sum","5802 Value Entry","43 Cost Amount (Actual)","41 Source Type",$C$5,"5 Source no.",$C1176,"4 Item Ledger Entry Type",$C$4,"2 Item No.","@@"&amp;$F1176,"3 Posting Date",J$9)</t>
  </si>
  <si>
    <t>=J1176-L1176</t>
  </si>
  <si>
    <t>=IF(J1176&lt;&gt;0,M1176/J1176,"")</t>
  </si>
  <si>
    <t>=NL("Sum","5802 Value Entry","150 Sales Amount (Expected)","41 Source Type",$C$5,"5 Source No.",$C1176,"4 Item Ledger Entry Type",$C$4,"2 Item No.","@@"&amp;$F1176,"3 Posting Date",O$9)+NL("Sum","5802 Value Entry","17 Sales Amount (Actual)","41 Source Type",$C$5,"5 Source no.",$C1176,"4 Item Ledger Entry Type",$C$4,"2 Item No.","@@"&amp;$F1176,"3 Posting Date",O$9)</t>
  </si>
  <si>
    <t>=-NL("Sum","5802 Value Entry","151 Cost Amount (Expected)","41 Source Type",$C$5,"5 Source No.",$C1176,"4 Item Ledger Entry Type",$C$4,"2 Item No.","@@"&amp;$F1176,"3 Posting Date",O$9)-NL("Sum","5802 Value Entry","43 Cost Amount (Actual)","41 Source Type",$C$5,"5 Source no.",$C1176,"4 Item Ledger Entry Type",$C$4,"2 Item No.","@@"&amp;$F1176,"3 Posting Date",O$9)</t>
  </si>
  <si>
    <t>=O1176-Q1176</t>
  </si>
  <si>
    <t>=IF(O1176&lt;&gt;0,R1176/O1176,"")</t>
  </si>
  <si>
    <t>=NL("Sum","5802 Value Entry","150 Sales Amount (Expected)","41 Source Type",$C$5,"5 Source No.",$C1176,"4 Item Ledger Entry Type",$C$4,"2 Item No.","@@"&amp;$F1176,"3 Posting Date",U$9)+NL("Sum","5802 Value Entry","17 Sales Amount (Actual)","41 Source Type",$C$5,"5 Source no.",$C1176,"4 Item Ledger Entry Type",$C$4,"2 Item No.","@@"&amp;$F1176,"3 Posting Date",U$9)</t>
  </si>
  <si>
    <t>=-NL("Sum","5802 Value Entry","151 Cost Amount (Expected)","41 Source Type",$C$5,"5 Source No.",$C1176,"4 Item Ledger Entry Type",$C$4,"2 Item No.","@@"&amp;$F1176,"3 Posting Date",U$9)-NL("Sum","5802 Value Entry","43 Cost Amount (Actual)","41 Source Type",$C$5,"5 Source no.",$C1176,"4 Item Ledger Entry Type",$C$4,"2 Item No.","@@"&amp;$F1176,"3 Posting Date",U$9)</t>
  </si>
  <si>
    <t>=U1176-W1176</t>
  </si>
  <si>
    <t>=IF(U1176&lt;&gt;0,X1176/U1176,"")</t>
  </si>
  <si>
    <t>=NL("Sum","5802 Value Entry","150 Sales Amount (Expected)","41 Source Type",$C$5,"5 Source No.",$C1176,"4 Item Ledger Entry Type",$C$4,"2 Item No.","@@"&amp;$F1176,"3 Posting Date",Z$9)+NL("Sum","5802 Value Entry","17 Sales Amount (Actual)","41 Source Type",$C$5,"5 Source no.",$C1176,"4 Item Ledger Entry Type",$C$4,"2 Item No.","@@"&amp;$F1176,"3 Posting Date",Z$9)</t>
  </si>
  <si>
    <t>=-NL("Sum","5802 Value Entry","151 Cost Amount (Expected)","41 Source Type",$C$5,"5 Source No.",$C1176,"4 Item Ledger Entry Type",$C$4,"2 Item No.","@@"&amp;$F1176,"3 Posting Date",Z$9)-NL("Sum","5802 Value Entry","43 Cost Amount (Actual)","41 Source Type",$C$5,"5 Source no.",$C1176,"4 Item Ledger Entry Type",$C$4,"2 Item No.","@@"&amp;$F1176,"3 Posting Date",Z$9)</t>
  </si>
  <si>
    <t>=Z1176-AB1176</t>
  </si>
  <si>
    <t>=IF(Z1176&lt;&gt;0,AC1176/Z1176,"")</t>
  </si>
  <si>
    <t>=C1176</t>
  </si>
  <si>
    <t>=NL("Sum","5802 Value Entry","150 Sales Amount (Expected)","41 Source Type",$C$5,"5 Source No.",$C1177,"4 Item Ledger Entry Type",$C$4,"2 Item No.","@@"&amp;$F1177,"3 Posting Date",J$9)+NL("Sum","5802 Value Entry","17 Sales Amount (Actual)","41 Source Type",$C$5,"5 Source no.",$C1177,"4 Item Ledger Entry Type",$C$4,"2 Item No.","@@"&amp;$F1177,"3 Posting Date",J$9)</t>
  </si>
  <si>
    <t>=-NL("Sum","5802 Value Entry","151 Cost Amount (Expected)","41 Source Type",$C$5,"5 Source No.",$C1177,"4 Item Ledger Entry Type",$C$4,"2 Item No.","@@"&amp;$F1177,"3 Posting Date",J$9)-NL("Sum","5802 Value Entry","43 Cost Amount (Actual)","41 Source Type",$C$5,"5 Source no.",$C1177,"4 Item Ledger Entry Type",$C$4,"2 Item No.","@@"&amp;$F1177,"3 Posting Date",J$9)</t>
  </si>
  <si>
    <t>=J1177-L1177</t>
  </si>
  <si>
    <t>=IF(J1177&lt;&gt;0,M1177/J1177,"")</t>
  </si>
  <si>
    <t>=NL("Sum","5802 Value Entry","150 Sales Amount (Expected)","41 Source Type",$C$5,"5 Source No.",$C1177,"4 Item Ledger Entry Type",$C$4,"2 Item No.","@@"&amp;$F1177,"3 Posting Date",O$9)+NL("Sum","5802 Value Entry","17 Sales Amount (Actual)","41 Source Type",$C$5,"5 Source no.",$C1177,"4 Item Ledger Entry Type",$C$4,"2 Item No.","@@"&amp;$F1177,"3 Posting Date",O$9)</t>
  </si>
  <si>
    <t>=-NL("Sum","5802 Value Entry","151 Cost Amount (Expected)","41 Source Type",$C$5,"5 Source No.",$C1177,"4 Item Ledger Entry Type",$C$4,"2 Item No.","@@"&amp;$F1177,"3 Posting Date",O$9)-NL("Sum","5802 Value Entry","43 Cost Amount (Actual)","41 Source Type",$C$5,"5 Source no.",$C1177,"4 Item Ledger Entry Type",$C$4,"2 Item No.","@@"&amp;$F1177,"3 Posting Date",O$9)</t>
  </si>
  <si>
    <t>=O1177-Q1177</t>
  </si>
  <si>
    <t>=IF(O1177&lt;&gt;0,R1177/O1177,"")</t>
  </si>
  <si>
    <t>=NL("Sum","5802 Value Entry","150 Sales Amount (Expected)","41 Source Type",$C$5,"5 Source No.",$C1177,"4 Item Ledger Entry Type",$C$4,"2 Item No.","@@"&amp;$F1177,"3 Posting Date",U$9)+NL("Sum","5802 Value Entry","17 Sales Amount (Actual)","41 Source Type",$C$5,"5 Source no.",$C1177,"4 Item Ledger Entry Type",$C$4,"2 Item No.","@@"&amp;$F1177,"3 Posting Date",U$9)</t>
  </si>
  <si>
    <t>=-NL("Sum","5802 Value Entry","151 Cost Amount (Expected)","41 Source Type",$C$5,"5 Source No.",$C1177,"4 Item Ledger Entry Type",$C$4,"2 Item No.","@@"&amp;$F1177,"3 Posting Date",U$9)-NL("Sum","5802 Value Entry","43 Cost Amount (Actual)","41 Source Type",$C$5,"5 Source no.",$C1177,"4 Item Ledger Entry Type",$C$4,"2 Item No.","@@"&amp;$F1177,"3 Posting Date",U$9)</t>
  </si>
  <si>
    <t>=U1177-W1177</t>
  </si>
  <si>
    <t>=IF(U1177&lt;&gt;0,X1177/U1177,"")</t>
  </si>
  <si>
    <t>=NL("Sum","5802 Value Entry","150 Sales Amount (Expected)","41 Source Type",$C$5,"5 Source No.",$C1177,"4 Item Ledger Entry Type",$C$4,"2 Item No.","@@"&amp;$F1177,"3 Posting Date",Z$9)+NL("Sum","5802 Value Entry","17 Sales Amount (Actual)","41 Source Type",$C$5,"5 Source no.",$C1177,"4 Item Ledger Entry Type",$C$4,"2 Item No.","@@"&amp;$F1177,"3 Posting Date",Z$9)</t>
  </si>
  <si>
    <t>=-NL("Sum","5802 Value Entry","151 Cost Amount (Expected)","41 Source Type",$C$5,"5 Source No.",$C1177,"4 Item Ledger Entry Type",$C$4,"2 Item No.","@@"&amp;$F1177,"3 Posting Date",Z$9)-NL("Sum","5802 Value Entry","43 Cost Amount (Actual)","41 Source Type",$C$5,"5 Source no.",$C1177,"4 Item Ledger Entry Type",$C$4,"2 Item No.","@@"&amp;$F1177,"3 Posting Date",Z$9)</t>
  </si>
  <si>
    <t>=Z1177-AB1177</t>
  </si>
  <si>
    <t>=IF(Z1177&lt;&gt;0,AC1177/Z1177,"")</t>
  </si>
  <si>
    <t>=C1177</t>
  </si>
  <si>
    <t>=NL("Sum","5802 Value Entry","150 Sales Amount (Expected)","41 Source Type",$C$5,"5 Source No.",$C1178,"4 Item Ledger Entry Type",$C$4,"2 Item No.","@@"&amp;$F1178,"3 Posting Date",J$9)+NL("Sum","5802 Value Entry","17 Sales Amount (Actual)","41 Source Type",$C$5,"5 Source no.",$C1178,"4 Item Ledger Entry Type",$C$4,"2 Item No.","@@"&amp;$F1178,"3 Posting Date",J$9)</t>
  </si>
  <si>
    <t>=-NL("Sum","5802 Value Entry","151 Cost Amount (Expected)","41 Source Type",$C$5,"5 Source No.",$C1178,"4 Item Ledger Entry Type",$C$4,"2 Item No.","@@"&amp;$F1178,"3 Posting Date",J$9)-NL("Sum","5802 Value Entry","43 Cost Amount (Actual)","41 Source Type",$C$5,"5 Source no.",$C1178,"4 Item Ledger Entry Type",$C$4,"2 Item No.","@@"&amp;$F1178,"3 Posting Date",J$9)</t>
  </si>
  <si>
    <t>=J1178-L1178</t>
  </si>
  <si>
    <t>=IF(J1178&lt;&gt;0,M1178/J1178,"")</t>
  </si>
  <si>
    <t>=NL("Sum","5802 Value Entry","150 Sales Amount (Expected)","41 Source Type",$C$5,"5 Source No.",$C1178,"4 Item Ledger Entry Type",$C$4,"2 Item No.","@@"&amp;$F1178,"3 Posting Date",O$9)+NL("Sum","5802 Value Entry","17 Sales Amount (Actual)","41 Source Type",$C$5,"5 Source no.",$C1178,"4 Item Ledger Entry Type",$C$4,"2 Item No.","@@"&amp;$F1178,"3 Posting Date",O$9)</t>
  </si>
  <si>
    <t>=-NL("Sum","5802 Value Entry","151 Cost Amount (Expected)","41 Source Type",$C$5,"5 Source No.",$C1178,"4 Item Ledger Entry Type",$C$4,"2 Item No.","@@"&amp;$F1178,"3 Posting Date",O$9)-NL("Sum","5802 Value Entry","43 Cost Amount (Actual)","41 Source Type",$C$5,"5 Source no.",$C1178,"4 Item Ledger Entry Type",$C$4,"2 Item No.","@@"&amp;$F1178,"3 Posting Date",O$9)</t>
  </si>
  <si>
    <t>=O1178-Q1178</t>
  </si>
  <si>
    <t>=IF(O1178&lt;&gt;0,R1178/O1178,"")</t>
  </si>
  <si>
    <t>=NL("Sum","5802 Value Entry","150 Sales Amount (Expected)","41 Source Type",$C$5,"5 Source No.",$C1178,"4 Item Ledger Entry Type",$C$4,"2 Item No.","@@"&amp;$F1178,"3 Posting Date",U$9)+NL("Sum","5802 Value Entry","17 Sales Amount (Actual)","41 Source Type",$C$5,"5 Source no.",$C1178,"4 Item Ledger Entry Type",$C$4,"2 Item No.","@@"&amp;$F1178,"3 Posting Date",U$9)</t>
  </si>
  <si>
    <t>=-NL("Sum","5802 Value Entry","151 Cost Amount (Expected)","41 Source Type",$C$5,"5 Source No.",$C1178,"4 Item Ledger Entry Type",$C$4,"2 Item No.","@@"&amp;$F1178,"3 Posting Date",U$9)-NL("Sum","5802 Value Entry","43 Cost Amount (Actual)","41 Source Type",$C$5,"5 Source no.",$C1178,"4 Item Ledger Entry Type",$C$4,"2 Item No.","@@"&amp;$F1178,"3 Posting Date",U$9)</t>
  </si>
  <si>
    <t>=U1178-W1178</t>
  </si>
  <si>
    <t>=IF(U1178&lt;&gt;0,X1178/U1178,"")</t>
  </si>
  <si>
    <t>=NL("Sum","5802 Value Entry","150 Sales Amount (Expected)","41 Source Type",$C$5,"5 Source No.",$C1178,"4 Item Ledger Entry Type",$C$4,"2 Item No.","@@"&amp;$F1178,"3 Posting Date",Z$9)+NL("Sum","5802 Value Entry","17 Sales Amount (Actual)","41 Source Type",$C$5,"5 Source no.",$C1178,"4 Item Ledger Entry Type",$C$4,"2 Item No.","@@"&amp;$F1178,"3 Posting Date",Z$9)</t>
  </si>
  <si>
    <t>=-NL("Sum","5802 Value Entry","151 Cost Amount (Expected)","41 Source Type",$C$5,"5 Source No.",$C1178,"4 Item Ledger Entry Type",$C$4,"2 Item No.","@@"&amp;$F1178,"3 Posting Date",Z$9)-NL("Sum","5802 Value Entry","43 Cost Amount (Actual)","41 Source Type",$C$5,"5 Source no.",$C1178,"4 Item Ledger Entry Type",$C$4,"2 Item No.","@@"&amp;$F1178,"3 Posting Date",Z$9)</t>
  </si>
  <si>
    <t>=Z1178-AB1178</t>
  </si>
  <si>
    <t>=IF(Z1178&lt;&gt;0,AC1178/Z1178,"")</t>
  </si>
  <si>
    <t>=C1178</t>
  </si>
  <si>
    <t>=NL("Sum","5802 Value Entry","150 Sales Amount (Expected)","41 Source Type",$C$5,"5 Source No.",$C1179,"4 Item Ledger Entry Type",$C$4,"2 Item No.","@@"&amp;$F1179,"3 Posting Date",J$9)+NL("Sum","5802 Value Entry","17 Sales Amount (Actual)","41 Source Type",$C$5,"5 Source no.",$C1179,"4 Item Ledger Entry Type",$C$4,"2 Item No.","@@"&amp;$F1179,"3 Posting Date",J$9)</t>
  </si>
  <si>
    <t>=-NL("Sum","5802 Value Entry","151 Cost Amount (Expected)","41 Source Type",$C$5,"5 Source No.",$C1179,"4 Item Ledger Entry Type",$C$4,"2 Item No.","@@"&amp;$F1179,"3 Posting Date",J$9)-NL("Sum","5802 Value Entry","43 Cost Amount (Actual)","41 Source Type",$C$5,"5 Source no.",$C1179,"4 Item Ledger Entry Type",$C$4,"2 Item No.","@@"&amp;$F1179,"3 Posting Date",J$9)</t>
  </si>
  <si>
    <t>=J1179-L1179</t>
  </si>
  <si>
    <t>=IF(J1179&lt;&gt;0,M1179/J1179,"")</t>
  </si>
  <si>
    <t>=NL("Sum","5802 Value Entry","150 Sales Amount (Expected)","41 Source Type",$C$5,"5 Source No.",$C1179,"4 Item Ledger Entry Type",$C$4,"2 Item No.","@@"&amp;$F1179,"3 Posting Date",O$9)+NL("Sum","5802 Value Entry","17 Sales Amount (Actual)","41 Source Type",$C$5,"5 Source no.",$C1179,"4 Item Ledger Entry Type",$C$4,"2 Item No.","@@"&amp;$F1179,"3 Posting Date",O$9)</t>
  </si>
  <si>
    <t>=-NL("Sum","5802 Value Entry","151 Cost Amount (Expected)","41 Source Type",$C$5,"5 Source No.",$C1179,"4 Item Ledger Entry Type",$C$4,"2 Item No.","@@"&amp;$F1179,"3 Posting Date",O$9)-NL("Sum","5802 Value Entry","43 Cost Amount (Actual)","41 Source Type",$C$5,"5 Source no.",$C1179,"4 Item Ledger Entry Type",$C$4,"2 Item No.","@@"&amp;$F1179,"3 Posting Date",O$9)</t>
  </si>
  <si>
    <t>=O1179-Q1179</t>
  </si>
  <si>
    <t>=IF(O1179&lt;&gt;0,R1179/O1179,"")</t>
  </si>
  <si>
    <t>=NL("Sum","5802 Value Entry","150 Sales Amount (Expected)","41 Source Type",$C$5,"5 Source No.",$C1179,"4 Item Ledger Entry Type",$C$4,"2 Item No.","@@"&amp;$F1179,"3 Posting Date",U$9)+NL("Sum","5802 Value Entry","17 Sales Amount (Actual)","41 Source Type",$C$5,"5 Source no.",$C1179,"4 Item Ledger Entry Type",$C$4,"2 Item No.","@@"&amp;$F1179,"3 Posting Date",U$9)</t>
  </si>
  <si>
    <t>=-NL("Sum","5802 Value Entry","151 Cost Amount (Expected)","41 Source Type",$C$5,"5 Source No.",$C1179,"4 Item Ledger Entry Type",$C$4,"2 Item No.","@@"&amp;$F1179,"3 Posting Date",U$9)-NL("Sum","5802 Value Entry","43 Cost Amount (Actual)","41 Source Type",$C$5,"5 Source no.",$C1179,"4 Item Ledger Entry Type",$C$4,"2 Item No.","@@"&amp;$F1179,"3 Posting Date",U$9)</t>
  </si>
  <si>
    <t>=U1179-W1179</t>
  </si>
  <si>
    <t>=IF(U1179&lt;&gt;0,X1179/U1179,"")</t>
  </si>
  <si>
    <t>=NL("Sum","5802 Value Entry","150 Sales Amount (Expected)","41 Source Type",$C$5,"5 Source No.",$C1179,"4 Item Ledger Entry Type",$C$4,"2 Item No.","@@"&amp;$F1179,"3 Posting Date",Z$9)+NL("Sum","5802 Value Entry","17 Sales Amount (Actual)","41 Source Type",$C$5,"5 Source no.",$C1179,"4 Item Ledger Entry Type",$C$4,"2 Item No.","@@"&amp;$F1179,"3 Posting Date",Z$9)</t>
  </si>
  <si>
    <t>=-NL("Sum","5802 Value Entry","151 Cost Amount (Expected)","41 Source Type",$C$5,"5 Source No.",$C1179,"4 Item Ledger Entry Type",$C$4,"2 Item No.","@@"&amp;$F1179,"3 Posting Date",Z$9)-NL("Sum","5802 Value Entry","43 Cost Amount (Actual)","41 Source Type",$C$5,"5 Source no.",$C1179,"4 Item Ledger Entry Type",$C$4,"2 Item No.","@@"&amp;$F1179,"3 Posting Date",Z$9)</t>
  </si>
  <si>
    <t>=Z1179-AB1179</t>
  </si>
  <si>
    <t>=IF(Z1179&lt;&gt;0,AC1179/Z1179,"")</t>
  </si>
  <si>
    <t>=C1179</t>
  </si>
  <si>
    <t>=NL("Sum","5802 Value Entry","150 Sales Amount (Expected)","41 Source Type",$C$5,"5 Source No.",$C1180,"4 Item Ledger Entry Type",$C$4,"2 Item No.","@@"&amp;$F1180,"3 Posting Date",J$9)+NL("Sum","5802 Value Entry","17 Sales Amount (Actual)","41 Source Type",$C$5,"5 Source no.",$C1180,"4 Item Ledger Entry Type",$C$4,"2 Item No.","@@"&amp;$F1180,"3 Posting Date",J$9)</t>
  </si>
  <si>
    <t>=-NL("Sum","5802 Value Entry","151 Cost Amount (Expected)","41 Source Type",$C$5,"5 Source No.",$C1180,"4 Item Ledger Entry Type",$C$4,"2 Item No.","@@"&amp;$F1180,"3 Posting Date",J$9)-NL("Sum","5802 Value Entry","43 Cost Amount (Actual)","41 Source Type",$C$5,"5 Source no.",$C1180,"4 Item Ledger Entry Type",$C$4,"2 Item No.","@@"&amp;$F1180,"3 Posting Date",J$9)</t>
  </si>
  <si>
    <t>=J1180-L1180</t>
  </si>
  <si>
    <t>=IF(J1180&lt;&gt;0,M1180/J1180,"")</t>
  </si>
  <si>
    <t>=NL("Sum","5802 Value Entry","150 Sales Amount (Expected)","41 Source Type",$C$5,"5 Source No.",$C1180,"4 Item Ledger Entry Type",$C$4,"2 Item No.","@@"&amp;$F1180,"3 Posting Date",O$9)+NL("Sum","5802 Value Entry","17 Sales Amount (Actual)","41 Source Type",$C$5,"5 Source no.",$C1180,"4 Item Ledger Entry Type",$C$4,"2 Item No.","@@"&amp;$F1180,"3 Posting Date",O$9)</t>
  </si>
  <si>
    <t>=-NL("Sum","5802 Value Entry","151 Cost Amount (Expected)","41 Source Type",$C$5,"5 Source No.",$C1180,"4 Item Ledger Entry Type",$C$4,"2 Item No.","@@"&amp;$F1180,"3 Posting Date",O$9)-NL("Sum","5802 Value Entry","43 Cost Amount (Actual)","41 Source Type",$C$5,"5 Source no.",$C1180,"4 Item Ledger Entry Type",$C$4,"2 Item No.","@@"&amp;$F1180,"3 Posting Date",O$9)</t>
  </si>
  <si>
    <t>=O1180-Q1180</t>
  </si>
  <si>
    <t>=IF(O1180&lt;&gt;0,R1180/O1180,"")</t>
  </si>
  <si>
    <t>=NL("Sum","5802 Value Entry","150 Sales Amount (Expected)","41 Source Type",$C$5,"5 Source No.",$C1180,"4 Item Ledger Entry Type",$C$4,"2 Item No.","@@"&amp;$F1180,"3 Posting Date",U$9)+NL("Sum","5802 Value Entry","17 Sales Amount (Actual)","41 Source Type",$C$5,"5 Source no.",$C1180,"4 Item Ledger Entry Type",$C$4,"2 Item No.","@@"&amp;$F1180,"3 Posting Date",U$9)</t>
  </si>
  <si>
    <t>=-NL("Sum","5802 Value Entry","151 Cost Amount (Expected)","41 Source Type",$C$5,"5 Source No.",$C1180,"4 Item Ledger Entry Type",$C$4,"2 Item No.","@@"&amp;$F1180,"3 Posting Date",U$9)-NL("Sum","5802 Value Entry","43 Cost Amount (Actual)","41 Source Type",$C$5,"5 Source no.",$C1180,"4 Item Ledger Entry Type",$C$4,"2 Item No.","@@"&amp;$F1180,"3 Posting Date",U$9)</t>
  </si>
  <si>
    <t>=U1180-W1180</t>
  </si>
  <si>
    <t>=IF(U1180&lt;&gt;0,X1180/U1180,"")</t>
  </si>
  <si>
    <t>=NL("Sum","5802 Value Entry","150 Sales Amount (Expected)","41 Source Type",$C$5,"5 Source No.",$C1180,"4 Item Ledger Entry Type",$C$4,"2 Item No.","@@"&amp;$F1180,"3 Posting Date",Z$9)+NL("Sum","5802 Value Entry","17 Sales Amount (Actual)","41 Source Type",$C$5,"5 Source no.",$C1180,"4 Item Ledger Entry Type",$C$4,"2 Item No.","@@"&amp;$F1180,"3 Posting Date",Z$9)</t>
  </si>
  <si>
    <t>=-NL("Sum","5802 Value Entry","151 Cost Amount (Expected)","41 Source Type",$C$5,"5 Source No.",$C1180,"4 Item Ledger Entry Type",$C$4,"2 Item No.","@@"&amp;$F1180,"3 Posting Date",Z$9)-NL("Sum","5802 Value Entry","43 Cost Amount (Actual)","41 Source Type",$C$5,"5 Source no.",$C1180,"4 Item Ledger Entry Type",$C$4,"2 Item No.","@@"&amp;$F1180,"3 Posting Date",Z$9)</t>
  </si>
  <si>
    <t>=Z1180-AB1180</t>
  </si>
  <si>
    <t>=IF(Z1180&lt;&gt;0,AC1180/Z1180,"")</t>
  </si>
  <si>
    <t>=C1180</t>
  </si>
  <si>
    <t>=NL("Sum","5802 Value Entry","150 Sales Amount (Expected)","41 Source Type",$C$5,"5 Source No.",$C1181,"4 Item Ledger Entry Type",$C$4,"2 Item No.","@@"&amp;$F1181,"3 Posting Date",J$9)+NL("Sum","5802 Value Entry","17 Sales Amount (Actual)","41 Source Type",$C$5,"5 Source no.",$C1181,"4 Item Ledger Entry Type",$C$4,"2 Item No.","@@"&amp;$F1181,"3 Posting Date",J$9)</t>
  </si>
  <si>
    <t>=-NL("Sum","5802 Value Entry","151 Cost Amount (Expected)","41 Source Type",$C$5,"5 Source No.",$C1181,"4 Item Ledger Entry Type",$C$4,"2 Item No.","@@"&amp;$F1181,"3 Posting Date",J$9)-NL("Sum","5802 Value Entry","43 Cost Amount (Actual)","41 Source Type",$C$5,"5 Source no.",$C1181,"4 Item Ledger Entry Type",$C$4,"2 Item No.","@@"&amp;$F1181,"3 Posting Date",J$9)</t>
  </si>
  <si>
    <t>=J1181-L1181</t>
  </si>
  <si>
    <t>=IF(J1181&lt;&gt;0,M1181/J1181,"")</t>
  </si>
  <si>
    <t>=NL("Sum","5802 Value Entry","150 Sales Amount (Expected)","41 Source Type",$C$5,"5 Source No.",$C1181,"4 Item Ledger Entry Type",$C$4,"2 Item No.","@@"&amp;$F1181,"3 Posting Date",O$9)+NL("Sum","5802 Value Entry","17 Sales Amount (Actual)","41 Source Type",$C$5,"5 Source no.",$C1181,"4 Item Ledger Entry Type",$C$4,"2 Item No.","@@"&amp;$F1181,"3 Posting Date",O$9)</t>
  </si>
  <si>
    <t>=-NL("Sum","5802 Value Entry","151 Cost Amount (Expected)","41 Source Type",$C$5,"5 Source No.",$C1181,"4 Item Ledger Entry Type",$C$4,"2 Item No.","@@"&amp;$F1181,"3 Posting Date",O$9)-NL("Sum","5802 Value Entry","43 Cost Amount (Actual)","41 Source Type",$C$5,"5 Source no.",$C1181,"4 Item Ledger Entry Type",$C$4,"2 Item No.","@@"&amp;$F1181,"3 Posting Date",O$9)</t>
  </si>
  <si>
    <t>=O1181-Q1181</t>
  </si>
  <si>
    <t>=IF(O1181&lt;&gt;0,R1181/O1181,"")</t>
  </si>
  <si>
    <t>=NL("Sum","5802 Value Entry","150 Sales Amount (Expected)","41 Source Type",$C$5,"5 Source No.",$C1181,"4 Item Ledger Entry Type",$C$4,"2 Item No.","@@"&amp;$F1181,"3 Posting Date",U$9)+NL("Sum","5802 Value Entry","17 Sales Amount (Actual)","41 Source Type",$C$5,"5 Source no.",$C1181,"4 Item Ledger Entry Type",$C$4,"2 Item No.","@@"&amp;$F1181,"3 Posting Date",U$9)</t>
  </si>
  <si>
    <t>=-NL("Sum","5802 Value Entry","151 Cost Amount (Expected)","41 Source Type",$C$5,"5 Source No.",$C1181,"4 Item Ledger Entry Type",$C$4,"2 Item No.","@@"&amp;$F1181,"3 Posting Date",U$9)-NL("Sum","5802 Value Entry","43 Cost Amount (Actual)","41 Source Type",$C$5,"5 Source no.",$C1181,"4 Item Ledger Entry Type",$C$4,"2 Item No.","@@"&amp;$F1181,"3 Posting Date",U$9)</t>
  </si>
  <si>
    <t>=U1181-W1181</t>
  </si>
  <si>
    <t>=IF(U1181&lt;&gt;0,X1181/U1181,"")</t>
  </si>
  <si>
    <t>=NL("Sum","5802 Value Entry","150 Sales Amount (Expected)","41 Source Type",$C$5,"5 Source No.",$C1181,"4 Item Ledger Entry Type",$C$4,"2 Item No.","@@"&amp;$F1181,"3 Posting Date",Z$9)+NL("Sum","5802 Value Entry","17 Sales Amount (Actual)","41 Source Type",$C$5,"5 Source no.",$C1181,"4 Item Ledger Entry Type",$C$4,"2 Item No.","@@"&amp;$F1181,"3 Posting Date",Z$9)</t>
  </si>
  <si>
    <t>=-NL("Sum","5802 Value Entry","151 Cost Amount (Expected)","41 Source Type",$C$5,"5 Source No.",$C1181,"4 Item Ledger Entry Type",$C$4,"2 Item No.","@@"&amp;$F1181,"3 Posting Date",Z$9)-NL("Sum","5802 Value Entry","43 Cost Amount (Actual)","41 Source Type",$C$5,"5 Source no.",$C1181,"4 Item Ledger Entry Type",$C$4,"2 Item No.","@@"&amp;$F1181,"3 Posting Date",Z$9)</t>
  </si>
  <si>
    <t>=Z1181-AB1181</t>
  </si>
  <si>
    <t>=IF(Z1181&lt;&gt;0,AC1181/Z1181,"")</t>
  </si>
  <si>
    <t>=C1181</t>
  </si>
  <si>
    <t>=NL("Sum","5802 Value Entry","150 Sales Amount (Expected)","41 Source Type",$C$5,"5 Source No.",$C1182,"4 Item Ledger Entry Type",$C$4,"2 Item No.","@@"&amp;$F1182,"3 Posting Date",J$9)+NL("Sum","5802 Value Entry","17 Sales Amount (Actual)","41 Source Type",$C$5,"5 Source no.",$C1182,"4 Item Ledger Entry Type",$C$4,"2 Item No.","@@"&amp;$F1182,"3 Posting Date",J$9)</t>
  </si>
  <si>
    <t>=-NL("Sum","5802 Value Entry","151 Cost Amount (Expected)","41 Source Type",$C$5,"5 Source No.",$C1182,"4 Item Ledger Entry Type",$C$4,"2 Item No.","@@"&amp;$F1182,"3 Posting Date",J$9)-NL("Sum","5802 Value Entry","43 Cost Amount (Actual)","41 Source Type",$C$5,"5 Source no.",$C1182,"4 Item Ledger Entry Type",$C$4,"2 Item No.","@@"&amp;$F1182,"3 Posting Date",J$9)</t>
  </si>
  <si>
    <t>=J1182-L1182</t>
  </si>
  <si>
    <t>=IF(J1182&lt;&gt;0,M1182/J1182,"")</t>
  </si>
  <si>
    <t>=NL("Sum","5802 Value Entry","150 Sales Amount (Expected)","41 Source Type",$C$5,"5 Source No.",$C1182,"4 Item Ledger Entry Type",$C$4,"2 Item No.","@@"&amp;$F1182,"3 Posting Date",O$9)+NL("Sum","5802 Value Entry","17 Sales Amount (Actual)","41 Source Type",$C$5,"5 Source no.",$C1182,"4 Item Ledger Entry Type",$C$4,"2 Item No.","@@"&amp;$F1182,"3 Posting Date",O$9)</t>
  </si>
  <si>
    <t>=-NL("Sum","5802 Value Entry","151 Cost Amount (Expected)","41 Source Type",$C$5,"5 Source No.",$C1182,"4 Item Ledger Entry Type",$C$4,"2 Item No.","@@"&amp;$F1182,"3 Posting Date",O$9)-NL("Sum","5802 Value Entry","43 Cost Amount (Actual)","41 Source Type",$C$5,"5 Source no.",$C1182,"4 Item Ledger Entry Type",$C$4,"2 Item No.","@@"&amp;$F1182,"3 Posting Date",O$9)</t>
  </si>
  <si>
    <t>=O1182-Q1182</t>
  </si>
  <si>
    <t>=IF(O1182&lt;&gt;0,R1182/O1182,"")</t>
  </si>
  <si>
    <t>=NL("Sum","5802 Value Entry","150 Sales Amount (Expected)","41 Source Type",$C$5,"5 Source No.",$C1182,"4 Item Ledger Entry Type",$C$4,"2 Item No.","@@"&amp;$F1182,"3 Posting Date",U$9)+NL("Sum","5802 Value Entry","17 Sales Amount (Actual)","41 Source Type",$C$5,"5 Source no.",$C1182,"4 Item Ledger Entry Type",$C$4,"2 Item No.","@@"&amp;$F1182,"3 Posting Date",U$9)</t>
  </si>
  <si>
    <t>=-NL("Sum","5802 Value Entry","151 Cost Amount (Expected)","41 Source Type",$C$5,"5 Source No.",$C1182,"4 Item Ledger Entry Type",$C$4,"2 Item No.","@@"&amp;$F1182,"3 Posting Date",U$9)-NL("Sum","5802 Value Entry","43 Cost Amount (Actual)","41 Source Type",$C$5,"5 Source no.",$C1182,"4 Item Ledger Entry Type",$C$4,"2 Item No.","@@"&amp;$F1182,"3 Posting Date",U$9)</t>
  </si>
  <si>
    <t>=U1182-W1182</t>
  </si>
  <si>
    <t>=IF(U1182&lt;&gt;0,X1182/U1182,"")</t>
  </si>
  <si>
    <t>=NL("Sum","5802 Value Entry","150 Sales Amount (Expected)","41 Source Type",$C$5,"5 Source No.",$C1182,"4 Item Ledger Entry Type",$C$4,"2 Item No.","@@"&amp;$F1182,"3 Posting Date",Z$9)+NL("Sum","5802 Value Entry","17 Sales Amount (Actual)","41 Source Type",$C$5,"5 Source no.",$C1182,"4 Item Ledger Entry Type",$C$4,"2 Item No.","@@"&amp;$F1182,"3 Posting Date",Z$9)</t>
  </si>
  <si>
    <t>=-NL("Sum","5802 Value Entry","151 Cost Amount (Expected)","41 Source Type",$C$5,"5 Source No.",$C1182,"4 Item Ledger Entry Type",$C$4,"2 Item No.","@@"&amp;$F1182,"3 Posting Date",Z$9)-NL("Sum","5802 Value Entry","43 Cost Amount (Actual)","41 Source Type",$C$5,"5 Source no.",$C1182,"4 Item Ledger Entry Type",$C$4,"2 Item No.","@@"&amp;$F1182,"3 Posting Date",Z$9)</t>
  </si>
  <si>
    <t>=Z1182-AB1182</t>
  </si>
  <si>
    <t>=IF(Z1182&lt;&gt;0,AC1182/Z1182,"")</t>
  </si>
  <si>
    <t>=C1182</t>
  </si>
  <si>
    <t>=NL("Sum","5802 Value Entry","150 Sales Amount (Expected)","41 Source Type",$C$5,"5 Source No.",$C1183,"4 Item Ledger Entry Type",$C$4,"2 Item No.","@@"&amp;$F1183,"3 Posting Date",J$9)+NL("Sum","5802 Value Entry","17 Sales Amount (Actual)","41 Source Type",$C$5,"5 Source no.",$C1183,"4 Item Ledger Entry Type",$C$4,"2 Item No.","@@"&amp;$F1183,"3 Posting Date",J$9)</t>
  </si>
  <si>
    <t>=-NL("Sum","5802 Value Entry","151 Cost Amount (Expected)","41 Source Type",$C$5,"5 Source No.",$C1183,"4 Item Ledger Entry Type",$C$4,"2 Item No.","@@"&amp;$F1183,"3 Posting Date",J$9)-NL("Sum","5802 Value Entry","43 Cost Amount (Actual)","41 Source Type",$C$5,"5 Source no.",$C1183,"4 Item Ledger Entry Type",$C$4,"2 Item No.","@@"&amp;$F1183,"3 Posting Date",J$9)</t>
  </si>
  <si>
    <t>=J1183-L1183</t>
  </si>
  <si>
    <t>=IF(J1183&lt;&gt;0,M1183/J1183,"")</t>
  </si>
  <si>
    <t>=NL("Sum","5802 Value Entry","150 Sales Amount (Expected)","41 Source Type",$C$5,"5 Source No.",$C1183,"4 Item Ledger Entry Type",$C$4,"2 Item No.","@@"&amp;$F1183,"3 Posting Date",O$9)+NL("Sum","5802 Value Entry","17 Sales Amount (Actual)","41 Source Type",$C$5,"5 Source no.",$C1183,"4 Item Ledger Entry Type",$C$4,"2 Item No.","@@"&amp;$F1183,"3 Posting Date",O$9)</t>
  </si>
  <si>
    <t>=-NL("Sum","5802 Value Entry","151 Cost Amount (Expected)","41 Source Type",$C$5,"5 Source No.",$C1183,"4 Item Ledger Entry Type",$C$4,"2 Item No.","@@"&amp;$F1183,"3 Posting Date",O$9)-NL("Sum","5802 Value Entry","43 Cost Amount (Actual)","41 Source Type",$C$5,"5 Source no.",$C1183,"4 Item Ledger Entry Type",$C$4,"2 Item No.","@@"&amp;$F1183,"3 Posting Date",O$9)</t>
  </si>
  <si>
    <t>=O1183-Q1183</t>
  </si>
  <si>
    <t>=IF(O1183&lt;&gt;0,R1183/O1183,"")</t>
  </si>
  <si>
    <t>=NL("Sum","5802 Value Entry","150 Sales Amount (Expected)","41 Source Type",$C$5,"5 Source No.",$C1183,"4 Item Ledger Entry Type",$C$4,"2 Item No.","@@"&amp;$F1183,"3 Posting Date",U$9)+NL("Sum","5802 Value Entry","17 Sales Amount (Actual)","41 Source Type",$C$5,"5 Source no.",$C1183,"4 Item Ledger Entry Type",$C$4,"2 Item No.","@@"&amp;$F1183,"3 Posting Date",U$9)</t>
  </si>
  <si>
    <t>=-NL("Sum","5802 Value Entry","151 Cost Amount (Expected)","41 Source Type",$C$5,"5 Source No.",$C1183,"4 Item Ledger Entry Type",$C$4,"2 Item No.","@@"&amp;$F1183,"3 Posting Date",U$9)-NL("Sum","5802 Value Entry","43 Cost Amount (Actual)","41 Source Type",$C$5,"5 Source no.",$C1183,"4 Item Ledger Entry Type",$C$4,"2 Item No.","@@"&amp;$F1183,"3 Posting Date",U$9)</t>
  </si>
  <si>
    <t>=U1183-W1183</t>
  </si>
  <si>
    <t>=IF(U1183&lt;&gt;0,X1183/U1183,"")</t>
  </si>
  <si>
    <t>=NL("Sum","5802 Value Entry","150 Sales Amount (Expected)","41 Source Type",$C$5,"5 Source No.",$C1183,"4 Item Ledger Entry Type",$C$4,"2 Item No.","@@"&amp;$F1183,"3 Posting Date",Z$9)+NL("Sum","5802 Value Entry","17 Sales Amount (Actual)","41 Source Type",$C$5,"5 Source no.",$C1183,"4 Item Ledger Entry Type",$C$4,"2 Item No.","@@"&amp;$F1183,"3 Posting Date",Z$9)</t>
  </si>
  <si>
    <t>=-NL("Sum","5802 Value Entry","151 Cost Amount (Expected)","41 Source Type",$C$5,"5 Source No.",$C1183,"4 Item Ledger Entry Type",$C$4,"2 Item No.","@@"&amp;$F1183,"3 Posting Date",Z$9)-NL("Sum","5802 Value Entry","43 Cost Amount (Actual)","41 Source Type",$C$5,"5 Source no.",$C1183,"4 Item Ledger Entry Type",$C$4,"2 Item No.","@@"&amp;$F1183,"3 Posting Date",Z$9)</t>
  </si>
  <si>
    <t>=Z1183-AB1183</t>
  </si>
  <si>
    <t>=IF(Z1183&lt;&gt;0,AC1183/Z1183,"")</t>
  </si>
  <si>
    <t>=C1183</t>
  </si>
  <si>
    <t>=NL("Sum","5802 Value Entry","150 Sales Amount (Expected)","41 Source Type",$C$5,"5 Source No.",$C1184,"4 Item Ledger Entry Type",$C$4,"2 Item No.","@@"&amp;$F1184,"3 Posting Date",J$9)+NL("Sum","5802 Value Entry","17 Sales Amount (Actual)","41 Source Type",$C$5,"5 Source no.",$C1184,"4 Item Ledger Entry Type",$C$4,"2 Item No.","@@"&amp;$F1184,"3 Posting Date",J$9)</t>
  </si>
  <si>
    <t>=-NL("Sum","5802 Value Entry","151 Cost Amount (Expected)","41 Source Type",$C$5,"5 Source No.",$C1184,"4 Item Ledger Entry Type",$C$4,"2 Item No.","@@"&amp;$F1184,"3 Posting Date",J$9)-NL("Sum","5802 Value Entry","43 Cost Amount (Actual)","41 Source Type",$C$5,"5 Source no.",$C1184,"4 Item Ledger Entry Type",$C$4,"2 Item No.","@@"&amp;$F1184,"3 Posting Date",J$9)</t>
  </si>
  <si>
    <t>=J1184-L1184</t>
  </si>
  <si>
    <t>=IF(J1184&lt;&gt;0,M1184/J1184,"")</t>
  </si>
  <si>
    <t>=NL("Sum","5802 Value Entry","150 Sales Amount (Expected)","41 Source Type",$C$5,"5 Source No.",$C1184,"4 Item Ledger Entry Type",$C$4,"2 Item No.","@@"&amp;$F1184,"3 Posting Date",O$9)+NL("Sum","5802 Value Entry","17 Sales Amount (Actual)","41 Source Type",$C$5,"5 Source no.",$C1184,"4 Item Ledger Entry Type",$C$4,"2 Item No.","@@"&amp;$F1184,"3 Posting Date",O$9)</t>
  </si>
  <si>
    <t>=-NL("Sum","5802 Value Entry","151 Cost Amount (Expected)","41 Source Type",$C$5,"5 Source No.",$C1184,"4 Item Ledger Entry Type",$C$4,"2 Item No.","@@"&amp;$F1184,"3 Posting Date",O$9)-NL("Sum","5802 Value Entry","43 Cost Amount (Actual)","41 Source Type",$C$5,"5 Source no.",$C1184,"4 Item Ledger Entry Type",$C$4,"2 Item No.","@@"&amp;$F1184,"3 Posting Date",O$9)</t>
  </si>
  <si>
    <t>=O1184-Q1184</t>
  </si>
  <si>
    <t>=IF(O1184&lt;&gt;0,R1184/O1184,"")</t>
  </si>
  <si>
    <t>=NL("Sum","5802 Value Entry","150 Sales Amount (Expected)","41 Source Type",$C$5,"5 Source No.",$C1184,"4 Item Ledger Entry Type",$C$4,"2 Item No.","@@"&amp;$F1184,"3 Posting Date",U$9)+NL("Sum","5802 Value Entry","17 Sales Amount (Actual)","41 Source Type",$C$5,"5 Source no.",$C1184,"4 Item Ledger Entry Type",$C$4,"2 Item No.","@@"&amp;$F1184,"3 Posting Date",U$9)</t>
  </si>
  <si>
    <t>=-NL("Sum","5802 Value Entry","151 Cost Amount (Expected)","41 Source Type",$C$5,"5 Source No.",$C1184,"4 Item Ledger Entry Type",$C$4,"2 Item No.","@@"&amp;$F1184,"3 Posting Date",U$9)-NL("Sum","5802 Value Entry","43 Cost Amount (Actual)","41 Source Type",$C$5,"5 Source no.",$C1184,"4 Item Ledger Entry Type",$C$4,"2 Item No.","@@"&amp;$F1184,"3 Posting Date",U$9)</t>
  </si>
  <si>
    <t>=U1184-W1184</t>
  </si>
  <si>
    <t>=IF(U1184&lt;&gt;0,X1184/U1184,"")</t>
  </si>
  <si>
    <t>=NL("Sum","5802 Value Entry","150 Sales Amount (Expected)","41 Source Type",$C$5,"5 Source No.",$C1184,"4 Item Ledger Entry Type",$C$4,"2 Item No.","@@"&amp;$F1184,"3 Posting Date",Z$9)+NL("Sum","5802 Value Entry","17 Sales Amount (Actual)","41 Source Type",$C$5,"5 Source no.",$C1184,"4 Item Ledger Entry Type",$C$4,"2 Item No.","@@"&amp;$F1184,"3 Posting Date",Z$9)</t>
  </si>
  <si>
    <t>=-NL("Sum","5802 Value Entry","151 Cost Amount (Expected)","41 Source Type",$C$5,"5 Source No.",$C1184,"4 Item Ledger Entry Type",$C$4,"2 Item No.","@@"&amp;$F1184,"3 Posting Date",Z$9)-NL("Sum","5802 Value Entry","43 Cost Amount (Actual)","41 Source Type",$C$5,"5 Source no.",$C1184,"4 Item Ledger Entry Type",$C$4,"2 Item No.","@@"&amp;$F1184,"3 Posting Date",Z$9)</t>
  </si>
  <si>
    <t>=Z1184-AB1184</t>
  </si>
  <si>
    <t>=IF(Z1184&lt;&gt;0,AC1184/Z1184,"")</t>
  </si>
  <si>
    <t>=C1184</t>
  </si>
  <si>
    <t>=NL("Sum","5802 Value Entry","150 Sales Amount (Expected)","41 Source Type",$C$5,"5 Source No.",$C1185,"4 Item Ledger Entry Type",$C$4,"2 Item No.","@@"&amp;$F1185,"3 Posting Date",J$9)+NL("Sum","5802 Value Entry","17 Sales Amount (Actual)","41 Source Type",$C$5,"5 Source no.",$C1185,"4 Item Ledger Entry Type",$C$4,"2 Item No.","@@"&amp;$F1185,"3 Posting Date",J$9)</t>
  </si>
  <si>
    <t>=-NL("Sum","5802 Value Entry","151 Cost Amount (Expected)","41 Source Type",$C$5,"5 Source No.",$C1185,"4 Item Ledger Entry Type",$C$4,"2 Item No.","@@"&amp;$F1185,"3 Posting Date",J$9)-NL("Sum","5802 Value Entry","43 Cost Amount (Actual)","41 Source Type",$C$5,"5 Source no.",$C1185,"4 Item Ledger Entry Type",$C$4,"2 Item No.","@@"&amp;$F1185,"3 Posting Date",J$9)</t>
  </si>
  <si>
    <t>=J1185-L1185</t>
  </si>
  <si>
    <t>=IF(J1185&lt;&gt;0,M1185/J1185,"")</t>
  </si>
  <si>
    <t>=NL("Sum","5802 Value Entry","150 Sales Amount (Expected)","41 Source Type",$C$5,"5 Source No.",$C1185,"4 Item Ledger Entry Type",$C$4,"2 Item No.","@@"&amp;$F1185,"3 Posting Date",O$9)+NL("Sum","5802 Value Entry","17 Sales Amount (Actual)","41 Source Type",$C$5,"5 Source no.",$C1185,"4 Item Ledger Entry Type",$C$4,"2 Item No.","@@"&amp;$F1185,"3 Posting Date",O$9)</t>
  </si>
  <si>
    <t>=-NL("Sum","5802 Value Entry","151 Cost Amount (Expected)","41 Source Type",$C$5,"5 Source No.",$C1185,"4 Item Ledger Entry Type",$C$4,"2 Item No.","@@"&amp;$F1185,"3 Posting Date",O$9)-NL("Sum","5802 Value Entry","43 Cost Amount (Actual)","41 Source Type",$C$5,"5 Source no.",$C1185,"4 Item Ledger Entry Type",$C$4,"2 Item No.","@@"&amp;$F1185,"3 Posting Date",O$9)</t>
  </si>
  <si>
    <t>=O1185-Q1185</t>
  </si>
  <si>
    <t>=IF(O1185&lt;&gt;0,R1185/O1185,"")</t>
  </si>
  <si>
    <t>=NL("Sum","5802 Value Entry","150 Sales Amount (Expected)","41 Source Type",$C$5,"5 Source No.",$C1185,"4 Item Ledger Entry Type",$C$4,"2 Item No.","@@"&amp;$F1185,"3 Posting Date",U$9)+NL("Sum","5802 Value Entry","17 Sales Amount (Actual)","41 Source Type",$C$5,"5 Source no.",$C1185,"4 Item Ledger Entry Type",$C$4,"2 Item No.","@@"&amp;$F1185,"3 Posting Date",U$9)</t>
  </si>
  <si>
    <t>=-NL("Sum","5802 Value Entry","151 Cost Amount (Expected)","41 Source Type",$C$5,"5 Source No.",$C1185,"4 Item Ledger Entry Type",$C$4,"2 Item No.","@@"&amp;$F1185,"3 Posting Date",U$9)-NL("Sum","5802 Value Entry","43 Cost Amount (Actual)","41 Source Type",$C$5,"5 Source no.",$C1185,"4 Item Ledger Entry Type",$C$4,"2 Item No.","@@"&amp;$F1185,"3 Posting Date",U$9)</t>
  </si>
  <si>
    <t>=U1185-W1185</t>
  </si>
  <si>
    <t>=IF(U1185&lt;&gt;0,X1185/U1185,"")</t>
  </si>
  <si>
    <t>=NL("Sum","5802 Value Entry","150 Sales Amount (Expected)","41 Source Type",$C$5,"5 Source No.",$C1185,"4 Item Ledger Entry Type",$C$4,"2 Item No.","@@"&amp;$F1185,"3 Posting Date",Z$9)+NL("Sum","5802 Value Entry","17 Sales Amount (Actual)","41 Source Type",$C$5,"5 Source no.",$C1185,"4 Item Ledger Entry Type",$C$4,"2 Item No.","@@"&amp;$F1185,"3 Posting Date",Z$9)</t>
  </si>
  <si>
    <t>=-NL("Sum","5802 Value Entry","151 Cost Amount (Expected)","41 Source Type",$C$5,"5 Source No.",$C1185,"4 Item Ledger Entry Type",$C$4,"2 Item No.","@@"&amp;$F1185,"3 Posting Date",Z$9)-NL("Sum","5802 Value Entry","43 Cost Amount (Actual)","41 Source Type",$C$5,"5 Source no.",$C1185,"4 Item Ledger Entry Type",$C$4,"2 Item No.","@@"&amp;$F1185,"3 Posting Date",Z$9)</t>
  </si>
  <si>
    <t>=Z1185-AB1185</t>
  </si>
  <si>
    <t>=IF(Z1185&lt;&gt;0,AC1185/Z1185,"")</t>
  </si>
  <si>
    <t>=C1185</t>
  </si>
  <si>
    <t>=NL("Sum","5802 Value Entry","150 Sales Amount (Expected)","41 Source Type",$C$5,"5 Source No.",$C1186,"4 Item Ledger Entry Type",$C$4,"2 Item No.","@@"&amp;$F1186,"3 Posting Date",J$9)+NL("Sum","5802 Value Entry","17 Sales Amount (Actual)","41 Source Type",$C$5,"5 Source no.",$C1186,"4 Item Ledger Entry Type",$C$4,"2 Item No.","@@"&amp;$F1186,"3 Posting Date",J$9)</t>
  </si>
  <si>
    <t>=-NL("Sum","5802 Value Entry","151 Cost Amount (Expected)","41 Source Type",$C$5,"5 Source No.",$C1186,"4 Item Ledger Entry Type",$C$4,"2 Item No.","@@"&amp;$F1186,"3 Posting Date",J$9)-NL("Sum","5802 Value Entry","43 Cost Amount (Actual)","41 Source Type",$C$5,"5 Source no.",$C1186,"4 Item Ledger Entry Type",$C$4,"2 Item No.","@@"&amp;$F1186,"3 Posting Date",J$9)</t>
  </si>
  <si>
    <t>=J1186-L1186</t>
  </si>
  <si>
    <t>=IF(J1186&lt;&gt;0,M1186/J1186,"")</t>
  </si>
  <si>
    <t>=NL("Sum","5802 Value Entry","150 Sales Amount (Expected)","41 Source Type",$C$5,"5 Source No.",$C1186,"4 Item Ledger Entry Type",$C$4,"2 Item No.","@@"&amp;$F1186,"3 Posting Date",O$9)+NL("Sum","5802 Value Entry","17 Sales Amount (Actual)","41 Source Type",$C$5,"5 Source no.",$C1186,"4 Item Ledger Entry Type",$C$4,"2 Item No.","@@"&amp;$F1186,"3 Posting Date",O$9)</t>
  </si>
  <si>
    <t>=-NL("Sum","5802 Value Entry","151 Cost Amount (Expected)","41 Source Type",$C$5,"5 Source No.",$C1186,"4 Item Ledger Entry Type",$C$4,"2 Item No.","@@"&amp;$F1186,"3 Posting Date",O$9)-NL("Sum","5802 Value Entry","43 Cost Amount (Actual)","41 Source Type",$C$5,"5 Source no.",$C1186,"4 Item Ledger Entry Type",$C$4,"2 Item No.","@@"&amp;$F1186,"3 Posting Date",O$9)</t>
  </si>
  <si>
    <t>=O1186-Q1186</t>
  </si>
  <si>
    <t>=IF(O1186&lt;&gt;0,R1186/O1186,"")</t>
  </si>
  <si>
    <t>=NL("Sum","5802 Value Entry","150 Sales Amount (Expected)","41 Source Type",$C$5,"5 Source No.",$C1186,"4 Item Ledger Entry Type",$C$4,"2 Item No.","@@"&amp;$F1186,"3 Posting Date",U$9)+NL("Sum","5802 Value Entry","17 Sales Amount (Actual)","41 Source Type",$C$5,"5 Source no.",$C1186,"4 Item Ledger Entry Type",$C$4,"2 Item No.","@@"&amp;$F1186,"3 Posting Date",U$9)</t>
  </si>
  <si>
    <t>=-NL("Sum","5802 Value Entry","151 Cost Amount (Expected)","41 Source Type",$C$5,"5 Source No.",$C1186,"4 Item Ledger Entry Type",$C$4,"2 Item No.","@@"&amp;$F1186,"3 Posting Date",U$9)-NL("Sum","5802 Value Entry","43 Cost Amount (Actual)","41 Source Type",$C$5,"5 Source no.",$C1186,"4 Item Ledger Entry Type",$C$4,"2 Item No.","@@"&amp;$F1186,"3 Posting Date",U$9)</t>
  </si>
  <si>
    <t>=U1186-W1186</t>
  </si>
  <si>
    <t>=IF(U1186&lt;&gt;0,X1186/U1186,"")</t>
  </si>
  <si>
    <t>=NL("Sum","5802 Value Entry","150 Sales Amount (Expected)","41 Source Type",$C$5,"5 Source No.",$C1186,"4 Item Ledger Entry Type",$C$4,"2 Item No.","@@"&amp;$F1186,"3 Posting Date",Z$9)+NL("Sum","5802 Value Entry","17 Sales Amount (Actual)","41 Source Type",$C$5,"5 Source no.",$C1186,"4 Item Ledger Entry Type",$C$4,"2 Item No.","@@"&amp;$F1186,"3 Posting Date",Z$9)</t>
  </si>
  <si>
    <t>=-NL("Sum","5802 Value Entry","151 Cost Amount (Expected)","41 Source Type",$C$5,"5 Source No.",$C1186,"4 Item Ledger Entry Type",$C$4,"2 Item No.","@@"&amp;$F1186,"3 Posting Date",Z$9)-NL("Sum","5802 Value Entry","43 Cost Amount (Actual)","41 Source Type",$C$5,"5 Source no.",$C1186,"4 Item Ledger Entry Type",$C$4,"2 Item No.","@@"&amp;$F1186,"3 Posting Date",Z$9)</t>
  </si>
  <si>
    <t>=Z1186-AB1186</t>
  </si>
  <si>
    <t>=IF(Z1186&lt;&gt;0,AC1186/Z1186,"")</t>
  </si>
  <si>
    <t>=C1186</t>
  </si>
  <si>
    <t>=NL("Sum","5802 Value Entry","150 Sales Amount (Expected)","41 Source Type",$C$5,"5 Source No.",$C1187,"4 Item Ledger Entry Type",$C$4,"2 Item No.","@@"&amp;$F1187,"3 Posting Date",J$9)+NL("Sum","5802 Value Entry","17 Sales Amount (Actual)","41 Source Type",$C$5,"5 Source no.",$C1187,"4 Item Ledger Entry Type",$C$4,"2 Item No.","@@"&amp;$F1187,"3 Posting Date",J$9)</t>
  </si>
  <si>
    <t>=-NL("Sum","5802 Value Entry","151 Cost Amount (Expected)","41 Source Type",$C$5,"5 Source No.",$C1187,"4 Item Ledger Entry Type",$C$4,"2 Item No.","@@"&amp;$F1187,"3 Posting Date",J$9)-NL("Sum","5802 Value Entry","43 Cost Amount (Actual)","41 Source Type",$C$5,"5 Source no.",$C1187,"4 Item Ledger Entry Type",$C$4,"2 Item No.","@@"&amp;$F1187,"3 Posting Date",J$9)</t>
  </si>
  <si>
    <t>=J1187-L1187</t>
  </si>
  <si>
    <t>=IF(J1187&lt;&gt;0,M1187/J1187,"")</t>
  </si>
  <si>
    <t>=NL("Sum","5802 Value Entry","150 Sales Amount (Expected)","41 Source Type",$C$5,"5 Source No.",$C1187,"4 Item Ledger Entry Type",$C$4,"2 Item No.","@@"&amp;$F1187,"3 Posting Date",O$9)+NL("Sum","5802 Value Entry","17 Sales Amount (Actual)","41 Source Type",$C$5,"5 Source no.",$C1187,"4 Item Ledger Entry Type",$C$4,"2 Item No.","@@"&amp;$F1187,"3 Posting Date",O$9)</t>
  </si>
  <si>
    <t>=-NL("Sum","5802 Value Entry","151 Cost Amount (Expected)","41 Source Type",$C$5,"5 Source No.",$C1187,"4 Item Ledger Entry Type",$C$4,"2 Item No.","@@"&amp;$F1187,"3 Posting Date",O$9)-NL("Sum","5802 Value Entry","43 Cost Amount (Actual)","41 Source Type",$C$5,"5 Source no.",$C1187,"4 Item Ledger Entry Type",$C$4,"2 Item No.","@@"&amp;$F1187,"3 Posting Date",O$9)</t>
  </si>
  <si>
    <t>=O1187-Q1187</t>
  </si>
  <si>
    <t>=IF(O1187&lt;&gt;0,R1187/O1187,"")</t>
  </si>
  <si>
    <t>=NL("Sum","5802 Value Entry","150 Sales Amount (Expected)","41 Source Type",$C$5,"5 Source No.",$C1187,"4 Item Ledger Entry Type",$C$4,"2 Item No.","@@"&amp;$F1187,"3 Posting Date",U$9)+NL("Sum","5802 Value Entry","17 Sales Amount (Actual)","41 Source Type",$C$5,"5 Source no.",$C1187,"4 Item Ledger Entry Type",$C$4,"2 Item No.","@@"&amp;$F1187,"3 Posting Date",U$9)</t>
  </si>
  <si>
    <t>=-NL("Sum","5802 Value Entry","151 Cost Amount (Expected)","41 Source Type",$C$5,"5 Source No.",$C1187,"4 Item Ledger Entry Type",$C$4,"2 Item No.","@@"&amp;$F1187,"3 Posting Date",U$9)-NL("Sum","5802 Value Entry","43 Cost Amount (Actual)","41 Source Type",$C$5,"5 Source no.",$C1187,"4 Item Ledger Entry Type",$C$4,"2 Item No.","@@"&amp;$F1187,"3 Posting Date",U$9)</t>
  </si>
  <si>
    <t>=U1187-W1187</t>
  </si>
  <si>
    <t>=IF(U1187&lt;&gt;0,X1187/U1187,"")</t>
  </si>
  <si>
    <t>=NL("Sum","5802 Value Entry","150 Sales Amount (Expected)","41 Source Type",$C$5,"5 Source No.",$C1187,"4 Item Ledger Entry Type",$C$4,"2 Item No.","@@"&amp;$F1187,"3 Posting Date",Z$9)+NL("Sum","5802 Value Entry","17 Sales Amount (Actual)","41 Source Type",$C$5,"5 Source no.",$C1187,"4 Item Ledger Entry Type",$C$4,"2 Item No.","@@"&amp;$F1187,"3 Posting Date",Z$9)</t>
  </si>
  <si>
    <t>=-NL("Sum","5802 Value Entry","151 Cost Amount (Expected)","41 Source Type",$C$5,"5 Source No.",$C1187,"4 Item Ledger Entry Type",$C$4,"2 Item No.","@@"&amp;$F1187,"3 Posting Date",Z$9)-NL("Sum","5802 Value Entry","43 Cost Amount (Actual)","41 Source Type",$C$5,"5 Source no.",$C1187,"4 Item Ledger Entry Type",$C$4,"2 Item No.","@@"&amp;$F1187,"3 Posting Date",Z$9)</t>
  </si>
  <si>
    <t>=Z1187-AB1187</t>
  </si>
  <si>
    <t>=IF(Z1187&lt;&gt;0,AC1187/Z1187,"")</t>
  </si>
  <si>
    <t>=C1187</t>
  </si>
  <si>
    <t>=NL("Sum","5802 Value Entry","150 Sales Amount (Expected)","41 Source Type",$C$5,"5 Source No.",$C1188,"4 Item Ledger Entry Type",$C$4,"2 Item No.","@@"&amp;$F1188,"3 Posting Date",J$9)+NL("Sum","5802 Value Entry","17 Sales Amount (Actual)","41 Source Type",$C$5,"5 Source no.",$C1188,"4 Item Ledger Entry Type",$C$4,"2 Item No.","@@"&amp;$F1188,"3 Posting Date",J$9)</t>
  </si>
  <si>
    <t>=-NL("Sum","5802 Value Entry","151 Cost Amount (Expected)","41 Source Type",$C$5,"5 Source No.",$C1188,"4 Item Ledger Entry Type",$C$4,"2 Item No.","@@"&amp;$F1188,"3 Posting Date",J$9)-NL("Sum","5802 Value Entry","43 Cost Amount (Actual)","41 Source Type",$C$5,"5 Source no.",$C1188,"4 Item Ledger Entry Type",$C$4,"2 Item No.","@@"&amp;$F1188,"3 Posting Date",J$9)</t>
  </si>
  <si>
    <t>=J1188-L1188</t>
  </si>
  <si>
    <t>=IF(J1188&lt;&gt;0,M1188/J1188,"")</t>
  </si>
  <si>
    <t>=NL("Sum","5802 Value Entry","150 Sales Amount (Expected)","41 Source Type",$C$5,"5 Source No.",$C1188,"4 Item Ledger Entry Type",$C$4,"2 Item No.","@@"&amp;$F1188,"3 Posting Date",O$9)+NL("Sum","5802 Value Entry","17 Sales Amount (Actual)","41 Source Type",$C$5,"5 Source no.",$C1188,"4 Item Ledger Entry Type",$C$4,"2 Item No.","@@"&amp;$F1188,"3 Posting Date",O$9)</t>
  </si>
  <si>
    <t>=-NL("Sum","5802 Value Entry","151 Cost Amount (Expected)","41 Source Type",$C$5,"5 Source No.",$C1188,"4 Item Ledger Entry Type",$C$4,"2 Item No.","@@"&amp;$F1188,"3 Posting Date",O$9)-NL("Sum","5802 Value Entry","43 Cost Amount (Actual)","41 Source Type",$C$5,"5 Source no.",$C1188,"4 Item Ledger Entry Type",$C$4,"2 Item No.","@@"&amp;$F1188,"3 Posting Date",O$9)</t>
  </si>
  <si>
    <t>=O1188-Q1188</t>
  </si>
  <si>
    <t>=IF(O1188&lt;&gt;0,R1188/O1188,"")</t>
  </si>
  <si>
    <t>=NL("Sum","5802 Value Entry","150 Sales Amount (Expected)","41 Source Type",$C$5,"5 Source No.",$C1188,"4 Item Ledger Entry Type",$C$4,"2 Item No.","@@"&amp;$F1188,"3 Posting Date",U$9)+NL("Sum","5802 Value Entry","17 Sales Amount (Actual)","41 Source Type",$C$5,"5 Source no.",$C1188,"4 Item Ledger Entry Type",$C$4,"2 Item No.","@@"&amp;$F1188,"3 Posting Date",U$9)</t>
  </si>
  <si>
    <t>=-NL("Sum","5802 Value Entry","151 Cost Amount (Expected)","41 Source Type",$C$5,"5 Source No.",$C1188,"4 Item Ledger Entry Type",$C$4,"2 Item No.","@@"&amp;$F1188,"3 Posting Date",U$9)-NL("Sum","5802 Value Entry","43 Cost Amount (Actual)","41 Source Type",$C$5,"5 Source no.",$C1188,"4 Item Ledger Entry Type",$C$4,"2 Item No.","@@"&amp;$F1188,"3 Posting Date",U$9)</t>
  </si>
  <si>
    <t>=U1188-W1188</t>
  </si>
  <si>
    <t>=IF(U1188&lt;&gt;0,X1188/U1188,"")</t>
  </si>
  <si>
    <t>=NL("Sum","5802 Value Entry","150 Sales Amount (Expected)","41 Source Type",$C$5,"5 Source No.",$C1188,"4 Item Ledger Entry Type",$C$4,"2 Item No.","@@"&amp;$F1188,"3 Posting Date",Z$9)+NL("Sum","5802 Value Entry","17 Sales Amount (Actual)","41 Source Type",$C$5,"5 Source no.",$C1188,"4 Item Ledger Entry Type",$C$4,"2 Item No.","@@"&amp;$F1188,"3 Posting Date",Z$9)</t>
  </si>
  <si>
    <t>=-NL("Sum","5802 Value Entry","151 Cost Amount (Expected)","41 Source Type",$C$5,"5 Source No.",$C1188,"4 Item Ledger Entry Type",$C$4,"2 Item No.","@@"&amp;$F1188,"3 Posting Date",Z$9)-NL("Sum","5802 Value Entry","43 Cost Amount (Actual)","41 Source Type",$C$5,"5 Source no.",$C1188,"4 Item Ledger Entry Type",$C$4,"2 Item No.","@@"&amp;$F1188,"3 Posting Date",Z$9)</t>
  </si>
  <si>
    <t>=Z1188-AB1188</t>
  </si>
  <si>
    <t>=IF(Z1188&lt;&gt;0,AC1188/Z1188,"")</t>
  </si>
  <si>
    <t>=C1188</t>
  </si>
  <si>
    <t>=NL("Sum","5802 Value Entry","150 Sales Amount (Expected)","41 Source Type",$C$5,"5 Source No.",$C1189,"4 Item Ledger Entry Type",$C$4,"2 Item No.","@@"&amp;$F1189,"3 Posting Date",J$9)+NL("Sum","5802 Value Entry","17 Sales Amount (Actual)","41 Source Type",$C$5,"5 Source no.",$C1189,"4 Item Ledger Entry Type",$C$4,"2 Item No.","@@"&amp;$F1189,"3 Posting Date",J$9)</t>
  </si>
  <si>
    <t>=-NL("Sum","5802 Value Entry","151 Cost Amount (Expected)","41 Source Type",$C$5,"5 Source No.",$C1189,"4 Item Ledger Entry Type",$C$4,"2 Item No.","@@"&amp;$F1189,"3 Posting Date",J$9)-NL("Sum","5802 Value Entry","43 Cost Amount (Actual)","41 Source Type",$C$5,"5 Source no.",$C1189,"4 Item Ledger Entry Type",$C$4,"2 Item No.","@@"&amp;$F1189,"3 Posting Date",J$9)</t>
  </si>
  <si>
    <t>=J1189-L1189</t>
  </si>
  <si>
    <t>=IF(J1189&lt;&gt;0,M1189/J1189,"")</t>
  </si>
  <si>
    <t>=NL("Sum","5802 Value Entry","150 Sales Amount (Expected)","41 Source Type",$C$5,"5 Source No.",$C1189,"4 Item Ledger Entry Type",$C$4,"2 Item No.","@@"&amp;$F1189,"3 Posting Date",O$9)+NL("Sum","5802 Value Entry","17 Sales Amount (Actual)","41 Source Type",$C$5,"5 Source no.",$C1189,"4 Item Ledger Entry Type",$C$4,"2 Item No.","@@"&amp;$F1189,"3 Posting Date",O$9)</t>
  </si>
  <si>
    <t>=-NL("Sum","5802 Value Entry","151 Cost Amount (Expected)","41 Source Type",$C$5,"5 Source No.",$C1189,"4 Item Ledger Entry Type",$C$4,"2 Item No.","@@"&amp;$F1189,"3 Posting Date",O$9)-NL("Sum","5802 Value Entry","43 Cost Amount (Actual)","41 Source Type",$C$5,"5 Source no.",$C1189,"4 Item Ledger Entry Type",$C$4,"2 Item No.","@@"&amp;$F1189,"3 Posting Date",O$9)</t>
  </si>
  <si>
    <t>=O1189-Q1189</t>
  </si>
  <si>
    <t>=IF(O1189&lt;&gt;0,R1189/O1189,"")</t>
  </si>
  <si>
    <t>=NL("Sum","5802 Value Entry","150 Sales Amount (Expected)","41 Source Type",$C$5,"5 Source No.",$C1189,"4 Item Ledger Entry Type",$C$4,"2 Item No.","@@"&amp;$F1189,"3 Posting Date",U$9)+NL("Sum","5802 Value Entry","17 Sales Amount (Actual)","41 Source Type",$C$5,"5 Source no.",$C1189,"4 Item Ledger Entry Type",$C$4,"2 Item No.","@@"&amp;$F1189,"3 Posting Date",U$9)</t>
  </si>
  <si>
    <t>=-NL("Sum","5802 Value Entry","151 Cost Amount (Expected)","41 Source Type",$C$5,"5 Source No.",$C1189,"4 Item Ledger Entry Type",$C$4,"2 Item No.","@@"&amp;$F1189,"3 Posting Date",U$9)-NL("Sum","5802 Value Entry","43 Cost Amount (Actual)","41 Source Type",$C$5,"5 Source no.",$C1189,"4 Item Ledger Entry Type",$C$4,"2 Item No.","@@"&amp;$F1189,"3 Posting Date",U$9)</t>
  </si>
  <si>
    <t>=U1189-W1189</t>
  </si>
  <si>
    <t>=IF(U1189&lt;&gt;0,X1189/U1189,"")</t>
  </si>
  <si>
    <t>=NL("Sum","5802 Value Entry","150 Sales Amount (Expected)","41 Source Type",$C$5,"5 Source No.",$C1189,"4 Item Ledger Entry Type",$C$4,"2 Item No.","@@"&amp;$F1189,"3 Posting Date",Z$9)+NL("Sum","5802 Value Entry","17 Sales Amount (Actual)","41 Source Type",$C$5,"5 Source no.",$C1189,"4 Item Ledger Entry Type",$C$4,"2 Item No.","@@"&amp;$F1189,"3 Posting Date",Z$9)</t>
  </si>
  <si>
    <t>=-NL("Sum","5802 Value Entry","151 Cost Amount (Expected)","41 Source Type",$C$5,"5 Source No.",$C1189,"4 Item Ledger Entry Type",$C$4,"2 Item No.","@@"&amp;$F1189,"3 Posting Date",Z$9)-NL("Sum","5802 Value Entry","43 Cost Amount (Actual)","41 Source Type",$C$5,"5 Source no.",$C1189,"4 Item Ledger Entry Type",$C$4,"2 Item No.","@@"&amp;$F1189,"3 Posting Date",Z$9)</t>
  </si>
  <si>
    <t>=Z1189-AB1189</t>
  </si>
  <si>
    <t>=IF(Z1189&lt;&gt;0,AC1189/Z1189,"")</t>
  </si>
  <si>
    <t>=C1189</t>
  </si>
  <si>
    <t>=NL("Sum","5802 Value Entry","150 Sales Amount (Expected)","41 Source Type",$C$5,"5 Source No.",$C1190,"4 Item Ledger Entry Type",$C$4,"2 Item No.","@@"&amp;$F1190,"3 Posting Date",J$9)+NL("Sum","5802 Value Entry","17 Sales Amount (Actual)","41 Source Type",$C$5,"5 Source no.",$C1190,"4 Item Ledger Entry Type",$C$4,"2 Item No.","@@"&amp;$F1190,"3 Posting Date",J$9)</t>
  </si>
  <si>
    <t>=-NL("Sum","5802 Value Entry","151 Cost Amount (Expected)","41 Source Type",$C$5,"5 Source No.",$C1190,"4 Item Ledger Entry Type",$C$4,"2 Item No.","@@"&amp;$F1190,"3 Posting Date",J$9)-NL("Sum","5802 Value Entry","43 Cost Amount (Actual)","41 Source Type",$C$5,"5 Source no.",$C1190,"4 Item Ledger Entry Type",$C$4,"2 Item No.","@@"&amp;$F1190,"3 Posting Date",J$9)</t>
  </si>
  <si>
    <t>=J1190-L1190</t>
  </si>
  <si>
    <t>=IF(J1190&lt;&gt;0,M1190/J1190,"")</t>
  </si>
  <si>
    <t>=NL("Sum","5802 Value Entry","150 Sales Amount (Expected)","41 Source Type",$C$5,"5 Source No.",$C1190,"4 Item Ledger Entry Type",$C$4,"2 Item No.","@@"&amp;$F1190,"3 Posting Date",O$9)+NL("Sum","5802 Value Entry","17 Sales Amount (Actual)","41 Source Type",$C$5,"5 Source no.",$C1190,"4 Item Ledger Entry Type",$C$4,"2 Item No.","@@"&amp;$F1190,"3 Posting Date",O$9)</t>
  </si>
  <si>
    <t>=-NL("Sum","5802 Value Entry","151 Cost Amount (Expected)","41 Source Type",$C$5,"5 Source No.",$C1190,"4 Item Ledger Entry Type",$C$4,"2 Item No.","@@"&amp;$F1190,"3 Posting Date",O$9)-NL("Sum","5802 Value Entry","43 Cost Amount (Actual)","41 Source Type",$C$5,"5 Source no.",$C1190,"4 Item Ledger Entry Type",$C$4,"2 Item No.","@@"&amp;$F1190,"3 Posting Date",O$9)</t>
  </si>
  <si>
    <t>=O1190-Q1190</t>
  </si>
  <si>
    <t>=IF(O1190&lt;&gt;0,R1190/O1190,"")</t>
  </si>
  <si>
    <t>=NL("Sum","5802 Value Entry","150 Sales Amount (Expected)","41 Source Type",$C$5,"5 Source No.",$C1190,"4 Item Ledger Entry Type",$C$4,"2 Item No.","@@"&amp;$F1190,"3 Posting Date",U$9)+NL("Sum","5802 Value Entry","17 Sales Amount (Actual)","41 Source Type",$C$5,"5 Source no.",$C1190,"4 Item Ledger Entry Type",$C$4,"2 Item No.","@@"&amp;$F1190,"3 Posting Date",U$9)</t>
  </si>
  <si>
    <t>=-NL("Sum","5802 Value Entry","151 Cost Amount (Expected)","41 Source Type",$C$5,"5 Source No.",$C1190,"4 Item Ledger Entry Type",$C$4,"2 Item No.","@@"&amp;$F1190,"3 Posting Date",U$9)-NL("Sum","5802 Value Entry","43 Cost Amount (Actual)","41 Source Type",$C$5,"5 Source no.",$C1190,"4 Item Ledger Entry Type",$C$4,"2 Item No.","@@"&amp;$F1190,"3 Posting Date",U$9)</t>
  </si>
  <si>
    <t>=U1190-W1190</t>
  </si>
  <si>
    <t>=IF(U1190&lt;&gt;0,X1190/U1190,"")</t>
  </si>
  <si>
    <t>=NL("Sum","5802 Value Entry","150 Sales Amount (Expected)","41 Source Type",$C$5,"5 Source No.",$C1190,"4 Item Ledger Entry Type",$C$4,"2 Item No.","@@"&amp;$F1190,"3 Posting Date",Z$9)+NL("Sum","5802 Value Entry","17 Sales Amount (Actual)","41 Source Type",$C$5,"5 Source no.",$C1190,"4 Item Ledger Entry Type",$C$4,"2 Item No.","@@"&amp;$F1190,"3 Posting Date",Z$9)</t>
  </si>
  <si>
    <t>=-NL("Sum","5802 Value Entry","151 Cost Amount (Expected)","41 Source Type",$C$5,"5 Source No.",$C1190,"4 Item Ledger Entry Type",$C$4,"2 Item No.","@@"&amp;$F1190,"3 Posting Date",Z$9)-NL("Sum","5802 Value Entry","43 Cost Amount (Actual)","41 Source Type",$C$5,"5 Source no.",$C1190,"4 Item Ledger Entry Type",$C$4,"2 Item No.","@@"&amp;$F1190,"3 Posting Date",Z$9)</t>
  </si>
  <si>
    <t>=Z1190-AB1190</t>
  </si>
  <si>
    <t>=IF(Z1190&lt;&gt;0,AC1190/Z1190,"")</t>
  </si>
  <si>
    <t>=C1191</t>
  </si>
  <si>
    <t>=J1192-L1192</t>
  </si>
  <si>
    <t>=IF(J1192&lt;&gt;0,M1192/J1192,"")</t>
  </si>
  <si>
    <t>=O1192-Q1192</t>
  </si>
  <si>
    <t>=IF(O1192&lt;&gt;0,R1192/O1192,"")</t>
  </si>
  <si>
    <t>=U1192-W1192</t>
  </si>
  <si>
    <t>=IF(U1192&lt;&gt;0,X1192/U1192,"")</t>
  </si>
  <si>
    <t>=Z1192-AB1192</t>
  </si>
  <si>
    <t>=IF(Z1192&lt;&gt;0,AC1192/Z1192,"")</t>
  </si>
  <si>
    <t>=C1194</t>
  </si>
  <si>
    <t>=C1195</t>
  </si>
  <si>
    <t>=NL("Sum","5802 Value Entry","150 Sales Amount (Expected)","41 Source Type",$C$5,"5 Source No.",$C1196,"4 Item Ledger Entry Type",$C$4,"2 Item No.","@@"&amp;$F1196,"3 Posting Date",J$9)+NL("Sum","5802 Value Entry","17 Sales Amount (Actual)","41 Source Type",$C$5,"5 Source no.",$C1196,"4 Item Ledger Entry Type",$C$4,"2 Item No.","@@"&amp;$F1196,"3 Posting Date",J$9)</t>
  </si>
  <si>
    <t>=-NL("Sum","5802 Value Entry","151 Cost Amount (Expected)","41 Source Type",$C$5,"5 Source No.",$C1196,"4 Item Ledger Entry Type",$C$4,"2 Item No.","@@"&amp;$F1196,"3 Posting Date",J$9)-NL("Sum","5802 Value Entry","43 Cost Amount (Actual)","41 Source Type",$C$5,"5 Source no.",$C1196,"4 Item Ledger Entry Type",$C$4,"2 Item No.","@@"&amp;$F1196,"3 Posting Date",J$9)</t>
  </si>
  <si>
    <t>=J1196-L1196</t>
  </si>
  <si>
    <t>=IF(J1196&lt;&gt;0,M1196/J1196,"")</t>
  </si>
  <si>
    <t>=NL("Sum","5802 Value Entry","150 Sales Amount (Expected)","41 Source Type",$C$5,"5 Source No.",$C1196,"4 Item Ledger Entry Type",$C$4,"2 Item No.","@@"&amp;$F1196,"3 Posting Date",O$9)+NL("Sum","5802 Value Entry","17 Sales Amount (Actual)","41 Source Type",$C$5,"5 Source no.",$C1196,"4 Item Ledger Entry Type",$C$4,"2 Item No.","@@"&amp;$F1196,"3 Posting Date",O$9)</t>
  </si>
  <si>
    <t>=-NL("Sum","5802 Value Entry","151 Cost Amount (Expected)","41 Source Type",$C$5,"5 Source No.",$C1196,"4 Item Ledger Entry Type",$C$4,"2 Item No.","@@"&amp;$F1196,"3 Posting Date",O$9)-NL("Sum","5802 Value Entry","43 Cost Amount (Actual)","41 Source Type",$C$5,"5 Source no.",$C1196,"4 Item Ledger Entry Type",$C$4,"2 Item No.","@@"&amp;$F1196,"3 Posting Date",O$9)</t>
  </si>
  <si>
    <t>=O1196-Q1196</t>
  </si>
  <si>
    <t>=IF(O1196&lt;&gt;0,R1196/O1196,"")</t>
  </si>
  <si>
    <t>=NL("Sum","5802 Value Entry","150 Sales Amount (Expected)","41 Source Type",$C$5,"5 Source No.",$C1196,"4 Item Ledger Entry Type",$C$4,"2 Item No.","@@"&amp;$F1196,"3 Posting Date",U$9)+NL("Sum","5802 Value Entry","17 Sales Amount (Actual)","41 Source Type",$C$5,"5 Source no.",$C1196,"4 Item Ledger Entry Type",$C$4,"2 Item No.","@@"&amp;$F1196,"3 Posting Date",U$9)</t>
  </si>
  <si>
    <t>=-NL("Sum","5802 Value Entry","151 Cost Amount (Expected)","41 Source Type",$C$5,"5 Source No.",$C1196,"4 Item Ledger Entry Type",$C$4,"2 Item No.","@@"&amp;$F1196,"3 Posting Date",U$9)-NL("Sum","5802 Value Entry","43 Cost Amount (Actual)","41 Source Type",$C$5,"5 Source no.",$C1196,"4 Item Ledger Entry Type",$C$4,"2 Item No.","@@"&amp;$F1196,"3 Posting Date",U$9)</t>
  </si>
  <si>
    <t>=U1196-W1196</t>
  </si>
  <si>
    <t>=IF(U1196&lt;&gt;0,X1196/U1196,"")</t>
  </si>
  <si>
    <t>=NL("Sum","5802 Value Entry","150 Sales Amount (Expected)","41 Source Type",$C$5,"5 Source No.",$C1196,"4 Item Ledger Entry Type",$C$4,"2 Item No.","@@"&amp;$F1196,"3 Posting Date",Z$9)+NL("Sum","5802 Value Entry","17 Sales Amount (Actual)","41 Source Type",$C$5,"5 Source no.",$C1196,"4 Item Ledger Entry Type",$C$4,"2 Item No.","@@"&amp;$F1196,"3 Posting Date",Z$9)</t>
  </si>
  <si>
    <t>=-NL("Sum","5802 Value Entry","151 Cost Amount (Expected)","41 Source Type",$C$5,"5 Source No.",$C1196,"4 Item Ledger Entry Type",$C$4,"2 Item No.","@@"&amp;$F1196,"3 Posting Date",Z$9)-NL("Sum","5802 Value Entry","43 Cost Amount (Actual)","41 Source Type",$C$5,"5 Source no.",$C1196,"4 Item Ledger Entry Type",$C$4,"2 Item No.","@@"&amp;$F1196,"3 Posting Date",Z$9)</t>
  </si>
  <si>
    <t>=Z1196-AB1196</t>
  </si>
  <si>
    <t>=IF(Z1196&lt;&gt;0,AC1196/Z1196,"")</t>
  </si>
  <si>
    <t>=C1196</t>
  </si>
  <si>
    <t>=NL("Sum","5802 Value Entry","150 Sales Amount (Expected)","41 Source Type",$C$5,"5 Source No.",$C1197,"4 Item Ledger Entry Type",$C$4,"2 Item No.","@@"&amp;$F1197,"3 Posting Date",J$9)+NL("Sum","5802 Value Entry","17 Sales Amount (Actual)","41 Source Type",$C$5,"5 Source no.",$C1197,"4 Item Ledger Entry Type",$C$4,"2 Item No.","@@"&amp;$F1197,"3 Posting Date",J$9)</t>
  </si>
  <si>
    <t>=-NL("Sum","5802 Value Entry","151 Cost Amount (Expected)","41 Source Type",$C$5,"5 Source No.",$C1197,"4 Item Ledger Entry Type",$C$4,"2 Item No.","@@"&amp;$F1197,"3 Posting Date",J$9)-NL("Sum","5802 Value Entry","43 Cost Amount (Actual)","41 Source Type",$C$5,"5 Source no.",$C1197,"4 Item Ledger Entry Type",$C$4,"2 Item No.","@@"&amp;$F1197,"3 Posting Date",J$9)</t>
  </si>
  <si>
    <t>=J1197-L1197</t>
  </si>
  <si>
    <t>=IF(J1197&lt;&gt;0,M1197/J1197,"")</t>
  </si>
  <si>
    <t>=NL("Sum","5802 Value Entry","150 Sales Amount (Expected)","41 Source Type",$C$5,"5 Source No.",$C1197,"4 Item Ledger Entry Type",$C$4,"2 Item No.","@@"&amp;$F1197,"3 Posting Date",O$9)+NL("Sum","5802 Value Entry","17 Sales Amount (Actual)","41 Source Type",$C$5,"5 Source no.",$C1197,"4 Item Ledger Entry Type",$C$4,"2 Item No.","@@"&amp;$F1197,"3 Posting Date",O$9)</t>
  </si>
  <si>
    <t>=-NL("Sum","5802 Value Entry","151 Cost Amount (Expected)","41 Source Type",$C$5,"5 Source No.",$C1197,"4 Item Ledger Entry Type",$C$4,"2 Item No.","@@"&amp;$F1197,"3 Posting Date",O$9)-NL("Sum","5802 Value Entry","43 Cost Amount (Actual)","41 Source Type",$C$5,"5 Source no.",$C1197,"4 Item Ledger Entry Type",$C$4,"2 Item No.","@@"&amp;$F1197,"3 Posting Date",O$9)</t>
  </si>
  <si>
    <t>=O1197-Q1197</t>
  </si>
  <si>
    <t>=IF(O1197&lt;&gt;0,R1197/O1197,"")</t>
  </si>
  <si>
    <t>=NL("Sum","5802 Value Entry","150 Sales Amount (Expected)","41 Source Type",$C$5,"5 Source No.",$C1197,"4 Item Ledger Entry Type",$C$4,"2 Item No.","@@"&amp;$F1197,"3 Posting Date",U$9)+NL("Sum","5802 Value Entry","17 Sales Amount (Actual)","41 Source Type",$C$5,"5 Source no.",$C1197,"4 Item Ledger Entry Type",$C$4,"2 Item No.","@@"&amp;$F1197,"3 Posting Date",U$9)</t>
  </si>
  <si>
    <t>=-NL("Sum","5802 Value Entry","151 Cost Amount (Expected)","41 Source Type",$C$5,"5 Source No.",$C1197,"4 Item Ledger Entry Type",$C$4,"2 Item No.","@@"&amp;$F1197,"3 Posting Date",U$9)-NL("Sum","5802 Value Entry","43 Cost Amount (Actual)","41 Source Type",$C$5,"5 Source no.",$C1197,"4 Item Ledger Entry Type",$C$4,"2 Item No.","@@"&amp;$F1197,"3 Posting Date",U$9)</t>
  </si>
  <si>
    <t>=U1197-W1197</t>
  </si>
  <si>
    <t>=IF(U1197&lt;&gt;0,X1197/U1197,"")</t>
  </si>
  <si>
    <t>=NL("Sum","5802 Value Entry","150 Sales Amount (Expected)","41 Source Type",$C$5,"5 Source No.",$C1197,"4 Item Ledger Entry Type",$C$4,"2 Item No.","@@"&amp;$F1197,"3 Posting Date",Z$9)+NL("Sum","5802 Value Entry","17 Sales Amount (Actual)","41 Source Type",$C$5,"5 Source no.",$C1197,"4 Item Ledger Entry Type",$C$4,"2 Item No.","@@"&amp;$F1197,"3 Posting Date",Z$9)</t>
  </si>
  <si>
    <t>=-NL("Sum","5802 Value Entry","151 Cost Amount (Expected)","41 Source Type",$C$5,"5 Source No.",$C1197,"4 Item Ledger Entry Type",$C$4,"2 Item No.","@@"&amp;$F1197,"3 Posting Date",Z$9)-NL("Sum","5802 Value Entry","43 Cost Amount (Actual)","41 Source Type",$C$5,"5 Source no.",$C1197,"4 Item Ledger Entry Type",$C$4,"2 Item No.","@@"&amp;$F1197,"3 Posting Date",Z$9)</t>
  </si>
  <si>
    <t>=Z1197-AB1197</t>
  </si>
  <si>
    <t>=IF(Z1197&lt;&gt;0,AC1197/Z1197,"")</t>
  </si>
  <si>
    <t>=C1197</t>
  </si>
  <si>
    <t>=NL("Sum","5802 Value Entry","150 Sales Amount (Expected)","41 Source Type",$C$5,"5 Source No.",$C1198,"4 Item Ledger Entry Type",$C$4,"2 Item No.","@@"&amp;$F1198,"3 Posting Date",J$9)+NL("Sum","5802 Value Entry","17 Sales Amount (Actual)","41 Source Type",$C$5,"5 Source no.",$C1198,"4 Item Ledger Entry Type",$C$4,"2 Item No.","@@"&amp;$F1198,"3 Posting Date",J$9)</t>
  </si>
  <si>
    <t>=-NL("Sum","5802 Value Entry","151 Cost Amount (Expected)","41 Source Type",$C$5,"5 Source No.",$C1198,"4 Item Ledger Entry Type",$C$4,"2 Item No.","@@"&amp;$F1198,"3 Posting Date",J$9)-NL("Sum","5802 Value Entry","43 Cost Amount (Actual)","41 Source Type",$C$5,"5 Source no.",$C1198,"4 Item Ledger Entry Type",$C$4,"2 Item No.","@@"&amp;$F1198,"3 Posting Date",J$9)</t>
  </si>
  <si>
    <t>=J1198-L1198</t>
  </si>
  <si>
    <t>=IF(J1198&lt;&gt;0,M1198/J1198,"")</t>
  </si>
  <si>
    <t>=NL("Sum","5802 Value Entry","150 Sales Amount (Expected)","41 Source Type",$C$5,"5 Source No.",$C1198,"4 Item Ledger Entry Type",$C$4,"2 Item No.","@@"&amp;$F1198,"3 Posting Date",O$9)+NL("Sum","5802 Value Entry","17 Sales Amount (Actual)","41 Source Type",$C$5,"5 Source no.",$C1198,"4 Item Ledger Entry Type",$C$4,"2 Item No.","@@"&amp;$F1198,"3 Posting Date",O$9)</t>
  </si>
  <si>
    <t>=-NL("Sum","5802 Value Entry","151 Cost Amount (Expected)","41 Source Type",$C$5,"5 Source No.",$C1198,"4 Item Ledger Entry Type",$C$4,"2 Item No.","@@"&amp;$F1198,"3 Posting Date",O$9)-NL("Sum","5802 Value Entry","43 Cost Amount (Actual)","41 Source Type",$C$5,"5 Source no.",$C1198,"4 Item Ledger Entry Type",$C$4,"2 Item No.","@@"&amp;$F1198,"3 Posting Date",O$9)</t>
  </si>
  <si>
    <t>=O1198-Q1198</t>
  </si>
  <si>
    <t>=IF(O1198&lt;&gt;0,R1198/O1198,"")</t>
  </si>
  <si>
    <t>=NL("Sum","5802 Value Entry","150 Sales Amount (Expected)","41 Source Type",$C$5,"5 Source No.",$C1198,"4 Item Ledger Entry Type",$C$4,"2 Item No.","@@"&amp;$F1198,"3 Posting Date",U$9)+NL("Sum","5802 Value Entry","17 Sales Amount (Actual)","41 Source Type",$C$5,"5 Source no.",$C1198,"4 Item Ledger Entry Type",$C$4,"2 Item No.","@@"&amp;$F1198,"3 Posting Date",U$9)</t>
  </si>
  <si>
    <t>=-NL("Sum","5802 Value Entry","151 Cost Amount (Expected)","41 Source Type",$C$5,"5 Source No.",$C1198,"4 Item Ledger Entry Type",$C$4,"2 Item No.","@@"&amp;$F1198,"3 Posting Date",U$9)-NL("Sum","5802 Value Entry","43 Cost Amount (Actual)","41 Source Type",$C$5,"5 Source no.",$C1198,"4 Item Ledger Entry Type",$C$4,"2 Item No.","@@"&amp;$F1198,"3 Posting Date",U$9)</t>
  </si>
  <si>
    <t>=U1198-W1198</t>
  </si>
  <si>
    <t>=IF(U1198&lt;&gt;0,X1198/U1198,"")</t>
  </si>
  <si>
    <t>=NL("Sum","5802 Value Entry","150 Sales Amount (Expected)","41 Source Type",$C$5,"5 Source No.",$C1198,"4 Item Ledger Entry Type",$C$4,"2 Item No.","@@"&amp;$F1198,"3 Posting Date",Z$9)+NL("Sum","5802 Value Entry","17 Sales Amount (Actual)","41 Source Type",$C$5,"5 Source no.",$C1198,"4 Item Ledger Entry Type",$C$4,"2 Item No.","@@"&amp;$F1198,"3 Posting Date",Z$9)</t>
  </si>
  <si>
    <t>=-NL("Sum","5802 Value Entry","151 Cost Amount (Expected)","41 Source Type",$C$5,"5 Source No.",$C1198,"4 Item Ledger Entry Type",$C$4,"2 Item No.","@@"&amp;$F1198,"3 Posting Date",Z$9)-NL("Sum","5802 Value Entry","43 Cost Amount (Actual)","41 Source Type",$C$5,"5 Source no.",$C1198,"4 Item Ledger Entry Type",$C$4,"2 Item No.","@@"&amp;$F1198,"3 Posting Date",Z$9)</t>
  </si>
  <si>
    <t>=Z1198-AB1198</t>
  </si>
  <si>
    <t>=IF(Z1198&lt;&gt;0,AC1198/Z1198,"")</t>
  </si>
  <si>
    <t>=C1198</t>
  </si>
  <si>
    <t>=NL("Sum","5802 Value Entry","150 Sales Amount (Expected)","41 Source Type",$C$5,"5 Source No.",$C1199,"4 Item Ledger Entry Type",$C$4,"2 Item No.","@@"&amp;$F1199,"3 Posting Date",J$9)+NL("Sum","5802 Value Entry","17 Sales Amount (Actual)","41 Source Type",$C$5,"5 Source no.",$C1199,"4 Item Ledger Entry Type",$C$4,"2 Item No.","@@"&amp;$F1199,"3 Posting Date",J$9)</t>
  </si>
  <si>
    <t>=-NL("Sum","5802 Value Entry","151 Cost Amount (Expected)","41 Source Type",$C$5,"5 Source No.",$C1199,"4 Item Ledger Entry Type",$C$4,"2 Item No.","@@"&amp;$F1199,"3 Posting Date",J$9)-NL("Sum","5802 Value Entry","43 Cost Amount (Actual)","41 Source Type",$C$5,"5 Source no.",$C1199,"4 Item Ledger Entry Type",$C$4,"2 Item No.","@@"&amp;$F1199,"3 Posting Date",J$9)</t>
  </si>
  <si>
    <t>=J1199-L1199</t>
  </si>
  <si>
    <t>=IF(J1199&lt;&gt;0,M1199/J1199,"")</t>
  </si>
  <si>
    <t>=NL("Sum","5802 Value Entry","150 Sales Amount (Expected)","41 Source Type",$C$5,"5 Source No.",$C1199,"4 Item Ledger Entry Type",$C$4,"2 Item No.","@@"&amp;$F1199,"3 Posting Date",O$9)+NL("Sum","5802 Value Entry","17 Sales Amount (Actual)","41 Source Type",$C$5,"5 Source no.",$C1199,"4 Item Ledger Entry Type",$C$4,"2 Item No.","@@"&amp;$F1199,"3 Posting Date",O$9)</t>
  </si>
  <si>
    <t>=-NL("Sum","5802 Value Entry","151 Cost Amount (Expected)","41 Source Type",$C$5,"5 Source No.",$C1199,"4 Item Ledger Entry Type",$C$4,"2 Item No.","@@"&amp;$F1199,"3 Posting Date",O$9)-NL("Sum","5802 Value Entry","43 Cost Amount (Actual)","41 Source Type",$C$5,"5 Source no.",$C1199,"4 Item Ledger Entry Type",$C$4,"2 Item No.","@@"&amp;$F1199,"3 Posting Date",O$9)</t>
  </si>
  <si>
    <t>=O1199-Q1199</t>
  </si>
  <si>
    <t>=IF(O1199&lt;&gt;0,R1199/O1199,"")</t>
  </si>
  <si>
    <t>=NL("Sum","5802 Value Entry","150 Sales Amount (Expected)","41 Source Type",$C$5,"5 Source No.",$C1199,"4 Item Ledger Entry Type",$C$4,"2 Item No.","@@"&amp;$F1199,"3 Posting Date",U$9)+NL("Sum","5802 Value Entry","17 Sales Amount (Actual)","41 Source Type",$C$5,"5 Source no.",$C1199,"4 Item Ledger Entry Type",$C$4,"2 Item No.","@@"&amp;$F1199,"3 Posting Date",U$9)</t>
  </si>
  <si>
    <t>=-NL("Sum","5802 Value Entry","151 Cost Amount (Expected)","41 Source Type",$C$5,"5 Source No.",$C1199,"4 Item Ledger Entry Type",$C$4,"2 Item No.","@@"&amp;$F1199,"3 Posting Date",U$9)-NL("Sum","5802 Value Entry","43 Cost Amount (Actual)","41 Source Type",$C$5,"5 Source no.",$C1199,"4 Item Ledger Entry Type",$C$4,"2 Item No.","@@"&amp;$F1199,"3 Posting Date",U$9)</t>
  </si>
  <si>
    <t>=U1199-W1199</t>
  </si>
  <si>
    <t>=IF(U1199&lt;&gt;0,X1199/U1199,"")</t>
  </si>
  <si>
    <t>=NL("Sum","5802 Value Entry","150 Sales Amount (Expected)","41 Source Type",$C$5,"5 Source No.",$C1199,"4 Item Ledger Entry Type",$C$4,"2 Item No.","@@"&amp;$F1199,"3 Posting Date",Z$9)+NL("Sum","5802 Value Entry","17 Sales Amount (Actual)","41 Source Type",$C$5,"5 Source no.",$C1199,"4 Item Ledger Entry Type",$C$4,"2 Item No.","@@"&amp;$F1199,"3 Posting Date",Z$9)</t>
  </si>
  <si>
    <t>=-NL("Sum","5802 Value Entry","151 Cost Amount (Expected)","41 Source Type",$C$5,"5 Source No.",$C1199,"4 Item Ledger Entry Type",$C$4,"2 Item No.","@@"&amp;$F1199,"3 Posting Date",Z$9)-NL("Sum","5802 Value Entry","43 Cost Amount (Actual)","41 Source Type",$C$5,"5 Source no.",$C1199,"4 Item Ledger Entry Type",$C$4,"2 Item No.","@@"&amp;$F1199,"3 Posting Date",Z$9)</t>
  </si>
  <si>
    <t>=Z1199-AB1199</t>
  </si>
  <si>
    <t>=IF(Z1199&lt;&gt;0,AC1199/Z1199,"")</t>
  </si>
  <si>
    <t>=C1200</t>
  </si>
  <si>
    <t>=J1201-L1201</t>
  </si>
  <si>
    <t>=IF(J1201&lt;&gt;0,M1201/J1201,"")</t>
  </si>
  <si>
    <t>=O1201-Q1201</t>
  </si>
  <si>
    <t>=IF(O1201&lt;&gt;0,R1201/O1201,"")</t>
  </si>
  <si>
    <t>=U1201-W1201</t>
  </si>
  <si>
    <t>=IF(U1201&lt;&gt;0,X1201/U1201,"")</t>
  </si>
  <si>
    <t>=Z1201-AB1201</t>
  </si>
  <si>
    <t>=IF(Z1201&lt;&gt;0,AC1201/Z1201,"")</t>
  </si>
  <si>
    <t>="C100068"</t>
  </si>
  <si>
    <t>=C1203</t>
  </si>
  <si>
    <t>=C1204</t>
  </si>
  <si>
    <t>=NL("Sum","5802 Value Entry","150 Sales Amount (Expected)","41 Source Type",$C$5,"5 Source No.",$C1205,"4 Item Ledger Entry Type",$C$4,"2 Item No.","@@"&amp;$F1205,"3 Posting Date",J$9)+NL("Sum","5802 Value Entry","17 Sales Amount (Actual)","41 Source Type",$C$5,"5 Source no.",$C1205,"4 Item Ledger Entry Type",$C$4,"2 Item No.","@@"&amp;$F1205,"3 Posting Date",J$9)</t>
  </si>
  <si>
    <t>=-NL("Sum","5802 Value Entry","151 Cost Amount (Expected)","41 Source Type",$C$5,"5 Source No.",$C1205,"4 Item Ledger Entry Type",$C$4,"2 Item No.","@@"&amp;$F1205,"3 Posting Date",J$9)-NL("Sum","5802 Value Entry","43 Cost Amount (Actual)","41 Source Type",$C$5,"5 Source no.",$C1205,"4 Item Ledger Entry Type",$C$4,"2 Item No.","@@"&amp;$F1205,"3 Posting Date",J$9)</t>
  </si>
  <si>
    <t>=J1205-L1205</t>
  </si>
  <si>
    <t>=IF(J1205&lt;&gt;0,M1205/J1205,"")</t>
  </si>
  <si>
    <t>=NL("Sum","5802 Value Entry","150 Sales Amount (Expected)","41 Source Type",$C$5,"5 Source No.",$C1205,"4 Item Ledger Entry Type",$C$4,"2 Item No.","@@"&amp;$F1205,"3 Posting Date",O$9)+NL("Sum","5802 Value Entry","17 Sales Amount (Actual)","41 Source Type",$C$5,"5 Source no.",$C1205,"4 Item Ledger Entry Type",$C$4,"2 Item No.","@@"&amp;$F1205,"3 Posting Date",O$9)</t>
  </si>
  <si>
    <t>=-NL("Sum","5802 Value Entry","151 Cost Amount (Expected)","41 Source Type",$C$5,"5 Source No.",$C1205,"4 Item Ledger Entry Type",$C$4,"2 Item No.","@@"&amp;$F1205,"3 Posting Date",O$9)-NL("Sum","5802 Value Entry","43 Cost Amount (Actual)","41 Source Type",$C$5,"5 Source no.",$C1205,"4 Item Ledger Entry Type",$C$4,"2 Item No.","@@"&amp;$F1205,"3 Posting Date",O$9)</t>
  </si>
  <si>
    <t>=O1205-Q1205</t>
  </si>
  <si>
    <t>=IF(O1205&lt;&gt;0,R1205/O1205,"")</t>
  </si>
  <si>
    <t>=NL("Sum","5802 Value Entry","150 Sales Amount (Expected)","41 Source Type",$C$5,"5 Source No.",$C1205,"4 Item Ledger Entry Type",$C$4,"2 Item No.","@@"&amp;$F1205,"3 Posting Date",U$9)+NL("Sum","5802 Value Entry","17 Sales Amount (Actual)","41 Source Type",$C$5,"5 Source no.",$C1205,"4 Item Ledger Entry Type",$C$4,"2 Item No.","@@"&amp;$F1205,"3 Posting Date",U$9)</t>
  </si>
  <si>
    <t>=-NL("Sum","5802 Value Entry","151 Cost Amount (Expected)","41 Source Type",$C$5,"5 Source No.",$C1205,"4 Item Ledger Entry Type",$C$4,"2 Item No.","@@"&amp;$F1205,"3 Posting Date",U$9)-NL("Sum","5802 Value Entry","43 Cost Amount (Actual)","41 Source Type",$C$5,"5 Source no.",$C1205,"4 Item Ledger Entry Type",$C$4,"2 Item No.","@@"&amp;$F1205,"3 Posting Date",U$9)</t>
  </si>
  <si>
    <t>=U1205-W1205</t>
  </si>
  <si>
    <t>=IF(U1205&lt;&gt;0,X1205/U1205,"")</t>
  </si>
  <si>
    <t>=NL("Sum","5802 Value Entry","150 Sales Amount (Expected)","41 Source Type",$C$5,"5 Source No.",$C1205,"4 Item Ledger Entry Type",$C$4,"2 Item No.","@@"&amp;$F1205,"3 Posting Date",Z$9)+NL("Sum","5802 Value Entry","17 Sales Amount (Actual)","41 Source Type",$C$5,"5 Source no.",$C1205,"4 Item Ledger Entry Type",$C$4,"2 Item No.","@@"&amp;$F1205,"3 Posting Date",Z$9)</t>
  </si>
  <si>
    <t>=-NL("Sum","5802 Value Entry","151 Cost Amount (Expected)","41 Source Type",$C$5,"5 Source No.",$C1205,"4 Item Ledger Entry Type",$C$4,"2 Item No.","@@"&amp;$F1205,"3 Posting Date",Z$9)-NL("Sum","5802 Value Entry","43 Cost Amount (Actual)","41 Source Type",$C$5,"5 Source no.",$C1205,"4 Item Ledger Entry Type",$C$4,"2 Item No.","@@"&amp;$F1205,"3 Posting Date",Z$9)</t>
  </si>
  <si>
    <t>=Z1205-AB1205</t>
  </si>
  <si>
    <t>=IF(Z1205&lt;&gt;0,AC1205/Z1205,"")</t>
  </si>
  <si>
    <t>=C1205</t>
  </si>
  <si>
    <t>=NL("Sum","5802 Value Entry","150 Sales Amount (Expected)","41 Source Type",$C$5,"5 Source No.",$C1206,"4 Item Ledger Entry Type",$C$4,"2 Item No.","@@"&amp;$F1206,"3 Posting Date",J$9)+NL("Sum","5802 Value Entry","17 Sales Amount (Actual)","41 Source Type",$C$5,"5 Source no.",$C1206,"4 Item Ledger Entry Type",$C$4,"2 Item No.","@@"&amp;$F1206,"3 Posting Date",J$9)</t>
  </si>
  <si>
    <t>=-NL("Sum","5802 Value Entry","151 Cost Amount (Expected)","41 Source Type",$C$5,"5 Source No.",$C1206,"4 Item Ledger Entry Type",$C$4,"2 Item No.","@@"&amp;$F1206,"3 Posting Date",J$9)-NL("Sum","5802 Value Entry","43 Cost Amount (Actual)","41 Source Type",$C$5,"5 Source no.",$C1206,"4 Item Ledger Entry Type",$C$4,"2 Item No.","@@"&amp;$F1206,"3 Posting Date",J$9)</t>
  </si>
  <si>
    <t>=J1206-L1206</t>
  </si>
  <si>
    <t>=IF(J1206&lt;&gt;0,M1206/J1206,"")</t>
  </si>
  <si>
    <t>=NL("Sum","5802 Value Entry","150 Sales Amount (Expected)","41 Source Type",$C$5,"5 Source No.",$C1206,"4 Item Ledger Entry Type",$C$4,"2 Item No.","@@"&amp;$F1206,"3 Posting Date",O$9)+NL("Sum","5802 Value Entry","17 Sales Amount (Actual)","41 Source Type",$C$5,"5 Source no.",$C1206,"4 Item Ledger Entry Type",$C$4,"2 Item No.","@@"&amp;$F1206,"3 Posting Date",O$9)</t>
  </si>
  <si>
    <t>=-NL("Sum","5802 Value Entry","151 Cost Amount (Expected)","41 Source Type",$C$5,"5 Source No.",$C1206,"4 Item Ledger Entry Type",$C$4,"2 Item No.","@@"&amp;$F1206,"3 Posting Date",O$9)-NL("Sum","5802 Value Entry","43 Cost Amount (Actual)","41 Source Type",$C$5,"5 Source no.",$C1206,"4 Item Ledger Entry Type",$C$4,"2 Item No.","@@"&amp;$F1206,"3 Posting Date",O$9)</t>
  </si>
  <si>
    <t>=O1206-Q1206</t>
  </si>
  <si>
    <t>=IF(O1206&lt;&gt;0,R1206/O1206,"")</t>
  </si>
  <si>
    <t>=NL("Sum","5802 Value Entry","150 Sales Amount (Expected)","41 Source Type",$C$5,"5 Source No.",$C1206,"4 Item Ledger Entry Type",$C$4,"2 Item No.","@@"&amp;$F1206,"3 Posting Date",U$9)+NL("Sum","5802 Value Entry","17 Sales Amount (Actual)","41 Source Type",$C$5,"5 Source no.",$C1206,"4 Item Ledger Entry Type",$C$4,"2 Item No.","@@"&amp;$F1206,"3 Posting Date",U$9)</t>
  </si>
  <si>
    <t>=-NL("Sum","5802 Value Entry","151 Cost Amount (Expected)","41 Source Type",$C$5,"5 Source No.",$C1206,"4 Item Ledger Entry Type",$C$4,"2 Item No.","@@"&amp;$F1206,"3 Posting Date",U$9)-NL("Sum","5802 Value Entry","43 Cost Amount (Actual)","41 Source Type",$C$5,"5 Source no.",$C1206,"4 Item Ledger Entry Type",$C$4,"2 Item No.","@@"&amp;$F1206,"3 Posting Date",U$9)</t>
  </si>
  <si>
    <t>=U1206-W1206</t>
  </si>
  <si>
    <t>=IF(U1206&lt;&gt;0,X1206/U1206,"")</t>
  </si>
  <si>
    <t>=NL("Sum","5802 Value Entry","150 Sales Amount (Expected)","41 Source Type",$C$5,"5 Source No.",$C1206,"4 Item Ledger Entry Type",$C$4,"2 Item No.","@@"&amp;$F1206,"3 Posting Date",Z$9)+NL("Sum","5802 Value Entry","17 Sales Amount (Actual)","41 Source Type",$C$5,"5 Source no.",$C1206,"4 Item Ledger Entry Type",$C$4,"2 Item No.","@@"&amp;$F1206,"3 Posting Date",Z$9)</t>
  </si>
  <si>
    <t>=-NL("Sum","5802 Value Entry","151 Cost Amount (Expected)","41 Source Type",$C$5,"5 Source No.",$C1206,"4 Item Ledger Entry Type",$C$4,"2 Item No.","@@"&amp;$F1206,"3 Posting Date",Z$9)-NL("Sum","5802 Value Entry","43 Cost Amount (Actual)","41 Source Type",$C$5,"5 Source no.",$C1206,"4 Item Ledger Entry Type",$C$4,"2 Item No.","@@"&amp;$F1206,"3 Posting Date",Z$9)</t>
  </si>
  <si>
    <t>=Z1206-AB1206</t>
  </si>
  <si>
    <t>=IF(Z1206&lt;&gt;0,AC1206/Z1206,"")</t>
  </si>
  <si>
    <t>=C1206</t>
  </si>
  <si>
    <t>=NL("Sum","5802 Value Entry","150 Sales Amount (Expected)","41 Source Type",$C$5,"5 Source No.",$C1207,"4 Item Ledger Entry Type",$C$4,"2 Item No.","@@"&amp;$F1207,"3 Posting Date",J$9)+NL("Sum","5802 Value Entry","17 Sales Amount (Actual)","41 Source Type",$C$5,"5 Source no.",$C1207,"4 Item Ledger Entry Type",$C$4,"2 Item No.","@@"&amp;$F1207,"3 Posting Date",J$9)</t>
  </si>
  <si>
    <t>=-NL("Sum","5802 Value Entry","151 Cost Amount (Expected)","41 Source Type",$C$5,"5 Source No.",$C1207,"4 Item Ledger Entry Type",$C$4,"2 Item No.","@@"&amp;$F1207,"3 Posting Date",J$9)-NL("Sum","5802 Value Entry","43 Cost Amount (Actual)","41 Source Type",$C$5,"5 Source no.",$C1207,"4 Item Ledger Entry Type",$C$4,"2 Item No.","@@"&amp;$F1207,"3 Posting Date",J$9)</t>
  </si>
  <si>
    <t>=J1207-L1207</t>
  </si>
  <si>
    <t>=IF(J1207&lt;&gt;0,M1207/J1207,"")</t>
  </si>
  <si>
    <t>=NL("Sum","5802 Value Entry","150 Sales Amount (Expected)","41 Source Type",$C$5,"5 Source No.",$C1207,"4 Item Ledger Entry Type",$C$4,"2 Item No.","@@"&amp;$F1207,"3 Posting Date",O$9)+NL("Sum","5802 Value Entry","17 Sales Amount (Actual)","41 Source Type",$C$5,"5 Source no.",$C1207,"4 Item Ledger Entry Type",$C$4,"2 Item No.","@@"&amp;$F1207,"3 Posting Date",O$9)</t>
  </si>
  <si>
    <t>=-NL("Sum","5802 Value Entry","151 Cost Amount (Expected)","41 Source Type",$C$5,"5 Source No.",$C1207,"4 Item Ledger Entry Type",$C$4,"2 Item No.","@@"&amp;$F1207,"3 Posting Date",O$9)-NL("Sum","5802 Value Entry","43 Cost Amount (Actual)","41 Source Type",$C$5,"5 Source no.",$C1207,"4 Item Ledger Entry Type",$C$4,"2 Item No.","@@"&amp;$F1207,"3 Posting Date",O$9)</t>
  </si>
  <si>
    <t>=O1207-Q1207</t>
  </si>
  <si>
    <t>=IF(O1207&lt;&gt;0,R1207/O1207,"")</t>
  </si>
  <si>
    <t>=NL("Sum","5802 Value Entry","150 Sales Amount (Expected)","41 Source Type",$C$5,"5 Source No.",$C1207,"4 Item Ledger Entry Type",$C$4,"2 Item No.","@@"&amp;$F1207,"3 Posting Date",U$9)+NL("Sum","5802 Value Entry","17 Sales Amount (Actual)","41 Source Type",$C$5,"5 Source no.",$C1207,"4 Item Ledger Entry Type",$C$4,"2 Item No.","@@"&amp;$F1207,"3 Posting Date",U$9)</t>
  </si>
  <si>
    <t>=-NL("Sum","5802 Value Entry","151 Cost Amount (Expected)","41 Source Type",$C$5,"5 Source No.",$C1207,"4 Item Ledger Entry Type",$C$4,"2 Item No.","@@"&amp;$F1207,"3 Posting Date",U$9)-NL("Sum","5802 Value Entry","43 Cost Amount (Actual)","41 Source Type",$C$5,"5 Source no.",$C1207,"4 Item Ledger Entry Type",$C$4,"2 Item No.","@@"&amp;$F1207,"3 Posting Date",U$9)</t>
  </si>
  <si>
    <t>=U1207-W1207</t>
  </si>
  <si>
    <t>=IF(U1207&lt;&gt;0,X1207/U1207,"")</t>
  </si>
  <si>
    <t>=NL("Sum","5802 Value Entry","150 Sales Amount (Expected)","41 Source Type",$C$5,"5 Source No.",$C1207,"4 Item Ledger Entry Type",$C$4,"2 Item No.","@@"&amp;$F1207,"3 Posting Date",Z$9)+NL("Sum","5802 Value Entry","17 Sales Amount (Actual)","41 Source Type",$C$5,"5 Source no.",$C1207,"4 Item Ledger Entry Type",$C$4,"2 Item No.","@@"&amp;$F1207,"3 Posting Date",Z$9)</t>
  </si>
  <si>
    <t>=-NL("Sum","5802 Value Entry","151 Cost Amount (Expected)","41 Source Type",$C$5,"5 Source No.",$C1207,"4 Item Ledger Entry Type",$C$4,"2 Item No.","@@"&amp;$F1207,"3 Posting Date",Z$9)-NL("Sum","5802 Value Entry","43 Cost Amount (Actual)","41 Source Type",$C$5,"5 Source no.",$C1207,"4 Item Ledger Entry Type",$C$4,"2 Item No.","@@"&amp;$F1207,"3 Posting Date",Z$9)</t>
  </si>
  <si>
    <t>=Z1207-AB1207</t>
  </si>
  <si>
    <t>=IF(Z1207&lt;&gt;0,AC1207/Z1207,"")</t>
  </si>
  <si>
    <t>=C1207</t>
  </si>
  <si>
    <t>=NL("Sum","5802 Value Entry","150 Sales Amount (Expected)","41 Source Type",$C$5,"5 Source No.",$C1208,"4 Item Ledger Entry Type",$C$4,"2 Item No.","@@"&amp;$F1208,"3 Posting Date",J$9)+NL("Sum","5802 Value Entry","17 Sales Amount (Actual)","41 Source Type",$C$5,"5 Source no.",$C1208,"4 Item Ledger Entry Type",$C$4,"2 Item No.","@@"&amp;$F1208,"3 Posting Date",J$9)</t>
  </si>
  <si>
    <t>=-NL("Sum","5802 Value Entry","151 Cost Amount (Expected)","41 Source Type",$C$5,"5 Source No.",$C1208,"4 Item Ledger Entry Type",$C$4,"2 Item No.","@@"&amp;$F1208,"3 Posting Date",J$9)-NL("Sum","5802 Value Entry","43 Cost Amount (Actual)","41 Source Type",$C$5,"5 Source no.",$C1208,"4 Item Ledger Entry Type",$C$4,"2 Item No.","@@"&amp;$F1208,"3 Posting Date",J$9)</t>
  </si>
  <si>
    <t>=J1208-L1208</t>
  </si>
  <si>
    <t>=IF(J1208&lt;&gt;0,M1208/J1208,"")</t>
  </si>
  <si>
    <t>=NL("Sum","5802 Value Entry","150 Sales Amount (Expected)","41 Source Type",$C$5,"5 Source No.",$C1208,"4 Item Ledger Entry Type",$C$4,"2 Item No.","@@"&amp;$F1208,"3 Posting Date",O$9)+NL("Sum","5802 Value Entry","17 Sales Amount (Actual)","41 Source Type",$C$5,"5 Source no.",$C1208,"4 Item Ledger Entry Type",$C$4,"2 Item No.","@@"&amp;$F1208,"3 Posting Date",O$9)</t>
  </si>
  <si>
    <t>=-NL("Sum","5802 Value Entry","151 Cost Amount (Expected)","41 Source Type",$C$5,"5 Source No.",$C1208,"4 Item Ledger Entry Type",$C$4,"2 Item No.","@@"&amp;$F1208,"3 Posting Date",O$9)-NL("Sum","5802 Value Entry","43 Cost Amount (Actual)","41 Source Type",$C$5,"5 Source no.",$C1208,"4 Item Ledger Entry Type",$C$4,"2 Item No.","@@"&amp;$F1208,"3 Posting Date",O$9)</t>
  </si>
  <si>
    <t>=O1208-Q1208</t>
  </si>
  <si>
    <t>=IF(O1208&lt;&gt;0,R1208/O1208,"")</t>
  </si>
  <si>
    <t>=NL("Sum","5802 Value Entry","150 Sales Amount (Expected)","41 Source Type",$C$5,"5 Source No.",$C1208,"4 Item Ledger Entry Type",$C$4,"2 Item No.","@@"&amp;$F1208,"3 Posting Date",U$9)+NL("Sum","5802 Value Entry","17 Sales Amount (Actual)","41 Source Type",$C$5,"5 Source no.",$C1208,"4 Item Ledger Entry Type",$C$4,"2 Item No.","@@"&amp;$F1208,"3 Posting Date",U$9)</t>
  </si>
  <si>
    <t>=-NL("Sum","5802 Value Entry","151 Cost Amount (Expected)","41 Source Type",$C$5,"5 Source No.",$C1208,"4 Item Ledger Entry Type",$C$4,"2 Item No.","@@"&amp;$F1208,"3 Posting Date",U$9)-NL("Sum","5802 Value Entry","43 Cost Amount (Actual)","41 Source Type",$C$5,"5 Source no.",$C1208,"4 Item Ledger Entry Type",$C$4,"2 Item No.","@@"&amp;$F1208,"3 Posting Date",U$9)</t>
  </si>
  <si>
    <t>=U1208-W1208</t>
  </si>
  <si>
    <t>=IF(U1208&lt;&gt;0,X1208/U1208,"")</t>
  </si>
  <si>
    <t>=NL("Sum","5802 Value Entry","150 Sales Amount (Expected)","41 Source Type",$C$5,"5 Source No.",$C1208,"4 Item Ledger Entry Type",$C$4,"2 Item No.","@@"&amp;$F1208,"3 Posting Date",Z$9)+NL("Sum","5802 Value Entry","17 Sales Amount (Actual)","41 Source Type",$C$5,"5 Source no.",$C1208,"4 Item Ledger Entry Type",$C$4,"2 Item No.","@@"&amp;$F1208,"3 Posting Date",Z$9)</t>
  </si>
  <si>
    <t>=-NL("Sum","5802 Value Entry","151 Cost Amount (Expected)","41 Source Type",$C$5,"5 Source No.",$C1208,"4 Item Ledger Entry Type",$C$4,"2 Item No.","@@"&amp;$F1208,"3 Posting Date",Z$9)-NL("Sum","5802 Value Entry","43 Cost Amount (Actual)","41 Source Type",$C$5,"5 Source no.",$C1208,"4 Item Ledger Entry Type",$C$4,"2 Item No.","@@"&amp;$F1208,"3 Posting Date",Z$9)</t>
  </si>
  <si>
    <t>=Z1208-AB1208</t>
  </si>
  <si>
    <t>=IF(Z1208&lt;&gt;0,AC1208/Z1208,"")</t>
  </si>
  <si>
    <t>=C1208</t>
  </si>
  <si>
    <t>=NL("Sum","5802 Value Entry","150 Sales Amount (Expected)","41 Source Type",$C$5,"5 Source No.",$C1209,"4 Item Ledger Entry Type",$C$4,"2 Item No.","@@"&amp;$F1209,"3 Posting Date",J$9)+NL("Sum","5802 Value Entry","17 Sales Amount (Actual)","41 Source Type",$C$5,"5 Source no.",$C1209,"4 Item Ledger Entry Type",$C$4,"2 Item No.","@@"&amp;$F1209,"3 Posting Date",J$9)</t>
  </si>
  <si>
    <t>=-NL("Sum","5802 Value Entry","151 Cost Amount (Expected)","41 Source Type",$C$5,"5 Source No.",$C1209,"4 Item Ledger Entry Type",$C$4,"2 Item No.","@@"&amp;$F1209,"3 Posting Date",J$9)-NL("Sum","5802 Value Entry","43 Cost Amount (Actual)","41 Source Type",$C$5,"5 Source no.",$C1209,"4 Item Ledger Entry Type",$C$4,"2 Item No.","@@"&amp;$F1209,"3 Posting Date",J$9)</t>
  </si>
  <si>
    <t>=J1209-L1209</t>
  </si>
  <si>
    <t>=IF(J1209&lt;&gt;0,M1209/J1209,"")</t>
  </si>
  <si>
    <t>=NL("Sum","5802 Value Entry","150 Sales Amount (Expected)","41 Source Type",$C$5,"5 Source No.",$C1209,"4 Item Ledger Entry Type",$C$4,"2 Item No.","@@"&amp;$F1209,"3 Posting Date",O$9)+NL("Sum","5802 Value Entry","17 Sales Amount (Actual)","41 Source Type",$C$5,"5 Source no.",$C1209,"4 Item Ledger Entry Type",$C$4,"2 Item No.","@@"&amp;$F1209,"3 Posting Date",O$9)</t>
  </si>
  <si>
    <t>=-NL("Sum","5802 Value Entry","151 Cost Amount (Expected)","41 Source Type",$C$5,"5 Source No.",$C1209,"4 Item Ledger Entry Type",$C$4,"2 Item No.","@@"&amp;$F1209,"3 Posting Date",O$9)-NL("Sum","5802 Value Entry","43 Cost Amount (Actual)","41 Source Type",$C$5,"5 Source no.",$C1209,"4 Item Ledger Entry Type",$C$4,"2 Item No.","@@"&amp;$F1209,"3 Posting Date",O$9)</t>
  </si>
  <si>
    <t>=O1209-Q1209</t>
  </si>
  <si>
    <t>=IF(O1209&lt;&gt;0,R1209/O1209,"")</t>
  </si>
  <si>
    <t>=NL("Sum","5802 Value Entry","150 Sales Amount (Expected)","41 Source Type",$C$5,"5 Source No.",$C1209,"4 Item Ledger Entry Type",$C$4,"2 Item No.","@@"&amp;$F1209,"3 Posting Date",U$9)+NL("Sum","5802 Value Entry","17 Sales Amount (Actual)","41 Source Type",$C$5,"5 Source no.",$C1209,"4 Item Ledger Entry Type",$C$4,"2 Item No.","@@"&amp;$F1209,"3 Posting Date",U$9)</t>
  </si>
  <si>
    <t>=-NL("Sum","5802 Value Entry","151 Cost Amount (Expected)","41 Source Type",$C$5,"5 Source No.",$C1209,"4 Item Ledger Entry Type",$C$4,"2 Item No.","@@"&amp;$F1209,"3 Posting Date",U$9)-NL("Sum","5802 Value Entry","43 Cost Amount (Actual)","41 Source Type",$C$5,"5 Source no.",$C1209,"4 Item Ledger Entry Type",$C$4,"2 Item No.","@@"&amp;$F1209,"3 Posting Date",U$9)</t>
  </si>
  <si>
    <t>=U1209-W1209</t>
  </si>
  <si>
    <t>=IF(U1209&lt;&gt;0,X1209/U1209,"")</t>
  </si>
  <si>
    <t>=NL("Sum","5802 Value Entry","150 Sales Amount (Expected)","41 Source Type",$C$5,"5 Source No.",$C1209,"4 Item Ledger Entry Type",$C$4,"2 Item No.","@@"&amp;$F1209,"3 Posting Date",Z$9)+NL("Sum","5802 Value Entry","17 Sales Amount (Actual)","41 Source Type",$C$5,"5 Source no.",$C1209,"4 Item Ledger Entry Type",$C$4,"2 Item No.","@@"&amp;$F1209,"3 Posting Date",Z$9)</t>
  </si>
  <si>
    <t>=-NL("Sum","5802 Value Entry","151 Cost Amount (Expected)","41 Source Type",$C$5,"5 Source No.",$C1209,"4 Item Ledger Entry Type",$C$4,"2 Item No.","@@"&amp;$F1209,"3 Posting Date",Z$9)-NL("Sum","5802 Value Entry","43 Cost Amount (Actual)","41 Source Type",$C$5,"5 Source no.",$C1209,"4 Item Ledger Entry Type",$C$4,"2 Item No.","@@"&amp;$F1209,"3 Posting Date",Z$9)</t>
  </si>
  <si>
    <t>=Z1209-AB1209</t>
  </si>
  <si>
    <t>=IF(Z1209&lt;&gt;0,AC1209/Z1209,"")</t>
  </si>
  <si>
    <t>=C1209</t>
  </si>
  <si>
    <t>=NL("Sum","5802 Value Entry","150 Sales Amount (Expected)","41 Source Type",$C$5,"5 Source No.",$C1210,"4 Item Ledger Entry Type",$C$4,"2 Item No.","@@"&amp;$F1210,"3 Posting Date",J$9)+NL("Sum","5802 Value Entry","17 Sales Amount (Actual)","41 Source Type",$C$5,"5 Source no.",$C1210,"4 Item Ledger Entry Type",$C$4,"2 Item No.","@@"&amp;$F1210,"3 Posting Date",J$9)</t>
  </si>
  <si>
    <t>=-NL("Sum","5802 Value Entry","151 Cost Amount (Expected)","41 Source Type",$C$5,"5 Source No.",$C1210,"4 Item Ledger Entry Type",$C$4,"2 Item No.","@@"&amp;$F1210,"3 Posting Date",J$9)-NL("Sum","5802 Value Entry","43 Cost Amount (Actual)","41 Source Type",$C$5,"5 Source no.",$C1210,"4 Item Ledger Entry Type",$C$4,"2 Item No.","@@"&amp;$F1210,"3 Posting Date",J$9)</t>
  </si>
  <si>
    <t>=J1210-L1210</t>
  </si>
  <si>
    <t>=IF(J1210&lt;&gt;0,M1210/J1210,"")</t>
  </si>
  <si>
    <t>=NL("Sum","5802 Value Entry","150 Sales Amount (Expected)","41 Source Type",$C$5,"5 Source No.",$C1210,"4 Item Ledger Entry Type",$C$4,"2 Item No.","@@"&amp;$F1210,"3 Posting Date",O$9)+NL("Sum","5802 Value Entry","17 Sales Amount (Actual)","41 Source Type",$C$5,"5 Source no.",$C1210,"4 Item Ledger Entry Type",$C$4,"2 Item No.","@@"&amp;$F1210,"3 Posting Date",O$9)</t>
  </si>
  <si>
    <t>=-NL("Sum","5802 Value Entry","151 Cost Amount (Expected)","41 Source Type",$C$5,"5 Source No.",$C1210,"4 Item Ledger Entry Type",$C$4,"2 Item No.","@@"&amp;$F1210,"3 Posting Date",O$9)-NL("Sum","5802 Value Entry","43 Cost Amount (Actual)","41 Source Type",$C$5,"5 Source no.",$C1210,"4 Item Ledger Entry Type",$C$4,"2 Item No.","@@"&amp;$F1210,"3 Posting Date",O$9)</t>
  </si>
  <si>
    <t>=O1210-Q1210</t>
  </si>
  <si>
    <t>=IF(O1210&lt;&gt;0,R1210/O1210,"")</t>
  </si>
  <si>
    <t>=NL("Sum","5802 Value Entry","150 Sales Amount (Expected)","41 Source Type",$C$5,"5 Source No.",$C1210,"4 Item Ledger Entry Type",$C$4,"2 Item No.","@@"&amp;$F1210,"3 Posting Date",U$9)+NL("Sum","5802 Value Entry","17 Sales Amount (Actual)","41 Source Type",$C$5,"5 Source no.",$C1210,"4 Item Ledger Entry Type",$C$4,"2 Item No.","@@"&amp;$F1210,"3 Posting Date",U$9)</t>
  </si>
  <si>
    <t>=-NL("Sum","5802 Value Entry","151 Cost Amount (Expected)","41 Source Type",$C$5,"5 Source No.",$C1210,"4 Item Ledger Entry Type",$C$4,"2 Item No.","@@"&amp;$F1210,"3 Posting Date",U$9)-NL("Sum","5802 Value Entry","43 Cost Amount (Actual)","41 Source Type",$C$5,"5 Source no.",$C1210,"4 Item Ledger Entry Type",$C$4,"2 Item No.","@@"&amp;$F1210,"3 Posting Date",U$9)</t>
  </si>
  <si>
    <t>=U1210-W1210</t>
  </si>
  <si>
    <t>=IF(U1210&lt;&gt;0,X1210/U1210,"")</t>
  </si>
  <si>
    <t>=NL("Sum","5802 Value Entry","150 Sales Amount (Expected)","41 Source Type",$C$5,"5 Source No.",$C1210,"4 Item Ledger Entry Type",$C$4,"2 Item No.","@@"&amp;$F1210,"3 Posting Date",Z$9)+NL("Sum","5802 Value Entry","17 Sales Amount (Actual)","41 Source Type",$C$5,"5 Source no.",$C1210,"4 Item Ledger Entry Type",$C$4,"2 Item No.","@@"&amp;$F1210,"3 Posting Date",Z$9)</t>
  </si>
  <si>
    <t>=-NL("Sum","5802 Value Entry","151 Cost Amount (Expected)","41 Source Type",$C$5,"5 Source No.",$C1210,"4 Item Ledger Entry Type",$C$4,"2 Item No.","@@"&amp;$F1210,"3 Posting Date",Z$9)-NL("Sum","5802 Value Entry","43 Cost Amount (Actual)","41 Source Type",$C$5,"5 Source no.",$C1210,"4 Item Ledger Entry Type",$C$4,"2 Item No.","@@"&amp;$F1210,"3 Posting Date",Z$9)</t>
  </si>
  <si>
    <t>=Z1210-AB1210</t>
  </si>
  <si>
    <t>=IF(Z1210&lt;&gt;0,AC1210/Z1210,"")</t>
  </si>
  <si>
    <t>=C1210</t>
  </si>
  <si>
    <t>=NL("Sum","5802 Value Entry","150 Sales Amount (Expected)","41 Source Type",$C$5,"5 Source No.",$C1211,"4 Item Ledger Entry Type",$C$4,"2 Item No.","@@"&amp;$F1211,"3 Posting Date",J$9)+NL("Sum","5802 Value Entry","17 Sales Amount (Actual)","41 Source Type",$C$5,"5 Source no.",$C1211,"4 Item Ledger Entry Type",$C$4,"2 Item No.","@@"&amp;$F1211,"3 Posting Date",J$9)</t>
  </si>
  <si>
    <t>=-NL("Sum","5802 Value Entry","151 Cost Amount (Expected)","41 Source Type",$C$5,"5 Source No.",$C1211,"4 Item Ledger Entry Type",$C$4,"2 Item No.","@@"&amp;$F1211,"3 Posting Date",J$9)-NL("Sum","5802 Value Entry","43 Cost Amount (Actual)","41 Source Type",$C$5,"5 Source no.",$C1211,"4 Item Ledger Entry Type",$C$4,"2 Item No.","@@"&amp;$F1211,"3 Posting Date",J$9)</t>
  </si>
  <si>
    <t>=J1211-L1211</t>
  </si>
  <si>
    <t>=IF(J1211&lt;&gt;0,M1211/J1211,"")</t>
  </si>
  <si>
    <t>=NL("Sum","5802 Value Entry","150 Sales Amount (Expected)","41 Source Type",$C$5,"5 Source No.",$C1211,"4 Item Ledger Entry Type",$C$4,"2 Item No.","@@"&amp;$F1211,"3 Posting Date",O$9)+NL("Sum","5802 Value Entry","17 Sales Amount (Actual)","41 Source Type",$C$5,"5 Source no.",$C1211,"4 Item Ledger Entry Type",$C$4,"2 Item No.","@@"&amp;$F1211,"3 Posting Date",O$9)</t>
  </si>
  <si>
    <t>=-NL("Sum","5802 Value Entry","151 Cost Amount (Expected)","41 Source Type",$C$5,"5 Source No.",$C1211,"4 Item Ledger Entry Type",$C$4,"2 Item No.","@@"&amp;$F1211,"3 Posting Date",O$9)-NL("Sum","5802 Value Entry","43 Cost Amount (Actual)","41 Source Type",$C$5,"5 Source no.",$C1211,"4 Item Ledger Entry Type",$C$4,"2 Item No.","@@"&amp;$F1211,"3 Posting Date",O$9)</t>
  </si>
  <si>
    <t>=O1211-Q1211</t>
  </si>
  <si>
    <t>=IF(O1211&lt;&gt;0,R1211/O1211,"")</t>
  </si>
  <si>
    <t>=NL("Sum","5802 Value Entry","150 Sales Amount (Expected)","41 Source Type",$C$5,"5 Source No.",$C1211,"4 Item Ledger Entry Type",$C$4,"2 Item No.","@@"&amp;$F1211,"3 Posting Date",U$9)+NL("Sum","5802 Value Entry","17 Sales Amount (Actual)","41 Source Type",$C$5,"5 Source no.",$C1211,"4 Item Ledger Entry Type",$C$4,"2 Item No.","@@"&amp;$F1211,"3 Posting Date",U$9)</t>
  </si>
  <si>
    <t>=-NL("Sum","5802 Value Entry","151 Cost Amount (Expected)","41 Source Type",$C$5,"5 Source No.",$C1211,"4 Item Ledger Entry Type",$C$4,"2 Item No.","@@"&amp;$F1211,"3 Posting Date",U$9)-NL("Sum","5802 Value Entry","43 Cost Amount (Actual)","41 Source Type",$C$5,"5 Source no.",$C1211,"4 Item Ledger Entry Type",$C$4,"2 Item No.","@@"&amp;$F1211,"3 Posting Date",U$9)</t>
  </si>
  <si>
    <t>=U1211-W1211</t>
  </si>
  <si>
    <t>=IF(U1211&lt;&gt;0,X1211/U1211,"")</t>
  </si>
  <si>
    <t>=NL("Sum","5802 Value Entry","150 Sales Amount (Expected)","41 Source Type",$C$5,"5 Source No.",$C1211,"4 Item Ledger Entry Type",$C$4,"2 Item No.","@@"&amp;$F1211,"3 Posting Date",Z$9)+NL("Sum","5802 Value Entry","17 Sales Amount (Actual)","41 Source Type",$C$5,"5 Source no.",$C1211,"4 Item Ledger Entry Type",$C$4,"2 Item No.","@@"&amp;$F1211,"3 Posting Date",Z$9)</t>
  </si>
  <si>
    <t>=-NL("Sum","5802 Value Entry","151 Cost Amount (Expected)","41 Source Type",$C$5,"5 Source No.",$C1211,"4 Item Ledger Entry Type",$C$4,"2 Item No.","@@"&amp;$F1211,"3 Posting Date",Z$9)-NL("Sum","5802 Value Entry","43 Cost Amount (Actual)","41 Source Type",$C$5,"5 Source no.",$C1211,"4 Item Ledger Entry Type",$C$4,"2 Item No.","@@"&amp;$F1211,"3 Posting Date",Z$9)</t>
  </si>
  <si>
    <t>=Z1211-AB1211</t>
  </si>
  <si>
    <t>=IF(Z1211&lt;&gt;0,AC1211/Z1211,"")</t>
  </si>
  <si>
    <t>=C1211</t>
  </si>
  <si>
    <t>=NL("Sum","5802 Value Entry","150 Sales Amount (Expected)","41 Source Type",$C$5,"5 Source No.",$C1212,"4 Item Ledger Entry Type",$C$4,"2 Item No.","@@"&amp;$F1212,"3 Posting Date",J$9)+NL("Sum","5802 Value Entry","17 Sales Amount (Actual)","41 Source Type",$C$5,"5 Source no.",$C1212,"4 Item Ledger Entry Type",$C$4,"2 Item No.","@@"&amp;$F1212,"3 Posting Date",J$9)</t>
  </si>
  <si>
    <t>=-NL("Sum","5802 Value Entry","151 Cost Amount (Expected)","41 Source Type",$C$5,"5 Source No.",$C1212,"4 Item Ledger Entry Type",$C$4,"2 Item No.","@@"&amp;$F1212,"3 Posting Date",J$9)-NL("Sum","5802 Value Entry","43 Cost Amount (Actual)","41 Source Type",$C$5,"5 Source no.",$C1212,"4 Item Ledger Entry Type",$C$4,"2 Item No.","@@"&amp;$F1212,"3 Posting Date",J$9)</t>
  </si>
  <si>
    <t>=J1212-L1212</t>
  </si>
  <si>
    <t>=IF(J1212&lt;&gt;0,M1212/J1212,"")</t>
  </si>
  <si>
    <t>=NL("Sum","5802 Value Entry","150 Sales Amount (Expected)","41 Source Type",$C$5,"5 Source No.",$C1212,"4 Item Ledger Entry Type",$C$4,"2 Item No.","@@"&amp;$F1212,"3 Posting Date",O$9)+NL("Sum","5802 Value Entry","17 Sales Amount (Actual)","41 Source Type",$C$5,"5 Source no.",$C1212,"4 Item Ledger Entry Type",$C$4,"2 Item No.","@@"&amp;$F1212,"3 Posting Date",O$9)</t>
  </si>
  <si>
    <t>=-NL("Sum","5802 Value Entry","151 Cost Amount (Expected)","41 Source Type",$C$5,"5 Source No.",$C1212,"4 Item Ledger Entry Type",$C$4,"2 Item No.","@@"&amp;$F1212,"3 Posting Date",O$9)-NL("Sum","5802 Value Entry","43 Cost Amount (Actual)","41 Source Type",$C$5,"5 Source no.",$C1212,"4 Item Ledger Entry Type",$C$4,"2 Item No.","@@"&amp;$F1212,"3 Posting Date",O$9)</t>
  </si>
  <si>
    <t>=O1212-Q1212</t>
  </si>
  <si>
    <t>=IF(O1212&lt;&gt;0,R1212/O1212,"")</t>
  </si>
  <si>
    <t>=NL("Sum","5802 Value Entry","150 Sales Amount (Expected)","41 Source Type",$C$5,"5 Source No.",$C1212,"4 Item Ledger Entry Type",$C$4,"2 Item No.","@@"&amp;$F1212,"3 Posting Date",U$9)+NL("Sum","5802 Value Entry","17 Sales Amount (Actual)","41 Source Type",$C$5,"5 Source no.",$C1212,"4 Item Ledger Entry Type",$C$4,"2 Item No.","@@"&amp;$F1212,"3 Posting Date",U$9)</t>
  </si>
  <si>
    <t>=-NL("Sum","5802 Value Entry","151 Cost Amount (Expected)","41 Source Type",$C$5,"5 Source No.",$C1212,"4 Item Ledger Entry Type",$C$4,"2 Item No.","@@"&amp;$F1212,"3 Posting Date",U$9)-NL("Sum","5802 Value Entry","43 Cost Amount (Actual)","41 Source Type",$C$5,"5 Source no.",$C1212,"4 Item Ledger Entry Type",$C$4,"2 Item No.","@@"&amp;$F1212,"3 Posting Date",U$9)</t>
  </si>
  <si>
    <t>=U1212-W1212</t>
  </si>
  <si>
    <t>=IF(U1212&lt;&gt;0,X1212/U1212,"")</t>
  </si>
  <si>
    <t>=NL("Sum","5802 Value Entry","150 Sales Amount (Expected)","41 Source Type",$C$5,"5 Source No.",$C1212,"4 Item Ledger Entry Type",$C$4,"2 Item No.","@@"&amp;$F1212,"3 Posting Date",Z$9)+NL("Sum","5802 Value Entry","17 Sales Amount (Actual)","41 Source Type",$C$5,"5 Source no.",$C1212,"4 Item Ledger Entry Type",$C$4,"2 Item No.","@@"&amp;$F1212,"3 Posting Date",Z$9)</t>
  </si>
  <si>
    <t>=-NL("Sum","5802 Value Entry","151 Cost Amount (Expected)","41 Source Type",$C$5,"5 Source No.",$C1212,"4 Item Ledger Entry Type",$C$4,"2 Item No.","@@"&amp;$F1212,"3 Posting Date",Z$9)-NL("Sum","5802 Value Entry","43 Cost Amount (Actual)","41 Source Type",$C$5,"5 Source no.",$C1212,"4 Item Ledger Entry Type",$C$4,"2 Item No.","@@"&amp;$F1212,"3 Posting Date",Z$9)</t>
  </si>
  <si>
    <t>=Z1212-AB1212</t>
  </si>
  <si>
    <t>=IF(Z1212&lt;&gt;0,AC1212/Z1212,"")</t>
  </si>
  <si>
    <t>=C1212</t>
  </si>
  <si>
    <t>=NL("Sum","5802 Value Entry","150 Sales Amount (Expected)","41 Source Type",$C$5,"5 Source No.",$C1213,"4 Item Ledger Entry Type",$C$4,"2 Item No.","@@"&amp;$F1213,"3 Posting Date",J$9)+NL("Sum","5802 Value Entry","17 Sales Amount (Actual)","41 Source Type",$C$5,"5 Source no.",$C1213,"4 Item Ledger Entry Type",$C$4,"2 Item No.","@@"&amp;$F1213,"3 Posting Date",J$9)</t>
  </si>
  <si>
    <t>=-NL("Sum","5802 Value Entry","151 Cost Amount (Expected)","41 Source Type",$C$5,"5 Source No.",$C1213,"4 Item Ledger Entry Type",$C$4,"2 Item No.","@@"&amp;$F1213,"3 Posting Date",J$9)-NL("Sum","5802 Value Entry","43 Cost Amount (Actual)","41 Source Type",$C$5,"5 Source no.",$C1213,"4 Item Ledger Entry Type",$C$4,"2 Item No.","@@"&amp;$F1213,"3 Posting Date",J$9)</t>
  </si>
  <si>
    <t>=J1213-L1213</t>
  </si>
  <si>
    <t>=IF(J1213&lt;&gt;0,M1213/J1213,"")</t>
  </si>
  <si>
    <t>=NL("Sum","5802 Value Entry","150 Sales Amount (Expected)","41 Source Type",$C$5,"5 Source No.",$C1213,"4 Item Ledger Entry Type",$C$4,"2 Item No.","@@"&amp;$F1213,"3 Posting Date",O$9)+NL("Sum","5802 Value Entry","17 Sales Amount (Actual)","41 Source Type",$C$5,"5 Source no.",$C1213,"4 Item Ledger Entry Type",$C$4,"2 Item No.","@@"&amp;$F1213,"3 Posting Date",O$9)</t>
  </si>
  <si>
    <t>=-NL("Sum","5802 Value Entry","151 Cost Amount (Expected)","41 Source Type",$C$5,"5 Source No.",$C1213,"4 Item Ledger Entry Type",$C$4,"2 Item No.","@@"&amp;$F1213,"3 Posting Date",O$9)-NL("Sum","5802 Value Entry","43 Cost Amount (Actual)","41 Source Type",$C$5,"5 Source no.",$C1213,"4 Item Ledger Entry Type",$C$4,"2 Item No.","@@"&amp;$F1213,"3 Posting Date",O$9)</t>
  </si>
  <si>
    <t>=O1213-Q1213</t>
  </si>
  <si>
    <t>=IF(O1213&lt;&gt;0,R1213/O1213,"")</t>
  </si>
  <si>
    <t>=NL("Sum","5802 Value Entry","150 Sales Amount (Expected)","41 Source Type",$C$5,"5 Source No.",$C1213,"4 Item Ledger Entry Type",$C$4,"2 Item No.","@@"&amp;$F1213,"3 Posting Date",U$9)+NL("Sum","5802 Value Entry","17 Sales Amount (Actual)","41 Source Type",$C$5,"5 Source no.",$C1213,"4 Item Ledger Entry Type",$C$4,"2 Item No.","@@"&amp;$F1213,"3 Posting Date",U$9)</t>
  </si>
  <si>
    <t>=-NL("Sum","5802 Value Entry","151 Cost Amount (Expected)","41 Source Type",$C$5,"5 Source No.",$C1213,"4 Item Ledger Entry Type",$C$4,"2 Item No.","@@"&amp;$F1213,"3 Posting Date",U$9)-NL("Sum","5802 Value Entry","43 Cost Amount (Actual)","41 Source Type",$C$5,"5 Source no.",$C1213,"4 Item Ledger Entry Type",$C$4,"2 Item No.","@@"&amp;$F1213,"3 Posting Date",U$9)</t>
  </si>
  <si>
    <t>=U1213-W1213</t>
  </si>
  <si>
    <t>=IF(U1213&lt;&gt;0,X1213/U1213,"")</t>
  </si>
  <si>
    <t>=NL("Sum","5802 Value Entry","150 Sales Amount (Expected)","41 Source Type",$C$5,"5 Source No.",$C1213,"4 Item Ledger Entry Type",$C$4,"2 Item No.","@@"&amp;$F1213,"3 Posting Date",Z$9)+NL("Sum","5802 Value Entry","17 Sales Amount (Actual)","41 Source Type",$C$5,"5 Source no.",$C1213,"4 Item Ledger Entry Type",$C$4,"2 Item No.","@@"&amp;$F1213,"3 Posting Date",Z$9)</t>
  </si>
  <si>
    <t>=-NL("Sum","5802 Value Entry","151 Cost Amount (Expected)","41 Source Type",$C$5,"5 Source No.",$C1213,"4 Item Ledger Entry Type",$C$4,"2 Item No.","@@"&amp;$F1213,"3 Posting Date",Z$9)-NL("Sum","5802 Value Entry","43 Cost Amount (Actual)","41 Source Type",$C$5,"5 Source no.",$C1213,"4 Item Ledger Entry Type",$C$4,"2 Item No.","@@"&amp;$F1213,"3 Posting Date",Z$9)</t>
  </si>
  <si>
    <t>=Z1213-AB1213</t>
  </si>
  <si>
    <t>=IF(Z1213&lt;&gt;0,AC1213/Z1213,"")</t>
  </si>
  <si>
    <t>=C1213</t>
  </si>
  <si>
    <t>=NL("Sum","5802 Value Entry","150 Sales Amount (Expected)","41 Source Type",$C$5,"5 Source No.",$C1214,"4 Item Ledger Entry Type",$C$4,"2 Item No.","@@"&amp;$F1214,"3 Posting Date",J$9)+NL("Sum","5802 Value Entry","17 Sales Amount (Actual)","41 Source Type",$C$5,"5 Source no.",$C1214,"4 Item Ledger Entry Type",$C$4,"2 Item No.","@@"&amp;$F1214,"3 Posting Date",J$9)</t>
  </si>
  <si>
    <t>=-NL("Sum","5802 Value Entry","151 Cost Amount (Expected)","41 Source Type",$C$5,"5 Source No.",$C1214,"4 Item Ledger Entry Type",$C$4,"2 Item No.","@@"&amp;$F1214,"3 Posting Date",J$9)-NL("Sum","5802 Value Entry","43 Cost Amount (Actual)","41 Source Type",$C$5,"5 Source no.",$C1214,"4 Item Ledger Entry Type",$C$4,"2 Item No.","@@"&amp;$F1214,"3 Posting Date",J$9)</t>
  </si>
  <si>
    <t>=J1214-L1214</t>
  </si>
  <si>
    <t>=IF(J1214&lt;&gt;0,M1214/J1214,"")</t>
  </si>
  <si>
    <t>=NL("Sum","5802 Value Entry","150 Sales Amount (Expected)","41 Source Type",$C$5,"5 Source No.",$C1214,"4 Item Ledger Entry Type",$C$4,"2 Item No.","@@"&amp;$F1214,"3 Posting Date",O$9)+NL("Sum","5802 Value Entry","17 Sales Amount (Actual)","41 Source Type",$C$5,"5 Source no.",$C1214,"4 Item Ledger Entry Type",$C$4,"2 Item No.","@@"&amp;$F1214,"3 Posting Date",O$9)</t>
  </si>
  <si>
    <t>=-NL("Sum","5802 Value Entry","151 Cost Amount (Expected)","41 Source Type",$C$5,"5 Source No.",$C1214,"4 Item Ledger Entry Type",$C$4,"2 Item No.","@@"&amp;$F1214,"3 Posting Date",O$9)-NL("Sum","5802 Value Entry","43 Cost Amount (Actual)","41 Source Type",$C$5,"5 Source no.",$C1214,"4 Item Ledger Entry Type",$C$4,"2 Item No.","@@"&amp;$F1214,"3 Posting Date",O$9)</t>
  </si>
  <si>
    <t>=O1214-Q1214</t>
  </si>
  <si>
    <t>=IF(O1214&lt;&gt;0,R1214/O1214,"")</t>
  </si>
  <si>
    <t>=NL("Sum","5802 Value Entry","150 Sales Amount (Expected)","41 Source Type",$C$5,"5 Source No.",$C1214,"4 Item Ledger Entry Type",$C$4,"2 Item No.","@@"&amp;$F1214,"3 Posting Date",U$9)+NL("Sum","5802 Value Entry","17 Sales Amount (Actual)","41 Source Type",$C$5,"5 Source no.",$C1214,"4 Item Ledger Entry Type",$C$4,"2 Item No.","@@"&amp;$F1214,"3 Posting Date",U$9)</t>
  </si>
  <si>
    <t>=-NL("Sum","5802 Value Entry","151 Cost Amount (Expected)","41 Source Type",$C$5,"5 Source No.",$C1214,"4 Item Ledger Entry Type",$C$4,"2 Item No.","@@"&amp;$F1214,"3 Posting Date",U$9)-NL("Sum","5802 Value Entry","43 Cost Amount (Actual)","41 Source Type",$C$5,"5 Source no.",$C1214,"4 Item Ledger Entry Type",$C$4,"2 Item No.","@@"&amp;$F1214,"3 Posting Date",U$9)</t>
  </si>
  <si>
    <t>=U1214-W1214</t>
  </si>
  <si>
    <t>=IF(U1214&lt;&gt;0,X1214/U1214,"")</t>
  </si>
  <si>
    <t>=NL("Sum","5802 Value Entry","150 Sales Amount (Expected)","41 Source Type",$C$5,"5 Source No.",$C1214,"4 Item Ledger Entry Type",$C$4,"2 Item No.","@@"&amp;$F1214,"3 Posting Date",Z$9)+NL("Sum","5802 Value Entry","17 Sales Amount (Actual)","41 Source Type",$C$5,"5 Source no.",$C1214,"4 Item Ledger Entry Type",$C$4,"2 Item No.","@@"&amp;$F1214,"3 Posting Date",Z$9)</t>
  </si>
  <si>
    <t>=-NL("Sum","5802 Value Entry","151 Cost Amount (Expected)","41 Source Type",$C$5,"5 Source No.",$C1214,"4 Item Ledger Entry Type",$C$4,"2 Item No.","@@"&amp;$F1214,"3 Posting Date",Z$9)-NL("Sum","5802 Value Entry","43 Cost Amount (Actual)","41 Source Type",$C$5,"5 Source no.",$C1214,"4 Item Ledger Entry Type",$C$4,"2 Item No.","@@"&amp;$F1214,"3 Posting Date",Z$9)</t>
  </si>
  <si>
    <t>=Z1214-AB1214</t>
  </si>
  <si>
    <t>=IF(Z1214&lt;&gt;0,AC1214/Z1214,"")</t>
  </si>
  <si>
    <t>=C1214</t>
  </si>
  <si>
    <t>="E100008"</t>
  </si>
  <si>
    <t>=NL("Sum","5802 Value Entry","150 Sales Amount (Expected)","41 Source Type",$C$5,"5 Source No.",$C1215,"4 Item Ledger Entry Type",$C$4,"2 Item No.","@@"&amp;$F1215,"3 Posting Date",J$9)+NL("Sum","5802 Value Entry","17 Sales Amount (Actual)","41 Source Type",$C$5,"5 Source no.",$C1215,"4 Item Ledger Entry Type",$C$4,"2 Item No.","@@"&amp;$F1215,"3 Posting Date",J$9)</t>
  </si>
  <si>
    <t>=-NL("Sum","5802 Value Entry","151 Cost Amount (Expected)","41 Source Type",$C$5,"5 Source No.",$C1215,"4 Item Ledger Entry Type",$C$4,"2 Item No.","@@"&amp;$F1215,"3 Posting Date",J$9)-NL("Sum","5802 Value Entry","43 Cost Amount (Actual)","41 Source Type",$C$5,"5 Source no.",$C1215,"4 Item Ledger Entry Type",$C$4,"2 Item No.","@@"&amp;$F1215,"3 Posting Date",J$9)</t>
  </si>
  <si>
    <t>=J1215-L1215</t>
  </si>
  <si>
    <t>=IF(J1215&lt;&gt;0,M1215/J1215,"")</t>
  </si>
  <si>
    <t>=NL("Sum","5802 Value Entry","150 Sales Amount (Expected)","41 Source Type",$C$5,"5 Source No.",$C1215,"4 Item Ledger Entry Type",$C$4,"2 Item No.","@@"&amp;$F1215,"3 Posting Date",O$9)+NL("Sum","5802 Value Entry","17 Sales Amount (Actual)","41 Source Type",$C$5,"5 Source no.",$C1215,"4 Item Ledger Entry Type",$C$4,"2 Item No.","@@"&amp;$F1215,"3 Posting Date",O$9)</t>
  </si>
  <si>
    <t>=-NL("Sum","5802 Value Entry","151 Cost Amount (Expected)","41 Source Type",$C$5,"5 Source No.",$C1215,"4 Item Ledger Entry Type",$C$4,"2 Item No.","@@"&amp;$F1215,"3 Posting Date",O$9)-NL("Sum","5802 Value Entry","43 Cost Amount (Actual)","41 Source Type",$C$5,"5 Source no.",$C1215,"4 Item Ledger Entry Type",$C$4,"2 Item No.","@@"&amp;$F1215,"3 Posting Date",O$9)</t>
  </si>
  <si>
    <t>=O1215-Q1215</t>
  </si>
  <si>
    <t>=IF(O1215&lt;&gt;0,R1215/O1215,"")</t>
  </si>
  <si>
    <t>=NL("Sum","5802 Value Entry","150 Sales Amount (Expected)","41 Source Type",$C$5,"5 Source No.",$C1215,"4 Item Ledger Entry Type",$C$4,"2 Item No.","@@"&amp;$F1215,"3 Posting Date",U$9)+NL("Sum","5802 Value Entry","17 Sales Amount (Actual)","41 Source Type",$C$5,"5 Source no.",$C1215,"4 Item Ledger Entry Type",$C$4,"2 Item No.","@@"&amp;$F1215,"3 Posting Date",U$9)</t>
  </si>
  <si>
    <t>=-NL("Sum","5802 Value Entry","151 Cost Amount (Expected)","41 Source Type",$C$5,"5 Source No.",$C1215,"4 Item Ledger Entry Type",$C$4,"2 Item No.","@@"&amp;$F1215,"3 Posting Date",U$9)-NL("Sum","5802 Value Entry","43 Cost Amount (Actual)","41 Source Type",$C$5,"5 Source no.",$C1215,"4 Item Ledger Entry Type",$C$4,"2 Item No.","@@"&amp;$F1215,"3 Posting Date",U$9)</t>
  </si>
  <si>
    <t>=U1215-W1215</t>
  </si>
  <si>
    <t>=IF(U1215&lt;&gt;0,X1215/U1215,"")</t>
  </si>
  <si>
    <t>=NL("Sum","5802 Value Entry","150 Sales Amount (Expected)","41 Source Type",$C$5,"5 Source No.",$C1215,"4 Item Ledger Entry Type",$C$4,"2 Item No.","@@"&amp;$F1215,"3 Posting Date",Z$9)+NL("Sum","5802 Value Entry","17 Sales Amount (Actual)","41 Source Type",$C$5,"5 Source no.",$C1215,"4 Item Ledger Entry Type",$C$4,"2 Item No.","@@"&amp;$F1215,"3 Posting Date",Z$9)</t>
  </si>
  <si>
    <t>=-NL("Sum","5802 Value Entry","151 Cost Amount (Expected)","41 Source Type",$C$5,"5 Source No.",$C1215,"4 Item Ledger Entry Type",$C$4,"2 Item No.","@@"&amp;$F1215,"3 Posting Date",Z$9)-NL("Sum","5802 Value Entry","43 Cost Amount (Actual)","41 Source Type",$C$5,"5 Source no.",$C1215,"4 Item Ledger Entry Type",$C$4,"2 Item No.","@@"&amp;$F1215,"3 Posting Date",Z$9)</t>
  </si>
  <si>
    <t>=Z1215-AB1215</t>
  </si>
  <si>
    <t>=IF(Z1215&lt;&gt;0,AC1215/Z1215,"")</t>
  </si>
  <si>
    <t>=C1215</t>
  </si>
  <si>
    <t>=NL("Sum","5802 Value Entry","150 Sales Amount (Expected)","41 Source Type",$C$5,"5 Source No.",$C1216,"4 Item Ledger Entry Type",$C$4,"2 Item No.","@@"&amp;$F1216,"3 Posting Date",J$9)+NL("Sum","5802 Value Entry","17 Sales Amount (Actual)","41 Source Type",$C$5,"5 Source no.",$C1216,"4 Item Ledger Entry Type",$C$4,"2 Item No.","@@"&amp;$F1216,"3 Posting Date",J$9)</t>
  </si>
  <si>
    <t>=-NL("Sum","5802 Value Entry","151 Cost Amount (Expected)","41 Source Type",$C$5,"5 Source No.",$C1216,"4 Item Ledger Entry Type",$C$4,"2 Item No.","@@"&amp;$F1216,"3 Posting Date",J$9)-NL("Sum","5802 Value Entry","43 Cost Amount (Actual)","41 Source Type",$C$5,"5 Source no.",$C1216,"4 Item Ledger Entry Type",$C$4,"2 Item No.","@@"&amp;$F1216,"3 Posting Date",J$9)</t>
  </si>
  <si>
    <t>=J1216-L1216</t>
  </si>
  <si>
    <t>=IF(J1216&lt;&gt;0,M1216/J1216,"")</t>
  </si>
  <si>
    <t>=NL("Sum","5802 Value Entry","150 Sales Amount (Expected)","41 Source Type",$C$5,"5 Source No.",$C1216,"4 Item Ledger Entry Type",$C$4,"2 Item No.","@@"&amp;$F1216,"3 Posting Date",O$9)+NL("Sum","5802 Value Entry","17 Sales Amount (Actual)","41 Source Type",$C$5,"5 Source no.",$C1216,"4 Item Ledger Entry Type",$C$4,"2 Item No.","@@"&amp;$F1216,"3 Posting Date",O$9)</t>
  </si>
  <si>
    <t>=-NL("Sum","5802 Value Entry","151 Cost Amount (Expected)","41 Source Type",$C$5,"5 Source No.",$C1216,"4 Item Ledger Entry Type",$C$4,"2 Item No.","@@"&amp;$F1216,"3 Posting Date",O$9)-NL("Sum","5802 Value Entry","43 Cost Amount (Actual)","41 Source Type",$C$5,"5 Source no.",$C1216,"4 Item Ledger Entry Type",$C$4,"2 Item No.","@@"&amp;$F1216,"3 Posting Date",O$9)</t>
  </si>
  <si>
    <t>=O1216-Q1216</t>
  </si>
  <si>
    <t>=IF(O1216&lt;&gt;0,R1216/O1216,"")</t>
  </si>
  <si>
    <t>=NL("Sum","5802 Value Entry","150 Sales Amount (Expected)","41 Source Type",$C$5,"5 Source No.",$C1216,"4 Item Ledger Entry Type",$C$4,"2 Item No.","@@"&amp;$F1216,"3 Posting Date",U$9)+NL("Sum","5802 Value Entry","17 Sales Amount (Actual)","41 Source Type",$C$5,"5 Source no.",$C1216,"4 Item Ledger Entry Type",$C$4,"2 Item No.","@@"&amp;$F1216,"3 Posting Date",U$9)</t>
  </si>
  <si>
    <t>=-NL("Sum","5802 Value Entry","151 Cost Amount (Expected)","41 Source Type",$C$5,"5 Source No.",$C1216,"4 Item Ledger Entry Type",$C$4,"2 Item No.","@@"&amp;$F1216,"3 Posting Date",U$9)-NL("Sum","5802 Value Entry","43 Cost Amount (Actual)","41 Source Type",$C$5,"5 Source no.",$C1216,"4 Item Ledger Entry Type",$C$4,"2 Item No.","@@"&amp;$F1216,"3 Posting Date",U$9)</t>
  </si>
  <si>
    <t>=U1216-W1216</t>
  </si>
  <si>
    <t>=IF(U1216&lt;&gt;0,X1216/U1216,"")</t>
  </si>
  <si>
    <t>=NL("Sum","5802 Value Entry","150 Sales Amount (Expected)","41 Source Type",$C$5,"5 Source No.",$C1216,"4 Item Ledger Entry Type",$C$4,"2 Item No.","@@"&amp;$F1216,"3 Posting Date",Z$9)+NL("Sum","5802 Value Entry","17 Sales Amount (Actual)","41 Source Type",$C$5,"5 Source no.",$C1216,"4 Item Ledger Entry Type",$C$4,"2 Item No.","@@"&amp;$F1216,"3 Posting Date",Z$9)</t>
  </si>
  <si>
    <t>=-NL("Sum","5802 Value Entry","151 Cost Amount (Expected)","41 Source Type",$C$5,"5 Source No.",$C1216,"4 Item Ledger Entry Type",$C$4,"2 Item No.","@@"&amp;$F1216,"3 Posting Date",Z$9)-NL("Sum","5802 Value Entry","43 Cost Amount (Actual)","41 Source Type",$C$5,"5 Source no.",$C1216,"4 Item Ledger Entry Type",$C$4,"2 Item No.","@@"&amp;$F1216,"3 Posting Date",Z$9)</t>
  </si>
  <si>
    <t>=Z1216-AB1216</t>
  </si>
  <si>
    <t>=IF(Z1216&lt;&gt;0,AC1216/Z1216,"")</t>
  </si>
  <si>
    <t>=C1216</t>
  </si>
  <si>
    <t>=NL("Sum","5802 Value Entry","150 Sales Amount (Expected)","41 Source Type",$C$5,"5 Source No.",$C1217,"4 Item Ledger Entry Type",$C$4,"2 Item No.","@@"&amp;$F1217,"3 Posting Date",J$9)+NL("Sum","5802 Value Entry","17 Sales Amount (Actual)","41 Source Type",$C$5,"5 Source no.",$C1217,"4 Item Ledger Entry Type",$C$4,"2 Item No.","@@"&amp;$F1217,"3 Posting Date",J$9)</t>
  </si>
  <si>
    <t>=-NL("Sum","5802 Value Entry","151 Cost Amount (Expected)","41 Source Type",$C$5,"5 Source No.",$C1217,"4 Item Ledger Entry Type",$C$4,"2 Item No.","@@"&amp;$F1217,"3 Posting Date",J$9)-NL("Sum","5802 Value Entry","43 Cost Amount (Actual)","41 Source Type",$C$5,"5 Source no.",$C1217,"4 Item Ledger Entry Type",$C$4,"2 Item No.","@@"&amp;$F1217,"3 Posting Date",J$9)</t>
  </si>
  <si>
    <t>=J1217-L1217</t>
  </si>
  <si>
    <t>=IF(J1217&lt;&gt;0,M1217/J1217,"")</t>
  </si>
  <si>
    <t>=NL("Sum","5802 Value Entry","150 Sales Amount (Expected)","41 Source Type",$C$5,"5 Source No.",$C1217,"4 Item Ledger Entry Type",$C$4,"2 Item No.","@@"&amp;$F1217,"3 Posting Date",O$9)+NL("Sum","5802 Value Entry","17 Sales Amount (Actual)","41 Source Type",$C$5,"5 Source no.",$C1217,"4 Item Ledger Entry Type",$C$4,"2 Item No.","@@"&amp;$F1217,"3 Posting Date",O$9)</t>
  </si>
  <si>
    <t>=-NL("Sum","5802 Value Entry","151 Cost Amount (Expected)","41 Source Type",$C$5,"5 Source No.",$C1217,"4 Item Ledger Entry Type",$C$4,"2 Item No.","@@"&amp;$F1217,"3 Posting Date",O$9)-NL("Sum","5802 Value Entry","43 Cost Amount (Actual)","41 Source Type",$C$5,"5 Source no.",$C1217,"4 Item Ledger Entry Type",$C$4,"2 Item No.","@@"&amp;$F1217,"3 Posting Date",O$9)</t>
  </si>
  <si>
    <t>=O1217-Q1217</t>
  </si>
  <si>
    <t>=IF(O1217&lt;&gt;0,R1217/O1217,"")</t>
  </si>
  <si>
    <t>=NL("Sum","5802 Value Entry","150 Sales Amount (Expected)","41 Source Type",$C$5,"5 Source No.",$C1217,"4 Item Ledger Entry Type",$C$4,"2 Item No.","@@"&amp;$F1217,"3 Posting Date",U$9)+NL("Sum","5802 Value Entry","17 Sales Amount (Actual)","41 Source Type",$C$5,"5 Source no.",$C1217,"4 Item Ledger Entry Type",$C$4,"2 Item No.","@@"&amp;$F1217,"3 Posting Date",U$9)</t>
  </si>
  <si>
    <t>=-NL("Sum","5802 Value Entry","151 Cost Amount (Expected)","41 Source Type",$C$5,"5 Source No.",$C1217,"4 Item Ledger Entry Type",$C$4,"2 Item No.","@@"&amp;$F1217,"3 Posting Date",U$9)-NL("Sum","5802 Value Entry","43 Cost Amount (Actual)","41 Source Type",$C$5,"5 Source no.",$C1217,"4 Item Ledger Entry Type",$C$4,"2 Item No.","@@"&amp;$F1217,"3 Posting Date",U$9)</t>
  </si>
  <si>
    <t>=U1217-W1217</t>
  </si>
  <si>
    <t>=IF(U1217&lt;&gt;0,X1217/U1217,"")</t>
  </si>
  <si>
    <t>=NL("Sum","5802 Value Entry","150 Sales Amount (Expected)","41 Source Type",$C$5,"5 Source No.",$C1217,"4 Item Ledger Entry Type",$C$4,"2 Item No.","@@"&amp;$F1217,"3 Posting Date",Z$9)+NL("Sum","5802 Value Entry","17 Sales Amount (Actual)","41 Source Type",$C$5,"5 Source no.",$C1217,"4 Item Ledger Entry Type",$C$4,"2 Item No.","@@"&amp;$F1217,"3 Posting Date",Z$9)</t>
  </si>
  <si>
    <t>=-NL("Sum","5802 Value Entry","151 Cost Amount (Expected)","41 Source Type",$C$5,"5 Source No.",$C1217,"4 Item Ledger Entry Type",$C$4,"2 Item No.","@@"&amp;$F1217,"3 Posting Date",Z$9)-NL("Sum","5802 Value Entry","43 Cost Amount (Actual)","41 Source Type",$C$5,"5 Source no.",$C1217,"4 Item Ledger Entry Type",$C$4,"2 Item No.","@@"&amp;$F1217,"3 Posting Date",Z$9)</t>
  </si>
  <si>
    <t>=Z1217-AB1217</t>
  </si>
  <si>
    <t>=IF(Z1217&lt;&gt;0,AC1217/Z1217,"")</t>
  </si>
  <si>
    <t>=C1217</t>
  </si>
  <si>
    <t>=NL("Sum","5802 Value Entry","150 Sales Amount (Expected)","41 Source Type",$C$5,"5 Source No.",$C1218,"4 Item Ledger Entry Type",$C$4,"2 Item No.","@@"&amp;$F1218,"3 Posting Date",J$9)+NL("Sum","5802 Value Entry","17 Sales Amount (Actual)","41 Source Type",$C$5,"5 Source no.",$C1218,"4 Item Ledger Entry Type",$C$4,"2 Item No.","@@"&amp;$F1218,"3 Posting Date",J$9)</t>
  </si>
  <si>
    <t>=-NL("Sum","5802 Value Entry","151 Cost Amount (Expected)","41 Source Type",$C$5,"5 Source No.",$C1218,"4 Item Ledger Entry Type",$C$4,"2 Item No.","@@"&amp;$F1218,"3 Posting Date",J$9)-NL("Sum","5802 Value Entry","43 Cost Amount (Actual)","41 Source Type",$C$5,"5 Source no.",$C1218,"4 Item Ledger Entry Type",$C$4,"2 Item No.","@@"&amp;$F1218,"3 Posting Date",J$9)</t>
  </si>
  <si>
    <t>=J1218-L1218</t>
  </si>
  <si>
    <t>=IF(J1218&lt;&gt;0,M1218/J1218,"")</t>
  </si>
  <si>
    <t>=NL("Sum","5802 Value Entry","150 Sales Amount (Expected)","41 Source Type",$C$5,"5 Source No.",$C1218,"4 Item Ledger Entry Type",$C$4,"2 Item No.","@@"&amp;$F1218,"3 Posting Date",O$9)+NL("Sum","5802 Value Entry","17 Sales Amount (Actual)","41 Source Type",$C$5,"5 Source no.",$C1218,"4 Item Ledger Entry Type",$C$4,"2 Item No.","@@"&amp;$F1218,"3 Posting Date",O$9)</t>
  </si>
  <si>
    <t>=-NL("Sum","5802 Value Entry","151 Cost Amount (Expected)","41 Source Type",$C$5,"5 Source No.",$C1218,"4 Item Ledger Entry Type",$C$4,"2 Item No.","@@"&amp;$F1218,"3 Posting Date",O$9)-NL("Sum","5802 Value Entry","43 Cost Amount (Actual)","41 Source Type",$C$5,"5 Source no.",$C1218,"4 Item Ledger Entry Type",$C$4,"2 Item No.","@@"&amp;$F1218,"3 Posting Date",O$9)</t>
  </si>
  <si>
    <t>=O1218-Q1218</t>
  </si>
  <si>
    <t>=IF(O1218&lt;&gt;0,R1218/O1218,"")</t>
  </si>
  <si>
    <t>=NL("Sum","5802 Value Entry","150 Sales Amount (Expected)","41 Source Type",$C$5,"5 Source No.",$C1218,"4 Item Ledger Entry Type",$C$4,"2 Item No.","@@"&amp;$F1218,"3 Posting Date",U$9)+NL("Sum","5802 Value Entry","17 Sales Amount (Actual)","41 Source Type",$C$5,"5 Source no.",$C1218,"4 Item Ledger Entry Type",$C$4,"2 Item No.","@@"&amp;$F1218,"3 Posting Date",U$9)</t>
  </si>
  <si>
    <t>=-NL("Sum","5802 Value Entry","151 Cost Amount (Expected)","41 Source Type",$C$5,"5 Source No.",$C1218,"4 Item Ledger Entry Type",$C$4,"2 Item No.","@@"&amp;$F1218,"3 Posting Date",U$9)-NL("Sum","5802 Value Entry","43 Cost Amount (Actual)","41 Source Type",$C$5,"5 Source no.",$C1218,"4 Item Ledger Entry Type",$C$4,"2 Item No.","@@"&amp;$F1218,"3 Posting Date",U$9)</t>
  </si>
  <si>
    <t>=U1218-W1218</t>
  </si>
  <si>
    <t>=IF(U1218&lt;&gt;0,X1218/U1218,"")</t>
  </si>
  <si>
    <t>=NL("Sum","5802 Value Entry","150 Sales Amount (Expected)","41 Source Type",$C$5,"5 Source No.",$C1218,"4 Item Ledger Entry Type",$C$4,"2 Item No.","@@"&amp;$F1218,"3 Posting Date",Z$9)+NL("Sum","5802 Value Entry","17 Sales Amount (Actual)","41 Source Type",$C$5,"5 Source no.",$C1218,"4 Item Ledger Entry Type",$C$4,"2 Item No.","@@"&amp;$F1218,"3 Posting Date",Z$9)</t>
  </si>
  <si>
    <t>=-NL("Sum","5802 Value Entry","151 Cost Amount (Expected)","41 Source Type",$C$5,"5 Source No.",$C1218,"4 Item Ledger Entry Type",$C$4,"2 Item No.","@@"&amp;$F1218,"3 Posting Date",Z$9)-NL("Sum","5802 Value Entry","43 Cost Amount (Actual)","41 Source Type",$C$5,"5 Source no.",$C1218,"4 Item Ledger Entry Type",$C$4,"2 Item No.","@@"&amp;$F1218,"3 Posting Date",Z$9)</t>
  </si>
  <si>
    <t>=Z1218-AB1218</t>
  </si>
  <si>
    <t>=IF(Z1218&lt;&gt;0,AC1218/Z1218,"")</t>
  </si>
  <si>
    <t>=C1218</t>
  </si>
  <si>
    <t>="E100023"</t>
  </si>
  <si>
    <t>=NL("Sum","5802 Value Entry","150 Sales Amount (Expected)","41 Source Type",$C$5,"5 Source No.",$C1219,"4 Item Ledger Entry Type",$C$4,"2 Item No.","@@"&amp;$F1219,"3 Posting Date",J$9)+NL("Sum","5802 Value Entry","17 Sales Amount (Actual)","41 Source Type",$C$5,"5 Source no.",$C1219,"4 Item Ledger Entry Type",$C$4,"2 Item No.","@@"&amp;$F1219,"3 Posting Date",J$9)</t>
  </si>
  <si>
    <t>=-NL("Sum","5802 Value Entry","151 Cost Amount (Expected)","41 Source Type",$C$5,"5 Source No.",$C1219,"4 Item Ledger Entry Type",$C$4,"2 Item No.","@@"&amp;$F1219,"3 Posting Date",J$9)-NL("Sum","5802 Value Entry","43 Cost Amount (Actual)","41 Source Type",$C$5,"5 Source no.",$C1219,"4 Item Ledger Entry Type",$C$4,"2 Item No.","@@"&amp;$F1219,"3 Posting Date",J$9)</t>
  </si>
  <si>
    <t>=J1219-L1219</t>
  </si>
  <si>
    <t>=IF(J1219&lt;&gt;0,M1219/J1219,"")</t>
  </si>
  <si>
    <t>=NL("Sum","5802 Value Entry","150 Sales Amount (Expected)","41 Source Type",$C$5,"5 Source No.",$C1219,"4 Item Ledger Entry Type",$C$4,"2 Item No.","@@"&amp;$F1219,"3 Posting Date",O$9)+NL("Sum","5802 Value Entry","17 Sales Amount (Actual)","41 Source Type",$C$5,"5 Source no.",$C1219,"4 Item Ledger Entry Type",$C$4,"2 Item No.","@@"&amp;$F1219,"3 Posting Date",O$9)</t>
  </si>
  <si>
    <t>=-NL("Sum","5802 Value Entry","151 Cost Amount (Expected)","41 Source Type",$C$5,"5 Source No.",$C1219,"4 Item Ledger Entry Type",$C$4,"2 Item No.","@@"&amp;$F1219,"3 Posting Date",O$9)-NL("Sum","5802 Value Entry","43 Cost Amount (Actual)","41 Source Type",$C$5,"5 Source no.",$C1219,"4 Item Ledger Entry Type",$C$4,"2 Item No.","@@"&amp;$F1219,"3 Posting Date",O$9)</t>
  </si>
  <si>
    <t>=O1219-Q1219</t>
  </si>
  <si>
    <t>=IF(O1219&lt;&gt;0,R1219/O1219,"")</t>
  </si>
  <si>
    <t>=NL("Sum","5802 Value Entry","150 Sales Amount (Expected)","41 Source Type",$C$5,"5 Source No.",$C1219,"4 Item Ledger Entry Type",$C$4,"2 Item No.","@@"&amp;$F1219,"3 Posting Date",U$9)+NL("Sum","5802 Value Entry","17 Sales Amount (Actual)","41 Source Type",$C$5,"5 Source no.",$C1219,"4 Item Ledger Entry Type",$C$4,"2 Item No.","@@"&amp;$F1219,"3 Posting Date",U$9)</t>
  </si>
  <si>
    <t>=-NL("Sum","5802 Value Entry","151 Cost Amount (Expected)","41 Source Type",$C$5,"5 Source No.",$C1219,"4 Item Ledger Entry Type",$C$4,"2 Item No.","@@"&amp;$F1219,"3 Posting Date",U$9)-NL("Sum","5802 Value Entry","43 Cost Amount (Actual)","41 Source Type",$C$5,"5 Source no.",$C1219,"4 Item Ledger Entry Type",$C$4,"2 Item No.","@@"&amp;$F1219,"3 Posting Date",U$9)</t>
  </si>
  <si>
    <t>=U1219-W1219</t>
  </si>
  <si>
    <t>=IF(U1219&lt;&gt;0,X1219/U1219,"")</t>
  </si>
  <si>
    <t>=NL("Sum","5802 Value Entry","150 Sales Amount (Expected)","41 Source Type",$C$5,"5 Source No.",$C1219,"4 Item Ledger Entry Type",$C$4,"2 Item No.","@@"&amp;$F1219,"3 Posting Date",Z$9)+NL("Sum","5802 Value Entry","17 Sales Amount (Actual)","41 Source Type",$C$5,"5 Source no.",$C1219,"4 Item Ledger Entry Type",$C$4,"2 Item No.","@@"&amp;$F1219,"3 Posting Date",Z$9)</t>
  </si>
  <si>
    <t>=-NL("Sum","5802 Value Entry","151 Cost Amount (Expected)","41 Source Type",$C$5,"5 Source No.",$C1219,"4 Item Ledger Entry Type",$C$4,"2 Item No.","@@"&amp;$F1219,"3 Posting Date",Z$9)-NL("Sum","5802 Value Entry","43 Cost Amount (Actual)","41 Source Type",$C$5,"5 Source no.",$C1219,"4 Item Ledger Entry Type",$C$4,"2 Item No.","@@"&amp;$F1219,"3 Posting Date",Z$9)</t>
  </si>
  <si>
    <t>=Z1219-AB1219</t>
  </si>
  <si>
    <t>=IF(Z1219&lt;&gt;0,AC1219/Z1219,"")</t>
  </si>
  <si>
    <t>=C1219</t>
  </si>
  <si>
    <t>=NL("Sum","5802 Value Entry","150 Sales Amount (Expected)","41 Source Type",$C$5,"5 Source No.",$C1220,"4 Item Ledger Entry Type",$C$4,"2 Item No.","@@"&amp;$F1220,"3 Posting Date",J$9)+NL("Sum","5802 Value Entry","17 Sales Amount (Actual)","41 Source Type",$C$5,"5 Source no.",$C1220,"4 Item Ledger Entry Type",$C$4,"2 Item No.","@@"&amp;$F1220,"3 Posting Date",J$9)</t>
  </si>
  <si>
    <t>=-NL("Sum","5802 Value Entry","151 Cost Amount (Expected)","41 Source Type",$C$5,"5 Source No.",$C1220,"4 Item Ledger Entry Type",$C$4,"2 Item No.","@@"&amp;$F1220,"3 Posting Date",J$9)-NL("Sum","5802 Value Entry","43 Cost Amount (Actual)","41 Source Type",$C$5,"5 Source no.",$C1220,"4 Item Ledger Entry Type",$C$4,"2 Item No.","@@"&amp;$F1220,"3 Posting Date",J$9)</t>
  </si>
  <si>
    <t>=J1220-L1220</t>
  </si>
  <si>
    <t>=IF(J1220&lt;&gt;0,M1220/J1220,"")</t>
  </si>
  <si>
    <t>=NL("Sum","5802 Value Entry","150 Sales Amount (Expected)","41 Source Type",$C$5,"5 Source No.",$C1220,"4 Item Ledger Entry Type",$C$4,"2 Item No.","@@"&amp;$F1220,"3 Posting Date",O$9)+NL("Sum","5802 Value Entry","17 Sales Amount (Actual)","41 Source Type",$C$5,"5 Source no.",$C1220,"4 Item Ledger Entry Type",$C$4,"2 Item No.","@@"&amp;$F1220,"3 Posting Date",O$9)</t>
  </si>
  <si>
    <t>=-NL("Sum","5802 Value Entry","151 Cost Amount (Expected)","41 Source Type",$C$5,"5 Source No.",$C1220,"4 Item Ledger Entry Type",$C$4,"2 Item No.","@@"&amp;$F1220,"3 Posting Date",O$9)-NL("Sum","5802 Value Entry","43 Cost Amount (Actual)","41 Source Type",$C$5,"5 Source no.",$C1220,"4 Item Ledger Entry Type",$C$4,"2 Item No.","@@"&amp;$F1220,"3 Posting Date",O$9)</t>
  </si>
  <si>
    <t>=O1220-Q1220</t>
  </si>
  <si>
    <t>=IF(O1220&lt;&gt;0,R1220/O1220,"")</t>
  </si>
  <si>
    <t>=NL("Sum","5802 Value Entry","150 Sales Amount (Expected)","41 Source Type",$C$5,"5 Source No.",$C1220,"4 Item Ledger Entry Type",$C$4,"2 Item No.","@@"&amp;$F1220,"3 Posting Date",U$9)+NL("Sum","5802 Value Entry","17 Sales Amount (Actual)","41 Source Type",$C$5,"5 Source no.",$C1220,"4 Item Ledger Entry Type",$C$4,"2 Item No.","@@"&amp;$F1220,"3 Posting Date",U$9)</t>
  </si>
  <si>
    <t>=-NL("Sum","5802 Value Entry","151 Cost Amount (Expected)","41 Source Type",$C$5,"5 Source No.",$C1220,"4 Item Ledger Entry Type",$C$4,"2 Item No.","@@"&amp;$F1220,"3 Posting Date",U$9)-NL("Sum","5802 Value Entry","43 Cost Amount (Actual)","41 Source Type",$C$5,"5 Source no.",$C1220,"4 Item Ledger Entry Type",$C$4,"2 Item No.","@@"&amp;$F1220,"3 Posting Date",U$9)</t>
  </si>
  <si>
    <t>=U1220-W1220</t>
  </si>
  <si>
    <t>=IF(U1220&lt;&gt;0,X1220/U1220,"")</t>
  </si>
  <si>
    <t>=NL("Sum","5802 Value Entry","150 Sales Amount (Expected)","41 Source Type",$C$5,"5 Source No.",$C1220,"4 Item Ledger Entry Type",$C$4,"2 Item No.","@@"&amp;$F1220,"3 Posting Date",Z$9)+NL("Sum","5802 Value Entry","17 Sales Amount (Actual)","41 Source Type",$C$5,"5 Source no.",$C1220,"4 Item Ledger Entry Type",$C$4,"2 Item No.","@@"&amp;$F1220,"3 Posting Date",Z$9)</t>
  </si>
  <si>
    <t>=-NL("Sum","5802 Value Entry","151 Cost Amount (Expected)","41 Source Type",$C$5,"5 Source No.",$C1220,"4 Item Ledger Entry Type",$C$4,"2 Item No.","@@"&amp;$F1220,"3 Posting Date",Z$9)-NL("Sum","5802 Value Entry","43 Cost Amount (Actual)","41 Source Type",$C$5,"5 Source no.",$C1220,"4 Item Ledger Entry Type",$C$4,"2 Item No.","@@"&amp;$F1220,"3 Posting Date",Z$9)</t>
  </si>
  <si>
    <t>=Z1220-AB1220</t>
  </si>
  <si>
    <t>=IF(Z1220&lt;&gt;0,AC1220/Z1220,"")</t>
  </si>
  <si>
    <t>=C1220</t>
  </si>
  <si>
    <t>=NL("Sum","5802 Value Entry","150 Sales Amount (Expected)","41 Source Type",$C$5,"5 Source No.",$C1221,"4 Item Ledger Entry Type",$C$4,"2 Item No.","@@"&amp;$F1221,"3 Posting Date",J$9)+NL("Sum","5802 Value Entry","17 Sales Amount (Actual)","41 Source Type",$C$5,"5 Source no.",$C1221,"4 Item Ledger Entry Type",$C$4,"2 Item No.","@@"&amp;$F1221,"3 Posting Date",J$9)</t>
  </si>
  <si>
    <t>=-NL("Sum","5802 Value Entry","151 Cost Amount (Expected)","41 Source Type",$C$5,"5 Source No.",$C1221,"4 Item Ledger Entry Type",$C$4,"2 Item No.","@@"&amp;$F1221,"3 Posting Date",J$9)-NL("Sum","5802 Value Entry","43 Cost Amount (Actual)","41 Source Type",$C$5,"5 Source no.",$C1221,"4 Item Ledger Entry Type",$C$4,"2 Item No.","@@"&amp;$F1221,"3 Posting Date",J$9)</t>
  </si>
  <si>
    <t>=J1221-L1221</t>
  </si>
  <si>
    <t>=IF(J1221&lt;&gt;0,M1221/J1221,"")</t>
  </si>
  <si>
    <t>=NL("Sum","5802 Value Entry","150 Sales Amount (Expected)","41 Source Type",$C$5,"5 Source No.",$C1221,"4 Item Ledger Entry Type",$C$4,"2 Item No.","@@"&amp;$F1221,"3 Posting Date",O$9)+NL("Sum","5802 Value Entry","17 Sales Amount (Actual)","41 Source Type",$C$5,"5 Source no.",$C1221,"4 Item Ledger Entry Type",$C$4,"2 Item No.","@@"&amp;$F1221,"3 Posting Date",O$9)</t>
  </si>
  <si>
    <t>=-NL("Sum","5802 Value Entry","151 Cost Amount (Expected)","41 Source Type",$C$5,"5 Source No.",$C1221,"4 Item Ledger Entry Type",$C$4,"2 Item No.","@@"&amp;$F1221,"3 Posting Date",O$9)-NL("Sum","5802 Value Entry","43 Cost Amount (Actual)","41 Source Type",$C$5,"5 Source no.",$C1221,"4 Item Ledger Entry Type",$C$4,"2 Item No.","@@"&amp;$F1221,"3 Posting Date",O$9)</t>
  </si>
  <si>
    <t>=O1221-Q1221</t>
  </si>
  <si>
    <t>=IF(O1221&lt;&gt;0,R1221/O1221,"")</t>
  </si>
  <si>
    <t>=NL("Sum","5802 Value Entry","150 Sales Amount (Expected)","41 Source Type",$C$5,"5 Source No.",$C1221,"4 Item Ledger Entry Type",$C$4,"2 Item No.","@@"&amp;$F1221,"3 Posting Date",U$9)+NL("Sum","5802 Value Entry","17 Sales Amount (Actual)","41 Source Type",$C$5,"5 Source no.",$C1221,"4 Item Ledger Entry Type",$C$4,"2 Item No.","@@"&amp;$F1221,"3 Posting Date",U$9)</t>
  </si>
  <si>
    <t>=-NL("Sum","5802 Value Entry","151 Cost Amount (Expected)","41 Source Type",$C$5,"5 Source No.",$C1221,"4 Item Ledger Entry Type",$C$4,"2 Item No.","@@"&amp;$F1221,"3 Posting Date",U$9)-NL("Sum","5802 Value Entry","43 Cost Amount (Actual)","41 Source Type",$C$5,"5 Source no.",$C1221,"4 Item Ledger Entry Type",$C$4,"2 Item No.","@@"&amp;$F1221,"3 Posting Date",U$9)</t>
  </si>
  <si>
    <t>=U1221-W1221</t>
  </si>
  <si>
    <t>=IF(U1221&lt;&gt;0,X1221/U1221,"")</t>
  </si>
  <si>
    <t>=NL("Sum","5802 Value Entry","150 Sales Amount (Expected)","41 Source Type",$C$5,"5 Source No.",$C1221,"4 Item Ledger Entry Type",$C$4,"2 Item No.","@@"&amp;$F1221,"3 Posting Date",Z$9)+NL("Sum","5802 Value Entry","17 Sales Amount (Actual)","41 Source Type",$C$5,"5 Source no.",$C1221,"4 Item Ledger Entry Type",$C$4,"2 Item No.","@@"&amp;$F1221,"3 Posting Date",Z$9)</t>
  </si>
  <si>
    <t>=-NL("Sum","5802 Value Entry","151 Cost Amount (Expected)","41 Source Type",$C$5,"5 Source No.",$C1221,"4 Item Ledger Entry Type",$C$4,"2 Item No.","@@"&amp;$F1221,"3 Posting Date",Z$9)-NL("Sum","5802 Value Entry","43 Cost Amount (Actual)","41 Source Type",$C$5,"5 Source no.",$C1221,"4 Item Ledger Entry Type",$C$4,"2 Item No.","@@"&amp;$F1221,"3 Posting Date",Z$9)</t>
  </si>
  <si>
    <t>=Z1221-AB1221</t>
  </si>
  <si>
    <t>=IF(Z1221&lt;&gt;0,AC1221/Z1221,"")</t>
  </si>
  <si>
    <t>=C1221</t>
  </si>
  <si>
    <t>=NL("Sum","5802 Value Entry","150 Sales Amount (Expected)","41 Source Type",$C$5,"5 Source No.",$C1222,"4 Item Ledger Entry Type",$C$4,"2 Item No.","@@"&amp;$F1222,"3 Posting Date",J$9)+NL("Sum","5802 Value Entry","17 Sales Amount (Actual)","41 Source Type",$C$5,"5 Source no.",$C1222,"4 Item Ledger Entry Type",$C$4,"2 Item No.","@@"&amp;$F1222,"3 Posting Date",J$9)</t>
  </si>
  <si>
    <t>=-NL("Sum","5802 Value Entry","151 Cost Amount (Expected)","41 Source Type",$C$5,"5 Source No.",$C1222,"4 Item Ledger Entry Type",$C$4,"2 Item No.","@@"&amp;$F1222,"3 Posting Date",J$9)-NL("Sum","5802 Value Entry","43 Cost Amount (Actual)","41 Source Type",$C$5,"5 Source no.",$C1222,"4 Item Ledger Entry Type",$C$4,"2 Item No.","@@"&amp;$F1222,"3 Posting Date",J$9)</t>
  </si>
  <si>
    <t>=J1222-L1222</t>
  </si>
  <si>
    <t>=IF(J1222&lt;&gt;0,M1222/J1222,"")</t>
  </si>
  <si>
    <t>=NL("Sum","5802 Value Entry","150 Sales Amount (Expected)","41 Source Type",$C$5,"5 Source No.",$C1222,"4 Item Ledger Entry Type",$C$4,"2 Item No.","@@"&amp;$F1222,"3 Posting Date",O$9)+NL("Sum","5802 Value Entry","17 Sales Amount (Actual)","41 Source Type",$C$5,"5 Source no.",$C1222,"4 Item Ledger Entry Type",$C$4,"2 Item No.","@@"&amp;$F1222,"3 Posting Date",O$9)</t>
  </si>
  <si>
    <t>=-NL("Sum","5802 Value Entry","151 Cost Amount (Expected)","41 Source Type",$C$5,"5 Source No.",$C1222,"4 Item Ledger Entry Type",$C$4,"2 Item No.","@@"&amp;$F1222,"3 Posting Date",O$9)-NL("Sum","5802 Value Entry","43 Cost Amount (Actual)","41 Source Type",$C$5,"5 Source no.",$C1222,"4 Item Ledger Entry Type",$C$4,"2 Item No.","@@"&amp;$F1222,"3 Posting Date",O$9)</t>
  </si>
  <si>
    <t>=O1222-Q1222</t>
  </si>
  <si>
    <t>=IF(O1222&lt;&gt;0,R1222/O1222,"")</t>
  </si>
  <si>
    <t>=NL("Sum","5802 Value Entry","150 Sales Amount (Expected)","41 Source Type",$C$5,"5 Source No.",$C1222,"4 Item Ledger Entry Type",$C$4,"2 Item No.","@@"&amp;$F1222,"3 Posting Date",U$9)+NL("Sum","5802 Value Entry","17 Sales Amount (Actual)","41 Source Type",$C$5,"5 Source no.",$C1222,"4 Item Ledger Entry Type",$C$4,"2 Item No.","@@"&amp;$F1222,"3 Posting Date",U$9)</t>
  </si>
  <si>
    <t>=-NL("Sum","5802 Value Entry","151 Cost Amount (Expected)","41 Source Type",$C$5,"5 Source No.",$C1222,"4 Item Ledger Entry Type",$C$4,"2 Item No.","@@"&amp;$F1222,"3 Posting Date",U$9)-NL("Sum","5802 Value Entry","43 Cost Amount (Actual)","41 Source Type",$C$5,"5 Source no.",$C1222,"4 Item Ledger Entry Type",$C$4,"2 Item No.","@@"&amp;$F1222,"3 Posting Date",U$9)</t>
  </si>
  <si>
    <t>=U1222-W1222</t>
  </si>
  <si>
    <t>=IF(U1222&lt;&gt;0,X1222/U1222,"")</t>
  </si>
  <si>
    <t>=NL("Sum","5802 Value Entry","150 Sales Amount (Expected)","41 Source Type",$C$5,"5 Source No.",$C1222,"4 Item Ledger Entry Type",$C$4,"2 Item No.","@@"&amp;$F1222,"3 Posting Date",Z$9)+NL("Sum","5802 Value Entry","17 Sales Amount (Actual)","41 Source Type",$C$5,"5 Source no.",$C1222,"4 Item Ledger Entry Type",$C$4,"2 Item No.","@@"&amp;$F1222,"3 Posting Date",Z$9)</t>
  </si>
  <si>
    <t>=-NL("Sum","5802 Value Entry","151 Cost Amount (Expected)","41 Source Type",$C$5,"5 Source No.",$C1222,"4 Item Ledger Entry Type",$C$4,"2 Item No.","@@"&amp;$F1222,"3 Posting Date",Z$9)-NL("Sum","5802 Value Entry","43 Cost Amount (Actual)","41 Source Type",$C$5,"5 Source no.",$C1222,"4 Item Ledger Entry Type",$C$4,"2 Item No.","@@"&amp;$F1222,"3 Posting Date",Z$9)</t>
  </si>
  <si>
    <t>=Z1222-AB1222</t>
  </si>
  <si>
    <t>=IF(Z1222&lt;&gt;0,AC1222/Z1222,"")</t>
  </si>
  <si>
    <t>=C1222</t>
  </si>
  <si>
    <t>=NL("Sum","5802 Value Entry","150 Sales Amount (Expected)","41 Source Type",$C$5,"5 Source No.",$C1223,"4 Item Ledger Entry Type",$C$4,"2 Item No.","@@"&amp;$F1223,"3 Posting Date",J$9)+NL("Sum","5802 Value Entry","17 Sales Amount (Actual)","41 Source Type",$C$5,"5 Source no.",$C1223,"4 Item Ledger Entry Type",$C$4,"2 Item No.","@@"&amp;$F1223,"3 Posting Date",J$9)</t>
  </si>
  <si>
    <t>=-NL("Sum","5802 Value Entry","151 Cost Amount (Expected)","41 Source Type",$C$5,"5 Source No.",$C1223,"4 Item Ledger Entry Type",$C$4,"2 Item No.","@@"&amp;$F1223,"3 Posting Date",J$9)-NL("Sum","5802 Value Entry","43 Cost Amount (Actual)","41 Source Type",$C$5,"5 Source no.",$C1223,"4 Item Ledger Entry Type",$C$4,"2 Item No.","@@"&amp;$F1223,"3 Posting Date",J$9)</t>
  </si>
  <si>
    <t>=J1223-L1223</t>
  </si>
  <si>
    <t>=IF(J1223&lt;&gt;0,M1223/J1223,"")</t>
  </si>
  <si>
    <t>=NL("Sum","5802 Value Entry","150 Sales Amount (Expected)","41 Source Type",$C$5,"5 Source No.",$C1223,"4 Item Ledger Entry Type",$C$4,"2 Item No.","@@"&amp;$F1223,"3 Posting Date",O$9)+NL("Sum","5802 Value Entry","17 Sales Amount (Actual)","41 Source Type",$C$5,"5 Source no.",$C1223,"4 Item Ledger Entry Type",$C$4,"2 Item No.","@@"&amp;$F1223,"3 Posting Date",O$9)</t>
  </si>
  <si>
    <t>=-NL("Sum","5802 Value Entry","151 Cost Amount (Expected)","41 Source Type",$C$5,"5 Source No.",$C1223,"4 Item Ledger Entry Type",$C$4,"2 Item No.","@@"&amp;$F1223,"3 Posting Date",O$9)-NL("Sum","5802 Value Entry","43 Cost Amount (Actual)","41 Source Type",$C$5,"5 Source no.",$C1223,"4 Item Ledger Entry Type",$C$4,"2 Item No.","@@"&amp;$F1223,"3 Posting Date",O$9)</t>
  </si>
  <si>
    <t>=O1223-Q1223</t>
  </si>
  <si>
    <t>=IF(O1223&lt;&gt;0,R1223/O1223,"")</t>
  </si>
  <si>
    <t>=NL("Sum","5802 Value Entry","150 Sales Amount (Expected)","41 Source Type",$C$5,"5 Source No.",$C1223,"4 Item Ledger Entry Type",$C$4,"2 Item No.","@@"&amp;$F1223,"3 Posting Date",U$9)+NL("Sum","5802 Value Entry","17 Sales Amount (Actual)","41 Source Type",$C$5,"5 Source no.",$C1223,"4 Item Ledger Entry Type",$C$4,"2 Item No.","@@"&amp;$F1223,"3 Posting Date",U$9)</t>
  </si>
  <si>
    <t>=-NL("Sum","5802 Value Entry","151 Cost Amount (Expected)","41 Source Type",$C$5,"5 Source No.",$C1223,"4 Item Ledger Entry Type",$C$4,"2 Item No.","@@"&amp;$F1223,"3 Posting Date",U$9)-NL("Sum","5802 Value Entry","43 Cost Amount (Actual)","41 Source Type",$C$5,"5 Source no.",$C1223,"4 Item Ledger Entry Type",$C$4,"2 Item No.","@@"&amp;$F1223,"3 Posting Date",U$9)</t>
  </si>
  <si>
    <t>=U1223-W1223</t>
  </si>
  <si>
    <t>=IF(U1223&lt;&gt;0,X1223/U1223,"")</t>
  </si>
  <si>
    <t>=NL("Sum","5802 Value Entry","150 Sales Amount (Expected)","41 Source Type",$C$5,"5 Source No.",$C1223,"4 Item Ledger Entry Type",$C$4,"2 Item No.","@@"&amp;$F1223,"3 Posting Date",Z$9)+NL("Sum","5802 Value Entry","17 Sales Amount (Actual)","41 Source Type",$C$5,"5 Source no.",$C1223,"4 Item Ledger Entry Type",$C$4,"2 Item No.","@@"&amp;$F1223,"3 Posting Date",Z$9)</t>
  </si>
  <si>
    <t>=-NL("Sum","5802 Value Entry","151 Cost Amount (Expected)","41 Source Type",$C$5,"5 Source No.",$C1223,"4 Item Ledger Entry Type",$C$4,"2 Item No.","@@"&amp;$F1223,"3 Posting Date",Z$9)-NL("Sum","5802 Value Entry","43 Cost Amount (Actual)","41 Source Type",$C$5,"5 Source no.",$C1223,"4 Item Ledger Entry Type",$C$4,"2 Item No.","@@"&amp;$F1223,"3 Posting Date",Z$9)</t>
  </si>
  <si>
    <t>=Z1223-AB1223</t>
  </si>
  <si>
    <t>=IF(Z1223&lt;&gt;0,AC1223/Z1223,"")</t>
  </si>
  <si>
    <t>=C1223</t>
  </si>
  <si>
    <t>=NL("Sum","5802 Value Entry","150 Sales Amount (Expected)","41 Source Type",$C$5,"5 Source No.",$C1224,"4 Item Ledger Entry Type",$C$4,"2 Item No.","@@"&amp;$F1224,"3 Posting Date",J$9)+NL("Sum","5802 Value Entry","17 Sales Amount (Actual)","41 Source Type",$C$5,"5 Source no.",$C1224,"4 Item Ledger Entry Type",$C$4,"2 Item No.","@@"&amp;$F1224,"3 Posting Date",J$9)</t>
  </si>
  <si>
    <t>=-NL("Sum","5802 Value Entry","151 Cost Amount (Expected)","41 Source Type",$C$5,"5 Source No.",$C1224,"4 Item Ledger Entry Type",$C$4,"2 Item No.","@@"&amp;$F1224,"3 Posting Date",J$9)-NL("Sum","5802 Value Entry","43 Cost Amount (Actual)","41 Source Type",$C$5,"5 Source no.",$C1224,"4 Item Ledger Entry Type",$C$4,"2 Item No.","@@"&amp;$F1224,"3 Posting Date",J$9)</t>
  </si>
  <si>
    <t>=J1224-L1224</t>
  </si>
  <si>
    <t>=IF(J1224&lt;&gt;0,M1224/J1224,"")</t>
  </si>
  <si>
    <t>=NL("Sum","5802 Value Entry","150 Sales Amount (Expected)","41 Source Type",$C$5,"5 Source No.",$C1224,"4 Item Ledger Entry Type",$C$4,"2 Item No.","@@"&amp;$F1224,"3 Posting Date",O$9)+NL("Sum","5802 Value Entry","17 Sales Amount (Actual)","41 Source Type",$C$5,"5 Source no.",$C1224,"4 Item Ledger Entry Type",$C$4,"2 Item No.","@@"&amp;$F1224,"3 Posting Date",O$9)</t>
  </si>
  <si>
    <t>=-NL("Sum","5802 Value Entry","151 Cost Amount (Expected)","41 Source Type",$C$5,"5 Source No.",$C1224,"4 Item Ledger Entry Type",$C$4,"2 Item No.","@@"&amp;$F1224,"3 Posting Date",O$9)-NL("Sum","5802 Value Entry","43 Cost Amount (Actual)","41 Source Type",$C$5,"5 Source no.",$C1224,"4 Item Ledger Entry Type",$C$4,"2 Item No.","@@"&amp;$F1224,"3 Posting Date",O$9)</t>
  </si>
  <si>
    <t>=O1224-Q1224</t>
  </si>
  <si>
    <t>=IF(O1224&lt;&gt;0,R1224/O1224,"")</t>
  </si>
  <si>
    <t>=NL("Sum","5802 Value Entry","150 Sales Amount (Expected)","41 Source Type",$C$5,"5 Source No.",$C1224,"4 Item Ledger Entry Type",$C$4,"2 Item No.","@@"&amp;$F1224,"3 Posting Date",U$9)+NL("Sum","5802 Value Entry","17 Sales Amount (Actual)","41 Source Type",$C$5,"5 Source no.",$C1224,"4 Item Ledger Entry Type",$C$4,"2 Item No.","@@"&amp;$F1224,"3 Posting Date",U$9)</t>
  </si>
  <si>
    <t>=-NL("Sum","5802 Value Entry","151 Cost Amount (Expected)","41 Source Type",$C$5,"5 Source No.",$C1224,"4 Item Ledger Entry Type",$C$4,"2 Item No.","@@"&amp;$F1224,"3 Posting Date",U$9)-NL("Sum","5802 Value Entry","43 Cost Amount (Actual)","41 Source Type",$C$5,"5 Source no.",$C1224,"4 Item Ledger Entry Type",$C$4,"2 Item No.","@@"&amp;$F1224,"3 Posting Date",U$9)</t>
  </si>
  <si>
    <t>=U1224-W1224</t>
  </si>
  <si>
    <t>=IF(U1224&lt;&gt;0,X1224/U1224,"")</t>
  </si>
  <si>
    <t>=NL("Sum","5802 Value Entry","150 Sales Amount (Expected)","41 Source Type",$C$5,"5 Source No.",$C1224,"4 Item Ledger Entry Type",$C$4,"2 Item No.","@@"&amp;$F1224,"3 Posting Date",Z$9)+NL("Sum","5802 Value Entry","17 Sales Amount (Actual)","41 Source Type",$C$5,"5 Source no.",$C1224,"4 Item Ledger Entry Type",$C$4,"2 Item No.","@@"&amp;$F1224,"3 Posting Date",Z$9)</t>
  </si>
  <si>
    <t>=-NL("Sum","5802 Value Entry","151 Cost Amount (Expected)","41 Source Type",$C$5,"5 Source No.",$C1224,"4 Item Ledger Entry Type",$C$4,"2 Item No.","@@"&amp;$F1224,"3 Posting Date",Z$9)-NL("Sum","5802 Value Entry","43 Cost Amount (Actual)","41 Source Type",$C$5,"5 Source no.",$C1224,"4 Item Ledger Entry Type",$C$4,"2 Item No.","@@"&amp;$F1224,"3 Posting Date",Z$9)</t>
  </si>
  <si>
    <t>=Z1224-AB1224</t>
  </si>
  <si>
    <t>=IF(Z1224&lt;&gt;0,AC1224/Z1224,"")</t>
  </si>
  <si>
    <t>=C1224</t>
  </si>
  <si>
    <t>=NL("Sum","5802 Value Entry","150 Sales Amount (Expected)","41 Source Type",$C$5,"5 Source No.",$C1225,"4 Item Ledger Entry Type",$C$4,"2 Item No.","@@"&amp;$F1225,"3 Posting Date",J$9)+NL("Sum","5802 Value Entry","17 Sales Amount (Actual)","41 Source Type",$C$5,"5 Source no.",$C1225,"4 Item Ledger Entry Type",$C$4,"2 Item No.","@@"&amp;$F1225,"3 Posting Date",J$9)</t>
  </si>
  <si>
    <t>=-NL("Sum","5802 Value Entry","151 Cost Amount (Expected)","41 Source Type",$C$5,"5 Source No.",$C1225,"4 Item Ledger Entry Type",$C$4,"2 Item No.","@@"&amp;$F1225,"3 Posting Date",J$9)-NL("Sum","5802 Value Entry","43 Cost Amount (Actual)","41 Source Type",$C$5,"5 Source no.",$C1225,"4 Item Ledger Entry Type",$C$4,"2 Item No.","@@"&amp;$F1225,"3 Posting Date",J$9)</t>
  </si>
  <si>
    <t>=J1225-L1225</t>
  </si>
  <si>
    <t>=IF(J1225&lt;&gt;0,M1225/J1225,"")</t>
  </si>
  <si>
    <t>=NL("Sum","5802 Value Entry","150 Sales Amount (Expected)","41 Source Type",$C$5,"5 Source No.",$C1225,"4 Item Ledger Entry Type",$C$4,"2 Item No.","@@"&amp;$F1225,"3 Posting Date",O$9)+NL("Sum","5802 Value Entry","17 Sales Amount (Actual)","41 Source Type",$C$5,"5 Source no.",$C1225,"4 Item Ledger Entry Type",$C$4,"2 Item No.","@@"&amp;$F1225,"3 Posting Date",O$9)</t>
  </si>
  <si>
    <t>=-NL("Sum","5802 Value Entry","151 Cost Amount (Expected)","41 Source Type",$C$5,"5 Source No.",$C1225,"4 Item Ledger Entry Type",$C$4,"2 Item No.","@@"&amp;$F1225,"3 Posting Date",O$9)-NL("Sum","5802 Value Entry","43 Cost Amount (Actual)","41 Source Type",$C$5,"5 Source no.",$C1225,"4 Item Ledger Entry Type",$C$4,"2 Item No.","@@"&amp;$F1225,"3 Posting Date",O$9)</t>
  </si>
  <si>
    <t>=O1225-Q1225</t>
  </si>
  <si>
    <t>=IF(O1225&lt;&gt;0,R1225/O1225,"")</t>
  </si>
  <si>
    <t>=NL("Sum","5802 Value Entry","150 Sales Amount (Expected)","41 Source Type",$C$5,"5 Source No.",$C1225,"4 Item Ledger Entry Type",$C$4,"2 Item No.","@@"&amp;$F1225,"3 Posting Date",U$9)+NL("Sum","5802 Value Entry","17 Sales Amount (Actual)","41 Source Type",$C$5,"5 Source no.",$C1225,"4 Item Ledger Entry Type",$C$4,"2 Item No.","@@"&amp;$F1225,"3 Posting Date",U$9)</t>
  </si>
  <si>
    <t>=-NL("Sum","5802 Value Entry","151 Cost Amount (Expected)","41 Source Type",$C$5,"5 Source No.",$C1225,"4 Item Ledger Entry Type",$C$4,"2 Item No.","@@"&amp;$F1225,"3 Posting Date",U$9)-NL("Sum","5802 Value Entry","43 Cost Amount (Actual)","41 Source Type",$C$5,"5 Source no.",$C1225,"4 Item Ledger Entry Type",$C$4,"2 Item No.","@@"&amp;$F1225,"3 Posting Date",U$9)</t>
  </si>
  <si>
    <t>=U1225-W1225</t>
  </si>
  <si>
    <t>=IF(U1225&lt;&gt;0,X1225/U1225,"")</t>
  </si>
  <si>
    <t>=NL("Sum","5802 Value Entry","150 Sales Amount (Expected)","41 Source Type",$C$5,"5 Source No.",$C1225,"4 Item Ledger Entry Type",$C$4,"2 Item No.","@@"&amp;$F1225,"3 Posting Date",Z$9)+NL("Sum","5802 Value Entry","17 Sales Amount (Actual)","41 Source Type",$C$5,"5 Source no.",$C1225,"4 Item Ledger Entry Type",$C$4,"2 Item No.","@@"&amp;$F1225,"3 Posting Date",Z$9)</t>
  </si>
  <si>
    <t>=-NL("Sum","5802 Value Entry","151 Cost Amount (Expected)","41 Source Type",$C$5,"5 Source No.",$C1225,"4 Item Ledger Entry Type",$C$4,"2 Item No.","@@"&amp;$F1225,"3 Posting Date",Z$9)-NL("Sum","5802 Value Entry","43 Cost Amount (Actual)","41 Source Type",$C$5,"5 Source no.",$C1225,"4 Item Ledger Entry Type",$C$4,"2 Item No.","@@"&amp;$F1225,"3 Posting Date",Z$9)</t>
  </si>
  <si>
    <t>=Z1225-AB1225</t>
  </si>
  <si>
    <t>=IF(Z1225&lt;&gt;0,AC1225/Z1225,"")</t>
  </si>
  <si>
    <t>=C1225</t>
  </si>
  <si>
    <t>=NL("Sum","5802 Value Entry","150 Sales Amount (Expected)","41 Source Type",$C$5,"5 Source No.",$C1226,"4 Item Ledger Entry Type",$C$4,"2 Item No.","@@"&amp;$F1226,"3 Posting Date",J$9)+NL("Sum","5802 Value Entry","17 Sales Amount (Actual)","41 Source Type",$C$5,"5 Source no.",$C1226,"4 Item Ledger Entry Type",$C$4,"2 Item No.","@@"&amp;$F1226,"3 Posting Date",J$9)</t>
  </si>
  <si>
    <t>=-NL("Sum","5802 Value Entry","151 Cost Amount (Expected)","41 Source Type",$C$5,"5 Source No.",$C1226,"4 Item Ledger Entry Type",$C$4,"2 Item No.","@@"&amp;$F1226,"3 Posting Date",J$9)-NL("Sum","5802 Value Entry","43 Cost Amount (Actual)","41 Source Type",$C$5,"5 Source no.",$C1226,"4 Item Ledger Entry Type",$C$4,"2 Item No.","@@"&amp;$F1226,"3 Posting Date",J$9)</t>
  </si>
  <si>
    <t>=J1226-L1226</t>
  </si>
  <si>
    <t>=IF(J1226&lt;&gt;0,M1226/J1226,"")</t>
  </si>
  <si>
    <t>=NL("Sum","5802 Value Entry","150 Sales Amount (Expected)","41 Source Type",$C$5,"5 Source No.",$C1226,"4 Item Ledger Entry Type",$C$4,"2 Item No.","@@"&amp;$F1226,"3 Posting Date",O$9)+NL("Sum","5802 Value Entry","17 Sales Amount (Actual)","41 Source Type",$C$5,"5 Source no.",$C1226,"4 Item Ledger Entry Type",$C$4,"2 Item No.","@@"&amp;$F1226,"3 Posting Date",O$9)</t>
  </si>
  <si>
    <t>=-NL("Sum","5802 Value Entry","151 Cost Amount (Expected)","41 Source Type",$C$5,"5 Source No.",$C1226,"4 Item Ledger Entry Type",$C$4,"2 Item No.","@@"&amp;$F1226,"3 Posting Date",O$9)-NL("Sum","5802 Value Entry","43 Cost Amount (Actual)","41 Source Type",$C$5,"5 Source no.",$C1226,"4 Item Ledger Entry Type",$C$4,"2 Item No.","@@"&amp;$F1226,"3 Posting Date",O$9)</t>
  </si>
  <si>
    <t>=O1226-Q1226</t>
  </si>
  <si>
    <t>=IF(O1226&lt;&gt;0,R1226/O1226,"")</t>
  </si>
  <si>
    <t>=NL("Sum","5802 Value Entry","150 Sales Amount (Expected)","41 Source Type",$C$5,"5 Source No.",$C1226,"4 Item Ledger Entry Type",$C$4,"2 Item No.","@@"&amp;$F1226,"3 Posting Date",U$9)+NL("Sum","5802 Value Entry","17 Sales Amount (Actual)","41 Source Type",$C$5,"5 Source no.",$C1226,"4 Item Ledger Entry Type",$C$4,"2 Item No.","@@"&amp;$F1226,"3 Posting Date",U$9)</t>
  </si>
  <si>
    <t>=-NL("Sum","5802 Value Entry","151 Cost Amount (Expected)","41 Source Type",$C$5,"5 Source No.",$C1226,"4 Item Ledger Entry Type",$C$4,"2 Item No.","@@"&amp;$F1226,"3 Posting Date",U$9)-NL("Sum","5802 Value Entry","43 Cost Amount (Actual)","41 Source Type",$C$5,"5 Source no.",$C1226,"4 Item Ledger Entry Type",$C$4,"2 Item No.","@@"&amp;$F1226,"3 Posting Date",U$9)</t>
  </si>
  <si>
    <t>=U1226-W1226</t>
  </si>
  <si>
    <t>=IF(U1226&lt;&gt;0,X1226/U1226,"")</t>
  </si>
  <si>
    <t>=NL("Sum","5802 Value Entry","150 Sales Amount (Expected)","41 Source Type",$C$5,"5 Source No.",$C1226,"4 Item Ledger Entry Type",$C$4,"2 Item No.","@@"&amp;$F1226,"3 Posting Date",Z$9)+NL("Sum","5802 Value Entry","17 Sales Amount (Actual)","41 Source Type",$C$5,"5 Source no.",$C1226,"4 Item Ledger Entry Type",$C$4,"2 Item No.","@@"&amp;$F1226,"3 Posting Date",Z$9)</t>
  </si>
  <si>
    <t>=-NL("Sum","5802 Value Entry","151 Cost Amount (Expected)","41 Source Type",$C$5,"5 Source No.",$C1226,"4 Item Ledger Entry Type",$C$4,"2 Item No.","@@"&amp;$F1226,"3 Posting Date",Z$9)-NL("Sum","5802 Value Entry","43 Cost Amount (Actual)","41 Source Type",$C$5,"5 Source no.",$C1226,"4 Item Ledger Entry Type",$C$4,"2 Item No.","@@"&amp;$F1226,"3 Posting Date",Z$9)</t>
  </si>
  <si>
    <t>=Z1226-AB1226</t>
  </si>
  <si>
    <t>=IF(Z1226&lt;&gt;0,AC1226/Z1226,"")</t>
  </si>
  <si>
    <t>=C1227</t>
  </si>
  <si>
    <t>=J1228-L1228</t>
  </si>
  <si>
    <t>=IF(J1228&lt;&gt;0,M1228/J1228,"")</t>
  </si>
  <si>
    <t>=O1228-Q1228</t>
  </si>
  <si>
    <t>=IF(O1228&lt;&gt;0,R1228/O1228,"")</t>
  </si>
  <si>
    <t>=U1228-W1228</t>
  </si>
  <si>
    <t>=IF(U1228&lt;&gt;0,X1228/U1228,"")</t>
  </si>
  <si>
    <t>=Z1228-AB1228</t>
  </si>
  <si>
    <t>=IF(Z1228&lt;&gt;0,AC1228/Z1228,"")</t>
  </si>
  <si>
    <t>=C1230</t>
  </si>
  <si>
    <t>=C1231</t>
  </si>
  <si>
    <t>=NL("Sum","5802 Value Entry","150 Sales Amount (Expected)","41 Source Type",$C$5,"5 Source No.",$C1232,"4 Item Ledger Entry Type",$C$4,"2 Item No.","@@"&amp;$F1232,"3 Posting Date",J$9)+NL("Sum","5802 Value Entry","17 Sales Amount (Actual)","41 Source Type",$C$5,"5 Source no.",$C1232,"4 Item Ledger Entry Type",$C$4,"2 Item No.","@@"&amp;$F1232,"3 Posting Date",J$9)</t>
  </si>
  <si>
    <t>=-NL("Sum","5802 Value Entry","151 Cost Amount (Expected)","41 Source Type",$C$5,"5 Source No.",$C1232,"4 Item Ledger Entry Type",$C$4,"2 Item No.","@@"&amp;$F1232,"3 Posting Date",J$9)-NL("Sum","5802 Value Entry","43 Cost Amount (Actual)","41 Source Type",$C$5,"5 Source no.",$C1232,"4 Item Ledger Entry Type",$C$4,"2 Item No.","@@"&amp;$F1232,"3 Posting Date",J$9)</t>
  </si>
  <si>
    <t>=J1232-L1232</t>
  </si>
  <si>
    <t>=IF(J1232&lt;&gt;0,M1232/J1232,"")</t>
  </si>
  <si>
    <t>=NL("Sum","5802 Value Entry","150 Sales Amount (Expected)","41 Source Type",$C$5,"5 Source No.",$C1232,"4 Item Ledger Entry Type",$C$4,"2 Item No.","@@"&amp;$F1232,"3 Posting Date",O$9)+NL("Sum","5802 Value Entry","17 Sales Amount (Actual)","41 Source Type",$C$5,"5 Source no.",$C1232,"4 Item Ledger Entry Type",$C$4,"2 Item No.","@@"&amp;$F1232,"3 Posting Date",O$9)</t>
  </si>
  <si>
    <t>=-NL("Sum","5802 Value Entry","151 Cost Amount (Expected)","41 Source Type",$C$5,"5 Source No.",$C1232,"4 Item Ledger Entry Type",$C$4,"2 Item No.","@@"&amp;$F1232,"3 Posting Date",O$9)-NL("Sum","5802 Value Entry","43 Cost Amount (Actual)","41 Source Type",$C$5,"5 Source no.",$C1232,"4 Item Ledger Entry Type",$C$4,"2 Item No.","@@"&amp;$F1232,"3 Posting Date",O$9)</t>
  </si>
  <si>
    <t>=O1232-Q1232</t>
  </si>
  <si>
    <t>=IF(O1232&lt;&gt;0,R1232/O1232,"")</t>
  </si>
  <si>
    <t>=NL("Sum","5802 Value Entry","150 Sales Amount (Expected)","41 Source Type",$C$5,"5 Source No.",$C1232,"4 Item Ledger Entry Type",$C$4,"2 Item No.","@@"&amp;$F1232,"3 Posting Date",U$9)+NL("Sum","5802 Value Entry","17 Sales Amount (Actual)","41 Source Type",$C$5,"5 Source no.",$C1232,"4 Item Ledger Entry Type",$C$4,"2 Item No.","@@"&amp;$F1232,"3 Posting Date",U$9)</t>
  </si>
  <si>
    <t>=-NL("Sum","5802 Value Entry","151 Cost Amount (Expected)","41 Source Type",$C$5,"5 Source No.",$C1232,"4 Item Ledger Entry Type",$C$4,"2 Item No.","@@"&amp;$F1232,"3 Posting Date",U$9)-NL("Sum","5802 Value Entry","43 Cost Amount (Actual)","41 Source Type",$C$5,"5 Source no.",$C1232,"4 Item Ledger Entry Type",$C$4,"2 Item No.","@@"&amp;$F1232,"3 Posting Date",U$9)</t>
  </si>
  <si>
    <t>=U1232-W1232</t>
  </si>
  <si>
    <t>=IF(U1232&lt;&gt;0,X1232/U1232,"")</t>
  </si>
  <si>
    <t>=NL("Sum","5802 Value Entry","150 Sales Amount (Expected)","41 Source Type",$C$5,"5 Source No.",$C1232,"4 Item Ledger Entry Type",$C$4,"2 Item No.","@@"&amp;$F1232,"3 Posting Date",Z$9)+NL("Sum","5802 Value Entry","17 Sales Amount (Actual)","41 Source Type",$C$5,"5 Source no.",$C1232,"4 Item Ledger Entry Type",$C$4,"2 Item No.","@@"&amp;$F1232,"3 Posting Date",Z$9)</t>
  </si>
  <si>
    <t>=-NL("Sum","5802 Value Entry","151 Cost Amount (Expected)","41 Source Type",$C$5,"5 Source No.",$C1232,"4 Item Ledger Entry Type",$C$4,"2 Item No.","@@"&amp;$F1232,"3 Posting Date",Z$9)-NL("Sum","5802 Value Entry","43 Cost Amount (Actual)","41 Source Type",$C$5,"5 Source no.",$C1232,"4 Item Ledger Entry Type",$C$4,"2 Item No.","@@"&amp;$F1232,"3 Posting Date",Z$9)</t>
  </si>
  <si>
    <t>=Z1232-AB1232</t>
  </si>
  <si>
    <t>=IF(Z1232&lt;&gt;0,AC1232/Z1232,"")</t>
  </si>
  <si>
    <t>=C1232</t>
  </si>
  <si>
    <t>=NL("Sum","5802 Value Entry","150 Sales Amount (Expected)","41 Source Type",$C$5,"5 Source No.",$C1233,"4 Item Ledger Entry Type",$C$4,"2 Item No.","@@"&amp;$F1233,"3 Posting Date",J$9)+NL("Sum","5802 Value Entry","17 Sales Amount (Actual)","41 Source Type",$C$5,"5 Source no.",$C1233,"4 Item Ledger Entry Type",$C$4,"2 Item No.","@@"&amp;$F1233,"3 Posting Date",J$9)</t>
  </si>
  <si>
    <t>=-NL("Sum","5802 Value Entry","151 Cost Amount (Expected)","41 Source Type",$C$5,"5 Source No.",$C1233,"4 Item Ledger Entry Type",$C$4,"2 Item No.","@@"&amp;$F1233,"3 Posting Date",J$9)-NL("Sum","5802 Value Entry","43 Cost Amount (Actual)","41 Source Type",$C$5,"5 Source no.",$C1233,"4 Item Ledger Entry Type",$C$4,"2 Item No.","@@"&amp;$F1233,"3 Posting Date",J$9)</t>
  </si>
  <si>
    <t>=J1233-L1233</t>
  </si>
  <si>
    <t>=IF(J1233&lt;&gt;0,M1233/J1233,"")</t>
  </si>
  <si>
    <t>=NL("Sum","5802 Value Entry","150 Sales Amount (Expected)","41 Source Type",$C$5,"5 Source No.",$C1233,"4 Item Ledger Entry Type",$C$4,"2 Item No.","@@"&amp;$F1233,"3 Posting Date",O$9)+NL("Sum","5802 Value Entry","17 Sales Amount (Actual)","41 Source Type",$C$5,"5 Source no.",$C1233,"4 Item Ledger Entry Type",$C$4,"2 Item No.","@@"&amp;$F1233,"3 Posting Date",O$9)</t>
  </si>
  <si>
    <t>=-NL("Sum","5802 Value Entry","151 Cost Amount (Expected)","41 Source Type",$C$5,"5 Source No.",$C1233,"4 Item Ledger Entry Type",$C$4,"2 Item No.","@@"&amp;$F1233,"3 Posting Date",O$9)-NL("Sum","5802 Value Entry","43 Cost Amount (Actual)","41 Source Type",$C$5,"5 Source no.",$C1233,"4 Item Ledger Entry Type",$C$4,"2 Item No.","@@"&amp;$F1233,"3 Posting Date",O$9)</t>
  </si>
  <si>
    <t>=O1233-Q1233</t>
  </si>
  <si>
    <t>=IF(O1233&lt;&gt;0,R1233/O1233,"")</t>
  </si>
  <si>
    <t>=NL("Sum","5802 Value Entry","150 Sales Amount (Expected)","41 Source Type",$C$5,"5 Source No.",$C1233,"4 Item Ledger Entry Type",$C$4,"2 Item No.","@@"&amp;$F1233,"3 Posting Date",U$9)+NL("Sum","5802 Value Entry","17 Sales Amount (Actual)","41 Source Type",$C$5,"5 Source no.",$C1233,"4 Item Ledger Entry Type",$C$4,"2 Item No.","@@"&amp;$F1233,"3 Posting Date",U$9)</t>
  </si>
  <si>
    <t>=-NL("Sum","5802 Value Entry","151 Cost Amount (Expected)","41 Source Type",$C$5,"5 Source No.",$C1233,"4 Item Ledger Entry Type",$C$4,"2 Item No.","@@"&amp;$F1233,"3 Posting Date",U$9)-NL("Sum","5802 Value Entry","43 Cost Amount (Actual)","41 Source Type",$C$5,"5 Source no.",$C1233,"4 Item Ledger Entry Type",$C$4,"2 Item No.","@@"&amp;$F1233,"3 Posting Date",U$9)</t>
  </si>
  <si>
    <t>=U1233-W1233</t>
  </si>
  <si>
    <t>=IF(U1233&lt;&gt;0,X1233/U1233,"")</t>
  </si>
  <si>
    <t>=NL("Sum","5802 Value Entry","150 Sales Amount (Expected)","41 Source Type",$C$5,"5 Source No.",$C1233,"4 Item Ledger Entry Type",$C$4,"2 Item No.","@@"&amp;$F1233,"3 Posting Date",Z$9)+NL("Sum","5802 Value Entry","17 Sales Amount (Actual)","41 Source Type",$C$5,"5 Source no.",$C1233,"4 Item Ledger Entry Type",$C$4,"2 Item No.","@@"&amp;$F1233,"3 Posting Date",Z$9)</t>
  </si>
  <si>
    <t>=-NL("Sum","5802 Value Entry","151 Cost Amount (Expected)","41 Source Type",$C$5,"5 Source No.",$C1233,"4 Item Ledger Entry Type",$C$4,"2 Item No.","@@"&amp;$F1233,"3 Posting Date",Z$9)-NL("Sum","5802 Value Entry","43 Cost Amount (Actual)","41 Source Type",$C$5,"5 Source no.",$C1233,"4 Item Ledger Entry Type",$C$4,"2 Item No.","@@"&amp;$F1233,"3 Posting Date",Z$9)</t>
  </si>
  <si>
    <t>=Z1233-AB1233</t>
  </si>
  <si>
    <t>=IF(Z1233&lt;&gt;0,AC1233/Z1233,"")</t>
  </si>
  <si>
    <t>=C1234</t>
  </si>
  <si>
    <t>=J1235-L1235</t>
  </si>
  <si>
    <t>=IF(J1235&lt;&gt;0,M1235/J1235,"")</t>
  </si>
  <si>
    <t>=O1235-Q1235</t>
  </si>
  <si>
    <t>=IF(O1235&lt;&gt;0,R1235/O1235,"")</t>
  </si>
  <si>
    <t>=U1235-W1235</t>
  </si>
  <si>
    <t>=IF(U1235&lt;&gt;0,X1235/U1235,"")</t>
  </si>
  <si>
    <t>=Z1235-AB1235</t>
  </si>
  <si>
    <t>=IF(Z1235&lt;&gt;0,AC1235/Z1235,"")</t>
  </si>
  <si>
    <t>="C100069"</t>
  </si>
  <si>
    <t>=C1237</t>
  </si>
  <si>
    <t>=C1238</t>
  </si>
  <si>
    <t>=NL("Sum","5802 Value Entry","150 Sales Amount (Expected)","41 Source Type",$C$5,"5 Source No.",$C1239,"4 Item Ledger Entry Type",$C$4,"2 Item No.","@@"&amp;$F1239,"3 Posting Date",J$9)+NL("Sum","5802 Value Entry","17 Sales Amount (Actual)","41 Source Type",$C$5,"5 Source no.",$C1239,"4 Item Ledger Entry Type",$C$4,"2 Item No.","@@"&amp;$F1239,"3 Posting Date",J$9)</t>
  </si>
  <si>
    <t>=-NL("Sum","5802 Value Entry","151 Cost Amount (Expected)","41 Source Type",$C$5,"5 Source No.",$C1239,"4 Item Ledger Entry Type",$C$4,"2 Item No.","@@"&amp;$F1239,"3 Posting Date",J$9)-NL("Sum","5802 Value Entry","43 Cost Amount (Actual)","41 Source Type",$C$5,"5 Source no.",$C1239,"4 Item Ledger Entry Type",$C$4,"2 Item No.","@@"&amp;$F1239,"3 Posting Date",J$9)</t>
  </si>
  <si>
    <t>=J1239-L1239</t>
  </si>
  <si>
    <t>=IF(J1239&lt;&gt;0,M1239/J1239,"")</t>
  </si>
  <si>
    <t>=NL("Sum","5802 Value Entry","150 Sales Amount (Expected)","41 Source Type",$C$5,"5 Source No.",$C1239,"4 Item Ledger Entry Type",$C$4,"2 Item No.","@@"&amp;$F1239,"3 Posting Date",O$9)+NL("Sum","5802 Value Entry","17 Sales Amount (Actual)","41 Source Type",$C$5,"5 Source no.",$C1239,"4 Item Ledger Entry Type",$C$4,"2 Item No.","@@"&amp;$F1239,"3 Posting Date",O$9)</t>
  </si>
  <si>
    <t>=-NL("Sum","5802 Value Entry","151 Cost Amount (Expected)","41 Source Type",$C$5,"5 Source No.",$C1239,"4 Item Ledger Entry Type",$C$4,"2 Item No.","@@"&amp;$F1239,"3 Posting Date",O$9)-NL("Sum","5802 Value Entry","43 Cost Amount (Actual)","41 Source Type",$C$5,"5 Source no.",$C1239,"4 Item Ledger Entry Type",$C$4,"2 Item No.","@@"&amp;$F1239,"3 Posting Date",O$9)</t>
  </si>
  <si>
    <t>=O1239-Q1239</t>
  </si>
  <si>
    <t>=IF(O1239&lt;&gt;0,R1239/O1239,"")</t>
  </si>
  <si>
    <t>=NL("Sum","5802 Value Entry","150 Sales Amount (Expected)","41 Source Type",$C$5,"5 Source No.",$C1239,"4 Item Ledger Entry Type",$C$4,"2 Item No.","@@"&amp;$F1239,"3 Posting Date",U$9)+NL("Sum","5802 Value Entry","17 Sales Amount (Actual)","41 Source Type",$C$5,"5 Source no.",$C1239,"4 Item Ledger Entry Type",$C$4,"2 Item No.","@@"&amp;$F1239,"3 Posting Date",U$9)</t>
  </si>
  <si>
    <t>=-NL("Sum","5802 Value Entry","151 Cost Amount (Expected)","41 Source Type",$C$5,"5 Source No.",$C1239,"4 Item Ledger Entry Type",$C$4,"2 Item No.","@@"&amp;$F1239,"3 Posting Date",U$9)-NL("Sum","5802 Value Entry","43 Cost Amount (Actual)","41 Source Type",$C$5,"5 Source no.",$C1239,"4 Item Ledger Entry Type",$C$4,"2 Item No.","@@"&amp;$F1239,"3 Posting Date",U$9)</t>
  </si>
  <si>
    <t>=U1239-W1239</t>
  </si>
  <si>
    <t>=IF(U1239&lt;&gt;0,X1239/U1239,"")</t>
  </si>
  <si>
    <t>=NL("Sum","5802 Value Entry","150 Sales Amount (Expected)","41 Source Type",$C$5,"5 Source No.",$C1239,"4 Item Ledger Entry Type",$C$4,"2 Item No.","@@"&amp;$F1239,"3 Posting Date",Z$9)+NL("Sum","5802 Value Entry","17 Sales Amount (Actual)","41 Source Type",$C$5,"5 Source no.",$C1239,"4 Item Ledger Entry Type",$C$4,"2 Item No.","@@"&amp;$F1239,"3 Posting Date",Z$9)</t>
  </si>
  <si>
    <t>=-NL("Sum","5802 Value Entry","151 Cost Amount (Expected)","41 Source Type",$C$5,"5 Source No.",$C1239,"4 Item Ledger Entry Type",$C$4,"2 Item No.","@@"&amp;$F1239,"3 Posting Date",Z$9)-NL("Sum","5802 Value Entry","43 Cost Amount (Actual)","41 Source Type",$C$5,"5 Source no.",$C1239,"4 Item Ledger Entry Type",$C$4,"2 Item No.","@@"&amp;$F1239,"3 Posting Date",Z$9)</t>
  </si>
  <si>
    <t>=Z1239-AB1239</t>
  </si>
  <si>
    <t>=IF(Z1239&lt;&gt;0,AC1239/Z1239,"")</t>
  </si>
  <si>
    <t>=C1239</t>
  </si>
  <si>
    <t>=NL("Sum","5802 Value Entry","150 Sales Amount (Expected)","41 Source Type",$C$5,"5 Source No.",$C1240,"4 Item Ledger Entry Type",$C$4,"2 Item No.","@@"&amp;$F1240,"3 Posting Date",J$9)+NL("Sum","5802 Value Entry","17 Sales Amount (Actual)","41 Source Type",$C$5,"5 Source no.",$C1240,"4 Item Ledger Entry Type",$C$4,"2 Item No.","@@"&amp;$F1240,"3 Posting Date",J$9)</t>
  </si>
  <si>
    <t>=-NL("Sum","5802 Value Entry","151 Cost Amount (Expected)","41 Source Type",$C$5,"5 Source No.",$C1240,"4 Item Ledger Entry Type",$C$4,"2 Item No.","@@"&amp;$F1240,"3 Posting Date",J$9)-NL("Sum","5802 Value Entry","43 Cost Amount (Actual)","41 Source Type",$C$5,"5 Source no.",$C1240,"4 Item Ledger Entry Type",$C$4,"2 Item No.","@@"&amp;$F1240,"3 Posting Date",J$9)</t>
  </si>
  <si>
    <t>=J1240-L1240</t>
  </si>
  <si>
    <t>=IF(J1240&lt;&gt;0,M1240/J1240,"")</t>
  </si>
  <si>
    <t>=NL("Sum","5802 Value Entry","150 Sales Amount (Expected)","41 Source Type",$C$5,"5 Source No.",$C1240,"4 Item Ledger Entry Type",$C$4,"2 Item No.","@@"&amp;$F1240,"3 Posting Date",O$9)+NL("Sum","5802 Value Entry","17 Sales Amount (Actual)","41 Source Type",$C$5,"5 Source no.",$C1240,"4 Item Ledger Entry Type",$C$4,"2 Item No.","@@"&amp;$F1240,"3 Posting Date",O$9)</t>
  </si>
  <si>
    <t>=-NL("Sum","5802 Value Entry","151 Cost Amount (Expected)","41 Source Type",$C$5,"5 Source No.",$C1240,"4 Item Ledger Entry Type",$C$4,"2 Item No.","@@"&amp;$F1240,"3 Posting Date",O$9)-NL("Sum","5802 Value Entry","43 Cost Amount (Actual)","41 Source Type",$C$5,"5 Source no.",$C1240,"4 Item Ledger Entry Type",$C$4,"2 Item No.","@@"&amp;$F1240,"3 Posting Date",O$9)</t>
  </si>
  <si>
    <t>=O1240-Q1240</t>
  </si>
  <si>
    <t>=IF(O1240&lt;&gt;0,R1240/O1240,"")</t>
  </si>
  <si>
    <t>=NL("Sum","5802 Value Entry","150 Sales Amount (Expected)","41 Source Type",$C$5,"5 Source No.",$C1240,"4 Item Ledger Entry Type",$C$4,"2 Item No.","@@"&amp;$F1240,"3 Posting Date",U$9)+NL("Sum","5802 Value Entry","17 Sales Amount (Actual)","41 Source Type",$C$5,"5 Source no.",$C1240,"4 Item Ledger Entry Type",$C$4,"2 Item No.","@@"&amp;$F1240,"3 Posting Date",U$9)</t>
  </si>
  <si>
    <t>=-NL("Sum","5802 Value Entry","151 Cost Amount (Expected)","41 Source Type",$C$5,"5 Source No.",$C1240,"4 Item Ledger Entry Type",$C$4,"2 Item No.","@@"&amp;$F1240,"3 Posting Date",U$9)-NL("Sum","5802 Value Entry","43 Cost Amount (Actual)","41 Source Type",$C$5,"5 Source no.",$C1240,"4 Item Ledger Entry Type",$C$4,"2 Item No.","@@"&amp;$F1240,"3 Posting Date",U$9)</t>
  </si>
  <si>
    <t>=U1240-W1240</t>
  </si>
  <si>
    <t>=IF(U1240&lt;&gt;0,X1240/U1240,"")</t>
  </si>
  <si>
    <t>=NL("Sum","5802 Value Entry","150 Sales Amount (Expected)","41 Source Type",$C$5,"5 Source No.",$C1240,"4 Item Ledger Entry Type",$C$4,"2 Item No.","@@"&amp;$F1240,"3 Posting Date",Z$9)+NL("Sum","5802 Value Entry","17 Sales Amount (Actual)","41 Source Type",$C$5,"5 Source no.",$C1240,"4 Item Ledger Entry Type",$C$4,"2 Item No.","@@"&amp;$F1240,"3 Posting Date",Z$9)</t>
  </si>
  <si>
    <t>=-NL("Sum","5802 Value Entry","151 Cost Amount (Expected)","41 Source Type",$C$5,"5 Source No.",$C1240,"4 Item Ledger Entry Type",$C$4,"2 Item No.","@@"&amp;$F1240,"3 Posting Date",Z$9)-NL("Sum","5802 Value Entry","43 Cost Amount (Actual)","41 Source Type",$C$5,"5 Source no.",$C1240,"4 Item Ledger Entry Type",$C$4,"2 Item No.","@@"&amp;$F1240,"3 Posting Date",Z$9)</t>
  </si>
  <si>
    <t>=Z1240-AB1240</t>
  </si>
  <si>
    <t>=IF(Z1240&lt;&gt;0,AC1240/Z1240,"")</t>
  </si>
  <si>
    <t>=C1240</t>
  </si>
  <si>
    <t>=NL("Sum","5802 Value Entry","150 Sales Amount (Expected)","41 Source Type",$C$5,"5 Source No.",$C1241,"4 Item Ledger Entry Type",$C$4,"2 Item No.","@@"&amp;$F1241,"3 Posting Date",J$9)+NL("Sum","5802 Value Entry","17 Sales Amount (Actual)","41 Source Type",$C$5,"5 Source no.",$C1241,"4 Item Ledger Entry Type",$C$4,"2 Item No.","@@"&amp;$F1241,"3 Posting Date",J$9)</t>
  </si>
  <si>
    <t>=-NL("Sum","5802 Value Entry","151 Cost Amount (Expected)","41 Source Type",$C$5,"5 Source No.",$C1241,"4 Item Ledger Entry Type",$C$4,"2 Item No.","@@"&amp;$F1241,"3 Posting Date",J$9)-NL("Sum","5802 Value Entry","43 Cost Amount (Actual)","41 Source Type",$C$5,"5 Source no.",$C1241,"4 Item Ledger Entry Type",$C$4,"2 Item No.","@@"&amp;$F1241,"3 Posting Date",J$9)</t>
  </si>
  <si>
    <t>=J1241-L1241</t>
  </si>
  <si>
    <t>=IF(J1241&lt;&gt;0,M1241/J1241,"")</t>
  </si>
  <si>
    <t>=NL("Sum","5802 Value Entry","150 Sales Amount (Expected)","41 Source Type",$C$5,"5 Source No.",$C1241,"4 Item Ledger Entry Type",$C$4,"2 Item No.","@@"&amp;$F1241,"3 Posting Date",O$9)+NL("Sum","5802 Value Entry","17 Sales Amount (Actual)","41 Source Type",$C$5,"5 Source no.",$C1241,"4 Item Ledger Entry Type",$C$4,"2 Item No.","@@"&amp;$F1241,"3 Posting Date",O$9)</t>
  </si>
  <si>
    <t>=-NL("Sum","5802 Value Entry","151 Cost Amount (Expected)","41 Source Type",$C$5,"5 Source No.",$C1241,"4 Item Ledger Entry Type",$C$4,"2 Item No.","@@"&amp;$F1241,"3 Posting Date",O$9)-NL("Sum","5802 Value Entry","43 Cost Amount (Actual)","41 Source Type",$C$5,"5 Source no.",$C1241,"4 Item Ledger Entry Type",$C$4,"2 Item No.","@@"&amp;$F1241,"3 Posting Date",O$9)</t>
  </si>
  <si>
    <t>=O1241-Q1241</t>
  </si>
  <si>
    <t>=IF(O1241&lt;&gt;0,R1241/O1241,"")</t>
  </si>
  <si>
    <t>=NL("Sum","5802 Value Entry","150 Sales Amount (Expected)","41 Source Type",$C$5,"5 Source No.",$C1241,"4 Item Ledger Entry Type",$C$4,"2 Item No.","@@"&amp;$F1241,"3 Posting Date",U$9)+NL("Sum","5802 Value Entry","17 Sales Amount (Actual)","41 Source Type",$C$5,"5 Source no.",$C1241,"4 Item Ledger Entry Type",$C$4,"2 Item No.","@@"&amp;$F1241,"3 Posting Date",U$9)</t>
  </si>
  <si>
    <t>=-NL("Sum","5802 Value Entry","151 Cost Amount (Expected)","41 Source Type",$C$5,"5 Source No.",$C1241,"4 Item Ledger Entry Type",$C$4,"2 Item No.","@@"&amp;$F1241,"3 Posting Date",U$9)-NL("Sum","5802 Value Entry","43 Cost Amount (Actual)","41 Source Type",$C$5,"5 Source no.",$C1241,"4 Item Ledger Entry Type",$C$4,"2 Item No.","@@"&amp;$F1241,"3 Posting Date",U$9)</t>
  </si>
  <si>
    <t>=U1241-W1241</t>
  </si>
  <si>
    <t>=IF(U1241&lt;&gt;0,X1241/U1241,"")</t>
  </si>
  <si>
    <t>=NL("Sum","5802 Value Entry","150 Sales Amount (Expected)","41 Source Type",$C$5,"5 Source No.",$C1241,"4 Item Ledger Entry Type",$C$4,"2 Item No.","@@"&amp;$F1241,"3 Posting Date",Z$9)+NL("Sum","5802 Value Entry","17 Sales Amount (Actual)","41 Source Type",$C$5,"5 Source no.",$C1241,"4 Item Ledger Entry Type",$C$4,"2 Item No.","@@"&amp;$F1241,"3 Posting Date",Z$9)</t>
  </si>
  <si>
    <t>=-NL("Sum","5802 Value Entry","151 Cost Amount (Expected)","41 Source Type",$C$5,"5 Source No.",$C1241,"4 Item Ledger Entry Type",$C$4,"2 Item No.","@@"&amp;$F1241,"3 Posting Date",Z$9)-NL("Sum","5802 Value Entry","43 Cost Amount (Actual)","41 Source Type",$C$5,"5 Source no.",$C1241,"4 Item Ledger Entry Type",$C$4,"2 Item No.","@@"&amp;$F1241,"3 Posting Date",Z$9)</t>
  </si>
  <si>
    <t>=Z1241-AB1241</t>
  </si>
  <si>
    <t>=IF(Z1241&lt;&gt;0,AC1241/Z1241,"")</t>
  </si>
  <si>
    <t>=C1241</t>
  </si>
  <si>
    <t>=NL("Sum","5802 Value Entry","150 Sales Amount (Expected)","41 Source Type",$C$5,"5 Source No.",$C1242,"4 Item Ledger Entry Type",$C$4,"2 Item No.","@@"&amp;$F1242,"3 Posting Date",J$9)+NL("Sum","5802 Value Entry","17 Sales Amount (Actual)","41 Source Type",$C$5,"5 Source no.",$C1242,"4 Item Ledger Entry Type",$C$4,"2 Item No.","@@"&amp;$F1242,"3 Posting Date",J$9)</t>
  </si>
  <si>
    <t>=-NL("Sum","5802 Value Entry","151 Cost Amount (Expected)","41 Source Type",$C$5,"5 Source No.",$C1242,"4 Item Ledger Entry Type",$C$4,"2 Item No.","@@"&amp;$F1242,"3 Posting Date",J$9)-NL("Sum","5802 Value Entry","43 Cost Amount (Actual)","41 Source Type",$C$5,"5 Source no.",$C1242,"4 Item Ledger Entry Type",$C$4,"2 Item No.","@@"&amp;$F1242,"3 Posting Date",J$9)</t>
  </si>
  <si>
    <t>=J1242-L1242</t>
  </si>
  <si>
    <t>=IF(J1242&lt;&gt;0,M1242/J1242,"")</t>
  </si>
  <si>
    <t>=NL("Sum","5802 Value Entry","150 Sales Amount (Expected)","41 Source Type",$C$5,"5 Source No.",$C1242,"4 Item Ledger Entry Type",$C$4,"2 Item No.","@@"&amp;$F1242,"3 Posting Date",O$9)+NL("Sum","5802 Value Entry","17 Sales Amount (Actual)","41 Source Type",$C$5,"5 Source no.",$C1242,"4 Item Ledger Entry Type",$C$4,"2 Item No.","@@"&amp;$F1242,"3 Posting Date",O$9)</t>
  </si>
  <si>
    <t>=-NL("Sum","5802 Value Entry","151 Cost Amount (Expected)","41 Source Type",$C$5,"5 Source No.",$C1242,"4 Item Ledger Entry Type",$C$4,"2 Item No.","@@"&amp;$F1242,"3 Posting Date",O$9)-NL("Sum","5802 Value Entry","43 Cost Amount (Actual)","41 Source Type",$C$5,"5 Source no.",$C1242,"4 Item Ledger Entry Type",$C$4,"2 Item No.","@@"&amp;$F1242,"3 Posting Date",O$9)</t>
  </si>
  <si>
    <t>=O1242-Q1242</t>
  </si>
  <si>
    <t>=IF(O1242&lt;&gt;0,R1242/O1242,"")</t>
  </si>
  <si>
    <t>=NL("Sum","5802 Value Entry","150 Sales Amount (Expected)","41 Source Type",$C$5,"5 Source No.",$C1242,"4 Item Ledger Entry Type",$C$4,"2 Item No.","@@"&amp;$F1242,"3 Posting Date",U$9)+NL("Sum","5802 Value Entry","17 Sales Amount (Actual)","41 Source Type",$C$5,"5 Source no.",$C1242,"4 Item Ledger Entry Type",$C$4,"2 Item No.","@@"&amp;$F1242,"3 Posting Date",U$9)</t>
  </si>
  <si>
    <t>=-NL("Sum","5802 Value Entry","151 Cost Amount (Expected)","41 Source Type",$C$5,"5 Source No.",$C1242,"4 Item Ledger Entry Type",$C$4,"2 Item No.","@@"&amp;$F1242,"3 Posting Date",U$9)-NL("Sum","5802 Value Entry","43 Cost Amount (Actual)","41 Source Type",$C$5,"5 Source no.",$C1242,"4 Item Ledger Entry Type",$C$4,"2 Item No.","@@"&amp;$F1242,"3 Posting Date",U$9)</t>
  </si>
  <si>
    <t>=U1242-W1242</t>
  </si>
  <si>
    <t>=IF(U1242&lt;&gt;0,X1242/U1242,"")</t>
  </si>
  <si>
    <t>=NL("Sum","5802 Value Entry","150 Sales Amount (Expected)","41 Source Type",$C$5,"5 Source No.",$C1242,"4 Item Ledger Entry Type",$C$4,"2 Item No.","@@"&amp;$F1242,"3 Posting Date",Z$9)+NL("Sum","5802 Value Entry","17 Sales Amount (Actual)","41 Source Type",$C$5,"5 Source no.",$C1242,"4 Item Ledger Entry Type",$C$4,"2 Item No.","@@"&amp;$F1242,"3 Posting Date",Z$9)</t>
  </si>
  <si>
    <t>=-NL("Sum","5802 Value Entry","151 Cost Amount (Expected)","41 Source Type",$C$5,"5 Source No.",$C1242,"4 Item Ledger Entry Type",$C$4,"2 Item No.","@@"&amp;$F1242,"3 Posting Date",Z$9)-NL("Sum","5802 Value Entry","43 Cost Amount (Actual)","41 Source Type",$C$5,"5 Source no.",$C1242,"4 Item Ledger Entry Type",$C$4,"2 Item No.","@@"&amp;$F1242,"3 Posting Date",Z$9)</t>
  </si>
  <si>
    <t>=Z1242-AB1242</t>
  </si>
  <si>
    <t>=IF(Z1242&lt;&gt;0,AC1242/Z1242,"")</t>
  </si>
  <si>
    <t>=C1242</t>
  </si>
  <si>
    <t>=NL("Sum","5802 Value Entry","150 Sales Amount (Expected)","41 Source Type",$C$5,"5 Source No.",$C1243,"4 Item Ledger Entry Type",$C$4,"2 Item No.","@@"&amp;$F1243,"3 Posting Date",J$9)+NL("Sum","5802 Value Entry","17 Sales Amount (Actual)","41 Source Type",$C$5,"5 Source no.",$C1243,"4 Item Ledger Entry Type",$C$4,"2 Item No.","@@"&amp;$F1243,"3 Posting Date",J$9)</t>
  </si>
  <si>
    <t>=-NL("Sum","5802 Value Entry","151 Cost Amount (Expected)","41 Source Type",$C$5,"5 Source No.",$C1243,"4 Item Ledger Entry Type",$C$4,"2 Item No.","@@"&amp;$F1243,"3 Posting Date",J$9)-NL("Sum","5802 Value Entry","43 Cost Amount (Actual)","41 Source Type",$C$5,"5 Source no.",$C1243,"4 Item Ledger Entry Type",$C$4,"2 Item No.","@@"&amp;$F1243,"3 Posting Date",J$9)</t>
  </si>
  <si>
    <t>=J1243-L1243</t>
  </si>
  <si>
    <t>=IF(J1243&lt;&gt;0,M1243/J1243,"")</t>
  </si>
  <si>
    <t>=NL("Sum","5802 Value Entry","150 Sales Amount (Expected)","41 Source Type",$C$5,"5 Source No.",$C1243,"4 Item Ledger Entry Type",$C$4,"2 Item No.","@@"&amp;$F1243,"3 Posting Date",O$9)+NL("Sum","5802 Value Entry","17 Sales Amount (Actual)","41 Source Type",$C$5,"5 Source no.",$C1243,"4 Item Ledger Entry Type",$C$4,"2 Item No.","@@"&amp;$F1243,"3 Posting Date",O$9)</t>
  </si>
  <si>
    <t>=-NL("Sum","5802 Value Entry","151 Cost Amount (Expected)","41 Source Type",$C$5,"5 Source No.",$C1243,"4 Item Ledger Entry Type",$C$4,"2 Item No.","@@"&amp;$F1243,"3 Posting Date",O$9)-NL("Sum","5802 Value Entry","43 Cost Amount (Actual)","41 Source Type",$C$5,"5 Source no.",$C1243,"4 Item Ledger Entry Type",$C$4,"2 Item No.","@@"&amp;$F1243,"3 Posting Date",O$9)</t>
  </si>
  <si>
    <t>=O1243-Q1243</t>
  </si>
  <si>
    <t>=IF(O1243&lt;&gt;0,R1243/O1243,"")</t>
  </si>
  <si>
    <t>=NL("Sum","5802 Value Entry","150 Sales Amount (Expected)","41 Source Type",$C$5,"5 Source No.",$C1243,"4 Item Ledger Entry Type",$C$4,"2 Item No.","@@"&amp;$F1243,"3 Posting Date",U$9)+NL("Sum","5802 Value Entry","17 Sales Amount (Actual)","41 Source Type",$C$5,"5 Source no.",$C1243,"4 Item Ledger Entry Type",$C$4,"2 Item No.","@@"&amp;$F1243,"3 Posting Date",U$9)</t>
  </si>
  <si>
    <t>=-NL("Sum","5802 Value Entry","151 Cost Amount (Expected)","41 Source Type",$C$5,"5 Source No.",$C1243,"4 Item Ledger Entry Type",$C$4,"2 Item No.","@@"&amp;$F1243,"3 Posting Date",U$9)-NL("Sum","5802 Value Entry","43 Cost Amount (Actual)","41 Source Type",$C$5,"5 Source no.",$C1243,"4 Item Ledger Entry Type",$C$4,"2 Item No.","@@"&amp;$F1243,"3 Posting Date",U$9)</t>
  </si>
  <si>
    <t>=U1243-W1243</t>
  </si>
  <si>
    <t>=IF(U1243&lt;&gt;0,X1243/U1243,"")</t>
  </si>
  <si>
    <t>=NL("Sum","5802 Value Entry","150 Sales Amount (Expected)","41 Source Type",$C$5,"5 Source No.",$C1243,"4 Item Ledger Entry Type",$C$4,"2 Item No.","@@"&amp;$F1243,"3 Posting Date",Z$9)+NL("Sum","5802 Value Entry","17 Sales Amount (Actual)","41 Source Type",$C$5,"5 Source no.",$C1243,"4 Item Ledger Entry Type",$C$4,"2 Item No.","@@"&amp;$F1243,"3 Posting Date",Z$9)</t>
  </si>
  <si>
    <t>=-NL("Sum","5802 Value Entry","151 Cost Amount (Expected)","41 Source Type",$C$5,"5 Source No.",$C1243,"4 Item Ledger Entry Type",$C$4,"2 Item No.","@@"&amp;$F1243,"3 Posting Date",Z$9)-NL("Sum","5802 Value Entry","43 Cost Amount (Actual)","41 Source Type",$C$5,"5 Source no.",$C1243,"4 Item Ledger Entry Type",$C$4,"2 Item No.","@@"&amp;$F1243,"3 Posting Date",Z$9)</t>
  </si>
  <si>
    <t>=Z1243-AB1243</t>
  </si>
  <si>
    <t>=IF(Z1243&lt;&gt;0,AC1243/Z1243,"")</t>
  </si>
  <si>
    <t>=C1243</t>
  </si>
  <si>
    <t>=NL("Sum","5802 Value Entry","150 Sales Amount (Expected)","41 Source Type",$C$5,"5 Source No.",$C1244,"4 Item Ledger Entry Type",$C$4,"2 Item No.","@@"&amp;$F1244,"3 Posting Date",J$9)+NL("Sum","5802 Value Entry","17 Sales Amount (Actual)","41 Source Type",$C$5,"5 Source no.",$C1244,"4 Item Ledger Entry Type",$C$4,"2 Item No.","@@"&amp;$F1244,"3 Posting Date",J$9)</t>
  </si>
  <si>
    <t>=-NL("Sum","5802 Value Entry","151 Cost Amount (Expected)","41 Source Type",$C$5,"5 Source No.",$C1244,"4 Item Ledger Entry Type",$C$4,"2 Item No.","@@"&amp;$F1244,"3 Posting Date",J$9)-NL("Sum","5802 Value Entry","43 Cost Amount (Actual)","41 Source Type",$C$5,"5 Source no.",$C1244,"4 Item Ledger Entry Type",$C$4,"2 Item No.","@@"&amp;$F1244,"3 Posting Date",J$9)</t>
  </si>
  <si>
    <t>=J1244-L1244</t>
  </si>
  <si>
    <t>=IF(J1244&lt;&gt;0,M1244/J1244,"")</t>
  </si>
  <si>
    <t>=NL("Sum","5802 Value Entry","150 Sales Amount (Expected)","41 Source Type",$C$5,"5 Source No.",$C1244,"4 Item Ledger Entry Type",$C$4,"2 Item No.","@@"&amp;$F1244,"3 Posting Date",O$9)+NL("Sum","5802 Value Entry","17 Sales Amount (Actual)","41 Source Type",$C$5,"5 Source no.",$C1244,"4 Item Ledger Entry Type",$C$4,"2 Item No.","@@"&amp;$F1244,"3 Posting Date",O$9)</t>
  </si>
  <si>
    <t>=-NL("Sum","5802 Value Entry","151 Cost Amount (Expected)","41 Source Type",$C$5,"5 Source No.",$C1244,"4 Item Ledger Entry Type",$C$4,"2 Item No.","@@"&amp;$F1244,"3 Posting Date",O$9)-NL("Sum","5802 Value Entry","43 Cost Amount (Actual)","41 Source Type",$C$5,"5 Source no.",$C1244,"4 Item Ledger Entry Type",$C$4,"2 Item No.","@@"&amp;$F1244,"3 Posting Date",O$9)</t>
  </si>
  <si>
    <t>=O1244-Q1244</t>
  </si>
  <si>
    <t>=IF(O1244&lt;&gt;0,R1244/O1244,"")</t>
  </si>
  <si>
    <t>=NL("Sum","5802 Value Entry","150 Sales Amount (Expected)","41 Source Type",$C$5,"5 Source No.",$C1244,"4 Item Ledger Entry Type",$C$4,"2 Item No.","@@"&amp;$F1244,"3 Posting Date",U$9)+NL("Sum","5802 Value Entry","17 Sales Amount (Actual)","41 Source Type",$C$5,"5 Source no.",$C1244,"4 Item Ledger Entry Type",$C$4,"2 Item No.","@@"&amp;$F1244,"3 Posting Date",U$9)</t>
  </si>
  <si>
    <t>=-NL("Sum","5802 Value Entry","151 Cost Amount (Expected)","41 Source Type",$C$5,"5 Source No.",$C1244,"4 Item Ledger Entry Type",$C$4,"2 Item No.","@@"&amp;$F1244,"3 Posting Date",U$9)-NL("Sum","5802 Value Entry","43 Cost Amount (Actual)","41 Source Type",$C$5,"5 Source no.",$C1244,"4 Item Ledger Entry Type",$C$4,"2 Item No.","@@"&amp;$F1244,"3 Posting Date",U$9)</t>
  </si>
  <si>
    <t>=U1244-W1244</t>
  </si>
  <si>
    <t>=IF(U1244&lt;&gt;0,X1244/U1244,"")</t>
  </si>
  <si>
    <t>=NL("Sum","5802 Value Entry","150 Sales Amount (Expected)","41 Source Type",$C$5,"5 Source No.",$C1244,"4 Item Ledger Entry Type",$C$4,"2 Item No.","@@"&amp;$F1244,"3 Posting Date",Z$9)+NL("Sum","5802 Value Entry","17 Sales Amount (Actual)","41 Source Type",$C$5,"5 Source no.",$C1244,"4 Item Ledger Entry Type",$C$4,"2 Item No.","@@"&amp;$F1244,"3 Posting Date",Z$9)</t>
  </si>
  <si>
    <t>=-NL("Sum","5802 Value Entry","151 Cost Amount (Expected)","41 Source Type",$C$5,"5 Source No.",$C1244,"4 Item Ledger Entry Type",$C$4,"2 Item No.","@@"&amp;$F1244,"3 Posting Date",Z$9)-NL("Sum","5802 Value Entry","43 Cost Amount (Actual)","41 Source Type",$C$5,"5 Source no.",$C1244,"4 Item Ledger Entry Type",$C$4,"2 Item No.","@@"&amp;$F1244,"3 Posting Date",Z$9)</t>
  </si>
  <si>
    <t>=Z1244-AB1244</t>
  </si>
  <si>
    <t>=IF(Z1244&lt;&gt;0,AC1244/Z1244,"")</t>
  </si>
  <si>
    <t>=C1244</t>
  </si>
  <si>
    <t>=NL("Sum","5802 Value Entry","150 Sales Amount (Expected)","41 Source Type",$C$5,"5 Source No.",$C1245,"4 Item Ledger Entry Type",$C$4,"2 Item No.","@@"&amp;$F1245,"3 Posting Date",J$9)+NL("Sum","5802 Value Entry","17 Sales Amount (Actual)","41 Source Type",$C$5,"5 Source no.",$C1245,"4 Item Ledger Entry Type",$C$4,"2 Item No.","@@"&amp;$F1245,"3 Posting Date",J$9)</t>
  </si>
  <si>
    <t>=-NL("Sum","5802 Value Entry","151 Cost Amount (Expected)","41 Source Type",$C$5,"5 Source No.",$C1245,"4 Item Ledger Entry Type",$C$4,"2 Item No.","@@"&amp;$F1245,"3 Posting Date",J$9)-NL("Sum","5802 Value Entry","43 Cost Amount (Actual)","41 Source Type",$C$5,"5 Source no.",$C1245,"4 Item Ledger Entry Type",$C$4,"2 Item No.","@@"&amp;$F1245,"3 Posting Date",J$9)</t>
  </si>
  <si>
    <t>=J1245-L1245</t>
  </si>
  <si>
    <t>=IF(J1245&lt;&gt;0,M1245/J1245,"")</t>
  </si>
  <si>
    <t>=NL("Sum","5802 Value Entry","150 Sales Amount (Expected)","41 Source Type",$C$5,"5 Source No.",$C1245,"4 Item Ledger Entry Type",$C$4,"2 Item No.","@@"&amp;$F1245,"3 Posting Date",O$9)+NL("Sum","5802 Value Entry","17 Sales Amount (Actual)","41 Source Type",$C$5,"5 Source no.",$C1245,"4 Item Ledger Entry Type",$C$4,"2 Item No.","@@"&amp;$F1245,"3 Posting Date",O$9)</t>
  </si>
  <si>
    <t>=-NL("Sum","5802 Value Entry","151 Cost Amount (Expected)","41 Source Type",$C$5,"5 Source No.",$C1245,"4 Item Ledger Entry Type",$C$4,"2 Item No.","@@"&amp;$F1245,"3 Posting Date",O$9)-NL("Sum","5802 Value Entry","43 Cost Amount (Actual)","41 Source Type",$C$5,"5 Source no.",$C1245,"4 Item Ledger Entry Type",$C$4,"2 Item No.","@@"&amp;$F1245,"3 Posting Date",O$9)</t>
  </si>
  <si>
    <t>=O1245-Q1245</t>
  </si>
  <si>
    <t>=IF(O1245&lt;&gt;0,R1245/O1245,"")</t>
  </si>
  <si>
    <t>=NL("Sum","5802 Value Entry","150 Sales Amount (Expected)","41 Source Type",$C$5,"5 Source No.",$C1245,"4 Item Ledger Entry Type",$C$4,"2 Item No.","@@"&amp;$F1245,"3 Posting Date",U$9)+NL("Sum","5802 Value Entry","17 Sales Amount (Actual)","41 Source Type",$C$5,"5 Source no.",$C1245,"4 Item Ledger Entry Type",$C$4,"2 Item No.","@@"&amp;$F1245,"3 Posting Date",U$9)</t>
  </si>
  <si>
    <t>=-NL("Sum","5802 Value Entry","151 Cost Amount (Expected)","41 Source Type",$C$5,"5 Source No.",$C1245,"4 Item Ledger Entry Type",$C$4,"2 Item No.","@@"&amp;$F1245,"3 Posting Date",U$9)-NL("Sum","5802 Value Entry","43 Cost Amount (Actual)","41 Source Type",$C$5,"5 Source no.",$C1245,"4 Item Ledger Entry Type",$C$4,"2 Item No.","@@"&amp;$F1245,"3 Posting Date",U$9)</t>
  </si>
  <si>
    <t>=U1245-W1245</t>
  </si>
  <si>
    <t>=IF(U1245&lt;&gt;0,X1245/U1245,"")</t>
  </si>
  <si>
    <t>=NL("Sum","5802 Value Entry","150 Sales Amount (Expected)","41 Source Type",$C$5,"5 Source No.",$C1245,"4 Item Ledger Entry Type",$C$4,"2 Item No.","@@"&amp;$F1245,"3 Posting Date",Z$9)+NL("Sum","5802 Value Entry","17 Sales Amount (Actual)","41 Source Type",$C$5,"5 Source no.",$C1245,"4 Item Ledger Entry Type",$C$4,"2 Item No.","@@"&amp;$F1245,"3 Posting Date",Z$9)</t>
  </si>
  <si>
    <t>=-NL("Sum","5802 Value Entry","151 Cost Amount (Expected)","41 Source Type",$C$5,"5 Source No.",$C1245,"4 Item Ledger Entry Type",$C$4,"2 Item No.","@@"&amp;$F1245,"3 Posting Date",Z$9)-NL("Sum","5802 Value Entry","43 Cost Amount (Actual)","41 Source Type",$C$5,"5 Source no.",$C1245,"4 Item Ledger Entry Type",$C$4,"2 Item No.","@@"&amp;$F1245,"3 Posting Date",Z$9)</t>
  </si>
  <si>
    <t>=Z1245-AB1245</t>
  </si>
  <si>
    <t>=IF(Z1245&lt;&gt;0,AC1245/Z1245,"")</t>
  </si>
  <si>
    <t>=C1245</t>
  </si>
  <si>
    <t>=NL("Sum","5802 Value Entry","150 Sales Amount (Expected)","41 Source Type",$C$5,"5 Source No.",$C1246,"4 Item Ledger Entry Type",$C$4,"2 Item No.","@@"&amp;$F1246,"3 Posting Date",J$9)+NL("Sum","5802 Value Entry","17 Sales Amount (Actual)","41 Source Type",$C$5,"5 Source no.",$C1246,"4 Item Ledger Entry Type",$C$4,"2 Item No.","@@"&amp;$F1246,"3 Posting Date",J$9)</t>
  </si>
  <si>
    <t>=-NL("Sum","5802 Value Entry","151 Cost Amount (Expected)","41 Source Type",$C$5,"5 Source No.",$C1246,"4 Item Ledger Entry Type",$C$4,"2 Item No.","@@"&amp;$F1246,"3 Posting Date",J$9)-NL("Sum","5802 Value Entry","43 Cost Amount (Actual)","41 Source Type",$C$5,"5 Source no.",$C1246,"4 Item Ledger Entry Type",$C$4,"2 Item No.","@@"&amp;$F1246,"3 Posting Date",J$9)</t>
  </si>
  <si>
    <t>=J1246-L1246</t>
  </si>
  <si>
    <t>=IF(J1246&lt;&gt;0,M1246/J1246,"")</t>
  </si>
  <si>
    <t>=NL("Sum","5802 Value Entry","150 Sales Amount (Expected)","41 Source Type",$C$5,"5 Source No.",$C1246,"4 Item Ledger Entry Type",$C$4,"2 Item No.","@@"&amp;$F1246,"3 Posting Date",O$9)+NL("Sum","5802 Value Entry","17 Sales Amount (Actual)","41 Source Type",$C$5,"5 Source no.",$C1246,"4 Item Ledger Entry Type",$C$4,"2 Item No.","@@"&amp;$F1246,"3 Posting Date",O$9)</t>
  </si>
  <si>
    <t>=-NL("Sum","5802 Value Entry","151 Cost Amount (Expected)","41 Source Type",$C$5,"5 Source No.",$C1246,"4 Item Ledger Entry Type",$C$4,"2 Item No.","@@"&amp;$F1246,"3 Posting Date",O$9)-NL("Sum","5802 Value Entry","43 Cost Amount (Actual)","41 Source Type",$C$5,"5 Source no.",$C1246,"4 Item Ledger Entry Type",$C$4,"2 Item No.","@@"&amp;$F1246,"3 Posting Date",O$9)</t>
  </si>
  <si>
    <t>=O1246-Q1246</t>
  </si>
  <si>
    <t>=IF(O1246&lt;&gt;0,R1246/O1246,"")</t>
  </si>
  <si>
    <t>=NL("Sum","5802 Value Entry","150 Sales Amount (Expected)","41 Source Type",$C$5,"5 Source No.",$C1246,"4 Item Ledger Entry Type",$C$4,"2 Item No.","@@"&amp;$F1246,"3 Posting Date",U$9)+NL("Sum","5802 Value Entry","17 Sales Amount (Actual)","41 Source Type",$C$5,"5 Source no.",$C1246,"4 Item Ledger Entry Type",$C$4,"2 Item No.","@@"&amp;$F1246,"3 Posting Date",U$9)</t>
  </si>
  <si>
    <t>=-NL("Sum","5802 Value Entry","151 Cost Amount (Expected)","41 Source Type",$C$5,"5 Source No.",$C1246,"4 Item Ledger Entry Type",$C$4,"2 Item No.","@@"&amp;$F1246,"3 Posting Date",U$9)-NL("Sum","5802 Value Entry","43 Cost Amount (Actual)","41 Source Type",$C$5,"5 Source no.",$C1246,"4 Item Ledger Entry Type",$C$4,"2 Item No.","@@"&amp;$F1246,"3 Posting Date",U$9)</t>
  </si>
  <si>
    <t>=U1246-W1246</t>
  </si>
  <si>
    <t>=IF(U1246&lt;&gt;0,X1246/U1246,"")</t>
  </si>
  <si>
    <t>=NL("Sum","5802 Value Entry","150 Sales Amount (Expected)","41 Source Type",$C$5,"5 Source No.",$C1246,"4 Item Ledger Entry Type",$C$4,"2 Item No.","@@"&amp;$F1246,"3 Posting Date",Z$9)+NL("Sum","5802 Value Entry","17 Sales Amount (Actual)","41 Source Type",$C$5,"5 Source no.",$C1246,"4 Item Ledger Entry Type",$C$4,"2 Item No.","@@"&amp;$F1246,"3 Posting Date",Z$9)</t>
  </si>
  <si>
    <t>=-NL("Sum","5802 Value Entry","151 Cost Amount (Expected)","41 Source Type",$C$5,"5 Source No.",$C1246,"4 Item Ledger Entry Type",$C$4,"2 Item No.","@@"&amp;$F1246,"3 Posting Date",Z$9)-NL("Sum","5802 Value Entry","43 Cost Amount (Actual)","41 Source Type",$C$5,"5 Source no.",$C1246,"4 Item Ledger Entry Type",$C$4,"2 Item No.","@@"&amp;$F1246,"3 Posting Date",Z$9)</t>
  </si>
  <si>
    <t>=Z1246-AB1246</t>
  </si>
  <si>
    <t>=IF(Z1246&lt;&gt;0,AC1246/Z1246,"")</t>
  </si>
  <si>
    <t>=C1246</t>
  </si>
  <si>
    <t>=NL("Sum","5802 Value Entry","150 Sales Amount (Expected)","41 Source Type",$C$5,"5 Source No.",$C1247,"4 Item Ledger Entry Type",$C$4,"2 Item No.","@@"&amp;$F1247,"3 Posting Date",J$9)+NL("Sum","5802 Value Entry","17 Sales Amount (Actual)","41 Source Type",$C$5,"5 Source no.",$C1247,"4 Item Ledger Entry Type",$C$4,"2 Item No.","@@"&amp;$F1247,"3 Posting Date",J$9)</t>
  </si>
  <si>
    <t>=-NL("Sum","5802 Value Entry","151 Cost Amount (Expected)","41 Source Type",$C$5,"5 Source No.",$C1247,"4 Item Ledger Entry Type",$C$4,"2 Item No.","@@"&amp;$F1247,"3 Posting Date",J$9)-NL("Sum","5802 Value Entry","43 Cost Amount (Actual)","41 Source Type",$C$5,"5 Source no.",$C1247,"4 Item Ledger Entry Type",$C$4,"2 Item No.","@@"&amp;$F1247,"3 Posting Date",J$9)</t>
  </si>
  <si>
    <t>=J1247-L1247</t>
  </si>
  <si>
    <t>=IF(J1247&lt;&gt;0,M1247/J1247,"")</t>
  </si>
  <si>
    <t>=NL("Sum","5802 Value Entry","150 Sales Amount (Expected)","41 Source Type",$C$5,"5 Source No.",$C1247,"4 Item Ledger Entry Type",$C$4,"2 Item No.","@@"&amp;$F1247,"3 Posting Date",O$9)+NL("Sum","5802 Value Entry","17 Sales Amount (Actual)","41 Source Type",$C$5,"5 Source no.",$C1247,"4 Item Ledger Entry Type",$C$4,"2 Item No.","@@"&amp;$F1247,"3 Posting Date",O$9)</t>
  </si>
  <si>
    <t>=-NL("Sum","5802 Value Entry","151 Cost Amount (Expected)","41 Source Type",$C$5,"5 Source No.",$C1247,"4 Item Ledger Entry Type",$C$4,"2 Item No.","@@"&amp;$F1247,"3 Posting Date",O$9)-NL("Sum","5802 Value Entry","43 Cost Amount (Actual)","41 Source Type",$C$5,"5 Source no.",$C1247,"4 Item Ledger Entry Type",$C$4,"2 Item No.","@@"&amp;$F1247,"3 Posting Date",O$9)</t>
  </si>
  <si>
    <t>=O1247-Q1247</t>
  </si>
  <si>
    <t>=IF(O1247&lt;&gt;0,R1247/O1247,"")</t>
  </si>
  <si>
    <t>=NL("Sum","5802 Value Entry","150 Sales Amount (Expected)","41 Source Type",$C$5,"5 Source No.",$C1247,"4 Item Ledger Entry Type",$C$4,"2 Item No.","@@"&amp;$F1247,"3 Posting Date",U$9)+NL("Sum","5802 Value Entry","17 Sales Amount (Actual)","41 Source Type",$C$5,"5 Source no.",$C1247,"4 Item Ledger Entry Type",$C$4,"2 Item No.","@@"&amp;$F1247,"3 Posting Date",U$9)</t>
  </si>
  <si>
    <t>=-NL("Sum","5802 Value Entry","151 Cost Amount (Expected)","41 Source Type",$C$5,"5 Source No.",$C1247,"4 Item Ledger Entry Type",$C$4,"2 Item No.","@@"&amp;$F1247,"3 Posting Date",U$9)-NL("Sum","5802 Value Entry","43 Cost Amount (Actual)","41 Source Type",$C$5,"5 Source no.",$C1247,"4 Item Ledger Entry Type",$C$4,"2 Item No.","@@"&amp;$F1247,"3 Posting Date",U$9)</t>
  </si>
  <si>
    <t>=U1247-W1247</t>
  </si>
  <si>
    <t>=IF(U1247&lt;&gt;0,X1247/U1247,"")</t>
  </si>
  <si>
    <t>=NL("Sum","5802 Value Entry","150 Sales Amount (Expected)","41 Source Type",$C$5,"5 Source No.",$C1247,"4 Item Ledger Entry Type",$C$4,"2 Item No.","@@"&amp;$F1247,"3 Posting Date",Z$9)+NL("Sum","5802 Value Entry","17 Sales Amount (Actual)","41 Source Type",$C$5,"5 Source no.",$C1247,"4 Item Ledger Entry Type",$C$4,"2 Item No.","@@"&amp;$F1247,"3 Posting Date",Z$9)</t>
  </si>
  <si>
    <t>=-NL("Sum","5802 Value Entry","151 Cost Amount (Expected)","41 Source Type",$C$5,"5 Source No.",$C1247,"4 Item Ledger Entry Type",$C$4,"2 Item No.","@@"&amp;$F1247,"3 Posting Date",Z$9)-NL("Sum","5802 Value Entry","43 Cost Amount (Actual)","41 Source Type",$C$5,"5 Source no.",$C1247,"4 Item Ledger Entry Type",$C$4,"2 Item No.","@@"&amp;$F1247,"3 Posting Date",Z$9)</t>
  </si>
  <si>
    <t>=Z1247-AB1247</t>
  </si>
  <si>
    <t>=IF(Z1247&lt;&gt;0,AC1247/Z1247,"")</t>
  </si>
  <si>
    <t>=C1247</t>
  </si>
  <si>
    <t>=NL("Sum","5802 Value Entry","150 Sales Amount (Expected)","41 Source Type",$C$5,"5 Source No.",$C1248,"4 Item Ledger Entry Type",$C$4,"2 Item No.","@@"&amp;$F1248,"3 Posting Date",J$9)+NL("Sum","5802 Value Entry","17 Sales Amount (Actual)","41 Source Type",$C$5,"5 Source no.",$C1248,"4 Item Ledger Entry Type",$C$4,"2 Item No.","@@"&amp;$F1248,"3 Posting Date",J$9)</t>
  </si>
  <si>
    <t>=-NL("Sum","5802 Value Entry","151 Cost Amount (Expected)","41 Source Type",$C$5,"5 Source No.",$C1248,"4 Item Ledger Entry Type",$C$4,"2 Item No.","@@"&amp;$F1248,"3 Posting Date",J$9)-NL("Sum","5802 Value Entry","43 Cost Amount (Actual)","41 Source Type",$C$5,"5 Source no.",$C1248,"4 Item Ledger Entry Type",$C$4,"2 Item No.","@@"&amp;$F1248,"3 Posting Date",J$9)</t>
  </si>
  <si>
    <t>=J1248-L1248</t>
  </si>
  <si>
    <t>=IF(J1248&lt;&gt;0,M1248/J1248,"")</t>
  </si>
  <si>
    <t>=NL("Sum","5802 Value Entry","150 Sales Amount (Expected)","41 Source Type",$C$5,"5 Source No.",$C1248,"4 Item Ledger Entry Type",$C$4,"2 Item No.","@@"&amp;$F1248,"3 Posting Date",O$9)+NL("Sum","5802 Value Entry","17 Sales Amount (Actual)","41 Source Type",$C$5,"5 Source no.",$C1248,"4 Item Ledger Entry Type",$C$4,"2 Item No.","@@"&amp;$F1248,"3 Posting Date",O$9)</t>
  </si>
  <si>
    <t>=-NL("Sum","5802 Value Entry","151 Cost Amount (Expected)","41 Source Type",$C$5,"5 Source No.",$C1248,"4 Item Ledger Entry Type",$C$4,"2 Item No.","@@"&amp;$F1248,"3 Posting Date",O$9)-NL("Sum","5802 Value Entry","43 Cost Amount (Actual)","41 Source Type",$C$5,"5 Source no.",$C1248,"4 Item Ledger Entry Type",$C$4,"2 Item No.","@@"&amp;$F1248,"3 Posting Date",O$9)</t>
  </si>
  <si>
    <t>=O1248-Q1248</t>
  </si>
  <si>
    <t>=IF(O1248&lt;&gt;0,R1248/O1248,"")</t>
  </si>
  <si>
    <t>=NL("Sum","5802 Value Entry","150 Sales Amount (Expected)","41 Source Type",$C$5,"5 Source No.",$C1248,"4 Item Ledger Entry Type",$C$4,"2 Item No.","@@"&amp;$F1248,"3 Posting Date",U$9)+NL("Sum","5802 Value Entry","17 Sales Amount (Actual)","41 Source Type",$C$5,"5 Source no.",$C1248,"4 Item Ledger Entry Type",$C$4,"2 Item No.","@@"&amp;$F1248,"3 Posting Date",U$9)</t>
  </si>
  <si>
    <t>=-NL("Sum","5802 Value Entry","151 Cost Amount (Expected)","41 Source Type",$C$5,"5 Source No.",$C1248,"4 Item Ledger Entry Type",$C$4,"2 Item No.","@@"&amp;$F1248,"3 Posting Date",U$9)-NL("Sum","5802 Value Entry","43 Cost Amount (Actual)","41 Source Type",$C$5,"5 Source no.",$C1248,"4 Item Ledger Entry Type",$C$4,"2 Item No.","@@"&amp;$F1248,"3 Posting Date",U$9)</t>
  </si>
  <si>
    <t>=U1248-W1248</t>
  </si>
  <si>
    <t>=IF(U1248&lt;&gt;0,X1248/U1248,"")</t>
  </si>
  <si>
    <t>=NL("Sum","5802 Value Entry","150 Sales Amount (Expected)","41 Source Type",$C$5,"5 Source No.",$C1248,"4 Item Ledger Entry Type",$C$4,"2 Item No.","@@"&amp;$F1248,"3 Posting Date",Z$9)+NL("Sum","5802 Value Entry","17 Sales Amount (Actual)","41 Source Type",$C$5,"5 Source no.",$C1248,"4 Item Ledger Entry Type",$C$4,"2 Item No.","@@"&amp;$F1248,"3 Posting Date",Z$9)</t>
  </si>
  <si>
    <t>=-NL("Sum","5802 Value Entry","151 Cost Amount (Expected)","41 Source Type",$C$5,"5 Source No.",$C1248,"4 Item Ledger Entry Type",$C$4,"2 Item No.","@@"&amp;$F1248,"3 Posting Date",Z$9)-NL("Sum","5802 Value Entry","43 Cost Amount (Actual)","41 Source Type",$C$5,"5 Source no.",$C1248,"4 Item Ledger Entry Type",$C$4,"2 Item No.","@@"&amp;$F1248,"3 Posting Date",Z$9)</t>
  </si>
  <si>
    <t>=Z1248-AB1248</t>
  </si>
  <si>
    <t>=IF(Z1248&lt;&gt;0,AC1248/Z1248,"")</t>
  </si>
  <si>
    <t>=C1249</t>
  </si>
  <si>
    <t>=J1250-L1250</t>
  </si>
  <si>
    <t>=IF(J1250&lt;&gt;0,M1250/J1250,"")</t>
  </si>
  <si>
    <t>=O1250-Q1250</t>
  </si>
  <si>
    <t>=IF(O1250&lt;&gt;0,R1250/O1250,"")</t>
  </si>
  <si>
    <t>=U1250-W1250</t>
  </si>
  <si>
    <t>=IF(U1250&lt;&gt;0,X1250/U1250,"")</t>
  </si>
  <si>
    <t>=Z1250-AB1250</t>
  </si>
  <si>
    <t>=IF(Z1250&lt;&gt;0,AC1250/Z1250,"")</t>
  </si>
  <si>
    <t>=C1252</t>
  </si>
  <si>
    <t>=C1253</t>
  </si>
  <si>
    <t>=NL("Sum","5802 Value Entry","150 Sales Amount (Expected)","41 Source Type",$C$5,"5 Source No.",$C1254,"4 Item Ledger Entry Type",$C$4,"2 Item No.","@@"&amp;$F1254,"3 Posting Date",J$9)+NL("Sum","5802 Value Entry","17 Sales Amount (Actual)","41 Source Type",$C$5,"5 Source no.",$C1254,"4 Item Ledger Entry Type",$C$4,"2 Item No.","@@"&amp;$F1254,"3 Posting Date",J$9)</t>
  </si>
  <si>
    <t>=-NL("Sum","5802 Value Entry","151 Cost Amount (Expected)","41 Source Type",$C$5,"5 Source No.",$C1254,"4 Item Ledger Entry Type",$C$4,"2 Item No.","@@"&amp;$F1254,"3 Posting Date",J$9)-NL("Sum","5802 Value Entry","43 Cost Amount (Actual)","41 Source Type",$C$5,"5 Source no.",$C1254,"4 Item Ledger Entry Type",$C$4,"2 Item No.","@@"&amp;$F1254,"3 Posting Date",J$9)</t>
  </si>
  <si>
    <t>=J1254-L1254</t>
  </si>
  <si>
    <t>=IF(J1254&lt;&gt;0,M1254/J1254,"")</t>
  </si>
  <si>
    <t>=NL("Sum","5802 Value Entry","150 Sales Amount (Expected)","41 Source Type",$C$5,"5 Source No.",$C1254,"4 Item Ledger Entry Type",$C$4,"2 Item No.","@@"&amp;$F1254,"3 Posting Date",O$9)+NL("Sum","5802 Value Entry","17 Sales Amount (Actual)","41 Source Type",$C$5,"5 Source no.",$C1254,"4 Item Ledger Entry Type",$C$4,"2 Item No.","@@"&amp;$F1254,"3 Posting Date",O$9)</t>
  </si>
  <si>
    <t>=-NL("Sum","5802 Value Entry","151 Cost Amount (Expected)","41 Source Type",$C$5,"5 Source No.",$C1254,"4 Item Ledger Entry Type",$C$4,"2 Item No.","@@"&amp;$F1254,"3 Posting Date",O$9)-NL("Sum","5802 Value Entry","43 Cost Amount (Actual)","41 Source Type",$C$5,"5 Source no.",$C1254,"4 Item Ledger Entry Type",$C$4,"2 Item No.","@@"&amp;$F1254,"3 Posting Date",O$9)</t>
  </si>
  <si>
    <t>=O1254-Q1254</t>
  </si>
  <si>
    <t>=IF(O1254&lt;&gt;0,R1254/O1254,"")</t>
  </si>
  <si>
    <t>=NL("Sum","5802 Value Entry","150 Sales Amount (Expected)","41 Source Type",$C$5,"5 Source No.",$C1254,"4 Item Ledger Entry Type",$C$4,"2 Item No.","@@"&amp;$F1254,"3 Posting Date",U$9)+NL("Sum","5802 Value Entry","17 Sales Amount (Actual)","41 Source Type",$C$5,"5 Source no.",$C1254,"4 Item Ledger Entry Type",$C$4,"2 Item No.","@@"&amp;$F1254,"3 Posting Date",U$9)</t>
  </si>
  <si>
    <t>=-NL("Sum","5802 Value Entry","151 Cost Amount (Expected)","41 Source Type",$C$5,"5 Source No.",$C1254,"4 Item Ledger Entry Type",$C$4,"2 Item No.","@@"&amp;$F1254,"3 Posting Date",U$9)-NL("Sum","5802 Value Entry","43 Cost Amount (Actual)","41 Source Type",$C$5,"5 Source no.",$C1254,"4 Item Ledger Entry Type",$C$4,"2 Item No.","@@"&amp;$F1254,"3 Posting Date",U$9)</t>
  </si>
  <si>
    <t>=U1254-W1254</t>
  </si>
  <si>
    <t>=IF(U1254&lt;&gt;0,X1254/U1254,"")</t>
  </si>
  <si>
    <t>=NL("Sum","5802 Value Entry","150 Sales Amount (Expected)","41 Source Type",$C$5,"5 Source No.",$C1254,"4 Item Ledger Entry Type",$C$4,"2 Item No.","@@"&amp;$F1254,"3 Posting Date",Z$9)+NL("Sum","5802 Value Entry","17 Sales Amount (Actual)","41 Source Type",$C$5,"5 Source no.",$C1254,"4 Item Ledger Entry Type",$C$4,"2 Item No.","@@"&amp;$F1254,"3 Posting Date",Z$9)</t>
  </si>
  <si>
    <t>=-NL("Sum","5802 Value Entry","151 Cost Amount (Expected)","41 Source Type",$C$5,"5 Source No.",$C1254,"4 Item Ledger Entry Type",$C$4,"2 Item No.","@@"&amp;$F1254,"3 Posting Date",Z$9)-NL("Sum","5802 Value Entry","43 Cost Amount (Actual)","41 Source Type",$C$5,"5 Source no.",$C1254,"4 Item Ledger Entry Type",$C$4,"2 Item No.","@@"&amp;$F1254,"3 Posting Date",Z$9)</t>
  </si>
  <si>
    <t>=Z1254-AB1254</t>
  </si>
  <si>
    <t>=IF(Z1254&lt;&gt;0,AC1254/Z1254,"")</t>
  </si>
  <si>
    <t>=C1254</t>
  </si>
  <si>
    <t>=NL("Sum","5802 Value Entry","150 Sales Amount (Expected)","41 Source Type",$C$5,"5 Source No.",$C1255,"4 Item Ledger Entry Type",$C$4,"2 Item No.","@@"&amp;$F1255,"3 Posting Date",J$9)+NL("Sum","5802 Value Entry","17 Sales Amount (Actual)","41 Source Type",$C$5,"5 Source no.",$C1255,"4 Item Ledger Entry Type",$C$4,"2 Item No.","@@"&amp;$F1255,"3 Posting Date",J$9)</t>
  </si>
  <si>
    <t>=-NL("Sum","5802 Value Entry","151 Cost Amount (Expected)","41 Source Type",$C$5,"5 Source No.",$C1255,"4 Item Ledger Entry Type",$C$4,"2 Item No.","@@"&amp;$F1255,"3 Posting Date",J$9)-NL("Sum","5802 Value Entry","43 Cost Amount (Actual)","41 Source Type",$C$5,"5 Source no.",$C1255,"4 Item Ledger Entry Type",$C$4,"2 Item No.","@@"&amp;$F1255,"3 Posting Date",J$9)</t>
  </si>
  <si>
    <t>=J1255-L1255</t>
  </si>
  <si>
    <t>=IF(J1255&lt;&gt;0,M1255/J1255,"")</t>
  </si>
  <si>
    <t>=NL("Sum","5802 Value Entry","150 Sales Amount (Expected)","41 Source Type",$C$5,"5 Source No.",$C1255,"4 Item Ledger Entry Type",$C$4,"2 Item No.","@@"&amp;$F1255,"3 Posting Date",O$9)+NL("Sum","5802 Value Entry","17 Sales Amount (Actual)","41 Source Type",$C$5,"5 Source no.",$C1255,"4 Item Ledger Entry Type",$C$4,"2 Item No.","@@"&amp;$F1255,"3 Posting Date",O$9)</t>
  </si>
  <si>
    <t>=-NL("Sum","5802 Value Entry","151 Cost Amount (Expected)","41 Source Type",$C$5,"5 Source No.",$C1255,"4 Item Ledger Entry Type",$C$4,"2 Item No.","@@"&amp;$F1255,"3 Posting Date",O$9)-NL("Sum","5802 Value Entry","43 Cost Amount (Actual)","41 Source Type",$C$5,"5 Source no.",$C1255,"4 Item Ledger Entry Type",$C$4,"2 Item No.","@@"&amp;$F1255,"3 Posting Date",O$9)</t>
  </si>
  <si>
    <t>=O1255-Q1255</t>
  </si>
  <si>
    <t>=IF(O1255&lt;&gt;0,R1255/O1255,"")</t>
  </si>
  <si>
    <t>=NL("Sum","5802 Value Entry","150 Sales Amount (Expected)","41 Source Type",$C$5,"5 Source No.",$C1255,"4 Item Ledger Entry Type",$C$4,"2 Item No.","@@"&amp;$F1255,"3 Posting Date",U$9)+NL("Sum","5802 Value Entry","17 Sales Amount (Actual)","41 Source Type",$C$5,"5 Source no.",$C1255,"4 Item Ledger Entry Type",$C$4,"2 Item No.","@@"&amp;$F1255,"3 Posting Date",U$9)</t>
  </si>
  <si>
    <t>=-NL("Sum","5802 Value Entry","151 Cost Amount (Expected)","41 Source Type",$C$5,"5 Source No.",$C1255,"4 Item Ledger Entry Type",$C$4,"2 Item No.","@@"&amp;$F1255,"3 Posting Date",U$9)-NL("Sum","5802 Value Entry","43 Cost Amount (Actual)","41 Source Type",$C$5,"5 Source no.",$C1255,"4 Item Ledger Entry Type",$C$4,"2 Item No.","@@"&amp;$F1255,"3 Posting Date",U$9)</t>
  </si>
  <si>
    <t>=U1255-W1255</t>
  </si>
  <si>
    <t>=IF(U1255&lt;&gt;0,X1255/U1255,"")</t>
  </si>
  <si>
    <t>=NL("Sum","5802 Value Entry","150 Sales Amount (Expected)","41 Source Type",$C$5,"5 Source No.",$C1255,"4 Item Ledger Entry Type",$C$4,"2 Item No.","@@"&amp;$F1255,"3 Posting Date",Z$9)+NL("Sum","5802 Value Entry","17 Sales Amount (Actual)","41 Source Type",$C$5,"5 Source no.",$C1255,"4 Item Ledger Entry Type",$C$4,"2 Item No.","@@"&amp;$F1255,"3 Posting Date",Z$9)</t>
  </si>
  <si>
    <t>=-NL("Sum","5802 Value Entry","151 Cost Amount (Expected)","41 Source Type",$C$5,"5 Source No.",$C1255,"4 Item Ledger Entry Type",$C$4,"2 Item No.","@@"&amp;$F1255,"3 Posting Date",Z$9)-NL("Sum","5802 Value Entry","43 Cost Amount (Actual)","41 Source Type",$C$5,"5 Source no.",$C1255,"4 Item Ledger Entry Type",$C$4,"2 Item No.","@@"&amp;$F1255,"3 Posting Date",Z$9)</t>
  </si>
  <si>
    <t>=Z1255-AB1255</t>
  </si>
  <si>
    <t>=IF(Z1255&lt;&gt;0,AC1255/Z1255,"")</t>
  </si>
  <si>
    <t>=C1255</t>
  </si>
  <si>
    <t>=NL("Sum","5802 Value Entry","150 Sales Amount (Expected)","41 Source Type",$C$5,"5 Source No.",$C1256,"4 Item Ledger Entry Type",$C$4,"2 Item No.","@@"&amp;$F1256,"3 Posting Date",J$9)+NL("Sum","5802 Value Entry","17 Sales Amount (Actual)","41 Source Type",$C$5,"5 Source no.",$C1256,"4 Item Ledger Entry Type",$C$4,"2 Item No.","@@"&amp;$F1256,"3 Posting Date",J$9)</t>
  </si>
  <si>
    <t>=-NL("Sum","5802 Value Entry","151 Cost Amount (Expected)","41 Source Type",$C$5,"5 Source No.",$C1256,"4 Item Ledger Entry Type",$C$4,"2 Item No.","@@"&amp;$F1256,"3 Posting Date",J$9)-NL("Sum","5802 Value Entry","43 Cost Amount (Actual)","41 Source Type",$C$5,"5 Source no.",$C1256,"4 Item Ledger Entry Type",$C$4,"2 Item No.","@@"&amp;$F1256,"3 Posting Date",J$9)</t>
  </si>
  <si>
    <t>=J1256-L1256</t>
  </si>
  <si>
    <t>=IF(J1256&lt;&gt;0,M1256/J1256,"")</t>
  </si>
  <si>
    <t>=NL("Sum","5802 Value Entry","150 Sales Amount (Expected)","41 Source Type",$C$5,"5 Source No.",$C1256,"4 Item Ledger Entry Type",$C$4,"2 Item No.","@@"&amp;$F1256,"3 Posting Date",O$9)+NL("Sum","5802 Value Entry","17 Sales Amount (Actual)","41 Source Type",$C$5,"5 Source no.",$C1256,"4 Item Ledger Entry Type",$C$4,"2 Item No.","@@"&amp;$F1256,"3 Posting Date",O$9)</t>
  </si>
  <si>
    <t>=-NL("Sum","5802 Value Entry","151 Cost Amount (Expected)","41 Source Type",$C$5,"5 Source No.",$C1256,"4 Item Ledger Entry Type",$C$4,"2 Item No.","@@"&amp;$F1256,"3 Posting Date",O$9)-NL("Sum","5802 Value Entry","43 Cost Amount (Actual)","41 Source Type",$C$5,"5 Source no.",$C1256,"4 Item Ledger Entry Type",$C$4,"2 Item No.","@@"&amp;$F1256,"3 Posting Date",O$9)</t>
  </si>
  <si>
    <t>=O1256-Q1256</t>
  </si>
  <si>
    <t>=IF(O1256&lt;&gt;0,R1256/O1256,"")</t>
  </si>
  <si>
    <t>=NL("Sum","5802 Value Entry","150 Sales Amount (Expected)","41 Source Type",$C$5,"5 Source No.",$C1256,"4 Item Ledger Entry Type",$C$4,"2 Item No.","@@"&amp;$F1256,"3 Posting Date",U$9)+NL("Sum","5802 Value Entry","17 Sales Amount (Actual)","41 Source Type",$C$5,"5 Source no.",$C1256,"4 Item Ledger Entry Type",$C$4,"2 Item No.","@@"&amp;$F1256,"3 Posting Date",U$9)</t>
  </si>
  <si>
    <t>=-NL("Sum","5802 Value Entry","151 Cost Amount (Expected)","41 Source Type",$C$5,"5 Source No.",$C1256,"4 Item Ledger Entry Type",$C$4,"2 Item No.","@@"&amp;$F1256,"3 Posting Date",U$9)-NL("Sum","5802 Value Entry","43 Cost Amount (Actual)","41 Source Type",$C$5,"5 Source no.",$C1256,"4 Item Ledger Entry Type",$C$4,"2 Item No.","@@"&amp;$F1256,"3 Posting Date",U$9)</t>
  </si>
  <si>
    <t>=U1256-W1256</t>
  </si>
  <si>
    <t>=IF(U1256&lt;&gt;0,X1256/U1256,"")</t>
  </si>
  <si>
    <t>=NL("Sum","5802 Value Entry","150 Sales Amount (Expected)","41 Source Type",$C$5,"5 Source No.",$C1256,"4 Item Ledger Entry Type",$C$4,"2 Item No.","@@"&amp;$F1256,"3 Posting Date",Z$9)+NL("Sum","5802 Value Entry","17 Sales Amount (Actual)","41 Source Type",$C$5,"5 Source no.",$C1256,"4 Item Ledger Entry Type",$C$4,"2 Item No.","@@"&amp;$F1256,"3 Posting Date",Z$9)</t>
  </si>
  <si>
    <t>=-NL("Sum","5802 Value Entry","151 Cost Amount (Expected)","41 Source Type",$C$5,"5 Source No.",$C1256,"4 Item Ledger Entry Type",$C$4,"2 Item No.","@@"&amp;$F1256,"3 Posting Date",Z$9)-NL("Sum","5802 Value Entry","43 Cost Amount (Actual)","41 Source Type",$C$5,"5 Source no.",$C1256,"4 Item Ledger Entry Type",$C$4,"2 Item No.","@@"&amp;$F1256,"3 Posting Date",Z$9)</t>
  </si>
  <si>
    <t>=Z1256-AB1256</t>
  </si>
  <si>
    <t>=IF(Z1256&lt;&gt;0,AC1256/Z1256,"")</t>
  </si>
  <si>
    <t>=C1256</t>
  </si>
  <si>
    <t>=NL("Sum","5802 Value Entry","150 Sales Amount (Expected)","41 Source Type",$C$5,"5 Source No.",$C1257,"4 Item Ledger Entry Type",$C$4,"2 Item No.","@@"&amp;$F1257,"3 Posting Date",J$9)+NL("Sum","5802 Value Entry","17 Sales Amount (Actual)","41 Source Type",$C$5,"5 Source no.",$C1257,"4 Item Ledger Entry Type",$C$4,"2 Item No.","@@"&amp;$F1257,"3 Posting Date",J$9)</t>
  </si>
  <si>
    <t>=-NL("Sum","5802 Value Entry","151 Cost Amount (Expected)","41 Source Type",$C$5,"5 Source No.",$C1257,"4 Item Ledger Entry Type",$C$4,"2 Item No.","@@"&amp;$F1257,"3 Posting Date",J$9)-NL("Sum","5802 Value Entry","43 Cost Amount (Actual)","41 Source Type",$C$5,"5 Source no.",$C1257,"4 Item Ledger Entry Type",$C$4,"2 Item No.","@@"&amp;$F1257,"3 Posting Date",J$9)</t>
  </si>
  <si>
    <t>=J1257-L1257</t>
  </si>
  <si>
    <t>=IF(J1257&lt;&gt;0,M1257/J1257,"")</t>
  </si>
  <si>
    <t>=NL("Sum","5802 Value Entry","150 Sales Amount (Expected)","41 Source Type",$C$5,"5 Source No.",$C1257,"4 Item Ledger Entry Type",$C$4,"2 Item No.","@@"&amp;$F1257,"3 Posting Date",O$9)+NL("Sum","5802 Value Entry","17 Sales Amount (Actual)","41 Source Type",$C$5,"5 Source no.",$C1257,"4 Item Ledger Entry Type",$C$4,"2 Item No.","@@"&amp;$F1257,"3 Posting Date",O$9)</t>
  </si>
  <si>
    <t>=-NL("Sum","5802 Value Entry","151 Cost Amount (Expected)","41 Source Type",$C$5,"5 Source No.",$C1257,"4 Item Ledger Entry Type",$C$4,"2 Item No.","@@"&amp;$F1257,"3 Posting Date",O$9)-NL("Sum","5802 Value Entry","43 Cost Amount (Actual)","41 Source Type",$C$5,"5 Source no.",$C1257,"4 Item Ledger Entry Type",$C$4,"2 Item No.","@@"&amp;$F1257,"3 Posting Date",O$9)</t>
  </si>
  <si>
    <t>=O1257-Q1257</t>
  </si>
  <si>
    <t>=IF(O1257&lt;&gt;0,R1257/O1257,"")</t>
  </si>
  <si>
    <t>=NL("Sum","5802 Value Entry","150 Sales Amount (Expected)","41 Source Type",$C$5,"5 Source No.",$C1257,"4 Item Ledger Entry Type",$C$4,"2 Item No.","@@"&amp;$F1257,"3 Posting Date",U$9)+NL("Sum","5802 Value Entry","17 Sales Amount (Actual)","41 Source Type",$C$5,"5 Source no.",$C1257,"4 Item Ledger Entry Type",$C$4,"2 Item No.","@@"&amp;$F1257,"3 Posting Date",U$9)</t>
  </si>
  <si>
    <t>=-NL("Sum","5802 Value Entry","151 Cost Amount (Expected)","41 Source Type",$C$5,"5 Source No.",$C1257,"4 Item Ledger Entry Type",$C$4,"2 Item No.","@@"&amp;$F1257,"3 Posting Date",U$9)-NL("Sum","5802 Value Entry","43 Cost Amount (Actual)","41 Source Type",$C$5,"5 Source no.",$C1257,"4 Item Ledger Entry Type",$C$4,"2 Item No.","@@"&amp;$F1257,"3 Posting Date",U$9)</t>
  </si>
  <si>
    <t>=U1257-W1257</t>
  </si>
  <si>
    <t>=IF(U1257&lt;&gt;0,X1257/U1257,"")</t>
  </si>
  <si>
    <t>=NL("Sum","5802 Value Entry","150 Sales Amount (Expected)","41 Source Type",$C$5,"5 Source No.",$C1257,"4 Item Ledger Entry Type",$C$4,"2 Item No.","@@"&amp;$F1257,"3 Posting Date",Z$9)+NL("Sum","5802 Value Entry","17 Sales Amount (Actual)","41 Source Type",$C$5,"5 Source no.",$C1257,"4 Item Ledger Entry Type",$C$4,"2 Item No.","@@"&amp;$F1257,"3 Posting Date",Z$9)</t>
  </si>
  <si>
    <t>=-NL("Sum","5802 Value Entry","151 Cost Amount (Expected)","41 Source Type",$C$5,"5 Source No.",$C1257,"4 Item Ledger Entry Type",$C$4,"2 Item No.","@@"&amp;$F1257,"3 Posting Date",Z$9)-NL("Sum","5802 Value Entry","43 Cost Amount (Actual)","41 Source Type",$C$5,"5 Source no.",$C1257,"4 Item Ledger Entry Type",$C$4,"2 Item No.","@@"&amp;$F1257,"3 Posting Date",Z$9)</t>
  </si>
  <si>
    <t>=Z1257-AB1257</t>
  </si>
  <si>
    <t>=IF(Z1257&lt;&gt;0,AC1257/Z1257,"")</t>
  </si>
  <si>
    <t>=C1257</t>
  </si>
  <si>
    <t>=NL("Sum","5802 Value Entry","150 Sales Amount (Expected)","41 Source Type",$C$5,"5 Source No.",$C1258,"4 Item Ledger Entry Type",$C$4,"2 Item No.","@@"&amp;$F1258,"3 Posting Date",J$9)+NL("Sum","5802 Value Entry","17 Sales Amount (Actual)","41 Source Type",$C$5,"5 Source no.",$C1258,"4 Item Ledger Entry Type",$C$4,"2 Item No.","@@"&amp;$F1258,"3 Posting Date",J$9)</t>
  </si>
  <si>
    <t>=-NL("Sum","5802 Value Entry","151 Cost Amount (Expected)","41 Source Type",$C$5,"5 Source No.",$C1258,"4 Item Ledger Entry Type",$C$4,"2 Item No.","@@"&amp;$F1258,"3 Posting Date",J$9)-NL("Sum","5802 Value Entry","43 Cost Amount (Actual)","41 Source Type",$C$5,"5 Source no.",$C1258,"4 Item Ledger Entry Type",$C$4,"2 Item No.","@@"&amp;$F1258,"3 Posting Date",J$9)</t>
  </si>
  <si>
    <t>=J1258-L1258</t>
  </si>
  <si>
    <t>=IF(J1258&lt;&gt;0,M1258/J1258,"")</t>
  </si>
  <si>
    <t>=NL("Sum","5802 Value Entry","150 Sales Amount (Expected)","41 Source Type",$C$5,"5 Source No.",$C1258,"4 Item Ledger Entry Type",$C$4,"2 Item No.","@@"&amp;$F1258,"3 Posting Date",O$9)+NL("Sum","5802 Value Entry","17 Sales Amount (Actual)","41 Source Type",$C$5,"5 Source no.",$C1258,"4 Item Ledger Entry Type",$C$4,"2 Item No.","@@"&amp;$F1258,"3 Posting Date",O$9)</t>
  </si>
  <si>
    <t>=-NL("Sum","5802 Value Entry","151 Cost Amount (Expected)","41 Source Type",$C$5,"5 Source No.",$C1258,"4 Item Ledger Entry Type",$C$4,"2 Item No.","@@"&amp;$F1258,"3 Posting Date",O$9)-NL("Sum","5802 Value Entry","43 Cost Amount (Actual)","41 Source Type",$C$5,"5 Source no.",$C1258,"4 Item Ledger Entry Type",$C$4,"2 Item No.","@@"&amp;$F1258,"3 Posting Date",O$9)</t>
  </si>
  <si>
    <t>=O1258-Q1258</t>
  </si>
  <si>
    <t>=IF(O1258&lt;&gt;0,R1258/O1258,"")</t>
  </si>
  <si>
    <t>=NL("Sum","5802 Value Entry","150 Sales Amount (Expected)","41 Source Type",$C$5,"5 Source No.",$C1258,"4 Item Ledger Entry Type",$C$4,"2 Item No.","@@"&amp;$F1258,"3 Posting Date",U$9)+NL("Sum","5802 Value Entry","17 Sales Amount (Actual)","41 Source Type",$C$5,"5 Source no.",$C1258,"4 Item Ledger Entry Type",$C$4,"2 Item No.","@@"&amp;$F1258,"3 Posting Date",U$9)</t>
  </si>
  <si>
    <t>=-NL("Sum","5802 Value Entry","151 Cost Amount (Expected)","41 Source Type",$C$5,"5 Source No.",$C1258,"4 Item Ledger Entry Type",$C$4,"2 Item No.","@@"&amp;$F1258,"3 Posting Date",U$9)-NL("Sum","5802 Value Entry","43 Cost Amount (Actual)","41 Source Type",$C$5,"5 Source no.",$C1258,"4 Item Ledger Entry Type",$C$4,"2 Item No.","@@"&amp;$F1258,"3 Posting Date",U$9)</t>
  </si>
  <si>
    <t>=U1258-W1258</t>
  </si>
  <si>
    <t>=IF(U1258&lt;&gt;0,X1258/U1258,"")</t>
  </si>
  <si>
    <t>=NL("Sum","5802 Value Entry","150 Sales Amount (Expected)","41 Source Type",$C$5,"5 Source No.",$C1258,"4 Item Ledger Entry Type",$C$4,"2 Item No.","@@"&amp;$F1258,"3 Posting Date",Z$9)+NL("Sum","5802 Value Entry","17 Sales Amount (Actual)","41 Source Type",$C$5,"5 Source no.",$C1258,"4 Item Ledger Entry Type",$C$4,"2 Item No.","@@"&amp;$F1258,"3 Posting Date",Z$9)</t>
  </si>
  <si>
    <t>=-NL("Sum","5802 Value Entry","151 Cost Amount (Expected)","41 Source Type",$C$5,"5 Source No.",$C1258,"4 Item Ledger Entry Type",$C$4,"2 Item No.","@@"&amp;$F1258,"3 Posting Date",Z$9)-NL("Sum","5802 Value Entry","43 Cost Amount (Actual)","41 Source Type",$C$5,"5 Source no.",$C1258,"4 Item Ledger Entry Type",$C$4,"2 Item No.","@@"&amp;$F1258,"3 Posting Date",Z$9)</t>
  </si>
  <si>
    <t>=Z1258-AB1258</t>
  </si>
  <si>
    <t>=IF(Z1258&lt;&gt;0,AC1258/Z1258,"")</t>
  </si>
  <si>
    <t>=C1258</t>
  </si>
  <si>
    <t>=NL("Sum","5802 Value Entry","150 Sales Amount (Expected)","41 Source Type",$C$5,"5 Source No.",$C1259,"4 Item Ledger Entry Type",$C$4,"2 Item No.","@@"&amp;$F1259,"3 Posting Date",J$9)+NL("Sum","5802 Value Entry","17 Sales Amount (Actual)","41 Source Type",$C$5,"5 Source no.",$C1259,"4 Item Ledger Entry Type",$C$4,"2 Item No.","@@"&amp;$F1259,"3 Posting Date",J$9)</t>
  </si>
  <si>
    <t>=-NL("Sum","5802 Value Entry","151 Cost Amount (Expected)","41 Source Type",$C$5,"5 Source No.",$C1259,"4 Item Ledger Entry Type",$C$4,"2 Item No.","@@"&amp;$F1259,"3 Posting Date",J$9)-NL("Sum","5802 Value Entry","43 Cost Amount (Actual)","41 Source Type",$C$5,"5 Source no.",$C1259,"4 Item Ledger Entry Type",$C$4,"2 Item No.","@@"&amp;$F1259,"3 Posting Date",J$9)</t>
  </si>
  <si>
    <t>=J1259-L1259</t>
  </si>
  <si>
    <t>=IF(J1259&lt;&gt;0,M1259/J1259,"")</t>
  </si>
  <si>
    <t>=NL("Sum","5802 Value Entry","150 Sales Amount (Expected)","41 Source Type",$C$5,"5 Source No.",$C1259,"4 Item Ledger Entry Type",$C$4,"2 Item No.","@@"&amp;$F1259,"3 Posting Date",O$9)+NL("Sum","5802 Value Entry","17 Sales Amount (Actual)","41 Source Type",$C$5,"5 Source no.",$C1259,"4 Item Ledger Entry Type",$C$4,"2 Item No.","@@"&amp;$F1259,"3 Posting Date",O$9)</t>
  </si>
  <si>
    <t>=-NL("Sum","5802 Value Entry","151 Cost Amount (Expected)","41 Source Type",$C$5,"5 Source No.",$C1259,"4 Item Ledger Entry Type",$C$4,"2 Item No.","@@"&amp;$F1259,"3 Posting Date",O$9)-NL("Sum","5802 Value Entry","43 Cost Amount (Actual)","41 Source Type",$C$5,"5 Source no.",$C1259,"4 Item Ledger Entry Type",$C$4,"2 Item No.","@@"&amp;$F1259,"3 Posting Date",O$9)</t>
  </si>
  <si>
    <t>=O1259-Q1259</t>
  </si>
  <si>
    <t>=IF(O1259&lt;&gt;0,R1259/O1259,"")</t>
  </si>
  <si>
    <t>=NL("Sum","5802 Value Entry","150 Sales Amount (Expected)","41 Source Type",$C$5,"5 Source No.",$C1259,"4 Item Ledger Entry Type",$C$4,"2 Item No.","@@"&amp;$F1259,"3 Posting Date",U$9)+NL("Sum","5802 Value Entry","17 Sales Amount (Actual)","41 Source Type",$C$5,"5 Source no.",$C1259,"4 Item Ledger Entry Type",$C$4,"2 Item No.","@@"&amp;$F1259,"3 Posting Date",U$9)</t>
  </si>
  <si>
    <t>=-NL("Sum","5802 Value Entry","151 Cost Amount (Expected)","41 Source Type",$C$5,"5 Source No.",$C1259,"4 Item Ledger Entry Type",$C$4,"2 Item No.","@@"&amp;$F1259,"3 Posting Date",U$9)-NL("Sum","5802 Value Entry","43 Cost Amount (Actual)","41 Source Type",$C$5,"5 Source no.",$C1259,"4 Item Ledger Entry Type",$C$4,"2 Item No.","@@"&amp;$F1259,"3 Posting Date",U$9)</t>
  </si>
  <si>
    <t>=U1259-W1259</t>
  </si>
  <si>
    <t>=IF(U1259&lt;&gt;0,X1259/U1259,"")</t>
  </si>
  <si>
    <t>=NL("Sum","5802 Value Entry","150 Sales Amount (Expected)","41 Source Type",$C$5,"5 Source No.",$C1259,"4 Item Ledger Entry Type",$C$4,"2 Item No.","@@"&amp;$F1259,"3 Posting Date",Z$9)+NL("Sum","5802 Value Entry","17 Sales Amount (Actual)","41 Source Type",$C$5,"5 Source no.",$C1259,"4 Item Ledger Entry Type",$C$4,"2 Item No.","@@"&amp;$F1259,"3 Posting Date",Z$9)</t>
  </si>
  <si>
    <t>=-NL("Sum","5802 Value Entry","151 Cost Amount (Expected)","41 Source Type",$C$5,"5 Source No.",$C1259,"4 Item Ledger Entry Type",$C$4,"2 Item No.","@@"&amp;$F1259,"3 Posting Date",Z$9)-NL("Sum","5802 Value Entry","43 Cost Amount (Actual)","41 Source Type",$C$5,"5 Source no.",$C1259,"4 Item Ledger Entry Type",$C$4,"2 Item No.","@@"&amp;$F1259,"3 Posting Date",Z$9)</t>
  </si>
  <si>
    <t>=Z1259-AB1259</t>
  </si>
  <si>
    <t>=IF(Z1259&lt;&gt;0,AC1259/Z1259,"")</t>
  </si>
  <si>
    <t>=C1259</t>
  </si>
  <si>
    <t>=NL("Sum","5802 Value Entry","150 Sales Amount (Expected)","41 Source Type",$C$5,"5 Source No.",$C1260,"4 Item Ledger Entry Type",$C$4,"2 Item No.","@@"&amp;$F1260,"3 Posting Date",J$9)+NL("Sum","5802 Value Entry","17 Sales Amount (Actual)","41 Source Type",$C$5,"5 Source no.",$C1260,"4 Item Ledger Entry Type",$C$4,"2 Item No.","@@"&amp;$F1260,"3 Posting Date",J$9)</t>
  </si>
  <si>
    <t>=-NL("Sum","5802 Value Entry","151 Cost Amount (Expected)","41 Source Type",$C$5,"5 Source No.",$C1260,"4 Item Ledger Entry Type",$C$4,"2 Item No.","@@"&amp;$F1260,"3 Posting Date",J$9)-NL("Sum","5802 Value Entry","43 Cost Amount (Actual)","41 Source Type",$C$5,"5 Source no.",$C1260,"4 Item Ledger Entry Type",$C$4,"2 Item No.","@@"&amp;$F1260,"3 Posting Date",J$9)</t>
  </si>
  <si>
    <t>=J1260-L1260</t>
  </si>
  <si>
    <t>=IF(J1260&lt;&gt;0,M1260/J1260,"")</t>
  </si>
  <si>
    <t>=NL("Sum","5802 Value Entry","150 Sales Amount (Expected)","41 Source Type",$C$5,"5 Source No.",$C1260,"4 Item Ledger Entry Type",$C$4,"2 Item No.","@@"&amp;$F1260,"3 Posting Date",O$9)+NL("Sum","5802 Value Entry","17 Sales Amount (Actual)","41 Source Type",$C$5,"5 Source no.",$C1260,"4 Item Ledger Entry Type",$C$4,"2 Item No.","@@"&amp;$F1260,"3 Posting Date",O$9)</t>
  </si>
  <si>
    <t>=-NL("Sum","5802 Value Entry","151 Cost Amount (Expected)","41 Source Type",$C$5,"5 Source No.",$C1260,"4 Item Ledger Entry Type",$C$4,"2 Item No.","@@"&amp;$F1260,"3 Posting Date",O$9)-NL("Sum","5802 Value Entry","43 Cost Amount (Actual)","41 Source Type",$C$5,"5 Source no.",$C1260,"4 Item Ledger Entry Type",$C$4,"2 Item No.","@@"&amp;$F1260,"3 Posting Date",O$9)</t>
  </si>
  <si>
    <t>=O1260-Q1260</t>
  </si>
  <si>
    <t>=IF(O1260&lt;&gt;0,R1260/O1260,"")</t>
  </si>
  <si>
    <t>=NL("Sum","5802 Value Entry","150 Sales Amount (Expected)","41 Source Type",$C$5,"5 Source No.",$C1260,"4 Item Ledger Entry Type",$C$4,"2 Item No.","@@"&amp;$F1260,"3 Posting Date",U$9)+NL("Sum","5802 Value Entry","17 Sales Amount (Actual)","41 Source Type",$C$5,"5 Source no.",$C1260,"4 Item Ledger Entry Type",$C$4,"2 Item No.","@@"&amp;$F1260,"3 Posting Date",U$9)</t>
  </si>
  <si>
    <t>=-NL("Sum","5802 Value Entry","151 Cost Amount (Expected)","41 Source Type",$C$5,"5 Source No.",$C1260,"4 Item Ledger Entry Type",$C$4,"2 Item No.","@@"&amp;$F1260,"3 Posting Date",U$9)-NL("Sum","5802 Value Entry","43 Cost Amount (Actual)","41 Source Type",$C$5,"5 Source no.",$C1260,"4 Item Ledger Entry Type",$C$4,"2 Item No.","@@"&amp;$F1260,"3 Posting Date",U$9)</t>
  </si>
  <si>
    <t>=U1260-W1260</t>
  </si>
  <si>
    <t>=IF(U1260&lt;&gt;0,X1260/U1260,"")</t>
  </si>
  <si>
    <t>=NL("Sum","5802 Value Entry","150 Sales Amount (Expected)","41 Source Type",$C$5,"5 Source No.",$C1260,"4 Item Ledger Entry Type",$C$4,"2 Item No.","@@"&amp;$F1260,"3 Posting Date",Z$9)+NL("Sum","5802 Value Entry","17 Sales Amount (Actual)","41 Source Type",$C$5,"5 Source no.",$C1260,"4 Item Ledger Entry Type",$C$4,"2 Item No.","@@"&amp;$F1260,"3 Posting Date",Z$9)</t>
  </si>
  <si>
    <t>=-NL("Sum","5802 Value Entry","151 Cost Amount (Expected)","41 Source Type",$C$5,"5 Source No.",$C1260,"4 Item Ledger Entry Type",$C$4,"2 Item No.","@@"&amp;$F1260,"3 Posting Date",Z$9)-NL("Sum","5802 Value Entry","43 Cost Amount (Actual)","41 Source Type",$C$5,"5 Source no.",$C1260,"4 Item Ledger Entry Type",$C$4,"2 Item No.","@@"&amp;$F1260,"3 Posting Date",Z$9)</t>
  </si>
  <si>
    <t>=Z1260-AB1260</t>
  </si>
  <si>
    <t>=IF(Z1260&lt;&gt;0,AC1260/Z1260,"")</t>
  </si>
  <si>
    <t>=C1261</t>
  </si>
  <si>
    <t>=J1262-L1262</t>
  </si>
  <si>
    <t>=IF(J1262&lt;&gt;0,M1262/J1262,"")</t>
  </si>
  <si>
    <t>=O1262-Q1262</t>
  </si>
  <si>
    <t>=IF(O1262&lt;&gt;0,R1262/O1262,"")</t>
  </si>
  <si>
    <t>=U1262-W1262</t>
  </si>
  <si>
    <t>=IF(U1262&lt;&gt;0,X1262/U1262,"")</t>
  </si>
  <si>
    <t>=Z1262-AB1262</t>
  </si>
  <si>
    <t>=IF(Z1262&lt;&gt;0,AC1262/Z1262,"")</t>
  </si>
  <si>
    <t>=C1264</t>
  </si>
  <si>
    <t>=C1265</t>
  </si>
  <si>
    <t>=NL("Sum","5802 Value Entry","150 Sales Amount (Expected)","41 Source Type",$C$5,"5 Source No.",$C1266,"4 Item Ledger Entry Type",$C$4,"2 Item No.","@@"&amp;$F1266,"3 Posting Date",J$9)+NL("Sum","5802 Value Entry","17 Sales Amount (Actual)","41 Source Type",$C$5,"5 Source no.",$C1266,"4 Item Ledger Entry Type",$C$4,"2 Item No.","@@"&amp;$F1266,"3 Posting Date",J$9)</t>
  </si>
  <si>
    <t>=-NL("Sum","5802 Value Entry","151 Cost Amount (Expected)","41 Source Type",$C$5,"5 Source No.",$C1266,"4 Item Ledger Entry Type",$C$4,"2 Item No.","@@"&amp;$F1266,"3 Posting Date",J$9)-NL("Sum","5802 Value Entry","43 Cost Amount (Actual)","41 Source Type",$C$5,"5 Source no.",$C1266,"4 Item Ledger Entry Type",$C$4,"2 Item No.","@@"&amp;$F1266,"3 Posting Date",J$9)</t>
  </si>
  <si>
    <t>=J1266-L1266</t>
  </si>
  <si>
    <t>=IF(J1266&lt;&gt;0,M1266/J1266,"")</t>
  </si>
  <si>
    <t>=NL("Sum","5802 Value Entry","150 Sales Amount (Expected)","41 Source Type",$C$5,"5 Source No.",$C1266,"4 Item Ledger Entry Type",$C$4,"2 Item No.","@@"&amp;$F1266,"3 Posting Date",O$9)+NL("Sum","5802 Value Entry","17 Sales Amount (Actual)","41 Source Type",$C$5,"5 Source no.",$C1266,"4 Item Ledger Entry Type",$C$4,"2 Item No.","@@"&amp;$F1266,"3 Posting Date",O$9)</t>
  </si>
  <si>
    <t>=-NL("Sum","5802 Value Entry","151 Cost Amount (Expected)","41 Source Type",$C$5,"5 Source No.",$C1266,"4 Item Ledger Entry Type",$C$4,"2 Item No.","@@"&amp;$F1266,"3 Posting Date",O$9)-NL("Sum","5802 Value Entry","43 Cost Amount (Actual)","41 Source Type",$C$5,"5 Source no.",$C1266,"4 Item Ledger Entry Type",$C$4,"2 Item No.","@@"&amp;$F1266,"3 Posting Date",O$9)</t>
  </si>
  <si>
    <t>=O1266-Q1266</t>
  </si>
  <si>
    <t>=IF(O1266&lt;&gt;0,R1266/O1266,"")</t>
  </si>
  <si>
    <t>=NL("Sum","5802 Value Entry","150 Sales Amount (Expected)","41 Source Type",$C$5,"5 Source No.",$C1266,"4 Item Ledger Entry Type",$C$4,"2 Item No.","@@"&amp;$F1266,"3 Posting Date",U$9)+NL("Sum","5802 Value Entry","17 Sales Amount (Actual)","41 Source Type",$C$5,"5 Source no.",$C1266,"4 Item Ledger Entry Type",$C$4,"2 Item No.","@@"&amp;$F1266,"3 Posting Date",U$9)</t>
  </si>
  <si>
    <t>=-NL("Sum","5802 Value Entry","151 Cost Amount (Expected)","41 Source Type",$C$5,"5 Source No.",$C1266,"4 Item Ledger Entry Type",$C$4,"2 Item No.","@@"&amp;$F1266,"3 Posting Date",U$9)-NL("Sum","5802 Value Entry","43 Cost Amount (Actual)","41 Source Type",$C$5,"5 Source no.",$C1266,"4 Item Ledger Entry Type",$C$4,"2 Item No.","@@"&amp;$F1266,"3 Posting Date",U$9)</t>
  </si>
  <si>
    <t>=U1266-W1266</t>
  </si>
  <si>
    <t>=IF(U1266&lt;&gt;0,X1266/U1266,"")</t>
  </si>
  <si>
    <t>=NL("Sum","5802 Value Entry","150 Sales Amount (Expected)","41 Source Type",$C$5,"5 Source No.",$C1266,"4 Item Ledger Entry Type",$C$4,"2 Item No.","@@"&amp;$F1266,"3 Posting Date",Z$9)+NL("Sum","5802 Value Entry","17 Sales Amount (Actual)","41 Source Type",$C$5,"5 Source no.",$C1266,"4 Item Ledger Entry Type",$C$4,"2 Item No.","@@"&amp;$F1266,"3 Posting Date",Z$9)</t>
  </si>
  <si>
    <t>=-NL("Sum","5802 Value Entry","151 Cost Amount (Expected)","41 Source Type",$C$5,"5 Source No.",$C1266,"4 Item Ledger Entry Type",$C$4,"2 Item No.","@@"&amp;$F1266,"3 Posting Date",Z$9)-NL("Sum","5802 Value Entry","43 Cost Amount (Actual)","41 Source Type",$C$5,"5 Source no.",$C1266,"4 Item Ledger Entry Type",$C$4,"2 Item No.","@@"&amp;$F1266,"3 Posting Date",Z$9)</t>
  </si>
  <si>
    <t>=Z1266-AB1266</t>
  </si>
  <si>
    <t>=IF(Z1266&lt;&gt;0,AC1266/Z1266,"")</t>
  </si>
  <si>
    <t>=C1266</t>
  </si>
  <si>
    <t>=NL("Sum","5802 Value Entry","150 Sales Amount (Expected)","41 Source Type",$C$5,"5 Source No.",$C1267,"4 Item Ledger Entry Type",$C$4,"2 Item No.","@@"&amp;$F1267,"3 Posting Date",J$9)+NL("Sum","5802 Value Entry","17 Sales Amount (Actual)","41 Source Type",$C$5,"5 Source no.",$C1267,"4 Item Ledger Entry Type",$C$4,"2 Item No.","@@"&amp;$F1267,"3 Posting Date",J$9)</t>
  </si>
  <si>
    <t>=-NL("Sum","5802 Value Entry","151 Cost Amount (Expected)","41 Source Type",$C$5,"5 Source No.",$C1267,"4 Item Ledger Entry Type",$C$4,"2 Item No.","@@"&amp;$F1267,"3 Posting Date",J$9)-NL("Sum","5802 Value Entry","43 Cost Amount (Actual)","41 Source Type",$C$5,"5 Source no.",$C1267,"4 Item Ledger Entry Type",$C$4,"2 Item No.","@@"&amp;$F1267,"3 Posting Date",J$9)</t>
  </si>
  <si>
    <t>=J1267-L1267</t>
  </si>
  <si>
    <t>=IF(J1267&lt;&gt;0,M1267/J1267,"")</t>
  </si>
  <si>
    <t>=NL("Sum","5802 Value Entry","150 Sales Amount (Expected)","41 Source Type",$C$5,"5 Source No.",$C1267,"4 Item Ledger Entry Type",$C$4,"2 Item No.","@@"&amp;$F1267,"3 Posting Date",O$9)+NL("Sum","5802 Value Entry","17 Sales Amount (Actual)","41 Source Type",$C$5,"5 Source no.",$C1267,"4 Item Ledger Entry Type",$C$4,"2 Item No.","@@"&amp;$F1267,"3 Posting Date",O$9)</t>
  </si>
  <si>
    <t>=-NL("Sum","5802 Value Entry","151 Cost Amount (Expected)","41 Source Type",$C$5,"5 Source No.",$C1267,"4 Item Ledger Entry Type",$C$4,"2 Item No.","@@"&amp;$F1267,"3 Posting Date",O$9)-NL("Sum","5802 Value Entry","43 Cost Amount (Actual)","41 Source Type",$C$5,"5 Source no.",$C1267,"4 Item Ledger Entry Type",$C$4,"2 Item No.","@@"&amp;$F1267,"3 Posting Date",O$9)</t>
  </si>
  <si>
    <t>=O1267-Q1267</t>
  </si>
  <si>
    <t>=IF(O1267&lt;&gt;0,R1267/O1267,"")</t>
  </si>
  <si>
    <t>=NL("Sum","5802 Value Entry","150 Sales Amount (Expected)","41 Source Type",$C$5,"5 Source No.",$C1267,"4 Item Ledger Entry Type",$C$4,"2 Item No.","@@"&amp;$F1267,"3 Posting Date",U$9)+NL("Sum","5802 Value Entry","17 Sales Amount (Actual)","41 Source Type",$C$5,"5 Source no.",$C1267,"4 Item Ledger Entry Type",$C$4,"2 Item No.","@@"&amp;$F1267,"3 Posting Date",U$9)</t>
  </si>
  <si>
    <t>=-NL("Sum","5802 Value Entry","151 Cost Amount (Expected)","41 Source Type",$C$5,"5 Source No.",$C1267,"4 Item Ledger Entry Type",$C$4,"2 Item No.","@@"&amp;$F1267,"3 Posting Date",U$9)-NL("Sum","5802 Value Entry","43 Cost Amount (Actual)","41 Source Type",$C$5,"5 Source no.",$C1267,"4 Item Ledger Entry Type",$C$4,"2 Item No.","@@"&amp;$F1267,"3 Posting Date",U$9)</t>
  </si>
  <si>
    <t>=U1267-W1267</t>
  </si>
  <si>
    <t>=IF(U1267&lt;&gt;0,X1267/U1267,"")</t>
  </si>
  <si>
    <t>=NL("Sum","5802 Value Entry","150 Sales Amount (Expected)","41 Source Type",$C$5,"5 Source No.",$C1267,"4 Item Ledger Entry Type",$C$4,"2 Item No.","@@"&amp;$F1267,"3 Posting Date",Z$9)+NL("Sum","5802 Value Entry","17 Sales Amount (Actual)","41 Source Type",$C$5,"5 Source no.",$C1267,"4 Item Ledger Entry Type",$C$4,"2 Item No.","@@"&amp;$F1267,"3 Posting Date",Z$9)</t>
  </si>
  <si>
    <t>=-NL("Sum","5802 Value Entry","151 Cost Amount (Expected)","41 Source Type",$C$5,"5 Source No.",$C1267,"4 Item Ledger Entry Type",$C$4,"2 Item No.","@@"&amp;$F1267,"3 Posting Date",Z$9)-NL("Sum","5802 Value Entry","43 Cost Amount (Actual)","41 Source Type",$C$5,"5 Source no.",$C1267,"4 Item Ledger Entry Type",$C$4,"2 Item No.","@@"&amp;$F1267,"3 Posting Date",Z$9)</t>
  </si>
  <si>
    <t>=Z1267-AB1267</t>
  </si>
  <si>
    <t>=IF(Z1267&lt;&gt;0,AC1267/Z1267,"")</t>
  </si>
  <si>
    <t>=C1267</t>
  </si>
  <si>
    <t>=NL("Sum","5802 Value Entry","150 Sales Amount (Expected)","41 Source Type",$C$5,"5 Source No.",$C1268,"4 Item Ledger Entry Type",$C$4,"2 Item No.","@@"&amp;$F1268,"3 Posting Date",J$9)+NL("Sum","5802 Value Entry","17 Sales Amount (Actual)","41 Source Type",$C$5,"5 Source no.",$C1268,"4 Item Ledger Entry Type",$C$4,"2 Item No.","@@"&amp;$F1268,"3 Posting Date",J$9)</t>
  </si>
  <si>
    <t>=-NL("Sum","5802 Value Entry","151 Cost Amount (Expected)","41 Source Type",$C$5,"5 Source No.",$C1268,"4 Item Ledger Entry Type",$C$4,"2 Item No.","@@"&amp;$F1268,"3 Posting Date",J$9)-NL("Sum","5802 Value Entry","43 Cost Amount (Actual)","41 Source Type",$C$5,"5 Source no.",$C1268,"4 Item Ledger Entry Type",$C$4,"2 Item No.","@@"&amp;$F1268,"3 Posting Date",J$9)</t>
  </si>
  <si>
    <t>=J1268-L1268</t>
  </si>
  <si>
    <t>=IF(J1268&lt;&gt;0,M1268/J1268,"")</t>
  </si>
  <si>
    <t>=NL("Sum","5802 Value Entry","150 Sales Amount (Expected)","41 Source Type",$C$5,"5 Source No.",$C1268,"4 Item Ledger Entry Type",$C$4,"2 Item No.","@@"&amp;$F1268,"3 Posting Date",O$9)+NL("Sum","5802 Value Entry","17 Sales Amount (Actual)","41 Source Type",$C$5,"5 Source no.",$C1268,"4 Item Ledger Entry Type",$C$4,"2 Item No.","@@"&amp;$F1268,"3 Posting Date",O$9)</t>
  </si>
  <si>
    <t>=-NL("Sum","5802 Value Entry","151 Cost Amount (Expected)","41 Source Type",$C$5,"5 Source No.",$C1268,"4 Item Ledger Entry Type",$C$4,"2 Item No.","@@"&amp;$F1268,"3 Posting Date",O$9)-NL("Sum","5802 Value Entry","43 Cost Amount (Actual)","41 Source Type",$C$5,"5 Source no.",$C1268,"4 Item Ledger Entry Type",$C$4,"2 Item No.","@@"&amp;$F1268,"3 Posting Date",O$9)</t>
  </si>
  <si>
    <t>=O1268-Q1268</t>
  </si>
  <si>
    <t>=IF(O1268&lt;&gt;0,R1268/O1268,"")</t>
  </si>
  <si>
    <t>=NL("Sum","5802 Value Entry","150 Sales Amount (Expected)","41 Source Type",$C$5,"5 Source No.",$C1268,"4 Item Ledger Entry Type",$C$4,"2 Item No.","@@"&amp;$F1268,"3 Posting Date",U$9)+NL("Sum","5802 Value Entry","17 Sales Amount (Actual)","41 Source Type",$C$5,"5 Source no.",$C1268,"4 Item Ledger Entry Type",$C$4,"2 Item No.","@@"&amp;$F1268,"3 Posting Date",U$9)</t>
  </si>
  <si>
    <t>=-NL("Sum","5802 Value Entry","151 Cost Amount (Expected)","41 Source Type",$C$5,"5 Source No.",$C1268,"4 Item Ledger Entry Type",$C$4,"2 Item No.","@@"&amp;$F1268,"3 Posting Date",U$9)-NL("Sum","5802 Value Entry","43 Cost Amount (Actual)","41 Source Type",$C$5,"5 Source no.",$C1268,"4 Item Ledger Entry Type",$C$4,"2 Item No.","@@"&amp;$F1268,"3 Posting Date",U$9)</t>
  </si>
  <si>
    <t>=U1268-W1268</t>
  </si>
  <si>
    <t>=IF(U1268&lt;&gt;0,X1268/U1268,"")</t>
  </si>
  <si>
    <t>=NL("Sum","5802 Value Entry","150 Sales Amount (Expected)","41 Source Type",$C$5,"5 Source No.",$C1268,"4 Item Ledger Entry Type",$C$4,"2 Item No.","@@"&amp;$F1268,"3 Posting Date",Z$9)+NL("Sum","5802 Value Entry","17 Sales Amount (Actual)","41 Source Type",$C$5,"5 Source no.",$C1268,"4 Item Ledger Entry Type",$C$4,"2 Item No.","@@"&amp;$F1268,"3 Posting Date",Z$9)</t>
  </si>
  <si>
    <t>=-NL("Sum","5802 Value Entry","151 Cost Amount (Expected)","41 Source Type",$C$5,"5 Source No.",$C1268,"4 Item Ledger Entry Type",$C$4,"2 Item No.","@@"&amp;$F1268,"3 Posting Date",Z$9)-NL("Sum","5802 Value Entry","43 Cost Amount (Actual)","41 Source Type",$C$5,"5 Source no.",$C1268,"4 Item Ledger Entry Type",$C$4,"2 Item No.","@@"&amp;$F1268,"3 Posting Date",Z$9)</t>
  </si>
  <si>
    <t>=Z1268-AB1268</t>
  </si>
  <si>
    <t>=IF(Z1268&lt;&gt;0,AC1268/Z1268,"")</t>
  </si>
  <si>
    <t>=C1268</t>
  </si>
  <si>
    <t>=NL("Sum","5802 Value Entry","150 Sales Amount (Expected)","41 Source Type",$C$5,"5 Source No.",$C1269,"4 Item Ledger Entry Type",$C$4,"2 Item No.","@@"&amp;$F1269,"3 Posting Date",J$9)+NL("Sum","5802 Value Entry","17 Sales Amount (Actual)","41 Source Type",$C$5,"5 Source no.",$C1269,"4 Item Ledger Entry Type",$C$4,"2 Item No.","@@"&amp;$F1269,"3 Posting Date",J$9)</t>
  </si>
  <si>
    <t>=-NL("Sum","5802 Value Entry","151 Cost Amount (Expected)","41 Source Type",$C$5,"5 Source No.",$C1269,"4 Item Ledger Entry Type",$C$4,"2 Item No.","@@"&amp;$F1269,"3 Posting Date",J$9)-NL("Sum","5802 Value Entry","43 Cost Amount (Actual)","41 Source Type",$C$5,"5 Source no.",$C1269,"4 Item Ledger Entry Type",$C$4,"2 Item No.","@@"&amp;$F1269,"3 Posting Date",J$9)</t>
  </si>
  <si>
    <t>=J1269-L1269</t>
  </si>
  <si>
    <t>=IF(J1269&lt;&gt;0,M1269/J1269,"")</t>
  </si>
  <si>
    <t>=NL("Sum","5802 Value Entry","150 Sales Amount (Expected)","41 Source Type",$C$5,"5 Source No.",$C1269,"4 Item Ledger Entry Type",$C$4,"2 Item No.","@@"&amp;$F1269,"3 Posting Date",O$9)+NL("Sum","5802 Value Entry","17 Sales Amount (Actual)","41 Source Type",$C$5,"5 Source no.",$C1269,"4 Item Ledger Entry Type",$C$4,"2 Item No.","@@"&amp;$F1269,"3 Posting Date",O$9)</t>
  </si>
  <si>
    <t>=-NL("Sum","5802 Value Entry","151 Cost Amount (Expected)","41 Source Type",$C$5,"5 Source No.",$C1269,"4 Item Ledger Entry Type",$C$4,"2 Item No.","@@"&amp;$F1269,"3 Posting Date",O$9)-NL("Sum","5802 Value Entry","43 Cost Amount (Actual)","41 Source Type",$C$5,"5 Source no.",$C1269,"4 Item Ledger Entry Type",$C$4,"2 Item No.","@@"&amp;$F1269,"3 Posting Date",O$9)</t>
  </si>
  <si>
    <t>=O1269-Q1269</t>
  </si>
  <si>
    <t>=IF(O1269&lt;&gt;0,R1269/O1269,"")</t>
  </si>
  <si>
    <t>=NL("Sum","5802 Value Entry","150 Sales Amount (Expected)","41 Source Type",$C$5,"5 Source No.",$C1269,"4 Item Ledger Entry Type",$C$4,"2 Item No.","@@"&amp;$F1269,"3 Posting Date",U$9)+NL("Sum","5802 Value Entry","17 Sales Amount (Actual)","41 Source Type",$C$5,"5 Source no.",$C1269,"4 Item Ledger Entry Type",$C$4,"2 Item No.","@@"&amp;$F1269,"3 Posting Date",U$9)</t>
  </si>
  <si>
    <t>=-NL("Sum","5802 Value Entry","151 Cost Amount (Expected)","41 Source Type",$C$5,"5 Source No.",$C1269,"4 Item Ledger Entry Type",$C$4,"2 Item No.","@@"&amp;$F1269,"3 Posting Date",U$9)-NL("Sum","5802 Value Entry","43 Cost Amount (Actual)","41 Source Type",$C$5,"5 Source no.",$C1269,"4 Item Ledger Entry Type",$C$4,"2 Item No.","@@"&amp;$F1269,"3 Posting Date",U$9)</t>
  </si>
  <si>
    <t>=U1269-W1269</t>
  </si>
  <si>
    <t>=IF(U1269&lt;&gt;0,X1269/U1269,"")</t>
  </si>
  <si>
    <t>=NL("Sum","5802 Value Entry","150 Sales Amount (Expected)","41 Source Type",$C$5,"5 Source No.",$C1269,"4 Item Ledger Entry Type",$C$4,"2 Item No.","@@"&amp;$F1269,"3 Posting Date",Z$9)+NL("Sum","5802 Value Entry","17 Sales Amount (Actual)","41 Source Type",$C$5,"5 Source no.",$C1269,"4 Item Ledger Entry Type",$C$4,"2 Item No.","@@"&amp;$F1269,"3 Posting Date",Z$9)</t>
  </si>
  <si>
    <t>=-NL("Sum","5802 Value Entry","151 Cost Amount (Expected)","41 Source Type",$C$5,"5 Source No.",$C1269,"4 Item Ledger Entry Type",$C$4,"2 Item No.","@@"&amp;$F1269,"3 Posting Date",Z$9)-NL("Sum","5802 Value Entry","43 Cost Amount (Actual)","41 Source Type",$C$5,"5 Source no.",$C1269,"4 Item Ledger Entry Type",$C$4,"2 Item No.","@@"&amp;$F1269,"3 Posting Date",Z$9)</t>
  </si>
  <si>
    <t>=Z1269-AB1269</t>
  </si>
  <si>
    <t>=IF(Z1269&lt;&gt;0,AC1269/Z1269,"")</t>
  </si>
  <si>
    <t>=C1269</t>
  </si>
  <si>
    <t>=NL("Sum","5802 Value Entry","150 Sales Amount (Expected)","41 Source Type",$C$5,"5 Source No.",$C1270,"4 Item Ledger Entry Type",$C$4,"2 Item No.","@@"&amp;$F1270,"3 Posting Date",J$9)+NL("Sum","5802 Value Entry","17 Sales Amount (Actual)","41 Source Type",$C$5,"5 Source no.",$C1270,"4 Item Ledger Entry Type",$C$4,"2 Item No.","@@"&amp;$F1270,"3 Posting Date",J$9)</t>
  </si>
  <si>
    <t>=-NL("Sum","5802 Value Entry","151 Cost Amount (Expected)","41 Source Type",$C$5,"5 Source No.",$C1270,"4 Item Ledger Entry Type",$C$4,"2 Item No.","@@"&amp;$F1270,"3 Posting Date",J$9)-NL("Sum","5802 Value Entry","43 Cost Amount (Actual)","41 Source Type",$C$5,"5 Source no.",$C1270,"4 Item Ledger Entry Type",$C$4,"2 Item No.","@@"&amp;$F1270,"3 Posting Date",J$9)</t>
  </si>
  <si>
    <t>=J1270-L1270</t>
  </si>
  <si>
    <t>=IF(J1270&lt;&gt;0,M1270/J1270,"")</t>
  </si>
  <si>
    <t>=NL("Sum","5802 Value Entry","150 Sales Amount (Expected)","41 Source Type",$C$5,"5 Source No.",$C1270,"4 Item Ledger Entry Type",$C$4,"2 Item No.","@@"&amp;$F1270,"3 Posting Date",O$9)+NL("Sum","5802 Value Entry","17 Sales Amount (Actual)","41 Source Type",$C$5,"5 Source no.",$C1270,"4 Item Ledger Entry Type",$C$4,"2 Item No.","@@"&amp;$F1270,"3 Posting Date",O$9)</t>
  </si>
  <si>
    <t>=-NL("Sum","5802 Value Entry","151 Cost Amount (Expected)","41 Source Type",$C$5,"5 Source No.",$C1270,"4 Item Ledger Entry Type",$C$4,"2 Item No.","@@"&amp;$F1270,"3 Posting Date",O$9)-NL("Sum","5802 Value Entry","43 Cost Amount (Actual)","41 Source Type",$C$5,"5 Source no.",$C1270,"4 Item Ledger Entry Type",$C$4,"2 Item No.","@@"&amp;$F1270,"3 Posting Date",O$9)</t>
  </si>
  <si>
    <t>=O1270-Q1270</t>
  </si>
  <si>
    <t>=IF(O1270&lt;&gt;0,R1270/O1270,"")</t>
  </si>
  <si>
    <t>=NL("Sum","5802 Value Entry","150 Sales Amount (Expected)","41 Source Type",$C$5,"5 Source No.",$C1270,"4 Item Ledger Entry Type",$C$4,"2 Item No.","@@"&amp;$F1270,"3 Posting Date",U$9)+NL("Sum","5802 Value Entry","17 Sales Amount (Actual)","41 Source Type",$C$5,"5 Source no.",$C1270,"4 Item Ledger Entry Type",$C$4,"2 Item No.","@@"&amp;$F1270,"3 Posting Date",U$9)</t>
  </si>
  <si>
    <t>=-NL("Sum","5802 Value Entry","151 Cost Amount (Expected)","41 Source Type",$C$5,"5 Source No.",$C1270,"4 Item Ledger Entry Type",$C$4,"2 Item No.","@@"&amp;$F1270,"3 Posting Date",U$9)-NL("Sum","5802 Value Entry","43 Cost Amount (Actual)","41 Source Type",$C$5,"5 Source no.",$C1270,"4 Item Ledger Entry Type",$C$4,"2 Item No.","@@"&amp;$F1270,"3 Posting Date",U$9)</t>
  </si>
  <si>
    <t>=U1270-W1270</t>
  </si>
  <si>
    <t>=IF(U1270&lt;&gt;0,X1270/U1270,"")</t>
  </si>
  <si>
    <t>=NL("Sum","5802 Value Entry","150 Sales Amount (Expected)","41 Source Type",$C$5,"5 Source No.",$C1270,"4 Item Ledger Entry Type",$C$4,"2 Item No.","@@"&amp;$F1270,"3 Posting Date",Z$9)+NL("Sum","5802 Value Entry","17 Sales Amount (Actual)","41 Source Type",$C$5,"5 Source no.",$C1270,"4 Item Ledger Entry Type",$C$4,"2 Item No.","@@"&amp;$F1270,"3 Posting Date",Z$9)</t>
  </si>
  <si>
    <t>=-NL("Sum","5802 Value Entry","151 Cost Amount (Expected)","41 Source Type",$C$5,"5 Source No.",$C1270,"4 Item Ledger Entry Type",$C$4,"2 Item No.","@@"&amp;$F1270,"3 Posting Date",Z$9)-NL("Sum","5802 Value Entry","43 Cost Amount (Actual)","41 Source Type",$C$5,"5 Source no.",$C1270,"4 Item Ledger Entry Type",$C$4,"2 Item No.","@@"&amp;$F1270,"3 Posting Date",Z$9)</t>
  </si>
  <si>
    <t>=Z1270-AB1270</t>
  </si>
  <si>
    <t>=IF(Z1270&lt;&gt;0,AC1270/Z1270,"")</t>
  </si>
  <si>
    <t>=C1270</t>
  </si>
  <si>
    <t>=NL("Sum","5802 Value Entry","150 Sales Amount (Expected)","41 Source Type",$C$5,"5 Source No.",$C1271,"4 Item Ledger Entry Type",$C$4,"2 Item No.","@@"&amp;$F1271,"3 Posting Date",J$9)+NL("Sum","5802 Value Entry","17 Sales Amount (Actual)","41 Source Type",$C$5,"5 Source no.",$C1271,"4 Item Ledger Entry Type",$C$4,"2 Item No.","@@"&amp;$F1271,"3 Posting Date",J$9)</t>
  </si>
  <si>
    <t>=-NL("Sum","5802 Value Entry","151 Cost Amount (Expected)","41 Source Type",$C$5,"5 Source No.",$C1271,"4 Item Ledger Entry Type",$C$4,"2 Item No.","@@"&amp;$F1271,"3 Posting Date",J$9)-NL("Sum","5802 Value Entry","43 Cost Amount (Actual)","41 Source Type",$C$5,"5 Source no.",$C1271,"4 Item Ledger Entry Type",$C$4,"2 Item No.","@@"&amp;$F1271,"3 Posting Date",J$9)</t>
  </si>
  <si>
    <t>=J1271-L1271</t>
  </si>
  <si>
    <t>=IF(J1271&lt;&gt;0,M1271/J1271,"")</t>
  </si>
  <si>
    <t>=NL("Sum","5802 Value Entry","150 Sales Amount (Expected)","41 Source Type",$C$5,"5 Source No.",$C1271,"4 Item Ledger Entry Type",$C$4,"2 Item No.","@@"&amp;$F1271,"3 Posting Date",O$9)+NL("Sum","5802 Value Entry","17 Sales Amount (Actual)","41 Source Type",$C$5,"5 Source no.",$C1271,"4 Item Ledger Entry Type",$C$4,"2 Item No.","@@"&amp;$F1271,"3 Posting Date",O$9)</t>
  </si>
  <si>
    <t>=-NL("Sum","5802 Value Entry","151 Cost Amount (Expected)","41 Source Type",$C$5,"5 Source No.",$C1271,"4 Item Ledger Entry Type",$C$4,"2 Item No.","@@"&amp;$F1271,"3 Posting Date",O$9)-NL("Sum","5802 Value Entry","43 Cost Amount (Actual)","41 Source Type",$C$5,"5 Source no.",$C1271,"4 Item Ledger Entry Type",$C$4,"2 Item No.","@@"&amp;$F1271,"3 Posting Date",O$9)</t>
  </si>
  <si>
    <t>=O1271-Q1271</t>
  </si>
  <si>
    <t>=IF(O1271&lt;&gt;0,R1271/O1271,"")</t>
  </si>
  <si>
    <t>=NL("Sum","5802 Value Entry","150 Sales Amount (Expected)","41 Source Type",$C$5,"5 Source No.",$C1271,"4 Item Ledger Entry Type",$C$4,"2 Item No.","@@"&amp;$F1271,"3 Posting Date",U$9)+NL("Sum","5802 Value Entry","17 Sales Amount (Actual)","41 Source Type",$C$5,"5 Source no.",$C1271,"4 Item Ledger Entry Type",$C$4,"2 Item No.","@@"&amp;$F1271,"3 Posting Date",U$9)</t>
  </si>
  <si>
    <t>=-NL("Sum","5802 Value Entry","151 Cost Amount (Expected)","41 Source Type",$C$5,"5 Source No.",$C1271,"4 Item Ledger Entry Type",$C$4,"2 Item No.","@@"&amp;$F1271,"3 Posting Date",U$9)-NL("Sum","5802 Value Entry","43 Cost Amount (Actual)","41 Source Type",$C$5,"5 Source no.",$C1271,"4 Item Ledger Entry Type",$C$4,"2 Item No.","@@"&amp;$F1271,"3 Posting Date",U$9)</t>
  </si>
  <si>
    <t>=U1271-W1271</t>
  </si>
  <si>
    <t>=IF(U1271&lt;&gt;0,X1271/U1271,"")</t>
  </si>
  <si>
    <t>=NL("Sum","5802 Value Entry","150 Sales Amount (Expected)","41 Source Type",$C$5,"5 Source No.",$C1271,"4 Item Ledger Entry Type",$C$4,"2 Item No.","@@"&amp;$F1271,"3 Posting Date",Z$9)+NL("Sum","5802 Value Entry","17 Sales Amount (Actual)","41 Source Type",$C$5,"5 Source no.",$C1271,"4 Item Ledger Entry Type",$C$4,"2 Item No.","@@"&amp;$F1271,"3 Posting Date",Z$9)</t>
  </si>
  <si>
    <t>=-NL("Sum","5802 Value Entry","151 Cost Amount (Expected)","41 Source Type",$C$5,"5 Source No.",$C1271,"4 Item Ledger Entry Type",$C$4,"2 Item No.","@@"&amp;$F1271,"3 Posting Date",Z$9)-NL("Sum","5802 Value Entry","43 Cost Amount (Actual)","41 Source Type",$C$5,"5 Source no.",$C1271,"4 Item Ledger Entry Type",$C$4,"2 Item No.","@@"&amp;$F1271,"3 Posting Date",Z$9)</t>
  </si>
  <si>
    <t>=Z1271-AB1271</t>
  </si>
  <si>
    <t>=IF(Z1271&lt;&gt;0,AC1271/Z1271,"")</t>
  </si>
  <si>
    <t>=C1271</t>
  </si>
  <si>
    <t>=NL("Sum","5802 Value Entry","150 Sales Amount (Expected)","41 Source Type",$C$5,"5 Source No.",$C1272,"4 Item Ledger Entry Type",$C$4,"2 Item No.","@@"&amp;$F1272,"3 Posting Date",J$9)+NL("Sum","5802 Value Entry","17 Sales Amount (Actual)","41 Source Type",$C$5,"5 Source no.",$C1272,"4 Item Ledger Entry Type",$C$4,"2 Item No.","@@"&amp;$F1272,"3 Posting Date",J$9)</t>
  </si>
  <si>
    <t>=-NL("Sum","5802 Value Entry","151 Cost Amount (Expected)","41 Source Type",$C$5,"5 Source No.",$C1272,"4 Item Ledger Entry Type",$C$4,"2 Item No.","@@"&amp;$F1272,"3 Posting Date",J$9)-NL("Sum","5802 Value Entry","43 Cost Amount (Actual)","41 Source Type",$C$5,"5 Source no.",$C1272,"4 Item Ledger Entry Type",$C$4,"2 Item No.","@@"&amp;$F1272,"3 Posting Date",J$9)</t>
  </si>
  <si>
    <t>=J1272-L1272</t>
  </si>
  <si>
    <t>=IF(J1272&lt;&gt;0,M1272/J1272,"")</t>
  </si>
  <si>
    <t>=NL("Sum","5802 Value Entry","150 Sales Amount (Expected)","41 Source Type",$C$5,"5 Source No.",$C1272,"4 Item Ledger Entry Type",$C$4,"2 Item No.","@@"&amp;$F1272,"3 Posting Date",O$9)+NL("Sum","5802 Value Entry","17 Sales Amount (Actual)","41 Source Type",$C$5,"5 Source no.",$C1272,"4 Item Ledger Entry Type",$C$4,"2 Item No.","@@"&amp;$F1272,"3 Posting Date",O$9)</t>
  </si>
  <si>
    <t>=-NL("Sum","5802 Value Entry","151 Cost Amount (Expected)","41 Source Type",$C$5,"5 Source No.",$C1272,"4 Item Ledger Entry Type",$C$4,"2 Item No.","@@"&amp;$F1272,"3 Posting Date",O$9)-NL("Sum","5802 Value Entry","43 Cost Amount (Actual)","41 Source Type",$C$5,"5 Source no.",$C1272,"4 Item Ledger Entry Type",$C$4,"2 Item No.","@@"&amp;$F1272,"3 Posting Date",O$9)</t>
  </si>
  <si>
    <t>=O1272-Q1272</t>
  </si>
  <si>
    <t>=IF(O1272&lt;&gt;0,R1272/O1272,"")</t>
  </si>
  <si>
    <t>=NL("Sum","5802 Value Entry","150 Sales Amount (Expected)","41 Source Type",$C$5,"5 Source No.",$C1272,"4 Item Ledger Entry Type",$C$4,"2 Item No.","@@"&amp;$F1272,"3 Posting Date",U$9)+NL("Sum","5802 Value Entry","17 Sales Amount (Actual)","41 Source Type",$C$5,"5 Source no.",$C1272,"4 Item Ledger Entry Type",$C$4,"2 Item No.","@@"&amp;$F1272,"3 Posting Date",U$9)</t>
  </si>
  <si>
    <t>=-NL("Sum","5802 Value Entry","151 Cost Amount (Expected)","41 Source Type",$C$5,"5 Source No.",$C1272,"4 Item Ledger Entry Type",$C$4,"2 Item No.","@@"&amp;$F1272,"3 Posting Date",U$9)-NL("Sum","5802 Value Entry","43 Cost Amount (Actual)","41 Source Type",$C$5,"5 Source no.",$C1272,"4 Item Ledger Entry Type",$C$4,"2 Item No.","@@"&amp;$F1272,"3 Posting Date",U$9)</t>
  </si>
  <si>
    <t>=U1272-W1272</t>
  </si>
  <si>
    <t>=IF(U1272&lt;&gt;0,X1272/U1272,"")</t>
  </si>
  <si>
    <t>=NL("Sum","5802 Value Entry","150 Sales Amount (Expected)","41 Source Type",$C$5,"5 Source No.",$C1272,"4 Item Ledger Entry Type",$C$4,"2 Item No.","@@"&amp;$F1272,"3 Posting Date",Z$9)+NL("Sum","5802 Value Entry","17 Sales Amount (Actual)","41 Source Type",$C$5,"5 Source no.",$C1272,"4 Item Ledger Entry Type",$C$4,"2 Item No.","@@"&amp;$F1272,"3 Posting Date",Z$9)</t>
  </si>
  <si>
    <t>=-NL("Sum","5802 Value Entry","151 Cost Amount (Expected)","41 Source Type",$C$5,"5 Source No.",$C1272,"4 Item Ledger Entry Type",$C$4,"2 Item No.","@@"&amp;$F1272,"3 Posting Date",Z$9)-NL("Sum","5802 Value Entry","43 Cost Amount (Actual)","41 Source Type",$C$5,"5 Source no.",$C1272,"4 Item Ledger Entry Type",$C$4,"2 Item No.","@@"&amp;$F1272,"3 Posting Date",Z$9)</t>
  </si>
  <si>
    <t>=Z1272-AB1272</t>
  </si>
  <si>
    <t>=IF(Z1272&lt;&gt;0,AC1272/Z1272,"")</t>
  </si>
  <si>
    <t>=C1272</t>
  </si>
  <si>
    <t>=NL("Sum","5802 Value Entry","150 Sales Amount (Expected)","41 Source Type",$C$5,"5 Source No.",$C1273,"4 Item Ledger Entry Type",$C$4,"2 Item No.","@@"&amp;$F1273,"3 Posting Date",J$9)+NL("Sum","5802 Value Entry","17 Sales Amount (Actual)","41 Source Type",$C$5,"5 Source no.",$C1273,"4 Item Ledger Entry Type",$C$4,"2 Item No.","@@"&amp;$F1273,"3 Posting Date",J$9)</t>
  </si>
  <si>
    <t>=-NL("Sum","5802 Value Entry","151 Cost Amount (Expected)","41 Source Type",$C$5,"5 Source No.",$C1273,"4 Item Ledger Entry Type",$C$4,"2 Item No.","@@"&amp;$F1273,"3 Posting Date",J$9)-NL("Sum","5802 Value Entry","43 Cost Amount (Actual)","41 Source Type",$C$5,"5 Source no.",$C1273,"4 Item Ledger Entry Type",$C$4,"2 Item No.","@@"&amp;$F1273,"3 Posting Date",J$9)</t>
  </si>
  <si>
    <t>=J1273-L1273</t>
  </si>
  <si>
    <t>=IF(J1273&lt;&gt;0,M1273/J1273,"")</t>
  </si>
  <si>
    <t>=NL("Sum","5802 Value Entry","150 Sales Amount (Expected)","41 Source Type",$C$5,"5 Source No.",$C1273,"4 Item Ledger Entry Type",$C$4,"2 Item No.","@@"&amp;$F1273,"3 Posting Date",O$9)+NL("Sum","5802 Value Entry","17 Sales Amount (Actual)","41 Source Type",$C$5,"5 Source no.",$C1273,"4 Item Ledger Entry Type",$C$4,"2 Item No.","@@"&amp;$F1273,"3 Posting Date",O$9)</t>
  </si>
  <si>
    <t>=-NL("Sum","5802 Value Entry","151 Cost Amount (Expected)","41 Source Type",$C$5,"5 Source No.",$C1273,"4 Item Ledger Entry Type",$C$4,"2 Item No.","@@"&amp;$F1273,"3 Posting Date",O$9)-NL("Sum","5802 Value Entry","43 Cost Amount (Actual)","41 Source Type",$C$5,"5 Source no.",$C1273,"4 Item Ledger Entry Type",$C$4,"2 Item No.","@@"&amp;$F1273,"3 Posting Date",O$9)</t>
  </si>
  <si>
    <t>=O1273-Q1273</t>
  </si>
  <si>
    <t>=IF(O1273&lt;&gt;0,R1273/O1273,"")</t>
  </si>
  <si>
    <t>=NL("Sum","5802 Value Entry","150 Sales Amount (Expected)","41 Source Type",$C$5,"5 Source No.",$C1273,"4 Item Ledger Entry Type",$C$4,"2 Item No.","@@"&amp;$F1273,"3 Posting Date",U$9)+NL("Sum","5802 Value Entry","17 Sales Amount (Actual)","41 Source Type",$C$5,"5 Source no.",$C1273,"4 Item Ledger Entry Type",$C$4,"2 Item No.","@@"&amp;$F1273,"3 Posting Date",U$9)</t>
  </si>
  <si>
    <t>=-NL("Sum","5802 Value Entry","151 Cost Amount (Expected)","41 Source Type",$C$5,"5 Source No.",$C1273,"4 Item Ledger Entry Type",$C$4,"2 Item No.","@@"&amp;$F1273,"3 Posting Date",U$9)-NL("Sum","5802 Value Entry","43 Cost Amount (Actual)","41 Source Type",$C$5,"5 Source no.",$C1273,"4 Item Ledger Entry Type",$C$4,"2 Item No.","@@"&amp;$F1273,"3 Posting Date",U$9)</t>
  </si>
  <si>
    <t>=U1273-W1273</t>
  </si>
  <si>
    <t>=IF(U1273&lt;&gt;0,X1273/U1273,"")</t>
  </si>
  <si>
    <t>=NL("Sum","5802 Value Entry","150 Sales Amount (Expected)","41 Source Type",$C$5,"5 Source No.",$C1273,"4 Item Ledger Entry Type",$C$4,"2 Item No.","@@"&amp;$F1273,"3 Posting Date",Z$9)+NL("Sum","5802 Value Entry","17 Sales Amount (Actual)","41 Source Type",$C$5,"5 Source no.",$C1273,"4 Item Ledger Entry Type",$C$4,"2 Item No.","@@"&amp;$F1273,"3 Posting Date",Z$9)</t>
  </si>
  <si>
    <t>=-NL("Sum","5802 Value Entry","151 Cost Amount (Expected)","41 Source Type",$C$5,"5 Source No.",$C1273,"4 Item Ledger Entry Type",$C$4,"2 Item No.","@@"&amp;$F1273,"3 Posting Date",Z$9)-NL("Sum","5802 Value Entry","43 Cost Amount (Actual)","41 Source Type",$C$5,"5 Source no.",$C1273,"4 Item Ledger Entry Type",$C$4,"2 Item No.","@@"&amp;$F1273,"3 Posting Date",Z$9)</t>
  </si>
  <si>
    <t>=Z1273-AB1273</t>
  </si>
  <si>
    <t>=IF(Z1273&lt;&gt;0,AC1273/Z1273,"")</t>
  </si>
  <si>
    <t>=C1273</t>
  </si>
  <si>
    <t>=NL("Sum","5802 Value Entry","150 Sales Amount (Expected)","41 Source Type",$C$5,"5 Source No.",$C1274,"4 Item Ledger Entry Type",$C$4,"2 Item No.","@@"&amp;$F1274,"3 Posting Date",J$9)+NL("Sum","5802 Value Entry","17 Sales Amount (Actual)","41 Source Type",$C$5,"5 Source no.",$C1274,"4 Item Ledger Entry Type",$C$4,"2 Item No.","@@"&amp;$F1274,"3 Posting Date",J$9)</t>
  </si>
  <si>
    <t>=-NL("Sum","5802 Value Entry","151 Cost Amount (Expected)","41 Source Type",$C$5,"5 Source No.",$C1274,"4 Item Ledger Entry Type",$C$4,"2 Item No.","@@"&amp;$F1274,"3 Posting Date",J$9)-NL("Sum","5802 Value Entry","43 Cost Amount (Actual)","41 Source Type",$C$5,"5 Source no.",$C1274,"4 Item Ledger Entry Type",$C$4,"2 Item No.","@@"&amp;$F1274,"3 Posting Date",J$9)</t>
  </si>
  <si>
    <t>=J1274-L1274</t>
  </si>
  <si>
    <t>=IF(J1274&lt;&gt;0,M1274/J1274,"")</t>
  </si>
  <si>
    <t>=NL("Sum","5802 Value Entry","150 Sales Amount (Expected)","41 Source Type",$C$5,"5 Source No.",$C1274,"4 Item Ledger Entry Type",$C$4,"2 Item No.","@@"&amp;$F1274,"3 Posting Date",O$9)+NL("Sum","5802 Value Entry","17 Sales Amount (Actual)","41 Source Type",$C$5,"5 Source no.",$C1274,"4 Item Ledger Entry Type",$C$4,"2 Item No.","@@"&amp;$F1274,"3 Posting Date",O$9)</t>
  </si>
  <si>
    <t>=-NL("Sum","5802 Value Entry","151 Cost Amount (Expected)","41 Source Type",$C$5,"5 Source No.",$C1274,"4 Item Ledger Entry Type",$C$4,"2 Item No.","@@"&amp;$F1274,"3 Posting Date",O$9)-NL("Sum","5802 Value Entry","43 Cost Amount (Actual)","41 Source Type",$C$5,"5 Source no.",$C1274,"4 Item Ledger Entry Type",$C$4,"2 Item No.","@@"&amp;$F1274,"3 Posting Date",O$9)</t>
  </si>
  <si>
    <t>=O1274-Q1274</t>
  </si>
  <si>
    <t>=IF(O1274&lt;&gt;0,R1274/O1274,"")</t>
  </si>
  <si>
    <t>=NL("Sum","5802 Value Entry","150 Sales Amount (Expected)","41 Source Type",$C$5,"5 Source No.",$C1274,"4 Item Ledger Entry Type",$C$4,"2 Item No.","@@"&amp;$F1274,"3 Posting Date",U$9)+NL("Sum","5802 Value Entry","17 Sales Amount (Actual)","41 Source Type",$C$5,"5 Source no.",$C1274,"4 Item Ledger Entry Type",$C$4,"2 Item No.","@@"&amp;$F1274,"3 Posting Date",U$9)</t>
  </si>
  <si>
    <t>=-NL("Sum","5802 Value Entry","151 Cost Amount (Expected)","41 Source Type",$C$5,"5 Source No.",$C1274,"4 Item Ledger Entry Type",$C$4,"2 Item No.","@@"&amp;$F1274,"3 Posting Date",U$9)-NL("Sum","5802 Value Entry","43 Cost Amount (Actual)","41 Source Type",$C$5,"5 Source no.",$C1274,"4 Item Ledger Entry Type",$C$4,"2 Item No.","@@"&amp;$F1274,"3 Posting Date",U$9)</t>
  </si>
  <si>
    <t>=U1274-W1274</t>
  </si>
  <si>
    <t>=IF(U1274&lt;&gt;0,X1274/U1274,"")</t>
  </si>
  <si>
    <t>=NL("Sum","5802 Value Entry","150 Sales Amount (Expected)","41 Source Type",$C$5,"5 Source No.",$C1274,"4 Item Ledger Entry Type",$C$4,"2 Item No.","@@"&amp;$F1274,"3 Posting Date",Z$9)+NL("Sum","5802 Value Entry","17 Sales Amount (Actual)","41 Source Type",$C$5,"5 Source no.",$C1274,"4 Item Ledger Entry Type",$C$4,"2 Item No.","@@"&amp;$F1274,"3 Posting Date",Z$9)</t>
  </si>
  <si>
    <t>=-NL("Sum","5802 Value Entry","151 Cost Amount (Expected)","41 Source Type",$C$5,"5 Source No.",$C1274,"4 Item Ledger Entry Type",$C$4,"2 Item No.","@@"&amp;$F1274,"3 Posting Date",Z$9)-NL("Sum","5802 Value Entry","43 Cost Amount (Actual)","41 Source Type",$C$5,"5 Source no.",$C1274,"4 Item Ledger Entry Type",$C$4,"2 Item No.","@@"&amp;$F1274,"3 Posting Date",Z$9)</t>
  </si>
  <si>
    <t>=Z1274-AB1274</t>
  </si>
  <si>
    <t>=IF(Z1274&lt;&gt;0,AC1274/Z1274,"")</t>
  </si>
  <si>
    <t>=C1275</t>
  </si>
  <si>
    <t>=J1276-L1276</t>
  </si>
  <si>
    <t>=IF(J1276&lt;&gt;0,M1276/J1276,"")</t>
  </si>
  <si>
    <t>=O1276-Q1276</t>
  </si>
  <si>
    <t>=IF(O1276&lt;&gt;0,R1276/O1276,"")</t>
  </si>
  <si>
    <t>=U1276-W1276</t>
  </si>
  <si>
    <t>=IF(U1276&lt;&gt;0,X1276/U1276,"")</t>
  </si>
  <si>
    <t>=Z1276-AB1276</t>
  </si>
  <si>
    <t>=IF(Z1276&lt;&gt;0,AC1276/Z1276,"")</t>
  </si>
  <si>
    <t>=C1278</t>
  </si>
  <si>
    <t>=C1279</t>
  </si>
  <si>
    <t>=NL("Sum","5802 Value Entry","150 Sales Amount (Expected)","41 Source Type",$C$5,"5 Source No.",$C1280,"4 Item Ledger Entry Type",$C$4,"2 Item No.","@@"&amp;$F1280,"3 Posting Date",J$9)+NL("Sum","5802 Value Entry","17 Sales Amount (Actual)","41 Source Type",$C$5,"5 Source no.",$C1280,"4 Item Ledger Entry Type",$C$4,"2 Item No.","@@"&amp;$F1280,"3 Posting Date",J$9)</t>
  </si>
  <si>
    <t>=-NL("Sum","5802 Value Entry","151 Cost Amount (Expected)","41 Source Type",$C$5,"5 Source No.",$C1280,"4 Item Ledger Entry Type",$C$4,"2 Item No.","@@"&amp;$F1280,"3 Posting Date",J$9)-NL("Sum","5802 Value Entry","43 Cost Amount (Actual)","41 Source Type",$C$5,"5 Source no.",$C1280,"4 Item Ledger Entry Type",$C$4,"2 Item No.","@@"&amp;$F1280,"3 Posting Date",J$9)</t>
  </si>
  <si>
    <t>=J1280-L1280</t>
  </si>
  <si>
    <t>=IF(J1280&lt;&gt;0,M1280/J1280,"")</t>
  </si>
  <si>
    <t>=NL("Sum","5802 Value Entry","150 Sales Amount (Expected)","41 Source Type",$C$5,"5 Source No.",$C1280,"4 Item Ledger Entry Type",$C$4,"2 Item No.","@@"&amp;$F1280,"3 Posting Date",O$9)+NL("Sum","5802 Value Entry","17 Sales Amount (Actual)","41 Source Type",$C$5,"5 Source no.",$C1280,"4 Item Ledger Entry Type",$C$4,"2 Item No.","@@"&amp;$F1280,"3 Posting Date",O$9)</t>
  </si>
  <si>
    <t>=-NL("Sum","5802 Value Entry","151 Cost Amount (Expected)","41 Source Type",$C$5,"5 Source No.",$C1280,"4 Item Ledger Entry Type",$C$4,"2 Item No.","@@"&amp;$F1280,"3 Posting Date",O$9)-NL("Sum","5802 Value Entry","43 Cost Amount (Actual)","41 Source Type",$C$5,"5 Source no.",$C1280,"4 Item Ledger Entry Type",$C$4,"2 Item No.","@@"&amp;$F1280,"3 Posting Date",O$9)</t>
  </si>
  <si>
    <t>=O1280-Q1280</t>
  </si>
  <si>
    <t>=IF(O1280&lt;&gt;0,R1280/O1280,"")</t>
  </si>
  <si>
    <t>=NL("Sum","5802 Value Entry","150 Sales Amount (Expected)","41 Source Type",$C$5,"5 Source No.",$C1280,"4 Item Ledger Entry Type",$C$4,"2 Item No.","@@"&amp;$F1280,"3 Posting Date",U$9)+NL("Sum","5802 Value Entry","17 Sales Amount (Actual)","41 Source Type",$C$5,"5 Source no.",$C1280,"4 Item Ledger Entry Type",$C$4,"2 Item No.","@@"&amp;$F1280,"3 Posting Date",U$9)</t>
  </si>
  <si>
    <t>=-NL("Sum","5802 Value Entry","151 Cost Amount (Expected)","41 Source Type",$C$5,"5 Source No.",$C1280,"4 Item Ledger Entry Type",$C$4,"2 Item No.","@@"&amp;$F1280,"3 Posting Date",U$9)-NL("Sum","5802 Value Entry","43 Cost Amount (Actual)","41 Source Type",$C$5,"5 Source no.",$C1280,"4 Item Ledger Entry Type",$C$4,"2 Item No.","@@"&amp;$F1280,"3 Posting Date",U$9)</t>
  </si>
  <si>
    <t>=U1280-W1280</t>
  </si>
  <si>
    <t>=IF(U1280&lt;&gt;0,X1280/U1280,"")</t>
  </si>
  <si>
    <t>=NL("Sum","5802 Value Entry","150 Sales Amount (Expected)","41 Source Type",$C$5,"5 Source No.",$C1280,"4 Item Ledger Entry Type",$C$4,"2 Item No.","@@"&amp;$F1280,"3 Posting Date",Z$9)+NL("Sum","5802 Value Entry","17 Sales Amount (Actual)","41 Source Type",$C$5,"5 Source no.",$C1280,"4 Item Ledger Entry Type",$C$4,"2 Item No.","@@"&amp;$F1280,"3 Posting Date",Z$9)</t>
  </si>
  <si>
    <t>=-NL("Sum","5802 Value Entry","151 Cost Amount (Expected)","41 Source Type",$C$5,"5 Source No.",$C1280,"4 Item Ledger Entry Type",$C$4,"2 Item No.","@@"&amp;$F1280,"3 Posting Date",Z$9)-NL("Sum","5802 Value Entry","43 Cost Amount (Actual)","41 Source Type",$C$5,"5 Source no.",$C1280,"4 Item Ledger Entry Type",$C$4,"2 Item No.","@@"&amp;$F1280,"3 Posting Date",Z$9)</t>
  </si>
  <si>
    <t>=Z1280-AB1280</t>
  </si>
  <si>
    <t>=IF(Z1280&lt;&gt;0,AC1280/Z1280,"")</t>
  </si>
  <si>
    <t>=C1280</t>
  </si>
  <si>
    <t>=NL("Sum","5802 Value Entry","150 Sales Amount (Expected)","41 Source Type",$C$5,"5 Source No.",$C1281,"4 Item Ledger Entry Type",$C$4,"2 Item No.","@@"&amp;$F1281,"3 Posting Date",J$9)+NL("Sum","5802 Value Entry","17 Sales Amount (Actual)","41 Source Type",$C$5,"5 Source no.",$C1281,"4 Item Ledger Entry Type",$C$4,"2 Item No.","@@"&amp;$F1281,"3 Posting Date",J$9)</t>
  </si>
  <si>
    <t>=-NL("Sum","5802 Value Entry","151 Cost Amount (Expected)","41 Source Type",$C$5,"5 Source No.",$C1281,"4 Item Ledger Entry Type",$C$4,"2 Item No.","@@"&amp;$F1281,"3 Posting Date",J$9)-NL("Sum","5802 Value Entry","43 Cost Amount (Actual)","41 Source Type",$C$5,"5 Source no.",$C1281,"4 Item Ledger Entry Type",$C$4,"2 Item No.","@@"&amp;$F1281,"3 Posting Date",J$9)</t>
  </si>
  <si>
    <t>=J1281-L1281</t>
  </si>
  <si>
    <t>=IF(J1281&lt;&gt;0,M1281/J1281,"")</t>
  </si>
  <si>
    <t>=NL("Sum","5802 Value Entry","150 Sales Amount (Expected)","41 Source Type",$C$5,"5 Source No.",$C1281,"4 Item Ledger Entry Type",$C$4,"2 Item No.","@@"&amp;$F1281,"3 Posting Date",O$9)+NL("Sum","5802 Value Entry","17 Sales Amount (Actual)","41 Source Type",$C$5,"5 Source no.",$C1281,"4 Item Ledger Entry Type",$C$4,"2 Item No.","@@"&amp;$F1281,"3 Posting Date",O$9)</t>
  </si>
  <si>
    <t>=-NL("Sum","5802 Value Entry","151 Cost Amount (Expected)","41 Source Type",$C$5,"5 Source No.",$C1281,"4 Item Ledger Entry Type",$C$4,"2 Item No.","@@"&amp;$F1281,"3 Posting Date",O$9)-NL("Sum","5802 Value Entry","43 Cost Amount (Actual)","41 Source Type",$C$5,"5 Source no.",$C1281,"4 Item Ledger Entry Type",$C$4,"2 Item No.","@@"&amp;$F1281,"3 Posting Date",O$9)</t>
  </si>
  <si>
    <t>=O1281-Q1281</t>
  </si>
  <si>
    <t>=IF(O1281&lt;&gt;0,R1281/O1281,"")</t>
  </si>
  <si>
    <t>=NL("Sum","5802 Value Entry","150 Sales Amount (Expected)","41 Source Type",$C$5,"5 Source No.",$C1281,"4 Item Ledger Entry Type",$C$4,"2 Item No.","@@"&amp;$F1281,"3 Posting Date",U$9)+NL("Sum","5802 Value Entry","17 Sales Amount (Actual)","41 Source Type",$C$5,"5 Source no.",$C1281,"4 Item Ledger Entry Type",$C$4,"2 Item No.","@@"&amp;$F1281,"3 Posting Date",U$9)</t>
  </si>
  <si>
    <t>=-NL("Sum","5802 Value Entry","151 Cost Amount (Expected)","41 Source Type",$C$5,"5 Source No.",$C1281,"4 Item Ledger Entry Type",$C$4,"2 Item No.","@@"&amp;$F1281,"3 Posting Date",U$9)-NL("Sum","5802 Value Entry","43 Cost Amount (Actual)","41 Source Type",$C$5,"5 Source no.",$C1281,"4 Item Ledger Entry Type",$C$4,"2 Item No.","@@"&amp;$F1281,"3 Posting Date",U$9)</t>
  </si>
  <si>
    <t>=U1281-W1281</t>
  </si>
  <si>
    <t>=IF(U1281&lt;&gt;0,X1281/U1281,"")</t>
  </si>
  <si>
    <t>=NL("Sum","5802 Value Entry","150 Sales Amount (Expected)","41 Source Type",$C$5,"5 Source No.",$C1281,"4 Item Ledger Entry Type",$C$4,"2 Item No.","@@"&amp;$F1281,"3 Posting Date",Z$9)+NL("Sum","5802 Value Entry","17 Sales Amount (Actual)","41 Source Type",$C$5,"5 Source no.",$C1281,"4 Item Ledger Entry Type",$C$4,"2 Item No.","@@"&amp;$F1281,"3 Posting Date",Z$9)</t>
  </si>
  <si>
    <t>=-NL("Sum","5802 Value Entry","151 Cost Amount (Expected)","41 Source Type",$C$5,"5 Source No.",$C1281,"4 Item Ledger Entry Type",$C$4,"2 Item No.","@@"&amp;$F1281,"3 Posting Date",Z$9)-NL("Sum","5802 Value Entry","43 Cost Amount (Actual)","41 Source Type",$C$5,"5 Source no.",$C1281,"4 Item Ledger Entry Type",$C$4,"2 Item No.","@@"&amp;$F1281,"3 Posting Date",Z$9)</t>
  </si>
  <si>
    <t>=Z1281-AB1281</t>
  </si>
  <si>
    <t>=IF(Z1281&lt;&gt;0,AC1281/Z1281,"")</t>
  </si>
  <si>
    <t>=C1281</t>
  </si>
  <si>
    <t>=NL("Sum","5802 Value Entry","150 Sales Amount (Expected)","41 Source Type",$C$5,"5 Source No.",$C1282,"4 Item Ledger Entry Type",$C$4,"2 Item No.","@@"&amp;$F1282,"3 Posting Date",J$9)+NL("Sum","5802 Value Entry","17 Sales Amount (Actual)","41 Source Type",$C$5,"5 Source no.",$C1282,"4 Item Ledger Entry Type",$C$4,"2 Item No.","@@"&amp;$F1282,"3 Posting Date",J$9)</t>
  </si>
  <si>
    <t>=-NL("Sum","5802 Value Entry","151 Cost Amount (Expected)","41 Source Type",$C$5,"5 Source No.",$C1282,"4 Item Ledger Entry Type",$C$4,"2 Item No.","@@"&amp;$F1282,"3 Posting Date",J$9)-NL("Sum","5802 Value Entry","43 Cost Amount (Actual)","41 Source Type",$C$5,"5 Source no.",$C1282,"4 Item Ledger Entry Type",$C$4,"2 Item No.","@@"&amp;$F1282,"3 Posting Date",J$9)</t>
  </si>
  <si>
    <t>=J1282-L1282</t>
  </si>
  <si>
    <t>=IF(J1282&lt;&gt;0,M1282/J1282,"")</t>
  </si>
  <si>
    <t>=NL("Sum","5802 Value Entry","150 Sales Amount (Expected)","41 Source Type",$C$5,"5 Source No.",$C1282,"4 Item Ledger Entry Type",$C$4,"2 Item No.","@@"&amp;$F1282,"3 Posting Date",O$9)+NL("Sum","5802 Value Entry","17 Sales Amount (Actual)","41 Source Type",$C$5,"5 Source no.",$C1282,"4 Item Ledger Entry Type",$C$4,"2 Item No.","@@"&amp;$F1282,"3 Posting Date",O$9)</t>
  </si>
  <si>
    <t>=-NL("Sum","5802 Value Entry","151 Cost Amount (Expected)","41 Source Type",$C$5,"5 Source No.",$C1282,"4 Item Ledger Entry Type",$C$4,"2 Item No.","@@"&amp;$F1282,"3 Posting Date",O$9)-NL("Sum","5802 Value Entry","43 Cost Amount (Actual)","41 Source Type",$C$5,"5 Source no.",$C1282,"4 Item Ledger Entry Type",$C$4,"2 Item No.","@@"&amp;$F1282,"3 Posting Date",O$9)</t>
  </si>
  <si>
    <t>=O1282-Q1282</t>
  </si>
  <si>
    <t>=IF(O1282&lt;&gt;0,R1282/O1282,"")</t>
  </si>
  <si>
    <t>=NL("Sum","5802 Value Entry","150 Sales Amount (Expected)","41 Source Type",$C$5,"5 Source No.",$C1282,"4 Item Ledger Entry Type",$C$4,"2 Item No.","@@"&amp;$F1282,"3 Posting Date",U$9)+NL("Sum","5802 Value Entry","17 Sales Amount (Actual)","41 Source Type",$C$5,"5 Source no.",$C1282,"4 Item Ledger Entry Type",$C$4,"2 Item No.","@@"&amp;$F1282,"3 Posting Date",U$9)</t>
  </si>
  <si>
    <t>=-NL("Sum","5802 Value Entry","151 Cost Amount (Expected)","41 Source Type",$C$5,"5 Source No.",$C1282,"4 Item Ledger Entry Type",$C$4,"2 Item No.","@@"&amp;$F1282,"3 Posting Date",U$9)-NL("Sum","5802 Value Entry","43 Cost Amount (Actual)","41 Source Type",$C$5,"5 Source no.",$C1282,"4 Item Ledger Entry Type",$C$4,"2 Item No.","@@"&amp;$F1282,"3 Posting Date",U$9)</t>
  </si>
  <si>
    <t>=U1282-W1282</t>
  </si>
  <si>
    <t>=IF(U1282&lt;&gt;0,X1282/U1282,"")</t>
  </si>
  <si>
    <t>=NL("Sum","5802 Value Entry","150 Sales Amount (Expected)","41 Source Type",$C$5,"5 Source No.",$C1282,"4 Item Ledger Entry Type",$C$4,"2 Item No.","@@"&amp;$F1282,"3 Posting Date",Z$9)+NL("Sum","5802 Value Entry","17 Sales Amount (Actual)","41 Source Type",$C$5,"5 Source no.",$C1282,"4 Item Ledger Entry Type",$C$4,"2 Item No.","@@"&amp;$F1282,"3 Posting Date",Z$9)</t>
  </si>
  <si>
    <t>=-NL("Sum","5802 Value Entry","151 Cost Amount (Expected)","41 Source Type",$C$5,"5 Source No.",$C1282,"4 Item Ledger Entry Type",$C$4,"2 Item No.","@@"&amp;$F1282,"3 Posting Date",Z$9)-NL("Sum","5802 Value Entry","43 Cost Amount (Actual)","41 Source Type",$C$5,"5 Source no.",$C1282,"4 Item Ledger Entry Type",$C$4,"2 Item No.","@@"&amp;$F1282,"3 Posting Date",Z$9)</t>
  </si>
  <si>
    <t>=Z1282-AB1282</t>
  </si>
  <si>
    <t>=IF(Z1282&lt;&gt;0,AC1282/Z1282,"")</t>
  </si>
  <si>
    <t>=C1282</t>
  </si>
  <si>
    <t>=NL("Sum","5802 Value Entry","150 Sales Amount (Expected)","41 Source Type",$C$5,"5 Source No.",$C1283,"4 Item Ledger Entry Type",$C$4,"2 Item No.","@@"&amp;$F1283,"3 Posting Date",J$9)+NL("Sum","5802 Value Entry","17 Sales Amount (Actual)","41 Source Type",$C$5,"5 Source no.",$C1283,"4 Item Ledger Entry Type",$C$4,"2 Item No.","@@"&amp;$F1283,"3 Posting Date",J$9)</t>
  </si>
  <si>
    <t>=-NL("Sum","5802 Value Entry","151 Cost Amount (Expected)","41 Source Type",$C$5,"5 Source No.",$C1283,"4 Item Ledger Entry Type",$C$4,"2 Item No.","@@"&amp;$F1283,"3 Posting Date",J$9)-NL("Sum","5802 Value Entry","43 Cost Amount (Actual)","41 Source Type",$C$5,"5 Source no.",$C1283,"4 Item Ledger Entry Type",$C$4,"2 Item No.","@@"&amp;$F1283,"3 Posting Date",J$9)</t>
  </si>
  <si>
    <t>=J1283-L1283</t>
  </si>
  <si>
    <t>=IF(J1283&lt;&gt;0,M1283/J1283,"")</t>
  </si>
  <si>
    <t>=NL("Sum","5802 Value Entry","150 Sales Amount (Expected)","41 Source Type",$C$5,"5 Source No.",$C1283,"4 Item Ledger Entry Type",$C$4,"2 Item No.","@@"&amp;$F1283,"3 Posting Date",O$9)+NL("Sum","5802 Value Entry","17 Sales Amount (Actual)","41 Source Type",$C$5,"5 Source no.",$C1283,"4 Item Ledger Entry Type",$C$4,"2 Item No.","@@"&amp;$F1283,"3 Posting Date",O$9)</t>
  </si>
  <si>
    <t>=-NL("Sum","5802 Value Entry","151 Cost Amount (Expected)","41 Source Type",$C$5,"5 Source No.",$C1283,"4 Item Ledger Entry Type",$C$4,"2 Item No.","@@"&amp;$F1283,"3 Posting Date",O$9)-NL("Sum","5802 Value Entry","43 Cost Amount (Actual)","41 Source Type",$C$5,"5 Source no.",$C1283,"4 Item Ledger Entry Type",$C$4,"2 Item No.","@@"&amp;$F1283,"3 Posting Date",O$9)</t>
  </si>
  <si>
    <t>=O1283-Q1283</t>
  </si>
  <si>
    <t>=IF(O1283&lt;&gt;0,R1283/O1283,"")</t>
  </si>
  <si>
    <t>=NL("Sum","5802 Value Entry","150 Sales Amount (Expected)","41 Source Type",$C$5,"5 Source No.",$C1283,"4 Item Ledger Entry Type",$C$4,"2 Item No.","@@"&amp;$F1283,"3 Posting Date",U$9)+NL("Sum","5802 Value Entry","17 Sales Amount (Actual)","41 Source Type",$C$5,"5 Source no.",$C1283,"4 Item Ledger Entry Type",$C$4,"2 Item No.","@@"&amp;$F1283,"3 Posting Date",U$9)</t>
  </si>
  <si>
    <t>=-NL("Sum","5802 Value Entry","151 Cost Amount (Expected)","41 Source Type",$C$5,"5 Source No.",$C1283,"4 Item Ledger Entry Type",$C$4,"2 Item No.","@@"&amp;$F1283,"3 Posting Date",U$9)-NL("Sum","5802 Value Entry","43 Cost Amount (Actual)","41 Source Type",$C$5,"5 Source no.",$C1283,"4 Item Ledger Entry Type",$C$4,"2 Item No.","@@"&amp;$F1283,"3 Posting Date",U$9)</t>
  </si>
  <si>
    <t>=U1283-W1283</t>
  </si>
  <si>
    <t>=IF(U1283&lt;&gt;0,X1283/U1283,"")</t>
  </si>
  <si>
    <t>=NL("Sum","5802 Value Entry","150 Sales Amount (Expected)","41 Source Type",$C$5,"5 Source No.",$C1283,"4 Item Ledger Entry Type",$C$4,"2 Item No.","@@"&amp;$F1283,"3 Posting Date",Z$9)+NL("Sum","5802 Value Entry","17 Sales Amount (Actual)","41 Source Type",$C$5,"5 Source no.",$C1283,"4 Item Ledger Entry Type",$C$4,"2 Item No.","@@"&amp;$F1283,"3 Posting Date",Z$9)</t>
  </si>
  <si>
    <t>=-NL("Sum","5802 Value Entry","151 Cost Amount (Expected)","41 Source Type",$C$5,"5 Source No.",$C1283,"4 Item Ledger Entry Type",$C$4,"2 Item No.","@@"&amp;$F1283,"3 Posting Date",Z$9)-NL("Sum","5802 Value Entry","43 Cost Amount (Actual)","41 Source Type",$C$5,"5 Source no.",$C1283,"4 Item Ledger Entry Type",$C$4,"2 Item No.","@@"&amp;$F1283,"3 Posting Date",Z$9)</t>
  </si>
  <si>
    <t>=Z1283-AB1283</t>
  </si>
  <si>
    <t>=IF(Z1283&lt;&gt;0,AC1283/Z1283,"")</t>
  </si>
  <si>
    <t>=C1283</t>
  </si>
  <si>
    <t>=NL("Sum","5802 Value Entry","150 Sales Amount (Expected)","41 Source Type",$C$5,"5 Source No.",$C1284,"4 Item Ledger Entry Type",$C$4,"2 Item No.","@@"&amp;$F1284,"3 Posting Date",J$9)+NL("Sum","5802 Value Entry","17 Sales Amount (Actual)","41 Source Type",$C$5,"5 Source no.",$C1284,"4 Item Ledger Entry Type",$C$4,"2 Item No.","@@"&amp;$F1284,"3 Posting Date",J$9)</t>
  </si>
  <si>
    <t>=-NL("Sum","5802 Value Entry","151 Cost Amount (Expected)","41 Source Type",$C$5,"5 Source No.",$C1284,"4 Item Ledger Entry Type",$C$4,"2 Item No.","@@"&amp;$F1284,"3 Posting Date",J$9)-NL("Sum","5802 Value Entry","43 Cost Amount (Actual)","41 Source Type",$C$5,"5 Source no.",$C1284,"4 Item Ledger Entry Type",$C$4,"2 Item No.","@@"&amp;$F1284,"3 Posting Date",J$9)</t>
  </si>
  <si>
    <t>=J1284-L1284</t>
  </si>
  <si>
    <t>=IF(J1284&lt;&gt;0,M1284/J1284,"")</t>
  </si>
  <si>
    <t>=NL("Sum","5802 Value Entry","150 Sales Amount (Expected)","41 Source Type",$C$5,"5 Source No.",$C1284,"4 Item Ledger Entry Type",$C$4,"2 Item No.","@@"&amp;$F1284,"3 Posting Date",O$9)+NL("Sum","5802 Value Entry","17 Sales Amount (Actual)","41 Source Type",$C$5,"5 Source no.",$C1284,"4 Item Ledger Entry Type",$C$4,"2 Item No.","@@"&amp;$F1284,"3 Posting Date",O$9)</t>
  </si>
  <si>
    <t>=-NL("Sum","5802 Value Entry","151 Cost Amount (Expected)","41 Source Type",$C$5,"5 Source No.",$C1284,"4 Item Ledger Entry Type",$C$4,"2 Item No.","@@"&amp;$F1284,"3 Posting Date",O$9)-NL("Sum","5802 Value Entry","43 Cost Amount (Actual)","41 Source Type",$C$5,"5 Source no.",$C1284,"4 Item Ledger Entry Type",$C$4,"2 Item No.","@@"&amp;$F1284,"3 Posting Date",O$9)</t>
  </si>
  <si>
    <t>=O1284-Q1284</t>
  </si>
  <si>
    <t>=IF(O1284&lt;&gt;0,R1284/O1284,"")</t>
  </si>
  <si>
    <t>=NL("Sum","5802 Value Entry","150 Sales Amount (Expected)","41 Source Type",$C$5,"5 Source No.",$C1284,"4 Item Ledger Entry Type",$C$4,"2 Item No.","@@"&amp;$F1284,"3 Posting Date",U$9)+NL("Sum","5802 Value Entry","17 Sales Amount (Actual)","41 Source Type",$C$5,"5 Source no.",$C1284,"4 Item Ledger Entry Type",$C$4,"2 Item No.","@@"&amp;$F1284,"3 Posting Date",U$9)</t>
  </si>
  <si>
    <t>=-NL("Sum","5802 Value Entry","151 Cost Amount (Expected)","41 Source Type",$C$5,"5 Source No.",$C1284,"4 Item Ledger Entry Type",$C$4,"2 Item No.","@@"&amp;$F1284,"3 Posting Date",U$9)-NL("Sum","5802 Value Entry","43 Cost Amount (Actual)","41 Source Type",$C$5,"5 Source no.",$C1284,"4 Item Ledger Entry Type",$C$4,"2 Item No.","@@"&amp;$F1284,"3 Posting Date",U$9)</t>
  </si>
  <si>
    <t>=U1284-W1284</t>
  </si>
  <si>
    <t>=IF(U1284&lt;&gt;0,X1284/U1284,"")</t>
  </si>
  <si>
    <t>=NL("Sum","5802 Value Entry","150 Sales Amount (Expected)","41 Source Type",$C$5,"5 Source No.",$C1284,"4 Item Ledger Entry Type",$C$4,"2 Item No.","@@"&amp;$F1284,"3 Posting Date",Z$9)+NL("Sum","5802 Value Entry","17 Sales Amount (Actual)","41 Source Type",$C$5,"5 Source no.",$C1284,"4 Item Ledger Entry Type",$C$4,"2 Item No.","@@"&amp;$F1284,"3 Posting Date",Z$9)</t>
  </si>
  <si>
    <t>=-NL("Sum","5802 Value Entry","151 Cost Amount (Expected)","41 Source Type",$C$5,"5 Source No.",$C1284,"4 Item Ledger Entry Type",$C$4,"2 Item No.","@@"&amp;$F1284,"3 Posting Date",Z$9)-NL("Sum","5802 Value Entry","43 Cost Amount (Actual)","41 Source Type",$C$5,"5 Source no.",$C1284,"4 Item Ledger Entry Type",$C$4,"2 Item No.","@@"&amp;$F1284,"3 Posting Date",Z$9)</t>
  </si>
  <si>
    <t>=Z1284-AB1284</t>
  </si>
  <si>
    <t>=IF(Z1284&lt;&gt;0,AC1284/Z1284,"")</t>
  </si>
  <si>
    <t>=C1284</t>
  </si>
  <si>
    <t>=NL("Sum","5802 Value Entry","150 Sales Amount (Expected)","41 Source Type",$C$5,"5 Source No.",$C1285,"4 Item Ledger Entry Type",$C$4,"2 Item No.","@@"&amp;$F1285,"3 Posting Date",J$9)+NL("Sum","5802 Value Entry","17 Sales Amount (Actual)","41 Source Type",$C$5,"5 Source no.",$C1285,"4 Item Ledger Entry Type",$C$4,"2 Item No.","@@"&amp;$F1285,"3 Posting Date",J$9)</t>
  </si>
  <si>
    <t>=-NL("Sum","5802 Value Entry","151 Cost Amount (Expected)","41 Source Type",$C$5,"5 Source No.",$C1285,"4 Item Ledger Entry Type",$C$4,"2 Item No.","@@"&amp;$F1285,"3 Posting Date",J$9)-NL("Sum","5802 Value Entry","43 Cost Amount (Actual)","41 Source Type",$C$5,"5 Source no.",$C1285,"4 Item Ledger Entry Type",$C$4,"2 Item No.","@@"&amp;$F1285,"3 Posting Date",J$9)</t>
  </si>
  <si>
    <t>=J1285-L1285</t>
  </si>
  <si>
    <t>=IF(J1285&lt;&gt;0,M1285/J1285,"")</t>
  </si>
  <si>
    <t>=NL("Sum","5802 Value Entry","150 Sales Amount (Expected)","41 Source Type",$C$5,"5 Source No.",$C1285,"4 Item Ledger Entry Type",$C$4,"2 Item No.","@@"&amp;$F1285,"3 Posting Date",O$9)+NL("Sum","5802 Value Entry","17 Sales Amount (Actual)","41 Source Type",$C$5,"5 Source no.",$C1285,"4 Item Ledger Entry Type",$C$4,"2 Item No.","@@"&amp;$F1285,"3 Posting Date",O$9)</t>
  </si>
  <si>
    <t>=-NL("Sum","5802 Value Entry","151 Cost Amount (Expected)","41 Source Type",$C$5,"5 Source No.",$C1285,"4 Item Ledger Entry Type",$C$4,"2 Item No.","@@"&amp;$F1285,"3 Posting Date",O$9)-NL("Sum","5802 Value Entry","43 Cost Amount (Actual)","41 Source Type",$C$5,"5 Source no.",$C1285,"4 Item Ledger Entry Type",$C$4,"2 Item No.","@@"&amp;$F1285,"3 Posting Date",O$9)</t>
  </si>
  <si>
    <t>=O1285-Q1285</t>
  </si>
  <si>
    <t>=IF(O1285&lt;&gt;0,R1285/O1285,"")</t>
  </si>
  <si>
    <t>=NL("Sum","5802 Value Entry","150 Sales Amount (Expected)","41 Source Type",$C$5,"5 Source No.",$C1285,"4 Item Ledger Entry Type",$C$4,"2 Item No.","@@"&amp;$F1285,"3 Posting Date",U$9)+NL("Sum","5802 Value Entry","17 Sales Amount (Actual)","41 Source Type",$C$5,"5 Source no.",$C1285,"4 Item Ledger Entry Type",$C$4,"2 Item No.","@@"&amp;$F1285,"3 Posting Date",U$9)</t>
  </si>
  <si>
    <t>=-NL("Sum","5802 Value Entry","151 Cost Amount (Expected)","41 Source Type",$C$5,"5 Source No.",$C1285,"4 Item Ledger Entry Type",$C$4,"2 Item No.","@@"&amp;$F1285,"3 Posting Date",U$9)-NL("Sum","5802 Value Entry","43 Cost Amount (Actual)","41 Source Type",$C$5,"5 Source no.",$C1285,"4 Item Ledger Entry Type",$C$4,"2 Item No.","@@"&amp;$F1285,"3 Posting Date",U$9)</t>
  </si>
  <si>
    <t>=U1285-W1285</t>
  </si>
  <si>
    <t>=IF(U1285&lt;&gt;0,X1285/U1285,"")</t>
  </si>
  <si>
    <t>=NL("Sum","5802 Value Entry","150 Sales Amount (Expected)","41 Source Type",$C$5,"5 Source No.",$C1285,"4 Item Ledger Entry Type",$C$4,"2 Item No.","@@"&amp;$F1285,"3 Posting Date",Z$9)+NL("Sum","5802 Value Entry","17 Sales Amount (Actual)","41 Source Type",$C$5,"5 Source no.",$C1285,"4 Item Ledger Entry Type",$C$4,"2 Item No.","@@"&amp;$F1285,"3 Posting Date",Z$9)</t>
  </si>
  <si>
    <t>=-NL("Sum","5802 Value Entry","151 Cost Amount (Expected)","41 Source Type",$C$5,"5 Source No.",$C1285,"4 Item Ledger Entry Type",$C$4,"2 Item No.","@@"&amp;$F1285,"3 Posting Date",Z$9)-NL("Sum","5802 Value Entry","43 Cost Amount (Actual)","41 Source Type",$C$5,"5 Source no.",$C1285,"4 Item Ledger Entry Type",$C$4,"2 Item No.","@@"&amp;$F1285,"3 Posting Date",Z$9)</t>
  </si>
  <si>
    <t>=Z1285-AB1285</t>
  </si>
  <si>
    <t>=IF(Z1285&lt;&gt;0,AC1285/Z1285,"")</t>
  </si>
  <si>
    <t>=C1285</t>
  </si>
  <si>
    <t>=NL("Sum","5802 Value Entry","150 Sales Amount (Expected)","41 Source Type",$C$5,"5 Source No.",$C1286,"4 Item Ledger Entry Type",$C$4,"2 Item No.","@@"&amp;$F1286,"3 Posting Date",J$9)+NL("Sum","5802 Value Entry","17 Sales Amount (Actual)","41 Source Type",$C$5,"5 Source no.",$C1286,"4 Item Ledger Entry Type",$C$4,"2 Item No.","@@"&amp;$F1286,"3 Posting Date",J$9)</t>
  </si>
  <si>
    <t>=-NL("Sum","5802 Value Entry","151 Cost Amount (Expected)","41 Source Type",$C$5,"5 Source No.",$C1286,"4 Item Ledger Entry Type",$C$4,"2 Item No.","@@"&amp;$F1286,"3 Posting Date",J$9)-NL("Sum","5802 Value Entry","43 Cost Amount (Actual)","41 Source Type",$C$5,"5 Source no.",$C1286,"4 Item Ledger Entry Type",$C$4,"2 Item No.","@@"&amp;$F1286,"3 Posting Date",J$9)</t>
  </si>
  <si>
    <t>=J1286-L1286</t>
  </si>
  <si>
    <t>=IF(J1286&lt;&gt;0,M1286/J1286,"")</t>
  </si>
  <si>
    <t>=NL("Sum","5802 Value Entry","150 Sales Amount (Expected)","41 Source Type",$C$5,"5 Source No.",$C1286,"4 Item Ledger Entry Type",$C$4,"2 Item No.","@@"&amp;$F1286,"3 Posting Date",O$9)+NL("Sum","5802 Value Entry","17 Sales Amount (Actual)","41 Source Type",$C$5,"5 Source no.",$C1286,"4 Item Ledger Entry Type",$C$4,"2 Item No.","@@"&amp;$F1286,"3 Posting Date",O$9)</t>
  </si>
  <si>
    <t>=-NL("Sum","5802 Value Entry","151 Cost Amount (Expected)","41 Source Type",$C$5,"5 Source No.",$C1286,"4 Item Ledger Entry Type",$C$4,"2 Item No.","@@"&amp;$F1286,"3 Posting Date",O$9)-NL("Sum","5802 Value Entry","43 Cost Amount (Actual)","41 Source Type",$C$5,"5 Source no.",$C1286,"4 Item Ledger Entry Type",$C$4,"2 Item No.","@@"&amp;$F1286,"3 Posting Date",O$9)</t>
  </si>
  <si>
    <t>=O1286-Q1286</t>
  </si>
  <si>
    <t>=IF(O1286&lt;&gt;0,R1286/O1286,"")</t>
  </si>
  <si>
    <t>=NL("Sum","5802 Value Entry","150 Sales Amount (Expected)","41 Source Type",$C$5,"5 Source No.",$C1286,"4 Item Ledger Entry Type",$C$4,"2 Item No.","@@"&amp;$F1286,"3 Posting Date",U$9)+NL("Sum","5802 Value Entry","17 Sales Amount (Actual)","41 Source Type",$C$5,"5 Source no.",$C1286,"4 Item Ledger Entry Type",$C$4,"2 Item No.","@@"&amp;$F1286,"3 Posting Date",U$9)</t>
  </si>
  <si>
    <t>=-NL("Sum","5802 Value Entry","151 Cost Amount (Expected)","41 Source Type",$C$5,"5 Source No.",$C1286,"4 Item Ledger Entry Type",$C$4,"2 Item No.","@@"&amp;$F1286,"3 Posting Date",U$9)-NL("Sum","5802 Value Entry","43 Cost Amount (Actual)","41 Source Type",$C$5,"5 Source no.",$C1286,"4 Item Ledger Entry Type",$C$4,"2 Item No.","@@"&amp;$F1286,"3 Posting Date",U$9)</t>
  </si>
  <si>
    <t>=U1286-W1286</t>
  </si>
  <si>
    <t>=IF(U1286&lt;&gt;0,X1286/U1286,"")</t>
  </si>
  <si>
    <t>=NL("Sum","5802 Value Entry","150 Sales Amount (Expected)","41 Source Type",$C$5,"5 Source No.",$C1286,"4 Item Ledger Entry Type",$C$4,"2 Item No.","@@"&amp;$F1286,"3 Posting Date",Z$9)+NL("Sum","5802 Value Entry","17 Sales Amount (Actual)","41 Source Type",$C$5,"5 Source no.",$C1286,"4 Item Ledger Entry Type",$C$4,"2 Item No.","@@"&amp;$F1286,"3 Posting Date",Z$9)</t>
  </si>
  <si>
    <t>=-NL("Sum","5802 Value Entry","151 Cost Amount (Expected)","41 Source Type",$C$5,"5 Source No.",$C1286,"4 Item Ledger Entry Type",$C$4,"2 Item No.","@@"&amp;$F1286,"3 Posting Date",Z$9)-NL("Sum","5802 Value Entry","43 Cost Amount (Actual)","41 Source Type",$C$5,"5 Source no.",$C1286,"4 Item Ledger Entry Type",$C$4,"2 Item No.","@@"&amp;$F1286,"3 Posting Date",Z$9)</t>
  </si>
  <si>
    <t>=Z1286-AB1286</t>
  </si>
  <si>
    <t>=IF(Z1286&lt;&gt;0,AC1286/Z1286,"")</t>
  </si>
  <si>
    <t>=C1286</t>
  </si>
  <si>
    <t>=NL("Sum","5802 Value Entry","150 Sales Amount (Expected)","41 Source Type",$C$5,"5 Source No.",$C1287,"4 Item Ledger Entry Type",$C$4,"2 Item No.","@@"&amp;$F1287,"3 Posting Date",J$9)+NL("Sum","5802 Value Entry","17 Sales Amount (Actual)","41 Source Type",$C$5,"5 Source no.",$C1287,"4 Item Ledger Entry Type",$C$4,"2 Item No.","@@"&amp;$F1287,"3 Posting Date",J$9)</t>
  </si>
  <si>
    <t>=-NL("Sum","5802 Value Entry","151 Cost Amount (Expected)","41 Source Type",$C$5,"5 Source No.",$C1287,"4 Item Ledger Entry Type",$C$4,"2 Item No.","@@"&amp;$F1287,"3 Posting Date",J$9)-NL("Sum","5802 Value Entry","43 Cost Amount (Actual)","41 Source Type",$C$5,"5 Source no.",$C1287,"4 Item Ledger Entry Type",$C$4,"2 Item No.","@@"&amp;$F1287,"3 Posting Date",J$9)</t>
  </si>
  <si>
    <t>=J1287-L1287</t>
  </si>
  <si>
    <t>=IF(J1287&lt;&gt;0,M1287/J1287,"")</t>
  </si>
  <si>
    <t>=NL("Sum","5802 Value Entry","150 Sales Amount (Expected)","41 Source Type",$C$5,"5 Source No.",$C1287,"4 Item Ledger Entry Type",$C$4,"2 Item No.","@@"&amp;$F1287,"3 Posting Date",O$9)+NL("Sum","5802 Value Entry","17 Sales Amount (Actual)","41 Source Type",$C$5,"5 Source no.",$C1287,"4 Item Ledger Entry Type",$C$4,"2 Item No.","@@"&amp;$F1287,"3 Posting Date",O$9)</t>
  </si>
  <si>
    <t>=-NL("Sum","5802 Value Entry","151 Cost Amount (Expected)","41 Source Type",$C$5,"5 Source No.",$C1287,"4 Item Ledger Entry Type",$C$4,"2 Item No.","@@"&amp;$F1287,"3 Posting Date",O$9)-NL("Sum","5802 Value Entry","43 Cost Amount (Actual)","41 Source Type",$C$5,"5 Source no.",$C1287,"4 Item Ledger Entry Type",$C$4,"2 Item No.","@@"&amp;$F1287,"3 Posting Date",O$9)</t>
  </si>
  <si>
    <t>=O1287-Q1287</t>
  </si>
  <si>
    <t>=IF(O1287&lt;&gt;0,R1287/O1287,"")</t>
  </si>
  <si>
    <t>=NL("Sum","5802 Value Entry","150 Sales Amount (Expected)","41 Source Type",$C$5,"5 Source No.",$C1287,"4 Item Ledger Entry Type",$C$4,"2 Item No.","@@"&amp;$F1287,"3 Posting Date",U$9)+NL("Sum","5802 Value Entry","17 Sales Amount (Actual)","41 Source Type",$C$5,"5 Source no.",$C1287,"4 Item Ledger Entry Type",$C$4,"2 Item No.","@@"&amp;$F1287,"3 Posting Date",U$9)</t>
  </si>
  <si>
    <t>=-NL("Sum","5802 Value Entry","151 Cost Amount (Expected)","41 Source Type",$C$5,"5 Source No.",$C1287,"4 Item Ledger Entry Type",$C$4,"2 Item No.","@@"&amp;$F1287,"3 Posting Date",U$9)-NL("Sum","5802 Value Entry","43 Cost Amount (Actual)","41 Source Type",$C$5,"5 Source no.",$C1287,"4 Item Ledger Entry Type",$C$4,"2 Item No.","@@"&amp;$F1287,"3 Posting Date",U$9)</t>
  </si>
  <si>
    <t>=U1287-W1287</t>
  </si>
  <si>
    <t>=IF(U1287&lt;&gt;0,X1287/U1287,"")</t>
  </si>
  <si>
    <t>=NL("Sum","5802 Value Entry","150 Sales Amount (Expected)","41 Source Type",$C$5,"5 Source No.",$C1287,"4 Item Ledger Entry Type",$C$4,"2 Item No.","@@"&amp;$F1287,"3 Posting Date",Z$9)+NL("Sum","5802 Value Entry","17 Sales Amount (Actual)","41 Source Type",$C$5,"5 Source no.",$C1287,"4 Item Ledger Entry Type",$C$4,"2 Item No.","@@"&amp;$F1287,"3 Posting Date",Z$9)</t>
  </si>
  <si>
    <t>=-NL("Sum","5802 Value Entry","151 Cost Amount (Expected)","41 Source Type",$C$5,"5 Source No.",$C1287,"4 Item Ledger Entry Type",$C$4,"2 Item No.","@@"&amp;$F1287,"3 Posting Date",Z$9)-NL("Sum","5802 Value Entry","43 Cost Amount (Actual)","41 Source Type",$C$5,"5 Source no.",$C1287,"4 Item Ledger Entry Type",$C$4,"2 Item No.","@@"&amp;$F1287,"3 Posting Date",Z$9)</t>
  </si>
  <si>
    <t>=Z1287-AB1287</t>
  </si>
  <si>
    <t>=IF(Z1287&lt;&gt;0,AC1287/Z1287,"")</t>
  </si>
  <si>
    <t>=C1287</t>
  </si>
  <si>
    <t>=NL("Sum","5802 Value Entry","150 Sales Amount (Expected)","41 Source Type",$C$5,"5 Source No.",$C1288,"4 Item Ledger Entry Type",$C$4,"2 Item No.","@@"&amp;$F1288,"3 Posting Date",J$9)+NL("Sum","5802 Value Entry","17 Sales Amount (Actual)","41 Source Type",$C$5,"5 Source no.",$C1288,"4 Item Ledger Entry Type",$C$4,"2 Item No.","@@"&amp;$F1288,"3 Posting Date",J$9)</t>
  </si>
  <si>
    <t>=-NL("Sum","5802 Value Entry","151 Cost Amount (Expected)","41 Source Type",$C$5,"5 Source No.",$C1288,"4 Item Ledger Entry Type",$C$4,"2 Item No.","@@"&amp;$F1288,"3 Posting Date",J$9)-NL("Sum","5802 Value Entry","43 Cost Amount (Actual)","41 Source Type",$C$5,"5 Source no.",$C1288,"4 Item Ledger Entry Type",$C$4,"2 Item No.","@@"&amp;$F1288,"3 Posting Date",J$9)</t>
  </si>
  <si>
    <t>=J1288-L1288</t>
  </si>
  <si>
    <t>=IF(J1288&lt;&gt;0,M1288/J1288,"")</t>
  </si>
  <si>
    <t>=NL("Sum","5802 Value Entry","150 Sales Amount (Expected)","41 Source Type",$C$5,"5 Source No.",$C1288,"4 Item Ledger Entry Type",$C$4,"2 Item No.","@@"&amp;$F1288,"3 Posting Date",O$9)+NL("Sum","5802 Value Entry","17 Sales Amount (Actual)","41 Source Type",$C$5,"5 Source no.",$C1288,"4 Item Ledger Entry Type",$C$4,"2 Item No.","@@"&amp;$F1288,"3 Posting Date",O$9)</t>
  </si>
  <si>
    <t>=-NL("Sum","5802 Value Entry","151 Cost Amount (Expected)","41 Source Type",$C$5,"5 Source No.",$C1288,"4 Item Ledger Entry Type",$C$4,"2 Item No.","@@"&amp;$F1288,"3 Posting Date",O$9)-NL("Sum","5802 Value Entry","43 Cost Amount (Actual)","41 Source Type",$C$5,"5 Source no.",$C1288,"4 Item Ledger Entry Type",$C$4,"2 Item No.","@@"&amp;$F1288,"3 Posting Date",O$9)</t>
  </si>
  <si>
    <t>=O1288-Q1288</t>
  </si>
  <si>
    <t>=IF(O1288&lt;&gt;0,R1288/O1288,"")</t>
  </si>
  <si>
    <t>=NL("Sum","5802 Value Entry","150 Sales Amount (Expected)","41 Source Type",$C$5,"5 Source No.",$C1288,"4 Item Ledger Entry Type",$C$4,"2 Item No.","@@"&amp;$F1288,"3 Posting Date",U$9)+NL("Sum","5802 Value Entry","17 Sales Amount (Actual)","41 Source Type",$C$5,"5 Source no.",$C1288,"4 Item Ledger Entry Type",$C$4,"2 Item No.","@@"&amp;$F1288,"3 Posting Date",U$9)</t>
  </si>
  <si>
    <t>=-NL("Sum","5802 Value Entry","151 Cost Amount (Expected)","41 Source Type",$C$5,"5 Source No.",$C1288,"4 Item Ledger Entry Type",$C$4,"2 Item No.","@@"&amp;$F1288,"3 Posting Date",U$9)-NL("Sum","5802 Value Entry","43 Cost Amount (Actual)","41 Source Type",$C$5,"5 Source no.",$C1288,"4 Item Ledger Entry Type",$C$4,"2 Item No.","@@"&amp;$F1288,"3 Posting Date",U$9)</t>
  </si>
  <si>
    <t>=U1288-W1288</t>
  </si>
  <si>
    <t>=IF(U1288&lt;&gt;0,X1288/U1288,"")</t>
  </si>
  <si>
    <t>=NL("Sum","5802 Value Entry","150 Sales Amount (Expected)","41 Source Type",$C$5,"5 Source No.",$C1288,"4 Item Ledger Entry Type",$C$4,"2 Item No.","@@"&amp;$F1288,"3 Posting Date",Z$9)+NL("Sum","5802 Value Entry","17 Sales Amount (Actual)","41 Source Type",$C$5,"5 Source no.",$C1288,"4 Item Ledger Entry Type",$C$4,"2 Item No.","@@"&amp;$F1288,"3 Posting Date",Z$9)</t>
  </si>
  <si>
    <t>=-NL("Sum","5802 Value Entry","151 Cost Amount (Expected)","41 Source Type",$C$5,"5 Source No.",$C1288,"4 Item Ledger Entry Type",$C$4,"2 Item No.","@@"&amp;$F1288,"3 Posting Date",Z$9)-NL("Sum","5802 Value Entry","43 Cost Amount (Actual)","41 Source Type",$C$5,"5 Source no.",$C1288,"4 Item Ledger Entry Type",$C$4,"2 Item No.","@@"&amp;$F1288,"3 Posting Date",Z$9)</t>
  </si>
  <si>
    <t>=Z1288-AB1288</t>
  </si>
  <si>
    <t>=IF(Z1288&lt;&gt;0,AC1288/Z1288,"")</t>
  </si>
  <si>
    <t>=C1288</t>
  </si>
  <si>
    <t>=NL("Sum","5802 Value Entry","150 Sales Amount (Expected)","41 Source Type",$C$5,"5 Source No.",$C1289,"4 Item Ledger Entry Type",$C$4,"2 Item No.","@@"&amp;$F1289,"3 Posting Date",J$9)+NL("Sum","5802 Value Entry","17 Sales Amount (Actual)","41 Source Type",$C$5,"5 Source no.",$C1289,"4 Item Ledger Entry Type",$C$4,"2 Item No.","@@"&amp;$F1289,"3 Posting Date",J$9)</t>
  </si>
  <si>
    <t>=-NL("Sum","5802 Value Entry","151 Cost Amount (Expected)","41 Source Type",$C$5,"5 Source No.",$C1289,"4 Item Ledger Entry Type",$C$4,"2 Item No.","@@"&amp;$F1289,"3 Posting Date",J$9)-NL("Sum","5802 Value Entry","43 Cost Amount (Actual)","41 Source Type",$C$5,"5 Source no.",$C1289,"4 Item Ledger Entry Type",$C$4,"2 Item No.","@@"&amp;$F1289,"3 Posting Date",J$9)</t>
  </si>
  <si>
    <t>=J1289-L1289</t>
  </si>
  <si>
    <t>=IF(J1289&lt;&gt;0,M1289/J1289,"")</t>
  </si>
  <si>
    <t>=NL("Sum","5802 Value Entry","150 Sales Amount (Expected)","41 Source Type",$C$5,"5 Source No.",$C1289,"4 Item Ledger Entry Type",$C$4,"2 Item No.","@@"&amp;$F1289,"3 Posting Date",O$9)+NL("Sum","5802 Value Entry","17 Sales Amount (Actual)","41 Source Type",$C$5,"5 Source no.",$C1289,"4 Item Ledger Entry Type",$C$4,"2 Item No.","@@"&amp;$F1289,"3 Posting Date",O$9)</t>
  </si>
  <si>
    <t>=-NL("Sum","5802 Value Entry","151 Cost Amount (Expected)","41 Source Type",$C$5,"5 Source No.",$C1289,"4 Item Ledger Entry Type",$C$4,"2 Item No.","@@"&amp;$F1289,"3 Posting Date",O$9)-NL("Sum","5802 Value Entry","43 Cost Amount (Actual)","41 Source Type",$C$5,"5 Source no.",$C1289,"4 Item Ledger Entry Type",$C$4,"2 Item No.","@@"&amp;$F1289,"3 Posting Date",O$9)</t>
  </si>
  <si>
    <t>=O1289-Q1289</t>
  </si>
  <si>
    <t>=IF(O1289&lt;&gt;0,R1289/O1289,"")</t>
  </si>
  <si>
    <t>=NL("Sum","5802 Value Entry","150 Sales Amount (Expected)","41 Source Type",$C$5,"5 Source No.",$C1289,"4 Item Ledger Entry Type",$C$4,"2 Item No.","@@"&amp;$F1289,"3 Posting Date",U$9)+NL("Sum","5802 Value Entry","17 Sales Amount (Actual)","41 Source Type",$C$5,"5 Source no.",$C1289,"4 Item Ledger Entry Type",$C$4,"2 Item No.","@@"&amp;$F1289,"3 Posting Date",U$9)</t>
  </si>
  <si>
    <t>=-NL("Sum","5802 Value Entry","151 Cost Amount (Expected)","41 Source Type",$C$5,"5 Source No.",$C1289,"4 Item Ledger Entry Type",$C$4,"2 Item No.","@@"&amp;$F1289,"3 Posting Date",U$9)-NL("Sum","5802 Value Entry","43 Cost Amount (Actual)","41 Source Type",$C$5,"5 Source no.",$C1289,"4 Item Ledger Entry Type",$C$4,"2 Item No.","@@"&amp;$F1289,"3 Posting Date",U$9)</t>
  </si>
  <si>
    <t>=U1289-W1289</t>
  </si>
  <si>
    <t>=IF(U1289&lt;&gt;0,X1289/U1289,"")</t>
  </si>
  <si>
    <t>=NL("Sum","5802 Value Entry","150 Sales Amount (Expected)","41 Source Type",$C$5,"5 Source No.",$C1289,"4 Item Ledger Entry Type",$C$4,"2 Item No.","@@"&amp;$F1289,"3 Posting Date",Z$9)+NL("Sum","5802 Value Entry","17 Sales Amount (Actual)","41 Source Type",$C$5,"5 Source no.",$C1289,"4 Item Ledger Entry Type",$C$4,"2 Item No.","@@"&amp;$F1289,"3 Posting Date",Z$9)</t>
  </si>
  <si>
    <t>=-NL("Sum","5802 Value Entry","151 Cost Amount (Expected)","41 Source Type",$C$5,"5 Source No.",$C1289,"4 Item Ledger Entry Type",$C$4,"2 Item No.","@@"&amp;$F1289,"3 Posting Date",Z$9)-NL("Sum","5802 Value Entry","43 Cost Amount (Actual)","41 Source Type",$C$5,"5 Source no.",$C1289,"4 Item Ledger Entry Type",$C$4,"2 Item No.","@@"&amp;$F1289,"3 Posting Date",Z$9)</t>
  </si>
  <si>
    <t>=Z1289-AB1289</t>
  </si>
  <si>
    <t>=IF(Z1289&lt;&gt;0,AC1289/Z1289,"")</t>
  </si>
  <si>
    <t>=C1289</t>
  </si>
  <si>
    <t>=NL("Sum","5802 Value Entry","150 Sales Amount (Expected)","41 Source Type",$C$5,"5 Source No.",$C1290,"4 Item Ledger Entry Type",$C$4,"2 Item No.","@@"&amp;$F1290,"3 Posting Date",J$9)+NL("Sum","5802 Value Entry","17 Sales Amount (Actual)","41 Source Type",$C$5,"5 Source no.",$C1290,"4 Item Ledger Entry Type",$C$4,"2 Item No.","@@"&amp;$F1290,"3 Posting Date",J$9)</t>
  </si>
  <si>
    <t>=-NL("Sum","5802 Value Entry","151 Cost Amount (Expected)","41 Source Type",$C$5,"5 Source No.",$C1290,"4 Item Ledger Entry Type",$C$4,"2 Item No.","@@"&amp;$F1290,"3 Posting Date",J$9)-NL("Sum","5802 Value Entry","43 Cost Amount (Actual)","41 Source Type",$C$5,"5 Source no.",$C1290,"4 Item Ledger Entry Type",$C$4,"2 Item No.","@@"&amp;$F1290,"3 Posting Date",J$9)</t>
  </si>
  <si>
    <t>=J1290-L1290</t>
  </si>
  <si>
    <t>=IF(J1290&lt;&gt;0,M1290/J1290,"")</t>
  </si>
  <si>
    <t>=NL("Sum","5802 Value Entry","150 Sales Amount (Expected)","41 Source Type",$C$5,"5 Source No.",$C1290,"4 Item Ledger Entry Type",$C$4,"2 Item No.","@@"&amp;$F1290,"3 Posting Date",O$9)+NL("Sum","5802 Value Entry","17 Sales Amount (Actual)","41 Source Type",$C$5,"5 Source no.",$C1290,"4 Item Ledger Entry Type",$C$4,"2 Item No.","@@"&amp;$F1290,"3 Posting Date",O$9)</t>
  </si>
  <si>
    <t>=-NL("Sum","5802 Value Entry","151 Cost Amount (Expected)","41 Source Type",$C$5,"5 Source No.",$C1290,"4 Item Ledger Entry Type",$C$4,"2 Item No.","@@"&amp;$F1290,"3 Posting Date",O$9)-NL("Sum","5802 Value Entry","43 Cost Amount (Actual)","41 Source Type",$C$5,"5 Source no.",$C1290,"4 Item Ledger Entry Type",$C$4,"2 Item No.","@@"&amp;$F1290,"3 Posting Date",O$9)</t>
  </si>
  <si>
    <t>=O1290-Q1290</t>
  </si>
  <si>
    <t>=IF(O1290&lt;&gt;0,R1290/O1290,"")</t>
  </si>
  <si>
    <t>=NL("Sum","5802 Value Entry","150 Sales Amount (Expected)","41 Source Type",$C$5,"5 Source No.",$C1290,"4 Item Ledger Entry Type",$C$4,"2 Item No.","@@"&amp;$F1290,"3 Posting Date",U$9)+NL("Sum","5802 Value Entry","17 Sales Amount (Actual)","41 Source Type",$C$5,"5 Source no.",$C1290,"4 Item Ledger Entry Type",$C$4,"2 Item No.","@@"&amp;$F1290,"3 Posting Date",U$9)</t>
  </si>
  <si>
    <t>=-NL("Sum","5802 Value Entry","151 Cost Amount (Expected)","41 Source Type",$C$5,"5 Source No.",$C1290,"4 Item Ledger Entry Type",$C$4,"2 Item No.","@@"&amp;$F1290,"3 Posting Date",U$9)-NL("Sum","5802 Value Entry","43 Cost Amount (Actual)","41 Source Type",$C$5,"5 Source no.",$C1290,"4 Item Ledger Entry Type",$C$4,"2 Item No.","@@"&amp;$F1290,"3 Posting Date",U$9)</t>
  </si>
  <si>
    <t>=U1290-W1290</t>
  </si>
  <si>
    <t>=IF(U1290&lt;&gt;0,X1290/U1290,"")</t>
  </si>
  <si>
    <t>=NL("Sum","5802 Value Entry","150 Sales Amount (Expected)","41 Source Type",$C$5,"5 Source No.",$C1290,"4 Item Ledger Entry Type",$C$4,"2 Item No.","@@"&amp;$F1290,"3 Posting Date",Z$9)+NL("Sum","5802 Value Entry","17 Sales Amount (Actual)","41 Source Type",$C$5,"5 Source no.",$C1290,"4 Item Ledger Entry Type",$C$4,"2 Item No.","@@"&amp;$F1290,"3 Posting Date",Z$9)</t>
  </si>
  <si>
    <t>=-NL("Sum","5802 Value Entry","151 Cost Amount (Expected)","41 Source Type",$C$5,"5 Source No.",$C1290,"4 Item Ledger Entry Type",$C$4,"2 Item No.","@@"&amp;$F1290,"3 Posting Date",Z$9)-NL("Sum","5802 Value Entry","43 Cost Amount (Actual)","41 Source Type",$C$5,"5 Source no.",$C1290,"4 Item Ledger Entry Type",$C$4,"2 Item No.","@@"&amp;$F1290,"3 Posting Date",Z$9)</t>
  </si>
  <si>
    <t>=Z1290-AB1290</t>
  </si>
  <si>
    <t>=IF(Z1290&lt;&gt;0,AC1290/Z1290,"")</t>
  </si>
  <si>
    <t>=C1290</t>
  </si>
  <si>
    <t>=NL("Sum","5802 Value Entry","150 Sales Amount (Expected)","41 Source Type",$C$5,"5 Source No.",$C1291,"4 Item Ledger Entry Type",$C$4,"2 Item No.","@@"&amp;$F1291,"3 Posting Date",J$9)+NL("Sum","5802 Value Entry","17 Sales Amount (Actual)","41 Source Type",$C$5,"5 Source no.",$C1291,"4 Item Ledger Entry Type",$C$4,"2 Item No.","@@"&amp;$F1291,"3 Posting Date",J$9)</t>
  </si>
  <si>
    <t>=-NL("Sum","5802 Value Entry","151 Cost Amount (Expected)","41 Source Type",$C$5,"5 Source No.",$C1291,"4 Item Ledger Entry Type",$C$4,"2 Item No.","@@"&amp;$F1291,"3 Posting Date",J$9)-NL("Sum","5802 Value Entry","43 Cost Amount (Actual)","41 Source Type",$C$5,"5 Source no.",$C1291,"4 Item Ledger Entry Type",$C$4,"2 Item No.","@@"&amp;$F1291,"3 Posting Date",J$9)</t>
  </si>
  <si>
    <t>=J1291-L1291</t>
  </si>
  <si>
    <t>=IF(J1291&lt;&gt;0,M1291/J1291,"")</t>
  </si>
  <si>
    <t>=NL("Sum","5802 Value Entry","150 Sales Amount (Expected)","41 Source Type",$C$5,"5 Source No.",$C1291,"4 Item Ledger Entry Type",$C$4,"2 Item No.","@@"&amp;$F1291,"3 Posting Date",O$9)+NL("Sum","5802 Value Entry","17 Sales Amount (Actual)","41 Source Type",$C$5,"5 Source no.",$C1291,"4 Item Ledger Entry Type",$C$4,"2 Item No.","@@"&amp;$F1291,"3 Posting Date",O$9)</t>
  </si>
  <si>
    <t>=-NL("Sum","5802 Value Entry","151 Cost Amount (Expected)","41 Source Type",$C$5,"5 Source No.",$C1291,"4 Item Ledger Entry Type",$C$4,"2 Item No.","@@"&amp;$F1291,"3 Posting Date",O$9)-NL("Sum","5802 Value Entry","43 Cost Amount (Actual)","41 Source Type",$C$5,"5 Source no.",$C1291,"4 Item Ledger Entry Type",$C$4,"2 Item No.","@@"&amp;$F1291,"3 Posting Date",O$9)</t>
  </si>
  <si>
    <t>=O1291-Q1291</t>
  </si>
  <si>
    <t>=IF(O1291&lt;&gt;0,R1291/O1291,"")</t>
  </si>
  <si>
    <t>=NL("Sum","5802 Value Entry","150 Sales Amount (Expected)","41 Source Type",$C$5,"5 Source No.",$C1291,"4 Item Ledger Entry Type",$C$4,"2 Item No.","@@"&amp;$F1291,"3 Posting Date",U$9)+NL("Sum","5802 Value Entry","17 Sales Amount (Actual)","41 Source Type",$C$5,"5 Source no.",$C1291,"4 Item Ledger Entry Type",$C$4,"2 Item No.","@@"&amp;$F1291,"3 Posting Date",U$9)</t>
  </si>
  <si>
    <t>=-NL("Sum","5802 Value Entry","151 Cost Amount (Expected)","41 Source Type",$C$5,"5 Source No.",$C1291,"4 Item Ledger Entry Type",$C$4,"2 Item No.","@@"&amp;$F1291,"3 Posting Date",U$9)-NL("Sum","5802 Value Entry","43 Cost Amount (Actual)","41 Source Type",$C$5,"5 Source no.",$C1291,"4 Item Ledger Entry Type",$C$4,"2 Item No.","@@"&amp;$F1291,"3 Posting Date",U$9)</t>
  </si>
  <si>
    <t>=U1291-W1291</t>
  </si>
  <si>
    <t>=IF(U1291&lt;&gt;0,X1291/U1291,"")</t>
  </si>
  <si>
    <t>=NL("Sum","5802 Value Entry","150 Sales Amount (Expected)","41 Source Type",$C$5,"5 Source No.",$C1291,"4 Item Ledger Entry Type",$C$4,"2 Item No.","@@"&amp;$F1291,"3 Posting Date",Z$9)+NL("Sum","5802 Value Entry","17 Sales Amount (Actual)","41 Source Type",$C$5,"5 Source no.",$C1291,"4 Item Ledger Entry Type",$C$4,"2 Item No.","@@"&amp;$F1291,"3 Posting Date",Z$9)</t>
  </si>
  <si>
    <t>=-NL("Sum","5802 Value Entry","151 Cost Amount (Expected)","41 Source Type",$C$5,"5 Source No.",$C1291,"4 Item Ledger Entry Type",$C$4,"2 Item No.","@@"&amp;$F1291,"3 Posting Date",Z$9)-NL("Sum","5802 Value Entry","43 Cost Amount (Actual)","41 Source Type",$C$5,"5 Source no.",$C1291,"4 Item Ledger Entry Type",$C$4,"2 Item No.","@@"&amp;$F1291,"3 Posting Date",Z$9)</t>
  </si>
  <si>
    <t>=Z1291-AB1291</t>
  </si>
  <si>
    <t>=IF(Z1291&lt;&gt;0,AC1291/Z1291,"")</t>
  </si>
  <si>
    <t>=C1291</t>
  </si>
  <si>
    <t>=NL("Sum","5802 Value Entry","150 Sales Amount (Expected)","41 Source Type",$C$5,"5 Source No.",$C1292,"4 Item Ledger Entry Type",$C$4,"2 Item No.","@@"&amp;$F1292,"3 Posting Date",J$9)+NL("Sum","5802 Value Entry","17 Sales Amount (Actual)","41 Source Type",$C$5,"5 Source no.",$C1292,"4 Item Ledger Entry Type",$C$4,"2 Item No.","@@"&amp;$F1292,"3 Posting Date",J$9)</t>
  </si>
  <si>
    <t>=-NL("Sum","5802 Value Entry","151 Cost Amount (Expected)","41 Source Type",$C$5,"5 Source No.",$C1292,"4 Item Ledger Entry Type",$C$4,"2 Item No.","@@"&amp;$F1292,"3 Posting Date",J$9)-NL("Sum","5802 Value Entry","43 Cost Amount (Actual)","41 Source Type",$C$5,"5 Source no.",$C1292,"4 Item Ledger Entry Type",$C$4,"2 Item No.","@@"&amp;$F1292,"3 Posting Date",J$9)</t>
  </si>
  <si>
    <t>=J1292-L1292</t>
  </si>
  <si>
    <t>=IF(J1292&lt;&gt;0,M1292/J1292,"")</t>
  </si>
  <si>
    <t>=NL("Sum","5802 Value Entry","150 Sales Amount (Expected)","41 Source Type",$C$5,"5 Source No.",$C1292,"4 Item Ledger Entry Type",$C$4,"2 Item No.","@@"&amp;$F1292,"3 Posting Date",O$9)+NL("Sum","5802 Value Entry","17 Sales Amount (Actual)","41 Source Type",$C$5,"5 Source no.",$C1292,"4 Item Ledger Entry Type",$C$4,"2 Item No.","@@"&amp;$F1292,"3 Posting Date",O$9)</t>
  </si>
  <si>
    <t>=-NL("Sum","5802 Value Entry","151 Cost Amount (Expected)","41 Source Type",$C$5,"5 Source No.",$C1292,"4 Item Ledger Entry Type",$C$4,"2 Item No.","@@"&amp;$F1292,"3 Posting Date",O$9)-NL("Sum","5802 Value Entry","43 Cost Amount (Actual)","41 Source Type",$C$5,"5 Source no.",$C1292,"4 Item Ledger Entry Type",$C$4,"2 Item No.","@@"&amp;$F1292,"3 Posting Date",O$9)</t>
  </si>
  <si>
    <t>=O1292-Q1292</t>
  </si>
  <si>
    <t>=IF(O1292&lt;&gt;0,R1292/O1292,"")</t>
  </si>
  <si>
    <t>=NL("Sum","5802 Value Entry","150 Sales Amount (Expected)","41 Source Type",$C$5,"5 Source No.",$C1292,"4 Item Ledger Entry Type",$C$4,"2 Item No.","@@"&amp;$F1292,"3 Posting Date",U$9)+NL("Sum","5802 Value Entry","17 Sales Amount (Actual)","41 Source Type",$C$5,"5 Source no.",$C1292,"4 Item Ledger Entry Type",$C$4,"2 Item No.","@@"&amp;$F1292,"3 Posting Date",U$9)</t>
  </si>
  <si>
    <t>=-NL("Sum","5802 Value Entry","151 Cost Amount (Expected)","41 Source Type",$C$5,"5 Source No.",$C1292,"4 Item Ledger Entry Type",$C$4,"2 Item No.","@@"&amp;$F1292,"3 Posting Date",U$9)-NL("Sum","5802 Value Entry","43 Cost Amount (Actual)","41 Source Type",$C$5,"5 Source no.",$C1292,"4 Item Ledger Entry Type",$C$4,"2 Item No.","@@"&amp;$F1292,"3 Posting Date",U$9)</t>
  </si>
  <si>
    <t>=U1292-W1292</t>
  </si>
  <si>
    <t>=IF(U1292&lt;&gt;0,X1292/U1292,"")</t>
  </si>
  <si>
    <t>=NL("Sum","5802 Value Entry","150 Sales Amount (Expected)","41 Source Type",$C$5,"5 Source No.",$C1292,"4 Item Ledger Entry Type",$C$4,"2 Item No.","@@"&amp;$F1292,"3 Posting Date",Z$9)+NL("Sum","5802 Value Entry","17 Sales Amount (Actual)","41 Source Type",$C$5,"5 Source no.",$C1292,"4 Item Ledger Entry Type",$C$4,"2 Item No.","@@"&amp;$F1292,"3 Posting Date",Z$9)</t>
  </si>
  <si>
    <t>=-NL("Sum","5802 Value Entry","151 Cost Amount (Expected)","41 Source Type",$C$5,"5 Source No.",$C1292,"4 Item Ledger Entry Type",$C$4,"2 Item No.","@@"&amp;$F1292,"3 Posting Date",Z$9)-NL("Sum","5802 Value Entry","43 Cost Amount (Actual)","41 Source Type",$C$5,"5 Source no.",$C1292,"4 Item Ledger Entry Type",$C$4,"2 Item No.","@@"&amp;$F1292,"3 Posting Date",Z$9)</t>
  </si>
  <si>
    <t>=Z1292-AB1292</t>
  </si>
  <si>
    <t>=IF(Z1292&lt;&gt;0,AC1292/Z1292,"")</t>
  </si>
  <si>
    <t>=C1292</t>
  </si>
  <si>
    <t>=NL("Sum","5802 Value Entry","150 Sales Amount (Expected)","41 Source Type",$C$5,"5 Source No.",$C1293,"4 Item Ledger Entry Type",$C$4,"2 Item No.","@@"&amp;$F1293,"3 Posting Date",J$9)+NL("Sum","5802 Value Entry","17 Sales Amount (Actual)","41 Source Type",$C$5,"5 Source no.",$C1293,"4 Item Ledger Entry Type",$C$4,"2 Item No.","@@"&amp;$F1293,"3 Posting Date",J$9)</t>
  </si>
  <si>
    <t>=-NL("Sum","5802 Value Entry","151 Cost Amount (Expected)","41 Source Type",$C$5,"5 Source No.",$C1293,"4 Item Ledger Entry Type",$C$4,"2 Item No.","@@"&amp;$F1293,"3 Posting Date",J$9)-NL("Sum","5802 Value Entry","43 Cost Amount (Actual)","41 Source Type",$C$5,"5 Source no.",$C1293,"4 Item Ledger Entry Type",$C$4,"2 Item No.","@@"&amp;$F1293,"3 Posting Date",J$9)</t>
  </si>
  <si>
    <t>=J1293-L1293</t>
  </si>
  <si>
    <t>=IF(J1293&lt;&gt;0,M1293/J1293,"")</t>
  </si>
  <si>
    <t>=NL("Sum","5802 Value Entry","150 Sales Amount (Expected)","41 Source Type",$C$5,"5 Source No.",$C1293,"4 Item Ledger Entry Type",$C$4,"2 Item No.","@@"&amp;$F1293,"3 Posting Date",O$9)+NL("Sum","5802 Value Entry","17 Sales Amount (Actual)","41 Source Type",$C$5,"5 Source no.",$C1293,"4 Item Ledger Entry Type",$C$4,"2 Item No.","@@"&amp;$F1293,"3 Posting Date",O$9)</t>
  </si>
  <si>
    <t>=-NL("Sum","5802 Value Entry","151 Cost Amount (Expected)","41 Source Type",$C$5,"5 Source No.",$C1293,"4 Item Ledger Entry Type",$C$4,"2 Item No.","@@"&amp;$F1293,"3 Posting Date",O$9)-NL("Sum","5802 Value Entry","43 Cost Amount (Actual)","41 Source Type",$C$5,"5 Source no.",$C1293,"4 Item Ledger Entry Type",$C$4,"2 Item No.","@@"&amp;$F1293,"3 Posting Date",O$9)</t>
  </si>
  <si>
    <t>=O1293-Q1293</t>
  </si>
  <si>
    <t>=IF(O1293&lt;&gt;0,R1293/O1293,"")</t>
  </si>
  <si>
    <t>=NL("Sum","5802 Value Entry","150 Sales Amount (Expected)","41 Source Type",$C$5,"5 Source No.",$C1293,"4 Item Ledger Entry Type",$C$4,"2 Item No.","@@"&amp;$F1293,"3 Posting Date",U$9)+NL("Sum","5802 Value Entry","17 Sales Amount (Actual)","41 Source Type",$C$5,"5 Source no.",$C1293,"4 Item Ledger Entry Type",$C$4,"2 Item No.","@@"&amp;$F1293,"3 Posting Date",U$9)</t>
  </si>
  <si>
    <t>=-NL("Sum","5802 Value Entry","151 Cost Amount (Expected)","41 Source Type",$C$5,"5 Source No.",$C1293,"4 Item Ledger Entry Type",$C$4,"2 Item No.","@@"&amp;$F1293,"3 Posting Date",U$9)-NL("Sum","5802 Value Entry","43 Cost Amount (Actual)","41 Source Type",$C$5,"5 Source no.",$C1293,"4 Item Ledger Entry Type",$C$4,"2 Item No.","@@"&amp;$F1293,"3 Posting Date",U$9)</t>
  </si>
  <si>
    <t>=U1293-W1293</t>
  </si>
  <si>
    <t>=IF(U1293&lt;&gt;0,X1293/U1293,"")</t>
  </si>
  <si>
    <t>=NL("Sum","5802 Value Entry","150 Sales Amount (Expected)","41 Source Type",$C$5,"5 Source No.",$C1293,"4 Item Ledger Entry Type",$C$4,"2 Item No.","@@"&amp;$F1293,"3 Posting Date",Z$9)+NL("Sum","5802 Value Entry","17 Sales Amount (Actual)","41 Source Type",$C$5,"5 Source no.",$C1293,"4 Item Ledger Entry Type",$C$4,"2 Item No.","@@"&amp;$F1293,"3 Posting Date",Z$9)</t>
  </si>
  <si>
    <t>=-NL("Sum","5802 Value Entry","151 Cost Amount (Expected)","41 Source Type",$C$5,"5 Source No.",$C1293,"4 Item Ledger Entry Type",$C$4,"2 Item No.","@@"&amp;$F1293,"3 Posting Date",Z$9)-NL("Sum","5802 Value Entry","43 Cost Amount (Actual)","41 Source Type",$C$5,"5 Source no.",$C1293,"4 Item Ledger Entry Type",$C$4,"2 Item No.","@@"&amp;$F1293,"3 Posting Date",Z$9)</t>
  </si>
  <si>
    <t>=Z1293-AB1293</t>
  </si>
  <si>
    <t>=IF(Z1293&lt;&gt;0,AC1293/Z1293,"")</t>
  </si>
  <si>
    <t>=C1293</t>
  </si>
  <si>
    <t>=NL("Sum","5802 Value Entry","150 Sales Amount (Expected)","41 Source Type",$C$5,"5 Source No.",$C1294,"4 Item Ledger Entry Type",$C$4,"2 Item No.","@@"&amp;$F1294,"3 Posting Date",J$9)+NL("Sum","5802 Value Entry","17 Sales Amount (Actual)","41 Source Type",$C$5,"5 Source no.",$C1294,"4 Item Ledger Entry Type",$C$4,"2 Item No.","@@"&amp;$F1294,"3 Posting Date",J$9)</t>
  </si>
  <si>
    <t>=-NL("Sum","5802 Value Entry","151 Cost Amount (Expected)","41 Source Type",$C$5,"5 Source No.",$C1294,"4 Item Ledger Entry Type",$C$4,"2 Item No.","@@"&amp;$F1294,"3 Posting Date",J$9)-NL("Sum","5802 Value Entry","43 Cost Amount (Actual)","41 Source Type",$C$5,"5 Source no.",$C1294,"4 Item Ledger Entry Type",$C$4,"2 Item No.","@@"&amp;$F1294,"3 Posting Date",J$9)</t>
  </si>
  <si>
    <t>=J1294-L1294</t>
  </si>
  <si>
    <t>=IF(J1294&lt;&gt;0,M1294/J1294,"")</t>
  </si>
  <si>
    <t>=NL("Sum","5802 Value Entry","150 Sales Amount (Expected)","41 Source Type",$C$5,"5 Source No.",$C1294,"4 Item Ledger Entry Type",$C$4,"2 Item No.","@@"&amp;$F1294,"3 Posting Date",O$9)+NL("Sum","5802 Value Entry","17 Sales Amount (Actual)","41 Source Type",$C$5,"5 Source no.",$C1294,"4 Item Ledger Entry Type",$C$4,"2 Item No.","@@"&amp;$F1294,"3 Posting Date",O$9)</t>
  </si>
  <si>
    <t>=-NL("Sum","5802 Value Entry","151 Cost Amount (Expected)","41 Source Type",$C$5,"5 Source No.",$C1294,"4 Item Ledger Entry Type",$C$4,"2 Item No.","@@"&amp;$F1294,"3 Posting Date",O$9)-NL("Sum","5802 Value Entry","43 Cost Amount (Actual)","41 Source Type",$C$5,"5 Source no.",$C1294,"4 Item Ledger Entry Type",$C$4,"2 Item No.","@@"&amp;$F1294,"3 Posting Date",O$9)</t>
  </si>
  <si>
    <t>=O1294-Q1294</t>
  </si>
  <si>
    <t>=IF(O1294&lt;&gt;0,R1294/O1294,"")</t>
  </si>
  <si>
    <t>=NL("Sum","5802 Value Entry","150 Sales Amount (Expected)","41 Source Type",$C$5,"5 Source No.",$C1294,"4 Item Ledger Entry Type",$C$4,"2 Item No.","@@"&amp;$F1294,"3 Posting Date",U$9)+NL("Sum","5802 Value Entry","17 Sales Amount (Actual)","41 Source Type",$C$5,"5 Source no.",$C1294,"4 Item Ledger Entry Type",$C$4,"2 Item No.","@@"&amp;$F1294,"3 Posting Date",U$9)</t>
  </si>
  <si>
    <t>=-NL("Sum","5802 Value Entry","151 Cost Amount (Expected)","41 Source Type",$C$5,"5 Source No.",$C1294,"4 Item Ledger Entry Type",$C$4,"2 Item No.","@@"&amp;$F1294,"3 Posting Date",U$9)-NL("Sum","5802 Value Entry","43 Cost Amount (Actual)","41 Source Type",$C$5,"5 Source no.",$C1294,"4 Item Ledger Entry Type",$C$4,"2 Item No.","@@"&amp;$F1294,"3 Posting Date",U$9)</t>
  </si>
  <si>
    <t>=U1294-W1294</t>
  </si>
  <si>
    <t>=IF(U1294&lt;&gt;0,X1294/U1294,"")</t>
  </si>
  <si>
    <t>=NL("Sum","5802 Value Entry","150 Sales Amount (Expected)","41 Source Type",$C$5,"5 Source No.",$C1294,"4 Item Ledger Entry Type",$C$4,"2 Item No.","@@"&amp;$F1294,"3 Posting Date",Z$9)+NL("Sum","5802 Value Entry","17 Sales Amount (Actual)","41 Source Type",$C$5,"5 Source no.",$C1294,"4 Item Ledger Entry Type",$C$4,"2 Item No.","@@"&amp;$F1294,"3 Posting Date",Z$9)</t>
  </si>
  <si>
    <t>=-NL("Sum","5802 Value Entry","151 Cost Amount (Expected)","41 Source Type",$C$5,"5 Source No.",$C1294,"4 Item Ledger Entry Type",$C$4,"2 Item No.","@@"&amp;$F1294,"3 Posting Date",Z$9)-NL("Sum","5802 Value Entry","43 Cost Amount (Actual)","41 Source Type",$C$5,"5 Source no.",$C1294,"4 Item Ledger Entry Type",$C$4,"2 Item No.","@@"&amp;$F1294,"3 Posting Date",Z$9)</t>
  </si>
  <si>
    <t>=Z1294-AB1294</t>
  </si>
  <si>
    <t>=IF(Z1294&lt;&gt;0,AC1294/Z1294,"")</t>
  </si>
  <si>
    <t>=C1295</t>
  </si>
  <si>
    <t>=J1296-L1296</t>
  </si>
  <si>
    <t>=IF(J1296&lt;&gt;0,M1296/J1296,"")</t>
  </si>
  <si>
    <t>=O1296-Q1296</t>
  </si>
  <si>
    <t>=IF(O1296&lt;&gt;0,R1296/O1296,"")</t>
  </si>
  <si>
    <t>=U1296-W1296</t>
  </si>
  <si>
    <t>=IF(U1296&lt;&gt;0,X1296/U1296,"")</t>
  </si>
  <si>
    <t>=Z1296-AB1296</t>
  </si>
  <si>
    <t>=IF(Z1296&lt;&gt;0,AC1296/Z1296,"")</t>
  </si>
  <si>
    <t>=C1298</t>
  </si>
  <si>
    <t>=C1299</t>
  </si>
  <si>
    <t>=NL("Sum","5802 Value Entry","150 Sales Amount (Expected)","41 Source Type",$C$5,"5 Source No.",$C1300,"4 Item Ledger Entry Type",$C$4,"2 Item No.","@@"&amp;$F1300,"3 Posting Date",J$9)+NL("Sum","5802 Value Entry","17 Sales Amount (Actual)","41 Source Type",$C$5,"5 Source no.",$C1300,"4 Item Ledger Entry Type",$C$4,"2 Item No.","@@"&amp;$F1300,"3 Posting Date",J$9)</t>
  </si>
  <si>
    <t>=-NL("Sum","5802 Value Entry","151 Cost Amount (Expected)","41 Source Type",$C$5,"5 Source No.",$C1300,"4 Item Ledger Entry Type",$C$4,"2 Item No.","@@"&amp;$F1300,"3 Posting Date",J$9)-NL("Sum","5802 Value Entry","43 Cost Amount (Actual)","41 Source Type",$C$5,"5 Source no.",$C1300,"4 Item Ledger Entry Type",$C$4,"2 Item No.","@@"&amp;$F1300,"3 Posting Date",J$9)</t>
  </si>
  <si>
    <t>=J1300-L1300</t>
  </si>
  <si>
    <t>=IF(J1300&lt;&gt;0,M1300/J1300,"")</t>
  </si>
  <si>
    <t>=NL("Sum","5802 Value Entry","150 Sales Amount (Expected)","41 Source Type",$C$5,"5 Source No.",$C1300,"4 Item Ledger Entry Type",$C$4,"2 Item No.","@@"&amp;$F1300,"3 Posting Date",O$9)+NL("Sum","5802 Value Entry","17 Sales Amount (Actual)","41 Source Type",$C$5,"5 Source no.",$C1300,"4 Item Ledger Entry Type",$C$4,"2 Item No.","@@"&amp;$F1300,"3 Posting Date",O$9)</t>
  </si>
  <si>
    <t>=-NL("Sum","5802 Value Entry","151 Cost Amount (Expected)","41 Source Type",$C$5,"5 Source No.",$C1300,"4 Item Ledger Entry Type",$C$4,"2 Item No.","@@"&amp;$F1300,"3 Posting Date",O$9)-NL("Sum","5802 Value Entry","43 Cost Amount (Actual)","41 Source Type",$C$5,"5 Source no.",$C1300,"4 Item Ledger Entry Type",$C$4,"2 Item No.","@@"&amp;$F1300,"3 Posting Date",O$9)</t>
  </si>
  <si>
    <t>=O1300-Q1300</t>
  </si>
  <si>
    <t>=IF(O1300&lt;&gt;0,R1300/O1300,"")</t>
  </si>
  <si>
    <t>=NL("Sum","5802 Value Entry","150 Sales Amount (Expected)","41 Source Type",$C$5,"5 Source No.",$C1300,"4 Item Ledger Entry Type",$C$4,"2 Item No.","@@"&amp;$F1300,"3 Posting Date",U$9)+NL("Sum","5802 Value Entry","17 Sales Amount (Actual)","41 Source Type",$C$5,"5 Source no.",$C1300,"4 Item Ledger Entry Type",$C$4,"2 Item No.","@@"&amp;$F1300,"3 Posting Date",U$9)</t>
  </si>
  <si>
    <t>=-NL("Sum","5802 Value Entry","151 Cost Amount (Expected)","41 Source Type",$C$5,"5 Source No.",$C1300,"4 Item Ledger Entry Type",$C$4,"2 Item No.","@@"&amp;$F1300,"3 Posting Date",U$9)-NL("Sum","5802 Value Entry","43 Cost Amount (Actual)","41 Source Type",$C$5,"5 Source no.",$C1300,"4 Item Ledger Entry Type",$C$4,"2 Item No.","@@"&amp;$F1300,"3 Posting Date",U$9)</t>
  </si>
  <si>
    <t>=U1300-W1300</t>
  </si>
  <si>
    <t>=IF(U1300&lt;&gt;0,X1300/U1300,"")</t>
  </si>
  <si>
    <t>=NL("Sum","5802 Value Entry","150 Sales Amount (Expected)","41 Source Type",$C$5,"5 Source No.",$C1300,"4 Item Ledger Entry Type",$C$4,"2 Item No.","@@"&amp;$F1300,"3 Posting Date",Z$9)+NL("Sum","5802 Value Entry","17 Sales Amount (Actual)","41 Source Type",$C$5,"5 Source no.",$C1300,"4 Item Ledger Entry Type",$C$4,"2 Item No.","@@"&amp;$F1300,"3 Posting Date",Z$9)</t>
  </si>
  <si>
    <t>=-NL("Sum","5802 Value Entry","151 Cost Amount (Expected)","41 Source Type",$C$5,"5 Source No.",$C1300,"4 Item Ledger Entry Type",$C$4,"2 Item No.","@@"&amp;$F1300,"3 Posting Date",Z$9)-NL("Sum","5802 Value Entry","43 Cost Amount (Actual)","41 Source Type",$C$5,"5 Source no.",$C1300,"4 Item Ledger Entry Type",$C$4,"2 Item No.","@@"&amp;$F1300,"3 Posting Date",Z$9)</t>
  </si>
  <si>
    <t>=Z1300-AB1300</t>
  </si>
  <si>
    <t>=IF(Z1300&lt;&gt;0,AC1300/Z1300,"")</t>
  </si>
  <si>
    <t>=C1300</t>
  </si>
  <si>
    <t>=NL("Sum","5802 Value Entry","150 Sales Amount (Expected)","41 Source Type",$C$5,"5 Source No.",$C1301,"4 Item Ledger Entry Type",$C$4,"2 Item No.","@@"&amp;$F1301,"3 Posting Date",J$9)+NL("Sum","5802 Value Entry","17 Sales Amount (Actual)","41 Source Type",$C$5,"5 Source no.",$C1301,"4 Item Ledger Entry Type",$C$4,"2 Item No.","@@"&amp;$F1301,"3 Posting Date",J$9)</t>
  </si>
  <si>
    <t>=-NL("Sum","5802 Value Entry","151 Cost Amount (Expected)","41 Source Type",$C$5,"5 Source No.",$C1301,"4 Item Ledger Entry Type",$C$4,"2 Item No.","@@"&amp;$F1301,"3 Posting Date",J$9)-NL("Sum","5802 Value Entry","43 Cost Amount (Actual)","41 Source Type",$C$5,"5 Source no.",$C1301,"4 Item Ledger Entry Type",$C$4,"2 Item No.","@@"&amp;$F1301,"3 Posting Date",J$9)</t>
  </si>
  <si>
    <t>=J1301-L1301</t>
  </si>
  <si>
    <t>=IF(J1301&lt;&gt;0,M1301/J1301,"")</t>
  </si>
  <si>
    <t>=NL("Sum","5802 Value Entry","150 Sales Amount (Expected)","41 Source Type",$C$5,"5 Source No.",$C1301,"4 Item Ledger Entry Type",$C$4,"2 Item No.","@@"&amp;$F1301,"3 Posting Date",O$9)+NL("Sum","5802 Value Entry","17 Sales Amount (Actual)","41 Source Type",$C$5,"5 Source no.",$C1301,"4 Item Ledger Entry Type",$C$4,"2 Item No.","@@"&amp;$F1301,"3 Posting Date",O$9)</t>
  </si>
  <si>
    <t>=-NL("Sum","5802 Value Entry","151 Cost Amount (Expected)","41 Source Type",$C$5,"5 Source No.",$C1301,"4 Item Ledger Entry Type",$C$4,"2 Item No.","@@"&amp;$F1301,"3 Posting Date",O$9)-NL("Sum","5802 Value Entry","43 Cost Amount (Actual)","41 Source Type",$C$5,"5 Source no.",$C1301,"4 Item Ledger Entry Type",$C$4,"2 Item No.","@@"&amp;$F1301,"3 Posting Date",O$9)</t>
  </si>
  <si>
    <t>=O1301-Q1301</t>
  </si>
  <si>
    <t>=IF(O1301&lt;&gt;0,R1301/O1301,"")</t>
  </si>
  <si>
    <t>=NL("Sum","5802 Value Entry","150 Sales Amount (Expected)","41 Source Type",$C$5,"5 Source No.",$C1301,"4 Item Ledger Entry Type",$C$4,"2 Item No.","@@"&amp;$F1301,"3 Posting Date",U$9)+NL("Sum","5802 Value Entry","17 Sales Amount (Actual)","41 Source Type",$C$5,"5 Source no.",$C1301,"4 Item Ledger Entry Type",$C$4,"2 Item No.","@@"&amp;$F1301,"3 Posting Date",U$9)</t>
  </si>
  <si>
    <t>=-NL("Sum","5802 Value Entry","151 Cost Amount (Expected)","41 Source Type",$C$5,"5 Source No.",$C1301,"4 Item Ledger Entry Type",$C$4,"2 Item No.","@@"&amp;$F1301,"3 Posting Date",U$9)-NL("Sum","5802 Value Entry","43 Cost Amount (Actual)","41 Source Type",$C$5,"5 Source no.",$C1301,"4 Item Ledger Entry Type",$C$4,"2 Item No.","@@"&amp;$F1301,"3 Posting Date",U$9)</t>
  </si>
  <si>
    <t>=U1301-W1301</t>
  </si>
  <si>
    <t>=IF(U1301&lt;&gt;0,X1301/U1301,"")</t>
  </si>
  <si>
    <t>=NL("Sum","5802 Value Entry","150 Sales Amount (Expected)","41 Source Type",$C$5,"5 Source No.",$C1301,"4 Item Ledger Entry Type",$C$4,"2 Item No.","@@"&amp;$F1301,"3 Posting Date",Z$9)+NL("Sum","5802 Value Entry","17 Sales Amount (Actual)","41 Source Type",$C$5,"5 Source no.",$C1301,"4 Item Ledger Entry Type",$C$4,"2 Item No.","@@"&amp;$F1301,"3 Posting Date",Z$9)</t>
  </si>
  <si>
    <t>=-NL("Sum","5802 Value Entry","151 Cost Amount (Expected)","41 Source Type",$C$5,"5 Source No.",$C1301,"4 Item Ledger Entry Type",$C$4,"2 Item No.","@@"&amp;$F1301,"3 Posting Date",Z$9)-NL("Sum","5802 Value Entry","43 Cost Amount (Actual)","41 Source Type",$C$5,"5 Source no.",$C1301,"4 Item Ledger Entry Type",$C$4,"2 Item No.","@@"&amp;$F1301,"3 Posting Date",Z$9)</t>
  </si>
  <si>
    <t>=Z1301-AB1301</t>
  </si>
  <si>
    <t>=IF(Z1301&lt;&gt;0,AC1301/Z1301,"")</t>
  </si>
  <si>
    <t>=C1301</t>
  </si>
  <si>
    <t>=NL("Sum","5802 Value Entry","150 Sales Amount (Expected)","41 Source Type",$C$5,"5 Source No.",$C1302,"4 Item Ledger Entry Type",$C$4,"2 Item No.","@@"&amp;$F1302,"3 Posting Date",J$9)+NL("Sum","5802 Value Entry","17 Sales Amount (Actual)","41 Source Type",$C$5,"5 Source no.",$C1302,"4 Item Ledger Entry Type",$C$4,"2 Item No.","@@"&amp;$F1302,"3 Posting Date",J$9)</t>
  </si>
  <si>
    <t>=-NL("Sum","5802 Value Entry","151 Cost Amount (Expected)","41 Source Type",$C$5,"5 Source No.",$C1302,"4 Item Ledger Entry Type",$C$4,"2 Item No.","@@"&amp;$F1302,"3 Posting Date",J$9)-NL("Sum","5802 Value Entry","43 Cost Amount (Actual)","41 Source Type",$C$5,"5 Source no.",$C1302,"4 Item Ledger Entry Type",$C$4,"2 Item No.","@@"&amp;$F1302,"3 Posting Date",J$9)</t>
  </si>
  <si>
    <t>=J1302-L1302</t>
  </si>
  <si>
    <t>=IF(J1302&lt;&gt;0,M1302/J1302,"")</t>
  </si>
  <si>
    <t>=NL("Sum","5802 Value Entry","150 Sales Amount (Expected)","41 Source Type",$C$5,"5 Source No.",$C1302,"4 Item Ledger Entry Type",$C$4,"2 Item No.","@@"&amp;$F1302,"3 Posting Date",O$9)+NL("Sum","5802 Value Entry","17 Sales Amount (Actual)","41 Source Type",$C$5,"5 Source no.",$C1302,"4 Item Ledger Entry Type",$C$4,"2 Item No.","@@"&amp;$F1302,"3 Posting Date",O$9)</t>
  </si>
  <si>
    <t>=-NL("Sum","5802 Value Entry","151 Cost Amount (Expected)","41 Source Type",$C$5,"5 Source No.",$C1302,"4 Item Ledger Entry Type",$C$4,"2 Item No.","@@"&amp;$F1302,"3 Posting Date",O$9)-NL("Sum","5802 Value Entry","43 Cost Amount (Actual)","41 Source Type",$C$5,"5 Source no.",$C1302,"4 Item Ledger Entry Type",$C$4,"2 Item No.","@@"&amp;$F1302,"3 Posting Date",O$9)</t>
  </si>
  <si>
    <t>=O1302-Q1302</t>
  </si>
  <si>
    <t>=IF(O1302&lt;&gt;0,R1302/O1302,"")</t>
  </si>
  <si>
    <t>=NL("Sum","5802 Value Entry","150 Sales Amount (Expected)","41 Source Type",$C$5,"5 Source No.",$C1302,"4 Item Ledger Entry Type",$C$4,"2 Item No.","@@"&amp;$F1302,"3 Posting Date",U$9)+NL("Sum","5802 Value Entry","17 Sales Amount (Actual)","41 Source Type",$C$5,"5 Source no.",$C1302,"4 Item Ledger Entry Type",$C$4,"2 Item No.","@@"&amp;$F1302,"3 Posting Date",U$9)</t>
  </si>
  <si>
    <t>=-NL("Sum","5802 Value Entry","151 Cost Amount (Expected)","41 Source Type",$C$5,"5 Source No.",$C1302,"4 Item Ledger Entry Type",$C$4,"2 Item No.","@@"&amp;$F1302,"3 Posting Date",U$9)-NL("Sum","5802 Value Entry","43 Cost Amount (Actual)","41 Source Type",$C$5,"5 Source no.",$C1302,"4 Item Ledger Entry Type",$C$4,"2 Item No.","@@"&amp;$F1302,"3 Posting Date",U$9)</t>
  </si>
  <si>
    <t>=U1302-W1302</t>
  </si>
  <si>
    <t>=IF(U1302&lt;&gt;0,X1302/U1302,"")</t>
  </si>
  <si>
    <t>=NL("Sum","5802 Value Entry","150 Sales Amount (Expected)","41 Source Type",$C$5,"5 Source No.",$C1302,"4 Item Ledger Entry Type",$C$4,"2 Item No.","@@"&amp;$F1302,"3 Posting Date",Z$9)+NL("Sum","5802 Value Entry","17 Sales Amount (Actual)","41 Source Type",$C$5,"5 Source no.",$C1302,"4 Item Ledger Entry Type",$C$4,"2 Item No.","@@"&amp;$F1302,"3 Posting Date",Z$9)</t>
  </si>
  <si>
    <t>=-NL("Sum","5802 Value Entry","151 Cost Amount (Expected)","41 Source Type",$C$5,"5 Source No.",$C1302,"4 Item Ledger Entry Type",$C$4,"2 Item No.","@@"&amp;$F1302,"3 Posting Date",Z$9)-NL("Sum","5802 Value Entry","43 Cost Amount (Actual)","41 Source Type",$C$5,"5 Source no.",$C1302,"4 Item Ledger Entry Type",$C$4,"2 Item No.","@@"&amp;$F1302,"3 Posting Date",Z$9)</t>
  </si>
  <si>
    <t>=Z1302-AB1302</t>
  </si>
  <si>
    <t>=IF(Z1302&lt;&gt;0,AC1302/Z1302,"")</t>
  </si>
  <si>
    <t>=C1302</t>
  </si>
  <si>
    <t>=NL("Sum","5802 Value Entry","150 Sales Amount (Expected)","41 Source Type",$C$5,"5 Source No.",$C1303,"4 Item Ledger Entry Type",$C$4,"2 Item No.","@@"&amp;$F1303,"3 Posting Date",J$9)+NL("Sum","5802 Value Entry","17 Sales Amount (Actual)","41 Source Type",$C$5,"5 Source no.",$C1303,"4 Item Ledger Entry Type",$C$4,"2 Item No.","@@"&amp;$F1303,"3 Posting Date",J$9)</t>
  </si>
  <si>
    <t>=-NL("Sum","5802 Value Entry","151 Cost Amount (Expected)","41 Source Type",$C$5,"5 Source No.",$C1303,"4 Item Ledger Entry Type",$C$4,"2 Item No.","@@"&amp;$F1303,"3 Posting Date",J$9)-NL("Sum","5802 Value Entry","43 Cost Amount (Actual)","41 Source Type",$C$5,"5 Source no.",$C1303,"4 Item Ledger Entry Type",$C$4,"2 Item No.","@@"&amp;$F1303,"3 Posting Date",J$9)</t>
  </si>
  <si>
    <t>=J1303-L1303</t>
  </si>
  <si>
    <t>=IF(J1303&lt;&gt;0,M1303/J1303,"")</t>
  </si>
  <si>
    <t>=NL("Sum","5802 Value Entry","150 Sales Amount (Expected)","41 Source Type",$C$5,"5 Source No.",$C1303,"4 Item Ledger Entry Type",$C$4,"2 Item No.","@@"&amp;$F1303,"3 Posting Date",O$9)+NL("Sum","5802 Value Entry","17 Sales Amount (Actual)","41 Source Type",$C$5,"5 Source no.",$C1303,"4 Item Ledger Entry Type",$C$4,"2 Item No.","@@"&amp;$F1303,"3 Posting Date",O$9)</t>
  </si>
  <si>
    <t>=-NL("Sum","5802 Value Entry","151 Cost Amount (Expected)","41 Source Type",$C$5,"5 Source No.",$C1303,"4 Item Ledger Entry Type",$C$4,"2 Item No.","@@"&amp;$F1303,"3 Posting Date",O$9)-NL("Sum","5802 Value Entry","43 Cost Amount (Actual)","41 Source Type",$C$5,"5 Source no.",$C1303,"4 Item Ledger Entry Type",$C$4,"2 Item No.","@@"&amp;$F1303,"3 Posting Date",O$9)</t>
  </si>
  <si>
    <t>=O1303-Q1303</t>
  </si>
  <si>
    <t>=IF(O1303&lt;&gt;0,R1303/O1303,"")</t>
  </si>
  <si>
    <t>=NL("Sum","5802 Value Entry","150 Sales Amount (Expected)","41 Source Type",$C$5,"5 Source No.",$C1303,"4 Item Ledger Entry Type",$C$4,"2 Item No.","@@"&amp;$F1303,"3 Posting Date",U$9)+NL("Sum","5802 Value Entry","17 Sales Amount (Actual)","41 Source Type",$C$5,"5 Source no.",$C1303,"4 Item Ledger Entry Type",$C$4,"2 Item No.","@@"&amp;$F1303,"3 Posting Date",U$9)</t>
  </si>
  <si>
    <t>=-NL("Sum","5802 Value Entry","151 Cost Amount (Expected)","41 Source Type",$C$5,"5 Source No.",$C1303,"4 Item Ledger Entry Type",$C$4,"2 Item No.","@@"&amp;$F1303,"3 Posting Date",U$9)-NL("Sum","5802 Value Entry","43 Cost Amount (Actual)","41 Source Type",$C$5,"5 Source no.",$C1303,"4 Item Ledger Entry Type",$C$4,"2 Item No.","@@"&amp;$F1303,"3 Posting Date",U$9)</t>
  </si>
  <si>
    <t>=U1303-W1303</t>
  </si>
  <si>
    <t>=IF(U1303&lt;&gt;0,X1303/U1303,"")</t>
  </si>
  <si>
    <t>=NL("Sum","5802 Value Entry","150 Sales Amount (Expected)","41 Source Type",$C$5,"5 Source No.",$C1303,"4 Item Ledger Entry Type",$C$4,"2 Item No.","@@"&amp;$F1303,"3 Posting Date",Z$9)+NL("Sum","5802 Value Entry","17 Sales Amount (Actual)","41 Source Type",$C$5,"5 Source no.",$C1303,"4 Item Ledger Entry Type",$C$4,"2 Item No.","@@"&amp;$F1303,"3 Posting Date",Z$9)</t>
  </si>
  <si>
    <t>=-NL("Sum","5802 Value Entry","151 Cost Amount (Expected)","41 Source Type",$C$5,"5 Source No.",$C1303,"4 Item Ledger Entry Type",$C$4,"2 Item No.","@@"&amp;$F1303,"3 Posting Date",Z$9)-NL("Sum","5802 Value Entry","43 Cost Amount (Actual)","41 Source Type",$C$5,"5 Source no.",$C1303,"4 Item Ledger Entry Type",$C$4,"2 Item No.","@@"&amp;$F1303,"3 Posting Date",Z$9)</t>
  </si>
  <si>
    <t>=Z1303-AB1303</t>
  </si>
  <si>
    <t>=IF(Z1303&lt;&gt;0,AC1303/Z1303,"")</t>
  </si>
  <si>
    <t>=C1303</t>
  </si>
  <si>
    <t>=NL("Sum","5802 Value Entry","150 Sales Amount (Expected)","41 Source Type",$C$5,"5 Source No.",$C1304,"4 Item Ledger Entry Type",$C$4,"2 Item No.","@@"&amp;$F1304,"3 Posting Date",J$9)+NL("Sum","5802 Value Entry","17 Sales Amount (Actual)","41 Source Type",$C$5,"5 Source no.",$C1304,"4 Item Ledger Entry Type",$C$4,"2 Item No.","@@"&amp;$F1304,"3 Posting Date",J$9)</t>
  </si>
  <si>
    <t>=-NL("Sum","5802 Value Entry","151 Cost Amount (Expected)","41 Source Type",$C$5,"5 Source No.",$C1304,"4 Item Ledger Entry Type",$C$4,"2 Item No.","@@"&amp;$F1304,"3 Posting Date",J$9)-NL("Sum","5802 Value Entry","43 Cost Amount (Actual)","41 Source Type",$C$5,"5 Source no.",$C1304,"4 Item Ledger Entry Type",$C$4,"2 Item No.","@@"&amp;$F1304,"3 Posting Date",J$9)</t>
  </si>
  <si>
    <t>=J1304-L1304</t>
  </si>
  <si>
    <t>=IF(J1304&lt;&gt;0,M1304/J1304,"")</t>
  </si>
  <si>
    <t>=NL("Sum","5802 Value Entry","150 Sales Amount (Expected)","41 Source Type",$C$5,"5 Source No.",$C1304,"4 Item Ledger Entry Type",$C$4,"2 Item No.","@@"&amp;$F1304,"3 Posting Date",O$9)+NL("Sum","5802 Value Entry","17 Sales Amount (Actual)","41 Source Type",$C$5,"5 Source no.",$C1304,"4 Item Ledger Entry Type",$C$4,"2 Item No.","@@"&amp;$F1304,"3 Posting Date",O$9)</t>
  </si>
  <si>
    <t>=-NL("Sum","5802 Value Entry","151 Cost Amount (Expected)","41 Source Type",$C$5,"5 Source No.",$C1304,"4 Item Ledger Entry Type",$C$4,"2 Item No.","@@"&amp;$F1304,"3 Posting Date",O$9)-NL("Sum","5802 Value Entry","43 Cost Amount (Actual)","41 Source Type",$C$5,"5 Source no.",$C1304,"4 Item Ledger Entry Type",$C$4,"2 Item No.","@@"&amp;$F1304,"3 Posting Date",O$9)</t>
  </si>
  <si>
    <t>=O1304-Q1304</t>
  </si>
  <si>
    <t>=IF(O1304&lt;&gt;0,R1304/O1304,"")</t>
  </si>
  <si>
    <t>=NL("Sum","5802 Value Entry","150 Sales Amount (Expected)","41 Source Type",$C$5,"5 Source No.",$C1304,"4 Item Ledger Entry Type",$C$4,"2 Item No.","@@"&amp;$F1304,"3 Posting Date",U$9)+NL("Sum","5802 Value Entry","17 Sales Amount (Actual)","41 Source Type",$C$5,"5 Source no.",$C1304,"4 Item Ledger Entry Type",$C$4,"2 Item No.","@@"&amp;$F1304,"3 Posting Date",U$9)</t>
  </si>
  <si>
    <t>=-NL("Sum","5802 Value Entry","151 Cost Amount (Expected)","41 Source Type",$C$5,"5 Source No.",$C1304,"4 Item Ledger Entry Type",$C$4,"2 Item No.","@@"&amp;$F1304,"3 Posting Date",U$9)-NL("Sum","5802 Value Entry","43 Cost Amount (Actual)","41 Source Type",$C$5,"5 Source no.",$C1304,"4 Item Ledger Entry Type",$C$4,"2 Item No.","@@"&amp;$F1304,"3 Posting Date",U$9)</t>
  </si>
  <si>
    <t>=U1304-W1304</t>
  </si>
  <si>
    <t>=IF(U1304&lt;&gt;0,X1304/U1304,"")</t>
  </si>
  <si>
    <t>=NL("Sum","5802 Value Entry","150 Sales Amount (Expected)","41 Source Type",$C$5,"5 Source No.",$C1304,"4 Item Ledger Entry Type",$C$4,"2 Item No.","@@"&amp;$F1304,"3 Posting Date",Z$9)+NL("Sum","5802 Value Entry","17 Sales Amount (Actual)","41 Source Type",$C$5,"5 Source no.",$C1304,"4 Item Ledger Entry Type",$C$4,"2 Item No.","@@"&amp;$F1304,"3 Posting Date",Z$9)</t>
  </si>
  <si>
    <t>=-NL("Sum","5802 Value Entry","151 Cost Amount (Expected)","41 Source Type",$C$5,"5 Source No.",$C1304,"4 Item Ledger Entry Type",$C$4,"2 Item No.","@@"&amp;$F1304,"3 Posting Date",Z$9)-NL("Sum","5802 Value Entry","43 Cost Amount (Actual)","41 Source Type",$C$5,"5 Source no.",$C1304,"4 Item Ledger Entry Type",$C$4,"2 Item No.","@@"&amp;$F1304,"3 Posting Date",Z$9)</t>
  </si>
  <si>
    <t>=Z1304-AB1304</t>
  </si>
  <si>
    <t>=IF(Z1304&lt;&gt;0,AC1304/Z1304,"")</t>
  </si>
  <si>
    <t>=C1304</t>
  </si>
  <si>
    <t>=NL("Sum","5802 Value Entry","150 Sales Amount (Expected)","41 Source Type",$C$5,"5 Source No.",$C1305,"4 Item Ledger Entry Type",$C$4,"2 Item No.","@@"&amp;$F1305,"3 Posting Date",J$9)+NL("Sum","5802 Value Entry","17 Sales Amount (Actual)","41 Source Type",$C$5,"5 Source no.",$C1305,"4 Item Ledger Entry Type",$C$4,"2 Item No.","@@"&amp;$F1305,"3 Posting Date",J$9)</t>
  </si>
  <si>
    <t>=-NL("Sum","5802 Value Entry","151 Cost Amount (Expected)","41 Source Type",$C$5,"5 Source No.",$C1305,"4 Item Ledger Entry Type",$C$4,"2 Item No.","@@"&amp;$F1305,"3 Posting Date",J$9)-NL("Sum","5802 Value Entry","43 Cost Amount (Actual)","41 Source Type",$C$5,"5 Source no.",$C1305,"4 Item Ledger Entry Type",$C$4,"2 Item No.","@@"&amp;$F1305,"3 Posting Date",J$9)</t>
  </si>
  <si>
    <t>=J1305-L1305</t>
  </si>
  <si>
    <t>=IF(J1305&lt;&gt;0,M1305/J1305,"")</t>
  </si>
  <si>
    <t>=NL("Sum","5802 Value Entry","150 Sales Amount (Expected)","41 Source Type",$C$5,"5 Source No.",$C1305,"4 Item Ledger Entry Type",$C$4,"2 Item No.","@@"&amp;$F1305,"3 Posting Date",O$9)+NL("Sum","5802 Value Entry","17 Sales Amount (Actual)","41 Source Type",$C$5,"5 Source no.",$C1305,"4 Item Ledger Entry Type",$C$4,"2 Item No.","@@"&amp;$F1305,"3 Posting Date",O$9)</t>
  </si>
  <si>
    <t>=-NL("Sum","5802 Value Entry","151 Cost Amount (Expected)","41 Source Type",$C$5,"5 Source No.",$C1305,"4 Item Ledger Entry Type",$C$4,"2 Item No.","@@"&amp;$F1305,"3 Posting Date",O$9)-NL("Sum","5802 Value Entry","43 Cost Amount (Actual)","41 Source Type",$C$5,"5 Source no.",$C1305,"4 Item Ledger Entry Type",$C$4,"2 Item No.","@@"&amp;$F1305,"3 Posting Date",O$9)</t>
  </si>
  <si>
    <t>=O1305-Q1305</t>
  </si>
  <si>
    <t>=IF(O1305&lt;&gt;0,R1305/O1305,"")</t>
  </si>
  <si>
    <t>=NL("Sum","5802 Value Entry","150 Sales Amount (Expected)","41 Source Type",$C$5,"5 Source No.",$C1305,"4 Item Ledger Entry Type",$C$4,"2 Item No.","@@"&amp;$F1305,"3 Posting Date",U$9)+NL("Sum","5802 Value Entry","17 Sales Amount (Actual)","41 Source Type",$C$5,"5 Source no.",$C1305,"4 Item Ledger Entry Type",$C$4,"2 Item No.","@@"&amp;$F1305,"3 Posting Date",U$9)</t>
  </si>
  <si>
    <t>=-NL("Sum","5802 Value Entry","151 Cost Amount (Expected)","41 Source Type",$C$5,"5 Source No.",$C1305,"4 Item Ledger Entry Type",$C$4,"2 Item No.","@@"&amp;$F1305,"3 Posting Date",U$9)-NL("Sum","5802 Value Entry","43 Cost Amount (Actual)","41 Source Type",$C$5,"5 Source no.",$C1305,"4 Item Ledger Entry Type",$C$4,"2 Item No.","@@"&amp;$F1305,"3 Posting Date",U$9)</t>
  </si>
  <si>
    <t>=U1305-W1305</t>
  </si>
  <si>
    <t>=IF(U1305&lt;&gt;0,X1305/U1305,"")</t>
  </si>
  <si>
    <t>=NL("Sum","5802 Value Entry","150 Sales Amount (Expected)","41 Source Type",$C$5,"5 Source No.",$C1305,"4 Item Ledger Entry Type",$C$4,"2 Item No.","@@"&amp;$F1305,"3 Posting Date",Z$9)+NL("Sum","5802 Value Entry","17 Sales Amount (Actual)","41 Source Type",$C$5,"5 Source no.",$C1305,"4 Item Ledger Entry Type",$C$4,"2 Item No.","@@"&amp;$F1305,"3 Posting Date",Z$9)</t>
  </si>
  <si>
    <t>=-NL("Sum","5802 Value Entry","151 Cost Amount (Expected)","41 Source Type",$C$5,"5 Source No.",$C1305,"4 Item Ledger Entry Type",$C$4,"2 Item No.","@@"&amp;$F1305,"3 Posting Date",Z$9)-NL("Sum","5802 Value Entry","43 Cost Amount (Actual)","41 Source Type",$C$5,"5 Source no.",$C1305,"4 Item Ledger Entry Type",$C$4,"2 Item No.","@@"&amp;$F1305,"3 Posting Date",Z$9)</t>
  </si>
  <si>
    <t>=Z1305-AB1305</t>
  </si>
  <si>
    <t>=IF(Z1305&lt;&gt;0,AC1305/Z1305,"")</t>
  </si>
  <si>
    <t>=C1305</t>
  </si>
  <si>
    <t>=NL("Sum","5802 Value Entry","150 Sales Amount (Expected)","41 Source Type",$C$5,"5 Source No.",$C1306,"4 Item Ledger Entry Type",$C$4,"2 Item No.","@@"&amp;$F1306,"3 Posting Date",J$9)+NL("Sum","5802 Value Entry","17 Sales Amount (Actual)","41 Source Type",$C$5,"5 Source no.",$C1306,"4 Item Ledger Entry Type",$C$4,"2 Item No.","@@"&amp;$F1306,"3 Posting Date",J$9)</t>
  </si>
  <si>
    <t>=-NL("Sum","5802 Value Entry","151 Cost Amount (Expected)","41 Source Type",$C$5,"5 Source No.",$C1306,"4 Item Ledger Entry Type",$C$4,"2 Item No.","@@"&amp;$F1306,"3 Posting Date",J$9)-NL("Sum","5802 Value Entry","43 Cost Amount (Actual)","41 Source Type",$C$5,"5 Source no.",$C1306,"4 Item Ledger Entry Type",$C$4,"2 Item No.","@@"&amp;$F1306,"3 Posting Date",J$9)</t>
  </si>
  <si>
    <t>=J1306-L1306</t>
  </si>
  <si>
    <t>=IF(J1306&lt;&gt;0,M1306/J1306,"")</t>
  </si>
  <si>
    <t>=NL("Sum","5802 Value Entry","150 Sales Amount (Expected)","41 Source Type",$C$5,"5 Source No.",$C1306,"4 Item Ledger Entry Type",$C$4,"2 Item No.","@@"&amp;$F1306,"3 Posting Date",O$9)+NL("Sum","5802 Value Entry","17 Sales Amount (Actual)","41 Source Type",$C$5,"5 Source no.",$C1306,"4 Item Ledger Entry Type",$C$4,"2 Item No.","@@"&amp;$F1306,"3 Posting Date",O$9)</t>
  </si>
  <si>
    <t>=-NL("Sum","5802 Value Entry","151 Cost Amount (Expected)","41 Source Type",$C$5,"5 Source No.",$C1306,"4 Item Ledger Entry Type",$C$4,"2 Item No.","@@"&amp;$F1306,"3 Posting Date",O$9)-NL("Sum","5802 Value Entry","43 Cost Amount (Actual)","41 Source Type",$C$5,"5 Source no.",$C1306,"4 Item Ledger Entry Type",$C$4,"2 Item No.","@@"&amp;$F1306,"3 Posting Date",O$9)</t>
  </si>
  <si>
    <t>=O1306-Q1306</t>
  </si>
  <si>
    <t>=IF(O1306&lt;&gt;0,R1306/O1306,"")</t>
  </si>
  <si>
    <t>=NL("Sum","5802 Value Entry","150 Sales Amount (Expected)","41 Source Type",$C$5,"5 Source No.",$C1306,"4 Item Ledger Entry Type",$C$4,"2 Item No.","@@"&amp;$F1306,"3 Posting Date",U$9)+NL("Sum","5802 Value Entry","17 Sales Amount (Actual)","41 Source Type",$C$5,"5 Source no.",$C1306,"4 Item Ledger Entry Type",$C$4,"2 Item No.","@@"&amp;$F1306,"3 Posting Date",U$9)</t>
  </si>
  <si>
    <t>=-NL("Sum","5802 Value Entry","151 Cost Amount (Expected)","41 Source Type",$C$5,"5 Source No.",$C1306,"4 Item Ledger Entry Type",$C$4,"2 Item No.","@@"&amp;$F1306,"3 Posting Date",U$9)-NL("Sum","5802 Value Entry","43 Cost Amount (Actual)","41 Source Type",$C$5,"5 Source no.",$C1306,"4 Item Ledger Entry Type",$C$4,"2 Item No.","@@"&amp;$F1306,"3 Posting Date",U$9)</t>
  </si>
  <si>
    <t>=U1306-W1306</t>
  </si>
  <si>
    <t>=IF(U1306&lt;&gt;0,X1306/U1306,"")</t>
  </si>
  <si>
    <t>=NL("Sum","5802 Value Entry","150 Sales Amount (Expected)","41 Source Type",$C$5,"5 Source No.",$C1306,"4 Item Ledger Entry Type",$C$4,"2 Item No.","@@"&amp;$F1306,"3 Posting Date",Z$9)+NL("Sum","5802 Value Entry","17 Sales Amount (Actual)","41 Source Type",$C$5,"5 Source no.",$C1306,"4 Item Ledger Entry Type",$C$4,"2 Item No.","@@"&amp;$F1306,"3 Posting Date",Z$9)</t>
  </si>
  <si>
    <t>=-NL("Sum","5802 Value Entry","151 Cost Amount (Expected)","41 Source Type",$C$5,"5 Source No.",$C1306,"4 Item Ledger Entry Type",$C$4,"2 Item No.","@@"&amp;$F1306,"3 Posting Date",Z$9)-NL("Sum","5802 Value Entry","43 Cost Amount (Actual)","41 Source Type",$C$5,"5 Source no.",$C1306,"4 Item Ledger Entry Type",$C$4,"2 Item No.","@@"&amp;$F1306,"3 Posting Date",Z$9)</t>
  </si>
  <si>
    <t>=Z1306-AB1306</t>
  </si>
  <si>
    <t>=IF(Z1306&lt;&gt;0,AC1306/Z1306,"")</t>
  </si>
  <si>
    <t>=C1306</t>
  </si>
  <si>
    <t>=NL("Sum","5802 Value Entry","150 Sales Amount (Expected)","41 Source Type",$C$5,"5 Source No.",$C1307,"4 Item Ledger Entry Type",$C$4,"2 Item No.","@@"&amp;$F1307,"3 Posting Date",J$9)+NL("Sum","5802 Value Entry","17 Sales Amount (Actual)","41 Source Type",$C$5,"5 Source no.",$C1307,"4 Item Ledger Entry Type",$C$4,"2 Item No.","@@"&amp;$F1307,"3 Posting Date",J$9)</t>
  </si>
  <si>
    <t>=-NL("Sum","5802 Value Entry","151 Cost Amount (Expected)","41 Source Type",$C$5,"5 Source No.",$C1307,"4 Item Ledger Entry Type",$C$4,"2 Item No.","@@"&amp;$F1307,"3 Posting Date",J$9)-NL("Sum","5802 Value Entry","43 Cost Amount (Actual)","41 Source Type",$C$5,"5 Source no.",$C1307,"4 Item Ledger Entry Type",$C$4,"2 Item No.","@@"&amp;$F1307,"3 Posting Date",J$9)</t>
  </si>
  <si>
    <t>=J1307-L1307</t>
  </si>
  <si>
    <t>=IF(J1307&lt;&gt;0,M1307/J1307,"")</t>
  </si>
  <si>
    <t>=NL("Sum","5802 Value Entry","150 Sales Amount (Expected)","41 Source Type",$C$5,"5 Source No.",$C1307,"4 Item Ledger Entry Type",$C$4,"2 Item No.","@@"&amp;$F1307,"3 Posting Date",O$9)+NL("Sum","5802 Value Entry","17 Sales Amount (Actual)","41 Source Type",$C$5,"5 Source no.",$C1307,"4 Item Ledger Entry Type",$C$4,"2 Item No.","@@"&amp;$F1307,"3 Posting Date",O$9)</t>
  </si>
  <si>
    <t>=-NL("Sum","5802 Value Entry","151 Cost Amount (Expected)","41 Source Type",$C$5,"5 Source No.",$C1307,"4 Item Ledger Entry Type",$C$4,"2 Item No.","@@"&amp;$F1307,"3 Posting Date",O$9)-NL("Sum","5802 Value Entry","43 Cost Amount (Actual)","41 Source Type",$C$5,"5 Source no.",$C1307,"4 Item Ledger Entry Type",$C$4,"2 Item No.","@@"&amp;$F1307,"3 Posting Date",O$9)</t>
  </si>
  <si>
    <t>=O1307-Q1307</t>
  </si>
  <si>
    <t>=IF(O1307&lt;&gt;0,R1307/O1307,"")</t>
  </si>
  <si>
    <t>=NL("Sum","5802 Value Entry","150 Sales Amount (Expected)","41 Source Type",$C$5,"5 Source No.",$C1307,"4 Item Ledger Entry Type",$C$4,"2 Item No.","@@"&amp;$F1307,"3 Posting Date",U$9)+NL("Sum","5802 Value Entry","17 Sales Amount (Actual)","41 Source Type",$C$5,"5 Source no.",$C1307,"4 Item Ledger Entry Type",$C$4,"2 Item No.","@@"&amp;$F1307,"3 Posting Date",U$9)</t>
  </si>
  <si>
    <t>=-NL("Sum","5802 Value Entry","151 Cost Amount (Expected)","41 Source Type",$C$5,"5 Source No.",$C1307,"4 Item Ledger Entry Type",$C$4,"2 Item No.","@@"&amp;$F1307,"3 Posting Date",U$9)-NL("Sum","5802 Value Entry","43 Cost Amount (Actual)","41 Source Type",$C$5,"5 Source no.",$C1307,"4 Item Ledger Entry Type",$C$4,"2 Item No.","@@"&amp;$F1307,"3 Posting Date",U$9)</t>
  </si>
  <si>
    <t>=U1307-W1307</t>
  </si>
  <si>
    <t>=IF(U1307&lt;&gt;0,X1307/U1307,"")</t>
  </si>
  <si>
    <t>=NL("Sum","5802 Value Entry","150 Sales Amount (Expected)","41 Source Type",$C$5,"5 Source No.",$C1307,"4 Item Ledger Entry Type",$C$4,"2 Item No.","@@"&amp;$F1307,"3 Posting Date",Z$9)+NL("Sum","5802 Value Entry","17 Sales Amount (Actual)","41 Source Type",$C$5,"5 Source no.",$C1307,"4 Item Ledger Entry Type",$C$4,"2 Item No.","@@"&amp;$F1307,"3 Posting Date",Z$9)</t>
  </si>
  <si>
    <t>=-NL("Sum","5802 Value Entry","151 Cost Amount (Expected)","41 Source Type",$C$5,"5 Source No.",$C1307,"4 Item Ledger Entry Type",$C$4,"2 Item No.","@@"&amp;$F1307,"3 Posting Date",Z$9)-NL("Sum","5802 Value Entry","43 Cost Amount (Actual)","41 Source Type",$C$5,"5 Source no.",$C1307,"4 Item Ledger Entry Type",$C$4,"2 Item No.","@@"&amp;$F1307,"3 Posting Date",Z$9)</t>
  </si>
  <si>
    <t>=Z1307-AB1307</t>
  </si>
  <si>
    <t>=IF(Z1307&lt;&gt;0,AC1307/Z1307,"")</t>
  </si>
  <si>
    <t>=C1307</t>
  </si>
  <si>
    <t>=NL("Sum","5802 Value Entry","150 Sales Amount (Expected)","41 Source Type",$C$5,"5 Source No.",$C1308,"4 Item Ledger Entry Type",$C$4,"2 Item No.","@@"&amp;$F1308,"3 Posting Date",J$9)+NL("Sum","5802 Value Entry","17 Sales Amount (Actual)","41 Source Type",$C$5,"5 Source no.",$C1308,"4 Item Ledger Entry Type",$C$4,"2 Item No.","@@"&amp;$F1308,"3 Posting Date",J$9)</t>
  </si>
  <si>
    <t>=-NL("Sum","5802 Value Entry","151 Cost Amount (Expected)","41 Source Type",$C$5,"5 Source No.",$C1308,"4 Item Ledger Entry Type",$C$4,"2 Item No.","@@"&amp;$F1308,"3 Posting Date",J$9)-NL("Sum","5802 Value Entry","43 Cost Amount (Actual)","41 Source Type",$C$5,"5 Source no.",$C1308,"4 Item Ledger Entry Type",$C$4,"2 Item No.","@@"&amp;$F1308,"3 Posting Date",J$9)</t>
  </si>
  <si>
    <t>=J1308-L1308</t>
  </si>
  <si>
    <t>=IF(J1308&lt;&gt;0,M1308/J1308,"")</t>
  </si>
  <si>
    <t>=NL("Sum","5802 Value Entry","150 Sales Amount (Expected)","41 Source Type",$C$5,"5 Source No.",$C1308,"4 Item Ledger Entry Type",$C$4,"2 Item No.","@@"&amp;$F1308,"3 Posting Date",O$9)+NL("Sum","5802 Value Entry","17 Sales Amount (Actual)","41 Source Type",$C$5,"5 Source no.",$C1308,"4 Item Ledger Entry Type",$C$4,"2 Item No.","@@"&amp;$F1308,"3 Posting Date",O$9)</t>
  </si>
  <si>
    <t>=-NL("Sum","5802 Value Entry","151 Cost Amount (Expected)","41 Source Type",$C$5,"5 Source No.",$C1308,"4 Item Ledger Entry Type",$C$4,"2 Item No.","@@"&amp;$F1308,"3 Posting Date",O$9)-NL("Sum","5802 Value Entry","43 Cost Amount (Actual)","41 Source Type",$C$5,"5 Source no.",$C1308,"4 Item Ledger Entry Type",$C$4,"2 Item No.","@@"&amp;$F1308,"3 Posting Date",O$9)</t>
  </si>
  <si>
    <t>=O1308-Q1308</t>
  </si>
  <si>
    <t>=IF(O1308&lt;&gt;0,R1308/O1308,"")</t>
  </si>
  <si>
    <t>=NL("Sum","5802 Value Entry","150 Sales Amount (Expected)","41 Source Type",$C$5,"5 Source No.",$C1308,"4 Item Ledger Entry Type",$C$4,"2 Item No.","@@"&amp;$F1308,"3 Posting Date",U$9)+NL("Sum","5802 Value Entry","17 Sales Amount (Actual)","41 Source Type",$C$5,"5 Source no.",$C1308,"4 Item Ledger Entry Type",$C$4,"2 Item No.","@@"&amp;$F1308,"3 Posting Date",U$9)</t>
  </si>
  <si>
    <t>=-NL("Sum","5802 Value Entry","151 Cost Amount (Expected)","41 Source Type",$C$5,"5 Source No.",$C1308,"4 Item Ledger Entry Type",$C$4,"2 Item No.","@@"&amp;$F1308,"3 Posting Date",U$9)-NL("Sum","5802 Value Entry","43 Cost Amount (Actual)","41 Source Type",$C$5,"5 Source no.",$C1308,"4 Item Ledger Entry Type",$C$4,"2 Item No.","@@"&amp;$F1308,"3 Posting Date",U$9)</t>
  </si>
  <si>
    <t>=U1308-W1308</t>
  </si>
  <si>
    <t>=IF(U1308&lt;&gt;0,X1308/U1308,"")</t>
  </si>
  <si>
    <t>=NL("Sum","5802 Value Entry","150 Sales Amount (Expected)","41 Source Type",$C$5,"5 Source No.",$C1308,"4 Item Ledger Entry Type",$C$4,"2 Item No.","@@"&amp;$F1308,"3 Posting Date",Z$9)+NL("Sum","5802 Value Entry","17 Sales Amount (Actual)","41 Source Type",$C$5,"5 Source no.",$C1308,"4 Item Ledger Entry Type",$C$4,"2 Item No.","@@"&amp;$F1308,"3 Posting Date",Z$9)</t>
  </si>
  <si>
    <t>=-NL("Sum","5802 Value Entry","151 Cost Amount (Expected)","41 Source Type",$C$5,"5 Source No.",$C1308,"4 Item Ledger Entry Type",$C$4,"2 Item No.","@@"&amp;$F1308,"3 Posting Date",Z$9)-NL("Sum","5802 Value Entry","43 Cost Amount (Actual)","41 Source Type",$C$5,"5 Source no.",$C1308,"4 Item Ledger Entry Type",$C$4,"2 Item No.","@@"&amp;$F1308,"3 Posting Date",Z$9)</t>
  </si>
  <si>
    <t>=Z1308-AB1308</t>
  </si>
  <si>
    <t>=IF(Z1308&lt;&gt;0,AC1308/Z1308,"")</t>
  </si>
  <si>
    <t>=C1308</t>
  </si>
  <si>
    <t>=NL("Sum","5802 Value Entry","150 Sales Amount (Expected)","41 Source Type",$C$5,"5 Source No.",$C1309,"4 Item Ledger Entry Type",$C$4,"2 Item No.","@@"&amp;$F1309,"3 Posting Date",J$9)+NL("Sum","5802 Value Entry","17 Sales Amount (Actual)","41 Source Type",$C$5,"5 Source no.",$C1309,"4 Item Ledger Entry Type",$C$4,"2 Item No.","@@"&amp;$F1309,"3 Posting Date",J$9)</t>
  </si>
  <si>
    <t>=-NL("Sum","5802 Value Entry","151 Cost Amount (Expected)","41 Source Type",$C$5,"5 Source No.",$C1309,"4 Item Ledger Entry Type",$C$4,"2 Item No.","@@"&amp;$F1309,"3 Posting Date",J$9)-NL("Sum","5802 Value Entry","43 Cost Amount (Actual)","41 Source Type",$C$5,"5 Source no.",$C1309,"4 Item Ledger Entry Type",$C$4,"2 Item No.","@@"&amp;$F1309,"3 Posting Date",J$9)</t>
  </si>
  <si>
    <t>=J1309-L1309</t>
  </si>
  <si>
    <t>=IF(J1309&lt;&gt;0,M1309/J1309,"")</t>
  </si>
  <si>
    <t>=NL("Sum","5802 Value Entry","150 Sales Amount (Expected)","41 Source Type",$C$5,"5 Source No.",$C1309,"4 Item Ledger Entry Type",$C$4,"2 Item No.","@@"&amp;$F1309,"3 Posting Date",O$9)+NL("Sum","5802 Value Entry","17 Sales Amount (Actual)","41 Source Type",$C$5,"5 Source no.",$C1309,"4 Item Ledger Entry Type",$C$4,"2 Item No.","@@"&amp;$F1309,"3 Posting Date",O$9)</t>
  </si>
  <si>
    <t>=-NL("Sum","5802 Value Entry","151 Cost Amount (Expected)","41 Source Type",$C$5,"5 Source No.",$C1309,"4 Item Ledger Entry Type",$C$4,"2 Item No.","@@"&amp;$F1309,"3 Posting Date",O$9)-NL("Sum","5802 Value Entry","43 Cost Amount (Actual)","41 Source Type",$C$5,"5 Source no.",$C1309,"4 Item Ledger Entry Type",$C$4,"2 Item No.","@@"&amp;$F1309,"3 Posting Date",O$9)</t>
  </si>
  <si>
    <t>=O1309-Q1309</t>
  </si>
  <si>
    <t>=IF(O1309&lt;&gt;0,R1309/O1309,"")</t>
  </si>
  <si>
    <t>=NL("Sum","5802 Value Entry","150 Sales Amount (Expected)","41 Source Type",$C$5,"5 Source No.",$C1309,"4 Item Ledger Entry Type",$C$4,"2 Item No.","@@"&amp;$F1309,"3 Posting Date",U$9)+NL("Sum","5802 Value Entry","17 Sales Amount (Actual)","41 Source Type",$C$5,"5 Source no.",$C1309,"4 Item Ledger Entry Type",$C$4,"2 Item No.","@@"&amp;$F1309,"3 Posting Date",U$9)</t>
  </si>
  <si>
    <t>=-NL("Sum","5802 Value Entry","151 Cost Amount (Expected)","41 Source Type",$C$5,"5 Source No.",$C1309,"4 Item Ledger Entry Type",$C$4,"2 Item No.","@@"&amp;$F1309,"3 Posting Date",U$9)-NL("Sum","5802 Value Entry","43 Cost Amount (Actual)","41 Source Type",$C$5,"5 Source no.",$C1309,"4 Item Ledger Entry Type",$C$4,"2 Item No.","@@"&amp;$F1309,"3 Posting Date",U$9)</t>
  </si>
  <si>
    <t>=U1309-W1309</t>
  </si>
  <si>
    <t>=IF(U1309&lt;&gt;0,X1309/U1309,"")</t>
  </si>
  <si>
    <t>=NL("Sum","5802 Value Entry","150 Sales Amount (Expected)","41 Source Type",$C$5,"5 Source No.",$C1309,"4 Item Ledger Entry Type",$C$4,"2 Item No.","@@"&amp;$F1309,"3 Posting Date",Z$9)+NL("Sum","5802 Value Entry","17 Sales Amount (Actual)","41 Source Type",$C$5,"5 Source no.",$C1309,"4 Item Ledger Entry Type",$C$4,"2 Item No.","@@"&amp;$F1309,"3 Posting Date",Z$9)</t>
  </si>
  <si>
    <t>=-NL("Sum","5802 Value Entry","151 Cost Amount (Expected)","41 Source Type",$C$5,"5 Source No.",$C1309,"4 Item Ledger Entry Type",$C$4,"2 Item No.","@@"&amp;$F1309,"3 Posting Date",Z$9)-NL("Sum","5802 Value Entry","43 Cost Amount (Actual)","41 Source Type",$C$5,"5 Source no.",$C1309,"4 Item Ledger Entry Type",$C$4,"2 Item No.","@@"&amp;$F1309,"3 Posting Date",Z$9)</t>
  </si>
  <si>
    <t>=Z1309-AB1309</t>
  </si>
  <si>
    <t>=IF(Z1309&lt;&gt;0,AC1309/Z1309,"")</t>
  </si>
  <si>
    <t>=C1309</t>
  </si>
  <si>
    <t>=NL("Sum","5802 Value Entry","150 Sales Amount (Expected)","41 Source Type",$C$5,"5 Source No.",$C1310,"4 Item Ledger Entry Type",$C$4,"2 Item No.","@@"&amp;$F1310,"3 Posting Date",J$9)+NL("Sum","5802 Value Entry","17 Sales Amount (Actual)","41 Source Type",$C$5,"5 Source no.",$C1310,"4 Item Ledger Entry Type",$C$4,"2 Item No.","@@"&amp;$F1310,"3 Posting Date",J$9)</t>
  </si>
  <si>
    <t>=-NL("Sum","5802 Value Entry","151 Cost Amount (Expected)","41 Source Type",$C$5,"5 Source No.",$C1310,"4 Item Ledger Entry Type",$C$4,"2 Item No.","@@"&amp;$F1310,"3 Posting Date",J$9)-NL("Sum","5802 Value Entry","43 Cost Amount (Actual)","41 Source Type",$C$5,"5 Source no.",$C1310,"4 Item Ledger Entry Type",$C$4,"2 Item No.","@@"&amp;$F1310,"3 Posting Date",J$9)</t>
  </si>
  <si>
    <t>=J1310-L1310</t>
  </si>
  <si>
    <t>=IF(J1310&lt;&gt;0,M1310/J1310,"")</t>
  </si>
  <si>
    <t>=NL("Sum","5802 Value Entry","150 Sales Amount (Expected)","41 Source Type",$C$5,"5 Source No.",$C1310,"4 Item Ledger Entry Type",$C$4,"2 Item No.","@@"&amp;$F1310,"3 Posting Date",O$9)+NL("Sum","5802 Value Entry","17 Sales Amount (Actual)","41 Source Type",$C$5,"5 Source no.",$C1310,"4 Item Ledger Entry Type",$C$4,"2 Item No.","@@"&amp;$F1310,"3 Posting Date",O$9)</t>
  </si>
  <si>
    <t>=-NL("Sum","5802 Value Entry","151 Cost Amount (Expected)","41 Source Type",$C$5,"5 Source No.",$C1310,"4 Item Ledger Entry Type",$C$4,"2 Item No.","@@"&amp;$F1310,"3 Posting Date",O$9)-NL("Sum","5802 Value Entry","43 Cost Amount (Actual)","41 Source Type",$C$5,"5 Source no.",$C1310,"4 Item Ledger Entry Type",$C$4,"2 Item No.","@@"&amp;$F1310,"3 Posting Date",O$9)</t>
  </si>
  <si>
    <t>=O1310-Q1310</t>
  </si>
  <si>
    <t>=IF(O1310&lt;&gt;0,R1310/O1310,"")</t>
  </si>
  <si>
    <t>=NL("Sum","5802 Value Entry","150 Sales Amount (Expected)","41 Source Type",$C$5,"5 Source No.",$C1310,"4 Item Ledger Entry Type",$C$4,"2 Item No.","@@"&amp;$F1310,"3 Posting Date",U$9)+NL("Sum","5802 Value Entry","17 Sales Amount (Actual)","41 Source Type",$C$5,"5 Source no.",$C1310,"4 Item Ledger Entry Type",$C$4,"2 Item No.","@@"&amp;$F1310,"3 Posting Date",U$9)</t>
  </si>
  <si>
    <t>=-NL("Sum","5802 Value Entry","151 Cost Amount (Expected)","41 Source Type",$C$5,"5 Source No.",$C1310,"4 Item Ledger Entry Type",$C$4,"2 Item No.","@@"&amp;$F1310,"3 Posting Date",U$9)-NL("Sum","5802 Value Entry","43 Cost Amount (Actual)","41 Source Type",$C$5,"5 Source no.",$C1310,"4 Item Ledger Entry Type",$C$4,"2 Item No.","@@"&amp;$F1310,"3 Posting Date",U$9)</t>
  </si>
  <si>
    <t>=U1310-W1310</t>
  </si>
  <si>
    <t>=IF(U1310&lt;&gt;0,X1310/U1310,"")</t>
  </si>
  <si>
    <t>=NL("Sum","5802 Value Entry","150 Sales Amount (Expected)","41 Source Type",$C$5,"5 Source No.",$C1310,"4 Item Ledger Entry Type",$C$4,"2 Item No.","@@"&amp;$F1310,"3 Posting Date",Z$9)+NL("Sum","5802 Value Entry","17 Sales Amount (Actual)","41 Source Type",$C$5,"5 Source no.",$C1310,"4 Item Ledger Entry Type",$C$4,"2 Item No.","@@"&amp;$F1310,"3 Posting Date",Z$9)</t>
  </si>
  <si>
    <t>=-NL("Sum","5802 Value Entry","151 Cost Amount (Expected)","41 Source Type",$C$5,"5 Source No.",$C1310,"4 Item Ledger Entry Type",$C$4,"2 Item No.","@@"&amp;$F1310,"3 Posting Date",Z$9)-NL("Sum","5802 Value Entry","43 Cost Amount (Actual)","41 Source Type",$C$5,"5 Source no.",$C1310,"4 Item Ledger Entry Type",$C$4,"2 Item No.","@@"&amp;$F1310,"3 Posting Date",Z$9)</t>
  </si>
  <si>
    <t>=Z1310-AB1310</t>
  </si>
  <si>
    <t>=IF(Z1310&lt;&gt;0,AC1310/Z1310,"")</t>
  </si>
  <si>
    <t>=C1310</t>
  </si>
  <si>
    <t>=NL("Sum","5802 Value Entry","150 Sales Amount (Expected)","41 Source Type",$C$5,"5 Source No.",$C1311,"4 Item Ledger Entry Type",$C$4,"2 Item No.","@@"&amp;$F1311,"3 Posting Date",J$9)+NL("Sum","5802 Value Entry","17 Sales Amount (Actual)","41 Source Type",$C$5,"5 Source no.",$C1311,"4 Item Ledger Entry Type",$C$4,"2 Item No.","@@"&amp;$F1311,"3 Posting Date",J$9)</t>
  </si>
  <si>
    <t>=-NL("Sum","5802 Value Entry","151 Cost Amount (Expected)","41 Source Type",$C$5,"5 Source No.",$C1311,"4 Item Ledger Entry Type",$C$4,"2 Item No.","@@"&amp;$F1311,"3 Posting Date",J$9)-NL("Sum","5802 Value Entry","43 Cost Amount (Actual)","41 Source Type",$C$5,"5 Source no.",$C1311,"4 Item Ledger Entry Type",$C$4,"2 Item No.","@@"&amp;$F1311,"3 Posting Date",J$9)</t>
  </si>
  <si>
    <t>=J1311-L1311</t>
  </si>
  <si>
    <t>=IF(J1311&lt;&gt;0,M1311/J1311,"")</t>
  </si>
  <si>
    <t>=NL("Sum","5802 Value Entry","150 Sales Amount (Expected)","41 Source Type",$C$5,"5 Source No.",$C1311,"4 Item Ledger Entry Type",$C$4,"2 Item No.","@@"&amp;$F1311,"3 Posting Date",O$9)+NL("Sum","5802 Value Entry","17 Sales Amount (Actual)","41 Source Type",$C$5,"5 Source no.",$C1311,"4 Item Ledger Entry Type",$C$4,"2 Item No.","@@"&amp;$F1311,"3 Posting Date",O$9)</t>
  </si>
  <si>
    <t>=-NL("Sum","5802 Value Entry","151 Cost Amount (Expected)","41 Source Type",$C$5,"5 Source No.",$C1311,"4 Item Ledger Entry Type",$C$4,"2 Item No.","@@"&amp;$F1311,"3 Posting Date",O$9)-NL("Sum","5802 Value Entry","43 Cost Amount (Actual)","41 Source Type",$C$5,"5 Source no.",$C1311,"4 Item Ledger Entry Type",$C$4,"2 Item No.","@@"&amp;$F1311,"3 Posting Date",O$9)</t>
  </si>
  <si>
    <t>=O1311-Q1311</t>
  </si>
  <si>
    <t>=IF(O1311&lt;&gt;0,R1311/O1311,"")</t>
  </si>
  <si>
    <t>=NL("Sum","5802 Value Entry","150 Sales Amount (Expected)","41 Source Type",$C$5,"5 Source No.",$C1311,"4 Item Ledger Entry Type",$C$4,"2 Item No.","@@"&amp;$F1311,"3 Posting Date",U$9)+NL("Sum","5802 Value Entry","17 Sales Amount (Actual)","41 Source Type",$C$5,"5 Source no.",$C1311,"4 Item Ledger Entry Type",$C$4,"2 Item No.","@@"&amp;$F1311,"3 Posting Date",U$9)</t>
  </si>
  <si>
    <t>=-NL("Sum","5802 Value Entry","151 Cost Amount (Expected)","41 Source Type",$C$5,"5 Source No.",$C1311,"4 Item Ledger Entry Type",$C$4,"2 Item No.","@@"&amp;$F1311,"3 Posting Date",U$9)-NL("Sum","5802 Value Entry","43 Cost Amount (Actual)","41 Source Type",$C$5,"5 Source no.",$C1311,"4 Item Ledger Entry Type",$C$4,"2 Item No.","@@"&amp;$F1311,"3 Posting Date",U$9)</t>
  </si>
  <si>
    <t>=U1311-W1311</t>
  </si>
  <si>
    <t>=IF(U1311&lt;&gt;0,X1311/U1311,"")</t>
  </si>
  <si>
    <t>=NL("Sum","5802 Value Entry","150 Sales Amount (Expected)","41 Source Type",$C$5,"5 Source No.",$C1311,"4 Item Ledger Entry Type",$C$4,"2 Item No.","@@"&amp;$F1311,"3 Posting Date",Z$9)+NL("Sum","5802 Value Entry","17 Sales Amount (Actual)","41 Source Type",$C$5,"5 Source no.",$C1311,"4 Item Ledger Entry Type",$C$4,"2 Item No.","@@"&amp;$F1311,"3 Posting Date",Z$9)</t>
  </si>
  <si>
    <t>=-NL("Sum","5802 Value Entry","151 Cost Amount (Expected)","41 Source Type",$C$5,"5 Source No.",$C1311,"4 Item Ledger Entry Type",$C$4,"2 Item No.","@@"&amp;$F1311,"3 Posting Date",Z$9)-NL("Sum","5802 Value Entry","43 Cost Amount (Actual)","41 Source Type",$C$5,"5 Source no.",$C1311,"4 Item Ledger Entry Type",$C$4,"2 Item No.","@@"&amp;$F1311,"3 Posting Date",Z$9)</t>
  </si>
  <si>
    <t>=Z1311-AB1311</t>
  </si>
  <si>
    <t>=IF(Z1311&lt;&gt;0,AC1311/Z1311,"")</t>
  </si>
  <si>
    <t>=C1311</t>
  </si>
  <si>
    <t>=NL("Sum","5802 Value Entry","150 Sales Amount (Expected)","41 Source Type",$C$5,"5 Source No.",$C1312,"4 Item Ledger Entry Type",$C$4,"2 Item No.","@@"&amp;$F1312,"3 Posting Date",J$9)+NL("Sum","5802 Value Entry","17 Sales Amount (Actual)","41 Source Type",$C$5,"5 Source no.",$C1312,"4 Item Ledger Entry Type",$C$4,"2 Item No.","@@"&amp;$F1312,"3 Posting Date",J$9)</t>
  </si>
  <si>
    <t>=-NL("Sum","5802 Value Entry","151 Cost Amount (Expected)","41 Source Type",$C$5,"5 Source No.",$C1312,"4 Item Ledger Entry Type",$C$4,"2 Item No.","@@"&amp;$F1312,"3 Posting Date",J$9)-NL("Sum","5802 Value Entry","43 Cost Amount (Actual)","41 Source Type",$C$5,"5 Source no.",$C1312,"4 Item Ledger Entry Type",$C$4,"2 Item No.","@@"&amp;$F1312,"3 Posting Date",J$9)</t>
  </si>
  <si>
    <t>=J1312-L1312</t>
  </si>
  <si>
    <t>=IF(J1312&lt;&gt;0,M1312/J1312,"")</t>
  </si>
  <si>
    <t>=NL("Sum","5802 Value Entry","150 Sales Amount (Expected)","41 Source Type",$C$5,"5 Source No.",$C1312,"4 Item Ledger Entry Type",$C$4,"2 Item No.","@@"&amp;$F1312,"3 Posting Date",O$9)+NL("Sum","5802 Value Entry","17 Sales Amount (Actual)","41 Source Type",$C$5,"5 Source no.",$C1312,"4 Item Ledger Entry Type",$C$4,"2 Item No.","@@"&amp;$F1312,"3 Posting Date",O$9)</t>
  </si>
  <si>
    <t>=-NL("Sum","5802 Value Entry","151 Cost Amount (Expected)","41 Source Type",$C$5,"5 Source No.",$C1312,"4 Item Ledger Entry Type",$C$4,"2 Item No.","@@"&amp;$F1312,"3 Posting Date",O$9)-NL("Sum","5802 Value Entry","43 Cost Amount (Actual)","41 Source Type",$C$5,"5 Source no.",$C1312,"4 Item Ledger Entry Type",$C$4,"2 Item No.","@@"&amp;$F1312,"3 Posting Date",O$9)</t>
  </si>
  <si>
    <t>=O1312-Q1312</t>
  </si>
  <si>
    <t>=IF(O1312&lt;&gt;0,R1312/O1312,"")</t>
  </si>
  <si>
    <t>=NL("Sum","5802 Value Entry","150 Sales Amount (Expected)","41 Source Type",$C$5,"5 Source No.",$C1312,"4 Item Ledger Entry Type",$C$4,"2 Item No.","@@"&amp;$F1312,"3 Posting Date",U$9)+NL("Sum","5802 Value Entry","17 Sales Amount (Actual)","41 Source Type",$C$5,"5 Source no.",$C1312,"4 Item Ledger Entry Type",$C$4,"2 Item No.","@@"&amp;$F1312,"3 Posting Date",U$9)</t>
  </si>
  <si>
    <t>=-NL("Sum","5802 Value Entry","151 Cost Amount (Expected)","41 Source Type",$C$5,"5 Source No.",$C1312,"4 Item Ledger Entry Type",$C$4,"2 Item No.","@@"&amp;$F1312,"3 Posting Date",U$9)-NL("Sum","5802 Value Entry","43 Cost Amount (Actual)","41 Source Type",$C$5,"5 Source no.",$C1312,"4 Item Ledger Entry Type",$C$4,"2 Item No.","@@"&amp;$F1312,"3 Posting Date",U$9)</t>
  </si>
  <si>
    <t>=U1312-W1312</t>
  </si>
  <si>
    <t>=IF(U1312&lt;&gt;0,X1312/U1312,"")</t>
  </si>
  <si>
    <t>=NL("Sum","5802 Value Entry","150 Sales Amount (Expected)","41 Source Type",$C$5,"5 Source No.",$C1312,"4 Item Ledger Entry Type",$C$4,"2 Item No.","@@"&amp;$F1312,"3 Posting Date",Z$9)+NL("Sum","5802 Value Entry","17 Sales Amount (Actual)","41 Source Type",$C$5,"5 Source no.",$C1312,"4 Item Ledger Entry Type",$C$4,"2 Item No.","@@"&amp;$F1312,"3 Posting Date",Z$9)</t>
  </si>
  <si>
    <t>=-NL("Sum","5802 Value Entry","151 Cost Amount (Expected)","41 Source Type",$C$5,"5 Source No.",$C1312,"4 Item Ledger Entry Type",$C$4,"2 Item No.","@@"&amp;$F1312,"3 Posting Date",Z$9)-NL("Sum","5802 Value Entry","43 Cost Amount (Actual)","41 Source Type",$C$5,"5 Source no.",$C1312,"4 Item Ledger Entry Type",$C$4,"2 Item No.","@@"&amp;$F1312,"3 Posting Date",Z$9)</t>
  </si>
  <si>
    <t>=Z1312-AB1312</t>
  </si>
  <si>
    <t>=IF(Z1312&lt;&gt;0,AC1312/Z1312,"")</t>
  </si>
  <si>
    <t>=C1312</t>
  </si>
  <si>
    <t>=NL("Sum","5802 Value Entry","150 Sales Amount (Expected)","41 Source Type",$C$5,"5 Source No.",$C1313,"4 Item Ledger Entry Type",$C$4,"2 Item No.","@@"&amp;$F1313,"3 Posting Date",J$9)+NL("Sum","5802 Value Entry","17 Sales Amount (Actual)","41 Source Type",$C$5,"5 Source no.",$C1313,"4 Item Ledger Entry Type",$C$4,"2 Item No.","@@"&amp;$F1313,"3 Posting Date",J$9)</t>
  </si>
  <si>
    <t>=-NL("Sum","5802 Value Entry","151 Cost Amount (Expected)","41 Source Type",$C$5,"5 Source No.",$C1313,"4 Item Ledger Entry Type",$C$4,"2 Item No.","@@"&amp;$F1313,"3 Posting Date",J$9)-NL("Sum","5802 Value Entry","43 Cost Amount (Actual)","41 Source Type",$C$5,"5 Source no.",$C1313,"4 Item Ledger Entry Type",$C$4,"2 Item No.","@@"&amp;$F1313,"3 Posting Date",J$9)</t>
  </si>
  <si>
    <t>=J1313-L1313</t>
  </si>
  <si>
    <t>=IF(J1313&lt;&gt;0,M1313/J1313,"")</t>
  </si>
  <si>
    <t>=NL("Sum","5802 Value Entry","150 Sales Amount (Expected)","41 Source Type",$C$5,"5 Source No.",$C1313,"4 Item Ledger Entry Type",$C$4,"2 Item No.","@@"&amp;$F1313,"3 Posting Date",O$9)+NL("Sum","5802 Value Entry","17 Sales Amount (Actual)","41 Source Type",$C$5,"5 Source no.",$C1313,"4 Item Ledger Entry Type",$C$4,"2 Item No.","@@"&amp;$F1313,"3 Posting Date",O$9)</t>
  </si>
  <si>
    <t>=-NL("Sum","5802 Value Entry","151 Cost Amount (Expected)","41 Source Type",$C$5,"5 Source No.",$C1313,"4 Item Ledger Entry Type",$C$4,"2 Item No.","@@"&amp;$F1313,"3 Posting Date",O$9)-NL("Sum","5802 Value Entry","43 Cost Amount (Actual)","41 Source Type",$C$5,"5 Source no.",$C1313,"4 Item Ledger Entry Type",$C$4,"2 Item No.","@@"&amp;$F1313,"3 Posting Date",O$9)</t>
  </si>
  <si>
    <t>=O1313-Q1313</t>
  </si>
  <si>
    <t>=IF(O1313&lt;&gt;0,R1313/O1313,"")</t>
  </si>
  <si>
    <t>=NL("Sum","5802 Value Entry","150 Sales Amount (Expected)","41 Source Type",$C$5,"5 Source No.",$C1313,"4 Item Ledger Entry Type",$C$4,"2 Item No.","@@"&amp;$F1313,"3 Posting Date",U$9)+NL("Sum","5802 Value Entry","17 Sales Amount (Actual)","41 Source Type",$C$5,"5 Source no.",$C1313,"4 Item Ledger Entry Type",$C$4,"2 Item No.","@@"&amp;$F1313,"3 Posting Date",U$9)</t>
  </si>
  <si>
    <t>=-NL("Sum","5802 Value Entry","151 Cost Amount (Expected)","41 Source Type",$C$5,"5 Source No.",$C1313,"4 Item Ledger Entry Type",$C$4,"2 Item No.","@@"&amp;$F1313,"3 Posting Date",U$9)-NL("Sum","5802 Value Entry","43 Cost Amount (Actual)","41 Source Type",$C$5,"5 Source no.",$C1313,"4 Item Ledger Entry Type",$C$4,"2 Item No.","@@"&amp;$F1313,"3 Posting Date",U$9)</t>
  </si>
  <si>
    <t>=U1313-W1313</t>
  </si>
  <si>
    <t>=IF(U1313&lt;&gt;0,X1313/U1313,"")</t>
  </si>
  <si>
    <t>=NL("Sum","5802 Value Entry","150 Sales Amount (Expected)","41 Source Type",$C$5,"5 Source No.",$C1313,"4 Item Ledger Entry Type",$C$4,"2 Item No.","@@"&amp;$F1313,"3 Posting Date",Z$9)+NL("Sum","5802 Value Entry","17 Sales Amount (Actual)","41 Source Type",$C$5,"5 Source no.",$C1313,"4 Item Ledger Entry Type",$C$4,"2 Item No.","@@"&amp;$F1313,"3 Posting Date",Z$9)</t>
  </si>
  <si>
    <t>=-NL("Sum","5802 Value Entry","151 Cost Amount (Expected)","41 Source Type",$C$5,"5 Source No.",$C1313,"4 Item Ledger Entry Type",$C$4,"2 Item No.","@@"&amp;$F1313,"3 Posting Date",Z$9)-NL("Sum","5802 Value Entry","43 Cost Amount (Actual)","41 Source Type",$C$5,"5 Source no.",$C1313,"4 Item Ledger Entry Type",$C$4,"2 Item No.","@@"&amp;$F1313,"3 Posting Date",Z$9)</t>
  </si>
  <si>
    <t>=Z1313-AB1313</t>
  </si>
  <si>
    <t>=IF(Z1313&lt;&gt;0,AC1313/Z1313,"")</t>
  </si>
  <si>
    <t>=C1313</t>
  </si>
  <si>
    <t>=NL("Sum","5802 Value Entry","150 Sales Amount (Expected)","41 Source Type",$C$5,"5 Source No.",$C1314,"4 Item Ledger Entry Type",$C$4,"2 Item No.","@@"&amp;$F1314,"3 Posting Date",J$9)+NL("Sum","5802 Value Entry","17 Sales Amount (Actual)","41 Source Type",$C$5,"5 Source no.",$C1314,"4 Item Ledger Entry Type",$C$4,"2 Item No.","@@"&amp;$F1314,"3 Posting Date",J$9)</t>
  </si>
  <si>
    <t>=-NL("Sum","5802 Value Entry","151 Cost Amount (Expected)","41 Source Type",$C$5,"5 Source No.",$C1314,"4 Item Ledger Entry Type",$C$4,"2 Item No.","@@"&amp;$F1314,"3 Posting Date",J$9)-NL("Sum","5802 Value Entry","43 Cost Amount (Actual)","41 Source Type",$C$5,"5 Source no.",$C1314,"4 Item Ledger Entry Type",$C$4,"2 Item No.","@@"&amp;$F1314,"3 Posting Date",J$9)</t>
  </si>
  <si>
    <t>=J1314-L1314</t>
  </si>
  <si>
    <t>=IF(J1314&lt;&gt;0,M1314/J1314,"")</t>
  </si>
  <si>
    <t>=NL("Sum","5802 Value Entry","150 Sales Amount (Expected)","41 Source Type",$C$5,"5 Source No.",$C1314,"4 Item Ledger Entry Type",$C$4,"2 Item No.","@@"&amp;$F1314,"3 Posting Date",O$9)+NL("Sum","5802 Value Entry","17 Sales Amount (Actual)","41 Source Type",$C$5,"5 Source no.",$C1314,"4 Item Ledger Entry Type",$C$4,"2 Item No.","@@"&amp;$F1314,"3 Posting Date",O$9)</t>
  </si>
  <si>
    <t>=-NL("Sum","5802 Value Entry","151 Cost Amount (Expected)","41 Source Type",$C$5,"5 Source No.",$C1314,"4 Item Ledger Entry Type",$C$4,"2 Item No.","@@"&amp;$F1314,"3 Posting Date",O$9)-NL("Sum","5802 Value Entry","43 Cost Amount (Actual)","41 Source Type",$C$5,"5 Source no.",$C1314,"4 Item Ledger Entry Type",$C$4,"2 Item No.","@@"&amp;$F1314,"3 Posting Date",O$9)</t>
  </si>
  <si>
    <t>=O1314-Q1314</t>
  </si>
  <si>
    <t>=IF(O1314&lt;&gt;0,R1314/O1314,"")</t>
  </si>
  <si>
    <t>=NL("Sum","5802 Value Entry","150 Sales Amount (Expected)","41 Source Type",$C$5,"5 Source No.",$C1314,"4 Item Ledger Entry Type",$C$4,"2 Item No.","@@"&amp;$F1314,"3 Posting Date",U$9)+NL("Sum","5802 Value Entry","17 Sales Amount (Actual)","41 Source Type",$C$5,"5 Source no.",$C1314,"4 Item Ledger Entry Type",$C$4,"2 Item No.","@@"&amp;$F1314,"3 Posting Date",U$9)</t>
  </si>
  <si>
    <t>=-NL("Sum","5802 Value Entry","151 Cost Amount (Expected)","41 Source Type",$C$5,"5 Source No.",$C1314,"4 Item Ledger Entry Type",$C$4,"2 Item No.","@@"&amp;$F1314,"3 Posting Date",U$9)-NL("Sum","5802 Value Entry","43 Cost Amount (Actual)","41 Source Type",$C$5,"5 Source no.",$C1314,"4 Item Ledger Entry Type",$C$4,"2 Item No.","@@"&amp;$F1314,"3 Posting Date",U$9)</t>
  </si>
  <si>
    <t>=U1314-W1314</t>
  </si>
  <si>
    <t>=IF(U1314&lt;&gt;0,X1314/U1314,"")</t>
  </si>
  <si>
    <t>=NL("Sum","5802 Value Entry","150 Sales Amount (Expected)","41 Source Type",$C$5,"5 Source No.",$C1314,"4 Item Ledger Entry Type",$C$4,"2 Item No.","@@"&amp;$F1314,"3 Posting Date",Z$9)+NL("Sum","5802 Value Entry","17 Sales Amount (Actual)","41 Source Type",$C$5,"5 Source no.",$C1314,"4 Item Ledger Entry Type",$C$4,"2 Item No.","@@"&amp;$F1314,"3 Posting Date",Z$9)</t>
  </si>
  <si>
    <t>=-NL("Sum","5802 Value Entry","151 Cost Amount (Expected)","41 Source Type",$C$5,"5 Source No.",$C1314,"4 Item Ledger Entry Type",$C$4,"2 Item No.","@@"&amp;$F1314,"3 Posting Date",Z$9)-NL("Sum","5802 Value Entry","43 Cost Amount (Actual)","41 Source Type",$C$5,"5 Source no.",$C1314,"4 Item Ledger Entry Type",$C$4,"2 Item No.","@@"&amp;$F1314,"3 Posting Date",Z$9)</t>
  </si>
  <si>
    <t>=Z1314-AB1314</t>
  </si>
  <si>
    <t>=IF(Z1314&lt;&gt;0,AC1314/Z1314,"")</t>
  </si>
  <si>
    <t>=C1314</t>
  </si>
  <si>
    <t>=NL("Sum","5802 Value Entry","150 Sales Amount (Expected)","41 Source Type",$C$5,"5 Source No.",$C1315,"4 Item Ledger Entry Type",$C$4,"2 Item No.","@@"&amp;$F1315,"3 Posting Date",J$9)+NL("Sum","5802 Value Entry","17 Sales Amount (Actual)","41 Source Type",$C$5,"5 Source no.",$C1315,"4 Item Ledger Entry Type",$C$4,"2 Item No.","@@"&amp;$F1315,"3 Posting Date",J$9)</t>
  </si>
  <si>
    <t>=-NL("Sum","5802 Value Entry","151 Cost Amount (Expected)","41 Source Type",$C$5,"5 Source No.",$C1315,"4 Item Ledger Entry Type",$C$4,"2 Item No.","@@"&amp;$F1315,"3 Posting Date",J$9)-NL("Sum","5802 Value Entry","43 Cost Amount (Actual)","41 Source Type",$C$5,"5 Source no.",$C1315,"4 Item Ledger Entry Type",$C$4,"2 Item No.","@@"&amp;$F1315,"3 Posting Date",J$9)</t>
  </si>
  <si>
    <t>=J1315-L1315</t>
  </si>
  <si>
    <t>=IF(J1315&lt;&gt;0,M1315/J1315,"")</t>
  </si>
  <si>
    <t>=NL("Sum","5802 Value Entry","150 Sales Amount (Expected)","41 Source Type",$C$5,"5 Source No.",$C1315,"4 Item Ledger Entry Type",$C$4,"2 Item No.","@@"&amp;$F1315,"3 Posting Date",O$9)+NL("Sum","5802 Value Entry","17 Sales Amount (Actual)","41 Source Type",$C$5,"5 Source no.",$C1315,"4 Item Ledger Entry Type",$C$4,"2 Item No.","@@"&amp;$F1315,"3 Posting Date",O$9)</t>
  </si>
  <si>
    <t>=-NL("Sum","5802 Value Entry","151 Cost Amount (Expected)","41 Source Type",$C$5,"5 Source No.",$C1315,"4 Item Ledger Entry Type",$C$4,"2 Item No.","@@"&amp;$F1315,"3 Posting Date",O$9)-NL("Sum","5802 Value Entry","43 Cost Amount (Actual)","41 Source Type",$C$5,"5 Source no.",$C1315,"4 Item Ledger Entry Type",$C$4,"2 Item No.","@@"&amp;$F1315,"3 Posting Date",O$9)</t>
  </si>
  <si>
    <t>=O1315-Q1315</t>
  </si>
  <si>
    <t>=IF(O1315&lt;&gt;0,R1315/O1315,"")</t>
  </si>
  <si>
    <t>=NL("Sum","5802 Value Entry","150 Sales Amount (Expected)","41 Source Type",$C$5,"5 Source No.",$C1315,"4 Item Ledger Entry Type",$C$4,"2 Item No.","@@"&amp;$F1315,"3 Posting Date",U$9)+NL("Sum","5802 Value Entry","17 Sales Amount (Actual)","41 Source Type",$C$5,"5 Source no.",$C1315,"4 Item Ledger Entry Type",$C$4,"2 Item No.","@@"&amp;$F1315,"3 Posting Date",U$9)</t>
  </si>
  <si>
    <t>=-NL("Sum","5802 Value Entry","151 Cost Amount (Expected)","41 Source Type",$C$5,"5 Source No.",$C1315,"4 Item Ledger Entry Type",$C$4,"2 Item No.","@@"&amp;$F1315,"3 Posting Date",U$9)-NL("Sum","5802 Value Entry","43 Cost Amount (Actual)","41 Source Type",$C$5,"5 Source no.",$C1315,"4 Item Ledger Entry Type",$C$4,"2 Item No.","@@"&amp;$F1315,"3 Posting Date",U$9)</t>
  </si>
  <si>
    <t>=U1315-W1315</t>
  </si>
  <si>
    <t>=IF(U1315&lt;&gt;0,X1315/U1315,"")</t>
  </si>
  <si>
    <t>=NL("Sum","5802 Value Entry","150 Sales Amount (Expected)","41 Source Type",$C$5,"5 Source No.",$C1315,"4 Item Ledger Entry Type",$C$4,"2 Item No.","@@"&amp;$F1315,"3 Posting Date",Z$9)+NL("Sum","5802 Value Entry","17 Sales Amount (Actual)","41 Source Type",$C$5,"5 Source no.",$C1315,"4 Item Ledger Entry Type",$C$4,"2 Item No.","@@"&amp;$F1315,"3 Posting Date",Z$9)</t>
  </si>
  <si>
    <t>=-NL("Sum","5802 Value Entry","151 Cost Amount (Expected)","41 Source Type",$C$5,"5 Source No.",$C1315,"4 Item Ledger Entry Type",$C$4,"2 Item No.","@@"&amp;$F1315,"3 Posting Date",Z$9)-NL("Sum","5802 Value Entry","43 Cost Amount (Actual)","41 Source Type",$C$5,"5 Source no.",$C1315,"4 Item Ledger Entry Type",$C$4,"2 Item No.","@@"&amp;$F1315,"3 Posting Date",Z$9)</t>
  </si>
  <si>
    <t>=Z1315-AB1315</t>
  </si>
  <si>
    <t>=IF(Z1315&lt;&gt;0,AC1315/Z1315,"")</t>
  </si>
  <si>
    <t>=C1315</t>
  </si>
  <si>
    <t>=NL("Sum","5802 Value Entry","150 Sales Amount (Expected)","41 Source Type",$C$5,"5 Source No.",$C1316,"4 Item Ledger Entry Type",$C$4,"2 Item No.","@@"&amp;$F1316,"3 Posting Date",J$9)+NL("Sum","5802 Value Entry","17 Sales Amount (Actual)","41 Source Type",$C$5,"5 Source no.",$C1316,"4 Item Ledger Entry Type",$C$4,"2 Item No.","@@"&amp;$F1316,"3 Posting Date",J$9)</t>
  </si>
  <si>
    <t>=-NL("Sum","5802 Value Entry","151 Cost Amount (Expected)","41 Source Type",$C$5,"5 Source No.",$C1316,"4 Item Ledger Entry Type",$C$4,"2 Item No.","@@"&amp;$F1316,"3 Posting Date",J$9)-NL("Sum","5802 Value Entry","43 Cost Amount (Actual)","41 Source Type",$C$5,"5 Source no.",$C1316,"4 Item Ledger Entry Type",$C$4,"2 Item No.","@@"&amp;$F1316,"3 Posting Date",J$9)</t>
  </si>
  <si>
    <t>=J1316-L1316</t>
  </si>
  <si>
    <t>=IF(J1316&lt;&gt;0,M1316/J1316,"")</t>
  </si>
  <si>
    <t>=NL("Sum","5802 Value Entry","150 Sales Amount (Expected)","41 Source Type",$C$5,"5 Source No.",$C1316,"4 Item Ledger Entry Type",$C$4,"2 Item No.","@@"&amp;$F1316,"3 Posting Date",O$9)+NL("Sum","5802 Value Entry","17 Sales Amount (Actual)","41 Source Type",$C$5,"5 Source no.",$C1316,"4 Item Ledger Entry Type",$C$4,"2 Item No.","@@"&amp;$F1316,"3 Posting Date",O$9)</t>
  </si>
  <si>
    <t>=-NL("Sum","5802 Value Entry","151 Cost Amount (Expected)","41 Source Type",$C$5,"5 Source No.",$C1316,"4 Item Ledger Entry Type",$C$4,"2 Item No.","@@"&amp;$F1316,"3 Posting Date",O$9)-NL("Sum","5802 Value Entry","43 Cost Amount (Actual)","41 Source Type",$C$5,"5 Source no.",$C1316,"4 Item Ledger Entry Type",$C$4,"2 Item No.","@@"&amp;$F1316,"3 Posting Date",O$9)</t>
  </si>
  <si>
    <t>=O1316-Q1316</t>
  </si>
  <si>
    <t>=IF(O1316&lt;&gt;0,R1316/O1316,"")</t>
  </si>
  <si>
    <t>=NL("Sum","5802 Value Entry","150 Sales Amount (Expected)","41 Source Type",$C$5,"5 Source No.",$C1316,"4 Item Ledger Entry Type",$C$4,"2 Item No.","@@"&amp;$F1316,"3 Posting Date",U$9)+NL("Sum","5802 Value Entry","17 Sales Amount (Actual)","41 Source Type",$C$5,"5 Source no.",$C1316,"4 Item Ledger Entry Type",$C$4,"2 Item No.","@@"&amp;$F1316,"3 Posting Date",U$9)</t>
  </si>
  <si>
    <t>=-NL("Sum","5802 Value Entry","151 Cost Amount (Expected)","41 Source Type",$C$5,"5 Source No.",$C1316,"4 Item Ledger Entry Type",$C$4,"2 Item No.","@@"&amp;$F1316,"3 Posting Date",U$9)-NL("Sum","5802 Value Entry","43 Cost Amount (Actual)","41 Source Type",$C$5,"5 Source no.",$C1316,"4 Item Ledger Entry Type",$C$4,"2 Item No.","@@"&amp;$F1316,"3 Posting Date",U$9)</t>
  </si>
  <si>
    <t>=U1316-W1316</t>
  </si>
  <si>
    <t>=IF(U1316&lt;&gt;0,X1316/U1316,"")</t>
  </si>
  <si>
    <t>=NL("Sum","5802 Value Entry","150 Sales Amount (Expected)","41 Source Type",$C$5,"5 Source No.",$C1316,"4 Item Ledger Entry Type",$C$4,"2 Item No.","@@"&amp;$F1316,"3 Posting Date",Z$9)+NL("Sum","5802 Value Entry","17 Sales Amount (Actual)","41 Source Type",$C$5,"5 Source no.",$C1316,"4 Item Ledger Entry Type",$C$4,"2 Item No.","@@"&amp;$F1316,"3 Posting Date",Z$9)</t>
  </si>
  <si>
    <t>=-NL("Sum","5802 Value Entry","151 Cost Amount (Expected)","41 Source Type",$C$5,"5 Source No.",$C1316,"4 Item Ledger Entry Type",$C$4,"2 Item No.","@@"&amp;$F1316,"3 Posting Date",Z$9)-NL("Sum","5802 Value Entry","43 Cost Amount (Actual)","41 Source Type",$C$5,"5 Source no.",$C1316,"4 Item Ledger Entry Type",$C$4,"2 Item No.","@@"&amp;$F1316,"3 Posting Date",Z$9)</t>
  </si>
  <si>
    <t>=Z1316-AB1316</t>
  </si>
  <si>
    <t>=IF(Z1316&lt;&gt;0,AC1316/Z1316,"")</t>
  </si>
  <si>
    <t>=C1316</t>
  </si>
  <si>
    <t>=NL("Sum","5802 Value Entry","150 Sales Amount (Expected)","41 Source Type",$C$5,"5 Source No.",$C1317,"4 Item Ledger Entry Type",$C$4,"2 Item No.","@@"&amp;$F1317,"3 Posting Date",J$9)+NL("Sum","5802 Value Entry","17 Sales Amount (Actual)","41 Source Type",$C$5,"5 Source no.",$C1317,"4 Item Ledger Entry Type",$C$4,"2 Item No.","@@"&amp;$F1317,"3 Posting Date",J$9)</t>
  </si>
  <si>
    <t>=-NL("Sum","5802 Value Entry","151 Cost Amount (Expected)","41 Source Type",$C$5,"5 Source No.",$C1317,"4 Item Ledger Entry Type",$C$4,"2 Item No.","@@"&amp;$F1317,"3 Posting Date",J$9)-NL("Sum","5802 Value Entry","43 Cost Amount (Actual)","41 Source Type",$C$5,"5 Source no.",$C1317,"4 Item Ledger Entry Type",$C$4,"2 Item No.","@@"&amp;$F1317,"3 Posting Date",J$9)</t>
  </si>
  <si>
    <t>=J1317-L1317</t>
  </si>
  <si>
    <t>=IF(J1317&lt;&gt;0,M1317/J1317,"")</t>
  </si>
  <si>
    <t>=NL("Sum","5802 Value Entry","150 Sales Amount (Expected)","41 Source Type",$C$5,"5 Source No.",$C1317,"4 Item Ledger Entry Type",$C$4,"2 Item No.","@@"&amp;$F1317,"3 Posting Date",O$9)+NL("Sum","5802 Value Entry","17 Sales Amount (Actual)","41 Source Type",$C$5,"5 Source no.",$C1317,"4 Item Ledger Entry Type",$C$4,"2 Item No.","@@"&amp;$F1317,"3 Posting Date",O$9)</t>
  </si>
  <si>
    <t>=-NL("Sum","5802 Value Entry","151 Cost Amount (Expected)","41 Source Type",$C$5,"5 Source No.",$C1317,"4 Item Ledger Entry Type",$C$4,"2 Item No.","@@"&amp;$F1317,"3 Posting Date",O$9)-NL("Sum","5802 Value Entry","43 Cost Amount (Actual)","41 Source Type",$C$5,"5 Source no.",$C1317,"4 Item Ledger Entry Type",$C$4,"2 Item No.","@@"&amp;$F1317,"3 Posting Date",O$9)</t>
  </si>
  <si>
    <t>=O1317-Q1317</t>
  </si>
  <si>
    <t>=IF(O1317&lt;&gt;0,R1317/O1317,"")</t>
  </si>
  <si>
    <t>=NL("Sum","5802 Value Entry","150 Sales Amount (Expected)","41 Source Type",$C$5,"5 Source No.",$C1317,"4 Item Ledger Entry Type",$C$4,"2 Item No.","@@"&amp;$F1317,"3 Posting Date",U$9)+NL("Sum","5802 Value Entry","17 Sales Amount (Actual)","41 Source Type",$C$5,"5 Source no.",$C1317,"4 Item Ledger Entry Type",$C$4,"2 Item No.","@@"&amp;$F1317,"3 Posting Date",U$9)</t>
  </si>
  <si>
    <t>=-NL("Sum","5802 Value Entry","151 Cost Amount (Expected)","41 Source Type",$C$5,"5 Source No.",$C1317,"4 Item Ledger Entry Type",$C$4,"2 Item No.","@@"&amp;$F1317,"3 Posting Date",U$9)-NL("Sum","5802 Value Entry","43 Cost Amount (Actual)","41 Source Type",$C$5,"5 Source no.",$C1317,"4 Item Ledger Entry Type",$C$4,"2 Item No.","@@"&amp;$F1317,"3 Posting Date",U$9)</t>
  </si>
  <si>
    <t>=U1317-W1317</t>
  </si>
  <si>
    <t>=IF(U1317&lt;&gt;0,X1317/U1317,"")</t>
  </si>
  <si>
    <t>=NL("Sum","5802 Value Entry","150 Sales Amount (Expected)","41 Source Type",$C$5,"5 Source No.",$C1317,"4 Item Ledger Entry Type",$C$4,"2 Item No.","@@"&amp;$F1317,"3 Posting Date",Z$9)+NL("Sum","5802 Value Entry","17 Sales Amount (Actual)","41 Source Type",$C$5,"5 Source no.",$C1317,"4 Item Ledger Entry Type",$C$4,"2 Item No.","@@"&amp;$F1317,"3 Posting Date",Z$9)</t>
  </si>
  <si>
    <t>=-NL("Sum","5802 Value Entry","151 Cost Amount (Expected)","41 Source Type",$C$5,"5 Source No.",$C1317,"4 Item Ledger Entry Type",$C$4,"2 Item No.","@@"&amp;$F1317,"3 Posting Date",Z$9)-NL("Sum","5802 Value Entry","43 Cost Amount (Actual)","41 Source Type",$C$5,"5 Source no.",$C1317,"4 Item Ledger Entry Type",$C$4,"2 Item No.","@@"&amp;$F1317,"3 Posting Date",Z$9)</t>
  </si>
  <si>
    <t>=Z1317-AB1317</t>
  </si>
  <si>
    <t>=IF(Z1317&lt;&gt;0,AC1317/Z1317,"")</t>
  </si>
  <si>
    <t>=C1317</t>
  </si>
  <si>
    <t>=NL("Sum","5802 Value Entry","150 Sales Amount (Expected)","41 Source Type",$C$5,"5 Source No.",$C1318,"4 Item Ledger Entry Type",$C$4,"2 Item No.","@@"&amp;$F1318,"3 Posting Date",J$9)+NL("Sum","5802 Value Entry","17 Sales Amount (Actual)","41 Source Type",$C$5,"5 Source no.",$C1318,"4 Item Ledger Entry Type",$C$4,"2 Item No.","@@"&amp;$F1318,"3 Posting Date",J$9)</t>
  </si>
  <si>
    <t>=-NL("Sum","5802 Value Entry","151 Cost Amount (Expected)","41 Source Type",$C$5,"5 Source No.",$C1318,"4 Item Ledger Entry Type",$C$4,"2 Item No.","@@"&amp;$F1318,"3 Posting Date",J$9)-NL("Sum","5802 Value Entry","43 Cost Amount (Actual)","41 Source Type",$C$5,"5 Source no.",$C1318,"4 Item Ledger Entry Type",$C$4,"2 Item No.","@@"&amp;$F1318,"3 Posting Date",J$9)</t>
  </si>
  <si>
    <t>=J1318-L1318</t>
  </si>
  <si>
    <t>=IF(J1318&lt;&gt;0,M1318/J1318,"")</t>
  </si>
  <si>
    <t>=NL("Sum","5802 Value Entry","150 Sales Amount (Expected)","41 Source Type",$C$5,"5 Source No.",$C1318,"4 Item Ledger Entry Type",$C$4,"2 Item No.","@@"&amp;$F1318,"3 Posting Date",O$9)+NL("Sum","5802 Value Entry","17 Sales Amount (Actual)","41 Source Type",$C$5,"5 Source no.",$C1318,"4 Item Ledger Entry Type",$C$4,"2 Item No.","@@"&amp;$F1318,"3 Posting Date",O$9)</t>
  </si>
  <si>
    <t>=-NL("Sum","5802 Value Entry","151 Cost Amount (Expected)","41 Source Type",$C$5,"5 Source No.",$C1318,"4 Item Ledger Entry Type",$C$4,"2 Item No.","@@"&amp;$F1318,"3 Posting Date",O$9)-NL("Sum","5802 Value Entry","43 Cost Amount (Actual)","41 Source Type",$C$5,"5 Source no.",$C1318,"4 Item Ledger Entry Type",$C$4,"2 Item No.","@@"&amp;$F1318,"3 Posting Date",O$9)</t>
  </si>
  <si>
    <t>=O1318-Q1318</t>
  </si>
  <si>
    <t>=IF(O1318&lt;&gt;0,R1318/O1318,"")</t>
  </si>
  <si>
    <t>=NL("Sum","5802 Value Entry","150 Sales Amount (Expected)","41 Source Type",$C$5,"5 Source No.",$C1318,"4 Item Ledger Entry Type",$C$4,"2 Item No.","@@"&amp;$F1318,"3 Posting Date",U$9)+NL("Sum","5802 Value Entry","17 Sales Amount (Actual)","41 Source Type",$C$5,"5 Source no.",$C1318,"4 Item Ledger Entry Type",$C$4,"2 Item No.","@@"&amp;$F1318,"3 Posting Date",U$9)</t>
  </si>
  <si>
    <t>=-NL("Sum","5802 Value Entry","151 Cost Amount (Expected)","41 Source Type",$C$5,"5 Source No.",$C1318,"4 Item Ledger Entry Type",$C$4,"2 Item No.","@@"&amp;$F1318,"3 Posting Date",U$9)-NL("Sum","5802 Value Entry","43 Cost Amount (Actual)","41 Source Type",$C$5,"5 Source no.",$C1318,"4 Item Ledger Entry Type",$C$4,"2 Item No.","@@"&amp;$F1318,"3 Posting Date",U$9)</t>
  </si>
  <si>
    <t>=U1318-W1318</t>
  </si>
  <si>
    <t>=IF(U1318&lt;&gt;0,X1318/U1318,"")</t>
  </si>
  <si>
    <t>=NL("Sum","5802 Value Entry","150 Sales Amount (Expected)","41 Source Type",$C$5,"5 Source No.",$C1318,"4 Item Ledger Entry Type",$C$4,"2 Item No.","@@"&amp;$F1318,"3 Posting Date",Z$9)+NL("Sum","5802 Value Entry","17 Sales Amount (Actual)","41 Source Type",$C$5,"5 Source no.",$C1318,"4 Item Ledger Entry Type",$C$4,"2 Item No.","@@"&amp;$F1318,"3 Posting Date",Z$9)</t>
  </si>
  <si>
    <t>=-NL("Sum","5802 Value Entry","151 Cost Amount (Expected)","41 Source Type",$C$5,"5 Source No.",$C1318,"4 Item Ledger Entry Type",$C$4,"2 Item No.","@@"&amp;$F1318,"3 Posting Date",Z$9)-NL("Sum","5802 Value Entry","43 Cost Amount (Actual)","41 Source Type",$C$5,"5 Source no.",$C1318,"4 Item Ledger Entry Type",$C$4,"2 Item No.","@@"&amp;$F1318,"3 Posting Date",Z$9)</t>
  </si>
  <si>
    <t>=Z1318-AB1318</t>
  </si>
  <si>
    <t>=IF(Z1318&lt;&gt;0,AC1318/Z1318,"")</t>
  </si>
  <si>
    <t>=C1318</t>
  </si>
  <si>
    <t>=NL("Sum","5802 Value Entry","150 Sales Amount (Expected)","41 Source Type",$C$5,"5 Source No.",$C1319,"4 Item Ledger Entry Type",$C$4,"2 Item No.","@@"&amp;$F1319,"3 Posting Date",J$9)+NL("Sum","5802 Value Entry","17 Sales Amount (Actual)","41 Source Type",$C$5,"5 Source no.",$C1319,"4 Item Ledger Entry Type",$C$4,"2 Item No.","@@"&amp;$F1319,"3 Posting Date",J$9)</t>
  </si>
  <si>
    <t>=-NL("Sum","5802 Value Entry","151 Cost Amount (Expected)","41 Source Type",$C$5,"5 Source No.",$C1319,"4 Item Ledger Entry Type",$C$4,"2 Item No.","@@"&amp;$F1319,"3 Posting Date",J$9)-NL("Sum","5802 Value Entry","43 Cost Amount (Actual)","41 Source Type",$C$5,"5 Source no.",$C1319,"4 Item Ledger Entry Type",$C$4,"2 Item No.","@@"&amp;$F1319,"3 Posting Date",J$9)</t>
  </si>
  <si>
    <t>=J1319-L1319</t>
  </si>
  <si>
    <t>=IF(J1319&lt;&gt;0,M1319/J1319,"")</t>
  </si>
  <si>
    <t>=NL("Sum","5802 Value Entry","150 Sales Amount (Expected)","41 Source Type",$C$5,"5 Source No.",$C1319,"4 Item Ledger Entry Type",$C$4,"2 Item No.","@@"&amp;$F1319,"3 Posting Date",O$9)+NL("Sum","5802 Value Entry","17 Sales Amount (Actual)","41 Source Type",$C$5,"5 Source no.",$C1319,"4 Item Ledger Entry Type",$C$4,"2 Item No.","@@"&amp;$F1319,"3 Posting Date",O$9)</t>
  </si>
  <si>
    <t>=-NL("Sum","5802 Value Entry","151 Cost Amount (Expected)","41 Source Type",$C$5,"5 Source No.",$C1319,"4 Item Ledger Entry Type",$C$4,"2 Item No.","@@"&amp;$F1319,"3 Posting Date",O$9)-NL("Sum","5802 Value Entry","43 Cost Amount (Actual)","41 Source Type",$C$5,"5 Source no.",$C1319,"4 Item Ledger Entry Type",$C$4,"2 Item No.","@@"&amp;$F1319,"3 Posting Date",O$9)</t>
  </si>
  <si>
    <t>=O1319-Q1319</t>
  </si>
  <si>
    <t>=IF(O1319&lt;&gt;0,R1319/O1319,"")</t>
  </si>
  <si>
    <t>=NL("Sum","5802 Value Entry","150 Sales Amount (Expected)","41 Source Type",$C$5,"5 Source No.",$C1319,"4 Item Ledger Entry Type",$C$4,"2 Item No.","@@"&amp;$F1319,"3 Posting Date",U$9)+NL("Sum","5802 Value Entry","17 Sales Amount (Actual)","41 Source Type",$C$5,"5 Source no.",$C1319,"4 Item Ledger Entry Type",$C$4,"2 Item No.","@@"&amp;$F1319,"3 Posting Date",U$9)</t>
  </si>
  <si>
    <t>=-NL("Sum","5802 Value Entry","151 Cost Amount (Expected)","41 Source Type",$C$5,"5 Source No.",$C1319,"4 Item Ledger Entry Type",$C$4,"2 Item No.","@@"&amp;$F1319,"3 Posting Date",U$9)-NL("Sum","5802 Value Entry","43 Cost Amount (Actual)","41 Source Type",$C$5,"5 Source no.",$C1319,"4 Item Ledger Entry Type",$C$4,"2 Item No.","@@"&amp;$F1319,"3 Posting Date",U$9)</t>
  </si>
  <si>
    <t>=U1319-W1319</t>
  </si>
  <si>
    <t>=IF(U1319&lt;&gt;0,X1319/U1319,"")</t>
  </si>
  <si>
    <t>=NL("Sum","5802 Value Entry","150 Sales Amount (Expected)","41 Source Type",$C$5,"5 Source No.",$C1319,"4 Item Ledger Entry Type",$C$4,"2 Item No.","@@"&amp;$F1319,"3 Posting Date",Z$9)+NL("Sum","5802 Value Entry","17 Sales Amount (Actual)","41 Source Type",$C$5,"5 Source no.",$C1319,"4 Item Ledger Entry Type",$C$4,"2 Item No.","@@"&amp;$F1319,"3 Posting Date",Z$9)</t>
  </si>
  <si>
    <t>=-NL("Sum","5802 Value Entry","151 Cost Amount (Expected)","41 Source Type",$C$5,"5 Source No.",$C1319,"4 Item Ledger Entry Type",$C$4,"2 Item No.","@@"&amp;$F1319,"3 Posting Date",Z$9)-NL("Sum","5802 Value Entry","43 Cost Amount (Actual)","41 Source Type",$C$5,"5 Source no.",$C1319,"4 Item Ledger Entry Type",$C$4,"2 Item No.","@@"&amp;$F1319,"3 Posting Date",Z$9)</t>
  </si>
  <si>
    <t>=Z1319-AB1319</t>
  </si>
  <si>
    <t>=IF(Z1319&lt;&gt;0,AC1319/Z1319,"")</t>
  </si>
  <si>
    <t>=C1319</t>
  </si>
  <si>
    <t>=NL("Sum","5802 Value Entry","150 Sales Amount (Expected)","41 Source Type",$C$5,"5 Source No.",$C1320,"4 Item Ledger Entry Type",$C$4,"2 Item No.","@@"&amp;$F1320,"3 Posting Date",J$9)+NL("Sum","5802 Value Entry","17 Sales Amount (Actual)","41 Source Type",$C$5,"5 Source no.",$C1320,"4 Item Ledger Entry Type",$C$4,"2 Item No.","@@"&amp;$F1320,"3 Posting Date",J$9)</t>
  </si>
  <si>
    <t>=-NL("Sum","5802 Value Entry","151 Cost Amount (Expected)","41 Source Type",$C$5,"5 Source No.",$C1320,"4 Item Ledger Entry Type",$C$4,"2 Item No.","@@"&amp;$F1320,"3 Posting Date",J$9)-NL("Sum","5802 Value Entry","43 Cost Amount (Actual)","41 Source Type",$C$5,"5 Source no.",$C1320,"4 Item Ledger Entry Type",$C$4,"2 Item No.","@@"&amp;$F1320,"3 Posting Date",J$9)</t>
  </si>
  <si>
    <t>=J1320-L1320</t>
  </si>
  <si>
    <t>=IF(J1320&lt;&gt;0,M1320/J1320,"")</t>
  </si>
  <si>
    <t>=NL("Sum","5802 Value Entry","150 Sales Amount (Expected)","41 Source Type",$C$5,"5 Source No.",$C1320,"4 Item Ledger Entry Type",$C$4,"2 Item No.","@@"&amp;$F1320,"3 Posting Date",O$9)+NL("Sum","5802 Value Entry","17 Sales Amount (Actual)","41 Source Type",$C$5,"5 Source no.",$C1320,"4 Item Ledger Entry Type",$C$4,"2 Item No.","@@"&amp;$F1320,"3 Posting Date",O$9)</t>
  </si>
  <si>
    <t>=-NL("Sum","5802 Value Entry","151 Cost Amount (Expected)","41 Source Type",$C$5,"5 Source No.",$C1320,"4 Item Ledger Entry Type",$C$4,"2 Item No.","@@"&amp;$F1320,"3 Posting Date",O$9)-NL("Sum","5802 Value Entry","43 Cost Amount (Actual)","41 Source Type",$C$5,"5 Source no.",$C1320,"4 Item Ledger Entry Type",$C$4,"2 Item No.","@@"&amp;$F1320,"3 Posting Date",O$9)</t>
  </si>
  <si>
    <t>=O1320-Q1320</t>
  </si>
  <si>
    <t>=IF(O1320&lt;&gt;0,R1320/O1320,"")</t>
  </si>
  <si>
    <t>=NL("Sum","5802 Value Entry","150 Sales Amount (Expected)","41 Source Type",$C$5,"5 Source No.",$C1320,"4 Item Ledger Entry Type",$C$4,"2 Item No.","@@"&amp;$F1320,"3 Posting Date",U$9)+NL("Sum","5802 Value Entry","17 Sales Amount (Actual)","41 Source Type",$C$5,"5 Source no.",$C1320,"4 Item Ledger Entry Type",$C$4,"2 Item No.","@@"&amp;$F1320,"3 Posting Date",U$9)</t>
  </si>
  <si>
    <t>=-NL("Sum","5802 Value Entry","151 Cost Amount (Expected)","41 Source Type",$C$5,"5 Source No.",$C1320,"4 Item Ledger Entry Type",$C$4,"2 Item No.","@@"&amp;$F1320,"3 Posting Date",U$9)-NL("Sum","5802 Value Entry","43 Cost Amount (Actual)","41 Source Type",$C$5,"5 Source no.",$C1320,"4 Item Ledger Entry Type",$C$4,"2 Item No.","@@"&amp;$F1320,"3 Posting Date",U$9)</t>
  </si>
  <si>
    <t>=U1320-W1320</t>
  </si>
  <si>
    <t>=IF(U1320&lt;&gt;0,X1320/U1320,"")</t>
  </si>
  <si>
    <t>=NL("Sum","5802 Value Entry","150 Sales Amount (Expected)","41 Source Type",$C$5,"5 Source No.",$C1320,"4 Item Ledger Entry Type",$C$4,"2 Item No.","@@"&amp;$F1320,"3 Posting Date",Z$9)+NL("Sum","5802 Value Entry","17 Sales Amount (Actual)","41 Source Type",$C$5,"5 Source no.",$C1320,"4 Item Ledger Entry Type",$C$4,"2 Item No.","@@"&amp;$F1320,"3 Posting Date",Z$9)</t>
  </si>
  <si>
    <t>=-NL("Sum","5802 Value Entry","151 Cost Amount (Expected)","41 Source Type",$C$5,"5 Source No.",$C1320,"4 Item Ledger Entry Type",$C$4,"2 Item No.","@@"&amp;$F1320,"3 Posting Date",Z$9)-NL("Sum","5802 Value Entry","43 Cost Amount (Actual)","41 Source Type",$C$5,"5 Source no.",$C1320,"4 Item Ledger Entry Type",$C$4,"2 Item No.","@@"&amp;$F1320,"3 Posting Date",Z$9)</t>
  </si>
  <si>
    <t>=Z1320-AB1320</t>
  </si>
  <si>
    <t>=IF(Z1320&lt;&gt;0,AC1320/Z1320,"")</t>
  </si>
  <si>
    <t>=C1320</t>
  </si>
  <si>
    <t>=NL("Sum","5802 Value Entry","150 Sales Amount (Expected)","41 Source Type",$C$5,"5 Source No.",$C1321,"4 Item Ledger Entry Type",$C$4,"2 Item No.","@@"&amp;$F1321,"3 Posting Date",J$9)+NL("Sum","5802 Value Entry","17 Sales Amount (Actual)","41 Source Type",$C$5,"5 Source no.",$C1321,"4 Item Ledger Entry Type",$C$4,"2 Item No.","@@"&amp;$F1321,"3 Posting Date",J$9)</t>
  </si>
  <si>
    <t>=-NL("Sum","5802 Value Entry","151 Cost Amount (Expected)","41 Source Type",$C$5,"5 Source No.",$C1321,"4 Item Ledger Entry Type",$C$4,"2 Item No.","@@"&amp;$F1321,"3 Posting Date",J$9)-NL("Sum","5802 Value Entry","43 Cost Amount (Actual)","41 Source Type",$C$5,"5 Source no.",$C1321,"4 Item Ledger Entry Type",$C$4,"2 Item No.","@@"&amp;$F1321,"3 Posting Date",J$9)</t>
  </si>
  <si>
    <t>=J1321-L1321</t>
  </si>
  <si>
    <t>=IF(J1321&lt;&gt;0,M1321/J1321,"")</t>
  </si>
  <si>
    <t>=NL("Sum","5802 Value Entry","150 Sales Amount (Expected)","41 Source Type",$C$5,"5 Source No.",$C1321,"4 Item Ledger Entry Type",$C$4,"2 Item No.","@@"&amp;$F1321,"3 Posting Date",O$9)+NL("Sum","5802 Value Entry","17 Sales Amount (Actual)","41 Source Type",$C$5,"5 Source no.",$C1321,"4 Item Ledger Entry Type",$C$4,"2 Item No.","@@"&amp;$F1321,"3 Posting Date",O$9)</t>
  </si>
  <si>
    <t>=-NL("Sum","5802 Value Entry","151 Cost Amount (Expected)","41 Source Type",$C$5,"5 Source No.",$C1321,"4 Item Ledger Entry Type",$C$4,"2 Item No.","@@"&amp;$F1321,"3 Posting Date",O$9)-NL("Sum","5802 Value Entry","43 Cost Amount (Actual)","41 Source Type",$C$5,"5 Source no.",$C1321,"4 Item Ledger Entry Type",$C$4,"2 Item No.","@@"&amp;$F1321,"3 Posting Date",O$9)</t>
  </si>
  <si>
    <t>=O1321-Q1321</t>
  </si>
  <si>
    <t>=IF(O1321&lt;&gt;0,R1321/O1321,"")</t>
  </si>
  <si>
    <t>=NL("Sum","5802 Value Entry","150 Sales Amount (Expected)","41 Source Type",$C$5,"5 Source No.",$C1321,"4 Item Ledger Entry Type",$C$4,"2 Item No.","@@"&amp;$F1321,"3 Posting Date",U$9)+NL("Sum","5802 Value Entry","17 Sales Amount (Actual)","41 Source Type",$C$5,"5 Source no.",$C1321,"4 Item Ledger Entry Type",$C$4,"2 Item No.","@@"&amp;$F1321,"3 Posting Date",U$9)</t>
  </si>
  <si>
    <t>=-NL("Sum","5802 Value Entry","151 Cost Amount (Expected)","41 Source Type",$C$5,"5 Source No.",$C1321,"4 Item Ledger Entry Type",$C$4,"2 Item No.","@@"&amp;$F1321,"3 Posting Date",U$9)-NL("Sum","5802 Value Entry","43 Cost Amount (Actual)","41 Source Type",$C$5,"5 Source no.",$C1321,"4 Item Ledger Entry Type",$C$4,"2 Item No.","@@"&amp;$F1321,"3 Posting Date",U$9)</t>
  </si>
  <si>
    <t>=U1321-W1321</t>
  </si>
  <si>
    <t>=IF(U1321&lt;&gt;0,X1321/U1321,"")</t>
  </si>
  <si>
    <t>=NL("Sum","5802 Value Entry","150 Sales Amount (Expected)","41 Source Type",$C$5,"5 Source No.",$C1321,"4 Item Ledger Entry Type",$C$4,"2 Item No.","@@"&amp;$F1321,"3 Posting Date",Z$9)+NL("Sum","5802 Value Entry","17 Sales Amount (Actual)","41 Source Type",$C$5,"5 Source no.",$C1321,"4 Item Ledger Entry Type",$C$4,"2 Item No.","@@"&amp;$F1321,"3 Posting Date",Z$9)</t>
  </si>
  <si>
    <t>=-NL("Sum","5802 Value Entry","151 Cost Amount (Expected)","41 Source Type",$C$5,"5 Source No.",$C1321,"4 Item Ledger Entry Type",$C$4,"2 Item No.","@@"&amp;$F1321,"3 Posting Date",Z$9)-NL("Sum","5802 Value Entry","43 Cost Amount (Actual)","41 Source Type",$C$5,"5 Source no.",$C1321,"4 Item Ledger Entry Type",$C$4,"2 Item No.","@@"&amp;$F1321,"3 Posting Date",Z$9)</t>
  </si>
  <si>
    <t>=Z1321-AB1321</t>
  </si>
  <si>
    <t>=IF(Z1321&lt;&gt;0,AC1321/Z1321,"")</t>
  </si>
  <si>
    <t>=C1322</t>
  </si>
  <si>
    <t>=J1323-L1323</t>
  </si>
  <si>
    <t>=IF(J1323&lt;&gt;0,M1323/J1323,"")</t>
  </si>
  <si>
    <t>=O1323-Q1323</t>
  </si>
  <si>
    <t>=IF(O1323&lt;&gt;0,R1323/O1323,"")</t>
  </si>
  <si>
    <t>=U1323-W1323</t>
  </si>
  <si>
    <t>=IF(U1323&lt;&gt;0,X1323/U1323,"")</t>
  </si>
  <si>
    <t>=Z1323-AB1323</t>
  </si>
  <si>
    <t>=IF(Z1323&lt;&gt;0,AC1323/Z1323,"")</t>
  </si>
  <si>
    <t>="C100073"</t>
  </si>
  <si>
    <t>=C1325</t>
  </si>
  <si>
    <t>=C1326</t>
  </si>
  <si>
    <t>=NL("Sum","5802 Value Entry","150 Sales Amount (Expected)","41 Source Type",$C$5,"5 Source No.",$C1327,"4 Item Ledger Entry Type",$C$4,"2 Item No.","@@"&amp;$F1327,"3 Posting Date",J$9)+NL("Sum","5802 Value Entry","17 Sales Amount (Actual)","41 Source Type",$C$5,"5 Source no.",$C1327,"4 Item Ledger Entry Type",$C$4,"2 Item No.","@@"&amp;$F1327,"3 Posting Date",J$9)</t>
  </si>
  <si>
    <t>=-NL("Sum","5802 Value Entry","151 Cost Amount (Expected)","41 Source Type",$C$5,"5 Source No.",$C1327,"4 Item Ledger Entry Type",$C$4,"2 Item No.","@@"&amp;$F1327,"3 Posting Date",J$9)-NL("Sum","5802 Value Entry","43 Cost Amount (Actual)","41 Source Type",$C$5,"5 Source no.",$C1327,"4 Item Ledger Entry Type",$C$4,"2 Item No.","@@"&amp;$F1327,"3 Posting Date",J$9)</t>
  </si>
  <si>
    <t>=J1327-L1327</t>
  </si>
  <si>
    <t>=IF(J1327&lt;&gt;0,M1327/J1327,"")</t>
  </si>
  <si>
    <t>=NL("Sum","5802 Value Entry","150 Sales Amount (Expected)","41 Source Type",$C$5,"5 Source No.",$C1327,"4 Item Ledger Entry Type",$C$4,"2 Item No.","@@"&amp;$F1327,"3 Posting Date",O$9)+NL("Sum","5802 Value Entry","17 Sales Amount (Actual)","41 Source Type",$C$5,"5 Source no.",$C1327,"4 Item Ledger Entry Type",$C$4,"2 Item No.","@@"&amp;$F1327,"3 Posting Date",O$9)</t>
  </si>
  <si>
    <t>=-NL("Sum","5802 Value Entry","151 Cost Amount (Expected)","41 Source Type",$C$5,"5 Source No.",$C1327,"4 Item Ledger Entry Type",$C$4,"2 Item No.","@@"&amp;$F1327,"3 Posting Date",O$9)-NL("Sum","5802 Value Entry","43 Cost Amount (Actual)","41 Source Type",$C$5,"5 Source no.",$C1327,"4 Item Ledger Entry Type",$C$4,"2 Item No.","@@"&amp;$F1327,"3 Posting Date",O$9)</t>
  </si>
  <si>
    <t>=O1327-Q1327</t>
  </si>
  <si>
    <t>=IF(O1327&lt;&gt;0,R1327/O1327,"")</t>
  </si>
  <si>
    <t>=NL("Sum","5802 Value Entry","150 Sales Amount (Expected)","41 Source Type",$C$5,"5 Source No.",$C1327,"4 Item Ledger Entry Type",$C$4,"2 Item No.","@@"&amp;$F1327,"3 Posting Date",U$9)+NL("Sum","5802 Value Entry","17 Sales Amount (Actual)","41 Source Type",$C$5,"5 Source no.",$C1327,"4 Item Ledger Entry Type",$C$4,"2 Item No.","@@"&amp;$F1327,"3 Posting Date",U$9)</t>
  </si>
  <si>
    <t>=-NL("Sum","5802 Value Entry","151 Cost Amount (Expected)","41 Source Type",$C$5,"5 Source No.",$C1327,"4 Item Ledger Entry Type",$C$4,"2 Item No.","@@"&amp;$F1327,"3 Posting Date",U$9)-NL("Sum","5802 Value Entry","43 Cost Amount (Actual)","41 Source Type",$C$5,"5 Source no.",$C1327,"4 Item Ledger Entry Type",$C$4,"2 Item No.","@@"&amp;$F1327,"3 Posting Date",U$9)</t>
  </si>
  <si>
    <t>=U1327-W1327</t>
  </si>
  <si>
    <t>=IF(U1327&lt;&gt;0,X1327/U1327,"")</t>
  </si>
  <si>
    <t>=NL("Sum","5802 Value Entry","150 Sales Amount (Expected)","41 Source Type",$C$5,"5 Source No.",$C1327,"4 Item Ledger Entry Type",$C$4,"2 Item No.","@@"&amp;$F1327,"3 Posting Date",Z$9)+NL("Sum","5802 Value Entry","17 Sales Amount (Actual)","41 Source Type",$C$5,"5 Source no.",$C1327,"4 Item Ledger Entry Type",$C$4,"2 Item No.","@@"&amp;$F1327,"3 Posting Date",Z$9)</t>
  </si>
  <si>
    <t>=-NL("Sum","5802 Value Entry","151 Cost Amount (Expected)","41 Source Type",$C$5,"5 Source No.",$C1327,"4 Item Ledger Entry Type",$C$4,"2 Item No.","@@"&amp;$F1327,"3 Posting Date",Z$9)-NL("Sum","5802 Value Entry","43 Cost Amount (Actual)","41 Source Type",$C$5,"5 Source no.",$C1327,"4 Item Ledger Entry Type",$C$4,"2 Item No.","@@"&amp;$F1327,"3 Posting Date",Z$9)</t>
  </si>
  <si>
    <t>=Z1327-AB1327</t>
  </si>
  <si>
    <t>=IF(Z1327&lt;&gt;0,AC1327/Z1327,"")</t>
  </si>
  <si>
    <t>=C1327</t>
  </si>
  <si>
    <t>=NL("Sum","5802 Value Entry","150 Sales Amount (Expected)","41 Source Type",$C$5,"5 Source No.",$C1328,"4 Item Ledger Entry Type",$C$4,"2 Item No.","@@"&amp;$F1328,"3 Posting Date",J$9)+NL("Sum","5802 Value Entry","17 Sales Amount (Actual)","41 Source Type",$C$5,"5 Source no.",$C1328,"4 Item Ledger Entry Type",$C$4,"2 Item No.","@@"&amp;$F1328,"3 Posting Date",J$9)</t>
  </si>
  <si>
    <t>=-NL("Sum","5802 Value Entry","151 Cost Amount (Expected)","41 Source Type",$C$5,"5 Source No.",$C1328,"4 Item Ledger Entry Type",$C$4,"2 Item No.","@@"&amp;$F1328,"3 Posting Date",J$9)-NL("Sum","5802 Value Entry","43 Cost Amount (Actual)","41 Source Type",$C$5,"5 Source no.",$C1328,"4 Item Ledger Entry Type",$C$4,"2 Item No.","@@"&amp;$F1328,"3 Posting Date",J$9)</t>
  </si>
  <si>
    <t>=J1328-L1328</t>
  </si>
  <si>
    <t>=IF(J1328&lt;&gt;0,M1328/J1328,"")</t>
  </si>
  <si>
    <t>=NL("Sum","5802 Value Entry","150 Sales Amount (Expected)","41 Source Type",$C$5,"5 Source No.",$C1328,"4 Item Ledger Entry Type",$C$4,"2 Item No.","@@"&amp;$F1328,"3 Posting Date",O$9)+NL("Sum","5802 Value Entry","17 Sales Amount (Actual)","41 Source Type",$C$5,"5 Source no.",$C1328,"4 Item Ledger Entry Type",$C$4,"2 Item No.","@@"&amp;$F1328,"3 Posting Date",O$9)</t>
  </si>
  <si>
    <t>=-NL("Sum","5802 Value Entry","151 Cost Amount (Expected)","41 Source Type",$C$5,"5 Source No.",$C1328,"4 Item Ledger Entry Type",$C$4,"2 Item No.","@@"&amp;$F1328,"3 Posting Date",O$9)-NL("Sum","5802 Value Entry","43 Cost Amount (Actual)","41 Source Type",$C$5,"5 Source no.",$C1328,"4 Item Ledger Entry Type",$C$4,"2 Item No.","@@"&amp;$F1328,"3 Posting Date",O$9)</t>
  </si>
  <si>
    <t>=O1328-Q1328</t>
  </si>
  <si>
    <t>=IF(O1328&lt;&gt;0,R1328/O1328,"")</t>
  </si>
  <si>
    <t>=NL("Sum","5802 Value Entry","150 Sales Amount (Expected)","41 Source Type",$C$5,"5 Source No.",$C1328,"4 Item Ledger Entry Type",$C$4,"2 Item No.","@@"&amp;$F1328,"3 Posting Date",U$9)+NL("Sum","5802 Value Entry","17 Sales Amount (Actual)","41 Source Type",$C$5,"5 Source no.",$C1328,"4 Item Ledger Entry Type",$C$4,"2 Item No.","@@"&amp;$F1328,"3 Posting Date",U$9)</t>
  </si>
  <si>
    <t>=-NL("Sum","5802 Value Entry","151 Cost Amount (Expected)","41 Source Type",$C$5,"5 Source No.",$C1328,"4 Item Ledger Entry Type",$C$4,"2 Item No.","@@"&amp;$F1328,"3 Posting Date",U$9)-NL("Sum","5802 Value Entry","43 Cost Amount (Actual)","41 Source Type",$C$5,"5 Source no.",$C1328,"4 Item Ledger Entry Type",$C$4,"2 Item No.","@@"&amp;$F1328,"3 Posting Date",U$9)</t>
  </si>
  <si>
    <t>=U1328-W1328</t>
  </si>
  <si>
    <t>=IF(U1328&lt;&gt;0,X1328/U1328,"")</t>
  </si>
  <si>
    <t>=NL("Sum","5802 Value Entry","150 Sales Amount (Expected)","41 Source Type",$C$5,"5 Source No.",$C1328,"4 Item Ledger Entry Type",$C$4,"2 Item No.","@@"&amp;$F1328,"3 Posting Date",Z$9)+NL("Sum","5802 Value Entry","17 Sales Amount (Actual)","41 Source Type",$C$5,"5 Source no.",$C1328,"4 Item Ledger Entry Type",$C$4,"2 Item No.","@@"&amp;$F1328,"3 Posting Date",Z$9)</t>
  </si>
  <si>
    <t>=-NL("Sum","5802 Value Entry","151 Cost Amount (Expected)","41 Source Type",$C$5,"5 Source No.",$C1328,"4 Item Ledger Entry Type",$C$4,"2 Item No.","@@"&amp;$F1328,"3 Posting Date",Z$9)-NL("Sum","5802 Value Entry","43 Cost Amount (Actual)","41 Source Type",$C$5,"5 Source no.",$C1328,"4 Item Ledger Entry Type",$C$4,"2 Item No.","@@"&amp;$F1328,"3 Posting Date",Z$9)</t>
  </si>
  <si>
    <t>=Z1328-AB1328</t>
  </si>
  <si>
    <t>=IF(Z1328&lt;&gt;0,AC1328/Z1328,"")</t>
  </si>
  <si>
    <t>=C1328</t>
  </si>
  <si>
    <t>=NL("Sum","5802 Value Entry","150 Sales Amount (Expected)","41 Source Type",$C$5,"5 Source No.",$C1329,"4 Item Ledger Entry Type",$C$4,"2 Item No.","@@"&amp;$F1329,"3 Posting Date",J$9)+NL("Sum","5802 Value Entry","17 Sales Amount (Actual)","41 Source Type",$C$5,"5 Source no.",$C1329,"4 Item Ledger Entry Type",$C$4,"2 Item No.","@@"&amp;$F1329,"3 Posting Date",J$9)</t>
  </si>
  <si>
    <t>=-NL("Sum","5802 Value Entry","151 Cost Amount (Expected)","41 Source Type",$C$5,"5 Source No.",$C1329,"4 Item Ledger Entry Type",$C$4,"2 Item No.","@@"&amp;$F1329,"3 Posting Date",J$9)-NL("Sum","5802 Value Entry","43 Cost Amount (Actual)","41 Source Type",$C$5,"5 Source no.",$C1329,"4 Item Ledger Entry Type",$C$4,"2 Item No.","@@"&amp;$F1329,"3 Posting Date",J$9)</t>
  </si>
  <si>
    <t>=J1329-L1329</t>
  </si>
  <si>
    <t>=IF(J1329&lt;&gt;0,M1329/J1329,"")</t>
  </si>
  <si>
    <t>=NL("Sum","5802 Value Entry","150 Sales Amount (Expected)","41 Source Type",$C$5,"5 Source No.",$C1329,"4 Item Ledger Entry Type",$C$4,"2 Item No.","@@"&amp;$F1329,"3 Posting Date",O$9)+NL("Sum","5802 Value Entry","17 Sales Amount (Actual)","41 Source Type",$C$5,"5 Source no.",$C1329,"4 Item Ledger Entry Type",$C$4,"2 Item No.","@@"&amp;$F1329,"3 Posting Date",O$9)</t>
  </si>
  <si>
    <t>=-NL("Sum","5802 Value Entry","151 Cost Amount (Expected)","41 Source Type",$C$5,"5 Source No.",$C1329,"4 Item Ledger Entry Type",$C$4,"2 Item No.","@@"&amp;$F1329,"3 Posting Date",O$9)-NL("Sum","5802 Value Entry","43 Cost Amount (Actual)","41 Source Type",$C$5,"5 Source no.",$C1329,"4 Item Ledger Entry Type",$C$4,"2 Item No.","@@"&amp;$F1329,"3 Posting Date",O$9)</t>
  </si>
  <si>
    <t>=O1329-Q1329</t>
  </si>
  <si>
    <t>=IF(O1329&lt;&gt;0,R1329/O1329,"")</t>
  </si>
  <si>
    <t>=NL("Sum","5802 Value Entry","150 Sales Amount (Expected)","41 Source Type",$C$5,"5 Source No.",$C1329,"4 Item Ledger Entry Type",$C$4,"2 Item No.","@@"&amp;$F1329,"3 Posting Date",U$9)+NL("Sum","5802 Value Entry","17 Sales Amount (Actual)","41 Source Type",$C$5,"5 Source no.",$C1329,"4 Item Ledger Entry Type",$C$4,"2 Item No.","@@"&amp;$F1329,"3 Posting Date",U$9)</t>
  </si>
  <si>
    <t>=-NL("Sum","5802 Value Entry","151 Cost Amount (Expected)","41 Source Type",$C$5,"5 Source No.",$C1329,"4 Item Ledger Entry Type",$C$4,"2 Item No.","@@"&amp;$F1329,"3 Posting Date",U$9)-NL("Sum","5802 Value Entry","43 Cost Amount (Actual)","41 Source Type",$C$5,"5 Source no.",$C1329,"4 Item Ledger Entry Type",$C$4,"2 Item No.","@@"&amp;$F1329,"3 Posting Date",U$9)</t>
  </si>
  <si>
    <t>=U1329-W1329</t>
  </si>
  <si>
    <t>=IF(U1329&lt;&gt;0,X1329/U1329,"")</t>
  </si>
  <si>
    <t>=NL("Sum","5802 Value Entry","150 Sales Amount (Expected)","41 Source Type",$C$5,"5 Source No.",$C1329,"4 Item Ledger Entry Type",$C$4,"2 Item No.","@@"&amp;$F1329,"3 Posting Date",Z$9)+NL("Sum","5802 Value Entry","17 Sales Amount (Actual)","41 Source Type",$C$5,"5 Source no.",$C1329,"4 Item Ledger Entry Type",$C$4,"2 Item No.","@@"&amp;$F1329,"3 Posting Date",Z$9)</t>
  </si>
  <si>
    <t>=-NL("Sum","5802 Value Entry","151 Cost Amount (Expected)","41 Source Type",$C$5,"5 Source No.",$C1329,"4 Item Ledger Entry Type",$C$4,"2 Item No.","@@"&amp;$F1329,"3 Posting Date",Z$9)-NL("Sum","5802 Value Entry","43 Cost Amount (Actual)","41 Source Type",$C$5,"5 Source no.",$C1329,"4 Item Ledger Entry Type",$C$4,"2 Item No.","@@"&amp;$F1329,"3 Posting Date",Z$9)</t>
  </si>
  <si>
    <t>=Z1329-AB1329</t>
  </si>
  <si>
    <t>=IF(Z1329&lt;&gt;0,AC1329/Z1329,"")</t>
  </si>
  <si>
    <t>=C1329</t>
  </si>
  <si>
    <t>=NL("Sum","5802 Value Entry","150 Sales Amount (Expected)","41 Source Type",$C$5,"5 Source No.",$C1330,"4 Item Ledger Entry Type",$C$4,"2 Item No.","@@"&amp;$F1330,"3 Posting Date",J$9)+NL("Sum","5802 Value Entry","17 Sales Amount (Actual)","41 Source Type",$C$5,"5 Source no.",$C1330,"4 Item Ledger Entry Type",$C$4,"2 Item No.","@@"&amp;$F1330,"3 Posting Date",J$9)</t>
  </si>
  <si>
    <t>=-NL("Sum","5802 Value Entry","151 Cost Amount (Expected)","41 Source Type",$C$5,"5 Source No.",$C1330,"4 Item Ledger Entry Type",$C$4,"2 Item No.","@@"&amp;$F1330,"3 Posting Date",J$9)-NL("Sum","5802 Value Entry","43 Cost Amount (Actual)","41 Source Type",$C$5,"5 Source no.",$C1330,"4 Item Ledger Entry Type",$C$4,"2 Item No.","@@"&amp;$F1330,"3 Posting Date",J$9)</t>
  </si>
  <si>
    <t>=J1330-L1330</t>
  </si>
  <si>
    <t>=IF(J1330&lt;&gt;0,M1330/J1330,"")</t>
  </si>
  <si>
    <t>=NL("Sum","5802 Value Entry","150 Sales Amount (Expected)","41 Source Type",$C$5,"5 Source No.",$C1330,"4 Item Ledger Entry Type",$C$4,"2 Item No.","@@"&amp;$F1330,"3 Posting Date",O$9)+NL("Sum","5802 Value Entry","17 Sales Amount (Actual)","41 Source Type",$C$5,"5 Source no.",$C1330,"4 Item Ledger Entry Type",$C$4,"2 Item No.","@@"&amp;$F1330,"3 Posting Date",O$9)</t>
  </si>
  <si>
    <t>=-NL("Sum","5802 Value Entry","151 Cost Amount (Expected)","41 Source Type",$C$5,"5 Source No.",$C1330,"4 Item Ledger Entry Type",$C$4,"2 Item No.","@@"&amp;$F1330,"3 Posting Date",O$9)-NL("Sum","5802 Value Entry","43 Cost Amount (Actual)","41 Source Type",$C$5,"5 Source no.",$C1330,"4 Item Ledger Entry Type",$C$4,"2 Item No.","@@"&amp;$F1330,"3 Posting Date",O$9)</t>
  </si>
  <si>
    <t>=O1330-Q1330</t>
  </si>
  <si>
    <t>=IF(O1330&lt;&gt;0,R1330/O1330,"")</t>
  </si>
  <si>
    <t>=NL("Sum","5802 Value Entry","150 Sales Amount (Expected)","41 Source Type",$C$5,"5 Source No.",$C1330,"4 Item Ledger Entry Type",$C$4,"2 Item No.","@@"&amp;$F1330,"3 Posting Date",U$9)+NL("Sum","5802 Value Entry","17 Sales Amount (Actual)","41 Source Type",$C$5,"5 Source no.",$C1330,"4 Item Ledger Entry Type",$C$4,"2 Item No.","@@"&amp;$F1330,"3 Posting Date",U$9)</t>
  </si>
  <si>
    <t>=-NL("Sum","5802 Value Entry","151 Cost Amount (Expected)","41 Source Type",$C$5,"5 Source No.",$C1330,"4 Item Ledger Entry Type",$C$4,"2 Item No.","@@"&amp;$F1330,"3 Posting Date",U$9)-NL("Sum","5802 Value Entry","43 Cost Amount (Actual)","41 Source Type",$C$5,"5 Source no.",$C1330,"4 Item Ledger Entry Type",$C$4,"2 Item No.","@@"&amp;$F1330,"3 Posting Date",U$9)</t>
  </si>
  <si>
    <t>=U1330-W1330</t>
  </si>
  <si>
    <t>=IF(U1330&lt;&gt;0,X1330/U1330,"")</t>
  </si>
  <si>
    <t>=NL("Sum","5802 Value Entry","150 Sales Amount (Expected)","41 Source Type",$C$5,"5 Source No.",$C1330,"4 Item Ledger Entry Type",$C$4,"2 Item No.","@@"&amp;$F1330,"3 Posting Date",Z$9)+NL("Sum","5802 Value Entry","17 Sales Amount (Actual)","41 Source Type",$C$5,"5 Source no.",$C1330,"4 Item Ledger Entry Type",$C$4,"2 Item No.","@@"&amp;$F1330,"3 Posting Date",Z$9)</t>
  </si>
  <si>
    <t>=-NL("Sum","5802 Value Entry","151 Cost Amount (Expected)","41 Source Type",$C$5,"5 Source No.",$C1330,"4 Item Ledger Entry Type",$C$4,"2 Item No.","@@"&amp;$F1330,"3 Posting Date",Z$9)-NL("Sum","5802 Value Entry","43 Cost Amount (Actual)","41 Source Type",$C$5,"5 Source no.",$C1330,"4 Item Ledger Entry Type",$C$4,"2 Item No.","@@"&amp;$F1330,"3 Posting Date",Z$9)</t>
  </si>
  <si>
    <t>=Z1330-AB1330</t>
  </si>
  <si>
    <t>=IF(Z1330&lt;&gt;0,AC1330/Z1330,"")</t>
  </si>
  <si>
    <t>=C1330</t>
  </si>
  <si>
    <t>=NL("Sum","5802 Value Entry","150 Sales Amount (Expected)","41 Source Type",$C$5,"5 Source No.",$C1331,"4 Item Ledger Entry Type",$C$4,"2 Item No.","@@"&amp;$F1331,"3 Posting Date",J$9)+NL("Sum","5802 Value Entry","17 Sales Amount (Actual)","41 Source Type",$C$5,"5 Source no.",$C1331,"4 Item Ledger Entry Type",$C$4,"2 Item No.","@@"&amp;$F1331,"3 Posting Date",J$9)</t>
  </si>
  <si>
    <t>=-NL("Sum","5802 Value Entry","151 Cost Amount (Expected)","41 Source Type",$C$5,"5 Source No.",$C1331,"4 Item Ledger Entry Type",$C$4,"2 Item No.","@@"&amp;$F1331,"3 Posting Date",J$9)-NL("Sum","5802 Value Entry","43 Cost Amount (Actual)","41 Source Type",$C$5,"5 Source no.",$C1331,"4 Item Ledger Entry Type",$C$4,"2 Item No.","@@"&amp;$F1331,"3 Posting Date",J$9)</t>
  </si>
  <si>
    <t>=J1331-L1331</t>
  </si>
  <si>
    <t>=IF(J1331&lt;&gt;0,M1331/J1331,"")</t>
  </si>
  <si>
    <t>=NL("Sum","5802 Value Entry","150 Sales Amount (Expected)","41 Source Type",$C$5,"5 Source No.",$C1331,"4 Item Ledger Entry Type",$C$4,"2 Item No.","@@"&amp;$F1331,"3 Posting Date",O$9)+NL("Sum","5802 Value Entry","17 Sales Amount (Actual)","41 Source Type",$C$5,"5 Source no.",$C1331,"4 Item Ledger Entry Type",$C$4,"2 Item No.","@@"&amp;$F1331,"3 Posting Date",O$9)</t>
  </si>
  <si>
    <t>=-NL("Sum","5802 Value Entry","151 Cost Amount (Expected)","41 Source Type",$C$5,"5 Source No.",$C1331,"4 Item Ledger Entry Type",$C$4,"2 Item No.","@@"&amp;$F1331,"3 Posting Date",O$9)-NL("Sum","5802 Value Entry","43 Cost Amount (Actual)","41 Source Type",$C$5,"5 Source no.",$C1331,"4 Item Ledger Entry Type",$C$4,"2 Item No.","@@"&amp;$F1331,"3 Posting Date",O$9)</t>
  </si>
  <si>
    <t>=O1331-Q1331</t>
  </si>
  <si>
    <t>=IF(O1331&lt;&gt;0,R1331/O1331,"")</t>
  </si>
  <si>
    <t>=NL("Sum","5802 Value Entry","150 Sales Amount (Expected)","41 Source Type",$C$5,"5 Source No.",$C1331,"4 Item Ledger Entry Type",$C$4,"2 Item No.","@@"&amp;$F1331,"3 Posting Date",U$9)+NL("Sum","5802 Value Entry","17 Sales Amount (Actual)","41 Source Type",$C$5,"5 Source no.",$C1331,"4 Item Ledger Entry Type",$C$4,"2 Item No.","@@"&amp;$F1331,"3 Posting Date",U$9)</t>
  </si>
  <si>
    <t>=-NL("Sum","5802 Value Entry","151 Cost Amount (Expected)","41 Source Type",$C$5,"5 Source No.",$C1331,"4 Item Ledger Entry Type",$C$4,"2 Item No.","@@"&amp;$F1331,"3 Posting Date",U$9)-NL("Sum","5802 Value Entry","43 Cost Amount (Actual)","41 Source Type",$C$5,"5 Source no.",$C1331,"4 Item Ledger Entry Type",$C$4,"2 Item No.","@@"&amp;$F1331,"3 Posting Date",U$9)</t>
  </si>
  <si>
    <t>=U1331-W1331</t>
  </si>
  <si>
    <t>=IF(U1331&lt;&gt;0,X1331/U1331,"")</t>
  </si>
  <si>
    <t>=NL("Sum","5802 Value Entry","150 Sales Amount (Expected)","41 Source Type",$C$5,"5 Source No.",$C1331,"4 Item Ledger Entry Type",$C$4,"2 Item No.","@@"&amp;$F1331,"3 Posting Date",Z$9)+NL("Sum","5802 Value Entry","17 Sales Amount (Actual)","41 Source Type",$C$5,"5 Source no.",$C1331,"4 Item Ledger Entry Type",$C$4,"2 Item No.","@@"&amp;$F1331,"3 Posting Date",Z$9)</t>
  </si>
  <si>
    <t>=-NL("Sum","5802 Value Entry","151 Cost Amount (Expected)","41 Source Type",$C$5,"5 Source No.",$C1331,"4 Item Ledger Entry Type",$C$4,"2 Item No.","@@"&amp;$F1331,"3 Posting Date",Z$9)-NL("Sum","5802 Value Entry","43 Cost Amount (Actual)","41 Source Type",$C$5,"5 Source no.",$C1331,"4 Item Ledger Entry Type",$C$4,"2 Item No.","@@"&amp;$F1331,"3 Posting Date",Z$9)</t>
  </si>
  <si>
    <t>=Z1331-AB1331</t>
  </si>
  <si>
    <t>=IF(Z1331&lt;&gt;0,AC1331/Z1331,"")</t>
  </si>
  <si>
    <t>=C1331</t>
  </si>
  <si>
    <t>=NL("Sum","5802 Value Entry","150 Sales Amount (Expected)","41 Source Type",$C$5,"5 Source No.",$C1332,"4 Item Ledger Entry Type",$C$4,"2 Item No.","@@"&amp;$F1332,"3 Posting Date",J$9)+NL("Sum","5802 Value Entry","17 Sales Amount (Actual)","41 Source Type",$C$5,"5 Source no.",$C1332,"4 Item Ledger Entry Type",$C$4,"2 Item No.","@@"&amp;$F1332,"3 Posting Date",J$9)</t>
  </si>
  <si>
    <t>=-NL("Sum","5802 Value Entry","151 Cost Amount (Expected)","41 Source Type",$C$5,"5 Source No.",$C1332,"4 Item Ledger Entry Type",$C$4,"2 Item No.","@@"&amp;$F1332,"3 Posting Date",J$9)-NL("Sum","5802 Value Entry","43 Cost Amount (Actual)","41 Source Type",$C$5,"5 Source no.",$C1332,"4 Item Ledger Entry Type",$C$4,"2 Item No.","@@"&amp;$F1332,"3 Posting Date",J$9)</t>
  </si>
  <si>
    <t>=J1332-L1332</t>
  </si>
  <si>
    <t>=IF(J1332&lt;&gt;0,M1332/J1332,"")</t>
  </si>
  <si>
    <t>=NL("Sum","5802 Value Entry","150 Sales Amount (Expected)","41 Source Type",$C$5,"5 Source No.",$C1332,"4 Item Ledger Entry Type",$C$4,"2 Item No.","@@"&amp;$F1332,"3 Posting Date",O$9)+NL("Sum","5802 Value Entry","17 Sales Amount (Actual)","41 Source Type",$C$5,"5 Source no.",$C1332,"4 Item Ledger Entry Type",$C$4,"2 Item No.","@@"&amp;$F1332,"3 Posting Date",O$9)</t>
  </si>
  <si>
    <t>=-NL("Sum","5802 Value Entry","151 Cost Amount (Expected)","41 Source Type",$C$5,"5 Source No.",$C1332,"4 Item Ledger Entry Type",$C$4,"2 Item No.","@@"&amp;$F1332,"3 Posting Date",O$9)-NL("Sum","5802 Value Entry","43 Cost Amount (Actual)","41 Source Type",$C$5,"5 Source no.",$C1332,"4 Item Ledger Entry Type",$C$4,"2 Item No.","@@"&amp;$F1332,"3 Posting Date",O$9)</t>
  </si>
  <si>
    <t>=O1332-Q1332</t>
  </si>
  <si>
    <t>=IF(O1332&lt;&gt;0,R1332/O1332,"")</t>
  </si>
  <si>
    <t>=NL("Sum","5802 Value Entry","150 Sales Amount (Expected)","41 Source Type",$C$5,"5 Source No.",$C1332,"4 Item Ledger Entry Type",$C$4,"2 Item No.","@@"&amp;$F1332,"3 Posting Date",U$9)+NL("Sum","5802 Value Entry","17 Sales Amount (Actual)","41 Source Type",$C$5,"5 Source no.",$C1332,"4 Item Ledger Entry Type",$C$4,"2 Item No.","@@"&amp;$F1332,"3 Posting Date",U$9)</t>
  </si>
  <si>
    <t>=-NL("Sum","5802 Value Entry","151 Cost Amount (Expected)","41 Source Type",$C$5,"5 Source No.",$C1332,"4 Item Ledger Entry Type",$C$4,"2 Item No.","@@"&amp;$F1332,"3 Posting Date",U$9)-NL("Sum","5802 Value Entry","43 Cost Amount (Actual)","41 Source Type",$C$5,"5 Source no.",$C1332,"4 Item Ledger Entry Type",$C$4,"2 Item No.","@@"&amp;$F1332,"3 Posting Date",U$9)</t>
  </si>
  <si>
    <t>=U1332-W1332</t>
  </si>
  <si>
    <t>=IF(U1332&lt;&gt;0,X1332/U1332,"")</t>
  </si>
  <si>
    <t>=NL("Sum","5802 Value Entry","150 Sales Amount (Expected)","41 Source Type",$C$5,"5 Source No.",$C1332,"4 Item Ledger Entry Type",$C$4,"2 Item No.","@@"&amp;$F1332,"3 Posting Date",Z$9)+NL("Sum","5802 Value Entry","17 Sales Amount (Actual)","41 Source Type",$C$5,"5 Source no.",$C1332,"4 Item Ledger Entry Type",$C$4,"2 Item No.","@@"&amp;$F1332,"3 Posting Date",Z$9)</t>
  </si>
  <si>
    <t>=-NL("Sum","5802 Value Entry","151 Cost Amount (Expected)","41 Source Type",$C$5,"5 Source No.",$C1332,"4 Item Ledger Entry Type",$C$4,"2 Item No.","@@"&amp;$F1332,"3 Posting Date",Z$9)-NL("Sum","5802 Value Entry","43 Cost Amount (Actual)","41 Source Type",$C$5,"5 Source no.",$C1332,"4 Item Ledger Entry Type",$C$4,"2 Item No.","@@"&amp;$F1332,"3 Posting Date",Z$9)</t>
  </si>
  <si>
    <t>=Z1332-AB1332</t>
  </si>
  <si>
    <t>=IF(Z1332&lt;&gt;0,AC1332/Z1332,"")</t>
  </si>
  <si>
    <t>=C1332</t>
  </si>
  <si>
    <t>=NL("Sum","5802 Value Entry","150 Sales Amount (Expected)","41 Source Type",$C$5,"5 Source No.",$C1333,"4 Item Ledger Entry Type",$C$4,"2 Item No.","@@"&amp;$F1333,"3 Posting Date",J$9)+NL("Sum","5802 Value Entry","17 Sales Amount (Actual)","41 Source Type",$C$5,"5 Source no.",$C1333,"4 Item Ledger Entry Type",$C$4,"2 Item No.","@@"&amp;$F1333,"3 Posting Date",J$9)</t>
  </si>
  <si>
    <t>=-NL("Sum","5802 Value Entry","151 Cost Amount (Expected)","41 Source Type",$C$5,"5 Source No.",$C1333,"4 Item Ledger Entry Type",$C$4,"2 Item No.","@@"&amp;$F1333,"3 Posting Date",J$9)-NL("Sum","5802 Value Entry","43 Cost Amount (Actual)","41 Source Type",$C$5,"5 Source no.",$C1333,"4 Item Ledger Entry Type",$C$4,"2 Item No.","@@"&amp;$F1333,"3 Posting Date",J$9)</t>
  </si>
  <si>
    <t>=J1333-L1333</t>
  </si>
  <si>
    <t>=IF(J1333&lt;&gt;0,M1333/J1333,"")</t>
  </si>
  <si>
    <t>=NL("Sum","5802 Value Entry","150 Sales Amount (Expected)","41 Source Type",$C$5,"5 Source No.",$C1333,"4 Item Ledger Entry Type",$C$4,"2 Item No.","@@"&amp;$F1333,"3 Posting Date",O$9)+NL("Sum","5802 Value Entry","17 Sales Amount (Actual)","41 Source Type",$C$5,"5 Source no.",$C1333,"4 Item Ledger Entry Type",$C$4,"2 Item No.","@@"&amp;$F1333,"3 Posting Date",O$9)</t>
  </si>
  <si>
    <t>=-NL("Sum","5802 Value Entry","151 Cost Amount (Expected)","41 Source Type",$C$5,"5 Source No.",$C1333,"4 Item Ledger Entry Type",$C$4,"2 Item No.","@@"&amp;$F1333,"3 Posting Date",O$9)-NL("Sum","5802 Value Entry","43 Cost Amount (Actual)","41 Source Type",$C$5,"5 Source no.",$C1333,"4 Item Ledger Entry Type",$C$4,"2 Item No.","@@"&amp;$F1333,"3 Posting Date",O$9)</t>
  </si>
  <si>
    <t>=O1333-Q1333</t>
  </si>
  <si>
    <t>=IF(O1333&lt;&gt;0,R1333/O1333,"")</t>
  </si>
  <si>
    <t>=NL("Sum","5802 Value Entry","150 Sales Amount (Expected)","41 Source Type",$C$5,"5 Source No.",$C1333,"4 Item Ledger Entry Type",$C$4,"2 Item No.","@@"&amp;$F1333,"3 Posting Date",U$9)+NL("Sum","5802 Value Entry","17 Sales Amount (Actual)","41 Source Type",$C$5,"5 Source no.",$C1333,"4 Item Ledger Entry Type",$C$4,"2 Item No.","@@"&amp;$F1333,"3 Posting Date",U$9)</t>
  </si>
  <si>
    <t>=-NL("Sum","5802 Value Entry","151 Cost Amount (Expected)","41 Source Type",$C$5,"5 Source No.",$C1333,"4 Item Ledger Entry Type",$C$4,"2 Item No.","@@"&amp;$F1333,"3 Posting Date",U$9)-NL("Sum","5802 Value Entry","43 Cost Amount (Actual)","41 Source Type",$C$5,"5 Source no.",$C1333,"4 Item Ledger Entry Type",$C$4,"2 Item No.","@@"&amp;$F1333,"3 Posting Date",U$9)</t>
  </si>
  <si>
    <t>=U1333-W1333</t>
  </si>
  <si>
    <t>=IF(U1333&lt;&gt;0,X1333/U1333,"")</t>
  </si>
  <si>
    <t>=NL("Sum","5802 Value Entry","150 Sales Amount (Expected)","41 Source Type",$C$5,"5 Source No.",$C1333,"4 Item Ledger Entry Type",$C$4,"2 Item No.","@@"&amp;$F1333,"3 Posting Date",Z$9)+NL("Sum","5802 Value Entry","17 Sales Amount (Actual)","41 Source Type",$C$5,"5 Source no.",$C1333,"4 Item Ledger Entry Type",$C$4,"2 Item No.","@@"&amp;$F1333,"3 Posting Date",Z$9)</t>
  </si>
  <si>
    <t>=-NL("Sum","5802 Value Entry","151 Cost Amount (Expected)","41 Source Type",$C$5,"5 Source No.",$C1333,"4 Item Ledger Entry Type",$C$4,"2 Item No.","@@"&amp;$F1333,"3 Posting Date",Z$9)-NL("Sum","5802 Value Entry","43 Cost Amount (Actual)","41 Source Type",$C$5,"5 Source no.",$C1333,"4 Item Ledger Entry Type",$C$4,"2 Item No.","@@"&amp;$F1333,"3 Posting Date",Z$9)</t>
  </si>
  <si>
    <t>=Z1333-AB1333</t>
  </si>
  <si>
    <t>=IF(Z1333&lt;&gt;0,AC1333/Z1333,"")</t>
  </si>
  <si>
    <t>=C1333</t>
  </si>
  <si>
    <t>=NL("Sum","5802 Value Entry","150 Sales Amount (Expected)","41 Source Type",$C$5,"5 Source No.",$C1334,"4 Item Ledger Entry Type",$C$4,"2 Item No.","@@"&amp;$F1334,"3 Posting Date",J$9)+NL("Sum","5802 Value Entry","17 Sales Amount (Actual)","41 Source Type",$C$5,"5 Source no.",$C1334,"4 Item Ledger Entry Type",$C$4,"2 Item No.","@@"&amp;$F1334,"3 Posting Date",J$9)</t>
  </si>
  <si>
    <t>=-NL("Sum","5802 Value Entry","151 Cost Amount (Expected)","41 Source Type",$C$5,"5 Source No.",$C1334,"4 Item Ledger Entry Type",$C$4,"2 Item No.","@@"&amp;$F1334,"3 Posting Date",J$9)-NL("Sum","5802 Value Entry","43 Cost Amount (Actual)","41 Source Type",$C$5,"5 Source no.",$C1334,"4 Item Ledger Entry Type",$C$4,"2 Item No.","@@"&amp;$F1334,"3 Posting Date",J$9)</t>
  </si>
  <si>
    <t>=J1334-L1334</t>
  </si>
  <si>
    <t>=IF(J1334&lt;&gt;0,M1334/J1334,"")</t>
  </si>
  <si>
    <t>=NL("Sum","5802 Value Entry","150 Sales Amount (Expected)","41 Source Type",$C$5,"5 Source No.",$C1334,"4 Item Ledger Entry Type",$C$4,"2 Item No.","@@"&amp;$F1334,"3 Posting Date",O$9)+NL("Sum","5802 Value Entry","17 Sales Amount (Actual)","41 Source Type",$C$5,"5 Source no.",$C1334,"4 Item Ledger Entry Type",$C$4,"2 Item No.","@@"&amp;$F1334,"3 Posting Date",O$9)</t>
  </si>
  <si>
    <t>=-NL("Sum","5802 Value Entry","151 Cost Amount (Expected)","41 Source Type",$C$5,"5 Source No.",$C1334,"4 Item Ledger Entry Type",$C$4,"2 Item No.","@@"&amp;$F1334,"3 Posting Date",O$9)-NL("Sum","5802 Value Entry","43 Cost Amount (Actual)","41 Source Type",$C$5,"5 Source no.",$C1334,"4 Item Ledger Entry Type",$C$4,"2 Item No.","@@"&amp;$F1334,"3 Posting Date",O$9)</t>
  </si>
  <si>
    <t>=O1334-Q1334</t>
  </si>
  <si>
    <t>=IF(O1334&lt;&gt;0,R1334/O1334,"")</t>
  </si>
  <si>
    <t>=NL("Sum","5802 Value Entry","150 Sales Amount (Expected)","41 Source Type",$C$5,"5 Source No.",$C1334,"4 Item Ledger Entry Type",$C$4,"2 Item No.","@@"&amp;$F1334,"3 Posting Date",U$9)+NL("Sum","5802 Value Entry","17 Sales Amount (Actual)","41 Source Type",$C$5,"5 Source no.",$C1334,"4 Item Ledger Entry Type",$C$4,"2 Item No.","@@"&amp;$F1334,"3 Posting Date",U$9)</t>
  </si>
  <si>
    <t>=-NL("Sum","5802 Value Entry","151 Cost Amount (Expected)","41 Source Type",$C$5,"5 Source No.",$C1334,"4 Item Ledger Entry Type",$C$4,"2 Item No.","@@"&amp;$F1334,"3 Posting Date",U$9)-NL("Sum","5802 Value Entry","43 Cost Amount (Actual)","41 Source Type",$C$5,"5 Source no.",$C1334,"4 Item Ledger Entry Type",$C$4,"2 Item No.","@@"&amp;$F1334,"3 Posting Date",U$9)</t>
  </si>
  <si>
    <t>=U1334-W1334</t>
  </si>
  <si>
    <t>=IF(U1334&lt;&gt;0,X1334/U1334,"")</t>
  </si>
  <si>
    <t>=NL("Sum","5802 Value Entry","150 Sales Amount (Expected)","41 Source Type",$C$5,"5 Source No.",$C1334,"4 Item Ledger Entry Type",$C$4,"2 Item No.","@@"&amp;$F1334,"3 Posting Date",Z$9)+NL("Sum","5802 Value Entry","17 Sales Amount (Actual)","41 Source Type",$C$5,"5 Source no.",$C1334,"4 Item Ledger Entry Type",$C$4,"2 Item No.","@@"&amp;$F1334,"3 Posting Date",Z$9)</t>
  </si>
  <si>
    <t>=-NL("Sum","5802 Value Entry","151 Cost Amount (Expected)","41 Source Type",$C$5,"5 Source No.",$C1334,"4 Item Ledger Entry Type",$C$4,"2 Item No.","@@"&amp;$F1334,"3 Posting Date",Z$9)-NL("Sum","5802 Value Entry","43 Cost Amount (Actual)","41 Source Type",$C$5,"5 Source no.",$C1334,"4 Item Ledger Entry Type",$C$4,"2 Item No.","@@"&amp;$F1334,"3 Posting Date",Z$9)</t>
  </si>
  <si>
    <t>=Z1334-AB1334</t>
  </si>
  <si>
    <t>=IF(Z1334&lt;&gt;0,AC1334/Z1334,"")</t>
  </si>
  <si>
    <t>=C1334</t>
  </si>
  <si>
    <t>=NL("Sum","5802 Value Entry","150 Sales Amount (Expected)","41 Source Type",$C$5,"5 Source No.",$C1335,"4 Item Ledger Entry Type",$C$4,"2 Item No.","@@"&amp;$F1335,"3 Posting Date",J$9)+NL("Sum","5802 Value Entry","17 Sales Amount (Actual)","41 Source Type",$C$5,"5 Source no.",$C1335,"4 Item Ledger Entry Type",$C$4,"2 Item No.","@@"&amp;$F1335,"3 Posting Date",J$9)</t>
  </si>
  <si>
    <t>=-NL("Sum","5802 Value Entry","151 Cost Amount (Expected)","41 Source Type",$C$5,"5 Source No.",$C1335,"4 Item Ledger Entry Type",$C$4,"2 Item No.","@@"&amp;$F1335,"3 Posting Date",J$9)-NL("Sum","5802 Value Entry","43 Cost Amount (Actual)","41 Source Type",$C$5,"5 Source no.",$C1335,"4 Item Ledger Entry Type",$C$4,"2 Item No.","@@"&amp;$F1335,"3 Posting Date",J$9)</t>
  </si>
  <si>
    <t>=J1335-L1335</t>
  </si>
  <si>
    <t>=IF(J1335&lt;&gt;0,M1335/J1335,"")</t>
  </si>
  <si>
    <t>=NL("Sum","5802 Value Entry","150 Sales Amount (Expected)","41 Source Type",$C$5,"5 Source No.",$C1335,"4 Item Ledger Entry Type",$C$4,"2 Item No.","@@"&amp;$F1335,"3 Posting Date",O$9)+NL("Sum","5802 Value Entry","17 Sales Amount (Actual)","41 Source Type",$C$5,"5 Source no.",$C1335,"4 Item Ledger Entry Type",$C$4,"2 Item No.","@@"&amp;$F1335,"3 Posting Date",O$9)</t>
  </si>
  <si>
    <t>=-NL("Sum","5802 Value Entry","151 Cost Amount (Expected)","41 Source Type",$C$5,"5 Source No.",$C1335,"4 Item Ledger Entry Type",$C$4,"2 Item No.","@@"&amp;$F1335,"3 Posting Date",O$9)-NL("Sum","5802 Value Entry","43 Cost Amount (Actual)","41 Source Type",$C$5,"5 Source no.",$C1335,"4 Item Ledger Entry Type",$C$4,"2 Item No.","@@"&amp;$F1335,"3 Posting Date",O$9)</t>
  </si>
  <si>
    <t>=O1335-Q1335</t>
  </si>
  <si>
    <t>=IF(O1335&lt;&gt;0,R1335/O1335,"")</t>
  </si>
  <si>
    <t>=NL("Sum","5802 Value Entry","150 Sales Amount (Expected)","41 Source Type",$C$5,"5 Source No.",$C1335,"4 Item Ledger Entry Type",$C$4,"2 Item No.","@@"&amp;$F1335,"3 Posting Date",U$9)+NL("Sum","5802 Value Entry","17 Sales Amount (Actual)","41 Source Type",$C$5,"5 Source no.",$C1335,"4 Item Ledger Entry Type",$C$4,"2 Item No.","@@"&amp;$F1335,"3 Posting Date",U$9)</t>
  </si>
  <si>
    <t>=-NL("Sum","5802 Value Entry","151 Cost Amount (Expected)","41 Source Type",$C$5,"5 Source No.",$C1335,"4 Item Ledger Entry Type",$C$4,"2 Item No.","@@"&amp;$F1335,"3 Posting Date",U$9)-NL("Sum","5802 Value Entry","43 Cost Amount (Actual)","41 Source Type",$C$5,"5 Source no.",$C1335,"4 Item Ledger Entry Type",$C$4,"2 Item No.","@@"&amp;$F1335,"3 Posting Date",U$9)</t>
  </si>
  <si>
    <t>=U1335-W1335</t>
  </si>
  <si>
    <t>=IF(U1335&lt;&gt;0,X1335/U1335,"")</t>
  </si>
  <si>
    <t>=NL("Sum","5802 Value Entry","150 Sales Amount (Expected)","41 Source Type",$C$5,"5 Source No.",$C1335,"4 Item Ledger Entry Type",$C$4,"2 Item No.","@@"&amp;$F1335,"3 Posting Date",Z$9)+NL("Sum","5802 Value Entry","17 Sales Amount (Actual)","41 Source Type",$C$5,"5 Source no.",$C1335,"4 Item Ledger Entry Type",$C$4,"2 Item No.","@@"&amp;$F1335,"3 Posting Date",Z$9)</t>
  </si>
  <si>
    <t>=-NL("Sum","5802 Value Entry","151 Cost Amount (Expected)","41 Source Type",$C$5,"5 Source No.",$C1335,"4 Item Ledger Entry Type",$C$4,"2 Item No.","@@"&amp;$F1335,"3 Posting Date",Z$9)-NL("Sum","5802 Value Entry","43 Cost Amount (Actual)","41 Source Type",$C$5,"5 Source no.",$C1335,"4 Item Ledger Entry Type",$C$4,"2 Item No.","@@"&amp;$F1335,"3 Posting Date",Z$9)</t>
  </si>
  <si>
    <t>=Z1335-AB1335</t>
  </si>
  <si>
    <t>=IF(Z1335&lt;&gt;0,AC1335/Z1335,"")</t>
  </si>
  <si>
    <t>=C1335</t>
  </si>
  <si>
    <t>=NL("Sum","5802 Value Entry","150 Sales Amount (Expected)","41 Source Type",$C$5,"5 Source No.",$C1336,"4 Item Ledger Entry Type",$C$4,"2 Item No.","@@"&amp;$F1336,"3 Posting Date",J$9)+NL("Sum","5802 Value Entry","17 Sales Amount (Actual)","41 Source Type",$C$5,"5 Source no.",$C1336,"4 Item Ledger Entry Type",$C$4,"2 Item No.","@@"&amp;$F1336,"3 Posting Date",J$9)</t>
  </si>
  <si>
    <t>=-NL("Sum","5802 Value Entry","151 Cost Amount (Expected)","41 Source Type",$C$5,"5 Source No.",$C1336,"4 Item Ledger Entry Type",$C$4,"2 Item No.","@@"&amp;$F1336,"3 Posting Date",J$9)-NL("Sum","5802 Value Entry","43 Cost Amount (Actual)","41 Source Type",$C$5,"5 Source no.",$C1336,"4 Item Ledger Entry Type",$C$4,"2 Item No.","@@"&amp;$F1336,"3 Posting Date",J$9)</t>
  </si>
  <si>
    <t>=J1336-L1336</t>
  </si>
  <si>
    <t>=IF(J1336&lt;&gt;0,M1336/J1336,"")</t>
  </si>
  <si>
    <t>=NL("Sum","5802 Value Entry","150 Sales Amount (Expected)","41 Source Type",$C$5,"5 Source No.",$C1336,"4 Item Ledger Entry Type",$C$4,"2 Item No.","@@"&amp;$F1336,"3 Posting Date",O$9)+NL("Sum","5802 Value Entry","17 Sales Amount (Actual)","41 Source Type",$C$5,"5 Source no.",$C1336,"4 Item Ledger Entry Type",$C$4,"2 Item No.","@@"&amp;$F1336,"3 Posting Date",O$9)</t>
  </si>
  <si>
    <t>=-NL("Sum","5802 Value Entry","151 Cost Amount (Expected)","41 Source Type",$C$5,"5 Source No.",$C1336,"4 Item Ledger Entry Type",$C$4,"2 Item No.","@@"&amp;$F1336,"3 Posting Date",O$9)-NL("Sum","5802 Value Entry","43 Cost Amount (Actual)","41 Source Type",$C$5,"5 Source no.",$C1336,"4 Item Ledger Entry Type",$C$4,"2 Item No.","@@"&amp;$F1336,"3 Posting Date",O$9)</t>
  </si>
  <si>
    <t>=O1336-Q1336</t>
  </si>
  <si>
    <t>=IF(O1336&lt;&gt;0,R1336/O1336,"")</t>
  </si>
  <si>
    <t>=NL("Sum","5802 Value Entry","150 Sales Amount (Expected)","41 Source Type",$C$5,"5 Source No.",$C1336,"4 Item Ledger Entry Type",$C$4,"2 Item No.","@@"&amp;$F1336,"3 Posting Date",U$9)+NL("Sum","5802 Value Entry","17 Sales Amount (Actual)","41 Source Type",$C$5,"5 Source no.",$C1336,"4 Item Ledger Entry Type",$C$4,"2 Item No.","@@"&amp;$F1336,"3 Posting Date",U$9)</t>
  </si>
  <si>
    <t>=-NL("Sum","5802 Value Entry","151 Cost Amount (Expected)","41 Source Type",$C$5,"5 Source No.",$C1336,"4 Item Ledger Entry Type",$C$4,"2 Item No.","@@"&amp;$F1336,"3 Posting Date",U$9)-NL("Sum","5802 Value Entry","43 Cost Amount (Actual)","41 Source Type",$C$5,"5 Source no.",$C1336,"4 Item Ledger Entry Type",$C$4,"2 Item No.","@@"&amp;$F1336,"3 Posting Date",U$9)</t>
  </si>
  <si>
    <t>=U1336-W1336</t>
  </si>
  <si>
    <t>=IF(U1336&lt;&gt;0,X1336/U1336,"")</t>
  </si>
  <si>
    <t>=NL("Sum","5802 Value Entry","150 Sales Amount (Expected)","41 Source Type",$C$5,"5 Source No.",$C1336,"4 Item Ledger Entry Type",$C$4,"2 Item No.","@@"&amp;$F1336,"3 Posting Date",Z$9)+NL("Sum","5802 Value Entry","17 Sales Amount (Actual)","41 Source Type",$C$5,"5 Source no.",$C1336,"4 Item Ledger Entry Type",$C$4,"2 Item No.","@@"&amp;$F1336,"3 Posting Date",Z$9)</t>
  </si>
  <si>
    <t>=-NL("Sum","5802 Value Entry","151 Cost Amount (Expected)","41 Source Type",$C$5,"5 Source No.",$C1336,"4 Item Ledger Entry Type",$C$4,"2 Item No.","@@"&amp;$F1336,"3 Posting Date",Z$9)-NL("Sum","5802 Value Entry","43 Cost Amount (Actual)","41 Source Type",$C$5,"5 Source no.",$C1336,"4 Item Ledger Entry Type",$C$4,"2 Item No.","@@"&amp;$F1336,"3 Posting Date",Z$9)</t>
  </si>
  <si>
    <t>=Z1336-AB1336</t>
  </si>
  <si>
    <t>=IF(Z1336&lt;&gt;0,AC1336/Z1336,"")</t>
  </si>
  <si>
    <t>=C1336</t>
  </si>
  <si>
    <t>=NL("Sum","5802 Value Entry","150 Sales Amount (Expected)","41 Source Type",$C$5,"5 Source No.",$C1337,"4 Item Ledger Entry Type",$C$4,"2 Item No.","@@"&amp;$F1337,"3 Posting Date",J$9)+NL("Sum","5802 Value Entry","17 Sales Amount (Actual)","41 Source Type",$C$5,"5 Source no.",$C1337,"4 Item Ledger Entry Type",$C$4,"2 Item No.","@@"&amp;$F1337,"3 Posting Date",J$9)</t>
  </si>
  <si>
    <t>=-NL("Sum","5802 Value Entry","151 Cost Amount (Expected)","41 Source Type",$C$5,"5 Source No.",$C1337,"4 Item Ledger Entry Type",$C$4,"2 Item No.","@@"&amp;$F1337,"3 Posting Date",J$9)-NL("Sum","5802 Value Entry","43 Cost Amount (Actual)","41 Source Type",$C$5,"5 Source no.",$C1337,"4 Item Ledger Entry Type",$C$4,"2 Item No.","@@"&amp;$F1337,"3 Posting Date",J$9)</t>
  </si>
  <si>
    <t>=J1337-L1337</t>
  </si>
  <si>
    <t>=IF(J1337&lt;&gt;0,M1337/J1337,"")</t>
  </si>
  <si>
    <t>=NL("Sum","5802 Value Entry","150 Sales Amount (Expected)","41 Source Type",$C$5,"5 Source No.",$C1337,"4 Item Ledger Entry Type",$C$4,"2 Item No.","@@"&amp;$F1337,"3 Posting Date",O$9)+NL("Sum","5802 Value Entry","17 Sales Amount (Actual)","41 Source Type",$C$5,"5 Source no.",$C1337,"4 Item Ledger Entry Type",$C$4,"2 Item No.","@@"&amp;$F1337,"3 Posting Date",O$9)</t>
  </si>
  <si>
    <t>=-NL("Sum","5802 Value Entry","151 Cost Amount (Expected)","41 Source Type",$C$5,"5 Source No.",$C1337,"4 Item Ledger Entry Type",$C$4,"2 Item No.","@@"&amp;$F1337,"3 Posting Date",O$9)-NL("Sum","5802 Value Entry","43 Cost Amount (Actual)","41 Source Type",$C$5,"5 Source no.",$C1337,"4 Item Ledger Entry Type",$C$4,"2 Item No.","@@"&amp;$F1337,"3 Posting Date",O$9)</t>
  </si>
  <si>
    <t>=O1337-Q1337</t>
  </si>
  <si>
    <t>=IF(O1337&lt;&gt;0,R1337/O1337,"")</t>
  </si>
  <si>
    <t>=NL("Sum","5802 Value Entry","150 Sales Amount (Expected)","41 Source Type",$C$5,"5 Source No.",$C1337,"4 Item Ledger Entry Type",$C$4,"2 Item No.","@@"&amp;$F1337,"3 Posting Date",U$9)+NL("Sum","5802 Value Entry","17 Sales Amount (Actual)","41 Source Type",$C$5,"5 Source no.",$C1337,"4 Item Ledger Entry Type",$C$4,"2 Item No.","@@"&amp;$F1337,"3 Posting Date",U$9)</t>
  </si>
  <si>
    <t>=-NL("Sum","5802 Value Entry","151 Cost Amount (Expected)","41 Source Type",$C$5,"5 Source No.",$C1337,"4 Item Ledger Entry Type",$C$4,"2 Item No.","@@"&amp;$F1337,"3 Posting Date",U$9)-NL("Sum","5802 Value Entry","43 Cost Amount (Actual)","41 Source Type",$C$5,"5 Source no.",$C1337,"4 Item Ledger Entry Type",$C$4,"2 Item No.","@@"&amp;$F1337,"3 Posting Date",U$9)</t>
  </si>
  <si>
    <t>=U1337-W1337</t>
  </si>
  <si>
    <t>=IF(U1337&lt;&gt;0,X1337/U1337,"")</t>
  </si>
  <si>
    <t>=NL("Sum","5802 Value Entry","150 Sales Amount (Expected)","41 Source Type",$C$5,"5 Source No.",$C1337,"4 Item Ledger Entry Type",$C$4,"2 Item No.","@@"&amp;$F1337,"3 Posting Date",Z$9)+NL("Sum","5802 Value Entry","17 Sales Amount (Actual)","41 Source Type",$C$5,"5 Source no.",$C1337,"4 Item Ledger Entry Type",$C$4,"2 Item No.","@@"&amp;$F1337,"3 Posting Date",Z$9)</t>
  </si>
  <si>
    <t>=-NL("Sum","5802 Value Entry","151 Cost Amount (Expected)","41 Source Type",$C$5,"5 Source No.",$C1337,"4 Item Ledger Entry Type",$C$4,"2 Item No.","@@"&amp;$F1337,"3 Posting Date",Z$9)-NL("Sum","5802 Value Entry","43 Cost Amount (Actual)","41 Source Type",$C$5,"5 Source no.",$C1337,"4 Item Ledger Entry Type",$C$4,"2 Item No.","@@"&amp;$F1337,"3 Posting Date",Z$9)</t>
  </si>
  <si>
    <t>=Z1337-AB1337</t>
  </si>
  <si>
    <t>=IF(Z1337&lt;&gt;0,AC1337/Z1337,"")</t>
  </si>
  <si>
    <t>=C1337</t>
  </si>
  <si>
    <t>=NL("Sum","5802 Value Entry","150 Sales Amount (Expected)","41 Source Type",$C$5,"5 Source No.",$C1338,"4 Item Ledger Entry Type",$C$4,"2 Item No.","@@"&amp;$F1338,"3 Posting Date",J$9)+NL("Sum","5802 Value Entry","17 Sales Amount (Actual)","41 Source Type",$C$5,"5 Source no.",$C1338,"4 Item Ledger Entry Type",$C$4,"2 Item No.","@@"&amp;$F1338,"3 Posting Date",J$9)</t>
  </si>
  <si>
    <t>=-NL("Sum","5802 Value Entry","151 Cost Amount (Expected)","41 Source Type",$C$5,"5 Source No.",$C1338,"4 Item Ledger Entry Type",$C$4,"2 Item No.","@@"&amp;$F1338,"3 Posting Date",J$9)-NL("Sum","5802 Value Entry","43 Cost Amount (Actual)","41 Source Type",$C$5,"5 Source no.",$C1338,"4 Item Ledger Entry Type",$C$4,"2 Item No.","@@"&amp;$F1338,"3 Posting Date",J$9)</t>
  </si>
  <si>
    <t>=J1338-L1338</t>
  </si>
  <si>
    <t>=IF(J1338&lt;&gt;0,M1338/J1338,"")</t>
  </si>
  <si>
    <t>=NL("Sum","5802 Value Entry","150 Sales Amount (Expected)","41 Source Type",$C$5,"5 Source No.",$C1338,"4 Item Ledger Entry Type",$C$4,"2 Item No.","@@"&amp;$F1338,"3 Posting Date",O$9)+NL("Sum","5802 Value Entry","17 Sales Amount (Actual)","41 Source Type",$C$5,"5 Source no.",$C1338,"4 Item Ledger Entry Type",$C$4,"2 Item No.","@@"&amp;$F1338,"3 Posting Date",O$9)</t>
  </si>
  <si>
    <t>=-NL("Sum","5802 Value Entry","151 Cost Amount (Expected)","41 Source Type",$C$5,"5 Source No.",$C1338,"4 Item Ledger Entry Type",$C$4,"2 Item No.","@@"&amp;$F1338,"3 Posting Date",O$9)-NL("Sum","5802 Value Entry","43 Cost Amount (Actual)","41 Source Type",$C$5,"5 Source no.",$C1338,"4 Item Ledger Entry Type",$C$4,"2 Item No.","@@"&amp;$F1338,"3 Posting Date",O$9)</t>
  </si>
  <si>
    <t>=O1338-Q1338</t>
  </si>
  <si>
    <t>=IF(O1338&lt;&gt;0,R1338/O1338,"")</t>
  </si>
  <si>
    <t>=NL("Sum","5802 Value Entry","150 Sales Amount (Expected)","41 Source Type",$C$5,"5 Source No.",$C1338,"4 Item Ledger Entry Type",$C$4,"2 Item No.","@@"&amp;$F1338,"3 Posting Date",U$9)+NL("Sum","5802 Value Entry","17 Sales Amount (Actual)","41 Source Type",$C$5,"5 Source no.",$C1338,"4 Item Ledger Entry Type",$C$4,"2 Item No.","@@"&amp;$F1338,"3 Posting Date",U$9)</t>
  </si>
  <si>
    <t>=-NL("Sum","5802 Value Entry","151 Cost Amount (Expected)","41 Source Type",$C$5,"5 Source No.",$C1338,"4 Item Ledger Entry Type",$C$4,"2 Item No.","@@"&amp;$F1338,"3 Posting Date",U$9)-NL("Sum","5802 Value Entry","43 Cost Amount (Actual)","41 Source Type",$C$5,"5 Source no.",$C1338,"4 Item Ledger Entry Type",$C$4,"2 Item No.","@@"&amp;$F1338,"3 Posting Date",U$9)</t>
  </si>
  <si>
    <t>=U1338-W1338</t>
  </si>
  <si>
    <t>=IF(U1338&lt;&gt;0,X1338/U1338,"")</t>
  </si>
  <si>
    <t>=NL("Sum","5802 Value Entry","150 Sales Amount (Expected)","41 Source Type",$C$5,"5 Source No.",$C1338,"4 Item Ledger Entry Type",$C$4,"2 Item No.","@@"&amp;$F1338,"3 Posting Date",Z$9)+NL("Sum","5802 Value Entry","17 Sales Amount (Actual)","41 Source Type",$C$5,"5 Source no.",$C1338,"4 Item Ledger Entry Type",$C$4,"2 Item No.","@@"&amp;$F1338,"3 Posting Date",Z$9)</t>
  </si>
  <si>
    <t>=-NL("Sum","5802 Value Entry","151 Cost Amount (Expected)","41 Source Type",$C$5,"5 Source No.",$C1338,"4 Item Ledger Entry Type",$C$4,"2 Item No.","@@"&amp;$F1338,"3 Posting Date",Z$9)-NL("Sum","5802 Value Entry","43 Cost Amount (Actual)","41 Source Type",$C$5,"5 Source no.",$C1338,"4 Item Ledger Entry Type",$C$4,"2 Item No.","@@"&amp;$F1338,"3 Posting Date",Z$9)</t>
  </si>
  <si>
    <t>=Z1338-AB1338</t>
  </si>
  <si>
    <t>=IF(Z1338&lt;&gt;0,AC1338/Z1338,"")</t>
  </si>
  <si>
    <t>=C1338</t>
  </si>
  <si>
    <t>=NL("Sum","5802 Value Entry","150 Sales Amount (Expected)","41 Source Type",$C$5,"5 Source No.",$C1339,"4 Item Ledger Entry Type",$C$4,"2 Item No.","@@"&amp;$F1339,"3 Posting Date",J$9)+NL("Sum","5802 Value Entry","17 Sales Amount (Actual)","41 Source Type",$C$5,"5 Source no.",$C1339,"4 Item Ledger Entry Type",$C$4,"2 Item No.","@@"&amp;$F1339,"3 Posting Date",J$9)</t>
  </si>
  <si>
    <t>=-NL("Sum","5802 Value Entry","151 Cost Amount (Expected)","41 Source Type",$C$5,"5 Source No.",$C1339,"4 Item Ledger Entry Type",$C$4,"2 Item No.","@@"&amp;$F1339,"3 Posting Date",J$9)-NL("Sum","5802 Value Entry","43 Cost Amount (Actual)","41 Source Type",$C$5,"5 Source no.",$C1339,"4 Item Ledger Entry Type",$C$4,"2 Item No.","@@"&amp;$F1339,"3 Posting Date",J$9)</t>
  </si>
  <si>
    <t>=J1339-L1339</t>
  </si>
  <si>
    <t>=IF(J1339&lt;&gt;0,M1339/J1339,"")</t>
  </si>
  <si>
    <t>=NL("Sum","5802 Value Entry","150 Sales Amount (Expected)","41 Source Type",$C$5,"5 Source No.",$C1339,"4 Item Ledger Entry Type",$C$4,"2 Item No.","@@"&amp;$F1339,"3 Posting Date",O$9)+NL("Sum","5802 Value Entry","17 Sales Amount (Actual)","41 Source Type",$C$5,"5 Source no.",$C1339,"4 Item Ledger Entry Type",$C$4,"2 Item No.","@@"&amp;$F1339,"3 Posting Date",O$9)</t>
  </si>
  <si>
    <t>=-NL("Sum","5802 Value Entry","151 Cost Amount (Expected)","41 Source Type",$C$5,"5 Source No.",$C1339,"4 Item Ledger Entry Type",$C$4,"2 Item No.","@@"&amp;$F1339,"3 Posting Date",O$9)-NL("Sum","5802 Value Entry","43 Cost Amount (Actual)","41 Source Type",$C$5,"5 Source no.",$C1339,"4 Item Ledger Entry Type",$C$4,"2 Item No.","@@"&amp;$F1339,"3 Posting Date",O$9)</t>
  </si>
  <si>
    <t>=O1339-Q1339</t>
  </si>
  <si>
    <t>=IF(O1339&lt;&gt;0,R1339/O1339,"")</t>
  </si>
  <si>
    <t>=NL("Sum","5802 Value Entry","150 Sales Amount (Expected)","41 Source Type",$C$5,"5 Source No.",$C1339,"4 Item Ledger Entry Type",$C$4,"2 Item No.","@@"&amp;$F1339,"3 Posting Date",U$9)+NL("Sum","5802 Value Entry","17 Sales Amount (Actual)","41 Source Type",$C$5,"5 Source no.",$C1339,"4 Item Ledger Entry Type",$C$4,"2 Item No.","@@"&amp;$F1339,"3 Posting Date",U$9)</t>
  </si>
  <si>
    <t>=-NL("Sum","5802 Value Entry","151 Cost Amount (Expected)","41 Source Type",$C$5,"5 Source No.",$C1339,"4 Item Ledger Entry Type",$C$4,"2 Item No.","@@"&amp;$F1339,"3 Posting Date",U$9)-NL("Sum","5802 Value Entry","43 Cost Amount (Actual)","41 Source Type",$C$5,"5 Source no.",$C1339,"4 Item Ledger Entry Type",$C$4,"2 Item No.","@@"&amp;$F1339,"3 Posting Date",U$9)</t>
  </si>
  <si>
    <t>=U1339-W1339</t>
  </si>
  <si>
    <t>=IF(U1339&lt;&gt;0,X1339/U1339,"")</t>
  </si>
  <si>
    <t>=NL("Sum","5802 Value Entry","150 Sales Amount (Expected)","41 Source Type",$C$5,"5 Source No.",$C1339,"4 Item Ledger Entry Type",$C$4,"2 Item No.","@@"&amp;$F1339,"3 Posting Date",Z$9)+NL("Sum","5802 Value Entry","17 Sales Amount (Actual)","41 Source Type",$C$5,"5 Source no.",$C1339,"4 Item Ledger Entry Type",$C$4,"2 Item No.","@@"&amp;$F1339,"3 Posting Date",Z$9)</t>
  </si>
  <si>
    <t>=-NL("Sum","5802 Value Entry","151 Cost Amount (Expected)","41 Source Type",$C$5,"5 Source No.",$C1339,"4 Item Ledger Entry Type",$C$4,"2 Item No.","@@"&amp;$F1339,"3 Posting Date",Z$9)-NL("Sum","5802 Value Entry","43 Cost Amount (Actual)","41 Source Type",$C$5,"5 Source no.",$C1339,"4 Item Ledger Entry Type",$C$4,"2 Item No.","@@"&amp;$F1339,"3 Posting Date",Z$9)</t>
  </si>
  <si>
    <t>=Z1339-AB1339</t>
  </si>
  <si>
    <t>=IF(Z1339&lt;&gt;0,AC1339/Z1339,"")</t>
  </si>
  <si>
    <t>=C1339</t>
  </si>
  <si>
    <t>=NL("Sum","5802 Value Entry","150 Sales Amount (Expected)","41 Source Type",$C$5,"5 Source No.",$C1340,"4 Item Ledger Entry Type",$C$4,"2 Item No.","@@"&amp;$F1340,"3 Posting Date",J$9)+NL("Sum","5802 Value Entry","17 Sales Amount (Actual)","41 Source Type",$C$5,"5 Source no.",$C1340,"4 Item Ledger Entry Type",$C$4,"2 Item No.","@@"&amp;$F1340,"3 Posting Date",J$9)</t>
  </si>
  <si>
    <t>=-NL("Sum","5802 Value Entry","151 Cost Amount (Expected)","41 Source Type",$C$5,"5 Source No.",$C1340,"4 Item Ledger Entry Type",$C$4,"2 Item No.","@@"&amp;$F1340,"3 Posting Date",J$9)-NL("Sum","5802 Value Entry","43 Cost Amount (Actual)","41 Source Type",$C$5,"5 Source no.",$C1340,"4 Item Ledger Entry Type",$C$4,"2 Item No.","@@"&amp;$F1340,"3 Posting Date",J$9)</t>
  </si>
  <si>
    <t>=J1340-L1340</t>
  </si>
  <si>
    <t>=IF(J1340&lt;&gt;0,M1340/J1340,"")</t>
  </si>
  <si>
    <t>=NL("Sum","5802 Value Entry","150 Sales Amount (Expected)","41 Source Type",$C$5,"5 Source No.",$C1340,"4 Item Ledger Entry Type",$C$4,"2 Item No.","@@"&amp;$F1340,"3 Posting Date",O$9)+NL("Sum","5802 Value Entry","17 Sales Amount (Actual)","41 Source Type",$C$5,"5 Source no.",$C1340,"4 Item Ledger Entry Type",$C$4,"2 Item No.","@@"&amp;$F1340,"3 Posting Date",O$9)</t>
  </si>
  <si>
    <t>=-NL("Sum","5802 Value Entry","151 Cost Amount (Expected)","41 Source Type",$C$5,"5 Source No.",$C1340,"4 Item Ledger Entry Type",$C$4,"2 Item No.","@@"&amp;$F1340,"3 Posting Date",O$9)-NL("Sum","5802 Value Entry","43 Cost Amount (Actual)","41 Source Type",$C$5,"5 Source no.",$C1340,"4 Item Ledger Entry Type",$C$4,"2 Item No.","@@"&amp;$F1340,"3 Posting Date",O$9)</t>
  </si>
  <si>
    <t>=O1340-Q1340</t>
  </si>
  <si>
    <t>=IF(O1340&lt;&gt;0,R1340/O1340,"")</t>
  </si>
  <si>
    <t>=NL("Sum","5802 Value Entry","150 Sales Amount (Expected)","41 Source Type",$C$5,"5 Source No.",$C1340,"4 Item Ledger Entry Type",$C$4,"2 Item No.","@@"&amp;$F1340,"3 Posting Date",U$9)+NL("Sum","5802 Value Entry","17 Sales Amount (Actual)","41 Source Type",$C$5,"5 Source no.",$C1340,"4 Item Ledger Entry Type",$C$4,"2 Item No.","@@"&amp;$F1340,"3 Posting Date",U$9)</t>
  </si>
  <si>
    <t>=-NL("Sum","5802 Value Entry","151 Cost Amount (Expected)","41 Source Type",$C$5,"5 Source No.",$C1340,"4 Item Ledger Entry Type",$C$4,"2 Item No.","@@"&amp;$F1340,"3 Posting Date",U$9)-NL("Sum","5802 Value Entry","43 Cost Amount (Actual)","41 Source Type",$C$5,"5 Source no.",$C1340,"4 Item Ledger Entry Type",$C$4,"2 Item No.","@@"&amp;$F1340,"3 Posting Date",U$9)</t>
  </si>
  <si>
    <t>=U1340-W1340</t>
  </si>
  <si>
    <t>=IF(U1340&lt;&gt;0,X1340/U1340,"")</t>
  </si>
  <si>
    <t>=NL("Sum","5802 Value Entry","150 Sales Amount (Expected)","41 Source Type",$C$5,"5 Source No.",$C1340,"4 Item Ledger Entry Type",$C$4,"2 Item No.","@@"&amp;$F1340,"3 Posting Date",Z$9)+NL("Sum","5802 Value Entry","17 Sales Amount (Actual)","41 Source Type",$C$5,"5 Source no.",$C1340,"4 Item Ledger Entry Type",$C$4,"2 Item No.","@@"&amp;$F1340,"3 Posting Date",Z$9)</t>
  </si>
  <si>
    <t>=-NL("Sum","5802 Value Entry","151 Cost Amount (Expected)","41 Source Type",$C$5,"5 Source No.",$C1340,"4 Item Ledger Entry Type",$C$4,"2 Item No.","@@"&amp;$F1340,"3 Posting Date",Z$9)-NL("Sum","5802 Value Entry","43 Cost Amount (Actual)","41 Source Type",$C$5,"5 Source no.",$C1340,"4 Item Ledger Entry Type",$C$4,"2 Item No.","@@"&amp;$F1340,"3 Posting Date",Z$9)</t>
  </si>
  <si>
    <t>=Z1340-AB1340</t>
  </si>
  <si>
    <t>=IF(Z1340&lt;&gt;0,AC1340/Z1340,"")</t>
  </si>
  <si>
    <t>=C1340</t>
  </si>
  <si>
    <t>=NL("Sum","5802 Value Entry","150 Sales Amount (Expected)","41 Source Type",$C$5,"5 Source No.",$C1341,"4 Item Ledger Entry Type",$C$4,"2 Item No.","@@"&amp;$F1341,"3 Posting Date",J$9)+NL("Sum","5802 Value Entry","17 Sales Amount (Actual)","41 Source Type",$C$5,"5 Source no.",$C1341,"4 Item Ledger Entry Type",$C$4,"2 Item No.","@@"&amp;$F1341,"3 Posting Date",J$9)</t>
  </si>
  <si>
    <t>=-NL("Sum","5802 Value Entry","151 Cost Amount (Expected)","41 Source Type",$C$5,"5 Source No.",$C1341,"4 Item Ledger Entry Type",$C$4,"2 Item No.","@@"&amp;$F1341,"3 Posting Date",J$9)-NL("Sum","5802 Value Entry","43 Cost Amount (Actual)","41 Source Type",$C$5,"5 Source no.",$C1341,"4 Item Ledger Entry Type",$C$4,"2 Item No.","@@"&amp;$F1341,"3 Posting Date",J$9)</t>
  </si>
  <si>
    <t>=J1341-L1341</t>
  </si>
  <si>
    <t>=IF(J1341&lt;&gt;0,M1341/J1341,"")</t>
  </si>
  <si>
    <t>=NL("Sum","5802 Value Entry","150 Sales Amount (Expected)","41 Source Type",$C$5,"5 Source No.",$C1341,"4 Item Ledger Entry Type",$C$4,"2 Item No.","@@"&amp;$F1341,"3 Posting Date",O$9)+NL("Sum","5802 Value Entry","17 Sales Amount (Actual)","41 Source Type",$C$5,"5 Source no.",$C1341,"4 Item Ledger Entry Type",$C$4,"2 Item No.","@@"&amp;$F1341,"3 Posting Date",O$9)</t>
  </si>
  <si>
    <t>=-NL("Sum","5802 Value Entry","151 Cost Amount (Expected)","41 Source Type",$C$5,"5 Source No.",$C1341,"4 Item Ledger Entry Type",$C$4,"2 Item No.","@@"&amp;$F1341,"3 Posting Date",O$9)-NL("Sum","5802 Value Entry","43 Cost Amount (Actual)","41 Source Type",$C$5,"5 Source no.",$C1341,"4 Item Ledger Entry Type",$C$4,"2 Item No.","@@"&amp;$F1341,"3 Posting Date",O$9)</t>
  </si>
  <si>
    <t>=O1341-Q1341</t>
  </si>
  <si>
    <t>=IF(O1341&lt;&gt;0,R1341/O1341,"")</t>
  </si>
  <si>
    <t>=NL("Sum","5802 Value Entry","150 Sales Amount (Expected)","41 Source Type",$C$5,"5 Source No.",$C1341,"4 Item Ledger Entry Type",$C$4,"2 Item No.","@@"&amp;$F1341,"3 Posting Date",U$9)+NL("Sum","5802 Value Entry","17 Sales Amount (Actual)","41 Source Type",$C$5,"5 Source no.",$C1341,"4 Item Ledger Entry Type",$C$4,"2 Item No.","@@"&amp;$F1341,"3 Posting Date",U$9)</t>
  </si>
  <si>
    <t>=-NL("Sum","5802 Value Entry","151 Cost Amount (Expected)","41 Source Type",$C$5,"5 Source No.",$C1341,"4 Item Ledger Entry Type",$C$4,"2 Item No.","@@"&amp;$F1341,"3 Posting Date",U$9)-NL("Sum","5802 Value Entry","43 Cost Amount (Actual)","41 Source Type",$C$5,"5 Source no.",$C1341,"4 Item Ledger Entry Type",$C$4,"2 Item No.","@@"&amp;$F1341,"3 Posting Date",U$9)</t>
  </si>
  <si>
    <t>=U1341-W1341</t>
  </si>
  <si>
    <t>=IF(U1341&lt;&gt;0,X1341/U1341,"")</t>
  </si>
  <si>
    <t>=NL("Sum","5802 Value Entry","150 Sales Amount (Expected)","41 Source Type",$C$5,"5 Source No.",$C1341,"4 Item Ledger Entry Type",$C$4,"2 Item No.","@@"&amp;$F1341,"3 Posting Date",Z$9)+NL("Sum","5802 Value Entry","17 Sales Amount (Actual)","41 Source Type",$C$5,"5 Source no.",$C1341,"4 Item Ledger Entry Type",$C$4,"2 Item No.","@@"&amp;$F1341,"3 Posting Date",Z$9)</t>
  </si>
  <si>
    <t>=-NL("Sum","5802 Value Entry","151 Cost Amount (Expected)","41 Source Type",$C$5,"5 Source No.",$C1341,"4 Item Ledger Entry Type",$C$4,"2 Item No.","@@"&amp;$F1341,"3 Posting Date",Z$9)-NL("Sum","5802 Value Entry","43 Cost Amount (Actual)","41 Source Type",$C$5,"5 Source no.",$C1341,"4 Item Ledger Entry Type",$C$4,"2 Item No.","@@"&amp;$F1341,"3 Posting Date",Z$9)</t>
  </si>
  <si>
    <t>=Z1341-AB1341</t>
  </si>
  <si>
    <t>=IF(Z1341&lt;&gt;0,AC1341/Z1341,"")</t>
  </si>
  <si>
    <t>=C1341</t>
  </si>
  <si>
    <t>=NL("Sum","5802 Value Entry","150 Sales Amount (Expected)","41 Source Type",$C$5,"5 Source No.",$C1342,"4 Item Ledger Entry Type",$C$4,"2 Item No.","@@"&amp;$F1342,"3 Posting Date",J$9)+NL("Sum","5802 Value Entry","17 Sales Amount (Actual)","41 Source Type",$C$5,"5 Source no.",$C1342,"4 Item Ledger Entry Type",$C$4,"2 Item No.","@@"&amp;$F1342,"3 Posting Date",J$9)</t>
  </si>
  <si>
    <t>=-NL("Sum","5802 Value Entry","151 Cost Amount (Expected)","41 Source Type",$C$5,"5 Source No.",$C1342,"4 Item Ledger Entry Type",$C$4,"2 Item No.","@@"&amp;$F1342,"3 Posting Date",J$9)-NL("Sum","5802 Value Entry","43 Cost Amount (Actual)","41 Source Type",$C$5,"5 Source no.",$C1342,"4 Item Ledger Entry Type",$C$4,"2 Item No.","@@"&amp;$F1342,"3 Posting Date",J$9)</t>
  </si>
  <si>
    <t>=J1342-L1342</t>
  </si>
  <si>
    <t>=IF(J1342&lt;&gt;0,M1342/J1342,"")</t>
  </si>
  <si>
    <t>=NL("Sum","5802 Value Entry","150 Sales Amount (Expected)","41 Source Type",$C$5,"5 Source No.",$C1342,"4 Item Ledger Entry Type",$C$4,"2 Item No.","@@"&amp;$F1342,"3 Posting Date",O$9)+NL("Sum","5802 Value Entry","17 Sales Amount (Actual)","41 Source Type",$C$5,"5 Source no.",$C1342,"4 Item Ledger Entry Type",$C$4,"2 Item No.","@@"&amp;$F1342,"3 Posting Date",O$9)</t>
  </si>
  <si>
    <t>=-NL("Sum","5802 Value Entry","151 Cost Amount (Expected)","41 Source Type",$C$5,"5 Source No.",$C1342,"4 Item Ledger Entry Type",$C$4,"2 Item No.","@@"&amp;$F1342,"3 Posting Date",O$9)-NL("Sum","5802 Value Entry","43 Cost Amount (Actual)","41 Source Type",$C$5,"5 Source no.",$C1342,"4 Item Ledger Entry Type",$C$4,"2 Item No.","@@"&amp;$F1342,"3 Posting Date",O$9)</t>
  </si>
  <si>
    <t>=O1342-Q1342</t>
  </si>
  <si>
    <t>=IF(O1342&lt;&gt;0,R1342/O1342,"")</t>
  </si>
  <si>
    <t>=NL("Sum","5802 Value Entry","150 Sales Amount (Expected)","41 Source Type",$C$5,"5 Source No.",$C1342,"4 Item Ledger Entry Type",$C$4,"2 Item No.","@@"&amp;$F1342,"3 Posting Date",U$9)+NL("Sum","5802 Value Entry","17 Sales Amount (Actual)","41 Source Type",$C$5,"5 Source no.",$C1342,"4 Item Ledger Entry Type",$C$4,"2 Item No.","@@"&amp;$F1342,"3 Posting Date",U$9)</t>
  </si>
  <si>
    <t>=-NL("Sum","5802 Value Entry","151 Cost Amount (Expected)","41 Source Type",$C$5,"5 Source No.",$C1342,"4 Item Ledger Entry Type",$C$4,"2 Item No.","@@"&amp;$F1342,"3 Posting Date",U$9)-NL("Sum","5802 Value Entry","43 Cost Amount (Actual)","41 Source Type",$C$5,"5 Source no.",$C1342,"4 Item Ledger Entry Type",$C$4,"2 Item No.","@@"&amp;$F1342,"3 Posting Date",U$9)</t>
  </si>
  <si>
    <t>=U1342-W1342</t>
  </si>
  <si>
    <t>=IF(U1342&lt;&gt;0,X1342/U1342,"")</t>
  </si>
  <si>
    <t>=NL("Sum","5802 Value Entry","150 Sales Amount (Expected)","41 Source Type",$C$5,"5 Source No.",$C1342,"4 Item Ledger Entry Type",$C$4,"2 Item No.","@@"&amp;$F1342,"3 Posting Date",Z$9)+NL("Sum","5802 Value Entry","17 Sales Amount (Actual)","41 Source Type",$C$5,"5 Source no.",$C1342,"4 Item Ledger Entry Type",$C$4,"2 Item No.","@@"&amp;$F1342,"3 Posting Date",Z$9)</t>
  </si>
  <si>
    <t>=-NL("Sum","5802 Value Entry","151 Cost Amount (Expected)","41 Source Type",$C$5,"5 Source No.",$C1342,"4 Item Ledger Entry Type",$C$4,"2 Item No.","@@"&amp;$F1342,"3 Posting Date",Z$9)-NL("Sum","5802 Value Entry","43 Cost Amount (Actual)","41 Source Type",$C$5,"5 Source no.",$C1342,"4 Item Ledger Entry Type",$C$4,"2 Item No.","@@"&amp;$F1342,"3 Posting Date",Z$9)</t>
  </si>
  <si>
    <t>=Z1342-AB1342</t>
  </si>
  <si>
    <t>=IF(Z1342&lt;&gt;0,AC1342/Z1342,"")</t>
  </si>
  <si>
    <t>=C1343</t>
  </si>
  <si>
    <t>=C1344&amp;" TOTAL:"</t>
  </si>
  <si>
    <t>=J1344-L1344</t>
  </si>
  <si>
    <t>=IF(J1344&lt;&gt;0,M1344/J1344,"")</t>
  </si>
  <si>
    <t>=O1344-Q1344</t>
  </si>
  <si>
    <t>=IF(O1344&lt;&gt;0,R1344/O1344,"")</t>
  </si>
  <si>
    <t>=U1344-W1344</t>
  </si>
  <si>
    <t>=IF(U1344&lt;&gt;0,X1344/U1344,"")</t>
  </si>
  <si>
    <t>=Z1344-AB1344</t>
  </si>
  <si>
    <t>=IF(Z1344&lt;&gt;0,AC1344/Z1344,"")</t>
  </si>
  <si>
    <t>=E1346</t>
  </si>
  <si>
    <t>=NL(,"18 Customer","2 Name","1 No.",$E1346)</t>
  </si>
  <si>
    <t>=C1346</t>
  </si>
  <si>
    <t>=C1347</t>
  </si>
  <si>
    <t>=NL("Rows","5802 Value Entry","2 Item No.","4 Item Ledger Entry Type",$C$4,"41 Source Type",$C$5,"5 Source No.",$C1348,"Item No.",$C$7,"3 Posting Date",$C$10)</t>
  </si>
  <si>
    <t>=NL("Sum","5802 Value Entry","150 Sales Amount (Expected)","41 Source Type",$C$5,"5 Source No.",$C1348,"4 Item Ledger Entry Type",$C$4,"2 Item No.","@@"&amp;$F1348,"3 Posting Date",J$9)+NL("Sum","5802 Value Entry","17 Sales Amount (Actual)","41 Source Type",$C$5,"5 Source no.",$C1348,"4 Item Ledger Entry Type",$C$4,"2 Item No.","@@"&amp;$F1348,"3 Posting Date",J$9)</t>
  </si>
  <si>
    <t>=-NL("Sum","5802 Value Entry","151 Cost Amount (Expected)","41 Source Type",$C$5,"5 Source No.",$C1348,"4 Item Ledger Entry Type",$C$4,"2 Item No.","@@"&amp;$F1348,"3 Posting Date",J$9)-NL("Sum","5802 Value Entry","43 Cost Amount (Actual)","41 Source Type",$C$5,"5 Source no.",$C1348,"4 Item Ledger Entry Type",$C$4,"2 Item No.","@@"&amp;$F1348,"3 Posting Date",J$9)</t>
  </si>
  <si>
    <t>=J1348-L1348</t>
  </si>
  <si>
    <t>=IF(J1348&lt;&gt;0,M1348/J1348,"")</t>
  </si>
  <si>
    <t>=NL("Sum","5802 Value Entry","150 Sales Amount (Expected)","41 Source Type",$C$5,"5 Source No.",$C1348,"4 Item Ledger Entry Type",$C$4,"2 Item No.","@@"&amp;$F1348,"3 Posting Date",O$9)+NL("Sum","5802 Value Entry","17 Sales Amount (Actual)","41 Source Type",$C$5,"5 Source no.",$C1348,"4 Item Ledger Entry Type",$C$4,"2 Item No.","@@"&amp;$F1348,"3 Posting Date",O$9)</t>
  </si>
  <si>
    <t>=-NL("Sum","5802 Value Entry","151 Cost Amount (Expected)","41 Source Type",$C$5,"5 Source No.",$C1348,"4 Item Ledger Entry Type",$C$4,"2 Item No.","@@"&amp;$F1348,"3 Posting Date",O$9)-NL("Sum","5802 Value Entry","43 Cost Amount (Actual)","41 Source Type",$C$5,"5 Source no.",$C1348,"4 Item Ledger Entry Type",$C$4,"2 Item No.","@@"&amp;$F1348,"3 Posting Date",O$9)</t>
  </si>
  <si>
    <t>=O1348-Q1348</t>
  </si>
  <si>
    <t>=IF(O1348&lt;&gt;0,R1348/O1348,"")</t>
  </si>
  <si>
    <t>=NL("Sum","5802 Value Entry","150 Sales Amount (Expected)","41 Source Type",$C$5,"5 Source No.",$C1348,"4 Item Ledger Entry Type",$C$4,"2 Item No.","@@"&amp;$F1348,"3 Posting Date",U$9)+NL("Sum","5802 Value Entry","17 Sales Amount (Actual)","41 Source Type",$C$5,"5 Source no.",$C1348,"4 Item Ledger Entry Type",$C$4,"2 Item No.","@@"&amp;$F1348,"3 Posting Date",U$9)</t>
  </si>
  <si>
    <t>=-NL("Sum","5802 Value Entry","151 Cost Amount (Expected)","41 Source Type",$C$5,"5 Source No.",$C1348,"4 Item Ledger Entry Type",$C$4,"2 Item No.","@@"&amp;$F1348,"3 Posting Date",U$9)-NL("Sum","5802 Value Entry","43 Cost Amount (Actual)","41 Source Type",$C$5,"5 Source no.",$C1348,"4 Item Ledger Entry Type",$C$4,"2 Item No.","@@"&amp;$F1348,"3 Posting Date",U$9)</t>
  </si>
  <si>
    <t>=U1348-W1348</t>
  </si>
  <si>
    <t>=IF(U1348&lt;&gt;0,X1348/U1348,"")</t>
  </si>
  <si>
    <t>=NL("Sum","5802 Value Entry","150 Sales Amount (Expected)","41 Source Type",$C$5,"5 Source No.",$C1348,"4 Item Ledger Entry Type",$C$4,"2 Item No.","@@"&amp;$F1348,"3 Posting Date",Z$9)+NL("Sum","5802 Value Entry","17 Sales Amount (Actual)","41 Source Type",$C$5,"5 Source no.",$C1348,"4 Item Ledger Entry Type",$C$4,"2 Item No.","@@"&amp;$F1348,"3 Posting Date",Z$9)</t>
  </si>
  <si>
    <t>=-NL("Sum","5802 Value Entry","151 Cost Amount (Expected)","41 Source Type",$C$5,"5 Source No.",$C1348,"4 Item Ledger Entry Type",$C$4,"2 Item No.","@@"&amp;$F1348,"3 Posting Date",Z$9)-NL("Sum","5802 Value Entry","43 Cost Amount (Actual)","41 Source Type",$C$5,"5 Source no.",$C1348,"4 Item Ledger Entry Type",$C$4,"2 Item No.","@@"&amp;$F1348,"3 Posting Date",Z$9)</t>
  </si>
  <si>
    <t>=Z1348-AB1348</t>
  </si>
  <si>
    <t>=IF(Z1348&lt;&gt;0,AC1348/Z1348,"")</t>
  </si>
  <si>
    <t>=C1348</t>
  </si>
  <si>
    <t>=NL("Sum","5802 Value Entry","150 Sales Amount (Expected)","41 Source Type",$C$5,"5 Source No.",$C1349,"4 Item Ledger Entry Type",$C$4,"2 Item No.","@@"&amp;$F1349,"3 Posting Date",J$9)+NL("Sum","5802 Value Entry","17 Sales Amount (Actual)","41 Source Type",$C$5,"5 Source no.",$C1349,"4 Item Ledger Entry Type",$C$4,"2 Item No.","@@"&amp;$F1349,"3 Posting Date",J$9)</t>
  </si>
  <si>
    <t>=-NL("Sum","5802 Value Entry","151 Cost Amount (Expected)","41 Source Type",$C$5,"5 Source No.",$C1349,"4 Item Ledger Entry Type",$C$4,"2 Item No.","@@"&amp;$F1349,"3 Posting Date",J$9)-NL("Sum","5802 Value Entry","43 Cost Amount (Actual)","41 Source Type",$C$5,"5 Source no.",$C1349,"4 Item Ledger Entry Type",$C$4,"2 Item No.","@@"&amp;$F1349,"3 Posting Date",J$9)</t>
  </si>
  <si>
    <t>=J1349-L1349</t>
  </si>
  <si>
    <t>=IF(J1349&lt;&gt;0,M1349/J1349,"")</t>
  </si>
  <si>
    <t>=NL("Sum","5802 Value Entry","150 Sales Amount (Expected)","41 Source Type",$C$5,"5 Source No.",$C1349,"4 Item Ledger Entry Type",$C$4,"2 Item No.","@@"&amp;$F1349,"3 Posting Date",O$9)+NL("Sum","5802 Value Entry","17 Sales Amount (Actual)","41 Source Type",$C$5,"5 Source no.",$C1349,"4 Item Ledger Entry Type",$C$4,"2 Item No.","@@"&amp;$F1349,"3 Posting Date",O$9)</t>
  </si>
  <si>
    <t>=-NL("Sum","5802 Value Entry","151 Cost Amount (Expected)","41 Source Type",$C$5,"5 Source No.",$C1349,"4 Item Ledger Entry Type",$C$4,"2 Item No.","@@"&amp;$F1349,"3 Posting Date",O$9)-NL("Sum","5802 Value Entry","43 Cost Amount (Actual)","41 Source Type",$C$5,"5 Source no.",$C1349,"4 Item Ledger Entry Type",$C$4,"2 Item No.","@@"&amp;$F1349,"3 Posting Date",O$9)</t>
  </si>
  <si>
    <t>=O1349-Q1349</t>
  </si>
  <si>
    <t>=IF(O1349&lt;&gt;0,R1349/O1349,"")</t>
  </si>
  <si>
    <t>=NL("Sum","5802 Value Entry","150 Sales Amount (Expected)","41 Source Type",$C$5,"5 Source No.",$C1349,"4 Item Ledger Entry Type",$C$4,"2 Item No.","@@"&amp;$F1349,"3 Posting Date",U$9)+NL("Sum","5802 Value Entry","17 Sales Amount (Actual)","41 Source Type",$C$5,"5 Source no.",$C1349,"4 Item Ledger Entry Type",$C$4,"2 Item No.","@@"&amp;$F1349,"3 Posting Date",U$9)</t>
  </si>
  <si>
    <t>=-NL("Sum","5802 Value Entry","151 Cost Amount (Expected)","41 Source Type",$C$5,"5 Source No.",$C1349,"4 Item Ledger Entry Type",$C$4,"2 Item No.","@@"&amp;$F1349,"3 Posting Date",U$9)-NL("Sum","5802 Value Entry","43 Cost Amount (Actual)","41 Source Type",$C$5,"5 Source no.",$C1349,"4 Item Ledger Entry Type",$C$4,"2 Item No.","@@"&amp;$F1349,"3 Posting Date",U$9)</t>
  </si>
  <si>
    <t>=U1349-W1349</t>
  </si>
  <si>
    <t>=IF(U1349&lt;&gt;0,X1349/U1349,"")</t>
  </si>
  <si>
    <t>=NL("Sum","5802 Value Entry","150 Sales Amount (Expected)","41 Source Type",$C$5,"5 Source No.",$C1349,"4 Item Ledger Entry Type",$C$4,"2 Item No.","@@"&amp;$F1349,"3 Posting Date",Z$9)+NL("Sum","5802 Value Entry","17 Sales Amount (Actual)","41 Source Type",$C$5,"5 Source no.",$C1349,"4 Item Ledger Entry Type",$C$4,"2 Item No.","@@"&amp;$F1349,"3 Posting Date",Z$9)</t>
  </si>
  <si>
    <t>=-NL("Sum","5802 Value Entry","151 Cost Amount (Expected)","41 Source Type",$C$5,"5 Source No.",$C1349,"4 Item Ledger Entry Type",$C$4,"2 Item No.","@@"&amp;$F1349,"3 Posting Date",Z$9)-NL("Sum","5802 Value Entry","43 Cost Amount (Actual)","41 Source Type",$C$5,"5 Source no.",$C1349,"4 Item Ledger Entry Type",$C$4,"2 Item No.","@@"&amp;$F1349,"3 Posting Date",Z$9)</t>
  </si>
  <si>
    <t>=Z1349-AB1349</t>
  </si>
  <si>
    <t>=IF(Z1349&lt;&gt;0,AC1349/Z1349,"")</t>
  </si>
  <si>
    <t>=C1349</t>
  </si>
  <si>
    <t>=NL("Sum","5802 Value Entry","150 Sales Amount (Expected)","41 Source Type",$C$5,"5 Source No.",$C1350,"4 Item Ledger Entry Type",$C$4,"2 Item No.","@@"&amp;$F1350,"3 Posting Date",J$9)+NL("Sum","5802 Value Entry","17 Sales Amount (Actual)","41 Source Type",$C$5,"5 Source no.",$C1350,"4 Item Ledger Entry Type",$C$4,"2 Item No.","@@"&amp;$F1350,"3 Posting Date",J$9)</t>
  </si>
  <si>
    <t>=-NL("Sum","5802 Value Entry","151 Cost Amount (Expected)","41 Source Type",$C$5,"5 Source No.",$C1350,"4 Item Ledger Entry Type",$C$4,"2 Item No.","@@"&amp;$F1350,"3 Posting Date",J$9)-NL("Sum","5802 Value Entry","43 Cost Amount (Actual)","41 Source Type",$C$5,"5 Source no.",$C1350,"4 Item Ledger Entry Type",$C$4,"2 Item No.","@@"&amp;$F1350,"3 Posting Date",J$9)</t>
  </si>
  <si>
    <t>=J1350-L1350</t>
  </si>
  <si>
    <t>=IF(J1350&lt;&gt;0,M1350/J1350,"")</t>
  </si>
  <si>
    <t>=NL("Sum","5802 Value Entry","150 Sales Amount (Expected)","41 Source Type",$C$5,"5 Source No.",$C1350,"4 Item Ledger Entry Type",$C$4,"2 Item No.","@@"&amp;$F1350,"3 Posting Date",O$9)+NL("Sum","5802 Value Entry","17 Sales Amount (Actual)","41 Source Type",$C$5,"5 Source no.",$C1350,"4 Item Ledger Entry Type",$C$4,"2 Item No.","@@"&amp;$F1350,"3 Posting Date",O$9)</t>
  </si>
  <si>
    <t>=-NL("Sum","5802 Value Entry","151 Cost Amount (Expected)","41 Source Type",$C$5,"5 Source No.",$C1350,"4 Item Ledger Entry Type",$C$4,"2 Item No.","@@"&amp;$F1350,"3 Posting Date",O$9)-NL("Sum","5802 Value Entry","43 Cost Amount (Actual)","41 Source Type",$C$5,"5 Source no.",$C1350,"4 Item Ledger Entry Type",$C$4,"2 Item No.","@@"&amp;$F1350,"3 Posting Date",O$9)</t>
  </si>
  <si>
    <t>=O1350-Q1350</t>
  </si>
  <si>
    <t>=IF(O1350&lt;&gt;0,R1350/O1350,"")</t>
  </si>
  <si>
    <t>=NL("Sum","5802 Value Entry","150 Sales Amount (Expected)","41 Source Type",$C$5,"5 Source No.",$C1350,"4 Item Ledger Entry Type",$C$4,"2 Item No.","@@"&amp;$F1350,"3 Posting Date",U$9)+NL("Sum","5802 Value Entry","17 Sales Amount (Actual)","41 Source Type",$C$5,"5 Source no.",$C1350,"4 Item Ledger Entry Type",$C$4,"2 Item No.","@@"&amp;$F1350,"3 Posting Date",U$9)</t>
  </si>
  <si>
    <t>=-NL("Sum","5802 Value Entry","151 Cost Amount (Expected)","41 Source Type",$C$5,"5 Source No.",$C1350,"4 Item Ledger Entry Type",$C$4,"2 Item No.","@@"&amp;$F1350,"3 Posting Date",U$9)-NL("Sum","5802 Value Entry","43 Cost Amount (Actual)","41 Source Type",$C$5,"5 Source no.",$C1350,"4 Item Ledger Entry Type",$C$4,"2 Item No.","@@"&amp;$F1350,"3 Posting Date",U$9)</t>
  </si>
  <si>
    <t>=U1350-W1350</t>
  </si>
  <si>
    <t>=IF(U1350&lt;&gt;0,X1350/U1350,"")</t>
  </si>
  <si>
    <t>=NL("Sum","5802 Value Entry","150 Sales Amount (Expected)","41 Source Type",$C$5,"5 Source No.",$C1350,"4 Item Ledger Entry Type",$C$4,"2 Item No.","@@"&amp;$F1350,"3 Posting Date",Z$9)+NL("Sum","5802 Value Entry","17 Sales Amount (Actual)","41 Source Type",$C$5,"5 Source no.",$C1350,"4 Item Ledger Entry Type",$C$4,"2 Item No.","@@"&amp;$F1350,"3 Posting Date",Z$9)</t>
  </si>
  <si>
    <t>=-NL("Sum","5802 Value Entry","151 Cost Amount (Expected)","41 Source Type",$C$5,"5 Source No.",$C1350,"4 Item Ledger Entry Type",$C$4,"2 Item No.","@@"&amp;$F1350,"3 Posting Date",Z$9)-NL("Sum","5802 Value Entry","43 Cost Amount (Actual)","41 Source Type",$C$5,"5 Source no.",$C1350,"4 Item Ledger Entry Type",$C$4,"2 Item No.","@@"&amp;$F1350,"3 Posting Date",Z$9)</t>
  </si>
  <si>
    <t>=Z1350-AB1350</t>
  </si>
  <si>
    <t>=IF(Z1350&lt;&gt;0,AC1350/Z1350,"")</t>
  </si>
  <si>
    <t>=C1350</t>
  </si>
  <si>
    <t>=NL("Sum","5802 Value Entry","150 Sales Amount (Expected)","41 Source Type",$C$5,"5 Source No.",$C1351,"4 Item Ledger Entry Type",$C$4,"2 Item No.","@@"&amp;$F1351,"3 Posting Date",J$9)+NL("Sum","5802 Value Entry","17 Sales Amount (Actual)","41 Source Type",$C$5,"5 Source no.",$C1351,"4 Item Ledger Entry Type",$C$4,"2 Item No.","@@"&amp;$F1351,"3 Posting Date",J$9)</t>
  </si>
  <si>
    <t>=-NL("Sum","5802 Value Entry","151 Cost Amount (Expected)","41 Source Type",$C$5,"5 Source No.",$C1351,"4 Item Ledger Entry Type",$C$4,"2 Item No.","@@"&amp;$F1351,"3 Posting Date",J$9)-NL("Sum","5802 Value Entry","43 Cost Amount (Actual)","41 Source Type",$C$5,"5 Source no.",$C1351,"4 Item Ledger Entry Type",$C$4,"2 Item No.","@@"&amp;$F1351,"3 Posting Date",J$9)</t>
  </si>
  <si>
    <t>=J1351-L1351</t>
  </si>
  <si>
    <t>=IF(J1351&lt;&gt;0,M1351/J1351,"")</t>
  </si>
  <si>
    <t>=NL("Sum","5802 Value Entry","150 Sales Amount (Expected)","41 Source Type",$C$5,"5 Source No.",$C1351,"4 Item Ledger Entry Type",$C$4,"2 Item No.","@@"&amp;$F1351,"3 Posting Date",O$9)+NL("Sum","5802 Value Entry","17 Sales Amount (Actual)","41 Source Type",$C$5,"5 Source no.",$C1351,"4 Item Ledger Entry Type",$C$4,"2 Item No.","@@"&amp;$F1351,"3 Posting Date",O$9)</t>
  </si>
  <si>
    <t>=-NL("Sum","5802 Value Entry","151 Cost Amount (Expected)","41 Source Type",$C$5,"5 Source No.",$C1351,"4 Item Ledger Entry Type",$C$4,"2 Item No.","@@"&amp;$F1351,"3 Posting Date",O$9)-NL("Sum","5802 Value Entry","43 Cost Amount (Actual)","41 Source Type",$C$5,"5 Source no.",$C1351,"4 Item Ledger Entry Type",$C$4,"2 Item No.","@@"&amp;$F1351,"3 Posting Date",O$9)</t>
  </si>
  <si>
    <t>=O1351-Q1351</t>
  </si>
  <si>
    <t>=IF(O1351&lt;&gt;0,R1351/O1351,"")</t>
  </si>
  <si>
    <t>=NL("Sum","5802 Value Entry","150 Sales Amount (Expected)","41 Source Type",$C$5,"5 Source No.",$C1351,"4 Item Ledger Entry Type",$C$4,"2 Item No.","@@"&amp;$F1351,"3 Posting Date",U$9)+NL("Sum","5802 Value Entry","17 Sales Amount (Actual)","41 Source Type",$C$5,"5 Source no.",$C1351,"4 Item Ledger Entry Type",$C$4,"2 Item No.","@@"&amp;$F1351,"3 Posting Date",U$9)</t>
  </si>
  <si>
    <t>=-NL("Sum","5802 Value Entry","151 Cost Amount (Expected)","41 Source Type",$C$5,"5 Source No.",$C1351,"4 Item Ledger Entry Type",$C$4,"2 Item No.","@@"&amp;$F1351,"3 Posting Date",U$9)-NL("Sum","5802 Value Entry","43 Cost Amount (Actual)","41 Source Type",$C$5,"5 Source no.",$C1351,"4 Item Ledger Entry Type",$C$4,"2 Item No.","@@"&amp;$F1351,"3 Posting Date",U$9)</t>
  </si>
  <si>
    <t>=U1351-W1351</t>
  </si>
  <si>
    <t>=IF(U1351&lt;&gt;0,X1351/U1351,"")</t>
  </si>
  <si>
    <t>=NL("Sum","5802 Value Entry","150 Sales Amount (Expected)","41 Source Type",$C$5,"5 Source No.",$C1351,"4 Item Ledger Entry Type",$C$4,"2 Item No.","@@"&amp;$F1351,"3 Posting Date",Z$9)+NL("Sum","5802 Value Entry","17 Sales Amount (Actual)","41 Source Type",$C$5,"5 Source no.",$C1351,"4 Item Ledger Entry Type",$C$4,"2 Item No.","@@"&amp;$F1351,"3 Posting Date",Z$9)</t>
  </si>
  <si>
    <t>=-NL("Sum","5802 Value Entry","151 Cost Amount (Expected)","41 Source Type",$C$5,"5 Source No.",$C1351,"4 Item Ledger Entry Type",$C$4,"2 Item No.","@@"&amp;$F1351,"3 Posting Date",Z$9)-NL("Sum","5802 Value Entry","43 Cost Amount (Actual)","41 Source Type",$C$5,"5 Source no.",$C1351,"4 Item Ledger Entry Type",$C$4,"2 Item No.","@@"&amp;$F1351,"3 Posting Date",Z$9)</t>
  </si>
  <si>
    <t>=Z1351-AB1351</t>
  </si>
  <si>
    <t>=IF(Z1351&lt;&gt;0,AC1351/Z1351,"")</t>
  </si>
  <si>
    <t>=C1351</t>
  </si>
  <si>
    <t>=NL("Sum","5802 Value Entry","150 Sales Amount (Expected)","41 Source Type",$C$5,"5 Source No.",$C1352,"4 Item Ledger Entry Type",$C$4,"2 Item No.","@@"&amp;$F1352,"3 Posting Date",J$9)+NL("Sum","5802 Value Entry","17 Sales Amount (Actual)","41 Source Type",$C$5,"5 Source no.",$C1352,"4 Item Ledger Entry Type",$C$4,"2 Item No.","@@"&amp;$F1352,"3 Posting Date",J$9)</t>
  </si>
  <si>
    <t>=-NL("Sum","5802 Value Entry","151 Cost Amount (Expected)","41 Source Type",$C$5,"5 Source No.",$C1352,"4 Item Ledger Entry Type",$C$4,"2 Item No.","@@"&amp;$F1352,"3 Posting Date",J$9)-NL("Sum","5802 Value Entry","43 Cost Amount (Actual)","41 Source Type",$C$5,"5 Source no.",$C1352,"4 Item Ledger Entry Type",$C$4,"2 Item No.","@@"&amp;$F1352,"3 Posting Date",J$9)</t>
  </si>
  <si>
    <t>=J1352-L1352</t>
  </si>
  <si>
    <t>=IF(J1352&lt;&gt;0,M1352/J1352,"")</t>
  </si>
  <si>
    <t>=NL("Sum","5802 Value Entry","150 Sales Amount (Expected)","41 Source Type",$C$5,"5 Source No.",$C1352,"4 Item Ledger Entry Type",$C$4,"2 Item No.","@@"&amp;$F1352,"3 Posting Date",O$9)+NL("Sum","5802 Value Entry","17 Sales Amount (Actual)","41 Source Type",$C$5,"5 Source no.",$C1352,"4 Item Ledger Entry Type",$C$4,"2 Item No.","@@"&amp;$F1352,"3 Posting Date",O$9)</t>
  </si>
  <si>
    <t>=-NL("Sum","5802 Value Entry","151 Cost Amount (Expected)","41 Source Type",$C$5,"5 Source No.",$C1352,"4 Item Ledger Entry Type",$C$4,"2 Item No.","@@"&amp;$F1352,"3 Posting Date",O$9)-NL("Sum","5802 Value Entry","43 Cost Amount (Actual)","41 Source Type",$C$5,"5 Source no.",$C1352,"4 Item Ledger Entry Type",$C$4,"2 Item No.","@@"&amp;$F1352,"3 Posting Date",O$9)</t>
  </si>
  <si>
    <t>=O1352-Q1352</t>
  </si>
  <si>
    <t>=IF(O1352&lt;&gt;0,R1352/O1352,"")</t>
  </si>
  <si>
    <t>=NL("Sum","5802 Value Entry","150 Sales Amount (Expected)","41 Source Type",$C$5,"5 Source No.",$C1352,"4 Item Ledger Entry Type",$C$4,"2 Item No.","@@"&amp;$F1352,"3 Posting Date",U$9)+NL("Sum","5802 Value Entry","17 Sales Amount (Actual)","41 Source Type",$C$5,"5 Source no.",$C1352,"4 Item Ledger Entry Type",$C$4,"2 Item No.","@@"&amp;$F1352,"3 Posting Date",U$9)</t>
  </si>
  <si>
    <t>=-NL("Sum","5802 Value Entry","151 Cost Amount (Expected)","41 Source Type",$C$5,"5 Source No.",$C1352,"4 Item Ledger Entry Type",$C$4,"2 Item No.","@@"&amp;$F1352,"3 Posting Date",U$9)-NL("Sum","5802 Value Entry","43 Cost Amount (Actual)","41 Source Type",$C$5,"5 Source no.",$C1352,"4 Item Ledger Entry Type",$C$4,"2 Item No.","@@"&amp;$F1352,"3 Posting Date",U$9)</t>
  </si>
  <si>
    <t>=U1352-W1352</t>
  </si>
  <si>
    <t>=IF(U1352&lt;&gt;0,X1352/U1352,"")</t>
  </si>
  <si>
    <t>=NL("Sum","5802 Value Entry","150 Sales Amount (Expected)","41 Source Type",$C$5,"5 Source No.",$C1352,"4 Item Ledger Entry Type",$C$4,"2 Item No.","@@"&amp;$F1352,"3 Posting Date",Z$9)+NL("Sum","5802 Value Entry","17 Sales Amount (Actual)","41 Source Type",$C$5,"5 Source no.",$C1352,"4 Item Ledger Entry Type",$C$4,"2 Item No.","@@"&amp;$F1352,"3 Posting Date",Z$9)</t>
  </si>
  <si>
    <t>=-NL("Sum","5802 Value Entry","151 Cost Amount (Expected)","41 Source Type",$C$5,"5 Source No.",$C1352,"4 Item Ledger Entry Type",$C$4,"2 Item No.","@@"&amp;$F1352,"3 Posting Date",Z$9)-NL("Sum","5802 Value Entry","43 Cost Amount (Actual)","41 Source Type",$C$5,"5 Source no.",$C1352,"4 Item Ledger Entry Type",$C$4,"2 Item No.","@@"&amp;$F1352,"3 Posting Date",Z$9)</t>
  </si>
  <si>
    <t>=Z1352-AB1352</t>
  </si>
  <si>
    <t>=IF(Z1352&lt;&gt;0,AC1352/Z1352,"")</t>
  </si>
  <si>
    <t>=C1352</t>
  </si>
  <si>
    <t>=NL("Sum","5802 Value Entry","150 Sales Amount (Expected)","41 Source Type",$C$5,"5 Source No.",$C1353,"4 Item Ledger Entry Type",$C$4,"2 Item No.","@@"&amp;$F1353,"3 Posting Date",J$9)+NL("Sum","5802 Value Entry","17 Sales Amount (Actual)","41 Source Type",$C$5,"5 Source no.",$C1353,"4 Item Ledger Entry Type",$C$4,"2 Item No.","@@"&amp;$F1353,"3 Posting Date",J$9)</t>
  </si>
  <si>
    <t>=-NL("Sum","5802 Value Entry","151 Cost Amount (Expected)","41 Source Type",$C$5,"5 Source No.",$C1353,"4 Item Ledger Entry Type",$C$4,"2 Item No.","@@"&amp;$F1353,"3 Posting Date",J$9)-NL("Sum","5802 Value Entry","43 Cost Amount (Actual)","41 Source Type",$C$5,"5 Source no.",$C1353,"4 Item Ledger Entry Type",$C$4,"2 Item No.","@@"&amp;$F1353,"3 Posting Date",J$9)</t>
  </si>
  <si>
    <t>=J1353-L1353</t>
  </si>
  <si>
    <t>=IF(J1353&lt;&gt;0,M1353/J1353,"")</t>
  </si>
  <si>
    <t>=NL("Sum","5802 Value Entry","150 Sales Amount (Expected)","41 Source Type",$C$5,"5 Source No.",$C1353,"4 Item Ledger Entry Type",$C$4,"2 Item No.","@@"&amp;$F1353,"3 Posting Date",O$9)+NL("Sum","5802 Value Entry","17 Sales Amount (Actual)","41 Source Type",$C$5,"5 Source no.",$C1353,"4 Item Ledger Entry Type",$C$4,"2 Item No.","@@"&amp;$F1353,"3 Posting Date",O$9)</t>
  </si>
  <si>
    <t>=-NL("Sum","5802 Value Entry","151 Cost Amount (Expected)","41 Source Type",$C$5,"5 Source No.",$C1353,"4 Item Ledger Entry Type",$C$4,"2 Item No.","@@"&amp;$F1353,"3 Posting Date",O$9)-NL("Sum","5802 Value Entry","43 Cost Amount (Actual)","41 Source Type",$C$5,"5 Source no.",$C1353,"4 Item Ledger Entry Type",$C$4,"2 Item No.","@@"&amp;$F1353,"3 Posting Date",O$9)</t>
  </si>
  <si>
    <t>=O1353-Q1353</t>
  </si>
  <si>
    <t>=IF(O1353&lt;&gt;0,R1353/O1353,"")</t>
  </si>
  <si>
    <t>=NL("Sum","5802 Value Entry","150 Sales Amount (Expected)","41 Source Type",$C$5,"5 Source No.",$C1353,"4 Item Ledger Entry Type",$C$4,"2 Item No.","@@"&amp;$F1353,"3 Posting Date",U$9)+NL("Sum","5802 Value Entry","17 Sales Amount (Actual)","41 Source Type",$C$5,"5 Source no.",$C1353,"4 Item Ledger Entry Type",$C$4,"2 Item No.","@@"&amp;$F1353,"3 Posting Date",U$9)</t>
  </si>
  <si>
    <t>=-NL("Sum","5802 Value Entry","151 Cost Amount (Expected)","41 Source Type",$C$5,"5 Source No.",$C1353,"4 Item Ledger Entry Type",$C$4,"2 Item No.","@@"&amp;$F1353,"3 Posting Date",U$9)-NL("Sum","5802 Value Entry","43 Cost Amount (Actual)","41 Source Type",$C$5,"5 Source no.",$C1353,"4 Item Ledger Entry Type",$C$4,"2 Item No.","@@"&amp;$F1353,"3 Posting Date",U$9)</t>
  </si>
  <si>
    <t>=U1353-W1353</t>
  </si>
  <si>
    <t>=IF(U1353&lt;&gt;0,X1353/U1353,"")</t>
  </si>
  <si>
    <t>=NL("Sum","5802 Value Entry","150 Sales Amount (Expected)","41 Source Type",$C$5,"5 Source No.",$C1353,"4 Item Ledger Entry Type",$C$4,"2 Item No.","@@"&amp;$F1353,"3 Posting Date",Z$9)+NL("Sum","5802 Value Entry","17 Sales Amount (Actual)","41 Source Type",$C$5,"5 Source no.",$C1353,"4 Item Ledger Entry Type",$C$4,"2 Item No.","@@"&amp;$F1353,"3 Posting Date",Z$9)</t>
  </si>
  <si>
    <t>=-NL("Sum","5802 Value Entry","151 Cost Amount (Expected)","41 Source Type",$C$5,"5 Source No.",$C1353,"4 Item Ledger Entry Type",$C$4,"2 Item No.","@@"&amp;$F1353,"3 Posting Date",Z$9)-NL("Sum","5802 Value Entry","43 Cost Amount (Actual)","41 Source Type",$C$5,"5 Source no.",$C1353,"4 Item Ledger Entry Type",$C$4,"2 Item No.","@@"&amp;$F1353,"3 Posting Date",Z$9)</t>
  </si>
  <si>
    <t>=Z1353-AB1353</t>
  </si>
  <si>
    <t>=IF(Z1353&lt;&gt;0,AC1353/Z1353,"")</t>
  </si>
  <si>
    <t>=C1353</t>
  </si>
  <si>
    <t>=NL("Sum","5802 Value Entry","150 Sales Amount (Expected)","41 Source Type",$C$5,"5 Source No.",$C1354,"4 Item Ledger Entry Type",$C$4,"2 Item No.","@@"&amp;$F1354,"3 Posting Date",J$9)+NL("Sum","5802 Value Entry","17 Sales Amount (Actual)","41 Source Type",$C$5,"5 Source no.",$C1354,"4 Item Ledger Entry Type",$C$4,"2 Item No.","@@"&amp;$F1354,"3 Posting Date",J$9)</t>
  </si>
  <si>
    <t>=-NL("Sum","5802 Value Entry","151 Cost Amount (Expected)","41 Source Type",$C$5,"5 Source No.",$C1354,"4 Item Ledger Entry Type",$C$4,"2 Item No.","@@"&amp;$F1354,"3 Posting Date",J$9)-NL("Sum","5802 Value Entry","43 Cost Amount (Actual)","41 Source Type",$C$5,"5 Source no.",$C1354,"4 Item Ledger Entry Type",$C$4,"2 Item No.","@@"&amp;$F1354,"3 Posting Date",J$9)</t>
  </si>
  <si>
    <t>=J1354-L1354</t>
  </si>
  <si>
    <t>=IF(J1354&lt;&gt;0,M1354/J1354,"")</t>
  </si>
  <si>
    <t>=NL("Sum","5802 Value Entry","150 Sales Amount (Expected)","41 Source Type",$C$5,"5 Source No.",$C1354,"4 Item Ledger Entry Type",$C$4,"2 Item No.","@@"&amp;$F1354,"3 Posting Date",O$9)+NL("Sum","5802 Value Entry","17 Sales Amount (Actual)","41 Source Type",$C$5,"5 Source no.",$C1354,"4 Item Ledger Entry Type",$C$4,"2 Item No.","@@"&amp;$F1354,"3 Posting Date",O$9)</t>
  </si>
  <si>
    <t>=-NL("Sum","5802 Value Entry","151 Cost Amount (Expected)","41 Source Type",$C$5,"5 Source No.",$C1354,"4 Item Ledger Entry Type",$C$4,"2 Item No.","@@"&amp;$F1354,"3 Posting Date",O$9)-NL("Sum","5802 Value Entry","43 Cost Amount (Actual)","41 Source Type",$C$5,"5 Source no.",$C1354,"4 Item Ledger Entry Type",$C$4,"2 Item No.","@@"&amp;$F1354,"3 Posting Date",O$9)</t>
  </si>
  <si>
    <t>=O1354-Q1354</t>
  </si>
  <si>
    <t>=IF(O1354&lt;&gt;0,R1354/O1354,"")</t>
  </si>
  <si>
    <t>=NL("Sum","5802 Value Entry","150 Sales Amount (Expected)","41 Source Type",$C$5,"5 Source No.",$C1354,"4 Item Ledger Entry Type",$C$4,"2 Item No.","@@"&amp;$F1354,"3 Posting Date",U$9)+NL("Sum","5802 Value Entry","17 Sales Amount (Actual)","41 Source Type",$C$5,"5 Source no.",$C1354,"4 Item Ledger Entry Type",$C$4,"2 Item No.","@@"&amp;$F1354,"3 Posting Date",U$9)</t>
  </si>
  <si>
    <t>=-NL("Sum","5802 Value Entry","151 Cost Amount (Expected)","41 Source Type",$C$5,"5 Source No.",$C1354,"4 Item Ledger Entry Type",$C$4,"2 Item No.","@@"&amp;$F1354,"3 Posting Date",U$9)-NL("Sum","5802 Value Entry","43 Cost Amount (Actual)","41 Source Type",$C$5,"5 Source no.",$C1354,"4 Item Ledger Entry Type",$C$4,"2 Item No.","@@"&amp;$F1354,"3 Posting Date",U$9)</t>
  </si>
  <si>
    <t>=U1354-W1354</t>
  </si>
  <si>
    <t>=IF(U1354&lt;&gt;0,X1354/U1354,"")</t>
  </si>
  <si>
    <t>=NL("Sum","5802 Value Entry","150 Sales Amount (Expected)","41 Source Type",$C$5,"5 Source No.",$C1354,"4 Item Ledger Entry Type",$C$4,"2 Item No.","@@"&amp;$F1354,"3 Posting Date",Z$9)+NL("Sum","5802 Value Entry","17 Sales Amount (Actual)","41 Source Type",$C$5,"5 Source no.",$C1354,"4 Item Ledger Entry Type",$C$4,"2 Item No.","@@"&amp;$F1354,"3 Posting Date",Z$9)</t>
  </si>
  <si>
    <t>=-NL("Sum","5802 Value Entry","151 Cost Amount (Expected)","41 Source Type",$C$5,"5 Source No.",$C1354,"4 Item Ledger Entry Type",$C$4,"2 Item No.","@@"&amp;$F1354,"3 Posting Date",Z$9)-NL("Sum","5802 Value Entry","43 Cost Amount (Actual)","41 Source Type",$C$5,"5 Source no.",$C1354,"4 Item Ledger Entry Type",$C$4,"2 Item No.","@@"&amp;$F1354,"3 Posting Date",Z$9)</t>
  </si>
  <si>
    <t>=Z1354-AB1354</t>
  </si>
  <si>
    <t>=IF(Z1354&lt;&gt;0,AC1354/Z1354,"")</t>
  </si>
  <si>
    <t>=C1354</t>
  </si>
  <si>
    <t>=NL("Sum","5802 Value Entry","150 Sales Amount (Expected)","41 Source Type",$C$5,"5 Source No.",$C1355,"4 Item Ledger Entry Type",$C$4,"2 Item No.","@@"&amp;$F1355,"3 Posting Date",J$9)+NL("Sum","5802 Value Entry","17 Sales Amount (Actual)","41 Source Type",$C$5,"5 Source no.",$C1355,"4 Item Ledger Entry Type",$C$4,"2 Item No.","@@"&amp;$F1355,"3 Posting Date",J$9)</t>
  </si>
  <si>
    <t>=-NL("Sum","5802 Value Entry","151 Cost Amount (Expected)","41 Source Type",$C$5,"5 Source No.",$C1355,"4 Item Ledger Entry Type",$C$4,"2 Item No.","@@"&amp;$F1355,"3 Posting Date",J$9)-NL("Sum","5802 Value Entry","43 Cost Amount (Actual)","41 Source Type",$C$5,"5 Source no.",$C1355,"4 Item Ledger Entry Type",$C$4,"2 Item No.","@@"&amp;$F1355,"3 Posting Date",J$9)</t>
  </si>
  <si>
    <t>=J1355-L1355</t>
  </si>
  <si>
    <t>=IF(J1355&lt;&gt;0,M1355/J1355,"")</t>
  </si>
  <si>
    <t>=NL("Sum","5802 Value Entry","150 Sales Amount (Expected)","41 Source Type",$C$5,"5 Source No.",$C1355,"4 Item Ledger Entry Type",$C$4,"2 Item No.","@@"&amp;$F1355,"3 Posting Date",O$9)+NL("Sum","5802 Value Entry","17 Sales Amount (Actual)","41 Source Type",$C$5,"5 Source no.",$C1355,"4 Item Ledger Entry Type",$C$4,"2 Item No.","@@"&amp;$F1355,"3 Posting Date",O$9)</t>
  </si>
  <si>
    <t>=-NL("Sum","5802 Value Entry","151 Cost Amount (Expected)","41 Source Type",$C$5,"5 Source No.",$C1355,"4 Item Ledger Entry Type",$C$4,"2 Item No.","@@"&amp;$F1355,"3 Posting Date",O$9)-NL("Sum","5802 Value Entry","43 Cost Amount (Actual)","41 Source Type",$C$5,"5 Source no.",$C1355,"4 Item Ledger Entry Type",$C$4,"2 Item No.","@@"&amp;$F1355,"3 Posting Date",O$9)</t>
  </si>
  <si>
    <t>=O1355-Q1355</t>
  </si>
  <si>
    <t>=IF(O1355&lt;&gt;0,R1355/O1355,"")</t>
  </si>
  <si>
    <t>=NL("Sum","5802 Value Entry","150 Sales Amount (Expected)","41 Source Type",$C$5,"5 Source No.",$C1355,"4 Item Ledger Entry Type",$C$4,"2 Item No.","@@"&amp;$F1355,"3 Posting Date",U$9)+NL("Sum","5802 Value Entry","17 Sales Amount (Actual)","41 Source Type",$C$5,"5 Source no.",$C1355,"4 Item Ledger Entry Type",$C$4,"2 Item No.","@@"&amp;$F1355,"3 Posting Date",U$9)</t>
  </si>
  <si>
    <t>=-NL("Sum","5802 Value Entry","151 Cost Amount (Expected)","41 Source Type",$C$5,"5 Source No.",$C1355,"4 Item Ledger Entry Type",$C$4,"2 Item No.","@@"&amp;$F1355,"3 Posting Date",U$9)-NL("Sum","5802 Value Entry","43 Cost Amount (Actual)","41 Source Type",$C$5,"5 Source no.",$C1355,"4 Item Ledger Entry Type",$C$4,"2 Item No.","@@"&amp;$F1355,"3 Posting Date",U$9)</t>
  </si>
  <si>
    <t>=U1355-W1355</t>
  </si>
  <si>
    <t>=IF(U1355&lt;&gt;0,X1355/U1355,"")</t>
  </si>
  <si>
    <t>=NL("Sum","5802 Value Entry","150 Sales Amount (Expected)","41 Source Type",$C$5,"5 Source No.",$C1355,"4 Item Ledger Entry Type",$C$4,"2 Item No.","@@"&amp;$F1355,"3 Posting Date",Z$9)+NL("Sum","5802 Value Entry","17 Sales Amount (Actual)","41 Source Type",$C$5,"5 Source no.",$C1355,"4 Item Ledger Entry Type",$C$4,"2 Item No.","@@"&amp;$F1355,"3 Posting Date",Z$9)</t>
  </si>
  <si>
    <t>=-NL("Sum","5802 Value Entry","151 Cost Amount (Expected)","41 Source Type",$C$5,"5 Source No.",$C1355,"4 Item Ledger Entry Type",$C$4,"2 Item No.","@@"&amp;$F1355,"3 Posting Date",Z$9)-NL("Sum","5802 Value Entry","43 Cost Amount (Actual)","41 Source Type",$C$5,"5 Source no.",$C1355,"4 Item Ledger Entry Type",$C$4,"2 Item No.","@@"&amp;$F1355,"3 Posting Date",Z$9)</t>
  </si>
  <si>
    <t>=Z1355-AB1355</t>
  </si>
  <si>
    <t>=IF(Z1355&lt;&gt;0,AC1355/Z1355,"")</t>
  </si>
  <si>
    <t>=C1355</t>
  </si>
  <si>
    <t>=NL("Sum","5802 Value Entry","150 Sales Amount (Expected)","41 Source Type",$C$5,"5 Source No.",$C1356,"4 Item Ledger Entry Type",$C$4,"2 Item No.","@@"&amp;$F1356,"3 Posting Date",J$9)+NL("Sum","5802 Value Entry","17 Sales Amount (Actual)","41 Source Type",$C$5,"5 Source no.",$C1356,"4 Item Ledger Entry Type",$C$4,"2 Item No.","@@"&amp;$F1356,"3 Posting Date",J$9)</t>
  </si>
  <si>
    <t>=-NL("Sum","5802 Value Entry","151 Cost Amount (Expected)","41 Source Type",$C$5,"5 Source No.",$C1356,"4 Item Ledger Entry Type",$C$4,"2 Item No.","@@"&amp;$F1356,"3 Posting Date",J$9)-NL("Sum","5802 Value Entry","43 Cost Amount (Actual)","41 Source Type",$C$5,"5 Source no.",$C1356,"4 Item Ledger Entry Type",$C$4,"2 Item No.","@@"&amp;$F1356,"3 Posting Date",J$9)</t>
  </si>
  <si>
    <t>=J1356-L1356</t>
  </si>
  <si>
    <t>=IF(J1356&lt;&gt;0,M1356/J1356,"")</t>
  </si>
  <si>
    <t>=NL("Sum","5802 Value Entry","150 Sales Amount (Expected)","41 Source Type",$C$5,"5 Source No.",$C1356,"4 Item Ledger Entry Type",$C$4,"2 Item No.","@@"&amp;$F1356,"3 Posting Date",O$9)+NL("Sum","5802 Value Entry","17 Sales Amount (Actual)","41 Source Type",$C$5,"5 Source no.",$C1356,"4 Item Ledger Entry Type",$C$4,"2 Item No.","@@"&amp;$F1356,"3 Posting Date",O$9)</t>
  </si>
  <si>
    <t>=-NL("Sum","5802 Value Entry","151 Cost Amount (Expected)","41 Source Type",$C$5,"5 Source No.",$C1356,"4 Item Ledger Entry Type",$C$4,"2 Item No.","@@"&amp;$F1356,"3 Posting Date",O$9)-NL("Sum","5802 Value Entry","43 Cost Amount (Actual)","41 Source Type",$C$5,"5 Source no.",$C1356,"4 Item Ledger Entry Type",$C$4,"2 Item No.","@@"&amp;$F1356,"3 Posting Date",O$9)</t>
  </si>
  <si>
    <t>=O1356-Q1356</t>
  </si>
  <si>
    <t>=IF(O1356&lt;&gt;0,R1356/O1356,"")</t>
  </si>
  <si>
    <t>=NL("Sum","5802 Value Entry","150 Sales Amount (Expected)","41 Source Type",$C$5,"5 Source No.",$C1356,"4 Item Ledger Entry Type",$C$4,"2 Item No.","@@"&amp;$F1356,"3 Posting Date",U$9)+NL("Sum","5802 Value Entry","17 Sales Amount (Actual)","41 Source Type",$C$5,"5 Source no.",$C1356,"4 Item Ledger Entry Type",$C$4,"2 Item No.","@@"&amp;$F1356,"3 Posting Date",U$9)</t>
  </si>
  <si>
    <t>=-NL("Sum","5802 Value Entry","151 Cost Amount (Expected)","41 Source Type",$C$5,"5 Source No.",$C1356,"4 Item Ledger Entry Type",$C$4,"2 Item No.","@@"&amp;$F1356,"3 Posting Date",U$9)-NL("Sum","5802 Value Entry","43 Cost Amount (Actual)","41 Source Type",$C$5,"5 Source no.",$C1356,"4 Item Ledger Entry Type",$C$4,"2 Item No.","@@"&amp;$F1356,"3 Posting Date",U$9)</t>
  </si>
  <si>
    <t>=U1356-W1356</t>
  </si>
  <si>
    <t>=IF(U1356&lt;&gt;0,X1356/U1356,"")</t>
  </si>
  <si>
    <t>=NL("Sum","5802 Value Entry","150 Sales Amount (Expected)","41 Source Type",$C$5,"5 Source No.",$C1356,"4 Item Ledger Entry Type",$C$4,"2 Item No.","@@"&amp;$F1356,"3 Posting Date",Z$9)+NL("Sum","5802 Value Entry","17 Sales Amount (Actual)","41 Source Type",$C$5,"5 Source no.",$C1356,"4 Item Ledger Entry Type",$C$4,"2 Item No.","@@"&amp;$F1356,"3 Posting Date",Z$9)</t>
  </si>
  <si>
    <t>=-NL("Sum","5802 Value Entry","151 Cost Amount (Expected)","41 Source Type",$C$5,"5 Source No.",$C1356,"4 Item Ledger Entry Type",$C$4,"2 Item No.","@@"&amp;$F1356,"3 Posting Date",Z$9)-NL("Sum","5802 Value Entry","43 Cost Amount (Actual)","41 Source Type",$C$5,"5 Source no.",$C1356,"4 Item Ledger Entry Type",$C$4,"2 Item No.","@@"&amp;$F1356,"3 Posting Date",Z$9)</t>
  </si>
  <si>
    <t>=Z1356-AB1356</t>
  </si>
  <si>
    <t>=IF(Z1356&lt;&gt;0,AC1356/Z1356,"")</t>
  </si>
  <si>
    <t>=C1357</t>
  </si>
  <si>
    <t>=J1358-L1358</t>
  </si>
  <si>
    <t>=IF(J1358&lt;&gt;0,M1358/J1358,"")</t>
  </si>
  <si>
    <t>=O1358-Q1358</t>
  </si>
  <si>
    <t>=IF(O1358&lt;&gt;0,R1358/O1358,"")</t>
  </si>
  <si>
    <t>=U1358-W1358</t>
  </si>
  <si>
    <t>=IF(U1358&lt;&gt;0,X1358/U1358,"")</t>
  </si>
  <si>
    <t>=Z1358-AB1358</t>
  </si>
  <si>
    <t>=IF(Z1358&lt;&gt;0,AC1358/Z1358,"")</t>
  </si>
  <si>
    <t>=C1360</t>
  </si>
  <si>
    <t>=C1361</t>
  </si>
  <si>
    <t>=NL("Sum","5802 Value Entry","150 Sales Amount (Expected)","41 Source Type",$C$5,"5 Source No.",$C1362,"4 Item Ledger Entry Type",$C$4,"2 Item No.","@@"&amp;$F1362,"3 Posting Date",J$9)+NL("Sum","5802 Value Entry","17 Sales Amount (Actual)","41 Source Type",$C$5,"5 Source no.",$C1362,"4 Item Ledger Entry Type",$C$4,"2 Item No.","@@"&amp;$F1362,"3 Posting Date",J$9)</t>
  </si>
  <si>
    <t>=-NL("Sum","5802 Value Entry","151 Cost Amount (Expected)","41 Source Type",$C$5,"5 Source No.",$C1362,"4 Item Ledger Entry Type",$C$4,"2 Item No.","@@"&amp;$F1362,"3 Posting Date",J$9)-NL("Sum","5802 Value Entry","43 Cost Amount (Actual)","41 Source Type",$C$5,"5 Source no.",$C1362,"4 Item Ledger Entry Type",$C$4,"2 Item No.","@@"&amp;$F1362,"3 Posting Date",J$9)</t>
  </si>
  <si>
    <t>=J1362-L1362</t>
  </si>
  <si>
    <t>=IF(J1362&lt;&gt;0,M1362/J1362,"")</t>
  </si>
  <si>
    <t>=NL("Sum","5802 Value Entry","150 Sales Amount (Expected)","41 Source Type",$C$5,"5 Source No.",$C1362,"4 Item Ledger Entry Type",$C$4,"2 Item No.","@@"&amp;$F1362,"3 Posting Date",O$9)+NL("Sum","5802 Value Entry","17 Sales Amount (Actual)","41 Source Type",$C$5,"5 Source no.",$C1362,"4 Item Ledger Entry Type",$C$4,"2 Item No.","@@"&amp;$F1362,"3 Posting Date",O$9)</t>
  </si>
  <si>
    <t>=-NL("Sum","5802 Value Entry","151 Cost Amount (Expected)","41 Source Type",$C$5,"5 Source No.",$C1362,"4 Item Ledger Entry Type",$C$4,"2 Item No.","@@"&amp;$F1362,"3 Posting Date",O$9)-NL("Sum","5802 Value Entry","43 Cost Amount (Actual)","41 Source Type",$C$5,"5 Source no.",$C1362,"4 Item Ledger Entry Type",$C$4,"2 Item No.","@@"&amp;$F1362,"3 Posting Date",O$9)</t>
  </si>
  <si>
    <t>=O1362-Q1362</t>
  </si>
  <si>
    <t>=IF(O1362&lt;&gt;0,R1362/O1362,"")</t>
  </si>
  <si>
    <t>=NL("Sum","5802 Value Entry","150 Sales Amount (Expected)","41 Source Type",$C$5,"5 Source No.",$C1362,"4 Item Ledger Entry Type",$C$4,"2 Item No.","@@"&amp;$F1362,"3 Posting Date",U$9)+NL("Sum","5802 Value Entry","17 Sales Amount (Actual)","41 Source Type",$C$5,"5 Source no.",$C1362,"4 Item Ledger Entry Type",$C$4,"2 Item No.","@@"&amp;$F1362,"3 Posting Date",U$9)</t>
  </si>
  <si>
    <t>=-NL("Sum","5802 Value Entry","151 Cost Amount (Expected)","41 Source Type",$C$5,"5 Source No.",$C1362,"4 Item Ledger Entry Type",$C$4,"2 Item No.","@@"&amp;$F1362,"3 Posting Date",U$9)-NL("Sum","5802 Value Entry","43 Cost Amount (Actual)","41 Source Type",$C$5,"5 Source no.",$C1362,"4 Item Ledger Entry Type",$C$4,"2 Item No.","@@"&amp;$F1362,"3 Posting Date",U$9)</t>
  </si>
  <si>
    <t>=U1362-W1362</t>
  </si>
  <si>
    <t>=IF(U1362&lt;&gt;0,X1362/U1362,"")</t>
  </si>
  <si>
    <t>=NL("Sum","5802 Value Entry","150 Sales Amount (Expected)","41 Source Type",$C$5,"5 Source No.",$C1362,"4 Item Ledger Entry Type",$C$4,"2 Item No.","@@"&amp;$F1362,"3 Posting Date",Z$9)+NL("Sum","5802 Value Entry","17 Sales Amount (Actual)","41 Source Type",$C$5,"5 Source no.",$C1362,"4 Item Ledger Entry Type",$C$4,"2 Item No.","@@"&amp;$F1362,"3 Posting Date",Z$9)</t>
  </si>
  <si>
    <t>=-NL("Sum","5802 Value Entry","151 Cost Amount (Expected)","41 Source Type",$C$5,"5 Source No.",$C1362,"4 Item Ledger Entry Type",$C$4,"2 Item No.","@@"&amp;$F1362,"3 Posting Date",Z$9)-NL("Sum","5802 Value Entry","43 Cost Amount (Actual)","41 Source Type",$C$5,"5 Source no.",$C1362,"4 Item Ledger Entry Type",$C$4,"2 Item No.","@@"&amp;$F1362,"3 Posting Date",Z$9)</t>
  </si>
  <si>
    <t>=Z1362-AB1362</t>
  </si>
  <si>
    <t>=IF(Z1362&lt;&gt;0,AC1362/Z1362,"")</t>
  </si>
  <si>
    <t>=C1362</t>
  </si>
  <si>
    <t>=NL("Sum","5802 Value Entry","150 Sales Amount (Expected)","41 Source Type",$C$5,"5 Source No.",$C1363,"4 Item Ledger Entry Type",$C$4,"2 Item No.","@@"&amp;$F1363,"3 Posting Date",J$9)+NL("Sum","5802 Value Entry","17 Sales Amount (Actual)","41 Source Type",$C$5,"5 Source no.",$C1363,"4 Item Ledger Entry Type",$C$4,"2 Item No.","@@"&amp;$F1363,"3 Posting Date",J$9)</t>
  </si>
  <si>
    <t>=-NL("Sum","5802 Value Entry","151 Cost Amount (Expected)","41 Source Type",$C$5,"5 Source No.",$C1363,"4 Item Ledger Entry Type",$C$4,"2 Item No.","@@"&amp;$F1363,"3 Posting Date",J$9)-NL("Sum","5802 Value Entry","43 Cost Amount (Actual)","41 Source Type",$C$5,"5 Source no.",$C1363,"4 Item Ledger Entry Type",$C$4,"2 Item No.","@@"&amp;$F1363,"3 Posting Date",J$9)</t>
  </si>
  <si>
    <t>=J1363-L1363</t>
  </si>
  <si>
    <t>=IF(J1363&lt;&gt;0,M1363/J1363,"")</t>
  </si>
  <si>
    <t>=NL("Sum","5802 Value Entry","150 Sales Amount (Expected)","41 Source Type",$C$5,"5 Source No.",$C1363,"4 Item Ledger Entry Type",$C$4,"2 Item No.","@@"&amp;$F1363,"3 Posting Date",O$9)+NL("Sum","5802 Value Entry","17 Sales Amount (Actual)","41 Source Type",$C$5,"5 Source no.",$C1363,"4 Item Ledger Entry Type",$C$4,"2 Item No.","@@"&amp;$F1363,"3 Posting Date",O$9)</t>
  </si>
  <si>
    <t>=-NL("Sum","5802 Value Entry","151 Cost Amount (Expected)","41 Source Type",$C$5,"5 Source No.",$C1363,"4 Item Ledger Entry Type",$C$4,"2 Item No.","@@"&amp;$F1363,"3 Posting Date",O$9)-NL("Sum","5802 Value Entry","43 Cost Amount (Actual)","41 Source Type",$C$5,"5 Source no.",$C1363,"4 Item Ledger Entry Type",$C$4,"2 Item No.","@@"&amp;$F1363,"3 Posting Date",O$9)</t>
  </si>
  <si>
    <t>=O1363-Q1363</t>
  </si>
  <si>
    <t>=IF(O1363&lt;&gt;0,R1363/O1363,"")</t>
  </si>
  <si>
    <t>=NL("Sum","5802 Value Entry","150 Sales Amount (Expected)","41 Source Type",$C$5,"5 Source No.",$C1363,"4 Item Ledger Entry Type",$C$4,"2 Item No.","@@"&amp;$F1363,"3 Posting Date",U$9)+NL("Sum","5802 Value Entry","17 Sales Amount (Actual)","41 Source Type",$C$5,"5 Source no.",$C1363,"4 Item Ledger Entry Type",$C$4,"2 Item No.","@@"&amp;$F1363,"3 Posting Date",U$9)</t>
  </si>
  <si>
    <t>=-NL("Sum","5802 Value Entry","151 Cost Amount (Expected)","41 Source Type",$C$5,"5 Source No.",$C1363,"4 Item Ledger Entry Type",$C$4,"2 Item No.","@@"&amp;$F1363,"3 Posting Date",U$9)-NL("Sum","5802 Value Entry","43 Cost Amount (Actual)","41 Source Type",$C$5,"5 Source no.",$C1363,"4 Item Ledger Entry Type",$C$4,"2 Item No.","@@"&amp;$F1363,"3 Posting Date",U$9)</t>
  </si>
  <si>
    <t>=U1363-W1363</t>
  </si>
  <si>
    <t>=IF(U1363&lt;&gt;0,X1363/U1363,"")</t>
  </si>
  <si>
    <t>=NL("Sum","5802 Value Entry","150 Sales Amount (Expected)","41 Source Type",$C$5,"5 Source No.",$C1363,"4 Item Ledger Entry Type",$C$4,"2 Item No.","@@"&amp;$F1363,"3 Posting Date",Z$9)+NL("Sum","5802 Value Entry","17 Sales Amount (Actual)","41 Source Type",$C$5,"5 Source no.",$C1363,"4 Item Ledger Entry Type",$C$4,"2 Item No.","@@"&amp;$F1363,"3 Posting Date",Z$9)</t>
  </si>
  <si>
    <t>=-NL("Sum","5802 Value Entry","151 Cost Amount (Expected)","41 Source Type",$C$5,"5 Source No.",$C1363,"4 Item Ledger Entry Type",$C$4,"2 Item No.","@@"&amp;$F1363,"3 Posting Date",Z$9)-NL("Sum","5802 Value Entry","43 Cost Amount (Actual)","41 Source Type",$C$5,"5 Source no.",$C1363,"4 Item Ledger Entry Type",$C$4,"2 Item No.","@@"&amp;$F1363,"3 Posting Date",Z$9)</t>
  </si>
  <si>
    <t>=Z1363-AB1363</t>
  </si>
  <si>
    <t>=IF(Z1363&lt;&gt;0,AC1363/Z1363,"")</t>
  </si>
  <si>
    <t>=C1363</t>
  </si>
  <si>
    <t>=NL("Sum","5802 Value Entry","150 Sales Amount (Expected)","41 Source Type",$C$5,"5 Source No.",$C1364,"4 Item Ledger Entry Type",$C$4,"2 Item No.","@@"&amp;$F1364,"3 Posting Date",J$9)+NL("Sum","5802 Value Entry","17 Sales Amount (Actual)","41 Source Type",$C$5,"5 Source no.",$C1364,"4 Item Ledger Entry Type",$C$4,"2 Item No.","@@"&amp;$F1364,"3 Posting Date",J$9)</t>
  </si>
  <si>
    <t>=-NL("Sum","5802 Value Entry","151 Cost Amount (Expected)","41 Source Type",$C$5,"5 Source No.",$C1364,"4 Item Ledger Entry Type",$C$4,"2 Item No.","@@"&amp;$F1364,"3 Posting Date",J$9)-NL("Sum","5802 Value Entry","43 Cost Amount (Actual)","41 Source Type",$C$5,"5 Source no.",$C1364,"4 Item Ledger Entry Type",$C$4,"2 Item No.","@@"&amp;$F1364,"3 Posting Date",J$9)</t>
  </si>
  <si>
    <t>=J1364-L1364</t>
  </si>
  <si>
    <t>=IF(J1364&lt;&gt;0,M1364/J1364,"")</t>
  </si>
  <si>
    <t>=NL("Sum","5802 Value Entry","150 Sales Amount (Expected)","41 Source Type",$C$5,"5 Source No.",$C1364,"4 Item Ledger Entry Type",$C$4,"2 Item No.","@@"&amp;$F1364,"3 Posting Date",O$9)+NL("Sum","5802 Value Entry","17 Sales Amount (Actual)","41 Source Type",$C$5,"5 Source no.",$C1364,"4 Item Ledger Entry Type",$C$4,"2 Item No.","@@"&amp;$F1364,"3 Posting Date",O$9)</t>
  </si>
  <si>
    <t>=-NL("Sum","5802 Value Entry","151 Cost Amount (Expected)","41 Source Type",$C$5,"5 Source No.",$C1364,"4 Item Ledger Entry Type",$C$4,"2 Item No.","@@"&amp;$F1364,"3 Posting Date",O$9)-NL("Sum","5802 Value Entry","43 Cost Amount (Actual)","41 Source Type",$C$5,"5 Source no.",$C1364,"4 Item Ledger Entry Type",$C$4,"2 Item No.","@@"&amp;$F1364,"3 Posting Date",O$9)</t>
  </si>
  <si>
    <t>=O1364-Q1364</t>
  </si>
  <si>
    <t>=IF(O1364&lt;&gt;0,R1364/O1364,"")</t>
  </si>
  <si>
    <t>=NL("Sum","5802 Value Entry","150 Sales Amount (Expected)","41 Source Type",$C$5,"5 Source No.",$C1364,"4 Item Ledger Entry Type",$C$4,"2 Item No.","@@"&amp;$F1364,"3 Posting Date",U$9)+NL("Sum","5802 Value Entry","17 Sales Amount (Actual)","41 Source Type",$C$5,"5 Source no.",$C1364,"4 Item Ledger Entry Type",$C$4,"2 Item No.","@@"&amp;$F1364,"3 Posting Date",U$9)</t>
  </si>
  <si>
    <t>=-NL("Sum","5802 Value Entry","151 Cost Amount (Expected)","41 Source Type",$C$5,"5 Source No.",$C1364,"4 Item Ledger Entry Type",$C$4,"2 Item No.","@@"&amp;$F1364,"3 Posting Date",U$9)-NL("Sum","5802 Value Entry","43 Cost Amount (Actual)","41 Source Type",$C$5,"5 Source no.",$C1364,"4 Item Ledger Entry Type",$C$4,"2 Item No.","@@"&amp;$F1364,"3 Posting Date",U$9)</t>
  </si>
  <si>
    <t>=U1364-W1364</t>
  </si>
  <si>
    <t>=IF(U1364&lt;&gt;0,X1364/U1364,"")</t>
  </si>
  <si>
    <t>=NL("Sum","5802 Value Entry","150 Sales Amount (Expected)","41 Source Type",$C$5,"5 Source No.",$C1364,"4 Item Ledger Entry Type",$C$4,"2 Item No.","@@"&amp;$F1364,"3 Posting Date",Z$9)+NL("Sum","5802 Value Entry","17 Sales Amount (Actual)","41 Source Type",$C$5,"5 Source no.",$C1364,"4 Item Ledger Entry Type",$C$4,"2 Item No.","@@"&amp;$F1364,"3 Posting Date",Z$9)</t>
  </si>
  <si>
    <t>=-NL("Sum","5802 Value Entry","151 Cost Amount (Expected)","41 Source Type",$C$5,"5 Source No.",$C1364,"4 Item Ledger Entry Type",$C$4,"2 Item No.","@@"&amp;$F1364,"3 Posting Date",Z$9)-NL("Sum","5802 Value Entry","43 Cost Amount (Actual)","41 Source Type",$C$5,"5 Source no.",$C1364,"4 Item Ledger Entry Type",$C$4,"2 Item No.","@@"&amp;$F1364,"3 Posting Date",Z$9)</t>
  </si>
  <si>
    <t>=Z1364-AB1364</t>
  </si>
  <si>
    <t>=IF(Z1364&lt;&gt;0,AC1364/Z1364,"")</t>
  </si>
  <si>
    <t>=C1364</t>
  </si>
  <si>
    <t>=NL("Sum","5802 Value Entry","150 Sales Amount (Expected)","41 Source Type",$C$5,"5 Source No.",$C1365,"4 Item Ledger Entry Type",$C$4,"2 Item No.","@@"&amp;$F1365,"3 Posting Date",J$9)+NL("Sum","5802 Value Entry","17 Sales Amount (Actual)","41 Source Type",$C$5,"5 Source no.",$C1365,"4 Item Ledger Entry Type",$C$4,"2 Item No.","@@"&amp;$F1365,"3 Posting Date",J$9)</t>
  </si>
  <si>
    <t>=-NL("Sum","5802 Value Entry","151 Cost Amount (Expected)","41 Source Type",$C$5,"5 Source No.",$C1365,"4 Item Ledger Entry Type",$C$4,"2 Item No.","@@"&amp;$F1365,"3 Posting Date",J$9)-NL("Sum","5802 Value Entry","43 Cost Amount (Actual)","41 Source Type",$C$5,"5 Source no.",$C1365,"4 Item Ledger Entry Type",$C$4,"2 Item No.","@@"&amp;$F1365,"3 Posting Date",J$9)</t>
  </si>
  <si>
    <t>=J1365-L1365</t>
  </si>
  <si>
    <t>=IF(J1365&lt;&gt;0,M1365/J1365,"")</t>
  </si>
  <si>
    <t>=NL("Sum","5802 Value Entry","150 Sales Amount (Expected)","41 Source Type",$C$5,"5 Source No.",$C1365,"4 Item Ledger Entry Type",$C$4,"2 Item No.","@@"&amp;$F1365,"3 Posting Date",O$9)+NL("Sum","5802 Value Entry","17 Sales Amount (Actual)","41 Source Type",$C$5,"5 Source no.",$C1365,"4 Item Ledger Entry Type",$C$4,"2 Item No.","@@"&amp;$F1365,"3 Posting Date",O$9)</t>
  </si>
  <si>
    <t>=-NL("Sum","5802 Value Entry","151 Cost Amount (Expected)","41 Source Type",$C$5,"5 Source No.",$C1365,"4 Item Ledger Entry Type",$C$4,"2 Item No.","@@"&amp;$F1365,"3 Posting Date",O$9)-NL("Sum","5802 Value Entry","43 Cost Amount (Actual)","41 Source Type",$C$5,"5 Source no.",$C1365,"4 Item Ledger Entry Type",$C$4,"2 Item No.","@@"&amp;$F1365,"3 Posting Date",O$9)</t>
  </si>
  <si>
    <t>=O1365-Q1365</t>
  </si>
  <si>
    <t>=IF(O1365&lt;&gt;0,R1365/O1365,"")</t>
  </si>
  <si>
    <t>=NL("Sum","5802 Value Entry","150 Sales Amount (Expected)","41 Source Type",$C$5,"5 Source No.",$C1365,"4 Item Ledger Entry Type",$C$4,"2 Item No.","@@"&amp;$F1365,"3 Posting Date",U$9)+NL("Sum","5802 Value Entry","17 Sales Amount (Actual)","41 Source Type",$C$5,"5 Source no.",$C1365,"4 Item Ledger Entry Type",$C$4,"2 Item No.","@@"&amp;$F1365,"3 Posting Date",U$9)</t>
  </si>
  <si>
    <t>=-NL("Sum","5802 Value Entry","151 Cost Amount (Expected)","41 Source Type",$C$5,"5 Source No.",$C1365,"4 Item Ledger Entry Type",$C$4,"2 Item No.","@@"&amp;$F1365,"3 Posting Date",U$9)-NL("Sum","5802 Value Entry","43 Cost Amount (Actual)","41 Source Type",$C$5,"5 Source no.",$C1365,"4 Item Ledger Entry Type",$C$4,"2 Item No.","@@"&amp;$F1365,"3 Posting Date",U$9)</t>
  </si>
  <si>
    <t>=U1365-W1365</t>
  </si>
  <si>
    <t>=IF(U1365&lt;&gt;0,X1365/U1365,"")</t>
  </si>
  <si>
    <t>=NL("Sum","5802 Value Entry","150 Sales Amount (Expected)","41 Source Type",$C$5,"5 Source No.",$C1365,"4 Item Ledger Entry Type",$C$4,"2 Item No.","@@"&amp;$F1365,"3 Posting Date",Z$9)+NL("Sum","5802 Value Entry","17 Sales Amount (Actual)","41 Source Type",$C$5,"5 Source no.",$C1365,"4 Item Ledger Entry Type",$C$4,"2 Item No.","@@"&amp;$F1365,"3 Posting Date",Z$9)</t>
  </si>
  <si>
    <t>=-NL("Sum","5802 Value Entry","151 Cost Amount (Expected)","41 Source Type",$C$5,"5 Source No.",$C1365,"4 Item Ledger Entry Type",$C$4,"2 Item No.","@@"&amp;$F1365,"3 Posting Date",Z$9)-NL("Sum","5802 Value Entry","43 Cost Amount (Actual)","41 Source Type",$C$5,"5 Source no.",$C1365,"4 Item Ledger Entry Type",$C$4,"2 Item No.","@@"&amp;$F1365,"3 Posting Date",Z$9)</t>
  </si>
  <si>
    <t>=Z1365-AB1365</t>
  </si>
  <si>
    <t>=IF(Z1365&lt;&gt;0,AC1365/Z1365,"")</t>
  </si>
  <si>
    <t>=C1365</t>
  </si>
  <si>
    <t>=NL("Sum","5802 Value Entry","150 Sales Amount (Expected)","41 Source Type",$C$5,"5 Source No.",$C1366,"4 Item Ledger Entry Type",$C$4,"2 Item No.","@@"&amp;$F1366,"3 Posting Date",J$9)+NL("Sum","5802 Value Entry","17 Sales Amount (Actual)","41 Source Type",$C$5,"5 Source no.",$C1366,"4 Item Ledger Entry Type",$C$4,"2 Item No.","@@"&amp;$F1366,"3 Posting Date",J$9)</t>
  </si>
  <si>
    <t>=-NL("Sum","5802 Value Entry","151 Cost Amount (Expected)","41 Source Type",$C$5,"5 Source No.",$C1366,"4 Item Ledger Entry Type",$C$4,"2 Item No.","@@"&amp;$F1366,"3 Posting Date",J$9)-NL("Sum","5802 Value Entry","43 Cost Amount (Actual)","41 Source Type",$C$5,"5 Source no.",$C1366,"4 Item Ledger Entry Type",$C$4,"2 Item No.","@@"&amp;$F1366,"3 Posting Date",J$9)</t>
  </si>
  <si>
    <t>=J1366-L1366</t>
  </si>
  <si>
    <t>=IF(J1366&lt;&gt;0,M1366/J1366,"")</t>
  </si>
  <si>
    <t>=NL("Sum","5802 Value Entry","150 Sales Amount (Expected)","41 Source Type",$C$5,"5 Source No.",$C1366,"4 Item Ledger Entry Type",$C$4,"2 Item No.","@@"&amp;$F1366,"3 Posting Date",O$9)+NL("Sum","5802 Value Entry","17 Sales Amount (Actual)","41 Source Type",$C$5,"5 Source no.",$C1366,"4 Item Ledger Entry Type",$C$4,"2 Item No.","@@"&amp;$F1366,"3 Posting Date",O$9)</t>
  </si>
  <si>
    <t>=-NL("Sum","5802 Value Entry","151 Cost Amount (Expected)","41 Source Type",$C$5,"5 Source No.",$C1366,"4 Item Ledger Entry Type",$C$4,"2 Item No.","@@"&amp;$F1366,"3 Posting Date",O$9)-NL("Sum","5802 Value Entry","43 Cost Amount (Actual)","41 Source Type",$C$5,"5 Source no.",$C1366,"4 Item Ledger Entry Type",$C$4,"2 Item No.","@@"&amp;$F1366,"3 Posting Date",O$9)</t>
  </si>
  <si>
    <t>=O1366-Q1366</t>
  </si>
  <si>
    <t>=IF(O1366&lt;&gt;0,R1366/O1366,"")</t>
  </si>
  <si>
    <t>=NL("Sum","5802 Value Entry","150 Sales Amount (Expected)","41 Source Type",$C$5,"5 Source No.",$C1366,"4 Item Ledger Entry Type",$C$4,"2 Item No.","@@"&amp;$F1366,"3 Posting Date",U$9)+NL("Sum","5802 Value Entry","17 Sales Amount (Actual)","41 Source Type",$C$5,"5 Source no.",$C1366,"4 Item Ledger Entry Type",$C$4,"2 Item No.","@@"&amp;$F1366,"3 Posting Date",U$9)</t>
  </si>
  <si>
    <t>=-NL("Sum","5802 Value Entry","151 Cost Amount (Expected)","41 Source Type",$C$5,"5 Source No.",$C1366,"4 Item Ledger Entry Type",$C$4,"2 Item No.","@@"&amp;$F1366,"3 Posting Date",U$9)-NL("Sum","5802 Value Entry","43 Cost Amount (Actual)","41 Source Type",$C$5,"5 Source no.",$C1366,"4 Item Ledger Entry Type",$C$4,"2 Item No.","@@"&amp;$F1366,"3 Posting Date",U$9)</t>
  </si>
  <si>
    <t>=U1366-W1366</t>
  </si>
  <si>
    <t>=IF(U1366&lt;&gt;0,X1366/U1366,"")</t>
  </si>
  <si>
    <t>=NL("Sum","5802 Value Entry","150 Sales Amount (Expected)","41 Source Type",$C$5,"5 Source No.",$C1366,"4 Item Ledger Entry Type",$C$4,"2 Item No.","@@"&amp;$F1366,"3 Posting Date",Z$9)+NL("Sum","5802 Value Entry","17 Sales Amount (Actual)","41 Source Type",$C$5,"5 Source no.",$C1366,"4 Item Ledger Entry Type",$C$4,"2 Item No.","@@"&amp;$F1366,"3 Posting Date",Z$9)</t>
  </si>
  <si>
    <t>=-NL("Sum","5802 Value Entry","151 Cost Amount (Expected)","41 Source Type",$C$5,"5 Source No.",$C1366,"4 Item Ledger Entry Type",$C$4,"2 Item No.","@@"&amp;$F1366,"3 Posting Date",Z$9)-NL("Sum","5802 Value Entry","43 Cost Amount (Actual)","41 Source Type",$C$5,"5 Source no.",$C1366,"4 Item Ledger Entry Type",$C$4,"2 Item No.","@@"&amp;$F1366,"3 Posting Date",Z$9)</t>
  </si>
  <si>
    <t>=Z1366-AB1366</t>
  </si>
  <si>
    <t>=IF(Z1366&lt;&gt;0,AC1366/Z1366,"")</t>
  </si>
  <si>
    <t>=C1366</t>
  </si>
  <si>
    <t>=NL("Sum","5802 Value Entry","150 Sales Amount (Expected)","41 Source Type",$C$5,"5 Source No.",$C1367,"4 Item Ledger Entry Type",$C$4,"2 Item No.","@@"&amp;$F1367,"3 Posting Date",J$9)+NL("Sum","5802 Value Entry","17 Sales Amount (Actual)","41 Source Type",$C$5,"5 Source no.",$C1367,"4 Item Ledger Entry Type",$C$4,"2 Item No.","@@"&amp;$F1367,"3 Posting Date",J$9)</t>
  </si>
  <si>
    <t>=-NL("Sum","5802 Value Entry","151 Cost Amount (Expected)","41 Source Type",$C$5,"5 Source No.",$C1367,"4 Item Ledger Entry Type",$C$4,"2 Item No.","@@"&amp;$F1367,"3 Posting Date",J$9)-NL("Sum","5802 Value Entry","43 Cost Amount (Actual)","41 Source Type",$C$5,"5 Source no.",$C1367,"4 Item Ledger Entry Type",$C$4,"2 Item No.","@@"&amp;$F1367,"3 Posting Date",J$9)</t>
  </si>
  <si>
    <t>=J1367-L1367</t>
  </si>
  <si>
    <t>=IF(J1367&lt;&gt;0,M1367/J1367,"")</t>
  </si>
  <si>
    <t>=NL("Sum","5802 Value Entry","150 Sales Amount (Expected)","41 Source Type",$C$5,"5 Source No.",$C1367,"4 Item Ledger Entry Type",$C$4,"2 Item No.","@@"&amp;$F1367,"3 Posting Date",O$9)+NL("Sum","5802 Value Entry","17 Sales Amount (Actual)","41 Source Type",$C$5,"5 Source no.",$C1367,"4 Item Ledger Entry Type",$C$4,"2 Item No.","@@"&amp;$F1367,"3 Posting Date",O$9)</t>
  </si>
  <si>
    <t>=-NL("Sum","5802 Value Entry","151 Cost Amount (Expected)","41 Source Type",$C$5,"5 Source No.",$C1367,"4 Item Ledger Entry Type",$C$4,"2 Item No.","@@"&amp;$F1367,"3 Posting Date",O$9)-NL("Sum","5802 Value Entry","43 Cost Amount (Actual)","41 Source Type",$C$5,"5 Source no.",$C1367,"4 Item Ledger Entry Type",$C$4,"2 Item No.","@@"&amp;$F1367,"3 Posting Date",O$9)</t>
  </si>
  <si>
    <t>=O1367-Q1367</t>
  </si>
  <si>
    <t>=IF(O1367&lt;&gt;0,R1367/O1367,"")</t>
  </si>
  <si>
    <t>=NL("Sum","5802 Value Entry","150 Sales Amount (Expected)","41 Source Type",$C$5,"5 Source No.",$C1367,"4 Item Ledger Entry Type",$C$4,"2 Item No.","@@"&amp;$F1367,"3 Posting Date",U$9)+NL("Sum","5802 Value Entry","17 Sales Amount (Actual)","41 Source Type",$C$5,"5 Source no.",$C1367,"4 Item Ledger Entry Type",$C$4,"2 Item No.","@@"&amp;$F1367,"3 Posting Date",U$9)</t>
  </si>
  <si>
    <t>=-NL("Sum","5802 Value Entry","151 Cost Amount (Expected)","41 Source Type",$C$5,"5 Source No.",$C1367,"4 Item Ledger Entry Type",$C$4,"2 Item No.","@@"&amp;$F1367,"3 Posting Date",U$9)-NL("Sum","5802 Value Entry","43 Cost Amount (Actual)","41 Source Type",$C$5,"5 Source no.",$C1367,"4 Item Ledger Entry Type",$C$4,"2 Item No.","@@"&amp;$F1367,"3 Posting Date",U$9)</t>
  </si>
  <si>
    <t>=U1367-W1367</t>
  </si>
  <si>
    <t>=IF(U1367&lt;&gt;0,X1367/U1367,"")</t>
  </si>
  <si>
    <t>=NL("Sum","5802 Value Entry","150 Sales Amount (Expected)","41 Source Type",$C$5,"5 Source No.",$C1367,"4 Item Ledger Entry Type",$C$4,"2 Item No.","@@"&amp;$F1367,"3 Posting Date",Z$9)+NL("Sum","5802 Value Entry","17 Sales Amount (Actual)","41 Source Type",$C$5,"5 Source no.",$C1367,"4 Item Ledger Entry Type",$C$4,"2 Item No.","@@"&amp;$F1367,"3 Posting Date",Z$9)</t>
  </si>
  <si>
    <t>=-NL("Sum","5802 Value Entry","151 Cost Amount (Expected)","41 Source Type",$C$5,"5 Source No.",$C1367,"4 Item Ledger Entry Type",$C$4,"2 Item No.","@@"&amp;$F1367,"3 Posting Date",Z$9)-NL("Sum","5802 Value Entry","43 Cost Amount (Actual)","41 Source Type",$C$5,"5 Source no.",$C1367,"4 Item Ledger Entry Type",$C$4,"2 Item No.","@@"&amp;$F1367,"3 Posting Date",Z$9)</t>
  </si>
  <si>
    <t>=Z1367-AB1367</t>
  </si>
  <si>
    <t>=IF(Z1367&lt;&gt;0,AC1367/Z1367,"")</t>
  </si>
  <si>
    <t>=C1367</t>
  </si>
  <si>
    <t>=NL("Sum","5802 Value Entry","150 Sales Amount (Expected)","41 Source Type",$C$5,"5 Source No.",$C1368,"4 Item Ledger Entry Type",$C$4,"2 Item No.","@@"&amp;$F1368,"3 Posting Date",J$9)+NL("Sum","5802 Value Entry","17 Sales Amount (Actual)","41 Source Type",$C$5,"5 Source no.",$C1368,"4 Item Ledger Entry Type",$C$4,"2 Item No.","@@"&amp;$F1368,"3 Posting Date",J$9)</t>
  </si>
  <si>
    <t>=-NL("Sum","5802 Value Entry","151 Cost Amount (Expected)","41 Source Type",$C$5,"5 Source No.",$C1368,"4 Item Ledger Entry Type",$C$4,"2 Item No.","@@"&amp;$F1368,"3 Posting Date",J$9)-NL("Sum","5802 Value Entry","43 Cost Amount (Actual)","41 Source Type",$C$5,"5 Source no.",$C1368,"4 Item Ledger Entry Type",$C$4,"2 Item No.","@@"&amp;$F1368,"3 Posting Date",J$9)</t>
  </si>
  <si>
    <t>=J1368-L1368</t>
  </si>
  <si>
    <t>=IF(J1368&lt;&gt;0,M1368/J1368,"")</t>
  </si>
  <si>
    <t>=NL("Sum","5802 Value Entry","150 Sales Amount (Expected)","41 Source Type",$C$5,"5 Source No.",$C1368,"4 Item Ledger Entry Type",$C$4,"2 Item No.","@@"&amp;$F1368,"3 Posting Date",O$9)+NL("Sum","5802 Value Entry","17 Sales Amount (Actual)","41 Source Type",$C$5,"5 Source no.",$C1368,"4 Item Ledger Entry Type",$C$4,"2 Item No.","@@"&amp;$F1368,"3 Posting Date",O$9)</t>
  </si>
  <si>
    <t>=-NL("Sum","5802 Value Entry","151 Cost Amount (Expected)","41 Source Type",$C$5,"5 Source No.",$C1368,"4 Item Ledger Entry Type",$C$4,"2 Item No.","@@"&amp;$F1368,"3 Posting Date",O$9)-NL("Sum","5802 Value Entry","43 Cost Amount (Actual)","41 Source Type",$C$5,"5 Source no.",$C1368,"4 Item Ledger Entry Type",$C$4,"2 Item No.","@@"&amp;$F1368,"3 Posting Date",O$9)</t>
  </si>
  <si>
    <t>=O1368-Q1368</t>
  </si>
  <si>
    <t>=IF(O1368&lt;&gt;0,R1368/O1368,"")</t>
  </si>
  <si>
    <t>=NL("Sum","5802 Value Entry","150 Sales Amount (Expected)","41 Source Type",$C$5,"5 Source No.",$C1368,"4 Item Ledger Entry Type",$C$4,"2 Item No.","@@"&amp;$F1368,"3 Posting Date",U$9)+NL("Sum","5802 Value Entry","17 Sales Amount (Actual)","41 Source Type",$C$5,"5 Source no.",$C1368,"4 Item Ledger Entry Type",$C$4,"2 Item No.","@@"&amp;$F1368,"3 Posting Date",U$9)</t>
  </si>
  <si>
    <t>=-NL("Sum","5802 Value Entry","151 Cost Amount (Expected)","41 Source Type",$C$5,"5 Source No.",$C1368,"4 Item Ledger Entry Type",$C$4,"2 Item No.","@@"&amp;$F1368,"3 Posting Date",U$9)-NL("Sum","5802 Value Entry","43 Cost Amount (Actual)","41 Source Type",$C$5,"5 Source no.",$C1368,"4 Item Ledger Entry Type",$C$4,"2 Item No.","@@"&amp;$F1368,"3 Posting Date",U$9)</t>
  </si>
  <si>
    <t>=U1368-W1368</t>
  </si>
  <si>
    <t>=IF(U1368&lt;&gt;0,X1368/U1368,"")</t>
  </si>
  <si>
    <t>=NL("Sum","5802 Value Entry","150 Sales Amount (Expected)","41 Source Type",$C$5,"5 Source No.",$C1368,"4 Item Ledger Entry Type",$C$4,"2 Item No.","@@"&amp;$F1368,"3 Posting Date",Z$9)+NL("Sum","5802 Value Entry","17 Sales Amount (Actual)","41 Source Type",$C$5,"5 Source no.",$C1368,"4 Item Ledger Entry Type",$C$4,"2 Item No.","@@"&amp;$F1368,"3 Posting Date",Z$9)</t>
  </si>
  <si>
    <t>=-NL("Sum","5802 Value Entry","151 Cost Amount (Expected)","41 Source Type",$C$5,"5 Source No.",$C1368,"4 Item Ledger Entry Type",$C$4,"2 Item No.","@@"&amp;$F1368,"3 Posting Date",Z$9)-NL("Sum","5802 Value Entry","43 Cost Amount (Actual)","41 Source Type",$C$5,"5 Source no.",$C1368,"4 Item Ledger Entry Type",$C$4,"2 Item No.","@@"&amp;$F1368,"3 Posting Date",Z$9)</t>
  </si>
  <si>
    <t>=Z1368-AB1368</t>
  </si>
  <si>
    <t>=IF(Z1368&lt;&gt;0,AC1368/Z1368,"")</t>
  </si>
  <si>
    <t>=C1368</t>
  </si>
  <si>
    <t>=NL("Sum","5802 Value Entry","150 Sales Amount (Expected)","41 Source Type",$C$5,"5 Source No.",$C1369,"4 Item Ledger Entry Type",$C$4,"2 Item No.","@@"&amp;$F1369,"3 Posting Date",J$9)+NL("Sum","5802 Value Entry","17 Sales Amount (Actual)","41 Source Type",$C$5,"5 Source no.",$C1369,"4 Item Ledger Entry Type",$C$4,"2 Item No.","@@"&amp;$F1369,"3 Posting Date",J$9)</t>
  </si>
  <si>
    <t>=-NL("Sum","5802 Value Entry","151 Cost Amount (Expected)","41 Source Type",$C$5,"5 Source No.",$C1369,"4 Item Ledger Entry Type",$C$4,"2 Item No.","@@"&amp;$F1369,"3 Posting Date",J$9)-NL("Sum","5802 Value Entry","43 Cost Amount (Actual)","41 Source Type",$C$5,"5 Source no.",$C1369,"4 Item Ledger Entry Type",$C$4,"2 Item No.","@@"&amp;$F1369,"3 Posting Date",J$9)</t>
  </si>
  <si>
    <t>=J1369-L1369</t>
  </si>
  <si>
    <t>=IF(J1369&lt;&gt;0,M1369/J1369,"")</t>
  </si>
  <si>
    <t>=NL("Sum","5802 Value Entry","150 Sales Amount (Expected)","41 Source Type",$C$5,"5 Source No.",$C1369,"4 Item Ledger Entry Type",$C$4,"2 Item No.","@@"&amp;$F1369,"3 Posting Date",O$9)+NL("Sum","5802 Value Entry","17 Sales Amount (Actual)","41 Source Type",$C$5,"5 Source no.",$C1369,"4 Item Ledger Entry Type",$C$4,"2 Item No.","@@"&amp;$F1369,"3 Posting Date",O$9)</t>
  </si>
  <si>
    <t>=-NL("Sum","5802 Value Entry","151 Cost Amount (Expected)","41 Source Type",$C$5,"5 Source No.",$C1369,"4 Item Ledger Entry Type",$C$4,"2 Item No.","@@"&amp;$F1369,"3 Posting Date",O$9)-NL("Sum","5802 Value Entry","43 Cost Amount (Actual)","41 Source Type",$C$5,"5 Source no.",$C1369,"4 Item Ledger Entry Type",$C$4,"2 Item No.","@@"&amp;$F1369,"3 Posting Date",O$9)</t>
  </si>
  <si>
    <t>=O1369-Q1369</t>
  </si>
  <si>
    <t>=IF(O1369&lt;&gt;0,R1369/O1369,"")</t>
  </si>
  <si>
    <t>=NL("Sum","5802 Value Entry","150 Sales Amount (Expected)","41 Source Type",$C$5,"5 Source No.",$C1369,"4 Item Ledger Entry Type",$C$4,"2 Item No.","@@"&amp;$F1369,"3 Posting Date",U$9)+NL("Sum","5802 Value Entry","17 Sales Amount (Actual)","41 Source Type",$C$5,"5 Source no.",$C1369,"4 Item Ledger Entry Type",$C$4,"2 Item No.","@@"&amp;$F1369,"3 Posting Date",U$9)</t>
  </si>
  <si>
    <t>=-NL("Sum","5802 Value Entry","151 Cost Amount (Expected)","41 Source Type",$C$5,"5 Source No.",$C1369,"4 Item Ledger Entry Type",$C$4,"2 Item No.","@@"&amp;$F1369,"3 Posting Date",U$9)-NL("Sum","5802 Value Entry","43 Cost Amount (Actual)","41 Source Type",$C$5,"5 Source no.",$C1369,"4 Item Ledger Entry Type",$C$4,"2 Item No.","@@"&amp;$F1369,"3 Posting Date",U$9)</t>
  </si>
  <si>
    <t>=U1369-W1369</t>
  </si>
  <si>
    <t>=IF(U1369&lt;&gt;0,X1369/U1369,"")</t>
  </si>
  <si>
    <t>=NL("Sum","5802 Value Entry","150 Sales Amount (Expected)","41 Source Type",$C$5,"5 Source No.",$C1369,"4 Item Ledger Entry Type",$C$4,"2 Item No.","@@"&amp;$F1369,"3 Posting Date",Z$9)+NL("Sum","5802 Value Entry","17 Sales Amount (Actual)","41 Source Type",$C$5,"5 Source no.",$C1369,"4 Item Ledger Entry Type",$C$4,"2 Item No.","@@"&amp;$F1369,"3 Posting Date",Z$9)</t>
  </si>
  <si>
    <t>=-NL("Sum","5802 Value Entry","151 Cost Amount (Expected)","41 Source Type",$C$5,"5 Source No.",$C1369,"4 Item Ledger Entry Type",$C$4,"2 Item No.","@@"&amp;$F1369,"3 Posting Date",Z$9)-NL("Sum","5802 Value Entry","43 Cost Amount (Actual)","41 Source Type",$C$5,"5 Source no.",$C1369,"4 Item Ledger Entry Type",$C$4,"2 Item No.","@@"&amp;$F1369,"3 Posting Date",Z$9)</t>
  </si>
  <si>
    <t>=Z1369-AB1369</t>
  </si>
  <si>
    <t>=IF(Z1369&lt;&gt;0,AC1369/Z1369,"")</t>
  </si>
  <si>
    <t>=C1369</t>
  </si>
  <si>
    <t>=NL("Sum","5802 Value Entry","150 Sales Amount (Expected)","41 Source Type",$C$5,"5 Source No.",$C1370,"4 Item Ledger Entry Type",$C$4,"2 Item No.","@@"&amp;$F1370,"3 Posting Date",J$9)+NL("Sum","5802 Value Entry","17 Sales Amount (Actual)","41 Source Type",$C$5,"5 Source no.",$C1370,"4 Item Ledger Entry Type",$C$4,"2 Item No.","@@"&amp;$F1370,"3 Posting Date",J$9)</t>
  </si>
  <si>
    <t>=-NL("Sum","5802 Value Entry","151 Cost Amount (Expected)","41 Source Type",$C$5,"5 Source No.",$C1370,"4 Item Ledger Entry Type",$C$4,"2 Item No.","@@"&amp;$F1370,"3 Posting Date",J$9)-NL("Sum","5802 Value Entry","43 Cost Amount (Actual)","41 Source Type",$C$5,"5 Source no.",$C1370,"4 Item Ledger Entry Type",$C$4,"2 Item No.","@@"&amp;$F1370,"3 Posting Date",J$9)</t>
  </si>
  <si>
    <t>=J1370-L1370</t>
  </si>
  <si>
    <t>=IF(J1370&lt;&gt;0,M1370/J1370,"")</t>
  </si>
  <si>
    <t>=NL("Sum","5802 Value Entry","150 Sales Amount (Expected)","41 Source Type",$C$5,"5 Source No.",$C1370,"4 Item Ledger Entry Type",$C$4,"2 Item No.","@@"&amp;$F1370,"3 Posting Date",O$9)+NL("Sum","5802 Value Entry","17 Sales Amount (Actual)","41 Source Type",$C$5,"5 Source no.",$C1370,"4 Item Ledger Entry Type",$C$4,"2 Item No.","@@"&amp;$F1370,"3 Posting Date",O$9)</t>
  </si>
  <si>
    <t>=-NL("Sum","5802 Value Entry","151 Cost Amount (Expected)","41 Source Type",$C$5,"5 Source No.",$C1370,"4 Item Ledger Entry Type",$C$4,"2 Item No.","@@"&amp;$F1370,"3 Posting Date",O$9)-NL("Sum","5802 Value Entry","43 Cost Amount (Actual)","41 Source Type",$C$5,"5 Source no.",$C1370,"4 Item Ledger Entry Type",$C$4,"2 Item No.","@@"&amp;$F1370,"3 Posting Date",O$9)</t>
  </si>
  <si>
    <t>=O1370-Q1370</t>
  </si>
  <si>
    <t>=IF(O1370&lt;&gt;0,R1370/O1370,"")</t>
  </si>
  <si>
    <t>=NL("Sum","5802 Value Entry","150 Sales Amount (Expected)","41 Source Type",$C$5,"5 Source No.",$C1370,"4 Item Ledger Entry Type",$C$4,"2 Item No.","@@"&amp;$F1370,"3 Posting Date",U$9)+NL("Sum","5802 Value Entry","17 Sales Amount (Actual)","41 Source Type",$C$5,"5 Source no.",$C1370,"4 Item Ledger Entry Type",$C$4,"2 Item No.","@@"&amp;$F1370,"3 Posting Date",U$9)</t>
  </si>
  <si>
    <t>=-NL("Sum","5802 Value Entry","151 Cost Amount (Expected)","41 Source Type",$C$5,"5 Source No.",$C1370,"4 Item Ledger Entry Type",$C$4,"2 Item No.","@@"&amp;$F1370,"3 Posting Date",U$9)-NL("Sum","5802 Value Entry","43 Cost Amount (Actual)","41 Source Type",$C$5,"5 Source no.",$C1370,"4 Item Ledger Entry Type",$C$4,"2 Item No.","@@"&amp;$F1370,"3 Posting Date",U$9)</t>
  </si>
  <si>
    <t>=U1370-W1370</t>
  </si>
  <si>
    <t>=IF(U1370&lt;&gt;0,X1370/U1370,"")</t>
  </si>
  <si>
    <t>=NL("Sum","5802 Value Entry","150 Sales Amount (Expected)","41 Source Type",$C$5,"5 Source No.",$C1370,"4 Item Ledger Entry Type",$C$4,"2 Item No.","@@"&amp;$F1370,"3 Posting Date",Z$9)+NL("Sum","5802 Value Entry","17 Sales Amount (Actual)","41 Source Type",$C$5,"5 Source no.",$C1370,"4 Item Ledger Entry Type",$C$4,"2 Item No.","@@"&amp;$F1370,"3 Posting Date",Z$9)</t>
  </si>
  <si>
    <t>=-NL("Sum","5802 Value Entry","151 Cost Amount (Expected)","41 Source Type",$C$5,"5 Source No.",$C1370,"4 Item Ledger Entry Type",$C$4,"2 Item No.","@@"&amp;$F1370,"3 Posting Date",Z$9)-NL("Sum","5802 Value Entry","43 Cost Amount (Actual)","41 Source Type",$C$5,"5 Source no.",$C1370,"4 Item Ledger Entry Type",$C$4,"2 Item No.","@@"&amp;$F1370,"3 Posting Date",Z$9)</t>
  </si>
  <si>
    <t>=Z1370-AB1370</t>
  </si>
  <si>
    <t>=IF(Z1370&lt;&gt;0,AC1370/Z1370,"")</t>
  </si>
  <si>
    <t>=C1370</t>
  </si>
  <si>
    <t>=NL("Sum","5802 Value Entry","150 Sales Amount (Expected)","41 Source Type",$C$5,"5 Source No.",$C1371,"4 Item Ledger Entry Type",$C$4,"2 Item No.","@@"&amp;$F1371,"3 Posting Date",J$9)+NL("Sum","5802 Value Entry","17 Sales Amount (Actual)","41 Source Type",$C$5,"5 Source no.",$C1371,"4 Item Ledger Entry Type",$C$4,"2 Item No.","@@"&amp;$F1371,"3 Posting Date",J$9)</t>
  </si>
  <si>
    <t>=-NL("Sum","5802 Value Entry","151 Cost Amount (Expected)","41 Source Type",$C$5,"5 Source No.",$C1371,"4 Item Ledger Entry Type",$C$4,"2 Item No.","@@"&amp;$F1371,"3 Posting Date",J$9)-NL("Sum","5802 Value Entry","43 Cost Amount (Actual)","41 Source Type",$C$5,"5 Source no.",$C1371,"4 Item Ledger Entry Type",$C$4,"2 Item No.","@@"&amp;$F1371,"3 Posting Date",J$9)</t>
  </si>
  <si>
    <t>=J1371-L1371</t>
  </si>
  <si>
    <t>=IF(J1371&lt;&gt;0,M1371/J1371,"")</t>
  </si>
  <si>
    <t>=NL("Sum","5802 Value Entry","150 Sales Amount (Expected)","41 Source Type",$C$5,"5 Source No.",$C1371,"4 Item Ledger Entry Type",$C$4,"2 Item No.","@@"&amp;$F1371,"3 Posting Date",O$9)+NL("Sum","5802 Value Entry","17 Sales Amount (Actual)","41 Source Type",$C$5,"5 Source no.",$C1371,"4 Item Ledger Entry Type",$C$4,"2 Item No.","@@"&amp;$F1371,"3 Posting Date",O$9)</t>
  </si>
  <si>
    <t>=-NL("Sum","5802 Value Entry","151 Cost Amount (Expected)","41 Source Type",$C$5,"5 Source No.",$C1371,"4 Item Ledger Entry Type",$C$4,"2 Item No.","@@"&amp;$F1371,"3 Posting Date",O$9)-NL("Sum","5802 Value Entry","43 Cost Amount (Actual)","41 Source Type",$C$5,"5 Source no.",$C1371,"4 Item Ledger Entry Type",$C$4,"2 Item No.","@@"&amp;$F1371,"3 Posting Date",O$9)</t>
  </si>
  <si>
    <t>=O1371-Q1371</t>
  </si>
  <si>
    <t>=IF(O1371&lt;&gt;0,R1371/O1371,"")</t>
  </si>
  <si>
    <t>=NL("Sum","5802 Value Entry","150 Sales Amount (Expected)","41 Source Type",$C$5,"5 Source No.",$C1371,"4 Item Ledger Entry Type",$C$4,"2 Item No.","@@"&amp;$F1371,"3 Posting Date",U$9)+NL("Sum","5802 Value Entry","17 Sales Amount (Actual)","41 Source Type",$C$5,"5 Source no.",$C1371,"4 Item Ledger Entry Type",$C$4,"2 Item No.","@@"&amp;$F1371,"3 Posting Date",U$9)</t>
  </si>
  <si>
    <t>=-NL("Sum","5802 Value Entry","151 Cost Amount (Expected)","41 Source Type",$C$5,"5 Source No.",$C1371,"4 Item Ledger Entry Type",$C$4,"2 Item No.","@@"&amp;$F1371,"3 Posting Date",U$9)-NL("Sum","5802 Value Entry","43 Cost Amount (Actual)","41 Source Type",$C$5,"5 Source no.",$C1371,"4 Item Ledger Entry Type",$C$4,"2 Item No.","@@"&amp;$F1371,"3 Posting Date",U$9)</t>
  </si>
  <si>
    <t>=U1371-W1371</t>
  </si>
  <si>
    <t>=IF(U1371&lt;&gt;0,X1371/U1371,"")</t>
  </si>
  <si>
    <t>=NL("Sum","5802 Value Entry","150 Sales Amount (Expected)","41 Source Type",$C$5,"5 Source No.",$C1371,"4 Item Ledger Entry Type",$C$4,"2 Item No.","@@"&amp;$F1371,"3 Posting Date",Z$9)+NL("Sum","5802 Value Entry","17 Sales Amount (Actual)","41 Source Type",$C$5,"5 Source no.",$C1371,"4 Item Ledger Entry Type",$C$4,"2 Item No.","@@"&amp;$F1371,"3 Posting Date",Z$9)</t>
  </si>
  <si>
    <t>=-NL("Sum","5802 Value Entry","151 Cost Amount (Expected)","41 Source Type",$C$5,"5 Source No.",$C1371,"4 Item Ledger Entry Type",$C$4,"2 Item No.","@@"&amp;$F1371,"3 Posting Date",Z$9)-NL("Sum","5802 Value Entry","43 Cost Amount (Actual)","41 Source Type",$C$5,"5 Source no.",$C1371,"4 Item Ledger Entry Type",$C$4,"2 Item No.","@@"&amp;$F1371,"3 Posting Date",Z$9)</t>
  </si>
  <si>
    <t>=Z1371-AB1371</t>
  </si>
  <si>
    <t>=IF(Z1371&lt;&gt;0,AC1371/Z1371,"")</t>
  </si>
  <si>
    <t>=C1371</t>
  </si>
  <si>
    <t>=NL("Sum","5802 Value Entry","150 Sales Amount (Expected)","41 Source Type",$C$5,"5 Source No.",$C1372,"4 Item Ledger Entry Type",$C$4,"2 Item No.","@@"&amp;$F1372,"3 Posting Date",J$9)+NL("Sum","5802 Value Entry","17 Sales Amount (Actual)","41 Source Type",$C$5,"5 Source no.",$C1372,"4 Item Ledger Entry Type",$C$4,"2 Item No.","@@"&amp;$F1372,"3 Posting Date",J$9)</t>
  </si>
  <si>
    <t>=-NL("Sum","5802 Value Entry","151 Cost Amount (Expected)","41 Source Type",$C$5,"5 Source No.",$C1372,"4 Item Ledger Entry Type",$C$4,"2 Item No.","@@"&amp;$F1372,"3 Posting Date",J$9)-NL("Sum","5802 Value Entry","43 Cost Amount (Actual)","41 Source Type",$C$5,"5 Source no.",$C1372,"4 Item Ledger Entry Type",$C$4,"2 Item No.","@@"&amp;$F1372,"3 Posting Date",J$9)</t>
  </si>
  <si>
    <t>=J1372-L1372</t>
  </si>
  <si>
    <t>=IF(J1372&lt;&gt;0,M1372/J1372,"")</t>
  </si>
  <si>
    <t>=NL("Sum","5802 Value Entry","150 Sales Amount (Expected)","41 Source Type",$C$5,"5 Source No.",$C1372,"4 Item Ledger Entry Type",$C$4,"2 Item No.","@@"&amp;$F1372,"3 Posting Date",O$9)+NL("Sum","5802 Value Entry","17 Sales Amount (Actual)","41 Source Type",$C$5,"5 Source no.",$C1372,"4 Item Ledger Entry Type",$C$4,"2 Item No.","@@"&amp;$F1372,"3 Posting Date",O$9)</t>
  </si>
  <si>
    <t>=-NL("Sum","5802 Value Entry","151 Cost Amount (Expected)","41 Source Type",$C$5,"5 Source No.",$C1372,"4 Item Ledger Entry Type",$C$4,"2 Item No.","@@"&amp;$F1372,"3 Posting Date",O$9)-NL("Sum","5802 Value Entry","43 Cost Amount (Actual)","41 Source Type",$C$5,"5 Source no.",$C1372,"4 Item Ledger Entry Type",$C$4,"2 Item No.","@@"&amp;$F1372,"3 Posting Date",O$9)</t>
  </si>
  <si>
    <t>=O1372-Q1372</t>
  </si>
  <si>
    <t>=IF(O1372&lt;&gt;0,R1372/O1372,"")</t>
  </si>
  <si>
    <t>=NL("Sum","5802 Value Entry","150 Sales Amount (Expected)","41 Source Type",$C$5,"5 Source No.",$C1372,"4 Item Ledger Entry Type",$C$4,"2 Item No.","@@"&amp;$F1372,"3 Posting Date",U$9)+NL("Sum","5802 Value Entry","17 Sales Amount (Actual)","41 Source Type",$C$5,"5 Source no.",$C1372,"4 Item Ledger Entry Type",$C$4,"2 Item No.","@@"&amp;$F1372,"3 Posting Date",U$9)</t>
  </si>
  <si>
    <t>=-NL("Sum","5802 Value Entry","151 Cost Amount (Expected)","41 Source Type",$C$5,"5 Source No.",$C1372,"4 Item Ledger Entry Type",$C$4,"2 Item No.","@@"&amp;$F1372,"3 Posting Date",U$9)-NL("Sum","5802 Value Entry","43 Cost Amount (Actual)","41 Source Type",$C$5,"5 Source no.",$C1372,"4 Item Ledger Entry Type",$C$4,"2 Item No.","@@"&amp;$F1372,"3 Posting Date",U$9)</t>
  </si>
  <si>
    <t>=U1372-W1372</t>
  </si>
  <si>
    <t>=IF(U1372&lt;&gt;0,X1372/U1372,"")</t>
  </si>
  <si>
    <t>=NL("Sum","5802 Value Entry","150 Sales Amount (Expected)","41 Source Type",$C$5,"5 Source No.",$C1372,"4 Item Ledger Entry Type",$C$4,"2 Item No.","@@"&amp;$F1372,"3 Posting Date",Z$9)+NL("Sum","5802 Value Entry","17 Sales Amount (Actual)","41 Source Type",$C$5,"5 Source no.",$C1372,"4 Item Ledger Entry Type",$C$4,"2 Item No.","@@"&amp;$F1372,"3 Posting Date",Z$9)</t>
  </si>
  <si>
    <t>=-NL("Sum","5802 Value Entry","151 Cost Amount (Expected)","41 Source Type",$C$5,"5 Source No.",$C1372,"4 Item Ledger Entry Type",$C$4,"2 Item No.","@@"&amp;$F1372,"3 Posting Date",Z$9)-NL("Sum","5802 Value Entry","43 Cost Amount (Actual)","41 Source Type",$C$5,"5 Source no.",$C1372,"4 Item Ledger Entry Type",$C$4,"2 Item No.","@@"&amp;$F1372,"3 Posting Date",Z$9)</t>
  </si>
  <si>
    <t>=Z1372-AB1372</t>
  </si>
  <si>
    <t>=IF(Z1372&lt;&gt;0,AC1372/Z1372,"")</t>
  </si>
  <si>
    <t>=C1372</t>
  </si>
  <si>
    <t>=NL("Sum","5802 Value Entry","150 Sales Amount (Expected)","41 Source Type",$C$5,"5 Source No.",$C1373,"4 Item Ledger Entry Type",$C$4,"2 Item No.","@@"&amp;$F1373,"3 Posting Date",J$9)+NL("Sum","5802 Value Entry","17 Sales Amount (Actual)","41 Source Type",$C$5,"5 Source no.",$C1373,"4 Item Ledger Entry Type",$C$4,"2 Item No.","@@"&amp;$F1373,"3 Posting Date",J$9)</t>
  </si>
  <si>
    <t>=-NL("Sum","5802 Value Entry","151 Cost Amount (Expected)","41 Source Type",$C$5,"5 Source No.",$C1373,"4 Item Ledger Entry Type",$C$4,"2 Item No.","@@"&amp;$F1373,"3 Posting Date",J$9)-NL("Sum","5802 Value Entry","43 Cost Amount (Actual)","41 Source Type",$C$5,"5 Source no.",$C1373,"4 Item Ledger Entry Type",$C$4,"2 Item No.","@@"&amp;$F1373,"3 Posting Date",J$9)</t>
  </si>
  <si>
    <t>=J1373-L1373</t>
  </si>
  <si>
    <t>=IF(J1373&lt;&gt;0,M1373/J1373,"")</t>
  </si>
  <si>
    <t>=NL("Sum","5802 Value Entry","150 Sales Amount (Expected)","41 Source Type",$C$5,"5 Source No.",$C1373,"4 Item Ledger Entry Type",$C$4,"2 Item No.","@@"&amp;$F1373,"3 Posting Date",O$9)+NL("Sum","5802 Value Entry","17 Sales Amount (Actual)","41 Source Type",$C$5,"5 Source no.",$C1373,"4 Item Ledger Entry Type",$C$4,"2 Item No.","@@"&amp;$F1373,"3 Posting Date",O$9)</t>
  </si>
  <si>
    <t>=-NL("Sum","5802 Value Entry","151 Cost Amount (Expected)","41 Source Type",$C$5,"5 Source No.",$C1373,"4 Item Ledger Entry Type",$C$4,"2 Item No.","@@"&amp;$F1373,"3 Posting Date",O$9)-NL("Sum","5802 Value Entry","43 Cost Amount (Actual)","41 Source Type",$C$5,"5 Source no.",$C1373,"4 Item Ledger Entry Type",$C$4,"2 Item No.","@@"&amp;$F1373,"3 Posting Date",O$9)</t>
  </si>
  <si>
    <t>=O1373-Q1373</t>
  </si>
  <si>
    <t>=IF(O1373&lt;&gt;0,R1373/O1373,"")</t>
  </si>
  <si>
    <t>=NL("Sum","5802 Value Entry","150 Sales Amount (Expected)","41 Source Type",$C$5,"5 Source No.",$C1373,"4 Item Ledger Entry Type",$C$4,"2 Item No.","@@"&amp;$F1373,"3 Posting Date",U$9)+NL("Sum","5802 Value Entry","17 Sales Amount (Actual)","41 Source Type",$C$5,"5 Source no.",$C1373,"4 Item Ledger Entry Type",$C$4,"2 Item No.","@@"&amp;$F1373,"3 Posting Date",U$9)</t>
  </si>
  <si>
    <t>=-NL("Sum","5802 Value Entry","151 Cost Amount (Expected)","41 Source Type",$C$5,"5 Source No.",$C1373,"4 Item Ledger Entry Type",$C$4,"2 Item No.","@@"&amp;$F1373,"3 Posting Date",U$9)-NL("Sum","5802 Value Entry","43 Cost Amount (Actual)","41 Source Type",$C$5,"5 Source no.",$C1373,"4 Item Ledger Entry Type",$C$4,"2 Item No.","@@"&amp;$F1373,"3 Posting Date",U$9)</t>
  </si>
  <si>
    <t>=U1373-W1373</t>
  </si>
  <si>
    <t>=IF(U1373&lt;&gt;0,X1373/U1373,"")</t>
  </si>
  <si>
    <t>=NL("Sum","5802 Value Entry","150 Sales Amount (Expected)","41 Source Type",$C$5,"5 Source No.",$C1373,"4 Item Ledger Entry Type",$C$4,"2 Item No.","@@"&amp;$F1373,"3 Posting Date",Z$9)+NL("Sum","5802 Value Entry","17 Sales Amount (Actual)","41 Source Type",$C$5,"5 Source no.",$C1373,"4 Item Ledger Entry Type",$C$4,"2 Item No.","@@"&amp;$F1373,"3 Posting Date",Z$9)</t>
  </si>
  <si>
    <t>=-NL("Sum","5802 Value Entry","151 Cost Amount (Expected)","41 Source Type",$C$5,"5 Source No.",$C1373,"4 Item Ledger Entry Type",$C$4,"2 Item No.","@@"&amp;$F1373,"3 Posting Date",Z$9)-NL("Sum","5802 Value Entry","43 Cost Amount (Actual)","41 Source Type",$C$5,"5 Source no.",$C1373,"4 Item Ledger Entry Type",$C$4,"2 Item No.","@@"&amp;$F1373,"3 Posting Date",Z$9)</t>
  </si>
  <si>
    <t>=Z1373-AB1373</t>
  </si>
  <si>
    <t>=IF(Z1373&lt;&gt;0,AC1373/Z1373,"")</t>
  </si>
  <si>
    <t>=C1373</t>
  </si>
  <si>
    <t>=NL("Sum","5802 Value Entry","150 Sales Amount (Expected)","41 Source Type",$C$5,"5 Source No.",$C1374,"4 Item Ledger Entry Type",$C$4,"2 Item No.","@@"&amp;$F1374,"3 Posting Date",J$9)+NL("Sum","5802 Value Entry","17 Sales Amount (Actual)","41 Source Type",$C$5,"5 Source no.",$C1374,"4 Item Ledger Entry Type",$C$4,"2 Item No.","@@"&amp;$F1374,"3 Posting Date",J$9)</t>
  </si>
  <si>
    <t>=-NL("Sum","5802 Value Entry","151 Cost Amount (Expected)","41 Source Type",$C$5,"5 Source No.",$C1374,"4 Item Ledger Entry Type",$C$4,"2 Item No.","@@"&amp;$F1374,"3 Posting Date",J$9)-NL("Sum","5802 Value Entry","43 Cost Amount (Actual)","41 Source Type",$C$5,"5 Source no.",$C1374,"4 Item Ledger Entry Type",$C$4,"2 Item No.","@@"&amp;$F1374,"3 Posting Date",J$9)</t>
  </si>
  <si>
    <t>=J1374-L1374</t>
  </si>
  <si>
    <t>=IF(J1374&lt;&gt;0,M1374/J1374,"")</t>
  </si>
  <si>
    <t>=NL("Sum","5802 Value Entry","150 Sales Amount (Expected)","41 Source Type",$C$5,"5 Source No.",$C1374,"4 Item Ledger Entry Type",$C$4,"2 Item No.","@@"&amp;$F1374,"3 Posting Date",O$9)+NL("Sum","5802 Value Entry","17 Sales Amount (Actual)","41 Source Type",$C$5,"5 Source no.",$C1374,"4 Item Ledger Entry Type",$C$4,"2 Item No.","@@"&amp;$F1374,"3 Posting Date",O$9)</t>
  </si>
  <si>
    <t>=-NL("Sum","5802 Value Entry","151 Cost Amount (Expected)","41 Source Type",$C$5,"5 Source No.",$C1374,"4 Item Ledger Entry Type",$C$4,"2 Item No.","@@"&amp;$F1374,"3 Posting Date",O$9)-NL("Sum","5802 Value Entry","43 Cost Amount (Actual)","41 Source Type",$C$5,"5 Source no.",$C1374,"4 Item Ledger Entry Type",$C$4,"2 Item No.","@@"&amp;$F1374,"3 Posting Date",O$9)</t>
  </si>
  <si>
    <t>=O1374-Q1374</t>
  </si>
  <si>
    <t>=IF(O1374&lt;&gt;0,R1374/O1374,"")</t>
  </si>
  <si>
    <t>=NL("Sum","5802 Value Entry","150 Sales Amount (Expected)","41 Source Type",$C$5,"5 Source No.",$C1374,"4 Item Ledger Entry Type",$C$4,"2 Item No.","@@"&amp;$F1374,"3 Posting Date",U$9)+NL("Sum","5802 Value Entry","17 Sales Amount (Actual)","41 Source Type",$C$5,"5 Source no.",$C1374,"4 Item Ledger Entry Type",$C$4,"2 Item No.","@@"&amp;$F1374,"3 Posting Date",U$9)</t>
  </si>
  <si>
    <t>=-NL("Sum","5802 Value Entry","151 Cost Amount (Expected)","41 Source Type",$C$5,"5 Source No.",$C1374,"4 Item Ledger Entry Type",$C$4,"2 Item No.","@@"&amp;$F1374,"3 Posting Date",U$9)-NL("Sum","5802 Value Entry","43 Cost Amount (Actual)","41 Source Type",$C$5,"5 Source no.",$C1374,"4 Item Ledger Entry Type",$C$4,"2 Item No.","@@"&amp;$F1374,"3 Posting Date",U$9)</t>
  </si>
  <si>
    <t>=U1374-W1374</t>
  </si>
  <si>
    <t>=IF(U1374&lt;&gt;0,X1374/U1374,"")</t>
  </si>
  <si>
    <t>=NL("Sum","5802 Value Entry","150 Sales Amount (Expected)","41 Source Type",$C$5,"5 Source No.",$C1374,"4 Item Ledger Entry Type",$C$4,"2 Item No.","@@"&amp;$F1374,"3 Posting Date",Z$9)+NL("Sum","5802 Value Entry","17 Sales Amount (Actual)","41 Source Type",$C$5,"5 Source no.",$C1374,"4 Item Ledger Entry Type",$C$4,"2 Item No.","@@"&amp;$F1374,"3 Posting Date",Z$9)</t>
  </si>
  <si>
    <t>=-NL("Sum","5802 Value Entry","151 Cost Amount (Expected)","41 Source Type",$C$5,"5 Source No.",$C1374,"4 Item Ledger Entry Type",$C$4,"2 Item No.","@@"&amp;$F1374,"3 Posting Date",Z$9)-NL("Sum","5802 Value Entry","43 Cost Amount (Actual)","41 Source Type",$C$5,"5 Source no.",$C1374,"4 Item Ledger Entry Type",$C$4,"2 Item No.","@@"&amp;$F1374,"3 Posting Date",Z$9)</t>
  </si>
  <si>
    <t>=Z1374-AB1374</t>
  </si>
  <si>
    <t>=IF(Z1374&lt;&gt;0,AC1374/Z1374,"")</t>
  </si>
  <si>
    <t>=C1374</t>
  </si>
  <si>
    <t>=NL("Sum","5802 Value Entry","150 Sales Amount (Expected)","41 Source Type",$C$5,"5 Source No.",$C1375,"4 Item Ledger Entry Type",$C$4,"2 Item No.","@@"&amp;$F1375,"3 Posting Date",J$9)+NL("Sum","5802 Value Entry","17 Sales Amount (Actual)","41 Source Type",$C$5,"5 Source no.",$C1375,"4 Item Ledger Entry Type",$C$4,"2 Item No.","@@"&amp;$F1375,"3 Posting Date",J$9)</t>
  </si>
  <si>
    <t>=-NL("Sum","5802 Value Entry","151 Cost Amount (Expected)","41 Source Type",$C$5,"5 Source No.",$C1375,"4 Item Ledger Entry Type",$C$4,"2 Item No.","@@"&amp;$F1375,"3 Posting Date",J$9)-NL("Sum","5802 Value Entry","43 Cost Amount (Actual)","41 Source Type",$C$5,"5 Source no.",$C1375,"4 Item Ledger Entry Type",$C$4,"2 Item No.","@@"&amp;$F1375,"3 Posting Date",J$9)</t>
  </si>
  <si>
    <t>=J1375-L1375</t>
  </si>
  <si>
    <t>=IF(J1375&lt;&gt;0,M1375/J1375,"")</t>
  </si>
  <si>
    <t>=NL("Sum","5802 Value Entry","150 Sales Amount (Expected)","41 Source Type",$C$5,"5 Source No.",$C1375,"4 Item Ledger Entry Type",$C$4,"2 Item No.","@@"&amp;$F1375,"3 Posting Date",O$9)+NL("Sum","5802 Value Entry","17 Sales Amount (Actual)","41 Source Type",$C$5,"5 Source no.",$C1375,"4 Item Ledger Entry Type",$C$4,"2 Item No.","@@"&amp;$F1375,"3 Posting Date",O$9)</t>
  </si>
  <si>
    <t>=-NL("Sum","5802 Value Entry","151 Cost Amount (Expected)","41 Source Type",$C$5,"5 Source No.",$C1375,"4 Item Ledger Entry Type",$C$4,"2 Item No.","@@"&amp;$F1375,"3 Posting Date",O$9)-NL("Sum","5802 Value Entry","43 Cost Amount (Actual)","41 Source Type",$C$5,"5 Source no.",$C1375,"4 Item Ledger Entry Type",$C$4,"2 Item No.","@@"&amp;$F1375,"3 Posting Date",O$9)</t>
  </si>
  <si>
    <t>=O1375-Q1375</t>
  </si>
  <si>
    <t>=IF(O1375&lt;&gt;0,R1375/O1375,"")</t>
  </si>
  <si>
    <t>=NL("Sum","5802 Value Entry","150 Sales Amount (Expected)","41 Source Type",$C$5,"5 Source No.",$C1375,"4 Item Ledger Entry Type",$C$4,"2 Item No.","@@"&amp;$F1375,"3 Posting Date",U$9)+NL("Sum","5802 Value Entry","17 Sales Amount (Actual)","41 Source Type",$C$5,"5 Source no.",$C1375,"4 Item Ledger Entry Type",$C$4,"2 Item No.","@@"&amp;$F1375,"3 Posting Date",U$9)</t>
  </si>
  <si>
    <t>=-NL("Sum","5802 Value Entry","151 Cost Amount (Expected)","41 Source Type",$C$5,"5 Source No.",$C1375,"4 Item Ledger Entry Type",$C$4,"2 Item No.","@@"&amp;$F1375,"3 Posting Date",U$9)-NL("Sum","5802 Value Entry","43 Cost Amount (Actual)","41 Source Type",$C$5,"5 Source no.",$C1375,"4 Item Ledger Entry Type",$C$4,"2 Item No.","@@"&amp;$F1375,"3 Posting Date",U$9)</t>
  </si>
  <si>
    <t>=U1375-W1375</t>
  </si>
  <si>
    <t>=IF(U1375&lt;&gt;0,X1375/U1375,"")</t>
  </si>
  <si>
    <t>=NL("Sum","5802 Value Entry","150 Sales Amount (Expected)","41 Source Type",$C$5,"5 Source No.",$C1375,"4 Item Ledger Entry Type",$C$4,"2 Item No.","@@"&amp;$F1375,"3 Posting Date",Z$9)+NL("Sum","5802 Value Entry","17 Sales Amount (Actual)","41 Source Type",$C$5,"5 Source no.",$C1375,"4 Item Ledger Entry Type",$C$4,"2 Item No.","@@"&amp;$F1375,"3 Posting Date",Z$9)</t>
  </si>
  <si>
    <t>=-NL("Sum","5802 Value Entry","151 Cost Amount (Expected)","41 Source Type",$C$5,"5 Source No.",$C1375,"4 Item Ledger Entry Type",$C$4,"2 Item No.","@@"&amp;$F1375,"3 Posting Date",Z$9)-NL("Sum","5802 Value Entry","43 Cost Amount (Actual)","41 Source Type",$C$5,"5 Source no.",$C1375,"4 Item Ledger Entry Type",$C$4,"2 Item No.","@@"&amp;$F1375,"3 Posting Date",Z$9)</t>
  </si>
  <si>
    <t>=Z1375-AB1375</t>
  </si>
  <si>
    <t>=IF(Z1375&lt;&gt;0,AC1375/Z1375,"")</t>
  </si>
  <si>
    <t>=C1375</t>
  </si>
  <si>
    <t>=NL("Sum","5802 Value Entry","150 Sales Amount (Expected)","41 Source Type",$C$5,"5 Source No.",$C1376,"4 Item Ledger Entry Type",$C$4,"2 Item No.","@@"&amp;$F1376,"3 Posting Date",J$9)+NL("Sum","5802 Value Entry","17 Sales Amount (Actual)","41 Source Type",$C$5,"5 Source no.",$C1376,"4 Item Ledger Entry Type",$C$4,"2 Item No.","@@"&amp;$F1376,"3 Posting Date",J$9)</t>
  </si>
  <si>
    <t>=-NL("Sum","5802 Value Entry","151 Cost Amount (Expected)","41 Source Type",$C$5,"5 Source No.",$C1376,"4 Item Ledger Entry Type",$C$4,"2 Item No.","@@"&amp;$F1376,"3 Posting Date",J$9)-NL("Sum","5802 Value Entry","43 Cost Amount (Actual)","41 Source Type",$C$5,"5 Source no.",$C1376,"4 Item Ledger Entry Type",$C$4,"2 Item No.","@@"&amp;$F1376,"3 Posting Date",J$9)</t>
  </si>
  <si>
    <t>=J1376-L1376</t>
  </si>
  <si>
    <t>=IF(J1376&lt;&gt;0,M1376/J1376,"")</t>
  </si>
  <si>
    <t>=NL("Sum","5802 Value Entry","150 Sales Amount (Expected)","41 Source Type",$C$5,"5 Source No.",$C1376,"4 Item Ledger Entry Type",$C$4,"2 Item No.","@@"&amp;$F1376,"3 Posting Date",O$9)+NL("Sum","5802 Value Entry","17 Sales Amount (Actual)","41 Source Type",$C$5,"5 Source no.",$C1376,"4 Item Ledger Entry Type",$C$4,"2 Item No.","@@"&amp;$F1376,"3 Posting Date",O$9)</t>
  </si>
  <si>
    <t>=-NL("Sum","5802 Value Entry","151 Cost Amount (Expected)","41 Source Type",$C$5,"5 Source No.",$C1376,"4 Item Ledger Entry Type",$C$4,"2 Item No.","@@"&amp;$F1376,"3 Posting Date",O$9)-NL("Sum","5802 Value Entry","43 Cost Amount (Actual)","41 Source Type",$C$5,"5 Source no.",$C1376,"4 Item Ledger Entry Type",$C$4,"2 Item No.","@@"&amp;$F1376,"3 Posting Date",O$9)</t>
  </si>
  <si>
    <t>=O1376-Q1376</t>
  </si>
  <si>
    <t>=IF(O1376&lt;&gt;0,R1376/O1376,"")</t>
  </si>
  <si>
    <t>=NL("Sum","5802 Value Entry","150 Sales Amount (Expected)","41 Source Type",$C$5,"5 Source No.",$C1376,"4 Item Ledger Entry Type",$C$4,"2 Item No.","@@"&amp;$F1376,"3 Posting Date",U$9)+NL("Sum","5802 Value Entry","17 Sales Amount (Actual)","41 Source Type",$C$5,"5 Source no.",$C1376,"4 Item Ledger Entry Type",$C$4,"2 Item No.","@@"&amp;$F1376,"3 Posting Date",U$9)</t>
  </si>
  <si>
    <t>=-NL("Sum","5802 Value Entry","151 Cost Amount (Expected)","41 Source Type",$C$5,"5 Source No.",$C1376,"4 Item Ledger Entry Type",$C$4,"2 Item No.","@@"&amp;$F1376,"3 Posting Date",U$9)-NL("Sum","5802 Value Entry","43 Cost Amount (Actual)","41 Source Type",$C$5,"5 Source no.",$C1376,"4 Item Ledger Entry Type",$C$4,"2 Item No.","@@"&amp;$F1376,"3 Posting Date",U$9)</t>
  </si>
  <si>
    <t>=U1376-W1376</t>
  </si>
  <si>
    <t>=IF(U1376&lt;&gt;0,X1376/U1376,"")</t>
  </si>
  <si>
    <t>=NL("Sum","5802 Value Entry","150 Sales Amount (Expected)","41 Source Type",$C$5,"5 Source No.",$C1376,"4 Item Ledger Entry Type",$C$4,"2 Item No.","@@"&amp;$F1376,"3 Posting Date",Z$9)+NL("Sum","5802 Value Entry","17 Sales Amount (Actual)","41 Source Type",$C$5,"5 Source no.",$C1376,"4 Item Ledger Entry Type",$C$4,"2 Item No.","@@"&amp;$F1376,"3 Posting Date",Z$9)</t>
  </si>
  <si>
    <t>=-NL("Sum","5802 Value Entry","151 Cost Amount (Expected)","41 Source Type",$C$5,"5 Source No.",$C1376,"4 Item Ledger Entry Type",$C$4,"2 Item No.","@@"&amp;$F1376,"3 Posting Date",Z$9)-NL("Sum","5802 Value Entry","43 Cost Amount (Actual)","41 Source Type",$C$5,"5 Source no.",$C1376,"4 Item Ledger Entry Type",$C$4,"2 Item No.","@@"&amp;$F1376,"3 Posting Date",Z$9)</t>
  </si>
  <si>
    <t>=Z1376-AB1376</t>
  </si>
  <si>
    <t>=IF(Z1376&lt;&gt;0,AC1376/Z1376,"")</t>
  </si>
  <si>
    <t>=C1376</t>
  </si>
  <si>
    <t>=NL("Sum","5802 Value Entry","150 Sales Amount (Expected)","41 Source Type",$C$5,"5 Source No.",$C1377,"4 Item Ledger Entry Type",$C$4,"2 Item No.","@@"&amp;$F1377,"3 Posting Date",J$9)+NL("Sum","5802 Value Entry","17 Sales Amount (Actual)","41 Source Type",$C$5,"5 Source no.",$C1377,"4 Item Ledger Entry Type",$C$4,"2 Item No.","@@"&amp;$F1377,"3 Posting Date",J$9)</t>
  </si>
  <si>
    <t>=-NL("Sum","5802 Value Entry","151 Cost Amount (Expected)","41 Source Type",$C$5,"5 Source No.",$C1377,"4 Item Ledger Entry Type",$C$4,"2 Item No.","@@"&amp;$F1377,"3 Posting Date",J$9)-NL("Sum","5802 Value Entry","43 Cost Amount (Actual)","41 Source Type",$C$5,"5 Source no.",$C1377,"4 Item Ledger Entry Type",$C$4,"2 Item No.","@@"&amp;$F1377,"3 Posting Date",J$9)</t>
  </si>
  <si>
    <t>=J1377-L1377</t>
  </si>
  <si>
    <t>=IF(J1377&lt;&gt;0,M1377/J1377,"")</t>
  </si>
  <si>
    <t>=NL("Sum","5802 Value Entry","150 Sales Amount (Expected)","41 Source Type",$C$5,"5 Source No.",$C1377,"4 Item Ledger Entry Type",$C$4,"2 Item No.","@@"&amp;$F1377,"3 Posting Date",O$9)+NL("Sum","5802 Value Entry","17 Sales Amount (Actual)","41 Source Type",$C$5,"5 Source no.",$C1377,"4 Item Ledger Entry Type",$C$4,"2 Item No.","@@"&amp;$F1377,"3 Posting Date",O$9)</t>
  </si>
  <si>
    <t>=-NL("Sum","5802 Value Entry","151 Cost Amount (Expected)","41 Source Type",$C$5,"5 Source No.",$C1377,"4 Item Ledger Entry Type",$C$4,"2 Item No.","@@"&amp;$F1377,"3 Posting Date",O$9)-NL("Sum","5802 Value Entry","43 Cost Amount (Actual)","41 Source Type",$C$5,"5 Source no.",$C1377,"4 Item Ledger Entry Type",$C$4,"2 Item No.","@@"&amp;$F1377,"3 Posting Date",O$9)</t>
  </si>
  <si>
    <t>=O1377-Q1377</t>
  </si>
  <si>
    <t>=IF(O1377&lt;&gt;0,R1377/O1377,"")</t>
  </si>
  <si>
    <t>=NL("Sum","5802 Value Entry","150 Sales Amount (Expected)","41 Source Type",$C$5,"5 Source No.",$C1377,"4 Item Ledger Entry Type",$C$4,"2 Item No.","@@"&amp;$F1377,"3 Posting Date",U$9)+NL("Sum","5802 Value Entry","17 Sales Amount (Actual)","41 Source Type",$C$5,"5 Source no.",$C1377,"4 Item Ledger Entry Type",$C$4,"2 Item No.","@@"&amp;$F1377,"3 Posting Date",U$9)</t>
  </si>
  <si>
    <t>=-NL("Sum","5802 Value Entry","151 Cost Amount (Expected)","41 Source Type",$C$5,"5 Source No.",$C1377,"4 Item Ledger Entry Type",$C$4,"2 Item No.","@@"&amp;$F1377,"3 Posting Date",U$9)-NL("Sum","5802 Value Entry","43 Cost Amount (Actual)","41 Source Type",$C$5,"5 Source no.",$C1377,"4 Item Ledger Entry Type",$C$4,"2 Item No.","@@"&amp;$F1377,"3 Posting Date",U$9)</t>
  </si>
  <si>
    <t>=U1377-W1377</t>
  </si>
  <si>
    <t>=IF(U1377&lt;&gt;0,X1377/U1377,"")</t>
  </si>
  <si>
    <t>=NL("Sum","5802 Value Entry","150 Sales Amount (Expected)","41 Source Type",$C$5,"5 Source No.",$C1377,"4 Item Ledger Entry Type",$C$4,"2 Item No.","@@"&amp;$F1377,"3 Posting Date",Z$9)+NL("Sum","5802 Value Entry","17 Sales Amount (Actual)","41 Source Type",$C$5,"5 Source no.",$C1377,"4 Item Ledger Entry Type",$C$4,"2 Item No.","@@"&amp;$F1377,"3 Posting Date",Z$9)</t>
  </si>
  <si>
    <t>=-NL("Sum","5802 Value Entry","151 Cost Amount (Expected)","41 Source Type",$C$5,"5 Source No.",$C1377,"4 Item Ledger Entry Type",$C$4,"2 Item No.","@@"&amp;$F1377,"3 Posting Date",Z$9)-NL("Sum","5802 Value Entry","43 Cost Amount (Actual)","41 Source Type",$C$5,"5 Source no.",$C1377,"4 Item Ledger Entry Type",$C$4,"2 Item No.","@@"&amp;$F1377,"3 Posting Date",Z$9)</t>
  </si>
  <si>
    <t>=Z1377-AB1377</t>
  </si>
  <si>
    <t>=IF(Z1377&lt;&gt;0,AC1377/Z1377,"")</t>
  </si>
  <si>
    <t>=C1377</t>
  </si>
  <si>
    <t>=NL("Sum","5802 Value Entry","150 Sales Amount (Expected)","41 Source Type",$C$5,"5 Source No.",$C1378,"4 Item Ledger Entry Type",$C$4,"2 Item No.","@@"&amp;$F1378,"3 Posting Date",J$9)+NL("Sum","5802 Value Entry","17 Sales Amount (Actual)","41 Source Type",$C$5,"5 Source no.",$C1378,"4 Item Ledger Entry Type",$C$4,"2 Item No.","@@"&amp;$F1378,"3 Posting Date",J$9)</t>
  </si>
  <si>
    <t>=-NL("Sum","5802 Value Entry","151 Cost Amount (Expected)","41 Source Type",$C$5,"5 Source No.",$C1378,"4 Item Ledger Entry Type",$C$4,"2 Item No.","@@"&amp;$F1378,"3 Posting Date",J$9)-NL("Sum","5802 Value Entry","43 Cost Amount (Actual)","41 Source Type",$C$5,"5 Source no.",$C1378,"4 Item Ledger Entry Type",$C$4,"2 Item No.","@@"&amp;$F1378,"3 Posting Date",J$9)</t>
  </si>
  <si>
    <t>=J1378-L1378</t>
  </si>
  <si>
    <t>=IF(J1378&lt;&gt;0,M1378/J1378,"")</t>
  </si>
  <si>
    <t>=NL("Sum","5802 Value Entry","150 Sales Amount (Expected)","41 Source Type",$C$5,"5 Source No.",$C1378,"4 Item Ledger Entry Type",$C$4,"2 Item No.","@@"&amp;$F1378,"3 Posting Date",O$9)+NL("Sum","5802 Value Entry","17 Sales Amount (Actual)","41 Source Type",$C$5,"5 Source no.",$C1378,"4 Item Ledger Entry Type",$C$4,"2 Item No.","@@"&amp;$F1378,"3 Posting Date",O$9)</t>
  </si>
  <si>
    <t>=-NL("Sum","5802 Value Entry","151 Cost Amount (Expected)","41 Source Type",$C$5,"5 Source No.",$C1378,"4 Item Ledger Entry Type",$C$4,"2 Item No.","@@"&amp;$F1378,"3 Posting Date",O$9)-NL("Sum","5802 Value Entry","43 Cost Amount (Actual)","41 Source Type",$C$5,"5 Source no.",$C1378,"4 Item Ledger Entry Type",$C$4,"2 Item No.","@@"&amp;$F1378,"3 Posting Date",O$9)</t>
  </si>
  <si>
    <t>=O1378-Q1378</t>
  </si>
  <si>
    <t>=IF(O1378&lt;&gt;0,R1378/O1378,"")</t>
  </si>
  <si>
    <t>=NL("Sum","5802 Value Entry","150 Sales Amount (Expected)","41 Source Type",$C$5,"5 Source No.",$C1378,"4 Item Ledger Entry Type",$C$4,"2 Item No.","@@"&amp;$F1378,"3 Posting Date",U$9)+NL("Sum","5802 Value Entry","17 Sales Amount (Actual)","41 Source Type",$C$5,"5 Source no.",$C1378,"4 Item Ledger Entry Type",$C$4,"2 Item No.","@@"&amp;$F1378,"3 Posting Date",U$9)</t>
  </si>
  <si>
    <t>=-NL("Sum","5802 Value Entry","151 Cost Amount (Expected)","41 Source Type",$C$5,"5 Source No.",$C1378,"4 Item Ledger Entry Type",$C$4,"2 Item No.","@@"&amp;$F1378,"3 Posting Date",U$9)-NL("Sum","5802 Value Entry","43 Cost Amount (Actual)","41 Source Type",$C$5,"5 Source no.",$C1378,"4 Item Ledger Entry Type",$C$4,"2 Item No.","@@"&amp;$F1378,"3 Posting Date",U$9)</t>
  </si>
  <si>
    <t>=U1378-W1378</t>
  </si>
  <si>
    <t>=IF(U1378&lt;&gt;0,X1378/U1378,"")</t>
  </si>
  <si>
    <t>=NL("Sum","5802 Value Entry","150 Sales Amount (Expected)","41 Source Type",$C$5,"5 Source No.",$C1378,"4 Item Ledger Entry Type",$C$4,"2 Item No.","@@"&amp;$F1378,"3 Posting Date",Z$9)+NL("Sum","5802 Value Entry","17 Sales Amount (Actual)","41 Source Type",$C$5,"5 Source no.",$C1378,"4 Item Ledger Entry Type",$C$4,"2 Item No.","@@"&amp;$F1378,"3 Posting Date",Z$9)</t>
  </si>
  <si>
    <t>=-NL("Sum","5802 Value Entry","151 Cost Amount (Expected)","41 Source Type",$C$5,"5 Source No.",$C1378,"4 Item Ledger Entry Type",$C$4,"2 Item No.","@@"&amp;$F1378,"3 Posting Date",Z$9)-NL("Sum","5802 Value Entry","43 Cost Amount (Actual)","41 Source Type",$C$5,"5 Source no.",$C1378,"4 Item Ledger Entry Type",$C$4,"2 Item No.","@@"&amp;$F1378,"3 Posting Date",Z$9)</t>
  </si>
  <si>
    <t>=Z1378-AB1378</t>
  </si>
  <si>
    <t>=IF(Z1378&lt;&gt;0,AC1378/Z1378,"")</t>
  </si>
  <si>
    <t>=C1378</t>
  </si>
  <si>
    <t>=NL("Sum","5802 Value Entry","150 Sales Amount (Expected)","41 Source Type",$C$5,"5 Source No.",$C1379,"4 Item Ledger Entry Type",$C$4,"2 Item No.","@@"&amp;$F1379,"3 Posting Date",J$9)+NL("Sum","5802 Value Entry","17 Sales Amount (Actual)","41 Source Type",$C$5,"5 Source no.",$C1379,"4 Item Ledger Entry Type",$C$4,"2 Item No.","@@"&amp;$F1379,"3 Posting Date",J$9)</t>
  </si>
  <si>
    <t>=-NL("Sum","5802 Value Entry","151 Cost Amount (Expected)","41 Source Type",$C$5,"5 Source No.",$C1379,"4 Item Ledger Entry Type",$C$4,"2 Item No.","@@"&amp;$F1379,"3 Posting Date",J$9)-NL("Sum","5802 Value Entry","43 Cost Amount (Actual)","41 Source Type",$C$5,"5 Source no.",$C1379,"4 Item Ledger Entry Type",$C$4,"2 Item No.","@@"&amp;$F1379,"3 Posting Date",J$9)</t>
  </si>
  <si>
    <t>=J1379-L1379</t>
  </si>
  <si>
    <t>=IF(J1379&lt;&gt;0,M1379/J1379,"")</t>
  </si>
  <si>
    <t>=NL("Sum","5802 Value Entry","150 Sales Amount (Expected)","41 Source Type",$C$5,"5 Source No.",$C1379,"4 Item Ledger Entry Type",$C$4,"2 Item No.","@@"&amp;$F1379,"3 Posting Date",O$9)+NL("Sum","5802 Value Entry","17 Sales Amount (Actual)","41 Source Type",$C$5,"5 Source no.",$C1379,"4 Item Ledger Entry Type",$C$4,"2 Item No.","@@"&amp;$F1379,"3 Posting Date",O$9)</t>
  </si>
  <si>
    <t>=-NL("Sum","5802 Value Entry","151 Cost Amount (Expected)","41 Source Type",$C$5,"5 Source No.",$C1379,"4 Item Ledger Entry Type",$C$4,"2 Item No.","@@"&amp;$F1379,"3 Posting Date",O$9)-NL("Sum","5802 Value Entry","43 Cost Amount (Actual)","41 Source Type",$C$5,"5 Source no.",$C1379,"4 Item Ledger Entry Type",$C$4,"2 Item No.","@@"&amp;$F1379,"3 Posting Date",O$9)</t>
  </si>
  <si>
    <t>=O1379-Q1379</t>
  </si>
  <si>
    <t>=IF(O1379&lt;&gt;0,R1379/O1379,"")</t>
  </si>
  <si>
    <t>=NL("Sum","5802 Value Entry","150 Sales Amount (Expected)","41 Source Type",$C$5,"5 Source No.",$C1379,"4 Item Ledger Entry Type",$C$4,"2 Item No.","@@"&amp;$F1379,"3 Posting Date",U$9)+NL("Sum","5802 Value Entry","17 Sales Amount (Actual)","41 Source Type",$C$5,"5 Source no.",$C1379,"4 Item Ledger Entry Type",$C$4,"2 Item No.","@@"&amp;$F1379,"3 Posting Date",U$9)</t>
  </si>
  <si>
    <t>=-NL("Sum","5802 Value Entry","151 Cost Amount (Expected)","41 Source Type",$C$5,"5 Source No.",$C1379,"4 Item Ledger Entry Type",$C$4,"2 Item No.","@@"&amp;$F1379,"3 Posting Date",U$9)-NL("Sum","5802 Value Entry","43 Cost Amount (Actual)","41 Source Type",$C$5,"5 Source no.",$C1379,"4 Item Ledger Entry Type",$C$4,"2 Item No.","@@"&amp;$F1379,"3 Posting Date",U$9)</t>
  </si>
  <si>
    <t>=U1379-W1379</t>
  </si>
  <si>
    <t>=IF(U1379&lt;&gt;0,X1379/U1379,"")</t>
  </si>
  <si>
    <t>=NL("Sum","5802 Value Entry","150 Sales Amount (Expected)","41 Source Type",$C$5,"5 Source No.",$C1379,"4 Item Ledger Entry Type",$C$4,"2 Item No.","@@"&amp;$F1379,"3 Posting Date",Z$9)+NL("Sum","5802 Value Entry","17 Sales Amount (Actual)","41 Source Type",$C$5,"5 Source no.",$C1379,"4 Item Ledger Entry Type",$C$4,"2 Item No.","@@"&amp;$F1379,"3 Posting Date",Z$9)</t>
  </si>
  <si>
    <t>=-NL("Sum","5802 Value Entry","151 Cost Amount (Expected)","41 Source Type",$C$5,"5 Source No.",$C1379,"4 Item Ledger Entry Type",$C$4,"2 Item No.","@@"&amp;$F1379,"3 Posting Date",Z$9)-NL("Sum","5802 Value Entry","43 Cost Amount (Actual)","41 Source Type",$C$5,"5 Source no.",$C1379,"4 Item Ledger Entry Type",$C$4,"2 Item No.","@@"&amp;$F1379,"3 Posting Date",Z$9)</t>
  </si>
  <si>
    <t>=Z1379-AB1379</t>
  </si>
  <si>
    <t>=IF(Z1379&lt;&gt;0,AC1379/Z1379,"")</t>
  </si>
  <si>
    <t>=C1379</t>
  </si>
  <si>
    <t>=NL("Sum","5802 Value Entry","150 Sales Amount (Expected)","41 Source Type",$C$5,"5 Source No.",$C1380,"4 Item Ledger Entry Type",$C$4,"2 Item No.","@@"&amp;$F1380,"3 Posting Date",J$9)+NL("Sum","5802 Value Entry","17 Sales Amount (Actual)","41 Source Type",$C$5,"5 Source no.",$C1380,"4 Item Ledger Entry Type",$C$4,"2 Item No.","@@"&amp;$F1380,"3 Posting Date",J$9)</t>
  </si>
  <si>
    <t>=-NL("Sum","5802 Value Entry","151 Cost Amount (Expected)","41 Source Type",$C$5,"5 Source No.",$C1380,"4 Item Ledger Entry Type",$C$4,"2 Item No.","@@"&amp;$F1380,"3 Posting Date",J$9)-NL("Sum","5802 Value Entry","43 Cost Amount (Actual)","41 Source Type",$C$5,"5 Source no.",$C1380,"4 Item Ledger Entry Type",$C$4,"2 Item No.","@@"&amp;$F1380,"3 Posting Date",J$9)</t>
  </si>
  <si>
    <t>=J1380-L1380</t>
  </si>
  <si>
    <t>=IF(J1380&lt;&gt;0,M1380/J1380,"")</t>
  </si>
  <si>
    <t>=NL("Sum","5802 Value Entry","150 Sales Amount (Expected)","41 Source Type",$C$5,"5 Source No.",$C1380,"4 Item Ledger Entry Type",$C$4,"2 Item No.","@@"&amp;$F1380,"3 Posting Date",O$9)+NL("Sum","5802 Value Entry","17 Sales Amount (Actual)","41 Source Type",$C$5,"5 Source no.",$C1380,"4 Item Ledger Entry Type",$C$4,"2 Item No.","@@"&amp;$F1380,"3 Posting Date",O$9)</t>
  </si>
  <si>
    <t>=-NL("Sum","5802 Value Entry","151 Cost Amount (Expected)","41 Source Type",$C$5,"5 Source No.",$C1380,"4 Item Ledger Entry Type",$C$4,"2 Item No.","@@"&amp;$F1380,"3 Posting Date",O$9)-NL("Sum","5802 Value Entry","43 Cost Amount (Actual)","41 Source Type",$C$5,"5 Source no.",$C1380,"4 Item Ledger Entry Type",$C$4,"2 Item No.","@@"&amp;$F1380,"3 Posting Date",O$9)</t>
  </si>
  <si>
    <t>=O1380-Q1380</t>
  </si>
  <si>
    <t>=IF(O1380&lt;&gt;0,R1380/O1380,"")</t>
  </si>
  <si>
    <t>=NL("Sum","5802 Value Entry","150 Sales Amount (Expected)","41 Source Type",$C$5,"5 Source No.",$C1380,"4 Item Ledger Entry Type",$C$4,"2 Item No.","@@"&amp;$F1380,"3 Posting Date",U$9)+NL("Sum","5802 Value Entry","17 Sales Amount (Actual)","41 Source Type",$C$5,"5 Source no.",$C1380,"4 Item Ledger Entry Type",$C$4,"2 Item No.","@@"&amp;$F1380,"3 Posting Date",U$9)</t>
  </si>
  <si>
    <t>=-NL("Sum","5802 Value Entry","151 Cost Amount (Expected)","41 Source Type",$C$5,"5 Source No.",$C1380,"4 Item Ledger Entry Type",$C$4,"2 Item No.","@@"&amp;$F1380,"3 Posting Date",U$9)-NL("Sum","5802 Value Entry","43 Cost Amount (Actual)","41 Source Type",$C$5,"5 Source no.",$C1380,"4 Item Ledger Entry Type",$C$4,"2 Item No.","@@"&amp;$F1380,"3 Posting Date",U$9)</t>
  </si>
  <si>
    <t>=U1380-W1380</t>
  </si>
  <si>
    <t>=IF(U1380&lt;&gt;0,X1380/U1380,"")</t>
  </si>
  <si>
    <t>=NL("Sum","5802 Value Entry","150 Sales Amount (Expected)","41 Source Type",$C$5,"5 Source No.",$C1380,"4 Item Ledger Entry Type",$C$4,"2 Item No.","@@"&amp;$F1380,"3 Posting Date",Z$9)+NL("Sum","5802 Value Entry","17 Sales Amount (Actual)","41 Source Type",$C$5,"5 Source no.",$C1380,"4 Item Ledger Entry Type",$C$4,"2 Item No.","@@"&amp;$F1380,"3 Posting Date",Z$9)</t>
  </si>
  <si>
    <t>=-NL("Sum","5802 Value Entry","151 Cost Amount (Expected)","41 Source Type",$C$5,"5 Source No.",$C1380,"4 Item Ledger Entry Type",$C$4,"2 Item No.","@@"&amp;$F1380,"3 Posting Date",Z$9)-NL("Sum","5802 Value Entry","43 Cost Amount (Actual)","41 Source Type",$C$5,"5 Source no.",$C1380,"4 Item Ledger Entry Type",$C$4,"2 Item No.","@@"&amp;$F1380,"3 Posting Date",Z$9)</t>
  </si>
  <si>
    <t>=Z1380-AB1380</t>
  </si>
  <si>
    <t>=IF(Z1380&lt;&gt;0,AC1380/Z1380,"")</t>
  </si>
  <si>
    <t>=C1380</t>
  </si>
  <si>
    <t>=NL("Sum","5802 Value Entry","150 Sales Amount (Expected)","41 Source Type",$C$5,"5 Source No.",$C1381,"4 Item Ledger Entry Type",$C$4,"2 Item No.","@@"&amp;$F1381,"3 Posting Date",J$9)+NL("Sum","5802 Value Entry","17 Sales Amount (Actual)","41 Source Type",$C$5,"5 Source no.",$C1381,"4 Item Ledger Entry Type",$C$4,"2 Item No.","@@"&amp;$F1381,"3 Posting Date",J$9)</t>
  </si>
  <si>
    <t>=-NL("Sum","5802 Value Entry","151 Cost Amount (Expected)","41 Source Type",$C$5,"5 Source No.",$C1381,"4 Item Ledger Entry Type",$C$4,"2 Item No.","@@"&amp;$F1381,"3 Posting Date",J$9)-NL("Sum","5802 Value Entry","43 Cost Amount (Actual)","41 Source Type",$C$5,"5 Source no.",$C1381,"4 Item Ledger Entry Type",$C$4,"2 Item No.","@@"&amp;$F1381,"3 Posting Date",J$9)</t>
  </si>
  <si>
    <t>=J1381-L1381</t>
  </si>
  <si>
    <t>=IF(J1381&lt;&gt;0,M1381/J1381,"")</t>
  </si>
  <si>
    <t>=NL("Sum","5802 Value Entry","150 Sales Amount (Expected)","41 Source Type",$C$5,"5 Source No.",$C1381,"4 Item Ledger Entry Type",$C$4,"2 Item No.","@@"&amp;$F1381,"3 Posting Date",O$9)+NL("Sum","5802 Value Entry","17 Sales Amount (Actual)","41 Source Type",$C$5,"5 Source no.",$C1381,"4 Item Ledger Entry Type",$C$4,"2 Item No.","@@"&amp;$F1381,"3 Posting Date",O$9)</t>
  </si>
  <si>
    <t>=-NL("Sum","5802 Value Entry","151 Cost Amount (Expected)","41 Source Type",$C$5,"5 Source No.",$C1381,"4 Item Ledger Entry Type",$C$4,"2 Item No.","@@"&amp;$F1381,"3 Posting Date",O$9)-NL("Sum","5802 Value Entry","43 Cost Amount (Actual)","41 Source Type",$C$5,"5 Source no.",$C1381,"4 Item Ledger Entry Type",$C$4,"2 Item No.","@@"&amp;$F1381,"3 Posting Date",O$9)</t>
  </si>
  <si>
    <t>=O1381-Q1381</t>
  </si>
  <si>
    <t>=IF(O1381&lt;&gt;0,R1381/O1381,"")</t>
  </si>
  <si>
    <t>=NL("Sum","5802 Value Entry","150 Sales Amount (Expected)","41 Source Type",$C$5,"5 Source No.",$C1381,"4 Item Ledger Entry Type",$C$4,"2 Item No.","@@"&amp;$F1381,"3 Posting Date",U$9)+NL("Sum","5802 Value Entry","17 Sales Amount (Actual)","41 Source Type",$C$5,"5 Source no.",$C1381,"4 Item Ledger Entry Type",$C$4,"2 Item No.","@@"&amp;$F1381,"3 Posting Date",U$9)</t>
  </si>
  <si>
    <t>=-NL("Sum","5802 Value Entry","151 Cost Amount (Expected)","41 Source Type",$C$5,"5 Source No.",$C1381,"4 Item Ledger Entry Type",$C$4,"2 Item No.","@@"&amp;$F1381,"3 Posting Date",U$9)-NL("Sum","5802 Value Entry","43 Cost Amount (Actual)","41 Source Type",$C$5,"5 Source no.",$C1381,"4 Item Ledger Entry Type",$C$4,"2 Item No.","@@"&amp;$F1381,"3 Posting Date",U$9)</t>
  </si>
  <si>
    <t>=U1381-W1381</t>
  </si>
  <si>
    <t>=IF(U1381&lt;&gt;0,X1381/U1381,"")</t>
  </si>
  <si>
    <t>=NL("Sum","5802 Value Entry","150 Sales Amount (Expected)","41 Source Type",$C$5,"5 Source No.",$C1381,"4 Item Ledger Entry Type",$C$4,"2 Item No.","@@"&amp;$F1381,"3 Posting Date",Z$9)+NL("Sum","5802 Value Entry","17 Sales Amount (Actual)","41 Source Type",$C$5,"5 Source no.",$C1381,"4 Item Ledger Entry Type",$C$4,"2 Item No.","@@"&amp;$F1381,"3 Posting Date",Z$9)</t>
  </si>
  <si>
    <t>=-NL("Sum","5802 Value Entry","151 Cost Amount (Expected)","41 Source Type",$C$5,"5 Source No.",$C1381,"4 Item Ledger Entry Type",$C$4,"2 Item No.","@@"&amp;$F1381,"3 Posting Date",Z$9)-NL("Sum","5802 Value Entry","43 Cost Amount (Actual)","41 Source Type",$C$5,"5 Source no.",$C1381,"4 Item Ledger Entry Type",$C$4,"2 Item No.","@@"&amp;$F1381,"3 Posting Date",Z$9)</t>
  </si>
  <si>
    <t>=Z1381-AB1381</t>
  </si>
  <si>
    <t>=IF(Z1381&lt;&gt;0,AC1381/Z1381,"")</t>
  </si>
  <si>
    <t>=C1382</t>
  </si>
  <si>
    <t>=J1383-L1383</t>
  </si>
  <si>
    <t>=IF(J1383&lt;&gt;0,M1383/J1383,"")</t>
  </si>
  <si>
    <t>=O1383-Q1383</t>
  </si>
  <si>
    <t>=IF(O1383&lt;&gt;0,R1383/O1383,"")</t>
  </si>
  <si>
    <t>=U1383-W1383</t>
  </si>
  <si>
    <t>=IF(U1383&lt;&gt;0,X1383/U1383,"")</t>
  </si>
  <si>
    <t>=Z1383-AB1383</t>
  </si>
  <si>
    <t>=IF(Z1383&lt;&gt;0,AC1383/Z1383,"")</t>
  </si>
  <si>
    <t>=C1385</t>
  </si>
  <si>
    <t>=C1386</t>
  </si>
  <si>
    <t>=NL("Sum","5802 Value Entry","150 Sales Amount (Expected)","41 Source Type",$C$5,"5 Source No.",$C1387,"4 Item Ledger Entry Type",$C$4,"2 Item No.","@@"&amp;$F1387,"3 Posting Date",J$9)+NL("Sum","5802 Value Entry","17 Sales Amount (Actual)","41 Source Type",$C$5,"5 Source no.",$C1387,"4 Item Ledger Entry Type",$C$4,"2 Item No.","@@"&amp;$F1387,"3 Posting Date",J$9)</t>
  </si>
  <si>
    <t>=-NL("Sum","5802 Value Entry","151 Cost Amount (Expected)","41 Source Type",$C$5,"5 Source No.",$C1387,"4 Item Ledger Entry Type",$C$4,"2 Item No.","@@"&amp;$F1387,"3 Posting Date",J$9)-NL("Sum","5802 Value Entry","43 Cost Amount (Actual)","41 Source Type",$C$5,"5 Source no.",$C1387,"4 Item Ledger Entry Type",$C$4,"2 Item No.","@@"&amp;$F1387,"3 Posting Date",J$9)</t>
  </si>
  <si>
    <t>=J1387-L1387</t>
  </si>
  <si>
    <t>=IF(J1387&lt;&gt;0,M1387/J1387,"")</t>
  </si>
  <si>
    <t>=NL("Sum","5802 Value Entry","150 Sales Amount (Expected)","41 Source Type",$C$5,"5 Source No.",$C1387,"4 Item Ledger Entry Type",$C$4,"2 Item No.","@@"&amp;$F1387,"3 Posting Date",O$9)+NL("Sum","5802 Value Entry","17 Sales Amount (Actual)","41 Source Type",$C$5,"5 Source no.",$C1387,"4 Item Ledger Entry Type",$C$4,"2 Item No.","@@"&amp;$F1387,"3 Posting Date",O$9)</t>
  </si>
  <si>
    <t>=-NL("Sum","5802 Value Entry","151 Cost Amount (Expected)","41 Source Type",$C$5,"5 Source No.",$C1387,"4 Item Ledger Entry Type",$C$4,"2 Item No.","@@"&amp;$F1387,"3 Posting Date",O$9)-NL("Sum","5802 Value Entry","43 Cost Amount (Actual)","41 Source Type",$C$5,"5 Source no.",$C1387,"4 Item Ledger Entry Type",$C$4,"2 Item No.","@@"&amp;$F1387,"3 Posting Date",O$9)</t>
  </si>
  <si>
    <t>=O1387-Q1387</t>
  </si>
  <si>
    <t>=IF(O1387&lt;&gt;0,R1387/O1387,"")</t>
  </si>
  <si>
    <t>=NL("Sum","5802 Value Entry","150 Sales Amount (Expected)","41 Source Type",$C$5,"5 Source No.",$C1387,"4 Item Ledger Entry Type",$C$4,"2 Item No.","@@"&amp;$F1387,"3 Posting Date",U$9)+NL("Sum","5802 Value Entry","17 Sales Amount (Actual)","41 Source Type",$C$5,"5 Source no.",$C1387,"4 Item Ledger Entry Type",$C$4,"2 Item No.","@@"&amp;$F1387,"3 Posting Date",U$9)</t>
  </si>
  <si>
    <t>=-NL("Sum","5802 Value Entry","151 Cost Amount (Expected)","41 Source Type",$C$5,"5 Source No.",$C1387,"4 Item Ledger Entry Type",$C$4,"2 Item No.","@@"&amp;$F1387,"3 Posting Date",U$9)-NL("Sum","5802 Value Entry","43 Cost Amount (Actual)","41 Source Type",$C$5,"5 Source no.",$C1387,"4 Item Ledger Entry Type",$C$4,"2 Item No.","@@"&amp;$F1387,"3 Posting Date",U$9)</t>
  </si>
  <si>
    <t>=U1387-W1387</t>
  </si>
  <si>
    <t>=IF(U1387&lt;&gt;0,X1387/U1387,"")</t>
  </si>
  <si>
    <t>=NL("Sum","5802 Value Entry","150 Sales Amount (Expected)","41 Source Type",$C$5,"5 Source No.",$C1387,"4 Item Ledger Entry Type",$C$4,"2 Item No.","@@"&amp;$F1387,"3 Posting Date",Z$9)+NL("Sum","5802 Value Entry","17 Sales Amount (Actual)","41 Source Type",$C$5,"5 Source no.",$C1387,"4 Item Ledger Entry Type",$C$4,"2 Item No.","@@"&amp;$F1387,"3 Posting Date",Z$9)</t>
  </si>
  <si>
    <t>=-NL("Sum","5802 Value Entry","151 Cost Amount (Expected)","41 Source Type",$C$5,"5 Source No.",$C1387,"4 Item Ledger Entry Type",$C$4,"2 Item No.","@@"&amp;$F1387,"3 Posting Date",Z$9)-NL("Sum","5802 Value Entry","43 Cost Amount (Actual)","41 Source Type",$C$5,"5 Source no.",$C1387,"4 Item Ledger Entry Type",$C$4,"2 Item No.","@@"&amp;$F1387,"3 Posting Date",Z$9)</t>
  </si>
  <si>
    <t>=Z1387-AB1387</t>
  </si>
  <si>
    <t>=IF(Z1387&lt;&gt;0,AC1387/Z1387,"")</t>
  </si>
  <si>
    <t>=C1387</t>
  </si>
  <si>
    <t>=NL("Sum","5802 Value Entry","150 Sales Amount (Expected)","41 Source Type",$C$5,"5 Source No.",$C1388,"4 Item Ledger Entry Type",$C$4,"2 Item No.","@@"&amp;$F1388,"3 Posting Date",J$9)+NL("Sum","5802 Value Entry","17 Sales Amount (Actual)","41 Source Type",$C$5,"5 Source no.",$C1388,"4 Item Ledger Entry Type",$C$4,"2 Item No.","@@"&amp;$F1388,"3 Posting Date",J$9)</t>
  </si>
  <si>
    <t>=-NL("Sum","5802 Value Entry","151 Cost Amount (Expected)","41 Source Type",$C$5,"5 Source No.",$C1388,"4 Item Ledger Entry Type",$C$4,"2 Item No.","@@"&amp;$F1388,"3 Posting Date",J$9)-NL("Sum","5802 Value Entry","43 Cost Amount (Actual)","41 Source Type",$C$5,"5 Source no.",$C1388,"4 Item Ledger Entry Type",$C$4,"2 Item No.","@@"&amp;$F1388,"3 Posting Date",J$9)</t>
  </si>
  <si>
    <t>=J1388-L1388</t>
  </si>
  <si>
    <t>=IF(J1388&lt;&gt;0,M1388/J1388,"")</t>
  </si>
  <si>
    <t>=NL("Sum","5802 Value Entry","150 Sales Amount (Expected)","41 Source Type",$C$5,"5 Source No.",$C1388,"4 Item Ledger Entry Type",$C$4,"2 Item No.","@@"&amp;$F1388,"3 Posting Date",O$9)+NL("Sum","5802 Value Entry","17 Sales Amount (Actual)","41 Source Type",$C$5,"5 Source no.",$C1388,"4 Item Ledger Entry Type",$C$4,"2 Item No.","@@"&amp;$F1388,"3 Posting Date",O$9)</t>
  </si>
  <si>
    <t>=-NL("Sum","5802 Value Entry","151 Cost Amount (Expected)","41 Source Type",$C$5,"5 Source No.",$C1388,"4 Item Ledger Entry Type",$C$4,"2 Item No.","@@"&amp;$F1388,"3 Posting Date",O$9)-NL("Sum","5802 Value Entry","43 Cost Amount (Actual)","41 Source Type",$C$5,"5 Source no.",$C1388,"4 Item Ledger Entry Type",$C$4,"2 Item No.","@@"&amp;$F1388,"3 Posting Date",O$9)</t>
  </si>
  <si>
    <t>=O1388-Q1388</t>
  </si>
  <si>
    <t>=IF(O1388&lt;&gt;0,R1388/O1388,"")</t>
  </si>
  <si>
    <t>=NL("Sum","5802 Value Entry","150 Sales Amount (Expected)","41 Source Type",$C$5,"5 Source No.",$C1388,"4 Item Ledger Entry Type",$C$4,"2 Item No.","@@"&amp;$F1388,"3 Posting Date",U$9)+NL("Sum","5802 Value Entry","17 Sales Amount (Actual)","41 Source Type",$C$5,"5 Source no.",$C1388,"4 Item Ledger Entry Type",$C$4,"2 Item No.","@@"&amp;$F1388,"3 Posting Date",U$9)</t>
  </si>
  <si>
    <t>=-NL("Sum","5802 Value Entry","151 Cost Amount (Expected)","41 Source Type",$C$5,"5 Source No.",$C1388,"4 Item Ledger Entry Type",$C$4,"2 Item No.","@@"&amp;$F1388,"3 Posting Date",U$9)-NL("Sum","5802 Value Entry","43 Cost Amount (Actual)","41 Source Type",$C$5,"5 Source no.",$C1388,"4 Item Ledger Entry Type",$C$4,"2 Item No.","@@"&amp;$F1388,"3 Posting Date",U$9)</t>
  </si>
  <si>
    <t>=U1388-W1388</t>
  </si>
  <si>
    <t>=IF(U1388&lt;&gt;0,X1388/U1388,"")</t>
  </si>
  <si>
    <t>=NL("Sum","5802 Value Entry","150 Sales Amount (Expected)","41 Source Type",$C$5,"5 Source No.",$C1388,"4 Item Ledger Entry Type",$C$4,"2 Item No.","@@"&amp;$F1388,"3 Posting Date",Z$9)+NL("Sum","5802 Value Entry","17 Sales Amount (Actual)","41 Source Type",$C$5,"5 Source no.",$C1388,"4 Item Ledger Entry Type",$C$4,"2 Item No.","@@"&amp;$F1388,"3 Posting Date",Z$9)</t>
  </si>
  <si>
    <t>=-NL("Sum","5802 Value Entry","151 Cost Amount (Expected)","41 Source Type",$C$5,"5 Source No.",$C1388,"4 Item Ledger Entry Type",$C$4,"2 Item No.","@@"&amp;$F1388,"3 Posting Date",Z$9)-NL("Sum","5802 Value Entry","43 Cost Amount (Actual)","41 Source Type",$C$5,"5 Source no.",$C1388,"4 Item Ledger Entry Type",$C$4,"2 Item No.","@@"&amp;$F1388,"3 Posting Date",Z$9)</t>
  </si>
  <si>
    <t>=Z1388-AB1388</t>
  </si>
  <si>
    <t>=IF(Z1388&lt;&gt;0,AC1388/Z1388,"")</t>
  </si>
  <si>
    <t>=C1388</t>
  </si>
  <si>
    <t>=NL("Sum","5802 Value Entry","150 Sales Amount (Expected)","41 Source Type",$C$5,"5 Source No.",$C1389,"4 Item Ledger Entry Type",$C$4,"2 Item No.","@@"&amp;$F1389,"3 Posting Date",J$9)+NL("Sum","5802 Value Entry","17 Sales Amount (Actual)","41 Source Type",$C$5,"5 Source no.",$C1389,"4 Item Ledger Entry Type",$C$4,"2 Item No.","@@"&amp;$F1389,"3 Posting Date",J$9)</t>
  </si>
  <si>
    <t>=-NL("Sum","5802 Value Entry","151 Cost Amount (Expected)","41 Source Type",$C$5,"5 Source No.",$C1389,"4 Item Ledger Entry Type",$C$4,"2 Item No.","@@"&amp;$F1389,"3 Posting Date",J$9)-NL("Sum","5802 Value Entry","43 Cost Amount (Actual)","41 Source Type",$C$5,"5 Source no.",$C1389,"4 Item Ledger Entry Type",$C$4,"2 Item No.","@@"&amp;$F1389,"3 Posting Date",J$9)</t>
  </si>
  <si>
    <t>=J1389-L1389</t>
  </si>
  <si>
    <t>=IF(J1389&lt;&gt;0,M1389/J1389,"")</t>
  </si>
  <si>
    <t>=NL("Sum","5802 Value Entry","150 Sales Amount (Expected)","41 Source Type",$C$5,"5 Source No.",$C1389,"4 Item Ledger Entry Type",$C$4,"2 Item No.","@@"&amp;$F1389,"3 Posting Date",O$9)+NL("Sum","5802 Value Entry","17 Sales Amount (Actual)","41 Source Type",$C$5,"5 Source no.",$C1389,"4 Item Ledger Entry Type",$C$4,"2 Item No.","@@"&amp;$F1389,"3 Posting Date",O$9)</t>
  </si>
  <si>
    <t>=-NL("Sum","5802 Value Entry","151 Cost Amount (Expected)","41 Source Type",$C$5,"5 Source No.",$C1389,"4 Item Ledger Entry Type",$C$4,"2 Item No.","@@"&amp;$F1389,"3 Posting Date",O$9)-NL("Sum","5802 Value Entry","43 Cost Amount (Actual)","41 Source Type",$C$5,"5 Source no.",$C1389,"4 Item Ledger Entry Type",$C$4,"2 Item No.","@@"&amp;$F1389,"3 Posting Date",O$9)</t>
  </si>
  <si>
    <t>=O1389-Q1389</t>
  </si>
  <si>
    <t>=IF(O1389&lt;&gt;0,R1389/O1389,"")</t>
  </si>
  <si>
    <t>=NL("Sum","5802 Value Entry","150 Sales Amount (Expected)","41 Source Type",$C$5,"5 Source No.",$C1389,"4 Item Ledger Entry Type",$C$4,"2 Item No.","@@"&amp;$F1389,"3 Posting Date",U$9)+NL("Sum","5802 Value Entry","17 Sales Amount (Actual)","41 Source Type",$C$5,"5 Source no.",$C1389,"4 Item Ledger Entry Type",$C$4,"2 Item No.","@@"&amp;$F1389,"3 Posting Date",U$9)</t>
  </si>
  <si>
    <t>=-NL("Sum","5802 Value Entry","151 Cost Amount (Expected)","41 Source Type",$C$5,"5 Source No.",$C1389,"4 Item Ledger Entry Type",$C$4,"2 Item No.","@@"&amp;$F1389,"3 Posting Date",U$9)-NL("Sum","5802 Value Entry","43 Cost Amount (Actual)","41 Source Type",$C$5,"5 Source no.",$C1389,"4 Item Ledger Entry Type",$C$4,"2 Item No.","@@"&amp;$F1389,"3 Posting Date",U$9)</t>
  </si>
  <si>
    <t>=U1389-W1389</t>
  </si>
  <si>
    <t>=IF(U1389&lt;&gt;0,X1389/U1389,"")</t>
  </si>
  <si>
    <t>=NL("Sum","5802 Value Entry","150 Sales Amount (Expected)","41 Source Type",$C$5,"5 Source No.",$C1389,"4 Item Ledger Entry Type",$C$4,"2 Item No.","@@"&amp;$F1389,"3 Posting Date",Z$9)+NL("Sum","5802 Value Entry","17 Sales Amount (Actual)","41 Source Type",$C$5,"5 Source no.",$C1389,"4 Item Ledger Entry Type",$C$4,"2 Item No.","@@"&amp;$F1389,"3 Posting Date",Z$9)</t>
  </si>
  <si>
    <t>=-NL("Sum","5802 Value Entry","151 Cost Amount (Expected)","41 Source Type",$C$5,"5 Source No.",$C1389,"4 Item Ledger Entry Type",$C$4,"2 Item No.","@@"&amp;$F1389,"3 Posting Date",Z$9)-NL("Sum","5802 Value Entry","43 Cost Amount (Actual)","41 Source Type",$C$5,"5 Source no.",$C1389,"4 Item Ledger Entry Type",$C$4,"2 Item No.","@@"&amp;$F1389,"3 Posting Date",Z$9)</t>
  </si>
  <si>
    <t>=Z1389-AB1389</t>
  </si>
  <si>
    <t>=IF(Z1389&lt;&gt;0,AC1389/Z1389,"")</t>
  </si>
  <si>
    <t>=C1390</t>
  </si>
  <si>
    <t>=J1391-L1391</t>
  </si>
  <si>
    <t>=IF(J1391&lt;&gt;0,M1391/J1391,"")</t>
  </si>
  <si>
    <t>=O1391-Q1391</t>
  </si>
  <si>
    <t>=IF(O1391&lt;&gt;0,R1391/O1391,"")</t>
  </si>
  <si>
    <t>=U1391-W1391</t>
  </si>
  <si>
    <t>=IF(U1391&lt;&gt;0,X1391/U1391,"")</t>
  </si>
  <si>
    <t>=Z1391-AB1391</t>
  </si>
  <si>
    <t>=IF(Z1391&lt;&gt;0,AC1391/Z1391,"")</t>
  </si>
  <si>
    <t>=C1393</t>
  </si>
  <si>
    <t>=C1394</t>
  </si>
  <si>
    <t>=NL("Sum","5802 Value Entry","150 Sales Amount (Expected)","41 Source Type",$C$5,"5 Source No.",$C1395,"4 Item Ledger Entry Type",$C$4,"2 Item No.","@@"&amp;$F1395,"3 Posting Date",J$9)+NL("Sum","5802 Value Entry","17 Sales Amount (Actual)","41 Source Type",$C$5,"5 Source no.",$C1395,"4 Item Ledger Entry Type",$C$4,"2 Item No.","@@"&amp;$F1395,"3 Posting Date",J$9)</t>
  </si>
  <si>
    <t>=-NL("Sum","5802 Value Entry","151 Cost Amount (Expected)","41 Source Type",$C$5,"5 Source No.",$C1395,"4 Item Ledger Entry Type",$C$4,"2 Item No.","@@"&amp;$F1395,"3 Posting Date",J$9)-NL("Sum","5802 Value Entry","43 Cost Amount (Actual)","41 Source Type",$C$5,"5 Source no.",$C1395,"4 Item Ledger Entry Type",$C$4,"2 Item No.","@@"&amp;$F1395,"3 Posting Date",J$9)</t>
  </si>
  <si>
    <t>=J1395-L1395</t>
  </si>
  <si>
    <t>=IF(J1395&lt;&gt;0,M1395/J1395,"")</t>
  </si>
  <si>
    <t>=NL("Sum","5802 Value Entry","150 Sales Amount (Expected)","41 Source Type",$C$5,"5 Source No.",$C1395,"4 Item Ledger Entry Type",$C$4,"2 Item No.","@@"&amp;$F1395,"3 Posting Date",O$9)+NL("Sum","5802 Value Entry","17 Sales Amount (Actual)","41 Source Type",$C$5,"5 Source no.",$C1395,"4 Item Ledger Entry Type",$C$4,"2 Item No.","@@"&amp;$F1395,"3 Posting Date",O$9)</t>
  </si>
  <si>
    <t>=-NL("Sum","5802 Value Entry","151 Cost Amount (Expected)","41 Source Type",$C$5,"5 Source No.",$C1395,"4 Item Ledger Entry Type",$C$4,"2 Item No.","@@"&amp;$F1395,"3 Posting Date",O$9)-NL("Sum","5802 Value Entry","43 Cost Amount (Actual)","41 Source Type",$C$5,"5 Source no.",$C1395,"4 Item Ledger Entry Type",$C$4,"2 Item No.","@@"&amp;$F1395,"3 Posting Date",O$9)</t>
  </si>
  <si>
    <t>=O1395-Q1395</t>
  </si>
  <si>
    <t>=IF(O1395&lt;&gt;0,R1395/O1395,"")</t>
  </si>
  <si>
    <t>=NL("Sum","5802 Value Entry","150 Sales Amount (Expected)","41 Source Type",$C$5,"5 Source No.",$C1395,"4 Item Ledger Entry Type",$C$4,"2 Item No.","@@"&amp;$F1395,"3 Posting Date",U$9)+NL("Sum","5802 Value Entry","17 Sales Amount (Actual)","41 Source Type",$C$5,"5 Source no.",$C1395,"4 Item Ledger Entry Type",$C$4,"2 Item No.","@@"&amp;$F1395,"3 Posting Date",U$9)</t>
  </si>
  <si>
    <t>=-NL("Sum","5802 Value Entry","151 Cost Amount (Expected)","41 Source Type",$C$5,"5 Source No.",$C1395,"4 Item Ledger Entry Type",$C$4,"2 Item No.","@@"&amp;$F1395,"3 Posting Date",U$9)-NL("Sum","5802 Value Entry","43 Cost Amount (Actual)","41 Source Type",$C$5,"5 Source no.",$C1395,"4 Item Ledger Entry Type",$C$4,"2 Item No.","@@"&amp;$F1395,"3 Posting Date",U$9)</t>
  </si>
  <si>
    <t>=U1395-W1395</t>
  </si>
  <si>
    <t>=IF(U1395&lt;&gt;0,X1395/U1395,"")</t>
  </si>
  <si>
    <t>=NL("Sum","5802 Value Entry","150 Sales Amount (Expected)","41 Source Type",$C$5,"5 Source No.",$C1395,"4 Item Ledger Entry Type",$C$4,"2 Item No.","@@"&amp;$F1395,"3 Posting Date",Z$9)+NL("Sum","5802 Value Entry","17 Sales Amount (Actual)","41 Source Type",$C$5,"5 Source no.",$C1395,"4 Item Ledger Entry Type",$C$4,"2 Item No.","@@"&amp;$F1395,"3 Posting Date",Z$9)</t>
  </si>
  <si>
    <t>=-NL("Sum","5802 Value Entry","151 Cost Amount (Expected)","41 Source Type",$C$5,"5 Source No.",$C1395,"4 Item Ledger Entry Type",$C$4,"2 Item No.","@@"&amp;$F1395,"3 Posting Date",Z$9)-NL("Sum","5802 Value Entry","43 Cost Amount (Actual)","41 Source Type",$C$5,"5 Source no.",$C1395,"4 Item Ledger Entry Type",$C$4,"2 Item No.","@@"&amp;$F1395,"3 Posting Date",Z$9)</t>
  </si>
  <si>
    <t>=Z1395-AB1395</t>
  </si>
  <si>
    <t>=IF(Z1395&lt;&gt;0,AC1395/Z1395,"")</t>
  </si>
  <si>
    <t>=C1395</t>
  </si>
  <si>
    <t>=NL("Sum","5802 Value Entry","150 Sales Amount (Expected)","41 Source Type",$C$5,"5 Source No.",$C1396,"4 Item Ledger Entry Type",$C$4,"2 Item No.","@@"&amp;$F1396,"3 Posting Date",J$9)+NL("Sum","5802 Value Entry","17 Sales Amount (Actual)","41 Source Type",$C$5,"5 Source no.",$C1396,"4 Item Ledger Entry Type",$C$4,"2 Item No.","@@"&amp;$F1396,"3 Posting Date",J$9)</t>
  </si>
  <si>
    <t>=-NL("Sum","5802 Value Entry","151 Cost Amount (Expected)","41 Source Type",$C$5,"5 Source No.",$C1396,"4 Item Ledger Entry Type",$C$4,"2 Item No.","@@"&amp;$F1396,"3 Posting Date",J$9)-NL("Sum","5802 Value Entry","43 Cost Amount (Actual)","41 Source Type",$C$5,"5 Source no.",$C1396,"4 Item Ledger Entry Type",$C$4,"2 Item No.","@@"&amp;$F1396,"3 Posting Date",J$9)</t>
  </si>
  <si>
    <t>=J1396-L1396</t>
  </si>
  <si>
    <t>=IF(J1396&lt;&gt;0,M1396/J1396,"")</t>
  </si>
  <si>
    <t>=NL("Sum","5802 Value Entry","150 Sales Amount (Expected)","41 Source Type",$C$5,"5 Source No.",$C1396,"4 Item Ledger Entry Type",$C$4,"2 Item No.","@@"&amp;$F1396,"3 Posting Date",O$9)+NL("Sum","5802 Value Entry","17 Sales Amount (Actual)","41 Source Type",$C$5,"5 Source no.",$C1396,"4 Item Ledger Entry Type",$C$4,"2 Item No.","@@"&amp;$F1396,"3 Posting Date",O$9)</t>
  </si>
  <si>
    <t>=-NL("Sum","5802 Value Entry","151 Cost Amount (Expected)","41 Source Type",$C$5,"5 Source No.",$C1396,"4 Item Ledger Entry Type",$C$4,"2 Item No.","@@"&amp;$F1396,"3 Posting Date",O$9)-NL("Sum","5802 Value Entry","43 Cost Amount (Actual)","41 Source Type",$C$5,"5 Source no.",$C1396,"4 Item Ledger Entry Type",$C$4,"2 Item No.","@@"&amp;$F1396,"3 Posting Date",O$9)</t>
  </si>
  <si>
    <t>=O1396-Q1396</t>
  </si>
  <si>
    <t>=IF(O1396&lt;&gt;0,R1396/O1396,"")</t>
  </si>
  <si>
    <t>=NL("Sum","5802 Value Entry","150 Sales Amount (Expected)","41 Source Type",$C$5,"5 Source No.",$C1396,"4 Item Ledger Entry Type",$C$4,"2 Item No.","@@"&amp;$F1396,"3 Posting Date",U$9)+NL("Sum","5802 Value Entry","17 Sales Amount (Actual)","41 Source Type",$C$5,"5 Source no.",$C1396,"4 Item Ledger Entry Type",$C$4,"2 Item No.","@@"&amp;$F1396,"3 Posting Date",U$9)</t>
  </si>
  <si>
    <t>=-NL("Sum","5802 Value Entry","151 Cost Amount (Expected)","41 Source Type",$C$5,"5 Source No.",$C1396,"4 Item Ledger Entry Type",$C$4,"2 Item No.","@@"&amp;$F1396,"3 Posting Date",U$9)-NL("Sum","5802 Value Entry","43 Cost Amount (Actual)","41 Source Type",$C$5,"5 Source no.",$C1396,"4 Item Ledger Entry Type",$C$4,"2 Item No.","@@"&amp;$F1396,"3 Posting Date",U$9)</t>
  </si>
  <si>
    <t>=U1396-W1396</t>
  </si>
  <si>
    <t>=IF(U1396&lt;&gt;0,X1396/U1396,"")</t>
  </si>
  <si>
    <t>=NL("Sum","5802 Value Entry","150 Sales Amount (Expected)","41 Source Type",$C$5,"5 Source No.",$C1396,"4 Item Ledger Entry Type",$C$4,"2 Item No.","@@"&amp;$F1396,"3 Posting Date",Z$9)+NL("Sum","5802 Value Entry","17 Sales Amount (Actual)","41 Source Type",$C$5,"5 Source no.",$C1396,"4 Item Ledger Entry Type",$C$4,"2 Item No.","@@"&amp;$F1396,"3 Posting Date",Z$9)</t>
  </si>
  <si>
    <t>=-NL("Sum","5802 Value Entry","151 Cost Amount (Expected)","41 Source Type",$C$5,"5 Source No.",$C1396,"4 Item Ledger Entry Type",$C$4,"2 Item No.","@@"&amp;$F1396,"3 Posting Date",Z$9)-NL("Sum","5802 Value Entry","43 Cost Amount (Actual)","41 Source Type",$C$5,"5 Source no.",$C1396,"4 Item Ledger Entry Type",$C$4,"2 Item No.","@@"&amp;$F1396,"3 Posting Date",Z$9)</t>
  </si>
  <si>
    <t>=Z1396-AB1396</t>
  </si>
  <si>
    <t>=IF(Z1396&lt;&gt;0,AC1396/Z1396,"")</t>
  </si>
  <si>
    <t>=C1396</t>
  </si>
  <si>
    <t>=NL("Sum","5802 Value Entry","150 Sales Amount (Expected)","41 Source Type",$C$5,"5 Source No.",$C1397,"4 Item Ledger Entry Type",$C$4,"2 Item No.","@@"&amp;$F1397,"3 Posting Date",J$9)+NL("Sum","5802 Value Entry","17 Sales Amount (Actual)","41 Source Type",$C$5,"5 Source no.",$C1397,"4 Item Ledger Entry Type",$C$4,"2 Item No.","@@"&amp;$F1397,"3 Posting Date",J$9)</t>
  </si>
  <si>
    <t>=-NL("Sum","5802 Value Entry","151 Cost Amount (Expected)","41 Source Type",$C$5,"5 Source No.",$C1397,"4 Item Ledger Entry Type",$C$4,"2 Item No.","@@"&amp;$F1397,"3 Posting Date",J$9)-NL("Sum","5802 Value Entry","43 Cost Amount (Actual)","41 Source Type",$C$5,"5 Source no.",$C1397,"4 Item Ledger Entry Type",$C$4,"2 Item No.","@@"&amp;$F1397,"3 Posting Date",J$9)</t>
  </si>
  <si>
    <t>=J1397-L1397</t>
  </si>
  <si>
    <t>=IF(J1397&lt;&gt;0,M1397/J1397,"")</t>
  </si>
  <si>
    <t>=NL("Sum","5802 Value Entry","150 Sales Amount (Expected)","41 Source Type",$C$5,"5 Source No.",$C1397,"4 Item Ledger Entry Type",$C$4,"2 Item No.","@@"&amp;$F1397,"3 Posting Date",O$9)+NL("Sum","5802 Value Entry","17 Sales Amount (Actual)","41 Source Type",$C$5,"5 Source no.",$C1397,"4 Item Ledger Entry Type",$C$4,"2 Item No.","@@"&amp;$F1397,"3 Posting Date",O$9)</t>
  </si>
  <si>
    <t>=-NL("Sum","5802 Value Entry","151 Cost Amount (Expected)","41 Source Type",$C$5,"5 Source No.",$C1397,"4 Item Ledger Entry Type",$C$4,"2 Item No.","@@"&amp;$F1397,"3 Posting Date",O$9)-NL("Sum","5802 Value Entry","43 Cost Amount (Actual)","41 Source Type",$C$5,"5 Source no.",$C1397,"4 Item Ledger Entry Type",$C$4,"2 Item No.","@@"&amp;$F1397,"3 Posting Date",O$9)</t>
  </si>
  <si>
    <t>=O1397-Q1397</t>
  </si>
  <si>
    <t>=IF(O1397&lt;&gt;0,R1397/O1397,"")</t>
  </si>
  <si>
    <t>=NL("Sum","5802 Value Entry","150 Sales Amount (Expected)","41 Source Type",$C$5,"5 Source No.",$C1397,"4 Item Ledger Entry Type",$C$4,"2 Item No.","@@"&amp;$F1397,"3 Posting Date",U$9)+NL("Sum","5802 Value Entry","17 Sales Amount (Actual)","41 Source Type",$C$5,"5 Source no.",$C1397,"4 Item Ledger Entry Type",$C$4,"2 Item No.","@@"&amp;$F1397,"3 Posting Date",U$9)</t>
  </si>
  <si>
    <t>=-NL("Sum","5802 Value Entry","151 Cost Amount (Expected)","41 Source Type",$C$5,"5 Source No.",$C1397,"4 Item Ledger Entry Type",$C$4,"2 Item No.","@@"&amp;$F1397,"3 Posting Date",U$9)-NL("Sum","5802 Value Entry","43 Cost Amount (Actual)","41 Source Type",$C$5,"5 Source no.",$C1397,"4 Item Ledger Entry Type",$C$4,"2 Item No.","@@"&amp;$F1397,"3 Posting Date",U$9)</t>
  </si>
  <si>
    <t>=U1397-W1397</t>
  </si>
  <si>
    <t>=IF(U1397&lt;&gt;0,X1397/U1397,"")</t>
  </si>
  <si>
    <t>=NL("Sum","5802 Value Entry","150 Sales Amount (Expected)","41 Source Type",$C$5,"5 Source No.",$C1397,"4 Item Ledger Entry Type",$C$4,"2 Item No.","@@"&amp;$F1397,"3 Posting Date",Z$9)+NL("Sum","5802 Value Entry","17 Sales Amount (Actual)","41 Source Type",$C$5,"5 Source no.",$C1397,"4 Item Ledger Entry Type",$C$4,"2 Item No.","@@"&amp;$F1397,"3 Posting Date",Z$9)</t>
  </si>
  <si>
    <t>=-NL("Sum","5802 Value Entry","151 Cost Amount (Expected)","41 Source Type",$C$5,"5 Source No.",$C1397,"4 Item Ledger Entry Type",$C$4,"2 Item No.","@@"&amp;$F1397,"3 Posting Date",Z$9)-NL("Sum","5802 Value Entry","43 Cost Amount (Actual)","41 Source Type",$C$5,"5 Source no.",$C1397,"4 Item Ledger Entry Type",$C$4,"2 Item No.","@@"&amp;$F1397,"3 Posting Date",Z$9)</t>
  </si>
  <si>
    <t>=Z1397-AB1397</t>
  </si>
  <si>
    <t>=IF(Z1397&lt;&gt;0,AC1397/Z1397,"")</t>
  </si>
  <si>
    <t>=C1397</t>
  </si>
  <si>
    <t>=NL("Sum","5802 Value Entry","150 Sales Amount (Expected)","41 Source Type",$C$5,"5 Source No.",$C1398,"4 Item Ledger Entry Type",$C$4,"2 Item No.","@@"&amp;$F1398,"3 Posting Date",J$9)+NL("Sum","5802 Value Entry","17 Sales Amount (Actual)","41 Source Type",$C$5,"5 Source no.",$C1398,"4 Item Ledger Entry Type",$C$4,"2 Item No.","@@"&amp;$F1398,"3 Posting Date",J$9)</t>
  </si>
  <si>
    <t>=-NL("Sum","5802 Value Entry","151 Cost Amount (Expected)","41 Source Type",$C$5,"5 Source No.",$C1398,"4 Item Ledger Entry Type",$C$4,"2 Item No.","@@"&amp;$F1398,"3 Posting Date",J$9)-NL("Sum","5802 Value Entry","43 Cost Amount (Actual)","41 Source Type",$C$5,"5 Source no.",$C1398,"4 Item Ledger Entry Type",$C$4,"2 Item No.","@@"&amp;$F1398,"3 Posting Date",J$9)</t>
  </si>
  <si>
    <t>=J1398-L1398</t>
  </si>
  <si>
    <t>=IF(J1398&lt;&gt;0,M1398/J1398,"")</t>
  </si>
  <si>
    <t>=NL("Sum","5802 Value Entry","150 Sales Amount (Expected)","41 Source Type",$C$5,"5 Source No.",$C1398,"4 Item Ledger Entry Type",$C$4,"2 Item No.","@@"&amp;$F1398,"3 Posting Date",O$9)+NL("Sum","5802 Value Entry","17 Sales Amount (Actual)","41 Source Type",$C$5,"5 Source no.",$C1398,"4 Item Ledger Entry Type",$C$4,"2 Item No.","@@"&amp;$F1398,"3 Posting Date",O$9)</t>
  </si>
  <si>
    <t>=-NL("Sum","5802 Value Entry","151 Cost Amount (Expected)","41 Source Type",$C$5,"5 Source No.",$C1398,"4 Item Ledger Entry Type",$C$4,"2 Item No.","@@"&amp;$F1398,"3 Posting Date",O$9)-NL("Sum","5802 Value Entry","43 Cost Amount (Actual)","41 Source Type",$C$5,"5 Source no.",$C1398,"4 Item Ledger Entry Type",$C$4,"2 Item No.","@@"&amp;$F1398,"3 Posting Date",O$9)</t>
  </si>
  <si>
    <t>=O1398-Q1398</t>
  </si>
  <si>
    <t>=IF(O1398&lt;&gt;0,R1398/O1398,"")</t>
  </si>
  <si>
    <t>=NL("Sum","5802 Value Entry","150 Sales Amount (Expected)","41 Source Type",$C$5,"5 Source No.",$C1398,"4 Item Ledger Entry Type",$C$4,"2 Item No.","@@"&amp;$F1398,"3 Posting Date",U$9)+NL("Sum","5802 Value Entry","17 Sales Amount (Actual)","41 Source Type",$C$5,"5 Source no.",$C1398,"4 Item Ledger Entry Type",$C$4,"2 Item No.","@@"&amp;$F1398,"3 Posting Date",U$9)</t>
  </si>
  <si>
    <t>=-NL("Sum","5802 Value Entry","151 Cost Amount (Expected)","41 Source Type",$C$5,"5 Source No.",$C1398,"4 Item Ledger Entry Type",$C$4,"2 Item No.","@@"&amp;$F1398,"3 Posting Date",U$9)-NL("Sum","5802 Value Entry","43 Cost Amount (Actual)","41 Source Type",$C$5,"5 Source no.",$C1398,"4 Item Ledger Entry Type",$C$4,"2 Item No.","@@"&amp;$F1398,"3 Posting Date",U$9)</t>
  </si>
  <si>
    <t>=U1398-W1398</t>
  </si>
  <si>
    <t>=IF(U1398&lt;&gt;0,X1398/U1398,"")</t>
  </si>
  <si>
    <t>=NL("Sum","5802 Value Entry","150 Sales Amount (Expected)","41 Source Type",$C$5,"5 Source No.",$C1398,"4 Item Ledger Entry Type",$C$4,"2 Item No.","@@"&amp;$F1398,"3 Posting Date",Z$9)+NL("Sum","5802 Value Entry","17 Sales Amount (Actual)","41 Source Type",$C$5,"5 Source no.",$C1398,"4 Item Ledger Entry Type",$C$4,"2 Item No.","@@"&amp;$F1398,"3 Posting Date",Z$9)</t>
  </si>
  <si>
    <t>=-NL("Sum","5802 Value Entry","151 Cost Amount (Expected)","41 Source Type",$C$5,"5 Source No.",$C1398,"4 Item Ledger Entry Type",$C$4,"2 Item No.","@@"&amp;$F1398,"3 Posting Date",Z$9)-NL("Sum","5802 Value Entry","43 Cost Amount (Actual)","41 Source Type",$C$5,"5 Source no.",$C1398,"4 Item Ledger Entry Type",$C$4,"2 Item No.","@@"&amp;$F1398,"3 Posting Date",Z$9)</t>
  </si>
  <si>
    <t>=Z1398-AB1398</t>
  </si>
  <si>
    <t>=IF(Z1398&lt;&gt;0,AC1398/Z1398,"")</t>
  </si>
  <si>
    <t>=C1398</t>
  </si>
  <si>
    <t>=NL("Sum","5802 Value Entry","150 Sales Amount (Expected)","41 Source Type",$C$5,"5 Source No.",$C1399,"4 Item Ledger Entry Type",$C$4,"2 Item No.","@@"&amp;$F1399,"3 Posting Date",J$9)+NL("Sum","5802 Value Entry","17 Sales Amount (Actual)","41 Source Type",$C$5,"5 Source no.",$C1399,"4 Item Ledger Entry Type",$C$4,"2 Item No.","@@"&amp;$F1399,"3 Posting Date",J$9)</t>
  </si>
  <si>
    <t>=-NL("Sum","5802 Value Entry","151 Cost Amount (Expected)","41 Source Type",$C$5,"5 Source No.",$C1399,"4 Item Ledger Entry Type",$C$4,"2 Item No.","@@"&amp;$F1399,"3 Posting Date",J$9)-NL("Sum","5802 Value Entry","43 Cost Amount (Actual)","41 Source Type",$C$5,"5 Source no.",$C1399,"4 Item Ledger Entry Type",$C$4,"2 Item No.","@@"&amp;$F1399,"3 Posting Date",J$9)</t>
  </si>
  <si>
    <t>=J1399-L1399</t>
  </si>
  <si>
    <t>=IF(J1399&lt;&gt;0,M1399/J1399,"")</t>
  </si>
  <si>
    <t>=NL("Sum","5802 Value Entry","150 Sales Amount (Expected)","41 Source Type",$C$5,"5 Source No.",$C1399,"4 Item Ledger Entry Type",$C$4,"2 Item No.","@@"&amp;$F1399,"3 Posting Date",O$9)+NL("Sum","5802 Value Entry","17 Sales Amount (Actual)","41 Source Type",$C$5,"5 Source no.",$C1399,"4 Item Ledger Entry Type",$C$4,"2 Item No.","@@"&amp;$F1399,"3 Posting Date",O$9)</t>
  </si>
  <si>
    <t>=-NL("Sum","5802 Value Entry","151 Cost Amount (Expected)","41 Source Type",$C$5,"5 Source No.",$C1399,"4 Item Ledger Entry Type",$C$4,"2 Item No.","@@"&amp;$F1399,"3 Posting Date",O$9)-NL("Sum","5802 Value Entry","43 Cost Amount (Actual)","41 Source Type",$C$5,"5 Source no.",$C1399,"4 Item Ledger Entry Type",$C$4,"2 Item No.","@@"&amp;$F1399,"3 Posting Date",O$9)</t>
  </si>
  <si>
    <t>=O1399-Q1399</t>
  </si>
  <si>
    <t>=IF(O1399&lt;&gt;0,R1399/O1399,"")</t>
  </si>
  <si>
    <t>=NL("Sum","5802 Value Entry","150 Sales Amount (Expected)","41 Source Type",$C$5,"5 Source No.",$C1399,"4 Item Ledger Entry Type",$C$4,"2 Item No.","@@"&amp;$F1399,"3 Posting Date",U$9)+NL("Sum","5802 Value Entry","17 Sales Amount (Actual)","41 Source Type",$C$5,"5 Source no.",$C1399,"4 Item Ledger Entry Type",$C$4,"2 Item No.","@@"&amp;$F1399,"3 Posting Date",U$9)</t>
  </si>
  <si>
    <t>=-NL("Sum","5802 Value Entry","151 Cost Amount (Expected)","41 Source Type",$C$5,"5 Source No.",$C1399,"4 Item Ledger Entry Type",$C$4,"2 Item No.","@@"&amp;$F1399,"3 Posting Date",U$9)-NL("Sum","5802 Value Entry","43 Cost Amount (Actual)","41 Source Type",$C$5,"5 Source no.",$C1399,"4 Item Ledger Entry Type",$C$4,"2 Item No.","@@"&amp;$F1399,"3 Posting Date",U$9)</t>
  </si>
  <si>
    <t>=U1399-W1399</t>
  </si>
  <si>
    <t>=IF(U1399&lt;&gt;0,X1399/U1399,"")</t>
  </si>
  <si>
    <t>=NL("Sum","5802 Value Entry","150 Sales Amount (Expected)","41 Source Type",$C$5,"5 Source No.",$C1399,"4 Item Ledger Entry Type",$C$4,"2 Item No.","@@"&amp;$F1399,"3 Posting Date",Z$9)+NL("Sum","5802 Value Entry","17 Sales Amount (Actual)","41 Source Type",$C$5,"5 Source no.",$C1399,"4 Item Ledger Entry Type",$C$4,"2 Item No.","@@"&amp;$F1399,"3 Posting Date",Z$9)</t>
  </si>
  <si>
    <t>=-NL("Sum","5802 Value Entry","151 Cost Amount (Expected)","41 Source Type",$C$5,"5 Source No.",$C1399,"4 Item Ledger Entry Type",$C$4,"2 Item No.","@@"&amp;$F1399,"3 Posting Date",Z$9)-NL("Sum","5802 Value Entry","43 Cost Amount (Actual)","41 Source Type",$C$5,"5 Source no.",$C1399,"4 Item Ledger Entry Type",$C$4,"2 Item No.","@@"&amp;$F1399,"3 Posting Date",Z$9)</t>
  </si>
  <si>
    <t>=Z1399-AB1399</t>
  </si>
  <si>
    <t>=IF(Z1399&lt;&gt;0,AC1399/Z1399,"")</t>
  </si>
  <si>
    <t>=C1399</t>
  </si>
  <si>
    <t>=NL("Sum","5802 Value Entry","150 Sales Amount (Expected)","41 Source Type",$C$5,"5 Source No.",$C1400,"4 Item Ledger Entry Type",$C$4,"2 Item No.","@@"&amp;$F1400,"3 Posting Date",J$9)+NL("Sum","5802 Value Entry","17 Sales Amount (Actual)","41 Source Type",$C$5,"5 Source no.",$C1400,"4 Item Ledger Entry Type",$C$4,"2 Item No.","@@"&amp;$F1400,"3 Posting Date",J$9)</t>
  </si>
  <si>
    <t>=-NL("Sum","5802 Value Entry","151 Cost Amount (Expected)","41 Source Type",$C$5,"5 Source No.",$C1400,"4 Item Ledger Entry Type",$C$4,"2 Item No.","@@"&amp;$F1400,"3 Posting Date",J$9)-NL("Sum","5802 Value Entry","43 Cost Amount (Actual)","41 Source Type",$C$5,"5 Source no.",$C1400,"4 Item Ledger Entry Type",$C$4,"2 Item No.","@@"&amp;$F1400,"3 Posting Date",J$9)</t>
  </si>
  <si>
    <t>=J1400-L1400</t>
  </si>
  <si>
    <t>=IF(J1400&lt;&gt;0,M1400/J1400,"")</t>
  </si>
  <si>
    <t>=NL("Sum","5802 Value Entry","150 Sales Amount (Expected)","41 Source Type",$C$5,"5 Source No.",$C1400,"4 Item Ledger Entry Type",$C$4,"2 Item No.","@@"&amp;$F1400,"3 Posting Date",O$9)+NL("Sum","5802 Value Entry","17 Sales Amount (Actual)","41 Source Type",$C$5,"5 Source no.",$C1400,"4 Item Ledger Entry Type",$C$4,"2 Item No.","@@"&amp;$F1400,"3 Posting Date",O$9)</t>
  </si>
  <si>
    <t>=-NL("Sum","5802 Value Entry","151 Cost Amount (Expected)","41 Source Type",$C$5,"5 Source No.",$C1400,"4 Item Ledger Entry Type",$C$4,"2 Item No.","@@"&amp;$F1400,"3 Posting Date",O$9)-NL("Sum","5802 Value Entry","43 Cost Amount (Actual)","41 Source Type",$C$5,"5 Source no.",$C1400,"4 Item Ledger Entry Type",$C$4,"2 Item No.","@@"&amp;$F1400,"3 Posting Date",O$9)</t>
  </si>
  <si>
    <t>=O1400-Q1400</t>
  </si>
  <si>
    <t>=IF(O1400&lt;&gt;0,R1400/O1400,"")</t>
  </si>
  <si>
    <t>=NL("Sum","5802 Value Entry","150 Sales Amount (Expected)","41 Source Type",$C$5,"5 Source No.",$C1400,"4 Item Ledger Entry Type",$C$4,"2 Item No.","@@"&amp;$F1400,"3 Posting Date",U$9)+NL("Sum","5802 Value Entry","17 Sales Amount (Actual)","41 Source Type",$C$5,"5 Source no.",$C1400,"4 Item Ledger Entry Type",$C$4,"2 Item No.","@@"&amp;$F1400,"3 Posting Date",U$9)</t>
  </si>
  <si>
    <t>=-NL("Sum","5802 Value Entry","151 Cost Amount (Expected)","41 Source Type",$C$5,"5 Source No.",$C1400,"4 Item Ledger Entry Type",$C$4,"2 Item No.","@@"&amp;$F1400,"3 Posting Date",U$9)-NL("Sum","5802 Value Entry","43 Cost Amount (Actual)","41 Source Type",$C$5,"5 Source no.",$C1400,"4 Item Ledger Entry Type",$C$4,"2 Item No.","@@"&amp;$F1400,"3 Posting Date",U$9)</t>
  </si>
  <si>
    <t>=U1400-W1400</t>
  </si>
  <si>
    <t>=IF(U1400&lt;&gt;0,X1400/U1400,"")</t>
  </si>
  <si>
    <t>=NL("Sum","5802 Value Entry","150 Sales Amount (Expected)","41 Source Type",$C$5,"5 Source No.",$C1400,"4 Item Ledger Entry Type",$C$4,"2 Item No.","@@"&amp;$F1400,"3 Posting Date",Z$9)+NL("Sum","5802 Value Entry","17 Sales Amount (Actual)","41 Source Type",$C$5,"5 Source no.",$C1400,"4 Item Ledger Entry Type",$C$4,"2 Item No.","@@"&amp;$F1400,"3 Posting Date",Z$9)</t>
  </si>
  <si>
    <t>=-NL("Sum","5802 Value Entry","151 Cost Amount (Expected)","41 Source Type",$C$5,"5 Source No.",$C1400,"4 Item Ledger Entry Type",$C$4,"2 Item No.","@@"&amp;$F1400,"3 Posting Date",Z$9)-NL("Sum","5802 Value Entry","43 Cost Amount (Actual)","41 Source Type",$C$5,"5 Source no.",$C1400,"4 Item Ledger Entry Type",$C$4,"2 Item No.","@@"&amp;$F1400,"3 Posting Date",Z$9)</t>
  </si>
  <si>
    <t>=Z1400-AB1400</t>
  </si>
  <si>
    <t>=IF(Z1400&lt;&gt;0,AC1400/Z1400,"")</t>
  </si>
  <si>
    <t>=C1400</t>
  </si>
  <si>
    <t>=NL("Sum","5802 Value Entry","150 Sales Amount (Expected)","41 Source Type",$C$5,"5 Source No.",$C1401,"4 Item Ledger Entry Type",$C$4,"2 Item No.","@@"&amp;$F1401,"3 Posting Date",J$9)+NL("Sum","5802 Value Entry","17 Sales Amount (Actual)","41 Source Type",$C$5,"5 Source no.",$C1401,"4 Item Ledger Entry Type",$C$4,"2 Item No.","@@"&amp;$F1401,"3 Posting Date",J$9)</t>
  </si>
  <si>
    <t>=-NL("Sum","5802 Value Entry","151 Cost Amount (Expected)","41 Source Type",$C$5,"5 Source No.",$C1401,"4 Item Ledger Entry Type",$C$4,"2 Item No.","@@"&amp;$F1401,"3 Posting Date",J$9)-NL("Sum","5802 Value Entry","43 Cost Amount (Actual)","41 Source Type",$C$5,"5 Source no.",$C1401,"4 Item Ledger Entry Type",$C$4,"2 Item No.","@@"&amp;$F1401,"3 Posting Date",J$9)</t>
  </si>
  <si>
    <t>=J1401-L1401</t>
  </si>
  <si>
    <t>=IF(J1401&lt;&gt;0,M1401/J1401,"")</t>
  </si>
  <si>
    <t>=NL("Sum","5802 Value Entry","150 Sales Amount (Expected)","41 Source Type",$C$5,"5 Source No.",$C1401,"4 Item Ledger Entry Type",$C$4,"2 Item No.","@@"&amp;$F1401,"3 Posting Date",O$9)+NL("Sum","5802 Value Entry","17 Sales Amount (Actual)","41 Source Type",$C$5,"5 Source no.",$C1401,"4 Item Ledger Entry Type",$C$4,"2 Item No.","@@"&amp;$F1401,"3 Posting Date",O$9)</t>
  </si>
  <si>
    <t>=-NL("Sum","5802 Value Entry","151 Cost Amount (Expected)","41 Source Type",$C$5,"5 Source No.",$C1401,"4 Item Ledger Entry Type",$C$4,"2 Item No.","@@"&amp;$F1401,"3 Posting Date",O$9)-NL("Sum","5802 Value Entry","43 Cost Amount (Actual)","41 Source Type",$C$5,"5 Source no.",$C1401,"4 Item Ledger Entry Type",$C$4,"2 Item No.","@@"&amp;$F1401,"3 Posting Date",O$9)</t>
  </si>
  <si>
    <t>=O1401-Q1401</t>
  </si>
  <si>
    <t>=IF(O1401&lt;&gt;0,R1401/O1401,"")</t>
  </si>
  <si>
    <t>=NL("Sum","5802 Value Entry","150 Sales Amount (Expected)","41 Source Type",$C$5,"5 Source No.",$C1401,"4 Item Ledger Entry Type",$C$4,"2 Item No.","@@"&amp;$F1401,"3 Posting Date",U$9)+NL("Sum","5802 Value Entry","17 Sales Amount (Actual)","41 Source Type",$C$5,"5 Source no.",$C1401,"4 Item Ledger Entry Type",$C$4,"2 Item No.","@@"&amp;$F1401,"3 Posting Date",U$9)</t>
  </si>
  <si>
    <t>=-NL("Sum","5802 Value Entry","151 Cost Amount (Expected)","41 Source Type",$C$5,"5 Source No.",$C1401,"4 Item Ledger Entry Type",$C$4,"2 Item No.","@@"&amp;$F1401,"3 Posting Date",U$9)-NL("Sum","5802 Value Entry","43 Cost Amount (Actual)","41 Source Type",$C$5,"5 Source no.",$C1401,"4 Item Ledger Entry Type",$C$4,"2 Item No.","@@"&amp;$F1401,"3 Posting Date",U$9)</t>
  </si>
  <si>
    <t>=U1401-W1401</t>
  </si>
  <si>
    <t>=IF(U1401&lt;&gt;0,X1401/U1401,"")</t>
  </si>
  <si>
    <t>=NL("Sum","5802 Value Entry","150 Sales Amount (Expected)","41 Source Type",$C$5,"5 Source No.",$C1401,"4 Item Ledger Entry Type",$C$4,"2 Item No.","@@"&amp;$F1401,"3 Posting Date",Z$9)+NL("Sum","5802 Value Entry","17 Sales Amount (Actual)","41 Source Type",$C$5,"5 Source no.",$C1401,"4 Item Ledger Entry Type",$C$4,"2 Item No.","@@"&amp;$F1401,"3 Posting Date",Z$9)</t>
  </si>
  <si>
    <t>=-NL("Sum","5802 Value Entry","151 Cost Amount (Expected)","41 Source Type",$C$5,"5 Source No.",$C1401,"4 Item Ledger Entry Type",$C$4,"2 Item No.","@@"&amp;$F1401,"3 Posting Date",Z$9)-NL("Sum","5802 Value Entry","43 Cost Amount (Actual)","41 Source Type",$C$5,"5 Source no.",$C1401,"4 Item Ledger Entry Type",$C$4,"2 Item No.","@@"&amp;$F1401,"3 Posting Date",Z$9)</t>
  </si>
  <si>
    <t>=Z1401-AB1401</t>
  </si>
  <si>
    <t>=IF(Z1401&lt;&gt;0,AC1401/Z1401,"")</t>
  </si>
  <si>
    <t>=C1401</t>
  </si>
  <si>
    <t>=NL("Sum","5802 Value Entry","150 Sales Amount (Expected)","41 Source Type",$C$5,"5 Source No.",$C1402,"4 Item Ledger Entry Type",$C$4,"2 Item No.","@@"&amp;$F1402,"3 Posting Date",J$9)+NL("Sum","5802 Value Entry","17 Sales Amount (Actual)","41 Source Type",$C$5,"5 Source no.",$C1402,"4 Item Ledger Entry Type",$C$4,"2 Item No.","@@"&amp;$F1402,"3 Posting Date",J$9)</t>
  </si>
  <si>
    <t>=-NL("Sum","5802 Value Entry","151 Cost Amount (Expected)","41 Source Type",$C$5,"5 Source No.",$C1402,"4 Item Ledger Entry Type",$C$4,"2 Item No.","@@"&amp;$F1402,"3 Posting Date",J$9)-NL("Sum","5802 Value Entry","43 Cost Amount (Actual)","41 Source Type",$C$5,"5 Source no.",$C1402,"4 Item Ledger Entry Type",$C$4,"2 Item No.","@@"&amp;$F1402,"3 Posting Date",J$9)</t>
  </si>
  <si>
    <t>=J1402-L1402</t>
  </si>
  <si>
    <t>=IF(J1402&lt;&gt;0,M1402/J1402,"")</t>
  </si>
  <si>
    <t>=NL("Sum","5802 Value Entry","150 Sales Amount (Expected)","41 Source Type",$C$5,"5 Source No.",$C1402,"4 Item Ledger Entry Type",$C$4,"2 Item No.","@@"&amp;$F1402,"3 Posting Date",O$9)+NL("Sum","5802 Value Entry","17 Sales Amount (Actual)","41 Source Type",$C$5,"5 Source no.",$C1402,"4 Item Ledger Entry Type",$C$4,"2 Item No.","@@"&amp;$F1402,"3 Posting Date",O$9)</t>
  </si>
  <si>
    <t>=-NL("Sum","5802 Value Entry","151 Cost Amount (Expected)","41 Source Type",$C$5,"5 Source No.",$C1402,"4 Item Ledger Entry Type",$C$4,"2 Item No.","@@"&amp;$F1402,"3 Posting Date",O$9)-NL("Sum","5802 Value Entry","43 Cost Amount (Actual)","41 Source Type",$C$5,"5 Source no.",$C1402,"4 Item Ledger Entry Type",$C$4,"2 Item No.","@@"&amp;$F1402,"3 Posting Date",O$9)</t>
  </si>
  <si>
    <t>=O1402-Q1402</t>
  </si>
  <si>
    <t>=IF(O1402&lt;&gt;0,R1402/O1402,"")</t>
  </si>
  <si>
    <t>=NL("Sum","5802 Value Entry","150 Sales Amount (Expected)","41 Source Type",$C$5,"5 Source No.",$C1402,"4 Item Ledger Entry Type",$C$4,"2 Item No.","@@"&amp;$F1402,"3 Posting Date",U$9)+NL("Sum","5802 Value Entry","17 Sales Amount (Actual)","41 Source Type",$C$5,"5 Source no.",$C1402,"4 Item Ledger Entry Type",$C$4,"2 Item No.","@@"&amp;$F1402,"3 Posting Date",U$9)</t>
  </si>
  <si>
    <t>=-NL("Sum","5802 Value Entry","151 Cost Amount (Expected)","41 Source Type",$C$5,"5 Source No.",$C1402,"4 Item Ledger Entry Type",$C$4,"2 Item No.","@@"&amp;$F1402,"3 Posting Date",U$9)-NL("Sum","5802 Value Entry","43 Cost Amount (Actual)","41 Source Type",$C$5,"5 Source no.",$C1402,"4 Item Ledger Entry Type",$C$4,"2 Item No.","@@"&amp;$F1402,"3 Posting Date",U$9)</t>
  </si>
  <si>
    <t>=U1402-W1402</t>
  </si>
  <si>
    <t>=IF(U1402&lt;&gt;0,X1402/U1402,"")</t>
  </si>
  <si>
    <t>=NL("Sum","5802 Value Entry","150 Sales Amount (Expected)","41 Source Type",$C$5,"5 Source No.",$C1402,"4 Item Ledger Entry Type",$C$4,"2 Item No.","@@"&amp;$F1402,"3 Posting Date",Z$9)+NL("Sum","5802 Value Entry","17 Sales Amount (Actual)","41 Source Type",$C$5,"5 Source no.",$C1402,"4 Item Ledger Entry Type",$C$4,"2 Item No.","@@"&amp;$F1402,"3 Posting Date",Z$9)</t>
  </si>
  <si>
    <t>=-NL("Sum","5802 Value Entry","151 Cost Amount (Expected)","41 Source Type",$C$5,"5 Source No.",$C1402,"4 Item Ledger Entry Type",$C$4,"2 Item No.","@@"&amp;$F1402,"3 Posting Date",Z$9)-NL("Sum","5802 Value Entry","43 Cost Amount (Actual)","41 Source Type",$C$5,"5 Source no.",$C1402,"4 Item Ledger Entry Type",$C$4,"2 Item No.","@@"&amp;$F1402,"3 Posting Date",Z$9)</t>
  </si>
  <si>
    <t>=Z1402-AB1402</t>
  </si>
  <si>
    <t>=IF(Z1402&lt;&gt;0,AC1402/Z1402,"")</t>
  </si>
  <si>
    <t>=C1402</t>
  </si>
  <si>
    <t>=NL("Sum","5802 Value Entry","150 Sales Amount (Expected)","41 Source Type",$C$5,"5 Source No.",$C1403,"4 Item Ledger Entry Type",$C$4,"2 Item No.","@@"&amp;$F1403,"3 Posting Date",J$9)+NL("Sum","5802 Value Entry","17 Sales Amount (Actual)","41 Source Type",$C$5,"5 Source no.",$C1403,"4 Item Ledger Entry Type",$C$4,"2 Item No.","@@"&amp;$F1403,"3 Posting Date",J$9)</t>
  </si>
  <si>
    <t>=-NL("Sum","5802 Value Entry","151 Cost Amount (Expected)","41 Source Type",$C$5,"5 Source No.",$C1403,"4 Item Ledger Entry Type",$C$4,"2 Item No.","@@"&amp;$F1403,"3 Posting Date",J$9)-NL("Sum","5802 Value Entry","43 Cost Amount (Actual)","41 Source Type",$C$5,"5 Source no.",$C1403,"4 Item Ledger Entry Type",$C$4,"2 Item No.","@@"&amp;$F1403,"3 Posting Date",J$9)</t>
  </si>
  <si>
    <t>=J1403-L1403</t>
  </si>
  <si>
    <t>=IF(J1403&lt;&gt;0,M1403/J1403,"")</t>
  </si>
  <si>
    <t>=NL("Sum","5802 Value Entry","150 Sales Amount (Expected)","41 Source Type",$C$5,"5 Source No.",$C1403,"4 Item Ledger Entry Type",$C$4,"2 Item No.","@@"&amp;$F1403,"3 Posting Date",O$9)+NL("Sum","5802 Value Entry","17 Sales Amount (Actual)","41 Source Type",$C$5,"5 Source no.",$C1403,"4 Item Ledger Entry Type",$C$4,"2 Item No.","@@"&amp;$F1403,"3 Posting Date",O$9)</t>
  </si>
  <si>
    <t>=-NL("Sum","5802 Value Entry","151 Cost Amount (Expected)","41 Source Type",$C$5,"5 Source No.",$C1403,"4 Item Ledger Entry Type",$C$4,"2 Item No.","@@"&amp;$F1403,"3 Posting Date",O$9)-NL("Sum","5802 Value Entry","43 Cost Amount (Actual)","41 Source Type",$C$5,"5 Source no.",$C1403,"4 Item Ledger Entry Type",$C$4,"2 Item No.","@@"&amp;$F1403,"3 Posting Date",O$9)</t>
  </si>
  <si>
    <t>=O1403-Q1403</t>
  </si>
  <si>
    <t>=IF(O1403&lt;&gt;0,R1403/O1403,"")</t>
  </si>
  <si>
    <t>=NL("Sum","5802 Value Entry","150 Sales Amount (Expected)","41 Source Type",$C$5,"5 Source No.",$C1403,"4 Item Ledger Entry Type",$C$4,"2 Item No.","@@"&amp;$F1403,"3 Posting Date",U$9)+NL("Sum","5802 Value Entry","17 Sales Amount (Actual)","41 Source Type",$C$5,"5 Source no.",$C1403,"4 Item Ledger Entry Type",$C$4,"2 Item No.","@@"&amp;$F1403,"3 Posting Date",U$9)</t>
  </si>
  <si>
    <t>=-NL("Sum","5802 Value Entry","151 Cost Amount (Expected)","41 Source Type",$C$5,"5 Source No.",$C1403,"4 Item Ledger Entry Type",$C$4,"2 Item No.","@@"&amp;$F1403,"3 Posting Date",U$9)-NL("Sum","5802 Value Entry","43 Cost Amount (Actual)","41 Source Type",$C$5,"5 Source no.",$C1403,"4 Item Ledger Entry Type",$C$4,"2 Item No.","@@"&amp;$F1403,"3 Posting Date",U$9)</t>
  </si>
  <si>
    <t>=U1403-W1403</t>
  </si>
  <si>
    <t>=IF(U1403&lt;&gt;0,X1403/U1403,"")</t>
  </si>
  <si>
    <t>=NL("Sum","5802 Value Entry","150 Sales Amount (Expected)","41 Source Type",$C$5,"5 Source No.",$C1403,"4 Item Ledger Entry Type",$C$4,"2 Item No.","@@"&amp;$F1403,"3 Posting Date",Z$9)+NL("Sum","5802 Value Entry","17 Sales Amount (Actual)","41 Source Type",$C$5,"5 Source no.",$C1403,"4 Item Ledger Entry Type",$C$4,"2 Item No.","@@"&amp;$F1403,"3 Posting Date",Z$9)</t>
  </si>
  <si>
    <t>=-NL("Sum","5802 Value Entry","151 Cost Amount (Expected)","41 Source Type",$C$5,"5 Source No.",$C1403,"4 Item Ledger Entry Type",$C$4,"2 Item No.","@@"&amp;$F1403,"3 Posting Date",Z$9)-NL("Sum","5802 Value Entry","43 Cost Amount (Actual)","41 Source Type",$C$5,"5 Source no.",$C1403,"4 Item Ledger Entry Type",$C$4,"2 Item No.","@@"&amp;$F1403,"3 Posting Date",Z$9)</t>
  </si>
  <si>
    <t>=Z1403-AB1403</t>
  </si>
  <si>
    <t>=IF(Z1403&lt;&gt;0,AC1403/Z1403,"")</t>
  </si>
  <si>
    <t>=C1404</t>
  </si>
  <si>
    <t>=J1405-L1405</t>
  </si>
  <si>
    <t>=IF(J1405&lt;&gt;0,M1405/J1405,"")</t>
  </si>
  <si>
    <t>=O1405-Q1405</t>
  </si>
  <si>
    <t>=IF(O1405&lt;&gt;0,R1405/O1405,"")</t>
  </si>
  <si>
    <t>=U1405-W1405</t>
  </si>
  <si>
    <t>=IF(U1405&lt;&gt;0,X1405/U1405,"")</t>
  </si>
  <si>
    <t>=Z1405-AB1405</t>
  </si>
  <si>
    <t>=IF(Z1405&lt;&gt;0,AC1405/Z1405,"")</t>
  </si>
  <si>
    <t>=C1407</t>
  </si>
  <si>
    <t>=C1408</t>
  </si>
  <si>
    <t>=NL("Sum","5802 Value Entry","150 Sales Amount (Expected)","41 Source Type",$C$5,"5 Source No.",$C1409,"4 Item Ledger Entry Type",$C$4,"2 Item No.","@@"&amp;$F1409,"3 Posting Date",J$9)+NL("Sum","5802 Value Entry","17 Sales Amount (Actual)","41 Source Type",$C$5,"5 Source no.",$C1409,"4 Item Ledger Entry Type",$C$4,"2 Item No.","@@"&amp;$F1409,"3 Posting Date",J$9)</t>
  </si>
  <si>
    <t>=-NL("Sum","5802 Value Entry","151 Cost Amount (Expected)","41 Source Type",$C$5,"5 Source No.",$C1409,"4 Item Ledger Entry Type",$C$4,"2 Item No.","@@"&amp;$F1409,"3 Posting Date",J$9)-NL("Sum","5802 Value Entry","43 Cost Amount (Actual)","41 Source Type",$C$5,"5 Source no.",$C1409,"4 Item Ledger Entry Type",$C$4,"2 Item No.","@@"&amp;$F1409,"3 Posting Date",J$9)</t>
  </si>
  <si>
    <t>=J1409-L1409</t>
  </si>
  <si>
    <t>=IF(J1409&lt;&gt;0,M1409/J1409,"")</t>
  </si>
  <si>
    <t>=NL("Sum","5802 Value Entry","150 Sales Amount (Expected)","41 Source Type",$C$5,"5 Source No.",$C1409,"4 Item Ledger Entry Type",$C$4,"2 Item No.","@@"&amp;$F1409,"3 Posting Date",O$9)+NL("Sum","5802 Value Entry","17 Sales Amount (Actual)","41 Source Type",$C$5,"5 Source no.",$C1409,"4 Item Ledger Entry Type",$C$4,"2 Item No.","@@"&amp;$F1409,"3 Posting Date",O$9)</t>
  </si>
  <si>
    <t>=-NL("Sum","5802 Value Entry","151 Cost Amount (Expected)","41 Source Type",$C$5,"5 Source No.",$C1409,"4 Item Ledger Entry Type",$C$4,"2 Item No.","@@"&amp;$F1409,"3 Posting Date",O$9)-NL("Sum","5802 Value Entry","43 Cost Amount (Actual)","41 Source Type",$C$5,"5 Source no.",$C1409,"4 Item Ledger Entry Type",$C$4,"2 Item No.","@@"&amp;$F1409,"3 Posting Date",O$9)</t>
  </si>
  <si>
    <t>=O1409-Q1409</t>
  </si>
  <si>
    <t>=IF(O1409&lt;&gt;0,R1409/O1409,"")</t>
  </si>
  <si>
    <t>=NL("Sum","5802 Value Entry","150 Sales Amount (Expected)","41 Source Type",$C$5,"5 Source No.",$C1409,"4 Item Ledger Entry Type",$C$4,"2 Item No.","@@"&amp;$F1409,"3 Posting Date",U$9)+NL("Sum","5802 Value Entry","17 Sales Amount (Actual)","41 Source Type",$C$5,"5 Source no.",$C1409,"4 Item Ledger Entry Type",$C$4,"2 Item No.","@@"&amp;$F1409,"3 Posting Date",U$9)</t>
  </si>
  <si>
    <t>=-NL("Sum","5802 Value Entry","151 Cost Amount (Expected)","41 Source Type",$C$5,"5 Source No.",$C1409,"4 Item Ledger Entry Type",$C$4,"2 Item No.","@@"&amp;$F1409,"3 Posting Date",U$9)-NL("Sum","5802 Value Entry","43 Cost Amount (Actual)","41 Source Type",$C$5,"5 Source no.",$C1409,"4 Item Ledger Entry Type",$C$4,"2 Item No.","@@"&amp;$F1409,"3 Posting Date",U$9)</t>
  </si>
  <si>
    <t>=U1409-W1409</t>
  </si>
  <si>
    <t>=IF(U1409&lt;&gt;0,X1409/U1409,"")</t>
  </si>
  <si>
    <t>=NL("Sum","5802 Value Entry","150 Sales Amount (Expected)","41 Source Type",$C$5,"5 Source No.",$C1409,"4 Item Ledger Entry Type",$C$4,"2 Item No.","@@"&amp;$F1409,"3 Posting Date",Z$9)+NL("Sum","5802 Value Entry","17 Sales Amount (Actual)","41 Source Type",$C$5,"5 Source no.",$C1409,"4 Item Ledger Entry Type",$C$4,"2 Item No.","@@"&amp;$F1409,"3 Posting Date",Z$9)</t>
  </si>
  <si>
    <t>=-NL("Sum","5802 Value Entry","151 Cost Amount (Expected)","41 Source Type",$C$5,"5 Source No.",$C1409,"4 Item Ledger Entry Type",$C$4,"2 Item No.","@@"&amp;$F1409,"3 Posting Date",Z$9)-NL("Sum","5802 Value Entry","43 Cost Amount (Actual)","41 Source Type",$C$5,"5 Source no.",$C1409,"4 Item Ledger Entry Type",$C$4,"2 Item No.","@@"&amp;$F1409,"3 Posting Date",Z$9)</t>
  </si>
  <si>
    <t>=Z1409-AB1409</t>
  </si>
  <si>
    <t>=IF(Z1409&lt;&gt;0,AC1409/Z1409,"")</t>
  </si>
  <si>
    <t>=C1409</t>
  </si>
  <si>
    <t>=NL("Sum","5802 Value Entry","150 Sales Amount (Expected)","41 Source Type",$C$5,"5 Source No.",$C1410,"4 Item Ledger Entry Type",$C$4,"2 Item No.","@@"&amp;$F1410,"3 Posting Date",J$9)+NL("Sum","5802 Value Entry","17 Sales Amount (Actual)","41 Source Type",$C$5,"5 Source no.",$C1410,"4 Item Ledger Entry Type",$C$4,"2 Item No.","@@"&amp;$F1410,"3 Posting Date",J$9)</t>
  </si>
  <si>
    <t>=-NL("Sum","5802 Value Entry","151 Cost Amount (Expected)","41 Source Type",$C$5,"5 Source No.",$C1410,"4 Item Ledger Entry Type",$C$4,"2 Item No.","@@"&amp;$F1410,"3 Posting Date",J$9)-NL("Sum","5802 Value Entry","43 Cost Amount (Actual)","41 Source Type",$C$5,"5 Source no.",$C1410,"4 Item Ledger Entry Type",$C$4,"2 Item No.","@@"&amp;$F1410,"3 Posting Date",J$9)</t>
  </si>
  <si>
    <t>=J1410-L1410</t>
  </si>
  <si>
    <t>=IF(J1410&lt;&gt;0,M1410/J1410,"")</t>
  </si>
  <si>
    <t>=NL("Sum","5802 Value Entry","150 Sales Amount (Expected)","41 Source Type",$C$5,"5 Source No.",$C1410,"4 Item Ledger Entry Type",$C$4,"2 Item No.","@@"&amp;$F1410,"3 Posting Date",O$9)+NL("Sum","5802 Value Entry","17 Sales Amount (Actual)","41 Source Type",$C$5,"5 Source no.",$C1410,"4 Item Ledger Entry Type",$C$4,"2 Item No.","@@"&amp;$F1410,"3 Posting Date",O$9)</t>
  </si>
  <si>
    <t>=-NL("Sum","5802 Value Entry","151 Cost Amount (Expected)","41 Source Type",$C$5,"5 Source No.",$C1410,"4 Item Ledger Entry Type",$C$4,"2 Item No.","@@"&amp;$F1410,"3 Posting Date",O$9)-NL("Sum","5802 Value Entry","43 Cost Amount (Actual)","41 Source Type",$C$5,"5 Source no.",$C1410,"4 Item Ledger Entry Type",$C$4,"2 Item No.","@@"&amp;$F1410,"3 Posting Date",O$9)</t>
  </si>
  <si>
    <t>=O1410-Q1410</t>
  </si>
  <si>
    <t>=IF(O1410&lt;&gt;0,R1410/O1410,"")</t>
  </si>
  <si>
    <t>=NL("Sum","5802 Value Entry","150 Sales Amount (Expected)","41 Source Type",$C$5,"5 Source No.",$C1410,"4 Item Ledger Entry Type",$C$4,"2 Item No.","@@"&amp;$F1410,"3 Posting Date",U$9)+NL("Sum","5802 Value Entry","17 Sales Amount (Actual)","41 Source Type",$C$5,"5 Source no.",$C1410,"4 Item Ledger Entry Type",$C$4,"2 Item No.","@@"&amp;$F1410,"3 Posting Date",U$9)</t>
  </si>
  <si>
    <t>=-NL("Sum","5802 Value Entry","151 Cost Amount (Expected)","41 Source Type",$C$5,"5 Source No.",$C1410,"4 Item Ledger Entry Type",$C$4,"2 Item No.","@@"&amp;$F1410,"3 Posting Date",U$9)-NL("Sum","5802 Value Entry","43 Cost Amount (Actual)","41 Source Type",$C$5,"5 Source no.",$C1410,"4 Item Ledger Entry Type",$C$4,"2 Item No.","@@"&amp;$F1410,"3 Posting Date",U$9)</t>
  </si>
  <si>
    <t>=U1410-W1410</t>
  </si>
  <si>
    <t>=IF(U1410&lt;&gt;0,X1410/U1410,"")</t>
  </si>
  <si>
    <t>=NL("Sum","5802 Value Entry","150 Sales Amount (Expected)","41 Source Type",$C$5,"5 Source No.",$C1410,"4 Item Ledger Entry Type",$C$4,"2 Item No.","@@"&amp;$F1410,"3 Posting Date",Z$9)+NL("Sum","5802 Value Entry","17 Sales Amount (Actual)","41 Source Type",$C$5,"5 Source no.",$C1410,"4 Item Ledger Entry Type",$C$4,"2 Item No.","@@"&amp;$F1410,"3 Posting Date",Z$9)</t>
  </si>
  <si>
    <t>=-NL("Sum","5802 Value Entry","151 Cost Amount (Expected)","41 Source Type",$C$5,"5 Source No.",$C1410,"4 Item Ledger Entry Type",$C$4,"2 Item No.","@@"&amp;$F1410,"3 Posting Date",Z$9)-NL("Sum","5802 Value Entry","43 Cost Amount (Actual)","41 Source Type",$C$5,"5 Source no.",$C1410,"4 Item Ledger Entry Type",$C$4,"2 Item No.","@@"&amp;$F1410,"3 Posting Date",Z$9)</t>
  </si>
  <si>
    <t>=Z1410-AB1410</t>
  </si>
  <si>
    <t>=IF(Z1410&lt;&gt;0,AC1410/Z1410,"")</t>
  </si>
  <si>
    <t>=C1410</t>
  </si>
  <si>
    <t>=NL("Sum","5802 Value Entry","150 Sales Amount (Expected)","41 Source Type",$C$5,"5 Source No.",$C1411,"4 Item Ledger Entry Type",$C$4,"2 Item No.","@@"&amp;$F1411,"3 Posting Date",J$9)+NL("Sum","5802 Value Entry","17 Sales Amount (Actual)","41 Source Type",$C$5,"5 Source no.",$C1411,"4 Item Ledger Entry Type",$C$4,"2 Item No.","@@"&amp;$F1411,"3 Posting Date",J$9)</t>
  </si>
  <si>
    <t>=-NL("Sum","5802 Value Entry","151 Cost Amount (Expected)","41 Source Type",$C$5,"5 Source No.",$C1411,"4 Item Ledger Entry Type",$C$4,"2 Item No.","@@"&amp;$F1411,"3 Posting Date",J$9)-NL("Sum","5802 Value Entry","43 Cost Amount (Actual)","41 Source Type",$C$5,"5 Source no.",$C1411,"4 Item Ledger Entry Type",$C$4,"2 Item No.","@@"&amp;$F1411,"3 Posting Date",J$9)</t>
  </si>
  <si>
    <t>=J1411-L1411</t>
  </si>
  <si>
    <t>=IF(J1411&lt;&gt;0,M1411/J1411,"")</t>
  </si>
  <si>
    <t>=NL("Sum","5802 Value Entry","150 Sales Amount (Expected)","41 Source Type",$C$5,"5 Source No.",$C1411,"4 Item Ledger Entry Type",$C$4,"2 Item No.","@@"&amp;$F1411,"3 Posting Date",O$9)+NL("Sum","5802 Value Entry","17 Sales Amount (Actual)","41 Source Type",$C$5,"5 Source no.",$C1411,"4 Item Ledger Entry Type",$C$4,"2 Item No.","@@"&amp;$F1411,"3 Posting Date",O$9)</t>
  </si>
  <si>
    <t>=-NL("Sum","5802 Value Entry","151 Cost Amount (Expected)","41 Source Type",$C$5,"5 Source No.",$C1411,"4 Item Ledger Entry Type",$C$4,"2 Item No.","@@"&amp;$F1411,"3 Posting Date",O$9)-NL("Sum","5802 Value Entry","43 Cost Amount (Actual)","41 Source Type",$C$5,"5 Source no.",$C1411,"4 Item Ledger Entry Type",$C$4,"2 Item No.","@@"&amp;$F1411,"3 Posting Date",O$9)</t>
  </si>
  <si>
    <t>=O1411-Q1411</t>
  </si>
  <si>
    <t>=IF(O1411&lt;&gt;0,R1411/O1411,"")</t>
  </si>
  <si>
    <t>=NL("Sum","5802 Value Entry","150 Sales Amount (Expected)","41 Source Type",$C$5,"5 Source No.",$C1411,"4 Item Ledger Entry Type",$C$4,"2 Item No.","@@"&amp;$F1411,"3 Posting Date",U$9)+NL("Sum","5802 Value Entry","17 Sales Amount (Actual)","41 Source Type",$C$5,"5 Source no.",$C1411,"4 Item Ledger Entry Type",$C$4,"2 Item No.","@@"&amp;$F1411,"3 Posting Date",U$9)</t>
  </si>
  <si>
    <t>=-NL("Sum","5802 Value Entry","151 Cost Amount (Expected)","41 Source Type",$C$5,"5 Source No.",$C1411,"4 Item Ledger Entry Type",$C$4,"2 Item No.","@@"&amp;$F1411,"3 Posting Date",U$9)-NL("Sum","5802 Value Entry","43 Cost Amount (Actual)","41 Source Type",$C$5,"5 Source no.",$C1411,"4 Item Ledger Entry Type",$C$4,"2 Item No.","@@"&amp;$F1411,"3 Posting Date",U$9)</t>
  </si>
  <si>
    <t>=U1411-W1411</t>
  </si>
  <si>
    <t>=IF(U1411&lt;&gt;0,X1411/U1411,"")</t>
  </si>
  <si>
    <t>=NL("Sum","5802 Value Entry","150 Sales Amount (Expected)","41 Source Type",$C$5,"5 Source No.",$C1411,"4 Item Ledger Entry Type",$C$4,"2 Item No.","@@"&amp;$F1411,"3 Posting Date",Z$9)+NL("Sum","5802 Value Entry","17 Sales Amount (Actual)","41 Source Type",$C$5,"5 Source no.",$C1411,"4 Item Ledger Entry Type",$C$4,"2 Item No.","@@"&amp;$F1411,"3 Posting Date",Z$9)</t>
  </si>
  <si>
    <t>=-NL("Sum","5802 Value Entry","151 Cost Amount (Expected)","41 Source Type",$C$5,"5 Source No.",$C1411,"4 Item Ledger Entry Type",$C$4,"2 Item No.","@@"&amp;$F1411,"3 Posting Date",Z$9)-NL("Sum","5802 Value Entry","43 Cost Amount (Actual)","41 Source Type",$C$5,"5 Source no.",$C1411,"4 Item Ledger Entry Type",$C$4,"2 Item No.","@@"&amp;$F1411,"3 Posting Date",Z$9)</t>
  </si>
  <si>
    <t>=Z1411-AB1411</t>
  </si>
  <si>
    <t>=IF(Z1411&lt;&gt;0,AC1411/Z1411,"")</t>
  </si>
  <si>
    <t>=C1411</t>
  </si>
  <si>
    <t>=NL("Sum","5802 Value Entry","150 Sales Amount (Expected)","41 Source Type",$C$5,"5 Source No.",$C1412,"4 Item Ledger Entry Type",$C$4,"2 Item No.","@@"&amp;$F1412,"3 Posting Date",J$9)+NL("Sum","5802 Value Entry","17 Sales Amount (Actual)","41 Source Type",$C$5,"5 Source no.",$C1412,"4 Item Ledger Entry Type",$C$4,"2 Item No.","@@"&amp;$F1412,"3 Posting Date",J$9)</t>
  </si>
  <si>
    <t>=-NL("Sum","5802 Value Entry","151 Cost Amount (Expected)","41 Source Type",$C$5,"5 Source No.",$C1412,"4 Item Ledger Entry Type",$C$4,"2 Item No.","@@"&amp;$F1412,"3 Posting Date",J$9)-NL("Sum","5802 Value Entry","43 Cost Amount (Actual)","41 Source Type",$C$5,"5 Source no.",$C1412,"4 Item Ledger Entry Type",$C$4,"2 Item No.","@@"&amp;$F1412,"3 Posting Date",J$9)</t>
  </si>
  <si>
    <t>=J1412-L1412</t>
  </si>
  <si>
    <t>=IF(J1412&lt;&gt;0,M1412/J1412,"")</t>
  </si>
  <si>
    <t>=NL("Sum","5802 Value Entry","150 Sales Amount (Expected)","41 Source Type",$C$5,"5 Source No.",$C1412,"4 Item Ledger Entry Type",$C$4,"2 Item No.","@@"&amp;$F1412,"3 Posting Date",O$9)+NL("Sum","5802 Value Entry","17 Sales Amount (Actual)","41 Source Type",$C$5,"5 Source no.",$C1412,"4 Item Ledger Entry Type",$C$4,"2 Item No.","@@"&amp;$F1412,"3 Posting Date",O$9)</t>
  </si>
  <si>
    <t>=-NL("Sum","5802 Value Entry","151 Cost Amount (Expected)","41 Source Type",$C$5,"5 Source No.",$C1412,"4 Item Ledger Entry Type",$C$4,"2 Item No.","@@"&amp;$F1412,"3 Posting Date",O$9)-NL("Sum","5802 Value Entry","43 Cost Amount (Actual)","41 Source Type",$C$5,"5 Source no.",$C1412,"4 Item Ledger Entry Type",$C$4,"2 Item No.","@@"&amp;$F1412,"3 Posting Date",O$9)</t>
  </si>
  <si>
    <t>=O1412-Q1412</t>
  </si>
  <si>
    <t>=IF(O1412&lt;&gt;0,R1412/O1412,"")</t>
  </si>
  <si>
    <t>=NL("Sum","5802 Value Entry","150 Sales Amount (Expected)","41 Source Type",$C$5,"5 Source No.",$C1412,"4 Item Ledger Entry Type",$C$4,"2 Item No.","@@"&amp;$F1412,"3 Posting Date",U$9)+NL("Sum","5802 Value Entry","17 Sales Amount (Actual)","41 Source Type",$C$5,"5 Source no.",$C1412,"4 Item Ledger Entry Type",$C$4,"2 Item No.","@@"&amp;$F1412,"3 Posting Date",U$9)</t>
  </si>
  <si>
    <t>=-NL("Sum","5802 Value Entry","151 Cost Amount (Expected)","41 Source Type",$C$5,"5 Source No.",$C1412,"4 Item Ledger Entry Type",$C$4,"2 Item No.","@@"&amp;$F1412,"3 Posting Date",U$9)-NL("Sum","5802 Value Entry","43 Cost Amount (Actual)","41 Source Type",$C$5,"5 Source no.",$C1412,"4 Item Ledger Entry Type",$C$4,"2 Item No.","@@"&amp;$F1412,"3 Posting Date",U$9)</t>
  </si>
  <si>
    <t>=U1412-W1412</t>
  </si>
  <si>
    <t>=IF(U1412&lt;&gt;0,X1412/U1412,"")</t>
  </si>
  <si>
    <t>=NL("Sum","5802 Value Entry","150 Sales Amount (Expected)","41 Source Type",$C$5,"5 Source No.",$C1412,"4 Item Ledger Entry Type",$C$4,"2 Item No.","@@"&amp;$F1412,"3 Posting Date",Z$9)+NL("Sum","5802 Value Entry","17 Sales Amount (Actual)","41 Source Type",$C$5,"5 Source no.",$C1412,"4 Item Ledger Entry Type",$C$4,"2 Item No.","@@"&amp;$F1412,"3 Posting Date",Z$9)</t>
  </si>
  <si>
    <t>=-NL("Sum","5802 Value Entry","151 Cost Amount (Expected)","41 Source Type",$C$5,"5 Source No.",$C1412,"4 Item Ledger Entry Type",$C$4,"2 Item No.","@@"&amp;$F1412,"3 Posting Date",Z$9)-NL("Sum","5802 Value Entry","43 Cost Amount (Actual)","41 Source Type",$C$5,"5 Source no.",$C1412,"4 Item Ledger Entry Type",$C$4,"2 Item No.","@@"&amp;$F1412,"3 Posting Date",Z$9)</t>
  </si>
  <si>
    <t>=Z1412-AB1412</t>
  </si>
  <si>
    <t>=IF(Z1412&lt;&gt;0,AC1412/Z1412,"")</t>
  </si>
  <si>
    <t>=C1413</t>
  </si>
  <si>
    <t>=J1414-L1414</t>
  </si>
  <si>
    <t>=IF(J1414&lt;&gt;0,M1414/J1414,"")</t>
  </si>
  <si>
    <t>=O1414-Q1414</t>
  </si>
  <si>
    <t>=IF(O1414&lt;&gt;0,R1414/O1414,"")</t>
  </si>
  <si>
    <t>=U1414-W1414</t>
  </si>
  <si>
    <t>=IF(U1414&lt;&gt;0,X1414/U1414,"")</t>
  </si>
  <si>
    <t>=Z1414-AB1414</t>
  </si>
  <si>
    <t>=IF(Z1414&lt;&gt;0,AC1414/Z1414,"")</t>
  </si>
  <si>
    <t>="C100081"</t>
  </si>
  <si>
    <t>=C1416</t>
  </si>
  <si>
    <t>=C1417</t>
  </si>
  <si>
    <t>=NL("Sum","5802 Value Entry","150 Sales Amount (Expected)","41 Source Type",$C$5,"5 Source No.",$C1418,"4 Item Ledger Entry Type",$C$4,"2 Item No.","@@"&amp;$F1418,"3 Posting Date",J$9)+NL("Sum","5802 Value Entry","17 Sales Amount (Actual)","41 Source Type",$C$5,"5 Source no.",$C1418,"4 Item Ledger Entry Type",$C$4,"2 Item No.","@@"&amp;$F1418,"3 Posting Date",J$9)</t>
  </si>
  <si>
    <t>=-NL("Sum","5802 Value Entry","151 Cost Amount (Expected)","41 Source Type",$C$5,"5 Source No.",$C1418,"4 Item Ledger Entry Type",$C$4,"2 Item No.","@@"&amp;$F1418,"3 Posting Date",J$9)-NL("Sum","5802 Value Entry","43 Cost Amount (Actual)","41 Source Type",$C$5,"5 Source no.",$C1418,"4 Item Ledger Entry Type",$C$4,"2 Item No.","@@"&amp;$F1418,"3 Posting Date",J$9)</t>
  </si>
  <si>
    <t>=J1418-L1418</t>
  </si>
  <si>
    <t>=IF(J1418&lt;&gt;0,M1418/J1418,"")</t>
  </si>
  <si>
    <t>=NL("Sum","5802 Value Entry","150 Sales Amount (Expected)","41 Source Type",$C$5,"5 Source No.",$C1418,"4 Item Ledger Entry Type",$C$4,"2 Item No.","@@"&amp;$F1418,"3 Posting Date",O$9)+NL("Sum","5802 Value Entry","17 Sales Amount (Actual)","41 Source Type",$C$5,"5 Source no.",$C1418,"4 Item Ledger Entry Type",$C$4,"2 Item No.","@@"&amp;$F1418,"3 Posting Date",O$9)</t>
  </si>
  <si>
    <t>=-NL("Sum","5802 Value Entry","151 Cost Amount (Expected)","41 Source Type",$C$5,"5 Source No.",$C1418,"4 Item Ledger Entry Type",$C$4,"2 Item No.","@@"&amp;$F1418,"3 Posting Date",O$9)-NL("Sum","5802 Value Entry","43 Cost Amount (Actual)","41 Source Type",$C$5,"5 Source no.",$C1418,"4 Item Ledger Entry Type",$C$4,"2 Item No.","@@"&amp;$F1418,"3 Posting Date",O$9)</t>
  </si>
  <si>
    <t>=O1418-Q1418</t>
  </si>
  <si>
    <t>=IF(O1418&lt;&gt;0,R1418/O1418,"")</t>
  </si>
  <si>
    <t>=NL("Sum","5802 Value Entry","150 Sales Amount (Expected)","41 Source Type",$C$5,"5 Source No.",$C1418,"4 Item Ledger Entry Type",$C$4,"2 Item No.","@@"&amp;$F1418,"3 Posting Date",U$9)+NL("Sum","5802 Value Entry","17 Sales Amount (Actual)","41 Source Type",$C$5,"5 Source no.",$C1418,"4 Item Ledger Entry Type",$C$4,"2 Item No.","@@"&amp;$F1418,"3 Posting Date",U$9)</t>
  </si>
  <si>
    <t>=-NL("Sum","5802 Value Entry","151 Cost Amount (Expected)","41 Source Type",$C$5,"5 Source No.",$C1418,"4 Item Ledger Entry Type",$C$4,"2 Item No.","@@"&amp;$F1418,"3 Posting Date",U$9)-NL("Sum","5802 Value Entry","43 Cost Amount (Actual)","41 Source Type",$C$5,"5 Source no.",$C1418,"4 Item Ledger Entry Type",$C$4,"2 Item No.","@@"&amp;$F1418,"3 Posting Date",U$9)</t>
  </si>
  <si>
    <t>=U1418-W1418</t>
  </si>
  <si>
    <t>=IF(U1418&lt;&gt;0,X1418/U1418,"")</t>
  </si>
  <si>
    <t>=NL("Sum","5802 Value Entry","150 Sales Amount (Expected)","41 Source Type",$C$5,"5 Source No.",$C1418,"4 Item Ledger Entry Type",$C$4,"2 Item No.","@@"&amp;$F1418,"3 Posting Date",Z$9)+NL("Sum","5802 Value Entry","17 Sales Amount (Actual)","41 Source Type",$C$5,"5 Source no.",$C1418,"4 Item Ledger Entry Type",$C$4,"2 Item No.","@@"&amp;$F1418,"3 Posting Date",Z$9)</t>
  </si>
  <si>
    <t>=-NL("Sum","5802 Value Entry","151 Cost Amount (Expected)","41 Source Type",$C$5,"5 Source No.",$C1418,"4 Item Ledger Entry Type",$C$4,"2 Item No.","@@"&amp;$F1418,"3 Posting Date",Z$9)-NL("Sum","5802 Value Entry","43 Cost Amount (Actual)","41 Source Type",$C$5,"5 Source no.",$C1418,"4 Item Ledger Entry Type",$C$4,"2 Item No.","@@"&amp;$F1418,"3 Posting Date",Z$9)</t>
  </si>
  <si>
    <t>=Z1418-AB1418</t>
  </si>
  <si>
    <t>=IF(Z1418&lt;&gt;0,AC1418/Z1418,"")</t>
  </si>
  <si>
    <t>=C1418</t>
  </si>
  <si>
    <t>=NL("Sum","5802 Value Entry","150 Sales Amount (Expected)","41 Source Type",$C$5,"5 Source No.",$C1419,"4 Item Ledger Entry Type",$C$4,"2 Item No.","@@"&amp;$F1419,"3 Posting Date",J$9)+NL("Sum","5802 Value Entry","17 Sales Amount (Actual)","41 Source Type",$C$5,"5 Source no.",$C1419,"4 Item Ledger Entry Type",$C$4,"2 Item No.","@@"&amp;$F1419,"3 Posting Date",J$9)</t>
  </si>
  <si>
    <t>=-NL("Sum","5802 Value Entry","151 Cost Amount (Expected)","41 Source Type",$C$5,"5 Source No.",$C1419,"4 Item Ledger Entry Type",$C$4,"2 Item No.","@@"&amp;$F1419,"3 Posting Date",J$9)-NL("Sum","5802 Value Entry","43 Cost Amount (Actual)","41 Source Type",$C$5,"5 Source no.",$C1419,"4 Item Ledger Entry Type",$C$4,"2 Item No.","@@"&amp;$F1419,"3 Posting Date",J$9)</t>
  </si>
  <si>
    <t>=J1419-L1419</t>
  </si>
  <si>
    <t>=IF(J1419&lt;&gt;0,M1419/J1419,"")</t>
  </si>
  <si>
    <t>=NL("Sum","5802 Value Entry","150 Sales Amount (Expected)","41 Source Type",$C$5,"5 Source No.",$C1419,"4 Item Ledger Entry Type",$C$4,"2 Item No.","@@"&amp;$F1419,"3 Posting Date",O$9)+NL("Sum","5802 Value Entry","17 Sales Amount (Actual)","41 Source Type",$C$5,"5 Source no.",$C1419,"4 Item Ledger Entry Type",$C$4,"2 Item No.","@@"&amp;$F1419,"3 Posting Date",O$9)</t>
  </si>
  <si>
    <t>=-NL("Sum","5802 Value Entry","151 Cost Amount (Expected)","41 Source Type",$C$5,"5 Source No.",$C1419,"4 Item Ledger Entry Type",$C$4,"2 Item No.","@@"&amp;$F1419,"3 Posting Date",O$9)-NL("Sum","5802 Value Entry","43 Cost Amount (Actual)","41 Source Type",$C$5,"5 Source no.",$C1419,"4 Item Ledger Entry Type",$C$4,"2 Item No.","@@"&amp;$F1419,"3 Posting Date",O$9)</t>
  </si>
  <si>
    <t>=O1419-Q1419</t>
  </si>
  <si>
    <t>=IF(O1419&lt;&gt;0,R1419/O1419,"")</t>
  </si>
  <si>
    <t>=NL("Sum","5802 Value Entry","150 Sales Amount (Expected)","41 Source Type",$C$5,"5 Source No.",$C1419,"4 Item Ledger Entry Type",$C$4,"2 Item No.","@@"&amp;$F1419,"3 Posting Date",U$9)+NL("Sum","5802 Value Entry","17 Sales Amount (Actual)","41 Source Type",$C$5,"5 Source no.",$C1419,"4 Item Ledger Entry Type",$C$4,"2 Item No.","@@"&amp;$F1419,"3 Posting Date",U$9)</t>
  </si>
  <si>
    <t>=-NL("Sum","5802 Value Entry","151 Cost Amount (Expected)","41 Source Type",$C$5,"5 Source No.",$C1419,"4 Item Ledger Entry Type",$C$4,"2 Item No.","@@"&amp;$F1419,"3 Posting Date",U$9)-NL("Sum","5802 Value Entry","43 Cost Amount (Actual)","41 Source Type",$C$5,"5 Source no.",$C1419,"4 Item Ledger Entry Type",$C$4,"2 Item No.","@@"&amp;$F1419,"3 Posting Date",U$9)</t>
  </si>
  <si>
    <t>=U1419-W1419</t>
  </si>
  <si>
    <t>=IF(U1419&lt;&gt;0,X1419/U1419,"")</t>
  </si>
  <si>
    <t>=NL("Sum","5802 Value Entry","150 Sales Amount (Expected)","41 Source Type",$C$5,"5 Source No.",$C1419,"4 Item Ledger Entry Type",$C$4,"2 Item No.","@@"&amp;$F1419,"3 Posting Date",Z$9)+NL("Sum","5802 Value Entry","17 Sales Amount (Actual)","41 Source Type",$C$5,"5 Source no.",$C1419,"4 Item Ledger Entry Type",$C$4,"2 Item No.","@@"&amp;$F1419,"3 Posting Date",Z$9)</t>
  </si>
  <si>
    <t>=-NL("Sum","5802 Value Entry","151 Cost Amount (Expected)","41 Source Type",$C$5,"5 Source No.",$C1419,"4 Item Ledger Entry Type",$C$4,"2 Item No.","@@"&amp;$F1419,"3 Posting Date",Z$9)-NL("Sum","5802 Value Entry","43 Cost Amount (Actual)","41 Source Type",$C$5,"5 Source no.",$C1419,"4 Item Ledger Entry Type",$C$4,"2 Item No.","@@"&amp;$F1419,"3 Posting Date",Z$9)</t>
  </si>
  <si>
    <t>=Z1419-AB1419</t>
  </si>
  <si>
    <t>=IF(Z1419&lt;&gt;0,AC1419/Z1419,"")</t>
  </si>
  <si>
    <t>=C1419</t>
  </si>
  <si>
    <t>=NL("Sum","5802 Value Entry","150 Sales Amount (Expected)","41 Source Type",$C$5,"5 Source No.",$C1420,"4 Item Ledger Entry Type",$C$4,"2 Item No.","@@"&amp;$F1420,"3 Posting Date",J$9)+NL("Sum","5802 Value Entry","17 Sales Amount (Actual)","41 Source Type",$C$5,"5 Source no.",$C1420,"4 Item Ledger Entry Type",$C$4,"2 Item No.","@@"&amp;$F1420,"3 Posting Date",J$9)</t>
  </si>
  <si>
    <t>=-NL("Sum","5802 Value Entry","151 Cost Amount (Expected)","41 Source Type",$C$5,"5 Source No.",$C1420,"4 Item Ledger Entry Type",$C$4,"2 Item No.","@@"&amp;$F1420,"3 Posting Date",J$9)-NL("Sum","5802 Value Entry","43 Cost Amount (Actual)","41 Source Type",$C$5,"5 Source no.",$C1420,"4 Item Ledger Entry Type",$C$4,"2 Item No.","@@"&amp;$F1420,"3 Posting Date",J$9)</t>
  </si>
  <si>
    <t>=J1420-L1420</t>
  </si>
  <si>
    <t>=IF(J1420&lt;&gt;0,M1420/J1420,"")</t>
  </si>
  <si>
    <t>=NL("Sum","5802 Value Entry","150 Sales Amount (Expected)","41 Source Type",$C$5,"5 Source No.",$C1420,"4 Item Ledger Entry Type",$C$4,"2 Item No.","@@"&amp;$F1420,"3 Posting Date",O$9)+NL("Sum","5802 Value Entry","17 Sales Amount (Actual)","41 Source Type",$C$5,"5 Source no.",$C1420,"4 Item Ledger Entry Type",$C$4,"2 Item No.","@@"&amp;$F1420,"3 Posting Date",O$9)</t>
  </si>
  <si>
    <t>=-NL("Sum","5802 Value Entry","151 Cost Amount (Expected)","41 Source Type",$C$5,"5 Source No.",$C1420,"4 Item Ledger Entry Type",$C$4,"2 Item No.","@@"&amp;$F1420,"3 Posting Date",O$9)-NL("Sum","5802 Value Entry","43 Cost Amount (Actual)","41 Source Type",$C$5,"5 Source no.",$C1420,"4 Item Ledger Entry Type",$C$4,"2 Item No.","@@"&amp;$F1420,"3 Posting Date",O$9)</t>
  </si>
  <si>
    <t>=O1420-Q1420</t>
  </si>
  <si>
    <t>=IF(O1420&lt;&gt;0,R1420/O1420,"")</t>
  </si>
  <si>
    <t>=NL("Sum","5802 Value Entry","150 Sales Amount (Expected)","41 Source Type",$C$5,"5 Source No.",$C1420,"4 Item Ledger Entry Type",$C$4,"2 Item No.","@@"&amp;$F1420,"3 Posting Date",U$9)+NL("Sum","5802 Value Entry","17 Sales Amount (Actual)","41 Source Type",$C$5,"5 Source no.",$C1420,"4 Item Ledger Entry Type",$C$4,"2 Item No.","@@"&amp;$F1420,"3 Posting Date",U$9)</t>
  </si>
  <si>
    <t>=-NL("Sum","5802 Value Entry","151 Cost Amount (Expected)","41 Source Type",$C$5,"5 Source No.",$C1420,"4 Item Ledger Entry Type",$C$4,"2 Item No.","@@"&amp;$F1420,"3 Posting Date",U$9)-NL("Sum","5802 Value Entry","43 Cost Amount (Actual)","41 Source Type",$C$5,"5 Source no.",$C1420,"4 Item Ledger Entry Type",$C$4,"2 Item No.","@@"&amp;$F1420,"3 Posting Date",U$9)</t>
  </si>
  <si>
    <t>=U1420-W1420</t>
  </si>
  <si>
    <t>=IF(U1420&lt;&gt;0,X1420/U1420,"")</t>
  </si>
  <si>
    <t>=NL("Sum","5802 Value Entry","150 Sales Amount (Expected)","41 Source Type",$C$5,"5 Source No.",$C1420,"4 Item Ledger Entry Type",$C$4,"2 Item No.","@@"&amp;$F1420,"3 Posting Date",Z$9)+NL("Sum","5802 Value Entry","17 Sales Amount (Actual)","41 Source Type",$C$5,"5 Source no.",$C1420,"4 Item Ledger Entry Type",$C$4,"2 Item No.","@@"&amp;$F1420,"3 Posting Date",Z$9)</t>
  </si>
  <si>
    <t>=-NL("Sum","5802 Value Entry","151 Cost Amount (Expected)","41 Source Type",$C$5,"5 Source No.",$C1420,"4 Item Ledger Entry Type",$C$4,"2 Item No.","@@"&amp;$F1420,"3 Posting Date",Z$9)-NL("Sum","5802 Value Entry","43 Cost Amount (Actual)","41 Source Type",$C$5,"5 Source no.",$C1420,"4 Item Ledger Entry Type",$C$4,"2 Item No.","@@"&amp;$F1420,"3 Posting Date",Z$9)</t>
  </si>
  <si>
    <t>=Z1420-AB1420</t>
  </si>
  <si>
    <t>=IF(Z1420&lt;&gt;0,AC1420/Z1420,"")</t>
  </si>
  <si>
    <t>=C1420</t>
  </si>
  <si>
    <t>=NL("Sum","5802 Value Entry","150 Sales Amount (Expected)","41 Source Type",$C$5,"5 Source No.",$C1421,"4 Item Ledger Entry Type",$C$4,"2 Item No.","@@"&amp;$F1421,"3 Posting Date",J$9)+NL("Sum","5802 Value Entry","17 Sales Amount (Actual)","41 Source Type",$C$5,"5 Source no.",$C1421,"4 Item Ledger Entry Type",$C$4,"2 Item No.","@@"&amp;$F1421,"3 Posting Date",J$9)</t>
  </si>
  <si>
    <t>=-NL("Sum","5802 Value Entry","151 Cost Amount (Expected)","41 Source Type",$C$5,"5 Source No.",$C1421,"4 Item Ledger Entry Type",$C$4,"2 Item No.","@@"&amp;$F1421,"3 Posting Date",J$9)-NL("Sum","5802 Value Entry","43 Cost Amount (Actual)","41 Source Type",$C$5,"5 Source no.",$C1421,"4 Item Ledger Entry Type",$C$4,"2 Item No.","@@"&amp;$F1421,"3 Posting Date",J$9)</t>
  </si>
  <si>
    <t>=J1421-L1421</t>
  </si>
  <si>
    <t>=IF(J1421&lt;&gt;0,M1421/J1421,"")</t>
  </si>
  <si>
    <t>=NL("Sum","5802 Value Entry","150 Sales Amount (Expected)","41 Source Type",$C$5,"5 Source No.",$C1421,"4 Item Ledger Entry Type",$C$4,"2 Item No.","@@"&amp;$F1421,"3 Posting Date",O$9)+NL("Sum","5802 Value Entry","17 Sales Amount (Actual)","41 Source Type",$C$5,"5 Source no.",$C1421,"4 Item Ledger Entry Type",$C$4,"2 Item No.","@@"&amp;$F1421,"3 Posting Date",O$9)</t>
  </si>
  <si>
    <t>=-NL("Sum","5802 Value Entry","151 Cost Amount (Expected)","41 Source Type",$C$5,"5 Source No.",$C1421,"4 Item Ledger Entry Type",$C$4,"2 Item No.","@@"&amp;$F1421,"3 Posting Date",O$9)-NL("Sum","5802 Value Entry","43 Cost Amount (Actual)","41 Source Type",$C$5,"5 Source no.",$C1421,"4 Item Ledger Entry Type",$C$4,"2 Item No.","@@"&amp;$F1421,"3 Posting Date",O$9)</t>
  </si>
  <si>
    <t>=O1421-Q1421</t>
  </si>
  <si>
    <t>=IF(O1421&lt;&gt;0,R1421/O1421,"")</t>
  </si>
  <si>
    <t>=NL("Sum","5802 Value Entry","150 Sales Amount (Expected)","41 Source Type",$C$5,"5 Source No.",$C1421,"4 Item Ledger Entry Type",$C$4,"2 Item No.","@@"&amp;$F1421,"3 Posting Date",U$9)+NL("Sum","5802 Value Entry","17 Sales Amount (Actual)","41 Source Type",$C$5,"5 Source no.",$C1421,"4 Item Ledger Entry Type",$C$4,"2 Item No.","@@"&amp;$F1421,"3 Posting Date",U$9)</t>
  </si>
  <si>
    <t>=-NL("Sum","5802 Value Entry","151 Cost Amount (Expected)","41 Source Type",$C$5,"5 Source No.",$C1421,"4 Item Ledger Entry Type",$C$4,"2 Item No.","@@"&amp;$F1421,"3 Posting Date",U$9)-NL("Sum","5802 Value Entry","43 Cost Amount (Actual)","41 Source Type",$C$5,"5 Source no.",$C1421,"4 Item Ledger Entry Type",$C$4,"2 Item No.","@@"&amp;$F1421,"3 Posting Date",U$9)</t>
  </si>
  <si>
    <t>=U1421-W1421</t>
  </si>
  <si>
    <t>=IF(U1421&lt;&gt;0,X1421/U1421,"")</t>
  </si>
  <si>
    <t>=NL("Sum","5802 Value Entry","150 Sales Amount (Expected)","41 Source Type",$C$5,"5 Source No.",$C1421,"4 Item Ledger Entry Type",$C$4,"2 Item No.","@@"&amp;$F1421,"3 Posting Date",Z$9)+NL("Sum","5802 Value Entry","17 Sales Amount (Actual)","41 Source Type",$C$5,"5 Source no.",$C1421,"4 Item Ledger Entry Type",$C$4,"2 Item No.","@@"&amp;$F1421,"3 Posting Date",Z$9)</t>
  </si>
  <si>
    <t>=-NL("Sum","5802 Value Entry","151 Cost Amount (Expected)","41 Source Type",$C$5,"5 Source No.",$C1421,"4 Item Ledger Entry Type",$C$4,"2 Item No.","@@"&amp;$F1421,"3 Posting Date",Z$9)-NL("Sum","5802 Value Entry","43 Cost Amount (Actual)","41 Source Type",$C$5,"5 Source no.",$C1421,"4 Item Ledger Entry Type",$C$4,"2 Item No.","@@"&amp;$F1421,"3 Posting Date",Z$9)</t>
  </si>
  <si>
    <t>=Z1421-AB1421</t>
  </si>
  <si>
    <t>=IF(Z1421&lt;&gt;0,AC1421/Z1421,"")</t>
  </si>
  <si>
    <t>=C1421</t>
  </si>
  <si>
    <t>=NL("Sum","5802 Value Entry","150 Sales Amount (Expected)","41 Source Type",$C$5,"5 Source No.",$C1422,"4 Item Ledger Entry Type",$C$4,"2 Item No.","@@"&amp;$F1422,"3 Posting Date",J$9)+NL("Sum","5802 Value Entry","17 Sales Amount (Actual)","41 Source Type",$C$5,"5 Source no.",$C1422,"4 Item Ledger Entry Type",$C$4,"2 Item No.","@@"&amp;$F1422,"3 Posting Date",J$9)</t>
  </si>
  <si>
    <t>=-NL("Sum","5802 Value Entry","151 Cost Amount (Expected)","41 Source Type",$C$5,"5 Source No.",$C1422,"4 Item Ledger Entry Type",$C$4,"2 Item No.","@@"&amp;$F1422,"3 Posting Date",J$9)-NL("Sum","5802 Value Entry","43 Cost Amount (Actual)","41 Source Type",$C$5,"5 Source no.",$C1422,"4 Item Ledger Entry Type",$C$4,"2 Item No.","@@"&amp;$F1422,"3 Posting Date",J$9)</t>
  </si>
  <si>
    <t>=J1422-L1422</t>
  </si>
  <si>
    <t>=IF(J1422&lt;&gt;0,M1422/J1422,"")</t>
  </si>
  <si>
    <t>=NL("Sum","5802 Value Entry","150 Sales Amount (Expected)","41 Source Type",$C$5,"5 Source No.",$C1422,"4 Item Ledger Entry Type",$C$4,"2 Item No.","@@"&amp;$F1422,"3 Posting Date",O$9)+NL("Sum","5802 Value Entry","17 Sales Amount (Actual)","41 Source Type",$C$5,"5 Source no.",$C1422,"4 Item Ledger Entry Type",$C$4,"2 Item No.","@@"&amp;$F1422,"3 Posting Date",O$9)</t>
  </si>
  <si>
    <t>=-NL("Sum","5802 Value Entry","151 Cost Amount (Expected)","41 Source Type",$C$5,"5 Source No.",$C1422,"4 Item Ledger Entry Type",$C$4,"2 Item No.","@@"&amp;$F1422,"3 Posting Date",O$9)-NL("Sum","5802 Value Entry","43 Cost Amount (Actual)","41 Source Type",$C$5,"5 Source no.",$C1422,"4 Item Ledger Entry Type",$C$4,"2 Item No.","@@"&amp;$F1422,"3 Posting Date",O$9)</t>
  </si>
  <si>
    <t>=O1422-Q1422</t>
  </si>
  <si>
    <t>=IF(O1422&lt;&gt;0,R1422/O1422,"")</t>
  </si>
  <si>
    <t>=NL("Sum","5802 Value Entry","150 Sales Amount (Expected)","41 Source Type",$C$5,"5 Source No.",$C1422,"4 Item Ledger Entry Type",$C$4,"2 Item No.","@@"&amp;$F1422,"3 Posting Date",U$9)+NL("Sum","5802 Value Entry","17 Sales Amount (Actual)","41 Source Type",$C$5,"5 Source no.",$C1422,"4 Item Ledger Entry Type",$C$4,"2 Item No.","@@"&amp;$F1422,"3 Posting Date",U$9)</t>
  </si>
  <si>
    <t>=-NL("Sum","5802 Value Entry","151 Cost Amount (Expected)","41 Source Type",$C$5,"5 Source No.",$C1422,"4 Item Ledger Entry Type",$C$4,"2 Item No.","@@"&amp;$F1422,"3 Posting Date",U$9)-NL("Sum","5802 Value Entry","43 Cost Amount (Actual)","41 Source Type",$C$5,"5 Source no.",$C1422,"4 Item Ledger Entry Type",$C$4,"2 Item No.","@@"&amp;$F1422,"3 Posting Date",U$9)</t>
  </si>
  <si>
    <t>=U1422-W1422</t>
  </si>
  <si>
    <t>=IF(U1422&lt;&gt;0,X1422/U1422,"")</t>
  </si>
  <si>
    <t>=NL("Sum","5802 Value Entry","150 Sales Amount (Expected)","41 Source Type",$C$5,"5 Source No.",$C1422,"4 Item Ledger Entry Type",$C$4,"2 Item No.","@@"&amp;$F1422,"3 Posting Date",Z$9)+NL("Sum","5802 Value Entry","17 Sales Amount (Actual)","41 Source Type",$C$5,"5 Source no.",$C1422,"4 Item Ledger Entry Type",$C$4,"2 Item No.","@@"&amp;$F1422,"3 Posting Date",Z$9)</t>
  </si>
  <si>
    <t>=-NL("Sum","5802 Value Entry","151 Cost Amount (Expected)","41 Source Type",$C$5,"5 Source No.",$C1422,"4 Item Ledger Entry Type",$C$4,"2 Item No.","@@"&amp;$F1422,"3 Posting Date",Z$9)-NL("Sum","5802 Value Entry","43 Cost Amount (Actual)","41 Source Type",$C$5,"5 Source no.",$C1422,"4 Item Ledger Entry Type",$C$4,"2 Item No.","@@"&amp;$F1422,"3 Posting Date",Z$9)</t>
  </si>
  <si>
    <t>=Z1422-AB1422</t>
  </si>
  <si>
    <t>=IF(Z1422&lt;&gt;0,AC1422/Z1422,"")</t>
  </si>
  <si>
    <t>=C1422</t>
  </si>
  <si>
    <t>=NL("Sum","5802 Value Entry","150 Sales Amount (Expected)","41 Source Type",$C$5,"5 Source No.",$C1423,"4 Item Ledger Entry Type",$C$4,"2 Item No.","@@"&amp;$F1423,"3 Posting Date",J$9)+NL("Sum","5802 Value Entry","17 Sales Amount (Actual)","41 Source Type",$C$5,"5 Source no.",$C1423,"4 Item Ledger Entry Type",$C$4,"2 Item No.","@@"&amp;$F1423,"3 Posting Date",J$9)</t>
  </si>
  <si>
    <t>=-NL("Sum","5802 Value Entry","151 Cost Amount (Expected)","41 Source Type",$C$5,"5 Source No.",$C1423,"4 Item Ledger Entry Type",$C$4,"2 Item No.","@@"&amp;$F1423,"3 Posting Date",J$9)-NL("Sum","5802 Value Entry","43 Cost Amount (Actual)","41 Source Type",$C$5,"5 Source no.",$C1423,"4 Item Ledger Entry Type",$C$4,"2 Item No.","@@"&amp;$F1423,"3 Posting Date",J$9)</t>
  </si>
  <si>
    <t>=J1423-L1423</t>
  </si>
  <si>
    <t>=IF(J1423&lt;&gt;0,M1423/J1423,"")</t>
  </si>
  <si>
    <t>=NL("Sum","5802 Value Entry","150 Sales Amount (Expected)","41 Source Type",$C$5,"5 Source No.",$C1423,"4 Item Ledger Entry Type",$C$4,"2 Item No.","@@"&amp;$F1423,"3 Posting Date",O$9)+NL("Sum","5802 Value Entry","17 Sales Amount (Actual)","41 Source Type",$C$5,"5 Source no.",$C1423,"4 Item Ledger Entry Type",$C$4,"2 Item No.","@@"&amp;$F1423,"3 Posting Date",O$9)</t>
  </si>
  <si>
    <t>=-NL("Sum","5802 Value Entry","151 Cost Amount (Expected)","41 Source Type",$C$5,"5 Source No.",$C1423,"4 Item Ledger Entry Type",$C$4,"2 Item No.","@@"&amp;$F1423,"3 Posting Date",O$9)-NL("Sum","5802 Value Entry","43 Cost Amount (Actual)","41 Source Type",$C$5,"5 Source no.",$C1423,"4 Item Ledger Entry Type",$C$4,"2 Item No.","@@"&amp;$F1423,"3 Posting Date",O$9)</t>
  </si>
  <si>
    <t>=O1423-Q1423</t>
  </si>
  <si>
    <t>=IF(O1423&lt;&gt;0,R1423/O1423,"")</t>
  </si>
  <si>
    <t>=NL("Sum","5802 Value Entry","150 Sales Amount (Expected)","41 Source Type",$C$5,"5 Source No.",$C1423,"4 Item Ledger Entry Type",$C$4,"2 Item No.","@@"&amp;$F1423,"3 Posting Date",U$9)+NL("Sum","5802 Value Entry","17 Sales Amount (Actual)","41 Source Type",$C$5,"5 Source no.",$C1423,"4 Item Ledger Entry Type",$C$4,"2 Item No.","@@"&amp;$F1423,"3 Posting Date",U$9)</t>
  </si>
  <si>
    <t>=-NL("Sum","5802 Value Entry","151 Cost Amount (Expected)","41 Source Type",$C$5,"5 Source No.",$C1423,"4 Item Ledger Entry Type",$C$4,"2 Item No.","@@"&amp;$F1423,"3 Posting Date",U$9)-NL("Sum","5802 Value Entry","43 Cost Amount (Actual)","41 Source Type",$C$5,"5 Source no.",$C1423,"4 Item Ledger Entry Type",$C$4,"2 Item No.","@@"&amp;$F1423,"3 Posting Date",U$9)</t>
  </si>
  <si>
    <t>=U1423-W1423</t>
  </si>
  <si>
    <t>=IF(U1423&lt;&gt;0,X1423/U1423,"")</t>
  </si>
  <si>
    <t>=NL("Sum","5802 Value Entry","150 Sales Amount (Expected)","41 Source Type",$C$5,"5 Source No.",$C1423,"4 Item Ledger Entry Type",$C$4,"2 Item No.","@@"&amp;$F1423,"3 Posting Date",Z$9)+NL("Sum","5802 Value Entry","17 Sales Amount (Actual)","41 Source Type",$C$5,"5 Source no.",$C1423,"4 Item Ledger Entry Type",$C$4,"2 Item No.","@@"&amp;$F1423,"3 Posting Date",Z$9)</t>
  </si>
  <si>
    <t>=-NL("Sum","5802 Value Entry","151 Cost Amount (Expected)","41 Source Type",$C$5,"5 Source No.",$C1423,"4 Item Ledger Entry Type",$C$4,"2 Item No.","@@"&amp;$F1423,"3 Posting Date",Z$9)-NL("Sum","5802 Value Entry","43 Cost Amount (Actual)","41 Source Type",$C$5,"5 Source no.",$C1423,"4 Item Ledger Entry Type",$C$4,"2 Item No.","@@"&amp;$F1423,"3 Posting Date",Z$9)</t>
  </si>
  <si>
    <t>=Z1423-AB1423</t>
  </si>
  <si>
    <t>=IF(Z1423&lt;&gt;0,AC1423/Z1423,"")</t>
  </si>
  <si>
    <t>=C1423</t>
  </si>
  <si>
    <t>=NL("Sum","5802 Value Entry","150 Sales Amount (Expected)","41 Source Type",$C$5,"5 Source No.",$C1424,"4 Item Ledger Entry Type",$C$4,"2 Item No.","@@"&amp;$F1424,"3 Posting Date",J$9)+NL("Sum","5802 Value Entry","17 Sales Amount (Actual)","41 Source Type",$C$5,"5 Source no.",$C1424,"4 Item Ledger Entry Type",$C$4,"2 Item No.","@@"&amp;$F1424,"3 Posting Date",J$9)</t>
  </si>
  <si>
    <t>=-NL("Sum","5802 Value Entry","151 Cost Amount (Expected)","41 Source Type",$C$5,"5 Source No.",$C1424,"4 Item Ledger Entry Type",$C$4,"2 Item No.","@@"&amp;$F1424,"3 Posting Date",J$9)-NL("Sum","5802 Value Entry","43 Cost Amount (Actual)","41 Source Type",$C$5,"5 Source no.",$C1424,"4 Item Ledger Entry Type",$C$4,"2 Item No.","@@"&amp;$F1424,"3 Posting Date",J$9)</t>
  </si>
  <si>
    <t>=J1424-L1424</t>
  </si>
  <si>
    <t>=IF(J1424&lt;&gt;0,M1424/J1424,"")</t>
  </si>
  <si>
    <t>=NL("Sum","5802 Value Entry","150 Sales Amount (Expected)","41 Source Type",$C$5,"5 Source No.",$C1424,"4 Item Ledger Entry Type",$C$4,"2 Item No.","@@"&amp;$F1424,"3 Posting Date",O$9)+NL("Sum","5802 Value Entry","17 Sales Amount (Actual)","41 Source Type",$C$5,"5 Source no.",$C1424,"4 Item Ledger Entry Type",$C$4,"2 Item No.","@@"&amp;$F1424,"3 Posting Date",O$9)</t>
  </si>
  <si>
    <t>=-NL("Sum","5802 Value Entry","151 Cost Amount (Expected)","41 Source Type",$C$5,"5 Source No.",$C1424,"4 Item Ledger Entry Type",$C$4,"2 Item No.","@@"&amp;$F1424,"3 Posting Date",O$9)-NL("Sum","5802 Value Entry","43 Cost Amount (Actual)","41 Source Type",$C$5,"5 Source no.",$C1424,"4 Item Ledger Entry Type",$C$4,"2 Item No.","@@"&amp;$F1424,"3 Posting Date",O$9)</t>
  </si>
  <si>
    <t>=O1424-Q1424</t>
  </si>
  <si>
    <t>=IF(O1424&lt;&gt;0,R1424/O1424,"")</t>
  </si>
  <si>
    <t>=NL("Sum","5802 Value Entry","150 Sales Amount (Expected)","41 Source Type",$C$5,"5 Source No.",$C1424,"4 Item Ledger Entry Type",$C$4,"2 Item No.","@@"&amp;$F1424,"3 Posting Date",U$9)+NL("Sum","5802 Value Entry","17 Sales Amount (Actual)","41 Source Type",$C$5,"5 Source no.",$C1424,"4 Item Ledger Entry Type",$C$4,"2 Item No.","@@"&amp;$F1424,"3 Posting Date",U$9)</t>
  </si>
  <si>
    <t>=-NL("Sum","5802 Value Entry","151 Cost Amount (Expected)","41 Source Type",$C$5,"5 Source No.",$C1424,"4 Item Ledger Entry Type",$C$4,"2 Item No.","@@"&amp;$F1424,"3 Posting Date",U$9)-NL("Sum","5802 Value Entry","43 Cost Amount (Actual)","41 Source Type",$C$5,"5 Source no.",$C1424,"4 Item Ledger Entry Type",$C$4,"2 Item No.","@@"&amp;$F1424,"3 Posting Date",U$9)</t>
  </si>
  <si>
    <t>=U1424-W1424</t>
  </si>
  <si>
    <t>=IF(U1424&lt;&gt;0,X1424/U1424,"")</t>
  </si>
  <si>
    <t>=NL("Sum","5802 Value Entry","150 Sales Amount (Expected)","41 Source Type",$C$5,"5 Source No.",$C1424,"4 Item Ledger Entry Type",$C$4,"2 Item No.","@@"&amp;$F1424,"3 Posting Date",Z$9)+NL("Sum","5802 Value Entry","17 Sales Amount (Actual)","41 Source Type",$C$5,"5 Source no.",$C1424,"4 Item Ledger Entry Type",$C$4,"2 Item No.","@@"&amp;$F1424,"3 Posting Date",Z$9)</t>
  </si>
  <si>
    <t>=-NL("Sum","5802 Value Entry","151 Cost Amount (Expected)","41 Source Type",$C$5,"5 Source No.",$C1424,"4 Item Ledger Entry Type",$C$4,"2 Item No.","@@"&amp;$F1424,"3 Posting Date",Z$9)-NL("Sum","5802 Value Entry","43 Cost Amount (Actual)","41 Source Type",$C$5,"5 Source no.",$C1424,"4 Item Ledger Entry Type",$C$4,"2 Item No.","@@"&amp;$F1424,"3 Posting Date",Z$9)</t>
  </si>
  <si>
    <t>=Z1424-AB1424</t>
  </si>
  <si>
    <t>=IF(Z1424&lt;&gt;0,AC1424/Z1424,"")</t>
  </si>
  <si>
    <t>=C1424</t>
  </si>
  <si>
    <t>=NL("Sum","5802 Value Entry","150 Sales Amount (Expected)","41 Source Type",$C$5,"5 Source No.",$C1425,"4 Item Ledger Entry Type",$C$4,"2 Item No.","@@"&amp;$F1425,"3 Posting Date",J$9)+NL("Sum","5802 Value Entry","17 Sales Amount (Actual)","41 Source Type",$C$5,"5 Source no.",$C1425,"4 Item Ledger Entry Type",$C$4,"2 Item No.","@@"&amp;$F1425,"3 Posting Date",J$9)</t>
  </si>
  <si>
    <t>=-NL("Sum","5802 Value Entry","151 Cost Amount (Expected)","41 Source Type",$C$5,"5 Source No.",$C1425,"4 Item Ledger Entry Type",$C$4,"2 Item No.","@@"&amp;$F1425,"3 Posting Date",J$9)-NL("Sum","5802 Value Entry","43 Cost Amount (Actual)","41 Source Type",$C$5,"5 Source no.",$C1425,"4 Item Ledger Entry Type",$C$4,"2 Item No.","@@"&amp;$F1425,"3 Posting Date",J$9)</t>
  </si>
  <si>
    <t>=J1425-L1425</t>
  </si>
  <si>
    <t>=IF(J1425&lt;&gt;0,M1425/J1425,"")</t>
  </si>
  <si>
    <t>=NL("Sum","5802 Value Entry","150 Sales Amount (Expected)","41 Source Type",$C$5,"5 Source No.",$C1425,"4 Item Ledger Entry Type",$C$4,"2 Item No.","@@"&amp;$F1425,"3 Posting Date",O$9)+NL("Sum","5802 Value Entry","17 Sales Amount (Actual)","41 Source Type",$C$5,"5 Source no.",$C1425,"4 Item Ledger Entry Type",$C$4,"2 Item No.","@@"&amp;$F1425,"3 Posting Date",O$9)</t>
  </si>
  <si>
    <t>=-NL("Sum","5802 Value Entry","151 Cost Amount (Expected)","41 Source Type",$C$5,"5 Source No.",$C1425,"4 Item Ledger Entry Type",$C$4,"2 Item No.","@@"&amp;$F1425,"3 Posting Date",O$9)-NL("Sum","5802 Value Entry","43 Cost Amount (Actual)","41 Source Type",$C$5,"5 Source no.",$C1425,"4 Item Ledger Entry Type",$C$4,"2 Item No.","@@"&amp;$F1425,"3 Posting Date",O$9)</t>
  </si>
  <si>
    <t>=O1425-Q1425</t>
  </si>
  <si>
    <t>=IF(O1425&lt;&gt;0,R1425/O1425,"")</t>
  </si>
  <si>
    <t>=NL("Sum","5802 Value Entry","150 Sales Amount (Expected)","41 Source Type",$C$5,"5 Source No.",$C1425,"4 Item Ledger Entry Type",$C$4,"2 Item No.","@@"&amp;$F1425,"3 Posting Date",U$9)+NL("Sum","5802 Value Entry","17 Sales Amount (Actual)","41 Source Type",$C$5,"5 Source no.",$C1425,"4 Item Ledger Entry Type",$C$4,"2 Item No.","@@"&amp;$F1425,"3 Posting Date",U$9)</t>
  </si>
  <si>
    <t>=-NL("Sum","5802 Value Entry","151 Cost Amount (Expected)","41 Source Type",$C$5,"5 Source No.",$C1425,"4 Item Ledger Entry Type",$C$4,"2 Item No.","@@"&amp;$F1425,"3 Posting Date",U$9)-NL("Sum","5802 Value Entry","43 Cost Amount (Actual)","41 Source Type",$C$5,"5 Source no.",$C1425,"4 Item Ledger Entry Type",$C$4,"2 Item No.","@@"&amp;$F1425,"3 Posting Date",U$9)</t>
  </si>
  <si>
    <t>=U1425-W1425</t>
  </si>
  <si>
    <t>=IF(U1425&lt;&gt;0,X1425/U1425,"")</t>
  </si>
  <si>
    <t>=NL("Sum","5802 Value Entry","150 Sales Amount (Expected)","41 Source Type",$C$5,"5 Source No.",$C1425,"4 Item Ledger Entry Type",$C$4,"2 Item No.","@@"&amp;$F1425,"3 Posting Date",Z$9)+NL("Sum","5802 Value Entry","17 Sales Amount (Actual)","41 Source Type",$C$5,"5 Source no.",$C1425,"4 Item Ledger Entry Type",$C$4,"2 Item No.","@@"&amp;$F1425,"3 Posting Date",Z$9)</t>
  </si>
  <si>
    <t>=-NL("Sum","5802 Value Entry","151 Cost Amount (Expected)","41 Source Type",$C$5,"5 Source No.",$C1425,"4 Item Ledger Entry Type",$C$4,"2 Item No.","@@"&amp;$F1425,"3 Posting Date",Z$9)-NL("Sum","5802 Value Entry","43 Cost Amount (Actual)","41 Source Type",$C$5,"5 Source no.",$C1425,"4 Item Ledger Entry Type",$C$4,"2 Item No.","@@"&amp;$F1425,"3 Posting Date",Z$9)</t>
  </si>
  <si>
    <t>=Z1425-AB1425</t>
  </si>
  <si>
    <t>=IF(Z1425&lt;&gt;0,AC1425/Z1425,"")</t>
  </si>
  <si>
    <t>=C1425</t>
  </si>
  <si>
    <t>=NL("Sum","5802 Value Entry","150 Sales Amount (Expected)","41 Source Type",$C$5,"5 Source No.",$C1426,"4 Item Ledger Entry Type",$C$4,"2 Item No.","@@"&amp;$F1426,"3 Posting Date",J$9)+NL("Sum","5802 Value Entry","17 Sales Amount (Actual)","41 Source Type",$C$5,"5 Source no.",$C1426,"4 Item Ledger Entry Type",$C$4,"2 Item No.","@@"&amp;$F1426,"3 Posting Date",J$9)</t>
  </si>
  <si>
    <t>=-NL("Sum","5802 Value Entry","151 Cost Amount (Expected)","41 Source Type",$C$5,"5 Source No.",$C1426,"4 Item Ledger Entry Type",$C$4,"2 Item No.","@@"&amp;$F1426,"3 Posting Date",J$9)-NL("Sum","5802 Value Entry","43 Cost Amount (Actual)","41 Source Type",$C$5,"5 Source no.",$C1426,"4 Item Ledger Entry Type",$C$4,"2 Item No.","@@"&amp;$F1426,"3 Posting Date",J$9)</t>
  </si>
  <si>
    <t>=J1426-L1426</t>
  </si>
  <si>
    <t>=IF(J1426&lt;&gt;0,M1426/J1426,"")</t>
  </si>
  <si>
    <t>=NL("Sum","5802 Value Entry","150 Sales Amount (Expected)","41 Source Type",$C$5,"5 Source No.",$C1426,"4 Item Ledger Entry Type",$C$4,"2 Item No.","@@"&amp;$F1426,"3 Posting Date",O$9)+NL("Sum","5802 Value Entry","17 Sales Amount (Actual)","41 Source Type",$C$5,"5 Source no.",$C1426,"4 Item Ledger Entry Type",$C$4,"2 Item No.","@@"&amp;$F1426,"3 Posting Date",O$9)</t>
  </si>
  <si>
    <t>=-NL("Sum","5802 Value Entry","151 Cost Amount (Expected)","41 Source Type",$C$5,"5 Source No.",$C1426,"4 Item Ledger Entry Type",$C$4,"2 Item No.","@@"&amp;$F1426,"3 Posting Date",O$9)-NL("Sum","5802 Value Entry","43 Cost Amount (Actual)","41 Source Type",$C$5,"5 Source no.",$C1426,"4 Item Ledger Entry Type",$C$4,"2 Item No.","@@"&amp;$F1426,"3 Posting Date",O$9)</t>
  </si>
  <si>
    <t>=O1426-Q1426</t>
  </si>
  <si>
    <t>=IF(O1426&lt;&gt;0,R1426/O1426,"")</t>
  </si>
  <si>
    <t>=NL("Sum","5802 Value Entry","150 Sales Amount (Expected)","41 Source Type",$C$5,"5 Source No.",$C1426,"4 Item Ledger Entry Type",$C$4,"2 Item No.","@@"&amp;$F1426,"3 Posting Date",U$9)+NL("Sum","5802 Value Entry","17 Sales Amount (Actual)","41 Source Type",$C$5,"5 Source no.",$C1426,"4 Item Ledger Entry Type",$C$4,"2 Item No.","@@"&amp;$F1426,"3 Posting Date",U$9)</t>
  </si>
  <si>
    <t>=-NL("Sum","5802 Value Entry","151 Cost Amount (Expected)","41 Source Type",$C$5,"5 Source No.",$C1426,"4 Item Ledger Entry Type",$C$4,"2 Item No.","@@"&amp;$F1426,"3 Posting Date",U$9)-NL("Sum","5802 Value Entry","43 Cost Amount (Actual)","41 Source Type",$C$5,"5 Source no.",$C1426,"4 Item Ledger Entry Type",$C$4,"2 Item No.","@@"&amp;$F1426,"3 Posting Date",U$9)</t>
  </si>
  <si>
    <t>=U1426-W1426</t>
  </si>
  <si>
    <t>=IF(U1426&lt;&gt;0,X1426/U1426,"")</t>
  </si>
  <si>
    <t>=NL("Sum","5802 Value Entry","150 Sales Amount (Expected)","41 Source Type",$C$5,"5 Source No.",$C1426,"4 Item Ledger Entry Type",$C$4,"2 Item No.","@@"&amp;$F1426,"3 Posting Date",Z$9)+NL("Sum","5802 Value Entry","17 Sales Amount (Actual)","41 Source Type",$C$5,"5 Source no.",$C1426,"4 Item Ledger Entry Type",$C$4,"2 Item No.","@@"&amp;$F1426,"3 Posting Date",Z$9)</t>
  </si>
  <si>
    <t>=-NL("Sum","5802 Value Entry","151 Cost Amount (Expected)","41 Source Type",$C$5,"5 Source No.",$C1426,"4 Item Ledger Entry Type",$C$4,"2 Item No.","@@"&amp;$F1426,"3 Posting Date",Z$9)-NL("Sum","5802 Value Entry","43 Cost Amount (Actual)","41 Source Type",$C$5,"5 Source no.",$C1426,"4 Item Ledger Entry Type",$C$4,"2 Item No.","@@"&amp;$F1426,"3 Posting Date",Z$9)</t>
  </si>
  <si>
    <t>=Z1426-AB1426</t>
  </si>
  <si>
    <t>=IF(Z1426&lt;&gt;0,AC1426/Z1426,"")</t>
  </si>
  <si>
    <t>=C1427</t>
  </si>
  <si>
    <t>=J1428-L1428</t>
  </si>
  <si>
    <t>=IF(J1428&lt;&gt;0,M1428/J1428,"")</t>
  </si>
  <si>
    <t>=O1428-Q1428</t>
  </si>
  <si>
    <t>=IF(O1428&lt;&gt;0,R1428/O1428,"")</t>
  </si>
  <si>
    <t>=U1428-W1428</t>
  </si>
  <si>
    <t>=IF(U1428&lt;&gt;0,X1428/U1428,"")</t>
  </si>
  <si>
    <t>=Z1428-AB1428</t>
  </si>
  <si>
    <t>=IF(Z1428&lt;&gt;0,AC1428/Z1428,"")</t>
  </si>
  <si>
    <t>=C1430</t>
  </si>
  <si>
    <t>=C1431</t>
  </si>
  <si>
    <t>=NL("Sum","5802 Value Entry","150 Sales Amount (Expected)","41 Source Type",$C$5,"5 Source No.",$C1432,"4 Item Ledger Entry Type",$C$4,"2 Item No.","@@"&amp;$F1432,"3 Posting Date",J$9)+NL("Sum","5802 Value Entry","17 Sales Amount (Actual)","41 Source Type",$C$5,"5 Source no.",$C1432,"4 Item Ledger Entry Type",$C$4,"2 Item No.","@@"&amp;$F1432,"3 Posting Date",J$9)</t>
  </si>
  <si>
    <t>=-NL("Sum","5802 Value Entry","151 Cost Amount (Expected)","41 Source Type",$C$5,"5 Source No.",$C1432,"4 Item Ledger Entry Type",$C$4,"2 Item No.","@@"&amp;$F1432,"3 Posting Date",J$9)-NL("Sum","5802 Value Entry","43 Cost Amount (Actual)","41 Source Type",$C$5,"5 Source no.",$C1432,"4 Item Ledger Entry Type",$C$4,"2 Item No.","@@"&amp;$F1432,"3 Posting Date",J$9)</t>
  </si>
  <si>
    <t>=J1432-L1432</t>
  </si>
  <si>
    <t>=IF(J1432&lt;&gt;0,M1432/J1432,"")</t>
  </si>
  <si>
    <t>=NL("Sum","5802 Value Entry","150 Sales Amount (Expected)","41 Source Type",$C$5,"5 Source No.",$C1432,"4 Item Ledger Entry Type",$C$4,"2 Item No.","@@"&amp;$F1432,"3 Posting Date",O$9)+NL("Sum","5802 Value Entry","17 Sales Amount (Actual)","41 Source Type",$C$5,"5 Source no.",$C1432,"4 Item Ledger Entry Type",$C$4,"2 Item No.","@@"&amp;$F1432,"3 Posting Date",O$9)</t>
  </si>
  <si>
    <t>=-NL("Sum","5802 Value Entry","151 Cost Amount (Expected)","41 Source Type",$C$5,"5 Source No.",$C1432,"4 Item Ledger Entry Type",$C$4,"2 Item No.","@@"&amp;$F1432,"3 Posting Date",O$9)-NL("Sum","5802 Value Entry","43 Cost Amount (Actual)","41 Source Type",$C$5,"5 Source no.",$C1432,"4 Item Ledger Entry Type",$C$4,"2 Item No.","@@"&amp;$F1432,"3 Posting Date",O$9)</t>
  </si>
  <si>
    <t>=O1432-Q1432</t>
  </si>
  <si>
    <t>=IF(O1432&lt;&gt;0,R1432/O1432,"")</t>
  </si>
  <si>
    <t>=NL("Sum","5802 Value Entry","150 Sales Amount (Expected)","41 Source Type",$C$5,"5 Source No.",$C1432,"4 Item Ledger Entry Type",$C$4,"2 Item No.","@@"&amp;$F1432,"3 Posting Date",U$9)+NL("Sum","5802 Value Entry","17 Sales Amount (Actual)","41 Source Type",$C$5,"5 Source no.",$C1432,"4 Item Ledger Entry Type",$C$4,"2 Item No.","@@"&amp;$F1432,"3 Posting Date",U$9)</t>
  </si>
  <si>
    <t>=-NL("Sum","5802 Value Entry","151 Cost Amount (Expected)","41 Source Type",$C$5,"5 Source No.",$C1432,"4 Item Ledger Entry Type",$C$4,"2 Item No.","@@"&amp;$F1432,"3 Posting Date",U$9)-NL("Sum","5802 Value Entry","43 Cost Amount (Actual)","41 Source Type",$C$5,"5 Source no.",$C1432,"4 Item Ledger Entry Type",$C$4,"2 Item No.","@@"&amp;$F1432,"3 Posting Date",U$9)</t>
  </si>
  <si>
    <t>=U1432-W1432</t>
  </si>
  <si>
    <t>=IF(U1432&lt;&gt;0,X1432/U1432,"")</t>
  </si>
  <si>
    <t>=NL("Sum","5802 Value Entry","150 Sales Amount (Expected)","41 Source Type",$C$5,"5 Source No.",$C1432,"4 Item Ledger Entry Type",$C$4,"2 Item No.","@@"&amp;$F1432,"3 Posting Date",Z$9)+NL("Sum","5802 Value Entry","17 Sales Amount (Actual)","41 Source Type",$C$5,"5 Source no.",$C1432,"4 Item Ledger Entry Type",$C$4,"2 Item No.","@@"&amp;$F1432,"3 Posting Date",Z$9)</t>
  </si>
  <si>
    <t>=-NL("Sum","5802 Value Entry","151 Cost Amount (Expected)","41 Source Type",$C$5,"5 Source No.",$C1432,"4 Item Ledger Entry Type",$C$4,"2 Item No.","@@"&amp;$F1432,"3 Posting Date",Z$9)-NL("Sum","5802 Value Entry","43 Cost Amount (Actual)","41 Source Type",$C$5,"5 Source no.",$C1432,"4 Item Ledger Entry Type",$C$4,"2 Item No.","@@"&amp;$F1432,"3 Posting Date",Z$9)</t>
  </si>
  <si>
    <t>=Z1432-AB1432</t>
  </si>
  <si>
    <t>=IF(Z1432&lt;&gt;0,AC1432/Z1432,"")</t>
  </si>
  <si>
    <t>=C1432</t>
  </si>
  <si>
    <t>=NL("Sum","5802 Value Entry","150 Sales Amount (Expected)","41 Source Type",$C$5,"5 Source No.",$C1433,"4 Item Ledger Entry Type",$C$4,"2 Item No.","@@"&amp;$F1433,"3 Posting Date",J$9)+NL("Sum","5802 Value Entry","17 Sales Amount (Actual)","41 Source Type",$C$5,"5 Source no.",$C1433,"4 Item Ledger Entry Type",$C$4,"2 Item No.","@@"&amp;$F1433,"3 Posting Date",J$9)</t>
  </si>
  <si>
    <t>=-NL("Sum","5802 Value Entry","151 Cost Amount (Expected)","41 Source Type",$C$5,"5 Source No.",$C1433,"4 Item Ledger Entry Type",$C$4,"2 Item No.","@@"&amp;$F1433,"3 Posting Date",J$9)-NL("Sum","5802 Value Entry","43 Cost Amount (Actual)","41 Source Type",$C$5,"5 Source no.",$C1433,"4 Item Ledger Entry Type",$C$4,"2 Item No.","@@"&amp;$F1433,"3 Posting Date",J$9)</t>
  </si>
  <si>
    <t>=J1433-L1433</t>
  </si>
  <si>
    <t>=IF(J1433&lt;&gt;0,M1433/J1433,"")</t>
  </si>
  <si>
    <t>=NL("Sum","5802 Value Entry","150 Sales Amount (Expected)","41 Source Type",$C$5,"5 Source No.",$C1433,"4 Item Ledger Entry Type",$C$4,"2 Item No.","@@"&amp;$F1433,"3 Posting Date",O$9)+NL("Sum","5802 Value Entry","17 Sales Amount (Actual)","41 Source Type",$C$5,"5 Source no.",$C1433,"4 Item Ledger Entry Type",$C$4,"2 Item No.","@@"&amp;$F1433,"3 Posting Date",O$9)</t>
  </si>
  <si>
    <t>=-NL("Sum","5802 Value Entry","151 Cost Amount (Expected)","41 Source Type",$C$5,"5 Source No.",$C1433,"4 Item Ledger Entry Type",$C$4,"2 Item No.","@@"&amp;$F1433,"3 Posting Date",O$9)-NL("Sum","5802 Value Entry","43 Cost Amount (Actual)","41 Source Type",$C$5,"5 Source no.",$C1433,"4 Item Ledger Entry Type",$C$4,"2 Item No.","@@"&amp;$F1433,"3 Posting Date",O$9)</t>
  </si>
  <si>
    <t>=O1433-Q1433</t>
  </si>
  <si>
    <t>=IF(O1433&lt;&gt;0,R1433/O1433,"")</t>
  </si>
  <si>
    <t>=NL("Sum","5802 Value Entry","150 Sales Amount (Expected)","41 Source Type",$C$5,"5 Source No.",$C1433,"4 Item Ledger Entry Type",$C$4,"2 Item No.","@@"&amp;$F1433,"3 Posting Date",U$9)+NL("Sum","5802 Value Entry","17 Sales Amount (Actual)","41 Source Type",$C$5,"5 Source no.",$C1433,"4 Item Ledger Entry Type",$C$4,"2 Item No.","@@"&amp;$F1433,"3 Posting Date",U$9)</t>
  </si>
  <si>
    <t>=-NL("Sum","5802 Value Entry","151 Cost Amount (Expected)","41 Source Type",$C$5,"5 Source No.",$C1433,"4 Item Ledger Entry Type",$C$4,"2 Item No.","@@"&amp;$F1433,"3 Posting Date",U$9)-NL("Sum","5802 Value Entry","43 Cost Amount (Actual)","41 Source Type",$C$5,"5 Source no.",$C1433,"4 Item Ledger Entry Type",$C$4,"2 Item No.","@@"&amp;$F1433,"3 Posting Date",U$9)</t>
  </si>
  <si>
    <t>=U1433-W1433</t>
  </si>
  <si>
    <t>=IF(U1433&lt;&gt;0,X1433/U1433,"")</t>
  </si>
  <si>
    <t>=NL("Sum","5802 Value Entry","150 Sales Amount (Expected)","41 Source Type",$C$5,"5 Source No.",$C1433,"4 Item Ledger Entry Type",$C$4,"2 Item No.","@@"&amp;$F1433,"3 Posting Date",Z$9)+NL("Sum","5802 Value Entry","17 Sales Amount (Actual)","41 Source Type",$C$5,"5 Source no.",$C1433,"4 Item Ledger Entry Type",$C$4,"2 Item No.","@@"&amp;$F1433,"3 Posting Date",Z$9)</t>
  </si>
  <si>
    <t>=-NL("Sum","5802 Value Entry","151 Cost Amount (Expected)","41 Source Type",$C$5,"5 Source No.",$C1433,"4 Item Ledger Entry Type",$C$4,"2 Item No.","@@"&amp;$F1433,"3 Posting Date",Z$9)-NL("Sum","5802 Value Entry","43 Cost Amount (Actual)","41 Source Type",$C$5,"5 Source no.",$C1433,"4 Item Ledger Entry Type",$C$4,"2 Item No.","@@"&amp;$F1433,"3 Posting Date",Z$9)</t>
  </si>
  <si>
    <t>=Z1433-AB1433</t>
  </si>
  <si>
    <t>=IF(Z1433&lt;&gt;0,AC1433/Z1433,"")</t>
  </si>
  <si>
    <t>=C1433</t>
  </si>
  <si>
    <t>=NL("Sum","5802 Value Entry","150 Sales Amount (Expected)","41 Source Type",$C$5,"5 Source No.",$C1434,"4 Item Ledger Entry Type",$C$4,"2 Item No.","@@"&amp;$F1434,"3 Posting Date",J$9)+NL("Sum","5802 Value Entry","17 Sales Amount (Actual)","41 Source Type",$C$5,"5 Source no.",$C1434,"4 Item Ledger Entry Type",$C$4,"2 Item No.","@@"&amp;$F1434,"3 Posting Date",J$9)</t>
  </si>
  <si>
    <t>=-NL("Sum","5802 Value Entry","151 Cost Amount (Expected)","41 Source Type",$C$5,"5 Source No.",$C1434,"4 Item Ledger Entry Type",$C$4,"2 Item No.","@@"&amp;$F1434,"3 Posting Date",J$9)-NL("Sum","5802 Value Entry","43 Cost Amount (Actual)","41 Source Type",$C$5,"5 Source no.",$C1434,"4 Item Ledger Entry Type",$C$4,"2 Item No.","@@"&amp;$F1434,"3 Posting Date",J$9)</t>
  </si>
  <si>
    <t>=J1434-L1434</t>
  </si>
  <si>
    <t>=IF(J1434&lt;&gt;0,M1434/J1434,"")</t>
  </si>
  <si>
    <t>=NL("Sum","5802 Value Entry","150 Sales Amount (Expected)","41 Source Type",$C$5,"5 Source No.",$C1434,"4 Item Ledger Entry Type",$C$4,"2 Item No.","@@"&amp;$F1434,"3 Posting Date",O$9)+NL("Sum","5802 Value Entry","17 Sales Amount (Actual)","41 Source Type",$C$5,"5 Source no.",$C1434,"4 Item Ledger Entry Type",$C$4,"2 Item No.","@@"&amp;$F1434,"3 Posting Date",O$9)</t>
  </si>
  <si>
    <t>=-NL("Sum","5802 Value Entry","151 Cost Amount (Expected)","41 Source Type",$C$5,"5 Source No.",$C1434,"4 Item Ledger Entry Type",$C$4,"2 Item No.","@@"&amp;$F1434,"3 Posting Date",O$9)-NL("Sum","5802 Value Entry","43 Cost Amount (Actual)","41 Source Type",$C$5,"5 Source no.",$C1434,"4 Item Ledger Entry Type",$C$4,"2 Item No.","@@"&amp;$F1434,"3 Posting Date",O$9)</t>
  </si>
  <si>
    <t>=O1434-Q1434</t>
  </si>
  <si>
    <t>=IF(O1434&lt;&gt;0,R1434/O1434,"")</t>
  </si>
  <si>
    <t>=NL("Sum","5802 Value Entry","150 Sales Amount (Expected)","41 Source Type",$C$5,"5 Source No.",$C1434,"4 Item Ledger Entry Type",$C$4,"2 Item No.","@@"&amp;$F1434,"3 Posting Date",U$9)+NL("Sum","5802 Value Entry","17 Sales Amount (Actual)","41 Source Type",$C$5,"5 Source no.",$C1434,"4 Item Ledger Entry Type",$C$4,"2 Item No.","@@"&amp;$F1434,"3 Posting Date",U$9)</t>
  </si>
  <si>
    <t>=-NL("Sum","5802 Value Entry","151 Cost Amount (Expected)","41 Source Type",$C$5,"5 Source No.",$C1434,"4 Item Ledger Entry Type",$C$4,"2 Item No.","@@"&amp;$F1434,"3 Posting Date",U$9)-NL("Sum","5802 Value Entry","43 Cost Amount (Actual)","41 Source Type",$C$5,"5 Source no.",$C1434,"4 Item Ledger Entry Type",$C$4,"2 Item No.","@@"&amp;$F1434,"3 Posting Date",U$9)</t>
  </si>
  <si>
    <t>=U1434-W1434</t>
  </si>
  <si>
    <t>=IF(U1434&lt;&gt;0,X1434/U1434,"")</t>
  </si>
  <si>
    <t>=NL("Sum","5802 Value Entry","150 Sales Amount (Expected)","41 Source Type",$C$5,"5 Source No.",$C1434,"4 Item Ledger Entry Type",$C$4,"2 Item No.","@@"&amp;$F1434,"3 Posting Date",Z$9)+NL("Sum","5802 Value Entry","17 Sales Amount (Actual)","41 Source Type",$C$5,"5 Source no.",$C1434,"4 Item Ledger Entry Type",$C$4,"2 Item No.","@@"&amp;$F1434,"3 Posting Date",Z$9)</t>
  </si>
  <si>
    <t>=-NL("Sum","5802 Value Entry","151 Cost Amount (Expected)","41 Source Type",$C$5,"5 Source No.",$C1434,"4 Item Ledger Entry Type",$C$4,"2 Item No.","@@"&amp;$F1434,"3 Posting Date",Z$9)-NL("Sum","5802 Value Entry","43 Cost Amount (Actual)","41 Source Type",$C$5,"5 Source no.",$C1434,"4 Item Ledger Entry Type",$C$4,"2 Item No.","@@"&amp;$F1434,"3 Posting Date",Z$9)</t>
  </si>
  <si>
    <t>=Z1434-AB1434</t>
  </si>
  <si>
    <t>=IF(Z1434&lt;&gt;0,AC1434/Z1434,"")</t>
  </si>
  <si>
    <t>=C1434</t>
  </si>
  <si>
    <t>=NL("Sum","5802 Value Entry","150 Sales Amount (Expected)","41 Source Type",$C$5,"5 Source No.",$C1435,"4 Item Ledger Entry Type",$C$4,"2 Item No.","@@"&amp;$F1435,"3 Posting Date",J$9)+NL("Sum","5802 Value Entry","17 Sales Amount (Actual)","41 Source Type",$C$5,"5 Source no.",$C1435,"4 Item Ledger Entry Type",$C$4,"2 Item No.","@@"&amp;$F1435,"3 Posting Date",J$9)</t>
  </si>
  <si>
    <t>=-NL("Sum","5802 Value Entry","151 Cost Amount (Expected)","41 Source Type",$C$5,"5 Source No.",$C1435,"4 Item Ledger Entry Type",$C$4,"2 Item No.","@@"&amp;$F1435,"3 Posting Date",J$9)-NL("Sum","5802 Value Entry","43 Cost Amount (Actual)","41 Source Type",$C$5,"5 Source no.",$C1435,"4 Item Ledger Entry Type",$C$4,"2 Item No.","@@"&amp;$F1435,"3 Posting Date",J$9)</t>
  </si>
  <si>
    <t>=J1435-L1435</t>
  </si>
  <si>
    <t>=IF(J1435&lt;&gt;0,M1435/J1435,"")</t>
  </si>
  <si>
    <t>=NL("Sum","5802 Value Entry","150 Sales Amount (Expected)","41 Source Type",$C$5,"5 Source No.",$C1435,"4 Item Ledger Entry Type",$C$4,"2 Item No.","@@"&amp;$F1435,"3 Posting Date",O$9)+NL("Sum","5802 Value Entry","17 Sales Amount (Actual)","41 Source Type",$C$5,"5 Source no.",$C1435,"4 Item Ledger Entry Type",$C$4,"2 Item No.","@@"&amp;$F1435,"3 Posting Date",O$9)</t>
  </si>
  <si>
    <t>=-NL("Sum","5802 Value Entry","151 Cost Amount (Expected)","41 Source Type",$C$5,"5 Source No.",$C1435,"4 Item Ledger Entry Type",$C$4,"2 Item No.","@@"&amp;$F1435,"3 Posting Date",O$9)-NL("Sum","5802 Value Entry","43 Cost Amount (Actual)","41 Source Type",$C$5,"5 Source no.",$C1435,"4 Item Ledger Entry Type",$C$4,"2 Item No.","@@"&amp;$F1435,"3 Posting Date",O$9)</t>
  </si>
  <si>
    <t>=O1435-Q1435</t>
  </si>
  <si>
    <t>=IF(O1435&lt;&gt;0,R1435/O1435,"")</t>
  </si>
  <si>
    <t>=NL("Sum","5802 Value Entry","150 Sales Amount (Expected)","41 Source Type",$C$5,"5 Source No.",$C1435,"4 Item Ledger Entry Type",$C$4,"2 Item No.","@@"&amp;$F1435,"3 Posting Date",U$9)+NL("Sum","5802 Value Entry","17 Sales Amount (Actual)","41 Source Type",$C$5,"5 Source no.",$C1435,"4 Item Ledger Entry Type",$C$4,"2 Item No.","@@"&amp;$F1435,"3 Posting Date",U$9)</t>
  </si>
  <si>
    <t>=-NL("Sum","5802 Value Entry","151 Cost Amount (Expected)","41 Source Type",$C$5,"5 Source No.",$C1435,"4 Item Ledger Entry Type",$C$4,"2 Item No.","@@"&amp;$F1435,"3 Posting Date",U$9)-NL("Sum","5802 Value Entry","43 Cost Amount (Actual)","41 Source Type",$C$5,"5 Source no.",$C1435,"4 Item Ledger Entry Type",$C$4,"2 Item No.","@@"&amp;$F1435,"3 Posting Date",U$9)</t>
  </si>
  <si>
    <t>=U1435-W1435</t>
  </si>
  <si>
    <t>=IF(U1435&lt;&gt;0,X1435/U1435,"")</t>
  </si>
  <si>
    <t>=NL("Sum","5802 Value Entry","150 Sales Amount (Expected)","41 Source Type",$C$5,"5 Source No.",$C1435,"4 Item Ledger Entry Type",$C$4,"2 Item No.","@@"&amp;$F1435,"3 Posting Date",Z$9)+NL("Sum","5802 Value Entry","17 Sales Amount (Actual)","41 Source Type",$C$5,"5 Source no.",$C1435,"4 Item Ledger Entry Type",$C$4,"2 Item No.","@@"&amp;$F1435,"3 Posting Date",Z$9)</t>
  </si>
  <si>
    <t>=-NL("Sum","5802 Value Entry","151 Cost Amount (Expected)","41 Source Type",$C$5,"5 Source No.",$C1435,"4 Item Ledger Entry Type",$C$4,"2 Item No.","@@"&amp;$F1435,"3 Posting Date",Z$9)-NL("Sum","5802 Value Entry","43 Cost Amount (Actual)","41 Source Type",$C$5,"5 Source no.",$C1435,"4 Item Ledger Entry Type",$C$4,"2 Item No.","@@"&amp;$F1435,"3 Posting Date",Z$9)</t>
  </si>
  <si>
    <t>=Z1435-AB1435</t>
  </si>
  <si>
    <t>=IF(Z1435&lt;&gt;0,AC1435/Z1435,"")</t>
  </si>
  <si>
    <t>=C1435</t>
  </si>
  <si>
    <t>=NL("Sum","5802 Value Entry","150 Sales Amount (Expected)","41 Source Type",$C$5,"5 Source No.",$C1436,"4 Item Ledger Entry Type",$C$4,"2 Item No.","@@"&amp;$F1436,"3 Posting Date",J$9)+NL("Sum","5802 Value Entry","17 Sales Amount (Actual)","41 Source Type",$C$5,"5 Source no.",$C1436,"4 Item Ledger Entry Type",$C$4,"2 Item No.","@@"&amp;$F1436,"3 Posting Date",J$9)</t>
  </si>
  <si>
    <t>=-NL("Sum","5802 Value Entry","151 Cost Amount (Expected)","41 Source Type",$C$5,"5 Source No.",$C1436,"4 Item Ledger Entry Type",$C$4,"2 Item No.","@@"&amp;$F1436,"3 Posting Date",J$9)-NL("Sum","5802 Value Entry","43 Cost Amount (Actual)","41 Source Type",$C$5,"5 Source no.",$C1436,"4 Item Ledger Entry Type",$C$4,"2 Item No.","@@"&amp;$F1436,"3 Posting Date",J$9)</t>
  </si>
  <si>
    <t>=J1436-L1436</t>
  </si>
  <si>
    <t>=IF(J1436&lt;&gt;0,M1436/J1436,"")</t>
  </si>
  <si>
    <t>=NL("Sum","5802 Value Entry","150 Sales Amount (Expected)","41 Source Type",$C$5,"5 Source No.",$C1436,"4 Item Ledger Entry Type",$C$4,"2 Item No.","@@"&amp;$F1436,"3 Posting Date",O$9)+NL("Sum","5802 Value Entry","17 Sales Amount (Actual)","41 Source Type",$C$5,"5 Source no.",$C1436,"4 Item Ledger Entry Type",$C$4,"2 Item No.","@@"&amp;$F1436,"3 Posting Date",O$9)</t>
  </si>
  <si>
    <t>=-NL("Sum","5802 Value Entry","151 Cost Amount (Expected)","41 Source Type",$C$5,"5 Source No.",$C1436,"4 Item Ledger Entry Type",$C$4,"2 Item No.","@@"&amp;$F1436,"3 Posting Date",O$9)-NL("Sum","5802 Value Entry","43 Cost Amount (Actual)","41 Source Type",$C$5,"5 Source no.",$C1436,"4 Item Ledger Entry Type",$C$4,"2 Item No.","@@"&amp;$F1436,"3 Posting Date",O$9)</t>
  </si>
  <si>
    <t>=O1436-Q1436</t>
  </si>
  <si>
    <t>=IF(O1436&lt;&gt;0,R1436/O1436,"")</t>
  </si>
  <si>
    <t>=NL("Sum","5802 Value Entry","150 Sales Amount (Expected)","41 Source Type",$C$5,"5 Source No.",$C1436,"4 Item Ledger Entry Type",$C$4,"2 Item No.","@@"&amp;$F1436,"3 Posting Date",U$9)+NL("Sum","5802 Value Entry","17 Sales Amount (Actual)","41 Source Type",$C$5,"5 Source no.",$C1436,"4 Item Ledger Entry Type",$C$4,"2 Item No.","@@"&amp;$F1436,"3 Posting Date",U$9)</t>
  </si>
  <si>
    <t>=-NL("Sum","5802 Value Entry","151 Cost Amount (Expected)","41 Source Type",$C$5,"5 Source No.",$C1436,"4 Item Ledger Entry Type",$C$4,"2 Item No.","@@"&amp;$F1436,"3 Posting Date",U$9)-NL("Sum","5802 Value Entry","43 Cost Amount (Actual)","41 Source Type",$C$5,"5 Source no.",$C1436,"4 Item Ledger Entry Type",$C$4,"2 Item No.","@@"&amp;$F1436,"3 Posting Date",U$9)</t>
  </si>
  <si>
    <t>=U1436-W1436</t>
  </si>
  <si>
    <t>=IF(U1436&lt;&gt;0,X1436/U1436,"")</t>
  </si>
  <si>
    <t>=NL("Sum","5802 Value Entry","150 Sales Amount (Expected)","41 Source Type",$C$5,"5 Source No.",$C1436,"4 Item Ledger Entry Type",$C$4,"2 Item No.","@@"&amp;$F1436,"3 Posting Date",Z$9)+NL("Sum","5802 Value Entry","17 Sales Amount (Actual)","41 Source Type",$C$5,"5 Source no.",$C1436,"4 Item Ledger Entry Type",$C$4,"2 Item No.","@@"&amp;$F1436,"3 Posting Date",Z$9)</t>
  </si>
  <si>
    <t>=-NL("Sum","5802 Value Entry","151 Cost Amount (Expected)","41 Source Type",$C$5,"5 Source No.",$C1436,"4 Item Ledger Entry Type",$C$4,"2 Item No.","@@"&amp;$F1436,"3 Posting Date",Z$9)-NL("Sum","5802 Value Entry","43 Cost Amount (Actual)","41 Source Type",$C$5,"5 Source no.",$C1436,"4 Item Ledger Entry Type",$C$4,"2 Item No.","@@"&amp;$F1436,"3 Posting Date",Z$9)</t>
  </si>
  <si>
    <t>=Z1436-AB1436</t>
  </si>
  <si>
    <t>=IF(Z1436&lt;&gt;0,AC1436/Z1436,"")</t>
  </si>
  <si>
    <t>=C1437</t>
  </si>
  <si>
    <t>=J1438-L1438</t>
  </si>
  <si>
    <t>=IF(J1438&lt;&gt;0,M1438/J1438,"")</t>
  </si>
  <si>
    <t>=O1438-Q1438</t>
  </si>
  <si>
    <t>=IF(O1438&lt;&gt;0,R1438/O1438,"")</t>
  </si>
  <si>
    <t>=U1438-W1438</t>
  </si>
  <si>
    <t>=IF(U1438&lt;&gt;0,X1438/U1438,"")</t>
  </si>
  <si>
    <t>=Z1438-AB1438</t>
  </si>
  <si>
    <t>=IF(Z1438&lt;&gt;0,AC1438/Z1438,"")</t>
  </si>
  <si>
    <t>=C1440</t>
  </si>
  <si>
    <t>=C1441</t>
  </si>
  <si>
    <t>=NL("Sum","5802 Value Entry","150 Sales Amount (Expected)","41 Source Type",$C$5,"5 Source No.",$C1442,"4 Item Ledger Entry Type",$C$4,"2 Item No.","@@"&amp;$F1442,"3 Posting Date",J$9)+NL("Sum","5802 Value Entry","17 Sales Amount (Actual)","41 Source Type",$C$5,"5 Source no.",$C1442,"4 Item Ledger Entry Type",$C$4,"2 Item No.","@@"&amp;$F1442,"3 Posting Date",J$9)</t>
  </si>
  <si>
    <t>=-NL("Sum","5802 Value Entry","151 Cost Amount (Expected)","41 Source Type",$C$5,"5 Source No.",$C1442,"4 Item Ledger Entry Type",$C$4,"2 Item No.","@@"&amp;$F1442,"3 Posting Date",J$9)-NL("Sum","5802 Value Entry","43 Cost Amount (Actual)","41 Source Type",$C$5,"5 Source no.",$C1442,"4 Item Ledger Entry Type",$C$4,"2 Item No.","@@"&amp;$F1442,"3 Posting Date",J$9)</t>
  </si>
  <si>
    <t>=J1442-L1442</t>
  </si>
  <si>
    <t>=IF(J1442&lt;&gt;0,M1442/J1442,"")</t>
  </si>
  <si>
    <t>=NL("Sum","5802 Value Entry","150 Sales Amount (Expected)","41 Source Type",$C$5,"5 Source No.",$C1442,"4 Item Ledger Entry Type",$C$4,"2 Item No.","@@"&amp;$F1442,"3 Posting Date",O$9)+NL("Sum","5802 Value Entry","17 Sales Amount (Actual)","41 Source Type",$C$5,"5 Source no.",$C1442,"4 Item Ledger Entry Type",$C$4,"2 Item No.","@@"&amp;$F1442,"3 Posting Date",O$9)</t>
  </si>
  <si>
    <t>=-NL("Sum","5802 Value Entry","151 Cost Amount (Expected)","41 Source Type",$C$5,"5 Source No.",$C1442,"4 Item Ledger Entry Type",$C$4,"2 Item No.","@@"&amp;$F1442,"3 Posting Date",O$9)-NL("Sum","5802 Value Entry","43 Cost Amount (Actual)","41 Source Type",$C$5,"5 Source no.",$C1442,"4 Item Ledger Entry Type",$C$4,"2 Item No.","@@"&amp;$F1442,"3 Posting Date",O$9)</t>
  </si>
  <si>
    <t>=O1442-Q1442</t>
  </si>
  <si>
    <t>=IF(O1442&lt;&gt;0,R1442/O1442,"")</t>
  </si>
  <si>
    <t>=NL("Sum","5802 Value Entry","150 Sales Amount (Expected)","41 Source Type",$C$5,"5 Source No.",$C1442,"4 Item Ledger Entry Type",$C$4,"2 Item No.","@@"&amp;$F1442,"3 Posting Date",U$9)+NL("Sum","5802 Value Entry","17 Sales Amount (Actual)","41 Source Type",$C$5,"5 Source no.",$C1442,"4 Item Ledger Entry Type",$C$4,"2 Item No.","@@"&amp;$F1442,"3 Posting Date",U$9)</t>
  </si>
  <si>
    <t>=-NL("Sum","5802 Value Entry","151 Cost Amount (Expected)","41 Source Type",$C$5,"5 Source No.",$C1442,"4 Item Ledger Entry Type",$C$4,"2 Item No.","@@"&amp;$F1442,"3 Posting Date",U$9)-NL("Sum","5802 Value Entry","43 Cost Amount (Actual)","41 Source Type",$C$5,"5 Source no.",$C1442,"4 Item Ledger Entry Type",$C$4,"2 Item No.","@@"&amp;$F1442,"3 Posting Date",U$9)</t>
  </si>
  <si>
    <t>=U1442-W1442</t>
  </si>
  <si>
    <t>=IF(U1442&lt;&gt;0,X1442/U1442,"")</t>
  </si>
  <si>
    <t>=NL("Sum","5802 Value Entry","150 Sales Amount (Expected)","41 Source Type",$C$5,"5 Source No.",$C1442,"4 Item Ledger Entry Type",$C$4,"2 Item No.","@@"&amp;$F1442,"3 Posting Date",Z$9)+NL("Sum","5802 Value Entry","17 Sales Amount (Actual)","41 Source Type",$C$5,"5 Source no.",$C1442,"4 Item Ledger Entry Type",$C$4,"2 Item No.","@@"&amp;$F1442,"3 Posting Date",Z$9)</t>
  </si>
  <si>
    <t>=-NL("Sum","5802 Value Entry","151 Cost Amount (Expected)","41 Source Type",$C$5,"5 Source No.",$C1442,"4 Item Ledger Entry Type",$C$4,"2 Item No.","@@"&amp;$F1442,"3 Posting Date",Z$9)-NL("Sum","5802 Value Entry","43 Cost Amount (Actual)","41 Source Type",$C$5,"5 Source no.",$C1442,"4 Item Ledger Entry Type",$C$4,"2 Item No.","@@"&amp;$F1442,"3 Posting Date",Z$9)</t>
  </si>
  <si>
    <t>=Z1442-AB1442</t>
  </si>
  <si>
    <t>=IF(Z1442&lt;&gt;0,AC1442/Z1442,"")</t>
  </si>
  <si>
    <t>=C1442</t>
  </si>
  <si>
    <t>=NL("Sum","5802 Value Entry","150 Sales Amount (Expected)","41 Source Type",$C$5,"5 Source No.",$C1443,"4 Item Ledger Entry Type",$C$4,"2 Item No.","@@"&amp;$F1443,"3 Posting Date",J$9)+NL("Sum","5802 Value Entry","17 Sales Amount (Actual)","41 Source Type",$C$5,"5 Source no.",$C1443,"4 Item Ledger Entry Type",$C$4,"2 Item No.","@@"&amp;$F1443,"3 Posting Date",J$9)</t>
  </si>
  <si>
    <t>=-NL("Sum","5802 Value Entry","151 Cost Amount (Expected)","41 Source Type",$C$5,"5 Source No.",$C1443,"4 Item Ledger Entry Type",$C$4,"2 Item No.","@@"&amp;$F1443,"3 Posting Date",J$9)-NL("Sum","5802 Value Entry","43 Cost Amount (Actual)","41 Source Type",$C$5,"5 Source no.",$C1443,"4 Item Ledger Entry Type",$C$4,"2 Item No.","@@"&amp;$F1443,"3 Posting Date",J$9)</t>
  </si>
  <si>
    <t>=J1443-L1443</t>
  </si>
  <si>
    <t>=IF(J1443&lt;&gt;0,M1443/J1443,"")</t>
  </si>
  <si>
    <t>=NL("Sum","5802 Value Entry","150 Sales Amount (Expected)","41 Source Type",$C$5,"5 Source No.",$C1443,"4 Item Ledger Entry Type",$C$4,"2 Item No.","@@"&amp;$F1443,"3 Posting Date",O$9)+NL("Sum","5802 Value Entry","17 Sales Amount (Actual)","41 Source Type",$C$5,"5 Source no.",$C1443,"4 Item Ledger Entry Type",$C$4,"2 Item No.","@@"&amp;$F1443,"3 Posting Date",O$9)</t>
  </si>
  <si>
    <t>=-NL("Sum","5802 Value Entry","151 Cost Amount (Expected)","41 Source Type",$C$5,"5 Source No.",$C1443,"4 Item Ledger Entry Type",$C$4,"2 Item No.","@@"&amp;$F1443,"3 Posting Date",O$9)-NL("Sum","5802 Value Entry","43 Cost Amount (Actual)","41 Source Type",$C$5,"5 Source no.",$C1443,"4 Item Ledger Entry Type",$C$4,"2 Item No.","@@"&amp;$F1443,"3 Posting Date",O$9)</t>
  </si>
  <si>
    <t>=O1443-Q1443</t>
  </si>
  <si>
    <t>=IF(O1443&lt;&gt;0,R1443/O1443,"")</t>
  </si>
  <si>
    <t>=NL("Sum","5802 Value Entry","150 Sales Amount (Expected)","41 Source Type",$C$5,"5 Source No.",$C1443,"4 Item Ledger Entry Type",$C$4,"2 Item No.","@@"&amp;$F1443,"3 Posting Date",U$9)+NL("Sum","5802 Value Entry","17 Sales Amount (Actual)","41 Source Type",$C$5,"5 Source no.",$C1443,"4 Item Ledger Entry Type",$C$4,"2 Item No.","@@"&amp;$F1443,"3 Posting Date",U$9)</t>
  </si>
  <si>
    <t>=-NL("Sum","5802 Value Entry","151 Cost Amount (Expected)","41 Source Type",$C$5,"5 Source No.",$C1443,"4 Item Ledger Entry Type",$C$4,"2 Item No.","@@"&amp;$F1443,"3 Posting Date",U$9)-NL("Sum","5802 Value Entry","43 Cost Amount (Actual)","41 Source Type",$C$5,"5 Source no.",$C1443,"4 Item Ledger Entry Type",$C$4,"2 Item No.","@@"&amp;$F1443,"3 Posting Date",U$9)</t>
  </si>
  <si>
    <t>=U1443-W1443</t>
  </si>
  <si>
    <t>=IF(U1443&lt;&gt;0,X1443/U1443,"")</t>
  </si>
  <si>
    <t>=NL("Sum","5802 Value Entry","150 Sales Amount (Expected)","41 Source Type",$C$5,"5 Source No.",$C1443,"4 Item Ledger Entry Type",$C$4,"2 Item No.","@@"&amp;$F1443,"3 Posting Date",Z$9)+NL("Sum","5802 Value Entry","17 Sales Amount (Actual)","41 Source Type",$C$5,"5 Source no.",$C1443,"4 Item Ledger Entry Type",$C$4,"2 Item No.","@@"&amp;$F1443,"3 Posting Date",Z$9)</t>
  </si>
  <si>
    <t>=-NL("Sum","5802 Value Entry","151 Cost Amount (Expected)","41 Source Type",$C$5,"5 Source No.",$C1443,"4 Item Ledger Entry Type",$C$4,"2 Item No.","@@"&amp;$F1443,"3 Posting Date",Z$9)-NL("Sum","5802 Value Entry","43 Cost Amount (Actual)","41 Source Type",$C$5,"5 Source no.",$C1443,"4 Item Ledger Entry Type",$C$4,"2 Item No.","@@"&amp;$F1443,"3 Posting Date",Z$9)</t>
  </si>
  <si>
    <t>=Z1443-AB1443</t>
  </si>
  <si>
    <t>=IF(Z1443&lt;&gt;0,AC1443/Z1443,"")</t>
  </si>
  <si>
    <t>=C1443</t>
  </si>
  <si>
    <t>=NL("Sum","5802 Value Entry","150 Sales Amount (Expected)","41 Source Type",$C$5,"5 Source No.",$C1444,"4 Item Ledger Entry Type",$C$4,"2 Item No.","@@"&amp;$F1444,"3 Posting Date",J$9)+NL("Sum","5802 Value Entry","17 Sales Amount (Actual)","41 Source Type",$C$5,"5 Source no.",$C1444,"4 Item Ledger Entry Type",$C$4,"2 Item No.","@@"&amp;$F1444,"3 Posting Date",J$9)</t>
  </si>
  <si>
    <t>=-NL("Sum","5802 Value Entry","151 Cost Amount (Expected)","41 Source Type",$C$5,"5 Source No.",$C1444,"4 Item Ledger Entry Type",$C$4,"2 Item No.","@@"&amp;$F1444,"3 Posting Date",J$9)-NL("Sum","5802 Value Entry","43 Cost Amount (Actual)","41 Source Type",$C$5,"5 Source no.",$C1444,"4 Item Ledger Entry Type",$C$4,"2 Item No.","@@"&amp;$F1444,"3 Posting Date",J$9)</t>
  </si>
  <si>
    <t>=J1444-L1444</t>
  </si>
  <si>
    <t>=IF(J1444&lt;&gt;0,M1444/J1444,"")</t>
  </si>
  <si>
    <t>=NL("Sum","5802 Value Entry","150 Sales Amount (Expected)","41 Source Type",$C$5,"5 Source No.",$C1444,"4 Item Ledger Entry Type",$C$4,"2 Item No.","@@"&amp;$F1444,"3 Posting Date",O$9)+NL("Sum","5802 Value Entry","17 Sales Amount (Actual)","41 Source Type",$C$5,"5 Source no.",$C1444,"4 Item Ledger Entry Type",$C$4,"2 Item No.","@@"&amp;$F1444,"3 Posting Date",O$9)</t>
  </si>
  <si>
    <t>=-NL("Sum","5802 Value Entry","151 Cost Amount (Expected)","41 Source Type",$C$5,"5 Source No.",$C1444,"4 Item Ledger Entry Type",$C$4,"2 Item No.","@@"&amp;$F1444,"3 Posting Date",O$9)-NL("Sum","5802 Value Entry","43 Cost Amount (Actual)","41 Source Type",$C$5,"5 Source no.",$C1444,"4 Item Ledger Entry Type",$C$4,"2 Item No.","@@"&amp;$F1444,"3 Posting Date",O$9)</t>
  </si>
  <si>
    <t>=O1444-Q1444</t>
  </si>
  <si>
    <t>=IF(O1444&lt;&gt;0,R1444/O1444,"")</t>
  </si>
  <si>
    <t>=NL("Sum","5802 Value Entry","150 Sales Amount (Expected)","41 Source Type",$C$5,"5 Source No.",$C1444,"4 Item Ledger Entry Type",$C$4,"2 Item No.","@@"&amp;$F1444,"3 Posting Date",U$9)+NL("Sum","5802 Value Entry","17 Sales Amount (Actual)","41 Source Type",$C$5,"5 Source no.",$C1444,"4 Item Ledger Entry Type",$C$4,"2 Item No.","@@"&amp;$F1444,"3 Posting Date",U$9)</t>
  </si>
  <si>
    <t>=-NL("Sum","5802 Value Entry","151 Cost Amount (Expected)","41 Source Type",$C$5,"5 Source No.",$C1444,"4 Item Ledger Entry Type",$C$4,"2 Item No.","@@"&amp;$F1444,"3 Posting Date",U$9)-NL("Sum","5802 Value Entry","43 Cost Amount (Actual)","41 Source Type",$C$5,"5 Source no.",$C1444,"4 Item Ledger Entry Type",$C$4,"2 Item No.","@@"&amp;$F1444,"3 Posting Date",U$9)</t>
  </si>
  <si>
    <t>=U1444-W1444</t>
  </si>
  <si>
    <t>=IF(U1444&lt;&gt;0,X1444/U1444,"")</t>
  </si>
  <si>
    <t>=NL("Sum","5802 Value Entry","150 Sales Amount (Expected)","41 Source Type",$C$5,"5 Source No.",$C1444,"4 Item Ledger Entry Type",$C$4,"2 Item No.","@@"&amp;$F1444,"3 Posting Date",Z$9)+NL("Sum","5802 Value Entry","17 Sales Amount (Actual)","41 Source Type",$C$5,"5 Source no.",$C1444,"4 Item Ledger Entry Type",$C$4,"2 Item No.","@@"&amp;$F1444,"3 Posting Date",Z$9)</t>
  </si>
  <si>
    <t>=-NL("Sum","5802 Value Entry","151 Cost Amount (Expected)","41 Source Type",$C$5,"5 Source No.",$C1444,"4 Item Ledger Entry Type",$C$4,"2 Item No.","@@"&amp;$F1444,"3 Posting Date",Z$9)-NL("Sum","5802 Value Entry","43 Cost Amount (Actual)","41 Source Type",$C$5,"5 Source no.",$C1444,"4 Item Ledger Entry Type",$C$4,"2 Item No.","@@"&amp;$F1444,"3 Posting Date",Z$9)</t>
  </si>
  <si>
    <t>=Z1444-AB1444</t>
  </si>
  <si>
    <t>=IF(Z1444&lt;&gt;0,AC1444/Z1444,"")</t>
  </si>
  <si>
    <t>=C1444</t>
  </si>
  <si>
    <t>=NL("Sum","5802 Value Entry","150 Sales Amount (Expected)","41 Source Type",$C$5,"5 Source No.",$C1445,"4 Item Ledger Entry Type",$C$4,"2 Item No.","@@"&amp;$F1445,"3 Posting Date",J$9)+NL("Sum","5802 Value Entry","17 Sales Amount (Actual)","41 Source Type",$C$5,"5 Source no.",$C1445,"4 Item Ledger Entry Type",$C$4,"2 Item No.","@@"&amp;$F1445,"3 Posting Date",J$9)</t>
  </si>
  <si>
    <t>=-NL("Sum","5802 Value Entry","151 Cost Amount (Expected)","41 Source Type",$C$5,"5 Source No.",$C1445,"4 Item Ledger Entry Type",$C$4,"2 Item No.","@@"&amp;$F1445,"3 Posting Date",J$9)-NL("Sum","5802 Value Entry","43 Cost Amount (Actual)","41 Source Type",$C$5,"5 Source no.",$C1445,"4 Item Ledger Entry Type",$C$4,"2 Item No.","@@"&amp;$F1445,"3 Posting Date",J$9)</t>
  </si>
  <si>
    <t>=J1445-L1445</t>
  </si>
  <si>
    <t>=IF(J1445&lt;&gt;0,M1445/J1445,"")</t>
  </si>
  <si>
    <t>=NL("Sum","5802 Value Entry","150 Sales Amount (Expected)","41 Source Type",$C$5,"5 Source No.",$C1445,"4 Item Ledger Entry Type",$C$4,"2 Item No.","@@"&amp;$F1445,"3 Posting Date",O$9)+NL("Sum","5802 Value Entry","17 Sales Amount (Actual)","41 Source Type",$C$5,"5 Source no.",$C1445,"4 Item Ledger Entry Type",$C$4,"2 Item No.","@@"&amp;$F1445,"3 Posting Date",O$9)</t>
  </si>
  <si>
    <t>=-NL("Sum","5802 Value Entry","151 Cost Amount (Expected)","41 Source Type",$C$5,"5 Source No.",$C1445,"4 Item Ledger Entry Type",$C$4,"2 Item No.","@@"&amp;$F1445,"3 Posting Date",O$9)-NL("Sum","5802 Value Entry","43 Cost Amount (Actual)","41 Source Type",$C$5,"5 Source no.",$C1445,"4 Item Ledger Entry Type",$C$4,"2 Item No.","@@"&amp;$F1445,"3 Posting Date",O$9)</t>
  </si>
  <si>
    <t>=O1445-Q1445</t>
  </si>
  <si>
    <t>=IF(O1445&lt;&gt;0,R1445/O1445,"")</t>
  </si>
  <si>
    <t>=NL("Sum","5802 Value Entry","150 Sales Amount (Expected)","41 Source Type",$C$5,"5 Source No.",$C1445,"4 Item Ledger Entry Type",$C$4,"2 Item No.","@@"&amp;$F1445,"3 Posting Date",U$9)+NL("Sum","5802 Value Entry","17 Sales Amount (Actual)","41 Source Type",$C$5,"5 Source no.",$C1445,"4 Item Ledger Entry Type",$C$4,"2 Item No.","@@"&amp;$F1445,"3 Posting Date",U$9)</t>
  </si>
  <si>
    <t>=-NL("Sum","5802 Value Entry","151 Cost Amount (Expected)","41 Source Type",$C$5,"5 Source No.",$C1445,"4 Item Ledger Entry Type",$C$4,"2 Item No.","@@"&amp;$F1445,"3 Posting Date",U$9)-NL("Sum","5802 Value Entry","43 Cost Amount (Actual)","41 Source Type",$C$5,"5 Source no.",$C1445,"4 Item Ledger Entry Type",$C$4,"2 Item No.","@@"&amp;$F1445,"3 Posting Date",U$9)</t>
  </si>
  <si>
    <t>=U1445-W1445</t>
  </si>
  <si>
    <t>=IF(U1445&lt;&gt;0,X1445/U1445,"")</t>
  </si>
  <si>
    <t>=NL("Sum","5802 Value Entry","150 Sales Amount (Expected)","41 Source Type",$C$5,"5 Source No.",$C1445,"4 Item Ledger Entry Type",$C$4,"2 Item No.","@@"&amp;$F1445,"3 Posting Date",Z$9)+NL("Sum","5802 Value Entry","17 Sales Amount (Actual)","41 Source Type",$C$5,"5 Source no.",$C1445,"4 Item Ledger Entry Type",$C$4,"2 Item No.","@@"&amp;$F1445,"3 Posting Date",Z$9)</t>
  </si>
  <si>
    <t>=-NL("Sum","5802 Value Entry","151 Cost Amount (Expected)","41 Source Type",$C$5,"5 Source No.",$C1445,"4 Item Ledger Entry Type",$C$4,"2 Item No.","@@"&amp;$F1445,"3 Posting Date",Z$9)-NL("Sum","5802 Value Entry","43 Cost Amount (Actual)","41 Source Type",$C$5,"5 Source no.",$C1445,"4 Item Ledger Entry Type",$C$4,"2 Item No.","@@"&amp;$F1445,"3 Posting Date",Z$9)</t>
  </si>
  <si>
    <t>=Z1445-AB1445</t>
  </si>
  <si>
    <t>=IF(Z1445&lt;&gt;0,AC1445/Z1445,"")</t>
  </si>
  <si>
    <t>=C1445</t>
  </si>
  <si>
    <t>=NL("Sum","5802 Value Entry","150 Sales Amount (Expected)","41 Source Type",$C$5,"5 Source No.",$C1446,"4 Item Ledger Entry Type",$C$4,"2 Item No.","@@"&amp;$F1446,"3 Posting Date",J$9)+NL("Sum","5802 Value Entry","17 Sales Amount (Actual)","41 Source Type",$C$5,"5 Source no.",$C1446,"4 Item Ledger Entry Type",$C$4,"2 Item No.","@@"&amp;$F1446,"3 Posting Date",J$9)</t>
  </si>
  <si>
    <t>=-NL("Sum","5802 Value Entry","151 Cost Amount (Expected)","41 Source Type",$C$5,"5 Source No.",$C1446,"4 Item Ledger Entry Type",$C$4,"2 Item No.","@@"&amp;$F1446,"3 Posting Date",J$9)-NL("Sum","5802 Value Entry","43 Cost Amount (Actual)","41 Source Type",$C$5,"5 Source no.",$C1446,"4 Item Ledger Entry Type",$C$4,"2 Item No.","@@"&amp;$F1446,"3 Posting Date",J$9)</t>
  </si>
  <si>
    <t>=J1446-L1446</t>
  </si>
  <si>
    <t>=IF(J1446&lt;&gt;0,M1446/J1446,"")</t>
  </si>
  <si>
    <t>=NL("Sum","5802 Value Entry","150 Sales Amount (Expected)","41 Source Type",$C$5,"5 Source No.",$C1446,"4 Item Ledger Entry Type",$C$4,"2 Item No.","@@"&amp;$F1446,"3 Posting Date",O$9)+NL("Sum","5802 Value Entry","17 Sales Amount (Actual)","41 Source Type",$C$5,"5 Source no.",$C1446,"4 Item Ledger Entry Type",$C$4,"2 Item No.","@@"&amp;$F1446,"3 Posting Date",O$9)</t>
  </si>
  <si>
    <t>=-NL("Sum","5802 Value Entry","151 Cost Amount (Expected)","41 Source Type",$C$5,"5 Source No.",$C1446,"4 Item Ledger Entry Type",$C$4,"2 Item No.","@@"&amp;$F1446,"3 Posting Date",O$9)-NL("Sum","5802 Value Entry","43 Cost Amount (Actual)","41 Source Type",$C$5,"5 Source no.",$C1446,"4 Item Ledger Entry Type",$C$4,"2 Item No.","@@"&amp;$F1446,"3 Posting Date",O$9)</t>
  </si>
  <si>
    <t>=O1446-Q1446</t>
  </si>
  <si>
    <t>=IF(O1446&lt;&gt;0,R1446/O1446,"")</t>
  </si>
  <si>
    <t>=NL("Sum","5802 Value Entry","150 Sales Amount (Expected)","41 Source Type",$C$5,"5 Source No.",$C1446,"4 Item Ledger Entry Type",$C$4,"2 Item No.","@@"&amp;$F1446,"3 Posting Date",U$9)+NL("Sum","5802 Value Entry","17 Sales Amount (Actual)","41 Source Type",$C$5,"5 Source no.",$C1446,"4 Item Ledger Entry Type",$C$4,"2 Item No.","@@"&amp;$F1446,"3 Posting Date",U$9)</t>
  </si>
  <si>
    <t>=-NL("Sum","5802 Value Entry","151 Cost Amount (Expected)","41 Source Type",$C$5,"5 Source No.",$C1446,"4 Item Ledger Entry Type",$C$4,"2 Item No.","@@"&amp;$F1446,"3 Posting Date",U$9)-NL("Sum","5802 Value Entry","43 Cost Amount (Actual)","41 Source Type",$C$5,"5 Source no.",$C1446,"4 Item Ledger Entry Type",$C$4,"2 Item No.","@@"&amp;$F1446,"3 Posting Date",U$9)</t>
  </si>
  <si>
    <t>=U1446-W1446</t>
  </si>
  <si>
    <t>=IF(U1446&lt;&gt;0,X1446/U1446,"")</t>
  </si>
  <si>
    <t>=NL("Sum","5802 Value Entry","150 Sales Amount (Expected)","41 Source Type",$C$5,"5 Source No.",$C1446,"4 Item Ledger Entry Type",$C$4,"2 Item No.","@@"&amp;$F1446,"3 Posting Date",Z$9)+NL("Sum","5802 Value Entry","17 Sales Amount (Actual)","41 Source Type",$C$5,"5 Source no.",$C1446,"4 Item Ledger Entry Type",$C$4,"2 Item No.","@@"&amp;$F1446,"3 Posting Date",Z$9)</t>
  </si>
  <si>
    <t>=-NL("Sum","5802 Value Entry","151 Cost Amount (Expected)","41 Source Type",$C$5,"5 Source No.",$C1446,"4 Item Ledger Entry Type",$C$4,"2 Item No.","@@"&amp;$F1446,"3 Posting Date",Z$9)-NL("Sum","5802 Value Entry","43 Cost Amount (Actual)","41 Source Type",$C$5,"5 Source no.",$C1446,"4 Item Ledger Entry Type",$C$4,"2 Item No.","@@"&amp;$F1446,"3 Posting Date",Z$9)</t>
  </si>
  <si>
    <t>=Z1446-AB1446</t>
  </si>
  <si>
    <t>=IF(Z1446&lt;&gt;0,AC1446/Z1446,"")</t>
  </si>
  <si>
    <t>=C1446</t>
  </si>
  <si>
    <t>=NL("Sum","5802 Value Entry","150 Sales Amount (Expected)","41 Source Type",$C$5,"5 Source No.",$C1447,"4 Item Ledger Entry Type",$C$4,"2 Item No.","@@"&amp;$F1447,"3 Posting Date",J$9)+NL("Sum","5802 Value Entry","17 Sales Amount (Actual)","41 Source Type",$C$5,"5 Source no.",$C1447,"4 Item Ledger Entry Type",$C$4,"2 Item No.","@@"&amp;$F1447,"3 Posting Date",J$9)</t>
  </si>
  <si>
    <t>=-NL("Sum","5802 Value Entry","151 Cost Amount (Expected)","41 Source Type",$C$5,"5 Source No.",$C1447,"4 Item Ledger Entry Type",$C$4,"2 Item No.","@@"&amp;$F1447,"3 Posting Date",J$9)-NL("Sum","5802 Value Entry","43 Cost Amount (Actual)","41 Source Type",$C$5,"5 Source no.",$C1447,"4 Item Ledger Entry Type",$C$4,"2 Item No.","@@"&amp;$F1447,"3 Posting Date",J$9)</t>
  </si>
  <si>
    <t>=J1447-L1447</t>
  </si>
  <si>
    <t>=IF(J1447&lt;&gt;0,M1447/J1447,"")</t>
  </si>
  <si>
    <t>=NL("Sum","5802 Value Entry","150 Sales Amount (Expected)","41 Source Type",$C$5,"5 Source No.",$C1447,"4 Item Ledger Entry Type",$C$4,"2 Item No.","@@"&amp;$F1447,"3 Posting Date",O$9)+NL("Sum","5802 Value Entry","17 Sales Amount (Actual)","41 Source Type",$C$5,"5 Source no.",$C1447,"4 Item Ledger Entry Type",$C$4,"2 Item No.","@@"&amp;$F1447,"3 Posting Date",O$9)</t>
  </si>
  <si>
    <t>=-NL("Sum","5802 Value Entry","151 Cost Amount (Expected)","41 Source Type",$C$5,"5 Source No.",$C1447,"4 Item Ledger Entry Type",$C$4,"2 Item No.","@@"&amp;$F1447,"3 Posting Date",O$9)-NL("Sum","5802 Value Entry","43 Cost Amount (Actual)","41 Source Type",$C$5,"5 Source no.",$C1447,"4 Item Ledger Entry Type",$C$4,"2 Item No.","@@"&amp;$F1447,"3 Posting Date",O$9)</t>
  </si>
  <si>
    <t>=O1447-Q1447</t>
  </si>
  <si>
    <t>=IF(O1447&lt;&gt;0,R1447/O1447,"")</t>
  </si>
  <si>
    <t>=NL("Sum","5802 Value Entry","150 Sales Amount (Expected)","41 Source Type",$C$5,"5 Source No.",$C1447,"4 Item Ledger Entry Type",$C$4,"2 Item No.","@@"&amp;$F1447,"3 Posting Date",U$9)+NL("Sum","5802 Value Entry","17 Sales Amount (Actual)","41 Source Type",$C$5,"5 Source no.",$C1447,"4 Item Ledger Entry Type",$C$4,"2 Item No.","@@"&amp;$F1447,"3 Posting Date",U$9)</t>
  </si>
  <si>
    <t>=-NL("Sum","5802 Value Entry","151 Cost Amount (Expected)","41 Source Type",$C$5,"5 Source No.",$C1447,"4 Item Ledger Entry Type",$C$4,"2 Item No.","@@"&amp;$F1447,"3 Posting Date",U$9)-NL("Sum","5802 Value Entry","43 Cost Amount (Actual)","41 Source Type",$C$5,"5 Source no.",$C1447,"4 Item Ledger Entry Type",$C$4,"2 Item No.","@@"&amp;$F1447,"3 Posting Date",U$9)</t>
  </si>
  <si>
    <t>=U1447-W1447</t>
  </si>
  <si>
    <t>=IF(U1447&lt;&gt;0,X1447/U1447,"")</t>
  </si>
  <si>
    <t>=NL("Sum","5802 Value Entry","150 Sales Amount (Expected)","41 Source Type",$C$5,"5 Source No.",$C1447,"4 Item Ledger Entry Type",$C$4,"2 Item No.","@@"&amp;$F1447,"3 Posting Date",Z$9)+NL("Sum","5802 Value Entry","17 Sales Amount (Actual)","41 Source Type",$C$5,"5 Source no.",$C1447,"4 Item Ledger Entry Type",$C$4,"2 Item No.","@@"&amp;$F1447,"3 Posting Date",Z$9)</t>
  </si>
  <si>
    <t>=-NL("Sum","5802 Value Entry","151 Cost Amount (Expected)","41 Source Type",$C$5,"5 Source No.",$C1447,"4 Item Ledger Entry Type",$C$4,"2 Item No.","@@"&amp;$F1447,"3 Posting Date",Z$9)-NL("Sum","5802 Value Entry","43 Cost Amount (Actual)","41 Source Type",$C$5,"5 Source no.",$C1447,"4 Item Ledger Entry Type",$C$4,"2 Item No.","@@"&amp;$F1447,"3 Posting Date",Z$9)</t>
  </si>
  <si>
    <t>=Z1447-AB1447</t>
  </si>
  <si>
    <t>=IF(Z1447&lt;&gt;0,AC1447/Z1447,"")</t>
  </si>
  <si>
    <t>=C1447</t>
  </si>
  <si>
    <t>=NL("Sum","5802 Value Entry","150 Sales Amount (Expected)","41 Source Type",$C$5,"5 Source No.",$C1448,"4 Item Ledger Entry Type",$C$4,"2 Item No.","@@"&amp;$F1448,"3 Posting Date",J$9)+NL("Sum","5802 Value Entry","17 Sales Amount (Actual)","41 Source Type",$C$5,"5 Source no.",$C1448,"4 Item Ledger Entry Type",$C$4,"2 Item No.","@@"&amp;$F1448,"3 Posting Date",J$9)</t>
  </si>
  <si>
    <t>=-NL("Sum","5802 Value Entry","151 Cost Amount (Expected)","41 Source Type",$C$5,"5 Source No.",$C1448,"4 Item Ledger Entry Type",$C$4,"2 Item No.","@@"&amp;$F1448,"3 Posting Date",J$9)-NL("Sum","5802 Value Entry","43 Cost Amount (Actual)","41 Source Type",$C$5,"5 Source no.",$C1448,"4 Item Ledger Entry Type",$C$4,"2 Item No.","@@"&amp;$F1448,"3 Posting Date",J$9)</t>
  </si>
  <si>
    <t>=J1448-L1448</t>
  </si>
  <si>
    <t>=IF(J1448&lt;&gt;0,M1448/J1448,"")</t>
  </si>
  <si>
    <t>=NL("Sum","5802 Value Entry","150 Sales Amount (Expected)","41 Source Type",$C$5,"5 Source No.",$C1448,"4 Item Ledger Entry Type",$C$4,"2 Item No.","@@"&amp;$F1448,"3 Posting Date",O$9)+NL("Sum","5802 Value Entry","17 Sales Amount (Actual)","41 Source Type",$C$5,"5 Source no.",$C1448,"4 Item Ledger Entry Type",$C$4,"2 Item No.","@@"&amp;$F1448,"3 Posting Date",O$9)</t>
  </si>
  <si>
    <t>=-NL("Sum","5802 Value Entry","151 Cost Amount (Expected)","41 Source Type",$C$5,"5 Source No.",$C1448,"4 Item Ledger Entry Type",$C$4,"2 Item No.","@@"&amp;$F1448,"3 Posting Date",O$9)-NL("Sum","5802 Value Entry","43 Cost Amount (Actual)","41 Source Type",$C$5,"5 Source no.",$C1448,"4 Item Ledger Entry Type",$C$4,"2 Item No.","@@"&amp;$F1448,"3 Posting Date",O$9)</t>
  </si>
  <si>
    <t>=O1448-Q1448</t>
  </si>
  <si>
    <t>=IF(O1448&lt;&gt;0,R1448/O1448,"")</t>
  </si>
  <si>
    <t>=NL("Sum","5802 Value Entry","150 Sales Amount (Expected)","41 Source Type",$C$5,"5 Source No.",$C1448,"4 Item Ledger Entry Type",$C$4,"2 Item No.","@@"&amp;$F1448,"3 Posting Date",U$9)+NL("Sum","5802 Value Entry","17 Sales Amount (Actual)","41 Source Type",$C$5,"5 Source no.",$C1448,"4 Item Ledger Entry Type",$C$4,"2 Item No.","@@"&amp;$F1448,"3 Posting Date",U$9)</t>
  </si>
  <si>
    <t>=-NL("Sum","5802 Value Entry","151 Cost Amount (Expected)","41 Source Type",$C$5,"5 Source No.",$C1448,"4 Item Ledger Entry Type",$C$4,"2 Item No.","@@"&amp;$F1448,"3 Posting Date",U$9)-NL("Sum","5802 Value Entry","43 Cost Amount (Actual)","41 Source Type",$C$5,"5 Source no.",$C1448,"4 Item Ledger Entry Type",$C$4,"2 Item No.","@@"&amp;$F1448,"3 Posting Date",U$9)</t>
  </si>
  <si>
    <t>=U1448-W1448</t>
  </si>
  <si>
    <t>=IF(U1448&lt;&gt;0,X1448/U1448,"")</t>
  </si>
  <si>
    <t>=NL("Sum","5802 Value Entry","150 Sales Amount (Expected)","41 Source Type",$C$5,"5 Source No.",$C1448,"4 Item Ledger Entry Type",$C$4,"2 Item No.","@@"&amp;$F1448,"3 Posting Date",Z$9)+NL("Sum","5802 Value Entry","17 Sales Amount (Actual)","41 Source Type",$C$5,"5 Source no.",$C1448,"4 Item Ledger Entry Type",$C$4,"2 Item No.","@@"&amp;$F1448,"3 Posting Date",Z$9)</t>
  </si>
  <si>
    <t>=-NL("Sum","5802 Value Entry","151 Cost Amount (Expected)","41 Source Type",$C$5,"5 Source No.",$C1448,"4 Item Ledger Entry Type",$C$4,"2 Item No.","@@"&amp;$F1448,"3 Posting Date",Z$9)-NL("Sum","5802 Value Entry","43 Cost Amount (Actual)","41 Source Type",$C$5,"5 Source no.",$C1448,"4 Item Ledger Entry Type",$C$4,"2 Item No.","@@"&amp;$F1448,"3 Posting Date",Z$9)</t>
  </si>
  <si>
    <t>=Z1448-AB1448</t>
  </si>
  <si>
    <t>=IF(Z1448&lt;&gt;0,AC1448/Z1448,"")</t>
  </si>
  <si>
    <t>=C1448</t>
  </si>
  <si>
    <t>=NL("Sum","5802 Value Entry","150 Sales Amount (Expected)","41 Source Type",$C$5,"5 Source No.",$C1449,"4 Item Ledger Entry Type",$C$4,"2 Item No.","@@"&amp;$F1449,"3 Posting Date",J$9)+NL("Sum","5802 Value Entry","17 Sales Amount (Actual)","41 Source Type",$C$5,"5 Source no.",$C1449,"4 Item Ledger Entry Type",$C$4,"2 Item No.","@@"&amp;$F1449,"3 Posting Date",J$9)</t>
  </si>
  <si>
    <t>=-NL("Sum","5802 Value Entry","151 Cost Amount (Expected)","41 Source Type",$C$5,"5 Source No.",$C1449,"4 Item Ledger Entry Type",$C$4,"2 Item No.","@@"&amp;$F1449,"3 Posting Date",J$9)-NL("Sum","5802 Value Entry","43 Cost Amount (Actual)","41 Source Type",$C$5,"5 Source no.",$C1449,"4 Item Ledger Entry Type",$C$4,"2 Item No.","@@"&amp;$F1449,"3 Posting Date",J$9)</t>
  </si>
  <si>
    <t>=J1449-L1449</t>
  </si>
  <si>
    <t>=IF(J1449&lt;&gt;0,M1449/J1449,"")</t>
  </si>
  <si>
    <t>=NL("Sum","5802 Value Entry","150 Sales Amount (Expected)","41 Source Type",$C$5,"5 Source No.",$C1449,"4 Item Ledger Entry Type",$C$4,"2 Item No.","@@"&amp;$F1449,"3 Posting Date",O$9)+NL("Sum","5802 Value Entry","17 Sales Amount (Actual)","41 Source Type",$C$5,"5 Source no.",$C1449,"4 Item Ledger Entry Type",$C$4,"2 Item No.","@@"&amp;$F1449,"3 Posting Date",O$9)</t>
  </si>
  <si>
    <t>=-NL("Sum","5802 Value Entry","151 Cost Amount (Expected)","41 Source Type",$C$5,"5 Source No.",$C1449,"4 Item Ledger Entry Type",$C$4,"2 Item No.","@@"&amp;$F1449,"3 Posting Date",O$9)-NL("Sum","5802 Value Entry","43 Cost Amount (Actual)","41 Source Type",$C$5,"5 Source no.",$C1449,"4 Item Ledger Entry Type",$C$4,"2 Item No.","@@"&amp;$F1449,"3 Posting Date",O$9)</t>
  </si>
  <si>
    <t>=O1449-Q1449</t>
  </si>
  <si>
    <t>=IF(O1449&lt;&gt;0,R1449/O1449,"")</t>
  </si>
  <si>
    <t>=NL("Sum","5802 Value Entry","150 Sales Amount (Expected)","41 Source Type",$C$5,"5 Source No.",$C1449,"4 Item Ledger Entry Type",$C$4,"2 Item No.","@@"&amp;$F1449,"3 Posting Date",U$9)+NL("Sum","5802 Value Entry","17 Sales Amount (Actual)","41 Source Type",$C$5,"5 Source no.",$C1449,"4 Item Ledger Entry Type",$C$4,"2 Item No.","@@"&amp;$F1449,"3 Posting Date",U$9)</t>
  </si>
  <si>
    <t>=-NL("Sum","5802 Value Entry","151 Cost Amount (Expected)","41 Source Type",$C$5,"5 Source No.",$C1449,"4 Item Ledger Entry Type",$C$4,"2 Item No.","@@"&amp;$F1449,"3 Posting Date",U$9)-NL("Sum","5802 Value Entry","43 Cost Amount (Actual)","41 Source Type",$C$5,"5 Source no.",$C1449,"4 Item Ledger Entry Type",$C$4,"2 Item No.","@@"&amp;$F1449,"3 Posting Date",U$9)</t>
  </si>
  <si>
    <t>=U1449-W1449</t>
  </si>
  <si>
    <t>=IF(U1449&lt;&gt;0,X1449/U1449,"")</t>
  </si>
  <si>
    <t>=NL("Sum","5802 Value Entry","150 Sales Amount (Expected)","41 Source Type",$C$5,"5 Source No.",$C1449,"4 Item Ledger Entry Type",$C$4,"2 Item No.","@@"&amp;$F1449,"3 Posting Date",Z$9)+NL("Sum","5802 Value Entry","17 Sales Amount (Actual)","41 Source Type",$C$5,"5 Source no.",$C1449,"4 Item Ledger Entry Type",$C$4,"2 Item No.","@@"&amp;$F1449,"3 Posting Date",Z$9)</t>
  </si>
  <si>
    <t>=-NL("Sum","5802 Value Entry","151 Cost Amount (Expected)","41 Source Type",$C$5,"5 Source No.",$C1449,"4 Item Ledger Entry Type",$C$4,"2 Item No.","@@"&amp;$F1449,"3 Posting Date",Z$9)-NL("Sum","5802 Value Entry","43 Cost Amount (Actual)","41 Source Type",$C$5,"5 Source no.",$C1449,"4 Item Ledger Entry Type",$C$4,"2 Item No.","@@"&amp;$F1449,"3 Posting Date",Z$9)</t>
  </si>
  <si>
    <t>=Z1449-AB1449</t>
  </si>
  <si>
    <t>=IF(Z1449&lt;&gt;0,AC1449/Z1449,"")</t>
  </si>
  <si>
    <t>=C1449</t>
  </si>
  <si>
    <t>=NL("Sum","5802 Value Entry","150 Sales Amount (Expected)","41 Source Type",$C$5,"5 Source No.",$C1450,"4 Item Ledger Entry Type",$C$4,"2 Item No.","@@"&amp;$F1450,"3 Posting Date",J$9)+NL("Sum","5802 Value Entry","17 Sales Amount (Actual)","41 Source Type",$C$5,"5 Source no.",$C1450,"4 Item Ledger Entry Type",$C$4,"2 Item No.","@@"&amp;$F1450,"3 Posting Date",J$9)</t>
  </si>
  <si>
    <t>=-NL("Sum","5802 Value Entry","151 Cost Amount (Expected)","41 Source Type",$C$5,"5 Source No.",$C1450,"4 Item Ledger Entry Type",$C$4,"2 Item No.","@@"&amp;$F1450,"3 Posting Date",J$9)-NL("Sum","5802 Value Entry","43 Cost Amount (Actual)","41 Source Type",$C$5,"5 Source no.",$C1450,"4 Item Ledger Entry Type",$C$4,"2 Item No.","@@"&amp;$F1450,"3 Posting Date",J$9)</t>
  </si>
  <si>
    <t>=J1450-L1450</t>
  </si>
  <si>
    <t>=IF(J1450&lt;&gt;0,M1450/J1450,"")</t>
  </si>
  <si>
    <t>=NL("Sum","5802 Value Entry","150 Sales Amount (Expected)","41 Source Type",$C$5,"5 Source No.",$C1450,"4 Item Ledger Entry Type",$C$4,"2 Item No.","@@"&amp;$F1450,"3 Posting Date",O$9)+NL("Sum","5802 Value Entry","17 Sales Amount (Actual)","41 Source Type",$C$5,"5 Source no.",$C1450,"4 Item Ledger Entry Type",$C$4,"2 Item No.","@@"&amp;$F1450,"3 Posting Date",O$9)</t>
  </si>
  <si>
    <t>=-NL("Sum","5802 Value Entry","151 Cost Amount (Expected)","41 Source Type",$C$5,"5 Source No.",$C1450,"4 Item Ledger Entry Type",$C$4,"2 Item No.","@@"&amp;$F1450,"3 Posting Date",O$9)-NL("Sum","5802 Value Entry","43 Cost Amount (Actual)","41 Source Type",$C$5,"5 Source no.",$C1450,"4 Item Ledger Entry Type",$C$4,"2 Item No.","@@"&amp;$F1450,"3 Posting Date",O$9)</t>
  </si>
  <si>
    <t>=O1450-Q1450</t>
  </si>
  <si>
    <t>=IF(O1450&lt;&gt;0,R1450/O1450,"")</t>
  </si>
  <si>
    <t>=NL("Sum","5802 Value Entry","150 Sales Amount (Expected)","41 Source Type",$C$5,"5 Source No.",$C1450,"4 Item Ledger Entry Type",$C$4,"2 Item No.","@@"&amp;$F1450,"3 Posting Date",U$9)+NL("Sum","5802 Value Entry","17 Sales Amount (Actual)","41 Source Type",$C$5,"5 Source no.",$C1450,"4 Item Ledger Entry Type",$C$4,"2 Item No.","@@"&amp;$F1450,"3 Posting Date",U$9)</t>
  </si>
  <si>
    <t>=-NL("Sum","5802 Value Entry","151 Cost Amount (Expected)","41 Source Type",$C$5,"5 Source No.",$C1450,"4 Item Ledger Entry Type",$C$4,"2 Item No.","@@"&amp;$F1450,"3 Posting Date",U$9)-NL("Sum","5802 Value Entry","43 Cost Amount (Actual)","41 Source Type",$C$5,"5 Source no.",$C1450,"4 Item Ledger Entry Type",$C$4,"2 Item No.","@@"&amp;$F1450,"3 Posting Date",U$9)</t>
  </si>
  <si>
    <t>=U1450-W1450</t>
  </si>
  <si>
    <t>=IF(U1450&lt;&gt;0,X1450/U1450,"")</t>
  </si>
  <si>
    <t>=NL("Sum","5802 Value Entry","150 Sales Amount (Expected)","41 Source Type",$C$5,"5 Source No.",$C1450,"4 Item Ledger Entry Type",$C$4,"2 Item No.","@@"&amp;$F1450,"3 Posting Date",Z$9)+NL("Sum","5802 Value Entry","17 Sales Amount (Actual)","41 Source Type",$C$5,"5 Source no.",$C1450,"4 Item Ledger Entry Type",$C$4,"2 Item No.","@@"&amp;$F1450,"3 Posting Date",Z$9)</t>
  </si>
  <si>
    <t>=-NL("Sum","5802 Value Entry","151 Cost Amount (Expected)","41 Source Type",$C$5,"5 Source No.",$C1450,"4 Item Ledger Entry Type",$C$4,"2 Item No.","@@"&amp;$F1450,"3 Posting Date",Z$9)-NL("Sum","5802 Value Entry","43 Cost Amount (Actual)","41 Source Type",$C$5,"5 Source no.",$C1450,"4 Item Ledger Entry Type",$C$4,"2 Item No.","@@"&amp;$F1450,"3 Posting Date",Z$9)</t>
  </si>
  <si>
    <t>=Z1450-AB1450</t>
  </si>
  <si>
    <t>=IF(Z1450&lt;&gt;0,AC1450/Z1450,"")</t>
  </si>
  <si>
    <t>=C1450</t>
  </si>
  <si>
    <t>=NL("Sum","5802 Value Entry","150 Sales Amount (Expected)","41 Source Type",$C$5,"5 Source No.",$C1451,"4 Item Ledger Entry Type",$C$4,"2 Item No.","@@"&amp;$F1451,"3 Posting Date",J$9)+NL("Sum","5802 Value Entry","17 Sales Amount (Actual)","41 Source Type",$C$5,"5 Source no.",$C1451,"4 Item Ledger Entry Type",$C$4,"2 Item No.","@@"&amp;$F1451,"3 Posting Date",J$9)</t>
  </si>
  <si>
    <t>=-NL("Sum","5802 Value Entry","151 Cost Amount (Expected)","41 Source Type",$C$5,"5 Source No.",$C1451,"4 Item Ledger Entry Type",$C$4,"2 Item No.","@@"&amp;$F1451,"3 Posting Date",J$9)-NL("Sum","5802 Value Entry","43 Cost Amount (Actual)","41 Source Type",$C$5,"5 Source no.",$C1451,"4 Item Ledger Entry Type",$C$4,"2 Item No.","@@"&amp;$F1451,"3 Posting Date",J$9)</t>
  </si>
  <si>
    <t>=J1451-L1451</t>
  </si>
  <si>
    <t>=IF(J1451&lt;&gt;0,M1451/J1451,"")</t>
  </si>
  <si>
    <t>=NL("Sum","5802 Value Entry","150 Sales Amount (Expected)","41 Source Type",$C$5,"5 Source No.",$C1451,"4 Item Ledger Entry Type",$C$4,"2 Item No.","@@"&amp;$F1451,"3 Posting Date",O$9)+NL("Sum","5802 Value Entry","17 Sales Amount (Actual)","41 Source Type",$C$5,"5 Source no.",$C1451,"4 Item Ledger Entry Type",$C$4,"2 Item No.","@@"&amp;$F1451,"3 Posting Date",O$9)</t>
  </si>
  <si>
    <t>=-NL("Sum","5802 Value Entry","151 Cost Amount (Expected)","41 Source Type",$C$5,"5 Source No.",$C1451,"4 Item Ledger Entry Type",$C$4,"2 Item No.","@@"&amp;$F1451,"3 Posting Date",O$9)-NL("Sum","5802 Value Entry","43 Cost Amount (Actual)","41 Source Type",$C$5,"5 Source no.",$C1451,"4 Item Ledger Entry Type",$C$4,"2 Item No.","@@"&amp;$F1451,"3 Posting Date",O$9)</t>
  </si>
  <si>
    <t>=O1451-Q1451</t>
  </si>
  <si>
    <t>=IF(O1451&lt;&gt;0,R1451/O1451,"")</t>
  </si>
  <si>
    <t>=NL("Sum","5802 Value Entry","150 Sales Amount (Expected)","41 Source Type",$C$5,"5 Source No.",$C1451,"4 Item Ledger Entry Type",$C$4,"2 Item No.","@@"&amp;$F1451,"3 Posting Date",U$9)+NL("Sum","5802 Value Entry","17 Sales Amount (Actual)","41 Source Type",$C$5,"5 Source no.",$C1451,"4 Item Ledger Entry Type",$C$4,"2 Item No.","@@"&amp;$F1451,"3 Posting Date",U$9)</t>
  </si>
  <si>
    <t>=-NL("Sum","5802 Value Entry","151 Cost Amount (Expected)","41 Source Type",$C$5,"5 Source No.",$C1451,"4 Item Ledger Entry Type",$C$4,"2 Item No.","@@"&amp;$F1451,"3 Posting Date",U$9)-NL("Sum","5802 Value Entry","43 Cost Amount (Actual)","41 Source Type",$C$5,"5 Source no.",$C1451,"4 Item Ledger Entry Type",$C$4,"2 Item No.","@@"&amp;$F1451,"3 Posting Date",U$9)</t>
  </si>
  <si>
    <t>=U1451-W1451</t>
  </si>
  <si>
    <t>=IF(U1451&lt;&gt;0,X1451/U1451,"")</t>
  </si>
  <si>
    <t>=NL("Sum","5802 Value Entry","150 Sales Amount (Expected)","41 Source Type",$C$5,"5 Source No.",$C1451,"4 Item Ledger Entry Type",$C$4,"2 Item No.","@@"&amp;$F1451,"3 Posting Date",Z$9)+NL("Sum","5802 Value Entry","17 Sales Amount (Actual)","41 Source Type",$C$5,"5 Source no.",$C1451,"4 Item Ledger Entry Type",$C$4,"2 Item No.","@@"&amp;$F1451,"3 Posting Date",Z$9)</t>
  </si>
  <si>
    <t>=-NL("Sum","5802 Value Entry","151 Cost Amount (Expected)","41 Source Type",$C$5,"5 Source No.",$C1451,"4 Item Ledger Entry Type",$C$4,"2 Item No.","@@"&amp;$F1451,"3 Posting Date",Z$9)-NL("Sum","5802 Value Entry","43 Cost Amount (Actual)","41 Source Type",$C$5,"5 Source no.",$C1451,"4 Item Ledger Entry Type",$C$4,"2 Item No.","@@"&amp;$F1451,"3 Posting Date",Z$9)</t>
  </si>
  <si>
    <t>=Z1451-AB1451</t>
  </si>
  <si>
    <t>=IF(Z1451&lt;&gt;0,AC1451/Z1451,"")</t>
  </si>
  <si>
    <t>=C1451</t>
  </si>
  <si>
    <t>=NL("Sum","5802 Value Entry","150 Sales Amount (Expected)","41 Source Type",$C$5,"5 Source No.",$C1452,"4 Item Ledger Entry Type",$C$4,"2 Item No.","@@"&amp;$F1452,"3 Posting Date",J$9)+NL("Sum","5802 Value Entry","17 Sales Amount (Actual)","41 Source Type",$C$5,"5 Source no.",$C1452,"4 Item Ledger Entry Type",$C$4,"2 Item No.","@@"&amp;$F1452,"3 Posting Date",J$9)</t>
  </si>
  <si>
    <t>=-NL("Sum","5802 Value Entry","151 Cost Amount (Expected)","41 Source Type",$C$5,"5 Source No.",$C1452,"4 Item Ledger Entry Type",$C$4,"2 Item No.","@@"&amp;$F1452,"3 Posting Date",J$9)-NL("Sum","5802 Value Entry","43 Cost Amount (Actual)","41 Source Type",$C$5,"5 Source no.",$C1452,"4 Item Ledger Entry Type",$C$4,"2 Item No.","@@"&amp;$F1452,"3 Posting Date",J$9)</t>
  </si>
  <si>
    <t>=J1452-L1452</t>
  </si>
  <si>
    <t>=IF(J1452&lt;&gt;0,M1452/J1452,"")</t>
  </si>
  <si>
    <t>=NL("Sum","5802 Value Entry","150 Sales Amount (Expected)","41 Source Type",$C$5,"5 Source No.",$C1452,"4 Item Ledger Entry Type",$C$4,"2 Item No.","@@"&amp;$F1452,"3 Posting Date",O$9)+NL("Sum","5802 Value Entry","17 Sales Amount (Actual)","41 Source Type",$C$5,"5 Source no.",$C1452,"4 Item Ledger Entry Type",$C$4,"2 Item No.","@@"&amp;$F1452,"3 Posting Date",O$9)</t>
  </si>
  <si>
    <t>=-NL("Sum","5802 Value Entry","151 Cost Amount (Expected)","41 Source Type",$C$5,"5 Source No.",$C1452,"4 Item Ledger Entry Type",$C$4,"2 Item No.","@@"&amp;$F1452,"3 Posting Date",O$9)-NL("Sum","5802 Value Entry","43 Cost Amount (Actual)","41 Source Type",$C$5,"5 Source no.",$C1452,"4 Item Ledger Entry Type",$C$4,"2 Item No.","@@"&amp;$F1452,"3 Posting Date",O$9)</t>
  </si>
  <si>
    <t>=O1452-Q1452</t>
  </si>
  <si>
    <t>=IF(O1452&lt;&gt;0,R1452/O1452,"")</t>
  </si>
  <si>
    <t>=NL("Sum","5802 Value Entry","150 Sales Amount (Expected)","41 Source Type",$C$5,"5 Source No.",$C1452,"4 Item Ledger Entry Type",$C$4,"2 Item No.","@@"&amp;$F1452,"3 Posting Date",U$9)+NL("Sum","5802 Value Entry","17 Sales Amount (Actual)","41 Source Type",$C$5,"5 Source no.",$C1452,"4 Item Ledger Entry Type",$C$4,"2 Item No.","@@"&amp;$F1452,"3 Posting Date",U$9)</t>
  </si>
  <si>
    <t>=-NL("Sum","5802 Value Entry","151 Cost Amount (Expected)","41 Source Type",$C$5,"5 Source No.",$C1452,"4 Item Ledger Entry Type",$C$4,"2 Item No.","@@"&amp;$F1452,"3 Posting Date",U$9)-NL("Sum","5802 Value Entry","43 Cost Amount (Actual)","41 Source Type",$C$5,"5 Source no.",$C1452,"4 Item Ledger Entry Type",$C$4,"2 Item No.","@@"&amp;$F1452,"3 Posting Date",U$9)</t>
  </si>
  <si>
    <t>=U1452-W1452</t>
  </si>
  <si>
    <t>=IF(U1452&lt;&gt;0,X1452/U1452,"")</t>
  </si>
  <si>
    <t>=NL("Sum","5802 Value Entry","150 Sales Amount (Expected)","41 Source Type",$C$5,"5 Source No.",$C1452,"4 Item Ledger Entry Type",$C$4,"2 Item No.","@@"&amp;$F1452,"3 Posting Date",Z$9)+NL("Sum","5802 Value Entry","17 Sales Amount (Actual)","41 Source Type",$C$5,"5 Source no.",$C1452,"4 Item Ledger Entry Type",$C$4,"2 Item No.","@@"&amp;$F1452,"3 Posting Date",Z$9)</t>
  </si>
  <si>
    <t>=-NL("Sum","5802 Value Entry","151 Cost Amount (Expected)","41 Source Type",$C$5,"5 Source No.",$C1452,"4 Item Ledger Entry Type",$C$4,"2 Item No.","@@"&amp;$F1452,"3 Posting Date",Z$9)-NL("Sum","5802 Value Entry","43 Cost Amount (Actual)","41 Source Type",$C$5,"5 Source no.",$C1452,"4 Item Ledger Entry Type",$C$4,"2 Item No.","@@"&amp;$F1452,"3 Posting Date",Z$9)</t>
  </si>
  <si>
    <t>=Z1452-AB1452</t>
  </si>
  <si>
    <t>=IF(Z1452&lt;&gt;0,AC1452/Z1452,"")</t>
  </si>
  <si>
    <t>=C1452</t>
  </si>
  <si>
    <t>=NL("Sum","5802 Value Entry","150 Sales Amount (Expected)","41 Source Type",$C$5,"5 Source No.",$C1453,"4 Item Ledger Entry Type",$C$4,"2 Item No.","@@"&amp;$F1453,"3 Posting Date",J$9)+NL("Sum","5802 Value Entry","17 Sales Amount (Actual)","41 Source Type",$C$5,"5 Source no.",$C1453,"4 Item Ledger Entry Type",$C$4,"2 Item No.","@@"&amp;$F1453,"3 Posting Date",J$9)</t>
  </si>
  <si>
    <t>=-NL("Sum","5802 Value Entry","151 Cost Amount (Expected)","41 Source Type",$C$5,"5 Source No.",$C1453,"4 Item Ledger Entry Type",$C$4,"2 Item No.","@@"&amp;$F1453,"3 Posting Date",J$9)-NL("Sum","5802 Value Entry","43 Cost Amount (Actual)","41 Source Type",$C$5,"5 Source no.",$C1453,"4 Item Ledger Entry Type",$C$4,"2 Item No.","@@"&amp;$F1453,"3 Posting Date",J$9)</t>
  </si>
  <si>
    <t>=J1453-L1453</t>
  </si>
  <si>
    <t>=IF(J1453&lt;&gt;0,M1453/J1453,"")</t>
  </si>
  <si>
    <t>=NL("Sum","5802 Value Entry","150 Sales Amount (Expected)","41 Source Type",$C$5,"5 Source No.",$C1453,"4 Item Ledger Entry Type",$C$4,"2 Item No.","@@"&amp;$F1453,"3 Posting Date",O$9)+NL("Sum","5802 Value Entry","17 Sales Amount (Actual)","41 Source Type",$C$5,"5 Source no.",$C1453,"4 Item Ledger Entry Type",$C$4,"2 Item No.","@@"&amp;$F1453,"3 Posting Date",O$9)</t>
  </si>
  <si>
    <t>=-NL("Sum","5802 Value Entry","151 Cost Amount (Expected)","41 Source Type",$C$5,"5 Source No.",$C1453,"4 Item Ledger Entry Type",$C$4,"2 Item No.","@@"&amp;$F1453,"3 Posting Date",O$9)-NL("Sum","5802 Value Entry","43 Cost Amount (Actual)","41 Source Type",$C$5,"5 Source no.",$C1453,"4 Item Ledger Entry Type",$C$4,"2 Item No.","@@"&amp;$F1453,"3 Posting Date",O$9)</t>
  </si>
  <si>
    <t>=O1453-Q1453</t>
  </si>
  <si>
    <t>=IF(O1453&lt;&gt;0,R1453/O1453,"")</t>
  </si>
  <si>
    <t>=NL("Sum","5802 Value Entry","150 Sales Amount (Expected)","41 Source Type",$C$5,"5 Source No.",$C1453,"4 Item Ledger Entry Type",$C$4,"2 Item No.","@@"&amp;$F1453,"3 Posting Date",U$9)+NL("Sum","5802 Value Entry","17 Sales Amount (Actual)","41 Source Type",$C$5,"5 Source no.",$C1453,"4 Item Ledger Entry Type",$C$4,"2 Item No.","@@"&amp;$F1453,"3 Posting Date",U$9)</t>
  </si>
  <si>
    <t>=-NL("Sum","5802 Value Entry","151 Cost Amount (Expected)","41 Source Type",$C$5,"5 Source No.",$C1453,"4 Item Ledger Entry Type",$C$4,"2 Item No.","@@"&amp;$F1453,"3 Posting Date",U$9)-NL("Sum","5802 Value Entry","43 Cost Amount (Actual)","41 Source Type",$C$5,"5 Source no.",$C1453,"4 Item Ledger Entry Type",$C$4,"2 Item No.","@@"&amp;$F1453,"3 Posting Date",U$9)</t>
  </si>
  <si>
    <t>=U1453-W1453</t>
  </si>
  <si>
    <t>=IF(U1453&lt;&gt;0,X1453/U1453,"")</t>
  </si>
  <si>
    <t>=NL("Sum","5802 Value Entry","150 Sales Amount (Expected)","41 Source Type",$C$5,"5 Source No.",$C1453,"4 Item Ledger Entry Type",$C$4,"2 Item No.","@@"&amp;$F1453,"3 Posting Date",Z$9)+NL("Sum","5802 Value Entry","17 Sales Amount (Actual)","41 Source Type",$C$5,"5 Source no.",$C1453,"4 Item Ledger Entry Type",$C$4,"2 Item No.","@@"&amp;$F1453,"3 Posting Date",Z$9)</t>
  </si>
  <si>
    <t>=-NL("Sum","5802 Value Entry","151 Cost Amount (Expected)","41 Source Type",$C$5,"5 Source No.",$C1453,"4 Item Ledger Entry Type",$C$4,"2 Item No.","@@"&amp;$F1453,"3 Posting Date",Z$9)-NL("Sum","5802 Value Entry","43 Cost Amount (Actual)","41 Source Type",$C$5,"5 Source no.",$C1453,"4 Item Ledger Entry Type",$C$4,"2 Item No.","@@"&amp;$F1453,"3 Posting Date",Z$9)</t>
  </si>
  <si>
    <t>=Z1453-AB1453</t>
  </si>
  <si>
    <t>=IF(Z1453&lt;&gt;0,AC1453/Z1453,"")</t>
  </si>
  <si>
    <t>=C1453</t>
  </si>
  <si>
    <t>=NL("Sum","5802 Value Entry","150 Sales Amount (Expected)","41 Source Type",$C$5,"5 Source No.",$C1454,"4 Item Ledger Entry Type",$C$4,"2 Item No.","@@"&amp;$F1454,"3 Posting Date",J$9)+NL("Sum","5802 Value Entry","17 Sales Amount (Actual)","41 Source Type",$C$5,"5 Source no.",$C1454,"4 Item Ledger Entry Type",$C$4,"2 Item No.","@@"&amp;$F1454,"3 Posting Date",J$9)</t>
  </si>
  <si>
    <t>=-NL("Sum","5802 Value Entry","151 Cost Amount (Expected)","41 Source Type",$C$5,"5 Source No.",$C1454,"4 Item Ledger Entry Type",$C$4,"2 Item No.","@@"&amp;$F1454,"3 Posting Date",J$9)-NL("Sum","5802 Value Entry","43 Cost Amount (Actual)","41 Source Type",$C$5,"5 Source no.",$C1454,"4 Item Ledger Entry Type",$C$4,"2 Item No.","@@"&amp;$F1454,"3 Posting Date",J$9)</t>
  </si>
  <si>
    <t>=J1454-L1454</t>
  </si>
  <si>
    <t>=IF(J1454&lt;&gt;0,M1454/J1454,"")</t>
  </si>
  <si>
    <t>=NL("Sum","5802 Value Entry","150 Sales Amount (Expected)","41 Source Type",$C$5,"5 Source No.",$C1454,"4 Item Ledger Entry Type",$C$4,"2 Item No.","@@"&amp;$F1454,"3 Posting Date",O$9)+NL("Sum","5802 Value Entry","17 Sales Amount (Actual)","41 Source Type",$C$5,"5 Source no.",$C1454,"4 Item Ledger Entry Type",$C$4,"2 Item No.","@@"&amp;$F1454,"3 Posting Date",O$9)</t>
  </si>
  <si>
    <t>=-NL("Sum","5802 Value Entry","151 Cost Amount (Expected)","41 Source Type",$C$5,"5 Source No.",$C1454,"4 Item Ledger Entry Type",$C$4,"2 Item No.","@@"&amp;$F1454,"3 Posting Date",O$9)-NL("Sum","5802 Value Entry","43 Cost Amount (Actual)","41 Source Type",$C$5,"5 Source no.",$C1454,"4 Item Ledger Entry Type",$C$4,"2 Item No.","@@"&amp;$F1454,"3 Posting Date",O$9)</t>
  </si>
  <si>
    <t>=O1454-Q1454</t>
  </si>
  <si>
    <t>=IF(O1454&lt;&gt;0,R1454/O1454,"")</t>
  </si>
  <si>
    <t>=NL("Sum","5802 Value Entry","150 Sales Amount (Expected)","41 Source Type",$C$5,"5 Source No.",$C1454,"4 Item Ledger Entry Type",$C$4,"2 Item No.","@@"&amp;$F1454,"3 Posting Date",U$9)+NL("Sum","5802 Value Entry","17 Sales Amount (Actual)","41 Source Type",$C$5,"5 Source no.",$C1454,"4 Item Ledger Entry Type",$C$4,"2 Item No.","@@"&amp;$F1454,"3 Posting Date",U$9)</t>
  </si>
  <si>
    <t>=-NL("Sum","5802 Value Entry","151 Cost Amount (Expected)","41 Source Type",$C$5,"5 Source No.",$C1454,"4 Item Ledger Entry Type",$C$4,"2 Item No.","@@"&amp;$F1454,"3 Posting Date",U$9)-NL("Sum","5802 Value Entry","43 Cost Amount (Actual)","41 Source Type",$C$5,"5 Source no.",$C1454,"4 Item Ledger Entry Type",$C$4,"2 Item No.","@@"&amp;$F1454,"3 Posting Date",U$9)</t>
  </si>
  <si>
    <t>=U1454-W1454</t>
  </si>
  <si>
    <t>=IF(U1454&lt;&gt;0,X1454/U1454,"")</t>
  </si>
  <si>
    <t>=NL("Sum","5802 Value Entry","150 Sales Amount (Expected)","41 Source Type",$C$5,"5 Source No.",$C1454,"4 Item Ledger Entry Type",$C$4,"2 Item No.","@@"&amp;$F1454,"3 Posting Date",Z$9)+NL("Sum","5802 Value Entry","17 Sales Amount (Actual)","41 Source Type",$C$5,"5 Source no.",$C1454,"4 Item Ledger Entry Type",$C$4,"2 Item No.","@@"&amp;$F1454,"3 Posting Date",Z$9)</t>
  </si>
  <si>
    <t>=-NL("Sum","5802 Value Entry","151 Cost Amount (Expected)","41 Source Type",$C$5,"5 Source No.",$C1454,"4 Item Ledger Entry Type",$C$4,"2 Item No.","@@"&amp;$F1454,"3 Posting Date",Z$9)-NL("Sum","5802 Value Entry","43 Cost Amount (Actual)","41 Source Type",$C$5,"5 Source no.",$C1454,"4 Item Ledger Entry Type",$C$4,"2 Item No.","@@"&amp;$F1454,"3 Posting Date",Z$9)</t>
  </si>
  <si>
    <t>=Z1454-AB1454</t>
  </si>
  <si>
    <t>=IF(Z1454&lt;&gt;0,AC1454/Z1454,"")</t>
  </si>
  <si>
    <t>=C1455</t>
  </si>
  <si>
    <t>=J1456-L1456</t>
  </si>
  <si>
    <t>=IF(J1456&lt;&gt;0,M1456/J1456,"")</t>
  </si>
  <si>
    <t>=O1456-Q1456</t>
  </si>
  <si>
    <t>=IF(O1456&lt;&gt;0,R1456/O1456,"")</t>
  </si>
  <si>
    <t>=U1456-W1456</t>
  </si>
  <si>
    <t>=IF(U1456&lt;&gt;0,X1456/U1456,"")</t>
  </si>
  <si>
    <t>=Z1456-AB1456</t>
  </si>
  <si>
    <t>=IF(Z1456&lt;&gt;0,AC1456/Z1456,"")</t>
  </si>
  <si>
    <t>=C1458</t>
  </si>
  <si>
    <t>=C1459</t>
  </si>
  <si>
    <t>=NL("Sum","5802 Value Entry","150 Sales Amount (Expected)","41 Source Type",$C$5,"5 Source No.",$C1460,"4 Item Ledger Entry Type",$C$4,"2 Item No.","@@"&amp;$F1460,"3 Posting Date",J$9)+NL("Sum","5802 Value Entry","17 Sales Amount (Actual)","41 Source Type",$C$5,"5 Source no.",$C1460,"4 Item Ledger Entry Type",$C$4,"2 Item No.","@@"&amp;$F1460,"3 Posting Date",J$9)</t>
  </si>
  <si>
    <t>=-NL("Sum","5802 Value Entry","151 Cost Amount (Expected)","41 Source Type",$C$5,"5 Source No.",$C1460,"4 Item Ledger Entry Type",$C$4,"2 Item No.","@@"&amp;$F1460,"3 Posting Date",J$9)-NL("Sum","5802 Value Entry","43 Cost Amount (Actual)","41 Source Type",$C$5,"5 Source no.",$C1460,"4 Item Ledger Entry Type",$C$4,"2 Item No.","@@"&amp;$F1460,"3 Posting Date",J$9)</t>
  </si>
  <si>
    <t>=J1460-L1460</t>
  </si>
  <si>
    <t>=IF(J1460&lt;&gt;0,M1460/J1460,"")</t>
  </si>
  <si>
    <t>=NL("Sum","5802 Value Entry","150 Sales Amount (Expected)","41 Source Type",$C$5,"5 Source No.",$C1460,"4 Item Ledger Entry Type",$C$4,"2 Item No.","@@"&amp;$F1460,"3 Posting Date",O$9)+NL("Sum","5802 Value Entry","17 Sales Amount (Actual)","41 Source Type",$C$5,"5 Source no.",$C1460,"4 Item Ledger Entry Type",$C$4,"2 Item No.","@@"&amp;$F1460,"3 Posting Date",O$9)</t>
  </si>
  <si>
    <t>=-NL("Sum","5802 Value Entry","151 Cost Amount (Expected)","41 Source Type",$C$5,"5 Source No.",$C1460,"4 Item Ledger Entry Type",$C$4,"2 Item No.","@@"&amp;$F1460,"3 Posting Date",O$9)-NL("Sum","5802 Value Entry","43 Cost Amount (Actual)","41 Source Type",$C$5,"5 Source no.",$C1460,"4 Item Ledger Entry Type",$C$4,"2 Item No.","@@"&amp;$F1460,"3 Posting Date",O$9)</t>
  </si>
  <si>
    <t>=O1460-Q1460</t>
  </si>
  <si>
    <t>=IF(O1460&lt;&gt;0,R1460/O1460,"")</t>
  </si>
  <si>
    <t>=NL("Sum","5802 Value Entry","150 Sales Amount (Expected)","41 Source Type",$C$5,"5 Source No.",$C1460,"4 Item Ledger Entry Type",$C$4,"2 Item No.","@@"&amp;$F1460,"3 Posting Date",U$9)+NL("Sum","5802 Value Entry","17 Sales Amount (Actual)","41 Source Type",$C$5,"5 Source no.",$C1460,"4 Item Ledger Entry Type",$C$4,"2 Item No.","@@"&amp;$F1460,"3 Posting Date",U$9)</t>
  </si>
  <si>
    <t>=-NL("Sum","5802 Value Entry","151 Cost Amount (Expected)","41 Source Type",$C$5,"5 Source No.",$C1460,"4 Item Ledger Entry Type",$C$4,"2 Item No.","@@"&amp;$F1460,"3 Posting Date",U$9)-NL("Sum","5802 Value Entry","43 Cost Amount (Actual)","41 Source Type",$C$5,"5 Source no.",$C1460,"4 Item Ledger Entry Type",$C$4,"2 Item No.","@@"&amp;$F1460,"3 Posting Date",U$9)</t>
  </si>
  <si>
    <t>=U1460-W1460</t>
  </si>
  <si>
    <t>=IF(U1460&lt;&gt;0,X1460/U1460,"")</t>
  </si>
  <si>
    <t>=NL("Sum","5802 Value Entry","150 Sales Amount (Expected)","41 Source Type",$C$5,"5 Source No.",$C1460,"4 Item Ledger Entry Type",$C$4,"2 Item No.","@@"&amp;$F1460,"3 Posting Date",Z$9)+NL("Sum","5802 Value Entry","17 Sales Amount (Actual)","41 Source Type",$C$5,"5 Source no.",$C1460,"4 Item Ledger Entry Type",$C$4,"2 Item No.","@@"&amp;$F1460,"3 Posting Date",Z$9)</t>
  </si>
  <si>
    <t>=-NL("Sum","5802 Value Entry","151 Cost Amount (Expected)","41 Source Type",$C$5,"5 Source No.",$C1460,"4 Item Ledger Entry Type",$C$4,"2 Item No.","@@"&amp;$F1460,"3 Posting Date",Z$9)-NL("Sum","5802 Value Entry","43 Cost Amount (Actual)","41 Source Type",$C$5,"5 Source no.",$C1460,"4 Item Ledger Entry Type",$C$4,"2 Item No.","@@"&amp;$F1460,"3 Posting Date",Z$9)</t>
  </si>
  <si>
    <t>=Z1460-AB1460</t>
  </si>
  <si>
    <t>=IF(Z1460&lt;&gt;0,AC1460/Z1460,"")</t>
  </si>
  <si>
    <t>=C1460</t>
  </si>
  <si>
    <t>=NL("Sum","5802 Value Entry","150 Sales Amount (Expected)","41 Source Type",$C$5,"5 Source No.",$C1461,"4 Item Ledger Entry Type",$C$4,"2 Item No.","@@"&amp;$F1461,"3 Posting Date",J$9)+NL("Sum","5802 Value Entry","17 Sales Amount (Actual)","41 Source Type",$C$5,"5 Source no.",$C1461,"4 Item Ledger Entry Type",$C$4,"2 Item No.","@@"&amp;$F1461,"3 Posting Date",J$9)</t>
  </si>
  <si>
    <t>=-NL("Sum","5802 Value Entry","151 Cost Amount (Expected)","41 Source Type",$C$5,"5 Source No.",$C1461,"4 Item Ledger Entry Type",$C$4,"2 Item No.","@@"&amp;$F1461,"3 Posting Date",J$9)-NL("Sum","5802 Value Entry","43 Cost Amount (Actual)","41 Source Type",$C$5,"5 Source no.",$C1461,"4 Item Ledger Entry Type",$C$4,"2 Item No.","@@"&amp;$F1461,"3 Posting Date",J$9)</t>
  </si>
  <si>
    <t>=J1461-L1461</t>
  </si>
  <si>
    <t>=IF(J1461&lt;&gt;0,M1461/J1461,"")</t>
  </si>
  <si>
    <t>=NL("Sum","5802 Value Entry","150 Sales Amount (Expected)","41 Source Type",$C$5,"5 Source No.",$C1461,"4 Item Ledger Entry Type",$C$4,"2 Item No.","@@"&amp;$F1461,"3 Posting Date",O$9)+NL("Sum","5802 Value Entry","17 Sales Amount (Actual)","41 Source Type",$C$5,"5 Source no.",$C1461,"4 Item Ledger Entry Type",$C$4,"2 Item No.","@@"&amp;$F1461,"3 Posting Date",O$9)</t>
  </si>
  <si>
    <t>=-NL("Sum","5802 Value Entry","151 Cost Amount (Expected)","41 Source Type",$C$5,"5 Source No.",$C1461,"4 Item Ledger Entry Type",$C$4,"2 Item No.","@@"&amp;$F1461,"3 Posting Date",O$9)-NL("Sum","5802 Value Entry","43 Cost Amount (Actual)","41 Source Type",$C$5,"5 Source no.",$C1461,"4 Item Ledger Entry Type",$C$4,"2 Item No.","@@"&amp;$F1461,"3 Posting Date",O$9)</t>
  </si>
  <si>
    <t>=O1461-Q1461</t>
  </si>
  <si>
    <t>=IF(O1461&lt;&gt;0,R1461/O1461,"")</t>
  </si>
  <si>
    <t>=NL("Sum","5802 Value Entry","150 Sales Amount (Expected)","41 Source Type",$C$5,"5 Source No.",$C1461,"4 Item Ledger Entry Type",$C$4,"2 Item No.","@@"&amp;$F1461,"3 Posting Date",U$9)+NL("Sum","5802 Value Entry","17 Sales Amount (Actual)","41 Source Type",$C$5,"5 Source no.",$C1461,"4 Item Ledger Entry Type",$C$4,"2 Item No.","@@"&amp;$F1461,"3 Posting Date",U$9)</t>
  </si>
  <si>
    <t>=-NL("Sum","5802 Value Entry","151 Cost Amount (Expected)","41 Source Type",$C$5,"5 Source No.",$C1461,"4 Item Ledger Entry Type",$C$4,"2 Item No.","@@"&amp;$F1461,"3 Posting Date",U$9)-NL("Sum","5802 Value Entry","43 Cost Amount (Actual)","41 Source Type",$C$5,"5 Source no.",$C1461,"4 Item Ledger Entry Type",$C$4,"2 Item No.","@@"&amp;$F1461,"3 Posting Date",U$9)</t>
  </si>
  <si>
    <t>=U1461-W1461</t>
  </si>
  <si>
    <t>=IF(U1461&lt;&gt;0,X1461/U1461,"")</t>
  </si>
  <si>
    <t>=NL("Sum","5802 Value Entry","150 Sales Amount (Expected)","41 Source Type",$C$5,"5 Source No.",$C1461,"4 Item Ledger Entry Type",$C$4,"2 Item No.","@@"&amp;$F1461,"3 Posting Date",Z$9)+NL("Sum","5802 Value Entry","17 Sales Amount (Actual)","41 Source Type",$C$5,"5 Source no.",$C1461,"4 Item Ledger Entry Type",$C$4,"2 Item No.","@@"&amp;$F1461,"3 Posting Date",Z$9)</t>
  </si>
  <si>
    <t>=-NL("Sum","5802 Value Entry","151 Cost Amount (Expected)","41 Source Type",$C$5,"5 Source No.",$C1461,"4 Item Ledger Entry Type",$C$4,"2 Item No.","@@"&amp;$F1461,"3 Posting Date",Z$9)-NL("Sum","5802 Value Entry","43 Cost Amount (Actual)","41 Source Type",$C$5,"5 Source no.",$C1461,"4 Item Ledger Entry Type",$C$4,"2 Item No.","@@"&amp;$F1461,"3 Posting Date",Z$9)</t>
  </si>
  <si>
    <t>=Z1461-AB1461</t>
  </si>
  <si>
    <t>=IF(Z1461&lt;&gt;0,AC1461/Z1461,"")</t>
  </si>
  <si>
    <t>=C1461</t>
  </si>
  <si>
    <t>=NL("Sum","5802 Value Entry","150 Sales Amount (Expected)","41 Source Type",$C$5,"5 Source No.",$C1462,"4 Item Ledger Entry Type",$C$4,"2 Item No.","@@"&amp;$F1462,"3 Posting Date",J$9)+NL("Sum","5802 Value Entry","17 Sales Amount (Actual)","41 Source Type",$C$5,"5 Source no.",$C1462,"4 Item Ledger Entry Type",$C$4,"2 Item No.","@@"&amp;$F1462,"3 Posting Date",J$9)</t>
  </si>
  <si>
    <t>=-NL("Sum","5802 Value Entry","151 Cost Amount (Expected)","41 Source Type",$C$5,"5 Source No.",$C1462,"4 Item Ledger Entry Type",$C$4,"2 Item No.","@@"&amp;$F1462,"3 Posting Date",J$9)-NL("Sum","5802 Value Entry","43 Cost Amount (Actual)","41 Source Type",$C$5,"5 Source no.",$C1462,"4 Item Ledger Entry Type",$C$4,"2 Item No.","@@"&amp;$F1462,"3 Posting Date",J$9)</t>
  </si>
  <si>
    <t>=J1462-L1462</t>
  </si>
  <si>
    <t>=IF(J1462&lt;&gt;0,M1462/J1462,"")</t>
  </si>
  <si>
    <t>=NL("Sum","5802 Value Entry","150 Sales Amount (Expected)","41 Source Type",$C$5,"5 Source No.",$C1462,"4 Item Ledger Entry Type",$C$4,"2 Item No.","@@"&amp;$F1462,"3 Posting Date",O$9)+NL("Sum","5802 Value Entry","17 Sales Amount (Actual)","41 Source Type",$C$5,"5 Source no.",$C1462,"4 Item Ledger Entry Type",$C$4,"2 Item No.","@@"&amp;$F1462,"3 Posting Date",O$9)</t>
  </si>
  <si>
    <t>=-NL("Sum","5802 Value Entry","151 Cost Amount (Expected)","41 Source Type",$C$5,"5 Source No.",$C1462,"4 Item Ledger Entry Type",$C$4,"2 Item No.","@@"&amp;$F1462,"3 Posting Date",O$9)-NL("Sum","5802 Value Entry","43 Cost Amount (Actual)","41 Source Type",$C$5,"5 Source no.",$C1462,"4 Item Ledger Entry Type",$C$4,"2 Item No.","@@"&amp;$F1462,"3 Posting Date",O$9)</t>
  </si>
  <si>
    <t>=O1462-Q1462</t>
  </si>
  <si>
    <t>=IF(O1462&lt;&gt;0,R1462/O1462,"")</t>
  </si>
  <si>
    <t>=NL("Sum","5802 Value Entry","150 Sales Amount (Expected)","41 Source Type",$C$5,"5 Source No.",$C1462,"4 Item Ledger Entry Type",$C$4,"2 Item No.","@@"&amp;$F1462,"3 Posting Date",U$9)+NL("Sum","5802 Value Entry","17 Sales Amount (Actual)","41 Source Type",$C$5,"5 Source no.",$C1462,"4 Item Ledger Entry Type",$C$4,"2 Item No.","@@"&amp;$F1462,"3 Posting Date",U$9)</t>
  </si>
  <si>
    <t>=-NL("Sum","5802 Value Entry","151 Cost Amount (Expected)","41 Source Type",$C$5,"5 Source No.",$C1462,"4 Item Ledger Entry Type",$C$4,"2 Item No.","@@"&amp;$F1462,"3 Posting Date",U$9)-NL("Sum","5802 Value Entry","43 Cost Amount (Actual)","41 Source Type",$C$5,"5 Source no.",$C1462,"4 Item Ledger Entry Type",$C$4,"2 Item No.","@@"&amp;$F1462,"3 Posting Date",U$9)</t>
  </si>
  <si>
    <t>=U1462-W1462</t>
  </si>
  <si>
    <t>=IF(U1462&lt;&gt;0,X1462/U1462,"")</t>
  </si>
  <si>
    <t>=NL("Sum","5802 Value Entry","150 Sales Amount (Expected)","41 Source Type",$C$5,"5 Source No.",$C1462,"4 Item Ledger Entry Type",$C$4,"2 Item No.","@@"&amp;$F1462,"3 Posting Date",Z$9)+NL("Sum","5802 Value Entry","17 Sales Amount (Actual)","41 Source Type",$C$5,"5 Source no.",$C1462,"4 Item Ledger Entry Type",$C$4,"2 Item No.","@@"&amp;$F1462,"3 Posting Date",Z$9)</t>
  </si>
  <si>
    <t>=-NL("Sum","5802 Value Entry","151 Cost Amount (Expected)","41 Source Type",$C$5,"5 Source No.",$C1462,"4 Item Ledger Entry Type",$C$4,"2 Item No.","@@"&amp;$F1462,"3 Posting Date",Z$9)-NL("Sum","5802 Value Entry","43 Cost Amount (Actual)","41 Source Type",$C$5,"5 Source no.",$C1462,"4 Item Ledger Entry Type",$C$4,"2 Item No.","@@"&amp;$F1462,"3 Posting Date",Z$9)</t>
  </si>
  <si>
    <t>=Z1462-AB1462</t>
  </si>
  <si>
    <t>=IF(Z1462&lt;&gt;0,AC1462/Z1462,"")</t>
  </si>
  <si>
    <t>=C1462</t>
  </si>
  <si>
    <t>=NL("Sum","5802 Value Entry","150 Sales Amount (Expected)","41 Source Type",$C$5,"5 Source No.",$C1463,"4 Item Ledger Entry Type",$C$4,"2 Item No.","@@"&amp;$F1463,"3 Posting Date",J$9)+NL("Sum","5802 Value Entry","17 Sales Amount (Actual)","41 Source Type",$C$5,"5 Source no.",$C1463,"4 Item Ledger Entry Type",$C$4,"2 Item No.","@@"&amp;$F1463,"3 Posting Date",J$9)</t>
  </si>
  <si>
    <t>=-NL("Sum","5802 Value Entry","151 Cost Amount (Expected)","41 Source Type",$C$5,"5 Source No.",$C1463,"4 Item Ledger Entry Type",$C$4,"2 Item No.","@@"&amp;$F1463,"3 Posting Date",J$9)-NL("Sum","5802 Value Entry","43 Cost Amount (Actual)","41 Source Type",$C$5,"5 Source no.",$C1463,"4 Item Ledger Entry Type",$C$4,"2 Item No.","@@"&amp;$F1463,"3 Posting Date",J$9)</t>
  </si>
  <si>
    <t>=J1463-L1463</t>
  </si>
  <si>
    <t>=IF(J1463&lt;&gt;0,M1463/J1463,"")</t>
  </si>
  <si>
    <t>=NL("Sum","5802 Value Entry","150 Sales Amount (Expected)","41 Source Type",$C$5,"5 Source No.",$C1463,"4 Item Ledger Entry Type",$C$4,"2 Item No.","@@"&amp;$F1463,"3 Posting Date",O$9)+NL("Sum","5802 Value Entry","17 Sales Amount (Actual)","41 Source Type",$C$5,"5 Source no.",$C1463,"4 Item Ledger Entry Type",$C$4,"2 Item No.","@@"&amp;$F1463,"3 Posting Date",O$9)</t>
  </si>
  <si>
    <t>=-NL("Sum","5802 Value Entry","151 Cost Amount (Expected)","41 Source Type",$C$5,"5 Source No.",$C1463,"4 Item Ledger Entry Type",$C$4,"2 Item No.","@@"&amp;$F1463,"3 Posting Date",O$9)-NL("Sum","5802 Value Entry","43 Cost Amount (Actual)","41 Source Type",$C$5,"5 Source no.",$C1463,"4 Item Ledger Entry Type",$C$4,"2 Item No.","@@"&amp;$F1463,"3 Posting Date",O$9)</t>
  </si>
  <si>
    <t>=O1463-Q1463</t>
  </si>
  <si>
    <t>=IF(O1463&lt;&gt;0,R1463/O1463,"")</t>
  </si>
  <si>
    <t>=NL("Sum","5802 Value Entry","150 Sales Amount (Expected)","41 Source Type",$C$5,"5 Source No.",$C1463,"4 Item Ledger Entry Type",$C$4,"2 Item No.","@@"&amp;$F1463,"3 Posting Date",U$9)+NL("Sum","5802 Value Entry","17 Sales Amount (Actual)","41 Source Type",$C$5,"5 Source no.",$C1463,"4 Item Ledger Entry Type",$C$4,"2 Item No.","@@"&amp;$F1463,"3 Posting Date",U$9)</t>
  </si>
  <si>
    <t>=-NL("Sum","5802 Value Entry","151 Cost Amount (Expected)","41 Source Type",$C$5,"5 Source No.",$C1463,"4 Item Ledger Entry Type",$C$4,"2 Item No.","@@"&amp;$F1463,"3 Posting Date",U$9)-NL("Sum","5802 Value Entry","43 Cost Amount (Actual)","41 Source Type",$C$5,"5 Source no.",$C1463,"4 Item Ledger Entry Type",$C$4,"2 Item No.","@@"&amp;$F1463,"3 Posting Date",U$9)</t>
  </si>
  <si>
    <t>=U1463-W1463</t>
  </si>
  <si>
    <t>=IF(U1463&lt;&gt;0,X1463/U1463,"")</t>
  </si>
  <si>
    <t>=NL("Sum","5802 Value Entry","150 Sales Amount (Expected)","41 Source Type",$C$5,"5 Source No.",$C1463,"4 Item Ledger Entry Type",$C$4,"2 Item No.","@@"&amp;$F1463,"3 Posting Date",Z$9)+NL("Sum","5802 Value Entry","17 Sales Amount (Actual)","41 Source Type",$C$5,"5 Source no.",$C1463,"4 Item Ledger Entry Type",$C$4,"2 Item No.","@@"&amp;$F1463,"3 Posting Date",Z$9)</t>
  </si>
  <si>
    <t>=-NL("Sum","5802 Value Entry","151 Cost Amount (Expected)","41 Source Type",$C$5,"5 Source No.",$C1463,"4 Item Ledger Entry Type",$C$4,"2 Item No.","@@"&amp;$F1463,"3 Posting Date",Z$9)-NL("Sum","5802 Value Entry","43 Cost Amount (Actual)","41 Source Type",$C$5,"5 Source no.",$C1463,"4 Item Ledger Entry Type",$C$4,"2 Item No.","@@"&amp;$F1463,"3 Posting Date",Z$9)</t>
  </si>
  <si>
    <t>=Z1463-AB1463</t>
  </si>
  <si>
    <t>=IF(Z1463&lt;&gt;0,AC1463/Z1463,"")</t>
  </si>
  <si>
    <t>=C1463</t>
  </si>
  <si>
    <t>=NL("Sum","5802 Value Entry","150 Sales Amount (Expected)","41 Source Type",$C$5,"5 Source No.",$C1464,"4 Item Ledger Entry Type",$C$4,"2 Item No.","@@"&amp;$F1464,"3 Posting Date",J$9)+NL("Sum","5802 Value Entry","17 Sales Amount (Actual)","41 Source Type",$C$5,"5 Source no.",$C1464,"4 Item Ledger Entry Type",$C$4,"2 Item No.","@@"&amp;$F1464,"3 Posting Date",J$9)</t>
  </si>
  <si>
    <t>=-NL("Sum","5802 Value Entry","151 Cost Amount (Expected)","41 Source Type",$C$5,"5 Source No.",$C1464,"4 Item Ledger Entry Type",$C$4,"2 Item No.","@@"&amp;$F1464,"3 Posting Date",J$9)-NL("Sum","5802 Value Entry","43 Cost Amount (Actual)","41 Source Type",$C$5,"5 Source no.",$C1464,"4 Item Ledger Entry Type",$C$4,"2 Item No.","@@"&amp;$F1464,"3 Posting Date",J$9)</t>
  </si>
  <si>
    <t>=J1464-L1464</t>
  </si>
  <si>
    <t>=IF(J1464&lt;&gt;0,M1464/J1464,"")</t>
  </si>
  <si>
    <t>=NL("Sum","5802 Value Entry","150 Sales Amount (Expected)","41 Source Type",$C$5,"5 Source No.",$C1464,"4 Item Ledger Entry Type",$C$4,"2 Item No.","@@"&amp;$F1464,"3 Posting Date",O$9)+NL("Sum","5802 Value Entry","17 Sales Amount (Actual)","41 Source Type",$C$5,"5 Source no.",$C1464,"4 Item Ledger Entry Type",$C$4,"2 Item No.","@@"&amp;$F1464,"3 Posting Date",O$9)</t>
  </si>
  <si>
    <t>=-NL("Sum","5802 Value Entry","151 Cost Amount (Expected)","41 Source Type",$C$5,"5 Source No.",$C1464,"4 Item Ledger Entry Type",$C$4,"2 Item No.","@@"&amp;$F1464,"3 Posting Date",O$9)-NL("Sum","5802 Value Entry","43 Cost Amount (Actual)","41 Source Type",$C$5,"5 Source no.",$C1464,"4 Item Ledger Entry Type",$C$4,"2 Item No.","@@"&amp;$F1464,"3 Posting Date",O$9)</t>
  </si>
  <si>
    <t>=O1464-Q1464</t>
  </si>
  <si>
    <t>=IF(O1464&lt;&gt;0,R1464/O1464,"")</t>
  </si>
  <si>
    <t>=NL("Sum","5802 Value Entry","150 Sales Amount (Expected)","41 Source Type",$C$5,"5 Source No.",$C1464,"4 Item Ledger Entry Type",$C$4,"2 Item No.","@@"&amp;$F1464,"3 Posting Date",U$9)+NL("Sum","5802 Value Entry","17 Sales Amount (Actual)","41 Source Type",$C$5,"5 Source no.",$C1464,"4 Item Ledger Entry Type",$C$4,"2 Item No.","@@"&amp;$F1464,"3 Posting Date",U$9)</t>
  </si>
  <si>
    <t>=-NL("Sum","5802 Value Entry","151 Cost Amount (Expected)","41 Source Type",$C$5,"5 Source No.",$C1464,"4 Item Ledger Entry Type",$C$4,"2 Item No.","@@"&amp;$F1464,"3 Posting Date",U$9)-NL("Sum","5802 Value Entry","43 Cost Amount (Actual)","41 Source Type",$C$5,"5 Source no.",$C1464,"4 Item Ledger Entry Type",$C$4,"2 Item No.","@@"&amp;$F1464,"3 Posting Date",U$9)</t>
  </si>
  <si>
    <t>=U1464-W1464</t>
  </si>
  <si>
    <t>=IF(U1464&lt;&gt;0,X1464/U1464,"")</t>
  </si>
  <si>
    <t>=NL("Sum","5802 Value Entry","150 Sales Amount (Expected)","41 Source Type",$C$5,"5 Source No.",$C1464,"4 Item Ledger Entry Type",$C$4,"2 Item No.","@@"&amp;$F1464,"3 Posting Date",Z$9)+NL("Sum","5802 Value Entry","17 Sales Amount (Actual)","41 Source Type",$C$5,"5 Source no.",$C1464,"4 Item Ledger Entry Type",$C$4,"2 Item No.","@@"&amp;$F1464,"3 Posting Date",Z$9)</t>
  </si>
  <si>
    <t>=-NL("Sum","5802 Value Entry","151 Cost Amount (Expected)","41 Source Type",$C$5,"5 Source No.",$C1464,"4 Item Ledger Entry Type",$C$4,"2 Item No.","@@"&amp;$F1464,"3 Posting Date",Z$9)-NL("Sum","5802 Value Entry","43 Cost Amount (Actual)","41 Source Type",$C$5,"5 Source no.",$C1464,"4 Item Ledger Entry Type",$C$4,"2 Item No.","@@"&amp;$F1464,"3 Posting Date",Z$9)</t>
  </si>
  <si>
    <t>=Z1464-AB1464</t>
  </si>
  <si>
    <t>=IF(Z1464&lt;&gt;0,AC1464/Z1464,"")</t>
  </si>
  <si>
    <t>=C1464</t>
  </si>
  <si>
    <t>=NL("Sum","5802 Value Entry","150 Sales Amount (Expected)","41 Source Type",$C$5,"5 Source No.",$C1465,"4 Item Ledger Entry Type",$C$4,"2 Item No.","@@"&amp;$F1465,"3 Posting Date",J$9)+NL("Sum","5802 Value Entry","17 Sales Amount (Actual)","41 Source Type",$C$5,"5 Source no.",$C1465,"4 Item Ledger Entry Type",$C$4,"2 Item No.","@@"&amp;$F1465,"3 Posting Date",J$9)</t>
  </si>
  <si>
    <t>=-NL("Sum","5802 Value Entry","151 Cost Amount (Expected)","41 Source Type",$C$5,"5 Source No.",$C1465,"4 Item Ledger Entry Type",$C$4,"2 Item No.","@@"&amp;$F1465,"3 Posting Date",J$9)-NL("Sum","5802 Value Entry","43 Cost Amount (Actual)","41 Source Type",$C$5,"5 Source no.",$C1465,"4 Item Ledger Entry Type",$C$4,"2 Item No.","@@"&amp;$F1465,"3 Posting Date",J$9)</t>
  </si>
  <si>
    <t>=J1465-L1465</t>
  </si>
  <si>
    <t>=IF(J1465&lt;&gt;0,M1465/J1465,"")</t>
  </si>
  <si>
    <t>=NL("Sum","5802 Value Entry","150 Sales Amount (Expected)","41 Source Type",$C$5,"5 Source No.",$C1465,"4 Item Ledger Entry Type",$C$4,"2 Item No.","@@"&amp;$F1465,"3 Posting Date",O$9)+NL("Sum","5802 Value Entry","17 Sales Amount (Actual)","41 Source Type",$C$5,"5 Source no.",$C1465,"4 Item Ledger Entry Type",$C$4,"2 Item No.","@@"&amp;$F1465,"3 Posting Date",O$9)</t>
  </si>
  <si>
    <t>=-NL("Sum","5802 Value Entry","151 Cost Amount (Expected)","41 Source Type",$C$5,"5 Source No.",$C1465,"4 Item Ledger Entry Type",$C$4,"2 Item No.","@@"&amp;$F1465,"3 Posting Date",O$9)-NL("Sum","5802 Value Entry","43 Cost Amount (Actual)","41 Source Type",$C$5,"5 Source no.",$C1465,"4 Item Ledger Entry Type",$C$4,"2 Item No.","@@"&amp;$F1465,"3 Posting Date",O$9)</t>
  </si>
  <si>
    <t>=O1465-Q1465</t>
  </si>
  <si>
    <t>=IF(O1465&lt;&gt;0,R1465/O1465,"")</t>
  </si>
  <si>
    <t>=NL("Sum","5802 Value Entry","150 Sales Amount (Expected)","41 Source Type",$C$5,"5 Source No.",$C1465,"4 Item Ledger Entry Type",$C$4,"2 Item No.","@@"&amp;$F1465,"3 Posting Date",U$9)+NL("Sum","5802 Value Entry","17 Sales Amount (Actual)","41 Source Type",$C$5,"5 Source no.",$C1465,"4 Item Ledger Entry Type",$C$4,"2 Item No.","@@"&amp;$F1465,"3 Posting Date",U$9)</t>
  </si>
  <si>
    <t>=-NL("Sum","5802 Value Entry","151 Cost Amount (Expected)","41 Source Type",$C$5,"5 Source No.",$C1465,"4 Item Ledger Entry Type",$C$4,"2 Item No.","@@"&amp;$F1465,"3 Posting Date",U$9)-NL("Sum","5802 Value Entry","43 Cost Amount (Actual)","41 Source Type",$C$5,"5 Source no.",$C1465,"4 Item Ledger Entry Type",$C$4,"2 Item No.","@@"&amp;$F1465,"3 Posting Date",U$9)</t>
  </si>
  <si>
    <t>=U1465-W1465</t>
  </si>
  <si>
    <t>=IF(U1465&lt;&gt;0,X1465/U1465,"")</t>
  </si>
  <si>
    <t>=NL("Sum","5802 Value Entry","150 Sales Amount (Expected)","41 Source Type",$C$5,"5 Source No.",$C1465,"4 Item Ledger Entry Type",$C$4,"2 Item No.","@@"&amp;$F1465,"3 Posting Date",Z$9)+NL("Sum","5802 Value Entry","17 Sales Amount (Actual)","41 Source Type",$C$5,"5 Source no.",$C1465,"4 Item Ledger Entry Type",$C$4,"2 Item No.","@@"&amp;$F1465,"3 Posting Date",Z$9)</t>
  </si>
  <si>
    <t>=-NL("Sum","5802 Value Entry","151 Cost Amount (Expected)","41 Source Type",$C$5,"5 Source No.",$C1465,"4 Item Ledger Entry Type",$C$4,"2 Item No.","@@"&amp;$F1465,"3 Posting Date",Z$9)-NL("Sum","5802 Value Entry","43 Cost Amount (Actual)","41 Source Type",$C$5,"5 Source no.",$C1465,"4 Item Ledger Entry Type",$C$4,"2 Item No.","@@"&amp;$F1465,"3 Posting Date",Z$9)</t>
  </si>
  <si>
    <t>=Z1465-AB1465</t>
  </si>
  <si>
    <t>=IF(Z1465&lt;&gt;0,AC1465/Z1465,"")</t>
  </si>
  <si>
    <t>=C1465</t>
  </si>
  <si>
    <t>=NL("Sum","5802 Value Entry","150 Sales Amount (Expected)","41 Source Type",$C$5,"5 Source No.",$C1466,"4 Item Ledger Entry Type",$C$4,"2 Item No.","@@"&amp;$F1466,"3 Posting Date",J$9)+NL("Sum","5802 Value Entry","17 Sales Amount (Actual)","41 Source Type",$C$5,"5 Source no.",$C1466,"4 Item Ledger Entry Type",$C$4,"2 Item No.","@@"&amp;$F1466,"3 Posting Date",J$9)</t>
  </si>
  <si>
    <t>=-NL("Sum","5802 Value Entry","151 Cost Amount (Expected)","41 Source Type",$C$5,"5 Source No.",$C1466,"4 Item Ledger Entry Type",$C$4,"2 Item No.","@@"&amp;$F1466,"3 Posting Date",J$9)-NL("Sum","5802 Value Entry","43 Cost Amount (Actual)","41 Source Type",$C$5,"5 Source no.",$C1466,"4 Item Ledger Entry Type",$C$4,"2 Item No.","@@"&amp;$F1466,"3 Posting Date",J$9)</t>
  </si>
  <si>
    <t>=J1466-L1466</t>
  </si>
  <si>
    <t>=IF(J1466&lt;&gt;0,M1466/J1466,"")</t>
  </si>
  <si>
    <t>=NL("Sum","5802 Value Entry","150 Sales Amount (Expected)","41 Source Type",$C$5,"5 Source No.",$C1466,"4 Item Ledger Entry Type",$C$4,"2 Item No.","@@"&amp;$F1466,"3 Posting Date",O$9)+NL("Sum","5802 Value Entry","17 Sales Amount (Actual)","41 Source Type",$C$5,"5 Source no.",$C1466,"4 Item Ledger Entry Type",$C$4,"2 Item No.","@@"&amp;$F1466,"3 Posting Date",O$9)</t>
  </si>
  <si>
    <t>=-NL("Sum","5802 Value Entry","151 Cost Amount (Expected)","41 Source Type",$C$5,"5 Source No.",$C1466,"4 Item Ledger Entry Type",$C$4,"2 Item No.","@@"&amp;$F1466,"3 Posting Date",O$9)-NL("Sum","5802 Value Entry","43 Cost Amount (Actual)","41 Source Type",$C$5,"5 Source no.",$C1466,"4 Item Ledger Entry Type",$C$4,"2 Item No.","@@"&amp;$F1466,"3 Posting Date",O$9)</t>
  </si>
  <si>
    <t>=O1466-Q1466</t>
  </si>
  <si>
    <t>=IF(O1466&lt;&gt;0,R1466/O1466,"")</t>
  </si>
  <si>
    <t>=NL("Sum","5802 Value Entry","150 Sales Amount (Expected)","41 Source Type",$C$5,"5 Source No.",$C1466,"4 Item Ledger Entry Type",$C$4,"2 Item No.","@@"&amp;$F1466,"3 Posting Date",U$9)+NL("Sum","5802 Value Entry","17 Sales Amount (Actual)","41 Source Type",$C$5,"5 Source no.",$C1466,"4 Item Ledger Entry Type",$C$4,"2 Item No.","@@"&amp;$F1466,"3 Posting Date",U$9)</t>
  </si>
  <si>
    <t>=-NL("Sum","5802 Value Entry","151 Cost Amount (Expected)","41 Source Type",$C$5,"5 Source No.",$C1466,"4 Item Ledger Entry Type",$C$4,"2 Item No.","@@"&amp;$F1466,"3 Posting Date",U$9)-NL("Sum","5802 Value Entry","43 Cost Amount (Actual)","41 Source Type",$C$5,"5 Source no.",$C1466,"4 Item Ledger Entry Type",$C$4,"2 Item No.","@@"&amp;$F1466,"3 Posting Date",U$9)</t>
  </si>
  <si>
    <t>=U1466-W1466</t>
  </si>
  <si>
    <t>=IF(U1466&lt;&gt;0,X1466/U1466,"")</t>
  </si>
  <si>
    <t>=NL("Sum","5802 Value Entry","150 Sales Amount (Expected)","41 Source Type",$C$5,"5 Source No.",$C1466,"4 Item Ledger Entry Type",$C$4,"2 Item No.","@@"&amp;$F1466,"3 Posting Date",Z$9)+NL("Sum","5802 Value Entry","17 Sales Amount (Actual)","41 Source Type",$C$5,"5 Source no.",$C1466,"4 Item Ledger Entry Type",$C$4,"2 Item No.","@@"&amp;$F1466,"3 Posting Date",Z$9)</t>
  </si>
  <si>
    <t>=-NL("Sum","5802 Value Entry","151 Cost Amount (Expected)","41 Source Type",$C$5,"5 Source No.",$C1466,"4 Item Ledger Entry Type",$C$4,"2 Item No.","@@"&amp;$F1466,"3 Posting Date",Z$9)-NL("Sum","5802 Value Entry","43 Cost Amount (Actual)","41 Source Type",$C$5,"5 Source no.",$C1466,"4 Item Ledger Entry Type",$C$4,"2 Item No.","@@"&amp;$F1466,"3 Posting Date",Z$9)</t>
  </si>
  <si>
    <t>=Z1466-AB1466</t>
  </si>
  <si>
    <t>=IF(Z1466&lt;&gt;0,AC1466/Z1466,"")</t>
  </si>
  <si>
    <t>=C1466</t>
  </si>
  <si>
    <t>=NL("Sum","5802 Value Entry","150 Sales Amount (Expected)","41 Source Type",$C$5,"5 Source No.",$C1467,"4 Item Ledger Entry Type",$C$4,"2 Item No.","@@"&amp;$F1467,"3 Posting Date",J$9)+NL("Sum","5802 Value Entry","17 Sales Amount (Actual)","41 Source Type",$C$5,"5 Source no.",$C1467,"4 Item Ledger Entry Type",$C$4,"2 Item No.","@@"&amp;$F1467,"3 Posting Date",J$9)</t>
  </si>
  <si>
    <t>=-NL("Sum","5802 Value Entry","151 Cost Amount (Expected)","41 Source Type",$C$5,"5 Source No.",$C1467,"4 Item Ledger Entry Type",$C$4,"2 Item No.","@@"&amp;$F1467,"3 Posting Date",J$9)-NL("Sum","5802 Value Entry","43 Cost Amount (Actual)","41 Source Type",$C$5,"5 Source no.",$C1467,"4 Item Ledger Entry Type",$C$4,"2 Item No.","@@"&amp;$F1467,"3 Posting Date",J$9)</t>
  </si>
  <si>
    <t>=J1467-L1467</t>
  </si>
  <si>
    <t>=IF(J1467&lt;&gt;0,M1467/J1467,"")</t>
  </si>
  <si>
    <t>=NL("Sum","5802 Value Entry","150 Sales Amount (Expected)","41 Source Type",$C$5,"5 Source No.",$C1467,"4 Item Ledger Entry Type",$C$4,"2 Item No.","@@"&amp;$F1467,"3 Posting Date",O$9)+NL("Sum","5802 Value Entry","17 Sales Amount (Actual)","41 Source Type",$C$5,"5 Source no.",$C1467,"4 Item Ledger Entry Type",$C$4,"2 Item No.","@@"&amp;$F1467,"3 Posting Date",O$9)</t>
  </si>
  <si>
    <t>=-NL("Sum","5802 Value Entry","151 Cost Amount (Expected)","41 Source Type",$C$5,"5 Source No.",$C1467,"4 Item Ledger Entry Type",$C$4,"2 Item No.","@@"&amp;$F1467,"3 Posting Date",O$9)-NL("Sum","5802 Value Entry","43 Cost Amount (Actual)","41 Source Type",$C$5,"5 Source no.",$C1467,"4 Item Ledger Entry Type",$C$4,"2 Item No.","@@"&amp;$F1467,"3 Posting Date",O$9)</t>
  </si>
  <si>
    <t>=O1467-Q1467</t>
  </si>
  <si>
    <t>=IF(O1467&lt;&gt;0,R1467/O1467,"")</t>
  </si>
  <si>
    <t>=NL("Sum","5802 Value Entry","150 Sales Amount (Expected)","41 Source Type",$C$5,"5 Source No.",$C1467,"4 Item Ledger Entry Type",$C$4,"2 Item No.","@@"&amp;$F1467,"3 Posting Date",U$9)+NL("Sum","5802 Value Entry","17 Sales Amount (Actual)","41 Source Type",$C$5,"5 Source no.",$C1467,"4 Item Ledger Entry Type",$C$4,"2 Item No.","@@"&amp;$F1467,"3 Posting Date",U$9)</t>
  </si>
  <si>
    <t>=-NL("Sum","5802 Value Entry","151 Cost Amount (Expected)","41 Source Type",$C$5,"5 Source No.",$C1467,"4 Item Ledger Entry Type",$C$4,"2 Item No.","@@"&amp;$F1467,"3 Posting Date",U$9)-NL("Sum","5802 Value Entry","43 Cost Amount (Actual)","41 Source Type",$C$5,"5 Source no.",$C1467,"4 Item Ledger Entry Type",$C$4,"2 Item No.","@@"&amp;$F1467,"3 Posting Date",U$9)</t>
  </si>
  <si>
    <t>=U1467-W1467</t>
  </si>
  <si>
    <t>=IF(U1467&lt;&gt;0,X1467/U1467,"")</t>
  </si>
  <si>
    <t>=NL("Sum","5802 Value Entry","150 Sales Amount (Expected)","41 Source Type",$C$5,"5 Source No.",$C1467,"4 Item Ledger Entry Type",$C$4,"2 Item No.","@@"&amp;$F1467,"3 Posting Date",Z$9)+NL("Sum","5802 Value Entry","17 Sales Amount (Actual)","41 Source Type",$C$5,"5 Source no.",$C1467,"4 Item Ledger Entry Type",$C$4,"2 Item No.","@@"&amp;$F1467,"3 Posting Date",Z$9)</t>
  </si>
  <si>
    <t>=-NL("Sum","5802 Value Entry","151 Cost Amount (Expected)","41 Source Type",$C$5,"5 Source No.",$C1467,"4 Item Ledger Entry Type",$C$4,"2 Item No.","@@"&amp;$F1467,"3 Posting Date",Z$9)-NL("Sum","5802 Value Entry","43 Cost Amount (Actual)","41 Source Type",$C$5,"5 Source no.",$C1467,"4 Item Ledger Entry Type",$C$4,"2 Item No.","@@"&amp;$F1467,"3 Posting Date",Z$9)</t>
  </si>
  <si>
    <t>=Z1467-AB1467</t>
  </si>
  <si>
    <t>=IF(Z1467&lt;&gt;0,AC1467/Z1467,"")</t>
  </si>
  <si>
    <t>=C1467</t>
  </si>
  <si>
    <t>=NL("Sum","5802 Value Entry","150 Sales Amount (Expected)","41 Source Type",$C$5,"5 Source No.",$C1468,"4 Item Ledger Entry Type",$C$4,"2 Item No.","@@"&amp;$F1468,"3 Posting Date",J$9)+NL("Sum","5802 Value Entry","17 Sales Amount (Actual)","41 Source Type",$C$5,"5 Source no.",$C1468,"4 Item Ledger Entry Type",$C$4,"2 Item No.","@@"&amp;$F1468,"3 Posting Date",J$9)</t>
  </si>
  <si>
    <t>=-NL("Sum","5802 Value Entry","151 Cost Amount (Expected)","41 Source Type",$C$5,"5 Source No.",$C1468,"4 Item Ledger Entry Type",$C$4,"2 Item No.","@@"&amp;$F1468,"3 Posting Date",J$9)-NL("Sum","5802 Value Entry","43 Cost Amount (Actual)","41 Source Type",$C$5,"5 Source no.",$C1468,"4 Item Ledger Entry Type",$C$4,"2 Item No.","@@"&amp;$F1468,"3 Posting Date",J$9)</t>
  </si>
  <si>
    <t>=J1468-L1468</t>
  </si>
  <si>
    <t>=IF(J1468&lt;&gt;0,M1468/J1468,"")</t>
  </si>
  <si>
    <t>=NL("Sum","5802 Value Entry","150 Sales Amount (Expected)","41 Source Type",$C$5,"5 Source No.",$C1468,"4 Item Ledger Entry Type",$C$4,"2 Item No.","@@"&amp;$F1468,"3 Posting Date",O$9)+NL("Sum","5802 Value Entry","17 Sales Amount (Actual)","41 Source Type",$C$5,"5 Source no.",$C1468,"4 Item Ledger Entry Type",$C$4,"2 Item No.","@@"&amp;$F1468,"3 Posting Date",O$9)</t>
  </si>
  <si>
    <t>=-NL("Sum","5802 Value Entry","151 Cost Amount (Expected)","41 Source Type",$C$5,"5 Source No.",$C1468,"4 Item Ledger Entry Type",$C$4,"2 Item No.","@@"&amp;$F1468,"3 Posting Date",O$9)-NL("Sum","5802 Value Entry","43 Cost Amount (Actual)","41 Source Type",$C$5,"5 Source no.",$C1468,"4 Item Ledger Entry Type",$C$4,"2 Item No.","@@"&amp;$F1468,"3 Posting Date",O$9)</t>
  </si>
  <si>
    <t>=O1468-Q1468</t>
  </si>
  <si>
    <t>=IF(O1468&lt;&gt;0,R1468/O1468,"")</t>
  </si>
  <si>
    <t>=NL("Sum","5802 Value Entry","150 Sales Amount (Expected)","41 Source Type",$C$5,"5 Source No.",$C1468,"4 Item Ledger Entry Type",$C$4,"2 Item No.","@@"&amp;$F1468,"3 Posting Date",U$9)+NL("Sum","5802 Value Entry","17 Sales Amount (Actual)","41 Source Type",$C$5,"5 Source no.",$C1468,"4 Item Ledger Entry Type",$C$4,"2 Item No.","@@"&amp;$F1468,"3 Posting Date",U$9)</t>
  </si>
  <si>
    <t>=-NL("Sum","5802 Value Entry","151 Cost Amount (Expected)","41 Source Type",$C$5,"5 Source No.",$C1468,"4 Item Ledger Entry Type",$C$4,"2 Item No.","@@"&amp;$F1468,"3 Posting Date",U$9)-NL("Sum","5802 Value Entry","43 Cost Amount (Actual)","41 Source Type",$C$5,"5 Source no.",$C1468,"4 Item Ledger Entry Type",$C$4,"2 Item No.","@@"&amp;$F1468,"3 Posting Date",U$9)</t>
  </si>
  <si>
    <t>=U1468-W1468</t>
  </si>
  <si>
    <t>=IF(U1468&lt;&gt;0,X1468/U1468,"")</t>
  </si>
  <si>
    <t>=NL("Sum","5802 Value Entry","150 Sales Amount (Expected)","41 Source Type",$C$5,"5 Source No.",$C1468,"4 Item Ledger Entry Type",$C$4,"2 Item No.","@@"&amp;$F1468,"3 Posting Date",Z$9)+NL("Sum","5802 Value Entry","17 Sales Amount (Actual)","41 Source Type",$C$5,"5 Source no.",$C1468,"4 Item Ledger Entry Type",$C$4,"2 Item No.","@@"&amp;$F1468,"3 Posting Date",Z$9)</t>
  </si>
  <si>
    <t>=-NL("Sum","5802 Value Entry","151 Cost Amount (Expected)","41 Source Type",$C$5,"5 Source No.",$C1468,"4 Item Ledger Entry Type",$C$4,"2 Item No.","@@"&amp;$F1468,"3 Posting Date",Z$9)-NL("Sum","5802 Value Entry","43 Cost Amount (Actual)","41 Source Type",$C$5,"5 Source no.",$C1468,"4 Item Ledger Entry Type",$C$4,"2 Item No.","@@"&amp;$F1468,"3 Posting Date",Z$9)</t>
  </si>
  <si>
    <t>=Z1468-AB1468</t>
  </si>
  <si>
    <t>=IF(Z1468&lt;&gt;0,AC1468/Z1468,"")</t>
  </si>
  <si>
    <t>=C1468</t>
  </si>
  <si>
    <t>=NL("Sum","5802 Value Entry","150 Sales Amount (Expected)","41 Source Type",$C$5,"5 Source No.",$C1469,"4 Item Ledger Entry Type",$C$4,"2 Item No.","@@"&amp;$F1469,"3 Posting Date",J$9)+NL("Sum","5802 Value Entry","17 Sales Amount (Actual)","41 Source Type",$C$5,"5 Source no.",$C1469,"4 Item Ledger Entry Type",$C$4,"2 Item No.","@@"&amp;$F1469,"3 Posting Date",J$9)</t>
  </si>
  <si>
    <t>=-NL("Sum","5802 Value Entry","151 Cost Amount (Expected)","41 Source Type",$C$5,"5 Source No.",$C1469,"4 Item Ledger Entry Type",$C$4,"2 Item No.","@@"&amp;$F1469,"3 Posting Date",J$9)-NL("Sum","5802 Value Entry","43 Cost Amount (Actual)","41 Source Type",$C$5,"5 Source no.",$C1469,"4 Item Ledger Entry Type",$C$4,"2 Item No.","@@"&amp;$F1469,"3 Posting Date",J$9)</t>
  </si>
  <si>
    <t>=J1469-L1469</t>
  </si>
  <si>
    <t>=IF(J1469&lt;&gt;0,M1469/J1469,"")</t>
  </si>
  <si>
    <t>=NL("Sum","5802 Value Entry","150 Sales Amount (Expected)","41 Source Type",$C$5,"5 Source No.",$C1469,"4 Item Ledger Entry Type",$C$4,"2 Item No.","@@"&amp;$F1469,"3 Posting Date",O$9)+NL("Sum","5802 Value Entry","17 Sales Amount (Actual)","41 Source Type",$C$5,"5 Source no.",$C1469,"4 Item Ledger Entry Type",$C$4,"2 Item No.","@@"&amp;$F1469,"3 Posting Date",O$9)</t>
  </si>
  <si>
    <t>=-NL("Sum","5802 Value Entry","151 Cost Amount (Expected)","41 Source Type",$C$5,"5 Source No.",$C1469,"4 Item Ledger Entry Type",$C$4,"2 Item No.","@@"&amp;$F1469,"3 Posting Date",O$9)-NL("Sum","5802 Value Entry","43 Cost Amount (Actual)","41 Source Type",$C$5,"5 Source no.",$C1469,"4 Item Ledger Entry Type",$C$4,"2 Item No.","@@"&amp;$F1469,"3 Posting Date",O$9)</t>
  </si>
  <si>
    <t>=O1469-Q1469</t>
  </si>
  <si>
    <t>=IF(O1469&lt;&gt;0,R1469/O1469,"")</t>
  </si>
  <si>
    <t>=NL("Sum","5802 Value Entry","150 Sales Amount (Expected)","41 Source Type",$C$5,"5 Source No.",$C1469,"4 Item Ledger Entry Type",$C$4,"2 Item No.","@@"&amp;$F1469,"3 Posting Date",U$9)+NL("Sum","5802 Value Entry","17 Sales Amount (Actual)","41 Source Type",$C$5,"5 Source no.",$C1469,"4 Item Ledger Entry Type",$C$4,"2 Item No.","@@"&amp;$F1469,"3 Posting Date",U$9)</t>
  </si>
  <si>
    <t>=-NL("Sum","5802 Value Entry","151 Cost Amount (Expected)","41 Source Type",$C$5,"5 Source No.",$C1469,"4 Item Ledger Entry Type",$C$4,"2 Item No.","@@"&amp;$F1469,"3 Posting Date",U$9)-NL("Sum","5802 Value Entry","43 Cost Amount (Actual)","41 Source Type",$C$5,"5 Source no.",$C1469,"4 Item Ledger Entry Type",$C$4,"2 Item No.","@@"&amp;$F1469,"3 Posting Date",U$9)</t>
  </si>
  <si>
    <t>=U1469-W1469</t>
  </si>
  <si>
    <t>=IF(U1469&lt;&gt;0,X1469/U1469,"")</t>
  </si>
  <si>
    <t>=NL("Sum","5802 Value Entry","150 Sales Amount (Expected)","41 Source Type",$C$5,"5 Source No.",$C1469,"4 Item Ledger Entry Type",$C$4,"2 Item No.","@@"&amp;$F1469,"3 Posting Date",Z$9)+NL("Sum","5802 Value Entry","17 Sales Amount (Actual)","41 Source Type",$C$5,"5 Source no.",$C1469,"4 Item Ledger Entry Type",$C$4,"2 Item No.","@@"&amp;$F1469,"3 Posting Date",Z$9)</t>
  </si>
  <si>
    <t>=-NL("Sum","5802 Value Entry","151 Cost Amount (Expected)","41 Source Type",$C$5,"5 Source No.",$C1469,"4 Item Ledger Entry Type",$C$4,"2 Item No.","@@"&amp;$F1469,"3 Posting Date",Z$9)-NL("Sum","5802 Value Entry","43 Cost Amount (Actual)","41 Source Type",$C$5,"5 Source no.",$C1469,"4 Item Ledger Entry Type",$C$4,"2 Item No.","@@"&amp;$F1469,"3 Posting Date",Z$9)</t>
  </si>
  <si>
    <t>=Z1469-AB1469</t>
  </si>
  <si>
    <t>=IF(Z1469&lt;&gt;0,AC1469/Z1469,"")</t>
  </si>
  <si>
    <t>=C1469</t>
  </si>
  <si>
    <t>=NL("Sum","5802 Value Entry","150 Sales Amount (Expected)","41 Source Type",$C$5,"5 Source No.",$C1470,"4 Item Ledger Entry Type",$C$4,"2 Item No.","@@"&amp;$F1470,"3 Posting Date",J$9)+NL("Sum","5802 Value Entry","17 Sales Amount (Actual)","41 Source Type",$C$5,"5 Source no.",$C1470,"4 Item Ledger Entry Type",$C$4,"2 Item No.","@@"&amp;$F1470,"3 Posting Date",J$9)</t>
  </si>
  <si>
    <t>=-NL("Sum","5802 Value Entry","151 Cost Amount (Expected)","41 Source Type",$C$5,"5 Source No.",$C1470,"4 Item Ledger Entry Type",$C$4,"2 Item No.","@@"&amp;$F1470,"3 Posting Date",J$9)-NL("Sum","5802 Value Entry","43 Cost Amount (Actual)","41 Source Type",$C$5,"5 Source no.",$C1470,"4 Item Ledger Entry Type",$C$4,"2 Item No.","@@"&amp;$F1470,"3 Posting Date",J$9)</t>
  </si>
  <si>
    <t>=J1470-L1470</t>
  </si>
  <si>
    <t>=IF(J1470&lt;&gt;0,M1470/J1470,"")</t>
  </si>
  <si>
    <t>=NL("Sum","5802 Value Entry","150 Sales Amount (Expected)","41 Source Type",$C$5,"5 Source No.",$C1470,"4 Item Ledger Entry Type",$C$4,"2 Item No.","@@"&amp;$F1470,"3 Posting Date",O$9)+NL("Sum","5802 Value Entry","17 Sales Amount (Actual)","41 Source Type",$C$5,"5 Source no.",$C1470,"4 Item Ledger Entry Type",$C$4,"2 Item No.","@@"&amp;$F1470,"3 Posting Date",O$9)</t>
  </si>
  <si>
    <t>=-NL("Sum","5802 Value Entry","151 Cost Amount (Expected)","41 Source Type",$C$5,"5 Source No.",$C1470,"4 Item Ledger Entry Type",$C$4,"2 Item No.","@@"&amp;$F1470,"3 Posting Date",O$9)-NL("Sum","5802 Value Entry","43 Cost Amount (Actual)","41 Source Type",$C$5,"5 Source no.",$C1470,"4 Item Ledger Entry Type",$C$4,"2 Item No.","@@"&amp;$F1470,"3 Posting Date",O$9)</t>
  </si>
  <si>
    <t>=O1470-Q1470</t>
  </si>
  <si>
    <t>=IF(O1470&lt;&gt;0,R1470/O1470,"")</t>
  </si>
  <si>
    <t>=NL("Sum","5802 Value Entry","150 Sales Amount (Expected)","41 Source Type",$C$5,"5 Source No.",$C1470,"4 Item Ledger Entry Type",$C$4,"2 Item No.","@@"&amp;$F1470,"3 Posting Date",U$9)+NL("Sum","5802 Value Entry","17 Sales Amount (Actual)","41 Source Type",$C$5,"5 Source no.",$C1470,"4 Item Ledger Entry Type",$C$4,"2 Item No.","@@"&amp;$F1470,"3 Posting Date",U$9)</t>
  </si>
  <si>
    <t>=-NL("Sum","5802 Value Entry","151 Cost Amount (Expected)","41 Source Type",$C$5,"5 Source No.",$C1470,"4 Item Ledger Entry Type",$C$4,"2 Item No.","@@"&amp;$F1470,"3 Posting Date",U$9)-NL("Sum","5802 Value Entry","43 Cost Amount (Actual)","41 Source Type",$C$5,"5 Source no.",$C1470,"4 Item Ledger Entry Type",$C$4,"2 Item No.","@@"&amp;$F1470,"3 Posting Date",U$9)</t>
  </si>
  <si>
    <t>=U1470-W1470</t>
  </si>
  <si>
    <t>=IF(U1470&lt;&gt;0,X1470/U1470,"")</t>
  </si>
  <si>
    <t>=NL("Sum","5802 Value Entry","150 Sales Amount (Expected)","41 Source Type",$C$5,"5 Source No.",$C1470,"4 Item Ledger Entry Type",$C$4,"2 Item No.","@@"&amp;$F1470,"3 Posting Date",Z$9)+NL("Sum","5802 Value Entry","17 Sales Amount (Actual)","41 Source Type",$C$5,"5 Source no.",$C1470,"4 Item Ledger Entry Type",$C$4,"2 Item No.","@@"&amp;$F1470,"3 Posting Date",Z$9)</t>
  </si>
  <si>
    <t>=-NL("Sum","5802 Value Entry","151 Cost Amount (Expected)","41 Source Type",$C$5,"5 Source No.",$C1470,"4 Item Ledger Entry Type",$C$4,"2 Item No.","@@"&amp;$F1470,"3 Posting Date",Z$9)-NL("Sum","5802 Value Entry","43 Cost Amount (Actual)","41 Source Type",$C$5,"5 Source no.",$C1470,"4 Item Ledger Entry Type",$C$4,"2 Item No.","@@"&amp;$F1470,"3 Posting Date",Z$9)</t>
  </si>
  <si>
    <t>=Z1470-AB1470</t>
  </si>
  <si>
    <t>=IF(Z1470&lt;&gt;0,AC1470/Z1470,"")</t>
  </si>
  <si>
    <t>=C1470</t>
  </si>
  <si>
    <t>=NL("Sum","5802 Value Entry","150 Sales Amount (Expected)","41 Source Type",$C$5,"5 Source No.",$C1471,"4 Item Ledger Entry Type",$C$4,"2 Item No.","@@"&amp;$F1471,"3 Posting Date",J$9)+NL("Sum","5802 Value Entry","17 Sales Amount (Actual)","41 Source Type",$C$5,"5 Source no.",$C1471,"4 Item Ledger Entry Type",$C$4,"2 Item No.","@@"&amp;$F1471,"3 Posting Date",J$9)</t>
  </si>
  <si>
    <t>=-NL("Sum","5802 Value Entry","151 Cost Amount (Expected)","41 Source Type",$C$5,"5 Source No.",$C1471,"4 Item Ledger Entry Type",$C$4,"2 Item No.","@@"&amp;$F1471,"3 Posting Date",J$9)-NL("Sum","5802 Value Entry","43 Cost Amount (Actual)","41 Source Type",$C$5,"5 Source no.",$C1471,"4 Item Ledger Entry Type",$C$4,"2 Item No.","@@"&amp;$F1471,"3 Posting Date",J$9)</t>
  </si>
  <si>
    <t>=J1471-L1471</t>
  </si>
  <si>
    <t>=IF(J1471&lt;&gt;0,M1471/J1471,"")</t>
  </si>
  <si>
    <t>=NL("Sum","5802 Value Entry","150 Sales Amount (Expected)","41 Source Type",$C$5,"5 Source No.",$C1471,"4 Item Ledger Entry Type",$C$4,"2 Item No.","@@"&amp;$F1471,"3 Posting Date",O$9)+NL("Sum","5802 Value Entry","17 Sales Amount (Actual)","41 Source Type",$C$5,"5 Source no.",$C1471,"4 Item Ledger Entry Type",$C$4,"2 Item No.","@@"&amp;$F1471,"3 Posting Date",O$9)</t>
  </si>
  <si>
    <t>=-NL("Sum","5802 Value Entry","151 Cost Amount (Expected)","41 Source Type",$C$5,"5 Source No.",$C1471,"4 Item Ledger Entry Type",$C$4,"2 Item No.","@@"&amp;$F1471,"3 Posting Date",O$9)-NL("Sum","5802 Value Entry","43 Cost Amount (Actual)","41 Source Type",$C$5,"5 Source no.",$C1471,"4 Item Ledger Entry Type",$C$4,"2 Item No.","@@"&amp;$F1471,"3 Posting Date",O$9)</t>
  </si>
  <si>
    <t>=O1471-Q1471</t>
  </si>
  <si>
    <t>=IF(O1471&lt;&gt;0,R1471/O1471,"")</t>
  </si>
  <si>
    <t>=NL("Sum","5802 Value Entry","150 Sales Amount (Expected)","41 Source Type",$C$5,"5 Source No.",$C1471,"4 Item Ledger Entry Type",$C$4,"2 Item No.","@@"&amp;$F1471,"3 Posting Date",U$9)+NL("Sum","5802 Value Entry","17 Sales Amount (Actual)","41 Source Type",$C$5,"5 Source no.",$C1471,"4 Item Ledger Entry Type",$C$4,"2 Item No.","@@"&amp;$F1471,"3 Posting Date",U$9)</t>
  </si>
  <si>
    <t>=-NL("Sum","5802 Value Entry","151 Cost Amount (Expected)","41 Source Type",$C$5,"5 Source No.",$C1471,"4 Item Ledger Entry Type",$C$4,"2 Item No.","@@"&amp;$F1471,"3 Posting Date",U$9)-NL("Sum","5802 Value Entry","43 Cost Amount (Actual)","41 Source Type",$C$5,"5 Source no.",$C1471,"4 Item Ledger Entry Type",$C$4,"2 Item No.","@@"&amp;$F1471,"3 Posting Date",U$9)</t>
  </si>
  <si>
    <t>=U1471-W1471</t>
  </si>
  <si>
    <t>=IF(U1471&lt;&gt;0,X1471/U1471,"")</t>
  </si>
  <si>
    <t>=NL("Sum","5802 Value Entry","150 Sales Amount (Expected)","41 Source Type",$C$5,"5 Source No.",$C1471,"4 Item Ledger Entry Type",$C$4,"2 Item No.","@@"&amp;$F1471,"3 Posting Date",Z$9)+NL("Sum","5802 Value Entry","17 Sales Amount (Actual)","41 Source Type",$C$5,"5 Source no.",$C1471,"4 Item Ledger Entry Type",$C$4,"2 Item No.","@@"&amp;$F1471,"3 Posting Date",Z$9)</t>
  </si>
  <si>
    <t>=-NL("Sum","5802 Value Entry","151 Cost Amount (Expected)","41 Source Type",$C$5,"5 Source No.",$C1471,"4 Item Ledger Entry Type",$C$4,"2 Item No.","@@"&amp;$F1471,"3 Posting Date",Z$9)-NL("Sum","5802 Value Entry","43 Cost Amount (Actual)","41 Source Type",$C$5,"5 Source no.",$C1471,"4 Item Ledger Entry Type",$C$4,"2 Item No.","@@"&amp;$F1471,"3 Posting Date",Z$9)</t>
  </si>
  <si>
    <t>=Z1471-AB1471</t>
  </si>
  <si>
    <t>=IF(Z1471&lt;&gt;0,AC1471/Z1471,"")</t>
  </si>
  <si>
    <t>=C1471</t>
  </si>
  <si>
    <t>=NL("Sum","5802 Value Entry","150 Sales Amount (Expected)","41 Source Type",$C$5,"5 Source No.",$C1472,"4 Item Ledger Entry Type",$C$4,"2 Item No.","@@"&amp;$F1472,"3 Posting Date",J$9)+NL("Sum","5802 Value Entry","17 Sales Amount (Actual)","41 Source Type",$C$5,"5 Source no.",$C1472,"4 Item Ledger Entry Type",$C$4,"2 Item No.","@@"&amp;$F1472,"3 Posting Date",J$9)</t>
  </si>
  <si>
    <t>=-NL("Sum","5802 Value Entry","151 Cost Amount (Expected)","41 Source Type",$C$5,"5 Source No.",$C1472,"4 Item Ledger Entry Type",$C$4,"2 Item No.","@@"&amp;$F1472,"3 Posting Date",J$9)-NL("Sum","5802 Value Entry","43 Cost Amount (Actual)","41 Source Type",$C$5,"5 Source no.",$C1472,"4 Item Ledger Entry Type",$C$4,"2 Item No.","@@"&amp;$F1472,"3 Posting Date",J$9)</t>
  </si>
  <si>
    <t>=J1472-L1472</t>
  </si>
  <si>
    <t>=IF(J1472&lt;&gt;0,M1472/J1472,"")</t>
  </si>
  <si>
    <t>=NL("Sum","5802 Value Entry","150 Sales Amount (Expected)","41 Source Type",$C$5,"5 Source No.",$C1472,"4 Item Ledger Entry Type",$C$4,"2 Item No.","@@"&amp;$F1472,"3 Posting Date",O$9)+NL("Sum","5802 Value Entry","17 Sales Amount (Actual)","41 Source Type",$C$5,"5 Source no.",$C1472,"4 Item Ledger Entry Type",$C$4,"2 Item No.","@@"&amp;$F1472,"3 Posting Date",O$9)</t>
  </si>
  <si>
    <t>=-NL("Sum","5802 Value Entry","151 Cost Amount (Expected)","41 Source Type",$C$5,"5 Source No.",$C1472,"4 Item Ledger Entry Type",$C$4,"2 Item No.","@@"&amp;$F1472,"3 Posting Date",O$9)-NL("Sum","5802 Value Entry","43 Cost Amount (Actual)","41 Source Type",$C$5,"5 Source no.",$C1472,"4 Item Ledger Entry Type",$C$4,"2 Item No.","@@"&amp;$F1472,"3 Posting Date",O$9)</t>
  </si>
  <si>
    <t>=O1472-Q1472</t>
  </si>
  <si>
    <t>=IF(O1472&lt;&gt;0,R1472/O1472,"")</t>
  </si>
  <si>
    <t>=NL("Sum","5802 Value Entry","150 Sales Amount (Expected)","41 Source Type",$C$5,"5 Source No.",$C1472,"4 Item Ledger Entry Type",$C$4,"2 Item No.","@@"&amp;$F1472,"3 Posting Date",U$9)+NL("Sum","5802 Value Entry","17 Sales Amount (Actual)","41 Source Type",$C$5,"5 Source no.",$C1472,"4 Item Ledger Entry Type",$C$4,"2 Item No.","@@"&amp;$F1472,"3 Posting Date",U$9)</t>
  </si>
  <si>
    <t>=-NL("Sum","5802 Value Entry","151 Cost Amount (Expected)","41 Source Type",$C$5,"5 Source No.",$C1472,"4 Item Ledger Entry Type",$C$4,"2 Item No.","@@"&amp;$F1472,"3 Posting Date",U$9)-NL("Sum","5802 Value Entry","43 Cost Amount (Actual)","41 Source Type",$C$5,"5 Source no.",$C1472,"4 Item Ledger Entry Type",$C$4,"2 Item No.","@@"&amp;$F1472,"3 Posting Date",U$9)</t>
  </si>
  <si>
    <t>=U1472-W1472</t>
  </si>
  <si>
    <t>=IF(U1472&lt;&gt;0,X1472/U1472,"")</t>
  </si>
  <si>
    <t>=NL("Sum","5802 Value Entry","150 Sales Amount (Expected)","41 Source Type",$C$5,"5 Source No.",$C1472,"4 Item Ledger Entry Type",$C$4,"2 Item No.","@@"&amp;$F1472,"3 Posting Date",Z$9)+NL("Sum","5802 Value Entry","17 Sales Amount (Actual)","41 Source Type",$C$5,"5 Source no.",$C1472,"4 Item Ledger Entry Type",$C$4,"2 Item No.","@@"&amp;$F1472,"3 Posting Date",Z$9)</t>
  </si>
  <si>
    <t>=-NL("Sum","5802 Value Entry","151 Cost Amount (Expected)","41 Source Type",$C$5,"5 Source No.",$C1472,"4 Item Ledger Entry Type",$C$4,"2 Item No.","@@"&amp;$F1472,"3 Posting Date",Z$9)-NL("Sum","5802 Value Entry","43 Cost Amount (Actual)","41 Source Type",$C$5,"5 Source no.",$C1472,"4 Item Ledger Entry Type",$C$4,"2 Item No.","@@"&amp;$F1472,"3 Posting Date",Z$9)</t>
  </si>
  <si>
    <t>=Z1472-AB1472</t>
  </si>
  <si>
    <t>=IF(Z1472&lt;&gt;0,AC1472/Z1472,"")</t>
  </si>
  <si>
    <t>=C1472</t>
  </si>
  <si>
    <t>=NL("Sum","5802 Value Entry","150 Sales Amount (Expected)","41 Source Type",$C$5,"5 Source No.",$C1473,"4 Item Ledger Entry Type",$C$4,"2 Item No.","@@"&amp;$F1473,"3 Posting Date",J$9)+NL("Sum","5802 Value Entry","17 Sales Amount (Actual)","41 Source Type",$C$5,"5 Source no.",$C1473,"4 Item Ledger Entry Type",$C$4,"2 Item No.","@@"&amp;$F1473,"3 Posting Date",J$9)</t>
  </si>
  <si>
    <t>=-NL("Sum","5802 Value Entry","151 Cost Amount (Expected)","41 Source Type",$C$5,"5 Source No.",$C1473,"4 Item Ledger Entry Type",$C$4,"2 Item No.","@@"&amp;$F1473,"3 Posting Date",J$9)-NL("Sum","5802 Value Entry","43 Cost Amount (Actual)","41 Source Type",$C$5,"5 Source no.",$C1473,"4 Item Ledger Entry Type",$C$4,"2 Item No.","@@"&amp;$F1473,"3 Posting Date",J$9)</t>
  </si>
  <si>
    <t>=J1473-L1473</t>
  </si>
  <si>
    <t>=IF(J1473&lt;&gt;0,M1473/J1473,"")</t>
  </si>
  <si>
    <t>=NL("Sum","5802 Value Entry","150 Sales Amount (Expected)","41 Source Type",$C$5,"5 Source No.",$C1473,"4 Item Ledger Entry Type",$C$4,"2 Item No.","@@"&amp;$F1473,"3 Posting Date",O$9)+NL("Sum","5802 Value Entry","17 Sales Amount (Actual)","41 Source Type",$C$5,"5 Source no.",$C1473,"4 Item Ledger Entry Type",$C$4,"2 Item No.","@@"&amp;$F1473,"3 Posting Date",O$9)</t>
  </si>
  <si>
    <t>=-NL("Sum","5802 Value Entry","151 Cost Amount (Expected)","41 Source Type",$C$5,"5 Source No.",$C1473,"4 Item Ledger Entry Type",$C$4,"2 Item No.","@@"&amp;$F1473,"3 Posting Date",O$9)-NL("Sum","5802 Value Entry","43 Cost Amount (Actual)","41 Source Type",$C$5,"5 Source no.",$C1473,"4 Item Ledger Entry Type",$C$4,"2 Item No.","@@"&amp;$F1473,"3 Posting Date",O$9)</t>
  </si>
  <si>
    <t>=O1473-Q1473</t>
  </si>
  <si>
    <t>=IF(O1473&lt;&gt;0,R1473/O1473,"")</t>
  </si>
  <si>
    <t>=NL("Sum","5802 Value Entry","150 Sales Amount (Expected)","41 Source Type",$C$5,"5 Source No.",$C1473,"4 Item Ledger Entry Type",$C$4,"2 Item No.","@@"&amp;$F1473,"3 Posting Date",U$9)+NL("Sum","5802 Value Entry","17 Sales Amount (Actual)","41 Source Type",$C$5,"5 Source no.",$C1473,"4 Item Ledger Entry Type",$C$4,"2 Item No.","@@"&amp;$F1473,"3 Posting Date",U$9)</t>
  </si>
  <si>
    <t>=-NL("Sum","5802 Value Entry","151 Cost Amount (Expected)","41 Source Type",$C$5,"5 Source No.",$C1473,"4 Item Ledger Entry Type",$C$4,"2 Item No.","@@"&amp;$F1473,"3 Posting Date",U$9)-NL("Sum","5802 Value Entry","43 Cost Amount (Actual)","41 Source Type",$C$5,"5 Source no.",$C1473,"4 Item Ledger Entry Type",$C$4,"2 Item No.","@@"&amp;$F1473,"3 Posting Date",U$9)</t>
  </si>
  <si>
    <t>=U1473-W1473</t>
  </si>
  <si>
    <t>=IF(U1473&lt;&gt;0,X1473/U1473,"")</t>
  </si>
  <si>
    <t>=NL("Sum","5802 Value Entry","150 Sales Amount (Expected)","41 Source Type",$C$5,"5 Source No.",$C1473,"4 Item Ledger Entry Type",$C$4,"2 Item No.","@@"&amp;$F1473,"3 Posting Date",Z$9)+NL("Sum","5802 Value Entry","17 Sales Amount (Actual)","41 Source Type",$C$5,"5 Source no.",$C1473,"4 Item Ledger Entry Type",$C$4,"2 Item No.","@@"&amp;$F1473,"3 Posting Date",Z$9)</t>
  </si>
  <si>
    <t>=-NL("Sum","5802 Value Entry","151 Cost Amount (Expected)","41 Source Type",$C$5,"5 Source No.",$C1473,"4 Item Ledger Entry Type",$C$4,"2 Item No.","@@"&amp;$F1473,"3 Posting Date",Z$9)-NL("Sum","5802 Value Entry","43 Cost Amount (Actual)","41 Source Type",$C$5,"5 Source no.",$C1473,"4 Item Ledger Entry Type",$C$4,"2 Item No.","@@"&amp;$F1473,"3 Posting Date",Z$9)</t>
  </si>
  <si>
    <t>=Z1473-AB1473</t>
  </si>
  <si>
    <t>=IF(Z1473&lt;&gt;0,AC1473/Z1473,"")</t>
  </si>
  <si>
    <t>=C1473</t>
  </si>
  <si>
    <t>=NL("Sum","5802 Value Entry","150 Sales Amount (Expected)","41 Source Type",$C$5,"5 Source No.",$C1474,"4 Item Ledger Entry Type",$C$4,"2 Item No.","@@"&amp;$F1474,"3 Posting Date",J$9)+NL("Sum","5802 Value Entry","17 Sales Amount (Actual)","41 Source Type",$C$5,"5 Source no.",$C1474,"4 Item Ledger Entry Type",$C$4,"2 Item No.","@@"&amp;$F1474,"3 Posting Date",J$9)</t>
  </si>
  <si>
    <t>=-NL("Sum","5802 Value Entry","151 Cost Amount (Expected)","41 Source Type",$C$5,"5 Source No.",$C1474,"4 Item Ledger Entry Type",$C$4,"2 Item No.","@@"&amp;$F1474,"3 Posting Date",J$9)-NL("Sum","5802 Value Entry","43 Cost Amount (Actual)","41 Source Type",$C$5,"5 Source no.",$C1474,"4 Item Ledger Entry Type",$C$4,"2 Item No.","@@"&amp;$F1474,"3 Posting Date",J$9)</t>
  </si>
  <si>
    <t>=J1474-L1474</t>
  </si>
  <si>
    <t>=IF(J1474&lt;&gt;0,M1474/J1474,"")</t>
  </si>
  <si>
    <t>=NL("Sum","5802 Value Entry","150 Sales Amount (Expected)","41 Source Type",$C$5,"5 Source No.",$C1474,"4 Item Ledger Entry Type",$C$4,"2 Item No.","@@"&amp;$F1474,"3 Posting Date",O$9)+NL("Sum","5802 Value Entry","17 Sales Amount (Actual)","41 Source Type",$C$5,"5 Source no.",$C1474,"4 Item Ledger Entry Type",$C$4,"2 Item No.","@@"&amp;$F1474,"3 Posting Date",O$9)</t>
  </si>
  <si>
    <t>=-NL("Sum","5802 Value Entry","151 Cost Amount (Expected)","41 Source Type",$C$5,"5 Source No.",$C1474,"4 Item Ledger Entry Type",$C$4,"2 Item No.","@@"&amp;$F1474,"3 Posting Date",O$9)-NL("Sum","5802 Value Entry","43 Cost Amount (Actual)","41 Source Type",$C$5,"5 Source no.",$C1474,"4 Item Ledger Entry Type",$C$4,"2 Item No.","@@"&amp;$F1474,"3 Posting Date",O$9)</t>
  </si>
  <si>
    <t>=O1474-Q1474</t>
  </si>
  <si>
    <t>=IF(O1474&lt;&gt;0,R1474/O1474,"")</t>
  </si>
  <si>
    <t>=NL("Sum","5802 Value Entry","150 Sales Amount (Expected)","41 Source Type",$C$5,"5 Source No.",$C1474,"4 Item Ledger Entry Type",$C$4,"2 Item No.","@@"&amp;$F1474,"3 Posting Date",U$9)+NL("Sum","5802 Value Entry","17 Sales Amount (Actual)","41 Source Type",$C$5,"5 Source no.",$C1474,"4 Item Ledger Entry Type",$C$4,"2 Item No.","@@"&amp;$F1474,"3 Posting Date",U$9)</t>
  </si>
  <si>
    <t>=-NL("Sum","5802 Value Entry","151 Cost Amount (Expected)","41 Source Type",$C$5,"5 Source No.",$C1474,"4 Item Ledger Entry Type",$C$4,"2 Item No.","@@"&amp;$F1474,"3 Posting Date",U$9)-NL("Sum","5802 Value Entry","43 Cost Amount (Actual)","41 Source Type",$C$5,"5 Source no.",$C1474,"4 Item Ledger Entry Type",$C$4,"2 Item No.","@@"&amp;$F1474,"3 Posting Date",U$9)</t>
  </si>
  <si>
    <t>=U1474-W1474</t>
  </si>
  <si>
    <t>=IF(U1474&lt;&gt;0,X1474/U1474,"")</t>
  </si>
  <si>
    <t>=NL("Sum","5802 Value Entry","150 Sales Amount (Expected)","41 Source Type",$C$5,"5 Source No.",$C1474,"4 Item Ledger Entry Type",$C$4,"2 Item No.","@@"&amp;$F1474,"3 Posting Date",Z$9)+NL("Sum","5802 Value Entry","17 Sales Amount (Actual)","41 Source Type",$C$5,"5 Source no.",$C1474,"4 Item Ledger Entry Type",$C$4,"2 Item No.","@@"&amp;$F1474,"3 Posting Date",Z$9)</t>
  </si>
  <si>
    <t>=-NL("Sum","5802 Value Entry","151 Cost Amount (Expected)","41 Source Type",$C$5,"5 Source No.",$C1474,"4 Item Ledger Entry Type",$C$4,"2 Item No.","@@"&amp;$F1474,"3 Posting Date",Z$9)-NL("Sum","5802 Value Entry","43 Cost Amount (Actual)","41 Source Type",$C$5,"5 Source no.",$C1474,"4 Item Ledger Entry Type",$C$4,"2 Item No.","@@"&amp;$F1474,"3 Posting Date",Z$9)</t>
  </si>
  <si>
    <t>=Z1474-AB1474</t>
  </si>
  <si>
    <t>=IF(Z1474&lt;&gt;0,AC1474/Z1474,"")</t>
  </si>
  <si>
    <t>=C1474</t>
  </si>
  <si>
    <t>=NL("Sum","5802 Value Entry","150 Sales Amount (Expected)","41 Source Type",$C$5,"5 Source No.",$C1475,"4 Item Ledger Entry Type",$C$4,"2 Item No.","@@"&amp;$F1475,"3 Posting Date",J$9)+NL("Sum","5802 Value Entry","17 Sales Amount (Actual)","41 Source Type",$C$5,"5 Source no.",$C1475,"4 Item Ledger Entry Type",$C$4,"2 Item No.","@@"&amp;$F1475,"3 Posting Date",J$9)</t>
  </si>
  <si>
    <t>=-NL("Sum","5802 Value Entry","151 Cost Amount (Expected)","41 Source Type",$C$5,"5 Source No.",$C1475,"4 Item Ledger Entry Type",$C$4,"2 Item No.","@@"&amp;$F1475,"3 Posting Date",J$9)-NL("Sum","5802 Value Entry","43 Cost Amount (Actual)","41 Source Type",$C$5,"5 Source no.",$C1475,"4 Item Ledger Entry Type",$C$4,"2 Item No.","@@"&amp;$F1475,"3 Posting Date",J$9)</t>
  </si>
  <si>
    <t>=J1475-L1475</t>
  </si>
  <si>
    <t>=IF(J1475&lt;&gt;0,M1475/J1475,"")</t>
  </si>
  <si>
    <t>=NL("Sum","5802 Value Entry","150 Sales Amount (Expected)","41 Source Type",$C$5,"5 Source No.",$C1475,"4 Item Ledger Entry Type",$C$4,"2 Item No.","@@"&amp;$F1475,"3 Posting Date",O$9)+NL("Sum","5802 Value Entry","17 Sales Amount (Actual)","41 Source Type",$C$5,"5 Source no.",$C1475,"4 Item Ledger Entry Type",$C$4,"2 Item No.","@@"&amp;$F1475,"3 Posting Date",O$9)</t>
  </si>
  <si>
    <t>=-NL("Sum","5802 Value Entry","151 Cost Amount (Expected)","41 Source Type",$C$5,"5 Source No.",$C1475,"4 Item Ledger Entry Type",$C$4,"2 Item No.","@@"&amp;$F1475,"3 Posting Date",O$9)-NL("Sum","5802 Value Entry","43 Cost Amount (Actual)","41 Source Type",$C$5,"5 Source no.",$C1475,"4 Item Ledger Entry Type",$C$4,"2 Item No.","@@"&amp;$F1475,"3 Posting Date",O$9)</t>
  </si>
  <si>
    <t>=O1475-Q1475</t>
  </si>
  <si>
    <t>=IF(O1475&lt;&gt;0,R1475/O1475,"")</t>
  </si>
  <si>
    <t>=NL("Sum","5802 Value Entry","150 Sales Amount (Expected)","41 Source Type",$C$5,"5 Source No.",$C1475,"4 Item Ledger Entry Type",$C$4,"2 Item No.","@@"&amp;$F1475,"3 Posting Date",U$9)+NL("Sum","5802 Value Entry","17 Sales Amount (Actual)","41 Source Type",$C$5,"5 Source no.",$C1475,"4 Item Ledger Entry Type",$C$4,"2 Item No.","@@"&amp;$F1475,"3 Posting Date",U$9)</t>
  </si>
  <si>
    <t>=-NL("Sum","5802 Value Entry","151 Cost Amount (Expected)","41 Source Type",$C$5,"5 Source No.",$C1475,"4 Item Ledger Entry Type",$C$4,"2 Item No.","@@"&amp;$F1475,"3 Posting Date",U$9)-NL("Sum","5802 Value Entry","43 Cost Amount (Actual)","41 Source Type",$C$5,"5 Source no.",$C1475,"4 Item Ledger Entry Type",$C$4,"2 Item No.","@@"&amp;$F1475,"3 Posting Date",U$9)</t>
  </si>
  <si>
    <t>=U1475-W1475</t>
  </si>
  <si>
    <t>=IF(U1475&lt;&gt;0,X1475/U1475,"")</t>
  </si>
  <si>
    <t>=NL("Sum","5802 Value Entry","150 Sales Amount (Expected)","41 Source Type",$C$5,"5 Source No.",$C1475,"4 Item Ledger Entry Type",$C$4,"2 Item No.","@@"&amp;$F1475,"3 Posting Date",Z$9)+NL("Sum","5802 Value Entry","17 Sales Amount (Actual)","41 Source Type",$C$5,"5 Source no.",$C1475,"4 Item Ledger Entry Type",$C$4,"2 Item No.","@@"&amp;$F1475,"3 Posting Date",Z$9)</t>
  </si>
  <si>
    <t>=-NL("Sum","5802 Value Entry","151 Cost Amount (Expected)","41 Source Type",$C$5,"5 Source No.",$C1475,"4 Item Ledger Entry Type",$C$4,"2 Item No.","@@"&amp;$F1475,"3 Posting Date",Z$9)-NL("Sum","5802 Value Entry","43 Cost Amount (Actual)","41 Source Type",$C$5,"5 Source no.",$C1475,"4 Item Ledger Entry Type",$C$4,"2 Item No.","@@"&amp;$F1475,"3 Posting Date",Z$9)</t>
  </si>
  <si>
    <t>=Z1475-AB1475</t>
  </si>
  <si>
    <t>=IF(Z1475&lt;&gt;0,AC1475/Z1475,"")</t>
  </si>
  <si>
    <t>=C1475</t>
  </si>
  <si>
    <t>=NL("Sum","5802 Value Entry","150 Sales Amount (Expected)","41 Source Type",$C$5,"5 Source No.",$C1476,"4 Item Ledger Entry Type",$C$4,"2 Item No.","@@"&amp;$F1476,"3 Posting Date",J$9)+NL("Sum","5802 Value Entry","17 Sales Amount (Actual)","41 Source Type",$C$5,"5 Source no.",$C1476,"4 Item Ledger Entry Type",$C$4,"2 Item No.","@@"&amp;$F1476,"3 Posting Date",J$9)</t>
  </si>
  <si>
    <t>=-NL("Sum","5802 Value Entry","151 Cost Amount (Expected)","41 Source Type",$C$5,"5 Source No.",$C1476,"4 Item Ledger Entry Type",$C$4,"2 Item No.","@@"&amp;$F1476,"3 Posting Date",J$9)-NL("Sum","5802 Value Entry","43 Cost Amount (Actual)","41 Source Type",$C$5,"5 Source no.",$C1476,"4 Item Ledger Entry Type",$C$4,"2 Item No.","@@"&amp;$F1476,"3 Posting Date",J$9)</t>
  </si>
  <si>
    <t>=J1476-L1476</t>
  </si>
  <si>
    <t>=IF(J1476&lt;&gt;0,M1476/J1476,"")</t>
  </si>
  <si>
    <t>=NL("Sum","5802 Value Entry","150 Sales Amount (Expected)","41 Source Type",$C$5,"5 Source No.",$C1476,"4 Item Ledger Entry Type",$C$4,"2 Item No.","@@"&amp;$F1476,"3 Posting Date",O$9)+NL("Sum","5802 Value Entry","17 Sales Amount (Actual)","41 Source Type",$C$5,"5 Source no.",$C1476,"4 Item Ledger Entry Type",$C$4,"2 Item No.","@@"&amp;$F1476,"3 Posting Date",O$9)</t>
  </si>
  <si>
    <t>=-NL("Sum","5802 Value Entry","151 Cost Amount (Expected)","41 Source Type",$C$5,"5 Source No.",$C1476,"4 Item Ledger Entry Type",$C$4,"2 Item No.","@@"&amp;$F1476,"3 Posting Date",O$9)-NL("Sum","5802 Value Entry","43 Cost Amount (Actual)","41 Source Type",$C$5,"5 Source no.",$C1476,"4 Item Ledger Entry Type",$C$4,"2 Item No.","@@"&amp;$F1476,"3 Posting Date",O$9)</t>
  </si>
  <si>
    <t>=O1476-Q1476</t>
  </si>
  <si>
    <t>=IF(O1476&lt;&gt;0,R1476/O1476,"")</t>
  </si>
  <si>
    <t>=NL("Sum","5802 Value Entry","150 Sales Amount (Expected)","41 Source Type",$C$5,"5 Source No.",$C1476,"4 Item Ledger Entry Type",$C$4,"2 Item No.","@@"&amp;$F1476,"3 Posting Date",U$9)+NL("Sum","5802 Value Entry","17 Sales Amount (Actual)","41 Source Type",$C$5,"5 Source no.",$C1476,"4 Item Ledger Entry Type",$C$4,"2 Item No.","@@"&amp;$F1476,"3 Posting Date",U$9)</t>
  </si>
  <si>
    <t>=-NL("Sum","5802 Value Entry","151 Cost Amount (Expected)","41 Source Type",$C$5,"5 Source No.",$C1476,"4 Item Ledger Entry Type",$C$4,"2 Item No.","@@"&amp;$F1476,"3 Posting Date",U$9)-NL("Sum","5802 Value Entry","43 Cost Amount (Actual)","41 Source Type",$C$5,"5 Source no.",$C1476,"4 Item Ledger Entry Type",$C$4,"2 Item No.","@@"&amp;$F1476,"3 Posting Date",U$9)</t>
  </si>
  <si>
    <t>=U1476-W1476</t>
  </si>
  <si>
    <t>=IF(U1476&lt;&gt;0,X1476/U1476,"")</t>
  </si>
  <si>
    <t>=NL("Sum","5802 Value Entry","150 Sales Amount (Expected)","41 Source Type",$C$5,"5 Source No.",$C1476,"4 Item Ledger Entry Type",$C$4,"2 Item No.","@@"&amp;$F1476,"3 Posting Date",Z$9)+NL("Sum","5802 Value Entry","17 Sales Amount (Actual)","41 Source Type",$C$5,"5 Source no.",$C1476,"4 Item Ledger Entry Type",$C$4,"2 Item No.","@@"&amp;$F1476,"3 Posting Date",Z$9)</t>
  </si>
  <si>
    <t>=-NL("Sum","5802 Value Entry","151 Cost Amount (Expected)","41 Source Type",$C$5,"5 Source No.",$C1476,"4 Item Ledger Entry Type",$C$4,"2 Item No.","@@"&amp;$F1476,"3 Posting Date",Z$9)-NL("Sum","5802 Value Entry","43 Cost Amount (Actual)","41 Source Type",$C$5,"5 Source no.",$C1476,"4 Item Ledger Entry Type",$C$4,"2 Item No.","@@"&amp;$F1476,"3 Posting Date",Z$9)</t>
  </si>
  <si>
    <t>=Z1476-AB1476</t>
  </si>
  <si>
    <t>=IF(Z1476&lt;&gt;0,AC1476/Z1476,"")</t>
  </si>
  <si>
    <t>=C1476</t>
  </si>
  <si>
    <t>=NL("Sum","5802 Value Entry","150 Sales Amount (Expected)","41 Source Type",$C$5,"5 Source No.",$C1477,"4 Item Ledger Entry Type",$C$4,"2 Item No.","@@"&amp;$F1477,"3 Posting Date",J$9)+NL("Sum","5802 Value Entry","17 Sales Amount (Actual)","41 Source Type",$C$5,"5 Source no.",$C1477,"4 Item Ledger Entry Type",$C$4,"2 Item No.","@@"&amp;$F1477,"3 Posting Date",J$9)</t>
  </si>
  <si>
    <t>=-NL("Sum","5802 Value Entry","151 Cost Amount (Expected)","41 Source Type",$C$5,"5 Source No.",$C1477,"4 Item Ledger Entry Type",$C$4,"2 Item No.","@@"&amp;$F1477,"3 Posting Date",J$9)-NL("Sum","5802 Value Entry","43 Cost Amount (Actual)","41 Source Type",$C$5,"5 Source no.",$C1477,"4 Item Ledger Entry Type",$C$4,"2 Item No.","@@"&amp;$F1477,"3 Posting Date",J$9)</t>
  </si>
  <si>
    <t>=J1477-L1477</t>
  </si>
  <si>
    <t>=IF(J1477&lt;&gt;0,M1477/J1477,"")</t>
  </si>
  <si>
    <t>=NL("Sum","5802 Value Entry","150 Sales Amount (Expected)","41 Source Type",$C$5,"5 Source No.",$C1477,"4 Item Ledger Entry Type",$C$4,"2 Item No.","@@"&amp;$F1477,"3 Posting Date",O$9)+NL("Sum","5802 Value Entry","17 Sales Amount (Actual)","41 Source Type",$C$5,"5 Source no.",$C1477,"4 Item Ledger Entry Type",$C$4,"2 Item No.","@@"&amp;$F1477,"3 Posting Date",O$9)</t>
  </si>
  <si>
    <t>=-NL("Sum","5802 Value Entry","151 Cost Amount (Expected)","41 Source Type",$C$5,"5 Source No.",$C1477,"4 Item Ledger Entry Type",$C$4,"2 Item No.","@@"&amp;$F1477,"3 Posting Date",O$9)-NL("Sum","5802 Value Entry","43 Cost Amount (Actual)","41 Source Type",$C$5,"5 Source no.",$C1477,"4 Item Ledger Entry Type",$C$4,"2 Item No.","@@"&amp;$F1477,"3 Posting Date",O$9)</t>
  </si>
  <si>
    <t>=O1477-Q1477</t>
  </si>
  <si>
    <t>=IF(O1477&lt;&gt;0,R1477/O1477,"")</t>
  </si>
  <si>
    <t>=NL("Sum","5802 Value Entry","150 Sales Amount (Expected)","41 Source Type",$C$5,"5 Source No.",$C1477,"4 Item Ledger Entry Type",$C$4,"2 Item No.","@@"&amp;$F1477,"3 Posting Date",U$9)+NL("Sum","5802 Value Entry","17 Sales Amount (Actual)","41 Source Type",$C$5,"5 Source no.",$C1477,"4 Item Ledger Entry Type",$C$4,"2 Item No.","@@"&amp;$F1477,"3 Posting Date",U$9)</t>
  </si>
  <si>
    <t>=-NL("Sum","5802 Value Entry","151 Cost Amount (Expected)","41 Source Type",$C$5,"5 Source No.",$C1477,"4 Item Ledger Entry Type",$C$4,"2 Item No.","@@"&amp;$F1477,"3 Posting Date",U$9)-NL("Sum","5802 Value Entry","43 Cost Amount (Actual)","41 Source Type",$C$5,"5 Source no.",$C1477,"4 Item Ledger Entry Type",$C$4,"2 Item No.","@@"&amp;$F1477,"3 Posting Date",U$9)</t>
  </si>
  <si>
    <t>=U1477-W1477</t>
  </si>
  <si>
    <t>=IF(U1477&lt;&gt;0,X1477/U1477,"")</t>
  </si>
  <si>
    <t>=NL("Sum","5802 Value Entry","150 Sales Amount (Expected)","41 Source Type",$C$5,"5 Source No.",$C1477,"4 Item Ledger Entry Type",$C$4,"2 Item No.","@@"&amp;$F1477,"3 Posting Date",Z$9)+NL("Sum","5802 Value Entry","17 Sales Amount (Actual)","41 Source Type",$C$5,"5 Source no.",$C1477,"4 Item Ledger Entry Type",$C$4,"2 Item No.","@@"&amp;$F1477,"3 Posting Date",Z$9)</t>
  </si>
  <si>
    <t>=-NL("Sum","5802 Value Entry","151 Cost Amount (Expected)","41 Source Type",$C$5,"5 Source No.",$C1477,"4 Item Ledger Entry Type",$C$4,"2 Item No.","@@"&amp;$F1477,"3 Posting Date",Z$9)-NL("Sum","5802 Value Entry","43 Cost Amount (Actual)","41 Source Type",$C$5,"5 Source no.",$C1477,"4 Item Ledger Entry Type",$C$4,"2 Item No.","@@"&amp;$F1477,"3 Posting Date",Z$9)</t>
  </si>
  <si>
    <t>=Z1477-AB1477</t>
  </si>
  <si>
    <t>=IF(Z1477&lt;&gt;0,AC1477/Z1477,"")</t>
  </si>
  <si>
    <t>=C1477</t>
  </si>
  <si>
    <t>=NL("Sum","5802 Value Entry","150 Sales Amount (Expected)","41 Source Type",$C$5,"5 Source No.",$C1478,"4 Item Ledger Entry Type",$C$4,"2 Item No.","@@"&amp;$F1478,"3 Posting Date",J$9)+NL("Sum","5802 Value Entry","17 Sales Amount (Actual)","41 Source Type",$C$5,"5 Source no.",$C1478,"4 Item Ledger Entry Type",$C$4,"2 Item No.","@@"&amp;$F1478,"3 Posting Date",J$9)</t>
  </si>
  <si>
    <t>=-NL("Sum","5802 Value Entry","151 Cost Amount (Expected)","41 Source Type",$C$5,"5 Source No.",$C1478,"4 Item Ledger Entry Type",$C$4,"2 Item No.","@@"&amp;$F1478,"3 Posting Date",J$9)-NL("Sum","5802 Value Entry","43 Cost Amount (Actual)","41 Source Type",$C$5,"5 Source no.",$C1478,"4 Item Ledger Entry Type",$C$4,"2 Item No.","@@"&amp;$F1478,"3 Posting Date",J$9)</t>
  </si>
  <si>
    <t>=J1478-L1478</t>
  </si>
  <si>
    <t>=IF(J1478&lt;&gt;0,M1478/J1478,"")</t>
  </si>
  <si>
    <t>=NL("Sum","5802 Value Entry","150 Sales Amount (Expected)","41 Source Type",$C$5,"5 Source No.",$C1478,"4 Item Ledger Entry Type",$C$4,"2 Item No.","@@"&amp;$F1478,"3 Posting Date",O$9)+NL("Sum","5802 Value Entry","17 Sales Amount (Actual)","41 Source Type",$C$5,"5 Source no.",$C1478,"4 Item Ledger Entry Type",$C$4,"2 Item No.","@@"&amp;$F1478,"3 Posting Date",O$9)</t>
  </si>
  <si>
    <t>=-NL("Sum","5802 Value Entry","151 Cost Amount (Expected)","41 Source Type",$C$5,"5 Source No.",$C1478,"4 Item Ledger Entry Type",$C$4,"2 Item No.","@@"&amp;$F1478,"3 Posting Date",O$9)-NL("Sum","5802 Value Entry","43 Cost Amount (Actual)","41 Source Type",$C$5,"5 Source no.",$C1478,"4 Item Ledger Entry Type",$C$4,"2 Item No.","@@"&amp;$F1478,"3 Posting Date",O$9)</t>
  </si>
  <si>
    <t>=O1478-Q1478</t>
  </si>
  <si>
    <t>=IF(O1478&lt;&gt;0,R1478/O1478,"")</t>
  </si>
  <si>
    <t>=NL("Sum","5802 Value Entry","150 Sales Amount (Expected)","41 Source Type",$C$5,"5 Source No.",$C1478,"4 Item Ledger Entry Type",$C$4,"2 Item No.","@@"&amp;$F1478,"3 Posting Date",U$9)+NL("Sum","5802 Value Entry","17 Sales Amount (Actual)","41 Source Type",$C$5,"5 Source no.",$C1478,"4 Item Ledger Entry Type",$C$4,"2 Item No.","@@"&amp;$F1478,"3 Posting Date",U$9)</t>
  </si>
  <si>
    <t>=-NL("Sum","5802 Value Entry","151 Cost Amount (Expected)","41 Source Type",$C$5,"5 Source No.",$C1478,"4 Item Ledger Entry Type",$C$4,"2 Item No.","@@"&amp;$F1478,"3 Posting Date",U$9)-NL("Sum","5802 Value Entry","43 Cost Amount (Actual)","41 Source Type",$C$5,"5 Source no.",$C1478,"4 Item Ledger Entry Type",$C$4,"2 Item No.","@@"&amp;$F1478,"3 Posting Date",U$9)</t>
  </si>
  <si>
    <t>=U1478-W1478</t>
  </si>
  <si>
    <t>=IF(U1478&lt;&gt;0,X1478/U1478,"")</t>
  </si>
  <si>
    <t>=NL("Sum","5802 Value Entry","150 Sales Amount (Expected)","41 Source Type",$C$5,"5 Source No.",$C1478,"4 Item Ledger Entry Type",$C$4,"2 Item No.","@@"&amp;$F1478,"3 Posting Date",Z$9)+NL("Sum","5802 Value Entry","17 Sales Amount (Actual)","41 Source Type",$C$5,"5 Source no.",$C1478,"4 Item Ledger Entry Type",$C$4,"2 Item No.","@@"&amp;$F1478,"3 Posting Date",Z$9)</t>
  </si>
  <si>
    <t>=-NL("Sum","5802 Value Entry","151 Cost Amount (Expected)","41 Source Type",$C$5,"5 Source No.",$C1478,"4 Item Ledger Entry Type",$C$4,"2 Item No.","@@"&amp;$F1478,"3 Posting Date",Z$9)-NL("Sum","5802 Value Entry","43 Cost Amount (Actual)","41 Source Type",$C$5,"5 Source no.",$C1478,"4 Item Ledger Entry Type",$C$4,"2 Item No.","@@"&amp;$F1478,"3 Posting Date",Z$9)</t>
  </si>
  <si>
    <t>=Z1478-AB1478</t>
  </si>
  <si>
    <t>=IF(Z1478&lt;&gt;0,AC1478/Z1478,"")</t>
  </si>
  <si>
    <t>=C1478</t>
  </si>
  <si>
    <t>=NL("Sum","5802 Value Entry","150 Sales Amount (Expected)","41 Source Type",$C$5,"5 Source No.",$C1479,"4 Item Ledger Entry Type",$C$4,"2 Item No.","@@"&amp;$F1479,"3 Posting Date",J$9)+NL("Sum","5802 Value Entry","17 Sales Amount (Actual)","41 Source Type",$C$5,"5 Source no.",$C1479,"4 Item Ledger Entry Type",$C$4,"2 Item No.","@@"&amp;$F1479,"3 Posting Date",J$9)</t>
  </si>
  <si>
    <t>=-NL("Sum","5802 Value Entry","151 Cost Amount (Expected)","41 Source Type",$C$5,"5 Source No.",$C1479,"4 Item Ledger Entry Type",$C$4,"2 Item No.","@@"&amp;$F1479,"3 Posting Date",J$9)-NL("Sum","5802 Value Entry","43 Cost Amount (Actual)","41 Source Type",$C$5,"5 Source no.",$C1479,"4 Item Ledger Entry Type",$C$4,"2 Item No.","@@"&amp;$F1479,"3 Posting Date",J$9)</t>
  </si>
  <si>
    <t>=J1479-L1479</t>
  </si>
  <si>
    <t>=IF(J1479&lt;&gt;0,M1479/J1479,"")</t>
  </si>
  <si>
    <t>=NL("Sum","5802 Value Entry","150 Sales Amount (Expected)","41 Source Type",$C$5,"5 Source No.",$C1479,"4 Item Ledger Entry Type",$C$4,"2 Item No.","@@"&amp;$F1479,"3 Posting Date",O$9)+NL("Sum","5802 Value Entry","17 Sales Amount (Actual)","41 Source Type",$C$5,"5 Source no.",$C1479,"4 Item Ledger Entry Type",$C$4,"2 Item No.","@@"&amp;$F1479,"3 Posting Date",O$9)</t>
  </si>
  <si>
    <t>=-NL("Sum","5802 Value Entry","151 Cost Amount (Expected)","41 Source Type",$C$5,"5 Source No.",$C1479,"4 Item Ledger Entry Type",$C$4,"2 Item No.","@@"&amp;$F1479,"3 Posting Date",O$9)-NL("Sum","5802 Value Entry","43 Cost Amount (Actual)","41 Source Type",$C$5,"5 Source no.",$C1479,"4 Item Ledger Entry Type",$C$4,"2 Item No.","@@"&amp;$F1479,"3 Posting Date",O$9)</t>
  </si>
  <si>
    <t>=O1479-Q1479</t>
  </si>
  <si>
    <t>=IF(O1479&lt;&gt;0,R1479/O1479,"")</t>
  </si>
  <si>
    <t>=NL("Sum","5802 Value Entry","150 Sales Amount (Expected)","41 Source Type",$C$5,"5 Source No.",$C1479,"4 Item Ledger Entry Type",$C$4,"2 Item No.","@@"&amp;$F1479,"3 Posting Date",U$9)+NL("Sum","5802 Value Entry","17 Sales Amount (Actual)","41 Source Type",$C$5,"5 Source no.",$C1479,"4 Item Ledger Entry Type",$C$4,"2 Item No.","@@"&amp;$F1479,"3 Posting Date",U$9)</t>
  </si>
  <si>
    <t>=-NL("Sum","5802 Value Entry","151 Cost Amount (Expected)","41 Source Type",$C$5,"5 Source No.",$C1479,"4 Item Ledger Entry Type",$C$4,"2 Item No.","@@"&amp;$F1479,"3 Posting Date",U$9)-NL("Sum","5802 Value Entry","43 Cost Amount (Actual)","41 Source Type",$C$5,"5 Source no.",$C1479,"4 Item Ledger Entry Type",$C$4,"2 Item No.","@@"&amp;$F1479,"3 Posting Date",U$9)</t>
  </si>
  <si>
    <t>=U1479-W1479</t>
  </si>
  <si>
    <t>=IF(U1479&lt;&gt;0,X1479/U1479,"")</t>
  </si>
  <si>
    <t>=NL("Sum","5802 Value Entry","150 Sales Amount (Expected)","41 Source Type",$C$5,"5 Source No.",$C1479,"4 Item Ledger Entry Type",$C$4,"2 Item No.","@@"&amp;$F1479,"3 Posting Date",Z$9)+NL("Sum","5802 Value Entry","17 Sales Amount (Actual)","41 Source Type",$C$5,"5 Source no.",$C1479,"4 Item Ledger Entry Type",$C$4,"2 Item No.","@@"&amp;$F1479,"3 Posting Date",Z$9)</t>
  </si>
  <si>
    <t>=-NL("Sum","5802 Value Entry","151 Cost Amount (Expected)","41 Source Type",$C$5,"5 Source No.",$C1479,"4 Item Ledger Entry Type",$C$4,"2 Item No.","@@"&amp;$F1479,"3 Posting Date",Z$9)-NL("Sum","5802 Value Entry","43 Cost Amount (Actual)","41 Source Type",$C$5,"5 Source no.",$C1479,"4 Item Ledger Entry Type",$C$4,"2 Item No.","@@"&amp;$F1479,"3 Posting Date",Z$9)</t>
  </si>
  <si>
    <t>=Z1479-AB1479</t>
  </si>
  <si>
    <t>=IF(Z1479&lt;&gt;0,AC1479/Z1479,"")</t>
  </si>
  <si>
    <t>=C1479</t>
  </si>
  <si>
    <t>=NL("Sum","5802 Value Entry","150 Sales Amount (Expected)","41 Source Type",$C$5,"5 Source No.",$C1480,"4 Item Ledger Entry Type",$C$4,"2 Item No.","@@"&amp;$F1480,"3 Posting Date",J$9)+NL("Sum","5802 Value Entry","17 Sales Amount (Actual)","41 Source Type",$C$5,"5 Source no.",$C1480,"4 Item Ledger Entry Type",$C$4,"2 Item No.","@@"&amp;$F1480,"3 Posting Date",J$9)</t>
  </si>
  <si>
    <t>=-NL("Sum","5802 Value Entry","151 Cost Amount (Expected)","41 Source Type",$C$5,"5 Source No.",$C1480,"4 Item Ledger Entry Type",$C$4,"2 Item No.","@@"&amp;$F1480,"3 Posting Date",J$9)-NL("Sum","5802 Value Entry","43 Cost Amount (Actual)","41 Source Type",$C$5,"5 Source no.",$C1480,"4 Item Ledger Entry Type",$C$4,"2 Item No.","@@"&amp;$F1480,"3 Posting Date",J$9)</t>
  </si>
  <si>
    <t>=J1480-L1480</t>
  </si>
  <si>
    <t>=IF(J1480&lt;&gt;0,M1480/J1480,"")</t>
  </si>
  <si>
    <t>=NL("Sum","5802 Value Entry","150 Sales Amount (Expected)","41 Source Type",$C$5,"5 Source No.",$C1480,"4 Item Ledger Entry Type",$C$4,"2 Item No.","@@"&amp;$F1480,"3 Posting Date",O$9)+NL("Sum","5802 Value Entry","17 Sales Amount (Actual)","41 Source Type",$C$5,"5 Source no.",$C1480,"4 Item Ledger Entry Type",$C$4,"2 Item No.","@@"&amp;$F1480,"3 Posting Date",O$9)</t>
  </si>
  <si>
    <t>=-NL("Sum","5802 Value Entry","151 Cost Amount (Expected)","41 Source Type",$C$5,"5 Source No.",$C1480,"4 Item Ledger Entry Type",$C$4,"2 Item No.","@@"&amp;$F1480,"3 Posting Date",O$9)-NL("Sum","5802 Value Entry","43 Cost Amount (Actual)","41 Source Type",$C$5,"5 Source no.",$C1480,"4 Item Ledger Entry Type",$C$4,"2 Item No.","@@"&amp;$F1480,"3 Posting Date",O$9)</t>
  </si>
  <si>
    <t>=O1480-Q1480</t>
  </si>
  <si>
    <t>=IF(O1480&lt;&gt;0,R1480/O1480,"")</t>
  </si>
  <si>
    <t>=NL("Sum","5802 Value Entry","150 Sales Amount (Expected)","41 Source Type",$C$5,"5 Source No.",$C1480,"4 Item Ledger Entry Type",$C$4,"2 Item No.","@@"&amp;$F1480,"3 Posting Date",U$9)+NL("Sum","5802 Value Entry","17 Sales Amount (Actual)","41 Source Type",$C$5,"5 Source no.",$C1480,"4 Item Ledger Entry Type",$C$4,"2 Item No.","@@"&amp;$F1480,"3 Posting Date",U$9)</t>
  </si>
  <si>
    <t>=-NL("Sum","5802 Value Entry","151 Cost Amount (Expected)","41 Source Type",$C$5,"5 Source No.",$C1480,"4 Item Ledger Entry Type",$C$4,"2 Item No.","@@"&amp;$F1480,"3 Posting Date",U$9)-NL("Sum","5802 Value Entry","43 Cost Amount (Actual)","41 Source Type",$C$5,"5 Source no.",$C1480,"4 Item Ledger Entry Type",$C$4,"2 Item No.","@@"&amp;$F1480,"3 Posting Date",U$9)</t>
  </si>
  <si>
    <t>=U1480-W1480</t>
  </si>
  <si>
    <t>=IF(U1480&lt;&gt;0,X1480/U1480,"")</t>
  </si>
  <si>
    <t>=NL("Sum","5802 Value Entry","150 Sales Amount (Expected)","41 Source Type",$C$5,"5 Source No.",$C1480,"4 Item Ledger Entry Type",$C$4,"2 Item No.","@@"&amp;$F1480,"3 Posting Date",Z$9)+NL("Sum","5802 Value Entry","17 Sales Amount (Actual)","41 Source Type",$C$5,"5 Source no.",$C1480,"4 Item Ledger Entry Type",$C$4,"2 Item No.","@@"&amp;$F1480,"3 Posting Date",Z$9)</t>
  </si>
  <si>
    <t>=-NL("Sum","5802 Value Entry","151 Cost Amount (Expected)","41 Source Type",$C$5,"5 Source No.",$C1480,"4 Item Ledger Entry Type",$C$4,"2 Item No.","@@"&amp;$F1480,"3 Posting Date",Z$9)-NL("Sum","5802 Value Entry","43 Cost Amount (Actual)","41 Source Type",$C$5,"5 Source no.",$C1480,"4 Item Ledger Entry Type",$C$4,"2 Item No.","@@"&amp;$F1480,"3 Posting Date",Z$9)</t>
  </si>
  <si>
    <t>=Z1480-AB1480</t>
  </si>
  <si>
    <t>=IF(Z1480&lt;&gt;0,AC1480/Z1480,"")</t>
  </si>
  <si>
    <t>=C1480</t>
  </si>
  <si>
    <t>=NL("Sum","5802 Value Entry","150 Sales Amount (Expected)","41 Source Type",$C$5,"5 Source No.",$C1481,"4 Item Ledger Entry Type",$C$4,"2 Item No.","@@"&amp;$F1481,"3 Posting Date",J$9)+NL("Sum","5802 Value Entry","17 Sales Amount (Actual)","41 Source Type",$C$5,"5 Source no.",$C1481,"4 Item Ledger Entry Type",$C$4,"2 Item No.","@@"&amp;$F1481,"3 Posting Date",J$9)</t>
  </si>
  <si>
    <t>=-NL("Sum","5802 Value Entry","151 Cost Amount (Expected)","41 Source Type",$C$5,"5 Source No.",$C1481,"4 Item Ledger Entry Type",$C$4,"2 Item No.","@@"&amp;$F1481,"3 Posting Date",J$9)-NL("Sum","5802 Value Entry","43 Cost Amount (Actual)","41 Source Type",$C$5,"5 Source no.",$C1481,"4 Item Ledger Entry Type",$C$4,"2 Item No.","@@"&amp;$F1481,"3 Posting Date",J$9)</t>
  </si>
  <si>
    <t>=J1481-L1481</t>
  </si>
  <si>
    <t>=IF(J1481&lt;&gt;0,M1481/J1481,"")</t>
  </si>
  <si>
    <t>=NL("Sum","5802 Value Entry","150 Sales Amount (Expected)","41 Source Type",$C$5,"5 Source No.",$C1481,"4 Item Ledger Entry Type",$C$4,"2 Item No.","@@"&amp;$F1481,"3 Posting Date",O$9)+NL("Sum","5802 Value Entry","17 Sales Amount (Actual)","41 Source Type",$C$5,"5 Source no.",$C1481,"4 Item Ledger Entry Type",$C$4,"2 Item No.","@@"&amp;$F1481,"3 Posting Date",O$9)</t>
  </si>
  <si>
    <t>=-NL("Sum","5802 Value Entry","151 Cost Amount (Expected)","41 Source Type",$C$5,"5 Source No.",$C1481,"4 Item Ledger Entry Type",$C$4,"2 Item No.","@@"&amp;$F1481,"3 Posting Date",O$9)-NL("Sum","5802 Value Entry","43 Cost Amount (Actual)","41 Source Type",$C$5,"5 Source no.",$C1481,"4 Item Ledger Entry Type",$C$4,"2 Item No.","@@"&amp;$F1481,"3 Posting Date",O$9)</t>
  </si>
  <si>
    <t>=O1481-Q1481</t>
  </si>
  <si>
    <t>=IF(O1481&lt;&gt;0,R1481/O1481,"")</t>
  </si>
  <si>
    <t>=NL("Sum","5802 Value Entry","150 Sales Amount (Expected)","41 Source Type",$C$5,"5 Source No.",$C1481,"4 Item Ledger Entry Type",$C$4,"2 Item No.","@@"&amp;$F1481,"3 Posting Date",U$9)+NL("Sum","5802 Value Entry","17 Sales Amount (Actual)","41 Source Type",$C$5,"5 Source no.",$C1481,"4 Item Ledger Entry Type",$C$4,"2 Item No.","@@"&amp;$F1481,"3 Posting Date",U$9)</t>
  </si>
  <si>
    <t>=-NL("Sum","5802 Value Entry","151 Cost Amount (Expected)","41 Source Type",$C$5,"5 Source No.",$C1481,"4 Item Ledger Entry Type",$C$4,"2 Item No.","@@"&amp;$F1481,"3 Posting Date",U$9)-NL("Sum","5802 Value Entry","43 Cost Amount (Actual)","41 Source Type",$C$5,"5 Source no.",$C1481,"4 Item Ledger Entry Type",$C$4,"2 Item No.","@@"&amp;$F1481,"3 Posting Date",U$9)</t>
  </si>
  <si>
    <t>=U1481-W1481</t>
  </si>
  <si>
    <t>=IF(U1481&lt;&gt;0,X1481/U1481,"")</t>
  </si>
  <si>
    <t>=NL("Sum","5802 Value Entry","150 Sales Amount (Expected)","41 Source Type",$C$5,"5 Source No.",$C1481,"4 Item Ledger Entry Type",$C$4,"2 Item No.","@@"&amp;$F1481,"3 Posting Date",Z$9)+NL("Sum","5802 Value Entry","17 Sales Amount (Actual)","41 Source Type",$C$5,"5 Source no.",$C1481,"4 Item Ledger Entry Type",$C$4,"2 Item No.","@@"&amp;$F1481,"3 Posting Date",Z$9)</t>
  </si>
  <si>
    <t>=-NL("Sum","5802 Value Entry","151 Cost Amount (Expected)","41 Source Type",$C$5,"5 Source No.",$C1481,"4 Item Ledger Entry Type",$C$4,"2 Item No.","@@"&amp;$F1481,"3 Posting Date",Z$9)-NL("Sum","5802 Value Entry","43 Cost Amount (Actual)","41 Source Type",$C$5,"5 Source no.",$C1481,"4 Item Ledger Entry Type",$C$4,"2 Item No.","@@"&amp;$F1481,"3 Posting Date",Z$9)</t>
  </si>
  <si>
    <t>=Z1481-AB1481</t>
  </si>
  <si>
    <t>=IF(Z1481&lt;&gt;0,AC1481/Z1481,"")</t>
  </si>
  <si>
    <t>=C1481</t>
  </si>
  <si>
    <t>=NL("Sum","5802 Value Entry","150 Sales Amount (Expected)","41 Source Type",$C$5,"5 Source No.",$C1482,"4 Item Ledger Entry Type",$C$4,"2 Item No.","@@"&amp;$F1482,"3 Posting Date",J$9)+NL("Sum","5802 Value Entry","17 Sales Amount (Actual)","41 Source Type",$C$5,"5 Source no.",$C1482,"4 Item Ledger Entry Type",$C$4,"2 Item No.","@@"&amp;$F1482,"3 Posting Date",J$9)</t>
  </si>
  <si>
    <t>=-NL("Sum","5802 Value Entry","151 Cost Amount (Expected)","41 Source Type",$C$5,"5 Source No.",$C1482,"4 Item Ledger Entry Type",$C$4,"2 Item No.","@@"&amp;$F1482,"3 Posting Date",J$9)-NL("Sum","5802 Value Entry","43 Cost Amount (Actual)","41 Source Type",$C$5,"5 Source no.",$C1482,"4 Item Ledger Entry Type",$C$4,"2 Item No.","@@"&amp;$F1482,"3 Posting Date",J$9)</t>
  </si>
  <si>
    <t>=J1482-L1482</t>
  </si>
  <si>
    <t>=IF(J1482&lt;&gt;0,M1482/J1482,"")</t>
  </si>
  <si>
    <t>=NL("Sum","5802 Value Entry","150 Sales Amount (Expected)","41 Source Type",$C$5,"5 Source No.",$C1482,"4 Item Ledger Entry Type",$C$4,"2 Item No.","@@"&amp;$F1482,"3 Posting Date",O$9)+NL("Sum","5802 Value Entry","17 Sales Amount (Actual)","41 Source Type",$C$5,"5 Source no.",$C1482,"4 Item Ledger Entry Type",$C$4,"2 Item No.","@@"&amp;$F1482,"3 Posting Date",O$9)</t>
  </si>
  <si>
    <t>=-NL("Sum","5802 Value Entry","151 Cost Amount (Expected)","41 Source Type",$C$5,"5 Source No.",$C1482,"4 Item Ledger Entry Type",$C$4,"2 Item No.","@@"&amp;$F1482,"3 Posting Date",O$9)-NL("Sum","5802 Value Entry","43 Cost Amount (Actual)","41 Source Type",$C$5,"5 Source no.",$C1482,"4 Item Ledger Entry Type",$C$4,"2 Item No.","@@"&amp;$F1482,"3 Posting Date",O$9)</t>
  </si>
  <si>
    <t>=O1482-Q1482</t>
  </si>
  <si>
    <t>=IF(O1482&lt;&gt;0,R1482/O1482,"")</t>
  </si>
  <si>
    <t>=NL("Sum","5802 Value Entry","150 Sales Amount (Expected)","41 Source Type",$C$5,"5 Source No.",$C1482,"4 Item Ledger Entry Type",$C$4,"2 Item No.","@@"&amp;$F1482,"3 Posting Date",U$9)+NL("Sum","5802 Value Entry","17 Sales Amount (Actual)","41 Source Type",$C$5,"5 Source no.",$C1482,"4 Item Ledger Entry Type",$C$4,"2 Item No.","@@"&amp;$F1482,"3 Posting Date",U$9)</t>
  </si>
  <si>
    <t>=-NL("Sum","5802 Value Entry","151 Cost Amount (Expected)","41 Source Type",$C$5,"5 Source No.",$C1482,"4 Item Ledger Entry Type",$C$4,"2 Item No.","@@"&amp;$F1482,"3 Posting Date",U$9)-NL("Sum","5802 Value Entry","43 Cost Amount (Actual)","41 Source Type",$C$5,"5 Source no.",$C1482,"4 Item Ledger Entry Type",$C$4,"2 Item No.","@@"&amp;$F1482,"3 Posting Date",U$9)</t>
  </si>
  <si>
    <t>=U1482-W1482</t>
  </si>
  <si>
    <t>=IF(U1482&lt;&gt;0,X1482/U1482,"")</t>
  </si>
  <si>
    <t>=NL("Sum","5802 Value Entry","150 Sales Amount (Expected)","41 Source Type",$C$5,"5 Source No.",$C1482,"4 Item Ledger Entry Type",$C$4,"2 Item No.","@@"&amp;$F1482,"3 Posting Date",Z$9)+NL("Sum","5802 Value Entry","17 Sales Amount (Actual)","41 Source Type",$C$5,"5 Source no.",$C1482,"4 Item Ledger Entry Type",$C$4,"2 Item No.","@@"&amp;$F1482,"3 Posting Date",Z$9)</t>
  </si>
  <si>
    <t>=-NL("Sum","5802 Value Entry","151 Cost Amount (Expected)","41 Source Type",$C$5,"5 Source No.",$C1482,"4 Item Ledger Entry Type",$C$4,"2 Item No.","@@"&amp;$F1482,"3 Posting Date",Z$9)-NL("Sum","5802 Value Entry","43 Cost Amount (Actual)","41 Source Type",$C$5,"5 Source no.",$C1482,"4 Item Ledger Entry Type",$C$4,"2 Item No.","@@"&amp;$F1482,"3 Posting Date",Z$9)</t>
  </si>
  <si>
    <t>=Z1482-AB1482</t>
  </si>
  <si>
    <t>=IF(Z1482&lt;&gt;0,AC1482/Z1482,"")</t>
  </si>
  <si>
    <t>=C1482</t>
  </si>
  <si>
    <t>=NL("Sum","5802 Value Entry","150 Sales Amount (Expected)","41 Source Type",$C$5,"5 Source No.",$C1483,"4 Item Ledger Entry Type",$C$4,"2 Item No.","@@"&amp;$F1483,"3 Posting Date",J$9)+NL("Sum","5802 Value Entry","17 Sales Amount (Actual)","41 Source Type",$C$5,"5 Source no.",$C1483,"4 Item Ledger Entry Type",$C$4,"2 Item No.","@@"&amp;$F1483,"3 Posting Date",J$9)</t>
  </si>
  <si>
    <t>=-NL("Sum","5802 Value Entry","151 Cost Amount (Expected)","41 Source Type",$C$5,"5 Source No.",$C1483,"4 Item Ledger Entry Type",$C$4,"2 Item No.","@@"&amp;$F1483,"3 Posting Date",J$9)-NL("Sum","5802 Value Entry","43 Cost Amount (Actual)","41 Source Type",$C$5,"5 Source no.",$C1483,"4 Item Ledger Entry Type",$C$4,"2 Item No.","@@"&amp;$F1483,"3 Posting Date",J$9)</t>
  </si>
  <si>
    <t>=J1483-L1483</t>
  </si>
  <si>
    <t>=IF(J1483&lt;&gt;0,M1483/J1483,"")</t>
  </si>
  <si>
    <t>=NL("Sum","5802 Value Entry","150 Sales Amount (Expected)","41 Source Type",$C$5,"5 Source No.",$C1483,"4 Item Ledger Entry Type",$C$4,"2 Item No.","@@"&amp;$F1483,"3 Posting Date",O$9)+NL("Sum","5802 Value Entry","17 Sales Amount (Actual)","41 Source Type",$C$5,"5 Source no.",$C1483,"4 Item Ledger Entry Type",$C$4,"2 Item No.","@@"&amp;$F1483,"3 Posting Date",O$9)</t>
  </si>
  <si>
    <t>=-NL("Sum","5802 Value Entry","151 Cost Amount (Expected)","41 Source Type",$C$5,"5 Source No.",$C1483,"4 Item Ledger Entry Type",$C$4,"2 Item No.","@@"&amp;$F1483,"3 Posting Date",O$9)-NL("Sum","5802 Value Entry","43 Cost Amount (Actual)","41 Source Type",$C$5,"5 Source no.",$C1483,"4 Item Ledger Entry Type",$C$4,"2 Item No.","@@"&amp;$F1483,"3 Posting Date",O$9)</t>
  </si>
  <si>
    <t>=O1483-Q1483</t>
  </si>
  <si>
    <t>=IF(O1483&lt;&gt;0,R1483/O1483,"")</t>
  </si>
  <si>
    <t>=NL("Sum","5802 Value Entry","150 Sales Amount (Expected)","41 Source Type",$C$5,"5 Source No.",$C1483,"4 Item Ledger Entry Type",$C$4,"2 Item No.","@@"&amp;$F1483,"3 Posting Date",U$9)+NL("Sum","5802 Value Entry","17 Sales Amount (Actual)","41 Source Type",$C$5,"5 Source no.",$C1483,"4 Item Ledger Entry Type",$C$4,"2 Item No.","@@"&amp;$F1483,"3 Posting Date",U$9)</t>
  </si>
  <si>
    <t>=-NL("Sum","5802 Value Entry","151 Cost Amount (Expected)","41 Source Type",$C$5,"5 Source No.",$C1483,"4 Item Ledger Entry Type",$C$4,"2 Item No.","@@"&amp;$F1483,"3 Posting Date",U$9)-NL("Sum","5802 Value Entry","43 Cost Amount (Actual)","41 Source Type",$C$5,"5 Source no.",$C1483,"4 Item Ledger Entry Type",$C$4,"2 Item No.","@@"&amp;$F1483,"3 Posting Date",U$9)</t>
  </si>
  <si>
    <t>=U1483-W1483</t>
  </si>
  <si>
    <t>=IF(U1483&lt;&gt;0,X1483/U1483,"")</t>
  </si>
  <si>
    <t>=NL("Sum","5802 Value Entry","150 Sales Amount (Expected)","41 Source Type",$C$5,"5 Source No.",$C1483,"4 Item Ledger Entry Type",$C$4,"2 Item No.","@@"&amp;$F1483,"3 Posting Date",Z$9)+NL("Sum","5802 Value Entry","17 Sales Amount (Actual)","41 Source Type",$C$5,"5 Source no.",$C1483,"4 Item Ledger Entry Type",$C$4,"2 Item No.","@@"&amp;$F1483,"3 Posting Date",Z$9)</t>
  </si>
  <si>
    <t>=-NL("Sum","5802 Value Entry","151 Cost Amount (Expected)","41 Source Type",$C$5,"5 Source No.",$C1483,"4 Item Ledger Entry Type",$C$4,"2 Item No.","@@"&amp;$F1483,"3 Posting Date",Z$9)-NL("Sum","5802 Value Entry","43 Cost Amount (Actual)","41 Source Type",$C$5,"5 Source no.",$C1483,"4 Item Ledger Entry Type",$C$4,"2 Item No.","@@"&amp;$F1483,"3 Posting Date",Z$9)</t>
  </si>
  <si>
    <t>=Z1483-AB1483</t>
  </si>
  <si>
    <t>=IF(Z1483&lt;&gt;0,AC1483/Z1483,"")</t>
  </si>
  <si>
    <t>=C1483</t>
  </si>
  <si>
    <t>=NL("Sum","5802 Value Entry","150 Sales Amount (Expected)","41 Source Type",$C$5,"5 Source No.",$C1484,"4 Item Ledger Entry Type",$C$4,"2 Item No.","@@"&amp;$F1484,"3 Posting Date",J$9)+NL("Sum","5802 Value Entry","17 Sales Amount (Actual)","41 Source Type",$C$5,"5 Source no.",$C1484,"4 Item Ledger Entry Type",$C$4,"2 Item No.","@@"&amp;$F1484,"3 Posting Date",J$9)</t>
  </si>
  <si>
    <t>=-NL("Sum","5802 Value Entry","151 Cost Amount (Expected)","41 Source Type",$C$5,"5 Source No.",$C1484,"4 Item Ledger Entry Type",$C$4,"2 Item No.","@@"&amp;$F1484,"3 Posting Date",J$9)-NL("Sum","5802 Value Entry","43 Cost Amount (Actual)","41 Source Type",$C$5,"5 Source no.",$C1484,"4 Item Ledger Entry Type",$C$4,"2 Item No.","@@"&amp;$F1484,"3 Posting Date",J$9)</t>
  </si>
  <si>
    <t>=J1484-L1484</t>
  </si>
  <si>
    <t>=IF(J1484&lt;&gt;0,M1484/J1484,"")</t>
  </si>
  <si>
    <t>=NL("Sum","5802 Value Entry","150 Sales Amount (Expected)","41 Source Type",$C$5,"5 Source No.",$C1484,"4 Item Ledger Entry Type",$C$4,"2 Item No.","@@"&amp;$F1484,"3 Posting Date",O$9)+NL("Sum","5802 Value Entry","17 Sales Amount (Actual)","41 Source Type",$C$5,"5 Source no.",$C1484,"4 Item Ledger Entry Type",$C$4,"2 Item No.","@@"&amp;$F1484,"3 Posting Date",O$9)</t>
  </si>
  <si>
    <t>=-NL("Sum","5802 Value Entry","151 Cost Amount (Expected)","41 Source Type",$C$5,"5 Source No.",$C1484,"4 Item Ledger Entry Type",$C$4,"2 Item No.","@@"&amp;$F1484,"3 Posting Date",O$9)-NL("Sum","5802 Value Entry","43 Cost Amount (Actual)","41 Source Type",$C$5,"5 Source no.",$C1484,"4 Item Ledger Entry Type",$C$4,"2 Item No.","@@"&amp;$F1484,"3 Posting Date",O$9)</t>
  </si>
  <si>
    <t>=O1484-Q1484</t>
  </si>
  <si>
    <t>=IF(O1484&lt;&gt;0,R1484/O1484,"")</t>
  </si>
  <si>
    <t>=NL("Sum","5802 Value Entry","150 Sales Amount (Expected)","41 Source Type",$C$5,"5 Source No.",$C1484,"4 Item Ledger Entry Type",$C$4,"2 Item No.","@@"&amp;$F1484,"3 Posting Date",U$9)+NL("Sum","5802 Value Entry","17 Sales Amount (Actual)","41 Source Type",$C$5,"5 Source no.",$C1484,"4 Item Ledger Entry Type",$C$4,"2 Item No.","@@"&amp;$F1484,"3 Posting Date",U$9)</t>
  </si>
  <si>
    <t>=-NL("Sum","5802 Value Entry","151 Cost Amount (Expected)","41 Source Type",$C$5,"5 Source No.",$C1484,"4 Item Ledger Entry Type",$C$4,"2 Item No.","@@"&amp;$F1484,"3 Posting Date",U$9)-NL("Sum","5802 Value Entry","43 Cost Amount (Actual)","41 Source Type",$C$5,"5 Source no.",$C1484,"4 Item Ledger Entry Type",$C$4,"2 Item No.","@@"&amp;$F1484,"3 Posting Date",U$9)</t>
  </si>
  <si>
    <t>=U1484-W1484</t>
  </si>
  <si>
    <t>=IF(U1484&lt;&gt;0,X1484/U1484,"")</t>
  </si>
  <si>
    <t>=NL("Sum","5802 Value Entry","150 Sales Amount (Expected)","41 Source Type",$C$5,"5 Source No.",$C1484,"4 Item Ledger Entry Type",$C$4,"2 Item No.","@@"&amp;$F1484,"3 Posting Date",Z$9)+NL("Sum","5802 Value Entry","17 Sales Amount (Actual)","41 Source Type",$C$5,"5 Source no.",$C1484,"4 Item Ledger Entry Type",$C$4,"2 Item No.","@@"&amp;$F1484,"3 Posting Date",Z$9)</t>
  </si>
  <si>
    <t>=-NL("Sum","5802 Value Entry","151 Cost Amount (Expected)","41 Source Type",$C$5,"5 Source No.",$C1484,"4 Item Ledger Entry Type",$C$4,"2 Item No.","@@"&amp;$F1484,"3 Posting Date",Z$9)-NL("Sum","5802 Value Entry","43 Cost Amount (Actual)","41 Source Type",$C$5,"5 Source no.",$C1484,"4 Item Ledger Entry Type",$C$4,"2 Item No.","@@"&amp;$F1484,"3 Posting Date",Z$9)</t>
  </si>
  <si>
    <t>=Z1484-AB1484</t>
  </si>
  <si>
    <t>=IF(Z1484&lt;&gt;0,AC1484/Z1484,"")</t>
  </si>
  <si>
    <t>=C1484</t>
  </si>
  <si>
    <t>=NL("Sum","5802 Value Entry","150 Sales Amount (Expected)","41 Source Type",$C$5,"5 Source No.",$C1485,"4 Item Ledger Entry Type",$C$4,"2 Item No.","@@"&amp;$F1485,"3 Posting Date",J$9)+NL("Sum","5802 Value Entry","17 Sales Amount (Actual)","41 Source Type",$C$5,"5 Source no.",$C1485,"4 Item Ledger Entry Type",$C$4,"2 Item No.","@@"&amp;$F1485,"3 Posting Date",J$9)</t>
  </si>
  <si>
    <t>=-NL("Sum","5802 Value Entry","151 Cost Amount (Expected)","41 Source Type",$C$5,"5 Source No.",$C1485,"4 Item Ledger Entry Type",$C$4,"2 Item No.","@@"&amp;$F1485,"3 Posting Date",J$9)-NL("Sum","5802 Value Entry","43 Cost Amount (Actual)","41 Source Type",$C$5,"5 Source no.",$C1485,"4 Item Ledger Entry Type",$C$4,"2 Item No.","@@"&amp;$F1485,"3 Posting Date",J$9)</t>
  </si>
  <si>
    <t>=J1485-L1485</t>
  </si>
  <si>
    <t>=IF(J1485&lt;&gt;0,M1485/J1485,"")</t>
  </si>
  <si>
    <t>=NL("Sum","5802 Value Entry","150 Sales Amount (Expected)","41 Source Type",$C$5,"5 Source No.",$C1485,"4 Item Ledger Entry Type",$C$4,"2 Item No.","@@"&amp;$F1485,"3 Posting Date",O$9)+NL("Sum","5802 Value Entry","17 Sales Amount (Actual)","41 Source Type",$C$5,"5 Source no.",$C1485,"4 Item Ledger Entry Type",$C$4,"2 Item No.","@@"&amp;$F1485,"3 Posting Date",O$9)</t>
  </si>
  <si>
    <t>=-NL("Sum","5802 Value Entry","151 Cost Amount (Expected)","41 Source Type",$C$5,"5 Source No.",$C1485,"4 Item Ledger Entry Type",$C$4,"2 Item No.","@@"&amp;$F1485,"3 Posting Date",O$9)-NL("Sum","5802 Value Entry","43 Cost Amount (Actual)","41 Source Type",$C$5,"5 Source no.",$C1485,"4 Item Ledger Entry Type",$C$4,"2 Item No.","@@"&amp;$F1485,"3 Posting Date",O$9)</t>
  </si>
  <si>
    <t>=O1485-Q1485</t>
  </si>
  <si>
    <t>=IF(O1485&lt;&gt;0,R1485/O1485,"")</t>
  </si>
  <si>
    <t>=NL("Sum","5802 Value Entry","150 Sales Amount (Expected)","41 Source Type",$C$5,"5 Source No.",$C1485,"4 Item Ledger Entry Type",$C$4,"2 Item No.","@@"&amp;$F1485,"3 Posting Date",U$9)+NL("Sum","5802 Value Entry","17 Sales Amount (Actual)","41 Source Type",$C$5,"5 Source no.",$C1485,"4 Item Ledger Entry Type",$C$4,"2 Item No.","@@"&amp;$F1485,"3 Posting Date",U$9)</t>
  </si>
  <si>
    <t>=-NL("Sum","5802 Value Entry","151 Cost Amount (Expected)","41 Source Type",$C$5,"5 Source No.",$C1485,"4 Item Ledger Entry Type",$C$4,"2 Item No.","@@"&amp;$F1485,"3 Posting Date",U$9)-NL("Sum","5802 Value Entry","43 Cost Amount (Actual)","41 Source Type",$C$5,"5 Source no.",$C1485,"4 Item Ledger Entry Type",$C$4,"2 Item No.","@@"&amp;$F1485,"3 Posting Date",U$9)</t>
  </si>
  <si>
    <t>=U1485-W1485</t>
  </si>
  <si>
    <t>=IF(U1485&lt;&gt;0,X1485/U1485,"")</t>
  </si>
  <si>
    <t>=NL("Sum","5802 Value Entry","150 Sales Amount (Expected)","41 Source Type",$C$5,"5 Source No.",$C1485,"4 Item Ledger Entry Type",$C$4,"2 Item No.","@@"&amp;$F1485,"3 Posting Date",Z$9)+NL("Sum","5802 Value Entry","17 Sales Amount (Actual)","41 Source Type",$C$5,"5 Source no.",$C1485,"4 Item Ledger Entry Type",$C$4,"2 Item No.","@@"&amp;$F1485,"3 Posting Date",Z$9)</t>
  </si>
  <si>
    <t>=-NL("Sum","5802 Value Entry","151 Cost Amount (Expected)","41 Source Type",$C$5,"5 Source No.",$C1485,"4 Item Ledger Entry Type",$C$4,"2 Item No.","@@"&amp;$F1485,"3 Posting Date",Z$9)-NL("Sum","5802 Value Entry","43 Cost Amount (Actual)","41 Source Type",$C$5,"5 Source no.",$C1485,"4 Item Ledger Entry Type",$C$4,"2 Item No.","@@"&amp;$F1485,"3 Posting Date",Z$9)</t>
  </si>
  <si>
    <t>=Z1485-AB1485</t>
  </si>
  <si>
    <t>=IF(Z1485&lt;&gt;0,AC1485/Z1485,"")</t>
  </si>
  <si>
    <t>=C1485</t>
  </si>
  <si>
    <t>=NL("Sum","5802 Value Entry","150 Sales Amount (Expected)","41 Source Type",$C$5,"5 Source No.",$C1486,"4 Item Ledger Entry Type",$C$4,"2 Item No.","@@"&amp;$F1486,"3 Posting Date",J$9)+NL("Sum","5802 Value Entry","17 Sales Amount (Actual)","41 Source Type",$C$5,"5 Source no.",$C1486,"4 Item Ledger Entry Type",$C$4,"2 Item No.","@@"&amp;$F1486,"3 Posting Date",J$9)</t>
  </si>
  <si>
    <t>=-NL("Sum","5802 Value Entry","151 Cost Amount (Expected)","41 Source Type",$C$5,"5 Source No.",$C1486,"4 Item Ledger Entry Type",$C$4,"2 Item No.","@@"&amp;$F1486,"3 Posting Date",J$9)-NL("Sum","5802 Value Entry","43 Cost Amount (Actual)","41 Source Type",$C$5,"5 Source no.",$C1486,"4 Item Ledger Entry Type",$C$4,"2 Item No.","@@"&amp;$F1486,"3 Posting Date",J$9)</t>
  </si>
  <si>
    <t>=J1486-L1486</t>
  </si>
  <si>
    <t>=IF(J1486&lt;&gt;0,M1486/J1486,"")</t>
  </si>
  <si>
    <t>=NL("Sum","5802 Value Entry","150 Sales Amount (Expected)","41 Source Type",$C$5,"5 Source No.",$C1486,"4 Item Ledger Entry Type",$C$4,"2 Item No.","@@"&amp;$F1486,"3 Posting Date",O$9)+NL("Sum","5802 Value Entry","17 Sales Amount (Actual)","41 Source Type",$C$5,"5 Source no.",$C1486,"4 Item Ledger Entry Type",$C$4,"2 Item No.","@@"&amp;$F1486,"3 Posting Date",O$9)</t>
  </si>
  <si>
    <t>=-NL("Sum","5802 Value Entry","151 Cost Amount (Expected)","41 Source Type",$C$5,"5 Source No.",$C1486,"4 Item Ledger Entry Type",$C$4,"2 Item No.","@@"&amp;$F1486,"3 Posting Date",O$9)-NL("Sum","5802 Value Entry","43 Cost Amount (Actual)","41 Source Type",$C$5,"5 Source no.",$C1486,"4 Item Ledger Entry Type",$C$4,"2 Item No.","@@"&amp;$F1486,"3 Posting Date",O$9)</t>
  </si>
  <si>
    <t>=O1486-Q1486</t>
  </si>
  <si>
    <t>=IF(O1486&lt;&gt;0,R1486/O1486,"")</t>
  </si>
  <si>
    <t>=NL("Sum","5802 Value Entry","150 Sales Amount (Expected)","41 Source Type",$C$5,"5 Source No.",$C1486,"4 Item Ledger Entry Type",$C$4,"2 Item No.","@@"&amp;$F1486,"3 Posting Date",U$9)+NL("Sum","5802 Value Entry","17 Sales Amount (Actual)","41 Source Type",$C$5,"5 Source no.",$C1486,"4 Item Ledger Entry Type",$C$4,"2 Item No.","@@"&amp;$F1486,"3 Posting Date",U$9)</t>
  </si>
  <si>
    <t>=-NL("Sum","5802 Value Entry","151 Cost Amount (Expected)","41 Source Type",$C$5,"5 Source No.",$C1486,"4 Item Ledger Entry Type",$C$4,"2 Item No.","@@"&amp;$F1486,"3 Posting Date",U$9)-NL("Sum","5802 Value Entry","43 Cost Amount (Actual)","41 Source Type",$C$5,"5 Source no.",$C1486,"4 Item Ledger Entry Type",$C$4,"2 Item No.","@@"&amp;$F1486,"3 Posting Date",U$9)</t>
  </si>
  <si>
    <t>=U1486-W1486</t>
  </si>
  <si>
    <t>=IF(U1486&lt;&gt;0,X1486/U1486,"")</t>
  </si>
  <si>
    <t>=NL("Sum","5802 Value Entry","150 Sales Amount (Expected)","41 Source Type",$C$5,"5 Source No.",$C1486,"4 Item Ledger Entry Type",$C$4,"2 Item No.","@@"&amp;$F1486,"3 Posting Date",Z$9)+NL("Sum","5802 Value Entry","17 Sales Amount (Actual)","41 Source Type",$C$5,"5 Source no.",$C1486,"4 Item Ledger Entry Type",$C$4,"2 Item No.","@@"&amp;$F1486,"3 Posting Date",Z$9)</t>
  </si>
  <si>
    <t>=-NL("Sum","5802 Value Entry","151 Cost Amount (Expected)","41 Source Type",$C$5,"5 Source No.",$C1486,"4 Item Ledger Entry Type",$C$4,"2 Item No.","@@"&amp;$F1486,"3 Posting Date",Z$9)-NL("Sum","5802 Value Entry","43 Cost Amount (Actual)","41 Source Type",$C$5,"5 Source no.",$C1486,"4 Item Ledger Entry Type",$C$4,"2 Item No.","@@"&amp;$F1486,"3 Posting Date",Z$9)</t>
  </si>
  <si>
    <t>=Z1486-AB1486</t>
  </si>
  <si>
    <t>=IF(Z1486&lt;&gt;0,AC1486/Z1486,"")</t>
  </si>
  <si>
    <t>=C1486</t>
  </si>
  <si>
    <t>=NL("Sum","5802 Value Entry","150 Sales Amount (Expected)","41 Source Type",$C$5,"5 Source No.",$C1487,"4 Item Ledger Entry Type",$C$4,"2 Item No.","@@"&amp;$F1487,"3 Posting Date",J$9)+NL("Sum","5802 Value Entry","17 Sales Amount (Actual)","41 Source Type",$C$5,"5 Source no.",$C1487,"4 Item Ledger Entry Type",$C$4,"2 Item No.","@@"&amp;$F1487,"3 Posting Date",J$9)</t>
  </si>
  <si>
    <t>=-NL("Sum","5802 Value Entry","151 Cost Amount (Expected)","41 Source Type",$C$5,"5 Source No.",$C1487,"4 Item Ledger Entry Type",$C$4,"2 Item No.","@@"&amp;$F1487,"3 Posting Date",J$9)-NL("Sum","5802 Value Entry","43 Cost Amount (Actual)","41 Source Type",$C$5,"5 Source no.",$C1487,"4 Item Ledger Entry Type",$C$4,"2 Item No.","@@"&amp;$F1487,"3 Posting Date",J$9)</t>
  </si>
  <si>
    <t>=J1487-L1487</t>
  </si>
  <si>
    <t>=IF(J1487&lt;&gt;0,M1487/J1487,"")</t>
  </si>
  <si>
    <t>=NL("Sum","5802 Value Entry","150 Sales Amount (Expected)","41 Source Type",$C$5,"5 Source No.",$C1487,"4 Item Ledger Entry Type",$C$4,"2 Item No.","@@"&amp;$F1487,"3 Posting Date",O$9)+NL("Sum","5802 Value Entry","17 Sales Amount (Actual)","41 Source Type",$C$5,"5 Source no.",$C1487,"4 Item Ledger Entry Type",$C$4,"2 Item No.","@@"&amp;$F1487,"3 Posting Date",O$9)</t>
  </si>
  <si>
    <t>=-NL("Sum","5802 Value Entry","151 Cost Amount (Expected)","41 Source Type",$C$5,"5 Source No.",$C1487,"4 Item Ledger Entry Type",$C$4,"2 Item No.","@@"&amp;$F1487,"3 Posting Date",O$9)-NL("Sum","5802 Value Entry","43 Cost Amount (Actual)","41 Source Type",$C$5,"5 Source no.",$C1487,"4 Item Ledger Entry Type",$C$4,"2 Item No.","@@"&amp;$F1487,"3 Posting Date",O$9)</t>
  </si>
  <si>
    <t>=O1487-Q1487</t>
  </si>
  <si>
    <t>=IF(O1487&lt;&gt;0,R1487/O1487,"")</t>
  </si>
  <si>
    <t>=NL("Sum","5802 Value Entry","150 Sales Amount (Expected)","41 Source Type",$C$5,"5 Source No.",$C1487,"4 Item Ledger Entry Type",$C$4,"2 Item No.","@@"&amp;$F1487,"3 Posting Date",U$9)+NL("Sum","5802 Value Entry","17 Sales Amount (Actual)","41 Source Type",$C$5,"5 Source no.",$C1487,"4 Item Ledger Entry Type",$C$4,"2 Item No.","@@"&amp;$F1487,"3 Posting Date",U$9)</t>
  </si>
  <si>
    <t>=-NL("Sum","5802 Value Entry","151 Cost Amount (Expected)","41 Source Type",$C$5,"5 Source No.",$C1487,"4 Item Ledger Entry Type",$C$4,"2 Item No.","@@"&amp;$F1487,"3 Posting Date",U$9)-NL("Sum","5802 Value Entry","43 Cost Amount (Actual)","41 Source Type",$C$5,"5 Source no.",$C1487,"4 Item Ledger Entry Type",$C$4,"2 Item No.","@@"&amp;$F1487,"3 Posting Date",U$9)</t>
  </si>
  <si>
    <t>=U1487-W1487</t>
  </si>
  <si>
    <t>=IF(U1487&lt;&gt;0,X1487/U1487,"")</t>
  </si>
  <si>
    <t>=NL("Sum","5802 Value Entry","150 Sales Amount (Expected)","41 Source Type",$C$5,"5 Source No.",$C1487,"4 Item Ledger Entry Type",$C$4,"2 Item No.","@@"&amp;$F1487,"3 Posting Date",Z$9)+NL("Sum","5802 Value Entry","17 Sales Amount (Actual)","41 Source Type",$C$5,"5 Source no.",$C1487,"4 Item Ledger Entry Type",$C$4,"2 Item No.","@@"&amp;$F1487,"3 Posting Date",Z$9)</t>
  </si>
  <si>
    <t>=-NL("Sum","5802 Value Entry","151 Cost Amount (Expected)","41 Source Type",$C$5,"5 Source No.",$C1487,"4 Item Ledger Entry Type",$C$4,"2 Item No.","@@"&amp;$F1487,"3 Posting Date",Z$9)-NL("Sum","5802 Value Entry","43 Cost Amount (Actual)","41 Source Type",$C$5,"5 Source no.",$C1487,"4 Item Ledger Entry Type",$C$4,"2 Item No.","@@"&amp;$F1487,"3 Posting Date",Z$9)</t>
  </si>
  <si>
    <t>=Z1487-AB1487</t>
  </si>
  <si>
    <t>=IF(Z1487&lt;&gt;0,AC1487/Z1487,"")</t>
  </si>
  <si>
    <t>=C1487</t>
  </si>
  <si>
    <t>=NL("Sum","5802 Value Entry","150 Sales Amount (Expected)","41 Source Type",$C$5,"5 Source No.",$C1488,"4 Item Ledger Entry Type",$C$4,"2 Item No.","@@"&amp;$F1488,"3 Posting Date",J$9)+NL("Sum","5802 Value Entry","17 Sales Amount (Actual)","41 Source Type",$C$5,"5 Source no.",$C1488,"4 Item Ledger Entry Type",$C$4,"2 Item No.","@@"&amp;$F1488,"3 Posting Date",J$9)</t>
  </si>
  <si>
    <t>=-NL("Sum","5802 Value Entry","151 Cost Amount (Expected)","41 Source Type",$C$5,"5 Source No.",$C1488,"4 Item Ledger Entry Type",$C$4,"2 Item No.","@@"&amp;$F1488,"3 Posting Date",J$9)-NL("Sum","5802 Value Entry","43 Cost Amount (Actual)","41 Source Type",$C$5,"5 Source no.",$C1488,"4 Item Ledger Entry Type",$C$4,"2 Item No.","@@"&amp;$F1488,"3 Posting Date",J$9)</t>
  </si>
  <si>
    <t>=J1488-L1488</t>
  </si>
  <si>
    <t>=IF(J1488&lt;&gt;0,M1488/J1488,"")</t>
  </si>
  <si>
    <t>=NL("Sum","5802 Value Entry","150 Sales Amount (Expected)","41 Source Type",$C$5,"5 Source No.",$C1488,"4 Item Ledger Entry Type",$C$4,"2 Item No.","@@"&amp;$F1488,"3 Posting Date",O$9)+NL("Sum","5802 Value Entry","17 Sales Amount (Actual)","41 Source Type",$C$5,"5 Source no.",$C1488,"4 Item Ledger Entry Type",$C$4,"2 Item No.","@@"&amp;$F1488,"3 Posting Date",O$9)</t>
  </si>
  <si>
    <t>=-NL("Sum","5802 Value Entry","151 Cost Amount (Expected)","41 Source Type",$C$5,"5 Source No.",$C1488,"4 Item Ledger Entry Type",$C$4,"2 Item No.","@@"&amp;$F1488,"3 Posting Date",O$9)-NL("Sum","5802 Value Entry","43 Cost Amount (Actual)","41 Source Type",$C$5,"5 Source no.",$C1488,"4 Item Ledger Entry Type",$C$4,"2 Item No.","@@"&amp;$F1488,"3 Posting Date",O$9)</t>
  </si>
  <si>
    <t>=O1488-Q1488</t>
  </si>
  <si>
    <t>=IF(O1488&lt;&gt;0,R1488/O1488,"")</t>
  </si>
  <si>
    <t>=NL("Sum","5802 Value Entry","150 Sales Amount (Expected)","41 Source Type",$C$5,"5 Source No.",$C1488,"4 Item Ledger Entry Type",$C$4,"2 Item No.","@@"&amp;$F1488,"3 Posting Date",U$9)+NL("Sum","5802 Value Entry","17 Sales Amount (Actual)","41 Source Type",$C$5,"5 Source no.",$C1488,"4 Item Ledger Entry Type",$C$4,"2 Item No.","@@"&amp;$F1488,"3 Posting Date",U$9)</t>
  </si>
  <si>
    <t>=-NL("Sum","5802 Value Entry","151 Cost Amount (Expected)","41 Source Type",$C$5,"5 Source No.",$C1488,"4 Item Ledger Entry Type",$C$4,"2 Item No.","@@"&amp;$F1488,"3 Posting Date",U$9)-NL("Sum","5802 Value Entry","43 Cost Amount (Actual)","41 Source Type",$C$5,"5 Source no.",$C1488,"4 Item Ledger Entry Type",$C$4,"2 Item No.","@@"&amp;$F1488,"3 Posting Date",U$9)</t>
  </si>
  <si>
    <t>=U1488-W1488</t>
  </si>
  <si>
    <t>=IF(U1488&lt;&gt;0,X1488/U1488,"")</t>
  </si>
  <si>
    <t>=NL("Sum","5802 Value Entry","150 Sales Amount (Expected)","41 Source Type",$C$5,"5 Source No.",$C1488,"4 Item Ledger Entry Type",$C$4,"2 Item No.","@@"&amp;$F1488,"3 Posting Date",Z$9)+NL("Sum","5802 Value Entry","17 Sales Amount (Actual)","41 Source Type",$C$5,"5 Source no.",$C1488,"4 Item Ledger Entry Type",$C$4,"2 Item No.","@@"&amp;$F1488,"3 Posting Date",Z$9)</t>
  </si>
  <si>
    <t>=-NL("Sum","5802 Value Entry","151 Cost Amount (Expected)","41 Source Type",$C$5,"5 Source No.",$C1488,"4 Item Ledger Entry Type",$C$4,"2 Item No.","@@"&amp;$F1488,"3 Posting Date",Z$9)-NL("Sum","5802 Value Entry","43 Cost Amount (Actual)","41 Source Type",$C$5,"5 Source no.",$C1488,"4 Item Ledger Entry Type",$C$4,"2 Item No.","@@"&amp;$F1488,"3 Posting Date",Z$9)</t>
  </si>
  <si>
    <t>=Z1488-AB1488</t>
  </si>
  <si>
    <t>=IF(Z1488&lt;&gt;0,AC1488/Z1488,"")</t>
  </si>
  <si>
    <t>=C1488</t>
  </si>
  <si>
    <t>=NL("Sum","5802 Value Entry","150 Sales Amount (Expected)","41 Source Type",$C$5,"5 Source No.",$C1489,"4 Item Ledger Entry Type",$C$4,"2 Item No.","@@"&amp;$F1489,"3 Posting Date",J$9)+NL("Sum","5802 Value Entry","17 Sales Amount (Actual)","41 Source Type",$C$5,"5 Source no.",$C1489,"4 Item Ledger Entry Type",$C$4,"2 Item No.","@@"&amp;$F1489,"3 Posting Date",J$9)</t>
  </si>
  <si>
    <t>=-NL("Sum","5802 Value Entry","151 Cost Amount (Expected)","41 Source Type",$C$5,"5 Source No.",$C1489,"4 Item Ledger Entry Type",$C$4,"2 Item No.","@@"&amp;$F1489,"3 Posting Date",J$9)-NL("Sum","5802 Value Entry","43 Cost Amount (Actual)","41 Source Type",$C$5,"5 Source no.",$C1489,"4 Item Ledger Entry Type",$C$4,"2 Item No.","@@"&amp;$F1489,"3 Posting Date",J$9)</t>
  </si>
  <si>
    <t>=J1489-L1489</t>
  </si>
  <si>
    <t>=IF(J1489&lt;&gt;0,M1489/J1489,"")</t>
  </si>
  <si>
    <t>=NL("Sum","5802 Value Entry","150 Sales Amount (Expected)","41 Source Type",$C$5,"5 Source No.",$C1489,"4 Item Ledger Entry Type",$C$4,"2 Item No.","@@"&amp;$F1489,"3 Posting Date",O$9)+NL("Sum","5802 Value Entry","17 Sales Amount (Actual)","41 Source Type",$C$5,"5 Source no.",$C1489,"4 Item Ledger Entry Type",$C$4,"2 Item No.","@@"&amp;$F1489,"3 Posting Date",O$9)</t>
  </si>
  <si>
    <t>=-NL("Sum","5802 Value Entry","151 Cost Amount (Expected)","41 Source Type",$C$5,"5 Source No.",$C1489,"4 Item Ledger Entry Type",$C$4,"2 Item No.","@@"&amp;$F1489,"3 Posting Date",O$9)-NL("Sum","5802 Value Entry","43 Cost Amount (Actual)","41 Source Type",$C$5,"5 Source no.",$C1489,"4 Item Ledger Entry Type",$C$4,"2 Item No.","@@"&amp;$F1489,"3 Posting Date",O$9)</t>
  </si>
  <si>
    <t>=O1489-Q1489</t>
  </si>
  <si>
    <t>=IF(O1489&lt;&gt;0,R1489/O1489,"")</t>
  </si>
  <si>
    <t>=NL("Sum","5802 Value Entry","150 Sales Amount (Expected)","41 Source Type",$C$5,"5 Source No.",$C1489,"4 Item Ledger Entry Type",$C$4,"2 Item No.","@@"&amp;$F1489,"3 Posting Date",U$9)+NL("Sum","5802 Value Entry","17 Sales Amount (Actual)","41 Source Type",$C$5,"5 Source no.",$C1489,"4 Item Ledger Entry Type",$C$4,"2 Item No.","@@"&amp;$F1489,"3 Posting Date",U$9)</t>
  </si>
  <si>
    <t>=-NL("Sum","5802 Value Entry","151 Cost Amount (Expected)","41 Source Type",$C$5,"5 Source No.",$C1489,"4 Item Ledger Entry Type",$C$4,"2 Item No.","@@"&amp;$F1489,"3 Posting Date",U$9)-NL("Sum","5802 Value Entry","43 Cost Amount (Actual)","41 Source Type",$C$5,"5 Source no.",$C1489,"4 Item Ledger Entry Type",$C$4,"2 Item No.","@@"&amp;$F1489,"3 Posting Date",U$9)</t>
  </si>
  <si>
    <t>=U1489-W1489</t>
  </si>
  <si>
    <t>=IF(U1489&lt;&gt;0,X1489/U1489,"")</t>
  </si>
  <si>
    <t>=NL("Sum","5802 Value Entry","150 Sales Amount (Expected)","41 Source Type",$C$5,"5 Source No.",$C1489,"4 Item Ledger Entry Type",$C$4,"2 Item No.","@@"&amp;$F1489,"3 Posting Date",Z$9)+NL("Sum","5802 Value Entry","17 Sales Amount (Actual)","41 Source Type",$C$5,"5 Source no.",$C1489,"4 Item Ledger Entry Type",$C$4,"2 Item No.","@@"&amp;$F1489,"3 Posting Date",Z$9)</t>
  </si>
  <si>
    <t>=-NL("Sum","5802 Value Entry","151 Cost Amount (Expected)","41 Source Type",$C$5,"5 Source No.",$C1489,"4 Item Ledger Entry Type",$C$4,"2 Item No.","@@"&amp;$F1489,"3 Posting Date",Z$9)-NL("Sum","5802 Value Entry","43 Cost Amount (Actual)","41 Source Type",$C$5,"5 Source no.",$C1489,"4 Item Ledger Entry Type",$C$4,"2 Item No.","@@"&amp;$F1489,"3 Posting Date",Z$9)</t>
  </si>
  <si>
    <t>=Z1489-AB1489</t>
  </si>
  <si>
    <t>=IF(Z1489&lt;&gt;0,AC1489/Z1489,"")</t>
  </si>
  <si>
    <t>=C1490</t>
  </si>
  <si>
    <t>=J1491-L1491</t>
  </si>
  <si>
    <t>=IF(J1491&lt;&gt;0,M1491/J1491,"")</t>
  </si>
  <si>
    <t>=O1491-Q1491</t>
  </si>
  <si>
    <t>=IF(O1491&lt;&gt;0,R1491/O1491,"")</t>
  </si>
  <si>
    <t>=U1491-W1491</t>
  </si>
  <si>
    <t>=IF(U1491&lt;&gt;0,X1491/U1491,"")</t>
  </si>
  <si>
    <t>=Z1491-AB1491</t>
  </si>
  <si>
    <t>=IF(Z1491&lt;&gt;0,AC1491/Z1491,"")</t>
  </si>
  <si>
    <t>=C1493</t>
  </si>
  <si>
    <t>=C1494</t>
  </si>
  <si>
    <t>=NL("Sum","5802 Value Entry","150 Sales Amount (Expected)","41 Source Type",$C$5,"5 Source No.",$C1495,"4 Item Ledger Entry Type",$C$4,"2 Item No.","@@"&amp;$F1495,"3 Posting Date",J$9)+NL("Sum","5802 Value Entry","17 Sales Amount (Actual)","41 Source Type",$C$5,"5 Source no.",$C1495,"4 Item Ledger Entry Type",$C$4,"2 Item No.","@@"&amp;$F1495,"3 Posting Date",J$9)</t>
  </si>
  <si>
    <t>=-NL("Sum","5802 Value Entry","151 Cost Amount (Expected)","41 Source Type",$C$5,"5 Source No.",$C1495,"4 Item Ledger Entry Type",$C$4,"2 Item No.","@@"&amp;$F1495,"3 Posting Date",J$9)-NL("Sum","5802 Value Entry","43 Cost Amount (Actual)","41 Source Type",$C$5,"5 Source no.",$C1495,"4 Item Ledger Entry Type",$C$4,"2 Item No.","@@"&amp;$F1495,"3 Posting Date",J$9)</t>
  </si>
  <si>
    <t>=J1495-L1495</t>
  </si>
  <si>
    <t>=IF(J1495&lt;&gt;0,M1495/J1495,"")</t>
  </si>
  <si>
    <t>=NL("Sum","5802 Value Entry","150 Sales Amount (Expected)","41 Source Type",$C$5,"5 Source No.",$C1495,"4 Item Ledger Entry Type",$C$4,"2 Item No.","@@"&amp;$F1495,"3 Posting Date",O$9)+NL("Sum","5802 Value Entry","17 Sales Amount (Actual)","41 Source Type",$C$5,"5 Source no.",$C1495,"4 Item Ledger Entry Type",$C$4,"2 Item No.","@@"&amp;$F1495,"3 Posting Date",O$9)</t>
  </si>
  <si>
    <t>=-NL("Sum","5802 Value Entry","151 Cost Amount (Expected)","41 Source Type",$C$5,"5 Source No.",$C1495,"4 Item Ledger Entry Type",$C$4,"2 Item No.","@@"&amp;$F1495,"3 Posting Date",O$9)-NL("Sum","5802 Value Entry","43 Cost Amount (Actual)","41 Source Type",$C$5,"5 Source no.",$C1495,"4 Item Ledger Entry Type",$C$4,"2 Item No.","@@"&amp;$F1495,"3 Posting Date",O$9)</t>
  </si>
  <si>
    <t>=O1495-Q1495</t>
  </si>
  <si>
    <t>=IF(O1495&lt;&gt;0,R1495/O1495,"")</t>
  </si>
  <si>
    <t>=NL("Sum","5802 Value Entry","150 Sales Amount (Expected)","41 Source Type",$C$5,"5 Source No.",$C1495,"4 Item Ledger Entry Type",$C$4,"2 Item No.","@@"&amp;$F1495,"3 Posting Date",U$9)+NL("Sum","5802 Value Entry","17 Sales Amount (Actual)","41 Source Type",$C$5,"5 Source no.",$C1495,"4 Item Ledger Entry Type",$C$4,"2 Item No.","@@"&amp;$F1495,"3 Posting Date",U$9)</t>
  </si>
  <si>
    <t>=-NL("Sum","5802 Value Entry","151 Cost Amount (Expected)","41 Source Type",$C$5,"5 Source No.",$C1495,"4 Item Ledger Entry Type",$C$4,"2 Item No.","@@"&amp;$F1495,"3 Posting Date",U$9)-NL("Sum","5802 Value Entry","43 Cost Amount (Actual)","41 Source Type",$C$5,"5 Source no.",$C1495,"4 Item Ledger Entry Type",$C$4,"2 Item No.","@@"&amp;$F1495,"3 Posting Date",U$9)</t>
  </si>
  <si>
    <t>=U1495-W1495</t>
  </si>
  <si>
    <t>=IF(U1495&lt;&gt;0,X1495/U1495,"")</t>
  </si>
  <si>
    <t>=NL("Sum","5802 Value Entry","150 Sales Amount (Expected)","41 Source Type",$C$5,"5 Source No.",$C1495,"4 Item Ledger Entry Type",$C$4,"2 Item No.","@@"&amp;$F1495,"3 Posting Date",Z$9)+NL("Sum","5802 Value Entry","17 Sales Amount (Actual)","41 Source Type",$C$5,"5 Source no.",$C1495,"4 Item Ledger Entry Type",$C$4,"2 Item No.","@@"&amp;$F1495,"3 Posting Date",Z$9)</t>
  </si>
  <si>
    <t>=-NL("Sum","5802 Value Entry","151 Cost Amount (Expected)","41 Source Type",$C$5,"5 Source No.",$C1495,"4 Item Ledger Entry Type",$C$4,"2 Item No.","@@"&amp;$F1495,"3 Posting Date",Z$9)-NL("Sum","5802 Value Entry","43 Cost Amount (Actual)","41 Source Type",$C$5,"5 Source no.",$C1495,"4 Item Ledger Entry Type",$C$4,"2 Item No.","@@"&amp;$F1495,"3 Posting Date",Z$9)</t>
  </si>
  <si>
    <t>=Z1495-AB1495</t>
  </si>
  <si>
    <t>=IF(Z1495&lt;&gt;0,AC1495/Z1495,"")</t>
  </si>
  <si>
    <t>=C1495</t>
  </si>
  <si>
    <t>=NL("Sum","5802 Value Entry","150 Sales Amount (Expected)","41 Source Type",$C$5,"5 Source No.",$C1496,"4 Item Ledger Entry Type",$C$4,"2 Item No.","@@"&amp;$F1496,"3 Posting Date",J$9)+NL("Sum","5802 Value Entry","17 Sales Amount (Actual)","41 Source Type",$C$5,"5 Source no.",$C1496,"4 Item Ledger Entry Type",$C$4,"2 Item No.","@@"&amp;$F1496,"3 Posting Date",J$9)</t>
  </si>
  <si>
    <t>=-NL("Sum","5802 Value Entry","151 Cost Amount (Expected)","41 Source Type",$C$5,"5 Source No.",$C1496,"4 Item Ledger Entry Type",$C$4,"2 Item No.","@@"&amp;$F1496,"3 Posting Date",J$9)-NL("Sum","5802 Value Entry","43 Cost Amount (Actual)","41 Source Type",$C$5,"5 Source no.",$C1496,"4 Item Ledger Entry Type",$C$4,"2 Item No.","@@"&amp;$F1496,"3 Posting Date",J$9)</t>
  </si>
  <si>
    <t>=J1496-L1496</t>
  </si>
  <si>
    <t>=IF(J1496&lt;&gt;0,M1496/J1496,"")</t>
  </si>
  <si>
    <t>=NL("Sum","5802 Value Entry","150 Sales Amount (Expected)","41 Source Type",$C$5,"5 Source No.",$C1496,"4 Item Ledger Entry Type",$C$4,"2 Item No.","@@"&amp;$F1496,"3 Posting Date",O$9)+NL("Sum","5802 Value Entry","17 Sales Amount (Actual)","41 Source Type",$C$5,"5 Source no.",$C1496,"4 Item Ledger Entry Type",$C$4,"2 Item No.","@@"&amp;$F1496,"3 Posting Date",O$9)</t>
  </si>
  <si>
    <t>=-NL("Sum","5802 Value Entry","151 Cost Amount (Expected)","41 Source Type",$C$5,"5 Source No.",$C1496,"4 Item Ledger Entry Type",$C$4,"2 Item No.","@@"&amp;$F1496,"3 Posting Date",O$9)-NL("Sum","5802 Value Entry","43 Cost Amount (Actual)","41 Source Type",$C$5,"5 Source no.",$C1496,"4 Item Ledger Entry Type",$C$4,"2 Item No.","@@"&amp;$F1496,"3 Posting Date",O$9)</t>
  </si>
  <si>
    <t>=O1496-Q1496</t>
  </si>
  <si>
    <t>=IF(O1496&lt;&gt;0,R1496/O1496,"")</t>
  </si>
  <si>
    <t>=NL("Sum","5802 Value Entry","150 Sales Amount (Expected)","41 Source Type",$C$5,"5 Source No.",$C1496,"4 Item Ledger Entry Type",$C$4,"2 Item No.","@@"&amp;$F1496,"3 Posting Date",U$9)+NL("Sum","5802 Value Entry","17 Sales Amount (Actual)","41 Source Type",$C$5,"5 Source no.",$C1496,"4 Item Ledger Entry Type",$C$4,"2 Item No.","@@"&amp;$F1496,"3 Posting Date",U$9)</t>
  </si>
  <si>
    <t>=-NL("Sum","5802 Value Entry","151 Cost Amount (Expected)","41 Source Type",$C$5,"5 Source No.",$C1496,"4 Item Ledger Entry Type",$C$4,"2 Item No.","@@"&amp;$F1496,"3 Posting Date",U$9)-NL("Sum","5802 Value Entry","43 Cost Amount (Actual)","41 Source Type",$C$5,"5 Source no.",$C1496,"4 Item Ledger Entry Type",$C$4,"2 Item No.","@@"&amp;$F1496,"3 Posting Date",U$9)</t>
  </si>
  <si>
    <t>=U1496-W1496</t>
  </si>
  <si>
    <t>=IF(U1496&lt;&gt;0,X1496/U1496,"")</t>
  </si>
  <si>
    <t>=NL("Sum","5802 Value Entry","150 Sales Amount (Expected)","41 Source Type",$C$5,"5 Source No.",$C1496,"4 Item Ledger Entry Type",$C$4,"2 Item No.","@@"&amp;$F1496,"3 Posting Date",Z$9)+NL("Sum","5802 Value Entry","17 Sales Amount (Actual)","41 Source Type",$C$5,"5 Source no.",$C1496,"4 Item Ledger Entry Type",$C$4,"2 Item No.","@@"&amp;$F1496,"3 Posting Date",Z$9)</t>
  </si>
  <si>
    <t>=-NL("Sum","5802 Value Entry","151 Cost Amount (Expected)","41 Source Type",$C$5,"5 Source No.",$C1496,"4 Item Ledger Entry Type",$C$4,"2 Item No.","@@"&amp;$F1496,"3 Posting Date",Z$9)-NL("Sum","5802 Value Entry","43 Cost Amount (Actual)","41 Source Type",$C$5,"5 Source no.",$C1496,"4 Item Ledger Entry Type",$C$4,"2 Item No.","@@"&amp;$F1496,"3 Posting Date",Z$9)</t>
  </si>
  <si>
    <t>=Z1496-AB1496</t>
  </si>
  <si>
    <t>=IF(Z1496&lt;&gt;0,AC1496/Z1496,"")</t>
  </si>
  <si>
    <t>=C1496</t>
  </si>
  <si>
    <t>=NL("Sum","5802 Value Entry","150 Sales Amount (Expected)","41 Source Type",$C$5,"5 Source No.",$C1497,"4 Item Ledger Entry Type",$C$4,"2 Item No.","@@"&amp;$F1497,"3 Posting Date",J$9)+NL("Sum","5802 Value Entry","17 Sales Amount (Actual)","41 Source Type",$C$5,"5 Source no.",$C1497,"4 Item Ledger Entry Type",$C$4,"2 Item No.","@@"&amp;$F1497,"3 Posting Date",J$9)</t>
  </si>
  <si>
    <t>=-NL("Sum","5802 Value Entry","151 Cost Amount (Expected)","41 Source Type",$C$5,"5 Source No.",$C1497,"4 Item Ledger Entry Type",$C$4,"2 Item No.","@@"&amp;$F1497,"3 Posting Date",J$9)-NL("Sum","5802 Value Entry","43 Cost Amount (Actual)","41 Source Type",$C$5,"5 Source no.",$C1497,"4 Item Ledger Entry Type",$C$4,"2 Item No.","@@"&amp;$F1497,"3 Posting Date",J$9)</t>
  </si>
  <si>
    <t>=J1497-L1497</t>
  </si>
  <si>
    <t>=IF(J1497&lt;&gt;0,M1497/J1497,"")</t>
  </si>
  <si>
    <t>=NL("Sum","5802 Value Entry","150 Sales Amount (Expected)","41 Source Type",$C$5,"5 Source No.",$C1497,"4 Item Ledger Entry Type",$C$4,"2 Item No.","@@"&amp;$F1497,"3 Posting Date",O$9)+NL("Sum","5802 Value Entry","17 Sales Amount (Actual)","41 Source Type",$C$5,"5 Source no.",$C1497,"4 Item Ledger Entry Type",$C$4,"2 Item No.","@@"&amp;$F1497,"3 Posting Date",O$9)</t>
  </si>
  <si>
    <t>=-NL("Sum","5802 Value Entry","151 Cost Amount (Expected)","41 Source Type",$C$5,"5 Source No.",$C1497,"4 Item Ledger Entry Type",$C$4,"2 Item No.","@@"&amp;$F1497,"3 Posting Date",O$9)-NL("Sum","5802 Value Entry","43 Cost Amount (Actual)","41 Source Type",$C$5,"5 Source no.",$C1497,"4 Item Ledger Entry Type",$C$4,"2 Item No.","@@"&amp;$F1497,"3 Posting Date",O$9)</t>
  </si>
  <si>
    <t>=O1497-Q1497</t>
  </si>
  <si>
    <t>=IF(O1497&lt;&gt;0,R1497/O1497,"")</t>
  </si>
  <si>
    <t>=NL("Sum","5802 Value Entry","150 Sales Amount (Expected)","41 Source Type",$C$5,"5 Source No.",$C1497,"4 Item Ledger Entry Type",$C$4,"2 Item No.","@@"&amp;$F1497,"3 Posting Date",U$9)+NL("Sum","5802 Value Entry","17 Sales Amount (Actual)","41 Source Type",$C$5,"5 Source no.",$C1497,"4 Item Ledger Entry Type",$C$4,"2 Item No.","@@"&amp;$F1497,"3 Posting Date",U$9)</t>
  </si>
  <si>
    <t>=-NL("Sum","5802 Value Entry","151 Cost Amount (Expected)","41 Source Type",$C$5,"5 Source No.",$C1497,"4 Item Ledger Entry Type",$C$4,"2 Item No.","@@"&amp;$F1497,"3 Posting Date",U$9)-NL("Sum","5802 Value Entry","43 Cost Amount (Actual)","41 Source Type",$C$5,"5 Source no.",$C1497,"4 Item Ledger Entry Type",$C$4,"2 Item No.","@@"&amp;$F1497,"3 Posting Date",U$9)</t>
  </si>
  <si>
    <t>=U1497-W1497</t>
  </si>
  <si>
    <t>=IF(U1497&lt;&gt;0,X1497/U1497,"")</t>
  </si>
  <si>
    <t>=NL("Sum","5802 Value Entry","150 Sales Amount (Expected)","41 Source Type",$C$5,"5 Source No.",$C1497,"4 Item Ledger Entry Type",$C$4,"2 Item No.","@@"&amp;$F1497,"3 Posting Date",Z$9)+NL("Sum","5802 Value Entry","17 Sales Amount (Actual)","41 Source Type",$C$5,"5 Source no.",$C1497,"4 Item Ledger Entry Type",$C$4,"2 Item No.","@@"&amp;$F1497,"3 Posting Date",Z$9)</t>
  </si>
  <si>
    <t>=-NL("Sum","5802 Value Entry","151 Cost Amount (Expected)","41 Source Type",$C$5,"5 Source No.",$C1497,"4 Item Ledger Entry Type",$C$4,"2 Item No.","@@"&amp;$F1497,"3 Posting Date",Z$9)-NL("Sum","5802 Value Entry","43 Cost Amount (Actual)","41 Source Type",$C$5,"5 Source no.",$C1497,"4 Item Ledger Entry Type",$C$4,"2 Item No.","@@"&amp;$F1497,"3 Posting Date",Z$9)</t>
  </si>
  <si>
    <t>=Z1497-AB1497</t>
  </si>
  <si>
    <t>=IF(Z1497&lt;&gt;0,AC1497/Z1497,"")</t>
  </si>
  <si>
    <t>=C1497</t>
  </si>
  <si>
    <t>=NL("Sum","5802 Value Entry","150 Sales Amount (Expected)","41 Source Type",$C$5,"5 Source No.",$C1498,"4 Item Ledger Entry Type",$C$4,"2 Item No.","@@"&amp;$F1498,"3 Posting Date",J$9)+NL("Sum","5802 Value Entry","17 Sales Amount (Actual)","41 Source Type",$C$5,"5 Source no.",$C1498,"4 Item Ledger Entry Type",$C$4,"2 Item No.","@@"&amp;$F1498,"3 Posting Date",J$9)</t>
  </si>
  <si>
    <t>=-NL("Sum","5802 Value Entry","151 Cost Amount (Expected)","41 Source Type",$C$5,"5 Source No.",$C1498,"4 Item Ledger Entry Type",$C$4,"2 Item No.","@@"&amp;$F1498,"3 Posting Date",J$9)-NL("Sum","5802 Value Entry","43 Cost Amount (Actual)","41 Source Type",$C$5,"5 Source no.",$C1498,"4 Item Ledger Entry Type",$C$4,"2 Item No.","@@"&amp;$F1498,"3 Posting Date",J$9)</t>
  </si>
  <si>
    <t>=J1498-L1498</t>
  </si>
  <si>
    <t>=IF(J1498&lt;&gt;0,M1498/J1498,"")</t>
  </si>
  <si>
    <t>=NL("Sum","5802 Value Entry","150 Sales Amount (Expected)","41 Source Type",$C$5,"5 Source No.",$C1498,"4 Item Ledger Entry Type",$C$4,"2 Item No.","@@"&amp;$F1498,"3 Posting Date",O$9)+NL("Sum","5802 Value Entry","17 Sales Amount (Actual)","41 Source Type",$C$5,"5 Source no.",$C1498,"4 Item Ledger Entry Type",$C$4,"2 Item No.","@@"&amp;$F1498,"3 Posting Date",O$9)</t>
  </si>
  <si>
    <t>=-NL("Sum","5802 Value Entry","151 Cost Amount (Expected)","41 Source Type",$C$5,"5 Source No.",$C1498,"4 Item Ledger Entry Type",$C$4,"2 Item No.","@@"&amp;$F1498,"3 Posting Date",O$9)-NL("Sum","5802 Value Entry","43 Cost Amount (Actual)","41 Source Type",$C$5,"5 Source no.",$C1498,"4 Item Ledger Entry Type",$C$4,"2 Item No.","@@"&amp;$F1498,"3 Posting Date",O$9)</t>
  </si>
  <si>
    <t>=O1498-Q1498</t>
  </si>
  <si>
    <t>=IF(O1498&lt;&gt;0,R1498/O1498,"")</t>
  </si>
  <si>
    <t>=NL("Sum","5802 Value Entry","150 Sales Amount (Expected)","41 Source Type",$C$5,"5 Source No.",$C1498,"4 Item Ledger Entry Type",$C$4,"2 Item No.","@@"&amp;$F1498,"3 Posting Date",U$9)+NL("Sum","5802 Value Entry","17 Sales Amount (Actual)","41 Source Type",$C$5,"5 Source no.",$C1498,"4 Item Ledger Entry Type",$C$4,"2 Item No.","@@"&amp;$F1498,"3 Posting Date",U$9)</t>
  </si>
  <si>
    <t>=-NL("Sum","5802 Value Entry","151 Cost Amount (Expected)","41 Source Type",$C$5,"5 Source No.",$C1498,"4 Item Ledger Entry Type",$C$4,"2 Item No.","@@"&amp;$F1498,"3 Posting Date",U$9)-NL("Sum","5802 Value Entry","43 Cost Amount (Actual)","41 Source Type",$C$5,"5 Source no.",$C1498,"4 Item Ledger Entry Type",$C$4,"2 Item No.","@@"&amp;$F1498,"3 Posting Date",U$9)</t>
  </si>
  <si>
    <t>=U1498-W1498</t>
  </si>
  <si>
    <t>=IF(U1498&lt;&gt;0,X1498/U1498,"")</t>
  </si>
  <si>
    <t>=NL("Sum","5802 Value Entry","150 Sales Amount (Expected)","41 Source Type",$C$5,"5 Source No.",$C1498,"4 Item Ledger Entry Type",$C$4,"2 Item No.","@@"&amp;$F1498,"3 Posting Date",Z$9)+NL("Sum","5802 Value Entry","17 Sales Amount (Actual)","41 Source Type",$C$5,"5 Source no.",$C1498,"4 Item Ledger Entry Type",$C$4,"2 Item No.","@@"&amp;$F1498,"3 Posting Date",Z$9)</t>
  </si>
  <si>
    <t>=-NL("Sum","5802 Value Entry","151 Cost Amount (Expected)","41 Source Type",$C$5,"5 Source No.",$C1498,"4 Item Ledger Entry Type",$C$4,"2 Item No.","@@"&amp;$F1498,"3 Posting Date",Z$9)-NL("Sum","5802 Value Entry","43 Cost Amount (Actual)","41 Source Type",$C$5,"5 Source no.",$C1498,"4 Item Ledger Entry Type",$C$4,"2 Item No.","@@"&amp;$F1498,"3 Posting Date",Z$9)</t>
  </si>
  <si>
    <t>=Z1498-AB1498</t>
  </si>
  <si>
    <t>=IF(Z1498&lt;&gt;0,AC1498/Z1498,"")</t>
  </si>
  <si>
    <t>=C1498</t>
  </si>
  <si>
    <t>=NL("Sum","5802 Value Entry","150 Sales Amount (Expected)","41 Source Type",$C$5,"5 Source No.",$C1499,"4 Item Ledger Entry Type",$C$4,"2 Item No.","@@"&amp;$F1499,"3 Posting Date",J$9)+NL("Sum","5802 Value Entry","17 Sales Amount (Actual)","41 Source Type",$C$5,"5 Source no.",$C1499,"4 Item Ledger Entry Type",$C$4,"2 Item No.","@@"&amp;$F1499,"3 Posting Date",J$9)</t>
  </si>
  <si>
    <t>=-NL("Sum","5802 Value Entry","151 Cost Amount (Expected)","41 Source Type",$C$5,"5 Source No.",$C1499,"4 Item Ledger Entry Type",$C$4,"2 Item No.","@@"&amp;$F1499,"3 Posting Date",J$9)-NL("Sum","5802 Value Entry","43 Cost Amount (Actual)","41 Source Type",$C$5,"5 Source no.",$C1499,"4 Item Ledger Entry Type",$C$4,"2 Item No.","@@"&amp;$F1499,"3 Posting Date",J$9)</t>
  </si>
  <si>
    <t>=J1499-L1499</t>
  </si>
  <si>
    <t>=IF(J1499&lt;&gt;0,M1499/J1499,"")</t>
  </si>
  <si>
    <t>=NL("Sum","5802 Value Entry","150 Sales Amount (Expected)","41 Source Type",$C$5,"5 Source No.",$C1499,"4 Item Ledger Entry Type",$C$4,"2 Item No.","@@"&amp;$F1499,"3 Posting Date",O$9)+NL("Sum","5802 Value Entry","17 Sales Amount (Actual)","41 Source Type",$C$5,"5 Source no.",$C1499,"4 Item Ledger Entry Type",$C$4,"2 Item No.","@@"&amp;$F1499,"3 Posting Date",O$9)</t>
  </si>
  <si>
    <t>=-NL("Sum","5802 Value Entry","151 Cost Amount (Expected)","41 Source Type",$C$5,"5 Source No.",$C1499,"4 Item Ledger Entry Type",$C$4,"2 Item No.","@@"&amp;$F1499,"3 Posting Date",O$9)-NL("Sum","5802 Value Entry","43 Cost Amount (Actual)","41 Source Type",$C$5,"5 Source no.",$C1499,"4 Item Ledger Entry Type",$C$4,"2 Item No.","@@"&amp;$F1499,"3 Posting Date",O$9)</t>
  </si>
  <si>
    <t>=O1499-Q1499</t>
  </si>
  <si>
    <t>=IF(O1499&lt;&gt;0,R1499/O1499,"")</t>
  </si>
  <si>
    <t>=NL("Sum","5802 Value Entry","150 Sales Amount (Expected)","41 Source Type",$C$5,"5 Source No.",$C1499,"4 Item Ledger Entry Type",$C$4,"2 Item No.","@@"&amp;$F1499,"3 Posting Date",U$9)+NL("Sum","5802 Value Entry","17 Sales Amount (Actual)","41 Source Type",$C$5,"5 Source no.",$C1499,"4 Item Ledger Entry Type",$C$4,"2 Item No.","@@"&amp;$F1499,"3 Posting Date",U$9)</t>
  </si>
  <si>
    <t>=-NL("Sum","5802 Value Entry","151 Cost Amount (Expected)","41 Source Type",$C$5,"5 Source No.",$C1499,"4 Item Ledger Entry Type",$C$4,"2 Item No.","@@"&amp;$F1499,"3 Posting Date",U$9)-NL("Sum","5802 Value Entry","43 Cost Amount (Actual)","41 Source Type",$C$5,"5 Source no.",$C1499,"4 Item Ledger Entry Type",$C$4,"2 Item No.","@@"&amp;$F1499,"3 Posting Date",U$9)</t>
  </si>
  <si>
    <t>=U1499-W1499</t>
  </si>
  <si>
    <t>=IF(U1499&lt;&gt;0,X1499/U1499,"")</t>
  </si>
  <si>
    <t>=NL("Sum","5802 Value Entry","150 Sales Amount (Expected)","41 Source Type",$C$5,"5 Source No.",$C1499,"4 Item Ledger Entry Type",$C$4,"2 Item No.","@@"&amp;$F1499,"3 Posting Date",Z$9)+NL("Sum","5802 Value Entry","17 Sales Amount (Actual)","41 Source Type",$C$5,"5 Source no.",$C1499,"4 Item Ledger Entry Type",$C$4,"2 Item No.","@@"&amp;$F1499,"3 Posting Date",Z$9)</t>
  </si>
  <si>
    <t>=-NL("Sum","5802 Value Entry","151 Cost Amount (Expected)","41 Source Type",$C$5,"5 Source No.",$C1499,"4 Item Ledger Entry Type",$C$4,"2 Item No.","@@"&amp;$F1499,"3 Posting Date",Z$9)-NL("Sum","5802 Value Entry","43 Cost Amount (Actual)","41 Source Type",$C$5,"5 Source no.",$C1499,"4 Item Ledger Entry Type",$C$4,"2 Item No.","@@"&amp;$F1499,"3 Posting Date",Z$9)</t>
  </si>
  <si>
    <t>=Z1499-AB1499</t>
  </si>
  <si>
    <t>=IF(Z1499&lt;&gt;0,AC1499/Z1499,"")</t>
  </si>
  <si>
    <t>=C1499</t>
  </si>
  <si>
    <t>=NL("Sum","5802 Value Entry","150 Sales Amount (Expected)","41 Source Type",$C$5,"5 Source No.",$C1500,"4 Item Ledger Entry Type",$C$4,"2 Item No.","@@"&amp;$F1500,"3 Posting Date",J$9)+NL("Sum","5802 Value Entry","17 Sales Amount (Actual)","41 Source Type",$C$5,"5 Source no.",$C1500,"4 Item Ledger Entry Type",$C$4,"2 Item No.","@@"&amp;$F1500,"3 Posting Date",J$9)</t>
  </si>
  <si>
    <t>=-NL("Sum","5802 Value Entry","151 Cost Amount (Expected)","41 Source Type",$C$5,"5 Source No.",$C1500,"4 Item Ledger Entry Type",$C$4,"2 Item No.","@@"&amp;$F1500,"3 Posting Date",J$9)-NL("Sum","5802 Value Entry","43 Cost Amount (Actual)","41 Source Type",$C$5,"5 Source no.",$C1500,"4 Item Ledger Entry Type",$C$4,"2 Item No.","@@"&amp;$F1500,"3 Posting Date",J$9)</t>
  </si>
  <si>
    <t>=J1500-L1500</t>
  </si>
  <si>
    <t>=IF(J1500&lt;&gt;0,M1500/J1500,"")</t>
  </si>
  <si>
    <t>=NL("Sum","5802 Value Entry","150 Sales Amount (Expected)","41 Source Type",$C$5,"5 Source No.",$C1500,"4 Item Ledger Entry Type",$C$4,"2 Item No.","@@"&amp;$F1500,"3 Posting Date",O$9)+NL("Sum","5802 Value Entry","17 Sales Amount (Actual)","41 Source Type",$C$5,"5 Source no.",$C1500,"4 Item Ledger Entry Type",$C$4,"2 Item No.","@@"&amp;$F1500,"3 Posting Date",O$9)</t>
  </si>
  <si>
    <t>=-NL("Sum","5802 Value Entry","151 Cost Amount (Expected)","41 Source Type",$C$5,"5 Source No.",$C1500,"4 Item Ledger Entry Type",$C$4,"2 Item No.","@@"&amp;$F1500,"3 Posting Date",O$9)-NL("Sum","5802 Value Entry","43 Cost Amount (Actual)","41 Source Type",$C$5,"5 Source no.",$C1500,"4 Item Ledger Entry Type",$C$4,"2 Item No.","@@"&amp;$F1500,"3 Posting Date",O$9)</t>
  </si>
  <si>
    <t>=O1500-Q1500</t>
  </si>
  <si>
    <t>=IF(O1500&lt;&gt;0,R1500/O1500,"")</t>
  </si>
  <si>
    <t>=NL("Sum","5802 Value Entry","150 Sales Amount (Expected)","41 Source Type",$C$5,"5 Source No.",$C1500,"4 Item Ledger Entry Type",$C$4,"2 Item No.","@@"&amp;$F1500,"3 Posting Date",U$9)+NL("Sum","5802 Value Entry","17 Sales Amount (Actual)","41 Source Type",$C$5,"5 Source no.",$C1500,"4 Item Ledger Entry Type",$C$4,"2 Item No.","@@"&amp;$F1500,"3 Posting Date",U$9)</t>
  </si>
  <si>
    <t>=-NL("Sum","5802 Value Entry","151 Cost Amount (Expected)","41 Source Type",$C$5,"5 Source No.",$C1500,"4 Item Ledger Entry Type",$C$4,"2 Item No.","@@"&amp;$F1500,"3 Posting Date",U$9)-NL("Sum","5802 Value Entry","43 Cost Amount (Actual)","41 Source Type",$C$5,"5 Source no.",$C1500,"4 Item Ledger Entry Type",$C$4,"2 Item No.","@@"&amp;$F1500,"3 Posting Date",U$9)</t>
  </si>
  <si>
    <t>=U1500-W1500</t>
  </si>
  <si>
    <t>=IF(U1500&lt;&gt;0,X1500/U1500,"")</t>
  </si>
  <si>
    <t>=NL("Sum","5802 Value Entry","150 Sales Amount (Expected)","41 Source Type",$C$5,"5 Source No.",$C1500,"4 Item Ledger Entry Type",$C$4,"2 Item No.","@@"&amp;$F1500,"3 Posting Date",Z$9)+NL("Sum","5802 Value Entry","17 Sales Amount (Actual)","41 Source Type",$C$5,"5 Source no.",$C1500,"4 Item Ledger Entry Type",$C$4,"2 Item No.","@@"&amp;$F1500,"3 Posting Date",Z$9)</t>
  </si>
  <si>
    <t>=-NL("Sum","5802 Value Entry","151 Cost Amount (Expected)","41 Source Type",$C$5,"5 Source No.",$C1500,"4 Item Ledger Entry Type",$C$4,"2 Item No.","@@"&amp;$F1500,"3 Posting Date",Z$9)-NL("Sum","5802 Value Entry","43 Cost Amount (Actual)","41 Source Type",$C$5,"5 Source no.",$C1500,"4 Item Ledger Entry Type",$C$4,"2 Item No.","@@"&amp;$F1500,"3 Posting Date",Z$9)</t>
  </si>
  <si>
    <t>=Z1500-AB1500</t>
  </si>
  <si>
    <t>=IF(Z1500&lt;&gt;0,AC1500/Z1500,"")</t>
  </si>
  <si>
    <t>=C1500</t>
  </si>
  <si>
    <t>=NL("Sum","5802 Value Entry","150 Sales Amount (Expected)","41 Source Type",$C$5,"5 Source No.",$C1501,"4 Item Ledger Entry Type",$C$4,"2 Item No.","@@"&amp;$F1501,"3 Posting Date",J$9)+NL("Sum","5802 Value Entry","17 Sales Amount (Actual)","41 Source Type",$C$5,"5 Source no.",$C1501,"4 Item Ledger Entry Type",$C$4,"2 Item No.","@@"&amp;$F1501,"3 Posting Date",J$9)</t>
  </si>
  <si>
    <t>=-NL("Sum","5802 Value Entry","151 Cost Amount (Expected)","41 Source Type",$C$5,"5 Source No.",$C1501,"4 Item Ledger Entry Type",$C$4,"2 Item No.","@@"&amp;$F1501,"3 Posting Date",J$9)-NL("Sum","5802 Value Entry","43 Cost Amount (Actual)","41 Source Type",$C$5,"5 Source no.",$C1501,"4 Item Ledger Entry Type",$C$4,"2 Item No.","@@"&amp;$F1501,"3 Posting Date",J$9)</t>
  </si>
  <si>
    <t>=J1501-L1501</t>
  </si>
  <si>
    <t>=IF(J1501&lt;&gt;0,M1501/J1501,"")</t>
  </si>
  <si>
    <t>=NL("Sum","5802 Value Entry","150 Sales Amount (Expected)","41 Source Type",$C$5,"5 Source No.",$C1501,"4 Item Ledger Entry Type",$C$4,"2 Item No.","@@"&amp;$F1501,"3 Posting Date",O$9)+NL("Sum","5802 Value Entry","17 Sales Amount (Actual)","41 Source Type",$C$5,"5 Source no.",$C1501,"4 Item Ledger Entry Type",$C$4,"2 Item No.","@@"&amp;$F1501,"3 Posting Date",O$9)</t>
  </si>
  <si>
    <t>=-NL("Sum","5802 Value Entry","151 Cost Amount (Expected)","41 Source Type",$C$5,"5 Source No.",$C1501,"4 Item Ledger Entry Type",$C$4,"2 Item No.","@@"&amp;$F1501,"3 Posting Date",O$9)-NL("Sum","5802 Value Entry","43 Cost Amount (Actual)","41 Source Type",$C$5,"5 Source no.",$C1501,"4 Item Ledger Entry Type",$C$4,"2 Item No.","@@"&amp;$F1501,"3 Posting Date",O$9)</t>
  </si>
  <si>
    <t>=O1501-Q1501</t>
  </si>
  <si>
    <t>=IF(O1501&lt;&gt;0,R1501/O1501,"")</t>
  </si>
  <si>
    <t>=NL("Sum","5802 Value Entry","150 Sales Amount (Expected)","41 Source Type",$C$5,"5 Source No.",$C1501,"4 Item Ledger Entry Type",$C$4,"2 Item No.","@@"&amp;$F1501,"3 Posting Date",U$9)+NL("Sum","5802 Value Entry","17 Sales Amount (Actual)","41 Source Type",$C$5,"5 Source no.",$C1501,"4 Item Ledger Entry Type",$C$4,"2 Item No.","@@"&amp;$F1501,"3 Posting Date",U$9)</t>
  </si>
  <si>
    <t>=-NL("Sum","5802 Value Entry","151 Cost Amount (Expected)","41 Source Type",$C$5,"5 Source No.",$C1501,"4 Item Ledger Entry Type",$C$4,"2 Item No.","@@"&amp;$F1501,"3 Posting Date",U$9)-NL("Sum","5802 Value Entry","43 Cost Amount (Actual)","41 Source Type",$C$5,"5 Source no.",$C1501,"4 Item Ledger Entry Type",$C$4,"2 Item No.","@@"&amp;$F1501,"3 Posting Date",U$9)</t>
  </si>
  <si>
    <t>=U1501-W1501</t>
  </si>
  <si>
    <t>=IF(U1501&lt;&gt;0,X1501/U1501,"")</t>
  </si>
  <si>
    <t>=NL("Sum","5802 Value Entry","150 Sales Amount (Expected)","41 Source Type",$C$5,"5 Source No.",$C1501,"4 Item Ledger Entry Type",$C$4,"2 Item No.","@@"&amp;$F1501,"3 Posting Date",Z$9)+NL("Sum","5802 Value Entry","17 Sales Amount (Actual)","41 Source Type",$C$5,"5 Source no.",$C1501,"4 Item Ledger Entry Type",$C$4,"2 Item No.","@@"&amp;$F1501,"3 Posting Date",Z$9)</t>
  </si>
  <si>
    <t>=-NL("Sum","5802 Value Entry","151 Cost Amount (Expected)","41 Source Type",$C$5,"5 Source No.",$C1501,"4 Item Ledger Entry Type",$C$4,"2 Item No.","@@"&amp;$F1501,"3 Posting Date",Z$9)-NL("Sum","5802 Value Entry","43 Cost Amount (Actual)","41 Source Type",$C$5,"5 Source no.",$C1501,"4 Item Ledger Entry Type",$C$4,"2 Item No.","@@"&amp;$F1501,"3 Posting Date",Z$9)</t>
  </si>
  <si>
    <t>=Z1501-AB1501</t>
  </si>
  <si>
    <t>=IF(Z1501&lt;&gt;0,AC1501/Z1501,"")</t>
  </si>
  <si>
    <t>=C1501</t>
  </si>
  <si>
    <t>=NL("Sum","5802 Value Entry","150 Sales Amount (Expected)","41 Source Type",$C$5,"5 Source No.",$C1502,"4 Item Ledger Entry Type",$C$4,"2 Item No.","@@"&amp;$F1502,"3 Posting Date",J$9)+NL("Sum","5802 Value Entry","17 Sales Amount (Actual)","41 Source Type",$C$5,"5 Source no.",$C1502,"4 Item Ledger Entry Type",$C$4,"2 Item No.","@@"&amp;$F1502,"3 Posting Date",J$9)</t>
  </si>
  <si>
    <t>=-NL("Sum","5802 Value Entry","151 Cost Amount (Expected)","41 Source Type",$C$5,"5 Source No.",$C1502,"4 Item Ledger Entry Type",$C$4,"2 Item No.","@@"&amp;$F1502,"3 Posting Date",J$9)-NL("Sum","5802 Value Entry","43 Cost Amount (Actual)","41 Source Type",$C$5,"5 Source no.",$C1502,"4 Item Ledger Entry Type",$C$4,"2 Item No.","@@"&amp;$F1502,"3 Posting Date",J$9)</t>
  </si>
  <si>
    <t>=J1502-L1502</t>
  </si>
  <si>
    <t>=IF(J1502&lt;&gt;0,M1502/J1502,"")</t>
  </si>
  <si>
    <t>=NL("Sum","5802 Value Entry","150 Sales Amount (Expected)","41 Source Type",$C$5,"5 Source No.",$C1502,"4 Item Ledger Entry Type",$C$4,"2 Item No.","@@"&amp;$F1502,"3 Posting Date",O$9)+NL("Sum","5802 Value Entry","17 Sales Amount (Actual)","41 Source Type",$C$5,"5 Source no.",$C1502,"4 Item Ledger Entry Type",$C$4,"2 Item No.","@@"&amp;$F1502,"3 Posting Date",O$9)</t>
  </si>
  <si>
    <t>=-NL("Sum","5802 Value Entry","151 Cost Amount (Expected)","41 Source Type",$C$5,"5 Source No.",$C1502,"4 Item Ledger Entry Type",$C$4,"2 Item No.","@@"&amp;$F1502,"3 Posting Date",O$9)-NL("Sum","5802 Value Entry","43 Cost Amount (Actual)","41 Source Type",$C$5,"5 Source no.",$C1502,"4 Item Ledger Entry Type",$C$4,"2 Item No.","@@"&amp;$F1502,"3 Posting Date",O$9)</t>
  </si>
  <si>
    <t>=O1502-Q1502</t>
  </si>
  <si>
    <t>=IF(O1502&lt;&gt;0,R1502/O1502,"")</t>
  </si>
  <si>
    <t>=NL("Sum","5802 Value Entry","150 Sales Amount (Expected)","41 Source Type",$C$5,"5 Source No.",$C1502,"4 Item Ledger Entry Type",$C$4,"2 Item No.","@@"&amp;$F1502,"3 Posting Date",U$9)+NL("Sum","5802 Value Entry","17 Sales Amount (Actual)","41 Source Type",$C$5,"5 Source no.",$C1502,"4 Item Ledger Entry Type",$C$4,"2 Item No.","@@"&amp;$F1502,"3 Posting Date",U$9)</t>
  </si>
  <si>
    <t>=-NL("Sum","5802 Value Entry","151 Cost Amount (Expected)","41 Source Type",$C$5,"5 Source No.",$C1502,"4 Item Ledger Entry Type",$C$4,"2 Item No.","@@"&amp;$F1502,"3 Posting Date",U$9)-NL("Sum","5802 Value Entry","43 Cost Amount (Actual)","41 Source Type",$C$5,"5 Source no.",$C1502,"4 Item Ledger Entry Type",$C$4,"2 Item No.","@@"&amp;$F1502,"3 Posting Date",U$9)</t>
  </si>
  <si>
    <t>=U1502-W1502</t>
  </si>
  <si>
    <t>=IF(U1502&lt;&gt;0,X1502/U1502,"")</t>
  </si>
  <si>
    <t>=NL("Sum","5802 Value Entry","150 Sales Amount (Expected)","41 Source Type",$C$5,"5 Source No.",$C1502,"4 Item Ledger Entry Type",$C$4,"2 Item No.","@@"&amp;$F1502,"3 Posting Date",Z$9)+NL("Sum","5802 Value Entry","17 Sales Amount (Actual)","41 Source Type",$C$5,"5 Source no.",$C1502,"4 Item Ledger Entry Type",$C$4,"2 Item No.","@@"&amp;$F1502,"3 Posting Date",Z$9)</t>
  </si>
  <si>
    <t>=-NL("Sum","5802 Value Entry","151 Cost Amount (Expected)","41 Source Type",$C$5,"5 Source No.",$C1502,"4 Item Ledger Entry Type",$C$4,"2 Item No.","@@"&amp;$F1502,"3 Posting Date",Z$9)-NL("Sum","5802 Value Entry","43 Cost Amount (Actual)","41 Source Type",$C$5,"5 Source no.",$C1502,"4 Item Ledger Entry Type",$C$4,"2 Item No.","@@"&amp;$F1502,"3 Posting Date",Z$9)</t>
  </si>
  <si>
    <t>=Z1502-AB1502</t>
  </si>
  <si>
    <t>=IF(Z1502&lt;&gt;0,AC1502/Z1502,"")</t>
  </si>
  <si>
    <t>=C1502</t>
  </si>
  <si>
    <t>=NL("Sum","5802 Value Entry","150 Sales Amount (Expected)","41 Source Type",$C$5,"5 Source No.",$C1503,"4 Item Ledger Entry Type",$C$4,"2 Item No.","@@"&amp;$F1503,"3 Posting Date",J$9)+NL("Sum","5802 Value Entry","17 Sales Amount (Actual)","41 Source Type",$C$5,"5 Source no.",$C1503,"4 Item Ledger Entry Type",$C$4,"2 Item No.","@@"&amp;$F1503,"3 Posting Date",J$9)</t>
  </si>
  <si>
    <t>=-NL("Sum","5802 Value Entry","151 Cost Amount (Expected)","41 Source Type",$C$5,"5 Source No.",$C1503,"4 Item Ledger Entry Type",$C$4,"2 Item No.","@@"&amp;$F1503,"3 Posting Date",J$9)-NL("Sum","5802 Value Entry","43 Cost Amount (Actual)","41 Source Type",$C$5,"5 Source no.",$C1503,"4 Item Ledger Entry Type",$C$4,"2 Item No.","@@"&amp;$F1503,"3 Posting Date",J$9)</t>
  </si>
  <si>
    <t>=J1503-L1503</t>
  </si>
  <si>
    <t>=IF(J1503&lt;&gt;0,M1503/J1503,"")</t>
  </si>
  <si>
    <t>=NL("Sum","5802 Value Entry","150 Sales Amount (Expected)","41 Source Type",$C$5,"5 Source No.",$C1503,"4 Item Ledger Entry Type",$C$4,"2 Item No.","@@"&amp;$F1503,"3 Posting Date",O$9)+NL("Sum","5802 Value Entry","17 Sales Amount (Actual)","41 Source Type",$C$5,"5 Source no.",$C1503,"4 Item Ledger Entry Type",$C$4,"2 Item No.","@@"&amp;$F1503,"3 Posting Date",O$9)</t>
  </si>
  <si>
    <t>=-NL("Sum","5802 Value Entry","151 Cost Amount (Expected)","41 Source Type",$C$5,"5 Source No.",$C1503,"4 Item Ledger Entry Type",$C$4,"2 Item No.","@@"&amp;$F1503,"3 Posting Date",O$9)-NL("Sum","5802 Value Entry","43 Cost Amount (Actual)","41 Source Type",$C$5,"5 Source no.",$C1503,"4 Item Ledger Entry Type",$C$4,"2 Item No.","@@"&amp;$F1503,"3 Posting Date",O$9)</t>
  </si>
  <si>
    <t>=O1503-Q1503</t>
  </si>
  <si>
    <t>=IF(O1503&lt;&gt;0,R1503/O1503,"")</t>
  </si>
  <si>
    <t>=NL("Sum","5802 Value Entry","150 Sales Amount (Expected)","41 Source Type",$C$5,"5 Source No.",$C1503,"4 Item Ledger Entry Type",$C$4,"2 Item No.","@@"&amp;$F1503,"3 Posting Date",U$9)+NL("Sum","5802 Value Entry","17 Sales Amount (Actual)","41 Source Type",$C$5,"5 Source no.",$C1503,"4 Item Ledger Entry Type",$C$4,"2 Item No.","@@"&amp;$F1503,"3 Posting Date",U$9)</t>
  </si>
  <si>
    <t>=-NL("Sum","5802 Value Entry","151 Cost Amount (Expected)","41 Source Type",$C$5,"5 Source No.",$C1503,"4 Item Ledger Entry Type",$C$4,"2 Item No.","@@"&amp;$F1503,"3 Posting Date",U$9)-NL("Sum","5802 Value Entry","43 Cost Amount (Actual)","41 Source Type",$C$5,"5 Source no.",$C1503,"4 Item Ledger Entry Type",$C$4,"2 Item No.","@@"&amp;$F1503,"3 Posting Date",U$9)</t>
  </si>
  <si>
    <t>=U1503-W1503</t>
  </si>
  <si>
    <t>=IF(U1503&lt;&gt;0,X1503/U1503,"")</t>
  </si>
  <si>
    <t>=NL("Sum","5802 Value Entry","150 Sales Amount (Expected)","41 Source Type",$C$5,"5 Source No.",$C1503,"4 Item Ledger Entry Type",$C$4,"2 Item No.","@@"&amp;$F1503,"3 Posting Date",Z$9)+NL("Sum","5802 Value Entry","17 Sales Amount (Actual)","41 Source Type",$C$5,"5 Source no.",$C1503,"4 Item Ledger Entry Type",$C$4,"2 Item No.","@@"&amp;$F1503,"3 Posting Date",Z$9)</t>
  </si>
  <si>
    <t>=-NL("Sum","5802 Value Entry","151 Cost Amount (Expected)","41 Source Type",$C$5,"5 Source No.",$C1503,"4 Item Ledger Entry Type",$C$4,"2 Item No.","@@"&amp;$F1503,"3 Posting Date",Z$9)-NL("Sum","5802 Value Entry","43 Cost Amount (Actual)","41 Source Type",$C$5,"5 Source no.",$C1503,"4 Item Ledger Entry Type",$C$4,"2 Item No.","@@"&amp;$F1503,"3 Posting Date",Z$9)</t>
  </si>
  <si>
    <t>=Z1503-AB1503</t>
  </si>
  <si>
    <t>=IF(Z1503&lt;&gt;0,AC1503/Z1503,"")</t>
  </si>
  <si>
    <t>=C1503</t>
  </si>
  <si>
    <t>=NL("Sum","5802 Value Entry","150 Sales Amount (Expected)","41 Source Type",$C$5,"5 Source No.",$C1504,"4 Item Ledger Entry Type",$C$4,"2 Item No.","@@"&amp;$F1504,"3 Posting Date",J$9)+NL("Sum","5802 Value Entry","17 Sales Amount (Actual)","41 Source Type",$C$5,"5 Source no.",$C1504,"4 Item Ledger Entry Type",$C$4,"2 Item No.","@@"&amp;$F1504,"3 Posting Date",J$9)</t>
  </si>
  <si>
    <t>=-NL("Sum","5802 Value Entry","151 Cost Amount (Expected)","41 Source Type",$C$5,"5 Source No.",$C1504,"4 Item Ledger Entry Type",$C$4,"2 Item No.","@@"&amp;$F1504,"3 Posting Date",J$9)-NL("Sum","5802 Value Entry","43 Cost Amount (Actual)","41 Source Type",$C$5,"5 Source no.",$C1504,"4 Item Ledger Entry Type",$C$4,"2 Item No.","@@"&amp;$F1504,"3 Posting Date",J$9)</t>
  </si>
  <si>
    <t>=J1504-L1504</t>
  </si>
  <si>
    <t>=IF(J1504&lt;&gt;0,M1504/J1504,"")</t>
  </si>
  <si>
    <t>=NL("Sum","5802 Value Entry","150 Sales Amount (Expected)","41 Source Type",$C$5,"5 Source No.",$C1504,"4 Item Ledger Entry Type",$C$4,"2 Item No.","@@"&amp;$F1504,"3 Posting Date",O$9)+NL("Sum","5802 Value Entry","17 Sales Amount (Actual)","41 Source Type",$C$5,"5 Source no.",$C1504,"4 Item Ledger Entry Type",$C$4,"2 Item No.","@@"&amp;$F1504,"3 Posting Date",O$9)</t>
  </si>
  <si>
    <t>=-NL("Sum","5802 Value Entry","151 Cost Amount (Expected)","41 Source Type",$C$5,"5 Source No.",$C1504,"4 Item Ledger Entry Type",$C$4,"2 Item No.","@@"&amp;$F1504,"3 Posting Date",O$9)-NL("Sum","5802 Value Entry","43 Cost Amount (Actual)","41 Source Type",$C$5,"5 Source no.",$C1504,"4 Item Ledger Entry Type",$C$4,"2 Item No.","@@"&amp;$F1504,"3 Posting Date",O$9)</t>
  </si>
  <si>
    <t>=O1504-Q1504</t>
  </si>
  <si>
    <t>=IF(O1504&lt;&gt;0,R1504/O1504,"")</t>
  </si>
  <si>
    <t>=NL("Sum","5802 Value Entry","150 Sales Amount (Expected)","41 Source Type",$C$5,"5 Source No.",$C1504,"4 Item Ledger Entry Type",$C$4,"2 Item No.","@@"&amp;$F1504,"3 Posting Date",U$9)+NL("Sum","5802 Value Entry","17 Sales Amount (Actual)","41 Source Type",$C$5,"5 Source no.",$C1504,"4 Item Ledger Entry Type",$C$4,"2 Item No.","@@"&amp;$F1504,"3 Posting Date",U$9)</t>
  </si>
  <si>
    <t>=-NL("Sum","5802 Value Entry","151 Cost Amount (Expected)","41 Source Type",$C$5,"5 Source No.",$C1504,"4 Item Ledger Entry Type",$C$4,"2 Item No.","@@"&amp;$F1504,"3 Posting Date",U$9)-NL("Sum","5802 Value Entry","43 Cost Amount (Actual)","41 Source Type",$C$5,"5 Source no.",$C1504,"4 Item Ledger Entry Type",$C$4,"2 Item No.","@@"&amp;$F1504,"3 Posting Date",U$9)</t>
  </si>
  <si>
    <t>=U1504-W1504</t>
  </si>
  <si>
    <t>=IF(U1504&lt;&gt;0,X1504/U1504,"")</t>
  </si>
  <si>
    <t>=NL("Sum","5802 Value Entry","150 Sales Amount (Expected)","41 Source Type",$C$5,"5 Source No.",$C1504,"4 Item Ledger Entry Type",$C$4,"2 Item No.","@@"&amp;$F1504,"3 Posting Date",Z$9)+NL("Sum","5802 Value Entry","17 Sales Amount (Actual)","41 Source Type",$C$5,"5 Source no.",$C1504,"4 Item Ledger Entry Type",$C$4,"2 Item No.","@@"&amp;$F1504,"3 Posting Date",Z$9)</t>
  </si>
  <si>
    <t>=-NL("Sum","5802 Value Entry","151 Cost Amount (Expected)","41 Source Type",$C$5,"5 Source No.",$C1504,"4 Item Ledger Entry Type",$C$4,"2 Item No.","@@"&amp;$F1504,"3 Posting Date",Z$9)-NL("Sum","5802 Value Entry","43 Cost Amount (Actual)","41 Source Type",$C$5,"5 Source no.",$C1504,"4 Item Ledger Entry Type",$C$4,"2 Item No.","@@"&amp;$F1504,"3 Posting Date",Z$9)</t>
  </si>
  <si>
    <t>=Z1504-AB1504</t>
  </si>
  <si>
    <t>=IF(Z1504&lt;&gt;0,AC1504/Z1504,"")</t>
  </si>
  <si>
    <t>=C1504</t>
  </si>
  <si>
    <t>=NL("Sum","5802 Value Entry","150 Sales Amount (Expected)","41 Source Type",$C$5,"5 Source No.",$C1505,"4 Item Ledger Entry Type",$C$4,"2 Item No.","@@"&amp;$F1505,"3 Posting Date",J$9)+NL("Sum","5802 Value Entry","17 Sales Amount (Actual)","41 Source Type",$C$5,"5 Source no.",$C1505,"4 Item Ledger Entry Type",$C$4,"2 Item No.","@@"&amp;$F1505,"3 Posting Date",J$9)</t>
  </si>
  <si>
    <t>=-NL("Sum","5802 Value Entry","151 Cost Amount (Expected)","41 Source Type",$C$5,"5 Source No.",$C1505,"4 Item Ledger Entry Type",$C$4,"2 Item No.","@@"&amp;$F1505,"3 Posting Date",J$9)-NL("Sum","5802 Value Entry","43 Cost Amount (Actual)","41 Source Type",$C$5,"5 Source no.",$C1505,"4 Item Ledger Entry Type",$C$4,"2 Item No.","@@"&amp;$F1505,"3 Posting Date",J$9)</t>
  </si>
  <si>
    <t>=J1505-L1505</t>
  </si>
  <si>
    <t>=IF(J1505&lt;&gt;0,M1505/J1505,"")</t>
  </si>
  <si>
    <t>=NL("Sum","5802 Value Entry","150 Sales Amount (Expected)","41 Source Type",$C$5,"5 Source No.",$C1505,"4 Item Ledger Entry Type",$C$4,"2 Item No.","@@"&amp;$F1505,"3 Posting Date",O$9)+NL("Sum","5802 Value Entry","17 Sales Amount (Actual)","41 Source Type",$C$5,"5 Source no.",$C1505,"4 Item Ledger Entry Type",$C$4,"2 Item No.","@@"&amp;$F1505,"3 Posting Date",O$9)</t>
  </si>
  <si>
    <t>=-NL("Sum","5802 Value Entry","151 Cost Amount (Expected)","41 Source Type",$C$5,"5 Source No.",$C1505,"4 Item Ledger Entry Type",$C$4,"2 Item No.","@@"&amp;$F1505,"3 Posting Date",O$9)-NL("Sum","5802 Value Entry","43 Cost Amount (Actual)","41 Source Type",$C$5,"5 Source no.",$C1505,"4 Item Ledger Entry Type",$C$4,"2 Item No.","@@"&amp;$F1505,"3 Posting Date",O$9)</t>
  </si>
  <si>
    <t>=O1505-Q1505</t>
  </si>
  <si>
    <t>=IF(O1505&lt;&gt;0,R1505/O1505,"")</t>
  </si>
  <si>
    <t>=NL("Sum","5802 Value Entry","150 Sales Amount (Expected)","41 Source Type",$C$5,"5 Source No.",$C1505,"4 Item Ledger Entry Type",$C$4,"2 Item No.","@@"&amp;$F1505,"3 Posting Date",U$9)+NL("Sum","5802 Value Entry","17 Sales Amount (Actual)","41 Source Type",$C$5,"5 Source no.",$C1505,"4 Item Ledger Entry Type",$C$4,"2 Item No.","@@"&amp;$F1505,"3 Posting Date",U$9)</t>
  </si>
  <si>
    <t>=-NL("Sum","5802 Value Entry","151 Cost Amount (Expected)","41 Source Type",$C$5,"5 Source No.",$C1505,"4 Item Ledger Entry Type",$C$4,"2 Item No.","@@"&amp;$F1505,"3 Posting Date",U$9)-NL("Sum","5802 Value Entry","43 Cost Amount (Actual)","41 Source Type",$C$5,"5 Source no.",$C1505,"4 Item Ledger Entry Type",$C$4,"2 Item No.","@@"&amp;$F1505,"3 Posting Date",U$9)</t>
  </si>
  <si>
    <t>=U1505-W1505</t>
  </si>
  <si>
    <t>=IF(U1505&lt;&gt;0,X1505/U1505,"")</t>
  </si>
  <si>
    <t>=NL("Sum","5802 Value Entry","150 Sales Amount (Expected)","41 Source Type",$C$5,"5 Source No.",$C1505,"4 Item Ledger Entry Type",$C$4,"2 Item No.","@@"&amp;$F1505,"3 Posting Date",Z$9)+NL("Sum","5802 Value Entry","17 Sales Amount (Actual)","41 Source Type",$C$5,"5 Source no.",$C1505,"4 Item Ledger Entry Type",$C$4,"2 Item No.","@@"&amp;$F1505,"3 Posting Date",Z$9)</t>
  </si>
  <si>
    <t>=-NL("Sum","5802 Value Entry","151 Cost Amount (Expected)","41 Source Type",$C$5,"5 Source No.",$C1505,"4 Item Ledger Entry Type",$C$4,"2 Item No.","@@"&amp;$F1505,"3 Posting Date",Z$9)-NL("Sum","5802 Value Entry","43 Cost Amount (Actual)","41 Source Type",$C$5,"5 Source no.",$C1505,"4 Item Ledger Entry Type",$C$4,"2 Item No.","@@"&amp;$F1505,"3 Posting Date",Z$9)</t>
  </si>
  <si>
    <t>=Z1505-AB1505</t>
  </si>
  <si>
    <t>=IF(Z1505&lt;&gt;0,AC1505/Z1505,"")</t>
  </si>
  <si>
    <t>=C1505</t>
  </si>
  <si>
    <t>=NL("Sum","5802 Value Entry","150 Sales Amount (Expected)","41 Source Type",$C$5,"5 Source No.",$C1506,"4 Item Ledger Entry Type",$C$4,"2 Item No.","@@"&amp;$F1506,"3 Posting Date",J$9)+NL("Sum","5802 Value Entry","17 Sales Amount (Actual)","41 Source Type",$C$5,"5 Source no.",$C1506,"4 Item Ledger Entry Type",$C$4,"2 Item No.","@@"&amp;$F1506,"3 Posting Date",J$9)</t>
  </si>
  <si>
    <t>=-NL("Sum","5802 Value Entry","151 Cost Amount (Expected)","41 Source Type",$C$5,"5 Source No.",$C1506,"4 Item Ledger Entry Type",$C$4,"2 Item No.","@@"&amp;$F1506,"3 Posting Date",J$9)-NL("Sum","5802 Value Entry","43 Cost Amount (Actual)","41 Source Type",$C$5,"5 Source no.",$C1506,"4 Item Ledger Entry Type",$C$4,"2 Item No.","@@"&amp;$F1506,"3 Posting Date",J$9)</t>
  </si>
  <si>
    <t>=J1506-L1506</t>
  </si>
  <si>
    <t>=IF(J1506&lt;&gt;0,M1506/J1506,"")</t>
  </si>
  <si>
    <t>=NL("Sum","5802 Value Entry","150 Sales Amount (Expected)","41 Source Type",$C$5,"5 Source No.",$C1506,"4 Item Ledger Entry Type",$C$4,"2 Item No.","@@"&amp;$F1506,"3 Posting Date",O$9)+NL("Sum","5802 Value Entry","17 Sales Amount (Actual)","41 Source Type",$C$5,"5 Source no.",$C1506,"4 Item Ledger Entry Type",$C$4,"2 Item No.","@@"&amp;$F1506,"3 Posting Date",O$9)</t>
  </si>
  <si>
    <t>=-NL("Sum","5802 Value Entry","151 Cost Amount (Expected)","41 Source Type",$C$5,"5 Source No.",$C1506,"4 Item Ledger Entry Type",$C$4,"2 Item No.","@@"&amp;$F1506,"3 Posting Date",O$9)-NL("Sum","5802 Value Entry","43 Cost Amount (Actual)","41 Source Type",$C$5,"5 Source no.",$C1506,"4 Item Ledger Entry Type",$C$4,"2 Item No.","@@"&amp;$F1506,"3 Posting Date",O$9)</t>
  </si>
  <si>
    <t>=O1506-Q1506</t>
  </si>
  <si>
    <t>=IF(O1506&lt;&gt;0,R1506/O1506,"")</t>
  </si>
  <si>
    <t>=NL("Sum","5802 Value Entry","150 Sales Amount (Expected)","41 Source Type",$C$5,"5 Source No.",$C1506,"4 Item Ledger Entry Type",$C$4,"2 Item No.","@@"&amp;$F1506,"3 Posting Date",U$9)+NL("Sum","5802 Value Entry","17 Sales Amount (Actual)","41 Source Type",$C$5,"5 Source no.",$C1506,"4 Item Ledger Entry Type",$C$4,"2 Item No.","@@"&amp;$F1506,"3 Posting Date",U$9)</t>
  </si>
  <si>
    <t>=-NL("Sum","5802 Value Entry","151 Cost Amount (Expected)","41 Source Type",$C$5,"5 Source No.",$C1506,"4 Item Ledger Entry Type",$C$4,"2 Item No.","@@"&amp;$F1506,"3 Posting Date",U$9)-NL("Sum","5802 Value Entry","43 Cost Amount (Actual)","41 Source Type",$C$5,"5 Source no.",$C1506,"4 Item Ledger Entry Type",$C$4,"2 Item No.","@@"&amp;$F1506,"3 Posting Date",U$9)</t>
  </si>
  <si>
    <t>=U1506-W1506</t>
  </si>
  <si>
    <t>=IF(U1506&lt;&gt;0,X1506/U1506,"")</t>
  </si>
  <si>
    <t>=NL("Sum","5802 Value Entry","150 Sales Amount (Expected)","41 Source Type",$C$5,"5 Source No.",$C1506,"4 Item Ledger Entry Type",$C$4,"2 Item No.","@@"&amp;$F1506,"3 Posting Date",Z$9)+NL("Sum","5802 Value Entry","17 Sales Amount (Actual)","41 Source Type",$C$5,"5 Source no.",$C1506,"4 Item Ledger Entry Type",$C$4,"2 Item No.","@@"&amp;$F1506,"3 Posting Date",Z$9)</t>
  </si>
  <si>
    <t>=-NL("Sum","5802 Value Entry","151 Cost Amount (Expected)","41 Source Type",$C$5,"5 Source No.",$C1506,"4 Item Ledger Entry Type",$C$4,"2 Item No.","@@"&amp;$F1506,"3 Posting Date",Z$9)-NL("Sum","5802 Value Entry","43 Cost Amount (Actual)","41 Source Type",$C$5,"5 Source no.",$C1506,"4 Item Ledger Entry Type",$C$4,"2 Item No.","@@"&amp;$F1506,"3 Posting Date",Z$9)</t>
  </si>
  <si>
    <t>=Z1506-AB1506</t>
  </si>
  <si>
    <t>=IF(Z1506&lt;&gt;0,AC1506/Z1506,"")</t>
  </si>
  <si>
    <t>=C1506</t>
  </si>
  <si>
    <t>=NL("Sum","5802 Value Entry","150 Sales Amount (Expected)","41 Source Type",$C$5,"5 Source No.",$C1507,"4 Item Ledger Entry Type",$C$4,"2 Item No.","@@"&amp;$F1507,"3 Posting Date",J$9)+NL("Sum","5802 Value Entry","17 Sales Amount (Actual)","41 Source Type",$C$5,"5 Source no.",$C1507,"4 Item Ledger Entry Type",$C$4,"2 Item No.","@@"&amp;$F1507,"3 Posting Date",J$9)</t>
  </si>
  <si>
    <t>=-NL("Sum","5802 Value Entry","151 Cost Amount (Expected)","41 Source Type",$C$5,"5 Source No.",$C1507,"4 Item Ledger Entry Type",$C$4,"2 Item No.","@@"&amp;$F1507,"3 Posting Date",J$9)-NL("Sum","5802 Value Entry","43 Cost Amount (Actual)","41 Source Type",$C$5,"5 Source no.",$C1507,"4 Item Ledger Entry Type",$C$4,"2 Item No.","@@"&amp;$F1507,"3 Posting Date",J$9)</t>
  </si>
  <si>
    <t>=J1507-L1507</t>
  </si>
  <si>
    <t>=IF(J1507&lt;&gt;0,M1507/J1507,"")</t>
  </si>
  <si>
    <t>=NL("Sum","5802 Value Entry","150 Sales Amount (Expected)","41 Source Type",$C$5,"5 Source No.",$C1507,"4 Item Ledger Entry Type",$C$4,"2 Item No.","@@"&amp;$F1507,"3 Posting Date",O$9)+NL("Sum","5802 Value Entry","17 Sales Amount (Actual)","41 Source Type",$C$5,"5 Source no.",$C1507,"4 Item Ledger Entry Type",$C$4,"2 Item No.","@@"&amp;$F1507,"3 Posting Date",O$9)</t>
  </si>
  <si>
    <t>=-NL("Sum","5802 Value Entry","151 Cost Amount (Expected)","41 Source Type",$C$5,"5 Source No.",$C1507,"4 Item Ledger Entry Type",$C$4,"2 Item No.","@@"&amp;$F1507,"3 Posting Date",O$9)-NL("Sum","5802 Value Entry","43 Cost Amount (Actual)","41 Source Type",$C$5,"5 Source no.",$C1507,"4 Item Ledger Entry Type",$C$4,"2 Item No.","@@"&amp;$F1507,"3 Posting Date",O$9)</t>
  </si>
  <si>
    <t>=O1507-Q1507</t>
  </si>
  <si>
    <t>=IF(O1507&lt;&gt;0,R1507/O1507,"")</t>
  </si>
  <si>
    <t>=NL("Sum","5802 Value Entry","150 Sales Amount (Expected)","41 Source Type",$C$5,"5 Source No.",$C1507,"4 Item Ledger Entry Type",$C$4,"2 Item No.","@@"&amp;$F1507,"3 Posting Date",U$9)+NL("Sum","5802 Value Entry","17 Sales Amount (Actual)","41 Source Type",$C$5,"5 Source no.",$C1507,"4 Item Ledger Entry Type",$C$4,"2 Item No.","@@"&amp;$F1507,"3 Posting Date",U$9)</t>
  </si>
  <si>
    <t>=-NL("Sum","5802 Value Entry","151 Cost Amount (Expected)","41 Source Type",$C$5,"5 Source No.",$C1507,"4 Item Ledger Entry Type",$C$4,"2 Item No.","@@"&amp;$F1507,"3 Posting Date",U$9)-NL("Sum","5802 Value Entry","43 Cost Amount (Actual)","41 Source Type",$C$5,"5 Source no.",$C1507,"4 Item Ledger Entry Type",$C$4,"2 Item No.","@@"&amp;$F1507,"3 Posting Date",U$9)</t>
  </si>
  <si>
    <t>=U1507-W1507</t>
  </si>
  <si>
    <t>=IF(U1507&lt;&gt;0,X1507/U1507,"")</t>
  </si>
  <si>
    <t>=NL("Sum","5802 Value Entry","150 Sales Amount (Expected)","41 Source Type",$C$5,"5 Source No.",$C1507,"4 Item Ledger Entry Type",$C$4,"2 Item No.","@@"&amp;$F1507,"3 Posting Date",Z$9)+NL("Sum","5802 Value Entry","17 Sales Amount (Actual)","41 Source Type",$C$5,"5 Source no.",$C1507,"4 Item Ledger Entry Type",$C$4,"2 Item No.","@@"&amp;$F1507,"3 Posting Date",Z$9)</t>
  </si>
  <si>
    <t>=-NL("Sum","5802 Value Entry","151 Cost Amount (Expected)","41 Source Type",$C$5,"5 Source No.",$C1507,"4 Item Ledger Entry Type",$C$4,"2 Item No.","@@"&amp;$F1507,"3 Posting Date",Z$9)-NL("Sum","5802 Value Entry","43 Cost Amount (Actual)","41 Source Type",$C$5,"5 Source no.",$C1507,"4 Item Ledger Entry Type",$C$4,"2 Item No.","@@"&amp;$F1507,"3 Posting Date",Z$9)</t>
  </si>
  <si>
    <t>=Z1507-AB1507</t>
  </si>
  <si>
    <t>=IF(Z1507&lt;&gt;0,AC1507/Z1507,"")</t>
  </si>
  <si>
    <t>=C1507</t>
  </si>
  <si>
    <t>=NL("Sum","5802 Value Entry","150 Sales Amount (Expected)","41 Source Type",$C$5,"5 Source No.",$C1508,"4 Item Ledger Entry Type",$C$4,"2 Item No.","@@"&amp;$F1508,"3 Posting Date",J$9)+NL("Sum","5802 Value Entry","17 Sales Amount (Actual)","41 Source Type",$C$5,"5 Source no.",$C1508,"4 Item Ledger Entry Type",$C$4,"2 Item No.","@@"&amp;$F1508,"3 Posting Date",J$9)</t>
  </si>
  <si>
    <t>=-NL("Sum","5802 Value Entry","151 Cost Amount (Expected)","41 Source Type",$C$5,"5 Source No.",$C1508,"4 Item Ledger Entry Type",$C$4,"2 Item No.","@@"&amp;$F1508,"3 Posting Date",J$9)-NL("Sum","5802 Value Entry","43 Cost Amount (Actual)","41 Source Type",$C$5,"5 Source no.",$C1508,"4 Item Ledger Entry Type",$C$4,"2 Item No.","@@"&amp;$F1508,"3 Posting Date",J$9)</t>
  </si>
  <si>
    <t>=J1508-L1508</t>
  </si>
  <si>
    <t>=IF(J1508&lt;&gt;0,M1508/J1508,"")</t>
  </si>
  <si>
    <t>=NL("Sum","5802 Value Entry","150 Sales Amount (Expected)","41 Source Type",$C$5,"5 Source No.",$C1508,"4 Item Ledger Entry Type",$C$4,"2 Item No.","@@"&amp;$F1508,"3 Posting Date",O$9)+NL("Sum","5802 Value Entry","17 Sales Amount (Actual)","41 Source Type",$C$5,"5 Source no.",$C1508,"4 Item Ledger Entry Type",$C$4,"2 Item No.","@@"&amp;$F1508,"3 Posting Date",O$9)</t>
  </si>
  <si>
    <t>=-NL("Sum","5802 Value Entry","151 Cost Amount (Expected)","41 Source Type",$C$5,"5 Source No.",$C1508,"4 Item Ledger Entry Type",$C$4,"2 Item No.","@@"&amp;$F1508,"3 Posting Date",O$9)-NL("Sum","5802 Value Entry","43 Cost Amount (Actual)","41 Source Type",$C$5,"5 Source no.",$C1508,"4 Item Ledger Entry Type",$C$4,"2 Item No.","@@"&amp;$F1508,"3 Posting Date",O$9)</t>
  </si>
  <si>
    <t>=O1508-Q1508</t>
  </si>
  <si>
    <t>=IF(O1508&lt;&gt;0,R1508/O1508,"")</t>
  </si>
  <si>
    <t>=NL("Sum","5802 Value Entry","150 Sales Amount (Expected)","41 Source Type",$C$5,"5 Source No.",$C1508,"4 Item Ledger Entry Type",$C$4,"2 Item No.","@@"&amp;$F1508,"3 Posting Date",U$9)+NL("Sum","5802 Value Entry","17 Sales Amount (Actual)","41 Source Type",$C$5,"5 Source no.",$C1508,"4 Item Ledger Entry Type",$C$4,"2 Item No.","@@"&amp;$F1508,"3 Posting Date",U$9)</t>
  </si>
  <si>
    <t>=-NL("Sum","5802 Value Entry","151 Cost Amount (Expected)","41 Source Type",$C$5,"5 Source No.",$C1508,"4 Item Ledger Entry Type",$C$4,"2 Item No.","@@"&amp;$F1508,"3 Posting Date",U$9)-NL("Sum","5802 Value Entry","43 Cost Amount (Actual)","41 Source Type",$C$5,"5 Source no.",$C1508,"4 Item Ledger Entry Type",$C$4,"2 Item No.","@@"&amp;$F1508,"3 Posting Date",U$9)</t>
  </si>
  <si>
    <t>=U1508-W1508</t>
  </si>
  <si>
    <t>=IF(U1508&lt;&gt;0,X1508/U1508,"")</t>
  </si>
  <si>
    <t>=NL("Sum","5802 Value Entry","150 Sales Amount (Expected)","41 Source Type",$C$5,"5 Source No.",$C1508,"4 Item Ledger Entry Type",$C$4,"2 Item No.","@@"&amp;$F1508,"3 Posting Date",Z$9)+NL("Sum","5802 Value Entry","17 Sales Amount (Actual)","41 Source Type",$C$5,"5 Source no.",$C1508,"4 Item Ledger Entry Type",$C$4,"2 Item No.","@@"&amp;$F1508,"3 Posting Date",Z$9)</t>
  </si>
  <si>
    <t>=-NL("Sum","5802 Value Entry","151 Cost Amount (Expected)","41 Source Type",$C$5,"5 Source No.",$C1508,"4 Item Ledger Entry Type",$C$4,"2 Item No.","@@"&amp;$F1508,"3 Posting Date",Z$9)-NL("Sum","5802 Value Entry","43 Cost Amount (Actual)","41 Source Type",$C$5,"5 Source no.",$C1508,"4 Item Ledger Entry Type",$C$4,"2 Item No.","@@"&amp;$F1508,"3 Posting Date",Z$9)</t>
  </si>
  <si>
    <t>=Z1508-AB1508</t>
  </si>
  <si>
    <t>=IF(Z1508&lt;&gt;0,AC1508/Z1508,"")</t>
  </si>
  <si>
    <t>=C1509</t>
  </si>
  <si>
    <t>=J1510-L1510</t>
  </si>
  <si>
    <t>=IF(J1510&lt;&gt;0,M1510/J1510,"")</t>
  </si>
  <si>
    <t>=O1510-Q1510</t>
  </si>
  <si>
    <t>=IF(O1510&lt;&gt;0,R1510/O1510,"")</t>
  </si>
  <si>
    <t>=U1510-W1510</t>
  </si>
  <si>
    <t>=IF(U1510&lt;&gt;0,X1510/U1510,"")</t>
  </si>
  <si>
    <t>=Z1510-AB1510</t>
  </si>
  <si>
    <t>=IF(Z1510&lt;&gt;0,AC1510/Z1510,"")</t>
  </si>
  <si>
    <t>=C1512</t>
  </si>
  <si>
    <t>=C1513</t>
  </si>
  <si>
    <t>=NL("Sum","5802 Value Entry","150 Sales Amount (Expected)","41 Source Type",$C$5,"5 Source No.",$C1514,"4 Item Ledger Entry Type",$C$4,"2 Item No.","@@"&amp;$F1514,"3 Posting Date",J$9)+NL("Sum","5802 Value Entry","17 Sales Amount (Actual)","41 Source Type",$C$5,"5 Source no.",$C1514,"4 Item Ledger Entry Type",$C$4,"2 Item No.","@@"&amp;$F1514,"3 Posting Date",J$9)</t>
  </si>
  <si>
    <t>=-NL("Sum","5802 Value Entry","151 Cost Amount (Expected)","41 Source Type",$C$5,"5 Source No.",$C1514,"4 Item Ledger Entry Type",$C$4,"2 Item No.","@@"&amp;$F1514,"3 Posting Date",J$9)-NL("Sum","5802 Value Entry","43 Cost Amount (Actual)","41 Source Type",$C$5,"5 Source no.",$C1514,"4 Item Ledger Entry Type",$C$4,"2 Item No.","@@"&amp;$F1514,"3 Posting Date",J$9)</t>
  </si>
  <si>
    <t>=J1514-L1514</t>
  </si>
  <si>
    <t>=IF(J1514&lt;&gt;0,M1514/J1514,"")</t>
  </si>
  <si>
    <t>=NL("Sum","5802 Value Entry","150 Sales Amount (Expected)","41 Source Type",$C$5,"5 Source No.",$C1514,"4 Item Ledger Entry Type",$C$4,"2 Item No.","@@"&amp;$F1514,"3 Posting Date",O$9)+NL("Sum","5802 Value Entry","17 Sales Amount (Actual)","41 Source Type",$C$5,"5 Source no.",$C1514,"4 Item Ledger Entry Type",$C$4,"2 Item No.","@@"&amp;$F1514,"3 Posting Date",O$9)</t>
  </si>
  <si>
    <t>=-NL("Sum","5802 Value Entry","151 Cost Amount (Expected)","41 Source Type",$C$5,"5 Source No.",$C1514,"4 Item Ledger Entry Type",$C$4,"2 Item No.","@@"&amp;$F1514,"3 Posting Date",O$9)-NL("Sum","5802 Value Entry","43 Cost Amount (Actual)","41 Source Type",$C$5,"5 Source no.",$C1514,"4 Item Ledger Entry Type",$C$4,"2 Item No.","@@"&amp;$F1514,"3 Posting Date",O$9)</t>
  </si>
  <si>
    <t>=O1514-Q1514</t>
  </si>
  <si>
    <t>=IF(O1514&lt;&gt;0,R1514/O1514,"")</t>
  </si>
  <si>
    <t>=NL("Sum","5802 Value Entry","150 Sales Amount (Expected)","41 Source Type",$C$5,"5 Source No.",$C1514,"4 Item Ledger Entry Type",$C$4,"2 Item No.","@@"&amp;$F1514,"3 Posting Date",U$9)+NL("Sum","5802 Value Entry","17 Sales Amount (Actual)","41 Source Type",$C$5,"5 Source no.",$C1514,"4 Item Ledger Entry Type",$C$4,"2 Item No.","@@"&amp;$F1514,"3 Posting Date",U$9)</t>
  </si>
  <si>
    <t>=-NL("Sum","5802 Value Entry","151 Cost Amount (Expected)","41 Source Type",$C$5,"5 Source No.",$C1514,"4 Item Ledger Entry Type",$C$4,"2 Item No.","@@"&amp;$F1514,"3 Posting Date",U$9)-NL("Sum","5802 Value Entry","43 Cost Amount (Actual)","41 Source Type",$C$5,"5 Source no.",$C1514,"4 Item Ledger Entry Type",$C$4,"2 Item No.","@@"&amp;$F1514,"3 Posting Date",U$9)</t>
  </si>
  <si>
    <t>=U1514-W1514</t>
  </si>
  <si>
    <t>=IF(U1514&lt;&gt;0,X1514/U1514,"")</t>
  </si>
  <si>
    <t>=NL("Sum","5802 Value Entry","150 Sales Amount (Expected)","41 Source Type",$C$5,"5 Source No.",$C1514,"4 Item Ledger Entry Type",$C$4,"2 Item No.","@@"&amp;$F1514,"3 Posting Date",Z$9)+NL("Sum","5802 Value Entry","17 Sales Amount (Actual)","41 Source Type",$C$5,"5 Source no.",$C1514,"4 Item Ledger Entry Type",$C$4,"2 Item No.","@@"&amp;$F1514,"3 Posting Date",Z$9)</t>
  </si>
  <si>
    <t>=-NL("Sum","5802 Value Entry","151 Cost Amount (Expected)","41 Source Type",$C$5,"5 Source No.",$C1514,"4 Item Ledger Entry Type",$C$4,"2 Item No.","@@"&amp;$F1514,"3 Posting Date",Z$9)-NL("Sum","5802 Value Entry","43 Cost Amount (Actual)","41 Source Type",$C$5,"5 Source no.",$C1514,"4 Item Ledger Entry Type",$C$4,"2 Item No.","@@"&amp;$F1514,"3 Posting Date",Z$9)</t>
  </si>
  <si>
    <t>=Z1514-AB1514</t>
  </si>
  <si>
    <t>=IF(Z1514&lt;&gt;0,AC1514/Z1514,"")</t>
  </si>
  <si>
    <t>=C1514</t>
  </si>
  <si>
    <t>=NL("Sum","5802 Value Entry","150 Sales Amount (Expected)","41 Source Type",$C$5,"5 Source No.",$C1515,"4 Item Ledger Entry Type",$C$4,"2 Item No.","@@"&amp;$F1515,"3 Posting Date",J$9)+NL("Sum","5802 Value Entry","17 Sales Amount (Actual)","41 Source Type",$C$5,"5 Source no.",$C1515,"4 Item Ledger Entry Type",$C$4,"2 Item No.","@@"&amp;$F1515,"3 Posting Date",J$9)</t>
  </si>
  <si>
    <t>=-NL("Sum","5802 Value Entry","151 Cost Amount (Expected)","41 Source Type",$C$5,"5 Source No.",$C1515,"4 Item Ledger Entry Type",$C$4,"2 Item No.","@@"&amp;$F1515,"3 Posting Date",J$9)-NL("Sum","5802 Value Entry","43 Cost Amount (Actual)","41 Source Type",$C$5,"5 Source no.",$C1515,"4 Item Ledger Entry Type",$C$4,"2 Item No.","@@"&amp;$F1515,"3 Posting Date",J$9)</t>
  </si>
  <si>
    <t>=J1515-L1515</t>
  </si>
  <si>
    <t>=IF(J1515&lt;&gt;0,M1515/J1515,"")</t>
  </si>
  <si>
    <t>=NL("Sum","5802 Value Entry","150 Sales Amount (Expected)","41 Source Type",$C$5,"5 Source No.",$C1515,"4 Item Ledger Entry Type",$C$4,"2 Item No.","@@"&amp;$F1515,"3 Posting Date",O$9)+NL("Sum","5802 Value Entry","17 Sales Amount (Actual)","41 Source Type",$C$5,"5 Source no.",$C1515,"4 Item Ledger Entry Type",$C$4,"2 Item No.","@@"&amp;$F1515,"3 Posting Date",O$9)</t>
  </si>
  <si>
    <t>=-NL("Sum","5802 Value Entry","151 Cost Amount (Expected)","41 Source Type",$C$5,"5 Source No.",$C1515,"4 Item Ledger Entry Type",$C$4,"2 Item No.","@@"&amp;$F1515,"3 Posting Date",O$9)-NL("Sum","5802 Value Entry","43 Cost Amount (Actual)","41 Source Type",$C$5,"5 Source no.",$C1515,"4 Item Ledger Entry Type",$C$4,"2 Item No.","@@"&amp;$F1515,"3 Posting Date",O$9)</t>
  </si>
  <si>
    <t>=O1515-Q1515</t>
  </si>
  <si>
    <t>=IF(O1515&lt;&gt;0,R1515/O1515,"")</t>
  </si>
  <si>
    <t>=NL("Sum","5802 Value Entry","150 Sales Amount (Expected)","41 Source Type",$C$5,"5 Source No.",$C1515,"4 Item Ledger Entry Type",$C$4,"2 Item No.","@@"&amp;$F1515,"3 Posting Date",U$9)+NL("Sum","5802 Value Entry","17 Sales Amount (Actual)","41 Source Type",$C$5,"5 Source no.",$C1515,"4 Item Ledger Entry Type",$C$4,"2 Item No.","@@"&amp;$F1515,"3 Posting Date",U$9)</t>
  </si>
  <si>
    <t>=-NL("Sum","5802 Value Entry","151 Cost Amount (Expected)","41 Source Type",$C$5,"5 Source No.",$C1515,"4 Item Ledger Entry Type",$C$4,"2 Item No.","@@"&amp;$F1515,"3 Posting Date",U$9)-NL("Sum","5802 Value Entry","43 Cost Amount (Actual)","41 Source Type",$C$5,"5 Source no.",$C1515,"4 Item Ledger Entry Type",$C$4,"2 Item No.","@@"&amp;$F1515,"3 Posting Date",U$9)</t>
  </si>
  <si>
    <t>=U1515-W1515</t>
  </si>
  <si>
    <t>=IF(U1515&lt;&gt;0,X1515/U1515,"")</t>
  </si>
  <si>
    <t>=NL("Sum","5802 Value Entry","150 Sales Amount (Expected)","41 Source Type",$C$5,"5 Source No.",$C1515,"4 Item Ledger Entry Type",$C$4,"2 Item No.","@@"&amp;$F1515,"3 Posting Date",Z$9)+NL("Sum","5802 Value Entry","17 Sales Amount (Actual)","41 Source Type",$C$5,"5 Source no.",$C1515,"4 Item Ledger Entry Type",$C$4,"2 Item No.","@@"&amp;$F1515,"3 Posting Date",Z$9)</t>
  </si>
  <si>
    <t>=-NL("Sum","5802 Value Entry","151 Cost Amount (Expected)","41 Source Type",$C$5,"5 Source No.",$C1515,"4 Item Ledger Entry Type",$C$4,"2 Item No.","@@"&amp;$F1515,"3 Posting Date",Z$9)-NL("Sum","5802 Value Entry","43 Cost Amount (Actual)","41 Source Type",$C$5,"5 Source no.",$C1515,"4 Item Ledger Entry Type",$C$4,"2 Item No.","@@"&amp;$F1515,"3 Posting Date",Z$9)</t>
  </si>
  <si>
    <t>=Z1515-AB1515</t>
  </si>
  <si>
    <t>=IF(Z1515&lt;&gt;0,AC1515/Z1515,"")</t>
  </si>
  <si>
    <t>=C1515</t>
  </si>
  <si>
    <t>=NL("Sum","5802 Value Entry","150 Sales Amount (Expected)","41 Source Type",$C$5,"5 Source No.",$C1516,"4 Item Ledger Entry Type",$C$4,"2 Item No.","@@"&amp;$F1516,"3 Posting Date",J$9)+NL("Sum","5802 Value Entry","17 Sales Amount (Actual)","41 Source Type",$C$5,"5 Source no.",$C1516,"4 Item Ledger Entry Type",$C$4,"2 Item No.","@@"&amp;$F1516,"3 Posting Date",J$9)</t>
  </si>
  <si>
    <t>=-NL("Sum","5802 Value Entry","151 Cost Amount (Expected)","41 Source Type",$C$5,"5 Source No.",$C1516,"4 Item Ledger Entry Type",$C$4,"2 Item No.","@@"&amp;$F1516,"3 Posting Date",J$9)-NL("Sum","5802 Value Entry","43 Cost Amount (Actual)","41 Source Type",$C$5,"5 Source no.",$C1516,"4 Item Ledger Entry Type",$C$4,"2 Item No.","@@"&amp;$F1516,"3 Posting Date",J$9)</t>
  </si>
  <si>
    <t>=J1516-L1516</t>
  </si>
  <si>
    <t>=IF(J1516&lt;&gt;0,M1516/J1516,"")</t>
  </si>
  <si>
    <t>=NL("Sum","5802 Value Entry","150 Sales Amount (Expected)","41 Source Type",$C$5,"5 Source No.",$C1516,"4 Item Ledger Entry Type",$C$4,"2 Item No.","@@"&amp;$F1516,"3 Posting Date",O$9)+NL("Sum","5802 Value Entry","17 Sales Amount (Actual)","41 Source Type",$C$5,"5 Source no.",$C1516,"4 Item Ledger Entry Type",$C$4,"2 Item No.","@@"&amp;$F1516,"3 Posting Date",O$9)</t>
  </si>
  <si>
    <t>=-NL("Sum","5802 Value Entry","151 Cost Amount (Expected)","41 Source Type",$C$5,"5 Source No.",$C1516,"4 Item Ledger Entry Type",$C$4,"2 Item No.","@@"&amp;$F1516,"3 Posting Date",O$9)-NL("Sum","5802 Value Entry","43 Cost Amount (Actual)","41 Source Type",$C$5,"5 Source no.",$C1516,"4 Item Ledger Entry Type",$C$4,"2 Item No.","@@"&amp;$F1516,"3 Posting Date",O$9)</t>
  </si>
  <si>
    <t>=O1516-Q1516</t>
  </si>
  <si>
    <t>=IF(O1516&lt;&gt;0,R1516/O1516,"")</t>
  </si>
  <si>
    <t>=NL("Sum","5802 Value Entry","150 Sales Amount (Expected)","41 Source Type",$C$5,"5 Source No.",$C1516,"4 Item Ledger Entry Type",$C$4,"2 Item No.","@@"&amp;$F1516,"3 Posting Date",U$9)+NL("Sum","5802 Value Entry","17 Sales Amount (Actual)","41 Source Type",$C$5,"5 Source no.",$C1516,"4 Item Ledger Entry Type",$C$4,"2 Item No.","@@"&amp;$F1516,"3 Posting Date",U$9)</t>
  </si>
  <si>
    <t>=-NL("Sum","5802 Value Entry","151 Cost Amount (Expected)","41 Source Type",$C$5,"5 Source No.",$C1516,"4 Item Ledger Entry Type",$C$4,"2 Item No.","@@"&amp;$F1516,"3 Posting Date",U$9)-NL("Sum","5802 Value Entry","43 Cost Amount (Actual)","41 Source Type",$C$5,"5 Source no.",$C1516,"4 Item Ledger Entry Type",$C$4,"2 Item No.","@@"&amp;$F1516,"3 Posting Date",U$9)</t>
  </si>
  <si>
    <t>=U1516-W1516</t>
  </si>
  <si>
    <t>=IF(U1516&lt;&gt;0,X1516/U1516,"")</t>
  </si>
  <si>
    <t>=NL("Sum","5802 Value Entry","150 Sales Amount (Expected)","41 Source Type",$C$5,"5 Source No.",$C1516,"4 Item Ledger Entry Type",$C$4,"2 Item No.","@@"&amp;$F1516,"3 Posting Date",Z$9)+NL("Sum","5802 Value Entry","17 Sales Amount (Actual)","41 Source Type",$C$5,"5 Source no.",$C1516,"4 Item Ledger Entry Type",$C$4,"2 Item No.","@@"&amp;$F1516,"3 Posting Date",Z$9)</t>
  </si>
  <si>
    <t>=-NL("Sum","5802 Value Entry","151 Cost Amount (Expected)","41 Source Type",$C$5,"5 Source No.",$C1516,"4 Item Ledger Entry Type",$C$4,"2 Item No.","@@"&amp;$F1516,"3 Posting Date",Z$9)-NL("Sum","5802 Value Entry","43 Cost Amount (Actual)","41 Source Type",$C$5,"5 Source no.",$C1516,"4 Item Ledger Entry Type",$C$4,"2 Item No.","@@"&amp;$F1516,"3 Posting Date",Z$9)</t>
  </si>
  <si>
    <t>=Z1516-AB1516</t>
  </si>
  <si>
    <t>=IF(Z1516&lt;&gt;0,AC1516/Z1516,"")</t>
  </si>
  <si>
    <t>=C1516</t>
  </si>
  <si>
    <t>=NL("Sum","5802 Value Entry","150 Sales Amount (Expected)","41 Source Type",$C$5,"5 Source No.",$C1517,"4 Item Ledger Entry Type",$C$4,"2 Item No.","@@"&amp;$F1517,"3 Posting Date",J$9)+NL("Sum","5802 Value Entry","17 Sales Amount (Actual)","41 Source Type",$C$5,"5 Source no.",$C1517,"4 Item Ledger Entry Type",$C$4,"2 Item No.","@@"&amp;$F1517,"3 Posting Date",J$9)</t>
  </si>
  <si>
    <t>=-NL("Sum","5802 Value Entry","151 Cost Amount (Expected)","41 Source Type",$C$5,"5 Source No.",$C1517,"4 Item Ledger Entry Type",$C$4,"2 Item No.","@@"&amp;$F1517,"3 Posting Date",J$9)-NL("Sum","5802 Value Entry","43 Cost Amount (Actual)","41 Source Type",$C$5,"5 Source no.",$C1517,"4 Item Ledger Entry Type",$C$4,"2 Item No.","@@"&amp;$F1517,"3 Posting Date",J$9)</t>
  </si>
  <si>
    <t>=J1517-L1517</t>
  </si>
  <si>
    <t>=IF(J1517&lt;&gt;0,M1517/J1517,"")</t>
  </si>
  <si>
    <t>=NL("Sum","5802 Value Entry","150 Sales Amount (Expected)","41 Source Type",$C$5,"5 Source No.",$C1517,"4 Item Ledger Entry Type",$C$4,"2 Item No.","@@"&amp;$F1517,"3 Posting Date",O$9)+NL("Sum","5802 Value Entry","17 Sales Amount (Actual)","41 Source Type",$C$5,"5 Source no.",$C1517,"4 Item Ledger Entry Type",$C$4,"2 Item No.","@@"&amp;$F1517,"3 Posting Date",O$9)</t>
  </si>
  <si>
    <t>=-NL("Sum","5802 Value Entry","151 Cost Amount (Expected)","41 Source Type",$C$5,"5 Source No.",$C1517,"4 Item Ledger Entry Type",$C$4,"2 Item No.","@@"&amp;$F1517,"3 Posting Date",O$9)-NL("Sum","5802 Value Entry","43 Cost Amount (Actual)","41 Source Type",$C$5,"5 Source no.",$C1517,"4 Item Ledger Entry Type",$C$4,"2 Item No.","@@"&amp;$F1517,"3 Posting Date",O$9)</t>
  </si>
  <si>
    <t>=O1517-Q1517</t>
  </si>
  <si>
    <t>=IF(O1517&lt;&gt;0,R1517/O1517,"")</t>
  </si>
  <si>
    <t>=NL("Sum","5802 Value Entry","150 Sales Amount (Expected)","41 Source Type",$C$5,"5 Source No.",$C1517,"4 Item Ledger Entry Type",$C$4,"2 Item No.","@@"&amp;$F1517,"3 Posting Date",U$9)+NL("Sum","5802 Value Entry","17 Sales Amount (Actual)","41 Source Type",$C$5,"5 Source no.",$C1517,"4 Item Ledger Entry Type",$C$4,"2 Item No.","@@"&amp;$F1517,"3 Posting Date",U$9)</t>
  </si>
  <si>
    <t>=-NL("Sum","5802 Value Entry","151 Cost Amount (Expected)","41 Source Type",$C$5,"5 Source No.",$C1517,"4 Item Ledger Entry Type",$C$4,"2 Item No.","@@"&amp;$F1517,"3 Posting Date",U$9)-NL("Sum","5802 Value Entry","43 Cost Amount (Actual)","41 Source Type",$C$5,"5 Source no.",$C1517,"4 Item Ledger Entry Type",$C$4,"2 Item No.","@@"&amp;$F1517,"3 Posting Date",U$9)</t>
  </si>
  <si>
    <t>=U1517-W1517</t>
  </si>
  <si>
    <t>=IF(U1517&lt;&gt;0,X1517/U1517,"")</t>
  </si>
  <si>
    <t>=NL("Sum","5802 Value Entry","150 Sales Amount (Expected)","41 Source Type",$C$5,"5 Source No.",$C1517,"4 Item Ledger Entry Type",$C$4,"2 Item No.","@@"&amp;$F1517,"3 Posting Date",Z$9)+NL("Sum","5802 Value Entry","17 Sales Amount (Actual)","41 Source Type",$C$5,"5 Source no.",$C1517,"4 Item Ledger Entry Type",$C$4,"2 Item No.","@@"&amp;$F1517,"3 Posting Date",Z$9)</t>
  </si>
  <si>
    <t>=-NL("Sum","5802 Value Entry","151 Cost Amount (Expected)","41 Source Type",$C$5,"5 Source No.",$C1517,"4 Item Ledger Entry Type",$C$4,"2 Item No.","@@"&amp;$F1517,"3 Posting Date",Z$9)-NL("Sum","5802 Value Entry","43 Cost Amount (Actual)","41 Source Type",$C$5,"5 Source no.",$C1517,"4 Item Ledger Entry Type",$C$4,"2 Item No.","@@"&amp;$F1517,"3 Posting Date",Z$9)</t>
  </si>
  <si>
    <t>=Z1517-AB1517</t>
  </si>
  <si>
    <t>=IF(Z1517&lt;&gt;0,AC1517/Z1517,"")</t>
  </si>
  <si>
    <t>=C1517</t>
  </si>
  <si>
    <t>=NL("Sum","5802 Value Entry","150 Sales Amount (Expected)","41 Source Type",$C$5,"5 Source No.",$C1518,"4 Item Ledger Entry Type",$C$4,"2 Item No.","@@"&amp;$F1518,"3 Posting Date",J$9)+NL("Sum","5802 Value Entry","17 Sales Amount (Actual)","41 Source Type",$C$5,"5 Source no.",$C1518,"4 Item Ledger Entry Type",$C$4,"2 Item No.","@@"&amp;$F1518,"3 Posting Date",J$9)</t>
  </si>
  <si>
    <t>=-NL("Sum","5802 Value Entry","151 Cost Amount (Expected)","41 Source Type",$C$5,"5 Source No.",$C1518,"4 Item Ledger Entry Type",$C$4,"2 Item No.","@@"&amp;$F1518,"3 Posting Date",J$9)-NL("Sum","5802 Value Entry","43 Cost Amount (Actual)","41 Source Type",$C$5,"5 Source no.",$C1518,"4 Item Ledger Entry Type",$C$4,"2 Item No.","@@"&amp;$F1518,"3 Posting Date",J$9)</t>
  </si>
  <si>
    <t>=J1518-L1518</t>
  </si>
  <si>
    <t>=IF(J1518&lt;&gt;0,M1518/J1518,"")</t>
  </si>
  <si>
    <t>=NL("Sum","5802 Value Entry","150 Sales Amount (Expected)","41 Source Type",$C$5,"5 Source No.",$C1518,"4 Item Ledger Entry Type",$C$4,"2 Item No.","@@"&amp;$F1518,"3 Posting Date",O$9)+NL("Sum","5802 Value Entry","17 Sales Amount (Actual)","41 Source Type",$C$5,"5 Source no.",$C1518,"4 Item Ledger Entry Type",$C$4,"2 Item No.","@@"&amp;$F1518,"3 Posting Date",O$9)</t>
  </si>
  <si>
    <t>=-NL("Sum","5802 Value Entry","151 Cost Amount (Expected)","41 Source Type",$C$5,"5 Source No.",$C1518,"4 Item Ledger Entry Type",$C$4,"2 Item No.","@@"&amp;$F1518,"3 Posting Date",O$9)-NL("Sum","5802 Value Entry","43 Cost Amount (Actual)","41 Source Type",$C$5,"5 Source no.",$C1518,"4 Item Ledger Entry Type",$C$4,"2 Item No.","@@"&amp;$F1518,"3 Posting Date",O$9)</t>
  </si>
  <si>
    <t>=O1518-Q1518</t>
  </si>
  <si>
    <t>=IF(O1518&lt;&gt;0,R1518/O1518,"")</t>
  </si>
  <si>
    <t>=NL("Sum","5802 Value Entry","150 Sales Amount (Expected)","41 Source Type",$C$5,"5 Source No.",$C1518,"4 Item Ledger Entry Type",$C$4,"2 Item No.","@@"&amp;$F1518,"3 Posting Date",U$9)+NL("Sum","5802 Value Entry","17 Sales Amount (Actual)","41 Source Type",$C$5,"5 Source no.",$C1518,"4 Item Ledger Entry Type",$C$4,"2 Item No.","@@"&amp;$F1518,"3 Posting Date",U$9)</t>
  </si>
  <si>
    <t>=-NL("Sum","5802 Value Entry","151 Cost Amount (Expected)","41 Source Type",$C$5,"5 Source No.",$C1518,"4 Item Ledger Entry Type",$C$4,"2 Item No.","@@"&amp;$F1518,"3 Posting Date",U$9)-NL("Sum","5802 Value Entry","43 Cost Amount (Actual)","41 Source Type",$C$5,"5 Source no.",$C1518,"4 Item Ledger Entry Type",$C$4,"2 Item No.","@@"&amp;$F1518,"3 Posting Date",U$9)</t>
  </si>
  <si>
    <t>=U1518-W1518</t>
  </si>
  <si>
    <t>=IF(U1518&lt;&gt;0,X1518/U1518,"")</t>
  </si>
  <si>
    <t>=NL("Sum","5802 Value Entry","150 Sales Amount (Expected)","41 Source Type",$C$5,"5 Source No.",$C1518,"4 Item Ledger Entry Type",$C$4,"2 Item No.","@@"&amp;$F1518,"3 Posting Date",Z$9)+NL("Sum","5802 Value Entry","17 Sales Amount (Actual)","41 Source Type",$C$5,"5 Source no.",$C1518,"4 Item Ledger Entry Type",$C$4,"2 Item No.","@@"&amp;$F1518,"3 Posting Date",Z$9)</t>
  </si>
  <si>
    <t>=-NL("Sum","5802 Value Entry","151 Cost Amount (Expected)","41 Source Type",$C$5,"5 Source No.",$C1518,"4 Item Ledger Entry Type",$C$4,"2 Item No.","@@"&amp;$F1518,"3 Posting Date",Z$9)-NL("Sum","5802 Value Entry","43 Cost Amount (Actual)","41 Source Type",$C$5,"5 Source no.",$C1518,"4 Item Ledger Entry Type",$C$4,"2 Item No.","@@"&amp;$F1518,"3 Posting Date",Z$9)</t>
  </si>
  <si>
    <t>=Z1518-AB1518</t>
  </si>
  <si>
    <t>=IF(Z1518&lt;&gt;0,AC1518/Z1518,"")</t>
  </si>
  <si>
    <t>=C1518</t>
  </si>
  <si>
    <t>=NL("Sum","5802 Value Entry","150 Sales Amount (Expected)","41 Source Type",$C$5,"5 Source No.",$C1519,"4 Item Ledger Entry Type",$C$4,"2 Item No.","@@"&amp;$F1519,"3 Posting Date",J$9)+NL("Sum","5802 Value Entry","17 Sales Amount (Actual)","41 Source Type",$C$5,"5 Source no.",$C1519,"4 Item Ledger Entry Type",$C$4,"2 Item No.","@@"&amp;$F1519,"3 Posting Date",J$9)</t>
  </si>
  <si>
    <t>=-NL("Sum","5802 Value Entry","151 Cost Amount (Expected)","41 Source Type",$C$5,"5 Source No.",$C1519,"4 Item Ledger Entry Type",$C$4,"2 Item No.","@@"&amp;$F1519,"3 Posting Date",J$9)-NL("Sum","5802 Value Entry","43 Cost Amount (Actual)","41 Source Type",$C$5,"5 Source no.",$C1519,"4 Item Ledger Entry Type",$C$4,"2 Item No.","@@"&amp;$F1519,"3 Posting Date",J$9)</t>
  </si>
  <si>
    <t>=J1519-L1519</t>
  </si>
  <si>
    <t>=IF(J1519&lt;&gt;0,M1519/J1519,"")</t>
  </si>
  <si>
    <t>=NL("Sum","5802 Value Entry","150 Sales Amount (Expected)","41 Source Type",$C$5,"5 Source No.",$C1519,"4 Item Ledger Entry Type",$C$4,"2 Item No.","@@"&amp;$F1519,"3 Posting Date",O$9)+NL("Sum","5802 Value Entry","17 Sales Amount (Actual)","41 Source Type",$C$5,"5 Source no.",$C1519,"4 Item Ledger Entry Type",$C$4,"2 Item No.","@@"&amp;$F1519,"3 Posting Date",O$9)</t>
  </si>
  <si>
    <t>=-NL("Sum","5802 Value Entry","151 Cost Amount (Expected)","41 Source Type",$C$5,"5 Source No.",$C1519,"4 Item Ledger Entry Type",$C$4,"2 Item No.","@@"&amp;$F1519,"3 Posting Date",O$9)-NL("Sum","5802 Value Entry","43 Cost Amount (Actual)","41 Source Type",$C$5,"5 Source no.",$C1519,"4 Item Ledger Entry Type",$C$4,"2 Item No.","@@"&amp;$F1519,"3 Posting Date",O$9)</t>
  </si>
  <si>
    <t>=O1519-Q1519</t>
  </si>
  <si>
    <t>=IF(O1519&lt;&gt;0,R1519/O1519,"")</t>
  </si>
  <si>
    <t>=NL("Sum","5802 Value Entry","150 Sales Amount (Expected)","41 Source Type",$C$5,"5 Source No.",$C1519,"4 Item Ledger Entry Type",$C$4,"2 Item No.","@@"&amp;$F1519,"3 Posting Date",U$9)+NL("Sum","5802 Value Entry","17 Sales Amount (Actual)","41 Source Type",$C$5,"5 Source no.",$C1519,"4 Item Ledger Entry Type",$C$4,"2 Item No.","@@"&amp;$F1519,"3 Posting Date",U$9)</t>
  </si>
  <si>
    <t>=-NL("Sum","5802 Value Entry","151 Cost Amount (Expected)","41 Source Type",$C$5,"5 Source No.",$C1519,"4 Item Ledger Entry Type",$C$4,"2 Item No.","@@"&amp;$F1519,"3 Posting Date",U$9)-NL("Sum","5802 Value Entry","43 Cost Amount (Actual)","41 Source Type",$C$5,"5 Source no.",$C1519,"4 Item Ledger Entry Type",$C$4,"2 Item No.","@@"&amp;$F1519,"3 Posting Date",U$9)</t>
  </si>
  <si>
    <t>=U1519-W1519</t>
  </si>
  <si>
    <t>=IF(U1519&lt;&gt;0,X1519/U1519,"")</t>
  </si>
  <si>
    <t>=NL("Sum","5802 Value Entry","150 Sales Amount (Expected)","41 Source Type",$C$5,"5 Source No.",$C1519,"4 Item Ledger Entry Type",$C$4,"2 Item No.","@@"&amp;$F1519,"3 Posting Date",Z$9)+NL("Sum","5802 Value Entry","17 Sales Amount (Actual)","41 Source Type",$C$5,"5 Source no.",$C1519,"4 Item Ledger Entry Type",$C$4,"2 Item No.","@@"&amp;$F1519,"3 Posting Date",Z$9)</t>
  </si>
  <si>
    <t>=-NL("Sum","5802 Value Entry","151 Cost Amount (Expected)","41 Source Type",$C$5,"5 Source No.",$C1519,"4 Item Ledger Entry Type",$C$4,"2 Item No.","@@"&amp;$F1519,"3 Posting Date",Z$9)-NL("Sum","5802 Value Entry","43 Cost Amount (Actual)","41 Source Type",$C$5,"5 Source no.",$C1519,"4 Item Ledger Entry Type",$C$4,"2 Item No.","@@"&amp;$F1519,"3 Posting Date",Z$9)</t>
  </si>
  <si>
    <t>=Z1519-AB1519</t>
  </si>
  <si>
    <t>=IF(Z1519&lt;&gt;0,AC1519/Z1519,"")</t>
  </si>
  <si>
    <t>=C1519</t>
  </si>
  <si>
    <t>=NL("Sum","5802 Value Entry","150 Sales Amount (Expected)","41 Source Type",$C$5,"5 Source No.",$C1520,"4 Item Ledger Entry Type",$C$4,"2 Item No.","@@"&amp;$F1520,"3 Posting Date",J$9)+NL("Sum","5802 Value Entry","17 Sales Amount (Actual)","41 Source Type",$C$5,"5 Source no.",$C1520,"4 Item Ledger Entry Type",$C$4,"2 Item No.","@@"&amp;$F1520,"3 Posting Date",J$9)</t>
  </si>
  <si>
    <t>=-NL("Sum","5802 Value Entry","151 Cost Amount (Expected)","41 Source Type",$C$5,"5 Source No.",$C1520,"4 Item Ledger Entry Type",$C$4,"2 Item No.","@@"&amp;$F1520,"3 Posting Date",J$9)-NL("Sum","5802 Value Entry","43 Cost Amount (Actual)","41 Source Type",$C$5,"5 Source no.",$C1520,"4 Item Ledger Entry Type",$C$4,"2 Item No.","@@"&amp;$F1520,"3 Posting Date",J$9)</t>
  </si>
  <si>
    <t>=J1520-L1520</t>
  </si>
  <si>
    <t>=IF(J1520&lt;&gt;0,M1520/J1520,"")</t>
  </si>
  <si>
    <t>=NL("Sum","5802 Value Entry","150 Sales Amount (Expected)","41 Source Type",$C$5,"5 Source No.",$C1520,"4 Item Ledger Entry Type",$C$4,"2 Item No.","@@"&amp;$F1520,"3 Posting Date",O$9)+NL("Sum","5802 Value Entry","17 Sales Amount (Actual)","41 Source Type",$C$5,"5 Source no.",$C1520,"4 Item Ledger Entry Type",$C$4,"2 Item No.","@@"&amp;$F1520,"3 Posting Date",O$9)</t>
  </si>
  <si>
    <t>=-NL("Sum","5802 Value Entry","151 Cost Amount (Expected)","41 Source Type",$C$5,"5 Source No.",$C1520,"4 Item Ledger Entry Type",$C$4,"2 Item No.","@@"&amp;$F1520,"3 Posting Date",O$9)-NL("Sum","5802 Value Entry","43 Cost Amount (Actual)","41 Source Type",$C$5,"5 Source no.",$C1520,"4 Item Ledger Entry Type",$C$4,"2 Item No.","@@"&amp;$F1520,"3 Posting Date",O$9)</t>
  </si>
  <si>
    <t>=O1520-Q1520</t>
  </si>
  <si>
    <t>=IF(O1520&lt;&gt;0,R1520/O1520,"")</t>
  </si>
  <si>
    <t>=NL("Sum","5802 Value Entry","150 Sales Amount (Expected)","41 Source Type",$C$5,"5 Source No.",$C1520,"4 Item Ledger Entry Type",$C$4,"2 Item No.","@@"&amp;$F1520,"3 Posting Date",U$9)+NL("Sum","5802 Value Entry","17 Sales Amount (Actual)","41 Source Type",$C$5,"5 Source no.",$C1520,"4 Item Ledger Entry Type",$C$4,"2 Item No.","@@"&amp;$F1520,"3 Posting Date",U$9)</t>
  </si>
  <si>
    <t>=-NL("Sum","5802 Value Entry","151 Cost Amount (Expected)","41 Source Type",$C$5,"5 Source No.",$C1520,"4 Item Ledger Entry Type",$C$4,"2 Item No.","@@"&amp;$F1520,"3 Posting Date",U$9)-NL("Sum","5802 Value Entry","43 Cost Amount (Actual)","41 Source Type",$C$5,"5 Source no.",$C1520,"4 Item Ledger Entry Type",$C$4,"2 Item No.","@@"&amp;$F1520,"3 Posting Date",U$9)</t>
  </si>
  <si>
    <t>=U1520-W1520</t>
  </si>
  <si>
    <t>=IF(U1520&lt;&gt;0,X1520/U1520,"")</t>
  </si>
  <si>
    <t>=NL("Sum","5802 Value Entry","150 Sales Amount (Expected)","41 Source Type",$C$5,"5 Source No.",$C1520,"4 Item Ledger Entry Type",$C$4,"2 Item No.","@@"&amp;$F1520,"3 Posting Date",Z$9)+NL("Sum","5802 Value Entry","17 Sales Amount (Actual)","41 Source Type",$C$5,"5 Source no.",$C1520,"4 Item Ledger Entry Type",$C$4,"2 Item No.","@@"&amp;$F1520,"3 Posting Date",Z$9)</t>
  </si>
  <si>
    <t>=-NL("Sum","5802 Value Entry","151 Cost Amount (Expected)","41 Source Type",$C$5,"5 Source No.",$C1520,"4 Item Ledger Entry Type",$C$4,"2 Item No.","@@"&amp;$F1520,"3 Posting Date",Z$9)-NL("Sum","5802 Value Entry","43 Cost Amount (Actual)","41 Source Type",$C$5,"5 Source no.",$C1520,"4 Item Ledger Entry Type",$C$4,"2 Item No.","@@"&amp;$F1520,"3 Posting Date",Z$9)</t>
  </si>
  <si>
    <t>=Z1520-AB1520</t>
  </si>
  <si>
    <t>=IF(Z1520&lt;&gt;0,AC1520/Z1520,"")</t>
  </si>
  <si>
    <t>=C1520</t>
  </si>
  <si>
    <t>=NL("Sum","5802 Value Entry","150 Sales Amount (Expected)","41 Source Type",$C$5,"5 Source No.",$C1521,"4 Item Ledger Entry Type",$C$4,"2 Item No.","@@"&amp;$F1521,"3 Posting Date",J$9)+NL("Sum","5802 Value Entry","17 Sales Amount (Actual)","41 Source Type",$C$5,"5 Source no.",$C1521,"4 Item Ledger Entry Type",$C$4,"2 Item No.","@@"&amp;$F1521,"3 Posting Date",J$9)</t>
  </si>
  <si>
    <t>=-NL("Sum","5802 Value Entry","151 Cost Amount (Expected)","41 Source Type",$C$5,"5 Source No.",$C1521,"4 Item Ledger Entry Type",$C$4,"2 Item No.","@@"&amp;$F1521,"3 Posting Date",J$9)-NL("Sum","5802 Value Entry","43 Cost Amount (Actual)","41 Source Type",$C$5,"5 Source no.",$C1521,"4 Item Ledger Entry Type",$C$4,"2 Item No.","@@"&amp;$F1521,"3 Posting Date",J$9)</t>
  </si>
  <si>
    <t>=J1521-L1521</t>
  </si>
  <si>
    <t>=IF(J1521&lt;&gt;0,M1521/J1521,"")</t>
  </si>
  <si>
    <t>=NL("Sum","5802 Value Entry","150 Sales Amount (Expected)","41 Source Type",$C$5,"5 Source No.",$C1521,"4 Item Ledger Entry Type",$C$4,"2 Item No.","@@"&amp;$F1521,"3 Posting Date",O$9)+NL("Sum","5802 Value Entry","17 Sales Amount (Actual)","41 Source Type",$C$5,"5 Source no.",$C1521,"4 Item Ledger Entry Type",$C$4,"2 Item No.","@@"&amp;$F1521,"3 Posting Date",O$9)</t>
  </si>
  <si>
    <t>=-NL("Sum","5802 Value Entry","151 Cost Amount (Expected)","41 Source Type",$C$5,"5 Source No.",$C1521,"4 Item Ledger Entry Type",$C$4,"2 Item No.","@@"&amp;$F1521,"3 Posting Date",O$9)-NL("Sum","5802 Value Entry","43 Cost Amount (Actual)","41 Source Type",$C$5,"5 Source no.",$C1521,"4 Item Ledger Entry Type",$C$4,"2 Item No.","@@"&amp;$F1521,"3 Posting Date",O$9)</t>
  </si>
  <si>
    <t>=O1521-Q1521</t>
  </si>
  <si>
    <t>=IF(O1521&lt;&gt;0,R1521/O1521,"")</t>
  </si>
  <si>
    <t>=NL("Sum","5802 Value Entry","150 Sales Amount (Expected)","41 Source Type",$C$5,"5 Source No.",$C1521,"4 Item Ledger Entry Type",$C$4,"2 Item No.","@@"&amp;$F1521,"3 Posting Date",U$9)+NL("Sum","5802 Value Entry","17 Sales Amount (Actual)","41 Source Type",$C$5,"5 Source no.",$C1521,"4 Item Ledger Entry Type",$C$4,"2 Item No.","@@"&amp;$F1521,"3 Posting Date",U$9)</t>
  </si>
  <si>
    <t>=-NL("Sum","5802 Value Entry","151 Cost Amount (Expected)","41 Source Type",$C$5,"5 Source No.",$C1521,"4 Item Ledger Entry Type",$C$4,"2 Item No.","@@"&amp;$F1521,"3 Posting Date",U$9)-NL("Sum","5802 Value Entry","43 Cost Amount (Actual)","41 Source Type",$C$5,"5 Source no.",$C1521,"4 Item Ledger Entry Type",$C$4,"2 Item No.","@@"&amp;$F1521,"3 Posting Date",U$9)</t>
  </si>
  <si>
    <t>=U1521-W1521</t>
  </si>
  <si>
    <t>=IF(U1521&lt;&gt;0,X1521/U1521,"")</t>
  </si>
  <si>
    <t>=NL("Sum","5802 Value Entry","150 Sales Amount (Expected)","41 Source Type",$C$5,"5 Source No.",$C1521,"4 Item Ledger Entry Type",$C$4,"2 Item No.","@@"&amp;$F1521,"3 Posting Date",Z$9)+NL("Sum","5802 Value Entry","17 Sales Amount (Actual)","41 Source Type",$C$5,"5 Source no.",$C1521,"4 Item Ledger Entry Type",$C$4,"2 Item No.","@@"&amp;$F1521,"3 Posting Date",Z$9)</t>
  </si>
  <si>
    <t>=-NL("Sum","5802 Value Entry","151 Cost Amount (Expected)","41 Source Type",$C$5,"5 Source No.",$C1521,"4 Item Ledger Entry Type",$C$4,"2 Item No.","@@"&amp;$F1521,"3 Posting Date",Z$9)-NL("Sum","5802 Value Entry","43 Cost Amount (Actual)","41 Source Type",$C$5,"5 Source no.",$C1521,"4 Item Ledger Entry Type",$C$4,"2 Item No.","@@"&amp;$F1521,"3 Posting Date",Z$9)</t>
  </si>
  <si>
    <t>=Z1521-AB1521</t>
  </si>
  <si>
    <t>=IF(Z1521&lt;&gt;0,AC1521/Z1521,"")</t>
  </si>
  <si>
    <t>=C1521</t>
  </si>
  <si>
    <t>=NL("Sum","5802 Value Entry","150 Sales Amount (Expected)","41 Source Type",$C$5,"5 Source No.",$C1522,"4 Item Ledger Entry Type",$C$4,"2 Item No.","@@"&amp;$F1522,"3 Posting Date",J$9)+NL("Sum","5802 Value Entry","17 Sales Amount (Actual)","41 Source Type",$C$5,"5 Source no.",$C1522,"4 Item Ledger Entry Type",$C$4,"2 Item No.","@@"&amp;$F1522,"3 Posting Date",J$9)</t>
  </si>
  <si>
    <t>=-NL("Sum","5802 Value Entry","151 Cost Amount (Expected)","41 Source Type",$C$5,"5 Source No.",$C1522,"4 Item Ledger Entry Type",$C$4,"2 Item No.","@@"&amp;$F1522,"3 Posting Date",J$9)-NL("Sum","5802 Value Entry","43 Cost Amount (Actual)","41 Source Type",$C$5,"5 Source no.",$C1522,"4 Item Ledger Entry Type",$C$4,"2 Item No.","@@"&amp;$F1522,"3 Posting Date",J$9)</t>
  </si>
  <si>
    <t>=J1522-L1522</t>
  </si>
  <si>
    <t>=IF(J1522&lt;&gt;0,M1522/J1522,"")</t>
  </si>
  <si>
    <t>=NL("Sum","5802 Value Entry","150 Sales Amount (Expected)","41 Source Type",$C$5,"5 Source No.",$C1522,"4 Item Ledger Entry Type",$C$4,"2 Item No.","@@"&amp;$F1522,"3 Posting Date",O$9)+NL("Sum","5802 Value Entry","17 Sales Amount (Actual)","41 Source Type",$C$5,"5 Source no.",$C1522,"4 Item Ledger Entry Type",$C$4,"2 Item No.","@@"&amp;$F1522,"3 Posting Date",O$9)</t>
  </si>
  <si>
    <t>=-NL("Sum","5802 Value Entry","151 Cost Amount (Expected)","41 Source Type",$C$5,"5 Source No.",$C1522,"4 Item Ledger Entry Type",$C$4,"2 Item No.","@@"&amp;$F1522,"3 Posting Date",O$9)-NL("Sum","5802 Value Entry","43 Cost Amount (Actual)","41 Source Type",$C$5,"5 Source no.",$C1522,"4 Item Ledger Entry Type",$C$4,"2 Item No.","@@"&amp;$F1522,"3 Posting Date",O$9)</t>
  </si>
  <si>
    <t>=O1522-Q1522</t>
  </si>
  <si>
    <t>=IF(O1522&lt;&gt;0,R1522/O1522,"")</t>
  </si>
  <si>
    <t>=NL("Sum","5802 Value Entry","150 Sales Amount (Expected)","41 Source Type",$C$5,"5 Source No.",$C1522,"4 Item Ledger Entry Type",$C$4,"2 Item No.","@@"&amp;$F1522,"3 Posting Date",U$9)+NL("Sum","5802 Value Entry","17 Sales Amount (Actual)","41 Source Type",$C$5,"5 Source no.",$C1522,"4 Item Ledger Entry Type",$C$4,"2 Item No.","@@"&amp;$F1522,"3 Posting Date",U$9)</t>
  </si>
  <si>
    <t>=-NL("Sum","5802 Value Entry","151 Cost Amount (Expected)","41 Source Type",$C$5,"5 Source No.",$C1522,"4 Item Ledger Entry Type",$C$4,"2 Item No.","@@"&amp;$F1522,"3 Posting Date",U$9)-NL("Sum","5802 Value Entry","43 Cost Amount (Actual)","41 Source Type",$C$5,"5 Source no.",$C1522,"4 Item Ledger Entry Type",$C$4,"2 Item No.","@@"&amp;$F1522,"3 Posting Date",U$9)</t>
  </si>
  <si>
    <t>=U1522-W1522</t>
  </si>
  <si>
    <t>=IF(U1522&lt;&gt;0,X1522/U1522,"")</t>
  </si>
  <si>
    <t>=NL("Sum","5802 Value Entry","150 Sales Amount (Expected)","41 Source Type",$C$5,"5 Source No.",$C1522,"4 Item Ledger Entry Type",$C$4,"2 Item No.","@@"&amp;$F1522,"3 Posting Date",Z$9)+NL("Sum","5802 Value Entry","17 Sales Amount (Actual)","41 Source Type",$C$5,"5 Source no.",$C1522,"4 Item Ledger Entry Type",$C$4,"2 Item No.","@@"&amp;$F1522,"3 Posting Date",Z$9)</t>
  </si>
  <si>
    <t>=-NL("Sum","5802 Value Entry","151 Cost Amount (Expected)","41 Source Type",$C$5,"5 Source No.",$C1522,"4 Item Ledger Entry Type",$C$4,"2 Item No.","@@"&amp;$F1522,"3 Posting Date",Z$9)-NL("Sum","5802 Value Entry","43 Cost Amount (Actual)","41 Source Type",$C$5,"5 Source no.",$C1522,"4 Item Ledger Entry Type",$C$4,"2 Item No.","@@"&amp;$F1522,"3 Posting Date",Z$9)</t>
  </si>
  <si>
    <t>=Z1522-AB1522</t>
  </si>
  <si>
    <t>=IF(Z1522&lt;&gt;0,AC1522/Z1522,"")</t>
  </si>
  <si>
    <t>=C1522</t>
  </si>
  <si>
    <t>=NL("Sum","5802 Value Entry","150 Sales Amount (Expected)","41 Source Type",$C$5,"5 Source No.",$C1523,"4 Item Ledger Entry Type",$C$4,"2 Item No.","@@"&amp;$F1523,"3 Posting Date",J$9)+NL("Sum","5802 Value Entry","17 Sales Amount (Actual)","41 Source Type",$C$5,"5 Source no.",$C1523,"4 Item Ledger Entry Type",$C$4,"2 Item No.","@@"&amp;$F1523,"3 Posting Date",J$9)</t>
  </si>
  <si>
    <t>=-NL("Sum","5802 Value Entry","151 Cost Amount (Expected)","41 Source Type",$C$5,"5 Source No.",$C1523,"4 Item Ledger Entry Type",$C$4,"2 Item No.","@@"&amp;$F1523,"3 Posting Date",J$9)-NL("Sum","5802 Value Entry","43 Cost Amount (Actual)","41 Source Type",$C$5,"5 Source no.",$C1523,"4 Item Ledger Entry Type",$C$4,"2 Item No.","@@"&amp;$F1523,"3 Posting Date",J$9)</t>
  </si>
  <si>
    <t>=J1523-L1523</t>
  </si>
  <si>
    <t>=IF(J1523&lt;&gt;0,M1523/J1523,"")</t>
  </si>
  <si>
    <t>=NL("Sum","5802 Value Entry","150 Sales Amount (Expected)","41 Source Type",$C$5,"5 Source No.",$C1523,"4 Item Ledger Entry Type",$C$4,"2 Item No.","@@"&amp;$F1523,"3 Posting Date",O$9)+NL("Sum","5802 Value Entry","17 Sales Amount (Actual)","41 Source Type",$C$5,"5 Source no.",$C1523,"4 Item Ledger Entry Type",$C$4,"2 Item No.","@@"&amp;$F1523,"3 Posting Date",O$9)</t>
  </si>
  <si>
    <t>=-NL("Sum","5802 Value Entry","151 Cost Amount (Expected)","41 Source Type",$C$5,"5 Source No.",$C1523,"4 Item Ledger Entry Type",$C$4,"2 Item No.","@@"&amp;$F1523,"3 Posting Date",O$9)-NL("Sum","5802 Value Entry","43 Cost Amount (Actual)","41 Source Type",$C$5,"5 Source no.",$C1523,"4 Item Ledger Entry Type",$C$4,"2 Item No.","@@"&amp;$F1523,"3 Posting Date",O$9)</t>
  </si>
  <si>
    <t>=O1523-Q1523</t>
  </si>
  <si>
    <t>=IF(O1523&lt;&gt;0,R1523/O1523,"")</t>
  </si>
  <si>
    <t>=NL("Sum","5802 Value Entry","150 Sales Amount (Expected)","41 Source Type",$C$5,"5 Source No.",$C1523,"4 Item Ledger Entry Type",$C$4,"2 Item No.","@@"&amp;$F1523,"3 Posting Date",U$9)+NL("Sum","5802 Value Entry","17 Sales Amount (Actual)","41 Source Type",$C$5,"5 Source no.",$C1523,"4 Item Ledger Entry Type",$C$4,"2 Item No.","@@"&amp;$F1523,"3 Posting Date",U$9)</t>
  </si>
  <si>
    <t>=-NL("Sum","5802 Value Entry","151 Cost Amount (Expected)","41 Source Type",$C$5,"5 Source No.",$C1523,"4 Item Ledger Entry Type",$C$4,"2 Item No.","@@"&amp;$F1523,"3 Posting Date",U$9)-NL("Sum","5802 Value Entry","43 Cost Amount (Actual)","41 Source Type",$C$5,"5 Source no.",$C1523,"4 Item Ledger Entry Type",$C$4,"2 Item No.","@@"&amp;$F1523,"3 Posting Date",U$9)</t>
  </si>
  <si>
    <t>=U1523-W1523</t>
  </si>
  <si>
    <t>=IF(U1523&lt;&gt;0,X1523/U1523,"")</t>
  </si>
  <si>
    <t>=NL("Sum","5802 Value Entry","150 Sales Amount (Expected)","41 Source Type",$C$5,"5 Source No.",$C1523,"4 Item Ledger Entry Type",$C$4,"2 Item No.","@@"&amp;$F1523,"3 Posting Date",Z$9)+NL("Sum","5802 Value Entry","17 Sales Amount (Actual)","41 Source Type",$C$5,"5 Source no.",$C1523,"4 Item Ledger Entry Type",$C$4,"2 Item No.","@@"&amp;$F1523,"3 Posting Date",Z$9)</t>
  </si>
  <si>
    <t>=-NL("Sum","5802 Value Entry","151 Cost Amount (Expected)","41 Source Type",$C$5,"5 Source No.",$C1523,"4 Item Ledger Entry Type",$C$4,"2 Item No.","@@"&amp;$F1523,"3 Posting Date",Z$9)-NL("Sum","5802 Value Entry","43 Cost Amount (Actual)","41 Source Type",$C$5,"5 Source no.",$C1523,"4 Item Ledger Entry Type",$C$4,"2 Item No.","@@"&amp;$F1523,"3 Posting Date",Z$9)</t>
  </si>
  <si>
    <t>=Z1523-AB1523</t>
  </si>
  <si>
    <t>=IF(Z1523&lt;&gt;0,AC1523/Z1523,"")</t>
  </si>
  <si>
    <t>=C1523</t>
  </si>
  <si>
    <t>=NL("Sum","5802 Value Entry","150 Sales Amount (Expected)","41 Source Type",$C$5,"5 Source No.",$C1524,"4 Item Ledger Entry Type",$C$4,"2 Item No.","@@"&amp;$F1524,"3 Posting Date",J$9)+NL("Sum","5802 Value Entry","17 Sales Amount (Actual)","41 Source Type",$C$5,"5 Source no.",$C1524,"4 Item Ledger Entry Type",$C$4,"2 Item No.","@@"&amp;$F1524,"3 Posting Date",J$9)</t>
  </si>
  <si>
    <t>=-NL("Sum","5802 Value Entry","151 Cost Amount (Expected)","41 Source Type",$C$5,"5 Source No.",$C1524,"4 Item Ledger Entry Type",$C$4,"2 Item No.","@@"&amp;$F1524,"3 Posting Date",J$9)-NL("Sum","5802 Value Entry","43 Cost Amount (Actual)","41 Source Type",$C$5,"5 Source no.",$C1524,"4 Item Ledger Entry Type",$C$4,"2 Item No.","@@"&amp;$F1524,"3 Posting Date",J$9)</t>
  </si>
  <si>
    <t>=J1524-L1524</t>
  </si>
  <si>
    <t>=IF(J1524&lt;&gt;0,M1524/J1524,"")</t>
  </si>
  <si>
    <t>=NL("Sum","5802 Value Entry","150 Sales Amount (Expected)","41 Source Type",$C$5,"5 Source No.",$C1524,"4 Item Ledger Entry Type",$C$4,"2 Item No.","@@"&amp;$F1524,"3 Posting Date",O$9)+NL("Sum","5802 Value Entry","17 Sales Amount (Actual)","41 Source Type",$C$5,"5 Source no.",$C1524,"4 Item Ledger Entry Type",$C$4,"2 Item No.","@@"&amp;$F1524,"3 Posting Date",O$9)</t>
  </si>
  <si>
    <t>=-NL("Sum","5802 Value Entry","151 Cost Amount (Expected)","41 Source Type",$C$5,"5 Source No.",$C1524,"4 Item Ledger Entry Type",$C$4,"2 Item No.","@@"&amp;$F1524,"3 Posting Date",O$9)-NL("Sum","5802 Value Entry","43 Cost Amount (Actual)","41 Source Type",$C$5,"5 Source no.",$C1524,"4 Item Ledger Entry Type",$C$4,"2 Item No.","@@"&amp;$F1524,"3 Posting Date",O$9)</t>
  </si>
  <si>
    <t>=O1524-Q1524</t>
  </si>
  <si>
    <t>=IF(O1524&lt;&gt;0,R1524/O1524,"")</t>
  </si>
  <si>
    <t>=NL("Sum","5802 Value Entry","150 Sales Amount (Expected)","41 Source Type",$C$5,"5 Source No.",$C1524,"4 Item Ledger Entry Type",$C$4,"2 Item No.","@@"&amp;$F1524,"3 Posting Date",U$9)+NL("Sum","5802 Value Entry","17 Sales Amount (Actual)","41 Source Type",$C$5,"5 Source no.",$C1524,"4 Item Ledger Entry Type",$C$4,"2 Item No.","@@"&amp;$F1524,"3 Posting Date",U$9)</t>
  </si>
  <si>
    <t>=-NL("Sum","5802 Value Entry","151 Cost Amount (Expected)","41 Source Type",$C$5,"5 Source No.",$C1524,"4 Item Ledger Entry Type",$C$4,"2 Item No.","@@"&amp;$F1524,"3 Posting Date",U$9)-NL("Sum","5802 Value Entry","43 Cost Amount (Actual)","41 Source Type",$C$5,"5 Source no.",$C1524,"4 Item Ledger Entry Type",$C$4,"2 Item No.","@@"&amp;$F1524,"3 Posting Date",U$9)</t>
  </si>
  <si>
    <t>=U1524-W1524</t>
  </si>
  <si>
    <t>=IF(U1524&lt;&gt;0,X1524/U1524,"")</t>
  </si>
  <si>
    <t>=NL("Sum","5802 Value Entry","150 Sales Amount (Expected)","41 Source Type",$C$5,"5 Source No.",$C1524,"4 Item Ledger Entry Type",$C$4,"2 Item No.","@@"&amp;$F1524,"3 Posting Date",Z$9)+NL("Sum","5802 Value Entry","17 Sales Amount (Actual)","41 Source Type",$C$5,"5 Source no.",$C1524,"4 Item Ledger Entry Type",$C$4,"2 Item No.","@@"&amp;$F1524,"3 Posting Date",Z$9)</t>
  </si>
  <si>
    <t>=-NL("Sum","5802 Value Entry","151 Cost Amount (Expected)","41 Source Type",$C$5,"5 Source No.",$C1524,"4 Item Ledger Entry Type",$C$4,"2 Item No.","@@"&amp;$F1524,"3 Posting Date",Z$9)-NL("Sum","5802 Value Entry","43 Cost Amount (Actual)","41 Source Type",$C$5,"5 Source no.",$C1524,"4 Item Ledger Entry Type",$C$4,"2 Item No.","@@"&amp;$F1524,"3 Posting Date",Z$9)</t>
  </si>
  <si>
    <t>=Z1524-AB1524</t>
  </si>
  <si>
    <t>=IF(Z1524&lt;&gt;0,AC1524/Z1524,"")</t>
  </si>
  <si>
    <t>=C1524</t>
  </si>
  <si>
    <t>=NL("Sum","5802 Value Entry","150 Sales Amount (Expected)","41 Source Type",$C$5,"5 Source No.",$C1525,"4 Item Ledger Entry Type",$C$4,"2 Item No.","@@"&amp;$F1525,"3 Posting Date",J$9)+NL("Sum","5802 Value Entry","17 Sales Amount (Actual)","41 Source Type",$C$5,"5 Source no.",$C1525,"4 Item Ledger Entry Type",$C$4,"2 Item No.","@@"&amp;$F1525,"3 Posting Date",J$9)</t>
  </si>
  <si>
    <t>=-NL("Sum","5802 Value Entry","151 Cost Amount (Expected)","41 Source Type",$C$5,"5 Source No.",$C1525,"4 Item Ledger Entry Type",$C$4,"2 Item No.","@@"&amp;$F1525,"3 Posting Date",J$9)-NL("Sum","5802 Value Entry","43 Cost Amount (Actual)","41 Source Type",$C$5,"5 Source no.",$C1525,"4 Item Ledger Entry Type",$C$4,"2 Item No.","@@"&amp;$F1525,"3 Posting Date",J$9)</t>
  </si>
  <si>
    <t>=J1525-L1525</t>
  </si>
  <si>
    <t>=IF(J1525&lt;&gt;0,M1525/J1525,"")</t>
  </si>
  <si>
    <t>=NL("Sum","5802 Value Entry","150 Sales Amount (Expected)","41 Source Type",$C$5,"5 Source No.",$C1525,"4 Item Ledger Entry Type",$C$4,"2 Item No.","@@"&amp;$F1525,"3 Posting Date",O$9)+NL("Sum","5802 Value Entry","17 Sales Amount (Actual)","41 Source Type",$C$5,"5 Source no.",$C1525,"4 Item Ledger Entry Type",$C$4,"2 Item No.","@@"&amp;$F1525,"3 Posting Date",O$9)</t>
  </si>
  <si>
    <t>=-NL("Sum","5802 Value Entry","151 Cost Amount (Expected)","41 Source Type",$C$5,"5 Source No.",$C1525,"4 Item Ledger Entry Type",$C$4,"2 Item No.","@@"&amp;$F1525,"3 Posting Date",O$9)-NL("Sum","5802 Value Entry","43 Cost Amount (Actual)","41 Source Type",$C$5,"5 Source no.",$C1525,"4 Item Ledger Entry Type",$C$4,"2 Item No.","@@"&amp;$F1525,"3 Posting Date",O$9)</t>
  </si>
  <si>
    <t>=O1525-Q1525</t>
  </si>
  <si>
    <t>=IF(O1525&lt;&gt;0,R1525/O1525,"")</t>
  </si>
  <si>
    <t>=NL("Sum","5802 Value Entry","150 Sales Amount (Expected)","41 Source Type",$C$5,"5 Source No.",$C1525,"4 Item Ledger Entry Type",$C$4,"2 Item No.","@@"&amp;$F1525,"3 Posting Date",U$9)+NL("Sum","5802 Value Entry","17 Sales Amount (Actual)","41 Source Type",$C$5,"5 Source no.",$C1525,"4 Item Ledger Entry Type",$C$4,"2 Item No.","@@"&amp;$F1525,"3 Posting Date",U$9)</t>
  </si>
  <si>
    <t>=-NL("Sum","5802 Value Entry","151 Cost Amount (Expected)","41 Source Type",$C$5,"5 Source No.",$C1525,"4 Item Ledger Entry Type",$C$4,"2 Item No.","@@"&amp;$F1525,"3 Posting Date",U$9)-NL("Sum","5802 Value Entry","43 Cost Amount (Actual)","41 Source Type",$C$5,"5 Source no.",$C1525,"4 Item Ledger Entry Type",$C$4,"2 Item No.","@@"&amp;$F1525,"3 Posting Date",U$9)</t>
  </si>
  <si>
    <t>=U1525-W1525</t>
  </si>
  <si>
    <t>=IF(U1525&lt;&gt;0,X1525/U1525,"")</t>
  </si>
  <si>
    <t>=NL("Sum","5802 Value Entry","150 Sales Amount (Expected)","41 Source Type",$C$5,"5 Source No.",$C1525,"4 Item Ledger Entry Type",$C$4,"2 Item No.","@@"&amp;$F1525,"3 Posting Date",Z$9)+NL("Sum","5802 Value Entry","17 Sales Amount (Actual)","41 Source Type",$C$5,"5 Source no.",$C1525,"4 Item Ledger Entry Type",$C$4,"2 Item No.","@@"&amp;$F1525,"3 Posting Date",Z$9)</t>
  </si>
  <si>
    <t>=-NL("Sum","5802 Value Entry","151 Cost Amount (Expected)","41 Source Type",$C$5,"5 Source No.",$C1525,"4 Item Ledger Entry Type",$C$4,"2 Item No.","@@"&amp;$F1525,"3 Posting Date",Z$9)-NL("Sum","5802 Value Entry","43 Cost Amount (Actual)","41 Source Type",$C$5,"5 Source no.",$C1525,"4 Item Ledger Entry Type",$C$4,"2 Item No.","@@"&amp;$F1525,"3 Posting Date",Z$9)</t>
  </si>
  <si>
    <t>=Z1525-AB1525</t>
  </si>
  <si>
    <t>=IF(Z1525&lt;&gt;0,AC1525/Z1525,"")</t>
  </si>
  <si>
    <t>=C1525</t>
  </si>
  <si>
    <t>=NL("Sum","5802 Value Entry","150 Sales Amount (Expected)","41 Source Type",$C$5,"5 Source No.",$C1526,"4 Item Ledger Entry Type",$C$4,"2 Item No.","@@"&amp;$F1526,"3 Posting Date",J$9)+NL("Sum","5802 Value Entry","17 Sales Amount (Actual)","41 Source Type",$C$5,"5 Source no.",$C1526,"4 Item Ledger Entry Type",$C$4,"2 Item No.","@@"&amp;$F1526,"3 Posting Date",J$9)</t>
  </si>
  <si>
    <t>=-NL("Sum","5802 Value Entry","151 Cost Amount (Expected)","41 Source Type",$C$5,"5 Source No.",$C1526,"4 Item Ledger Entry Type",$C$4,"2 Item No.","@@"&amp;$F1526,"3 Posting Date",J$9)-NL("Sum","5802 Value Entry","43 Cost Amount (Actual)","41 Source Type",$C$5,"5 Source no.",$C1526,"4 Item Ledger Entry Type",$C$4,"2 Item No.","@@"&amp;$F1526,"3 Posting Date",J$9)</t>
  </si>
  <si>
    <t>=J1526-L1526</t>
  </si>
  <si>
    <t>=IF(J1526&lt;&gt;0,M1526/J1526,"")</t>
  </si>
  <si>
    <t>=NL("Sum","5802 Value Entry","150 Sales Amount (Expected)","41 Source Type",$C$5,"5 Source No.",$C1526,"4 Item Ledger Entry Type",$C$4,"2 Item No.","@@"&amp;$F1526,"3 Posting Date",O$9)+NL("Sum","5802 Value Entry","17 Sales Amount (Actual)","41 Source Type",$C$5,"5 Source no.",$C1526,"4 Item Ledger Entry Type",$C$4,"2 Item No.","@@"&amp;$F1526,"3 Posting Date",O$9)</t>
  </si>
  <si>
    <t>=-NL("Sum","5802 Value Entry","151 Cost Amount (Expected)","41 Source Type",$C$5,"5 Source No.",$C1526,"4 Item Ledger Entry Type",$C$4,"2 Item No.","@@"&amp;$F1526,"3 Posting Date",O$9)-NL("Sum","5802 Value Entry","43 Cost Amount (Actual)","41 Source Type",$C$5,"5 Source no.",$C1526,"4 Item Ledger Entry Type",$C$4,"2 Item No.","@@"&amp;$F1526,"3 Posting Date",O$9)</t>
  </si>
  <si>
    <t>=O1526-Q1526</t>
  </si>
  <si>
    <t>=IF(O1526&lt;&gt;0,R1526/O1526,"")</t>
  </si>
  <si>
    <t>=NL("Sum","5802 Value Entry","150 Sales Amount (Expected)","41 Source Type",$C$5,"5 Source No.",$C1526,"4 Item Ledger Entry Type",$C$4,"2 Item No.","@@"&amp;$F1526,"3 Posting Date",U$9)+NL("Sum","5802 Value Entry","17 Sales Amount (Actual)","41 Source Type",$C$5,"5 Source no.",$C1526,"4 Item Ledger Entry Type",$C$4,"2 Item No.","@@"&amp;$F1526,"3 Posting Date",U$9)</t>
  </si>
  <si>
    <t>=-NL("Sum","5802 Value Entry","151 Cost Amount (Expected)","41 Source Type",$C$5,"5 Source No.",$C1526,"4 Item Ledger Entry Type",$C$4,"2 Item No.","@@"&amp;$F1526,"3 Posting Date",U$9)-NL("Sum","5802 Value Entry","43 Cost Amount (Actual)","41 Source Type",$C$5,"5 Source no.",$C1526,"4 Item Ledger Entry Type",$C$4,"2 Item No.","@@"&amp;$F1526,"3 Posting Date",U$9)</t>
  </si>
  <si>
    <t>=U1526-W1526</t>
  </si>
  <si>
    <t>=IF(U1526&lt;&gt;0,X1526/U1526,"")</t>
  </si>
  <si>
    <t>=NL("Sum","5802 Value Entry","150 Sales Amount (Expected)","41 Source Type",$C$5,"5 Source No.",$C1526,"4 Item Ledger Entry Type",$C$4,"2 Item No.","@@"&amp;$F1526,"3 Posting Date",Z$9)+NL("Sum","5802 Value Entry","17 Sales Amount (Actual)","41 Source Type",$C$5,"5 Source no.",$C1526,"4 Item Ledger Entry Type",$C$4,"2 Item No.","@@"&amp;$F1526,"3 Posting Date",Z$9)</t>
  </si>
  <si>
    <t>=-NL("Sum","5802 Value Entry","151 Cost Amount (Expected)","41 Source Type",$C$5,"5 Source No.",$C1526,"4 Item Ledger Entry Type",$C$4,"2 Item No.","@@"&amp;$F1526,"3 Posting Date",Z$9)-NL("Sum","5802 Value Entry","43 Cost Amount (Actual)","41 Source Type",$C$5,"5 Source no.",$C1526,"4 Item Ledger Entry Type",$C$4,"2 Item No.","@@"&amp;$F1526,"3 Posting Date",Z$9)</t>
  </si>
  <si>
    <t>=Z1526-AB1526</t>
  </si>
  <si>
    <t>=IF(Z1526&lt;&gt;0,AC1526/Z1526,"")</t>
  </si>
  <si>
    <t>=C1526</t>
  </si>
  <si>
    <t>=NL("Sum","5802 Value Entry","150 Sales Amount (Expected)","41 Source Type",$C$5,"5 Source No.",$C1527,"4 Item Ledger Entry Type",$C$4,"2 Item No.","@@"&amp;$F1527,"3 Posting Date",J$9)+NL("Sum","5802 Value Entry","17 Sales Amount (Actual)","41 Source Type",$C$5,"5 Source no.",$C1527,"4 Item Ledger Entry Type",$C$4,"2 Item No.","@@"&amp;$F1527,"3 Posting Date",J$9)</t>
  </si>
  <si>
    <t>=-NL("Sum","5802 Value Entry","151 Cost Amount (Expected)","41 Source Type",$C$5,"5 Source No.",$C1527,"4 Item Ledger Entry Type",$C$4,"2 Item No.","@@"&amp;$F1527,"3 Posting Date",J$9)-NL("Sum","5802 Value Entry","43 Cost Amount (Actual)","41 Source Type",$C$5,"5 Source no.",$C1527,"4 Item Ledger Entry Type",$C$4,"2 Item No.","@@"&amp;$F1527,"3 Posting Date",J$9)</t>
  </si>
  <si>
    <t>=J1527-L1527</t>
  </si>
  <si>
    <t>=IF(J1527&lt;&gt;0,M1527/J1527,"")</t>
  </si>
  <si>
    <t>=NL("Sum","5802 Value Entry","150 Sales Amount (Expected)","41 Source Type",$C$5,"5 Source No.",$C1527,"4 Item Ledger Entry Type",$C$4,"2 Item No.","@@"&amp;$F1527,"3 Posting Date",O$9)+NL("Sum","5802 Value Entry","17 Sales Amount (Actual)","41 Source Type",$C$5,"5 Source no.",$C1527,"4 Item Ledger Entry Type",$C$4,"2 Item No.","@@"&amp;$F1527,"3 Posting Date",O$9)</t>
  </si>
  <si>
    <t>=-NL("Sum","5802 Value Entry","151 Cost Amount (Expected)","41 Source Type",$C$5,"5 Source No.",$C1527,"4 Item Ledger Entry Type",$C$4,"2 Item No.","@@"&amp;$F1527,"3 Posting Date",O$9)-NL("Sum","5802 Value Entry","43 Cost Amount (Actual)","41 Source Type",$C$5,"5 Source no.",$C1527,"4 Item Ledger Entry Type",$C$4,"2 Item No.","@@"&amp;$F1527,"3 Posting Date",O$9)</t>
  </si>
  <si>
    <t>=O1527-Q1527</t>
  </si>
  <si>
    <t>=IF(O1527&lt;&gt;0,R1527/O1527,"")</t>
  </si>
  <si>
    <t>=NL("Sum","5802 Value Entry","150 Sales Amount (Expected)","41 Source Type",$C$5,"5 Source No.",$C1527,"4 Item Ledger Entry Type",$C$4,"2 Item No.","@@"&amp;$F1527,"3 Posting Date",U$9)+NL("Sum","5802 Value Entry","17 Sales Amount (Actual)","41 Source Type",$C$5,"5 Source no.",$C1527,"4 Item Ledger Entry Type",$C$4,"2 Item No.","@@"&amp;$F1527,"3 Posting Date",U$9)</t>
  </si>
  <si>
    <t>=-NL("Sum","5802 Value Entry","151 Cost Amount (Expected)","41 Source Type",$C$5,"5 Source No.",$C1527,"4 Item Ledger Entry Type",$C$4,"2 Item No.","@@"&amp;$F1527,"3 Posting Date",U$9)-NL("Sum","5802 Value Entry","43 Cost Amount (Actual)","41 Source Type",$C$5,"5 Source no.",$C1527,"4 Item Ledger Entry Type",$C$4,"2 Item No.","@@"&amp;$F1527,"3 Posting Date",U$9)</t>
  </si>
  <si>
    <t>=U1527-W1527</t>
  </si>
  <si>
    <t>=IF(U1527&lt;&gt;0,X1527/U1527,"")</t>
  </si>
  <si>
    <t>=NL("Sum","5802 Value Entry","150 Sales Amount (Expected)","41 Source Type",$C$5,"5 Source No.",$C1527,"4 Item Ledger Entry Type",$C$4,"2 Item No.","@@"&amp;$F1527,"3 Posting Date",Z$9)+NL("Sum","5802 Value Entry","17 Sales Amount (Actual)","41 Source Type",$C$5,"5 Source no.",$C1527,"4 Item Ledger Entry Type",$C$4,"2 Item No.","@@"&amp;$F1527,"3 Posting Date",Z$9)</t>
  </si>
  <si>
    <t>=-NL("Sum","5802 Value Entry","151 Cost Amount (Expected)","41 Source Type",$C$5,"5 Source No.",$C1527,"4 Item Ledger Entry Type",$C$4,"2 Item No.","@@"&amp;$F1527,"3 Posting Date",Z$9)-NL("Sum","5802 Value Entry","43 Cost Amount (Actual)","41 Source Type",$C$5,"5 Source no.",$C1527,"4 Item Ledger Entry Type",$C$4,"2 Item No.","@@"&amp;$F1527,"3 Posting Date",Z$9)</t>
  </si>
  <si>
    <t>=Z1527-AB1527</t>
  </si>
  <si>
    <t>=IF(Z1527&lt;&gt;0,AC1527/Z1527,"")</t>
  </si>
  <si>
    <t>=C1527</t>
  </si>
  <si>
    <t>=NL("Sum","5802 Value Entry","150 Sales Amount (Expected)","41 Source Type",$C$5,"5 Source No.",$C1528,"4 Item Ledger Entry Type",$C$4,"2 Item No.","@@"&amp;$F1528,"3 Posting Date",J$9)+NL("Sum","5802 Value Entry","17 Sales Amount (Actual)","41 Source Type",$C$5,"5 Source no.",$C1528,"4 Item Ledger Entry Type",$C$4,"2 Item No.","@@"&amp;$F1528,"3 Posting Date",J$9)</t>
  </si>
  <si>
    <t>=-NL("Sum","5802 Value Entry","151 Cost Amount (Expected)","41 Source Type",$C$5,"5 Source No.",$C1528,"4 Item Ledger Entry Type",$C$4,"2 Item No.","@@"&amp;$F1528,"3 Posting Date",J$9)-NL("Sum","5802 Value Entry","43 Cost Amount (Actual)","41 Source Type",$C$5,"5 Source no.",$C1528,"4 Item Ledger Entry Type",$C$4,"2 Item No.","@@"&amp;$F1528,"3 Posting Date",J$9)</t>
  </si>
  <si>
    <t>=J1528-L1528</t>
  </si>
  <si>
    <t>=IF(J1528&lt;&gt;0,M1528/J1528,"")</t>
  </si>
  <si>
    <t>=NL("Sum","5802 Value Entry","150 Sales Amount (Expected)","41 Source Type",$C$5,"5 Source No.",$C1528,"4 Item Ledger Entry Type",$C$4,"2 Item No.","@@"&amp;$F1528,"3 Posting Date",O$9)+NL("Sum","5802 Value Entry","17 Sales Amount (Actual)","41 Source Type",$C$5,"5 Source no.",$C1528,"4 Item Ledger Entry Type",$C$4,"2 Item No.","@@"&amp;$F1528,"3 Posting Date",O$9)</t>
  </si>
  <si>
    <t>=-NL("Sum","5802 Value Entry","151 Cost Amount (Expected)","41 Source Type",$C$5,"5 Source No.",$C1528,"4 Item Ledger Entry Type",$C$4,"2 Item No.","@@"&amp;$F1528,"3 Posting Date",O$9)-NL("Sum","5802 Value Entry","43 Cost Amount (Actual)","41 Source Type",$C$5,"5 Source no.",$C1528,"4 Item Ledger Entry Type",$C$4,"2 Item No.","@@"&amp;$F1528,"3 Posting Date",O$9)</t>
  </si>
  <si>
    <t>=O1528-Q1528</t>
  </si>
  <si>
    <t>=IF(O1528&lt;&gt;0,R1528/O1528,"")</t>
  </si>
  <si>
    <t>=NL("Sum","5802 Value Entry","150 Sales Amount (Expected)","41 Source Type",$C$5,"5 Source No.",$C1528,"4 Item Ledger Entry Type",$C$4,"2 Item No.","@@"&amp;$F1528,"3 Posting Date",U$9)+NL("Sum","5802 Value Entry","17 Sales Amount (Actual)","41 Source Type",$C$5,"5 Source no.",$C1528,"4 Item Ledger Entry Type",$C$4,"2 Item No.","@@"&amp;$F1528,"3 Posting Date",U$9)</t>
  </si>
  <si>
    <t>=-NL("Sum","5802 Value Entry","151 Cost Amount (Expected)","41 Source Type",$C$5,"5 Source No.",$C1528,"4 Item Ledger Entry Type",$C$4,"2 Item No.","@@"&amp;$F1528,"3 Posting Date",U$9)-NL("Sum","5802 Value Entry","43 Cost Amount (Actual)","41 Source Type",$C$5,"5 Source no.",$C1528,"4 Item Ledger Entry Type",$C$4,"2 Item No.","@@"&amp;$F1528,"3 Posting Date",U$9)</t>
  </si>
  <si>
    <t>=U1528-W1528</t>
  </si>
  <si>
    <t>=IF(U1528&lt;&gt;0,X1528/U1528,"")</t>
  </si>
  <si>
    <t>=NL("Sum","5802 Value Entry","150 Sales Amount (Expected)","41 Source Type",$C$5,"5 Source No.",$C1528,"4 Item Ledger Entry Type",$C$4,"2 Item No.","@@"&amp;$F1528,"3 Posting Date",Z$9)+NL("Sum","5802 Value Entry","17 Sales Amount (Actual)","41 Source Type",$C$5,"5 Source no.",$C1528,"4 Item Ledger Entry Type",$C$4,"2 Item No.","@@"&amp;$F1528,"3 Posting Date",Z$9)</t>
  </si>
  <si>
    <t>=-NL("Sum","5802 Value Entry","151 Cost Amount (Expected)","41 Source Type",$C$5,"5 Source No.",$C1528,"4 Item Ledger Entry Type",$C$4,"2 Item No.","@@"&amp;$F1528,"3 Posting Date",Z$9)-NL("Sum","5802 Value Entry","43 Cost Amount (Actual)","41 Source Type",$C$5,"5 Source no.",$C1528,"4 Item Ledger Entry Type",$C$4,"2 Item No.","@@"&amp;$F1528,"3 Posting Date",Z$9)</t>
  </si>
  <si>
    <t>=Z1528-AB1528</t>
  </si>
  <si>
    <t>=IF(Z1528&lt;&gt;0,AC1528/Z1528,"")</t>
  </si>
  <si>
    <t>=C1528</t>
  </si>
  <si>
    <t>=NL("Sum","5802 Value Entry","150 Sales Amount (Expected)","41 Source Type",$C$5,"5 Source No.",$C1529,"4 Item Ledger Entry Type",$C$4,"2 Item No.","@@"&amp;$F1529,"3 Posting Date",J$9)+NL("Sum","5802 Value Entry","17 Sales Amount (Actual)","41 Source Type",$C$5,"5 Source no.",$C1529,"4 Item Ledger Entry Type",$C$4,"2 Item No.","@@"&amp;$F1529,"3 Posting Date",J$9)</t>
  </si>
  <si>
    <t>=-NL("Sum","5802 Value Entry","151 Cost Amount (Expected)","41 Source Type",$C$5,"5 Source No.",$C1529,"4 Item Ledger Entry Type",$C$4,"2 Item No.","@@"&amp;$F1529,"3 Posting Date",J$9)-NL("Sum","5802 Value Entry","43 Cost Amount (Actual)","41 Source Type",$C$5,"5 Source no.",$C1529,"4 Item Ledger Entry Type",$C$4,"2 Item No.","@@"&amp;$F1529,"3 Posting Date",J$9)</t>
  </si>
  <si>
    <t>=J1529-L1529</t>
  </si>
  <si>
    <t>=IF(J1529&lt;&gt;0,M1529/J1529,"")</t>
  </si>
  <si>
    <t>=NL("Sum","5802 Value Entry","150 Sales Amount (Expected)","41 Source Type",$C$5,"5 Source No.",$C1529,"4 Item Ledger Entry Type",$C$4,"2 Item No.","@@"&amp;$F1529,"3 Posting Date",O$9)+NL("Sum","5802 Value Entry","17 Sales Amount (Actual)","41 Source Type",$C$5,"5 Source no.",$C1529,"4 Item Ledger Entry Type",$C$4,"2 Item No.","@@"&amp;$F1529,"3 Posting Date",O$9)</t>
  </si>
  <si>
    <t>=-NL("Sum","5802 Value Entry","151 Cost Amount (Expected)","41 Source Type",$C$5,"5 Source No.",$C1529,"4 Item Ledger Entry Type",$C$4,"2 Item No.","@@"&amp;$F1529,"3 Posting Date",O$9)-NL("Sum","5802 Value Entry","43 Cost Amount (Actual)","41 Source Type",$C$5,"5 Source no.",$C1529,"4 Item Ledger Entry Type",$C$4,"2 Item No.","@@"&amp;$F1529,"3 Posting Date",O$9)</t>
  </si>
  <si>
    <t>=O1529-Q1529</t>
  </si>
  <si>
    <t>=IF(O1529&lt;&gt;0,R1529/O1529,"")</t>
  </si>
  <si>
    <t>=NL("Sum","5802 Value Entry","150 Sales Amount (Expected)","41 Source Type",$C$5,"5 Source No.",$C1529,"4 Item Ledger Entry Type",$C$4,"2 Item No.","@@"&amp;$F1529,"3 Posting Date",U$9)+NL("Sum","5802 Value Entry","17 Sales Amount (Actual)","41 Source Type",$C$5,"5 Source no.",$C1529,"4 Item Ledger Entry Type",$C$4,"2 Item No.","@@"&amp;$F1529,"3 Posting Date",U$9)</t>
  </si>
  <si>
    <t>=-NL("Sum","5802 Value Entry","151 Cost Amount (Expected)","41 Source Type",$C$5,"5 Source No.",$C1529,"4 Item Ledger Entry Type",$C$4,"2 Item No.","@@"&amp;$F1529,"3 Posting Date",U$9)-NL("Sum","5802 Value Entry","43 Cost Amount (Actual)","41 Source Type",$C$5,"5 Source no.",$C1529,"4 Item Ledger Entry Type",$C$4,"2 Item No.","@@"&amp;$F1529,"3 Posting Date",U$9)</t>
  </si>
  <si>
    <t>=U1529-W1529</t>
  </si>
  <si>
    <t>=IF(U1529&lt;&gt;0,X1529/U1529,"")</t>
  </si>
  <si>
    <t>=NL("Sum","5802 Value Entry","150 Sales Amount (Expected)","41 Source Type",$C$5,"5 Source No.",$C1529,"4 Item Ledger Entry Type",$C$4,"2 Item No.","@@"&amp;$F1529,"3 Posting Date",Z$9)+NL("Sum","5802 Value Entry","17 Sales Amount (Actual)","41 Source Type",$C$5,"5 Source no.",$C1529,"4 Item Ledger Entry Type",$C$4,"2 Item No.","@@"&amp;$F1529,"3 Posting Date",Z$9)</t>
  </si>
  <si>
    <t>=-NL("Sum","5802 Value Entry","151 Cost Amount (Expected)","41 Source Type",$C$5,"5 Source No.",$C1529,"4 Item Ledger Entry Type",$C$4,"2 Item No.","@@"&amp;$F1529,"3 Posting Date",Z$9)-NL("Sum","5802 Value Entry","43 Cost Amount (Actual)","41 Source Type",$C$5,"5 Source no.",$C1529,"4 Item Ledger Entry Type",$C$4,"2 Item No.","@@"&amp;$F1529,"3 Posting Date",Z$9)</t>
  </si>
  <si>
    <t>=Z1529-AB1529</t>
  </si>
  <si>
    <t>=IF(Z1529&lt;&gt;0,AC1529/Z1529,"")</t>
  </si>
  <si>
    <t>=C1529</t>
  </si>
  <si>
    <t>=NL("Sum","5802 Value Entry","150 Sales Amount (Expected)","41 Source Type",$C$5,"5 Source No.",$C1530,"4 Item Ledger Entry Type",$C$4,"2 Item No.","@@"&amp;$F1530,"3 Posting Date",J$9)+NL("Sum","5802 Value Entry","17 Sales Amount (Actual)","41 Source Type",$C$5,"5 Source no.",$C1530,"4 Item Ledger Entry Type",$C$4,"2 Item No.","@@"&amp;$F1530,"3 Posting Date",J$9)</t>
  </si>
  <si>
    <t>=-NL("Sum","5802 Value Entry","151 Cost Amount (Expected)","41 Source Type",$C$5,"5 Source No.",$C1530,"4 Item Ledger Entry Type",$C$4,"2 Item No.","@@"&amp;$F1530,"3 Posting Date",J$9)-NL("Sum","5802 Value Entry","43 Cost Amount (Actual)","41 Source Type",$C$5,"5 Source no.",$C1530,"4 Item Ledger Entry Type",$C$4,"2 Item No.","@@"&amp;$F1530,"3 Posting Date",J$9)</t>
  </si>
  <si>
    <t>=J1530-L1530</t>
  </si>
  <si>
    <t>=IF(J1530&lt;&gt;0,M1530/J1530,"")</t>
  </si>
  <si>
    <t>=NL("Sum","5802 Value Entry","150 Sales Amount (Expected)","41 Source Type",$C$5,"5 Source No.",$C1530,"4 Item Ledger Entry Type",$C$4,"2 Item No.","@@"&amp;$F1530,"3 Posting Date",O$9)+NL("Sum","5802 Value Entry","17 Sales Amount (Actual)","41 Source Type",$C$5,"5 Source no.",$C1530,"4 Item Ledger Entry Type",$C$4,"2 Item No.","@@"&amp;$F1530,"3 Posting Date",O$9)</t>
  </si>
  <si>
    <t>=-NL("Sum","5802 Value Entry","151 Cost Amount (Expected)","41 Source Type",$C$5,"5 Source No.",$C1530,"4 Item Ledger Entry Type",$C$4,"2 Item No.","@@"&amp;$F1530,"3 Posting Date",O$9)-NL("Sum","5802 Value Entry","43 Cost Amount (Actual)","41 Source Type",$C$5,"5 Source no.",$C1530,"4 Item Ledger Entry Type",$C$4,"2 Item No.","@@"&amp;$F1530,"3 Posting Date",O$9)</t>
  </si>
  <si>
    <t>=O1530-Q1530</t>
  </si>
  <si>
    <t>=IF(O1530&lt;&gt;0,R1530/O1530,"")</t>
  </si>
  <si>
    <t>=NL("Sum","5802 Value Entry","150 Sales Amount (Expected)","41 Source Type",$C$5,"5 Source No.",$C1530,"4 Item Ledger Entry Type",$C$4,"2 Item No.","@@"&amp;$F1530,"3 Posting Date",U$9)+NL("Sum","5802 Value Entry","17 Sales Amount (Actual)","41 Source Type",$C$5,"5 Source no.",$C1530,"4 Item Ledger Entry Type",$C$4,"2 Item No.","@@"&amp;$F1530,"3 Posting Date",U$9)</t>
  </si>
  <si>
    <t>=-NL("Sum","5802 Value Entry","151 Cost Amount (Expected)","41 Source Type",$C$5,"5 Source No.",$C1530,"4 Item Ledger Entry Type",$C$4,"2 Item No.","@@"&amp;$F1530,"3 Posting Date",U$9)-NL("Sum","5802 Value Entry","43 Cost Amount (Actual)","41 Source Type",$C$5,"5 Source no.",$C1530,"4 Item Ledger Entry Type",$C$4,"2 Item No.","@@"&amp;$F1530,"3 Posting Date",U$9)</t>
  </si>
  <si>
    <t>=U1530-W1530</t>
  </si>
  <si>
    <t>=IF(U1530&lt;&gt;0,X1530/U1530,"")</t>
  </si>
  <si>
    <t>=NL("Sum","5802 Value Entry","150 Sales Amount (Expected)","41 Source Type",$C$5,"5 Source No.",$C1530,"4 Item Ledger Entry Type",$C$4,"2 Item No.","@@"&amp;$F1530,"3 Posting Date",Z$9)+NL("Sum","5802 Value Entry","17 Sales Amount (Actual)","41 Source Type",$C$5,"5 Source no.",$C1530,"4 Item Ledger Entry Type",$C$4,"2 Item No.","@@"&amp;$F1530,"3 Posting Date",Z$9)</t>
  </si>
  <si>
    <t>=-NL("Sum","5802 Value Entry","151 Cost Amount (Expected)","41 Source Type",$C$5,"5 Source No.",$C1530,"4 Item Ledger Entry Type",$C$4,"2 Item No.","@@"&amp;$F1530,"3 Posting Date",Z$9)-NL("Sum","5802 Value Entry","43 Cost Amount (Actual)","41 Source Type",$C$5,"5 Source no.",$C1530,"4 Item Ledger Entry Type",$C$4,"2 Item No.","@@"&amp;$F1530,"3 Posting Date",Z$9)</t>
  </si>
  <si>
    <t>=Z1530-AB1530</t>
  </si>
  <si>
    <t>=IF(Z1530&lt;&gt;0,AC1530/Z1530,"")</t>
  </si>
  <si>
    <t>=C1530</t>
  </si>
  <si>
    <t>=NL("Sum","5802 Value Entry","150 Sales Amount (Expected)","41 Source Type",$C$5,"5 Source No.",$C1531,"4 Item Ledger Entry Type",$C$4,"2 Item No.","@@"&amp;$F1531,"3 Posting Date",J$9)+NL("Sum","5802 Value Entry","17 Sales Amount (Actual)","41 Source Type",$C$5,"5 Source no.",$C1531,"4 Item Ledger Entry Type",$C$4,"2 Item No.","@@"&amp;$F1531,"3 Posting Date",J$9)</t>
  </si>
  <si>
    <t>=-NL("Sum","5802 Value Entry","151 Cost Amount (Expected)","41 Source Type",$C$5,"5 Source No.",$C1531,"4 Item Ledger Entry Type",$C$4,"2 Item No.","@@"&amp;$F1531,"3 Posting Date",J$9)-NL("Sum","5802 Value Entry","43 Cost Amount (Actual)","41 Source Type",$C$5,"5 Source no.",$C1531,"4 Item Ledger Entry Type",$C$4,"2 Item No.","@@"&amp;$F1531,"3 Posting Date",J$9)</t>
  </si>
  <si>
    <t>=J1531-L1531</t>
  </si>
  <si>
    <t>=IF(J1531&lt;&gt;0,M1531/J1531,"")</t>
  </si>
  <si>
    <t>=NL("Sum","5802 Value Entry","150 Sales Amount (Expected)","41 Source Type",$C$5,"5 Source No.",$C1531,"4 Item Ledger Entry Type",$C$4,"2 Item No.","@@"&amp;$F1531,"3 Posting Date",O$9)+NL("Sum","5802 Value Entry","17 Sales Amount (Actual)","41 Source Type",$C$5,"5 Source no.",$C1531,"4 Item Ledger Entry Type",$C$4,"2 Item No.","@@"&amp;$F1531,"3 Posting Date",O$9)</t>
  </si>
  <si>
    <t>=-NL("Sum","5802 Value Entry","151 Cost Amount (Expected)","41 Source Type",$C$5,"5 Source No.",$C1531,"4 Item Ledger Entry Type",$C$4,"2 Item No.","@@"&amp;$F1531,"3 Posting Date",O$9)-NL("Sum","5802 Value Entry","43 Cost Amount (Actual)","41 Source Type",$C$5,"5 Source no.",$C1531,"4 Item Ledger Entry Type",$C$4,"2 Item No.","@@"&amp;$F1531,"3 Posting Date",O$9)</t>
  </si>
  <si>
    <t>=O1531-Q1531</t>
  </si>
  <si>
    <t>=IF(O1531&lt;&gt;0,R1531/O1531,"")</t>
  </si>
  <si>
    <t>=NL("Sum","5802 Value Entry","150 Sales Amount (Expected)","41 Source Type",$C$5,"5 Source No.",$C1531,"4 Item Ledger Entry Type",$C$4,"2 Item No.","@@"&amp;$F1531,"3 Posting Date",U$9)+NL("Sum","5802 Value Entry","17 Sales Amount (Actual)","41 Source Type",$C$5,"5 Source no.",$C1531,"4 Item Ledger Entry Type",$C$4,"2 Item No.","@@"&amp;$F1531,"3 Posting Date",U$9)</t>
  </si>
  <si>
    <t>=-NL("Sum","5802 Value Entry","151 Cost Amount (Expected)","41 Source Type",$C$5,"5 Source No.",$C1531,"4 Item Ledger Entry Type",$C$4,"2 Item No.","@@"&amp;$F1531,"3 Posting Date",U$9)-NL("Sum","5802 Value Entry","43 Cost Amount (Actual)","41 Source Type",$C$5,"5 Source no.",$C1531,"4 Item Ledger Entry Type",$C$4,"2 Item No.","@@"&amp;$F1531,"3 Posting Date",U$9)</t>
  </si>
  <si>
    <t>=U1531-W1531</t>
  </si>
  <si>
    <t>=IF(U1531&lt;&gt;0,X1531/U1531,"")</t>
  </si>
  <si>
    <t>=NL("Sum","5802 Value Entry","150 Sales Amount (Expected)","41 Source Type",$C$5,"5 Source No.",$C1531,"4 Item Ledger Entry Type",$C$4,"2 Item No.","@@"&amp;$F1531,"3 Posting Date",Z$9)+NL("Sum","5802 Value Entry","17 Sales Amount (Actual)","41 Source Type",$C$5,"5 Source no.",$C1531,"4 Item Ledger Entry Type",$C$4,"2 Item No.","@@"&amp;$F1531,"3 Posting Date",Z$9)</t>
  </si>
  <si>
    <t>=-NL("Sum","5802 Value Entry","151 Cost Amount (Expected)","41 Source Type",$C$5,"5 Source No.",$C1531,"4 Item Ledger Entry Type",$C$4,"2 Item No.","@@"&amp;$F1531,"3 Posting Date",Z$9)-NL("Sum","5802 Value Entry","43 Cost Amount (Actual)","41 Source Type",$C$5,"5 Source no.",$C1531,"4 Item Ledger Entry Type",$C$4,"2 Item No.","@@"&amp;$F1531,"3 Posting Date",Z$9)</t>
  </si>
  <si>
    <t>=Z1531-AB1531</t>
  </si>
  <si>
    <t>=IF(Z1531&lt;&gt;0,AC1531/Z1531,"")</t>
  </si>
  <si>
    <t>=C1532</t>
  </si>
  <si>
    <t>=J1533-L1533</t>
  </si>
  <si>
    <t>=IF(J1533&lt;&gt;0,M1533/J1533,"")</t>
  </si>
  <si>
    <t>=O1533-Q1533</t>
  </si>
  <si>
    <t>=IF(O1533&lt;&gt;0,R1533/O1533,"")</t>
  </si>
  <si>
    <t>=U1533-W1533</t>
  </si>
  <si>
    <t>=IF(U1533&lt;&gt;0,X1533/U1533,"")</t>
  </si>
  <si>
    <t>=Z1533-AB1533</t>
  </si>
  <si>
    <t>=IF(Z1533&lt;&gt;0,AC1533/Z1533,"")</t>
  </si>
  <si>
    <t>="C100084"</t>
  </si>
  <si>
    <t>=C1535</t>
  </si>
  <si>
    <t>=C1536</t>
  </si>
  <si>
    <t>=NL("Sum","5802 Value Entry","150 Sales Amount (Expected)","41 Source Type",$C$5,"5 Source No.",$C1537,"4 Item Ledger Entry Type",$C$4,"2 Item No.","@@"&amp;$F1537,"3 Posting Date",J$9)+NL("Sum","5802 Value Entry","17 Sales Amount (Actual)","41 Source Type",$C$5,"5 Source no.",$C1537,"4 Item Ledger Entry Type",$C$4,"2 Item No.","@@"&amp;$F1537,"3 Posting Date",J$9)</t>
  </si>
  <si>
    <t>=-NL("Sum","5802 Value Entry","151 Cost Amount (Expected)","41 Source Type",$C$5,"5 Source No.",$C1537,"4 Item Ledger Entry Type",$C$4,"2 Item No.","@@"&amp;$F1537,"3 Posting Date",J$9)-NL("Sum","5802 Value Entry","43 Cost Amount (Actual)","41 Source Type",$C$5,"5 Source no.",$C1537,"4 Item Ledger Entry Type",$C$4,"2 Item No.","@@"&amp;$F1537,"3 Posting Date",J$9)</t>
  </si>
  <si>
    <t>=J1537-L1537</t>
  </si>
  <si>
    <t>=IF(J1537&lt;&gt;0,M1537/J1537,"")</t>
  </si>
  <si>
    <t>=NL("Sum","5802 Value Entry","150 Sales Amount (Expected)","41 Source Type",$C$5,"5 Source No.",$C1537,"4 Item Ledger Entry Type",$C$4,"2 Item No.","@@"&amp;$F1537,"3 Posting Date",O$9)+NL("Sum","5802 Value Entry","17 Sales Amount (Actual)","41 Source Type",$C$5,"5 Source no.",$C1537,"4 Item Ledger Entry Type",$C$4,"2 Item No.","@@"&amp;$F1537,"3 Posting Date",O$9)</t>
  </si>
  <si>
    <t>=-NL("Sum","5802 Value Entry","151 Cost Amount (Expected)","41 Source Type",$C$5,"5 Source No.",$C1537,"4 Item Ledger Entry Type",$C$4,"2 Item No.","@@"&amp;$F1537,"3 Posting Date",O$9)-NL("Sum","5802 Value Entry","43 Cost Amount (Actual)","41 Source Type",$C$5,"5 Source no.",$C1537,"4 Item Ledger Entry Type",$C$4,"2 Item No.","@@"&amp;$F1537,"3 Posting Date",O$9)</t>
  </si>
  <si>
    <t>=O1537-Q1537</t>
  </si>
  <si>
    <t>=IF(O1537&lt;&gt;0,R1537/O1537,"")</t>
  </si>
  <si>
    <t>=NL("Sum","5802 Value Entry","150 Sales Amount (Expected)","41 Source Type",$C$5,"5 Source No.",$C1537,"4 Item Ledger Entry Type",$C$4,"2 Item No.","@@"&amp;$F1537,"3 Posting Date",U$9)+NL("Sum","5802 Value Entry","17 Sales Amount (Actual)","41 Source Type",$C$5,"5 Source no.",$C1537,"4 Item Ledger Entry Type",$C$4,"2 Item No.","@@"&amp;$F1537,"3 Posting Date",U$9)</t>
  </si>
  <si>
    <t>=-NL("Sum","5802 Value Entry","151 Cost Amount (Expected)","41 Source Type",$C$5,"5 Source No.",$C1537,"4 Item Ledger Entry Type",$C$4,"2 Item No.","@@"&amp;$F1537,"3 Posting Date",U$9)-NL("Sum","5802 Value Entry","43 Cost Amount (Actual)","41 Source Type",$C$5,"5 Source no.",$C1537,"4 Item Ledger Entry Type",$C$4,"2 Item No.","@@"&amp;$F1537,"3 Posting Date",U$9)</t>
  </si>
  <si>
    <t>=U1537-W1537</t>
  </si>
  <si>
    <t>=IF(U1537&lt;&gt;0,X1537/U1537,"")</t>
  </si>
  <si>
    <t>=NL("Sum","5802 Value Entry","150 Sales Amount (Expected)","41 Source Type",$C$5,"5 Source No.",$C1537,"4 Item Ledger Entry Type",$C$4,"2 Item No.","@@"&amp;$F1537,"3 Posting Date",Z$9)+NL("Sum","5802 Value Entry","17 Sales Amount (Actual)","41 Source Type",$C$5,"5 Source no.",$C1537,"4 Item Ledger Entry Type",$C$4,"2 Item No.","@@"&amp;$F1537,"3 Posting Date",Z$9)</t>
  </si>
  <si>
    <t>=-NL("Sum","5802 Value Entry","151 Cost Amount (Expected)","41 Source Type",$C$5,"5 Source No.",$C1537,"4 Item Ledger Entry Type",$C$4,"2 Item No.","@@"&amp;$F1537,"3 Posting Date",Z$9)-NL("Sum","5802 Value Entry","43 Cost Amount (Actual)","41 Source Type",$C$5,"5 Source no.",$C1537,"4 Item Ledger Entry Type",$C$4,"2 Item No.","@@"&amp;$F1537,"3 Posting Date",Z$9)</t>
  </si>
  <si>
    <t>=Z1537-AB1537</t>
  </si>
  <si>
    <t>=IF(Z1537&lt;&gt;0,AC1537/Z1537,"")</t>
  </si>
  <si>
    <t>=C1537</t>
  </si>
  <si>
    <t>=NL("Sum","5802 Value Entry","150 Sales Amount (Expected)","41 Source Type",$C$5,"5 Source No.",$C1538,"4 Item Ledger Entry Type",$C$4,"2 Item No.","@@"&amp;$F1538,"3 Posting Date",J$9)+NL("Sum","5802 Value Entry","17 Sales Amount (Actual)","41 Source Type",$C$5,"5 Source no.",$C1538,"4 Item Ledger Entry Type",$C$4,"2 Item No.","@@"&amp;$F1538,"3 Posting Date",J$9)</t>
  </si>
  <si>
    <t>=-NL("Sum","5802 Value Entry","151 Cost Amount (Expected)","41 Source Type",$C$5,"5 Source No.",$C1538,"4 Item Ledger Entry Type",$C$4,"2 Item No.","@@"&amp;$F1538,"3 Posting Date",J$9)-NL("Sum","5802 Value Entry","43 Cost Amount (Actual)","41 Source Type",$C$5,"5 Source no.",$C1538,"4 Item Ledger Entry Type",$C$4,"2 Item No.","@@"&amp;$F1538,"3 Posting Date",J$9)</t>
  </si>
  <si>
    <t>=J1538-L1538</t>
  </si>
  <si>
    <t>=IF(J1538&lt;&gt;0,M1538/J1538,"")</t>
  </si>
  <si>
    <t>=NL("Sum","5802 Value Entry","150 Sales Amount (Expected)","41 Source Type",$C$5,"5 Source No.",$C1538,"4 Item Ledger Entry Type",$C$4,"2 Item No.","@@"&amp;$F1538,"3 Posting Date",O$9)+NL("Sum","5802 Value Entry","17 Sales Amount (Actual)","41 Source Type",$C$5,"5 Source no.",$C1538,"4 Item Ledger Entry Type",$C$4,"2 Item No.","@@"&amp;$F1538,"3 Posting Date",O$9)</t>
  </si>
  <si>
    <t>=-NL("Sum","5802 Value Entry","151 Cost Amount (Expected)","41 Source Type",$C$5,"5 Source No.",$C1538,"4 Item Ledger Entry Type",$C$4,"2 Item No.","@@"&amp;$F1538,"3 Posting Date",O$9)-NL("Sum","5802 Value Entry","43 Cost Amount (Actual)","41 Source Type",$C$5,"5 Source no.",$C1538,"4 Item Ledger Entry Type",$C$4,"2 Item No.","@@"&amp;$F1538,"3 Posting Date",O$9)</t>
  </si>
  <si>
    <t>=O1538-Q1538</t>
  </si>
  <si>
    <t>=IF(O1538&lt;&gt;0,R1538/O1538,"")</t>
  </si>
  <si>
    <t>=NL("Sum","5802 Value Entry","150 Sales Amount (Expected)","41 Source Type",$C$5,"5 Source No.",$C1538,"4 Item Ledger Entry Type",$C$4,"2 Item No.","@@"&amp;$F1538,"3 Posting Date",U$9)+NL("Sum","5802 Value Entry","17 Sales Amount (Actual)","41 Source Type",$C$5,"5 Source no.",$C1538,"4 Item Ledger Entry Type",$C$4,"2 Item No.","@@"&amp;$F1538,"3 Posting Date",U$9)</t>
  </si>
  <si>
    <t>=-NL("Sum","5802 Value Entry","151 Cost Amount (Expected)","41 Source Type",$C$5,"5 Source No.",$C1538,"4 Item Ledger Entry Type",$C$4,"2 Item No.","@@"&amp;$F1538,"3 Posting Date",U$9)-NL("Sum","5802 Value Entry","43 Cost Amount (Actual)","41 Source Type",$C$5,"5 Source no.",$C1538,"4 Item Ledger Entry Type",$C$4,"2 Item No.","@@"&amp;$F1538,"3 Posting Date",U$9)</t>
  </si>
  <si>
    <t>=U1538-W1538</t>
  </si>
  <si>
    <t>=IF(U1538&lt;&gt;0,X1538/U1538,"")</t>
  </si>
  <si>
    <t>=NL("Sum","5802 Value Entry","150 Sales Amount (Expected)","41 Source Type",$C$5,"5 Source No.",$C1538,"4 Item Ledger Entry Type",$C$4,"2 Item No.","@@"&amp;$F1538,"3 Posting Date",Z$9)+NL("Sum","5802 Value Entry","17 Sales Amount (Actual)","41 Source Type",$C$5,"5 Source no.",$C1538,"4 Item Ledger Entry Type",$C$4,"2 Item No.","@@"&amp;$F1538,"3 Posting Date",Z$9)</t>
  </si>
  <si>
    <t>=-NL("Sum","5802 Value Entry","151 Cost Amount (Expected)","41 Source Type",$C$5,"5 Source No.",$C1538,"4 Item Ledger Entry Type",$C$4,"2 Item No.","@@"&amp;$F1538,"3 Posting Date",Z$9)-NL("Sum","5802 Value Entry","43 Cost Amount (Actual)","41 Source Type",$C$5,"5 Source no.",$C1538,"4 Item Ledger Entry Type",$C$4,"2 Item No.","@@"&amp;$F1538,"3 Posting Date",Z$9)</t>
  </si>
  <si>
    <t>=Z1538-AB1538</t>
  </si>
  <si>
    <t>=IF(Z1538&lt;&gt;0,AC1538/Z1538,"")</t>
  </si>
  <si>
    <t>=C1538</t>
  </si>
  <si>
    <t>=NL("Sum","5802 Value Entry","150 Sales Amount (Expected)","41 Source Type",$C$5,"5 Source No.",$C1539,"4 Item Ledger Entry Type",$C$4,"2 Item No.","@@"&amp;$F1539,"3 Posting Date",J$9)+NL("Sum","5802 Value Entry","17 Sales Amount (Actual)","41 Source Type",$C$5,"5 Source no.",$C1539,"4 Item Ledger Entry Type",$C$4,"2 Item No.","@@"&amp;$F1539,"3 Posting Date",J$9)</t>
  </si>
  <si>
    <t>=-NL("Sum","5802 Value Entry","151 Cost Amount (Expected)","41 Source Type",$C$5,"5 Source No.",$C1539,"4 Item Ledger Entry Type",$C$4,"2 Item No.","@@"&amp;$F1539,"3 Posting Date",J$9)-NL("Sum","5802 Value Entry","43 Cost Amount (Actual)","41 Source Type",$C$5,"5 Source no.",$C1539,"4 Item Ledger Entry Type",$C$4,"2 Item No.","@@"&amp;$F1539,"3 Posting Date",J$9)</t>
  </si>
  <si>
    <t>=J1539-L1539</t>
  </si>
  <si>
    <t>=IF(J1539&lt;&gt;0,M1539/J1539,"")</t>
  </si>
  <si>
    <t>=NL("Sum","5802 Value Entry","150 Sales Amount (Expected)","41 Source Type",$C$5,"5 Source No.",$C1539,"4 Item Ledger Entry Type",$C$4,"2 Item No.","@@"&amp;$F1539,"3 Posting Date",O$9)+NL("Sum","5802 Value Entry","17 Sales Amount (Actual)","41 Source Type",$C$5,"5 Source no.",$C1539,"4 Item Ledger Entry Type",$C$4,"2 Item No.","@@"&amp;$F1539,"3 Posting Date",O$9)</t>
  </si>
  <si>
    <t>=-NL("Sum","5802 Value Entry","151 Cost Amount (Expected)","41 Source Type",$C$5,"5 Source No.",$C1539,"4 Item Ledger Entry Type",$C$4,"2 Item No.","@@"&amp;$F1539,"3 Posting Date",O$9)-NL("Sum","5802 Value Entry","43 Cost Amount (Actual)","41 Source Type",$C$5,"5 Source no.",$C1539,"4 Item Ledger Entry Type",$C$4,"2 Item No.","@@"&amp;$F1539,"3 Posting Date",O$9)</t>
  </si>
  <si>
    <t>=O1539-Q1539</t>
  </si>
  <si>
    <t>=IF(O1539&lt;&gt;0,R1539/O1539,"")</t>
  </si>
  <si>
    <t>=NL("Sum","5802 Value Entry","150 Sales Amount (Expected)","41 Source Type",$C$5,"5 Source No.",$C1539,"4 Item Ledger Entry Type",$C$4,"2 Item No.","@@"&amp;$F1539,"3 Posting Date",U$9)+NL("Sum","5802 Value Entry","17 Sales Amount (Actual)","41 Source Type",$C$5,"5 Source no.",$C1539,"4 Item Ledger Entry Type",$C$4,"2 Item No.","@@"&amp;$F1539,"3 Posting Date",U$9)</t>
  </si>
  <si>
    <t>=-NL("Sum","5802 Value Entry","151 Cost Amount (Expected)","41 Source Type",$C$5,"5 Source No.",$C1539,"4 Item Ledger Entry Type",$C$4,"2 Item No.","@@"&amp;$F1539,"3 Posting Date",U$9)-NL("Sum","5802 Value Entry","43 Cost Amount (Actual)","41 Source Type",$C$5,"5 Source no.",$C1539,"4 Item Ledger Entry Type",$C$4,"2 Item No.","@@"&amp;$F1539,"3 Posting Date",U$9)</t>
  </si>
  <si>
    <t>=U1539-W1539</t>
  </si>
  <si>
    <t>=IF(U1539&lt;&gt;0,X1539/U1539,"")</t>
  </si>
  <si>
    <t>=NL("Sum","5802 Value Entry","150 Sales Amount (Expected)","41 Source Type",$C$5,"5 Source No.",$C1539,"4 Item Ledger Entry Type",$C$4,"2 Item No.","@@"&amp;$F1539,"3 Posting Date",Z$9)+NL("Sum","5802 Value Entry","17 Sales Amount (Actual)","41 Source Type",$C$5,"5 Source no.",$C1539,"4 Item Ledger Entry Type",$C$4,"2 Item No.","@@"&amp;$F1539,"3 Posting Date",Z$9)</t>
  </si>
  <si>
    <t>=-NL("Sum","5802 Value Entry","151 Cost Amount (Expected)","41 Source Type",$C$5,"5 Source No.",$C1539,"4 Item Ledger Entry Type",$C$4,"2 Item No.","@@"&amp;$F1539,"3 Posting Date",Z$9)-NL("Sum","5802 Value Entry","43 Cost Amount (Actual)","41 Source Type",$C$5,"5 Source no.",$C1539,"4 Item Ledger Entry Type",$C$4,"2 Item No.","@@"&amp;$F1539,"3 Posting Date",Z$9)</t>
  </si>
  <si>
    <t>=Z1539-AB1539</t>
  </si>
  <si>
    <t>=IF(Z1539&lt;&gt;0,AC1539/Z1539,"")</t>
  </si>
  <si>
    <t>=C1539</t>
  </si>
  <si>
    <t>=NL("Sum","5802 Value Entry","150 Sales Amount (Expected)","41 Source Type",$C$5,"5 Source No.",$C1540,"4 Item Ledger Entry Type",$C$4,"2 Item No.","@@"&amp;$F1540,"3 Posting Date",J$9)+NL("Sum","5802 Value Entry","17 Sales Amount (Actual)","41 Source Type",$C$5,"5 Source no.",$C1540,"4 Item Ledger Entry Type",$C$4,"2 Item No.","@@"&amp;$F1540,"3 Posting Date",J$9)</t>
  </si>
  <si>
    <t>=-NL("Sum","5802 Value Entry","151 Cost Amount (Expected)","41 Source Type",$C$5,"5 Source No.",$C1540,"4 Item Ledger Entry Type",$C$4,"2 Item No.","@@"&amp;$F1540,"3 Posting Date",J$9)-NL("Sum","5802 Value Entry","43 Cost Amount (Actual)","41 Source Type",$C$5,"5 Source no.",$C1540,"4 Item Ledger Entry Type",$C$4,"2 Item No.","@@"&amp;$F1540,"3 Posting Date",J$9)</t>
  </si>
  <si>
    <t>=J1540-L1540</t>
  </si>
  <si>
    <t>=IF(J1540&lt;&gt;0,M1540/J1540,"")</t>
  </si>
  <si>
    <t>=NL("Sum","5802 Value Entry","150 Sales Amount (Expected)","41 Source Type",$C$5,"5 Source No.",$C1540,"4 Item Ledger Entry Type",$C$4,"2 Item No.","@@"&amp;$F1540,"3 Posting Date",O$9)+NL("Sum","5802 Value Entry","17 Sales Amount (Actual)","41 Source Type",$C$5,"5 Source no.",$C1540,"4 Item Ledger Entry Type",$C$4,"2 Item No.","@@"&amp;$F1540,"3 Posting Date",O$9)</t>
  </si>
  <si>
    <t>=-NL("Sum","5802 Value Entry","151 Cost Amount (Expected)","41 Source Type",$C$5,"5 Source No.",$C1540,"4 Item Ledger Entry Type",$C$4,"2 Item No.","@@"&amp;$F1540,"3 Posting Date",O$9)-NL("Sum","5802 Value Entry","43 Cost Amount (Actual)","41 Source Type",$C$5,"5 Source no.",$C1540,"4 Item Ledger Entry Type",$C$4,"2 Item No.","@@"&amp;$F1540,"3 Posting Date",O$9)</t>
  </si>
  <si>
    <t>=O1540-Q1540</t>
  </si>
  <si>
    <t>=IF(O1540&lt;&gt;0,R1540/O1540,"")</t>
  </si>
  <si>
    <t>=NL("Sum","5802 Value Entry","150 Sales Amount (Expected)","41 Source Type",$C$5,"5 Source No.",$C1540,"4 Item Ledger Entry Type",$C$4,"2 Item No.","@@"&amp;$F1540,"3 Posting Date",U$9)+NL("Sum","5802 Value Entry","17 Sales Amount (Actual)","41 Source Type",$C$5,"5 Source no.",$C1540,"4 Item Ledger Entry Type",$C$4,"2 Item No.","@@"&amp;$F1540,"3 Posting Date",U$9)</t>
  </si>
  <si>
    <t>=-NL("Sum","5802 Value Entry","151 Cost Amount (Expected)","41 Source Type",$C$5,"5 Source No.",$C1540,"4 Item Ledger Entry Type",$C$4,"2 Item No.","@@"&amp;$F1540,"3 Posting Date",U$9)-NL("Sum","5802 Value Entry","43 Cost Amount (Actual)","41 Source Type",$C$5,"5 Source no.",$C1540,"4 Item Ledger Entry Type",$C$4,"2 Item No.","@@"&amp;$F1540,"3 Posting Date",U$9)</t>
  </si>
  <si>
    <t>=U1540-W1540</t>
  </si>
  <si>
    <t>=IF(U1540&lt;&gt;0,X1540/U1540,"")</t>
  </si>
  <si>
    <t>=NL("Sum","5802 Value Entry","150 Sales Amount (Expected)","41 Source Type",$C$5,"5 Source No.",$C1540,"4 Item Ledger Entry Type",$C$4,"2 Item No.","@@"&amp;$F1540,"3 Posting Date",Z$9)+NL("Sum","5802 Value Entry","17 Sales Amount (Actual)","41 Source Type",$C$5,"5 Source no.",$C1540,"4 Item Ledger Entry Type",$C$4,"2 Item No.","@@"&amp;$F1540,"3 Posting Date",Z$9)</t>
  </si>
  <si>
    <t>=-NL("Sum","5802 Value Entry","151 Cost Amount (Expected)","41 Source Type",$C$5,"5 Source No.",$C1540,"4 Item Ledger Entry Type",$C$4,"2 Item No.","@@"&amp;$F1540,"3 Posting Date",Z$9)-NL("Sum","5802 Value Entry","43 Cost Amount (Actual)","41 Source Type",$C$5,"5 Source no.",$C1540,"4 Item Ledger Entry Type",$C$4,"2 Item No.","@@"&amp;$F1540,"3 Posting Date",Z$9)</t>
  </si>
  <si>
    <t>=Z1540-AB1540</t>
  </si>
  <si>
    <t>=IF(Z1540&lt;&gt;0,AC1540/Z1540,"")</t>
  </si>
  <si>
    <t>=C1540</t>
  </si>
  <si>
    <t>=NL("Sum","5802 Value Entry","150 Sales Amount (Expected)","41 Source Type",$C$5,"5 Source No.",$C1541,"4 Item Ledger Entry Type",$C$4,"2 Item No.","@@"&amp;$F1541,"3 Posting Date",J$9)+NL("Sum","5802 Value Entry","17 Sales Amount (Actual)","41 Source Type",$C$5,"5 Source no.",$C1541,"4 Item Ledger Entry Type",$C$4,"2 Item No.","@@"&amp;$F1541,"3 Posting Date",J$9)</t>
  </si>
  <si>
    <t>=-NL("Sum","5802 Value Entry","151 Cost Amount (Expected)","41 Source Type",$C$5,"5 Source No.",$C1541,"4 Item Ledger Entry Type",$C$4,"2 Item No.","@@"&amp;$F1541,"3 Posting Date",J$9)-NL("Sum","5802 Value Entry","43 Cost Amount (Actual)","41 Source Type",$C$5,"5 Source no.",$C1541,"4 Item Ledger Entry Type",$C$4,"2 Item No.","@@"&amp;$F1541,"3 Posting Date",J$9)</t>
  </si>
  <si>
    <t>=J1541-L1541</t>
  </si>
  <si>
    <t>=IF(J1541&lt;&gt;0,M1541/J1541,"")</t>
  </si>
  <si>
    <t>=NL("Sum","5802 Value Entry","150 Sales Amount (Expected)","41 Source Type",$C$5,"5 Source No.",$C1541,"4 Item Ledger Entry Type",$C$4,"2 Item No.","@@"&amp;$F1541,"3 Posting Date",O$9)+NL("Sum","5802 Value Entry","17 Sales Amount (Actual)","41 Source Type",$C$5,"5 Source no.",$C1541,"4 Item Ledger Entry Type",$C$4,"2 Item No.","@@"&amp;$F1541,"3 Posting Date",O$9)</t>
  </si>
  <si>
    <t>=-NL("Sum","5802 Value Entry","151 Cost Amount (Expected)","41 Source Type",$C$5,"5 Source No.",$C1541,"4 Item Ledger Entry Type",$C$4,"2 Item No.","@@"&amp;$F1541,"3 Posting Date",O$9)-NL("Sum","5802 Value Entry","43 Cost Amount (Actual)","41 Source Type",$C$5,"5 Source no.",$C1541,"4 Item Ledger Entry Type",$C$4,"2 Item No.","@@"&amp;$F1541,"3 Posting Date",O$9)</t>
  </si>
  <si>
    <t>=O1541-Q1541</t>
  </si>
  <si>
    <t>=IF(O1541&lt;&gt;0,R1541/O1541,"")</t>
  </si>
  <si>
    <t>=NL("Sum","5802 Value Entry","150 Sales Amount (Expected)","41 Source Type",$C$5,"5 Source No.",$C1541,"4 Item Ledger Entry Type",$C$4,"2 Item No.","@@"&amp;$F1541,"3 Posting Date",U$9)+NL("Sum","5802 Value Entry","17 Sales Amount (Actual)","41 Source Type",$C$5,"5 Source no.",$C1541,"4 Item Ledger Entry Type",$C$4,"2 Item No.","@@"&amp;$F1541,"3 Posting Date",U$9)</t>
  </si>
  <si>
    <t>=-NL("Sum","5802 Value Entry","151 Cost Amount (Expected)","41 Source Type",$C$5,"5 Source No.",$C1541,"4 Item Ledger Entry Type",$C$4,"2 Item No.","@@"&amp;$F1541,"3 Posting Date",U$9)-NL("Sum","5802 Value Entry","43 Cost Amount (Actual)","41 Source Type",$C$5,"5 Source no.",$C1541,"4 Item Ledger Entry Type",$C$4,"2 Item No.","@@"&amp;$F1541,"3 Posting Date",U$9)</t>
  </si>
  <si>
    <t>=U1541-W1541</t>
  </si>
  <si>
    <t>=IF(U1541&lt;&gt;0,X1541/U1541,"")</t>
  </si>
  <si>
    <t>=NL("Sum","5802 Value Entry","150 Sales Amount (Expected)","41 Source Type",$C$5,"5 Source No.",$C1541,"4 Item Ledger Entry Type",$C$4,"2 Item No.","@@"&amp;$F1541,"3 Posting Date",Z$9)+NL("Sum","5802 Value Entry","17 Sales Amount (Actual)","41 Source Type",$C$5,"5 Source no.",$C1541,"4 Item Ledger Entry Type",$C$4,"2 Item No.","@@"&amp;$F1541,"3 Posting Date",Z$9)</t>
  </si>
  <si>
    <t>=-NL("Sum","5802 Value Entry","151 Cost Amount (Expected)","41 Source Type",$C$5,"5 Source No.",$C1541,"4 Item Ledger Entry Type",$C$4,"2 Item No.","@@"&amp;$F1541,"3 Posting Date",Z$9)-NL("Sum","5802 Value Entry","43 Cost Amount (Actual)","41 Source Type",$C$5,"5 Source no.",$C1541,"4 Item Ledger Entry Type",$C$4,"2 Item No.","@@"&amp;$F1541,"3 Posting Date",Z$9)</t>
  </si>
  <si>
    <t>=Z1541-AB1541</t>
  </si>
  <si>
    <t>=IF(Z1541&lt;&gt;0,AC1541/Z1541,"")</t>
  </si>
  <si>
    <t>=C1541</t>
  </si>
  <si>
    <t>=NL("Sum","5802 Value Entry","150 Sales Amount (Expected)","41 Source Type",$C$5,"5 Source No.",$C1542,"4 Item Ledger Entry Type",$C$4,"2 Item No.","@@"&amp;$F1542,"3 Posting Date",J$9)+NL("Sum","5802 Value Entry","17 Sales Amount (Actual)","41 Source Type",$C$5,"5 Source no.",$C1542,"4 Item Ledger Entry Type",$C$4,"2 Item No.","@@"&amp;$F1542,"3 Posting Date",J$9)</t>
  </si>
  <si>
    <t>=-NL("Sum","5802 Value Entry","151 Cost Amount (Expected)","41 Source Type",$C$5,"5 Source No.",$C1542,"4 Item Ledger Entry Type",$C$4,"2 Item No.","@@"&amp;$F1542,"3 Posting Date",J$9)-NL("Sum","5802 Value Entry","43 Cost Amount (Actual)","41 Source Type",$C$5,"5 Source no.",$C1542,"4 Item Ledger Entry Type",$C$4,"2 Item No.","@@"&amp;$F1542,"3 Posting Date",J$9)</t>
  </si>
  <si>
    <t>=J1542-L1542</t>
  </si>
  <si>
    <t>=IF(J1542&lt;&gt;0,M1542/J1542,"")</t>
  </si>
  <si>
    <t>=NL("Sum","5802 Value Entry","150 Sales Amount (Expected)","41 Source Type",$C$5,"5 Source No.",$C1542,"4 Item Ledger Entry Type",$C$4,"2 Item No.","@@"&amp;$F1542,"3 Posting Date",O$9)+NL("Sum","5802 Value Entry","17 Sales Amount (Actual)","41 Source Type",$C$5,"5 Source no.",$C1542,"4 Item Ledger Entry Type",$C$4,"2 Item No.","@@"&amp;$F1542,"3 Posting Date",O$9)</t>
  </si>
  <si>
    <t>=-NL("Sum","5802 Value Entry","151 Cost Amount (Expected)","41 Source Type",$C$5,"5 Source No.",$C1542,"4 Item Ledger Entry Type",$C$4,"2 Item No.","@@"&amp;$F1542,"3 Posting Date",O$9)-NL("Sum","5802 Value Entry","43 Cost Amount (Actual)","41 Source Type",$C$5,"5 Source no.",$C1542,"4 Item Ledger Entry Type",$C$4,"2 Item No.","@@"&amp;$F1542,"3 Posting Date",O$9)</t>
  </si>
  <si>
    <t>=O1542-Q1542</t>
  </si>
  <si>
    <t>=IF(O1542&lt;&gt;0,R1542/O1542,"")</t>
  </si>
  <si>
    <t>=NL("Sum","5802 Value Entry","150 Sales Amount (Expected)","41 Source Type",$C$5,"5 Source No.",$C1542,"4 Item Ledger Entry Type",$C$4,"2 Item No.","@@"&amp;$F1542,"3 Posting Date",U$9)+NL("Sum","5802 Value Entry","17 Sales Amount (Actual)","41 Source Type",$C$5,"5 Source no.",$C1542,"4 Item Ledger Entry Type",$C$4,"2 Item No.","@@"&amp;$F1542,"3 Posting Date",U$9)</t>
  </si>
  <si>
    <t>=-NL("Sum","5802 Value Entry","151 Cost Amount (Expected)","41 Source Type",$C$5,"5 Source No.",$C1542,"4 Item Ledger Entry Type",$C$4,"2 Item No.","@@"&amp;$F1542,"3 Posting Date",U$9)-NL("Sum","5802 Value Entry","43 Cost Amount (Actual)","41 Source Type",$C$5,"5 Source no.",$C1542,"4 Item Ledger Entry Type",$C$4,"2 Item No.","@@"&amp;$F1542,"3 Posting Date",U$9)</t>
  </si>
  <si>
    <t>=U1542-W1542</t>
  </si>
  <si>
    <t>=IF(U1542&lt;&gt;0,X1542/U1542,"")</t>
  </si>
  <si>
    <t>=NL("Sum","5802 Value Entry","150 Sales Amount (Expected)","41 Source Type",$C$5,"5 Source No.",$C1542,"4 Item Ledger Entry Type",$C$4,"2 Item No.","@@"&amp;$F1542,"3 Posting Date",Z$9)+NL("Sum","5802 Value Entry","17 Sales Amount (Actual)","41 Source Type",$C$5,"5 Source no.",$C1542,"4 Item Ledger Entry Type",$C$4,"2 Item No.","@@"&amp;$F1542,"3 Posting Date",Z$9)</t>
  </si>
  <si>
    <t>=-NL("Sum","5802 Value Entry","151 Cost Amount (Expected)","41 Source Type",$C$5,"5 Source No.",$C1542,"4 Item Ledger Entry Type",$C$4,"2 Item No.","@@"&amp;$F1542,"3 Posting Date",Z$9)-NL("Sum","5802 Value Entry","43 Cost Amount (Actual)","41 Source Type",$C$5,"5 Source no.",$C1542,"4 Item Ledger Entry Type",$C$4,"2 Item No.","@@"&amp;$F1542,"3 Posting Date",Z$9)</t>
  </si>
  <si>
    <t>=Z1542-AB1542</t>
  </si>
  <si>
    <t>=IF(Z1542&lt;&gt;0,AC1542/Z1542,"")</t>
  </si>
  <si>
    <t>=C1542</t>
  </si>
  <si>
    <t>=NL("Sum","5802 Value Entry","150 Sales Amount (Expected)","41 Source Type",$C$5,"5 Source No.",$C1543,"4 Item Ledger Entry Type",$C$4,"2 Item No.","@@"&amp;$F1543,"3 Posting Date",J$9)+NL("Sum","5802 Value Entry","17 Sales Amount (Actual)","41 Source Type",$C$5,"5 Source no.",$C1543,"4 Item Ledger Entry Type",$C$4,"2 Item No.","@@"&amp;$F1543,"3 Posting Date",J$9)</t>
  </si>
  <si>
    <t>=-NL("Sum","5802 Value Entry","151 Cost Amount (Expected)","41 Source Type",$C$5,"5 Source No.",$C1543,"4 Item Ledger Entry Type",$C$4,"2 Item No.","@@"&amp;$F1543,"3 Posting Date",J$9)-NL("Sum","5802 Value Entry","43 Cost Amount (Actual)","41 Source Type",$C$5,"5 Source no.",$C1543,"4 Item Ledger Entry Type",$C$4,"2 Item No.","@@"&amp;$F1543,"3 Posting Date",J$9)</t>
  </si>
  <si>
    <t>=J1543-L1543</t>
  </si>
  <si>
    <t>=IF(J1543&lt;&gt;0,M1543/J1543,"")</t>
  </si>
  <si>
    <t>=NL("Sum","5802 Value Entry","150 Sales Amount (Expected)","41 Source Type",$C$5,"5 Source No.",$C1543,"4 Item Ledger Entry Type",$C$4,"2 Item No.","@@"&amp;$F1543,"3 Posting Date",O$9)+NL("Sum","5802 Value Entry","17 Sales Amount (Actual)","41 Source Type",$C$5,"5 Source no.",$C1543,"4 Item Ledger Entry Type",$C$4,"2 Item No.","@@"&amp;$F1543,"3 Posting Date",O$9)</t>
  </si>
  <si>
    <t>=-NL("Sum","5802 Value Entry","151 Cost Amount (Expected)","41 Source Type",$C$5,"5 Source No.",$C1543,"4 Item Ledger Entry Type",$C$4,"2 Item No.","@@"&amp;$F1543,"3 Posting Date",O$9)-NL("Sum","5802 Value Entry","43 Cost Amount (Actual)","41 Source Type",$C$5,"5 Source no.",$C1543,"4 Item Ledger Entry Type",$C$4,"2 Item No.","@@"&amp;$F1543,"3 Posting Date",O$9)</t>
  </si>
  <si>
    <t>=O1543-Q1543</t>
  </si>
  <si>
    <t>=IF(O1543&lt;&gt;0,R1543/O1543,"")</t>
  </si>
  <si>
    <t>=NL("Sum","5802 Value Entry","150 Sales Amount (Expected)","41 Source Type",$C$5,"5 Source No.",$C1543,"4 Item Ledger Entry Type",$C$4,"2 Item No.","@@"&amp;$F1543,"3 Posting Date",U$9)+NL("Sum","5802 Value Entry","17 Sales Amount (Actual)","41 Source Type",$C$5,"5 Source no.",$C1543,"4 Item Ledger Entry Type",$C$4,"2 Item No.","@@"&amp;$F1543,"3 Posting Date",U$9)</t>
  </si>
  <si>
    <t>=-NL("Sum","5802 Value Entry","151 Cost Amount (Expected)","41 Source Type",$C$5,"5 Source No.",$C1543,"4 Item Ledger Entry Type",$C$4,"2 Item No.","@@"&amp;$F1543,"3 Posting Date",U$9)-NL("Sum","5802 Value Entry","43 Cost Amount (Actual)","41 Source Type",$C$5,"5 Source no.",$C1543,"4 Item Ledger Entry Type",$C$4,"2 Item No.","@@"&amp;$F1543,"3 Posting Date",U$9)</t>
  </si>
  <si>
    <t>=U1543-W1543</t>
  </si>
  <si>
    <t>=IF(U1543&lt;&gt;0,X1543/U1543,"")</t>
  </si>
  <si>
    <t>=NL("Sum","5802 Value Entry","150 Sales Amount (Expected)","41 Source Type",$C$5,"5 Source No.",$C1543,"4 Item Ledger Entry Type",$C$4,"2 Item No.","@@"&amp;$F1543,"3 Posting Date",Z$9)+NL("Sum","5802 Value Entry","17 Sales Amount (Actual)","41 Source Type",$C$5,"5 Source no.",$C1543,"4 Item Ledger Entry Type",$C$4,"2 Item No.","@@"&amp;$F1543,"3 Posting Date",Z$9)</t>
  </si>
  <si>
    <t>=-NL("Sum","5802 Value Entry","151 Cost Amount (Expected)","41 Source Type",$C$5,"5 Source No.",$C1543,"4 Item Ledger Entry Type",$C$4,"2 Item No.","@@"&amp;$F1543,"3 Posting Date",Z$9)-NL("Sum","5802 Value Entry","43 Cost Amount (Actual)","41 Source Type",$C$5,"5 Source no.",$C1543,"4 Item Ledger Entry Type",$C$4,"2 Item No.","@@"&amp;$F1543,"3 Posting Date",Z$9)</t>
  </si>
  <si>
    <t>=Z1543-AB1543</t>
  </si>
  <si>
    <t>=IF(Z1543&lt;&gt;0,AC1543/Z1543,"")</t>
  </si>
  <si>
    <t>=C1543</t>
  </si>
  <si>
    <t>=NL("Sum","5802 Value Entry","150 Sales Amount (Expected)","41 Source Type",$C$5,"5 Source No.",$C1544,"4 Item Ledger Entry Type",$C$4,"2 Item No.","@@"&amp;$F1544,"3 Posting Date",J$9)+NL("Sum","5802 Value Entry","17 Sales Amount (Actual)","41 Source Type",$C$5,"5 Source no.",$C1544,"4 Item Ledger Entry Type",$C$4,"2 Item No.","@@"&amp;$F1544,"3 Posting Date",J$9)</t>
  </si>
  <si>
    <t>=-NL("Sum","5802 Value Entry","151 Cost Amount (Expected)","41 Source Type",$C$5,"5 Source No.",$C1544,"4 Item Ledger Entry Type",$C$4,"2 Item No.","@@"&amp;$F1544,"3 Posting Date",J$9)-NL("Sum","5802 Value Entry","43 Cost Amount (Actual)","41 Source Type",$C$5,"5 Source no.",$C1544,"4 Item Ledger Entry Type",$C$4,"2 Item No.","@@"&amp;$F1544,"3 Posting Date",J$9)</t>
  </si>
  <si>
    <t>=J1544-L1544</t>
  </si>
  <si>
    <t>=IF(J1544&lt;&gt;0,M1544/J1544,"")</t>
  </si>
  <si>
    <t>=NL("Sum","5802 Value Entry","150 Sales Amount (Expected)","41 Source Type",$C$5,"5 Source No.",$C1544,"4 Item Ledger Entry Type",$C$4,"2 Item No.","@@"&amp;$F1544,"3 Posting Date",O$9)+NL("Sum","5802 Value Entry","17 Sales Amount (Actual)","41 Source Type",$C$5,"5 Source no.",$C1544,"4 Item Ledger Entry Type",$C$4,"2 Item No.","@@"&amp;$F1544,"3 Posting Date",O$9)</t>
  </si>
  <si>
    <t>=-NL("Sum","5802 Value Entry","151 Cost Amount (Expected)","41 Source Type",$C$5,"5 Source No.",$C1544,"4 Item Ledger Entry Type",$C$4,"2 Item No.","@@"&amp;$F1544,"3 Posting Date",O$9)-NL("Sum","5802 Value Entry","43 Cost Amount (Actual)","41 Source Type",$C$5,"5 Source no.",$C1544,"4 Item Ledger Entry Type",$C$4,"2 Item No.","@@"&amp;$F1544,"3 Posting Date",O$9)</t>
  </si>
  <si>
    <t>=O1544-Q1544</t>
  </si>
  <si>
    <t>=IF(O1544&lt;&gt;0,R1544/O1544,"")</t>
  </si>
  <si>
    <t>=NL("Sum","5802 Value Entry","150 Sales Amount (Expected)","41 Source Type",$C$5,"5 Source No.",$C1544,"4 Item Ledger Entry Type",$C$4,"2 Item No.","@@"&amp;$F1544,"3 Posting Date",U$9)+NL("Sum","5802 Value Entry","17 Sales Amount (Actual)","41 Source Type",$C$5,"5 Source no.",$C1544,"4 Item Ledger Entry Type",$C$4,"2 Item No.","@@"&amp;$F1544,"3 Posting Date",U$9)</t>
  </si>
  <si>
    <t>=-NL("Sum","5802 Value Entry","151 Cost Amount (Expected)","41 Source Type",$C$5,"5 Source No.",$C1544,"4 Item Ledger Entry Type",$C$4,"2 Item No.","@@"&amp;$F1544,"3 Posting Date",U$9)-NL("Sum","5802 Value Entry","43 Cost Amount (Actual)","41 Source Type",$C$5,"5 Source no.",$C1544,"4 Item Ledger Entry Type",$C$4,"2 Item No.","@@"&amp;$F1544,"3 Posting Date",U$9)</t>
  </si>
  <si>
    <t>=U1544-W1544</t>
  </si>
  <si>
    <t>=IF(U1544&lt;&gt;0,X1544/U1544,"")</t>
  </si>
  <si>
    <t>=NL("Sum","5802 Value Entry","150 Sales Amount (Expected)","41 Source Type",$C$5,"5 Source No.",$C1544,"4 Item Ledger Entry Type",$C$4,"2 Item No.","@@"&amp;$F1544,"3 Posting Date",Z$9)+NL("Sum","5802 Value Entry","17 Sales Amount (Actual)","41 Source Type",$C$5,"5 Source no.",$C1544,"4 Item Ledger Entry Type",$C$4,"2 Item No.","@@"&amp;$F1544,"3 Posting Date",Z$9)</t>
  </si>
  <si>
    <t>=-NL("Sum","5802 Value Entry","151 Cost Amount (Expected)","41 Source Type",$C$5,"5 Source No.",$C1544,"4 Item Ledger Entry Type",$C$4,"2 Item No.","@@"&amp;$F1544,"3 Posting Date",Z$9)-NL("Sum","5802 Value Entry","43 Cost Amount (Actual)","41 Source Type",$C$5,"5 Source no.",$C1544,"4 Item Ledger Entry Type",$C$4,"2 Item No.","@@"&amp;$F1544,"3 Posting Date",Z$9)</t>
  </si>
  <si>
    <t>=Z1544-AB1544</t>
  </si>
  <si>
    <t>=IF(Z1544&lt;&gt;0,AC1544/Z1544,"")</t>
  </si>
  <si>
    <t>=C1544</t>
  </si>
  <si>
    <t>=NL("Sum","5802 Value Entry","150 Sales Amount (Expected)","41 Source Type",$C$5,"5 Source No.",$C1545,"4 Item Ledger Entry Type",$C$4,"2 Item No.","@@"&amp;$F1545,"3 Posting Date",J$9)+NL("Sum","5802 Value Entry","17 Sales Amount (Actual)","41 Source Type",$C$5,"5 Source no.",$C1545,"4 Item Ledger Entry Type",$C$4,"2 Item No.","@@"&amp;$F1545,"3 Posting Date",J$9)</t>
  </si>
  <si>
    <t>=-NL("Sum","5802 Value Entry","151 Cost Amount (Expected)","41 Source Type",$C$5,"5 Source No.",$C1545,"4 Item Ledger Entry Type",$C$4,"2 Item No.","@@"&amp;$F1545,"3 Posting Date",J$9)-NL("Sum","5802 Value Entry","43 Cost Amount (Actual)","41 Source Type",$C$5,"5 Source no.",$C1545,"4 Item Ledger Entry Type",$C$4,"2 Item No.","@@"&amp;$F1545,"3 Posting Date",J$9)</t>
  </si>
  <si>
    <t>=J1545-L1545</t>
  </si>
  <si>
    <t>=IF(J1545&lt;&gt;0,M1545/J1545,"")</t>
  </si>
  <si>
    <t>=NL("Sum","5802 Value Entry","150 Sales Amount (Expected)","41 Source Type",$C$5,"5 Source No.",$C1545,"4 Item Ledger Entry Type",$C$4,"2 Item No.","@@"&amp;$F1545,"3 Posting Date",O$9)+NL("Sum","5802 Value Entry","17 Sales Amount (Actual)","41 Source Type",$C$5,"5 Source no.",$C1545,"4 Item Ledger Entry Type",$C$4,"2 Item No.","@@"&amp;$F1545,"3 Posting Date",O$9)</t>
  </si>
  <si>
    <t>=-NL("Sum","5802 Value Entry","151 Cost Amount (Expected)","41 Source Type",$C$5,"5 Source No.",$C1545,"4 Item Ledger Entry Type",$C$4,"2 Item No.","@@"&amp;$F1545,"3 Posting Date",O$9)-NL("Sum","5802 Value Entry","43 Cost Amount (Actual)","41 Source Type",$C$5,"5 Source no.",$C1545,"4 Item Ledger Entry Type",$C$4,"2 Item No.","@@"&amp;$F1545,"3 Posting Date",O$9)</t>
  </si>
  <si>
    <t>=O1545-Q1545</t>
  </si>
  <si>
    <t>=IF(O1545&lt;&gt;0,R1545/O1545,"")</t>
  </si>
  <si>
    <t>=NL("Sum","5802 Value Entry","150 Sales Amount (Expected)","41 Source Type",$C$5,"5 Source No.",$C1545,"4 Item Ledger Entry Type",$C$4,"2 Item No.","@@"&amp;$F1545,"3 Posting Date",U$9)+NL("Sum","5802 Value Entry","17 Sales Amount (Actual)","41 Source Type",$C$5,"5 Source no.",$C1545,"4 Item Ledger Entry Type",$C$4,"2 Item No.","@@"&amp;$F1545,"3 Posting Date",U$9)</t>
  </si>
  <si>
    <t>=-NL("Sum","5802 Value Entry","151 Cost Amount (Expected)","41 Source Type",$C$5,"5 Source No.",$C1545,"4 Item Ledger Entry Type",$C$4,"2 Item No.","@@"&amp;$F1545,"3 Posting Date",U$9)-NL("Sum","5802 Value Entry","43 Cost Amount (Actual)","41 Source Type",$C$5,"5 Source no.",$C1545,"4 Item Ledger Entry Type",$C$4,"2 Item No.","@@"&amp;$F1545,"3 Posting Date",U$9)</t>
  </si>
  <si>
    <t>=U1545-W1545</t>
  </si>
  <si>
    <t>=IF(U1545&lt;&gt;0,X1545/U1545,"")</t>
  </si>
  <si>
    <t>=NL("Sum","5802 Value Entry","150 Sales Amount (Expected)","41 Source Type",$C$5,"5 Source No.",$C1545,"4 Item Ledger Entry Type",$C$4,"2 Item No.","@@"&amp;$F1545,"3 Posting Date",Z$9)+NL("Sum","5802 Value Entry","17 Sales Amount (Actual)","41 Source Type",$C$5,"5 Source no.",$C1545,"4 Item Ledger Entry Type",$C$4,"2 Item No.","@@"&amp;$F1545,"3 Posting Date",Z$9)</t>
  </si>
  <si>
    <t>=-NL("Sum","5802 Value Entry","151 Cost Amount (Expected)","41 Source Type",$C$5,"5 Source No.",$C1545,"4 Item Ledger Entry Type",$C$4,"2 Item No.","@@"&amp;$F1545,"3 Posting Date",Z$9)-NL("Sum","5802 Value Entry","43 Cost Amount (Actual)","41 Source Type",$C$5,"5 Source no.",$C1545,"4 Item Ledger Entry Type",$C$4,"2 Item No.","@@"&amp;$F1545,"3 Posting Date",Z$9)</t>
  </si>
  <si>
    <t>=Z1545-AB1545</t>
  </si>
  <si>
    <t>=IF(Z1545&lt;&gt;0,AC1545/Z1545,"")</t>
  </si>
  <si>
    <t>=C1545</t>
  </si>
  <si>
    <t>=NL("Sum","5802 Value Entry","150 Sales Amount (Expected)","41 Source Type",$C$5,"5 Source No.",$C1546,"4 Item Ledger Entry Type",$C$4,"2 Item No.","@@"&amp;$F1546,"3 Posting Date",J$9)+NL("Sum","5802 Value Entry","17 Sales Amount (Actual)","41 Source Type",$C$5,"5 Source no.",$C1546,"4 Item Ledger Entry Type",$C$4,"2 Item No.","@@"&amp;$F1546,"3 Posting Date",J$9)</t>
  </si>
  <si>
    <t>=-NL("Sum","5802 Value Entry","151 Cost Amount (Expected)","41 Source Type",$C$5,"5 Source No.",$C1546,"4 Item Ledger Entry Type",$C$4,"2 Item No.","@@"&amp;$F1546,"3 Posting Date",J$9)-NL("Sum","5802 Value Entry","43 Cost Amount (Actual)","41 Source Type",$C$5,"5 Source no.",$C1546,"4 Item Ledger Entry Type",$C$4,"2 Item No.","@@"&amp;$F1546,"3 Posting Date",J$9)</t>
  </si>
  <si>
    <t>=J1546-L1546</t>
  </si>
  <si>
    <t>=IF(J1546&lt;&gt;0,M1546/J1546,"")</t>
  </si>
  <si>
    <t>=NL("Sum","5802 Value Entry","150 Sales Amount (Expected)","41 Source Type",$C$5,"5 Source No.",$C1546,"4 Item Ledger Entry Type",$C$4,"2 Item No.","@@"&amp;$F1546,"3 Posting Date",O$9)+NL("Sum","5802 Value Entry","17 Sales Amount (Actual)","41 Source Type",$C$5,"5 Source no.",$C1546,"4 Item Ledger Entry Type",$C$4,"2 Item No.","@@"&amp;$F1546,"3 Posting Date",O$9)</t>
  </si>
  <si>
    <t>=-NL("Sum","5802 Value Entry","151 Cost Amount (Expected)","41 Source Type",$C$5,"5 Source No.",$C1546,"4 Item Ledger Entry Type",$C$4,"2 Item No.","@@"&amp;$F1546,"3 Posting Date",O$9)-NL("Sum","5802 Value Entry","43 Cost Amount (Actual)","41 Source Type",$C$5,"5 Source no.",$C1546,"4 Item Ledger Entry Type",$C$4,"2 Item No.","@@"&amp;$F1546,"3 Posting Date",O$9)</t>
  </si>
  <si>
    <t>=O1546-Q1546</t>
  </si>
  <si>
    <t>=IF(O1546&lt;&gt;0,R1546/O1546,"")</t>
  </si>
  <si>
    <t>=NL("Sum","5802 Value Entry","150 Sales Amount (Expected)","41 Source Type",$C$5,"5 Source No.",$C1546,"4 Item Ledger Entry Type",$C$4,"2 Item No.","@@"&amp;$F1546,"3 Posting Date",U$9)+NL("Sum","5802 Value Entry","17 Sales Amount (Actual)","41 Source Type",$C$5,"5 Source no.",$C1546,"4 Item Ledger Entry Type",$C$4,"2 Item No.","@@"&amp;$F1546,"3 Posting Date",U$9)</t>
  </si>
  <si>
    <t>=-NL("Sum","5802 Value Entry","151 Cost Amount (Expected)","41 Source Type",$C$5,"5 Source No.",$C1546,"4 Item Ledger Entry Type",$C$4,"2 Item No.","@@"&amp;$F1546,"3 Posting Date",U$9)-NL("Sum","5802 Value Entry","43 Cost Amount (Actual)","41 Source Type",$C$5,"5 Source no.",$C1546,"4 Item Ledger Entry Type",$C$4,"2 Item No.","@@"&amp;$F1546,"3 Posting Date",U$9)</t>
  </si>
  <si>
    <t>=U1546-W1546</t>
  </si>
  <si>
    <t>=IF(U1546&lt;&gt;0,X1546/U1546,"")</t>
  </si>
  <si>
    <t>=NL("Sum","5802 Value Entry","150 Sales Amount (Expected)","41 Source Type",$C$5,"5 Source No.",$C1546,"4 Item Ledger Entry Type",$C$4,"2 Item No.","@@"&amp;$F1546,"3 Posting Date",Z$9)+NL("Sum","5802 Value Entry","17 Sales Amount (Actual)","41 Source Type",$C$5,"5 Source no.",$C1546,"4 Item Ledger Entry Type",$C$4,"2 Item No.","@@"&amp;$F1546,"3 Posting Date",Z$9)</t>
  </si>
  <si>
    <t>=-NL("Sum","5802 Value Entry","151 Cost Amount (Expected)","41 Source Type",$C$5,"5 Source No.",$C1546,"4 Item Ledger Entry Type",$C$4,"2 Item No.","@@"&amp;$F1546,"3 Posting Date",Z$9)-NL("Sum","5802 Value Entry","43 Cost Amount (Actual)","41 Source Type",$C$5,"5 Source no.",$C1546,"4 Item Ledger Entry Type",$C$4,"2 Item No.","@@"&amp;$F1546,"3 Posting Date",Z$9)</t>
  </si>
  <si>
    <t>=Z1546-AB1546</t>
  </si>
  <si>
    <t>=IF(Z1546&lt;&gt;0,AC1546/Z1546,"")</t>
  </si>
  <si>
    <t>=C1546</t>
  </si>
  <si>
    <t>=NL("Sum","5802 Value Entry","150 Sales Amount (Expected)","41 Source Type",$C$5,"5 Source No.",$C1547,"4 Item Ledger Entry Type",$C$4,"2 Item No.","@@"&amp;$F1547,"3 Posting Date",J$9)+NL("Sum","5802 Value Entry","17 Sales Amount (Actual)","41 Source Type",$C$5,"5 Source no.",$C1547,"4 Item Ledger Entry Type",$C$4,"2 Item No.","@@"&amp;$F1547,"3 Posting Date",J$9)</t>
  </si>
  <si>
    <t>=-NL("Sum","5802 Value Entry","151 Cost Amount (Expected)","41 Source Type",$C$5,"5 Source No.",$C1547,"4 Item Ledger Entry Type",$C$4,"2 Item No.","@@"&amp;$F1547,"3 Posting Date",J$9)-NL("Sum","5802 Value Entry","43 Cost Amount (Actual)","41 Source Type",$C$5,"5 Source no.",$C1547,"4 Item Ledger Entry Type",$C$4,"2 Item No.","@@"&amp;$F1547,"3 Posting Date",J$9)</t>
  </si>
  <si>
    <t>=J1547-L1547</t>
  </si>
  <si>
    <t>=IF(J1547&lt;&gt;0,M1547/J1547,"")</t>
  </si>
  <si>
    <t>=NL("Sum","5802 Value Entry","150 Sales Amount (Expected)","41 Source Type",$C$5,"5 Source No.",$C1547,"4 Item Ledger Entry Type",$C$4,"2 Item No.","@@"&amp;$F1547,"3 Posting Date",O$9)+NL("Sum","5802 Value Entry","17 Sales Amount (Actual)","41 Source Type",$C$5,"5 Source no.",$C1547,"4 Item Ledger Entry Type",$C$4,"2 Item No.","@@"&amp;$F1547,"3 Posting Date",O$9)</t>
  </si>
  <si>
    <t>=-NL("Sum","5802 Value Entry","151 Cost Amount (Expected)","41 Source Type",$C$5,"5 Source No.",$C1547,"4 Item Ledger Entry Type",$C$4,"2 Item No.","@@"&amp;$F1547,"3 Posting Date",O$9)-NL("Sum","5802 Value Entry","43 Cost Amount (Actual)","41 Source Type",$C$5,"5 Source no.",$C1547,"4 Item Ledger Entry Type",$C$4,"2 Item No.","@@"&amp;$F1547,"3 Posting Date",O$9)</t>
  </si>
  <si>
    <t>=O1547-Q1547</t>
  </si>
  <si>
    <t>=IF(O1547&lt;&gt;0,R1547/O1547,"")</t>
  </si>
  <si>
    <t>=NL("Sum","5802 Value Entry","150 Sales Amount (Expected)","41 Source Type",$C$5,"5 Source No.",$C1547,"4 Item Ledger Entry Type",$C$4,"2 Item No.","@@"&amp;$F1547,"3 Posting Date",U$9)+NL("Sum","5802 Value Entry","17 Sales Amount (Actual)","41 Source Type",$C$5,"5 Source no.",$C1547,"4 Item Ledger Entry Type",$C$4,"2 Item No.","@@"&amp;$F1547,"3 Posting Date",U$9)</t>
  </si>
  <si>
    <t>=-NL("Sum","5802 Value Entry","151 Cost Amount (Expected)","41 Source Type",$C$5,"5 Source No.",$C1547,"4 Item Ledger Entry Type",$C$4,"2 Item No.","@@"&amp;$F1547,"3 Posting Date",U$9)-NL("Sum","5802 Value Entry","43 Cost Amount (Actual)","41 Source Type",$C$5,"5 Source no.",$C1547,"4 Item Ledger Entry Type",$C$4,"2 Item No.","@@"&amp;$F1547,"3 Posting Date",U$9)</t>
  </si>
  <si>
    <t>=U1547-W1547</t>
  </si>
  <si>
    <t>=IF(U1547&lt;&gt;0,X1547/U1547,"")</t>
  </si>
  <si>
    <t>=NL("Sum","5802 Value Entry","150 Sales Amount (Expected)","41 Source Type",$C$5,"5 Source No.",$C1547,"4 Item Ledger Entry Type",$C$4,"2 Item No.","@@"&amp;$F1547,"3 Posting Date",Z$9)+NL("Sum","5802 Value Entry","17 Sales Amount (Actual)","41 Source Type",$C$5,"5 Source no.",$C1547,"4 Item Ledger Entry Type",$C$4,"2 Item No.","@@"&amp;$F1547,"3 Posting Date",Z$9)</t>
  </si>
  <si>
    <t>=-NL("Sum","5802 Value Entry","151 Cost Amount (Expected)","41 Source Type",$C$5,"5 Source No.",$C1547,"4 Item Ledger Entry Type",$C$4,"2 Item No.","@@"&amp;$F1547,"3 Posting Date",Z$9)-NL("Sum","5802 Value Entry","43 Cost Amount (Actual)","41 Source Type",$C$5,"5 Source no.",$C1547,"4 Item Ledger Entry Type",$C$4,"2 Item No.","@@"&amp;$F1547,"3 Posting Date",Z$9)</t>
  </si>
  <si>
    <t>=Z1547-AB1547</t>
  </si>
  <si>
    <t>=IF(Z1547&lt;&gt;0,AC1547/Z1547,"")</t>
  </si>
  <si>
    <t>=C1547</t>
  </si>
  <si>
    <t>=NL("Sum","5802 Value Entry","150 Sales Amount (Expected)","41 Source Type",$C$5,"5 Source No.",$C1548,"4 Item Ledger Entry Type",$C$4,"2 Item No.","@@"&amp;$F1548,"3 Posting Date",J$9)+NL("Sum","5802 Value Entry","17 Sales Amount (Actual)","41 Source Type",$C$5,"5 Source no.",$C1548,"4 Item Ledger Entry Type",$C$4,"2 Item No.","@@"&amp;$F1548,"3 Posting Date",J$9)</t>
  </si>
  <si>
    <t>=-NL("Sum","5802 Value Entry","151 Cost Amount (Expected)","41 Source Type",$C$5,"5 Source No.",$C1548,"4 Item Ledger Entry Type",$C$4,"2 Item No.","@@"&amp;$F1548,"3 Posting Date",J$9)-NL("Sum","5802 Value Entry","43 Cost Amount (Actual)","41 Source Type",$C$5,"5 Source no.",$C1548,"4 Item Ledger Entry Type",$C$4,"2 Item No.","@@"&amp;$F1548,"3 Posting Date",J$9)</t>
  </si>
  <si>
    <t>=J1548-L1548</t>
  </si>
  <si>
    <t>=IF(J1548&lt;&gt;0,M1548/J1548,"")</t>
  </si>
  <si>
    <t>=NL("Sum","5802 Value Entry","150 Sales Amount (Expected)","41 Source Type",$C$5,"5 Source No.",$C1548,"4 Item Ledger Entry Type",$C$4,"2 Item No.","@@"&amp;$F1548,"3 Posting Date",O$9)+NL("Sum","5802 Value Entry","17 Sales Amount (Actual)","41 Source Type",$C$5,"5 Source no.",$C1548,"4 Item Ledger Entry Type",$C$4,"2 Item No.","@@"&amp;$F1548,"3 Posting Date",O$9)</t>
  </si>
  <si>
    <t>=-NL("Sum","5802 Value Entry","151 Cost Amount (Expected)","41 Source Type",$C$5,"5 Source No.",$C1548,"4 Item Ledger Entry Type",$C$4,"2 Item No.","@@"&amp;$F1548,"3 Posting Date",O$9)-NL("Sum","5802 Value Entry","43 Cost Amount (Actual)","41 Source Type",$C$5,"5 Source no.",$C1548,"4 Item Ledger Entry Type",$C$4,"2 Item No.","@@"&amp;$F1548,"3 Posting Date",O$9)</t>
  </si>
  <si>
    <t>=O1548-Q1548</t>
  </si>
  <si>
    <t>=IF(O1548&lt;&gt;0,R1548/O1548,"")</t>
  </si>
  <si>
    <t>=NL("Sum","5802 Value Entry","150 Sales Amount (Expected)","41 Source Type",$C$5,"5 Source No.",$C1548,"4 Item Ledger Entry Type",$C$4,"2 Item No.","@@"&amp;$F1548,"3 Posting Date",U$9)+NL("Sum","5802 Value Entry","17 Sales Amount (Actual)","41 Source Type",$C$5,"5 Source no.",$C1548,"4 Item Ledger Entry Type",$C$4,"2 Item No.","@@"&amp;$F1548,"3 Posting Date",U$9)</t>
  </si>
  <si>
    <t>=-NL("Sum","5802 Value Entry","151 Cost Amount (Expected)","41 Source Type",$C$5,"5 Source No.",$C1548,"4 Item Ledger Entry Type",$C$4,"2 Item No.","@@"&amp;$F1548,"3 Posting Date",U$9)-NL("Sum","5802 Value Entry","43 Cost Amount (Actual)","41 Source Type",$C$5,"5 Source no.",$C1548,"4 Item Ledger Entry Type",$C$4,"2 Item No.","@@"&amp;$F1548,"3 Posting Date",U$9)</t>
  </si>
  <si>
    <t>=U1548-W1548</t>
  </si>
  <si>
    <t>=IF(U1548&lt;&gt;0,X1548/U1548,"")</t>
  </si>
  <si>
    <t>=NL("Sum","5802 Value Entry","150 Sales Amount (Expected)","41 Source Type",$C$5,"5 Source No.",$C1548,"4 Item Ledger Entry Type",$C$4,"2 Item No.","@@"&amp;$F1548,"3 Posting Date",Z$9)+NL("Sum","5802 Value Entry","17 Sales Amount (Actual)","41 Source Type",$C$5,"5 Source no.",$C1548,"4 Item Ledger Entry Type",$C$4,"2 Item No.","@@"&amp;$F1548,"3 Posting Date",Z$9)</t>
  </si>
  <si>
    <t>=-NL("Sum","5802 Value Entry","151 Cost Amount (Expected)","41 Source Type",$C$5,"5 Source No.",$C1548,"4 Item Ledger Entry Type",$C$4,"2 Item No.","@@"&amp;$F1548,"3 Posting Date",Z$9)-NL("Sum","5802 Value Entry","43 Cost Amount (Actual)","41 Source Type",$C$5,"5 Source no.",$C1548,"4 Item Ledger Entry Type",$C$4,"2 Item No.","@@"&amp;$F1548,"3 Posting Date",Z$9)</t>
  </si>
  <si>
    <t>=Z1548-AB1548</t>
  </si>
  <si>
    <t>=IF(Z1548&lt;&gt;0,AC1548/Z1548,"")</t>
  </si>
  <si>
    <t>=C1548</t>
  </si>
  <si>
    <t>="E100003"</t>
  </si>
  <si>
    <t>=NL("Sum","5802 Value Entry","150 Sales Amount (Expected)","41 Source Type",$C$5,"5 Source No.",$C1549,"4 Item Ledger Entry Type",$C$4,"2 Item No.","@@"&amp;$F1549,"3 Posting Date",J$9)+NL("Sum","5802 Value Entry","17 Sales Amount (Actual)","41 Source Type",$C$5,"5 Source no.",$C1549,"4 Item Ledger Entry Type",$C$4,"2 Item No.","@@"&amp;$F1549,"3 Posting Date",J$9)</t>
  </si>
  <si>
    <t>=-NL("Sum","5802 Value Entry","151 Cost Amount (Expected)","41 Source Type",$C$5,"5 Source No.",$C1549,"4 Item Ledger Entry Type",$C$4,"2 Item No.","@@"&amp;$F1549,"3 Posting Date",J$9)-NL("Sum","5802 Value Entry","43 Cost Amount (Actual)","41 Source Type",$C$5,"5 Source no.",$C1549,"4 Item Ledger Entry Type",$C$4,"2 Item No.","@@"&amp;$F1549,"3 Posting Date",J$9)</t>
  </si>
  <si>
    <t>=J1549-L1549</t>
  </si>
  <si>
    <t>=IF(J1549&lt;&gt;0,M1549/J1549,"")</t>
  </si>
  <si>
    <t>=NL("Sum","5802 Value Entry","150 Sales Amount (Expected)","41 Source Type",$C$5,"5 Source No.",$C1549,"4 Item Ledger Entry Type",$C$4,"2 Item No.","@@"&amp;$F1549,"3 Posting Date",O$9)+NL("Sum","5802 Value Entry","17 Sales Amount (Actual)","41 Source Type",$C$5,"5 Source no.",$C1549,"4 Item Ledger Entry Type",$C$4,"2 Item No.","@@"&amp;$F1549,"3 Posting Date",O$9)</t>
  </si>
  <si>
    <t>=-NL("Sum","5802 Value Entry","151 Cost Amount (Expected)","41 Source Type",$C$5,"5 Source No.",$C1549,"4 Item Ledger Entry Type",$C$4,"2 Item No.","@@"&amp;$F1549,"3 Posting Date",O$9)-NL("Sum","5802 Value Entry","43 Cost Amount (Actual)","41 Source Type",$C$5,"5 Source no.",$C1549,"4 Item Ledger Entry Type",$C$4,"2 Item No.","@@"&amp;$F1549,"3 Posting Date",O$9)</t>
  </si>
  <si>
    <t>=O1549-Q1549</t>
  </si>
  <si>
    <t>=IF(O1549&lt;&gt;0,R1549/O1549,"")</t>
  </si>
  <si>
    <t>=NL("Sum","5802 Value Entry","150 Sales Amount (Expected)","41 Source Type",$C$5,"5 Source No.",$C1549,"4 Item Ledger Entry Type",$C$4,"2 Item No.","@@"&amp;$F1549,"3 Posting Date",U$9)+NL("Sum","5802 Value Entry","17 Sales Amount (Actual)","41 Source Type",$C$5,"5 Source no.",$C1549,"4 Item Ledger Entry Type",$C$4,"2 Item No.","@@"&amp;$F1549,"3 Posting Date",U$9)</t>
  </si>
  <si>
    <t>=-NL("Sum","5802 Value Entry","151 Cost Amount (Expected)","41 Source Type",$C$5,"5 Source No.",$C1549,"4 Item Ledger Entry Type",$C$4,"2 Item No.","@@"&amp;$F1549,"3 Posting Date",U$9)-NL("Sum","5802 Value Entry","43 Cost Amount (Actual)","41 Source Type",$C$5,"5 Source no.",$C1549,"4 Item Ledger Entry Type",$C$4,"2 Item No.","@@"&amp;$F1549,"3 Posting Date",U$9)</t>
  </si>
  <si>
    <t>=U1549-W1549</t>
  </si>
  <si>
    <t>=IF(U1549&lt;&gt;0,X1549/U1549,"")</t>
  </si>
  <si>
    <t>=NL("Sum","5802 Value Entry","150 Sales Amount (Expected)","41 Source Type",$C$5,"5 Source No.",$C1549,"4 Item Ledger Entry Type",$C$4,"2 Item No.","@@"&amp;$F1549,"3 Posting Date",Z$9)+NL("Sum","5802 Value Entry","17 Sales Amount (Actual)","41 Source Type",$C$5,"5 Source no.",$C1549,"4 Item Ledger Entry Type",$C$4,"2 Item No.","@@"&amp;$F1549,"3 Posting Date",Z$9)</t>
  </si>
  <si>
    <t>=-NL("Sum","5802 Value Entry","151 Cost Amount (Expected)","41 Source Type",$C$5,"5 Source No.",$C1549,"4 Item Ledger Entry Type",$C$4,"2 Item No.","@@"&amp;$F1549,"3 Posting Date",Z$9)-NL("Sum","5802 Value Entry","43 Cost Amount (Actual)","41 Source Type",$C$5,"5 Source no.",$C1549,"4 Item Ledger Entry Type",$C$4,"2 Item No.","@@"&amp;$F1549,"3 Posting Date",Z$9)</t>
  </si>
  <si>
    <t>=Z1549-AB1549</t>
  </si>
  <si>
    <t>=IF(Z1549&lt;&gt;0,AC1549/Z1549,"")</t>
  </si>
  <si>
    <t>=C1549</t>
  </si>
  <si>
    <t>=NL("Sum","5802 Value Entry","150 Sales Amount (Expected)","41 Source Type",$C$5,"5 Source No.",$C1550,"4 Item Ledger Entry Type",$C$4,"2 Item No.","@@"&amp;$F1550,"3 Posting Date",J$9)+NL("Sum","5802 Value Entry","17 Sales Amount (Actual)","41 Source Type",$C$5,"5 Source no.",$C1550,"4 Item Ledger Entry Type",$C$4,"2 Item No.","@@"&amp;$F1550,"3 Posting Date",J$9)</t>
  </si>
  <si>
    <t>=-NL("Sum","5802 Value Entry","151 Cost Amount (Expected)","41 Source Type",$C$5,"5 Source No.",$C1550,"4 Item Ledger Entry Type",$C$4,"2 Item No.","@@"&amp;$F1550,"3 Posting Date",J$9)-NL("Sum","5802 Value Entry","43 Cost Amount (Actual)","41 Source Type",$C$5,"5 Source no.",$C1550,"4 Item Ledger Entry Type",$C$4,"2 Item No.","@@"&amp;$F1550,"3 Posting Date",J$9)</t>
  </si>
  <si>
    <t>=J1550-L1550</t>
  </si>
  <si>
    <t>=IF(J1550&lt;&gt;0,M1550/J1550,"")</t>
  </si>
  <si>
    <t>=NL("Sum","5802 Value Entry","150 Sales Amount (Expected)","41 Source Type",$C$5,"5 Source No.",$C1550,"4 Item Ledger Entry Type",$C$4,"2 Item No.","@@"&amp;$F1550,"3 Posting Date",O$9)+NL("Sum","5802 Value Entry","17 Sales Amount (Actual)","41 Source Type",$C$5,"5 Source no.",$C1550,"4 Item Ledger Entry Type",$C$4,"2 Item No.","@@"&amp;$F1550,"3 Posting Date",O$9)</t>
  </si>
  <si>
    <t>=-NL("Sum","5802 Value Entry","151 Cost Amount (Expected)","41 Source Type",$C$5,"5 Source No.",$C1550,"4 Item Ledger Entry Type",$C$4,"2 Item No.","@@"&amp;$F1550,"3 Posting Date",O$9)-NL("Sum","5802 Value Entry","43 Cost Amount (Actual)","41 Source Type",$C$5,"5 Source no.",$C1550,"4 Item Ledger Entry Type",$C$4,"2 Item No.","@@"&amp;$F1550,"3 Posting Date",O$9)</t>
  </si>
  <si>
    <t>=O1550-Q1550</t>
  </si>
  <si>
    <t>=IF(O1550&lt;&gt;0,R1550/O1550,"")</t>
  </si>
  <si>
    <t>=NL("Sum","5802 Value Entry","150 Sales Amount (Expected)","41 Source Type",$C$5,"5 Source No.",$C1550,"4 Item Ledger Entry Type",$C$4,"2 Item No.","@@"&amp;$F1550,"3 Posting Date",U$9)+NL("Sum","5802 Value Entry","17 Sales Amount (Actual)","41 Source Type",$C$5,"5 Source no.",$C1550,"4 Item Ledger Entry Type",$C$4,"2 Item No.","@@"&amp;$F1550,"3 Posting Date",U$9)</t>
  </si>
  <si>
    <t>=-NL("Sum","5802 Value Entry","151 Cost Amount (Expected)","41 Source Type",$C$5,"5 Source No.",$C1550,"4 Item Ledger Entry Type",$C$4,"2 Item No.","@@"&amp;$F1550,"3 Posting Date",U$9)-NL("Sum","5802 Value Entry","43 Cost Amount (Actual)","41 Source Type",$C$5,"5 Source no.",$C1550,"4 Item Ledger Entry Type",$C$4,"2 Item No.","@@"&amp;$F1550,"3 Posting Date",U$9)</t>
  </si>
  <si>
    <t>=U1550-W1550</t>
  </si>
  <si>
    <t>=IF(U1550&lt;&gt;0,X1550/U1550,"")</t>
  </si>
  <si>
    <t>=NL("Sum","5802 Value Entry","150 Sales Amount (Expected)","41 Source Type",$C$5,"5 Source No.",$C1550,"4 Item Ledger Entry Type",$C$4,"2 Item No.","@@"&amp;$F1550,"3 Posting Date",Z$9)+NL("Sum","5802 Value Entry","17 Sales Amount (Actual)","41 Source Type",$C$5,"5 Source no.",$C1550,"4 Item Ledger Entry Type",$C$4,"2 Item No.","@@"&amp;$F1550,"3 Posting Date",Z$9)</t>
  </si>
  <si>
    <t>=-NL("Sum","5802 Value Entry","151 Cost Amount (Expected)","41 Source Type",$C$5,"5 Source No.",$C1550,"4 Item Ledger Entry Type",$C$4,"2 Item No.","@@"&amp;$F1550,"3 Posting Date",Z$9)-NL("Sum","5802 Value Entry","43 Cost Amount (Actual)","41 Source Type",$C$5,"5 Source no.",$C1550,"4 Item Ledger Entry Type",$C$4,"2 Item No.","@@"&amp;$F1550,"3 Posting Date",Z$9)</t>
  </si>
  <si>
    <t>=Z1550-AB1550</t>
  </si>
  <si>
    <t>=IF(Z1550&lt;&gt;0,AC1550/Z1550,"")</t>
  </si>
  <si>
    <t>=C1550</t>
  </si>
  <si>
    <t>=NL("Sum","5802 Value Entry","150 Sales Amount (Expected)","41 Source Type",$C$5,"5 Source No.",$C1551,"4 Item Ledger Entry Type",$C$4,"2 Item No.","@@"&amp;$F1551,"3 Posting Date",J$9)+NL("Sum","5802 Value Entry","17 Sales Amount (Actual)","41 Source Type",$C$5,"5 Source no.",$C1551,"4 Item Ledger Entry Type",$C$4,"2 Item No.","@@"&amp;$F1551,"3 Posting Date",J$9)</t>
  </si>
  <si>
    <t>=-NL("Sum","5802 Value Entry","151 Cost Amount (Expected)","41 Source Type",$C$5,"5 Source No.",$C1551,"4 Item Ledger Entry Type",$C$4,"2 Item No.","@@"&amp;$F1551,"3 Posting Date",J$9)-NL("Sum","5802 Value Entry","43 Cost Amount (Actual)","41 Source Type",$C$5,"5 Source no.",$C1551,"4 Item Ledger Entry Type",$C$4,"2 Item No.","@@"&amp;$F1551,"3 Posting Date",J$9)</t>
  </si>
  <si>
    <t>=J1551-L1551</t>
  </si>
  <si>
    <t>=IF(J1551&lt;&gt;0,M1551/J1551,"")</t>
  </si>
  <si>
    <t>=NL("Sum","5802 Value Entry","150 Sales Amount (Expected)","41 Source Type",$C$5,"5 Source No.",$C1551,"4 Item Ledger Entry Type",$C$4,"2 Item No.","@@"&amp;$F1551,"3 Posting Date",O$9)+NL("Sum","5802 Value Entry","17 Sales Amount (Actual)","41 Source Type",$C$5,"5 Source no.",$C1551,"4 Item Ledger Entry Type",$C$4,"2 Item No.","@@"&amp;$F1551,"3 Posting Date",O$9)</t>
  </si>
  <si>
    <t>=-NL("Sum","5802 Value Entry","151 Cost Amount (Expected)","41 Source Type",$C$5,"5 Source No.",$C1551,"4 Item Ledger Entry Type",$C$4,"2 Item No.","@@"&amp;$F1551,"3 Posting Date",O$9)-NL("Sum","5802 Value Entry","43 Cost Amount (Actual)","41 Source Type",$C$5,"5 Source no.",$C1551,"4 Item Ledger Entry Type",$C$4,"2 Item No.","@@"&amp;$F1551,"3 Posting Date",O$9)</t>
  </si>
  <si>
    <t>=O1551-Q1551</t>
  </si>
  <si>
    <t>=IF(O1551&lt;&gt;0,R1551/O1551,"")</t>
  </si>
  <si>
    <t>=NL("Sum","5802 Value Entry","150 Sales Amount (Expected)","41 Source Type",$C$5,"5 Source No.",$C1551,"4 Item Ledger Entry Type",$C$4,"2 Item No.","@@"&amp;$F1551,"3 Posting Date",U$9)+NL("Sum","5802 Value Entry","17 Sales Amount (Actual)","41 Source Type",$C$5,"5 Source no.",$C1551,"4 Item Ledger Entry Type",$C$4,"2 Item No.","@@"&amp;$F1551,"3 Posting Date",U$9)</t>
  </si>
  <si>
    <t>=-NL("Sum","5802 Value Entry","151 Cost Amount (Expected)","41 Source Type",$C$5,"5 Source No.",$C1551,"4 Item Ledger Entry Type",$C$4,"2 Item No.","@@"&amp;$F1551,"3 Posting Date",U$9)-NL("Sum","5802 Value Entry","43 Cost Amount (Actual)","41 Source Type",$C$5,"5 Source no.",$C1551,"4 Item Ledger Entry Type",$C$4,"2 Item No.","@@"&amp;$F1551,"3 Posting Date",U$9)</t>
  </si>
  <si>
    <t>=U1551-W1551</t>
  </si>
  <si>
    <t>=IF(U1551&lt;&gt;0,X1551/U1551,"")</t>
  </si>
  <si>
    <t>=NL("Sum","5802 Value Entry","150 Sales Amount (Expected)","41 Source Type",$C$5,"5 Source No.",$C1551,"4 Item Ledger Entry Type",$C$4,"2 Item No.","@@"&amp;$F1551,"3 Posting Date",Z$9)+NL("Sum","5802 Value Entry","17 Sales Amount (Actual)","41 Source Type",$C$5,"5 Source no.",$C1551,"4 Item Ledger Entry Type",$C$4,"2 Item No.","@@"&amp;$F1551,"3 Posting Date",Z$9)</t>
  </si>
  <si>
    <t>=-NL("Sum","5802 Value Entry","151 Cost Amount (Expected)","41 Source Type",$C$5,"5 Source No.",$C1551,"4 Item Ledger Entry Type",$C$4,"2 Item No.","@@"&amp;$F1551,"3 Posting Date",Z$9)-NL("Sum","5802 Value Entry","43 Cost Amount (Actual)","41 Source Type",$C$5,"5 Source no.",$C1551,"4 Item Ledger Entry Type",$C$4,"2 Item No.","@@"&amp;$F1551,"3 Posting Date",Z$9)</t>
  </si>
  <si>
    <t>=Z1551-AB1551</t>
  </si>
  <si>
    <t>=IF(Z1551&lt;&gt;0,AC1551/Z1551,"")</t>
  </si>
  <si>
    <t>=C1551</t>
  </si>
  <si>
    <t>=NL("Sum","5802 Value Entry","150 Sales Amount (Expected)","41 Source Type",$C$5,"5 Source No.",$C1552,"4 Item Ledger Entry Type",$C$4,"2 Item No.","@@"&amp;$F1552,"3 Posting Date",J$9)+NL("Sum","5802 Value Entry","17 Sales Amount (Actual)","41 Source Type",$C$5,"5 Source no.",$C1552,"4 Item Ledger Entry Type",$C$4,"2 Item No.","@@"&amp;$F1552,"3 Posting Date",J$9)</t>
  </si>
  <si>
    <t>=-NL("Sum","5802 Value Entry","151 Cost Amount (Expected)","41 Source Type",$C$5,"5 Source No.",$C1552,"4 Item Ledger Entry Type",$C$4,"2 Item No.","@@"&amp;$F1552,"3 Posting Date",J$9)-NL("Sum","5802 Value Entry","43 Cost Amount (Actual)","41 Source Type",$C$5,"5 Source no.",$C1552,"4 Item Ledger Entry Type",$C$4,"2 Item No.","@@"&amp;$F1552,"3 Posting Date",J$9)</t>
  </si>
  <si>
    <t>=J1552-L1552</t>
  </si>
  <si>
    <t>=IF(J1552&lt;&gt;0,M1552/J1552,"")</t>
  </si>
  <si>
    <t>=NL("Sum","5802 Value Entry","150 Sales Amount (Expected)","41 Source Type",$C$5,"5 Source No.",$C1552,"4 Item Ledger Entry Type",$C$4,"2 Item No.","@@"&amp;$F1552,"3 Posting Date",O$9)+NL("Sum","5802 Value Entry","17 Sales Amount (Actual)","41 Source Type",$C$5,"5 Source no.",$C1552,"4 Item Ledger Entry Type",$C$4,"2 Item No.","@@"&amp;$F1552,"3 Posting Date",O$9)</t>
  </si>
  <si>
    <t>=-NL("Sum","5802 Value Entry","151 Cost Amount (Expected)","41 Source Type",$C$5,"5 Source No.",$C1552,"4 Item Ledger Entry Type",$C$4,"2 Item No.","@@"&amp;$F1552,"3 Posting Date",O$9)-NL("Sum","5802 Value Entry","43 Cost Amount (Actual)","41 Source Type",$C$5,"5 Source no.",$C1552,"4 Item Ledger Entry Type",$C$4,"2 Item No.","@@"&amp;$F1552,"3 Posting Date",O$9)</t>
  </si>
  <si>
    <t>=O1552-Q1552</t>
  </si>
  <si>
    <t>=IF(O1552&lt;&gt;0,R1552/O1552,"")</t>
  </si>
  <si>
    <t>=NL("Sum","5802 Value Entry","150 Sales Amount (Expected)","41 Source Type",$C$5,"5 Source No.",$C1552,"4 Item Ledger Entry Type",$C$4,"2 Item No.","@@"&amp;$F1552,"3 Posting Date",U$9)+NL("Sum","5802 Value Entry","17 Sales Amount (Actual)","41 Source Type",$C$5,"5 Source no.",$C1552,"4 Item Ledger Entry Type",$C$4,"2 Item No.","@@"&amp;$F1552,"3 Posting Date",U$9)</t>
  </si>
  <si>
    <t>=-NL("Sum","5802 Value Entry","151 Cost Amount (Expected)","41 Source Type",$C$5,"5 Source No.",$C1552,"4 Item Ledger Entry Type",$C$4,"2 Item No.","@@"&amp;$F1552,"3 Posting Date",U$9)-NL("Sum","5802 Value Entry","43 Cost Amount (Actual)","41 Source Type",$C$5,"5 Source no.",$C1552,"4 Item Ledger Entry Type",$C$4,"2 Item No.","@@"&amp;$F1552,"3 Posting Date",U$9)</t>
  </si>
  <si>
    <t>=U1552-W1552</t>
  </si>
  <si>
    <t>=IF(U1552&lt;&gt;0,X1552/U1552,"")</t>
  </si>
  <si>
    <t>=NL("Sum","5802 Value Entry","150 Sales Amount (Expected)","41 Source Type",$C$5,"5 Source No.",$C1552,"4 Item Ledger Entry Type",$C$4,"2 Item No.","@@"&amp;$F1552,"3 Posting Date",Z$9)+NL("Sum","5802 Value Entry","17 Sales Amount (Actual)","41 Source Type",$C$5,"5 Source no.",$C1552,"4 Item Ledger Entry Type",$C$4,"2 Item No.","@@"&amp;$F1552,"3 Posting Date",Z$9)</t>
  </si>
  <si>
    <t>=-NL("Sum","5802 Value Entry","151 Cost Amount (Expected)","41 Source Type",$C$5,"5 Source No.",$C1552,"4 Item Ledger Entry Type",$C$4,"2 Item No.","@@"&amp;$F1552,"3 Posting Date",Z$9)-NL("Sum","5802 Value Entry","43 Cost Amount (Actual)","41 Source Type",$C$5,"5 Source no.",$C1552,"4 Item Ledger Entry Type",$C$4,"2 Item No.","@@"&amp;$F1552,"3 Posting Date",Z$9)</t>
  </si>
  <si>
    <t>=Z1552-AB1552</t>
  </si>
  <si>
    <t>=IF(Z1552&lt;&gt;0,AC1552/Z1552,"")</t>
  </si>
  <si>
    <t>=C1552</t>
  </si>
  <si>
    <t>=NL("Sum","5802 Value Entry","150 Sales Amount (Expected)","41 Source Type",$C$5,"5 Source No.",$C1553,"4 Item Ledger Entry Type",$C$4,"2 Item No.","@@"&amp;$F1553,"3 Posting Date",J$9)+NL("Sum","5802 Value Entry","17 Sales Amount (Actual)","41 Source Type",$C$5,"5 Source no.",$C1553,"4 Item Ledger Entry Type",$C$4,"2 Item No.","@@"&amp;$F1553,"3 Posting Date",J$9)</t>
  </si>
  <si>
    <t>=-NL("Sum","5802 Value Entry","151 Cost Amount (Expected)","41 Source Type",$C$5,"5 Source No.",$C1553,"4 Item Ledger Entry Type",$C$4,"2 Item No.","@@"&amp;$F1553,"3 Posting Date",J$9)-NL("Sum","5802 Value Entry","43 Cost Amount (Actual)","41 Source Type",$C$5,"5 Source no.",$C1553,"4 Item Ledger Entry Type",$C$4,"2 Item No.","@@"&amp;$F1553,"3 Posting Date",J$9)</t>
  </si>
  <si>
    <t>=J1553-L1553</t>
  </si>
  <si>
    <t>=IF(J1553&lt;&gt;0,M1553/J1553,"")</t>
  </si>
  <si>
    <t>=NL("Sum","5802 Value Entry","150 Sales Amount (Expected)","41 Source Type",$C$5,"5 Source No.",$C1553,"4 Item Ledger Entry Type",$C$4,"2 Item No.","@@"&amp;$F1553,"3 Posting Date",O$9)+NL("Sum","5802 Value Entry","17 Sales Amount (Actual)","41 Source Type",$C$5,"5 Source no.",$C1553,"4 Item Ledger Entry Type",$C$4,"2 Item No.","@@"&amp;$F1553,"3 Posting Date",O$9)</t>
  </si>
  <si>
    <t>=-NL("Sum","5802 Value Entry","151 Cost Amount (Expected)","41 Source Type",$C$5,"5 Source No.",$C1553,"4 Item Ledger Entry Type",$C$4,"2 Item No.","@@"&amp;$F1553,"3 Posting Date",O$9)-NL("Sum","5802 Value Entry","43 Cost Amount (Actual)","41 Source Type",$C$5,"5 Source no.",$C1553,"4 Item Ledger Entry Type",$C$4,"2 Item No.","@@"&amp;$F1553,"3 Posting Date",O$9)</t>
  </si>
  <si>
    <t>=O1553-Q1553</t>
  </si>
  <si>
    <t>=IF(O1553&lt;&gt;0,R1553/O1553,"")</t>
  </si>
  <si>
    <t>=NL("Sum","5802 Value Entry","150 Sales Amount (Expected)","41 Source Type",$C$5,"5 Source No.",$C1553,"4 Item Ledger Entry Type",$C$4,"2 Item No.","@@"&amp;$F1553,"3 Posting Date",U$9)+NL("Sum","5802 Value Entry","17 Sales Amount (Actual)","41 Source Type",$C$5,"5 Source no.",$C1553,"4 Item Ledger Entry Type",$C$4,"2 Item No.","@@"&amp;$F1553,"3 Posting Date",U$9)</t>
  </si>
  <si>
    <t>=-NL("Sum","5802 Value Entry","151 Cost Amount (Expected)","41 Source Type",$C$5,"5 Source No.",$C1553,"4 Item Ledger Entry Type",$C$4,"2 Item No.","@@"&amp;$F1553,"3 Posting Date",U$9)-NL("Sum","5802 Value Entry","43 Cost Amount (Actual)","41 Source Type",$C$5,"5 Source no.",$C1553,"4 Item Ledger Entry Type",$C$4,"2 Item No.","@@"&amp;$F1553,"3 Posting Date",U$9)</t>
  </si>
  <si>
    <t>=U1553-W1553</t>
  </si>
  <si>
    <t>=IF(U1553&lt;&gt;0,X1553/U1553,"")</t>
  </si>
  <si>
    <t>=NL("Sum","5802 Value Entry","150 Sales Amount (Expected)","41 Source Type",$C$5,"5 Source No.",$C1553,"4 Item Ledger Entry Type",$C$4,"2 Item No.","@@"&amp;$F1553,"3 Posting Date",Z$9)+NL("Sum","5802 Value Entry","17 Sales Amount (Actual)","41 Source Type",$C$5,"5 Source no.",$C1553,"4 Item Ledger Entry Type",$C$4,"2 Item No.","@@"&amp;$F1553,"3 Posting Date",Z$9)</t>
  </si>
  <si>
    <t>=-NL("Sum","5802 Value Entry","151 Cost Amount (Expected)","41 Source Type",$C$5,"5 Source No.",$C1553,"4 Item Ledger Entry Type",$C$4,"2 Item No.","@@"&amp;$F1553,"3 Posting Date",Z$9)-NL("Sum","5802 Value Entry","43 Cost Amount (Actual)","41 Source Type",$C$5,"5 Source no.",$C1553,"4 Item Ledger Entry Type",$C$4,"2 Item No.","@@"&amp;$F1553,"3 Posting Date",Z$9)</t>
  </si>
  <si>
    <t>=Z1553-AB1553</t>
  </si>
  <si>
    <t>=IF(Z1553&lt;&gt;0,AC1553/Z1553,"")</t>
  </si>
  <si>
    <t>=C1553</t>
  </si>
  <si>
    <t>=NL("Sum","5802 Value Entry","150 Sales Amount (Expected)","41 Source Type",$C$5,"5 Source No.",$C1554,"4 Item Ledger Entry Type",$C$4,"2 Item No.","@@"&amp;$F1554,"3 Posting Date",J$9)+NL("Sum","5802 Value Entry","17 Sales Amount (Actual)","41 Source Type",$C$5,"5 Source no.",$C1554,"4 Item Ledger Entry Type",$C$4,"2 Item No.","@@"&amp;$F1554,"3 Posting Date",J$9)</t>
  </si>
  <si>
    <t>=-NL("Sum","5802 Value Entry","151 Cost Amount (Expected)","41 Source Type",$C$5,"5 Source No.",$C1554,"4 Item Ledger Entry Type",$C$4,"2 Item No.","@@"&amp;$F1554,"3 Posting Date",J$9)-NL("Sum","5802 Value Entry","43 Cost Amount (Actual)","41 Source Type",$C$5,"5 Source no.",$C1554,"4 Item Ledger Entry Type",$C$4,"2 Item No.","@@"&amp;$F1554,"3 Posting Date",J$9)</t>
  </si>
  <si>
    <t>=J1554-L1554</t>
  </si>
  <si>
    <t>=IF(J1554&lt;&gt;0,M1554/J1554,"")</t>
  </si>
  <si>
    <t>=NL("Sum","5802 Value Entry","150 Sales Amount (Expected)","41 Source Type",$C$5,"5 Source No.",$C1554,"4 Item Ledger Entry Type",$C$4,"2 Item No.","@@"&amp;$F1554,"3 Posting Date",O$9)+NL("Sum","5802 Value Entry","17 Sales Amount (Actual)","41 Source Type",$C$5,"5 Source no.",$C1554,"4 Item Ledger Entry Type",$C$4,"2 Item No.","@@"&amp;$F1554,"3 Posting Date",O$9)</t>
  </si>
  <si>
    <t>=-NL("Sum","5802 Value Entry","151 Cost Amount (Expected)","41 Source Type",$C$5,"5 Source No.",$C1554,"4 Item Ledger Entry Type",$C$4,"2 Item No.","@@"&amp;$F1554,"3 Posting Date",O$9)-NL("Sum","5802 Value Entry","43 Cost Amount (Actual)","41 Source Type",$C$5,"5 Source no.",$C1554,"4 Item Ledger Entry Type",$C$4,"2 Item No.","@@"&amp;$F1554,"3 Posting Date",O$9)</t>
  </si>
  <si>
    <t>=O1554-Q1554</t>
  </si>
  <si>
    <t>=IF(O1554&lt;&gt;0,R1554/O1554,"")</t>
  </si>
  <si>
    <t>=NL("Sum","5802 Value Entry","150 Sales Amount (Expected)","41 Source Type",$C$5,"5 Source No.",$C1554,"4 Item Ledger Entry Type",$C$4,"2 Item No.","@@"&amp;$F1554,"3 Posting Date",U$9)+NL("Sum","5802 Value Entry","17 Sales Amount (Actual)","41 Source Type",$C$5,"5 Source no.",$C1554,"4 Item Ledger Entry Type",$C$4,"2 Item No.","@@"&amp;$F1554,"3 Posting Date",U$9)</t>
  </si>
  <si>
    <t>=-NL("Sum","5802 Value Entry","151 Cost Amount (Expected)","41 Source Type",$C$5,"5 Source No.",$C1554,"4 Item Ledger Entry Type",$C$4,"2 Item No.","@@"&amp;$F1554,"3 Posting Date",U$9)-NL("Sum","5802 Value Entry","43 Cost Amount (Actual)","41 Source Type",$C$5,"5 Source no.",$C1554,"4 Item Ledger Entry Type",$C$4,"2 Item No.","@@"&amp;$F1554,"3 Posting Date",U$9)</t>
  </si>
  <si>
    <t>=U1554-W1554</t>
  </si>
  <si>
    <t>=IF(U1554&lt;&gt;0,X1554/U1554,"")</t>
  </si>
  <si>
    <t>=NL("Sum","5802 Value Entry","150 Sales Amount (Expected)","41 Source Type",$C$5,"5 Source No.",$C1554,"4 Item Ledger Entry Type",$C$4,"2 Item No.","@@"&amp;$F1554,"3 Posting Date",Z$9)+NL("Sum","5802 Value Entry","17 Sales Amount (Actual)","41 Source Type",$C$5,"5 Source no.",$C1554,"4 Item Ledger Entry Type",$C$4,"2 Item No.","@@"&amp;$F1554,"3 Posting Date",Z$9)</t>
  </si>
  <si>
    <t>=-NL("Sum","5802 Value Entry","151 Cost Amount (Expected)","41 Source Type",$C$5,"5 Source No.",$C1554,"4 Item Ledger Entry Type",$C$4,"2 Item No.","@@"&amp;$F1554,"3 Posting Date",Z$9)-NL("Sum","5802 Value Entry","43 Cost Amount (Actual)","41 Source Type",$C$5,"5 Source no.",$C1554,"4 Item Ledger Entry Type",$C$4,"2 Item No.","@@"&amp;$F1554,"3 Posting Date",Z$9)</t>
  </si>
  <si>
    <t>=Z1554-AB1554</t>
  </si>
  <si>
    <t>=IF(Z1554&lt;&gt;0,AC1554/Z1554,"")</t>
  </si>
  <si>
    <t>=C1554</t>
  </si>
  <si>
    <t>=NL("Sum","5802 Value Entry","150 Sales Amount (Expected)","41 Source Type",$C$5,"5 Source No.",$C1555,"4 Item Ledger Entry Type",$C$4,"2 Item No.","@@"&amp;$F1555,"3 Posting Date",J$9)+NL("Sum","5802 Value Entry","17 Sales Amount (Actual)","41 Source Type",$C$5,"5 Source no.",$C1555,"4 Item Ledger Entry Type",$C$4,"2 Item No.","@@"&amp;$F1555,"3 Posting Date",J$9)</t>
  </si>
  <si>
    <t>=-NL("Sum","5802 Value Entry","151 Cost Amount (Expected)","41 Source Type",$C$5,"5 Source No.",$C1555,"4 Item Ledger Entry Type",$C$4,"2 Item No.","@@"&amp;$F1555,"3 Posting Date",J$9)-NL("Sum","5802 Value Entry","43 Cost Amount (Actual)","41 Source Type",$C$5,"5 Source no.",$C1555,"4 Item Ledger Entry Type",$C$4,"2 Item No.","@@"&amp;$F1555,"3 Posting Date",J$9)</t>
  </si>
  <si>
    <t>=J1555-L1555</t>
  </si>
  <si>
    <t>=IF(J1555&lt;&gt;0,M1555/J1555,"")</t>
  </si>
  <si>
    <t>=NL("Sum","5802 Value Entry","150 Sales Amount (Expected)","41 Source Type",$C$5,"5 Source No.",$C1555,"4 Item Ledger Entry Type",$C$4,"2 Item No.","@@"&amp;$F1555,"3 Posting Date",O$9)+NL("Sum","5802 Value Entry","17 Sales Amount (Actual)","41 Source Type",$C$5,"5 Source no.",$C1555,"4 Item Ledger Entry Type",$C$4,"2 Item No.","@@"&amp;$F1555,"3 Posting Date",O$9)</t>
  </si>
  <si>
    <t>=-NL("Sum","5802 Value Entry","151 Cost Amount (Expected)","41 Source Type",$C$5,"5 Source No.",$C1555,"4 Item Ledger Entry Type",$C$4,"2 Item No.","@@"&amp;$F1555,"3 Posting Date",O$9)-NL("Sum","5802 Value Entry","43 Cost Amount (Actual)","41 Source Type",$C$5,"5 Source no.",$C1555,"4 Item Ledger Entry Type",$C$4,"2 Item No.","@@"&amp;$F1555,"3 Posting Date",O$9)</t>
  </si>
  <si>
    <t>=O1555-Q1555</t>
  </si>
  <si>
    <t>=IF(O1555&lt;&gt;0,R1555/O1555,"")</t>
  </si>
  <si>
    <t>=NL("Sum","5802 Value Entry","150 Sales Amount (Expected)","41 Source Type",$C$5,"5 Source No.",$C1555,"4 Item Ledger Entry Type",$C$4,"2 Item No.","@@"&amp;$F1555,"3 Posting Date",U$9)+NL("Sum","5802 Value Entry","17 Sales Amount (Actual)","41 Source Type",$C$5,"5 Source no.",$C1555,"4 Item Ledger Entry Type",$C$4,"2 Item No.","@@"&amp;$F1555,"3 Posting Date",U$9)</t>
  </si>
  <si>
    <t>=-NL("Sum","5802 Value Entry","151 Cost Amount (Expected)","41 Source Type",$C$5,"5 Source No.",$C1555,"4 Item Ledger Entry Type",$C$4,"2 Item No.","@@"&amp;$F1555,"3 Posting Date",U$9)-NL("Sum","5802 Value Entry","43 Cost Amount (Actual)","41 Source Type",$C$5,"5 Source no.",$C1555,"4 Item Ledger Entry Type",$C$4,"2 Item No.","@@"&amp;$F1555,"3 Posting Date",U$9)</t>
  </si>
  <si>
    <t>=U1555-W1555</t>
  </si>
  <si>
    <t>=IF(U1555&lt;&gt;0,X1555/U1555,"")</t>
  </si>
  <si>
    <t>=NL("Sum","5802 Value Entry","150 Sales Amount (Expected)","41 Source Type",$C$5,"5 Source No.",$C1555,"4 Item Ledger Entry Type",$C$4,"2 Item No.","@@"&amp;$F1555,"3 Posting Date",Z$9)+NL("Sum","5802 Value Entry","17 Sales Amount (Actual)","41 Source Type",$C$5,"5 Source no.",$C1555,"4 Item Ledger Entry Type",$C$4,"2 Item No.","@@"&amp;$F1555,"3 Posting Date",Z$9)</t>
  </si>
  <si>
    <t>=-NL("Sum","5802 Value Entry","151 Cost Amount (Expected)","41 Source Type",$C$5,"5 Source No.",$C1555,"4 Item Ledger Entry Type",$C$4,"2 Item No.","@@"&amp;$F1555,"3 Posting Date",Z$9)-NL("Sum","5802 Value Entry","43 Cost Amount (Actual)","41 Source Type",$C$5,"5 Source no.",$C1555,"4 Item Ledger Entry Type",$C$4,"2 Item No.","@@"&amp;$F1555,"3 Posting Date",Z$9)</t>
  </si>
  <si>
    <t>=Z1555-AB1555</t>
  </si>
  <si>
    <t>=IF(Z1555&lt;&gt;0,AC1555/Z1555,"")</t>
  </si>
  <si>
    <t>=C1555</t>
  </si>
  <si>
    <t>=NL("Sum","5802 Value Entry","150 Sales Amount (Expected)","41 Source Type",$C$5,"5 Source No.",$C1556,"4 Item Ledger Entry Type",$C$4,"2 Item No.","@@"&amp;$F1556,"3 Posting Date",J$9)+NL("Sum","5802 Value Entry","17 Sales Amount (Actual)","41 Source Type",$C$5,"5 Source no.",$C1556,"4 Item Ledger Entry Type",$C$4,"2 Item No.","@@"&amp;$F1556,"3 Posting Date",J$9)</t>
  </si>
  <si>
    <t>=-NL("Sum","5802 Value Entry","151 Cost Amount (Expected)","41 Source Type",$C$5,"5 Source No.",$C1556,"4 Item Ledger Entry Type",$C$4,"2 Item No.","@@"&amp;$F1556,"3 Posting Date",J$9)-NL("Sum","5802 Value Entry","43 Cost Amount (Actual)","41 Source Type",$C$5,"5 Source no.",$C1556,"4 Item Ledger Entry Type",$C$4,"2 Item No.","@@"&amp;$F1556,"3 Posting Date",J$9)</t>
  </si>
  <si>
    <t>=J1556-L1556</t>
  </si>
  <si>
    <t>=IF(J1556&lt;&gt;0,M1556/J1556,"")</t>
  </si>
  <si>
    <t>=NL("Sum","5802 Value Entry","150 Sales Amount (Expected)","41 Source Type",$C$5,"5 Source No.",$C1556,"4 Item Ledger Entry Type",$C$4,"2 Item No.","@@"&amp;$F1556,"3 Posting Date",O$9)+NL("Sum","5802 Value Entry","17 Sales Amount (Actual)","41 Source Type",$C$5,"5 Source no.",$C1556,"4 Item Ledger Entry Type",$C$4,"2 Item No.","@@"&amp;$F1556,"3 Posting Date",O$9)</t>
  </si>
  <si>
    <t>=-NL("Sum","5802 Value Entry","151 Cost Amount (Expected)","41 Source Type",$C$5,"5 Source No.",$C1556,"4 Item Ledger Entry Type",$C$4,"2 Item No.","@@"&amp;$F1556,"3 Posting Date",O$9)-NL("Sum","5802 Value Entry","43 Cost Amount (Actual)","41 Source Type",$C$5,"5 Source no.",$C1556,"4 Item Ledger Entry Type",$C$4,"2 Item No.","@@"&amp;$F1556,"3 Posting Date",O$9)</t>
  </si>
  <si>
    <t>=O1556-Q1556</t>
  </si>
  <si>
    <t>=IF(O1556&lt;&gt;0,R1556/O1556,"")</t>
  </si>
  <si>
    <t>=NL("Sum","5802 Value Entry","150 Sales Amount (Expected)","41 Source Type",$C$5,"5 Source No.",$C1556,"4 Item Ledger Entry Type",$C$4,"2 Item No.","@@"&amp;$F1556,"3 Posting Date",U$9)+NL("Sum","5802 Value Entry","17 Sales Amount (Actual)","41 Source Type",$C$5,"5 Source no.",$C1556,"4 Item Ledger Entry Type",$C$4,"2 Item No.","@@"&amp;$F1556,"3 Posting Date",U$9)</t>
  </si>
  <si>
    <t>=-NL("Sum","5802 Value Entry","151 Cost Amount (Expected)","41 Source Type",$C$5,"5 Source No.",$C1556,"4 Item Ledger Entry Type",$C$4,"2 Item No.","@@"&amp;$F1556,"3 Posting Date",U$9)-NL("Sum","5802 Value Entry","43 Cost Amount (Actual)","41 Source Type",$C$5,"5 Source no.",$C1556,"4 Item Ledger Entry Type",$C$4,"2 Item No.","@@"&amp;$F1556,"3 Posting Date",U$9)</t>
  </si>
  <si>
    <t>=U1556-W1556</t>
  </si>
  <si>
    <t>=IF(U1556&lt;&gt;0,X1556/U1556,"")</t>
  </si>
  <si>
    <t>=NL("Sum","5802 Value Entry","150 Sales Amount (Expected)","41 Source Type",$C$5,"5 Source No.",$C1556,"4 Item Ledger Entry Type",$C$4,"2 Item No.","@@"&amp;$F1556,"3 Posting Date",Z$9)+NL("Sum","5802 Value Entry","17 Sales Amount (Actual)","41 Source Type",$C$5,"5 Source no.",$C1556,"4 Item Ledger Entry Type",$C$4,"2 Item No.","@@"&amp;$F1556,"3 Posting Date",Z$9)</t>
  </si>
  <si>
    <t>=-NL("Sum","5802 Value Entry","151 Cost Amount (Expected)","41 Source Type",$C$5,"5 Source No.",$C1556,"4 Item Ledger Entry Type",$C$4,"2 Item No.","@@"&amp;$F1556,"3 Posting Date",Z$9)-NL("Sum","5802 Value Entry","43 Cost Amount (Actual)","41 Source Type",$C$5,"5 Source no.",$C1556,"4 Item Ledger Entry Type",$C$4,"2 Item No.","@@"&amp;$F1556,"3 Posting Date",Z$9)</t>
  </si>
  <si>
    <t>=Z1556-AB1556</t>
  </si>
  <si>
    <t>=IF(Z1556&lt;&gt;0,AC1556/Z1556,"")</t>
  </si>
  <si>
    <t>=C1556</t>
  </si>
  <si>
    <t>=NL("Sum","5802 Value Entry","150 Sales Amount (Expected)","41 Source Type",$C$5,"5 Source No.",$C1557,"4 Item Ledger Entry Type",$C$4,"2 Item No.","@@"&amp;$F1557,"3 Posting Date",J$9)+NL("Sum","5802 Value Entry","17 Sales Amount (Actual)","41 Source Type",$C$5,"5 Source no.",$C1557,"4 Item Ledger Entry Type",$C$4,"2 Item No.","@@"&amp;$F1557,"3 Posting Date",J$9)</t>
  </si>
  <si>
    <t>=-NL("Sum","5802 Value Entry","151 Cost Amount (Expected)","41 Source Type",$C$5,"5 Source No.",$C1557,"4 Item Ledger Entry Type",$C$4,"2 Item No.","@@"&amp;$F1557,"3 Posting Date",J$9)-NL("Sum","5802 Value Entry","43 Cost Amount (Actual)","41 Source Type",$C$5,"5 Source no.",$C1557,"4 Item Ledger Entry Type",$C$4,"2 Item No.","@@"&amp;$F1557,"3 Posting Date",J$9)</t>
  </si>
  <si>
    <t>=J1557-L1557</t>
  </si>
  <si>
    <t>=IF(J1557&lt;&gt;0,M1557/J1557,"")</t>
  </si>
  <si>
    <t>=NL("Sum","5802 Value Entry","150 Sales Amount (Expected)","41 Source Type",$C$5,"5 Source No.",$C1557,"4 Item Ledger Entry Type",$C$4,"2 Item No.","@@"&amp;$F1557,"3 Posting Date",O$9)+NL("Sum","5802 Value Entry","17 Sales Amount (Actual)","41 Source Type",$C$5,"5 Source no.",$C1557,"4 Item Ledger Entry Type",$C$4,"2 Item No.","@@"&amp;$F1557,"3 Posting Date",O$9)</t>
  </si>
  <si>
    <t>=-NL("Sum","5802 Value Entry","151 Cost Amount (Expected)","41 Source Type",$C$5,"5 Source No.",$C1557,"4 Item Ledger Entry Type",$C$4,"2 Item No.","@@"&amp;$F1557,"3 Posting Date",O$9)-NL("Sum","5802 Value Entry","43 Cost Amount (Actual)","41 Source Type",$C$5,"5 Source no.",$C1557,"4 Item Ledger Entry Type",$C$4,"2 Item No.","@@"&amp;$F1557,"3 Posting Date",O$9)</t>
  </si>
  <si>
    <t>=O1557-Q1557</t>
  </si>
  <si>
    <t>=IF(O1557&lt;&gt;0,R1557/O1557,"")</t>
  </si>
  <si>
    <t>=NL("Sum","5802 Value Entry","150 Sales Amount (Expected)","41 Source Type",$C$5,"5 Source No.",$C1557,"4 Item Ledger Entry Type",$C$4,"2 Item No.","@@"&amp;$F1557,"3 Posting Date",U$9)+NL("Sum","5802 Value Entry","17 Sales Amount (Actual)","41 Source Type",$C$5,"5 Source no.",$C1557,"4 Item Ledger Entry Type",$C$4,"2 Item No.","@@"&amp;$F1557,"3 Posting Date",U$9)</t>
  </si>
  <si>
    <t>=-NL("Sum","5802 Value Entry","151 Cost Amount (Expected)","41 Source Type",$C$5,"5 Source No.",$C1557,"4 Item Ledger Entry Type",$C$4,"2 Item No.","@@"&amp;$F1557,"3 Posting Date",U$9)-NL("Sum","5802 Value Entry","43 Cost Amount (Actual)","41 Source Type",$C$5,"5 Source no.",$C1557,"4 Item Ledger Entry Type",$C$4,"2 Item No.","@@"&amp;$F1557,"3 Posting Date",U$9)</t>
  </si>
  <si>
    <t>=U1557-W1557</t>
  </si>
  <si>
    <t>=IF(U1557&lt;&gt;0,X1557/U1557,"")</t>
  </si>
  <si>
    <t>=NL("Sum","5802 Value Entry","150 Sales Amount (Expected)","41 Source Type",$C$5,"5 Source No.",$C1557,"4 Item Ledger Entry Type",$C$4,"2 Item No.","@@"&amp;$F1557,"3 Posting Date",Z$9)+NL("Sum","5802 Value Entry","17 Sales Amount (Actual)","41 Source Type",$C$5,"5 Source no.",$C1557,"4 Item Ledger Entry Type",$C$4,"2 Item No.","@@"&amp;$F1557,"3 Posting Date",Z$9)</t>
  </si>
  <si>
    <t>=-NL("Sum","5802 Value Entry","151 Cost Amount (Expected)","41 Source Type",$C$5,"5 Source No.",$C1557,"4 Item Ledger Entry Type",$C$4,"2 Item No.","@@"&amp;$F1557,"3 Posting Date",Z$9)-NL("Sum","5802 Value Entry","43 Cost Amount (Actual)","41 Source Type",$C$5,"5 Source no.",$C1557,"4 Item Ledger Entry Type",$C$4,"2 Item No.","@@"&amp;$F1557,"3 Posting Date",Z$9)</t>
  </si>
  <si>
    <t>=Z1557-AB1557</t>
  </si>
  <si>
    <t>=IF(Z1557&lt;&gt;0,AC1557/Z1557,"")</t>
  </si>
  <si>
    <t>=C1557</t>
  </si>
  <si>
    <t>=NL("Sum","5802 Value Entry","150 Sales Amount (Expected)","41 Source Type",$C$5,"5 Source No.",$C1558,"4 Item Ledger Entry Type",$C$4,"2 Item No.","@@"&amp;$F1558,"3 Posting Date",J$9)+NL("Sum","5802 Value Entry","17 Sales Amount (Actual)","41 Source Type",$C$5,"5 Source no.",$C1558,"4 Item Ledger Entry Type",$C$4,"2 Item No.","@@"&amp;$F1558,"3 Posting Date",J$9)</t>
  </si>
  <si>
    <t>=-NL("Sum","5802 Value Entry","151 Cost Amount (Expected)","41 Source Type",$C$5,"5 Source No.",$C1558,"4 Item Ledger Entry Type",$C$4,"2 Item No.","@@"&amp;$F1558,"3 Posting Date",J$9)-NL("Sum","5802 Value Entry","43 Cost Amount (Actual)","41 Source Type",$C$5,"5 Source no.",$C1558,"4 Item Ledger Entry Type",$C$4,"2 Item No.","@@"&amp;$F1558,"3 Posting Date",J$9)</t>
  </si>
  <si>
    <t>=J1558-L1558</t>
  </si>
  <si>
    <t>=IF(J1558&lt;&gt;0,M1558/J1558,"")</t>
  </si>
  <si>
    <t>=NL("Sum","5802 Value Entry","150 Sales Amount (Expected)","41 Source Type",$C$5,"5 Source No.",$C1558,"4 Item Ledger Entry Type",$C$4,"2 Item No.","@@"&amp;$F1558,"3 Posting Date",O$9)+NL("Sum","5802 Value Entry","17 Sales Amount (Actual)","41 Source Type",$C$5,"5 Source no.",$C1558,"4 Item Ledger Entry Type",$C$4,"2 Item No.","@@"&amp;$F1558,"3 Posting Date",O$9)</t>
  </si>
  <si>
    <t>=-NL("Sum","5802 Value Entry","151 Cost Amount (Expected)","41 Source Type",$C$5,"5 Source No.",$C1558,"4 Item Ledger Entry Type",$C$4,"2 Item No.","@@"&amp;$F1558,"3 Posting Date",O$9)-NL("Sum","5802 Value Entry","43 Cost Amount (Actual)","41 Source Type",$C$5,"5 Source no.",$C1558,"4 Item Ledger Entry Type",$C$4,"2 Item No.","@@"&amp;$F1558,"3 Posting Date",O$9)</t>
  </si>
  <si>
    <t>=O1558-Q1558</t>
  </si>
  <si>
    <t>=IF(O1558&lt;&gt;0,R1558/O1558,"")</t>
  </si>
  <si>
    <t>=NL("Sum","5802 Value Entry","150 Sales Amount (Expected)","41 Source Type",$C$5,"5 Source No.",$C1558,"4 Item Ledger Entry Type",$C$4,"2 Item No.","@@"&amp;$F1558,"3 Posting Date",U$9)+NL("Sum","5802 Value Entry","17 Sales Amount (Actual)","41 Source Type",$C$5,"5 Source no.",$C1558,"4 Item Ledger Entry Type",$C$4,"2 Item No.","@@"&amp;$F1558,"3 Posting Date",U$9)</t>
  </si>
  <si>
    <t>=-NL("Sum","5802 Value Entry","151 Cost Amount (Expected)","41 Source Type",$C$5,"5 Source No.",$C1558,"4 Item Ledger Entry Type",$C$4,"2 Item No.","@@"&amp;$F1558,"3 Posting Date",U$9)-NL("Sum","5802 Value Entry","43 Cost Amount (Actual)","41 Source Type",$C$5,"5 Source no.",$C1558,"4 Item Ledger Entry Type",$C$4,"2 Item No.","@@"&amp;$F1558,"3 Posting Date",U$9)</t>
  </si>
  <si>
    <t>=U1558-W1558</t>
  </si>
  <si>
    <t>=IF(U1558&lt;&gt;0,X1558/U1558,"")</t>
  </si>
  <si>
    <t>=NL("Sum","5802 Value Entry","150 Sales Amount (Expected)","41 Source Type",$C$5,"5 Source No.",$C1558,"4 Item Ledger Entry Type",$C$4,"2 Item No.","@@"&amp;$F1558,"3 Posting Date",Z$9)+NL("Sum","5802 Value Entry","17 Sales Amount (Actual)","41 Source Type",$C$5,"5 Source no.",$C1558,"4 Item Ledger Entry Type",$C$4,"2 Item No.","@@"&amp;$F1558,"3 Posting Date",Z$9)</t>
  </si>
  <si>
    <t>=-NL("Sum","5802 Value Entry","151 Cost Amount (Expected)","41 Source Type",$C$5,"5 Source No.",$C1558,"4 Item Ledger Entry Type",$C$4,"2 Item No.","@@"&amp;$F1558,"3 Posting Date",Z$9)-NL("Sum","5802 Value Entry","43 Cost Amount (Actual)","41 Source Type",$C$5,"5 Source no.",$C1558,"4 Item Ledger Entry Type",$C$4,"2 Item No.","@@"&amp;$F1558,"3 Posting Date",Z$9)</t>
  </si>
  <si>
    <t>=Z1558-AB1558</t>
  </si>
  <si>
    <t>=IF(Z1558&lt;&gt;0,AC1558/Z1558,"")</t>
  </si>
  <si>
    <t>=C1558</t>
  </si>
  <si>
    <t>=NL("Sum","5802 Value Entry","150 Sales Amount (Expected)","41 Source Type",$C$5,"5 Source No.",$C1559,"4 Item Ledger Entry Type",$C$4,"2 Item No.","@@"&amp;$F1559,"3 Posting Date",J$9)+NL("Sum","5802 Value Entry","17 Sales Amount (Actual)","41 Source Type",$C$5,"5 Source no.",$C1559,"4 Item Ledger Entry Type",$C$4,"2 Item No.","@@"&amp;$F1559,"3 Posting Date",J$9)</t>
  </si>
  <si>
    <t>=-NL("Sum","5802 Value Entry","151 Cost Amount (Expected)","41 Source Type",$C$5,"5 Source No.",$C1559,"4 Item Ledger Entry Type",$C$4,"2 Item No.","@@"&amp;$F1559,"3 Posting Date",J$9)-NL("Sum","5802 Value Entry","43 Cost Amount (Actual)","41 Source Type",$C$5,"5 Source no.",$C1559,"4 Item Ledger Entry Type",$C$4,"2 Item No.","@@"&amp;$F1559,"3 Posting Date",J$9)</t>
  </si>
  <si>
    <t>=J1559-L1559</t>
  </si>
  <si>
    <t>=IF(J1559&lt;&gt;0,M1559/J1559,"")</t>
  </si>
  <si>
    <t>=NL("Sum","5802 Value Entry","150 Sales Amount (Expected)","41 Source Type",$C$5,"5 Source No.",$C1559,"4 Item Ledger Entry Type",$C$4,"2 Item No.","@@"&amp;$F1559,"3 Posting Date",O$9)+NL("Sum","5802 Value Entry","17 Sales Amount (Actual)","41 Source Type",$C$5,"5 Source no.",$C1559,"4 Item Ledger Entry Type",$C$4,"2 Item No.","@@"&amp;$F1559,"3 Posting Date",O$9)</t>
  </si>
  <si>
    <t>=-NL("Sum","5802 Value Entry","151 Cost Amount (Expected)","41 Source Type",$C$5,"5 Source No.",$C1559,"4 Item Ledger Entry Type",$C$4,"2 Item No.","@@"&amp;$F1559,"3 Posting Date",O$9)-NL("Sum","5802 Value Entry","43 Cost Amount (Actual)","41 Source Type",$C$5,"5 Source no.",$C1559,"4 Item Ledger Entry Type",$C$4,"2 Item No.","@@"&amp;$F1559,"3 Posting Date",O$9)</t>
  </si>
  <si>
    <t>=O1559-Q1559</t>
  </si>
  <si>
    <t>=IF(O1559&lt;&gt;0,R1559/O1559,"")</t>
  </si>
  <si>
    <t>=NL("Sum","5802 Value Entry","150 Sales Amount (Expected)","41 Source Type",$C$5,"5 Source No.",$C1559,"4 Item Ledger Entry Type",$C$4,"2 Item No.","@@"&amp;$F1559,"3 Posting Date",U$9)+NL("Sum","5802 Value Entry","17 Sales Amount (Actual)","41 Source Type",$C$5,"5 Source no.",$C1559,"4 Item Ledger Entry Type",$C$4,"2 Item No.","@@"&amp;$F1559,"3 Posting Date",U$9)</t>
  </si>
  <si>
    <t>=-NL("Sum","5802 Value Entry","151 Cost Amount (Expected)","41 Source Type",$C$5,"5 Source No.",$C1559,"4 Item Ledger Entry Type",$C$4,"2 Item No.","@@"&amp;$F1559,"3 Posting Date",U$9)-NL("Sum","5802 Value Entry","43 Cost Amount (Actual)","41 Source Type",$C$5,"5 Source no.",$C1559,"4 Item Ledger Entry Type",$C$4,"2 Item No.","@@"&amp;$F1559,"3 Posting Date",U$9)</t>
  </si>
  <si>
    <t>=U1559-W1559</t>
  </si>
  <si>
    <t>=IF(U1559&lt;&gt;0,X1559/U1559,"")</t>
  </si>
  <si>
    <t>=NL("Sum","5802 Value Entry","150 Sales Amount (Expected)","41 Source Type",$C$5,"5 Source No.",$C1559,"4 Item Ledger Entry Type",$C$4,"2 Item No.","@@"&amp;$F1559,"3 Posting Date",Z$9)+NL("Sum","5802 Value Entry","17 Sales Amount (Actual)","41 Source Type",$C$5,"5 Source no.",$C1559,"4 Item Ledger Entry Type",$C$4,"2 Item No.","@@"&amp;$F1559,"3 Posting Date",Z$9)</t>
  </si>
  <si>
    <t>=-NL("Sum","5802 Value Entry","151 Cost Amount (Expected)","41 Source Type",$C$5,"5 Source No.",$C1559,"4 Item Ledger Entry Type",$C$4,"2 Item No.","@@"&amp;$F1559,"3 Posting Date",Z$9)-NL("Sum","5802 Value Entry","43 Cost Amount (Actual)","41 Source Type",$C$5,"5 Source no.",$C1559,"4 Item Ledger Entry Type",$C$4,"2 Item No.","@@"&amp;$F1559,"3 Posting Date",Z$9)</t>
  </si>
  <si>
    <t>=Z1559-AB1559</t>
  </si>
  <si>
    <t>=IF(Z1559&lt;&gt;0,AC1559/Z1559,"")</t>
  </si>
  <si>
    <t>=C1559</t>
  </si>
  <si>
    <t>=NL("Sum","5802 Value Entry","150 Sales Amount (Expected)","41 Source Type",$C$5,"5 Source No.",$C1560,"4 Item Ledger Entry Type",$C$4,"2 Item No.","@@"&amp;$F1560,"3 Posting Date",J$9)+NL("Sum","5802 Value Entry","17 Sales Amount (Actual)","41 Source Type",$C$5,"5 Source no.",$C1560,"4 Item Ledger Entry Type",$C$4,"2 Item No.","@@"&amp;$F1560,"3 Posting Date",J$9)</t>
  </si>
  <si>
    <t>=-NL("Sum","5802 Value Entry","151 Cost Amount (Expected)","41 Source Type",$C$5,"5 Source No.",$C1560,"4 Item Ledger Entry Type",$C$4,"2 Item No.","@@"&amp;$F1560,"3 Posting Date",J$9)-NL("Sum","5802 Value Entry","43 Cost Amount (Actual)","41 Source Type",$C$5,"5 Source no.",$C1560,"4 Item Ledger Entry Type",$C$4,"2 Item No.","@@"&amp;$F1560,"3 Posting Date",J$9)</t>
  </si>
  <si>
    <t>=J1560-L1560</t>
  </si>
  <si>
    <t>=IF(J1560&lt;&gt;0,M1560/J1560,"")</t>
  </si>
  <si>
    <t>=NL("Sum","5802 Value Entry","150 Sales Amount (Expected)","41 Source Type",$C$5,"5 Source No.",$C1560,"4 Item Ledger Entry Type",$C$4,"2 Item No.","@@"&amp;$F1560,"3 Posting Date",O$9)+NL("Sum","5802 Value Entry","17 Sales Amount (Actual)","41 Source Type",$C$5,"5 Source no.",$C1560,"4 Item Ledger Entry Type",$C$4,"2 Item No.","@@"&amp;$F1560,"3 Posting Date",O$9)</t>
  </si>
  <si>
    <t>=-NL("Sum","5802 Value Entry","151 Cost Amount (Expected)","41 Source Type",$C$5,"5 Source No.",$C1560,"4 Item Ledger Entry Type",$C$4,"2 Item No.","@@"&amp;$F1560,"3 Posting Date",O$9)-NL("Sum","5802 Value Entry","43 Cost Amount (Actual)","41 Source Type",$C$5,"5 Source no.",$C1560,"4 Item Ledger Entry Type",$C$4,"2 Item No.","@@"&amp;$F1560,"3 Posting Date",O$9)</t>
  </si>
  <si>
    <t>=O1560-Q1560</t>
  </si>
  <si>
    <t>=IF(O1560&lt;&gt;0,R1560/O1560,"")</t>
  </si>
  <si>
    <t>=NL("Sum","5802 Value Entry","150 Sales Amount (Expected)","41 Source Type",$C$5,"5 Source No.",$C1560,"4 Item Ledger Entry Type",$C$4,"2 Item No.","@@"&amp;$F1560,"3 Posting Date",U$9)+NL("Sum","5802 Value Entry","17 Sales Amount (Actual)","41 Source Type",$C$5,"5 Source no.",$C1560,"4 Item Ledger Entry Type",$C$4,"2 Item No.","@@"&amp;$F1560,"3 Posting Date",U$9)</t>
  </si>
  <si>
    <t>=-NL("Sum","5802 Value Entry","151 Cost Amount (Expected)","41 Source Type",$C$5,"5 Source No.",$C1560,"4 Item Ledger Entry Type",$C$4,"2 Item No.","@@"&amp;$F1560,"3 Posting Date",U$9)-NL("Sum","5802 Value Entry","43 Cost Amount (Actual)","41 Source Type",$C$5,"5 Source no.",$C1560,"4 Item Ledger Entry Type",$C$4,"2 Item No.","@@"&amp;$F1560,"3 Posting Date",U$9)</t>
  </si>
  <si>
    <t>=U1560-W1560</t>
  </si>
  <si>
    <t>=IF(U1560&lt;&gt;0,X1560/U1560,"")</t>
  </si>
  <si>
    <t>=NL("Sum","5802 Value Entry","150 Sales Amount (Expected)","41 Source Type",$C$5,"5 Source No.",$C1560,"4 Item Ledger Entry Type",$C$4,"2 Item No.","@@"&amp;$F1560,"3 Posting Date",Z$9)+NL("Sum","5802 Value Entry","17 Sales Amount (Actual)","41 Source Type",$C$5,"5 Source no.",$C1560,"4 Item Ledger Entry Type",$C$4,"2 Item No.","@@"&amp;$F1560,"3 Posting Date",Z$9)</t>
  </si>
  <si>
    <t>=-NL("Sum","5802 Value Entry","151 Cost Amount (Expected)","41 Source Type",$C$5,"5 Source No.",$C1560,"4 Item Ledger Entry Type",$C$4,"2 Item No.","@@"&amp;$F1560,"3 Posting Date",Z$9)-NL("Sum","5802 Value Entry","43 Cost Amount (Actual)","41 Source Type",$C$5,"5 Source no.",$C1560,"4 Item Ledger Entry Type",$C$4,"2 Item No.","@@"&amp;$F1560,"3 Posting Date",Z$9)</t>
  </si>
  <si>
    <t>=Z1560-AB1560</t>
  </si>
  <si>
    <t>=IF(Z1560&lt;&gt;0,AC1560/Z1560,"")</t>
  </si>
  <si>
    <t>=C1561</t>
  </si>
  <si>
    <t>=J1562-L1562</t>
  </si>
  <si>
    <t>=IF(J1562&lt;&gt;0,M1562/J1562,"")</t>
  </si>
  <si>
    <t>=O1562-Q1562</t>
  </si>
  <si>
    <t>=IF(O1562&lt;&gt;0,R1562/O1562,"")</t>
  </si>
  <si>
    <t>=U1562-W1562</t>
  </si>
  <si>
    <t>=IF(U1562&lt;&gt;0,X1562/U1562,"")</t>
  </si>
  <si>
    <t>=Z1562-AB1562</t>
  </si>
  <si>
    <t>=IF(Z1562&lt;&gt;0,AC1562/Z1562,"")</t>
  </si>
  <si>
    <t>=C1564</t>
  </si>
  <si>
    <t>=C1565</t>
  </si>
  <si>
    <t>=NL("Sum","5802 Value Entry","150 Sales Amount (Expected)","41 Source Type",$C$5,"5 Source No.",$C1566,"4 Item Ledger Entry Type",$C$4,"2 Item No.","@@"&amp;$F1566,"3 Posting Date",J$9)+NL("Sum","5802 Value Entry","17 Sales Amount (Actual)","41 Source Type",$C$5,"5 Source no.",$C1566,"4 Item Ledger Entry Type",$C$4,"2 Item No.","@@"&amp;$F1566,"3 Posting Date",J$9)</t>
  </si>
  <si>
    <t>=-NL("Sum","5802 Value Entry","151 Cost Amount (Expected)","41 Source Type",$C$5,"5 Source No.",$C1566,"4 Item Ledger Entry Type",$C$4,"2 Item No.","@@"&amp;$F1566,"3 Posting Date",J$9)-NL("Sum","5802 Value Entry","43 Cost Amount (Actual)","41 Source Type",$C$5,"5 Source no.",$C1566,"4 Item Ledger Entry Type",$C$4,"2 Item No.","@@"&amp;$F1566,"3 Posting Date",J$9)</t>
  </si>
  <si>
    <t>=J1566-L1566</t>
  </si>
  <si>
    <t>=IF(J1566&lt;&gt;0,M1566/J1566,"")</t>
  </si>
  <si>
    <t>=NL("Sum","5802 Value Entry","150 Sales Amount (Expected)","41 Source Type",$C$5,"5 Source No.",$C1566,"4 Item Ledger Entry Type",$C$4,"2 Item No.","@@"&amp;$F1566,"3 Posting Date",O$9)+NL("Sum","5802 Value Entry","17 Sales Amount (Actual)","41 Source Type",$C$5,"5 Source no.",$C1566,"4 Item Ledger Entry Type",$C$4,"2 Item No.","@@"&amp;$F1566,"3 Posting Date",O$9)</t>
  </si>
  <si>
    <t>=-NL("Sum","5802 Value Entry","151 Cost Amount (Expected)","41 Source Type",$C$5,"5 Source No.",$C1566,"4 Item Ledger Entry Type",$C$4,"2 Item No.","@@"&amp;$F1566,"3 Posting Date",O$9)-NL("Sum","5802 Value Entry","43 Cost Amount (Actual)","41 Source Type",$C$5,"5 Source no.",$C1566,"4 Item Ledger Entry Type",$C$4,"2 Item No.","@@"&amp;$F1566,"3 Posting Date",O$9)</t>
  </si>
  <si>
    <t>=O1566-Q1566</t>
  </si>
  <si>
    <t>=IF(O1566&lt;&gt;0,R1566/O1566,"")</t>
  </si>
  <si>
    <t>=NL("Sum","5802 Value Entry","150 Sales Amount (Expected)","41 Source Type",$C$5,"5 Source No.",$C1566,"4 Item Ledger Entry Type",$C$4,"2 Item No.","@@"&amp;$F1566,"3 Posting Date",U$9)+NL("Sum","5802 Value Entry","17 Sales Amount (Actual)","41 Source Type",$C$5,"5 Source no.",$C1566,"4 Item Ledger Entry Type",$C$4,"2 Item No.","@@"&amp;$F1566,"3 Posting Date",U$9)</t>
  </si>
  <si>
    <t>=-NL("Sum","5802 Value Entry","151 Cost Amount (Expected)","41 Source Type",$C$5,"5 Source No.",$C1566,"4 Item Ledger Entry Type",$C$4,"2 Item No.","@@"&amp;$F1566,"3 Posting Date",U$9)-NL("Sum","5802 Value Entry","43 Cost Amount (Actual)","41 Source Type",$C$5,"5 Source no.",$C1566,"4 Item Ledger Entry Type",$C$4,"2 Item No.","@@"&amp;$F1566,"3 Posting Date",U$9)</t>
  </si>
  <si>
    <t>=U1566-W1566</t>
  </si>
  <si>
    <t>=IF(U1566&lt;&gt;0,X1566/U1566,"")</t>
  </si>
  <si>
    <t>=NL("Sum","5802 Value Entry","150 Sales Amount (Expected)","41 Source Type",$C$5,"5 Source No.",$C1566,"4 Item Ledger Entry Type",$C$4,"2 Item No.","@@"&amp;$F1566,"3 Posting Date",Z$9)+NL("Sum","5802 Value Entry","17 Sales Amount (Actual)","41 Source Type",$C$5,"5 Source no.",$C1566,"4 Item Ledger Entry Type",$C$4,"2 Item No.","@@"&amp;$F1566,"3 Posting Date",Z$9)</t>
  </si>
  <si>
    <t>=-NL("Sum","5802 Value Entry","151 Cost Amount (Expected)","41 Source Type",$C$5,"5 Source No.",$C1566,"4 Item Ledger Entry Type",$C$4,"2 Item No.","@@"&amp;$F1566,"3 Posting Date",Z$9)-NL("Sum","5802 Value Entry","43 Cost Amount (Actual)","41 Source Type",$C$5,"5 Source no.",$C1566,"4 Item Ledger Entry Type",$C$4,"2 Item No.","@@"&amp;$F1566,"3 Posting Date",Z$9)</t>
  </si>
  <si>
    <t>=Z1566-AB1566</t>
  </si>
  <si>
    <t>=IF(Z1566&lt;&gt;0,AC1566/Z1566,"")</t>
  </si>
  <si>
    <t>=C1566</t>
  </si>
  <si>
    <t>=NL("Sum","5802 Value Entry","150 Sales Amount (Expected)","41 Source Type",$C$5,"5 Source No.",$C1567,"4 Item Ledger Entry Type",$C$4,"2 Item No.","@@"&amp;$F1567,"3 Posting Date",J$9)+NL("Sum","5802 Value Entry","17 Sales Amount (Actual)","41 Source Type",$C$5,"5 Source no.",$C1567,"4 Item Ledger Entry Type",$C$4,"2 Item No.","@@"&amp;$F1567,"3 Posting Date",J$9)</t>
  </si>
  <si>
    <t>=-NL("Sum","5802 Value Entry","151 Cost Amount (Expected)","41 Source Type",$C$5,"5 Source No.",$C1567,"4 Item Ledger Entry Type",$C$4,"2 Item No.","@@"&amp;$F1567,"3 Posting Date",J$9)-NL("Sum","5802 Value Entry","43 Cost Amount (Actual)","41 Source Type",$C$5,"5 Source no.",$C1567,"4 Item Ledger Entry Type",$C$4,"2 Item No.","@@"&amp;$F1567,"3 Posting Date",J$9)</t>
  </si>
  <si>
    <t>=J1567-L1567</t>
  </si>
  <si>
    <t>=IF(J1567&lt;&gt;0,M1567/J1567,"")</t>
  </si>
  <si>
    <t>=NL("Sum","5802 Value Entry","150 Sales Amount (Expected)","41 Source Type",$C$5,"5 Source No.",$C1567,"4 Item Ledger Entry Type",$C$4,"2 Item No.","@@"&amp;$F1567,"3 Posting Date",O$9)+NL("Sum","5802 Value Entry","17 Sales Amount (Actual)","41 Source Type",$C$5,"5 Source no.",$C1567,"4 Item Ledger Entry Type",$C$4,"2 Item No.","@@"&amp;$F1567,"3 Posting Date",O$9)</t>
  </si>
  <si>
    <t>=-NL("Sum","5802 Value Entry","151 Cost Amount (Expected)","41 Source Type",$C$5,"5 Source No.",$C1567,"4 Item Ledger Entry Type",$C$4,"2 Item No.","@@"&amp;$F1567,"3 Posting Date",O$9)-NL("Sum","5802 Value Entry","43 Cost Amount (Actual)","41 Source Type",$C$5,"5 Source no.",$C1567,"4 Item Ledger Entry Type",$C$4,"2 Item No.","@@"&amp;$F1567,"3 Posting Date",O$9)</t>
  </si>
  <si>
    <t>=O1567-Q1567</t>
  </si>
  <si>
    <t>=IF(O1567&lt;&gt;0,R1567/O1567,"")</t>
  </si>
  <si>
    <t>=NL("Sum","5802 Value Entry","150 Sales Amount (Expected)","41 Source Type",$C$5,"5 Source No.",$C1567,"4 Item Ledger Entry Type",$C$4,"2 Item No.","@@"&amp;$F1567,"3 Posting Date",U$9)+NL("Sum","5802 Value Entry","17 Sales Amount (Actual)","41 Source Type",$C$5,"5 Source no.",$C1567,"4 Item Ledger Entry Type",$C$4,"2 Item No.","@@"&amp;$F1567,"3 Posting Date",U$9)</t>
  </si>
  <si>
    <t>=-NL("Sum","5802 Value Entry","151 Cost Amount (Expected)","41 Source Type",$C$5,"5 Source No.",$C1567,"4 Item Ledger Entry Type",$C$4,"2 Item No.","@@"&amp;$F1567,"3 Posting Date",U$9)-NL("Sum","5802 Value Entry","43 Cost Amount (Actual)","41 Source Type",$C$5,"5 Source no.",$C1567,"4 Item Ledger Entry Type",$C$4,"2 Item No.","@@"&amp;$F1567,"3 Posting Date",U$9)</t>
  </si>
  <si>
    <t>=U1567-W1567</t>
  </si>
  <si>
    <t>=IF(U1567&lt;&gt;0,X1567/U1567,"")</t>
  </si>
  <si>
    <t>=NL("Sum","5802 Value Entry","150 Sales Amount (Expected)","41 Source Type",$C$5,"5 Source No.",$C1567,"4 Item Ledger Entry Type",$C$4,"2 Item No.","@@"&amp;$F1567,"3 Posting Date",Z$9)+NL("Sum","5802 Value Entry","17 Sales Amount (Actual)","41 Source Type",$C$5,"5 Source no.",$C1567,"4 Item Ledger Entry Type",$C$4,"2 Item No.","@@"&amp;$F1567,"3 Posting Date",Z$9)</t>
  </si>
  <si>
    <t>=-NL("Sum","5802 Value Entry","151 Cost Amount (Expected)","41 Source Type",$C$5,"5 Source No.",$C1567,"4 Item Ledger Entry Type",$C$4,"2 Item No.","@@"&amp;$F1567,"3 Posting Date",Z$9)-NL("Sum","5802 Value Entry","43 Cost Amount (Actual)","41 Source Type",$C$5,"5 Source no.",$C1567,"4 Item Ledger Entry Type",$C$4,"2 Item No.","@@"&amp;$F1567,"3 Posting Date",Z$9)</t>
  </si>
  <si>
    <t>=Z1567-AB1567</t>
  </si>
  <si>
    <t>=IF(Z1567&lt;&gt;0,AC1567/Z1567,"")</t>
  </si>
  <si>
    <t>=C1567</t>
  </si>
  <si>
    <t>=NL("Sum","5802 Value Entry","150 Sales Amount (Expected)","41 Source Type",$C$5,"5 Source No.",$C1568,"4 Item Ledger Entry Type",$C$4,"2 Item No.","@@"&amp;$F1568,"3 Posting Date",J$9)+NL("Sum","5802 Value Entry","17 Sales Amount (Actual)","41 Source Type",$C$5,"5 Source no.",$C1568,"4 Item Ledger Entry Type",$C$4,"2 Item No.","@@"&amp;$F1568,"3 Posting Date",J$9)</t>
  </si>
  <si>
    <t>=-NL("Sum","5802 Value Entry","151 Cost Amount (Expected)","41 Source Type",$C$5,"5 Source No.",$C1568,"4 Item Ledger Entry Type",$C$4,"2 Item No.","@@"&amp;$F1568,"3 Posting Date",J$9)-NL("Sum","5802 Value Entry","43 Cost Amount (Actual)","41 Source Type",$C$5,"5 Source no.",$C1568,"4 Item Ledger Entry Type",$C$4,"2 Item No.","@@"&amp;$F1568,"3 Posting Date",J$9)</t>
  </si>
  <si>
    <t>=J1568-L1568</t>
  </si>
  <si>
    <t>=IF(J1568&lt;&gt;0,M1568/J1568,"")</t>
  </si>
  <si>
    <t>=NL("Sum","5802 Value Entry","150 Sales Amount (Expected)","41 Source Type",$C$5,"5 Source No.",$C1568,"4 Item Ledger Entry Type",$C$4,"2 Item No.","@@"&amp;$F1568,"3 Posting Date",O$9)+NL("Sum","5802 Value Entry","17 Sales Amount (Actual)","41 Source Type",$C$5,"5 Source no.",$C1568,"4 Item Ledger Entry Type",$C$4,"2 Item No.","@@"&amp;$F1568,"3 Posting Date",O$9)</t>
  </si>
  <si>
    <t>=-NL("Sum","5802 Value Entry","151 Cost Amount (Expected)","41 Source Type",$C$5,"5 Source No.",$C1568,"4 Item Ledger Entry Type",$C$4,"2 Item No.","@@"&amp;$F1568,"3 Posting Date",O$9)-NL("Sum","5802 Value Entry","43 Cost Amount (Actual)","41 Source Type",$C$5,"5 Source no.",$C1568,"4 Item Ledger Entry Type",$C$4,"2 Item No.","@@"&amp;$F1568,"3 Posting Date",O$9)</t>
  </si>
  <si>
    <t>=O1568-Q1568</t>
  </si>
  <si>
    <t>=IF(O1568&lt;&gt;0,R1568/O1568,"")</t>
  </si>
  <si>
    <t>=NL("Sum","5802 Value Entry","150 Sales Amount (Expected)","41 Source Type",$C$5,"5 Source No.",$C1568,"4 Item Ledger Entry Type",$C$4,"2 Item No.","@@"&amp;$F1568,"3 Posting Date",U$9)+NL("Sum","5802 Value Entry","17 Sales Amount (Actual)","41 Source Type",$C$5,"5 Source no.",$C1568,"4 Item Ledger Entry Type",$C$4,"2 Item No.","@@"&amp;$F1568,"3 Posting Date",U$9)</t>
  </si>
  <si>
    <t>=-NL("Sum","5802 Value Entry","151 Cost Amount (Expected)","41 Source Type",$C$5,"5 Source No.",$C1568,"4 Item Ledger Entry Type",$C$4,"2 Item No.","@@"&amp;$F1568,"3 Posting Date",U$9)-NL("Sum","5802 Value Entry","43 Cost Amount (Actual)","41 Source Type",$C$5,"5 Source no.",$C1568,"4 Item Ledger Entry Type",$C$4,"2 Item No.","@@"&amp;$F1568,"3 Posting Date",U$9)</t>
  </si>
  <si>
    <t>=U1568-W1568</t>
  </si>
  <si>
    <t>=IF(U1568&lt;&gt;0,X1568/U1568,"")</t>
  </si>
  <si>
    <t>=NL("Sum","5802 Value Entry","150 Sales Amount (Expected)","41 Source Type",$C$5,"5 Source No.",$C1568,"4 Item Ledger Entry Type",$C$4,"2 Item No.","@@"&amp;$F1568,"3 Posting Date",Z$9)+NL("Sum","5802 Value Entry","17 Sales Amount (Actual)","41 Source Type",$C$5,"5 Source no.",$C1568,"4 Item Ledger Entry Type",$C$4,"2 Item No.","@@"&amp;$F1568,"3 Posting Date",Z$9)</t>
  </si>
  <si>
    <t>=-NL("Sum","5802 Value Entry","151 Cost Amount (Expected)","41 Source Type",$C$5,"5 Source No.",$C1568,"4 Item Ledger Entry Type",$C$4,"2 Item No.","@@"&amp;$F1568,"3 Posting Date",Z$9)-NL("Sum","5802 Value Entry","43 Cost Amount (Actual)","41 Source Type",$C$5,"5 Source no.",$C1568,"4 Item Ledger Entry Type",$C$4,"2 Item No.","@@"&amp;$F1568,"3 Posting Date",Z$9)</t>
  </si>
  <si>
    <t>=Z1568-AB1568</t>
  </si>
  <si>
    <t>=IF(Z1568&lt;&gt;0,AC1568/Z1568,"")</t>
  </si>
  <si>
    <t>=C1568</t>
  </si>
  <si>
    <t>=NL("Sum","5802 Value Entry","150 Sales Amount (Expected)","41 Source Type",$C$5,"5 Source No.",$C1569,"4 Item Ledger Entry Type",$C$4,"2 Item No.","@@"&amp;$F1569,"3 Posting Date",J$9)+NL("Sum","5802 Value Entry","17 Sales Amount (Actual)","41 Source Type",$C$5,"5 Source no.",$C1569,"4 Item Ledger Entry Type",$C$4,"2 Item No.","@@"&amp;$F1569,"3 Posting Date",J$9)</t>
  </si>
  <si>
    <t>=-NL("Sum","5802 Value Entry","151 Cost Amount (Expected)","41 Source Type",$C$5,"5 Source No.",$C1569,"4 Item Ledger Entry Type",$C$4,"2 Item No.","@@"&amp;$F1569,"3 Posting Date",J$9)-NL("Sum","5802 Value Entry","43 Cost Amount (Actual)","41 Source Type",$C$5,"5 Source no.",$C1569,"4 Item Ledger Entry Type",$C$4,"2 Item No.","@@"&amp;$F1569,"3 Posting Date",J$9)</t>
  </si>
  <si>
    <t>=J1569-L1569</t>
  </si>
  <si>
    <t>=IF(J1569&lt;&gt;0,M1569/J1569,"")</t>
  </si>
  <si>
    <t>=NL("Sum","5802 Value Entry","150 Sales Amount (Expected)","41 Source Type",$C$5,"5 Source No.",$C1569,"4 Item Ledger Entry Type",$C$4,"2 Item No.","@@"&amp;$F1569,"3 Posting Date",O$9)+NL("Sum","5802 Value Entry","17 Sales Amount (Actual)","41 Source Type",$C$5,"5 Source no.",$C1569,"4 Item Ledger Entry Type",$C$4,"2 Item No.","@@"&amp;$F1569,"3 Posting Date",O$9)</t>
  </si>
  <si>
    <t>=-NL("Sum","5802 Value Entry","151 Cost Amount (Expected)","41 Source Type",$C$5,"5 Source No.",$C1569,"4 Item Ledger Entry Type",$C$4,"2 Item No.","@@"&amp;$F1569,"3 Posting Date",O$9)-NL("Sum","5802 Value Entry","43 Cost Amount (Actual)","41 Source Type",$C$5,"5 Source no.",$C1569,"4 Item Ledger Entry Type",$C$4,"2 Item No.","@@"&amp;$F1569,"3 Posting Date",O$9)</t>
  </si>
  <si>
    <t>=O1569-Q1569</t>
  </si>
  <si>
    <t>=IF(O1569&lt;&gt;0,R1569/O1569,"")</t>
  </si>
  <si>
    <t>=NL("Sum","5802 Value Entry","150 Sales Amount (Expected)","41 Source Type",$C$5,"5 Source No.",$C1569,"4 Item Ledger Entry Type",$C$4,"2 Item No.","@@"&amp;$F1569,"3 Posting Date",U$9)+NL("Sum","5802 Value Entry","17 Sales Amount (Actual)","41 Source Type",$C$5,"5 Source no.",$C1569,"4 Item Ledger Entry Type",$C$4,"2 Item No.","@@"&amp;$F1569,"3 Posting Date",U$9)</t>
  </si>
  <si>
    <t>=-NL("Sum","5802 Value Entry","151 Cost Amount (Expected)","41 Source Type",$C$5,"5 Source No.",$C1569,"4 Item Ledger Entry Type",$C$4,"2 Item No.","@@"&amp;$F1569,"3 Posting Date",U$9)-NL("Sum","5802 Value Entry","43 Cost Amount (Actual)","41 Source Type",$C$5,"5 Source no.",$C1569,"4 Item Ledger Entry Type",$C$4,"2 Item No.","@@"&amp;$F1569,"3 Posting Date",U$9)</t>
  </si>
  <si>
    <t>=U1569-W1569</t>
  </si>
  <si>
    <t>=IF(U1569&lt;&gt;0,X1569/U1569,"")</t>
  </si>
  <si>
    <t>=NL("Sum","5802 Value Entry","150 Sales Amount (Expected)","41 Source Type",$C$5,"5 Source No.",$C1569,"4 Item Ledger Entry Type",$C$4,"2 Item No.","@@"&amp;$F1569,"3 Posting Date",Z$9)+NL("Sum","5802 Value Entry","17 Sales Amount (Actual)","41 Source Type",$C$5,"5 Source no.",$C1569,"4 Item Ledger Entry Type",$C$4,"2 Item No.","@@"&amp;$F1569,"3 Posting Date",Z$9)</t>
  </si>
  <si>
    <t>=-NL("Sum","5802 Value Entry","151 Cost Amount (Expected)","41 Source Type",$C$5,"5 Source No.",$C1569,"4 Item Ledger Entry Type",$C$4,"2 Item No.","@@"&amp;$F1569,"3 Posting Date",Z$9)-NL("Sum","5802 Value Entry","43 Cost Amount (Actual)","41 Source Type",$C$5,"5 Source no.",$C1569,"4 Item Ledger Entry Type",$C$4,"2 Item No.","@@"&amp;$F1569,"3 Posting Date",Z$9)</t>
  </si>
  <si>
    <t>=Z1569-AB1569</t>
  </si>
  <si>
    <t>=IF(Z1569&lt;&gt;0,AC1569/Z1569,"")</t>
  </si>
  <si>
    <t>=C1569</t>
  </si>
  <si>
    <t>=NL("Sum","5802 Value Entry","150 Sales Amount (Expected)","41 Source Type",$C$5,"5 Source No.",$C1570,"4 Item Ledger Entry Type",$C$4,"2 Item No.","@@"&amp;$F1570,"3 Posting Date",J$9)+NL("Sum","5802 Value Entry","17 Sales Amount (Actual)","41 Source Type",$C$5,"5 Source no.",$C1570,"4 Item Ledger Entry Type",$C$4,"2 Item No.","@@"&amp;$F1570,"3 Posting Date",J$9)</t>
  </si>
  <si>
    <t>=-NL("Sum","5802 Value Entry","151 Cost Amount (Expected)","41 Source Type",$C$5,"5 Source No.",$C1570,"4 Item Ledger Entry Type",$C$4,"2 Item No.","@@"&amp;$F1570,"3 Posting Date",J$9)-NL("Sum","5802 Value Entry","43 Cost Amount (Actual)","41 Source Type",$C$5,"5 Source no.",$C1570,"4 Item Ledger Entry Type",$C$4,"2 Item No.","@@"&amp;$F1570,"3 Posting Date",J$9)</t>
  </si>
  <si>
    <t>=J1570-L1570</t>
  </si>
  <si>
    <t>=IF(J1570&lt;&gt;0,M1570/J1570,"")</t>
  </si>
  <si>
    <t>=NL("Sum","5802 Value Entry","150 Sales Amount (Expected)","41 Source Type",$C$5,"5 Source No.",$C1570,"4 Item Ledger Entry Type",$C$4,"2 Item No.","@@"&amp;$F1570,"3 Posting Date",O$9)+NL("Sum","5802 Value Entry","17 Sales Amount (Actual)","41 Source Type",$C$5,"5 Source no.",$C1570,"4 Item Ledger Entry Type",$C$4,"2 Item No.","@@"&amp;$F1570,"3 Posting Date",O$9)</t>
  </si>
  <si>
    <t>=-NL("Sum","5802 Value Entry","151 Cost Amount (Expected)","41 Source Type",$C$5,"5 Source No.",$C1570,"4 Item Ledger Entry Type",$C$4,"2 Item No.","@@"&amp;$F1570,"3 Posting Date",O$9)-NL("Sum","5802 Value Entry","43 Cost Amount (Actual)","41 Source Type",$C$5,"5 Source no.",$C1570,"4 Item Ledger Entry Type",$C$4,"2 Item No.","@@"&amp;$F1570,"3 Posting Date",O$9)</t>
  </si>
  <si>
    <t>=O1570-Q1570</t>
  </si>
  <si>
    <t>=IF(O1570&lt;&gt;0,R1570/O1570,"")</t>
  </si>
  <si>
    <t>=NL("Sum","5802 Value Entry","150 Sales Amount (Expected)","41 Source Type",$C$5,"5 Source No.",$C1570,"4 Item Ledger Entry Type",$C$4,"2 Item No.","@@"&amp;$F1570,"3 Posting Date",U$9)+NL("Sum","5802 Value Entry","17 Sales Amount (Actual)","41 Source Type",$C$5,"5 Source no.",$C1570,"4 Item Ledger Entry Type",$C$4,"2 Item No.","@@"&amp;$F1570,"3 Posting Date",U$9)</t>
  </si>
  <si>
    <t>=-NL("Sum","5802 Value Entry","151 Cost Amount (Expected)","41 Source Type",$C$5,"5 Source No.",$C1570,"4 Item Ledger Entry Type",$C$4,"2 Item No.","@@"&amp;$F1570,"3 Posting Date",U$9)-NL("Sum","5802 Value Entry","43 Cost Amount (Actual)","41 Source Type",$C$5,"5 Source no.",$C1570,"4 Item Ledger Entry Type",$C$4,"2 Item No.","@@"&amp;$F1570,"3 Posting Date",U$9)</t>
  </si>
  <si>
    <t>=U1570-W1570</t>
  </si>
  <si>
    <t>=IF(U1570&lt;&gt;0,X1570/U1570,"")</t>
  </si>
  <si>
    <t>=NL("Sum","5802 Value Entry","150 Sales Amount (Expected)","41 Source Type",$C$5,"5 Source No.",$C1570,"4 Item Ledger Entry Type",$C$4,"2 Item No.","@@"&amp;$F1570,"3 Posting Date",Z$9)+NL("Sum","5802 Value Entry","17 Sales Amount (Actual)","41 Source Type",$C$5,"5 Source no.",$C1570,"4 Item Ledger Entry Type",$C$4,"2 Item No.","@@"&amp;$F1570,"3 Posting Date",Z$9)</t>
  </si>
  <si>
    <t>=-NL("Sum","5802 Value Entry","151 Cost Amount (Expected)","41 Source Type",$C$5,"5 Source No.",$C1570,"4 Item Ledger Entry Type",$C$4,"2 Item No.","@@"&amp;$F1570,"3 Posting Date",Z$9)-NL("Sum","5802 Value Entry","43 Cost Amount (Actual)","41 Source Type",$C$5,"5 Source no.",$C1570,"4 Item Ledger Entry Type",$C$4,"2 Item No.","@@"&amp;$F1570,"3 Posting Date",Z$9)</t>
  </si>
  <si>
    <t>=Z1570-AB1570</t>
  </si>
  <si>
    <t>=IF(Z1570&lt;&gt;0,AC1570/Z1570,"")</t>
  </si>
  <si>
    <t>=C1570</t>
  </si>
  <si>
    <t>=NL("Sum","5802 Value Entry","150 Sales Amount (Expected)","41 Source Type",$C$5,"5 Source No.",$C1571,"4 Item Ledger Entry Type",$C$4,"2 Item No.","@@"&amp;$F1571,"3 Posting Date",J$9)+NL("Sum","5802 Value Entry","17 Sales Amount (Actual)","41 Source Type",$C$5,"5 Source no.",$C1571,"4 Item Ledger Entry Type",$C$4,"2 Item No.","@@"&amp;$F1571,"3 Posting Date",J$9)</t>
  </si>
  <si>
    <t>=-NL("Sum","5802 Value Entry","151 Cost Amount (Expected)","41 Source Type",$C$5,"5 Source No.",$C1571,"4 Item Ledger Entry Type",$C$4,"2 Item No.","@@"&amp;$F1571,"3 Posting Date",J$9)-NL("Sum","5802 Value Entry","43 Cost Amount (Actual)","41 Source Type",$C$5,"5 Source no.",$C1571,"4 Item Ledger Entry Type",$C$4,"2 Item No.","@@"&amp;$F1571,"3 Posting Date",J$9)</t>
  </si>
  <si>
    <t>=J1571-L1571</t>
  </si>
  <si>
    <t>=IF(J1571&lt;&gt;0,M1571/J1571,"")</t>
  </si>
  <si>
    <t>=NL("Sum","5802 Value Entry","150 Sales Amount (Expected)","41 Source Type",$C$5,"5 Source No.",$C1571,"4 Item Ledger Entry Type",$C$4,"2 Item No.","@@"&amp;$F1571,"3 Posting Date",O$9)+NL("Sum","5802 Value Entry","17 Sales Amount (Actual)","41 Source Type",$C$5,"5 Source no.",$C1571,"4 Item Ledger Entry Type",$C$4,"2 Item No.","@@"&amp;$F1571,"3 Posting Date",O$9)</t>
  </si>
  <si>
    <t>=-NL("Sum","5802 Value Entry","151 Cost Amount (Expected)","41 Source Type",$C$5,"5 Source No.",$C1571,"4 Item Ledger Entry Type",$C$4,"2 Item No.","@@"&amp;$F1571,"3 Posting Date",O$9)-NL("Sum","5802 Value Entry","43 Cost Amount (Actual)","41 Source Type",$C$5,"5 Source no.",$C1571,"4 Item Ledger Entry Type",$C$4,"2 Item No.","@@"&amp;$F1571,"3 Posting Date",O$9)</t>
  </si>
  <si>
    <t>=O1571-Q1571</t>
  </si>
  <si>
    <t>=IF(O1571&lt;&gt;0,R1571/O1571,"")</t>
  </si>
  <si>
    <t>=NL("Sum","5802 Value Entry","150 Sales Amount (Expected)","41 Source Type",$C$5,"5 Source No.",$C1571,"4 Item Ledger Entry Type",$C$4,"2 Item No.","@@"&amp;$F1571,"3 Posting Date",U$9)+NL("Sum","5802 Value Entry","17 Sales Amount (Actual)","41 Source Type",$C$5,"5 Source no.",$C1571,"4 Item Ledger Entry Type",$C$4,"2 Item No.","@@"&amp;$F1571,"3 Posting Date",U$9)</t>
  </si>
  <si>
    <t>=-NL("Sum","5802 Value Entry","151 Cost Amount (Expected)","41 Source Type",$C$5,"5 Source No.",$C1571,"4 Item Ledger Entry Type",$C$4,"2 Item No.","@@"&amp;$F1571,"3 Posting Date",U$9)-NL("Sum","5802 Value Entry","43 Cost Amount (Actual)","41 Source Type",$C$5,"5 Source no.",$C1571,"4 Item Ledger Entry Type",$C$4,"2 Item No.","@@"&amp;$F1571,"3 Posting Date",U$9)</t>
  </si>
  <si>
    <t>=U1571-W1571</t>
  </si>
  <si>
    <t>=IF(U1571&lt;&gt;0,X1571/U1571,"")</t>
  </si>
  <si>
    <t>=NL("Sum","5802 Value Entry","150 Sales Amount (Expected)","41 Source Type",$C$5,"5 Source No.",$C1571,"4 Item Ledger Entry Type",$C$4,"2 Item No.","@@"&amp;$F1571,"3 Posting Date",Z$9)+NL("Sum","5802 Value Entry","17 Sales Amount (Actual)","41 Source Type",$C$5,"5 Source no.",$C1571,"4 Item Ledger Entry Type",$C$4,"2 Item No.","@@"&amp;$F1571,"3 Posting Date",Z$9)</t>
  </si>
  <si>
    <t>=-NL("Sum","5802 Value Entry","151 Cost Amount (Expected)","41 Source Type",$C$5,"5 Source No.",$C1571,"4 Item Ledger Entry Type",$C$4,"2 Item No.","@@"&amp;$F1571,"3 Posting Date",Z$9)-NL("Sum","5802 Value Entry","43 Cost Amount (Actual)","41 Source Type",$C$5,"5 Source no.",$C1571,"4 Item Ledger Entry Type",$C$4,"2 Item No.","@@"&amp;$F1571,"3 Posting Date",Z$9)</t>
  </si>
  <si>
    <t>=Z1571-AB1571</t>
  </si>
  <si>
    <t>=IF(Z1571&lt;&gt;0,AC1571/Z1571,"")</t>
  </si>
  <si>
    <t>=C1571</t>
  </si>
  <si>
    <t>=NL("Sum","5802 Value Entry","150 Sales Amount (Expected)","41 Source Type",$C$5,"5 Source No.",$C1572,"4 Item Ledger Entry Type",$C$4,"2 Item No.","@@"&amp;$F1572,"3 Posting Date",J$9)+NL("Sum","5802 Value Entry","17 Sales Amount (Actual)","41 Source Type",$C$5,"5 Source no.",$C1572,"4 Item Ledger Entry Type",$C$4,"2 Item No.","@@"&amp;$F1572,"3 Posting Date",J$9)</t>
  </si>
  <si>
    <t>=-NL("Sum","5802 Value Entry","151 Cost Amount (Expected)","41 Source Type",$C$5,"5 Source No.",$C1572,"4 Item Ledger Entry Type",$C$4,"2 Item No.","@@"&amp;$F1572,"3 Posting Date",J$9)-NL("Sum","5802 Value Entry","43 Cost Amount (Actual)","41 Source Type",$C$5,"5 Source no.",$C1572,"4 Item Ledger Entry Type",$C$4,"2 Item No.","@@"&amp;$F1572,"3 Posting Date",J$9)</t>
  </si>
  <si>
    <t>=J1572-L1572</t>
  </si>
  <si>
    <t>=IF(J1572&lt;&gt;0,M1572/J1572,"")</t>
  </si>
  <si>
    <t>=NL("Sum","5802 Value Entry","150 Sales Amount (Expected)","41 Source Type",$C$5,"5 Source No.",$C1572,"4 Item Ledger Entry Type",$C$4,"2 Item No.","@@"&amp;$F1572,"3 Posting Date",O$9)+NL("Sum","5802 Value Entry","17 Sales Amount (Actual)","41 Source Type",$C$5,"5 Source no.",$C1572,"4 Item Ledger Entry Type",$C$4,"2 Item No.","@@"&amp;$F1572,"3 Posting Date",O$9)</t>
  </si>
  <si>
    <t>=-NL("Sum","5802 Value Entry","151 Cost Amount (Expected)","41 Source Type",$C$5,"5 Source No.",$C1572,"4 Item Ledger Entry Type",$C$4,"2 Item No.","@@"&amp;$F1572,"3 Posting Date",O$9)-NL("Sum","5802 Value Entry","43 Cost Amount (Actual)","41 Source Type",$C$5,"5 Source no.",$C1572,"4 Item Ledger Entry Type",$C$4,"2 Item No.","@@"&amp;$F1572,"3 Posting Date",O$9)</t>
  </si>
  <si>
    <t>=O1572-Q1572</t>
  </si>
  <si>
    <t>=IF(O1572&lt;&gt;0,R1572/O1572,"")</t>
  </si>
  <si>
    <t>=NL("Sum","5802 Value Entry","150 Sales Amount (Expected)","41 Source Type",$C$5,"5 Source No.",$C1572,"4 Item Ledger Entry Type",$C$4,"2 Item No.","@@"&amp;$F1572,"3 Posting Date",U$9)+NL("Sum","5802 Value Entry","17 Sales Amount (Actual)","41 Source Type",$C$5,"5 Source no.",$C1572,"4 Item Ledger Entry Type",$C$4,"2 Item No.","@@"&amp;$F1572,"3 Posting Date",U$9)</t>
  </si>
  <si>
    <t>=-NL("Sum","5802 Value Entry","151 Cost Amount (Expected)","41 Source Type",$C$5,"5 Source No.",$C1572,"4 Item Ledger Entry Type",$C$4,"2 Item No.","@@"&amp;$F1572,"3 Posting Date",U$9)-NL("Sum","5802 Value Entry","43 Cost Amount (Actual)","41 Source Type",$C$5,"5 Source no.",$C1572,"4 Item Ledger Entry Type",$C$4,"2 Item No.","@@"&amp;$F1572,"3 Posting Date",U$9)</t>
  </si>
  <si>
    <t>=U1572-W1572</t>
  </si>
  <si>
    <t>=IF(U1572&lt;&gt;0,X1572/U1572,"")</t>
  </si>
  <si>
    <t>=NL("Sum","5802 Value Entry","150 Sales Amount (Expected)","41 Source Type",$C$5,"5 Source No.",$C1572,"4 Item Ledger Entry Type",$C$4,"2 Item No.","@@"&amp;$F1572,"3 Posting Date",Z$9)+NL("Sum","5802 Value Entry","17 Sales Amount (Actual)","41 Source Type",$C$5,"5 Source no.",$C1572,"4 Item Ledger Entry Type",$C$4,"2 Item No.","@@"&amp;$F1572,"3 Posting Date",Z$9)</t>
  </si>
  <si>
    <t>=-NL("Sum","5802 Value Entry","151 Cost Amount (Expected)","41 Source Type",$C$5,"5 Source No.",$C1572,"4 Item Ledger Entry Type",$C$4,"2 Item No.","@@"&amp;$F1572,"3 Posting Date",Z$9)-NL("Sum","5802 Value Entry","43 Cost Amount (Actual)","41 Source Type",$C$5,"5 Source no.",$C1572,"4 Item Ledger Entry Type",$C$4,"2 Item No.","@@"&amp;$F1572,"3 Posting Date",Z$9)</t>
  </si>
  <si>
    <t>=Z1572-AB1572</t>
  </si>
  <si>
    <t>=IF(Z1572&lt;&gt;0,AC1572/Z1572,"")</t>
  </si>
  <si>
    <t>=C1572</t>
  </si>
  <si>
    <t>=NL("Sum","5802 Value Entry","150 Sales Amount (Expected)","41 Source Type",$C$5,"5 Source No.",$C1573,"4 Item Ledger Entry Type",$C$4,"2 Item No.","@@"&amp;$F1573,"3 Posting Date",J$9)+NL("Sum","5802 Value Entry","17 Sales Amount (Actual)","41 Source Type",$C$5,"5 Source no.",$C1573,"4 Item Ledger Entry Type",$C$4,"2 Item No.","@@"&amp;$F1573,"3 Posting Date",J$9)</t>
  </si>
  <si>
    <t>=-NL("Sum","5802 Value Entry","151 Cost Amount (Expected)","41 Source Type",$C$5,"5 Source No.",$C1573,"4 Item Ledger Entry Type",$C$4,"2 Item No.","@@"&amp;$F1573,"3 Posting Date",J$9)-NL("Sum","5802 Value Entry","43 Cost Amount (Actual)","41 Source Type",$C$5,"5 Source no.",$C1573,"4 Item Ledger Entry Type",$C$4,"2 Item No.","@@"&amp;$F1573,"3 Posting Date",J$9)</t>
  </si>
  <si>
    <t>=J1573-L1573</t>
  </si>
  <si>
    <t>=IF(J1573&lt;&gt;0,M1573/J1573,"")</t>
  </si>
  <si>
    <t>=NL("Sum","5802 Value Entry","150 Sales Amount (Expected)","41 Source Type",$C$5,"5 Source No.",$C1573,"4 Item Ledger Entry Type",$C$4,"2 Item No.","@@"&amp;$F1573,"3 Posting Date",O$9)+NL("Sum","5802 Value Entry","17 Sales Amount (Actual)","41 Source Type",$C$5,"5 Source no.",$C1573,"4 Item Ledger Entry Type",$C$4,"2 Item No.","@@"&amp;$F1573,"3 Posting Date",O$9)</t>
  </si>
  <si>
    <t>=-NL("Sum","5802 Value Entry","151 Cost Amount (Expected)","41 Source Type",$C$5,"5 Source No.",$C1573,"4 Item Ledger Entry Type",$C$4,"2 Item No.","@@"&amp;$F1573,"3 Posting Date",O$9)-NL("Sum","5802 Value Entry","43 Cost Amount (Actual)","41 Source Type",$C$5,"5 Source no.",$C1573,"4 Item Ledger Entry Type",$C$4,"2 Item No.","@@"&amp;$F1573,"3 Posting Date",O$9)</t>
  </si>
  <si>
    <t>=O1573-Q1573</t>
  </si>
  <si>
    <t>=IF(O1573&lt;&gt;0,R1573/O1573,"")</t>
  </si>
  <si>
    <t>=NL("Sum","5802 Value Entry","150 Sales Amount (Expected)","41 Source Type",$C$5,"5 Source No.",$C1573,"4 Item Ledger Entry Type",$C$4,"2 Item No.","@@"&amp;$F1573,"3 Posting Date",U$9)+NL("Sum","5802 Value Entry","17 Sales Amount (Actual)","41 Source Type",$C$5,"5 Source no.",$C1573,"4 Item Ledger Entry Type",$C$4,"2 Item No.","@@"&amp;$F1573,"3 Posting Date",U$9)</t>
  </si>
  <si>
    <t>=-NL("Sum","5802 Value Entry","151 Cost Amount (Expected)","41 Source Type",$C$5,"5 Source No.",$C1573,"4 Item Ledger Entry Type",$C$4,"2 Item No.","@@"&amp;$F1573,"3 Posting Date",U$9)-NL("Sum","5802 Value Entry","43 Cost Amount (Actual)","41 Source Type",$C$5,"5 Source no.",$C1573,"4 Item Ledger Entry Type",$C$4,"2 Item No.","@@"&amp;$F1573,"3 Posting Date",U$9)</t>
  </si>
  <si>
    <t>=U1573-W1573</t>
  </si>
  <si>
    <t>=IF(U1573&lt;&gt;0,X1573/U1573,"")</t>
  </si>
  <si>
    <t>=NL("Sum","5802 Value Entry","150 Sales Amount (Expected)","41 Source Type",$C$5,"5 Source No.",$C1573,"4 Item Ledger Entry Type",$C$4,"2 Item No.","@@"&amp;$F1573,"3 Posting Date",Z$9)+NL("Sum","5802 Value Entry","17 Sales Amount (Actual)","41 Source Type",$C$5,"5 Source no.",$C1573,"4 Item Ledger Entry Type",$C$4,"2 Item No.","@@"&amp;$F1573,"3 Posting Date",Z$9)</t>
  </si>
  <si>
    <t>=-NL("Sum","5802 Value Entry","151 Cost Amount (Expected)","41 Source Type",$C$5,"5 Source No.",$C1573,"4 Item Ledger Entry Type",$C$4,"2 Item No.","@@"&amp;$F1573,"3 Posting Date",Z$9)-NL("Sum","5802 Value Entry","43 Cost Amount (Actual)","41 Source Type",$C$5,"5 Source no.",$C1573,"4 Item Ledger Entry Type",$C$4,"2 Item No.","@@"&amp;$F1573,"3 Posting Date",Z$9)</t>
  </si>
  <si>
    <t>=Z1573-AB1573</t>
  </si>
  <si>
    <t>=IF(Z1573&lt;&gt;0,AC1573/Z1573,"")</t>
  </si>
  <si>
    <t>=C1573</t>
  </si>
  <si>
    <t>=NL("Sum","5802 Value Entry","150 Sales Amount (Expected)","41 Source Type",$C$5,"5 Source No.",$C1574,"4 Item Ledger Entry Type",$C$4,"2 Item No.","@@"&amp;$F1574,"3 Posting Date",J$9)+NL("Sum","5802 Value Entry","17 Sales Amount (Actual)","41 Source Type",$C$5,"5 Source no.",$C1574,"4 Item Ledger Entry Type",$C$4,"2 Item No.","@@"&amp;$F1574,"3 Posting Date",J$9)</t>
  </si>
  <si>
    <t>=-NL("Sum","5802 Value Entry","151 Cost Amount (Expected)","41 Source Type",$C$5,"5 Source No.",$C1574,"4 Item Ledger Entry Type",$C$4,"2 Item No.","@@"&amp;$F1574,"3 Posting Date",J$9)-NL("Sum","5802 Value Entry","43 Cost Amount (Actual)","41 Source Type",$C$5,"5 Source no.",$C1574,"4 Item Ledger Entry Type",$C$4,"2 Item No.","@@"&amp;$F1574,"3 Posting Date",J$9)</t>
  </si>
  <si>
    <t>=J1574-L1574</t>
  </si>
  <si>
    <t>=IF(J1574&lt;&gt;0,M1574/J1574,"")</t>
  </si>
  <si>
    <t>=NL("Sum","5802 Value Entry","150 Sales Amount (Expected)","41 Source Type",$C$5,"5 Source No.",$C1574,"4 Item Ledger Entry Type",$C$4,"2 Item No.","@@"&amp;$F1574,"3 Posting Date",O$9)+NL("Sum","5802 Value Entry","17 Sales Amount (Actual)","41 Source Type",$C$5,"5 Source no.",$C1574,"4 Item Ledger Entry Type",$C$4,"2 Item No.","@@"&amp;$F1574,"3 Posting Date",O$9)</t>
  </si>
  <si>
    <t>=-NL("Sum","5802 Value Entry","151 Cost Amount (Expected)","41 Source Type",$C$5,"5 Source No.",$C1574,"4 Item Ledger Entry Type",$C$4,"2 Item No.","@@"&amp;$F1574,"3 Posting Date",O$9)-NL("Sum","5802 Value Entry","43 Cost Amount (Actual)","41 Source Type",$C$5,"5 Source no.",$C1574,"4 Item Ledger Entry Type",$C$4,"2 Item No.","@@"&amp;$F1574,"3 Posting Date",O$9)</t>
  </si>
  <si>
    <t>=O1574-Q1574</t>
  </si>
  <si>
    <t>=IF(O1574&lt;&gt;0,R1574/O1574,"")</t>
  </si>
  <si>
    <t>=NL("Sum","5802 Value Entry","150 Sales Amount (Expected)","41 Source Type",$C$5,"5 Source No.",$C1574,"4 Item Ledger Entry Type",$C$4,"2 Item No.","@@"&amp;$F1574,"3 Posting Date",U$9)+NL("Sum","5802 Value Entry","17 Sales Amount (Actual)","41 Source Type",$C$5,"5 Source no.",$C1574,"4 Item Ledger Entry Type",$C$4,"2 Item No.","@@"&amp;$F1574,"3 Posting Date",U$9)</t>
  </si>
  <si>
    <t>=-NL("Sum","5802 Value Entry","151 Cost Amount (Expected)","41 Source Type",$C$5,"5 Source No.",$C1574,"4 Item Ledger Entry Type",$C$4,"2 Item No.","@@"&amp;$F1574,"3 Posting Date",U$9)-NL("Sum","5802 Value Entry","43 Cost Amount (Actual)","41 Source Type",$C$5,"5 Source no.",$C1574,"4 Item Ledger Entry Type",$C$4,"2 Item No.","@@"&amp;$F1574,"3 Posting Date",U$9)</t>
  </si>
  <si>
    <t>=U1574-W1574</t>
  </si>
  <si>
    <t>=IF(U1574&lt;&gt;0,X1574/U1574,"")</t>
  </si>
  <si>
    <t>=NL("Sum","5802 Value Entry","150 Sales Amount (Expected)","41 Source Type",$C$5,"5 Source No.",$C1574,"4 Item Ledger Entry Type",$C$4,"2 Item No.","@@"&amp;$F1574,"3 Posting Date",Z$9)+NL("Sum","5802 Value Entry","17 Sales Amount (Actual)","41 Source Type",$C$5,"5 Source no.",$C1574,"4 Item Ledger Entry Type",$C$4,"2 Item No.","@@"&amp;$F1574,"3 Posting Date",Z$9)</t>
  </si>
  <si>
    <t>=-NL("Sum","5802 Value Entry","151 Cost Amount (Expected)","41 Source Type",$C$5,"5 Source No.",$C1574,"4 Item Ledger Entry Type",$C$4,"2 Item No.","@@"&amp;$F1574,"3 Posting Date",Z$9)-NL("Sum","5802 Value Entry","43 Cost Amount (Actual)","41 Source Type",$C$5,"5 Source no.",$C1574,"4 Item Ledger Entry Type",$C$4,"2 Item No.","@@"&amp;$F1574,"3 Posting Date",Z$9)</t>
  </si>
  <si>
    <t>=Z1574-AB1574</t>
  </si>
  <si>
    <t>=IF(Z1574&lt;&gt;0,AC1574/Z1574,"")</t>
  </si>
  <si>
    <t>=C1574</t>
  </si>
  <si>
    <t>=NL("Sum","5802 Value Entry","150 Sales Amount (Expected)","41 Source Type",$C$5,"5 Source No.",$C1575,"4 Item Ledger Entry Type",$C$4,"2 Item No.","@@"&amp;$F1575,"3 Posting Date",J$9)+NL("Sum","5802 Value Entry","17 Sales Amount (Actual)","41 Source Type",$C$5,"5 Source no.",$C1575,"4 Item Ledger Entry Type",$C$4,"2 Item No.","@@"&amp;$F1575,"3 Posting Date",J$9)</t>
  </si>
  <si>
    <t>=-NL("Sum","5802 Value Entry","151 Cost Amount (Expected)","41 Source Type",$C$5,"5 Source No.",$C1575,"4 Item Ledger Entry Type",$C$4,"2 Item No.","@@"&amp;$F1575,"3 Posting Date",J$9)-NL("Sum","5802 Value Entry","43 Cost Amount (Actual)","41 Source Type",$C$5,"5 Source no.",$C1575,"4 Item Ledger Entry Type",$C$4,"2 Item No.","@@"&amp;$F1575,"3 Posting Date",J$9)</t>
  </si>
  <si>
    <t>=J1575-L1575</t>
  </si>
  <si>
    <t>=IF(J1575&lt;&gt;0,M1575/J1575,"")</t>
  </si>
  <si>
    <t>=NL("Sum","5802 Value Entry","150 Sales Amount (Expected)","41 Source Type",$C$5,"5 Source No.",$C1575,"4 Item Ledger Entry Type",$C$4,"2 Item No.","@@"&amp;$F1575,"3 Posting Date",O$9)+NL("Sum","5802 Value Entry","17 Sales Amount (Actual)","41 Source Type",$C$5,"5 Source no.",$C1575,"4 Item Ledger Entry Type",$C$4,"2 Item No.","@@"&amp;$F1575,"3 Posting Date",O$9)</t>
  </si>
  <si>
    <t>=-NL("Sum","5802 Value Entry","151 Cost Amount (Expected)","41 Source Type",$C$5,"5 Source No.",$C1575,"4 Item Ledger Entry Type",$C$4,"2 Item No.","@@"&amp;$F1575,"3 Posting Date",O$9)-NL("Sum","5802 Value Entry","43 Cost Amount (Actual)","41 Source Type",$C$5,"5 Source no.",$C1575,"4 Item Ledger Entry Type",$C$4,"2 Item No.","@@"&amp;$F1575,"3 Posting Date",O$9)</t>
  </si>
  <si>
    <t>=O1575-Q1575</t>
  </si>
  <si>
    <t>=IF(O1575&lt;&gt;0,R1575/O1575,"")</t>
  </si>
  <si>
    <t>=NL("Sum","5802 Value Entry","150 Sales Amount (Expected)","41 Source Type",$C$5,"5 Source No.",$C1575,"4 Item Ledger Entry Type",$C$4,"2 Item No.","@@"&amp;$F1575,"3 Posting Date",U$9)+NL("Sum","5802 Value Entry","17 Sales Amount (Actual)","41 Source Type",$C$5,"5 Source no.",$C1575,"4 Item Ledger Entry Type",$C$4,"2 Item No.","@@"&amp;$F1575,"3 Posting Date",U$9)</t>
  </si>
  <si>
    <t>=-NL("Sum","5802 Value Entry","151 Cost Amount (Expected)","41 Source Type",$C$5,"5 Source No.",$C1575,"4 Item Ledger Entry Type",$C$4,"2 Item No.","@@"&amp;$F1575,"3 Posting Date",U$9)-NL("Sum","5802 Value Entry","43 Cost Amount (Actual)","41 Source Type",$C$5,"5 Source no.",$C1575,"4 Item Ledger Entry Type",$C$4,"2 Item No.","@@"&amp;$F1575,"3 Posting Date",U$9)</t>
  </si>
  <si>
    <t>=U1575-W1575</t>
  </si>
  <si>
    <t>=IF(U1575&lt;&gt;0,X1575/U1575,"")</t>
  </si>
  <si>
    <t>=NL("Sum","5802 Value Entry","150 Sales Amount (Expected)","41 Source Type",$C$5,"5 Source No.",$C1575,"4 Item Ledger Entry Type",$C$4,"2 Item No.","@@"&amp;$F1575,"3 Posting Date",Z$9)+NL("Sum","5802 Value Entry","17 Sales Amount (Actual)","41 Source Type",$C$5,"5 Source no.",$C1575,"4 Item Ledger Entry Type",$C$4,"2 Item No.","@@"&amp;$F1575,"3 Posting Date",Z$9)</t>
  </si>
  <si>
    <t>=-NL("Sum","5802 Value Entry","151 Cost Amount (Expected)","41 Source Type",$C$5,"5 Source No.",$C1575,"4 Item Ledger Entry Type",$C$4,"2 Item No.","@@"&amp;$F1575,"3 Posting Date",Z$9)-NL("Sum","5802 Value Entry","43 Cost Amount (Actual)","41 Source Type",$C$5,"5 Source no.",$C1575,"4 Item Ledger Entry Type",$C$4,"2 Item No.","@@"&amp;$F1575,"3 Posting Date",Z$9)</t>
  </si>
  <si>
    <t>=Z1575-AB1575</t>
  </si>
  <si>
    <t>=IF(Z1575&lt;&gt;0,AC1575/Z1575,"")</t>
  </si>
  <si>
    <t>=C1575</t>
  </si>
  <si>
    <t>=NL("Sum","5802 Value Entry","150 Sales Amount (Expected)","41 Source Type",$C$5,"5 Source No.",$C1576,"4 Item Ledger Entry Type",$C$4,"2 Item No.","@@"&amp;$F1576,"3 Posting Date",J$9)+NL("Sum","5802 Value Entry","17 Sales Amount (Actual)","41 Source Type",$C$5,"5 Source no.",$C1576,"4 Item Ledger Entry Type",$C$4,"2 Item No.","@@"&amp;$F1576,"3 Posting Date",J$9)</t>
  </si>
  <si>
    <t>=-NL("Sum","5802 Value Entry","151 Cost Amount (Expected)","41 Source Type",$C$5,"5 Source No.",$C1576,"4 Item Ledger Entry Type",$C$4,"2 Item No.","@@"&amp;$F1576,"3 Posting Date",J$9)-NL("Sum","5802 Value Entry","43 Cost Amount (Actual)","41 Source Type",$C$5,"5 Source no.",$C1576,"4 Item Ledger Entry Type",$C$4,"2 Item No.","@@"&amp;$F1576,"3 Posting Date",J$9)</t>
  </si>
  <si>
    <t>=J1576-L1576</t>
  </si>
  <si>
    <t>=IF(J1576&lt;&gt;0,M1576/J1576,"")</t>
  </si>
  <si>
    <t>=NL("Sum","5802 Value Entry","150 Sales Amount (Expected)","41 Source Type",$C$5,"5 Source No.",$C1576,"4 Item Ledger Entry Type",$C$4,"2 Item No.","@@"&amp;$F1576,"3 Posting Date",O$9)+NL("Sum","5802 Value Entry","17 Sales Amount (Actual)","41 Source Type",$C$5,"5 Source no.",$C1576,"4 Item Ledger Entry Type",$C$4,"2 Item No.","@@"&amp;$F1576,"3 Posting Date",O$9)</t>
  </si>
  <si>
    <t>=-NL("Sum","5802 Value Entry","151 Cost Amount (Expected)","41 Source Type",$C$5,"5 Source No.",$C1576,"4 Item Ledger Entry Type",$C$4,"2 Item No.","@@"&amp;$F1576,"3 Posting Date",O$9)-NL("Sum","5802 Value Entry","43 Cost Amount (Actual)","41 Source Type",$C$5,"5 Source no.",$C1576,"4 Item Ledger Entry Type",$C$4,"2 Item No.","@@"&amp;$F1576,"3 Posting Date",O$9)</t>
  </si>
  <si>
    <t>=O1576-Q1576</t>
  </si>
  <si>
    <t>=IF(O1576&lt;&gt;0,R1576/O1576,"")</t>
  </si>
  <si>
    <t>=NL("Sum","5802 Value Entry","150 Sales Amount (Expected)","41 Source Type",$C$5,"5 Source No.",$C1576,"4 Item Ledger Entry Type",$C$4,"2 Item No.","@@"&amp;$F1576,"3 Posting Date",U$9)+NL("Sum","5802 Value Entry","17 Sales Amount (Actual)","41 Source Type",$C$5,"5 Source no.",$C1576,"4 Item Ledger Entry Type",$C$4,"2 Item No.","@@"&amp;$F1576,"3 Posting Date",U$9)</t>
  </si>
  <si>
    <t>=-NL("Sum","5802 Value Entry","151 Cost Amount (Expected)","41 Source Type",$C$5,"5 Source No.",$C1576,"4 Item Ledger Entry Type",$C$4,"2 Item No.","@@"&amp;$F1576,"3 Posting Date",U$9)-NL("Sum","5802 Value Entry","43 Cost Amount (Actual)","41 Source Type",$C$5,"5 Source no.",$C1576,"4 Item Ledger Entry Type",$C$4,"2 Item No.","@@"&amp;$F1576,"3 Posting Date",U$9)</t>
  </si>
  <si>
    <t>=U1576-W1576</t>
  </si>
  <si>
    <t>=IF(U1576&lt;&gt;0,X1576/U1576,"")</t>
  </si>
  <si>
    <t>=NL("Sum","5802 Value Entry","150 Sales Amount (Expected)","41 Source Type",$C$5,"5 Source No.",$C1576,"4 Item Ledger Entry Type",$C$4,"2 Item No.","@@"&amp;$F1576,"3 Posting Date",Z$9)+NL("Sum","5802 Value Entry","17 Sales Amount (Actual)","41 Source Type",$C$5,"5 Source no.",$C1576,"4 Item Ledger Entry Type",$C$4,"2 Item No.","@@"&amp;$F1576,"3 Posting Date",Z$9)</t>
  </si>
  <si>
    <t>=-NL("Sum","5802 Value Entry","151 Cost Amount (Expected)","41 Source Type",$C$5,"5 Source No.",$C1576,"4 Item Ledger Entry Type",$C$4,"2 Item No.","@@"&amp;$F1576,"3 Posting Date",Z$9)-NL("Sum","5802 Value Entry","43 Cost Amount (Actual)","41 Source Type",$C$5,"5 Source no.",$C1576,"4 Item Ledger Entry Type",$C$4,"2 Item No.","@@"&amp;$F1576,"3 Posting Date",Z$9)</t>
  </si>
  <si>
    <t>=Z1576-AB1576</t>
  </si>
  <si>
    <t>=IF(Z1576&lt;&gt;0,AC1576/Z1576,"")</t>
  </si>
  <si>
    <t>=C1576</t>
  </si>
  <si>
    <t>=NL("Sum","5802 Value Entry","150 Sales Amount (Expected)","41 Source Type",$C$5,"5 Source No.",$C1577,"4 Item Ledger Entry Type",$C$4,"2 Item No.","@@"&amp;$F1577,"3 Posting Date",J$9)+NL("Sum","5802 Value Entry","17 Sales Amount (Actual)","41 Source Type",$C$5,"5 Source no.",$C1577,"4 Item Ledger Entry Type",$C$4,"2 Item No.","@@"&amp;$F1577,"3 Posting Date",J$9)</t>
  </si>
  <si>
    <t>=-NL("Sum","5802 Value Entry","151 Cost Amount (Expected)","41 Source Type",$C$5,"5 Source No.",$C1577,"4 Item Ledger Entry Type",$C$4,"2 Item No.","@@"&amp;$F1577,"3 Posting Date",J$9)-NL("Sum","5802 Value Entry","43 Cost Amount (Actual)","41 Source Type",$C$5,"5 Source no.",$C1577,"4 Item Ledger Entry Type",$C$4,"2 Item No.","@@"&amp;$F1577,"3 Posting Date",J$9)</t>
  </si>
  <si>
    <t>=J1577-L1577</t>
  </si>
  <si>
    <t>=IF(J1577&lt;&gt;0,M1577/J1577,"")</t>
  </si>
  <si>
    <t>=NL("Sum","5802 Value Entry","150 Sales Amount (Expected)","41 Source Type",$C$5,"5 Source No.",$C1577,"4 Item Ledger Entry Type",$C$4,"2 Item No.","@@"&amp;$F1577,"3 Posting Date",O$9)+NL("Sum","5802 Value Entry","17 Sales Amount (Actual)","41 Source Type",$C$5,"5 Source no.",$C1577,"4 Item Ledger Entry Type",$C$4,"2 Item No.","@@"&amp;$F1577,"3 Posting Date",O$9)</t>
  </si>
  <si>
    <t>=-NL("Sum","5802 Value Entry","151 Cost Amount (Expected)","41 Source Type",$C$5,"5 Source No.",$C1577,"4 Item Ledger Entry Type",$C$4,"2 Item No.","@@"&amp;$F1577,"3 Posting Date",O$9)-NL("Sum","5802 Value Entry","43 Cost Amount (Actual)","41 Source Type",$C$5,"5 Source no.",$C1577,"4 Item Ledger Entry Type",$C$4,"2 Item No.","@@"&amp;$F1577,"3 Posting Date",O$9)</t>
  </si>
  <si>
    <t>=O1577-Q1577</t>
  </si>
  <si>
    <t>=IF(O1577&lt;&gt;0,R1577/O1577,"")</t>
  </si>
  <si>
    <t>=NL("Sum","5802 Value Entry","150 Sales Amount (Expected)","41 Source Type",$C$5,"5 Source No.",$C1577,"4 Item Ledger Entry Type",$C$4,"2 Item No.","@@"&amp;$F1577,"3 Posting Date",U$9)+NL("Sum","5802 Value Entry","17 Sales Amount (Actual)","41 Source Type",$C$5,"5 Source no.",$C1577,"4 Item Ledger Entry Type",$C$4,"2 Item No.","@@"&amp;$F1577,"3 Posting Date",U$9)</t>
  </si>
  <si>
    <t>=-NL("Sum","5802 Value Entry","151 Cost Amount (Expected)","41 Source Type",$C$5,"5 Source No.",$C1577,"4 Item Ledger Entry Type",$C$4,"2 Item No.","@@"&amp;$F1577,"3 Posting Date",U$9)-NL("Sum","5802 Value Entry","43 Cost Amount (Actual)","41 Source Type",$C$5,"5 Source no.",$C1577,"4 Item Ledger Entry Type",$C$4,"2 Item No.","@@"&amp;$F1577,"3 Posting Date",U$9)</t>
  </si>
  <si>
    <t>=U1577-W1577</t>
  </si>
  <si>
    <t>=IF(U1577&lt;&gt;0,X1577/U1577,"")</t>
  </si>
  <si>
    <t>=NL("Sum","5802 Value Entry","150 Sales Amount (Expected)","41 Source Type",$C$5,"5 Source No.",$C1577,"4 Item Ledger Entry Type",$C$4,"2 Item No.","@@"&amp;$F1577,"3 Posting Date",Z$9)+NL("Sum","5802 Value Entry","17 Sales Amount (Actual)","41 Source Type",$C$5,"5 Source no.",$C1577,"4 Item Ledger Entry Type",$C$4,"2 Item No.","@@"&amp;$F1577,"3 Posting Date",Z$9)</t>
  </si>
  <si>
    <t>=-NL("Sum","5802 Value Entry","151 Cost Amount (Expected)","41 Source Type",$C$5,"5 Source No.",$C1577,"4 Item Ledger Entry Type",$C$4,"2 Item No.","@@"&amp;$F1577,"3 Posting Date",Z$9)-NL("Sum","5802 Value Entry","43 Cost Amount (Actual)","41 Source Type",$C$5,"5 Source no.",$C1577,"4 Item Ledger Entry Type",$C$4,"2 Item No.","@@"&amp;$F1577,"3 Posting Date",Z$9)</t>
  </si>
  <si>
    <t>=Z1577-AB1577</t>
  </si>
  <si>
    <t>=IF(Z1577&lt;&gt;0,AC1577/Z1577,"")</t>
  </si>
  <si>
    <t>=C1577</t>
  </si>
  <si>
    <t>=NL("Sum","5802 Value Entry","150 Sales Amount (Expected)","41 Source Type",$C$5,"5 Source No.",$C1578,"4 Item Ledger Entry Type",$C$4,"2 Item No.","@@"&amp;$F1578,"3 Posting Date",J$9)+NL("Sum","5802 Value Entry","17 Sales Amount (Actual)","41 Source Type",$C$5,"5 Source no.",$C1578,"4 Item Ledger Entry Type",$C$4,"2 Item No.","@@"&amp;$F1578,"3 Posting Date",J$9)</t>
  </si>
  <si>
    <t>=-NL("Sum","5802 Value Entry","151 Cost Amount (Expected)","41 Source Type",$C$5,"5 Source No.",$C1578,"4 Item Ledger Entry Type",$C$4,"2 Item No.","@@"&amp;$F1578,"3 Posting Date",J$9)-NL("Sum","5802 Value Entry","43 Cost Amount (Actual)","41 Source Type",$C$5,"5 Source no.",$C1578,"4 Item Ledger Entry Type",$C$4,"2 Item No.","@@"&amp;$F1578,"3 Posting Date",J$9)</t>
  </si>
  <si>
    <t>=J1578-L1578</t>
  </si>
  <si>
    <t>=IF(J1578&lt;&gt;0,M1578/J1578,"")</t>
  </si>
  <si>
    <t>=NL("Sum","5802 Value Entry","150 Sales Amount (Expected)","41 Source Type",$C$5,"5 Source No.",$C1578,"4 Item Ledger Entry Type",$C$4,"2 Item No.","@@"&amp;$F1578,"3 Posting Date",O$9)+NL("Sum","5802 Value Entry","17 Sales Amount (Actual)","41 Source Type",$C$5,"5 Source no.",$C1578,"4 Item Ledger Entry Type",$C$4,"2 Item No.","@@"&amp;$F1578,"3 Posting Date",O$9)</t>
  </si>
  <si>
    <t>=-NL("Sum","5802 Value Entry","151 Cost Amount (Expected)","41 Source Type",$C$5,"5 Source No.",$C1578,"4 Item Ledger Entry Type",$C$4,"2 Item No.","@@"&amp;$F1578,"3 Posting Date",O$9)-NL("Sum","5802 Value Entry","43 Cost Amount (Actual)","41 Source Type",$C$5,"5 Source no.",$C1578,"4 Item Ledger Entry Type",$C$4,"2 Item No.","@@"&amp;$F1578,"3 Posting Date",O$9)</t>
  </si>
  <si>
    <t>=O1578-Q1578</t>
  </si>
  <si>
    <t>=IF(O1578&lt;&gt;0,R1578/O1578,"")</t>
  </si>
  <si>
    <t>=NL("Sum","5802 Value Entry","150 Sales Amount (Expected)","41 Source Type",$C$5,"5 Source No.",$C1578,"4 Item Ledger Entry Type",$C$4,"2 Item No.","@@"&amp;$F1578,"3 Posting Date",U$9)+NL("Sum","5802 Value Entry","17 Sales Amount (Actual)","41 Source Type",$C$5,"5 Source no.",$C1578,"4 Item Ledger Entry Type",$C$4,"2 Item No.","@@"&amp;$F1578,"3 Posting Date",U$9)</t>
  </si>
  <si>
    <t>=-NL("Sum","5802 Value Entry","151 Cost Amount (Expected)","41 Source Type",$C$5,"5 Source No.",$C1578,"4 Item Ledger Entry Type",$C$4,"2 Item No.","@@"&amp;$F1578,"3 Posting Date",U$9)-NL("Sum","5802 Value Entry","43 Cost Amount (Actual)","41 Source Type",$C$5,"5 Source no.",$C1578,"4 Item Ledger Entry Type",$C$4,"2 Item No.","@@"&amp;$F1578,"3 Posting Date",U$9)</t>
  </si>
  <si>
    <t>=U1578-W1578</t>
  </si>
  <si>
    <t>=IF(U1578&lt;&gt;0,X1578/U1578,"")</t>
  </si>
  <si>
    <t>=NL("Sum","5802 Value Entry","150 Sales Amount (Expected)","41 Source Type",$C$5,"5 Source No.",$C1578,"4 Item Ledger Entry Type",$C$4,"2 Item No.","@@"&amp;$F1578,"3 Posting Date",Z$9)+NL("Sum","5802 Value Entry","17 Sales Amount (Actual)","41 Source Type",$C$5,"5 Source no.",$C1578,"4 Item Ledger Entry Type",$C$4,"2 Item No.","@@"&amp;$F1578,"3 Posting Date",Z$9)</t>
  </si>
  <si>
    <t>=-NL("Sum","5802 Value Entry","151 Cost Amount (Expected)","41 Source Type",$C$5,"5 Source No.",$C1578,"4 Item Ledger Entry Type",$C$4,"2 Item No.","@@"&amp;$F1578,"3 Posting Date",Z$9)-NL("Sum","5802 Value Entry","43 Cost Amount (Actual)","41 Source Type",$C$5,"5 Source no.",$C1578,"4 Item Ledger Entry Type",$C$4,"2 Item No.","@@"&amp;$F1578,"3 Posting Date",Z$9)</t>
  </si>
  <si>
    <t>=Z1578-AB1578</t>
  </si>
  <si>
    <t>=IF(Z1578&lt;&gt;0,AC1578/Z1578,"")</t>
  </si>
  <si>
    <t>=C1578</t>
  </si>
  <si>
    <t>=NL("Sum","5802 Value Entry","150 Sales Amount (Expected)","41 Source Type",$C$5,"5 Source No.",$C1579,"4 Item Ledger Entry Type",$C$4,"2 Item No.","@@"&amp;$F1579,"3 Posting Date",J$9)+NL("Sum","5802 Value Entry","17 Sales Amount (Actual)","41 Source Type",$C$5,"5 Source no.",$C1579,"4 Item Ledger Entry Type",$C$4,"2 Item No.","@@"&amp;$F1579,"3 Posting Date",J$9)</t>
  </si>
  <si>
    <t>=-NL("Sum","5802 Value Entry","151 Cost Amount (Expected)","41 Source Type",$C$5,"5 Source No.",$C1579,"4 Item Ledger Entry Type",$C$4,"2 Item No.","@@"&amp;$F1579,"3 Posting Date",J$9)-NL("Sum","5802 Value Entry","43 Cost Amount (Actual)","41 Source Type",$C$5,"5 Source no.",$C1579,"4 Item Ledger Entry Type",$C$4,"2 Item No.","@@"&amp;$F1579,"3 Posting Date",J$9)</t>
  </si>
  <si>
    <t>=J1579-L1579</t>
  </si>
  <si>
    <t>=IF(J1579&lt;&gt;0,M1579/J1579,"")</t>
  </si>
  <si>
    <t>=NL("Sum","5802 Value Entry","150 Sales Amount (Expected)","41 Source Type",$C$5,"5 Source No.",$C1579,"4 Item Ledger Entry Type",$C$4,"2 Item No.","@@"&amp;$F1579,"3 Posting Date",O$9)+NL("Sum","5802 Value Entry","17 Sales Amount (Actual)","41 Source Type",$C$5,"5 Source no.",$C1579,"4 Item Ledger Entry Type",$C$4,"2 Item No.","@@"&amp;$F1579,"3 Posting Date",O$9)</t>
  </si>
  <si>
    <t>=-NL("Sum","5802 Value Entry","151 Cost Amount (Expected)","41 Source Type",$C$5,"5 Source No.",$C1579,"4 Item Ledger Entry Type",$C$4,"2 Item No.","@@"&amp;$F1579,"3 Posting Date",O$9)-NL("Sum","5802 Value Entry","43 Cost Amount (Actual)","41 Source Type",$C$5,"5 Source no.",$C1579,"4 Item Ledger Entry Type",$C$4,"2 Item No.","@@"&amp;$F1579,"3 Posting Date",O$9)</t>
  </si>
  <si>
    <t>=O1579-Q1579</t>
  </si>
  <si>
    <t>=IF(O1579&lt;&gt;0,R1579/O1579,"")</t>
  </si>
  <si>
    <t>=NL("Sum","5802 Value Entry","150 Sales Amount (Expected)","41 Source Type",$C$5,"5 Source No.",$C1579,"4 Item Ledger Entry Type",$C$4,"2 Item No.","@@"&amp;$F1579,"3 Posting Date",U$9)+NL("Sum","5802 Value Entry","17 Sales Amount (Actual)","41 Source Type",$C$5,"5 Source no.",$C1579,"4 Item Ledger Entry Type",$C$4,"2 Item No.","@@"&amp;$F1579,"3 Posting Date",U$9)</t>
  </si>
  <si>
    <t>=-NL("Sum","5802 Value Entry","151 Cost Amount (Expected)","41 Source Type",$C$5,"5 Source No.",$C1579,"4 Item Ledger Entry Type",$C$4,"2 Item No.","@@"&amp;$F1579,"3 Posting Date",U$9)-NL("Sum","5802 Value Entry","43 Cost Amount (Actual)","41 Source Type",$C$5,"5 Source no.",$C1579,"4 Item Ledger Entry Type",$C$4,"2 Item No.","@@"&amp;$F1579,"3 Posting Date",U$9)</t>
  </si>
  <si>
    <t>=U1579-W1579</t>
  </si>
  <si>
    <t>=IF(U1579&lt;&gt;0,X1579/U1579,"")</t>
  </si>
  <si>
    <t>=NL("Sum","5802 Value Entry","150 Sales Amount (Expected)","41 Source Type",$C$5,"5 Source No.",$C1579,"4 Item Ledger Entry Type",$C$4,"2 Item No.","@@"&amp;$F1579,"3 Posting Date",Z$9)+NL("Sum","5802 Value Entry","17 Sales Amount (Actual)","41 Source Type",$C$5,"5 Source no.",$C1579,"4 Item Ledger Entry Type",$C$4,"2 Item No.","@@"&amp;$F1579,"3 Posting Date",Z$9)</t>
  </si>
  <si>
    <t>=-NL("Sum","5802 Value Entry","151 Cost Amount (Expected)","41 Source Type",$C$5,"5 Source No.",$C1579,"4 Item Ledger Entry Type",$C$4,"2 Item No.","@@"&amp;$F1579,"3 Posting Date",Z$9)-NL("Sum","5802 Value Entry","43 Cost Amount (Actual)","41 Source Type",$C$5,"5 Source no.",$C1579,"4 Item Ledger Entry Type",$C$4,"2 Item No.","@@"&amp;$F1579,"3 Posting Date",Z$9)</t>
  </si>
  <si>
    <t>=Z1579-AB1579</t>
  </si>
  <si>
    <t>=IF(Z1579&lt;&gt;0,AC1579/Z1579,"")</t>
  </si>
  <si>
    <t>=C1579</t>
  </si>
  <si>
    <t>=NL("Sum","5802 Value Entry","150 Sales Amount (Expected)","41 Source Type",$C$5,"5 Source No.",$C1580,"4 Item Ledger Entry Type",$C$4,"2 Item No.","@@"&amp;$F1580,"3 Posting Date",J$9)+NL("Sum","5802 Value Entry","17 Sales Amount (Actual)","41 Source Type",$C$5,"5 Source no.",$C1580,"4 Item Ledger Entry Type",$C$4,"2 Item No.","@@"&amp;$F1580,"3 Posting Date",J$9)</t>
  </si>
  <si>
    <t>=-NL("Sum","5802 Value Entry","151 Cost Amount (Expected)","41 Source Type",$C$5,"5 Source No.",$C1580,"4 Item Ledger Entry Type",$C$4,"2 Item No.","@@"&amp;$F1580,"3 Posting Date",J$9)-NL("Sum","5802 Value Entry","43 Cost Amount (Actual)","41 Source Type",$C$5,"5 Source no.",$C1580,"4 Item Ledger Entry Type",$C$4,"2 Item No.","@@"&amp;$F1580,"3 Posting Date",J$9)</t>
  </si>
  <si>
    <t>=J1580-L1580</t>
  </si>
  <si>
    <t>=IF(J1580&lt;&gt;0,M1580/J1580,"")</t>
  </si>
  <si>
    <t>=NL("Sum","5802 Value Entry","150 Sales Amount (Expected)","41 Source Type",$C$5,"5 Source No.",$C1580,"4 Item Ledger Entry Type",$C$4,"2 Item No.","@@"&amp;$F1580,"3 Posting Date",O$9)+NL("Sum","5802 Value Entry","17 Sales Amount (Actual)","41 Source Type",$C$5,"5 Source no.",$C1580,"4 Item Ledger Entry Type",$C$4,"2 Item No.","@@"&amp;$F1580,"3 Posting Date",O$9)</t>
  </si>
  <si>
    <t>=-NL("Sum","5802 Value Entry","151 Cost Amount (Expected)","41 Source Type",$C$5,"5 Source No.",$C1580,"4 Item Ledger Entry Type",$C$4,"2 Item No.","@@"&amp;$F1580,"3 Posting Date",O$9)-NL("Sum","5802 Value Entry","43 Cost Amount (Actual)","41 Source Type",$C$5,"5 Source no.",$C1580,"4 Item Ledger Entry Type",$C$4,"2 Item No.","@@"&amp;$F1580,"3 Posting Date",O$9)</t>
  </si>
  <si>
    <t>=O1580-Q1580</t>
  </si>
  <si>
    <t>=IF(O1580&lt;&gt;0,R1580/O1580,"")</t>
  </si>
  <si>
    <t>=NL("Sum","5802 Value Entry","150 Sales Amount (Expected)","41 Source Type",$C$5,"5 Source No.",$C1580,"4 Item Ledger Entry Type",$C$4,"2 Item No.","@@"&amp;$F1580,"3 Posting Date",U$9)+NL("Sum","5802 Value Entry","17 Sales Amount (Actual)","41 Source Type",$C$5,"5 Source no.",$C1580,"4 Item Ledger Entry Type",$C$4,"2 Item No.","@@"&amp;$F1580,"3 Posting Date",U$9)</t>
  </si>
  <si>
    <t>=-NL("Sum","5802 Value Entry","151 Cost Amount (Expected)","41 Source Type",$C$5,"5 Source No.",$C1580,"4 Item Ledger Entry Type",$C$4,"2 Item No.","@@"&amp;$F1580,"3 Posting Date",U$9)-NL("Sum","5802 Value Entry","43 Cost Amount (Actual)","41 Source Type",$C$5,"5 Source no.",$C1580,"4 Item Ledger Entry Type",$C$4,"2 Item No.","@@"&amp;$F1580,"3 Posting Date",U$9)</t>
  </si>
  <si>
    <t>=U1580-W1580</t>
  </si>
  <si>
    <t>=IF(U1580&lt;&gt;0,X1580/U1580,"")</t>
  </si>
  <si>
    <t>=NL("Sum","5802 Value Entry","150 Sales Amount (Expected)","41 Source Type",$C$5,"5 Source No.",$C1580,"4 Item Ledger Entry Type",$C$4,"2 Item No.","@@"&amp;$F1580,"3 Posting Date",Z$9)+NL("Sum","5802 Value Entry","17 Sales Amount (Actual)","41 Source Type",$C$5,"5 Source no.",$C1580,"4 Item Ledger Entry Type",$C$4,"2 Item No.","@@"&amp;$F1580,"3 Posting Date",Z$9)</t>
  </si>
  <si>
    <t>=-NL("Sum","5802 Value Entry","151 Cost Amount (Expected)","41 Source Type",$C$5,"5 Source No.",$C1580,"4 Item Ledger Entry Type",$C$4,"2 Item No.","@@"&amp;$F1580,"3 Posting Date",Z$9)-NL("Sum","5802 Value Entry","43 Cost Amount (Actual)","41 Source Type",$C$5,"5 Source no.",$C1580,"4 Item Ledger Entry Type",$C$4,"2 Item No.","@@"&amp;$F1580,"3 Posting Date",Z$9)</t>
  </si>
  <si>
    <t>=Z1580-AB1580</t>
  </si>
  <si>
    <t>=IF(Z1580&lt;&gt;0,AC1580/Z1580,"")</t>
  </si>
  <si>
    <t>=C1580</t>
  </si>
  <si>
    <t>=NL("Sum","5802 Value Entry","150 Sales Amount (Expected)","41 Source Type",$C$5,"5 Source No.",$C1581,"4 Item Ledger Entry Type",$C$4,"2 Item No.","@@"&amp;$F1581,"3 Posting Date",J$9)+NL("Sum","5802 Value Entry","17 Sales Amount (Actual)","41 Source Type",$C$5,"5 Source no.",$C1581,"4 Item Ledger Entry Type",$C$4,"2 Item No.","@@"&amp;$F1581,"3 Posting Date",J$9)</t>
  </si>
  <si>
    <t>=-NL("Sum","5802 Value Entry","151 Cost Amount (Expected)","41 Source Type",$C$5,"5 Source No.",$C1581,"4 Item Ledger Entry Type",$C$4,"2 Item No.","@@"&amp;$F1581,"3 Posting Date",J$9)-NL("Sum","5802 Value Entry","43 Cost Amount (Actual)","41 Source Type",$C$5,"5 Source no.",$C1581,"4 Item Ledger Entry Type",$C$4,"2 Item No.","@@"&amp;$F1581,"3 Posting Date",J$9)</t>
  </si>
  <si>
    <t>=J1581-L1581</t>
  </si>
  <si>
    <t>=IF(J1581&lt;&gt;0,M1581/J1581,"")</t>
  </si>
  <si>
    <t>=NL("Sum","5802 Value Entry","150 Sales Amount (Expected)","41 Source Type",$C$5,"5 Source No.",$C1581,"4 Item Ledger Entry Type",$C$4,"2 Item No.","@@"&amp;$F1581,"3 Posting Date",O$9)+NL("Sum","5802 Value Entry","17 Sales Amount (Actual)","41 Source Type",$C$5,"5 Source no.",$C1581,"4 Item Ledger Entry Type",$C$4,"2 Item No.","@@"&amp;$F1581,"3 Posting Date",O$9)</t>
  </si>
  <si>
    <t>=-NL("Sum","5802 Value Entry","151 Cost Amount (Expected)","41 Source Type",$C$5,"5 Source No.",$C1581,"4 Item Ledger Entry Type",$C$4,"2 Item No.","@@"&amp;$F1581,"3 Posting Date",O$9)-NL("Sum","5802 Value Entry","43 Cost Amount (Actual)","41 Source Type",$C$5,"5 Source no.",$C1581,"4 Item Ledger Entry Type",$C$4,"2 Item No.","@@"&amp;$F1581,"3 Posting Date",O$9)</t>
  </si>
  <si>
    <t>=O1581-Q1581</t>
  </si>
  <si>
    <t>=IF(O1581&lt;&gt;0,R1581/O1581,"")</t>
  </si>
  <si>
    <t>=NL("Sum","5802 Value Entry","150 Sales Amount (Expected)","41 Source Type",$C$5,"5 Source No.",$C1581,"4 Item Ledger Entry Type",$C$4,"2 Item No.","@@"&amp;$F1581,"3 Posting Date",U$9)+NL("Sum","5802 Value Entry","17 Sales Amount (Actual)","41 Source Type",$C$5,"5 Source no.",$C1581,"4 Item Ledger Entry Type",$C$4,"2 Item No.","@@"&amp;$F1581,"3 Posting Date",U$9)</t>
  </si>
  <si>
    <t>=-NL("Sum","5802 Value Entry","151 Cost Amount (Expected)","41 Source Type",$C$5,"5 Source No.",$C1581,"4 Item Ledger Entry Type",$C$4,"2 Item No.","@@"&amp;$F1581,"3 Posting Date",U$9)-NL("Sum","5802 Value Entry","43 Cost Amount (Actual)","41 Source Type",$C$5,"5 Source no.",$C1581,"4 Item Ledger Entry Type",$C$4,"2 Item No.","@@"&amp;$F1581,"3 Posting Date",U$9)</t>
  </si>
  <si>
    <t>=U1581-W1581</t>
  </si>
  <si>
    <t>=IF(U1581&lt;&gt;0,X1581/U1581,"")</t>
  </si>
  <si>
    <t>=NL("Sum","5802 Value Entry","150 Sales Amount (Expected)","41 Source Type",$C$5,"5 Source No.",$C1581,"4 Item Ledger Entry Type",$C$4,"2 Item No.","@@"&amp;$F1581,"3 Posting Date",Z$9)+NL("Sum","5802 Value Entry","17 Sales Amount (Actual)","41 Source Type",$C$5,"5 Source no.",$C1581,"4 Item Ledger Entry Type",$C$4,"2 Item No.","@@"&amp;$F1581,"3 Posting Date",Z$9)</t>
  </si>
  <si>
    <t>=-NL("Sum","5802 Value Entry","151 Cost Amount (Expected)","41 Source Type",$C$5,"5 Source No.",$C1581,"4 Item Ledger Entry Type",$C$4,"2 Item No.","@@"&amp;$F1581,"3 Posting Date",Z$9)-NL("Sum","5802 Value Entry","43 Cost Amount (Actual)","41 Source Type",$C$5,"5 Source no.",$C1581,"4 Item Ledger Entry Type",$C$4,"2 Item No.","@@"&amp;$F1581,"3 Posting Date",Z$9)</t>
  </si>
  <si>
    <t>=Z1581-AB1581</t>
  </si>
  <si>
    <t>=IF(Z1581&lt;&gt;0,AC1581/Z1581,"")</t>
  </si>
  <si>
    <t>=C1581</t>
  </si>
  <si>
    <t>=NL("Sum","5802 Value Entry","150 Sales Amount (Expected)","41 Source Type",$C$5,"5 Source No.",$C1582,"4 Item Ledger Entry Type",$C$4,"2 Item No.","@@"&amp;$F1582,"3 Posting Date",J$9)+NL("Sum","5802 Value Entry","17 Sales Amount (Actual)","41 Source Type",$C$5,"5 Source no.",$C1582,"4 Item Ledger Entry Type",$C$4,"2 Item No.","@@"&amp;$F1582,"3 Posting Date",J$9)</t>
  </si>
  <si>
    <t>=-NL("Sum","5802 Value Entry","151 Cost Amount (Expected)","41 Source Type",$C$5,"5 Source No.",$C1582,"4 Item Ledger Entry Type",$C$4,"2 Item No.","@@"&amp;$F1582,"3 Posting Date",J$9)-NL("Sum","5802 Value Entry","43 Cost Amount (Actual)","41 Source Type",$C$5,"5 Source no.",$C1582,"4 Item Ledger Entry Type",$C$4,"2 Item No.","@@"&amp;$F1582,"3 Posting Date",J$9)</t>
  </si>
  <si>
    <t>=J1582-L1582</t>
  </si>
  <si>
    <t>=IF(J1582&lt;&gt;0,M1582/J1582,"")</t>
  </si>
  <si>
    <t>=NL("Sum","5802 Value Entry","150 Sales Amount (Expected)","41 Source Type",$C$5,"5 Source No.",$C1582,"4 Item Ledger Entry Type",$C$4,"2 Item No.","@@"&amp;$F1582,"3 Posting Date",O$9)+NL("Sum","5802 Value Entry","17 Sales Amount (Actual)","41 Source Type",$C$5,"5 Source no.",$C1582,"4 Item Ledger Entry Type",$C$4,"2 Item No.","@@"&amp;$F1582,"3 Posting Date",O$9)</t>
  </si>
  <si>
    <t>=-NL("Sum","5802 Value Entry","151 Cost Amount (Expected)","41 Source Type",$C$5,"5 Source No.",$C1582,"4 Item Ledger Entry Type",$C$4,"2 Item No.","@@"&amp;$F1582,"3 Posting Date",O$9)-NL("Sum","5802 Value Entry","43 Cost Amount (Actual)","41 Source Type",$C$5,"5 Source no.",$C1582,"4 Item Ledger Entry Type",$C$4,"2 Item No.","@@"&amp;$F1582,"3 Posting Date",O$9)</t>
  </si>
  <si>
    <t>=O1582-Q1582</t>
  </si>
  <si>
    <t>=IF(O1582&lt;&gt;0,R1582/O1582,"")</t>
  </si>
  <si>
    <t>=NL("Sum","5802 Value Entry","150 Sales Amount (Expected)","41 Source Type",$C$5,"5 Source No.",$C1582,"4 Item Ledger Entry Type",$C$4,"2 Item No.","@@"&amp;$F1582,"3 Posting Date",U$9)+NL("Sum","5802 Value Entry","17 Sales Amount (Actual)","41 Source Type",$C$5,"5 Source no.",$C1582,"4 Item Ledger Entry Type",$C$4,"2 Item No.","@@"&amp;$F1582,"3 Posting Date",U$9)</t>
  </si>
  <si>
    <t>=-NL("Sum","5802 Value Entry","151 Cost Amount (Expected)","41 Source Type",$C$5,"5 Source No.",$C1582,"4 Item Ledger Entry Type",$C$4,"2 Item No.","@@"&amp;$F1582,"3 Posting Date",U$9)-NL("Sum","5802 Value Entry","43 Cost Amount (Actual)","41 Source Type",$C$5,"5 Source no.",$C1582,"4 Item Ledger Entry Type",$C$4,"2 Item No.","@@"&amp;$F1582,"3 Posting Date",U$9)</t>
  </si>
  <si>
    <t>=U1582-W1582</t>
  </si>
  <si>
    <t>=IF(U1582&lt;&gt;0,X1582/U1582,"")</t>
  </si>
  <si>
    <t>=NL("Sum","5802 Value Entry","150 Sales Amount (Expected)","41 Source Type",$C$5,"5 Source No.",$C1582,"4 Item Ledger Entry Type",$C$4,"2 Item No.","@@"&amp;$F1582,"3 Posting Date",Z$9)+NL("Sum","5802 Value Entry","17 Sales Amount (Actual)","41 Source Type",$C$5,"5 Source no.",$C1582,"4 Item Ledger Entry Type",$C$4,"2 Item No.","@@"&amp;$F1582,"3 Posting Date",Z$9)</t>
  </si>
  <si>
    <t>=-NL("Sum","5802 Value Entry","151 Cost Amount (Expected)","41 Source Type",$C$5,"5 Source No.",$C1582,"4 Item Ledger Entry Type",$C$4,"2 Item No.","@@"&amp;$F1582,"3 Posting Date",Z$9)-NL("Sum","5802 Value Entry","43 Cost Amount (Actual)","41 Source Type",$C$5,"5 Source no.",$C1582,"4 Item Ledger Entry Type",$C$4,"2 Item No.","@@"&amp;$F1582,"3 Posting Date",Z$9)</t>
  </si>
  <si>
    <t>=Z1582-AB1582</t>
  </si>
  <si>
    <t>=IF(Z1582&lt;&gt;0,AC1582/Z1582,"")</t>
  </si>
  <si>
    <t>=C1583</t>
  </si>
  <si>
    <t>=J1584-L1584</t>
  </si>
  <si>
    <t>=IF(J1584&lt;&gt;0,M1584/J1584,"")</t>
  </si>
  <si>
    <t>=O1584-Q1584</t>
  </si>
  <si>
    <t>=IF(O1584&lt;&gt;0,R1584/O1584,"")</t>
  </si>
  <si>
    <t>=U1584-W1584</t>
  </si>
  <si>
    <t>=IF(U1584&lt;&gt;0,X1584/U1584,"")</t>
  </si>
  <si>
    <t>=Z1584-AB1584</t>
  </si>
  <si>
    <t>=IF(Z1584&lt;&gt;0,AC1584/Z1584,"")</t>
  </si>
  <si>
    <t>="C100085"</t>
  </si>
  <si>
    <t>=C1586</t>
  </si>
  <si>
    <t>=C1587</t>
  </si>
  <si>
    <t>=NL("Sum","5802 Value Entry","150 Sales Amount (Expected)","41 Source Type",$C$5,"5 Source No.",$C1588,"4 Item Ledger Entry Type",$C$4,"2 Item No.","@@"&amp;$F1588,"3 Posting Date",J$9)+NL("Sum","5802 Value Entry","17 Sales Amount (Actual)","41 Source Type",$C$5,"5 Source no.",$C1588,"4 Item Ledger Entry Type",$C$4,"2 Item No.","@@"&amp;$F1588,"3 Posting Date",J$9)</t>
  </si>
  <si>
    <t>=-NL("Sum","5802 Value Entry","151 Cost Amount (Expected)","41 Source Type",$C$5,"5 Source No.",$C1588,"4 Item Ledger Entry Type",$C$4,"2 Item No.","@@"&amp;$F1588,"3 Posting Date",J$9)-NL("Sum","5802 Value Entry","43 Cost Amount (Actual)","41 Source Type",$C$5,"5 Source no.",$C1588,"4 Item Ledger Entry Type",$C$4,"2 Item No.","@@"&amp;$F1588,"3 Posting Date",J$9)</t>
  </si>
  <si>
    <t>=J1588-L1588</t>
  </si>
  <si>
    <t>=IF(J1588&lt;&gt;0,M1588/J1588,"")</t>
  </si>
  <si>
    <t>=NL("Sum","5802 Value Entry","150 Sales Amount (Expected)","41 Source Type",$C$5,"5 Source No.",$C1588,"4 Item Ledger Entry Type",$C$4,"2 Item No.","@@"&amp;$F1588,"3 Posting Date",O$9)+NL("Sum","5802 Value Entry","17 Sales Amount (Actual)","41 Source Type",$C$5,"5 Source no.",$C1588,"4 Item Ledger Entry Type",$C$4,"2 Item No.","@@"&amp;$F1588,"3 Posting Date",O$9)</t>
  </si>
  <si>
    <t>=-NL("Sum","5802 Value Entry","151 Cost Amount (Expected)","41 Source Type",$C$5,"5 Source No.",$C1588,"4 Item Ledger Entry Type",$C$4,"2 Item No.","@@"&amp;$F1588,"3 Posting Date",O$9)-NL("Sum","5802 Value Entry","43 Cost Amount (Actual)","41 Source Type",$C$5,"5 Source no.",$C1588,"4 Item Ledger Entry Type",$C$4,"2 Item No.","@@"&amp;$F1588,"3 Posting Date",O$9)</t>
  </si>
  <si>
    <t>=O1588-Q1588</t>
  </si>
  <si>
    <t>=IF(O1588&lt;&gt;0,R1588/O1588,"")</t>
  </si>
  <si>
    <t>=NL("Sum","5802 Value Entry","150 Sales Amount (Expected)","41 Source Type",$C$5,"5 Source No.",$C1588,"4 Item Ledger Entry Type",$C$4,"2 Item No.","@@"&amp;$F1588,"3 Posting Date",U$9)+NL("Sum","5802 Value Entry","17 Sales Amount (Actual)","41 Source Type",$C$5,"5 Source no.",$C1588,"4 Item Ledger Entry Type",$C$4,"2 Item No.","@@"&amp;$F1588,"3 Posting Date",U$9)</t>
  </si>
  <si>
    <t>=-NL("Sum","5802 Value Entry","151 Cost Amount (Expected)","41 Source Type",$C$5,"5 Source No.",$C1588,"4 Item Ledger Entry Type",$C$4,"2 Item No.","@@"&amp;$F1588,"3 Posting Date",U$9)-NL("Sum","5802 Value Entry","43 Cost Amount (Actual)","41 Source Type",$C$5,"5 Source no.",$C1588,"4 Item Ledger Entry Type",$C$4,"2 Item No.","@@"&amp;$F1588,"3 Posting Date",U$9)</t>
  </si>
  <si>
    <t>=U1588-W1588</t>
  </si>
  <si>
    <t>=IF(U1588&lt;&gt;0,X1588/U1588,"")</t>
  </si>
  <si>
    <t>=NL("Sum","5802 Value Entry","150 Sales Amount (Expected)","41 Source Type",$C$5,"5 Source No.",$C1588,"4 Item Ledger Entry Type",$C$4,"2 Item No.","@@"&amp;$F1588,"3 Posting Date",Z$9)+NL("Sum","5802 Value Entry","17 Sales Amount (Actual)","41 Source Type",$C$5,"5 Source no.",$C1588,"4 Item Ledger Entry Type",$C$4,"2 Item No.","@@"&amp;$F1588,"3 Posting Date",Z$9)</t>
  </si>
  <si>
    <t>=-NL("Sum","5802 Value Entry","151 Cost Amount (Expected)","41 Source Type",$C$5,"5 Source No.",$C1588,"4 Item Ledger Entry Type",$C$4,"2 Item No.","@@"&amp;$F1588,"3 Posting Date",Z$9)-NL("Sum","5802 Value Entry","43 Cost Amount (Actual)","41 Source Type",$C$5,"5 Source no.",$C1588,"4 Item Ledger Entry Type",$C$4,"2 Item No.","@@"&amp;$F1588,"3 Posting Date",Z$9)</t>
  </si>
  <si>
    <t>=Z1588-AB1588</t>
  </si>
  <si>
    <t>=IF(Z1588&lt;&gt;0,AC1588/Z1588,"")</t>
  </si>
  <si>
    <t>=C1588</t>
  </si>
  <si>
    <t>=NL("Sum","5802 Value Entry","150 Sales Amount (Expected)","41 Source Type",$C$5,"5 Source No.",$C1589,"4 Item Ledger Entry Type",$C$4,"2 Item No.","@@"&amp;$F1589,"3 Posting Date",J$9)+NL("Sum","5802 Value Entry","17 Sales Amount (Actual)","41 Source Type",$C$5,"5 Source no.",$C1589,"4 Item Ledger Entry Type",$C$4,"2 Item No.","@@"&amp;$F1589,"3 Posting Date",J$9)</t>
  </si>
  <si>
    <t>=-NL("Sum","5802 Value Entry","151 Cost Amount (Expected)","41 Source Type",$C$5,"5 Source No.",$C1589,"4 Item Ledger Entry Type",$C$4,"2 Item No.","@@"&amp;$F1589,"3 Posting Date",J$9)-NL("Sum","5802 Value Entry","43 Cost Amount (Actual)","41 Source Type",$C$5,"5 Source no.",$C1589,"4 Item Ledger Entry Type",$C$4,"2 Item No.","@@"&amp;$F1589,"3 Posting Date",J$9)</t>
  </si>
  <si>
    <t>=J1589-L1589</t>
  </si>
  <si>
    <t>=IF(J1589&lt;&gt;0,M1589/J1589,"")</t>
  </si>
  <si>
    <t>=NL("Sum","5802 Value Entry","150 Sales Amount (Expected)","41 Source Type",$C$5,"5 Source No.",$C1589,"4 Item Ledger Entry Type",$C$4,"2 Item No.","@@"&amp;$F1589,"3 Posting Date",O$9)+NL("Sum","5802 Value Entry","17 Sales Amount (Actual)","41 Source Type",$C$5,"5 Source no.",$C1589,"4 Item Ledger Entry Type",$C$4,"2 Item No.","@@"&amp;$F1589,"3 Posting Date",O$9)</t>
  </si>
  <si>
    <t>=-NL("Sum","5802 Value Entry","151 Cost Amount (Expected)","41 Source Type",$C$5,"5 Source No.",$C1589,"4 Item Ledger Entry Type",$C$4,"2 Item No.","@@"&amp;$F1589,"3 Posting Date",O$9)-NL("Sum","5802 Value Entry","43 Cost Amount (Actual)","41 Source Type",$C$5,"5 Source no.",$C1589,"4 Item Ledger Entry Type",$C$4,"2 Item No.","@@"&amp;$F1589,"3 Posting Date",O$9)</t>
  </si>
  <si>
    <t>=O1589-Q1589</t>
  </si>
  <si>
    <t>=IF(O1589&lt;&gt;0,R1589/O1589,"")</t>
  </si>
  <si>
    <t>=NL("Sum","5802 Value Entry","150 Sales Amount (Expected)","41 Source Type",$C$5,"5 Source No.",$C1589,"4 Item Ledger Entry Type",$C$4,"2 Item No.","@@"&amp;$F1589,"3 Posting Date",U$9)+NL("Sum","5802 Value Entry","17 Sales Amount (Actual)","41 Source Type",$C$5,"5 Source no.",$C1589,"4 Item Ledger Entry Type",$C$4,"2 Item No.","@@"&amp;$F1589,"3 Posting Date",U$9)</t>
  </si>
  <si>
    <t>=-NL("Sum","5802 Value Entry","151 Cost Amount (Expected)","41 Source Type",$C$5,"5 Source No.",$C1589,"4 Item Ledger Entry Type",$C$4,"2 Item No.","@@"&amp;$F1589,"3 Posting Date",U$9)-NL("Sum","5802 Value Entry","43 Cost Amount (Actual)","41 Source Type",$C$5,"5 Source no.",$C1589,"4 Item Ledger Entry Type",$C$4,"2 Item No.","@@"&amp;$F1589,"3 Posting Date",U$9)</t>
  </si>
  <si>
    <t>=U1589-W1589</t>
  </si>
  <si>
    <t>=IF(U1589&lt;&gt;0,X1589/U1589,"")</t>
  </si>
  <si>
    <t>=NL("Sum","5802 Value Entry","150 Sales Amount (Expected)","41 Source Type",$C$5,"5 Source No.",$C1589,"4 Item Ledger Entry Type",$C$4,"2 Item No.","@@"&amp;$F1589,"3 Posting Date",Z$9)+NL("Sum","5802 Value Entry","17 Sales Amount (Actual)","41 Source Type",$C$5,"5 Source no.",$C1589,"4 Item Ledger Entry Type",$C$4,"2 Item No.","@@"&amp;$F1589,"3 Posting Date",Z$9)</t>
  </si>
  <si>
    <t>=-NL("Sum","5802 Value Entry","151 Cost Amount (Expected)","41 Source Type",$C$5,"5 Source No.",$C1589,"4 Item Ledger Entry Type",$C$4,"2 Item No.","@@"&amp;$F1589,"3 Posting Date",Z$9)-NL("Sum","5802 Value Entry","43 Cost Amount (Actual)","41 Source Type",$C$5,"5 Source no.",$C1589,"4 Item Ledger Entry Type",$C$4,"2 Item No.","@@"&amp;$F1589,"3 Posting Date",Z$9)</t>
  </si>
  <si>
    <t>=Z1589-AB1589</t>
  </si>
  <si>
    <t>=IF(Z1589&lt;&gt;0,AC1589/Z1589,"")</t>
  </si>
  <si>
    <t>=C1589</t>
  </si>
  <si>
    <t>=NL("Sum","5802 Value Entry","150 Sales Amount (Expected)","41 Source Type",$C$5,"5 Source No.",$C1590,"4 Item Ledger Entry Type",$C$4,"2 Item No.","@@"&amp;$F1590,"3 Posting Date",J$9)+NL("Sum","5802 Value Entry","17 Sales Amount (Actual)","41 Source Type",$C$5,"5 Source no.",$C1590,"4 Item Ledger Entry Type",$C$4,"2 Item No.","@@"&amp;$F1590,"3 Posting Date",J$9)</t>
  </si>
  <si>
    <t>=-NL("Sum","5802 Value Entry","151 Cost Amount (Expected)","41 Source Type",$C$5,"5 Source No.",$C1590,"4 Item Ledger Entry Type",$C$4,"2 Item No.","@@"&amp;$F1590,"3 Posting Date",J$9)-NL("Sum","5802 Value Entry","43 Cost Amount (Actual)","41 Source Type",$C$5,"5 Source no.",$C1590,"4 Item Ledger Entry Type",$C$4,"2 Item No.","@@"&amp;$F1590,"3 Posting Date",J$9)</t>
  </si>
  <si>
    <t>=J1590-L1590</t>
  </si>
  <si>
    <t>=IF(J1590&lt;&gt;0,M1590/J1590,"")</t>
  </si>
  <si>
    <t>=NL("Sum","5802 Value Entry","150 Sales Amount (Expected)","41 Source Type",$C$5,"5 Source No.",$C1590,"4 Item Ledger Entry Type",$C$4,"2 Item No.","@@"&amp;$F1590,"3 Posting Date",O$9)+NL("Sum","5802 Value Entry","17 Sales Amount (Actual)","41 Source Type",$C$5,"5 Source no.",$C1590,"4 Item Ledger Entry Type",$C$4,"2 Item No.","@@"&amp;$F1590,"3 Posting Date",O$9)</t>
  </si>
  <si>
    <t>=-NL("Sum","5802 Value Entry","151 Cost Amount (Expected)","41 Source Type",$C$5,"5 Source No.",$C1590,"4 Item Ledger Entry Type",$C$4,"2 Item No.","@@"&amp;$F1590,"3 Posting Date",O$9)-NL("Sum","5802 Value Entry","43 Cost Amount (Actual)","41 Source Type",$C$5,"5 Source no.",$C1590,"4 Item Ledger Entry Type",$C$4,"2 Item No.","@@"&amp;$F1590,"3 Posting Date",O$9)</t>
  </si>
  <si>
    <t>=O1590-Q1590</t>
  </si>
  <si>
    <t>=IF(O1590&lt;&gt;0,R1590/O1590,"")</t>
  </si>
  <si>
    <t>=NL("Sum","5802 Value Entry","150 Sales Amount (Expected)","41 Source Type",$C$5,"5 Source No.",$C1590,"4 Item Ledger Entry Type",$C$4,"2 Item No.","@@"&amp;$F1590,"3 Posting Date",U$9)+NL("Sum","5802 Value Entry","17 Sales Amount (Actual)","41 Source Type",$C$5,"5 Source no.",$C1590,"4 Item Ledger Entry Type",$C$4,"2 Item No.","@@"&amp;$F1590,"3 Posting Date",U$9)</t>
  </si>
  <si>
    <t>=-NL("Sum","5802 Value Entry","151 Cost Amount (Expected)","41 Source Type",$C$5,"5 Source No.",$C1590,"4 Item Ledger Entry Type",$C$4,"2 Item No.","@@"&amp;$F1590,"3 Posting Date",U$9)-NL("Sum","5802 Value Entry","43 Cost Amount (Actual)","41 Source Type",$C$5,"5 Source no.",$C1590,"4 Item Ledger Entry Type",$C$4,"2 Item No.","@@"&amp;$F1590,"3 Posting Date",U$9)</t>
  </si>
  <si>
    <t>=U1590-W1590</t>
  </si>
  <si>
    <t>=IF(U1590&lt;&gt;0,X1590/U1590,"")</t>
  </si>
  <si>
    <t>=NL("Sum","5802 Value Entry","150 Sales Amount (Expected)","41 Source Type",$C$5,"5 Source No.",$C1590,"4 Item Ledger Entry Type",$C$4,"2 Item No.","@@"&amp;$F1590,"3 Posting Date",Z$9)+NL("Sum","5802 Value Entry","17 Sales Amount (Actual)","41 Source Type",$C$5,"5 Source no.",$C1590,"4 Item Ledger Entry Type",$C$4,"2 Item No.","@@"&amp;$F1590,"3 Posting Date",Z$9)</t>
  </si>
  <si>
    <t>=-NL("Sum","5802 Value Entry","151 Cost Amount (Expected)","41 Source Type",$C$5,"5 Source No.",$C1590,"4 Item Ledger Entry Type",$C$4,"2 Item No.","@@"&amp;$F1590,"3 Posting Date",Z$9)-NL("Sum","5802 Value Entry","43 Cost Amount (Actual)","41 Source Type",$C$5,"5 Source no.",$C1590,"4 Item Ledger Entry Type",$C$4,"2 Item No.","@@"&amp;$F1590,"3 Posting Date",Z$9)</t>
  </si>
  <si>
    <t>=Z1590-AB1590</t>
  </si>
  <si>
    <t>=IF(Z1590&lt;&gt;0,AC1590/Z1590,"")</t>
  </si>
  <si>
    <t>=C1590</t>
  </si>
  <si>
    <t>=NL("Sum","5802 Value Entry","150 Sales Amount (Expected)","41 Source Type",$C$5,"5 Source No.",$C1591,"4 Item Ledger Entry Type",$C$4,"2 Item No.","@@"&amp;$F1591,"3 Posting Date",J$9)+NL("Sum","5802 Value Entry","17 Sales Amount (Actual)","41 Source Type",$C$5,"5 Source no.",$C1591,"4 Item Ledger Entry Type",$C$4,"2 Item No.","@@"&amp;$F1591,"3 Posting Date",J$9)</t>
  </si>
  <si>
    <t>=-NL("Sum","5802 Value Entry","151 Cost Amount (Expected)","41 Source Type",$C$5,"5 Source No.",$C1591,"4 Item Ledger Entry Type",$C$4,"2 Item No.","@@"&amp;$F1591,"3 Posting Date",J$9)-NL("Sum","5802 Value Entry","43 Cost Amount (Actual)","41 Source Type",$C$5,"5 Source no.",$C1591,"4 Item Ledger Entry Type",$C$4,"2 Item No.","@@"&amp;$F1591,"3 Posting Date",J$9)</t>
  </si>
  <si>
    <t>=J1591-L1591</t>
  </si>
  <si>
    <t>=IF(J1591&lt;&gt;0,M1591/J1591,"")</t>
  </si>
  <si>
    <t>=NL("Sum","5802 Value Entry","150 Sales Amount (Expected)","41 Source Type",$C$5,"5 Source No.",$C1591,"4 Item Ledger Entry Type",$C$4,"2 Item No.","@@"&amp;$F1591,"3 Posting Date",O$9)+NL("Sum","5802 Value Entry","17 Sales Amount (Actual)","41 Source Type",$C$5,"5 Source no.",$C1591,"4 Item Ledger Entry Type",$C$4,"2 Item No.","@@"&amp;$F1591,"3 Posting Date",O$9)</t>
  </si>
  <si>
    <t>=-NL("Sum","5802 Value Entry","151 Cost Amount (Expected)","41 Source Type",$C$5,"5 Source No.",$C1591,"4 Item Ledger Entry Type",$C$4,"2 Item No.","@@"&amp;$F1591,"3 Posting Date",O$9)-NL("Sum","5802 Value Entry","43 Cost Amount (Actual)","41 Source Type",$C$5,"5 Source no.",$C1591,"4 Item Ledger Entry Type",$C$4,"2 Item No.","@@"&amp;$F1591,"3 Posting Date",O$9)</t>
  </si>
  <si>
    <t>=O1591-Q1591</t>
  </si>
  <si>
    <t>=IF(O1591&lt;&gt;0,R1591/O1591,"")</t>
  </si>
  <si>
    <t>=NL("Sum","5802 Value Entry","150 Sales Amount (Expected)","41 Source Type",$C$5,"5 Source No.",$C1591,"4 Item Ledger Entry Type",$C$4,"2 Item No.","@@"&amp;$F1591,"3 Posting Date",U$9)+NL("Sum","5802 Value Entry","17 Sales Amount (Actual)","41 Source Type",$C$5,"5 Source no.",$C1591,"4 Item Ledger Entry Type",$C$4,"2 Item No.","@@"&amp;$F1591,"3 Posting Date",U$9)</t>
  </si>
  <si>
    <t>=-NL("Sum","5802 Value Entry","151 Cost Amount (Expected)","41 Source Type",$C$5,"5 Source No.",$C1591,"4 Item Ledger Entry Type",$C$4,"2 Item No.","@@"&amp;$F1591,"3 Posting Date",U$9)-NL("Sum","5802 Value Entry","43 Cost Amount (Actual)","41 Source Type",$C$5,"5 Source no.",$C1591,"4 Item Ledger Entry Type",$C$4,"2 Item No.","@@"&amp;$F1591,"3 Posting Date",U$9)</t>
  </si>
  <si>
    <t>=U1591-W1591</t>
  </si>
  <si>
    <t>=IF(U1591&lt;&gt;0,X1591/U1591,"")</t>
  </si>
  <si>
    <t>=NL("Sum","5802 Value Entry","150 Sales Amount (Expected)","41 Source Type",$C$5,"5 Source No.",$C1591,"4 Item Ledger Entry Type",$C$4,"2 Item No.","@@"&amp;$F1591,"3 Posting Date",Z$9)+NL("Sum","5802 Value Entry","17 Sales Amount (Actual)","41 Source Type",$C$5,"5 Source no.",$C1591,"4 Item Ledger Entry Type",$C$4,"2 Item No.","@@"&amp;$F1591,"3 Posting Date",Z$9)</t>
  </si>
  <si>
    <t>=-NL("Sum","5802 Value Entry","151 Cost Amount (Expected)","41 Source Type",$C$5,"5 Source No.",$C1591,"4 Item Ledger Entry Type",$C$4,"2 Item No.","@@"&amp;$F1591,"3 Posting Date",Z$9)-NL("Sum","5802 Value Entry","43 Cost Amount (Actual)","41 Source Type",$C$5,"5 Source no.",$C1591,"4 Item Ledger Entry Type",$C$4,"2 Item No.","@@"&amp;$F1591,"3 Posting Date",Z$9)</t>
  </si>
  <si>
    <t>=Z1591-AB1591</t>
  </si>
  <si>
    <t>=IF(Z1591&lt;&gt;0,AC1591/Z1591,"")</t>
  </si>
  <si>
    <t>=C1592</t>
  </si>
  <si>
    <t>=J1593-L1593</t>
  </si>
  <si>
    <t>=IF(J1593&lt;&gt;0,M1593/J1593,"")</t>
  </si>
  <si>
    <t>=O1593-Q1593</t>
  </si>
  <si>
    <t>=IF(O1593&lt;&gt;0,R1593/O1593,"")</t>
  </si>
  <si>
    <t>=U1593-W1593</t>
  </si>
  <si>
    <t>=IF(U1593&lt;&gt;0,X1593/U1593,"")</t>
  </si>
  <si>
    <t>=Z1593-AB1593</t>
  </si>
  <si>
    <t>=IF(Z1593&lt;&gt;0,AC1593/Z1593,"")</t>
  </si>
  <si>
    <t>=C1595</t>
  </si>
  <si>
    <t>=C1596</t>
  </si>
  <si>
    <t>=NL("Sum","5802 Value Entry","150 Sales Amount (Expected)","41 Source Type",$C$5,"5 Source No.",$C1597,"4 Item Ledger Entry Type",$C$4,"2 Item No.","@@"&amp;$F1597,"3 Posting Date",J$9)+NL("Sum","5802 Value Entry","17 Sales Amount (Actual)","41 Source Type",$C$5,"5 Source no.",$C1597,"4 Item Ledger Entry Type",$C$4,"2 Item No.","@@"&amp;$F1597,"3 Posting Date",J$9)</t>
  </si>
  <si>
    <t>=-NL("Sum","5802 Value Entry","151 Cost Amount (Expected)","41 Source Type",$C$5,"5 Source No.",$C1597,"4 Item Ledger Entry Type",$C$4,"2 Item No.","@@"&amp;$F1597,"3 Posting Date",J$9)-NL("Sum","5802 Value Entry","43 Cost Amount (Actual)","41 Source Type",$C$5,"5 Source no.",$C1597,"4 Item Ledger Entry Type",$C$4,"2 Item No.","@@"&amp;$F1597,"3 Posting Date",J$9)</t>
  </si>
  <si>
    <t>=J1597-L1597</t>
  </si>
  <si>
    <t>=IF(J1597&lt;&gt;0,M1597/J1597,"")</t>
  </si>
  <si>
    <t>=NL("Sum","5802 Value Entry","150 Sales Amount (Expected)","41 Source Type",$C$5,"5 Source No.",$C1597,"4 Item Ledger Entry Type",$C$4,"2 Item No.","@@"&amp;$F1597,"3 Posting Date",O$9)+NL("Sum","5802 Value Entry","17 Sales Amount (Actual)","41 Source Type",$C$5,"5 Source no.",$C1597,"4 Item Ledger Entry Type",$C$4,"2 Item No.","@@"&amp;$F1597,"3 Posting Date",O$9)</t>
  </si>
  <si>
    <t>=-NL("Sum","5802 Value Entry","151 Cost Amount (Expected)","41 Source Type",$C$5,"5 Source No.",$C1597,"4 Item Ledger Entry Type",$C$4,"2 Item No.","@@"&amp;$F1597,"3 Posting Date",O$9)-NL("Sum","5802 Value Entry","43 Cost Amount (Actual)","41 Source Type",$C$5,"5 Source no.",$C1597,"4 Item Ledger Entry Type",$C$4,"2 Item No.","@@"&amp;$F1597,"3 Posting Date",O$9)</t>
  </si>
  <si>
    <t>=O1597-Q1597</t>
  </si>
  <si>
    <t>=IF(O1597&lt;&gt;0,R1597/O1597,"")</t>
  </si>
  <si>
    <t>=NL("Sum","5802 Value Entry","150 Sales Amount (Expected)","41 Source Type",$C$5,"5 Source No.",$C1597,"4 Item Ledger Entry Type",$C$4,"2 Item No.","@@"&amp;$F1597,"3 Posting Date",U$9)+NL("Sum","5802 Value Entry","17 Sales Amount (Actual)","41 Source Type",$C$5,"5 Source no.",$C1597,"4 Item Ledger Entry Type",$C$4,"2 Item No.","@@"&amp;$F1597,"3 Posting Date",U$9)</t>
  </si>
  <si>
    <t>=-NL("Sum","5802 Value Entry","151 Cost Amount (Expected)","41 Source Type",$C$5,"5 Source No.",$C1597,"4 Item Ledger Entry Type",$C$4,"2 Item No.","@@"&amp;$F1597,"3 Posting Date",U$9)-NL("Sum","5802 Value Entry","43 Cost Amount (Actual)","41 Source Type",$C$5,"5 Source no.",$C1597,"4 Item Ledger Entry Type",$C$4,"2 Item No.","@@"&amp;$F1597,"3 Posting Date",U$9)</t>
  </si>
  <si>
    <t>=U1597-W1597</t>
  </si>
  <si>
    <t>=IF(U1597&lt;&gt;0,X1597/U1597,"")</t>
  </si>
  <si>
    <t>=NL("Sum","5802 Value Entry","150 Sales Amount (Expected)","41 Source Type",$C$5,"5 Source No.",$C1597,"4 Item Ledger Entry Type",$C$4,"2 Item No.","@@"&amp;$F1597,"3 Posting Date",Z$9)+NL("Sum","5802 Value Entry","17 Sales Amount (Actual)","41 Source Type",$C$5,"5 Source no.",$C1597,"4 Item Ledger Entry Type",$C$4,"2 Item No.","@@"&amp;$F1597,"3 Posting Date",Z$9)</t>
  </si>
  <si>
    <t>=-NL("Sum","5802 Value Entry","151 Cost Amount (Expected)","41 Source Type",$C$5,"5 Source No.",$C1597,"4 Item Ledger Entry Type",$C$4,"2 Item No.","@@"&amp;$F1597,"3 Posting Date",Z$9)-NL("Sum","5802 Value Entry","43 Cost Amount (Actual)","41 Source Type",$C$5,"5 Source no.",$C1597,"4 Item Ledger Entry Type",$C$4,"2 Item No.","@@"&amp;$F1597,"3 Posting Date",Z$9)</t>
  </si>
  <si>
    <t>=Z1597-AB1597</t>
  </si>
  <si>
    <t>=IF(Z1597&lt;&gt;0,AC1597/Z1597,"")</t>
  </si>
  <si>
    <t>=C1597</t>
  </si>
  <si>
    <t>=NL("Sum","5802 Value Entry","150 Sales Amount (Expected)","41 Source Type",$C$5,"5 Source No.",$C1598,"4 Item Ledger Entry Type",$C$4,"2 Item No.","@@"&amp;$F1598,"3 Posting Date",J$9)+NL("Sum","5802 Value Entry","17 Sales Amount (Actual)","41 Source Type",$C$5,"5 Source no.",$C1598,"4 Item Ledger Entry Type",$C$4,"2 Item No.","@@"&amp;$F1598,"3 Posting Date",J$9)</t>
  </si>
  <si>
    <t>=-NL("Sum","5802 Value Entry","151 Cost Amount (Expected)","41 Source Type",$C$5,"5 Source No.",$C1598,"4 Item Ledger Entry Type",$C$4,"2 Item No.","@@"&amp;$F1598,"3 Posting Date",J$9)-NL("Sum","5802 Value Entry","43 Cost Amount (Actual)","41 Source Type",$C$5,"5 Source no.",$C1598,"4 Item Ledger Entry Type",$C$4,"2 Item No.","@@"&amp;$F1598,"3 Posting Date",J$9)</t>
  </si>
  <si>
    <t>=J1598-L1598</t>
  </si>
  <si>
    <t>=IF(J1598&lt;&gt;0,M1598/J1598,"")</t>
  </si>
  <si>
    <t>=NL("Sum","5802 Value Entry","150 Sales Amount (Expected)","41 Source Type",$C$5,"5 Source No.",$C1598,"4 Item Ledger Entry Type",$C$4,"2 Item No.","@@"&amp;$F1598,"3 Posting Date",O$9)+NL("Sum","5802 Value Entry","17 Sales Amount (Actual)","41 Source Type",$C$5,"5 Source no.",$C1598,"4 Item Ledger Entry Type",$C$4,"2 Item No.","@@"&amp;$F1598,"3 Posting Date",O$9)</t>
  </si>
  <si>
    <t>=-NL("Sum","5802 Value Entry","151 Cost Amount (Expected)","41 Source Type",$C$5,"5 Source No.",$C1598,"4 Item Ledger Entry Type",$C$4,"2 Item No.","@@"&amp;$F1598,"3 Posting Date",O$9)-NL("Sum","5802 Value Entry","43 Cost Amount (Actual)","41 Source Type",$C$5,"5 Source no.",$C1598,"4 Item Ledger Entry Type",$C$4,"2 Item No.","@@"&amp;$F1598,"3 Posting Date",O$9)</t>
  </si>
  <si>
    <t>=O1598-Q1598</t>
  </si>
  <si>
    <t>=IF(O1598&lt;&gt;0,R1598/O1598,"")</t>
  </si>
  <si>
    <t>=NL("Sum","5802 Value Entry","150 Sales Amount (Expected)","41 Source Type",$C$5,"5 Source No.",$C1598,"4 Item Ledger Entry Type",$C$4,"2 Item No.","@@"&amp;$F1598,"3 Posting Date",U$9)+NL("Sum","5802 Value Entry","17 Sales Amount (Actual)","41 Source Type",$C$5,"5 Source no.",$C1598,"4 Item Ledger Entry Type",$C$4,"2 Item No.","@@"&amp;$F1598,"3 Posting Date",U$9)</t>
  </si>
  <si>
    <t>=-NL("Sum","5802 Value Entry","151 Cost Amount (Expected)","41 Source Type",$C$5,"5 Source No.",$C1598,"4 Item Ledger Entry Type",$C$4,"2 Item No.","@@"&amp;$F1598,"3 Posting Date",U$9)-NL("Sum","5802 Value Entry","43 Cost Amount (Actual)","41 Source Type",$C$5,"5 Source no.",$C1598,"4 Item Ledger Entry Type",$C$4,"2 Item No.","@@"&amp;$F1598,"3 Posting Date",U$9)</t>
  </si>
  <si>
    <t>=U1598-W1598</t>
  </si>
  <si>
    <t>=IF(U1598&lt;&gt;0,X1598/U1598,"")</t>
  </si>
  <si>
    <t>=NL("Sum","5802 Value Entry","150 Sales Amount (Expected)","41 Source Type",$C$5,"5 Source No.",$C1598,"4 Item Ledger Entry Type",$C$4,"2 Item No.","@@"&amp;$F1598,"3 Posting Date",Z$9)+NL("Sum","5802 Value Entry","17 Sales Amount (Actual)","41 Source Type",$C$5,"5 Source no.",$C1598,"4 Item Ledger Entry Type",$C$4,"2 Item No.","@@"&amp;$F1598,"3 Posting Date",Z$9)</t>
  </si>
  <si>
    <t>=-NL("Sum","5802 Value Entry","151 Cost Amount (Expected)","41 Source Type",$C$5,"5 Source No.",$C1598,"4 Item Ledger Entry Type",$C$4,"2 Item No.","@@"&amp;$F1598,"3 Posting Date",Z$9)-NL("Sum","5802 Value Entry","43 Cost Amount (Actual)","41 Source Type",$C$5,"5 Source no.",$C1598,"4 Item Ledger Entry Type",$C$4,"2 Item No.","@@"&amp;$F1598,"3 Posting Date",Z$9)</t>
  </si>
  <si>
    <t>=Z1598-AB1598</t>
  </si>
  <si>
    <t>=IF(Z1598&lt;&gt;0,AC1598/Z1598,"")</t>
  </si>
  <si>
    <t>=C1598</t>
  </si>
  <si>
    <t>=NL("Sum","5802 Value Entry","150 Sales Amount (Expected)","41 Source Type",$C$5,"5 Source No.",$C1599,"4 Item Ledger Entry Type",$C$4,"2 Item No.","@@"&amp;$F1599,"3 Posting Date",J$9)+NL("Sum","5802 Value Entry","17 Sales Amount (Actual)","41 Source Type",$C$5,"5 Source no.",$C1599,"4 Item Ledger Entry Type",$C$4,"2 Item No.","@@"&amp;$F1599,"3 Posting Date",J$9)</t>
  </si>
  <si>
    <t>=-NL("Sum","5802 Value Entry","151 Cost Amount (Expected)","41 Source Type",$C$5,"5 Source No.",$C1599,"4 Item Ledger Entry Type",$C$4,"2 Item No.","@@"&amp;$F1599,"3 Posting Date",J$9)-NL("Sum","5802 Value Entry","43 Cost Amount (Actual)","41 Source Type",$C$5,"5 Source no.",$C1599,"4 Item Ledger Entry Type",$C$4,"2 Item No.","@@"&amp;$F1599,"3 Posting Date",J$9)</t>
  </si>
  <si>
    <t>=J1599-L1599</t>
  </si>
  <si>
    <t>=IF(J1599&lt;&gt;0,M1599/J1599,"")</t>
  </si>
  <si>
    <t>=NL("Sum","5802 Value Entry","150 Sales Amount (Expected)","41 Source Type",$C$5,"5 Source No.",$C1599,"4 Item Ledger Entry Type",$C$4,"2 Item No.","@@"&amp;$F1599,"3 Posting Date",O$9)+NL("Sum","5802 Value Entry","17 Sales Amount (Actual)","41 Source Type",$C$5,"5 Source no.",$C1599,"4 Item Ledger Entry Type",$C$4,"2 Item No.","@@"&amp;$F1599,"3 Posting Date",O$9)</t>
  </si>
  <si>
    <t>=-NL("Sum","5802 Value Entry","151 Cost Amount (Expected)","41 Source Type",$C$5,"5 Source No.",$C1599,"4 Item Ledger Entry Type",$C$4,"2 Item No.","@@"&amp;$F1599,"3 Posting Date",O$9)-NL("Sum","5802 Value Entry","43 Cost Amount (Actual)","41 Source Type",$C$5,"5 Source no.",$C1599,"4 Item Ledger Entry Type",$C$4,"2 Item No.","@@"&amp;$F1599,"3 Posting Date",O$9)</t>
  </si>
  <si>
    <t>=O1599-Q1599</t>
  </si>
  <si>
    <t>=IF(O1599&lt;&gt;0,R1599/O1599,"")</t>
  </si>
  <si>
    <t>=NL("Sum","5802 Value Entry","150 Sales Amount (Expected)","41 Source Type",$C$5,"5 Source No.",$C1599,"4 Item Ledger Entry Type",$C$4,"2 Item No.","@@"&amp;$F1599,"3 Posting Date",U$9)+NL("Sum","5802 Value Entry","17 Sales Amount (Actual)","41 Source Type",$C$5,"5 Source no.",$C1599,"4 Item Ledger Entry Type",$C$4,"2 Item No.","@@"&amp;$F1599,"3 Posting Date",U$9)</t>
  </si>
  <si>
    <t>=-NL("Sum","5802 Value Entry","151 Cost Amount (Expected)","41 Source Type",$C$5,"5 Source No.",$C1599,"4 Item Ledger Entry Type",$C$4,"2 Item No.","@@"&amp;$F1599,"3 Posting Date",U$9)-NL("Sum","5802 Value Entry","43 Cost Amount (Actual)","41 Source Type",$C$5,"5 Source no.",$C1599,"4 Item Ledger Entry Type",$C$4,"2 Item No.","@@"&amp;$F1599,"3 Posting Date",U$9)</t>
  </si>
  <si>
    <t>=U1599-W1599</t>
  </si>
  <si>
    <t>=IF(U1599&lt;&gt;0,X1599/U1599,"")</t>
  </si>
  <si>
    <t>=NL("Sum","5802 Value Entry","150 Sales Amount (Expected)","41 Source Type",$C$5,"5 Source No.",$C1599,"4 Item Ledger Entry Type",$C$4,"2 Item No.","@@"&amp;$F1599,"3 Posting Date",Z$9)+NL("Sum","5802 Value Entry","17 Sales Amount (Actual)","41 Source Type",$C$5,"5 Source no.",$C1599,"4 Item Ledger Entry Type",$C$4,"2 Item No.","@@"&amp;$F1599,"3 Posting Date",Z$9)</t>
  </si>
  <si>
    <t>=-NL("Sum","5802 Value Entry","151 Cost Amount (Expected)","41 Source Type",$C$5,"5 Source No.",$C1599,"4 Item Ledger Entry Type",$C$4,"2 Item No.","@@"&amp;$F1599,"3 Posting Date",Z$9)-NL("Sum","5802 Value Entry","43 Cost Amount (Actual)","41 Source Type",$C$5,"5 Source no.",$C1599,"4 Item Ledger Entry Type",$C$4,"2 Item No.","@@"&amp;$F1599,"3 Posting Date",Z$9)</t>
  </si>
  <si>
    <t>=Z1599-AB1599</t>
  </si>
  <si>
    <t>=IF(Z1599&lt;&gt;0,AC1599/Z1599,"")</t>
  </si>
  <si>
    <t>=C1599</t>
  </si>
  <si>
    <t>=NL("Sum","5802 Value Entry","150 Sales Amount (Expected)","41 Source Type",$C$5,"5 Source No.",$C1600,"4 Item Ledger Entry Type",$C$4,"2 Item No.","@@"&amp;$F1600,"3 Posting Date",J$9)+NL("Sum","5802 Value Entry","17 Sales Amount (Actual)","41 Source Type",$C$5,"5 Source no.",$C1600,"4 Item Ledger Entry Type",$C$4,"2 Item No.","@@"&amp;$F1600,"3 Posting Date",J$9)</t>
  </si>
  <si>
    <t>=-NL("Sum","5802 Value Entry","151 Cost Amount (Expected)","41 Source Type",$C$5,"5 Source No.",$C1600,"4 Item Ledger Entry Type",$C$4,"2 Item No.","@@"&amp;$F1600,"3 Posting Date",J$9)-NL("Sum","5802 Value Entry","43 Cost Amount (Actual)","41 Source Type",$C$5,"5 Source no.",$C1600,"4 Item Ledger Entry Type",$C$4,"2 Item No.","@@"&amp;$F1600,"3 Posting Date",J$9)</t>
  </si>
  <si>
    <t>=J1600-L1600</t>
  </si>
  <si>
    <t>=IF(J1600&lt;&gt;0,M1600/J1600,"")</t>
  </si>
  <si>
    <t>=NL("Sum","5802 Value Entry","150 Sales Amount (Expected)","41 Source Type",$C$5,"5 Source No.",$C1600,"4 Item Ledger Entry Type",$C$4,"2 Item No.","@@"&amp;$F1600,"3 Posting Date",O$9)+NL("Sum","5802 Value Entry","17 Sales Amount (Actual)","41 Source Type",$C$5,"5 Source no.",$C1600,"4 Item Ledger Entry Type",$C$4,"2 Item No.","@@"&amp;$F1600,"3 Posting Date",O$9)</t>
  </si>
  <si>
    <t>=-NL("Sum","5802 Value Entry","151 Cost Amount (Expected)","41 Source Type",$C$5,"5 Source No.",$C1600,"4 Item Ledger Entry Type",$C$4,"2 Item No.","@@"&amp;$F1600,"3 Posting Date",O$9)-NL("Sum","5802 Value Entry","43 Cost Amount (Actual)","41 Source Type",$C$5,"5 Source no.",$C1600,"4 Item Ledger Entry Type",$C$4,"2 Item No.","@@"&amp;$F1600,"3 Posting Date",O$9)</t>
  </si>
  <si>
    <t>=O1600-Q1600</t>
  </si>
  <si>
    <t>=IF(O1600&lt;&gt;0,R1600/O1600,"")</t>
  </si>
  <si>
    <t>=NL("Sum","5802 Value Entry","150 Sales Amount (Expected)","41 Source Type",$C$5,"5 Source No.",$C1600,"4 Item Ledger Entry Type",$C$4,"2 Item No.","@@"&amp;$F1600,"3 Posting Date",U$9)+NL("Sum","5802 Value Entry","17 Sales Amount (Actual)","41 Source Type",$C$5,"5 Source no.",$C1600,"4 Item Ledger Entry Type",$C$4,"2 Item No.","@@"&amp;$F1600,"3 Posting Date",U$9)</t>
  </si>
  <si>
    <t>=-NL("Sum","5802 Value Entry","151 Cost Amount (Expected)","41 Source Type",$C$5,"5 Source No.",$C1600,"4 Item Ledger Entry Type",$C$4,"2 Item No.","@@"&amp;$F1600,"3 Posting Date",U$9)-NL("Sum","5802 Value Entry","43 Cost Amount (Actual)","41 Source Type",$C$5,"5 Source no.",$C1600,"4 Item Ledger Entry Type",$C$4,"2 Item No.","@@"&amp;$F1600,"3 Posting Date",U$9)</t>
  </si>
  <si>
    <t>=U1600-W1600</t>
  </si>
  <si>
    <t>=IF(U1600&lt;&gt;0,X1600/U1600,"")</t>
  </si>
  <si>
    <t>=NL("Sum","5802 Value Entry","150 Sales Amount (Expected)","41 Source Type",$C$5,"5 Source No.",$C1600,"4 Item Ledger Entry Type",$C$4,"2 Item No.","@@"&amp;$F1600,"3 Posting Date",Z$9)+NL("Sum","5802 Value Entry","17 Sales Amount (Actual)","41 Source Type",$C$5,"5 Source no.",$C1600,"4 Item Ledger Entry Type",$C$4,"2 Item No.","@@"&amp;$F1600,"3 Posting Date",Z$9)</t>
  </si>
  <si>
    <t>=-NL("Sum","5802 Value Entry","151 Cost Amount (Expected)","41 Source Type",$C$5,"5 Source No.",$C1600,"4 Item Ledger Entry Type",$C$4,"2 Item No.","@@"&amp;$F1600,"3 Posting Date",Z$9)-NL("Sum","5802 Value Entry","43 Cost Amount (Actual)","41 Source Type",$C$5,"5 Source no.",$C1600,"4 Item Ledger Entry Type",$C$4,"2 Item No.","@@"&amp;$F1600,"3 Posting Date",Z$9)</t>
  </si>
  <si>
    <t>=Z1600-AB1600</t>
  </si>
  <si>
    <t>=IF(Z1600&lt;&gt;0,AC1600/Z1600,"")</t>
  </si>
  <si>
    <t>=C1600</t>
  </si>
  <si>
    <t>=NL("Sum","5802 Value Entry","150 Sales Amount (Expected)","41 Source Type",$C$5,"5 Source No.",$C1601,"4 Item Ledger Entry Type",$C$4,"2 Item No.","@@"&amp;$F1601,"3 Posting Date",J$9)+NL("Sum","5802 Value Entry","17 Sales Amount (Actual)","41 Source Type",$C$5,"5 Source no.",$C1601,"4 Item Ledger Entry Type",$C$4,"2 Item No.","@@"&amp;$F1601,"3 Posting Date",J$9)</t>
  </si>
  <si>
    <t>=-NL("Sum","5802 Value Entry","151 Cost Amount (Expected)","41 Source Type",$C$5,"5 Source No.",$C1601,"4 Item Ledger Entry Type",$C$4,"2 Item No.","@@"&amp;$F1601,"3 Posting Date",J$9)-NL("Sum","5802 Value Entry","43 Cost Amount (Actual)","41 Source Type",$C$5,"5 Source no.",$C1601,"4 Item Ledger Entry Type",$C$4,"2 Item No.","@@"&amp;$F1601,"3 Posting Date",J$9)</t>
  </si>
  <si>
    <t>=J1601-L1601</t>
  </si>
  <si>
    <t>=IF(J1601&lt;&gt;0,M1601/J1601,"")</t>
  </si>
  <si>
    <t>=NL("Sum","5802 Value Entry","150 Sales Amount (Expected)","41 Source Type",$C$5,"5 Source No.",$C1601,"4 Item Ledger Entry Type",$C$4,"2 Item No.","@@"&amp;$F1601,"3 Posting Date",O$9)+NL("Sum","5802 Value Entry","17 Sales Amount (Actual)","41 Source Type",$C$5,"5 Source no.",$C1601,"4 Item Ledger Entry Type",$C$4,"2 Item No.","@@"&amp;$F1601,"3 Posting Date",O$9)</t>
  </si>
  <si>
    <t>=-NL("Sum","5802 Value Entry","151 Cost Amount (Expected)","41 Source Type",$C$5,"5 Source No.",$C1601,"4 Item Ledger Entry Type",$C$4,"2 Item No.","@@"&amp;$F1601,"3 Posting Date",O$9)-NL("Sum","5802 Value Entry","43 Cost Amount (Actual)","41 Source Type",$C$5,"5 Source no.",$C1601,"4 Item Ledger Entry Type",$C$4,"2 Item No.","@@"&amp;$F1601,"3 Posting Date",O$9)</t>
  </si>
  <si>
    <t>=O1601-Q1601</t>
  </si>
  <si>
    <t>=IF(O1601&lt;&gt;0,R1601/O1601,"")</t>
  </si>
  <si>
    <t>=NL("Sum","5802 Value Entry","150 Sales Amount (Expected)","41 Source Type",$C$5,"5 Source No.",$C1601,"4 Item Ledger Entry Type",$C$4,"2 Item No.","@@"&amp;$F1601,"3 Posting Date",U$9)+NL("Sum","5802 Value Entry","17 Sales Amount (Actual)","41 Source Type",$C$5,"5 Source no.",$C1601,"4 Item Ledger Entry Type",$C$4,"2 Item No.","@@"&amp;$F1601,"3 Posting Date",U$9)</t>
  </si>
  <si>
    <t>=-NL("Sum","5802 Value Entry","151 Cost Amount (Expected)","41 Source Type",$C$5,"5 Source No.",$C1601,"4 Item Ledger Entry Type",$C$4,"2 Item No.","@@"&amp;$F1601,"3 Posting Date",U$9)-NL("Sum","5802 Value Entry","43 Cost Amount (Actual)","41 Source Type",$C$5,"5 Source no.",$C1601,"4 Item Ledger Entry Type",$C$4,"2 Item No.","@@"&amp;$F1601,"3 Posting Date",U$9)</t>
  </si>
  <si>
    <t>=U1601-W1601</t>
  </si>
  <si>
    <t>=IF(U1601&lt;&gt;0,X1601/U1601,"")</t>
  </si>
  <si>
    <t>=NL("Sum","5802 Value Entry","150 Sales Amount (Expected)","41 Source Type",$C$5,"5 Source No.",$C1601,"4 Item Ledger Entry Type",$C$4,"2 Item No.","@@"&amp;$F1601,"3 Posting Date",Z$9)+NL("Sum","5802 Value Entry","17 Sales Amount (Actual)","41 Source Type",$C$5,"5 Source no.",$C1601,"4 Item Ledger Entry Type",$C$4,"2 Item No.","@@"&amp;$F1601,"3 Posting Date",Z$9)</t>
  </si>
  <si>
    <t>=-NL("Sum","5802 Value Entry","151 Cost Amount (Expected)","41 Source Type",$C$5,"5 Source No.",$C1601,"4 Item Ledger Entry Type",$C$4,"2 Item No.","@@"&amp;$F1601,"3 Posting Date",Z$9)-NL("Sum","5802 Value Entry","43 Cost Amount (Actual)","41 Source Type",$C$5,"5 Source no.",$C1601,"4 Item Ledger Entry Type",$C$4,"2 Item No.","@@"&amp;$F1601,"3 Posting Date",Z$9)</t>
  </si>
  <si>
    <t>=Z1601-AB1601</t>
  </si>
  <si>
    <t>=IF(Z1601&lt;&gt;0,AC1601/Z1601,"")</t>
  </si>
  <si>
    <t>=C1601</t>
  </si>
  <si>
    <t>=NL("Sum","5802 Value Entry","150 Sales Amount (Expected)","41 Source Type",$C$5,"5 Source No.",$C1602,"4 Item Ledger Entry Type",$C$4,"2 Item No.","@@"&amp;$F1602,"3 Posting Date",J$9)+NL("Sum","5802 Value Entry","17 Sales Amount (Actual)","41 Source Type",$C$5,"5 Source no.",$C1602,"4 Item Ledger Entry Type",$C$4,"2 Item No.","@@"&amp;$F1602,"3 Posting Date",J$9)</t>
  </si>
  <si>
    <t>=-NL("Sum","5802 Value Entry","151 Cost Amount (Expected)","41 Source Type",$C$5,"5 Source No.",$C1602,"4 Item Ledger Entry Type",$C$4,"2 Item No.","@@"&amp;$F1602,"3 Posting Date",J$9)-NL("Sum","5802 Value Entry","43 Cost Amount (Actual)","41 Source Type",$C$5,"5 Source no.",$C1602,"4 Item Ledger Entry Type",$C$4,"2 Item No.","@@"&amp;$F1602,"3 Posting Date",J$9)</t>
  </si>
  <si>
    <t>=J1602-L1602</t>
  </si>
  <si>
    <t>=IF(J1602&lt;&gt;0,M1602/J1602,"")</t>
  </si>
  <si>
    <t>=NL("Sum","5802 Value Entry","150 Sales Amount (Expected)","41 Source Type",$C$5,"5 Source No.",$C1602,"4 Item Ledger Entry Type",$C$4,"2 Item No.","@@"&amp;$F1602,"3 Posting Date",O$9)+NL("Sum","5802 Value Entry","17 Sales Amount (Actual)","41 Source Type",$C$5,"5 Source no.",$C1602,"4 Item Ledger Entry Type",$C$4,"2 Item No.","@@"&amp;$F1602,"3 Posting Date",O$9)</t>
  </si>
  <si>
    <t>=-NL("Sum","5802 Value Entry","151 Cost Amount (Expected)","41 Source Type",$C$5,"5 Source No.",$C1602,"4 Item Ledger Entry Type",$C$4,"2 Item No.","@@"&amp;$F1602,"3 Posting Date",O$9)-NL("Sum","5802 Value Entry","43 Cost Amount (Actual)","41 Source Type",$C$5,"5 Source no.",$C1602,"4 Item Ledger Entry Type",$C$4,"2 Item No.","@@"&amp;$F1602,"3 Posting Date",O$9)</t>
  </si>
  <si>
    <t>=O1602-Q1602</t>
  </si>
  <si>
    <t>=IF(O1602&lt;&gt;0,R1602/O1602,"")</t>
  </si>
  <si>
    <t>=NL("Sum","5802 Value Entry","150 Sales Amount (Expected)","41 Source Type",$C$5,"5 Source No.",$C1602,"4 Item Ledger Entry Type",$C$4,"2 Item No.","@@"&amp;$F1602,"3 Posting Date",U$9)+NL("Sum","5802 Value Entry","17 Sales Amount (Actual)","41 Source Type",$C$5,"5 Source no.",$C1602,"4 Item Ledger Entry Type",$C$4,"2 Item No.","@@"&amp;$F1602,"3 Posting Date",U$9)</t>
  </si>
  <si>
    <t>=-NL("Sum","5802 Value Entry","151 Cost Amount (Expected)","41 Source Type",$C$5,"5 Source No.",$C1602,"4 Item Ledger Entry Type",$C$4,"2 Item No.","@@"&amp;$F1602,"3 Posting Date",U$9)-NL("Sum","5802 Value Entry","43 Cost Amount (Actual)","41 Source Type",$C$5,"5 Source no.",$C1602,"4 Item Ledger Entry Type",$C$4,"2 Item No.","@@"&amp;$F1602,"3 Posting Date",U$9)</t>
  </si>
  <si>
    <t>=U1602-W1602</t>
  </si>
  <si>
    <t>=IF(U1602&lt;&gt;0,X1602/U1602,"")</t>
  </si>
  <si>
    <t>=NL("Sum","5802 Value Entry","150 Sales Amount (Expected)","41 Source Type",$C$5,"5 Source No.",$C1602,"4 Item Ledger Entry Type",$C$4,"2 Item No.","@@"&amp;$F1602,"3 Posting Date",Z$9)+NL("Sum","5802 Value Entry","17 Sales Amount (Actual)","41 Source Type",$C$5,"5 Source no.",$C1602,"4 Item Ledger Entry Type",$C$4,"2 Item No.","@@"&amp;$F1602,"3 Posting Date",Z$9)</t>
  </si>
  <si>
    <t>=-NL("Sum","5802 Value Entry","151 Cost Amount (Expected)","41 Source Type",$C$5,"5 Source No.",$C1602,"4 Item Ledger Entry Type",$C$4,"2 Item No.","@@"&amp;$F1602,"3 Posting Date",Z$9)-NL("Sum","5802 Value Entry","43 Cost Amount (Actual)","41 Source Type",$C$5,"5 Source no.",$C1602,"4 Item Ledger Entry Type",$C$4,"2 Item No.","@@"&amp;$F1602,"3 Posting Date",Z$9)</t>
  </si>
  <si>
    <t>=Z1602-AB1602</t>
  </si>
  <si>
    <t>=IF(Z1602&lt;&gt;0,AC1602/Z1602,"")</t>
  </si>
  <si>
    <t>=C1602</t>
  </si>
  <si>
    <t>=NL("Sum","5802 Value Entry","150 Sales Amount (Expected)","41 Source Type",$C$5,"5 Source No.",$C1603,"4 Item Ledger Entry Type",$C$4,"2 Item No.","@@"&amp;$F1603,"3 Posting Date",J$9)+NL("Sum","5802 Value Entry","17 Sales Amount (Actual)","41 Source Type",$C$5,"5 Source no.",$C1603,"4 Item Ledger Entry Type",$C$4,"2 Item No.","@@"&amp;$F1603,"3 Posting Date",J$9)</t>
  </si>
  <si>
    <t>=-NL("Sum","5802 Value Entry","151 Cost Amount (Expected)","41 Source Type",$C$5,"5 Source No.",$C1603,"4 Item Ledger Entry Type",$C$4,"2 Item No.","@@"&amp;$F1603,"3 Posting Date",J$9)-NL("Sum","5802 Value Entry","43 Cost Amount (Actual)","41 Source Type",$C$5,"5 Source no.",$C1603,"4 Item Ledger Entry Type",$C$4,"2 Item No.","@@"&amp;$F1603,"3 Posting Date",J$9)</t>
  </si>
  <si>
    <t>=J1603-L1603</t>
  </si>
  <si>
    <t>=IF(J1603&lt;&gt;0,M1603/J1603,"")</t>
  </si>
  <si>
    <t>=NL("Sum","5802 Value Entry","150 Sales Amount (Expected)","41 Source Type",$C$5,"5 Source No.",$C1603,"4 Item Ledger Entry Type",$C$4,"2 Item No.","@@"&amp;$F1603,"3 Posting Date",O$9)+NL("Sum","5802 Value Entry","17 Sales Amount (Actual)","41 Source Type",$C$5,"5 Source no.",$C1603,"4 Item Ledger Entry Type",$C$4,"2 Item No.","@@"&amp;$F1603,"3 Posting Date",O$9)</t>
  </si>
  <si>
    <t>=-NL("Sum","5802 Value Entry","151 Cost Amount (Expected)","41 Source Type",$C$5,"5 Source No.",$C1603,"4 Item Ledger Entry Type",$C$4,"2 Item No.","@@"&amp;$F1603,"3 Posting Date",O$9)-NL("Sum","5802 Value Entry","43 Cost Amount (Actual)","41 Source Type",$C$5,"5 Source no.",$C1603,"4 Item Ledger Entry Type",$C$4,"2 Item No.","@@"&amp;$F1603,"3 Posting Date",O$9)</t>
  </si>
  <si>
    <t>=O1603-Q1603</t>
  </si>
  <si>
    <t>=IF(O1603&lt;&gt;0,R1603/O1603,"")</t>
  </si>
  <si>
    <t>=NL("Sum","5802 Value Entry","150 Sales Amount (Expected)","41 Source Type",$C$5,"5 Source No.",$C1603,"4 Item Ledger Entry Type",$C$4,"2 Item No.","@@"&amp;$F1603,"3 Posting Date",U$9)+NL("Sum","5802 Value Entry","17 Sales Amount (Actual)","41 Source Type",$C$5,"5 Source no.",$C1603,"4 Item Ledger Entry Type",$C$4,"2 Item No.","@@"&amp;$F1603,"3 Posting Date",U$9)</t>
  </si>
  <si>
    <t>=-NL("Sum","5802 Value Entry","151 Cost Amount (Expected)","41 Source Type",$C$5,"5 Source No.",$C1603,"4 Item Ledger Entry Type",$C$4,"2 Item No.","@@"&amp;$F1603,"3 Posting Date",U$9)-NL("Sum","5802 Value Entry","43 Cost Amount (Actual)","41 Source Type",$C$5,"5 Source no.",$C1603,"4 Item Ledger Entry Type",$C$4,"2 Item No.","@@"&amp;$F1603,"3 Posting Date",U$9)</t>
  </si>
  <si>
    <t>=U1603-W1603</t>
  </si>
  <si>
    <t>=IF(U1603&lt;&gt;0,X1603/U1603,"")</t>
  </si>
  <si>
    <t>=NL("Sum","5802 Value Entry","150 Sales Amount (Expected)","41 Source Type",$C$5,"5 Source No.",$C1603,"4 Item Ledger Entry Type",$C$4,"2 Item No.","@@"&amp;$F1603,"3 Posting Date",Z$9)+NL("Sum","5802 Value Entry","17 Sales Amount (Actual)","41 Source Type",$C$5,"5 Source no.",$C1603,"4 Item Ledger Entry Type",$C$4,"2 Item No.","@@"&amp;$F1603,"3 Posting Date",Z$9)</t>
  </si>
  <si>
    <t>=-NL("Sum","5802 Value Entry","151 Cost Amount (Expected)","41 Source Type",$C$5,"5 Source No.",$C1603,"4 Item Ledger Entry Type",$C$4,"2 Item No.","@@"&amp;$F1603,"3 Posting Date",Z$9)-NL("Sum","5802 Value Entry","43 Cost Amount (Actual)","41 Source Type",$C$5,"5 Source no.",$C1603,"4 Item Ledger Entry Type",$C$4,"2 Item No.","@@"&amp;$F1603,"3 Posting Date",Z$9)</t>
  </si>
  <si>
    <t>=Z1603-AB1603</t>
  </si>
  <si>
    <t>=IF(Z1603&lt;&gt;0,AC1603/Z1603,"")</t>
  </si>
  <si>
    <t>=C1603</t>
  </si>
  <si>
    <t>=NL("Sum","5802 Value Entry","150 Sales Amount (Expected)","41 Source Type",$C$5,"5 Source No.",$C1604,"4 Item Ledger Entry Type",$C$4,"2 Item No.","@@"&amp;$F1604,"3 Posting Date",J$9)+NL("Sum","5802 Value Entry","17 Sales Amount (Actual)","41 Source Type",$C$5,"5 Source no.",$C1604,"4 Item Ledger Entry Type",$C$4,"2 Item No.","@@"&amp;$F1604,"3 Posting Date",J$9)</t>
  </si>
  <si>
    <t>=-NL("Sum","5802 Value Entry","151 Cost Amount (Expected)","41 Source Type",$C$5,"5 Source No.",$C1604,"4 Item Ledger Entry Type",$C$4,"2 Item No.","@@"&amp;$F1604,"3 Posting Date",J$9)-NL("Sum","5802 Value Entry","43 Cost Amount (Actual)","41 Source Type",$C$5,"5 Source no.",$C1604,"4 Item Ledger Entry Type",$C$4,"2 Item No.","@@"&amp;$F1604,"3 Posting Date",J$9)</t>
  </si>
  <si>
    <t>=J1604-L1604</t>
  </si>
  <si>
    <t>=IF(J1604&lt;&gt;0,M1604/J1604,"")</t>
  </si>
  <si>
    <t>=NL("Sum","5802 Value Entry","150 Sales Amount (Expected)","41 Source Type",$C$5,"5 Source No.",$C1604,"4 Item Ledger Entry Type",$C$4,"2 Item No.","@@"&amp;$F1604,"3 Posting Date",O$9)+NL("Sum","5802 Value Entry","17 Sales Amount (Actual)","41 Source Type",$C$5,"5 Source no.",$C1604,"4 Item Ledger Entry Type",$C$4,"2 Item No.","@@"&amp;$F1604,"3 Posting Date",O$9)</t>
  </si>
  <si>
    <t>=-NL("Sum","5802 Value Entry","151 Cost Amount (Expected)","41 Source Type",$C$5,"5 Source No.",$C1604,"4 Item Ledger Entry Type",$C$4,"2 Item No.","@@"&amp;$F1604,"3 Posting Date",O$9)-NL("Sum","5802 Value Entry","43 Cost Amount (Actual)","41 Source Type",$C$5,"5 Source no.",$C1604,"4 Item Ledger Entry Type",$C$4,"2 Item No.","@@"&amp;$F1604,"3 Posting Date",O$9)</t>
  </si>
  <si>
    <t>=O1604-Q1604</t>
  </si>
  <si>
    <t>=IF(O1604&lt;&gt;0,R1604/O1604,"")</t>
  </si>
  <si>
    <t>=NL("Sum","5802 Value Entry","150 Sales Amount (Expected)","41 Source Type",$C$5,"5 Source No.",$C1604,"4 Item Ledger Entry Type",$C$4,"2 Item No.","@@"&amp;$F1604,"3 Posting Date",U$9)+NL("Sum","5802 Value Entry","17 Sales Amount (Actual)","41 Source Type",$C$5,"5 Source no.",$C1604,"4 Item Ledger Entry Type",$C$4,"2 Item No.","@@"&amp;$F1604,"3 Posting Date",U$9)</t>
  </si>
  <si>
    <t>=-NL("Sum","5802 Value Entry","151 Cost Amount (Expected)","41 Source Type",$C$5,"5 Source No.",$C1604,"4 Item Ledger Entry Type",$C$4,"2 Item No.","@@"&amp;$F1604,"3 Posting Date",U$9)-NL("Sum","5802 Value Entry","43 Cost Amount (Actual)","41 Source Type",$C$5,"5 Source no.",$C1604,"4 Item Ledger Entry Type",$C$4,"2 Item No.","@@"&amp;$F1604,"3 Posting Date",U$9)</t>
  </si>
  <si>
    <t>=U1604-W1604</t>
  </si>
  <si>
    <t>=IF(U1604&lt;&gt;0,X1604/U1604,"")</t>
  </si>
  <si>
    <t>=NL("Sum","5802 Value Entry","150 Sales Amount (Expected)","41 Source Type",$C$5,"5 Source No.",$C1604,"4 Item Ledger Entry Type",$C$4,"2 Item No.","@@"&amp;$F1604,"3 Posting Date",Z$9)+NL("Sum","5802 Value Entry","17 Sales Amount (Actual)","41 Source Type",$C$5,"5 Source no.",$C1604,"4 Item Ledger Entry Type",$C$4,"2 Item No.","@@"&amp;$F1604,"3 Posting Date",Z$9)</t>
  </si>
  <si>
    <t>=-NL("Sum","5802 Value Entry","151 Cost Amount (Expected)","41 Source Type",$C$5,"5 Source No.",$C1604,"4 Item Ledger Entry Type",$C$4,"2 Item No.","@@"&amp;$F1604,"3 Posting Date",Z$9)-NL("Sum","5802 Value Entry","43 Cost Amount (Actual)","41 Source Type",$C$5,"5 Source no.",$C1604,"4 Item Ledger Entry Type",$C$4,"2 Item No.","@@"&amp;$F1604,"3 Posting Date",Z$9)</t>
  </si>
  <si>
    <t>=Z1604-AB1604</t>
  </si>
  <si>
    <t>=IF(Z1604&lt;&gt;0,AC1604/Z1604,"")</t>
  </si>
  <si>
    <t>=C1604</t>
  </si>
  <si>
    <t>=NL("Sum","5802 Value Entry","150 Sales Amount (Expected)","41 Source Type",$C$5,"5 Source No.",$C1605,"4 Item Ledger Entry Type",$C$4,"2 Item No.","@@"&amp;$F1605,"3 Posting Date",J$9)+NL("Sum","5802 Value Entry","17 Sales Amount (Actual)","41 Source Type",$C$5,"5 Source no.",$C1605,"4 Item Ledger Entry Type",$C$4,"2 Item No.","@@"&amp;$F1605,"3 Posting Date",J$9)</t>
  </si>
  <si>
    <t>=-NL("Sum","5802 Value Entry","151 Cost Amount (Expected)","41 Source Type",$C$5,"5 Source No.",$C1605,"4 Item Ledger Entry Type",$C$4,"2 Item No.","@@"&amp;$F1605,"3 Posting Date",J$9)-NL("Sum","5802 Value Entry","43 Cost Amount (Actual)","41 Source Type",$C$5,"5 Source no.",$C1605,"4 Item Ledger Entry Type",$C$4,"2 Item No.","@@"&amp;$F1605,"3 Posting Date",J$9)</t>
  </si>
  <si>
    <t>=J1605-L1605</t>
  </si>
  <si>
    <t>=IF(J1605&lt;&gt;0,M1605/J1605,"")</t>
  </si>
  <si>
    <t>=NL("Sum","5802 Value Entry","150 Sales Amount (Expected)","41 Source Type",$C$5,"5 Source No.",$C1605,"4 Item Ledger Entry Type",$C$4,"2 Item No.","@@"&amp;$F1605,"3 Posting Date",O$9)+NL("Sum","5802 Value Entry","17 Sales Amount (Actual)","41 Source Type",$C$5,"5 Source no.",$C1605,"4 Item Ledger Entry Type",$C$4,"2 Item No.","@@"&amp;$F1605,"3 Posting Date",O$9)</t>
  </si>
  <si>
    <t>=-NL("Sum","5802 Value Entry","151 Cost Amount (Expected)","41 Source Type",$C$5,"5 Source No.",$C1605,"4 Item Ledger Entry Type",$C$4,"2 Item No.","@@"&amp;$F1605,"3 Posting Date",O$9)-NL("Sum","5802 Value Entry","43 Cost Amount (Actual)","41 Source Type",$C$5,"5 Source no.",$C1605,"4 Item Ledger Entry Type",$C$4,"2 Item No.","@@"&amp;$F1605,"3 Posting Date",O$9)</t>
  </si>
  <si>
    <t>=O1605-Q1605</t>
  </si>
  <si>
    <t>=IF(O1605&lt;&gt;0,R1605/O1605,"")</t>
  </si>
  <si>
    <t>=NL("Sum","5802 Value Entry","150 Sales Amount (Expected)","41 Source Type",$C$5,"5 Source No.",$C1605,"4 Item Ledger Entry Type",$C$4,"2 Item No.","@@"&amp;$F1605,"3 Posting Date",U$9)+NL("Sum","5802 Value Entry","17 Sales Amount (Actual)","41 Source Type",$C$5,"5 Source no.",$C1605,"4 Item Ledger Entry Type",$C$4,"2 Item No.","@@"&amp;$F1605,"3 Posting Date",U$9)</t>
  </si>
  <si>
    <t>=-NL("Sum","5802 Value Entry","151 Cost Amount (Expected)","41 Source Type",$C$5,"5 Source No.",$C1605,"4 Item Ledger Entry Type",$C$4,"2 Item No.","@@"&amp;$F1605,"3 Posting Date",U$9)-NL("Sum","5802 Value Entry","43 Cost Amount (Actual)","41 Source Type",$C$5,"5 Source no.",$C1605,"4 Item Ledger Entry Type",$C$4,"2 Item No.","@@"&amp;$F1605,"3 Posting Date",U$9)</t>
  </si>
  <si>
    <t>=U1605-W1605</t>
  </si>
  <si>
    <t>=IF(U1605&lt;&gt;0,X1605/U1605,"")</t>
  </si>
  <si>
    <t>=NL("Sum","5802 Value Entry","150 Sales Amount (Expected)","41 Source Type",$C$5,"5 Source No.",$C1605,"4 Item Ledger Entry Type",$C$4,"2 Item No.","@@"&amp;$F1605,"3 Posting Date",Z$9)+NL("Sum","5802 Value Entry","17 Sales Amount (Actual)","41 Source Type",$C$5,"5 Source no.",$C1605,"4 Item Ledger Entry Type",$C$4,"2 Item No.","@@"&amp;$F1605,"3 Posting Date",Z$9)</t>
  </si>
  <si>
    <t>=-NL("Sum","5802 Value Entry","151 Cost Amount (Expected)","41 Source Type",$C$5,"5 Source No.",$C1605,"4 Item Ledger Entry Type",$C$4,"2 Item No.","@@"&amp;$F1605,"3 Posting Date",Z$9)-NL("Sum","5802 Value Entry","43 Cost Amount (Actual)","41 Source Type",$C$5,"5 Source no.",$C1605,"4 Item Ledger Entry Type",$C$4,"2 Item No.","@@"&amp;$F1605,"3 Posting Date",Z$9)</t>
  </si>
  <si>
    <t>=Z1605-AB1605</t>
  </si>
  <si>
    <t>=IF(Z1605&lt;&gt;0,AC1605/Z1605,"")</t>
  </si>
  <si>
    <t>=C1605</t>
  </si>
  <si>
    <t>=NL("Sum","5802 Value Entry","150 Sales Amount (Expected)","41 Source Type",$C$5,"5 Source No.",$C1606,"4 Item Ledger Entry Type",$C$4,"2 Item No.","@@"&amp;$F1606,"3 Posting Date",J$9)+NL("Sum","5802 Value Entry","17 Sales Amount (Actual)","41 Source Type",$C$5,"5 Source no.",$C1606,"4 Item Ledger Entry Type",$C$4,"2 Item No.","@@"&amp;$F1606,"3 Posting Date",J$9)</t>
  </si>
  <si>
    <t>=-NL("Sum","5802 Value Entry","151 Cost Amount (Expected)","41 Source Type",$C$5,"5 Source No.",$C1606,"4 Item Ledger Entry Type",$C$4,"2 Item No.","@@"&amp;$F1606,"3 Posting Date",J$9)-NL("Sum","5802 Value Entry","43 Cost Amount (Actual)","41 Source Type",$C$5,"5 Source no.",$C1606,"4 Item Ledger Entry Type",$C$4,"2 Item No.","@@"&amp;$F1606,"3 Posting Date",J$9)</t>
  </si>
  <si>
    <t>=J1606-L1606</t>
  </si>
  <si>
    <t>=IF(J1606&lt;&gt;0,M1606/J1606,"")</t>
  </si>
  <si>
    <t>=NL("Sum","5802 Value Entry","150 Sales Amount (Expected)","41 Source Type",$C$5,"5 Source No.",$C1606,"4 Item Ledger Entry Type",$C$4,"2 Item No.","@@"&amp;$F1606,"3 Posting Date",O$9)+NL("Sum","5802 Value Entry","17 Sales Amount (Actual)","41 Source Type",$C$5,"5 Source no.",$C1606,"4 Item Ledger Entry Type",$C$4,"2 Item No.","@@"&amp;$F1606,"3 Posting Date",O$9)</t>
  </si>
  <si>
    <t>=-NL("Sum","5802 Value Entry","151 Cost Amount (Expected)","41 Source Type",$C$5,"5 Source No.",$C1606,"4 Item Ledger Entry Type",$C$4,"2 Item No.","@@"&amp;$F1606,"3 Posting Date",O$9)-NL("Sum","5802 Value Entry","43 Cost Amount (Actual)","41 Source Type",$C$5,"5 Source no.",$C1606,"4 Item Ledger Entry Type",$C$4,"2 Item No.","@@"&amp;$F1606,"3 Posting Date",O$9)</t>
  </si>
  <si>
    <t>=O1606-Q1606</t>
  </si>
  <si>
    <t>=IF(O1606&lt;&gt;0,R1606/O1606,"")</t>
  </si>
  <si>
    <t>=NL("Sum","5802 Value Entry","150 Sales Amount (Expected)","41 Source Type",$C$5,"5 Source No.",$C1606,"4 Item Ledger Entry Type",$C$4,"2 Item No.","@@"&amp;$F1606,"3 Posting Date",U$9)+NL("Sum","5802 Value Entry","17 Sales Amount (Actual)","41 Source Type",$C$5,"5 Source no.",$C1606,"4 Item Ledger Entry Type",$C$4,"2 Item No.","@@"&amp;$F1606,"3 Posting Date",U$9)</t>
  </si>
  <si>
    <t>=-NL("Sum","5802 Value Entry","151 Cost Amount (Expected)","41 Source Type",$C$5,"5 Source No.",$C1606,"4 Item Ledger Entry Type",$C$4,"2 Item No.","@@"&amp;$F1606,"3 Posting Date",U$9)-NL("Sum","5802 Value Entry","43 Cost Amount (Actual)","41 Source Type",$C$5,"5 Source no.",$C1606,"4 Item Ledger Entry Type",$C$4,"2 Item No.","@@"&amp;$F1606,"3 Posting Date",U$9)</t>
  </si>
  <si>
    <t>=U1606-W1606</t>
  </si>
  <si>
    <t>=IF(U1606&lt;&gt;0,X1606/U1606,"")</t>
  </si>
  <si>
    <t>=NL("Sum","5802 Value Entry","150 Sales Amount (Expected)","41 Source Type",$C$5,"5 Source No.",$C1606,"4 Item Ledger Entry Type",$C$4,"2 Item No.","@@"&amp;$F1606,"3 Posting Date",Z$9)+NL("Sum","5802 Value Entry","17 Sales Amount (Actual)","41 Source Type",$C$5,"5 Source no.",$C1606,"4 Item Ledger Entry Type",$C$4,"2 Item No.","@@"&amp;$F1606,"3 Posting Date",Z$9)</t>
  </si>
  <si>
    <t>=-NL("Sum","5802 Value Entry","151 Cost Amount (Expected)","41 Source Type",$C$5,"5 Source No.",$C1606,"4 Item Ledger Entry Type",$C$4,"2 Item No.","@@"&amp;$F1606,"3 Posting Date",Z$9)-NL("Sum","5802 Value Entry","43 Cost Amount (Actual)","41 Source Type",$C$5,"5 Source no.",$C1606,"4 Item Ledger Entry Type",$C$4,"2 Item No.","@@"&amp;$F1606,"3 Posting Date",Z$9)</t>
  </si>
  <si>
    <t>=Z1606-AB1606</t>
  </si>
  <si>
    <t>=IF(Z1606&lt;&gt;0,AC1606/Z1606,"")</t>
  </si>
  <si>
    <t>=C1606</t>
  </si>
  <si>
    <t>=NL("Sum","5802 Value Entry","150 Sales Amount (Expected)","41 Source Type",$C$5,"5 Source No.",$C1607,"4 Item Ledger Entry Type",$C$4,"2 Item No.","@@"&amp;$F1607,"3 Posting Date",J$9)+NL("Sum","5802 Value Entry","17 Sales Amount (Actual)","41 Source Type",$C$5,"5 Source no.",$C1607,"4 Item Ledger Entry Type",$C$4,"2 Item No.","@@"&amp;$F1607,"3 Posting Date",J$9)</t>
  </si>
  <si>
    <t>=-NL("Sum","5802 Value Entry","151 Cost Amount (Expected)","41 Source Type",$C$5,"5 Source No.",$C1607,"4 Item Ledger Entry Type",$C$4,"2 Item No.","@@"&amp;$F1607,"3 Posting Date",J$9)-NL("Sum","5802 Value Entry","43 Cost Amount (Actual)","41 Source Type",$C$5,"5 Source no.",$C1607,"4 Item Ledger Entry Type",$C$4,"2 Item No.","@@"&amp;$F1607,"3 Posting Date",J$9)</t>
  </si>
  <si>
    <t>=J1607-L1607</t>
  </si>
  <si>
    <t>=IF(J1607&lt;&gt;0,M1607/J1607,"")</t>
  </si>
  <si>
    <t>=NL("Sum","5802 Value Entry","150 Sales Amount (Expected)","41 Source Type",$C$5,"5 Source No.",$C1607,"4 Item Ledger Entry Type",$C$4,"2 Item No.","@@"&amp;$F1607,"3 Posting Date",O$9)+NL("Sum","5802 Value Entry","17 Sales Amount (Actual)","41 Source Type",$C$5,"5 Source no.",$C1607,"4 Item Ledger Entry Type",$C$4,"2 Item No.","@@"&amp;$F1607,"3 Posting Date",O$9)</t>
  </si>
  <si>
    <t>=-NL("Sum","5802 Value Entry","151 Cost Amount (Expected)","41 Source Type",$C$5,"5 Source No.",$C1607,"4 Item Ledger Entry Type",$C$4,"2 Item No.","@@"&amp;$F1607,"3 Posting Date",O$9)-NL("Sum","5802 Value Entry","43 Cost Amount (Actual)","41 Source Type",$C$5,"5 Source no.",$C1607,"4 Item Ledger Entry Type",$C$4,"2 Item No.","@@"&amp;$F1607,"3 Posting Date",O$9)</t>
  </si>
  <si>
    <t>=O1607-Q1607</t>
  </si>
  <si>
    <t>=IF(O1607&lt;&gt;0,R1607/O1607,"")</t>
  </si>
  <si>
    <t>=NL("Sum","5802 Value Entry","150 Sales Amount (Expected)","41 Source Type",$C$5,"5 Source No.",$C1607,"4 Item Ledger Entry Type",$C$4,"2 Item No.","@@"&amp;$F1607,"3 Posting Date",U$9)+NL("Sum","5802 Value Entry","17 Sales Amount (Actual)","41 Source Type",$C$5,"5 Source no.",$C1607,"4 Item Ledger Entry Type",$C$4,"2 Item No.","@@"&amp;$F1607,"3 Posting Date",U$9)</t>
  </si>
  <si>
    <t>=-NL("Sum","5802 Value Entry","151 Cost Amount (Expected)","41 Source Type",$C$5,"5 Source No.",$C1607,"4 Item Ledger Entry Type",$C$4,"2 Item No.","@@"&amp;$F1607,"3 Posting Date",U$9)-NL("Sum","5802 Value Entry","43 Cost Amount (Actual)","41 Source Type",$C$5,"5 Source no.",$C1607,"4 Item Ledger Entry Type",$C$4,"2 Item No.","@@"&amp;$F1607,"3 Posting Date",U$9)</t>
  </si>
  <si>
    <t>=U1607-W1607</t>
  </si>
  <si>
    <t>=IF(U1607&lt;&gt;0,X1607/U1607,"")</t>
  </si>
  <si>
    <t>=NL("Sum","5802 Value Entry","150 Sales Amount (Expected)","41 Source Type",$C$5,"5 Source No.",$C1607,"4 Item Ledger Entry Type",$C$4,"2 Item No.","@@"&amp;$F1607,"3 Posting Date",Z$9)+NL("Sum","5802 Value Entry","17 Sales Amount (Actual)","41 Source Type",$C$5,"5 Source no.",$C1607,"4 Item Ledger Entry Type",$C$4,"2 Item No.","@@"&amp;$F1607,"3 Posting Date",Z$9)</t>
  </si>
  <si>
    <t>=-NL("Sum","5802 Value Entry","151 Cost Amount (Expected)","41 Source Type",$C$5,"5 Source No.",$C1607,"4 Item Ledger Entry Type",$C$4,"2 Item No.","@@"&amp;$F1607,"3 Posting Date",Z$9)-NL("Sum","5802 Value Entry","43 Cost Amount (Actual)","41 Source Type",$C$5,"5 Source no.",$C1607,"4 Item Ledger Entry Type",$C$4,"2 Item No.","@@"&amp;$F1607,"3 Posting Date",Z$9)</t>
  </si>
  <si>
    <t>=Z1607-AB1607</t>
  </si>
  <si>
    <t>=IF(Z1607&lt;&gt;0,AC1607/Z1607,"")</t>
  </si>
  <si>
    <t>=C1607</t>
  </si>
  <si>
    <t>=NL("Sum","5802 Value Entry","150 Sales Amount (Expected)","41 Source Type",$C$5,"5 Source No.",$C1608,"4 Item Ledger Entry Type",$C$4,"2 Item No.","@@"&amp;$F1608,"3 Posting Date",J$9)+NL("Sum","5802 Value Entry","17 Sales Amount (Actual)","41 Source Type",$C$5,"5 Source no.",$C1608,"4 Item Ledger Entry Type",$C$4,"2 Item No.","@@"&amp;$F1608,"3 Posting Date",J$9)</t>
  </si>
  <si>
    <t>=-NL("Sum","5802 Value Entry","151 Cost Amount (Expected)","41 Source Type",$C$5,"5 Source No.",$C1608,"4 Item Ledger Entry Type",$C$4,"2 Item No.","@@"&amp;$F1608,"3 Posting Date",J$9)-NL("Sum","5802 Value Entry","43 Cost Amount (Actual)","41 Source Type",$C$5,"5 Source no.",$C1608,"4 Item Ledger Entry Type",$C$4,"2 Item No.","@@"&amp;$F1608,"3 Posting Date",J$9)</t>
  </si>
  <si>
    <t>=J1608-L1608</t>
  </si>
  <si>
    <t>=IF(J1608&lt;&gt;0,M1608/J1608,"")</t>
  </si>
  <si>
    <t>=NL("Sum","5802 Value Entry","150 Sales Amount (Expected)","41 Source Type",$C$5,"5 Source No.",$C1608,"4 Item Ledger Entry Type",$C$4,"2 Item No.","@@"&amp;$F1608,"3 Posting Date",O$9)+NL("Sum","5802 Value Entry","17 Sales Amount (Actual)","41 Source Type",$C$5,"5 Source no.",$C1608,"4 Item Ledger Entry Type",$C$4,"2 Item No.","@@"&amp;$F1608,"3 Posting Date",O$9)</t>
  </si>
  <si>
    <t>=-NL("Sum","5802 Value Entry","151 Cost Amount (Expected)","41 Source Type",$C$5,"5 Source No.",$C1608,"4 Item Ledger Entry Type",$C$4,"2 Item No.","@@"&amp;$F1608,"3 Posting Date",O$9)-NL("Sum","5802 Value Entry","43 Cost Amount (Actual)","41 Source Type",$C$5,"5 Source no.",$C1608,"4 Item Ledger Entry Type",$C$4,"2 Item No.","@@"&amp;$F1608,"3 Posting Date",O$9)</t>
  </si>
  <si>
    <t>=O1608-Q1608</t>
  </si>
  <si>
    <t>=IF(O1608&lt;&gt;0,R1608/O1608,"")</t>
  </si>
  <si>
    <t>=NL("Sum","5802 Value Entry","150 Sales Amount (Expected)","41 Source Type",$C$5,"5 Source No.",$C1608,"4 Item Ledger Entry Type",$C$4,"2 Item No.","@@"&amp;$F1608,"3 Posting Date",U$9)+NL("Sum","5802 Value Entry","17 Sales Amount (Actual)","41 Source Type",$C$5,"5 Source no.",$C1608,"4 Item Ledger Entry Type",$C$4,"2 Item No.","@@"&amp;$F1608,"3 Posting Date",U$9)</t>
  </si>
  <si>
    <t>=-NL("Sum","5802 Value Entry","151 Cost Amount (Expected)","41 Source Type",$C$5,"5 Source No.",$C1608,"4 Item Ledger Entry Type",$C$4,"2 Item No.","@@"&amp;$F1608,"3 Posting Date",U$9)-NL("Sum","5802 Value Entry","43 Cost Amount (Actual)","41 Source Type",$C$5,"5 Source no.",$C1608,"4 Item Ledger Entry Type",$C$4,"2 Item No.","@@"&amp;$F1608,"3 Posting Date",U$9)</t>
  </si>
  <si>
    <t>=U1608-W1608</t>
  </si>
  <si>
    <t>=IF(U1608&lt;&gt;0,X1608/U1608,"")</t>
  </si>
  <si>
    <t>=NL("Sum","5802 Value Entry","150 Sales Amount (Expected)","41 Source Type",$C$5,"5 Source No.",$C1608,"4 Item Ledger Entry Type",$C$4,"2 Item No.","@@"&amp;$F1608,"3 Posting Date",Z$9)+NL("Sum","5802 Value Entry","17 Sales Amount (Actual)","41 Source Type",$C$5,"5 Source no.",$C1608,"4 Item Ledger Entry Type",$C$4,"2 Item No.","@@"&amp;$F1608,"3 Posting Date",Z$9)</t>
  </si>
  <si>
    <t>=-NL("Sum","5802 Value Entry","151 Cost Amount (Expected)","41 Source Type",$C$5,"5 Source No.",$C1608,"4 Item Ledger Entry Type",$C$4,"2 Item No.","@@"&amp;$F1608,"3 Posting Date",Z$9)-NL("Sum","5802 Value Entry","43 Cost Amount (Actual)","41 Source Type",$C$5,"5 Source no.",$C1608,"4 Item Ledger Entry Type",$C$4,"2 Item No.","@@"&amp;$F1608,"3 Posting Date",Z$9)</t>
  </si>
  <si>
    <t>=Z1608-AB1608</t>
  </si>
  <si>
    <t>=IF(Z1608&lt;&gt;0,AC1608/Z1608,"")</t>
  </si>
  <si>
    <t>=C1608</t>
  </si>
  <si>
    <t>=NL("Sum","5802 Value Entry","150 Sales Amount (Expected)","41 Source Type",$C$5,"5 Source No.",$C1609,"4 Item Ledger Entry Type",$C$4,"2 Item No.","@@"&amp;$F1609,"3 Posting Date",J$9)+NL("Sum","5802 Value Entry","17 Sales Amount (Actual)","41 Source Type",$C$5,"5 Source no.",$C1609,"4 Item Ledger Entry Type",$C$4,"2 Item No.","@@"&amp;$F1609,"3 Posting Date",J$9)</t>
  </si>
  <si>
    <t>=-NL("Sum","5802 Value Entry","151 Cost Amount (Expected)","41 Source Type",$C$5,"5 Source No.",$C1609,"4 Item Ledger Entry Type",$C$4,"2 Item No.","@@"&amp;$F1609,"3 Posting Date",J$9)-NL("Sum","5802 Value Entry","43 Cost Amount (Actual)","41 Source Type",$C$5,"5 Source no.",$C1609,"4 Item Ledger Entry Type",$C$4,"2 Item No.","@@"&amp;$F1609,"3 Posting Date",J$9)</t>
  </si>
  <si>
    <t>=J1609-L1609</t>
  </si>
  <si>
    <t>=IF(J1609&lt;&gt;0,M1609/J1609,"")</t>
  </si>
  <si>
    <t>=NL("Sum","5802 Value Entry","150 Sales Amount (Expected)","41 Source Type",$C$5,"5 Source No.",$C1609,"4 Item Ledger Entry Type",$C$4,"2 Item No.","@@"&amp;$F1609,"3 Posting Date",O$9)+NL("Sum","5802 Value Entry","17 Sales Amount (Actual)","41 Source Type",$C$5,"5 Source no.",$C1609,"4 Item Ledger Entry Type",$C$4,"2 Item No.","@@"&amp;$F1609,"3 Posting Date",O$9)</t>
  </si>
  <si>
    <t>=-NL("Sum","5802 Value Entry","151 Cost Amount (Expected)","41 Source Type",$C$5,"5 Source No.",$C1609,"4 Item Ledger Entry Type",$C$4,"2 Item No.","@@"&amp;$F1609,"3 Posting Date",O$9)-NL("Sum","5802 Value Entry","43 Cost Amount (Actual)","41 Source Type",$C$5,"5 Source no.",$C1609,"4 Item Ledger Entry Type",$C$4,"2 Item No.","@@"&amp;$F1609,"3 Posting Date",O$9)</t>
  </si>
  <si>
    <t>=O1609-Q1609</t>
  </si>
  <si>
    <t>=IF(O1609&lt;&gt;0,R1609/O1609,"")</t>
  </si>
  <si>
    <t>=NL("Sum","5802 Value Entry","150 Sales Amount (Expected)","41 Source Type",$C$5,"5 Source No.",$C1609,"4 Item Ledger Entry Type",$C$4,"2 Item No.","@@"&amp;$F1609,"3 Posting Date",U$9)+NL("Sum","5802 Value Entry","17 Sales Amount (Actual)","41 Source Type",$C$5,"5 Source no.",$C1609,"4 Item Ledger Entry Type",$C$4,"2 Item No.","@@"&amp;$F1609,"3 Posting Date",U$9)</t>
  </si>
  <si>
    <t>=-NL("Sum","5802 Value Entry","151 Cost Amount (Expected)","41 Source Type",$C$5,"5 Source No.",$C1609,"4 Item Ledger Entry Type",$C$4,"2 Item No.","@@"&amp;$F1609,"3 Posting Date",U$9)-NL("Sum","5802 Value Entry","43 Cost Amount (Actual)","41 Source Type",$C$5,"5 Source no.",$C1609,"4 Item Ledger Entry Type",$C$4,"2 Item No.","@@"&amp;$F1609,"3 Posting Date",U$9)</t>
  </si>
  <si>
    <t>=U1609-W1609</t>
  </si>
  <si>
    <t>=IF(U1609&lt;&gt;0,X1609/U1609,"")</t>
  </si>
  <si>
    <t>=NL("Sum","5802 Value Entry","150 Sales Amount (Expected)","41 Source Type",$C$5,"5 Source No.",$C1609,"4 Item Ledger Entry Type",$C$4,"2 Item No.","@@"&amp;$F1609,"3 Posting Date",Z$9)+NL("Sum","5802 Value Entry","17 Sales Amount (Actual)","41 Source Type",$C$5,"5 Source no.",$C1609,"4 Item Ledger Entry Type",$C$4,"2 Item No.","@@"&amp;$F1609,"3 Posting Date",Z$9)</t>
  </si>
  <si>
    <t>=-NL("Sum","5802 Value Entry","151 Cost Amount (Expected)","41 Source Type",$C$5,"5 Source No.",$C1609,"4 Item Ledger Entry Type",$C$4,"2 Item No.","@@"&amp;$F1609,"3 Posting Date",Z$9)-NL("Sum","5802 Value Entry","43 Cost Amount (Actual)","41 Source Type",$C$5,"5 Source no.",$C1609,"4 Item Ledger Entry Type",$C$4,"2 Item No.","@@"&amp;$F1609,"3 Posting Date",Z$9)</t>
  </si>
  <si>
    <t>=Z1609-AB1609</t>
  </si>
  <si>
    <t>=IF(Z1609&lt;&gt;0,AC1609/Z1609,"")</t>
  </si>
  <si>
    <t>=C1609</t>
  </si>
  <si>
    <t>=NL("Sum","5802 Value Entry","150 Sales Amount (Expected)","41 Source Type",$C$5,"5 Source No.",$C1610,"4 Item Ledger Entry Type",$C$4,"2 Item No.","@@"&amp;$F1610,"3 Posting Date",J$9)+NL("Sum","5802 Value Entry","17 Sales Amount (Actual)","41 Source Type",$C$5,"5 Source no.",$C1610,"4 Item Ledger Entry Type",$C$4,"2 Item No.","@@"&amp;$F1610,"3 Posting Date",J$9)</t>
  </si>
  <si>
    <t>=-NL("Sum","5802 Value Entry","151 Cost Amount (Expected)","41 Source Type",$C$5,"5 Source No.",$C1610,"4 Item Ledger Entry Type",$C$4,"2 Item No.","@@"&amp;$F1610,"3 Posting Date",J$9)-NL("Sum","5802 Value Entry","43 Cost Amount (Actual)","41 Source Type",$C$5,"5 Source no.",$C1610,"4 Item Ledger Entry Type",$C$4,"2 Item No.","@@"&amp;$F1610,"3 Posting Date",J$9)</t>
  </si>
  <si>
    <t>=J1610-L1610</t>
  </si>
  <si>
    <t>=IF(J1610&lt;&gt;0,M1610/J1610,"")</t>
  </si>
  <si>
    <t>=NL("Sum","5802 Value Entry","150 Sales Amount (Expected)","41 Source Type",$C$5,"5 Source No.",$C1610,"4 Item Ledger Entry Type",$C$4,"2 Item No.","@@"&amp;$F1610,"3 Posting Date",O$9)+NL("Sum","5802 Value Entry","17 Sales Amount (Actual)","41 Source Type",$C$5,"5 Source no.",$C1610,"4 Item Ledger Entry Type",$C$4,"2 Item No.","@@"&amp;$F1610,"3 Posting Date",O$9)</t>
  </si>
  <si>
    <t>=-NL("Sum","5802 Value Entry","151 Cost Amount (Expected)","41 Source Type",$C$5,"5 Source No.",$C1610,"4 Item Ledger Entry Type",$C$4,"2 Item No.","@@"&amp;$F1610,"3 Posting Date",O$9)-NL("Sum","5802 Value Entry","43 Cost Amount (Actual)","41 Source Type",$C$5,"5 Source no.",$C1610,"4 Item Ledger Entry Type",$C$4,"2 Item No.","@@"&amp;$F1610,"3 Posting Date",O$9)</t>
  </si>
  <si>
    <t>=O1610-Q1610</t>
  </si>
  <si>
    <t>=IF(O1610&lt;&gt;0,R1610/O1610,"")</t>
  </si>
  <si>
    <t>=NL("Sum","5802 Value Entry","150 Sales Amount (Expected)","41 Source Type",$C$5,"5 Source No.",$C1610,"4 Item Ledger Entry Type",$C$4,"2 Item No.","@@"&amp;$F1610,"3 Posting Date",U$9)+NL("Sum","5802 Value Entry","17 Sales Amount (Actual)","41 Source Type",$C$5,"5 Source no.",$C1610,"4 Item Ledger Entry Type",$C$4,"2 Item No.","@@"&amp;$F1610,"3 Posting Date",U$9)</t>
  </si>
  <si>
    <t>=-NL("Sum","5802 Value Entry","151 Cost Amount (Expected)","41 Source Type",$C$5,"5 Source No.",$C1610,"4 Item Ledger Entry Type",$C$4,"2 Item No.","@@"&amp;$F1610,"3 Posting Date",U$9)-NL("Sum","5802 Value Entry","43 Cost Amount (Actual)","41 Source Type",$C$5,"5 Source no.",$C1610,"4 Item Ledger Entry Type",$C$4,"2 Item No.","@@"&amp;$F1610,"3 Posting Date",U$9)</t>
  </si>
  <si>
    <t>=U1610-W1610</t>
  </si>
  <si>
    <t>=IF(U1610&lt;&gt;0,X1610/U1610,"")</t>
  </si>
  <si>
    <t>=NL("Sum","5802 Value Entry","150 Sales Amount (Expected)","41 Source Type",$C$5,"5 Source No.",$C1610,"4 Item Ledger Entry Type",$C$4,"2 Item No.","@@"&amp;$F1610,"3 Posting Date",Z$9)+NL("Sum","5802 Value Entry","17 Sales Amount (Actual)","41 Source Type",$C$5,"5 Source no.",$C1610,"4 Item Ledger Entry Type",$C$4,"2 Item No.","@@"&amp;$F1610,"3 Posting Date",Z$9)</t>
  </si>
  <si>
    <t>=-NL("Sum","5802 Value Entry","151 Cost Amount (Expected)","41 Source Type",$C$5,"5 Source No.",$C1610,"4 Item Ledger Entry Type",$C$4,"2 Item No.","@@"&amp;$F1610,"3 Posting Date",Z$9)-NL("Sum","5802 Value Entry","43 Cost Amount (Actual)","41 Source Type",$C$5,"5 Source no.",$C1610,"4 Item Ledger Entry Type",$C$4,"2 Item No.","@@"&amp;$F1610,"3 Posting Date",Z$9)</t>
  </si>
  <si>
    <t>=Z1610-AB1610</t>
  </si>
  <si>
    <t>=IF(Z1610&lt;&gt;0,AC1610/Z1610,"")</t>
  </si>
  <si>
    <t>=C1610</t>
  </si>
  <si>
    <t>=NL("Sum","5802 Value Entry","150 Sales Amount (Expected)","41 Source Type",$C$5,"5 Source No.",$C1611,"4 Item Ledger Entry Type",$C$4,"2 Item No.","@@"&amp;$F1611,"3 Posting Date",J$9)+NL("Sum","5802 Value Entry","17 Sales Amount (Actual)","41 Source Type",$C$5,"5 Source no.",$C1611,"4 Item Ledger Entry Type",$C$4,"2 Item No.","@@"&amp;$F1611,"3 Posting Date",J$9)</t>
  </si>
  <si>
    <t>=-NL("Sum","5802 Value Entry","151 Cost Amount (Expected)","41 Source Type",$C$5,"5 Source No.",$C1611,"4 Item Ledger Entry Type",$C$4,"2 Item No.","@@"&amp;$F1611,"3 Posting Date",J$9)-NL("Sum","5802 Value Entry","43 Cost Amount (Actual)","41 Source Type",$C$5,"5 Source no.",$C1611,"4 Item Ledger Entry Type",$C$4,"2 Item No.","@@"&amp;$F1611,"3 Posting Date",J$9)</t>
  </si>
  <si>
    <t>=J1611-L1611</t>
  </si>
  <si>
    <t>=IF(J1611&lt;&gt;0,M1611/J1611,"")</t>
  </si>
  <si>
    <t>=NL("Sum","5802 Value Entry","150 Sales Amount (Expected)","41 Source Type",$C$5,"5 Source No.",$C1611,"4 Item Ledger Entry Type",$C$4,"2 Item No.","@@"&amp;$F1611,"3 Posting Date",O$9)+NL("Sum","5802 Value Entry","17 Sales Amount (Actual)","41 Source Type",$C$5,"5 Source no.",$C1611,"4 Item Ledger Entry Type",$C$4,"2 Item No.","@@"&amp;$F1611,"3 Posting Date",O$9)</t>
  </si>
  <si>
    <t>=-NL("Sum","5802 Value Entry","151 Cost Amount (Expected)","41 Source Type",$C$5,"5 Source No.",$C1611,"4 Item Ledger Entry Type",$C$4,"2 Item No.","@@"&amp;$F1611,"3 Posting Date",O$9)-NL("Sum","5802 Value Entry","43 Cost Amount (Actual)","41 Source Type",$C$5,"5 Source no.",$C1611,"4 Item Ledger Entry Type",$C$4,"2 Item No.","@@"&amp;$F1611,"3 Posting Date",O$9)</t>
  </si>
  <si>
    <t>=O1611-Q1611</t>
  </si>
  <si>
    <t>=IF(O1611&lt;&gt;0,R1611/O1611,"")</t>
  </si>
  <si>
    <t>=NL("Sum","5802 Value Entry","150 Sales Amount (Expected)","41 Source Type",$C$5,"5 Source No.",$C1611,"4 Item Ledger Entry Type",$C$4,"2 Item No.","@@"&amp;$F1611,"3 Posting Date",U$9)+NL("Sum","5802 Value Entry","17 Sales Amount (Actual)","41 Source Type",$C$5,"5 Source no.",$C1611,"4 Item Ledger Entry Type",$C$4,"2 Item No.","@@"&amp;$F1611,"3 Posting Date",U$9)</t>
  </si>
  <si>
    <t>=-NL("Sum","5802 Value Entry","151 Cost Amount (Expected)","41 Source Type",$C$5,"5 Source No.",$C1611,"4 Item Ledger Entry Type",$C$4,"2 Item No.","@@"&amp;$F1611,"3 Posting Date",U$9)-NL("Sum","5802 Value Entry","43 Cost Amount (Actual)","41 Source Type",$C$5,"5 Source no.",$C1611,"4 Item Ledger Entry Type",$C$4,"2 Item No.","@@"&amp;$F1611,"3 Posting Date",U$9)</t>
  </si>
  <si>
    <t>=U1611-W1611</t>
  </si>
  <si>
    <t>=IF(U1611&lt;&gt;0,X1611/U1611,"")</t>
  </si>
  <si>
    <t>=NL("Sum","5802 Value Entry","150 Sales Amount (Expected)","41 Source Type",$C$5,"5 Source No.",$C1611,"4 Item Ledger Entry Type",$C$4,"2 Item No.","@@"&amp;$F1611,"3 Posting Date",Z$9)+NL("Sum","5802 Value Entry","17 Sales Amount (Actual)","41 Source Type",$C$5,"5 Source no.",$C1611,"4 Item Ledger Entry Type",$C$4,"2 Item No.","@@"&amp;$F1611,"3 Posting Date",Z$9)</t>
  </si>
  <si>
    <t>=-NL("Sum","5802 Value Entry","151 Cost Amount (Expected)","41 Source Type",$C$5,"5 Source No.",$C1611,"4 Item Ledger Entry Type",$C$4,"2 Item No.","@@"&amp;$F1611,"3 Posting Date",Z$9)-NL("Sum","5802 Value Entry","43 Cost Amount (Actual)","41 Source Type",$C$5,"5 Source no.",$C1611,"4 Item Ledger Entry Type",$C$4,"2 Item No.","@@"&amp;$F1611,"3 Posting Date",Z$9)</t>
  </si>
  <si>
    <t>=Z1611-AB1611</t>
  </si>
  <si>
    <t>=IF(Z1611&lt;&gt;0,AC1611/Z1611,"")</t>
  </si>
  <si>
    <t>=C1611</t>
  </si>
  <si>
    <t>=NL("Sum","5802 Value Entry","150 Sales Amount (Expected)","41 Source Type",$C$5,"5 Source No.",$C1612,"4 Item Ledger Entry Type",$C$4,"2 Item No.","@@"&amp;$F1612,"3 Posting Date",J$9)+NL("Sum","5802 Value Entry","17 Sales Amount (Actual)","41 Source Type",$C$5,"5 Source no.",$C1612,"4 Item Ledger Entry Type",$C$4,"2 Item No.","@@"&amp;$F1612,"3 Posting Date",J$9)</t>
  </si>
  <si>
    <t>=-NL("Sum","5802 Value Entry","151 Cost Amount (Expected)","41 Source Type",$C$5,"5 Source No.",$C1612,"4 Item Ledger Entry Type",$C$4,"2 Item No.","@@"&amp;$F1612,"3 Posting Date",J$9)-NL("Sum","5802 Value Entry","43 Cost Amount (Actual)","41 Source Type",$C$5,"5 Source no.",$C1612,"4 Item Ledger Entry Type",$C$4,"2 Item No.","@@"&amp;$F1612,"3 Posting Date",J$9)</t>
  </si>
  <si>
    <t>=J1612-L1612</t>
  </si>
  <si>
    <t>=IF(J1612&lt;&gt;0,M1612/J1612,"")</t>
  </si>
  <si>
    <t>=NL("Sum","5802 Value Entry","150 Sales Amount (Expected)","41 Source Type",$C$5,"5 Source No.",$C1612,"4 Item Ledger Entry Type",$C$4,"2 Item No.","@@"&amp;$F1612,"3 Posting Date",O$9)+NL("Sum","5802 Value Entry","17 Sales Amount (Actual)","41 Source Type",$C$5,"5 Source no.",$C1612,"4 Item Ledger Entry Type",$C$4,"2 Item No.","@@"&amp;$F1612,"3 Posting Date",O$9)</t>
  </si>
  <si>
    <t>=-NL("Sum","5802 Value Entry","151 Cost Amount (Expected)","41 Source Type",$C$5,"5 Source No.",$C1612,"4 Item Ledger Entry Type",$C$4,"2 Item No.","@@"&amp;$F1612,"3 Posting Date",O$9)-NL("Sum","5802 Value Entry","43 Cost Amount (Actual)","41 Source Type",$C$5,"5 Source no.",$C1612,"4 Item Ledger Entry Type",$C$4,"2 Item No.","@@"&amp;$F1612,"3 Posting Date",O$9)</t>
  </si>
  <si>
    <t>=O1612-Q1612</t>
  </si>
  <si>
    <t>=IF(O1612&lt;&gt;0,R1612/O1612,"")</t>
  </si>
  <si>
    <t>=NL("Sum","5802 Value Entry","150 Sales Amount (Expected)","41 Source Type",$C$5,"5 Source No.",$C1612,"4 Item Ledger Entry Type",$C$4,"2 Item No.","@@"&amp;$F1612,"3 Posting Date",U$9)+NL("Sum","5802 Value Entry","17 Sales Amount (Actual)","41 Source Type",$C$5,"5 Source no.",$C1612,"4 Item Ledger Entry Type",$C$4,"2 Item No.","@@"&amp;$F1612,"3 Posting Date",U$9)</t>
  </si>
  <si>
    <t>=-NL("Sum","5802 Value Entry","151 Cost Amount (Expected)","41 Source Type",$C$5,"5 Source No.",$C1612,"4 Item Ledger Entry Type",$C$4,"2 Item No.","@@"&amp;$F1612,"3 Posting Date",U$9)-NL("Sum","5802 Value Entry","43 Cost Amount (Actual)","41 Source Type",$C$5,"5 Source no.",$C1612,"4 Item Ledger Entry Type",$C$4,"2 Item No.","@@"&amp;$F1612,"3 Posting Date",U$9)</t>
  </si>
  <si>
    <t>=U1612-W1612</t>
  </si>
  <si>
    <t>=IF(U1612&lt;&gt;0,X1612/U1612,"")</t>
  </si>
  <si>
    <t>=NL("Sum","5802 Value Entry","150 Sales Amount (Expected)","41 Source Type",$C$5,"5 Source No.",$C1612,"4 Item Ledger Entry Type",$C$4,"2 Item No.","@@"&amp;$F1612,"3 Posting Date",Z$9)+NL("Sum","5802 Value Entry","17 Sales Amount (Actual)","41 Source Type",$C$5,"5 Source no.",$C1612,"4 Item Ledger Entry Type",$C$4,"2 Item No.","@@"&amp;$F1612,"3 Posting Date",Z$9)</t>
  </si>
  <si>
    <t>=-NL("Sum","5802 Value Entry","151 Cost Amount (Expected)","41 Source Type",$C$5,"5 Source No.",$C1612,"4 Item Ledger Entry Type",$C$4,"2 Item No.","@@"&amp;$F1612,"3 Posting Date",Z$9)-NL("Sum","5802 Value Entry","43 Cost Amount (Actual)","41 Source Type",$C$5,"5 Source no.",$C1612,"4 Item Ledger Entry Type",$C$4,"2 Item No.","@@"&amp;$F1612,"3 Posting Date",Z$9)</t>
  </si>
  <si>
    <t>=Z1612-AB1612</t>
  </si>
  <si>
    <t>=IF(Z1612&lt;&gt;0,AC1612/Z1612,"")</t>
  </si>
  <si>
    <t>=C1612</t>
  </si>
  <si>
    <t>=NL("Sum","5802 Value Entry","150 Sales Amount (Expected)","41 Source Type",$C$5,"5 Source No.",$C1613,"4 Item Ledger Entry Type",$C$4,"2 Item No.","@@"&amp;$F1613,"3 Posting Date",J$9)+NL("Sum","5802 Value Entry","17 Sales Amount (Actual)","41 Source Type",$C$5,"5 Source no.",$C1613,"4 Item Ledger Entry Type",$C$4,"2 Item No.","@@"&amp;$F1613,"3 Posting Date",J$9)</t>
  </si>
  <si>
    <t>=-NL("Sum","5802 Value Entry","151 Cost Amount (Expected)","41 Source Type",$C$5,"5 Source No.",$C1613,"4 Item Ledger Entry Type",$C$4,"2 Item No.","@@"&amp;$F1613,"3 Posting Date",J$9)-NL("Sum","5802 Value Entry","43 Cost Amount (Actual)","41 Source Type",$C$5,"5 Source no.",$C1613,"4 Item Ledger Entry Type",$C$4,"2 Item No.","@@"&amp;$F1613,"3 Posting Date",J$9)</t>
  </si>
  <si>
    <t>=J1613-L1613</t>
  </si>
  <si>
    <t>=IF(J1613&lt;&gt;0,M1613/J1613,"")</t>
  </si>
  <si>
    <t>=NL("Sum","5802 Value Entry","150 Sales Amount (Expected)","41 Source Type",$C$5,"5 Source No.",$C1613,"4 Item Ledger Entry Type",$C$4,"2 Item No.","@@"&amp;$F1613,"3 Posting Date",O$9)+NL("Sum","5802 Value Entry","17 Sales Amount (Actual)","41 Source Type",$C$5,"5 Source no.",$C1613,"4 Item Ledger Entry Type",$C$4,"2 Item No.","@@"&amp;$F1613,"3 Posting Date",O$9)</t>
  </si>
  <si>
    <t>=-NL("Sum","5802 Value Entry","151 Cost Amount (Expected)","41 Source Type",$C$5,"5 Source No.",$C1613,"4 Item Ledger Entry Type",$C$4,"2 Item No.","@@"&amp;$F1613,"3 Posting Date",O$9)-NL("Sum","5802 Value Entry","43 Cost Amount (Actual)","41 Source Type",$C$5,"5 Source no.",$C1613,"4 Item Ledger Entry Type",$C$4,"2 Item No.","@@"&amp;$F1613,"3 Posting Date",O$9)</t>
  </si>
  <si>
    <t>=O1613-Q1613</t>
  </si>
  <si>
    <t>=IF(O1613&lt;&gt;0,R1613/O1613,"")</t>
  </si>
  <si>
    <t>=NL("Sum","5802 Value Entry","150 Sales Amount (Expected)","41 Source Type",$C$5,"5 Source No.",$C1613,"4 Item Ledger Entry Type",$C$4,"2 Item No.","@@"&amp;$F1613,"3 Posting Date",U$9)+NL("Sum","5802 Value Entry","17 Sales Amount (Actual)","41 Source Type",$C$5,"5 Source no.",$C1613,"4 Item Ledger Entry Type",$C$4,"2 Item No.","@@"&amp;$F1613,"3 Posting Date",U$9)</t>
  </si>
  <si>
    <t>=-NL("Sum","5802 Value Entry","151 Cost Amount (Expected)","41 Source Type",$C$5,"5 Source No.",$C1613,"4 Item Ledger Entry Type",$C$4,"2 Item No.","@@"&amp;$F1613,"3 Posting Date",U$9)-NL("Sum","5802 Value Entry","43 Cost Amount (Actual)","41 Source Type",$C$5,"5 Source no.",$C1613,"4 Item Ledger Entry Type",$C$4,"2 Item No.","@@"&amp;$F1613,"3 Posting Date",U$9)</t>
  </si>
  <si>
    <t>=U1613-W1613</t>
  </si>
  <si>
    <t>=IF(U1613&lt;&gt;0,X1613/U1613,"")</t>
  </si>
  <si>
    <t>=NL("Sum","5802 Value Entry","150 Sales Amount (Expected)","41 Source Type",$C$5,"5 Source No.",$C1613,"4 Item Ledger Entry Type",$C$4,"2 Item No.","@@"&amp;$F1613,"3 Posting Date",Z$9)+NL("Sum","5802 Value Entry","17 Sales Amount (Actual)","41 Source Type",$C$5,"5 Source no.",$C1613,"4 Item Ledger Entry Type",$C$4,"2 Item No.","@@"&amp;$F1613,"3 Posting Date",Z$9)</t>
  </si>
  <si>
    <t>=-NL("Sum","5802 Value Entry","151 Cost Amount (Expected)","41 Source Type",$C$5,"5 Source No.",$C1613,"4 Item Ledger Entry Type",$C$4,"2 Item No.","@@"&amp;$F1613,"3 Posting Date",Z$9)-NL("Sum","5802 Value Entry","43 Cost Amount (Actual)","41 Source Type",$C$5,"5 Source no.",$C1613,"4 Item Ledger Entry Type",$C$4,"2 Item No.","@@"&amp;$F1613,"3 Posting Date",Z$9)</t>
  </si>
  <si>
    <t>=Z1613-AB1613</t>
  </si>
  <si>
    <t>=IF(Z1613&lt;&gt;0,AC1613/Z1613,"")</t>
  </si>
  <si>
    <t>=C1613</t>
  </si>
  <si>
    <t>=NL("Sum","5802 Value Entry","150 Sales Amount (Expected)","41 Source Type",$C$5,"5 Source No.",$C1614,"4 Item Ledger Entry Type",$C$4,"2 Item No.","@@"&amp;$F1614,"3 Posting Date",J$9)+NL("Sum","5802 Value Entry","17 Sales Amount (Actual)","41 Source Type",$C$5,"5 Source no.",$C1614,"4 Item Ledger Entry Type",$C$4,"2 Item No.","@@"&amp;$F1614,"3 Posting Date",J$9)</t>
  </si>
  <si>
    <t>=-NL("Sum","5802 Value Entry","151 Cost Amount (Expected)","41 Source Type",$C$5,"5 Source No.",$C1614,"4 Item Ledger Entry Type",$C$4,"2 Item No.","@@"&amp;$F1614,"3 Posting Date",J$9)-NL("Sum","5802 Value Entry","43 Cost Amount (Actual)","41 Source Type",$C$5,"5 Source no.",$C1614,"4 Item Ledger Entry Type",$C$4,"2 Item No.","@@"&amp;$F1614,"3 Posting Date",J$9)</t>
  </si>
  <si>
    <t>=J1614-L1614</t>
  </si>
  <si>
    <t>=IF(J1614&lt;&gt;0,M1614/J1614,"")</t>
  </si>
  <si>
    <t>=NL("Sum","5802 Value Entry","150 Sales Amount (Expected)","41 Source Type",$C$5,"5 Source No.",$C1614,"4 Item Ledger Entry Type",$C$4,"2 Item No.","@@"&amp;$F1614,"3 Posting Date",O$9)+NL("Sum","5802 Value Entry","17 Sales Amount (Actual)","41 Source Type",$C$5,"5 Source no.",$C1614,"4 Item Ledger Entry Type",$C$4,"2 Item No.","@@"&amp;$F1614,"3 Posting Date",O$9)</t>
  </si>
  <si>
    <t>=-NL("Sum","5802 Value Entry","151 Cost Amount (Expected)","41 Source Type",$C$5,"5 Source No.",$C1614,"4 Item Ledger Entry Type",$C$4,"2 Item No.","@@"&amp;$F1614,"3 Posting Date",O$9)-NL("Sum","5802 Value Entry","43 Cost Amount (Actual)","41 Source Type",$C$5,"5 Source no.",$C1614,"4 Item Ledger Entry Type",$C$4,"2 Item No.","@@"&amp;$F1614,"3 Posting Date",O$9)</t>
  </si>
  <si>
    <t>=O1614-Q1614</t>
  </si>
  <si>
    <t>=IF(O1614&lt;&gt;0,R1614/O1614,"")</t>
  </si>
  <si>
    <t>=NL("Sum","5802 Value Entry","150 Sales Amount (Expected)","41 Source Type",$C$5,"5 Source No.",$C1614,"4 Item Ledger Entry Type",$C$4,"2 Item No.","@@"&amp;$F1614,"3 Posting Date",U$9)+NL("Sum","5802 Value Entry","17 Sales Amount (Actual)","41 Source Type",$C$5,"5 Source no.",$C1614,"4 Item Ledger Entry Type",$C$4,"2 Item No.","@@"&amp;$F1614,"3 Posting Date",U$9)</t>
  </si>
  <si>
    <t>=-NL("Sum","5802 Value Entry","151 Cost Amount (Expected)","41 Source Type",$C$5,"5 Source No.",$C1614,"4 Item Ledger Entry Type",$C$4,"2 Item No.","@@"&amp;$F1614,"3 Posting Date",U$9)-NL("Sum","5802 Value Entry","43 Cost Amount (Actual)","41 Source Type",$C$5,"5 Source no.",$C1614,"4 Item Ledger Entry Type",$C$4,"2 Item No.","@@"&amp;$F1614,"3 Posting Date",U$9)</t>
  </si>
  <si>
    <t>=U1614-W1614</t>
  </si>
  <si>
    <t>=IF(U1614&lt;&gt;0,X1614/U1614,"")</t>
  </si>
  <si>
    <t>=NL("Sum","5802 Value Entry","150 Sales Amount (Expected)","41 Source Type",$C$5,"5 Source No.",$C1614,"4 Item Ledger Entry Type",$C$4,"2 Item No.","@@"&amp;$F1614,"3 Posting Date",Z$9)+NL("Sum","5802 Value Entry","17 Sales Amount (Actual)","41 Source Type",$C$5,"5 Source no.",$C1614,"4 Item Ledger Entry Type",$C$4,"2 Item No.","@@"&amp;$F1614,"3 Posting Date",Z$9)</t>
  </si>
  <si>
    <t>=-NL("Sum","5802 Value Entry","151 Cost Amount (Expected)","41 Source Type",$C$5,"5 Source No.",$C1614,"4 Item Ledger Entry Type",$C$4,"2 Item No.","@@"&amp;$F1614,"3 Posting Date",Z$9)-NL("Sum","5802 Value Entry","43 Cost Amount (Actual)","41 Source Type",$C$5,"5 Source no.",$C1614,"4 Item Ledger Entry Type",$C$4,"2 Item No.","@@"&amp;$F1614,"3 Posting Date",Z$9)</t>
  </si>
  <si>
    <t>=Z1614-AB1614</t>
  </si>
  <si>
    <t>=IF(Z1614&lt;&gt;0,AC1614/Z1614,"")</t>
  </si>
  <si>
    <t>=C1614</t>
  </si>
  <si>
    <t>=NL("Sum","5802 Value Entry","150 Sales Amount (Expected)","41 Source Type",$C$5,"5 Source No.",$C1615,"4 Item Ledger Entry Type",$C$4,"2 Item No.","@@"&amp;$F1615,"3 Posting Date",J$9)+NL("Sum","5802 Value Entry","17 Sales Amount (Actual)","41 Source Type",$C$5,"5 Source no.",$C1615,"4 Item Ledger Entry Type",$C$4,"2 Item No.","@@"&amp;$F1615,"3 Posting Date",J$9)</t>
  </si>
  <si>
    <t>=-NL("Sum","5802 Value Entry","151 Cost Amount (Expected)","41 Source Type",$C$5,"5 Source No.",$C1615,"4 Item Ledger Entry Type",$C$4,"2 Item No.","@@"&amp;$F1615,"3 Posting Date",J$9)-NL("Sum","5802 Value Entry","43 Cost Amount (Actual)","41 Source Type",$C$5,"5 Source no.",$C1615,"4 Item Ledger Entry Type",$C$4,"2 Item No.","@@"&amp;$F1615,"3 Posting Date",J$9)</t>
  </si>
  <si>
    <t>=J1615-L1615</t>
  </si>
  <si>
    <t>=IF(J1615&lt;&gt;0,M1615/J1615,"")</t>
  </si>
  <si>
    <t>=NL("Sum","5802 Value Entry","150 Sales Amount (Expected)","41 Source Type",$C$5,"5 Source No.",$C1615,"4 Item Ledger Entry Type",$C$4,"2 Item No.","@@"&amp;$F1615,"3 Posting Date",O$9)+NL("Sum","5802 Value Entry","17 Sales Amount (Actual)","41 Source Type",$C$5,"5 Source no.",$C1615,"4 Item Ledger Entry Type",$C$4,"2 Item No.","@@"&amp;$F1615,"3 Posting Date",O$9)</t>
  </si>
  <si>
    <t>=-NL("Sum","5802 Value Entry","151 Cost Amount (Expected)","41 Source Type",$C$5,"5 Source No.",$C1615,"4 Item Ledger Entry Type",$C$4,"2 Item No.","@@"&amp;$F1615,"3 Posting Date",O$9)-NL("Sum","5802 Value Entry","43 Cost Amount (Actual)","41 Source Type",$C$5,"5 Source no.",$C1615,"4 Item Ledger Entry Type",$C$4,"2 Item No.","@@"&amp;$F1615,"3 Posting Date",O$9)</t>
  </si>
  <si>
    <t>=O1615-Q1615</t>
  </si>
  <si>
    <t>=IF(O1615&lt;&gt;0,R1615/O1615,"")</t>
  </si>
  <si>
    <t>=NL("Sum","5802 Value Entry","150 Sales Amount (Expected)","41 Source Type",$C$5,"5 Source No.",$C1615,"4 Item Ledger Entry Type",$C$4,"2 Item No.","@@"&amp;$F1615,"3 Posting Date",U$9)+NL("Sum","5802 Value Entry","17 Sales Amount (Actual)","41 Source Type",$C$5,"5 Source no.",$C1615,"4 Item Ledger Entry Type",$C$4,"2 Item No.","@@"&amp;$F1615,"3 Posting Date",U$9)</t>
  </si>
  <si>
    <t>=-NL("Sum","5802 Value Entry","151 Cost Amount (Expected)","41 Source Type",$C$5,"5 Source No.",$C1615,"4 Item Ledger Entry Type",$C$4,"2 Item No.","@@"&amp;$F1615,"3 Posting Date",U$9)-NL("Sum","5802 Value Entry","43 Cost Amount (Actual)","41 Source Type",$C$5,"5 Source no.",$C1615,"4 Item Ledger Entry Type",$C$4,"2 Item No.","@@"&amp;$F1615,"3 Posting Date",U$9)</t>
  </si>
  <si>
    <t>=U1615-W1615</t>
  </si>
  <si>
    <t>=IF(U1615&lt;&gt;0,X1615/U1615,"")</t>
  </si>
  <si>
    <t>=NL("Sum","5802 Value Entry","150 Sales Amount (Expected)","41 Source Type",$C$5,"5 Source No.",$C1615,"4 Item Ledger Entry Type",$C$4,"2 Item No.","@@"&amp;$F1615,"3 Posting Date",Z$9)+NL("Sum","5802 Value Entry","17 Sales Amount (Actual)","41 Source Type",$C$5,"5 Source no.",$C1615,"4 Item Ledger Entry Type",$C$4,"2 Item No.","@@"&amp;$F1615,"3 Posting Date",Z$9)</t>
  </si>
  <si>
    <t>=-NL("Sum","5802 Value Entry","151 Cost Amount (Expected)","41 Source Type",$C$5,"5 Source No.",$C1615,"4 Item Ledger Entry Type",$C$4,"2 Item No.","@@"&amp;$F1615,"3 Posting Date",Z$9)-NL("Sum","5802 Value Entry","43 Cost Amount (Actual)","41 Source Type",$C$5,"5 Source no.",$C1615,"4 Item Ledger Entry Type",$C$4,"2 Item No.","@@"&amp;$F1615,"3 Posting Date",Z$9)</t>
  </si>
  <si>
    <t>=Z1615-AB1615</t>
  </si>
  <si>
    <t>=IF(Z1615&lt;&gt;0,AC1615/Z1615,"")</t>
  </si>
  <si>
    <t>=C1615</t>
  </si>
  <si>
    <t>=NL("Sum","5802 Value Entry","150 Sales Amount (Expected)","41 Source Type",$C$5,"5 Source No.",$C1616,"4 Item Ledger Entry Type",$C$4,"2 Item No.","@@"&amp;$F1616,"3 Posting Date",J$9)+NL("Sum","5802 Value Entry","17 Sales Amount (Actual)","41 Source Type",$C$5,"5 Source no.",$C1616,"4 Item Ledger Entry Type",$C$4,"2 Item No.","@@"&amp;$F1616,"3 Posting Date",J$9)</t>
  </si>
  <si>
    <t>=-NL("Sum","5802 Value Entry","151 Cost Amount (Expected)","41 Source Type",$C$5,"5 Source No.",$C1616,"4 Item Ledger Entry Type",$C$4,"2 Item No.","@@"&amp;$F1616,"3 Posting Date",J$9)-NL("Sum","5802 Value Entry","43 Cost Amount (Actual)","41 Source Type",$C$5,"5 Source no.",$C1616,"4 Item Ledger Entry Type",$C$4,"2 Item No.","@@"&amp;$F1616,"3 Posting Date",J$9)</t>
  </si>
  <si>
    <t>=J1616-L1616</t>
  </si>
  <si>
    <t>=IF(J1616&lt;&gt;0,M1616/J1616,"")</t>
  </si>
  <si>
    <t>=NL("Sum","5802 Value Entry","150 Sales Amount (Expected)","41 Source Type",$C$5,"5 Source No.",$C1616,"4 Item Ledger Entry Type",$C$4,"2 Item No.","@@"&amp;$F1616,"3 Posting Date",O$9)+NL("Sum","5802 Value Entry","17 Sales Amount (Actual)","41 Source Type",$C$5,"5 Source no.",$C1616,"4 Item Ledger Entry Type",$C$4,"2 Item No.","@@"&amp;$F1616,"3 Posting Date",O$9)</t>
  </si>
  <si>
    <t>=-NL("Sum","5802 Value Entry","151 Cost Amount (Expected)","41 Source Type",$C$5,"5 Source No.",$C1616,"4 Item Ledger Entry Type",$C$4,"2 Item No.","@@"&amp;$F1616,"3 Posting Date",O$9)-NL("Sum","5802 Value Entry","43 Cost Amount (Actual)","41 Source Type",$C$5,"5 Source no.",$C1616,"4 Item Ledger Entry Type",$C$4,"2 Item No.","@@"&amp;$F1616,"3 Posting Date",O$9)</t>
  </si>
  <si>
    <t>=O1616-Q1616</t>
  </si>
  <si>
    <t>=IF(O1616&lt;&gt;0,R1616/O1616,"")</t>
  </si>
  <si>
    <t>=NL("Sum","5802 Value Entry","150 Sales Amount (Expected)","41 Source Type",$C$5,"5 Source No.",$C1616,"4 Item Ledger Entry Type",$C$4,"2 Item No.","@@"&amp;$F1616,"3 Posting Date",U$9)+NL("Sum","5802 Value Entry","17 Sales Amount (Actual)","41 Source Type",$C$5,"5 Source no.",$C1616,"4 Item Ledger Entry Type",$C$4,"2 Item No.","@@"&amp;$F1616,"3 Posting Date",U$9)</t>
  </si>
  <si>
    <t>=-NL("Sum","5802 Value Entry","151 Cost Amount (Expected)","41 Source Type",$C$5,"5 Source No.",$C1616,"4 Item Ledger Entry Type",$C$4,"2 Item No.","@@"&amp;$F1616,"3 Posting Date",U$9)-NL("Sum","5802 Value Entry","43 Cost Amount (Actual)","41 Source Type",$C$5,"5 Source no.",$C1616,"4 Item Ledger Entry Type",$C$4,"2 Item No.","@@"&amp;$F1616,"3 Posting Date",U$9)</t>
  </si>
  <si>
    <t>=U1616-W1616</t>
  </si>
  <si>
    <t>=IF(U1616&lt;&gt;0,X1616/U1616,"")</t>
  </si>
  <si>
    <t>=NL("Sum","5802 Value Entry","150 Sales Amount (Expected)","41 Source Type",$C$5,"5 Source No.",$C1616,"4 Item Ledger Entry Type",$C$4,"2 Item No.","@@"&amp;$F1616,"3 Posting Date",Z$9)+NL("Sum","5802 Value Entry","17 Sales Amount (Actual)","41 Source Type",$C$5,"5 Source no.",$C1616,"4 Item Ledger Entry Type",$C$4,"2 Item No.","@@"&amp;$F1616,"3 Posting Date",Z$9)</t>
  </si>
  <si>
    <t>=-NL("Sum","5802 Value Entry","151 Cost Amount (Expected)","41 Source Type",$C$5,"5 Source No.",$C1616,"4 Item Ledger Entry Type",$C$4,"2 Item No.","@@"&amp;$F1616,"3 Posting Date",Z$9)-NL("Sum","5802 Value Entry","43 Cost Amount (Actual)","41 Source Type",$C$5,"5 Source no.",$C1616,"4 Item Ledger Entry Type",$C$4,"2 Item No.","@@"&amp;$F1616,"3 Posting Date",Z$9)</t>
  </si>
  <si>
    <t>=Z1616-AB1616</t>
  </si>
  <si>
    <t>=IF(Z1616&lt;&gt;0,AC1616/Z1616,"")</t>
  </si>
  <si>
    <t>=C1616</t>
  </si>
  <si>
    <t>=NL("Sum","5802 Value Entry","150 Sales Amount (Expected)","41 Source Type",$C$5,"5 Source No.",$C1617,"4 Item Ledger Entry Type",$C$4,"2 Item No.","@@"&amp;$F1617,"3 Posting Date",J$9)+NL("Sum","5802 Value Entry","17 Sales Amount (Actual)","41 Source Type",$C$5,"5 Source no.",$C1617,"4 Item Ledger Entry Type",$C$4,"2 Item No.","@@"&amp;$F1617,"3 Posting Date",J$9)</t>
  </si>
  <si>
    <t>=-NL("Sum","5802 Value Entry","151 Cost Amount (Expected)","41 Source Type",$C$5,"5 Source No.",$C1617,"4 Item Ledger Entry Type",$C$4,"2 Item No.","@@"&amp;$F1617,"3 Posting Date",J$9)-NL("Sum","5802 Value Entry","43 Cost Amount (Actual)","41 Source Type",$C$5,"5 Source no.",$C1617,"4 Item Ledger Entry Type",$C$4,"2 Item No.","@@"&amp;$F1617,"3 Posting Date",J$9)</t>
  </si>
  <si>
    <t>=J1617-L1617</t>
  </si>
  <si>
    <t>=IF(J1617&lt;&gt;0,M1617/J1617,"")</t>
  </si>
  <si>
    <t>=NL("Sum","5802 Value Entry","150 Sales Amount (Expected)","41 Source Type",$C$5,"5 Source No.",$C1617,"4 Item Ledger Entry Type",$C$4,"2 Item No.","@@"&amp;$F1617,"3 Posting Date",O$9)+NL("Sum","5802 Value Entry","17 Sales Amount (Actual)","41 Source Type",$C$5,"5 Source no.",$C1617,"4 Item Ledger Entry Type",$C$4,"2 Item No.","@@"&amp;$F1617,"3 Posting Date",O$9)</t>
  </si>
  <si>
    <t>=-NL("Sum","5802 Value Entry","151 Cost Amount (Expected)","41 Source Type",$C$5,"5 Source No.",$C1617,"4 Item Ledger Entry Type",$C$4,"2 Item No.","@@"&amp;$F1617,"3 Posting Date",O$9)-NL("Sum","5802 Value Entry","43 Cost Amount (Actual)","41 Source Type",$C$5,"5 Source no.",$C1617,"4 Item Ledger Entry Type",$C$4,"2 Item No.","@@"&amp;$F1617,"3 Posting Date",O$9)</t>
  </si>
  <si>
    <t>=O1617-Q1617</t>
  </si>
  <si>
    <t>=IF(O1617&lt;&gt;0,R1617/O1617,"")</t>
  </si>
  <si>
    <t>=NL("Sum","5802 Value Entry","150 Sales Amount (Expected)","41 Source Type",$C$5,"5 Source No.",$C1617,"4 Item Ledger Entry Type",$C$4,"2 Item No.","@@"&amp;$F1617,"3 Posting Date",U$9)+NL("Sum","5802 Value Entry","17 Sales Amount (Actual)","41 Source Type",$C$5,"5 Source no.",$C1617,"4 Item Ledger Entry Type",$C$4,"2 Item No.","@@"&amp;$F1617,"3 Posting Date",U$9)</t>
  </si>
  <si>
    <t>=-NL("Sum","5802 Value Entry","151 Cost Amount (Expected)","41 Source Type",$C$5,"5 Source No.",$C1617,"4 Item Ledger Entry Type",$C$4,"2 Item No.","@@"&amp;$F1617,"3 Posting Date",U$9)-NL("Sum","5802 Value Entry","43 Cost Amount (Actual)","41 Source Type",$C$5,"5 Source no.",$C1617,"4 Item Ledger Entry Type",$C$4,"2 Item No.","@@"&amp;$F1617,"3 Posting Date",U$9)</t>
  </si>
  <si>
    <t>=U1617-W1617</t>
  </si>
  <si>
    <t>=IF(U1617&lt;&gt;0,X1617/U1617,"")</t>
  </si>
  <si>
    <t>=NL("Sum","5802 Value Entry","150 Sales Amount (Expected)","41 Source Type",$C$5,"5 Source No.",$C1617,"4 Item Ledger Entry Type",$C$4,"2 Item No.","@@"&amp;$F1617,"3 Posting Date",Z$9)+NL("Sum","5802 Value Entry","17 Sales Amount (Actual)","41 Source Type",$C$5,"5 Source no.",$C1617,"4 Item Ledger Entry Type",$C$4,"2 Item No.","@@"&amp;$F1617,"3 Posting Date",Z$9)</t>
  </si>
  <si>
    <t>=-NL("Sum","5802 Value Entry","151 Cost Amount (Expected)","41 Source Type",$C$5,"5 Source No.",$C1617,"4 Item Ledger Entry Type",$C$4,"2 Item No.","@@"&amp;$F1617,"3 Posting Date",Z$9)-NL("Sum","5802 Value Entry","43 Cost Amount (Actual)","41 Source Type",$C$5,"5 Source no.",$C1617,"4 Item Ledger Entry Type",$C$4,"2 Item No.","@@"&amp;$F1617,"3 Posting Date",Z$9)</t>
  </si>
  <si>
    <t>=Z1617-AB1617</t>
  </si>
  <si>
    <t>=IF(Z1617&lt;&gt;0,AC1617/Z1617,"")</t>
  </si>
  <si>
    <t>=C1617</t>
  </si>
  <si>
    <t>=NL("Sum","5802 Value Entry","150 Sales Amount (Expected)","41 Source Type",$C$5,"5 Source No.",$C1618,"4 Item Ledger Entry Type",$C$4,"2 Item No.","@@"&amp;$F1618,"3 Posting Date",J$9)+NL("Sum","5802 Value Entry","17 Sales Amount (Actual)","41 Source Type",$C$5,"5 Source no.",$C1618,"4 Item Ledger Entry Type",$C$4,"2 Item No.","@@"&amp;$F1618,"3 Posting Date",J$9)</t>
  </si>
  <si>
    <t>=-NL("Sum","5802 Value Entry","151 Cost Amount (Expected)","41 Source Type",$C$5,"5 Source No.",$C1618,"4 Item Ledger Entry Type",$C$4,"2 Item No.","@@"&amp;$F1618,"3 Posting Date",J$9)-NL("Sum","5802 Value Entry","43 Cost Amount (Actual)","41 Source Type",$C$5,"5 Source no.",$C1618,"4 Item Ledger Entry Type",$C$4,"2 Item No.","@@"&amp;$F1618,"3 Posting Date",J$9)</t>
  </si>
  <si>
    <t>=J1618-L1618</t>
  </si>
  <si>
    <t>=IF(J1618&lt;&gt;0,M1618/J1618,"")</t>
  </si>
  <si>
    <t>=NL("Sum","5802 Value Entry","150 Sales Amount (Expected)","41 Source Type",$C$5,"5 Source No.",$C1618,"4 Item Ledger Entry Type",$C$4,"2 Item No.","@@"&amp;$F1618,"3 Posting Date",O$9)+NL("Sum","5802 Value Entry","17 Sales Amount (Actual)","41 Source Type",$C$5,"5 Source no.",$C1618,"4 Item Ledger Entry Type",$C$4,"2 Item No.","@@"&amp;$F1618,"3 Posting Date",O$9)</t>
  </si>
  <si>
    <t>=-NL("Sum","5802 Value Entry","151 Cost Amount (Expected)","41 Source Type",$C$5,"5 Source No.",$C1618,"4 Item Ledger Entry Type",$C$4,"2 Item No.","@@"&amp;$F1618,"3 Posting Date",O$9)-NL("Sum","5802 Value Entry","43 Cost Amount (Actual)","41 Source Type",$C$5,"5 Source no.",$C1618,"4 Item Ledger Entry Type",$C$4,"2 Item No.","@@"&amp;$F1618,"3 Posting Date",O$9)</t>
  </si>
  <si>
    <t>=O1618-Q1618</t>
  </si>
  <si>
    <t>=IF(O1618&lt;&gt;0,R1618/O1618,"")</t>
  </si>
  <si>
    <t>=NL("Sum","5802 Value Entry","150 Sales Amount (Expected)","41 Source Type",$C$5,"5 Source No.",$C1618,"4 Item Ledger Entry Type",$C$4,"2 Item No.","@@"&amp;$F1618,"3 Posting Date",U$9)+NL("Sum","5802 Value Entry","17 Sales Amount (Actual)","41 Source Type",$C$5,"5 Source no.",$C1618,"4 Item Ledger Entry Type",$C$4,"2 Item No.","@@"&amp;$F1618,"3 Posting Date",U$9)</t>
  </si>
  <si>
    <t>=-NL("Sum","5802 Value Entry","151 Cost Amount (Expected)","41 Source Type",$C$5,"5 Source No.",$C1618,"4 Item Ledger Entry Type",$C$4,"2 Item No.","@@"&amp;$F1618,"3 Posting Date",U$9)-NL("Sum","5802 Value Entry","43 Cost Amount (Actual)","41 Source Type",$C$5,"5 Source no.",$C1618,"4 Item Ledger Entry Type",$C$4,"2 Item No.","@@"&amp;$F1618,"3 Posting Date",U$9)</t>
  </si>
  <si>
    <t>=U1618-W1618</t>
  </si>
  <si>
    <t>=IF(U1618&lt;&gt;0,X1618/U1618,"")</t>
  </si>
  <si>
    <t>=NL("Sum","5802 Value Entry","150 Sales Amount (Expected)","41 Source Type",$C$5,"5 Source No.",$C1618,"4 Item Ledger Entry Type",$C$4,"2 Item No.","@@"&amp;$F1618,"3 Posting Date",Z$9)+NL("Sum","5802 Value Entry","17 Sales Amount (Actual)","41 Source Type",$C$5,"5 Source no.",$C1618,"4 Item Ledger Entry Type",$C$4,"2 Item No.","@@"&amp;$F1618,"3 Posting Date",Z$9)</t>
  </si>
  <si>
    <t>=-NL("Sum","5802 Value Entry","151 Cost Amount (Expected)","41 Source Type",$C$5,"5 Source No.",$C1618,"4 Item Ledger Entry Type",$C$4,"2 Item No.","@@"&amp;$F1618,"3 Posting Date",Z$9)-NL("Sum","5802 Value Entry","43 Cost Amount (Actual)","41 Source Type",$C$5,"5 Source no.",$C1618,"4 Item Ledger Entry Type",$C$4,"2 Item No.","@@"&amp;$F1618,"3 Posting Date",Z$9)</t>
  </si>
  <si>
    <t>=Z1618-AB1618</t>
  </si>
  <si>
    <t>=IF(Z1618&lt;&gt;0,AC1618/Z1618,"")</t>
  </si>
  <si>
    <t>=C1618</t>
  </si>
  <si>
    <t>=NL("Sum","5802 Value Entry","150 Sales Amount (Expected)","41 Source Type",$C$5,"5 Source No.",$C1619,"4 Item Ledger Entry Type",$C$4,"2 Item No.","@@"&amp;$F1619,"3 Posting Date",J$9)+NL("Sum","5802 Value Entry","17 Sales Amount (Actual)","41 Source Type",$C$5,"5 Source no.",$C1619,"4 Item Ledger Entry Type",$C$4,"2 Item No.","@@"&amp;$F1619,"3 Posting Date",J$9)</t>
  </si>
  <si>
    <t>=-NL("Sum","5802 Value Entry","151 Cost Amount (Expected)","41 Source Type",$C$5,"5 Source No.",$C1619,"4 Item Ledger Entry Type",$C$4,"2 Item No.","@@"&amp;$F1619,"3 Posting Date",J$9)-NL("Sum","5802 Value Entry","43 Cost Amount (Actual)","41 Source Type",$C$5,"5 Source no.",$C1619,"4 Item Ledger Entry Type",$C$4,"2 Item No.","@@"&amp;$F1619,"3 Posting Date",J$9)</t>
  </si>
  <si>
    <t>=J1619-L1619</t>
  </si>
  <si>
    <t>=IF(J1619&lt;&gt;0,M1619/J1619,"")</t>
  </si>
  <si>
    <t>=NL("Sum","5802 Value Entry","150 Sales Amount (Expected)","41 Source Type",$C$5,"5 Source No.",$C1619,"4 Item Ledger Entry Type",$C$4,"2 Item No.","@@"&amp;$F1619,"3 Posting Date",O$9)+NL("Sum","5802 Value Entry","17 Sales Amount (Actual)","41 Source Type",$C$5,"5 Source no.",$C1619,"4 Item Ledger Entry Type",$C$4,"2 Item No.","@@"&amp;$F1619,"3 Posting Date",O$9)</t>
  </si>
  <si>
    <t>=-NL("Sum","5802 Value Entry","151 Cost Amount (Expected)","41 Source Type",$C$5,"5 Source No.",$C1619,"4 Item Ledger Entry Type",$C$4,"2 Item No.","@@"&amp;$F1619,"3 Posting Date",O$9)-NL("Sum","5802 Value Entry","43 Cost Amount (Actual)","41 Source Type",$C$5,"5 Source no.",$C1619,"4 Item Ledger Entry Type",$C$4,"2 Item No.","@@"&amp;$F1619,"3 Posting Date",O$9)</t>
  </si>
  <si>
    <t>=O1619-Q1619</t>
  </si>
  <si>
    <t>=IF(O1619&lt;&gt;0,R1619/O1619,"")</t>
  </si>
  <si>
    <t>=NL("Sum","5802 Value Entry","150 Sales Amount (Expected)","41 Source Type",$C$5,"5 Source No.",$C1619,"4 Item Ledger Entry Type",$C$4,"2 Item No.","@@"&amp;$F1619,"3 Posting Date",U$9)+NL("Sum","5802 Value Entry","17 Sales Amount (Actual)","41 Source Type",$C$5,"5 Source no.",$C1619,"4 Item Ledger Entry Type",$C$4,"2 Item No.","@@"&amp;$F1619,"3 Posting Date",U$9)</t>
  </si>
  <si>
    <t>=-NL("Sum","5802 Value Entry","151 Cost Amount (Expected)","41 Source Type",$C$5,"5 Source No.",$C1619,"4 Item Ledger Entry Type",$C$4,"2 Item No.","@@"&amp;$F1619,"3 Posting Date",U$9)-NL("Sum","5802 Value Entry","43 Cost Amount (Actual)","41 Source Type",$C$5,"5 Source no.",$C1619,"4 Item Ledger Entry Type",$C$4,"2 Item No.","@@"&amp;$F1619,"3 Posting Date",U$9)</t>
  </si>
  <si>
    <t>=U1619-W1619</t>
  </si>
  <si>
    <t>=IF(U1619&lt;&gt;0,X1619/U1619,"")</t>
  </si>
  <si>
    <t>=NL("Sum","5802 Value Entry","150 Sales Amount (Expected)","41 Source Type",$C$5,"5 Source No.",$C1619,"4 Item Ledger Entry Type",$C$4,"2 Item No.","@@"&amp;$F1619,"3 Posting Date",Z$9)+NL("Sum","5802 Value Entry","17 Sales Amount (Actual)","41 Source Type",$C$5,"5 Source no.",$C1619,"4 Item Ledger Entry Type",$C$4,"2 Item No.","@@"&amp;$F1619,"3 Posting Date",Z$9)</t>
  </si>
  <si>
    <t>=-NL("Sum","5802 Value Entry","151 Cost Amount (Expected)","41 Source Type",$C$5,"5 Source No.",$C1619,"4 Item Ledger Entry Type",$C$4,"2 Item No.","@@"&amp;$F1619,"3 Posting Date",Z$9)-NL("Sum","5802 Value Entry","43 Cost Amount (Actual)","41 Source Type",$C$5,"5 Source no.",$C1619,"4 Item Ledger Entry Type",$C$4,"2 Item No.","@@"&amp;$F1619,"3 Posting Date",Z$9)</t>
  </si>
  <si>
    <t>=Z1619-AB1619</t>
  </si>
  <si>
    <t>=IF(Z1619&lt;&gt;0,AC1619/Z1619,"")</t>
  </si>
  <si>
    <t>=C1619</t>
  </si>
  <si>
    <t>=NL("Sum","5802 Value Entry","150 Sales Amount (Expected)","41 Source Type",$C$5,"5 Source No.",$C1620,"4 Item Ledger Entry Type",$C$4,"2 Item No.","@@"&amp;$F1620,"3 Posting Date",J$9)+NL("Sum","5802 Value Entry","17 Sales Amount (Actual)","41 Source Type",$C$5,"5 Source no.",$C1620,"4 Item Ledger Entry Type",$C$4,"2 Item No.","@@"&amp;$F1620,"3 Posting Date",J$9)</t>
  </si>
  <si>
    <t>=-NL("Sum","5802 Value Entry","151 Cost Amount (Expected)","41 Source Type",$C$5,"5 Source No.",$C1620,"4 Item Ledger Entry Type",$C$4,"2 Item No.","@@"&amp;$F1620,"3 Posting Date",J$9)-NL("Sum","5802 Value Entry","43 Cost Amount (Actual)","41 Source Type",$C$5,"5 Source no.",$C1620,"4 Item Ledger Entry Type",$C$4,"2 Item No.","@@"&amp;$F1620,"3 Posting Date",J$9)</t>
  </si>
  <si>
    <t>=J1620-L1620</t>
  </si>
  <si>
    <t>=IF(J1620&lt;&gt;0,M1620/J1620,"")</t>
  </si>
  <si>
    <t>=NL("Sum","5802 Value Entry","150 Sales Amount (Expected)","41 Source Type",$C$5,"5 Source No.",$C1620,"4 Item Ledger Entry Type",$C$4,"2 Item No.","@@"&amp;$F1620,"3 Posting Date",O$9)+NL("Sum","5802 Value Entry","17 Sales Amount (Actual)","41 Source Type",$C$5,"5 Source no.",$C1620,"4 Item Ledger Entry Type",$C$4,"2 Item No.","@@"&amp;$F1620,"3 Posting Date",O$9)</t>
  </si>
  <si>
    <t>=-NL("Sum","5802 Value Entry","151 Cost Amount (Expected)","41 Source Type",$C$5,"5 Source No.",$C1620,"4 Item Ledger Entry Type",$C$4,"2 Item No.","@@"&amp;$F1620,"3 Posting Date",O$9)-NL("Sum","5802 Value Entry","43 Cost Amount (Actual)","41 Source Type",$C$5,"5 Source no.",$C1620,"4 Item Ledger Entry Type",$C$4,"2 Item No.","@@"&amp;$F1620,"3 Posting Date",O$9)</t>
  </si>
  <si>
    <t>=O1620-Q1620</t>
  </si>
  <si>
    <t>=IF(O1620&lt;&gt;0,R1620/O1620,"")</t>
  </si>
  <si>
    <t>=NL("Sum","5802 Value Entry","150 Sales Amount (Expected)","41 Source Type",$C$5,"5 Source No.",$C1620,"4 Item Ledger Entry Type",$C$4,"2 Item No.","@@"&amp;$F1620,"3 Posting Date",U$9)+NL("Sum","5802 Value Entry","17 Sales Amount (Actual)","41 Source Type",$C$5,"5 Source no.",$C1620,"4 Item Ledger Entry Type",$C$4,"2 Item No.","@@"&amp;$F1620,"3 Posting Date",U$9)</t>
  </si>
  <si>
    <t>=-NL("Sum","5802 Value Entry","151 Cost Amount (Expected)","41 Source Type",$C$5,"5 Source No.",$C1620,"4 Item Ledger Entry Type",$C$4,"2 Item No.","@@"&amp;$F1620,"3 Posting Date",U$9)-NL("Sum","5802 Value Entry","43 Cost Amount (Actual)","41 Source Type",$C$5,"5 Source no.",$C1620,"4 Item Ledger Entry Type",$C$4,"2 Item No.","@@"&amp;$F1620,"3 Posting Date",U$9)</t>
  </si>
  <si>
    <t>=U1620-W1620</t>
  </si>
  <si>
    <t>=IF(U1620&lt;&gt;0,X1620/U1620,"")</t>
  </si>
  <si>
    <t>=NL("Sum","5802 Value Entry","150 Sales Amount (Expected)","41 Source Type",$C$5,"5 Source No.",$C1620,"4 Item Ledger Entry Type",$C$4,"2 Item No.","@@"&amp;$F1620,"3 Posting Date",Z$9)+NL("Sum","5802 Value Entry","17 Sales Amount (Actual)","41 Source Type",$C$5,"5 Source no.",$C1620,"4 Item Ledger Entry Type",$C$4,"2 Item No.","@@"&amp;$F1620,"3 Posting Date",Z$9)</t>
  </si>
  <si>
    <t>=-NL("Sum","5802 Value Entry","151 Cost Amount (Expected)","41 Source Type",$C$5,"5 Source No.",$C1620,"4 Item Ledger Entry Type",$C$4,"2 Item No.","@@"&amp;$F1620,"3 Posting Date",Z$9)-NL("Sum","5802 Value Entry","43 Cost Amount (Actual)","41 Source Type",$C$5,"5 Source no.",$C1620,"4 Item Ledger Entry Type",$C$4,"2 Item No.","@@"&amp;$F1620,"3 Posting Date",Z$9)</t>
  </si>
  <si>
    <t>=Z1620-AB1620</t>
  </si>
  <si>
    <t>=IF(Z1620&lt;&gt;0,AC1620/Z1620,"")</t>
  </si>
  <si>
    <t>=C1620</t>
  </si>
  <si>
    <t>=NL("Sum","5802 Value Entry","150 Sales Amount (Expected)","41 Source Type",$C$5,"5 Source No.",$C1621,"4 Item Ledger Entry Type",$C$4,"2 Item No.","@@"&amp;$F1621,"3 Posting Date",J$9)+NL("Sum","5802 Value Entry","17 Sales Amount (Actual)","41 Source Type",$C$5,"5 Source no.",$C1621,"4 Item Ledger Entry Type",$C$4,"2 Item No.","@@"&amp;$F1621,"3 Posting Date",J$9)</t>
  </si>
  <si>
    <t>=-NL("Sum","5802 Value Entry","151 Cost Amount (Expected)","41 Source Type",$C$5,"5 Source No.",$C1621,"4 Item Ledger Entry Type",$C$4,"2 Item No.","@@"&amp;$F1621,"3 Posting Date",J$9)-NL("Sum","5802 Value Entry","43 Cost Amount (Actual)","41 Source Type",$C$5,"5 Source no.",$C1621,"4 Item Ledger Entry Type",$C$4,"2 Item No.","@@"&amp;$F1621,"3 Posting Date",J$9)</t>
  </si>
  <si>
    <t>=J1621-L1621</t>
  </si>
  <si>
    <t>=IF(J1621&lt;&gt;0,M1621/J1621,"")</t>
  </si>
  <si>
    <t>=NL("Sum","5802 Value Entry","150 Sales Amount (Expected)","41 Source Type",$C$5,"5 Source No.",$C1621,"4 Item Ledger Entry Type",$C$4,"2 Item No.","@@"&amp;$F1621,"3 Posting Date",O$9)+NL("Sum","5802 Value Entry","17 Sales Amount (Actual)","41 Source Type",$C$5,"5 Source no.",$C1621,"4 Item Ledger Entry Type",$C$4,"2 Item No.","@@"&amp;$F1621,"3 Posting Date",O$9)</t>
  </si>
  <si>
    <t>=-NL("Sum","5802 Value Entry","151 Cost Amount (Expected)","41 Source Type",$C$5,"5 Source No.",$C1621,"4 Item Ledger Entry Type",$C$4,"2 Item No.","@@"&amp;$F1621,"3 Posting Date",O$9)-NL("Sum","5802 Value Entry","43 Cost Amount (Actual)","41 Source Type",$C$5,"5 Source no.",$C1621,"4 Item Ledger Entry Type",$C$4,"2 Item No.","@@"&amp;$F1621,"3 Posting Date",O$9)</t>
  </si>
  <si>
    <t>=O1621-Q1621</t>
  </si>
  <si>
    <t>=IF(O1621&lt;&gt;0,R1621/O1621,"")</t>
  </si>
  <si>
    <t>=NL("Sum","5802 Value Entry","150 Sales Amount (Expected)","41 Source Type",$C$5,"5 Source No.",$C1621,"4 Item Ledger Entry Type",$C$4,"2 Item No.","@@"&amp;$F1621,"3 Posting Date",U$9)+NL("Sum","5802 Value Entry","17 Sales Amount (Actual)","41 Source Type",$C$5,"5 Source no.",$C1621,"4 Item Ledger Entry Type",$C$4,"2 Item No.","@@"&amp;$F1621,"3 Posting Date",U$9)</t>
  </si>
  <si>
    <t>=-NL("Sum","5802 Value Entry","151 Cost Amount (Expected)","41 Source Type",$C$5,"5 Source No.",$C1621,"4 Item Ledger Entry Type",$C$4,"2 Item No.","@@"&amp;$F1621,"3 Posting Date",U$9)-NL("Sum","5802 Value Entry","43 Cost Amount (Actual)","41 Source Type",$C$5,"5 Source no.",$C1621,"4 Item Ledger Entry Type",$C$4,"2 Item No.","@@"&amp;$F1621,"3 Posting Date",U$9)</t>
  </si>
  <si>
    <t>=U1621-W1621</t>
  </si>
  <si>
    <t>=IF(U1621&lt;&gt;0,X1621/U1621,"")</t>
  </si>
  <si>
    <t>=NL("Sum","5802 Value Entry","150 Sales Amount (Expected)","41 Source Type",$C$5,"5 Source No.",$C1621,"4 Item Ledger Entry Type",$C$4,"2 Item No.","@@"&amp;$F1621,"3 Posting Date",Z$9)+NL("Sum","5802 Value Entry","17 Sales Amount (Actual)","41 Source Type",$C$5,"5 Source no.",$C1621,"4 Item Ledger Entry Type",$C$4,"2 Item No.","@@"&amp;$F1621,"3 Posting Date",Z$9)</t>
  </si>
  <si>
    <t>=-NL("Sum","5802 Value Entry","151 Cost Amount (Expected)","41 Source Type",$C$5,"5 Source No.",$C1621,"4 Item Ledger Entry Type",$C$4,"2 Item No.","@@"&amp;$F1621,"3 Posting Date",Z$9)-NL("Sum","5802 Value Entry","43 Cost Amount (Actual)","41 Source Type",$C$5,"5 Source no.",$C1621,"4 Item Ledger Entry Type",$C$4,"2 Item No.","@@"&amp;$F1621,"3 Posting Date",Z$9)</t>
  </si>
  <si>
    <t>=Z1621-AB1621</t>
  </si>
  <si>
    <t>=IF(Z1621&lt;&gt;0,AC1621/Z1621,"")</t>
  </si>
  <si>
    <t>=C1621</t>
  </si>
  <si>
    <t>=NL("Sum","5802 Value Entry","150 Sales Amount (Expected)","41 Source Type",$C$5,"5 Source No.",$C1622,"4 Item Ledger Entry Type",$C$4,"2 Item No.","@@"&amp;$F1622,"3 Posting Date",J$9)+NL("Sum","5802 Value Entry","17 Sales Amount (Actual)","41 Source Type",$C$5,"5 Source no.",$C1622,"4 Item Ledger Entry Type",$C$4,"2 Item No.","@@"&amp;$F1622,"3 Posting Date",J$9)</t>
  </si>
  <si>
    <t>=-NL("Sum","5802 Value Entry","151 Cost Amount (Expected)","41 Source Type",$C$5,"5 Source No.",$C1622,"4 Item Ledger Entry Type",$C$4,"2 Item No.","@@"&amp;$F1622,"3 Posting Date",J$9)-NL("Sum","5802 Value Entry","43 Cost Amount (Actual)","41 Source Type",$C$5,"5 Source no.",$C1622,"4 Item Ledger Entry Type",$C$4,"2 Item No.","@@"&amp;$F1622,"3 Posting Date",J$9)</t>
  </si>
  <si>
    <t>=J1622-L1622</t>
  </si>
  <si>
    <t>=IF(J1622&lt;&gt;0,M1622/J1622,"")</t>
  </si>
  <si>
    <t>=NL("Sum","5802 Value Entry","150 Sales Amount (Expected)","41 Source Type",$C$5,"5 Source No.",$C1622,"4 Item Ledger Entry Type",$C$4,"2 Item No.","@@"&amp;$F1622,"3 Posting Date",O$9)+NL("Sum","5802 Value Entry","17 Sales Amount (Actual)","41 Source Type",$C$5,"5 Source no.",$C1622,"4 Item Ledger Entry Type",$C$4,"2 Item No.","@@"&amp;$F1622,"3 Posting Date",O$9)</t>
  </si>
  <si>
    <t>=-NL("Sum","5802 Value Entry","151 Cost Amount (Expected)","41 Source Type",$C$5,"5 Source No.",$C1622,"4 Item Ledger Entry Type",$C$4,"2 Item No.","@@"&amp;$F1622,"3 Posting Date",O$9)-NL("Sum","5802 Value Entry","43 Cost Amount (Actual)","41 Source Type",$C$5,"5 Source no.",$C1622,"4 Item Ledger Entry Type",$C$4,"2 Item No.","@@"&amp;$F1622,"3 Posting Date",O$9)</t>
  </si>
  <si>
    <t>=O1622-Q1622</t>
  </si>
  <si>
    <t>=IF(O1622&lt;&gt;0,R1622/O1622,"")</t>
  </si>
  <si>
    <t>=NL("Sum","5802 Value Entry","150 Sales Amount (Expected)","41 Source Type",$C$5,"5 Source No.",$C1622,"4 Item Ledger Entry Type",$C$4,"2 Item No.","@@"&amp;$F1622,"3 Posting Date",U$9)+NL("Sum","5802 Value Entry","17 Sales Amount (Actual)","41 Source Type",$C$5,"5 Source no.",$C1622,"4 Item Ledger Entry Type",$C$4,"2 Item No.","@@"&amp;$F1622,"3 Posting Date",U$9)</t>
  </si>
  <si>
    <t>=-NL("Sum","5802 Value Entry","151 Cost Amount (Expected)","41 Source Type",$C$5,"5 Source No.",$C1622,"4 Item Ledger Entry Type",$C$4,"2 Item No.","@@"&amp;$F1622,"3 Posting Date",U$9)-NL("Sum","5802 Value Entry","43 Cost Amount (Actual)","41 Source Type",$C$5,"5 Source no.",$C1622,"4 Item Ledger Entry Type",$C$4,"2 Item No.","@@"&amp;$F1622,"3 Posting Date",U$9)</t>
  </si>
  <si>
    <t>=U1622-W1622</t>
  </si>
  <si>
    <t>=IF(U1622&lt;&gt;0,X1622/U1622,"")</t>
  </si>
  <si>
    <t>=NL("Sum","5802 Value Entry","150 Sales Amount (Expected)","41 Source Type",$C$5,"5 Source No.",$C1622,"4 Item Ledger Entry Type",$C$4,"2 Item No.","@@"&amp;$F1622,"3 Posting Date",Z$9)+NL("Sum","5802 Value Entry","17 Sales Amount (Actual)","41 Source Type",$C$5,"5 Source no.",$C1622,"4 Item Ledger Entry Type",$C$4,"2 Item No.","@@"&amp;$F1622,"3 Posting Date",Z$9)</t>
  </si>
  <si>
    <t>=-NL("Sum","5802 Value Entry","151 Cost Amount (Expected)","41 Source Type",$C$5,"5 Source No.",$C1622,"4 Item Ledger Entry Type",$C$4,"2 Item No.","@@"&amp;$F1622,"3 Posting Date",Z$9)-NL("Sum","5802 Value Entry","43 Cost Amount (Actual)","41 Source Type",$C$5,"5 Source no.",$C1622,"4 Item Ledger Entry Type",$C$4,"2 Item No.","@@"&amp;$F1622,"3 Posting Date",Z$9)</t>
  </si>
  <si>
    <t>=Z1622-AB1622</t>
  </si>
  <si>
    <t>=IF(Z1622&lt;&gt;0,AC1622/Z1622,"")</t>
  </si>
  <si>
    <t>=C1622</t>
  </si>
  <si>
    <t>=NL("Sum","5802 Value Entry","150 Sales Amount (Expected)","41 Source Type",$C$5,"5 Source No.",$C1623,"4 Item Ledger Entry Type",$C$4,"2 Item No.","@@"&amp;$F1623,"3 Posting Date",J$9)+NL("Sum","5802 Value Entry","17 Sales Amount (Actual)","41 Source Type",$C$5,"5 Source no.",$C1623,"4 Item Ledger Entry Type",$C$4,"2 Item No.","@@"&amp;$F1623,"3 Posting Date",J$9)</t>
  </si>
  <si>
    <t>=-NL("Sum","5802 Value Entry","151 Cost Amount (Expected)","41 Source Type",$C$5,"5 Source No.",$C1623,"4 Item Ledger Entry Type",$C$4,"2 Item No.","@@"&amp;$F1623,"3 Posting Date",J$9)-NL("Sum","5802 Value Entry","43 Cost Amount (Actual)","41 Source Type",$C$5,"5 Source no.",$C1623,"4 Item Ledger Entry Type",$C$4,"2 Item No.","@@"&amp;$F1623,"3 Posting Date",J$9)</t>
  </si>
  <si>
    <t>=J1623-L1623</t>
  </si>
  <si>
    <t>=IF(J1623&lt;&gt;0,M1623/J1623,"")</t>
  </si>
  <si>
    <t>=NL("Sum","5802 Value Entry","150 Sales Amount (Expected)","41 Source Type",$C$5,"5 Source No.",$C1623,"4 Item Ledger Entry Type",$C$4,"2 Item No.","@@"&amp;$F1623,"3 Posting Date",O$9)+NL("Sum","5802 Value Entry","17 Sales Amount (Actual)","41 Source Type",$C$5,"5 Source no.",$C1623,"4 Item Ledger Entry Type",$C$4,"2 Item No.","@@"&amp;$F1623,"3 Posting Date",O$9)</t>
  </si>
  <si>
    <t>=-NL("Sum","5802 Value Entry","151 Cost Amount (Expected)","41 Source Type",$C$5,"5 Source No.",$C1623,"4 Item Ledger Entry Type",$C$4,"2 Item No.","@@"&amp;$F1623,"3 Posting Date",O$9)-NL("Sum","5802 Value Entry","43 Cost Amount (Actual)","41 Source Type",$C$5,"5 Source no.",$C1623,"4 Item Ledger Entry Type",$C$4,"2 Item No.","@@"&amp;$F1623,"3 Posting Date",O$9)</t>
  </si>
  <si>
    <t>=O1623-Q1623</t>
  </si>
  <si>
    <t>=IF(O1623&lt;&gt;0,R1623/O1623,"")</t>
  </si>
  <si>
    <t>=NL("Sum","5802 Value Entry","150 Sales Amount (Expected)","41 Source Type",$C$5,"5 Source No.",$C1623,"4 Item Ledger Entry Type",$C$4,"2 Item No.","@@"&amp;$F1623,"3 Posting Date",U$9)+NL("Sum","5802 Value Entry","17 Sales Amount (Actual)","41 Source Type",$C$5,"5 Source no.",$C1623,"4 Item Ledger Entry Type",$C$4,"2 Item No.","@@"&amp;$F1623,"3 Posting Date",U$9)</t>
  </si>
  <si>
    <t>=-NL("Sum","5802 Value Entry","151 Cost Amount (Expected)","41 Source Type",$C$5,"5 Source No.",$C1623,"4 Item Ledger Entry Type",$C$4,"2 Item No.","@@"&amp;$F1623,"3 Posting Date",U$9)-NL("Sum","5802 Value Entry","43 Cost Amount (Actual)","41 Source Type",$C$5,"5 Source no.",$C1623,"4 Item Ledger Entry Type",$C$4,"2 Item No.","@@"&amp;$F1623,"3 Posting Date",U$9)</t>
  </si>
  <si>
    <t>=U1623-W1623</t>
  </si>
  <si>
    <t>=IF(U1623&lt;&gt;0,X1623/U1623,"")</t>
  </si>
  <si>
    <t>=NL("Sum","5802 Value Entry","150 Sales Amount (Expected)","41 Source Type",$C$5,"5 Source No.",$C1623,"4 Item Ledger Entry Type",$C$4,"2 Item No.","@@"&amp;$F1623,"3 Posting Date",Z$9)+NL("Sum","5802 Value Entry","17 Sales Amount (Actual)","41 Source Type",$C$5,"5 Source no.",$C1623,"4 Item Ledger Entry Type",$C$4,"2 Item No.","@@"&amp;$F1623,"3 Posting Date",Z$9)</t>
  </si>
  <si>
    <t>=-NL("Sum","5802 Value Entry","151 Cost Amount (Expected)","41 Source Type",$C$5,"5 Source No.",$C1623,"4 Item Ledger Entry Type",$C$4,"2 Item No.","@@"&amp;$F1623,"3 Posting Date",Z$9)-NL("Sum","5802 Value Entry","43 Cost Amount (Actual)","41 Source Type",$C$5,"5 Source no.",$C1623,"4 Item Ledger Entry Type",$C$4,"2 Item No.","@@"&amp;$F1623,"3 Posting Date",Z$9)</t>
  </si>
  <si>
    <t>=Z1623-AB1623</t>
  </si>
  <si>
    <t>=IF(Z1623&lt;&gt;0,AC1623/Z1623,"")</t>
  </si>
  <si>
    <t>=C1623</t>
  </si>
  <si>
    <t>=NL("Sum","5802 Value Entry","150 Sales Amount (Expected)","41 Source Type",$C$5,"5 Source No.",$C1624,"4 Item Ledger Entry Type",$C$4,"2 Item No.","@@"&amp;$F1624,"3 Posting Date",J$9)+NL("Sum","5802 Value Entry","17 Sales Amount (Actual)","41 Source Type",$C$5,"5 Source no.",$C1624,"4 Item Ledger Entry Type",$C$4,"2 Item No.","@@"&amp;$F1624,"3 Posting Date",J$9)</t>
  </si>
  <si>
    <t>=-NL("Sum","5802 Value Entry","151 Cost Amount (Expected)","41 Source Type",$C$5,"5 Source No.",$C1624,"4 Item Ledger Entry Type",$C$4,"2 Item No.","@@"&amp;$F1624,"3 Posting Date",J$9)-NL("Sum","5802 Value Entry","43 Cost Amount (Actual)","41 Source Type",$C$5,"5 Source no.",$C1624,"4 Item Ledger Entry Type",$C$4,"2 Item No.","@@"&amp;$F1624,"3 Posting Date",J$9)</t>
  </si>
  <si>
    <t>=J1624-L1624</t>
  </si>
  <si>
    <t>=IF(J1624&lt;&gt;0,M1624/J1624,"")</t>
  </si>
  <si>
    <t>=NL("Sum","5802 Value Entry","150 Sales Amount (Expected)","41 Source Type",$C$5,"5 Source No.",$C1624,"4 Item Ledger Entry Type",$C$4,"2 Item No.","@@"&amp;$F1624,"3 Posting Date",O$9)+NL("Sum","5802 Value Entry","17 Sales Amount (Actual)","41 Source Type",$C$5,"5 Source no.",$C1624,"4 Item Ledger Entry Type",$C$4,"2 Item No.","@@"&amp;$F1624,"3 Posting Date",O$9)</t>
  </si>
  <si>
    <t>=-NL("Sum","5802 Value Entry","151 Cost Amount (Expected)","41 Source Type",$C$5,"5 Source No.",$C1624,"4 Item Ledger Entry Type",$C$4,"2 Item No.","@@"&amp;$F1624,"3 Posting Date",O$9)-NL("Sum","5802 Value Entry","43 Cost Amount (Actual)","41 Source Type",$C$5,"5 Source no.",$C1624,"4 Item Ledger Entry Type",$C$4,"2 Item No.","@@"&amp;$F1624,"3 Posting Date",O$9)</t>
  </si>
  <si>
    <t>=O1624-Q1624</t>
  </si>
  <si>
    <t>=IF(O1624&lt;&gt;0,R1624/O1624,"")</t>
  </si>
  <si>
    <t>=NL("Sum","5802 Value Entry","150 Sales Amount (Expected)","41 Source Type",$C$5,"5 Source No.",$C1624,"4 Item Ledger Entry Type",$C$4,"2 Item No.","@@"&amp;$F1624,"3 Posting Date",U$9)+NL("Sum","5802 Value Entry","17 Sales Amount (Actual)","41 Source Type",$C$5,"5 Source no.",$C1624,"4 Item Ledger Entry Type",$C$4,"2 Item No.","@@"&amp;$F1624,"3 Posting Date",U$9)</t>
  </si>
  <si>
    <t>=-NL("Sum","5802 Value Entry","151 Cost Amount (Expected)","41 Source Type",$C$5,"5 Source No.",$C1624,"4 Item Ledger Entry Type",$C$4,"2 Item No.","@@"&amp;$F1624,"3 Posting Date",U$9)-NL("Sum","5802 Value Entry","43 Cost Amount (Actual)","41 Source Type",$C$5,"5 Source no.",$C1624,"4 Item Ledger Entry Type",$C$4,"2 Item No.","@@"&amp;$F1624,"3 Posting Date",U$9)</t>
  </si>
  <si>
    <t>=U1624-W1624</t>
  </si>
  <si>
    <t>=IF(U1624&lt;&gt;0,X1624/U1624,"")</t>
  </si>
  <si>
    <t>=NL("Sum","5802 Value Entry","150 Sales Amount (Expected)","41 Source Type",$C$5,"5 Source No.",$C1624,"4 Item Ledger Entry Type",$C$4,"2 Item No.","@@"&amp;$F1624,"3 Posting Date",Z$9)+NL("Sum","5802 Value Entry","17 Sales Amount (Actual)","41 Source Type",$C$5,"5 Source no.",$C1624,"4 Item Ledger Entry Type",$C$4,"2 Item No.","@@"&amp;$F1624,"3 Posting Date",Z$9)</t>
  </si>
  <si>
    <t>=-NL("Sum","5802 Value Entry","151 Cost Amount (Expected)","41 Source Type",$C$5,"5 Source No.",$C1624,"4 Item Ledger Entry Type",$C$4,"2 Item No.","@@"&amp;$F1624,"3 Posting Date",Z$9)-NL("Sum","5802 Value Entry","43 Cost Amount (Actual)","41 Source Type",$C$5,"5 Source no.",$C1624,"4 Item Ledger Entry Type",$C$4,"2 Item No.","@@"&amp;$F1624,"3 Posting Date",Z$9)</t>
  </si>
  <si>
    <t>=Z1624-AB1624</t>
  </si>
  <si>
    <t>=IF(Z1624&lt;&gt;0,AC1624/Z1624,"")</t>
  </si>
  <si>
    <t>=C1624</t>
  </si>
  <si>
    <t>=NL("Sum","5802 Value Entry","150 Sales Amount (Expected)","41 Source Type",$C$5,"5 Source No.",$C1625,"4 Item Ledger Entry Type",$C$4,"2 Item No.","@@"&amp;$F1625,"3 Posting Date",J$9)+NL("Sum","5802 Value Entry","17 Sales Amount (Actual)","41 Source Type",$C$5,"5 Source no.",$C1625,"4 Item Ledger Entry Type",$C$4,"2 Item No.","@@"&amp;$F1625,"3 Posting Date",J$9)</t>
  </si>
  <si>
    <t>=-NL("Sum","5802 Value Entry","151 Cost Amount (Expected)","41 Source Type",$C$5,"5 Source No.",$C1625,"4 Item Ledger Entry Type",$C$4,"2 Item No.","@@"&amp;$F1625,"3 Posting Date",J$9)-NL("Sum","5802 Value Entry","43 Cost Amount (Actual)","41 Source Type",$C$5,"5 Source no.",$C1625,"4 Item Ledger Entry Type",$C$4,"2 Item No.","@@"&amp;$F1625,"3 Posting Date",J$9)</t>
  </si>
  <si>
    <t>=J1625-L1625</t>
  </si>
  <si>
    <t>=IF(J1625&lt;&gt;0,M1625/J1625,"")</t>
  </si>
  <si>
    <t>=NL("Sum","5802 Value Entry","150 Sales Amount (Expected)","41 Source Type",$C$5,"5 Source No.",$C1625,"4 Item Ledger Entry Type",$C$4,"2 Item No.","@@"&amp;$F1625,"3 Posting Date",O$9)+NL("Sum","5802 Value Entry","17 Sales Amount (Actual)","41 Source Type",$C$5,"5 Source no.",$C1625,"4 Item Ledger Entry Type",$C$4,"2 Item No.","@@"&amp;$F1625,"3 Posting Date",O$9)</t>
  </si>
  <si>
    <t>=-NL("Sum","5802 Value Entry","151 Cost Amount (Expected)","41 Source Type",$C$5,"5 Source No.",$C1625,"4 Item Ledger Entry Type",$C$4,"2 Item No.","@@"&amp;$F1625,"3 Posting Date",O$9)-NL("Sum","5802 Value Entry","43 Cost Amount (Actual)","41 Source Type",$C$5,"5 Source no.",$C1625,"4 Item Ledger Entry Type",$C$4,"2 Item No.","@@"&amp;$F1625,"3 Posting Date",O$9)</t>
  </si>
  <si>
    <t>=O1625-Q1625</t>
  </si>
  <si>
    <t>=IF(O1625&lt;&gt;0,R1625/O1625,"")</t>
  </si>
  <si>
    <t>=NL("Sum","5802 Value Entry","150 Sales Amount (Expected)","41 Source Type",$C$5,"5 Source No.",$C1625,"4 Item Ledger Entry Type",$C$4,"2 Item No.","@@"&amp;$F1625,"3 Posting Date",U$9)+NL("Sum","5802 Value Entry","17 Sales Amount (Actual)","41 Source Type",$C$5,"5 Source no.",$C1625,"4 Item Ledger Entry Type",$C$4,"2 Item No.","@@"&amp;$F1625,"3 Posting Date",U$9)</t>
  </si>
  <si>
    <t>=-NL("Sum","5802 Value Entry","151 Cost Amount (Expected)","41 Source Type",$C$5,"5 Source No.",$C1625,"4 Item Ledger Entry Type",$C$4,"2 Item No.","@@"&amp;$F1625,"3 Posting Date",U$9)-NL("Sum","5802 Value Entry","43 Cost Amount (Actual)","41 Source Type",$C$5,"5 Source no.",$C1625,"4 Item Ledger Entry Type",$C$4,"2 Item No.","@@"&amp;$F1625,"3 Posting Date",U$9)</t>
  </si>
  <si>
    <t>=U1625-W1625</t>
  </si>
  <si>
    <t>=IF(U1625&lt;&gt;0,X1625/U1625,"")</t>
  </si>
  <si>
    <t>=NL("Sum","5802 Value Entry","150 Sales Amount (Expected)","41 Source Type",$C$5,"5 Source No.",$C1625,"4 Item Ledger Entry Type",$C$4,"2 Item No.","@@"&amp;$F1625,"3 Posting Date",Z$9)+NL("Sum","5802 Value Entry","17 Sales Amount (Actual)","41 Source Type",$C$5,"5 Source no.",$C1625,"4 Item Ledger Entry Type",$C$4,"2 Item No.","@@"&amp;$F1625,"3 Posting Date",Z$9)</t>
  </si>
  <si>
    <t>=-NL("Sum","5802 Value Entry","151 Cost Amount (Expected)","41 Source Type",$C$5,"5 Source No.",$C1625,"4 Item Ledger Entry Type",$C$4,"2 Item No.","@@"&amp;$F1625,"3 Posting Date",Z$9)-NL("Sum","5802 Value Entry","43 Cost Amount (Actual)","41 Source Type",$C$5,"5 Source no.",$C1625,"4 Item Ledger Entry Type",$C$4,"2 Item No.","@@"&amp;$F1625,"3 Posting Date",Z$9)</t>
  </si>
  <si>
    <t>=Z1625-AB1625</t>
  </si>
  <si>
    <t>=IF(Z1625&lt;&gt;0,AC1625/Z1625,"")</t>
  </si>
  <si>
    <t>=C1625</t>
  </si>
  <si>
    <t>=NL("Sum","5802 Value Entry","150 Sales Amount (Expected)","41 Source Type",$C$5,"5 Source No.",$C1626,"4 Item Ledger Entry Type",$C$4,"2 Item No.","@@"&amp;$F1626,"3 Posting Date",J$9)+NL("Sum","5802 Value Entry","17 Sales Amount (Actual)","41 Source Type",$C$5,"5 Source no.",$C1626,"4 Item Ledger Entry Type",$C$4,"2 Item No.","@@"&amp;$F1626,"3 Posting Date",J$9)</t>
  </si>
  <si>
    <t>=-NL("Sum","5802 Value Entry","151 Cost Amount (Expected)","41 Source Type",$C$5,"5 Source No.",$C1626,"4 Item Ledger Entry Type",$C$4,"2 Item No.","@@"&amp;$F1626,"3 Posting Date",J$9)-NL("Sum","5802 Value Entry","43 Cost Amount (Actual)","41 Source Type",$C$5,"5 Source no.",$C1626,"4 Item Ledger Entry Type",$C$4,"2 Item No.","@@"&amp;$F1626,"3 Posting Date",J$9)</t>
  </si>
  <si>
    <t>=J1626-L1626</t>
  </si>
  <si>
    <t>=IF(J1626&lt;&gt;0,M1626/J1626,"")</t>
  </si>
  <si>
    <t>=NL("Sum","5802 Value Entry","150 Sales Amount (Expected)","41 Source Type",$C$5,"5 Source No.",$C1626,"4 Item Ledger Entry Type",$C$4,"2 Item No.","@@"&amp;$F1626,"3 Posting Date",O$9)+NL("Sum","5802 Value Entry","17 Sales Amount (Actual)","41 Source Type",$C$5,"5 Source no.",$C1626,"4 Item Ledger Entry Type",$C$4,"2 Item No.","@@"&amp;$F1626,"3 Posting Date",O$9)</t>
  </si>
  <si>
    <t>=-NL("Sum","5802 Value Entry","151 Cost Amount (Expected)","41 Source Type",$C$5,"5 Source No.",$C1626,"4 Item Ledger Entry Type",$C$4,"2 Item No.","@@"&amp;$F1626,"3 Posting Date",O$9)-NL("Sum","5802 Value Entry","43 Cost Amount (Actual)","41 Source Type",$C$5,"5 Source no.",$C1626,"4 Item Ledger Entry Type",$C$4,"2 Item No.","@@"&amp;$F1626,"3 Posting Date",O$9)</t>
  </si>
  <si>
    <t>=O1626-Q1626</t>
  </si>
  <si>
    <t>=IF(O1626&lt;&gt;0,R1626/O1626,"")</t>
  </si>
  <si>
    <t>=NL("Sum","5802 Value Entry","150 Sales Amount (Expected)","41 Source Type",$C$5,"5 Source No.",$C1626,"4 Item Ledger Entry Type",$C$4,"2 Item No.","@@"&amp;$F1626,"3 Posting Date",U$9)+NL("Sum","5802 Value Entry","17 Sales Amount (Actual)","41 Source Type",$C$5,"5 Source no.",$C1626,"4 Item Ledger Entry Type",$C$4,"2 Item No.","@@"&amp;$F1626,"3 Posting Date",U$9)</t>
  </si>
  <si>
    <t>=-NL("Sum","5802 Value Entry","151 Cost Amount (Expected)","41 Source Type",$C$5,"5 Source No.",$C1626,"4 Item Ledger Entry Type",$C$4,"2 Item No.","@@"&amp;$F1626,"3 Posting Date",U$9)-NL("Sum","5802 Value Entry","43 Cost Amount (Actual)","41 Source Type",$C$5,"5 Source no.",$C1626,"4 Item Ledger Entry Type",$C$4,"2 Item No.","@@"&amp;$F1626,"3 Posting Date",U$9)</t>
  </si>
  <si>
    <t>=U1626-W1626</t>
  </si>
  <si>
    <t>=IF(U1626&lt;&gt;0,X1626/U1626,"")</t>
  </si>
  <si>
    <t>=NL("Sum","5802 Value Entry","150 Sales Amount (Expected)","41 Source Type",$C$5,"5 Source No.",$C1626,"4 Item Ledger Entry Type",$C$4,"2 Item No.","@@"&amp;$F1626,"3 Posting Date",Z$9)+NL("Sum","5802 Value Entry","17 Sales Amount (Actual)","41 Source Type",$C$5,"5 Source no.",$C1626,"4 Item Ledger Entry Type",$C$4,"2 Item No.","@@"&amp;$F1626,"3 Posting Date",Z$9)</t>
  </si>
  <si>
    <t>=-NL("Sum","5802 Value Entry","151 Cost Amount (Expected)","41 Source Type",$C$5,"5 Source No.",$C1626,"4 Item Ledger Entry Type",$C$4,"2 Item No.","@@"&amp;$F1626,"3 Posting Date",Z$9)-NL("Sum","5802 Value Entry","43 Cost Amount (Actual)","41 Source Type",$C$5,"5 Source no.",$C1626,"4 Item Ledger Entry Type",$C$4,"2 Item No.","@@"&amp;$F1626,"3 Posting Date",Z$9)</t>
  </si>
  <si>
    <t>=Z1626-AB1626</t>
  </si>
  <si>
    <t>=IF(Z1626&lt;&gt;0,AC1626/Z1626,"")</t>
  </si>
  <si>
    <t>=C1626</t>
  </si>
  <si>
    <t>=NL("Sum","5802 Value Entry","150 Sales Amount (Expected)","41 Source Type",$C$5,"5 Source No.",$C1627,"4 Item Ledger Entry Type",$C$4,"2 Item No.","@@"&amp;$F1627,"3 Posting Date",J$9)+NL("Sum","5802 Value Entry","17 Sales Amount (Actual)","41 Source Type",$C$5,"5 Source no.",$C1627,"4 Item Ledger Entry Type",$C$4,"2 Item No.","@@"&amp;$F1627,"3 Posting Date",J$9)</t>
  </si>
  <si>
    <t>=-NL("Sum","5802 Value Entry","151 Cost Amount (Expected)","41 Source Type",$C$5,"5 Source No.",$C1627,"4 Item Ledger Entry Type",$C$4,"2 Item No.","@@"&amp;$F1627,"3 Posting Date",J$9)-NL("Sum","5802 Value Entry","43 Cost Amount (Actual)","41 Source Type",$C$5,"5 Source no.",$C1627,"4 Item Ledger Entry Type",$C$4,"2 Item No.","@@"&amp;$F1627,"3 Posting Date",J$9)</t>
  </si>
  <si>
    <t>=J1627-L1627</t>
  </si>
  <si>
    <t>=IF(J1627&lt;&gt;0,M1627/J1627,"")</t>
  </si>
  <si>
    <t>=NL("Sum","5802 Value Entry","150 Sales Amount (Expected)","41 Source Type",$C$5,"5 Source No.",$C1627,"4 Item Ledger Entry Type",$C$4,"2 Item No.","@@"&amp;$F1627,"3 Posting Date",O$9)+NL("Sum","5802 Value Entry","17 Sales Amount (Actual)","41 Source Type",$C$5,"5 Source no.",$C1627,"4 Item Ledger Entry Type",$C$4,"2 Item No.","@@"&amp;$F1627,"3 Posting Date",O$9)</t>
  </si>
  <si>
    <t>=-NL("Sum","5802 Value Entry","151 Cost Amount (Expected)","41 Source Type",$C$5,"5 Source No.",$C1627,"4 Item Ledger Entry Type",$C$4,"2 Item No.","@@"&amp;$F1627,"3 Posting Date",O$9)-NL("Sum","5802 Value Entry","43 Cost Amount (Actual)","41 Source Type",$C$5,"5 Source no.",$C1627,"4 Item Ledger Entry Type",$C$4,"2 Item No.","@@"&amp;$F1627,"3 Posting Date",O$9)</t>
  </si>
  <si>
    <t>=O1627-Q1627</t>
  </si>
  <si>
    <t>=IF(O1627&lt;&gt;0,R1627/O1627,"")</t>
  </si>
  <si>
    <t>=NL("Sum","5802 Value Entry","150 Sales Amount (Expected)","41 Source Type",$C$5,"5 Source No.",$C1627,"4 Item Ledger Entry Type",$C$4,"2 Item No.","@@"&amp;$F1627,"3 Posting Date",U$9)+NL("Sum","5802 Value Entry","17 Sales Amount (Actual)","41 Source Type",$C$5,"5 Source no.",$C1627,"4 Item Ledger Entry Type",$C$4,"2 Item No.","@@"&amp;$F1627,"3 Posting Date",U$9)</t>
  </si>
  <si>
    <t>=-NL("Sum","5802 Value Entry","151 Cost Amount (Expected)","41 Source Type",$C$5,"5 Source No.",$C1627,"4 Item Ledger Entry Type",$C$4,"2 Item No.","@@"&amp;$F1627,"3 Posting Date",U$9)-NL("Sum","5802 Value Entry","43 Cost Amount (Actual)","41 Source Type",$C$5,"5 Source no.",$C1627,"4 Item Ledger Entry Type",$C$4,"2 Item No.","@@"&amp;$F1627,"3 Posting Date",U$9)</t>
  </si>
  <si>
    <t>=U1627-W1627</t>
  </si>
  <si>
    <t>=IF(U1627&lt;&gt;0,X1627/U1627,"")</t>
  </si>
  <si>
    <t>=NL("Sum","5802 Value Entry","150 Sales Amount (Expected)","41 Source Type",$C$5,"5 Source No.",$C1627,"4 Item Ledger Entry Type",$C$4,"2 Item No.","@@"&amp;$F1627,"3 Posting Date",Z$9)+NL("Sum","5802 Value Entry","17 Sales Amount (Actual)","41 Source Type",$C$5,"5 Source no.",$C1627,"4 Item Ledger Entry Type",$C$4,"2 Item No.","@@"&amp;$F1627,"3 Posting Date",Z$9)</t>
  </si>
  <si>
    <t>=-NL("Sum","5802 Value Entry","151 Cost Amount (Expected)","41 Source Type",$C$5,"5 Source No.",$C1627,"4 Item Ledger Entry Type",$C$4,"2 Item No.","@@"&amp;$F1627,"3 Posting Date",Z$9)-NL("Sum","5802 Value Entry","43 Cost Amount (Actual)","41 Source Type",$C$5,"5 Source no.",$C1627,"4 Item Ledger Entry Type",$C$4,"2 Item No.","@@"&amp;$F1627,"3 Posting Date",Z$9)</t>
  </si>
  <si>
    <t>=Z1627-AB1627</t>
  </si>
  <si>
    <t>=IF(Z1627&lt;&gt;0,AC1627/Z1627,"")</t>
  </si>
  <si>
    <t>=C1627</t>
  </si>
  <si>
    <t>=NL("Sum","5802 Value Entry","150 Sales Amount (Expected)","41 Source Type",$C$5,"5 Source No.",$C1628,"4 Item Ledger Entry Type",$C$4,"2 Item No.","@@"&amp;$F1628,"3 Posting Date",J$9)+NL("Sum","5802 Value Entry","17 Sales Amount (Actual)","41 Source Type",$C$5,"5 Source no.",$C1628,"4 Item Ledger Entry Type",$C$4,"2 Item No.","@@"&amp;$F1628,"3 Posting Date",J$9)</t>
  </si>
  <si>
    <t>=-NL("Sum","5802 Value Entry","151 Cost Amount (Expected)","41 Source Type",$C$5,"5 Source No.",$C1628,"4 Item Ledger Entry Type",$C$4,"2 Item No.","@@"&amp;$F1628,"3 Posting Date",J$9)-NL("Sum","5802 Value Entry","43 Cost Amount (Actual)","41 Source Type",$C$5,"5 Source no.",$C1628,"4 Item Ledger Entry Type",$C$4,"2 Item No.","@@"&amp;$F1628,"3 Posting Date",J$9)</t>
  </si>
  <si>
    <t>=J1628-L1628</t>
  </si>
  <si>
    <t>=IF(J1628&lt;&gt;0,M1628/J1628,"")</t>
  </si>
  <si>
    <t>=NL("Sum","5802 Value Entry","150 Sales Amount (Expected)","41 Source Type",$C$5,"5 Source No.",$C1628,"4 Item Ledger Entry Type",$C$4,"2 Item No.","@@"&amp;$F1628,"3 Posting Date",O$9)+NL("Sum","5802 Value Entry","17 Sales Amount (Actual)","41 Source Type",$C$5,"5 Source no.",$C1628,"4 Item Ledger Entry Type",$C$4,"2 Item No.","@@"&amp;$F1628,"3 Posting Date",O$9)</t>
  </si>
  <si>
    <t>=-NL("Sum","5802 Value Entry","151 Cost Amount (Expected)","41 Source Type",$C$5,"5 Source No.",$C1628,"4 Item Ledger Entry Type",$C$4,"2 Item No.","@@"&amp;$F1628,"3 Posting Date",O$9)-NL("Sum","5802 Value Entry","43 Cost Amount (Actual)","41 Source Type",$C$5,"5 Source no.",$C1628,"4 Item Ledger Entry Type",$C$4,"2 Item No.","@@"&amp;$F1628,"3 Posting Date",O$9)</t>
  </si>
  <si>
    <t>=O1628-Q1628</t>
  </si>
  <si>
    <t>=IF(O1628&lt;&gt;0,R1628/O1628,"")</t>
  </si>
  <si>
    <t>=NL("Sum","5802 Value Entry","150 Sales Amount (Expected)","41 Source Type",$C$5,"5 Source No.",$C1628,"4 Item Ledger Entry Type",$C$4,"2 Item No.","@@"&amp;$F1628,"3 Posting Date",U$9)+NL("Sum","5802 Value Entry","17 Sales Amount (Actual)","41 Source Type",$C$5,"5 Source no.",$C1628,"4 Item Ledger Entry Type",$C$4,"2 Item No.","@@"&amp;$F1628,"3 Posting Date",U$9)</t>
  </si>
  <si>
    <t>=-NL("Sum","5802 Value Entry","151 Cost Amount (Expected)","41 Source Type",$C$5,"5 Source No.",$C1628,"4 Item Ledger Entry Type",$C$4,"2 Item No.","@@"&amp;$F1628,"3 Posting Date",U$9)-NL("Sum","5802 Value Entry","43 Cost Amount (Actual)","41 Source Type",$C$5,"5 Source no.",$C1628,"4 Item Ledger Entry Type",$C$4,"2 Item No.","@@"&amp;$F1628,"3 Posting Date",U$9)</t>
  </si>
  <si>
    <t>=U1628-W1628</t>
  </si>
  <si>
    <t>=IF(U1628&lt;&gt;0,X1628/U1628,"")</t>
  </si>
  <si>
    <t>=NL("Sum","5802 Value Entry","150 Sales Amount (Expected)","41 Source Type",$C$5,"5 Source No.",$C1628,"4 Item Ledger Entry Type",$C$4,"2 Item No.","@@"&amp;$F1628,"3 Posting Date",Z$9)+NL("Sum","5802 Value Entry","17 Sales Amount (Actual)","41 Source Type",$C$5,"5 Source no.",$C1628,"4 Item Ledger Entry Type",$C$4,"2 Item No.","@@"&amp;$F1628,"3 Posting Date",Z$9)</t>
  </si>
  <si>
    <t>=-NL("Sum","5802 Value Entry","151 Cost Amount (Expected)","41 Source Type",$C$5,"5 Source No.",$C1628,"4 Item Ledger Entry Type",$C$4,"2 Item No.","@@"&amp;$F1628,"3 Posting Date",Z$9)-NL("Sum","5802 Value Entry","43 Cost Amount (Actual)","41 Source Type",$C$5,"5 Source no.",$C1628,"4 Item Ledger Entry Type",$C$4,"2 Item No.","@@"&amp;$F1628,"3 Posting Date",Z$9)</t>
  </si>
  <si>
    <t>=Z1628-AB1628</t>
  </si>
  <si>
    <t>=IF(Z1628&lt;&gt;0,AC1628/Z1628,"")</t>
  </si>
  <si>
    <t>=C1628</t>
  </si>
  <si>
    <t>=NL("Sum","5802 Value Entry","150 Sales Amount (Expected)","41 Source Type",$C$5,"5 Source No.",$C1629,"4 Item Ledger Entry Type",$C$4,"2 Item No.","@@"&amp;$F1629,"3 Posting Date",J$9)+NL("Sum","5802 Value Entry","17 Sales Amount (Actual)","41 Source Type",$C$5,"5 Source no.",$C1629,"4 Item Ledger Entry Type",$C$4,"2 Item No.","@@"&amp;$F1629,"3 Posting Date",J$9)</t>
  </si>
  <si>
    <t>=-NL("Sum","5802 Value Entry","151 Cost Amount (Expected)","41 Source Type",$C$5,"5 Source No.",$C1629,"4 Item Ledger Entry Type",$C$4,"2 Item No.","@@"&amp;$F1629,"3 Posting Date",J$9)-NL("Sum","5802 Value Entry","43 Cost Amount (Actual)","41 Source Type",$C$5,"5 Source no.",$C1629,"4 Item Ledger Entry Type",$C$4,"2 Item No.","@@"&amp;$F1629,"3 Posting Date",J$9)</t>
  </si>
  <si>
    <t>=J1629-L1629</t>
  </si>
  <si>
    <t>=IF(J1629&lt;&gt;0,M1629/J1629,"")</t>
  </si>
  <si>
    <t>=NL("Sum","5802 Value Entry","150 Sales Amount (Expected)","41 Source Type",$C$5,"5 Source No.",$C1629,"4 Item Ledger Entry Type",$C$4,"2 Item No.","@@"&amp;$F1629,"3 Posting Date",O$9)+NL("Sum","5802 Value Entry","17 Sales Amount (Actual)","41 Source Type",$C$5,"5 Source no.",$C1629,"4 Item Ledger Entry Type",$C$4,"2 Item No.","@@"&amp;$F1629,"3 Posting Date",O$9)</t>
  </si>
  <si>
    <t>=-NL("Sum","5802 Value Entry","151 Cost Amount (Expected)","41 Source Type",$C$5,"5 Source No.",$C1629,"4 Item Ledger Entry Type",$C$4,"2 Item No.","@@"&amp;$F1629,"3 Posting Date",O$9)-NL("Sum","5802 Value Entry","43 Cost Amount (Actual)","41 Source Type",$C$5,"5 Source no.",$C1629,"4 Item Ledger Entry Type",$C$4,"2 Item No.","@@"&amp;$F1629,"3 Posting Date",O$9)</t>
  </si>
  <si>
    <t>=O1629-Q1629</t>
  </si>
  <si>
    <t>=IF(O1629&lt;&gt;0,R1629/O1629,"")</t>
  </si>
  <si>
    <t>=NL("Sum","5802 Value Entry","150 Sales Amount (Expected)","41 Source Type",$C$5,"5 Source No.",$C1629,"4 Item Ledger Entry Type",$C$4,"2 Item No.","@@"&amp;$F1629,"3 Posting Date",U$9)+NL("Sum","5802 Value Entry","17 Sales Amount (Actual)","41 Source Type",$C$5,"5 Source no.",$C1629,"4 Item Ledger Entry Type",$C$4,"2 Item No.","@@"&amp;$F1629,"3 Posting Date",U$9)</t>
  </si>
  <si>
    <t>=-NL("Sum","5802 Value Entry","151 Cost Amount (Expected)","41 Source Type",$C$5,"5 Source No.",$C1629,"4 Item Ledger Entry Type",$C$4,"2 Item No.","@@"&amp;$F1629,"3 Posting Date",U$9)-NL("Sum","5802 Value Entry","43 Cost Amount (Actual)","41 Source Type",$C$5,"5 Source no.",$C1629,"4 Item Ledger Entry Type",$C$4,"2 Item No.","@@"&amp;$F1629,"3 Posting Date",U$9)</t>
  </si>
  <si>
    <t>=U1629-W1629</t>
  </si>
  <si>
    <t>=IF(U1629&lt;&gt;0,X1629/U1629,"")</t>
  </si>
  <si>
    <t>=NL("Sum","5802 Value Entry","150 Sales Amount (Expected)","41 Source Type",$C$5,"5 Source No.",$C1629,"4 Item Ledger Entry Type",$C$4,"2 Item No.","@@"&amp;$F1629,"3 Posting Date",Z$9)+NL("Sum","5802 Value Entry","17 Sales Amount (Actual)","41 Source Type",$C$5,"5 Source no.",$C1629,"4 Item Ledger Entry Type",$C$4,"2 Item No.","@@"&amp;$F1629,"3 Posting Date",Z$9)</t>
  </si>
  <si>
    <t>=-NL("Sum","5802 Value Entry","151 Cost Amount (Expected)","41 Source Type",$C$5,"5 Source No.",$C1629,"4 Item Ledger Entry Type",$C$4,"2 Item No.","@@"&amp;$F1629,"3 Posting Date",Z$9)-NL("Sum","5802 Value Entry","43 Cost Amount (Actual)","41 Source Type",$C$5,"5 Source no.",$C1629,"4 Item Ledger Entry Type",$C$4,"2 Item No.","@@"&amp;$F1629,"3 Posting Date",Z$9)</t>
  </si>
  <si>
    <t>=Z1629-AB1629</t>
  </si>
  <si>
    <t>=IF(Z1629&lt;&gt;0,AC1629/Z1629,"")</t>
  </si>
  <si>
    <t>=C1629</t>
  </si>
  <si>
    <t>=NL("Sum","5802 Value Entry","150 Sales Amount (Expected)","41 Source Type",$C$5,"5 Source No.",$C1630,"4 Item Ledger Entry Type",$C$4,"2 Item No.","@@"&amp;$F1630,"3 Posting Date",J$9)+NL("Sum","5802 Value Entry","17 Sales Amount (Actual)","41 Source Type",$C$5,"5 Source no.",$C1630,"4 Item Ledger Entry Type",$C$4,"2 Item No.","@@"&amp;$F1630,"3 Posting Date",J$9)</t>
  </si>
  <si>
    <t>=-NL("Sum","5802 Value Entry","151 Cost Amount (Expected)","41 Source Type",$C$5,"5 Source No.",$C1630,"4 Item Ledger Entry Type",$C$4,"2 Item No.","@@"&amp;$F1630,"3 Posting Date",J$9)-NL("Sum","5802 Value Entry","43 Cost Amount (Actual)","41 Source Type",$C$5,"5 Source no.",$C1630,"4 Item Ledger Entry Type",$C$4,"2 Item No.","@@"&amp;$F1630,"3 Posting Date",J$9)</t>
  </si>
  <si>
    <t>=J1630-L1630</t>
  </si>
  <si>
    <t>=IF(J1630&lt;&gt;0,M1630/J1630,"")</t>
  </si>
  <si>
    <t>=NL("Sum","5802 Value Entry","150 Sales Amount (Expected)","41 Source Type",$C$5,"5 Source No.",$C1630,"4 Item Ledger Entry Type",$C$4,"2 Item No.","@@"&amp;$F1630,"3 Posting Date",O$9)+NL("Sum","5802 Value Entry","17 Sales Amount (Actual)","41 Source Type",$C$5,"5 Source no.",$C1630,"4 Item Ledger Entry Type",$C$4,"2 Item No.","@@"&amp;$F1630,"3 Posting Date",O$9)</t>
  </si>
  <si>
    <t>=-NL("Sum","5802 Value Entry","151 Cost Amount (Expected)","41 Source Type",$C$5,"5 Source No.",$C1630,"4 Item Ledger Entry Type",$C$4,"2 Item No.","@@"&amp;$F1630,"3 Posting Date",O$9)-NL("Sum","5802 Value Entry","43 Cost Amount (Actual)","41 Source Type",$C$5,"5 Source no.",$C1630,"4 Item Ledger Entry Type",$C$4,"2 Item No.","@@"&amp;$F1630,"3 Posting Date",O$9)</t>
  </si>
  <si>
    <t>=O1630-Q1630</t>
  </si>
  <si>
    <t>=IF(O1630&lt;&gt;0,R1630/O1630,"")</t>
  </si>
  <si>
    <t>=NL("Sum","5802 Value Entry","150 Sales Amount (Expected)","41 Source Type",$C$5,"5 Source No.",$C1630,"4 Item Ledger Entry Type",$C$4,"2 Item No.","@@"&amp;$F1630,"3 Posting Date",U$9)+NL("Sum","5802 Value Entry","17 Sales Amount (Actual)","41 Source Type",$C$5,"5 Source no.",$C1630,"4 Item Ledger Entry Type",$C$4,"2 Item No.","@@"&amp;$F1630,"3 Posting Date",U$9)</t>
  </si>
  <si>
    <t>=-NL("Sum","5802 Value Entry","151 Cost Amount (Expected)","41 Source Type",$C$5,"5 Source No.",$C1630,"4 Item Ledger Entry Type",$C$4,"2 Item No.","@@"&amp;$F1630,"3 Posting Date",U$9)-NL("Sum","5802 Value Entry","43 Cost Amount (Actual)","41 Source Type",$C$5,"5 Source no.",$C1630,"4 Item Ledger Entry Type",$C$4,"2 Item No.","@@"&amp;$F1630,"3 Posting Date",U$9)</t>
  </si>
  <si>
    <t>=U1630-W1630</t>
  </si>
  <si>
    <t>=IF(U1630&lt;&gt;0,X1630/U1630,"")</t>
  </si>
  <si>
    <t>=NL("Sum","5802 Value Entry","150 Sales Amount (Expected)","41 Source Type",$C$5,"5 Source No.",$C1630,"4 Item Ledger Entry Type",$C$4,"2 Item No.","@@"&amp;$F1630,"3 Posting Date",Z$9)+NL("Sum","5802 Value Entry","17 Sales Amount (Actual)","41 Source Type",$C$5,"5 Source no.",$C1630,"4 Item Ledger Entry Type",$C$4,"2 Item No.","@@"&amp;$F1630,"3 Posting Date",Z$9)</t>
  </si>
  <si>
    <t>=-NL("Sum","5802 Value Entry","151 Cost Amount (Expected)","41 Source Type",$C$5,"5 Source No.",$C1630,"4 Item Ledger Entry Type",$C$4,"2 Item No.","@@"&amp;$F1630,"3 Posting Date",Z$9)-NL("Sum","5802 Value Entry","43 Cost Amount (Actual)","41 Source Type",$C$5,"5 Source no.",$C1630,"4 Item Ledger Entry Type",$C$4,"2 Item No.","@@"&amp;$F1630,"3 Posting Date",Z$9)</t>
  </si>
  <si>
    <t>=Z1630-AB1630</t>
  </si>
  <si>
    <t>=IF(Z1630&lt;&gt;0,AC1630/Z1630,"")</t>
  </si>
  <si>
    <t>=C1630</t>
  </si>
  <si>
    <t>=NL("Sum","5802 Value Entry","150 Sales Amount (Expected)","41 Source Type",$C$5,"5 Source No.",$C1631,"4 Item Ledger Entry Type",$C$4,"2 Item No.","@@"&amp;$F1631,"3 Posting Date",J$9)+NL("Sum","5802 Value Entry","17 Sales Amount (Actual)","41 Source Type",$C$5,"5 Source no.",$C1631,"4 Item Ledger Entry Type",$C$4,"2 Item No.","@@"&amp;$F1631,"3 Posting Date",J$9)</t>
  </si>
  <si>
    <t>=-NL("Sum","5802 Value Entry","151 Cost Amount (Expected)","41 Source Type",$C$5,"5 Source No.",$C1631,"4 Item Ledger Entry Type",$C$4,"2 Item No.","@@"&amp;$F1631,"3 Posting Date",J$9)-NL("Sum","5802 Value Entry","43 Cost Amount (Actual)","41 Source Type",$C$5,"5 Source no.",$C1631,"4 Item Ledger Entry Type",$C$4,"2 Item No.","@@"&amp;$F1631,"3 Posting Date",J$9)</t>
  </si>
  <si>
    <t>=J1631-L1631</t>
  </si>
  <si>
    <t>=IF(J1631&lt;&gt;0,M1631/J1631,"")</t>
  </si>
  <si>
    <t>=NL("Sum","5802 Value Entry","150 Sales Amount (Expected)","41 Source Type",$C$5,"5 Source No.",$C1631,"4 Item Ledger Entry Type",$C$4,"2 Item No.","@@"&amp;$F1631,"3 Posting Date",O$9)+NL("Sum","5802 Value Entry","17 Sales Amount (Actual)","41 Source Type",$C$5,"5 Source no.",$C1631,"4 Item Ledger Entry Type",$C$4,"2 Item No.","@@"&amp;$F1631,"3 Posting Date",O$9)</t>
  </si>
  <si>
    <t>=-NL("Sum","5802 Value Entry","151 Cost Amount (Expected)","41 Source Type",$C$5,"5 Source No.",$C1631,"4 Item Ledger Entry Type",$C$4,"2 Item No.","@@"&amp;$F1631,"3 Posting Date",O$9)-NL("Sum","5802 Value Entry","43 Cost Amount (Actual)","41 Source Type",$C$5,"5 Source no.",$C1631,"4 Item Ledger Entry Type",$C$4,"2 Item No.","@@"&amp;$F1631,"3 Posting Date",O$9)</t>
  </si>
  <si>
    <t>=O1631-Q1631</t>
  </si>
  <si>
    <t>=IF(O1631&lt;&gt;0,R1631/O1631,"")</t>
  </si>
  <si>
    <t>=NL("Sum","5802 Value Entry","150 Sales Amount (Expected)","41 Source Type",$C$5,"5 Source No.",$C1631,"4 Item Ledger Entry Type",$C$4,"2 Item No.","@@"&amp;$F1631,"3 Posting Date",U$9)+NL("Sum","5802 Value Entry","17 Sales Amount (Actual)","41 Source Type",$C$5,"5 Source no.",$C1631,"4 Item Ledger Entry Type",$C$4,"2 Item No.","@@"&amp;$F1631,"3 Posting Date",U$9)</t>
  </si>
  <si>
    <t>=-NL("Sum","5802 Value Entry","151 Cost Amount (Expected)","41 Source Type",$C$5,"5 Source No.",$C1631,"4 Item Ledger Entry Type",$C$4,"2 Item No.","@@"&amp;$F1631,"3 Posting Date",U$9)-NL("Sum","5802 Value Entry","43 Cost Amount (Actual)","41 Source Type",$C$5,"5 Source no.",$C1631,"4 Item Ledger Entry Type",$C$4,"2 Item No.","@@"&amp;$F1631,"3 Posting Date",U$9)</t>
  </si>
  <si>
    <t>=U1631-W1631</t>
  </si>
  <si>
    <t>=IF(U1631&lt;&gt;0,X1631/U1631,"")</t>
  </si>
  <si>
    <t>=NL("Sum","5802 Value Entry","150 Sales Amount (Expected)","41 Source Type",$C$5,"5 Source No.",$C1631,"4 Item Ledger Entry Type",$C$4,"2 Item No.","@@"&amp;$F1631,"3 Posting Date",Z$9)+NL("Sum","5802 Value Entry","17 Sales Amount (Actual)","41 Source Type",$C$5,"5 Source no.",$C1631,"4 Item Ledger Entry Type",$C$4,"2 Item No.","@@"&amp;$F1631,"3 Posting Date",Z$9)</t>
  </si>
  <si>
    <t>=-NL("Sum","5802 Value Entry","151 Cost Amount (Expected)","41 Source Type",$C$5,"5 Source No.",$C1631,"4 Item Ledger Entry Type",$C$4,"2 Item No.","@@"&amp;$F1631,"3 Posting Date",Z$9)-NL("Sum","5802 Value Entry","43 Cost Amount (Actual)","41 Source Type",$C$5,"5 Source no.",$C1631,"4 Item Ledger Entry Type",$C$4,"2 Item No.","@@"&amp;$F1631,"3 Posting Date",Z$9)</t>
  </si>
  <si>
    <t>=Z1631-AB1631</t>
  </si>
  <si>
    <t>=IF(Z1631&lt;&gt;0,AC1631/Z1631,"")</t>
  </si>
  <si>
    <t>=C1631</t>
  </si>
  <si>
    <t>=NL("Sum","5802 Value Entry","150 Sales Amount (Expected)","41 Source Type",$C$5,"5 Source No.",$C1632,"4 Item Ledger Entry Type",$C$4,"2 Item No.","@@"&amp;$F1632,"3 Posting Date",J$9)+NL("Sum","5802 Value Entry","17 Sales Amount (Actual)","41 Source Type",$C$5,"5 Source no.",$C1632,"4 Item Ledger Entry Type",$C$4,"2 Item No.","@@"&amp;$F1632,"3 Posting Date",J$9)</t>
  </si>
  <si>
    <t>=-NL("Sum","5802 Value Entry","151 Cost Amount (Expected)","41 Source Type",$C$5,"5 Source No.",$C1632,"4 Item Ledger Entry Type",$C$4,"2 Item No.","@@"&amp;$F1632,"3 Posting Date",J$9)-NL("Sum","5802 Value Entry","43 Cost Amount (Actual)","41 Source Type",$C$5,"5 Source no.",$C1632,"4 Item Ledger Entry Type",$C$4,"2 Item No.","@@"&amp;$F1632,"3 Posting Date",J$9)</t>
  </si>
  <si>
    <t>=J1632-L1632</t>
  </si>
  <si>
    <t>=IF(J1632&lt;&gt;0,M1632/J1632,"")</t>
  </si>
  <si>
    <t>=NL("Sum","5802 Value Entry","150 Sales Amount (Expected)","41 Source Type",$C$5,"5 Source No.",$C1632,"4 Item Ledger Entry Type",$C$4,"2 Item No.","@@"&amp;$F1632,"3 Posting Date",O$9)+NL("Sum","5802 Value Entry","17 Sales Amount (Actual)","41 Source Type",$C$5,"5 Source no.",$C1632,"4 Item Ledger Entry Type",$C$4,"2 Item No.","@@"&amp;$F1632,"3 Posting Date",O$9)</t>
  </si>
  <si>
    <t>=-NL("Sum","5802 Value Entry","151 Cost Amount (Expected)","41 Source Type",$C$5,"5 Source No.",$C1632,"4 Item Ledger Entry Type",$C$4,"2 Item No.","@@"&amp;$F1632,"3 Posting Date",O$9)-NL("Sum","5802 Value Entry","43 Cost Amount (Actual)","41 Source Type",$C$5,"5 Source no.",$C1632,"4 Item Ledger Entry Type",$C$4,"2 Item No.","@@"&amp;$F1632,"3 Posting Date",O$9)</t>
  </si>
  <si>
    <t>=O1632-Q1632</t>
  </si>
  <si>
    <t>=IF(O1632&lt;&gt;0,R1632/O1632,"")</t>
  </si>
  <si>
    <t>=NL("Sum","5802 Value Entry","150 Sales Amount (Expected)","41 Source Type",$C$5,"5 Source No.",$C1632,"4 Item Ledger Entry Type",$C$4,"2 Item No.","@@"&amp;$F1632,"3 Posting Date",U$9)+NL("Sum","5802 Value Entry","17 Sales Amount (Actual)","41 Source Type",$C$5,"5 Source no.",$C1632,"4 Item Ledger Entry Type",$C$4,"2 Item No.","@@"&amp;$F1632,"3 Posting Date",U$9)</t>
  </si>
  <si>
    <t>=-NL("Sum","5802 Value Entry","151 Cost Amount (Expected)","41 Source Type",$C$5,"5 Source No.",$C1632,"4 Item Ledger Entry Type",$C$4,"2 Item No.","@@"&amp;$F1632,"3 Posting Date",U$9)-NL("Sum","5802 Value Entry","43 Cost Amount (Actual)","41 Source Type",$C$5,"5 Source no.",$C1632,"4 Item Ledger Entry Type",$C$4,"2 Item No.","@@"&amp;$F1632,"3 Posting Date",U$9)</t>
  </si>
  <si>
    <t>=U1632-W1632</t>
  </si>
  <si>
    <t>=IF(U1632&lt;&gt;0,X1632/U1632,"")</t>
  </si>
  <si>
    <t>=NL("Sum","5802 Value Entry","150 Sales Amount (Expected)","41 Source Type",$C$5,"5 Source No.",$C1632,"4 Item Ledger Entry Type",$C$4,"2 Item No.","@@"&amp;$F1632,"3 Posting Date",Z$9)+NL("Sum","5802 Value Entry","17 Sales Amount (Actual)","41 Source Type",$C$5,"5 Source no.",$C1632,"4 Item Ledger Entry Type",$C$4,"2 Item No.","@@"&amp;$F1632,"3 Posting Date",Z$9)</t>
  </si>
  <si>
    <t>=-NL("Sum","5802 Value Entry","151 Cost Amount (Expected)","41 Source Type",$C$5,"5 Source No.",$C1632,"4 Item Ledger Entry Type",$C$4,"2 Item No.","@@"&amp;$F1632,"3 Posting Date",Z$9)-NL("Sum","5802 Value Entry","43 Cost Amount (Actual)","41 Source Type",$C$5,"5 Source no.",$C1632,"4 Item Ledger Entry Type",$C$4,"2 Item No.","@@"&amp;$F1632,"3 Posting Date",Z$9)</t>
  </si>
  <si>
    <t>=Z1632-AB1632</t>
  </si>
  <si>
    <t>=IF(Z1632&lt;&gt;0,AC1632/Z1632,"")</t>
  </si>
  <si>
    <t>=C1633</t>
  </si>
  <si>
    <t>=J1634-L1634</t>
  </si>
  <si>
    <t>=IF(J1634&lt;&gt;0,M1634/J1634,"")</t>
  </si>
  <si>
    <t>=O1634-Q1634</t>
  </si>
  <si>
    <t>=IF(O1634&lt;&gt;0,R1634/O1634,"")</t>
  </si>
  <si>
    <t>=U1634-W1634</t>
  </si>
  <si>
    <t>=IF(U1634&lt;&gt;0,X1634/U1634,"")</t>
  </si>
  <si>
    <t>=Z1634-AB1634</t>
  </si>
  <si>
    <t>=IF(Z1634&lt;&gt;0,AC1634/Z1634,"")</t>
  </si>
  <si>
    <t>=C1638</t>
  </si>
  <si>
    <t>=C1639</t>
  </si>
  <si>
    <t>=NL("Sum","5802 Value Entry","150 Sales Amount (Expected)","41 Source Type",$C$5,"5 Source No.",$C1640,"4 Item Ledger Entry Type",$C$4,"2 Item No.","@@"&amp;$F1640,"3 Posting Date",J$9)+NL("Sum","5802 Value Entry","17 Sales Amount (Actual)","41 Source Type",$C$5,"5 Source no.",$C1640,"4 Item Ledger Entry Type",$C$4,"2 Item No.","@@"&amp;$F1640,"3 Posting Date",J$9)</t>
  </si>
  <si>
    <t>=-NL("Sum","5802 Value Entry","151 Cost Amount (Expected)","41 Source Type",$C$5,"5 Source No.",$C1640,"4 Item Ledger Entry Type",$C$4,"2 Item No.","@@"&amp;$F1640,"3 Posting Date",J$9)-NL("Sum","5802 Value Entry","43 Cost Amount (Actual)","41 Source Type",$C$5,"5 Source no.",$C1640,"4 Item Ledger Entry Type",$C$4,"2 Item No.","@@"&amp;$F1640,"3 Posting Date",J$9)</t>
  </si>
  <si>
    <t>=J1640-L1640</t>
  </si>
  <si>
    <t>=IF(J1640&lt;&gt;0,M1640/J1640,"")</t>
  </si>
  <si>
    <t>=NL("Sum","5802 Value Entry","150 Sales Amount (Expected)","41 Source Type",$C$5,"5 Source No.",$C1640,"4 Item Ledger Entry Type",$C$4,"2 Item No.","@@"&amp;$F1640,"3 Posting Date",O$9)+NL("Sum","5802 Value Entry","17 Sales Amount (Actual)","41 Source Type",$C$5,"5 Source no.",$C1640,"4 Item Ledger Entry Type",$C$4,"2 Item No.","@@"&amp;$F1640,"3 Posting Date",O$9)</t>
  </si>
  <si>
    <t>=-NL("Sum","5802 Value Entry","151 Cost Amount (Expected)","41 Source Type",$C$5,"5 Source No.",$C1640,"4 Item Ledger Entry Type",$C$4,"2 Item No.","@@"&amp;$F1640,"3 Posting Date",O$9)-NL("Sum","5802 Value Entry","43 Cost Amount (Actual)","41 Source Type",$C$5,"5 Source no.",$C1640,"4 Item Ledger Entry Type",$C$4,"2 Item No.","@@"&amp;$F1640,"3 Posting Date",O$9)</t>
  </si>
  <si>
    <t>=O1640-Q1640</t>
  </si>
  <si>
    <t>=IF(O1640&lt;&gt;0,R1640/O1640,"")</t>
  </si>
  <si>
    <t>=NL("Sum","5802 Value Entry","150 Sales Amount (Expected)","41 Source Type",$C$5,"5 Source No.",$C1640,"4 Item Ledger Entry Type",$C$4,"2 Item No.","@@"&amp;$F1640,"3 Posting Date",U$9)+NL("Sum","5802 Value Entry","17 Sales Amount (Actual)","41 Source Type",$C$5,"5 Source no.",$C1640,"4 Item Ledger Entry Type",$C$4,"2 Item No.","@@"&amp;$F1640,"3 Posting Date",U$9)</t>
  </si>
  <si>
    <t>=-NL("Sum","5802 Value Entry","151 Cost Amount (Expected)","41 Source Type",$C$5,"5 Source No.",$C1640,"4 Item Ledger Entry Type",$C$4,"2 Item No.","@@"&amp;$F1640,"3 Posting Date",U$9)-NL("Sum","5802 Value Entry","43 Cost Amount (Actual)","41 Source Type",$C$5,"5 Source no.",$C1640,"4 Item Ledger Entry Type",$C$4,"2 Item No.","@@"&amp;$F1640,"3 Posting Date",U$9)</t>
  </si>
  <si>
    <t>=U1640-W1640</t>
  </si>
  <si>
    <t>=IF(U1640&lt;&gt;0,X1640/U1640,"")</t>
  </si>
  <si>
    <t>=NL("Sum","5802 Value Entry","150 Sales Amount (Expected)","41 Source Type",$C$5,"5 Source No.",$C1640,"4 Item Ledger Entry Type",$C$4,"2 Item No.","@@"&amp;$F1640,"3 Posting Date",Z$9)+NL("Sum","5802 Value Entry","17 Sales Amount (Actual)","41 Source Type",$C$5,"5 Source no.",$C1640,"4 Item Ledger Entry Type",$C$4,"2 Item No.","@@"&amp;$F1640,"3 Posting Date",Z$9)</t>
  </si>
  <si>
    <t>=-NL("Sum","5802 Value Entry","151 Cost Amount (Expected)","41 Source Type",$C$5,"5 Source No.",$C1640,"4 Item Ledger Entry Type",$C$4,"2 Item No.","@@"&amp;$F1640,"3 Posting Date",Z$9)-NL("Sum","5802 Value Entry","43 Cost Amount (Actual)","41 Source Type",$C$5,"5 Source no.",$C1640,"4 Item Ledger Entry Type",$C$4,"2 Item No.","@@"&amp;$F1640,"3 Posting Date",Z$9)</t>
  </si>
  <si>
    <t>=Z1640-AB1640</t>
  </si>
  <si>
    <t>=IF(Z1640&lt;&gt;0,AC1640/Z1640,"")</t>
  </si>
  <si>
    <t>=C1640</t>
  </si>
  <si>
    <t>=NL("Sum","5802 Value Entry","150 Sales Amount (Expected)","41 Source Type",$C$5,"5 Source No.",$C1641,"4 Item Ledger Entry Type",$C$4,"2 Item No.","@@"&amp;$F1641,"3 Posting Date",J$9)+NL("Sum","5802 Value Entry","17 Sales Amount (Actual)","41 Source Type",$C$5,"5 Source no.",$C1641,"4 Item Ledger Entry Type",$C$4,"2 Item No.","@@"&amp;$F1641,"3 Posting Date",J$9)</t>
  </si>
  <si>
    <t>=-NL("Sum","5802 Value Entry","151 Cost Amount (Expected)","41 Source Type",$C$5,"5 Source No.",$C1641,"4 Item Ledger Entry Type",$C$4,"2 Item No.","@@"&amp;$F1641,"3 Posting Date",J$9)-NL("Sum","5802 Value Entry","43 Cost Amount (Actual)","41 Source Type",$C$5,"5 Source no.",$C1641,"4 Item Ledger Entry Type",$C$4,"2 Item No.","@@"&amp;$F1641,"3 Posting Date",J$9)</t>
  </si>
  <si>
    <t>=J1641-L1641</t>
  </si>
  <si>
    <t>=IF(J1641&lt;&gt;0,M1641/J1641,"")</t>
  </si>
  <si>
    <t>=NL("Sum","5802 Value Entry","150 Sales Amount (Expected)","41 Source Type",$C$5,"5 Source No.",$C1641,"4 Item Ledger Entry Type",$C$4,"2 Item No.","@@"&amp;$F1641,"3 Posting Date",O$9)+NL("Sum","5802 Value Entry","17 Sales Amount (Actual)","41 Source Type",$C$5,"5 Source no.",$C1641,"4 Item Ledger Entry Type",$C$4,"2 Item No.","@@"&amp;$F1641,"3 Posting Date",O$9)</t>
  </si>
  <si>
    <t>=-NL("Sum","5802 Value Entry","151 Cost Amount (Expected)","41 Source Type",$C$5,"5 Source No.",$C1641,"4 Item Ledger Entry Type",$C$4,"2 Item No.","@@"&amp;$F1641,"3 Posting Date",O$9)-NL("Sum","5802 Value Entry","43 Cost Amount (Actual)","41 Source Type",$C$5,"5 Source no.",$C1641,"4 Item Ledger Entry Type",$C$4,"2 Item No.","@@"&amp;$F1641,"3 Posting Date",O$9)</t>
  </si>
  <si>
    <t>=O1641-Q1641</t>
  </si>
  <si>
    <t>=IF(O1641&lt;&gt;0,R1641/O1641,"")</t>
  </si>
  <si>
    <t>=NL("Sum","5802 Value Entry","150 Sales Amount (Expected)","41 Source Type",$C$5,"5 Source No.",$C1641,"4 Item Ledger Entry Type",$C$4,"2 Item No.","@@"&amp;$F1641,"3 Posting Date",U$9)+NL("Sum","5802 Value Entry","17 Sales Amount (Actual)","41 Source Type",$C$5,"5 Source no.",$C1641,"4 Item Ledger Entry Type",$C$4,"2 Item No.","@@"&amp;$F1641,"3 Posting Date",U$9)</t>
  </si>
  <si>
    <t>=-NL("Sum","5802 Value Entry","151 Cost Amount (Expected)","41 Source Type",$C$5,"5 Source No.",$C1641,"4 Item Ledger Entry Type",$C$4,"2 Item No.","@@"&amp;$F1641,"3 Posting Date",U$9)-NL("Sum","5802 Value Entry","43 Cost Amount (Actual)","41 Source Type",$C$5,"5 Source no.",$C1641,"4 Item Ledger Entry Type",$C$4,"2 Item No.","@@"&amp;$F1641,"3 Posting Date",U$9)</t>
  </si>
  <si>
    <t>=U1641-W1641</t>
  </si>
  <si>
    <t>=IF(U1641&lt;&gt;0,X1641/U1641,"")</t>
  </si>
  <si>
    <t>=NL("Sum","5802 Value Entry","150 Sales Amount (Expected)","41 Source Type",$C$5,"5 Source No.",$C1641,"4 Item Ledger Entry Type",$C$4,"2 Item No.","@@"&amp;$F1641,"3 Posting Date",Z$9)+NL("Sum","5802 Value Entry","17 Sales Amount (Actual)","41 Source Type",$C$5,"5 Source no.",$C1641,"4 Item Ledger Entry Type",$C$4,"2 Item No.","@@"&amp;$F1641,"3 Posting Date",Z$9)</t>
  </si>
  <si>
    <t>=-NL("Sum","5802 Value Entry","151 Cost Amount (Expected)","41 Source Type",$C$5,"5 Source No.",$C1641,"4 Item Ledger Entry Type",$C$4,"2 Item No.","@@"&amp;$F1641,"3 Posting Date",Z$9)-NL("Sum","5802 Value Entry","43 Cost Amount (Actual)","41 Source Type",$C$5,"5 Source no.",$C1641,"4 Item Ledger Entry Type",$C$4,"2 Item No.","@@"&amp;$F1641,"3 Posting Date",Z$9)</t>
  </si>
  <si>
    <t>=Z1641-AB1641</t>
  </si>
  <si>
    <t>=IF(Z1641&lt;&gt;0,AC1641/Z1641,"")</t>
  </si>
  <si>
    <t>=C1641</t>
  </si>
  <si>
    <t>=NL("Sum","5802 Value Entry","150 Sales Amount (Expected)","41 Source Type",$C$5,"5 Source No.",$C1642,"4 Item Ledger Entry Type",$C$4,"2 Item No.","@@"&amp;$F1642,"3 Posting Date",J$9)+NL("Sum","5802 Value Entry","17 Sales Amount (Actual)","41 Source Type",$C$5,"5 Source no.",$C1642,"4 Item Ledger Entry Type",$C$4,"2 Item No.","@@"&amp;$F1642,"3 Posting Date",J$9)</t>
  </si>
  <si>
    <t>=-NL("Sum","5802 Value Entry","151 Cost Amount (Expected)","41 Source Type",$C$5,"5 Source No.",$C1642,"4 Item Ledger Entry Type",$C$4,"2 Item No.","@@"&amp;$F1642,"3 Posting Date",J$9)-NL("Sum","5802 Value Entry","43 Cost Amount (Actual)","41 Source Type",$C$5,"5 Source no.",$C1642,"4 Item Ledger Entry Type",$C$4,"2 Item No.","@@"&amp;$F1642,"3 Posting Date",J$9)</t>
  </si>
  <si>
    <t>=J1642-L1642</t>
  </si>
  <si>
    <t>=IF(J1642&lt;&gt;0,M1642/J1642,"")</t>
  </si>
  <si>
    <t>=NL("Sum","5802 Value Entry","150 Sales Amount (Expected)","41 Source Type",$C$5,"5 Source No.",$C1642,"4 Item Ledger Entry Type",$C$4,"2 Item No.","@@"&amp;$F1642,"3 Posting Date",O$9)+NL("Sum","5802 Value Entry","17 Sales Amount (Actual)","41 Source Type",$C$5,"5 Source no.",$C1642,"4 Item Ledger Entry Type",$C$4,"2 Item No.","@@"&amp;$F1642,"3 Posting Date",O$9)</t>
  </si>
  <si>
    <t>=-NL("Sum","5802 Value Entry","151 Cost Amount (Expected)","41 Source Type",$C$5,"5 Source No.",$C1642,"4 Item Ledger Entry Type",$C$4,"2 Item No.","@@"&amp;$F1642,"3 Posting Date",O$9)-NL("Sum","5802 Value Entry","43 Cost Amount (Actual)","41 Source Type",$C$5,"5 Source no.",$C1642,"4 Item Ledger Entry Type",$C$4,"2 Item No.","@@"&amp;$F1642,"3 Posting Date",O$9)</t>
  </si>
  <si>
    <t>=O1642-Q1642</t>
  </si>
  <si>
    <t>=IF(O1642&lt;&gt;0,R1642/O1642,"")</t>
  </si>
  <si>
    <t>=NL("Sum","5802 Value Entry","150 Sales Amount (Expected)","41 Source Type",$C$5,"5 Source No.",$C1642,"4 Item Ledger Entry Type",$C$4,"2 Item No.","@@"&amp;$F1642,"3 Posting Date",U$9)+NL("Sum","5802 Value Entry","17 Sales Amount (Actual)","41 Source Type",$C$5,"5 Source no.",$C1642,"4 Item Ledger Entry Type",$C$4,"2 Item No.","@@"&amp;$F1642,"3 Posting Date",U$9)</t>
  </si>
  <si>
    <t>=-NL("Sum","5802 Value Entry","151 Cost Amount (Expected)","41 Source Type",$C$5,"5 Source No.",$C1642,"4 Item Ledger Entry Type",$C$4,"2 Item No.","@@"&amp;$F1642,"3 Posting Date",U$9)-NL("Sum","5802 Value Entry","43 Cost Amount (Actual)","41 Source Type",$C$5,"5 Source no.",$C1642,"4 Item Ledger Entry Type",$C$4,"2 Item No.","@@"&amp;$F1642,"3 Posting Date",U$9)</t>
  </si>
  <si>
    <t>=U1642-W1642</t>
  </si>
  <si>
    <t>=IF(U1642&lt;&gt;0,X1642/U1642,"")</t>
  </si>
  <si>
    <t>=NL("Sum","5802 Value Entry","150 Sales Amount (Expected)","41 Source Type",$C$5,"5 Source No.",$C1642,"4 Item Ledger Entry Type",$C$4,"2 Item No.","@@"&amp;$F1642,"3 Posting Date",Z$9)+NL("Sum","5802 Value Entry","17 Sales Amount (Actual)","41 Source Type",$C$5,"5 Source no.",$C1642,"4 Item Ledger Entry Type",$C$4,"2 Item No.","@@"&amp;$F1642,"3 Posting Date",Z$9)</t>
  </si>
  <si>
    <t>=-NL("Sum","5802 Value Entry","151 Cost Amount (Expected)","41 Source Type",$C$5,"5 Source No.",$C1642,"4 Item Ledger Entry Type",$C$4,"2 Item No.","@@"&amp;$F1642,"3 Posting Date",Z$9)-NL("Sum","5802 Value Entry","43 Cost Amount (Actual)","41 Source Type",$C$5,"5 Source no.",$C1642,"4 Item Ledger Entry Type",$C$4,"2 Item No.","@@"&amp;$F1642,"3 Posting Date",Z$9)</t>
  </si>
  <si>
    <t>=Z1642-AB1642</t>
  </si>
  <si>
    <t>=IF(Z1642&lt;&gt;0,AC1642/Z1642,"")</t>
  </si>
  <si>
    <t>=C1642</t>
  </si>
  <si>
    <t>=NL("Sum","5802 Value Entry","150 Sales Amount (Expected)","41 Source Type",$C$5,"5 Source No.",$C1643,"4 Item Ledger Entry Type",$C$4,"2 Item No.","@@"&amp;$F1643,"3 Posting Date",J$9)+NL("Sum","5802 Value Entry","17 Sales Amount (Actual)","41 Source Type",$C$5,"5 Source no.",$C1643,"4 Item Ledger Entry Type",$C$4,"2 Item No.","@@"&amp;$F1643,"3 Posting Date",J$9)</t>
  </si>
  <si>
    <t>=-NL("Sum","5802 Value Entry","151 Cost Amount (Expected)","41 Source Type",$C$5,"5 Source No.",$C1643,"4 Item Ledger Entry Type",$C$4,"2 Item No.","@@"&amp;$F1643,"3 Posting Date",J$9)-NL("Sum","5802 Value Entry","43 Cost Amount (Actual)","41 Source Type",$C$5,"5 Source no.",$C1643,"4 Item Ledger Entry Type",$C$4,"2 Item No.","@@"&amp;$F1643,"3 Posting Date",J$9)</t>
  </si>
  <si>
    <t>=J1643-L1643</t>
  </si>
  <si>
    <t>=IF(J1643&lt;&gt;0,M1643/J1643,"")</t>
  </si>
  <si>
    <t>=NL("Sum","5802 Value Entry","150 Sales Amount (Expected)","41 Source Type",$C$5,"5 Source No.",$C1643,"4 Item Ledger Entry Type",$C$4,"2 Item No.","@@"&amp;$F1643,"3 Posting Date",O$9)+NL("Sum","5802 Value Entry","17 Sales Amount (Actual)","41 Source Type",$C$5,"5 Source no.",$C1643,"4 Item Ledger Entry Type",$C$4,"2 Item No.","@@"&amp;$F1643,"3 Posting Date",O$9)</t>
  </si>
  <si>
    <t>=-NL("Sum","5802 Value Entry","151 Cost Amount (Expected)","41 Source Type",$C$5,"5 Source No.",$C1643,"4 Item Ledger Entry Type",$C$4,"2 Item No.","@@"&amp;$F1643,"3 Posting Date",O$9)-NL("Sum","5802 Value Entry","43 Cost Amount (Actual)","41 Source Type",$C$5,"5 Source no.",$C1643,"4 Item Ledger Entry Type",$C$4,"2 Item No.","@@"&amp;$F1643,"3 Posting Date",O$9)</t>
  </si>
  <si>
    <t>=O1643-Q1643</t>
  </si>
  <si>
    <t>=IF(O1643&lt;&gt;0,R1643/O1643,"")</t>
  </si>
  <si>
    <t>=NL("Sum","5802 Value Entry","150 Sales Amount (Expected)","41 Source Type",$C$5,"5 Source No.",$C1643,"4 Item Ledger Entry Type",$C$4,"2 Item No.","@@"&amp;$F1643,"3 Posting Date",U$9)+NL("Sum","5802 Value Entry","17 Sales Amount (Actual)","41 Source Type",$C$5,"5 Source no.",$C1643,"4 Item Ledger Entry Type",$C$4,"2 Item No.","@@"&amp;$F1643,"3 Posting Date",U$9)</t>
  </si>
  <si>
    <t>=-NL("Sum","5802 Value Entry","151 Cost Amount (Expected)","41 Source Type",$C$5,"5 Source No.",$C1643,"4 Item Ledger Entry Type",$C$4,"2 Item No.","@@"&amp;$F1643,"3 Posting Date",U$9)-NL("Sum","5802 Value Entry","43 Cost Amount (Actual)","41 Source Type",$C$5,"5 Source no.",$C1643,"4 Item Ledger Entry Type",$C$4,"2 Item No.","@@"&amp;$F1643,"3 Posting Date",U$9)</t>
  </si>
  <si>
    <t>=U1643-W1643</t>
  </si>
  <si>
    <t>=IF(U1643&lt;&gt;0,X1643/U1643,"")</t>
  </si>
  <si>
    <t>=NL("Sum","5802 Value Entry","150 Sales Amount (Expected)","41 Source Type",$C$5,"5 Source No.",$C1643,"4 Item Ledger Entry Type",$C$4,"2 Item No.","@@"&amp;$F1643,"3 Posting Date",Z$9)+NL("Sum","5802 Value Entry","17 Sales Amount (Actual)","41 Source Type",$C$5,"5 Source no.",$C1643,"4 Item Ledger Entry Type",$C$4,"2 Item No.","@@"&amp;$F1643,"3 Posting Date",Z$9)</t>
  </si>
  <si>
    <t>=-NL("Sum","5802 Value Entry","151 Cost Amount (Expected)","41 Source Type",$C$5,"5 Source No.",$C1643,"4 Item Ledger Entry Type",$C$4,"2 Item No.","@@"&amp;$F1643,"3 Posting Date",Z$9)-NL("Sum","5802 Value Entry","43 Cost Amount (Actual)","41 Source Type",$C$5,"5 Source no.",$C1643,"4 Item Ledger Entry Type",$C$4,"2 Item No.","@@"&amp;$F1643,"3 Posting Date",Z$9)</t>
  </si>
  <si>
    <t>=Z1643-AB1643</t>
  </si>
  <si>
    <t>=IF(Z1643&lt;&gt;0,AC1643/Z1643,"")</t>
  </si>
  <si>
    <t>=C1643</t>
  </si>
  <si>
    <t>=NL("Sum","5802 Value Entry","150 Sales Amount (Expected)","41 Source Type",$C$5,"5 Source No.",$C1644,"4 Item Ledger Entry Type",$C$4,"2 Item No.","@@"&amp;$F1644,"3 Posting Date",J$9)+NL("Sum","5802 Value Entry","17 Sales Amount (Actual)","41 Source Type",$C$5,"5 Source no.",$C1644,"4 Item Ledger Entry Type",$C$4,"2 Item No.","@@"&amp;$F1644,"3 Posting Date",J$9)</t>
  </si>
  <si>
    <t>=-NL("Sum","5802 Value Entry","151 Cost Amount (Expected)","41 Source Type",$C$5,"5 Source No.",$C1644,"4 Item Ledger Entry Type",$C$4,"2 Item No.","@@"&amp;$F1644,"3 Posting Date",J$9)-NL("Sum","5802 Value Entry","43 Cost Amount (Actual)","41 Source Type",$C$5,"5 Source no.",$C1644,"4 Item Ledger Entry Type",$C$4,"2 Item No.","@@"&amp;$F1644,"3 Posting Date",J$9)</t>
  </si>
  <si>
    <t>=J1644-L1644</t>
  </si>
  <si>
    <t>=IF(J1644&lt;&gt;0,M1644/J1644,"")</t>
  </si>
  <si>
    <t>=NL("Sum","5802 Value Entry","150 Sales Amount (Expected)","41 Source Type",$C$5,"5 Source No.",$C1644,"4 Item Ledger Entry Type",$C$4,"2 Item No.","@@"&amp;$F1644,"3 Posting Date",O$9)+NL("Sum","5802 Value Entry","17 Sales Amount (Actual)","41 Source Type",$C$5,"5 Source no.",$C1644,"4 Item Ledger Entry Type",$C$4,"2 Item No.","@@"&amp;$F1644,"3 Posting Date",O$9)</t>
  </si>
  <si>
    <t>=-NL("Sum","5802 Value Entry","151 Cost Amount (Expected)","41 Source Type",$C$5,"5 Source No.",$C1644,"4 Item Ledger Entry Type",$C$4,"2 Item No.","@@"&amp;$F1644,"3 Posting Date",O$9)-NL("Sum","5802 Value Entry","43 Cost Amount (Actual)","41 Source Type",$C$5,"5 Source no.",$C1644,"4 Item Ledger Entry Type",$C$4,"2 Item No.","@@"&amp;$F1644,"3 Posting Date",O$9)</t>
  </si>
  <si>
    <t>=O1644-Q1644</t>
  </si>
  <si>
    <t>=IF(O1644&lt;&gt;0,R1644/O1644,"")</t>
  </si>
  <si>
    <t>=NL("Sum","5802 Value Entry","150 Sales Amount (Expected)","41 Source Type",$C$5,"5 Source No.",$C1644,"4 Item Ledger Entry Type",$C$4,"2 Item No.","@@"&amp;$F1644,"3 Posting Date",U$9)+NL("Sum","5802 Value Entry","17 Sales Amount (Actual)","41 Source Type",$C$5,"5 Source no.",$C1644,"4 Item Ledger Entry Type",$C$4,"2 Item No.","@@"&amp;$F1644,"3 Posting Date",U$9)</t>
  </si>
  <si>
    <t>=-NL("Sum","5802 Value Entry","151 Cost Amount (Expected)","41 Source Type",$C$5,"5 Source No.",$C1644,"4 Item Ledger Entry Type",$C$4,"2 Item No.","@@"&amp;$F1644,"3 Posting Date",U$9)-NL("Sum","5802 Value Entry","43 Cost Amount (Actual)","41 Source Type",$C$5,"5 Source no.",$C1644,"4 Item Ledger Entry Type",$C$4,"2 Item No.","@@"&amp;$F1644,"3 Posting Date",U$9)</t>
  </si>
  <si>
    <t>=U1644-W1644</t>
  </si>
  <si>
    <t>=IF(U1644&lt;&gt;0,X1644/U1644,"")</t>
  </si>
  <si>
    <t>=NL("Sum","5802 Value Entry","150 Sales Amount (Expected)","41 Source Type",$C$5,"5 Source No.",$C1644,"4 Item Ledger Entry Type",$C$4,"2 Item No.","@@"&amp;$F1644,"3 Posting Date",Z$9)+NL("Sum","5802 Value Entry","17 Sales Amount (Actual)","41 Source Type",$C$5,"5 Source no.",$C1644,"4 Item Ledger Entry Type",$C$4,"2 Item No.","@@"&amp;$F1644,"3 Posting Date",Z$9)</t>
  </si>
  <si>
    <t>=-NL("Sum","5802 Value Entry","151 Cost Amount (Expected)","41 Source Type",$C$5,"5 Source No.",$C1644,"4 Item Ledger Entry Type",$C$4,"2 Item No.","@@"&amp;$F1644,"3 Posting Date",Z$9)-NL("Sum","5802 Value Entry","43 Cost Amount (Actual)","41 Source Type",$C$5,"5 Source no.",$C1644,"4 Item Ledger Entry Type",$C$4,"2 Item No.","@@"&amp;$F1644,"3 Posting Date",Z$9)</t>
  </si>
  <si>
    <t>=Z1644-AB1644</t>
  </si>
  <si>
    <t>=IF(Z1644&lt;&gt;0,AC1644/Z1644,"")</t>
  </si>
  <si>
    <t>=C1644</t>
  </si>
  <si>
    <t>=NL("Sum","5802 Value Entry","150 Sales Amount (Expected)","41 Source Type",$C$5,"5 Source No.",$C1645,"4 Item Ledger Entry Type",$C$4,"2 Item No.","@@"&amp;$F1645,"3 Posting Date",J$9)+NL("Sum","5802 Value Entry","17 Sales Amount (Actual)","41 Source Type",$C$5,"5 Source no.",$C1645,"4 Item Ledger Entry Type",$C$4,"2 Item No.","@@"&amp;$F1645,"3 Posting Date",J$9)</t>
  </si>
  <si>
    <t>=-NL("Sum","5802 Value Entry","151 Cost Amount (Expected)","41 Source Type",$C$5,"5 Source No.",$C1645,"4 Item Ledger Entry Type",$C$4,"2 Item No.","@@"&amp;$F1645,"3 Posting Date",J$9)-NL("Sum","5802 Value Entry","43 Cost Amount (Actual)","41 Source Type",$C$5,"5 Source no.",$C1645,"4 Item Ledger Entry Type",$C$4,"2 Item No.","@@"&amp;$F1645,"3 Posting Date",J$9)</t>
  </si>
  <si>
    <t>=J1645-L1645</t>
  </si>
  <si>
    <t>=IF(J1645&lt;&gt;0,M1645/J1645,"")</t>
  </si>
  <si>
    <t>=NL("Sum","5802 Value Entry","150 Sales Amount (Expected)","41 Source Type",$C$5,"5 Source No.",$C1645,"4 Item Ledger Entry Type",$C$4,"2 Item No.","@@"&amp;$F1645,"3 Posting Date",O$9)+NL("Sum","5802 Value Entry","17 Sales Amount (Actual)","41 Source Type",$C$5,"5 Source no.",$C1645,"4 Item Ledger Entry Type",$C$4,"2 Item No.","@@"&amp;$F1645,"3 Posting Date",O$9)</t>
  </si>
  <si>
    <t>=-NL("Sum","5802 Value Entry","151 Cost Amount (Expected)","41 Source Type",$C$5,"5 Source No.",$C1645,"4 Item Ledger Entry Type",$C$4,"2 Item No.","@@"&amp;$F1645,"3 Posting Date",O$9)-NL("Sum","5802 Value Entry","43 Cost Amount (Actual)","41 Source Type",$C$5,"5 Source no.",$C1645,"4 Item Ledger Entry Type",$C$4,"2 Item No.","@@"&amp;$F1645,"3 Posting Date",O$9)</t>
  </si>
  <si>
    <t>=O1645-Q1645</t>
  </si>
  <si>
    <t>=IF(O1645&lt;&gt;0,R1645/O1645,"")</t>
  </si>
  <si>
    <t>=NL("Sum","5802 Value Entry","150 Sales Amount (Expected)","41 Source Type",$C$5,"5 Source No.",$C1645,"4 Item Ledger Entry Type",$C$4,"2 Item No.","@@"&amp;$F1645,"3 Posting Date",U$9)+NL("Sum","5802 Value Entry","17 Sales Amount (Actual)","41 Source Type",$C$5,"5 Source no.",$C1645,"4 Item Ledger Entry Type",$C$4,"2 Item No.","@@"&amp;$F1645,"3 Posting Date",U$9)</t>
  </si>
  <si>
    <t>=-NL("Sum","5802 Value Entry","151 Cost Amount (Expected)","41 Source Type",$C$5,"5 Source No.",$C1645,"4 Item Ledger Entry Type",$C$4,"2 Item No.","@@"&amp;$F1645,"3 Posting Date",U$9)-NL("Sum","5802 Value Entry","43 Cost Amount (Actual)","41 Source Type",$C$5,"5 Source no.",$C1645,"4 Item Ledger Entry Type",$C$4,"2 Item No.","@@"&amp;$F1645,"3 Posting Date",U$9)</t>
  </si>
  <si>
    <t>=U1645-W1645</t>
  </si>
  <si>
    <t>=IF(U1645&lt;&gt;0,X1645/U1645,"")</t>
  </si>
  <si>
    <t>=NL("Sum","5802 Value Entry","150 Sales Amount (Expected)","41 Source Type",$C$5,"5 Source No.",$C1645,"4 Item Ledger Entry Type",$C$4,"2 Item No.","@@"&amp;$F1645,"3 Posting Date",Z$9)+NL("Sum","5802 Value Entry","17 Sales Amount (Actual)","41 Source Type",$C$5,"5 Source no.",$C1645,"4 Item Ledger Entry Type",$C$4,"2 Item No.","@@"&amp;$F1645,"3 Posting Date",Z$9)</t>
  </si>
  <si>
    <t>=-NL("Sum","5802 Value Entry","151 Cost Amount (Expected)","41 Source Type",$C$5,"5 Source No.",$C1645,"4 Item Ledger Entry Type",$C$4,"2 Item No.","@@"&amp;$F1645,"3 Posting Date",Z$9)-NL("Sum","5802 Value Entry","43 Cost Amount (Actual)","41 Source Type",$C$5,"5 Source no.",$C1645,"4 Item Ledger Entry Type",$C$4,"2 Item No.","@@"&amp;$F1645,"3 Posting Date",Z$9)</t>
  </si>
  <si>
    <t>=Z1645-AB1645</t>
  </si>
  <si>
    <t>=IF(Z1645&lt;&gt;0,AC1645/Z1645,"")</t>
  </si>
  <si>
    <t>=C1645</t>
  </si>
  <si>
    <t>=NL("Sum","5802 Value Entry","150 Sales Amount (Expected)","41 Source Type",$C$5,"5 Source No.",$C1646,"4 Item Ledger Entry Type",$C$4,"2 Item No.","@@"&amp;$F1646,"3 Posting Date",J$9)+NL("Sum","5802 Value Entry","17 Sales Amount (Actual)","41 Source Type",$C$5,"5 Source no.",$C1646,"4 Item Ledger Entry Type",$C$4,"2 Item No.","@@"&amp;$F1646,"3 Posting Date",J$9)</t>
  </si>
  <si>
    <t>=-NL("Sum","5802 Value Entry","151 Cost Amount (Expected)","41 Source Type",$C$5,"5 Source No.",$C1646,"4 Item Ledger Entry Type",$C$4,"2 Item No.","@@"&amp;$F1646,"3 Posting Date",J$9)-NL("Sum","5802 Value Entry","43 Cost Amount (Actual)","41 Source Type",$C$5,"5 Source no.",$C1646,"4 Item Ledger Entry Type",$C$4,"2 Item No.","@@"&amp;$F1646,"3 Posting Date",J$9)</t>
  </si>
  <si>
    <t>=J1646-L1646</t>
  </si>
  <si>
    <t>=IF(J1646&lt;&gt;0,M1646/J1646,"")</t>
  </si>
  <si>
    <t>=NL("Sum","5802 Value Entry","150 Sales Amount (Expected)","41 Source Type",$C$5,"5 Source No.",$C1646,"4 Item Ledger Entry Type",$C$4,"2 Item No.","@@"&amp;$F1646,"3 Posting Date",O$9)+NL("Sum","5802 Value Entry","17 Sales Amount (Actual)","41 Source Type",$C$5,"5 Source no.",$C1646,"4 Item Ledger Entry Type",$C$4,"2 Item No.","@@"&amp;$F1646,"3 Posting Date",O$9)</t>
  </si>
  <si>
    <t>=-NL("Sum","5802 Value Entry","151 Cost Amount (Expected)","41 Source Type",$C$5,"5 Source No.",$C1646,"4 Item Ledger Entry Type",$C$4,"2 Item No.","@@"&amp;$F1646,"3 Posting Date",O$9)-NL("Sum","5802 Value Entry","43 Cost Amount (Actual)","41 Source Type",$C$5,"5 Source no.",$C1646,"4 Item Ledger Entry Type",$C$4,"2 Item No.","@@"&amp;$F1646,"3 Posting Date",O$9)</t>
  </si>
  <si>
    <t>=O1646-Q1646</t>
  </si>
  <si>
    <t>=IF(O1646&lt;&gt;0,R1646/O1646,"")</t>
  </si>
  <si>
    <t>=NL("Sum","5802 Value Entry","150 Sales Amount (Expected)","41 Source Type",$C$5,"5 Source No.",$C1646,"4 Item Ledger Entry Type",$C$4,"2 Item No.","@@"&amp;$F1646,"3 Posting Date",U$9)+NL("Sum","5802 Value Entry","17 Sales Amount (Actual)","41 Source Type",$C$5,"5 Source no.",$C1646,"4 Item Ledger Entry Type",$C$4,"2 Item No.","@@"&amp;$F1646,"3 Posting Date",U$9)</t>
  </si>
  <si>
    <t>=-NL("Sum","5802 Value Entry","151 Cost Amount (Expected)","41 Source Type",$C$5,"5 Source No.",$C1646,"4 Item Ledger Entry Type",$C$4,"2 Item No.","@@"&amp;$F1646,"3 Posting Date",U$9)-NL("Sum","5802 Value Entry","43 Cost Amount (Actual)","41 Source Type",$C$5,"5 Source no.",$C1646,"4 Item Ledger Entry Type",$C$4,"2 Item No.","@@"&amp;$F1646,"3 Posting Date",U$9)</t>
  </si>
  <si>
    <t>=U1646-W1646</t>
  </si>
  <si>
    <t>=IF(U1646&lt;&gt;0,X1646/U1646,"")</t>
  </si>
  <si>
    <t>=NL("Sum","5802 Value Entry","150 Sales Amount (Expected)","41 Source Type",$C$5,"5 Source No.",$C1646,"4 Item Ledger Entry Type",$C$4,"2 Item No.","@@"&amp;$F1646,"3 Posting Date",Z$9)+NL("Sum","5802 Value Entry","17 Sales Amount (Actual)","41 Source Type",$C$5,"5 Source no.",$C1646,"4 Item Ledger Entry Type",$C$4,"2 Item No.","@@"&amp;$F1646,"3 Posting Date",Z$9)</t>
  </si>
  <si>
    <t>=-NL("Sum","5802 Value Entry","151 Cost Amount (Expected)","41 Source Type",$C$5,"5 Source No.",$C1646,"4 Item Ledger Entry Type",$C$4,"2 Item No.","@@"&amp;$F1646,"3 Posting Date",Z$9)-NL("Sum","5802 Value Entry","43 Cost Amount (Actual)","41 Source Type",$C$5,"5 Source no.",$C1646,"4 Item Ledger Entry Type",$C$4,"2 Item No.","@@"&amp;$F1646,"3 Posting Date",Z$9)</t>
  </si>
  <si>
    <t>=Z1646-AB1646</t>
  </si>
  <si>
    <t>=IF(Z1646&lt;&gt;0,AC1646/Z1646,"")</t>
  </si>
  <si>
    <t>=C1646</t>
  </si>
  <si>
    <t>=NL("Sum","5802 Value Entry","150 Sales Amount (Expected)","41 Source Type",$C$5,"5 Source No.",$C1647,"4 Item Ledger Entry Type",$C$4,"2 Item No.","@@"&amp;$F1647,"3 Posting Date",J$9)+NL("Sum","5802 Value Entry","17 Sales Amount (Actual)","41 Source Type",$C$5,"5 Source no.",$C1647,"4 Item Ledger Entry Type",$C$4,"2 Item No.","@@"&amp;$F1647,"3 Posting Date",J$9)</t>
  </si>
  <si>
    <t>=-NL("Sum","5802 Value Entry","151 Cost Amount (Expected)","41 Source Type",$C$5,"5 Source No.",$C1647,"4 Item Ledger Entry Type",$C$4,"2 Item No.","@@"&amp;$F1647,"3 Posting Date",J$9)-NL("Sum","5802 Value Entry","43 Cost Amount (Actual)","41 Source Type",$C$5,"5 Source no.",$C1647,"4 Item Ledger Entry Type",$C$4,"2 Item No.","@@"&amp;$F1647,"3 Posting Date",J$9)</t>
  </si>
  <si>
    <t>=J1647-L1647</t>
  </si>
  <si>
    <t>=IF(J1647&lt;&gt;0,M1647/J1647,"")</t>
  </si>
  <si>
    <t>=NL("Sum","5802 Value Entry","150 Sales Amount (Expected)","41 Source Type",$C$5,"5 Source No.",$C1647,"4 Item Ledger Entry Type",$C$4,"2 Item No.","@@"&amp;$F1647,"3 Posting Date",O$9)+NL("Sum","5802 Value Entry","17 Sales Amount (Actual)","41 Source Type",$C$5,"5 Source no.",$C1647,"4 Item Ledger Entry Type",$C$4,"2 Item No.","@@"&amp;$F1647,"3 Posting Date",O$9)</t>
  </si>
  <si>
    <t>=-NL("Sum","5802 Value Entry","151 Cost Amount (Expected)","41 Source Type",$C$5,"5 Source No.",$C1647,"4 Item Ledger Entry Type",$C$4,"2 Item No.","@@"&amp;$F1647,"3 Posting Date",O$9)-NL("Sum","5802 Value Entry","43 Cost Amount (Actual)","41 Source Type",$C$5,"5 Source no.",$C1647,"4 Item Ledger Entry Type",$C$4,"2 Item No.","@@"&amp;$F1647,"3 Posting Date",O$9)</t>
  </si>
  <si>
    <t>=O1647-Q1647</t>
  </si>
  <si>
    <t>=IF(O1647&lt;&gt;0,R1647/O1647,"")</t>
  </si>
  <si>
    <t>=NL("Sum","5802 Value Entry","150 Sales Amount (Expected)","41 Source Type",$C$5,"5 Source No.",$C1647,"4 Item Ledger Entry Type",$C$4,"2 Item No.","@@"&amp;$F1647,"3 Posting Date",U$9)+NL("Sum","5802 Value Entry","17 Sales Amount (Actual)","41 Source Type",$C$5,"5 Source no.",$C1647,"4 Item Ledger Entry Type",$C$4,"2 Item No.","@@"&amp;$F1647,"3 Posting Date",U$9)</t>
  </si>
  <si>
    <t>=-NL("Sum","5802 Value Entry","151 Cost Amount (Expected)","41 Source Type",$C$5,"5 Source No.",$C1647,"4 Item Ledger Entry Type",$C$4,"2 Item No.","@@"&amp;$F1647,"3 Posting Date",U$9)-NL("Sum","5802 Value Entry","43 Cost Amount (Actual)","41 Source Type",$C$5,"5 Source no.",$C1647,"4 Item Ledger Entry Type",$C$4,"2 Item No.","@@"&amp;$F1647,"3 Posting Date",U$9)</t>
  </si>
  <si>
    <t>=U1647-W1647</t>
  </si>
  <si>
    <t>=IF(U1647&lt;&gt;0,X1647/U1647,"")</t>
  </si>
  <si>
    <t>=NL("Sum","5802 Value Entry","150 Sales Amount (Expected)","41 Source Type",$C$5,"5 Source No.",$C1647,"4 Item Ledger Entry Type",$C$4,"2 Item No.","@@"&amp;$F1647,"3 Posting Date",Z$9)+NL("Sum","5802 Value Entry","17 Sales Amount (Actual)","41 Source Type",$C$5,"5 Source no.",$C1647,"4 Item Ledger Entry Type",$C$4,"2 Item No.","@@"&amp;$F1647,"3 Posting Date",Z$9)</t>
  </si>
  <si>
    <t>=-NL("Sum","5802 Value Entry","151 Cost Amount (Expected)","41 Source Type",$C$5,"5 Source No.",$C1647,"4 Item Ledger Entry Type",$C$4,"2 Item No.","@@"&amp;$F1647,"3 Posting Date",Z$9)-NL("Sum","5802 Value Entry","43 Cost Amount (Actual)","41 Source Type",$C$5,"5 Source no.",$C1647,"4 Item Ledger Entry Type",$C$4,"2 Item No.","@@"&amp;$F1647,"3 Posting Date",Z$9)</t>
  </si>
  <si>
    <t>=Z1647-AB1647</t>
  </si>
  <si>
    <t>=IF(Z1647&lt;&gt;0,AC1647/Z1647,"")</t>
  </si>
  <si>
    <t>=C1647</t>
  </si>
  <si>
    <t>=NL("Sum","5802 Value Entry","150 Sales Amount (Expected)","41 Source Type",$C$5,"5 Source No.",$C1648,"4 Item Ledger Entry Type",$C$4,"2 Item No.","@@"&amp;$F1648,"3 Posting Date",J$9)+NL("Sum","5802 Value Entry","17 Sales Amount (Actual)","41 Source Type",$C$5,"5 Source no.",$C1648,"4 Item Ledger Entry Type",$C$4,"2 Item No.","@@"&amp;$F1648,"3 Posting Date",J$9)</t>
  </si>
  <si>
    <t>=-NL("Sum","5802 Value Entry","151 Cost Amount (Expected)","41 Source Type",$C$5,"5 Source No.",$C1648,"4 Item Ledger Entry Type",$C$4,"2 Item No.","@@"&amp;$F1648,"3 Posting Date",J$9)-NL("Sum","5802 Value Entry","43 Cost Amount (Actual)","41 Source Type",$C$5,"5 Source no.",$C1648,"4 Item Ledger Entry Type",$C$4,"2 Item No.","@@"&amp;$F1648,"3 Posting Date",J$9)</t>
  </si>
  <si>
    <t>=J1648-L1648</t>
  </si>
  <si>
    <t>=IF(J1648&lt;&gt;0,M1648/J1648,"")</t>
  </si>
  <si>
    <t>=NL("Sum","5802 Value Entry","150 Sales Amount (Expected)","41 Source Type",$C$5,"5 Source No.",$C1648,"4 Item Ledger Entry Type",$C$4,"2 Item No.","@@"&amp;$F1648,"3 Posting Date",O$9)+NL("Sum","5802 Value Entry","17 Sales Amount (Actual)","41 Source Type",$C$5,"5 Source no.",$C1648,"4 Item Ledger Entry Type",$C$4,"2 Item No.","@@"&amp;$F1648,"3 Posting Date",O$9)</t>
  </si>
  <si>
    <t>=-NL("Sum","5802 Value Entry","151 Cost Amount (Expected)","41 Source Type",$C$5,"5 Source No.",$C1648,"4 Item Ledger Entry Type",$C$4,"2 Item No.","@@"&amp;$F1648,"3 Posting Date",O$9)-NL("Sum","5802 Value Entry","43 Cost Amount (Actual)","41 Source Type",$C$5,"5 Source no.",$C1648,"4 Item Ledger Entry Type",$C$4,"2 Item No.","@@"&amp;$F1648,"3 Posting Date",O$9)</t>
  </si>
  <si>
    <t>=O1648-Q1648</t>
  </si>
  <si>
    <t>=IF(O1648&lt;&gt;0,R1648/O1648,"")</t>
  </si>
  <si>
    <t>=NL("Sum","5802 Value Entry","150 Sales Amount (Expected)","41 Source Type",$C$5,"5 Source No.",$C1648,"4 Item Ledger Entry Type",$C$4,"2 Item No.","@@"&amp;$F1648,"3 Posting Date",U$9)+NL("Sum","5802 Value Entry","17 Sales Amount (Actual)","41 Source Type",$C$5,"5 Source no.",$C1648,"4 Item Ledger Entry Type",$C$4,"2 Item No.","@@"&amp;$F1648,"3 Posting Date",U$9)</t>
  </si>
  <si>
    <t>=-NL("Sum","5802 Value Entry","151 Cost Amount (Expected)","41 Source Type",$C$5,"5 Source No.",$C1648,"4 Item Ledger Entry Type",$C$4,"2 Item No.","@@"&amp;$F1648,"3 Posting Date",U$9)-NL("Sum","5802 Value Entry","43 Cost Amount (Actual)","41 Source Type",$C$5,"5 Source no.",$C1648,"4 Item Ledger Entry Type",$C$4,"2 Item No.","@@"&amp;$F1648,"3 Posting Date",U$9)</t>
  </si>
  <si>
    <t>=U1648-W1648</t>
  </si>
  <si>
    <t>=IF(U1648&lt;&gt;0,X1648/U1648,"")</t>
  </si>
  <si>
    <t>=NL("Sum","5802 Value Entry","150 Sales Amount (Expected)","41 Source Type",$C$5,"5 Source No.",$C1648,"4 Item Ledger Entry Type",$C$4,"2 Item No.","@@"&amp;$F1648,"3 Posting Date",Z$9)+NL("Sum","5802 Value Entry","17 Sales Amount (Actual)","41 Source Type",$C$5,"5 Source no.",$C1648,"4 Item Ledger Entry Type",$C$4,"2 Item No.","@@"&amp;$F1648,"3 Posting Date",Z$9)</t>
  </si>
  <si>
    <t>=-NL("Sum","5802 Value Entry","151 Cost Amount (Expected)","41 Source Type",$C$5,"5 Source No.",$C1648,"4 Item Ledger Entry Type",$C$4,"2 Item No.","@@"&amp;$F1648,"3 Posting Date",Z$9)-NL("Sum","5802 Value Entry","43 Cost Amount (Actual)","41 Source Type",$C$5,"5 Source no.",$C1648,"4 Item Ledger Entry Type",$C$4,"2 Item No.","@@"&amp;$F1648,"3 Posting Date",Z$9)</t>
  </si>
  <si>
    <t>=Z1648-AB1648</t>
  </si>
  <si>
    <t>=IF(Z1648&lt;&gt;0,AC1648/Z1648,"")</t>
  </si>
  <si>
    <t>=C1648</t>
  </si>
  <si>
    <t>=NL("Sum","5802 Value Entry","150 Sales Amount (Expected)","41 Source Type",$C$5,"5 Source No.",$C1649,"4 Item Ledger Entry Type",$C$4,"2 Item No.","@@"&amp;$F1649,"3 Posting Date",J$9)+NL("Sum","5802 Value Entry","17 Sales Amount (Actual)","41 Source Type",$C$5,"5 Source no.",$C1649,"4 Item Ledger Entry Type",$C$4,"2 Item No.","@@"&amp;$F1649,"3 Posting Date",J$9)</t>
  </si>
  <si>
    <t>=-NL("Sum","5802 Value Entry","151 Cost Amount (Expected)","41 Source Type",$C$5,"5 Source No.",$C1649,"4 Item Ledger Entry Type",$C$4,"2 Item No.","@@"&amp;$F1649,"3 Posting Date",J$9)-NL("Sum","5802 Value Entry","43 Cost Amount (Actual)","41 Source Type",$C$5,"5 Source no.",$C1649,"4 Item Ledger Entry Type",$C$4,"2 Item No.","@@"&amp;$F1649,"3 Posting Date",J$9)</t>
  </si>
  <si>
    <t>=J1649-L1649</t>
  </si>
  <si>
    <t>=IF(J1649&lt;&gt;0,M1649/J1649,"")</t>
  </si>
  <si>
    <t>=NL("Sum","5802 Value Entry","150 Sales Amount (Expected)","41 Source Type",$C$5,"5 Source No.",$C1649,"4 Item Ledger Entry Type",$C$4,"2 Item No.","@@"&amp;$F1649,"3 Posting Date",O$9)+NL("Sum","5802 Value Entry","17 Sales Amount (Actual)","41 Source Type",$C$5,"5 Source no.",$C1649,"4 Item Ledger Entry Type",$C$4,"2 Item No.","@@"&amp;$F1649,"3 Posting Date",O$9)</t>
  </si>
  <si>
    <t>=-NL("Sum","5802 Value Entry","151 Cost Amount (Expected)","41 Source Type",$C$5,"5 Source No.",$C1649,"4 Item Ledger Entry Type",$C$4,"2 Item No.","@@"&amp;$F1649,"3 Posting Date",O$9)-NL("Sum","5802 Value Entry","43 Cost Amount (Actual)","41 Source Type",$C$5,"5 Source no.",$C1649,"4 Item Ledger Entry Type",$C$4,"2 Item No.","@@"&amp;$F1649,"3 Posting Date",O$9)</t>
  </si>
  <si>
    <t>=O1649-Q1649</t>
  </si>
  <si>
    <t>=IF(O1649&lt;&gt;0,R1649/O1649,"")</t>
  </si>
  <si>
    <t>=NL("Sum","5802 Value Entry","150 Sales Amount (Expected)","41 Source Type",$C$5,"5 Source No.",$C1649,"4 Item Ledger Entry Type",$C$4,"2 Item No.","@@"&amp;$F1649,"3 Posting Date",U$9)+NL("Sum","5802 Value Entry","17 Sales Amount (Actual)","41 Source Type",$C$5,"5 Source no.",$C1649,"4 Item Ledger Entry Type",$C$4,"2 Item No.","@@"&amp;$F1649,"3 Posting Date",U$9)</t>
  </si>
  <si>
    <t>=-NL("Sum","5802 Value Entry","151 Cost Amount (Expected)","41 Source Type",$C$5,"5 Source No.",$C1649,"4 Item Ledger Entry Type",$C$4,"2 Item No.","@@"&amp;$F1649,"3 Posting Date",U$9)-NL("Sum","5802 Value Entry","43 Cost Amount (Actual)","41 Source Type",$C$5,"5 Source no.",$C1649,"4 Item Ledger Entry Type",$C$4,"2 Item No.","@@"&amp;$F1649,"3 Posting Date",U$9)</t>
  </si>
  <si>
    <t>=U1649-W1649</t>
  </si>
  <si>
    <t>=IF(U1649&lt;&gt;0,X1649/U1649,"")</t>
  </si>
  <si>
    <t>=NL("Sum","5802 Value Entry","150 Sales Amount (Expected)","41 Source Type",$C$5,"5 Source No.",$C1649,"4 Item Ledger Entry Type",$C$4,"2 Item No.","@@"&amp;$F1649,"3 Posting Date",Z$9)+NL("Sum","5802 Value Entry","17 Sales Amount (Actual)","41 Source Type",$C$5,"5 Source no.",$C1649,"4 Item Ledger Entry Type",$C$4,"2 Item No.","@@"&amp;$F1649,"3 Posting Date",Z$9)</t>
  </si>
  <si>
    <t>=-NL("Sum","5802 Value Entry","151 Cost Amount (Expected)","41 Source Type",$C$5,"5 Source No.",$C1649,"4 Item Ledger Entry Type",$C$4,"2 Item No.","@@"&amp;$F1649,"3 Posting Date",Z$9)-NL("Sum","5802 Value Entry","43 Cost Amount (Actual)","41 Source Type",$C$5,"5 Source no.",$C1649,"4 Item Ledger Entry Type",$C$4,"2 Item No.","@@"&amp;$F1649,"3 Posting Date",Z$9)</t>
  </si>
  <si>
    <t>=Z1649-AB1649</t>
  </si>
  <si>
    <t>=IF(Z1649&lt;&gt;0,AC1649/Z1649,"")</t>
  </si>
  <si>
    <t>=C1649</t>
  </si>
  <si>
    <t>=NL("Sum","5802 Value Entry","150 Sales Amount (Expected)","41 Source Type",$C$5,"5 Source No.",$C1650,"4 Item Ledger Entry Type",$C$4,"2 Item No.","@@"&amp;$F1650,"3 Posting Date",J$9)+NL("Sum","5802 Value Entry","17 Sales Amount (Actual)","41 Source Type",$C$5,"5 Source no.",$C1650,"4 Item Ledger Entry Type",$C$4,"2 Item No.","@@"&amp;$F1650,"3 Posting Date",J$9)</t>
  </si>
  <si>
    <t>=-NL("Sum","5802 Value Entry","151 Cost Amount (Expected)","41 Source Type",$C$5,"5 Source No.",$C1650,"4 Item Ledger Entry Type",$C$4,"2 Item No.","@@"&amp;$F1650,"3 Posting Date",J$9)-NL("Sum","5802 Value Entry","43 Cost Amount (Actual)","41 Source Type",$C$5,"5 Source no.",$C1650,"4 Item Ledger Entry Type",$C$4,"2 Item No.","@@"&amp;$F1650,"3 Posting Date",J$9)</t>
  </si>
  <si>
    <t>=J1650-L1650</t>
  </si>
  <si>
    <t>=IF(J1650&lt;&gt;0,M1650/J1650,"")</t>
  </si>
  <si>
    <t>=NL("Sum","5802 Value Entry","150 Sales Amount (Expected)","41 Source Type",$C$5,"5 Source No.",$C1650,"4 Item Ledger Entry Type",$C$4,"2 Item No.","@@"&amp;$F1650,"3 Posting Date",O$9)+NL("Sum","5802 Value Entry","17 Sales Amount (Actual)","41 Source Type",$C$5,"5 Source no.",$C1650,"4 Item Ledger Entry Type",$C$4,"2 Item No.","@@"&amp;$F1650,"3 Posting Date",O$9)</t>
  </si>
  <si>
    <t>=-NL("Sum","5802 Value Entry","151 Cost Amount (Expected)","41 Source Type",$C$5,"5 Source No.",$C1650,"4 Item Ledger Entry Type",$C$4,"2 Item No.","@@"&amp;$F1650,"3 Posting Date",O$9)-NL("Sum","5802 Value Entry","43 Cost Amount (Actual)","41 Source Type",$C$5,"5 Source no.",$C1650,"4 Item Ledger Entry Type",$C$4,"2 Item No.","@@"&amp;$F1650,"3 Posting Date",O$9)</t>
  </si>
  <si>
    <t>=O1650-Q1650</t>
  </si>
  <si>
    <t>=IF(O1650&lt;&gt;0,R1650/O1650,"")</t>
  </si>
  <si>
    <t>=NL("Sum","5802 Value Entry","150 Sales Amount (Expected)","41 Source Type",$C$5,"5 Source No.",$C1650,"4 Item Ledger Entry Type",$C$4,"2 Item No.","@@"&amp;$F1650,"3 Posting Date",U$9)+NL("Sum","5802 Value Entry","17 Sales Amount (Actual)","41 Source Type",$C$5,"5 Source no.",$C1650,"4 Item Ledger Entry Type",$C$4,"2 Item No.","@@"&amp;$F1650,"3 Posting Date",U$9)</t>
  </si>
  <si>
    <t>=-NL("Sum","5802 Value Entry","151 Cost Amount (Expected)","41 Source Type",$C$5,"5 Source No.",$C1650,"4 Item Ledger Entry Type",$C$4,"2 Item No.","@@"&amp;$F1650,"3 Posting Date",U$9)-NL("Sum","5802 Value Entry","43 Cost Amount (Actual)","41 Source Type",$C$5,"5 Source no.",$C1650,"4 Item Ledger Entry Type",$C$4,"2 Item No.","@@"&amp;$F1650,"3 Posting Date",U$9)</t>
  </si>
  <si>
    <t>=U1650-W1650</t>
  </si>
  <si>
    <t>=IF(U1650&lt;&gt;0,X1650/U1650,"")</t>
  </si>
  <si>
    <t>=NL("Sum","5802 Value Entry","150 Sales Amount (Expected)","41 Source Type",$C$5,"5 Source No.",$C1650,"4 Item Ledger Entry Type",$C$4,"2 Item No.","@@"&amp;$F1650,"3 Posting Date",Z$9)+NL("Sum","5802 Value Entry","17 Sales Amount (Actual)","41 Source Type",$C$5,"5 Source no.",$C1650,"4 Item Ledger Entry Type",$C$4,"2 Item No.","@@"&amp;$F1650,"3 Posting Date",Z$9)</t>
  </si>
  <si>
    <t>=-NL("Sum","5802 Value Entry","151 Cost Amount (Expected)","41 Source Type",$C$5,"5 Source No.",$C1650,"4 Item Ledger Entry Type",$C$4,"2 Item No.","@@"&amp;$F1650,"3 Posting Date",Z$9)-NL("Sum","5802 Value Entry","43 Cost Amount (Actual)","41 Source Type",$C$5,"5 Source no.",$C1650,"4 Item Ledger Entry Type",$C$4,"2 Item No.","@@"&amp;$F1650,"3 Posting Date",Z$9)</t>
  </si>
  <si>
    <t>=Z1650-AB1650</t>
  </si>
  <si>
    <t>=IF(Z1650&lt;&gt;0,AC1650/Z1650,"")</t>
  </si>
  <si>
    <t>=C1650</t>
  </si>
  <si>
    <t>=NL("Sum","5802 Value Entry","150 Sales Amount (Expected)","41 Source Type",$C$5,"5 Source No.",$C1651,"4 Item Ledger Entry Type",$C$4,"2 Item No.","@@"&amp;$F1651,"3 Posting Date",J$9)+NL("Sum","5802 Value Entry","17 Sales Amount (Actual)","41 Source Type",$C$5,"5 Source no.",$C1651,"4 Item Ledger Entry Type",$C$4,"2 Item No.","@@"&amp;$F1651,"3 Posting Date",J$9)</t>
  </si>
  <si>
    <t>=-NL("Sum","5802 Value Entry","151 Cost Amount (Expected)","41 Source Type",$C$5,"5 Source No.",$C1651,"4 Item Ledger Entry Type",$C$4,"2 Item No.","@@"&amp;$F1651,"3 Posting Date",J$9)-NL("Sum","5802 Value Entry","43 Cost Amount (Actual)","41 Source Type",$C$5,"5 Source no.",$C1651,"4 Item Ledger Entry Type",$C$4,"2 Item No.","@@"&amp;$F1651,"3 Posting Date",J$9)</t>
  </si>
  <si>
    <t>=J1651-L1651</t>
  </si>
  <si>
    <t>=IF(J1651&lt;&gt;0,M1651/J1651,"")</t>
  </si>
  <si>
    <t>=NL("Sum","5802 Value Entry","150 Sales Amount (Expected)","41 Source Type",$C$5,"5 Source No.",$C1651,"4 Item Ledger Entry Type",$C$4,"2 Item No.","@@"&amp;$F1651,"3 Posting Date",O$9)+NL("Sum","5802 Value Entry","17 Sales Amount (Actual)","41 Source Type",$C$5,"5 Source no.",$C1651,"4 Item Ledger Entry Type",$C$4,"2 Item No.","@@"&amp;$F1651,"3 Posting Date",O$9)</t>
  </si>
  <si>
    <t>=-NL("Sum","5802 Value Entry","151 Cost Amount (Expected)","41 Source Type",$C$5,"5 Source No.",$C1651,"4 Item Ledger Entry Type",$C$4,"2 Item No.","@@"&amp;$F1651,"3 Posting Date",O$9)-NL("Sum","5802 Value Entry","43 Cost Amount (Actual)","41 Source Type",$C$5,"5 Source no.",$C1651,"4 Item Ledger Entry Type",$C$4,"2 Item No.","@@"&amp;$F1651,"3 Posting Date",O$9)</t>
  </si>
  <si>
    <t>=O1651-Q1651</t>
  </si>
  <si>
    <t>=IF(O1651&lt;&gt;0,R1651/O1651,"")</t>
  </si>
  <si>
    <t>=NL("Sum","5802 Value Entry","150 Sales Amount (Expected)","41 Source Type",$C$5,"5 Source No.",$C1651,"4 Item Ledger Entry Type",$C$4,"2 Item No.","@@"&amp;$F1651,"3 Posting Date",U$9)+NL("Sum","5802 Value Entry","17 Sales Amount (Actual)","41 Source Type",$C$5,"5 Source no.",$C1651,"4 Item Ledger Entry Type",$C$4,"2 Item No.","@@"&amp;$F1651,"3 Posting Date",U$9)</t>
  </si>
  <si>
    <t>=-NL("Sum","5802 Value Entry","151 Cost Amount (Expected)","41 Source Type",$C$5,"5 Source No.",$C1651,"4 Item Ledger Entry Type",$C$4,"2 Item No.","@@"&amp;$F1651,"3 Posting Date",U$9)-NL("Sum","5802 Value Entry","43 Cost Amount (Actual)","41 Source Type",$C$5,"5 Source no.",$C1651,"4 Item Ledger Entry Type",$C$4,"2 Item No.","@@"&amp;$F1651,"3 Posting Date",U$9)</t>
  </si>
  <si>
    <t>=U1651-W1651</t>
  </si>
  <si>
    <t>=IF(U1651&lt;&gt;0,X1651/U1651,"")</t>
  </si>
  <si>
    <t>=NL("Sum","5802 Value Entry","150 Sales Amount (Expected)","41 Source Type",$C$5,"5 Source No.",$C1651,"4 Item Ledger Entry Type",$C$4,"2 Item No.","@@"&amp;$F1651,"3 Posting Date",Z$9)+NL("Sum","5802 Value Entry","17 Sales Amount (Actual)","41 Source Type",$C$5,"5 Source no.",$C1651,"4 Item Ledger Entry Type",$C$4,"2 Item No.","@@"&amp;$F1651,"3 Posting Date",Z$9)</t>
  </si>
  <si>
    <t>=-NL("Sum","5802 Value Entry","151 Cost Amount (Expected)","41 Source Type",$C$5,"5 Source No.",$C1651,"4 Item Ledger Entry Type",$C$4,"2 Item No.","@@"&amp;$F1651,"3 Posting Date",Z$9)-NL("Sum","5802 Value Entry","43 Cost Amount (Actual)","41 Source Type",$C$5,"5 Source no.",$C1651,"4 Item Ledger Entry Type",$C$4,"2 Item No.","@@"&amp;$F1651,"3 Posting Date",Z$9)</t>
  </si>
  <si>
    <t>=Z1651-AB1651</t>
  </si>
  <si>
    <t>=IF(Z1651&lt;&gt;0,AC1651/Z1651,"")</t>
  </si>
  <si>
    <t>=C1651</t>
  </si>
  <si>
    <t>=NL("Sum","5802 Value Entry","150 Sales Amount (Expected)","41 Source Type",$C$5,"5 Source No.",$C1652,"4 Item Ledger Entry Type",$C$4,"2 Item No.","@@"&amp;$F1652,"3 Posting Date",J$9)+NL("Sum","5802 Value Entry","17 Sales Amount (Actual)","41 Source Type",$C$5,"5 Source no.",$C1652,"4 Item Ledger Entry Type",$C$4,"2 Item No.","@@"&amp;$F1652,"3 Posting Date",J$9)</t>
  </si>
  <si>
    <t>=-NL("Sum","5802 Value Entry","151 Cost Amount (Expected)","41 Source Type",$C$5,"5 Source No.",$C1652,"4 Item Ledger Entry Type",$C$4,"2 Item No.","@@"&amp;$F1652,"3 Posting Date",J$9)-NL("Sum","5802 Value Entry","43 Cost Amount (Actual)","41 Source Type",$C$5,"5 Source no.",$C1652,"4 Item Ledger Entry Type",$C$4,"2 Item No.","@@"&amp;$F1652,"3 Posting Date",J$9)</t>
  </si>
  <si>
    <t>=J1652-L1652</t>
  </si>
  <si>
    <t>=IF(J1652&lt;&gt;0,M1652/J1652,"")</t>
  </si>
  <si>
    <t>=NL("Sum","5802 Value Entry","150 Sales Amount (Expected)","41 Source Type",$C$5,"5 Source No.",$C1652,"4 Item Ledger Entry Type",$C$4,"2 Item No.","@@"&amp;$F1652,"3 Posting Date",O$9)+NL("Sum","5802 Value Entry","17 Sales Amount (Actual)","41 Source Type",$C$5,"5 Source no.",$C1652,"4 Item Ledger Entry Type",$C$4,"2 Item No.","@@"&amp;$F1652,"3 Posting Date",O$9)</t>
  </si>
  <si>
    <t>=-NL("Sum","5802 Value Entry","151 Cost Amount (Expected)","41 Source Type",$C$5,"5 Source No.",$C1652,"4 Item Ledger Entry Type",$C$4,"2 Item No.","@@"&amp;$F1652,"3 Posting Date",O$9)-NL("Sum","5802 Value Entry","43 Cost Amount (Actual)","41 Source Type",$C$5,"5 Source no.",$C1652,"4 Item Ledger Entry Type",$C$4,"2 Item No.","@@"&amp;$F1652,"3 Posting Date",O$9)</t>
  </si>
  <si>
    <t>=O1652-Q1652</t>
  </si>
  <si>
    <t>=IF(O1652&lt;&gt;0,R1652/O1652,"")</t>
  </si>
  <si>
    <t>=NL("Sum","5802 Value Entry","150 Sales Amount (Expected)","41 Source Type",$C$5,"5 Source No.",$C1652,"4 Item Ledger Entry Type",$C$4,"2 Item No.","@@"&amp;$F1652,"3 Posting Date",U$9)+NL("Sum","5802 Value Entry","17 Sales Amount (Actual)","41 Source Type",$C$5,"5 Source no.",$C1652,"4 Item Ledger Entry Type",$C$4,"2 Item No.","@@"&amp;$F1652,"3 Posting Date",U$9)</t>
  </si>
  <si>
    <t>=-NL("Sum","5802 Value Entry","151 Cost Amount (Expected)","41 Source Type",$C$5,"5 Source No.",$C1652,"4 Item Ledger Entry Type",$C$4,"2 Item No.","@@"&amp;$F1652,"3 Posting Date",U$9)-NL("Sum","5802 Value Entry","43 Cost Amount (Actual)","41 Source Type",$C$5,"5 Source no.",$C1652,"4 Item Ledger Entry Type",$C$4,"2 Item No.","@@"&amp;$F1652,"3 Posting Date",U$9)</t>
  </si>
  <si>
    <t>=U1652-W1652</t>
  </si>
  <si>
    <t>=IF(U1652&lt;&gt;0,X1652/U1652,"")</t>
  </si>
  <si>
    <t>=NL("Sum","5802 Value Entry","150 Sales Amount (Expected)","41 Source Type",$C$5,"5 Source No.",$C1652,"4 Item Ledger Entry Type",$C$4,"2 Item No.","@@"&amp;$F1652,"3 Posting Date",Z$9)+NL("Sum","5802 Value Entry","17 Sales Amount (Actual)","41 Source Type",$C$5,"5 Source no.",$C1652,"4 Item Ledger Entry Type",$C$4,"2 Item No.","@@"&amp;$F1652,"3 Posting Date",Z$9)</t>
  </si>
  <si>
    <t>=-NL("Sum","5802 Value Entry","151 Cost Amount (Expected)","41 Source Type",$C$5,"5 Source No.",$C1652,"4 Item Ledger Entry Type",$C$4,"2 Item No.","@@"&amp;$F1652,"3 Posting Date",Z$9)-NL("Sum","5802 Value Entry","43 Cost Amount (Actual)","41 Source Type",$C$5,"5 Source no.",$C1652,"4 Item Ledger Entry Type",$C$4,"2 Item No.","@@"&amp;$F1652,"3 Posting Date",Z$9)</t>
  </si>
  <si>
    <t>=Z1652-AB1652</t>
  </si>
  <si>
    <t>=IF(Z1652&lt;&gt;0,AC1652/Z1652,"")</t>
  </si>
  <si>
    <t>=C1652</t>
  </si>
  <si>
    <t>=NL("Sum","5802 Value Entry","150 Sales Amount (Expected)","41 Source Type",$C$5,"5 Source No.",$C1653,"4 Item Ledger Entry Type",$C$4,"2 Item No.","@@"&amp;$F1653,"3 Posting Date",J$9)+NL("Sum","5802 Value Entry","17 Sales Amount (Actual)","41 Source Type",$C$5,"5 Source no.",$C1653,"4 Item Ledger Entry Type",$C$4,"2 Item No.","@@"&amp;$F1653,"3 Posting Date",J$9)</t>
  </si>
  <si>
    <t>=-NL("Sum","5802 Value Entry","151 Cost Amount (Expected)","41 Source Type",$C$5,"5 Source No.",$C1653,"4 Item Ledger Entry Type",$C$4,"2 Item No.","@@"&amp;$F1653,"3 Posting Date",J$9)-NL("Sum","5802 Value Entry","43 Cost Amount (Actual)","41 Source Type",$C$5,"5 Source no.",$C1653,"4 Item Ledger Entry Type",$C$4,"2 Item No.","@@"&amp;$F1653,"3 Posting Date",J$9)</t>
  </si>
  <si>
    <t>=J1653-L1653</t>
  </si>
  <si>
    <t>=IF(J1653&lt;&gt;0,M1653/J1653,"")</t>
  </si>
  <si>
    <t>=NL("Sum","5802 Value Entry","150 Sales Amount (Expected)","41 Source Type",$C$5,"5 Source No.",$C1653,"4 Item Ledger Entry Type",$C$4,"2 Item No.","@@"&amp;$F1653,"3 Posting Date",O$9)+NL("Sum","5802 Value Entry","17 Sales Amount (Actual)","41 Source Type",$C$5,"5 Source no.",$C1653,"4 Item Ledger Entry Type",$C$4,"2 Item No.","@@"&amp;$F1653,"3 Posting Date",O$9)</t>
  </si>
  <si>
    <t>=-NL("Sum","5802 Value Entry","151 Cost Amount (Expected)","41 Source Type",$C$5,"5 Source No.",$C1653,"4 Item Ledger Entry Type",$C$4,"2 Item No.","@@"&amp;$F1653,"3 Posting Date",O$9)-NL("Sum","5802 Value Entry","43 Cost Amount (Actual)","41 Source Type",$C$5,"5 Source no.",$C1653,"4 Item Ledger Entry Type",$C$4,"2 Item No.","@@"&amp;$F1653,"3 Posting Date",O$9)</t>
  </si>
  <si>
    <t>=O1653-Q1653</t>
  </si>
  <si>
    <t>=IF(O1653&lt;&gt;0,R1653/O1653,"")</t>
  </si>
  <si>
    <t>=NL("Sum","5802 Value Entry","150 Sales Amount (Expected)","41 Source Type",$C$5,"5 Source No.",$C1653,"4 Item Ledger Entry Type",$C$4,"2 Item No.","@@"&amp;$F1653,"3 Posting Date",U$9)+NL("Sum","5802 Value Entry","17 Sales Amount (Actual)","41 Source Type",$C$5,"5 Source no.",$C1653,"4 Item Ledger Entry Type",$C$4,"2 Item No.","@@"&amp;$F1653,"3 Posting Date",U$9)</t>
  </si>
  <si>
    <t>=-NL("Sum","5802 Value Entry","151 Cost Amount (Expected)","41 Source Type",$C$5,"5 Source No.",$C1653,"4 Item Ledger Entry Type",$C$4,"2 Item No.","@@"&amp;$F1653,"3 Posting Date",U$9)-NL("Sum","5802 Value Entry","43 Cost Amount (Actual)","41 Source Type",$C$5,"5 Source no.",$C1653,"4 Item Ledger Entry Type",$C$4,"2 Item No.","@@"&amp;$F1653,"3 Posting Date",U$9)</t>
  </si>
  <si>
    <t>=U1653-W1653</t>
  </si>
  <si>
    <t>=IF(U1653&lt;&gt;0,X1653/U1653,"")</t>
  </si>
  <si>
    <t>=NL("Sum","5802 Value Entry","150 Sales Amount (Expected)","41 Source Type",$C$5,"5 Source No.",$C1653,"4 Item Ledger Entry Type",$C$4,"2 Item No.","@@"&amp;$F1653,"3 Posting Date",Z$9)+NL("Sum","5802 Value Entry","17 Sales Amount (Actual)","41 Source Type",$C$5,"5 Source no.",$C1653,"4 Item Ledger Entry Type",$C$4,"2 Item No.","@@"&amp;$F1653,"3 Posting Date",Z$9)</t>
  </si>
  <si>
    <t>=-NL("Sum","5802 Value Entry","151 Cost Amount (Expected)","41 Source Type",$C$5,"5 Source No.",$C1653,"4 Item Ledger Entry Type",$C$4,"2 Item No.","@@"&amp;$F1653,"3 Posting Date",Z$9)-NL("Sum","5802 Value Entry","43 Cost Amount (Actual)","41 Source Type",$C$5,"5 Source no.",$C1653,"4 Item Ledger Entry Type",$C$4,"2 Item No.","@@"&amp;$F1653,"3 Posting Date",Z$9)</t>
  </si>
  <si>
    <t>=Z1653-AB1653</t>
  </si>
  <si>
    <t>=IF(Z1653&lt;&gt;0,AC1653/Z1653,"")</t>
  </si>
  <si>
    <t>=C1653</t>
  </si>
  <si>
    <t>=NL("Sum","5802 Value Entry","150 Sales Amount (Expected)","41 Source Type",$C$5,"5 Source No.",$C1654,"4 Item Ledger Entry Type",$C$4,"2 Item No.","@@"&amp;$F1654,"3 Posting Date",J$9)+NL("Sum","5802 Value Entry","17 Sales Amount (Actual)","41 Source Type",$C$5,"5 Source no.",$C1654,"4 Item Ledger Entry Type",$C$4,"2 Item No.","@@"&amp;$F1654,"3 Posting Date",J$9)</t>
  </si>
  <si>
    <t>=-NL("Sum","5802 Value Entry","151 Cost Amount (Expected)","41 Source Type",$C$5,"5 Source No.",$C1654,"4 Item Ledger Entry Type",$C$4,"2 Item No.","@@"&amp;$F1654,"3 Posting Date",J$9)-NL("Sum","5802 Value Entry","43 Cost Amount (Actual)","41 Source Type",$C$5,"5 Source no.",$C1654,"4 Item Ledger Entry Type",$C$4,"2 Item No.","@@"&amp;$F1654,"3 Posting Date",J$9)</t>
  </si>
  <si>
    <t>=J1654-L1654</t>
  </si>
  <si>
    <t>=IF(J1654&lt;&gt;0,M1654/J1654,"")</t>
  </si>
  <si>
    <t>=NL("Sum","5802 Value Entry","150 Sales Amount (Expected)","41 Source Type",$C$5,"5 Source No.",$C1654,"4 Item Ledger Entry Type",$C$4,"2 Item No.","@@"&amp;$F1654,"3 Posting Date",O$9)+NL("Sum","5802 Value Entry","17 Sales Amount (Actual)","41 Source Type",$C$5,"5 Source no.",$C1654,"4 Item Ledger Entry Type",$C$4,"2 Item No.","@@"&amp;$F1654,"3 Posting Date",O$9)</t>
  </si>
  <si>
    <t>=-NL("Sum","5802 Value Entry","151 Cost Amount (Expected)","41 Source Type",$C$5,"5 Source No.",$C1654,"4 Item Ledger Entry Type",$C$4,"2 Item No.","@@"&amp;$F1654,"3 Posting Date",O$9)-NL("Sum","5802 Value Entry","43 Cost Amount (Actual)","41 Source Type",$C$5,"5 Source no.",$C1654,"4 Item Ledger Entry Type",$C$4,"2 Item No.","@@"&amp;$F1654,"3 Posting Date",O$9)</t>
  </si>
  <si>
    <t>=O1654-Q1654</t>
  </si>
  <si>
    <t>=IF(O1654&lt;&gt;0,R1654/O1654,"")</t>
  </si>
  <si>
    <t>=NL("Sum","5802 Value Entry","150 Sales Amount (Expected)","41 Source Type",$C$5,"5 Source No.",$C1654,"4 Item Ledger Entry Type",$C$4,"2 Item No.","@@"&amp;$F1654,"3 Posting Date",U$9)+NL("Sum","5802 Value Entry","17 Sales Amount (Actual)","41 Source Type",$C$5,"5 Source no.",$C1654,"4 Item Ledger Entry Type",$C$4,"2 Item No.","@@"&amp;$F1654,"3 Posting Date",U$9)</t>
  </si>
  <si>
    <t>=-NL("Sum","5802 Value Entry","151 Cost Amount (Expected)","41 Source Type",$C$5,"5 Source No.",$C1654,"4 Item Ledger Entry Type",$C$4,"2 Item No.","@@"&amp;$F1654,"3 Posting Date",U$9)-NL("Sum","5802 Value Entry","43 Cost Amount (Actual)","41 Source Type",$C$5,"5 Source no.",$C1654,"4 Item Ledger Entry Type",$C$4,"2 Item No.","@@"&amp;$F1654,"3 Posting Date",U$9)</t>
  </si>
  <si>
    <t>=U1654-W1654</t>
  </si>
  <si>
    <t>=IF(U1654&lt;&gt;0,X1654/U1654,"")</t>
  </si>
  <si>
    <t>=NL("Sum","5802 Value Entry","150 Sales Amount (Expected)","41 Source Type",$C$5,"5 Source No.",$C1654,"4 Item Ledger Entry Type",$C$4,"2 Item No.","@@"&amp;$F1654,"3 Posting Date",Z$9)+NL("Sum","5802 Value Entry","17 Sales Amount (Actual)","41 Source Type",$C$5,"5 Source no.",$C1654,"4 Item Ledger Entry Type",$C$4,"2 Item No.","@@"&amp;$F1654,"3 Posting Date",Z$9)</t>
  </si>
  <si>
    <t>=-NL("Sum","5802 Value Entry","151 Cost Amount (Expected)","41 Source Type",$C$5,"5 Source No.",$C1654,"4 Item Ledger Entry Type",$C$4,"2 Item No.","@@"&amp;$F1654,"3 Posting Date",Z$9)-NL("Sum","5802 Value Entry","43 Cost Amount (Actual)","41 Source Type",$C$5,"5 Source no.",$C1654,"4 Item Ledger Entry Type",$C$4,"2 Item No.","@@"&amp;$F1654,"3 Posting Date",Z$9)</t>
  </si>
  <si>
    <t>=Z1654-AB1654</t>
  </si>
  <si>
    <t>=IF(Z1654&lt;&gt;0,AC1654/Z1654,"")</t>
  </si>
  <si>
    <t>=C1654</t>
  </si>
  <si>
    <t>=NL("Sum","5802 Value Entry","150 Sales Amount (Expected)","41 Source Type",$C$5,"5 Source No.",$C1655,"4 Item Ledger Entry Type",$C$4,"2 Item No.","@@"&amp;$F1655,"3 Posting Date",J$9)+NL("Sum","5802 Value Entry","17 Sales Amount (Actual)","41 Source Type",$C$5,"5 Source no.",$C1655,"4 Item Ledger Entry Type",$C$4,"2 Item No.","@@"&amp;$F1655,"3 Posting Date",J$9)</t>
  </si>
  <si>
    <t>=-NL("Sum","5802 Value Entry","151 Cost Amount (Expected)","41 Source Type",$C$5,"5 Source No.",$C1655,"4 Item Ledger Entry Type",$C$4,"2 Item No.","@@"&amp;$F1655,"3 Posting Date",J$9)-NL("Sum","5802 Value Entry","43 Cost Amount (Actual)","41 Source Type",$C$5,"5 Source no.",$C1655,"4 Item Ledger Entry Type",$C$4,"2 Item No.","@@"&amp;$F1655,"3 Posting Date",J$9)</t>
  </si>
  <si>
    <t>=J1655-L1655</t>
  </si>
  <si>
    <t>=IF(J1655&lt;&gt;0,M1655/J1655,"")</t>
  </si>
  <si>
    <t>=NL("Sum","5802 Value Entry","150 Sales Amount (Expected)","41 Source Type",$C$5,"5 Source No.",$C1655,"4 Item Ledger Entry Type",$C$4,"2 Item No.","@@"&amp;$F1655,"3 Posting Date",O$9)+NL("Sum","5802 Value Entry","17 Sales Amount (Actual)","41 Source Type",$C$5,"5 Source no.",$C1655,"4 Item Ledger Entry Type",$C$4,"2 Item No.","@@"&amp;$F1655,"3 Posting Date",O$9)</t>
  </si>
  <si>
    <t>=-NL("Sum","5802 Value Entry","151 Cost Amount (Expected)","41 Source Type",$C$5,"5 Source No.",$C1655,"4 Item Ledger Entry Type",$C$4,"2 Item No.","@@"&amp;$F1655,"3 Posting Date",O$9)-NL("Sum","5802 Value Entry","43 Cost Amount (Actual)","41 Source Type",$C$5,"5 Source no.",$C1655,"4 Item Ledger Entry Type",$C$4,"2 Item No.","@@"&amp;$F1655,"3 Posting Date",O$9)</t>
  </si>
  <si>
    <t>=O1655-Q1655</t>
  </si>
  <si>
    <t>=IF(O1655&lt;&gt;0,R1655/O1655,"")</t>
  </si>
  <si>
    <t>=NL("Sum","5802 Value Entry","150 Sales Amount (Expected)","41 Source Type",$C$5,"5 Source No.",$C1655,"4 Item Ledger Entry Type",$C$4,"2 Item No.","@@"&amp;$F1655,"3 Posting Date",U$9)+NL("Sum","5802 Value Entry","17 Sales Amount (Actual)","41 Source Type",$C$5,"5 Source no.",$C1655,"4 Item Ledger Entry Type",$C$4,"2 Item No.","@@"&amp;$F1655,"3 Posting Date",U$9)</t>
  </si>
  <si>
    <t>=-NL("Sum","5802 Value Entry","151 Cost Amount (Expected)","41 Source Type",$C$5,"5 Source No.",$C1655,"4 Item Ledger Entry Type",$C$4,"2 Item No.","@@"&amp;$F1655,"3 Posting Date",U$9)-NL("Sum","5802 Value Entry","43 Cost Amount (Actual)","41 Source Type",$C$5,"5 Source no.",$C1655,"4 Item Ledger Entry Type",$C$4,"2 Item No.","@@"&amp;$F1655,"3 Posting Date",U$9)</t>
  </si>
  <si>
    <t>=U1655-W1655</t>
  </si>
  <si>
    <t>=IF(U1655&lt;&gt;0,X1655/U1655,"")</t>
  </si>
  <si>
    <t>=NL("Sum","5802 Value Entry","150 Sales Amount (Expected)","41 Source Type",$C$5,"5 Source No.",$C1655,"4 Item Ledger Entry Type",$C$4,"2 Item No.","@@"&amp;$F1655,"3 Posting Date",Z$9)+NL("Sum","5802 Value Entry","17 Sales Amount (Actual)","41 Source Type",$C$5,"5 Source no.",$C1655,"4 Item Ledger Entry Type",$C$4,"2 Item No.","@@"&amp;$F1655,"3 Posting Date",Z$9)</t>
  </si>
  <si>
    <t>=-NL("Sum","5802 Value Entry","151 Cost Amount (Expected)","41 Source Type",$C$5,"5 Source No.",$C1655,"4 Item Ledger Entry Type",$C$4,"2 Item No.","@@"&amp;$F1655,"3 Posting Date",Z$9)-NL("Sum","5802 Value Entry","43 Cost Amount (Actual)","41 Source Type",$C$5,"5 Source no.",$C1655,"4 Item Ledger Entry Type",$C$4,"2 Item No.","@@"&amp;$F1655,"3 Posting Date",Z$9)</t>
  </si>
  <si>
    <t>=Z1655-AB1655</t>
  </si>
  <si>
    <t>=IF(Z1655&lt;&gt;0,AC1655/Z1655,"")</t>
  </si>
  <si>
    <t>=C1655</t>
  </si>
  <si>
    <t>=NL("Sum","5802 Value Entry","150 Sales Amount (Expected)","41 Source Type",$C$5,"5 Source No.",$C1656,"4 Item Ledger Entry Type",$C$4,"2 Item No.","@@"&amp;$F1656,"3 Posting Date",J$9)+NL("Sum","5802 Value Entry","17 Sales Amount (Actual)","41 Source Type",$C$5,"5 Source no.",$C1656,"4 Item Ledger Entry Type",$C$4,"2 Item No.","@@"&amp;$F1656,"3 Posting Date",J$9)</t>
  </si>
  <si>
    <t>=-NL("Sum","5802 Value Entry","151 Cost Amount (Expected)","41 Source Type",$C$5,"5 Source No.",$C1656,"4 Item Ledger Entry Type",$C$4,"2 Item No.","@@"&amp;$F1656,"3 Posting Date",J$9)-NL("Sum","5802 Value Entry","43 Cost Amount (Actual)","41 Source Type",$C$5,"5 Source no.",$C1656,"4 Item Ledger Entry Type",$C$4,"2 Item No.","@@"&amp;$F1656,"3 Posting Date",J$9)</t>
  </si>
  <si>
    <t>=J1656-L1656</t>
  </si>
  <si>
    <t>=IF(J1656&lt;&gt;0,M1656/J1656,"")</t>
  </si>
  <si>
    <t>=NL("Sum","5802 Value Entry","150 Sales Amount (Expected)","41 Source Type",$C$5,"5 Source No.",$C1656,"4 Item Ledger Entry Type",$C$4,"2 Item No.","@@"&amp;$F1656,"3 Posting Date",O$9)+NL("Sum","5802 Value Entry","17 Sales Amount (Actual)","41 Source Type",$C$5,"5 Source no.",$C1656,"4 Item Ledger Entry Type",$C$4,"2 Item No.","@@"&amp;$F1656,"3 Posting Date",O$9)</t>
  </si>
  <si>
    <t>=-NL("Sum","5802 Value Entry","151 Cost Amount (Expected)","41 Source Type",$C$5,"5 Source No.",$C1656,"4 Item Ledger Entry Type",$C$4,"2 Item No.","@@"&amp;$F1656,"3 Posting Date",O$9)-NL("Sum","5802 Value Entry","43 Cost Amount (Actual)","41 Source Type",$C$5,"5 Source no.",$C1656,"4 Item Ledger Entry Type",$C$4,"2 Item No.","@@"&amp;$F1656,"3 Posting Date",O$9)</t>
  </si>
  <si>
    <t>=O1656-Q1656</t>
  </si>
  <si>
    <t>=IF(O1656&lt;&gt;0,R1656/O1656,"")</t>
  </si>
  <si>
    <t>=NL("Sum","5802 Value Entry","150 Sales Amount (Expected)","41 Source Type",$C$5,"5 Source No.",$C1656,"4 Item Ledger Entry Type",$C$4,"2 Item No.","@@"&amp;$F1656,"3 Posting Date",U$9)+NL("Sum","5802 Value Entry","17 Sales Amount (Actual)","41 Source Type",$C$5,"5 Source no.",$C1656,"4 Item Ledger Entry Type",$C$4,"2 Item No.","@@"&amp;$F1656,"3 Posting Date",U$9)</t>
  </si>
  <si>
    <t>=-NL("Sum","5802 Value Entry","151 Cost Amount (Expected)","41 Source Type",$C$5,"5 Source No.",$C1656,"4 Item Ledger Entry Type",$C$4,"2 Item No.","@@"&amp;$F1656,"3 Posting Date",U$9)-NL("Sum","5802 Value Entry","43 Cost Amount (Actual)","41 Source Type",$C$5,"5 Source no.",$C1656,"4 Item Ledger Entry Type",$C$4,"2 Item No.","@@"&amp;$F1656,"3 Posting Date",U$9)</t>
  </si>
  <si>
    <t>=U1656-W1656</t>
  </si>
  <si>
    <t>=IF(U1656&lt;&gt;0,X1656/U1656,"")</t>
  </si>
  <si>
    <t>=NL("Sum","5802 Value Entry","150 Sales Amount (Expected)","41 Source Type",$C$5,"5 Source No.",$C1656,"4 Item Ledger Entry Type",$C$4,"2 Item No.","@@"&amp;$F1656,"3 Posting Date",Z$9)+NL("Sum","5802 Value Entry","17 Sales Amount (Actual)","41 Source Type",$C$5,"5 Source no.",$C1656,"4 Item Ledger Entry Type",$C$4,"2 Item No.","@@"&amp;$F1656,"3 Posting Date",Z$9)</t>
  </si>
  <si>
    <t>=-NL("Sum","5802 Value Entry","151 Cost Amount (Expected)","41 Source Type",$C$5,"5 Source No.",$C1656,"4 Item Ledger Entry Type",$C$4,"2 Item No.","@@"&amp;$F1656,"3 Posting Date",Z$9)-NL("Sum","5802 Value Entry","43 Cost Amount (Actual)","41 Source Type",$C$5,"5 Source no.",$C1656,"4 Item Ledger Entry Type",$C$4,"2 Item No.","@@"&amp;$F1656,"3 Posting Date",Z$9)</t>
  </si>
  <si>
    <t>=Z1656-AB1656</t>
  </si>
  <si>
    <t>=IF(Z1656&lt;&gt;0,AC1656/Z1656,"")</t>
  </si>
  <si>
    <t>=C1656</t>
  </si>
  <si>
    <t>=NL("Sum","5802 Value Entry","150 Sales Amount (Expected)","41 Source Type",$C$5,"5 Source No.",$C1657,"4 Item Ledger Entry Type",$C$4,"2 Item No.","@@"&amp;$F1657,"3 Posting Date",J$9)+NL("Sum","5802 Value Entry","17 Sales Amount (Actual)","41 Source Type",$C$5,"5 Source no.",$C1657,"4 Item Ledger Entry Type",$C$4,"2 Item No.","@@"&amp;$F1657,"3 Posting Date",J$9)</t>
  </si>
  <si>
    <t>=-NL("Sum","5802 Value Entry","151 Cost Amount (Expected)","41 Source Type",$C$5,"5 Source No.",$C1657,"4 Item Ledger Entry Type",$C$4,"2 Item No.","@@"&amp;$F1657,"3 Posting Date",J$9)-NL("Sum","5802 Value Entry","43 Cost Amount (Actual)","41 Source Type",$C$5,"5 Source no.",$C1657,"4 Item Ledger Entry Type",$C$4,"2 Item No.","@@"&amp;$F1657,"3 Posting Date",J$9)</t>
  </si>
  <si>
    <t>=J1657-L1657</t>
  </si>
  <si>
    <t>=IF(J1657&lt;&gt;0,M1657/J1657,"")</t>
  </si>
  <si>
    <t>=NL("Sum","5802 Value Entry","150 Sales Amount (Expected)","41 Source Type",$C$5,"5 Source No.",$C1657,"4 Item Ledger Entry Type",$C$4,"2 Item No.","@@"&amp;$F1657,"3 Posting Date",O$9)+NL("Sum","5802 Value Entry","17 Sales Amount (Actual)","41 Source Type",$C$5,"5 Source no.",$C1657,"4 Item Ledger Entry Type",$C$4,"2 Item No.","@@"&amp;$F1657,"3 Posting Date",O$9)</t>
  </si>
  <si>
    <t>=-NL("Sum","5802 Value Entry","151 Cost Amount (Expected)","41 Source Type",$C$5,"5 Source No.",$C1657,"4 Item Ledger Entry Type",$C$4,"2 Item No.","@@"&amp;$F1657,"3 Posting Date",O$9)-NL("Sum","5802 Value Entry","43 Cost Amount (Actual)","41 Source Type",$C$5,"5 Source no.",$C1657,"4 Item Ledger Entry Type",$C$4,"2 Item No.","@@"&amp;$F1657,"3 Posting Date",O$9)</t>
  </si>
  <si>
    <t>=O1657-Q1657</t>
  </si>
  <si>
    <t>=IF(O1657&lt;&gt;0,R1657/O1657,"")</t>
  </si>
  <si>
    <t>=NL("Sum","5802 Value Entry","150 Sales Amount (Expected)","41 Source Type",$C$5,"5 Source No.",$C1657,"4 Item Ledger Entry Type",$C$4,"2 Item No.","@@"&amp;$F1657,"3 Posting Date",U$9)+NL("Sum","5802 Value Entry","17 Sales Amount (Actual)","41 Source Type",$C$5,"5 Source no.",$C1657,"4 Item Ledger Entry Type",$C$4,"2 Item No.","@@"&amp;$F1657,"3 Posting Date",U$9)</t>
  </si>
  <si>
    <t>=-NL("Sum","5802 Value Entry","151 Cost Amount (Expected)","41 Source Type",$C$5,"5 Source No.",$C1657,"4 Item Ledger Entry Type",$C$4,"2 Item No.","@@"&amp;$F1657,"3 Posting Date",U$9)-NL("Sum","5802 Value Entry","43 Cost Amount (Actual)","41 Source Type",$C$5,"5 Source no.",$C1657,"4 Item Ledger Entry Type",$C$4,"2 Item No.","@@"&amp;$F1657,"3 Posting Date",U$9)</t>
  </si>
  <si>
    <t>=U1657-W1657</t>
  </si>
  <si>
    <t>=IF(U1657&lt;&gt;0,X1657/U1657,"")</t>
  </si>
  <si>
    <t>=NL("Sum","5802 Value Entry","150 Sales Amount (Expected)","41 Source Type",$C$5,"5 Source No.",$C1657,"4 Item Ledger Entry Type",$C$4,"2 Item No.","@@"&amp;$F1657,"3 Posting Date",Z$9)+NL("Sum","5802 Value Entry","17 Sales Amount (Actual)","41 Source Type",$C$5,"5 Source no.",$C1657,"4 Item Ledger Entry Type",$C$4,"2 Item No.","@@"&amp;$F1657,"3 Posting Date",Z$9)</t>
  </si>
  <si>
    <t>=-NL("Sum","5802 Value Entry","151 Cost Amount (Expected)","41 Source Type",$C$5,"5 Source No.",$C1657,"4 Item Ledger Entry Type",$C$4,"2 Item No.","@@"&amp;$F1657,"3 Posting Date",Z$9)-NL("Sum","5802 Value Entry","43 Cost Amount (Actual)","41 Source Type",$C$5,"5 Source no.",$C1657,"4 Item Ledger Entry Type",$C$4,"2 Item No.","@@"&amp;$F1657,"3 Posting Date",Z$9)</t>
  </si>
  <si>
    <t>=Z1657-AB1657</t>
  </si>
  <si>
    <t>=IF(Z1657&lt;&gt;0,AC1657/Z1657,"")</t>
  </si>
  <si>
    <t>=C1657</t>
  </si>
  <si>
    <t>=NL("Sum","5802 Value Entry","150 Sales Amount (Expected)","41 Source Type",$C$5,"5 Source No.",$C1658,"4 Item Ledger Entry Type",$C$4,"2 Item No.","@@"&amp;$F1658,"3 Posting Date",J$9)+NL("Sum","5802 Value Entry","17 Sales Amount (Actual)","41 Source Type",$C$5,"5 Source no.",$C1658,"4 Item Ledger Entry Type",$C$4,"2 Item No.","@@"&amp;$F1658,"3 Posting Date",J$9)</t>
  </si>
  <si>
    <t>=-NL("Sum","5802 Value Entry","151 Cost Amount (Expected)","41 Source Type",$C$5,"5 Source No.",$C1658,"4 Item Ledger Entry Type",$C$4,"2 Item No.","@@"&amp;$F1658,"3 Posting Date",J$9)-NL("Sum","5802 Value Entry","43 Cost Amount (Actual)","41 Source Type",$C$5,"5 Source no.",$C1658,"4 Item Ledger Entry Type",$C$4,"2 Item No.","@@"&amp;$F1658,"3 Posting Date",J$9)</t>
  </si>
  <si>
    <t>=J1658-L1658</t>
  </si>
  <si>
    <t>=IF(J1658&lt;&gt;0,M1658/J1658,"")</t>
  </si>
  <si>
    <t>=NL("Sum","5802 Value Entry","150 Sales Amount (Expected)","41 Source Type",$C$5,"5 Source No.",$C1658,"4 Item Ledger Entry Type",$C$4,"2 Item No.","@@"&amp;$F1658,"3 Posting Date",O$9)+NL("Sum","5802 Value Entry","17 Sales Amount (Actual)","41 Source Type",$C$5,"5 Source no.",$C1658,"4 Item Ledger Entry Type",$C$4,"2 Item No.","@@"&amp;$F1658,"3 Posting Date",O$9)</t>
  </si>
  <si>
    <t>=-NL("Sum","5802 Value Entry","151 Cost Amount (Expected)","41 Source Type",$C$5,"5 Source No.",$C1658,"4 Item Ledger Entry Type",$C$4,"2 Item No.","@@"&amp;$F1658,"3 Posting Date",O$9)-NL("Sum","5802 Value Entry","43 Cost Amount (Actual)","41 Source Type",$C$5,"5 Source no.",$C1658,"4 Item Ledger Entry Type",$C$4,"2 Item No.","@@"&amp;$F1658,"3 Posting Date",O$9)</t>
  </si>
  <si>
    <t>=O1658-Q1658</t>
  </si>
  <si>
    <t>=IF(O1658&lt;&gt;0,R1658/O1658,"")</t>
  </si>
  <si>
    <t>=NL("Sum","5802 Value Entry","150 Sales Amount (Expected)","41 Source Type",$C$5,"5 Source No.",$C1658,"4 Item Ledger Entry Type",$C$4,"2 Item No.","@@"&amp;$F1658,"3 Posting Date",U$9)+NL("Sum","5802 Value Entry","17 Sales Amount (Actual)","41 Source Type",$C$5,"5 Source no.",$C1658,"4 Item Ledger Entry Type",$C$4,"2 Item No.","@@"&amp;$F1658,"3 Posting Date",U$9)</t>
  </si>
  <si>
    <t>=-NL("Sum","5802 Value Entry","151 Cost Amount (Expected)","41 Source Type",$C$5,"5 Source No.",$C1658,"4 Item Ledger Entry Type",$C$4,"2 Item No.","@@"&amp;$F1658,"3 Posting Date",U$9)-NL("Sum","5802 Value Entry","43 Cost Amount (Actual)","41 Source Type",$C$5,"5 Source no.",$C1658,"4 Item Ledger Entry Type",$C$4,"2 Item No.","@@"&amp;$F1658,"3 Posting Date",U$9)</t>
  </si>
  <si>
    <t>=U1658-W1658</t>
  </si>
  <si>
    <t>=IF(U1658&lt;&gt;0,X1658/U1658,"")</t>
  </si>
  <si>
    <t>=NL("Sum","5802 Value Entry","150 Sales Amount (Expected)","41 Source Type",$C$5,"5 Source No.",$C1658,"4 Item Ledger Entry Type",$C$4,"2 Item No.","@@"&amp;$F1658,"3 Posting Date",Z$9)+NL("Sum","5802 Value Entry","17 Sales Amount (Actual)","41 Source Type",$C$5,"5 Source no.",$C1658,"4 Item Ledger Entry Type",$C$4,"2 Item No.","@@"&amp;$F1658,"3 Posting Date",Z$9)</t>
  </si>
  <si>
    <t>=-NL("Sum","5802 Value Entry","151 Cost Amount (Expected)","41 Source Type",$C$5,"5 Source No.",$C1658,"4 Item Ledger Entry Type",$C$4,"2 Item No.","@@"&amp;$F1658,"3 Posting Date",Z$9)-NL("Sum","5802 Value Entry","43 Cost Amount (Actual)","41 Source Type",$C$5,"5 Source no.",$C1658,"4 Item Ledger Entry Type",$C$4,"2 Item No.","@@"&amp;$F1658,"3 Posting Date",Z$9)</t>
  </si>
  <si>
    <t>=Z1658-AB1658</t>
  </si>
  <si>
    <t>=IF(Z1658&lt;&gt;0,AC1658/Z1658,"")</t>
  </si>
  <si>
    <t>=C1658</t>
  </si>
  <si>
    <t>=NL("Sum","5802 Value Entry","150 Sales Amount (Expected)","41 Source Type",$C$5,"5 Source No.",$C1659,"4 Item Ledger Entry Type",$C$4,"2 Item No.","@@"&amp;$F1659,"3 Posting Date",J$9)+NL("Sum","5802 Value Entry","17 Sales Amount (Actual)","41 Source Type",$C$5,"5 Source no.",$C1659,"4 Item Ledger Entry Type",$C$4,"2 Item No.","@@"&amp;$F1659,"3 Posting Date",J$9)</t>
  </si>
  <si>
    <t>=-NL("Sum","5802 Value Entry","151 Cost Amount (Expected)","41 Source Type",$C$5,"5 Source No.",$C1659,"4 Item Ledger Entry Type",$C$4,"2 Item No.","@@"&amp;$F1659,"3 Posting Date",J$9)-NL("Sum","5802 Value Entry","43 Cost Amount (Actual)","41 Source Type",$C$5,"5 Source no.",$C1659,"4 Item Ledger Entry Type",$C$4,"2 Item No.","@@"&amp;$F1659,"3 Posting Date",J$9)</t>
  </si>
  <si>
    <t>=J1659-L1659</t>
  </si>
  <si>
    <t>=IF(J1659&lt;&gt;0,M1659/J1659,"")</t>
  </si>
  <si>
    <t>=NL("Sum","5802 Value Entry","150 Sales Amount (Expected)","41 Source Type",$C$5,"5 Source No.",$C1659,"4 Item Ledger Entry Type",$C$4,"2 Item No.","@@"&amp;$F1659,"3 Posting Date",O$9)+NL("Sum","5802 Value Entry","17 Sales Amount (Actual)","41 Source Type",$C$5,"5 Source no.",$C1659,"4 Item Ledger Entry Type",$C$4,"2 Item No.","@@"&amp;$F1659,"3 Posting Date",O$9)</t>
  </si>
  <si>
    <t>=-NL("Sum","5802 Value Entry","151 Cost Amount (Expected)","41 Source Type",$C$5,"5 Source No.",$C1659,"4 Item Ledger Entry Type",$C$4,"2 Item No.","@@"&amp;$F1659,"3 Posting Date",O$9)-NL("Sum","5802 Value Entry","43 Cost Amount (Actual)","41 Source Type",$C$5,"5 Source no.",$C1659,"4 Item Ledger Entry Type",$C$4,"2 Item No.","@@"&amp;$F1659,"3 Posting Date",O$9)</t>
  </si>
  <si>
    <t>=O1659-Q1659</t>
  </si>
  <si>
    <t>=IF(O1659&lt;&gt;0,R1659/O1659,"")</t>
  </si>
  <si>
    <t>=NL("Sum","5802 Value Entry","150 Sales Amount (Expected)","41 Source Type",$C$5,"5 Source No.",$C1659,"4 Item Ledger Entry Type",$C$4,"2 Item No.","@@"&amp;$F1659,"3 Posting Date",U$9)+NL("Sum","5802 Value Entry","17 Sales Amount (Actual)","41 Source Type",$C$5,"5 Source no.",$C1659,"4 Item Ledger Entry Type",$C$4,"2 Item No.","@@"&amp;$F1659,"3 Posting Date",U$9)</t>
  </si>
  <si>
    <t>=-NL("Sum","5802 Value Entry","151 Cost Amount (Expected)","41 Source Type",$C$5,"5 Source No.",$C1659,"4 Item Ledger Entry Type",$C$4,"2 Item No.","@@"&amp;$F1659,"3 Posting Date",U$9)-NL("Sum","5802 Value Entry","43 Cost Amount (Actual)","41 Source Type",$C$5,"5 Source no.",$C1659,"4 Item Ledger Entry Type",$C$4,"2 Item No.","@@"&amp;$F1659,"3 Posting Date",U$9)</t>
  </si>
  <si>
    <t>=U1659-W1659</t>
  </si>
  <si>
    <t>=IF(U1659&lt;&gt;0,X1659/U1659,"")</t>
  </si>
  <si>
    <t>=NL("Sum","5802 Value Entry","150 Sales Amount (Expected)","41 Source Type",$C$5,"5 Source No.",$C1659,"4 Item Ledger Entry Type",$C$4,"2 Item No.","@@"&amp;$F1659,"3 Posting Date",Z$9)+NL("Sum","5802 Value Entry","17 Sales Amount (Actual)","41 Source Type",$C$5,"5 Source no.",$C1659,"4 Item Ledger Entry Type",$C$4,"2 Item No.","@@"&amp;$F1659,"3 Posting Date",Z$9)</t>
  </si>
  <si>
    <t>=-NL("Sum","5802 Value Entry","151 Cost Amount (Expected)","41 Source Type",$C$5,"5 Source No.",$C1659,"4 Item Ledger Entry Type",$C$4,"2 Item No.","@@"&amp;$F1659,"3 Posting Date",Z$9)-NL("Sum","5802 Value Entry","43 Cost Amount (Actual)","41 Source Type",$C$5,"5 Source no.",$C1659,"4 Item Ledger Entry Type",$C$4,"2 Item No.","@@"&amp;$F1659,"3 Posting Date",Z$9)</t>
  </si>
  <si>
    <t>=Z1659-AB1659</t>
  </si>
  <si>
    <t>=IF(Z1659&lt;&gt;0,AC1659/Z1659,"")</t>
  </si>
  <si>
    <t>=C1659</t>
  </si>
  <si>
    <t>=NL("Sum","5802 Value Entry","150 Sales Amount (Expected)","41 Source Type",$C$5,"5 Source No.",$C1660,"4 Item Ledger Entry Type",$C$4,"2 Item No.","@@"&amp;$F1660,"3 Posting Date",J$9)+NL("Sum","5802 Value Entry","17 Sales Amount (Actual)","41 Source Type",$C$5,"5 Source no.",$C1660,"4 Item Ledger Entry Type",$C$4,"2 Item No.","@@"&amp;$F1660,"3 Posting Date",J$9)</t>
  </si>
  <si>
    <t>=-NL("Sum","5802 Value Entry","151 Cost Amount (Expected)","41 Source Type",$C$5,"5 Source No.",$C1660,"4 Item Ledger Entry Type",$C$4,"2 Item No.","@@"&amp;$F1660,"3 Posting Date",J$9)-NL("Sum","5802 Value Entry","43 Cost Amount (Actual)","41 Source Type",$C$5,"5 Source no.",$C1660,"4 Item Ledger Entry Type",$C$4,"2 Item No.","@@"&amp;$F1660,"3 Posting Date",J$9)</t>
  </si>
  <si>
    <t>=J1660-L1660</t>
  </si>
  <si>
    <t>=IF(J1660&lt;&gt;0,M1660/J1660,"")</t>
  </si>
  <si>
    <t>=NL("Sum","5802 Value Entry","150 Sales Amount (Expected)","41 Source Type",$C$5,"5 Source No.",$C1660,"4 Item Ledger Entry Type",$C$4,"2 Item No.","@@"&amp;$F1660,"3 Posting Date",O$9)+NL("Sum","5802 Value Entry","17 Sales Amount (Actual)","41 Source Type",$C$5,"5 Source no.",$C1660,"4 Item Ledger Entry Type",$C$4,"2 Item No.","@@"&amp;$F1660,"3 Posting Date",O$9)</t>
  </si>
  <si>
    <t>=-NL("Sum","5802 Value Entry","151 Cost Amount (Expected)","41 Source Type",$C$5,"5 Source No.",$C1660,"4 Item Ledger Entry Type",$C$4,"2 Item No.","@@"&amp;$F1660,"3 Posting Date",O$9)-NL("Sum","5802 Value Entry","43 Cost Amount (Actual)","41 Source Type",$C$5,"5 Source no.",$C1660,"4 Item Ledger Entry Type",$C$4,"2 Item No.","@@"&amp;$F1660,"3 Posting Date",O$9)</t>
  </si>
  <si>
    <t>=O1660-Q1660</t>
  </si>
  <si>
    <t>=IF(O1660&lt;&gt;0,R1660/O1660,"")</t>
  </si>
  <si>
    <t>=NL("Sum","5802 Value Entry","150 Sales Amount (Expected)","41 Source Type",$C$5,"5 Source No.",$C1660,"4 Item Ledger Entry Type",$C$4,"2 Item No.","@@"&amp;$F1660,"3 Posting Date",U$9)+NL("Sum","5802 Value Entry","17 Sales Amount (Actual)","41 Source Type",$C$5,"5 Source no.",$C1660,"4 Item Ledger Entry Type",$C$4,"2 Item No.","@@"&amp;$F1660,"3 Posting Date",U$9)</t>
  </si>
  <si>
    <t>=-NL("Sum","5802 Value Entry","151 Cost Amount (Expected)","41 Source Type",$C$5,"5 Source No.",$C1660,"4 Item Ledger Entry Type",$C$4,"2 Item No.","@@"&amp;$F1660,"3 Posting Date",U$9)-NL("Sum","5802 Value Entry","43 Cost Amount (Actual)","41 Source Type",$C$5,"5 Source no.",$C1660,"4 Item Ledger Entry Type",$C$4,"2 Item No.","@@"&amp;$F1660,"3 Posting Date",U$9)</t>
  </si>
  <si>
    <t>=U1660-W1660</t>
  </si>
  <si>
    <t>=IF(U1660&lt;&gt;0,X1660/U1660,"")</t>
  </si>
  <si>
    <t>=NL("Sum","5802 Value Entry","150 Sales Amount (Expected)","41 Source Type",$C$5,"5 Source No.",$C1660,"4 Item Ledger Entry Type",$C$4,"2 Item No.","@@"&amp;$F1660,"3 Posting Date",Z$9)+NL("Sum","5802 Value Entry","17 Sales Amount (Actual)","41 Source Type",$C$5,"5 Source no.",$C1660,"4 Item Ledger Entry Type",$C$4,"2 Item No.","@@"&amp;$F1660,"3 Posting Date",Z$9)</t>
  </si>
  <si>
    <t>=-NL("Sum","5802 Value Entry","151 Cost Amount (Expected)","41 Source Type",$C$5,"5 Source No.",$C1660,"4 Item Ledger Entry Type",$C$4,"2 Item No.","@@"&amp;$F1660,"3 Posting Date",Z$9)-NL("Sum","5802 Value Entry","43 Cost Amount (Actual)","41 Source Type",$C$5,"5 Source no.",$C1660,"4 Item Ledger Entry Type",$C$4,"2 Item No.","@@"&amp;$F1660,"3 Posting Date",Z$9)</t>
  </si>
  <si>
    <t>=Z1660-AB1660</t>
  </si>
  <si>
    <t>=IF(Z1660&lt;&gt;0,AC1660/Z1660,"")</t>
  </si>
  <si>
    <t>=C1660</t>
  </si>
  <si>
    <t>=NL("Sum","5802 Value Entry","150 Sales Amount (Expected)","41 Source Type",$C$5,"5 Source No.",$C1661,"4 Item Ledger Entry Type",$C$4,"2 Item No.","@@"&amp;$F1661,"3 Posting Date",J$9)+NL("Sum","5802 Value Entry","17 Sales Amount (Actual)","41 Source Type",$C$5,"5 Source no.",$C1661,"4 Item Ledger Entry Type",$C$4,"2 Item No.","@@"&amp;$F1661,"3 Posting Date",J$9)</t>
  </si>
  <si>
    <t>=-NL("Sum","5802 Value Entry","151 Cost Amount (Expected)","41 Source Type",$C$5,"5 Source No.",$C1661,"4 Item Ledger Entry Type",$C$4,"2 Item No.","@@"&amp;$F1661,"3 Posting Date",J$9)-NL("Sum","5802 Value Entry","43 Cost Amount (Actual)","41 Source Type",$C$5,"5 Source no.",$C1661,"4 Item Ledger Entry Type",$C$4,"2 Item No.","@@"&amp;$F1661,"3 Posting Date",J$9)</t>
  </si>
  <si>
    <t>=J1661-L1661</t>
  </si>
  <si>
    <t>=IF(J1661&lt;&gt;0,M1661/J1661,"")</t>
  </si>
  <si>
    <t>=NL("Sum","5802 Value Entry","150 Sales Amount (Expected)","41 Source Type",$C$5,"5 Source No.",$C1661,"4 Item Ledger Entry Type",$C$4,"2 Item No.","@@"&amp;$F1661,"3 Posting Date",O$9)+NL("Sum","5802 Value Entry","17 Sales Amount (Actual)","41 Source Type",$C$5,"5 Source no.",$C1661,"4 Item Ledger Entry Type",$C$4,"2 Item No.","@@"&amp;$F1661,"3 Posting Date",O$9)</t>
  </si>
  <si>
    <t>=-NL("Sum","5802 Value Entry","151 Cost Amount (Expected)","41 Source Type",$C$5,"5 Source No.",$C1661,"4 Item Ledger Entry Type",$C$4,"2 Item No.","@@"&amp;$F1661,"3 Posting Date",O$9)-NL("Sum","5802 Value Entry","43 Cost Amount (Actual)","41 Source Type",$C$5,"5 Source no.",$C1661,"4 Item Ledger Entry Type",$C$4,"2 Item No.","@@"&amp;$F1661,"3 Posting Date",O$9)</t>
  </si>
  <si>
    <t>=O1661-Q1661</t>
  </si>
  <si>
    <t>=IF(O1661&lt;&gt;0,R1661/O1661,"")</t>
  </si>
  <si>
    <t>=NL("Sum","5802 Value Entry","150 Sales Amount (Expected)","41 Source Type",$C$5,"5 Source No.",$C1661,"4 Item Ledger Entry Type",$C$4,"2 Item No.","@@"&amp;$F1661,"3 Posting Date",U$9)+NL("Sum","5802 Value Entry","17 Sales Amount (Actual)","41 Source Type",$C$5,"5 Source no.",$C1661,"4 Item Ledger Entry Type",$C$4,"2 Item No.","@@"&amp;$F1661,"3 Posting Date",U$9)</t>
  </si>
  <si>
    <t>=-NL("Sum","5802 Value Entry","151 Cost Amount (Expected)","41 Source Type",$C$5,"5 Source No.",$C1661,"4 Item Ledger Entry Type",$C$4,"2 Item No.","@@"&amp;$F1661,"3 Posting Date",U$9)-NL("Sum","5802 Value Entry","43 Cost Amount (Actual)","41 Source Type",$C$5,"5 Source no.",$C1661,"4 Item Ledger Entry Type",$C$4,"2 Item No.","@@"&amp;$F1661,"3 Posting Date",U$9)</t>
  </si>
  <si>
    <t>=U1661-W1661</t>
  </si>
  <si>
    <t>=IF(U1661&lt;&gt;0,X1661/U1661,"")</t>
  </si>
  <si>
    <t>=NL("Sum","5802 Value Entry","150 Sales Amount (Expected)","41 Source Type",$C$5,"5 Source No.",$C1661,"4 Item Ledger Entry Type",$C$4,"2 Item No.","@@"&amp;$F1661,"3 Posting Date",Z$9)+NL("Sum","5802 Value Entry","17 Sales Amount (Actual)","41 Source Type",$C$5,"5 Source no.",$C1661,"4 Item Ledger Entry Type",$C$4,"2 Item No.","@@"&amp;$F1661,"3 Posting Date",Z$9)</t>
  </si>
  <si>
    <t>=-NL("Sum","5802 Value Entry","151 Cost Amount (Expected)","41 Source Type",$C$5,"5 Source No.",$C1661,"4 Item Ledger Entry Type",$C$4,"2 Item No.","@@"&amp;$F1661,"3 Posting Date",Z$9)-NL("Sum","5802 Value Entry","43 Cost Amount (Actual)","41 Source Type",$C$5,"5 Source no.",$C1661,"4 Item Ledger Entry Type",$C$4,"2 Item No.","@@"&amp;$F1661,"3 Posting Date",Z$9)</t>
  </si>
  <si>
    <t>=Z1661-AB1661</t>
  </si>
  <si>
    <t>=IF(Z1661&lt;&gt;0,AC1661/Z1661,"")</t>
  </si>
  <si>
    <t>=C1661</t>
  </si>
  <si>
    <t>=NL("Sum","5802 Value Entry","150 Sales Amount (Expected)","41 Source Type",$C$5,"5 Source No.",$C1662,"4 Item Ledger Entry Type",$C$4,"2 Item No.","@@"&amp;$F1662,"3 Posting Date",J$9)+NL("Sum","5802 Value Entry","17 Sales Amount (Actual)","41 Source Type",$C$5,"5 Source no.",$C1662,"4 Item Ledger Entry Type",$C$4,"2 Item No.","@@"&amp;$F1662,"3 Posting Date",J$9)</t>
  </si>
  <si>
    <t>=-NL("Sum","5802 Value Entry","151 Cost Amount (Expected)","41 Source Type",$C$5,"5 Source No.",$C1662,"4 Item Ledger Entry Type",$C$4,"2 Item No.","@@"&amp;$F1662,"3 Posting Date",J$9)-NL("Sum","5802 Value Entry","43 Cost Amount (Actual)","41 Source Type",$C$5,"5 Source no.",$C1662,"4 Item Ledger Entry Type",$C$4,"2 Item No.","@@"&amp;$F1662,"3 Posting Date",J$9)</t>
  </si>
  <si>
    <t>=J1662-L1662</t>
  </si>
  <si>
    <t>=IF(J1662&lt;&gt;0,M1662/J1662,"")</t>
  </si>
  <si>
    <t>=NL("Sum","5802 Value Entry","150 Sales Amount (Expected)","41 Source Type",$C$5,"5 Source No.",$C1662,"4 Item Ledger Entry Type",$C$4,"2 Item No.","@@"&amp;$F1662,"3 Posting Date",O$9)+NL("Sum","5802 Value Entry","17 Sales Amount (Actual)","41 Source Type",$C$5,"5 Source no.",$C1662,"4 Item Ledger Entry Type",$C$4,"2 Item No.","@@"&amp;$F1662,"3 Posting Date",O$9)</t>
  </si>
  <si>
    <t>=-NL("Sum","5802 Value Entry","151 Cost Amount (Expected)","41 Source Type",$C$5,"5 Source No.",$C1662,"4 Item Ledger Entry Type",$C$4,"2 Item No.","@@"&amp;$F1662,"3 Posting Date",O$9)-NL("Sum","5802 Value Entry","43 Cost Amount (Actual)","41 Source Type",$C$5,"5 Source no.",$C1662,"4 Item Ledger Entry Type",$C$4,"2 Item No.","@@"&amp;$F1662,"3 Posting Date",O$9)</t>
  </si>
  <si>
    <t>=O1662-Q1662</t>
  </si>
  <si>
    <t>=IF(O1662&lt;&gt;0,R1662/O1662,"")</t>
  </si>
  <si>
    <t>=NL("Sum","5802 Value Entry","150 Sales Amount (Expected)","41 Source Type",$C$5,"5 Source No.",$C1662,"4 Item Ledger Entry Type",$C$4,"2 Item No.","@@"&amp;$F1662,"3 Posting Date",U$9)+NL("Sum","5802 Value Entry","17 Sales Amount (Actual)","41 Source Type",$C$5,"5 Source no.",$C1662,"4 Item Ledger Entry Type",$C$4,"2 Item No.","@@"&amp;$F1662,"3 Posting Date",U$9)</t>
  </si>
  <si>
    <t>=-NL("Sum","5802 Value Entry","151 Cost Amount (Expected)","41 Source Type",$C$5,"5 Source No.",$C1662,"4 Item Ledger Entry Type",$C$4,"2 Item No.","@@"&amp;$F1662,"3 Posting Date",U$9)-NL("Sum","5802 Value Entry","43 Cost Amount (Actual)","41 Source Type",$C$5,"5 Source no.",$C1662,"4 Item Ledger Entry Type",$C$4,"2 Item No.","@@"&amp;$F1662,"3 Posting Date",U$9)</t>
  </si>
  <si>
    <t>=U1662-W1662</t>
  </si>
  <si>
    <t>=IF(U1662&lt;&gt;0,X1662/U1662,"")</t>
  </si>
  <si>
    <t>=NL("Sum","5802 Value Entry","150 Sales Amount (Expected)","41 Source Type",$C$5,"5 Source No.",$C1662,"4 Item Ledger Entry Type",$C$4,"2 Item No.","@@"&amp;$F1662,"3 Posting Date",Z$9)+NL("Sum","5802 Value Entry","17 Sales Amount (Actual)","41 Source Type",$C$5,"5 Source no.",$C1662,"4 Item Ledger Entry Type",$C$4,"2 Item No.","@@"&amp;$F1662,"3 Posting Date",Z$9)</t>
  </si>
  <si>
    <t>=-NL("Sum","5802 Value Entry","151 Cost Amount (Expected)","41 Source Type",$C$5,"5 Source No.",$C1662,"4 Item Ledger Entry Type",$C$4,"2 Item No.","@@"&amp;$F1662,"3 Posting Date",Z$9)-NL("Sum","5802 Value Entry","43 Cost Amount (Actual)","41 Source Type",$C$5,"5 Source no.",$C1662,"4 Item Ledger Entry Type",$C$4,"2 Item No.","@@"&amp;$F1662,"3 Posting Date",Z$9)</t>
  </si>
  <si>
    <t>=Z1662-AB1662</t>
  </si>
  <si>
    <t>=IF(Z1662&lt;&gt;0,AC1662/Z1662,"")</t>
  </si>
  <si>
    <t>=C1662</t>
  </si>
  <si>
    <t>=NL("Sum","5802 Value Entry","150 Sales Amount (Expected)","41 Source Type",$C$5,"5 Source No.",$C1663,"4 Item Ledger Entry Type",$C$4,"2 Item No.","@@"&amp;$F1663,"3 Posting Date",J$9)+NL("Sum","5802 Value Entry","17 Sales Amount (Actual)","41 Source Type",$C$5,"5 Source no.",$C1663,"4 Item Ledger Entry Type",$C$4,"2 Item No.","@@"&amp;$F1663,"3 Posting Date",J$9)</t>
  </si>
  <si>
    <t>=-NL("Sum","5802 Value Entry","151 Cost Amount (Expected)","41 Source Type",$C$5,"5 Source No.",$C1663,"4 Item Ledger Entry Type",$C$4,"2 Item No.","@@"&amp;$F1663,"3 Posting Date",J$9)-NL("Sum","5802 Value Entry","43 Cost Amount (Actual)","41 Source Type",$C$5,"5 Source no.",$C1663,"4 Item Ledger Entry Type",$C$4,"2 Item No.","@@"&amp;$F1663,"3 Posting Date",J$9)</t>
  </si>
  <si>
    <t>=J1663-L1663</t>
  </si>
  <si>
    <t>=IF(J1663&lt;&gt;0,M1663/J1663,"")</t>
  </si>
  <si>
    <t>=NL("Sum","5802 Value Entry","150 Sales Amount (Expected)","41 Source Type",$C$5,"5 Source No.",$C1663,"4 Item Ledger Entry Type",$C$4,"2 Item No.","@@"&amp;$F1663,"3 Posting Date",O$9)+NL("Sum","5802 Value Entry","17 Sales Amount (Actual)","41 Source Type",$C$5,"5 Source no.",$C1663,"4 Item Ledger Entry Type",$C$4,"2 Item No.","@@"&amp;$F1663,"3 Posting Date",O$9)</t>
  </si>
  <si>
    <t>=-NL("Sum","5802 Value Entry","151 Cost Amount (Expected)","41 Source Type",$C$5,"5 Source No.",$C1663,"4 Item Ledger Entry Type",$C$4,"2 Item No.","@@"&amp;$F1663,"3 Posting Date",O$9)-NL("Sum","5802 Value Entry","43 Cost Amount (Actual)","41 Source Type",$C$5,"5 Source no.",$C1663,"4 Item Ledger Entry Type",$C$4,"2 Item No.","@@"&amp;$F1663,"3 Posting Date",O$9)</t>
  </si>
  <si>
    <t>=O1663-Q1663</t>
  </si>
  <si>
    <t>=IF(O1663&lt;&gt;0,R1663/O1663,"")</t>
  </si>
  <si>
    <t>=NL("Sum","5802 Value Entry","150 Sales Amount (Expected)","41 Source Type",$C$5,"5 Source No.",$C1663,"4 Item Ledger Entry Type",$C$4,"2 Item No.","@@"&amp;$F1663,"3 Posting Date",U$9)+NL("Sum","5802 Value Entry","17 Sales Amount (Actual)","41 Source Type",$C$5,"5 Source no.",$C1663,"4 Item Ledger Entry Type",$C$4,"2 Item No.","@@"&amp;$F1663,"3 Posting Date",U$9)</t>
  </si>
  <si>
    <t>=-NL("Sum","5802 Value Entry","151 Cost Amount (Expected)","41 Source Type",$C$5,"5 Source No.",$C1663,"4 Item Ledger Entry Type",$C$4,"2 Item No.","@@"&amp;$F1663,"3 Posting Date",U$9)-NL("Sum","5802 Value Entry","43 Cost Amount (Actual)","41 Source Type",$C$5,"5 Source no.",$C1663,"4 Item Ledger Entry Type",$C$4,"2 Item No.","@@"&amp;$F1663,"3 Posting Date",U$9)</t>
  </si>
  <si>
    <t>=U1663-W1663</t>
  </si>
  <si>
    <t>=IF(U1663&lt;&gt;0,X1663/U1663,"")</t>
  </si>
  <si>
    <t>=NL("Sum","5802 Value Entry","150 Sales Amount (Expected)","41 Source Type",$C$5,"5 Source No.",$C1663,"4 Item Ledger Entry Type",$C$4,"2 Item No.","@@"&amp;$F1663,"3 Posting Date",Z$9)+NL("Sum","5802 Value Entry","17 Sales Amount (Actual)","41 Source Type",$C$5,"5 Source no.",$C1663,"4 Item Ledger Entry Type",$C$4,"2 Item No.","@@"&amp;$F1663,"3 Posting Date",Z$9)</t>
  </si>
  <si>
    <t>=-NL("Sum","5802 Value Entry","151 Cost Amount (Expected)","41 Source Type",$C$5,"5 Source No.",$C1663,"4 Item Ledger Entry Type",$C$4,"2 Item No.","@@"&amp;$F1663,"3 Posting Date",Z$9)-NL("Sum","5802 Value Entry","43 Cost Amount (Actual)","41 Source Type",$C$5,"5 Source no.",$C1663,"4 Item Ledger Entry Type",$C$4,"2 Item No.","@@"&amp;$F1663,"3 Posting Date",Z$9)</t>
  </si>
  <si>
    <t>=Z1663-AB1663</t>
  </si>
  <si>
    <t>=IF(Z1663&lt;&gt;0,AC1663/Z1663,"")</t>
  </si>
  <si>
    <t>=C1663</t>
  </si>
  <si>
    <t>=NL("Sum","5802 Value Entry","150 Sales Amount (Expected)","41 Source Type",$C$5,"5 Source No.",$C1664,"4 Item Ledger Entry Type",$C$4,"2 Item No.","@@"&amp;$F1664,"3 Posting Date",J$9)+NL("Sum","5802 Value Entry","17 Sales Amount (Actual)","41 Source Type",$C$5,"5 Source no.",$C1664,"4 Item Ledger Entry Type",$C$4,"2 Item No.","@@"&amp;$F1664,"3 Posting Date",J$9)</t>
  </si>
  <si>
    <t>=-NL("Sum","5802 Value Entry","151 Cost Amount (Expected)","41 Source Type",$C$5,"5 Source No.",$C1664,"4 Item Ledger Entry Type",$C$4,"2 Item No.","@@"&amp;$F1664,"3 Posting Date",J$9)-NL("Sum","5802 Value Entry","43 Cost Amount (Actual)","41 Source Type",$C$5,"5 Source no.",$C1664,"4 Item Ledger Entry Type",$C$4,"2 Item No.","@@"&amp;$F1664,"3 Posting Date",J$9)</t>
  </si>
  <si>
    <t>=J1664-L1664</t>
  </si>
  <si>
    <t>=IF(J1664&lt;&gt;0,M1664/J1664,"")</t>
  </si>
  <si>
    <t>=NL("Sum","5802 Value Entry","150 Sales Amount (Expected)","41 Source Type",$C$5,"5 Source No.",$C1664,"4 Item Ledger Entry Type",$C$4,"2 Item No.","@@"&amp;$F1664,"3 Posting Date",O$9)+NL("Sum","5802 Value Entry","17 Sales Amount (Actual)","41 Source Type",$C$5,"5 Source no.",$C1664,"4 Item Ledger Entry Type",$C$4,"2 Item No.","@@"&amp;$F1664,"3 Posting Date",O$9)</t>
  </si>
  <si>
    <t>=-NL("Sum","5802 Value Entry","151 Cost Amount (Expected)","41 Source Type",$C$5,"5 Source No.",$C1664,"4 Item Ledger Entry Type",$C$4,"2 Item No.","@@"&amp;$F1664,"3 Posting Date",O$9)-NL("Sum","5802 Value Entry","43 Cost Amount (Actual)","41 Source Type",$C$5,"5 Source no.",$C1664,"4 Item Ledger Entry Type",$C$4,"2 Item No.","@@"&amp;$F1664,"3 Posting Date",O$9)</t>
  </si>
  <si>
    <t>=O1664-Q1664</t>
  </si>
  <si>
    <t>=IF(O1664&lt;&gt;0,R1664/O1664,"")</t>
  </si>
  <si>
    <t>=NL("Sum","5802 Value Entry","150 Sales Amount (Expected)","41 Source Type",$C$5,"5 Source No.",$C1664,"4 Item Ledger Entry Type",$C$4,"2 Item No.","@@"&amp;$F1664,"3 Posting Date",U$9)+NL("Sum","5802 Value Entry","17 Sales Amount (Actual)","41 Source Type",$C$5,"5 Source no.",$C1664,"4 Item Ledger Entry Type",$C$4,"2 Item No.","@@"&amp;$F1664,"3 Posting Date",U$9)</t>
  </si>
  <si>
    <t>=-NL("Sum","5802 Value Entry","151 Cost Amount (Expected)","41 Source Type",$C$5,"5 Source No.",$C1664,"4 Item Ledger Entry Type",$C$4,"2 Item No.","@@"&amp;$F1664,"3 Posting Date",U$9)-NL("Sum","5802 Value Entry","43 Cost Amount (Actual)","41 Source Type",$C$5,"5 Source no.",$C1664,"4 Item Ledger Entry Type",$C$4,"2 Item No.","@@"&amp;$F1664,"3 Posting Date",U$9)</t>
  </si>
  <si>
    <t>=U1664-W1664</t>
  </si>
  <si>
    <t>=IF(U1664&lt;&gt;0,X1664/U1664,"")</t>
  </si>
  <si>
    <t>=NL("Sum","5802 Value Entry","150 Sales Amount (Expected)","41 Source Type",$C$5,"5 Source No.",$C1664,"4 Item Ledger Entry Type",$C$4,"2 Item No.","@@"&amp;$F1664,"3 Posting Date",Z$9)+NL("Sum","5802 Value Entry","17 Sales Amount (Actual)","41 Source Type",$C$5,"5 Source no.",$C1664,"4 Item Ledger Entry Type",$C$4,"2 Item No.","@@"&amp;$F1664,"3 Posting Date",Z$9)</t>
  </si>
  <si>
    <t>=-NL("Sum","5802 Value Entry","151 Cost Amount (Expected)","41 Source Type",$C$5,"5 Source No.",$C1664,"4 Item Ledger Entry Type",$C$4,"2 Item No.","@@"&amp;$F1664,"3 Posting Date",Z$9)-NL("Sum","5802 Value Entry","43 Cost Amount (Actual)","41 Source Type",$C$5,"5 Source no.",$C1664,"4 Item Ledger Entry Type",$C$4,"2 Item No.","@@"&amp;$F1664,"3 Posting Date",Z$9)</t>
  </si>
  <si>
    <t>=Z1664-AB1664</t>
  </si>
  <si>
    <t>=IF(Z1664&lt;&gt;0,AC1664/Z1664,"")</t>
  </si>
  <si>
    <t>=C1664</t>
  </si>
  <si>
    <t>=NL("Sum","5802 Value Entry","150 Sales Amount (Expected)","41 Source Type",$C$5,"5 Source No.",$C1665,"4 Item Ledger Entry Type",$C$4,"2 Item No.","@@"&amp;$F1665,"3 Posting Date",J$9)+NL("Sum","5802 Value Entry","17 Sales Amount (Actual)","41 Source Type",$C$5,"5 Source no.",$C1665,"4 Item Ledger Entry Type",$C$4,"2 Item No.","@@"&amp;$F1665,"3 Posting Date",J$9)</t>
  </si>
  <si>
    <t>=-NL("Sum","5802 Value Entry","151 Cost Amount (Expected)","41 Source Type",$C$5,"5 Source No.",$C1665,"4 Item Ledger Entry Type",$C$4,"2 Item No.","@@"&amp;$F1665,"3 Posting Date",J$9)-NL("Sum","5802 Value Entry","43 Cost Amount (Actual)","41 Source Type",$C$5,"5 Source no.",$C1665,"4 Item Ledger Entry Type",$C$4,"2 Item No.","@@"&amp;$F1665,"3 Posting Date",J$9)</t>
  </si>
  <si>
    <t>=J1665-L1665</t>
  </si>
  <si>
    <t>=IF(J1665&lt;&gt;0,M1665/J1665,"")</t>
  </si>
  <si>
    <t>=NL("Sum","5802 Value Entry","150 Sales Amount (Expected)","41 Source Type",$C$5,"5 Source No.",$C1665,"4 Item Ledger Entry Type",$C$4,"2 Item No.","@@"&amp;$F1665,"3 Posting Date",O$9)+NL("Sum","5802 Value Entry","17 Sales Amount (Actual)","41 Source Type",$C$5,"5 Source no.",$C1665,"4 Item Ledger Entry Type",$C$4,"2 Item No.","@@"&amp;$F1665,"3 Posting Date",O$9)</t>
  </si>
  <si>
    <t>=-NL("Sum","5802 Value Entry","151 Cost Amount (Expected)","41 Source Type",$C$5,"5 Source No.",$C1665,"4 Item Ledger Entry Type",$C$4,"2 Item No.","@@"&amp;$F1665,"3 Posting Date",O$9)-NL("Sum","5802 Value Entry","43 Cost Amount (Actual)","41 Source Type",$C$5,"5 Source no.",$C1665,"4 Item Ledger Entry Type",$C$4,"2 Item No.","@@"&amp;$F1665,"3 Posting Date",O$9)</t>
  </si>
  <si>
    <t>=O1665-Q1665</t>
  </si>
  <si>
    <t>=IF(O1665&lt;&gt;0,R1665/O1665,"")</t>
  </si>
  <si>
    <t>=NL("Sum","5802 Value Entry","150 Sales Amount (Expected)","41 Source Type",$C$5,"5 Source No.",$C1665,"4 Item Ledger Entry Type",$C$4,"2 Item No.","@@"&amp;$F1665,"3 Posting Date",U$9)+NL("Sum","5802 Value Entry","17 Sales Amount (Actual)","41 Source Type",$C$5,"5 Source no.",$C1665,"4 Item Ledger Entry Type",$C$4,"2 Item No.","@@"&amp;$F1665,"3 Posting Date",U$9)</t>
  </si>
  <si>
    <t>=-NL("Sum","5802 Value Entry","151 Cost Amount (Expected)","41 Source Type",$C$5,"5 Source No.",$C1665,"4 Item Ledger Entry Type",$C$4,"2 Item No.","@@"&amp;$F1665,"3 Posting Date",U$9)-NL("Sum","5802 Value Entry","43 Cost Amount (Actual)","41 Source Type",$C$5,"5 Source no.",$C1665,"4 Item Ledger Entry Type",$C$4,"2 Item No.","@@"&amp;$F1665,"3 Posting Date",U$9)</t>
  </si>
  <si>
    <t>=U1665-W1665</t>
  </si>
  <si>
    <t>=IF(U1665&lt;&gt;0,X1665/U1665,"")</t>
  </si>
  <si>
    <t>=NL("Sum","5802 Value Entry","150 Sales Amount (Expected)","41 Source Type",$C$5,"5 Source No.",$C1665,"4 Item Ledger Entry Type",$C$4,"2 Item No.","@@"&amp;$F1665,"3 Posting Date",Z$9)+NL("Sum","5802 Value Entry","17 Sales Amount (Actual)","41 Source Type",$C$5,"5 Source no.",$C1665,"4 Item Ledger Entry Type",$C$4,"2 Item No.","@@"&amp;$F1665,"3 Posting Date",Z$9)</t>
  </si>
  <si>
    <t>=-NL("Sum","5802 Value Entry","151 Cost Amount (Expected)","41 Source Type",$C$5,"5 Source No.",$C1665,"4 Item Ledger Entry Type",$C$4,"2 Item No.","@@"&amp;$F1665,"3 Posting Date",Z$9)-NL("Sum","5802 Value Entry","43 Cost Amount (Actual)","41 Source Type",$C$5,"5 Source no.",$C1665,"4 Item Ledger Entry Type",$C$4,"2 Item No.","@@"&amp;$F1665,"3 Posting Date",Z$9)</t>
  </si>
  <si>
    <t>=Z1665-AB1665</t>
  </si>
  <si>
    <t>=IF(Z1665&lt;&gt;0,AC1665/Z1665,"")</t>
  </si>
  <si>
    <t>=C1665</t>
  </si>
  <si>
    <t>=NL("Sum","5802 Value Entry","150 Sales Amount (Expected)","41 Source Type",$C$5,"5 Source No.",$C1666,"4 Item Ledger Entry Type",$C$4,"2 Item No.","@@"&amp;$F1666,"3 Posting Date",J$9)+NL("Sum","5802 Value Entry","17 Sales Amount (Actual)","41 Source Type",$C$5,"5 Source no.",$C1666,"4 Item Ledger Entry Type",$C$4,"2 Item No.","@@"&amp;$F1666,"3 Posting Date",J$9)</t>
  </si>
  <si>
    <t>=-NL("Sum","5802 Value Entry","151 Cost Amount (Expected)","41 Source Type",$C$5,"5 Source No.",$C1666,"4 Item Ledger Entry Type",$C$4,"2 Item No.","@@"&amp;$F1666,"3 Posting Date",J$9)-NL("Sum","5802 Value Entry","43 Cost Amount (Actual)","41 Source Type",$C$5,"5 Source no.",$C1666,"4 Item Ledger Entry Type",$C$4,"2 Item No.","@@"&amp;$F1666,"3 Posting Date",J$9)</t>
  </si>
  <si>
    <t>=J1666-L1666</t>
  </si>
  <si>
    <t>=IF(J1666&lt;&gt;0,M1666/J1666,"")</t>
  </si>
  <si>
    <t>=NL("Sum","5802 Value Entry","150 Sales Amount (Expected)","41 Source Type",$C$5,"5 Source No.",$C1666,"4 Item Ledger Entry Type",$C$4,"2 Item No.","@@"&amp;$F1666,"3 Posting Date",O$9)+NL("Sum","5802 Value Entry","17 Sales Amount (Actual)","41 Source Type",$C$5,"5 Source no.",$C1666,"4 Item Ledger Entry Type",$C$4,"2 Item No.","@@"&amp;$F1666,"3 Posting Date",O$9)</t>
  </si>
  <si>
    <t>=-NL("Sum","5802 Value Entry","151 Cost Amount (Expected)","41 Source Type",$C$5,"5 Source No.",$C1666,"4 Item Ledger Entry Type",$C$4,"2 Item No.","@@"&amp;$F1666,"3 Posting Date",O$9)-NL("Sum","5802 Value Entry","43 Cost Amount (Actual)","41 Source Type",$C$5,"5 Source no.",$C1666,"4 Item Ledger Entry Type",$C$4,"2 Item No.","@@"&amp;$F1666,"3 Posting Date",O$9)</t>
  </si>
  <si>
    <t>=O1666-Q1666</t>
  </si>
  <si>
    <t>=IF(O1666&lt;&gt;0,R1666/O1666,"")</t>
  </si>
  <si>
    <t>=NL("Sum","5802 Value Entry","150 Sales Amount (Expected)","41 Source Type",$C$5,"5 Source No.",$C1666,"4 Item Ledger Entry Type",$C$4,"2 Item No.","@@"&amp;$F1666,"3 Posting Date",U$9)+NL("Sum","5802 Value Entry","17 Sales Amount (Actual)","41 Source Type",$C$5,"5 Source no.",$C1666,"4 Item Ledger Entry Type",$C$4,"2 Item No.","@@"&amp;$F1666,"3 Posting Date",U$9)</t>
  </si>
  <si>
    <t>=-NL("Sum","5802 Value Entry","151 Cost Amount (Expected)","41 Source Type",$C$5,"5 Source No.",$C1666,"4 Item Ledger Entry Type",$C$4,"2 Item No.","@@"&amp;$F1666,"3 Posting Date",U$9)-NL("Sum","5802 Value Entry","43 Cost Amount (Actual)","41 Source Type",$C$5,"5 Source no.",$C1666,"4 Item Ledger Entry Type",$C$4,"2 Item No.","@@"&amp;$F1666,"3 Posting Date",U$9)</t>
  </si>
  <si>
    <t>=U1666-W1666</t>
  </si>
  <si>
    <t>=IF(U1666&lt;&gt;0,X1666/U1666,"")</t>
  </si>
  <si>
    <t>=NL("Sum","5802 Value Entry","150 Sales Amount (Expected)","41 Source Type",$C$5,"5 Source No.",$C1666,"4 Item Ledger Entry Type",$C$4,"2 Item No.","@@"&amp;$F1666,"3 Posting Date",Z$9)+NL("Sum","5802 Value Entry","17 Sales Amount (Actual)","41 Source Type",$C$5,"5 Source no.",$C1666,"4 Item Ledger Entry Type",$C$4,"2 Item No.","@@"&amp;$F1666,"3 Posting Date",Z$9)</t>
  </si>
  <si>
    <t>=-NL("Sum","5802 Value Entry","151 Cost Amount (Expected)","41 Source Type",$C$5,"5 Source No.",$C1666,"4 Item Ledger Entry Type",$C$4,"2 Item No.","@@"&amp;$F1666,"3 Posting Date",Z$9)-NL("Sum","5802 Value Entry","43 Cost Amount (Actual)","41 Source Type",$C$5,"5 Source no.",$C1666,"4 Item Ledger Entry Type",$C$4,"2 Item No.","@@"&amp;$F1666,"3 Posting Date",Z$9)</t>
  </si>
  <si>
    <t>=Z1666-AB1666</t>
  </si>
  <si>
    <t>=IF(Z1666&lt;&gt;0,AC1666/Z1666,"")</t>
  </si>
  <si>
    <t>=C1666</t>
  </si>
  <si>
    <t>=NL("Sum","5802 Value Entry","150 Sales Amount (Expected)","41 Source Type",$C$5,"5 Source No.",$C1667,"4 Item Ledger Entry Type",$C$4,"2 Item No.","@@"&amp;$F1667,"3 Posting Date",J$9)+NL("Sum","5802 Value Entry","17 Sales Amount (Actual)","41 Source Type",$C$5,"5 Source no.",$C1667,"4 Item Ledger Entry Type",$C$4,"2 Item No.","@@"&amp;$F1667,"3 Posting Date",J$9)</t>
  </si>
  <si>
    <t>=-NL("Sum","5802 Value Entry","151 Cost Amount (Expected)","41 Source Type",$C$5,"5 Source No.",$C1667,"4 Item Ledger Entry Type",$C$4,"2 Item No.","@@"&amp;$F1667,"3 Posting Date",J$9)-NL("Sum","5802 Value Entry","43 Cost Amount (Actual)","41 Source Type",$C$5,"5 Source no.",$C1667,"4 Item Ledger Entry Type",$C$4,"2 Item No.","@@"&amp;$F1667,"3 Posting Date",J$9)</t>
  </si>
  <si>
    <t>=J1667-L1667</t>
  </si>
  <si>
    <t>=IF(J1667&lt;&gt;0,M1667/J1667,"")</t>
  </si>
  <si>
    <t>=NL("Sum","5802 Value Entry","150 Sales Amount (Expected)","41 Source Type",$C$5,"5 Source No.",$C1667,"4 Item Ledger Entry Type",$C$4,"2 Item No.","@@"&amp;$F1667,"3 Posting Date",O$9)+NL("Sum","5802 Value Entry","17 Sales Amount (Actual)","41 Source Type",$C$5,"5 Source no.",$C1667,"4 Item Ledger Entry Type",$C$4,"2 Item No.","@@"&amp;$F1667,"3 Posting Date",O$9)</t>
  </si>
  <si>
    <t>=-NL("Sum","5802 Value Entry","151 Cost Amount (Expected)","41 Source Type",$C$5,"5 Source No.",$C1667,"4 Item Ledger Entry Type",$C$4,"2 Item No.","@@"&amp;$F1667,"3 Posting Date",O$9)-NL("Sum","5802 Value Entry","43 Cost Amount (Actual)","41 Source Type",$C$5,"5 Source no.",$C1667,"4 Item Ledger Entry Type",$C$4,"2 Item No.","@@"&amp;$F1667,"3 Posting Date",O$9)</t>
  </si>
  <si>
    <t>=O1667-Q1667</t>
  </si>
  <si>
    <t>=IF(O1667&lt;&gt;0,R1667/O1667,"")</t>
  </si>
  <si>
    <t>=NL("Sum","5802 Value Entry","150 Sales Amount (Expected)","41 Source Type",$C$5,"5 Source No.",$C1667,"4 Item Ledger Entry Type",$C$4,"2 Item No.","@@"&amp;$F1667,"3 Posting Date",U$9)+NL("Sum","5802 Value Entry","17 Sales Amount (Actual)","41 Source Type",$C$5,"5 Source no.",$C1667,"4 Item Ledger Entry Type",$C$4,"2 Item No.","@@"&amp;$F1667,"3 Posting Date",U$9)</t>
  </si>
  <si>
    <t>=-NL("Sum","5802 Value Entry","151 Cost Amount (Expected)","41 Source Type",$C$5,"5 Source No.",$C1667,"4 Item Ledger Entry Type",$C$4,"2 Item No.","@@"&amp;$F1667,"3 Posting Date",U$9)-NL("Sum","5802 Value Entry","43 Cost Amount (Actual)","41 Source Type",$C$5,"5 Source no.",$C1667,"4 Item Ledger Entry Type",$C$4,"2 Item No.","@@"&amp;$F1667,"3 Posting Date",U$9)</t>
  </si>
  <si>
    <t>=U1667-W1667</t>
  </si>
  <si>
    <t>=IF(U1667&lt;&gt;0,X1667/U1667,"")</t>
  </si>
  <si>
    <t>=NL("Sum","5802 Value Entry","150 Sales Amount (Expected)","41 Source Type",$C$5,"5 Source No.",$C1667,"4 Item Ledger Entry Type",$C$4,"2 Item No.","@@"&amp;$F1667,"3 Posting Date",Z$9)+NL("Sum","5802 Value Entry","17 Sales Amount (Actual)","41 Source Type",$C$5,"5 Source no.",$C1667,"4 Item Ledger Entry Type",$C$4,"2 Item No.","@@"&amp;$F1667,"3 Posting Date",Z$9)</t>
  </si>
  <si>
    <t>=-NL("Sum","5802 Value Entry","151 Cost Amount (Expected)","41 Source Type",$C$5,"5 Source No.",$C1667,"4 Item Ledger Entry Type",$C$4,"2 Item No.","@@"&amp;$F1667,"3 Posting Date",Z$9)-NL("Sum","5802 Value Entry","43 Cost Amount (Actual)","41 Source Type",$C$5,"5 Source no.",$C1667,"4 Item Ledger Entry Type",$C$4,"2 Item No.","@@"&amp;$F1667,"3 Posting Date",Z$9)</t>
  </si>
  <si>
    <t>=Z1667-AB1667</t>
  </si>
  <si>
    <t>=IF(Z1667&lt;&gt;0,AC1667/Z1667,"")</t>
  </si>
  <si>
    <t>=C1667</t>
  </si>
  <si>
    <t>=NL("Sum","5802 Value Entry","150 Sales Amount (Expected)","41 Source Type",$C$5,"5 Source No.",$C1668,"4 Item Ledger Entry Type",$C$4,"2 Item No.","@@"&amp;$F1668,"3 Posting Date",J$9)+NL("Sum","5802 Value Entry","17 Sales Amount (Actual)","41 Source Type",$C$5,"5 Source no.",$C1668,"4 Item Ledger Entry Type",$C$4,"2 Item No.","@@"&amp;$F1668,"3 Posting Date",J$9)</t>
  </si>
  <si>
    <t>=-NL("Sum","5802 Value Entry","151 Cost Amount (Expected)","41 Source Type",$C$5,"5 Source No.",$C1668,"4 Item Ledger Entry Type",$C$4,"2 Item No.","@@"&amp;$F1668,"3 Posting Date",J$9)-NL("Sum","5802 Value Entry","43 Cost Amount (Actual)","41 Source Type",$C$5,"5 Source no.",$C1668,"4 Item Ledger Entry Type",$C$4,"2 Item No.","@@"&amp;$F1668,"3 Posting Date",J$9)</t>
  </si>
  <si>
    <t>=J1668-L1668</t>
  </si>
  <si>
    <t>=IF(J1668&lt;&gt;0,M1668/J1668,"")</t>
  </si>
  <si>
    <t>=NL("Sum","5802 Value Entry","150 Sales Amount (Expected)","41 Source Type",$C$5,"5 Source No.",$C1668,"4 Item Ledger Entry Type",$C$4,"2 Item No.","@@"&amp;$F1668,"3 Posting Date",O$9)+NL("Sum","5802 Value Entry","17 Sales Amount (Actual)","41 Source Type",$C$5,"5 Source no.",$C1668,"4 Item Ledger Entry Type",$C$4,"2 Item No.","@@"&amp;$F1668,"3 Posting Date",O$9)</t>
  </si>
  <si>
    <t>=-NL("Sum","5802 Value Entry","151 Cost Amount (Expected)","41 Source Type",$C$5,"5 Source No.",$C1668,"4 Item Ledger Entry Type",$C$4,"2 Item No.","@@"&amp;$F1668,"3 Posting Date",O$9)-NL("Sum","5802 Value Entry","43 Cost Amount (Actual)","41 Source Type",$C$5,"5 Source no.",$C1668,"4 Item Ledger Entry Type",$C$4,"2 Item No.","@@"&amp;$F1668,"3 Posting Date",O$9)</t>
  </si>
  <si>
    <t>=O1668-Q1668</t>
  </si>
  <si>
    <t>=IF(O1668&lt;&gt;0,R1668/O1668,"")</t>
  </si>
  <si>
    <t>=NL("Sum","5802 Value Entry","150 Sales Amount (Expected)","41 Source Type",$C$5,"5 Source No.",$C1668,"4 Item Ledger Entry Type",$C$4,"2 Item No.","@@"&amp;$F1668,"3 Posting Date",U$9)+NL("Sum","5802 Value Entry","17 Sales Amount (Actual)","41 Source Type",$C$5,"5 Source no.",$C1668,"4 Item Ledger Entry Type",$C$4,"2 Item No.","@@"&amp;$F1668,"3 Posting Date",U$9)</t>
  </si>
  <si>
    <t>=-NL("Sum","5802 Value Entry","151 Cost Amount (Expected)","41 Source Type",$C$5,"5 Source No.",$C1668,"4 Item Ledger Entry Type",$C$4,"2 Item No.","@@"&amp;$F1668,"3 Posting Date",U$9)-NL("Sum","5802 Value Entry","43 Cost Amount (Actual)","41 Source Type",$C$5,"5 Source no.",$C1668,"4 Item Ledger Entry Type",$C$4,"2 Item No.","@@"&amp;$F1668,"3 Posting Date",U$9)</t>
  </si>
  <si>
    <t>=U1668-W1668</t>
  </si>
  <si>
    <t>=IF(U1668&lt;&gt;0,X1668/U1668,"")</t>
  </si>
  <si>
    <t>=NL("Sum","5802 Value Entry","150 Sales Amount (Expected)","41 Source Type",$C$5,"5 Source No.",$C1668,"4 Item Ledger Entry Type",$C$4,"2 Item No.","@@"&amp;$F1668,"3 Posting Date",Z$9)+NL("Sum","5802 Value Entry","17 Sales Amount (Actual)","41 Source Type",$C$5,"5 Source no.",$C1668,"4 Item Ledger Entry Type",$C$4,"2 Item No.","@@"&amp;$F1668,"3 Posting Date",Z$9)</t>
  </si>
  <si>
    <t>=-NL("Sum","5802 Value Entry","151 Cost Amount (Expected)","41 Source Type",$C$5,"5 Source No.",$C1668,"4 Item Ledger Entry Type",$C$4,"2 Item No.","@@"&amp;$F1668,"3 Posting Date",Z$9)-NL("Sum","5802 Value Entry","43 Cost Amount (Actual)","41 Source Type",$C$5,"5 Source no.",$C1668,"4 Item Ledger Entry Type",$C$4,"2 Item No.","@@"&amp;$F1668,"3 Posting Date",Z$9)</t>
  </si>
  <si>
    <t>=Z1668-AB1668</t>
  </si>
  <si>
    <t>=IF(Z1668&lt;&gt;0,AC1668/Z1668,"")</t>
  </si>
  <si>
    <t>=C1668</t>
  </si>
  <si>
    <t>=NL("Sum","5802 Value Entry","150 Sales Amount (Expected)","41 Source Type",$C$5,"5 Source No.",$C1669,"4 Item Ledger Entry Type",$C$4,"2 Item No.","@@"&amp;$F1669,"3 Posting Date",J$9)+NL("Sum","5802 Value Entry","17 Sales Amount (Actual)","41 Source Type",$C$5,"5 Source no.",$C1669,"4 Item Ledger Entry Type",$C$4,"2 Item No.","@@"&amp;$F1669,"3 Posting Date",J$9)</t>
  </si>
  <si>
    <t>=-NL("Sum","5802 Value Entry","151 Cost Amount (Expected)","41 Source Type",$C$5,"5 Source No.",$C1669,"4 Item Ledger Entry Type",$C$4,"2 Item No.","@@"&amp;$F1669,"3 Posting Date",J$9)-NL("Sum","5802 Value Entry","43 Cost Amount (Actual)","41 Source Type",$C$5,"5 Source no.",$C1669,"4 Item Ledger Entry Type",$C$4,"2 Item No.","@@"&amp;$F1669,"3 Posting Date",J$9)</t>
  </si>
  <si>
    <t>=J1669-L1669</t>
  </si>
  <si>
    <t>=IF(J1669&lt;&gt;0,M1669/J1669,"")</t>
  </si>
  <si>
    <t>=NL("Sum","5802 Value Entry","150 Sales Amount (Expected)","41 Source Type",$C$5,"5 Source No.",$C1669,"4 Item Ledger Entry Type",$C$4,"2 Item No.","@@"&amp;$F1669,"3 Posting Date",O$9)+NL("Sum","5802 Value Entry","17 Sales Amount (Actual)","41 Source Type",$C$5,"5 Source no.",$C1669,"4 Item Ledger Entry Type",$C$4,"2 Item No.","@@"&amp;$F1669,"3 Posting Date",O$9)</t>
  </si>
  <si>
    <t>=-NL("Sum","5802 Value Entry","151 Cost Amount (Expected)","41 Source Type",$C$5,"5 Source No.",$C1669,"4 Item Ledger Entry Type",$C$4,"2 Item No.","@@"&amp;$F1669,"3 Posting Date",O$9)-NL("Sum","5802 Value Entry","43 Cost Amount (Actual)","41 Source Type",$C$5,"5 Source no.",$C1669,"4 Item Ledger Entry Type",$C$4,"2 Item No.","@@"&amp;$F1669,"3 Posting Date",O$9)</t>
  </si>
  <si>
    <t>=O1669-Q1669</t>
  </si>
  <si>
    <t>=IF(O1669&lt;&gt;0,R1669/O1669,"")</t>
  </si>
  <si>
    <t>=NL("Sum","5802 Value Entry","150 Sales Amount (Expected)","41 Source Type",$C$5,"5 Source No.",$C1669,"4 Item Ledger Entry Type",$C$4,"2 Item No.","@@"&amp;$F1669,"3 Posting Date",U$9)+NL("Sum","5802 Value Entry","17 Sales Amount (Actual)","41 Source Type",$C$5,"5 Source no.",$C1669,"4 Item Ledger Entry Type",$C$4,"2 Item No.","@@"&amp;$F1669,"3 Posting Date",U$9)</t>
  </si>
  <si>
    <t>=-NL("Sum","5802 Value Entry","151 Cost Amount (Expected)","41 Source Type",$C$5,"5 Source No.",$C1669,"4 Item Ledger Entry Type",$C$4,"2 Item No.","@@"&amp;$F1669,"3 Posting Date",U$9)-NL("Sum","5802 Value Entry","43 Cost Amount (Actual)","41 Source Type",$C$5,"5 Source no.",$C1669,"4 Item Ledger Entry Type",$C$4,"2 Item No.","@@"&amp;$F1669,"3 Posting Date",U$9)</t>
  </si>
  <si>
    <t>=U1669-W1669</t>
  </si>
  <si>
    <t>=IF(U1669&lt;&gt;0,X1669/U1669,"")</t>
  </si>
  <si>
    <t>=NL("Sum","5802 Value Entry","150 Sales Amount (Expected)","41 Source Type",$C$5,"5 Source No.",$C1669,"4 Item Ledger Entry Type",$C$4,"2 Item No.","@@"&amp;$F1669,"3 Posting Date",Z$9)+NL("Sum","5802 Value Entry","17 Sales Amount (Actual)","41 Source Type",$C$5,"5 Source no.",$C1669,"4 Item Ledger Entry Type",$C$4,"2 Item No.","@@"&amp;$F1669,"3 Posting Date",Z$9)</t>
  </si>
  <si>
    <t>=-NL("Sum","5802 Value Entry","151 Cost Amount (Expected)","41 Source Type",$C$5,"5 Source No.",$C1669,"4 Item Ledger Entry Type",$C$4,"2 Item No.","@@"&amp;$F1669,"3 Posting Date",Z$9)-NL("Sum","5802 Value Entry","43 Cost Amount (Actual)","41 Source Type",$C$5,"5 Source no.",$C1669,"4 Item Ledger Entry Type",$C$4,"2 Item No.","@@"&amp;$F1669,"3 Posting Date",Z$9)</t>
  </si>
  <si>
    <t>=Z1669-AB1669</t>
  </si>
  <si>
    <t>=IF(Z1669&lt;&gt;0,AC1669/Z1669,"")</t>
  </si>
  <si>
    <t>=C1669</t>
  </si>
  <si>
    <t>=NL("Sum","5802 Value Entry","150 Sales Amount (Expected)","41 Source Type",$C$5,"5 Source No.",$C1670,"4 Item Ledger Entry Type",$C$4,"2 Item No.","@@"&amp;$F1670,"3 Posting Date",J$9)+NL("Sum","5802 Value Entry","17 Sales Amount (Actual)","41 Source Type",$C$5,"5 Source no.",$C1670,"4 Item Ledger Entry Type",$C$4,"2 Item No.","@@"&amp;$F1670,"3 Posting Date",J$9)</t>
  </si>
  <si>
    <t>=-NL("Sum","5802 Value Entry","151 Cost Amount (Expected)","41 Source Type",$C$5,"5 Source No.",$C1670,"4 Item Ledger Entry Type",$C$4,"2 Item No.","@@"&amp;$F1670,"3 Posting Date",J$9)-NL("Sum","5802 Value Entry","43 Cost Amount (Actual)","41 Source Type",$C$5,"5 Source no.",$C1670,"4 Item Ledger Entry Type",$C$4,"2 Item No.","@@"&amp;$F1670,"3 Posting Date",J$9)</t>
  </si>
  <si>
    <t>=J1670-L1670</t>
  </si>
  <si>
    <t>=IF(J1670&lt;&gt;0,M1670/J1670,"")</t>
  </si>
  <si>
    <t>=NL("Sum","5802 Value Entry","150 Sales Amount (Expected)","41 Source Type",$C$5,"5 Source No.",$C1670,"4 Item Ledger Entry Type",$C$4,"2 Item No.","@@"&amp;$F1670,"3 Posting Date",O$9)+NL("Sum","5802 Value Entry","17 Sales Amount (Actual)","41 Source Type",$C$5,"5 Source no.",$C1670,"4 Item Ledger Entry Type",$C$4,"2 Item No.","@@"&amp;$F1670,"3 Posting Date",O$9)</t>
  </si>
  <si>
    <t>=-NL("Sum","5802 Value Entry","151 Cost Amount (Expected)","41 Source Type",$C$5,"5 Source No.",$C1670,"4 Item Ledger Entry Type",$C$4,"2 Item No.","@@"&amp;$F1670,"3 Posting Date",O$9)-NL("Sum","5802 Value Entry","43 Cost Amount (Actual)","41 Source Type",$C$5,"5 Source no.",$C1670,"4 Item Ledger Entry Type",$C$4,"2 Item No.","@@"&amp;$F1670,"3 Posting Date",O$9)</t>
  </si>
  <si>
    <t>=O1670-Q1670</t>
  </si>
  <si>
    <t>=IF(O1670&lt;&gt;0,R1670/O1670,"")</t>
  </si>
  <si>
    <t>=NL("Sum","5802 Value Entry","150 Sales Amount (Expected)","41 Source Type",$C$5,"5 Source No.",$C1670,"4 Item Ledger Entry Type",$C$4,"2 Item No.","@@"&amp;$F1670,"3 Posting Date",U$9)+NL("Sum","5802 Value Entry","17 Sales Amount (Actual)","41 Source Type",$C$5,"5 Source no.",$C1670,"4 Item Ledger Entry Type",$C$4,"2 Item No.","@@"&amp;$F1670,"3 Posting Date",U$9)</t>
  </si>
  <si>
    <t>=-NL("Sum","5802 Value Entry","151 Cost Amount (Expected)","41 Source Type",$C$5,"5 Source No.",$C1670,"4 Item Ledger Entry Type",$C$4,"2 Item No.","@@"&amp;$F1670,"3 Posting Date",U$9)-NL("Sum","5802 Value Entry","43 Cost Amount (Actual)","41 Source Type",$C$5,"5 Source no.",$C1670,"4 Item Ledger Entry Type",$C$4,"2 Item No.","@@"&amp;$F1670,"3 Posting Date",U$9)</t>
  </si>
  <si>
    <t>=U1670-W1670</t>
  </si>
  <si>
    <t>=IF(U1670&lt;&gt;0,X1670/U1670,"")</t>
  </si>
  <si>
    <t>=NL("Sum","5802 Value Entry","150 Sales Amount (Expected)","41 Source Type",$C$5,"5 Source No.",$C1670,"4 Item Ledger Entry Type",$C$4,"2 Item No.","@@"&amp;$F1670,"3 Posting Date",Z$9)+NL("Sum","5802 Value Entry","17 Sales Amount (Actual)","41 Source Type",$C$5,"5 Source no.",$C1670,"4 Item Ledger Entry Type",$C$4,"2 Item No.","@@"&amp;$F1670,"3 Posting Date",Z$9)</t>
  </si>
  <si>
    <t>=-NL("Sum","5802 Value Entry","151 Cost Amount (Expected)","41 Source Type",$C$5,"5 Source No.",$C1670,"4 Item Ledger Entry Type",$C$4,"2 Item No.","@@"&amp;$F1670,"3 Posting Date",Z$9)-NL("Sum","5802 Value Entry","43 Cost Amount (Actual)","41 Source Type",$C$5,"5 Source no.",$C1670,"4 Item Ledger Entry Type",$C$4,"2 Item No.","@@"&amp;$F1670,"3 Posting Date",Z$9)</t>
  </si>
  <si>
    <t>=Z1670-AB1670</t>
  </si>
  <si>
    <t>=IF(Z1670&lt;&gt;0,AC1670/Z1670,"")</t>
  </si>
  <si>
    <t>=C1670</t>
  </si>
  <si>
    <t>=NL("Sum","5802 Value Entry","150 Sales Amount (Expected)","41 Source Type",$C$5,"5 Source No.",$C1671,"4 Item Ledger Entry Type",$C$4,"2 Item No.","@@"&amp;$F1671,"3 Posting Date",J$9)+NL("Sum","5802 Value Entry","17 Sales Amount (Actual)","41 Source Type",$C$5,"5 Source no.",$C1671,"4 Item Ledger Entry Type",$C$4,"2 Item No.","@@"&amp;$F1671,"3 Posting Date",J$9)</t>
  </si>
  <si>
    <t>=-NL("Sum","5802 Value Entry","151 Cost Amount (Expected)","41 Source Type",$C$5,"5 Source No.",$C1671,"4 Item Ledger Entry Type",$C$4,"2 Item No.","@@"&amp;$F1671,"3 Posting Date",J$9)-NL("Sum","5802 Value Entry","43 Cost Amount (Actual)","41 Source Type",$C$5,"5 Source no.",$C1671,"4 Item Ledger Entry Type",$C$4,"2 Item No.","@@"&amp;$F1671,"3 Posting Date",J$9)</t>
  </si>
  <si>
    <t>=J1671-L1671</t>
  </si>
  <si>
    <t>=IF(J1671&lt;&gt;0,M1671/J1671,"")</t>
  </si>
  <si>
    <t>=NL("Sum","5802 Value Entry","150 Sales Amount (Expected)","41 Source Type",$C$5,"5 Source No.",$C1671,"4 Item Ledger Entry Type",$C$4,"2 Item No.","@@"&amp;$F1671,"3 Posting Date",O$9)+NL("Sum","5802 Value Entry","17 Sales Amount (Actual)","41 Source Type",$C$5,"5 Source no.",$C1671,"4 Item Ledger Entry Type",$C$4,"2 Item No.","@@"&amp;$F1671,"3 Posting Date",O$9)</t>
  </si>
  <si>
    <t>=-NL("Sum","5802 Value Entry","151 Cost Amount (Expected)","41 Source Type",$C$5,"5 Source No.",$C1671,"4 Item Ledger Entry Type",$C$4,"2 Item No.","@@"&amp;$F1671,"3 Posting Date",O$9)-NL("Sum","5802 Value Entry","43 Cost Amount (Actual)","41 Source Type",$C$5,"5 Source no.",$C1671,"4 Item Ledger Entry Type",$C$4,"2 Item No.","@@"&amp;$F1671,"3 Posting Date",O$9)</t>
  </si>
  <si>
    <t>=O1671-Q1671</t>
  </si>
  <si>
    <t>=IF(O1671&lt;&gt;0,R1671/O1671,"")</t>
  </si>
  <si>
    <t>=NL("Sum","5802 Value Entry","150 Sales Amount (Expected)","41 Source Type",$C$5,"5 Source No.",$C1671,"4 Item Ledger Entry Type",$C$4,"2 Item No.","@@"&amp;$F1671,"3 Posting Date",U$9)+NL("Sum","5802 Value Entry","17 Sales Amount (Actual)","41 Source Type",$C$5,"5 Source no.",$C1671,"4 Item Ledger Entry Type",$C$4,"2 Item No.","@@"&amp;$F1671,"3 Posting Date",U$9)</t>
  </si>
  <si>
    <t>=-NL("Sum","5802 Value Entry","151 Cost Amount (Expected)","41 Source Type",$C$5,"5 Source No.",$C1671,"4 Item Ledger Entry Type",$C$4,"2 Item No.","@@"&amp;$F1671,"3 Posting Date",U$9)-NL("Sum","5802 Value Entry","43 Cost Amount (Actual)","41 Source Type",$C$5,"5 Source no.",$C1671,"4 Item Ledger Entry Type",$C$4,"2 Item No.","@@"&amp;$F1671,"3 Posting Date",U$9)</t>
  </si>
  <si>
    <t>=U1671-W1671</t>
  </si>
  <si>
    <t>=IF(U1671&lt;&gt;0,X1671/U1671,"")</t>
  </si>
  <si>
    <t>=NL("Sum","5802 Value Entry","150 Sales Amount (Expected)","41 Source Type",$C$5,"5 Source No.",$C1671,"4 Item Ledger Entry Type",$C$4,"2 Item No.","@@"&amp;$F1671,"3 Posting Date",Z$9)+NL("Sum","5802 Value Entry","17 Sales Amount (Actual)","41 Source Type",$C$5,"5 Source no.",$C1671,"4 Item Ledger Entry Type",$C$4,"2 Item No.","@@"&amp;$F1671,"3 Posting Date",Z$9)</t>
  </si>
  <si>
    <t>=-NL("Sum","5802 Value Entry","151 Cost Amount (Expected)","41 Source Type",$C$5,"5 Source No.",$C1671,"4 Item Ledger Entry Type",$C$4,"2 Item No.","@@"&amp;$F1671,"3 Posting Date",Z$9)-NL("Sum","5802 Value Entry","43 Cost Amount (Actual)","41 Source Type",$C$5,"5 Source no.",$C1671,"4 Item Ledger Entry Type",$C$4,"2 Item No.","@@"&amp;$F1671,"3 Posting Date",Z$9)</t>
  </si>
  <si>
    <t>=Z1671-AB1671</t>
  </si>
  <si>
    <t>=IF(Z1671&lt;&gt;0,AC1671/Z1671,"")</t>
  </si>
  <si>
    <t>=C1671</t>
  </si>
  <si>
    <t>=NL("Sum","5802 Value Entry","150 Sales Amount (Expected)","41 Source Type",$C$5,"5 Source No.",$C1672,"4 Item Ledger Entry Type",$C$4,"2 Item No.","@@"&amp;$F1672,"3 Posting Date",J$9)+NL("Sum","5802 Value Entry","17 Sales Amount (Actual)","41 Source Type",$C$5,"5 Source no.",$C1672,"4 Item Ledger Entry Type",$C$4,"2 Item No.","@@"&amp;$F1672,"3 Posting Date",J$9)</t>
  </si>
  <si>
    <t>=-NL("Sum","5802 Value Entry","151 Cost Amount (Expected)","41 Source Type",$C$5,"5 Source No.",$C1672,"4 Item Ledger Entry Type",$C$4,"2 Item No.","@@"&amp;$F1672,"3 Posting Date",J$9)-NL("Sum","5802 Value Entry","43 Cost Amount (Actual)","41 Source Type",$C$5,"5 Source no.",$C1672,"4 Item Ledger Entry Type",$C$4,"2 Item No.","@@"&amp;$F1672,"3 Posting Date",J$9)</t>
  </si>
  <si>
    <t>=J1672-L1672</t>
  </si>
  <si>
    <t>=IF(J1672&lt;&gt;0,M1672/J1672,"")</t>
  </si>
  <si>
    <t>=NL("Sum","5802 Value Entry","150 Sales Amount (Expected)","41 Source Type",$C$5,"5 Source No.",$C1672,"4 Item Ledger Entry Type",$C$4,"2 Item No.","@@"&amp;$F1672,"3 Posting Date",O$9)+NL("Sum","5802 Value Entry","17 Sales Amount (Actual)","41 Source Type",$C$5,"5 Source no.",$C1672,"4 Item Ledger Entry Type",$C$4,"2 Item No.","@@"&amp;$F1672,"3 Posting Date",O$9)</t>
  </si>
  <si>
    <t>=-NL("Sum","5802 Value Entry","151 Cost Amount (Expected)","41 Source Type",$C$5,"5 Source No.",$C1672,"4 Item Ledger Entry Type",$C$4,"2 Item No.","@@"&amp;$F1672,"3 Posting Date",O$9)-NL("Sum","5802 Value Entry","43 Cost Amount (Actual)","41 Source Type",$C$5,"5 Source no.",$C1672,"4 Item Ledger Entry Type",$C$4,"2 Item No.","@@"&amp;$F1672,"3 Posting Date",O$9)</t>
  </si>
  <si>
    <t>=O1672-Q1672</t>
  </si>
  <si>
    <t>=IF(O1672&lt;&gt;0,R1672/O1672,"")</t>
  </si>
  <si>
    <t>=NL("Sum","5802 Value Entry","150 Sales Amount (Expected)","41 Source Type",$C$5,"5 Source No.",$C1672,"4 Item Ledger Entry Type",$C$4,"2 Item No.","@@"&amp;$F1672,"3 Posting Date",U$9)+NL("Sum","5802 Value Entry","17 Sales Amount (Actual)","41 Source Type",$C$5,"5 Source no.",$C1672,"4 Item Ledger Entry Type",$C$4,"2 Item No.","@@"&amp;$F1672,"3 Posting Date",U$9)</t>
  </si>
  <si>
    <t>=-NL("Sum","5802 Value Entry","151 Cost Amount (Expected)","41 Source Type",$C$5,"5 Source No.",$C1672,"4 Item Ledger Entry Type",$C$4,"2 Item No.","@@"&amp;$F1672,"3 Posting Date",U$9)-NL("Sum","5802 Value Entry","43 Cost Amount (Actual)","41 Source Type",$C$5,"5 Source no.",$C1672,"4 Item Ledger Entry Type",$C$4,"2 Item No.","@@"&amp;$F1672,"3 Posting Date",U$9)</t>
  </si>
  <si>
    <t>=U1672-W1672</t>
  </si>
  <si>
    <t>=IF(U1672&lt;&gt;0,X1672/U1672,"")</t>
  </si>
  <si>
    <t>=NL("Sum","5802 Value Entry","150 Sales Amount (Expected)","41 Source Type",$C$5,"5 Source No.",$C1672,"4 Item Ledger Entry Type",$C$4,"2 Item No.","@@"&amp;$F1672,"3 Posting Date",Z$9)+NL("Sum","5802 Value Entry","17 Sales Amount (Actual)","41 Source Type",$C$5,"5 Source no.",$C1672,"4 Item Ledger Entry Type",$C$4,"2 Item No.","@@"&amp;$F1672,"3 Posting Date",Z$9)</t>
  </si>
  <si>
    <t>=-NL("Sum","5802 Value Entry","151 Cost Amount (Expected)","41 Source Type",$C$5,"5 Source No.",$C1672,"4 Item Ledger Entry Type",$C$4,"2 Item No.","@@"&amp;$F1672,"3 Posting Date",Z$9)-NL("Sum","5802 Value Entry","43 Cost Amount (Actual)","41 Source Type",$C$5,"5 Source no.",$C1672,"4 Item Ledger Entry Type",$C$4,"2 Item No.","@@"&amp;$F1672,"3 Posting Date",Z$9)</t>
  </si>
  <si>
    <t>=Z1672-AB1672</t>
  </si>
  <si>
    <t>=IF(Z1672&lt;&gt;0,AC1672/Z1672,"")</t>
  </si>
  <si>
    <t>=C1672</t>
  </si>
  <si>
    <t>=NL("Sum","5802 Value Entry","150 Sales Amount (Expected)","41 Source Type",$C$5,"5 Source No.",$C1673,"4 Item Ledger Entry Type",$C$4,"2 Item No.","@@"&amp;$F1673,"3 Posting Date",J$9)+NL("Sum","5802 Value Entry","17 Sales Amount (Actual)","41 Source Type",$C$5,"5 Source no.",$C1673,"4 Item Ledger Entry Type",$C$4,"2 Item No.","@@"&amp;$F1673,"3 Posting Date",J$9)</t>
  </si>
  <si>
    <t>=-NL("Sum","5802 Value Entry","151 Cost Amount (Expected)","41 Source Type",$C$5,"5 Source No.",$C1673,"4 Item Ledger Entry Type",$C$4,"2 Item No.","@@"&amp;$F1673,"3 Posting Date",J$9)-NL("Sum","5802 Value Entry","43 Cost Amount (Actual)","41 Source Type",$C$5,"5 Source no.",$C1673,"4 Item Ledger Entry Type",$C$4,"2 Item No.","@@"&amp;$F1673,"3 Posting Date",J$9)</t>
  </si>
  <si>
    <t>=J1673-L1673</t>
  </si>
  <si>
    <t>=IF(J1673&lt;&gt;0,M1673/J1673,"")</t>
  </si>
  <si>
    <t>=NL("Sum","5802 Value Entry","150 Sales Amount (Expected)","41 Source Type",$C$5,"5 Source No.",$C1673,"4 Item Ledger Entry Type",$C$4,"2 Item No.","@@"&amp;$F1673,"3 Posting Date",O$9)+NL("Sum","5802 Value Entry","17 Sales Amount (Actual)","41 Source Type",$C$5,"5 Source no.",$C1673,"4 Item Ledger Entry Type",$C$4,"2 Item No.","@@"&amp;$F1673,"3 Posting Date",O$9)</t>
  </si>
  <si>
    <t>=-NL("Sum","5802 Value Entry","151 Cost Amount (Expected)","41 Source Type",$C$5,"5 Source No.",$C1673,"4 Item Ledger Entry Type",$C$4,"2 Item No.","@@"&amp;$F1673,"3 Posting Date",O$9)-NL("Sum","5802 Value Entry","43 Cost Amount (Actual)","41 Source Type",$C$5,"5 Source no.",$C1673,"4 Item Ledger Entry Type",$C$4,"2 Item No.","@@"&amp;$F1673,"3 Posting Date",O$9)</t>
  </si>
  <si>
    <t>=O1673-Q1673</t>
  </si>
  <si>
    <t>=IF(O1673&lt;&gt;0,R1673/O1673,"")</t>
  </si>
  <si>
    <t>=NL("Sum","5802 Value Entry","150 Sales Amount (Expected)","41 Source Type",$C$5,"5 Source No.",$C1673,"4 Item Ledger Entry Type",$C$4,"2 Item No.","@@"&amp;$F1673,"3 Posting Date",U$9)+NL("Sum","5802 Value Entry","17 Sales Amount (Actual)","41 Source Type",$C$5,"5 Source no.",$C1673,"4 Item Ledger Entry Type",$C$4,"2 Item No.","@@"&amp;$F1673,"3 Posting Date",U$9)</t>
  </si>
  <si>
    <t>=-NL("Sum","5802 Value Entry","151 Cost Amount (Expected)","41 Source Type",$C$5,"5 Source No.",$C1673,"4 Item Ledger Entry Type",$C$4,"2 Item No.","@@"&amp;$F1673,"3 Posting Date",U$9)-NL("Sum","5802 Value Entry","43 Cost Amount (Actual)","41 Source Type",$C$5,"5 Source no.",$C1673,"4 Item Ledger Entry Type",$C$4,"2 Item No.","@@"&amp;$F1673,"3 Posting Date",U$9)</t>
  </si>
  <si>
    <t>=U1673-W1673</t>
  </si>
  <si>
    <t>=IF(U1673&lt;&gt;0,X1673/U1673,"")</t>
  </si>
  <si>
    <t>=NL("Sum","5802 Value Entry","150 Sales Amount (Expected)","41 Source Type",$C$5,"5 Source No.",$C1673,"4 Item Ledger Entry Type",$C$4,"2 Item No.","@@"&amp;$F1673,"3 Posting Date",Z$9)+NL("Sum","5802 Value Entry","17 Sales Amount (Actual)","41 Source Type",$C$5,"5 Source no.",$C1673,"4 Item Ledger Entry Type",$C$4,"2 Item No.","@@"&amp;$F1673,"3 Posting Date",Z$9)</t>
  </si>
  <si>
    <t>=-NL("Sum","5802 Value Entry","151 Cost Amount (Expected)","41 Source Type",$C$5,"5 Source No.",$C1673,"4 Item Ledger Entry Type",$C$4,"2 Item No.","@@"&amp;$F1673,"3 Posting Date",Z$9)-NL("Sum","5802 Value Entry","43 Cost Amount (Actual)","41 Source Type",$C$5,"5 Source no.",$C1673,"4 Item Ledger Entry Type",$C$4,"2 Item No.","@@"&amp;$F1673,"3 Posting Date",Z$9)</t>
  </si>
  <si>
    <t>=Z1673-AB1673</t>
  </si>
  <si>
    <t>=IF(Z1673&lt;&gt;0,AC1673/Z1673,"")</t>
  </si>
  <si>
    <t>=C1673</t>
  </si>
  <si>
    <t>=NL("Sum","5802 Value Entry","150 Sales Amount (Expected)","41 Source Type",$C$5,"5 Source No.",$C1674,"4 Item Ledger Entry Type",$C$4,"2 Item No.","@@"&amp;$F1674,"3 Posting Date",J$9)+NL("Sum","5802 Value Entry","17 Sales Amount (Actual)","41 Source Type",$C$5,"5 Source no.",$C1674,"4 Item Ledger Entry Type",$C$4,"2 Item No.","@@"&amp;$F1674,"3 Posting Date",J$9)</t>
  </si>
  <si>
    <t>=-NL("Sum","5802 Value Entry","151 Cost Amount (Expected)","41 Source Type",$C$5,"5 Source No.",$C1674,"4 Item Ledger Entry Type",$C$4,"2 Item No.","@@"&amp;$F1674,"3 Posting Date",J$9)-NL("Sum","5802 Value Entry","43 Cost Amount (Actual)","41 Source Type",$C$5,"5 Source no.",$C1674,"4 Item Ledger Entry Type",$C$4,"2 Item No.","@@"&amp;$F1674,"3 Posting Date",J$9)</t>
  </si>
  <si>
    <t>=J1674-L1674</t>
  </si>
  <si>
    <t>=IF(J1674&lt;&gt;0,M1674/J1674,"")</t>
  </si>
  <si>
    <t>=NL("Sum","5802 Value Entry","150 Sales Amount (Expected)","41 Source Type",$C$5,"5 Source No.",$C1674,"4 Item Ledger Entry Type",$C$4,"2 Item No.","@@"&amp;$F1674,"3 Posting Date",O$9)+NL("Sum","5802 Value Entry","17 Sales Amount (Actual)","41 Source Type",$C$5,"5 Source no.",$C1674,"4 Item Ledger Entry Type",$C$4,"2 Item No.","@@"&amp;$F1674,"3 Posting Date",O$9)</t>
  </si>
  <si>
    <t>=-NL("Sum","5802 Value Entry","151 Cost Amount (Expected)","41 Source Type",$C$5,"5 Source No.",$C1674,"4 Item Ledger Entry Type",$C$4,"2 Item No.","@@"&amp;$F1674,"3 Posting Date",O$9)-NL("Sum","5802 Value Entry","43 Cost Amount (Actual)","41 Source Type",$C$5,"5 Source no.",$C1674,"4 Item Ledger Entry Type",$C$4,"2 Item No.","@@"&amp;$F1674,"3 Posting Date",O$9)</t>
  </si>
  <si>
    <t>=O1674-Q1674</t>
  </si>
  <si>
    <t>=IF(O1674&lt;&gt;0,R1674/O1674,"")</t>
  </si>
  <si>
    <t>=NL("Sum","5802 Value Entry","150 Sales Amount (Expected)","41 Source Type",$C$5,"5 Source No.",$C1674,"4 Item Ledger Entry Type",$C$4,"2 Item No.","@@"&amp;$F1674,"3 Posting Date",U$9)+NL("Sum","5802 Value Entry","17 Sales Amount (Actual)","41 Source Type",$C$5,"5 Source no.",$C1674,"4 Item Ledger Entry Type",$C$4,"2 Item No.","@@"&amp;$F1674,"3 Posting Date",U$9)</t>
  </si>
  <si>
    <t>=-NL("Sum","5802 Value Entry","151 Cost Amount (Expected)","41 Source Type",$C$5,"5 Source No.",$C1674,"4 Item Ledger Entry Type",$C$4,"2 Item No.","@@"&amp;$F1674,"3 Posting Date",U$9)-NL("Sum","5802 Value Entry","43 Cost Amount (Actual)","41 Source Type",$C$5,"5 Source no.",$C1674,"4 Item Ledger Entry Type",$C$4,"2 Item No.","@@"&amp;$F1674,"3 Posting Date",U$9)</t>
  </si>
  <si>
    <t>=U1674-W1674</t>
  </si>
  <si>
    <t>=IF(U1674&lt;&gt;0,X1674/U1674,"")</t>
  </si>
  <si>
    <t>=NL("Sum","5802 Value Entry","150 Sales Amount (Expected)","41 Source Type",$C$5,"5 Source No.",$C1674,"4 Item Ledger Entry Type",$C$4,"2 Item No.","@@"&amp;$F1674,"3 Posting Date",Z$9)+NL("Sum","5802 Value Entry","17 Sales Amount (Actual)","41 Source Type",$C$5,"5 Source no.",$C1674,"4 Item Ledger Entry Type",$C$4,"2 Item No.","@@"&amp;$F1674,"3 Posting Date",Z$9)</t>
  </si>
  <si>
    <t>=-NL("Sum","5802 Value Entry","151 Cost Amount (Expected)","41 Source Type",$C$5,"5 Source No.",$C1674,"4 Item Ledger Entry Type",$C$4,"2 Item No.","@@"&amp;$F1674,"3 Posting Date",Z$9)-NL("Sum","5802 Value Entry","43 Cost Amount (Actual)","41 Source Type",$C$5,"5 Source no.",$C1674,"4 Item Ledger Entry Type",$C$4,"2 Item No.","@@"&amp;$F1674,"3 Posting Date",Z$9)</t>
  </si>
  <si>
    <t>=Z1674-AB1674</t>
  </si>
  <si>
    <t>=IF(Z1674&lt;&gt;0,AC1674/Z1674,"")</t>
  </si>
  <si>
    <t>=C1674</t>
  </si>
  <si>
    <t>=NL("Sum","5802 Value Entry","150 Sales Amount (Expected)","41 Source Type",$C$5,"5 Source No.",$C1675,"4 Item Ledger Entry Type",$C$4,"2 Item No.","@@"&amp;$F1675,"3 Posting Date",J$9)+NL("Sum","5802 Value Entry","17 Sales Amount (Actual)","41 Source Type",$C$5,"5 Source no.",$C1675,"4 Item Ledger Entry Type",$C$4,"2 Item No.","@@"&amp;$F1675,"3 Posting Date",J$9)</t>
  </si>
  <si>
    <t>=-NL("Sum","5802 Value Entry","151 Cost Amount (Expected)","41 Source Type",$C$5,"5 Source No.",$C1675,"4 Item Ledger Entry Type",$C$4,"2 Item No.","@@"&amp;$F1675,"3 Posting Date",J$9)-NL("Sum","5802 Value Entry","43 Cost Amount (Actual)","41 Source Type",$C$5,"5 Source no.",$C1675,"4 Item Ledger Entry Type",$C$4,"2 Item No.","@@"&amp;$F1675,"3 Posting Date",J$9)</t>
  </si>
  <si>
    <t>=J1675-L1675</t>
  </si>
  <si>
    <t>=IF(J1675&lt;&gt;0,M1675/J1675,"")</t>
  </si>
  <si>
    <t>=NL("Sum","5802 Value Entry","150 Sales Amount (Expected)","41 Source Type",$C$5,"5 Source No.",$C1675,"4 Item Ledger Entry Type",$C$4,"2 Item No.","@@"&amp;$F1675,"3 Posting Date",O$9)+NL("Sum","5802 Value Entry","17 Sales Amount (Actual)","41 Source Type",$C$5,"5 Source no.",$C1675,"4 Item Ledger Entry Type",$C$4,"2 Item No.","@@"&amp;$F1675,"3 Posting Date",O$9)</t>
  </si>
  <si>
    <t>=-NL("Sum","5802 Value Entry","151 Cost Amount (Expected)","41 Source Type",$C$5,"5 Source No.",$C1675,"4 Item Ledger Entry Type",$C$4,"2 Item No.","@@"&amp;$F1675,"3 Posting Date",O$9)-NL("Sum","5802 Value Entry","43 Cost Amount (Actual)","41 Source Type",$C$5,"5 Source no.",$C1675,"4 Item Ledger Entry Type",$C$4,"2 Item No.","@@"&amp;$F1675,"3 Posting Date",O$9)</t>
  </si>
  <si>
    <t>=O1675-Q1675</t>
  </si>
  <si>
    <t>=IF(O1675&lt;&gt;0,R1675/O1675,"")</t>
  </si>
  <si>
    <t>=NL("Sum","5802 Value Entry","150 Sales Amount (Expected)","41 Source Type",$C$5,"5 Source No.",$C1675,"4 Item Ledger Entry Type",$C$4,"2 Item No.","@@"&amp;$F1675,"3 Posting Date",U$9)+NL("Sum","5802 Value Entry","17 Sales Amount (Actual)","41 Source Type",$C$5,"5 Source no.",$C1675,"4 Item Ledger Entry Type",$C$4,"2 Item No.","@@"&amp;$F1675,"3 Posting Date",U$9)</t>
  </si>
  <si>
    <t>=-NL("Sum","5802 Value Entry","151 Cost Amount (Expected)","41 Source Type",$C$5,"5 Source No.",$C1675,"4 Item Ledger Entry Type",$C$4,"2 Item No.","@@"&amp;$F1675,"3 Posting Date",U$9)-NL("Sum","5802 Value Entry","43 Cost Amount (Actual)","41 Source Type",$C$5,"5 Source no.",$C1675,"4 Item Ledger Entry Type",$C$4,"2 Item No.","@@"&amp;$F1675,"3 Posting Date",U$9)</t>
  </si>
  <si>
    <t>=U1675-W1675</t>
  </si>
  <si>
    <t>=IF(U1675&lt;&gt;0,X1675/U1675,"")</t>
  </si>
  <si>
    <t>=NL("Sum","5802 Value Entry","150 Sales Amount (Expected)","41 Source Type",$C$5,"5 Source No.",$C1675,"4 Item Ledger Entry Type",$C$4,"2 Item No.","@@"&amp;$F1675,"3 Posting Date",Z$9)+NL("Sum","5802 Value Entry","17 Sales Amount (Actual)","41 Source Type",$C$5,"5 Source no.",$C1675,"4 Item Ledger Entry Type",$C$4,"2 Item No.","@@"&amp;$F1675,"3 Posting Date",Z$9)</t>
  </si>
  <si>
    <t>=-NL("Sum","5802 Value Entry","151 Cost Amount (Expected)","41 Source Type",$C$5,"5 Source No.",$C1675,"4 Item Ledger Entry Type",$C$4,"2 Item No.","@@"&amp;$F1675,"3 Posting Date",Z$9)-NL("Sum","5802 Value Entry","43 Cost Amount (Actual)","41 Source Type",$C$5,"5 Source no.",$C1675,"4 Item Ledger Entry Type",$C$4,"2 Item No.","@@"&amp;$F1675,"3 Posting Date",Z$9)</t>
  </si>
  <si>
    <t>=Z1675-AB1675</t>
  </si>
  <si>
    <t>=IF(Z1675&lt;&gt;0,AC1675/Z1675,"")</t>
  </si>
  <si>
    <t>=C1675</t>
  </si>
  <si>
    <t>=NL("Sum","5802 Value Entry","150 Sales Amount (Expected)","41 Source Type",$C$5,"5 Source No.",$C1676,"4 Item Ledger Entry Type",$C$4,"2 Item No.","@@"&amp;$F1676,"3 Posting Date",J$9)+NL("Sum","5802 Value Entry","17 Sales Amount (Actual)","41 Source Type",$C$5,"5 Source no.",$C1676,"4 Item Ledger Entry Type",$C$4,"2 Item No.","@@"&amp;$F1676,"3 Posting Date",J$9)</t>
  </si>
  <si>
    <t>=-NL("Sum","5802 Value Entry","151 Cost Amount (Expected)","41 Source Type",$C$5,"5 Source No.",$C1676,"4 Item Ledger Entry Type",$C$4,"2 Item No.","@@"&amp;$F1676,"3 Posting Date",J$9)-NL("Sum","5802 Value Entry","43 Cost Amount (Actual)","41 Source Type",$C$5,"5 Source no.",$C1676,"4 Item Ledger Entry Type",$C$4,"2 Item No.","@@"&amp;$F1676,"3 Posting Date",J$9)</t>
  </si>
  <si>
    <t>=J1676-L1676</t>
  </si>
  <si>
    <t>=IF(J1676&lt;&gt;0,M1676/J1676,"")</t>
  </si>
  <si>
    <t>=NL("Sum","5802 Value Entry","150 Sales Amount (Expected)","41 Source Type",$C$5,"5 Source No.",$C1676,"4 Item Ledger Entry Type",$C$4,"2 Item No.","@@"&amp;$F1676,"3 Posting Date",O$9)+NL("Sum","5802 Value Entry","17 Sales Amount (Actual)","41 Source Type",$C$5,"5 Source no.",$C1676,"4 Item Ledger Entry Type",$C$4,"2 Item No.","@@"&amp;$F1676,"3 Posting Date",O$9)</t>
  </si>
  <si>
    <t>=-NL("Sum","5802 Value Entry","151 Cost Amount (Expected)","41 Source Type",$C$5,"5 Source No.",$C1676,"4 Item Ledger Entry Type",$C$4,"2 Item No.","@@"&amp;$F1676,"3 Posting Date",O$9)-NL("Sum","5802 Value Entry","43 Cost Amount (Actual)","41 Source Type",$C$5,"5 Source no.",$C1676,"4 Item Ledger Entry Type",$C$4,"2 Item No.","@@"&amp;$F1676,"3 Posting Date",O$9)</t>
  </si>
  <si>
    <t>=O1676-Q1676</t>
  </si>
  <si>
    <t>=IF(O1676&lt;&gt;0,R1676/O1676,"")</t>
  </si>
  <si>
    <t>=NL("Sum","5802 Value Entry","150 Sales Amount (Expected)","41 Source Type",$C$5,"5 Source No.",$C1676,"4 Item Ledger Entry Type",$C$4,"2 Item No.","@@"&amp;$F1676,"3 Posting Date",U$9)+NL("Sum","5802 Value Entry","17 Sales Amount (Actual)","41 Source Type",$C$5,"5 Source no.",$C1676,"4 Item Ledger Entry Type",$C$4,"2 Item No.","@@"&amp;$F1676,"3 Posting Date",U$9)</t>
  </si>
  <si>
    <t>=-NL("Sum","5802 Value Entry","151 Cost Amount (Expected)","41 Source Type",$C$5,"5 Source No.",$C1676,"4 Item Ledger Entry Type",$C$4,"2 Item No.","@@"&amp;$F1676,"3 Posting Date",U$9)-NL("Sum","5802 Value Entry","43 Cost Amount (Actual)","41 Source Type",$C$5,"5 Source no.",$C1676,"4 Item Ledger Entry Type",$C$4,"2 Item No.","@@"&amp;$F1676,"3 Posting Date",U$9)</t>
  </si>
  <si>
    <t>=U1676-W1676</t>
  </si>
  <si>
    <t>=IF(U1676&lt;&gt;0,X1676/U1676,"")</t>
  </si>
  <si>
    <t>=NL("Sum","5802 Value Entry","150 Sales Amount (Expected)","41 Source Type",$C$5,"5 Source No.",$C1676,"4 Item Ledger Entry Type",$C$4,"2 Item No.","@@"&amp;$F1676,"3 Posting Date",Z$9)+NL("Sum","5802 Value Entry","17 Sales Amount (Actual)","41 Source Type",$C$5,"5 Source no.",$C1676,"4 Item Ledger Entry Type",$C$4,"2 Item No.","@@"&amp;$F1676,"3 Posting Date",Z$9)</t>
  </si>
  <si>
    <t>=-NL("Sum","5802 Value Entry","151 Cost Amount (Expected)","41 Source Type",$C$5,"5 Source No.",$C1676,"4 Item Ledger Entry Type",$C$4,"2 Item No.","@@"&amp;$F1676,"3 Posting Date",Z$9)-NL("Sum","5802 Value Entry","43 Cost Amount (Actual)","41 Source Type",$C$5,"5 Source no.",$C1676,"4 Item Ledger Entry Type",$C$4,"2 Item No.","@@"&amp;$F1676,"3 Posting Date",Z$9)</t>
  </si>
  <si>
    <t>=Z1676-AB1676</t>
  </si>
  <si>
    <t>=IF(Z1676&lt;&gt;0,AC1676/Z1676,"")</t>
  </si>
  <si>
    <t>=C1676</t>
  </si>
  <si>
    <t>=NL("Sum","5802 Value Entry","150 Sales Amount (Expected)","41 Source Type",$C$5,"5 Source No.",$C1677,"4 Item Ledger Entry Type",$C$4,"2 Item No.","@@"&amp;$F1677,"3 Posting Date",J$9)+NL("Sum","5802 Value Entry","17 Sales Amount (Actual)","41 Source Type",$C$5,"5 Source no.",$C1677,"4 Item Ledger Entry Type",$C$4,"2 Item No.","@@"&amp;$F1677,"3 Posting Date",J$9)</t>
  </si>
  <si>
    <t>=-NL("Sum","5802 Value Entry","151 Cost Amount (Expected)","41 Source Type",$C$5,"5 Source No.",$C1677,"4 Item Ledger Entry Type",$C$4,"2 Item No.","@@"&amp;$F1677,"3 Posting Date",J$9)-NL("Sum","5802 Value Entry","43 Cost Amount (Actual)","41 Source Type",$C$5,"5 Source no.",$C1677,"4 Item Ledger Entry Type",$C$4,"2 Item No.","@@"&amp;$F1677,"3 Posting Date",J$9)</t>
  </si>
  <si>
    <t>=J1677-L1677</t>
  </si>
  <si>
    <t>=IF(J1677&lt;&gt;0,M1677/J1677,"")</t>
  </si>
  <si>
    <t>=NL("Sum","5802 Value Entry","150 Sales Amount (Expected)","41 Source Type",$C$5,"5 Source No.",$C1677,"4 Item Ledger Entry Type",$C$4,"2 Item No.","@@"&amp;$F1677,"3 Posting Date",O$9)+NL("Sum","5802 Value Entry","17 Sales Amount (Actual)","41 Source Type",$C$5,"5 Source no.",$C1677,"4 Item Ledger Entry Type",$C$4,"2 Item No.","@@"&amp;$F1677,"3 Posting Date",O$9)</t>
  </si>
  <si>
    <t>=-NL("Sum","5802 Value Entry","151 Cost Amount (Expected)","41 Source Type",$C$5,"5 Source No.",$C1677,"4 Item Ledger Entry Type",$C$4,"2 Item No.","@@"&amp;$F1677,"3 Posting Date",O$9)-NL("Sum","5802 Value Entry","43 Cost Amount (Actual)","41 Source Type",$C$5,"5 Source no.",$C1677,"4 Item Ledger Entry Type",$C$4,"2 Item No.","@@"&amp;$F1677,"3 Posting Date",O$9)</t>
  </si>
  <si>
    <t>=O1677-Q1677</t>
  </si>
  <si>
    <t>=IF(O1677&lt;&gt;0,R1677/O1677,"")</t>
  </si>
  <si>
    <t>=NL("Sum","5802 Value Entry","150 Sales Amount (Expected)","41 Source Type",$C$5,"5 Source No.",$C1677,"4 Item Ledger Entry Type",$C$4,"2 Item No.","@@"&amp;$F1677,"3 Posting Date",U$9)+NL("Sum","5802 Value Entry","17 Sales Amount (Actual)","41 Source Type",$C$5,"5 Source no.",$C1677,"4 Item Ledger Entry Type",$C$4,"2 Item No.","@@"&amp;$F1677,"3 Posting Date",U$9)</t>
  </si>
  <si>
    <t>=-NL("Sum","5802 Value Entry","151 Cost Amount (Expected)","41 Source Type",$C$5,"5 Source No.",$C1677,"4 Item Ledger Entry Type",$C$4,"2 Item No.","@@"&amp;$F1677,"3 Posting Date",U$9)-NL("Sum","5802 Value Entry","43 Cost Amount (Actual)","41 Source Type",$C$5,"5 Source no.",$C1677,"4 Item Ledger Entry Type",$C$4,"2 Item No.","@@"&amp;$F1677,"3 Posting Date",U$9)</t>
  </si>
  <si>
    <t>=U1677-W1677</t>
  </si>
  <si>
    <t>=IF(U1677&lt;&gt;0,X1677/U1677,"")</t>
  </si>
  <si>
    <t>=NL("Sum","5802 Value Entry","150 Sales Amount (Expected)","41 Source Type",$C$5,"5 Source No.",$C1677,"4 Item Ledger Entry Type",$C$4,"2 Item No.","@@"&amp;$F1677,"3 Posting Date",Z$9)+NL("Sum","5802 Value Entry","17 Sales Amount (Actual)","41 Source Type",$C$5,"5 Source no.",$C1677,"4 Item Ledger Entry Type",$C$4,"2 Item No.","@@"&amp;$F1677,"3 Posting Date",Z$9)</t>
  </si>
  <si>
    <t>=-NL("Sum","5802 Value Entry","151 Cost Amount (Expected)","41 Source Type",$C$5,"5 Source No.",$C1677,"4 Item Ledger Entry Type",$C$4,"2 Item No.","@@"&amp;$F1677,"3 Posting Date",Z$9)-NL("Sum","5802 Value Entry","43 Cost Amount (Actual)","41 Source Type",$C$5,"5 Source no.",$C1677,"4 Item Ledger Entry Type",$C$4,"2 Item No.","@@"&amp;$F1677,"3 Posting Date",Z$9)</t>
  </si>
  <si>
    <t>=Z1677-AB1677</t>
  </si>
  <si>
    <t>=IF(Z1677&lt;&gt;0,AC1677/Z1677,"")</t>
  </si>
  <si>
    <t>=C1677</t>
  </si>
  <si>
    <t>=NL("Sum","5802 Value Entry","150 Sales Amount (Expected)","41 Source Type",$C$5,"5 Source No.",$C1678,"4 Item Ledger Entry Type",$C$4,"2 Item No.","@@"&amp;$F1678,"3 Posting Date",J$9)+NL("Sum","5802 Value Entry","17 Sales Amount (Actual)","41 Source Type",$C$5,"5 Source no.",$C1678,"4 Item Ledger Entry Type",$C$4,"2 Item No.","@@"&amp;$F1678,"3 Posting Date",J$9)</t>
  </si>
  <si>
    <t>=-NL("Sum","5802 Value Entry","151 Cost Amount (Expected)","41 Source Type",$C$5,"5 Source No.",$C1678,"4 Item Ledger Entry Type",$C$4,"2 Item No.","@@"&amp;$F1678,"3 Posting Date",J$9)-NL("Sum","5802 Value Entry","43 Cost Amount (Actual)","41 Source Type",$C$5,"5 Source no.",$C1678,"4 Item Ledger Entry Type",$C$4,"2 Item No.","@@"&amp;$F1678,"3 Posting Date",J$9)</t>
  </si>
  <si>
    <t>=J1678-L1678</t>
  </si>
  <si>
    <t>=IF(J1678&lt;&gt;0,M1678/J1678,"")</t>
  </si>
  <si>
    <t>=NL("Sum","5802 Value Entry","150 Sales Amount (Expected)","41 Source Type",$C$5,"5 Source No.",$C1678,"4 Item Ledger Entry Type",$C$4,"2 Item No.","@@"&amp;$F1678,"3 Posting Date",O$9)+NL("Sum","5802 Value Entry","17 Sales Amount (Actual)","41 Source Type",$C$5,"5 Source no.",$C1678,"4 Item Ledger Entry Type",$C$4,"2 Item No.","@@"&amp;$F1678,"3 Posting Date",O$9)</t>
  </si>
  <si>
    <t>=-NL("Sum","5802 Value Entry","151 Cost Amount (Expected)","41 Source Type",$C$5,"5 Source No.",$C1678,"4 Item Ledger Entry Type",$C$4,"2 Item No.","@@"&amp;$F1678,"3 Posting Date",O$9)-NL("Sum","5802 Value Entry","43 Cost Amount (Actual)","41 Source Type",$C$5,"5 Source no.",$C1678,"4 Item Ledger Entry Type",$C$4,"2 Item No.","@@"&amp;$F1678,"3 Posting Date",O$9)</t>
  </si>
  <si>
    <t>=O1678-Q1678</t>
  </si>
  <si>
    <t>=IF(O1678&lt;&gt;0,R1678/O1678,"")</t>
  </si>
  <si>
    <t>=NL("Sum","5802 Value Entry","150 Sales Amount (Expected)","41 Source Type",$C$5,"5 Source No.",$C1678,"4 Item Ledger Entry Type",$C$4,"2 Item No.","@@"&amp;$F1678,"3 Posting Date",U$9)+NL("Sum","5802 Value Entry","17 Sales Amount (Actual)","41 Source Type",$C$5,"5 Source no.",$C1678,"4 Item Ledger Entry Type",$C$4,"2 Item No.","@@"&amp;$F1678,"3 Posting Date",U$9)</t>
  </si>
  <si>
    <t>=-NL("Sum","5802 Value Entry","151 Cost Amount (Expected)","41 Source Type",$C$5,"5 Source No.",$C1678,"4 Item Ledger Entry Type",$C$4,"2 Item No.","@@"&amp;$F1678,"3 Posting Date",U$9)-NL("Sum","5802 Value Entry","43 Cost Amount (Actual)","41 Source Type",$C$5,"5 Source no.",$C1678,"4 Item Ledger Entry Type",$C$4,"2 Item No.","@@"&amp;$F1678,"3 Posting Date",U$9)</t>
  </si>
  <si>
    <t>=U1678-W1678</t>
  </si>
  <si>
    <t>=IF(U1678&lt;&gt;0,X1678/U1678,"")</t>
  </si>
  <si>
    <t>=NL("Sum","5802 Value Entry","150 Sales Amount (Expected)","41 Source Type",$C$5,"5 Source No.",$C1678,"4 Item Ledger Entry Type",$C$4,"2 Item No.","@@"&amp;$F1678,"3 Posting Date",Z$9)+NL("Sum","5802 Value Entry","17 Sales Amount (Actual)","41 Source Type",$C$5,"5 Source no.",$C1678,"4 Item Ledger Entry Type",$C$4,"2 Item No.","@@"&amp;$F1678,"3 Posting Date",Z$9)</t>
  </si>
  <si>
    <t>=-NL("Sum","5802 Value Entry","151 Cost Amount (Expected)","41 Source Type",$C$5,"5 Source No.",$C1678,"4 Item Ledger Entry Type",$C$4,"2 Item No.","@@"&amp;$F1678,"3 Posting Date",Z$9)-NL("Sum","5802 Value Entry","43 Cost Amount (Actual)","41 Source Type",$C$5,"5 Source no.",$C1678,"4 Item Ledger Entry Type",$C$4,"2 Item No.","@@"&amp;$F1678,"3 Posting Date",Z$9)</t>
  </si>
  <si>
    <t>=Z1678-AB1678</t>
  </si>
  <si>
    <t>=IF(Z1678&lt;&gt;0,AC1678/Z1678,"")</t>
  </si>
  <si>
    <t>=C1678</t>
  </si>
  <si>
    <t>=NL("Sum","5802 Value Entry","150 Sales Amount (Expected)","41 Source Type",$C$5,"5 Source No.",$C1679,"4 Item Ledger Entry Type",$C$4,"2 Item No.","@@"&amp;$F1679,"3 Posting Date",J$9)+NL("Sum","5802 Value Entry","17 Sales Amount (Actual)","41 Source Type",$C$5,"5 Source no.",$C1679,"4 Item Ledger Entry Type",$C$4,"2 Item No.","@@"&amp;$F1679,"3 Posting Date",J$9)</t>
  </si>
  <si>
    <t>=-NL("Sum","5802 Value Entry","151 Cost Amount (Expected)","41 Source Type",$C$5,"5 Source No.",$C1679,"4 Item Ledger Entry Type",$C$4,"2 Item No.","@@"&amp;$F1679,"3 Posting Date",J$9)-NL("Sum","5802 Value Entry","43 Cost Amount (Actual)","41 Source Type",$C$5,"5 Source no.",$C1679,"4 Item Ledger Entry Type",$C$4,"2 Item No.","@@"&amp;$F1679,"3 Posting Date",J$9)</t>
  </si>
  <si>
    <t>=J1679-L1679</t>
  </si>
  <si>
    <t>=IF(J1679&lt;&gt;0,M1679/J1679,"")</t>
  </si>
  <si>
    <t>=NL("Sum","5802 Value Entry","150 Sales Amount (Expected)","41 Source Type",$C$5,"5 Source No.",$C1679,"4 Item Ledger Entry Type",$C$4,"2 Item No.","@@"&amp;$F1679,"3 Posting Date",O$9)+NL("Sum","5802 Value Entry","17 Sales Amount (Actual)","41 Source Type",$C$5,"5 Source no.",$C1679,"4 Item Ledger Entry Type",$C$4,"2 Item No.","@@"&amp;$F1679,"3 Posting Date",O$9)</t>
  </si>
  <si>
    <t>=-NL("Sum","5802 Value Entry","151 Cost Amount (Expected)","41 Source Type",$C$5,"5 Source No.",$C1679,"4 Item Ledger Entry Type",$C$4,"2 Item No.","@@"&amp;$F1679,"3 Posting Date",O$9)-NL("Sum","5802 Value Entry","43 Cost Amount (Actual)","41 Source Type",$C$5,"5 Source no.",$C1679,"4 Item Ledger Entry Type",$C$4,"2 Item No.","@@"&amp;$F1679,"3 Posting Date",O$9)</t>
  </si>
  <si>
    <t>=O1679-Q1679</t>
  </si>
  <si>
    <t>=IF(O1679&lt;&gt;0,R1679/O1679,"")</t>
  </si>
  <si>
    <t>=NL("Sum","5802 Value Entry","150 Sales Amount (Expected)","41 Source Type",$C$5,"5 Source No.",$C1679,"4 Item Ledger Entry Type",$C$4,"2 Item No.","@@"&amp;$F1679,"3 Posting Date",U$9)+NL("Sum","5802 Value Entry","17 Sales Amount (Actual)","41 Source Type",$C$5,"5 Source no.",$C1679,"4 Item Ledger Entry Type",$C$4,"2 Item No.","@@"&amp;$F1679,"3 Posting Date",U$9)</t>
  </si>
  <si>
    <t>=-NL("Sum","5802 Value Entry","151 Cost Amount (Expected)","41 Source Type",$C$5,"5 Source No.",$C1679,"4 Item Ledger Entry Type",$C$4,"2 Item No.","@@"&amp;$F1679,"3 Posting Date",U$9)-NL("Sum","5802 Value Entry","43 Cost Amount (Actual)","41 Source Type",$C$5,"5 Source no.",$C1679,"4 Item Ledger Entry Type",$C$4,"2 Item No.","@@"&amp;$F1679,"3 Posting Date",U$9)</t>
  </si>
  <si>
    <t>=U1679-W1679</t>
  </si>
  <si>
    <t>=IF(U1679&lt;&gt;0,X1679/U1679,"")</t>
  </si>
  <si>
    <t>=NL("Sum","5802 Value Entry","150 Sales Amount (Expected)","41 Source Type",$C$5,"5 Source No.",$C1679,"4 Item Ledger Entry Type",$C$4,"2 Item No.","@@"&amp;$F1679,"3 Posting Date",Z$9)+NL("Sum","5802 Value Entry","17 Sales Amount (Actual)","41 Source Type",$C$5,"5 Source no.",$C1679,"4 Item Ledger Entry Type",$C$4,"2 Item No.","@@"&amp;$F1679,"3 Posting Date",Z$9)</t>
  </si>
  <si>
    <t>=-NL("Sum","5802 Value Entry","151 Cost Amount (Expected)","41 Source Type",$C$5,"5 Source No.",$C1679,"4 Item Ledger Entry Type",$C$4,"2 Item No.","@@"&amp;$F1679,"3 Posting Date",Z$9)-NL("Sum","5802 Value Entry","43 Cost Amount (Actual)","41 Source Type",$C$5,"5 Source no.",$C1679,"4 Item Ledger Entry Type",$C$4,"2 Item No.","@@"&amp;$F1679,"3 Posting Date",Z$9)</t>
  </si>
  <si>
    <t>=Z1679-AB1679</t>
  </si>
  <si>
    <t>=IF(Z1679&lt;&gt;0,AC1679/Z1679,"")</t>
  </si>
  <si>
    <t>=C1679</t>
  </si>
  <si>
    <t>=NL("Sum","5802 Value Entry","150 Sales Amount (Expected)","41 Source Type",$C$5,"5 Source No.",$C1680,"4 Item Ledger Entry Type",$C$4,"2 Item No.","@@"&amp;$F1680,"3 Posting Date",J$9)+NL("Sum","5802 Value Entry","17 Sales Amount (Actual)","41 Source Type",$C$5,"5 Source no.",$C1680,"4 Item Ledger Entry Type",$C$4,"2 Item No.","@@"&amp;$F1680,"3 Posting Date",J$9)</t>
  </si>
  <si>
    <t>=-NL("Sum","5802 Value Entry","151 Cost Amount (Expected)","41 Source Type",$C$5,"5 Source No.",$C1680,"4 Item Ledger Entry Type",$C$4,"2 Item No.","@@"&amp;$F1680,"3 Posting Date",J$9)-NL("Sum","5802 Value Entry","43 Cost Amount (Actual)","41 Source Type",$C$5,"5 Source no.",$C1680,"4 Item Ledger Entry Type",$C$4,"2 Item No.","@@"&amp;$F1680,"3 Posting Date",J$9)</t>
  </si>
  <si>
    <t>=J1680-L1680</t>
  </si>
  <si>
    <t>=IF(J1680&lt;&gt;0,M1680/J1680,"")</t>
  </si>
  <si>
    <t>=NL("Sum","5802 Value Entry","150 Sales Amount (Expected)","41 Source Type",$C$5,"5 Source No.",$C1680,"4 Item Ledger Entry Type",$C$4,"2 Item No.","@@"&amp;$F1680,"3 Posting Date",O$9)+NL("Sum","5802 Value Entry","17 Sales Amount (Actual)","41 Source Type",$C$5,"5 Source no.",$C1680,"4 Item Ledger Entry Type",$C$4,"2 Item No.","@@"&amp;$F1680,"3 Posting Date",O$9)</t>
  </si>
  <si>
    <t>=-NL("Sum","5802 Value Entry","151 Cost Amount (Expected)","41 Source Type",$C$5,"5 Source No.",$C1680,"4 Item Ledger Entry Type",$C$4,"2 Item No.","@@"&amp;$F1680,"3 Posting Date",O$9)-NL("Sum","5802 Value Entry","43 Cost Amount (Actual)","41 Source Type",$C$5,"5 Source no.",$C1680,"4 Item Ledger Entry Type",$C$4,"2 Item No.","@@"&amp;$F1680,"3 Posting Date",O$9)</t>
  </si>
  <si>
    <t>=O1680-Q1680</t>
  </si>
  <si>
    <t>=IF(O1680&lt;&gt;0,R1680/O1680,"")</t>
  </si>
  <si>
    <t>=NL("Sum","5802 Value Entry","150 Sales Amount (Expected)","41 Source Type",$C$5,"5 Source No.",$C1680,"4 Item Ledger Entry Type",$C$4,"2 Item No.","@@"&amp;$F1680,"3 Posting Date",U$9)+NL("Sum","5802 Value Entry","17 Sales Amount (Actual)","41 Source Type",$C$5,"5 Source no.",$C1680,"4 Item Ledger Entry Type",$C$4,"2 Item No.","@@"&amp;$F1680,"3 Posting Date",U$9)</t>
  </si>
  <si>
    <t>=-NL("Sum","5802 Value Entry","151 Cost Amount (Expected)","41 Source Type",$C$5,"5 Source No.",$C1680,"4 Item Ledger Entry Type",$C$4,"2 Item No.","@@"&amp;$F1680,"3 Posting Date",U$9)-NL("Sum","5802 Value Entry","43 Cost Amount (Actual)","41 Source Type",$C$5,"5 Source no.",$C1680,"4 Item Ledger Entry Type",$C$4,"2 Item No.","@@"&amp;$F1680,"3 Posting Date",U$9)</t>
  </si>
  <si>
    <t>=U1680-W1680</t>
  </si>
  <si>
    <t>=IF(U1680&lt;&gt;0,X1680/U1680,"")</t>
  </si>
  <si>
    <t>=NL("Sum","5802 Value Entry","150 Sales Amount (Expected)","41 Source Type",$C$5,"5 Source No.",$C1680,"4 Item Ledger Entry Type",$C$4,"2 Item No.","@@"&amp;$F1680,"3 Posting Date",Z$9)+NL("Sum","5802 Value Entry","17 Sales Amount (Actual)","41 Source Type",$C$5,"5 Source no.",$C1680,"4 Item Ledger Entry Type",$C$4,"2 Item No.","@@"&amp;$F1680,"3 Posting Date",Z$9)</t>
  </si>
  <si>
    <t>=-NL("Sum","5802 Value Entry","151 Cost Amount (Expected)","41 Source Type",$C$5,"5 Source No.",$C1680,"4 Item Ledger Entry Type",$C$4,"2 Item No.","@@"&amp;$F1680,"3 Posting Date",Z$9)-NL("Sum","5802 Value Entry","43 Cost Amount (Actual)","41 Source Type",$C$5,"5 Source no.",$C1680,"4 Item Ledger Entry Type",$C$4,"2 Item No.","@@"&amp;$F1680,"3 Posting Date",Z$9)</t>
  </si>
  <si>
    <t>=Z1680-AB1680</t>
  </si>
  <si>
    <t>=IF(Z1680&lt;&gt;0,AC1680/Z1680,"")</t>
  </si>
  <si>
    <t>=C1680</t>
  </si>
  <si>
    <t>=NL("Sum","5802 Value Entry","150 Sales Amount (Expected)","41 Source Type",$C$5,"5 Source No.",$C1681,"4 Item Ledger Entry Type",$C$4,"2 Item No.","@@"&amp;$F1681,"3 Posting Date",J$9)+NL("Sum","5802 Value Entry","17 Sales Amount (Actual)","41 Source Type",$C$5,"5 Source no.",$C1681,"4 Item Ledger Entry Type",$C$4,"2 Item No.","@@"&amp;$F1681,"3 Posting Date",J$9)</t>
  </si>
  <si>
    <t>=-NL("Sum","5802 Value Entry","151 Cost Amount (Expected)","41 Source Type",$C$5,"5 Source No.",$C1681,"4 Item Ledger Entry Type",$C$4,"2 Item No.","@@"&amp;$F1681,"3 Posting Date",J$9)-NL("Sum","5802 Value Entry","43 Cost Amount (Actual)","41 Source Type",$C$5,"5 Source no.",$C1681,"4 Item Ledger Entry Type",$C$4,"2 Item No.","@@"&amp;$F1681,"3 Posting Date",J$9)</t>
  </si>
  <si>
    <t>=J1681-L1681</t>
  </si>
  <si>
    <t>=IF(J1681&lt;&gt;0,M1681/J1681,"")</t>
  </si>
  <si>
    <t>=NL("Sum","5802 Value Entry","150 Sales Amount (Expected)","41 Source Type",$C$5,"5 Source No.",$C1681,"4 Item Ledger Entry Type",$C$4,"2 Item No.","@@"&amp;$F1681,"3 Posting Date",O$9)+NL("Sum","5802 Value Entry","17 Sales Amount (Actual)","41 Source Type",$C$5,"5 Source no.",$C1681,"4 Item Ledger Entry Type",$C$4,"2 Item No.","@@"&amp;$F1681,"3 Posting Date",O$9)</t>
  </si>
  <si>
    <t>=-NL("Sum","5802 Value Entry","151 Cost Amount (Expected)","41 Source Type",$C$5,"5 Source No.",$C1681,"4 Item Ledger Entry Type",$C$4,"2 Item No.","@@"&amp;$F1681,"3 Posting Date",O$9)-NL("Sum","5802 Value Entry","43 Cost Amount (Actual)","41 Source Type",$C$5,"5 Source no.",$C1681,"4 Item Ledger Entry Type",$C$4,"2 Item No.","@@"&amp;$F1681,"3 Posting Date",O$9)</t>
  </si>
  <si>
    <t>=O1681-Q1681</t>
  </si>
  <si>
    <t>=IF(O1681&lt;&gt;0,R1681/O1681,"")</t>
  </si>
  <si>
    <t>=NL("Sum","5802 Value Entry","150 Sales Amount (Expected)","41 Source Type",$C$5,"5 Source No.",$C1681,"4 Item Ledger Entry Type",$C$4,"2 Item No.","@@"&amp;$F1681,"3 Posting Date",U$9)+NL("Sum","5802 Value Entry","17 Sales Amount (Actual)","41 Source Type",$C$5,"5 Source no.",$C1681,"4 Item Ledger Entry Type",$C$4,"2 Item No.","@@"&amp;$F1681,"3 Posting Date",U$9)</t>
  </si>
  <si>
    <t>=-NL("Sum","5802 Value Entry","151 Cost Amount (Expected)","41 Source Type",$C$5,"5 Source No.",$C1681,"4 Item Ledger Entry Type",$C$4,"2 Item No.","@@"&amp;$F1681,"3 Posting Date",U$9)-NL("Sum","5802 Value Entry","43 Cost Amount (Actual)","41 Source Type",$C$5,"5 Source no.",$C1681,"4 Item Ledger Entry Type",$C$4,"2 Item No.","@@"&amp;$F1681,"3 Posting Date",U$9)</t>
  </si>
  <si>
    <t>=U1681-W1681</t>
  </si>
  <si>
    <t>=IF(U1681&lt;&gt;0,X1681/U1681,"")</t>
  </si>
  <si>
    <t>=NL("Sum","5802 Value Entry","150 Sales Amount (Expected)","41 Source Type",$C$5,"5 Source No.",$C1681,"4 Item Ledger Entry Type",$C$4,"2 Item No.","@@"&amp;$F1681,"3 Posting Date",Z$9)+NL("Sum","5802 Value Entry","17 Sales Amount (Actual)","41 Source Type",$C$5,"5 Source no.",$C1681,"4 Item Ledger Entry Type",$C$4,"2 Item No.","@@"&amp;$F1681,"3 Posting Date",Z$9)</t>
  </si>
  <si>
    <t>=-NL("Sum","5802 Value Entry","151 Cost Amount (Expected)","41 Source Type",$C$5,"5 Source No.",$C1681,"4 Item Ledger Entry Type",$C$4,"2 Item No.","@@"&amp;$F1681,"3 Posting Date",Z$9)-NL("Sum","5802 Value Entry","43 Cost Amount (Actual)","41 Source Type",$C$5,"5 Source no.",$C1681,"4 Item Ledger Entry Type",$C$4,"2 Item No.","@@"&amp;$F1681,"3 Posting Date",Z$9)</t>
  </si>
  <si>
    <t>=Z1681-AB1681</t>
  </si>
  <si>
    <t>=IF(Z1681&lt;&gt;0,AC1681/Z1681,"")</t>
  </si>
  <si>
    <t>=C1681</t>
  </si>
  <si>
    <t>=NL("Sum","5802 Value Entry","150 Sales Amount (Expected)","41 Source Type",$C$5,"5 Source No.",$C1682,"4 Item Ledger Entry Type",$C$4,"2 Item No.","@@"&amp;$F1682,"3 Posting Date",J$9)+NL("Sum","5802 Value Entry","17 Sales Amount (Actual)","41 Source Type",$C$5,"5 Source no.",$C1682,"4 Item Ledger Entry Type",$C$4,"2 Item No.","@@"&amp;$F1682,"3 Posting Date",J$9)</t>
  </si>
  <si>
    <t>=-NL("Sum","5802 Value Entry","151 Cost Amount (Expected)","41 Source Type",$C$5,"5 Source No.",$C1682,"4 Item Ledger Entry Type",$C$4,"2 Item No.","@@"&amp;$F1682,"3 Posting Date",J$9)-NL("Sum","5802 Value Entry","43 Cost Amount (Actual)","41 Source Type",$C$5,"5 Source no.",$C1682,"4 Item Ledger Entry Type",$C$4,"2 Item No.","@@"&amp;$F1682,"3 Posting Date",J$9)</t>
  </si>
  <si>
    <t>=J1682-L1682</t>
  </si>
  <si>
    <t>=IF(J1682&lt;&gt;0,M1682/J1682,"")</t>
  </si>
  <si>
    <t>=NL("Sum","5802 Value Entry","150 Sales Amount (Expected)","41 Source Type",$C$5,"5 Source No.",$C1682,"4 Item Ledger Entry Type",$C$4,"2 Item No.","@@"&amp;$F1682,"3 Posting Date",O$9)+NL("Sum","5802 Value Entry","17 Sales Amount (Actual)","41 Source Type",$C$5,"5 Source no.",$C1682,"4 Item Ledger Entry Type",$C$4,"2 Item No.","@@"&amp;$F1682,"3 Posting Date",O$9)</t>
  </si>
  <si>
    <t>=-NL("Sum","5802 Value Entry","151 Cost Amount (Expected)","41 Source Type",$C$5,"5 Source No.",$C1682,"4 Item Ledger Entry Type",$C$4,"2 Item No.","@@"&amp;$F1682,"3 Posting Date",O$9)-NL("Sum","5802 Value Entry","43 Cost Amount (Actual)","41 Source Type",$C$5,"5 Source no.",$C1682,"4 Item Ledger Entry Type",$C$4,"2 Item No.","@@"&amp;$F1682,"3 Posting Date",O$9)</t>
  </si>
  <si>
    <t>=O1682-Q1682</t>
  </si>
  <si>
    <t>=IF(O1682&lt;&gt;0,R1682/O1682,"")</t>
  </si>
  <si>
    <t>=NL("Sum","5802 Value Entry","150 Sales Amount (Expected)","41 Source Type",$C$5,"5 Source No.",$C1682,"4 Item Ledger Entry Type",$C$4,"2 Item No.","@@"&amp;$F1682,"3 Posting Date",U$9)+NL("Sum","5802 Value Entry","17 Sales Amount (Actual)","41 Source Type",$C$5,"5 Source no.",$C1682,"4 Item Ledger Entry Type",$C$4,"2 Item No.","@@"&amp;$F1682,"3 Posting Date",U$9)</t>
  </si>
  <si>
    <t>=-NL("Sum","5802 Value Entry","151 Cost Amount (Expected)","41 Source Type",$C$5,"5 Source No.",$C1682,"4 Item Ledger Entry Type",$C$4,"2 Item No.","@@"&amp;$F1682,"3 Posting Date",U$9)-NL("Sum","5802 Value Entry","43 Cost Amount (Actual)","41 Source Type",$C$5,"5 Source no.",$C1682,"4 Item Ledger Entry Type",$C$4,"2 Item No.","@@"&amp;$F1682,"3 Posting Date",U$9)</t>
  </si>
  <si>
    <t>=U1682-W1682</t>
  </si>
  <si>
    <t>=IF(U1682&lt;&gt;0,X1682/U1682,"")</t>
  </si>
  <si>
    <t>=NL("Sum","5802 Value Entry","150 Sales Amount (Expected)","41 Source Type",$C$5,"5 Source No.",$C1682,"4 Item Ledger Entry Type",$C$4,"2 Item No.","@@"&amp;$F1682,"3 Posting Date",Z$9)+NL("Sum","5802 Value Entry","17 Sales Amount (Actual)","41 Source Type",$C$5,"5 Source no.",$C1682,"4 Item Ledger Entry Type",$C$4,"2 Item No.","@@"&amp;$F1682,"3 Posting Date",Z$9)</t>
  </si>
  <si>
    <t>=-NL("Sum","5802 Value Entry","151 Cost Amount (Expected)","41 Source Type",$C$5,"5 Source No.",$C1682,"4 Item Ledger Entry Type",$C$4,"2 Item No.","@@"&amp;$F1682,"3 Posting Date",Z$9)-NL("Sum","5802 Value Entry","43 Cost Amount (Actual)","41 Source Type",$C$5,"5 Source no.",$C1682,"4 Item Ledger Entry Type",$C$4,"2 Item No.","@@"&amp;$F1682,"3 Posting Date",Z$9)</t>
  </si>
  <si>
    <t>=Z1682-AB1682</t>
  </si>
  <si>
    <t>=IF(Z1682&lt;&gt;0,AC1682/Z1682,"")</t>
  </si>
  <si>
    <t>=C1682</t>
  </si>
  <si>
    <t>=NL("Sum","5802 Value Entry","150 Sales Amount (Expected)","41 Source Type",$C$5,"5 Source No.",$C1683,"4 Item Ledger Entry Type",$C$4,"2 Item No.","@@"&amp;$F1683,"3 Posting Date",J$9)+NL("Sum","5802 Value Entry","17 Sales Amount (Actual)","41 Source Type",$C$5,"5 Source no.",$C1683,"4 Item Ledger Entry Type",$C$4,"2 Item No.","@@"&amp;$F1683,"3 Posting Date",J$9)</t>
  </si>
  <si>
    <t>=-NL("Sum","5802 Value Entry","151 Cost Amount (Expected)","41 Source Type",$C$5,"5 Source No.",$C1683,"4 Item Ledger Entry Type",$C$4,"2 Item No.","@@"&amp;$F1683,"3 Posting Date",J$9)-NL("Sum","5802 Value Entry","43 Cost Amount (Actual)","41 Source Type",$C$5,"5 Source no.",$C1683,"4 Item Ledger Entry Type",$C$4,"2 Item No.","@@"&amp;$F1683,"3 Posting Date",J$9)</t>
  </si>
  <si>
    <t>=J1683-L1683</t>
  </si>
  <si>
    <t>=IF(J1683&lt;&gt;0,M1683/J1683,"")</t>
  </si>
  <si>
    <t>=NL("Sum","5802 Value Entry","150 Sales Amount (Expected)","41 Source Type",$C$5,"5 Source No.",$C1683,"4 Item Ledger Entry Type",$C$4,"2 Item No.","@@"&amp;$F1683,"3 Posting Date",O$9)+NL("Sum","5802 Value Entry","17 Sales Amount (Actual)","41 Source Type",$C$5,"5 Source no.",$C1683,"4 Item Ledger Entry Type",$C$4,"2 Item No.","@@"&amp;$F1683,"3 Posting Date",O$9)</t>
  </si>
  <si>
    <t>=-NL("Sum","5802 Value Entry","151 Cost Amount (Expected)","41 Source Type",$C$5,"5 Source No.",$C1683,"4 Item Ledger Entry Type",$C$4,"2 Item No.","@@"&amp;$F1683,"3 Posting Date",O$9)-NL("Sum","5802 Value Entry","43 Cost Amount (Actual)","41 Source Type",$C$5,"5 Source no.",$C1683,"4 Item Ledger Entry Type",$C$4,"2 Item No.","@@"&amp;$F1683,"3 Posting Date",O$9)</t>
  </si>
  <si>
    <t>=O1683-Q1683</t>
  </si>
  <si>
    <t>=IF(O1683&lt;&gt;0,R1683/O1683,"")</t>
  </si>
  <si>
    <t>=NL("Sum","5802 Value Entry","150 Sales Amount (Expected)","41 Source Type",$C$5,"5 Source No.",$C1683,"4 Item Ledger Entry Type",$C$4,"2 Item No.","@@"&amp;$F1683,"3 Posting Date",U$9)+NL("Sum","5802 Value Entry","17 Sales Amount (Actual)","41 Source Type",$C$5,"5 Source no.",$C1683,"4 Item Ledger Entry Type",$C$4,"2 Item No.","@@"&amp;$F1683,"3 Posting Date",U$9)</t>
  </si>
  <si>
    <t>=-NL("Sum","5802 Value Entry","151 Cost Amount (Expected)","41 Source Type",$C$5,"5 Source No.",$C1683,"4 Item Ledger Entry Type",$C$4,"2 Item No.","@@"&amp;$F1683,"3 Posting Date",U$9)-NL("Sum","5802 Value Entry","43 Cost Amount (Actual)","41 Source Type",$C$5,"5 Source no.",$C1683,"4 Item Ledger Entry Type",$C$4,"2 Item No.","@@"&amp;$F1683,"3 Posting Date",U$9)</t>
  </si>
  <si>
    <t>=U1683-W1683</t>
  </si>
  <si>
    <t>=IF(U1683&lt;&gt;0,X1683/U1683,"")</t>
  </si>
  <si>
    <t>=NL("Sum","5802 Value Entry","150 Sales Amount (Expected)","41 Source Type",$C$5,"5 Source No.",$C1683,"4 Item Ledger Entry Type",$C$4,"2 Item No.","@@"&amp;$F1683,"3 Posting Date",Z$9)+NL("Sum","5802 Value Entry","17 Sales Amount (Actual)","41 Source Type",$C$5,"5 Source no.",$C1683,"4 Item Ledger Entry Type",$C$4,"2 Item No.","@@"&amp;$F1683,"3 Posting Date",Z$9)</t>
  </si>
  <si>
    <t>=-NL("Sum","5802 Value Entry","151 Cost Amount (Expected)","41 Source Type",$C$5,"5 Source No.",$C1683,"4 Item Ledger Entry Type",$C$4,"2 Item No.","@@"&amp;$F1683,"3 Posting Date",Z$9)-NL("Sum","5802 Value Entry","43 Cost Amount (Actual)","41 Source Type",$C$5,"5 Source no.",$C1683,"4 Item Ledger Entry Type",$C$4,"2 Item No.","@@"&amp;$F1683,"3 Posting Date",Z$9)</t>
  </si>
  <si>
    <t>=Z1683-AB1683</t>
  </si>
  <si>
    <t>=IF(Z1683&lt;&gt;0,AC1683/Z1683,"")</t>
  </si>
  <si>
    <t>=C1683</t>
  </si>
  <si>
    <t>=NL("Sum","5802 Value Entry","150 Sales Amount (Expected)","41 Source Type",$C$5,"5 Source No.",$C1684,"4 Item Ledger Entry Type",$C$4,"2 Item No.","@@"&amp;$F1684,"3 Posting Date",J$9)+NL("Sum","5802 Value Entry","17 Sales Amount (Actual)","41 Source Type",$C$5,"5 Source no.",$C1684,"4 Item Ledger Entry Type",$C$4,"2 Item No.","@@"&amp;$F1684,"3 Posting Date",J$9)</t>
  </si>
  <si>
    <t>=-NL("Sum","5802 Value Entry","151 Cost Amount (Expected)","41 Source Type",$C$5,"5 Source No.",$C1684,"4 Item Ledger Entry Type",$C$4,"2 Item No.","@@"&amp;$F1684,"3 Posting Date",J$9)-NL("Sum","5802 Value Entry","43 Cost Amount (Actual)","41 Source Type",$C$5,"5 Source no.",$C1684,"4 Item Ledger Entry Type",$C$4,"2 Item No.","@@"&amp;$F1684,"3 Posting Date",J$9)</t>
  </si>
  <si>
    <t>=J1684-L1684</t>
  </si>
  <si>
    <t>=IF(J1684&lt;&gt;0,M1684/J1684,"")</t>
  </si>
  <si>
    <t>=NL("Sum","5802 Value Entry","150 Sales Amount (Expected)","41 Source Type",$C$5,"5 Source No.",$C1684,"4 Item Ledger Entry Type",$C$4,"2 Item No.","@@"&amp;$F1684,"3 Posting Date",O$9)+NL("Sum","5802 Value Entry","17 Sales Amount (Actual)","41 Source Type",$C$5,"5 Source no.",$C1684,"4 Item Ledger Entry Type",$C$4,"2 Item No.","@@"&amp;$F1684,"3 Posting Date",O$9)</t>
  </si>
  <si>
    <t>=-NL("Sum","5802 Value Entry","151 Cost Amount (Expected)","41 Source Type",$C$5,"5 Source No.",$C1684,"4 Item Ledger Entry Type",$C$4,"2 Item No.","@@"&amp;$F1684,"3 Posting Date",O$9)-NL("Sum","5802 Value Entry","43 Cost Amount (Actual)","41 Source Type",$C$5,"5 Source no.",$C1684,"4 Item Ledger Entry Type",$C$4,"2 Item No.","@@"&amp;$F1684,"3 Posting Date",O$9)</t>
  </si>
  <si>
    <t>=O1684-Q1684</t>
  </si>
  <si>
    <t>=IF(O1684&lt;&gt;0,R1684/O1684,"")</t>
  </si>
  <si>
    <t>=NL("Sum","5802 Value Entry","150 Sales Amount (Expected)","41 Source Type",$C$5,"5 Source No.",$C1684,"4 Item Ledger Entry Type",$C$4,"2 Item No.","@@"&amp;$F1684,"3 Posting Date",U$9)+NL("Sum","5802 Value Entry","17 Sales Amount (Actual)","41 Source Type",$C$5,"5 Source no.",$C1684,"4 Item Ledger Entry Type",$C$4,"2 Item No.","@@"&amp;$F1684,"3 Posting Date",U$9)</t>
  </si>
  <si>
    <t>=-NL("Sum","5802 Value Entry","151 Cost Amount (Expected)","41 Source Type",$C$5,"5 Source No.",$C1684,"4 Item Ledger Entry Type",$C$4,"2 Item No.","@@"&amp;$F1684,"3 Posting Date",U$9)-NL("Sum","5802 Value Entry","43 Cost Amount (Actual)","41 Source Type",$C$5,"5 Source no.",$C1684,"4 Item Ledger Entry Type",$C$4,"2 Item No.","@@"&amp;$F1684,"3 Posting Date",U$9)</t>
  </si>
  <si>
    <t>=U1684-W1684</t>
  </si>
  <si>
    <t>=IF(U1684&lt;&gt;0,X1684/U1684,"")</t>
  </si>
  <si>
    <t>=NL("Sum","5802 Value Entry","150 Sales Amount (Expected)","41 Source Type",$C$5,"5 Source No.",$C1684,"4 Item Ledger Entry Type",$C$4,"2 Item No.","@@"&amp;$F1684,"3 Posting Date",Z$9)+NL("Sum","5802 Value Entry","17 Sales Amount (Actual)","41 Source Type",$C$5,"5 Source no.",$C1684,"4 Item Ledger Entry Type",$C$4,"2 Item No.","@@"&amp;$F1684,"3 Posting Date",Z$9)</t>
  </si>
  <si>
    <t>=-NL("Sum","5802 Value Entry","151 Cost Amount (Expected)","41 Source Type",$C$5,"5 Source No.",$C1684,"4 Item Ledger Entry Type",$C$4,"2 Item No.","@@"&amp;$F1684,"3 Posting Date",Z$9)-NL("Sum","5802 Value Entry","43 Cost Amount (Actual)","41 Source Type",$C$5,"5 Source no.",$C1684,"4 Item Ledger Entry Type",$C$4,"2 Item No.","@@"&amp;$F1684,"3 Posting Date",Z$9)</t>
  </si>
  <si>
    <t>=Z1684-AB1684</t>
  </si>
  <si>
    <t>=IF(Z1684&lt;&gt;0,AC1684/Z1684,"")</t>
  </si>
  <si>
    <t>=C1685</t>
  </si>
  <si>
    <t>=J1686-L1686</t>
  </si>
  <si>
    <t>=IF(J1686&lt;&gt;0,M1686/J1686,"")</t>
  </si>
  <si>
    <t>=O1686-Q1686</t>
  </si>
  <si>
    <t>=IF(O1686&lt;&gt;0,R1686/O1686,"")</t>
  </si>
  <si>
    <t>=U1686-W1686</t>
  </si>
  <si>
    <t>=IF(U1686&lt;&gt;0,X1686/U1686,"")</t>
  </si>
  <si>
    <t>=Z1686-AB1686</t>
  </si>
  <si>
    <t>=IF(Z1686&lt;&gt;0,AC1686/Z1686,"")</t>
  </si>
  <si>
    <t>="C100088"</t>
  </si>
  <si>
    <t>=C1688</t>
  </si>
  <si>
    <t>=C1691</t>
  </si>
  <si>
    <t>=C1692</t>
  </si>
  <si>
    <t>=NL("Sum","5802 Value Entry","150 Sales Amount (Expected)","41 Source Type",$C$5,"5 Source No.",$C1693,"4 Item Ledger Entry Type",$C$4,"2 Item No.","@@"&amp;$F1693,"3 Posting Date",J$9)+NL("Sum","5802 Value Entry","17 Sales Amount (Actual)","41 Source Type",$C$5,"5 Source no.",$C1693,"4 Item Ledger Entry Type",$C$4,"2 Item No.","@@"&amp;$F1693,"3 Posting Date",J$9)</t>
  </si>
  <si>
    <t>=-NL("Sum","5802 Value Entry","151 Cost Amount (Expected)","41 Source Type",$C$5,"5 Source No.",$C1693,"4 Item Ledger Entry Type",$C$4,"2 Item No.","@@"&amp;$F1693,"3 Posting Date",J$9)-NL("Sum","5802 Value Entry","43 Cost Amount (Actual)","41 Source Type",$C$5,"5 Source no.",$C1693,"4 Item Ledger Entry Type",$C$4,"2 Item No.","@@"&amp;$F1693,"3 Posting Date",J$9)</t>
  </si>
  <si>
    <t>=J1693-L1693</t>
  </si>
  <si>
    <t>=IF(J1693&lt;&gt;0,M1693/J1693,"")</t>
  </si>
  <si>
    <t>=NL("Sum","5802 Value Entry","150 Sales Amount (Expected)","41 Source Type",$C$5,"5 Source No.",$C1693,"4 Item Ledger Entry Type",$C$4,"2 Item No.","@@"&amp;$F1693,"3 Posting Date",O$9)+NL("Sum","5802 Value Entry","17 Sales Amount (Actual)","41 Source Type",$C$5,"5 Source no.",$C1693,"4 Item Ledger Entry Type",$C$4,"2 Item No.","@@"&amp;$F1693,"3 Posting Date",O$9)</t>
  </si>
  <si>
    <t>=-NL("Sum","5802 Value Entry","151 Cost Amount (Expected)","41 Source Type",$C$5,"5 Source No.",$C1693,"4 Item Ledger Entry Type",$C$4,"2 Item No.","@@"&amp;$F1693,"3 Posting Date",O$9)-NL("Sum","5802 Value Entry","43 Cost Amount (Actual)","41 Source Type",$C$5,"5 Source no.",$C1693,"4 Item Ledger Entry Type",$C$4,"2 Item No.","@@"&amp;$F1693,"3 Posting Date",O$9)</t>
  </si>
  <si>
    <t>=O1693-Q1693</t>
  </si>
  <si>
    <t>=IF(O1693&lt;&gt;0,R1693/O1693,"")</t>
  </si>
  <si>
    <t>=NL("Sum","5802 Value Entry","150 Sales Amount (Expected)","41 Source Type",$C$5,"5 Source No.",$C1693,"4 Item Ledger Entry Type",$C$4,"2 Item No.","@@"&amp;$F1693,"3 Posting Date",U$9)+NL("Sum","5802 Value Entry","17 Sales Amount (Actual)","41 Source Type",$C$5,"5 Source no.",$C1693,"4 Item Ledger Entry Type",$C$4,"2 Item No.","@@"&amp;$F1693,"3 Posting Date",U$9)</t>
  </si>
  <si>
    <t>=-NL("Sum","5802 Value Entry","151 Cost Amount (Expected)","41 Source Type",$C$5,"5 Source No.",$C1693,"4 Item Ledger Entry Type",$C$4,"2 Item No.","@@"&amp;$F1693,"3 Posting Date",U$9)-NL("Sum","5802 Value Entry","43 Cost Amount (Actual)","41 Source Type",$C$5,"5 Source no.",$C1693,"4 Item Ledger Entry Type",$C$4,"2 Item No.","@@"&amp;$F1693,"3 Posting Date",U$9)</t>
  </si>
  <si>
    <t>=U1693-W1693</t>
  </si>
  <si>
    <t>=IF(U1693&lt;&gt;0,X1693/U1693,"")</t>
  </si>
  <si>
    <t>=NL("Sum","5802 Value Entry","150 Sales Amount (Expected)","41 Source Type",$C$5,"5 Source No.",$C1693,"4 Item Ledger Entry Type",$C$4,"2 Item No.","@@"&amp;$F1693,"3 Posting Date",Z$9)+NL("Sum","5802 Value Entry","17 Sales Amount (Actual)","41 Source Type",$C$5,"5 Source no.",$C1693,"4 Item Ledger Entry Type",$C$4,"2 Item No.","@@"&amp;$F1693,"3 Posting Date",Z$9)</t>
  </si>
  <si>
    <t>=-NL("Sum","5802 Value Entry","151 Cost Amount (Expected)","41 Source Type",$C$5,"5 Source No.",$C1693,"4 Item Ledger Entry Type",$C$4,"2 Item No.","@@"&amp;$F1693,"3 Posting Date",Z$9)-NL("Sum","5802 Value Entry","43 Cost Amount (Actual)","41 Source Type",$C$5,"5 Source no.",$C1693,"4 Item Ledger Entry Type",$C$4,"2 Item No.","@@"&amp;$F1693,"3 Posting Date",Z$9)</t>
  </si>
  <si>
    <t>=Z1693-AB1693</t>
  </si>
  <si>
    <t>=IF(Z1693&lt;&gt;0,AC1693/Z1693,"")</t>
  </si>
  <si>
    <t>=C1693</t>
  </si>
  <si>
    <t>=NL("Sum","5802 Value Entry","150 Sales Amount (Expected)","41 Source Type",$C$5,"5 Source No.",$C1694,"4 Item Ledger Entry Type",$C$4,"2 Item No.","@@"&amp;$F1694,"3 Posting Date",J$9)+NL("Sum","5802 Value Entry","17 Sales Amount (Actual)","41 Source Type",$C$5,"5 Source no.",$C1694,"4 Item Ledger Entry Type",$C$4,"2 Item No.","@@"&amp;$F1694,"3 Posting Date",J$9)</t>
  </si>
  <si>
    <t>=-NL("Sum","5802 Value Entry","151 Cost Amount (Expected)","41 Source Type",$C$5,"5 Source No.",$C1694,"4 Item Ledger Entry Type",$C$4,"2 Item No.","@@"&amp;$F1694,"3 Posting Date",J$9)-NL("Sum","5802 Value Entry","43 Cost Amount (Actual)","41 Source Type",$C$5,"5 Source no.",$C1694,"4 Item Ledger Entry Type",$C$4,"2 Item No.","@@"&amp;$F1694,"3 Posting Date",J$9)</t>
  </si>
  <si>
    <t>=J1694-L1694</t>
  </si>
  <si>
    <t>=IF(J1694&lt;&gt;0,M1694/J1694,"")</t>
  </si>
  <si>
    <t>=NL("Sum","5802 Value Entry","150 Sales Amount (Expected)","41 Source Type",$C$5,"5 Source No.",$C1694,"4 Item Ledger Entry Type",$C$4,"2 Item No.","@@"&amp;$F1694,"3 Posting Date",O$9)+NL("Sum","5802 Value Entry","17 Sales Amount (Actual)","41 Source Type",$C$5,"5 Source no.",$C1694,"4 Item Ledger Entry Type",$C$4,"2 Item No.","@@"&amp;$F1694,"3 Posting Date",O$9)</t>
  </si>
  <si>
    <t>=-NL("Sum","5802 Value Entry","151 Cost Amount (Expected)","41 Source Type",$C$5,"5 Source No.",$C1694,"4 Item Ledger Entry Type",$C$4,"2 Item No.","@@"&amp;$F1694,"3 Posting Date",O$9)-NL("Sum","5802 Value Entry","43 Cost Amount (Actual)","41 Source Type",$C$5,"5 Source no.",$C1694,"4 Item Ledger Entry Type",$C$4,"2 Item No.","@@"&amp;$F1694,"3 Posting Date",O$9)</t>
  </si>
  <si>
    <t>=O1694-Q1694</t>
  </si>
  <si>
    <t>=IF(O1694&lt;&gt;0,R1694/O1694,"")</t>
  </si>
  <si>
    <t>=NL("Sum","5802 Value Entry","150 Sales Amount (Expected)","41 Source Type",$C$5,"5 Source No.",$C1694,"4 Item Ledger Entry Type",$C$4,"2 Item No.","@@"&amp;$F1694,"3 Posting Date",U$9)+NL("Sum","5802 Value Entry","17 Sales Amount (Actual)","41 Source Type",$C$5,"5 Source no.",$C1694,"4 Item Ledger Entry Type",$C$4,"2 Item No.","@@"&amp;$F1694,"3 Posting Date",U$9)</t>
  </si>
  <si>
    <t>=-NL("Sum","5802 Value Entry","151 Cost Amount (Expected)","41 Source Type",$C$5,"5 Source No.",$C1694,"4 Item Ledger Entry Type",$C$4,"2 Item No.","@@"&amp;$F1694,"3 Posting Date",U$9)-NL("Sum","5802 Value Entry","43 Cost Amount (Actual)","41 Source Type",$C$5,"5 Source no.",$C1694,"4 Item Ledger Entry Type",$C$4,"2 Item No.","@@"&amp;$F1694,"3 Posting Date",U$9)</t>
  </si>
  <si>
    <t>=U1694-W1694</t>
  </si>
  <si>
    <t>=IF(U1694&lt;&gt;0,X1694/U1694,"")</t>
  </si>
  <si>
    <t>=NL("Sum","5802 Value Entry","150 Sales Amount (Expected)","41 Source Type",$C$5,"5 Source No.",$C1694,"4 Item Ledger Entry Type",$C$4,"2 Item No.","@@"&amp;$F1694,"3 Posting Date",Z$9)+NL("Sum","5802 Value Entry","17 Sales Amount (Actual)","41 Source Type",$C$5,"5 Source no.",$C1694,"4 Item Ledger Entry Type",$C$4,"2 Item No.","@@"&amp;$F1694,"3 Posting Date",Z$9)</t>
  </si>
  <si>
    <t>=-NL("Sum","5802 Value Entry","151 Cost Amount (Expected)","41 Source Type",$C$5,"5 Source No.",$C1694,"4 Item Ledger Entry Type",$C$4,"2 Item No.","@@"&amp;$F1694,"3 Posting Date",Z$9)-NL("Sum","5802 Value Entry","43 Cost Amount (Actual)","41 Source Type",$C$5,"5 Source no.",$C1694,"4 Item Ledger Entry Type",$C$4,"2 Item No.","@@"&amp;$F1694,"3 Posting Date",Z$9)</t>
  </si>
  <si>
    <t>=Z1694-AB1694</t>
  </si>
  <si>
    <t>=IF(Z1694&lt;&gt;0,AC1694/Z1694,"")</t>
  </si>
  <si>
    <t>=C1694</t>
  </si>
  <si>
    <t>=NL("Sum","5802 Value Entry","150 Sales Amount (Expected)","41 Source Type",$C$5,"5 Source No.",$C1695,"4 Item Ledger Entry Type",$C$4,"2 Item No.","@@"&amp;$F1695,"3 Posting Date",J$9)+NL("Sum","5802 Value Entry","17 Sales Amount (Actual)","41 Source Type",$C$5,"5 Source no.",$C1695,"4 Item Ledger Entry Type",$C$4,"2 Item No.","@@"&amp;$F1695,"3 Posting Date",J$9)</t>
  </si>
  <si>
    <t>=-NL("Sum","5802 Value Entry","151 Cost Amount (Expected)","41 Source Type",$C$5,"5 Source No.",$C1695,"4 Item Ledger Entry Type",$C$4,"2 Item No.","@@"&amp;$F1695,"3 Posting Date",J$9)-NL("Sum","5802 Value Entry","43 Cost Amount (Actual)","41 Source Type",$C$5,"5 Source no.",$C1695,"4 Item Ledger Entry Type",$C$4,"2 Item No.","@@"&amp;$F1695,"3 Posting Date",J$9)</t>
  </si>
  <si>
    <t>=J1695-L1695</t>
  </si>
  <si>
    <t>=IF(J1695&lt;&gt;0,M1695/J1695,"")</t>
  </si>
  <si>
    <t>=NL("Sum","5802 Value Entry","150 Sales Amount (Expected)","41 Source Type",$C$5,"5 Source No.",$C1695,"4 Item Ledger Entry Type",$C$4,"2 Item No.","@@"&amp;$F1695,"3 Posting Date",O$9)+NL("Sum","5802 Value Entry","17 Sales Amount (Actual)","41 Source Type",$C$5,"5 Source no.",$C1695,"4 Item Ledger Entry Type",$C$4,"2 Item No.","@@"&amp;$F1695,"3 Posting Date",O$9)</t>
  </si>
  <si>
    <t>=-NL("Sum","5802 Value Entry","151 Cost Amount (Expected)","41 Source Type",$C$5,"5 Source No.",$C1695,"4 Item Ledger Entry Type",$C$4,"2 Item No.","@@"&amp;$F1695,"3 Posting Date",O$9)-NL("Sum","5802 Value Entry","43 Cost Amount (Actual)","41 Source Type",$C$5,"5 Source no.",$C1695,"4 Item Ledger Entry Type",$C$4,"2 Item No.","@@"&amp;$F1695,"3 Posting Date",O$9)</t>
  </si>
  <si>
    <t>=O1695-Q1695</t>
  </si>
  <si>
    <t>=IF(O1695&lt;&gt;0,R1695/O1695,"")</t>
  </si>
  <si>
    <t>=NL("Sum","5802 Value Entry","150 Sales Amount (Expected)","41 Source Type",$C$5,"5 Source No.",$C1695,"4 Item Ledger Entry Type",$C$4,"2 Item No.","@@"&amp;$F1695,"3 Posting Date",U$9)+NL("Sum","5802 Value Entry","17 Sales Amount (Actual)","41 Source Type",$C$5,"5 Source no.",$C1695,"4 Item Ledger Entry Type",$C$4,"2 Item No.","@@"&amp;$F1695,"3 Posting Date",U$9)</t>
  </si>
  <si>
    <t>=-NL("Sum","5802 Value Entry","151 Cost Amount (Expected)","41 Source Type",$C$5,"5 Source No.",$C1695,"4 Item Ledger Entry Type",$C$4,"2 Item No.","@@"&amp;$F1695,"3 Posting Date",U$9)-NL("Sum","5802 Value Entry","43 Cost Amount (Actual)","41 Source Type",$C$5,"5 Source no.",$C1695,"4 Item Ledger Entry Type",$C$4,"2 Item No.","@@"&amp;$F1695,"3 Posting Date",U$9)</t>
  </si>
  <si>
    <t>=U1695-W1695</t>
  </si>
  <si>
    <t>=IF(U1695&lt;&gt;0,X1695/U1695,"")</t>
  </si>
  <si>
    <t>=NL("Sum","5802 Value Entry","150 Sales Amount (Expected)","41 Source Type",$C$5,"5 Source No.",$C1695,"4 Item Ledger Entry Type",$C$4,"2 Item No.","@@"&amp;$F1695,"3 Posting Date",Z$9)+NL("Sum","5802 Value Entry","17 Sales Amount (Actual)","41 Source Type",$C$5,"5 Source no.",$C1695,"4 Item Ledger Entry Type",$C$4,"2 Item No.","@@"&amp;$F1695,"3 Posting Date",Z$9)</t>
  </si>
  <si>
    <t>=-NL("Sum","5802 Value Entry","151 Cost Amount (Expected)","41 Source Type",$C$5,"5 Source No.",$C1695,"4 Item Ledger Entry Type",$C$4,"2 Item No.","@@"&amp;$F1695,"3 Posting Date",Z$9)-NL("Sum","5802 Value Entry","43 Cost Amount (Actual)","41 Source Type",$C$5,"5 Source no.",$C1695,"4 Item Ledger Entry Type",$C$4,"2 Item No.","@@"&amp;$F1695,"3 Posting Date",Z$9)</t>
  </si>
  <si>
    <t>=Z1695-AB1695</t>
  </si>
  <si>
    <t>=IF(Z1695&lt;&gt;0,AC1695/Z1695,"")</t>
  </si>
  <si>
    <t>=C1695</t>
  </si>
  <si>
    <t>=NL("Sum","5802 Value Entry","150 Sales Amount (Expected)","41 Source Type",$C$5,"5 Source No.",$C1696,"4 Item Ledger Entry Type",$C$4,"2 Item No.","@@"&amp;$F1696,"3 Posting Date",J$9)+NL("Sum","5802 Value Entry","17 Sales Amount (Actual)","41 Source Type",$C$5,"5 Source no.",$C1696,"4 Item Ledger Entry Type",$C$4,"2 Item No.","@@"&amp;$F1696,"3 Posting Date",J$9)</t>
  </si>
  <si>
    <t>=-NL("Sum","5802 Value Entry","151 Cost Amount (Expected)","41 Source Type",$C$5,"5 Source No.",$C1696,"4 Item Ledger Entry Type",$C$4,"2 Item No.","@@"&amp;$F1696,"3 Posting Date",J$9)-NL("Sum","5802 Value Entry","43 Cost Amount (Actual)","41 Source Type",$C$5,"5 Source no.",$C1696,"4 Item Ledger Entry Type",$C$4,"2 Item No.","@@"&amp;$F1696,"3 Posting Date",J$9)</t>
  </si>
  <si>
    <t>=J1696-L1696</t>
  </si>
  <si>
    <t>=IF(J1696&lt;&gt;0,M1696/J1696,"")</t>
  </si>
  <si>
    <t>=NL("Sum","5802 Value Entry","150 Sales Amount (Expected)","41 Source Type",$C$5,"5 Source No.",$C1696,"4 Item Ledger Entry Type",$C$4,"2 Item No.","@@"&amp;$F1696,"3 Posting Date",O$9)+NL("Sum","5802 Value Entry","17 Sales Amount (Actual)","41 Source Type",$C$5,"5 Source no.",$C1696,"4 Item Ledger Entry Type",$C$4,"2 Item No.","@@"&amp;$F1696,"3 Posting Date",O$9)</t>
  </si>
  <si>
    <t>=-NL("Sum","5802 Value Entry","151 Cost Amount (Expected)","41 Source Type",$C$5,"5 Source No.",$C1696,"4 Item Ledger Entry Type",$C$4,"2 Item No.","@@"&amp;$F1696,"3 Posting Date",O$9)-NL("Sum","5802 Value Entry","43 Cost Amount (Actual)","41 Source Type",$C$5,"5 Source no.",$C1696,"4 Item Ledger Entry Type",$C$4,"2 Item No.","@@"&amp;$F1696,"3 Posting Date",O$9)</t>
  </si>
  <si>
    <t>=O1696-Q1696</t>
  </si>
  <si>
    <t>=IF(O1696&lt;&gt;0,R1696/O1696,"")</t>
  </si>
  <si>
    <t>=NL("Sum","5802 Value Entry","150 Sales Amount (Expected)","41 Source Type",$C$5,"5 Source No.",$C1696,"4 Item Ledger Entry Type",$C$4,"2 Item No.","@@"&amp;$F1696,"3 Posting Date",U$9)+NL("Sum","5802 Value Entry","17 Sales Amount (Actual)","41 Source Type",$C$5,"5 Source no.",$C1696,"4 Item Ledger Entry Type",$C$4,"2 Item No.","@@"&amp;$F1696,"3 Posting Date",U$9)</t>
  </si>
  <si>
    <t>=-NL("Sum","5802 Value Entry","151 Cost Amount (Expected)","41 Source Type",$C$5,"5 Source No.",$C1696,"4 Item Ledger Entry Type",$C$4,"2 Item No.","@@"&amp;$F1696,"3 Posting Date",U$9)-NL("Sum","5802 Value Entry","43 Cost Amount (Actual)","41 Source Type",$C$5,"5 Source no.",$C1696,"4 Item Ledger Entry Type",$C$4,"2 Item No.","@@"&amp;$F1696,"3 Posting Date",U$9)</t>
  </si>
  <si>
    <t>=U1696-W1696</t>
  </si>
  <si>
    <t>=IF(U1696&lt;&gt;0,X1696/U1696,"")</t>
  </si>
  <si>
    <t>=NL("Sum","5802 Value Entry","150 Sales Amount (Expected)","41 Source Type",$C$5,"5 Source No.",$C1696,"4 Item Ledger Entry Type",$C$4,"2 Item No.","@@"&amp;$F1696,"3 Posting Date",Z$9)+NL("Sum","5802 Value Entry","17 Sales Amount (Actual)","41 Source Type",$C$5,"5 Source no.",$C1696,"4 Item Ledger Entry Type",$C$4,"2 Item No.","@@"&amp;$F1696,"3 Posting Date",Z$9)</t>
  </si>
  <si>
    <t>=-NL("Sum","5802 Value Entry","151 Cost Amount (Expected)","41 Source Type",$C$5,"5 Source No.",$C1696,"4 Item Ledger Entry Type",$C$4,"2 Item No.","@@"&amp;$F1696,"3 Posting Date",Z$9)-NL("Sum","5802 Value Entry","43 Cost Amount (Actual)","41 Source Type",$C$5,"5 Source no.",$C1696,"4 Item Ledger Entry Type",$C$4,"2 Item No.","@@"&amp;$F1696,"3 Posting Date",Z$9)</t>
  </si>
  <si>
    <t>=Z1696-AB1696</t>
  </si>
  <si>
    <t>=IF(Z1696&lt;&gt;0,AC1696/Z1696,"")</t>
  </si>
  <si>
    <t>=C1696</t>
  </si>
  <si>
    <t>=NL("Sum","5802 Value Entry","150 Sales Amount (Expected)","41 Source Type",$C$5,"5 Source No.",$C1697,"4 Item Ledger Entry Type",$C$4,"2 Item No.","@@"&amp;$F1697,"3 Posting Date",J$9)+NL("Sum","5802 Value Entry","17 Sales Amount (Actual)","41 Source Type",$C$5,"5 Source no.",$C1697,"4 Item Ledger Entry Type",$C$4,"2 Item No.","@@"&amp;$F1697,"3 Posting Date",J$9)</t>
  </si>
  <si>
    <t>=-NL("Sum","5802 Value Entry","151 Cost Amount (Expected)","41 Source Type",$C$5,"5 Source No.",$C1697,"4 Item Ledger Entry Type",$C$4,"2 Item No.","@@"&amp;$F1697,"3 Posting Date",J$9)-NL("Sum","5802 Value Entry","43 Cost Amount (Actual)","41 Source Type",$C$5,"5 Source no.",$C1697,"4 Item Ledger Entry Type",$C$4,"2 Item No.","@@"&amp;$F1697,"3 Posting Date",J$9)</t>
  </si>
  <si>
    <t>=J1697-L1697</t>
  </si>
  <si>
    <t>=IF(J1697&lt;&gt;0,M1697/J1697,"")</t>
  </si>
  <si>
    <t>=NL("Sum","5802 Value Entry","150 Sales Amount (Expected)","41 Source Type",$C$5,"5 Source No.",$C1697,"4 Item Ledger Entry Type",$C$4,"2 Item No.","@@"&amp;$F1697,"3 Posting Date",O$9)+NL("Sum","5802 Value Entry","17 Sales Amount (Actual)","41 Source Type",$C$5,"5 Source no.",$C1697,"4 Item Ledger Entry Type",$C$4,"2 Item No.","@@"&amp;$F1697,"3 Posting Date",O$9)</t>
  </si>
  <si>
    <t>=-NL("Sum","5802 Value Entry","151 Cost Amount (Expected)","41 Source Type",$C$5,"5 Source No.",$C1697,"4 Item Ledger Entry Type",$C$4,"2 Item No.","@@"&amp;$F1697,"3 Posting Date",O$9)-NL("Sum","5802 Value Entry","43 Cost Amount (Actual)","41 Source Type",$C$5,"5 Source no.",$C1697,"4 Item Ledger Entry Type",$C$4,"2 Item No.","@@"&amp;$F1697,"3 Posting Date",O$9)</t>
  </si>
  <si>
    <t>=O1697-Q1697</t>
  </si>
  <si>
    <t>=IF(O1697&lt;&gt;0,R1697/O1697,"")</t>
  </si>
  <si>
    <t>=NL("Sum","5802 Value Entry","150 Sales Amount (Expected)","41 Source Type",$C$5,"5 Source No.",$C1697,"4 Item Ledger Entry Type",$C$4,"2 Item No.","@@"&amp;$F1697,"3 Posting Date",U$9)+NL("Sum","5802 Value Entry","17 Sales Amount (Actual)","41 Source Type",$C$5,"5 Source no.",$C1697,"4 Item Ledger Entry Type",$C$4,"2 Item No.","@@"&amp;$F1697,"3 Posting Date",U$9)</t>
  </si>
  <si>
    <t>=-NL("Sum","5802 Value Entry","151 Cost Amount (Expected)","41 Source Type",$C$5,"5 Source No.",$C1697,"4 Item Ledger Entry Type",$C$4,"2 Item No.","@@"&amp;$F1697,"3 Posting Date",U$9)-NL("Sum","5802 Value Entry","43 Cost Amount (Actual)","41 Source Type",$C$5,"5 Source no.",$C1697,"4 Item Ledger Entry Type",$C$4,"2 Item No.","@@"&amp;$F1697,"3 Posting Date",U$9)</t>
  </si>
  <si>
    <t>=U1697-W1697</t>
  </si>
  <si>
    <t>=IF(U1697&lt;&gt;0,X1697/U1697,"")</t>
  </si>
  <si>
    <t>=NL("Sum","5802 Value Entry","150 Sales Amount (Expected)","41 Source Type",$C$5,"5 Source No.",$C1697,"4 Item Ledger Entry Type",$C$4,"2 Item No.","@@"&amp;$F1697,"3 Posting Date",Z$9)+NL("Sum","5802 Value Entry","17 Sales Amount (Actual)","41 Source Type",$C$5,"5 Source no.",$C1697,"4 Item Ledger Entry Type",$C$4,"2 Item No.","@@"&amp;$F1697,"3 Posting Date",Z$9)</t>
  </si>
  <si>
    <t>=-NL("Sum","5802 Value Entry","151 Cost Amount (Expected)","41 Source Type",$C$5,"5 Source No.",$C1697,"4 Item Ledger Entry Type",$C$4,"2 Item No.","@@"&amp;$F1697,"3 Posting Date",Z$9)-NL("Sum","5802 Value Entry","43 Cost Amount (Actual)","41 Source Type",$C$5,"5 Source no.",$C1697,"4 Item Ledger Entry Type",$C$4,"2 Item No.","@@"&amp;$F1697,"3 Posting Date",Z$9)</t>
  </si>
  <si>
    <t>=Z1697-AB1697</t>
  </si>
  <si>
    <t>=IF(Z1697&lt;&gt;0,AC1697/Z1697,"")</t>
  </si>
  <si>
    <t>=C1697</t>
  </si>
  <si>
    <t>=NL("Sum","5802 Value Entry","150 Sales Amount (Expected)","41 Source Type",$C$5,"5 Source No.",$C1698,"4 Item Ledger Entry Type",$C$4,"2 Item No.","@@"&amp;$F1698,"3 Posting Date",J$9)+NL("Sum","5802 Value Entry","17 Sales Amount (Actual)","41 Source Type",$C$5,"5 Source no.",$C1698,"4 Item Ledger Entry Type",$C$4,"2 Item No.","@@"&amp;$F1698,"3 Posting Date",J$9)</t>
  </si>
  <si>
    <t>=-NL("Sum","5802 Value Entry","151 Cost Amount (Expected)","41 Source Type",$C$5,"5 Source No.",$C1698,"4 Item Ledger Entry Type",$C$4,"2 Item No.","@@"&amp;$F1698,"3 Posting Date",J$9)-NL("Sum","5802 Value Entry","43 Cost Amount (Actual)","41 Source Type",$C$5,"5 Source no.",$C1698,"4 Item Ledger Entry Type",$C$4,"2 Item No.","@@"&amp;$F1698,"3 Posting Date",J$9)</t>
  </si>
  <si>
    <t>=J1698-L1698</t>
  </si>
  <si>
    <t>=IF(J1698&lt;&gt;0,M1698/J1698,"")</t>
  </si>
  <si>
    <t>=NL("Sum","5802 Value Entry","150 Sales Amount (Expected)","41 Source Type",$C$5,"5 Source No.",$C1698,"4 Item Ledger Entry Type",$C$4,"2 Item No.","@@"&amp;$F1698,"3 Posting Date",O$9)+NL("Sum","5802 Value Entry","17 Sales Amount (Actual)","41 Source Type",$C$5,"5 Source no.",$C1698,"4 Item Ledger Entry Type",$C$4,"2 Item No.","@@"&amp;$F1698,"3 Posting Date",O$9)</t>
  </si>
  <si>
    <t>=-NL("Sum","5802 Value Entry","151 Cost Amount (Expected)","41 Source Type",$C$5,"5 Source No.",$C1698,"4 Item Ledger Entry Type",$C$4,"2 Item No.","@@"&amp;$F1698,"3 Posting Date",O$9)-NL("Sum","5802 Value Entry","43 Cost Amount (Actual)","41 Source Type",$C$5,"5 Source no.",$C1698,"4 Item Ledger Entry Type",$C$4,"2 Item No.","@@"&amp;$F1698,"3 Posting Date",O$9)</t>
  </si>
  <si>
    <t>=O1698-Q1698</t>
  </si>
  <si>
    <t>=IF(O1698&lt;&gt;0,R1698/O1698,"")</t>
  </si>
  <si>
    <t>=NL("Sum","5802 Value Entry","150 Sales Amount (Expected)","41 Source Type",$C$5,"5 Source No.",$C1698,"4 Item Ledger Entry Type",$C$4,"2 Item No.","@@"&amp;$F1698,"3 Posting Date",U$9)+NL("Sum","5802 Value Entry","17 Sales Amount (Actual)","41 Source Type",$C$5,"5 Source no.",$C1698,"4 Item Ledger Entry Type",$C$4,"2 Item No.","@@"&amp;$F1698,"3 Posting Date",U$9)</t>
  </si>
  <si>
    <t>=-NL("Sum","5802 Value Entry","151 Cost Amount (Expected)","41 Source Type",$C$5,"5 Source No.",$C1698,"4 Item Ledger Entry Type",$C$4,"2 Item No.","@@"&amp;$F1698,"3 Posting Date",U$9)-NL("Sum","5802 Value Entry","43 Cost Amount (Actual)","41 Source Type",$C$5,"5 Source no.",$C1698,"4 Item Ledger Entry Type",$C$4,"2 Item No.","@@"&amp;$F1698,"3 Posting Date",U$9)</t>
  </si>
  <si>
    <t>=U1698-W1698</t>
  </si>
  <si>
    <t>=IF(U1698&lt;&gt;0,X1698/U1698,"")</t>
  </si>
  <si>
    <t>=NL("Sum","5802 Value Entry","150 Sales Amount (Expected)","41 Source Type",$C$5,"5 Source No.",$C1698,"4 Item Ledger Entry Type",$C$4,"2 Item No.","@@"&amp;$F1698,"3 Posting Date",Z$9)+NL("Sum","5802 Value Entry","17 Sales Amount (Actual)","41 Source Type",$C$5,"5 Source no.",$C1698,"4 Item Ledger Entry Type",$C$4,"2 Item No.","@@"&amp;$F1698,"3 Posting Date",Z$9)</t>
  </si>
  <si>
    <t>=-NL("Sum","5802 Value Entry","151 Cost Amount (Expected)","41 Source Type",$C$5,"5 Source No.",$C1698,"4 Item Ledger Entry Type",$C$4,"2 Item No.","@@"&amp;$F1698,"3 Posting Date",Z$9)-NL("Sum","5802 Value Entry","43 Cost Amount (Actual)","41 Source Type",$C$5,"5 Source no.",$C1698,"4 Item Ledger Entry Type",$C$4,"2 Item No.","@@"&amp;$F1698,"3 Posting Date",Z$9)</t>
  </si>
  <si>
    <t>=Z1698-AB1698</t>
  </si>
  <si>
    <t>=IF(Z1698&lt;&gt;0,AC1698/Z1698,"")</t>
  </si>
  <si>
    <t>=C1698</t>
  </si>
  <si>
    <t>=NL("Sum","5802 Value Entry","150 Sales Amount (Expected)","41 Source Type",$C$5,"5 Source No.",$C1699,"4 Item Ledger Entry Type",$C$4,"2 Item No.","@@"&amp;$F1699,"3 Posting Date",J$9)+NL("Sum","5802 Value Entry","17 Sales Amount (Actual)","41 Source Type",$C$5,"5 Source no.",$C1699,"4 Item Ledger Entry Type",$C$4,"2 Item No.","@@"&amp;$F1699,"3 Posting Date",J$9)</t>
  </si>
  <si>
    <t>=-NL("Sum","5802 Value Entry","151 Cost Amount (Expected)","41 Source Type",$C$5,"5 Source No.",$C1699,"4 Item Ledger Entry Type",$C$4,"2 Item No.","@@"&amp;$F1699,"3 Posting Date",J$9)-NL("Sum","5802 Value Entry","43 Cost Amount (Actual)","41 Source Type",$C$5,"5 Source no.",$C1699,"4 Item Ledger Entry Type",$C$4,"2 Item No.","@@"&amp;$F1699,"3 Posting Date",J$9)</t>
  </si>
  <si>
    <t>=J1699-L1699</t>
  </si>
  <si>
    <t>=IF(J1699&lt;&gt;0,M1699/J1699,"")</t>
  </si>
  <si>
    <t>=NL("Sum","5802 Value Entry","150 Sales Amount (Expected)","41 Source Type",$C$5,"5 Source No.",$C1699,"4 Item Ledger Entry Type",$C$4,"2 Item No.","@@"&amp;$F1699,"3 Posting Date",O$9)+NL("Sum","5802 Value Entry","17 Sales Amount (Actual)","41 Source Type",$C$5,"5 Source no.",$C1699,"4 Item Ledger Entry Type",$C$4,"2 Item No.","@@"&amp;$F1699,"3 Posting Date",O$9)</t>
  </si>
  <si>
    <t>=-NL("Sum","5802 Value Entry","151 Cost Amount (Expected)","41 Source Type",$C$5,"5 Source No.",$C1699,"4 Item Ledger Entry Type",$C$4,"2 Item No.","@@"&amp;$F1699,"3 Posting Date",O$9)-NL("Sum","5802 Value Entry","43 Cost Amount (Actual)","41 Source Type",$C$5,"5 Source no.",$C1699,"4 Item Ledger Entry Type",$C$4,"2 Item No.","@@"&amp;$F1699,"3 Posting Date",O$9)</t>
  </si>
  <si>
    <t>=O1699-Q1699</t>
  </si>
  <si>
    <t>=IF(O1699&lt;&gt;0,R1699/O1699,"")</t>
  </si>
  <si>
    <t>=NL("Sum","5802 Value Entry","150 Sales Amount (Expected)","41 Source Type",$C$5,"5 Source No.",$C1699,"4 Item Ledger Entry Type",$C$4,"2 Item No.","@@"&amp;$F1699,"3 Posting Date",U$9)+NL("Sum","5802 Value Entry","17 Sales Amount (Actual)","41 Source Type",$C$5,"5 Source no.",$C1699,"4 Item Ledger Entry Type",$C$4,"2 Item No.","@@"&amp;$F1699,"3 Posting Date",U$9)</t>
  </si>
  <si>
    <t>=-NL("Sum","5802 Value Entry","151 Cost Amount (Expected)","41 Source Type",$C$5,"5 Source No.",$C1699,"4 Item Ledger Entry Type",$C$4,"2 Item No.","@@"&amp;$F1699,"3 Posting Date",U$9)-NL("Sum","5802 Value Entry","43 Cost Amount (Actual)","41 Source Type",$C$5,"5 Source no.",$C1699,"4 Item Ledger Entry Type",$C$4,"2 Item No.","@@"&amp;$F1699,"3 Posting Date",U$9)</t>
  </si>
  <si>
    <t>=U1699-W1699</t>
  </si>
  <si>
    <t>=IF(U1699&lt;&gt;0,X1699/U1699,"")</t>
  </si>
  <si>
    <t>=NL("Sum","5802 Value Entry","150 Sales Amount (Expected)","41 Source Type",$C$5,"5 Source No.",$C1699,"4 Item Ledger Entry Type",$C$4,"2 Item No.","@@"&amp;$F1699,"3 Posting Date",Z$9)+NL("Sum","5802 Value Entry","17 Sales Amount (Actual)","41 Source Type",$C$5,"5 Source no.",$C1699,"4 Item Ledger Entry Type",$C$4,"2 Item No.","@@"&amp;$F1699,"3 Posting Date",Z$9)</t>
  </si>
  <si>
    <t>=-NL("Sum","5802 Value Entry","151 Cost Amount (Expected)","41 Source Type",$C$5,"5 Source No.",$C1699,"4 Item Ledger Entry Type",$C$4,"2 Item No.","@@"&amp;$F1699,"3 Posting Date",Z$9)-NL("Sum","5802 Value Entry","43 Cost Amount (Actual)","41 Source Type",$C$5,"5 Source no.",$C1699,"4 Item Ledger Entry Type",$C$4,"2 Item No.","@@"&amp;$F1699,"3 Posting Date",Z$9)</t>
  </si>
  <si>
    <t>=Z1699-AB1699</t>
  </si>
  <si>
    <t>=IF(Z1699&lt;&gt;0,AC1699/Z1699,"")</t>
  </si>
  <si>
    <t>=C1699</t>
  </si>
  <si>
    <t>=NL("Sum","5802 Value Entry","150 Sales Amount (Expected)","41 Source Type",$C$5,"5 Source No.",$C1700,"4 Item Ledger Entry Type",$C$4,"2 Item No.","@@"&amp;$F1700,"3 Posting Date",J$9)+NL("Sum","5802 Value Entry","17 Sales Amount (Actual)","41 Source Type",$C$5,"5 Source no.",$C1700,"4 Item Ledger Entry Type",$C$4,"2 Item No.","@@"&amp;$F1700,"3 Posting Date",J$9)</t>
  </si>
  <si>
    <t>=-NL("Sum","5802 Value Entry","151 Cost Amount (Expected)","41 Source Type",$C$5,"5 Source No.",$C1700,"4 Item Ledger Entry Type",$C$4,"2 Item No.","@@"&amp;$F1700,"3 Posting Date",J$9)-NL("Sum","5802 Value Entry","43 Cost Amount (Actual)","41 Source Type",$C$5,"5 Source no.",$C1700,"4 Item Ledger Entry Type",$C$4,"2 Item No.","@@"&amp;$F1700,"3 Posting Date",J$9)</t>
  </si>
  <si>
    <t>=J1700-L1700</t>
  </si>
  <si>
    <t>=IF(J1700&lt;&gt;0,M1700/J1700,"")</t>
  </si>
  <si>
    <t>=NL("Sum","5802 Value Entry","150 Sales Amount (Expected)","41 Source Type",$C$5,"5 Source No.",$C1700,"4 Item Ledger Entry Type",$C$4,"2 Item No.","@@"&amp;$F1700,"3 Posting Date",O$9)+NL("Sum","5802 Value Entry","17 Sales Amount (Actual)","41 Source Type",$C$5,"5 Source no.",$C1700,"4 Item Ledger Entry Type",$C$4,"2 Item No.","@@"&amp;$F1700,"3 Posting Date",O$9)</t>
  </si>
  <si>
    <t>=-NL("Sum","5802 Value Entry","151 Cost Amount (Expected)","41 Source Type",$C$5,"5 Source No.",$C1700,"4 Item Ledger Entry Type",$C$4,"2 Item No.","@@"&amp;$F1700,"3 Posting Date",O$9)-NL("Sum","5802 Value Entry","43 Cost Amount (Actual)","41 Source Type",$C$5,"5 Source no.",$C1700,"4 Item Ledger Entry Type",$C$4,"2 Item No.","@@"&amp;$F1700,"3 Posting Date",O$9)</t>
  </si>
  <si>
    <t>=O1700-Q1700</t>
  </si>
  <si>
    <t>=IF(O1700&lt;&gt;0,R1700/O1700,"")</t>
  </si>
  <si>
    <t>=NL("Sum","5802 Value Entry","150 Sales Amount (Expected)","41 Source Type",$C$5,"5 Source No.",$C1700,"4 Item Ledger Entry Type",$C$4,"2 Item No.","@@"&amp;$F1700,"3 Posting Date",U$9)+NL("Sum","5802 Value Entry","17 Sales Amount (Actual)","41 Source Type",$C$5,"5 Source no.",$C1700,"4 Item Ledger Entry Type",$C$4,"2 Item No.","@@"&amp;$F1700,"3 Posting Date",U$9)</t>
  </si>
  <si>
    <t>=-NL("Sum","5802 Value Entry","151 Cost Amount (Expected)","41 Source Type",$C$5,"5 Source No.",$C1700,"4 Item Ledger Entry Type",$C$4,"2 Item No.","@@"&amp;$F1700,"3 Posting Date",U$9)-NL("Sum","5802 Value Entry","43 Cost Amount (Actual)","41 Source Type",$C$5,"5 Source no.",$C1700,"4 Item Ledger Entry Type",$C$4,"2 Item No.","@@"&amp;$F1700,"3 Posting Date",U$9)</t>
  </si>
  <si>
    <t>=U1700-W1700</t>
  </si>
  <si>
    <t>=IF(U1700&lt;&gt;0,X1700/U1700,"")</t>
  </si>
  <si>
    <t>=NL("Sum","5802 Value Entry","150 Sales Amount (Expected)","41 Source Type",$C$5,"5 Source No.",$C1700,"4 Item Ledger Entry Type",$C$4,"2 Item No.","@@"&amp;$F1700,"3 Posting Date",Z$9)+NL("Sum","5802 Value Entry","17 Sales Amount (Actual)","41 Source Type",$C$5,"5 Source no.",$C1700,"4 Item Ledger Entry Type",$C$4,"2 Item No.","@@"&amp;$F1700,"3 Posting Date",Z$9)</t>
  </si>
  <si>
    <t>=-NL("Sum","5802 Value Entry","151 Cost Amount (Expected)","41 Source Type",$C$5,"5 Source No.",$C1700,"4 Item Ledger Entry Type",$C$4,"2 Item No.","@@"&amp;$F1700,"3 Posting Date",Z$9)-NL("Sum","5802 Value Entry","43 Cost Amount (Actual)","41 Source Type",$C$5,"5 Source no.",$C1700,"4 Item Ledger Entry Type",$C$4,"2 Item No.","@@"&amp;$F1700,"3 Posting Date",Z$9)</t>
  </si>
  <si>
    <t>=Z1700-AB1700</t>
  </si>
  <si>
    <t>=IF(Z1700&lt;&gt;0,AC1700/Z1700,"")</t>
  </si>
  <si>
    <t>=C1700</t>
  </si>
  <si>
    <t>=NL("Sum","5802 Value Entry","150 Sales Amount (Expected)","41 Source Type",$C$5,"5 Source No.",$C1701,"4 Item Ledger Entry Type",$C$4,"2 Item No.","@@"&amp;$F1701,"3 Posting Date",J$9)+NL("Sum","5802 Value Entry","17 Sales Amount (Actual)","41 Source Type",$C$5,"5 Source no.",$C1701,"4 Item Ledger Entry Type",$C$4,"2 Item No.","@@"&amp;$F1701,"3 Posting Date",J$9)</t>
  </si>
  <si>
    <t>=-NL("Sum","5802 Value Entry","151 Cost Amount (Expected)","41 Source Type",$C$5,"5 Source No.",$C1701,"4 Item Ledger Entry Type",$C$4,"2 Item No.","@@"&amp;$F1701,"3 Posting Date",J$9)-NL("Sum","5802 Value Entry","43 Cost Amount (Actual)","41 Source Type",$C$5,"5 Source no.",$C1701,"4 Item Ledger Entry Type",$C$4,"2 Item No.","@@"&amp;$F1701,"3 Posting Date",J$9)</t>
  </si>
  <si>
    <t>=J1701-L1701</t>
  </si>
  <si>
    <t>=IF(J1701&lt;&gt;0,M1701/J1701,"")</t>
  </si>
  <si>
    <t>=NL("Sum","5802 Value Entry","150 Sales Amount (Expected)","41 Source Type",$C$5,"5 Source No.",$C1701,"4 Item Ledger Entry Type",$C$4,"2 Item No.","@@"&amp;$F1701,"3 Posting Date",O$9)+NL("Sum","5802 Value Entry","17 Sales Amount (Actual)","41 Source Type",$C$5,"5 Source no.",$C1701,"4 Item Ledger Entry Type",$C$4,"2 Item No.","@@"&amp;$F1701,"3 Posting Date",O$9)</t>
  </si>
  <si>
    <t>=-NL("Sum","5802 Value Entry","151 Cost Amount (Expected)","41 Source Type",$C$5,"5 Source No.",$C1701,"4 Item Ledger Entry Type",$C$4,"2 Item No.","@@"&amp;$F1701,"3 Posting Date",O$9)-NL("Sum","5802 Value Entry","43 Cost Amount (Actual)","41 Source Type",$C$5,"5 Source no.",$C1701,"4 Item Ledger Entry Type",$C$4,"2 Item No.","@@"&amp;$F1701,"3 Posting Date",O$9)</t>
  </si>
  <si>
    <t>=O1701-Q1701</t>
  </si>
  <si>
    <t>=IF(O1701&lt;&gt;0,R1701/O1701,"")</t>
  </si>
  <si>
    <t>=NL("Sum","5802 Value Entry","150 Sales Amount (Expected)","41 Source Type",$C$5,"5 Source No.",$C1701,"4 Item Ledger Entry Type",$C$4,"2 Item No.","@@"&amp;$F1701,"3 Posting Date",U$9)+NL("Sum","5802 Value Entry","17 Sales Amount (Actual)","41 Source Type",$C$5,"5 Source no.",$C1701,"4 Item Ledger Entry Type",$C$4,"2 Item No.","@@"&amp;$F1701,"3 Posting Date",U$9)</t>
  </si>
  <si>
    <t>=-NL("Sum","5802 Value Entry","151 Cost Amount (Expected)","41 Source Type",$C$5,"5 Source No.",$C1701,"4 Item Ledger Entry Type",$C$4,"2 Item No.","@@"&amp;$F1701,"3 Posting Date",U$9)-NL("Sum","5802 Value Entry","43 Cost Amount (Actual)","41 Source Type",$C$5,"5 Source no.",$C1701,"4 Item Ledger Entry Type",$C$4,"2 Item No.","@@"&amp;$F1701,"3 Posting Date",U$9)</t>
  </si>
  <si>
    <t>=U1701-W1701</t>
  </si>
  <si>
    <t>=IF(U1701&lt;&gt;0,X1701/U1701,"")</t>
  </si>
  <si>
    <t>=NL("Sum","5802 Value Entry","150 Sales Amount (Expected)","41 Source Type",$C$5,"5 Source No.",$C1701,"4 Item Ledger Entry Type",$C$4,"2 Item No.","@@"&amp;$F1701,"3 Posting Date",Z$9)+NL("Sum","5802 Value Entry","17 Sales Amount (Actual)","41 Source Type",$C$5,"5 Source no.",$C1701,"4 Item Ledger Entry Type",$C$4,"2 Item No.","@@"&amp;$F1701,"3 Posting Date",Z$9)</t>
  </si>
  <si>
    <t>=-NL("Sum","5802 Value Entry","151 Cost Amount (Expected)","41 Source Type",$C$5,"5 Source No.",$C1701,"4 Item Ledger Entry Type",$C$4,"2 Item No.","@@"&amp;$F1701,"3 Posting Date",Z$9)-NL("Sum","5802 Value Entry","43 Cost Amount (Actual)","41 Source Type",$C$5,"5 Source no.",$C1701,"4 Item Ledger Entry Type",$C$4,"2 Item No.","@@"&amp;$F1701,"3 Posting Date",Z$9)</t>
  </si>
  <si>
    <t>=Z1701-AB1701</t>
  </si>
  <si>
    <t>=IF(Z1701&lt;&gt;0,AC1701/Z1701,"")</t>
  </si>
  <si>
    <t>=C1701</t>
  </si>
  <si>
    <t>=NL("Sum","5802 Value Entry","150 Sales Amount (Expected)","41 Source Type",$C$5,"5 Source No.",$C1702,"4 Item Ledger Entry Type",$C$4,"2 Item No.","@@"&amp;$F1702,"3 Posting Date",J$9)+NL("Sum","5802 Value Entry","17 Sales Amount (Actual)","41 Source Type",$C$5,"5 Source no.",$C1702,"4 Item Ledger Entry Type",$C$4,"2 Item No.","@@"&amp;$F1702,"3 Posting Date",J$9)</t>
  </si>
  <si>
    <t>=-NL("Sum","5802 Value Entry","151 Cost Amount (Expected)","41 Source Type",$C$5,"5 Source No.",$C1702,"4 Item Ledger Entry Type",$C$4,"2 Item No.","@@"&amp;$F1702,"3 Posting Date",J$9)-NL("Sum","5802 Value Entry","43 Cost Amount (Actual)","41 Source Type",$C$5,"5 Source no.",$C1702,"4 Item Ledger Entry Type",$C$4,"2 Item No.","@@"&amp;$F1702,"3 Posting Date",J$9)</t>
  </si>
  <si>
    <t>=J1702-L1702</t>
  </si>
  <si>
    <t>=IF(J1702&lt;&gt;0,M1702/J1702,"")</t>
  </si>
  <si>
    <t>=NL("Sum","5802 Value Entry","150 Sales Amount (Expected)","41 Source Type",$C$5,"5 Source No.",$C1702,"4 Item Ledger Entry Type",$C$4,"2 Item No.","@@"&amp;$F1702,"3 Posting Date",O$9)+NL("Sum","5802 Value Entry","17 Sales Amount (Actual)","41 Source Type",$C$5,"5 Source no.",$C1702,"4 Item Ledger Entry Type",$C$4,"2 Item No.","@@"&amp;$F1702,"3 Posting Date",O$9)</t>
  </si>
  <si>
    <t>=-NL("Sum","5802 Value Entry","151 Cost Amount (Expected)","41 Source Type",$C$5,"5 Source No.",$C1702,"4 Item Ledger Entry Type",$C$4,"2 Item No.","@@"&amp;$F1702,"3 Posting Date",O$9)-NL("Sum","5802 Value Entry","43 Cost Amount (Actual)","41 Source Type",$C$5,"5 Source no.",$C1702,"4 Item Ledger Entry Type",$C$4,"2 Item No.","@@"&amp;$F1702,"3 Posting Date",O$9)</t>
  </si>
  <si>
    <t>=O1702-Q1702</t>
  </si>
  <si>
    <t>=IF(O1702&lt;&gt;0,R1702/O1702,"")</t>
  </si>
  <si>
    <t>=NL("Sum","5802 Value Entry","150 Sales Amount (Expected)","41 Source Type",$C$5,"5 Source No.",$C1702,"4 Item Ledger Entry Type",$C$4,"2 Item No.","@@"&amp;$F1702,"3 Posting Date",U$9)+NL("Sum","5802 Value Entry","17 Sales Amount (Actual)","41 Source Type",$C$5,"5 Source no.",$C1702,"4 Item Ledger Entry Type",$C$4,"2 Item No.","@@"&amp;$F1702,"3 Posting Date",U$9)</t>
  </si>
  <si>
    <t>=-NL("Sum","5802 Value Entry","151 Cost Amount (Expected)","41 Source Type",$C$5,"5 Source No.",$C1702,"4 Item Ledger Entry Type",$C$4,"2 Item No.","@@"&amp;$F1702,"3 Posting Date",U$9)-NL("Sum","5802 Value Entry","43 Cost Amount (Actual)","41 Source Type",$C$5,"5 Source no.",$C1702,"4 Item Ledger Entry Type",$C$4,"2 Item No.","@@"&amp;$F1702,"3 Posting Date",U$9)</t>
  </si>
  <si>
    <t>=U1702-W1702</t>
  </si>
  <si>
    <t>=IF(U1702&lt;&gt;0,X1702/U1702,"")</t>
  </si>
  <si>
    <t>=NL("Sum","5802 Value Entry","150 Sales Amount (Expected)","41 Source Type",$C$5,"5 Source No.",$C1702,"4 Item Ledger Entry Type",$C$4,"2 Item No.","@@"&amp;$F1702,"3 Posting Date",Z$9)+NL("Sum","5802 Value Entry","17 Sales Amount (Actual)","41 Source Type",$C$5,"5 Source no.",$C1702,"4 Item Ledger Entry Type",$C$4,"2 Item No.","@@"&amp;$F1702,"3 Posting Date",Z$9)</t>
  </si>
  <si>
    <t>=-NL("Sum","5802 Value Entry","151 Cost Amount (Expected)","41 Source Type",$C$5,"5 Source No.",$C1702,"4 Item Ledger Entry Type",$C$4,"2 Item No.","@@"&amp;$F1702,"3 Posting Date",Z$9)-NL("Sum","5802 Value Entry","43 Cost Amount (Actual)","41 Source Type",$C$5,"5 Source no.",$C1702,"4 Item Ledger Entry Type",$C$4,"2 Item No.","@@"&amp;$F1702,"3 Posting Date",Z$9)</t>
  </si>
  <si>
    <t>=Z1702-AB1702</t>
  </si>
  <si>
    <t>=IF(Z1702&lt;&gt;0,AC1702/Z1702,"")</t>
  </si>
  <si>
    <t>=C1702</t>
  </si>
  <si>
    <t>=NL("Sum","5802 Value Entry","150 Sales Amount (Expected)","41 Source Type",$C$5,"5 Source No.",$C1703,"4 Item Ledger Entry Type",$C$4,"2 Item No.","@@"&amp;$F1703,"3 Posting Date",J$9)+NL("Sum","5802 Value Entry","17 Sales Amount (Actual)","41 Source Type",$C$5,"5 Source no.",$C1703,"4 Item Ledger Entry Type",$C$4,"2 Item No.","@@"&amp;$F1703,"3 Posting Date",J$9)</t>
  </si>
  <si>
    <t>=-NL("Sum","5802 Value Entry","151 Cost Amount (Expected)","41 Source Type",$C$5,"5 Source No.",$C1703,"4 Item Ledger Entry Type",$C$4,"2 Item No.","@@"&amp;$F1703,"3 Posting Date",J$9)-NL("Sum","5802 Value Entry","43 Cost Amount (Actual)","41 Source Type",$C$5,"5 Source no.",$C1703,"4 Item Ledger Entry Type",$C$4,"2 Item No.","@@"&amp;$F1703,"3 Posting Date",J$9)</t>
  </si>
  <si>
    <t>=J1703-L1703</t>
  </si>
  <si>
    <t>=IF(J1703&lt;&gt;0,M1703/J1703,"")</t>
  </si>
  <si>
    <t>=NL("Sum","5802 Value Entry","150 Sales Amount (Expected)","41 Source Type",$C$5,"5 Source No.",$C1703,"4 Item Ledger Entry Type",$C$4,"2 Item No.","@@"&amp;$F1703,"3 Posting Date",O$9)+NL("Sum","5802 Value Entry","17 Sales Amount (Actual)","41 Source Type",$C$5,"5 Source no.",$C1703,"4 Item Ledger Entry Type",$C$4,"2 Item No.","@@"&amp;$F1703,"3 Posting Date",O$9)</t>
  </si>
  <si>
    <t>=-NL("Sum","5802 Value Entry","151 Cost Amount (Expected)","41 Source Type",$C$5,"5 Source No.",$C1703,"4 Item Ledger Entry Type",$C$4,"2 Item No.","@@"&amp;$F1703,"3 Posting Date",O$9)-NL("Sum","5802 Value Entry","43 Cost Amount (Actual)","41 Source Type",$C$5,"5 Source no.",$C1703,"4 Item Ledger Entry Type",$C$4,"2 Item No.","@@"&amp;$F1703,"3 Posting Date",O$9)</t>
  </si>
  <si>
    <t>=O1703-Q1703</t>
  </si>
  <si>
    <t>=IF(O1703&lt;&gt;0,R1703/O1703,"")</t>
  </si>
  <si>
    <t>=NL("Sum","5802 Value Entry","150 Sales Amount (Expected)","41 Source Type",$C$5,"5 Source No.",$C1703,"4 Item Ledger Entry Type",$C$4,"2 Item No.","@@"&amp;$F1703,"3 Posting Date",U$9)+NL("Sum","5802 Value Entry","17 Sales Amount (Actual)","41 Source Type",$C$5,"5 Source no.",$C1703,"4 Item Ledger Entry Type",$C$4,"2 Item No.","@@"&amp;$F1703,"3 Posting Date",U$9)</t>
  </si>
  <si>
    <t>=-NL("Sum","5802 Value Entry","151 Cost Amount (Expected)","41 Source Type",$C$5,"5 Source No.",$C1703,"4 Item Ledger Entry Type",$C$4,"2 Item No.","@@"&amp;$F1703,"3 Posting Date",U$9)-NL("Sum","5802 Value Entry","43 Cost Amount (Actual)","41 Source Type",$C$5,"5 Source no.",$C1703,"4 Item Ledger Entry Type",$C$4,"2 Item No.","@@"&amp;$F1703,"3 Posting Date",U$9)</t>
  </si>
  <si>
    <t>=U1703-W1703</t>
  </si>
  <si>
    <t>=IF(U1703&lt;&gt;0,X1703/U1703,"")</t>
  </si>
  <si>
    <t>=NL("Sum","5802 Value Entry","150 Sales Amount (Expected)","41 Source Type",$C$5,"5 Source No.",$C1703,"4 Item Ledger Entry Type",$C$4,"2 Item No.","@@"&amp;$F1703,"3 Posting Date",Z$9)+NL("Sum","5802 Value Entry","17 Sales Amount (Actual)","41 Source Type",$C$5,"5 Source no.",$C1703,"4 Item Ledger Entry Type",$C$4,"2 Item No.","@@"&amp;$F1703,"3 Posting Date",Z$9)</t>
  </si>
  <si>
    <t>=-NL("Sum","5802 Value Entry","151 Cost Amount (Expected)","41 Source Type",$C$5,"5 Source No.",$C1703,"4 Item Ledger Entry Type",$C$4,"2 Item No.","@@"&amp;$F1703,"3 Posting Date",Z$9)-NL("Sum","5802 Value Entry","43 Cost Amount (Actual)","41 Source Type",$C$5,"5 Source no.",$C1703,"4 Item Ledger Entry Type",$C$4,"2 Item No.","@@"&amp;$F1703,"3 Posting Date",Z$9)</t>
  </si>
  <si>
    <t>=Z1703-AB1703</t>
  </si>
  <si>
    <t>=IF(Z1703&lt;&gt;0,AC1703/Z1703,"")</t>
  </si>
  <si>
    <t>=C1703</t>
  </si>
  <si>
    <t>=NL("Sum","5802 Value Entry","150 Sales Amount (Expected)","41 Source Type",$C$5,"5 Source No.",$C1704,"4 Item Ledger Entry Type",$C$4,"2 Item No.","@@"&amp;$F1704,"3 Posting Date",J$9)+NL("Sum","5802 Value Entry","17 Sales Amount (Actual)","41 Source Type",$C$5,"5 Source no.",$C1704,"4 Item Ledger Entry Type",$C$4,"2 Item No.","@@"&amp;$F1704,"3 Posting Date",J$9)</t>
  </si>
  <si>
    <t>=-NL("Sum","5802 Value Entry","151 Cost Amount (Expected)","41 Source Type",$C$5,"5 Source No.",$C1704,"4 Item Ledger Entry Type",$C$4,"2 Item No.","@@"&amp;$F1704,"3 Posting Date",J$9)-NL("Sum","5802 Value Entry","43 Cost Amount (Actual)","41 Source Type",$C$5,"5 Source no.",$C1704,"4 Item Ledger Entry Type",$C$4,"2 Item No.","@@"&amp;$F1704,"3 Posting Date",J$9)</t>
  </si>
  <si>
    <t>=J1704-L1704</t>
  </si>
  <si>
    <t>=IF(J1704&lt;&gt;0,M1704/J1704,"")</t>
  </si>
  <si>
    <t>=NL("Sum","5802 Value Entry","150 Sales Amount (Expected)","41 Source Type",$C$5,"5 Source No.",$C1704,"4 Item Ledger Entry Type",$C$4,"2 Item No.","@@"&amp;$F1704,"3 Posting Date",O$9)+NL("Sum","5802 Value Entry","17 Sales Amount (Actual)","41 Source Type",$C$5,"5 Source no.",$C1704,"4 Item Ledger Entry Type",$C$4,"2 Item No.","@@"&amp;$F1704,"3 Posting Date",O$9)</t>
  </si>
  <si>
    <t>=-NL("Sum","5802 Value Entry","151 Cost Amount (Expected)","41 Source Type",$C$5,"5 Source No.",$C1704,"4 Item Ledger Entry Type",$C$4,"2 Item No.","@@"&amp;$F1704,"3 Posting Date",O$9)-NL("Sum","5802 Value Entry","43 Cost Amount (Actual)","41 Source Type",$C$5,"5 Source no.",$C1704,"4 Item Ledger Entry Type",$C$4,"2 Item No.","@@"&amp;$F1704,"3 Posting Date",O$9)</t>
  </si>
  <si>
    <t>=O1704-Q1704</t>
  </si>
  <si>
    <t>=IF(O1704&lt;&gt;0,R1704/O1704,"")</t>
  </si>
  <si>
    <t>=NL("Sum","5802 Value Entry","150 Sales Amount (Expected)","41 Source Type",$C$5,"5 Source No.",$C1704,"4 Item Ledger Entry Type",$C$4,"2 Item No.","@@"&amp;$F1704,"3 Posting Date",U$9)+NL("Sum","5802 Value Entry","17 Sales Amount (Actual)","41 Source Type",$C$5,"5 Source no.",$C1704,"4 Item Ledger Entry Type",$C$4,"2 Item No.","@@"&amp;$F1704,"3 Posting Date",U$9)</t>
  </si>
  <si>
    <t>=-NL("Sum","5802 Value Entry","151 Cost Amount (Expected)","41 Source Type",$C$5,"5 Source No.",$C1704,"4 Item Ledger Entry Type",$C$4,"2 Item No.","@@"&amp;$F1704,"3 Posting Date",U$9)-NL("Sum","5802 Value Entry","43 Cost Amount (Actual)","41 Source Type",$C$5,"5 Source no.",$C1704,"4 Item Ledger Entry Type",$C$4,"2 Item No.","@@"&amp;$F1704,"3 Posting Date",U$9)</t>
  </si>
  <si>
    <t>=U1704-W1704</t>
  </si>
  <si>
    <t>=IF(U1704&lt;&gt;0,X1704/U1704,"")</t>
  </si>
  <si>
    <t>=NL("Sum","5802 Value Entry","150 Sales Amount (Expected)","41 Source Type",$C$5,"5 Source No.",$C1704,"4 Item Ledger Entry Type",$C$4,"2 Item No.","@@"&amp;$F1704,"3 Posting Date",Z$9)+NL("Sum","5802 Value Entry","17 Sales Amount (Actual)","41 Source Type",$C$5,"5 Source no.",$C1704,"4 Item Ledger Entry Type",$C$4,"2 Item No.","@@"&amp;$F1704,"3 Posting Date",Z$9)</t>
  </si>
  <si>
    <t>=-NL("Sum","5802 Value Entry","151 Cost Amount (Expected)","41 Source Type",$C$5,"5 Source No.",$C1704,"4 Item Ledger Entry Type",$C$4,"2 Item No.","@@"&amp;$F1704,"3 Posting Date",Z$9)-NL("Sum","5802 Value Entry","43 Cost Amount (Actual)","41 Source Type",$C$5,"5 Source no.",$C1704,"4 Item Ledger Entry Type",$C$4,"2 Item No.","@@"&amp;$F1704,"3 Posting Date",Z$9)</t>
  </si>
  <si>
    <t>=Z1704-AB1704</t>
  </si>
  <si>
    <t>=IF(Z1704&lt;&gt;0,AC1704/Z1704,"")</t>
  </si>
  <si>
    <t>=C1704</t>
  </si>
  <si>
    <t>=NL("Sum","5802 Value Entry","150 Sales Amount (Expected)","41 Source Type",$C$5,"5 Source No.",$C1705,"4 Item Ledger Entry Type",$C$4,"2 Item No.","@@"&amp;$F1705,"3 Posting Date",J$9)+NL("Sum","5802 Value Entry","17 Sales Amount (Actual)","41 Source Type",$C$5,"5 Source no.",$C1705,"4 Item Ledger Entry Type",$C$4,"2 Item No.","@@"&amp;$F1705,"3 Posting Date",J$9)</t>
  </si>
  <si>
    <t>=-NL("Sum","5802 Value Entry","151 Cost Amount (Expected)","41 Source Type",$C$5,"5 Source No.",$C1705,"4 Item Ledger Entry Type",$C$4,"2 Item No.","@@"&amp;$F1705,"3 Posting Date",J$9)-NL("Sum","5802 Value Entry","43 Cost Amount (Actual)","41 Source Type",$C$5,"5 Source no.",$C1705,"4 Item Ledger Entry Type",$C$4,"2 Item No.","@@"&amp;$F1705,"3 Posting Date",J$9)</t>
  </si>
  <si>
    <t>=J1705-L1705</t>
  </si>
  <si>
    <t>=IF(J1705&lt;&gt;0,M1705/J1705,"")</t>
  </si>
  <si>
    <t>=NL("Sum","5802 Value Entry","150 Sales Amount (Expected)","41 Source Type",$C$5,"5 Source No.",$C1705,"4 Item Ledger Entry Type",$C$4,"2 Item No.","@@"&amp;$F1705,"3 Posting Date",O$9)+NL("Sum","5802 Value Entry","17 Sales Amount (Actual)","41 Source Type",$C$5,"5 Source no.",$C1705,"4 Item Ledger Entry Type",$C$4,"2 Item No.","@@"&amp;$F1705,"3 Posting Date",O$9)</t>
  </si>
  <si>
    <t>=-NL("Sum","5802 Value Entry","151 Cost Amount (Expected)","41 Source Type",$C$5,"5 Source No.",$C1705,"4 Item Ledger Entry Type",$C$4,"2 Item No.","@@"&amp;$F1705,"3 Posting Date",O$9)-NL("Sum","5802 Value Entry","43 Cost Amount (Actual)","41 Source Type",$C$5,"5 Source no.",$C1705,"4 Item Ledger Entry Type",$C$4,"2 Item No.","@@"&amp;$F1705,"3 Posting Date",O$9)</t>
  </si>
  <si>
    <t>=O1705-Q1705</t>
  </si>
  <si>
    <t>=IF(O1705&lt;&gt;0,R1705/O1705,"")</t>
  </si>
  <si>
    <t>=NL("Sum","5802 Value Entry","150 Sales Amount (Expected)","41 Source Type",$C$5,"5 Source No.",$C1705,"4 Item Ledger Entry Type",$C$4,"2 Item No.","@@"&amp;$F1705,"3 Posting Date",U$9)+NL("Sum","5802 Value Entry","17 Sales Amount (Actual)","41 Source Type",$C$5,"5 Source no.",$C1705,"4 Item Ledger Entry Type",$C$4,"2 Item No.","@@"&amp;$F1705,"3 Posting Date",U$9)</t>
  </si>
  <si>
    <t>=-NL("Sum","5802 Value Entry","151 Cost Amount (Expected)","41 Source Type",$C$5,"5 Source No.",$C1705,"4 Item Ledger Entry Type",$C$4,"2 Item No.","@@"&amp;$F1705,"3 Posting Date",U$9)-NL("Sum","5802 Value Entry","43 Cost Amount (Actual)","41 Source Type",$C$5,"5 Source no.",$C1705,"4 Item Ledger Entry Type",$C$4,"2 Item No.","@@"&amp;$F1705,"3 Posting Date",U$9)</t>
  </si>
  <si>
    <t>=U1705-W1705</t>
  </si>
  <si>
    <t>=IF(U1705&lt;&gt;0,X1705/U1705,"")</t>
  </si>
  <si>
    <t>=NL("Sum","5802 Value Entry","150 Sales Amount (Expected)","41 Source Type",$C$5,"5 Source No.",$C1705,"4 Item Ledger Entry Type",$C$4,"2 Item No.","@@"&amp;$F1705,"3 Posting Date",Z$9)+NL("Sum","5802 Value Entry","17 Sales Amount (Actual)","41 Source Type",$C$5,"5 Source no.",$C1705,"4 Item Ledger Entry Type",$C$4,"2 Item No.","@@"&amp;$F1705,"3 Posting Date",Z$9)</t>
  </si>
  <si>
    <t>=-NL("Sum","5802 Value Entry","151 Cost Amount (Expected)","41 Source Type",$C$5,"5 Source No.",$C1705,"4 Item Ledger Entry Type",$C$4,"2 Item No.","@@"&amp;$F1705,"3 Posting Date",Z$9)-NL("Sum","5802 Value Entry","43 Cost Amount (Actual)","41 Source Type",$C$5,"5 Source no.",$C1705,"4 Item Ledger Entry Type",$C$4,"2 Item No.","@@"&amp;$F1705,"3 Posting Date",Z$9)</t>
  </si>
  <si>
    <t>=Z1705-AB1705</t>
  </si>
  <si>
    <t>=IF(Z1705&lt;&gt;0,AC1705/Z1705,"")</t>
  </si>
  <si>
    <t>=C1705</t>
  </si>
  <si>
    <t>=NL("Sum","5802 Value Entry","150 Sales Amount (Expected)","41 Source Type",$C$5,"5 Source No.",$C1706,"4 Item Ledger Entry Type",$C$4,"2 Item No.","@@"&amp;$F1706,"3 Posting Date",J$9)+NL("Sum","5802 Value Entry","17 Sales Amount (Actual)","41 Source Type",$C$5,"5 Source no.",$C1706,"4 Item Ledger Entry Type",$C$4,"2 Item No.","@@"&amp;$F1706,"3 Posting Date",J$9)</t>
  </si>
  <si>
    <t>=-NL("Sum","5802 Value Entry","151 Cost Amount (Expected)","41 Source Type",$C$5,"5 Source No.",$C1706,"4 Item Ledger Entry Type",$C$4,"2 Item No.","@@"&amp;$F1706,"3 Posting Date",J$9)-NL("Sum","5802 Value Entry","43 Cost Amount (Actual)","41 Source Type",$C$5,"5 Source no.",$C1706,"4 Item Ledger Entry Type",$C$4,"2 Item No.","@@"&amp;$F1706,"3 Posting Date",J$9)</t>
  </si>
  <si>
    <t>=J1706-L1706</t>
  </si>
  <si>
    <t>=IF(J1706&lt;&gt;0,M1706/J1706,"")</t>
  </si>
  <si>
    <t>=NL("Sum","5802 Value Entry","150 Sales Amount (Expected)","41 Source Type",$C$5,"5 Source No.",$C1706,"4 Item Ledger Entry Type",$C$4,"2 Item No.","@@"&amp;$F1706,"3 Posting Date",O$9)+NL("Sum","5802 Value Entry","17 Sales Amount (Actual)","41 Source Type",$C$5,"5 Source no.",$C1706,"4 Item Ledger Entry Type",$C$4,"2 Item No.","@@"&amp;$F1706,"3 Posting Date",O$9)</t>
  </si>
  <si>
    <t>=-NL("Sum","5802 Value Entry","151 Cost Amount (Expected)","41 Source Type",$C$5,"5 Source No.",$C1706,"4 Item Ledger Entry Type",$C$4,"2 Item No.","@@"&amp;$F1706,"3 Posting Date",O$9)-NL("Sum","5802 Value Entry","43 Cost Amount (Actual)","41 Source Type",$C$5,"5 Source no.",$C1706,"4 Item Ledger Entry Type",$C$4,"2 Item No.","@@"&amp;$F1706,"3 Posting Date",O$9)</t>
  </si>
  <si>
    <t>=O1706-Q1706</t>
  </si>
  <si>
    <t>=IF(O1706&lt;&gt;0,R1706/O1706,"")</t>
  </si>
  <si>
    <t>=NL("Sum","5802 Value Entry","150 Sales Amount (Expected)","41 Source Type",$C$5,"5 Source No.",$C1706,"4 Item Ledger Entry Type",$C$4,"2 Item No.","@@"&amp;$F1706,"3 Posting Date",U$9)+NL("Sum","5802 Value Entry","17 Sales Amount (Actual)","41 Source Type",$C$5,"5 Source no.",$C1706,"4 Item Ledger Entry Type",$C$4,"2 Item No.","@@"&amp;$F1706,"3 Posting Date",U$9)</t>
  </si>
  <si>
    <t>=-NL("Sum","5802 Value Entry","151 Cost Amount (Expected)","41 Source Type",$C$5,"5 Source No.",$C1706,"4 Item Ledger Entry Type",$C$4,"2 Item No.","@@"&amp;$F1706,"3 Posting Date",U$9)-NL("Sum","5802 Value Entry","43 Cost Amount (Actual)","41 Source Type",$C$5,"5 Source no.",$C1706,"4 Item Ledger Entry Type",$C$4,"2 Item No.","@@"&amp;$F1706,"3 Posting Date",U$9)</t>
  </si>
  <si>
    <t>=U1706-W1706</t>
  </si>
  <si>
    <t>=IF(U1706&lt;&gt;0,X1706/U1706,"")</t>
  </si>
  <si>
    <t>=NL("Sum","5802 Value Entry","150 Sales Amount (Expected)","41 Source Type",$C$5,"5 Source No.",$C1706,"4 Item Ledger Entry Type",$C$4,"2 Item No.","@@"&amp;$F1706,"3 Posting Date",Z$9)+NL("Sum","5802 Value Entry","17 Sales Amount (Actual)","41 Source Type",$C$5,"5 Source no.",$C1706,"4 Item Ledger Entry Type",$C$4,"2 Item No.","@@"&amp;$F1706,"3 Posting Date",Z$9)</t>
  </si>
  <si>
    <t>=-NL("Sum","5802 Value Entry","151 Cost Amount (Expected)","41 Source Type",$C$5,"5 Source No.",$C1706,"4 Item Ledger Entry Type",$C$4,"2 Item No.","@@"&amp;$F1706,"3 Posting Date",Z$9)-NL("Sum","5802 Value Entry","43 Cost Amount (Actual)","41 Source Type",$C$5,"5 Source no.",$C1706,"4 Item Ledger Entry Type",$C$4,"2 Item No.","@@"&amp;$F1706,"3 Posting Date",Z$9)</t>
  </si>
  <si>
    <t>=Z1706-AB1706</t>
  </si>
  <si>
    <t>=IF(Z1706&lt;&gt;0,AC1706/Z1706,"")</t>
  </si>
  <si>
    <t>=C1706</t>
  </si>
  <si>
    <t>=NL("Sum","5802 Value Entry","150 Sales Amount (Expected)","41 Source Type",$C$5,"5 Source No.",$C1707,"4 Item Ledger Entry Type",$C$4,"2 Item No.","@@"&amp;$F1707,"3 Posting Date",J$9)+NL("Sum","5802 Value Entry","17 Sales Amount (Actual)","41 Source Type",$C$5,"5 Source no.",$C1707,"4 Item Ledger Entry Type",$C$4,"2 Item No.","@@"&amp;$F1707,"3 Posting Date",J$9)</t>
  </si>
  <si>
    <t>=-NL("Sum","5802 Value Entry","151 Cost Amount (Expected)","41 Source Type",$C$5,"5 Source No.",$C1707,"4 Item Ledger Entry Type",$C$4,"2 Item No.","@@"&amp;$F1707,"3 Posting Date",J$9)-NL("Sum","5802 Value Entry","43 Cost Amount (Actual)","41 Source Type",$C$5,"5 Source no.",$C1707,"4 Item Ledger Entry Type",$C$4,"2 Item No.","@@"&amp;$F1707,"3 Posting Date",J$9)</t>
  </si>
  <si>
    <t>=J1707-L1707</t>
  </si>
  <si>
    <t>=IF(J1707&lt;&gt;0,M1707/J1707,"")</t>
  </si>
  <si>
    <t>=NL("Sum","5802 Value Entry","150 Sales Amount (Expected)","41 Source Type",$C$5,"5 Source No.",$C1707,"4 Item Ledger Entry Type",$C$4,"2 Item No.","@@"&amp;$F1707,"3 Posting Date",O$9)+NL("Sum","5802 Value Entry","17 Sales Amount (Actual)","41 Source Type",$C$5,"5 Source no.",$C1707,"4 Item Ledger Entry Type",$C$4,"2 Item No.","@@"&amp;$F1707,"3 Posting Date",O$9)</t>
  </si>
  <si>
    <t>=-NL("Sum","5802 Value Entry","151 Cost Amount (Expected)","41 Source Type",$C$5,"5 Source No.",$C1707,"4 Item Ledger Entry Type",$C$4,"2 Item No.","@@"&amp;$F1707,"3 Posting Date",O$9)-NL("Sum","5802 Value Entry","43 Cost Amount (Actual)","41 Source Type",$C$5,"5 Source no.",$C1707,"4 Item Ledger Entry Type",$C$4,"2 Item No.","@@"&amp;$F1707,"3 Posting Date",O$9)</t>
  </si>
  <si>
    <t>=O1707-Q1707</t>
  </si>
  <si>
    <t>=IF(O1707&lt;&gt;0,R1707/O1707,"")</t>
  </si>
  <si>
    <t>=NL("Sum","5802 Value Entry","150 Sales Amount (Expected)","41 Source Type",$C$5,"5 Source No.",$C1707,"4 Item Ledger Entry Type",$C$4,"2 Item No.","@@"&amp;$F1707,"3 Posting Date",U$9)+NL("Sum","5802 Value Entry","17 Sales Amount (Actual)","41 Source Type",$C$5,"5 Source no.",$C1707,"4 Item Ledger Entry Type",$C$4,"2 Item No.","@@"&amp;$F1707,"3 Posting Date",U$9)</t>
  </si>
  <si>
    <t>=-NL("Sum","5802 Value Entry","151 Cost Amount (Expected)","41 Source Type",$C$5,"5 Source No.",$C1707,"4 Item Ledger Entry Type",$C$4,"2 Item No.","@@"&amp;$F1707,"3 Posting Date",U$9)-NL("Sum","5802 Value Entry","43 Cost Amount (Actual)","41 Source Type",$C$5,"5 Source no.",$C1707,"4 Item Ledger Entry Type",$C$4,"2 Item No.","@@"&amp;$F1707,"3 Posting Date",U$9)</t>
  </si>
  <si>
    <t>=U1707-W1707</t>
  </si>
  <si>
    <t>=IF(U1707&lt;&gt;0,X1707/U1707,"")</t>
  </si>
  <si>
    <t>=NL("Sum","5802 Value Entry","150 Sales Amount (Expected)","41 Source Type",$C$5,"5 Source No.",$C1707,"4 Item Ledger Entry Type",$C$4,"2 Item No.","@@"&amp;$F1707,"3 Posting Date",Z$9)+NL("Sum","5802 Value Entry","17 Sales Amount (Actual)","41 Source Type",$C$5,"5 Source no.",$C1707,"4 Item Ledger Entry Type",$C$4,"2 Item No.","@@"&amp;$F1707,"3 Posting Date",Z$9)</t>
  </si>
  <si>
    <t>=-NL("Sum","5802 Value Entry","151 Cost Amount (Expected)","41 Source Type",$C$5,"5 Source No.",$C1707,"4 Item Ledger Entry Type",$C$4,"2 Item No.","@@"&amp;$F1707,"3 Posting Date",Z$9)-NL("Sum","5802 Value Entry","43 Cost Amount (Actual)","41 Source Type",$C$5,"5 Source no.",$C1707,"4 Item Ledger Entry Type",$C$4,"2 Item No.","@@"&amp;$F1707,"3 Posting Date",Z$9)</t>
  </si>
  <si>
    <t>=Z1707-AB1707</t>
  </si>
  <si>
    <t>=IF(Z1707&lt;&gt;0,AC1707/Z1707,"")</t>
  </si>
  <si>
    <t>=C1707</t>
  </si>
  <si>
    <t>=NL("Sum","5802 Value Entry","150 Sales Amount (Expected)","41 Source Type",$C$5,"5 Source No.",$C1708,"4 Item Ledger Entry Type",$C$4,"2 Item No.","@@"&amp;$F1708,"3 Posting Date",J$9)+NL("Sum","5802 Value Entry","17 Sales Amount (Actual)","41 Source Type",$C$5,"5 Source no.",$C1708,"4 Item Ledger Entry Type",$C$4,"2 Item No.","@@"&amp;$F1708,"3 Posting Date",J$9)</t>
  </si>
  <si>
    <t>=-NL("Sum","5802 Value Entry","151 Cost Amount (Expected)","41 Source Type",$C$5,"5 Source No.",$C1708,"4 Item Ledger Entry Type",$C$4,"2 Item No.","@@"&amp;$F1708,"3 Posting Date",J$9)-NL("Sum","5802 Value Entry","43 Cost Amount (Actual)","41 Source Type",$C$5,"5 Source no.",$C1708,"4 Item Ledger Entry Type",$C$4,"2 Item No.","@@"&amp;$F1708,"3 Posting Date",J$9)</t>
  </si>
  <si>
    <t>=J1708-L1708</t>
  </si>
  <si>
    <t>=IF(J1708&lt;&gt;0,M1708/J1708,"")</t>
  </si>
  <si>
    <t>=NL("Sum","5802 Value Entry","150 Sales Amount (Expected)","41 Source Type",$C$5,"5 Source No.",$C1708,"4 Item Ledger Entry Type",$C$4,"2 Item No.","@@"&amp;$F1708,"3 Posting Date",O$9)+NL("Sum","5802 Value Entry","17 Sales Amount (Actual)","41 Source Type",$C$5,"5 Source no.",$C1708,"4 Item Ledger Entry Type",$C$4,"2 Item No.","@@"&amp;$F1708,"3 Posting Date",O$9)</t>
  </si>
  <si>
    <t>=-NL("Sum","5802 Value Entry","151 Cost Amount (Expected)","41 Source Type",$C$5,"5 Source No.",$C1708,"4 Item Ledger Entry Type",$C$4,"2 Item No.","@@"&amp;$F1708,"3 Posting Date",O$9)-NL("Sum","5802 Value Entry","43 Cost Amount (Actual)","41 Source Type",$C$5,"5 Source no.",$C1708,"4 Item Ledger Entry Type",$C$4,"2 Item No.","@@"&amp;$F1708,"3 Posting Date",O$9)</t>
  </si>
  <si>
    <t>=O1708-Q1708</t>
  </si>
  <si>
    <t>=IF(O1708&lt;&gt;0,R1708/O1708,"")</t>
  </si>
  <si>
    <t>=NL("Sum","5802 Value Entry","150 Sales Amount (Expected)","41 Source Type",$C$5,"5 Source No.",$C1708,"4 Item Ledger Entry Type",$C$4,"2 Item No.","@@"&amp;$F1708,"3 Posting Date",U$9)+NL("Sum","5802 Value Entry","17 Sales Amount (Actual)","41 Source Type",$C$5,"5 Source no.",$C1708,"4 Item Ledger Entry Type",$C$4,"2 Item No.","@@"&amp;$F1708,"3 Posting Date",U$9)</t>
  </si>
  <si>
    <t>=-NL("Sum","5802 Value Entry","151 Cost Amount (Expected)","41 Source Type",$C$5,"5 Source No.",$C1708,"4 Item Ledger Entry Type",$C$4,"2 Item No.","@@"&amp;$F1708,"3 Posting Date",U$9)-NL("Sum","5802 Value Entry","43 Cost Amount (Actual)","41 Source Type",$C$5,"5 Source no.",$C1708,"4 Item Ledger Entry Type",$C$4,"2 Item No.","@@"&amp;$F1708,"3 Posting Date",U$9)</t>
  </si>
  <si>
    <t>=U1708-W1708</t>
  </si>
  <si>
    <t>=IF(U1708&lt;&gt;0,X1708/U1708,"")</t>
  </si>
  <si>
    <t>=NL("Sum","5802 Value Entry","150 Sales Amount (Expected)","41 Source Type",$C$5,"5 Source No.",$C1708,"4 Item Ledger Entry Type",$C$4,"2 Item No.","@@"&amp;$F1708,"3 Posting Date",Z$9)+NL("Sum","5802 Value Entry","17 Sales Amount (Actual)","41 Source Type",$C$5,"5 Source no.",$C1708,"4 Item Ledger Entry Type",$C$4,"2 Item No.","@@"&amp;$F1708,"3 Posting Date",Z$9)</t>
  </si>
  <si>
    <t>=-NL("Sum","5802 Value Entry","151 Cost Amount (Expected)","41 Source Type",$C$5,"5 Source No.",$C1708,"4 Item Ledger Entry Type",$C$4,"2 Item No.","@@"&amp;$F1708,"3 Posting Date",Z$9)-NL("Sum","5802 Value Entry","43 Cost Amount (Actual)","41 Source Type",$C$5,"5 Source no.",$C1708,"4 Item Ledger Entry Type",$C$4,"2 Item No.","@@"&amp;$F1708,"3 Posting Date",Z$9)</t>
  </si>
  <si>
    <t>=Z1708-AB1708</t>
  </si>
  <si>
    <t>=IF(Z1708&lt;&gt;0,AC1708/Z1708,"")</t>
  </si>
  <si>
    <t>=C1708</t>
  </si>
  <si>
    <t>=NL("Sum","5802 Value Entry","150 Sales Amount (Expected)","41 Source Type",$C$5,"5 Source No.",$C1709,"4 Item Ledger Entry Type",$C$4,"2 Item No.","@@"&amp;$F1709,"3 Posting Date",J$9)+NL("Sum","5802 Value Entry","17 Sales Amount (Actual)","41 Source Type",$C$5,"5 Source no.",$C1709,"4 Item Ledger Entry Type",$C$4,"2 Item No.","@@"&amp;$F1709,"3 Posting Date",J$9)</t>
  </si>
  <si>
    <t>=-NL("Sum","5802 Value Entry","151 Cost Amount (Expected)","41 Source Type",$C$5,"5 Source No.",$C1709,"4 Item Ledger Entry Type",$C$4,"2 Item No.","@@"&amp;$F1709,"3 Posting Date",J$9)-NL("Sum","5802 Value Entry","43 Cost Amount (Actual)","41 Source Type",$C$5,"5 Source no.",$C1709,"4 Item Ledger Entry Type",$C$4,"2 Item No.","@@"&amp;$F1709,"3 Posting Date",J$9)</t>
  </si>
  <si>
    <t>=J1709-L1709</t>
  </si>
  <si>
    <t>=IF(J1709&lt;&gt;0,M1709/J1709,"")</t>
  </si>
  <si>
    <t>=NL("Sum","5802 Value Entry","150 Sales Amount (Expected)","41 Source Type",$C$5,"5 Source No.",$C1709,"4 Item Ledger Entry Type",$C$4,"2 Item No.","@@"&amp;$F1709,"3 Posting Date",O$9)+NL("Sum","5802 Value Entry","17 Sales Amount (Actual)","41 Source Type",$C$5,"5 Source no.",$C1709,"4 Item Ledger Entry Type",$C$4,"2 Item No.","@@"&amp;$F1709,"3 Posting Date",O$9)</t>
  </si>
  <si>
    <t>=-NL("Sum","5802 Value Entry","151 Cost Amount (Expected)","41 Source Type",$C$5,"5 Source No.",$C1709,"4 Item Ledger Entry Type",$C$4,"2 Item No.","@@"&amp;$F1709,"3 Posting Date",O$9)-NL("Sum","5802 Value Entry","43 Cost Amount (Actual)","41 Source Type",$C$5,"5 Source no.",$C1709,"4 Item Ledger Entry Type",$C$4,"2 Item No.","@@"&amp;$F1709,"3 Posting Date",O$9)</t>
  </si>
  <si>
    <t>=O1709-Q1709</t>
  </si>
  <si>
    <t>=IF(O1709&lt;&gt;0,R1709/O1709,"")</t>
  </si>
  <si>
    <t>=NL("Sum","5802 Value Entry","150 Sales Amount (Expected)","41 Source Type",$C$5,"5 Source No.",$C1709,"4 Item Ledger Entry Type",$C$4,"2 Item No.","@@"&amp;$F1709,"3 Posting Date",U$9)+NL("Sum","5802 Value Entry","17 Sales Amount (Actual)","41 Source Type",$C$5,"5 Source no.",$C1709,"4 Item Ledger Entry Type",$C$4,"2 Item No.","@@"&amp;$F1709,"3 Posting Date",U$9)</t>
  </si>
  <si>
    <t>=-NL("Sum","5802 Value Entry","151 Cost Amount (Expected)","41 Source Type",$C$5,"5 Source No.",$C1709,"4 Item Ledger Entry Type",$C$4,"2 Item No.","@@"&amp;$F1709,"3 Posting Date",U$9)-NL("Sum","5802 Value Entry","43 Cost Amount (Actual)","41 Source Type",$C$5,"5 Source no.",$C1709,"4 Item Ledger Entry Type",$C$4,"2 Item No.","@@"&amp;$F1709,"3 Posting Date",U$9)</t>
  </si>
  <si>
    <t>=U1709-W1709</t>
  </si>
  <si>
    <t>=IF(U1709&lt;&gt;0,X1709/U1709,"")</t>
  </si>
  <si>
    <t>=NL("Sum","5802 Value Entry","150 Sales Amount (Expected)","41 Source Type",$C$5,"5 Source No.",$C1709,"4 Item Ledger Entry Type",$C$4,"2 Item No.","@@"&amp;$F1709,"3 Posting Date",Z$9)+NL("Sum","5802 Value Entry","17 Sales Amount (Actual)","41 Source Type",$C$5,"5 Source no.",$C1709,"4 Item Ledger Entry Type",$C$4,"2 Item No.","@@"&amp;$F1709,"3 Posting Date",Z$9)</t>
  </si>
  <si>
    <t>=-NL("Sum","5802 Value Entry","151 Cost Amount (Expected)","41 Source Type",$C$5,"5 Source No.",$C1709,"4 Item Ledger Entry Type",$C$4,"2 Item No.","@@"&amp;$F1709,"3 Posting Date",Z$9)-NL("Sum","5802 Value Entry","43 Cost Amount (Actual)","41 Source Type",$C$5,"5 Source no.",$C1709,"4 Item Ledger Entry Type",$C$4,"2 Item No.","@@"&amp;$F1709,"3 Posting Date",Z$9)</t>
  </si>
  <si>
    <t>=Z1709-AB1709</t>
  </si>
  <si>
    <t>=IF(Z1709&lt;&gt;0,AC1709/Z1709,"")</t>
  </si>
  <si>
    <t>=C1709</t>
  </si>
  <si>
    <t>=NL("Sum","5802 Value Entry","150 Sales Amount (Expected)","41 Source Type",$C$5,"5 Source No.",$C1710,"4 Item Ledger Entry Type",$C$4,"2 Item No.","@@"&amp;$F1710,"3 Posting Date",J$9)+NL("Sum","5802 Value Entry","17 Sales Amount (Actual)","41 Source Type",$C$5,"5 Source no.",$C1710,"4 Item Ledger Entry Type",$C$4,"2 Item No.","@@"&amp;$F1710,"3 Posting Date",J$9)</t>
  </si>
  <si>
    <t>=-NL("Sum","5802 Value Entry","151 Cost Amount (Expected)","41 Source Type",$C$5,"5 Source No.",$C1710,"4 Item Ledger Entry Type",$C$4,"2 Item No.","@@"&amp;$F1710,"3 Posting Date",J$9)-NL("Sum","5802 Value Entry","43 Cost Amount (Actual)","41 Source Type",$C$5,"5 Source no.",$C1710,"4 Item Ledger Entry Type",$C$4,"2 Item No.","@@"&amp;$F1710,"3 Posting Date",J$9)</t>
  </si>
  <si>
    <t>=J1710-L1710</t>
  </si>
  <si>
    <t>=IF(J1710&lt;&gt;0,M1710/J1710,"")</t>
  </si>
  <si>
    <t>=NL("Sum","5802 Value Entry","150 Sales Amount (Expected)","41 Source Type",$C$5,"5 Source No.",$C1710,"4 Item Ledger Entry Type",$C$4,"2 Item No.","@@"&amp;$F1710,"3 Posting Date",O$9)+NL("Sum","5802 Value Entry","17 Sales Amount (Actual)","41 Source Type",$C$5,"5 Source no.",$C1710,"4 Item Ledger Entry Type",$C$4,"2 Item No.","@@"&amp;$F1710,"3 Posting Date",O$9)</t>
  </si>
  <si>
    <t>=-NL("Sum","5802 Value Entry","151 Cost Amount (Expected)","41 Source Type",$C$5,"5 Source No.",$C1710,"4 Item Ledger Entry Type",$C$4,"2 Item No.","@@"&amp;$F1710,"3 Posting Date",O$9)-NL("Sum","5802 Value Entry","43 Cost Amount (Actual)","41 Source Type",$C$5,"5 Source no.",$C1710,"4 Item Ledger Entry Type",$C$4,"2 Item No.","@@"&amp;$F1710,"3 Posting Date",O$9)</t>
  </si>
  <si>
    <t>=O1710-Q1710</t>
  </si>
  <si>
    <t>=IF(O1710&lt;&gt;0,R1710/O1710,"")</t>
  </si>
  <si>
    <t>=NL("Sum","5802 Value Entry","150 Sales Amount (Expected)","41 Source Type",$C$5,"5 Source No.",$C1710,"4 Item Ledger Entry Type",$C$4,"2 Item No.","@@"&amp;$F1710,"3 Posting Date",U$9)+NL("Sum","5802 Value Entry","17 Sales Amount (Actual)","41 Source Type",$C$5,"5 Source no.",$C1710,"4 Item Ledger Entry Type",$C$4,"2 Item No.","@@"&amp;$F1710,"3 Posting Date",U$9)</t>
  </si>
  <si>
    <t>=-NL("Sum","5802 Value Entry","151 Cost Amount (Expected)","41 Source Type",$C$5,"5 Source No.",$C1710,"4 Item Ledger Entry Type",$C$4,"2 Item No.","@@"&amp;$F1710,"3 Posting Date",U$9)-NL("Sum","5802 Value Entry","43 Cost Amount (Actual)","41 Source Type",$C$5,"5 Source no.",$C1710,"4 Item Ledger Entry Type",$C$4,"2 Item No.","@@"&amp;$F1710,"3 Posting Date",U$9)</t>
  </si>
  <si>
    <t>=U1710-W1710</t>
  </si>
  <si>
    <t>=IF(U1710&lt;&gt;0,X1710/U1710,"")</t>
  </si>
  <si>
    <t>=NL("Sum","5802 Value Entry","150 Sales Amount (Expected)","41 Source Type",$C$5,"5 Source No.",$C1710,"4 Item Ledger Entry Type",$C$4,"2 Item No.","@@"&amp;$F1710,"3 Posting Date",Z$9)+NL("Sum","5802 Value Entry","17 Sales Amount (Actual)","41 Source Type",$C$5,"5 Source no.",$C1710,"4 Item Ledger Entry Type",$C$4,"2 Item No.","@@"&amp;$F1710,"3 Posting Date",Z$9)</t>
  </si>
  <si>
    <t>=-NL("Sum","5802 Value Entry","151 Cost Amount (Expected)","41 Source Type",$C$5,"5 Source No.",$C1710,"4 Item Ledger Entry Type",$C$4,"2 Item No.","@@"&amp;$F1710,"3 Posting Date",Z$9)-NL("Sum","5802 Value Entry","43 Cost Amount (Actual)","41 Source Type",$C$5,"5 Source no.",$C1710,"4 Item Ledger Entry Type",$C$4,"2 Item No.","@@"&amp;$F1710,"3 Posting Date",Z$9)</t>
  </si>
  <si>
    <t>=Z1710-AB1710</t>
  </si>
  <si>
    <t>=IF(Z1710&lt;&gt;0,AC1710/Z1710,"")</t>
  </si>
  <si>
    <t>=C1710</t>
  </si>
  <si>
    <t>=NL("Sum","5802 Value Entry","150 Sales Amount (Expected)","41 Source Type",$C$5,"5 Source No.",$C1711,"4 Item Ledger Entry Type",$C$4,"2 Item No.","@@"&amp;$F1711,"3 Posting Date",J$9)+NL("Sum","5802 Value Entry","17 Sales Amount (Actual)","41 Source Type",$C$5,"5 Source no.",$C1711,"4 Item Ledger Entry Type",$C$4,"2 Item No.","@@"&amp;$F1711,"3 Posting Date",J$9)</t>
  </si>
  <si>
    <t>=-NL("Sum","5802 Value Entry","151 Cost Amount (Expected)","41 Source Type",$C$5,"5 Source No.",$C1711,"4 Item Ledger Entry Type",$C$4,"2 Item No.","@@"&amp;$F1711,"3 Posting Date",J$9)-NL("Sum","5802 Value Entry","43 Cost Amount (Actual)","41 Source Type",$C$5,"5 Source no.",$C1711,"4 Item Ledger Entry Type",$C$4,"2 Item No.","@@"&amp;$F1711,"3 Posting Date",J$9)</t>
  </si>
  <si>
    <t>=J1711-L1711</t>
  </si>
  <si>
    <t>=IF(J1711&lt;&gt;0,M1711/J1711,"")</t>
  </si>
  <si>
    <t>=NL("Sum","5802 Value Entry","150 Sales Amount (Expected)","41 Source Type",$C$5,"5 Source No.",$C1711,"4 Item Ledger Entry Type",$C$4,"2 Item No.","@@"&amp;$F1711,"3 Posting Date",O$9)+NL("Sum","5802 Value Entry","17 Sales Amount (Actual)","41 Source Type",$C$5,"5 Source no.",$C1711,"4 Item Ledger Entry Type",$C$4,"2 Item No.","@@"&amp;$F1711,"3 Posting Date",O$9)</t>
  </si>
  <si>
    <t>=-NL("Sum","5802 Value Entry","151 Cost Amount (Expected)","41 Source Type",$C$5,"5 Source No.",$C1711,"4 Item Ledger Entry Type",$C$4,"2 Item No.","@@"&amp;$F1711,"3 Posting Date",O$9)-NL("Sum","5802 Value Entry","43 Cost Amount (Actual)","41 Source Type",$C$5,"5 Source no.",$C1711,"4 Item Ledger Entry Type",$C$4,"2 Item No.","@@"&amp;$F1711,"3 Posting Date",O$9)</t>
  </si>
  <si>
    <t>=O1711-Q1711</t>
  </si>
  <si>
    <t>=IF(O1711&lt;&gt;0,R1711/O1711,"")</t>
  </si>
  <si>
    <t>=NL("Sum","5802 Value Entry","150 Sales Amount (Expected)","41 Source Type",$C$5,"5 Source No.",$C1711,"4 Item Ledger Entry Type",$C$4,"2 Item No.","@@"&amp;$F1711,"3 Posting Date",U$9)+NL("Sum","5802 Value Entry","17 Sales Amount (Actual)","41 Source Type",$C$5,"5 Source no.",$C1711,"4 Item Ledger Entry Type",$C$4,"2 Item No.","@@"&amp;$F1711,"3 Posting Date",U$9)</t>
  </si>
  <si>
    <t>=-NL("Sum","5802 Value Entry","151 Cost Amount (Expected)","41 Source Type",$C$5,"5 Source No.",$C1711,"4 Item Ledger Entry Type",$C$4,"2 Item No.","@@"&amp;$F1711,"3 Posting Date",U$9)-NL("Sum","5802 Value Entry","43 Cost Amount (Actual)","41 Source Type",$C$5,"5 Source no.",$C1711,"4 Item Ledger Entry Type",$C$4,"2 Item No.","@@"&amp;$F1711,"3 Posting Date",U$9)</t>
  </si>
  <si>
    <t>=U1711-W1711</t>
  </si>
  <si>
    <t>=IF(U1711&lt;&gt;0,X1711/U1711,"")</t>
  </si>
  <si>
    <t>=NL("Sum","5802 Value Entry","150 Sales Amount (Expected)","41 Source Type",$C$5,"5 Source No.",$C1711,"4 Item Ledger Entry Type",$C$4,"2 Item No.","@@"&amp;$F1711,"3 Posting Date",Z$9)+NL("Sum","5802 Value Entry","17 Sales Amount (Actual)","41 Source Type",$C$5,"5 Source no.",$C1711,"4 Item Ledger Entry Type",$C$4,"2 Item No.","@@"&amp;$F1711,"3 Posting Date",Z$9)</t>
  </si>
  <si>
    <t>=-NL("Sum","5802 Value Entry","151 Cost Amount (Expected)","41 Source Type",$C$5,"5 Source No.",$C1711,"4 Item Ledger Entry Type",$C$4,"2 Item No.","@@"&amp;$F1711,"3 Posting Date",Z$9)-NL("Sum","5802 Value Entry","43 Cost Amount (Actual)","41 Source Type",$C$5,"5 Source no.",$C1711,"4 Item Ledger Entry Type",$C$4,"2 Item No.","@@"&amp;$F1711,"3 Posting Date",Z$9)</t>
  </si>
  <si>
    <t>=Z1711-AB1711</t>
  </si>
  <si>
    <t>=IF(Z1711&lt;&gt;0,AC1711/Z1711,"")</t>
  </si>
  <si>
    <t>=C1712</t>
  </si>
  <si>
    <t>=J1713-L1713</t>
  </si>
  <si>
    <t>=IF(J1713&lt;&gt;0,M1713/J1713,"")</t>
  </si>
  <si>
    <t>=O1713-Q1713</t>
  </si>
  <si>
    <t>=IF(O1713&lt;&gt;0,R1713/O1713,"")</t>
  </si>
  <si>
    <t>=U1713-W1713</t>
  </si>
  <si>
    <t>=IF(U1713&lt;&gt;0,X1713/U1713,"")</t>
  </si>
  <si>
    <t>=Z1713-AB1713</t>
  </si>
  <si>
    <t>=IF(Z1713&lt;&gt;0,AC1713/Z1713,"")</t>
  </si>
  <si>
    <t>="C100089"</t>
  </si>
  <si>
    <t>=C1715</t>
  </si>
  <si>
    <t>=C1716</t>
  </si>
  <si>
    <t>=NL("Sum","5802 Value Entry","150 Sales Amount (Expected)","41 Source Type",$C$5,"5 Source No.",$C1717,"4 Item Ledger Entry Type",$C$4,"2 Item No.","@@"&amp;$F1717,"3 Posting Date",J$9)+NL("Sum","5802 Value Entry","17 Sales Amount (Actual)","41 Source Type",$C$5,"5 Source no.",$C1717,"4 Item Ledger Entry Type",$C$4,"2 Item No.","@@"&amp;$F1717,"3 Posting Date",J$9)</t>
  </si>
  <si>
    <t>=-NL("Sum","5802 Value Entry","151 Cost Amount (Expected)","41 Source Type",$C$5,"5 Source No.",$C1717,"4 Item Ledger Entry Type",$C$4,"2 Item No.","@@"&amp;$F1717,"3 Posting Date",J$9)-NL("Sum","5802 Value Entry","43 Cost Amount (Actual)","41 Source Type",$C$5,"5 Source no.",$C1717,"4 Item Ledger Entry Type",$C$4,"2 Item No.","@@"&amp;$F1717,"3 Posting Date",J$9)</t>
  </si>
  <si>
    <t>=J1717-L1717</t>
  </si>
  <si>
    <t>=IF(J1717&lt;&gt;0,M1717/J1717,"")</t>
  </si>
  <si>
    <t>=NL("Sum","5802 Value Entry","150 Sales Amount (Expected)","41 Source Type",$C$5,"5 Source No.",$C1717,"4 Item Ledger Entry Type",$C$4,"2 Item No.","@@"&amp;$F1717,"3 Posting Date",O$9)+NL("Sum","5802 Value Entry","17 Sales Amount (Actual)","41 Source Type",$C$5,"5 Source no.",$C1717,"4 Item Ledger Entry Type",$C$4,"2 Item No.","@@"&amp;$F1717,"3 Posting Date",O$9)</t>
  </si>
  <si>
    <t>=-NL("Sum","5802 Value Entry","151 Cost Amount (Expected)","41 Source Type",$C$5,"5 Source No.",$C1717,"4 Item Ledger Entry Type",$C$4,"2 Item No.","@@"&amp;$F1717,"3 Posting Date",O$9)-NL("Sum","5802 Value Entry","43 Cost Amount (Actual)","41 Source Type",$C$5,"5 Source no.",$C1717,"4 Item Ledger Entry Type",$C$4,"2 Item No.","@@"&amp;$F1717,"3 Posting Date",O$9)</t>
  </si>
  <si>
    <t>=O1717-Q1717</t>
  </si>
  <si>
    <t>=IF(O1717&lt;&gt;0,R1717/O1717,"")</t>
  </si>
  <si>
    <t>=NL("Sum","5802 Value Entry","150 Sales Amount (Expected)","41 Source Type",$C$5,"5 Source No.",$C1717,"4 Item Ledger Entry Type",$C$4,"2 Item No.","@@"&amp;$F1717,"3 Posting Date",U$9)+NL("Sum","5802 Value Entry","17 Sales Amount (Actual)","41 Source Type",$C$5,"5 Source no.",$C1717,"4 Item Ledger Entry Type",$C$4,"2 Item No.","@@"&amp;$F1717,"3 Posting Date",U$9)</t>
  </si>
  <si>
    <t>=-NL("Sum","5802 Value Entry","151 Cost Amount (Expected)","41 Source Type",$C$5,"5 Source No.",$C1717,"4 Item Ledger Entry Type",$C$4,"2 Item No.","@@"&amp;$F1717,"3 Posting Date",U$9)-NL("Sum","5802 Value Entry","43 Cost Amount (Actual)","41 Source Type",$C$5,"5 Source no.",$C1717,"4 Item Ledger Entry Type",$C$4,"2 Item No.","@@"&amp;$F1717,"3 Posting Date",U$9)</t>
  </si>
  <si>
    <t>=U1717-W1717</t>
  </si>
  <si>
    <t>=IF(U1717&lt;&gt;0,X1717/U1717,"")</t>
  </si>
  <si>
    <t>=NL("Sum","5802 Value Entry","150 Sales Amount (Expected)","41 Source Type",$C$5,"5 Source No.",$C1717,"4 Item Ledger Entry Type",$C$4,"2 Item No.","@@"&amp;$F1717,"3 Posting Date",Z$9)+NL("Sum","5802 Value Entry","17 Sales Amount (Actual)","41 Source Type",$C$5,"5 Source no.",$C1717,"4 Item Ledger Entry Type",$C$4,"2 Item No.","@@"&amp;$F1717,"3 Posting Date",Z$9)</t>
  </si>
  <si>
    <t>=-NL("Sum","5802 Value Entry","151 Cost Amount (Expected)","41 Source Type",$C$5,"5 Source No.",$C1717,"4 Item Ledger Entry Type",$C$4,"2 Item No.","@@"&amp;$F1717,"3 Posting Date",Z$9)-NL("Sum","5802 Value Entry","43 Cost Amount (Actual)","41 Source Type",$C$5,"5 Source no.",$C1717,"4 Item Ledger Entry Type",$C$4,"2 Item No.","@@"&amp;$F1717,"3 Posting Date",Z$9)</t>
  </si>
  <si>
    <t>=Z1717-AB1717</t>
  </si>
  <si>
    <t>=IF(Z1717&lt;&gt;0,AC1717/Z1717,"")</t>
  </si>
  <si>
    <t>=C1717</t>
  </si>
  <si>
    <t>=NL("Sum","5802 Value Entry","150 Sales Amount (Expected)","41 Source Type",$C$5,"5 Source No.",$C1718,"4 Item Ledger Entry Type",$C$4,"2 Item No.","@@"&amp;$F1718,"3 Posting Date",J$9)+NL("Sum","5802 Value Entry","17 Sales Amount (Actual)","41 Source Type",$C$5,"5 Source no.",$C1718,"4 Item Ledger Entry Type",$C$4,"2 Item No.","@@"&amp;$F1718,"3 Posting Date",J$9)</t>
  </si>
  <si>
    <t>=-NL("Sum","5802 Value Entry","151 Cost Amount (Expected)","41 Source Type",$C$5,"5 Source No.",$C1718,"4 Item Ledger Entry Type",$C$4,"2 Item No.","@@"&amp;$F1718,"3 Posting Date",J$9)-NL("Sum","5802 Value Entry","43 Cost Amount (Actual)","41 Source Type",$C$5,"5 Source no.",$C1718,"4 Item Ledger Entry Type",$C$4,"2 Item No.","@@"&amp;$F1718,"3 Posting Date",J$9)</t>
  </si>
  <si>
    <t>=J1718-L1718</t>
  </si>
  <si>
    <t>=IF(J1718&lt;&gt;0,M1718/J1718,"")</t>
  </si>
  <si>
    <t>=NL("Sum","5802 Value Entry","150 Sales Amount (Expected)","41 Source Type",$C$5,"5 Source No.",$C1718,"4 Item Ledger Entry Type",$C$4,"2 Item No.","@@"&amp;$F1718,"3 Posting Date",O$9)+NL("Sum","5802 Value Entry","17 Sales Amount (Actual)","41 Source Type",$C$5,"5 Source no.",$C1718,"4 Item Ledger Entry Type",$C$4,"2 Item No.","@@"&amp;$F1718,"3 Posting Date",O$9)</t>
  </si>
  <si>
    <t>=-NL("Sum","5802 Value Entry","151 Cost Amount (Expected)","41 Source Type",$C$5,"5 Source No.",$C1718,"4 Item Ledger Entry Type",$C$4,"2 Item No.","@@"&amp;$F1718,"3 Posting Date",O$9)-NL("Sum","5802 Value Entry","43 Cost Amount (Actual)","41 Source Type",$C$5,"5 Source no.",$C1718,"4 Item Ledger Entry Type",$C$4,"2 Item No.","@@"&amp;$F1718,"3 Posting Date",O$9)</t>
  </si>
  <si>
    <t>=O1718-Q1718</t>
  </si>
  <si>
    <t>=IF(O1718&lt;&gt;0,R1718/O1718,"")</t>
  </si>
  <si>
    <t>=NL("Sum","5802 Value Entry","150 Sales Amount (Expected)","41 Source Type",$C$5,"5 Source No.",$C1718,"4 Item Ledger Entry Type",$C$4,"2 Item No.","@@"&amp;$F1718,"3 Posting Date",U$9)+NL("Sum","5802 Value Entry","17 Sales Amount (Actual)","41 Source Type",$C$5,"5 Source no.",$C1718,"4 Item Ledger Entry Type",$C$4,"2 Item No.","@@"&amp;$F1718,"3 Posting Date",U$9)</t>
  </si>
  <si>
    <t>=-NL("Sum","5802 Value Entry","151 Cost Amount (Expected)","41 Source Type",$C$5,"5 Source No.",$C1718,"4 Item Ledger Entry Type",$C$4,"2 Item No.","@@"&amp;$F1718,"3 Posting Date",U$9)-NL("Sum","5802 Value Entry","43 Cost Amount (Actual)","41 Source Type",$C$5,"5 Source no.",$C1718,"4 Item Ledger Entry Type",$C$4,"2 Item No.","@@"&amp;$F1718,"3 Posting Date",U$9)</t>
  </si>
  <si>
    <t>=U1718-W1718</t>
  </si>
  <si>
    <t>=IF(U1718&lt;&gt;0,X1718/U1718,"")</t>
  </si>
  <si>
    <t>=NL("Sum","5802 Value Entry","150 Sales Amount (Expected)","41 Source Type",$C$5,"5 Source No.",$C1718,"4 Item Ledger Entry Type",$C$4,"2 Item No.","@@"&amp;$F1718,"3 Posting Date",Z$9)+NL("Sum","5802 Value Entry","17 Sales Amount (Actual)","41 Source Type",$C$5,"5 Source no.",$C1718,"4 Item Ledger Entry Type",$C$4,"2 Item No.","@@"&amp;$F1718,"3 Posting Date",Z$9)</t>
  </si>
  <si>
    <t>=-NL("Sum","5802 Value Entry","151 Cost Amount (Expected)","41 Source Type",$C$5,"5 Source No.",$C1718,"4 Item Ledger Entry Type",$C$4,"2 Item No.","@@"&amp;$F1718,"3 Posting Date",Z$9)-NL("Sum","5802 Value Entry","43 Cost Amount (Actual)","41 Source Type",$C$5,"5 Source no.",$C1718,"4 Item Ledger Entry Type",$C$4,"2 Item No.","@@"&amp;$F1718,"3 Posting Date",Z$9)</t>
  </si>
  <si>
    <t>=Z1718-AB1718</t>
  </si>
  <si>
    <t>=IF(Z1718&lt;&gt;0,AC1718/Z1718,"")</t>
  </si>
  <si>
    <t>=C1718</t>
  </si>
  <si>
    <t>=NL("Sum","5802 Value Entry","150 Sales Amount (Expected)","41 Source Type",$C$5,"5 Source No.",$C1719,"4 Item Ledger Entry Type",$C$4,"2 Item No.","@@"&amp;$F1719,"3 Posting Date",J$9)+NL("Sum","5802 Value Entry","17 Sales Amount (Actual)","41 Source Type",$C$5,"5 Source no.",$C1719,"4 Item Ledger Entry Type",$C$4,"2 Item No.","@@"&amp;$F1719,"3 Posting Date",J$9)</t>
  </si>
  <si>
    <t>=-NL("Sum","5802 Value Entry","151 Cost Amount (Expected)","41 Source Type",$C$5,"5 Source No.",$C1719,"4 Item Ledger Entry Type",$C$4,"2 Item No.","@@"&amp;$F1719,"3 Posting Date",J$9)-NL("Sum","5802 Value Entry","43 Cost Amount (Actual)","41 Source Type",$C$5,"5 Source no.",$C1719,"4 Item Ledger Entry Type",$C$4,"2 Item No.","@@"&amp;$F1719,"3 Posting Date",J$9)</t>
  </si>
  <si>
    <t>=J1719-L1719</t>
  </si>
  <si>
    <t>=IF(J1719&lt;&gt;0,M1719/J1719,"")</t>
  </si>
  <si>
    <t>=NL("Sum","5802 Value Entry","150 Sales Amount (Expected)","41 Source Type",$C$5,"5 Source No.",$C1719,"4 Item Ledger Entry Type",$C$4,"2 Item No.","@@"&amp;$F1719,"3 Posting Date",O$9)+NL("Sum","5802 Value Entry","17 Sales Amount (Actual)","41 Source Type",$C$5,"5 Source no.",$C1719,"4 Item Ledger Entry Type",$C$4,"2 Item No.","@@"&amp;$F1719,"3 Posting Date",O$9)</t>
  </si>
  <si>
    <t>=-NL("Sum","5802 Value Entry","151 Cost Amount (Expected)","41 Source Type",$C$5,"5 Source No.",$C1719,"4 Item Ledger Entry Type",$C$4,"2 Item No.","@@"&amp;$F1719,"3 Posting Date",O$9)-NL("Sum","5802 Value Entry","43 Cost Amount (Actual)","41 Source Type",$C$5,"5 Source no.",$C1719,"4 Item Ledger Entry Type",$C$4,"2 Item No.","@@"&amp;$F1719,"3 Posting Date",O$9)</t>
  </si>
  <si>
    <t>=O1719-Q1719</t>
  </si>
  <si>
    <t>=IF(O1719&lt;&gt;0,R1719/O1719,"")</t>
  </si>
  <si>
    <t>=NL("Sum","5802 Value Entry","150 Sales Amount (Expected)","41 Source Type",$C$5,"5 Source No.",$C1719,"4 Item Ledger Entry Type",$C$4,"2 Item No.","@@"&amp;$F1719,"3 Posting Date",U$9)+NL("Sum","5802 Value Entry","17 Sales Amount (Actual)","41 Source Type",$C$5,"5 Source no.",$C1719,"4 Item Ledger Entry Type",$C$4,"2 Item No.","@@"&amp;$F1719,"3 Posting Date",U$9)</t>
  </si>
  <si>
    <t>=-NL("Sum","5802 Value Entry","151 Cost Amount (Expected)","41 Source Type",$C$5,"5 Source No.",$C1719,"4 Item Ledger Entry Type",$C$4,"2 Item No.","@@"&amp;$F1719,"3 Posting Date",U$9)-NL("Sum","5802 Value Entry","43 Cost Amount (Actual)","41 Source Type",$C$5,"5 Source no.",$C1719,"4 Item Ledger Entry Type",$C$4,"2 Item No.","@@"&amp;$F1719,"3 Posting Date",U$9)</t>
  </si>
  <si>
    <t>=U1719-W1719</t>
  </si>
  <si>
    <t>=IF(U1719&lt;&gt;0,X1719/U1719,"")</t>
  </si>
  <si>
    <t>=NL("Sum","5802 Value Entry","150 Sales Amount (Expected)","41 Source Type",$C$5,"5 Source No.",$C1719,"4 Item Ledger Entry Type",$C$4,"2 Item No.","@@"&amp;$F1719,"3 Posting Date",Z$9)+NL("Sum","5802 Value Entry","17 Sales Amount (Actual)","41 Source Type",$C$5,"5 Source no.",$C1719,"4 Item Ledger Entry Type",$C$4,"2 Item No.","@@"&amp;$F1719,"3 Posting Date",Z$9)</t>
  </si>
  <si>
    <t>=-NL("Sum","5802 Value Entry","151 Cost Amount (Expected)","41 Source Type",$C$5,"5 Source No.",$C1719,"4 Item Ledger Entry Type",$C$4,"2 Item No.","@@"&amp;$F1719,"3 Posting Date",Z$9)-NL("Sum","5802 Value Entry","43 Cost Amount (Actual)","41 Source Type",$C$5,"5 Source no.",$C1719,"4 Item Ledger Entry Type",$C$4,"2 Item No.","@@"&amp;$F1719,"3 Posting Date",Z$9)</t>
  </si>
  <si>
    <t>=Z1719-AB1719</t>
  </si>
  <si>
    <t>=IF(Z1719&lt;&gt;0,AC1719/Z1719,"")</t>
  </si>
  <si>
    <t>=C1719</t>
  </si>
  <si>
    <t>=NL("Sum","5802 Value Entry","150 Sales Amount (Expected)","41 Source Type",$C$5,"5 Source No.",$C1720,"4 Item Ledger Entry Type",$C$4,"2 Item No.","@@"&amp;$F1720,"3 Posting Date",J$9)+NL("Sum","5802 Value Entry","17 Sales Amount (Actual)","41 Source Type",$C$5,"5 Source no.",$C1720,"4 Item Ledger Entry Type",$C$4,"2 Item No.","@@"&amp;$F1720,"3 Posting Date",J$9)</t>
  </si>
  <si>
    <t>=-NL("Sum","5802 Value Entry","151 Cost Amount (Expected)","41 Source Type",$C$5,"5 Source No.",$C1720,"4 Item Ledger Entry Type",$C$4,"2 Item No.","@@"&amp;$F1720,"3 Posting Date",J$9)-NL("Sum","5802 Value Entry","43 Cost Amount (Actual)","41 Source Type",$C$5,"5 Source no.",$C1720,"4 Item Ledger Entry Type",$C$4,"2 Item No.","@@"&amp;$F1720,"3 Posting Date",J$9)</t>
  </si>
  <si>
    <t>=J1720-L1720</t>
  </si>
  <si>
    <t>=IF(J1720&lt;&gt;0,M1720/J1720,"")</t>
  </si>
  <si>
    <t>=NL("Sum","5802 Value Entry","150 Sales Amount (Expected)","41 Source Type",$C$5,"5 Source No.",$C1720,"4 Item Ledger Entry Type",$C$4,"2 Item No.","@@"&amp;$F1720,"3 Posting Date",O$9)+NL("Sum","5802 Value Entry","17 Sales Amount (Actual)","41 Source Type",$C$5,"5 Source no.",$C1720,"4 Item Ledger Entry Type",$C$4,"2 Item No.","@@"&amp;$F1720,"3 Posting Date",O$9)</t>
  </si>
  <si>
    <t>=-NL("Sum","5802 Value Entry","151 Cost Amount (Expected)","41 Source Type",$C$5,"5 Source No.",$C1720,"4 Item Ledger Entry Type",$C$4,"2 Item No.","@@"&amp;$F1720,"3 Posting Date",O$9)-NL("Sum","5802 Value Entry","43 Cost Amount (Actual)","41 Source Type",$C$5,"5 Source no.",$C1720,"4 Item Ledger Entry Type",$C$4,"2 Item No.","@@"&amp;$F1720,"3 Posting Date",O$9)</t>
  </si>
  <si>
    <t>=O1720-Q1720</t>
  </si>
  <si>
    <t>=IF(O1720&lt;&gt;0,R1720/O1720,"")</t>
  </si>
  <si>
    <t>=NL("Sum","5802 Value Entry","150 Sales Amount (Expected)","41 Source Type",$C$5,"5 Source No.",$C1720,"4 Item Ledger Entry Type",$C$4,"2 Item No.","@@"&amp;$F1720,"3 Posting Date",U$9)+NL("Sum","5802 Value Entry","17 Sales Amount (Actual)","41 Source Type",$C$5,"5 Source no.",$C1720,"4 Item Ledger Entry Type",$C$4,"2 Item No.","@@"&amp;$F1720,"3 Posting Date",U$9)</t>
  </si>
  <si>
    <t>=-NL("Sum","5802 Value Entry","151 Cost Amount (Expected)","41 Source Type",$C$5,"5 Source No.",$C1720,"4 Item Ledger Entry Type",$C$4,"2 Item No.","@@"&amp;$F1720,"3 Posting Date",U$9)-NL("Sum","5802 Value Entry","43 Cost Amount (Actual)","41 Source Type",$C$5,"5 Source no.",$C1720,"4 Item Ledger Entry Type",$C$4,"2 Item No.","@@"&amp;$F1720,"3 Posting Date",U$9)</t>
  </si>
  <si>
    <t>=U1720-W1720</t>
  </si>
  <si>
    <t>=IF(U1720&lt;&gt;0,X1720/U1720,"")</t>
  </si>
  <si>
    <t>=NL("Sum","5802 Value Entry","150 Sales Amount (Expected)","41 Source Type",$C$5,"5 Source No.",$C1720,"4 Item Ledger Entry Type",$C$4,"2 Item No.","@@"&amp;$F1720,"3 Posting Date",Z$9)+NL("Sum","5802 Value Entry","17 Sales Amount (Actual)","41 Source Type",$C$5,"5 Source no.",$C1720,"4 Item Ledger Entry Type",$C$4,"2 Item No.","@@"&amp;$F1720,"3 Posting Date",Z$9)</t>
  </si>
  <si>
    <t>=-NL("Sum","5802 Value Entry","151 Cost Amount (Expected)","41 Source Type",$C$5,"5 Source No.",$C1720,"4 Item Ledger Entry Type",$C$4,"2 Item No.","@@"&amp;$F1720,"3 Posting Date",Z$9)-NL("Sum","5802 Value Entry","43 Cost Amount (Actual)","41 Source Type",$C$5,"5 Source no.",$C1720,"4 Item Ledger Entry Type",$C$4,"2 Item No.","@@"&amp;$F1720,"3 Posting Date",Z$9)</t>
  </si>
  <si>
    <t>=Z1720-AB1720</t>
  </si>
  <si>
    <t>=IF(Z1720&lt;&gt;0,AC1720/Z1720,"")</t>
  </si>
  <si>
    <t>=C1720</t>
  </si>
  <si>
    <t>=NL("Sum","5802 Value Entry","150 Sales Amount (Expected)","41 Source Type",$C$5,"5 Source No.",$C1721,"4 Item Ledger Entry Type",$C$4,"2 Item No.","@@"&amp;$F1721,"3 Posting Date",J$9)+NL("Sum","5802 Value Entry","17 Sales Amount (Actual)","41 Source Type",$C$5,"5 Source no.",$C1721,"4 Item Ledger Entry Type",$C$4,"2 Item No.","@@"&amp;$F1721,"3 Posting Date",J$9)</t>
  </si>
  <si>
    <t>=-NL("Sum","5802 Value Entry","151 Cost Amount (Expected)","41 Source Type",$C$5,"5 Source No.",$C1721,"4 Item Ledger Entry Type",$C$4,"2 Item No.","@@"&amp;$F1721,"3 Posting Date",J$9)-NL("Sum","5802 Value Entry","43 Cost Amount (Actual)","41 Source Type",$C$5,"5 Source no.",$C1721,"4 Item Ledger Entry Type",$C$4,"2 Item No.","@@"&amp;$F1721,"3 Posting Date",J$9)</t>
  </si>
  <si>
    <t>=J1721-L1721</t>
  </si>
  <si>
    <t>=IF(J1721&lt;&gt;0,M1721/J1721,"")</t>
  </si>
  <si>
    <t>=NL("Sum","5802 Value Entry","150 Sales Amount (Expected)","41 Source Type",$C$5,"5 Source No.",$C1721,"4 Item Ledger Entry Type",$C$4,"2 Item No.","@@"&amp;$F1721,"3 Posting Date",O$9)+NL("Sum","5802 Value Entry","17 Sales Amount (Actual)","41 Source Type",$C$5,"5 Source no.",$C1721,"4 Item Ledger Entry Type",$C$4,"2 Item No.","@@"&amp;$F1721,"3 Posting Date",O$9)</t>
  </si>
  <si>
    <t>=-NL("Sum","5802 Value Entry","151 Cost Amount (Expected)","41 Source Type",$C$5,"5 Source No.",$C1721,"4 Item Ledger Entry Type",$C$4,"2 Item No.","@@"&amp;$F1721,"3 Posting Date",O$9)-NL("Sum","5802 Value Entry","43 Cost Amount (Actual)","41 Source Type",$C$5,"5 Source no.",$C1721,"4 Item Ledger Entry Type",$C$4,"2 Item No.","@@"&amp;$F1721,"3 Posting Date",O$9)</t>
  </si>
  <si>
    <t>=O1721-Q1721</t>
  </si>
  <si>
    <t>=IF(O1721&lt;&gt;0,R1721/O1721,"")</t>
  </si>
  <si>
    <t>=NL("Sum","5802 Value Entry","150 Sales Amount (Expected)","41 Source Type",$C$5,"5 Source No.",$C1721,"4 Item Ledger Entry Type",$C$4,"2 Item No.","@@"&amp;$F1721,"3 Posting Date",U$9)+NL("Sum","5802 Value Entry","17 Sales Amount (Actual)","41 Source Type",$C$5,"5 Source no.",$C1721,"4 Item Ledger Entry Type",$C$4,"2 Item No.","@@"&amp;$F1721,"3 Posting Date",U$9)</t>
  </si>
  <si>
    <t>=-NL("Sum","5802 Value Entry","151 Cost Amount (Expected)","41 Source Type",$C$5,"5 Source No.",$C1721,"4 Item Ledger Entry Type",$C$4,"2 Item No.","@@"&amp;$F1721,"3 Posting Date",U$9)-NL("Sum","5802 Value Entry","43 Cost Amount (Actual)","41 Source Type",$C$5,"5 Source no.",$C1721,"4 Item Ledger Entry Type",$C$4,"2 Item No.","@@"&amp;$F1721,"3 Posting Date",U$9)</t>
  </si>
  <si>
    <t>=U1721-W1721</t>
  </si>
  <si>
    <t>=IF(U1721&lt;&gt;0,X1721/U1721,"")</t>
  </si>
  <si>
    <t>=NL("Sum","5802 Value Entry","150 Sales Amount (Expected)","41 Source Type",$C$5,"5 Source No.",$C1721,"4 Item Ledger Entry Type",$C$4,"2 Item No.","@@"&amp;$F1721,"3 Posting Date",Z$9)+NL("Sum","5802 Value Entry","17 Sales Amount (Actual)","41 Source Type",$C$5,"5 Source no.",$C1721,"4 Item Ledger Entry Type",$C$4,"2 Item No.","@@"&amp;$F1721,"3 Posting Date",Z$9)</t>
  </si>
  <si>
    <t>=-NL("Sum","5802 Value Entry","151 Cost Amount (Expected)","41 Source Type",$C$5,"5 Source No.",$C1721,"4 Item Ledger Entry Type",$C$4,"2 Item No.","@@"&amp;$F1721,"3 Posting Date",Z$9)-NL("Sum","5802 Value Entry","43 Cost Amount (Actual)","41 Source Type",$C$5,"5 Source no.",$C1721,"4 Item Ledger Entry Type",$C$4,"2 Item No.","@@"&amp;$F1721,"3 Posting Date",Z$9)</t>
  </si>
  <si>
    <t>=Z1721-AB1721</t>
  </si>
  <si>
    <t>=IF(Z1721&lt;&gt;0,AC1721/Z1721,"")</t>
  </si>
  <si>
    <t>=C1721</t>
  </si>
  <si>
    <t>=NL("Sum","5802 Value Entry","150 Sales Amount (Expected)","41 Source Type",$C$5,"5 Source No.",$C1722,"4 Item Ledger Entry Type",$C$4,"2 Item No.","@@"&amp;$F1722,"3 Posting Date",J$9)+NL("Sum","5802 Value Entry","17 Sales Amount (Actual)","41 Source Type",$C$5,"5 Source no.",$C1722,"4 Item Ledger Entry Type",$C$4,"2 Item No.","@@"&amp;$F1722,"3 Posting Date",J$9)</t>
  </si>
  <si>
    <t>=-NL("Sum","5802 Value Entry","151 Cost Amount (Expected)","41 Source Type",$C$5,"5 Source No.",$C1722,"4 Item Ledger Entry Type",$C$4,"2 Item No.","@@"&amp;$F1722,"3 Posting Date",J$9)-NL("Sum","5802 Value Entry","43 Cost Amount (Actual)","41 Source Type",$C$5,"5 Source no.",$C1722,"4 Item Ledger Entry Type",$C$4,"2 Item No.","@@"&amp;$F1722,"3 Posting Date",J$9)</t>
  </si>
  <si>
    <t>=J1722-L1722</t>
  </si>
  <si>
    <t>=IF(J1722&lt;&gt;0,M1722/J1722,"")</t>
  </si>
  <si>
    <t>=NL("Sum","5802 Value Entry","150 Sales Amount (Expected)","41 Source Type",$C$5,"5 Source No.",$C1722,"4 Item Ledger Entry Type",$C$4,"2 Item No.","@@"&amp;$F1722,"3 Posting Date",O$9)+NL("Sum","5802 Value Entry","17 Sales Amount (Actual)","41 Source Type",$C$5,"5 Source no.",$C1722,"4 Item Ledger Entry Type",$C$4,"2 Item No.","@@"&amp;$F1722,"3 Posting Date",O$9)</t>
  </si>
  <si>
    <t>=-NL("Sum","5802 Value Entry","151 Cost Amount (Expected)","41 Source Type",$C$5,"5 Source No.",$C1722,"4 Item Ledger Entry Type",$C$4,"2 Item No.","@@"&amp;$F1722,"3 Posting Date",O$9)-NL("Sum","5802 Value Entry","43 Cost Amount (Actual)","41 Source Type",$C$5,"5 Source no.",$C1722,"4 Item Ledger Entry Type",$C$4,"2 Item No.","@@"&amp;$F1722,"3 Posting Date",O$9)</t>
  </si>
  <si>
    <t>=O1722-Q1722</t>
  </si>
  <si>
    <t>=IF(O1722&lt;&gt;0,R1722/O1722,"")</t>
  </si>
  <si>
    <t>=NL("Sum","5802 Value Entry","150 Sales Amount (Expected)","41 Source Type",$C$5,"5 Source No.",$C1722,"4 Item Ledger Entry Type",$C$4,"2 Item No.","@@"&amp;$F1722,"3 Posting Date",U$9)+NL("Sum","5802 Value Entry","17 Sales Amount (Actual)","41 Source Type",$C$5,"5 Source no.",$C1722,"4 Item Ledger Entry Type",$C$4,"2 Item No.","@@"&amp;$F1722,"3 Posting Date",U$9)</t>
  </si>
  <si>
    <t>=-NL("Sum","5802 Value Entry","151 Cost Amount (Expected)","41 Source Type",$C$5,"5 Source No.",$C1722,"4 Item Ledger Entry Type",$C$4,"2 Item No.","@@"&amp;$F1722,"3 Posting Date",U$9)-NL("Sum","5802 Value Entry","43 Cost Amount (Actual)","41 Source Type",$C$5,"5 Source no.",$C1722,"4 Item Ledger Entry Type",$C$4,"2 Item No.","@@"&amp;$F1722,"3 Posting Date",U$9)</t>
  </si>
  <si>
    <t>=U1722-W1722</t>
  </si>
  <si>
    <t>=IF(U1722&lt;&gt;0,X1722/U1722,"")</t>
  </si>
  <si>
    <t>=NL("Sum","5802 Value Entry","150 Sales Amount (Expected)","41 Source Type",$C$5,"5 Source No.",$C1722,"4 Item Ledger Entry Type",$C$4,"2 Item No.","@@"&amp;$F1722,"3 Posting Date",Z$9)+NL("Sum","5802 Value Entry","17 Sales Amount (Actual)","41 Source Type",$C$5,"5 Source no.",$C1722,"4 Item Ledger Entry Type",$C$4,"2 Item No.","@@"&amp;$F1722,"3 Posting Date",Z$9)</t>
  </si>
  <si>
    <t>=-NL("Sum","5802 Value Entry","151 Cost Amount (Expected)","41 Source Type",$C$5,"5 Source No.",$C1722,"4 Item Ledger Entry Type",$C$4,"2 Item No.","@@"&amp;$F1722,"3 Posting Date",Z$9)-NL("Sum","5802 Value Entry","43 Cost Amount (Actual)","41 Source Type",$C$5,"5 Source no.",$C1722,"4 Item Ledger Entry Type",$C$4,"2 Item No.","@@"&amp;$F1722,"3 Posting Date",Z$9)</t>
  </si>
  <si>
    <t>=Z1722-AB1722</t>
  </si>
  <si>
    <t>=IF(Z1722&lt;&gt;0,AC1722/Z1722,"")</t>
  </si>
  <si>
    <t>=C1723</t>
  </si>
  <si>
    <t>=J1724-L1724</t>
  </si>
  <si>
    <t>=IF(J1724&lt;&gt;0,M1724/J1724,"")</t>
  </si>
  <si>
    <t>=O1724-Q1724</t>
  </si>
  <si>
    <t>=IF(O1724&lt;&gt;0,R1724/O1724,"")</t>
  </si>
  <si>
    <t>=U1724-W1724</t>
  </si>
  <si>
    <t>=IF(U1724&lt;&gt;0,X1724/U1724,"")</t>
  </si>
  <si>
    <t>=Z1724-AB1724</t>
  </si>
  <si>
    <t>=IF(Z1724&lt;&gt;0,AC1724/Z1724,"")</t>
  </si>
  <si>
    <t>=C1726</t>
  </si>
  <si>
    <t>=C1727</t>
  </si>
  <si>
    <t>=NL("Sum","5802 Value Entry","150 Sales Amount (Expected)","41 Source Type",$C$5,"5 Source No.",$C1728,"4 Item Ledger Entry Type",$C$4,"2 Item No.","@@"&amp;$F1728,"3 Posting Date",J$9)+NL("Sum","5802 Value Entry","17 Sales Amount (Actual)","41 Source Type",$C$5,"5 Source no.",$C1728,"4 Item Ledger Entry Type",$C$4,"2 Item No.","@@"&amp;$F1728,"3 Posting Date",J$9)</t>
  </si>
  <si>
    <t>=-NL("Sum","5802 Value Entry","151 Cost Amount (Expected)","41 Source Type",$C$5,"5 Source No.",$C1728,"4 Item Ledger Entry Type",$C$4,"2 Item No.","@@"&amp;$F1728,"3 Posting Date",J$9)-NL("Sum","5802 Value Entry","43 Cost Amount (Actual)","41 Source Type",$C$5,"5 Source no.",$C1728,"4 Item Ledger Entry Type",$C$4,"2 Item No.","@@"&amp;$F1728,"3 Posting Date",J$9)</t>
  </si>
  <si>
    <t>=J1728-L1728</t>
  </si>
  <si>
    <t>=IF(J1728&lt;&gt;0,M1728/J1728,"")</t>
  </si>
  <si>
    <t>=NL("Sum","5802 Value Entry","150 Sales Amount (Expected)","41 Source Type",$C$5,"5 Source No.",$C1728,"4 Item Ledger Entry Type",$C$4,"2 Item No.","@@"&amp;$F1728,"3 Posting Date",O$9)+NL("Sum","5802 Value Entry","17 Sales Amount (Actual)","41 Source Type",$C$5,"5 Source no.",$C1728,"4 Item Ledger Entry Type",$C$4,"2 Item No.","@@"&amp;$F1728,"3 Posting Date",O$9)</t>
  </si>
  <si>
    <t>=-NL("Sum","5802 Value Entry","151 Cost Amount (Expected)","41 Source Type",$C$5,"5 Source No.",$C1728,"4 Item Ledger Entry Type",$C$4,"2 Item No.","@@"&amp;$F1728,"3 Posting Date",O$9)-NL("Sum","5802 Value Entry","43 Cost Amount (Actual)","41 Source Type",$C$5,"5 Source no.",$C1728,"4 Item Ledger Entry Type",$C$4,"2 Item No.","@@"&amp;$F1728,"3 Posting Date",O$9)</t>
  </si>
  <si>
    <t>=O1728-Q1728</t>
  </si>
  <si>
    <t>=IF(O1728&lt;&gt;0,R1728/O1728,"")</t>
  </si>
  <si>
    <t>=NL("Sum","5802 Value Entry","150 Sales Amount (Expected)","41 Source Type",$C$5,"5 Source No.",$C1728,"4 Item Ledger Entry Type",$C$4,"2 Item No.","@@"&amp;$F1728,"3 Posting Date",U$9)+NL("Sum","5802 Value Entry","17 Sales Amount (Actual)","41 Source Type",$C$5,"5 Source no.",$C1728,"4 Item Ledger Entry Type",$C$4,"2 Item No.","@@"&amp;$F1728,"3 Posting Date",U$9)</t>
  </si>
  <si>
    <t>=-NL("Sum","5802 Value Entry","151 Cost Amount (Expected)","41 Source Type",$C$5,"5 Source No.",$C1728,"4 Item Ledger Entry Type",$C$4,"2 Item No.","@@"&amp;$F1728,"3 Posting Date",U$9)-NL("Sum","5802 Value Entry","43 Cost Amount (Actual)","41 Source Type",$C$5,"5 Source no.",$C1728,"4 Item Ledger Entry Type",$C$4,"2 Item No.","@@"&amp;$F1728,"3 Posting Date",U$9)</t>
  </si>
  <si>
    <t>=U1728-W1728</t>
  </si>
  <si>
    <t>=IF(U1728&lt;&gt;0,X1728/U1728,"")</t>
  </si>
  <si>
    <t>=NL("Sum","5802 Value Entry","150 Sales Amount (Expected)","41 Source Type",$C$5,"5 Source No.",$C1728,"4 Item Ledger Entry Type",$C$4,"2 Item No.","@@"&amp;$F1728,"3 Posting Date",Z$9)+NL("Sum","5802 Value Entry","17 Sales Amount (Actual)","41 Source Type",$C$5,"5 Source no.",$C1728,"4 Item Ledger Entry Type",$C$4,"2 Item No.","@@"&amp;$F1728,"3 Posting Date",Z$9)</t>
  </si>
  <si>
    <t>=-NL("Sum","5802 Value Entry","151 Cost Amount (Expected)","41 Source Type",$C$5,"5 Source No.",$C1728,"4 Item Ledger Entry Type",$C$4,"2 Item No.","@@"&amp;$F1728,"3 Posting Date",Z$9)-NL("Sum","5802 Value Entry","43 Cost Amount (Actual)","41 Source Type",$C$5,"5 Source no.",$C1728,"4 Item Ledger Entry Type",$C$4,"2 Item No.","@@"&amp;$F1728,"3 Posting Date",Z$9)</t>
  </si>
  <si>
    <t>=Z1728-AB1728</t>
  </si>
  <si>
    <t>=IF(Z1728&lt;&gt;0,AC1728/Z1728,"")</t>
  </si>
  <si>
    <t>=C1728</t>
  </si>
  <si>
    <t>=NL("Sum","5802 Value Entry","150 Sales Amount (Expected)","41 Source Type",$C$5,"5 Source No.",$C1729,"4 Item Ledger Entry Type",$C$4,"2 Item No.","@@"&amp;$F1729,"3 Posting Date",J$9)+NL("Sum","5802 Value Entry","17 Sales Amount (Actual)","41 Source Type",$C$5,"5 Source no.",$C1729,"4 Item Ledger Entry Type",$C$4,"2 Item No.","@@"&amp;$F1729,"3 Posting Date",J$9)</t>
  </si>
  <si>
    <t>=-NL("Sum","5802 Value Entry","151 Cost Amount (Expected)","41 Source Type",$C$5,"5 Source No.",$C1729,"4 Item Ledger Entry Type",$C$4,"2 Item No.","@@"&amp;$F1729,"3 Posting Date",J$9)-NL("Sum","5802 Value Entry","43 Cost Amount (Actual)","41 Source Type",$C$5,"5 Source no.",$C1729,"4 Item Ledger Entry Type",$C$4,"2 Item No.","@@"&amp;$F1729,"3 Posting Date",J$9)</t>
  </si>
  <si>
    <t>=J1729-L1729</t>
  </si>
  <si>
    <t>=IF(J1729&lt;&gt;0,M1729/J1729,"")</t>
  </si>
  <si>
    <t>=NL("Sum","5802 Value Entry","150 Sales Amount (Expected)","41 Source Type",$C$5,"5 Source No.",$C1729,"4 Item Ledger Entry Type",$C$4,"2 Item No.","@@"&amp;$F1729,"3 Posting Date",O$9)+NL("Sum","5802 Value Entry","17 Sales Amount (Actual)","41 Source Type",$C$5,"5 Source no.",$C1729,"4 Item Ledger Entry Type",$C$4,"2 Item No.","@@"&amp;$F1729,"3 Posting Date",O$9)</t>
  </si>
  <si>
    <t>=-NL("Sum","5802 Value Entry","151 Cost Amount (Expected)","41 Source Type",$C$5,"5 Source No.",$C1729,"4 Item Ledger Entry Type",$C$4,"2 Item No.","@@"&amp;$F1729,"3 Posting Date",O$9)-NL("Sum","5802 Value Entry","43 Cost Amount (Actual)","41 Source Type",$C$5,"5 Source no.",$C1729,"4 Item Ledger Entry Type",$C$4,"2 Item No.","@@"&amp;$F1729,"3 Posting Date",O$9)</t>
  </si>
  <si>
    <t>=O1729-Q1729</t>
  </si>
  <si>
    <t>=IF(O1729&lt;&gt;0,R1729/O1729,"")</t>
  </si>
  <si>
    <t>=NL("Sum","5802 Value Entry","150 Sales Amount (Expected)","41 Source Type",$C$5,"5 Source No.",$C1729,"4 Item Ledger Entry Type",$C$4,"2 Item No.","@@"&amp;$F1729,"3 Posting Date",U$9)+NL("Sum","5802 Value Entry","17 Sales Amount (Actual)","41 Source Type",$C$5,"5 Source no.",$C1729,"4 Item Ledger Entry Type",$C$4,"2 Item No.","@@"&amp;$F1729,"3 Posting Date",U$9)</t>
  </si>
  <si>
    <t>=-NL("Sum","5802 Value Entry","151 Cost Amount (Expected)","41 Source Type",$C$5,"5 Source No.",$C1729,"4 Item Ledger Entry Type",$C$4,"2 Item No.","@@"&amp;$F1729,"3 Posting Date",U$9)-NL("Sum","5802 Value Entry","43 Cost Amount (Actual)","41 Source Type",$C$5,"5 Source no.",$C1729,"4 Item Ledger Entry Type",$C$4,"2 Item No.","@@"&amp;$F1729,"3 Posting Date",U$9)</t>
  </si>
  <si>
    <t>=U1729-W1729</t>
  </si>
  <si>
    <t>=IF(U1729&lt;&gt;0,X1729/U1729,"")</t>
  </si>
  <si>
    <t>=NL("Sum","5802 Value Entry","150 Sales Amount (Expected)","41 Source Type",$C$5,"5 Source No.",$C1729,"4 Item Ledger Entry Type",$C$4,"2 Item No.","@@"&amp;$F1729,"3 Posting Date",Z$9)+NL("Sum","5802 Value Entry","17 Sales Amount (Actual)","41 Source Type",$C$5,"5 Source no.",$C1729,"4 Item Ledger Entry Type",$C$4,"2 Item No.","@@"&amp;$F1729,"3 Posting Date",Z$9)</t>
  </si>
  <si>
    <t>=-NL("Sum","5802 Value Entry","151 Cost Amount (Expected)","41 Source Type",$C$5,"5 Source No.",$C1729,"4 Item Ledger Entry Type",$C$4,"2 Item No.","@@"&amp;$F1729,"3 Posting Date",Z$9)-NL("Sum","5802 Value Entry","43 Cost Amount (Actual)","41 Source Type",$C$5,"5 Source no.",$C1729,"4 Item Ledger Entry Type",$C$4,"2 Item No.","@@"&amp;$F1729,"3 Posting Date",Z$9)</t>
  </si>
  <si>
    <t>=Z1729-AB1729</t>
  </si>
  <si>
    <t>=IF(Z1729&lt;&gt;0,AC1729/Z1729,"")</t>
  </si>
  <si>
    <t>=C1729</t>
  </si>
  <si>
    <t>=NL("Sum","5802 Value Entry","150 Sales Amount (Expected)","41 Source Type",$C$5,"5 Source No.",$C1730,"4 Item Ledger Entry Type",$C$4,"2 Item No.","@@"&amp;$F1730,"3 Posting Date",J$9)+NL("Sum","5802 Value Entry","17 Sales Amount (Actual)","41 Source Type",$C$5,"5 Source no.",$C1730,"4 Item Ledger Entry Type",$C$4,"2 Item No.","@@"&amp;$F1730,"3 Posting Date",J$9)</t>
  </si>
  <si>
    <t>=-NL("Sum","5802 Value Entry","151 Cost Amount (Expected)","41 Source Type",$C$5,"5 Source No.",$C1730,"4 Item Ledger Entry Type",$C$4,"2 Item No.","@@"&amp;$F1730,"3 Posting Date",J$9)-NL("Sum","5802 Value Entry","43 Cost Amount (Actual)","41 Source Type",$C$5,"5 Source no.",$C1730,"4 Item Ledger Entry Type",$C$4,"2 Item No.","@@"&amp;$F1730,"3 Posting Date",J$9)</t>
  </si>
  <si>
    <t>=J1730-L1730</t>
  </si>
  <si>
    <t>=IF(J1730&lt;&gt;0,M1730/J1730,"")</t>
  </si>
  <si>
    <t>=NL("Sum","5802 Value Entry","150 Sales Amount (Expected)","41 Source Type",$C$5,"5 Source No.",$C1730,"4 Item Ledger Entry Type",$C$4,"2 Item No.","@@"&amp;$F1730,"3 Posting Date",O$9)+NL("Sum","5802 Value Entry","17 Sales Amount (Actual)","41 Source Type",$C$5,"5 Source no.",$C1730,"4 Item Ledger Entry Type",$C$4,"2 Item No.","@@"&amp;$F1730,"3 Posting Date",O$9)</t>
  </si>
  <si>
    <t>=-NL("Sum","5802 Value Entry","151 Cost Amount (Expected)","41 Source Type",$C$5,"5 Source No.",$C1730,"4 Item Ledger Entry Type",$C$4,"2 Item No.","@@"&amp;$F1730,"3 Posting Date",O$9)-NL("Sum","5802 Value Entry","43 Cost Amount (Actual)","41 Source Type",$C$5,"5 Source no.",$C1730,"4 Item Ledger Entry Type",$C$4,"2 Item No.","@@"&amp;$F1730,"3 Posting Date",O$9)</t>
  </si>
  <si>
    <t>=O1730-Q1730</t>
  </si>
  <si>
    <t>=IF(O1730&lt;&gt;0,R1730/O1730,"")</t>
  </si>
  <si>
    <t>=NL("Sum","5802 Value Entry","150 Sales Amount (Expected)","41 Source Type",$C$5,"5 Source No.",$C1730,"4 Item Ledger Entry Type",$C$4,"2 Item No.","@@"&amp;$F1730,"3 Posting Date",U$9)+NL("Sum","5802 Value Entry","17 Sales Amount (Actual)","41 Source Type",$C$5,"5 Source no.",$C1730,"4 Item Ledger Entry Type",$C$4,"2 Item No.","@@"&amp;$F1730,"3 Posting Date",U$9)</t>
  </si>
  <si>
    <t>=-NL("Sum","5802 Value Entry","151 Cost Amount (Expected)","41 Source Type",$C$5,"5 Source No.",$C1730,"4 Item Ledger Entry Type",$C$4,"2 Item No.","@@"&amp;$F1730,"3 Posting Date",U$9)-NL("Sum","5802 Value Entry","43 Cost Amount (Actual)","41 Source Type",$C$5,"5 Source no.",$C1730,"4 Item Ledger Entry Type",$C$4,"2 Item No.","@@"&amp;$F1730,"3 Posting Date",U$9)</t>
  </si>
  <si>
    <t>=U1730-W1730</t>
  </si>
  <si>
    <t>=IF(U1730&lt;&gt;0,X1730/U1730,"")</t>
  </si>
  <si>
    <t>=NL("Sum","5802 Value Entry","150 Sales Amount (Expected)","41 Source Type",$C$5,"5 Source No.",$C1730,"4 Item Ledger Entry Type",$C$4,"2 Item No.","@@"&amp;$F1730,"3 Posting Date",Z$9)+NL("Sum","5802 Value Entry","17 Sales Amount (Actual)","41 Source Type",$C$5,"5 Source no.",$C1730,"4 Item Ledger Entry Type",$C$4,"2 Item No.","@@"&amp;$F1730,"3 Posting Date",Z$9)</t>
  </si>
  <si>
    <t>=-NL("Sum","5802 Value Entry","151 Cost Amount (Expected)","41 Source Type",$C$5,"5 Source No.",$C1730,"4 Item Ledger Entry Type",$C$4,"2 Item No.","@@"&amp;$F1730,"3 Posting Date",Z$9)-NL("Sum","5802 Value Entry","43 Cost Amount (Actual)","41 Source Type",$C$5,"5 Source no.",$C1730,"4 Item Ledger Entry Type",$C$4,"2 Item No.","@@"&amp;$F1730,"3 Posting Date",Z$9)</t>
  </si>
  <si>
    <t>=Z1730-AB1730</t>
  </si>
  <si>
    <t>=IF(Z1730&lt;&gt;0,AC1730/Z1730,"")</t>
  </si>
  <si>
    <t>=C1730</t>
  </si>
  <si>
    <t>=NL("Sum","5802 Value Entry","150 Sales Amount (Expected)","41 Source Type",$C$5,"5 Source No.",$C1731,"4 Item Ledger Entry Type",$C$4,"2 Item No.","@@"&amp;$F1731,"3 Posting Date",J$9)+NL("Sum","5802 Value Entry","17 Sales Amount (Actual)","41 Source Type",$C$5,"5 Source no.",$C1731,"4 Item Ledger Entry Type",$C$4,"2 Item No.","@@"&amp;$F1731,"3 Posting Date",J$9)</t>
  </si>
  <si>
    <t>=-NL("Sum","5802 Value Entry","151 Cost Amount (Expected)","41 Source Type",$C$5,"5 Source No.",$C1731,"4 Item Ledger Entry Type",$C$4,"2 Item No.","@@"&amp;$F1731,"3 Posting Date",J$9)-NL("Sum","5802 Value Entry","43 Cost Amount (Actual)","41 Source Type",$C$5,"5 Source no.",$C1731,"4 Item Ledger Entry Type",$C$4,"2 Item No.","@@"&amp;$F1731,"3 Posting Date",J$9)</t>
  </si>
  <si>
    <t>=J1731-L1731</t>
  </si>
  <si>
    <t>=IF(J1731&lt;&gt;0,M1731/J1731,"")</t>
  </si>
  <si>
    <t>=NL("Sum","5802 Value Entry","150 Sales Amount (Expected)","41 Source Type",$C$5,"5 Source No.",$C1731,"4 Item Ledger Entry Type",$C$4,"2 Item No.","@@"&amp;$F1731,"3 Posting Date",O$9)+NL("Sum","5802 Value Entry","17 Sales Amount (Actual)","41 Source Type",$C$5,"5 Source no.",$C1731,"4 Item Ledger Entry Type",$C$4,"2 Item No.","@@"&amp;$F1731,"3 Posting Date",O$9)</t>
  </si>
  <si>
    <t>=-NL("Sum","5802 Value Entry","151 Cost Amount (Expected)","41 Source Type",$C$5,"5 Source No.",$C1731,"4 Item Ledger Entry Type",$C$4,"2 Item No.","@@"&amp;$F1731,"3 Posting Date",O$9)-NL("Sum","5802 Value Entry","43 Cost Amount (Actual)","41 Source Type",$C$5,"5 Source no.",$C1731,"4 Item Ledger Entry Type",$C$4,"2 Item No.","@@"&amp;$F1731,"3 Posting Date",O$9)</t>
  </si>
  <si>
    <t>=O1731-Q1731</t>
  </si>
  <si>
    <t>=IF(O1731&lt;&gt;0,R1731/O1731,"")</t>
  </si>
  <si>
    <t>=NL("Sum","5802 Value Entry","150 Sales Amount (Expected)","41 Source Type",$C$5,"5 Source No.",$C1731,"4 Item Ledger Entry Type",$C$4,"2 Item No.","@@"&amp;$F1731,"3 Posting Date",U$9)+NL("Sum","5802 Value Entry","17 Sales Amount (Actual)","41 Source Type",$C$5,"5 Source no.",$C1731,"4 Item Ledger Entry Type",$C$4,"2 Item No.","@@"&amp;$F1731,"3 Posting Date",U$9)</t>
  </si>
  <si>
    <t>=-NL("Sum","5802 Value Entry","151 Cost Amount (Expected)","41 Source Type",$C$5,"5 Source No.",$C1731,"4 Item Ledger Entry Type",$C$4,"2 Item No.","@@"&amp;$F1731,"3 Posting Date",U$9)-NL("Sum","5802 Value Entry","43 Cost Amount (Actual)","41 Source Type",$C$5,"5 Source no.",$C1731,"4 Item Ledger Entry Type",$C$4,"2 Item No.","@@"&amp;$F1731,"3 Posting Date",U$9)</t>
  </si>
  <si>
    <t>=U1731-W1731</t>
  </si>
  <si>
    <t>=IF(U1731&lt;&gt;0,X1731/U1731,"")</t>
  </si>
  <si>
    <t>=NL("Sum","5802 Value Entry","150 Sales Amount (Expected)","41 Source Type",$C$5,"5 Source No.",$C1731,"4 Item Ledger Entry Type",$C$4,"2 Item No.","@@"&amp;$F1731,"3 Posting Date",Z$9)+NL("Sum","5802 Value Entry","17 Sales Amount (Actual)","41 Source Type",$C$5,"5 Source no.",$C1731,"4 Item Ledger Entry Type",$C$4,"2 Item No.","@@"&amp;$F1731,"3 Posting Date",Z$9)</t>
  </si>
  <si>
    <t>=-NL("Sum","5802 Value Entry","151 Cost Amount (Expected)","41 Source Type",$C$5,"5 Source No.",$C1731,"4 Item Ledger Entry Type",$C$4,"2 Item No.","@@"&amp;$F1731,"3 Posting Date",Z$9)-NL("Sum","5802 Value Entry","43 Cost Amount (Actual)","41 Source Type",$C$5,"5 Source no.",$C1731,"4 Item Ledger Entry Type",$C$4,"2 Item No.","@@"&amp;$F1731,"3 Posting Date",Z$9)</t>
  </si>
  <si>
    <t>=Z1731-AB1731</t>
  </si>
  <si>
    <t>=IF(Z1731&lt;&gt;0,AC1731/Z1731,"")</t>
  </si>
  <si>
    <t>=C1731</t>
  </si>
  <si>
    <t>=NL("Sum","5802 Value Entry","150 Sales Amount (Expected)","41 Source Type",$C$5,"5 Source No.",$C1732,"4 Item Ledger Entry Type",$C$4,"2 Item No.","@@"&amp;$F1732,"3 Posting Date",J$9)+NL("Sum","5802 Value Entry","17 Sales Amount (Actual)","41 Source Type",$C$5,"5 Source no.",$C1732,"4 Item Ledger Entry Type",$C$4,"2 Item No.","@@"&amp;$F1732,"3 Posting Date",J$9)</t>
  </si>
  <si>
    <t>=-NL("Sum","5802 Value Entry","151 Cost Amount (Expected)","41 Source Type",$C$5,"5 Source No.",$C1732,"4 Item Ledger Entry Type",$C$4,"2 Item No.","@@"&amp;$F1732,"3 Posting Date",J$9)-NL("Sum","5802 Value Entry","43 Cost Amount (Actual)","41 Source Type",$C$5,"5 Source no.",$C1732,"4 Item Ledger Entry Type",$C$4,"2 Item No.","@@"&amp;$F1732,"3 Posting Date",J$9)</t>
  </si>
  <si>
    <t>=J1732-L1732</t>
  </si>
  <si>
    <t>=IF(J1732&lt;&gt;0,M1732/J1732,"")</t>
  </si>
  <si>
    <t>=NL("Sum","5802 Value Entry","150 Sales Amount (Expected)","41 Source Type",$C$5,"5 Source No.",$C1732,"4 Item Ledger Entry Type",$C$4,"2 Item No.","@@"&amp;$F1732,"3 Posting Date",O$9)+NL("Sum","5802 Value Entry","17 Sales Amount (Actual)","41 Source Type",$C$5,"5 Source no.",$C1732,"4 Item Ledger Entry Type",$C$4,"2 Item No.","@@"&amp;$F1732,"3 Posting Date",O$9)</t>
  </si>
  <si>
    <t>=-NL("Sum","5802 Value Entry","151 Cost Amount (Expected)","41 Source Type",$C$5,"5 Source No.",$C1732,"4 Item Ledger Entry Type",$C$4,"2 Item No.","@@"&amp;$F1732,"3 Posting Date",O$9)-NL("Sum","5802 Value Entry","43 Cost Amount (Actual)","41 Source Type",$C$5,"5 Source no.",$C1732,"4 Item Ledger Entry Type",$C$4,"2 Item No.","@@"&amp;$F1732,"3 Posting Date",O$9)</t>
  </si>
  <si>
    <t>=O1732-Q1732</t>
  </si>
  <si>
    <t>=IF(O1732&lt;&gt;0,R1732/O1732,"")</t>
  </si>
  <si>
    <t>=NL("Sum","5802 Value Entry","150 Sales Amount (Expected)","41 Source Type",$C$5,"5 Source No.",$C1732,"4 Item Ledger Entry Type",$C$4,"2 Item No.","@@"&amp;$F1732,"3 Posting Date",U$9)+NL("Sum","5802 Value Entry","17 Sales Amount (Actual)","41 Source Type",$C$5,"5 Source no.",$C1732,"4 Item Ledger Entry Type",$C$4,"2 Item No.","@@"&amp;$F1732,"3 Posting Date",U$9)</t>
  </si>
  <si>
    <t>=-NL("Sum","5802 Value Entry","151 Cost Amount (Expected)","41 Source Type",$C$5,"5 Source No.",$C1732,"4 Item Ledger Entry Type",$C$4,"2 Item No.","@@"&amp;$F1732,"3 Posting Date",U$9)-NL("Sum","5802 Value Entry","43 Cost Amount (Actual)","41 Source Type",$C$5,"5 Source no.",$C1732,"4 Item Ledger Entry Type",$C$4,"2 Item No.","@@"&amp;$F1732,"3 Posting Date",U$9)</t>
  </si>
  <si>
    <t>=U1732-W1732</t>
  </si>
  <si>
    <t>=IF(U1732&lt;&gt;0,X1732/U1732,"")</t>
  </si>
  <si>
    <t>=NL("Sum","5802 Value Entry","150 Sales Amount (Expected)","41 Source Type",$C$5,"5 Source No.",$C1732,"4 Item Ledger Entry Type",$C$4,"2 Item No.","@@"&amp;$F1732,"3 Posting Date",Z$9)+NL("Sum","5802 Value Entry","17 Sales Amount (Actual)","41 Source Type",$C$5,"5 Source no.",$C1732,"4 Item Ledger Entry Type",$C$4,"2 Item No.","@@"&amp;$F1732,"3 Posting Date",Z$9)</t>
  </si>
  <si>
    <t>=-NL("Sum","5802 Value Entry","151 Cost Amount (Expected)","41 Source Type",$C$5,"5 Source No.",$C1732,"4 Item Ledger Entry Type",$C$4,"2 Item No.","@@"&amp;$F1732,"3 Posting Date",Z$9)-NL("Sum","5802 Value Entry","43 Cost Amount (Actual)","41 Source Type",$C$5,"5 Source no.",$C1732,"4 Item Ledger Entry Type",$C$4,"2 Item No.","@@"&amp;$F1732,"3 Posting Date",Z$9)</t>
  </si>
  <si>
    <t>=Z1732-AB1732</t>
  </si>
  <si>
    <t>=IF(Z1732&lt;&gt;0,AC1732/Z1732,"")</t>
  </si>
  <si>
    <t>=C1732</t>
  </si>
  <si>
    <t>=NL("Sum","5802 Value Entry","150 Sales Amount (Expected)","41 Source Type",$C$5,"5 Source No.",$C1733,"4 Item Ledger Entry Type",$C$4,"2 Item No.","@@"&amp;$F1733,"3 Posting Date",J$9)+NL("Sum","5802 Value Entry","17 Sales Amount (Actual)","41 Source Type",$C$5,"5 Source no.",$C1733,"4 Item Ledger Entry Type",$C$4,"2 Item No.","@@"&amp;$F1733,"3 Posting Date",J$9)</t>
  </si>
  <si>
    <t>=-NL("Sum","5802 Value Entry","151 Cost Amount (Expected)","41 Source Type",$C$5,"5 Source No.",$C1733,"4 Item Ledger Entry Type",$C$4,"2 Item No.","@@"&amp;$F1733,"3 Posting Date",J$9)-NL("Sum","5802 Value Entry","43 Cost Amount (Actual)","41 Source Type",$C$5,"5 Source no.",$C1733,"4 Item Ledger Entry Type",$C$4,"2 Item No.","@@"&amp;$F1733,"3 Posting Date",J$9)</t>
  </si>
  <si>
    <t>=J1733-L1733</t>
  </si>
  <si>
    <t>=IF(J1733&lt;&gt;0,M1733/J1733,"")</t>
  </si>
  <si>
    <t>=NL("Sum","5802 Value Entry","150 Sales Amount (Expected)","41 Source Type",$C$5,"5 Source No.",$C1733,"4 Item Ledger Entry Type",$C$4,"2 Item No.","@@"&amp;$F1733,"3 Posting Date",O$9)+NL("Sum","5802 Value Entry","17 Sales Amount (Actual)","41 Source Type",$C$5,"5 Source no.",$C1733,"4 Item Ledger Entry Type",$C$4,"2 Item No.","@@"&amp;$F1733,"3 Posting Date",O$9)</t>
  </si>
  <si>
    <t>=-NL("Sum","5802 Value Entry","151 Cost Amount (Expected)","41 Source Type",$C$5,"5 Source No.",$C1733,"4 Item Ledger Entry Type",$C$4,"2 Item No.","@@"&amp;$F1733,"3 Posting Date",O$9)-NL("Sum","5802 Value Entry","43 Cost Amount (Actual)","41 Source Type",$C$5,"5 Source no.",$C1733,"4 Item Ledger Entry Type",$C$4,"2 Item No.","@@"&amp;$F1733,"3 Posting Date",O$9)</t>
  </si>
  <si>
    <t>=O1733-Q1733</t>
  </si>
  <si>
    <t>=IF(O1733&lt;&gt;0,R1733/O1733,"")</t>
  </si>
  <si>
    <t>=NL("Sum","5802 Value Entry","150 Sales Amount (Expected)","41 Source Type",$C$5,"5 Source No.",$C1733,"4 Item Ledger Entry Type",$C$4,"2 Item No.","@@"&amp;$F1733,"3 Posting Date",U$9)+NL("Sum","5802 Value Entry","17 Sales Amount (Actual)","41 Source Type",$C$5,"5 Source no.",$C1733,"4 Item Ledger Entry Type",$C$4,"2 Item No.","@@"&amp;$F1733,"3 Posting Date",U$9)</t>
  </si>
  <si>
    <t>=-NL("Sum","5802 Value Entry","151 Cost Amount (Expected)","41 Source Type",$C$5,"5 Source No.",$C1733,"4 Item Ledger Entry Type",$C$4,"2 Item No.","@@"&amp;$F1733,"3 Posting Date",U$9)-NL("Sum","5802 Value Entry","43 Cost Amount (Actual)","41 Source Type",$C$5,"5 Source no.",$C1733,"4 Item Ledger Entry Type",$C$4,"2 Item No.","@@"&amp;$F1733,"3 Posting Date",U$9)</t>
  </si>
  <si>
    <t>=U1733-W1733</t>
  </si>
  <si>
    <t>=IF(U1733&lt;&gt;0,X1733/U1733,"")</t>
  </si>
  <si>
    <t>=NL("Sum","5802 Value Entry","150 Sales Amount (Expected)","41 Source Type",$C$5,"5 Source No.",$C1733,"4 Item Ledger Entry Type",$C$4,"2 Item No.","@@"&amp;$F1733,"3 Posting Date",Z$9)+NL("Sum","5802 Value Entry","17 Sales Amount (Actual)","41 Source Type",$C$5,"5 Source no.",$C1733,"4 Item Ledger Entry Type",$C$4,"2 Item No.","@@"&amp;$F1733,"3 Posting Date",Z$9)</t>
  </si>
  <si>
    <t>=-NL("Sum","5802 Value Entry","151 Cost Amount (Expected)","41 Source Type",$C$5,"5 Source No.",$C1733,"4 Item Ledger Entry Type",$C$4,"2 Item No.","@@"&amp;$F1733,"3 Posting Date",Z$9)-NL("Sum","5802 Value Entry","43 Cost Amount (Actual)","41 Source Type",$C$5,"5 Source no.",$C1733,"4 Item Ledger Entry Type",$C$4,"2 Item No.","@@"&amp;$F1733,"3 Posting Date",Z$9)</t>
  </si>
  <si>
    <t>=Z1733-AB1733</t>
  </si>
  <si>
    <t>=IF(Z1733&lt;&gt;0,AC1733/Z1733,"")</t>
  </si>
  <si>
    <t>=C1733</t>
  </si>
  <si>
    <t>=NL("Sum","5802 Value Entry","150 Sales Amount (Expected)","41 Source Type",$C$5,"5 Source No.",$C1734,"4 Item Ledger Entry Type",$C$4,"2 Item No.","@@"&amp;$F1734,"3 Posting Date",J$9)+NL("Sum","5802 Value Entry","17 Sales Amount (Actual)","41 Source Type",$C$5,"5 Source no.",$C1734,"4 Item Ledger Entry Type",$C$4,"2 Item No.","@@"&amp;$F1734,"3 Posting Date",J$9)</t>
  </si>
  <si>
    <t>=-NL("Sum","5802 Value Entry","151 Cost Amount (Expected)","41 Source Type",$C$5,"5 Source No.",$C1734,"4 Item Ledger Entry Type",$C$4,"2 Item No.","@@"&amp;$F1734,"3 Posting Date",J$9)-NL("Sum","5802 Value Entry","43 Cost Amount (Actual)","41 Source Type",$C$5,"5 Source no.",$C1734,"4 Item Ledger Entry Type",$C$4,"2 Item No.","@@"&amp;$F1734,"3 Posting Date",J$9)</t>
  </si>
  <si>
    <t>=J1734-L1734</t>
  </si>
  <si>
    <t>=IF(J1734&lt;&gt;0,M1734/J1734,"")</t>
  </si>
  <si>
    <t>=NL("Sum","5802 Value Entry","150 Sales Amount (Expected)","41 Source Type",$C$5,"5 Source No.",$C1734,"4 Item Ledger Entry Type",$C$4,"2 Item No.","@@"&amp;$F1734,"3 Posting Date",O$9)+NL("Sum","5802 Value Entry","17 Sales Amount (Actual)","41 Source Type",$C$5,"5 Source no.",$C1734,"4 Item Ledger Entry Type",$C$4,"2 Item No.","@@"&amp;$F1734,"3 Posting Date",O$9)</t>
  </si>
  <si>
    <t>=-NL("Sum","5802 Value Entry","151 Cost Amount (Expected)","41 Source Type",$C$5,"5 Source No.",$C1734,"4 Item Ledger Entry Type",$C$4,"2 Item No.","@@"&amp;$F1734,"3 Posting Date",O$9)-NL("Sum","5802 Value Entry","43 Cost Amount (Actual)","41 Source Type",$C$5,"5 Source no.",$C1734,"4 Item Ledger Entry Type",$C$4,"2 Item No.","@@"&amp;$F1734,"3 Posting Date",O$9)</t>
  </si>
  <si>
    <t>=O1734-Q1734</t>
  </si>
  <si>
    <t>=IF(O1734&lt;&gt;0,R1734/O1734,"")</t>
  </si>
  <si>
    <t>=NL("Sum","5802 Value Entry","150 Sales Amount (Expected)","41 Source Type",$C$5,"5 Source No.",$C1734,"4 Item Ledger Entry Type",$C$4,"2 Item No.","@@"&amp;$F1734,"3 Posting Date",U$9)+NL("Sum","5802 Value Entry","17 Sales Amount (Actual)","41 Source Type",$C$5,"5 Source no.",$C1734,"4 Item Ledger Entry Type",$C$4,"2 Item No.","@@"&amp;$F1734,"3 Posting Date",U$9)</t>
  </si>
  <si>
    <t>=-NL("Sum","5802 Value Entry","151 Cost Amount (Expected)","41 Source Type",$C$5,"5 Source No.",$C1734,"4 Item Ledger Entry Type",$C$4,"2 Item No.","@@"&amp;$F1734,"3 Posting Date",U$9)-NL("Sum","5802 Value Entry","43 Cost Amount (Actual)","41 Source Type",$C$5,"5 Source no.",$C1734,"4 Item Ledger Entry Type",$C$4,"2 Item No.","@@"&amp;$F1734,"3 Posting Date",U$9)</t>
  </si>
  <si>
    <t>=U1734-W1734</t>
  </si>
  <si>
    <t>=IF(U1734&lt;&gt;0,X1734/U1734,"")</t>
  </si>
  <si>
    <t>=NL("Sum","5802 Value Entry","150 Sales Amount (Expected)","41 Source Type",$C$5,"5 Source No.",$C1734,"4 Item Ledger Entry Type",$C$4,"2 Item No.","@@"&amp;$F1734,"3 Posting Date",Z$9)+NL("Sum","5802 Value Entry","17 Sales Amount (Actual)","41 Source Type",$C$5,"5 Source no.",$C1734,"4 Item Ledger Entry Type",$C$4,"2 Item No.","@@"&amp;$F1734,"3 Posting Date",Z$9)</t>
  </si>
  <si>
    <t>=-NL("Sum","5802 Value Entry","151 Cost Amount (Expected)","41 Source Type",$C$5,"5 Source No.",$C1734,"4 Item Ledger Entry Type",$C$4,"2 Item No.","@@"&amp;$F1734,"3 Posting Date",Z$9)-NL("Sum","5802 Value Entry","43 Cost Amount (Actual)","41 Source Type",$C$5,"5 Source no.",$C1734,"4 Item Ledger Entry Type",$C$4,"2 Item No.","@@"&amp;$F1734,"3 Posting Date",Z$9)</t>
  </si>
  <si>
    <t>=Z1734-AB1734</t>
  </si>
  <si>
    <t>=IF(Z1734&lt;&gt;0,AC1734/Z1734,"")</t>
  </si>
  <si>
    <t>=C1734</t>
  </si>
  <si>
    <t>=NL("Sum","5802 Value Entry","150 Sales Amount (Expected)","41 Source Type",$C$5,"5 Source No.",$C1735,"4 Item Ledger Entry Type",$C$4,"2 Item No.","@@"&amp;$F1735,"3 Posting Date",J$9)+NL("Sum","5802 Value Entry","17 Sales Amount (Actual)","41 Source Type",$C$5,"5 Source no.",$C1735,"4 Item Ledger Entry Type",$C$4,"2 Item No.","@@"&amp;$F1735,"3 Posting Date",J$9)</t>
  </si>
  <si>
    <t>=-NL("Sum","5802 Value Entry","151 Cost Amount (Expected)","41 Source Type",$C$5,"5 Source No.",$C1735,"4 Item Ledger Entry Type",$C$4,"2 Item No.","@@"&amp;$F1735,"3 Posting Date",J$9)-NL("Sum","5802 Value Entry","43 Cost Amount (Actual)","41 Source Type",$C$5,"5 Source no.",$C1735,"4 Item Ledger Entry Type",$C$4,"2 Item No.","@@"&amp;$F1735,"3 Posting Date",J$9)</t>
  </si>
  <si>
    <t>=J1735-L1735</t>
  </si>
  <si>
    <t>=IF(J1735&lt;&gt;0,M1735/J1735,"")</t>
  </si>
  <si>
    <t>=NL("Sum","5802 Value Entry","150 Sales Amount (Expected)","41 Source Type",$C$5,"5 Source No.",$C1735,"4 Item Ledger Entry Type",$C$4,"2 Item No.","@@"&amp;$F1735,"3 Posting Date",O$9)+NL("Sum","5802 Value Entry","17 Sales Amount (Actual)","41 Source Type",$C$5,"5 Source no.",$C1735,"4 Item Ledger Entry Type",$C$4,"2 Item No.","@@"&amp;$F1735,"3 Posting Date",O$9)</t>
  </si>
  <si>
    <t>=-NL("Sum","5802 Value Entry","151 Cost Amount (Expected)","41 Source Type",$C$5,"5 Source No.",$C1735,"4 Item Ledger Entry Type",$C$4,"2 Item No.","@@"&amp;$F1735,"3 Posting Date",O$9)-NL("Sum","5802 Value Entry","43 Cost Amount (Actual)","41 Source Type",$C$5,"5 Source no.",$C1735,"4 Item Ledger Entry Type",$C$4,"2 Item No.","@@"&amp;$F1735,"3 Posting Date",O$9)</t>
  </si>
  <si>
    <t>=O1735-Q1735</t>
  </si>
  <si>
    <t>=IF(O1735&lt;&gt;0,R1735/O1735,"")</t>
  </si>
  <si>
    <t>=NL("Sum","5802 Value Entry","150 Sales Amount (Expected)","41 Source Type",$C$5,"5 Source No.",$C1735,"4 Item Ledger Entry Type",$C$4,"2 Item No.","@@"&amp;$F1735,"3 Posting Date",U$9)+NL("Sum","5802 Value Entry","17 Sales Amount (Actual)","41 Source Type",$C$5,"5 Source no.",$C1735,"4 Item Ledger Entry Type",$C$4,"2 Item No.","@@"&amp;$F1735,"3 Posting Date",U$9)</t>
  </si>
  <si>
    <t>=-NL("Sum","5802 Value Entry","151 Cost Amount (Expected)","41 Source Type",$C$5,"5 Source No.",$C1735,"4 Item Ledger Entry Type",$C$4,"2 Item No.","@@"&amp;$F1735,"3 Posting Date",U$9)-NL("Sum","5802 Value Entry","43 Cost Amount (Actual)","41 Source Type",$C$5,"5 Source no.",$C1735,"4 Item Ledger Entry Type",$C$4,"2 Item No.","@@"&amp;$F1735,"3 Posting Date",U$9)</t>
  </si>
  <si>
    <t>=U1735-W1735</t>
  </si>
  <si>
    <t>=IF(U1735&lt;&gt;0,X1735/U1735,"")</t>
  </si>
  <si>
    <t>=NL("Sum","5802 Value Entry","150 Sales Amount (Expected)","41 Source Type",$C$5,"5 Source No.",$C1735,"4 Item Ledger Entry Type",$C$4,"2 Item No.","@@"&amp;$F1735,"3 Posting Date",Z$9)+NL("Sum","5802 Value Entry","17 Sales Amount (Actual)","41 Source Type",$C$5,"5 Source no.",$C1735,"4 Item Ledger Entry Type",$C$4,"2 Item No.","@@"&amp;$F1735,"3 Posting Date",Z$9)</t>
  </si>
  <si>
    <t>=-NL("Sum","5802 Value Entry","151 Cost Amount (Expected)","41 Source Type",$C$5,"5 Source No.",$C1735,"4 Item Ledger Entry Type",$C$4,"2 Item No.","@@"&amp;$F1735,"3 Posting Date",Z$9)-NL("Sum","5802 Value Entry","43 Cost Amount (Actual)","41 Source Type",$C$5,"5 Source no.",$C1735,"4 Item Ledger Entry Type",$C$4,"2 Item No.","@@"&amp;$F1735,"3 Posting Date",Z$9)</t>
  </si>
  <si>
    <t>=Z1735-AB1735</t>
  </si>
  <si>
    <t>=IF(Z1735&lt;&gt;0,AC1735/Z1735,"")</t>
  </si>
  <si>
    <t>=C1735</t>
  </si>
  <si>
    <t>=NL("Sum","5802 Value Entry","150 Sales Amount (Expected)","41 Source Type",$C$5,"5 Source No.",$C1736,"4 Item Ledger Entry Type",$C$4,"2 Item No.","@@"&amp;$F1736,"3 Posting Date",J$9)+NL("Sum","5802 Value Entry","17 Sales Amount (Actual)","41 Source Type",$C$5,"5 Source no.",$C1736,"4 Item Ledger Entry Type",$C$4,"2 Item No.","@@"&amp;$F1736,"3 Posting Date",J$9)</t>
  </si>
  <si>
    <t>=-NL("Sum","5802 Value Entry","151 Cost Amount (Expected)","41 Source Type",$C$5,"5 Source No.",$C1736,"4 Item Ledger Entry Type",$C$4,"2 Item No.","@@"&amp;$F1736,"3 Posting Date",J$9)-NL("Sum","5802 Value Entry","43 Cost Amount (Actual)","41 Source Type",$C$5,"5 Source no.",$C1736,"4 Item Ledger Entry Type",$C$4,"2 Item No.","@@"&amp;$F1736,"3 Posting Date",J$9)</t>
  </si>
  <si>
    <t>=J1736-L1736</t>
  </si>
  <si>
    <t>=IF(J1736&lt;&gt;0,M1736/J1736,"")</t>
  </si>
  <si>
    <t>=NL("Sum","5802 Value Entry","150 Sales Amount (Expected)","41 Source Type",$C$5,"5 Source No.",$C1736,"4 Item Ledger Entry Type",$C$4,"2 Item No.","@@"&amp;$F1736,"3 Posting Date",O$9)+NL("Sum","5802 Value Entry","17 Sales Amount (Actual)","41 Source Type",$C$5,"5 Source no.",$C1736,"4 Item Ledger Entry Type",$C$4,"2 Item No.","@@"&amp;$F1736,"3 Posting Date",O$9)</t>
  </si>
  <si>
    <t>=-NL("Sum","5802 Value Entry","151 Cost Amount (Expected)","41 Source Type",$C$5,"5 Source No.",$C1736,"4 Item Ledger Entry Type",$C$4,"2 Item No.","@@"&amp;$F1736,"3 Posting Date",O$9)-NL("Sum","5802 Value Entry","43 Cost Amount (Actual)","41 Source Type",$C$5,"5 Source no.",$C1736,"4 Item Ledger Entry Type",$C$4,"2 Item No.","@@"&amp;$F1736,"3 Posting Date",O$9)</t>
  </si>
  <si>
    <t>=O1736-Q1736</t>
  </si>
  <si>
    <t>=IF(O1736&lt;&gt;0,R1736/O1736,"")</t>
  </si>
  <si>
    <t>=NL("Sum","5802 Value Entry","150 Sales Amount (Expected)","41 Source Type",$C$5,"5 Source No.",$C1736,"4 Item Ledger Entry Type",$C$4,"2 Item No.","@@"&amp;$F1736,"3 Posting Date",U$9)+NL("Sum","5802 Value Entry","17 Sales Amount (Actual)","41 Source Type",$C$5,"5 Source no.",$C1736,"4 Item Ledger Entry Type",$C$4,"2 Item No.","@@"&amp;$F1736,"3 Posting Date",U$9)</t>
  </si>
  <si>
    <t>=-NL("Sum","5802 Value Entry","151 Cost Amount (Expected)","41 Source Type",$C$5,"5 Source No.",$C1736,"4 Item Ledger Entry Type",$C$4,"2 Item No.","@@"&amp;$F1736,"3 Posting Date",U$9)-NL("Sum","5802 Value Entry","43 Cost Amount (Actual)","41 Source Type",$C$5,"5 Source no.",$C1736,"4 Item Ledger Entry Type",$C$4,"2 Item No.","@@"&amp;$F1736,"3 Posting Date",U$9)</t>
  </si>
  <si>
    <t>=U1736-W1736</t>
  </si>
  <si>
    <t>=IF(U1736&lt;&gt;0,X1736/U1736,"")</t>
  </si>
  <si>
    <t>=NL("Sum","5802 Value Entry","150 Sales Amount (Expected)","41 Source Type",$C$5,"5 Source No.",$C1736,"4 Item Ledger Entry Type",$C$4,"2 Item No.","@@"&amp;$F1736,"3 Posting Date",Z$9)+NL("Sum","5802 Value Entry","17 Sales Amount (Actual)","41 Source Type",$C$5,"5 Source no.",$C1736,"4 Item Ledger Entry Type",$C$4,"2 Item No.","@@"&amp;$F1736,"3 Posting Date",Z$9)</t>
  </si>
  <si>
    <t>=-NL("Sum","5802 Value Entry","151 Cost Amount (Expected)","41 Source Type",$C$5,"5 Source No.",$C1736,"4 Item Ledger Entry Type",$C$4,"2 Item No.","@@"&amp;$F1736,"3 Posting Date",Z$9)-NL("Sum","5802 Value Entry","43 Cost Amount (Actual)","41 Source Type",$C$5,"5 Source no.",$C1736,"4 Item Ledger Entry Type",$C$4,"2 Item No.","@@"&amp;$F1736,"3 Posting Date",Z$9)</t>
  </si>
  <si>
    <t>=Z1736-AB1736</t>
  </si>
  <si>
    <t>=IF(Z1736&lt;&gt;0,AC1736/Z1736,"")</t>
  </si>
  <si>
    <t>=C1736</t>
  </si>
  <si>
    <t>=NL("Sum","5802 Value Entry","150 Sales Amount (Expected)","41 Source Type",$C$5,"5 Source No.",$C1737,"4 Item Ledger Entry Type",$C$4,"2 Item No.","@@"&amp;$F1737,"3 Posting Date",J$9)+NL("Sum","5802 Value Entry","17 Sales Amount (Actual)","41 Source Type",$C$5,"5 Source no.",$C1737,"4 Item Ledger Entry Type",$C$4,"2 Item No.","@@"&amp;$F1737,"3 Posting Date",J$9)</t>
  </si>
  <si>
    <t>=-NL("Sum","5802 Value Entry","151 Cost Amount (Expected)","41 Source Type",$C$5,"5 Source No.",$C1737,"4 Item Ledger Entry Type",$C$4,"2 Item No.","@@"&amp;$F1737,"3 Posting Date",J$9)-NL("Sum","5802 Value Entry","43 Cost Amount (Actual)","41 Source Type",$C$5,"5 Source no.",$C1737,"4 Item Ledger Entry Type",$C$4,"2 Item No.","@@"&amp;$F1737,"3 Posting Date",J$9)</t>
  </si>
  <si>
    <t>=J1737-L1737</t>
  </si>
  <si>
    <t>=IF(J1737&lt;&gt;0,M1737/J1737,"")</t>
  </si>
  <si>
    <t>=NL("Sum","5802 Value Entry","150 Sales Amount (Expected)","41 Source Type",$C$5,"5 Source No.",$C1737,"4 Item Ledger Entry Type",$C$4,"2 Item No.","@@"&amp;$F1737,"3 Posting Date",O$9)+NL("Sum","5802 Value Entry","17 Sales Amount (Actual)","41 Source Type",$C$5,"5 Source no.",$C1737,"4 Item Ledger Entry Type",$C$4,"2 Item No.","@@"&amp;$F1737,"3 Posting Date",O$9)</t>
  </si>
  <si>
    <t>=-NL("Sum","5802 Value Entry","151 Cost Amount (Expected)","41 Source Type",$C$5,"5 Source No.",$C1737,"4 Item Ledger Entry Type",$C$4,"2 Item No.","@@"&amp;$F1737,"3 Posting Date",O$9)-NL("Sum","5802 Value Entry","43 Cost Amount (Actual)","41 Source Type",$C$5,"5 Source no.",$C1737,"4 Item Ledger Entry Type",$C$4,"2 Item No.","@@"&amp;$F1737,"3 Posting Date",O$9)</t>
  </si>
  <si>
    <t>=O1737-Q1737</t>
  </si>
  <si>
    <t>=IF(O1737&lt;&gt;0,R1737/O1737,"")</t>
  </si>
  <si>
    <t>=NL("Sum","5802 Value Entry","150 Sales Amount (Expected)","41 Source Type",$C$5,"5 Source No.",$C1737,"4 Item Ledger Entry Type",$C$4,"2 Item No.","@@"&amp;$F1737,"3 Posting Date",U$9)+NL("Sum","5802 Value Entry","17 Sales Amount (Actual)","41 Source Type",$C$5,"5 Source no.",$C1737,"4 Item Ledger Entry Type",$C$4,"2 Item No.","@@"&amp;$F1737,"3 Posting Date",U$9)</t>
  </si>
  <si>
    <t>=-NL("Sum","5802 Value Entry","151 Cost Amount (Expected)","41 Source Type",$C$5,"5 Source No.",$C1737,"4 Item Ledger Entry Type",$C$4,"2 Item No.","@@"&amp;$F1737,"3 Posting Date",U$9)-NL("Sum","5802 Value Entry","43 Cost Amount (Actual)","41 Source Type",$C$5,"5 Source no.",$C1737,"4 Item Ledger Entry Type",$C$4,"2 Item No.","@@"&amp;$F1737,"3 Posting Date",U$9)</t>
  </si>
  <si>
    <t>=U1737-W1737</t>
  </si>
  <si>
    <t>=IF(U1737&lt;&gt;0,X1737/U1737,"")</t>
  </si>
  <si>
    <t>=NL("Sum","5802 Value Entry","150 Sales Amount (Expected)","41 Source Type",$C$5,"5 Source No.",$C1737,"4 Item Ledger Entry Type",$C$4,"2 Item No.","@@"&amp;$F1737,"3 Posting Date",Z$9)+NL("Sum","5802 Value Entry","17 Sales Amount (Actual)","41 Source Type",$C$5,"5 Source no.",$C1737,"4 Item Ledger Entry Type",$C$4,"2 Item No.","@@"&amp;$F1737,"3 Posting Date",Z$9)</t>
  </si>
  <si>
    <t>=-NL("Sum","5802 Value Entry","151 Cost Amount (Expected)","41 Source Type",$C$5,"5 Source No.",$C1737,"4 Item Ledger Entry Type",$C$4,"2 Item No.","@@"&amp;$F1737,"3 Posting Date",Z$9)-NL("Sum","5802 Value Entry","43 Cost Amount (Actual)","41 Source Type",$C$5,"5 Source no.",$C1737,"4 Item Ledger Entry Type",$C$4,"2 Item No.","@@"&amp;$F1737,"3 Posting Date",Z$9)</t>
  </si>
  <si>
    <t>=Z1737-AB1737</t>
  </si>
  <si>
    <t>=IF(Z1737&lt;&gt;0,AC1737/Z1737,"")</t>
  </si>
  <si>
    <t>=C1737</t>
  </si>
  <si>
    <t>=NL("Sum","5802 Value Entry","150 Sales Amount (Expected)","41 Source Type",$C$5,"5 Source No.",$C1738,"4 Item Ledger Entry Type",$C$4,"2 Item No.","@@"&amp;$F1738,"3 Posting Date",J$9)+NL("Sum","5802 Value Entry","17 Sales Amount (Actual)","41 Source Type",$C$5,"5 Source no.",$C1738,"4 Item Ledger Entry Type",$C$4,"2 Item No.","@@"&amp;$F1738,"3 Posting Date",J$9)</t>
  </si>
  <si>
    <t>=-NL("Sum","5802 Value Entry","151 Cost Amount (Expected)","41 Source Type",$C$5,"5 Source No.",$C1738,"4 Item Ledger Entry Type",$C$4,"2 Item No.","@@"&amp;$F1738,"3 Posting Date",J$9)-NL("Sum","5802 Value Entry","43 Cost Amount (Actual)","41 Source Type",$C$5,"5 Source no.",$C1738,"4 Item Ledger Entry Type",$C$4,"2 Item No.","@@"&amp;$F1738,"3 Posting Date",J$9)</t>
  </si>
  <si>
    <t>=J1738-L1738</t>
  </si>
  <si>
    <t>=IF(J1738&lt;&gt;0,M1738/J1738,"")</t>
  </si>
  <si>
    <t>=NL("Sum","5802 Value Entry","150 Sales Amount (Expected)","41 Source Type",$C$5,"5 Source No.",$C1738,"4 Item Ledger Entry Type",$C$4,"2 Item No.","@@"&amp;$F1738,"3 Posting Date",O$9)+NL("Sum","5802 Value Entry","17 Sales Amount (Actual)","41 Source Type",$C$5,"5 Source no.",$C1738,"4 Item Ledger Entry Type",$C$4,"2 Item No.","@@"&amp;$F1738,"3 Posting Date",O$9)</t>
  </si>
  <si>
    <t>=-NL("Sum","5802 Value Entry","151 Cost Amount (Expected)","41 Source Type",$C$5,"5 Source No.",$C1738,"4 Item Ledger Entry Type",$C$4,"2 Item No.","@@"&amp;$F1738,"3 Posting Date",O$9)-NL("Sum","5802 Value Entry","43 Cost Amount (Actual)","41 Source Type",$C$5,"5 Source no.",$C1738,"4 Item Ledger Entry Type",$C$4,"2 Item No.","@@"&amp;$F1738,"3 Posting Date",O$9)</t>
  </si>
  <si>
    <t>=O1738-Q1738</t>
  </si>
  <si>
    <t>=IF(O1738&lt;&gt;0,R1738/O1738,"")</t>
  </si>
  <si>
    <t>=NL("Sum","5802 Value Entry","150 Sales Amount (Expected)","41 Source Type",$C$5,"5 Source No.",$C1738,"4 Item Ledger Entry Type",$C$4,"2 Item No.","@@"&amp;$F1738,"3 Posting Date",U$9)+NL("Sum","5802 Value Entry","17 Sales Amount (Actual)","41 Source Type",$C$5,"5 Source no.",$C1738,"4 Item Ledger Entry Type",$C$4,"2 Item No.","@@"&amp;$F1738,"3 Posting Date",U$9)</t>
  </si>
  <si>
    <t>=-NL("Sum","5802 Value Entry","151 Cost Amount (Expected)","41 Source Type",$C$5,"5 Source No.",$C1738,"4 Item Ledger Entry Type",$C$4,"2 Item No.","@@"&amp;$F1738,"3 Posting Date",U$9)-NL("Sum","5802 Value Entry","43 Cost Amount (Actual)","41 Source Type",$C$5,"5 Source no.",$C1738,"4 Item Ledger Entry Type",$C$4,"2 Item No.","@@"&amp;$F1738,"3 Posting Date",U$9)</t>
  </si>
  <si>
    <t>=U1738-W1738</t>
  </si>
  <si>
    <t>=IF(U1738&lt;&gt;0,X1738/U1738,"")</t>
  </si>
  <si>
    <t>=NL("Sum","5802 Value Entry","150 Sales Amount (Expected)","41 Source Type",$C$5,"5 Source No.",$C1738,"4 Item Ledger Entry Type",$C$4,"2 Item No.","@@"&amp;$F1738,"3 Posting Date",Z$9)+NL("Sum","5802 Value Entry","17 Sales Amount (Actual)","41 Source Type",$C$5,"5 Source no.",$C1738,"4 Item Ledger Entry Type",$C$4,"2 Item No.","@@"&amp;$F1738,"3 Posting Date",Z$9)</t>
  </si>
  <si>
    <t>=-NL("Sum","5802 Value Entry","151 Cost Amount (Expected)","41 Source Type",$C$5,"5 Source No.",$C1738,"4 Item Ledger Entry Type",$C$4,"2 Item No.","@@"&amp;$F1738,"3 Posting Date",Z$9)-NL("Sum","5802 Value Entry","43 Cost Amount (Actual)","41 Source Type",$C$5,"5 Source no.",$C1738,"4 Item Ledger Entry Type",$C$4,"2 Item No.","@@"&amp;$F1738,"3 Posting Date",Z$9)</t>
  </si>
  <si>
    <t>=Z1738-AB1738</t>
  </si>
  <si>
    <t>=IF(Z1738&lt;&gt;0,AC1738/Z1738,"")</t>
  </si>
  <si>
    <t>=C1738</t>
  </si>
  <si>
    <t>=NL("Sum","5802 Value Entry","150 Sales Amount (Expected)","41 Source Type",$C$5,"5 Source No.",$C1739,"4 Item Ledger Entry Type",$C$4,"2 Item No.","@@"&amp;$F1739,"3 Posting Date",J$9)+NL("Sum","5802 Value Entry","17 Sales Amount (Actual)","41 Source Type",$C$5,"5 Source no.",$C1739,"4 Item Ledger Entry Type",$C$4,"2 Item No.","@@"&amp;$F1739,"3 Posting Date",J$9)</t>
  </si>
  <si>
    <t>=-NL("Sum","5802 Value Entry","151 Cost Amount (Expected)","41 Source Type",$C$5,"5 Source No.",$C1739,"4 Item Ledger Entry Type",$C$4,"2 Item No.","@@"&amp;$F1739,"3 Posting Date",J$9)-NL("Sum","5802 Value Entry","43 Cost Amount (Actual)","41 Source Type",$C$5,"5 Source no.",$C1739,"4 Item Ledger Entry Type",$C$4,"2 Item No.","@@"&amp;$F1739,"3 Posting Date",J$9)</t>
  </si>
  <si>
    <t>=J1739-L1739</t>
  </si>
  <si>
    <t>=IF(J1739&lt;&gt;0,M1739/J1739,"")</t>
  </si>
  <si>
    <t>=NL("Sum","5802 Value Entry","150 Sales Amount (Expected)","41 Source Type",$C$5,"5 Source No.",$C1739,"4 Item Ledger Entry Type",$C$4,"2 Item No.","@@"&amp;$F1739,"3 Posting Date",O$9)+NL("Sum","5802 Value Entry","17 Sales Amount (Actual)","41 Source Type",$C$5,"5 Source no.",$C1739,"4 Item Ledger Entry Type",$C$4,"2 Item No.","@@"&amp;$F1739,"3 Posting Date",O$9)</t>
  </si>
  <si>
    <t>=-NL("Sum","5802 Value Entry","151 Cost Amount (Expected)","41 Source Type",$C$5,"5 Source No.",$C1739,"4 Item Ledger Entry Type",$C$4,"2 Item No.","@@"&amp;$F1739,"3 Posting Date",O$9)-NL("Sum","5802 Value Entry","43 Cost Amount (Actual)","41 Source Type",$C$5,"5 Source no.",$C1739,"4 Item Ledger Entry Type",$C$4,"2 Item No.","@@"&amp;$F1739,"3 Posting Date",O$9)</t>
  </si>
  <si>
    <t>=O1739-Q1739</t>
  </si>
  <si>
    <t>=IF(O1739&lt;&gt;0,R1739/O1739,"")</t>
  </si>
  <si>
    <t>=NL("Sum","5802 Value Entry","150 Sales Amount (Expected)","41 Source Type",$C$5,"5 Source No.",$C1739,"4 Item Ledger Entry Type",$C$4,"2 Item No.","@@"&amp;$F1739,"3 Posting Date",U$9)+NL("Sum","5802 Value Entry","17 Sales Amount (Actual)","41 Source Type",$C$5,"5 Source no.",$C1739,"4 Item Ledger Entry Type",$C$4,"2 Item No.","@@"&amp;$F1739,"3 Posting Date",U$9)</t>
  </si>
  <si>
    <t>=-NL("Sum","5802 Value Entry","151 Cost Amount (Expected)","41 Source Type",$C$5,"5 Source No.",$C1739,"4 Item Ledger Entry Type",$C$4,"2 Item No.","@@"&amp;$F1739,"3 Posting Date",U$9)-NL("Sum","5802 Value Entry","43 Cost Amount (Actual)","41 Source Type",$C$5,"5 Source no.",$C1739,"4 Item Ledger Entry Type",$C$4,"2 Item No.","@@"&amp;$F1739,"3 Posting Date",U$9)</t>
  </si>
  <si>
    <t>=U1739-W1739</t>
  </si>
  <si>
    <t>=IF(U1739&lt;&gt;0,X1739/U1739,"")</t>
  </si>
  <si>
    <t>=NL("Sum","5802 Value Entry","150 Sales Amount (Expected)","41 Source Type",$C$5,"5 Source No.",$C1739,"4 Item Ledger Entry Type",$C$4,"2 Item No.","@@"&amp;$F1739,"3 Posting Date",Z$9)+NL("Sum","5802 Value Entry","17 Sales Amount (Actual)","41 Source Type",$C$5,"5 Source no.",$C1739,"4 Item Ledger Entry Type",$C$4,"2 Item No.","@@"&amp;$F1739,"3 Posting Date",Z$9)</t>
  </si>
  <si>
    <t>=-NL("Sum","5802 Value Entry","151 Cost Amount (Expected)","41 Source Type",$C$5,"5 Source No.",$C1739,"4 Item Ledger Entry Type",$C$4,"2 Item No.","@@"&amp;$F1739,"3 Posting Date",Z$9)-NL("Sum","5802 Value Entry","43 Cost Amount (Actual)","41 Source Type",$C$5,"5 Source no.",$C1739,"4 Item Ledger Entry Type",$C$4,"2 Item No.","@@"&amp;$F1739,"3 Posting Date",Z$9)</t>
  </si>
  <si>
    <t>=Z1739-AB1739</t>
  </si>
  <si>
    <t>=IF(Z1739&lt;&gt;0,AC1739/Z1739,"")</t>
  </si>
  <si>
    <t>=C1739</t>
  </si>
  <si>
    <t>=NL("Sum","5802 Value Entry","150 Sales Amount (Expected)","41 Source Type",$C$5,"5 Source No.",$C1740,"4 Item Ledger Entry Type",$C$4,"2 Item No.","@@"&amp;$F1740,"3 Posting Date",J$9)+NL("Sum","5802 Value Entry","17 Sales Amount (Actual)","41 Source Type",$C$5,"5 Source no.",$C1740,"4 Item Ledger Entry Type",$C$4,"2 Item No.","@@"&amp;$F1740,"3 Posting Date",J$9)</t>
  </si>
  <si>
    <t>=-NL("Sum","5802 Value Entry","151 Cost Amount (Expected)","41 Source Type",$C$5,"5 Source No.",$C1740,"4 Item Ledger Entry Type",$C$4,"2 Item No.","@@"&amp;$F1740,"3 Posting Date",J$9)-NL("Sum","5802 Value Entry","43 Cost Amount (Actual)","41 Source Type",$C$5,"5 Source no.",$C1740,"4 Item Ledger Entry Type",$C$4,"2 Item No.","@@"&amp;$F1740,"3 Posting Date",J$9)</t>
  </si>
  <si>
    <t>=J1740-L1740</t>
  </si>
  <si>
    <t>=IF(J1740&lt;&gt;0,M1740/J1740,"")</t>
  </si>
  <si>
    <t>=NL("Sum","5802 Value Entry","150 Sales Amount (Expected)","41 Source Type",$C$5,"5 Source No.",$C1740,"4 Item Ledger Entry Type",$C$4,"2 Item No.","@@"&amp;$F1740,"3 Posting Date",O$9)+NL("Sum","5802 Value Entry","17 Sales Amount (Actual)","41 Source Type",$C$5,"5 Source no.",$C1740,"4 Item Ledger Entry Type",$C$4,"2 Item No.","@@"&amp;$F1740,"3 Posting Date",O$9)</t>
  </si>
  <si>
    <t>=-NL("Sum","5802 Value Entry","151 Cost Amount (Expected)","41 Source Type",$C$5,"5 Source No.",$C1740,"4 Item Ledger Entry Type",$C$4,"2 Item No.","@@"&amp;$F1740,"3 Posting Date",O$9)-NL("Sum","5802 Value Entry","43 Cost Amount (Actual)","41 Source Type",$C$5,"5 Source no.",$C1740,"4 Item Ledger Entry Type",$C$4,"2 Item No.","@@"&amp;$F1740,"3 Posting Date",O$9)</t>
  </si>
  <si>
    <t>=O1740-Q1740</t>
  </si>
  <si>
    <t>=IF(O1740&lt;&gt;0,R1740/O1740,"")</t>
  </si>
  <si>
    <t>=NL("Sum","5802 Value Entry","150 Sales Amount (Expected)","41 Source Type",$C$5,"5 Source No.",$C1740,"4 Item Ledger Entry Type",$C$4,"2 Item No.","@@"&amp;$F1740,"3 Posting Date",U$9)+NL("Sum","5802 Value Entry","17 Sales Amount (Actual)","41 Source Type",$C$5,"5 Source no.",$C1740,"4 Item Ledger Entry Type",$C$4,"2 Item No.","@@"&amp;$F1740,"3 Posting Date",U$9)</t>
  </si>
  <si>
    <t>=-NL("Sum","5802 Value Entry","151 Cost Amount (Expected)","41 Source Type",$C$5,"5 Source No.",$C1740,"4 Item Ledger Entry Type",$C$4,"2 Item No.","@@"&amp;$F1740,"3 Posting Date",U$9)-NL("Sum","5802 Value Entry","43 Cost Amount (Actual)","41 Source Type",$C$5,"5 Source no.",$C1740,"4 Item Ledger Entry Type",$C$4,"2 Item No.","@@"&amp;$F1740,"3 Posting Date",U$9)</t>
  </si>
  <si>
    <t>=U1740-W1740</t>
  </si>
  <si>
    <t>=IF(U1740&lt;&gt;0,X1740/U1740,"")</t>
  </si>
  <si>
    <t>=NL("Sum","5802 Value Entry","150 Sales Amount (Expected)","41 Source Type",$C$5,"5 Source No.",$C1740,"4 Item Ledger Entry Type",$C$4,"2 Item No.","@@"&amp;$F1740,"3 Posting Date",Z$9)+NL("Sum","5802 Value Entry","17 Sales Amount (Actual)","41 Source Type",$C$5,"5 Source no.",$C1740,"4 Item Ledger Entry Type",$C$4,"2 Item No.","@@"&amp;$F1740,"3 Posting Date",Z$9)</t>
  </si>
  <si>
    <t>=-NL("Sum","5802 Value Entry","151 Cost Amount (Expected)","41 Source Type",$C$5,"5 Source No.",$C1740,"4 Item Ledger Entry Type",$C$4,"2 Item No.","@@"&amp;$F1740,"3 Posting Date",Z$9)-NL("Sum","5802 Value Entry","43 Cost Amount (Actual)","41 Source Type",$C$5,"5 Source no.",$C1740,"4 Item Ledger Entry Type",$C$4,"2 Item No.","@@"&amp;$F1740,"3 Posting Date",Z$9)</t>
  </si>
  <si>
    <t>=Z1740-AB1740</t>
  </si>
  <si>
    <t>=IF(Z1740&lt;&gt;0,AC1740/Z1740,"")</t>
  </si>
  <si>
    <t>=C1740</t>
  </si>
  <si>
    <t>=NL("Sum","5802 Value Entry","150 Sales Amount (Expected)","41 Source Type",$C$5,"5 Source No.",$C1741,"4 Item Ledger Entry Type",$C$4,"2 Item No.","@@"&amp;$F1741,"3 Posting Date",J$9)+NL("Sum","5802 Value Entry","17 Sales Amount (Actual)","41 Source Type",$C$5,"5 Source no.",$C1741,"4 Item Ledger Entry Type",$C$4,"2 Item No.","@@"&amp;$F1741,"3 Posting Date",J$9)</t>
  </si>
  <si>
    <t>=-NL("Sum","5802 Value Entry","151 Cost Amount (Expected)","41 Source Type",$C$5,"5 Source No.",$C1741,"4 Item Ledger Entry Type",$C$4,"2 Item No.","@@"&amp;$F1741,"3 Posting Date",J$9)-NL("Sum","5802 Value Entry","43 Cost Amount (Actual)","41 Source Type",$C$5,"5 Source no.",$C1741,"4 Item Ledger Entry Type",$C$4,"2 Item No.","@@"&amp;$F1741,"3 Posting Date",J$9)</t>
  </si>
  <si>
    <t>=J1741-L1741</t>
  </si>
  <si>
    <t>=IF(J1741&lt;&gt;0,M1741/J1741,"")</t>
  </si>
  <si>
    <t>=NL("Sum","5802 Value Entry","150 Sales Amount (Expected)","41 Source Type",$C$5,"5 Source No.",$C1741,"4 Item Ledger Entry Type",$C$4,"2 Item No.","@@"&amp;$F1741,"3 Posting Date",O$9)+NL("Sum","5802 Value Entry","17 Sales Amount (Actual)","41 Source Type",$C$5,"5 Source no.",$C1741,"4 Item Ledger Entry Type",$C$4,"2 Item No.","@@"&amp;$F1741,"3 Posting Date",O$9)</t>
  </si>
  <si>
    <t>=-NL("Sum","5802 Value Entry","151 Cost Amount (Expected)","41 Source Type",$C$5,"5 Source No.",$C1741,"4 Item Ledger Entry Type",$C$4,"2 Item No.","@@"&amp;$F1741,"3 Posting Date",O$9)-NL("Sum","5802 Value Entry","43 Cost Amount (Actual)","41 Source Type",$C$5,"5 Source no.",$C1741,"4 Item Ledger Entry Type",$C$4,"2 Item No.","@@"&amp;$F1741,"3 Posting Date",O$9)</t>
  </si>
  <si>
    <t>=O1741-Q1741</t>
  </si>
  <si>
    <t>=IF(O1741&lt;&gt;0,R1741/O1741,"")</t>
  </si>
  <si>
    <t>=NL("Sum","5802 Value Entry","150 Sales Amount (Expected)","41 Source Type",$C$5,"5 Source No.",$C1741,"4 Item Ledger Entry Type",$C$4,"2 Item No.","@@"&amp;$F1741,"3 Posting Date",U$9)+NL("Sum","5802 Value Entry","17 Sales Amount (Actual)","41 Source Type",$C$5,"5 Source no.",$C1741,"4 Item Ledger Entry Type",$C$4,"2 Item No.","@@"&amp;$F1741,"3 Posting Date",U$9)</t>
  </si>
  <si>
    <t>=-NL("Sum","5802 Value Entry","151 Cost Amount (Expected)","41 Source Type",$C$5,"5 Source No.",$C1741,"4 Item Ledger Entry Type",$C$4,"2 Item No.","@@"&amp;$F1741,"3 Posting Date",U$9)-NL("Sum","5802 Value Entry","43 Cost Amount (Actual)","41 Source Type",$C$5,"5 Source no.",$C1741,"4 Item Ledger Entry Type",$C$4,"2 Item No.","@@"&amp;$F1741,"3 Posting Date",U$9)</t>
  </si>
  <si>
    <t>=U1741-W1741</t>
  </si>
  <si>
    <t>=IF(U1741&lt;&gt;0,X1741/U1741,"")</t>
  </si>
  <si>
    <t>=NL("Sum","5802 Value Entry","150 Sales Amount (Expected)","41 Source Type",$C$5,"5 Source No.",$C1741,"4 Item Ledger Entry Type",$C$4,"2 Item No.","@@"&amp;$F1741,"3 Posting Date",Z$9)+NL("Sum","5802 Value Entry","17 Sales Amount (Actual)","41 Source Type",$C$5,"5 Source no.",$C1741,"4 Item Ledger Entry Type",$C$4,"2 Item No.","@@"&amp;$F1741,"3 Posting Date",Z$9)</t>
  </si>
  <si>
    <t>=-NL("Sum","5802 Value Entry","151 Cost Amount (Expected)","41 Source Type",$C$5,"5 Source No.",$C1741,"4 Item Ledger Entry Type",$C$4,"2 Item No.","@@"&amp;$F1741,"3 Posting Date",Z$9)-NL("Sum","5802 Value Entry","43 Cost Amount (Actual)","41 Source Type",$C$5,"5 Source no.",$C1741,"4 Item Ledger Entry Type",$C$4,"2 Item No.","@@"&amp;$F1741,"3 Posting Date",Z$9)</t>
  </si>
  <si>
    <t>=Z1741-AB1741</t>
  </si>
  <si>
    <t>=IF(Z1741&lt;&gt;0,AC1741/Z1741,"")</t>
  </si>
  <si>
    <t>=C1741</t>
  </si>
  <si>
    <t>=NL("Sum","5802 Value Entry","150 Sales Amount (Expected)","41 Source Type",$C$5,"5 Source No.",$C1742,"4 Item Ledger Entry Type",$C$4,"2 Item No.","@@"&amp;$F1742,"3 Posting Date",J$9)+NL("Sum","5802 Value Entry","17 Sales Amount (Actual)","41 Source Type",$C$5,"5 Source no.",$C1742,"4 Item Ledger Entry Type",$C$4,"2 Item No.","@@"&amp;$F1742,"3 Posting Date",J$9)</t>
  </si>
  <si>
    <t>=-NL("Sum","5802 Value Entry","151 Cost Amount (Expected)","41 Source Type",$C$5,"5 Source No.",$C1742,"4 Item Ledger Entry Type",$C$4,"2 Item No.","@@"&amp;$F1742,"3 Posting Date",J$9)-NL("Sum","5802 Value Entry","43 Cost Amount (Actual)","41 Source Type",$C$5,"5 Source no.",$C1742,"4 Item Ledger Entry Type",$C$4,"2 Item No.","@@"&amp;$F1742,"3 Posting Date",J$9)</t>
  </si>
  <si>
    <t>=J1742-L1742</t>
  </si>
  <si>
    <t>=IF(J1742&lt;&gt;0,M1742/J1742,"")</t>
  </si>
  <si>
    <t>=NL("Sum","5802 Value Entry","150 Sales Amount (Expected)","41 Source Type",$C$5,"5 Source No.",$C1742,"4 Item Ledger Entry Type",$C$4,"2 Item No.","@@"&amp;$F1742,"3 Posting Date",O$9)+NL("Sum","5802 Value Entry","17 Sales Amount (Actual)","41 Source Type",$C$5,"5 Source no.",$C1742,"4 Item Ledger Entry Type",$C$4,"2 Item No.","@@"&amp;$F1742,"3 Posting Date",O$9)</t>
  </si>
  <si>
    <t>=-NL("Sum","5802 Value Entry","151 Cost Amount (Expected)","41 Source Type",$C$5,"5 Source No.",$C1742,"4 Item Ledger Entry Type",$C$4,"2 Item No.","@@"&amp;$F1742,"3 Posting Date",O$9)-NL("Sum","5802 Value Entry","43 Cost Amount (Actual)","41 Source Type",$C$5,"5 Source no.",$C1742,"4 Item Ledger Entry Type",$C$4,"2 Item No.","@@"&amp;$F1742,"3 Posting Date",O$9)</t>
  </si>
  <si>
    <t>=O1742-Q1742</t>
  </si>
  <si>
    <t>=IF(O1742&lt;&gt;0,R1742/O1742,"")</t>
  </si>
  <si>
    <t>=NL("Sum","5802 Value Entry","150 Sales Amount (Expected)","41 Source Type",$C$5,"5 Source No.",$C1742,"4 Item Ledger Entry Type",$C$4,"2 Item No.","@@"&amp;$F1742,"3 Posting Date",U$9)+NL("Sum","5802 Value Entry","17 Sales Amount (Actual)","41 Source Type",$C$5,"5 Source no.",$C1742,"4 Item Ledger Entry Type",$C$4,"2 Item No.","@@"&amp;$F1742,"3 Posting Date",U$9)</t>
  </si>
  <si>
    <t>=-NL("Sum","5802 Value Entry","151 Cost Amount (Expected)","41 Source Type",$C$5,"5 Source No.",$C1742,"4 Item Ledger Entry Type",$C$4,"2 Item No.","@@"&amp;$F1742,"3 Posting Date",U$9)-NL("Sum","5802 Value Entry","43 Cost Amount (Actual)","41 Source Type",$C$5,"5 Source no.",$C1742,"4 Item Ledger Entry Type",$C$4,"2 Item No.","@@"&amp;$F1742,"3 Posting Date",U$9)</t>
  </si>
  <si>
    <t>=U1742-W1742</t>
  </si>
  <si>
    <t>=IF(U1742&lt;&gt;0,X1742/U1742,"")</t>
  </si>
  <si>
    <t>=NL("Sum","5802 Value Entry","150 Sales Amount (Expected)","41 Source Type",$C$5,"5 Source No.",$C1742,"4 Item Ledger Entry Type",$C$4,"2 Item No.","@@"&amp;$F1742,"3 Posting Date",Z$9)+NL("Sum","5802 Value Entry","17 Sales Amount (Actual)","41 Source Type",$C$5,"5 Source no.",$C1742,"4 Item Ledger Entry Type",$C$4,"2 Item No.","@@"&amp;$F1742,"3 Posting Date",Z$9)</t>
  </si>
  <si>
    <t>=-NL("Sum","5802 Value Entry","151 Cost Amount (Expected)","41 Source Type",$C$5,"5 Source No.",$C1742,"4 Item Ledger Entry Type",$C$4,"2 Item No.","@@"&amp;$F1742,"3 Posting Date",Z$9)-NL("Sum","5802 Value Entry","43 Cost Amount (Actual)","41 Source Type",$C$5,"5 Source no.",$C1742,"4 Item Ledger Entry Type",$C$4,"2 Item No.","@@"&amp;$F1742,"3 Posting Date",Z$9)</t>
  </si>
  <si>
    <t>=Z1742-AB1742</t>
  </si>
  <si>
    <t>=IF(Z1742&lt;&gt;0,AC1742/Z1742,"")</t>
  </si>
  <si>
    <t>=C1742</t>
  </si>
  <si>
    <t>=NL("Sum","5802 Value Entry","150 Sales Amount (Expected)","41 Source Type",$C$5,"5 Source No.",$C1743,"4 Item Ledger Entry Type",$C$4,"2 Item No.","@@"&amp;$F1743,"3 Posting Date",J$9)+NL("Sum","5802 Value Entry","17 Sales Amount (Actual)","41 Source Type",$C$5,"5 Source no.",$C1743,"4 Item Ledger Entry Type",$C$4,"2 Item No.","@@"&amp;$F1743,"3 Posting Date",J$9)</t>
  </si>
  <si>
    <t>=-NL("Sum","5802 Value Entry","151 Cost Amount (Expected)","41 Source Type",$C$5,"5 Source No.",$C1743,"4 Item Ledger Entry Type",$C$4,"2 Item No.","@@"&amp;$F1743,"3 Posting Date",J$9)-NL("Sum","5802 Value Entry","43 Cost Amount (Actual)","41 Source Type",$C$5,"5 Source no.",$C1743,"4 Item Ledger Entry Type",$C$4,"2 Item No.","@@"&amp;$F1743,"3 Posting Date",J$9)</t>
  </si>
  <si>
    <t>=J1743-L1743</t>
  </si>
  <si>
    <t>=IF(J1743&lt;&gt;0,M1743/J1743,"")</t>
  </si>
  <si>
    <t>=NL("Sum","5802 Value Entry","150 Sales Amount (Expected)","41 Source Type",$C$5,"5 Source No.",$C1743,"4 Item Ledger Entry Type",$C$4,"2 Item No.","@@"&amp;$F1743,"3 Posting Date",O$9)+NL("Sum","5802 Value Entry","17 Sales Amount (Actual)","41 Source Type",$C$5,"5 Source no.",$C1743,"4 Item Ledger Entry Type",$C$4,"2 Item No.","@@"&amp;$F1743,"3 Posting Date",O$9)</t>
  </si>
  <si>
    <t>=-NL("Sum","5802 Value Entry","151 Cost Amount (Expected)","41 Source Type",$C$5,"5 Source No.",$C1743,"4 Item Ledger Entry Type",$C$4,"2 Item No.","@@"&amp;$F1743,"3 Posting Date",O$9)-NL("Sum","5802 Value Entry","43 Cost Amount (Actual)","41 Source Type",$C$5,"5 Source no.",$C1743,"4 Item Ledger Entry Type",$C$4,"2 Item No.","@@"&amp;$F1743,"3 Posting Date",O$9)</t>
  </si>
  <si>
    <t>=O1743-Q1743</t>
  </si>
  <si>
    <t>=IF(O1743&lt;&gt;0,R1743/O1743,"")</t>
  </si>
  <si>
    <t>=NL("Sum","5802 Value Entry","150 Sales Amount (Expected)","41 Source Type",$C$5,"5 Source No.",$C1743,"4 Item Ledger Entry Type",$C$4,"2 Item No.","@@"&amp;$F1743,"3 Posting Date",U$9)+NL("Sum","5802 Value Entry","17 Sales Amount (Actual)","41 Source Type",$C$5,"5 Source no.",$C1743,"4 Item Ledger Entry Type",$C$4,"2 Item No.","@@"&amp;$F1743,"3 Posting Date",U$9)</t>
  </si>
  <si>
    <t>=-NL("Sum","5802 Value Entry","151 Cost Amount (Expected)","41 Source Type",$C$5,"5 Source No.",$C1743,"4 Item Ledger Entry Type",$C$4,"2 Item No.","@@"&amp;$F1743,"3 Posting Date",U$9)-NL("Sum","5802 Value Entry","43 Cost Amount (Actual)","41 Source Type",$C$5,"5 Source no.",$C1743,"4 Item Ledger Entry Type",$C$4,"2 Item No.","@@"&amp;$F1743,"3 Posting Date",U$9)</t>
  </si>
  <si>
    <t>=U1743-W1743</t>
  </si>
  <si>
    <t>=IF(U1743&lt;&gt;0,X1743/U1743,"")</t>
  </si>
  <si>
    <t>=NL("Sum","5802 Value Entry","150 Sales Amount (Expected)","41 Source Type",$C$5,"5 Source No.",$C1743,"4 Item Ledger Entry Type",$C$4,"2 Item No.","@@"&amp;$F1743,"3 Posting Date",Z$9)+NL("Sum","5802 Value Entry","17 Sales Amount (Actual)","41 Source Type",$C$5,"5 Source no.",$C1743,"4 Item Ledger Entry Type",$C$4,"2 Item No.","@@"&amp;$F1743,"3 Posting Date",Z$9)</t>
  </si>
  <si>
    <t>=-NL("Sum","5802 Value Entry","151 Cost Amount (Expected)","41 Source Type",$C$5,"5 Source No.",$C1743,"4 Item Ledger Entry Type",$C$4,"2 Item No.","@@"&amp;$F1743,"3 Posting Date",Z$9)-NL("Sum","5802 Value Entry","43 Cost Amount (Actual)","41 Source Type",$C$5,"5 Source no.",$C1743,"4 Item Ledger Entry Type",$C$4,"2 Item No.","@@"&amp;$F1743,"3 Posting Date",Z$9)</t>
  </si>
  <si>
    <t>=Z1743-AB1743</t>
  </si>
  <si>
    <t>=IF(Z1743&lt;&gt;0,AC1743/Z1743,"")</t>
  </si>
  <si>
    <t>=C1743</t>
  </si>
  <si>
    <t>=NL("Sum","5802 Value Entry","150 Sales Amount (Expected)","41 Source Type",$C$5,"5 Source No.",$C1744,"4 Item Ledger Entry Type",$C$4,"2 Item No.","@@"&amp;$F1744,"3 Posting Date",J$9)+NL("Sum","5802 Value Entry","17 Sales Amount (Actual)","41 Source Type",$C$5,"5 Source no.",$C1744,"4 Item Ledger Entry Type",$C$4,"2 Item No.","@@"&amp;$F1744,"3 Posting Date",J$9)</t>
  </si>
  <si>
    <t>=-NL("Sum","5802 Value Entry","151 Cost Amount (Expected)","41 Source Type",$C$5,"5 Source No.",$C1744,"4 Item Ledger Entry Type",$C$4,"2 Item No.","@@"&amp;$F1744,"3 Posting Date",J$9)-NL("Sum","5802 Value Entry","43 Cost Amount (Actual)","41 Source Type",$C$5,"5 Source no.",$C1744,"4 Item Ledger Entry Type",$C$4,"2 Item No.","@@"&amp;$F1744,"3 Posting Date",J$9)</t>
  </si>
  <si>
    <t>=J1744-L1744</t>
  </si>
  <si>
    <t>=IF(J1744&lt;&gt;0,M1744/J1744,"")</t>
  </si>
  <si>
    <t>=NL("Sum","5802 Value Entry","150 Sales Amount (Expected)","41 Source Type",$C$5,"5 Source No.",$C1744,"4 Item Ledger Entry Type",$C$4,"2 Item No.","@@"&amp;$F1744,"3 Posting Date",O$9)+NL("Sum","5802 Value Entry","17 Sales Amount (Actual)","41 Source Type",$C$5,"5 Source no.",$C1744,"4 Item Ledger Entry Type",$C$4,"2 Item No.","@@"&amp;$F1744,"3 Posting Date",O$9)</t>
  </si>
  <si>
    <t>=-NL("Sum","5802 Value Entry","151 Cost Amount (Expected)","41 Source Type",$C$5,"5 Source No.",$C1744,"4 Item Ledger Entry Type",$C$4,"2 Item No.","@@"&amp;$F1744,"3 Posting Date",O$9)-NL("Sum","5802 Value Entry","43 Cost Amount (Actual)","41 Source Type",$C$5,"5 Source no.",$C1744,"4 Item Ledger Entry Type",$C$4,"2 Item No.","@@"&amp;$F1744,"3 Posting Date",O$9)</t>
  </si>
  <si>
    <t>=O1744-Q1744</t>
  </si>
  <si>
    <t>=IF(O1744&lt;&gt;0,R1744/O1744,"")</t>
  </si>
  <si>
    <t>=NL("Sum","5802 Value Entry","150 Sales Amount (Expected)","41 Source Type",$C$5,"5 Source No.",$C1744,"4 Item Ledger Entry Type",$C$4,"2 Item No.","@@"&amp;$F1744,"3 Posting Date",U$9)+NL("Sum","5802 Value Entry","17 Sales Amount (Actual)","41 Source Type",$C$5,"5 Source no.",$C1744,"4 Item Ledger Entry Type",$C$4,"2 Item No.","@@"&amp;$F1744,"3 Posting Date",U$9)</t>
  </si>
  <si>
    <t>=-NL("Sum","5802 Value Entry","151 Cost Amount (Expected)","41 Source Type",$C$5,"5 Source No.",$C1744,"4 Item Ledger Entry Type",$C$4,"2 Item No.","@@"&amp;$F1744,"3 Posting Date",U$9)-NL("Sum","5802 Value Entry","43 Cost Amount (Actual)","41 Source Type",$C$5,"5 Source no.",$C1744,"4 Item Ledger Entry Type",$C$4,"2 Item No.","@@"&amp;$F1744,"3 Posting Date",U$9)</t>
  </si>
  <si>
    <t>=U1744-W1744</t>
  </si>
  <si>
    <t>=IF(U1744&lt;&gt;0,X1744/U1744,"")</t>
  </si>
  <si>
    <t>=NL("Sum","5802 Value Entry","150 Sales Amount (Expected)","41 Source Type",$C$5,"5 Source No.",$C1744,"4 Item Ledger Entry Type",$C$4,"2 Item No.","@@"&amp;$F1744,"3 Posting Date",Z$9)+NL("Sum","5802 Value Entry","17 Sales Amount (Actual)","41 Source Type",$C$5,"5 Source no.",$C1744,"4 Item Ledger Entry Type",$C$4,"2 Item No.","@@"&amp;$F1744,"3 Posting Date",Z$9)</t>
  </si>
  <si>
    <t>=-NL("Sum","5802 Value Entry","151 Cost Amount (Expected)","41 Source Type",$C$5,"5 Source No.",$C1744,"4 Item Ledger Entry Type",$C$4,"2 Item No.","@@"&amp;$F1744,"3 Posting Date",Z$9)-NL("Sum","5802 Value Entry","43 Cost Amount (Actual)","41 Source Type",$C$5,"5 Source no.",$C1744,"4 Item Ledger Entry Type",$C$4,"2 Item No.","@@"&amp;$F1744,"3 Posting Date",Z$9)</t>
  </si>
  <si>
    <t>=Z1744-AB1744</t>
  </si>
  <si>
    <t>=IF(Z1744&lt;&gt;0,AC1744/Z1744,"")</t>
  </si>
  <si>
    <t>=C1744</t>
  </si>
  <si>
    <t>=NL("Sum","5802 Value Entry","150 Sales Amount (Expected)","41 Source Type",$C$5,"5 Source No.",$C1745,"4 Item Ledger Entry Type",$C$4,"2 Item No.","@@"&amp;$F1745,"3 Posting Date",J$9)+NL("Sum","5802 Value Entry","17 Sales Amount (Actual)","41 Source Type",$C$5,"5 Source no.",$C1745,"4 Item Ledger Entry Type",$C$4,"2 Item No.","@@"&amp;$F1745,"3 Posting Date",J$9)</t>
  </si>
  <si>
    <t>=-NL("Sum","5802 Value Entry","151 Cost Amount (Expected)","41 Source Type",$C$5,"5 Source No.",$C1745,"4 Item Ledger Entry Type",$C$4,"2 Item No.","@@"&amp;$F1745,"3 Posting Date",J$9)-NL("Sum","5802 Value Entry","43 Cost Amount (Actual)","41 Source Type",$C$5,"5 Source no.",$C1745,"4 Item Ledger Entry Type",$C$4,"2 Item No.","@@"&amp;$F1745,"3 Posting Date",J$9)</t>
  </si>
  <si>
    <t>=J1745-L1745</t>
  </si>
  <si>
    <t>=IF(J1745&lt;&gt;0,M1745/J1745,"")</t>
  </si>
  <si>
    <t>=NL("Sum","5802 Value Entry","150 Sales Amount (Expected)","41 Source Type",$C$5,"5 Source No.",$C1745,"4 Item Ledger Entry Type",$C$4,"2 Item No.","@@"&amp;$F1745,"3 Posting Date",O$9)+NL("Sum","5802 Value Entry","17 Sales Amount (Actual)","41 Source Type",$C$5,"5 Source no.",$C1745,"4 Item Ledger Entry Type",$C$4,"2 Item No.","@@"&amp;$F1745,"3 Posting Date",O$9)</t>
  </si>
  <si>
    <t>=-NL("Sum","5802 Value Entry","151 Cost Amount (Expected)","41 Source Type",$C$5,"5 Source No.",$C1745,"4 Item Ledger Entry Type",$C$4,"2 Item No.","@@"&amp;$F1745,"3 Posting Date",O$9)-NL("Sum","5802 Value Entry","43 Cost Amount (Actual)","41 Source Type",$C$5,"5 Source no.",$C1745,"4 Item Ledger Entry Type",$C$4,"2 Item No.","@@"&amp;$F1745,"3 Posting Date",O$9)</t>
  </si>
  <si>
    <t>=O1745-Q1745</t>
  </si>
  <si>
    <t>=IF(O1745&lt;&gt;0,R1745/O1745,"")</t>
  </si>
  <si>
    <t>=NL("Sum","5802 Value Entry","150 Sales Amount (Expected)","41 Source Type",$C$5,"5 Source No.",$C1745,"4 Item Ledger Entry Type",$C$4,"2 Item No.","@@"&amp;$F1745,"3 Posting Date",U$9)+NL("Sum","5802 Value Entry","17 Sales Amount (Actual)","41 Source Type",$C$5,"5 Source no.",$C1745,"4 Item Ledger Entry Type",$C$4,"2 Item No.","@@"&amp;$F1745,"3 Posting Date",U$9)</t>
  </si>
  <si>
    <t>=-NL("Sum","5802 Value Entry","151 Cost Amount (Expected)","41 Source Type",$C$5,"5 Source No.",$C1745,"4 Item Ledger Entry Type",$C$4,"2 Item No.","@@"&amp;$F1745,"3 Posting Date",U$9)-NL("Sum","5802 Value Entry","43 Cost Amount (Actual)","41 Source Type",$C$5,"5 Source no.",$C1745,"4 Item Ledger Entry Type",$C$4,"2 Item No.","@@"&amp;$F1745,"3 Posting Date",U$9)</t>
  </si>
  <si>
    <t>=U1745-W1745</t>
  </si>
  <si>
    <t>=IF(U1745&lt;&gt;0,X1745/U1745,"")</t>
  </si>
  <si>
    <t>=NL("Sum","5802 Value Entry","150 Sales Amount (Expected)","41 Source Type",$C$5,"5 Source No.",$C1745,"4 Item Ledger Entry Type",$C$4,"2 Item No.","@@"&amp;$F1745,"3 Posting Date",Z$9)+NL("Sum","5802 Value Entry","17 Sales Amount (Actual)","41 Source Type",$C$5,"5 Source no.",$C1745,"4 Item Ledger Entry Type",$C$4,"2 Item No.","@@"&amp;$F1745,"3 Posting Date",Z$9)</t>
  </si>
  <si>
    <t>=-NL("Sum","5802 Value Entry","151 Cost Amount (Expected)","41 Source Type",$C$5,"5 Source No.",$C1745,"4 Item Ledger Entry Type",$C$4,"2 Item No.","@@"&amp;$F1745,"3 Posting Date",Z$9)-NL("Sum","5802 Value Entry","43 Cost Amount (Actual)","41 Source Type",$C$5,"5 Source no.",$C1745,"4 Item Ledger Entry Type",$C$4,"2 Item No.","@@"&amp;$F1745,"3 Posting Date",Z$9)</t>
  </si>
  <si>
    <t>=Z1745-AB1745</t>
  </si>
  <si>
    <t>=IF(Z1745&lt;&gt;0,AC1745/Z1745,"")</t>
  </si>
  <si>
    <t>=C1745</t>
  </si>
  <si>
    <t>=NL("Sum","5802 Value Entry","150 Sales Amount (Expected)","41 Source Type",$C$5,"5 Source No.",$C1746,"4 Item Ledger Entry Type",$C$4,"2 Item No.","@@"&amp;$F1746,"3 Posting Date",J$9)+NL("Sum","5802 Value Entry","17 Sales Amount (Actual)","41 Source Type",$C$5,"5 Source no.",$C1746,"4 Item Ledger Entry Type",$C$4,"2 Item No.","@@"&amp;$F1746,"3 Posting Date",J$9)</t>
  </si>
  <si>
    <t>=-NL("Sum","5802 Value Entry","151 Cost Amount (Expected)","41 Source Type",$C$5,"5 Source No.",$C1746,"4 Item Ledger Entry Type",$C$4,"2 Item No.","@@"&amp;$F1746,"3 Posting Date",J$9)-NL("Sum","5802 Value Entry","43 Cost Amount (Actual)","41 Source Type",$C$5,"5 Source no.",$C1746,"4 Item Ledger Entry Type",$C$4,"2 Item No.","@@"&amp;$F1746,"3 Posting Date",J$9)</t>
  </si>
  <si>
    <t>=J1746-L1746</t>
  </si>
  <si>
    <t>=IF(J1746&lt;&gt;0,M1746/J1746,"")</t>
  </si>
  <si>
    <t>=NL("Sum","5802 Value Entry","150 Sales Amount (Expected)","41 Source Type",$C$5,"5 Source No.",$C1746,"4 Item Ledger Entry Type",$C$4,"2 Item No.","@@"&amp;$F1746,"3 Posting Date",O$9)+NL("Sum","5802 Value Entry","17 Sales Amount (Actual)","41 Source Type",$C$5,"5 Source no.",$C1746,"4 Item Ledger Entry Type",$C$4,"2 Item No.","@@"&amp;$F1746,"3 Posting Date",O$9)</t>
  </si>
  <si>
    <t>=-NL("Sum","5802 Value Entry","151 Cost Amount (Expected)","41 Source Type",$C$5,"5 Source No.",$C1746,"4 Item Ledger Entry Type",$C$4,"2 Item No.","@@"&amp;$F1746,"3 Posting Date",O$9)-NL("Sum","5802 Value Entry","43 Cost Amount (Actual)","41 Source Type",$C$5,"5 Source no.",$C1746,"4 Item Ledger Entry Type",$C$4,"2 Item No.","@@"&amp;$F1746,"3 Posting Date",O$9)</t>
  </si>
  <si>
    <t>=O1746-Q1746</t>
  </si>
  <si>
    <t>=IF(O1746&lt;&gt;0,R1746/O1746,"")</t>
  </si>
  <si>
    <t>=NL("Sum","5802 Value Entry","150 Sales Amount (Expected)","41 Source Type",$C$5,"5 Source No.",$C1746,"4 Item Ledger Entry Type",$C$4,"2 Item No.","@@"&amp;$F1746,"3 Posting Date",U$9)+NL("Sum","5802 Value Entry","17 Sales Amount (Actual)","41 Source Type",$C$5,"5 Source no.",$C1746,"4 Item Ledger Entry Type",$C$4,"2 Item No.","@@"&amp;$F1746,"3 Posting Date",U$9)</t>
  </si>
  <si>
    <t>=-NL("Sum","5802 Value Entry","151 Cost Amount (Expected)","41 Source Type",$C$5,"5 Source No.",$C1746,"4 Item Ledger Entry Type",$C$4,"2 Item No.","@@"&amp;$F1746,"3 Posting Date",U$9)-NL("Sum","5802 Value Entry","43 Cost Amount (Actual)","41 Source Type",$C$5,"5 Source no.",$C1746,"4 Item Ledger Entry Type",$C$4,"2 Item No.","@@"&amp;$F1746,"3 Posting Date",U$9)</t>
  </si>
  <si>
    <t>=U1746-W1746</t>
  </si>
  <si>
    <t>=IF(U1746&lt;&gt;0,X1746/U1746,"")</t>
  </si>
  <si>
    <t>=NL("Sum","5802 Value Entry","150 Sales Amount (Expected)","41 Source Type",$C$5,"5 Source No.",$C1746,"4 Item Ledger Entry Type",$C$4,"2 Item No.","@@"&amp;$F1746,"3 Posting Date",Z$9)+NL("Sum","5802 Value Entry","17 Sales Amount (Actual)","41 Source Type",$C$5,"5 Source no.",$C1746,"4 Item Ledger Entry Type",$C$4,"2 Item No.","@@"&amp;$F1746,"3 Posting Date",Z$9)</t>
  </si>
  <si>
    <t>=-NL("Sum","5802 Value Entry","151 Cost Amount (Expected)","41 Source Type",$C$5,"5 Source No.",$C1746,"4 Item Ledger Entry Type",$C$4,"2 Item No.","@@"&amp;$F1746,"3 Posting Date",Z$9)-NL("Sum","5802 Value Entry","43 Cost Amount (Actual)","41 Source Type",$C$5,"5 Source no.",$C1746,"4 Item Ledger Entry Type",$C$4,"2 Item No.","@@"&amp;$F1746,"3 Posting Date",Z$9)</t>
  </si>
  <si>
    <t>=Z1746-AB1746</t>
  </si>
  <si>
    <t>=IF(Z1746&lt;&gt;0,AC1746/Z1746,"")</t>
  </si>
  <si>
    <t>=C1746</t>
  </si>
  <si>
    <t>=NL("Sum","5802 Value Entry","150 Sales Amount (Expected)","41 Source Type",$C$5,"5 Source No.",$C1747,"4 Item Ledger Entry Type",$C$4,"2 Item No.","@@"&amp;$F1747,"3 Posting Date",J$9)+NL("Sum","5802 Value Entry","17 Sales Amount (Actual)","41 Source Type",$C$5,"5 Source no.",$C1747,"4 Item Ledger Entry Type",$C$4,"2 Item No.","@@"&amp;$F1747,"3 Posting Date",J$9)</t>
  </si>
  <si>
    <t>=-NL("Sum","5802 Value Entry","151 Cost Amount (Expected)","41 Source Type",$C$5,"5 Source No.",$C1747,"4 Item Ledger Entry Type",$C$4,"2 Item No.","@@"&amp;$F1747,"3 Posting Date",J$9)-NL("Sum","5802 Value Entry","43 Cost Amount (Actual)","41 Source Type",$C$5,"5 Source no.",$C1747,"4 Item Ledger Entry Type",$C$4,"2 Item No.","@@"&amp;$F1747,"3 Posting Date",J$9)</t>
  </si>
  <si>
    <t>=J1747-L1747</t>
  </si>
  <si>
    <t>=IF(J1747&lt;&gt;0,M1747/J1747,"")</t>
  </si>
  <si>
    <t>=NL("Sum","5802 Value Entry","150 Sales Amount (Expected)","41 Source Type",$C$5,"5 Source No.",$C1747,"4 Item Ledger Entry Type",$C$4,"2 Item No.","@@"&amp;$F1747,"3 Posting Date",O$9)+NL("Sum","5802 Value Entry","17 Sales Amount (Actual)","41 Source Type",$C$5,"5 Source no.",$C1747,"4 Item Ledger Entry Type",$C$4,"2 Item No.","@@"&amp;$F1747,"3 Posting Date",O$9)</t>
  </si>
  <si>
    <t>=-NL("Sum","5802 Value Entry","151 Cost Amount (Expected)","41 Source Type",$C$5,"5 Source No.",$C1747,"4 Item Ledger Entry Type",$C$4,"2 Item No.","@@"&amp;$F1747,"3 Posting Date",O$9)-NL("Sum","5802 Value Entry","43 Cost Amount (Actual)","41 Source Type",$C$5,"5 Source no.",$C1747,"4 Item Ledger Entry Type",$C$4,"2 Item No.","@@"&amp;$F1747,"3 Posting Date",O$9)</t>
  </si>
  <si>
    <t>=O1747-Q1747</t>
  </si>
  <si>
    <t>=IF(O1747&lt;&gt;0,R1747/O1747,"")</t>
  </si>
  <si>
    <t>=NL("Sum","5802 Value Entry","150 Sales Amount (Expected)","41 Source Type",$C$5,"5 Source No.",$C1747,"4 Item Ledger Entry Type",$C$4,"2 Item No.","@@"&amp;$F1747,"3 Posting Date",U$9)+NL("Sum","5802 Value Entry","17 Sales Amount (Actual)","41 Source Type",$C$5,"5 Source no.",$C1747,"4 Item Ledger Entry Type",$C$4,"2 Item No.","@@"&amp;$F1747,"3 Posting Date",U$9)</t>
  </si>
  <si>
    <t>=-NL("Sum","5802 Value Entry","151 Cost Amount (Expected)","41 Source Type",$C$5,"5 Source No.",$C1747,"4 Item Ledger Entry Type",$C$4,"2 Item No.","@@"&amp;$F1747,"3 Posting Date",U$9)-NL("Sum","5802 Value Entry","43 Cost Amount (Actual)","41 Source Type",$C$5,"5 Source no.",$C1747,"4 Item Ledger Entry Type",$C$4,"2 Item No.","@@"&amp;$F1747,"3 Posting Date",U$9)</t>
  </si>
  <si>
    <t>=U1747-W1747</t>
  </si>
  <si>
    <t>=IF(U1747&lt;&gt;0,X1747/U1747,"")</t>
  </si>
  <si>
    <t>=NL("Sum","5802 Value Entry","150 Sales Amount (Expected)","41 Source Type",$C$5,"5 Source No.",$C1747,"4 Item Ledger Entry Type",$C$4,"2 Item No.","@@"&amp;$F1747,"3 Posting Date",Z$9)+NL("Sum","5802 Value Entry","17 Sales Amount (Actual)","41 Source Type",$C$5,"5 Source no.",$C1747,"4 Item Ledger Entry Type",$C$4,"2 Item No.","@@"&amp;$F1747,"3 Posting Date",Z$9)</t>
  </si>
  <si>
    <t>=-NL("Sum","5802 Value Entry","151 Cost Amount (Expected)","41 Source Type",$C$5,"5 Source No.",$C1747,"4 Item Ledger Entry Type",$C$4,"2 Item No.","@@"&amp;$F1747,"3 Posting Date",Z$9)-NL("Sum","5802 Value Entry","43 Cost Amount (Actual)","41 Source Type",$C$5,"5 Source no.",$C1747,"4 Item Ledger Entry Type",$C$4,"2 Item No.","@@"&amp;$F1747,"3 Posting Date",Z$9)</t>
  </si>
  <si>
    <t>=Z1747-AB1747</t>
  </si>
  <si>
    <t>=IF(Z1747&lt;&gt;0,AC1747/Z1747,"")</t>
  </si>
  <si>
    <t>=C1747</t>
  </si>
  <si>
    <t>=NL("Sum","5802 Value Entry","150 Sales Amount (Expected)","41 Source Type",$C$5,"5 Source No.",$C1748,"4 Item Ledger Entry Type",$C$4,"2 Item No.","@@"&amp;$F1748,"3 Posting Date",J$9)+NL("Sum","5802 Value Entry","17 Sales Amount (Actual)","41 Source Type",$C$5,"5 Source no.",$C1748,"4 Item Ledger Entry Type",$C$4,"2 Item No.","@@"&amp;$F1748,"3 Posting Date",J$9)</t>
  </si>
  <si>
    <t>=-NL("Sum","5802 Value Entry","151 Cost Amount (Expected)","41 Source Type",$C$5,"5 Source No.",$C1748,"4 Item Ledger Entry Type",$C$4,"2 Item No.","@@"&amp;$F1748,"3 Posting Date",J$9)-NL("Sum","5802 Value Entry","43 Cost Amount (Actual)","41 Source Type",$C$5,"5 Source no.",$C1748,"4 Item Ledger Entry Type",$C$4,"2 Item No.","@@"&amp;$F1748,"3 Posting Date",J$9)</t>
  </si>
  <si>
    <t>=J1748-L1748</t>
  </si>
  <si>
    <t>=IF(J1748&lt;&gt;0,M1748/J1748,"")</t>
  </si>
  <si>
    <t>=NL("Sum","5802 Value Entry","150 Sales Amount (Expected)","41 Source Type",$C$5,"5 Source No.",$C1748,"4 Item Ledger Entry Type",$C$4,"2 Item No.","@@"&amp;$F1748,"3 Posting Date",O$9)+NL("Sum","5802 Value Entry","17 Sales Amount (Actual)","41 Source Type",$C$5,"5 Source no.",$C1748,"4 Item Ledger Entry Type",$C$4,"2 Item No.","@@"&amp;$F1748,"3 Posting Date",O$9)</t>
  </si>
  <si>
    <t>=-NL("Sum","5802 Value Entry","151 Cost Amount (Expected)","41 Source Type",$C$5,"5 Source No.",$C1748,"4 Item Ledger Entry Type",$C$4,"2 Item No.","@@"&amp;$F1748,"3 Posting Date",O$9)-NL("Sum","5802 Value Entry","43 Cost Amount (Actual)","41 Source Type",$C$5,"5 Source no.",$C1748,"4 Item Ledger Entry Type",$C$4,"2 Item No.","@@"&amp;$F1748,"3 Posting Date",O$9)</t>
  </si>
  <si>
    <t>=O1748-Q1748</t>
  </si>
  <si>
    <t>=IF(O1748&lt;&gt;0,R1748/O1748,"")</t>
  </si>
  <si>
    <t>=NL("Sum","5802 Value Entry","150 Sales Amount (Expected)","41 Source Type",$C$5,"5 Source No.",$C1748,"4 Item Ledger Entry Type",$C$4,"2 Item No.","@@"&amp;$F1748,"3 Posting Date",U$9)+NL("Sum","5802 Value Entry","17 Sales Amount (Actual)","41 Source Type",$C$5,"5 Source no.",$C1748,"4 Item Ledger Entry Type",$C$4,"2 Item No.","@@"&amp;$F1748,"3 Posting Date",U$9)</t>
  </si>
  <si>
    <t>=-NL("Sum","5802 Value Entry","151 Cost Amount (Expected)","41 Source Type",$C$5,"5 Source No.",$C1748,"4 Item Ledger Entry Type",$C$4,"2 Item No.","@@"&amp;$F1748,"3 Posting Date",U$9)-NL("Sum","5802 Value Entry","43 Cost Amount (Actual)","41 Source Type",$C$5,"5 Source no.",$C1748,"4 Item Ledger Entry Type",$C$4,"2 Item No.","@@"&amp;$F1748,"3 Posting Date",U$9)</t>
  </si>
  <si>
    <t>=U1748-W1748</t>
  </si>
  <si>
    <t>=IF(U1748&lt;&gt;0,X1748/U1748,"")</t>
  </si>
  <si>
    <t>=NL("Sum","5802 Value Entry","150 Sales Amount (Expected)","41 Source Type",$C$5,"5 Source No.",$C1748,"4 Item Ledger Entry Type",$C$4,"2 Item No.","@@"&amp;$F1748,"3 Posting Date",Z$9)+NL("Sum","5802 Value Entry","17 Sales Amount (Actual)","41 Source Type",$C$5,"5 Source no.",$C1748,"4 Item Ledger Entry Type",$C$4,"2 Item No.","@@"&amp;$F1748,"3 Posting Date",Z$9)</t>
  </si>
  <si>
    <t>=-NL("Sum","5802 Value Entry","151 Cost Amount (Expected)","41 Source Type",$C$5,"5 Source No.",$C1748,"4 Item Ledger Entry Type",$C$4,"2 Item No.","@@"&amp;$F1748,"3 Posting Date",Z$9)-NL("Sum","5802 Value Entry","43 Cost Amount (Actual)","41 Source Type",$C$5,"5 Source no.",$C1748,"4 Item Ledger Entry Type",$C$4,"2 Item No.","@@"&amp;$F1748,"3 Posting Date",Z$9)</t>
  </si>
  <si>
    <t>=Z1748-AB1748</t>
  </si>
  <si>
    <t>=IF(Z1748&lt;&gt;0,AC1748/Z1748,"")</t>
  </si>
  <si>
    <t>=C1748</t>
  </si>
  <si>
    <t>=NL("Sum","5802 Value Entry","150 Sales Amount (Expected)","41 Source Type",$C$5,"5 Source No.",$C1749,"4 Item Ledger Entry Type",$C$4,"2 Item No.","@@"&amp;$F1749,"3 Posting Date",J$9)+NL("Sum","5802 Value Entry","17 Sales Amount (Actual)","41 Source Type",$C$5,"5 Source no.",$C1749,"4 Item Ledger Entry Type",$C$4,"2 Item No.","@@"&amp;$F1749,"3 Posting Date",J$9)</t>
  </si>
  <si>
    <t>=-NL("Sum","5802 Value Entry","151 Cost Amount (Expected)","41 Source Type",$C$5,"5 Source No.",$C1749,"4 Item Ledger Entry Type",$C$4,"2 Item No.","@@"&amp;$F1749,"3 Posting Date",J$9)-NL("Sum","5802 Value Entry","43 Cost Amount (Actual)","41 Source Type",$C$5,"5 Source no.",$C1749,"4 Item Ledger Entry Type",$C$4,"2 Item No.","@@"&amp;$F1749,"3 Posting Date",J$9)</t>
  </si>
  <si>
    <t>=J1749-L1749</t>
  </si>
  <si>
    <t>=IF(J1749&lt;&gt;0,M1749/J1749,"")</t>
  </si>
  <si>
    <t>=NL("Sum","5802 Value Entry","150 Sales Amount (Expected)","41 Source Type",$C$5,"5 Source No.",$C1749,"4 Item Ledger Entry Type",$C$4,"2 Item No.","@@"&amp;$F1749,"3 Posting Date",O$9)+NL("Sum","5802 Value Entry","17 Sales Amount (Actual)","41 Source Type",$C$5,"5 Source no.",$C1749,"4 Item Ledger Entry Type",$C$4,"2 Item No.","@@"&amp;$F1749,"3 Posting Date",O$9)</t>
  </si>
  <si>
    <t>=-NL("Sum","5802 Value Entry","151 Cost Amount (Expected)","41 Source Type",$C$5,"5 Source No.",$C1749,"4 Item Ledger Entry Type",$C$4,"2 Item No.","@@"&amp;$F1749,"3 Posting Date",O$9)-NL("Sum","5802 Value Entry","43 Cost Amount (Actual)","41 Source Type",$C$5,"5 Source no.",$C1749,"4 Item Ledger Entry Type",$C$4,"2 Item No.","@@"&amp;$F1749,"3 Posting Date",O$9)</t>
  </si>
  <si>
    <t>=O1749-Q1749</t>
  </si>
  <si>
    <t>=IF(O1749&lt;&gt;0,R1749/O1749,"")</t>
  </si>
  <si>
    <t>=NL("Sum","5802 Value Entry","150 Sales Amount (Expected)","41 Source Type",$C$5,"5 Source No.",$C1749,"4 Item Ledger Entry Type",$C$4,"2 Item No.","@@"&amp;$F1749,"3 Posting Date",U$9)+NL("Sum","5802 Value Entry","17 Sales Amount (Actual)","41 Source Type",$C$5,"5 Source no.",$C1749,"4 Item Ledger Entry Type",$C$4,"2 Item No.","@@"&amp;$F1749,"3 Posting Date",U$9)</t>
  </si>
  <si>
    <t>=-NL("Sum","5802 Value Entry","151 Cost Amount (Expected)","41 Source Type",$C$5,"5 Source No.",$C1749,"4 Item Ledger Entry Type",$C$4,"2 Item No.","@@"&amp;$F1749,"3 Posting Date",U$9)-NL("Sum","5802 Value Entry","43 Cost Amount (Actual)","41 Source Type",$C$5,"5 Source no.",$C1749,"4 Item Ledger Entry Type",$C$4,"2 Item No.","@@"&amp;$F1749,"3 Posting Date",U$9)</t>
  </si>
  <si>
    <t>=U1749-W1749</t>
  </si>
  <si>
    <t>=IF(U1749&lt;&gt;0,X1749/U1749,"")</t>
  </si>
  <si>
    <t>=NL("Sum","5802 Value Entry","150 Sales Amount (Expected)","41 Source Type",$C$5,"5 Source No.",$C1749,"4 Item Ledger Entry Type",$C$4,"2 Item No.","@@"&amp;$F1749,"3 Posting Date",Z$9)+NL("Sum","5802 Value Entry","17 Sales Amount (Actual)","41 Source Type",$C$5,"5 Source no.",$C1749,"4 Item Ledger Entry Type",$C$4,"2 Item No.","@@"&amp;$F1749,"3 Posting Date",Z$9)</t>
  </si>
  <si>
    <t>=-NL("Sum","5802 Value Entry","151 Cost Amount (Expected)","41 Source Type",$C$5,"5 Source No.",$C1749,"4 Item Ledger Entry Type",$C$4,"2 Item No.","@@"&amp;$F1749,"3 Posting Date",Z$9)-NL("Sum","5802 Value Entry","43 Cost Amount (Actual)","41 Source Type",$C$5,"5 Source no.",$C1749,"4 Item Ledger Entry Type",$C$4,"2 Item No.","@@"&amp;$F1749,"3 Posting Date",Z$9)</t>
  </si>
  <si>
    <t>=Z1749-AB1749</t>
  </si>
  <si>
    <t>=IF(Z1749&lt;&gt;0,AC1749/Z1749,"")</t>
  </si>
  <si>
    <t>=C1749</t>
  </si>
  <si>
    <t>=NL("Sum","5802 Value Entry","150 Sales Amount (Expected)","41 Source Type",$C$5,"5 Source No.",$C1750,"4 Item Ledger Entry Type",$C$4,"2 Item No.","@@"&amp;$F1750,"3 Posting Date",J$9)+NL("Sum","5802 Value Entry","17 Sales Amount (Actual)","41 Source Type",$C$5,"5 Source no.",$C1750,"4 Item Ledger Entry Type",$C$4,"2 Item No.","@@"&amp;$F1750,"3 Posting Date",J$9)</t>
  </si>
  <si>
    <t>=-NL("Sum","5802 Value Entry","151 Cost Amount (Expected)","41 Source Type",$C$5,"5 Source No.",$C1750,"4 Item Ledger Entry Type",$C$4,"2 Item No.","@@"&amp;$F1750,"3 Posting Date",J$9)-NL("Sum","5802 Value Entry","43 Cost Amount (Actual)","41 Source Type",$C$5,"5 Source no.",$C1750,"4 Item Ledger Entry Type",$C$4,"2 Item No.","@@"&amp;$F1750,"3 Posting Date",J$9)</t>
  </si>
  <si>
    <t>=J1750-L1750</t>
  </si>
  <si>
    <t>=IF(J1750&lt;&gt;0,M1750/J1750,"")</t>
  </si>
  <si>
    <t>=NL("Sum","5802 Value Entry","150 Sales Amount (Expected)","41 Source Type",$C$5,"5 Source No.",$C1750,"4 Item Ledger Entry Type",$C$4,"2 Item No.","@@"&amp;$F1750,"3 Posting Date",O$9)+NL("Sum","5802 Value Entry","17 Sales Amount (Actual)","41 Source Type",$C$5,"5 Source no.",$C1750,"4 Item Ledger Entry Type",$C$4,"2 Item No.","@@"&amp;$F1750,"3 Posting Date",O$9)</t>
  </si>
  <si>
    <t>=-NL("Sum","5802 Value Entry","151 Cost Amount (Expected)","41 Source Type",$C$5,"5 Source No.",$C1750,"4 Item Ledger Entry Type",$C$4,"2 Item No.","@@"&amp;$F1750,"3 Posting Date",O$9)-NL("Sum","5802 Value Entry","43 Cost Amount (Actual)","41 Source Type",$C$5,"5 Source no.",$C1750,"4 Item Ledger Entry Type",$C$4,"2 Item No.","@@"&amp;$F1750,"3 Posting Date",O$9)</t>
  </si>
  <si>
    <t>=O1750-Q1750</t>
  </si>
  <si>
    <t>=IF(O1750&lt;&gt;0,R1750/O1750,"")</t>
  </si>
  <si>
    <t>=NL("Sum","5802 Value Entry","150 Sales Amount (Expected)","41 Source Type",$C$5,"5 Source No.",$C1750,"4 Item Ledger Entry Type",$C$4,"2 Item No.","@@"&amp;$F1750,"3 Posting Date",U$9)+NL("Sum","5802 Value Entry","17 Sales Amount (Actual)","41 Source Type",$C$5,"5 Source no.",$C1750,"4 Item Ledger Entry Type",$C$4,"2 Item No.","@@"&amp;$F1750,"3 Posting Date",U$9)</t>
  </si>
  <si>
    <t>=-NL("Sum","5802 Value Entry","151 Cost Amount (Expected)","41 Source Type",$C$5,"5 Source No.",$C1750,"4 Item Ledger Entry Type",$C$4,"2 Item No.","@@"&amp;$F1750,"3 Posting Date",U$9)-NL("Sum","5802 Value Entry","43 Cost Amount (Actual)","41 Source Type",$C$5,"5 Source no.",$C1750,"4 Item Ledger Entry Type",$C$4,"2 Item No.","@@"&amp;$F1750,"3 Posting Date",U$9)</t>
  </si>
  <si>
    <t>=U1750-W1750</t>
  </si>
  <si>
    <t>=IF(U1750&lt;&gt;0,X1750/U1750,"")</t>
  </si>
  <si>
    <t>=NL("Sum","5802 Value Entry","150 Sales Amount (Expected)","41 Source Type",$C$5,"5 Source No.",$C1750,"4 Item Ledger Entry Type",$C$4,"2 Item No.","@@"&amp;$F1750,"3 Posting Date",Z$9)+NL("Sum","5802 Value Entry","17 Sales Amount (Actual)","41 Source Type",$C$5,"5 Source no.",$C1750,"4 Item Ledger Entry Type",$C$4,"2 Item No.","@@"&amp;$F1750,"3 Posting Date",Z$9)</t>
  </si>
  <si>
    <t>=-NL("Sum","5802 Value Entry","151 Cost Amount (Expected)","41 Source Type",$C$5,"5 Source No.",$C1750,"4 Item Ledger Entry Type",$C$4,"2 Item No.","@@"&amp;$F1750,"3 Posting Date",Z$9)-NL("Sum","5802 Value Entry","43 Cost Amount (Actual)","41 Source Type",$C$5,"5 Source no.",$C1750,"4 Item Ledger Entry Type",$C$4,"2 Item No.","@@"&amp;$F1750,"3 Posting Date",Z$9)</t>
  </si>
  <si>
    <t>=Z1750-AB1750</t>
  </si>
  <si>
    <t>=IF(Z1750&lt;&gt;0,AC1750/Z1750,"")</t>
  </si>
  <si>
    <t>=C1750</t>
  </si>
  <si>
    <t>=NL("Sum","5802 Value Entry","150 Sales Amount (Expected)","41 Source Type",$C$5,"5 Source No.",$C1751,"4 Item Ledger Entry Type",$C$4,"2 Item No.","@@"&amp;$F1751,"3 Posting Date",J$9)+NL("Sum","5802 Value Entry","17 Sales Amount (Actual)","41 Source Type",$C$5,"5 Source no.",$C1751,"4 Item Ledger Entry Type",$C$4,"2 Item No.","@@"&amp;$F1751,"3 Posting Date",J$9)</t>
  </si>
  <si>
    <t>=-NL("Sum","5802 Value Entry","151 Cost Amount (Expected)","41 Source Type",$C$5,"5 Source No.",$C1751,"4 Item Ledger Entry Type",$C$4,"2 Item No.","@@"&amp;$F1751,"3 Posting Date",J$9)-NL("Sum","5802 Value Entry","43 Cost Amount (Actual)","41 Source Type",$C$5,"5 Source no.",$C1751,"4 Item Ledger Entry Type",$C$4,"2 Item No.","@@"&amp;$F1751,"3 Posting Date",J$9)</t>
  </si>
  <si>
    <t>=J1751-L1751</t>
  </si>
  <si>
    <t>=IF(J1751&lt;&gt;0,M1751/J1751,"")</t>
  </si>
  <si>
    <t>=NL("Sum","5802 Value Entry","150 Sales Amount (Expected)","41 Source Type",$C$5,"5 Source No.",$C1751,"4 Item Ledger Entry Type",$C$4,"2 Item No.","@@"&amp;$F1751,"3 Posting Date",O$9)+NL("Sum","5802 Value Entry","17 Sales Amount (Actual)","41 Source Type",$C$5,"5 Source no.",$C1751,"4 Item Ledger Entry Type",$C$4,"2 Item No.","@@"&amp;$F1751,"3 Posting Date",O$9)</t>
  </si>
  <si>
    <t>=-NL("Sum","5802 Value Entry","151 Cost Amount (Expected)","41 Source Type",$C$5,"5 Source No.",$C1751,"4 Item Ledger Entry Type",$C$4,"2 Item No.","@@"&amp;$F1751,"3 Posting Date",O$9)-NL("Sum","5802 Value Entry","43 Cost Amount (Actual)","41 Source Type",$C$5,"5 Source no.",$C1751,"4 Item Ledger Entry Type",$C$4,"2 Item No.","@@"&amp;$F1751,"3 Posting Date",O$9)</t>
  </si>
  <si>
    <t>=O1751-Q1751</t>
  </si>
  <si>
    <t>=IF(O1751&lt;&gt;0,R1751/O1751,"")</t>
  </si>
  <si>
    <t>=NL("Sum","5802 Value Entry","150 Sales Amount (Expected)","41 Source Type",$C$5,"5 Source No.",$C1751,"4 Item Ledger Entry Type",$C$4,"2 Item No.","@@"&amp;$F1751,"3 Posting Date",U$9)+NL("Sum","5802 Value Entry","17 Sales Amount (Actual)","41 Source Type",$C$5,"5 Source no.",$C1751,"4 Item Ledger Entry Type",$C$4,"2 Item No.","@@"&amp;$F1751,"3 Posting Date",U$9)</t>
  </si>
  <si>
    <t>=-NL("Sum","5802 Value Entry","151 Cost Amount (Expected)","41 Source Type",$C$5,"5 Source No.",$C1751,"4 Item Ledger Entry Type",$C$4,"2 Item No.","@@"&amp;$F1751,"3 Posting Date",U$9)-NL("Sum","5802 Value Entry","43 Cost Amount (Actual)","41 Source Type",$C$5,"5 Source no.",$C1751,"4 Item Ledger Entry Type",$C$4,"2 Item No.","@@"&amp;$F1751,"3 Posting Date",U$9)</t>
  </si>
  <si>
    <t>=U1751-W1751</t>
  </si>
  <si>
    <t>=IF(U1751&lt;&gt;0,X1751/U1751,"")</t>
  </si>
  <si>
    <t>=NL("Sum","5802 Value Entry","150 Sales Amount (Expected)","41 Source Type",$C$5,"5 Source No.",$C1751,"4 Item Ledger Entry Type",$C$4,"2 Item No.","@@"&amp;$F1751,"3 Posting Date",Z$9)+NL("Sum","5802 Value Entry","17 Sales Amount (Actual)","41 Source Type",$C$5,"5 Source no.",$C1751,"4 Item Ledger Entry Type",$C$4,"2 Item No.","@@"&amp;$F1751,"3 Posting Date",Z$9)</t>
  </si>
  <si>
    <t>=-NL("Sum","5802 Value Entry","151 Cost Amount (Expected)","41 Source Type",$C$5,"5 Source No.",$C1751,"4 Item Ledger Entry Type",$C$4,"2 Item No.","@@"&amp;$F1751,"3 Posting Date",Z$9)-NL("Sum","5802 Value Entry","43 Cost Amount (Actual)","41 Source Type",$C$5,"5 Source no.",$C1751,"4 Item Ledger Entry Type",$C$4,"2 Item No.","@@"&amp;$F1751,"3 Posting Date",Z$9)</t>
  </si>
  <si>
    <t>=Z1751-AB1751</t>
  </si>
  <si>
    <t>=IF(Z1751&lt;&gt;0,AC1751/Z1751,"")</t>
  </si>
  <si>
    <t>=C1751</t>
  </si>
  <si>
    <t>=NL("Sum","5802 Value Entry","150 Sales Amount (Expected)","41 Source Type",$C$5,"5 Source No.",$C1752,"4 Item Ledger Entry Type",$C$4,"2 Item No.","@@"&amp;$F1752,"3 Posting Date",J$9)+NL("Sum","5802 Value Entry","17 Sales Amount (Actual)","41 Source Type",$C$5,"5 Source no.",$C1752,"4 Item Ledger Entry Type",$C$4,"2 Item No.","@@"&amp;$F1752,"3 Posting Date",J$9)</t>
  </si>
  <si>
    <t>=-NL("Sum","5802 Value Entry","151 Cost Amount (Expected)","41 Source Type",$C$5,"5 Source No.",$C1752,"4 Item Ledger Entry Type",$C$4,"2 Item No.","@@"&amp;$F1752,"3 Posting Date",J$9)-NL("Sum","5802 Value Entry","43 Cost Amount (Actual)","41 Source Type",$C$5,"5 Source no.",$C1752,"4 Item Ledger Entry Type",$C$4,"2 Item No.","@@"&amp;$F1752,"3 Posting Date",J$9)</t>
  </si>
  <si>
    <t>=J1752-L1752</t>
  </si>
  <si>
    <t>=IF(J1752&lt;&gt;0,M1752/J1752,"")</t>
  </si>
  <si>
    <t>=NL("Sum","5802 Value Entry","150 Sales Amount (Expected)","41 Source Type",$C$5,"5 Source No.",$C1752,"4 Item Ledger Entry Type",$C$4,"2 Item No.","@@"&amp;$F1752,"3 Posting Date",O$9)+NL("Sum","5802 Value Entry","17 Sales Amount (Actual)","41 Source Type",$C$5,"5 Source no.",$C1752,"4 Item Ledger Entry Type",$C$4,"2 Item No.","@@"&amp;$F1752,"3 Posting Date",O$9)</t>
  </si>
  <si>
    <t>=-NL("Sum","5802 Value Entry","151 Cost Amount (Expected)","41 Source Type",$C$5,"5 Source No.",$C1752,"4 Item Ledger Entry Type",$C$4,"2 Item No.","@@"&amp;$F1752,"3 Posting Date",O$9)-NL("Sum","5802 Value Entry","43 Cost Amount (Actual)","41 Source Type",$C$5,"5 Source no.",$C1752,"4 Item Ledger Entry Type",$C$4,"2 Item No.","@@"&amp;$F1752,"3 Posting Date",O$9)</t>
  </si>
  <si>
    <t>=O1752-Q1752</t>
  </si>
  <si>
    <t>=IF(O1752&lt;&gt;0,R1752/O1752,"")</t>
  </si>
  <si>
    <t>=NL("Sum","5802 Value Entry","150 Sales Amount (Expected)","41 Source Type",$C$5,"5 Source No.",$C1752,"4 Item Ledger Entry Type",$C$4,"2 Item No.","@@"&amp;$F1752,"3 Posting Date",U$9)+NL("Sum","5802 Value Entry","17 Sales Amount (Actual)","41 Source Type",$C$5,"5 Source no.",$C1752,"4 Item Ledger Entry Type",$C$4,"2 Item No.","@@"&amp;$F1752,"3 Posting Date",U$9)</t>
  </si>
  <si>
    <t>=-NL("Sum","5802 Value Entry","151 Cost Amount (Expected)","41 Source Type",$C$5,"5 Source No.",$C1752,"4 Item Ledger Entry Type",$C$4,"2 Item No.","@@"&amp;$F1752,"3 Posting Date",U$9)-NL("Sum","5802 Value Entry","43 Cost Amount (Actual)","41 Source Type",$C$5,"5 Source no.",$C1752,"4 Item Ledger Entry Type",$C$4,"2 Item No.","@@"&amp;$F1752,"3 Posting Date",U$9)</t>
  </si>
  <si>
    <t>=U1752-W1752</t>
  </si>
  <si>
    <t>=IF(U1752&lt;&gt;0,X1752/U1752,"")</t>
  </si>
  <si>
    <t>=NL("Sum","5802 Value Entry","150 Sales Amount (Expected)","41 Source Type",$C$5,"5 Source No.",$C1752,"4 Item Ledger Entry Type",$C$4,"2 Item No.","@@"&amp;$F1752,"3 Posting Date",Z$9)+NL("Sum","5802 Value Entry","17 Sales Amount (Actual)","41 Source Type",$C$5,"5 Source no.",$C1752,"4 Item Ledger Entry Type",$C$4,"2 Item No.","@@"&amp;$F1752,"3 Posting Date",Z$9)</t>
  </si>
  <si>
    <t>=-NL("Sum","5802 Value Entry","151 Cost Amount (Expected)","41 Source Type",$C$5,"5 Source No.",$C1752,"4 Item Ledger Entry Type",$C$4,"2 Item No.","@@"&amp;$F1752,"3 Posting Date",Z$9)-NL("Sum","5802 Value Entry","43 Cost Amount (Actual)","41 Source Type",$C$5,"5 Source no.",$C1752,"4 Item Ledger Entry Type",$C$4,"2 Item No.","@@"&amp;$F1752,"3 Posting Date",Z$9)</t>
  </si>
  <si>
    <t>=Z1752-AB1752</t>
  </si>
  <si>
    <t>=IF(Z1752&lt;&gt;0,AC1752/Z1752,"")</t>
  </si>
  <si>
    <t>=C1752</t>
  </si>
  <si>
    <t>=NL("Sum","5802 Value Entry","150 Sales Amount (Expected)","41 Source Type",$C$5,"5 Source No.",$C1753,"4 Item Ledger Entry Type",$C$4,"2 Item No.","@@"&amp;$F1753,"3 Posting Date",J$9)+NL("Sum","5802 Value Entry","17 Sales Amount (Actual)","41 Source Type",$C$5,"5 Source no.",$C1753,"4 Item Ledger Entry Type",$C$4,"2 Item No.","@@"&amp;$F1753,"3 Posting Date",J$9)</t>
  </si>
  <si>
    <t>=-NL("Sum","5802 Value Entry","151 Cost Amount (Expected)","41 Source Type",$C$5,"5 Source No.",$C1753,"4 Item Ledger Entry Type",$C$4,"2 Item No.","@@"&amp;$F1753,"3 Posting Date",J$9)-NL("Sum","5802 Value Entry","43 Cost Amount (Actual)","41 Source Type",$C$5,"5 Source no.",$C1753,"4 Item Ledger Entry Type",$C$4,"2 Item No.","@@"&amp;$F1753,"3 Posting Date",J$9)</t>
  </si>
  <si>
    <t>=J1753-L1753</t>
  </si>
  <si>
    <t>=IF(J1753&lt;&gt;0,M1753/J1753,"")</t>
  </si>
  <si>
    <t>=NL("Sum","5802 Value Entry","150 Sales Amount (Expected)","41 Source Type",$C$5,"5 Source No.",$C1753,"4 Item Ledger Entry Type",$C$4,"2 Item No.","@@"&amp;$F1753,"3 Posting Date",O$9)+NL("Sum","5802 Value Entry","17 Sales Amount (Actual)","41 Source Type",$C$5,"5 Source no.",$C1753,"4 Item Ledger Entry Type",$C$4,"2 Item No.","@@"&amp;$F1753,"3 Posting Date",O$9)</t>
  </si>
  <si>
    <t>=-NL("Sum","5802 Value Entry","151 Cost Amount (Expected)","41 Source Type",$C$5,"5 Source No.",$C1753,"4 Item Ledger Entry Type",$C$4,"2 Item No.","@@"&amp;$F1753,"3 Posting Date",O$9)-NL("Sum","5802 Value Entry","43 Cost Amount (Actual)","41 Source Type",$C$5,"5 Source no.",$C1753,"4 Item Ledger Entry Type",$C$4,"2 Item No.","@@"&amp;$F1753,"3 Posting Date",O$9)</t>
  </si>
  <si>
    <t>=O1753-Q1753</t>
  </si>
  <si>
    <t>=IF(O1753&lt;&gt;0,R1753/O1753,"")</t>
  </si>
  <si>
    <t>=NL("Sum","5802 Value Entry","150 Sales Amount (Expected)","41 Source Type",$C$5,"5 Source No.",$C1753,"4 Item Ledger Entry Type",$C$4,"2 Item No.","@@"&amp;$F1753,"3 Posting Date",U$9)+NL("Sum","5802 Value Entry","17 Sales Amount (Actual)","41 Source Type",$C$5,"5 Source no.",$C1753,"4 Item Ledger Entry Type",$C$4,"2 Item No.","@@"&amp;$F1753,"3 Posting Date",U$9)</t>
  </si>
  <si>
    <t>=-NL("Sum","5802 Value Entry","151 Cost Amount (Expected)","41 Source Type",$C$5,"5 Source No.",$C1753,"4 Item Ledger Entry Type",$C$4,"2 Item No.","@@"&amp;$F1753,"3 Posting Date",U$9)-NL("Sum","5802 Value Entry","43 Cost Amount (Actual)","41 Source Type",$C$5,"5 Source no.",$C1753,"4 Item Ledger Entry Type",$C$4,"2 Item No.","@@"&amp;$F1753,"3 Posting Date",U$9)</t>
  </si>
  <si>
    <t>=U1753-W1753</t>
  </si>
  <si>
    <t>=IF(U1753&lt;&gt;0,X1753/U1753,"")</t>
  </si>
  <si>
    <t>=NL("Sum","5802 Value Entry","150 Sales Amount (Expected)","41 Source Type",$C$5,"5 Source No.",$C1753,"4 Item Ledger Entry Type",$C$4,"2 Item No.","@@"&amp;$F1753,"3 Posting Date",Z$9)+NL("Sum","5802 Value Entry","17 Sales Amount (Actual)","41 Source Type",$C$5,"5 Source no.",$C1753,"4 Item Ledger Entry Type",$C$4,"2 Item No.","@@"&amp;$F1753,"3 Posting Date",Z$9)</t>
  </si>
  <si>
    <t>=-NL("Sum","5802 Value Entry","151 Cost Amount (Expected)","41 Source Type",$C$5,"5 Source No.",$C1753,"4 Item Ledger Entry Type",$C$4,"2 Item No.","@@"&amp;$F1753,"3 Posting Date",Z$9)-NL("Sum","5802 Value Entry","43 Cost Amount (Actual)","41 Source Type",$C$5,"5 Source no.",$C1753,"4 Item Ledger Entry Type",$C$4,"2 Item No.","@@"&amp;$F1753,"3 Posting Date",Z$9)</t>
  </si>
  <si>
    <t>=Z1753-AB1753</t>
  </si>
  <si>
    <t>=IF(Z1753&lt;&gt;0,AC1753/Z1753,"")</t>
  </si>
  <si>
    <t>=C1753</t>
  </si>
  <si>
    <t>=NL("Sum","5802 Value Entry","150 Sales Amount (Expected)","41 Source Type",$C$5,"5 Source No.",$C1754,"4 Item Ledger Entry Type",$C$4,"2 Item No.","@@"&amp;$F1754,"3 Posting Date",J$9)+NL("Sum","5802 Value Entry","17 Sales Amount (Actual)","41 Source Type",$C$5,"5 Source no.",$C1754,"4 Item Ledger Entry Type",$C$4,"2 Item No.","@@"&amp;$F1754,"3 Posting Date",J$9)</t>
  </si>
  <si>
    <t>=-NL("Sum","5802 Value Entry","151 Cost Amount (Expected)","41 Source Type",$C$5,"5 Source No.",$C1754,"4 Item Ledger Entry Type",$C$4,"2 Item No.","@@"&amp;$F1754,"3 Posting Date",J$9)-NL("Sum","5802 Value Entry","43 Cost Amount (Actual)","41 Source Type",$C$5,"5 Source no.",$C1754,"4 Item Ledger Entry Type",$C$4,"2 Item No.","@@"&amp;$F1754,"3 Posting Date",J$9)</t>
  </si>
  <si>
    <t>=J1754-L1754</t>
  </si>
  <si>
    <t>=IF(J1754&lt;&gt;0,M1754/J1754,"")</t>
  </si>
  <si>
    <t>=NL("Sum","5802 Value Entry","150 Sales Amount (Expected)","41 Source Type",$C$5,"5 Source No.",$C1754,"4 Item Ledger Entry Type",$C$4,"2 Item No.","@@"&amp;$F1754,"3 Posting Date",O$9)+NL("Sum","5802 Value Entry","17 Sales Amount (Actual)","41 Source Type",$C$5,"5 Source no.",$C1754,"4 Item Ledger Entry Type",$C$4,"2 Item No.","@@"&amp;$F1754,"3 Posting Date",O$9)</t>
  </si>
  <si>
    <t>=-NL("Sum","5802 Value Entry","151 Cost Amount (Expected)","41 Source Type",$C$5,"5 Source No.",$C1754,"4 Item Ledger Entry Type",$C$4,"2 Item No.","@@"&amp;$F1754,"3 Posting Date",O$9)-NL("Sum","5802 Value Entry","43 Cost Amount (Actual)","41 Source Type",$C$5,"5 Source no.",$C1754,"4 Item Ledger Entry Type",$C$4,"2 Item No.","@@"&amp;$F1754,"3 Posting Date",O$9)</t>
  </si>
  <si>
    <t>=O1754-Q1754</t>
  </si>
  <si>
    <t>=IF(O1754&lt;&gt;0,R1754/O1754,"")</t>
  </si>
  <si>
    <t>=NL("Sum","5802 Value Entry","150 Sales Amount (Expected)","41 Source Type",$C$5,"5 Source No.",$C1754,"4 Item Ledger Entry Type",$C$4,"2 Item No.","@@"&amp;$F1754,"3 Posting Date",U$9)+NL("Sum","5802 Value Entry","17 Sales Amount (Actual)","41 Source Type",$C$5,"5 Source no.",$C1754,"4 Item Ledger Entry Type",$C$4,"2 Item No.","@@"&amp;$F1754,"3 Posting Date",U$9)</t>
  </si>
  <si>
    <t>=-NL("Sum","5802 Value Entry","151 Cost Amount (Expected)","41 Source Type",$C$5,"5 Source No.",$C1754,"4 Item Ledger Entry Type",$C$4,"2 Item No.","@@"&amp;$F1754,"3 Posting Date",U$9)-NL("Sum","5802 Value Entry","43 Cost Amount (Actual)","41 Source Type",$C$5,"5 Source no.",$C1754,"4 Item Ledger Entry Type",$C$4,"2 Item No.","@@"&amp;$F1754,"3 Posting Date",U$9)</t>
  </si>
  <si>
    <t>=U1754-W1754</t>
  </si>
  <si>
    <t>=IF(U1754&lt;&gt;0,X1754/U1754,"")</t>
  </si>
  <si>
    <t>=NL("Sum","5802 Value Entry","150 Sales Amount (Expected)","41 Source Type",$C$5,"5 Source No.",$C1754,"4 Item Ledger Entry Type",$C$4,"2 Item No.","@@"&amp;$F1754,"3 Posting Date",Z$9)+NL("Sum","5802 Value Entry","17 Sales Amount (Actual)","41 Source Type",$C$5,"5 Source no.",$C1754,"4 Item Ledger Entry Type",$C$4,"2 Item No.","@@"&amp;$F1754,"3 Posting Date",Z$9)</t>
  </si>
  <si>
    <t>=-NL("Sum","5802 Value Entry","151 Cost Amount (Expected)","41 Source Type",$C$5,"5 Source No.",$C1754,"4 Item Ledger Entry Type",$C$4,"2 Item No.","@@"&amp;$F1754,"3 Posting Date",Z$9)-NL("Sum","5802 Value Entry","43 Cost Amount (Actual)","41 Source Type",$C$5,"5 Source no.",$C1754,"4 Item Ledger Entry Type",$C$4,"2 Item No.","@@"&amp;$F1754,"3 Posting Date",Z$9)</t>
  </si>
  <si>
    <t>=Z1754-AB1754</t>
  </si>
  <si>
    <t>=IF(Z1754&lt;&gt;0,AC1754/Z1754,"")</t>
  </si>
  <si>
    <t>=C1754</t>
  </si>
  <si>
    <t>=NL("Sum","5802 Value Entry","150 Sales Amount (Expected)","41 Source Type",$C$5,"5 Source No.",$C1755,"4 Item Ledger Entry Type",$C$4,"2 Item No.","@@"&amp;$F1755,"3 Posting Date",J$9)+NL("Sum","5802 Value Entry","17 Sales Amount (Actual)","41 Source Type",$C$5,"5 Source no.",$C1755,"4 Item Ledger Entry Type",$C$4,"2 Item No.","@@"&amp;$F1755,"3 Posting Date",J$9)</t>
  </si>
  <si>
    <t>=-NL("Sum","5802 Value Entry","151 Cost Amount (Expected)","41 Source Type",$C$5,"5 Source No.",$C1755,"4 Item Ledger Entry Type",$C$4,"2 Item No.","@@"&amp;$F1755,"3 Posting Date",J$9)-NL("Sum","5802 Value Entry","43 Cost Amount (Actual)","41 Source Type",$C$5,"5 Source no.",$C1755,"4 Item Ledger Entry Type",$C$4,"2 Item No.","@@"&amp;$F1755,"3 Posting Date",J$9)</t>
  </si>
  <si>
    <t>=J1755-L1755</t>
  </si>
  <si>
    <t>=IF(J1755&lt;&gt;0,M1755/J1755,"")</t>
  </si>
  <si>
    <t>=NL("Sum","5802 Value Entry","150 Sales Amount (Expected)","41 Source Type",$C$5,"5 Source No.",$C1755,"4 Item Ledger Entry Type",$C$4,"2 Item No.","@@"&amp;$F1755,"3 Posting Date",O$9)+NL("Sum","5802 Value Entry","17 Sales Amount (Actual)","41 Source Type",$C$5,"5 Source no.",$C1755,"4 Item Ledger Entry Type",$C$4,"2 Item No.","@@"&amp;$F1755,"3 Posting Date",O$9)</t>
  </si>
  <si>
    <t>=-NL("Sum","5802 Value Entry","151 Cost Amount (Expected)","41 Source Type",$C$5,"5 Source No.",$C1755,"4 Item Ledger Entry Type",$C$4,"2 Item No.","@@"&amp;$F1755,"3 Posting Date",O$9)-NL("Sum","5802 Value Entry","43 Cost Amount (Actual)","41 Source Type",$C$5,"5 Source no.",$C1755,"4 Item Ledger Entry Type",$C$4,"2 Item No.","@@"&amp;$F1755,"3 Posting Date",O$9)</t>
  </si>
  <si>
    <t>=O1755-Q1755</t>
  </si>
  <si>
    <t>=IF(O1755&lt;&gt;0,R1755/O1755,"")</t>
  </si>
  <si>
    <t>=NL("Sum","5802 Value Entry","150 Sales Amount (Expected)","41 Source Type",$C$5,"5 Source No.",$C1755,"4 Item Ledger Entry Type",$C$4,"2 Item No.","@@"&amp;$F1755,"3 Posting Date",U$9)+NL("Sum","5802 Value Entry","17 Sales Amount (Actual)","41 Source Type",$C$5,"5 Source no.",$C1755,"4 Item Ledger Entry Type",$C$4,"2 Item No.","@@"&amp;$F1755,"3 Posting Date",U$9)</t>
  </si>
  <si>
    <t>=-NL("Sum","5802 Value Entry","151 Cost Amount (Expected)","41 Source Type",$C$5,"5 Source No.",$C1755,"4 Item Ledger Entry Type",$C$4,"2 Item No.","@@"&amp;$F1755,"3 Posting Date",U$9)-NL("Sum","5802 Value Entry","43 Cost Amount (Actual)","41 Source Type",$C$5,"5 Source no.",$C1755,"4 Item Ledger Entry Type",$C$4,"2 Item No.","@@"&amp;$F1755,"3 Posting Date",U$9)</t>
  </si>
  <si>
    <t>=U1755-W1755</t>
  </si>
  <si>
    <t>=IF(U1755&lt;&gt;0,X1755/U1755,"")</t>
  </si>
  <si>
    <t>=NL("Sum","5802 Value Entry","150 Sales Amount (Expected)","41 Source Type",$C$5,"5 Source No.",$C1755,"4 Item Ledger Entry Type",$C$4,"2 Item No.","@@"&amp;$F1755,"3 Posting Date",Z$9)+NL("Sum","5802 Value Entry","17 Sales Amount (Actual)","41 Source Type",$C$5,"5 Source no.",$C1755,"4 Item Ledger Entry Type",$C$4,"2 Item No.","@@"&amp;$F1755,"3 Posting Date",Z$9)</t>
  </si>
  <si>
    <t>=-NL("Sum","5802 Value Entry","151 Cost Amount (Expected)","41 Source Type",$C$5,"5 Source No.",$C1755,"4 Item Ledger Entry Type",$C$4,"2 Item No.","@@"&amp;$F1755,"3 Posting Date",Z$9)-NL("Sum","5802 Value Entry","43 Cost Amount (Actual)","41 Source Type",$C$5,"5 Source no.",$C1755,"4 Item Ledger Entry Type",$C$4,"2 Item No.","@@"&amp;$F1755,"3 Posting Date",Z$9)</t>
  </si>
  <si>
    <t>=Z1755-AB1755</t>
  </si>
  <si>
    <t>=IF(Z1755&lt;&gt;0,AC1755/Z1755,"")</t>
  </si>
  <si>
    <t>=C1755</t>
  </si>
  <si>
    <t>=NL("Sum","5802 Value Entry","150 Sales Amount (Expected)","41 Source Type",$C$5,"5 Source No.",$C1756,"4 Item Ledger Entry Type",$C$4,"2 Item No.","@@"&amp;$F1756,"3 Posting Date",J$9)+NL("Sum","5802 Value Entry","17 Sales Amount (Actual)","41 Source Type",$C$5,"5 Source no.",$C1756,"4 Item Ledger Entry Type",$C$4,"2 Item No.","@@"&amp;$F1756,"3 Posting Date",J$9)</t>
  </si>
  <si>
    <t>=-NL("Sum","5802 Value Entry","151 Cost Amount (Expected)","41 Source Type",$C$5,"5 Source No.",$C1756,"4 Item Ledger Entry Type",$C$4,"2 Item No.","@@"&amp;$F1756,"3 Posting Date",J$9)-NL("Sum","5802 Value Entry","43 Cost Amount (Actual)","41 Source Type",$C$5,"5 Source no.",$C1756,"4 Item Ledger Entry Type",$C$4,"2 Item No.","@@"&amp;$F1756,"3 Posting Date",J$9)</t>
  </si>
  <si>
    <t>=J1756-L1756</t>
  </si>
  <si>
    <t>=IF(J1756&lt;&gt;0,M1756/J1756,"")</t>
  </si>
  <si>
    <t>=NL("Sum","5802 Value Entry","150 Sales Amount (Expected)","41 Source Type",$C$5,"5 Source No.",$C1756,"4 Item Ledger Entry Type",$C$4,"2 Item No.","@@"&amp;$F1756,"3 Posting Date",O$9)+NL("Sum","5802 Value Entry","17 Sales Amount (Actual)","41 Source Type",$C$5,"5 Source no.",$C1756,"4 Item Ledger Entry Type",$C$4,"2 Item No.","@@"&amp;$F1756,"3 Posting Date",O$9)</t>
  </si>
  <si>
    <t>=-NL("Sum","5802 Value Entry","151 Cost Amount (Expected)","41 Source Type",$C$5,"5 Source No.",$C1756,"4 Item Ledger Entry Type",$C$4,"2 Item No.","@@"&amp;$F1756,"3 Posting Date",O$9)-NL("Sum","5802 Value Entry","43 Cost Amount (Actual)","41 Source Type",$C$5,"5 Source no.",$C1756,"4 Item Ledger Entry Type",$C$4,"2 Item No.","@@"&amp;$F1756,"3 Posting Date",O$9)</t>
  </si>
  <si>
    <t>=O1756-Q1756</t>
  </si>
  <si>
    <t>=IF(O1756&lt;&gt;0,R1756/O1756,"")</t>
  </si>
  <si>
    <t>=NL("Sum","5802 Value Entry","150 Sales Amount (Expected)","41 Source Type",$C$5,"5 Source No.",$C1756,"4 Item Ledger Entry Type",$C$4,"2 Item No.","@@"&amp;$F1756,"3 Posting Date",U$9)+NL("Sum","5802 Value Entry","17 Sales Amount (Actual)","41 Source Type",$C$5,"5 Source no.",$C1756,"4 Item Ledger Entry Type",$C$4,"2 Item No.","@@"&amp;$F1756,"3 Posting Date",U$9)</t>
  </si>
  <si>
    <t>=-NL("Sum","5802 Value Entry","151 Cost Amount (Expected)","41 Source Type",$C$5,"5 Source No.",$C1756,"4 Item Ledger Entry Type",$C$4,"2 Item No.","@@"&amp;$F1756,"3 Posting Date",U$9)-NL("Sum","5802 Value Entry","43 Cost Amount (Actual)","41 Source Type",$C$5,"5 Source no.",$C1756,"4 Item Ledger Entry Type",$C$4,"2 Item No.","@@"&amp;$F1756,"3 Posting Date",U$9)</t>
  </si>
  <si>
    <t>=U1756-W1756</t>
  </si>
  <si>
    <t>=IF(U1756&lt;&gt;0,X1756/U1756,"")</t>
  </si>
  <si>
    <t>=NL("Sum","5802 Value Entry","150 Sales Amount (Expected)","41 Source Type",$C$5,"5 Source No.",$C1756,"4 Item Ledger Entry Type",$C$4,"2 Item No.","@@"&amp;$F1756,"3 Posting Date",Z$9)+NL("Sum","5802 Value Entry","17 Sales Amount (Actual)","41 Source Type",$C$5,"5 Source no.",$C1756,"4 Item Ledger Entry Type",$C$4,"2 Item No.","@@"&amp;$F1756,"3 Posting Date",Z$9)</t>
  </si>
  <si>
    <t>=-NL("Sum","5802 Value Entry","151 Cost Amount (Expected)","41 Source Type",$C$5,"5 Source No.",$C1756,"4 Item Ledger Entry Type",$C$4,"2 Item No.","@@"&amp;$F1756,"3 Posting Date",Z$9)-NL("Sum","5802 Value Entry","43 Cost Amount (Actual)","41 Source Type",$C$5,"5 Source no.",$C1756,"4 Item Ledger Entry Type",$C$4,"2 Item No.","@@"&amp;$F1756,"3 Posting Date",Z$9)</t>
  </si>
  <si>
    <t>=Z1756-AB1756</t>
  </si>
  <si>
    <t>=IF(Z1756&lt;&gt;0,AC1756/Z1756,"")</t>
  </si>
  <si>
    <t>=C1757</t>
  </si>
  <si>
    <t>=J1758-L1758</t>
  </si>
  <si>
    <t>=IF(J1758&lt;&gt;0,M1758/J1758,"")</t>
  </si>
  <si>
    <t>=O1758-Q1758</t>
  </si>
  <si>
    <t>=IF(O1758&lt;&gt;0,R1758/O1758,"")</t>
  </si>
  <si>
    <t>=U1758-W1758</t>
  </si>
  <si>
    <t>=IF(U1758&lt;&gt;0,X1758/U1758,"")</t>
  </si>
  <si>
    <t>=Z1758-AB1758</t>
  </si>
  <si>
    <t>=IF(Z1758&lt;&gt;0,AC1758/Z1758,"")</t>
  </si>
  <si>
    <t>=C1760</t>
  </si>
  <si>
    <t>="S200007"</t>
  </si>
  <si>
    <t>=C1761</t>
  </si>
  <si>
    <t>="S200014"</t>
  </si>
  <si>
    <t>=NL("Sum","5802 Value Entry","150 Sales Amount (Expected)","41 Source Type",$C$5,"5 Source No.",$C1762,"4 Item Ledger Entry Type",$C$4,"2 Item No.","@@"&amp;$F1762,"3 Posting Date",J$9)+NL("Sum","5802 Value Entry","17 Sales Amount (Actual)","41 Source Type",$C$5,"5 Source no.",$C1762,"4 Item Ledger Entry Type",$C$4,"2 Item No.","@@"&amp;$F1762,"3 Posting Date",J$9)</t>
  </si>
  <si>
    <t>=-NL("Sum","5802 Value Entry","151 Cost Amount (Expected)","41 Source Type",$C$5,"5 Source No.",$C1762,"4 Item Ledger Entry Type",$C$4,"2 Item No.","@@"&amp;$F1762,"3 Posting Date",J$9)-NL("Sum","5802 Value Entry","43 Cost Amount (Actual)","41 Source Type",$C$5,"5 Source no.",$C1762,"4 Item Ledger Entry Type",$C$4,"2 Item No.","@@"&amp;$F1762,"3 Posting Date",J$9)</t>
  </si>
  <si>
    <t>=J1762-L1762</t>
  </si>
  <si>
    <t>=IF(J1762&lt;&gt;0,M1762/J1762,"")</t>
  </si>
  <si>
    <t>=NL("Sum","5802 Value Entry","150 Sales Amount (Expected)","41 Source Type",$C$5,"5 Source No.",$C1762,"4 Item Ledger Entry Type",$C$4,"2 Item No.","@@"&amp;$F1762,"3 Posting Date",O$9)+NL("Sum","5802 Value Entry","17 Sales Amount (Actual)","41 Source Type",$C$5,"5 Source no.",$C1762,"4 Item Ledger Entry Type",$C$4,"2 Item No.","@@"&amp;$F1762,"3 Posting Date",O$9)</t>
  </si>
  <si>
    <t>=-NL("Sum","5802 Value Entry","151 Cost Amount (Expected)","41 Source Type",$C$5,"5 Source No.",$C1762,"4 Item Ledger Entry Type",$C$4,"2 Item No.","@@"&amp;$F1762,"3 Posting Date",O$9)-NL("Sum","5802 Value Entry","43 Cost Amount (Actual)","41 Source Type",$C$5,"5 Source no.",$C1762,"4 Item Ledger Entry Type",$C$4,"2 Item No.","@@"&amp;$F1762,"3 Posting Date",O$9)</t>
  </si>
  <si>
    <t>=O1762-Q1762</t>
  </si>
  <si>
    <t>=IF(O1762&lt;&gt;0,R1762/O1762,"")</t>
  </si>
  <si>
    <t>=NL("Sum","5802 Value Entry","150 Sales Amount (Expected)","41 Source Type",$C$5,"5 Source No.",$C1762,"4 Item Ledger Entry Type",$C$4,"2 Item No.","@@"&amp;$F1762,"3 Posting Date",U$9)+NL("Sum","5802 Value Entry","17 Sales Amount (Actual)","41 Source Type",$C$5,"5 Source no.",$C1762,"4 Item Ledger Entry Type",$C$4,"2 Item No.","@@"&amp;$F1762,"3 Posting Date",U$9)</t>
  </si>
  <si>
    <t>=-NL("Sum","5802 Value Entry","151 Cost Amount (Expected)","41 Source Type",$C$5,"5 Source No.",$C1762,"4 Item Ledger Entry Type",$C$4,"2 Item No.","@@"&amp;$F1762,"3 Posting Date",U$9)-NL("Sum","5802 Value Entry","43 Cost Amount (Actual)","41 Source Type",$C$5,"5 Source no.",$C1762,"4 Item Ledger Entry Type",$C$4,"2 Item No.","@@"&amp;$F1762,"3 Posting Date",U$9)</t>
  </si>
  <si>
    <t>=U1762-W1762</t>
  </si>
  <si>
    <t>=IF(U1762&lt;&gt;0,X1762/U1762,"")</t>
  </si>
  <si>
    <t>=NL("Sum","5802 Value Entry","150 Sales Amount (Expected)","41 Source Type",$C$5,"5 Source No.",$C1762,"4 Item Ledger Entry Type",$C$4,"2 Item No.","@@"&amp;$F1762,"3 Posting Date",Z$9)+NL("Sum","5802 Value Entry","17 Sales Amount (Actual)","41 Source Type",$C$5,"5 Source no.",$C1762,"4 Item Ledger Entry Type",$C$4,"2 Item No.","@@"&amp;$F1762,"3 Posting Date",Z$9)</t>
  </si>
  <si>
    <t>=-NL("Sum","5802 Value Entry","151 Cost Amount (Expected)","41 Source Type",$C$5,"5 Source No.",$C1762,"4 Item Ledger Entry Type",$C$4,"2 Item No.","@@"&amp;$F1762,"3 Posting Date",Z$9)-NL("Sum","5802 Value Entry","43 Cost Amount (Actual)","41 Source Type",$C$5,"5 Source no.",$C1762,"4 Item Ledger Entry Type",$C$4,"2 Item No.","@@"&amp;$F1762,"3 Posting Date",Z$9)</t>
  </si>
  <si>
    <t>=Z1762-AB1762</t>
  </si>
  <si>
    <t>=IF(Z1762&lt;&gt;0,AC1762/Z1762,"")</t>
  </si>
  <si>
    <t>=C1762</t>
  </si>
  <si>
    <t>="S200015"</t>
  </si>
  <si>
    <t>=NL("Sum","5802 Value Entry","150 Sales Amount (Expected)","41 Source Type",$C$5,"5 Source No.",$C1763,"4 Item Ledger Entry Type",$C$4,"2 Item No.","@@"&amp;$F1763,"3 Posting Date",J$9)+NL("Sum","5802 Value Entry","17 Sales Amount (Actual)","41 Source Type",$C$5,"5 Source no.",$C1763,"4 Item Ledger Entry Type",$C$4,"2 Item No.","@@"&amp;$F1763,"3 Posting Date",J$9)</t>
  </si>
  <si>
    <t>=-NL("Sum","5802 Value Entry","151 Cost Amount (Expected)","41 Source Type",$C$5,"5 Source No.",$C1763,"4 Item Ledger Entry Type",$C$4,"2 Item No.","@@"&amp;$F1763,"3 Posting Date",J$9)-NL("Sum","5802 Value Entry","43 Cost Amount (Actual)","41 Source Type",$C$5,"5 Source no.",$C1763,"4 Item Ledger Entry Type",$C$4,"2 Item No.","@@"&amp;$F1763,"3 Posting Date",J$9)</t>
  </si>
  <si>
    <t>=J1763-L1763</t>
  </si>
  <si>
    <t>=IF(J1763&lt;&gt;0,M1763/J1763,"")</t>
  </si>
  <si>
    <t>=NL("Sum","5802 Value Entry","150 Sales Amount (Expected)","41 Source Type",$C$5,"5 Source No.",$C1763,"4 Item Ledger Entry Type",$C$4,"2 Item No.","@@"&amp;$F1763,"3 Posting Date",O$9)+NL("Sum","5802 Value Entry","17 Sales Amount (Actual)","41 Source Type",$C$5,"5 Source no.",$C1763,"4 Item Ledger Entry Type",$C$4,"2 Item No.","@@"&amp;$F1763,"3 Posting Date",O$9)</t>
  </si>
  <si>
    <t>=-NL("Sum","5802 Value Entry","151 Cost Amount (Expected)","41 Source Type",$C$5,"5 Source No.",$C1763,"4 Item Ledger Entry Type",$C$4,"2 Item No.","@@"&amp;$F1763,"3 Posting Date",O$9)-NL("Sum","5802 Value Entry","43 Cost Amount (Actual)","41 Source Type",$C$5,"5 Source no.",$C1763,"4 Item Ledger Entry Type",$C$4,"2 Item No.","@@"&amp;$F1763,"3 Posting Date",O$9)</t>
  </si>
  <si>
    <t>=O1763-Q1763</t>
  </si>
  <si>
    <t>=IF(O1763&lt;&gt;0,R1763/O1763,"")</t>
  </si>
  <si>
    <t>=NL("Sum","5802 Value Entry","150 Sales Amount (Expected)","41 Source Type",$C$5,"5 Source No.",$C1763,"4 Item Ledger Entry Type",$C$4,"2 Item No.","@@"&amp;$F1763,"3 Posting Date",U$9)+NL("Sum","5802 Value Entry","17 Sales Amount (Actual)","41 Source Type",$C$5,"5 Source no.",$C1763,"4 Item Ledger Entry Type",$C$4,"2 Item No.","@@"&amp;$F1763,"3 Posting Date",U$9)</t>
  </si>
  <si>
    <t>=-NL("Sum","5802 Value Entry","151 Cost Amount (Expected)","41 Source Type",$C$5,"5 Source No.",$C1763,"4 Item Ledger Entry Type",$C$4,"2 Item No.","@@"&amp;$F1763,"3 Posting Date",U$9)-NL("Sum","5802 Value Entry","43 Cost Amount (Actual)","41 Source Type",$C$5,"5 Source no.",$C1763,"4 Item Ledger Entry Type",$C$4,"2 Item No.","@@"&amp;$F1763,"3 Posting Date",U$9)</t>
  </si>
  <si>
    <t>=U1763-W1763</t>
  </si>
  <si>
    <t>=IF(U1763&lt;&gt;0,X1763/U1763,"")</t>
  </si>
  <si>
    <t>=NL("Sum","5802 Value Entry","150 Sales Amount (Expected)","41 Source Type",$C$5,"5 Source No.",$C1763,"4 Item Ledger Entry Type",$C$4,"2 Item No.","@@"&amp;$F1763,"3 Posting Date",Z$9)+NL("Sum","5802 Value Entry","17 Sales Amount (Actual)","41 Source Type",$C$5,"5 Source no.",$C1763,"4 Item Ledger Entry Type",$C$4,"2 Item No.","@@"&amp;$F1763,"3 Posting Date",Z$9)</t>
  </si>
  <si>
    <t>=-NL("Sum","5802 Value Entry","151 Cost Amount (Expected)","41 Source Type",$C$5,"5 Source No.",$C1763,"4 Item Ledger Entry Type",$C$4,"2 Item No.","@@"&amp;$F1763,"3 Posting Date",Z$9)-NL("Sum","5802 Value Entry","43 Cost Amount (Actual)","41 Source Type",$C$5,"5 Source no.",$C1763,"4 Item Ledger Entry Type",$C$4,"2 Item No.","@@"&amp;$F1763,"3 Posting Date",Z$9)</t>
  </si>
  <si>
    <t>=Z1763-AB1763</t>
  </si>
  <si>
    <t>=IF(Z1763&lt;&gt;0,AC1763/Z1763,"")</t>
  </si>
  <si>
    <t>=C1763</t>
  </si>
  <si>
    <t>="S200018"</t>
  </si>
  <si>
    <t>=NL("Sum","5802 Value Entry","150 Sales Amount (Expected)","41 Source Type",$C$5,"5 Source No.",$C1764,"4 Item Ledger Entry Type",$C$4,"2 Item No.","@@"&amp;$F1764,"3 Posting Date",J$9)+NL("Sum","5802 Value Entry","17 Sales Amount (Actual)","41 Source Type",$C$5,"5 Source no.",$C1764,"4 Item Ledger Entry Type",$C$4,"2 Item No.","@@"&amp;$F1764,"3 Posting Date",J$9)</t>
  </si>
  <si>
    <t>=-NL("Sum","5802 Value Entry","151 Cost Amount (Expected)","41 Source Type",$C$5,"5 Source No.",$C1764,"4 Item Ledger Entry Type",$C$4,"2 Item No.","@@"&amp;$F1764,"3 Posting Date",J$9)-NL("Sum","5802 Value Entry","43 Cost Amount (Actual)","41 Source Type",$C$5,"5 Source no.",$C1764,"4 Item Ledger Entry Type",$C$4,"2 Item No.","@@"&amp;$F1764,"3 Posting Date",J$9)</t>
  </si>
  <si>
    <t>=J1764-L1764</t>
  </si>
  <si>
    <t>=IF(J1764&lt;&gt;0,M1764/J1764,"")</t>
  </si>
  <si>
    <t>=NL("Sum","5802 Value Entry","150 Sales Amount (Expected)","41 Source Type",$C$5,"5 Source No.",$C1764,"4 Item Ledger Entry Type",$C$4,"2 Item No.","@@"&amp;$F1764,"3 Posting Date",O$9)+NL("Sum","5802 Value Entry","17 Sales Amount (Actual)","41 Source Type",$C$5,"5 Source no.",$C1764,"4 Item Ledger Entry Type",$C$4,"2 Item No.","@@"&amp;$F1764,"3 Posting Date",O$9)</t>
  </si>
  <si>
    <t>=-NL("Sum","5802 Value Entry","151 Cost Amount (Expected)","41 Source Type",$C$5,"5 Source No.",$C1764,"4 Item Ledger Entry Type",$C$4,"2 Item No.","@@"&amp;$F1764,"3 Posting Date",O$9)-NL("Sum","5802 Value Entry","43 Cost Amount (Actual)","41 Source Type",$C$5,"5 Source no.",$C1764,"4 Item Ledger Entry Type",$C$4,"2 Item No.","@@"&amp;$F1764,"3 Posting Date",O$9)</t>
  </si>
  <si>
    <t>=O1764-Q1764</t>
  </si>
  <si>
    <t>=IF(O1764&lt;&gt;0,R1764/O1764,"")</t>
  </si>
  <si>
    <t>=NL("Sum","5802 Value Entry","150 Sales Amount (Expected)","41 Source Type",$C$5,"5 Source No.",$C1764,"4 Item Ledger Entry Type",$C$4,"2 Item No.","@@"&amp;$F1764,"3 Posting Date",U$9)+NL("Sum","5802 Value Entry","17 Sales Amount (Actual)","41 Source Type",$C$5,"5 Source no.",$C1764,"4 Item Ledger Entry Type",$C$4,"2 Item No.","@@"&amp;$F1764,"3 Posting Date",U$9)</t>
  </si>
  <si>
    <t>=-NL("Sum","5802 Value Entry","151 Cost Amount (Expected)","41 Source Type",$C$5,"5 Source No.",$C1764,"4 Item Ledger Entry Type",$C$4,"2 Item No.","@@"&amp;$F1764,"3 Posting Date",U$9)-NL("Sum","5802 Value Entry","43 Cost Amount (Actual)","41 Source Type",$C$5,"5 Source no.",$C1764,"4 Item Ledger Entry Type",$C$4,"2 Item No.","@@"&amp;$F1764,"3 Posting Date",U$9)</t>
  </si>
  <si>
    <t>=U1764-W1764</t>
  </si>
  <si>
    <t>=IF(U1764&lt;&gt;0,X1764/U1764,"")</t>
  </si>
  <si>
    <t>=NL("Sum","5802 Value Entry","150 Sales Amount (Expected)","41 Source Type",$C$5,"5 Source No.",$C1764,"4 Item Ledger Entry Type",$C$4,"2 Item No.","@@"&amp;$F1764,"3 Posting Date",Z$9)+NL("Sum","5802 Value Entry","17 Sales Amount (Actual)","41 Source Type",$C$5,"5 Source no.",$C1764,"4 Item Ledger Entry Type",$C$4,"2 Item No.","@@"&amp;$F1764,"3 Posting Date",Z$9)</t>
  </si>
  <si>
    <t>=-NL("Sum","5802 Value Entry","151 Cost Amount (Expected)","41 Source Type",$C$5,"5 Source No.",$C1764,"4 Item Ledger Entry Type",$C$4,"2 Item No.","@@"&amp;$F1764,"3 Posting Date",Z$9)-NL("Sum","5802 Value Entry","43 Cost Amount (Actual)","41 Source Type",$C$5,"5 Source no.",$C1764,"4 Item Ledger Entry Type",$C$4,"2 Item No.","@@"&amp;$F1764,"3 Posting Date",Z$9)</t>
  </si>
  <si>
    <t>=Z1764-AB1764</t>
  </si>
  <si>
    <t>=IF(Z1764&lt;&gt;0,AC1764/Z1764,"")</t>
  </si>
  <si>
    <t>=C1764</t>
  </si>
  <si>
    <t>="S200020"</t>
  </si>
  <si>
    <t>=NL("Sum","5802 Value Entry","150 Sales Amount (Expected)","41 Source Type",$C$5,"5 Source No.",$C1765,"4 Item Ledger Entry Type",$C$4,"2 Item No.","@@"&amp;$F1765,"3 Posting Date",J$9)+NL("Sum","5802 Value Entry","17 Sales Amount (Actual)","41 Source Type",$C$5,"5 Source no.",$C1765,"4 Item Ledger Entry Type",$C$4,"2 Item No.","@@"&amp;$F1765,"3 Posting Date",J$9)</t>
  </si>
  <si>
    <t>=-NL("Sum","5802 Value Entry","151 Cost Amount (Expected)","41 Source Type",$C$5,"5 Source No.",$C1765,"4 Item Ledger Entry Type",$C$4,"2 Item No.","@@"&amp;$F1765,"3 Posting Date",J$9)-NL("Sum","5802 Value Entry","43 Cost Amount (Actual)","41 Source Type",$C$5,"5 Source no.",$C1765,"4 Item Ledger Entry Type",$C$4,"2 Item No.","@@"&amp;$F1765,"3 Posting Date",J$9)</t>
  </si>
  <si>
    <t>=J1765-L1765</t>
  </si>
  <si>
    <t>=IF(J1765&lt;&gt;0,M1765/J1765,"")</t>
  </si>
  <si>
    <t>=NL("Sum","5802 Value Entry","150 Sales Amount (Expected)","41 Source Type",$C$5,"5 Source No.",$C1765,"4 Item Ledger Entry Type",$C$4,"2 Item No.","@@"&amp;$F1765,"3 Posting Date",O$9)+NL("Sum","5802 Value Entry","17 Sales Amount (Actual)","41 Source Type",$C$5,"5 Source no.",$C1765,"4 Item Ledger Entry Type",$C$4,"2 Item No.","@@"&amp;$F1765,"3 Posting Date",O$9)</t>
  </si>
  <si>
    <t>=-NL("Sum","5802 Value Entry","151 Cost Amount (Expected)","41 Source Type",$C$5,"5 Source No.",$C1765,"4 Item Ledger Entry Type",$C$4,"2 Item No.","@@"&amp;$F1765,"3 Posting Date",O$9)-NL("Sum","5802 Value Entry","43 Cost Amount (Actual)","41 Source Type",$C$5,"5 Source no.",$C1765,"4 Item Ledger Entry Type",$C$4,"2 Item No.","@@"&amp;$F1765,"3 Posting Date",O$9)</t>
  </si>
  <si>
    <t>=O1765-Q1765</t>
  </si>
  <si>
    <t>=IF(O1765&lt;&gt;0,R1765/O1765,"")</t>
  </si>
  <si>
    <t>=NL("Sum","5802 Value Entry","150 Sales Amount (Expected)","41 Source Type",$C$5,"5 Source No.",$C1765,"4 Item Ledger Entry Type",$C$4,"2 Item No.","@@"&amp;$F1765,"3 Posting Date",U$9)+NL("Sum","5802 Value Entry","17 Sales Amount (Actual)","41 Source Type",$C$5,"5 Source no.",$C1765,"4 Item Ledger Entry Type",$C$4,"2 Item No.","@@"&amp;$F1765,"3 Posting Date",U$9)</t>
  </si>
  <si>
    <t>=-NL("Sum","5802 Value Entry","151 Cost Amount (Expected)","41 Source Type",$C$5,"5 Source No.",$C1765,"4 Item Ledger Entry Type",$C$4,"2 Item No.","@@"&amp;$F1765,"3 Posting Date",U$9)-NL("Sum","5802 Value Entry","43 Cost Amount (Actual)","41 Source Type",$C$5,"5 Source no.",$C1765,"4 Item Ledger Entry Type",$C$4,"2 Item No.","@@"&amp;$F1765,"3 Posting Date",U$9)</t>
  </si>
  <si>
    <t>=U1765-W1765</t>
  </si>
  <si>
    <t>=IF(U1765&lt;&gt;0,X1765/U1765,"")</t>
  </si>
  <si>
    <t>=NL("Sum","5802 Value Entry","150 Sales Amount (Expected)","41 Source Type",$C$5,"5 Source No.",$C1765,"4 Item Ledger Entry Type",$C$4,"2 Item No.","@@"&amp;$F1765,"3 Posting Date",Z$9)+NL("Sum","5802 Value Entry","17 Sales Amount (Actual)","41 Source Type",$C$5,"5 Source no.",$C1765,"4 Item Ledger Entry Type",$C$4,"2 Item No.","@@"&amp;$F1765,"3 Posting Date",Z$9)</t>
  </si>
  <si>
    <t>=-NL("Sum","5802 Value Entry","151 Cost Amount (Expected)","41 Source Type",$C$5,"5 Source No.",$C1765,"4 Item Ledger Entry Type",$C$4,"2 Item No.","@@"&amp;$F1765,"3 Posting Date",Z$9)-NL("Sum","5802 Value Entry","43 Cost Amount (Actual)","41 Source Type",$C$5,"5 Source no.",$C1765,"4 Item Ledger Entry Type",$C$4,"2 Item No.","@@"&amp;$F1765,"3 Posting Date",Z$9)</t>
  </si>
  <si>
    <t>=Z1765-AB1765</t>
  </si>
  <si>
    <t>=IF(Z1765&lt;&gt;0,AC1765/Z1765,"")</t>
  </si>
  <si>
    <t>=C1765</t>
  </si>
  <si>
    <t>="S200022"</t>
  </si>
  <si>
    <t>=NL("Sum","5802 Value Entry","150 Sales Amount (Expected)","41 Source Type",$C$5,"5 Source No.",$C1766,"4 Item Ledger Entry Type",$C$4,"2 Item No.","@@"&amp;$F1766,"3 Posting Date",J$9)+NL("Sum","5802 Value Entry","17 Sales Amount (Actual)","41 Source Type",$C$5,"5 Source no.",$C1766,"4 Item Ledger Entry Type",$C$4,"2 Item No.","@@"&amp;$F1766,"3 Posting Date",J$9)</t>
  </si>
  <si>
    <t>=-NL("Sum","5802 Value Entry","151 Cost Amount (Expected)","41 Source Type",$C$5,"5 Source No.",$C1766,"4 Item Ledger Entry Type",$C$4,"2 Item No.","@@"&amp;$F1766,"3 Posting Date",J$9)-NL("Sum","5802 Value Entry","43 Cost Amount (Actual)","41 Source Type",$C$5,"5 Source no.",$C1766,"4 Item Ledger Entry Type",$C$4,"2 Item No.","@@"&amp;$F1766,"3 Posting Date",J$9)</t>
  </si>
  <si>
    <t>=J1766-L1766</t>
  </si>
  <si>
    <t>=IF(J1766&lt;&gt;0,M1766/J1766,"")</t>
  </si>
  <si>
    <t>=NL("Sum","5802 Value Entry","150 Sales Amount (Expected)","41 Source Type",$C$5,"5 Source No.",$C1766,"4 Item Ledger Entry Type",$C$4,"2 Item No.","@@"&amp;$F1766,"3 Posting Date",O$9)+NL("Sum","5802 Value Entry","17 Sales Amount (Actual)","41 Source Type",$C$5,"5 Source no.",$C1766,"4 Item Ledger Entry Type",$C$4,"2 Item No.","@@"&amp;$F1766,"3 Posting Date",O$9)</t>
  </si>
  <si>
    <t>=-NL("Sum","5802 Value Entry","151 Cost Amount (Expected)","41 Source Type",$C$5,"5 Source No.",$C1766,"4 Item Ledger Entry Type",$C$4,"2 Item No.","@@"&amp;$F1766,"3 Posting Date",O$9)-NL("Sum","5802 Value Entry","43 Cost Amount (Actual)","41 Source Type",$C$5,"5 Source no.",$C1766,"4 Item Ledger Entry Type",$C$4,"2 Item No.","@@"&amp;$F1766,"3 Posting Date",O$9)</t>
  </si>
  <si>
    <t>=O1766-Q1766</t>
  </si>
  <si>
    <t>=IF(O1766&lt;&gt;0,R1766/O1766,"")</t>
  </si>
  <si>
    <t>=NL("Sum","5802 Value Entry","150 Sales Amount (Expected)","41 Source Type",$C$5,"5 Source No.",$C1766,"4 Item Ledger Entry Type",$C$4,"2 Item No.","@@"&amp;$F1766,"3 Posting Date",U$9)+NL("Sum","5802 Value Entry","17 Sales Amount (Actual)","41 Source Type",$C$5,"5 Source no.",$C1766,"4 Item Ledger Entry Type",$C$4,"2 Item No.","@@"&amp;$F1766,"3 Posting Date",U$9)</t>
  </si>
  <si>
    <t>=-NL("Sum","5802 Value Entry","151 Cost Amount (Expected)","41 Source Type",$C$5,"5 Source No.",$C1766,"4 Item Ledger Entry Type",$C$4,"2 Item No.","@@"&amp;$F1766,"3 Posting Date",U$9)-NL("Sum","5802 Value Entry","43 Cost Amount (Actual)","41 Source Type",$C$5,"5 Source no.",$C1766,"4 Item Ledger Entry Type",$C$4,"2 Item No.","@@"&amp;$F1766,"3 Posting Date",U$9)</t>
  </si>
  <si>
    <t>=U1766-W1766</t>
  </si>
  <si>
    <t>=IF(U1766&lt;&gt;0,X1766/U1766,"")</t>
  </si>
  <si>
    <t>=NL("Sum","5802 Value Entry","150 Sales Amount (Expected)","41 Source Type",$C$5,"5 Source No.",$C1766,"4 Item Ledger Entry Type",$C$4,"2 Item No.","@@"&amp;$F1766,"3 Posting Date",Z$9)+NL("Sum","5802 Value Entry","17 Sales Amount (Actual)","41 Source Type",$C$5,"5 Source no.",$C1766,"4 Item Ledger Entry Type",$C$4,"2 Item No.","@@"&amp;$F1766,"3 Posting Date",Z$9)</t>
  </si>
  <si>
    <t>=-NL("Sum","5802 Value Entry","151 Cost Amount (Expected)","41 Source Type",$C$5,"5 Source No.",$C1766,"4 Item Ledger Entry Type",$C$4,"2 Item No.","@@"&amp;$F1766,"3 Posting Date",Z$9)-NL("Sum","5802 Value Entry","43 Cost Amount (Actual)","41 Source Type",$C$5,"5 Source no.",$C1766,"4 Item Ledger Entry Type",$C$4,"2 Item No.","@@"&amp;$F1766,"3 Posting Date",Z$9)</t>
  </si>
  <si>
    <t>=Z1766-AB1766</t>
  </si>
  <si>
    <t>=IF(Z1766&lt;&gt;0,AC1766/Z1766,"")</t>
  </si>
  <si>
    <t>=C1766</t>
  </si>
  <si>
    <t>="S200023"</t>
  </si>
  <si>
    <t>=NL("Sum","5802 Value Entry","150 Sales Amount (Expected)","41 Source Type",$C$5,"5 Source No.",$C1767,"4 Item Ledger Entry Type",$C$4,"2 Item No.","@@"&amp;$F1767,"3 Posting Date",J$9)+NL("Sum","5802 Value Entry","17 Sales Amount (Actual)","41 Source Type",$C$5,"5 Source no.",$C1767,"4 Item Ledger Entry Type",$C$4,"2 Item No.","@@"&amp;$F1767,"3 Posting Date",J$9)</t>
  </si>
  <si>
    <t>=-NL("Sum","5802 Value Entry","151 Cost Amount (Expected)","41 Source Type",$C$5,"5 Source No.",$C1767,"4 Item Ledger Entry Type",$C$4,"2 Item No.","@@"&amp;$F1767,"3 Posting Date",J$9)-NL("Sum","5802 Value Entry","43 Cost Amount (Actual)","41 Source Type",$C$5,"5 Source no.",$C1767,"4 Item Ledger Entry Type",$C$4,"2 Item No.","@@"&amp;$F1767,"3 Posting Date",J$9)</t>
  </si>
  <si>
    <t>=J1767-L1767</t>
  </si>
  <si>
    <t>=IF(J1767&lt;&gt;0,M1767/J1767,"")</t>
  </si>
  <si>
    <t>=NL("Sum","5802 Value Entry","150 Sales Amount (Expected)","41 Source Type",$C$5,"5 Source No.",$C1767,"4 Item Ledger Entry Type",$C$4,"2 Item No.","@@"&amp;$F1767,"3 Posting Date",O$9)+NL("Sum","5802 Value Entry","17 Sales Amount (Actual)","41 Source Type",$C$5,"5 Source no.",$C1767,"4 Item Ledger Entry Type",$C$4,"2 Item No.","@@"&amp;$F1767,"3 Posting Date",O$9)</t>
  </si>
  <si>
    <t>=-NL("Sum","5802 Value Entry","151 Cost Amount (Expected)","41 Source Type",$C$5,"5 Source No.",$C1767,"4 Item Ledger Entry Type",$C$4,"2 Item No.","@@"&amp;$F1767,"3 Posting Date",O$9)-NL("Sum","5802 Value Entry","43 Cost Amount (Actual)","41 Source Type",$C$5,"5 Source no.",$C1767,"4 Item Ledger Entry Type",$C$4,"2 Item No.","@@"&amp;$F1767,"3 Posting Date",O$9)</t>
  </si>
  <si>
    <t>=O1767-Q1767</t>
  </si>
  <si>
    <t>=IF(O1767&lt;&gt;0,R1767/O1767,"")</t>
  </si>
  <si>
    <t>=NL("Sum","5802 Value Entry","150 Sales Amount (Expected)","41 Source Type",$C$5,"5 Source No.",$C1767,"4 Item Ledger Entry Type",$C$4,"2 Item No.","@@"&amp;$F1767,"3 Posting Date",U$9)+NL("Sum","5802 Value Entry","17 Sales Amount (Actual)","41 Source Type",$C$5,"5 Source no.",$C1767,"4 Item Ledger Entry Type",$C$4,"2 Item No.","@@"&amp;$F1767,"3 Posting Date",U$9)</t>
  </si>
  <si>
    <t>=-NL("Sum","5802 Value Entry","151 Cost Amount (Expected)","41 Source Type",$C$5,"5 Source No.",$C1767,"4 Item Ledger Entry Type",$C$4,"2 Item No.","@@"&amp;$F1767,"3 Posting Date",U$9)-NL("Sum","5802 Value Entry","43 Cost Amount (Actual)","41 Source Type",$C$5,"5 Source no.",$C1767,"4 Item Ledger Entry Type",$C$4,"2 Item No.","@@"&amp;$F1767,"3 Posting Date",U$9)</t>
  </si>
  <si>
    <t>=U1767-W1767</t>
  </si>
  <si>
    <t>=IF(U1767&lt;&gt;0,X1767/U1767,"")</t>
  </si>
  <si>
    <t>=NL("Sum","5802 Value Entry","150 Sales Amount (Expected)","41 Source Type",$C$5,"5 Source No.",$C1767,"4 Item Ledger Entry Type",$C$4,"2 Item No.","@@"&amp;$F1767,"3 Posting Date",Z$9)+NL("Sum","5802 Value Entry","17 Sales Amount (Actual)","41 Source Type",$C$5,"5 Source no.",$C1767,"4 Item Ledger Entry Type",$C$4,"2 Item No.","@@"&amp;$F1767,"3 Posting Date",Z$9)</t>
  </si>
  <si>
    <t>=-NL("Sum","5802 Value Entry","151 Cost Amount (Expected)","41 Source Type",$C$5,"5 Source No.",$C1767,"4 Item Ledger Entry Type",$C$4,"2 Item No.","@@"&amp;$F1767,"3 Posting Date",Z$9)-NL("Sum","5802 Value Entry","43 Cost Amount (Actual)","41 Source Type",$C$5,"5 Source no.",$C1767,"4 Item Ledger Entry Type",$C$4,"2 Item No.","@@"&amp;$F1767,"3 Posting Date",Z$9)</t>
  </si>
  <si>
    <t>=Z1767-AB1767</t>
  </si>
  <si>
    <t>=IF(Z1767&lt;&gt;0,AC1767/Z1767,"")</t>
  </si>
  <si>
    <t>=C1767</t>
  </si>
  <si>
    <t>=NL("Sum","5802 Value Entry","150 Sales Amount (Expected)","41 Source Type",$C$5,"5 Source No.",$C1768,"4 Item Ledger Entry Type",$C$4,"2 Item No.","@@"&amp;$F1768,"3 Posting Date",J$9)+NL("Sum","5802 Value Entry","17 Sales Amount (Actual)","41 Source Type",$C$5,"5 Source no.",$C1768,"4 Item Ledger Entry Type",$C$4,"2 Item No.","@@"&amp;$F1768,"3 Posting Date",J$9)</t>
  </si>
  <si>
    <t>=-NL("Sum","5802 Value Entry","151 Cost Amount (Expected)","41 Source Type",$C$5,"5 Source No.",$C1768,"4 Item Ledger Entry Type",$C$4,"2 Item No.","@@"&amp;$F1768,"3 Posting Date",J$9)-NL("Sum","5802 Value Entry","43 Cost Amount (Actual)","41 Source Type",$C$5,"5 Source no.",$C1768,"4 Item Ledger Entry Type",$C$4,"2 Item No.","@@"&amp;$F1768,"3 Posting Date",J$9)</t>
  </si>
  <si>
    <t>=J1768-L1768</t>
  </si>
  <si>
    <t>=IF(J1768&lt;&gt;0,M1768/J1768,"")</t>
  </si>
  <si>
    <t>=NL("Sum","5802 Value Entry","150 Sales Amount (Expected)","41 Source Type",$C$5,"5 Source No.",$C1768,"4 Item Ledger Entry Type",$C$4,"2 Item No.","@@"&amp;$F1768,"3 Posting Date",O$9)+NL("Sum","5802 Value Entry","17 Sales Amount (Actual)","41 Source Type",$C$5,"5 Source no.",$C1768,"4 Item Ledger Entry Type",$C$4,"2 Item No.","@@"&amp;$F1768,"3 Posting Date",O$9)</t>
  </si>
  <si>
    <t>=-NL("Sum","5802 Value Entry","151 Cost Amount (Expected)","41 Source Type",$C$5,"5 Source No.",$C1768,"4 Item Ledger Entry Type",$C$4,"2 Item No.","@@"&amp;$F1768,"3 Posting Date",O$9)-NL("Sum","5802 Value Entry","43 Cost Amount (Actual)","41 Source Type",$C$5,"5 Source no.",$C1768,"4 Item Ledger Entry Type",$C$4,"2 Item No.","@@"&amp;$F1768,"3 Posting Date",O$9)</t>
  </si>
  <si>
    <t>=O1768-Q1768</t>
  </si>
  <si>
    <t>=IF(O1768&lt;&gt;0,R1768/O1768,"")</t>
  </si>
  <si>
    <t>=NL("Sum","5802 Value Entry","150 Sales Amount (Expected)","41 Source Type",$C$5,"5 Source No.",$C1768,"4 Item Ledger Entry Type",$C$4,"2 Item No.","@@"&amp;$F1768,"3 Posting Date",U$9)+NL("Sum","5802 Value Entry","17 Sales Amount (Actual)","41 Source Type",$C$5,"5 Source no.",$C1768,"4 Item Ledger Entry Type",$C$4,"2 Item No.","@@"&amp;$F1768,"3 Posting Date",U$9)</t>
  </si>
  <si>
    <t>=-NL("Sum","5802 Value Entry","151 Cost Amount (Expected)","41 Source Type",$C$5,"5 Source No.",$C1768,"4 Item Ledger Entry Type",$C$4,"2 Item No.","@@"&amp;$F1768,"3 Posting Date",U$9)-NL("Sum","5802 Value Entry","43 Cost Amount (Actual)","41 Source Type",$C$5,"5 Source no.",$C1768,"4 Item Ledger Entry Type",$C$4,"2 Item No.","@@"&amp;$F1768,"3 Posting Date",U$9)</t>
  </si>
  <si>
    <t>=U1768-W1768</t>
  </si>
  <si>
    <t>=IF(U1768&lt;&gt;0,X1768/U1768,"")</t>
  </si>
  <si>
    <t>=NL("Sum","5802 Value Entry","150 Sales Amount (Expected)","41 Source Type",$C$5,"5 Source No.",$C1768,"4 Item Ledger Entry Type",$C$4,"2 Item No.","@@"&amp;$F1768,"3 Posting Date",Z$9)+NL("Sum","5802 Value Entry","17 Sales Amount (Actual)","41 Source Type",$C$5,"5 Source no.",$C1768,"4 Item Ledger Entry Type",$C$4,"2 Item No.","@@"&amp;$F1768,"3 Posting Date",Z$9)</t>
  </si>
  <si>
    <t>=-NL("Sum","5802 Value Entry","151 Cost Amount (Expected)","41 Source Type",$C$5,"5 Source No.",$C1768,"4 Item Ledger Entry Type",$C$4,"2 Item No.","@@"&amp;$F1768,"3 Posting Date",Z$9)-NL("Sum","5802 Value Entry","43 Cost Amount (Actual)","41 Source Type",$C$5,"5 Source no.",$C1768,"4 Item Ledger Entry Type",$C$4,"2 Item No.","@@"&amp;$F1768,"3 Posting Date",Z$9)</t>
  </si>
  <si>
    <t>=Z1768-AB1768</t>
  </si>
  <si>
    <t>=IF(Z1768&lt;&gt;0,AC1768/Z1768,"")</t>
  </si>
  <si>
    <t>=C1768</t>
  </si>
  <si>
    <t>=NL("Sum","5802 Value Entry","150 Sales Amount (Expected)","41 Source Type",$C$5,"5 Source No.",$C1769,"4 Item Ledger Entry Type",$C$4,"2 Item No.","@@"&amp;$F1769,"3 Posting Date",J$9)+NL("Sum","5802 Value Entry","17 Sales Amount (Actual)","41 Source Type",$C$5,"5 Source no.",$C1769,"4 Item Ledger Entry Type",$C$4,"2 Item No.","@@"&amp;$F1769,"3 Posting Date",J$9)</t>
  </si>
  <si>
    <t>=-NL("Sum","5802 Value Entry","151 Cost Amount (Expected)","41 Source Type",$C$5,"5 Source No.",$C1769,"4 Item Ledger Entry Type",$C$4,"2 Item No.","@@"&amp;$F1769,"3 Posting Date",J$9)-NL("Sum","5802 Value Entry","43 Cost Amount (Actual)","41 Source Type",$C$5,"5 Source no.",$C1769,"4 Item Ledger Entry Type",$C$4,"2 Item No.","@@"&amp;$F1769,"3 Posting Date",J$9)</t>
  </si>
  <si>
    <t>=J1769-L1769</t>
  </si>
  <si>
    <t>=IF(J1769&lt;&gt;0,M1769/J1769,"")</t>
  </si>
  <si>
    <t>=NL("Sum","5802 Value Entry","150 Sales Amount (Expected)","41 Source Type",$C$5,"5 Source No.",$C1769,"4 Item Ledger Entry Type",$C$4,"2 Item No.","@@"&amp;$F1769,"3 Posting Date",O$9)+NL("Sum","5802 Value Entry","17 Sales Amount (Actual)","41 Source Type",$C$5,"5 Source no.",$C1769,"4 Item Ledger Entry Type",$C$4,"2 Item No.","@@"&amp;$F1769,"3 Posting Date",O$9)</t>
  </si>
  <si>
    <t>=-NL("Sum","5802 Value Entry","151 Cost Amount (Expected)","41 Source Type",$C$5,"5 Source No.",$C1769,"4 Item Ledger Entry Type",$C$4,"2 Item No.","@@"&amp;$F1769,"3 Posting Date",O$9)-NL("Sum","5802 Value Entry","43 Cost Amount (Actual)","41 Source Type",$C$5,"5 Source no.",$C1769,"4 Item Ledger Entry Type",$C$4,"2 Item No.","@@"&amp;$F1769,"3 Posting Date",O$9)</t>
  </si>
  <si>
    <t>=O1769-Q1769</t>
  </si>
  <si>
    <t>=IF(O1769&lt;&gt;0,R1769/O1769,"")</t>
  </si>
  <si>
    <t>=NL("Sum","5802 Value Entry","150 Sales Amount (Expected)","41 Source Type",$C$5,"5 Source No.",$C1769,"4 Item Ledger Entry Type",$C$4,"2 Item No.","@@"&amp;$F1769,"3 Posting Date",U$9)+NL("Sum","5802 Value Entry","17 Sales Amount (Actual)","41 Source Type",$C$5,"5 Source no.",$C1769,"4 Item Ledger Entry Type",$C$4,"2 Item No.","@@"&amp;$F1769,"3 Posting Date",U$9)</t>
  </si>
  <si>
    <t>=-NL("Sum","5802 Value Entry","151 Cost Amount (Expected)","41 Source Type",$C$5,"5 Source No.",$C1769,"4 Item Ledger Entry Type",$C$4,"2 Item No.","@@"&amp;$F1769,"3 Posting Date",U$9)-NL("Sum","5802 Value Entry","43 Cost Amount (Actual)","41 Source Type",$C$5,"5 Source no.",$C1769,"4 Item Ledger Entry Type",$C$4,"2 Item No.","@@"&amp;$F1769,"3 Posting Date",U$9)</t>
  </si>
  <si>
    <t>=U1769-W1769</t>
  </si>
  <si>
    <t>=IF(U1769&lt;&gt;0,X1769/U1769,"")</t>
  </si>
  <si>
    <t>=NL("Sum","5802 Value Entry","150 Sales Amount (Expected)","41 Source Type",$C$5,"5 Source No.",$C1769,"4 Item Ledger Entry Type",$C$4,"2 Item No.","@@"&amp;$F1769,"3 Posting Date",Z$9)+NL("Sum","5802 Value Entry","17 Sales Amount (Actual)","41 Source Type",$C$5,"5 Source no.",$C1769,"4 Item Ledger Entry Type",$C$4,"2 Item No.","@@"&amp;$F1769,"3 Posting Date",Z$9)</t>
  </si>
  <si>
    <t>=-NL("Sum","5802 Value Entry","151 Cost Amount (Expected)","41 Source Type",$C$5,"5 Source No.",$C1769,"4 Item Ledger Entry Type",$C$4,"2 Item No.","@@"&amp;$F1769,"3 Posting Date",Z$9)-NL("Sum","5802 Value Entry","43 Cost Amount (Actual)","41 Source Type",$C$5,"5 Source no.",$C1769,"4 Item Ledger Entry Type",$C$4,"2 Item No.","@@"&amp;$F1769,"3 Posting Date",Z$9)</t>
  </si>
  <si>
    <t>=Z1769-AB1769</t>
  </si>
  <si>
    <t>=IF(Z1769&lt;&gt;0,AC1769/Z1769,"")</t>
  </si>
  <si>
    <t>=C1769</t>
  </si>
  <si>
    <t>="S200026"</t>
  </si>
  <si>
    <t>=NL("Sum","5802 Value Entry","150 Sales Amount (Expected)","41 Source Type",$C$5,"5 Source No.",$C1770,"4 Item Ledger Entry Type",$C$4,"2 Item No.","@@"&amp;$F1770,"3 Posting Date",J$9)+NL("Sum","5802 Value Entry","17 Sales Amount (Actual)","41 Source Type",$C$5,"5 Source no.",$C1770,"4 Item Ledger Entry Type",$C$4,"2 Item No.","@@"&amp;$F1770,"3 Posting Date",J$9)</t>
  </si>
  <si>
    <t>=-NL("Sum","5802 Value Entry","151 Cost Amount (Expected)","41 Source Type",$C$5,"5 Source No.",$C1770,"4 Item Ledger Entry Type",$C$4,"2 Item No.","@@"&amp;$F1770,"3 Posting Date",J$9)-NL("Sum","5802 Value Entry","43 Cost Amount (Actual)","41 Source Type",$C$5,"5 Source no.",$C1770,"4 Item Ledger Entry Type",$C$4,"2 Item No.","@@"&amp;$F1770,"3 Posting Date",J$9)</t>
  </si>
  <si>
    <t>=J1770-L1770</t>
  </si>
  <si>
    <t>=IF(J1770&lt;&gt;0,M1770/J1770,"")</t>
  </si>
  <si>
    <t>=NL("Sum","5802 Value Entry","150 Sales Amount (Expected)","41 Source Type",$C$5,"5 Source No.",$C1770,"4 Item Ledger Entry Type",$C$4,"2 Item No.","@@"&amp;$F1770,"3 Posting Date",O$9)+NL("Sum","5802 Value Entry","17 Sales Amount (Actual)","41 Source Type",$C$5,"5 Source no.",$C1770,"4 Item Ledger Entry Type",$C$4,"2 Item No.","@@"&amp;$F1770,"3 Posting Date",O$9)</t>
  </si>
  <si>
    <t>=-NL("Sum","5802 Value Entry","151 Cost Amount (Expected)","41 Source Type",$C$5,"5 Source No.",$C1770,"4 Item Ledger Entry Type",$C$4,"2 Item No.","@@"&amp;$F1770,"3 Posting Date",O$9)-NL("Sum","5802 Value Entry","43 Cost Amount (Actual)","41 Source Type",$C$5,"5 Source no.",$C1770,"4 Item Ledger Entry Type",$C$4,"2 Item No.","@@"&amp;$F1770,"3 Posting Date",O$9)</t>
  </si>
  <si>
    <t>=O1770-Q1770</t>
  </si>
  <si>
    <t>=IF(O1770&lt;&gt;0,R1770/O1770,"")</t>
  </si>
  <si>
    <t>=NL("Sum","5802 Value Entry","150 Sales Amount (Expected)","41 Source Type",$C$5,"5 Source No.",$C1770,"4 Item Ledger Entry Type",$C$4,"2 Item No.","@@"&amp;$F1770,"3 Posting Date",U$9)+NL("Sum","5802 Value Entry","17 Sales Amount (Actual)","41 Source Type",$C$5,"5 Source no.",$C1770,"4 Item Ledger Entry Type",$C$4,"2 Item No.","@@"&amp;$F1770,"3 Posting Date",U$9)</t>
  </si>
  <si>
    <t>=-NL("Sum","5802 Value Entry","151 Cost Amount (Expected)","41 Source Type",$C$5,"5 Source No.",$C1770,"4 Item Ledger Entry Type",$C$4,"2 Item No.","@@"&amp;$F1770,"3 Posting Date",U$9)-NL("Sum","5802 Value Entry","43 Cost Amount (Actual)","41 Source Type",$C$5,"5 Source no.",$C1770,"4 Item Ledger Entry Type",$C$4,"2 Item No.","@@"&amp;$F1770,"3 Posting Date",U$9)</t>
  </si>
  <si>
    <t>=U1770-W1770</t>
  </si>
  <si>
    <t>=IF(U1770&lt;&gt;0,X1770/U1770,"")</t>
  </si>
  <si>
    <t>=NL("Sum","5802 Value Entry","150 Sales Amount (Expected)","41 Source Type",$C$5,"5 Source No.",$C1770,"4 Item Ledger Entry Type",$C$4,"2 Item No.","@@"&amp;$F1770,"3 Posting Date",Z$9)+NL("Sum","5802 Value Entry","17 Sales Amount (Actual)","41 Source Type",$C$5,"5 Source no.",$C1770,"4 Item Ledger Entry Type",$C$4,"2 Item No.","@@"&amp;$F1770,"3 Posting Date",Z$9)</t>
  </si>
  <si>
    <t>=-NL("Sum","5802 Value Entry","151 Cost Amount (Expected)","41 Source Type",$C$5,"5 Source No.",$C1770,"4 Item Ledger Entry Type",$C$4,"2 Item No.","@@"&amp;$F1770,"3 Posting Date",Z$9)-NL("Sum","5802 Value Entry","43 Cost Amount (Actual)","41 Source Type",$C$5,"5 Source no.",$C1770,"4 Item Ledger Entry Type",$C$4,"2 Item No.","@@"&amp;$F1770,"3 Posting Date",Z$9)</t>
  </si>
  <si>
    <t>=Z1770-AB1770</t>
  </si>
  <si>
    <t>=IF(Z1770&lt;&gt;0,AC1770/Z1770,"")</t>
  </si>
  <si>
    <t>=C1770</t>
  </si>
  <si>
    <t>="S200027"</t>
  </si>
  <si>
    <t>=NL("Sum","5802 Value Entry","150 Sales Amount (Expected)","41 Source Type",$C$5,"5 Source No.",$C1771,"4 Item Ledger Entry Type",$C$4,"2 Item No.","@@"&amp;$F1771,"3 Posting Date",J$9)+NL("Sum","5802 Value Entry","17 Sales Amount (Actual)","41 Source Type",$C$5,"5 Source no.",$C1771,"4 Item Ledger Entry Type",$C$4,"2 Item No.","@@"&amp;$F1771,"3 Posting Date",J$9)</t>
  </si>
  <si>
    <t>=-NL("Sum","5802 Value Entry","151 Cost Amount (Expected)","41 Source Type",$C$5,"5 Source No.",$C1771,"4 Item Ledger Entry Type",$C$4,"2 Item No.","@@"&amp;$F1771,"3 Posting Date",J$9)-NL("Sum","5802 Value Entry","43 Cost Amount (Actual)","41 Source Type",$C$5,"5 Source no.",$C1771,"4 Item Ledger Entry Type",$C$4,"2 Item No.","@@"&amp;$F1771,"3 Posting Date",J$9)</t>
  </si>
  <si>
    <t>=J1771-L1771</t>
  </si>
  <si>
    <t>=IF(J1771&lt;&gt;0,M1771/J1771,"")</t>
  </si>
  <si>
    <t>=NL("Sum","5802 Value Entry","150 Sales Amount (Expected)","41 Source Type",$C$5,"5 Source No.",$C1771,"4 Item Ledger Entry Type",$C$4,"2 Item No.","@@"&amp;$F1771,"3 Posting Date",O$9)+NL("Sum","5802 Value Entry","17 Sales Amount (Actual)","41 Source Type",$C$5,"5 Source no.",$C1771,"4 Item Ledger Entry Type",$C$4,"2 Item No.","@@"&amp;$F1771,"3 Posting Date",O$9)</t>
  </si>
  <si>
    <t>=-NL("Sum","5802 Value Entry","151 Cost Amount (Expected)","41 Source Type",$C$5,"5 Source No.",$C1771,"4 Item Ledger Entry Type",$C$4,"2 Item No.","@@"&amp;$F1771,"3 Posting Date",O$9)-NL("Sum","5802 Value Entry","43 Cost Amount (Actual)","41 Source Type",$C$5,"5 Source no.",$C1771,"4 Item Ledger Entry Type",$C$4,"2 Item No.","@@"&amp;$F1771,"3 Posting Date",O$9)</t>
  </si>
  <si>
    <t>=O1771-Q1771</t>
  </si>
  <si>
    <t>=IF(O1771&lt;&gt;0,R1771/O1771,"")</t>
  </si>
  <si>
    <t>=NL("Sum","5802 Value Entry","150 Sales Amount (Expected)","41 Source Type",$C$5,"5 Source No.",$C1771,"4 Item Ledger Entry Type",$C$4,"2 Item No.","@@"&amp;$F1771,"3 Posting Date",U$9)+NL("Sum","5802 Value Entry","17 Sales Amount (Actual)","41 Source Type",$C$5,"5 Source no.",$C1771,"4 Item Ledger Entry Type",$C$4,"2 Item No.","@@"&amp;$F1771,"3 Posting Date",U$9)</t>
  </si>
  <si>
    <t>=-NL("Sum","5802 Value Entry","151 Cost Amount (Expected)","41 Source Type",$C$5,"5 Source No.",$C1771,"4 Item Ledger Entry Type",$C$4,"2 Item No.","@@"&amp;$F1771,"3 Posting Date",U$9)-NL("Sum","5802 Value Entry","43 Cost Amount (Actual)","41 Source Type",$C$5,"5 Source no.",$C1771,"4 Item Ledger Entry Type",$C$4,"2 Item No.","@@"&amp;$F1771,"3 Posting Date",U$9)</t>
  </si>
  <si>
    <t>=U1771-W1771</t>
  </si>
  <si>
    <t>=IF(U1771&lt;&gt;0,X1771/U1771,"")</t>
  </si>
  <si>
    <t>=NL("Sum","5802 Value Entry","150 Sales Amount (Expected)","41 Source Type",$C$5,"5 Source No.",$C1771,"4 Item Ledger Entry Type",$C$4,"2 Item No.","@@"&amp;$F1771,"3 Posting Date",Z$9)+NL("Sum","5802 Value Entry","17 Sales Amount (Actual)","41 Source Type",$C$5,"5 Source no.",$C1771,"4 Item Ledger Entry Type",$C$4,"2 Item No.","@@"&amp;$F1771,"3 Posting Date",Z$9)</t>
  </si>
  <si>
    <t>=-NL("Sum","5802 Value Entry","151 Cost Amount (Expected)","41 Source Type",$C$5,"5 Source No.",$C1771,"4 Item Ledger Entry Type",$C$4,"2 Item No.","@@"&amp;$F1771,"3 Posting Date",Z$9)-NL("Sum","5802 Value Entry","43 Cost Amount (Actual)","41 Source Type",$C$5,"5 Source no.",$C1771,"4 Item Ledger Entry Type",$C$4,"2 Item No.","@@"&amp;$F1771,"3 Posting Date",Z$9)</t>
  </si>
  <si>
    <t>=Z1771-AB1771</t>
  </si>
  <si>
    <t>=IF(Z1771&lt;&gt;0,AC1771/Z1771,"")</t>
  </si>
  <si>
    <t>=C1771</t>
  </si>
  <si>
    <t>=NL("Sum","5802 Value Entry","150 Sales Amount (Expected)","41 Source Type",$C$5,"5 Source No.",$C1772,"4 Item Ledger Entry Type",$C$4,"2 Item No.","@@"&amp;$F1772,"3 Posting Date",J$9)+NL("Sum","5802 Value Entry","17 Sales Amount (Actual)","41 Source Type",$C$5,"5 Source no.",$C1772,"4 Item Ledger Entry Type",$C$4,"2 Item No.","@@"&amp;$F1772,"3 Posting Date",J$9)</t>
  </si>
  <si>
    <t>=-NL("Sum","5802 Value Entry","151 Cost Amount (Expected)","41 Source Type",$C$5,"5 Source No.",$C1772,"4 Item Ledger Entry Type",$C$4,"2 Item No.","@@"&amp;$F1772,"3 Posting Date",J$9)-NL("Sum","5802 Value Entry","43 Cost Amount (Actual)","41 Source Type",$C$5,"5 Source no.",$C1772,"4 Item Ledger Entry Type",$C$4,"2 Item No.","@@"&amp;$F1772,"3 Posting Date",J$9)</t>
  </si>
  <si>
    <t>=J1772-L1772</t>
  </si>
  <si>
    <t>=IF(J1772&lt;&gt;0,M1772/J1772,"")</t>
  </si>
  <si>
    <t>=NL("Sum","5802 Value Entry","150 Sales Amount (Expected)","41 Source Type",$C$5,"5 Source No.",$C1772,"4 Item Ledger Entry Type",$C$4,"2 Item No.","@@"&amp;$F1772,"3 Posting Date",O$9)+NL("Sum","5802 Value Entry","17 Sales Amount (Actual)","41 Source Type",$C$5,"5 Source no.",$C1772,"4 Item Ledger Entry Type",$C$4,"2 Item No.","@@"&amp;$F1772,"3 Posting Date",O$9)</t>
  </si>
  <si>
    <t>=-NL("Sum","5802 Value Entry","151 Cost Amount (Expected)","41 Source Type",$C$5,"5 Source No.",$C1772,"4 Item Ledger Entry Type",$C$4,"2 Item No.","@@"&amp;$F1772,"3 Posting Date",O$9)-NL("Sum","5802 Value Entry","43 Cost Amount (Actual)","41 Source Type",$C$5,"5 Source no.",$C1772,"4 Item Ledger Entry Type",$C$4,"2 Item No.","@@"&amp;$F1772,"3 Posting Date",O$9)</t>
  </si>
  <si>
    <t>=O1772-Q1772</t>
  </si>
  <si>
    <t>=IF(O1772&lt;&gt;0,R1772/O1772,"")</t>
  </si>
  <si>
    <t>=NL("Sum","5802 Value Entry","150 Sales Amount (Expected)","41 Source Type",$C$5,"5 Source No.",$C1772,"4 Item Ledger Entry Type",$C$4,"2 Item No.","@@"&amp;$F1772,"3 Posting Date",U$9)+NL("Sum","5802 Value Entry","17 Sales Amount (Actual)","41 Source Type",$C$5,"5 Source no.",$C1772,"4 Item Ledger Entry Type",$C$4,"2 Item No.","@@"&amp;$F1772,"3 Posting Date",U$9)</t>
  </si>
  <si>
    <t>=-NL("Sum","5802 Value Entry","151 Cost Amount (Expected)","41 Source Type",$C$5,"5 Source No.",$C1772,"4 Item Ledger Entry Type",$C$4,"2 Item No.","@@"&amp;$F1772,"3 Posting Date",U$9)-NL("Sum","5802 Value Entry","43 Cost Amount (Actual)","41 Source Type",$C$5,"5 Source no.",$C1772,"4 Item Ledger Entry Type",$C$4,"2 Item No.","@@"&amp;$F1772,"3 Posting Date",U$9)</t>
  </si>
  <si>
    <t>=U1772-W1772</t>
  </si>
  <si>
    <t>=IF(U1772&lt;&gt;0,X1772/U1772,"")</t>
  </si>
  <si>
    <t>=NL("Sum","5802 Value Entry","150 Sales Amount (Expected)","41 Source Type",$C$5,"5 Source No.",$C1772,"4 Item Ledger Entry Type",$C$4,"2 Item No.","@@"&amp;$F1772,"3 Posting Date",Z$9)+NL("Sum","5802 Value Entry","17 Sales Amount (Actual)","41 Source Type",$C$5,"5 Source no.",$C1772,"4 Item Ledger Entry Type",$C$4,"2 Item No.","@@"&amp;$F1772,"3 Posting Date",Z$9)</t>
  </si>
  <si>
    <t>=-NL("Sum","5802 Value Entry","151 Cost Amount (Expected)","41 Source Type",$C$5,"5 Source No.",$C1772,"4 Item Ledger Entry Type",$C$4,"2 Item No.","@@"&amp;$F1772,"3 Posting Date",Z$9)-NL("Sum","5802 Value Entry","43 Cost Amount (Actual)","41 Source Type",$C$5,"5 Source no.",$C1772,"4 Item Ledger Entry Type",$C$4,"2 Item No.","@@"&amp;$F1772,"3 Posting Date",Z$9)</t>
  </si>
  <si>
    <t>=Z1772-AB1772</t>
  </si>
  <si>
    <t>=IF(Z1772&lt;&gt;0,AC1772/Z1772,"")</t>
  </si>
  <si>
    <t>=C1772</t>
  </si>
  <si>
    <t>="S200031"</t>
  </si>
  <si>
    <t>=NL("Sum","5802 Value Entry","150 Sales Amount (Expected)","41 Source Type",$C$5,"5 Source No.",$C1773,"4 Item Ledger Entry Type",$C$4,"2 Item No.","@@"&amp;$F1773,"3 Posting Date",J$9)+NL("Sum","5802 Value Entry","17 Sales Amount (Actual)","41 Source Type",$C$5,"5 Source no.",$C1773,"4 Item Ledger Entry Type",$C$4,"2 Item No.","@@"&amp;$F1773,"3 Posting Date",J$9)</t>
  </si>
  <si>
    <t>=-NL("Sum","5802 Value Entry","151 Cost Amount (Expected)","41 Source Type",$C$5,"5 Source No.",$C1773,"4 Item Ledger Entry Type",$C$4,"2 Item No.","@@"&amp;$F1773,"3 Posting Date",J$9)-NL("Sum","5802 Value Entry","43 Cost Amount (Actual)","41 Source Type",$C$5,"5 Source no.",$C1773,"4 Item Ledger Entry Type",$C$4,"2 Item No.","@@"&amp;$F1773,"3 Posting Date",J$9)</t>
  </si>
  <si>
    <t>=J1773-L1773</t>
  </si>
  <si>
    <t>=IF(J1773&lt;&gt;0,M1773/J1773,"")</t>
  </si>
  <si>
    <t>=NL("Sum","5802 Value Entry","150 Sales Amount (Expected)","41 Source Type",$C$5,"5 Source No.",$C1773,"4 Item Ledger Entry Type",$C$4,"2 Item No.","@@"&amp;$F1773,"3 Posting Date",O$9)+NL("Sum","5802 Value Entry","17 Sales Amount (Actual)","41 Source Type",$C$5,"5 Source no.",$C1773,"4 Item Ledger Entry Type",$C$4,"2 Item No.","@@"&amp;$F1773,"3 Posting Date",O$9)</t>
  </si>
  <si>
    <t>=-NL("Sum","5802 Value Entry","151 Cost Amount (Expected)","41 Source Type",$C$5,"5 Source No.",$C1773,"4 Item Ledger Entry Type",$C$4,"2 Item No.","@@"&amp;$F1773,"3 Posting Date",O$9)-NL("Sum","5802 Value Entry","43 Cost Amount (Actual)","41 Source Type",$C$5,"5 Source no.",$C1773,"4 Item Ledger Entry Type",$C$4,"2 Item No.","@@"&amp;$F1773,"3 Posting Date",O$9)</t>
  </si>
  <si>
    <t>=O1773-Q1773</t>
  </si>
  <si>
    <t>=IF(O1773&lt;&gt;0,R1773/O1773,"")</t>
  </si>
  <si>
    <t>=NL("Sum","5802 Value Entry","150 Sales Amount (Expected)","41 Source Type",$C$5,"5 Source No.",$C1773,"4 Item Ledger Entry Type",$C$4,"2 Item No.","@@"&amp;$F1773,"3 Posting Date",U$9)+NL("Sum","5802 Value Entry","17 Sales Amount (Actual)","41 Source Type",$C$5,"5 Source no.",$C1773,"4 Item Ledger Entry Type",$C$4,"2 Item No.","@@"&amp;$F1773,"3 Posting Date",U$9)</t>
  </si>
  <si>
    <t>=-NL("Sum","5802 Value Entry","151 Cost Amount (Expected)","41 Source Type",$C$5,"5 Source No.",$C1773,"4 Item Ledger Entry Type",$C$4,"2 Item No.","@@"&amp;$F1773,"3 Posting Date",U$9)-NL("Sum","5802 Value Entry","43 Cost Amount (Actual)","41 Source Type",$C$5,"5 Source no.",$C1773,"4 Item Ledger Entry Type",$C$4,"2 Item No.","@@"&amp;$F1773,"3 Posting Date",U$9)</t>
  </si>
  <si>
    <t>=U1773-W1773</t>
  </si>
  <si>
    <t>=IF(U1773&lt;&gt;0,X1773/U1773,"")</t>
  </si>
  <si>
    <t>=NL("Sum","5802 Value Entry","150 Sales Amount (Expected)","41 Source Type",$C$5,"5 Source No.",$C1773,"4 Item Ledger Entry Type",$C$4,"2 Item No.","@@"&amp;$F1773,"3 Posting Date",Z$9)+NL("Sum","5802 Value Entry","17 Sales Amount (Actual)","41 Source Type",$C$5,"5 Source no.",$C1773,"4 Item Ledger Entry Type",$C$4,"2 Item No.","@@"&amp;$F1773,"3 Posting Date",Z$9)</t>
  </si>
  <si>
    <t>=-NL("Sum","5802 Value Entry","151 Cost Amount (Expected)","41 Source Type",$C$5,"5 Source No.",$C1773,"4 Item Ledger Entry Type",$C$4,"2 Item No.","@@"&amp;$F1773,"3 Posting Date",Z$9)-NL("Sum","5802 Value Entry","43 Cost Amount (Actual)","41 Source Type",$C$5,"5 Source no.",$C1773,"4 Item Ledger Entry Type",$C$4,"2 Item No.","@@"&amp;$F1773,"3 Posting Date",Z$9)</t>
  </si>
  <si>
    <t>=Z1773-AB1773</t>
  </si>
  <si>
    <t>=IF(Z1773&lt;&gt;0,AC1773/Z1773,"")</t>
  </si>
  <si>
    <t>=C1774</t>
  </si>
  <si>
    <t>=J1775-L1775</t>
  </si>
  <si>
    <t>=IF(J1775&lt;&gt;0,M1775/J1775,"")</t>
  </si>
  <si>
    <t>=O1775-Q1775</t>
  </si>
  <si>
    <t>=IF(O1775&lt;&gt;0,R1775/O1775,"")</t>
  </si>
  <si>
    <t>=U1775-W1775</t>
  </si>
  <si>
    <t>=IF(U1775&lt;&gt;0,X1775/U1775,"")</t>
  </si>
  <si>
    <t>=Z1775-AB1775</t>
  </si>
  <si>
    <t>=IF(Z1775&lt;&gt;0,AC1775/Z1775,"")</t>
  </si>
  <si>
    <t>=C1777</t>
  </si>
  <si>
    <t>=C1778</t>
  </si>
  <si>
    <t>=NL("Sum","5802 Value Entry","150 Sales Amount (Expected)","41 Source Type",$C$5,"5 Source No.",$C1779,"4 Item Ledger Entry Type",$C$4,"2 Item No.","@@"&amp;$F1779,"3 Posting Date",J$9)+NL("Sum","5802 Value Entry","17 Sales Amount (Actual)","41 Source Type",$C$5,"5 Source no.",$C1779,"4 Item Ledger Entry Type",$C$4,"2 Item No.","@@"&amp;$F1779,"3 Posting Date",J$9)</t>
  </si>
  <si>
    <t>=-NL("Sum","5802 Value Entry","151 Cost Amount (Expected)","41 Source Type",$C$5,"5 Source No.",$C1779,"4 Item Ledger Entry Type",$C$4,"2 Item No.","@@"&amp;$F1779,"3 Posting Date",J$9)-NL("Sum","5802 Value Entry","43 Cost Amount (Actual)","41 Source Type",$C$5,"5 Source no.",$C1779,"4 Item Ledger Entry Type",$C$4,"2 Item No.","@@"&amp;$F1779,"3 Posting Date",J$9)</t>
  </si>
  <si>
    <t>=J1779-L1779</t>
  </si>
  <si>
    <t>=IF(J1779&lt;&gt;0,M1779/J1779,"")</t>
  </si>
  <si>
    <t>=NL("Sum","5802 Value Entry","150 Sales Amount (Expected)","41 Source Type",$C$5,"5 Source No.",$C1779,"4 Item Ledger Entry Type",$C$4,"2 Item No.","@@"&amp;$F1779,"3 Posting Date",O$9)+NL("Sum","5802 Value Entry","17 Sales Amount (Actual)","41 Source Type",$C$5,"5 Source no.",$C1779,"4 Item Ledger Entry Type",$C$4,"2 Item No.","@@"&amp;$F1779,"3 Posting Date",O$9)</t>
  </si>
  <si>
    <t>=-NL("Sum","5802 Value Entry","151 Cost Amount (Expected)","41 Source Type",$C$5,"5 Source No.",$C1779,"4 Item Ledger Entry Type",$C$4,"2 Item No.","@@"&amp;$F1779,"3 Posting Date",O$9)-NL("Sum","5802 Value Entry","43 Cost Amount (Actual)","41 Source Type",$C$5,"5 Source no.",$C1779,"4 Item Ledger Entry Type",$C$4,"2 Item No.","@@"&amp;$F1779,"3 Posting Date",O$9)</t>
  </si>
  <si>
    <t>=O1779-Q1779</t>
  </si>
  <si>
    <t>=IF(O1779&lt;&gt;0,R1779/O1779,"")</t>
  </si>
  <si>
    <t>=NL("Sum","5802 Value Entry","150 Sales Amount (Expected)","41 Source Type",$C$5,"5 Source No.",$C1779,"4 Item Ledger Entry Type",$C$4,"2 Item No.","@@"&amp;$F1779,"3 Posting Date",U$9)+NL("Sum","5802 Value Entry","17 Sales Amount (Actual)","41 Source Type",$C$5,"5 Source no.",$C1779,"4 Item Ledger Entry Type",$C$4,"2 Item No.","@@"&amp;$F1779,"3 Posting Date",U$9)</t>
  </si>
  <si>
    <t>=-NL("Sum","5802 Value Entry","151 Cost Amount (Expected)","41 Source Type",$C$5,"5 Source No.",$C1779,"4 Item Ledger Entry Type",$C$4,"2 Item No.","@@"&amp;$F1779,"3 Posting Date",U$9)-NL("Sum","5802 Value Entry","43 Cost Amount (Actual)","41 Source Type",$C$5,"5 Source no.",$C1779,"4 Item Ledger Entry Type",$C$4,"2 Item No.","@@"&amp;$F1779,"3 Posting Date",U$9)</t>
  </si>
  <si>
    <t>=U1779-W1779</t>
  </si>
  <si>
    <t>=IF(U1779&lt;&gt;0,X1779/U1779,"")</t>
  </si>
  <si>
    <t>=NL("Sum","5802 Value Entry","150 Sales Amount (Expected)","41 Source Type",$C$5,"5 Source No.",$C1779,"4 Item Ledger Entry Type",$C$4,"2 Item No.","@@"&amp;$F1779,"3 Posting Date",Z$9)+NL("Sum","5802 Value Entry","17 Sales Amount (Actual)","41 Source Type",$C$5,"5 Source no.",$C1779,"4 Item Ledger Entry Type",$C$4,"2 Item No.","@@"&amp;$F1779,"3 Posting Date",Z$9)</t>
  </si>
  <si>
    <t>=-NL("Sum","5802 Value Entry","151 Cost Amount (Expected)","41 Source Type",$C$5,"5 Source No.",$C1779,"4 Item Ledger Entry Type",$C$4,"2 Item No.","@@"&amp;$F1779,"3 Posting Date",Z$9)-NL("Sum","5802 Value Entry","43 Cost Amount (Actual)","41 Source Type",$C$5,"5 Source no.",$C1779,"4 Item Ledger Entry Type",$C$4,"2 Item No.","@@"&amp;$F1779,"3 Posting Date",Z$9)</t>
  </si>
  <si>
    <t>=Z1779-AB1779</t>
  </si>
  <si>
    <t>=IF(Z1779&lt;&gt;0,AC1779/Z1779,"")</t>
  </si>
  <si>
    <t>=C1779</t>
  </si>
  <si>
    <t>=NL("Sum","5802 Value Entry","150 Sales Amount (Expected)","41 Source Type",$C$5,"5 Source No.",$C1780,"4 Item Ledger Entry Type",$C$4,"2 Item No.","@@"&amp;$F1780,"3 Posting Date",J$9)+NL("Sum","5802 Value Entry","17 Sales Amount (Actual)","41 Source Type",$C$5,"5 Source no.",$C1780,"4 Item Ledger Entry Type",$C$4,"2 Item No.","@@"&amp;$F1780,"3 Posting Date",J$9)</t>
  </si>
  <si>
    <t>=-NL("Sum","5802 Value Entry","151 Cost Amount (Expected)","41 Source Type",$C$5,"5 Source No.",$C1780,"4 Item Ledger Entry Type",$C$4,"2 Item No.","@@"&amp;$F1780,"3 Posting Date",J$9)-NL("Sum","5802 Value Entry","43 Cost Amount (Actual)","41 Source Type",$C$5,"5 Source no.",$C1780,"4 Item Ledger Entry Type",$C$4,"2 Item No.","@@"&amp;$F1780,"3 Posting Date",J$9)</t>
  </si>
  <si>
    <t>=J1780-L1780</t>
  </si>
  <si>
    <t>=IF(J1780&lt;&gt;0,M1780/J1780,"")</t>
  </si>
  <si>
    <t>=NL("Sum","5802 Value Entry","150 Sales Amount (Expected)","41 Source Type",$C$5,"5 Source No.",$C1780,"4 Item Ledger Entry Type",$C$4,"2 Item No.","@@"&amp;$F1780,"3 Posting Date",O$9)+NL("Sum","5802 Value Entry","17 Sales Amount (Actual)","41 Source Type",$C$5,"5 Source no.",$C1780,"4 Item Ledger Entry Type",$C$4,"2 Item No.","@@"&amp;$F1780,"3 Posting Date",O$9)</t>
  </si>
  <si>
    <t>=-NL("Sum","5802 Value Entry","151 Cost Amount (Expected)","41 Source Type",$C$5,"5 Source No.",$C1780,"4 Item Ledger Entry Type",$C$4,"2 Item No.","@@"&amp;$F1780,"3 Posting Date",O$9)-NL("Sum","5802 Value Entry","43 Cost Amount (Actual)","41 Source Type",$C$5,"5 Source no.",$C1780,"4 Item Ledger Entry Type",$C$4,"2 Item No.","@@"&amp;$F1780,"3 Posting Date",O$9)</t>
  </si>
  <si>
    <t>=O1780-Q1780</t>
  </si>
  <si>
    <t>=IF(O1780&lt;&gt;0,R1780/O1780,"")</t>
  </si>
  <si>
    <t>=NL("Sum","5802 Value Entry","150 Sales Amount (Expected)","41 Source Type",$C$5,"5 Source No.",$C1780,"4 Item Ledger Entry Type",$C$4,"2 Item No.","@@"&amp;$F1780,"3 Posting Date",U$9)+NL("Sum","5802 Value Entry","17 Sales Amount (Actual)","41 Source Type",$C$5,"5 Source no.",$C1780,"4 Item Ledger Entry Type",$C$4,"2 Item No.","@@"&amp;$F1780,"3 Posting Date",U$9)</t>
  </si>
  <si>
    <t>=-NL("Sum","5802 Value Entry","151 Cost Amount (Expected)","41 Source Type",$C$5,"5 Source No.",$C1780,"4 Item Ledger Entry Type",$C$4,"2 Item No.","@@"&amp;$F1780,"3 Posting Date",U$9)-NL("Sum","5802 Value Entry","43 Cost Amount (Actual)","41 Source Type",$C$5,"5 Source no.",$C1780,"4 Item Ledger Entry Type",$C$4,"2 Item No.","@@"&amp;$F1780,"3 Posting Date",U$9)</t>
  </si>
  <si>
    <t>=U1780-W1780</t>
  </si>
  <si>
    <t>=IF(U1780&lt;&gt;0,X1780/U1780,"")</t>
  </si>
  <si>
    <t>=NL("Sum","5802 Value Entry","150 Sales Amount (Expected)","41 Source Type",$C$5,"5 Source No.",$C1780,"4 Item Ledger Entry Type",$C$4,"2 Item No.","@@"&amp;$F1780,"3 Posting Date",Z$9)+NL("Sum","5802 Value Entry","17 Sales Amount (Actual)","41 Source Type",$C$5,"5 Source no.",$C1780,"4 Item Ledger Entry Type",$C$4,"2 Item No.","@@"&amp;$F1780,"3 Posting Date",Z$9)</t>
  </si>
  <si>
    <t>=-NL("Sum","5802 Value Entry","151 Cost Amount (Expected)","41 Source Type",$C$5,"5 Source No.",$C1780,"4 Item Ledger Entry Type",$C$4,"2 Item No.","@@"&amp;$F1780,"3 Posting Date",Z$9)-NL("Sum","5802 Value Entry","43 Cost Amount (Actual)","41 Source Type",$C$5,"5 Source no.",$C1780,"4 Item Ledger Entry Type",$C$4,"2 Item No.","@@"&amp;$F1780,"3 Posting Date",Z$9)</t>
  </si>
  <si>
    <t>=Z1780-AB1780</t>
  </si>
  <si>
    <t>=IF(Z1780&lt;&gt;0,AC1780/Z1780,"")</t>
  </si>
  <si>
    <t>=C1780</t>
  </si>
  <si>
    <t>=NL("Sum","5802 Value Entry","150 Sales Amount (Expected)","41 Source Type",$C$5,"5 Source No.",$C1781,"4 Item Ledger Entry Type",$C$4,"2 Item No.","@@"&amp;$F1781,"3 Posting Date",J$9)+NL("Sum","5802 Value Entry","17 Sales Amount (Actual)","41 Source Type",$C$5,"5 Source no.",$C1781,"4 Item Ledger Entry Type",$C$4,"2 Item No.","@@"&amp;$F1781,"3 Posting Date",J$9)</t>
  </si>
  <si>
    <t>=-NL("Sum","5802 Value Entry","151 Cost Amount (Expected)","41 Source Type",$C$5,"5 Source No.",$C1781,"4 Item Ledger Entry Type",$C$4,"2 Item No.","@@"&amp;$F1781,"3 Posting Date",J$9)-NL("Sum","5802 Value Entry","43 Cost Amount (Actual)","41 Source Type",$C$5,"5 Source no.",$C1781,"4 Item Ledger Entry Type",$C$4,"2 Item No.","@@"&amp;$F1781,"3 Posting Date",J$9)</t>
  </si>
  <si>
    <t>=J1781-L1781</t>
  </si>
  <si>
    <t>=IF(J1781&lt;&gt;0,M1781/J1781,"")</t>
  </si>
  <si>
    <t>=NL("Sum","5802 Value Entry","150 Sales Amount (Expected)","41 Source Type",$C$5,"5 Source No.",$C1781,"4 Item Ledger Entry Type",$C$4,"2 Item No.","@@"&amp;$F1781,"3 Posting Date",O$9)+NL("Sum","5802 Value Entry","17 Sales Amount (Actual)","41 Source Type",$C$5,"5 Source no.",$C1781,"4 Item Ledger Entry Type",$C$4,"2 Item No.","@@"&amp;$F1781,"3 Posting Date",O$9)</t>
  </si>
  <si>
    <t>=-NL("Sum","5802 Value Entry","151 Cost Amount (Expected)","41 Source Type",$C$5,"5 Source No.",$C1781,"4 Item Ledger Entry Type",$C$4,"2 Item No.","@@"&amp;$F1781,"3 Posting Date",O$9)-NL("Sum","5802 Value Entry","43 Cost Amount (Actual)","41 Source Type",$C$5,"5 Source no.",$C1781,"4 Item Ledger Entry Type",$C$4,"2 Item No.","@@"&amp;$F1781,"3 Posting Date",O$9)</t>
  </si>
  <si>
    <t>=O1781-Q1781</t>
  </si>
  <si>
    <t>=IF(O1781&lt;&gt;0,R1781/O1781,"")</t>
  </si>
  <si>
    <t>=NL("Sum","5802 Value Entry","150 Sales Amount (Expected)","41 Source Type",$C$5,"5 Source No.",$C1781,"4 Item Ledger Entry Type",$C$4,"2 Item No.","@@"&amp;$F1781,"3 Posting Date",U$9)+NL("Sum","5802 Value Entry","17 Sales Amount (Actual)","41 Source Type",$C$5,"5 Source no.",$C1781,"4 Item Ledger Entry Type",$C$4,"2 Item No.","@@"&amp;$F1781,"3 Posting Date",U$9)</t>
  </si>
  <si>
    <t>=-NL("Sum","5802 Value Entry","151 Cost Amount (Expected)","41 Source Type",$C$5,"5 Source No.",$C1781,"4 Item Ledger Entry Type",$C$4,"2 Item No.","@@"&amp;$F1781,"3 Posting Date",U$9)-NL("Sum","5802 Value Entry","43 Cost Amount (Actual)","41 Source Type",$C$5,"5 Source no.",$C1781,"4 Item Ledger Entry Type",$C$4,"2 Item No.","@@"&amp;$F1781,"3 Posting Date",U$9)</t>
  </si>
  <si>
    <t>=U1781-W1781</t>
  </si>
  <si>
    <t>=IF(U1781&lt;&gt;0,X1781/U1781,"")</t>
  </si>
  <si>
    <t>=NL("Sum","5802 Value Entry","150 Sales Amount (Expected)","41 Source Type",$C$5,"5 Source No.",$C1781,"4 Item Ledger Entry Type",$C$4,"2 Item No.","@@"&amp;$F1781,"3 Posting Date",Z$9)+NL("Sum","5802 Value Entry","17 Sales Amount (Actual)","41 Source Type",$C$5,"5 Source no.",$C1781,"4 Item Ledger Entry Type",$C$4,"2 Item No.","@@"&amp;$F1781,"3 Posting Date",Z$9)</t>
  </si>
  <si>
    <t>=-NL("Sum","5802 Value Entry","151 Cost Amount (Expected)","41 Source Type",$C$5,"5 Source No.",$C1781,"4 Item Ledger Entry Type",$C$4,"2 Item No.","@@"&amp;$F1781,"3 Posting Date",Z$9)-NL("Sum","5802 Value Entry","43 Cost Amount (Actual)","41 Source Type",$C$5,"5 Source no.",$C1781,"4 Item Ledger Entry Type",$C$4,"2 Item No.","@@"&amp;$F1781,"3 Posting Date",Z$9)</t>
  </si>
  <si>
    <t>=Z1781-AB1781</t>
  </si>
  <si>
    <t>=IF(Z1781&lt;&gt;0,AC1781/Z1781,"")</t>
  </si>
  <si>
    <t>=C1781</t>
  </si>
  <si>
    <t>=NL("Sum","5802 Value Entry","150 Sales Amount (Expected)","41 Source Type",$C$5,"5 Source No.",$C1782,"4 Item Ledger Entry Type",$C$4,"2 Item No.","@@"&amp;$F1782,"3 Posting Date",J$9)+NL("Sum","5802 Value Entry","17 Sales Amount (Actual)","41 Source Type",$C$5,"5 Source no.",$C1782,"4 Item Ledger Entry Type",$C$4,"2 Item No.","@@"&amp;$F1782,"3 Posting Date",J$9)</t>
  </si>
  <si>
    <t>=-NL("Sum","5802 Value Entry","151 Cost Amount (Expected)","41 Source Type",$C$5,"5 Source No.",$C1782,"4 Item Ledger Entry Type",$C$4,"2 Item No.","@@"&amp;$F1782,"3 Posting Date",J$9)-NL("Sum","5802 Value Entry","43 Cost Amount (Actual)","41 Source Type",$C$5,"5 Source no.",$C1782,"4 Item Ledger Entry Type",$C$4,"2 Item No.","@@"&amp;$F1782,"3 Posting Date",J$9)</t>
  </si>
  <si>
    <t>=J1782-L1782</t>
  </si>
  <si>
    <t>=IF(J1782&lt;&gt;0,M1782/J1782,"")</t>
  </si>
  <si>
    <t>=NL("Sum","5802 Value Entry","150 Sales Amount (Expected)","41 Source Type",$C$5,"5 Source No.",$C1782,"4 Item Ledger Entry Type",$C$4,"2 Item No.","@@"&amp;$F1782,"3 Posting Date",O$9)+NL("Sum","5802 Value Entry","17 Sales Amount (Actual)","41 Source Type",$C$5,"5 Source no.",$C1782,"4 Item Ledger Entry Type",$C$4,"2 Item No.","@@"&amp;$F1782,"3 Posting Date",O$9)</t>
  </si>
  <si>
    <t>=-NL("Sum","5802 Value Entry","151 Cost Amount (Expected)","41 Source Type",$C$5,"5 Source No.",$C1782,"4 Item Ledger Entry Type",$C$4,"2 Item No.","@@"&amp;$F1782,"3 Posting Date",O$9)-NL("Sum","5802 Value Entry","43 Cost Amount (Actual)","41 Source Type",$C$5,"5 Source no.",$C1782,"4 Item Ledger Entry Type",$C$4,"2 Item No.","@@"&amp;$F1782,"3 Posting Date",O$9)</t>
  </si>
  <si>
    <t>=O1782-Q1782</t>
  </si>
  <si>
    <t>=IF(O1782&lt;&gt;0,R1782/O1782,"")</t>
  </si>
  <si>
    <t>=NL("Sum","5802 Value Entry","150 Sales Amount (Expected)","41 Source Type",$C$5,"5 Source No.",$C1782,"4 Item Ledger Entry Type",$C$4,"2 Item No.","@@"&amp;$F1782,"3 Posting Date",U$9)+NL("Sum","5802 Value Entry","17 Sales Amount (Actual)","41 Source Type",$C$5,"5 Source no.",$C1782,"4 Item Ledger Entry Type",$C$4,"2 Item No.","@@"&amp;$F1782,"3 Posting Date",U$9)</t>
  </si>
  <si>
    <t>=-NL("Sum","5802 Value Entry","151 Cost Amount (Expected)","41 Source Type",$C$5,"5 Source No.",$C1782,"4 Item Ledger Entry Type",$C$4,"2 Item No.","@@"&amp;$F1782,"3 Posting Date",U$9)-NL("Sum","5802 Value Entry","43 Cost Amount (Actual)","41 Source Type",$C$5,"5 Source no.",$C1782,"4 Item Ledger Entry Type",$C$4,"2 Item No.","@@"&amp;$F1782,"3 Posting Date",U$9)</t>
  </si>
  <si>
    <t>=U1782-W1782</t>
  </si>
  <si>
    <t>=IF(U1782&lt;&gt;0,X1782/U1782,"")</t>
  </si>
  <si>
    <t>=NL("Sum","5802 Value Entry","150 Sales Amount (Expected)","41 Source Type",$C$5,"5 Source No.",$C1782,"4 Item Ledger Entry Type",$C$4,"2 Item No.","@@"&amp;$F1782,"3 Posting Date",Z$9)+NL("Sum","5802 Value Entry","17 Sales Amount (Actual)","41 Source Type",$C$5,"5 Source no.",$C1782,"4 Item Ledger Entry Type",$C$4,"2 Item No.","@@"&amp;$F1782,"3 Posting Date",Z$9)</t>
  </si>
  <si>
    <t>=-NL("Sum","5802 Value Entry","151 Cost Amount (Expected)","41 Source Type",$C$5,"5 Source No.",$C1782,"4 Item Ledger Entry Type",$C$4,"2 Item No.","@@"&amp;$F1782,"3 Posting Date",Z$9)-NL("Sum","5802 Value Entry","43 Cost Amount (Actual)","41 Source Type",$C$5,"5 Source no.",$C1782,"4 Item Ledger Entry Type",$C$4,"2 Item No.","@@"&amp;$F1782,"3 Posting Date",Z$9)</t>
  </si>
  <si>
    <t>=Z1782-AB1782</t>
  </si>
  <si>
    <t>=IF(Z1782&lt;&gt;0,AC1782/Z1782,"")</t>
  </si>
  <si>
    <t>=C1782</t>
  </si>
  <si>
    <t>=NL("Sum","5802 Value Entry","150 Sales Amount (Expected)","41 Source Type",$C$5,"5 Source No.",$C1783,"4 Item Ledger Entry Type",$C$4,"2 Item No.","@@"&amp;$F1783,"3 Posting Date",J$9)+NL("Sum","5802 Value Entry","17 Sales Amount (Actual)","41 Source Type",$C$5,"5 Source no.",$C1783,"4 Item Ledger Entry Type",$C$4,"2 Item No.","@@"&amp;$F1783,"3 Posting Date",J$9)</t>
  </si>
  <si>
    <t>=-NL("Sum","5802 Value Entry","151 Cost Amount (Expected)","41 Source Type",$C$5,"5 Source No.",$C1783,"4 Item Ledger Entry Type",$C$4,"2 Item No.","@@"&amp;$F1783,"3 Posting Date",J$9)-NL("Sum","5802 Value Entry","43 Cost Amount (Actual)","41 Source Type",$C$5,"5 Source no.",$C1783,"4 Item Ledger Entry Type",$C$4,"2 Item No.","@@"&amp;$F1783,"3 Posting Date",J$9)</t>
  </si>
  <si>
    <t>=J1783-L1783</t>
  </si>
  <si>
    <t>=IF(J1783&lt;&gt;0,M1783/J1783,"")</t>
  </si>
  <si>
    <t>=NL("Sum","5802 Value Entry","150 Sales Amount (Expected)","41 Source Type",$C$5,"5 Source No.",$C1783,"4 Item Ledger Entry Type",$C$4,"2 Item No.","@@"&amp;$F1783,"3 Posting Date",O$9)+NL("Sum","5802 Value Entry","17 Sales Amount (Actual)","41 Source Type",$C$5,"5 Source no.",$C1783,"4 Item Ledger Entry Type",$C$4,"2 Item No.","@@"&amp;$F1783,"3 Posting Date",O$9)</t>
  </si>
  <si>
    <t>=-NL("Sum","5802 Value Entry","151 Cost Amount (Expected)","41 Source Type",$C$5,"5 Source No.",$C1783,"4 Item Ledger Entry Type",$C$4,"2 Item No.","@@"&amp;$F1783,"3 Posting Date",O$9)-NL("Sum","5802 Value Entry","43 Cost Amount (Actual)","41 Source Type",$C$5,"5 Source no.",$C1783,"4 Item Ledger Entry Type",$C$4,"2 Item No.","@@"&amp;$F1783,"3 Posting Date",O$9)</t>
  </si>
  <si>
    <t>=O1783-Q1783</t>
  </si>
  <si>
    <t>=IF(O1783&lt;&gt;0,R1783/O1783,"")</t>
  </si>
  <si>
    <t>=NL("Sum","5802 Value Entry","150 Sales Amount (Expected)","41 Source Type",$C$5,"5 Source No.",$C1783,"4 Item Ledger Entry Type",$C$4,"2 Item No.","@@"&amp;$F1783,"3 Posting Date",U$9)+NL("Sum","5802 Value Entry","17 Sales Amount (Actual)","41 Source Type",$C$5,"5 Source no.",$C1783,"4 Item Ledger Entry Type",$C$4,"2 Item No.","@@"&amp;$F1783,"3 Posting Date",U$9)</t>
  </si>
  <si>
    <t>=-NL("Sum","5802 Value Entry","151 Cost Amount (Expected)","41 Source Type",$C$5,"5 Source No.",$C1783,"4 Item Ledger Entry Type",$C$4,"2 Item No.","@@"&amp;$F1783,"3 Posting Date",U$9)-NL("Sum","5802 Value Entry","43 Cost Amount (Actual)","41 Source Type",$C$5,"5 Source no.",$C1783,"4 Item Ledger Entry Type",$C$4,"2 Item No.","@@"&amp;$F1783,"3 Posting Date",U$9)</t>
  </si>
  <si>
    <t>=U1783-W1783</t>
  </si>
  <si>
    <t>=IF(U1783&lt;&gt;0,X1783/U1783,"")</t>
  </si>
  <si>
    <t>=NL("Sum","5802 Value Entry","150 Sales Amount (Expected)","41 Source Type",$C$5,"5 Source No.",$C1783,"4 Item Ledger Entry Type",$C$4,"2 Item No.","@@"&amp;$F1783,"3 Posting Date",Z$9)+NL("Sum","5802 Value Entry","17 Sales Amount (Actual)","41 Source Type",$C$5,"5 Source no.",$C1783,"4 Item Ledger Entry Type",$C$4,"2 Item No.","@@"&amp;$F1783,"3 Posting Date",Z$9)</t>
  </si>
  <si>
    <t>=-NL("Sum","5802 Value Entry","151 Cost Amount (Expected)","41 Source Type",$C$5,"5 Source No.",$C1783,"4 Item Ledger Entry Type",$C$4,"2 Item No.","@@"&amp;$F1783,"3 Posting Date",Z$9)-NL("Sum","5802 Value Entry","43 Cost Amount (Actual)","41 Source Type",$C$5,"5 Source no.",$C1783,"4 Item Ledger Entry Type",$C$4,"2 Item No.","@@"&amp;$F1783,"3 Posting Date",Z$9)</t>
  </si>
  <si>
    <t>=Z1783-AB1783</t>
  </si>
  <si>
    <t>=IF(Z1783&lt;&gt;0,AC1783/Z1783,"")</t>
  </si>
  <si>
    <t>=C1783</t>
  </si>
  <si>
    <t>=NL("Sum","5802 Value Entry","150 Sales Amount (Expected)","41 Source Type",$C$5,"5 Source No.",$C1784,"4 Item Ledger Entry Type",$C$4,"2 Item No.","@@"&amp;$F1784,"3 Posting Date",J$9)+NL("Sum","5802 Value Entry","17 Sales Amount (Actual)","41 Source Type",$C$5,"5 Source no.",$C1784,"4 Item Ledger Entry Type",$C$4,"2 Item No.","@@"&amp;$F1784,"3 Posting Date",J$9)</t>
  </si>
  <si>
    <t>=-NL("Sum","5802 Value Entry","151 Cost Amount (Expected)","41 Source Type",$C$5,"5 Source No.",$C1784,"4 Item Ledger Entry Type",$C$4,"2 Item No.","@@"&amp;$F1784,"3 Posting Date",J$9)-NL("Sum","5802 Value Entry","43 Cost Amount (Actual)","41 Source Type",$C$5,"5 Source no.",$C1784,"4 Item Ledger Entry Type",$C$4,"2 Item No.","@@"&amp;$F1784,"3 Posting Date",J$9)</t>
  </si>
  <si>
    <t>=J1784-L1784</t>
  </si>
  <si>
    <t>=IF(J1784&lt;&gt;0,M1784/J1784,"")</t>
  </si>
  <si>
    <t>=NL("Sum","5802 Value Entry","150 Sales Amount (Expected)","41 Source Type",$C$5,"5 Source No.",$C1784,"4 Item Ledger Entry Type",$C$4,"2 Item No.","@@"&amp;$F1784,"3 Posting Date",O$9)+NL("Sum","5802 Value Entry","17 Sales Amount (Actual)","41 Source Type",$C$5,"5 Source no.",$C1784,"4 Item Ledger Entry Type",$C$4,"2 Item No.","@@"&amp;$F1784,"3 Posting Date",O$9)</t>
  </si>
  <si>
    <t>=-NL("Sum","5802 Value Entry","151 Cost Amount (Expected)","41 Source Type",$C$5,"5 Source No.",$C1784,"4 Item Ledger Entry Type",$C$4,"2 Item No.","@@"&amp;$F1784,"3 Posting Date",O$9)-NL("Sum","5802 Value Entry","43 Cost Amount (Actual)","41 Source Type",$C$5,"5 Source no.",$C1784,"4 Item Ledger Entry Type",$C$4,"2 Item No.","@@"&amp;$F1784,"3 Posting Date",O$9)</t>
  </si>
  <si>
    <t>=O1784-Q1784</t>
  </si>
  <si>
    <t>=IF(O1784&lt;&gt;0,R1784/O1784,"")</t>
  </si>
  <si>
    <t>=NL("Sum","5802 Value Entry","150 Sales Amount (Expected)","41 Source Type",$C$5,"5 Source No.",$C1784,"4 Item Ledger Entry Type",$C$4,"2 Item No.","@@"&amp;$F1784,"3 Posting Date",U$9)+NL("Sum","5802 Value Entry","17 Sales Amount (Actual)","41 Source Type",$C$5,"5 Source no.",$C1784,"4 Item Ledger Entry Type",$C$4,"2 Item No.","@@"&amp;$F1784,"3 Posting Date",U$9)</t>
  </si>
  <si>
    <t>=-NL("Sum","5802 Value Entry","151 Cost Amount (Expected)","41 Source Type",$C$5,"5 Source No.",$C1784,"4 Item Ledger Entry Type",$C$4,"2 Item No.","@@"&amp;$F1784,"3 Posting Date",U$9)-NL("Sum","5802 Value Entry","43 Cost Amount (Actual)","41 Source Type",$C$5,"5 Source no.",$C1784,"4 Item Ledger Entry Type",$C$4,"2 Item No.","@@"&amp;$F1784,"3 Posting Date",U$9)</t>
  </si>
  <si>
    <t>=U1784-W1784</t>
  </si>
  <si>
    <t>=IF(U1784&lt;&gt;0,X1784/U1784,"")</t>
  </si>
  <si>
    <t>=NL("Sum","5802 Value Entry","150 Sales Amount (Expected)","41 Source Type",$C$5,"5 Source No.",$C1784,"4 Item Ledger Entry Type",$C$4,"2 Item No.","@@"&amp;$F1784,"3 Posting Date",Z$9)+NL("Sum","5802 Value Entry","17 Sales Amount (Actual)","41 Source Type",$C$5,"5 Source no.",$C1784,"4 Item Ledger Entry Type",$C$4,"2 Item No.","@@"&amp;$F1784,"3 Posting Date",Z$9)</t>
  </si>
  <si>
    <t>=-NL("Sum","5802 Value Entry","151 Cost Amount (Expected)","41 Source Type",$C$5,"5 Source No.",$C1784,"4 Item Ledger Entry Type",$C$4,"2 Item No.","@@"&amp;$F1784,"3 Posting Date",Z$9)-NL("Sum","5802 Value Entry","43 Cost Amount (Actual)","41 Source Type",$C$5,"5 Source no.",$C1784,"4 Item Ledger Entry Type",$C$4,"2 Item No.","@@"&amp;$F1784,"3 Posting Date",Z$9)</t>
  </si>
  <si>
    <t>=Z1784-AB1784</t>
  </si>
  <si>
    <t>=IF(Z1784&lt;&gt;0,AC1784/Z1784,"")</t>
  </si>
  <si>
    <t>=C1784</t>
  </si>
  <si>
    <t>=NL("Sum","5802 Value Entry","150 Sales Amount (Expected)","41 Source Type",$C$5,"5 Source No.",$C1785,"4 Item Ledger Entry Type",$C$4,"2 Item No.","@@"&amp;$F1785,"3 Posting Date",J$9)+NL("Sum","5802 Value Entry","17 Sales Amount (Actual)","41 Source Type",$C$5,"5 Source no.",$C1785,"4 Item Ledger Entry Type",$C$4,"2 Item No.","@@"&amp;$F1785,"3 Posting Date",J$9)</t>
  </si>
  <si>
    <t>=-NL("Sum","5802 Value Entry","151 Cost Amount (Expected)","41 Source Type",$C$5,"5 Source No.",$C1785,"4 Item Ledger Entry Type",$C$4,"2 Item No.","@@"&amp;$F1785,"3 Posting Date",J$9)-NL("Sum","5802 Value Entry","43 Cost Amount (Actual)","41 Source Type",$C$5,"5 Source no.",$C1785,"4 Item Ledger Entry Type",$C$4,"2 Item No.","@@"&amp;$F1785,"3 Posting Date",J$9)</t>
  </si>
  <si>
    <t>=J1785-L1785</t>
  </si>
  <si>
    <t>=IF(J1785&lt;&gt;0,M1785/J1785,"")</t>
  </si>
  <si>
    <t>=NL("Sum","5802 Value Entry","150 Sales Amount (Expected)","41 Source Type",$C$5,"5 Source No.",$C1785,"4 Item Ledger Entry Type",$C$4,"2 Item No.","@@"&amp;$F1785,"3 Posting Date",O$9)+NL("Sum","5802 Value Entry","17 Sales Amount (Actual)","41 Source Type",$C$5,"5 Source no.",$C1785,"4 Item Ledger Entry Type",$C$4,"2 Item No.","@@"&amp;$F1785,"3 Posting Date",O$9)</t>
  </si>
  <si>
    <t>=-NL("Sum","5802 Value Entry","151 Cost Amount (Expected)","41 Source Type",$C$5,"5 Source No.",$C1785,"4 Item Ledger Entry Type",$C$4,"2 Item No.","@@"&amp;$F1785,"3 Posting Date",O$9)-NL("Sum","5802 Value Entry","43 Cost Amount (Actual)","41 Source Type",$C$5,"5 Source no.",$C1785,"4 Item Ledger Entry Type",$C$4,"2 Item No.","@@"&amp;$F1785,"3 Posting Date",O$9)</t>
  </si>
  <si>
    <t>=O1785-Q1785</t>
  </si>
  <si>
    <t>=IF(O1785&lt;&gt;0,R1785/O1785,"")</t>
  </si>
  <si>
    <t>=NL("Sum","5802 Value Entry","150 Sales Amount (Expected)","41 Source Type",$C$5,"5 Source No.",$C1785,"4 Item Ledger Entry Type",$C$4,"2 Item No.","@@"&amp;$F1785,"3 Posting Date",U$9)+NL("Sum","5802 Value Entry","17 Sales Amount (Actual)","41 Source Type",$C$5,"5 Source no.",$C1785,"4 Item Ledger Entry Type",$C$4,"2 Item No.","@@"&amp;$F1785,"3 Posting Date",U$9)</t>
  </si>
  <si>
    <t>=-NL("Sum","5802 Value Entry","151 Cost Amount (Expected)","41 Source Type",$C$5,"5 Source No.",$C1785,"4 Item Ledger Entry Type",$C$4,"2 Item No.","@@"&amp;$F1785,"3 Posting Date",U$9)-NL("Sum","5802 Value Entry","43 Cost Amount (Actual)","41 Source Type",$C$5,"5 Source no.",$C1785,"4 Item Ledger Entry Type",$C$4,"2 Item No.","@@"&amp;$F1785,"3 Posting Date",U$9)</t>
  </si>
  <si>
    <t>=U1785-W1785</t>
  </si>
  <si>
    <t>=IF(U1785&lt;&gt;0,X1785/U1785,"")</t>
  </si>
  <si>
    <t>=NL("Sum","5802 Value Entry","150 Sales Amount (Expected)","41 Source Type",$C$5,"5 Source No.",$C1785,"4 Item Ledger Entry Type",$C$4,"2 Item No.","@@"&amp;$F1785,"3 Posting Date",Z$9)+NL("Sum","5802 Value Entry","17 Sales Amount (Actual)","41 Source Type",$C$5,"5 Source no.",$C1785,"4 Item Ledger Entry Type",$C$4,"2 Item No.","@@"&amp;$F1785,"3 Posting Date",Z$9)</t>
  </si>
  <si>
    <t>=-NL("Sum","5802 Value Entry","151 Cost Amount (Expected)","41 Source Type",$C$5,"5 Source No.",$C1785,"4 Item Ledger Entry Type",$C$4,"2 Item No.","@@"&amp;$F1785,"3 Posting Date",Z$9)-NL("Sum","5802 Value Entry","43 Cost Amount (Actual)","41 Source Type",$C$5,"5 Source no.",$C1785,"4 Item Ledger Entry Type",$C$4,"2 Item No.","@@"&amp;$F1785,"3 Posting Date",Z$9)</t>
  </si>
  <si>
    <t>=Z1785-AB1785</t>
  </si>
  <si>
    <t>=IF(Z1785&lt;&gt;0,AC1785/Z1785,"")</t>
  </si>
  <si>
    <t>=C1785</t>
  </si>
  <si>
    <t>=NL("Sum","5802 Value Entry","150 Sales Amount (Expected)","41 Source Type",$C$5,"5 Source No.",$C1786,"4 Item Ledger Entry Type",$C$4,"2 Item No.","@@"&amp;$F1786,"3 Posting Date",J$9)+NL("Sum","5802 Value Entry","17 Sales Amount (Actual)","41 Source Type",$C$5,"5 Source no.",$C1786,"4 Item Ledger Entry Type",$C$4,"2 Item No.","@@"&amp;$F1786,"3 Posting Date",J$9)</t>
  </si>
  <si>
    <t>=-NL("Sum","5802 Value Entry","151 Cost Amount (Expected)","41 Source Type",$C$5,"5 Source No.",$C1786,"4 Item Ledger Entry Type",$C$4,"2 Item No.","@@"&amp;$F1786,"3 Posting Date",J$9)-NL("Sum","5802 Value Entry","43 Cost Amount (Actual)","41 Source Type",$C$5,"5 Source no.",$C1786,"4 Item Ledger Entry Type",$C$4,"2 Item No.","@@"&amp;$F1786,"3 Posting Date",J$9)</t>
  </si>
  <si>
    <t>=J1786-L1786</t>
  </si>
  <si>
    <t>=IF(J1786&lt;&gt;0,M1786/J1786,"")</t>
  </si>
  <si>
    <t>=NL("Sum","5802 Value Entry","150 Sales Amount (Expected)","41 Source Type",$C$5,"5 Source No.",$C1786,"4 Item Ledger Entry Type",$C$4,"2 Item No.","@@"&amp;$F1786,"3 Posting Date",O$9)+NL("Sum","5802 Value Entry","17 Sales Amount (Actual)","41 Source Type",$C$5,"5 Source no.",$C1786,"4 Item Ledger Entry Type",$C$4,"2 Item No.","@@"&amp;$F1786,"3 Posting Date",O$9)</t>
  </si>
  <si>
    <t>=-NL("Sum","5802 Value Entry","151 Cost Amount (Expected)","41 Source Type",$C$5,"5 Source No.",$C1786,"4 Item Ledger Entry Type",$C$4,"2 Item No.","@@"&amp;$F1786,"3 Posting Date",O$9)-NL("Sum","5802 Value Entry","43 Cost Amount (Actual)","41 Source Type",$C$5,"5 Source no.",$C1786,"4 Item Ledger Entry Type",$C$4,"2 Item No.","@@"&amp;$F1786,"3 Posting Date",O$9)</t>
  </si>
  <si>
    <t>=O1786-Q1786</t>
  </si>
  <si>
    <t>=IF(O1786&lt;&gt;0,R1786/O1786,"")</t>
  </si>
  <si>
    <t>=NL("Sum","5802 Value Entry","150 Sales Amount (Expected)","41 Source Type",$C$5,"5 Source No.",$C1786,"4 Item Ledger Entry Type",$C$4,"2 Item No.","@@"&amp;$F1786,"3 Posting Date",U$9)+NL("Sum","5802 Value Entry","17 Sales Amount (Actual)","41 Source Type",$C$5,"5 Source no.",$C1786,"4 Item Ledger Entry Type",$C$4,"2 Item No.","@@"&amp;$F1786,"3 Posting Date",U$9)</t>
  </si>
  <si>
    <t>=-NL("Sum","5802 Value Entry","151 Cost Amount (Expected)","41 Source Type",$C$5,"5 Source No.",$C1786,"4 Item Ledger Entry Type",$C$4,"2 Item No.","@@"&amp;$F1786,"3 Posting Date",U$9)-NL("Sum","5802 Value Entry","43 Cost Amount (Actual)","41 Source Type",$C$5,"5 Source no.",$C1786,"4 Item Ledger Entry Type",$C$4,"2 Item No.","@@"&amp;$F1786,"3 Posting Date",U$9)</t>
  </si>
  <si>
    <t>=U1786-W1786</t>
  </si>
  <si>
    <t>=IF(U1786&lt;&gt;0,X1786/U1786,"")</t>
  </si>
  <si>
    <t>=NL("Sum","5802 Value Entry","150 Sales Amount (Expected)","41 Source Type",$C$5,"5 Source No.",$C1786,"4 Item Ledger Entry Type",$C$4,"2 Item No.","@@"&amp;$F1786,"3 Posting Date",Z$9)+NL("Sum","5802 Value Entry","17 Sales Amount (Actual)","41 Source Type",$C$5,"5 Source no.",$C1786,"4 Item Ledger Entry Type",$C$4,"2 Item No.","@@"&amp;$F1786,"3 Posting Date",Z$9)</t>
  </si>
  <si>
    <t>=-NL("Sum","5802 Value Entry","151 Cost Amount (Expected)","41 Source Type",$C$5,"5 Source No.",$C1786,"4 Item Ledger Entry Type",$C$4,"2 Item No.","@@"&amp;$F1786,"3 Posting Date",Z$9)-NL("Sum","5802 Value Entry","43 Cost Amount (Actual)","41 Source Type",$C$5,"5 Source no.",$C1786,"4 Item Ledger Entry Type",$C$4,"2 Item No.","@@"&amp;$F1786,"3 Posting Date",Z$9)</t>
  </si>
  <si>
    <t>=Z1786-AB1786</t>
  </si>
  <si>
    <t>=IF(Z1786&lt;&gt;0,AC1786/Z1786,"")</t>
  </si>
  <si>
    <t>=C1786</t>
  </si>
  <si>
    <t>=NL("Sum","5802 Value Entry","150 Sales Amount (Expected)","41 Source Type",$C$5,"5 Source No.",$C1787,"4 Item Ledger Entry Type",$C$4,"2 Item No.","@@"&amp;$F1787,"3 Posting Date",J$9)+NL("Sum","5802 Value Entry","17 Sales Amount (Actual)","41 Source Type",$C$5,"5 Source no.",$C1787,"4 Item Ledger Entry Type",$C$4,"2 Item No.","@@"&amp;$F1787,"3 Posting Date",J$9)</t>
  </si>
  <si>
    <t>=-NL("Sum","5802 Value Entry","151 Cost Amount (Expected)","41 Source Type",$C$5,"5 Source No.",$C1787,"4 Item Ledger Entry Type",$C$4,"2 Item No.","@@"&amp;$F1787,"3 Posting Date",J$9)-NL("Sum","5802 Value Entry","43 Cost Amount (Actual)","41 Source Type",$C$5,"5 Source no.",$C1787,"4 Item Ledger Entry Type",$C$4,"2 Item No.","@@"&amp;$F1787,"3 Posting Date",J$9)</t>
  </si>
  <si>
    <t>=J1787-L1787</t>
  </si>
  <si>
    <t>=IF(J1787&lt;&gt;0,M1787/J1787,"")</t>
  </si>
  <si>
    <t>=NL("Sum","5802 Value Entry","150 Sales Amount (Expected)","41 Source Type",$C$5,"5 Source No.",$C1787,"4 Item Ledger Entry Type",$C$4,"2 Item No.","@@"&amp;$F1787,"3 Posting Date",O$9)+NL("Sum","5802 Value Entry","17 Sales Amount (Actual)","41 Source Type",$C$5,"5 Source no.",$C1787,"4 Item Ledger Entry Type",$C$4,"2 Item No.","@@"&amp;$F1787,"3 Posting Date",O$9)</t>
  </si>
  <si>
    <t>=-NL("Sum","5802 Value Entry","151 Cost Amount (Expected)","41 Source Type",$C$5,"5 Source No.",$C1787,"4 Item Ledger Entry Type",$C$4,"2 Item No.","@@"&amp;$F1787,"3 Posting Date",O$9)-NL("Sum","5802 Value Entry","43 Cost Amount (Actual)","41 Source Type",$C$5,"5 Source no.",$C1787,"4 Item Ledger Entry Type",$C$4,"2 Item No.","@@"&amp;$F1787,"3 Posting Date",O$9)</t>
  </si>
  <si>
    <t>=O1787-Q1787</t>
  </si>
  <si>
    <t>=IF(O1787&lt;&gt;0,R1787/O1787,"")</t>
  </si>
  <si>
    <t>=NL("Sum","5802 Value Entry","150 Sales Amount (Expected)","41 Source Type",$C$5,"5 Source No.",$C1787,"4 Item Ledger Entry Type",$C$4,"2 Item No.","@@"&amp;$F1787,"3 Posting Date",U$9)+NL("Sum","5802 Value Entry","17 Sales Amount (Actual)","41 Source Type",$C$5,"5 Source no.",$C1787,"4 Item Ledger Entry Type",$C$4,"2 Item No.","@@"&amp;$F1787,"3 Posting Date",U$9)</t>
  </si>
  <si>
    <t>=-NL("Sum","5802 Value Entry","151 Cost Amount (Expected)","41 Source Type",$C$5,"5 Source No.",$C1787,"4 Item Ledger Entry Type",$C$4,"2 Item No.","@@"&amp;$F1787,"3 Posting Date",U$9)-NL("Sum","5802 Value Entry","43 Cost Amount (Actual)","41 Source Type",$C$5,"5 Source no.",$C1787,"4 Item Ledger Entry Type",$C$4,"2 Item No.","@@"&amp;$F1787,"3 Posting Date",U$9)</t>
  </si>
  <si>
    <t>=U1787-W1787</t>
  </si>
  <si>
    <t>=IF(U1787&lt;&gt;0,X1787/U1787,"")</t>
  </si>
  <si>
    <t>=NL("Sum","5802 Value Entry","150 Sales Amount (Expected)","41 Source Type",$C$5,"5 Source No.",$C1787,"4 Item Ledger Entry Type",$C$4,"2 Item No.","@@"&amp;$F1787,"3 Posting Date",Z$9)+NL("Sum","5802 Value Entry","17 Sales Amount (Actual)","41 Source Type",$C$5,"5 Source no.",$C1787,"4 Item Ledger Entry Type",$C$4,"2 Item No.","@@"&amp;$F1787,"3 Posting Date",Z$9)</t>
  </si>
  <si>
    <t>=-NL("Sum","5802 Value Entry","151 Cost Amount (Expected)","41 Source Type",$C$5,"5 Source No.",$C1787,"4 Item Ledger Entry Type",$C$4,"2 Item No.","@@"&amp;$F1787,"3 Posting Date",Z$9)-NL("Sum","5802 Value Entry","43 Cost Amount (Actual)","41 Source Type",$C$5,"5 Source no.",$C1787,"4 Item Ledger Entry Type",$C$4,"2 Item No.","@@"&amp;$F1787,"3 Posting Date",Z$9)</t>
  </si>
  <si>
    <t>=Z1787-AB1787</t>
  </si>
  <si>
    <t>=IF(Z1787&lt;&gt;0,AC1787/Z1787,"")</t>
  </si>
  <si>
    <t>=C1788</t>
  </si>
  <si>
    <t>=J1789-L1789</t>
  </si>
  <si>
    <t>=IF(J1789&lt;&gt;0,M1789/J1789,"")</t>
  </si>
  <si>
    <t>=O1789-Q1789</t>
  </si>
  <si>
    <t>=IF(O1789&lt;&gt;0,R1789/O1789,"")</t>
  </si>
  <si>
    <t>=U1789-W1789</t>
  </si>
  <si>
    <t>=IF(U1789&lt;&gt;0,X1789/U1789,"")</t>
  </si>
  <si>
    <t>=Z1789-AB1789</t>
  </si>
  <si>
    <t>=IF(Z1789&lt;&gt;0,AC1789/Z1789,"")</t>
  </si>
  <si>
    <t>="C100094"</t>
  </si>
  <si>
    <t>=C1791</t>
  </si>
  <si>
    <t>=C1792</t>
  </si>
  <si>
    <t>=NL("Sum","5802 Value Entry","150 Sales Amount (Expected)","41 Source Type",$C$5,"5 Source No.",$C1793,"4 Item Ledger Entry Type",$C$4,"2 Item No.","@@"&amp;$F1793,"3 Posting Date",J$9)+NL("Sum","5802 Value Entry","17 Sales Amount (Actual)","41 Source Type",$C$5,"5 Source no.",$C1793,"4 Item Ledger Entry Type",$C$4,"2 Item No.","@@"&amp;$F1793,"3 Posting Date",J$9)</t>
  </si>
  <si>
    <t>=-NL("Sum","5802 Value Entry","151 Cost Amount (Expected)","41 Source Type",$C$5,"5 Source No.",$C1793,"4 Item Ledger Entry Type",$C$4,"2 Item No.","@@"&amp;$F1793,"3 Posting Date",J$9)-NL("Sum","5802 Value Entry","43 Cost Amount (Actual)","41 Source Type",$C$5,"5 Source no.",$C1793,"4 Item Ledger Entry Type",$C$4,"2 Item No.","@@"&amp;$F1793,"3 Posting Date",J$9)</t>
  </si>
  <si>
    <t>=J1793-L1793</t>
  </si>
  <si>
    <t>=IF(J1793&lt;&gt;0,M1793/J1793,"")</t>
  </si>
  <si>
    <t>=NL("Sum","5802 Value Entry","150 Sales Amount (Expected)","41 Source Type",$C$5,"5 Source No.",$C1793,"4 Item Ledger Entry Type",$C$4,"2 Item No.","@@"&amp;$F1793,"3 Posting Date",O$9)+NL("Sum","5802 Value Entry","17 Sales Amount (Actual)","41 Source Type",$C$5,"5 Source no.",$C1793,"4 Item Ledger Entry Type",$C$4,"2 Item No.","@@"&amp;$F1793,"3 Posting Date",O$9)</t>
  </si>
  <si>
    <t>=-NL("Sum","5802 Value Entry","151 Cost Amount (Expected)","41 Source Type",$C$5,"5 Source No.",$C1793,"4 Item Ledger Entry Type",$C$4,"2 Item No.","@@"&amp;$F1793,"3 Posting Date",O$9)-NL("Sum","5802 Value Entry","43 Cost Amount (Actual)","41 Source Type",$C$5,"5 Source no.",$C1793,"4 Item Ledger Entry Type",$C$4,"2 Item No.","@@"&amp;$F1793,"3 Posting Date",O$9)</t>
  </si>
  <si>
    <t>=O1793-Q1793</t>
  </si>
  <si>
    <t>=IF(O1793&lt;&gt;0,R1793/O1793,"")</t>
  </si>
  <si>
    <t>=NL("Sum","5802 Value Entry","150 Sales Amount (Expected)","41 Source Type",$C$5,"5 Source No.",$C1793,"4 Item Ledger Entry Type",$C$4,"2 Item No.","@@"&amp;$F1793,"3 Posting Date",U$9)+NL("Sum","5802 Value Entry","17 Sales Amount (Actual)","41 Source Type",$C$5,"5 Source no.",$C1793,"4 Item Ledger Entry Type",$C$4,"2 Item No.","@@"&amp;$F1793,"3 Posting Date",U$9)</t>
  </si>
  <si>
    <t>=-NL("Sum","5802 Value Entry","151 Cost Amount (Expected)","41 Source Type",$C$5,"5 Source No.",$C1793,"4 Item Ledger Entry Type",$C$4,"2 Item No.","@@"&amp;$F1793,"3 Posting Date",U$9)-NL("Sum","5802 Value Entry","43 Cost Amount (Actual)","41 Source Type",$C$5,"5 Source no.",$C1793,"4 Item Ledger Entry Type",$C$4,"2 Item No.","@@"&amp;$F1793,"3 Posting Date",U$9)</t>
  </si>
  <si>
    <t>=U1793-W1793</t>
  </si>
  <si>
    <t>=IF(U1793&lt;&gt;0,X1793/U1793,"")</t>
  </si>
  <si>
    <t>=NL("Sum","5802 Value Entry","150 Sales Amount (Expected)","41 Source Type",$C$5,"5 Source No.",$C1793,"4 Item Ledger Entry Type",$C$4,"2 Item No.","@@"&amp;$F1793,"3 Posting Date",Z$9)+NL("Sum","5802 Value Entry","17 Sales Amount (Actual)","41 Source Type",$C$5,"5 Source no.",$C1793,"4 Item Ledger Entry Type",$C$4,"2 Item No.","@@"&amp;$F1793,"3 Posting Date",Z$9)</t>
  </si>
  <si>
    <t>=-NL("Sum","5802 Value Entry","151 Cost Amount (Expected)","41 Source Type",$C$5,"5 Source No.",$C1793,"4 Item Ledger Entry Type",$C$4,"2 Item No.","@@"&amp;$F1793,"3 Posting Date",Z$9)-NL("Sum","5802 Value Entry","43 Cost Amount (Actual)","41 Source Type",$C$5,"5 Source no.",$C1793,"4 Item Ledger Entry Type",$C$4,"2 Item No.","@@"&amp;$F1793,"3 Posting Date",Z$9)</t>
  </si>
  <si>
    <t>=Z1793-AB1793</t>
  </si>
  <si>
    <t>=IF(Z1793&lt;&gt;0,AC1793/Z1793,"")</t>
  </si>
  <si>
    <t>=C1793</t>
  </si>
  <si>
    <t>=NL("Sum","5802 Value Entry","150 Sales Amount (Expected)","41 Source Type",$C$5,"5 Source No.",$C1794,"4 Item Ledger Entry Type",$C$4,"2 Item No.","@@"&amp;$F1794,"3 Posting Date",J$9)+NL("Sum","5802 Value Entry","17 Sales Amount (Actual)","41 Source Type",$C$5,"5 Source no.",$C1794,"4 Item Ledger Entry Type",$C$4,"2 Item No.","@@"&amp;$F1794,"3 Posting Date",J$9)</t>
  </si>
  <si>
    <t>=-NL("Sum","5802 Value Entry","151 Cost Amount (Expected)","41 Source Type",$C$5,"5 Source No.",$C1794,"4 Item Ledger Entry Type",$C$4,"2 Item No.","@@"&amp;$F1794,"3 Posting Date",J$9)-NL("Sum","5802 Value Entry","43 Cost Amount (Actual)","41 Source Type",$C$5,"5 Source no.",$C1794,"4 Item Ledger Entry Type",$C$4,"2 Item No.","@@"&amp;$F1794,"3 Posting Date",J$9)</t>
  </si>
  <si>
    <t>=J1794-L1794</t>
  </si>
  <si>
    <t>=IF(J1794&lt;&gt;0,M1794/J1794,"")</t>
  </si>
  <si>
    <t>=NL("Sum","5802 Value Entry","150 Sales Amount (Expected)","41 Source Type",$C$5,"5 Source No.",$C1794,"4 Item Ledger Entry Type",$C$4,"2 Item No.","@@"&amp;$F1794,"3 Posting Date",O$9)+NL("Sum","5802 Value Entry","17 Sales Amount (Actual)","41 Source Type",$C$5,"5 Source no.",$C1794,"4 Item Ledger Entry Type",$C$4,"2 Item No.","@@"&amp;$F1794,"3 Posting Date",O$9)</t>
  </si>
  <si>
    <t>=-NL("Sum","5802 Value Entry","151 Cost Amount (Expected)","41 Source Type",$C$5,"5 Source No.",$C1794,"4 Item Ledger Entry Type",$C$4,"2 Item No.","@@"&amp;$F1794,"3 Posting Date",O$9)-NL("Sum","5802 Value Entry","43 Cost Amount (Actual)","41 Source Type",$C$5,"5 Source no.",$C1794,"4 Item Ledger Entry Type",$C$4,"2 Item No.","@@"&amp;$F1794,"3 Posting Date",O$9)</t>
  </si>
  <si>
    <t>=O1794-Q1794</t>
  </si>
  <si>
    <t>=IF(O1794&lt;&gt;0,R1794/O1794,"")</t>
  </si>
  <si>
    <t>=NL("Sum","5802 Value Entry","150 Sales Amount (Expected)","41 Source Type",$C$5,"5 Source No.",$C1794,"4 Item Ledger Entry Type",$C$4,"2 Item No.","@@"&amp;$F1794,"3 Posting Date",U$9)+NL("Sum","5802 Value Entry","17 Sales Amount (Actual)","41 Source Type",$C$5,"5 Source no.",$C1794,"4 Item Ledger Entry Type",$C$4,"2 Item No.","@@"&amp;$F1794,"3 Posting Date",U$9)</t>
  </si>
  <si>
    <t>=-NL("Sum","5802 Value Entry","151 Cost Amount (Expected)","41 Source Type",$C$5,"5 Source No.",$C1794,"4 Item Ledger Entry Type",$C$4,"2 Item No.","@@"&amp;$F1794,"3 Posting Date",U$9)-NL("Sum","5802 Value Entry","43 Cost Amount (Actual)","41 Source Type",$C$5,"5 Source no.",$C1794,"4 Item Ledger Entry Type",$C$4,"2 Item No.","@@"&amp;$F1794,"3 Posting Date",U$9)</t>
  </si>
  <si>
    <t>=U1794-W1794</t>
  </si>
  <si>
    <t>=IF(U1794&lt;&gt;0,X1794/U1794,"")</t>
  </si>
  <si>
    <t>=NL("Sum","5802 Value Entry","150 Sales Amount (Expected)","41 Source Type",$C$5,"5 Source No.",$C1794,"4 Item Ledger Entry Type",$C$4,"2 Item No.","@@"&amp;$F1794,"3 Posting Date",Z$9)+NL("Sum","5802 Value Entry","17 Sales Amount (Actual)","41 Source Type",$C$5,"5 Source no.",$C1794,"4 Item Ledger Entry Type",$C$4,"2 Item No.","@@"&amp;$F1794,"3 Posting Date",Z$9)</t>
  </si>
  <si>
    <t>=-NL("Sum","5802 Value Entry","151 Cost Amount (Expected)","41 Source Type",$C$5,"5 Source No.",$C1794,"4 Item Ledger Entry Type",$C$4,"2 Item No.","@@"&amp;$F1794,"3 Posting Date",Z$9)-NL("Sum","5802 Value Entry","43 Cost Amount (Actual)","41 Source Type",$C$5,"5 Source no.",$C1794,"4 Item Ledger Entry Type",$C$4,"2 Item No.","@@"&amp;$F1794,"3 Posting Date",Z$9)</t>
  </si>
  <si>
    <t>=Z1794-AB1794</t>
  </si>
  <si>
    <t>=IF(Z1794&lt;&gt;0,AC1794/Z1794,"")</t>
  </si>
  <si>
    <t>=C1794</t>
  </si>
  <si>
    <t>=NL("Sum","5802 Value Entry","150 Sales Amount (Expected)","41 Source Type",$C$5,"5 Source No.",$C1795,"4 Item Ledger Entry Type",$C$4,"2 Item No.","@@"&amp;$F1795,"3 Posting Date",J$9)+NL("Sum","5802 Value Entry","17 Sales Amount (Actual)","41 Source Type",$C$5,"5 Source no.",$C1795,"4 Item Ledger Entry Type",$C$4,"2 Item No.","@@"&amp;$F1795,"3 Posting Date",J$9)</t>
  </si>
  <si>
    <t>=-NL("Sum","5802 Value Entry","151 Cost Amount (Expected)","41 Source Type",$C$5,"5 Source No.",$C1795,"4 Item Ledger Entry Type",$C$4,"2 Item No.","@@"&amp;$F1795,"3 Posting Date",J$9)-NL("Sum","5802 Value Entry","43 Cost Amount (Actual)","41 Source Type",$C$5,"5 Source no.",$C1795,"4 Item Ledger Entry Type",$C$4,"2 Item No.","@@"&amp;$F1795,"3 Posting Date",J$9)</t>
  </si>
  <si>
    <t>=J1795-L1795</t>
  </si>
  <si>
    <t>=IF(J1795&lt;&gt;0,M1795/J1795,"")</t>
  </si>
  <si>
    <t>=NL("Sum","5802 Value Entry","150 Sales Amount (Expected)","41 Source Type",$C$5,"5 Source No.",$C1795,"4 Item Ledger Entry Type",$C$4,"2 Item No.","@@"&amp;$F1795,"3 Posting Date",O$9)+NL("Sum","5802 Value Entry","17 Sales Amount (Actual)","41 Source Type",$C$5,"5 Source no.",$C1795,"4 Item Ledger Entry Type",$C$4,"2 Item No.","@@"&amp;$F1795,"3 Posting Date",O$9)</t>
  </si>
  <si>
    <t>=-NL("Sum","5802 Value Entry","151 Cost Amount (Expected)","41 Source Type",$C$5,"5 Source No.",$C1795,"4 Item Ledger Entry Type",$C$4,"2 Item No.","@@"&amp;$F1795,"3 Posting Date",O$9)-NL("Sum","5802 Value Entry","43 Cost Amount (Actual)","41 Source Type",$C$5,"5 Source no.",$C1795,"4 Item Ledger Entry Type",$C$4,"2 Item No.","@@"&amp;$F1795,"3 Posting Date",O$9)</t>
  </si>
  <si>
    <t>=O1795-Q1795</t>
  </si>
  <si>
    <t>=IF(O1795&lt;&gt;0,R1795/O1795,"")</t>
  </si>
  <si>
    <t>=NL("Sum","5802 Value Entry","150 Sales Amount (Expected)","41 Source Type",$C$5,"5 Source No.",$C1795,"4 Item Ledger Entry Type",$C$4,"2 Item No.","@@"&amp;$F1795,"3 Posting Date",U$9)+NL("Sum","5802 Value Entry","17 Sales Amount (Actual)","41 Source Type",$C$5,"5 Source no.",$C1795,"4 Item Ledger Entry Type",$C$4,"2 Item No.","@@"&amp;$F1795,"3 Posting Date",U$9)</t>
  </si>
  <si>
    <t>=-NL("Sum","5802 Value Entry","151 Cost Amount (Expected)","41 Source Type",$C$5,"5 Source No.",$C1795,"4 Item Ledger Entry Type",$C$4,"2 Item No.","@@"&amp;$F1795,"3 Posting Date",U$9)-NL("Sum","5802 Value Entry","43 Cost Amount (Actual)","41 Source Type",$C$5,"5 Source no.",$C1795,"4 Item Ledger Entry Type",$C$4,"2 Item No.","@@"&amp;$F1795,"3 Posting Date",U$9)</t>
  </si>
  <si>
    <t>=U1795-W1795</t>
  </si>
  <si>
    <t>=IF(U1795&lt;&gt;0,X1795/U1795,"")</t>
  </si>
  <si>
    <t>=NL("Sum","5802 Value Entry","150 Sales Amount (Expected)","41 Source Type",$C$5,"5 Source No.",$C1795,"4 Item Ledger Entry Type",$C$4,"2 Item No.","@@"&amp;$F1795,"3 Posting Date",Z$9)+NL("Sum","5802 Value Entry","17 Sales Amount (Actual)","41 Source Type",$C$5,"5 Source no.",$C1795,"4 Item Ledger Entry Type",$C$4,"2 Item No.","@@"&amp;$F1795,"3 Posting Date",Z$9)</t>
  </si>
  <si>
    <t>=-NL("Sum","5802 Value Entry","151 Cost Amount (Expected)","41 Source Type",$C$5,"5 Source No.",$C1795,"4 Item Ledger Entry Type",$C$4,"2 Item No.","@@"&amp;$F1795,"3 Posting Date",Z$9)-NL("Sum","5802 Value Entry","43 Cost Amount (Actual)","41 Source Type",$C$5,"5 Source no.",$C1795,"4 Item Ledger Entry Type",$C$4,"2 Item No.","@@"&amp;$F1795,"3 Posting Date",Z$9)</t>
  </si>
  <si>
    <t>=Z1795-AB1795</t>
  </si>
  <si>
    <t>=IF(Z1795&lt;&gt;0,AC1795/Z1795,"")</t>
  </si>
  <si>
    <t>=C1795</t>
  </si>
  <si>
    <t>=NL("Sum","5802 Value Entry","150 Sales Amount (Expected)","41 Source Type",$C$5,"5 Source No.",$C1796,"4 Item Ledger Entry Type",$C$4,"2 Item No.","@@"&amp;$F1796,"3 Posting Date",J$9)+NL("Sum","5802 Value Entry","17 Sales Amount (Actual)","41 Source Type",$C$5,"5 Source no.",$C1796,"4 Item Ledger Entry Type",$C$4,"2 Item No.","@@"&amp;$F1796,"3 Posting Date",J$9)</t>
  </si>
  <si>
    <t>=-NL("Sum","5802 Value Entry","151 Cost Amount (Expected)","41 Source Type",$C$5,"5 Source No.",$C1796,"4 Item Ledger Entry Type",$C$4,"2 Item No.","@@"&amp;$F1796,"3 Posting Date",J$9)-NL("Sum","5802 Value Entry","43 Cost Amount (Actual)","41 Source Type",$C$5,"5 Source no.",$C1796,"4 Item Ledger Entry Type",$C$4,"2 Item No.","@@"&amp;$F1796,"3 Posting Date",J$9)</t>
  </si>
  <si>
    <t>=J1796-L1796</t>
  </si>
  <si>
    <t>=IF(J1796&lt;&gt;0,M1796/J1796,"")</t>
  </si>
  <si>
    <t>=NL("Sum","5802 Value Entry","150 Sales Amount (Expected)","41 Source Type",$C$5,"5 Source No.",$C1796,"4 Item Ledger Entry Type",$C$4,"2 Item No.","@@"&amp;$F1796,"3 Posting Date",O$9)+NL("Sum","5802 Value Entry","17 Sales Amount (Actual)","41 Source Type",$C$5,"5 Source no.",$C1796,"4 Item Ledger Entry Type",$C$4,"2 Item No.","@@"&amp;$F1796,"3 Posting Date",O$9)</t>
  </si>
  <si>
    <t>=-NL("Sum","5802 Value Entry","151 Cost Amount (Expected)","41 Source Type",$C$5,"5 Source No.",$C1796,"4 Item Ledger Entry Type",$C$4,"2 Item No.","@@"&amp;$F1796,"3 Posting Date",O$9)-NL("Sum","5802 Value Entry","43 Cost Amount (Actual)","41 Source Type",$C$5,"5 Source no.",$C1796,"4 Item Ledger Entry Type",$C$4,"2 Item No.","@@"&amp;$F1796,"3 Posting Date",O$9)</t>
  </si>
  <si>
    <t>=O1796-Q1796</t>
  </si>
  <si>
    <t>=IF(O1796&lt;&gt;0,R1796/O1796,"")</t>
  </si>
  <si>
    <t>=NL("Sum","5802 Value Entry","150 Sales Amount (Expected)","41 Source Type",$C$5,"5 Source No.",$C1796,"4 Item Ledger Entry Type",$C$4,"2 Item No.","@@"&amp;$F1796,"3 Posting Date",U$9)+NL("Sum","5802 Value Entry","17 Sales Amount (Actual)","41 Source Type",$C$5,"5 Source no.",$C1796,"4 Item Ledger Entry Type",$C$4,"2 Item No.","@@"&amp;$F1796,"3 Posting Date",U$9)</t>
  </si>
  <si>
    <t>=-NL("Sum","5802 Value Entry","151 Cost Amount (Expected)","41 Source Type",$C$5,"5 Source No.",$C1796,"4 Item Ledger Entry Type",$C$4,"2 Item No.","@@"&amp;$F1796,"3 Posting Date",U$9)-NL("Sum","5802 Value Entry","43 Cost Amount (Actual)","41 Source Type",$C$5,"5 Source no.",$C1796,"4 Item Ledger Entry Type",$C$4,"2 Item No.","@@"&amp;$F1796,"3 Posting Date",U$9)</t>
  </si>
  <si>
    <t>=U1796-W1796</t>
  </si>
  <si>
    <t>=IF(U1796&lt;&gt;0,X1796/U1796,"")</t>
  </si>
  <si>
    <t>=NL("Sum","5802 Value Entry","150 Sales Amount (Expected)","41 Source Type",$C$5,"5 Source No.",$C1796,"4 Item Ledger Entry Type",$C$4,"2 Item No.","@@"&amp;$F1796,"3 Posting Date",Z$9)+NL("Sum","5802 Value Entry","17 Sales Amount (Actual)","41 Source Type",$C$5,"5 Source no.",$C1796,"4 Item Ledger Entry Type",$C$4,"2 Item No.","@@"&amp;$F1796,"3 Posting Date",Z$9)</t>
  </si>
  <si>
    <t>=-NL("Sum","5802 Value Entry","151 Cost Amount (Expected)","41 Source Type",$C$5,"5 Source No.",$C1796,"4 Item Ledger Entry Type",$C$4,"2 Item No.","@@"&amp;$F1796,"3 Posting Date",Z$9)-NL("Sum","5802 Value Entry","43 Cost Amount (Actual)","41 Source Type",$C$5,"5 Source no.",$C1796,"4 Item Ledger Entry Type",$C$4,"2 Item No.","@@"&amp;$F1796,"3 Posting Date",Z$9)</t>
  </si>
  <si>
    <t>=Z1796-AB1796</t>
  </si>
  <si>
    <t>=IF(Z1796&lt;&gt;0,AC1796/Z1796,"")</t>
  </si>
  <si>
    <t>=C1797</t>
  </si>
  <si>
    <t>=J1798-L1798</t>
  </si>
  <si>
    <t>=IF(J1798&lt;&gt;0,M1798/J1798,"")</t>
  </si>
  <si>
    <t>=O1798-Q1798</t>
  </si>
  <si>
    <t>=IF(O1798&lt;&gt;0,R1798/O1798,"")</t>
  </si>
  <si>
    <t>=U1798-W1798</t>
  </si>
  <si>
    <t>=IF(U1798&lt;&gt;0,X1798/U1798,"")</t>
  </si>
  <si>
    <t>=Z1798-AB1798</t>
  </si>
  <si>
    <t>=IF(Z1798&lt;&gt;0,AC1798/Z1798,"")</t>
  </si>
  <si>
    <t>=C1800</t>
  </si>
  <si>
    <t>=C1801</t>
  </si>
  <si>
    <t>=NL("Sum","5802 Value Entry","150 Sales Amount (Expected)","41 Source Type",$C$5,"5 Source No.",$C1802,"4 Item Ledger Entry Type",$C$4,"2 Item No.","@@"&amp;$F1802,"3 Posting Date",J$9)+NL("Sum","5802 Value Entry","17 Sales Amount (Actual)","41 Source Type",$C$5,"5 Source no.",$C1802,"4 Item Ledger Entry Type",$C$4,"2 Item No.","@@"&amp;$F1802,"3 Posting Date",J$9)</t>
  </si>
  <si>
    <t>=-NL("Sum","5802 Value Entry","151 Cost Amount (Expected)","41 Source Type",$C$5,"5 Source No.",$C1802,"4 Item Ledger Entry Type",$C$4,"2 Item No.","@@"&amp;$F1802,"3 Posting Date",J$9)-NL("Sum","5802 Value Entry","43 Cost Amount (Actual)","41 Source Type",$C$5,"5 Source no.",$C1802,"4 Item Ledger Entry Type",$C$4,"2 Item No.","@@"&amp;$F1802,"3 Posting Date",J$9)</t>
  </si>
  <si>
    <t>=J1802-L1802</t>
  </si>
  <si>
    <t>=IF(J1802&lt;&gt;0,M1802/J1802,"")</t>
  </si>
  <si>
    <t>=NL("Sum","5802 Value Entry","150 Sales Amount (Expected)","41 Source Type",$C$5,"5 Source No.",$C1802,"4 Item Ledger Entry Type",$C$4,"2 Item No.","@@"&amp;$F1802,"3 Posting Date",O$9)+NL("Sum","5802 Value Entry","17 Sales Amount (Actual)","41 Source Type",$C$5,"5 Source no.",$C1802,"4 Item Ledger Entry Type",$C$4,"2 Item No.","@@"&amp;$F1802,"3 Posting Date",O$9)</t>
  </si>
  <si>
    <t>=-NL("Sum","5802 Value Entry","151 Cost Amount (Expected)","41 Source Type",$C$5,"5 Source No.",$C1802,"4 Item Ledger Entry Type",$C$4,"2 Item No.","@@"&amp;$F1802,"3 Posting Date",O$9)-NL("Sum","5802 Value Entry","43 Cost Amount (Actual)","41 Source Type",$C$5,"5 Source no.",$C1802,"4 Item Ledger Entry Type",$C$4,"2 Item No.","@@"&amp;$F1802,"3 Posting Date",O$9)</t>
  </si>
  <si>
    <t>=O1802-Q1802</t>
  </si>
  <si>
    <t>=IF(O1802&lt;&gt;0,R1802/O1802,"")</t>
  </si>
  <si>
    <t>=NL("Sum","5802 Value Entry","150 Sales Amount (Expected)","41 Source Type",$C$5,"5 Source No.",$C1802,"4 Item Ledger Entry Type",$C$4,"2 Item No.","@@"&amp;$F1802,"3 Posting Date",U$9)+NL("Sum","5802 Value Entry","17 Sales Amount (Actual)","41 Source Type",$C$5,"5 Source no.",$C1802,"4 Item Ledger Entry Type",$C$4,"2 Item No.","@@"&amp;$F1802,"3 Posting Date",U$9)</t>
  </si>
  <si>
    <t>=-NL("Sum","5802 Value Entry","151 Cost Amount (Expected)","41 Source Type",$C$5,"5 Source No.",$C1802,"4 Item Ledger Entry Type",$C$4,"2 Item No.","@@"&amp;$F1802,"3 Posting Date",U$9)-NL("Sum","5802 Value Entry","43 Cost Amount (Actual)","41 Source Type",$C$5,"5 Source no.",$C1802,"4 Item Ledger Entry Type",$C$4,"2 Item No.","@@"&amp;$F1802,"3 Posting Date",U$9)</t>
  </si>
  <si>
    <t>=U1802-W1802</t>
  </si>
  <si>
    <t>=IF(U1802&lt;&gt;0,X1802/U1802,"")</t>
  </si>
  <si>
    <t>=NL("Sum","5802 Value Entry","150 Sales Amount (Expected)","41 Source Type",$C$5,"5 Source No.",$C1802,"4 Item Ledger Entry Type",$C$4,"2 Item No.","@@"&amp;$F1802,"3 Posting Date",Z$9)+NL("Sum","5802 Value Entry","17 Sales Amount (Actual)","41 Source Type",$C$5,"5 Source no.",$C1802,"4 Item Ledger Entry Type",$C$4,"2 Item No.","@@"&amp;$F1802,"3 Posting Date",Z$9)</t>
  </si>
  <si>
    <t>=-NL("Sum","5802 Value Entry","151 Cost Amount (Expected)","41 Source Type",$C$5,"5 Source No.",$C1802,"4 Item Ledger Entry Type",$C$4,"2 Item No.","@@"&amp;$F1802,"3 Posting Date",Z$9)-NL("Sum","5802 Value Entry","43 Cost Amount (Actual)","41 Source Type",$C$5,"5 Source no.",$C1802,"4 Item Ledger Entry Type",$C$4,"2 Item No.","@@"&amp;$F1802,"3 Posting Date",Z$9)</t>
  </si>
  <si>
    <t>=Z1802-AB1802</t>
  </si>
  <si>
    <t>=IF(Z1802&lt;&gt;0,AC1802/Z1802,"")</t>
  </si>
  <si>
    <t>=C1802</t>
  </si>
  <si>
    <t>=NL("Sum","5802 Value Entry","150 Sales Amount (Expected)","41 Source Type",$C$5,"5 Source No.",$C1803,"4 Item Ledger Entry Type",$C$4,"2 Item No.","@@"&amp;$F1803,"3 Posting Date",J$9)+NL("Sum","5802 Value Entry","17 Sales Amount (Actual)","41 Source Type",$C$5,"5 Source no.",$C1803,"4 Item Ledger Entry Type",$C$4,"2 Item No.","@@"&amp;$F1803,"3 Posting Date",J$9)</t>
  </si>
  <si>
    <t>=-NL("Sum","5802 Value Entry","151 Cost Amount (Expected)","41 Source Type",$C$5,"5 Source No.",$C1803,"4 Item Ledger Entry Type",$C$4,"2 Item No.","@@"&amp;$F1803,"3 Posting Date",J$9)-NL("Sum","5802 Value Entry","43 Cost Amount (Actual)","41 Source Type",$C$5,"5 Source no.",$C1803,"4 Item Ledger Entry Type",$C$4,"2 Item No.","@@"&amp;$F1803,"3 Posting Date",J$9)</t>
  </si>
  <si>
    <t>=J1803-L1803</t>
  </si>
  <si>
    <t>=IF(J1803&lt;&gt;0,M1803/J1803,"")</t>
  </si>
  <si>
    <t>=NL("Sum","5802 Value Entry","150 Sales Amount (Expected)","41 Source Type",$C$5,"5 Source No.",$C1803,"4 Item Ledger Entry Type",$C$4,"2 Item No.","@@"&amp;$F1803,"3 Posting Date",O$9)+NL("Sum","5802 Value Entry","17 Sales Amount (Actual)","41 Source Type",$C$5,"5 Source no.",$C1803,"4 Item Ledger Entry Type",$C$4,"2 Item No.","@@"&amp;$F1803,"3 Posting Date",O$9)</t>
  </si>
  <si>
    <t>=-NL("Sum","5802 Value Entry","151 Cost Amount (Expected)","41 Source Type",$C$5,"5 Source No.",$C1803,"4 Item Ledger Entry Type",$C$4,"2 Item No.","@@"&amp;$F1803,"3 Posting Date",O$9)-NL("Sum","5802 Value Entry","43 Cost Amount (Actual)","41 Source Type",$C$5,"5 Source no.",$C1803,"4 Item Ledger Entry Type",$C$4,"2 Item No.","@@"&amp;$F1803,"3 Posting Date",O$9)</t>
  </si>
  <si>
    <t>=O1803-Q1803</t>
  </si>
  <si>
    <t>=IF(O1803&lt;&gt;0,R1803/O1803,"")</t>
  </si>
  <si>
    <t>=NL("Sum","5802 Value Entry","150 Sales Amount (Expected)","41 Source Type",$C$5,"5 Source No.",$C1803,"4 Item Ledger Entry Type",$C$4,"2 Item No.","@@"&amp;$F1803,"3 Posting Date",U$9)+NL("Sum","5802 Value Entry","17 Sales Amount (Actual)","41 Source Type",$C$5,"5 Source no.",$C1803,"4 Item Ledger Entry Type",$C$4,"2 Item No.","@@"&amp;$F1803,"3 Posting Date",U$9)</t>
  </si>
  <si>
    <t>=-NL("Sum","5802 Value Entry","151 Cost Amount (Expected)","41 Source Type",$C$5,"5 Source No.",$C1803,"4 Item Ledger Entry Type",$C$4,"2 Item No.","@@"&amp;$F1803,"3 Posting Date",U$9)-NL("Sum","5802 Value Entry","43 Cost Amount (Actual)","41 Source Type",$C$5,"5 Source no.",$C1803,"4 Item Ledger Entry Type",$C$4,"2 Item No.","@@"&amp;$F1803,"3 Posting Date",U$9)</t>
  </si>
  <si>
    <t>=U1803-W1803</t>
  </si>
  <si>
    <t>=IF(U1803&lt;&gt;0,X1803/U1803,"")</t>
  </si>
  <si>
    <t>=NL("Sum","5802 Value Entry","150 Sales Amount (Expected)","41 Source Type",$C$5,"5 Source No.",$C1803,"4 Item Ledger Entry Type",$C$4,"2 Item No.","@@"&amp;$F1803,"3 Posting Date",Z$9)+NL("Sum","5802 Value Entry","17 Sales Amount (Actual)","41 Source Type",$C$5,"5 Source no.",$C1803,"4 Item Ledger Entry Type",$C$4,"2 Item No.","@@"&amp;$F1803,"3 Posting Date",Z$9)</t>
  </si>
  <si>
    <t>=-NL("Sum","5802 Value Entry","151 Cost Amount (Expected)","41 Source Type",$C$5,"5 Source No.",$C1803,"4 Item Ledger Entry Type",$C$4,"2 Item No.","@@"&amp;$F1803,"3 Posting Date",Z$9)-NL("Sum","5802 Value Entry","43 Cost Amount (Actual)","41 Source Type",$C$5,"5 Source no.",$C1803,"4 Item Ledger Entry Type",$C$4,"2 Item No.","@@"&amp;$F1803,"3 Posting Date",Z$9)</t>
  </si>
  <si>
    <t>=Z1803-AB1803</t>
  </si>
  <si>
    <t>=IF(Z1803&lt;&gt;0,AC1803/Z1803,"")</t>
  </si>
  <si>
    <t>=C1803</t>
  </si>
  <si>
    <t>=NL("Sum","5802 Value Entry","150 Sales Amount (Expected)","41 Source Type",$C$5,"5 Source No.",$C1804,"4 Item Ledger Entry Type",$C$4,"2 Item No.","@@"&amp;$F1804,"3 Posting Date",J$9)+NL("Sum","5802 Value Entry","17 Sales Amount (Actual)","41 Source Type",$C$5,"5 Source no.",$C1804,"4 Item Ledger Entry Type",$C$4,"2 Item No.","@@"&amp;$F1804,"3 Posting Date",J$9)</t>
  </si>
  <si>
    <t>=-NL("Sum","5802 Value Entry","151 Cost Amount (Expected)","41 Source Type",$C$5,"5 Source No.",$C1804,"4 Item Ledger Entry Type",$C$4,"2 Item No.","@@"&amp;$F1804,"3 Posting Date",J$9)-NL("Sum","5802 Value Entry","43 Cost Amount (Actual)","41 Source Type",$C$5,"5 Source no.",$C1804,"4 Item Ledger Entry Type",$C$4,"2 Item No.","@@"&amp;$F1804,"3 Posting Date",J$9)</t>
  </si>
  <si>
    <t>=J1804-L1804</t>
  </si>
  <si>
    <t>=IF(J1804&lt;&gt;0,M1804/J1804,"")</t>
  </si>
  <si>
    <t>=NL("Sum","5802 Value Entry","150 Sales Amount (Expected)","41 Source Type",$C$5,"5 Source No.",$C1804,"4 Item Ledger Entry Type",$C$4,"2 Item No.","@@"&amp;$F1804,"3 Posting Date",O$9)+NL("Sum","5802 Value Entry","17 Sales Amount (Actual)","41 Source Type",$C$5,"5 Source no.",$C1804,"4 Item Ledger Entry Type",$C$4,"2 Item No.","@@"&amp;$F1804,"3 Posting Date",O$9)</t>
  </si>
  <si>
    <t>=-NL("Sum","5802 Value Entry","151 Cost Amount (Expected)","41 Source Type",$C$5,"5 Source No.",$C1804,"4 Item Ledger Entry Type",$C$4,"2 Item No.","@@"&amp;$F1804,"3 Posting Date",O$9)-NL("Sum","5802 Value Entry","43 Cost Amount (Actual)","41 Source Type",$C$5,"5 Source no.",$C1804,"4 Item Ledger Entry Type",$C$4,"2 Item No.","@@"&amp;$F1804,"3 Posting Date",O$9)</t>
  </si>
  <si>
    <t>=O1804-Q1804</t>
  </si>
  <si>
    <t>=IF(O1804&lt;&gt;0,R1804/O1804,"")</t>
  </si>
  <si>
    <t>=NL("Sum","5802 Value Entry","150 Sales Amount (Expected)","41 Source Type",$C$5,"5 Source No.",$C1804,"4 Item Ledger Entry Type",$C$4,"2 Item No.","@@"&amp;$F1804,"3 Posting Date",U$9)+NL("Sum","5802 Value Entry","17 Sales Amount (Actual)","41 Source Type",$C$5,"5 Source no.",$C1804,"4 Item Ledger Entry Type",$C$4,"2 Item No.","@@"&amp;$F1804,"3 Posting Date",U$9)</t>
  </si>
  <si>
    <t>=-NL("Sum","5802 Value Entry","151 Cost Amount (Expected)","41 Source Type",$C$5,"5 Source No.",$C1804,"4 Item Ledger Entry Type",$C$4,"2 Item No.","@@"&amp;$F1804,"3 Posting Date",U$9)-NL("Sum","5802 Value Entry","43 Cost Amount (Actual)","41 Source Type",$C$5,"5 Source no.",$C1804,"4 Item Ledger Entry Type",$C$4,"2 Item No.","@@"&amp;$F1804,"3 Posting Date",U$9)</t>
  </si>
  <si>
    <t>=U1804-W1804</t>
  </si>
  <si>
    <t>=IF(U1804&lt;&gt;0,X1804/U1804,"")</t>
  </si>
  <si>
    <t>=NL("Sum","5802 Value Entry","150 Sales Amount (Expected)","41 Source Type",$C$5,"5 Source No.",$C1804,"4 Item Ledger Entry Type",$C$4,"2 Item No.","@@"&amp;$F1804,"3 Posting Date",Z$9)+NL("Sum","5802 Value Entry","17 Sales Amount (Actual)","41 Source Type",$C$5,"5 Source no.",$C1804,"4 Item Ledger Entry Type",$C$4,"2 Item No.","@@"&amp;$F1804,"3 Posting Date",Z$9)</t>
  </si>
  <si>
    <t>=-NL("Sum","5802 Value Entry","151 Cost Amount (Expected)","41 Source Type",$C$5,"5 Source No.",$C1804,"4 Item Ledger Entry Type",$C$4,"2 Item No.","@@"&amp;$F1804,"3 Posting Date",Z$9)-NL("Sum","5802 Value Entry","43 Cost Amount (Actual)","41 Source Type",$C$5,"5 Source no.",$C1804,"4 Item Ledger Entry Type",$C$4,"2 Item No.","@@"&amp;$F1804,"3 Posting Date",Z$9)</t>
  </si>
  <si>
    <t>=Z1804-AB1804</t>
  </si>
  <si>
    <t>=IF(Z1804&lt;&gt;0,AC1804/Z1804,"")</t>
  </si>
  <si>
    <t>=C1804</t>
  </si>
  <si>
    <t>=NL("Sum","5802 Value Entry","150 Sales Amount (Expected)","41 Source Type",$C$5,"5 Source No.",$C1805,"4 Item Ledger Entry Type",$C$4,"2 Item No.","@@"&amp;$F1805,"3 Posting Date",J$9)+NL("Sum","5802 Value Entry","17 Sales Amount (Actual)","41 Source Type",$C$5,"5 Source no.",$C1805,"4 Item Ledger Entry Type",$C$4,"2 Item No.","@@"&amp;$F1805,"3 Posting Date",J$9)</t>
  </si>
  <si>
    <t>=-NL("Sum","5802 Value Entry","151 Cost Amount (Expected)","41 Source Type",$C$5,"5 Source No.",$C1805,"4 Item Ledger Entry Type",$C$4,"2 Item No.","@@"&amp;$F1805,"3 Posting Date",J$9)-NL("Sum","5802 Value Entry","43 Cost Amount (Actual)","41 Source Type",$C$5,"5 Source no.",$C1805,"4 Item Ledger Entry Type",$C$4,"2 Item No.","@@"&amp;$F1805,"3 Posting Date",J$9)</t>
  </si>
  <si>
    <t>=J1805-L1805</t>
  </si>
  <si>
    <t>=IF(J1805&lt;&gt;0,M1805/J1805,"")</t>
  </si>
  <si>
    <t>=NL("Sum","5802 Value Entry","150 Sales Amount (Expected)","41 Source Type",$C$5,"5 Source No.",$C1805,"4 Item Ledger Entry Type",$C$4,"2 Item No.","@@"&amp;$F1805,"3 Posting Date",O$9)+NL("Sum","5802 Value Entry","17 Sales Amount (Actual)","41 Source Type",$C$5,"5 Source no.",$C1805,"4 Item Ledger Entry Type",$C$4,"2 Item No.","@@"&amp;$F1805,"3 Posting Date",O$9)</t>
  </si>
  <si>
    <t>=-NL("Sum","5802 Value Entry","151 Cost Amount (Expected)","41 Source Type",$C$5,"5 Source No.",$C1805,"4 Item Ledger Entry Type",$C$4,"2 Item No.","@@"&amp;$F1805,"3 Posting Date",O$9)-NL("Sum","5802 Value Entry","43 Cost Amount (Actual)","41 Source Type",$C$5,"5 Source no.",$C1805,"4 Item Ledger Entry Type",$C$4,"2 Item No.","@@"&amp;$F1805,"3 Posting Date",O$9)</t>
  </si>
  <si>
    <t>=O1805-Q1805</t>
  </si>
  <si>
    <t>=IF(O1805&lt;&gt;0,R1805/O1805,"")</t>
  </si>
  <si>
    <t>=NL("Sum","5802 Value Entry","150 Sales Amount (Expected)","41 Source Type",$C$5,"5 Source No.",$C1805,"4 Item Ledger Entry Type",$C$4,"2 Item No.","@@"&amp;$F1805,"3 Posting Date",U$9)+NL("Sum","5802 Value Entry","17 Sales Amount (Actual)","41 Source Type",$C$5,"5 Source no.",$C1805,"4 Item Ledger Entry Type",$C$4,"2 Item No.","@@"&amp;$F1805,"3 Posting Date",U$9)</t>
  </si>
  <si>
    <t>=-NL("Sum","5802 Value Entry","151 Cost Amount (Expected)","41 Source Type",$C$5,"5 Source No.",$C1805,"4 Item Ledger Entry Type",$C$4,"2 Item No.","@@"&amp;$F1805,"3 Posting Date",U$9)-NL("Sum","5802 Value Entry","43 Cost Amount (Actual)","41 Source Type",$C$5,"5 Source no.",$C1805,"4 Item Ledger Entry Type",$C$4,"2 Item No.","@@"&amp;$F1805,"3 Posting Date",U$9)</t>
  </si>
  <si>
    <t>=U1805-W1805</t>
  </si>
  <si>
    <t>=IF(U1805&lt;&gt;0,X1805/U1805,"")</t>
  </si>
  <si>
    <t>=NL("Sum","5802 Value Entry","150 Sales Amount (Expected)","41 Source Type",$C$5,"5 Source No.",$C1805,"4 Item Ledger Entry Type",$C$4,"2 Item No.","@@"&amp;$F1805,"3 Posting Date",Z$9)+NL("Sum","5802 Value Entry","17 Sales Amount (Actual)","41 Source Type",$C$5,"5 Source no.",$C1805,"4 Item Ledger Entry Type",$C$4,"2 Item No.","@@"&amp;$F1805,"3 Posting Date",Z$9)</t>
  </si>
  <si>
    <t>=-NL("Sum","5802 Value Entry","151 Cost Amount (Expected)","41 Source Type",$C$5,"5 Source No.",$C1805,"4 Item Ledger Entry Type",$C$4,"2 Item No.","@@"&amp;$F1805,"3 Posting Date",Z$9)-NL("Sum","5802 Value Entry","43 Cost Amount (Actual)","41 Source Type",$C$5,"5 Source no.",$C1805,"4 Item Ledger Entry Type",$C$4,"2 Item No.","@@"&amp;$F1805,"3 Posting Date",Z$9)</t>
  </si>
  <si>
    <t>=Z1805-AB1805</t>
  </si>
  <si>
    <t>=IF(Z1805&lt;&gt;0,AC1805/Z1805,"")</t>
  </si>
  <si>
    <t>=C1805</t>
  </si>
  <si>
    <t>=NL("Sum","5802 Value Entry","150 Sales Amount (Expected)","41 Source Type",$C$5,"5 Source No.",$C1806,"4 Item Ledger Entry Type",$C$4,"2 Item No.","@@"&amp;$F1806,"3 Posting Date",J$9)+NL("Sum","5802 Value Entry","17 Sales Amount (Actual)","41 Source Type",$C$5,"5 Source no.",$C1806,"4 Item Ledger Entry Type",$C$4,"2 Item No.","@@"&amp;$F1806,"3 Posting Date",J$9)</t>
  </si>
  <si>
    <t>=-NL("Sum","5802 Value Entry","151 Cost Amount (Expected)","41 Source Type",$C$5,"5 Source No.",$C1806,"4 Item Ledger Entry Type",$C$4,"2 Item No.","@@"&amp;$F1806,"3 Posting Date",J$9)-NL("Sum","5802 Value Entry","43 Cost Amount (Actual)","41 Source Type",$C$5,"5 Source no.",$C1806,"4 Item Ledger Entry Type",$C$4,"2 Item No.","@@"&amp;$F1806,"3 Posting Date",J$9)</t>
  </si>
  <si>
    <t>=J1806-L1806</t>
  </si>
  <si>
    <t>=IF(J1806&lt;&gt;0,M1806/J1806,"")</t>
  </si>
  <si>
    <t>=NL("Sum","5802 Value Entry","150 Sales Amount (Expected)","41 Source Type",$C$5,"5 Source No.",$C1806,"4 Item Ledger Entry Type",$C$4,"2 Item No.","@@"&amp;$F1806,"3 Posting Date",O$9)+NL("Sum","5802 Value Entry","17 Sales Amount (Actual)","41 Source Type",$C$5,"5 Source no.",$C1806,"4 Item Ledger Entry Type",$C$4,"2 Item No.","@@"&amp;$F1806,"3 Posting Date",O$9)</t>
  </si>
  <si>
    <t>=-NL("Sum","5802 Value Entry","151 Cost Amount (Expected)","41 Source Type",$C$5,"5 Source No.",$C1806,"4 Item Ledger Entry Type",$C$4,"2 Item No.","@@"&amp;$F1806,"3 Posting Date",O$9)-NL("Sum","5802 Value Entry","43 Cost Amount (Actual)","41 Source Type",$C$5,"5 Source no.",$C1806,"4 Item Ledger Entry Type",$C$4,"2 Item No.","@@"&amp;$F1806,"3 Posting Date",O$9)</t>
  </si>
  <si>
    <t>=O1806-Q1806</t>
  </si>
  <si>
    <t>=IF(O1806&lt;&gt;0,R1806/O1806,"")</t>
  </si>
  <si>
    <t>=NL("Sum","5802 Value Entry","150 Sales Amount (Expected)","41 Source Type",$C$5,"5 Source No.",$C1806,"4 Item Ledger Entry Type",$C$4,"2 Item No.","@@"&amp;$F1806,"3 Posting Date",U$9)+NL("Sum","5802 Value Entry","17 Sales Amount (Actual)","41 Source Type",$C$5,"5 Source no.",$C1806,"4 Item Ledger Entry Type",$C$4,"2 Item No.","@@"&amp;$F1806,"3 Posting Date",U$9)</t>
  </si>
  <si>
    <t>=-NL("Sum","5802 Value Entry","151 Cost Amount (Expected)","41 Source Type",$C$5,"5 Source No.",$C1806,"4 Item Ledger Entry Type",$C$4,"2 Item No.","@@"&amp;$F1806,"3 Posting Date",U$9)-NL("Sum","5802 Value Entry","43 Cost Amount (Actual)","41 Source Type",$C$5,"5 Source no.",$C1806,"4 Item Ledger Entry Type",$C$4,"2 Item No.","@@"&amp;$F1806,"3 Posting Date",U$9)</t>
  </si>
  <si>
    <t>=U1806-W1806</t>
  </si>
  <si>
    <t>=IF(U1806&lt;&gt;0,X1806/U1806,"")</t>
  </si>
  <si>
    <t>=NL("Sum","5802 Value Entry","150 Sales Amount (Expected)","41 Source Type",$C$5,"5 Source No.",$C1806,"4 Item Ledger Entry Type",$C$4,"2 Item No.","@@"&amp;$F1806,"3 Posting Date",Z$9)+NL("Sum","5802 Value Entry","17 Sales Amount (Actual)","41 Source Type",$C$5,"5 Source no.",$C1806,"4 Item Ledger Entry Type",$C$4,"2 Item No.","@@"&amp;$F1806,"3 Posting Date",Z$9)</t>
  </si>
  <si>
    <t>=-NL("Sum","5802 Value Entry","151 Cost Amount (Expected)","41 Source Type",$C$5,"5 Source No.",$C1806,"4 Item Ledger Entry Type",$C$4,"2 Item No.","@@"&amp;$F1806,"3 Posting Date",Z$9)-NL("Sum","5802 Value Entry","43 Cost Amount (Actual)","41 Source Type",$C$5,"5 Source no.",$C1806,"4 Item Ledger Entry Type",$C$4,"2 Item No.","@@"&amp;$F1806,"3 Posting Date",Z$9)</t>
  </si>
  <si>
    <t>=Z1806-AB1806</t>
  </si>
  <si>
    <t>=IF(Z1806&lt;&gt;0,AC1806/Z1806,"")</t>
  </si>
  <si>
    <t>=C1806</t>
  </si>
  <si>
    <t>=NL("Sum","5802 Value Entry","150 Sales Amount (Expected)","41 Source Type",$C$5,"5 Source No.",$C1807,"4 Item Ledger Entry Type",$C$4,"2 Item No.","@@"&amp;$F1807,"3 Posting Date",J$9)+NL("Sum","5802 Value Entry","17 Sales Amount (Actual)","41 Source Type",$C$5,"5 Source no.",$C1807,"4 Item Ledger Entry Type",$C$4,"2 Item No.","@@"&amp;$F1807,"3 Posting Date",J$9)</t>
  </si>
  <si>
    <t>=-NL("Sum","5802 Value Entry","151 Cost Amount (Expected)","41 Source Type",$C$5,"5 Source No.",$C1807,"4 Item Ledger Entry Type",$C$4,"2 Item No.","@@"&amp;$F1807,"3 Posting Date",J$9)-NL("Sum","5802 Value Entry","43 Cost Amount (Actual)","41 Source Type",$C$5,"5 Source no.",$C1807,"4 Item Ledger Entry Type",$C$4,"2 Item No.","@@"&amp;$F1807,"3 Posting Date",J$9)</t>
  </si>
  <si>
    <t>=J1807-L1807</t>
  </si>
  <si>
    <t>=IF(J1807&lt;&gt;0,M1807/J1807,"")</t>
  </si>
  <si>
    <t>=NL("Sum","5802 Value Entry","150 Sales Amount (Expected)","41 Source Type",$C$5,"5 Source No.",$C1807,"4 Item Ledger Entry Type",$C$4,"2 Item No.","@@"&amp;$F1807,"3 Posting Date",O$9)+NL("Sum","5802 Value Entry","17 Sales Amount (Actual)","41 Source Type",$C$5,"5 Source no.",$C1807,"4 Item Ledger Entry Type",$C$4,"2 Item No.","@@"&amp;$F1807,"3 Posting Date",O$9)</t>
  </si>
  <si>
    <t>=-NL("Sum","5802 Value Entry","151 Cost Amount (Expected)","41 Source Type",$C$5,"5 Source No.",$C1807,"4 Item Ledger Entry Type",$C$4,"2 Item No.","@@"&amp;$F1807,"3 Posting Date",O$9)-NL("Sum","5802 Value Entry","43 Cost Amount (Actual)","41 Source Type",$C$5,"5 Source no.",$C1807,"4 Item Ledger Entry Type",$C$4,"2 Item No.","@@"&amp;$F1807,"3 Posting Date",O$9)</t>
  </si>
  <si>
    <t>=O1807-Q1807</t>
  </si>
  <si>
    <t>=IF(O1807&lt;&gt;0,R1807/O1807,"")</t>
  </si>
  <si>
    <t>=NL("Sum","5802 Value Entry","150 Sales Amount (Expected)","41 Source Type",$C$5,"5 Source No.",$C1807,"4 Item Ledger Entry Type",$C$4,"2 Item No.","@@"&amp;$F1807,"3 Posting Date",U$9)+NL("Sum","5802 Value Entry","17 Sales Amount (Actual)","41 Source Type",$C$5,"5 Source no.",$C1807,"4 Item Ledger Entry Type",$C$4,"2 Item No.","@@"&amp;$F1807,"3 Posting Date",U$9)</t>
  </si>
  <si>
    <t>=-NL("Sum","5802 Value Entry","151 Cost Amount (Expected)","41 Source Type",$C$5,"5 Source No.",$C1807,"4 Item Ledger Entry Type",$C$4,"2 Item No.","@@"&amp;$F1807,"3 Posting Date",U$9)-NL("Sum","5802 Value Entry","43 Cost Amount (Actual)","41 Source Type",$C$5,"5 Source no.",$C1807,"4 Item Ledger Entry Type",$C$4,"2 Item No.","@@"&amp;$F1807,"3 Posting Date",U$9)</t>
  </si>
  <si>
    <t>=U1807-W1807</t>
  </si>
  <si>
    <t>=IF(U1807&lt;&gt;0,X1807/U1807,"")</t>
  </si>
  <si>
    <t>=NL("Sum","5802 Value Entry","150 Sales Amount (Expected)","41 Source Type",$C$5,"5 Source No.",$C1807,"4 Item Ledger Entry Type",$C$4,"2 Item No.","@@"&amp;$F1807,"3 Posting Date",Z$9)+NL("Sum","5802 Value Entry","17 Sales Amount (Actual)","41 Source Type",$C$5,"5 Source no.",$C1807,"4 Item Ledger Entry Type",$C$4,"2 Item No.","@@"&amp;$F1807,"3 Posting Date",Z$9)</t>
  </si>
  <si>
    <t>=-NL("Sum","5802 Value Entry","151 Cost Amount (Expected)","41 Source Type",$C$5,"5 Source No.",$C1807,"4 Item Ledger Entry Type",$C$4,"2 Item No.","@@"&amp;$F1807,"3 Posting Date",Z$9)-NL("Sum","5802 Value Entry","43 Cost Amount (Actual)","41 Source Type",$C$5,"5 Source no.",$C1807,"4 Item Ledger Entry Type",$C$4,"2 Item No.","@@"&amp;$F1807,"3 Posting Date",Z$9)</t>
  </si>
  <si>
    <t>=Z1807-AB1807</t>
  </si>
  <si>
    <t>=IF(Z1807&lt;&gt;0,AC1807/Z1807,"")</t>
  </si>
  <si>
    <t>=C1807</t>
  </si>
  <si>
    <t>=NL("Sum","5802 Value Entry","150 Sales Amount (Expected)","41 Source Type",$C$5,"5 Source No.",$C1808,"4 Item Ledger Entry Type",$C$4,"2 Item No.","@@"&amp;$F1808,"3 Posting Date",J$9)+NL("Sum","5802 Value Entry","17 Sales Amount (Actual)","41 Source Type",$C$5,"5 Source no.",$C1808,"4 Item Ledger Entry Type",$C$4,"2 Item No.","@@"&amp;$F1808,"3 Posting Date",J$9)</t>
  </si>
  <si>
    <t>=-NL("Sum","5802 Value Entry","151 Cost Amount (Expected)","41 Source Type",$C$5,"5 Source No.",$C1808,"4 Item Ledger Entry Type",$C$4,"2 Item No.","@@"&amp;$F1808,"3 Posting Date",J$9)-NL("Sum","5802 Value Entry","43 Cost Amount (Actual)","41 Source Type",$C$5,"5 Source no.",$C1808,"4 Item Ledger Entry Type",$C$4,"2 Item No.","@@"&amp;$F1808,"3 Posting Date",J$9)</t>
  </si>
  <si>
    <t>=J1808-L1808</t>
  </si>
  <si>
    <t>=IF(J1808&lt;&gt;0,M1808/J1808,"")</t>
  </si>
  <si>
    <t>=NL("Sum","5802 Value Entry","150 Sales Amount (Expected)","41 Source Type",$C$5,"5 Source No.",$C1808,"4 Item Ledger Entry Type",$C$4,"2 Item No.","@@"&amp;$F1808,"3 Posting Date",O$9)+NL("Sum","5802 Value Entry","17 Sales Amount (Actual)","41 Source Type",$C$5,"5 Source no.",$C1808,"4 Item Ledger Entry Type",$C$4,"2 Item No.","@@"&amp;$F1808,"3 Posting Date",O$9)</t>
  </si>
  <si>
    <t>=-NL("Sum","5802 Value Entry","151 Cost Amount (Expected)","41 Source Type",$C$5,"5 Source No.",$C1808,"4 Item Ledger Entry Type",$C$4,"2 Item No.","@@"&amp;$F1808,"3 Posting Date",O$9)-NL("Sum","5802 Value Entry","43 Cost Amount (Actual)","41 Source Type",$C$5,"5 Source no.",$C1808,"4 Item Ledger Entry Type",$C$4,"2 Item No.","@@"&amp;$F1808,"3 Posting Date",O$9)</t>
  </si>
  <si>
    <t>=O1808-Q1808</t>
  </si>
  <si>
    <t>=IF(O1808&lt;&gt;0,R1808/O1808,"")</t>
  </si>
  <si>
    <t>=NL("Sum","5802 Value Entry","150 Sales Amount (Expected)","41 Source Type",$C$5,"5 Source No.",$C1808,"4 Item Ledger Entry Type",$C$4,"2 Item No.","@@"&amp;$F1808,"3 Posting Date",U$9)+NL("Sum","5802 Value Entry","17 Sales Amount (Actual)","41 Source Type",$C$5,"5 Source no.",$C1808,"4 Item Ledger Entry Type",$C$4,"2 Item No.","@@"&amp;$F1808,"3 Posting Date",U$9)</t>
  </si>
  <si>
    <t>=-NL("Sum","5802 Value Entry","151 Cost Amount (Expected)","41 Source Type",$C$5,"5 Source No.",$C1808,"4 Item Ledger Entry Type",$C$4,"2 Item No.","@@"&amp;$F1808,"3 Posting Date",U$9)-NL("Sum","5802 Value Entry","43 Cost Amount (Actual)","41 Source Type",$C$5,"5 Source no.",$C1808,"4 Item Ledger Entry Type",$C$4,"2 Item No.","@@"&amp;$F1808,"3 Posting Date",U$9)</t>
  </si>
  <si>
    <t>=U1808-W1808</t>
  </si>
  <si>
    <t>=IF(U1808&lt;&gt;0,X1808/U1808,"")</t>
  </si>
  <si>
    <t>=NL("Sum","5802 Value Entry","150 Sales Amount (Expected)","41 Source Type",$C$5,"5 Source No.",$C1808,"4 Item Ledger Entry Type",$C$4,"2 Item No.","@@"&amp;$F1808,"3 Posting Date",Z$9)+NL("Sum","5802 Value Entry","17 Sales Amount (Actual)","41 Source Type",$C$5,"5 Source no.",$C1808,"4 Item Ledger Entry Type",$C$4,"2 Item No.","@@"&amp;$F1808,"3 Posting Date",Z$9)</t>
  </si>
  <si>
    <t>=-NL("Sum","5802 Value Entry","151 Cost Amount (Expected)","41 Source Type",$C$5,"5 Source No.",$C1808,"4 Item Ledger Entry Type",$C$4,"2 Item No.","@@"&amp;$F1808,"3 Posting Date",Z$9)-NL("Sum","5802 Value Entry","43 Cost Amount (Actual)","41 Source Type",$C$5,"5 Source no.",$C1808,"4 Item Ledger Entry Type",$C$4,"2 Item No.","@@"&amp;$F1808,"3 Posting Date",Z$9)</t>
  </si>
  <si>
    <t>=Z1808-AB1808</t>
  </si>
  <si>
    <t>=IF(Z1808&lt;&gt;0,AC1808/Z1808,"")</t>
  </si>
  <si>
    <t>=C1808</t>
  </si>
  <si>
    <t>=NL("Sum","5802 Value Entry","150 Sales Amount (Expected)","41 Source Type",$C$5,"5 Source No.",$C1809,"4 Item Ledger Entry Type",$C$4,"2 Item No.","@@"&amp;$F1809,"3 Posting Date",J$9)+NL("Sum","5802 Value Entry","17 Sales Amount (Actual)","41 Source Type",$C$5,"5 Source no.",$C1809,"4 Item Ledger Entry Type",$C$4,"2 Item No.","@@"&amp;$F1809,"3 Posting Date",J$9)</t>
  </si>
  <si>
    <t>=-NL("Sum","5802 Value Entry","151 Cost Amount (Expected)","41 Source Type",$C$5,"5 Source No.",$C1809,"4 Item Ledger Entry Type",$C$4,"2 Item No.","@@"&amp;$F1809,"3 Posting Date",J$9)-NL("Sum","5802 Value Entry","43 Cost Amount (Actual)","41 Source Type",$C$5,"5 Source no.",$C1809,"4 Item Ledger Entry Type",$C$4,"2 Item No.","@@"&amp;$F1809,"3 Posting Date",J$9)</t>
  </si>
  <si>
    <t>=J1809-L1809</t>
  </si>
  <si>
    <t>=IF(J1809&lt;&gt;0,M1809/J1809,"")</t>
  </si>
  <si>
    <t>=NL("Sum","5802 Value Entry","150 Sales Amount (Expected)","41 Source Type",$C$5,"5 Source No.",$C1809,"4 Item Ledger Entry Type",$C$4,"2 Item No.","@@"&amp;$F1809,"3 Posting Date",O$9)+NL("Sum","5802 Value Entry","17 Sales Amount (Actual)","41 Source Type",$C$5,"5 Source no.",$C1809,"4 Item Ledger Entry Type",$C$4,"2 Item No.","@@"&amp;$F1809,"3 Posting Date",O$9)</t>
  </si>
  <si>
    <t>=-NL("Sum","5802 Value Entry","151 Cost Amount (Expected)","41 Source Type",$C$5,"5 Source No.",$C1809,"4 Item Ledger Entry Type",$C$4,"2 Item No.","@@"&amp;$F1809,"3 Posting Date",O$9)-NL("Sum","5802 Value Entry","43 Cost Amount (Actual)","41 Source Type",$C$5,"5 Source no.",$C1809,"4 Item Ledger Entry Type",$C$4,"2 Item No.","@@"&amp;$F1809,"3 Posting Date",O$9)</t>
  </si>
  <si>
    <t>=O1809-Q1809</t>
  </si>
  <si>
    <t>=IF(O1809&lt;&gt;0,R1809/O1809,"")</t>
  </si>
  <si>
    <t>=NL("Sum","5802 Value Entry","150 Sales Amount (Expected)","41 Source Type",$C$5,"5 Source No.",$C1809,"4 Item Ledger Entry Type",$C$4,"2 Item No.","@@"&amp;$F1809,"3 Posting Date",U$9)+NL("Sum","5802 Value Entry","17 Sales Amount (Actual)","41 Source Type",$C$5,"5 Source no.",$C1809,"4 Item Ledger Entry Type",$C$4,"2 Item No.","@@"&amp;$F1809,"3 Posting Date",U$9)</t>
  </si>
  <si>
    <t>=-NL("Sum","5802 Value Entry","151 Cost Amount (Expected)","41 Source Type",$C$5,"5 Source No.",$C1809,"4 Item Ledger Entry Type",$C$4,"2 Item No.","@@"&amp;$F1809,"3 Posting Date",U$9)-NL("Sum","5802 Value Entry","43 Cost Amount (Actual)","41 Source Type",$C$5,"5 Source no.",$C1809,"4 Item Ledger Entry Type",$C$4,"2 Item No.","@@"&amp;$F1809,"3 Posting Date",U$9)</t>
  </si>
  <si>
    <t>=U1809-W1809</t>
  </si>
  <si>
    <t>=IF(U1809&lt;&gt;0,X1809/U1809,"")</t>
  </si>
  <si>
    <t>=NL("Sum","5802 Value Entry","150 Sales Amount (Expected)","41 Source Type",$C$5,"5 Source No.",$C1809,"4 Item Ledger Entry Type",$C$4,"2 Item No.","@@"&amp;$F1809,"3 Posting Date",Z$9)+NL("Sum","5802 Value Entry","17 Sales Amount (Actual)","41 Source Type",$C$5,"5 Source no.",$C1809,"4 Item Ledger Entry Type",$C$4,"2 Item No.","@@"&amp;$F1809,"3 Posting Date",Z$9)</t>
  </si>
  <si>
    <t>=-NL("Sum","5802 Value Entry","151 Cost Amount (Expected)","41 Source Type",$C$5,"5 Source No.",$C1809,"4 Item Ledger Entry Type",$C$4,"2 Item No.","@@"&amp;$F1809,"3 Posting Date",Z$9)-NL("Sum","5802 Value Entry","43 Cost Amount (Actual)","41 Source Type",$C$5,"5 Source no.",$C1809,"4 Item Ledger Entry Type",$C$4,"2 Item No.","@@"&amp;$F1809,"3 Posting Date",Z$9)</t>
  </si>
  <si>
    <t>=Z1809-AB1809</t>
  </si>
  <si>
    <t>=IF(Z1809&lt;&gt;0,AC1809/Z1809,"")</t>
  </si>
  <si>
    <t>=C1809</t>
  </si>
  <si>
    <t>=NL("Sum","5802 Value Entry","150 Sales Amount (Expected)","41 Source Type",$C$5,"5 Source No.",$C1810,"4 Item Ledger Entry Type",$C$4,"2 Item No.","@@"&amp;$F1810,"3 Posting Date",J$9)+NL("Sum","5802 Value Entry","17 Sales Amount (Actual)","41 Source Type",$C$5,"5 Source no.",$C1810,"4 Item Ledger Entry Type",$C$4,"2 Item No.","@@"&amp;$F1810,"3 Posting Date",J$9)</t>
  </si>
  <si>
    <t>=-NL("Sum","5802 Value Entry","151 Cost Amount (Expected)","41 Source Type",$C$5,"5 Source No.",$C1810,"4 Item Ledger Entry Type",$C$4,"2 Item No.","@@"&amp;$F1810,"3 Posting Date",J$9)-NL("Sum","5802 Value Entry","43 Cost Amount (Actual)","41 Source Type",$C$5,"5 Source no.",$C1810,"4 Item Ledger Entry Type",$C$4,"2 Item No.","@@"&amp;$F1810,"3 Posting Date",J$9)</t>
  </si>
  <si>
    <t>=J1810-L1810</t>
  </si>
  <si>
    <t>=IF(J1810&lt;&gt;0,M1810/J1810,"")</t>
  </si>
  <si>
    <t>=NL("Sum","5802 Value Entry","150 Sales Amount (Expected)","41 Source Type",$C$5,"5 Source No.",$C1810,"4 Item Ledger Entry Type",$C$4,"2 Item No.","@@"&amp;$F1810,"3 Posting Date",O$9)+NL("Sum","5802 Value Entry","17 Sales Amount (Actual)","41 Source Type",$C$5,"5 Source no.",$C1810,"4 Item Ledger Entry Type",$C$4,"2 Item No.","@@"&amp;$F1810,"3 Posting Date",O$9)</t>
  </si>
  <si>
    <t>=-NL("Sum","5802 Value Entry","151 Cost Amount (Expected)","41 Source Type",$C$5,"5 Source No.",$C1810,"4 Item Ledger Entry Type",$C$4,"2 Item No.","@@"&amp;$F1810,"3 Posting Date",O$9)-NL("Sum","5802 Value Entry","43 Cost Amount (Actual)","41 Source Type",$C$5,"5 Source no.",$C1810,"4 Item Ledger Entry Type",$C$4,"2 Item No.","@@"&amp;$F1810,"3 Posting Date",O$9)</t>
  </si>
  <si>
    <t>=O1810-Q1810</t>
  </si>
  <si>
    <t>=IF(O1810&lt;&gt;0,R1810/O1810,"")</t>
  </si>
  <si>
    <t>=NL("Sum","5802 Value Entry","150 Sales Amount (Expected)","41 Source Type",$C$5,"5 Source No.",$C1810,"4 Item Ledger Entry Type",$C$4,"2 Item No.","@@"&amp;$F1810,"3 Posting Date",U$9)+NL("Sum","5802 Value Entry","17 Sales Amount (Actual)","41 Source Type",$C$5,"5 Source no.",$C1810,"4 Item Ledger Entry Type",$C$4,"2 Item No.","@@"&amp;$F1810,"3 Posting Date",U$9)</t>
  </si>
  <si>
    <t>=-NL("Sum","5802 Value Entry","151 Cost Amount (Expected)","41 Source Type",$C$5,"5 Source No.",$C1810,"4 Item Ledger Entry Type",$C$4,"2 Item No.","@@"&amp;$F1810,"3 Posting Date",U$9)-NL("Sum","5802 Value Entry","43 Cost Amount (Actual)","41 Source Type",$C$5,"5 Source no.",$C1810,"4 Item Ledger Entry Type",$C$4,"2 Item No.","@@"&amp;$F1810,"3 Posting Date",U$9)</t>
  </si>
  <si>
    <t>=U1810-W1810</t>
  </si>
  <si>
    <t>=IF(U1810&lt;&gt;0,X1810/U1810,"")</t>
  </si>
  <si>
    <t>=NL("Sum","5802 Value Entry","150 Sales Amount (Expected)","41 Source Type",$C$5,"5 Source No.",$C1810,"4 Item Ledger Entry Type",$C$4,"2 Item No.","@@"&amp;$F1810,"3 Posting Date",Z$9)+NL("Sum","5802 Value Entry","17 Sales Amount (Actual)","41 Source Type",$C$5,"5 Source no.",$C1810,"4 Item Ledger Entry Type",$C$4,"2 Item No.","@@"&amp;$F1810,"3 Posting Date",Z$9)</t>
  </si>
  <si>
    <t>=-NL("Sum","5802 Value Entry","151 Cost Amount (Expected)","41 Source Type",$C$5,"5 Source No.",$C1810,"4 Item Ledger Entry Type",$C$4,"2 Item No.","@@"&amp;$F1810,"3 Posting Date",Z$9)-NL("Sum","5802 Value Entry","43 Cost Amount (Actual)","41 Source Type",$C$5,"5 Source no.",$C1810,"4 Item Ledger Entry Type",$C$4,"2 Item No.","@@"&amp;$F1810,"3 Posting Date",Z$9)</t>
  </si>
  <si>
    <t>=Z1810-AB1810</t>
  </si>
  <si>
    <t>=IF(Z1810&lt;&gt;0,AC1810/Z1810,"")</t>
  </si>
  <si>
    <t>=C1811</t>
  </si>
  <si>
    <t>=J1812-L1812</t>
  </si>
  <si>
    <t>=IF(J1812&lt;&gt;0,M1812/J1812,"")</t>
  </si>
  <si>
    <t>=O1812-Q1812</t>
  </si>
  <si>
    <t>=IF(O1812&lt;&gt;0,R1812/O1812,"")</t>
  </si>
  <si>
    <t>=U1812-W1812</t>
  </si>
  <si>
    <t>=IF(U1812&lt;&gt;0,X1812/U1812,"")</t>
  </si>
  <si>
    <t>=Z1812-AB1812</t>
  </si>
  <si>
    <t>=IF(Z1812&lt;&gt;0,AC1812/Z1812,"")</t>
  </si>
  <si>
    <t>=C1814</t>
  </si>
  <si>
    <t>=C1815</t>
  </si>
  <si>
    <t>=NL("Sum","5802 Value Entry","150 Sales Amount (Expected)","41 Source Type",$C$5,"5 Source No.",$C1816,"4 Item Ledger Entry Type",$C$4,"2 Item No.","@@"&amp;$F1816,"3 Posting Date",J$9)+NL("Sum","5802 Value Entry","17 Sales Amount (Actual)","41 Source Type",$C$5,"5 Source no.",$C1816,"4 Item Ledger Entry Type",$C$4,"2 Item No.","@@"&amp;$F1816,"3 Posting Date",J$9)</t>
  </si>
  <si>
    <t>=-NL("Sum","5802 Value Entry","151 Cost Amount (Expected)","41 Source Type",$C$5,"5 Source No.",$C1816,"4 Item Ledger Entry Type",$C$4,"2 Item No.","@@"&amp;$F1816,"3 Posting Date",J$9)-NL("Sum","5802 Value Entry","43 Cost Amount (Actual)","41 Source Type",$C$5,"5 Source no.",$C1816,"4 Item Ledger Entry Type",$C$4,"2 Item No.","@@"&amp;$F1816,"3 Posting Date",J$9)</t>
  </si>
  <si>
    <t>=J1816-L1816</t>
  </si>
  <si>
    <t>=IF(J1816&lt;&gt;0,M1816/J1816,"")</t>
  </si>
  <si>
    <t>=NL("Sum","5802 Value Entry","150 Sales Amount (Expected)","41 Source Type",$C$5,"5 Source No.",$C1816,"4 Item Ledger Entry Type",$C$4,"2 Item No.","@@"&amp;$F1816,"3 Posting Date",O$9)+NL("Sum","5802 Value Entry","17 Sales Amount (Actual)","41 Source Type",$C$5,"5 Source no.",$C1816,"4 Item Ledger Entry Type",$C$4,"2 Item No.","@@"&amp;$F1816,"3 Posting Date",O$9)</t>
  </si>
  <si>
    <t>=-NL("Sum","5802 Value Entry","151 Cost Amount (Expected)","41 Source Type",$C$5,"5 Source No.",$C1816,"4 Item Ledger Entry Type",$C$4,"2 Item No.","@@"&amp;$F1816,"3 Posting Date",O$9)-NL("Sum","5802 Value Entry","43 Cost Amount (Actual)","41 Source Type",$C$5,"5 Source no.",$C1816,"4 Item Ledger Entry Type",$C$4,"2 Item No.","@@"&amp;$F1816,"3 Posting Date",O$9)</t>
  </si>
  <si>
    <t>=O1816-Q1816</t>
  </si>
  <si>
    <t>=IF(O1816&lt;&gt;0,R1816/O1816,"")</t>
  </si>
  <si>
    <t>=NL("Sum","5802 Value Entry","150 Sales Amount (Expected)","41 Source Type",$C$5,"5 Source No.",$C1816,"4 Item Ledger Entry Type",$C$4,"2 Item No.","@@"&amp;$F1816,"3 Posting Date",U$9)+NL("Sum","5802 Value Entry","17 Sales Amount (Actual)","41 Source Type",$C$5,"5 Source no.",$C1816,"4 Item Ledger Entry Type",$C$4,"2 Item No.","@@"&amp;$F1816,"3 Posting Date",U$9)</t>
  </si>
  <si>
    <t>=-NL("Sum","5802 Value Entry","151 Cost Amount (Expected)","41 Source Type",$C$5,"5 Source No.",$C1816,"4 Item Ledger Entry Type",$C$4,"2 Item No.","@@"&amp;$F1816,"3 Posting Date",U$9)-NL("Sum","5802 Value Entry","43 Cost Amount (Actual)","41 Source Type",$C$5,"5 Source no.",$C1816,"4 Item Ledger Entry Type",$C$4,"2 Item No.","@@"&amp;$F1816,"3 Posting Date",U$9)</t>
  </si>
  <si>
    <t>=U1816-W1816</t>
  </si>
  <si>
    <t>=IF(U1816&lt;&gt;0,X1816/U1816,"")</t>
  </si>
  <si>
    <t>=NL("Sum","5802 Value Entry","150 Sales Amount (Expected)","41 Source Type",$C$5,"5 Source No.",$C1816,"4 Item Ledger Entry Type",$C$4,"2 Item No.","@@"&amp;$F1816,"3 Posting Date",Z$9)+NL("Sum","5802 Value Entry","17 Sales Amount (Actual)","41 Source Type",$C$5,"5 Source no.",$C1816,"4 Item Ledger Entry Type",$C$4,"2 Item No.","@@"&amp;$F1816,"3 Posting Date",Z$9)</t>
  </si>
  <si>
    <t>=-NL("Sum","5802 Value Entry","151 Cost Amount (Expected)","41 Source Type",$C$5,"5 Source No.",$C1816,"4 Item Ledger Entry Type",$C$4,"2 Item No.","@@"&amp;$F1816,"3 Posting Date",Z$9)-NL("Sum","5802 Value Entry","43 Cost Amount (Actual)","41 Source Type",$C$5,"5 Source no.",$C1816,"4 Item Ledger Entry Type",$C$4,"2 Item No.","@@"&amp;$F1816,"3 Posting Date",Z$9)</t>
  </si>
  <si>
    <t>=Z1816-AB1816</t>
  </si>
  <si>
    <t>=IF(Z1816&lt;&gt;0,AC1816/Z1816,"")</t>
  </si>
  <si>
    <t>=C1816</t>
  </si>
  <si>
    <t>=NL("Sum","5802 Value Entry","150 Sales Amount (Expected)","41 Source Type",$C$5,"5 Source No.",$C1817,"4 Item Ledger Entry Type",$C$4,"2 Item No.","@@"&amp;$F1817,"3 Posting Date",J$9)+NL("Sum","5802 Value Entry","17 Sales Amount (Actual)","41 Source Type",$C$5,"5 Source no.",$C1817,"4 Item Ledger Entry Type",$C$4,"2 Item No.","@@"&amp;$F1817,"3 Posting Date",J$9)</t>
  </si>
  <si>
    <t>=-NL("Sum","5802 Value Entry","151 Cost Amount (Expected)","41 Source Type",$C$5,"5 Source No.",$C1817,"4 Item Ledger Entry Type",$C$4,"2 Item No.","@@"&amp;$F1817,"3 Posting Date",J$9)-NL("Sum","5802 Value Entry","43 Cost Amount (Actual)","41 Source Type",$C$5,"5 Source no.",$C1817,"4 Item Ledger Entry Type",$C$4,"2 Item No.","@@"&amp;$F1817,"3 Posting Date",J$9)</t>
  </si>
  <si>
    <t>=J1817-L1817</t>
  </si>
  <si>
    <t>=IF(J1817&lt;&gt;0,M1817/J1817,"")</t>
  </si>
  <si>
    <t>=NL("Sum","5802 Value Entry","150 Sales Amount (Expected)","41 Source Type",$C$5,"5 Source No.",$C1817,"4 Item Ledger Entry Type",$C$4,"2 Item No.","@@"&amp;$F1817,"3 Posting Date",O$9)+NL("Sum","5802 Value Entry","17 Sales Amount (Actual)","41 Source Type",$C$5,"5 Source no.",$C1817,"4 Item Ledger Entry Type",$C$4,"2 Item No.","@@"&amp;$F1817,"3 Posting Date",O$9)</t>
  </si>
  <si>
    <t>=-NL("Sum","5802 Value Entry","151 Cost Amount (Expected)","41 Source Type",$C$5,"5 Source No.",$C1817,"4 Item Ledger Entry Type",$C$4,"2 Item No.","@@"&amp;$F1817,"3 Posting Date",O$9)-NL("Sum","5802 Value Entry","43 Cost Amount (Actual)","41 Source Type",$C$5,"5 Source no.",$C1817,"4 Item Ledger Entry Type",$C$4,"2 Item No.","@@"&amp;$F1817,"3 Posting Date",O$9)</t>
  </si>
  <si>
    <t>=O1817-Q1817</t>
  </si>
  <si>
    <t>=IF(O1817&lt;&gt;0,R1817/O1817,"")</t>
  </si>
  <si>
    <t>=NL("Sum","5802 Value Entry","150 Sales Amount (Expected)","41 Source Type",$C$5,"5 Source No.",$C1817,"4 Item Ledger Entry Type",$C$4,"2 Item No.","@@"&amp;$F1817,"3 Posting Date",U$9)+NL("Sum","5802 Value Entry","17 Sales Amount (Actual)","41 Source Type",$C$5,"5 Source no.",$C1817,"4 Item Ledger Entry Type",$C$4,"2 Item No.","@@"&amp;$F1817,"3 Posting Date",U$9)</t>
  </si>
  <si>
    <t>=-NL("Sum","5802 Value Entry","151 Cost Amount (Expected)","41 Source Type",$C$5,"5 Source No.",$C1817,"4 Item Ledger Entry Type",$C$4,"2 Item No.","@@"&amp;$F1817,"3 Posting Date",U$9)-NL("Sum","5802 Value Entry","43 Cost Amount (Actual)","41 Source Type",$C$5,"5 Source no.",$C1817,"4 Item Ledger Entry Type",$C$4,"2 Item No.","@@"&amp;$F1817,"3 Posting Date",U$9)</t>
  </si>
  <si>
    <t>=U1817-W1817</t>
  </si>
  <si>
    <t>=IF(U1817&lt;&gt;0,X1817/U1817,"")</t>
  </si>
  <si>
    <t>=NL("Sum","5802 Value Entry","150 Sales Amount (Expected)","41 Source Type",$C$5,"5 Source No.",$C1817,"4 Item Ledger Entry Type",$C$4,"2 Item No.","@@"&amp;$F1817,"3 Posting Date",Z$9)+NL("Sum","5802 Value Entry","17 Sales Amount (Actual)","41 Source Type",$C$5,"5 Source no.",$C1817,"4 Item Ledger Entry Type",$C$4,"2 Item No.","@@"&amp;$F1817,"3 Posting Date",Z$9)</t>
  </si>
  <si>
    <t>=-NL("Sum","5802 Value Entry","151 Cost Amount (Expected)","41 Source Type",$C$5,"5 Source No.",$C1817,"4 Item Ledger Entry Type",$C$4,"2 Item No.","@@"&amp;$F1817,"3 Posting Date",Z$9)-NL("Sum","5802 Value Entry","43 Cost Amount (Actual)","41 Source Type",$C$5,"5 Source no.",$C1817,"4 Item Ledger Entry Type",$C$4,"2 Item No.","@@"&amp;$F1817,"3 Posting Date",Z$9)</t>
  </si>
  <si>
    <t>=Z1817-AB1817</t>
  </si>
  <si>
    <t>=IF(Z1817&lt;&gt;0,AC1817/Z1817,"")</t>
  </si>
  <si>
    <t>=C1817</t>
  </si>
  <si>
    <t>=NL("Sum","5802 Value Entry","150 Sales Amount (Expected)","41 Source Type",$C$5,"5 Source No.",$C1818,"4 Item Ledger Entry Type",$C$4,"2 Item No.","@@"&amp;$F1818,"3 Posting Date",J$9)+NL("Sum","5802 Value Entry","17 Sales Amount (Actual)","41 Source Type",$C$5,"5 Source no.",$C1818,"4 Item Ledger Entry Type",$C$4,"2 Item No.","@@"&amp;$F1818,"3 Posting Date",J$9)</t>
  </si>
  <si>
    <t>=-NL("Sum","5802 Value Entry","151 Cost Amount (Expected)","41 Source Type",$C$5,"5 Source No.",$C1818,"4 Item Ledger Entry Type",$C$4,"2 Item No.","@@"&amp;$F1818,"3 Posting Date",J$9)-NL("Sum","5802 Value Entry","43 Cost Amount (Actual)","41 Source Type",$C$5,"5 Source no.",$C1818,"4 Item Ledger Entry Type",$C$4,"2 Item No.","@@"&amp;$F1818,"3 Posting Date",J$9)</t>
  </si>
  <si>
    <t>=J1818-L1818</t>
  </si>
  <si>
    <t>=IF(J1818&lt;&gt;0,M1818/J1818,"")</t>
  </si>
  <si>
    <t>=NL("Sum","5802 Value Entry","150 Sales Amount (Expected)","41 Source Type",$C$5,"5 Source No.",$C1818,"4 Item Ledger Entry Type",$C$4,"2 Item No.","@@"&amp;$F1818,"3 Posting Date",O$9)+NL("Sum","5802 Value Entry","17 Sales Amount (Actual)","41 Source Type",$C$5,"5 Source no.",$C1818,"4 Item Ledger Entry Type",$C$4,"2 Item No.","@@"&amp;$F1818,"3 Posting Date",O$9)</t>
  </si>
  <si>
    <t>=-NL("Sum","5802 Value Entry","151 Cost Amount (Expected)","41 Source Type",$C$5,"5 Source No.",$C1818,"4 Item Ledger Entry Type",$C$4,"2 Item No.","@@"&amp;$F1818,"3 Posting Date",O$9)-NL("Sum","5802 Value Entry","43 Cost Amount (Actual)","41 Source Type",$C$5,"5 Source no.",$C1818,"4 Item Ledger Entry Type",$C$4,"2 Item No.","@@"&amp;$F1818,"3 Posting Date",O$9)</t>
  </si>
  <si>
    <t>=O1818-Q1818</t>
  </si>
  <si>
    <t>=IF(O1818&lt;&gt;0,R1818/O1818,"")</t>
  </si>
  <si>
    <t>=NL("Sum","5802 Value Entry","150 Sales Amount (Expected)","41 Source Type",$C$5,"5 Source No.",$C1818,"4 Item Ledger Entry Type",$C$4,"2 Item No.","@@"&amp;$F1818,"3 Posting Date",U$9)+NL("Sum","5802 Value Entry","17 Sales Amount (Actual)","41 Source Type",$C$5,"5 Source no.",$C1818,"4 Item Ledger Entry Type",$C$4,"2 Item No.","@@"&amp;$F1818,"3 Posting Date",U$9)</t>
  </si>
  <si>
    <t>=-NL("Sum","5802 Value Entry","151 Cost Amount (Expected)","41 Source Type",$C$5,"5 Source No.",$C1818,"4 Item Ledger Entry Type",$C$4,"2 Item No.","@@"&amp;$F1818,"3 Posting Date",U$9)-NL("Sum","5802 Value Entry","43 Cost Amount (Actual)","41 Source Type",$C$5,"5 Source no.",$C1818,"4 Item Ledger Entry Type",$C$4,"2 Item No.","@@"&amp;$F1818,"3 Posting Date",U$9)</t>
  </si>
  <si>
    <t>=U1818-W1818</t>
  </si>
  <si>
    <t>=IF(U1818&lt;&gt;0,X1818/U1818,"")</t>
  </si>
  <si>
    <t>=NL("Sum","5802 Value Entry","150 Sales Amount (Expected)","41 Source Type",$C$5,"5 Source No.",$C1818,"4 Item Ledger Entry Type",$C$4,"2 Item No.","@@"&amp;$F1818,"3 Posting Date",Z$9)+NL("Sum","5802 Value Entry","17 Sales Amount (Actual)","41 Source Type",$C$5,"5 Source no.",$C1818,"4 Item Ledger Entry Type",$C$4,"2 Item No.","@@"&amp;$F1818,"3 Posting Date",Z$9)</t>
  </si>
  <si>
    <t>=-NL("Sum","5802 Value Entry","151 Cost Amount (Expected)","41 Source Type",$C$5,"5 Source No.",$C1818,"4 Item Ledger Entry Type",$C$4,"2 Item No.","@@"&amp;$F1818,"3 Posting Date",Z$9)-NL("Sum","5802 Value Entry","43 Cost Amount (Actual)","41 Source Type",$C$5,"5 Source no.",$C1818,"4 Item Ledger Entry Type",$C$4,"2 Item No.","@@"&amp;$F1818,"3 Posting Date",Z$9)</t>
  </si>
  <si>
    <t>=Z1818-AB1818</t>
  </si>
  <si>
    <t>=IF(Z1818&lt;&gt;0,AC1818/Z1818,"")</t>
  </si>
  <si>
    <t>=C1818</t>
  </si>
  <si>
    <t>=NL("Sum","5802 Value Entry","150 Sales Amount (Expected)","41 Source Type",$C$5,"5 Source No.",$C1819,"4 Item Ledger Entry Type",$C$4,"2 Item No.","@@"&amp;$F1819,"3 Posting Date",J$9)+NL("Sum","5802 Value Entry","17 Sales Amount (Actual)","41 Source Type",$C$5,"5 Source no.",$C1819,"4 Item Ledger Entry Type",$C$4,"2 Item No.","@@"&amp;$F1819,"3 Posting Date",J$9)</t>
  </si>
  <si>
    <t>=-NL("Sum","5802 Value Entry","151 Cost Amount (Expected)","41 Source Type",$C$5,"5 Source No.",$C1819,"4 Item Ledger Entry Type",$C$4,"2 Item No.","@@"&amp;$F1819,"3 Posting Date",J$9)-NL("Sum","5802 Value Entry","43 Cost Amount (Actual)","41 Source Type",$C$5,"5 Source no.",$C1819,"4 Item Ledger Entry Type",$C$4,"2 Item No.","@@"&amp;$F1819,"3 Posting Date",J$9)</t>
  </si>
  <si>
    <t>=J1819-L1819</t>
  </si>
  <si>
    <t>=IF(J1819&lt;&gt;0,M1819/J1819,"")</t>
  </si>
  <si>
    <t>=NL("Sum","5802 Value Entry","150 Sales Amount (Expected)","41 Source Type",$C$5,"5 Source No.",$C1819,"4 Item Ledger Entry Type",$C$4,"2 Item No.","@@"&amp;$F1819,"3 Posting Date",O$9)+NL("Sum","5802 Value Entry","17 Sales Amount (Actual)","41 Source Type",$C$5,"5 Source no.",$C1819,"4 Item Ledger Entry Type",$C$4,"2 Item No.","@@"&amp;$F1819,"3 Posting Date",O$9)</t>
  </si>
  <si>
    <t>=-NL("Sum","5802 Value Entry","151 Cost Amount (Expected)","41 Source Type",$C$5,"5 Source No.",$C1819,"4 Item Ledger Entry Type",$C$4,"2 Item No.","@@"&amp;$F1819,"3 Posting Date",O$9)-NL("Sum","5802 Value Entry","43 Cost Amount (Actual)","41 Source Type",$C$5,"5 Source no.",$C1819,"4 Item Ledger Entry Type",$C$4,"2 Item No.","@@"&amp;$F1819,"3 Posting Date",O$9)</t>
  </si>
  <si>
    <t>=O1819-Q1819</t>
  </si>
  <si>
    <t>=IF(O1819&lt;&gt;0,R1819/O1819,"")</t>
  </si>
  <si>
    <t>=NL("Sum","5802 Value Entry","150 Sales Amount (Expected)","41 Source Type",$C$5,"5 Source No.",$C1819,"4 Item Ledger Entry Type",$C$4,"2 Item No.","@@"&amp;$F1819,"3 Posting Date",U$9)+NL("Sum","5802 Value Entry","17 Sales Amount (Actual)","41 Source Type",$C$5,"5 Source no.",$C1819,"4 Item Ledger Entry Type",$C$4,"2 Item No.","@@"&amp;$F1819,"3 Posting Date",U$9)</t>
  </si>
  <si>
    <t>=-NL("Sum","5802 Value Entry","151 Cost Amount (Expected)","41 Source Type",$C$5,"5 Source No.",$C1819,"4 Item Ledger Entry Type",$C$4,"2 Item No.","@@"&amp;$F1819,"3 Posting Date",U$9)-NL("Sum","5802 Value Entry","43 Cost Amount (Actual)","41 Source Type",$C$5,"5 Source no.",$C1819,"4 Item Ledger Entry Type",$C$4,"2 Item No.","@@"&amp;$F1819,"3 Posting Date",U$9)</t>
  </si>
  <si>
    <t>=U1819-W1819</t>
  </si>
  <si>
    <t>=IF(U1819&lt;&gt;0,X1819/U1819,"")</t>
  </si>
  <si>
    <t>=NL("Sum","5802 Value Entry","150 Sales Amount (Expected)","41 Source Type",$C$5,"5 Source No.",$C1819,"4 Item Ledger Entry Type",$C$4,"2 Item No.","@@"&amp;$F1819,"3 Posting Date",Z$9)+NL("Sum","5802 Value Entry","17 Sales Amount (Actual)","41 Source Type",$C$5,"5 Source no.",$C1819,"4 Item Ledger Entry Type",$C$4,"2 Item No.","@@"&amp;$F1819,"3 Posting Date",Z$9)</t>
  </si>
  <si>
    <t>=-NL("Sum","5802 Value Entry","151 Cost Amount (Expected)","41 Source Type",$C$5,"5 Source No.",$C1819,"4 Item Ledger Entry Type",$C$4,"2 Item No.","@@"&amp;$F1819,"3 Posting Date",Z$9)-NL("Sum","5802 Value Entry","43 Cost Amount (Actual)","41 Source Type",$C$5,"5 Source no.",$C1819,"4 Item Ledger Entry Type",$C$4,"2 Item No.","@@"&amp;$F1819,"3 Posting Date",Z$9)</t>
  </si>
  <si>
    <t>=Z1819-AB1819</t>
  </si>
  <si>
    <t>=IF(Z1819&lt;&gt;0,AC1819/Z1819,"")</t>
  </si>
  <si>
    <t>=C1819</t>
  </si>
  <si>
    <t>=NL("Sum","5802 Value Entry","150 Sales Amount (Expected)","41 Source Type",$C$5,"5 Source No.",$C1820,"4 Item Ledger Entry Type",$C$4,"2 Item No.","@@"&amp;$F1820,"3 Posting Date",J$9)+NL("Sum","5802 Value Entry","17 Sales Amount (Actual)","41 Source Type",$C$5,"5 Source no.",$C1820,"4 Item Ledger Entry Type",$C$4,"2 Item No.","@@"&amp;$F1820,"3 Posting Date",J$9)</t>
  </si>
  <si>
    <t>=-NL("Sum","5802 Value Entry","151 Cost Amount (Expected)","41 Source Type",$C$5,"5 Source No.",$C1820,"4 Item Ledger Entry Type",$C$4,"2 Item No.","@@"&amp;$F1820,"3 Posting Date",J$9)-NL("Sum","5802 Value Entry","43 Cost Amount (Actual)","41 Source Type",$C$5,"5 Source no.",$C1820,"4 Item Ledger Entry Type",$C$4,"2 Item No.","@@"&amp;$F1820,"3 Posting Date",J$9)</t>
  </si>
  <si>
    <t>=J1820-L1820</t>
  </si>
  <si>
    <t>=IF(J1820&lt;&gt;0,M1820/J1820,"")</t>
  </si>
  <si>
    <t>=NL("Sum","5802 Value Entry","150 Sales Amount (Expected)","41 Source Type",$C$5,"5 Source No.",$C1820,"4 Item Ledger Entry Type",$C$4,"2 Item No.","@@"&amp;$F1820,"3 Posting Date",O$9)+NL("Sum","5802 Value Entry","17 Sales Amount (Actual)","41 Source Type",$C$5,"5 Source no.",$C1820,"4 Item Ledger Entry Type",$C$4,"2 Item No.","@@"&amp;$F1820,"3 Posting Date",O$9)</t>
  </si>
  <si>
    <t>=-NL("Sum","5802 Value Entry","151 Cost Amount (Expected)","41 Source Type",$C$5,"5 Source No.",$C1820,"4 Item Ledger Entry Type",$C$4,"2 Item No.","@@"&amp;$F1820,"3 Posting Date",O$9)-NL("Sum","5802 Value Entry","43 Cost Amount (Actual)","41 Source Type",$C$5,"5 Source no.",$C1820,"4 Item Ledger Entry Type",$C$4,"2 Item No.","@@"&amp;$F1820,"3 Posting Date",O$9)</t>
  </si>
  <si>
    <t>=O1820-Q1820</t>
  </si>
  <si>
    <t>=IF(O1820&lt;&gt;0,R1820/O1820,"")</t>
  </si>
  <si>
    <t>=NL("Sum","5802 Value Entry","150 Sales Amount (Expected)","41 Source Type",$C$5,"5 Source No.",$C1820,"4 Item Ledger Entry Type",$C$4,"2 Item No.","@@"&amp;$F1820,"3 Posting Date",U$9)+NL("Sum","5802 Value Entry","17 Sales Amount (Actual)","41 Source Type",$C$5,"5 Source no.",$C1820,"4 Item Ledger Entry Type",$C$4,"2 Item No.","@@"&amp;$F1820,"3 Posting Date",U$9)</t>
  </si>
  <si>
    <t>=-NL("Sum","5802 Value Entry","151 Cost Amount (Expected)","41 Source Type",$C$5,"5 Source No.",$C1820,"4 Item Ledger Entry Type",$C$4,"2 Item No.","@@"&amp;$F1820,"3 Posting Date",U$9)-NL("Sum","5802 Value Entry","43 Cost Amount (Actual)","41 Source Type",$C$5,"5 Source no.",$C1820,"4 Item Ledger Entry Type",$C$4,"2 Item No.","@@"&amp;$F1820,"3 Posting Date",U$9)</t>
  </si>
  <si>
    <t>=U1820-W1820</t>
  </si>
  <si>
    <t>=IF(U1820&lt;&gt;0,X1820/U1820,"")</t>
  </si>
  <si>
    <t>=NL("Sum","5802 Value Entry","150 Sales Amount (Expected)","41 Source Type",$C$5,"5 Source No.",$C1820,"4 Item Ledger Entry Type",$C$4,"2 Item No.","@@"&amp;$F1820,"3 Posting Date",Z$9)+NL("Sum","5802 Value Entry","17 Sales Amount (Actual)","41 Source Type",$C$5,"5 Source no.",$C1820,"4 Item Ledger Entry Type",$C$4,"2 Item No.","@@"&amp;$F1820,"3 Posting Date",Z$9)</t>
  </si>
  <si>
    <t>=-NL("Sum","5802 Value Entry","151 Cost Amount (Expected)","41 Source Type",$C$5,"5 Source No.",$C1820,"4 Item Ledger Entry Type",$C$4,"2 Item No.","@@"&amp;$F1820,"3 Posting Date",Z$9)-NL("Sum","5802 Value Entry","43 Cost Amount (Actual)","41 Source Type",$C$5,"5 Source no.",$C1820,"4 Item Ledger Entry Type",$C$4,"2 Item No.","@@"&amp;$F1820,"3 Posting Date",Z$9)</t>
  </si>
  <si>
    <t>=Z1820-AB1820</t>
  </si>
  <si>
    <t>=IF(Z1820&lt;&gt;0,AC1820/Z1820,"")</t>
  </si>
  <si>
    <t>=C1820</t>
  </si>
  <si>
    <t>=NL("Sum","5802 Value Entry","150 Sales Amount (Expected)","41 Source Type",$C$5,"5 Source No.",$C1821,"4 Item Ledger Entry Type",$C$4,"2 Item No.","@@"&amp;$F1821,"3 Posting Date",J$9)+NL("Sum","5802 Value Entry","17 Sales Amount (Actual)","41 Source Type",$C$5,"5 Source no.",$C1821,"4 Item Ledger Entry Type",$C$4,"2 Item No.","@@"&amp;$F1821,"3 Posting Date",J$9)</t>
  </si>
  <si>
    <t>=-NL("Sum","5802 Value Entry","151 Cost Amount (Expected)","41 Source Type",$C$5,"5 Source No.",$C1821,"4 Item Ledger Entry Type",$C$4,"2 Item No.","@@"&amp;$F1821,"3 Posting Date",J$9)-NL("Sum","5802 Value Entry","43 Cost Amount (Actual)","41 Source Type",$C$5,"5 Source no.",$C1821,"4 Item Ledger Entry Type",$C$4,"2 Item No.","@@"&amp;$F1821,"3 Posting Date",J$9)</t>
  </si>
  <si>
    <t>=J1821-L1821</t>
  </si>
  <si>
    <t>=IF(J1821&lt;&gt;0,M1821/J1821,"")</t>
  </si>
  <si>
    <t>=NL("Sum","5802 Value Entry","150 Sales Amount (Expected)","41 Source Type",$C$5,"5 Source No.",$C1821,"4 Item Ledger Entry Type",$C$4,"2 Item No.","@@"&amp;$F1821,"3 Posting Date",O$9)+NL("Sum","5802 Value Entry","17 Sales Amount (Actual)","41 Source Type",$C$5,"5 Source no.",$C1821,"4 Item Ledger Entry Type",$C$4,"2 Item No.","@@"&amp;$F1821,"3 Posting Date",O$9)</t>
  </si>
  <si>
    <t>=-NL("Sum","5802 Value Entry","151 Cost Amount (Expected)","41 Source Type",$C$5,"5 Source No.",$C1821,"4 Item Ledger Entry Type",$C$4,"2 Item No.","@@"&amp;$F1821,"3 Posting Date",O$9)-NL("Sum","5802 Value Entry","43 Cost Amount (Actual)","41 Source Type",$C$5,"5 Source no.",$C1821,"4 Item Ledger Entry Type",$C$4,"2 Item No.","@@"&amp;$F1821,"3 Posting Date",O$9)</t>
  </si>
  <si>
    <t>=O1821-Q1821</t>
  </si>
  <si>
    <t>=IF(O1821&lt;&gt;0,R1821/O1821,"")</t>
  </si>
  <si>
    <t>=NL("Sum","5802 Value Entry","150 Sales Amount (Expected)","41 Source Type",$C$5,"5 Source No.",$C1821,"4 Item Ledger Entry Type",$C$4,"2 Item No.","@@"&amp;$F1821,"3 Posting Date",U$9)+NL("Sum","5802 Value Entry","17 Sales Amount (Actual)","41 Source Type",$C$5,"5 Source no.",$C1821,"4 Item Ledger Entry Type",$C$4,"2 Item No.","@@"&amp;$F1821,"3 Posting Date",U$9)</t>
  </si>
  <si>
    <t>=-NL("Sum","5802 Value Entry","151 Cost Amount (Expected)","41 Source Type",$C$5,"5 Source No.",$C1821,"4 Item Ledger Entry Type",$C$4,"2 Item No.","@@"&amp;$F1821,"3 Posting Date",U$9)-NL("Sum","5802 Value Entry","43 Cost Amount (Actual)","41 Source Type",$C$5,"5 Source no.",$C1821,"4 Item Ledger Entry Type",$C$4,"2 Item No.","@@"&amp;$F1821,"3 Posting Date",U$9)</t>
  </si>
  <si>
    <t>=U1821-W1821</t>
  </si>
  <si>
    <t>=IF(U1821&lt;&gt;0,X1821/U1821,"")</t>
  </si>
  <si>
    <t>=NL("Sum","5802 Value Entry","150 Sales Amount (Expected)","41 Source Type",$C$5,"5 Source No.",$C1821,"4 Item Ledger Entry Type",$C$4,"2 Item No.","@@"&amp;$F1821,"3 Posting Date",Z$9)+NL("Sum","5802 Value Entry","17 Sales Amount (Actual)","41 Source Type",$C$5,"5 Source no.",$C1821,"4 Item Ledger Entry Type",$C$4,"2 Item No.","@@"&amp;$F1821,"3 Posting Date",Z$9)</t>
  </si>
  <si>
    <t>=-NL("Sum","5802 Value Entry","151 Cost Amount (Expected)","41 Source Type",$C$5,"5 Source No.",$C1821,"4 Item Ledger Entry Type",$C$4,"2 Item No.","@@"&amp;$F1821,"3 Posting Date",Z$9)-NL("Sum","5802 Value Entry","43 Cost Amount (Actual)","41 Source Type",$C$5,"5 Source no.",$C1821,"4 Item Ledger Entry Type",$C$4,"2 Item No.","@@"&amp;$F1821,"3 Posting Date",Z$9)</t>
  </si>
  <si>
    <t>=Z1821-AB1821</t>
  </si>
  <si>
    <t>=IF(Z1821&lt;&gt;0,AC1821/Z1821,"")</t>
  </si>
  <si>
    <t>=C1821</t>
  </si>
  <si>
    <t>=NL("Sum","5802 Value Entry","150 Sales Amount (Expected)","41 Source Type",$C$5,"5 Source No.",$C1822,"4 Item Ledger Entry Type",$C$4,"2 Item No.","@@"&amp;$F1822,"3 Posting Date",J$9)+NL("Sum","5802 Value Entry","17 Sales Amount (Actual)","41 Source Type",$C$5,"5 Source no.",$C1822,"4 Item Ledger Entry Type",$C$4,"2 Item No.","@@"&amp;$F1822,"3 Posting Date",J$9)</t>
  </si>
  <si>
    <t>=-NL("Sum","5802 Value Entry","151 Cost Amount (Expected)","41 Source Type",$C$5,"5 Source No.",$C1822,"4 Item Ledger Entry Type",$C$4,"2 Item No.","@@"&amp;$F1822,"3 Posting Date",J$9)-NL("Sum","5802 Value Entry","43 Cost Amount (Actual)","41 Source Type",$C$5,"5 Source no.",$C1822,"4 Item Ledger Entry Type",$C$4,"2 Item No.","@@"&amp;$F1822,"3 Posting Date",J$9)</t>
  </si>
  <si>
    <t>=J1822-L1822</t>
  </si>
  <si>
    <t>=IF(J1822&lt;&gt;0,M1822/J1822,"")</t>
  </si>
  <si>
    <t>=NL("Sum","5802 Value Entry","150 Sales Amount (Expected)","41 Source Type",$C$5,"5 Source No.",$C1822,"4 Item Ledger Entry Type",$C$4,"2 Item No.","@@"&amp;$F1822,"3 Posting Date",O$9)+NL("Sum","5802 Value Entry","17 Sales Amount (Actual)","41 Source Type",$C$5,"5 Source no.",$C1822,"4 Item Ledger Entry Type",$C$4,"2 Item No.","@@"&amp;$F1822,"3 Posting Date",O$9)</t>
  </si>
  <si>
    <t>=-NL("Sum","5802 Value Entry","151 Cost Amount (Expected)","41 Source Type",$C$5,"5 Source No.",$C1822,"4 Item Ledger Entry Type",$C$4,"2 Item No.","@@"&amp;$F1822,"3 Posting Date",O$9)-NL("Sum","5802 Value Entry","43 Cost Amount (Actual)","41 Source Type",$C$5,"5 Source no.",$C1822,"4 Item Ledger Entry Type",$C$4,"2 Item No.","@@"&amp;$F1822,"3 Posting Date",O$9)</t>
  </si>
  <si>
    <t>=O1822-Q1822</t>
  </si>
  <si>
    <t>=IF(O1822&lt;&gt;0,R1822/O1822,"")</t>
  </si>
  <si>
    <t>=NL("Sum","5802 Value Entry","150 Sales Amount (Expected)","41 Source Type",$C$5,"5 Source No.",$C1822,"4 Item Ledger Entry Type",$C$4,"2 Item No.","@@"&amp;$F1822,"3 Posting Date",U$9)+NL("Sum","5802 Value Entry","17 Sales Amount (Actual)","41 Source Type",$C$5,"5 Source no.",$C1822,"4 Item Ledger Entry Type",$C$4,"2 Item No.","@@"&amp;$F1822,"3 Posting Date",U$9)</t>
  </si>
  <si>
    <t>=-NL("Sum","5802 Value Entry","151 Cost Amount (Expected)","41 Source Type",$C$5,"5 Source No.",$C1822,"4 Item Ledger Entry Type",$C$4,"2 Item No.","@@"&amp;$F1822,"3 Posting Date",U$9)-NL("Sum","5802 Value Entry","43 Cost Amount (Actual)","41 Source Type",$C$5,"5 Source no.",$C1822,"4 Item Ledger Entry Type",$C$4,"2 Item No.","@@"&amp;$F1822,"3 Posting Date",U$9)</t>
  </si>
  <si>
    <t>=U1822-W1822</t>
  </si>
  <si>
    <t>=IF(U1822&lt;&gt;0,X1822/U1822,"")</t>
  </si>
  <si>
    <t>=NL("Sum","5802 Value Entry","150 Sales Amount (Expected)","41 Source Type",$C$5,"5 Source No.",$C1822,"4 Item Ledger Entry Type",$C$4,"2 Item No.","@@"&amp;$F1822,"3 Posting Date",Z$9)+NL("Sum","5802 Value Entry","17 Sales Amount (Actual)","41 Source Type",$C$5,"5 Source no.",$C1822,"4 Item Ledger Entry Type",$C$4,"2 Item No.","@@"&amp;$F1822,"3 Posting Date",Z$9)</t>
  </si>
  <si>
    <t>=-NL("Sum","5802 Value Entry","151 Cost Amount (Expected)","41 Source Type",$C$5,"5 Source No.",$C1822,"4 Item Ledger Entry Type",$C$4,"2 Item No.","@@"&amp;$F1822,"3 Posting Date",Z$9)-NL("Sum","5802 Value Entry","43 Cost Amount (Actual)","41 Source Type",$C$5,"5 Source no.",$C1822,"4 Item Ledger Entry Type",$C$4,"2 Item No.","@@"&amp;$F1822,"3 Posting Date",Z$9)</t>
  </si>
  <si>
    <t>=Z1822-AB1822</t>
  </si>
  <si>
    <t>=IF(Z1822&lt;&gt;0,AC1822/Z1822,"")</t>
  </si>
  <si>
    <t>=C1822</t>
  </si>
  <si>
    <t>=NL("Sum","5802 Value Entry","150 Sales Amount (Expected)","41 Source Type",$C$5,"5 Source No.",$C1823,"4 Item Ledger Entry Type",$C$4,"2 Item No.","@@"&amp;$F1823,"3 Posting Date",J$9)+NL("Sum","5802 Value Entry","17 Sales Amount (Actual)","41 Source Type",$C$5,"5 Source no.",$C1823,"4 Item Ledger Entry Type",$C$4,"2 Item No.","@@"&amp;$F1823,"3 Posting Date",J$9)</t>
  </si>
  <si>
    <t>=-NL("Sum","5802 Value Entry","151 Cost Amount (Expected)","41 Source Type",$C$5,"5 Source No.",$C1823,"4 Item Ledger Entry Type",$C$4,"2 Item No.","@@"&amp;$F1823,"3 Posting Date",J$9)-NL("Sum","5802 Value Entry","43 Cost Amount (Actual)","41 Source Type",$C$5,"5 Source no.",$C1823,"4 Item Ledger Entry Type",$C$4,"2 Item No.","@@"&amp;$F1823,"3 Posting Date",J$9)</t>
  </si>
  <si>
    <t>=J1823-L1823</t>
  </si>
  <si>
    <t>=IF(J1823&lt;&gt;0,M1823/J1823,"")</t>
  </si>
  <si>
    <t>=NL("Sum","5802 Value Entry","150 Sales Amount (Expected)","41 Source Type",$C$5,"5 Source No.",$C1823,"4 Item Ledger Entry Type",$C$4,"2 Item No.","@@"&amp;$F1823,"3 Posting Date",O$9)+NL("Sum","5802 Value Entry","17 Sales Amount (Actual)","41 Source Type",$C$5,"5 Source no.",$C1823,"4 Item Ledger Entry Type",$C$4,"2 Item No.","@@"&amp;$F1823,"3 Posting Date",O$9)</t>
  </si>
  <si>
    <t>=-NL("Sum","5802 Value Entry","151 Cost Amount (Expected)","41 Source Type",$C$5,"5 Source No.",$C1823,"4 Item Ledger Entry Type",$C$4,"2 Item No.","@@"&amp;$F1823,"3 Posting Date",O$9)-NL("Sum","5802 Value Entry","43 Cost Amount (Actual)","41 Source Type",$C$5,"5 Source no.",$C1823,"4 Item Ledger Entry Type",$C$4,"2 Item No.","@@"&amp;$F1823,"3 Posting Date",O$9)</t>
  </si>
  <si>
    <t>=O1823-Q1823</t>
  </si>
  <si>
    <t>=IF(O1823&lt;&gt;0,R1823/O1823,"")</t>
  </si>
  <si>
    <t>=NL("Sum","5802 Value Entry","150 Sales Amount (Expected)","41 Source Type",$C$5,"5 Source No.",$C1823,"4 Item Ledger Entry Type",$C$4,"2 Item No.","@@"&amp;$F1823,"3 Posting Date",U$9)+NL("Sum","5802 Value Entry","17 Sales Amount (Actual)","41 Source Type",$C$5,"5 Source no.",$C1823,"4 Item Ledger Entry Type",$C$4,"2 Item No.","@@"&amp;$F1823,"3 Posting Date",U$9)</t>
  </si>
  <si>
    <t>=-NL("Sum","5802 Value Entry","151 Cost Amount (Expected)","41 Source Type",$C$5,"5 Source No.",$C1823,"4 Item Ledger Entry Type",$C$4,"2 Item No.","@@"&amp;$F1823,"3 Posting Date",U$9)-NL("Sum","5802 Value Entry","43 Cost Amount (Actual)","41 Source Type",$C$5,"5 Source no.",$C1823,"4 Item Ledger Entry Type",$C$4,"2 Item No.","@@"&amp;$F1823,"3 Posting Date",U$9)</t>
  </si>
  <si>
    <t>=U1823-W1823</t>
  </si>
  <si>
    <t>=IF(U1823&lt;&gt;0,X1823/U1823,"")</t>
  </si>
  <si>
    <t>=NL("Sum","5802 Value Entry","150 Sales Amount (Expected)","41 Source Type",$C$5,"5 Source No.",$C1823,"4 Item Ledger Entry Type",$C$4,"2 Item No.","@@"&amp;$F1823,"3 Posting Date",Z$9)+NL("Sum","5802 Value Entry","17 Sales Amount (Actual)","41 Source Type",$C$5,"5 Source no.",$C1823,"4 Item Ledger Entry Type",$C$4,"2 Item No.","@@"&amp;$F1823,"3 Posting Date",Z$9)</t>
  </si>
  <si>
    <t>=-NL("Sum","5802 Value Entry","151 Cost Amount (Expected)","41 Source Type",$C$5,"5 Source No.",$C1823,"4 Item Ledger Entry Type",$C$4,"2 Item No.","@@"&amp;$F1823,"3 Posting Date",Z$9)-NL("Sum","5802 Value Entry","43 Cost Amount (Actual)","41 Source Type",$C$5,"5 Source no.",$C1823,"4 Item Ledger Entry Type",$C$4,"2 Item No.","@@"&amp;$F1823,"3 Posting Date",Z$9)</t>
  </si>
  <si>
    <t>=Z1823-AB1823</t>
  </si>
  <si>
    <t>=IF(Z1823&lt;&gt;0,AC1823/Z1823,"")</t>
  </si>
  <si>
    <t>=C1823</t>
  </si>
  <si>
    <t>=NL("Sum","5802 Value Entry","150 Sales Amount (Expected)","41 Source Type",$C$5,"5 Source No.",$C1824,"4 Item Ledger Entry Type",$C$4,"2 Item No.","@@"&amp;$F1824,"3 Posting Date",J$9)+NL("Sum","5802 Value Entry","17 Sales Amount (Actual)","41 Source Type",$C$5,"5 Source no.",$C1824,"4 Item Ledger Entry Type",$C$4,"2 Item No.","@@"&amp;$F1824,"3 Posting Date",J$9)</t>
  </si>
  <si>
    <t>=-NL("Sum","5802 Value Entry","151 Cost Amount (Expected)","41 Source Type",$C$5,"5 Source No.",$C1824,"4 Item Ledger Entry Type",$C$4,"2 Item No.","@@"&amp;$F1824,"3 Posting Date",J$9)-NL("Sum","5802 Value Entry","43 Cost Amount (Actual)","41 Source Type",$C$5,"5 Source no.",$C1824,"4 Item Ledger Entry Type",$C$4,"2 Item No.","@@"&amp;$F1824,"3 Posting Date",J$9)</t>
  </si>
  <si>
    <t>=J1824-L1824</t>
  </si>
  <si>
    <t>=IF(J1824&lt;&gt;0,M1824/J1824,"")</t>
  </si>
  <si>
    <t>=NL("Sum","5802 Value Entry","150 Sales Amount (Expected)","41 Source Type",$C$5,"5 Source No.",$C1824,"4 Item Ledger Entry Type",$C$4,"2 Item No.","@@"&amp;$F1824,"3 Posting Date",O$9)+NL("Sum","5802 Value Entry","17 Sales Amount (Actual)","41 Source Type",$C$5,"5 Source no.",$C1824,"4 Item Ledger Entry Type",$C$4,"2 Item No.","@@"&amp;$F1824,"3 Posting Date",O$9)</t>
  </si>
  <si>
    <t>=-NL("Sum","5802 Value Entry","151 Cost Amount (Expected)","41 Source Type",$C$5,"5 Source No.",$C1824,"4 Item Ledger Entry Type",$C$4,"2 Item No.","@@"&amp;$F1824,"3 Posting Date",O$9)-NL("Sum","5802 Value Entry","43 Cost Amount (Actual)","41 Source Type",$C$5,"5 Source no.",$C1824,"4 Item Ledger Entry Type",$C$4,"2 Item No.","@@"&amp;$F1824,"3 Posting Date",O$9)</t>
  </si>
  <si>
    <t>=O1824-Q1824</t>
  </si>
  <si>
    <t>=IF(O1824&lt;&gt;0,R1824/O1824,"")</t>
  </si>
  <si>
    <t>=NL("Sum","5802 Value Entry","150 Sales Amount (Expected)","41 Source Type",$C$5,"5 Source No.",$C1824,"4 Item Ledger Entry Type",$C$4,"2 Item No.","@@"&amp;$F1824,"3 Posting Date",U$9)+NL("Sum","5802 Value Entry","17 Sales Amount (Actual)","41 Source Type",$C$5,"5 Source no.",$C1824,"4 Item Ledger Entry Type",$C$4,"2 Item No.","@@"&amp;$F1824,"3 Posting Date",U$9)</t>
  </si>
  <si>
    <t>=-NL("Sum","5802 Value Entry","151 Cost Amount (Expected)","41 Source Type",$C$5,"5 Source No.",$C1824,"4 Item Ledger Entry Type",$C$4,"2 Item No.","@@"&amp;$F1824,"3 Posting Date",U$9)-NL("Sum","5802 Value Entry","43 Cost Amount (Actual)","41 Source Type",$C$5,"5 Source no.",$C1824,"4 Item Ledger Entry Type",$C$4,"2 Item No.","@@"&amp;$F1824,"3 Posting Date",U$9)</t>
  </si>
  <si>
    <t>=U1824-W1824</t>
  </si>
  <si>
    <t>=IF(U1824&lt;&gt;0,X1824/U1824,"")</t>
  </si>
  <si>
    <t>=NL("Sum","5802 Value Entry","150 Sales Amount (Expected)","41 Source Type",$C$5,"5 Source No.",$C1824,"4 Item Ledger Entry Type",$C$4,"2 Item No.","@@"&amp;$F1824,"3 Posting Date",Z$9)+NL("Sum","5802 Value Entry","17 Sales Amount (Actual)","41 Source Type",$C$5,"5 Source no.",$C1824,"4 Item Ledger Entry Type",$C$4,"2 Item No.","@@"&amp;$F1824,"3 Posting Date",Z$9)</t>
  </si>
  <si>
    <t>=-NL("Sum","5802 Value Entry","151 Cost Amount (Expected)","41 Source Type",$C$5,"5 Source No.",$C1824,"4 Item Ledger Entry Type",$C$4,"2 Item No.","@@"&amp;$F1824,"3 Posting Date",Z$9)-NL("Sum","5802 Value Entry","43 Cost Amount (Actual)","41 Source Type",$C$5,"5 Source no.",$C1824,"4 Item Ledger Entry Type",$C$4,"2 Item No.","@@"&amp;$F1824,"3 Posting Date",Z$9)</t>
  </si>
  <si>
    <t>=Z1824-AB1824</t>
  </si>
  <si>
    <t>=IF(Z1824&lt;&gt;0,AC1824/Z1824,"")</t>
  </si>
  <si>
    <t>=C1824</t>
  </si>
  <si>
    <t>=NL("Sum","5802 Value Entry","150 Sales Amount (Expected)","41 Source Type",$C$5,"5 Source No.",$C1825,"4 Item Ledger Entry Type",$C$4,"2 Item No.","@@"&amp;$F1825,"3 Posting Date",J$9)+NL("Sum","5802 Value Entry","17 Sales Amount (Actual)","41 Source Type",$C$5,"5 Source no.",$C1825,"4 Item Ledger Entry Type",$C$4,"2 Item No.","@@"&amp;$F1825,"3 Posting Date",J$9)</t>
  </si>
  <si>
    <t>=-NL("Sum","5802 Value Entry","151 Cost Amount (Expected)","41 Source Type",$C$5,"5 Source No.",$C1825,"4 Item Ledger Entry Type",$C$4,"2 Item No.","@@"&amp;$F1825,"3 Posting Date",J$9)-NL("Sum","5802 Value Entry","43 Cost Amount (Actual)","41 Source Type",$C$5,"5 Source no.",$C1825,"4 Item Ledger Entry Type",$C$4,"2 Item No.","@@"&amp;$F1825,"3 Posting Date",J$9)</t>
  </si>
  <si>
    <t>=J1825-L1825</t>
  </si>
  <si>
    <t>=IF(J1825&lt;&gt;0,M1825/J1825,"")</t>
  </si>
  <si>
    <t>=NL("Sum","5802 Value Entry","150 Sales Amount (Expected)","41 Source Type",$C$5,"5 Source No.",$C1825,"4 Item Ledger Entry Type",$C$4,"2 Item No.","@@"&amp;$F1825,"3 Posting Date",O$9)+NL("Sum","5802 Value Entry","17 Sales Amount (Actual)","41 Source Type",$C$5,"5 Source no.",$C1825,"4 Item Ledger Entry Type",$C$4,"2 Item No.","@@"&amp;$F1825,"3 Posting Date",O$9)</t>
  </si>
  <si>
    <t>=-NL("Sum","5802 Value Entry","151 Cost Amount (Expected)","41 Source Type",$C$5,"5 Source No.",$C1825,"4 Item Ledger Entry Type",$C$4,"2 Item No.","@@"&amp;$F1825,"3 Posting Date",O$9)-NL("Sum","5802 Value Entry","43 Cost Amount (Actual)","41 Source Type",$C$5,"5 Source no.",$C1825,"4 Item Ledger Entry Type",$C$4,"2 Item No.","@@"&amp;$F1825,"3 Posting Date",O$9)</t>
  </si>
  <si>
    <t>=O1825-Q1825</t>
  </si>
  <si>
    <t>=IF(O1825&lt;&gt;0,R1825/O1825,"")</t>
  </si>
  <si>
    <t>=NL("Sum","5802 Value Entry","150 Sales Amount (Expected)","41 Source Type",$C$5,"5 Source No.",$C1825,"4 Item Ledger Entry Type",$C$4,"2 Item No.","@@"&amp;$F1825,"3 Posting Date",U$9)+NL("Sum","5802 Value Entry","17 Sales Amount (Actual)","41 Source Type",$C$5,"5 Source no.",$C1825,"4 Item Ledger Entry Type",$C$4,"2 Item No.","@@"&amp;$F1825,"3 Posting Date",U$9)</t>
  </si>
  <si>
    <t>=-NL("Sum","5802 Value Entry","151 Cost Amount (Expected)","41 Source Type",$C$5,"5 Source No.",$C1825,"4 Item Ledger Entry Type",$C$4,"2 Item No.","@@"&amp;$F1825,"3 Posting Date",U$9)-NL("Sum","5802 Value Entry","43 Cost Amount (Actual)","41 Source Type",$C$5,"5 Source no.",$C1825,"4 Item Ledger Entry Type",$C$4,"2 Item No.","@@"&amp;$F1825,"3 Posting Date",U$9)</t>
  </si>
  <si>
    <t>=U1825-W1825</t>
  </si>
  <si>
    <t>=IF(U1825&lt;&gt;0,X1825/U1825,"")</t>
  </si>
  <si>
    <t>=NL("Sum","5802 Value Entry","150 Sales Amount (Expected)","41 Source Type",$C$5,"5 Source No.",$C1825,"4 Item Ledger Entry Type",$C$4,"2 Item No.","@@"&amp;$F1825,"3 Posting Date",Z$9)+NL("Sum","5802 Value Entry","17 Sales Amount (Actual)","41 Source Type",$C$5,"5 Source no.",$C1825,"4 Item Ledger Entry Type",$C$4,"2 Item No.","@@"&amp;$F1825,"3 Posting Date",Z$9)</t>
  </si>
  <si>
    <t>=-NL("Sum","5802 Value Entry","151 Cost Amount (Expected)","41 Source Type",$C$5,"5 Source No.",$C1825,"4 Item Ledger Entry Type",$C$4,"2 Item No.","@@"&amp;$F1825,"3 Posting Date",Z$9)-NL("Sum","5802 Value Entry","43 Cost Amount (Actual)","41 Source Type",$C$5,"5 Source no.",$C1825,"4 Item Ledger Entry Type",$C$4,"2 Item No.","@@"&amp;$F1825,"3 Posting Date",Z$9)</t>
  </si>
  <si>
    <t>=Z1825-AB1825</t>
  </si>
  <si>
    <t>=IF(Z1825&lt;&gt;0,AC1825/Z1825,"")</t>
  </si>
  <si>
    <t>=C1825</t>
  </si>
  <si>
    <t>=NL("Sum","5802 Value Entry","150 Sales Amount (Expected)","41 Source Type",$C$5,"5 Source No.",$C1826,"4 Item Ledger Entry Type",$C$4,"2 Item No.","@@"&amp;$F1826,"3 Posting Date",J$9)+NL("Sum","5802 Value Entry","17 Sales Amount (Actual)","41 Source Type",$C$5,"5 Source no.",$C1826,"4 Item Ledger Entry Type",$C$4,"2 Item No.","@@"&amp;$F1826,"3 Posting Date",J$9)</t>
  </si>
  <si>
    <t>=-NL("Sum","5802 Value Entry","151 Cost Amount (Expected)","41 Source Type",$C$5,"5 Source No.",$C1826,"4 Item Ledger Entry Type",$C$4,"2 Item No.","@@"&amp;$F1826,"3 Posting Date",J$9)-NL("Sum","5802 Value Entry","43 Cost Amount (Actual)","41 Source Type",$C$5,"5 Source no.",$C1826,"4 Item Ledger Entry Type",$C$4,"2 Item No.","@@"&amp;$F1826,"3 Posting Date",J$9)</t>
  </si>
  <si>
    <t>=J1826-L1826</t>
  </si>
  <si>
    <t>=IF(J1826&lt;&gt;0,M1826/J1826,"")</t>
  </si>
  <si>
    <t>=NL("Sum","5802 Value Entry","150 Sales Amount (Expected)","41 Source Type",$C$5,"5 Source No.",$C1826,"4 Item Ledger Entry Type",$C$4,"2 Item No.","@@"&amp;$F1826,"3 Posting Date",O$9)+NL("Sum","5802 Value Entry","17 Sales Amount (Actual)","41 Source Type",$C$5,"5 Source no.",$C1826,"4 Item Ledger Entry Type",$C$4,"2 Item No.","@@"&amp;$F1826,"3 Posting Date",O$9)</t>
  </si>
  <si>
    <t>=-NL("Sum","5802 Value Entry","151 Cost Amount (Expected)","41 Source Type",$C$5,"5 Source No.",$C1826,"4 Item Ledger Entry Type",$C$4,"2 Item No.","@@"&amp;$F1826,"3 Posting Date",O$9)-NL("Sum","5802 Value Entry","43 Cost Amount (Actual)","41 Source Type",$C$5,"5 Source no.",$C1826,"4 Item Ledger Entry Type",$C$4,"2 Item No.","@@"&amp;$F1826,"3 Posting Date",O$9)</t>
  </si>
  <si>
    <t>=O1826-Q1826</t>
  </si>
  <si>
    <t>=IF(O1826&lt;&gt;0,R1826/O1826,"")</t>
  </si>
  <si>
    <t>=NL("Sum","5802 Value Entry","150 Sales Amount (Expected)","41 Source Type",$C$5,"5 Source No.",$C1826,"4 Item Ledger Entry Type",$C$4,"2 Item No.","@@"&amp;$F1826,"3 Posting Date",U$9)+NL("Sum","5802 Value Entry","17 Sales Amount (Actual)","41 Source Type",$C$5,"5 Source no.",$C1826,"4 Item Ledger Entry Type",$C$4,"2 Item No.","@@"&amp;$F1826,"3 Posting Date",U$9)</t>
  </si>
  <si>
    <t>=-NL("Sum","5802 Value Entry","151 Cost Amount (Expected)","41 Source Type",$C$5,"5 Source No.",$C1826,"4 Item Ledger Entry Type",$C$4,"2 Item No.","@@"&amp;$F1826,"3 Posting Date",U$9)-NL("Sum","5802 Value Entry","43 Cost Amount (Actual)","41 Source Type",$C$5,"5 Source no.",$C1826,"4 Item Ledger Entry Type",$C$4,"2 Item No.","@@"&amp;$F1826,"3 Posting Date",U$9)</t>
  </si>
  <si>
    <t>=U1826-W1826</t>
  </si>
  <si>
    <t>=IF(U1826&lt;&gt;0,X1826/U1826,"")</t>
  </si>
  <si>
    <t>=NL("Sum","5802 Value Entry","150 Sales Amount (Expected)","41 Source Type",$C$5,"5 Source No.",$C1826,"4 Item Ledger Entry Type",$C$4,"2 Item No.","@@"&amp;$F1826,"3 Posting Date",Z$9)+NL("Sum","5802 Value Entry","17 Sales Amount (Actual)","41 Source Type",$C$5,"5 Source no.",$C1826,"4 Item Ledger Entry Type",$C$4,"2 Item No.","@@"&amp;$F1826,"3 Posting Date",Z$9)</t>
  </si>
  <si>
    <t>=-NL("Sum","5802 Value Entry","151 Cost Amount (Expected)","41 Source Type",$C$5,"5 Source No.",$C1826,"4 Item Ledger Entry Type",$C$4,"2 Item No.","@@"&amp;$F1826,"3 Posting Date",Z$9)-NL("Sum","5802 Value Entry","43 Cost Amount (Actual)","41 Source Type",$C$5,"5 Source no.",$C1826,"4 Item Ledger Entry Type",$C$4,"2 Item No.","@@"&amp;$F1826,"3 Posting Date",Z$9)</t>
  </si>
  <si>
    <t>=Z1826-AB1826</t>
  </si>
  <si>
    <t>=IF(Z1826&lt;&gt;0,AC1826/Z1826,"")</t>
  </si>
  <si>
    <t>=C1826</t>
  </si>
  <si>
    <t>=NL("Sum","5802 Value Entry","150 Sales Amount (Expected)","41 Source Type",$C$5,"5 Source No.",$C1827,"4 Item Ledger Entry Type",$C$4,"2 Item No.","@@"&amp;$F1827,"3 Posting Date",J$9)+NL("Sum","5802 Value Entry","17 Sales Amount (Actual)","41 Source Type",$C$5,"5 Source no.",$C1827,"4 Item Ledger Entry Type",$C$4,"2 Item No.","@@"&amp;$F1827,"3 Posting Date",J$9)</t>
  </si>
  <si>
    <t>=-NL("Sum","5802 Value Entry","151 Cost Amount (Expected)","41 Source Type",$C$5,"5 Source No.",$C1827,"4 Item Ledger Entry Type",$C$4,"2 Item No.","@@"&amp;$F1827,"3 Posting Date",J$9)-NL("Sum","5802 Value Entry","43 Cost Amount (Actual)","41 Source Type",$C$5,"5 Source no.",$C1827,"4 Item Ledger Entry Type",$C$4,"2 Item No.","@@"&amp;$F1827,"3 Posting Date",J$9)</t>
  </si>
  <si>
    <t>=J1827-L1827</t>
  </si>
  <si>
    <t>=IF(J1827&lt;&gt;0,M1827/J1827,"")</t>
  </si>
  <si>
    <t>=NL("Sum","5802 Value Entry","150 Sales Amount (Expected)","41 Source Type",$C$5,"5 Source No.",$C1827,"4 Item Ledger Entry Type",$C$4,"2 Item No.","@@"&amp;$F1827,"3 Posting Date",O$9)+NL("Sum","5802 Value Entry","17 Sales Amount (Actual)","41 Source Type",$C$5,"5 Source no.",$C1827,"4 Item Ledger Entry Type",$C$4,"2 Item No.","@@"&amp;$F1827,"3 Posting Date",O$9)</t>
  </si>
  <si>
    <t>=-NL("Sum","5802 Value Entry","151 Cost Amount (Expected)","41 Source Type",$C$5,"5 Source No.",$C1827,"4 Item Ledger Entry Type",$C$4,"2 Item No.","@@"&amp;$F1827,"3 Posting Date",O$9)-NL("Sum","5802 Value Entry","43 Cost Amount (Actual)","41 Source Type",$C$5,"5 Source no.",$C1827,"4 Item Ledger Entry Type",$C$4,"2 Item No.","@@"&amp;$F1827,"3 Posting Date",O$9)</t>
  </si>
  <si>
    <t>=O1827-Q1827</t>
  </si>
  <si>
    <t>=IF(O1827&lt;&gt;0,R1827/O1827,"")</t>
  </si>
  <si>
    <t>=NL("Sum","5802 Value Entry","150 Sales Amount (Expected)","41 Source Type",$C$5,"5 Source No.",$C1827,"4 Item Ledger Entry Type",$C$4,"2 Item No.","@@"&amp;$F1827,"3 Posting Date",U$9)+NL("Sum","5802 Value Entry","17 Sales Amount (Actual)","41 Source Type",$C$5,"5 Source no.",$C1827,"4 Item Ledger Entry Type",$C$4,"2 Item No.","@@"&amp;$F1827,"3 Posting Date",U$9)</t>
  </si>
  <si>
    <t>=-NL("Sum","5802 Value Entry","151 Cost Amount (Expected)","41 Source Type",$C$5,"5 Source No.",$C1827,"4 Item Ledger Entry Type",$C$4,"2 Item No.","@@"&amp;$F1827,"3 Posting Date",U$9)-NL("Sum","5802 Value Entry","43 Cost Amount (Actual)","41 Source Type",$C$5,"5 Source no.",$C1827,"4 Item Ledger Entry Type",$C$4,"2 Item No.","@@"&amp;$F1827,"3 Posting Date",U$9)</t>
  </si>
  <si>
    <t>=U1827-W1827</t>
  </si>
  <si>
    <t>=IF(U1827&lt;&gt;0,X1827/U1827,"")</t>
  </si>
  <si>
    <t>=NL("Sum","5802 Value Entry","150 Sales Amount (Expected)","41 Source Type",$C$5,"5 Source No.",$C1827,"4 Item Ledger Entry Type",$C$4,"2 Item No.","@@"&amp;$F1827,"3 Posting Date",Z$9)+NL("Sum","5802 Value Entry","17 Sales Amount (Actual)","41 Source Type",$C$5,"5 Source no.",$C1827,"4 Item Ledger Entry Type",$C$4,"2 Item No.","@@"&amp;$F1827,"3 Posting Date",Z$9)</t>
  </si>
  <si>
    <t>=-NL("Sum","5802 Value Entry","151 Cost Amount (Expected)","41 Source Type",$C$5,"5 Source No.",$C1827,"4 Item Ledger Entry Type",$C$4,"2 Item No.","@@"&amp;$F1827,"3 Posting Date",Z$9)-NL("Sum","5802 Value Entry","43 Cost Amount (Actual)","41 Source Type",$C$5,"5 Source no.",$C1827,"4 Item Ledger Entry Type",$C$4,"2 Item No.","@@"&amp;$F1827,"3 Posting Date",Z$9)</t>
  </si>
  <si>
    <t>=Z1827-AB1827</t>
  </si>
  <si>
    <t>=IF(Z1827&lt;&gt;0,AC1827/Z1827,"")</t>
  </si>
  <si>
    <t>=C1827</t>
  </si>
  <si>
    <t>=NL("Sum","5802 Value Entry","150 Sales Amount (Expected)","41 Source Type",$C$5,"5 Source No.",$C1828,"4 Item Ledger Entry Type",$C$4,"2 Item No.","@@"&amp;$F1828,"3 Posting Date",J$9)+NL("Sum","5802 Value Entry","17 Sales Amount (Actual)","41 Source Type",$C$5,"5 Source no.",$C1828,"4 Item Ledger Entry Type",$C$4,"2 Item No.","@@"&amp;$F1828,"3 Posting Date",J$9)</t>
  </si>
  <si>
    <t>=-NL("Sum","5802 Value Entry","151 Cost Amount (Expected)","41 Source Type",$C$5,"5 Source No.",$C1828,"4 Item Ledger Entry Type",$C$4,"2 Item No.","@@"&amp;$F1828,"3 Posting Date",J$9)-NL("Sum","5802 Value Entry","43 Cost Amount (Actual)","41 Source Type",$C$5,"5 Source no.",$C1828,"4 Item Ledger Entry Type",$C$4,"2 Item No.","@@"&amp;$F1828,"3 Posting Date",J$9)</t>
  </si>
  <si>
    <t>=J1828-L1828</t>
  </si>
  <si>
    <t>=IF(J1828&lt;&gt;0,M1828/J1828,"")</t>
  </si>
  <si>
    <t>=NL("Sum","5802 Value Entry","150 Sales Amount (Expected)","41 Source Type",$C$5,"5 Source No.",$C1828,"4 Item Ledger Entry Type",$C$4,"2 Item No.","@@"&amp;$F1828,"3 Posting Date",O$9)+NL("Sum","5802 Value Entry","17 Sales Amount (Actual)","41 Source Type",$C$5,"5 Source no.",$C1828,"4 Item Ledger Entry Type",$C$4,"2 Item No.","@@"&amp;$F1828,"3 Posting Date",O$9)</t>
  </si>
  <si>
    <t>=-NL("Sum","5802 Value Entry","151 Cost Amount (Expected)","41 Source Type",$C$5,"5 Source No.",$C1828,"4 Item Ledger Entry Type",$C$4,"2 Item No.","@@"&amp;$F1828,"3 Posting Date",O$9)-NL("Sum","5802 Value Entry","43 Cost Amount (Actual)","41 Source Type",$C$5,"5 Source no.",$C1828,"4 Item Ledger Entry Type",$C$4,"2 Item No.","@@"&amp;$F1828,"3 Posting Date",O$9)</t>
  </si>
  <si>
    <t>=O1828-Q1828</t>
  </si>
  <si>
    <t>=IF(O1828&lt;&gt;0,R1828/O1828,"")</t>
  </si>
  <si>
    <t>=NL("Sum","5802 Value Entry","150 Sales Amount (Expected)","41 Source Type",$C$5,"5 Source No.",$C1828,"4 Item Ledger Entry Type",$C$4,"2 Item No.","@@"&amp;$F1828,"3 Posting Date",U$9)+NL("Sum","5802 Value Entry","17 Sales Amount (Actual)","41 Source Type",$C$5,"5 Source no.",$C1828,"4 Item Ledger Entry Type",$C$4,"2 Item No.","@@"&amp;$F1828,"3 Posting Date",U$9)</t>
  </si>
  <si>
    <t>=-NL("Sum","5802 Value Entry","151 Cost Amount (Expected)","41 Source Type",$C$5,"5 Source No.",$C1828,"4 Item Ledger Entry Type",$C$4,"2 Item No.","@@"&amp;$F1828,"3 Posting Date",U$9)-NL("Sum","5802 Value Entry","43 Cost Amount (Actual)","41 Source Type",$C$5,"5 Source no.",$C1828,"4 Item Ledger Entry Type",$C$4,"2 Item No.","@@"&amp;$F1828,"3 Posting Date",U$9)</t>
  </si>
  <si>
    <t>=U1828-W1828</t>
  </si>
  <si>
    <t>=IF(U1828&lt;&gt;0,X1828/U1828,"")</t>
  </si>
  <si>
    <t>=NL("Sum","5802 Value Entry","150 Sales Amount (Expected)","41 Source Type",$C$5,"5 Source No.",$C1828,"4 Item Ledger Entry Type",$C$4,"2 Item No.","@@"&amp;$F1828,"3 Posting Date",Z$9)+NL("Sum","5802 Value Entry","17 Sales Amount (Actual)","41 Source Type",$C$5,"5 Source no.",$C1828,"4 Item Ledger Entry Type",$C$4,"2 Item No.","@@"&amp;$F1828,"3 Posting Date",Z$9)</t>
  </si>
  <si>
    <t>=-NL("Sum","5802 Value Entry","151 Cost Amount (Expected)","41 Source Type",$C$5,"5 Source No.",$C1828,"4 Item Ledger Entry Type",$C$4,"2 Item No.","@@"&amp;$F1828,"3 Posting Date",Z$9)-NL("Sum","5802 Value Entry","43 Cost Amount (Actual)","41 Source Type",$C$5,"5 Source no.",$C1828,"4 Item Ledger Entry Type",$C$4,"2 Item No.","@@"&amp;$F1828,"3 Posting Date",Z$9)</t>
  </si>
  <si>
    <t>=Z1828-AB1828</t>
  </si>
  <si>
    <t>=IF(Z1828&lt;&gt;0,AC1828/Z1828,"")</t>
  </si>
  <si>
    <t>=C1828</t>
  </si>
  <si>
    <t>=NL("Sum","5802 Value Entry","150 Sales Amount (Expected)","41 Source Type",$C$5,"5 Source No.",$C1829,"4 Item Ledger Entry Type",$C$4,"2 Item No.","@@"&amp;$F1829,"3 Posting Date",J$9)+NL("Sum","5802 Value Entry","17 Sales Amount (Actual)","41 Source Type",$C$5,"5 Source no.",$C1829,"4 Item Ledger Entry Type",$C$4,"2 Item No.","@@"&amp;$F1829,"3 Posting Date",J$9)</t>
  </si>
  <si>
    <t>=-NL("Sum","5802 Value Entry","151 Cost Amount (Expected)","41 Source Type",$C$5,"5 Source No.",$C1829,"4 Item Ledger Entry Type",$C$4,"2 Item No.","@@"&amp;$F1829,"3 Posting Date",J$9)-NL("Sum","5802 Value Entry","43 Cost Amount (Actual)","41 Source Type",$C$5,"5 Source no.",$C1829,"4 Item Ledger Entry Type",$C$4,"2 Item No.","@@"&amp;$F1829,"3 Posting Date",J$9)</t>
  </si>
  <si>
    <t>=J1829-L1829</t>
  </si>
  <si>
    <t>=IF(J1829&lt;&gt;0,M1829/J1829,"")</t>
  </si>
  <si>
    <t>=NL("Sum","5802 Value Entry","150 Sales Amount (Expected)","41 Source Type",$C$5,"5 Source No.",$C1829,"4 Item Ledger Entry Type",$C$4,"2 Item No.","@@"&amp;$F1829,"3 Posting Date",O$9)+NL("Sum","5802 Value Entry","17 Sales Amount (Actual)","41 Source Type",$C$5,"5 Source no.",$C1829,"4 Item Ledger Entry Type",$C$4,"2 Item No.","@@"&amp;$F1829,"3 Posting Date",O$9)</t>
  </si>
  <si>
    <t>=-NL("Sum","5802 Value Entry","151 Cost Amount (Expected)","41 Source Type",$C$5,"5 Source No.",$C1829,"4 Item Ledger Entry Type",$C$4,"2 Item No.","@@"&amp;$F1829,"3 Posting Date",O$9)-NL("Sum","5802 Value Entry","43 Cost Amount (Actual)","41 Source Type",$C$5,"5 Source no.",$C1829,"4 Item Ledger Entry Type",$C$4,"2 Item No.","@@"&amp;$F1829,"3 Posting Date",O$9)</t>
  </si>
  <si>
    <t>=O1829-Q1829</t>
  </si>
  <si>
    <t>=IF(O1829&lt;&gt;0,R1829/O1829,"")</t>
  </si>
  <si>
    <t>=NL("Sum","5802 Value Entry","150 Sales Amount (Expected)","41 Source Type",$C$5,"5 Source No.",$C1829,"4 Item Ledger Entry Type",$C$4,"2 Item No.","@@"&amp;$F1829,"3 Posting Date",U$9)+NL("Sum","5802 Value Entry","17 Sales Amount (Actual)","41 Source Type",$C$5,"5 Source no.",$C1829,"4 Item Ledger Entry Type",$C$4,"2 Item No.","@@"&amp;$F1829,"3 Posting Date",U$9)</t>
  </si>
  <si>
    <t>=-NL("Sum","5802 Value Entry","151 Cost Amount (Expected)","41 Source Type",$C$5,"5 Source No.",$C1829,"4 Item Ledger Entry Type",$C$4,"2 Item No.","@@"&amp;$F1829,"3 Posting Date",U$9)-NL("Sum","5802 Value Entry","43 Cost Amount (Actual)","41 Source Type",$C$5,"5 Source no.",$C1829,"4 Item Ledger Entry Type",$C$4,"2 Item No.","@@"&amp;$F1829,"3 Posting Date",U$9)</t>
  </si>
  <si>
    <t>=U1829-W1829</t>
  </si>
  <si>
    <t>=IF(U1829&lt;&gt;0,X1829/U1829,"")</t>
  </si>
  <si>
    <t>=NL("Sum","5802 Value Entry","150 Sales Amount (Expected)","41 Source Type",$C$5,"5 Source No.",$C1829,"4 Item Ledger Entry Type",$C$4,"2 Item No.","@@"&amp;$F1829,"3 Posting Date",Z$9)+NL("Sum","5802 Value Entry","17 Sales Amount (Actual)","41 Source Type",$C$5,"5 Source no.",$C1829,"4 Item Ledger Entry Type",$C$4,"2 Item No.","@@"&amp;$F1829,"3 Posting Date",Z$9)</t>
  </si>
  <si>
    <t>=-NL("Sum","5802 Value Entry","151 Cost Amount (Expected)","41 Source Type",$C$5,"5 Source No.",$C1829,"4 Item Ledger Entry Type",$C$4,"2 Item No.","@@"&amp;$F1829,"3 Posting Date",Z$9)-NL("Sum","5802 Value Entry","43 Cost Amount (Actual)","41 Source Type",$C$5,"5 Source no.",$C1829,"4 Item Ledger Entry Type",$C$4,"2 Item No.","@@"&amp;$F1829,"3 Posting Date",Z$9)</t>
  </si>
  <si>
    <t>=Z1829-AB1829</t>
  </si>
  <si>
    <t>=IF(Z1829&lt;&gt;0,AC1829/Z1829,"")</t>
  </si>
  <si>
    <t>=C1829</t>
  </si>
  <si>
    <t>=NL("Sum","5802 Value Entry","150 Sales Amount (Expected)","41 Source Type",$C$5,"5 Source No.",$C1830,"4 Item Ledger Entry Type",$C$4,"2 Item No.","@@"&amp;$F1830,"3 Posting Date",J$9)+NL("Sum","5802 Value Entry","17 Sales Amount (Actual)","41 Source Type",$C$5,"5 Source no.",$C1830,"4 Item Ledger Entry Type",$C$4,"2 Item No.","@@"&amp;$F1830,"3 Posting Date",J$9)</t>
  </si>
  <si>
    <t>=-NL("Sum","5802 Value Entry","151 Cost Amount (Expected)","41 Source Type",$C$5,"5 Source No.",$C1830,"4 Item Ledger Entry Type",$C$4,"2 Item No.","@@"&amp;$F1830,"3 Posting Date",J$9)-NL("Sum","5802 Value Entry","43 Cost Amount (Actual)","41 Source Type",$C$5,"5 Source no.",$C1830,"4 Item Ledger Entry Type",$C$4,"2 Item No.","@@"&amp;$F1830,"3 Posting Date",J$9)</t>
  </si>
  <si>
    <t>=J1830-L1830</t>
  </si>
  <si>
    <t>=IF(J1830&lt;&gt;0,M1830/J1830,"")</t>
  </si>
  <si>
    <t>=NL("Sum","5802 Value Entry","150 Sales Amount (Expected)","41 Source Type",$C$5,"5 Source No.",$C1830,"4 Item Ledger Entry Type",$C$4,"2 Item No.","@@"&amp;$F1830,"3 Posting Date",O$9)+NL("Sum","5802 Value Entry","17 Sales Amount (Actual)","41 Source Type",$C$5,"5 Source no.",$C1830,"4 Item Ledger Entry Type",$C$4,"2 Item No.","@@"&amp;$F1830,"3 Posting Date",O$9)</t>
  </si>
  <si>
    <t>=-NL("Sum","5802 Value Entry","151 Cost Amount (Expected)","41 Source Type",$C$5,"5 Source No.",$C1830,"4 Item Ledger Entry Type",$C$4,"2 Item No.","@@"&amp;$F1830,"3 Posting Date",O$9)-NL("Sum","5802 Value Entry","43 Cost Amount (Actual)","41 Source Type",$C$5,"5 Source no.",$C1830,"4 Item Ledger Entry Type",$C$4,"2 Item No.","@@"&amp;$F1830,"3 Posting Date",O$9)</t>
  </si>
  <si>
    <t>=O1830-Q1830</t>
  </si>
  <si>
    <t>=IF(O1830&lt;&gt;0,R1830/O1830,"")</t>
  </si>
  <si>
    <t>=NL("Sum","5802 Value Entry","150 Sales Amount (Expected)","41 Source Type",$C$5,"5 Source No.",$C1830,"4 Item Ledger Entry Type",$C$4,"2 Item No.","@@"&amp;$F1830,"3 Posting Date",U$9)+NL("Sum","5802 Value Entry","17 Sales Amount (Actual)","41 Source Type",$C$5,"5 Source no.",$C1830,"4 Item Ledger Entry Type",$C$4,"2 Item No.","@@"&amp;$F1830,"3 Posting Date",U$9)</t>
  </si>
  <si>
    <t>=-NL("Sum","5802 Value Entry","151 Cost Amount (Expected)","41 Source Type",$C$5,"5 Source No.",$C1830,"4 Item Ledger Entry Type",$C$4,"2 Item No.","@@"&amp;$F1830,"3 Posting Date",U$9)-NL("Sum","5802 Value Entry","43 Cost Amount (Actual)","41 Source Type",$C$5,"5 Source no.",$C1830,"4 Item Ledger Entry Type",$C$4,"2 Item No.","@@"&amp;$F1830,"3 Posting Date",U$9)</t>
  </si>
  <si>
    <t>=U1830-W1830</t>
  </si>
  <si>
    <t>=IF(U1830&lt;&gt;0,X1830/U1830,"")</t>
  </si>
  <si>
    <t>=NL("Sum","5802 Value Entry","150 Sales Amount (Expected)","41 Source Type",$C$5,"5 Source No.",$C1830,"4 Item Ledger Entry Type",$C$4,"2 Item No.","@@"&amp;$F1830,"3 Posting Date",Z$9)+NL("Sum","5802 Value Entry","17 Sales Amount (Actual)","41 Source Type",$C$5,"5 Source no.",$C1830,"4 Item Ledger Entry Type",$C$4,"2 Item No.","@@"&amp;$F1830,"3 Posting Date",Z$9)</t>
  </si>
  <si>
    <t>=-NL("Sum","5802 Value Entry","151 Cost Amount (Expected)","41 Source Type",$C$5,"5 Source No.",$C1830,"4 Item Ledger Entry Type",$C$4,"2 Item No.","@@"&amp;$F1830,"3 Posting Date",Z$9)-NL("Sum","5802 Value Entry","43 Cost Amount (Actual)","41 Source Type",$C$5,"5 Source no.",$C1830,"4 Item Ledger Entry Type",$C$4,"2 Item No.","@@"&amp;$F1830,"3 Posting Date",Z$9)</t>
  </si>
  <si>
    <t>=Z1830-AB1830</t>
  </si>
  <si>
    <t>=IF(Z1830&lt;&gt;0,AC1830/Z1830,"")</t>
  </si>
  <si>
    <t>=C1830</t>
  </si>
  <si>
    <t>=NL("Sum","5802 Value Entry","150 Sales Amount (Expected)","41 Source Type",$C$5,"5 Source No.",$C1831,"4 Item Ledger Entry Type",$C$4,"2 Item No.","@@"&amp;$F1831,"3 Posting Date",J$9)+NL("Sum","5802 Value Entry","17 Sales Amount (Actual)","41 Source Type",$C$5,"5 Source no.",$C1831,"4 Item Ledger Entry Type",$C$4,"2 Item No.","@@"&amp;$F1831,"3 Posting Date",J$9)</t>
  </si>
  <si>
    <t>=-NL("Sum","5802 Value Entry","151 Cost Amount (Expected)","41 Source Type",$C$5,"5 Source No.",$C1831,"4 Item Ledger Entry Type",$C$4,"2 Item No.","@@"&amp;$F1831,"3 Posting Date",J$9)-NL("Sum","5802 Value Entry","43 Cost Amount (Actual)","41 Source Type",$C$5,"5 Source no.",$C1831,"4 Item Ledger Entry Type",$C$4,"2 Item No.","@@"&amp;$F1831,"3 Posting Date",J$9)</t>
  </si>
  <si>
    <t>=J1831-L1831</t>
  </si>
  <si>
    <t>=IF(J1831&lt;&gt;0,M1831/J1831,"")</t>
  </si>
  <si>
    <t>=NL("Sum","5802 Value Entry","150 Sales Amount (Expected)","41 Source Type",$C$5,"5 Source No.",$C1831,"4 Item Ledger Entry Type",$C$4,"2 Item No.","@@"&amp;$F1831,"3 Posting Date",O$9)+NL("Sum","5802 Value Entry","17 Sales Amount (Actual)","41 Source Type",$C$5,"5 Source no.",$C1831,"4 Item Ledger Entry Type",$C$4,"2 Item No.","@@"&amp;$F1831,"3 Posting Date",O$9)</t>
  </si>
  <si>
    <t>=-NL("Sum","5802 Value Entry","151 Cost Amount (Expected)","41 Source Type",$C$5,"5 Source No.",$C1831,"4 Item Ledger Entry Type",$C$4,"2 Item No.","@@"&amp;$F1831,"3 Posting Date",O$9)-NL("Sum","5802 Value Entry","43 Cost Amount (Actual)","41 Source Type",$C$5,"5 Source no.",$C1831,"4 Item Ledger Entry Type",$C$4,"2 Item No.","@@"&amp;$F1831,"3 Posting Date",O$9)</t>
  </si>
  <si>
    <t>=O1831-Q1831</t>
  </si>
  <si>
    <t>=IF(O1831&lt;&gt;0,R1831/O1831,"")</t>
  </si>
  <si>
    <t>=NL("Sum","5802 Value Entry","150 Sales Amount (Expected)","41 Source Type",$C$5,"5 Source No.",$C1831,"4 Item Ledger Entry Type",$C$4,"2 Item No.","@@"&amp;$F1831,"3 Posting Date",U$9)+NL("Sum","5802 Value Entry","17 Sales Amount (Actual)","41 Source Type",$C$5,"5 Source no.",$C1831,"4 Item Ledger Entry Type",$C$4,"2 Item No.","@@"&amp;$F1831,"3 Posting Date",U$9)</t>
  </si>
  <si>
    <t>=-NL("Sum","5802 Value Entry","151 Cost Amount (Expected)","41 Source Type",$C$5,"5 Source No.",$C1831,"4 Item Ledger Entry Type",$C$4,"2 Item No.","@@"&amp;$F1831,"3 Posting Date",U$9)-NL("Sum","5802 Value Entry","43 Cost Amount (Actual)","41 Source Type",$C$5,"5 Source no.",$C1831,"4 Item Ledger Entry Type",$C$4,"2 Item No.","@@"&amp;$F1831,"3 Posting Date",U$9)</t>
  </si>
  <si>
    <t>=U1831-W1831</t>
  </si>
  <si>
    <t>=IF(U1831&lt;&gt;0,X1831/U1831,"")</t>
  </si>
  <si>
    <t>=NL("Sum","5802 Value Entry","150 Sales Amount (Expected)","41 Source Type",$C$5,"5 Source No.",$C1831,"4 Item Ledger Entry Type",$C$4,"2 Item No.","@@"&amp;$F1831,"3 Posting Date",Z$9)+NL("Sum","5802 Value Entry","17 Sales Amount (Actual)","41 Source Type",$C$5,"5 Source no.",$C1831,"4 Item Ledger Entry Type",$C$4,"2 Item No.","@@"&amp;$F1831,"3 Posting Date",Z$9)</t>
  </si>
  <si>
    <t>=-NL("Sum","5802 Value Entry","151 Cost Amount (Expected)","41 Source Type",$C$5,"5 Source No.",$C1831,"4 Item Ledger Entry Type",$C$4,"2 Item No.","@@"&amp;$F1831,"3 Posting Date",Z$9)-NL("Sum","5802 Value Entry","43 Cost Amount (Actual)","41 Source Type",$C$5,"5 Source no.",$C1831,"4 Item Ledger Entry Type",$C$4,"2 Item No.","@@"&amp;$F1831,"3 Posting Date",Z$9)</t>
  </si>
  <si>
    <t>=Z1831-AB1831</t>
  </si>
  <si>
    <t>=IF(Z1831&lt;&gt;0,AC1831/Z1831,"")</t>
  </si>
  <si>
    <t>=C1831</t>
  </si>
  <si>
    <t>=NL("Sum","5802 Value Entry","150 Sales Amount (Expected)","41 Source Type",$C$5,"5 Source No.",$C1832,"4 Item Ledger Entry Type",$C$4,"2 Item No.","@@"&amp;$F1832,"3 Posting Date",J$9)+NL("Sum","5802 Value Entry","17 Sales Amount (Actual)","41 Source Type",$C$5,"5 Source no.",$C1832,"4 Item Ledger Entry Type",$C$4,"2 Item No.","@@"&amp;$F1832,"3 Posting Date",J$9)</t>
  </si>
  <si>
    <t>=-NL("Sum","5802 Value Entry","151 Cost Amount (Expected)","41 Source Type",$C$5,"5 Source No.",$C1832,"4 Item Ledger Entry Type",$C$4,"2 Item No.","@@"&amp;$F1832,"3 Posting Date",J$9)-NL("Sum","5802 Value Entry","43 Cost Amount (Actual)","41 Source Type",$C$5,"5 Source no.",$C1832,"4 Item Ledger Entry Type",$C$4,"2 Item No.","@@"&amp;$F1832,"3 Posting Date",J$9)</t>
  </si>
  <si>
    <t>=J1832-L1832</t>
  </si>
  <si>
    <t>=IF(J1832&lt;&gt;0,M1832/J1832,"")</t>
  </si>
  <si>
    <t>=NL("Sum","5802 Value Entry","150 Sales Amount (Expected)","41 Source Type",$C$5,"5 Source No.",$C1832,"4 Item Ledger Entry Type",$C$4,"2 Item No.","@@"&amp;$F1832,"3 Posting Date",O$9)+NL("Sum","5802 Value Entry","17 Sales Amount (Actual)","41 Source Type",$C$5,"5 Source no.",$C1832,"4 Item Ledger Entry Type",$C$4,"2 Item No.","@@"&amp;$F1832,"3 Posting Date",O$9)</t>
  </si>
  <si>
    <t>=-NL("Sum","5802 Value Entry","151 Cost Amount (Expected)","41 Source Type",$C$5,"5 Source No.",$C1832,"4 Item Ledger Entry Type",$C$4,"2 Item No.","@@"&amp;$F1832,"3 Posting Date",O$9)-NL("Sum","5802 Value Entry","43 Cost Amount (Actual)","41 Source Type",$C$5,"5 Source no.",$C1832,"4 Item Ledger Entry Type",$C$4,"2 Item No.","@@"&amp;$F1832,"3 Posting Date",O$9)</t>
  </si>
  <si>
    <t>=O1832-Q1832</t>
  </si>
  <si>
    <t>=IF(O1832&lt;&gt;0,R1832/O1832,"")</t>
  </si>
  <si>
    <t>=NL("Sum","5802 Value Entry","150 Sales Amount (Expected)","41 Source Type",$C$5,"5 Source No.",$C1832,"4 Item Ledger Entry Type",$C$4,"2 Item No.","@@"&amp;$F1832,"3 Posting Date",U$9)+NL("Sum","5802 Value Entry","17 Sales Amount (Actual)","41 Source Type",$C$5,"5 Source no.",$C1832,"4 Item Ledger Entry Type",$C$4,"2 Item No.","@@"&amp;$F1832,"3 Posting Date",U$9)</t>
  </si>
  <si>
    <t>=-NL("Sum","5802 Value Entry","151 Cost Amount (Expected)","41 Source Type",$C$5,"5 Source No.",$C1832,"4 Item Ledger Entry Type",$C$4,"2 Item No.","@@"&amp;$F1832,"3 Posting Date",U$9)-NL("Sum","5802 Value Entry","43 Cost Amount (Actual)","41 Source Type",$C$5,"5 Source no.",$C1832,"4 Item Ledger Entry Type",$C$4,"2 Item No.","@@"&amp;$F1832,"3 Posting Date",U$9)</t>
  </si>
  <si>
    <t>=U1832-W1832</t>
  </si>
  <si>
    <t>=IF(U1832&lt;&gt;0,X1832/U1832,"")</t>
  </si>
  <si>
    <t>=NL("Sum","5802 Value Entry","150 Sales Amount (Expected)","41 Source Type",$C$5,"5 Source No.",$C1832,"4 Item Ledger Entry Type",$C$4,"2 Item No.","@@"&amp;$F1832,"3 Posting Date",Z$9)+NL("Sum","5802 Value Entry","17 Sales Amount (Actual)","41 Source Type",$C$5,"5 Source no.",$C1832,"4 Item Ledger Entry Type",$C$4,"2 Item No.","@@"&amp;$F1832,"3 Posting Date",Z$9)</t>
  </si>
  <si>
    <t>=-NL("Sum","5802 Value Entry","151 Cost Amount (Expected)","41 Source Type",$C$5,"5 Source No.",$C1832,"4 Item Ledger Entry Type",$C$4,"2 Item No.","@@"&amp;$F1832,"3 Posting Date",Z$9)-NL("Sum","5802 Value Entry","43 Cost Amount (Actual)","41 Source Type",$C$5,"5 Source no.",$C1832,"4 Item Ledger Entry Type",$C$4,"2 Item No.","@@"&amp;$F1832,"3 Posting Date",Z$9)</t>
  </si>
  <si>
    <t>=Z1832-AB1832</t>
  </si>
  <si>
    <t>=IF(Z1832&lt;&gt;0,AC1832/Z1832,"")</t>
  </si>
  <si>
    <t>=C1832</t>
  </si>
  <si>
    <t>=NL("Sum","5802 Value Entry","150 Sales Amount (Expected)","41 Source Type",$C$5,"5 Source No.",$C1833,"4 Item Ledger Entry Type",$C$4,"2 Item No.","@@"&amp;$F1833,"3 Posting Date",J$9)+NL("Sum","5802 Value Entry","17 Sales Amount (Actual)","41 Source Type",$C$5,"5 Source no.",$C1833,"4 Item Ledger Entry Type",$C$4,"2 Item No.","@@"&amp;$F1833,"3 Posting Date",J$9)</t>
  </si>
  <si>
    <t>=-NL("Sum","5802 Value Entry","151 Cost Amount (Expected)","41 Source Type",$C$5,"5 Source No.",$C1833,"4 Item Ledger Entry Type",$C$4,"2 Item No.","@@"&amp;$F1833,"3 Posting Date",J$9)-NL("Sum","5802 Value Entry","43 Cost Amount (Actual)","41 Source Type",$C$5,"5 Source no.",$C1833,"4 Item Ledger Entry Type",$C$4,"2 Item No.","@@"&amp;$F1833,"3 Posting Date",J$9)</t>
  </si>
  <si>
    <t>=J1833-L1833</t>
  </si>
  <si>
    <t>=IF(J1833&lt;&gt;0,M1833/J1833,"")</t>
  </si>
  <si>
    <t>=NL("Sum","5802 Value Entry","150 Sales Amount (Expected)","41 Source Type",$C$5,"5 Source No.",$C1833,"4 Item Ledger Entry Type",$C$4,"2 Item No.","@@"&amp;$F1833,"3 Posting Date",O$9)+NL("Sum","5802 Value Entry","17 Sales Amount (Actual)","41 Source Type",$C$5,"5 Source no.",$C1833,"4 Item Ledger Entry Type",$C$4,"2 Item No.","@@"&amp;$F1833,"3 Posting Date",O$9)</t>
  </si>
  <si>
    <t>=-NL("Sum","5802 Value Entry","151 Cost Amount (Expected)","41 Source Type",$C$5,"5 Source No.",$C1833,"4 Item Ledger Entry Type",$C$4,"2 Item No.","@@"&amp;$F1833,"3 Posting Date",O$9)-NL("Sum","5802 Value Entry","43 Cost Amount (Actual)","41 Source Type",$C$5,"5 Source no.",$C1833,"4 Item Ledger Entry Type",$C$4,"2 Item No.","@@"&amp;$F1833,"3 Posting Date",O$9)</t>
  </si>
  <si>
    <t>=O1833-Q1833</t>
  </si>
  <si>
    <t>=IF(O1833&lt;&gt;0,R1833/O1833,"")</t>
  </si>
  <si>
    <t>=NL("Sum","5802 Value Entry","150 Sales Amount (Expected)","41 Source Type",$C$5,"5 Source No.",$C1833,"4 Item Ledger Entry Type",$C$4,"2 Item No.","@@"&amp;$F1833,"3 Posting Date",U$9)+NL("Sum","5802 Value Entry","17 Sales Amount (Actual)","41 Source Type",$C$5,"5 Source no.",$C1833,"4 Item Ledger Entry Type",$C$4,"2 Item No.","@@"&amp;$F1833,"3 Posting Date",U$9)</t>
  </si>
  <si>
    <t>=-NL("Sum","5802 Value Entry","151 Cost Amount (Expected)","41 Source Type",$C$5,"5 Source No.",$C1833,"4 Item Ledger Entry Type",$C$4,"2 Item No.","@@"&amp;$F1833,"3 Posting Date",U$9)-NL("Sum","5802 Value Entry","43 Cost Amount (Actual)","41 Source Type",$C$5,"5 Source no.",$C1833,"4 Item Ledger Entry Type",$C$4,"2 Item No.","@@"&amp;$F1833,"3 Posting Date",U$9)</t>
  </si>
  <si>
    <t>=U1833-W1833</t>
  </si>
  <si>
    <t>=IF(U1833&lt;&gt;0,X1833/U1833,"")</t>
  </si>
  <si>
    <t>=NL("Sum","5802 Value Entry","150 Sales Amount (Expected)","41 Source Type",$C$5,"5 Source No.",$C1833,"4 Item Ledger Entry Type",$C$4,"2 Item No.","@@"&amp;$F1833,"3 Posting Date",Z$9)+NL("Sum","5802 Value Entry","17 Sales Amount (Actual)","41 Source Type",$C$5,"5 Source no.",$C1833,"4 Item Ledger Entry Type",$C$4,"2 Item No.","@@"&amp;$F1833,"3 Posting Date",Z$9)</t>
  </si>
  <si>
    <t>=-NL("Sum","5802 Value Entry","151 Cost Amount (Expected)","41 Source Type",$C$5,"5 Source No.",$C1833,"4 Item Ledger Entry Type",$C$4,"2 Item No.","@@"&amp;$F1833,"3 Posting Date",Z$9)-NL("Sum","5802 Value Entry","43 Cost Amount (Actual)","41 Source Type",$C$5,"5 Source no.",$C1833,"4 Item Ledger Entry Type",$C$4,"2 Item No.","@@"&amp;$F1833,"3 Posting Date",Z$9)</t>
  </si>
  <si>
    <t>=Z1833-AB1833</t>
  </si>
  <si>
    <t>=IF(Z1833&lt;&gt;0,AC1833/Z1833,"")</t>
  </si>
  <si>
    <t>=C1834</t>
  </si>
  <si>
    <t>=J1835-L1835</t>
  </si>
  <si>
    <t>=IF(J1835&lt;&gt;0,M1835/J1835,"")</t>
  </si>
  <si>
    <t>=O1835-Q1835</t>
  </si>
  <si>
    <t>=IF(O1835&lt;&gt;0,R1835/O1835,"")</t>
  </si>
  <si>
    <t>=U1835-W1835</t>
  </si>
  <si>
    <t>=IF(U1835&lt;&gt;0,X1835/U1835,"")</t>
  </si>
  <si>
    <t>=Z1835-AB1835</t>
  </si>
  <si>
    <t>=IF(Z1835&lt;&gt;0,AC1835/Z1835,"")</t>
  </si>
  <si>
    <t>=C1837</t>
  </si>
  <si>
    <t>=C1838</t>
  </si>
  <si>
    <t>=NL("Sum","5802 Value Entry","150 Sales Amount (Expected)","41 Source Type",$C$5,"5 Source No.",$C1839,"4 Item Ledger Entry Type",$C$4,"2 Item No.","@@"&amp;$F1839,"3 Posting Date",J$9)+NL("Sum","5802 Value Entry","17 Sales Amount (Actual)","41 Source Type",$C$5,"5 Source no.",$C1839,"4 Item Ledger Entry Type",$C$4,"2 Item No.","@@"&amp;$F1839,"3 Posting Date",J$9)</t>
  </si>
  <si>
    <t>=-NL("Sum","5802 Value Entry","151 Cost Amount (Expected)","41 Source Type",$C$5,"5 Source No.",$C1839,"4 Item Ledger Entry Type",$C$4,"2 Item No.","@@"&amp;$F1839,"3 Posting Date",J$9)-NL("Sum","5802 Value Entry","43 Cost Amount (Actual)","41 Source Type",$C$5,"5 Source no.",$C1839,"4 Item Ledger Entry Type",$C$4,"2 Item No.","@@"&amp;$F1839,"3 Posting Date",J$9)</t>
  </si>
  <si>
    <t>=J1839-L1839</t>
  </si>
  <si>
    <t>=IF(J1839&lt;&gt;0,M1839/J1839,"")</t>
  </si>
  <si>
    <t>=NL("Sum","5802 Value Entry","150 Sales Amount (Expected)","41 Source Type",$C$5,"5 Source No.",$C1839,"4 Item Ledger Entry Type",$C$4,"2 Item No.","@@"&amp;$F1839,"3 Posting Date",O$9)+NL("Sum","5802 Value Entry","17 Sales Amount (Actual)","41 Source Type",$C$5,"5 Source no.",$C1839,"4 Item Ledger Entry Type",$C$4,"2 Item No.","@@"&amp;$F1839,"3 Posting Date",O$9)</t>
  </si>
  <si>
    <t>=-NL("Sum","5802 Value Entry","151 Cost Amount (Expected)","41 Source Type",$C$5,"5 Source No.",$C1839,"4 Item Ledger Entry Type",$C$4,"2 Item No.","@@"&amp;$F1839,"3 Posting Date",O$9)-NL("Sum","5802 Value Entry","43 Cost Amount (Actual)","41 Source Type",$C$5,"5 Source no.",$C1839,"4 Item Ledger Entry Type",$C$4,"2 Item No.","@@"&amp;$F1839,"3 Posting Date",O$9)</t>
  </si>
  <si>
    <t>=O1839-Q1839</t>
  </si>
  <si>
    <t>=IF(O1839&lt;&gt;0,R1839/O1839,"")</t>
  </si>
  <si>
    <t>=NL("Sum","5802 Value Entry","150 Sales Amount (Expected)","41 Source Type",$C$5,"5 Source No.",$C1839,"4 Item Ledger Entry Type",$C$4,"2 Item No.","@@"&amp;$F1839,"3 Posting Date",U$9)+NL("Sum","5802 Value Entry","17 Sales Amount (Actual)","41 Source Type",$C$5,"5 Source no.",$C1839,"4 Item Ledger Entry Type",$C$4,"2 Item No.","@@"&amp;$F1839,"3 Posting Date",U$9)</t>
  </si>
  <si>
    <t>=-NL("Sum","5802 Value Entry","151 Cost Amount (Expected)","41 Source Type",$C$5,"5 Source No.",$C1839,"4 Item Ledger Entry Type",$C$4,"2 Item No.","@@"&amp;$F1839,"3 Posting Date",U$9)-NL("Sum","5802 Value Entry","43 Cost Amount (Actual)","41 Source Type",$C$5,"5 Source no.",$C1839,"4 Item Ledger Entry Type",$C$4,"2 Item No.","@@"&amp;$F1839,"3 Posting Date",U$9)</t>
  </si>
  <si>
    <t>=U1839-W1839</t>
  </si>
  <si>
    <t>=IF(U1839&lt;&gt;0,X1839/U1839,"")</t>
  </si>
  <si>
    <t>=NL("Sum","5802 Value Entry","150 Sales Amount (Expected)","41 Source Type",$C$5,"5 Source No.",$C1839,"4 Item Ledger Entry Type",$C$4,"2 Item No.","@@"&amp;$F1839,"3 Posting Date",Z$9)+NL("Sum","5802 Value Entry","17 Sales Amount (Actual)","41 Source Type",$C$5,"5 Source no.",$C1839,"4 Item Ledger Entry Type",$C$4,"2 Item No.","@@"&amp;$F1839,"3 Posting Date",Z$9)</t>
  </si>
  <si>
    <t>=-NL("Sum","5802 Value Entry","151 Cost Amount (Expected)","41 Source Type",$C$5,"5 Source No.",$C1839,"4 Item Ledger Entry Type",$C$4,"2 Item No.","@@"&amp;$F1839,"3 Posting Date",Z$9)-NL("Sum","5802 Value Entry","43 Cost Amount (Actual)","41 Source Type",$C$5,"5 Source no.",$C1839,"4 Item Ledger Entry Type",$C$4,"2 Item No.","@@"&amp;$F1839,"3 Posting Date",Z$9)</t>
  </si>
  <si>
    <t>=Z1839-AB1839</t>
  </si>
  <si>
    <t>=IF(Z1839&lt;&gt;0,AC1839/Z1839,"")</t>
  </si>
  <si>
    <t>=C1840</t>
  </si>
  <si>
    <t>=J1841-L1841</t>
  </si>
  <si>
    <t>=IF(J1841&lt;&gt;0,M1841/J1841,"")</t>
  </si>
  <si>
    <t>=O1841-Q1841</t>
  </si>
  <si>
    <t>=IF(O1841&lt;&gt;0,R1841/O1841,"")</t>
  </si>
  <si>
    <t>=U1841-W1841</t>
  </si>
  <si>
    <t>=IF(U1841&lt;&gt;0,X1841/U1841,"")</t>
  </si>
  <si>
    <t>=Z1841-AB1841</t>
  </si>
  <si>
    <t>=IF(Z1841&lt;&gt;0,AC1841/Z1841,"")</t>
  </si>
  <si>
    <t>="C100096"</t>
  </si>
  <si>
    <t>=C1843</t>
  </si>
  <si>
    <t>=C1844</t>
  </si>
  <si>
    <t>=NL("Sum","5802 Value Entry","150 Sales Amount (Expected)","41 Source Type",$C$5,"5 Source No.",$C1845,"4 Item Ledger Entry Type",$C$4,"2 Item No.","@@"&amp;$F1845,"3 Posting Date",J$9)+NL("Sum","5802 Value Entry","17 Sales Amount (Actual)","41 Source Type",$C$5,"5 Source no.",$C1845,"4 Item Ledger Entry Type",$C$4,"2 Item No.","@@"&amp;$F1845,"3 Posting Date",J$9)</t>
  </si>
  <si>
    <t>=-NL("Sum","5802 Value Entry","151 Cost Amount (Expected)","41 Source Type",$C$5,"5 Source No.",$C1845,"4 Item Ledger Entry Type",$C$4,"2 Item No.","@@"&amp;$F1845,"3 Posting Date",J$9)-NL("Sum","5802 Value Entry","43 Cost Amount (Actual)","41 Source Type",$C$5,"5 Source no.",$C1845,"4 Item Ledger Entry Type",$C$4,"2 Item No.","@@"&amp;$F1845,"3 Posting Date",J$9)</t>
  </si>
  <si>
    <t>=J1845-L1845</t>
  </si>
  <si>
    <t>=IF(J1845&lt;&gt;0,M1845/J1845,"")</t>
  </si>
  <si>
    <t>=NL("Sum","5802 Value Entry","150 Sales Amount (Expected)","41 Source Type",$C$5,"5 Source No.",$C1845,"4 Item Ledger Entry Type",$C$4,"2 Item No.","@@"&amp;$F1845,"3 Posting Date",O$9)+NL("Sum","5802 Value Entry","17 Sales Amount (Actual)","41 Source Type",$C$5,"5 Source no.",$C1845,"4 Item Ledger Entry Type",$C$4,"2 Item No.","@@"&amp;$F1845,"3 Posting Date",O$9)</t>
  </si>
  <si>
    <t>=-NL("Sum","5802 Value Entry","151 Cost Amount (Expected)","41 Source Type",$C$5,"5 Source No.",$C1845,"4 Item Ledger Entry Type",$C$4,"2 Item No.","@@"&amp;$F1845,"3 Posting Date",O$9)-NL("Sum","5802 Value Entry","43 Cost Amount (Actual)","41 Source Type",$C$5,"5 Source no.",$C1845,"4 Item Ledger Entry Type",$C$4,"2 Item No.","@@"&amp;$F1845,"3 Posting Date",O$9)</t>
  </si>
  <si>
    <t>=O1845-Q1845</t>
  </si>
  <si>
    <t>=IF(O1845&lt;&gt;0,R1845/O1845,"")</t>
  </si>
  <si>
    <t>=NL("Sum","5802 Value Entry","150 Sales Amount (Expected)","41 Source Type",$C$5,"5 Source No.",$C1845,"4 Item Ledger Entry Type",$C$4,"2 Item No.","@@"&amp;$F1845,"3 Posting Date",U$9)+NL("Sum","5802 Value Entry","17 Sales Amount (Actual)","41 Source Type",$C$5,"5 Source no.",$C1845,"4 Item Ledger Entry Type",$C$4,"2 Item No.","@@"&amp;$F1845,"3 Posting Date",U$9)</t>
  </si>
  <si>
    <t>=-NL("Sum","5802 Value Entry","151 Cost Amount (Expected)","41 Source Type",$C$5,"5 Source No.",$C1845,"4 Item Ledger Entry Type",$C$4,"2 Item No.","@@"&amp;$F1845,"3 Posting Date",U$9)-NL("Sum","5802 Value Entry","43 Cost Amount (Actual)","41 Source Type",$C$5,"5 Source no.",$C1845,"4 Item Ledger Entry Type",$C$4,"2 Item No.","@@"&amp;$F1845,"3 Posting Date",U$9)</t>
  </si>
  <si>
    <t>=U1845-W1845</t>
  </si>
  <si>
    <t>=IF(U1845&lt;&gt;0,X1845/U1845,"")</t>
  </si>
  <si>
    <t>=NL("Sum","5802 Value Entry","150 Sales Amount (Expected)","41 Source Type",$C$5,"5 Source No.",$C1845,"4 Item Ledger Entry Type",$C$4,"2 Item No.","@@"&amp;$F1845,"3 Posting Date",Z$9)+NL("Sum","5802 Value Entry","17 Sales Amount (Actual)","41 Source Type",$C$5,"5 Source no.",$C1845,"4 Item Ledger Entry Type",$C$4,"2 Item No.","@@"&amp;$F1845,"3 Posting Date",Z$9)</t>
  </si>
  <si>
    <t>=-NL("Sum","5802 Value Entry","151 Cost Amount (Expected)","41 Source Type",$C$5,"5 Source No.",$C1845,"4 Item Ledger Entry Type",$C$4,"2 Item No.","@@"&amp;$F1845,"3 Posting Date",Z$9)-NL("Sum","5802 Value Entry","43 Cost Amount (Actual)","41 Source Type",$C$5,"5 Source no.",$C1845,"4 Item Ledger Entry Type",$C$4,"2 Item No.","@@"&amp;$F1845,"3 Posting Date",Z$9)</t>
  </si>
  <si>
    <t>=Z1845-AB1845</t>
  </si>
  <si>
    <t>=IF(Z1845&lt;&gt;0,AC1845/Z1845,"")</t>
  </si>
  <si>
    <t>=C1845</t>
  </si>
  <si>
    <t>=NL("Sum","5802 Value Entry","150 Sales Amount (Expected)","41 Source Type",$C$5,"5 Source No.",$C1846,"4 Item Ledger Entry Type",$C$4,"2 Item No.","@@"&amp;$F1846,"3 Posting Date",J$9)+NL("Sum","5802 Value Entry","17 Sales Amount (Actual)","41 Source Type",$C$5,"5 Source no.",$C1846,"4 Item Ledger Entry Type",$C$4,"2 Item No.","@@"&amp;$F1846,"3 Posting Date",J$9)</t>
  </si>
  <si>
    <t>=-NL("Sum","5802 Value Entry","151 Cost Amount (Expected)","41 Source Type",$C$5,"5 Source No.",$C1846,"4 Item Ledger Entry Type",$C$4,"2 Item No.","@@"&amp;$F1846,"3 Posting Date",J$9)-NL("Sum","5802 Value Entry","43 Cost Amount (Actual)","41 Source Type",$C$5,"5 Source no.",$C1846,"4 Item Ledger Entry Type",$C$4,"2 Item No.","@@"&amp;$F1846,"3 Posting Date",J$9)</t>
  </si>
  <si>
    <t>=J1846-L1846</t>
  </si>
  <si>
    <t>=IF(J1846&lt;&gt;0,M1846/J1846,"")</t>
  </si>
  <si>
    <t>=NL("Sum","5802 Value Entry","150 Sales Amount (Expected)","41 Source Type",$C$5,"5 Source No.",$C1846,"4 Item Ledger Entry Type",$C$4,"2 Item No.","@@"&amp;$F1846,"3 Posting Date",O$9)+NL("Sum","5802 Value Entry","17 Sales Amount (Actual)","41 Source Type",$C$5,"5 Source no.",$C1846,"4 Item Ledger Entry Type",$C$4,"2 Item No.","@@"&amp;$F1846,"3 Posting Date",O$9)</t>
  </si>
  <si>
    <t>=-NL("Sum","5802 Value Entry","151 Cost Amount (Expected)","41 Source Type",$C$5,"5 Source No.",$C1846,"4 Item Ledger Entry Type",$C$4,"2 Item No.","@@"&amp;$F1846,"3 Posting Date",O$9)-NL("Sum","5802 Value Entry","43 Cost Amount (Actual)","41 Source Type",$C$5,"5 Source no.",$C1846,"4 Item Ledger Entry Type",$C$4,"2 Item No.","@@"&amp;$F1846,"3 Posting Date",O$9)</t>
  </si>
  <si>
    <t>=O1846-Q1846</t>
  </si>
  <si>
    <t>=IF(O1846&lt;&gt;0,R1846/O1846,"")</t>
  </si>
  <si>
    <t>=NL("Sum","5802 Value Entry","150 Sales Amount (Expected)","41 Source Type",$C$5,"5 Source No.",$C1846,"4 Item Ledger Entry Type",$C$4,"2 Item No.","@@"&amp;$F1846,"3 Posting Date",U$9)+NL("Sum","5802 Value Entry","17 Sales Amount (Actual)","41 Source Type",$C$5,"5 Source no.",$C1846,"4 Item Ledger Entry Type",$C$4,"2 Item No.","@@"&amp;$F1846,"3 Posting Date",U$9)</t>
  </si>
  <si>
    <t>=-NL("Sum","5802 Value Entry","151 Cost Amount (Expected)","41 Source Type",$C$5,"5 Source No.",$C1846,"4 Item Ledger Entry Type",$C$4,"2 Item No.","@@"&amp;$F1846,"3 Posting Date",U$9)-NL("Sum","5802 Value Entry","43 Cost Amount (Actual)","41 Source Type",$C$5,"5 Source no.",$C1846,"4 Item Ledger Entry Type",$C$4,"2 Item No.","@@"&amp;$F1846,"3 Posting Date",U$9)</t>
  </si>
  <si>
    <t>=U1846-W1846</t>
  </si>
  <si>
    <t>=IF(U1846&lt;&gt;0,X1846/U1846,"")</t>
  </si>
  <si>
    <t>=NL("Sum","5802 Value Entry","150 Sales Amount (Expected)","41 Source Type",$C$5,"5 Source No.",$C1846,"4 Item Ledger Entry Type",$C$4,"2 Item No.","@@"&amp;$F1846,"3 Posting Date",Z$9)+NL("Sum","5802 Value Entry","17 Sales Amount (Actual)","41 Source Type",$C$5,"5 Source no.",$C1846,"4 Item Ledger Entry Type",$C$4,"2 Item No.","@@"&amp;$F1846,"3 Posting Date",Z$9)</t>
  </si>
  <si>
    <t>=-NL("Sum","5802 Value Entry","151 Cost Amount (Expected)","41 Source Type",$C$5,"5 Source No.",$C1846,"4 Item Ledger Entry Type",$C$4,"2 Item No.","@@"&amp;$F1846,"3 Posting Date",Z$9)-NL("Sum","5802 Value Entry","43 Cost Amount (Actual)","41 Source Type",$C$5,"5 Source no.",$C1846,"4 Item Ledger Entry Type",$C$4,"2 Item No.","@@"&amp;$F1846,"3 Posting Date",Z$9)</t>
  </si>
  <si>
    <t>=Z1846-AB1846</t>
  </si>
  <si>
    <t>=IF(Z1846&lt;&gt;0,AC1846/Z1846,"")</t>
  </si>
  <si>
    <t>=C1846</t>
  </si>
  <si>
    <t>=NL("Sum","5802 Value Entry","150 Sales Amount (Expected)","41 Source Type",$C$5,"5 Source No.",$C1847,"4 Item Ledger Entry Type",$C$4,"2 Item No.","@@"&amp;$F1847,"3 Posting Date",J$9)+NL("Sum","5802 Value Entry","17 Sales Amount (Actual)","41 Source Type",$C$5,"5 Source no.",$C1847,"4 Item Ledger Entry Type",$C$4,"2 Item No.","@@"&amp;$F1847,"3 Posting Date",J$9)</t>
  </si>
  <si>
    <t>=-NL("Sum","5802 Value Entry","151 Cost Amount (Expected)","41 Source Type",$C$5,"5 Source No.",$C1847,"4 Item Ledger Entry Type",$C$4,"2 Item No.","@@"&amp;$F1847,"3 Posting Date",J$9)-NL("Sum","5802 Value Entry","43 Cost Amount (Actual)","41 Source Type",$C$5,"5 Source no.",$C1847,"4 Item Ledger Entry Type",$C$4,"2 Item No.","@@"&amp;$F1847,"3 Posting Date",J$9)</t>
  </si>
  <si>
    <t>=J1847-L1847</t>
  </si>
  <si>
    <t>=IF(J1847&lt;&gt;0,M1847/J1847,"")</t>
  </si>
  <si>
    <t>=NL("Sum","5802 Value Entry","150 Sales Amount (Expected)","41 Source Type",$C$5,"5 Source No.",$C1847,"4 Item Ledger Entry Type",$C$4,"2 Item No.","@@"&amp;$F1847,"3 Posting Date",O$9)+NL("Sum","5802 Value Entry","17 Sales Amount (Actual)","41 Source Type",$C$5,"5 Source no.",$C1847,"4 Item Ledger Entry Type",$C$4,"2 Item No.","@@"&amp;$F1847,"3 Posting Date",O$9)</t>
  </si>
  <si>
    <t>=-NL("Sum","5802 Value Entry","151 Cost Amount (Expected)","41 Source Type",$C$5,"5 Source No.",$C1847,"4 Item Ledger Entry Type",$C$4,"2 Item No.","@@"&amp;$F1847,"3 Posting Date",O$9)-NL("Sum","5802 Value Entry","43 Cost Amount (Actual)","41 Source Type",$C$5,"5 Source no.",$C1847,"4 Item Ledger Entry Type",$C$4,"2 Item No.","@@"&amp;$F1847,"3 Posting Date",O$9)</t>
  </si>
  <si>
    <t>=O1847-Q1847</t>
  </si>
  <si>
    <t>=IF(O1847&lt;&gt;0,R1847/O1847,"")</t>
  </si>
  <si>
    <t>=NL("Sum","5802 Value Entry","150 Sales Amount (Expected)","41 Source Type",$C$5,"5 Source No.",$C1847,"4 Item Ledger Entry Type",$C$4,"2 Item No.","@@"&amp;$F1847,"3 Posting Date",U$9)+NL("Sum","5802 Value Entry","17 Sales Amount (Actual)","41 Source Type",$C$5,"5 Source no.",$C1847,"4 Item Ledger Entry Type",$C$4,"2 Item No.","@@"&amp;$F1847,"3 Posting Date",U$9)</t>
  </si>
  <si>
    <t>=-NL("Sum","5802 Value Entry","151 Cost Amount (Expected)","41 Source Type",$C$5,"5 Source No.",$C1847,"4 Item Ledger Entry Type",$C$4,"2 Item No.","@@"&amp;$F1847,"3 Posting Date",U$9)-NL("Sum","5802 Value Entry","43 Cost Amount (Actual)","41 Source Type",$C$5,"5 Source no.",$C1847,"4 Item Ledger Entry Type",$C$4,"2 Item No.","@@"&amp;$F1847,"3 Posting Date",U$9)</t>
  </si>
  <si>
    <t>=U1847-W1847</t>
  </si>
  <si>
    <t>=IF(U1847&lt;&gt;0,X1847/U1847,"")</t>
  </si>
  <si>
    <t>=NL("Sum","5802 Value Entry","150 Sales Amount (Expected)","41 Source Type",$C$5,"5 Source No.",$C1847,"4 Item Ledger Entry Type",$C$4,"2 Item No.","@@"&amp;$F1847,"3 Posting Date",Z$9)+NL("Sum","5802 Value Entry","17 Sales Amount (Actual)","41 Source Type",$C$5,"5 Source no.",$C1847,"4 Item Ledger Entry Type",$C$4,"2 Item No.","@@"&amp;$F1847,"3 Posting Date",Z$9)</t>
  </si>
  <si>
    <t>=-NL("Sum","5802 Value Entry","151 Cost Amount (Expected)","41 Source Type",$C$5,"5 Source No.",$C1847,"4 Item Ledger Entry Type",$C$4,"2 Item No.","@@"&amp;$F1847,"3 Posting Date",Z$9)-NL("Sum","5802 Value Entry","43 Cost Amount (Actual)","41 Source Type",$C$5,"5 Source no.",$C1847,"4 Item Ledger Entry Type",$C$4,"2 Item No.","@@"&amp;$F1847,"3 Posting Date",Z$9)</t>
  </si>
  <si>
    <t>=Z1847-AB1847</t>
  </si>
  <si>
    <t>=IF(Z1847&lt;&gt;0,AC1847/Z1847,"")</t>
  </si>
  <si>
    <t>=C1847</t>
  </si>
  <si>
    <t>=NL("Sum","5802 Value Entry","150 Sales Amount (Expected)","41 Source Type",$C$5,"5 Source No.",$C1848,"4 Item Ledger Entry Type",$C$4,"2 Item No.","@@"&amp;$F1848,"3 Posting Date",J$9)+NL("Sum","5802 Value Entry","17 Sales Amount (Actual)","41 Source Type",$C$5,"5 Source no.",$C1848,"4 Item Ledger Entry Type",$C$4,"2 Item No.","@@"&amp;$F1848,"3 Posting Date",J$9)</t>
  </si>
  <si>
    <t>=-NL("Sum","5802 Value Entry","151 Cost Amount (Expected)","41 Source Type",$C$5,"5 Source No.",$C1848,"4 Item Ledger Entry Type",$C$4,"2 Item No.","@@"&amp;$F1848,"3 Posting Date",J$9)-NL("Sum","5802 Value Entry","43 Cost Amount (Actual)","41 Source Type",$C$5,"5 Source no.",$C1848,"4 Item Ledger Entry Type",$C$4,"2 Item No.","@@"&amp;$F1848,"3 Posting Date",J$9)</t>
  </si>
  <si>
    <t>=J1848-L1848</t>
  </si>
  <si>
    <t>=IF(J1848&lt;&gt;0,M1848/J1848,"")</t>
  </si>
  <si>
    <t>=NL("Sum","5802 Value Entry","150 Sales Amount (Expected)","41 Source Type",$C$5,"5 Source No.",$C1848,"4 Item Ledger Entry Type",$C$4,"2 Item No.","@@"&amp;$F1848,"3 Posting Date",O$9)+NL("Sum","5802 Value Entry","17 Sales Amount (Actual)","41 Source Type",$C$5,"5 Source no.",$C1848,"4 Item Ledger Entry Type",$C$4,"2 Item No.","@@"&amp;$F1848,"3 Posting Date",O$9)</t>
  </si>
  <si>
    <t>=-NL("Sum","5802 Value Entry","151 Cost Amount (Expected)","41 Source Type",$C$5,"5 Source No.",$C1848,"4 Item Ledger Entry Type",$C$4,"2 Item No.","@@"&amp;$F1848,"3 Posting Date",O$9)-NL("Sum","5802 Value Entry","43 Cost Amount (Actual)","41 Source Type",$C$5,"5 Source no.",$C1848,"4 Item Ledger Entry Type",$C$4,"2 Item No.","@@"&amp;$F1848,"3 Posting Date",O$9)</t>
  </si>
  <si>
    <t>=O1848-Q1848</t>
  </si>
  <si>
    <t>=IF(O1848&lt;&gt;0,R1848/O1848,"")</t>
  </si>
  <si>
    <t>=NL("Sum","5802 Value Entry","150 Sales Amount (Expected)","41 Source Type",$C$5,"5 Source No.",$C1848,"4 Item Ledger Entry Type",$C$4,"2 Item No.","@@"&amp;$F1848,"3 Posting Date",U$9)+NL("Sum","5802 Value Entry","17 Sales Amount (Actual)","41 Source Type",$C$5,"5 Source no.",$C1848,"4 Item Ledger Entry Type",$C$4,"2 Item No.","@@"&amp;$F1848,"3 Posting Date",U$9)</t>
  </si>
  <si>
    <t>=-NL("Sum","5802 Value Entry","151 Cost Amount (Expected)","41 Source Type",$C$5,"5 Source No.",$C1848,"4 Item Ledger Entry Type",$C$4,"2 Item No.","@@"&amp;$F1848,"3 Posting Date",U$9)-NL("Sum","5802 Value Entry","43 Cost Amount (Actual)","41 Source Type",$C$5,"5 Source no.",$C1848,"4 Item Ledger Entry Type",$C$4,"2 Item No.","@@"&amp;$F1848,"3 Posting Date",U$9)</t>
  </si>
  <si>
    <t>=U1848-W1848</t>
  </si>
  <si>
    <t>=IF(U1848&lt;&gt;0,X1848/U1848,"")</t>
  </si>
  <si>
    <t>=NL("Sum","5802 Value Entry","150 Sales Amount (Expected)","41 Source Type",$C$5,"5 Source No.",$C1848,"4 Item Ledger Entry Type",$C$4,"2 Item No.","@@"&amp;$F1848,"3 Posting Date",Z$9)+NL("Sum","5802 Value Entry","17 Sales Amount (Actual)","41 Source Type",$C$5,"5 Source no.",$C1848,"4 Item Ledger Entry Type",$C$4,"2 Item No.","@@"&amp;$F1848,"3 Posting Date",Z$9)</t>
  </si>
  <si>
    <t>=-NL("Sum","5802 Value Entry","151 Cost Amount (Expected)","41 Source Type",$C$5,"5 Source No.",$C1848,"4 Item Ledger Entry Type",$C$4,"2 Item No.","@@"&amp;$F1848,"3 Posting Date",Z$9)-NL("Sum","5802 Value Entry","43 Cost Amount (Actual)","41 Source Type",$C$5,"5 Source no.",$C1848,"4 Item Ledger Entry Type",$C$4,"2 Item No.","@@"&amp;$F1848,"3 Posting Date",Z$9)</t>
  </si>
  <si>
    <t>=Z1848-AB1848</t>
  </si>
  <si>
    <t>=IF(Z1848&lt;&gt;0,AC1848/Z1848,"")</t>
  </si>
  <si>
    <t>=C1848</t>
  </si>
  <si>
    <t>=NL("Sum","5802 Value Entry","150 Sales Amount (Expected)","41 Source Type",$C$5,"5 Source No.",$C1849,"4 Item Ledger Entry Type",$C$4,"2 Item No.","@@"&amp;$F1849,"3 Posting Date",J$9)+NL("Sum","5802 Value Entry","17 Sales Amount (Actual)","41 Source Type",$C$5,"5 Source no.",$C1849,"4 Item Ledger Entry Type",$C$4,"2 Item No.","@@"&amp;$F1849,"3 Posting Date",J$9)</t>
  </si>
  <si>
    <t>=-NL("Sum","5802 Value Entry","151 Cost Amount (Expected)","41 Source Type",$C$5,"5 Source No.",$C1849,"4 Item Ledger Entry Type",$C$4,"2 Item No.","@@"&amp;$F1849,"3 Posting Date",J$9)-NL("Sum","5802 Value Entry","43 Cost Amount (Actual)","41 Source Type",$C$5,"5 Source no.",$C1849,"4 Item Ledger Entry Type",$C$4,"2 Item No.","@@"&amp;$F1849,"3 Posting Date",J$9)</t>
  </si>
  <si>
    <t>=J1849-L1849</t>
  </si>
  <si>
    <t>=IF(J1849&lt;&gt;0,M1849/J1849,"")</t>
  </si>
  <si>
    <t>=NL("Sum","5802 Value Entry","150 Sales Amount (Expected)","41 Source Type",$C$5,"5 Source No.",$C1849,"4 Item Ledger Entry Type",$C$4,"2 Item No.","@@"&amp;$F1849,"3 Posting Date",O$9)+NL("Sum","5802 Value Entry","17 Sales Amount (Actual)","41 Source Type",$C$5,"5 Source no.",$C1849,"4 Item Ledger Entry Type",$C$4,"2 Item No.","@@"&amp;$F1849,"3 Posting Date",O$9)</t>
  </si>
  <si>
    <t>=-NL("Sum","5802 Value Entry","151 Cost Amount (Expected)","41 Source Type",$C$5,"5 Source No.",$C1849,"4 Item Ledger Entry Type",$C$4,"2 Item No.","@@"&amp;$F1849,"3 Posting Date",O$9)-NL("Sum","5802 Value Entry","43 Cost Amount (Actual)","41 Source Type",$C$5,"5 Source no.",$C1849,"4 Item Ledger Entry Type",$C$4,"2 Item No.","@@"&amp;$F1849,"3 Posting Date",O$9)</t>
  </si>
  <si>
    <t>=O1849-Q1849</t>
  </si>
  <si>
    <t>=IF(O1849&lt;&gt;0,R1849/O1849,"")</t>
  </si>
  <si>
    <t>=NL("Sum","5802 Value Entry","150 Sales Amount (Expected)","41 Source Type",$C$5,"5 Source No.",$C1849,"4 Item Ledger Entry Type",$C$4,"2 Item No.","@@"&amp;$F1849,"3 Posting Date",U$9)+NL("Sum","5802 Value Entry","17 Sales Amount (Actual)","41 Source Type",$C$5,"5 Source no.",$C1849,"4 Item Ledger Entry Type",$C$4,"2 Item No.","@@"&amp;$F1849,"3 Posting Date",U$9)</t>
  </si>
  <si>
    <t>=-NL("Sum","5802 Value Entry","151 Cost Amount (Expected)","41 Source Type",$C$5,"5 Source No.",$C1849,"4 Item Ledger Entry Type",$C$4,"2 Item No.","@@"&amp;$F1849,"3 Posting Date",U$9)-NL("Sum","5802 Value Entry","43 Cost Amount (Actual)","41 Source Type",$C$5,"5 Source no.",$C1849,"4 Item Ledger Entry Type",$C$4,"2 Item No.","@@"&amp;$F1849,"3 Posting Date",U$9)</t>
  </si>
  <si>
    <t>=U1849-W1849</t>
  </si>
  <si>
    <t>=IF(U1849&lt;&gt;0,X1849/U1849,"")</t>
  </si>
  <si>
    <t>=NL("Sum","5802 Value Entry","150 Sales Amount (Expected)","41 Source Type",$C$5,"5 Source No.",$C1849,"4 Item Ledger Entry Type",$C$4,"2 Item No.","@@"&amp;$F1849,"3 Posting Date",Z$9)+NL("Sum","5802 Value Entry","17 Sales Amount (Actual)","41 Source Type",$C$5,"5 Source no.",$C1849,"4 Item Ledger Entry Type",$C$4,"2 Item No.","@@"&amp;$F1849,"3 Posting Date",Z$9)</t>
  </si>
  <si>
    <t>=-NL("Sum","5802 Value Entry","151 Cost Amount (Expected)","41 Source Type",$C$5,"5 Source No.",$C1849,"4 Item Ledger Entry Type",$C$4,"2 Item No.","@@"&amp;$F1849,"3 Posting Date",Z$9)-NL("Sum","5802 Value Entry","43 Cost Amount (Actual)","41 Source Type",$C$5,"5 Source no.",$C1849,"4 Item Ledger Entry Type",$C$4,"2 Item No.","@@"&amp;$F1849,"3 Posting Date",Z$9)</t>
  </si>
  <si>
    <t>=Z1849-AB1849</t>
  </si>
  <si>
    <t>=IF(Z1849&lt;&gt;0,AC1849/Z1849,"")</t>
  </si>
  <si>
    <t>=C1850</t>
  </si>
  <si>
    <t>=J1851-L1851</t>
  </si>
  <si>
    <t>=IF(J1851&lt;&gt;0,M1851/J1851,"")</t>
  </si>
  <si>
    <t>=O1851-Q1851</t>
  </si>
  <si>
    <t>=IF(O1851&lt;&gt;0,R1851/O1851,"")</t>
  </si>
  <si>
    <t>=U1851-W1851</t>
  </si>
  <si>
    <t>=IF(U1851&lt;&gt;0,X1851/U1851,"")</t>
  </si>
  <si>
    <t>=Z1851-AB1851</t>
  </si>
  <si>
    <t>=IF(Z1851&lt;&gt;0,AC1851/Z1851,"")</t>
  </si>
  <si>
    <t>=C1853</t>
  </si>
  <si>
    <t>=C1854</t>
  </si>
  <si>
    <t>=NL("Sum","5802 Value Entry","150 Sales Amount (Expected)","41 Source Type",$C$5,"5 Source No.",$C1855,"4 Item Ledger Entry Type",$C$4,"2 Item No.","@@"&amp;$F1855,"3 Posting Date",J$9)+NL("Sum","5802 Value Entry","17 Sales Amount (Actual)","41 Source Type",$C$5,"5 Source no.",$C1855,"4 Item Ledger Entry Type",$C$4,"2 Item No.","@@"&amp;$F1855,"3 Posting Date",J$9)</t>
  </si>
  <si>
    <t>=-NL("Sum","5802 Value Entry","151 Cost Amount (Expected)","41 Source Type",$C$5,"5 Source No.",$C1855,"4 Item Ledger Entry Type",$C$4,"2 Item No.","@@"&amp;$F1855,"3 Posting Date",J$9)-NL("Sum","5802 Value Entry","43 Cost Amount (Actual)","41 Source Type",$C$5,"5 Source no.",$C1855,"4 Item Ledger Entry Type",$C$4,"2 Item No.","@@"&amp;$F1855,"3 Posting Date",J$9)</t>
  </si>
  <si>
    <t>=J1855-L1855</t>
  </si>
  <si>
    <t>=IF(J1855&lt;&gt;0,M1855/J1855,"")</t>
  </si>
  <si>
    <t>=NL("Sum","5802 Value Entry","150 Sales Amount (Expected)","41 Source Type",$C$5,"5 Source No.",$C1855,"4 Item Ledger Entry Type",$C$4,"2 Item No.","@@"&amp;$F1855,"3 Posting Date",O$9)+NL("Sum","5802 Value Entry","17 Sales Amount (Actual)","41 Source Type",$C$5,"5 Source no.",$C1855,"4 Item Ledger Entry Type",$C$4,"2 Item No.","@@"&amp;$F1855,"3 Posting Date",O$9)</t>
  </si>
  <si>
    <t>=-NL("Sum","5802 Value Entry","151 Cost Amount (Expected)","41 Source Type",$C$5,"5 Source No.",$C1855,"4 Item Ledger Entry Type",$C$4,"2 Item No.","@@"&amp;$F1855,"3 Posting Date",O$9)-NL("Sum","5802 Value Entry","43 Cost Amount (Actual)","41 Source Type",$C$5,"5 Source no.",$C1855,"4 Item Ledger Entry Type",$C$4,"2 Item No.","@@"&amp;$F1855,"3 Posting Date",O$9)</t>
  </si>
  <si>
    <t>=O1855-Q1855</t>
  </si>
  <si>
    <t>=IF(O1855&lt;&gt;0,R1855/O1855,"")</t>
  </si>
  <si>
    <t>=NL("Sum","5802 Value Entry","150 Sales Amount (Expected)","41 Source Type",$C$5,"5 Source No.",$C1855,"4 Item Ledger Entry Type",$C$4,"2 Item No.","@@"&amp;$F1855,"3 Posting Date",U$9)+NL("Sum","5802 Value Entry","17 Sales Amount (Actual)","41 Source Type",$C$5,"5 Source no.",$C1855,"4 Item Ledger Entry Type",$C$4,"2 Item No.","@@"&amp;$F1855,"3 Posting Date",U$9)</t>
  </si>
  <si>
    <t>=-NL("Sum","5802 Value Entry","151 Cost Amount (Expected)","41 Source Type",$C$5,"5 Source No.",$C1855,"4 Item Ledger Entry Type",$C$4,"2 Item No.","@@"&amp;$F1855,"3 Posting Date",U$9)-NL("Sum","5802 Value Entry","43 Cost Amount (Actual)","41 Source Type",$C$5,"5 Source no.",$C1855,"4 Item Ledger Entry Type",$C$4,"2 Item No.","@@"&amp;$F1855,"3 Posting Date",U$9)</t>
  </si>
  <si>
    <t>=U1855-W1855</t>
  </si>
  <si>
    <t>=IF(U1855&lt;&gt;0,X1855/U1855,"")</t>
  </si>
  <si>
    <t>=NL("Sum","5802 Value Entry","150 Sales Amount (Expected)","41 Source Type",$C$5,"5 Source No.",$C1855,"4 Item Ledger Entry Type",$C$4,"2 Item No.","@@"&amp;$F1855,"3 Posting Date",Z$9)+NL("Sum","5802 Value Entry","17 Sales Amount (Actual)","41 Source Type",$C$5,"5 Source no.",$C1855,"4 Item Ledger Entry Type",$C$4,"2 Item No.","@@"&amp;$F1855,"3 Posting Date",Z$9)</t>
  </si>
  <si>
    <t>=-NL("Sum","5802 Value Entry","151 Cost Amount (Expected)","41 Source Type",$C$5,"5 Source No.",$C1855,"4 Item Ledger Entry Type",$C$4,"2 Item No.","@@"&amp;$F1855,"3 Posting Date",Z$9)-NL("Sum","5802 Value Entry","43 Cost Amount (Actual)","41 Source Type",$C$5,"5 Source no.",$C1855,"4 Item Ledger Entry Type",$C$4,"2 Item No.","@@"&amp;$F1855,"3 Posting Date",Z$9)</t>
  </si>
  <si>
    <t>=Z1855-AB1855</t>
  </si>
  <si>
    <t>=IF(Z1855&lt;&gt;0,AC1855/Z1855,"")</t>
  </si>
  <si>
    <t>=C1855</t>
  </si>
  <si>
    <t>=NL("Sum","5802 Value Entry","150 Sales Amount (Expected)","41 Source Type",$C$5,"5 Source No.",$C1856,"4 Item Ledger Entry Type",$C$4,"2 Item No.","@@"&amp;$F1856,"3 Posting Date",J$9)+NL("Sum","5802 Value Entry","17 Sales Amount (Actual)","41 Source Type",$C$5,"5 Source no.",$C1856,"4 Item Ledger Entry Type",$C$4,"2 Item No.","@@"&amp;$F1856,"3 Posting Date",J$9)</t>
  </si>
  <si>
    <t>=-NL("Sum","5802 Value Entry","151 Cost Amount (Expected)","41 Source Type",$C$5,"5 Source No.",$C1856,"4 Item Ledger Entry Type",$C$4,"2 Item No.","@@"&amp;$F1856,"3 Posting Date",J$9)-NL("Sum","5802 Value Entry","43 Cost Amount (Actual)","41 Source Type",$C$5,"5 Source no.",$C1856,"4 Item Ledger Entry Type",$C$4,"2 Item No.","@@"&amp;$F1856,"3 Posting Date",J$9)</t>
  </si>
  <si>
    <t>=J1856-L1856</t>
  </si>
  <si>
    <t>=IF(J1856&lt;&gt;0,M1856/J1856,"")</t>
  </si>
  <si>
    <t>=NL("Sum","5802 Value Entry","150 Sales Amount (Expected)","41 Source Type",$C$5,"5 Source No.",$C1856,"4 Item Ledger Entry Type",$C$4,"2 Item No.","@@"&amp;$F1856,"3 Posting Date",O$9)+NL("Sum","5802 Value Entry","17 Sales Amount (Actual)","41 Source Type",$C$5,"5 Source no.",$C1856,"4 Item Ledger Entry Type",$C$4,"2 Item No.","@@"&amp;$F1856,"3 Posting Date",O$9)</t>
  </si>
  <si>
    <t>=-NL("Sum","5802 Value Entry","151 Cost Amount (Expected)","41 Source Type",$C$5,"5 Source No.",$C1856,"4 Item Ledger Entry Type",$C$4,"2 Item No.","@@"&amp;$F1856,"3 Posting Date",O$9)-NL("Sum","5802 Value Entry","43 Cost Amount (Actual)","41 Source Type",$C$5,"5 Source no.",$C1856,"4 Item Ledger Entry Type",$C$4,"2 Item No.","@@"&amp;$F1856,"3 Posting Date",O$9)</t>
  </si>
  <si>
    <t>=O1856-Q1856</t>
  </si>
  <si>
    <t>=IF(O1856&lt;&gt;0,R1856/O1856,"")</t>
  </si>
  <si>
    <t>=NL("Sum","5802 Value Entry","150 Sales Amount (Expected)","41 Source Type",$C$5,"5 Source No.",$C1856,"4 Item Ledger Entry Type",$C$4,"2 Item No.","@@"&amp;$F1856,"3 Posting Date",U$9)+NL("Sum","5802 Value Entry","17 Sales Amount (Actual)","41 Source Type",$C$5,"5 Source no.",$C1856,"4 Item Ledger Entry Type",$C$4,"2 Item No.","@@"&amp;$F1856,"3 Posting Date",U$9)</t>
  </si>
  <si>
    <t>=-NL("Sum","5802 Value Entry","151 Cost Amount (Expected)","41 Source Type",$C$5,"5 Source No.",$C1856,"4 Item Ledger Entry Type",$C$4,"2 Item No.","@@"&amp;$F1856,"3 Posting Date",U$9)-NL("Sum","5802 Value Entry","43 Cost Amount (Actual)","41 Source Type",$C$5,"5 Source no.",$C1856,"4 Item Ledger Entry Type",$C$4,"2 Item No.","@@"&amp;$F1856,"3 Posting Date",U$9)</t>
  </si>
  <si>
    <t>=U1856-W1856</t>
  </si>
  <si>
    <t>=IF(U1856&lt;&gt;0,X1856/U1856,"")</t>
  </si>
  <si>
    <t>=NL("Sum","5802 Value Entry","150 Sales Amount (Expected)","41 Source Type",$C$5,"5 Source No.",$C1856,"4 Item Ledger Entry Type",$C$4,"2 Item No.","@@"&amp;$F1856,"3 Posting Date",Z$9)+NL("Sum","5802 Value Entry","17 Sales Amount (Actual)","41 Source Type",$C$5,"5 Source no.",$C1856,"4 Item Ledger Entry Type",$C$4,"2 Item No.","@@"&amp;$F1856,"3 Posting Date",Z$9)</t>
  </si>
  <si>
    <t>=-NL("Sum","5802 Value Entry","151 Cost Amount (Expected)","41 Source Type",$C$5,"5 Source No.",$C1856,"4 Item Ledger Entry Type",$C$4,"2 Item No.","@@"&amp;$F1856,"3 Posting Date",Z$9)-NL("Sum","5802 Value Entry","43 Cost Amount (Actual)","41 Source Type",$C$5,"5 Source no.",$C1856,"4 Item Ledger Entry Type",$C$4,"2 Item No.","@@"&amp;$F1856,"3 Posting Date",Z$9)</t>
  </si>
  <si>
    <t>=Z1856-AB1856</t>
  </si>
  <si>
    <t>=IF(Z1856&lt;&gt;0,AC1856/Z1856,"")</t>
  </si>
  <si>
    <t>=C1856</t>
  </si>
  <si>
    <t>=NL("Sum","5802 Value Entry","150 Sales Amount (Expected)","41 Source Type",$C$5,"5 Source No.",$C1857,"4 Item Ledger Entry Type",$C$4,"2 Item No.","@@"&amp;$F1857,"3 Posting Date",J$9)+NL("Sum","5802 Value Entry","17 Sales Amount (Actual)","41 Source Type",$C$5,"5 Source no.",$C1857,"4 Item Ledger Entry Type",$C$4,"2 Item No.","@@"&amp;$F1857,"3 Posting Date",J$9)</t>
  </si>
  <si>
    <t>=-NL("Sum","5802 Value Entry","151 Cost Amount (Expected)","41 Source Type",$C$5,"5 Source No.",$C1857,"4 Item Ledger Entry Type",$C$4,"2 Item No.","@@"&amp;$F1857,"3 Posting Date",J$9)-NL("Sum","5802 Value Entry","43 Cost Amount (Actual)","41 Source Type",$C$5,"5 Source no.",$C1857,"4 Item Ledger Entry Type",$C$4,"2 Item No.","@@"&amp;$F1857,"3 Posting Date",J$9)</t>
  </si>
  <si>
    <t>=J1857-L1857</t>
  </si>
  <si>
    <t>=IF(J1857&lt;&gt;0,M1857/J1857,"")</t>
  </si>
  <si>
    <t>=NL("Sum","5802 Value Entry","150 Sales Amount (Expected)","41 Source Type",$C$5,"5 Source No.",$C1857,"4 Item Ledger Entry Type",$C$4,"2 Item No.","@@"&amp;$F1857,"3 Posting Date",O$9)+NL("Sum","5802 Value Entry","17 Sales Amount (Actual)","41 Source Type",$C$5,"5 Source no.",$C1857,"4 Item Ledger Entry Type",$C$4,"2 Item No.","@@"&amp;$F1857,"3 Posting Date",O$9)</t>
  </si>
  <si>
    <t>=-NL("Sum","5802 Value Entry","151 Cost Amount (Expected)","41 Source Type",$C$5,"5 Source No.",$C1857,"4 Item Ledger Entry Type",$C$4,"2 Item No.","@@"&amp;$F1857,"3 Posting Date",O$9)-NL("Sum","5802 Value Entry","43 Cost Amount (Actual)","41 Source Type",$C$5,"5 Source no.",$C1857,"4 Item Ledger Entry Type",$C$4,"2 Item No.","@@"&amp;$F1857,"3 Posting Date",O$9)</t>
  </si>
  <si>
    <t>=O1857-Q1857</t>
  </si>
  <si>
    <t>=IF(O1857&lt;&gt;0,R1857/O1857,"")</t>
  </si>
  <si>
    <t>=NL("Sum","5802 Value Entry","150 Sales Amount (Expected)","41 Source Type",$C$5,"5 Source No.",$C1857,"4 Item Ledger Entry Type",$C$4,"2 Item No.","@@"&amp;$F1857,"3 Posting Date",U$9)+NL("Sum","5802 Value Entry","17 Sales Amount (Actual)","41 Source Type",$C$5,"5 Source no.",$C1857,"4 Item Ledger Entry Type",$C$4,"2 Item No.","@@"&amp;$F1857,"3 Posting Date",U$9)</t>
  </si>
  <si>
    <t>=-NL("Sum","5802 Value Entry","151 Cost Amount (Expected)","41 Source Type",$C$5,"5 Source No.",$C1857,"4 Item Ledger Entry Type",$C$4,"2 Item No.","@@"&amp;$F1857,"3 Posting Date",U$9)-NL("Sum","5802 Value Entry","43 Cost Amount (Actual)","41 Source Type",$C$5,"5 Source no.",$C1857,"4 Item Ledger Entry Type",$C$4,"2 Item No.","@@"&amp;$F1857,"3 Posting Date",U$9)</t>
  </si>
  <si>
    <t>=U1857-W1857</t>
  </si>
  <si>
    <t>=IF(U1857&lt;&gt;0,X1857/U1857,"")</t>
  </si>
  <si>
    <t>=NL("Sum","5802 Value Entry","150 Sales Amount (Expected)","41 Source Type",$C$5,"5 Source No.",$C1857,"4 Item Ledger Entry Type",$C$4,"2 Item No.","@@"&amp;$F1857,"3 Posting Date",Z$9)+NL("Sum","5802 Value Entry","17 Sales Amount (Actual)","41 Source Type",$C$5,"5 Source no.",$C1857,"4 Item Ledger Entry Type",$C$4,"2 Item No.","@@"&amp;$F1857,"3 Posting Date",Z$9)</t>
  </si>
  <si>
    <t>=-NL("Sum","5802 Value Entry","151 Cost Amount (Expected)","41 Source Type",$C$5,"5 Source No.",$C1857,"4 Item Ledger Entry Type",$C$4,"2 Item No.","@@"&amp;$F1857,"3 Posting Date",Z$9)-NL("Sum","5802 Value Entry","43 Cost Amount (Actual)","41 Source Type",$C$5,"5 Source no.",$C1857,"4 Item Ledger Entry Type",$C$4,"2 Item No.","@@"&amp;$F1857,"3 Posting Date",Z$9)</t>
  </si>
  <si>
    <t>=Z1857-AB1857</t>
  </si>
  <si>
    <t>=IF(Z1857&lt;&gt;0,AC1857/Z1857,"")</t>
  </si>
  <si>
    <t>=C1857</t>
  </si>
  <si>
    <t>=NL("Sum","5802 Value Entry","150 Sales Amount (Expected)","41 Source Type",$C$5,"5 Source No.",$C1858,"4 Item Ledger Entry Type",$C$4,"2 Item No.","@@"&amp;$F1858,"3 Posting Date",J$9)+NL("Sum","5802 Value Entry","17 Sales Amount (Actual)","41 Source Type",$C$5,"5 Source no.",$C1858,"4 Item Ledger Entry Type",$C$4,"2 Item No.","@@"&amp;$F1858,"3 Posting Date",J$9)</t>
  </si>
  <si>
    <t>=-NL("Sum","5802 Value Entry","151 Cost Amount (Expected)","41 Source Type",$C$5,"5 Source No.",$C1858,"4 Item Ledger Entry Type",$C$4,"2 Item No.","@@"&amp;$F1858,"3 Posting Date",J$9)-NL("Sum","5802 Value Entry","43 Cost Amount (Actual)","41 Source Type",$C$5,"5 Source no.",$C1858,"4 Item Ledger Entry Type",$C$4,"2 Item No.","@@"&amp;$F1858,"3 Posting Date",J$9)</t>
  </si>
  <si>
    <t>=J1858-L1858</t>
  </si>
  <si>
    <t>=IF(J1858&lt;&gt;0,M1858/J1858,"")</t>
  </si>
  <si>
    <t>=NL("Sum","5802 Value Entry","150 Sales Amount (Expected)","41 Source Type",$C$5,"5 Source No.",$C1858,"4 Item Ledger Entry Type",$C$4,"2 Item No.","@@"&amp;$F1858,"3 Posting Date",O$9)+NL("Sum","5802 Value Entry","17 Sales Amount (Actual)","41 Source Type",$C$5,"5 Source no.",$C1858,"4 Item Ledger Entry Type",$C$4,"2 Item No.","@@"&amp;$F1858,"3 Posting Date",O$9)</t>
  </si>
  <si>
    <t>=-NL("Sum","5802 Value Entry","151 Cost Amount (Expected)","41 Source Type",$C$5,"5 Source No.",$C1858,"4 Item Ledger Entry Type",$C$4,"2 Item No.","@@"&amp;$F1858,"3 Posting Date",O$9)-NL("Sum","5802 Value Entry","43 Cost Amount (Actual)","41 Source Type",$C$5,"5 Source no.",$C1858,"4 Item Ledger Entry Type",$C$4,"2 Item No.","@@"&amp;$F1858,"3 Posting Date",O$9)</t>
  </si>
  <si>
    <t>=O1858-Q1858</t>
  </si>
  <si>
    <t>=IF(O1858&lt;&gt;0,R1858/O1858,"")</t>
  </si>
  <si>
    <t>=NL("Sum","5802 Value Entry","150 Sales Amount (Expected)","41 Source Type",$C$5,"5 Source No.",$C1858,"4 Item Ledger Entry Type",$C$4,"2 Item No.","@@"&amp;$F1858,"3 Posting Date",U$9)+NL("Sum","5802 Value Entry","17 Sales Amount (Actual)","41 Source Type",$C$5,"5 Source no.",$C1858,"4 Item Ledger Entry Type",$C$4,"2 Item No.","@@"&amp;$F1858,"3 Posting Date",U$9)</t>
  </si>
  <si>
    <t>=-NL("Sum","5802 Value Entry","151 Cost Amount (Expected)","41 Source Type",$C$5,"5 Source No.",$C1858,"4 Item Ledger Entry Type",$C$4,"2 Item No.","@@"&amp;$F1858,"3 Posting Date",U$9)-NL("Sum","5802 Value Entry","43 Cost Amount (Actual)","41 Source Type",$C$5,"5 Source no.",$C1858,"4 Item Ledger Entry Type",$C$4,"2 Item No.","@@"&amp;$F1858,"3 Posting Date",U$9)</t>
  </si>
  <si>
    <t>=U1858-W1858</t>
  </si>
  <si>
    <t>=IF(U1858&lt;&gt;0,X1858/U1858,"")</t>
  </si>
  <si>
    <t>=NL("Sum","5802 Value Entry","150 Sales Amount (Expected)","41 Source Type",$C$5,"5 Source No.",$C1858,"4 Item Ledger Entry Type",$C$4,"2 Item No.","@@"&amp;$F1858,"3 Posting Date",Z$9)+NL("Sum","5802 Value Entry","17 Sales Amount (Actual)","41 Source Type",$C$5,"5 Source no.",$C1858,"4 Item Ledger Entry Type",$C$4,"2 Item No.","@@"&amp;$F1858,"3 Posting Date",Z$9)</t>
  </si>
  <si>
    <t>=-NL("Sum","5802 Value Entry","151 Cost Amount (Expected)","41 Source Type",$C$5,"5 Source No.",$C1858,"4 Item Ledger Entry Type",$C$4,"2 Item No.","@@"&amp;$F1858,"3 Posting Date",Z$9)-NL("Sum","5802 Value Entry","43 Cost Amount (Actual)","41 Source Type",$C$5,"5 Source no.",$C1858,"4 Item Ledger Entry Type",$C$4,"2 Item No.","@@"&amp;$F1858,"3 Posting Date",Z$9)</t>
  </si>
  <si>
    <t>=Z1858-AB1858</t>
  </si>
  <si>
    <t>=IF(Z1858&lt;&gt;0,AC1858/Z1858,"")</t>
  </si>
  <si>
    <t>=C1858</t>
  </si>
  <si>
    <t>=NL("Sum","5802 Value Entry","150 Sales Amount (Expected)","41 Source Type",$C$5,"5 Source No.",$C1859,"4 Item Ledger Entry Type",$C$4,"2 Item No.","@@"&amp;$F1859,"3 Posting Date",J$9)+NL("Sum","5802 Value Entry","17 Sales Amount (Actual)","41 Source Type",$C$5,"5 Source no.",$C1859,"4 Item Ledger Entry Type",$C$4,"2 Item No.","@@"&amp;$F1859,"3 Posting Date",J$9)</t>
  </si>
  <si>
    <t>=-NL("Sum","5802 Value Entry","151 Cost Amount (Expected)","41 Source Type",$C$5,"5 Source No.",$C1859,"4 Item Ledger Entry Type",$C$4,"2 Item No.","@@"&amp;$F1859,"3 Posting Date",J$9)-NL("Sum","5802 Value Entry","43 Cost Amount (Actual)","41 Source Type",$C$5,"5 Source no.",$C1859,"4 Item Ledger Entry Type",$C$4,"2 Item No.","@@"&amp;$F1859,"3 Posting Date",J$9)</t>
  </si>
  <si>
    <t>=J1859-L1859</t>
  </si>
  <si>
    <t>=IF(J1859&lt;&gt;0,M1859/J1859,"")</t>
  </si>
  <si>
    <t>=NL("Sum","5802 Value Entry","150 Sales Amount (Expected)","41 Source Type",$C$5,"5 Source No.",$C1859,"4 Item Ledger Entry Type",$C$4,"2 Item No.","@@"&amp;$F1859,"3 Posting Date",O$9)+NL("Sum","5802 Value Entry","17 Sales Amount (Actual)","41 Source Type",$C$5,"5 Source no.",$C1859,"4 Item Ledger Entry Type",$C$4,"2 Item No.","@@"&amp;$F1859,"3 Posting Date",O$9)</t>
  </si>
  <si>
    <t>=-NL("Sum","5802 Value Entry","151 Cost Amount (Expected)","41 Source Type",$C$5,"5 Source No.",$C1859,"4 Item Ledger Entry Type",$C$4,"2 Item No.","@@"&amp;$F1859,"3 Posting Date",O$9)-NL("Sum","5802 Value Entry","43 Cost Amount (Actual)","41 Source Type",$C$5,"5 Source no.",$C1859,"4 Item Ledger Entry Type",$C$4,"2 Item No.","@@"&amp;$F1859,"3 Posting Date",O$9)</t>
  </si>
  <si>
    <t>=O1859-Q1859</t>
  </si>
  <si>
    <t>=IF(O1859&lt;&gt;0,R1859/O1859,"")</t>
  </si>
  <si>
    <t>=NL("Sum","5802 Value Entry","150 Sales Amount (Expected)","41 Source Type",$C$5,"5 Source No.",$C1859,"4 Item Ledger Entry Type",$C$4,"2 Item No.","@@"&amp;$F1859,"3 Posting Date",U$9)+NL("Sum","5802 Value Entry","17 Sales Amount (Actual)","41 Source Type",$C$5,"5 Source no.",$C1859,"4 Item Ledger Entry Type",$C$4,"2 Item No.","@@"&amp;$F1859,"3 Posting Date",U$9)</t>
  </si>
  <si>
    <t>=-NL("Sum","5802 Value Entry","151 Cost Amount (Expected)","41 Source Type",$C$5,"5 Source No.",$C1859,"4 Item Ledger Entry Type",$C$4,"2 Item No.","@@"&amp;$F1859,"3 Posting Date",U$9)-NL("Sum","5802 Value Entry","43 Cost Amount (Actual)","41 Source Type",$C$5,"5 Source no.",$C1859,"4 Item Ledger Entry Type",$C$4,"2 Item No.","@@"&amp;$F1859,"3 Posting Date",U$9)</t>
  </si>
  <si>
    <t>=U1859-W1859</t>
  </si>
  <si>
    <t>=IF(U1859&lt;&gt;0,X1859/U1859,"")</t>
  </si>
  <si>
    <t>=NL("Sum","5802 Value Entry","150 Sales Amount (Expected)","41 Source Type",$C$5,"5 Source No.",$C1859,"4 Item Ledger Entry Type",$C$4,"2 Item No.","@@"&amp;$F1859,"3 Posting Date",Z$9)+NL("Sum","5802 Value Entry","17 Sales Amount (Actual)","41 Source Type",$C$5,"5 Source no.",$C1859,"4 Item Ledger Entry Type",$C$4,"2 Item No.","@@"&amp;$F1859,"3 Posting Date",Z$9)</t>
  </si>
  <si>
    <t>=-NL("Sum","5802 Value Entry","151 Cost Amount (Expected)","41 Source Type",$C$5,"5 Source No.",$C1859,"4 Item Ledger Entry Type",$C$4,"2 Item No.","@@"&amp;$F1859,"3 Posting Date",Z$9)-NL("Sum","5802 Value Entry","43 Cost Amount (Actual)","41 Source Type",$C$5,"5 Source no.",$C1859,"4 Item Ledger Entry Type",$C$4,"2 Item No.","@@"&amp;$F1859,"3 Posting Date",Z$9)</t>
  </si>
  <si>
    <t>=Z1859-AB1859</t>
  </si>
  <si>
    <t>=IF(Z1859&lt;&gt;0,AC1859/Z1859,"")</t>
  </si>
  <si>
    <t>=C1859</t>
  </si>
  <si>
    <t>=NL("Sum","5802 Value Entry","150 Sales Amount (Expected)","41 Source Type",$C$5,"5 Source No.",$C1860,"4 Item Ledger Entry Type",$C$4,"2 Item No.","@@"&amp;$F1860,"3 Posting Date",J$9)+NL("Sum","5802 Value Entry","17 Sales Amount (Actual)","41 Source Type",$C$5,"5 Source no.",$C1860,"4 Item Ledger Entry Type",$C$4,"2 Item No.","@@"&amp;$F1860,"3 Posting Date",J$9)</t>
  </si>
  <si>
    <t>=-NL("Sum","5802 Value Entry","151 Cost Amount (Expected)","41 Source Type",$C$5,"5 Source No.",$C1860,"4 Item Ledger Entry Type",$C$4,"2 Item No.","@@"&amp;$F1860,"3 Posting Date",J$9)-NL("Sum","5802 Value Entry","43 Cost Amount (Actual)","41 Source Type",$C$5,"5 Source no.",$C1860,"4 Item Ledger Entry Type",$C$4,"2 Item No.","@@"&amp;$F1860,"3 Posting Date",J$9)</t>
  </si>
  <si>
    <t>=J1860-L1860</t>
  </si>
  <si>
    <t>=IF(J1860&lt;&gt;0,M1860/J1860,"")</t>
  </si>
  <si>
    <t>=NL("Sum","5802 Value Entry","150 Sales Amount (Expected)","41 Source Type",$C$5,"5 Source No.",$C1860,"4 Item Ledger Entry Type",$C$4,"2 Item No.","@@"&amp;$F1860,"3 Posting Date",O$9)+NL("Sum","5802 Value Entry","17 Sales Amount (Actual)","41 Source Type",$C$5,"5 Source no.",$C1860,"4 Item Ledger Entry Type",$C$4,"2 Item No.","@@"&amp;$F1860,"3 Posting Date",O$9)</t>
  </si>
  <si>
    <t>=-NL("Sum","5802 Value Entry","151 Cost Amount (Expected)","41 Source Type",$C$5,"5 Source No.",$C1860,"4 Item Ledger Entry Type",$C$4,"2 Item No.","@@"&amp;$F1860,"3 Posting Date",O$9)-NL("Sum","5802 Value Entry","43 Cost Amount (Actual)","41 Source Type",$C$5,"5 Source no.",$C1860,"4 Item Ledger Entry Type",$C$4,"2 Item No.","@@"&amp;$F1860,"3 Posting Date",O$9)</t>
  </si>
  <si>
    <t>=O1860-Q1860</t>
  </si>
  <si>
    <t>=IF(O1860&lt;&gt;0,R1860/O1860,"")</t>
  </si>
  <si>
    <t>=NL("Sum","5802 Value Entry","150 Sales Amount (Expected)","41 Source Type",$C$5,"5 Source No.",$C1860,"4 Item Ledger Entry Type",$C$4,"2 Item No.","@@"&amp;$F1860,"3 Posting Date",U$9)+NL("Sum","5802 Value Entry","17 Sales Amount (Actual)","41 Source Type",$C$5,"5 Source no.",$C1860,"4 Item Ledger Entry Type",$C$4,"2 Item No.","@@"&amp;$F1860,"3 Posting Date",U$9)</t>
  </si>
  <si>
    <t>=-NL("Sum","5802 Value Entry","151 Cost Amount (Expected)","41 Source Type",$C$5,"5 Source No.",$C1860,"4 Item Ledger Entry Type",$C$4,"2 Item No.","@@"&amp;$F1860,"3 Posting Date",U$9)-NL("Sum","5802 Value Entry","43 Cost Amount (Actual)","41 Source Type",$C$5,"5 Source no.",$C1860,"4 Item Ledger Entry Type",$C$4,"2 Item No.","@@"&amp;$F1860,"3 Posting Date",U$9)</t>
  </si>
  <si>
    <t>=U1860-W1860</t>
  </si>
  <si>
    <t>=IF(U1860&lt;&gt;0,X1860/U1860,"")</t>
  </si>
  <si>
    <t>=NL("Sum","5802 Value Entry","150 Sales Amount (Expected)","41 Source Type",$C$5,"5 Source No.",$C1860,"4 Item Ledger Entry Type",$C$4,"2 Item No.","@@"&amp;$F1860,"3 Posting Date",Z$9)+NL("Sum","5802 Value Entry","17 Sales Amount (Actual)","41 Source Type",$C$5,"5 Source no.",$C1860,"4 Item Ledger Entry Type",$C$4,"2 Item No.","@@"&amp;$F1860,"3 Posting Date",Z$9)</t>
  </si>
  <si>
    <t>=-NL("Sum","5802 Value Entry","151 Cost Amount (Expected)","41 Source Type",$C$5,"5 Source No.",$C1860,"4 Item Ledger Entry Type",$C$4,"2 Item No.","@@"&amp;$F1860,"3 Posting Date",Z$9)-NL("Sum","5802 Value Entry","43 Cost Amount (Actual)","41 Source Type",$C$5,"5 Source no.",$C1860,"4 Item Ledger Entry Type",$C$4,"2 Item No.","@@"&amp;$F1860,"3 Posting Date",Z$9)</t>
  </si>
  <si>
    <t>=Z1860-AB1860</t>
  </si>
  <si>
    <t>=IF(Z1860&lt;&gt;0,AC1860/Z1860,"")</t>
  </si>
  <si>
    <t>=C1860</t>
  </si>
  <si>
    <t>=NL("Sum","5802 Value Entry","150 Sales Amount (Expected)","41 Source Type",$C$5,"5 Source No.",$C1861,"4 Item Ledger Entry Type",$C$4,"2 Item No.","@@"&amp;$F1861,"3 Posting Date",J$9)+NL("Sum","5802 Value Entry","17 Sales Amount (Actual)","41 Source Type",$C$5,"5 Source no.",$C1861,"4 Item Ledger Entry Type",$C$4,"2 Item No.","@@"&amp;$F1861,"3 Posting Date",J$9)</t>
  </si>
  <si>
    <t>=-NL("Sum","5802 Value Entry","151 Cost Amount (Expected)","41 Source Type",$C$5,"5 Source No.",$C1861,"4 Item Ledger Entry Type",$C$4,"2 Item No.","@@"&amp;$F1861,"3 Posting Date",J$9)-NL("Sum","5802 Value Entry","43 Cost Amount (Actual)","41 Source Type",$C$5,"5 Source no.",$C1861,"4 Item Ledger Entry Type",$C$4,"2 Item No.","@@"&amp;$F1861,"3 Posting Date",J$9)</t>
  </si>
  <si>
    <t>=J1861-L1861</t>
  </si>
  <si>
    <t>=IF(J1861&lt;&gt;0,M1861/J1861,"")</t>
  </si>
  <si>
    <t>=NL("Sum","5802 Value Entry","150 Sales Amount (Expected)","41 Source Type",$C$5,"5 Source No.",$C1861,"4 Item Ledger Entry Type",$C$4,"2 Item No.","@@"&amp;$F1861,"3 Posting Date",O$9)+NL("Sum","5802 Value Entry","17 Sales Amount (Actual)","41 Source Type",$C$5,"5 Source no.",$C1861,"4 Item Ledger Entry Type",$C$4,"2 Item No.","@@"&amp;$F1861,"3 Posting Date",O$9)</t>
  </si>
  <si>
    <t>=-NL("Sum","5802 Value Entry","151 Cost Amount (Expected)","41 Source Type",$C$5,"5 Source No.",$C1861,"4 Item Ledger Entry Type",$C$4,"2 Item No.","@@"&amp;$F1861,"3 Posting Date",O$9)-NL("Sum","5802 Value Entry","43 Cost Amount (Actual)","41 Source Type",$C$5,"5 Source no.",$C1861,"4 Item Ledger Entry Type",$C$4,"2 Item No.","@@"&amp;$F1861,"3 Posting Date",O$9)</t>
  </si>
  <si>
    <t>=O1861-Q1861</t>
  </si>
  <si>
    <t>=IF(O1861&lt;&gt;0,R1861/O1861,"")</t>
  </si>
  <si>
    <t>=NL("Sum","5802 Value Entry","150 Sales Amount (Expected)","41 Source Type",$C$5,"5 Source No.",$C1861,"4 Item Ledger Entry Type",$C$4,"2 Item No.","@@"&amp;$F1861,"3 Posting Date",U$9)+NL("Sum","5802 Value Entry","17 Sales Amount (Actual)","41 Source Type",$C$5,"5 Source no.",$C1861,"4 Item Ledger Entry Type",$C$4,"2 Item No.","@@"&amp;$F1861,"3 Posting Date",U$9)</t>
  </si>
  <si>
    <t>=-NL("Sum","5802 Value Entry","151 Cost Amount (Expected)","41 Source Type",$C$5,"5 Source No.",$C1861,"4 Item Ledger Entry Type",$C$4,"2 Item No.","@@"&amp;$F1861,"3 Posting Date",U$9)-NL("Sum","5802 Value Entry","43 Cost Amount (Actual)","41 Source Type",$C$5,"5 Source no.",$C1861,"4 Item Ledger Entry Type",$C$4,"2 Item No.","@@"&amp;$F1861,"3 Posting Date",U$9)</t>
  </si>
  <si>
    <t>=U1861-W1861</t>
  </si>
  <si>
    <t>=IF(U1861&lt;&gt;0,X1861/U1861,"")</t>
  </si>
  <si>
    <t>=NL("Sum","5802 Value Entry","150 Sales Amount (Expected)","41 Source Type",$C$5,"5 Source No.",$C1861,"4 Item Ledger Entry Type",$C$4,"2 Item No.","@@"&amp;$F1861,"3 Posting Date",Z$9)+NL("Sum","5802 Value Entry","17 Sales Amount (Actual)","41 Source Type",$C$5,"5 Source no.",$C1861,"4 Item Ledger Entry Type",$C$4,"2 Item No.","@@"&amp;$F1861,"3 Posting Date",Z$9)</t>
  </si>
  <si>
    <t>=-NL("Sum","5802 Value Entry","151 Cost Amount (Expected)","41 Source Type",$C$5,"5 Source No.",$C1861,"4 Item Ledger Entry Type",$C$4,"2 Item No.","@@"&amp;$F1861,"3 Posting Date",Z$9)-NL("Sum","5802 Value Entry","43 Cost Amount (Actual)","41 Source Type",$C$5,"5 Source no.",$C1861,"4 Item Ledger Entry Type",$C$4,"2 Item No.","@@"&amp;$F1861,"3 Posting Date",Z$9)</t>
  </si>
  <si>
    <t>=Z1861-AB1861</t>
  </si>
  <si>
    <t>=IF(Z1861&lt;&gt;0,AC1861/Z1861,"")</t>
  </si>
  <si>
    <t>=C1861</t>
  </si>
  <si>
    <t>=NL("Sum","5802 Value Entry","150 Sales Amount (Expected)","41 Source Type",$C$5,"5 Source No.",$C1862,"4 Item Ledger Entry Type",$C$4,"2 Item No.","@@"&amp;$F1862,"3 Posting Date",J$9)+NL("Sum","5802 Value Entry","17 Sales Amount (Actual)","41 Source Type",$C$5,"5 Source no.",$C1862,"4 Item Ledger Entry Type",$C$4,"2 Item No.","@@"&amp;$F1862,"3 Posting Date",J$9)</t>
  </si>
  <si>
    <t>=-NL("Sum","5802 Value Entry","151 Cost Amount (Expected)","41 Source Type",$C$5,"5 Source No.",$C1862,"4 Item Ledger Entry Type",$C$4,"2 Item No.","@@"&amp;$F1862,"3 Posting Date",J$9)-NL("Sum","5802 Value Entry","43 Cost Amount (Actual)","41 Source Type",$C$5,"5 Source no.",$C1862,"4 Item Ledger Entry Type",$C$4,"2 Item No.","@@"&amp;$F1862,"3 Posting Date",J$9)</t>
  </si>
  <si>
    <t>=J1862-L1862</t>
  </si>
  <si>
    <t>=IF(J1862&lt;&gt;0,M1862/J1862,"")</t>
  </si>
  <si>
    <t>=NL("Sum","5802 Value Entry","150 Sales Amount (Expected)","41 Source Type",$C$5,"5 Source No.",$C1862,"4 Item Ledger Entry Type",$C$4,"2 Item No.","@@"&amp;$F1862,"3 Posting Date",O$9)+NL("Sum","5802 Value Entry","17 Sales Amount (Actual)","41 Source Type",$C$5,"5 Source no.",$C1862,"4 Item Ledger Entry Type",$C$4,"2 Item No.","@@"&amp;$F1862,"3 Posting Date",O$9)</t>
  </si>
  <si>
    <t>=-NL("Sum","5802 Value Entry","151 Cost Amount (Expected)","41 Source Type",$C$5,"5 Source No.",$C1862,"4 Item Ledger Entry Type",$C$4,"2 Item No.","@@"&amp;$F1862,"3 Posting Date",O$9)-NL("Sum","5802 Value Entry","43 Cost Amount (Actual)","41 Source Type",$C$5,"5 Source no.",$C1862,"4 Item Ledger Entry Type",$C$4,"2 Item No.","@@"&amp;$F1862,"3 Posting Date",O$9)</t>
  </si>
  <si>
    <t>=O1862-Q1862</t>
  </si>
  <si>
    <t>=IF(O1862&lt;&gt;0,R1862/O1862,"")</t>
  </si>
  <si>
    <t>=NL("Sum","5802 Value Entry","150 Sales Amount (Expected)","41 Source Type",$C$5,"5 Source No.",$C1862,"4 Item Ledger Entry Type",$C$4,"2 Item No.","@@"&amp;$F1862,"3 Posting Date",U$9)+NL("Sum","5802 Value Entry","17 Sales Amount (Actual)","41 Source Type",$C$5,"5 Source no.",$C1862,"4 Item Ledger Entry Type",$C$4,"2 Item No.","@@"&amp;$F1862,"3 Posting Date",U$9)</t>
  </si>
  <si>
    <t>=-NL("Sum","5802 Value Entry","151 Cost Amount (Expected)","41 Source Type",$C$5,"5 Source No.",$C1862,"4 Item Ledger Entry Type",$C$4,"2 Item No.","@@"&amp;$F1862,"3 Posting Date",U$9)-NL("Sum","5802 Value Entry","43 Cost Amount (Actual)","41 Source Type",$C$5,"5 Source no.",$C1862,"4 Item Ledger Entry Type",$C$4,"2 Item No.","@@"&amp;$F1862,"3 Posting Date",U$9)</t>
  </si>
  <si>
    <t>=U1862-W1862</t>
  </si>
  <si>
    <t>=IF(U1862&lt;&gt;0,X1862/U1862,"")</t>
  </si>
  <si>
    <t>=NL("Sum","5802 Value Entry","150 Sales Amount (Expected)","41 Source Type",$C$5,"5 Source No.",$C1862,"4 Item Ledger Entry Type",$C$4,"2 Item No.","@@"&amp;$F1862,"3 Posting Date",Z$9)+NL("Sum","5802 Value Entry","17 Sales Amount (Actual)","41 Source Type",$C$5,"5 Source no.",$C1862,"4 Item Ledger Entry Type",$C$4,"2 Item No.","@@"&amp;$F1862,"3 Posting Date",Z$9)</t>
  </si>
  <si>
    <t>=-NL("Sum","5802 Value Entry","151 Cost Amount (Expected)","41 Source Type",$C$5,"5 Source No.",$C1862,"4 Item Ledger Entry Type",$C$4,"2 Item No.","@@"&amp;$F1862,"3 Posting Date",Z$9)-NL("Sum","5802 Value Entry","43 Cost Amount (Actual)","41 Source Type",$C$5,"5 Source no.",$C1862,"4 Item Ledger Entry Type",$C$4,"2 Item No.","@@"&amp;$F1862,"3 Posting Date",Z$9)</t>
  </si>
  <si>
    <t>=Z1862-AB1862</t>
  </si>
  <si>
    <t>=IF(Z1862&lt;&gt;0,AC1862/Z1862,"")</t>
  </si>
  <si>
    <t>=C1862</t>
  </si>
  <si>
    <t>=NL("Sum","5802 Value Entry","150 Sales Amount (Expected)","41 Source Type",$C$5,"5 Source No.",$C1863,"4 Item Ledger Entry Type",$C$4,"2 Item No.","@@"&amp;$F1863,"3 Posting Date",J$9)+NL("Sum","5802 Value Entry","17 Sales Amount (Actual)","41 Source Type",$C$5,"5 Source no.",$C1863,"4 Item Ledger Entry Type",$C$4,"2 Item No.","@@"&amp;$F1863,"3 Posting Date",J$9)</t>
  </si>
  <si>
    <t>=-NL("Sum","5802 Value Entry","151 Cost Amount (Expected)","41 Source Type",$C$5,"5 Source No.",$C1863,"4 Item Ledger Entry Type",$C$4,"2 Item No.","@@"&amp;$F1863,"3 Posting Date",J$9)-NL("Sum","5802 Value Entry","43 Cost Amount (Actual)","41 Source Type",$C$5,"5 Source no.",$C1863,"4 Item Ledger Entry Type",$C$4,"2 Item No.","@@"&amp;$F1863,"3 Posting Date",J$9)</t>
  </si>
  <si>
    <t>=J1863-L1863</t>
  </si>
  <si>
    <t>=IF(J1863&lt;&gt;0,M1863/J1863,"")</t>
  </si>
  <si>
    <t>=NL("Sum","5802 Value Entry","150 Sales Amount (Expected)","41 Source Type",$C$5,"5 Source No.",$C1863,"4 Item Ledger Entry Type",$C$4,"2 Item No.","@@"&amp;$F1863,"3 Posting Date",O$9)+NL("Sum","5802 Value Entry","17 Sales Amount (Actual)","41 Source Type",$C$5,"5 Source no.",$C1863,"4 Item Ledger Entry Type",$C$4,"2 Item No.","@@"&amp;$F1863,"3 Posting Date",O$9)</t>
  </si>
  <si>
    <t>=-NL("Sum","5802 Value Entry","151 Cost Amount (Expected)","41 Source Type",$C$5,"5 Source No.",$C1863,"4 Item Ledger Entry Type",$C$4,"2 Item No.","@@"&amp;$F1863,"3 Posting Date",O$9)-NL("Sum","5802 Value Entry","43 Cost Amount (Actual)","41 Source Type",$C$5,"5 Source no.",$C1863,"4 Item Ledger Entry Type",$C$4,"2 Item No.","@@"&amp;$F1863,"3 Posting Date",O$9)</t>
  </si>
  <si>
    <t>=O1863-Q1863</t>
  </si>
  <si>
    <t>=IF(O1863&lt;&gt;0,R1863/O1863,"")</t>
  </si>
  <si>
    <t>=NL("Sum","5802 Value Entry","150 Sales Amount (Expected)","41 Source Type",$C$5,"5 Source No.",$C1863,"4 Item Ledger Entry Type",$C$4,"2 Item No.","@@"&amp;$F1863,"3 Posting Date",U$9)+NL("Sum","5802 Value Entry","17 Sales Amount (Actual)","41 Source Type",$C$5,"5 Source no.",$C1863,"4 Item Ledger Entry Type",$C$4,"2 Item No.","@@"&amp;$F1863,"3 Posting Date",U$9)</t>
  </si>
  <si>
    <t>=-NL("Sum","5802 Value Entry","151 Cost Amount (Expected)","41 Source Type",$C$5,"5 Source No.",$C1863,"4 Item Ledger Entry Type",$C$4,"2 Item No.","@@"&amp;$F1863,"3 Posting Date",U$9)-NL("Sum","5802 Value Entry","43 Cost Amount (Actual)","41 Source Type",$C$5,"5 Source no.",$C1863,"4 Item Ledger Entry Type",$C$4,"2 Item No.","@@"&amp;$F1863,"3 Posting Date",U$9)</t>
  </si>
  <si>
    <t>=U1863-W1863</t>
  </si>
  <si>
    <t>=IF(U1863&lt;&gt;0,X1863/U1863,"")</t>
  </si>
  <si>
    <t>=NL("Sum","5802 Value Entry","150 Sales Amount (Expected)","41 Source Type",$C$5,"5 Source No.",$C1863,"4 Item Ledger Entry Type",$C$4,"2 Item No.","@@"&amp;$F1863,"3 Posting Date",Z$9)+NL("Sum","5802 Value Entry","17 Sales Amount (Actual)","41 Source Type",$C$5,"5 Source no.",$C1863,"4 Item Ledger Entry Type",$C$4,"2 Item No.","@@"&amp;$F1863,"3 Posting Date",Z$9)</t>
  </si>
  <si>
    <t>=-NL("Sum","5802 Value Entry","151 Cost Amount (Expected)","41 Source Type",$C$5,"5 Source No.",$C1863,"4 Item Ledger Entry Type",$C$4,"2 Item No.","@@"&amp;$F1863,"3 Posting Date",Z$9)-NL("Sum","5802 Value Entry","43 Cost Amount (Actual)","41 Source Type",$C$5,"5 Source no.",$C1863,"4 Item Ledger Entry Type",$C$4,"2 Item No.","@@"&amp;$F1863,"3 Posting Date",Z$9)</t>
  </si>
  <si>
    <t>=Z1863-AB1863</t>
  </si>
  <si>
    <t>=IF(Z1863&lt;&gt;0,AC1863/Z1863,"")</t>
  </si>
  <si>
    <t>=C1863</t>
  </si>
  <si>
    <t>=NL("Sum","5802 Value Entry","150 Sales Amount (Expected)","41 Source Type",$C$5,"5 Source No.",$C1864,"4 Item Ledger Entry Type",$C$4,"2 Item No.","@@"&amp;$F1864,"3 Posting Date",J$9)+NL("Sum","5802 Value Entry","17 Sales Amount (Actual)","41 Source Type",$C$5,"5 Source no.",$C1864,"4 Item Ledger Entry Type",$C$4,"2 Item No.","@@"&amp;$F1864,"3 Posting Date",J$9)</t>
  </si>
  <si>
    <t>=-NL("Sum","5802 Value Entry","151 Cost Amount (Expected)","41 Source Type",$C$5,"5 Source No.",$C1864,"4 Item Ledger Entry Type",$C$4,"2 Item No.","@@"&amp;$F1864,"3 Posting Date",J$9)-NL("Sum","5802 Value Entry","43 Cost Amount (Actual)","41 Source Type",$C$5,"5 Source no.",$C1864,"4 Item Ledger Entry Type",$C$4,"2 Item No.","@@"&amp;$F1864,"3 Posting Date",J$9)</t>
  </si>
  <si>
    <t>=J1864-L1864</t>
  </si>
  <si>
    <t>=IF(J1864&lt;&gt;0,M1864/J1864,"")</t>
  </si>
  <si>
    <t>=NL("Sum","5802 Value Entry","150 Sales Amount (Expected)","41 Source Type",$C$5,"5 Source No.",$C1864,"4 Item Ledger Entry Type",$C$4,"2 Item No.","@@"&amp;$F1864,"3 Posting Date",O$9)+NL("Sum","5802 Value Entry","17 Sales Amount (Actual)","41 Source Type",$C$5,"5 Source no.",$C1864,"4 Item Ledger Entry Type",$C$4,"2 Item No.","@@"&amp;$F1864,"3 Posting Date",O$9)</t>
  </si>
  <si>
    <t>=-NL("Sum","5802 Value Entry","151 Cost Amount (Expected)","41 Source Type",$C$5,"5 Source No.",$C1864,"4 Item Ledger Entry Type",$C$4,"2 Item No.","@@"&amp;$F1864,"3 Posting Date",O$9)-NL("Sum","5802 Value Entry","43 Cost Amount (Actual)","41 Source Type",$C$5,"5 Source no.",$C1864,"4 Item Ledger Entry Type",$C$4,"2 Item No.","@@"&amp;$F1864,"3 Posting Date",O$9)</t>
  </si>
  <si>
    <t>=O1864-Q1864</t>
  </si>
  <si>
    <t>=IF(O1864&lt;&gt;0,R1864/O1864,"")</t>
  </si>
  <si>
    <t>=NL("Sum","5802 Value Entry","150 Sales Amount (Expected)","41 Source Type",$C$5,"5 Source No.",$C1864,"4 Item Ledger Entry Type",$C$4,"2 Item No.","@@"&amp;$F1864,"3 Posting Date",U$9)+NL("Sum","5802 Value Entry","17 Sales Amount (Actual)","41 Source Type",$C$5,"5 Source no.",$C1864,"4 Item Ledger Entry Type",$C$4,"2 Item No.","@@"&amp;$F1864,"3 Posting Date",U$9)</t>
  </si>
  <si>
    <t>=-NL("Sum","5802 Value Entry","151 Cost Amount (Expected)","41 Source Type",$C$5,"5 Source No.",$C1864,"4 Item Ledger Entry Type",$C$4,"2 Item No.","@@"&amp;$F1864,"3 Posting Date",U$9)-NL("Sum","5802 Value Entry","43 Cost Amount (Actual)","41 Source Type",$C$5,"5 Source no.",$C1864,"4 Item Ledger Entry Type",$C$4,"2 Item No.","@@"&amp;$F1864,"3 Posting Date",U$9)</t>
  </si>
  <si>
    <t>=U1864-W1864</t>
  </si>
  <si>
    <t>=IF(U1864&lt;&gt;0,X1864/U1864,"")</t>
  </si>
  <si>
    <t>=NL("Sum","5802 Value Entry","150 Sales Amount (Expected)","41 Source Type",$C$5,"5 Source No.",$C1864,"4 Item Ledger Entry Type",$C$4,"2 Item No.","@@"&amp;$F1864,"3 Posting Date",Z$9)+NL("Sum","5802 Value Entry","17 Sales Amount (Actual)","41 Source Type",$C$5,"5 Source no.",$C1864,"4 Item Ledger Entry Type",$C$4,"2 Item No.","@@"&amp;$F1864,"3 Posting Date",Z$9)</t>
  </si>
  <si>
    <t>=-NL("Sum","5802 Value Entry","151 Cost Amount (Expected)","41 Source Type",$C$5,"5 Source No.",$C1864,"4 Item Ledger Entry Type",$C$4,"2 Item No.","@@"&amp;$F1864,"3 Posting Date",Z$9)-NL("Sum","5802 Value Entry","43 Cost Amount (Actual)","41 Source Type",$C$5,"5 Source no.",$C1864,"4 Item Ledger Entry Type",$C$4,"2 Item No.","@@"&amp;$F1864,"3 Posting Date",Z$9)</t>
  </si>
  <si>
    <t>=Z1864-AB1864</t>
  </si>
  <si>
    <t>=IF(Z1864&lt;&gt;0,AC1864/Z1864,"")</t>
  </si>
  <si>
    <t>=C1864</t>
  </si>
  <si>
    <t>=NL("Sum","5802 Value Entry","150 Sales Amount (Expected)","41 Source Type",$C$5,"5 Source No.",$C1865,"4 Item Ledger Entry Type",$C$4,"2 Item No.","@@"&amp;$F1865,"3 Posting Date",J$9)+NL("Sum","5802 Value Entry","17 Sales Amount (Actual)","41 Source Type",$C$5,"5 Source no.",$C1865,"4 Item Ledger Entry Type",$C$4,"2 Item No.","@@"&amp;$F1865,"3 Posting Date",J$9)</t>
  </si>
  <si>
    <t>=-NL("Sum","5802 Value Entry","151 Cost Amount (Expected)","41 Source Type",$C$5,"5 Source No.",$C1865,"4 Item Ledger Entry Type",$C$4,"2 Item No.","@@"&amp;$F1865,"3 Posting Date",J$9)-NL("Sum","5802 Value Entry","43 Cost Amount (Actual)","41 Source Type",$C$5,"5 Source no.",$C1865,"4 Item Ledger Entry Type",$C$4,"2 Item No.","@@"&amp;$F1865,"3 Posting Date",J$9)</t>
  </si>
  <si>
    <t>=J1865-L1865</t>
  </si>
  <si>
    <t>=IF(J1865&lt;&gt;0,M1865/J1865,"")</t>
  </si>
  <si>
    <t>=NL("Sum","5802 Value Entry","150 Sales Amount (Expected)","41 Source Type",$C$5,"5 Source No.",$C1865,"4 Item Ledger Entry Type",$C$4,"2 Item No.","@@"&amp;$F1865,"3 Posting Date",O$9)+NL("Sum","5802 Value Entry","17 Sales Amount (Actual)","41 Source Type",$C$5,"5 Source no.",$C1865,"4 Item Ledger Entry Type",$C$4,"2 Item No.","@@"&amp;$F1865,"3 Posting Date",O$9)</t>
  </si>
  <si>
    <t>=-NL("Sum","5802 Value Entry","151 Cost Amount (Expected)","41 Source Type",$C$5,"5 Source No.",$C1865,"4 Item Ledger Entry Type",$C$4,"2 Item No.","@@"&amp;$F1865,"3 Posting Date",O$9)-NL("Sum","5802 Value Entry","43 Cost Amount (Actual)","41 Source Type",$C$5,"5 Source no.",$C1865,"4 Item Ledger Entry Type",$C$4,"2 Item No.","@@"&amp;$F1865,"3 Posting Date",O$9)</t>
  </si>
  <si>
    <t>=O1865-Q1865</t>
  </si>
  <si>
    <t>=IF(O1865&lt;&gt;0,R1865/O1865,"")</t>
  </si>
  <si>
    <t>=NL("Sum","5802 Value Entry","150 Sales Amount (Expected)","41 Source Type",$C$5,"5 Source No.",$C1865,"4 Item Ledger Entry Type",$C$4,"2 Item No.","@@"&amp;$F1865,"3 Posting Date",U$9)+NL("Sum","5802 Value Entry","17 Sales Amount (Actual)","41 Source Type",$C$5,"5 Source no.",$C1865,"4 Item Ledger Entry Type",$C$4,"2 Item No.","@@"&amp;$F1865,"3 Posting Date",U$9)</t>
  </si>
  <si>
    <t>=-NL("Sum","5802 Value Entry","151 Cost Amount (Expected)","41 Source Type",$C$5,"5 Source No.",$C1865,"4 Item Ledger Entry Type",$C$4,"2 Item No.","@@"&amp;$F1865,"3 Posting Date",U$9)-NL("Sum","5802 Value Entry","43 Cost Amount (Actual)","41 Source Type",$C$5,"5 Source no.",$C1865,"4 Item Ledger Entry Type",$C$4,"2 Item No.","@@"&amp;$F1865,"3 Posting Date",U$9)</t>
  </si>
  <si>
    <t>=U1865-W1865</t>
  </si>
  <si>
    <t>=IF(U1865&lt;&gt;0,X1865/U1865,"")</t>
  </si>
  <si>
    <t>=NL("Sum","5802 Value Entry","150 Sales Amount (Expected)","41 Source Type",$C$5,"5 Source No.",$C1865,"4 Item Ledger Entry Type",$C$4,"2 Item No.","@@"&amp;$F1865,"3 Posting Date",Z$9)+NL("Sum","5802 Value Entry","17 Sales Amount (Actual)","41 Source Type",$C$5,"5 Source no.",$C1865,"4 Item Ledger Entry Type",$C$4,"2 Item No.","@@"&amp;$F1865,"3 Posting Date",Z$9)</t>
  </si>
  <si>
    <t>=-NL("Sum","5802 Value Entry","151 Cost Amount (Expected)","41 Source Type",$C$5,"5 Source No.",$C1865,"4 Item Ledger Entry Type",$C$4,"2 Item No.","@@"&amp;$F1865,"3 Posting Date",Z$9)-NL("Sum","5802 Value Entry","43 Cost Amount (Actual)","41 Source Type",$C$5,"5 Source no.",$C1865,"4 Item Ledger Entry Type",$C$4,"2 Item No.","@@"&amp;$F1865,"3 Posting Date",Z$9)</t>
  </si>
  <si>
    <t>=Z1865-AB1865</t>
  </si>
  <si>
    <t>=IF(Z1865&lt;&gt;0,AC1865/Z1865,"")</t>
  </si>
  <si>
    <t>=C1865</t>
  </si>
  <si>
    <t>=NL("Sum","5802 Value Entry","150 Sales Amount (Expected)","41 Source Type",$C$5,"5 Source No.",$C1866,"4 Item Ledger Entry Type",$C$4,"2 Item No.","@@"&amp;$F1866,"3 Posting Date",J$9)+NL("Sum","5802 Value Entry","17 Sales Amount (Actual)","41 Source Type",$C$5,"5 Source no.",$C1866,"4 Item Ledger Entry Type",$C$4,"2 Item No.","@@"&amp;$F1866,"3 Posting Date",J$9)</t>
  </si>
  <si>
    <t>=-NL("Sum","5802 Value Entry","151 Cost Amount (Expected)","41 Source Type",$C$5,"5 Source No.",$C1866,"4 Item Ledger Entry Type",$C$4,"2 Item No.","@@"&amp;$F1866,"3 Posting Date",J$9)-NL("Sum","5802 Value Entry","43 Cost Amount (Actual)","41 Source Type",$C$5,"5 Source no.",$C1866,"4 Item Ledger Entry Type",$C$4,"2 Item No.","@@"&amp;$F1866,"3 Posting Date",J$9)</t>
  </si>
  <si>
    <t>=J1866-L1866</t>
  </si>
  <si>
    <t>=IF(J1866&lt;&gt;0,M1866/J1866,"")</t>
  </si>
  <si>
    <t>=NL("Sum","5802 Value Entry","150 Sales Amount (Expected)","41 Source Type",$C$5,"5 Source No.",$C1866,"4 Item Ledger Entry Type",$C$4,"2 Item No.","@@"&amp;$F1866,"3 Posting Date",O$9)+NL("Sum","5802 Value Entry","17 Sales Amount (Actual)","41 Source Type",$C$5,"5 Source no.",$C1866,"4 Item Ledger Entry Type",$C$4,"2 Item No.","@@"&amp;$F1866,"3 Posting Date",O$9)</t>
  </si>
  <si>
    <t>=-NL("Sum","5802 Value Entry","151 Cost Amount (Expected)","41 Source Type",$C$5,"5 Source No.",$C1866,"4 Item Ledger Entry Type",$C$4,"2 Item No.","@@"&amp;$F1866,"3 Posting Date",O$9)-NL("Sum","5802 Value Entry","43 Cost Amount (Actual)","41 Source Type",$C$5,"5 Source no.",$C1866,"4 Item Ledger Entry Type",$C$4,"2 Item No.","@@"&amp;$F1866,"3 Posting Date",O$9)</t>
  </si>
  <si>
    <t>=O1866-Q1866</t>
  </si>
  <si>
    <t>=IF(O1866&lt;&gt;0,R1866/O1866,"")</t>
  </si>
  <si>
    <t>=NL("Sum","5802 Value Entry","150 Sales Amount (Expected)","41 Source Type",$C$5,"5 Source No.",$C1866,"4 Item Ledger Entry Type",$C$4,"2 Item No.","@@"&amp;$F1866,"3 Posting Date",U$9)+NL("Sum","5802 Value Entry","17 Sales Amount (Actual)","41 Source Type",$C$5,"5 Source no.",$C1866,"4 Item Ledger Entry Type",$C$4,"2 Item No.","@@"&amp;$F1866,"3 Posting Date",U$9)</t>
  </si>
  <si>
    <t>=-NL("Sum","5802 Value Entry","151 Cost Amount (Expected)","41 Source Type",$C$5,"5 Source No.",$C1866,"4 Item Ledger Entry Type",$C$4,"2 Item No.","@@"&amp;$F1866,"3 Posting Date",U$9)-NL("Sum","5802 Value Entry","43 Cost Amount (Actual)","41 Source Type",$C$5,"5 Source no.",$C1866,"4 Item Ledger Entry Type",$C$4,"2 Item No.","@@"&amp;$F1866,"3 Posting Date",U$9)</t>
  </si>
  <si>
    <t>=U1866-W1866</t>
  </si>
  <si>
    <t>=IF(U1866&lt;&gt;0,X1866/U1866,"")</t>
  </si>
  <si>
    <t>=NL("Sum","5802 Value Entry","150 Sales Amount (Expected)","41 Source Type",$C$5,"5 Source No.",$C1866,"4 Item Ledger Entry Type",$C$4,"2 Item No.","@@"&amp;$F1866,"3 Posting Date",Z$9)+NL("Sum","5802 Value Entry","17 Sales Amount (Actual)","41 Source Type",$C$5,"5 Source no.",$C1866,"4 Item Ledger Entry Type",$C$4,"2 Item No.","@@"&amp;$F1866,"3 Posting Date",Z$9)</t>
  </si>
  <si>
    <t>=-NL("Sum","5802 Value Entry","151 Cost Amount (Expected)","41 Source Type",$C$5,"5 Source No.",$C1866,"4 Item Ledger Entry Type",$C$4,"2 Item No.","@@"&amp;$F1866,"3 Posting Date",Z$9)-NL("Sum","5802 Value Entry","43 Cost Amount (Actual)","41 Source Type",$C$5,"5 Source no.",$C1866,"4 Item Ledger Entry Type",$C$4,"2 Item No.","@@"&amp;$F1866,"3 Posting Date",Z$9)</t>
  </si>
  <si>
    <t>=Z1866-AB1866</t>
  </si>
  <si>
    <t>=IF(Z1866&lt;&gt;0,AC1866/Z1866,"")</t>
  </si>
  <si>
    <t>=C1866</t>
  </si>
  <si>
    <t>=NL("Sum","5802 Value Entry","150 Sales Amount (Expected)","41 Source Type",$C$5,"5 Source No.",$C1867,"4 Item Ledger Entry Type",$C$4,"2 Item No.","@@"&amp;$F1867,"3 Posting Date",J$9)+NL("Sum","5802 Value Entry","17 Sales Amount (Actual)","41 Source Type",$C$5,"5 Source no.",$C1867,"4 Item Ledger Entry Type",$C$4,"2 Item No.","@@"&amp;$F1867,"3 Posting Date",J$9)</t>
  </si>
  <si>
    <t>=-NL("Sum","5802 Value Entry","151 Cost Amount (Expected)","41 Source Type",$C$5,"5 Source No.",$C1867,"4 Item Ledger Entry Type",$C$4,"2 Item No.","@@"&amp;$F1867,"3 Posting Date",J$9)-NL("Sum","5802 Value Entry","43 Cost Amount (Actual)","41 Source Type",$C$5,"5 Source no.",$C1867,"4 Item Ledger Entry Type",$C$4,"2 Item No.","@@"&amp;$F1867,"3 Posting Date",J$9)</t>
  </si>
  <si>
    <t>=J1867-L1867</t>
  </si>
  <si>
    <t>=IF(J1867&lt;&gt;0,M1867/J1867,"")</t>
  </si>
  <si>
    <t>=NL("Sum","5802 Value Entry","150 Sales Amount (Expected)","41 Source Type",$C$5,"5 Source No.",$C1867,"4 Item Ledger Entry Type",$C$4,"2 Item No.","@@"&amp;$F1867,"3 Posting Date",O$9)+NL("Sum","5802 Value Entry","17 Sales Amount (Actual)","41 Source Type",$C$5,"5 Source no.",$C1867,"4 Item Ledger Entry Type",$C$4,"2 Item No.","@@"&amp;$F1867,"3 Posting Date",O$9)</t>
  </si>
  <si>
    <t>=-NL("Sum","5802 Value Entry","151 Cost Amount (Expected)","41 Source Type",$C$5,"5 Source No.",$C1867,"4 Item Ledger Entry Type",$C$4,"2 Item No.","@@"&amp;$F1867,"3 Posting Date",O$9)-NL("Sum","5802 Value Entry","43 Cost Amount (Actual)","41 Source Type",$C$5,"5 Source no.",$C1867,"4 Item Ledger Entry Type",$C$4,"2 Item No.","@@"&amp;$F1867,"3 Posting Date",O$9)</t>
  </si>
  <si>
    <t>=O1867-Q1867</t>
  </si>
  <si>
    <t>=IF(O1867&lt;&gt;0,R1867/O1867,"")</t>
  </si>
  <si>
    <t>=NL("Sum","5802 Value Entry","150 Sales Amount (Expected)","41 Source Type",$C$5,"5 Source No.",$C1867,"4 Item Ledger Entry Type",$C$4,"2 Item No.","@@"&amp;$F1867,"3 Posting Date",U$9)+NL("Sum","5802 Value Entry","17 Sales Amount (Actual)","41 Source Type",$C$5,"5 Source no.",$C1867,"4 Item Ledger Entry Type",$C$4,"2 Item No.","@@"&amp;$F1867,"3 Posting Date",U$9)</t>
  </si>
  <si>
    <t>=-NL("Sum","5802 Value Entry","151 Cost Amount (Expected)","41 Source Type",$C$5,"5 Source No.",$C1867,"4 Item Ledger Entry Type",$C$4,"2 Item No.","@@"&amp;$F1867,"3 Posting Date",U$9)-NL("Sum","5802 Value Entry","43 Cost Amount (Actual)","41 Source Type",$C$5,"5 Source no.",$C1867,"4 Item Ledger Entry Type",$C$4,"2 Item No.","@@"&amp;$F1867,"3 Posting Date",U$9)</t>
  </si>
  <si>
    <t>=U1867-W1867</t>
  </si>
  <si>
    <t>=IF(U1867&lt;&gt;0,X1867/U1867,"")</t>
  </si>
  <si>
    <t>=NL("Sum","5802 Value Entry","150 Sales Amount (Expected)","41 Source Type",$C$5,"5 Source No.",$C1867,"4 Item Ledger Entry Type",$C$4,"2 Item No.","@@"&amp;$F1867,"3 Posting Date",Z$9)+NL("Sum","5802 Value Entry","17 Sales Amount (Actual)","41 Source Type",$C$5,"5 Source no.",$C1867,"4 Item Ledger Entry Type",$C$4,"2 Item No.","@@"&amp;$F1867,"3 Posting Date",Z$9)</t>
  </si>
  <si>
    <t>=-NL("Sum","5802 Value Entry","151 Cost Amount (Expected)","41 Source Type",$C$5,"5 Source No.",$C1867,"4 Item Ledger Entry Type",$C$4,"2 Item No.","@@"&amp;$F1867,"3 Posting Date",Z$9)-NL("Sum","5802 Value Entry","43 Cost Amount (Actual)","41 Source Type",$C$5,"5 Source no.",$C1867,"4 Item Ledger Entry Type",$C$4,"2 Item No.","@@"&amp;$F1867,"3 Posting Date",Z$9)</t>
  </si>
  <si>
    <t>=Z1867-AB1867</t>
  </si>
  <si>
    <t>=IF(Z1867&lt;&gt;0,AC1867/Z1867,"")</t>
  </si>
  <si>
    <t>=C1867</t>
  </si>
  <si>
    <t>=NL("Sum","5802 Value Entry","150 Sales Amount (Expected)","41 Source Type",$C$5,"5 Source No.",$C1868,"4 Item Ledger Entry Type",$C$4,"2 Item No.","@@"&amp;$F1868,"3 Posting Date",J$9)+NL("Sum","5802 Value Entry","17 Sales Amount (Actual)","41 Source Type",$C$5,"5 Source no.",$C1868,"4 Item Ledger Entry Type",$C$4,"2 Item No.","@@"&amp;$F1868,"3 Posting Date",J$9)</t>
  </si>
  <si>
    <t>=-NL("Sum","5802 Value Entry","151 Cost Amount (Expected)","41 Source Type",$C$5,"5 Source No.",$C1868,"4 Item Ledger Entry Type",$C$4,"2 Item No.","@@"&amp;$F1868,"3 Posting Date",J$9)-NL("Sum","5802 Value Entry","43 Cost Amount (Actual)","41 Source Type",$C$5,"5 Source no.",$C1868,"4 Item Ledger Entry Type",$C$4,"2 Item No.","@@"&amp;$F1868,"3 Posting Date",J$9)</t>
  </si>
  <si>
    <t>=J1868-L1868</t>
  </si>
  <si>
    <t>=IF(J1868&lt;&gt;0,M1868/J1868,"")</t>
  </si>
  <si>
    <t>=NL("Sum","5802 Value Entry","150 Sales Amount (Expected)","41 Source Type",$C$5,"5 Source No.",$C1868,"4 Item Ledger Entry Type",$C$4,"2 Item No.","@@"&amp;$F1868,"3 Posting Date",O$9)+NL("Sum","5802 Value Entry","17 Sales Amount (Actual)","41 Source Type",$C$5,"5 Source no.",$C1868,"4 Item Ledger Entry Type",$C$4,"2 Item No.","@@"&amp;$F1868,"3 Posting Date",O$9)</t>
  </si>
  <si>
    <t>=-NL("Sum","5802 Value Entry","151 Cost Amount (Expected)","41 Source Type",$C$5,"5 Source No.",$C1868,"4 Item Ledger Entry Type",$C$4,"2 Item No.","@@"&amp;$F1868,"3 Posting Date",O$9)-NL("Sum","5802 Value Entry","43 Cost Amount (Actual)","41 Source Type",$C$5,"5 Source no.",$C1868,"4 Item Ledger Entry Type",$C$4,"2 Item No.","@@"&amp;$F1868,"3 Posting Date",O$9)</t>
  </si>
  <si>
    <t>=O1868-Q1868</t>
  </si>
  <si>
    <t>=IF(O1868&lt;&gt;0,R1868/O1868,"")</t>
  </si>
  <si>
    <t>=NL("Sum","5802 Value Entry","150 Sales Amount (Expected)","41 Source Type",$C$5,"5 Source No.",$C1868,"4 Item Ledger Entry Type",$C$4,"2 Item No.","@@"&amp;$F1868,"3 Posting Date",U$9)+NL("Sum","5802 Value Entry","17 Sales Amount (Actual)","41 Source Type",$C$5,"5 Source no.",$C1868,"4 Item Ledger Entry Type",$C$4,"2 Item No.","@@"&amp;$F1868,"3 Posting Date",U$9)</t>
  </si>
  <si>
    <t>=-NL("Sum","5802 Value Entry","151 Cost Amount (Expected)","41 Source Type",$C$5,"5 Source No.",$C1868,"4 Item Ledger Entry Type",$C$4,"2 Item No.","@@"&amp;$F1868,"3 Posting Date",U$9)-NL("Sum","5802 Value Entry","43 Cost Amount (Actual)","41 Source Type",$C$5,"5 Source no.",$C1868,"4 Item Ledger Entry Type",$C$4,"2 Item No.","@@"&amp;$F1868,"3 Posting Date",U$9)</t>
  </si>
  <si>
    <t>=U1868-W1868</t>
  </si>
  <si>
    <t>=IF(U1868&lt;&gt;0,X1868/U1868,"")</t>
  </si>
  <si>
    <t>=NL("Sum","5802 Value Entry","150 Sales Amount (Expected)","41 Source Type",$C$5,"5 Source No.",$C1868,"4 Item Ledger Entry Type",$C$4,"2 Item No.","@@"&amp;$F1868,"3 Posting Date",Z$9)+NL("Sum","5802 Value Entry","17 Sales Amount (Actual)","41 Source Type",$C$5,"5 Source no.",$C1868,"4 Item Ledger Entry Type",$C$4,"2 Item No.","@@"&amp;$F1868,"3 Posting Date",Z$9)</t>
  </si>
  <si>
    <t>=-NL("Sum","5802 Value Entry","151 Cost Amount (Expected)","41 Source Type",$C$5,"5 Source No.",$C1868,"4 Item Ledger Entry Type",$C$4,"2 Item No.","@@"&amp;$F1868,"3 Posting Date",Z$9)-NL("Sum","5802 Value Entry","43 Cost Amount (Actual)","41 Source Type",$C$5,"5 Source no.",$C1868,"4 Item Ledger Entry Type",$C$4,"2 Item No.","@@"&amp;$F1868,"3 Posting Date",Z$9)</t>
  </si>
  <si>
    <t>=Z1868-AB1868</t>
  </si>
  <si>
    <t>=IF(Z1868&lt;&gt;0,AC1868/Z1868,"")</t>
  </si>
  <si>
    <t>=C1868</t>
  </si>
  <si>
    <t>=NL("Sum","5802 Value Entry","150 Sales Amount (Expected)","41 Source Type",$C$5,"5 Source No.",$C1869,"4 Item Ledger Entry Type",$C$4,"2 Item No.","@@"&amp;$F1869,"3 Posting Date",J$9)+NL("Sum","5802 Value Entry","17 Sales Amount (Actual)","41 Source Type",$C$5,"5 Source no.",$C1869,"4 Item Ledger Entry Type",$C$4,"2 Item No.","@@"&amp;$F1869,"3 Posting Date",J$9)</t>
  </si>
  <si>
    <t>=-NL("Sum","5802 Value Entry","151 Cost Amount (Expected)","41 Source Type",$C$5,"5 Source No.",$C1869,"4 Item Ledger Entry Type",$C$4,"2 Item No.","@@"&amp;$F1869,"3 Posting Date",J$9)-NL("Sum","5802 Value Entry","43 Cost Amount (Actual)","41 Source Type",$C$5,"5 Source no.",$C1869,"4 Item Ledger Entry Type",$C$4,"2 Item No.","@@"&amp;$F1869,"3 Posting Date",J$9)</t>
  </si>
  <si>
    <t>=J1869-L1869</t>
  </si>
  <si>
    <t>=IF(J1869&lt;&gt;0,M1869/J1869,"")</t>
  </si>
  <si>
    <t>=NL("Sum","5802 Value Entry","150 Sales Amount (Expected)","41 Source Type",$C$5,"5 Source No.",$C1869,"4 Item Ledger Entry Type",$C$4,"2 Item No.","@@"&amp;$F1869,"3 Posting Date",O$9)+NL("Sum","5802 Value Entry","17 Sales Amount (Actual)","41 Source Type",$C$5,"5 Source no.",$C1869,"4 Item Ledger Entry Type",$C$4,"2 Item No.","@@"&amp;$F1869,"3 Posting Date",O$9)</t>
  </si>
  <si>
    <t>=-NL("Sum","5802 Value Entry","151 Cost Amount (Expected)","41 Source Type",$C$5,"5 Source No.",$C1869,"4 Item Ledger Entry Type",$C$4,"2 Item No.","@@"&amp;$F1869,"3 Posting Date",O$9)-NL("Sum","5802 Value Entry","43 Cost Amount (Actual)","41 Source Type",$C$5,"5 Source no.",$C1869,"4 Item Ledger Entry Type",$C$4,"2 Item No.","@@"&amp;$F1869,"3 Posting Date",O$9)</t>
  </si>
  <si>
    <t>=O1869-Q1869</t>
  </si>
  <si>
    <t>=IF(O1869&lt;&gt;0,R1869/O1869,"")</t>
  </si>
  <si>
    <t>=NL("Sum","5802 Value Entry","150 Sales Amount (Expected)","41 Source Type",$C$5,"5 Source No.",$C1869,"4 Item Ledger Entry Type",$C$4,"2 Item No.","@@"&amp;$F1869,"3 Posting Date",U$9)+NL("Sum","5802 Value Entry","17 Sales Amount (Actual)","41 Source Type",$C$5,"5 Source no.",$C1869,"4 Item Ledger Entry Type",$C$4,"2 Item No.","@@"&amp;$F1869,"3 Posting Date",U$9)</t>
  </si>
  <si>
    <t>=-NL("Sum","5802 Value Entry","151 Cost Amount (Expected)","41 Source Type",$C$5,"5 Source No.",$C1869,"4 Item Ledger Entry Type",$C$4,"2 Item No.","@@"&amp;$F1869,"3 Posting Date",U$9)-NL("Sum","5802 Value Entry","43 Cost Amount (Actual)","41 Source Type",$C$5,"5 Source no.",$C1869,"4 Item Ledger Entry Type",$C$4,"2 Item No.","@@"&amp;$F1869,"3 Posting Date",U$9)</t>
  </si>
  <si>
    <t>=U1869-W1869</t>
  </si>
  <si>
    <t>=IF(U1869&lt;&gt;0,X1869/U1869,"")</t>
  </si>
  <si>
    <t>=NL("Sum","5802 Value Entry","150 Sales Amount (Expected)","41 Source Type",$C$5,"5 Source No.",$C1869,"4 Item Ledger Entry Type",$C$4,"2 Item No.","@@"&amp;$F1869,"3 Posting Date",Z$9)+NL("Sum","5802 Value Entry","17 Sales Amount (Actual)","41 Source Type",$C$5,"5 Source no.",$C1869,"4 Item Ledger Entry Type",$C$4,"2 Item No.","@@"&amp;$F1869,"3 Posting Date",Z$9)</t>
  </si>
  <si>
    <t>=-NL("Sum","5802 Value Entry","151 Cost Amount (Expected)","41 Source Type",$C$5,"5 Source No.",$C1869,"4 Item Ledger Entry Type",$C$4,"2 Item No.","@@"&amp;$F1869,"3 Posting Date",Z$9)-NL("Sum","5802 Value Entry","43 Cost Amount (Actual)","41 Source Type",$C$5,"5 Source no.",$C1869,"4 Item Ledger Entry Type",$C$4,"2 Item No.","@@"&amp;$F1869,"3 Posting Date",Z$9)</t>
  </si>
  <si>
    <t>=Z1869-AB1869</t>
  </si>
  <si>
    <t>=IF(Z1869&lt;&gt;0,AC1869/Z1869,"")</t>
  </si>
  <si>
    <t>=C1869</t>
  </si>
  <si>
    <t>=NL("Sum","5802 Value Entry","150 Sales Amount (Expected)","41 Source Type",$C$5,"5 Source No.",$C1870,"4 Item Ledger Entry Type",$C$4,"2 Item No.","@@"&amp;$F1870,"3 Posting Date",J$9)+NL("Sum","5802 Value Entry","17 Sales Amount (Actual)","41 Source Type",$C$5,"5 Source no.",$C1870,"4 Item Ledger Entry Type",$C$4,"2 Item No.","@@"&amp;$F1870,"3 Posting Date",J$9)</t>
  </si>
  <si>
    <t>=-NL("Sum","5802 Value Entry","151 Cost Amount (Expected)","41 Source Type",$C$5,"5 Source No.",$C1870,"4 Item Ledger Entry Type",$C$4,"2 Item No.","@@"&amp;$F1870,"3 Posting Date",J$9)-NL("Sum","5802 Value Entry","43 Cost Amount (Actual)","41 Source Type",$C$5,"5 Source no.",$C1870,"4 Item Ledger Entry Type",$C$4,"2 Item No.","@@"&amp;$F1870,"3 Posting Date",J$9)</t>
  </si>
  <si>
    <t>=J1870-L1870</t>
  </si>
  <si>
    <t>=IF(J1870&lt;&gt;0,M1870/J1870,"")</t>
  </si>
  <si>
    <t>=NL("Sum","5802 Value Entry","150 Sales Amount (Expected)","41 Source Type",$C$5,"5 Source No.",$C1870,"4 Item Ledger Entry Type",$C$4,"2 Item No.","@@"&amp;$F1870,"3 Posting Date",O$9)+NL("Sum","5802 Value Entry","17 Sales Amount (Actual)","41 Source Type",$C$5,"5 Source no.",$C1870,"4 Item Ledger Entry Type",$C$4,"2 Item No.","@@"&amp;$F1870,"3 Posting Date",O$9)</t>
  </si>
  <si>
    <t>=-NL("Sum","5802 Value Entry","151 Cost Amount (Expected)","41 Source Type",$C$5,"5 Source No.",$C1870,"4 Item Ledger Entry Type",$C$4,"2 Item No.","@@"&amp;$F1870,"3 Posting Date",O$9)-NL("Sum","5802 Value Entry","43 Cost Amount (Actual)","41 Source Type",$C$5,"5 Source no.",$C1870,"4 Item Ledger Entry Type",$C$4,"2 Item No.","@@"&amp;$F1870,"3 Posting Date",O$9)</t>
  </si>
  <si>
    <t>=O1870-Q1870</t>
  </si>
  <si>
    <t>=IF(O1870&lt;&gt;0,R1870/O1870,"")</t>
  </si>
  <si>
    <t>=NL("Sum","5802 Value Entry","150 Sales Amount (Expected)","41 Source Type",$C$5,"5 Source No.",$C1870,"4 Item Ledger Entry Type",$C$4,"2 Item No.","@@"&amp;$F1870,"3 Posting Date",U$9)+NL("Sum","5802 Value Entry","17 Sales Amount (Actual)","41 Source Type",$C$5,"5 Source no.",$C1870,"4 Item Ledger Entry Type",$C$4,"2 Item No.","@@"&amp;$F1870,"3 Posting Date",U$9)</t>
  </si>
  <si>
    <t>=-NL("Sum","5802 Value Entry","151 Cost Amount (Expected)","41 Source Type",$C$5,"5 Source No.",$C1870,"4 Item Ledger Entry Type",$C$4,"2 Item No.","@@"&amp;$F1870,"3 Posting Date",U$9)-NL("Sum","5802 Value Entry","43 Cost Amount (Actual)","41 Source Type",$C$5,"5 Source no.",$C1870,"4 Item Ledger Entry Type",$C$4,"2 Item No.","@@"&amp;$F1870,"3 Posting Date",U$9)</t>
  </si>
  <si>
    <t>=U1870-W1870</t>
  </si>
  <si>
    <t>=IF(U1870&lt;&gt;0,X1870/U1870,"")</t>
  </si>
  <si>
    <t>=NL("Sum","5802 Value Entry","150 Sales Amount (Expected)","41 Source Type",$C$5,"5 Source No.",$C1870,"4 Item Ledger Entry Type",$C$4,"2 Item No.","@@"&amp;$F1870,"3 Posting Date",Z$9)+NL("Sum","5802 Value Entry","17 Sales Amount (Actual)","41 Source Type",$C$5,"5 Source no.",$C1870,"4 Item Ledger Entry Type",$C$4,"2 Item No.","@@"&amp;$F1870,"3 Posting Date",Z$9)</t>
  </si>
  <si>
    <t>=-NL("Sum","5802 Value Entry","151 Cost Amount (Expected)","41 Source Type",$C$5,"5 Source No.",$C1870,"4 Item Ledger Entry Type",$C$4,"2 Item No.","@@"&amp;$F1870,"3 Posting Date",Z$9)-NL("Sum","5802 Value Entry","43 Cost Amount (Actual)","41 Source Type",$C$5,"5 Source no.",$C1870,"4 Item Ledger Entry Type",$C$4,"2 Item No.","@@"&amp;$F1870,"3 Posting Date",Z$9)</t>
  </si>
  <si>
    <t>=Z1870-AB1870</t>
  </si>
  <si>
    <t>=IF(Z1870&lt;&gt;0,AC1870/Z1870,"")</t>
  </si>
  <si>
    <t>=C1870</t>
  </si>
  <si>
    <t>=NL("Sum","5802 Value Entry","150 Sales Amount (Expected)","41 Source Type",$C$5,"5 Source No.",$C1871,"4 Item Ledger Entry Type",$C$4,"2 Item No.","@@"&amp;$F1871,"3 Posting Date",J$9)+NL("Sum","5802 Value Entry","17 Sales Amount (Actual)","41 Source Type",$C$5,"5 Source no.",$C1871,"4 Item Ledger Entry Type",$C$4,"2 Item No.","@@"&amp;$F1871,"3 Posting Date",J$9)</t>
  </si>
  <si>
    <t>=-NL("Sum","5802 Value Entry","151 Cost Amount (Expected)","41 Source Type",$C$5,"5 Source No.",$C1871,"4 Item Ledger Entry Type",$C$4,"2 Item No.","@@"&amp;$F1871,"3 Posting Date",J$9)-NL("Sum","5802 Value Entry","43 Cost Amount (Actual)","41 Source Type",$C$5,"5 Source no.",$C1871,"4 Item Ledger Entry Type",$C$4,"2 Item No.","@@"&amp;$F1871,"3 Posting Date",J$9)</t>
  </si>
  <si>
    <t>=J1871-L1871</t>
  </si>
  <si>
    <t>=IF(J1871&lt;&gt;0,M1871/J1871,"")</t>
  </si>
  <si>
    <t>=NL("Sum","5802 Value Entry","150 Sales Amount (Expected)","41 Source Type",$C$5,"5 Source No.",$C1871,"4 Item Ledger Entry Type",$C$4,"2 Item No.","@@"&amp;$F1871,"3 Posting Date",O$9)+NL("Sum","5802 Value Entry","17 Sales Amount (Actual)","41 Source Type",$C$5,"5 Source no.",$C1871,"4 Item Ledger Entry Type",$C$4,"2 Item No.","@@"&amp;$F1871,"3 Posting Date",O$9)</t>
  </si>
  <si>
    <t>=-NL("Sum","5802 Value Entry","151 Cost Amount (Expected)","41 Source Type",$C$5,"5 Source No.",$C1871,"4 Item Ledger Entry Type",$C$4,"2 Item No.","@@"&amp;$F1871,"3 Posting Date",O$9)-NL("Sum","5802 Value Entry","43 Cost Amount (Actual)","41 Source Type",$C$5,"5 Source no.",$C1871,"4 Item Ledger Entry Type",$C$4,"2 Item No.","@@"&amp;$F1871,"3 Posting Date",O$9)</t>
  </si>
  <si>
    <t>=O1871-Q1871</t>
  </si>
  <si>
    <t>=IF(O1871&lt;&gt;0,R1871/O1871,"")</t>
  </si>
  <si>
    <t>=NL("Sum","5802 Value Entry","150 Sales Amount (Expected)","41 Source Type",$C$5,"5 Source No.",$C1871,"4 Item Ledger Entry Type",$C$4,"2 Item No.","@@"&amp;$F1871,"3 Posting Date",U$9)+NL("Sum","5802 Value Entry","17 Sales Amount (Actual)","41 Source Type",$C$5,"5 Source no.",$C1871,"4 Item Ledger Entry Type",$C$4,"2 Item No.","@@"&amp;$F1871,"3 Posting Date",U$9)</t>
  </si>
  <si>
    <t>=-NL("Sum","5802 Value Entry","151 Cost Amount (Expected)","41 Source Type",$C$5,"5 Source No.",$C1871,"4 Item Ledger Entry Type",$C$4,"2 Item No.","@@"&amp;$F1871,"3 Posting Date",U$9)-NL("Sum","5802 Value Entry","43 Cost Amount (Actual)","41 Source Type",$C$5,"5 Source no.",$C1871,"4 Item Ledger Entry Type",$C$4,"2 Item No.","@@"&amp;$F1871,"3 Posting Date",U$9)</t>
  </si>
  <si>
    <t>=U1871-W1871</t>
  </si>
  <si>
    <t>=IF(U1871&lt;&gt;0,X1871/U1871,"")</t>
  </si>
  <si>
    <t>=NL("Sum","5802 Value Entry","150 Sales Amount (Expected)","41 Source Type",$C$5,"5 Source No.",$C1871,"4 Item Ledger Entry Type",$C$4,"2 Item No.","@@"&amp;$F1871,"3 Posting Date",Z$9)+NL("Sum","5802 Value Entry","17 Sales Amount (Actual)","41 Source Type",$C$5,"5 Source no.",$C1871,"4 Item Ledger Entry Type",$C$4,"2 Item No.","@@"&amp;$F1871,"3 Posting Date",Z$9)</t>
  </si>
  <si>
    <t>=-NL("Sum","5802 Value Entry","151 Cost Amount (Expected)","41 Source Type",$C$5,"5 Source No.",$C1871,"4 Item Ledger Entry Type",$C$4,"2 Item No.","@@"&amp;$F1871,"3 Posting Date",Z$9)-NL("Sum","5802 Value Entry","43 Cost Amount (Actual)","41 Source Type",$C$5,"5 Source no.",$C1871,"4 Item Ledger Entry Type",$C$4,"2 Item No.","@@"&amp;$F1871,"3 Posting Date",Z$9)</t>
  </si>
  <si>
    <t>=Z1871-AB1871</t>
  </si>
  <si>
    <t>=IF(Z1871&lt;&gt;0,AC1871/Z1871,"")</t>
  </si>
  <si>
    <t>=C1871</t>
  </si>
  <si>
    <t>=NL("Sum","5802 Value Entry","150 Sales Amount (Expected)","41 Source Type",$C$5,"5 Source No.",$C1872,"4 Item Ledger Entry Type",$C$4,"2 Item No.","@@"&amp;$F1872,"3 Posting Date",J$9)+NL("Sum","5802 Value Entry","17 Sales Amount (Actual)","41 Source Type",$C$5,"5 Source no.",$C1872,"4 Item Ledger Entry Type",$C$4,"2 Item No.","@@"&amp;$F1872,"3 Posting Date",J$9)</t>
  </si>
  <si>
    <t>=-NL("Sum","5802 Value Entry","151 Cost Amount (Expected)","41 Source Type",$C$5,"5 Source No.",$C1872,"4 Item Ledger Entry Type",$C$4,"2 Item No.","@@"&amp;$F1872,"3 Posting Date",J$9)-NL("Sum","5802 Value Entry","43 Cost Amount (Actual)","41 Source Type",$C$5,"5 Source no.",$C1872,"4 Item Ledger Entry Type",$C$4,"2 Item No.","@@"&amp;$F1872,"3 Posting Date",J$9)</t>
  </si>
  <si>
    <t>=J1872-L1872</t>
  </si>
  <si>
    <t>=IF(J1872&lt;&gt;0,M1872/J1872,"")</t>
  </si>
  <si>
    <t>=NL("Sum","5802 Value Entry","150 Sales Amount (Expected)","41 Source Type",$C$5,"5 Source No.",$C1872,"4 Item Ledger Entry Type",$C$4,"2 Item No.","@@"&amp;$F1872,"3 Posting Date",O$9)+NL("Sum","5802 Value Entry","17 Sales Amount (Actual)","41 Source Type",$C$5,"5 Source no.",$C1872,"4 Item Ledger Entry Type",$C$4,"2 Item No.","@@"&amp;$F1872,"3 Posting Date",O$9)</t>
  </si>
  <si>
    <t>=-NL("Sum","5802 Value Entry","151 Cost Amount (Expected)","41 Source Type",$C$5,"5 Source No.",$C1872,"4 Item Ledger Entry Type",$C$4,"2 Item No.","@@"&amp;$F1872,"3 Posting Date",O$9)-NL("Sum","5802 Value Entry","43 Cost Amount (Actual)","41 Source Type",$C$5,"5 Source no.",$C1872,"4 Item Ledger Entry Type",$C$4,"2 Item No.","@@"&amp;$F1872,"3 Posting Date",O$9)</t>
  </si>
  <si>
    <t>=O1872-Q1872</t>
  </si>
  <si>
    <t>=IF(O1872&lt;&gt;0,R1872/O1872,"")</t>
  </si>
  <si>
    <t>=NL("Sum","5802 Value Entry","150 Sales Amount (Expected)","41 Source Type",$C$5,"5 Source No.",$C1872,"4 Item Ledger Entry Type",$C$4,"2 Item No.","@@"&amp;$F1872,"3 Posting Date",U$9)+NL("Sum","5802 Value Entry","17 Sales Amount (Actual)","41 Source Type",$C$5,"5 Source no.",$C1872,"4 Item Ledger Entry Type",$C$4,"2 Item No.","@@"&amp;$F1872,"3 Posting Date",U$9)</t>
  </si>
  <si>
    <t>=-NL("Sum","5802 Value Entry","151 Cost Amount (Expected)","41 Source Type",$C$5,"5 Source No.",$C1872,"4 Item Ledger Entry Type",$C$4,"2 Item No.","@@"&amp;$F1872,"3 Posting Date",U$9)-NL("Sum","5802 Value Entry","43 Cost Amount (Actual)","41 Source Type",$C$5,"5 Source no.",$C1872,"4 Item Ledger Entry Type",$C$4,"2 Item No.","@@"&amp;$F1872,"3 Posting Date",U$9)</t>
  </si>
  <si>
    <t>=U1872-W1872</t>
  </si>
  <si>
    <t>=IF(U1872&lt;&gt;0,X1872/U1872,"")</t>
  </si>
  <si>
    <t>=NL("Sum","5802 Value Entry","150 Sales Amount (Expected)","41 Source Type",$C$5,"5 Source No.",$C1872,"4 Item Ledger Entry Type",$C$4,"2 Item No.","@@"&amp;$F1872,"3 Posting Date",Z$9)+NL("Sum","5802 Value Entry","17 Sales Amount (Actual)","41 Source Type",$C$5,"5 Source no.",$C1872,"4 Item Ledger Entry Type",$C$4,"2 Item No.","@@"&amp;$F1872,"3 Posting Date",Z$9)</t>
  </si>
  <si>
    <t>=-NL("Sum","5802 Value Entry","151 Cost Amount (Expected)","41 Source Type",$C$5,"5 Source No.",$C1872,"4 Item Ledger Entry Type",$C$4,"2 Item No.","@@"&amp;$F1872,"3 Posting Date",Z$9)-NL("Sum","5802 Value Entry","43 Cost Amount (Actual)","41 Source Type",$C$5,"5 Source no.",$C1872,"4 Item Ledger Entry Type",$C$4,"2 Item No.","@@"&amp;$F1872,"3 Posting Date",Z$9)</t>
  </si>
  <si>
    <t>=Z1872-AB1872</t>
  </si>
  <si>
    <t>=IF(Z1872&lt;&gt;0,AC1872/Z1872,"")</t>
  </si>
  <si>
    <t>=C1872</t>
  </si>
  <si>
    <t>=NL("Sum","5802 Value Entry","150 Sales Amount (Expected)","41 Source Type",$C$5,"5 Source No.",$C1873,"4 Item Ledger Entry Type",$C$4,"2 Item No.","@@"&amp;$F1873,"3 Posting Date",J$9)+NL("Sum","5802 Value Entry","17 Sales Amount (Actual)","41 Source Type",$C$5,"5 Source no.",$C1873,"4 Item Ledger Entry Type",$C$4,"2 Item No.","@@"&amp;$F1873,"3 Posting Date",J$9)</t>
  </si>
  <si>
    <t>=-NL("Sum","5802 Value Entry","151 Cost Amount (Expected)","41 Source Type",$C$5,"5 Source No.",$C1873,"4 Item Ledger Entry Type",$C$4,"2 Item No.","@@"&amp;$F1873,"3 Posting Date",J$9)-NL("Sum","5802 Value Entry","43 Cost Amount (Actual)","41 Source Type",$C$5,"5 Source no.",$C1873,"4 Item Ledger Entry Type",$C$4,"2 Item No.","@@"&amp;$F1873,"3 Posting Date",J$9)</t>
  </si>
  <si>
    <t>=J1873-L1873</t>
  </si>
  <si>
    <t>=IF(J1873&lt;&gt;0,M1873/J1873,"")</t>
  </si>
  <si>
    <t>=NL("Sum","5802 Value Entry","150 Sales Amount (Expected)","41 Source Type",$C$5,"5 Source No.",$C1873,"4 Item Ledger Entry Type",$C$4,"2 Item No.","@@"&amp;$F1873,"3 Posting Date",O$9)+NL("Sum","5802 Value Entry","17 Sales Amount (Actual)","41 Source Type",$C$5,"5 Source no.",$C1873,"4 Item Ledger Entry Type",$C$4,"2 Item No.","@@"&amp;$F1873,"3 Posting Date",O$9)</t>
  </si>
  <si>
    <t>=-NL("Sum","5802 Value Entry","151 Cost Amount (Expected)","41 Source Type",$C$5,"5 Source No.",$C1873,"4 Item Ledger Entry Type",$C$4,"2 Item No.","@@"&amp;$F1873,"3 Posting Date",O$9)-NL("Sum","5802 Value Entry","43 Cost Amount (Actual)","41 Source Type",$C$5,"5 Source no.",$C1873,"4 Item Ledger Entry Type",$C$4,"2 Item No.","@@"&amp;$F1873,"3 Posting Date",O$9)</t>
  </si>
  <si>
    <t>=O1873-Q1873</t>
  </si>
  <si>
    <t>=IF(O1873&lt;&gt;0,R1873/O1873,"")</t>
  </si>
  <si>
    <t>=NL("Sum","5802 Value Entry","150 Sales Amount (Expected)","41 Source Type",$C$5,"5 Source No.",$C1873,"4 Item Ledger Entry Type",$C$4,"2 Item No.","@@"&amp;$F1873,"3 Posting Date",U$9)+NL("Sum","5802 Value Entry","17 Sales Amount (Actual)","41 Source Type",$C$5,"5 Source no.",$C1873,"4 Item Ledger Entry Type",$C$4,"2 Item No.","@@"&amp;$F1873,"3 Posting Date",U$9)</t>
  </si>
  <si>
    <t>=-NL("Sum","5802 Value Entry","151 Cost Amount (Expected)","41 Source Type",$C$5,"5 Source No.",$C1873,"4 Item Ledger Entry Type",$C$4,"2 Item No.","@@"&amp;$F1873,"3 Posting Date",U$9)-NL("Sum","5802 Value Entry","43 Cost Amount (Actual)","41 Source Type",$C$5,"5 Source no.",$C1873,"4 Item Ledger Entry Type",$C$4,"2 Item No.","@@"&amp;$F1873,"3 Posting Date",U$9)</t>
  </si>
  <si>
    <t>=U1873-W1873</t>
  </si>
  <si>
    <t>=IF(U1873&lt;&gt;0,X1873/U1873,"")</t>
  </si>
  <si>
    <t>=NL("Sum","5802 Value Entry","150 Sales Amount (Expected)","41 Source Type",$C$5,"5 Source No.",$C1873,"4 Item Ledger Entry Type",$C$4,"2 Item No.","@@"&amp;$F1873,"3 Posting Date",Z$9)+NL("Sum","5802 Value Entry","17 Sales Amount (Actual)","41 Source Type",$C$5,"5 Source no.",$C1873,"4 Item Ledger Entry Type",$C$4,"2 Item No.","@@"&amp;$F1873,"3 Posting Date",Z$9)</t>
  </si>
  <si>
    <t>=-NL("Sum","5802 Value Entry","151 Cost Amount (Expected)","41 Source Type",$C$5,"5 Source No.",$C1873,"4 Item Ledger Entry Type",$C$4,"2 Item No.","@@"&amp;$F1873,"3 Posting Date",Z$9)-NL("Sum","5802 Value Entry","43 Cost Amount (Actual)","41 Source Type",$C$5,"5 Source no.",$C1873,"4 Item Ledger Entry Type",$C$4,"2 Item No.","@@"&amp;$F1873,"3 Posting Date",Z$9)</t>
  </si>
  <si>
    <t>=Z1873-AB1873</t>
  </si>
  <si>
    <t>=IF(Z1873&lt;&gt;0,AC1873/Z1873,"")</t>
  </si>
  <si>
    <t>=C1873</t>
  </si>
  <si>
    <t>=NL("Sum","5802 Value Entry","150 Sales Amount (Expected)","41 Source Type",$C$5,"5 Source No.",$C1874,"4 Item Ledger Entry Type",$C$4,"2 Item No.","@@"&amp;$F1874,"3 Posting Date",J$9)+NL("Sum","5802 Value Entry","17 Sales Amount (Actual)","41 Source Type",$C$5,"5 Source no.",$C1874,"4 Item Ledger Entry Type",$C$4,"2 Item No.","@@"&amp;$F1874,"3 Posting Date",J$9)</t>
  </si>
  <si>
    <t>=-NL("Sum","5802 Value Entry","151 Cost Amount (Expected)","41 Source Type",$C$5,"5 Source No.",$C1874,"4 Item Ledger Entry Type",$C$4,"2 Item No.","@@"&amp;$F1874,"3 Posting Date",J$9)-NL("Sum","5802 Value Entry","43 Cost Amount (Actual)","41 Source Type",$C$5,"5 Source no.",$C1874,"4 Item Ledger Entry Type",$C$4,"2 Item No.","@@"&amp;$F1874,"3 Posting Date",J$9)</t>
  </si>
  <si>
    <t>=J1874-L1874</t>
  </si>
  <si>
    <t>=IF(J1874&lt;&gt;0,M1874/J1874,"")</t>
  </si>
  <si>
    <t>=NL("Sum","5802 Value Entry","150 Sales Amount (Expected)","41 Source Type",$C$5,"5 Source No.",$C1874,"4 Item Ledger Entry Type",$C$4,"2 Item No.","@@"&amp;$F1874,"3 Posting Date",O$9)+NL("Sum","5802 Value Entry","17 Sales Amount (Actual)","41 Source Type",$C$5,"5 Source no.",$C1874,"4 Item Ledger Entry Type",$C$4,"2 Item No.","@@"&amp;$F1874,"3 Posting Date",O$9)</t>
  </si>
  <si>
    <t>=-NL("Sum","5802 Value Entry","151 Cost Amount (Expected)","41 Source Type",$C$5,"5 Source No.",$C1874,"4 Item Ledger Entry Type",$C$4,"2 Item No.","@@"&amp;$F1874,"3 Posting Date",O$9)-NL("Sum","5802 Value Entry","43 Cost Amount (Actual)","41 Source Type",$C$5,"5 Source no.",$C1874,"4 Item Ledger Entry Type",$C$4,"2 Item No.","@@"&amp;$F1874,"3 Posting Date",O$9)</t>
  </si>
  <si>
    <t>=O1874-Q1874</t>
  </si>
  <si>
    <t>=IF(O1874&lt;&gt;0,R1874/O1874,"")</t>
  </si>
  <si>
    <t>=NL("Sum","5802 Value Entry","150 Sales Amount (Expected)","41 Source Type",$C$5,"5 Source No.",$C1874,"4 Item Ledger Entry Type",$C$4,"2 Item No.","@@"&amp;$F1874,"3 Posting Date",U$9)+NL("Sum","5802 Value Entry","17 Sales Amount (Actual)","41 Source Type",$C$5,"5 Source no.",$C1874,"4 Item Ledger Entry Type",$C$4,"2 Item No.","@@"&amp;$F1874,"3 Posting Date",U$9)</t>
  </si>
  <si>
    <t>=-NL("Sum","5802 Value Entry","151 Cost Amount (Expected)","41 Source Type",$C$5,"5 Source No.",$C1874,"4 Item Ledger Entry Type",$C$4,"2 Item No.","@@"&amp;$F1874,"3 Posting Date",U$9)-NL("Sum","5802 Value Entry","43 Cost Amount (Actual)","41 Source Type",$C$5,"5 Source no.",$C1874,"4 Item Ledger Entry Type",$C$4,"2 Item No.","@@"&amp;$F1874,"3 Posting Date",U$9)</t>
  </si>
  <si>
    <t>=U1874-W1874</t>
  </si>
  <si>
    <t>=IF(U1874&lt;&gt;0,X1874/U1874,"")</t>
  </si>
  <si>
    <t>=NL("Sum","5802 Value Entry","150 Sales Amount (Expected)","41 Source Type",$C$5,"5 Source No.",$C1874,"4 Item Ledger Entry Type",$C$4,"2 Item No.","@@"&amp;$F1874,"3 Posting Date",Z$9)+NL("Sum","5802 Value Entry","17 Sales Amount (Actual)","41 Source Type",$C$5,"5 Source no.",$C1874,"4 Item Ledger Entry Type",$C$4,"2 Item No.","@@"&amp;$F1874,"3 Posting Date",Z$9)</t>
  </si>
  <si>
    <t>=-NL("Sum","5802 Value Entry","151 Cost Amount (Expected)","41 Source Type",$C$5,"5 Source No.",$C1874,"4 Item Ledger Entry Type",$C$4,"2 Item No.","@@"&amp;$F1874,"3 Posting Date",Z$9)-NL("Sum","5802 Value Entry","43 Cost Amount (Actual)","41 Source Type",$C$5,"5 Source no.",$C1874,"4 Item Ledger Entry Type",$C$4,"2 Item No.","@@"&amp;$F1874,"3 Posting Date",Z$9)</t>
  </si>
  <si>
    <t>=Z1874-AB1874</t>
  </si>
  <si>
    <t>=IF(Z1874&lt;&gt;0,AC1874/Z1874,"")</t>
  </si>
  <si>
    <t>=C1874</t>
  </si>
  <si>
    <t>=NL("Sum","5802 Value Entry","150 Sales Amount (Expected)","41 Source Type",$C$5,"5 Source No.",$C1875,"4 Item Ledger Entry Type",$C$4,"2 Item No.","@@"&amp;$F1875,"3 Posting Date",J$9)+NL("Sum","5802 Value Entry","17 Sales Amount (Actual)","41 Source Type",$C$5,"5 Source no.",$C1875,"4 Item Ledger Entry Type",$C$4,"2 Item No.","@@"&amp;$F1875,"3 Posting Date",J$9)</t>
  </si>
  <si>
    <t>=-NL("Sum","5802 Value Entry","151 Cost Amount (Expected)","41 Source Type",$C$5,"5 Source No.",$C1875,"4 Item Ledger Entry Type",$C$4,"2 Item No.","@@"&amp;$F1875,"3 Posting Date",J$9)-NL("Sum","5802 Value Entry","43 Cost Amount (Actual)","41 Source Type",$C$5,"5 Source no.",$C1875,"4 Item Ledger Entry Type",$C$4,"2 Item No.","@@"&amp;$F1875,"3 Posting Date",J$9)</t>
  </si>
  <si>
    <t>=J1875-L1875</t>
  </si>
  <si>
    <t>=IF(J1875&lt;&gt;0,M1875/J1875,"")</t>
  </si>
  <si>
    <t>=NL("Sum","5802 Value Entry","150 Sales Amount (Expected)","41 Source Type",$C$5,"5 Source No.",$C1875,"4 Item Ledger Entry Type",$C$4,"2 Item No.","@@"&amp;$F1875,"3 Posting Date",O$9)+NL("Sum","5802 Value Entry","17 Sales Amount (Actual)","41 Source Type",$C$5,"5 Source no.",$C1875,"4 Item Ledger Entry Type",$C$4,"2 Item No.","@@"&amp;$F1875,"3 Posting Date",O$9)</t>
  </si>
  <si>
    <t>=-NL("Sum","5802 Value Entry","151 Cost Amount (Expected)","41 Source Type",$C$5,"5 Source No.",$C1875,"4 Item Ledger Entry Type",$C$4,"2 Item No.","@@"&amp;$F1875,"3 Posting Date",O$9)-NL("Sum","5802 Value Entry","43 Cost Amount (Actual)","41 Source Type",$C$5,"5 Source no.",$C1875,"4 Item Ledger Entry Type",$C$4,"2 Item No.","@@"&amp;$F1875,"3 Posting Date",O$9)</t>
  </si>
  <si>
    <t>=O1875-Q1875</t>
  </si>
  <si>
    <t>=IF(O1875&lt;&gt;0,R1875/O1875,"")</t>
  </si>
  <si>
    <t>=NL("Sum","5802 Value Entry","150 Sales Amount (Expected)","41 Source Type",$C$5,"5 Source No.",$C1875,"4 Item Ledger Entry Type",$C$4,"2 Item No.","@@"&amp;$F1875,"3 Posting Date",U$9)+NL("Sum","5802 Value Entry","17 Sales Amount (Actual)","41 Source Type",$C$5,"5 Source no.",$C1875,"4 Item Ledger Entry Type",$C$4,"2 Item No.","@@"&amp;$F1875,"3 Posting Date",U$9)</t>
  </si>
  <si>
    <t>=-NL("Sum","5802 Value Entry","151 Cost Amount (Expected)","41 Source Type",$C$5,"5 Source No.",$C1875,"4 Item Ledger Entry Type",$C$4,"2 Item No.","@@"&amp;$F1875,"3 Posting Date",U$9)-NL("Sum","5802 Value Entry","43 Cost Amount (Actual)","41 Source Type",$C$5,"5 Source no.",$C1875,"4 Item Ledger Entry Type",$C$4,"2 Item No.","@@"&amp;$F1875,"3 Posting Date",U$9)</t>
  </si>
  <si>
    <t>=U1875-W1875</t>
  </si>
  <si>
    <t>=IF(U1875&lt;&gt;0,X1875/U1875,"")</t>
  </si>
  <si>
    <t>=NL("Sum","5802 Value Entry","150 Sales Amount (Expected)","41 Source Type",$C$5,"5 Source No.",$C1875,"4 Item Ledger Entry Type",$C$4,"2 Item No.","@@"&amp;$F1875,"3 Posting Date",Z$9)+NL("Sum","5802 Value Entry","17 Sales Amount (Actual)","41 Source Type",$C$5,"5 Source no.",$C1875,"4 Item Ledger Entry Type",$C$4,"2 Item No.","@@"&amp;$F1875,"3 Posting Date",Z$9)</t>
  </si>
  <si>
    <t>=-NL("Sum","5802 Value Entry","151 Cost Amount (Expected)","41 Source Type",$C$5,"5 Source No.",$C1875,"4 Item Ledger Entry Type",$C$4,"2 Item No.","@@"&amp;$F1875,"3 Posting Date",Z$9)-NL("Sum","5802 Value Entry","43 Cost Amount (Actual)","41 Source Type",$C$5,"5 Source no.",$C1875,"4 Item Ledger Entry Type",$C$4,"2 Item No.","@@"&amp;$F1875,"3 Posting Date",Z$9)</t>
  </si>
  <si>
    <t>=Z1875-AB1875</t>
  </si>
  <si>
    <t>=IF(Z1875&lt;&gt;0,AC1875/Z1875,"")</t>
  </si>
  <si>
    <t>=C1875</t>
  </si>
  <si>
    <t>=NL("Sum","5802 Value Entry","150 Sales Amount (Expected)","41 Source Type",$C$5,"5 Source No.",$C1876,"4 Item Ledger Entry Type",$C$4,"2 Item No.","@@"&amp;$F1876,"3 Posting Date",J$9)+NL("Sum","5802 Value Entry","17 Sales Amount (Actual)","41 Source Type",$C$5,"5 Source no.",$C1876,"4 Item Ledger Entry Type",$C$4,"2 Item No.","@@"&amp;$F1876,"3 Posting Date",J$9)</t>
  </si>
  <si>
    <t>=-NL("Sum","5802 Value Entry","151 Cost Amount (Expected)","41 Source Type",$C$5,"5 Source No.",$C1876,"4 Item Ledger Entry Type",$C$4,"2 Item No.","@@"&amp;$F1876,"3 Posting Date",J$9)-NL("Sum","5802 Value Entry","43 Cost Amount (Actual)","41 Source Type",$C$5,"5 Source no.",$C1876,"4 Item Ledger Entry Type",$C$4,"2 Item No.","@@"&amp;$F1876,"3 Posting Date",J$9)</t>
  </si>
  <si>
    <t>=J1876-L1876</t>
  </si>
  <si>
    <t>=IF(J1876&lt;&gt;0,M1876/J1876,"")</t>
  </si>
  <si>
    <t>=NL("Sum","5802 Value Entry","150 Sales Amount (Expected)","41 Source Type",$C$5,"5 Source No.",$C1876,"4 Item Ledger Entry Type",$C$4,"2 Item No.","@@"&amp;$F1876,"3 Posting Date",O$9)+NL("Sum","5802 Value Entry","17 Sales Amount (Actual)","41 Source Type",$C$5,"5 Source no.",$C1876,"4 Item Ledger Entry Type",$C$4,"2 Item No.","@@"&amp;$F1876,"3 Posting Date",O$9)</t>
  </si>
  <si>
    <t>=-NL("Sum","5802 Value Entry","151 Cost Amount (Expected)","41 Source Type",$C$5,"5 Source No.",$C1876,"4 Item Ledger Entry Type",$C$4,"2 Item No.","@@"&amp;$F1876,"3 Posting Date",O$9)-NL("Sum","5802 Value Entry","43 Cost Amount (Actual)","41 Source Type",$C$5,"5 Source no.",$C1876,"4 Item Ledger Entry Type",$C$4,"2 Item No.","@@"&amp;$F1876,"3 Posting Date",O$9)</t>
  </si>
  <si>
    <t>=O1876-Q1876</t>
  </si>
  <si>
    <t>=IF(O1876&lt;&gt;0,R1876/O1876,"")</t>
  </si>
  <si>
    <t>=NL("Sum","5802 Value Entry","150 Sales Amount (Expected)","41 Source Type",$C$5,"5 Source No.",$C1876,"4 Item Ledger Entry Type",$C$4,"2 Item No.","@@"&amp;$F1876,"3 Posting Date",U$9)+NL("Sum","5802 Value Entry","17 Sales Amount (Actual)","41 Source Type",$C$5,"5 Source no.",$C1876,"4 Item Ledger Entry Type",$C$4,"2 Item No.","@@"&amp;$F1876,"3 Posting Date",U$9)</t>
  </si>
  <si>
    <t>=-NL("Sum","5802 Value Entry","151 Cost Amount (Expected)","41 Source Type",$C$5,"5 Source No.",$C1876,"4 Item Ledger Entry Type",$C$4,"2 Item No.","@@"&amp;$F1876,"3 Posting Date",U$9)-NL("Sum","5802 Value Entry","43 Cost Amount (Actual)","41 Source Type",$C$5,"5 Source no.",$C1876,"4 Item Ledger Entry Type",$C$4,"2 Item No.","@@"&amp;$F1876,"3 Posting Date",U$9)</t>
  </si>
  <si>
    <t>=U1876-W1876</t>
  </si>
  <si>
    <t>=IF(U1876&lt;&gt;0,X1876/U1876,"")</t>
  </si>
  <si>
    <t>=NL("Sum","5802 Value Entry","150 Sales Amount (Expected)","41 Source Type",$C$5,"5 Source No.",$C1876,"4 Item Ledger Entry Type",$C$4,"2 Item No.","@@"&amp;$F1876,"3 Posting Date",Z$9)+NL("Sum","5802 Value Entry","17 Sales Amount (Actual)","41 Source Type",$C$5,"5 Source no.",$C1876,"4 Item Ledger Entry Type",$C$4,"2 Item No.","@@"&amp;$F1876,"3 Posting Date",Z$9)</t>
  </si>
  <si>
    <t>=-NL("Sum","5802 Value Entry","151 Cost Amount (Expected)","41 Source Type",$C$5,"5 Source No.",$C1876,"4 Item Ledger Entry Type",$C$4,"2 Item No.","@@"&amp;$F1876,"3 Posting Date",Z$9)-NL("Sum","5802 Value Entry","43 Cost Amount (Actual)","41 Source Type",$C$5,"5 Source no.",$C1876,"4 Item Ledger Entry Type",$C$4,"2 Item No.","@@"&amp;$F1876,"3 Posting Date",Z$9)</t>
  </si>
  <si>
    <t>=Z1876-AB1876</t>
  </si>
  <si>
    <t>=IF(Z1876&lt;&gt;0,AC1876/Z1876,"")</t>
  </si>
  <si>
    <t>=C1876</t>
  </si>
  <si>
    <t>=NL("Sum","5802 Value Entry","150 Sales Amount (Expected)","41 Source Type",$C$5,"5 Source No.",$C1877,"4 Item Ledger Entry Type",$C$4,"2 Item No.","@@"&amp;$F1877,"3 Posting Date",J$9)+NL("Sum","5802 Value Entry","17 Sales Amount (Actual)","41 Source Type",$C$5,"5 Source no.",$C1877,"4 Item Ledger Entry Type",$C$4,"2 Item No.","@@"&amp;$F1877,"3 Posting Date",J$9)</t>
  </si>
  <si>
    <t>=-NL("Sum","5802 Value Entry","151 Cost Amount (Expected)","41 Source Type",$C$5,"5 Source No.",$C1877,"4 Item Ledger Entry Type",$C$4,"2 Item No.","@@"&amp;$F1877,"3 Posting Date",J$9)-NL("Sum","5802 Value Entry","43 Cost Amount (Actual)","41 Source Type",$C$5,"5 Source no.",$C1877,"4 Item Ledger Entry Type",$C$4,"2 Item No.","@@"&amp;$F1877,"3 Posting Date",J$9)</t>
  </si>
  <si>
    <t>=J1877-L1877</t>
  </si>
  <si>
    <t>=IF(J1877&lt;&gt;0,M1877/J1877,"")</t>
  </si>
  <si>
    <t>=NL("Sum","5802 Value Entry","150 Sales Amount (Expected)","41 Source Type",$C$5,"5 Source No.",$C1877,"4 Item Ledger Entry Type",$C$4,"2 Item No.","@@"&amp;$F1877,"3 Posting Date",O$9)+NL("Sum","5802 Value Entry","17 Sales Amount (Actual)","41 Source Type",$C$5,"5 Source no.",$C1877,"4 Item Ledger Entry Type",$C$4,"2 Item No.","@@"&amp;$F1877,"3 Posting Date",O$9)</t>
  </si>
  <si>
    <t>=-NL("Sum","5802 Value Entry","151 Cost Amount (Expected)","41 Source Type",$C$5,"5 Source No.",$C1877,"4 Item Ledger Entry Type",$C$4,"2 Item No.","@@"&amp;$F1877,"3 Posting Date",O$9)-NL("Sum","5802 Value Entry","43 Cost Amount (Actual)","41 Source Type",$C$5,"5 Source no.",$C1877,"4 Item Ledger Entry Type",$C$4,"2 Item No.","@@"&amp;$F1877,"3 Posting Date",O$9)</t>
  </si>
  <si>
    <t>=O1877-Q1877</t>
  </si>
  <si>
    <t>=IF(O1877&lt;&gt;0,R1877/O1877,"")</t>
  </si>
  <si>
    <t>=NL("Sum","5802 Value Entry","150 Sales Amount (Expected)","41 Source Type",$C$5,"5 Source No.",$C1877,"4 Item Ledger Entry Type",$C$4,"2 Item No.","@@"&amp;$F1877,"3 Posting Date",U$9)+NL("Sum","5802 Value Entry","17 Sales Amount (Actual)","41 Source Type",$C$5,"5 Source no.",$C1877,"4 Item Ledger Entry Type",$C$4,"2 Item No.","@@"&amp;$F1877,"3 Posting Date",U$9)</t>
  </si>
  <si>
    <t>=-NL("Sum","5802 Value Entry","151 Cost Amount (Expected)","41 Source Type",$C$5,"5 Source No.",$C1877,"4 Item Ledger Entry Type",$C$4,"2 Item No.","@@"&amp;$F1877,"3 Posting Date",U$9)-NL("Sum","5802 Value Entry","43 Cost Amount (Actual)","41 Source Type",$C$5,"5 Source no.",$C1877,"4 Item Ledger Entry Type",$C$4,"2 Item No.","@@"&amp;$F1877,"3 Posting Date",U$9)</t>
  </si>
  <si>
    <t>=U1877-W1877</t>
  </si>
  <si>
    <t>=IF(U1877&lt;&gt;0,X1877/U1877,"")</t>
  </si>
  <si>
    <t>=NL("Sum","5802 Value Entry","150 Sales Amount (Expected)","41 Source Type",$C$5,"5 Source No.",$C1877,"4 Item Ledger Entry Type",$C$4,"2 Item No.","@@"&amp;$F1877,"3 Posting Date",Z$9)+NL("Sum","5802 Value Entry","17 Sales Amount (Actual)","41 Source Type",$C$5,"5 Source no.",$C1877,"4 Item Ledger Entry Type",$C$4,"2 Item No.","@@"&amp;$F1877,"3 Posting Date",Z$9)</t>
  </si>
  <si>
    <t>=-NL("Sum","5802 Value Entry","151 Cost Amount (Expected)","41 Source Type",$C$5,"5 Source No.",$C1877,"4 Item Ledger Entry Type",$C$4,"2 Item No.","@@"&amp;$F1877,"3 Posting Date",Z$9)-NL("Sum","5802 Value Entry","43 Cost Amount (Actual)","41 Source Type",$C$5,"5 Source no.",$C1877,"4 Item Ledger Entry Type",$C$4,"2 Item No.","@@"&amp;$F1877,"3 Posting Date",Z$9)</t>
  </si>
  <si>
    <t>=Z1877-AB1877</t>
  </si>
  <si>
    <t>=IF(Z1877&lt;&gt;0,AC1877/Z1877,"")</t>
  </si>
  <si>
    <t>=C1877</t>
  </si>
  <si>
    <t>=NL("Sum","5802 Value Entry","150 Sales Amount (Expected)","41 Source Type",$C$5,"5 Source No.",$C1878,"4 Item Ledger Entry Type",$C$4,"2 Item No.","@@"&amp;$F1878,"3 Posting Date",J$9)+NL("Sum","5802 Value Entry","17 Sales Amount (Actual)","41 Source Type",$C$5,"5 Source no.",$C1878,"4 Item Ledger Entry Type",$C$4,"2 Item No.","@@"&amp;$F1878,"3 Posting Date",J$9)</t>
  </si>
  <si>
    <t>=-NL("Sum","5802 Value Entry","151 Cost Amount (Expected)","41 Source Type",$C$5,"5 Source No.",$C1878,"4 Item Ledger Entry Type",$C$4,"2 Item No.","@@"&amp;$F1878,"3 Posting Date",J$9)-NL("Sum","5802 Value Entry","43 Cost Amount (Actual)","41 Source Type",$C$5,"5 Source no.",$C1878,"4 Item Ledger Entry Type",$C$4,"2 Item No.","@@"&amp;$F1878,"3 Posting Date",J$9)</t>
  </si>
  <si>
    <t>=J1878-L1878</t>
  </si>
  <si>
    <t>=IF(J1878&lt;&gt;0,M1878/J1878,"")</t>
  </si>
  <si>
    <t>=NL("Sum","5802 Value Entry","150 Sales Amount (Expected)","41 Source Type",$C$5,"5 Source No.",$C1878,"4 Item Ledger Entry Type",$C$4,"2 Item No.","@@"&amp;$F1878,"3 Posting Date",O$9)+NL("Sum","5802 Value Entry","17 Sales Amount (Actual)","41 Source Type",$C$5,"5 Source no.",$C1878,"4 Item Ledger Entry Type",$C$4,"2 Item No.","@@"&amp;$F1878,"3 Posting Date",O$9)</t>
  </si>
  <si>
    <t>=-NL("Sum","5802 Value Entry","151 Cost Amount (Expected)","41 Source Type",$C$5,"5 Source No.",$C1878,"4 Item Ledger Entry Type",$C$4,"2 Item No.","@@"&amp;$F1878,"3 Posting Date",O$9)-NL("Sum","5802 Value Entry","43 Cost Amount (Actual)","41 Source Type",$C$5,"5 Source no.",$C1878,"4 Item Ledger Entry Type",$C$4,"2 Item No.","@@"&amp;$F1878,"3 Posting Date",O$9)</t>
  </si>
  <si>
    <t>=O1878-Q1878</t>
  </si>
  <si>
    <t>=IF(O1878&lt;&gt;0,R1878/O1878,"")</t>
  </si>
  <si>
    <t>=NL("Sum","5802 Value Entry","150 Sales Amount (Expected)","41 Source Type",$C$5,"5 Source No.",$C1878,"4 Item Ledger Entry Type",$C$4,"2 Item No.","@@"&amp;$F1878,"3 Posting Date",U$9)+NL("Sum","5802 Value Entry","17 Sales Amount (Actual)","41 Source Type",$C$5,"5 Source no.",$C1878,"4 Item Ledger Entry Type",$C$4,"2 Item No.","@@"&amp;$F1878,"3 Posting Date",U$9)</t>
  </si>
  <si>
    <t>=-NL("Sum","5802 Value Entry","151 Cost Amount (Expected)","41 Source Type",$C$5,"5 Source No.",$C1878,"4 Item Ledger Entry Type",$C$4,"2 Item No.","@@"&amp;$F1878,"3 Posting Date",U$9)-NL("Sum","5802 Value Entry","43 Cost Amount (Actual)","41 Source Type",$C$5,"5 Source no.",$C1878,"4 Item Ledger Entry Type",$C$4,"2 Item No.","@@"&amp;$F1878,"3 Posting Date",U$9)</t>
  </si>
  <si>
    <t>=U1878-W1878</t>
  </si>
  <si>
    <t>=IF(U1878&lt;&gt;0,X1878/U1878,"")</t>
  </si>
  <si>
    <t>=NL("Sum","5802 Value Entry","150 Sales Amount (Expected)","41 Source Type",$C$5,"5 Source No.",$C1878,"4 Item Ledger Entry Type",$C$4,"2 Item No.","@@"&amp;$F1878,"3 Posting Date",Z$9)+NL("Sum","5802 Value Entry","17 Sales Amount (Actual)","41 Source Type",$C$5,"5 Source no.",$C1878,"4 Item Ledger Entry Type",$C$4,"2 Item No.","@@"&amp;$F1878,"3 Posting Date",Z$9)</t>
  </si>
  <si>
    <t>=-NL("Sum","5802 Value Entry","151 Cost Amount (Expected)","41 Source Type",$C$5,"5 Source No.",$C1878,"4 Item Ledger Entry Type",$C$4,"2 Item No.","@@"&amp;$F1878,"3 Posting Date",Z$9)-NL("Sum","5802 Value Entry","43 Cost Amount (Actual)","41 Source Type",$C$5,"5 Source no.",$C1878,"4 Item Ledger Entry Type",$C$4,"2 Item No.","@@"&amp;$F1878,"3 Posting Date",Z$9)</t>
  </si>
  <si>
    <t>=Z1878-AB1878</t>
  </si>
  <si>
    <t>=IF(Z1878&lt;&gt;0,AC1878/Z1878,"")</t>
  </si>
  <si>
    <t>=C1878</t>
  </si>
  <si>
    <t>=NL("Sum","5802 Value Entry","150 Sales Amount (Expected)","41 Source Type",$C$5,"5 Source No.",$C1879,"4 Item Ledger Entry Type",$C$4,"2 Item No.","@@"&amp;$F1879,"3 Posting Date",J$9)+NL("Sum","5802 Value Entry","17 Sales Amount (Actual)","41 Source Type",$C$5,"5 Source no.",$C1879,"4 Item Ledger Entry Type",$C$4,"2 Item No.","@@"&amp;$F1879,"3 Posting Date",J$9)</t>
  </si>
  <si>
    <t>=-NL("Sum","5802 Value Entry","151 Cost Amount (Expected)","41 Source Type",$C$5,"5 Source No.",$C1879,"4 Item Ledger Entry Type",$C$4,"2 Item No.","@@"&amp;$F1879,"3 Posting Date",J$9)-NL("Sum","5802 Value Entry","43 Cost Amount (Actual)","41 Source Type",$C$5,"5 Source no.",$C1879,"4 Item Ledger Entry Type",$C$4,"2 Item No.","@@"&amp;$F1879,"3 Posting Date",J$9)</t>
  </si>
  <si>
    <t>=J1879-L1879</t>
  </si>
  <si>
    <t>=IF(J1879&lt;&gt;0,M1879/J1879,"")</t>
  </si>
  <si>
    <t>=NL("Sum","5802 Value Entry","150 Sales Amount (Expected)","41 Source Type",$C$5,"5 Source No.",$C1879,"4 Item Ledger Entry Type",$C$4,"2 Item No.","@@"&amp;$F1879,"3 Posting Date",O$9)+NL("Sum","5802 Value Entry","17 Sales Amount (Actual)","41 Source Type",$C$5,"5 Source no.",$C1879,"4 Item Ledger Entry Type",$C$4,"2 Item No.","@@"&amp;$F1879,"3 Posting Date",O$9)</t>
  </si>
  <si>
    <t>=-NL("Sum","5802 Value Entry","151 Cost Amount (Expected)","41 Source Type",$C$5,"5 Source No.",$C1879,"4 Item Ledger Entry Type",$C$4,"2 Item No.","@@"&amp;$F1879,"3 Posting Date",O$9)-NL("Sum","5802 Value Entry","43 Cost Amount (Actual)","41 Source Type",$C$5,"5 Source no.",$C1879,"4 Item Ledger Entry Type",$C$4,"2 Item No.","@@"&amp;$F1879,"3 Posting Date",O$9)</t>
  </si>
  <si>
    <t>=O1879-Q1879</t>
  </si>
  <si>
    <t>=IF(O1879&lt;&gt;0,R1879/O1879,"")</t>
  </si>
  <si>
    <t>=NL("Sum","5802 Value Entry","150 Sales Amount (Expected)","41 Source Type",$C$5,"5 Source No.",$C1879,"4 Item Ledger Entry Type",$C$4,"2 Item No.","@@"&amp;$F1879,"3 Posting Date",U$9)+NL("Sum","5802 Value Entry","17 Sales Amount (Actual)","41 Source Type",$C$5,"5 Source no.",$C1879,"4 Item Ledger Entry Type",$C$4,"2 Item No.","@@"&amp;$F1879,"3 Posting Date",U$9)</t>
  </si>
  <si>
    <t>=-NL("Sum","5802 Value Entry","151 Cost Amount (Expected)","41 Source Type",$C$5,"5 Source No.",$C1879,"4 Item Ledger Entry Type",$C$4,"2 Item No.","@@"&amp;$F1879,"3 Posting Date",U$9)-NL("Sum","5802 Value Entry","43 Cost Amount (Actual)","41 Source Type",$C$5,"5 Source no.",$C1879,"4 Item Ledger Entry Type",$C$4,"2 Item No.","@@"&amp;$F1879,"3 Posting Date",U$9)</t>
  </si>
  <si>
    <t>=U1879-W1879</t>
  </si>
  <si>
    <t>=IF(U1879&lt;&gt;0,X1879/U1879,"")</t>
  </si>
  <si>
    <t>=NL("Sum","5802 Value Entry","150 Sales Amount (Expected)","41 Source Type",$C$5,"5 Source No.",$C1879,"4 Item Ledger Entry Type",$C$4,"2 Item No.","@@"&amp;$F1879,"3 Posting Date",Z$9)+NL("Sum","5802 Value Entry","17 Sales Amount (Actual)","41 Source Type",$C$5,"5 Source no.",$C1879,"4 Item Ledger Entry Type",$C$4,"2 Item No.","@@"&amp;$F1879,"3 Posting Date",Z$9)</t>
  </si>
  <si>
    <t>=-NL("Sum","5802 Value Entry","151 Cost Amount (Expected)","41 Source Type",$C$5,"5 Source No.",$C1879,"4 Item Ledger Entry Type",$C$4,"2 Item No.","@@"&amp;$F1879,"3 Posting Date",Z$9)-NL("Sum","5802 Value Entry","43 Cost Amount (Actual)","41 Source Type",$C$5,"5 Source no.",$C1879,"4 Item Ledger Entry Type",$C$4,"2 Item No.","@@"&amp;$F1879,"3 Posting Date",Z$9)</t>
  </si>
  <si>
    <t>=Z1879-AB1879</t>
  </si>
  <si>
    <t>=IF(Z1879&lt;&gt;0,AC1879/Z1879,"")</t>
  </si>
  <si>
    <t>=C1879</t>
  </si>
  <si>
    <t>=NL("Sum","5802 Value Entry","150 Sales Amount (Expected)","41 Source Type",$C$5,"5 Source No.",$C1880,"4 Item Ledger Entry Type",$C$4,"2 Item No.","@@"&amp;$F1880,"3 Posting Date",J$9)+NL("Sum","5802 Value Entry","17 Sales Amount (Actual)","41 Source Type",$C$5,"5 Source no.",$C1880,"4 Item Ledger Entry Type",$C$4,"2 Item No.","@@"&amp;$F1880,"3 Posting Date",J$9)</t>
  </si>
  <si>
    <t>=-NL("Sum","5802 Value Entry","151 Cost Amount (Expected)","41 Source Type",$C$5,"5 Source No.",$C1880,"4 Item Ledger Entry Type",$C$4,"2 Item No.","@@"&amp;$F1880,"3 Posting Date",J$9)-NL("Sum","5802 Value Entry","43 Cost Amount (Actual)","41 Source Type",$C$5,"5 Source no.",$C1880,"4 Item Ledger Entry Type",$C$4,"2 Item No.","@@"&amp;$F1880,"3 Posting Date",J$9)</t>
  </si>
  <si>
    <t>=J1880-L1880</t>
  </si>
  <si>
    <t>=IF(J1880&lt;&gt;0,M1880/J1880,"")</t>
  </si>
  <si>
    <t>=NL("Sum","5802 Value Entry","150 Sales Amount (Expected)","41 Source Type",$C$5,"5 Source No.",$C1880,"4 Item Ledger Entry Type",$C$4,"2 Item No.","@@"&amp;$F1880,"3 Posting Date",O$9)+NL("Sum","5802 Value Entry","17 Sales Amount (Actual)","41 Source Type",$C$5,"5 Source no.",$C1880,"4 Item Ledger Entry Type",$C$4,"2 Item No.","@@"&amp;$F1880,"3 Posting Date",O$9)</t>
  </si>
  <si>
    <t>=-NL("Sum","5802 Value Entry","151 Cost Amount (Expected)","41 Source Type",$C$5,"5 Source No.",$C1880,"4 Item Ledger Entry Type",$C$4,"2 Item No.","@@"&amp;$F1880,"3 Posting Date",O$9)-NL("Sum","5802 Value Entry","43 Cost Amount (Actual)","41 Source Type",$C$5,"5 Source no.",$C1880,"4 Item Ledger Entry Type",$C$4,"2 Item No.","@@"&amp;$F1880,"3 Posting Date",O$9)</t>
  </si>
  <si>
    <t>=O1880-Q1880</t>
  </si>
  <si>
    <t>=IF(O1880&lt;&gt;0,R1880/O1880,"")</t>
  </si>
  <si>
    <t>=NL("Sum","5802 Value Entry","150 Sales Amount (Expected)","41 Source Type",$C$5,"5 Source No.",$C1880,"4 Item Ledger Entry Type",$C$4,"2 Item No.","@@"&amp;$F1880,"3 Posting Date",U$9)+NL("Sum","5802 Value Entry","17 Sales Amount (Actual)","41 Source Type",$C$5,"5 Source no.",$C1880,"4 Item Ledger Entry Type",$C$4,"2 Item No.","@@"&amp;$F1880,"3 Posting Date",U$9)</t>
  </si>
  <si>
    <t>=-NL("Sum","5802 Value Entry","151 Cost Amount (Expected)","41 Source Type",$C$5,"5 Source No.",$C1880,"4 Item Ledger Entry Type",$C$4,"2 Item No.","@@"&amp;$F1880,"3 Posting Date",U$9)-NL("Sum","5802 Value Entry","43 Cost Amount (Actual)","41 Source Type",$C$5,"5 Source no.",$C1880,"4 Item Ledger Entry Type",$C$4,"2 Item No.","@@"&amp;$F1880,"3 Posting Date",U$9)</t>
  </si>
  <si>
    <t>=U1880-W1880</t>
  </si>
  <si>
    <t>=IF(U1880&lt;&gt;0,X1880/U1880,"")</t>
  </si>
  <si>
    <t>=NL("Sum","5802 Value Entry","150 Sales Amount (Expected)","41 Source Type",$C$5,"5 Source No.",$C1880,"4 Item Ledger Entry Type",$C$4,"2 Item No.","@@"&amp;$F1880,"3 Posting Date",Z$9)+NL("Sum","5802 Value Entry","17 Sales Amount (Actual)","41 Source Type",$C$5,"5 Source no.",$C1880,"4 Item Ledger Entry Type",$C$4,"2 Item No.","@@"&amp;$F1880,"3 Posting Date",Z$9)</t>
  </si>
  <si>
    <t>=-NL("Sum","5802 Value Entry","151 Cost Amount (Expected)","41 Source Type",$C$5,"5 Source No.",$C1880,"4 Item Ledger Entry Type",$C$4,"2 Item No.","@@"&amp;$F1880,"3 Posting Date",Z$9)-NL("Sum","5802 Value Entry","43 Cost Amount (Actual)","41 Source Type",$C$5,"5 Source no.",$C1880,"4 Item Ledger Entry Type",$C$4,"2 Item No.","@@"&amp;$F1880,"3 Posting Date",Z$9)</t>
  </si>
  <si>
    <t>=Z1880-AB1880</t>
  </si>
  <si>
    <t>=IF(Z1880&lt;&gt;0,AC1880/Z1880,"")</t>
  </si>
  <si>
    <t>=C1880</t>
  </si>
  <si>
    <t>=NL("Sum","5802 Value Entry","150 Sales Amount (Expected)","41 Source Type",$C$5,"5 Source No.",$C1881,"4 Item Ledger Entry Type",$C$4,"2 Item No.","@@"&amp;$F1881,"3 Posting Date",J$9)+NL("Sum","5802 Value Entry","17 Sales Amount (Actual)","41 Source Type",$C$5,"5 Source no.",$C1881,"4 Item Ledger Entry Type",$C$4,"2 Item No.","@@"&amp;$F1881,"3 Posting Date",J$9)</t>
  </si>
  <si>
    <t>=-NL("Sum","5802 Value Entry","151 Cost Amount (Expected)","41 Source Type",$C$5,"5 Source No.",$C1881,"4 Item Ledger Entry Type",$C$4,"2 Item No.","@@"&amp;$F1881,"3 Posting Date",J$9)-NL("Sum","5802 Value Entry","43 Cost Amount (Actual)","41 Source Type",$C$5,"5 Source no.",$C1881,"4 Item Ledger Entry Type",$C$4,"2 Item No.","@@"&amp;$F1881,"3 Posting Date",J$9)</t>
  </si>
  <si>
    <t>=J1881-L1881</t>
  </si>
  <si>
    <t>=IF(J1881&lt;&gt;0,M1881/J1881,"")</t>
  </si>
  <si>
    <t>=NL("Sum","5802 Value Entry","150 Sales Amount (Expected)","41 Source Type",$C$5,"5 Source No.",$C1881,"4 Item Ledger Entry Type",$C$4,"2 Item No.","@@"&amp;$F1881,"3 Posting Date",O$9)+NL("Sum","5802 Value Entry","17 Sales Amount (Actual)","41 Source Type",$C$5,"5 Source no.",$C1881,"4 Item Ledger Entry Type",$C$4,"2 Item No.","@@"&amp;$F1881,"3 Posting Date",O$9)</t>
  </si>
  <si>
    <t>=-NL("Sum","5802 Value Entry","151 Cost Amount (Expected)","41 Source Type",$C$5,"5 Source No.",$C1881,"4 Item Ledger Entry Type",$C$4,"2 Item No.","@@"&amp;$F1881,"3 Posting Date",O$9)-NL("Sum","5802 Value Entry","43 Cost Amount (Actual)","41 Source Type",$C$5,"5 Source no.",$C1881,"4 Item Ledger Entry Type",$C$4,"2 Item No.","@@"&amp;$F1881,"3 Posting Date",O$9)</t>
  </si>
  <si>
    <t>=O1881-Q1881</t>
  </si>
  <si>
    <t>=IF(O1881&lt;&gt;0,R1881/O1881,"")</t>
  </si>
  <si>
    <t>=NL("Sum","5802 Value Entry","150 Sales Amount (Expected)","41 Source Type",$C$5,"5 Source No.",$C1881,"4 Item Ledger Entry Type",$C$4,"2 Item No.","@@"&amp;$F1881,"3 Posting Date",U$9)+NL("Sum","5802 Value Entry","17 Sales Amount (Actual)","41 Source Type",$C$5,"5 Source no.",$C1881,"4 Item Ledger Entry Type",$C$4,"2 Item No.","@@"&amp;$F1881,"3 Posting Date",U$9)</t>
  </si>
  <si>
    <t>=-NL("Sum","5802 Value Entry","151 Cost Amount (Expected)","41 Source Type",$C$5,"5 Source No.",$C1881,"4 Item Ledger Entry Type",$C$4,"2 Item No.","@@"&amp;$F1881,"3 Posting Date",U$9)-NL("Sum","5802 Value Entry","43 Cost Amount (Actual)","41 Source Type",$C$5,"5 Source no.",$C1881,"4 Item Ledger Entry Type",$C$4,"2 Item No.","@@"&amp;$F1881,"3 Posting Date",U$9)</t>
  </si>
  <si>
    <t>=U1881-W1881</t>
  </si>
  <si>
    <t>=IF(U1881&lt;&gt;0,X1881/U1881,"")</t>
  </si>
  <si>
    <t>=NL("Sum","5802 Value Entry","150 Sales Amount (Expected)","41 Source Type",$C$5,"5 Source No.",$C1881,"4 Item Ledger Entry Type",$C$4,"2 Item No.","@@"&amp;$F1881,"3 Posting Date",Z$9)+NL("Sum","5802 Value Entry","17 Sales Amount (Actual)","41 Source Type",$C$5,"5 Source no.",$C1881,"4 Item Ledger Entry Type",$C$4,"2 Item No.","@@"&amp;$F1881,"3 Posting Date",Z$9)</t>
  </si>
  <si>
    <t>=-NL("Sum","5802 Value Entry","151 Cost Amount (Expected)","41 Source Type",$C$5,"5 Source No.",$C1881,"4 Item Ledger Entry Type",$C$4,"2 Item No.","@@"&amp;$F1881,"3 Posting Date",Z$9)-NL("Sum","5802 Value Entry","43 Cost Amount (Actual)","41 Source Type",$C$5,"5 Source no.",$C1881,"4 Item Ledger Entry Type",$C$4,"2 Item No.","@@"&amp;$F1881,"3 Posting Date",Z$9)</t>
  </si>
  <si>
    <t>=Z1881-AB1881</t>
  </si>
  <si>
    <t>=IF(Z1881&lt;&gt;0,AC1881/Z1881,"")</t>
  </si>
  <si>
    <t>=C1881</t>
  </si>
  <si>
    <t>=NL("Sum","5802 Value Entry","150 Sales Amount (Expected)","41 Source Type",$C$5,"5 Source No.",$C1882,"4 Item Ledger Entry Type",$C$4,"2 Item No.","@@"&amp;$F1882,"3 Posting Date",J$9)+NL("Sum","5802 Value Entry","17 Sales Amount (Actual)","41 Source Type",$C$5,"5 Source no.",$C1882,"4 Item Ledger Entry Type",$C$4,"2 Item No.","@@"&amp;$F1882,"3 Posting Date",J$9)</t>
  </si>
  <si>
    <t>=-NL("Sum","5802 Value Entry","151 Cost Amount (Expected)","41 Source Type",$C$5,"5 Source No.",$C1882,"4 Item Ledger Entry Type",$C$4,"2 Item No.","@@"&amp;$F1882,"3 Posting Date",J$9)-NL("Sum","5802 Value Entry","43 Cost Amount (Actual)","41 Source Type",$C$5,"5 Source no.",$C1882,"4 Item Ledger Entry Type",$C$4,"2 Item No.","@@"&amp;$F1882,"3 Posting Date",J$9)</t>
  </si>
  <si>
    <t>=J1882-L1882</t>
  </si>
  <si>
    <t>=IF(J1882&lt;&gt;0,M1882/J1882,"")</t>
  </si>
  <si>
    <t>=NL("Sum","5802 Value Entry","150 Sales Amount (Expected)","41 Source Type",$C$5,"5 Source No.",$C1882,"4 Item Ledger Entry Type",$C$4,"2 Item No.","@@"&amp;$F1882,"3 Posting Date",O$9)+NL("Sum","5802 Value Entry","17 Sales Amount (Actual)","41 Source Type",$C$5,"5 Source no.",$C1882,"4 Item Ledger Entry Type",$C$4,"2 Item No.","@@"&amp;$F1882,"3 Posting Date",O$9)</t>
  </si>
  <si>
    <t>=-NL("Sum","5802 Value Entry","151 Cost Amount (Expected)","41 Source Type",$C$5,"5 Source No.",$C1882,"4 Item Ledger Entry Type",$C$4,"2 Item No.","@@"&amp;$F1882,"3 Posting Date",O$9)-NL("Sum","5802 Value Entry","43 Cost Amount (Actual)","41 Source Type",$C$5,"5 Source no.",$C1882,"4 Item Ledger Entry Type",$C$4,"2 Item No.","@@"&amp;$F1882,"3 Posting Date",O$9)</t>
  </si>
  <si>
    <t>=O1882-Q1882</t>
  </si>
  <si>
    <t>=IF(O1882&lt;&gt;0,R1882/O1882,"")</t>
  </si>
  <si>
    <t>=NL("Sum","5802 Value Entry","150 Sales Amount (Expected)","41 Source Type",$C$5,"5 Source No.",$C1882,"4 Item Ledger Entry Type",$C$4,"2 Item No.","@@"&amp;$F1882,"3 Posting Date",U$9)+NL("Sum","5802 Value Entry","17 Sales Amount (Actual)","41 Source Type",$C$5,"5 Source no.",$C1882,"4 Item Ledger Entry Type",$C$4,"2 Item No.","@@"&amp;$F1882,"3 Posting Date",U$9)</t>
  </si>
  <si>
    <t>=-NL("Sum","5802 Value Entry","151 Cost Amount (Expected)","41 Source Type",$C$5,"5 Source No.",$C1882,"4 Item Ledger Entry Type",$C$4,"2 Item No.","@@"&amp;$F1882,"3 Posting Date",U$9)-NL("Sum","5802 Value Entry","43 Cost Amount (Actual)","41 Source Type",$C$5,"5 Source no.",$C1882,"4 Item Ledger Entry Type",$C$4,"2 Item No.","@@"&amp;$F1882,"3 Posting Date",U$9)</t>
  </si>
  <si>
    <t>=U1882-W1882</t>
  </si>
  <si>
    <t>=IF(U1882&lt;&gt;0,X1882/U1882,"")</t>
  </si>
  <si>
    <t>=NL("Sum","5802 Value Entry","150 Sales Amount (Expected)","41 Source Type",$C$5,"5 Source No.",$C1882,"4 Item Ledger Entry Type",$C$4,"2 Item No.","@@"&amp;$F1882,"3 Posting Date",Z$9)+NL("Sum","5802 Value Entry","17 Sales Amount (Actual)","41 Source Type",$C$5,"5 Source no.",$C1882,"4 Item Ledger Entry Type",$C$4,"2 Item No.","@@"&amp;$F1882,"3 Posting Date",Z$9)</t>
  </si>
  <si>
    <t>=-NL("Sum","5802 Value Entry","151 Cost Amount (Expected)","41 Source Type",$C$5,"5 Source No.",$C1882,"4 Item Ledger Entry Type",$C$4,"2 Item No.","@@"&amp;$F1882,"3 Posting Date",Z$9)-NL("Sum","5802 Value Entry","43 Cost Amount (Actual)","41 Source Type",$C$5,"5 Source no.",$C1882,"4 Item Ledger Entry Type",$C$4,"2 Item No.","@@"&amp;$F1882,"3 Posting Date",Z$9)</t>
  </si>
  <si>
    <t>=Z1882-AB1882</t>
  </si>
  <si>
    <t>=IF(Z1882&lt;&gt;0,AC1882/Z1882,"")</t>
  </si>
  <si>
    <t>=C1882</t>
  </si>
  <si>
    <t>=NL("Sum","5802 Value Entry","150 Sales Amount (Expected)","41 Source Type",$C$5,"5 Source No.",$C1883,"4 Item Ledger Entry Type",$C$4,"2 Item No.","@@"&amp;$F1883,"3 Posting Date",J$9)+NL("Sum","5802 Value Entry","17 Sales Amount (Actual)","41 Source Type",$C$5,"5 Source no.",$C1883,"4 Item Ledger Entry Type",$C$4,"2 Item No.","@@"&amp;$F1883,"3 Posting Date",J$9)</t>
  </si>
  <si>
    <t>=-NL("Sum","5802 Value Entry","151 Cost Amount (Expected)","41 Source Type",$C$5,"5 Source No.",$C1883,"4 Item Ledger Entry Type",$C$4,"2 Item No.","@@"&amp;$F1883,"3 Posting Date",J$9)-NL("Sum","5802 Value Entry","43 Cost Amount (Actual)","41 Source Type",$C$5,"5 Source no.",$C1883,"4 Item Ledger Entry Type",$C$4,"2 Item No.","@@"&amp;$F1883,"3 Posting Date",J$9)</t>
  </si>
  <si>
    <t>=J1883-L1883</t>
  </si>
  <si>
    <t>=IF(J1883&lt;&gt;0,M1883/J1883,"")</t>
  </si>
  <si>
    <t>=NL("Sum","5802 Value Entry","150 Sales Amount (Expected)","41 Source Type",$C$5,"5 Source No.",$C1883,"4 Item Ledger Entry Type",$C$4,"2 Item No.","@@"&amp;$F1883,"3 Posting Date",O$9)+NL("Sum","5802 Value Entry","17 Sales Amount (Actual)","41 Source Type",$C$5,"5 Source no.",$C1883,"4 Item Ledger Entry Type",$C$4,"2 Item No.","@@"&amp;$F1883,"3 Posting Date",O$9)</t>
  </si>
  <si>
    <t>=-NL("Sum","5802 Value Entry","151 Cost Amount (Expected)","41 Source Type",$C$5,"5 Source No.",$C1883,"4 Item Ledger Entry Type",$C$4,"2 Item No.","@@"&amp;$F1883,"3 Posting Date",O$9)-NL("Sum","5802 Value Entry","43 Cost Amount (Actual)","41 Source Type",$C$5,"5 Source no.",$C1883,"4 Item Ledger Entry Type",$C$4,"2 Item No.","@@"&amp;$F1883,"3 Posting Date",O$9)</t>
  </si>
  <si>
    <t>=O1883-Q1883</t>
  </si>
  <si>
    <t>=IF(O1883&lt;&gt;0,R1883/O1883,"")</t>
  </si>
  <si>
    <t>=NL("Sum","5802 Value Entry","150 Sales Amount (Expected)","41 Source Type",$C$5,"5 Source No.",$C1883,"4 Item Ledger Entry Type",$C$4,"2 Item No.","@@"&amp;$F1883,"3 Posting Date",U$9)+NL("Sum","5802 Value Entry","17 Sales Amount (Actual)","41 Source Type",$C$5,"5 Source no.",$C1883,"4 Item Ledger Entry Type",$C$4,"2 Item No.","@@"&amp;$F1883,"3 Posting Date",U$9)</t>
  </si>
  <si>
    <t>=-NL("Sum","5802 Value Entry","151 Cost Amount (Expected)","41 Source Type",$C$5,"5 Source No.",$C1883,"4 Item Ledger Entry Type",$C$4,"2 Item No.","@@"&amp;$F1883,"3 Posting Date",U$9)-NL("Sum","5802 Value Entry","43 Cost Amount (Actual)","41 Source Type",$C$5,"5 Source no.",$C1883,"4 Item Ledger Entry Type",$C$4,"2 Item No.","@@"&amp;$F1883,"3 Posting Date",U$9)</t>
  </si>
  <si>
    <t>=U1883-W1883</t>
  </si>
  <si>
    <t>=IF(U1883&lt;&gt;0,X1883/U1883,"")</t>
  </si>
  <si>
    <t>=NL("Sum","5802 Value Entry","150 Sales Amount (Expected)","41 Source Type",$C$5,"5 Source No.",$C1883,"4 Item Ledger Entry Type",$C$4,"2 Item No.","@@"&amp;$F1883,"3 Posting Date",Z$9)+NL("Sum","5802 Value Entry","17 Sales Amount (Actual)","41 Source Type",$C$5,"5 Source no.",$C1883,"4 Item Ledger Entry Type",$C$4,"2 Item No.","@@"&amp;$F1883,"3 Posting Date",Z$9)</t>
  </si>
  <si>
    <t>=-NL("Sum","5802 Value Entry","151 Cost Amount (Expected)","41 Source Type",$C$5,"5 Source No.",$C1883,"4 Item Ledger Entry Type",$C$4,"2 Item No.","@@"&amp;$F1883,"3 Posting Date",Z$9)-NL("Sum","5802 Value Entry","43 Cost Amount (Actual)","41 Source Type",$C$5,"5 Source no.",$C1883,"4 Item Ledger Entry Type",$C$4,"2 Item No.","@@"&amp;$F1883,"3 Posting Date",Z$9)</t>
  </si>
  <si>
    <t>=Z1883-AB1883</t>
  </si>
  <si>
    <t>=IF(Z1883&lt;&gt;0,AC1883/Z1883,"")</t>
  </si>
  <si>
    <t>=C1883</t>
  </si>
  <si>
    <t>=NL("Sum","5802 Value Entry","150 Sales Amount (Expected)","41 Source Type",$C$5,"5 Source No.",$C1884,"4 Item Ledger Entry Type",$C$4,"2 Item No.","@@"&amp;$F1884,"3 Posting Date",J$9)+NL("Sum","5802 Value Entry","17 Sales Amount (Actual)","41 Source Type",$C$5,"5 Source no.",$C1884,"4 Item Ledger Entry Type",$C$4,"2 Item No.","@@"&amp;$F1884,"3 Posting Date",J$9)</t>
  </si>
  <si>
    <t>=-NL("Sum","5802 Value Entry","151 Cost Amount (Expected)","41 Source Type",$C$5,"5 Source No.",$C1884,"4 Item Ledger Entry Type",$C$4,"2 Item No.","@@"&amp;$F1884,"3 Posting Date",J$9)-NL("Sum","5802 Value Entry","43 Cost Amount (Actual)","41 Source Type",$C$5,"5 Source no.",$C1884,"4 Item Ledger Entry Type",$C$4,"2 Item No.","@@"&amp;$F1884,"3 Posting Date",J$9)</t>
  </si>
  <si>
    <t>=J1884-L1884</t>
  </si>
  <si>
    <t>=IF(J1884&lt;&gt;0,M1884/J1884,"")</t>
  </si>
  <si>
    <t>=NL("Sum","5802 Value Entry","150 Sales Amount (Expected)","41 Source Type",$C$5,"5 Source No.",$C1884,"4 Item Ledger Entry Type",$C$4,"2 Item No.","@@"&amp;$F1884,"3 Posting Date",O$9)+NL("Sum","5802 Value Entry","17 Sales Amount (Actual)","41 Source Type",$C$5,"5 Source no.",$C1884,"4 Item Ledger Entry Type",$C$4,"2 Item No.","@@"&amp;$F1884,"3 Posting Date",O$9)</t>
  </si>
  <si>
    <t>=-NL("Sum","5802 Value Entry","151 Cost Amount (Expected)","41 Source Type",$C$5,"5 Source No.",$C1884,"4 Item Ledger Entry Type",$C$4,"2 Item No.","@@"&amp;$F1884,"3 Posting Date",O$9)-NL("Sum","5802 Value Entry","43 Cost Amount (Actual)","41 Source Type",$C$5,"5 Source no.",$C1884,"4 Item Ledger Entry Type",$C$4,"2 Item No.","@@"&amp;$F1884,"3 Posting Date",O$9)</t>
  </si>
  <si>
    <t>=O1884-Q1884</t>
  </si>
  <si>
    <t>=IF(O1884&lt;&gt;0,R1884/O1884,"")</t>
  </si>
  <si>
    <t>=NL("Sum","5802 Value Entry","150 Sales Amount (Expected)","41 Source Type",$C$5,"5 Source No.",$C1884,"4 Item Ledger Entry Type",$C$4,"2 Item No.","@@"&amp;$F1884,"3 Posting Date",U$9)+NL("Sum","5802 Value Entry","17 Sales Amount (Actual)","41 Source Type",$C$5,"5 Source no.",$C1884,"4 Item Ledger Entry Type",$C$4,"2 Item No.","@@"&amp;$F1884,"3 Posting Date",U$9)</t>
  </si>
  <si>
    <t>=-NL("Sum","5802 Value Entry","151 Cost Amount (Expected)","41 Source Type",$C$5,"5 Source No.",$C1884,"4 Item Ledger Entry Type",$C$4,"2 Item No.","@@"&amp;$F1884,"3 Posting Date",U$9)-NL("Sum","5802 Value Entry","43 Cost Amount (Actual)","41 Source Type",$C$5,"5 Source no.",$C1884,"4 Item Ledger Entry Type",$C$4,"2 Item No.","@@"&amp;$F1884,"3 Posting Date",U$9)</t>
  </si>
  <si>
    <t>=U1884-W1884</t>
  </si>
  <si>
    <t>=IF(U1884&lt;&gt;0,X1884/U1884,"")</t>
  </si>
  <si>
    <t>=NL("Sum","5802 Value Entry","150 Sales Amount (Expected)","41 Source Type",$C$5,"5 Source No.",$C1884,"4 Item Ledger Entry Type",$C$4,"2 Item No.","@@"&amp;$F1884,"3 Posting Date",Z$9)+NL("Sum","5802 Value Entry","17 Sales Amount (Actual)","41 Source Type",$C$5,"5 Source no.",$C1884,"4 Item Ledger Entry Type",$C$4,"2 Item No.","@@"&amp;$F1884,"3 Posting Date",Z$9)</t>
  </si>
  <si>
    <t>=-NL("Sum","5802 Value Entry","151 Cost Amount (Expected)","41 Source Type",$C$5,"5 Source No.",$C1884,"4 Item Ledger Entry Type",$C$4,"2 Item No.","@@"&amp;$F1884,"3 Posting Date",Z$9)-NL("Sum","5802 Value Entry","43 Cost Amount (Actual)","41 Source Type",$C$5,"5 Source no.",$C1884,"4 Item Ledger Entry Type",$C$4,"2 Item No.","@@"&amp;$F1884,"3 Posting Date",Z$9)</t>
  </si>
  <si>
    <t>=Z1884-AB1884</t>
  </si>
  <si>
    <t>=IF(Z1884&lt;&gt;0,AC1884/Z1884,"")</t>
  </si>
  <si>
    <t>=C1884</t>
  </si>
  <si>
    <t>=NL("Sum","5802 Value Entry","150 Sales Amount (Expected)","41 Source Type",$C$5,"5 Source No.",$C1885,"4 Item Ledger Entry Type",$C$4,"2 Item No.","@@"&amp;$F1885,"3 Posting Date",J$9)+NL("Sum","5802 Value Entry","17 Sales Amount (Actual)","41 Source Type",$C$5,"5 Source no.",$C1885,"4 Item Ledger Entry Type",$C$4,"2 Item No.","@@"&amp;$F1885,"3 Posting Date",J$9)</t>
  </si>
  <si>
    <t>=-NL("Sum","5802 Value Entry","151 Cost Amount (Expected)","41 Source Type",$C$5,"5 Source No.",$C1885,"4 Item Ledger Entry Type",$C$4,"2 Item No.","@@"&amp;$F1885,"3 Posting Date",J$9)-NL("Sum","5802 Value Entry","43 Cost Amount (Actual)","41 Source Type",$C$5,"5 Source no.",$C1885,"4 Item Ledger Entry Type",$C$4,"2 Item No.","@@"&amp;$F1885,"3 Posting Date",J$9)</t>
  </si>
  <si>
    <t>=J1885-L1885</t>
  </si>
  <si>
    <t>=IF(J1885&lt;&gt;0,M1885/J1885,"")</t>
  </si>
  <si>
    <t>=NL("Sum","5802 Value Entry","150 Sales Amount (Expected)","41 Source Type",$C$5,"5 Source No.",$C1885,"4 Item Ledger Entry Type",$C$4,"2 Item No.","@@"&amp;$F1885,"3 Posting Date",O$9)+NL("Sum","5802 Value Entry","17 Sales Amount (Actual)","41 Source Type",$C$5,"5 Source no.",$C1885,"4 Item Ledger Entry Type",$C$4,"2 Item No.","@@"&amp;$F1885,"3 Posting Date",O$9)</t>
  </si>
  <si>
    <t>=-NL("Sum","5802 Value Entry","151 Cost Amount (Expected)","41 Source Type",$C$5,"5 Source No.",$C1885,"4 Item Ledger Entry Type",$C$4,"2 Item No.","@@"&amp;$F1885,"3 Posting Date",O$9)-NL("Sum","5802 Value Entry","43 Cost Amount (Actual)","41 Source Type",$C$5,"5 Source no.",$C1885,"4 Item Ledger Entry Type",$C$4,"2 Item No.","@@"&amp;$F1885,"3 Posting Date",O$9)</t>
  </si>
  <si>
    <t>=O1885-Q1885</t>
  </si>
  <si>
    <t>=IF(O1885&lt;&gt;0,R1885/O1885,"")</t>
  </si>
  <si>
    <t>=NL("Sum","5802 Value Entry","150 Sales Amount (Expected)","41 Source Type",$C$5,"5 Source No.",$C1885,"4 Item Ledger Entry Type",$C$4,"2 Item No.","@@"&amp;$F1885,"3 Posting Date",U$9)+NL("Sum","5802 Value Entry","17 Sales Amount (Actual)","41 Source Type",$C$5,"5 Source no.",$C1885,"4 Item Ledger Entry Type",$C$4,"2 Item No.","@@"&amp;$F1885,"3 Posting Date",U$9)</t>
  </si>
  <si>
    <t>=-NL("Sum","5802 Value Entry","151 Cost Amount (Expected)","41 Source Type",$C$5,"5 Source No.",$C1885,"4 Item Ledger Entry Type",$C$4,"2 Item No.","@@"&amp;$F1885,"3 Posting Date",U$9)-NL("Sum","5802 Value Entry","43 Cost Amount (Actual)","41 Source Type",$C$5,"5 Source no.",$C1885,"4 Item Ledger Entry Type",$C$4,"2 Item No.","@@"&amp;$F1885,"3 Posting Date",U$9)</t>
  </si>
  <si>
    <t>=U1885-W1885</t>
  </si>
  <si>
    <t>=IF(U1885&lt;&gt;0,X1885/U1885,"")</t>
  </si>
  <si>
    <t>=NL("Sum","5802 Value Entry","150 Sales Amount (Expected)","41 Source Type",$C$5,"5 Source No.",$C1885,"4 Item Ledger Entry Type",$C$4,"2 Item No.","@@"&amp;$F1885,"3 Posting Date",Z$9)+NL("Sum","5802 Value Entry","17 Sales Amount (Actual)","41 Source Type",$C$5,"5 Source no.",$C1885,"4 Item Ledger Entry Type",$C$4,"2 Item No.","@@"&amp;$F1885,"3 Posting Date",Z$9)</t>
  </si>
  <si>
    <t>=-NL("Sum","5802 Value Entry","151 Cost Amount (Expected)","41 Source Type",$C$5,"5 Source No.",$C1885,"4 Item Ledger Entry Type",$C$4,"2 Item No.","@@"&amp;$F1885,"3 Posting Date",Z$9)-NL("Sum","5802 Value Entry","43 Cost Amount (Actual)","41 Source Type",$C$5,"5 Source no.",$C1885,"4 Item Ledger Entry Type",$C$4,"2 Item No.","@@"&amp;$F1885,"3 Posting Date",Z$9)</t>
  </si>
  <si>
    <t>=Z1885-AB1885</t>
  </si>
  <si>
    <t>=IF(Z1885&lt;&gt;0,AC1885/Z1885,"")</t>
  </si>
  <si>
    <t>=C1885</t>
  </si>
  <si>
    <t>=NL("Sum","5802 Value Entry","150 Sales Amount (Expected)","41 Source Type",$C$5,"5 Source No.",$C1886,"4 Item Ledger Entry Type",$C$4,"2 Item No.","@@"&amp;$F1886,"3 Posting Date",J$9)+NL("Sum","5802 Value Entry","17 Sales Amount (Actual)","41 Source Type",$C$5,"5 Source no.",$C1886,"4 Item Ledger Entry Type",$C$4,"2 Item No.","@@"&amp;$F1886,"3 Posting Date",J$9)</t>
  </si>
  <si>
    <t>=-NL("Sum","5802 Value Entry","151 Cost Amount (Expected)","41 Source Type",$C$5,"5 Source No.",$C1886,"4 Item Ledger Entry Type",$C$4,"2 Item No.","@@"&amp;$F1886,"3 Posting Date",J$9)-NL("Sum","5802 Value Entry","43 Cost Amount (Actual)","41 Source Type",$C$5,"5 Source no.",$C1886,"4 Item Ledger Entry Type",$C$4,"2 Item No.","@@"&amp;$F1886,"3 Posting Date",J$9)</t>
  </si>
  <si>
    <t>=J1886-L1886</t>
  </si>
  <si>
    <t>=IF(J1886&lt;&gt;0,M1886/J1886,"")</t>
  </si>
  <si>
    <t>=NL("Sum","5802 Value Entry","150 Sales Amount (Expected)","41 Source Type",$C$5,"5 Source No.",$C1886,"4 Item Ledger Entry Type",$C$4,"2 Item No.","@@"&amp;$F1886,"3 Posting Date",O$9)+NL("Sum","5802 Value Entry","17 Sales Amount (Actual)","41 Source Type",$C$5,"5 Source no.",$C1886,"4 Item Ledger Entry Type",$C$4,"2 Item No.","@@"&amp;$F1886,"3 Posting Date",O$9)</t>
  </si>
  <si>
    <t>=-NL("Sum","5802 Value Entry","151 Cost Amount (Expected)","41 Source Type",$C$5,"5 Source No.",$C1886,"4 Item Ledger Entry Type",$C$4,"2 Item No.","@@"&amp;$F1886,"3 Posting Date",O$9)-NL("Sum","5802 Value Entry","43 Cost Amount (Actual)","41 Source Type",$C$5,"5 Source no.",$C1886,"4 Item Ledger Entry Type",$C$4,"2 Item No.","@@"&amp;$F1886,"3 Posting Date",O$9)</t>
  </si>
  <si>
    <t>=O1886-Q1886</t>
  </si>
  <si>
    <t>=IF(O1886&lt;&gt;0,R1886/O1886,"")</t>
  </si>
  <si>
    <t>=NL("Sum","5802 Value Entry","150 Sales Amount (Expected)","41 Source Type",$C$5,"5 Source No.",$C1886,"4 Item Ledger Entry Type",$C$4,"2 Item No.","@@"&amp;$F1886,"3 Posting Date",U$9)+NL("Sum","5802 Value Entry","17 Sales Amount (Actual)","41 Source Type",$C$5,"5 Source no.",$C1886,"4 Item Ledger Entry Type",$C$4,"2 Item No.","@@"&amp;$F1886,"3 Posting Date",U$9)</t>
  </si>
  <si>
    <t>=-NL("Sum","5802 Value Entry","151 Cost Amount (Expected)","41 Source Type",$C$5,"5 Source No.",$C1886,"4 Item Ledger Entry Type",$C$4,"2 Item No.","@@"&amp;$F1886,"3 Posting Date",U$9)-NL("Sum","5802 Value Entry","43 Cost Amount (Actual)","41 Source Type",$C$5,"5 Source no.",$C1886,"4 Item Ledger Entry Type",$C$4,"2 Item No.","@@"&amp;$F1886,"3 Posting Date",U$9)</t>
  </si>
  <si>
    <t>=U1886-W1886</t>
  </si>
  <si>
    <t>=IF(U1886&lt;&gt;0,X1886/U1886,"")</t>
  </si>
  <si>
    <t>=NL("Sum","5802 Value Entry","150 Sales Amount (Expected)","41 Source Type",$C$5,"5 Source No.",$C1886,"4 Item Ledger Entry Type",$C$4,"2 Item No.","@@"&amp;$F1886,"3 Posting Date",Z$9)+NL("Sum","5802 Value Entry","17 Sales Amount (Actual)","41 Source Type",$C$5,"5 Source no.",$C1886,"4 Item Ledger Entry Type",$C$4,"2 Item No.","@@"&amp;$F1886,"3 Posting Date",Z$9)</t>
  </si>
  <si>
    <t>=-NL("Sum","5802 Value Entry","151 Cost Amount (Expected)","41 Source Type",$C$5,"5 Source No.",$C1886,"4 Item Ledger Entry Type",$C$4,"2 Item No.","@@"&amp;$F1886,"3 Posting Date",Z$9)-NL("Sum","5802 Value Entry","43 Cost Amount (Actual)","41 Source Type",$C$5,"5 Source no.",$C1886,"4 Item Ledger Entry Type",$C$4,"2 Item No.","@@"&amp;$F1886,"3 Posting Date",Z$9)</t>
  </si>
  <si>
    <t>=Z1886-AB1886</t>
  </si>
  <si>
    <t>=IF(Z1886&lt;&gt;0,AC1886/Z1886,"")</t>
  </si>
  <si>
    <t>=C1886</t>
  </si>
  <si>
    <t>=NL("Sum","5802 Value Entry","150 Sales Amount (Expected)","41 Source Type",$C$5,"5 Source No.",$C1887,"4 Item Ledger Entry Type",$C$4,"2 Item No.","@@"&amp;$F1887,"3 Posting Date",J$9)+NL("Sum","5802 Value Entry","17 Sales Amount (Actual)","41 Source Type",$C$5,"5 Source no.",$C1887,"4 Item Ledger Entry Type",$C$4,"2 Item No.","@@"&amp;$F1887,"3 Posting Date",J$9)</t>
  </si>
  <si>
    <t>=-NL("Sum","5802 Value Entry","151 Cost Amount (Expected)","41 Source Type",$C$5,"5 Source No.",$C1887,"4 Item Ledger Entry Type",$C$4,"2 Item No.","@@"&amp;$F1887,"3 Posting Date",J$9)-NL("Sum","5802 Value Entry","43 Cost Amount (Actual)","41 Source Type",$C$5,"5 Source no.",$C1887,"4 Item Ledger Entry Type",$C$4,"2 Item No.","@@"&amp;$F1887,"3 Posting Date",J$9)</t>
  </si>
  <si>
    <t>=J1887-L1887</t>
  </si>
  <si>
    <t>=IF(J1887&lt;&gt;0,M1887/J1887,"")</t>
  </si>
  <si>
    <t>=NL("Sum","5802 Value Entry","150 Sales Amount (Expected)","41 Source Type",$C$5,"5 Source No.",$C1887,"4 Item Ledger Entry Type",$C$4,"2 Item No.","@@"&amp;$F1887,"3 Posting Date",O$9)+NL("Sum","5802 Value Entry","17 Sales Amount (Actual)","41 Source Type",$C$5,"5 Source no.",$C1887,"4 Item Ledger Entry Type",$C$4,"2 Item No.","@@"&amp;$F1887,"3 Posting Date",O$9)</t>
  </si>
  <si>
    <t>=-NL("Sum","5802 Value Entry","151 Cost Amount (Expected)","41 Source Type",$C$5,"5 Source No.",$C1887,"4 Item Ledger Entry Type",$C$4,"2 Item No.","@@"&amp;$F1887,"3 Posting Date",O$9)-NL("Sum","5802 Value Entry","43 Cost Amount (Actual)","41 Source Type",$C$5,"5 Source no.",$C1887,"4 Item Ledger Entry Type",$C$4,"2 Item No.","@@"&amp;$F1887,"3 Posting Date",O$9)</t>
  </si>
  <si>
    <t>=O1887-Q1887</t>
  </si>
  <si>
    <t>=IF(O1887&lt;&gt;0,R1887/O1887,"")</t>
  </si>
  <si>
    <t>=NL("Sum","5802 Value Entry","150 Sales Amount (Expected)","41 Source Type",$C$5,"5 Source No.",$C1887,"4 Item Ledger Entry Type",$C$4,"2 Item No.","@@"&amp;$F1887,"3 Posting Date",U$9)+NL("Sum","5802 Value Entry","17 Sales Amount (Actual)","41 Source Type",$C$5,"5 Source no.",$C1887,"4 Item Ledger Entry Type",$C$4,"2 Item No.","@@"&amp;$F1887,"3 Posting Date",U$9)</t>
  </si>
  <si>
    <t>=-NL("Sum","5802 Value Entry","151 Cost Amount (Expected)","41 Source Type",$C$5,"5 Source No.",$C1887,"4 Item Ledger Entry Type",$C$4,"2 Item No.","@@"&amp;$F1887,"3 Posting Date",U$9)-NL("Sum","5802 Value Entry","43 Cost Amount (Actual)","41 Source Type",$C$5,"5 Source no.",$C1887,"4 Item Ledger Entry Type",$C$4,"2 Item No.","@@"&amp;$F1887,"3 Posting Date",U$9)</t>
  </si>
  <si>
    <t>=U1887-W1887</t>
  </si>
  <si>
    <t>=IF(U1887&lt;&gt;0,X1887/U1887,"")</t>
  </si>
  <si>
    <t>=NL("Sum","5802 Value Entry","150 Sales Amount (Expected)","41 Source Type",$C$5,"5 Source No.",$C1887,"4 Item Ledger Entry Type",$C$4,"2 Item No.","@@"&amp;$F1887,"3 Posting Date",Z$9)+NL("Sum","5802 Value Entry","17 Sales Amount (Actual)","41 Source Type",$C$5,"5 Source no.",$C1887,"4 Item Ledger Entry Type",$C$4,"2 Item No.","@@"&amp;$F1887,"3 Posting Date",Z$9)</t>
  </si>
  <si>
    <t>=-NL("Sum","5802 Value Entry","151 Cost Amount (Expected)","41 Source Type",$C$5,"5 Source No.",$C1887,"4 Item Ledger Entry Type",$C$4,"2 Item No.","@@"&amp;$F1887,"3 Posting Date",Z$9)-NL("Sum","5802 Value Entry","43 Cost Amount (Actual)","41 Source Type",$C$5,"5 Source no.",$C1887,"4 Item Ledger Entry Type",$C$4,"2 Item No.","@@"&amp;$F1887,"3 Posting Date",Z$9)</t>
  </si>
  <si>
    <t>=Z1887-AB1887</t>
  </si>
  <si>
    <t>=IF(Z1887&lt;&gt;0,AC1887/Z1887,"")</t>
  </si>
  <si>
    <t>=C1887</t>
  </si>
  <si>
    <t>=NL("Sum","5802 Value Entry","150 Sales Amount (Expected)","41 Source Type",$C$5,"5 Source No.",$C1888,"4 Item Ledger Entry Type",$C$4,"2 Item No.","@@"&amp;$F1888,"3 Posting Date",J$9)+NL("Sum","5802 Value Entry","17 Sales Amount (Actual)","41 Source Type",$C$5,"5 Source no.",$C1888,"4 Item Ledger Entry Type",$C$4,"2 Item No.","@@"&amp;$F1888,"3 Posting Date",J$9)</t>
  </si>
  <si>
    <t>=-NL("Sum","5802 Value Entry","151 Cost Amount (Expected)","41 Source Type",$C$5,"5 Source No.",$C1888,"4 Item Ledger Entry Type",$C$4,"2 Item No.","@@"&amp;$F1888,"3 Posting Date",J$9)-NL("Sum","5802 Value Entry","43 Cost Amount (Actual)","41 Source Type",$C$5,"5 Source no.",$C1888,"4 Item Ledger Entry Type",$C$4,"2 Item No.","@@"&amp;$F1888,"3 Posting Date",J$9)</t>
  </si>
  <si>
    <t>=J1888-L1888</t>
  </si>
  <si>
    <t>=IF(J1888&lt;&gt;0,M1888/J1888,"")</t>
  </si>
  <si>
    <t>=NL("Sum","5802 Value Entry","150 Sales Amount (Expected)","41 Source Type",$C$5,"5 Source No.",$C1888,"4 Item Ledger Entry Type",$C$4,"2 Item No.","@@"&amp;$F1888,"3 Posting Date",O$9)+NL("Sum","5802 Value Entry","17 Sales Amount (Actual)","41 Source Type",$C$5,"5 Source no.",$C1888,"4 Item Ledger Entry Type",$C$4,"2 Item No.","@@"&amp;$F1888,"3 Posting Date",O$9)</t>
  </si>
  <si>
    <t>=-NL("Sum","5802 Value Entry","151 Cost Amount (Expected)","41 Source Type",$C$5,"5 Source No.",$C1888,"4 Item Ledger Entry Type",$C$4,"2 Item No.","@@"&amp;$F1888,"3 Posting Date",O$9)-NL("Sum","5802 Value Entry","43 Cost Amount (Actual)","41 Source Type",$C$5,"5 Source no.",$C1888,"4 Item Ledger Entry Type",$C$4,"2 Item No.","@@"&amp;$F1888,"3 Posting Date",O$9)</t>
  </si>
  <si>
    <t>=O1888-Q1888</t>
  </si>
  <si>
    <t>=IF(O1888&lt;&gt;0,R1888/O1888,"")</t>
  </si>
  <si>
    <t>=NL("Sum","5802 Value Entry","150 Sales Amount (Expected)","41 Source Type",$C$5,"5 Source No.",$C1888,"4 Item Ledger Entry Type",$C$4,"2 Item No.","@@"&amp;$F1888,"3 Posting Date",U$9)+NL("Sum","5802 Value Entry","17 Sales Amount (Actual)","41 Source Type",$C$5,"5 Source no.",$C1888,"4 Item Ledger Entry Type",$C$4,"2 Item No.","@@"&amp;$F1888,"3 Posting Date",U$9)</t>
  </si>
  <si>
    <t>=-NL("Sum","5802 Value Entry","151 Cost Amount (Expected)","41 Source Type",$C$5,"5 Source No.",$C1888,"4 Item Ledger Entry Type",$C$4,"2 Item No.","@@"&amp;$F1888,"3 Posting Date",U$9)-NL("Sum","5802 Value Entry","43 Cost Amount (Actual)","41 Source Type",$C$5,"5 Source no.",$C1888,"4 Item Ledger Entry Type",$C$4,"2 Item No.","@@"&amp;$F1888,"3 Posting Date",U$9)</t>
  </si>
  <si>
    <t>=U1888-W1888</t>
  </si>
  <si>
    <t>=IF(U1888&lt;&gt;0,X1888/U1888,"")</t>
  </si>
  <si>
    <t>=NL("Sum","5802 Value Entry","150 Sales Amount (Expected)","41 Source Type",$C$5,"5 Source No.",$C1888,"4 Item Ledger Entry Type",$C$4,"2 Item No.","@@"&amp;$F1888,"3 Posting Date",Z$9)+NL("Sum","5802 Value Entry","17 Sales Amount (Actual)","41 Source Type",$C$5,"5 Source no.",$C1888,"4 Item Ledger Entry Type",$C$4,"2 Item No.","@@"&amp;$F1888,"3 Posting Date",Z$9)</t>
  </si>
  <si>
    <t>=-NL("Sum","5802 Value Entry","151 Cost Amount (Expected)","41 Source Type",$C$5,"5 Source No.",$C1888,"4 Item Ledger Entry Type",$C$4,"2 Item No.","@@"&amp;$F1888,"3 Posting Date",Z$9)-NL("Sum","5802 Value Entry","43 Cost Amount (Actual)","41 Source Type",$C$5,"5 Source no.",$C1888,"4 Item Ledger Entry Type",$C$4,"2 Item No.","@@"&amp;$F1888,"3 Posting Date",Z$9)</t>
  </si>
  <si>
    <t>=Z1888-AB1888</t>
  </si>
  <si>
    <t>=IF(Z1888&lt;&gt;0,AC1888/Z1888,"")</t>
  </si>
  <si>
    <t>=C1888</t>
  </si>
  <si>
    <t>=NL("Sum","5802 Value Entry","150 Sales Amount (Expected)","41 Source Type",$C$5,"5 Source No.",$C1889,"4 Item Ledger Entry Type",$C$4,"2 Item No.","@@"&amp;$F1889,"3 Posting Date",J$9)+NL("Sum","5802 Value Entry","17 Sales Amount (Actual)","41 Source Type",$C$5,"5 Source no.",$C1889,"4 Item Ledger Entry Type",$C$4,"2 Item No.","@@"&amp;$F1889,"3 Posting Date",J$9)</t>
  </si>
  <si>
    <t>=-NL("Sum","5802 Value Entry","151 Cost Amount (Expected)","41 Source Type",$C$5,"5 Source No.",$C1889,"4 Item Ledger Entry Type",$C$4,"2 Item No.","@@"&amp;$F1889,"3 Posting Date",J$9)-NL("Sum","5802 Value Entry","43 Cost Amount (Actual)","41 Source Type",$C$5,"5 Source no.",$C1889,"4 Item Ledger Entry Type",$C$4,"2 Item No.","@@"&amp;$F1889,"3 Posting Date",J$9)</t>
  </si>
  <si>
    <t>=J1889-L1889</t>
  </si>
  <si>
    <t>=IF(J1889&lt;&gt;0,M1889/J1889,"")</t>
  </si>
  <si>
    <t>=NL("Sum","5802 Value Entry","150 Sales Amount (Expected)","41 Source Type",$C$5,"5 Source No.",$C1889,"4 Item Ledger Entry Type",$C$4,"2 Item No.","@@"&amp;$F1889,"3 Posting Date",O$9)+NL("Sum","5802 Value Entry","17 Sales Amount (Actual)","41 Source Type",$C$5,"5 Source no.",$C1889,"4 Item Ledger Entry Type",$C$4,"2 Item No.","@@"&amp;$F1889,"3 Posting Date",O$9)</t>
  </si>
  <si>
    <t>=-NL("Sum","5802 Value Entry","151 Cost Amount (Expected)","41 Source Type",$C$5,"5 Source No.",$C1889,"4 Item Ledger Entry Type",$C$4,"2 Item No.","@@"&amp;$F1889,"3 Posting Date",O$9)-NL("Sum","5802 Value Entry","43 Cost Amount (Actual)","41 Source Type",$C$5,"5 Source no.",$C1889,"4 Item Ledger Entry Type",$C$4,"2 Item No.","@@"&amp;$F1889,"3 Posting Date",O$9)</t>
  </si>
  <si>
    <t>=O1889-Q1889</t>
  </si>
  <si>
    <t>=IF(O1889&lt;&gt;0,R1889/O1889,"")</t>
  </si>
  <si>
    <t>=NL("Sum","5802 Value Entry","150 Sales Amount (Expected)","41 Source Type",$C$5,"5 Source No.",$C1889,"4 Item Ledger Entry Type",$C$4,"2 Item No.","@@"&amp;$F1889,"3 Posting Date",U$9)+NL("Sum","5802 Value Entry","17 Sales Amount (Actual)","41 Source Type",$C$5,"5 Source no.",$C1889,"4 Item Ledger Entry Type",$C$4,"2 Item No.","@@"&amp;$F1889,"3 Posting Date",U$9)</t>
  </si>
  <si>
    <t>=-NL("Sum","5802 Value Entry","151 Cost Amount (Expected)","41 Source Type",$C$5,"5 Source No.",$C1889,"4 Item Ledger Entry Type",$C$4,"2 Item No.","@@"&amp;$F1889,"3 Posting Date",U$9)-NL("Sum","5802 Value Entry","43 Cost Amount (Actual)","41 Source Type",$C$5,"5 Source no.",$C1889,"4 Item Ledger Entry Type",$C$4,"2 Item No.","@@"&amp;$F1889,"3 Posting Date",U$9)</t>
  </si>
  <si>
    <t>=U1889-W1889</t>
  </si>
  <si>
    <t>=IF(U1889&lt;&gt;0,X1889/U1889,"")</t>
  </si>
  <si>
    <t>=NL("Sum","5802 Value Entry","150 Sales Amount (Expected)","41 Source Type",$C$5,"5 Source No.",$C1889,"4 Item Ledger Entry Type",$C$4,"2 Item No.","@@"&amp;$F1889,"3 Posting Date",Z$9)+NL("Sum","5802 Value Entry","17 Sales Amount (Actual)","41 Source Type",$C$5,"5 Source no.",$C1889,"4 Item Ledger Entry Type",$C$4,"2 Item No.","@@"&amp;$F1889,"3 Posting Date",Z$9)</t>
  </si>
  <si>
    <t>=-NL("Sum","5802 Value Entry","151 Cost Amount (Expected)","41 Source Type",$C$5,"5 Source No.",$C1889,"4 Item Ledger Entry Type",$C$4,"2 Item No.","@@"&amp;$F1889,"3 Posting Date",Z$9)-NL("Sum","5802 Value Entry","43 Cost Amount (Actual)","41 Source Type",$C$5,"5 Source no.",$C1889,"4 Item Ledger Entry Type",$C$4,"2 Item No.","@@"&amp;$F1889,"3 Posting Date",Z$9)</t>
  </si>
  <si>
    <t>=Z1889-AB1889</t>
  </si>
  <si>
    <t>=IF(Z1889&lt;&gt;0,AC1889/Z1889,"")</t>
  </si>
  <si>
    <t>=C1889</t>
  </si>
  <si>
    <t>=NL("Sum","5802 Value Entry","150 Sales Amount (Expected)","41 Source Type",$C$5,"5 Source No.",$C1890,"4 Item Ledger Entry Type",$C$4,"2 Item No.","@@"&amp;$F1890,"3 Posting Date",J$9)+NL("Sum","5802 Value Entry","17 Sales Amount (Actual)","41 Source Type",$C$5,"5 Source no.",$C1890,"4 Item Ledger Entry Type",$C$4,"2 Item No.","@@"&amp;$F1890,"3 Posting Date",J$9)</t>
  </si>
  <si>
    <t>=-NL("Sum","5802 Value Entry","151 Cost Amount (Expected)","41 Source Type",$C$5,"5 Source No.",$C1890,"4 Item Ledger Entry Type",$C$4,"2 Item No.","@@"&amp;$F1890,"3 Posting Date",J$9)-NL("Sum","5802 Value Entry","43 Cost Amount (Actual)","41 Source Type",$C$5,"5 Source no.",$C1890,"4 Item Ledger Entry Type",$C$4,"2 Item No.","@@"&amp;$F1890,"3 Posting Date",J$9)</t>
  </si>
  <si>
    <t>=J1890-L1890</t>
  </si>
  <si>
    <t>=IF(J1890&lt;&gt;0,M1890/J1890,"")</t>
  </si>
  <si>
    <t>=NL("Sum","5802 Value Entry","150 Sales Amount (Expected)","41 Source Type",$C$5,"5 Source No.",$C1890,"4 Item Ledger Entry Type",$C$4,"2 Item No.","@@"&amp;$F1890,"3 Posting Date",O$9)+NL("Sum","5802 Value Entry","17 Sales Amount (Actual)","41 Source Type",$C$5,"5 Source no.",$C1890,"4 Item Ledger Entry Type",$C$4,"2 Item No.","@@"&amp;$F1890,"3 Posting Date",O$9)</t>
  </si>
  <si>
    <t>=-NL("Sum","5802 Value Entry","151 Cost Amount (Expected)","41 Source Type",$C$5,"5 Source No.",$C1890,"4 Item Ledger Entry Type",$C$4,"2 Item No.","@@"&amp;$F1890,"3 Posting Date",O$9)-NL("Sum","5802 Value Entry","43 Cost Amount (Actual)","41 Source Type",$C$5,"5 Source no.",$C1890,"4 Item Ledger Entry Type",$C$4,"2 Item No.","@@"&amp;$F1890,"3 Posting Date",O$9)</t>
  </si>
  <si>
    <t>=O1890-Q1890</t>
  </si>
  <si>
    <t>=IF(O1890&lt;&gt;0,R1890/O1890,"")</t>
  </si>
  <si>
    <t>=NL("Sum","5802 Value Entry","150 Sales Amount (Expected)","41 Source Type",$C$5,"5 Source No.",$C1890,"4 Item Ledger Entry Type",$C$4,"2 Item No.","@@"&amp;$F1890,"3 Posting Date",U$9)+NL("Sum","5802 Value Entry","17 Sales Amount (Actual)","41 Source Type",$C$5,"5 Source no.",$C1890,"4 Item Ledger Entry Type",$C$4,"2 Item No.","@@"&amp;$F1890,"3 Posting Date",U$9)</t>
  </si>
  <si>
    <t>=-NL("Sum","5802 Value Entry","151 Cost Amount (Expected)","41 Source Type",$C$5,"5 Source No.",$C1890,"4 Item Ledger Entry Type",$C$4,"2 Item No.","@@"&amp;$F1890,"3 Posting Date",U$9)-NL("Sum","5802 Value Entry","43 Cost Amount (Actual)","41 Source Type",$C$5,"5 Source no.",$C1890,"4 Item Ledger Entry Type",$C$4,"2 Item No.","@@"&amp;$F1890,"3 Posting Date",U$9)</t>
  </si>
  <si>
    <t>=U1890-W1890</t>
  </si>
  <si>
    <t>=IF(U1890&lt;&gt;0,X1890/U1890,"")</t>
  </si>
  <si>
    <t>=NL("Sum","5802 Value Entry","150 Sales Amount (Expected)","41 Source Type",$C$5,"5 Source No.",$C1890,"4 Item Ledger Entry Type",$C$4,"2 Item No.","@@"&amp;$F1890,"3 Posting Date",Z$9)+NL("Sum","5802 Value Entry","17 Sales Amount (Actual)","41 Source Type",$C$5,"5 Source no.",$C1890,"4 Item Ledger Entry Type",$C$4,"2 Item No.","@@"&amp;$F1890,"3 Posting Date",Z$9)</t>
  </si>
  <si>
    <t>=-NL("Sum","5802 Value Entry","151 Cost Amount (Expected)","41 Source Type",$C$5,"5 Source No.",$C1890,"4 Item Ledger Entry Type",$C$4,"2 Item No.","@@"&amp;$F1890,"3 Posting Date",Z$9)-NL("Sum","5802 Value Entry","43 Cost Amount (Actual)","41 Source Type",$C$5,"5 Source no.",$C1890,"4 Item Ledger Entry Type",$C$4,"2 Item No.","@@"&amp;$F1890,"3 Posting Date",Z$9)</t>
  </si>
  <si>
    <t>=Z1890-AB1890</t>
  </si>
  <si>
    <t>=IF(Z1890&lt;&gt;0,AC1890/Z1890,"")</t>
  </si>
  <si>
    <t>=C1890</t>
  </si>
  <si>
    <t>=NL("Sum","5802 Value Entry","150 Sales Amount (Expected)","41 Source Type",$C$5,"5 Source No.",$C1891,"4 Item Ledger Entry Type",$C$4,"2 Item No.","@@"&amp;$F1891,"3 Posting Date",J$9)+NL("Sum","5802 Value Entry","17 Sales Amount (Actual)","41 Source Type",$C$5,"5 Source no.",$C1891,"4 Item Ledger Entry Type",$C$4,"2 Item No.","@@"&amp;$F1891,"3 Posting Date",J$9)</t>
  </si>
  <si>
    <t>=-NL("Sum","5802 Value Entry","151 Cost Amount (Expected)","41 Source Type",$C$5,"5 Source No.",$C1891,"4 Item Ledger Entry Type",$C$4,"2 Item No.","@@"&amp;$F1891,"3 Posting Date",J$9)-NL("Sum","5802 Value Entry","43 Cost Amount (Actual)","41 Source Type",$C$5,"5 Source no.",$C1891,"4 Item Ledger Entry Type",$C$4,"2 Item No.","@@"&amp;$F1891,"3 Posting Date",J$9)</t>
  </si>
  <si>
    <t>=J1891-L1891</t>
  </si>
  <si>
    <t>=IF(J1891&lt;&gt;0,M1891/J1891,"")</t>
  </si>
  <si>
    <t>=NL("Sum","5802 Value Entry","150 Sales Amount (Expected)","41 Source Type",$C$5,"5 Source No.",$C1891,"4 Item Ledger Entry Type",$C$4,"2 Item No.","@@"&amp;$F1891,"3 Posting Date",O$9)+NL("Sum","5802 Value Entry","17 Sales Amount (Actual)","41 Source Type",$C$5,"5 Source no.",$C1891,"4 Item Ledger Entry Type",$C$4,"2 Item No.","@@"&amp;$F1891,"3 Posting Date",O$9)</t>
  </si>
  <si>
    <t>=-NL("Sum","5802 Value Entry","151 Cost Amount (Expected)","41 Source Type",$C$5,"5 Source No.",$C1891,"4 Item Ledger Entry Type",$C$4,"2 Item No.","@@"&amp;$F1891,"3 Posting Date",O$9)-NL("Sum","5802 Value Entry","43 Cost Amount (Actual)","41 Source Type",$C$5,"5 Source no.",$C1891,"4 Item Ledger Entry Type",$C$4,"2 Item No.","@@"&amp;$F1891,"3 Posting Date",O$9)</t>
  </si>
  <si>
    <t>=O1891-Q1891</t>
  </si>
  <si>
    <t>=IF(O1891&lt;&gt;0,R1891/O1891,"")</t>
  </si>
  <si>
    <t>=NL("Sum","5802 Value Entry","150 Sales Amount (Expected)","41 Source Type",$C$5,"5 Source No.",$C1891,"4 Item Ledger Entry Type",$C$4,"2 Item No.","@@"&amp;$F1891,"3 Posting Date",U$9)+NL("Sum","5802 Value Entry","17 Sales Amount (Actual)","41 Source Type",$C$5,"5 Source no.",$C1891,"4 Item Ledger Entry Type",$C$4,"2 Item No.","@@"&amp;$F1891,"3 Posting Date",U$9)</t>
  </si>
  <si>
    <t>=-NL("Sum","5802 Value Entry","151 Cost Amount (Expected)","41 Source Type",$C$5,"5 Source No.",$C1891,"4 Item Ledger Entry Type",$C$4,"2 Item No.","@@"&amp;$F1891,"3 Posting Date",U$9)-NL("Sum","5802 Value Entry","43 Cost Amount (Actual)","41 Source Type",$C$5,"5 Source no.",$C1891,"4 Item Ledger Entry Type",$C$4,"2 Item No.","@@"&amp;$F1891,"3 Posting Date",U$9)</t>
  </si>
  <si>
    <t>=U1891-W1891</t>
  </si>
  <si>
    <t>=IF(U1891&lt;&gt;0,X1891/U1891,"")</t>
  </si>
  <si>
    <t>=NL("Sum","5802 Value Entry","150 Sales Amount (Expected)","41 Source Type",$C$5,"5 Source No.",$C1891,"4 Item Ledger Entry Type",$C$4,"2 Item No.","@@"&amp;$F1891,"3 Posting Date",Z$9)+NL("Sum","5802 Value Entry","17 Sales Amount (Actual)","41 Source Type",$C$5,"5 Source no.",$C1891,"4 Item Ledger Entry Type",$C$4,"2 Item No.","@@"&amp;$F1891,"3 Posting Date",Z$9)</t>
  </si>
  <si>
    <t>=-NL("Sum","5802 Value Entry","151 Cost Amount (Expected)","41 Source Type",$C$5,"5 Source No.",$C1891,"4 Item Ledger Entry Type",$C$4,"2 Item No.","@@"&amp;$F1891,"3 Posting Date",Z$9)-NL("Sum","5802 Value Entry","43 Cost Amount (Actual)","41 Source Type",$C$5,"5 Source no.",$C1891,"4 Item Ledger Entry Type",$C$4,"2 Item No.","@@"&amp;$F1891,"3 Posting Date",Z$9)</t>
  </si>
  <si>
    <t>=Z1891-AB1891</t>
  </si>
  <si>
    <t>=IF(Z1891&lt;&gt;0,AC1891/Z1891,"")</t>
  </si>
  <si>
    <t>=C1891</t>
  </si>
  <si>
    <t>=NL("Sum","5802 Value Entry","150 Sales Amount (Expected)","41 Source Type",$C$5,"5 Source No.",$C1892,"4 Item Ledger Entry Type",$C$4,"2 Item No.","@@"&amp;$F1892,"3 Posting Date",J$9)+NL("Sum","5802 Value Entry","17 Sales Amount (Actual)","41 Source Type",$C$5,"5 Source no.",$C1892,"4 Item Ledger Entry Type",$C$4,"2 Item No.","@@"&amp;$F1892,"3 Posting Date",J$9)</t>
  </si>
  <si>
    <t>=-NL("Sum","5802 Value Entry","151 Cost Amount (Expected)","41 Source Type",$C$5,"5 Source No.",$C1892,"4 Item Ledger Entry Type",$C$4,"2 Item No.","@@"&amp;$F1892,"3 Posting Date",J$9)-NL("Sum","5802 Value Entry","43 Cost Amount (Actual)","41 Source Type",$C$5,"5 Source no.",$C1892,"4 Item Ledger Entry Type",$C$4,"2 Item No.","@@"&amp;$F1892,"3 Posting Date",J$9)</t>
  </si>
  <si>
    <t>=J1892-L1892</t>
  </si>
  <si>
    <t>=IF(J1892&lt;&gt;0,M1892/J1892,"")</t>
  </si>
  <si>
    <t>=NL("Sum","5802 Value Entry","150 Sales Amount (Expected)","41 Source Type",$C$5,"5 Source No.",$C1892,"4 Item Ledger Entry Type",$C$4,"2 Item No.","@@"&amp;$F1892,"3 Posting Date",O$9)+NL("Sum","5802 Value Entry","17 Sales Amount (Actual)","41 Source Type",$C$5,"5 Source no.",$C1892,"4 Item Ledger Entry Type",$C$4,"2 Item No.","@@"&amp;$F1892,"3 Posting Date",O$9)</t>
  </si>
  <si>
    <t>=-NL("Sum","5802 Value Entry","151 Cost Amount (Expected)","41 Source Type",$C$5,"5 Source No.",$C1892,"4 Item Ledger Entry Type",$C$4,"2 Item No.","@@"&amp;$F1892,"3 Posting Date",O$9)-NL("Sum","5802 Value Entry","43 Cost Amount (Actual)","41 Source Type",$C$5,"5 Source no.",$C1892,"4 Item Ledger Entry Type",$C$4,"2 Item No.","@@"&amp;$F1892,"3 Posting Date",O$9)</t>
  </si>
  <si>
    <t>=O1892-Q1892</t>
  </si>
  <si>
    <t>=IF(O1892&lt;&gt;0,R1892/O1892,"")</t>
  </si>
  <si>
    <t>=NL("Sum","5802 Value Entry","150 Sales Amount (Expected)","41 Source Type",$C$5,"5 Source No.",$C1892,"4 Item Ledger Entry Type",$C$4,"2 Item No.","@@"&amp;$F1892,"3 Posting Date",U$9)+NL("Sum","5802 Value Entry","17 Sales Amount (Actual)","41 Source Type",$C$5,"5 Source no.",$C1892,"4 Item Ledger Entry Type",$C$4,"2 Item No.","@@"&amp;$F1892,"3 Posting Date",U$9)</t>
  </si>
  <si>
    <t>=-NL("Sum","5802 Value Entry","151 Cost Amount (Expected)","41 Source Type",$C$5,"5 Source No.",$C1892,"4 Item Ledger Entry Type",$C$4,"2 Item No.","@@"&amp;$F1892,"3 Posting Date",U$9)-NL("Sum","5802 Value Entry","43 Cost Amount (Actual)","41 Source Type",$C$5,"5 Source no.",$C1892,"4 Item Ledger Entry Type",$C$4,"2 Item No.","@@"&amp;$F1892,"3 Posting Date",U$9)</t>
  </si>
  <si>
    <t>=U1892-W1892</t>
  </si>
  <si>
    <t>=IF(U1892&lt;&gt;0,X1892/U1892,"")</t>
  </si>
  <si>
    <t>=NL("Sum","5802 Value Entry","150 Sales Amount (Expected)","41 Source Type",$C$5,"5 Source No.",$C1892,"4 Item Ledger Entry Type",$C$4,"2 Item No.","@@"&amp;$F1892,"3 Posting Date",Z$9)+NL("Sum","5802 Value Entry","17 Sales Amount (Actual)","41 Source Type",$C$5,"5 Source no.",$C1892,"4 Item Ledger Entry Type",$C$4,"2 Item No.","@@"&amp;$F1892,"3 Posting Date",Z$9)</t>
  </si>
  <si>
    <t>=-NL("Sum","5802 Value Entry","151 Cost Amount (Expected)","41 Source Type",$C$5,"5 Source No.",$C1892,"4 Item Ledger Entry Type",$C$4,"2 Item No.","@@"&amp;$F1892,"3 Posting Date",Z$9)-NL("Sum","5802 Value Entry","43 Cost Amount (Actual)","41 Source Type",$C$5,"5 Source no.",$C1892,"4 Item Ledger Entry Type",$C$4,"2 Item No.","@@"&amp;$F1892,"3 Posting Date",Z$9)</t>
  </si>
  <si>
    <t>=Z1892-AB1892</t>
  </si>
  <si>
    <t>=IF(Z1892&lt;&gt;0,AC1892/Z1892,"")</t>
  </si>
  <si>
    <t>=C1892</t>
  </si>
  <si>
    <t>=NL("Sum","5802 Value Entry","150 Sales Amount (Expected)","41 Source Type",$C$5,"5 Source No.",$C1893,"4 Item Ledger Entry Type",$C$4,"2 Item No.","@@"&amp;$F1893,"3 Posting Date",J$9)+NL("Sum","5802 Value Entry","17 Sales Amount (Actual)","41 Source Type",$C$5,"5 Source no.",$C1893,"4 Item Ledger Entry Type",$C$4,"2 Item No.","@@"&amp;$F1893,"3 Posting Date",J$9)</t>
  </si>
  <si>
    <t>=-NL("Sum","5802 Value Entry","151 Cost Amount (Expected)","41 Source Type",$C$5,"5 Source No.",$C1893,"4 Item Ledger Entry Type",$C$4,"2 Item No.","@@"&amp;$F1893,"3 Posting Date",J$9)-NL("Sum","5802 Value Entry","43 Cost Amount (Actual)","41 Source Type",$C$5,"5 Source no.",$C1893,"4 Item Ledger Entry Type",$C$4,"2 Item No.","@@"&amp;$F1893,"3 Posting Date",J$9)</t>
  </si>
  <si>
    <t>=J1893-L1893</t>
  </si>
  <si>
    <t>=IF(J1893&lt;&gt;0,M1893/J1893,"")</t>
  </si>
  <si>
    <t>=NL("Sum","5802 Value Entry","150 Sales Amount (Expected)","41 Source Type",$C$5,"5 Source No.",$C1893,"4 Item Ledger Entry Type",$C$4,"2 Item No.","@@"&amp;$F1893,"3 Posting Date",O$9)+NL("Sum","5802 Value Entry","17 Sales Amount (Actual)","41 Source Type",$C$5,"5 Source no.",$C1893,"4 Item Ledger Entry Type",$C$4,"2 Item No.","@@"&amp;$F1893,"3 Posting Date",O$9)</t>
  </si>
  <si>
    <t>=-NL("Sum","5802 Value Entry","151 Cost Amount (Expected)","41 Source Type",$C$5,"5 Source No.",$C1893,"4 Item Ledger Entry Type",$C$4,"2 Item No.","@@"&amp;$F1893,"3 Posting Date",O$9)-NL("Sum","5802 Value Entry","43 Cost Amount (Actual)","41 Source Type",$C$5,"5 Source no.",$C1893,"4 Item Ledger Entry Type",$C$4,"2 Item No.","@@"&amp;$F1893,"3 Posting Date",O$9)</t>
  </si>
  <si>
    <t>=O1893-Q1893</t>
  </si>
  <si>
    <t>=IF(O1893&lt;&gt;0,R1893/O1893,"")</t>
  </si>
  <si>
    <t>=NL("Sum","5802 Value Entry","150 Sales Amount (Expected)","41 Source Type",$C$5,"5 Source No.",$C1893,"4 Item Ledger Entry Type",$C$4,"2 Item No.","@@"&amp;$F1893,"3 Posting Date",U$9)+NL("Sum","5802 Value Entry","17 Sales Amount (Actual)","41 Source Type",$C$5,"5 Source no.",$C1893,"4 Item Ledger Entry Type",$C$4,"2 Item No.","@@"&amp;$F1893,"3 Posting Date",U$9)</t>
  </si>
  <si>
    <t>=-NL("Sum","5802 Value Entry","151 Cost Amount (Expected)","41 Source Type",$C$5,"5 Source No.",$C1893,"4 Item Ledger Entry Type",$C$4,"2 Item No.","@@"&amp;$F1893,"3 Posting Date",U$9)-NL("Sum","5802 Value Entry","43 Cost Amount (Actual)","41 Source Type",$C$5,"5 Source no.",$C1893,"4 Item Ledger Entry Type",$C$4,"2 Item No.","@@"&amp;$F1893,"3 Posting Date",U$9)</t>
  </si>
  <si>
    <t>=U1893-W1893</t>
  </si>
  <si>
    <t>=IF(U1893&lt;&gt;0,X1893/U1893,"")</t>
  </si>
  <si>
    <t>=NL("Sum","5802 Value Entry","150 Sales Amount (Expected)","41 Source Type",$C$5,"5 Source No.",$C1893,"4 Item Ledger Entry Type",$C$4,"2 Item No.","@@"&amp;$F1893,"3 Posting Date",Z$9)+NL("Sum","5802 Value Entry","17 Sales Amount (Actual)","41 Source Type",$C$5,"5 Source no.",$C1893,"4 Item Ledger Entry Type",$C$4,"2 Item No.","@@"&amp;$F1893,"3 Posting Date",Z$9)</t>
  </si>
  <si>
    <t>=-NL("Sum","5802 Value Entry","151 Cost Amount (Expected)","41 Source Type",$C$5,"5 Source No.",$C1893,"4 Item Ledger Entry Type",$C$4,"2 Item No.","@@"&amp;$F1893,"3 Posting Date",Z$9)-NL("Sum","5802 Value Entry","43 Cost Amount (Actual)","41 Source Type",$C$5,"5 Source no.",$C1893,"4 Item Ledger Entry Type",$C$4,"2 Item No.","@@"&amp;$F1893,"3 Posting Date",Z$9)</t>
  </si>
  <si>
    <t>=Z1893-AB1893</t>
  </si>
  <si>
    <t>=IF(Z1893&lt;&gt;0,AC1893/Z1893,"")</t>
  </si>
  <si>
    <t>=C1893</t>
  </si>
  <si>
    <t>=NL("Sum","5802 Value Entry","150 Sales Amount (Expected)","41 Source Type",$C$5,"5 Source No.",$C1894,"4 Item Ledger Entry Type",$C$4,"2 Item No.","@@"&amp;$F1894,"3 Posting Date",J$9)+NL("Sum","5802 Value Entry","17 Sales Amount (Actual)","41 Source Type",$C$5,"5 Source no.",$C1894,"4 Item Ledger Entry Type",$C$4,"2 Item No.","@@"&amp;$F1894,"3 Posting Date",J$9)</t>
  </si>
  <si>
    <t>=-NL("Sum","5802 Value Entry","151 Cost Amount (Expected)","41 Source Type",$C$5,"5 Source No.",$C1894,"4 Item Ledger Entry Type",$C$4,"2 Item No.","@@"&amp;$F1894,"3 Posting Date",J$9)-NL("Sum","5802 Value Entry","43 Cost Amount (Actual)","41 Source Type",$C$5,"5 Source no.",$C1894,"4 Item Ledger Entry Type",$C$4,"2 Item No.","@@"&amp;$F1894,"3 Posting Date",J$9)</t>
  </si>
  <si>
    <t>=J1894-L1894</t>
  </si>
  <si>
    <t>=IF(J1894&lt;&gt;0,M1894/J1894,"")</t>
  </si>
  <si>
    <t>=NL("Sum","5802 Value Entry","150 Sales Amount (Expected)","41 Source Type",$C$5,"5 Source No.",$C1894,"4 Item Ledger Entry Type",$C$4,"2 Item No.","@@"&amp;$F1894,"3 Posting Date",O$9)+NL("Sum","5802 Value Entry","17 Sales Amount (Actual)","41 Source Type",$C$5,"5 Source no.",$C1894,"4 Item Ledger Entry Type",$C$4,"2 Item No.","@@"&amp;$F1894,"3 Posting Date",O$9)</t>
  </si>
  <si>
    <t>=-NL("Sum","5802 Value Entry","151 Cost Amount (Expected)","41 Source Type",$C$5,"5 Source No.",$C1894,"4 Item Ledger Entry Type",$C$4,"2 Item No.","@@"&amp;$F1894,"3 Posting Date",O$9)-NL("Sum","5802 Value Entry","43 Cost Amount (Actual)","41 Source Type",$C$5,"5 Source no.",$C1894,"4 Item Ledger Entry Type",$C$4,"2 Item No.","@@"&amp;$F1894,"3 Posting Date",O$9)</t>
  </si>
  <si>
    <t>=O1894-Q1894</t>
  </si>
  <si>
    <t>=IF(O1894&lt;&gt;0,R1894/O1894,"")</t>
  </si>
  <si>
    <t>=NL("Sum","5802 Value Entry","150 Sales Amount (Expected)","41 Source Type",$C$5,"5 Source No.",$C1894,"4 Item Ledger Entry Type",$C$4,"2 Item No.","@@"&amp;$F1894,"3 Posting Date",U$9)+NL("Sum","5802 Value Entry","17 Sales Amount (Actual)","41 Source Type",$C$5,"5 Source no.",$C1894,"4 Item Ledger Entry Type",$C$4,"2 Item No.","@@"&amp;$F1894,"3 Posting Date",U$9)</t>
  </si>
  <si>
    <t>=-NL("Sum","5802 Value Entry","151 Cost Amount (Expected)","41 Source Type",$C$5,"5 Source No.",$C1894,"4 Item Ledger Entry Type",$C$4,"2 Item No.","@@"&amp;$F1894,"3 Posting Date",U$9)-NL("Sum","5802 Value Entry","43 Cost Amount (Actual)","41 Source Type",$C$5,"5 Source no.",$C1894,"4 Item Ledger Entry Type",$C$4,"2 Item No.","@@"&amp;$F1894,"3 Posting Date",U$9)</t>
  </si>
  <si>
    <t>=U1894-W1894</t>
  </si>
  <si>
    <t>=IF(U1894&lt;&gt;0,X1894/U1894,"")</t>
  </si>
  <si>
    <t>=NL("Sum","5802 Value Entry","150 Sales Amount (Expected)","41 Source Type",$C$5,"5 Source No.",$C1894,"4 Item Ledger Entry Type",$C$4,"2 Item No.","@@"&amp;$F1894,"3 Posting Date",Z$9)+NL("Sum","5802 Value Entry","17 Sales Amount (Actual)","41 Source Type",$C$5,"5 Source no.",$C1894,"4 Item Ledger Entry Type",$C$4,"2 Item No.","@@"&amp;$F1894,"3 Posting Date",Z$9)</t>
  </si>
  <si>
    <t>=-NL("Sum","5802 Value Entry","151 Cost Amount (Expected)","41 Source Type",$C$5,"5 Source No.",$C1894,"4 Item Ledger Entry Type",$C$4,"2 Item No.","@@"&amp;$F1894,"3 Posting Date",Z$9)-NL("Sum","5802 Value Entry","43 Cost Amount (Actual)","41 Source Type",$C$5,"5 Source no.",$C1894,"4 Item Ledger Entry Type",$C$4,"2 Item No.","@@"&amp;$F1894,"3 Posting Date",Z$9)</t>
  </si>
  <si>
    <t>=Z1894-AB1894</t>
  </si>
  <si>
    <t>=IF(Z1894&lt;&gt;0,AC1894/Z1894,"")</t>
  </si>
  <si>
    <t>=C1894</t>
  </si>
  <si>
    <t>=NL("Sum","5802 Value Entry","150 Sales Amount (Expected)","41 Source Type",$C$5,"5 Source No.",$C1895,"4 Item Ledger Entry Type",$C$4,"2 Item No.","@@"&amp;$F1895,"3 Posting Date",J$9)+NL("Sum","5802 Value Entry","17 Sales Amount (Actual)","41 Source Type",$C$5,"5 Source no.",$C1895,"4 Item Ledger Entry Type",$C$4,"2 Item No.","@@"&amp;$F1895,"3 Posting Date",J$9)</t>
  </si>
  <si>
    <t>=-NL("Sum","5802 Value Entry","151 Cost Amount (Expected)","41 Source Type",$C$5,"5 Source No.",$C1895,"4 Item Ledger Entry Type",$C$4,"2 Item No.","@@"&amp;$F1895,"3 Posting Date",J$9)-NL("Sum","5802 Value Entry","43 Cost Amount (Actual)","41 Source Type",$C$5,"5 Source no.",$C1895,"4 Item Ledger Entry Type",$C$4,"2 Item No.","@@"&amp;$F1895,"3 Posting Date",J$9)</t>
  </si>
  <si>
    <t>=J1895-L1895</t>
  </si>
  <si>
    <t>=IF(J1895&lt;&gt;0,M1895/J1895,"")</t>
  </si>
  <si>
    <t>=NL("Sum","5802 Value Entry","150 Sales Amount (Expected)","41 Source Type",$C$5,"5 Source No.",$C1895,"4 Item Ledger Entry Type",$C$4,"2 Item No.","@@"&amp;$F1895,"3 Posting Date",O$9)+NL("Sum","5802 Value Entry","17 Sales Amount (Actual)","41 Source Type",$C$5,"5 Source no.",$C1895,"4 Item Ledger Entry Type",$C$4,"2 Item No.","@@"&amp;$F1895,"3 Posting Date",O$9)</t>
  </si>
  <si>
    <t>=-NL("Sum","5802 Value Entry","151 Cost Amount (Expected)","41 Source Type",$C$5,"5 Source No.",$C1895,"4 Item Ledger Entry Type",$C$4,"2 Item No.","@@"&amp;$F1895,"3 Posting Date",O$9)-NL("Sum","5802 Value Entry","43 Cost Amount (Actual)","41 Source Type",$C$5,"5 Source no.",$C1895,"4 Item Ledger Entry Type",$C$4,"2 Item No.","@@"&amp;$F1895,"3 Posting Date",O$9)</t>
  </si>
  <si>
    <t>=O1895-Q1895</t>
  </si>
  <si>
    <t>=IF(O1895&lt;&gt;0,R1895/O1895,"")</t>
  </si>
  <si>
    <t>=NL("Sum","5802 Value Entry","150 Sales Amount (Expected)","41 Source Type",$C$5,"5 Source No.",$C1895,"4 Item Ledger Entry Type",$C$4,"2 Item No.","@@"&amp;$F1895,"3 Posting Date",U$9)+NL("Sum","5802 Value Entry","17 Sales Amount (Actual)","41 Source Type",$C$5,"5 Source no.",$C1895,"4 Item Ledger Entry Type",$C$4,"2 Item No.","@@"&amp;$F1895,"3 Posting Date",U$9)</t>
  </si>
  <si>
    <t>=-NL("Sum","5802 Value Entry","151 Cost Amount (Expected)","41 Source Type",$C$5,"5 Source No.",$C1895,"4 Item Ledger Entry Type",$C$4,"2 Item No.","@@"&amp;$F1895,"3 Posting Date",U$9)-NL("Sum","5802 Value Entry","43 Cost Amount (Actual)","41 Source Type",$C$5,"5 Source no.",$C1895,"4 Item Ledger Entry Type",$C$4,"2 Item No.","@@"&amp;$F1895,"3 Posting Date",U$9)</t>
  </si>
  <si>
    <t>=U1895-W1895</t>
  </si>
  <si>
    <t>=IF(U1895&lt;&gt;0,X1895/U1895,"")</t>
  </si>
  <si>
    <t>=NL("Sum","5802 Value Entry","150 Sales Amount (Expected)","41 Source Type",$C$5,"5 Source No.",$C1895,"4 Item Ledger Entry Type",$C$4,"2 Item No.","@@"&amp;$F1895,"3 Posting Date",Z$9)+NL("Sum","5802 Value Entry","17 Sales Amount (Actual)","41 Source Type",$C$5,"5 Source no.",$C1895,"4 Item Ledger Entry Type",$C$4,"2 Item No.","@@"&amp;$F1895,"3 Posting Date",Z$9)</t>
  </si>
  <si>
    <t>=-NL("Sum","5802 Value Entry","151 Cost Amount (Expected)","41 Source Type",$C$5,"5 Source No.",$C1895,"4 Item Ledger Entry Type",$C$4,"2 Item No.","@@"&amp;$F1895,"3 Posting Date",Z$9)-NL("Sum","5802 Value Entry","43 Cost Amount (Actual)","41 Source Type",$C$5,"5 Source no.",$C1895,"4 Item Ledger Entry Type",$C$4,"2 Item No.","@@"&amp;$F1895,"3 Posting Date",Z$9)</t>
  </si>
  <si>
    <t>=Z1895-AB1895</t>
  </si>
  <si>
    <t>=IF(Z1895&lt;&gt;0,AC1895/Z1895,"")</t>
  </si>
  <si>
    <t>=C1895</t>
  </si>
  <si>
    <t>=NL("Sum","5802 Value Entry","150 Sales Amount (Expected)","41 Source Type",$C$5,"5 Source No.",$C1896,"4 Item Ledger Entry Type",$C$4,"2 Item No.","@@"&amp;$F1896,"3 Posting Date",J$9)+NL("Sum","5802 Value Entry","17 Sales Amount (Actual)","41 Source Type",$C$5,"5 Source no.",$C1896,"4 Item Ledger Entry Type",$C$4,"2 Item No.","@@"&amp;$F1896,"3 Posting Date",J$9)</t>
  </si>
  <si>
    <t>=-NL("Sum","5802 Value Entry","151 Cost Amount (Expected)","41 Source Type",$C$5,"5 Source No.",$C1896,"4 Item Ledger Entry Type",$C$4,"2 Item No.","@@"&amp;$F1896,"3 Posting Date",J$9)-NL("Sum","5802 Value Entry","43 Cost Amount (Actual)","41 Source Type",$C$5,"5 Source no.",$C1896,"4 Item Ledger Entry Type",$C$4,"2 Item No.","@@"&amp;$F1896,"3 Posting Date",J$9)</t>
  </si>
  <si>
    <t>=J1896-L1896</t>
  </si>
  <si>
    <t>=IF(J1896&lt;&gt;0,M1896/J1896,"")</t>
  </si>
  <si>
    <t>=NL("Sum","5802 Value Entry","150 Sales Amount (Expected)","41 Source Type",$C$5,"5 Source No.",$C1896,"4 Item Ledger Entry Type",$C$4,"2 Item No.","@@"&amp;$F1896,"3 Posting Date",O$9)+NL("Sum","5802 Value Entry","17 Sales Amount (Actual)","41 Source Type",$C$5,"5 Source no.",$C1896,"4 Item Ledger Entry Type",$C$4,"2 Item No.","@@"&amp;$F1896,"3 Posting Date",O$9)</t>
  </si>
  <si>
    <t>=-NL("Sum","5802 Value Entry","151 Cost Amount (Expected)","41 Source Type",$C$5,"5 Source No.",$C1896,"4 Item Ledger Entry Type",$C$4,"2 Item No.","@@"&amp;$F1896,"3 Posting Date",O$9)-NL("Sum","5802 Value Entry","43 Cost Amount (Actual)","41 Source Type",$C$5,"5 Source no.",$C1896,"4 Item Ledger Entry Type",$C$4,"2 Item No.","@@"&amp;$F1896,"3 Posting Date",O$9)</t>
  </si>
  <si>
    <t>=O1896-Q1896</t>
  </si>
  <si>
    <t>=IF(O1896&lt;&gt;0,R1896/O1896,"")</t>
  </si>
  <si>
    <t>=NL("Sum","5802 Value Entry","150 Sales Amount (Expected)","41 Source Type",$C$5,"5 Source No.",$C1896,"4 Item Ledger Entry Type",$C$4,"2 Item No.","@@"&amp;$F1896,"3 Posting Date",U$9)+NL("Sum","5802 Value Entry","17 Sales Amount (Actual)","41 Source Type",$C$5,"5 Source no.",$C1896,"4 Item Ledger Entry Type",$C$4,"2 Item No.","@@"&amp;$F1896,"3 Posting Date",U$9)</t>
  </si>
  <si>
    <t>=-NL("Sum","5802 Value Entry","151 Cost Amount (Expected)","41 Source Type",$C$5,"5 Source No.",$C1896,"4 Item Ledger Entry Type",$C$4,"2 Item No.","@@"&amp;$F1896,"3 Posting Date",U$9)-NL("Sum","5802 Value Entry","43 Cost Amount (Actual)","41 Source Type",$C$5,"5 Source no.",$C1896,"4 Item Ledger Entry Type",$C$4,"2 Item No.","@@"&amp;$F1896,"3 Posting Date",U$9)</t>
  </si>
  <si>
    <t>=U1896-W1896</t>
  </si>
  <si>
    <t>=IF(U1896&lt;&gt;0,X1896/U1896,"")</t>
  </si>
  <si>
    <t>=NL("Sum","5802 Value Entry","150 Sales Amount (Expected)","41 Source Type",$C$5,"5 Source No.",$C1896,"4 Item Ledger Entry Type",$C$4,"2 Item No.","@@"&amp;$F1896,"3 Posting Date",Z$9)+NL("Sum","5802 Value Entry","17 Sales Amount (Actual)","41 Source Type",$C$5,"5 Source no.",$C1896,"4 Item Ledger Entry Type",$C$4,"2 Item No.","@@"&amp;$F1896,"3 Posting Date",Z$9)</t>
  </si>
  <si>
    <t>=-NL("Sum","5802 Value Entry","151 Cost Amount (Expected)","41 Source Type",$C$5,"5 Source No.",$C1896,"4 Item Ledger Entry Type",$C$4,"2 Item No.","@@"&amp;$F1896,"3 Posting Date",Z$9)-NL("Sum","5802 Value Entry","43 Cost Amount (Actual)","41 Source Type",$C$5,"5 Source no.",$C1896,"4 Item Ledger Entry Type",$C$4,"2 Item No.","@@"&amp;$F1896,"3 Posting Date",Z$9)</t>
  </si>
  <si>
    <t>=Z1896-AB1896</t>
  </si>
  <si>
    <t>=IF(Z1896&lt;&gt;0,AC1896/Z1896,"")</t>
  </si>
  <si>
    <t>=C1896</t>
  </si>
  <si>
    <t>=NL("Sum","5802 Value Entry","150 Sales Amount (Expected)","41 Source Type",$C$5,"5 Source No.",$C1897,"4 Item Ledger Entry Type",$C$4,"2 Item No.","@@"&amp;$F1897,"3 Posting Date",J$9)+NL("Sum","5802 Value Entry","17 Sales Amount (Actual)","41 Source Type",$C$5,"5 Source no.",$C1897,"4 Item Ledger Entry Type",$C$4,"2 Item No.","@@"&amp;$F1897,"3 Posting Date",J$9)</t>
  </si>
  <si>
    <t>=-NL("Sum","5802 Value Entry","151 Cost Amount (Expected)","41 Source Type",$C$5,"5 Source No.",$C1897,"4 Item Ledger Entry Type",$C$4,"2 Item No.","@@"&amp;$F1897,"3 Posting Date",J$9)-NL("Sum","5802 Value Entry","43 Cost Amount (Actual)","41 Source Type",$C$5,"5 Source no.",$C1897,"4 Item Ledger Entry Type",$C$4,"2 Item No.","@@"&amp;$F1897,"3 Posting Date",J$9)</t>
  </si>
  <si>
    <t>=J1897-L1897</t>
  </si>
  <si>
    <t>=IF(J1897&lt;&gt;0,M1897/J1897,"")</t>
  </si>
  <si>
    <t>=NL("Sum","5802 Value Entry","150 Sales Amount (Expected)","41 Source Type",$C$5,"5 Source No.",$C1897,"4 Item Ledger Entry Type",$C$4,"2 Item No.","@@"&amp;$F1897,"3 Posting Date",O$9)+NL("Sum","5802 Value Entry","17 Sales Amount (Actual)","41 Source Type",$C$5,"5 Source no.",$C1897,"4 Item Ledger Entry Type",$C$4,"2 Item No.","@@"&amp;$F1897,"3 Posting Date",O$9)</t>
  </si>
  <si>
    <t>=-NL("Sum","5802 Value Entry","151 Cost Amount (Expected)","41 Source Type",$C$5,"5 Source No.",$C1897,"4 Item Ledger Entry Type",$C$4,"2 Item No.","@@"&amp;$F1897,"3 Posting Date",O$9)-NL("Sum","5802 Value Entry","43 Cost Amount (Actual)","41 Source Type",$C$5,"5 Source no.",$C1897,"4 Item Ledger Entry Type",$C$4,"2 Item No.","@@"&amp;$F1897,"3 Posting Date",O$9)</t>
  </si>
  <si>
    <t>=O1897-Q1897</t>
  </si>
  <si>
    <t>=IF(O1897&lt;&gt;0,R1897/O1897,"")</t>
  </si>
  <si>
    <t>=NL("Sum","5802 Value Entry","150 Sales Amount (Expected)","41 Source Type",$C$5,"5 Source No.",$C1897,"4 Item Ledger Entry Type",$C$4,"2 Item No.","@@"&amp;$F1897,"3 Posting Date",U$9)+NL("Sum","5802 Value Entry","17 Sales Amount (Actual)","41 Source Type",$C$5,"5 Source no.",$C1897,"4 Item Ledger Entry Type",$C$4,"2 Item No.","@@"&amp;$F1897,"3 Posting Date",U$9)</t>
  </si>
  <si>
    <t>=-NL("Sum","5802 Value Entry","151 Cost Amount (Expected)","41 Source Type",$C$5,"5 Source No.",$C1897,"4 Item Ledger Entry Type",$C$4,"2 Item No.","@@"&amp;$F1897,"3 Posting Date",U$9)-NL("Sum","5802 Value Entry","43 Cost Amount (Actual)","41 Source Type",$C$5,"5 Source no.",$C1897,"4 Item Ledger Entry Type",$C$4,"2 Item No.","@@"&amp;$F1897,"3 Posting Date",U$9)</t>
  </si>
  <si>
    <t>=U1897-W1897</t>
  </si>
  <si>
    <t>=IF(U1897&lt;&gt;0,X1897/U1897,"")</t>
  </si>
  <si>
    <t>=NL("Sum","5802 Value Entry","150 Sales Amount (Expected)","41 Source Type",$C$5,"5 Source No.",$C1897,"4 Item Ledger Entry Type",$C$4,"2 Item No.","@@"&amp;$F1897,"3 Posting Date",Z$9)+NL("Sum","5802 Value Entry","17 Sales Amount (Actual)","41 Source Type",$C$5,"5 Source no.",$C1897,"4 Item Ledger Entry Type",$C$4,"2 Item No.","@@"&amp;$F1897,"3 Posting Date",Z$9)</t>
  </si>
  <si>
    <t>=-NL("Sum","5802 Value Entry","151 Cost Amount (Expected)","41 Source Type",$C$5,"5 Source No.",$C1897,"4 Item Ledger Entry Type",$C$4,"2 Item No.","@@"&amp;$F1897,"3 Posting Date",Z$9)-NL("Sum","5802 Value Entry","43 Cost Amount (Actual)","41 Source Type",$C$5,"5 Source no.",$C1897,"4 Item Ledger Entry Type",$C$4,"2 Item No.","@@"&amp;$F1897,"3 Posting Date",Z$9)</t>
  </si>
  <si>
    <t>=Z1897-AB1897</t>
  </si>
  <si>
    <t>=IF(Z1897&lt;&gt;0,AC1897/Z1897,"")</t>
  </si>
  <si>
    <t>=C1897</t>
  </si>
  <si>
    <t>="S200012"</t>
  </si>
  <si>
    <t>=NL("Sum","5802 Value Entry","150 Sales Amount (Expected)","41 Source Type",$C$5,"5 Source No.",$C1898,"4 Item Ledger Entry Type",$C$4,"2 Item No.","@@"&amp;$F1898,"3 Posting Date",J$9)+NL("Sum","5802 Value Entry","17 Sales Amount (Actual)","41 Source Type",$C$5,"5 Source no.",$C1898,"4 Item Ledger Entry Type",$C$4,"2 Item No.","@@"&amp;$F1898,"3 Posting Date",J$9)</t>
  </si>
  <si>
    <t>=-NL("Sum","5802 Value Entry","151 Cost Amount (Expected)","41 Source Type",$C$5,"5 Source No.",$C1898,"4 Item Ledger Entry Type",$C$4,"2 Item No.","@@"&amp;$F1898,"3 Posting Date",J$9)-NL("Sum","5802 Value Entry","43 Cost Amount (Actual)","41 Source Type",$C$5,"5 Source no.",$C1898,"4 Item Ledger Entry Type",$C$4,"2 Item No.","@@"&amp;$F1898,"3 Posting Date",J$9)</t>
  </si>
  <si>
    <t>=J1898-L1898</t>
  </si>
  <si>
    <t>=IF(J1898&lt;&gt;0,M1898/J1898,"")</t>
  </si>
  <si>
    <t>=NL("Sum","5802 Value Entry","150 Sales Amount (Expected)","41 Source Type",$C$5,"5 Source No.",$C1898,"4 Item Ledger Entry Type",$C$4,"2 Item No.","@@"&amp;$F1898,"3 Posting Date",O$9)+NL("Sum","5802 Value Entry","17 Sales Amount (Actual)","41 Source Type",$C$5,"5 Source no.",$C1898,"4 Item Ledger Entry Type",$C$4,"2 Item No.","@@"&amp;$F1898,"3 Posting Date",O$9)</t>
  </si>
  <si>
    <t>=-NL("Sum","5802 Value Entry","151 Cost Amount (Expected)","41 Source Type",$C$5,"5 Source No.",$C1898,"4 Item Ledger Entry Type",$C$4,"2 Item No.","@@"&amp;$F1898,"3 Posting Date",O$9)-NL("Sum","5802 Value Entry","43 Cost Amount (Actual)","41 Source Type",$C$5,"5 Source no.",$C1898,"4 Item Ledger Entry Type",$C$4,"2 Item No.","@@"&amp;$F1898,"3 Posting Date",O$9)</t>
  </si>
  <si>
    <t>=O1898-Q1898</t>
  </si>
  <si>
    <t>=IF(O1898&lt;&gt;0,R1898/O1898,"")</t>
  </si>
  <si>
    <t>=NL("Sum","5802 Value Entry","150 Sales Amount (Expected)","41 Source Type",$C$5,"5 Source No.",$C1898,"4 Item Ledger Entry Type",$C$4,"2 Item No.","@@"&amp;$F1898,"3 Posting Date",U$9)+NL("Sum","5802 Value Entry","17 Sales Amount (Actual)","41 Source Type",$C$5,"5 Source no.",$C1898,"4 Item Ledger Entry Type",$C$4,"2 Item No.","@@"&amp;$F1898,"3 Posting Date",U$9)</t>
  </si>
  <si>
    <t>=-NL("Sum","5802 Value Entry","151 Cost Amount (Expected)","41 Source Type",$C$5,"5 Source No.",$C1898,"4 Item Ledger Entry Type",$C$4,"2 Item No.","@@"&amp;$F1898,"3 Posting Date",U$9)-NL("Sum","5802 Value Entry","43 Cost Amount (Actual)","41 Source Type",$C$5,"5 Source no.",$C1898,"4 Item Ledger Entry Type",$C$4,"2 Item No.","@@"&amp;$F1898,"3 Posting Date",U$9)</t>
  </si>
  <si>
    <t>=U1898-W1898</t>
  </si>
  <si>
    <t>=IF(U1898&lt;&gt;0,X1898/U1898,"")</t>
  </si>
  <si>
    <t>=NL("Sum","5802 Value Entry","150 Sales Amount (Expected)","41 Source Type",$C$5,"5 Source No.",$C1898,"4 Item Ledger Entry Type",$C$4,"2 Item No.","@@"&amp;$F1898,"3 Posting Date",Z$9)+NL("Sum","5802 Value Entry","17 Sales Amount (Actual)","41 Source Type",$C$5,"5 Source no.",$C1898,"4 Item Ledger Entry Type",$C$4,"2 Item No.","@@"&amp;$F1898,"3 Posting Date",Z$9)</t>
  </si>
  <si>
    <t>=-NL("Sum","5802 Value Entry","151 Cost Amount (Expected)","41 Source Type",$C$5,"5 Source No.",$C1898,"4 Item Ledger Entry Type",$C$4,"2 Item No.","@@"&amp;$F1898,"3 Posting Date",Z$9)-NL("Sum","5802 Value Entry","43 Cost Amount (Actual)","41 Source Type",$C$5,"5 Source no.",$C1898,"4 Item Ledger Entry Type",$C$4,"2 Item No.","@@"&amp;$F1898,"3 Posting Date",Z$9)</t>
  </si>
  <si>
    <t>=Z1898-AB1898</t>
  </si>
  <si>
    <t>=IF(Z1898&lt;&gt;0,AC1898/Z1898,"")</t>
  </si>
  <si>
    <t>=C1898</t>
  </si>
  <si>
    <t>="S200016"</t>
  </si>
  <si>
    <t>=NL("Sum","5802 Value Entry","150 Sales Amount (Expected)","41 Source Type",$C$5,"5 Source No.",$C1899,"4 Item Ledger Entry Type",$C$4,"2 Item No.","@@"&amp;$F1899,"3 Posting Date",J$9)+NL("Sum","5802 Value Entry","17 Sales Amount (Actual)","41 Source Type",$C$5,"5 Source no.",$C1899,"4 Item Ledger Entry Type",$C$4,"2 Item No.","@@"&amp;$F1899,"3 Posting Date",J$9)</t>
  </si>
  <si>
    <t>=-NL("Sum","5802 Value Entry","151 Cost Amount (Expected)","41 Source Type",$C$5,"5 Source No.",$C1899,"4 Item Ledger Entry Type",$C$4,"2 Item No.","@@"&amp;$F1899,"3 Posting Date",J$9)-NL("Sum","5802 Value Entry","43 Cost Amount (Actual)","41 Source Type",$C$5,"5 Source no.",$C1899,"4 Item Ledger Entry Type",$C$4,"2 Item No.","@@"&amp;$F1899,"3 Posting Date",J$9)</t>
  </si>
  <si>
    <t>=J1899-L1899</t>
  </si>
  <si>
    <t>=IF(J1899&lt;&gt;0,M1899/J1899,"")</t>
  </si>
  <si>
    <t>=NL("Sum","5802 Value Entry","150 Sales Amount (Expected)","41 Source Type",$C$5,"5 Source No.",$C1899,"4 Item Ledger Entry Type",$C$4,"2 Item No.","@@"&amp;$F1899,"3 Posting Date",O$9)+NL("Sum","5802 Value Entry","17 Sales Amount (Actual)","41 Source Type",$C$5,"5 Source no.",$C1899,"4 Item Ledger Entry Type",$C$4,"2 Item No.","@@"&amp;$F1899,"3 Posting Date",O$9)</t>
  </si>
  <si>
    <t>=-NL("Sum","5802 Value Entry","151 Cost Amount (Expected)","41 Source Type",$C$5,"5 Source No.",$C1899,"4 Item Ledger Entry Type",$C$4,"2 Item No.","@@"&amp;$F1899,"3 Posting Date",O$9)-NL("Sum","5802 Value Entry","43 Cost Amount (Actual)","41 Source Type",$C$5,"5 Source no.",$C1899,"4 Item Ledger Entry Type",$C$4,"2 Item No.","@@"&amp;$F1899,"3 Posting Date",O$9)</t>
  </si>
  <si>
    <t>=O1899-Q1899</t>
  </si>
  <si>
    <t>=IF(O1899&lt;&gt;0,R1899/O1899,"")</t>
  </si>
  <si>
    <t>=NL("Sum","5802 Value Entry","150 Sales Amount (Expected)","41 Source Type",$C$5,"5 Source No.",$C1899,"4 Item Ledger Entry Type",$C$4,"2 Item No.","@@"&amp;$F1899,"3 Posting Date",U$9)+NL("Sum","5802 Value Entry","17 Sales Amount (Actual)","41 Source Type",$C$5,"5 Source no.",$C1899,"4 Item Ledger Entry Type",$C$4,"2 Item No.","@@"&amp;$F1899,"3 Posting Date",U$9)</t>
  </si>
  <si>
    <t>=-NL("Sum","5802 Value Entry","151 Cost Amount (Expected)","41 Source Type",$C$5,"5 Source No.",$C1899,"4 Item Ledger Entry Type",$C$4,"2 Item No.","@@"&amp;$F1899,"3 Posting Date",U$9)-NL("Sum","5802 Value Entry","43 Cost Amount (Actual)","41 Source Type",$C$5,"5 Source no.",$C1899,"4 Item Ledger Entry Type",$C$4,"2 Item No.","@@"&amp;$F1899,"3 Posting Date",U$9)</t>
  </si>
  <si>
    <t>=U1899-W1899</t>
  </si>
  <si>
    <t>=IF(U1899&lt;&gt;0,X1899/U1899,"")</t>
  </si>
  <si>
    <t>=NL("Sum","5802 Value Entry","150 Sales Amount (Expected)","41 Source Type",$C$5,"5 Source No.",$C1899,"4 Item Ledger Entry Type",$C$4,"2 Item No.","@@"&amp;$F1899,"3 Posting Date",Z$9)+NL("Sum","5802 Value Entry","17 Sales Amount (Actual)","41 Source Type",$C$5,"5 Source no.",$C1899,"4 Item Ledger Entry Type",$C$4,"2 Item No.","@@"&amp;$F1899,"3 Posting Date",Z$9)</t>
  </si>
  <si>
    <t>=-NL("Sum","5802 Value Entry","151 Cost Amount (Expected)","41 Source Type",$C$5,"5 Source No.",$C1899,"4 Item Ledger Entry Type",$C$4,"2 Item No.","@@"&amp;$F1899,"3 Posting Date",Z$9)-NL("Sum","5802 Value Entry","43 Cost Amount (Actual)","41 Source Type",$C$5,"5 Source no.",$C1899,"4 Item Ledger Entry Type",$C$4,"2 Item No.","@@"&amp;$F1899,"3 Posting Date",Z$9)</t>
  </si>
  <si>
    <t>=Z1899-AB1899</t>
  </si>
  <si>
    <t>=IF(Z1899&lt;&gt;0,AC1899/Z1899,"")</t>
  </si>
  <si>
    <t>=C1899</t>
  </si>
  <si>
    <t>="S200019"</t>
  </si>
  <si>
    <t>=NL("Sum","5802 Value Entry","150 Sales Amount (Expected)","41 Source Type",$C$5,"5 Source No.",$C1900,"4 Item Ledger Entry Type",$C$4,"2 Item No.","@@"&amp;$F1900,"3 Posting Date",J$9)+NL("Sum","5802 Value Entry","17 Sales Amount (Actual)","41 Source Type",$C$5,"5 Source no.",$C1900,"4 Item Ledger Entry Type",$C$4,"2 Item No.","@@"&amp;$F1900,"3 Posting Date",J$9)</t>
  </si>
  <si>
    <t>=-NL("Sum","5802 Value Entry","151 Cost Amount (Expected)","41 Source Type",$C$5,"5 Source No.",$C1900,"4 Item Ledger Entry Type",$C$4,"2 Item No.","@@"&amp;$F1900,"3 Posting Date",J$9)-NL("Sum","5802 Value Entry","43 Cost Amount (Actual)","41 Source Type",$C$5,"5 Source no.",$C1900,"4 Item Ledger Entry Type",$C$4,"2 Item No.","@@"&amp;$F1900,"3 Posting Date",J$9)</t>
  </si>
  <si>
    <t>=J1900-L1900</t>
  </si>
  <si>
    <t>=IF(J1900&lt;&gt;0,M1900/J1900,"")</t>
  </si>
  <si>
    <t>=NL("Sum","5802 Value Entry","150 Sales Amount (Expected)","41 Source Type",$C$5,"5 Source No.",$C1900,"4 Item Ledger Entry Type",$C$4,"2 Item No.","@@"&amp;$F1900,"3 Posting Date",O$9)+NL("Sum","5802 Value Entry","17 Sales Amount (Actual)","41 Source Type",$C$5,"5 Source no.",$C1900,"4 Item Ledger Entry Type",$C$4,"2 Item No.","@@"&amp;$F1900,"3 Posting Date",O$9)</t>
  </si>
  <si>
    <t>=-NL("Sum","5802 Value Entry","151 Cost Amount (Expected)","41 Source Type",$C$5,"5 Source No.",$C1900,"4 Item Ledger Entry Type",$C$4,"2 Item No.","@@"&amp;$F1900,"3 Posting Date",O$9)-NL("Sum","5802 Value Entry","43 Cost Amount (Actual)","41 Source Type",$C$5,"5 Source no.",$C1900,"4 Item Ledger Entry Type",$C$4,"2 Item No.","@@"&amp;$F1900,"3 Posting Date",O$9)</t>
  </si>
  <si>
    <t>=O1900-Q1900</t>
  </si>
  <si>
    <t>=IF(O1900&lt;&gt;0,R1900/O1900,"")</t>
  </si>
  <si>
    <t>=NL("Sum","5802 Value Entry","150 Sales Amount (Expected)","41 Source Type",$C$5,"5 Source No.",$C1900,"4 Item Ledger Entry Type",$C$4,"2 Item No.","@@"&amp;$F1900,"3 Posting Date",U$9)+NL("Sum","5802 Value Entry","17 Sales Amount (Actual)","41 Source Type",$C$5,"5 Source no.",$C1900,"4 Item Ledger Entry Type",$C$4,"2 Item No.","@@"&amp;$F1900,"3 Posting Date",U$9)</t>
  </si>
  <si>
    <t>=-NL("Sum","5802 Value Entry","151 Cost Amount (Expected)","41 Source Type",$C$5,"5 Source No.",$C1900,"4 Item Ledger Entry Type",$C$4,"2 Item No.","@@"&amp;$F1900,"3 Posting Date",U$9)-NL("Sum","5802 Value Entry","43 Cost Amount (Actual)","41 Source Type",$C$5,"5 Source no.",$C1900,"4 Item Ledger Entry Type",$C$4,"2 Item No.","@@"&amp;$F1900,"3 Posting Date",U$9)</t>
  </si>
  <si>
    <t>=U1900-W1900</t>
  </si>
  <si>
    <t>=IF(U1900&lt;&gt;0,X1900/U1900,"")</t>
  </si>
  <si>
    <t>=NL("Sum","5802 Value Entry","150 Sales Amount (Expected)","41 Source Type",$C$5,"5 Source No.",$C1900,"4 Item Ledger Entry Type",$C$4,"2 Item No.","@@"&amp;$F1900,"3 Posting Date",Z$9)+NL("Sum","5802 Value Entry","17 Sales Amount (Actual)","41 Source Type",$C$5,"5 Source no.",$C1900,"4 Item Ledger Entry Type",$C$4,"2 Item No.","@@"&amp;$F1900,"3 Posting Date",Z$9)</t>
  </si>
  <si>
    <t>=-NL("Sum","5802 Value Entry","151 Cost Amount (Expected)","41 Source Type",$C$5,"5 Source No.",$C1900,"4 Item Ledger Entry Type",$C$4,"2 Item No.","@@"&amp;$F1900,"3 Posting Date",Z$9)-NL("Sum","5802 Value Entry","43 Cost Amount (Actual)","41 Source Type",$C$5,"5 Source no.",$C1900,"4 Item Ledger Entry Type",$C$4,"2 Item No.","@@"&amp;$F1900,"3 Posting Date",Z$9)</t>
  </si>
  <si>
    <t>=Z1900-AB1900</t>
  </si>
  <si>
    <t>=IF(Z1900&lt;&gt;0,AC1900/Z1900,"")</t>
  </si>
  <si>
    <t>=C1900</t>
  </si>
  <si>
    <t>=NL("Sum","5802 Value Entry","150 Sales Amount (Expected)","41 Source Type",$C$5,"5 Source No.",$C1901,"4 Item Ledger Entry Type",$C$4,"2 Item No.","@@"&amp;$F1901,"3 Posting Date",J$9)+NL("Sum","5802 Value Entry","17 Sales Amount (Actual)","41 Source Type",$C$5,"5 Source no.",$C1901,"4 Item Ledger Entry Type",$C$4,"2 Item No.","@@"&amp;$F1901,"3 Posting Date",J$9)</t>
  </si>
  <si>
    <t>=-NL("Sum","5802 Value Entry","151 Cost Amount (Expected)","41 Source Type",$C$5,"5 Source No.",$C1901,"4 Item Ledger Entry Type",$C$4,"2 Item No.","@@"&amp;$F1901,"3 Posting Date",J$9)-NL("Sum","5802 Value Entry","43 Cost Amount (Actual)","41 Source Type",$C$5,"5 Source no.",$C1901,"4 Item Ledger Entry Type",$C$4,"2 Item No.","@@"&amp;$F1901,"3 Posting Date",J$9)</t>
  </si>
  <si>
    <t>=J1901-L1901</t>
  </si>
  <si>
    <t>=IF(J1901&lt;&gt;0,M1901/J1901,"")</t>
  </si>
  <si>
    <t>=NL("Sum","5802 Value Entry","150 Sales Amount (Expected)","41 Source Type",$C$5,"5 Source No.",$C1901,"4 Item Ledger Entry Type",$C$4,"2 Item No.","@@"&amp;$F1901,"3 Posting Date",O$9)+NL("Sum","5802 Value Entry","17 Sales Amount (Actual)","41 Source Type",$C$5,"5 Source no.",$C1901,"4 Item Ledger Entry Type",$C$4,"2 Item No.","@@"&amp;$F1901,"3 Posting Date",O$9)</t>
  </si>
  <si>
    <t>=-NL("Sum","5802 Value Entry","151 Cost Amount (Expected)","41 Source Type",$C$5,"5 Source No.",$C1901,"4 Item Ledger Entry Type",$C$4,"2 Item No.","@@"&amp;$F1901,"3 Posting Date",O$9)-NL("Sum","5802 Value Entry","43 Cost Amount (Actual)","41 Source Type",$C$5,"5 Source no.",$C1901,"4 Item Ledger Entry Type",$C$4,"2 Item No.","@@"&amp;$F1901,"3 Posting Date",O$9)</t>
  </si>
  <si>
    <t>=O1901-Q1901</t>
  </si>
  <si>
    <t>=IF(O1901&lt;&gt;0,R1901/O1901,"")</t>
  </si>
  <si>
    <t>=NL("Sum","5802 Value Entry","150 Sales Amount (Expected)","41 Source Type",$C$5,"5 Source No.",$C1901,"4 Item Ledger Entry Type",$C$4,"2 Item No.","@@"&amp;$F1901,"3 Posting Date",U$9)+NL("Sum","5802 Value Entry","17 Sales Amount (Actual)","41 Source Type",$C$5,"5 Source no.",$C1901,"4 Item Ledger Entry Type",$C$4,"2 Item No.","@@"&amp;$F1901,"3 Posting Date",U$9)</t>
  </si>
  <si>
    <t>=-NL("Sum","5802 Value Entry","151 Cost Amount (Expected)","41 Source Type",$C$5,"5 Source No.",$C1901,"4 Item Ledger Entry Type",$C$4,"2 Item No.","@@"&amp;$F1901,"3 Posting Date",U$9)-NL("Sum","5802 Value Entry","43 Cost Amount (Actual)","41 Source Type",$C$5,"5 Source no.",$C1901,"4 Item Ledger Entry Type",$C$4,"2 Item No.","@@"&amp;$F1901,"3 Posting Date",U$9)</t>
  </si>
  <si>
    <t>=U1901-W1901</t>
  </si>
  <si>
    <t>=IF(U1901&lt;&gt;0,X1901/U1901,"")</t>
  </si>
  <si>
    <t>=NL("Sum","5802 Value Entry","150 Sales Amount (Expected)","41 Source Type",$C$5,"5 Source No.",$C1901,"4 Item Ledger Entry Type",$C$4,"2 Item No.","@@"&amp;$F1901,"3 Posting Date",Z$9)+NL("Sum","5802 Value Entry","17 Sales Amount (Actual)","41 Source Type",$C$5,"5 Source no.",$C1901,"4 Item Ledger Entry Type",$C$4,"2 Item No.","@@"&amp;$F1901,"3 Posting Date",Z$9)</t>
  </si>
  <si>
    <t>=-NL("Sum","5802 Value Entry","151 Cost Amount (Expected)","41 Source Type",$C$5,"5 Source No.",$C1901,"4 Item Ledger Entry Type",$C$4,"2 Item No.","@@"&amp;$F1901,"3 Posting Date",Z$9)-NL("Sum","5802 Value Entry","43 Cost Amount (Actual)","41 Source Type",$C$5,"5 Source no.",$C1901,"4 Item Ledger Entry Type",$C$4,"2 Item No.","@@"&amp;$F1901,"3 Posting Date",Z$9)</t>
  </si>
  <si>
    <t>=Z1901-AB1901</t>
  </si>
  <si>
    <t>=IF(Z1901&lt;&gt;0,AC1901/Z1901,"")</t>
  </si>
  <si>
    <t>=C1902</t>
  </si>
  <si>
    <t>=J1903-L1903</t>
  </si>
  <si>
    <t>=IF(J1903&lt;&gt;0,M1903/J1903,"")</t>
  </si>
  <si>
    <t>=O1903-Q1903</t>
  </si>
  <si>
    <t>=IF(O1903&lt;&gt;0,R1903/O1903,"")</t>
  </si>
  <si>
    <t>=U1903-W1903</t>
  </si>
  <si>
    <t>=IF(U1903&lt;&gt;0,X1903/U1903,"")</t>
  </si>
  <si>
    <t>=Z1903-AB1903</t>
  </si>
  <si>
    <t>=IF(Z1903&lt;&gt;0,AC1903/Z1903,"")</t>
  </si>
  <si>
    <t>=C1905</t>
  </si>
  <si>
    <t>=C1906</t>
  </si>
  <si>
    <t>=NL("Sum","5802 Value Entry","150 Sales Amount (Expected)","41 Source Type",$C$5,"5 Source No.",$C1907,"4 Item Ledger Entry Type",$C$4,"2 Item No.","@@"&amp;$F1907,"3 Posting Date",J$9)+NL("Sum","5802 Value Entry","17 Sales Amount (Actual)","41 Source Type",$C$5,"5 Source no.",$C1907,"4 Item Ledger Entry Type",$C$4,"2 Item No.","@@"&amp;$F1907,"3 Posting Date",J$9)</t>
  </si>
  <si>
    <t>=-NL("Sum","5802 Value Entry","151 Cost Amount (Expected)","41 Source Type",$C$5,"5 Source No.",$C1907,"4 Item Ledger Entry Type",$C$4,"2 Item No.","@@"&amp;$F1907,"3 Posting Date",J$9)-NL("Sum","5802 Value Entry","43 Cost Amount (Actual)","41 Source Type",$C$5,"5 Source no.",$C1907,"4 Item Ledger Entry Type",$C$4,"2 Item No.","@@"&amp;$F1907,"3 Posting Date",J$9)</t>
  </si>
  <si>
    <t>=J1907-L1907</t>
  </si>
  <si>
    <t>=IF(J1907&lt;&gt;0,M1907/J1907,"")</t>
  </si>
  <si>
    <t>=NL("Sum","5802 Value Entry","150 Sales Amount (Expected)","41 Source Type",$C$5,"5 Source No.",$C1907,"4 Item Ledger Entry Type",$C$4,"2 Item No.","@@"&amp;$F1907,"3 Posting Date",O$9)+NL("Sum","5802 Value Entry","17 Sales Amount (Actual)","41 Source Type",$C$5,"5 Source no.",$C1907,"4 Item Ledger Entry Type",$C$4,"2 Item No.","@@"&amp;$F1907,"3 Posting Date",O$9)</t>
  </si>
  <si>
    <t>=-NL("Sum","5802 Value Entry","151 Cost Amount (Expected)","41 Source Type",$C$5,"5 Source No.",$C1907,"4 Item Ledger Entry Type",$C$4,"2 Item No.","@@"&amp;$F1907,"3 Posting Date",O$9)-NL("Sum","5802 Value Entry","43 Cost Amount (Actual)","41 Source Type",$C$5,"5 Source no.",$C1907,"4 Item Ledger Entry Type",$C$4,"2 Item No.","@@"&amp;$F1907,"3 Posting Date",O$9)</t>
  </si>
  <si>
    <t>=O1907-Q1907</t>
  </si>
  <si>
    <t>=IF(O1907&lt;&gt;0,R1907/O1907,"")</t>
  </si>
  <si>
    <t>=NL("Sum","5802 Value Entry","150 Sales Amount (Expected)","41 Source Type",$C$5,"5 Source No.",$C1907,"4 Item Ledger Entry Type",$C$4,"2 Item No.","@@"&amp;$F1907,"3 Posting Date",U$9)+NL("Sum","5802 Value Entry","17 Sales Amount (Actual)","41 Source Type",$C$5,"5 Source no.",$C1907,"4 Item Ledger Entry Type",$C$4,"2 Item No.","@@"&amp;$F1907,"3 Posting Date",U$9)</t>
  </si>
  <si>
    <t>=-NL("Sum","5802 Value Entry","151 Cost Amount (Expected)","41 Source Type",$C$5,"5 Source No.",$C1907,"4 Item Ledger Entry Type",$C$4,"2 Item No.","@@"&amp;$F1907,"3 Posting Date",U$9)-NL("Sum","5802 Value Entry","43 Cost Amount (Actual)","41 Source Type",$C$5,"5 Source no.",$C1907,"4 Item Ledger Entry Type",$C$4,"2 Item No.","@@"&amp;$F1907,"3 Posting Date",U$9)</t>
  </si>
  <si>
    <t>=U1907-W1907</t>
  </si>
  <si>
    <t>=IF(U1907&lt;&gt;0,X1907/U1907,"")</t>
  </si>
  <si>
    <t>=NL("Sum","5802 Value Entry","150 Sales Amount (Expected)","41 Source Type",$C$5,"5 Source No.",$C1907,"4 Item Ledger Entry Type",$C$4,"2 Item No.","@@"&amp;$F1907,"3 Posting Date",Z$9)+NL("Sum","5802 Value Entry","17 Sales Amount (Actual)","41 Source Type",$C$5,"5 Source no.",$C1907,"4 Item Ledger Entry Type",$C$4,"2 Item No.","@@"&amp;$F1907,"3 Posting Date",Z$9)</t>
  </si>
  <si>
    <t>=-NL("Sum","5802 Value Entry","151 Cost Amount (Expected)","41 Source Type",$C$5,"5 Source No.",$C1907,"4 Item Ledger Entry Type",$C$4,"2 Item No.","@@"&amp;$F1907,"3 Posting Date",Z$9)-NL("Sum","5802 Value Entry","43 Cost Amount (Actual)","41 Source Type",$C$5,"5 Source no.",$C1907,"4 Item Ledger Entry Type",$C$4,"2 Item No.","@@"&amp;$F1907,"3 Posting Date",Z$9)</t>
  </si>
  <si>
    <t>=Z1907-AB1907</t>
  </si>
  <si>
    <t>=IF(Z1907&lt;&gt;0,AC1907/Z1907,"")</t>
  </si>
  <si>
    <t>=C1907</t>
  </si>
  <si>
    <t>=NL("Sum","5802 Value Entry","150 Sales Amount (Expected)","41 Source Type",$C$5,"5 Source No.",$C1908,"4 Item Ledger Entry Type",$C$4,"2 Item No.","@@"&amp;$F1908,"3 Posting Date",J$9)+NL("Sum","5802 Value Entry","17 Sales Amount (Actual)","41 Source Type",$C$5,"5 Source no.",$C1908,"4 Item Ledger Entry Type",$C$4,"2 Item No.","@@"&amp;$F1908,"3 Posting Date",J$9)</t>
  </si>
  <si>
    <t>=-NL("Sum","5802 Value Entry","151 Cost Amount (Expected)","41 Source Type",$C$5,"5 Source No.",$C1908,"4 Item Ledger Entry Type",$C$4,"2 Item No.","@@"&amp;$F1908,"3 Posting Date",J$9)-NL("Sum","5802 Value Entry","43 Cost Amount (Actual)","41 Source Type",$C$5,"5 Source no.",$C1908,"4 Item Ledger Entry Type",$C$4,"2 Item No.","@@"&amp;$F1908,"3 Posting Date",J$9)</t>
  </si>
  <si>
    <t>=J1908-L1908</t>
  </si>
  <si>
    <t>=IF(J1908&lt;&gt;0,M1908/J1908,"")</t>
  </si>
  <si>
    <t>=NL("Sum","5802 Value Entry","150 Sales Amount (Expected)","41 Source Type",$C$5,"5 Source No.",$C1908,"4 Item Ledger Entry Type",$C$4,"2 Item No.","@@"&amp;$F1908,"3 Posting Date",O$9)+NL("Sum","5802 Value Entry","17 Sales Amount (Actual)","41 Source Type",$C$5,"5 Source no.",$C1908,"4 Item Ledger Entry Type",$C$4,"2 Item No.","@@"&amp;$F1908,"3 Posting Date",O$9)</t>
  </si>
  <si>
    <t>=-NL("Sum","5802 Value Entry","151 Cost Amount (Expected)","41 Source Type",$C$5,"5 Source No.",$C1908,"4 Item Ledger Entry Type",$C$4,"2 Item No.","@@"&amp;$F1908,"3 Posting Date",O$9)-NL("Sum","5802 Value Entry","43 Cost Amount (Actual)","41 Source Type",$C$5,"5 Source no.",$C1908,"4 Item Ledger Entry Type",$C$4,"2 Item No.","@@"&amp;$F1908,"3 Posting Date",O$9)</t>
  </si>
  <si>
    <t>=O1908-Q1908</t>
  </si>
  <si>
    <t>=IF(O1908&lt;&gt;0,R1908/O1908,"")</t>
  </si>
  <si>
    <t>=NL("Sum","5802 Value Entry","150 Sales Amount (Expected)","41 Source Type",$C$5,"5 Source No.",$C1908,"4 Item Ledger Entry Type",$C$4,"2 Item No.","@@"&amp;$F1908,"3 Posting Date",U$9)+NL("Sum","5802 Value Entry","17 Sales Amount (Actual)","41 Source Type",$C$5,"5 Source no.",$C1908,"4 Item Ledger Entry Type",$C$4,"2 Item No.","@@"&amp;$F1908,"3 Posting Date",U$9)</t>
  </si>
  <si>
    <t>=-NL("Sum","5802 Value Entry","151 Cost Amount (Expected)","41 Source Type",$C$5,"5 Source No.",$C1908,"4 Item Ledger Entry Type",$C$4,"2 Item No.","@@"&amp;$F1908,"3 Posting Date",U$9)-NL("Sum","5802 Value Entry","43 Cost Amount (Actual)","41 Source Type",$C$5,"5 Source no.",$C1908,"4 Item Ledger Entry Type",$C$4,"2 Item No.","@@"&amp;$F1908,"3 Posting Date",U$9)</t>
  </si>
  <si>
    <t>=U1908-W1908</t>
  </si>
  <si>
    <t>=IF(U1908&lt;&gt;0,X1908/U1908,"")</t>
  </si>
  <si>
    <t>=NL("Sum","5802 Value Entry","150 Sales Amount (Expected)","41 Source Type",$C$5,"5 Source No.",$C1908,"4 Item Ledger Entry Type",$C$4,"2 Item No.","@@"&amp;$F1908,"3 Posting Date",Z$9)+NL("Sum","5802 Value Entry","17 Sales Amount (Actual)","41 Source Type",$C$5,"5 Source no.",$C1908,"4 Item Ledger Entry Type",$C$4,"2 Item No.","@@"&amp;$F1908,"3 Posting Date",Z$9)</t>
  </si>
  <si>
    <t>=-NL("Sum","5802 Value Entry","151 Cost Amount (Expected)","41 Source Type",$C$5,"5 Source No.",$C1908,"4 Item Ledger Entry Type",$C$4,"2 Item No.","@@"&amp;$F1908,"3 Posting Date",Z$9)-NL("Sum","5802 Value Entry","43 Cost Amount (Actual)","41 Source Type",$C$5,"5 Source no.",$C1908,"4 Item Ledger Entry Type",$C$4,"2 Item No.","@@"&amp;$F1908,"3 Posting Date",Z$9)</t>
  </si>
  <si>
    <t>=Z1908-AB1908</t>
  </si>
  <si>
    <t>=IF(Z1908&lt;&gt;0,AC1908/Z1908,"")</t>
  </si>
  <si>
    <t>=C1908</t>
  </si>
  <si>
    <t>=NL("Sum","5802 Value Entry","150 Sales Amount (Expected)","41 Source Type",$C$5,"5 Source No.",$C1909,"4 Item Ledger Entry Type",$C$4,"2 Item No.","@@"&amp;$F1909,"3 Posting Date",J$9)+NL("Sum","5802 Value Entry","17 Sales Amount (Actual)","41 Source Type",$C$5,"5 Source no.",$C1909,"4 Item Ledger Entry Type",$C$4,"2 Item No.","@@"&amp;$F1909,"3 Posting Date",J$9)</t>
  </si>
  <si>
    <t>=-NL("Sum","5802 Value Entry","151 Cost Amount (Expected)","41 Source Type",$C$5,"5 Source No.",$C1909,"4 Item Ledger Entry Type",$C$4,"2 Item No.","@@"&amp;$F1909,"3 Posting Date",J$9)-NL("Sum","5802 Value Entry","43 Cost Amount (Actual)","41 Source Type",$C$5,"5 Source no.",$C1909,"4 Item Ledger Entry Type",$C$4,"2 Item No.","@@"&amp;$F1909,"3 Posting Date",J$9)</t>
  </si>
  <si>
    <t>=J1909-L1909</t>
  </si>
  <si>
    <t>=IF(J1909&lt;&gt;0,M1909/J1909,"")</t>
  </si>
  <si>
    <t>=NL("Sum","5802 Value Entry","150 Sales Amount (Expected)","41 Source Type",$C$5,"5 Source No.",$C1909,"4 Item Ledger Entry Type",$C$4,"2 Item No.","@@"&amp;$F1909,"3 Posting Date",O$9)+NL("Sum","5802 Value Entry","17 Sales Amount (Actual)","41 Source Type",$C$5,"5 Source no.",$C1909,"4 Item Ledger Entry Type",$C$4,"2 Item No.","@@"&amp;$F1909,"3 Posting Date",O$9)</t>
  </si>
  <si>
    <t>=-NL("Sum","5802 Value Entry","151 Cost Amount (Expected)","41 Source Type",$C$5,"5 Source No.",$C1909,"4 Item Ledger Entry Type",$C$4,"2 Item No.","@@"&amp;$F1909,"3 Posting Date",O$9)-NL("Sum","5802 Value Entry","43 Cost Amount (Actual)","41 Source Type",$C$5,"5 Source no.",$C1909,"4 Item Ledger Entry Type",$C$4,"2 Item No.","@@"&amp;$F1909,"3 Posting Date",O$9)</t>
  </si>
  <si>
    <t>=O1909-Q1909</t>
  </si>
  <si>
    <t>=IF(O1909&lt;&gt;0,R1909/O1909,"")</t>
  </si>
  <si>
    <t>=NL("Sum","5802 Value Entry","150 Sales Amount (Expected)","41 Source Type",$C$5,"5 Source No.",$C1909,"4 Item Ledger Entry Type",$C$4,"2 Item No.","@@"&amp;$F1909,"3 Posting Date",U$9)+NL("Sum","5802 Value Entry","17 Sales Amount (Actual)","41 Source Type",$C$5,"5 Source no.",$C1909,"4 Item Ledger Entry Type",$C$4,"2 Item No.","@@"&amp;$F1909,"3 Posting Date",U$9)</t>
  </si>
  <si>
    <t>=-NL("Sum","5802 Value Entry","151 Cost Amount (Expected)","41 Source Type",$C$5,"5 Source No.",$C1909,"4 Item Ledger Entry Type",$C$4,"2 Item No.","@@"&amp;$F1909,"3 Posting Date",U$9)-NL("Sum","5802 Value Entry","43 Cost Amount (Actual)","41 Source Type",$C$5,"5 Source no.",$C1909,"4 Item Ledger Entry Type",$C$4,"2 Item No.","@@"&amp;$F1909,"3 Posting Date",U$9)</t>
  </si>
  <si>
    <t>=U1909-W1909</t>
  </si>
  <si>
    <t>=IF(U1909&lt;&gt;0,X1909/U1909,"")</t>
  </si>
  <si>
    <t>=NL("Sum","5802 Value Entry","150 Sales Amount (Expected)","41 Source Type",$C$5,"5 Source No.",$C1909,"4 Item Ledger Entry Type",$C$4,"2 Item No.","@@"&amp;$F1909,"3 Posting Date",Z$9)+NL("Sum","5802 Value Entry","17 Sales Amount (Actual)","41 Source Type",$C$5,"5 Source no.",$C1909,"4 Item Ledger Entry Type",$C$4,"2 Item No.","@@"&amp;$F1909,"3 Posting Date",Z$9)</t>
  </si>
  <si>
    <t>=-NL("Sum","5802 Value Entry","151 Cost Amount (Expected)","41 Source Type",$C$5,"5 Source No.",$C1909,"4 Item Ledger Entry Type",$C$4,"2 Item No.","@@"&amp;$F1909,"3 Posting Date",Z$9)-NL("Sum","5802 Value Entry","43 Cost Amount (Actual)","41 Source Type",$C$5,"5 Source no.",$C1909,"4 Item Ledger Entry Type",$C$4,"2 Item No.","@@"&amp;$F1909,"3 Posting Date",Z$9)</t>
  </si>
  <si>
    <t>=Z1909-AB1909</t>
  </si>
  <si>
    <t>=IF(Z1909&lt;&gt;0,AC1909/Z1909,"")</t>
  </si>
  <si>
    <t>=C1909</t>
  </si>
  <si>
    <t>=NL("Sum","5802 Value Entry","150 Sales Amount (Expected)","41 Source Type",$C$5,"5 Source No.",$C1910,"4 Item Ledger Entry Type",$C$4,"2 Item No.","@@"&amp;$F1910,"3 Posting Date",J$9)+NL("Sum","5802 Value Entry","17 Sales Amount (Actual)","41 Source Type",$C$5,"5 Source no.",$C1910,"4 Item Ledger Entry Type",$C$4,"2 Item No.","@@"&amp;$F1910,"3 Posting Date",J$9)</t>
  </si>
  <si>
    <t>=-NL("Sum","5802 Value Entry","151 Cost Amount (Expected)","41 Source Type",$C$5,"5 Source No.",$C1910,"4 Item Ledger Entry Type",$C$4,"2 Item No.","@@"&amp;$F1910,"3 Posting Date",J$9)-NL("Sum","5802 Value Entry","43 Cost Amount (Actual)","41 Source Type",$C$5,"5 Source no.",$C1910,"4 Item Ledger Entry Type",$C$4,"2 Item No.","@@"&amp;$F1910,"3 Posting Date",J$9)</t>
  </si>
  <si>
    <t>=J1910-L1910</t>
  </si>
  <si>
    <t>=IF(J1910&lt;&gt;0,M1910/J1910,"")</t>
  </si>
  <si>
    <t>=NL("Sum","5802 Value Entry","150 Sales Amount (Expected)","41 Source Type",$C$5,"5 Source No.",$C1910,"4 Item Ledger Entry Type",$C$4,"2 Item No.","@@"&amp;$F1910,"3 Posting Date",O$9)+NL("Sum","5802 Value Entry","17 Sales Amount (Actual)","41 Source Type",$C$5,"5 Source no.",$C1910,"4 Item Ledger Entry Type",$C$4,"2 Item No.","@@"&amp;$F1910,"3 Posting Date",O$9)</t>
  </si>
  <si>
    <t>=-NL("Sum","5802 Value Entry","151 Cost Amount (Expected)","41 Source Type",$C$5,"5 Source No.",$C1910,"4 Item Ledger Entry Type",$C$4,"2 Item No.","@@"&amp;$F1910,"3 Posting Date",O$9)-NL("Sum","5802 Value Entry","43 Cost Amount (Actual)","41 Source Type",$C$5,"5 Source no.",$C1910,"4 Item Ledger Entry Type",$C$4,"2 Item No.","@@"&amp;$F1910,"3 Posting Date",O$9)</t>
  </si>
  <si>
    <t>=O1910-Q1910</t>
  </si>
  <si>
    <t>=IF(O1910&lt;&gt;0,R1910/O1910,"")</t>
  </si>
  <si>
    <t>=NL("Sum","5802 Value Entry","150 Sales Amount (Expected)","41 Source Type",$C$5,"5 Source No.",$C1910,"4 Item Ledger Entry Type",$C$4,"2 Item No.","@@"&amp;$F1910,"3 Posting Date",U$9)+NL("Sum","5802 Value Entry","17 Sales Amount (Actual)","41 Source Type",$C$5,"5 Source no.",$C1910,"4 Item Ledger Entry Type",$C$4,"2 Item No.","@@"&amp;$F1910,"3 Posting Date",U$9)</t>
  </si>
  <si>
    <t>=-NL("Sum","5802 Value Entry","151 Cost Amount (Expected)","41 Source Type",$C$5,"5 Source No.",$C1910,"4 Item Ledger Entry Type",$C$4,"2 Item No.","@@"&amp;$F1910,"3 Posting Date",U$9)-NL("Sum","5802 Value Entry","43 Cost Amount (Actual)","41 Source Type",$C$5,"5 Source no.",$C1910,"4 Item Ledger Entry Type",$C$4,"2 Item No.","@@"&amp;$F1910,"3 Posting Date",U$9)</t>
  </si>
  <si>
    <t>=U1910-W1910</t>
  </si>
  <si>
    <t>=IF(U1910&lt;&gt;0,X1910/U1910,"")</t>
  </si>
  <si>
    <t>=NL("Sum","5802 Value Entry","150 Sales Amount (Expected)","41 Source Type",$C$5,"5 Source No.",$C1910,"4 Item Ledger Entry Type",$C$4,"2 Item No.","@@"&amp;$F1910,"3 Posting Date",Z$9)+NL("Sum","5802 Value Entry","17 Sales Amount (Actual)","41 Source Type",$C$5,"5 Source no.",$C1910,"4 Item Ledger Entry Type",$C$4,"2 Item No.","@@"&amp;$F1910,"3 Posting Date",Z$9)</t>
  </si>
  <si>
    <t>=-NL("Sum","5802 Value Entry","151 Cost Amount (Expected)","41 Source Type",$C$5,"5 Source No.",$C1910,"4 Item Ledger Entry Type",$C$4,"2 Item No.","@@"&amp;$F1910,"3 Posting Date",Z$9)-NL("Sum","5802 Value Entry","43 Cost Amount (Actual)","41 Source Type",$C$5,"5 Source no.",$C1910,"4 Item Ledger Entry Type",$C$4,"2 Item No.","@@"&amp;$F1910,"3 Posting Date",Z$9)</t>
  </si>
  <si>
    <t>=Z1910-AB1910</t>
  </si>
  <si>
    <t>=IF(Z1910&lt;&gt;0,AC1910/Z1910,"")</t>
  </si>
  <si>
    <t>=C1910</t>
  </si>
  <si>
    <t>=NL("Sum","5802 Value Entry","150 Sales Amount (Expected)","41 Source Type",$C$5,"5 Source No.",$C1911,"4 Item Ledger Entry Type",$C$4,"2 Item No.","@@"&amp;$F1911,"3 Posting Date",J$9)+NL("Sum","5802 Value Entry","17 Sales Amount (Actual)","41 Source Type",$C$5,"5 Source no.",$C1911,"4 Item Ledger Entry Type",$C$4,"2 Item No.","@@"&amp;$F1911,"3 Posting Date",J$9)</t>
  </si>
  <si>
    <t>=-NL("Sum","5802 Value Entry","151 Cost Amount (Expected)","41 Source Type",$C$5,"5 Source No.",$C1911,"4 Item Ledger Entry Type",$C$4,"2 Item No.","@@"&amp;$F1911,"3 Posting Date",J$9)-NL("Sum","5802 Value Entry","43 Cost Amount (Actual)","41 Source Type",$C$5,"5 Source no.",$C1911,"4 Item Ledger Entry Type",$C$4,"2 Item No.","@@"&amp;$F1911,"3 Posting Date",J$9)</t>
  </si>
  <si>
    <t>=J1911-L1911</t>
  </si>
  <si>
    <t>=IF(J1911&lt;&gt;0,M1911/J1911,"")</t>
  </si>
  <si>
    <t>=NL("Sum","5802 Value Entry","150 Sales Amount (Expected)","41 Source Type",$C$5,"5 Source No.",$C1911,"4 Item Ledger Entry Type",$C$4,"2 Item No.","@@"&amp;$F1911,"3 Posting Date",O$9)+NL("Sum","5802 Value Entry","17 Sales Amount (Actual)","41 Source Type",$C$5,"5 Source no.",$C1911,"4 Item Ledger Entry Type",$C$4,"2 Item No.","@@"&amp;$F1911,"3 Posting Date",O$9)</t>
  </si>
  <si>
    <t>=-NL("Sum","5802 Value Entry","151 Cost Amount (Expected)","41 Source Type",$C$5,"5 Source No.",$C1911,"4 Item Ledger Entry Type",$C$4,"2 Item No.","@@"&amp;$F1911,"3 Posting Date",O$9)-NL("Sum","5802 Value Entry","43 Cost Amount (Actual)","41 Source Type",$C$5,"5 Source no.",$C1911,"4 Item Ledger Entry Type",$C$4,"2 Item No.","@@"&amp;$F1911,"3 Posting Date",O$9)</t>
  </si>
  <si>
    <t>=O1911-Q1911</t>
  </si>
  <si>
    <t>=IF(O1911&lt;&gt;0,R1911/O1911,"")</t>
  </si>
  <si>
    <t>=NL("Sum","5802 Value Entry","150 Sales Amount (Expected)","41 Source Type",$C$5,"5 Source No.",$C1911,"4 Item Ledger Entry Type",$C$4,"2 Item No.","@@"&amp;$F1911,"3 Posting Date",U$9)+NL("Sum","5802 Value Entry","17 Sales Amount (Actual)","41 Source Type",$C$5,"5 Source no.",$C1911,"4 Item Ledger Entry Type",$C$4,"2 Item No.","@@"&amp;$F1911,"3 Posting Date",U$9)</t>
  </si>
  <si>
    <t>=-NL("Sum","5802 Value Entry","151 Cost Amount (Expected)","41 Source Type",$C$5,"5 Source No.",$C1911,"4 Item Ledger Entry Type",$C$4,"2 Item No.","@@"&amp;$F1911,"3 Posting Date",U$9)-NL("Sum","5802 Value Entry","43 Cost Amount (Actual)","41 Source Type",$C$5,"5 Source no.",$C1911,"4 Item Ledger Entry Type",$C$4,"2 Item No.","@@"&amp;$F1911,"3 Posting Date",U$9)</t>
  </si>
  <si>
    <t>=U1911-W1911</t>
  </si>
  <si>
    <t>=IF(U1911&lt;&gt;0,X1911/U1911,"")</t>
  </si>
  <si>
    <t>=NL("Sum","5802 Value Entry","150 Sales Amount (Expected)","41 Source Type",$C$5,"5 Source No.",$C1911,"4 Item Ledger Entry Type",$C$4,"2 Item No.","@@"&amp;$F1911,"3 Posting Date",Z$9)+NL("Sum","5802 Value Entry","17 Sales Amount (Actual)","41 Source Type",$C$5,"5 Source no.",$C1911,"4 Item Ledger Entry Type",$C$4,"2 Item No.","@@"&amp;$F1911,"3 Posting Date",Z$9)</t>
  </si>
  <si>
    <t>=-NL("Sum","5802 Value Entry","151 Cost Amount (Expected)","41 Source Type",$C$5,"5 Source No.",$C1911,"4 Item Ledger Entry Type",$C$4,"2 Item No.","@@"&amp;$F1911,"3 Posting Date",Z$9)-NL("Sum","5802 Value Entry","43 Cost Amount (Actual)","41 Source Type",$C$5,"5 Source no.",$C1911,"4 Item Ledger Entry Type",$C$4,"2 Item No.","@@"&amp;$F1911,"3 Posting Date",Z$9)</t>
  </si>
  <si>
    <t>=Z1911-AB1911</t>
  </si>
  <si>
    <t>=IF(Z1911&lt;&gt;0,AC1911/Z1911,"")</t>
  </si>
  <si>
    <t>=C1911</t>
  </si>
  <si>
    <t>=NL("Sum","5802 Value Entry","150 Sales Amount (Expected)","41 Source Type",$C$5,"5 Source No.",$C1912,"4 Item Ledger Entry Type",$C$4,"2 Item No.","@@"&amp;$F1912,"3 Posting Date",J$9)+NL("Sum","5802 Value Entry","17 Sales Amount (Actual)","41 Source Type",$C$5,"5 Source no.",$C1912,"4 Item Ledger Entry Type",$C$4,"2 Item No.","@@"&amp;$F1912,"3 Posting Date",J$9)</t>
  </si>
  <si>
    <t>=-NL("Sum","5802 Value Entry","151 Cost Amount (Expected)","41 Source Type",$C$5,"5 Source No.",$C1912,"4 Item Ledger Entry Type",$C$4,"2 Item No.","@@"&amp;$F1912,"3 Posting Date",J$9)-NL("Sum","5802 Value Entry","43 Cost Amount (Actual)","41 Source Type",$C$5,"5 Source no.",$C1912,"4 Item Ledger Entry Type",$C$4,"2 Item No.","@@"&amp;$F1912,"3 Posting Date",J$9)</t>
  </si>
  <si>
    <t>=J1912-L1912</t>
  </si>
  <si>
    <t>=IF(J1912&lt;&gt;0,M1912/J1912,"")</t>
  </si>
  <si>
    <t>=NL("Sum","5802 Value Entry","150 Sales Amount (Expected)","41 Source Type",$C$5,"5 Source No.",$C1912,"4 Item Ledger Entry Type",$C$4,"2 Item No.","@@"&amp;$F1912,"3 Posting Date",O$9)+NL("Sum","5802 Value Entry","17 Sales Amount (Actual)","41 Source Type",$C$5,"5 Source no.",$C1912,"4 Item Ledger Entry Type",$C$4,"2 Item No.","@@"&amp;$F1912,"3 Posting Date",O$9)</t>
  </si>
  <si>
    <t>=-NL("Sum","5802 Value Entry","151 Cost Amount (Expected)","41 Source Type",$C$5,"5 Source No.",$C1912,"4 Item Ledger Entry Type",$C$4,"2 Item No.","@@"&amp;$F1912,"3 Posting Date",O$9)-NL("Sum","5802 Value Entry","43 Cost Amount (Actual)","41 Source Type",$C$5,"5 Source no.",$C1912,"4 Item Ledger Entry Type",$C$4,"2 Item No.","@@"&amp;$F1912,"3 Posting Date",O$9)</t>
  </si>
  <si>
    <t>=O1912-Q1912</t>
  </si>
  <si>
    <t>=IF(O1912&lt;&gt;0,R1912/O1912,"")</t>
  </si>
  <si>
    <t>=NL("Sum","5802 Value Entry","150 Sales Amount (Expected)","41 Source Type",$C$5,"5 Source No.",$C1912,"4 Item Ledger Entry Type",$C$4,"2 Item No.","@@"&amp;$F1912,"3 Posting Date",U$9)+NL("Sum","5802 Value Entry","17 Sales Amount (Actual)","41 Source Type",$C$5,"5 Source no.",$C1912,"4 Item Ledger Entry Type",$C$4,"2 Item No.","@@"&amp;$F1912,"3 Posting Date",U$9)</t>
  </si>
  <si>
    <t>=-NL("Sum","5802 Value Entry","151 Cost Amount (Expected)","41 Source Type",$C$5,"5 Source No.",$C1912,"4 Item Ledger Entry Type",$C$4,"2 Item No.","@@"&amp;$F1912,"3 Posting Date",U$9)-NL("Sum","5802 Value Entry","43 Cost Amount (Actual)","41 Source Type",$C$5,"5 Source no.",$C1912,"4 Item Ledger Entry Type",$C$4,"2 Item No.","@@"&amp;$F1912,"3 Posting Date",U$9)</t>
  </si>
  <si>
    <t>=U1912-W1912</t>
  </si>
  <si>
    <t>=IF(U1912&lt;&gt;0,X1912/U1912,"")</t>
  </si>
  <si>
    <t>=NL("Sum","5802 Value Entry","150 Sales Amount (Expected)","41 Source Type",$C$5,"5 Source No.",$C1912,"4 Item Ledger Entry Type",$C$4,"2 Item No.","@@"&amp;$F1912,"3 Posting Date",Z$9)+NL("Sum","5802 Value Entry","17 Sales Amount (Actual)","41 Source Type",$C$5,"5 Source no.",$C1912,"4 Item Ledger Entry Type",$C$4,"2 Item No.","@@"&amp;$F1912,"3 Posting Date",Z$9)</t>
  </si>
  <si>
    <t>=-NL("Sum","5802 Value Entry","151 Cost Amount (Expected)","41 Source Type",$C$5,"5 Source No.",$C1912,"4 Item Ledger Entry Type",$C$4,"2 Item No.","@@"&amp;$F1912,"3 Posting Date",Z$9)-NL("Sum","5802 Value Entry","43 Cost Amount (Actual)","41 Source Type",$C$5,"5 Source no.",$C1912,"4 Item Ledger Entry Type",$C$4,"2 Item No.","@@"&amp;$F1912,"3 Posting Date",Z$9)</t>
  </si>
  <si>
    <t>=Z1912-AB1912</t>
  </si>
  <si>
    <t>=IF(Z1912&lt;&gt;0,AC1912/Z1912,"")</t>
  </si>
  <si>
    <t>=C1912</t>
  </si>
  <si>
    <t>=NL("Sum","5802 Value Entry","150 Sales Amount (Expected)","41 Source Type",$C$5,"5 Source No.",$C1913,"4 Item Ledger Entry Type",$C$4,"2 Item No.","@@"&amp;$F1913,"3 Posting Date",J$9)+NL("Sum","5802 Value Entry","17 Sales Amount (Actual)","41 Source Type",$C$5,"5 Source no.",$C1913,"4 Item Ledger Entry Type",$C$4,"2 Item No.","@@"&amp;$F1913,"3 Posting Date",J$9)</t>
  </si>
  <si>
    <t>=-NL("Sum","5802 Value Entry","151 Cost Amount (Expected)","41 Source Type",$C$5,"5 Source No.",$C1913,"4 Item Ledger Entry Type",$C$4,"2 Item No.","@@"&amp;$F1913,"3 Posting Date",J$9)-NL("Sum","5802 Value Entry","43 Cost Amount (Actual)","41 Source Type",$C$5,"5 Source no.",$C1913,"4 Item Ledger Entry Type",$C$4,"2 Item No.","@@"&amp;$F1913,"3 Posting Date",J$9)</t>
  </si>
  <si>
    <t>=J1913-L1913</t>
  </si>
  <si>
    <t>=IF(J1913&lt;&gt;0,M1913/J1913,"")</t>
  </si>
  <si>
    <t>=NL("Sum","5802 Value Entry","150 Sales Amount (Expected)","41 Source Type",$C$5,"5 Source No.",$C1913,"4 Item Ledger Entry Type",$C$4,"2 Item No.","@@"&amp;$F1913,"3 Posting Date",O$9)+NL("Sum","5802 Value Entry","17 Sales Amount (Actual)","41 Source Type",$C$5,"5 Source no.",$C1913,"4 Item Ledger Entry Type",$C$4,"2 Item No.","@@"&amp;$F1913,"3 Posting Date",O$9)</t>
  </si>
  <si>
    <t>=-NL("Sum","5802 Value Entry","151 Cost Amount (Expected)","41 Source Type",$C$5,"5 Source No.",$C1913,"4 Item Ledger Entry Type",$C$4,"2 Item No.","@@"&amp;$F1913,"3 Posting Date",O$9)-NL("Sum","5802 Value Entry","43 Cost Amount (Actual)","41 Source Type",$C$5,"5 Source no.",$C1913,"4 Item Ledger Entry Type",$C$4,"2 Item No.","@@"&amp;$F1913,"3 Posting Date",O$9)</t>
  </si>
  <si>
    <t>=O1913-Q1913</t>
  </si>
  <si>
    <t>=IF(O1913&lt;&gt;0,R1913/O1913,"")</t>
  </si>
  <si>
    <t>=NL("Sum","5802 Value Entry","150 Sales Amount (Expected)","41 Source Type",$C$5,"5 Source No.",$C1913,"4 Item Ledger Entry Type",$C$4,"2 Item No.","@@"&amp;$F1913,"3 Posting Date",U$9)+NL("Sum","5802 Value Entry","17 Sales Amount (Actual)","41 Source Type",$C$5,"5 Source no.",$C1913,"4 Item Ledger Entry Type",$C$4,"2 Item No.","@@"&amp;$F1913,"3 Posting Date",U$9)</t>
  </si>
  <si>
    <t>=-NL("Sum","5802 Value Entry","151 Cost Amount (Expected)","41 Source Type",$C$5,"5 Source No.",$C1913,"4 Item Ledger Entry Type",$C$4,"2 Item No.","@@"&amp;$F1913,"3 Posting Date",U$9)-NL("Sum","5802 Value Entry","43 Cost Amount (Actual)","41 Source Type",$C$5,"5 Source no.",$C1913,"4 Item Ledger Entry Type",$C$4,"2 Item No.","@@"&amp;$F1913,"3 Posting Date",U$9)</t>
  </si>
  <si>
    <t>=U1913-W1913</t>
  </si>
  <si>
    <t>=IF(U1913&lt;&gt;0,X1913/U1913,"")</t>
  </si>
  <si>
    <t>=NL("Sum","5802 Value Entry","150 Sales Amount (Expected)","41 Source Type",$C$5,"5 Source No.",$C1913,"4 Item Ledger Entry Type",$C$4,"2 Item No.","@@"&amp;$F1913,"3 Posting Date",Z$9)+NL("Sum","5802 Value Entry","17 Sales Amount (Actual)","41 Source Type",$C$5,"5 Source no.",$C1913,"4 Item Ledger Entry Type",$C$4,"2 Item No.","@@"&amp;$F1913,"3 Posting Date",Z$9)</t>
  </si>
  <si>
    <t>=-NL("Sum","5802 Value Entry","151 Cost Amount (Expected)","41 Source Type",$C$5,"5 Source No.",$C1913,"4 Item Ledger Entry Type",$C$4,"2 Item No.","@@"&amp;$F1913,"3 Posting Date",Z$9)-NL("Sum","5802 Value Entry","43 Cost Amount (Actual)","41 Source Type",$C$5,"5 Source no.",$C1913,"4 Item Ledger Entry Type",$C$4,"2 Item No.","@@"&amp;$F1913,"3 Posting Date",Z$9)</t>
  </si>
  <si>
    <t>=Z1913-AB1913</t>
  </si>
  <si>
    <t>=IF(Z1913&lt;&gt;0,AC1913/Z1913,"")</t>
  </si>
  <si>
    <t>=C1913</t>
  </si>
  <si>
    <t>=NL("Sum","5802 Value Entry","150 Sales Amount (Expected)","41 Source Type",$C$5,"5 Source No.",$C1914,"4 Item Ledger Entry Type",$C$4,"2 Item No.","@@"&amp;$F1914,"3 Posting Date",J$9)+NL("Sum","5802 Value Entry","17 Sales Amount (Actual)","41 Source Type",$C$5,"5 Source no.",$C1914,"4 Item Ledger Entry Type",$C$4,"2 Item No.","@@"&amp;$F1914,"3 Posting Date",J$9)</t>
  </si>
  <si>
    <t>=-NL("Sum","5802 Value Entry","151 Cost Amount (Expected)","41 Source Type",$C$5,"5 Source No.",$C1914,"4 Item Ledger Entry Type",$C$4,"2 Item No.","@@"&amp;$F1914,"3 Posting Date",J$9)-NL("Sum","5802 Value Entry","43 Cost Amount (Actual)","41 Source Type",$C$5,"5 Source no.",$C1914,"4 Item Ledger Entry Type",$C$4,"2 Item No.","@@"&amp;$F1914,"3 Posting Date",J$9)</t>
  </si>
  <si>
    <t>=J1914-L1914</t>
  </si>
  <si>
    <t>=IF(J1914&lt;&gt;0,M1914/J1914,"")</t>
  </si>
  <si>
    <t>=NL("Sum","5802 Value Entry","150 Sales Amount (Expected)","41 Source Type",$C$5,"5 Source No.",$C1914,"4 Item Ledger Entry Type",$C$4,"2 Item No.","@@"&amp;$F1914,"3 Posting Date",O$9)+NL("Sum","5802 Value Entry","17 Sales Amount (Actual)","41 Source Type",$C$5,"5 Source no.",$C1914,"4 Item Ledger Entry Type",$C$4,"2 Item No.","@@"&amp;$F1914,"3 Posting Date",O$9)</t>
  </si>
  <si>
    <t>=-NL("Sum","5802 Value Entry","151 Cost Amount (Expected)","41 Source Type",$C$5,"5 Source No.",$C1914,"4 Item Ledger Entry Type",$C$4,"2 Item No.","@@"&amp;$F1914,"3 Posting Date",O$9)-NL("Sum","5802 Value Entry","43 Cost Amount (Actual)","41 Source Type",$C$5,"5 Source no.",$C1914,"4 Item Ledger Entry Type",$C$4,"2 Item No.","@@"&amp;$F1914,"3 Posting Date",O$9)</t>
  </si>
  <si>
    <t>=O1914-Q1914</t>
  </si>
  <si>
    <t>=IF(O1914&lt;&gt;0,R1914/O1914,"")</t>
  </si>
  <si>
    <t>=NL("Sum","5802 Value Entry","150 Sales Amount (Expected)","41 Source Type",$C$5,"5 Source No.",$C1914,"4 Item Ledger Entry Type",$C$4,"2 Item No.","@@"&amp;$F1914,"3 Posting Date",U$9)+NL("Sum","5802 Value Entry","17 Sales Amount (Actual)","41 Source Type",$C$5,"5 Source no.",$C1914,"4 Item Ledger Entry Type",$C$4,"2 Item No.","@@"&amp;$F1914,"3 Posting Date",U$9)</t>
  </si>
  <si>
    <t>=-NL("Sum","5802 Value Entry","151 Cost Amount (Expected)","41 Source Type",$C$5,"5 Source No.",$C1914,"4 Item Ledger Entry Type",$C$4,"2 Item No.","@@"&amp;$F1914,"3 Posting Date",U$9)-NL("Sum","5802 Value Entry","43 Cost Amount (Actual)","41 Source Type",$C$5,"5 Source no.",$C1914,"4 Item Ledger Entry Type",$C$4,"2 Item No.","@@"&amp;$F1914,"3 Posting Date",U$9)</t>
  </si>
  <si>
    <t>=U1914-W1914</t>
  </si>
  <si>
    <t>=IF(U1914&lt;&gt;0,X1914/U1914,"")</t>
  </si>
  <si>
    <t>=NL("Sum","5802 Value Entry","150 Sales Amount (Expected)","41 Source Type",$C$5,"5 Source No.",$C1914,"4 Item Ledger Entry Type",$C$4,"2 Item No.","@@"&amp;$F1914,"3 Posting Date",Z$9)+NL("Sum","5802 Value Entry","17 Sales Amount (Actual)","41 Source Type",$C$5,"5 Source no.",$C1914,"4 Item Ledger Entry Type",$C$4,"2 Item No.","@@"&amp;$F1914,"3 Posting Date",Z$9)</t>
  </si>
  <si>
    <t>=-NL("Sum","5802 Value Entry","151 Cost Amount (Expected)","41 Source Type",$C$5,"5 Source No.",$C1914,"4 Item Ledger Entry Type",$C$4,"2 Item No.","@@"&amp;$F1914,"3 Posting Date",Z$9)-NL("Sum","5802 Value Entry","43 Cost Amount (Actual)","41 Source Type",$C$5,"5 Source no.",$C1914,"4 Item Ledger Entry Type",$C$4,"2 Item No.","@@"&amp;$F1914,"3 Posting Date",Z$9)</t>
  </si>
  <si>
    <t>=Z1914-AB1914</t>
  </si>
  <si>
    <t>=IF(Z1914&lt;&gt;0,AC1914/Z1914,"")</t>
  </si>
  <si>
    <t>=C1914</t>
  </si>
  <si>
    <t>=NL("Sum","5802 Value Entry","150 Sales Amount (Expected)","41 Source Type",$C$5,"5 Source No.",$C1915,"4 Item Ledger Entry Type",$C$4,"2 Item No.","@@"&amp;$F1915,"3 Posting Date",J$9)+NL("Sum","5802 Value Entry","17 Sales Amount (Actual)","41 Source Type",$C$5,"5 Source no.",$C1915,"4 Item Ledger Entry Type",$C$4,"2 Item No.","@@"&amp;$F1915,"3 Posting Date",J$9)</t>
  </si>
  <si>
    <t>=-NL("Sum","5802 Value Entry","151 Cost Amount (Expected)","41 Source Type",$C$5,"5 Source No.",$C1915,"4 Item Ledger Entry Type",$C$4,"2 Item No.","@@"&amp;$F1915,"3 Posting Date",J$9)-NL("Sum","5802 Value Entry","43 Cost Amount (Actual)","41 Source Type",$C$5,"5 Source no.",$C1915,"4 Item Ledger Entry Type",$C$4,"2 Item No.","@@"&amp;$F1915,"3 Posting Date",J$9)</t>
  </si>
  <si>
    <t>=J1915-L1915</t>
  </si>
  <si>
    <t>=IF(J1915&lt;&gt;0,M1915/J1915,"")</t>
  </si>
  <si>
    <t>=NL("Sum","5802 Value Entry","150 Sales Amount (Expected)","41 Source Type",$C$5,"5 Source No.",$C1915,"4 Item Ledger Entry Type",$C$4,"2 Item No.","@@"&amp;$F1915,"3 Posting Date",O$9)+NL("Sum","5802 Value Entry","17 Sales Amount (Actual)","41 Source Type",$C$5,"5 Source no.",$C1915,"4 Item Ledger Entry Type",$C$4,"2 Item No.","@@"&amp;$F1915,"3 Posting Date",O$9)</t>
  </si>
  <si>
    <t>=-NL("Sum","5802 Value Entry","151 Cost Amount (Expected)","41 Source Type",$C$5,"5 Source No.",$C1915,"4 Item Ledger Entry Type",$C$4,"2 Item No.","@@"&amp;$F1915,"3 Posting Date",O$9)-NL("Sum","5802 Value Entry","43 Cost Amount (Actual)","41 Source Type",$C$5,"5 Source no.",$C1915,"4 Item Ledger Entry Type",$C$4,"2 Item No.","@@"&amp;$F1915,"3 Posting Date",O$9)</t>
  </si>
  <si>
    <t>=O1915-Q1915</t>
  </si>
  <si>
    <t>=IF(O1915&lt;&gt;0,R1915/O1915,"")</t>
  </si>
  <si>
    <t>=NL("Sum","5802 Value Entry","150 Sales Amount (Expected)","41 Source Type",$C$5,"5 Source No.",$C1915,"4 Item Ledger Entry Type",$C$4,"2 Item No.","@@"&amp;$F1915,"3 Posting Date",U$9)+NL("Sum","5802 Value Entry","17 Sales Amount (Actual)","41 Source Type",$C$5,"5 Source no.",$C1915,"4 Item Ledger Entry Type",$C$4,"2 Item No.","@@"&amp;$F1915,"3 Posting Date",U$9)</t>
  </si>
  <si>
    <t>=-NL("Sum","5802 Value Entry","151 Cost Amount (Expected)","41 Source Type",$C$5,"5 Source No.",$C1915,"4 Item Ledger Entry Type",$C$4,"2 Item No.","@@"&amp;$F1915,"3 Posting Date",U$9)-NL("Sum","5802 Value Entry","43 Cost Amount (Actual)","41 Source Type",$C$5,"5 Source no.",$C1915,"4 Item Ledger Entry Type",$C$4,"2 Item No.","@@"&amp;$F1915,"3 Posting Date",U$9)</t>
  </si>
  <si>
    <t>=U1915-W1915</t>
  </si>
  <si>
    <t>=IF(U1915&lt;&gt;0,X1915/U1915,"")</t>
  </si>
  <si>
    <t>=NL("Sum","5802 Value Entry","150 Sales Amount (Expected)","41 Source Type",$C$5,"5 Source No.",$C1915,"4 Item Ledger Entry Type",$C$4,"2 Item No.","@@"&amp;$F1915,"3 Posting Date",Z$9)+NL("Sum","5802 Value Entry","17 Sales Amount (Actual)","41 Source Type",$C$5,"5 Source no.",$C1915,"4 Item Ledger Entry Type",$C$4,"2 Item No.","@@"&amp;$F1915,"3 Posting Date",Z$9)</t>
  </si>
  <si>
    <t>=-NL("Sum","5802 Value Entry","151 Cost Amount (Expected)","41 Source Type",$C$5,"5 Source No.",$C1915,"4 Item Ledger Entry Type",$C$4,"2 Item No.","@@"&amp;$F1915,"3 Posting Date",Z$9)-NL("Sum","5802 Value Entry","43 Cost Amount (Actual)","41 Source Type",$C$5,"5 Source no.",$C1915,"4 Item Ledger Entry Type",$C$4,"2 Item No.","@@"&amp;$F1915,"3 Posting Date",Z$9)</t>
  </si>
  <si>
    <t>=Z1915-AB1915</t>
  </si>
  <si>
    <t>=IF(Z1915&lt;&gt;0,AC1915/Z1915,"")</t>
  </si>
  <si>
    <t>=C1916</t>
  </si>
  <si>
    <t>=J1917-L1917</t>
  </si>
  <si>
    <t>=IF(J1917&lt;&gt;0,M1917/J1917,"")</t>
  </si>
  <si>
    <t>=O1917-Q1917</t>
  </si>
  <si>
    <t>=IF(O1917&lt;&gt;0,R1917/O1917,"")</t>
  </si>
  <si>
    <t>=U1917-W1917</t>
  </si>
  <si>
    <t>=IF(U1917&lt;&gt;0,X1917/U1917,"")</t>
  </si>
  <si>
    <t>=Z1917-AB1917</t>
  </si>
  <si>
    <t>=IF(Z1917&lt;&gt;0,AC1917/Z1917,"")</t>
  </si>
  <si>
    <t>=C1919</t>
  </si>
  <si>
    <t>=C1920</t>
  </si>
  <si>
    <t>=NL("Sum","5802 Value Entry","150 Sales Amount (Expected)","41 Source Type",$C$5,"5 Source No.",$C1921,"4 Item Ledger Entry Type",$C$4,"2 Item No.","@@"&amp;$F1921,"3 Posting Date",J$9)+NL("Sum","5802 Value Entry","17 Sales Amount (Actual)","41 Source Type",$C$5,"5 Source no.",$C1921,"4 Item Ledger Entry Type",$C$4,"2 Item No.","@@"&amp;$F1921,"3 Posting Date",J$9)</t>
  </si>
  <si>
    <t>=-NL("Sum","5802 Value Entry","151 Cost Amount (Expected)","41 Source Type",$C$5,"5 Source No.",$C1921,"4 Item Ledger Entry Type",$C$4,"2 Item No.","@@"&amp;$F1921,"3 Posting Date",J$9)-NL("Sum","5802 Value Entry","43 Cost Amount (Actual)","41 Source Type",$C$5,"5 Source no.",$C1921,"4 Item Ledger Entry Type",$C$4,"2 Item No.","@@"&amp;$F1921,"3 Posting Date",J$9)</t>
  </si>
  <si>
    <t>=J1921-L1921</t>
  </si>
  <si>
    <t>=IF(J1921&lt;&gt;0,M1921/J1921,"")</t>
  </si>
  <si>
    <t>=NL("Sum","5802 Value Entry","150 Sales Amount (Expected)","41 Source Type",$C$5,"5 Source No.",$C1921,"4 Item Ledger Entry Type",$C$4,"2 Item No.","@@"&amp;$F1921,"3 Posting Date",O$9)+NL("Sum","5802 Value Entry","17 Sales Amount (Actual)","41 Source Type",$C$5,"5 Source no.",$C1921,"4 Item Ledger Entry Type",$C$4,"2 Item No.","@@"&amp;$F1921,"3 Posting Date",O$9)</t>
  </si>
  <si>
    <t>=-NL("Sum","5802 Value Entry","151 Cost Amount (Expected)","41 Source Type",$C$5,"5 Source No.",$C1921,"4 Item Ledger Entry Type",$C$4,"2 Item No.","@@"&amp;$F1921,"3 Posting Date",O$9)-NL("Sum","5802 Value Entry","43 Cost Amount (Actual)","41 Source Type",$C$5,"5 Source no.",$C1921,"4 Item Ledger Entry Type",$C$4,"2 Item No.","@@"&amp;$F1921,"3 Posting Date",O$9)</t>
  </si>
  <si>
    <t>=O1921-Q1921</t>
  </si>
  <si>
    <t>=IF(O1921&lt;&gt;0,R1921/O1921,"")</t>
  </si>
  <si>
    <t>=NL("Sum","5802 Value Entry","150 Sales Amount (Expected)","41 Source Type",$C$5,"5 Source No.",$C1921,"4 Item Ledger Entry Type",$C$4,"2 Item No.","@@"&amp;$F1921,"3 Posting Date",U$9)+NL("Sum","5802 Value Entry","17 Sales Amount (Actual)","41 Source Type",$C$5,"5 Source no.",$C1921,"4 Item Ledger Entry Type",$C$4,"2 Item No.","@@"&amp;$F1921,"3 Posting Date",U$9)</t>
  </si>
  <si>
    <t>=-NL("Sum","5802 Value Entry","151 Cost Amount (Expected)","41 Source Type",$C$5,"5 Source No.",$C1921,"4 Item Ledger Entry Type",$C$4,"2 Item No.","@@"&amp;$F1921,"3 Posting Date",U$9)-NL("Sum","5802 Value Entry","43 Cost Amount (Actual)","41 Source Type",$C$5,"5 Source no.",$C1921,"4 Item Ledger Entry Type",$C$4,"2 Item No.","@@"&amp;$F1921,"3 Posting Date",U$9)</t>
  </si>
  <si>
    <t>=U1921-W1921</t>
  </si>
  <si>
    <t>=IF(U1921&lt;&gt;0,X1921/U1921,"")</t>
  </si>
  <si>
    <t>=NL("Sum","5802 Value Entry","150 Sales Amount (Expected)","41 Source Type",$C$5,"5 Source No.",$C1921,"4 Item Ledger Entry Type",$C$4,"2 Item No.","@@"&amp;$F1921,"3 Posting Date",Z$9)+NL("Sum","5802 Value Entry","17 Sales Amount (Actual)","41 Source Type",$C$5,"5 Source no.",$C1921,"4 Item Ledger Entry Type",$C$4,"2 Item No.","@@"&amp;$F1921,"3 Posting Date",Z$9)</t>
  </si>
  <si>
    <t>=-NL("Sum","5802 Value Entry","151 Cost Amount (Expected)","41 Source Type",$C$5,"5 Source No.",$C1921,"4 Item Ledger Entry Type",$C$4,"2 Item No.","@@"&amp;$F1921,"3 Posting Date",Z$9)-NL("Sum","5802 Value Entry","43 Cost Amount (Actual)","41 Source Type",$C$5,"5 Source no.",$C1921,"4 Item Ledger Entry Type",$C$4,"2 Item No.","@@"&amp;$F1921,"3 Posting Date",Z$9)</t>
  </si>
  <si>
    <t>=Z1921-AB1921</t>
  </si>
  <si>
    <t>=IF(Z1921&lt;&gt;0,AC1921/Z1921,"")</t>
  </si>
  <si>
    <t>=C1921</t>
  </si>
  <si>
    <t>=NL("Sum","5802 Value Entry","150 Sales Amount (Expected)","41 Source Type",$C$5,"5 Source No.",$C1922,"4 Item Ledger Entry Type",$C$4,"2 Item No.","@@"&amp;$F1922,"3 Posting Date",J$9)+NL("Sum","5802 Value Entry","17 Sales Amount (Actual)","41 Source Type",$C$5,"5 Source no.",$C1922,"4 Item Ledger Entry Type",$C$4,"2 Item No.","@@"&amp;$F1922,"3 Posting Date",J$9)</t>
  </si>
  <si>
    <t>=-NL("Sum","5802 Value Entry","151 Cost Amount (Expected)","41 Source Type",$C$5,"5 Source No.",$C1922,"4 Item Ledger Entry Type",$C$4,"2 Item No.","@@"&amp;$F1922,"3 Posting Date",J$9)-NL("Sum","5802 Value Entry","43 Cost Amount (Actual)","41 Source Type",$C$5,"5 Source no.",$C1922,"4 Item Ledger Entry Type",$C$4,"2 Item No.","@@"&amp;$F1922,"3 Posting Date",J$9)</t>
  </si>
  <si>
    <t>=J1922-L1922</t>
  </si>
  <si>
    <t>=IF(J1922&lt;&gt;0,M1922/J1922,"")</t>
  </si>
  <si>
    <t>=NL("Sum","5802 Value Entry","150 Sales Amount (Expected)","41 Source Type",$C$5,"5 Source No.",$C1922,"4 Item Ledger Entry Type",$C$4,"2 Item No.","@@"&amp;$F1922,"3 Posting Date",O$9)+NL("Sum","5802 Value Entry","17 Sales Amount (Actual)","41 Source Type",$C$5,"5 Source no.",$C1922,"4 Item Ledger Entry Type",$C$4,"2 Item No.","@@"&amp;$F1922,"3 Posting Date",O$9)</t>
  </si>
  <si>
    <t>=-NL("Sum","5802 Value Entry","151 Cost Amount (Expected)","41 Source Type",$C$5,"5 Source No.",$C1922,"4 Item Ledger Entry Type",$C$4,"2 Item No.","@@"&amp;$F1922,"3 Posting Date",O$9)-NL("Sum","5802 Value Entry","43 Cost Amount (Actual)","41 Source Type",$C$5,"5 Source no.",$C1922,"4 Item Ledger Entry Type",$C$4,"2 Item No.","@@"&amp;$F1922,"3 Posting Date",O$9)</t>
  </si>
  <si>
    <t>=O1922-Q1922</t>
  </si>
  <si>
    <t>=IF(O1922&lt;&gt;0,R1922/O1922,"")</t>
  </si>
  <si>
    <t>=NL("Sum","5802 Value Entry","150 Sales Amount (Expected)","41 Source Type",$C$5,"5 Source No.",$C1922,"4 Item Ledger Entry Type",$C$4,"2 Item No.","@@"&amp;$F1922,"3 Posting Date",U$9)+NL("Sum","5802 Value Entry","17 Sales Amount (Actual)","41 Source Type",$C$5,"5 Source no.",$C1922,"4 Item Ledger Entry Type",$C$4,"2 Item No.","@@"&amp;$F1922,"3 Posting Date",U$9)</t>
  </si>
  <si>
    <t>=-NL("Sum","5802 Value Entry","151 Cost Amount (Expected)","41 Source Type",$C$5,"5 Source No.",$C1922,"4 Item Ledger Entry Type",$C$4,"2 Item No.","@@"&amp;$F1922,"3 Posting Date",U$9)-NL("Sum","5802 Value Entry","43 Cost Amount (Actual)","41 Source Type",$C$5,"5 Source no.",$C1922,"4 Item Ledger Entry Type",$C$4,"2 Item No.","@@"&amp;$F1922,"3 Posting Date",U$9)</t>
  </si>
  <si>
    <t>=U1922-W1922</t>
  </si>
  <si>
    <t>=IF(U1922&lt;&gt;0,X1922/U1922,"")</t>
  </si>
  <si>
    <t>=NL("Sum","5802 Value Entry","150 Sales Amount (Expected)","41 Source Type",$C$5,"5 Source No.",$C1922,"4 Item Ledger Entry Type",$C$4,"2 Item No.","@@"&amp;$F1922,"3 Posting Date",Z$9)+NL("Sum","5802 Value Entry","17 Sales Amount (Actual)","41 Source Type",$C$5,"5 Source no.",$C1922,"4 Item Ledger Entry Type",$C$4,"2 Item No.","@@"&amp;$F1922,"3 Posting Date",Z$9)</t>
  </si>
  <si>
    <t>=-NL("Sum","5802 Value Entry","151 Cost Amount (Expected)","41 Source Type",$C$5,"5 Source No.",$C1922,"4 Item Ledger Entry Type",$C$4,"2 Item No.","@@"&amp;$F1922,"3 Posting Date",Z$9)-NL("Sum","5802 Value Entry","43 Cost Amount (Actual)","41 Source Type",$C$5,"5 Source no.",$C1922,"4 Item Ledger Entry Type",$C$4,"2 Item No.","@@"&amp;$F1922,"3 Posting Date",Z$9)</t>
  </si>
  <si>
    <t>=Z1922-AB1922</t>
  </si>
  <si>
    <t>=IF(Z1922&lt;&gt;0,AC1922/Z1922,"")</t>
  </si>
  <si>
    <t>=C1922</t>
  </si>
  <si>
    <t>=NL("Sum","5802 Value Entry","150 Sales Amount (Expected)","41 Source Type",$C$5,"5 Source No.",$C1923,"4 Item Ledger Entry Type",$C$4,"2 Item No.","@@"&amp;$F1923,"3 Posting Date",J$9)+NL("Sum","5802 Value Entry","17 Sales Amount (Actual)","41 Source Type",$C$5,"5 Source no.",$C1923,"4 Item Ledger Entry Type",$C$4,"2 Item No.","@@"&amp;$F1923,"3 Posting Date",J$9)</t>
  </si>
  <si>
    <t>=-NL("Sum","5802 Value Entry","151 Cost Amount (Expected)","41 Source Type",$C$5,"5 Source No.",$C1923,"4 Item Ledger Entry Type",$C$4,"2 Item No.","@@"&amp;$F1923,"3 Posting Date",J$9)-NL("Sum","5802 Value Entry","43 Cost Amount (Actual)","41 Source Type",$C$5,"5 Source no.",$C1923,"4 Item Ledger Entry Type",$C$4,"2 Item No.","@@"&amp;$F1923,"3 Posting Date",J$9)</t>
  </si>
  <si>
    <t>=J1923-L1923</t>
  </si>
  <si>
    <t>=IF(J1923&lt;&gt;0,M1923/J1923,"")</t>
  </si>
  <si>
    <t>=NL("Sum","5802 Value Entry","150 Sales Amount (Expected)","41 Source Type",$C$5,"5 Source No.",$C1923,"4 Item Ledger Entry Type",$C$4,"2 Item No.","@@"&amp;$F1923,"3 Posting Date",O$9)+NL("Sum","5802 Value Entry","17 Sales Amount (Actual)","41 Source Type",$C$5,"5 Source no.",$C1923,"4 Item Ledger Entry Type",$C$4,"2 Item No.","@@"&amp;$F1923,"3 Posting Date",O$9)</t>
  </si>
  <si>
    <t>=-NL("Sum","5802 Value Entry","151 Cost Amount (Expected)","41 Source Type",$C$5,"5 Source No.",$C1923,"4 Item Ledger Entry Type",$C$4,"2 Item No.","@@"&amp;$F1923,"3 Posting Date",O$9)-NL("Sum","5802 Value Entry","43 Cost Amount (Actual)","41 Source Type",$C$5,"5 Source no.",$C1923,"4 Item Ledger Entry Type",$C$4,"2 Item No.","@@"&amp;$F1923,"3 Posting Date",O$9)</t>
  </si>
  <si>
    <t>=O1923-Q1923</t>
  </si>
  <si>
    <t>=IF(O1923&lt;&gt;0,R1923/O1923,"")</t>
  </si>
  <si>
    <t>=NL("Sum","5802 Value Entry","150 Sales Amount (Expected)","41 Source Type",$C$5,"5 Source No.",$C1923,"4 Item Ledger Entry Type",$C$4,"2 Item No.","@@"&amp;$F1923,"3 Posting Date",U$9)+NL("Sum","5802 Value Entry","17 Sales Amount (Actual)","41 Source Type",$C$5,"5 Source no.",$C1923,"4 Item Ledger Entry Type",$C$4,"2 Item No.","@@"&amp;$F1923,"3 Posting Date",U$9)</t>
  </si>
  <si>
    <t>=-NL("Sum","5802 Value Entry","151 Cost Amount (Expected)","41 Source Type",$C$5,"5 Source No.",$C1923,"4 Item Ledger Entry Type",$C$4,"2 Item No.","@@"&amp;$F1923,"3 Posting Date",U$9)-NL("Sum","5802 Value Entry","43 Cost Amount (Actual)","41 Source Type",$C$5,"5 Source no.",$C1923,"4 Item Ledger Entry Type",$C$4,"2 Item No.","@@"&amp;$F1923,"3 Posting Date",U$9)</t>
  </si>
  <si>
    <t>=U1923-W1923</t>
  </si>
  <si>
    <t>=IF(U1923&lt;&gt;0,X1923/U1923,"")</t>
  </si>
  <si>
    <t>=NL("Sum","5802 Value Entry","150 Sales Amount (Expected)","41 Source Type",$C$5,"5 Source No.",$C1923,"4 Item Ledger Entry Type",$C$4,"2 Item No.","@@"&amp;$F1923,"3 Posting Date",Z$9)+NL("Sum","5802 Value Entry","17 Sales Amount (Actual)","41 Source Type",$C$5,"5 Source no.",$C1923,"4 Item Ledger Entry Type",$C$4,"2 Item No.","@@"&amp;$F1923,"3 Posting Date",Z$9)</t>
  </si>
  <si>
    <t>=-NL("Sum","5802 Value Entry","151 Cost Amount (Expected)","41 Source Type",$C$5,"5 Source No.",$C1923,"4 Item Ledger Entry Type",$C$4,"2 Item No.","@@"&amp;$F1923,"3 Posting Date",Z$9)-NL("Sum","5802 Value Entry","43 Cost Amount (Actual)","41 Source Type",$C$5,"5 Source no.",$C1923,"4 Item Ledger Entry Type",$C$4,"2 Item No.","@@"&amp;$F1923,"3 Posting Date",Z$9)</t>
  </si>
  <si>
    <t>=Z1923-AB1923</t>
  </si>
  <si>
    <t>=IF(Z1923&lt;&gt;0,AC1923/Z1923,"")</t>
  </si>
  <si>
    <t>=C1923</t>
  </si>
  <si>
    <t>=NL("Sum","5802 Value Entry","150 Sales Amount (Expected)","41 Source Type",$C$5,"5 Source No.",$C1924,"4 Item Ledger Entry Type",$C$4,"2 Item No.","@@"&amp;$F1924,"3 Posting Date",J$9)+NL("Sum","5802 Value Entry","17 Sales Amount (Actual)","41 Source Type",$C$5,"5 Source no.",$C1924,"4 Item Ledger Entry Type",$C$4,"2 Item No.","@@"&amp;$F1924,"3 Posting Date",J$9)</t>
  </si>
  <si>
    <t>=-NL("Sum","5802 Value Entry","151 Cost Amount (Expected)","41 Source Type",$C$5,"5 Source No.",$C1924,"4 Item Ledger Entry Type",$C$4,"2 Item No.","@@"&amp;$F1924,"3 Posting Date",J$9)-NL("Sum","5802 Value Entry","43 Cost Amount (Actual)","41 Source Type",$C$5,"5 Source no.",$C1924,"4 Item Ledger Entry Type",$C$4,"2 Item No.","@@"&amp;$F1924,"3 Posting Date",J$9)</t>
  </si>
  <si>
    <t>=J1924-L1924</t>
  </si>
  <si>
    <t>=IF(J1924&lt;&gt;0,M1924/J1924,"")</t>
  </si>
  <si>
    <t>=NL("Sum","5802 Value Entry","150 Sales Amount (Expected)","41 Source Type",$C$5,"5 Source No.",$C1924,"4 Item Ledger Entry Type",$C$4,"2 Item No.","@@"&amp;$F1924,"3 Posting Date",O$9)+NL("Sum","5802 Value Entry","17 Sales Amount (Actual)","41 Source Type",$C$5,"5 Source no.",$C1924,"4 Item Ledger Entry Type",$C$4,"2 Item No.","@@"&amp;$F1924,"3 Posting Date",O$9)</t>
  </si>
  <si>
    <t>=-NL("Sum","5802 Value Entry","151 Cost Amount (Expected)","41 Source Type",$C$5,"5 Source No.",$C1924,"4 Item Ledger Entry Type",$C$4,"2 Item No.","@@"&amp;$F1924,"3 Posting Date",O$9)-NL("Sum","5802 Value Entry","43 Cost Amount (Actual)","41 Source Type",$C$5,"5 Source no.",$C1924,"4 Item Ledger Entry Type",$C$4,"2 Item No.","@@"&amp;$F1924,"3 Posting Date",O$9)</t>
  </si>
  <si>
    <t>=O1924-Q1924</t>
  </si>
  <si>
    <t>=IF(O1924&lt;&gt;0,R1924/O1924,"")</t>
  </si>
  <si>
    <t>=NL("Sum","5802 Value Entry","150 Sales Amount (Expected)","41 Source Type",$C$5,"5 Source No.",$C1924,"4 Item Ledger Entry Type",$C$4,"2 Item No.","@@"&amp;$F1924,"3 Posting Date",U$9)+NL("Sum","5802 Value Entry","17 Sales Amount (Actual)","41 Source Type",$C$5,"5 Source no.",$C1924,"4 Item Ledger Entry Type",$C$4,"2 Item No.","@@"&amp;$F1924,"3 Posting Date",U$9)</t>
  </si>
  <si>
    <t>=-NL("Sum","5802 Value Entry","151 Cost Amount (Expected)","41 Source Type",$C$5,"5 Source No.",$C1924,"4 Item Ledger Entry Type",$C$4,"2 Item No.","@@"&amp;$F1924,"3 Posting Date",U$9)-NL("Sum","5802 Value Entry","43 Cost Amount (Actual)","41 Source Type",$C$5,"5 Source no.",$C1924,"4 Item Ledger Entry Type",$C$4,"2 Item No.","@@"&amp;$F1924,"3 Posting Date",U$9)</t>
  </si>
  <si>
    <t>=U1924-W1924</t>
  </si>
  <si>
    <t>=IF(U1924&lt;&gt;0,X1924/U1924,"")</t>
  </si>
  <si>
    <t>=NL("Sum","5802 Value Entry","150 Sales Amount (Expected)","41 Source Type",$C$5,"5 Source No.",$C1924,"4 Item Ledger Entry Type",$C$4,"2 Item No.","@@"&amp;$F1924,"3 Posting Date",Z$9)+NL("Sum","5802 Value Entry","17 Sales Amount (Actual)","41 Source Type",$C$5,"5 Source no.",$C1924,"4 Item Ledger Entry Type",$C$4,"2 Item No.","@@"&amp;$F1924,"3 Posting Date",Z$9)</t>
  </si>
  <si>
    <t>=-NL("Sum","5802 Value Entry","151 Cost Amount (Expected)","41 Source Type",$C$5,"5 Source No.",$C1924,"4 Item Ledger Entry Type",$C$4,"2 Item No.","@@"&amp;$F1924,"3 Posting Date",Z$9)-NL("Sum","5802 Value Entry","43 Cost Amount (Actual)","41 Source Type",$C$5,"5 Source no.",$C1924,"4 Item Ledger Entry Type",$C$4,"2 Item No.","@@"&amp;$F1924,"3 Posting Date",Z$9)</t>
  </si>
  <si>
    <t>=Z1924-AB1924</t>
  </si>
  <si>
    <t>=IF(Z1924&lt;&gt;0,AC1924/Z1924,"")</t>
  </si>
  <si>
    <t>=C1924</t>
  </si>
  <si>
    <t>=NL("Sum","5802 Value Entry","150 Sales Amount (Expected)","41 Source Type",$C$5,"5 Source No.",$C1925,"4 Item Ledger Entry Type",$C$4,"2 Item No.","@@"&amp;$F1925,"3 Posting Date",J$9)+NL("Sum","5802 Value Entry","17 Sales Amount (Actual)","41 Source Type",$C$5,"5 Source no.",$C1925,"4 Item Ledger Entry Type",$C$4,"2 Item No.","@@"&amp;$F1925,"3 Posting Date",J$9)</t>
  </si>
  <si>
    <t>=-NL("Sum","5802 Value Entry","151 Cost Amount (Expected)","41 Source Type",$C$5,"5 Source No.",$C1925,"4 Item Ledger Entry Type",$C$4,"2 Item No.","@@"&amp;$F1925,"3 Posting Date",J$9)-NL("Sum","5802 Value Entry","43 Cost Amount (Actual)","41 Source Type",$C$5,"5 Source no.",$C1925,"4 Item Ledger Entry Type",$C$4,"2 Item No.","@@"&amp;$F1925,"3 Posting Date",J$9)</t>
  </si>
  <si>
    <t>=J1925-L1925</t>
  </si>
  <si>
    <t>=IF(J1925&lt;&gt;0,M1925/J1925,"")</t>
  </si>
  <si>
    <t>=NL("Sum","5802 Value Entry","150 Sales Amount (Expected)","41 Source Type",$C$5,"5 Source No.",$C1925,"4 Item Ledger Entry Type",$C$4,"2 Item No.","@@"&amp;$F1925,"3 Posting Date",O$9)+NL("Sum","5802 Value Entry","17 Sales Amount (Actual)","41 Source Type",$C$5,"5 Source no.",$C1925,"4 Item Ledger Entry Type",$C$4,"2 Item No.","@@"&amp;$F1925,"3 Posting Date",O$9)</t>
  </si>
  <si>
    <t>=-NL("Sum","5802 Value Entry","151 Cost Amount (Expected)","41 Source Type",$C$5,"5 Source No.",$C1925,"4 Item Ledger Entry Type",$C$4,"2 Item No.","@@"&amp;$F1925,"3 Posting Date",O$9)-NL("Sum","5802 Value Entry","43 Cost Amount (Actual)","41 Source Type",$C$5,"5 Source no.",$C1925,"4 Item Ledger Entry Type",$C$4,"2 Item No.","@@"&amp;$F1925,"3 Posting Date",O$9)</t>
  </si>
  <si>
    <t>=O1925-Q1925</t>
  </si>
  <si>
    <t>=IF(O1925&lt;&gt;0,R1925/O1925,"")</t>
  </si>
  <si>
    <t>=NL("Sum","5802 Value Entry","150 Sales Amount (Expected)","41 Source Type",$C$5,"5 Source No.",$C1925,"4 Item Ledger Entry Type",$C$4,"2 Item No.","@@"&amp;$F1925,"3 Posting Date",U$9)+NL("Sum","5802 Value Entry","17 Sales Amount (Actual)","41 Source Type",$C$5,"5 Source no.",$C1925,"4 Item Ledger Entry Type",$C$4,"2 Item No.","@@"&amp;$F1925,"3 Posting Date",U$9)</t>
  </si>
  <si>
    <t>=-NL("Sum","5802 Value Entry","151 Cost Amount (Expected)","41 Source Type",$C$5,"5 Source No.",$C1925,"4 Item Ledger Entry Type",$C$4,"2 Item No.","@@"&amp;$F1925,"3 Posting Date",U$9)-NL("Sum","5802 Value Entry","43 Cost Amount (Actual)","41 Source Type",$C$5,"5 Source no.",$C1925,"4 Item Ledger Entry Type",$C$4,"2 Item No.","@@"&amp;$F1925,"3 Posting Date",U$9)</t>
  </si>
  <si>
    <t>=U1925-W1925</t>
  </si>
  <si>
    <t>=IF(U1925&lt;&gt;0,X1925/U1925,"")</t>
  </si>
  <si>
    <t>=NL("Sum","5802 Value Entry","150 Sales Amount (Expected)","41 Source Type",$C$5,"5 Source No.",$C1925,"4 Item Ledger Entry Type",$C$4,"2 Item No.","@@"&amp;$F1925,"3 Posting Date",Z$9)+NL("Sum","5802 Value Entry","17 Sales Amount (Actual)","41 Source Type",$C$5,"5 Source no.",$C1925,"4 Item Ledger Entry Type",$C$4,"2 Item No.","@@"&amp;$F1925,"3 Posting Date",Z$9)</t>
  </si>
  <si>
    <t>=-NL("Sum","5802 Value Entry","151 Cost Amount (Expected)","41 Source Type",$C$5,"5 Source No.",$C1925,"4 Item Ledger Entry Type",$C$4,"2 Item No.","@@"&amp;$F1925,"3 Posting Date",Z$9)-NL("Sum","5802 Value Entry","43 Cost Amount (Actual)","41 Source Type",$C$5,"5 Source no.",$C1925,"4 Item Ledger Entry Type",$C$4,"2 Item No.","@@"&amp;$F1925,"3 Posting Date",Z$9)</t>
  </si>
  <si>
    <t>=Z1925-AB1925</t>
  </si>
  <si>
    <t>=IF(Z1925&lt;&gt;0,AC1925/Z1925,"")</t>
  </si>
  <si>
    <t>=C1925</t>
  </si>
  <si>
    <t>=NL("Sum","5802 Value Entry","150 Sales Amount (Expected)","41 Source Type",$C$5,"5 Source No.",$C1926,"4 Item Ledger Entry Type",$C$4,"2 Item No.","@@"&amp;$F1926,"3 Posting Date",J$9)+NL("Sum","5802 Value Entry","17 Sales Amount (Actual)","41 Source Type",$C$5,"5 Source no.",$C1926,"4 Item Ledger Entry Type",$C$4,"2 Item No.","@@"&amp;$F1926,"3 Posting Date",J$9)</t>
  </si>
  <si>
    <t>=-NL("Sum","5802 Value Entry","151 Cost Amount (Expected)","41 Source Type",$C$5,"5 Source No.",$C1926,"4 Item Ledger Entry Type",$C$4,"2 Item No.","@@"&amp;$F1926,"3 Posting Date",J$9)-NL("Sum","5802 Value Entry","43 Cost Amount (Actual)","41 Source Type",$C$5,"5 Source no.",$C1926,"4 Item Ledger Entry Type",$C$4,"2 Item No.","@@"&amp;$F1926,"3 Posting Date",J$9)</t>
  </si>
  <si>
    <t>=J1926-L1926</t>
  </si>
  <si>
    <t>=IF(J1926&lt;&gt;0,M1926/J1926,"")</t>
  </si>
  <si>
    <t>=NL("Sum","5802 Value Entry","150 Sales Amount (Expected)","41 Source Type",$C$5,"5 Source No.",$C1926,"4 Item Ledger Entry Type",$C$4,"2 Item No.","@@"&amp;$F1926,"3 Posting Date",O$9)+NL("Sum","5802 Value Entry","17 Sales Amount (Actual)","41 Source Type",$C$5,"5 Source no.",$C1926,"4 Item Ledger Entry Type",$C$4,"2 Item No.","@@"&amp;$F1926,"3 Posting Date",O$9)</t>
  </si>
  <si>
    <t>=-NL("Sum","5802 Value Entry","151 Cost Amount (Expected)","41 Source Type",$C$5,"5 Source No.",$C1926,"4 Item Ledger Entry Type",$C$4,"2 Item No.","@@"&amp;$F1926,"3 Posting Date",O$9)-NL("Sum","5802 Value Entry","43 Cost Amount (Actual)","41 Source Type",$C$5,"5 Source no.",$C1926,"4 Item Ledger Entry Type",$C$4,"2 Item No.","@@"&amp;$F1926,"3 Posting Date",O$9)</t>
  </si>
  <si>
    <t>=O1926-Q1926</t>
  </si>
  <si>
    <t>=IF(O1926&lt;&gt;0,R1926/O1926,"")</t>
  </si>
  <si>
    <t>=NL("Sum","5802 Value Entry","150 Sales Amount (Expected)","41 Source Type",$C$5,"5 Source No.",$C1926,"4 Item Ledger Entry Type",$C$4,"2 Item No.","@@"&amp;$F1926,"3 Posting Date",U$9)+NL("Sum","5802 Value Entry","17 Sales Amount (Actual)","41 Source Type",$C$5,"5 Source no.",$C1926,"4 Item Ledger Entry Type",$C$4,"2 Item No.","@@"&amp;$F1926,"3 Posting Date",U$9)</t>
  </si>
  <si>
    <t>=-NL("Sum","5802 Value Entry","151 Cost Amount (Expected)","41 Source Type",$C$5,"5 Source No.",$C1926,"4 Item Ledger Entry Type",$C$4,"2 Item No.","@@"&amp;$F1926,"3 Posting Date",U$9)-NL("Sum","5802 Value Entry","43 Cost Amount (Actual)","41 Source Type",$C$5,"5 Source no.",$C1926,"4 Item Ledger Entry Type",$C$4,"2 Item No.","@@"&amp;$F1926,"3 Posting Date",U$9)</t>
  </si>
  <si>
    <t>=U1926-W1926</t>
  </si>
  <si>
    <t>=IF(U1926&lt;&gt;0,X1926/U1926,"")</t>
  </si>
  <si>
    <t>=NL("Sum","5802 Value Entry","150 Sales Amount (Expected)","41 Source Type",$C$5,"5 Source No.",$C1926,"4 Item Ledger Entry Type",$C$4,"2 Item No.","@@"&amp;$F1926,"3 Posting Date",Z$9)+NL("Sum","5802 Value Entry","17 Sales Amount (Actual)","41 Source Type",$C$5,"5 Source no.",$C1926,"4 Item Ledger Entry Type",$C$4,"2 Item No.","@@"&amp;$F1926,"3 Posting Date",Z$9)</t>
  </si>
  <si>
    <t>=-NL("Sum","5802 Value Entry","151 Cost Amount (Expected)","41 Source Type",$C$5,"5 Source No.",$C1926,"4 Item Ledger Entry Type",$C$4,"2 Item No.","@@"&amp;$F1926,"3 Posting Date",Z$9)-NL("Sum","5802 Value Entry","43 Cost Amount (Actual)","41 Source Type",$C$5,"5 Source no.",$C1926,"4 Item Ledger Entry Type",$C$4,"2 Item No.","@@"&amp;$F1926,"3 Posting Date",Z$9)</t>
  </si>
  <si>
    <t>=Z1926-AB1926</t>
  </si>
  <si>
    <t>=IF(Z1926&lt;&gt;0,AC1926/Z1926,"")</t>
  </si>
  <si>
    <t>=C1926</t>
  </si>
  <si>
    <t>=NL("Sum","5802 Value Entry","150 Sales Amount (Expected)","41 Source Type",$C$5,"5 Source No.",$C1927,"4 Item Ledger Entry Type",$C$4,"2 Item No.","@@"&amp;$F1927,"3 Posting Date",J$9)+NL("Sum","5802 Value Entry","17 Sales Amount (Actual)","41 Source Type",$C$5,"5 Source no.",$C1927,"4 Item Ledger Entry Type",$C$4,"2 Item No.","@@"&amp;$F1927,"3 Posting Date",J$9)</t>
  </si>
  <si>
    <t>=-NL("Sum","5802 Value Entry","151 Cost Amount (Expected)","41 Source Type",$C$5,"5 Source No.",$C1927,"4 Item Ledger Entry Type",$C$4,"2 Item No.","@@"&amp;$F1927,"3 Posting Date",J$9)-NL("Sum","5802 Value Entry","43 Cost Amount (Actual)","41 Source Type",$C$5,"5 Source no.",$C1927,"4 Item Ledger Entry Type",$C$4,"2 Item No.","@@"&amp;$F1927,"3 Posting Date",J$9)</t>
  </si>
  <si>
    <t>=J1927-L1927</t>
  </si>
  <si>
    <t>=IF(J1927&lt;&gt;0,M1927/J1927,"")</t>
  </si>
  <si>
    <t>=NL("Sum","5802 Value Entry","150 Sales Amount (Expected)","41 Source Type",$C$5,"5 Source No.",$C1927,"4 Item Ledger Entry Type",$C$4,"2 Item No.","@@"&amp;$F1927,"3 Posting Date",O$9)+NL("Sum","5802 Value Entry","17 Sales Amount (Actual)","41 Source Type",$C$5,"5 Source no.",$C1927,"4 Item Ledger Entry Type",$C$4,"2 Item No.","@@"&amp;$F1927,"3 Posting Date",O$9)</t>
  </si>
  <si>
    <t>=-NL("Sum","5802 Value Entry","151 Cost Amount (Expected)","41 Source Type",$C$5,"5 Source No.",$C1927,"4 Item Ledger Entry Type",$C$4,"2 Item No.","@@"&amp;$F1927,"3 Posting Date",O$9)-NL("Sum","5802 Value Entry","43 Cost Amount (Actual)","41 Source Type",$C$5,"5 Source no.",$C1927,"4 Item Ledger Entry Type",$C$4,"2 Item No.","@@"&amp;$F1927,"3 Posting Date",O$9)</t>
  </si>
  <si>
    <t>=O1927-Q1927</t>
  </si>
  <si>
    <t>=IF(O1927&lt;&gt;0,R1927/O1927,"")</t>
  </si>
  <si>
    <t>=NL("Sum","5802 Value Entry","150 Sales Amount (Expected)","41 Source Type",$C$5,"5 Source No.",$C1927,"4 Item Ledger Entry Type",$C$4,"2 Item No.","@@"&amp;$F1927,"3 Posting Date",U$9)+NL("Sum","5802 Value Entry","17 Sales Amount (Actual)","41 Source Type",$C$5,"5 Source no.",$C1927,"4 Item Ledger Entry Type",$C$4,"2 Item No.","@@"&amp;$F1927,"3 Posting Date",U$9)</t>
  </si>
  <si>
    <t>=-NL("Sum","5802 Value Entry","151 Cost Amount (Expected)","41 Source Type",$C$5,"5 Source No.",$C1927,"4 Item Ledger Entry Type",$C$4,"2 Item No.","@@"&amp;$F1927,"3 Posting Date",U$9)-NL("Sum","5802 Value Entry","43 Cost Amount (Actual)","41 Source Type",$C$5,"5 Source no.",$C1927,"4 Item Ledger Entry Type",$C$4,"2 Item No.","@@"&amp;$F1927,"3 Posting Date",U$9)</t>
  </si>
  <si>
    <t>=U1927-W1927</t>
  </si>
  <si>
    <t>=IF(U1927&lt;&gt;0,X1927/U1927,"")</t>
  </si>
  <si>
    <t>=NL("Sum","5802 Value Entry","150 Sales Amount (Expected)","41 Source Type",$C$5,"5 Source No.",$C1927,"4 Item Ledger Entry Type",$C$4,"2 Item No.","@@"&amp;$F1927,"3 Posting Date",Z$9)+NL("Sum","5802 Value Entry","17 Sales Amount (Actual)","41 Source Type",$C$5,"5 Source no.",$C1927,"4 Item Ledger Entry Type",$C$4,"2 Item No.","@@"&amp;$F1927,"3 Posting Date",Z$9)</t>
  </si>
  <si>
    <t>=-NL("Sum","5802 Value Entry","151 Cost Amount (Expected)","41 Source Type",$C$5,"5 Source No.",$C1927,"4 Item Ledger Entry Type",$C$4,"2 Item No.","@@"&amp;$F1927,"3 Posting Date",Z$9)-NL("Sum","5802 Value Entry","43 Cost Amount (Actual)","41 Source Type",$C$5,"5 Source no.",$C1927,"4 Item Ledger Entry Type",$C$4,"2 Item No.","@@"&amp;$F1927,"3 Posting Date",Z$9)</t>
  </si>
  <si>
    <t>=Z1927-AB1927</t>
  </si>
  <si>
    <t>=IF(Z1927&lt;&gt;0,AC1927/Z1927,"")</t>
  </si>
  <si>
    <t>=C1927</t>
  </si>
  <si>
    <t>=NL("Sum","5802 Value Entry","150 Sales Amount (Expected)","41 Source Type",$C$5,"5 Source No.",$C1928,"4 Item Ledger Entry Type",$C$4,"2 Item No.","@@"&amp;$F1928,"3 Posting Date",J$9)+NL("Sum","5802 Value Entry","17 Sales Amount (Actual)","41 Source Type",$C$5,"5 Source no.",$C1928,"4 Item Ledger Entry Type",$C$4,"2 Item No.","@@"&amp;$F1928,"3 Posting Date",J$9)</t>
  </si>
  <si>
    <t>=-NL("Sum","5802 Value Entry","151 Cost Amount (Expected)","41 Source Type",$C$5,"5 Source No.",$C1928,"4 Item Ledger Entry Type",$C$4,"2 Item No.","@@"&amp;$F1928,"3 Posting Date",J$9)-NL("Sum","5802 Value Entry","43 Cost Amount (Actual)","41 Source Type",$C$5,"5 Source no.",$C1928,"4 Item Ledger Entry Type",$C$4,"2 Item No.","@@"&amp;$F1928,"3 Posting Date",J$9)</t>
  </si>
  <si>
    <t>=J1928-L1928</t>
  </si>
  <si>
    <t>=IF(J1928&lt;&gt;0,M1928/J1928,"")</t>
  </si>
  <si>
    <t>=NL("Sum","5802 Value Entry","150 Sales Amount (Expected)","41 Source Type",$C$5,"5 Source No.",$C1928,"4 Item Ledger Entry Type",$C$4,"2 Item No.","@@"&amp;$F1928,"3 Posting Date",O$9)+NL("Sum","5802 Value Entry","17 Sales Amount (Actual)","41 Source Type",$C$5,"5 Source no.",$C1928,"4 Item Ledger Entry Type",$C$4,"2 Item No.","@@"&amp;$F1928,"3 Posting Date",O$9)</t>
  </si>
  <si>
    <t>=-NL("Sum","5802 Value Entry","151 Cost Amount (Expected)","41 Source Type",$C$5,"5 Source No.",$C1928,"4 Item Ledger Entry Type",$C$4,"2 Item No.","@@"&amp;$F1928,"3 Posting Date",O$9)-NL("Sum","5802 Value Entry","43 Cost Amount (Actual)","41 Source Type",$C$5,"5 Source no.",$C1928,"4 Item Ledger Entry Type",$C$4,"2 Item No.","@@"&amp;$F1928,"3 Posting Date",O$9)</t>
  </si>
  <si>
    <t>=O1928-Q1928</t>
  </si>
  <si>
    <t>=IF(O1928&lt;&gt;0,R1928/O1928,"")</t>
  </si>
  <si>
    <t>=NL("Sum","5802 Value Entry","150 Sales Amount (Expected)","41 Source Type",$C$5,"5 Source No.",$C1928,"4 Item Ledger Entry Type",$C$4,"2 Item No.","@@"&amp;$F1928,"3 Posting Date",U$9)+NL("Sum","5802 Value Entry","17 Sales Amount (Actual)","41 Source Type",$C$5,"5 Source no.",$C1928,"4 Item Ledger Entry Type",$C$4,"2 Item No.","@@"&amp;$F1928,"3 Posting Date",U$9)</t>
  </si>
  <si>
    <t>=-NL("Sum","5802 Value Entry","151 Cost Amount (Expected)","41 Source Type",$C$5,"5 Source No.",$C1928,"4 Item Ledger Entry Type",$C$4,"2 Item No.","@@"&amp;$F1928,"3 Posting Date",U$9)-NL("Sum","5802 Value Entry","43 Cost Amount (Actual)","41 Source Type",$C$5,"5 Source no.",$C1928,"4 Item Ledger Entry Type",$C$4,"2 Item No.","@@"&amp;$F1928,"3 Posting Date",U$9)</t>
  </si>
  <si>
    <t>=U1928-W1928</t>
  </si>
  <si>
    <t>=IF(U1928&lt;&gt;0,X1928/U1928,"")</t>
  </si>
  <si>
    <t>=NL("Sum","5802 Value Entry","150 Sales Amount (Expected)","41 Source Type",$C$5,"5 Source No.",$C1928,"4 Item Ledger Entry Type",$C$4,"2 Item No.","@@"&amp;$F1928,"3 Posting Date",Z$9)+NL("Sum","5802 Value Entry","17 Sales Amount (Actual)","41 Source Type",$C$5,"5 Source no.",$C1928,"4 Item Ledger Entry Type",$C$4,"2 Item No.","@@"&amp;$F1928,"3 Posting Date",Z$9)</t>
  </si>
  <si>
    <t>=-NL("Sum","5802 Value Entry","151 Cost Amount (Expected)","41 Source Type",$C$5,"5 Source No.",$C1928,"4 Item Ledger Entry Type",$C$4,"2 Item No.","@@"&amp;$F1928,"3 Posting Date",Z$9)-NL("Sum","5802 Value Entry","43 Cost Amount (Actual)","41 Source Type",$C$5,"5 Source no.",$C1928,"4 Item Ledger Entry Type",$C$4,"2 Item No.","@@"&amp;$F1928,"3 Posting Date",Z$9)</t>
  </si>
  <si>
    <t>=Z1928-AB1928</t>
  </si>
  <si>
    <t>=IF(Z1928&lt;&gt;0,AC1928/Z1928,"")</t>
  </si>
  <si>
    <t>=C1928</t>
  </si>
  <si>
    <t>=NL("Sum","5802 Value Entry","150 Sales Amount (Expected)","41 Source Type",$C$5,"5 Source No.",$C1929,"4 Item Ledger Entry Type",$C$4,"2 Item No.","@@"&amp;$F1929,"3 Posting Date",J$9)+NL("Sum","5802 Value Entry","17 Sales Amount (Actual)","41 Source Type",$C$5,"5 Source no.",$C1929,"4 Item Ledger Entry Type",$C$4,"2 Item No.","@@"&amp;$F1929,"3 Posting Date",J$9)</t>
  </si>
  <si>
    <t>=-NL("Sum","5802 Value Entry","151 Cost Amount (Expected)","41 Source Type",$C$5,"5 Source No.",$C1929,"4 Item Ledger Entry Type",$C$4,"2 Item No.","@@"&amp;$F1929,"3 Posting Date",J$9)-NL("Sum","5802 Value Entry","43 Cost Amount (Actual)","41 Source Type",$C$5,"5 Source no.",$C1929,"4 Item Ledger Entry Type",$C$4,"2 Item No.","@@"&amp;$F1929,"3 Posting Date",J$9)</t>
  </si>
  <si>
    <t>=J1929-L1929</t>
  </si>
  <si>
    <t>=IF(J1929&lt;&gt;0,M1929/J1929,"")</t>
  </si>
  <si>
    <t>=NL("Sum","5802 Value Entry","150 Sales Amount (Expected)","41 Source Type",$C$5,"5 Source No.",$C1929,"4 Item Ledger Entry Type",$C$4,"2 Item No.","@@"&amp;$F1929,"3 Posting Date",O$9)+NL("Sum","5802 Value Entry","17 Sales Amount (Actual)","41 Source Type",$C$5,"5 Source no.",$C1929,"4 Item Ledger Entry Type",$C$4,"2 Item No.","@@"&amp;$F1929,"3 Posting Date",O$9)</t>
  </si>
  <si>
    <t>=-NL("Sum","5802 Value Entry","151 Cost Amount (Expected)","41 Source Type",$C$5,"5 Source No.",$C1929,"4 Item Ledger Entry Type",$C$4,"2 Item No.","@@"&amp;$F1929,"3 Posting Date",O$9)-NL("Sum","5802 Value Entry","43 Cost Amount (Actual)","41 Source Type",$C$5,"5 Source no.",$C1929,"4 Item Ledger Entry Type",$C$4,"2 Item No.","@@"&amp;$F1929,"3 Posting Date",O$9)</t>
  </si>
  <si>
    <t>=O1929-Q1929</t>
  </si>
  <si>
    <t>=IF(O1929&lt;&gt;0,R1929/O1929,"")</t>
  </si>
  <si>
    <t>=NL("Sum","5802 Value Entry","150 Sales Amount (Expected)","41 Source Type",$C$5,"5 Source No.",$C1929,"4 Item Ledger Entry Type",$C$4,"2 Item No.","@@"&amp;$F1929,"3 Posting Date",U$9)+NL("Sum","5802 Value Entry","17 Sales Amount (Actual)","41 Source Type",$C$5,"5 Source no.",$C1929,"4 Item Ledger Entry Type",$C$4,"2 Item No.","@@"&amp;$F1929,"3 Posting Date",U$9)</t>
  </si>
  <si>
    <t>=-NL("Sum","5802 Value Entry","151 Cost Amount (Expected)","41 Source Type",$C$5,"5 Source No.",$C1929,"4 Item Ledger Entry Type",$C$4,"2 Item No.","@@"&amp;$F1929,"3 Posting Date",U$9)-NL("Sum","5802 Value Entry","43 Cost Amount (Actual)","41 Source Type",$C$5,"5 Source no.",$C1929,"4 Item Ledger Entry Type",$C$4,"2 Item No.","@@"&amp;$F1929,"3 Posting Date",U$9)</t>
  </si>
  <si>
    <t>=U1929-W1929</t>
  </si>
  <si>
    <t>=IF(U1929&lt;&gt;0,X1929/U1929,"")</t>
  </si>
  <si>
    <t>=NL("Sum","5802 Value Entry","150 Sales Amount (Expected)","41 Source Type",$C$5,"5 Source No.",$C1929,"4 Item Ledger Entry Type",$C$4,"2 Item No.","@@"&amp;$F1929,"3 Posting Date",Z$9)+NL("Sum","5802 Value Entry","17 Sales Amount (Actual)","41 Source Type",$C$5,"5 Source no.",$C1929,"4 Item Ledger Entry Type",$C$4,"2 Item No.","@@"&amp;$F1929,"3 Posting Date",Z$9)</t>
  </si>
  <si>
    <t>=-NL("Sum","5802 Value Entry","151 Cost Amount (Expected)","41 Source Type",$C$5,"5 Source No.",$C1929,"4 Item Ledger Entry Type",$C$4,"2 Item No.","@@"&amp;$F1929,"3 Posting Date",Z$9)-NL("Sum","5802 Value Entry","43 Cost Amount (Actual)","41 Source Type",$C$5,"5 Source no.",$C1929,"4 Item Ledger Entry Type",$C$4,"2 Item No.","@@"&amp;$F1929,"3 Posting Date",Z$9)</t>
  </si>
  <si>
    <t>=Z1929-AB1929</t>
  </si>
  <si>
    <t>=IF(Z1929&lt;&gt;0,AC1929/Z1929,"")</t>
  </si>
  <si>
    <t>=C1929</t>
  </si>
  <si>
    <t>=NL("Sum","5802 Value Entry","150 Sales Amount (Expected)","41 Source Type",$C$5,"5 Source No.",$C1930,"4 Item Ledger Entry Type",$C$4,"2 Item No.","@@"&amp;$F1930,"3 Posting Date",J$9)+NL("Sum","5802 Value Entry","17 Sales Amount (Actual)","41 Source Type",$C$5,"5 Source no.",$C1930,"4 Item Ledger Entry Type",$C$4,"2 Item No.","@@"&amp;$F1930,"3 Posting Date",J$9)</t>
  </si>
  <si>
    <t>=-NL("Sum","5802 Value Entry","151 Cost Amount (Expected)","41 Source Type",$C$5,"5 Source No.",$C1930,"4 Item Ledger Entry Type",$C$4,"2 Item No.","@@"&amp;$F1930,"3 Posting Date",J$9)-NL("Sum","5802 Value Entry","43 Cost Amount (Actual)","41 Source Type",$C$5,"5 Source no.",$C1930,"4 Item Ledger Entry Type",$C$4,"2 Item No.","@@"&amp;$F1930,"3 Posting Date",J$9)</t>
  </si>
  <si>
    <t>=J1930-L1930</t>
  </si>
  <si>
    <t>=IF(J1930&lt;&gt;0,M1930/J1930,"")</t>
  </si>
  <si>
    <t>=NL("Sum","5802 Value Entry","150 Sales Amount (Expected)","41 Source Type",$C$5,"5 Source No.",$C1930,"4 Item Ledger Entry Type",$C$4,"2 Item No.","@@"&amp;$F1930,"3 Posting Date",O$9)+NL("Sum","5802 Value Entry","17 Sales Amount (Actual)","41 Source Type",$C$5,"5 Source no.",$C1930,"4 Item Ledger Entry Type",$C$4,"2 Item No.","@@"&amp;$F1930,"3 Posting Date",O$9)</t>
  </si>
  <si>
    <t>=-NL("Sum","5802 Value Entry","151 Cost Amount (Expected)","41 Source Type",$C$5,"5 Source No.",$C1930,"4 Item Ledger Entry Type",$C$4,"2 Item No.","@@"&amp;$F1930,"3 Posting Date",O$9)-NL("Sum","5802 Value Entry","43 Cost Amount (Actual)","41 Source Type",$C$5,"5 Source no.",$C1930,"4 Item Ledger Entry Type",$C$4,"2 Item No.","@@"&amp;$F1930,"3 Posting Date",O$9)</t>
  </si>
  <si>
    <t>=O1930-Q1930</t>
  </si>
  <si>
    <t>=IF(O1930&lt;&gt;0,R1930/O1930,"")</t>
  </si>
  <si>
    <t>=NL("Sum","5802 Value Entry","150 Sales Amount (Expected)","41 Source Type",$C$5,"5 Source No.",$C1930,"4 Item Ledger Entry Type",$C$4,"2 Item No.","@@"&amp;$F1930,"3 Posting Date",U$9)+NL("Sum","5802 Value Entry","17 Sales Amount (Actual)","41 Source Type",$C$5,"5 Source no.",$C1930,"4 Item Ledger Entry Type",$C$4,"2 Item No.","@@"&amp;$F1930,"3 Posting Date",U$9)</t>
  </si>
  <si>
    <t>=-NL("Sum","5802 Value Entry","151 Cost Amount (Expected)","41 Source Type",$C$5,"5 Source No.",$C1930,"4 Item Ledger Entry Type",$C$4,"2 Item No.","@@"&amp;$F1930,"3 Posting Date",U$9)-NL("Sum","5802 Value Entry","43 Cost Amount (Actual)","41 Source Type",$C$5,"5 Source no.",$C1930,"4 Item Ledger Entry Type",$C$4,"2 Item No.","@@"&amp;$F1930,"3 Posting Date",U$9)</t>
  </si>
  <si>
    <t>=U1930-W1930</t>
  </si>
  <si>
    <t>=IF(U1930&lt;&gt;0,X1930/U1930,"")</t>
  </si>
  <si>
    <t>=NL("Sum","5802 Value Entry","150 Sales Amount (Expected)","41 Source Type",$C$5,"5 Source No.",$C1930,"4 Item Ledger Entry Type",$C$4,"2 Item No.","@@"&amp;$F1930,"3 Posting Date",Z$9)+NL("Sum","5802 Value Entry","17 Sales Amount (Actual)","41 Source Type",$C$5,"5 Source no.",$C1930,"4 Item Ledger Entry Type",$C$4,"2 Item No.","@@"&amp;$F1930,"3 Posting Date",Z$9)</t>
  </si>
  <si>
    <t>=-NL("Sum","5802 Value Entry","151 Cost Amount (Expected)","41 Source Type",$C$5,"5 Source No.",$C1930,"4 Item Ledger Entry Type",$C$4,"2 Item No.","@@"&amp;$F1930,"3 Posting Date",Z$9)-NL("Sum","5802 Value Entry","43 Cost Amount (Actual)","41 Source Type",$C$5,"5 Source no.",$C1930,"4 Item Ledger Entry Type",$C$4,"2 Item No.","@@"&amp;$F1930,"3 Posting Date",Z$9)</t>
  </si>
  <si>
    <t>=Z1930-AB1930</t>
  </si>
  <si>
    <t>=IF(Z1930&lt;&gt;0,AC1930/Z1930,"")</t>
  </si>
  <si>
    <t>=C1930</t>
  </si>
  <si>
    <t>=NL("Sum","5802 Value Entry","150 Sales Amount (Expected)","41 Source Type",$C$5,"5 Source No.",$C1931,"4 Item Ledger Entry Type",$C$4,"2 Item No.","@@"&amp;$F1931,"3 Posting Date",J$9)+NL("Sum","5802 Value Entry","17 Sales Amount (Actual)","41 Source Type",$C$5,"5 Source no.",$C1931,"4 Item Ledger Entry Type",$C$4,"2 Item No.","@@"&amp;$F1931,"3 Posting Date",J$9)</t>
  </si>
  <si>
    <t>=-NL("Sum","5802 Value Entry","151 Cost Amount (Expected)","41 Source Type",$C$5,"5 Source No.",$C1931,"4 Item Ledger Entry Type",$C$4,"2 Item No.","@@"&amp;$F1931,"3 Posting Date",J$9)-NL("Sum","5802 Value Entry","43 Cost Amount (Actual)","41 Source Type",$C$5,"5 Source no.",$C1931,"4 Item Ledger Entry Type",$C$4,"2 Item No.","@@"&amp;$F1931,"3 Posting Date",J$9)</t>
  </si>
  <si>
    <t>=J1931-L1931</t>
  </si>
  <si>
    <t>=IF(J1931&lt;&gt;0,M1931/J1931,"")</t>
  </si>
  <si>
    <t>=NL("Sum","5802 Value Entry","150 Sales Amount (Expected)","41 Source Type",$C$5,"5 Source No.",$C1931,"4 Item Ledger Entry Type",$C$4,"2 Item No.","@@"&amp;$F1931,"3 Posting Date",O$9)+NL("Sum","5802 Value Entry","17 Sales Amount (Actual)","41 Source Type",$C$5,"5 Source no.",$C1931,"4 Item Ledger Entry Type",$C$4,"2 Item No.","@@"&amp;$F1931,"3 Posting Date",O$9)</t>
  </si>
  <si>
    <t>=-NL("Sum","5802 Value Entry","151 Cost Amount (Expected)","41 Source Type",$C$5,"5 Source No.",$C1931,"4 Item Ledger Entry Type",$C$4,"2 Item No.","@@"&amp;$F1931,"3 Posting Date",O$9)-NL("Sum","5802 Value Entry","43 Cost Amount (Actual)","41 Source Type",$C$5,"5 Source no.",$C1931,"4 Item Ledger Entry Type",$C$4,"2 Item No.","@@"&amp;$F1931,"3 Posting Date",O$9)</t>
  </si>
  <si>
    <t>=O1931-Q1931</t>
  </si>
  <si>
    <t>=IF(O1931&lt;&gt;0,R1931/O1931,"")</t>
  </si>
  <si>
    <t>=NL("Sum","5802 Value Entry","150 Sales Amount (Expected)","41 Source Type",$C$5,"5 Source No.",$C1931,"4 Item Ledger Entry Type",$C$4,"2 Item No.","@@"&amp;$F1931,"3 Posting Date",U$9)+NL("Sum","5802 Value Entry","17 Sales Amount (Actual)","41 Source Type",$C$5,"5 Source no.",$C1931,"4 Item Ledger Entry Type",$C$4,"2 Item No.","@@"&amp;$F1931,"3 Posting Date",U$9)</t>
  </si>
  <si>
    <t>=-NL("Sum","5802 Value Entry","151 Cost Amount (Expected)","41 Source Type",$C$5,"5 Source No.",$C1931,"4 Item Ledger Entry Type",$C$4,"2 Item No.","@@"&amp;$F1931,"3 Posting Date",U$9)-NL("Sum","5802 Value Entry","43 Cost Amount (Actual)","41 Source Type",$C$5,"5 Source no.",$C1931,"4 Item Ledger Entry Type",$C$4,"2 Item No.","@@"&amp;$F1931,"3 Posting Date",U$9)</t>
  </si>
  <si>
    <t>=U1931-W1931</t>
  </si>
  <si>
    <t>=IF(U1931&lt;&gt;0,X1931/U1931,"")</t>
  </si>
  <si>
    <t>=NL("Sum","5802 Value Entry","150 Sales Amount (Expected)","41 Source Type",$C$5,"5 Source No.",$C1931,"4 Item Ledger Entry Type",$C$4,"2 Item No.","@@"&amp;$F1931,"3 Posting Date",Z$9)+NL("Sum","5802 Value Entry","17 Sales Amount (Actual)","41 Source Type",$C$5,"5 Source no.",$C1931,"4 Item Ledger Entry Type",$C$4,"2 Item No.","@@"&amp;$F1931,"3 Posting Date",Z$9)</t>
  </si>
  <si>
    <t>=-NL("Sum","5802 Value Entry","151 Cost Amount (Expected)","41 Source Type",$C$5,"5 Source No.",$C1931,"4 Item Ledger Entry Type",$C$4,"2 Item No.","@@"&amp;$F1931,"3 Posting Date",Z$9)-NL("Sum","5802 Value Entry","43 Cost Amount (Actual)","41 Source Type",$C$5,"5 Source no.",$C1931,"4 Item Ledger Entry Type",$C$4,"2 Item No.","@@"&amp;$F1931,"3 Posting Date",Z$9)</t>
  </si>
  <si>
    <t>=Z1931-AB1931</t>
  </si>
  <si>
    <t>=IF(Z1931&lt;&gt;0,AC1931/Z1931,"")</t>
  </si>
  <si>
    <t>=C1931</t>
  </si>
  <si>
    <t>=NL("Sum","5802 Value Entry","150 Sales Amount (Expected)","41 Source Type",$C$5,"5 Source No.",$C1932,"4 Item Ledger Entry Type",$C$4,"2 Item No.","@@"&amp;$F1932,"3 Posting Date",J$9)+NL("Sum","5802 Value Entry","17 Sales Amount (Actual)","41 Source Type",$C$5,"5 Source no.",$C1932,"4 Item Ledger Entry Type",$C$4,"2 Item No.","@@"&amp;$F1932,"3 Posting Date",J$9)</t>
  </si>
  <si>
    <t>=-NL("Sum","5802 Value Entry","151 Cost Amount (Expected)","41 Source Type",$C$5,"5 Source No.",$C1932,"4 Item Ledger Entry Type",$C$4,"2 Item No.","@@"&amp;$F1932,"3 Posting Date",J$9)-NL("Sum","5802 Value Entry","43 Cost Amount (Actual)","41 Source Type",$C$5,"5 Source no.",$C1932,"4 Item Ledger Entry Type",$C$4,"2 Item No.","@@"&amp;$F1932,"3 Posting Date",J$9)</t>
  </si>
  <si>
    <t>=J1932-L1932</t>
  </si>
  <si>
    <t>=IF(J1932&lt;&gt;0,M1932/J1932,"")</t>
  </si>
  <si>
    <t>=NL("Sum","5802 Value Entry","150 Sales Amount (Expected)","41 Source Type",$C$5,"5 Source No.",$C1932,"4 Item Ledger Entry Type",$C$4,"2 Item No.","@@"&amp;$F1932,"3 Posting Date",O$9)+NL("Sum","5802 Value Entry","17 Sales Amount (Actual)","41 Source Type",$C$5,"5 Source no.",$C1932,"4 Item Ledger Entry Type",$C$4,"2 Item No.","@@"&amp;$F1932,"3 Posting Date",O$9)</t>
  </si>
  <si>
    <t>=-NL("Sum","5802 Value Entry","151 Cost Amount (Expected)","41 Source Type",$C$5,"5 Source No.",$C1932,"4 Item Ledger Entry Type",$C$4,"2 Item No.","@@"&amp;$F1932,"3 Posting Date",O$9)-NL("Sum","5802 Value Entry","43 Cost Amount (Actual)","41 Source Type",$C$5,"5 Source no.",$C1932,"4 Item Ledger Entry Type",$C$4,"2 Item No.","@@"&amp;$F1932,"3 Posting Date",O$9)</t>
  </si>
  <si>
    <t>=O1932-Q1932</t>
  </si>
  <si>
    <t>=IF(O1932&lt;&gt;0,R1932/O1932,"")</t>
  </si>
  <si>
    <t>=NL("Sum","5802 Value Entry","150 Sales Amount (Expected)","41 Source Type",$C$5,"5 Source No.",$C1932,"4 Item Ledger Entry Type",$C$4,"2 Item No.","@@"&amp;$F1932,"3 Posting Date",U$9)+NL("Sum","5802 Value Entry","17 Sales Amount (Actual)","41 Source Type",$C$5,"5 Source no.",$C1932,"4 Item Ledger Entry Type",$C$4,"2 Item No.","@@"&amp;$F1932,"3 Posting Date",U$9)</t>
  </si>
  <si>
    <t>=-NL("Sum","5802 Value Entry","151 Cost Amount (Expected)","41 Source Type",$C$5,"5 Source No.",$C1932,"4 Item Ledger Entry Type",$C$4,"2 Item No.","@@"&amp;$F1932,"3 Posting Date",U$9)-NL("Sum","5802 Value Entry","43 Cost Amount (Actual)","41 Source Type",$C$5,"5 Source no.",$C1932,"4 Item Ledger Entry Type",$C$4,"2 Item No.","@@"&amp;$F1932,"3 Posting Date",U$9)</t>
  </si>
  <si>
    <t>=U1932-W1932</t>
  </si>
  <si>
    <t>=IF(U1932&lt;&gt;0,X1932/U1932,"")</t>
  </si>
  <si>
    <t>=NL("Sum","5802 Value Entry","150 Sales Amount (Expected)","41 Source Type",$C$5,"5 Source No.",$C1932,"4 Item Ledger Entry Type",$C$4,"2 Item No.","@@"&amp;$F1932,"3 Posting Date",Z$9)+NL("Sum","5802 Value Entry","17 Sales Amount (Actual)","41 Source Type",$C$5,"5 Source no.",$C1932,"4 Item Ledger Entry Type",$C$4,"2 Item No.","@@"&amp;$F1932,"3 Posting Date",Z$9)</t>
  </si>
  <si>
    <t>=-NL("Sum","5802 Value Entry","151 Cost Amount (Expected)","41 Source Type",$C$5,"5 Source No.",$C1932,"4 Item Ledger Entry Type",$C$4,"2 Item No.","@@"&amp;$F1932,"3 Posting Date",Z$9)-NL("Sum","5802 Value Entry","43 Cost Amount (Actual)","41 Source Type",$C$5,"5 Source no.",$C1932,"4 Item Ledger Entry Type",$C$4,"2 Item No.","@@"&amp;$F1932,"3 Posting Date",Z$9)</t>
  </si>
  <si>
    <t>=Z1932-AB1932</t>
  </si>
  <si>
    <t>=IF(Z1932&lt;&gt;0,AC1932/Z1932,"")</t>
  </si>
  <si>
    <t>=C1932</t>
  </si>
  <si>
    <t>=NL("Sum","5802 Value Entry","150 Sales Amount (Expected)","41 Source Type",$C$5,"5 Source No.",$C1933,"4 Item Ledger Entry Type",$C$4,"2 Item No.","@@"&amp;$F1933,"3 Posting Date",J$9)+NL("Sum","5802 Value Entry","17 Sales Amount (Actual)","41 Source Type",$C$5,"5 Source no.",$C1933,"4 Item Ledger Entry Type",$C$4,"2 Item No.","@@"&amp;$F1933,"3 Posting Date",J$9)</t>
  </si>
  <si>
    <t>=-NL("Sum","5802 Value Entry","151 Cost Amount (Expected)","41 Source Type",$C$5,"5 Source No.",$C1933,"4 Item Ledger Entry Type",$C$4,"2 Item No.","@@"&amp;$F1933,"3 Posting Date",J$9)-NL("Sum","5802 Value Entry","43 Cost Amount (Actual)","41 Source Type",$C$5,"5 Source no.",$C1933,"4 Item Ledger Entry Type",$C$4,"2 Item No.","@@"&amp;$F1933,"3 Posting Date",J$9)</t>
  </si>
  <si>
    <t>=J1933-L1933</t>
  </si>
  <si>
    <t>=IF(J1933&lt;&gt;0,M1933/J1933,"")</t>
  </si>
  <si>
    <t>=NL("Sum","5802 Value Entry","150 Sales Amount (Expected)","41 Source Type",$C$5,"5 Source No.",$C1933,"4 Item Ledger Entry Type",$C$4,"2 Item No.","@@"&amp;$F1933,"3 Posting Date",O$9)+NL("Sum","5802 Value Entry","17 Sales Amount (Actual)","41 Source Type",$C$5,"5 Source no.",$C1933,"4 Item Ledger Entry Type",$C$4,"2 Item No.","@@"&amp;$F1933,"3 Posting Date",O$9)</t>
  </si>
  <si>
    <t>=-NL("Sum","5802 Value Entry","151 Cost Amount (Expected)","41 Source Type",$C$5,"5 Source No.",$C1933,"4 Item Ledger Entry Type",$C$4,"2 Item No.","@@"&amp;$F1933,"3 Posting Date",O$9)-NL("Sum","5802 Value Entry","43 Cost Amount (Actual)","41 Source Type",$C$5,"5 Source no.",$C1933,"4 Item Ledger Entry Type",$C$4,"2 Item No.","@@"&amp;$F1933,"3 Posting Date",O$9)</t>
  </si>
  <si>
    <t>=O1933-Q1933</t>
  </si>
  <si>
    <t>=IF(O1933&lt;&gt;0,R1933/O1933,"")</t>
  </si>
  <si>
    <t>=NL("Sum","5802 Value Entry","150 Sales Amount (Expected)","41 Source Type",$C$5,"5 Source No.",$C1933,"4 Item Ledger Entry Type",$C$4,"2 Item No.","@@"&amp;$F1933,"3 Posting Date",U$9)+NL("Sum","5802 Value Entry","17 Sales Amount (Actual)","41 Source Type",$C$5,"5 Source no.",$C1933,"4 Item Ledger Entry Type",$C$4,"2 Item No.","@@"&amp;$F1933,"3 Posting Date",U$9)</t>
  </si>
  <si>
    <t>=-NL("Sum","5802 Value Entry","151 Cost Amount (Expected)","41 Source Type",$C$5,"5 Source No.",$C1933,"4 Item Ledger Entry Type",$C$4,"2 Item No.","@@"&amp;$F1933,"3 Posting Date",U$9)-NL("Sum","5802 Value Entry","43 Cost Amount (Actual)","41 Source Type",$C$5,"5 Source no.",$C1933,"4 Item Ledger Entry Type",$C$4,"2 Item No.","@@"&amp;$F1933,"3 Posting Date",U$9)</t>
  </si>
  <si>
    <t>=U1933-W1933</t>
  </si>
  <si>
    <t>=IF(U1933&lt;&gt;0,X1933/U1933,"")</t>
  </si>
  <si>
    <t>=NL("Sum","5802 Value Entry","150 Sales Amount (Expected)","41 Source Type",$C$5,"5 Source No.",$C1933,"4 Item Ledger Entry Type",$C$4,"2 Item No.","@@"&amp;$F1933,"3 Posting Date",Z$9)+NL("Sum","5802 Value Entry","17 Sales Amount (Actual)","41 Source Type",$C$5,"5 Source no.",$C1933,"4 Item Ledger Entry Type",$C$4,"2 Item No.","@@"&amp;$F1933,"3 Posting Date",Z$9)</t>
  </si>
  <si>
    <t>=-NL("Sum","5802 Value Entry","151 Cost Amount (Expected)","41 Source Type",$C$5,"5 Source No.",$C1933,"4 Item Ledger Entry Type",$C$4,"2 Item No.","@@"&amp;$F1933,"3 Posting Date",Z$9)-NL("Sum","5802 Value Entry","43 Cost Amount (Actual)","41 Source Type",$C$5,"5 Source no.",$C1933,"4 Item Ledger Entry Type",$C$4,"2 Item No.","@@"&amp;$F1933,"3 Posting Date",Z$9)</t>
  </si>
  <si>
    <t>=Z1933-AB1933</t>
  </si>
  <si>
    <t>=IF(Z1933&lt;&gt;0,AC1933/Z1933,"")</t>
  </si>
  <si>
    <t>=C1933</t>
  </si>
  <si>
    <t>=NL("Sum","5802 Value Entry","150 Sales Amount (Expected)","41 Source Type",$C$5,"5 Source No.",$C1934,"4 Item Ledger Entry Type",$C$4,"2 Item No.","@@"&amp;$F1934,"3 Posting Date",J$9)+NL("Sum","5802 Value Entry","17 Sales Amount (Actual)","41 Source Type",$C$5,"5 Source no.",$C1934,"4 Item Ledger Entry Type",$C$4,"2 Item No.","@@"&amp;$F1934,"3 Posting Date",J$9)</t>
  </si>
  <si>
    <t>=-NL("Sum","5802 Value Entry","151 Cost Amount (Expected)","41 Source Type",$C$5,"5 Source No.",$C1934,"4 Item Ledger Entry Type",$C$4,"2 Item No.","@@"&amp;$F1934,"3 Posting Date",J$9)-NL("Sum","5802 Value Entry","43 Cost Amount (Actual)","41 Source Type",$C$5,"5 Source no.",$C1934,"4 Item Ledger Entry Type",$C$4,"2 Item No.","@@"&amp;$F1934,"3 Posting Date",J$9)</t>
  </si>
  <si>
    <t>=J1934-L1934</t>
  </si>
  <si>
    <t>=IF(J1934&lt;&gt;0,M1934/J1934,"")</t>
  </si>
  <si>
    <t>=NL("Sum","5802 Value Entry","150 Sales Amount (Expected)","41 Source Type",$C$5,"5 Source No.",$C1934,"4 Item Ledger Entry Type",$C$4,"2 Item No.","@@"&amp;$F1934,"3 Posting Date",O$9)+NL("Sum","5802 Value Entry","17 Sales Amount (Actual)","41 Source Type",$C$5,"5 Source no.",$C1934,"4 Item Ledger Entry Type",$C$4,"2 Item No.","@@"&amp;$F1934,"3 Posting Date",O$9)</t>
  </si>
  <si>
    <t>=-NL("Sum","5802 Value Entry","151 Cost Amount (Expected)","41 Source Type",$C$5,"5 Source No.",$C1934,"4 Item Ledger Entry Type",$C$4,"2 Item No.","@@"&amp;$F1934,"3 Posting Date",O$9)-NL("Sum","5802 Value Entry","43 Cost Amount (Actual)","41 Source Type",$C$5,"5 Source no.",$C1934,"4 Item Ledger Entry Type",$C$4,"2 Item No.","@@"&amp;$F1934,"3 Posting Date",O$9)</t>
  </si>
  <si>
    <t>=O1934-Q1934</t>
  </si>
  <si>
    <t>=IF(O1934&lt;&gt;0,R1934/O1934,"")</t>
  </si>
  <si>
    <t>=NL("Sum","5802 Value Entry","150 Sales Amount (Expected)","41 Source Type",$C$5,"5 Source No.",$C1934,"4 Item Ledger Entry Type",$C$4,"2 Item No.","@@"&amp;$F1934,"3 Posting Date",U$9)+NL("Sum","5802 Value Entry","17 Sales Amount (Actual)","41 Source Type",$C$5,"5 Source no.",$C1934,"4 Item Ledger Entry Type",$C$4,"2 Item No.","@@"&amp;$F1934,"3 Posting Date",U$9)</t>
  </si>
  <si>
    <t>=-NL("Sum","5802 Value Entry","151 Cost Amount (Expected)","41 Source Type",$C$5,"5 Source No.",$C1934,"4 Item Ledger Entry Type",$C$4,"2 Item No.","@@"&amp;$F1934,"3 Posting Date",U$9)-NL("Sum","5802 Value Entry","43 Cost Amount (Actual)","41 Source Type",$C$5,"5 Source no.",$C1934,"4 Item Ledger Entry Type",$C$4,"2 Item No.","@@"&amp;$F1934,"3 Posting Date",U$9)</t>
  </si>
  <si>
    <t>=U1934-W1934</t>
  </si>
  <si>
    <t>=IF(U1934&lt;&gt;0,X1934/U1934,"")</t>
  </si>
  <si>
    <t>=NL("Sum","5802 Value Entry","150 Sales Amount (Expected)","41 Source Type",$C$5,"5 Source No.",$C1934,"4 Item Ledger Entry Type",$C$4,"2 Item No.","@@"&amp;$F1934,"3 Posting Date",Z$9)+NL("Sum","5802 Value Entry","17 Sales Amount (Actual)","41 Source Type",$C$5,"5 Source no.",$C1934,"4 Item Ledger Entry Type",$C$4,"2 Item No.","@@"&amp;$F1934,"3 Posting Date",Z$9)</t>
  </si>
  <si>
    <t>=-NL("Sum","5802 Value Entry","151 Cost Amount (Expected)","41 Source Type",$C$5,"5 Source No.",$C1934,"4 Item Ledger Entry Type",$C$4,"2 Item No.","@@"&amp;$F1934,"3 Posting Date",Z$9)-NL("Sum","5802 Value Entry","43 Cost Amount (Actual)","41 Source Type",$C$5,"5 Source no.",$C1934,"4 Item Ledger Entry Type",$C$4,"2 Item No.","@@"&amp;$F1934,"3 Posting Date",Z$9)</t>
  </si>
  <si>
    <t>=Z1934-AB1934</t>
  </si>
  <si>
    <t>=IF(Z1934&lt;&gt;0,AC1934/Z1934,"")</t>
  </si>
  <si>
    <t>=C1934</t>
  </si>
  <si>
    <t>=NL("Sum","5802 Value Entry","150 Sales Amount (Expected)","41 Source Type",$C$5,"5 Source No.",$C1935,"4 Item Ledger Entry Type",$C$4,"2 Item No.","@@"&amp;$F1935,"3 Posting Date",J$9)+NL("Sum","5802 Value Entry","17 Sales Amount (Actual)","41 Source Type",$C$5,"5 Source no.",$C1935,"4 Item Ledger Entry Type",$C$4,"2 Item No.","@@"&amp;$F1935,"3 Posting Date",J$9)</t>
  </si>
  <si>
    <t>=-NL("Sum","5802 Value Entry","151 Cost Amount (Expected)","41 Source Type",$C$5,"5 Source No.",$C1935,"4 Item Ledger Entry Type",$C$4,"2 Item No.","@@"&amp;$F1935,"3 Posting Date",J$9)-NL("Sum","5802 Value Entry","43 Cost Amount (Actual)","41 Source Type",$C$5,"5 Source no.",$C1935,"4 Item Ledger Entry Type",$C$4,"2 Item No.","@@"&amp;$F1935,"3 Posting Date",J$9)</t>
  </si>
  <si>
    <t>=J1935-L1935</t>
  </si>
  <si>
    <t>=IF(J1935&lt;&gt;0,M1935/J1935,"")</t>
  </si>
  <si>
    <t>=NL("Sum","5802 Value Entry","150 Sales Amount (Expected)","41 Source Type",$C$5,"5 Source No.",$C1935,"4 Item Ledger Entry Type",$C$4,"2 Item No.","@@"&amp;$F1935,"3 Posting Date",O$9)+NL("Sum","5802 Value Entry","17 Sales Amount (Actual)","41 Source Type",$C$5,"5 Source no.",$C1935,"4 Item Ledger Entry Type",$C$4,"2 Item No.","@@"&amp;$F1935,"3 Posting Date",O$9)</t>
  </si>
  <si>
    <t>=-NL("Sum","5802 Value Entry","151 Cost Amount (Expected)","41 Source Type",$C$5,"5 Source No.",$C1935,"4 Item Ledger Entry Type",$C$4,"2 Item No.","@@"&amp;$F1935,"3 Posting Date",O$9)-NL("Sum","5802 Value Entry","43 Cost Amount (Actual)","41 Source Type",$C$5,"5 Source no.",$C1935,"4 Item Ledger Entry Type",$C$4,"2 Item No.","@@"&amp;$F1935,"3 Posting Date",O$9)</t>
  </si>
  <si>
    <t>=O1935-Q1935</t>
  </si>
  <si>
    <t>=IF(O1935&lt;&gt;0,R1935/O1935,"")</t>
  </si>
  <si>
    <t>=NL("Sum","5802 Value Entry","150 Sales Amount (Expected)","41 Source Type",$C$5,"5 Source No.",$C1935,"4 Item Ledger Entry Type",$C$4,"2 Item No.","@@"&amp;$F1935,"3 Posting Date",U$9)+NL("Sum","5802 Value Entry","17 Sales Amount (Actual)","41 Source Type",$C$5,"5 Source no.",$C1935,"4 Item Ledger Entry Type",$C$4,"2 Item No.","@@"&amp;$F1935,"3 Posting Date",U$9)</t>
  </si>
  <si>
    <t>=-NL("Sum","5802 Value Entry","151 Cost Amount (Expected)","41 Source Type",$C$5,"5 Source No.",$C1935,"4 Item Ledger Entry Type",$C$4,"2 Item No.","@@"&amp;$F1935,"3 Posting Date",U$9)-NL("Sum","5802 Value Entry","43 Cost Amount (Actual)","41 Source Type",$C$5,"5 Source no.",$C1935,"4 Item Ledger Entry Type",$C$4,"2 Item No.","@@"&amp;$F1935,"3 Posting Date",U$9)</t>
  </si>
  <si>
    <t>=U1935-W1935</t>
  </si>
  <si>
    <t>=IF(U1935&lt;&gt;0,X1935/U1935,"")</t>
  </si>
  <si>
    <t>=NL("Sum","5802 Value Entry","150 Sales Amount (Expected)","41 Source Type",$C$5,"5 Source No.",$C1935,"4 Item Ledger Entry Type",$C$4,"2 Item No.","@@"&amp;$F1935,"3 Posting Date",Z$9)+NL("Sum","5802 Value Entry","17 Sales Amount (Actual)","41 Source Type",$C$5,"5 Source no.",$C1935,"4 Item Ledger Entry Type",$C$4,"2 Item No.","@@"&amp;$F1935,"3 Posting Date",Z$9)</t>
  </si>
  <si>
    <t>=-NL("Sum","5802 Value Entry","151 Cost Amount (Expected)","41 Source Type",$C$5,"5 Source No.",$C1935,"4 Item Ledger Entry Type",$C$4,"2 Item No.","@@"&amp;$F1935,"3 Posting Date",Z$9)-NL("Sum","5802 Value Entry","43 Cost Amount (Actual)","41 Source Type",$C$5,"5 Source no.",$C1935,"4 Item Ledger Entry Type",$C$4,"2 Item No.","@@"&amp;$F1935,"3 Posting Date",Z$9)</t>
  </si>
  <si>
    <t>=Z1935-AB1935</t>
  </si>
  <si>
    <t>=IF(Z1935&lt;&gt;0,AC1935/Z1935,"")</t>
  </si>
  <si>
    <t>=C1935</t>
  </si>
  <si>
    <t>=NL("Sum","5802 Value Entry","150 Sales Amount (Expected)","41 Source Type",$C$5,"5 Source No.",$C1936,"4 Item Ledger Entry Type",$C$4,"2 Item No.","@@"&amp;$F1936,"3 Posting Date",J$9)+NL("Sum","5802 Value Entry","17 Sales Amount (Actual)","41 Source Type",$C$5,"5 Source no.",$C1936,"4 Item Ledger Entry Type",$C$4,"2 Item No.","@@"&amp;$F1936,"3 Posting Date",J$9)</t>
  </si>
  <si>
    <t>=-NL("Sum","5802 Value Entry","151 Cost Amount (Expected)","41 Source Type",$C$5,"5 Source No.",$C1936,"4 Item Ledger Entry Type",$C$4,"2 Item No.","@@"&amp;$F1936,"3 Posting Date",J$9)-NL("Sum","5802 Value Entry","43 Cost Amount (Actual)","41 Source Type",$C$5,"5 Source no.",$C1936,"4 Item Ledger Entry Type",$C$4,"2 Item No.","@@"&amp;$F1936,"3 Posting Date",J$9)</t>
  </si>
  <si>
    <t>=J1936-L1936</t>
  </si>
  <si>
    <t>=IF(J1936&lt;&gt;0,M1936/J1936,"")</t>
  </si>
  <si>
    <t>=NL("Sum","5802 Value Entry","150 Sales Amount (Expected)","41 Source Type",$C$5,"5 Source No.",$C1936,"4 Item Ledger Entry Type",$C$4,"2 Item No.","@@"&amp;$F1936,"3 Posting Date",O$9)+NL("Sum","5802 Value Entry","17 Sales Amount (Actual)","41 Source Type",$C$5,"5 Source no.",$C1936,"4 Item Ledger Entry Type",$C$4,"2 Item No.","@@"&amp;$F1936,"3 Posting Date",O$9)</t>
  </si>
  <si>
    <t>=-NL("Sum","5802 Value Entry","151 Cost Amount (Expected)","41 Source Type",$C$5,"5 Source No.",$C1936,"4 Item Ledger Entry Type",$C$4,"2 Item No.","@@"&amp;$F1936,"3 Posting Date",O$9)-NL("Sum","5802 Value Entry","43 Cost Amount (Actual)","41 Source Type",$C$5,"5 Source no.",$C1936,"4 Item Ledger Entry Type",$C$4,"2 Item No.","@@"&amp;$F1936,"3 Posting Date",O$9)</t>
  </si>
  <si>
    <t>=O1936-Q1936</t>
  </si>
  <si>
    <t>=IF(O1936&lt;&gt;0,R1936/O1936,"")</t>
  </si>
  <si>
    <t>=NL("Sum","5802 Value Entry","150 Sales Amount (Expected)","41 Source Type",$C$5,"5 Source No.",$C1936,"4 Item Ledger Entry Type",$C$4,"2 Item No.","@@"&amp;$F1936,"3 Posting Date",U$9)+NL("Sum","5802 Value Entry","17 Sales Amount (Actual)","41 Source Type",$C$5,"5 Source no.",$C1936,"4 Item Ledger Entry Type",$C$4,"2 Item No.","@@"&amp;$F1936,"3 Posting Date",U$9)</t>
  </si>
  <si>
    <t>=-NL("Sum","5802 Value Entry","151 Cost Amount (Expected)","41 Source Type",$C$5,"5 Source No.",$C1936,"4 Item Ledger Entry Type",$C$4,"2 Item No.","@@"&amp;$F1936,"3 Posting Date",U$9)-NL("Sum","5802 Value Entry","43 Cost Amount (Actual)","41 Source Type",$C$5,"5 Source no.",$C1936,"4 Item Ledger Entry Type",$C$4,"2 Item No.","@@"&amp;$F1936,"3 Posting Date",U$9)</t>
  </si>
  <si>
    <t>=U1936-W1936</t>
  </si>
  <si>
    <t>=IF(U1936&lt;&gt;0,X1936/U1936,"")</t>
  </si>
  <si>
    <t>=NL("Sum","5802 Value Entry","150 Sales Amount (Expected)","41 Source Type",$C$5,"5 Source No.",$C1936,"4 Item Ledger Entry Type",$C$4,"2 Item No.","@@"&amp;$F1936,"3 Posting Date",Z$9)+NL("Sum","5802 Value Entry","17 Sales Amount (Actual)","41 Source Type",$C$5,"5 Source no.",$C1936,"4 Item Ledger Entry Type",$C$4,"2 Item No.","@@"&amp;$F1936,"3 Posting Date",Z$9)</t>
  </si>
  <si>
    <t>=-NL("Sum","5802 Value Entry","151 Cost Amount (Expected)","41 Source Type",$C$5,"5 Source No.",$C1936,"4 Item Ledger Entry Type",$C$4,"2 Item No.","@@"&amp;$F1936,"3 Posting Date",Z$9)-NL("Sum","5802 Value Entry","43 Cost Amount (Actual)","41 Source Type",$C$5,"5 Source no.",$C1936,"4 Item Ledger Entry Type",$C$4,"2 Item No.","@@"&amp;$F1936,"3 Posting Date",Z$9)</t>
  </si>
  <si>
    <t>=Z1936-AB1936</t>
  </si>
  <si>
    <t>=IF(Z1936&lt;&gt;0,AC1936/Z1936,"")</t>
  </si>
  <si>
    <t>=C1936</t>
  </si>
  <si>
    <t>=NL("Sum","5802 Value Entry","150 Sales Amount (Expected)","41 Source Type",$C$5,"5 Source No.",$C1937,"4 Item Ledger Entry Type",$C$4,"2 Item No.","@@"&amp;$F1937,"3 Posting Date",J$9)+NL("Sum","5802 Value Entry","17 Sales Amount (Actual)","41 Source Type",$C$5,"5 Source no.",$C1937,"4 Item Ledger Entry Type",$C$4,"2 Item No.","@@"&amp;$F1937,"3 Posting Date",J$9)</t>
  </si>
  <si>
    <t>=-NL("Sum","5802 Value Entry","151 Cost Amount (Expected)","41 Source Type",$C$5,"5 Source No.",$C1937,"4 Item Ledger Entry Type",$C$4,"2 Item No.","@@"&amp;$F1937,"3 Posting Date",J$9)-NL("Sum","5802 Value Entry","43 Cost Amount (Actual)","41 Source Type",$C$5,"5 Source no.",$C1937,"4 Item Ledger Entry Type",$C$4,"2 Item No.","@@"&amp;$F1937,"3 Posting Date",J$9)</t>
  </si>
  <si>
    <t>=J1937-L1937</t>
  </si>
  <si>
    <t>=IF(J1937&lt;&gt;0,M1937/J1937,"")</t>
  </si>
  <si>
    <t>=NL("Sum","5802 Value Entry","150 Sales Amount (Expected)","41 Source Type",$C$5,"5 Source No.",$C1937,"4 Item Ledger Entry Type",$C$4,"2 Item No.","@@"&amp;$F1937,"3 Posting Date",O$9)+NL("Sum","5802 Value Entry","17 Sales Amount (Actual)","41 Source Type",$C$5,"5 Source no.",$C1937,"4 Item Ledger Entry Type",$C$4,"2 Item No.","@@"&amp;$F1937,"3 Posting Date",O$9)</t>
  </si>
  <si>
    <t>=-NL("Sum","5802 Value Entry","151 Cost Amount (Expected)","41 Source Type",$C$5,"5 Source No.",$C1937,"4 Item Ledger Entry Type",$C$4,"2 Item No.","@@"&amp;$F1937,"3 Posting Date",O$9)-NL("Sum","5802 Value Entry","43 Cost Amount (Actual)","41 Source Type",$C$5,"5 Source no.",$C1937,"4 Item Ledger Entry Type",$C$4,"2 Item No.","@@"&amp;$F1937,"3 Posting Date",O$9)</t>
  </si>
  <si>
    <t>=O1937-Q1937</t>
  </si>
  <si>
    <t>=IF(O1937&lt;&gt;0,R1937/O1937,"")</t>
  </si>
  <si>
    <t>=NL("Sum","5802 Value Entry","150 Sales Amount (Expected)","41 Source Type",$C$5,"5 Source No.",$C1937,"4 Item Ledger Entry Type",$C$4,"2 Item No.","@@"&amp;$F1937,"3 Posting Date",U$9)+NL("Sum","5802 Value Entry","17 Sales Amount (Actual)","41 Source Type",$C$5,"5 Source no.",$C1937,"4 Item Ledger Entry Type",$C$4,"2 Item No.","@@"&amp;$F1937,"3 Posting Date",U$9)</t>
  </si>
  <si>
    <t>=-NL("Sum","5802 Value Entry","151 Cost Amount (Expected)","41 Source Type",$C$5,"5 Source No.",$C1937,"4 Item Ledger Entry Type",$C$4,"2 Item No.","@@"&amp;$F1937,"3 Posting Date",U$9)-NL("Sum","5802 Value Entry","43 Cost Amount (Actual)","41 Source Type",$C$5,"5 Source no.",$C1937,"4 Item Ledger Entry Type",$C$4,"2 Item No.","@@"&amp;$F1937,"3 Posting Date",U$9)</t>
  </si>
  <si>
    <t>=U1937-W1937</t>
  </si>
  <si>
    <t>=IF(U1937&lt;&gt;0,X1937/U1937,"")</t>
  </si>
  <si>
    <t>=NL("Sum","5802 Value Entry","150 Sales Amount (Expected)","41 Source Type",$C$5,"5 Source No.",$C1937,"4 Item Ledger Entry Type",$C$4,"2 Item No.","@@"&amp;$F1937,"3 Posting Date",Z$9)+NL("Sum","5802 Value Entry","17 Sales Amount (Actual)","41 Source Type",$C$5,"5 Source no.",$C1937,"4 Item Ledger Entry Type",$C$4,"2 Item No.","@@"&amp;$F1937,"3 Posting Date",Z$9)</t>
  </si>
  <si>
    <t>=-NL("Sum","5802 Value Entry","151 Cost Amount (Expected)","41 Source Type",$C$5,"5 Source No.",$C1937,"4 Item Ledger Entry Type",$C$4,"2 Item No.","@@"&amp;$F1937,"3 Posting Date",Z$9)-NL("Sum","5802 Value Entry","43 Cost Amount (Actual)","41 Source Type",$C$5,"5 Source no.",$C1937,"4 Item Ledger Entry Type",$C$4,"2 Item No.","@@"&amp;$F1937,"3 Posting Date",Z$9)</t>
  </si>
  <si>
    <t>=Z1937-AB1937</t>
  </si>
  <si>
    <t>=IF(Z1937&lt;&gt;0,AC1937/Z1937,"")</t>
  </si>
  <si>
    <t>=C1937</t>
  </si>
  <si>
    <t>=NL("Sum","5802 Value Entry","150 Sales Amount (Expected)","41 Source Type",$C$5,"5 Source No.",$C1938,"4 Item Ledger Entry Type",$C$4,"2 Item No.","@@"&amp;$F1938,"3 Posting Date",J$9)+NL("Sum","5802 Value Entry","17 Sales Amount (Actual)","41 Source Type",$C$5,"5 Source no.",$C1938,"4 Item Ledger Entry Type",$C$4,"2 Item No.","@@"&amp;$F1938,"3 Posting Date",J$9)</t>
  </si>
  <si>
    <t>=-NL("Sum","5802 Value Entry","151 Cost Amount (Expected)","41 Source Type",$C$5,"5 Source No.",$C1938,"4 Item Ledger Entry Type",$C$4,"2 Item No.","@@"&amp;$F1938,"3 Posting Date",J$9)-NL("Sum","5802 Value Entry","43 Cost Amount (Actual)","41 Source Type",$C$5,"5 Source no.",$C1938,"4 Item Ledger Entry Type",$C$4,"2 Item No.","@@"&amp;$F1938,"3 Posting Date",J$9)</t>
  </si>
  <si>
    <t>=J1938-L1938</t>
  </si>
  <si>
    <t>=IF(J1938&lt;&gt;0,M1938/J1938,"")</t>
  </si>
  <si>
    <t>=NL("Sum","5802 Value Entry","150 Sales Amount (Expected)","41 Source Type",$C$5,"5 Source No.",$C1938,"4 Item Ledger Entry Type",$C$4,"2 Item No.","@@"&amp;$F1938,"3 Posting Date",O$9)+NL("Sum","5802 Value Entry","17 Sales Amount (Actual)","41 Source Type",$C$5,"5 Source no.",$C1938,"4 Item Ledger Entry Type",$C$4,"2 Item No.","@@"&amp;$F1938,"3 Posting Date",O$9)</t>
  </si>
  <si>
    <t>=-NL("Sum","5802 Value Entry","151 Cost Amount (Expected)","41 Source Type",$C$5,"5 Source No.",$C1938,"4 Item Ledger Entry Type",$C$4,"2 Item No.","@@"&amp;$F1938,"3 Posting Date",O$9)-NL("Sum","5802 Value Entry","43 Cost Amount (Actual)","41 Source Type",$C$5,"5 Source no.",$C1938,"4 Item Ledger Entry Type",$C$4,"2 Item No.","@@"&amp;$F1938,"3 Posting Date",O$9)</t>
  </si>
  <si>
    <t>=O1938-Q1938</t>
  </si>
  <si>
    <t>=IF(O1938&lt;&gt;0,R1938/O1938,"")</t>
  </si>
  <si>
    <t>=NL("Sum","5802 Value Entry","150 Sales Amount (Expected)","41 Source Type",$C$5,"5 Source No.",$C1938,"4 Item Ledger Entry Type",$C$4,"2 Item No.","@@"&amp;$F1938,"3 Posting Date",U$9)+NL("Sum","5802 Value Entry","17 Sales Amount (Actual)","41 Source Type",$C$5,"5 Source no.",$C1938,"4 Item Ledger Entry Type",$C$4,"2 Item No.","@@"&amp;$F1938,"3 Posting Date",U$9)</t>
  </si>
  <si>
    <t>=-NL("Sum","5802 Value Entry","151 Cost Amount (Expected)","41 Source Type",$C$5,"5 Source No.",$C1938,"4 Item Ledger Entry Type",$C$4,"2 Item No.","@@"&amp;$F1938,"3 Posting Date",U$9)-NL("Sum","5802 Value Entry","43 Cost Amount (Actual)","41 Source Type",$C$5,"5 Source no.",$C1938,"4 Item Ledger Entry Type",$C$4,"2 Item No.","@@"&amp;$F1938,"3 Posting Date",U$9)</t>
  </si>
  <si>
    <t>=U1938-W1938</t>
  </si>
  <si>
    <t>=IF(U1938&lt;&gt;0,X1938/U1938,"")</t>
  </si>
  <si>
    <t>=NL("Sum","5802 Value Entry","150 Sales Amount (Expected)","41 Source Type",$C$5,"5 Source No.",$C1938,"4 Item Ledger Entry Type",$C$4,"2 Item No.","@@"&amp;$F1938,"3 Posting Date",Z$9)+NL("Sum","5802 Value Entry","17 Sales Amount (Actual)","41 Source Type",$C$5,"5 Source no.",$C1938,"4 Item Ledger Entry Type",$C$4,"2 Item No.","@@"&amp;$F1938,"3 Posting Date",Z$9)</t>
  </si>
  <si>
    <t>=-NL("Sum","5802 Value Entry","151 Cost Amount (Expected)","41 Source Type",$C$5,"5 Source No.",$C1938,"4 Item Ledger Entry Type",$C$4,"2 Item No.","@@"&amp;$F1938,"3 Posting Date",Z$9)-NL("Sum","5802 Value Entry","43 Cost Amount (Actual)","41 Source Type",$C$5,"5 Source no.",$C1938,"4 Item Ledger Entry Type",$C$4,"2 Item No.","@@"&amp;$F1938,"3 Posting Date",Z$9)</t>
  </si>
  <si>
    <t>=Z1938-AB1938</t>
  </si>
  <si>
    <t>=IF(Z1938&lt;&gt;0,AC1938/Z1938,"")</t>
  </si>
  <si>
    <t>=C1938</t>
  </si>
  <si>
    <t>=NL("Sum","5802 Value Entry","150 Sales Amount (Expected)","41 Source Type",$C$5,"5 Source No.",$C1939,"4 Item Ledger Entry Type",$C$4,"2 Item No.","@@"&amp;$F1939,"3 Posting Date",J$9)+NL("Sum","5802 Value Entry","17 Sales Amount (Actual)","41 Source Type",$C$5,"5 Source no.",$C1939,"4 Item Ledger Entry Type",$C$4,"2 Item No.","@@"&amp;$F1939,"3 Posting Date",J$9)</t>
  </si>
  <si>
    <t>=-NL("Sum","5802 Value Entry","151 Cost Amount (Expected)","41 Source Type",$C$5,"5 Source No.",$C1939,"4 Item Ledger Entry Type",$C$4,"2 Item No.","@@"&amp;$F1939,"3 Posting Date",J$9)-NL("Sum","5802 Value Entry","43 Cost Amount (Actual)","41 Source Type",$C$5,"5 Source no.",$C1939,"4 Item Ledger Entry Type",$C$4,"2 Item No.","@@"&amp;$F1939,"3 Posting Date",J$9)</t>
  </si>
  <si>
    <t>=J1939-L1939</t>
  </si>
  <si>
    <t>=IF(J1939&lt;&gt;0,M1939/J1939,"")</t>
  </si>
  <si>
    <t>=NL("Sum","5802 Value Entry","150 Sales Amount (Expected)","41 Source Type",$C$5,"5 Source No.",$C1939,"4 Item Ledger Entry Type",$C$4,"2 Item No.","@@"&amp;$F1939,"3 Posting Date",O$9)+NL("Sum","5802 Value Entry","17 Sales Amount (Actual)","41 Source Type",$C$5,"5 Source no.",$C1939,"4 Item Ledger Entry Type",$C$4,"2 Item No.","@@"&amp;$F1939,"3 Posting Date",O$9)</t>
  </si>
  <si>
    <t>=-NL("Sum","5802 Value Entry","151 Cost Amount (Expected)","41 Source Type",$C$5,"5 Source No.",$C1939,"4 Item Ledger Entry Type",$C$4,"2 Item No.","@@"&amp;$F1939,"3 Posting Date",O$9)-NL("Sum","5802 Value Entry","43 Cost Amount (Actual)","41 Source Type",$C$5,"5 Source no.",$C1939,"4 Item Ledger Entry Type",$C$4,"2 Item No.","@@"&amp;$F1939,"3 Posting Date",O$9)</t>
  </si>
  <si>
    <t>=O1939-Q1939</t>
  </si>
  <si>
    <t>=IF(O1939&lt;&gt;0,R1939/O1939,"")</t>
  </si>
  <si>
    <t>=NL("Sum","5802 Value Entry","150 Sales Amount (Expected)","41 Source Type",$C$5,"5 Source No.",$C1939,"4 Item Ledger Entry Type",$C$4,"2 Item No.","@@"&amp;$F1939,"3 Posting Date",U$9)+NL("Sum","5802 Value Entry","17 Sales Amount (Actual)","41 Source Type",$C$5,"5 Source no.",$C1939,"4 Item Ledger Entry Type",$C$4,"2 Item No.","@@"&amp;$F1939,"3 Posting Date",U$9)</t>
  </si>
  <si>
    <t>=-NL("Sum","5802 Value Entry","151 Cost Amount (Expected)","41 Source Type",$C$5,"5 Source No.",$C1939,"4 Item Ledger Entry Type",$C$4,"2 Item No.","@@"&amp;$F1939,"3 Posting Date",U$9)-NL("Sum","5802 Value Entry","43 Cost Amount (Actual)","41 Source Type",$C$5,"5 Source no.",$C1939,"4 Item Ledger Entry Type",$C$4,"2 Item No.","@@"&amp;$F1939,"3 Posting Date",U$9)</t>
  </si>
  <si>
    <t>=U1939-W1939</t>
  </si>
  <si>
    <t>=IF(U1939&lt;&gt;0,X1939/U1939,"")</t>
  </si>
  <si>
    <t>=NL("Sum","5802 Value Entry","150 Sales Amount (Expected)","41 Source Type",$C$5,"5 Source No.",$C1939,"4 Item Ledger Entry Type",$C$4,"2 Item No.","@@"&amp;$F1939,"3 Posting Date",Z$9)+NL("Sum","5802 Value Entry","17 Sales Amount (Actual)","41 Source Type",$C$5,"5 Source no.",$C1939,"4 Item Ledger Entry Type",$C$4,"2 Item No.","@@"&amp;$F1939,"3 Posting Date",Z$9)</t>
  </si>
  <si>
    <t>=-NL("Sum","5802 Value Entry","151 Cost Amount (Expected)","41 Source Type",$C$5,"5 Source No.",$C1939,"4 Item Ledger Entry Type",$C$4,"2 Item No.","@@"&amp;$F1939,"3 Posting Date",Z$9)-NL("Sum","5802 Value Entry","43 Cost Amount (Actual)","41 Source Type",$C$5,"5 Source no.",$C1939,"4 Item Ledger Entry Type",$C$4,"2 Item No.","@@"&amp;$F1939,"3 Posting Date",Z$9)</t>
  </si>
  <si>
    <t>=Z1939-AB1939</t>
  </si>
  <si>
    <t>=IF(Z1939&lt;&gt;0,AC1939/Z1939,"")</t>
  </si>
  <si>
    <t>=C1939</t>
  </si>
  <si>
    <t>=NL("Sum","5802 Value Entry","150 Sales Amount (Expected)","41 Source Type",$C$5,"5 Source No.",$C1940,"4 Item Ledger Entry Type",$C$4,"2 Item No.","@@"&amp;$F1940,"3 Posting Date",J$9)+NL("Sum","5802 Value Entry","17 Sales Amount (Actual)","41 Source Type",$C$5,"5 Source no.",$C1940,"4 Item Ledger Entry Type",$C$4,"2 Item No.","@@"&amp;$F1940,"3 Posting Date",J$9)</t>
  </si>
  <si>
    <t>=-NL("Sum","5802 Value Entry","151 Cost Amount (Expected)","41 Source Type",$C$5,"5 Source No.",$C1940,"4 Item Ledger Entry Type",$C$4,"2 Item No.","@@"&amp;$F1940,"3 Posting Date",J$9)-NL("Sum","5802 Value Entry","43 Cost Amount (Actual)","41 Source Type",$C$5,"5 Source no.",$C1940,"4 Item Ledger Entry Type",$C$4,"2 Item No.","@@"&amp;$F1940,"3 Posting Date",J$9)</t>
  </si>
  <si>
    <t>=J1940-L1940</t>
  </si>
  <si>
    <t>=IF(J1940&lt;&gt;0,M1940/J1940,"")</t>
  </si>
  <si>
    <t>=NL("Sum","5802 Value Entry","150 Sales Amount (Expected)","41 Source Type",$C$5,"5 Source No.",$C1940,"4 Item Ledger Entry Type",$C$4,"2 Item No.","@@"&amp;$F1940,"3 Posting Date",O$9)+NL("Sum","5802 Value Entry","17 Sales Amount (Actual)","41 Source Type",$C$5,"5 Source no.",$C1940,"4 Item Ledger Entry Type",$C$4,"2 Item No.","@@"&amp;$F1940,"3 Posting Date",O$9)</t>
  </si>
  <si>
    <t>=-NL("Sum","5802 Value Entry","151 Cost Amount (Expected)","41 Source Type",$C$5,"5 Source No.",$C1940,"4 Item Ledger Entry Type",$C$4,"2 Item No.","@@"&amp;$F1940,"3 Posting Date",O$9)-NL("Sum","5802 Value Entry","43 Cost Amount (Actual)","41 Source Type",$C$5,"5 Source no.",$C1940,"4 Item Ledger Entry Type",$C$4,"2 Item No.","@@"&amp;$F1940,"3 Posting Date",O$9)</t>
  </si>
  <si>
    <t>=O1940-Q1940</t>
  </si>
  <si>
    <t>=IF(O1940&lt;&gt;0,R1940/O1940,"")</t>
  </si>
  <si>
    <t>=NL("Sum","5802 Value Entry","150 Sales Amount (Expected)","41 Source Type",$C$5,"5 Source No.",$C1940,"4 Item Ledger Entry Type",$C$4,"2 Item No.","@@"&amp;$F1940,"3 Posting Date",U$9)+NL("Sum","5802 Value Entry","17 Sales Amount (Actual)","41 Source Type",$C$5,"5 Source no.",$C1940,"4 Item Ledger Entry Type",$C$4,"2 Item No.","@@"&amp;$F1940,"3 Posting Date",U$9)</t>
  </si>
  <si>
    <t>=-NL("Sum","5802 Value Entry","151 Cost Amount (Expected)","41 Source Type",$C$5,"5 Source No.",$C1940,"4 Item Ledger Entry Type",$C$4,"2 Item No.","@@"&amp;$F1940,"3 Posting Date",U$9)-NL("Sum","5802 Value Entry","43 Cost Amount (Actual)","41 Source Type",$C$5,"5 Source no.",$C1940,"4 Item Ledger Entry Type",$C$4,"2 Item No.","@@"&amp;$F1940,"3 Posting Date",U$9)</t>
  </si>
  <si>
    <t>=U1940-W1940</t>
  </si>
  <si>
    <t>=IF(U1940&lt;&gt;0,X1940/U1940,"")</t>
  </si>
  <si>
    <t>=NL("Sum","5802 Value Entry","150 Sales Amount (Expected)","41 Source Type",$C$5,"5 Source No.",$C1940,"4 Item Ledger Entry Type",$C$4,"2 Item No.","@@"&amp;$F1940,"3 Posting Date",Z$9)+NL("Sum","5802 Value Entry","17 Sales Amount (Actual)","41 Source Type",$C$5,"5 Source no.",$C1940,"4 Item Ledger Entry Type",$C$4,"2 Item No.","@@"&amp;$F1940,"3 Posting Date",Z$9)</t>
  </si>
  <si>
    <t>=-NL("Sum","5802 Value Entry","151 Cost Amount (Expected)","41 Source Type",$C$5,"5 Source No.",$C1940,"4 Item Ledger Entry Type",$C$4,"2 Item No.","@@"&amp;$F1940,"3 Posting Date",Z$9)-NL("Sum","5802 Value Entry","43 Cost Amount (Actual)","41 Source Type",$C$5,"5 Source no.",$C1940,"4 Item Ledger Entry Type",$C$4,"2 Item No.","@@"&amp;$F1940,"3 Posting Date",Z$9)</t>
  </si>
  <si>
    <t>=Z1940-AB1940</t>
  </si>
  <si>
    <t>=IF(Z1940&lt;&gt;0,AC1940/Z1940,"")</t>
  </si>
  <si>
    <t>=C1940</t>
  </si>
  <si>
    <t>=NL("Sum","5802 Value Entry","150 Sales Amount (Expected)","41 Source Type",$C$5,"5 Source No.",$C1941,"4 Item Ledger Entry Type",$C$4,"2 Item No.","@@"&amp;$F1941,"3 Posting Date",J$9)+NL("Sum","5802 Value Entry","17 Sales Amount (Actual)","41 Source Type",$C$5,"5 Source no.",$C1941,"4 Item Ledger Entry Type",$C$4,"2 Item No.","@@"&amp;$F1941,"3 Posting Date",J$9)</t>
  </si>
  <si>
    <t>=-NL("Sum","5802 Value Entry","151 Cost Amount (Expected)","41 Source Type",$C$5,"5 Source No.",$C1941,"4 Item Ledger Entry Type",$C$4,"2 Item No.","@@"&amp;$F1941,"3 Posting Date",J$9)-NL("Sum","5802 Value Entry","43 Cost Amount (Actual)","41 Source Type",$C$5,"5 Source no.",$C1941,"4 Item Ledger Entry Type",$C$4,"2 Item No.","@@"&amp;$F1941,"3 Posting Date",J$9)</t>
  </si>
  <si>
    <t>=J1941-L1941</t>
  </si>
  <si>
    <t>=IF(J1941&lt;&gt;0,M1941/J1941,"")</t>
  </si>
  <si>
    <t>=NL("Sum","5802 Value Entry","150 Sales Amount (Expected)","41 Source Type",$C$5,"5 Source No.",$C1941,"4 Item Ledger Entry Type",$C$4,"2 Item No.","@@"&amp;$F1941,"3 Posting Date",O$9)+NL("Sum","5802 Value Entry","17 Sales Amount (Actual)","41 Source Type",$C$5,"5 Source no.",$C1941,"4 Item Ledger Entry Type",$C$4,"2 Item No.","@@"&amp;$F1941,"3 Posting Date",O$9)</t>
  </si>
  <si>
    <t>=-NL("Sum","5802 Value Entry","151 Cost Amount (Expected)","41 Source Type",$C$5,"5 Source No.",$C1941,"4 Item Ledger Entry Type",$C$4,"2 Item No.","@@"&amp;$F1941,"3 Posting Date",O$9)-NL("Sum","5802 Value Entry","43 Cost Amount (Actual)","41 Source Type",$C$5,"5 Source no.",$C1941,"4 Item Ledger Entry Type",$C$4,"2 Item No.","@@"&amp;$F1941,"3 Posting Date",O$9)</t>
  </si>
  <si>
    <t>=O1941-Q1941</t>
  </si>
  <si>
    <t>=IF(O1941&lt;&gt;0,R1941/O1941,"")</t>
  </si>
  <si>
    <t>=NL("Sum","5802 Value Entry","150 Sales Amount (Expected)","41 Source Type",$C$5,"5 Source No.",$C1941,"4 Item Ledger Entry Type",$C$4,"2 Item No.","@@"&amp;$F1941,"3 Posting Date",U$9)+NL("Sum","5802 Value Entry","17 Sales Amount (Actual)","41 Source Type",$C$5,"5 Source no.",$C1941,"4 Item Ledger Entry Type",$C$4,"2 Item No.","@@"&amp;$F1941,"3 Posting Date",U$9)</t>
  </si>
  <si>
    <t>=-NL("Sum","5802 Value Entry","151 Cost Amount (Expected)","41 Source Type",$C$5,"5 Source No.",$C1941,"4 Item Ledger Entry Type",$C$4,"2 Item No.","@@"&amp;$F1941,"3 Posting Date",U$9)-NL("Sum","5802 Value Entry","43 Cost Amount (Actual)","41 Source Type",$C$5,"5 Source no.",$C1941,"4 Item Ledger Entry Type",$C$4,"2 Item No.","@@"&amp;$F1941,"3 Posting Date",U$9)</t>
  </si>
  <si>
    <t>=U1941-W1941</t>
  </si>
  <si>
    <t>=IF(U1941&lt;&gt;0,X1941/U1941,"")</t>
  </si>
  <si>
    <t>=NL("Sum","5802 Value Entry","150 Sales Amount (Expected)","41 Source Type",$C$5,"5 Source No.",$C1941,"4 Item Ledger Entry Type",$C$4,"2 Item No.","@@"&amp;$F1941,"3 Posting Date",Z$9)+NL("Sum","5802 Value Entry","17 Sales Amount (Actual)","41 Source Type",$C$5,"5 Source no.",$C1941,"4 Item Ledger Entry Type",$C$4,"2 Item No.","@@"&amp;$F1941,"3 Posting Date",Z$9)</t>
  </si>
  <si>
    <t>=-NL("Sum","5802 Value Entry","151 Cost Amount (Expected)","41 Source Type",$C$5,"5 Source No.",$C1941,"4 Item Ledger Entry Type",$C$4,"2 Item No.","@@"&amp;$F1941,"3 Posting Date",Z$9)-NL("Sum","5802 Value Entry","43 Cost Amount (Actual)","41 Source Type",$C$5,"5 Source no.",$C1941,"4 Item Ledger Entry Type",$C$4,"2 Item No.","@@"&amp;$F1941,"3 Posting Date",Z$9)</t>
  </si>
  <si>
    <t>=Z1941-AB1941</t>
  </si>
  <si>
    <t>=IF(Z1941&lt;&gt;0,AC1941/Z1941,"")</t>
  </si>
  <si>
    <t>=C1941</t>
  </si>
  <si>
    <t>=NL("Sum","5802 Value Entry","150 Sales Amount (Expected)","41 Source Type",$C$5,"5 Source No.",$C1942,"4 Item Ledger Entry Type",$C$4,"2 Item No.","@@"&amp;$F1942,"3 Posting Date",J$9)+NL("Sum","5802 Value Entry","17 Sales Amount (Actual)","41 Source Type",$C$5,"5 Source no.",$C1942,"4 Item Ledger Entry Type",$C$4,"2 Item No.","@@"&amp;$F1942,"3 Posting Date",J$9)</t>
  </si>
  <si>
    <t>=-NL("Sum","5802 Value Entry","151 Cost Amount (Expected)","41 Source Type",$C$5,"5 Source No.",$C1942,"4 Item Ledger Entry Type",$C$4,"2 Item No.","@@"&amp;$F1942,"3 Posting Date",J$9)-NL("Sum","5802 Value Entry","43 Cost Amount (Actual)","41 Source Type",$C$5,"5 Source no.",$C1942,"4 Item Ledger Entry Type",$C$4,"2 Item No.","@@"&amp;$F1942,"3 Posting Date",J$9)</t>
  </si>
  <si>
    <t>=J1942-L1942</t>
  </si>
  <si>
    <t>=IF(J1942&lt;&gt;0,M1942/J1942,"")</t>
  </si>
  <si>
    <t>=NL("Sum","5802 Value Entry","150 Sales Amount (Expected)","41 Source Type",$C$5,"5 Source No.",$C1942,"4 Item Ledger Entry Type",$C$4,"2 Item No.","@@"&amp;$F1942,"3 Posting Date",O$9)+NL("Sum","5802 Value Entry","17 Sales Amount (Actual)","41 Source Type",$C$5,"5 Source no.",$C1942,"4 Item Ledger Entry Type",$C$4,"2 Item No.","@@"&amp;$F1942,"3 Posting Date",O$9)</t>
  </si>
  <si>
    <t>=-NL("Sum","5802 Value Entry","151 Cost Amount (Expected)","41 Source Type",$C$5,"5 Source No.",$C1942,"4 Item Ledger Entry Type",$C$4,"2 Item No.","@@"&amp;$F1942,"3 Posting Date",O$9)-NL("Sum","5802 Value Entry","43 Cost Amount (Actual)","41 Source Type",$C$5,"5 Source no.",$C1942,"4 Item Ledger Entry Type",$C$4,"2 Item No.","@@"&amp;$F1942,"3 Posting Date",O$9)</t>
  </si>
  <si>
    <t>=O1942-Q1942</t>
  </si>
  <si>
    <t>=IF(O1942&lt;&gt;0,R1942/O1942,"")</t>
  </si>
  <si>
    <t>=NL("Sum","5802 Value Entry","150 Sales Amount (Expected)","41 Source Type",$C$5,"5 Source No.",$C1942,"4 Item Ledger Entry Type",$C$4,"2 Item No.","@@"&amp;$F1942,"3 Posting Date",U$9)+NL("Sum","5802 Value Entry","17 Sales Amount (Actual)","41 Source Type",$C$5,"5 Source no.",$C1942,"4 Item Ledger Entry Type",$C$4,"2 Item No.","@@"&amp;$F1942,"3 Posting Date",U$9)</t>
  </si>
  <si>
    <t>=-NL("Sum","5802 Value Entry","151 Cost Amount (Expected)","41 Source Type",$C$5,"5 Source No.",$C1942,"4 Item Ledger Entry Type",$C$4,"2 Item No.","@@"&amp;$F1942,"3 Posting Date",U$9)-NL("Sum","5802 Value Entry","43 Cost Amount (Actual)","41 Source Type",$C$5,"5 Source no.",$C1942,"4 Item Ledger Entry Type",$C$4,"2 Item No.","@@"&amp;$F1942,"3 Posting Date",U$9)</t>
  </si>
  <si>
    <t>=U1942-W1942</t>
  </si>
  <si>
    <t>=IF(U1942&lt;&gt;0,X1942/U1942,"")</t>
  </si>
  <si>
    <t>=NL("Sum","5802 Value Entry","150 Sales Amount (Expected)","41 Source Type",$C$5,"5 Source No.",$C1942,"4 Item Ledger Entry Type",$C$4,"2 Item No.","@@"&amp;$F1942,"3 Posting Date",Z$9)+NL("Sum","5802 Value Entry","17 Sales Amount (Actual)","41 Source Type",$C$5,"5 Source no.",$C1942,"4 Item Ledger Entry Type",$C$4,"2 Item No.","@@"&amp;$F1942,"3 Posting Date",Z$9)</t>
  </si>
  <si>
    <t>=-NL("Sum","5802 Value Entry","151 Cost Amount (Expected)","41 Source Type",$C$5,"5 Source No.",$C1942,"4 Item Ledger Entry Type",$C$4,"2 Item No.","@@"&amp;$F1942,"3 Posting Date",Z$9)-NL("Sum","5802 Value Entry","43 Cost Amount (Actual)","41 Source Type",$C$5,"5 Source no.",$C1942,"4 Item Ledger Entry Type",$C$4,"2 Item No.","@@"&amp;$F1942,"3 Posting Date",Z$9)</t>
  </si>
  <si>
    <t>=Z1942-AB1942</t>
  </si>
  <si>
    <t>=IF(Z1942&lt;&gt;0,AC1942/Z1942,"")</t>
  </si>
  <si>
    <t>=C1942</t>
  </si>
  <si>
    <t>=NL("Sum","5802 Value Entry","150 Sales Amount (Expected)","41 Source Type",$C$5,"5 Source No.",$C1943,"4 Item Ledger Entry Type",$C$4,"2 Item No.","@@"&amp;$F1943,"3 Posting Date",J$9)+NL("Sum","5802 Value Entry","17 Sales Amount (Actual)","41 Source Type",$C$5,"5 Source no.",$C1943,"4 Item Ledger Entry Type",$C$4,"2 Item No.","@@"&amp;$F1943,"3 Posting Date",J$9)</t>
  </si>
  <si>
    <t>=-NL("Sum","5802 Value Entry","151 Cost Amount (Expected)","41 Source Type",$C$5,"5 Source No.",$C1943,"4 Item Ledger Entry Type",$C$4,"2 Item No.","@@"&amp;$F1943,"3 Posting Date",J$9)-NL("Sum","5802 Value Entry","43 Cost Amount (Actual)","41 Source Type",$C$5,"5 Source no.",$C1943,"4 Item Ledger Entry Type",$C$4,"2 Item No.","@@"&amp;$F1943,"3 Posting Date",J$9)</t>
  </si>
  <si>
    <t>=J1943-L1943</t>
  </si>
  <si>
    <t>=IF(J1943&lt;&gt;0,M1943/J1943,"")</t>
  </si>
  <si>
    <t>=NL("Sum","5802 Value Entry","150 Sales Amount (Expected)","41 Source Type",$C$5,"5 Source No.",$C1943,"4 Item Ledger Entry Type",$C$4,"2 Item No.","@@"&amp;$F1943,"3 Posting Date",O$9)+NL("Sum","5802 Value Entry","17 Sales Amount (Actual)","41 Source Type",$C$5,"5 Source no.",$C1943,"4 Item Ledger Entry Type",$C$4,"2 Item No.","@@"&amp;$F1943,"3 Posting Date",O$9)</t>
  </si>
  <si>
    <t>=-NL("Sum","5802 Value Entry","151 Cost Amount (Expected)","41 Source Type",$C$5,"5 Source No.",$C1943,"4 Item Ledger Entry Type",$C$4,"2 Item No.","@@"&amp;$F1943,"3 Posting Date",O$9)-NL("Sum","5802 Value Entry","43 Cost Amount (Actual)","41 Source Type",$C$5,"5 Source no.",$C1943,"4 Item Ledger Entry Type",$C$4,"2 Item No.","@@"&amp;$F1943,"3 Posting Date",O$9)</t>
  </si>
  <si>
    <t>=O1943-Q1943</t>
  </si>
  <si>
    <t>=IF(O1943&lt;&gt;0,R1943/O1943,"")</t>
  </si>
  <si>
    <t>=NL("Sum","5802 Value Entry","150 Sales Amount (Expected)","41 Source Type",$C$5,"5 Source No.",$C1943,"4 Item Ledger Entry Type",$C$4,"2 Item No.","@@"&amp;$F1943,"3 Posting Date",U$9)+NL("Sum","5802 Value Entry","17 Sales Amount (Actual)","41 Source Type",$C$5,"5 Source no.",$C1943,"4 Item Ledger Entry Type",$C$4,"2 Item No.","@@"&amp;$F1943,"3 Posting Date",U$9)</t>
  </si>
  <si>
    <t>=-NL("Sum","5802 Value Entry","151 Cost Amount (Expected)","41 Source Type",$C$5,"5 Source No.",$C1943,"4 Item Ledger Entry Type",$C$4,"2 Item No.","@@"&amp;$F1943,"3 Posting Date",U$9)-NL("Sum","5802 Value Entry","43 Cost Amount (Actual)","41 Source Type",$C$5,"5 Source no.",$C1943,"4 Item Ledger Entry Type",$C$4,"2 Item No.","@@"&amp;$F1943,"3 Posting Date",U$9)</t>
  </si>
  <si>
    <t>=U1943-W1943</t>
  </si>
  <si>
    <t>=IF(U1943&lt;&gt;0,X1943/U1943,"")</t>
  </si>
  <si>
    <t>=NL("Sum","5802 Value Entry","150 Sales Amount (Expected)","41 Source Type",$C$5,"5 Source No.",$C1943,"4 Item Ledger Entry Type",$C$4,"2 Item No.","@@"&amp;$F1943,"3 Posting Date",Z$9)+NL("Sum","5802 Value Entry","17 Sales Amount (Actual)","41 Source Type",$C$5,"5 Source no.",$C1943,"4 Item Ledger Entry Type",$C$4,"2 Item No.","@@"&amp;$F1943,"3 Posting Date",Z$9)</t>
  </si>
  <si>
    <t>=-NL("Sum","5802 Value Entry","151 Cost Amount (Expected)","41 Source Type",$C$5,"5 Source No.",$C1943,"4 Item Ledger Entry Type",$C$4,"2 Item No.","@@"&amp;$F1943,"3 Posting Date",Z$9)-NL("Sum","5802 Value Entry","43 Cost Amount (Actual)","41 Source Type",$C$5,"5 Source no.",$C1943,"4 Item Ledger Entry Type",$C$4,"2 Item No.","@@"&amp;$F1943,"3 Posting Date",Z$9)</t>
  </si>
  <si>
    <t>=Z1943-AB1943</t>
  </si>
  <si>
    <t>=IF(Z1943&lt;&gt;0,AC1943/Z1943,"")</t>
  </si>
  <si>
    <t>=C1943</t>
  </si>
  <si>
    <t>=NL("Sum","5802 Value Entry","150 Sales Amount (Expected)","41 Source Type",$C$5,"5 Source No.",$C1944,"4 Item Ledger Entry Type",$C$4,"2 Item No.","@@"&amp;$F1944,"3 Posting Date",J$9)+NL("Sum","5802 Value Entry","17 Sales Amount (Actual)","41 Source Type",$C$5,"5 Source no.",$C1944,"4 Item Ledger Entry Type",$C$4,"2 Item No.","@@"&amp;$F1944,"3 Posting Date",J$9)</t>
  </si>
  <si>
    <t>=-NL("Sum","5802 Value Entry","151 Cost Amount (Expected)","41 Source Type",$C$5,"5 Source No.",$C1944,"4 Item Ledger Entry Type",$C$4,"2 Item No.","@@"&amp;$F1944,"3 Posting Date",J$9)-NL("Sum","5802 Value Entry","43 Cost Amount (Actual)","41 Source Type",$C$5,"5 Source no.",$C1944,"4 Item Ledger Entry Type",$C$4,"2 Item No.","@@"&amp;$F1944,"3 Posting Date",J$9)</t>
  </si>
  <si>
    <t>=J1944-L1944</t>
  </si>
  <si>
    <t>=IF(J1944&lt;&gt;0,M1944/J1944,"")</t>
  </si>
  <si>
    <t>=NL("Sum","5802 Value Entry","150 Sales Amount (Expected)","41 Source Type",$C$5,"5 Source No.",$C1944,"4 Item Ledger Entry Type",$C$4,"2 Item No.","@@"&amp;$F1944,"3 Posting Date",O$9)+NL("Sum","5802 Value Entry","17 Sales Amount (Actual)","41 Source Type",$C$5,"5 Source no.",$C1944,"4 Item Ledger Entry Type",$C$4,"2 Item No.","@@"&amp;$F1944,"3 Posting Date",O$9)</t>
  </si>
  <si>
    <t>=-NL("Sum","5802 Value Entry","151 Cost Amount (Expected)","41 Source Type",$C$5,"5 Source No.",$C1944,"4 Item Ledger Entry Type",$C$4,"2 Item No.","@@"&amp;$F1944,"3 Posting Date",O$9)-NL("Sum","5802 Value Entry","43 Cost Amount (Actual)","41 Source Type",$C$5,"5 Source no.",$C1944,"4 Item Ledger Entry Type",$C$4,"2 Item No.","@@"&amp;$F1944,"3 Posting Date",O$9)</t>
  </si>
  <si>
    <t>=O1944-Q1944</t>
  </si>
  <si>
    <t>=IF(O1944&lt;&gt;0,R1944/O1944,"")</t>
  </si>
  <si>
    <t>=NL("Sum","5802 Value Entry","150 Sales Amount (Expected)","41 Source Type",$C$5,"5 Source No.",$C1944,"4 Item Ledger Entry Type",$C$4,"2 Item No.","@@"&amp;$F1944,"3 Posting Date",U$9)+NL("Sum","5802 Value Entry","17 Sales Amount (Actual)","41 Source Type",$C$5,"5 Source no.",$C1944,"4 Item Ledger Entry Type",$C$4,"2 Item No.","@@"&amp;$F1944,"3 Posting Date",U$9)</t>
  </si>
  <si>
    <t>=-NL("Sum","5802 Value Entry","151 Cost Amount (Expected)","41 Source Type",$C$5,"5 Source No.",$C1944,"4 Item Ledger Entry Type",$C$4,"2 Item No.","@@"&amp;$F1944,"3 Posting Date",U$9)-NL("Sum","5802 Value Entry","43 Cost Amount (Actual)","41 Source Type",$C$5,"5 Source no.",$C1944,"4 Item Ledger Entry Type",$C$4,"2 Item No.","@@"&amp;$F1944,"3 Posting Date",U$9)</t>
  </si>
  <si>
    <t>=U1944-W1944</t>
  </si>
  <si>
    <t>=IF(U1944&lt;&gt;0,X1944/U1944,"")</t>
  </si>
  <si>
    <t>=NL("Sum","5802 Value Entry","150 Sales Amount (Expected)","41 Source Type",$C$5,"5 Source No.",$C1944,"4 Item Ledger Entry Type",$C$4,"2 Item No.","@@"&amp;$F1944,"3 Posting Date",Z$9)+NL("Sum","5802 Value Entry","17 Sales Amount (Actual)","41 Source Type",$C$5,"5 Source no.",$C1944,"4 Item Ledger Entry Type",$C$4,"2 Item No.","@@"&amp;$F1944,"3 Posting Date",Z$9)</t>
  </si>
  <si>
    <t>=-NL("Sum","5802 Value Entry","151 Cost Amount (Expected)","41 Source Type",$C$5,"5 Source No.",$C1944,"4 Item Ledger Entry Type",$C$4,"2 Item No.","@@"&amp;$F1944,"3 Posting Date",Z$9)-NL("Sum","5802 Value Entry","43 Cost Amount (Actual)","41 Source Type",$C$5,"5 Source no.",$C1944,"4 Item Ledger Entry Type",$C$4,"2 Item No.","@@"&amp;$F1944,"3 Posting Date",Z$9)</t>
  </si>
  <si>
    <t>=Z1944-AB1944</t>
  </si>
  <si>
    <t>=IF(Z1944&lt;&gt;0,AC1944/Z1944,"")</t>
  </si>
  <si>
    <t>=C1944</t>
  </si>
  <si>
    <t>=NL("Sum","5802 Value Entry","150 Sales Amount (Expected)","41 Source Type",$C$5,"5 Source No.",$C1945,"4 Item Ledger Entry Type",$C$4,"2 Item No.","@@"&amp;$F1945,"3 Posting Date",J$9)+NL("Sum","5802 Value Entry","17 Sales Amount (Actual)","41 Source Type",$C$5,"5 Source no.",$C1945,"4 Item Ledger Entry Type",$C$4,"2 Item No.","@@"&amp;$F1945,"3 Posting Date",J$9)</t>
  </si>
  <si>
    <t>=-NL("Sum","5802 Value Entry","151 Cost Amount (Expected)","41 Source Type",$C$5,"5 Source No.",$C1945,"4 Item Ledger Entry Type",$C$4,"2 Item No.","@@"&amp;$F1945,"3 Posting Date",J$9)-NL("Sum","5802 Value Entry","43 Cost Amount (Actual)","41 Source Type",$C$5,"5 Source no.",$C1945,"4 Item Ledger Entry Type",$C$4,"2 Item No.","@@"&amp;$F1945,"3 Posting Date",J$9)</t>
  </si>
  <si>
    <t>=J1945-L1945</t>
  </si>
  <si>
    <t>=IF(J1945&lt;&gt;0,M1945/J1945,"")</t>
  </si>
  <si>
    <t>=NL("Sum","5802 Value Entry","150 Sales Amount (Expected)","41 Source Type",$C$5,"5 Source No.",$C1945,"4 Item Ledger Entry Type",$C$4,"2 Item No.","@@"&amp;$F1945,"3 Posting Date",O$9)+NL("Sum","5802 Value Entry","17 Sales Amount (Actual)","41 Source Type",$C$5,"5 Source no.",$C1945,"4 Item Ledger Entry Type",$C$4,"2 Item No.","@@"&amp;$F1945,"3 Posting Date",O$9)</t>
  </si>
  <si>
    <t>=-NL("Sum","5802 Value Entry","151 Cost Amount (Expected)","41 Source Type",$C$5,"5 Source No.",$C1945,"4 Item Ledger Entry Type",$C$4,"2 Item No.","@@"&amp;$F1945,"3 Posting Date",O$9)-NL("Sum","5802 Value Entry","43 Cost Amount (Actual)","41 Source Type",$C$5,"5 Source no.",$C1945,"4 Item Ledger Entry Type",$C$4,"2 Item No.","@@"&amp;$F1945,"3 Posting Date",O$9)</t>
  </si>
  <si>
    <t>=O1945-Q1945</t>
  </si>
  <si>
    <t>=IF(O1945&lt;&gt;0,R1945/O1945,"")</t>
  </si>
  <si>
    <t>=NL("Sum","5802 Value Entry","150 Sales Amount (Expected)","41 Source Type",$C$5,"5 Source No.",$C1945,"4 Item Ledger Entry Type",$C$4,"2 Item No.","@@"&amp;$F1945,"3 Posting Date",U$9)+NL("Sum","5802 Value Entry","17 Sales Amount (Actual)","41 Source Type",$C$5,"5 Source no.",$C1945,"4 Item Ledger Entry Type",$C$4,"2 Item No.","@@"&amp;$F1945,"3 Posting Date",U$9)</t>
  </si>
  <si>
    <t>=-NL("Sum","5802 Value Entry","151 Cost Amount (Expected)","41 Source Type",$C$5,"5 Source No.",$C1945,"4 Item Ledger Entry Type",$C$4,"2 Item No.","@@"&amp;$F1945,"3 Posting Date",U$9)-NL("Sum","5802 Value Entry","43 Cost Amount (Actual)","41 Source Type",$C$5,"5 Source no.",$C1945,"4 Item Ledger Entry Type",$C$4,"2 Item No.","@@"&amp;$F1945,"3 Posting Date",U$9)</t>
  </si>
  <si>
    <t>=U1945-W1945</t>
  </si>
  <si>
    <t>=IF(U1945&lt;&gt;0,X1945/U1945,"")</t>
  </si>
  <si>
    <t>=NL("Sum","5802 Value Entry","150 Sales Amount (Expected)","41 Source Type",$C$5,"5 Source No.",$C1945,"4 Item Ledger Entry Type",$C$4,"2 Item No.","@@"&amp;$F1945,"3 Posting Date",Z$9)+NL("Sum","5802 Value Entry","17 Sales Amount (Actual)","41 Source Type",$C$5,"5 Source no.",$C1945,"4 Item Ledger Entry Type",$C$4,"2 Item No.","@@"&amp;$F1945,"3 Posting Date",Z$9)</t>
  </si>
  <si>
    <t>=-NL("Sum","5802 Value Entry","151 Cost Amount (Expected)","41 Source Type",$C$5,"5 Source No.",$C1945,"4 Item Ledger Entry Type",$C$4,"2 Item No.","@@"&amp;$F1945,"3 Posting Date",Z$9)-NL("Sum","5802 Value Entry","43 Cost Amount (Actual)","41 Source Type",$C$5,"5 Source no.",$C1945,"4 Item Ledger Entry Type",$C$4,"2 Item No.","@@"&amp;$F1945,"3 Posting Date",Z$9)</t>
  </si>
  <si>
    <t>=Z1945-AB1945</t>
  </si>
  <si>
    <t>=IF(Z1945&lt;&gt;0,AC1945/Z1945,"")</t>
  </si>
  <si>
    <t>=C1945</t>
  </si>
  <si>
    <t>=NL("Sum","5802 Value Entry","150 Sales Amount (Expected)","41 Source Type",$C$5,"5 Source No.",$C1946,"4 Item Ledger Entry Type",$C$4,"2 Item No.","@@"&amp;$F1946,"3 Posting Date",J$9)+NL("Sum","5802 Value Entry","17 Sales Amount (Actual)","41 Source Type",$C$5,"5 Source no.",$C1946,"4 Item Ledger Entry Type",$C$4,"2 Item No.","@@"&amp;$F1946,"3 Posting Date",J$9)</t>
  </si>
  <si>
    <t>=-NL("Sum","5802 Value Entry","151 Cost Amount (Expected)","41 Source Type",$C$5,"5 Source No.",$C1946,"4 Item Ledger Entry Type",$C$4,"2 Item No.","@@"&amp;$F1946,"3 Posting Date",J$9)-NL("Sum","5802 Value Entry","43 Cost Amount (Actual)","41 Source Type",$C$5,"5 Source no.",$C1946,"4 Item Ledger Entry Type",$C$4,"2 Item No.","@@"&amp;$F1946,"3 Posting Date",J$9)</t>
  </si>
  <si>
    <t>=J1946-L1946</t>
  </si>
  <si>
    <t>=IF(J1946&lt;&gt;0,M1946/J1946,"")</t>
  </si>
  <si>
    <t>=NL("Sum","5802 Value Entry","150 Sales Amount (Expected)","41 Source Type",$C$5,"5 Source No.",$C1946,"4 Item Ledger Entry Type",$C$4,"2 Item No.","@@"&amp;$F1946,"3 Posting Date",O$9)+NL("Sum","5802 Value Entry","17 Sales Amount (Actual)","41 Source Type",$C$5,"5 Source no.",$C1946,"4 Item Ledger Entry Type",$C$4,"2 Item No.","@@"&amp;$F1946,"3 Posting Date",O$9)</t>
  </si>
  <si>
    <t>=-NL("Sum","5802 Value Entry","151 Cost Amount (Expected)","41 Source Type",$C$5,"5 Source No.",$C1946,"4 Item Ledger Entry Type",$C$4,"2 Item No.","@@"&amp;$F1946,"3 Posting Date",O$9)-NL("Sum","5802 Value Entry","43 Cost Amount (Actual)","41 Source Type",$C$5,"5 Source no.",$C1946,"4 Item Ledger Entry Type",$C$4,"2 Item No.","@@"&amp;$F1946,"3 Posting Date",O$9)</t>
  </si>
  <si>
    <t>=O1946-Q1946</t>
  </si>
  <si>
    <t>=IF(O1946&lt;&gt;0,R1946/O1946,"")</t>
  </si>
  <si>
    <t>=NL("Sum","5802 Value Entry","150 Sales Amount (Expected)","41 Source Type",$C$5,"5 Source No.",$C1946,"4 Item Ledger Entry Type",$C$4,"2 Item No.","@@"&amp;$F1946,"3 Posting Date",U$9)+NL("Sum","5802 Value Entry","17 Sales Amount (Actual)","41 Source Type",$C$5,"5 Source no.",$C1946,"4 Item Ledger Entry Type",$C$4,"2 Item No.","@@"&amp;$F1946,"3 Posting Date",U$9)</t>
  </si>
  <si>
    <t>=-NL("Sum","5802 Value Entry","151 Cost Amount (Expected)","41 Source Type",$C$5,"5 Source No.",$C1946,"4 Item Ledger Entry Type",$C$4,"2 Item No.","@@"&amp;$F1946,"3 Posting Date",U$9)-NL("Sum","5802 Value Entry","43 Cost Amount (Actual)","41 Source Type",$C$5,"5 Source no.",$C1946,"4 Item Ledger Entry Type",$C$4,"2 Item No.","@@"&amp;$F1946,"3 Posting Date",U$9)</t>
  </si>
  <si>
    <t>=U1946-W1946</t>
  </si>
  <si>
    <t>=IF(U1946&lt;&gt;0,X1946/U1946,"")</t>
  </si>
  <si>
    <t>=NL("Sum","5802 Value Entry","150 Sales Amount (Expected)","41 Source Type",$C$5,"5 Source No.",$C1946,"4 Item Ledger Entry Type",$C$4,"2 Item No.","@@"&amp;$F1946,"3 Posting Date",Z$9)+NL("Sum","5802 Value Entry","17 Sales Amount (Actual)","41 Source Type",$C$5,"5 Source no.",$C1946,"4 Item Ledger Entry Type",$C$4,"2 Item No.","@@"&amp;$F1946,"3 Posting Date",Z$9)</t>
  </si>
  <si>
    <t>=-NL("Sum","5802 Value Entry","151 Cost Amount (Expected)","41 Source Type",$C$5,"5 Source No.",$C1946,"4 Item Ledger Entry Type",$C$4,"2 Item No.","@@"&amp;$F1946,"3 Posting Date",Z$9)-NL("Sum","5802 Value Entry","43 Cost Amount (Actual)","41 Source Type",$C$5,"5 Source no.",$C1946,"4 Item Ledger Entry Type",$C$4,"2 Item No.","@@"&amp;$F1946,"3 Posting Date",Z$9)</t>
  </si>
  <si>
    <t>=Z1946-AB1946</t>
  </si>
  <si>
    <t>=IF(Z1946&lt;&gt;0,AC1946/Z1946,"")</t>
  </si>
  <si>
    <t>=C1946</t>
  </si>
  <si>
    <t>=NL("Sum","5802 Value Entry","150 Sales Amount (Expected)","41 Source Type",$C$5,"5 Source No.",$C1947,"4 Item Ledger Entry Type",$C$4,"2 Item No.","@@"&amp;$F1947,"3 Posting Date",J$9)+NL("Sum","5802 Value Entry","17 Sales Amount (Actual)","41 Source Type",$C$5,"5 Source no.",$C1947,"4 Item Ledger Entry Type",$C$4,"2 Item No.","@@"&amp;$F1947,"3 Posting Date",J$9)</t>
  </si>
  <si>
    <t>=-NL("Sum","5802 Value Entry","151 Cost Amount (Expected)","41 Source Type",$C$5,"5 Source No.",$C1947,"4 Item Ledger Entry Type",$C$4,"2 Item No.","@@"&amp;$F1947,"3 Posting Date",J$9)-NL("Sum","5802 Value Entry","43 Cost Amount (Actual)","41 Source Type",$C$5,"5 Source no.",$C1947,"4 Item Ledger Entry Type",$C$4,"2 Item No.","@@"&amp;$F1947,"3 Posting Date",J$9)</t>
  </si>
  <si>
    <t>=J1947-L1947</t>
  </si>
  <si>
    <t>=IF(J1947&lt;&gt;0,M1947/J1947,"")</t>
  </si>
  <si>
    <t>=NL("Sum","5802 Value Entry","150 Sales Amount (Expected)","41 Source Type",$C$5,"5 Source No.",$C1947,"4 Item Ledger Entry Type",$C$4,"2 Item No.","@@"&amp;$F1947,"3 Posting Date",O$9)+NL("Sum","5802 Value Entry","17 Sales Amount (Actual)","41 Source Type",$C$5,"5 Source no.",$C1947,"4 Item Ledger Entry Type",$C$4,"2 Item No.","@@"&amp;$F1947,"3 Posting Date",O$9)</t>
  </si>
  <si>
    <t>=-NL("Sum","5802 Value Entry","151 Cost Amount (Expected)","41 Source Type",$C$5,"5 Source No.",$C1947,"4 Item Ledger Entry Type",$C$4,"2 Item No.","@@"&amp;$F1947,"3 Posting Date",O$9)-NL("Sum","5802 Value Entry","43 Cost Amount (Actual)","41 Source Type",$C$5,"5 Source no.",$C1947,"4 Item Ledger Entry Type",$C$4,"2 Item No.","@@"&amp;$F1947,"3 Posting Date",O$9)</t>
  </si>
  <si>
    <t>=O1947-Q1947</t>
  </si>
  <si>
    <t>=IF(O1947&lt;&gt;0,R1947/O1947,"")</t>
  </si>
  <si>
    <t>=NL("Sum","5802 Value Entry","150 Sales Amount (Expected)","41 Source Type",$C$5,"5 Source No.",$C1947,"4 Item Ledger Entry Type",$C$4,"2 Item No.","@@"&amp;$F1947,"3 Posting Date",U$9)+NL("Sum","5802 Value Entry","17 Sales Amount (Actual)","41 Source Type",$C$5,"5 Source no.",$C1947,"4 Item Ledger Entry Type",$C$4,"2 Item No.","@@"&amp;$F1947,"3 Posting Date",U$9)</t>
  </si>
  <si>
    <t>=-NL("Sum","5802 Value Entry","151 Cost Amount (Expected)","41 Source Type",$C$5,"5 Source No.",$C1947,"4 Item Ledger Entry Type",$C$4,"2 Item No.","@@"&amp;$F1947,"3 Posting Date",U$9)-NL("Sum","5802 Value Entry","43 Cost Amount (Actual)","41 Source Type",$C$5,"5 Source no.",$C1947,"4 Item Ledger Entry Type",$C$4,"2 Item No.","@@"&amp;$F1947,"3 Posting Date",U$9)</t>
  </si>
  <si>
    <t>=U1947-W1947</t>
  </si>
  <si>
    <t>=IF(U1947&lt;&gt;0,X1947/U1947,"")</t>
  </si>
  <si>
    <t>=NL("Sum","5802 Value Entry","150 Sales Amount (Expected)","41 Source Type",$C$5,"5 Source No.",$C1947,"4 Item Ledger Entry Type",$C$4,"2 Item No.","@@"&amp;$F1947,"3 Posting Date",Z$9)+NL("Sum","5802 Value Entry","17 Sales Amount (Actual)","41 Source Type",$C$5,"5 Source no.",$C1947,"4 Item Ledger Entry Type",$C$4,"2 Item No.","@@"&amp;$F1947,"3 Posting Date",Z$9)</t>
  </si>
  <si>
    <t>=-NL("Sum","5802 Value Entry","151 Cost Amount (Expected)","41 Source Type",$C$5,"5 Source No.",$C1947,"4 Item Ledger Entry Type",$C$4,"2 Item No.","@@"&amp;$F1947,"3 Posting Date",Z$9)-NL("Sum","5802 Value Entry","43 Cost Amount (Actual)","41 Source Type",$C$5,"5 Source no.",$C1947,"4 Item Ledger Entry Type",$C$4,"2 Item No.","@@"&amp;$F1947,"3 Posting Date",Z$9)</t>
  </si>
  <si>
    <t>=Z1947-AB1947</t>
  </si>
  <si>
    <t>=IF(Z1947&lt;&gt;0,AC1947/Z1947,"")</t>
  </si>
  <si>
    <t>=C1947</t>
  </si>
  <si>
    <t>=NL("Sum","5802 Value Entry","150 Sales Amount (Expected)","41 Source Type",$C$5,"5 Source No.",$C1948,"4 Item Ledger Entry Type",$C$4,"2 Item No.","@@"&amp;$F1948,"3 Posting Date",J$9)+NL("Sum","5802 Value Entry","17 Sales Amount (Actual)","41 Source Type",$C$5,"5 Source no.",$C1948,"4 Item Ledger Entry Type",$C$4,"2 Item No.","@@"&amp;$F1948,"3 Posting Date",J$9)</t>
  </si>
  <si>
    <t>=-NL("Sum","5802 Value Entry","151 Cost Amount (Expected)","41 Source Type",$C$5,"5 Source No.",$C1948,"4 Item Ledger Entry Type",$C$4,"2 Item No.","@@"&amp;$F1948,"3 Posting Date",J$9)-NL("Sum","5802 Value Entry","43 Cost Amount (Actual)","41 Source Type",$C$5,"5 Source no.",$C1948,"4 Item Ledger Entry Type",$C$4,"2 Item No.","@@"&amp;$F1948,"3 Posting Date",J$9)</t>
  </si>
  <si>
    <t>=J1948-L1948</t>
  </si>
  <si>
    <t>=IF(J1948&lt;&gt;0,M1948/J1948,"")</t>
  </si>
  <si>
    <t>=NL("Sum","5802 Value Entry","150 Sales Amount (Expected)","41 Source Type",$C$5,"5 Source No.",$C1948,"4 Item Ledger Entry Type",$C$4,"2 Item No.","@@"&amp;$F1948,"3 Posting Date",O$9)+NL("Sum","5802 Value Entry","17 Sales Amount (Actual)","41 Source Type",$C$5,"5 Source no.",$C1948,"4 Item Ledger Entry Type",$C$4,"2 Item No.","@@"&amp;$F1948,"3 Posting Date",O$9)</t>
  </si>
  <si>
    <t>=-NL("Sum","5802 Value Entry","151 Cost Amount (Expected)","41 Source Type",$C$5,"5 Source No.",$C1948,"4 Item Ledger Entry Type",$C$4,"2 Item No.","@@"&amp;$F1948,"3 Posting Date",O$9)-NL("Sum","5802 Value Entry","43 Cost Amount (Actual)","41 Source Type",$C$5,"5 Source no.",$C1948,"4 Item Ledger Entry Type",$C$4,"2 Item No.","@@"&amp;$F1948,"3 Posting Date",O$9)</t>
  </si>
  <si>
    <t>=O1948-Q1948</t>
  </si>
  <si>
    <t>=IF(O1948&lt;&gt;0,R1948/O1948,"")</t>
  </si>
  <si>
    <t>=NL("Sum","5802 Value Entry","150 Sales Amount (Expected)","41 Source Type",$C$5,"5 Source No.",$C1948,"4 Item Ledger Entry Type",$C$4,"2 Item No.","@@"&amp;$F1948,"3 Posting Date",U$9)+NL("Sum","5802 Value Entry","17 Sales Amount (Actual)","41 Source Type",$C$5,"5 Source no.",$C1948,"4 Item Ledger Entry Type",$C$4,"2 Item No.","@@"&amp;$F1948,"3 Posting Date",U$9)</t>
  </si>
  <si>
    <t>=-NL("Sum","5802 Value Entry","151 Cost Amount (Expected)","41 Source Type",$C$5,"5 Source No.",$C1948,"4 Item Ledger Entry Type",$C$4,"2 Item No.","@@"&amp;$F1948,"3 Posting Date",U$9)-NL("Sum","5802 Value Entry","43 Cost Amount (Actual)","41 Source Type",$C$5,"5 Source no.",$C1948,"4 Item Ledger Entry Type",$C$4,"2 Item No.","@@"&amp;$F1948,"3 Posting Date",U$9)</t>
  </si>
  <si>
    <t>=U1948-W1948</t>
  </si>
  <si>
    <t>=IF(U1948&lt;&gt;0,X1948/U1948,"")</t>
  </si>
  <si>
    <t>=NL("Sum","5802 Value Entry","150 Sales Amount (Expected)","41 Source Type",$C$5,"5 Source No.",$C1948,"4 Item Ledger Entry Type",$C$4,"2 Item No.","@@"&amp;$F1948,"3 Posting Date",Z$9)+NL("Sum","5802 Value Entry","17 Sales Amount (Actual)","41 Source Type",$C$5,"5 Source no.",$C1948,"4 Item Ledger Entry Type",$C$4,"2 Item No.","@@"&amp;$F1948,"3 Posting Date",Z$9)</t>
  </si>
  <si>
    <t>=-NL("Sum","5802 Value Entry","151 Cost Amount (Expected)","41 Source Type",$C$5,"5 Source No.",$C1948,"4 Item Ledger Entry Type",$C$4,"2 Item No.","@@"&amp;$F1948,"3 Posting Date",Z$9)-NL("Sum","5802 Value Entry","43 Cost Amount (Actual)","41 Source Type",$C$5,"5 Source no.",$C1948,"4 Item Ledger Entry Type",$C$4,"2 Item No.","@@"&amp;$F1948,"3 Posting Date",Z$9)</t>
  </si>
  <si>
    <t>=Z1948-AB1948</t>
  </si>
  <si>
    <t>=IF(Z1948&lt;&gt;0,AC1948/Z1948,"")</t>
  </si>
  <si>
    <t>=C1948</t>
  </si>
  <si>
    <t>=NL("Sum","5802 Value Entry","150 Sales Amount (Expected)","41 Source Type",$C$5,"5 Source No.",$C1949,"4 Item Ledger Entry Type",$C$4,"2 Item No.","@@"&amp;$F1949,"3 Posting Date",J$9)+NL("Sum","5802 Value Entry","17 Sales Amount (Actual)","41 Source Type",$C$5,"5 Source no.",$C1949,"4 Item Ledger Entry Type",$C$4,"2 Item No.","@@"&amp;$F1949,"3 Posting Date",J$9)</t>
  </si>
  <si>
    <t>=-NL("Sum","5802 Value Entry","151 Cost Amount (Expected)","41 Source Type",$C$5,"5 Source No.",$C1949,"4 Item Ledger Entry Type",$C$4,"2 Item No.","@@"&amp;$F1949,"3 Posting Date",J$9)-NL("Sum","5802 Value Entry","43 Cost Amount (Actual)","41 Source Type",$C$5,"5 Source no.",$C1949,"4 Item Ledger Entry Type",$C$4,"2 Item No.","@@"&amp;$F1949,"3 Posting Date",J$9)</t>
  </si>
  <si>
    <t>=J1949-L1949</t>
  </si>
  <si>
    <t>=IF(J1949&lt;&gt;0,M1949/J1949,"")</t>
  </si>
  <si>
    <t>=NL("Sum","5802 Value Entry","150 Sales Amount (Expected)","41 Source Type",$C$5,"5 Source No.",$C1949,"4 Item Ledger Entry Type",$C$4,"2 Item No.","@@"&amp;$F1949,"3 Posting Date",O$9)+NL("Sum","5802 Value Entry","17 Sales Amount (Actual)","41 Source Type",$C$5,"5 Source no.",$C1949,"4 Item Ledger Entry Type",$C$4,"2 Item No.","@@"&amp;$F1949,"3 Posting Date",O$9)</t>
  </si>
  <si>
    <t>=-NL("Sum","5802 Value Entry","151 Cost Amount (Expected)","41 Source Type",$C$5,"5 Source No.",$C1949,"4 Item Ledger Entry Type",$C$4,"2 Item No.","@@"&amp;$F1949,"3 Posting Date",O$9)-NL("Sum","5802 Value Entry","43 Cost Amount (Actual)","41 Source Type",$C$5,"5 Source no.",$C1949,"4 Item Ledger Entry Type",$C$4,"2 Item No.","@@"&amp;$F1949,"3 Posting Date",O$9)</t>
  </si>
  <si>
    <t>=O1949-Q1949</t>
  </si>
  <si>
    <t>=IF(O1949&lt;&gt;0,R1949/O1949,"")</t>
  </si>
  <si>
    <t>=NL("Sum","5802 Value Entry","150 Sales Amount (Expected)","41 Source Type",$C$5,"5 Source No.",$C1949,"4 Item Ledger Entry Type",$C$4,"2 Item No.","@@"&amp;$F1949,"3 Posting Date",U$9)+NL("Sum","5802 Value Entry","17 Sales Amount (Actual)","41 Source Type",$C$5,"5 Source no.",$C1949,"4 Item Ledger Entry Type",$C$4,"2 Item No.","@@"&amp;$F1949,"3 Posting Date",U$9)</t>
  </si>
  <si>
    <t>=-NL("Sum","5802 Value Entry","151 Cost Amount (Expected)","41 Source Type",$C$5,"5 Source No.",$C1949,"4 Item Ledger Entry Type",$C$4,"2 Item No.","@@"&amp;$F1949,"3 Posting Date",U$9)-NL("Sum","5802 Value Entry","43 Cost Amount (Actual)","41 Source Type",$C$5,"5 Source no.",$C1949,"4 Item Ledger Entry Type",$C$4,"2 Item No.","@@"&amp;$F1949,"3 Posting Date",U$9)</t>
  </si>
  <si>
    <t>=U1949-W1949</t>
  </si>
  <si>
    <t>=IF(U1949&lt;&gt;0,X1949/U1949,"")</t>
  </si>
  <si>
    <t>=NL("Sum","5802 Value Entry","150 Sales Amount (Expected)","41 Source Type",$C$5,"5 Source No.",$C1949,"4 Item Ledger Entry Type",$C$4,"2 Item No.","@@"&amp;$F1949,"3 Posting Date",Z$9)+NL("Sum","5802 Value Entry","17 Sales Amount (Actual)","41 Source Type",$C$5,"5 Source no.",$C1949,"4 Item Ledger Entry Type",$C$4,"2 Item No.","@@"&amp;$F1949,"3 Posting Date",Z$9)</t>
  </si>
  <si>
    <t>=-NL("Sum","5802 Value Entry","151 Cost Amount (Expected)","41 Source Type",$C$5,"5 Source No.",$C1949,"4 Item Ledger Entry Type",$C$4,"2 Item No.","@@"&amp;$F1949,"3 Posting Date",Z$9)-NL("Sum","5802 Value Entry","43 Cost Amount (Actual)","41 Source Type",$C$5,"5 Source no.",$C1949,"4 Item Ledger Entry Type",$C$4,"2 Item No.","@@"&amp;$F1949,"3 Posting Date",Z$9)</t>
  </si>
  <si>
    <t>=Z1949-AB1949</t>
  </si>
  <si>
    <t>=IF(Z1949&lt;&gt;0,AC1949/Z1949,"")</t>
  </si>
  <si>
    <t>=C1949</t>
  </si>
  <si>
    <t>=NL("Sum","5802 Value Entry","150 Sales Amount (Expected)","41 Source Type",$C$5,"5 Source No.",$C1950,"4 Item Ledger Entry Type",$C$4,"2 Item No.","@@"&amp;$F1950,"3 Posting Date",J$9)+NL("Sum","5802 Value Entry","17 Sales Amount (Actual)","41 Source Type",$C$5,"5 Source no.",$C1950,"4 Item Ledger Entry Type",$C$4,"2 Item No.","@@"&amp;$F1950,"3 Posting Date",J$9)</t>
  </si>
  <si>
    <t>=-NL("Sum","5802 Value Entry","151 Cost Amount (Expected)","41 Source Type",$C$5,"5 Source No.",$C1950,"4 Item Ledger Entry Type",$C$4,"2 Item No.","@@"&amp;$F1950,"3 Posting Date",J$9)-NL("Sum","5802 Value Entry","43 Cost Amount (Actual)","41 Source Type",$C$5,"5 Source no.",$C1950,"4 Item Ledger Entry Type",$C$4,"2 Item No.","@@"&amp;$F1950,"3 Posting Date",J$9)</t>
  </si>
  <si>
    <t>=J1950-L1950</t>
  </si>
  <si>
    <t>=IF(J1950&lt;&gt;0,M1950/J1950,"")</t>
  </si>
  <si>
    <t>=NL("Sum","5802 Value Entry","150 Sales Amount (Expected)","41 Source Type",$C$5,"5 Source No.",$C1950,"4 Item Ledger Entry Type",$C$4,"2 Item No.","@@"&amp;$F1950,"3 Posting Date",O$9)+NL("Sum","5802 Value Entry","17 Sales Amount (Actual)","41 Source Type",$C$5,"5 Source no.",$C1950,"4 Item Ledger Entry Type",$C$4,"2 Item No.","@@"&amp;$F1950,"3 Posting Date",O$9)</t>
  </si>
  <si>
    <t>=-NL("Sum","5802 Value Entry","151 Cost Amount (Expected)","41 Source Type",$C$5,"5 Source No.",$C1950,"4 Item Ledger Entry Type",$C$4,"2 Item No.","@@"&amp;$F1950,"3 Posting Date",O$9)-NL("Sum","5802 Value Entry","43 Cost Amount (Actual)","41 Source Type",$C$5,"5 Source no.",$C1950,"4 Item Ledger Entry Type",$C$4,"2 Item No.","@@"&amp;$F1950,"3 Posting Date",O$9)</t>
  </si>
  <si>
    <t>=O1950-Q1950</t>
  </si>
  <si>
    <t>=IF(O1950&lt;&gt;0,R1950/O1950,"")</t>
  </si>
  <si>
    <t>=NL("Sum","5802 Value Entry","150 Sales Amount (Expected)","41 Source Type",$C$5,"5 Source No.",$C1950,"4 Item Ledger Entry Type",$C$4,"2 Item No.","@@"&amp;$F1950,"3 Posting Date",U$9)+NL("Sum","5802 Value Entry","17 Sales Amount (Actual)","41 Source Type",$C$5,"5 Source no.",$C1950,"4 Item Ledger Entry Type",$C$4,"2 Item No.","@@"&amp;$F1950,"3 Posting Date",U$9)</t>
  </si>
  <si>
    <t>=-NL("Sum","5802 Value Entry","151 Cost Amount (Expected)","41 Source Type",$C$5,"5 Source No.",$C1950,"4 Item Ledger Entry Type",$C$4,"2 Item No.","@@"&amp;$F1950,"3 Posting Date",U$9)-NL("Sum","5802 Value Entry","43 Cost Amount (Actual)","41 Source Type",$C$5,"5 Source no.",$C1950,"4 Item Ledger Entry Type",$C$4,"2 Item No.","@@"&amp;$F1950,"3 Posting Date",U$9)</t>
  </si>
  <si>
    <t>=U1950-W1950</t>
  </si>
  <si>
    <t>=IF(U1950&lt;&gt;0,X1950/U1950,"")</t>
  </si>
  <si>
    <t>=NL("Sum","5802 Value Entry","150 Sales Amount (Expected)","41 Source Type",$C$5,"5 Source No.",$C1950,"4 Item Ledger Entry Type",$C$4,"2 Item No.","@@"&amp;$F1950,"3 Posting Date",Z$9)+NL("Sum","5802 Value Entry","17 Sales Amount (Actual)","41 Source Type",$C$5,"5 Source no.",$C1950,"4 Item Ledger Entry Type",$C$4,"2 Item No.","@@"&amp;$F1950,"3 Posting Date",Z$9)</t>
  </si>
  <si>
    <t>=-NL("Sum","5802 Value Entry","151 Cost Amount (Expected)","41 Source Type",$C$5,"5 Source No.",$C1950,"4 Item Ledger Entry Type",$C$4,"2 Item No.","@@"&amp;$F1950,"3 Posting Date",Z$9)-NL("Sum","5802 Value Entry","43 Cost Amount (Actual)","41 Source Type",$C$5,"5 Source no.",$C1950,"4 Item Ledger Entry Type",$C$4,"2 Item No.","@@"&amp;$F1950,"3 Posting Date",Z$9)</t>
  </si>
  <si>
    <t>=Z1950-AB1950</t>
  </si>
  <si>
    <t>=IF(Z1950&lt;&gt;0,AC1950/Z1950,"")</t>
  </si>
  <si>
    <t>=C1950</t>
  </si>
  <si>
    <t>=NL("Sum","5802 Value Entry","150 Sales Amount (Expected)","41 Source Type",$C$5,"5 Source No.",$C1951,"4 Item Ledger Entry Type",$C$4,"2 Item No.","@@"&amp;$F1951,"3 Posting Date",J$9)+NL("Sum","5802 Value Entry","17 Sales Amount (Actual)","41 Source Type",$C$5,"5 Source no.",$C1951,"4 Item Ledger Entry Type",$C$4,"2 Item No.","@@"&amp;$F1951,"3 Posting Date",J$9)</t>
  </si>
  <si>
    <t>=-NL("Sum","5802 Value Entry","151 Cost Amount (Expected)","41 Source Type",$C$5,"5 Source No.",$C1951,"4 Item Ledger Entry Type",$C$4,"2 Item No.","@@"&amp;$F1951,"3 Posting Date",J$9)-NL("Sum","5802 Value Entry","43 Cost Amount (Actual)","41 Source Type",$C$5,"5 Source no.",$C1951,"4 Item Ledger Entry Type",$C$4,"2 Item No.","@@"&amp;$F1951,"3 Posting Date",J$9)</t>
  </si>
  <si>
    <t>=J1951-L1951</t>
  </si>
  <si>
    <t>=IF(J1951&lt;&gt;0,M1951/J1951,"")</t>
  </si>
  <si>
    <t>=NL("Sum","5802 Value Entry","150 Sales Amount (Expected)","41 Source Type",$C$5,"5 Source No.",$C1951,"4 Item Ledger Entry Type",$C$4,"2 Item No.","@@"&amp;$F1951,"3 Posting Date",O$9)+NL("Sum","5802 Value Entry","17 Sales Amount (Actual)","41 Source Type",$C$5,"5 Source no.",$C1951,"4 Item Ledger Entry Type",$C$4,"2 Item No.","@@"&amp;$F1951,"3 Posting Date",O$9)</t>
  </si>
  <si>
    <t>=-NL("Sum","5802 Value Entry","151 Cost Amount (Expected)","41 Source Type",$C$5,"5 Source No.",$C1951,"4 Item Ledger Entry Type",$C$4,"2 Item No.","@@"&amp;$F1951,"3 Posting Date",O$9)-NL("Sum","5802 Value Entry","43 Cost Amount (Actual)","41 Source Type",$C$5,"5 Source no.",$C1951,"4 Item Ledger Entry Type",$C$4,"2 Item No.","@@"&amp;$F1951,"3 Posting Date",O$9)</t>
  </si>
  <si>
    <t>=O1951-Q1951</t>
  </si>
  <si>
    <t>=IF(O1951&lt;&gt;0,R1951/O1951,"")</t>
  </si>
  <si>
    <t>=NL("Sum","5802 Value Entry","150 Sales Amount (Expected)","41 Source Type",$C$5,"5 Source No.",$C1951,"4 Item Ledger Entry Type",$C$4,"2 Item No.","@@"&amp;$F1951,"3 Posting Date",U$9)+NL("Sum","5802 Value Entry","17 Sales Amount (Actual)","41 Source Type",$C$5,"5 Source no.",$C1951,"4 Item Ledger Entry Type",$C$4,"2 Item No.","@@"&amp;$F1951,"3 Posting Date",U$9)</t>
  </si>
  <si>
    <t>=-NL("Sum","5802 Value Entry","151 Cost Amount (Expected)","41 Source Type",$C$5,"5 Source No.",$C1951,"4 Item Ledger Entry Type",$C$4,"2 Item No.","@@"&amp;$F1951,"3 Posting Date",U$9)-NL("Sum","5802 Value Entry","43 Cost Amount (Actual)","41 Source Type",$C$5,"5 Source no.",$C1951,"4 Item Ledger Entry Type",$C$4,"2 Item No.","@@"&amp;$F1951,"3 Posting Date",U$9)</t>
  </si>
  <si>
    <t>=U1951-W1951</t>
  </si>
  <si>
    <t>=IF(U1951&lt;&gt;0,X1951/U1951,"")</t>
  </si>
  <si>
    <t>=NL("Sum","5802 Value Entry","150 Sales Amount (Expected)","41 Source Type",$C$5,"5 Source No.",$C1951,"4 Item Ledger Entry Type",$C$4,"2 Item No.","@@"&amp;$F1951,"3 Posting Date",Z$9)+NL("Sum","5802 Value Entry","17 Sales Amount (Actual)","41 Source Type",$C$5,"5 Source no.",$C1951,"4 Item Ledger Entry Type",$C$4,"2 Item No.","@@"&amp;$F1951,"3 Posting Date",Z$9)</t>
  </si>
  <si>
    <t>=-NL("Sum","5802 Value Entry","151 Cost Amount (Expected)","41 Source Type",$C$5,"5 Source No.",$C1951,"4 Item Ledger Entry Type",$C$4,"2 Item No.","@@"&amp;$F1951,"3 Posting Date",Z$9)-NL("Sum","5802 Value Entry","43 Cost Amount (Actual)","41 Source Type",$C$5,"5 Source no.",$C1951,"4 Item Ledger Entry Type",$C$4,"2 Item No.","@@"&amp;$F1951,"3 Posting Date",Z$9)</t>
  </si>
  <si>
    <t>=Z1951-AB1951</t>
  </si>
  <si>
    <t>=IF(Z1951&lt;&gt;0,AC1951/Z1951,"")</t>
  </si>
  <si>
    <t>=C1952</t>
  </si>
  <si>
    <t>=J1953-L1953</t>
  </si>
  <si>
    <t>=IF(J1953&lt;&gt;0,M1953/J1953,"")</t>
  </si>
  <si>
    <t>=O1953-Q1953</t>
  </si>
  <si>
    <t>=IF(O1953&lt;&gt;0,R1953/O1953,"")</t>
  </si>
  <si>
    <t>=U1953-W1953</t>
  </si>
  <si>
    <t>=IF(U1953&lt;&gt;0,X1953/U1953,"")</t>
  </si>
  <si>
    <t>=Z1953-AB1953</t>
  </si>
  <si>
    <t>=IF(Z1953&lt;&gt;0,AC1953/Z1953,"")</t>
  </si>
  <si>
    <t>=C1956</t>
  </si>
  <si>
    <t>=J1957-L1957</t>
  </si>
  <si>
    <t>=IF(J1957&lt;&gt;0,M1957/J1957,"")</t>
  </si>
  <si>
    <t>=O1957-Q1957</t>
  </si>
  <si>
    <t>=IF(O1957&lt;&gt;0,R1957/O1957,"")</t>
  </si>
  <si>
    <t>=U1957-W1957</t>
  </si>
  <si>
    <t>=IF(U1957&lt;&gt;0,X1957/U1957,"")</t>
  </si>
  <si>
    <t>=Z1957-AB1957</t>
  </si>
  <si>
    <t>=IF(Z1957&lt;&gt;0,AC1957/Z1957,"")</t>
  </si>
  <si>
    <t>=C1959</t>
  </si>
  <si>
    <t>=C1960</t>
  </si>
  <si>
    <t>=NL("Sum","5802 Value Entry","150 Sales Amount (Expected)","41 Source Type",$C$5,"5 Source No.",$C1961,"4 Item Ledger Entry Type",$C$4,"2 Item No.","@@"&amp;$F1961,"3 Posting Date",J$9)+NL("Sum","5802 Value Entry","17 Sales Amount (Actual)","41 Source Type",$C$5,"5 Source no.",$C1961,"4 Item Ledger Entry Type",$C$4,"2 Item No.","@@"&amp;$F1961,"3 Posting Date",J$9)</t>
  </si>
  <si>
    <t>=-NL("Sum","5802 Value Entry","151 Cost Amount (Expected)","41 Source Type",$C$5,"5 Source No.",$C1961,"4 Item Ledger Entry Type",$C$4,"2 Item No.","@@"&amp;$F1961,"3 Posting Date",J$9)-NL("Sum","5802 Value Entry","43 Cost Amount (Actual)","41 Source Type",$C$5,"5 Source no.",$C1961,"4 Item Ledger Entry Type",$C$4,"2 Item No.","@@"&amp;$F1961,"3 Posting Date",J$9)</t>
  </si>
  <si>
    <t>=J1961-L1961</t>
  </si>
  <si>
    <t>=IF(J1961&lt;&gt;0,M1961/J1961,"")</t>
  </si>
  <si>
    <t>=NL("Sum","5802 Value Entry","150 Sales Amount (Expected)","41 Source Type",$C$5,"5 Source No.",$C1961,"4 Item Ledger Entry Type",$C$4,"2 Item No.","@@"&amp;$F1961,"3 Posting Date",O$9)+NL("Sum","5802 Value Entry","17 Sales Amount (Actual)","41 Source Type",$C$5,"5 Source no.",$C1961,"4 Item Ledger Entry Type",$C$4,"2 Item No.","@@"&amp;$F1961,"3 Posting Date",O$9)</t>
  </si>
  <si>
    <t>=-NL("Sum","5802 Value Entry","151 Cost Amount (Expected)","41 Source Type",$C$5,"5 Source No.",$C1961,"4 Item Ledger Entry Type",$C$4,"2 Item No.","@@"&amp;$F1961,"3 Posting Date",O$9)-NL("Sum","5802 Value Entry","43 Cost Amount (Actual)","41 Source Type",$C$5,"5 Source no.",$C1961,"4 Item Ledger Entry Type",$C$4,"2 Item No.","@@"&amp;$F1961,"3 Posting Date",O$9)</t>
  </si>
  <si>
    <t>=O1961-Q1961</t>
  </si>
  <si>
    <t>=IF(O1961&lt;&gt;0,R1961/O1961,"")</t>
  </si>
  <si>
    <t>=NL("Sum","5802 Value Entry","150 Sales Amount (Expected)","41 Source Type",$C$5,"5 Source No.",$C1961,"4 Item Ledger Entry Type",$C$4,"2 Item No.","@@"&amp;$F1961,"3 Posting Date",U$9)+NL("Sum","5802 Value Entry","17 Sales Amount (Actual)","41 Source Type",$C$5,"5 Source no.",$C1961,"4 Item Ledger Entry Type",$C$4,"2 Item No.","@@"&amp;$F1961,"3 Posting Date",U$9)</t>
  </si>
  <si>
    <t>=-NL("Sum","5802 Value Entry","151 Cost Amount (Expected)","41 Source Type",$C$5,"5 Source No.",$C1961,"4 Item Ledger Entry Type",$C$4,"2 Item No.","@@"&amp;$F1961,"3 Posting Date",U$9)-NL("Sum","5802 Value Entry","43 Cost Amount (Actual)","41 Source Type",$C$5,"5 Source no.",$C1961,"4 Item Ledger Entry Type",$C$4,"2 Item No.","@@"&amp;$F1961,"3 Posting Date",U$9)</t>
  </si>
  <si>
    <t>=U1961-W1961</t>
  </si>
  <si>
    <t>=IF(U1961&lt;&gt;0,X1961/U1961,"")</t>
  </si>
  <si>
    <t>=NL("Sum","5802 Value Entry","150 Sales Amount (Expected)","41 Source Type",$C$5,"5 Source No.",$C1961,"4 Item Ledger Entry Type",$C$4,"2 Item No.","@@"&amp;$F1961,"3 Posting Date",Z$9)+NL("Sum","5802 Value Entry","17 Sales Amount (Actual)","41 Source Type",$C$5,"5 Source no.",$C1961,"4 Item Ledger Entry Type",$C$4,"2 Item No.","@@"&amp;$F1961,"3 Posting Date",Z$9)</t>
  </si>
  <si>
    <t>=-NL("Sum","5802 Value Entry","151 Cost Amount (Expected)","41 Source Type",$C$5,"5 Source No.",$C1961,"4 Item Ledger Entry Type",$C$4,"2 Item No.","@@"&amp;$F1961,"3 Posting Date",Z$9)-NL("Sum","5802 Value Entry","43 Cost Amount (Actual)","41 Source Type",$C$5,"5 Source no.",$C1961,"4 Item Ledger Entry Type",$C$4,"2 Item No.","@@"&amp;$F1961,"3 Posting Date",Z$9)</t>
  </si>
  <si>
    <t>=Z1961-AB1961</t>
  </si>
  <si>
    <t>=IF(Z1961&lt;&gt;0,AC1961/Z1961,"")</t>
  </si>
  <si>
    <t>=C1961</t>
  </si>
  <si>
    <t>=NL("Sum","5802 Value Entry","150 Sales Amount (Expected)","41 Source Type",$C$5,"5 Source No.",$C1962,"4 Item Ledger Entry Type",$C$4,"2 Item No.","@@"&amp;$F1962,"3 Posting Date",J$9)+NL("Sum","5802 Value Entry","17 Sales Amount (Actual)","41 Source Type",$C$5,"5 Source no.",$C1962,"4 Item Ledger Entry Type",$C$4,"2 Item No.","@@"&amp;$F1962,"3 Posting Date",J$9)</t>
  </si>
  <si>
    <t>=-NL("Sum","5802 Value Entry","151 Cost Amount (Expected)","41 Source Type",$C$5,"5 Source No.",$C1962,"4 Item Ledger Entry Type",$C$4,"2 Item No.","@@"&amp;$F1962,"3 Posting Date",J$9)-NL("Sum","5802 Value Entry","43 Cost Amount (Actual)","41 Source Type",$C$5,"5 Source no.",$C1962,"4 Item Ledger Entry Type",$C$4,"2 Item No.","@@"&amp;$F1962,"3 Posting Date",J$9)</t>
  </si>
  <si>
    <t>=J1962-L1962</t>
  </si>
  <si>
    <t>=IF(J1962&lt;&gt;0,M1962/J1962,"")</t>
  </si>
  <si>
    <t>=NL("Sum","5802 Value Entry","150 Sales Amount (Expected)","41 Source Type",$C$5,"5 Source No.",$C1962,"4 Item Ledger Entry Type",$C$4,"2 Item No.","@@"&amp;$F1962,"3 Posting Date",O$9)+NL("Sum","5802 Value Entry","17 Sales Amount (Actual)","41 Source Type",$C$5,"5 Source no.",$C1962,"4 Item Ledger Entry Type",$C$4,"2 Item No.","@@"&amp;$F1962,"3 Posting Date",O$9)</t>
  </si>
  <si>
    <t>=-NL("Sum","5802 Value Entry","151 Cost Amount (Expected)","41 Source Type",$C$5,"5 Source No.",$C1962,"4 Item Ledger Entry Type",$C$4,"2 Item No.","@@"&amp;$F1962,"3 Posting Date",O$9)-NL("Sum","5802 Value Entry","43 Cost Amount (Actual)","41 Source Type",$C$5,"5 Source no.",$C1962,"4 Item Ledger Entry Type",$C$4,"2 Item No.","@@"&amp;$F1962,"3 Posting Date",O$9)</t>
  </si>
  <si>
    <t>=O1962-Q1962</t>
  </si>
  <si>
    <t>=IF(O1962&lt;&gt;0,R1962/O1962,"")</t>
  </si>
  <si>
    <t>=NL("Sum","5802 Value Entry","150 Sales Amount (Expected)","41 Source Type",$C$5,"5 Source No.",$C1962,"4 Item Ledger Entry Type",$C$4,"2 Item No.","@@"&amp;$F1962,"3 Posting Date",U$9)+NL("Sum","5802 Value Entry","17 Sales Amount (Actual)","41 Source Type",$C$5,"5 Source no.",$C1962,"4 Item Ledger Entry Type",$C$4,"2 Item No.","@@"&amp;$F1962,"3 Posting Date",U$9)</t>
  </si>
  <si>
    <t>=-NL("Sum","5802 Value Entry","151 Cost Amount (Expected)","41 Source Type",$C$5,"5 Source No.",$C1962,"4 Item Ledger Entry Type",$C$4,"2 Item No.","@@"&amp;$F1962,"3 Posting Date",U$9)-NL("Sum","5802 Value Entry","43 Cost Amount (Actual)","41 Source Type",$C$5,"5 Source no.",$C1962,"4 Item Ledger Entry Type",$C$4,"2 Item No.","@@"&amp;$F1962,"3 Posting Date",U$9)</t>
  </si>
  <si>
    <t>=U1962-W1962</t>
  </si>
  <si>
    <t>=IF(U1962&lt;&gt;0,X1962/U1962,"")</t>
  </si>
  <si>
    <t>=NL("Sum","5802 Value Entry","150 Sales Amount (Expected)","41 Source Type",$C$5,"5 Source No.",$C1962,"4 Item Ledger Entry Type",$C$4,"2 Item No.","@@"&amp;$F1962,"3 Posting Date",Z$9)+NL("Sum","5802 Value Entry","17 Sales Amount (Actual)","41 Source Type",$C$5,"5 Source no.",$C1962,"4 Item Ledger Entry Type",$C$4,"2 Item No.","@@"&amp;$F1962,"3 Posting Date",Z$9)</t>
  </si>
  <si>
    <t>=-NL("Sum","5802 Value Entry","151 Cost Amount (Expected)","41 Source Type",$C$5,"5 Source No.",$C1962,"4 Item Ledger Entry Type",$C$4,"2 Item No.","@@"&amp;$F1962,"3 Posting Date",Z$9)-NL("Sum","5802 Value Entry","43 Cost Amount (Actual)","41 Source Type",$C$5,"5 Source no.",$C1962,"4 Item Ledger Entry Type",$C$4,"2 Item No.","@@"&amp;$F1962,"3 Posting Date",Z$9)</t>
  </si>
  <si>
    <t>=Z1962-AB1962</t>
  </si>
  <si>
    <t>=IF(Z1962&lt;&gt;0,AC1962/Z1962,"")</t>
  </si>
  <si>
    <t>=C1962</t>
  </si>
  <si>
    <t>=NL("Sum","5802 Value Entry","150 Sales Amount (Expected)","41 Source Type",$C$5,"5 Source No.",$C1963,"4 Item Ledger Entry Type",$C$4,"2 Item No.","@@"&amp;$F1963,"3 Posting Date",J$9)+NL("Sum","5802 Value Entry","17 Sales Amount (Actual)","41 Source Type",$C$5,"5 Source no.",$C1963,"4 Item Ledger Entry Type",$C$4,"2 Item No.","@@"&amp;$F1963,"3 Posting Date",J$9)</t>
  </si>
  <si>
    <t>=-NL("Sum","5802 Value Entry","151 Cost Amount (Expected)","41 Source Type",$C$5,"5 Source No.",$C1963,"4 Item Ledger Entry Type",$C$4,"2 Item No.","@@"&amp;$F1963,"3 Posting Date",J$9)-NL("Sum","5802 Value Entry","43 Cost Amount (Actual)","41 Source Type",$C$5,"5 Source no.",$C1963,"4 Item Ledger Entry Type",$C$4,"2 Item No.","@@"&amp;$F1963,"3 Posting Date",J$9)</t>
  </si>
  <si>
    <t>=J1963-L1963</t>
  </si>
  <si>
    <t>=IF(J1963&lt;&gt;0,M1963/J1963,"")</t>
  </si>
  <si>
    <t>=NL("Sum","5802 Value Entry","150 Sales Amount (Expected)","41 Source Type",$C$5,"5 Source No.",$C1963,"4 Item Ledger Entry Type",$C$4,"2 Item No.","@@"&amp;$F1963,"3 Posting Date",O$9)+NL("Sum","5802 Value Entry","17 Sales Amount (Actual)","41 Source Type",$C$5,"5 Source no.",$C1963,"4 Item Ledger Entry Type",$C$4,"2 Item No.","@@"&amp;$F1963,"3 Posting Date",O$9)</t>
  </si>
  <si>
    <t>=-NL("Sum","5802 Value Entry","151 Cost Amount (Expected)","41 Source Type",$C$5,"5 Source No.",$C1963,"4 Item Ledger Entry Type",$C$4,"2 Item No.","@@"&amp;$F1963,"3 Posting Date",O$9)-NL("Sum","5802 Value Entry","43 Cost Amount (Actual)","41 Source Type",$C$5,"5 Source no.",$C1963,"4 Item Ledger Entry Type",$C$4,"2 Item No.","@@"&amp;$F1963,"3 Posting Date",O$9)</t>
  </si>
  <si>
    <t>=O1963-Q1963</t>
  </si>
  <si>
    <t>=IF(O1963&lt;&gt;0,R1963/O1963,"")</t>
  </si>
  <si>
    <t>=NL("Sum","5802 Value Entry","150 Sales Amount (Expected)","41 Source Type",$C$5,"5 Source No.",$C1963,"4 Item Ledger Entry Type",$C$4,"2 Item No.","@@"&amp;$F1963,"3 Posting Date",U$9)+NL("Sum","5802 Value Entry","17 Sales Amount (Actual)","41 Source Type",$C$5,"5 Source no.",$C1963,"4 Item Ledger Entry Type",$C$4,"2 Item No.","@@"&amp;$F1963,"3 Posting Date",U$9)</t>
  </si>
  <si>
    <t>=-NL("Sum","5802 Value Entry","151 Cost Amount (Expected)","41 Source Type",$C$5,"5 Source No.",$C1963,"4 Item Ledger Entry Type",$C$4,"2 Item No.","@@"&amp;$F1963,"3 Posting Date",U$9)-NL("Sum","5802 Value Entry","43 Cost Amount (Actual)","41 Source Type",$C$5,"5 Source no.",$C1963,"4 Item Ledger Entry Type",$C$4,"2 Item No.","@@"&amp;$F1963,"3 Posting Date",U$9)</t>
  </si>
  <si>
    <t>=U1963-W1963</t>
  </si>
  <si>
    <t>=IF(U1963&lt;&gt;0,X1963/U1963,"")</t>
  </si>
  <si>
    <t>=NL("Sum","5802 Value Entry","150 Sales Amount (Expected)","41 Source Type",$C$5,"5 Source No.",$C1963,"4 Item Ledger Entry Type",$C$4,"2 Item No.","@@"&amp;$F1963,"3 Posting Date",Z$9)+NL("Sum","5802 Value Entry","17 Sales Amount (Actual)","41 Source Type",$C$5,"5 Source no.",$C1963,"4 Item Ledger Entry Type",$C$4,"2 Item No.","@@"&amp;$F1963,"3 Posting Date",Z$9)</t>
  </si>
  <si>
    <t>=-NL("Sum","5802 Value Entry","151 Cost Amount (Expected)","41 Source Type",$C$5,"5 Source No.",$C1963,"4 Item Ledger Entry Type",$C$4,"2 Item No.","@@"&amp;$F1963,"3 Posting Date",Z$9)-NL("Sum","5802 Value Entry","43 Cost Amount (Actual)","41 Source Type",$C$5,"5 Source no.",$C1963,"4 Item Ledger Entry Type",$C$4,"2 Item No.","@@"&amp;$F1963,"3 Posting Date",Z$9)</t>
  </si>
  <si>
    <t>=Z1963-AB1963</t>
  </si>
  <si>
    <t>=IF(Z1963&lt;&gt;0,AC1963/Z1963,"")</t>
  </si>
  <si>
    <t>=C1963</t>
  </si>
  <si>
    <t>=NL("Sum","5802 Value Entry","150 Sales Amount (Expected)","41 Source Type",$C$5,"5 Source No.",$C1964,"4 Item Ledger Entry Type",$C$4,"2 Item No.","@@"&amp;$F1964,"3 Posting Date",J$9)+NL("Sum","5802 Value Entry","17 Sales Amount (Actual)","41 Source Type",$C$5,"5 Source no.",$C1964,"4 Item Ledger Entry Type",$C$4,"2 Item No.","@@"&amp;$F1964,"3 Posting Date",J$9)</t>
  </si>
  <si>
    <t>=-NL("Sum","5802 Value Entry","151 Cost Amount (Expected)","41 Source Type",$C$5,"5 Source No.",$C1964,"4 Item Ledger Entry Type",$C$4,"2 Item No.","@@"&amp;$F1964,"3 Posting Date",J$9)-NL("Sum","5802 Value Entry","43 Cost Amount (Actual)","41 Source Type",$C$5,"5 Source no.",$C1964,"4 Item Ledger Entry Type",$C$4,"2 Item No.","@@"&amp;$F1964,"3 Posting Date",J$9)</t>
  </si>
  <si>
    <t>=J1964-L1964</t>
  </si>
  <si>
    <t>=IF(J1964&lt;&gt;0,M1964/J1964,"")</t>
  </si>
  <si>
    <t>=NL("Sum","5802 Value Entry","150 Sales Amount (Expected)","41 Source Type",$C$5,"5 Source No.",$C1964,"4 Item Ledger Entry Type",$C$4,"2 Item No.","@@"&amp;$F1964,"3 Posting Date",O$9)+NL("Sum","5802 Value Entry","17 Sales Amount (Actual)","41 Source Type",$C$5,"5 Source no.",$C1964,"4 Item Ledger Entry Type",$C$4,"2 Item No.","@@"&amp;$F1964,"3 Posting Date",O$9)</t>
  </si>
  <si>
    <t>=-NL("Sum","5802 Value Entry","151 Cost Amount (Expected)","41 Source Type",$C$5,"5 Source No.",$C1964,"4 Item Ledger Entry Type",$C$4,"2 Item No.","@@"&amp;$F1964,"3 Posting Date",O$9)-NL("Sum","5802 Value Entry","43 Cost Amount (Actual)","41 Source Type",$C$5,"5 Source no.",$C1964,"4 Item Ledger Entry Type",$C$4,"2 Item No.","@@"&amp;$F1964,"3 Posting Date",O$9)</t>
  </si>
  <si>
    <t>=O1964-Q1964</t>
  </si>
  <si>
    <t>=IF(O1964&lt;&gt;0,R1964/O1964,"")</t>
  </si>
  <si>
    <t>=NL("Sum","5802 Value Entry","150 Sales Amount (Expected)","41 Source Type",$C$5,"5 Source No.",$C1964,"4 Item Ledger Entry Type",$C$4,"2 Item No.","@@"&amp;$F1964,"3 Posting Date",U$9)+NL("Sum","5802 Value Entry","17 Sales Amount (Actual)","41 Source Type",$C$5,"5 Source no.",$C1964,"4 Item Ledger Entry Type",$C$4,"2 Item No.","@@"&amp;$F1964,"3 Posting Date",U$9)</t>
  </si>
  <si>
    <t>=-NL("Sum","5802 Value Entry","151 Cost Amount (Expected)","41 Source Type",$C$5,"5 Source No.",$C1964,"4 Item Ledger Entry Type",$C$4,"2 Item No.","@@"&amp;$F1964,"3 Posting Date",U$9)-NL("Sum","5802 Value Entry","43 Cost Amount (Actual)","41 Source Type",$C$5,"5 Source no.",$C1964,"4 Item Ledger Entry Type",$C$4,"2 Item No.","@@"&amp;$F1964,"3 Posting Date",U$9)</t>
  </si>
  <si>
    <t>=U1964-W1964</t>
  </si>
  <si>
    <t>=IF(U1964&lt;&gt;0,X1964/U1964,"")</t>
  </si>
  <si>
    <t>=NL("Sum","5802 Value Entry","150 Sales Amount (Expected)","41 Source Type",$C$5,"5 Source No.",$C1964,"4 Item Ledger Entry Type",$C$4,"2 Item No.","@@"&amp;$F1964,"3 Posting Date",Z$9)+NL("Sum","5802 Value Entry","17 Sales Amount (Actual)","41 Source Type",$C$5,"5 Source no.",$C1964,"4 Item Ledger Entry Type",$C$4,"2 Item No.","@@"&amp;$F1964,"3 Posting Date",Z$9)</t>
  </si>
  <si>
    <t>=-NL("Sum","5802 Value Entry","151 Cost Amount (Expected)","41 Source Type",$C$5,"5 Source No.",$C1964,"4 Item Ledger Entry Type",$C$4,"2 Item No.","@@"&amp;$F1964,"3 Posting Date",Z$9)-NL("Sum","5802 Value Entry","43 Cost Amount (Actual)","41 Source Type",$C$5,"5 Source no.",$C1964,"4 Item Ledger Entry Type",$C$4,"2 Item No.","@@"&amp;$F1964,"3 Posting Date",Z$9)</t>
  </si>
  <si>
    <t>=Z1964-AB1964</t>
  </si>
  <si>
    <t>=IF(Z1964&lt;&gt;0,AC1964/Z1964,"")</t>
  </si>
  <si>
    <t>=C1964</t>
  </si>
  <si>
    <t>=NL("Sum","5802 Value Entry","150 Sales Amount (Expected)","41 Source Type",$C$5,"5 Source No.",$C1965,"4 Item Ledger Entry Type",$C$4,"2 Item No.","@@"&amp;$F1965,"3 Posting Date",J$9)+NL("Sum","5802 Value Entry","17 Sales Amount (Actual)","41 Source Type",$C$5,"5 Source no.",$C1965,"4 Item Ledger Entry Type",$C$4,"2 Item No.","@@"&amp;$F1965,"3 Posting Date",J$9)</t>
  </si>
  <si>
    <t>=-NL("Sum","5802 Value Entry","151 Cost Amount (Expected)","41 Source Type",$C$5,"5 Source No.",$C1965,"4 Item Ledger Entry Type",$C$4,"2 Item No.","@@"&amp;$F1965,"3 Posting Date",J$9)-NL("Sum","5802 Value Entry","43 Cost Amount (Actual)","41 Source Type",$C$5,"5 Source no.",$C1965,"4 Item Ledger Entry Type",$C$4,"2 Item No.","@@"&amp;$F1965,"3 Posting Date",J$9)</t>
  </si>
  <si>
    <t>=J1965-L1965</t>
  </si>
  <si>
    <t>=IF(J1965&lt;&gt;0,M1965/J1965,"")</t>
  </si>
  <si>
    <t>=NL("Sum","5802 Value Entry","150 Sales Amount (Expected)","41 Source Type",$C$5,"5 Source No.",$C1965,"4 Item Ledger Entry Type",$C$4,"2 Item No.","@@"&amp;$F1965,"3 Posting Date",O$9)+NL("Sum","5802 Value Entry","17 Sales Amount (Actual)","41 Source Type",$C$5,"5 Source no.",$C1965,"4 Item Ledger Entry Type",$C$4,"2 Item No.","@@"&amp;$F1965,"3 Posting Date",O$9)</t>
  </si>
  <si>
    <t>=-NL("Sum","5802 Value Entry","151 Cost Amount (Expected)","41 Source Type",$C$5,"5 Source No.",$C1965,"4 Item Ledger Entry Type",$C$4,"2 Item No.","@@"&amp;$F1965,"3 Posting Date",O$9)-NL("Sum","5802 Value Entry","43 Cost Amount (Actual)","41 Source Type",$C$5,"5 Source no.",$C1965,"4 Item Ledger Entry Type",$C$4,"2 Item No.","@@"&amp;$F1965,"3 Posting Date",O$9)</t>
  </si>
  <si>
    <t>=O1965-Q1965</t>
  </si>
  <si>
    <t>=IF(O1965&lt;&gt;0,R1965/O1965,"")</t>
  </si>
  <si>
    <t>=NL("Sum","5802 Value Entry","150 Sales Amount (Expected)","41 Source Type",$C$5,"5 Source No.",$C1965,"4 Item Ledger Entry Type",$C$4,"2 Item No.","@@"&amp;$F1965,"3 Posting Date",U$9)+NL("Sum","5802 Value Entry","17 Sales Amount (Actual)","41 Source Type",$C$5,"5 Source no.",$C1965,"4 Item Ledger Entry Type",$C$4,"2 Item No.","@@"&amp;$F1965,"3 Posting Date",U$9)</t>
  </si>
  <si>
    <t>=-NL("Sum","5802 Value Entry","151 Cost Amount (Expected)","41 Source Type",$C$5,"5 Source No.",$C1965,"4 Item Ledger Entry Type",$C$4,"2 Item No.","@@"&amp;$F1965,"3 Posting Date",U$9)-NL("Sum","5802 Value Entry","43 Cost Amount (Actual)","41 Source Type",$C$5,"5 Source no.",$C1965,"4 Item Ledger Entry Type",$C$4,"2 Item No.","@@"&amp;$F1965,"3 Posting Date",U$9)</t>
  </si>
  <si>
    <t>=U1965-W1965</t>
  </si>
  <si>
    <t>=IF(U1965&lt;&gt;0,X1965/U1965,"")</t>
  </si>
  <si>
    <t>=NL("Sum","5802 Value Entry","150 Sales Amount (Expected)","41 Source Type",$C$5,"5 Source No.",$C1965,"4 Item Ledger Entry Type",$C$4,"2 Item No.","@@"&amp;$F1965,"3 Posting Date",Z$9)+NL("Sum","5802 Value Entry","17 Sales Amount (Actual)","41 Source Type",$C$5,"5 Source no.",$C1965,"4 Item Ledger Entry Type",$C$4,"2 Item No.","@@"&amp;$F1965,"3 Posting Date",Z$9)</t>
  </si>
  <si>
    <t>=-NL("Sum","5802 Value Entry","151 Cost Amount (Expected)","41 Source Type",$C$5,"5 Source No.",$C1965,"4 Item Ledger Entry Type",$C$4,"2 Item No.","@@"&amp;$F1965,"3 Posting Date",Z$9)-NL("Sum","5802 Value Entry","43 Cost Amount (Actual)","41 Source Type",$C$5,"5 Source no.",$C1965,"4 Item Ledger Entry Type",$C$4,"2 Item No.","@@"&amp;$F1965,"3 Posting Date",Z$9)</t>
  </si>
  <si>
    <t>=Z1965-AB1965</t>
  </si>
  <si>
    <t>=IF(Z1965&lt;&gt;0,AC1965/Z1965,"")</t>
  </si>
  <si>
    <t>=C1965</t>
  </si>
  <si>
    <t>=NL("Sum","5802 Value Entry","150 Sales Amount (Expected)","41 Source Type",$C$5,"5 Source No.",$C1966,"4 Item Ledger Entry Type",$C$4,"2 Item No.","@@"&amp;$F1966,"3 Posting Date",J$9)+NL("Sum","5802 Value Entry","17 Sales Amount (Actual)","41 Source Type",$C$5,"5 Source no.",$C1966,"4 Item Ledger Entry Type",$C$4,"2 Item No.","@@"&amp;$F1966,"3 Posting Date",J$9)</t>
  </si>
  <si>
    <t>=-NL("Sum","5802 Value Entry","151 Cost Amount (Expected)","41 Source Type",$C$5,"5 Source No.",$C1966,"4 Item Ledger Entry Type",$C$4,"2 Item No.","@@"&amp;$F1966,"3 Posting Date",J$9)-NL("Sum","5802 Value Entry","43 Cost Amount (Actual)","41 Source Type",$C$5,"5 Source no.",$C1966,"4 Item Ledger Entry Type",$C$4,"2 Item No.","@@"&amp;$F1966,"3 Posting Date",J$9)</t>
  </si>
  <si>
    <t>=J1966-L1966</t>
  </si>
  <si>
    <t>=IF(J1966&lt;&gt;0,M1966/J1966,"")</t>
  </si>
  <si>
    <t>=NL("Sum","5802 Value Entry","150 Sales Amount (Expected)","41 Source Type",$C$5,"5 Source No.",$C1966,"4 Item Ledger Entry Type",$C$4,"2 Item No.","@@"&amp;$F1966,"3 Posting Date",O$9)+NL("Sum","5802 Value Entry","17 Sales Amount (Actual)","41 Source Type",$C$5,"5 Source no.",$C1966,"4 Item Ledger Entry Type",$C$4,"2 Item No.","@@"&amp;$F1966,"3 Posting Date",O$9)</t>
  </si>
  <si>
    <t>=-NL("Sum","5802 Value Entry","151 Cost Amount (Expected)","41 Source Type",$C$5,"5 Source No.",$C1966,"4 Item Ledger Entry Type",$C$4,"2 Item No.","@@"&amp;$F1966,"3 Posting Date",O$9)-NL("Sum","5802 Value Entry","43 Cost Amount (Actual)","41 Source Type",$C$5,"5 Source no.",$C1966,"4 Item Ledger Entry Type",$C$4,"2 Item No.","@@"&amp;$F1966,"3 Posting Date",O$9)</t>
  </si>
  <si>
    <t>=O1966-Q1966</t>
  </si>
  <si>
    <t>=IF(O1966&lt;&gt;0,R1966/O1966,"")</t>
  </si>
  <si>
    <t>=NL("Sum","5802 Value Entry","150 Sales Amount (Expected)","41 Source Type",$C$5,"5 Source No.",$C1966,"4 Item Ledger Entry Type",$C$4,"2 Item No.","@@"&amp;$F1966,"3 Posting Date",U$9)+NL("Sum","5802 Value Entry","17 Sales Amount (Actual)","41 Source Type",$C$5,"5 Source no.",$C1966,"4 Item Ledger Entry Type",$C$4,"2 Item No.","@@"&amp;$F1966,"3 Posting Date",U$9)</t>
  </si>
  <si>
    <t>=-NL("Sum","5802 Value Entry","151 Cost Amount (Expected)","41 Source Type",$C$5,"5 Source No.",$C1966,"4 Item Ledger Entry Type",$C$4,"2 Item No.","@@"&amp;$F1966,"3 Posting Date",U$9)-NL("Sum","5802 Value Entry","43 Cost Amount (Actual)","41 Source Type",$C$5,"5 Source no.",$C1966,"4 Item Ledger Entry Type",$C$4,"2 Item No.","@@"&amp;$F1966,"3 Posting Date",U$9)</t>
  </si>
  <si>
    <t>=U1966-W1966</t>
  </si>
  <si>
    <t>=IF(U1966&lt;&gt;0,X1966/U1966,"")</t>
  </si>
  <si>
    <t>=NL("Sum","5802 Value Entry","150 Sales Amount (Expected)","41 Source Type",$C$5,"5 Source No.",$C1966,"4 Item Ledger Entry Type",$C$4,"2 Item No.","@@"&amp;$F1966,"3 Posting Date",Z$9)+NL("Sum","5802 Value Entry","17 Sales Amount (Actual)","41 Source Type",$C$5,"5 Source no.",$C1966,"4 Item Ledger Entry Type",$C$4,"2 Item No.","@@"&amp;$F1966,"3 Posting Date",Z$9)</t>
  </si>
  <si>
    <t>=-NL("Sum","5802 Value Entry","151 Cost Amount (Expected)","41 Source Type",$C$5,"5 Source No.",$C1966,"4 Item Ledger Entry Type",$C$4,"2 Item No.","@@"&amp;$F1966,"3 Posting Date",Z$9)-NL("Sum","5802 Value Entry","43 Cost Amount (Actual)","41 Source Type",$C$5,"5 Source no.",$C1966,"4 Item Ledger Entry Type",$C$4,"2 Item No.","@@"&amp;$F1966,"3 Posting Date",Z$9)</t>
  </si>
  <si>
    <t>=Z1966-AB1966</t>
  </si>
  <si>
    <t>=IF(Z1966&lt;&gt;0,AC1966/Z1966,"")</t>
  </si>
  <si>
    <t>=C1966</t>
  </si>
  <si>
    <t>=NL("Sum","5802 Value Entry","150 Sales Amount (Expected)","41 Source Type",$C$5,"5 Source No.",$C1967,"4 Item Ledger Entry Type",$C$4,"2 Item No.","@@"&amp;$F1967,"3 Posting Date",J$9)+NL("Sum","5802 Value Entry","17 Sales Amount (Actual)","41 Source Type",$C$5,"5 Source no.",$C1967,"4 Item Ledger Entry Type",$C$4,"2 Item No.","@@"&amp;$F1967,"3 Posting Date",J$9)</t>
  </si>
  <si>
    <t>=-NL("Sum","5802 Value Entry","151 Cost Amount (Expected)","41 Source Type",$C$5,"5 Source No.",$C1967,"4 Item Ledger Entry Type",$C$4,"2 Item No.","@@"&amp;$F1967,"3 Posting Date",J$9)-NL("Sum","5802 Value Entry","43 Cost Amount (Actual)","41 Source Type",$C$5,"5 Source no.",$C1967,"4 Item Ledger Entry Type",$C$4,"2 Item No.","@@"&amp;$F1967,"3 Posting Date",J$9)</t>
  </si>
  <si>
    <t>=J1967-L1967</t>
  </si>
  <si>
    <t>=IF(J1967&lt;&gt;0,M1967/J1967,"")</t>
  </si>
  <si>
    <t>=NL("Sum","5802 Value Entry","150 Sales Amount (Expected)","41 Source Type",$C$5,"5 Source No.",$C1967,"4 Item Ledger Entry Type",$C$4,"2 Item No.","@@"&amp;$F1967,"3 Posting Date",O$9)+NL("Sum","5802 Value Entry","17 Sales Amount (Actual)","41 Source Type",$C$5,"5 Source no.",$C1967,"4 Item Ledger Entry Type",$C$4,"2 Item No.","@@"&amp;$F1967,"3 Posting Date",O$9)</t>
  </si>
  <si>
    <t>=-NL("Sum","5802 Value Entry","151 Cost Amount (Expected)","41 Source Type",$C$5,"5 Source No.",$C1967,"4 Item Ledger Entry Type",$C$4,"2 Item No.","@@"&amp;$F1967,"3 Posting Date",O$9)-NL("Sum","5802 Value Entry","43 Cost Amount (Actual)","41 Source Type",$C$5,"5 Source no.",$C1967,"4 Item Ledger Entry Type",$C$4,"2 Item No.","@@"&amp;$F1967,"3 Posting Date",O$9)</t>
  </si>
  <si>
    <t>=O1967-Q1967</t>
  </si>
  <si>
    <t>=IF(O1967&lt;&gt;0,R1967/O1967,"")</t>
  </si>
  <si>
    <t>=NL("Sum","5802 Value Entry","150 Sales Amount (Expected)","41 Source Type",$C$5,"5 Source No.",$C1967,"4 Item Ledger Entry Type",$C$4,"2 Item No.","@@"&amp;$F1967,"3 Posting Date",U$9)+NL("Sum","5802 Value Entry","17 Sales Amount (Actual)","41 Source Type",$C$5,"5 Source no.",$C1967,"4 Item Ledger Entry Type",$C$4,"2 Item No.","@@"&amp;$F1967,"3 Posting Date",U$9)</t>
  </si>
  <si>
    <t>=-NL("Sum","5802 Value Entry","151 Cost Amount (Expected)","41 Source Type",$C$5,"5 Source No.",$C1967,"4 Item Ledger Entry Type",$C$4,"2 Item No.","@@"&amp;$F1967,"3 Posting Date",U$9)-NL("Sum","5802 Value Entry","43 Cost Amount (Actual)","41 Source Type",$C$5,"5 Source no.",$C1967,"4 Item Ledger Entry Type",$C$4,"2 Item No.","@@"&amp;$F1967,"3 Posting Date",U$9)</t>
  </si>
  <si>
    <t>=U1967-W1967</t>
  </si>
  <si>
    <t>=IF(U1967&lt;&gt;0,X1967/U1967,"")</t>
  </si>
  <si>
    <t>=NL("Sum","5802 Value Entry","150 Sales Amount (Expected)","41 Source Type",$C$5,"5 Source No.",$C1967,"4 Item Ledger Entry Type",$C$4,"2 Item No.","@@"&amp;$F1967,"3 Posting Date",Z$9)+NL("Sum","5802 Value Entry","17 Sales Amount (Actual)","41 Source Type",$C$5,"5 Source no.",$C1967,"4 Item Ledger Entry Type",$C$4,"2 Item No.","@@"&amp;$F1967,"3 Posting Date",Z$9)</t>
  </si>
  <si>
    <t>=-NL("Sum","5802 Value Entry","151 Cost Amount (Expected)","41 Source Type",$C$5,"5 Source No.",$C1967,"4 Item Ledger Entry Type",$C$4,"2 Item No.","@@"&amp;$F1967,"3 Posting Date",Z$9)-NL("Sum","5802 Value Entry","43 Cost Amount (Actual)","41 Source Type",$C$5,"5 Source no.",$C1967,"4 Item Ledger Entry Type",$C$4,"2 Item No.","@@"&amp;$F1967,"3 Posting Date",Z$9)</t>
  </si>
  <si>
    <t>=Z1967-AB1967</t>
  </si>
  <si>
    <t>=IF(Z1967&lt;&gt;0,AC1967/Z1967,"")</t>
  </si>
  <si>
    <t>=C1967</t>
  </si>
  <si>
    <t>=NL("Sum","5802 Value Entry","150 Sales Amount (Expected)","41 Source Type",$C$5,"5 Source No.",$C1968,"4 Item Ledger Entry Type",$C$4,"2 Item No.","@@"&amp;$F1968,"3 Posting Date",J$9)+NL("Sum","5802 Value Entry","17 Sales Amount (Actual)","41 Source Type",$C$5,"5 Source no.",$C1968,"4 Item Ledger Entry Type",$C$4,"2 Item No.","@@"&amp;$F1968,"3 Posting Date",J$9)</t>
  </si>
  <si>
    <t>=-NL("Sum","5802 Value Entry","151 Cost Amount (Expected)","41 Source Type",$C$5,"5 Source No.",$C1968,"4 Item Ledger Entry Type",$C$4,"2 Item No.","@@"&amp;$F1968,"3 Posting Date",J$9)-NL("Sum","5802 Value Entry","43 Cost Amount (Actual)","41 Source Type",$C$5,"5 Source no.",$C1968,"4 Item Ledger Entry Type",$C$4,"2 Item No.","@@"&amp;$F1968,"3 Posting Date",J$9)</t>
  </si>
  <si>
    <t>=J1968-L1968</t>
  </si>
  <si>
    <t>=IF(J1968&lt;&gt;0,M1968/J1968,"")</t>
  </si>
  <si>
    <t>=NL("Sum","5802 Value Entry","150 Sales Amount (Expected)","41 Source Type",$C$5,"5 Source No.",$C1968,"4 Item Ledger Entry Type",$C$4,"2 Item No.","@@"&amp;$F1968,"3 Posting Date",O$9)+NL("Sum","5802 Value Entry","17 Sales Amount (Actual)","41 Source Type",$C$5,"5 Source no.",$C1968,"4 Item Ledger Entry Type",$C$4,"2 Item No.","@@"&amp;$F1968,"3 Posting Date",O$9)</t>
  </si>
  <si>
    <t>=-NL("Sum","5802 Value Entry","151 Cost Amount (Expected)","41 Source Type",$C$5,"5 Source No.",$C1968,"4 Item Ledger Entry Type",$C$4,"2 Item No.","@@"&amp;$F1968,"3 Posting Date",O$9)-NL("Sum","5802 Value Entry","43 Cost Amount (Actual)","41 Source Type",$C$5,"5 Source no.",$C1968,"4 Item Ledger Entry Type",$C$4,"2 Item No.","@@"&amp;$F1968,"3 Posting Date",O$9)</t>
  </si>
  <si>
    <t>=O1968-Q1968</t>
  </si>
  <si>
    <t>=IF(O1968&lt;&gt;0,R1968/O1968,"")</t>
  </si>
  <si>
    <t>=NL("Sum","5802 Value Entry","150 Sales Amount (Expected)","41 Source Type",$C$5,"5 Source No.",$C1968,"4 Item Ledger Entry Type",$C$4,"2 Item No.","@@"&amp;$F1968,"3 Posting Date",U$9)+NL("Sum","5802 Value Entry","17 Sales Amount (Actual)","41 Source Type",$C$5,"5 Source no.",$C1968,"4 Item Ledger Entry Type",$C$4,"2 Item No.","@@"&amp;$F1968,"3 Posting Date",U$9)</t>
  </si>
  <si>
    <t>=-NL("Sum","5802 Value Entry","151 Cost Amount (Expected)","41 Source Type",$C$5,"5 Source No.",$C1968,"4 Item Ledger Entry Type",$C$4,"2 Item No.","@@"&amp;$F1968,"3 Posting Date",U$9)-NL("Sum","5802 Value Entry","43 Cost Amount (Actual)","41 Source Type",$C$5,"5 Source no.",$C1968,"4 Item Ledger Entry Type",$C$4,"2 Item No.","@@"&amp;$F1968,"3 Posting Date",U$9)</t>
  </si>
  <si>
    <t>=U1968-W1968</t>
  </si>
  <si>
    <t>=IF(U1968&lt;&gt;0,X1968/U1968,"")</t>
  </si>
  <si>
    <t>=NL("Sum","5802 Value Entry","150 Sales Amount (Expected)","41 Source Type",$C$5,"5 Source No.",$C1968,"4 Item Ledger Entry Type",$C$4,"2 Item No.","@@"&amp;$F1968,"3 Posting Date",Z$9)+NL("Sum","5802 Value Entry","17 Sales Amount (Actual)","41 Source Type",$C$5,"5 Source no.",$C1968,"4 Item Ledger Entry Type",$C$4,"2 Item No.","@@"&amp;$F1968,"3 Posting Date",Z$9)</t>
  </si>
  <si>
    <t>=-NL("Sum","5802 Value Entry","151 Cost Amount (Expected)","41 Source Type",$C$5,"5 Source No.",$C1968,"4 Item Ledger Entry Type",$C$4,"2 Item No.","@@"&amp;$F1968,"3 Posting Date",Z$9)-NL("Sum","5802 Value Entry","43 Cost Amount (Actual)","41 Source Type",$C$5,"5 Source no.",$C1968,"4 Item Ledger Entry Type",$C$4,"2 Item No.","@@"&amp;$F1968,"3 Posting Date",Z$9)</t>
  </si>
  <si>
    <t>=Z1968-AB1968</t>
  </si>
  <si>
    <t>=IF(Z1968&lt;&gt;0,AC1968/Z1968,"")</t>
  </si>
  <si>
    <t>=C1968</t>
  </si>
  <si>
    <t>=NL("Sum","5802 Value Entry","150 Sales Amount (Expected)","41 Source Type",$C$5,"5 Source No.",$C1969,"4 Item Ledger Entry Type",$C$4,"2 Item No.","@@"&amp;$F1969,"3 Posting Date",J$9)+NL("Sum","5802 Value Entry","17 Sales Amount (Actual)","41 Source Type",$C$5,"5 Source no.",$C1969,"4 Item Ledger Entry Type",$C$4,"2 Item No.","@@"&amp;$F1969,"3 Posting Date",J$9)</t>
  </si>
  <si>
    <t>=-NL("Sum","5802 Value Entry","151 Cost Amount (Expected)","41 Source Type",$C$5,"5 Source No.",$C1969,"4 Item Ledger Entry Type",$C$4,"2 Item No.","@@"&amp;$F1969,"3 Posting Date",J$9)-NL("Sum","5802 Value Entry","43 Cost Amount (Actual)","41 Source Type",$C$5,"5 Source no.",$C1969,"4 Item Ledger Entry Type",$C$4,"2 Item No.","@@"&amp;$F1969,"3 Posting Date",J$9)</t>
  </si>
  <si>
    <t>=J1969-L1969</t>
  </si>
  <si>
    <t>=IF(J1969&lt;&gt;0,M1969/J1969,"")</t>
  </si>
  <si>
    <t>=NL("Sum","5802 Value Entry","150 Sales Amount (Expected)","41 Source Type",$C$5,"5 Source No.",$C1969,"4 Item Ledger Entry Type",$C$4,"2 Item No.","@@"&amp;$F1969,"3 Posting Date",O$9)+NL("Sum","5802 Value Entry","17 Sales Amount (Actual)","41 Source Type",$C$5,"5 Source no.",$C1969,"4 Item Ledger Entry Type",$C$4,"2 Item No.","@@"&amp;$F1969,"3 Posting Date",O$9)</t>
  </si>
  <si>
    <t>=-NL("Sum","5802 Value Entry","151 Cost Amount (Expected)","41 Source Type",$C$5,"5 Source No.",$C1969,"4 Item Ledger Entry Type",$C$4,"2 Item No.","@@"&amp;$F1969,"3 Posting Date",O$9)-NL("Sum","5802 Value Entry","43 Cost Amount (Actual)","41 Source Type",$C$5,"5 Source no.",$C1969,"4 Item Ledger Entry Type",$C$4,"2 Item No.","@@"&amp;$F1969,"3 Posting Date",O$9)</t>
  </si>
  <si>
    <t>=O1969-Q1969</t>
  </si>
  <si>
    <t>=IF(O1969&lt;&gt;0,R1969/O1969,"")</t>
  </si>
  <si>
    <t>=NL("Sum","5802 Value Entry","150 Sales Amount (Expected)","41 Source Type",$C$5,"5 Source No.",$C1969,"4 Item Ledger Entry Type",$C$4,"2 Item No.","@@"&amp;$F1969,"3 Posting Date",U$9)+NL("Sum","5802 Value Entry","17 Sales Amount (Actual)","41 Source Type",$C$5,"5 Source no.",$C1969,"4 Item Ledger Entry Type",$C$4,"2 Item No.","@@"&amp;$F1969,"3 Posting Date",U$9)</t>
  </si>
  <si>
    <t>=-NL("Sum","5802 Value Entry","151 Cost Amount (Expected)","41 Source Type",$C$5,"5 Source No.",$C1969,"4 Item Ledger Entry Type",$C$4,"2 Item No.","@@"&amp;$F1969,"3 Posting Date",U$9)-NL("Sum","5802 Value Entry","43 Cost Amount (Actual)","41 Source Type",$C$5,"5 Source no.",$C1969,"4 Item Ledger Entry Type",$C$4,"2 Item No.","@@"&amp;$F1969,"3 Posting Date",U$9)</t>
  </si>
  <si>
    <t>=U1969-W1969</t>
  </si>
  <si>
    <t>=IF(U1969&lt;&gt;0,X1969/U1969,"")</t>
  </si>
  <si>
    <t>=NL("Sum","5802 Value Entry","150 Sales Amount (Expected)","41 Source Type",$C$5,"5 Source No.",$C1969,"4 Item Ledger Entry Type",$C$4,"2 Item No.","@@"&amp;$F1969,"3 Posting Date",Z$9)+NL("Sum","5802 Value Entry","17 Sales Amount (Actual)","41 Source Type",$C$5,"5 Source no.",$C1969,"4 Item Ledger Entry Type",$C$4,"2 Item No.","@@"&amp;$F1969,"3 Posting Date",Z$9)</t>
  </si>
  <si>
    <t>=-NL("Sum","5802 Value Entry","151 Cost Amount (Expected)","41 Source Type",$C$5,"5 Source No.",$C1969,"4 Item Ledger Entry Type",$C$4,"2 Item No.","@@"&amp;$F1969,"3 Posting Date",Z$9)-NL("Sum","5802 Value Entry","43 Cost Amount (Actual)","41 Source Type",$C$5,"5 Source no.",$C1969,"4 Item Ledger Entry Type",$C$4,"2 Item No.","@@"&amp;$F1969,"3 Posting Date",Z$9)</t>
  </si>
  <si>
    <t>=Z1969-AB1969</t>
  </si>
  <si>
    <t>=IF(Z1969&lt;&gt;0,AC1969/Z1969,"")</t>
  </si>
  <si>
    <t>=C1969</t>
  </si>
  <si>
    <t>=NL("Sum","5802 Value Entry","150 Sales Amount (Expected)","41 Source Type",$C$5,"5 Source No.",$C1970,"4 Item Ledger Entry Type",$C$4,"2 Item No.","@@"&amp;$F1970,"3 Posting Date",J$9)+NL("Sum","5802 Value Entry","17 Sales Amount (Actual)","41 Source Type",$C$5,"5 Source no.",$C1970,"4 Item Ledger Entry Type",$C$4,"2 Item No.","@@"&amp;$F1970,"3 Posting Date",J$9)</t>
  </si>
  <si>
    <t>=-NL("Sum","5802 Value Entry","151 Cost Amount (Expected)","41 Source Type",$C$5,"5 Source No.",$C1970,"4 Item Ledger Entry Type",$C$4,"2 Item No.","@@"&amp;$F1970,"3 Posting Date",J$9)-NL("Sum","5802 Value Entry","43 Cost Amount (Actual)","41 Source Type",$C$5,"5 Source no.",$C1970,"4 Item Ledger Entry Type",$C$4,"2 Item No.","@@"&amp;$F1970,"3 Posting Date",J$9)</t>
  </si>
  <si>
    <t>=J1970-L1970</t>
  </si>
  <si>
    <t>=IF(J1970&lt;&gt;0,M1970/J1970,"")</t>
  </si>
  <si>
    <t>=NL("Sum","5802 Value Entry","150 Sales Amount (Expected)","41 Source Type",$C$5,"5 Source No.",$C1970,"4 Item Ledger Entry Type",$C$4,"2 Item No.","@@"&amp;$F1970,"3 Posting Date",O$9)+NL("Sum","5802 Value Entry","17 Sales Amount (Actual)","41 Source Type",$C$5,"5 Source no.",$C1970,"4 Item Ledger Entry Type",$C$4,"2 Item No.","@@"&amp;$F1970,"3 Posting Date",O$9)</t>
  </si>
  <si>
    <t>=-NL("Sum","5802 Value Entry","151 Cost Amount (Expected)","41 Source Type",$C$5,"5 Source No.",$C1970,"4 Item Ledger Entry Type",$C$4,"2 Item No.","@@"&amp;$F1970,"3 Posting Date",O$9)-NL("Sum","5802 Value Entry","43 Cost Amount (Actual)","41 Source Type",$C$5,"5 Source no.",$C1970,"4 Item Ledger Entry Type",$C$4,"2 Item No.","@@"&amp;$F1970,"3 Posting Date",O$9)</t>
  </si>
  <si>
    <t>=O1970-Q1970</t>
  </si>
  <si>
    <t>=IF(O1970&lt;&gt;0,R1970/O1970,"")</t>
  </si>
  <si>
    <t>=NL("Sum","5802 Value Entry","150 Sales Amount (Expected)","41 Source Type",$C$5,"5 Source No.",$C1970,"4 Item Ledger Entry Type",$C$4,"2 Item No.","@@"&amp;$F1970,"3 Posting Date",U$9)+NL("Sum","5802 Value Entry","17 Sales Amount (Actual)","41 Source Type",$C$5,"5 Source no.",$C1970,"4 Item Ledger Entry Type",$C$4,"2 Item No.","@@"&amp;$F1970,"3 Posting Date",U$9)</t>
  </si>
  <si>
    <t>=-NL("Sum","5802 Value Entry","151 Cost Amount (Expected)","41 Source Type",$C$5,"5 Source No.",$C1970,"4 Item Ledger Entry Type",$C$4,"2 Item No.","@@"&amp;$F1970,"3 Posting Date",U$9)-NL("Sum","5802 Value Entry","43 Cost Amount (Actual)","41 Source Type",$C$5,"5 Source no.",$C1970,"4 Item Ledger Entry Type",$C$4,"2 Item No.","@@"&amp;$F1970,"3 Posting Date",U$9)</t>
  </si>
  <si>
    <t>=U1970-W1970</t>
  </si>
  <si>
    <t>=IF(U1970&lt;&gt;0,X1970/U1970,"")</t>
  </si>
  <si>
    <t>=NL("Sum","5802 Value Entry","150 Sales Amount (Expected)","41 Source Type",$C$5,"5 Source No.",$C1970,"4 Item Ledger Entry Type",$C$4,"2 Item No.","@@"&amp;$F1970,"3 Posting Date",Z$9)+NL("Sum","5802 Value Entry","17 Sales Amount (Actual)","41 Source Type",$C$5,"5 Source no.",$C1970,"4 Item Ledger Entry Type",$C$4,"2 Item No.","@@"&amp;$F1970,"3 Posting Date",Z$9)</t>
  </si>
  <si>
    <t>=-NL("Sum","5802 Value Entry","151 Cost Amount (Expected)","41 Source Type",$C$5,"5 Source No.",$C1970,"4 Item Ledger Entry Type",$C$4,"2 Item No.","@@"&amp;$F1970,"3 Posting Date",Z$9)-NL("Sum","5802 Value Entry","43 Cost Amount (Actual)","41 Source Type",$C$5,"5 Source no.",$C1970,"4 Item Ledger Entry Type",$C$4,"2 Item No.","@@"&amp;$F1970,"3 Posting Date",Z$9)</t>
  </si>
  <si>
    <t>=Z1970-AB1970</t>
  </si>
  <si>
    <t>=IF(Z1970&lt;&gt;0,AC1970/Z1970,"")</t>
  </si>
  <si>
    <t>=C1970</t>
  </si>
  <si>
    <t>=NL("Sum","5802 Value Entry","150 Sales Amount (Expected)","41 Source Type",$C$5,"5 Source No.",$C1971,"4 Item Ledger Entry Type",$C$4,"2 Item No.","@@"&amp;$F1971,"3 Posting Date",J$9)+NL("Sum","5802 Value Entry","17 Sales Amount (Actual)","41 Source Type",$C$5,"5 Source no.",$C1971,"4 Item Ledger Entry Type",$C$4,"2 Item No.","@@"&amp;$F1971,"3 Posting Date",J$9)</t>
  </si>
  <si>
    <t>=-NL("Sum","5802 Value Entry","151 Cost Amount (Expected)","41 Source Type",$C$5,"5 Source No.",$C1971,"4 Item Ledger Entry Type",$C$4,"2 Item No.","@@"&amp;$F1971,"3 Posting Date",J$9)-NL("Sum","5802 Value Entry","43 Cost Amount (Actual)","41 Source Type",$C$5,"5 Source no.",$C1971,"4 Item Ledger Entry Type",$C$4,"2 Item No.","@@"&amp;$F1971,"3 Posting Date",J$9)</t>
  </si>
  <si>
    <t>=J1971-L1971</t>
  </si>
  <si>
    <t>=IF(J1971&lt;&gt;0,M1971/J1971,"")</t>
  </si>
  <si>
    <t>=NL("Sum","5802 Value Entry","150 Sales Amount (Expected)","41 Source Type",$C$5,"5 Source No.",$C1971,"4 Item Ledger Entry Type",$C$4,"2 Item No.","@@"&amp;$F1971,"3 Posting Date",O$9)+NL("Sum","5802 Value Entry","17 Sales Amount (Actual)","41 Source Type",$C$5,"5 Source no.",$C1971,"4 Item Ledger Entry Type",$C$4,"2 Item No.","@@"&amp;$F1971,"3 Posting Date",O$9)</t>
  </si>
  <si>
    <t>=-NL("Sum","5802 Value Entry","151 Cost Amount (Expected)","41 Source Type",$C$5,"5 Source No.",$C1971,"4 Item Ledger Entry Type",$C$4,"2 Item No.","@@"&amp;$F1971,"3 Posting Date",O$9)-NL("Sum","5802 Value Entry","43 Cost Amount (Actual)","41 Source Type",$C$5,"5 Source no.",$C1971,"4 Item Ledger Entry Type",$C$4,"2 Item No.","@@"&amp;$F1971,"3 Posting Date",O$9)</t>
  </si>
  <si>
    <t>=O1971-Q1971</t>
  </si>
  <si>
    <t>=IF(O1971&lt;&gt;0,R1971/O1971,"")</t>
  </si>
  <si>
    <t>=NL("Sum","5802 Value Entry","150 Sales Amount (Expected)","41 Source Type",$C$5,"5 Source No.",$C1971,"4 Item Ledger Entry Type",$C$4,"2 Item No.","@@"&amp;$F1971,"3 Posting Date",U$9)+NL("Sum","5802 Value Entry","17 Sales Amount (Actual)","41 Source Type",$C$5,"5 Source no.",$C1971,"4 Item Ledger Entry Type",$C$4,"2 Item No.","@@"&amp;$F1971,"3 Posting Date",U$9)</t>
  </si>
  <si>
    <t>=-NL("Sum","5802 Value Entry","151 Cost Amount (Expected)","41 Source Type",$C$5,"5 Source No.",$C1971,"4 Item Ledger Entry Type",$C$4,"2 Item No.","@@"&amp;$F1971,"3 Posting Date",U$9)-NL("Sum","5802 Value Entry","43 Cost Amount (Actual)","41 Source Type",$C$5,"5 Source no.",$C1971,"4 Item Ledger Entry Type",$C$4,"2 Item No.","@@"&amp;$F1971,"3 Posting Date",U$9)</t>
  </si>
  <si>
    <t>=U1971-W1971</t>
  </si>
  <si>
    <t>=IF(U1971&lt;&gt;0,X1971/U1971,"")</t>
  </si>
  <si>
    <t>=NL("Sum","5802 Value Entry","150 Sales Amount (Expected)","41 Source Type",$C$5,"5 Source No.",$C1971,"4 Item Ledger Entry Type",$C$4,"2 Item No.","@@"&amp;$F1971,"3 Posting Date",Z$9)+NL("Sum","5802 Value Entry","17 Sales Amount (Actual)","41 Source Type",$C$5,"5 Source no.",$C1971,"4 Item Ledger Entry Type",$C$4,"2 Item No.","@@"&amp;$F1971,"3 Posting Date",Z$9)</t>
  </si>
  <si>
    <t>=-NL("Sum","5802 Value Entry","151 Cost Amount (Expected)","41 Source Type",$C$5,"5 Source No.",$C1971,"4 Item Ledger Entry Type",$C$4,"2 Item No.","@@"&amp;$F1971,"3 Posting Date",Z$9)-NL("Sum","5802 Value Entry","43 Cost Amount (Actual)","41 Source Type",$C$5,"5 Source no.",$C1971,"4 Item Ledger Entry Type",$C$4,"2 Item No.","@@"&amp;$F1971,"3 Posting Date",Z$9)</t>
  </si>
  <si>
    <t>=Z1971-AB1971</t>
  </si>
  <si>
    <t>=IF(Z1971&lt;&gt;0,AC1971/Z1971,"")</t>
  </si>
  <si>
    <t>=C1971</t>
  </si>
  <si>
    <t>=NL("Sum","5802 Value Entry","150 Sales Amount (Expected)","41 Source Type",$C$5,"5 Source No.",$C1972,"4 Item Ledger Entry Type",$C$4,"2 Item No.","@@"&amp;$F1972,"3 Posting Date",J$9)+NL("Sum","5802 Value Entry","17 Sales Amount (Actual)","41 Source Type",$C$5,"5 Source no.",$C1972,"4 Item Ledger Entry Type",$C$4,"2 Item No.","@@"&amp;$F1972,"3 Posting Date",J$9)</t>
  </si>
  <si>
    <t>=-NL("Sum","5802 Value Entry","151 Cost Amount (Expected)","41 Source Type",$C$5,"5 Source No.",$C1972,"4 Item Ledger Entry Type",$C$4,"2 Item No.","@@"&amp;$F1972,"3 Posting Date",J$9)-NL("Sum","5802 Value Entry","43 Cost Amount (Actual)","41 Source Type",$C$5,"5 Source no.",$C1972,"4 Item Ledger Entry Type",$C$4,"2 Item No.","@@"&amp;$F1972,"3 Posting Date",J$9)</t>
  </si>
  <si>
    <t>=J1972-L1972</t>
  </si>
  <si>
    <t>=IF(J1972&lt;&gt;0,M1972/J1972,"")</t>
  </si>
  <si>
    <t>=NL("Sum","5802 Value Entry","150 Sales Amount (Expected)","41 Source Type",$C$5,"5 Source No.",$C1972,"4 Item Ledger Entry Type",$C$4,"2 Item No.","@@"&amp;$F1972,"3 Posting Date",O$9)+NL("Sum","5802 Value Entry","17 Sales Amount (Actual)","41 Source Type",$C$5,"5 Source no.",$C1972,"4 Item Ledger Entry Type",$C$4,"2 Item No.","@@"&amp;$F1972,"3 Posting Date",O$9)</t>
  </si>
  <si>
    <t>=-NL("Sum","5802 Value Entry","151 Cost Amount (Expected)","41 Source Type",$C$5,"5 Source No.",$C1972,"4 Item Ledger Entry Type",$C$4,"2 Item No.","@@"&amp;$F1972,"3 Posting Date",O$9)-NL("Sum","5802 Value Entry","43 Cost Amount (Actual)","41 Source Type",$C$5,"5 Source no.",$C1972,"4 Item Ledger Entry Type",$C$4,"2 Item No.","@@"&amp;$F1972,"3 Posting Date",O$9)</t>
  </si>
  <si>
    <t>=O1972-Q1972</t>
  </si>
  <si>
    <t>=IF(O1972&lt;&gt;0,R1972/O1972,"")</t>
  </si>
  <si>
    <t>=NL("Sum","5802 Value Entry","150 Sales Amount (Expected)","41 Source Type",$C$5,"5 Source No.",$C1972,"4 Item Ledger Entry Type",$C$4,"2 Item No.","@@"&amp;$F1972,"3 Posting Date",U$9)+NL("Sum","5802 Value Entry","17 Sales Amount (Actual)","41 Source Type",$C$5,"5 Source no.",$C1972,"4 Item Ledger Entry Type",$C$4,"2 Item No.","@@"&amp;$F1972,"3 Posting Date",U$9)</t>
  </si>
  <si>
    <t>=-NL("Sum","5802 Value Entry","151 Cost Amount (Expected)","41 Source Type",$C$5,"5 Source No.",$C1972,"4 Item Ledger Entry Type",$C$4,"2 Item No.","@@"&amp;$F1972,"3 Posting Date",U$9)-NL("Sum","5802 Value Entry","43 Cost Amount (Actual)","41 Source Type",$C$5,"5 Source no.",$C1972,"4 Item Ledger Entry Type",$C$4,"2 Item No.","@@"&amp;$F1972,"3 Posting Date",U$9)</t>
  </si>
  <si>
    <t>=U1972-W1972</t>
  </si>
  <si>
    <t>=IF(U1972&lt;&gt;0,X1972/U1972,"")</t>
  </si>
  <si>
    <t>=NL("Sum","5802 Value Entry","150 Sales Amount (Expected)","41 Source Type",$C$5,"5 Source No.",$C1972,"4 Item Ledger Entry Type",$C$4,"2 Item No.","@@"&amp;$F1972,"3 Posting Date",Z$9)+NL("Sum","5802 Value Entry","17 Sales Amount (Actual)","41 Source Type",$C$5,"5 Source no.",$C1972,"4 Item Ledger Entry Type",$C$4,"2 Item No.","@@"&amp;$F1972,"3 Posting Date",Z$9)</t>
  </si>
  <si>
    <t>=-NL("Sum","5802 Value Entry","151 Cost Amount (Expected)","41 Source Type",$C$5,"5 Source No.",$C1972,"4 Item Ledger Entry Type",$C$4,"2 Item No.","@@"&amp;$F1972,"3 Posting Date",Z$9)-NL("Sum","5802 Value Entry","43 Cost Amount (Actual)","41 Source Type",$C$5,"5 Source no.",$C1972,"4 Item Ledger Entry Type",$C$4,"2 Item No.","@@"&amp;$F1972,"3 Posting Date",Z$9)</t>
  </si>
  <si>
    <t>=Z1972-AB1972</t>
  </si>
  <si>
    <t>=IF(Z1972&lt;&gt;0,AC1972/Z1972,"")</t>
  </si>
  <si>
    <t>=C1972</t>
  </si>
  <si>
    <t>=NL("Sum","5802 Value Entry","150 Sales Amount (Expected)","41 Source Type",$C$5,"5 Source No.",$C1973,"4 Item Ledger Entry Type",$C$4,"2 Item No.","@@"&amp;$F1973,"3 Posting Date",J$9)+NL("Sum","5802 Value Entry","17 Sales Amount (Actual)","41 Source Type",$C$5,"5 Source no.",$C1973,"4 Item Ledger Entry Type",$C$4,"2 Item No.","@@"&amp;$F1973,"3 Posting Date",J$9)</t>
  </si>
  <si>
    <t>=-NL("Sum","5802 Value Entry","151 Cost Amount (Expected)","41 Source Type",$C$5,"5 Source No.",$C1973,"4 Item Ledger Entry Type",$C$4,"2 Item No.","@@"&amp;$F1973,"3 Posting Date",J$9)-NL("Sum","5802 Value Entry","43 Cost Amount (Actual)","41 Source Type",$C$5,"5 Source no.",$C1973,"4 Item Ledger Entry Type",$C$4,"2 Item No.","@@"&amp;$F1973,"3 Posting Date",J$9)</t>
  </si>
  <si>
    <t>=J1973-L1973</t>
  </si>
  <si>
    <t>=IF(J1973&lt;&gt;0,M1973/J1973,"")</t>
  </si>
  <si>
    <t>=NL("Sum","5802 Value Entry","150 Sales Amount (Expected)","41 Source Type",$C$5,"5 Source No.",$C1973,"4 Item Ledger Entry Type",$C$4,"2 Item No.","@@"&amp;$F1973,"3 Posting Date",O$9)+NL("Sum","5802 Value Entry","17 Sales Amount (Actual)","41 Source Type",$C$5,"5 Source no.",$C1973,"4 Item Ledger Entry Type",$C$4,"2 Item No.","@@"&amp;$F1973,"3 Posting Date",O$9)</t>
  </si>
  <si>
    <t>=-NL("Sum","5802 Value Entry","151 Cost Amount (Expected)","41 Source Type",$C$5,"5 Source No.",$C1973,"4 Item Ledger Entry Type",$C$4,"2 Item No.","@@"&amp;$F1973,"3 Posting Date",O$9)-NL("Sum","5802 Value Entry","43 Cost Amount (Actual)","41 Source Type",$C$5,"5 Source no.",$C1973,"4 Item Ledger Entry Type",$C$4,"2 Item No.","@@"&amp;$F1973,"3 Posting Date",O$9)</t>
  </si>
  <si>
    <t>=O1973-Q1973</t>
  </si>
  <si>
    <t>=IF(O1973&lt;&gt;0,R1973/O1973,"")</t>
  </si>
  <si>
    <t>=NL("Sum","5802 Value Entry","150 Sales Amount (Expected)","41 Source Type",$C$5,"5 Source No.",$C1973,"4 Item Ledger Entry Type",$C$4,"2 Item No.","@@"&amp;$F1973,"3 Posting Date",U$9)+NL("Sum","5802 Value Entry","17 Sales Amount (Actual)","41 Source Type",$C$5,"5 Source no.",$C1973,"4 Item Ledger Entry Type",$C$4,"2 Item No.","@@"&amp;$F1973,"3 Posting Date",U$9)</t>
  </si>
  <si>
    <t>=-NL("Sum","5802 Value Entry","151 Cost Amount (Expected)","41 Source Type",$C$5,"5 Source No.",$C1973,"4 Item Ledger Entry Type",$C$4,"2 Item No.","@@"&amp;$F1973,"3 Posting Date",U$9)-NL("Sum","5802 Value Entry","43 Cost Amount (Actual)","41 Source Type",$C$5,"5 Source no.",$C1973,"4 Item Ledger Entry Type",$C$4,"2 Item No.","@@"&amp;$F1973,"3 Posting Date",U$9)</t>
  </si>
  <si>
    <t>=U1973-W1973</t>
  </si>
  <si>
    <t>=IF(U1973&lt;&gt;0,X1973/U1973,"")</t>
  </si>
  <si>
    <t>=NL("Sum","5802 Value Entry","150 Sales Amount (Expected)","41 Source Type",$C$5,"5 Source No.",$C1973,"4 Item Ledger Entry Type",$C$4,"2 Item No.","@@"&amp;$F1973,"3 Posting Date",Z$9)+NL("Sum","5802 Value Entry","17 Sales Amount (Actual)","41 Source Type",$C$5,"5 Source no.",$C1973,"4 Item Ledger Entry Type",$C$4,"2 Item No.","@@"&amp;$F1973,"3 Posting Date",Z$9)</t>
  </si>
  <si>
    <t>=-NL("Sum","5802 Value Entry","151 Cost Amount (Expected)","41 Source Type",$C$5,"5 Source No.",$C1973,"4 Item Ledger Entry Type",$C$4,"2 Item No.","@@"&amp;$F1973,"3 Posting Date",Z$9)-NL("Sum","5802 Value Entry","43 Cost Amount (Actual)","41 Source Type",$C$5,"5 Source no.",$C1973,"4 Item Ledger Entry Type",$C$4,"2 Item No.","@@"&amp;$F1973,"3 Posting Date",Z$9)</t>
  </si>
  <si>
    <t>=Z1973-AB1973</t>
  </si>
  <si>
    <t>=IF(Z1973&lt;&gt;0,AC1973/Z1973,"")</t>
  </si>
  <si>
    <t>=C1973</t>
  </si>
  <si>
    <t>=NL("Sum","5802 Value Entry","150 Sales Amount (Expected)","41 Source Type",$C$5,"5 Source No.",$C1974,"4 Item Ledger Entry Type",$C$4,"2 Item No.","@@"&amp;$F1974,"3 Posting Date",J$9)+NL("Sum","5802 Value Entry","17 Sales Amount (Actual)","41 Source Type",$C$5,"5 Source no.",$C1974,"4 Item Ledger Entry Type",$C$4,"2 Item No.","@@"&amp;$F1974,"3 Posting Date",J$9)</t>
  </si>
  <si>
    <t>=-NL("Sum","5802 Value Entry","151 Cost Amount (Expected)","41 Source Type",$C$5,"5 Source No.",$C1974,"4 Item Ledger Entry Type",$C$4,"2 Item No.","@@"&amp;$F1974,"3 Posting Date",J$9)-NL("Sum","5802 Value Entry","43 Cost Amount (Actual)","41 Source Type",$C$5,"5 Source no.",$C1974,"4 Item Ledger Entry Type",$C$4,"2 Item No.","@@"&amp;$F1974,"3 Posting Date",J$9)</t>
  </si>
  <si>
    <t>=J1974-L1974</t>
  </si>
  <si>
    <t>=IF(J1974&lt;&gt;0,M1974/J1974,"")</t>
  </si>
  <si>
    <t>=NL("Sum","5802 Value Entry","150 Sales Amount (Expected)","41 Source Type",$C$5,"5 Source No.",$C1974,"4 Item Ledger Entry Type",$C$4,"2 Item No.","@@"&amp;$F1974,"3 Posting Date",O$9)+NL("Sum","5802 Value Entry","17 Sales Amount (Actual)","41 Source Type",$C$5,"5 Source no.",$C1974,"4 Item Ledger Entry Type",$C$4,"2 Item No.","@@"&amp;$F1974,"3 Posting Date",O$9)</t>
  </si>
  <si>
    <t>=-NL("Sum","5802 Value Entry","151 Cost Amount (Expected)","41 Source Type",$C$5,"5 Source No.",$C1974,"4 Item Ledger Entry Type",$C$4,"2 Item No.","@@"&amp;$F1974,"3 Posting Date",O$9)-NL("Sum","5802 Value Entry","43 Cost Amount (Actual)","41 Source Type",$C$5,"5 Source no.",$C1974,"4 Item Ledger Entry Type",$C$4,"2 Item No.","@@"&amp;$F1974,"3 Posting Date",O$9)</t>
  </si>
  <si>
    <t>=O1974-Q1974</t>
  </si>
  <si>
    <t>=IF(O1974&lt;&gt;0,R1974/O1974,"")</t>
  </si>
  <si>
    <t>=NL("Sum","5802 Value Entry","150 Sales Amount (Expected)","41 Source Type",$C$5,"5 Source No.",$C1974,"4 Item Ledger Entry Type",$C$4,"2 Item No.","@@"&amp;$F1974,"3 Posting Date",U$9)+NL("Sum","5802 Value Entry","17 Sales Amount (Actual)","41 Source Type",$C$5,"5 Source no.",$C1974,"4 Item Ledger Entry Type",$C$4,"2 Item No.","@@"&amp;$F1974,"3 Posting Date",U$9)</t>
  </si>
  <si>
    <t>=-NL("Sum","5802 Value Entry","151 Cost Amount (Expected)","41 Source Type",$C$5,"5 Source No.",$C1974,"4 Item Ledger Entry Type",$C$4,"2 Item No.","@@"&amp;$F1974,"3 Posting Date",U$9)-NL("Sum","5802 Value Entry","43 Cost Amount (Actual)","41 Source Type",$C$5,"5 Source no.",$C1974,"4 Item Ledger Entry Type",$C$4,"2 Item No.","@@"&amp;$F1974,"3 Posting Date",U$9)</t>
  </si>
  <si>
    <t>=U1974-W1974</t>
  </si>
  <si>
    <t>=IF(U1974&lt;&gt;0,X1974/U1974,"")</t>
  </si>
  <si>
    <t>=NL("Sum","5802 Value Entry","150 Sales Amount (Expected)","41 Source Type",$C$5,"5 Source No.",$C1974,"4 Item Ledger Entry Type",$C$4,"2 Item No.","@@"&amp;$F1974,"3 Posting Date",Z$9)+NL("Sum","5802 Value Entry","17 Sales Amount (Actual)","41 Source Type",$C$5,"5 Source no.",$C1974,"4 Item Ledger Entry Type",$C$4,"2 Item No.","@@"&amp;$F1974,"3 Posting Date",Z$9)</t>
  </si>
  <si>
    <t>=-NL("Sum","5802 Value Entry","151 Cost Amount (Expected)","41 Source Type",$C$5,"5 Source No.",$C1974,"4 Item Ledger Entry Type",$C$4,"2 Item No.","@@"&amp;$F1974,"3 Posting Date",Z$9)-NL("Sum","5802 Value Entry","43 Cost Amount (Actual)","41 Source Type",$C$5,"5 Source no.",$C1974,"4 Item Ledger Entry Type",$C$4,"2 Item No.","@@"&amp;$F1974,"3 Posting Date",Z$9)</t>
  </si>
  <si>
    <t>=Z1974-AB1974</t>
  </si>
  <si>
    <t>=IF(Z1974&lt;&gt;0,AC1974/Z1974,"")</t>
  </si>
  <si>
    <t>=C1974</t>
  </si>
  <si>
    <t>=NL("Sum","5802 Value Entry","150 Sales Amount (Expected)","41 Source Type",$C$5,"5 Source No.",$C1975,"4 Item Ledger Entry Type",$C$4,"2 Item No.","@@"&amp;$F1975,"3 Posting Date",J$9)+NL("Sum","5802 Value Entry","17 Sales Amount (Actual)","41 Source Type",$C$5,"5 Source no.",$C1975,"4 Item Ledger Entry Type",$C$4,"2 Item No.","@@"&amp;$F1975,"3 Posting Date",J$9)</t>
  </si>
  <si>
    <t>=-NL("Sum","5802 Value Entry","151 Cost Amount (Expected)","41 Source Type",$C$5,"5 Source No.",$C1975,"4 Item Ledger Entry Type",$C$4,"2 Item No.","@@"&amp;$F1975,"3 Posting Date",J$9)-NL("Sum","5802 Value Entry","43 Cost Amount (Actual)","41 Source Type",$C$5,"5 Source no.",$C1975,"4 Item Ledger Entry Type",$C$4,"2 Item No.","@@"&amp;$F1975,"3 Posting Date",J$9)</t>
  </si>
  <si>
    <t>=J1975-L1975</t>
  </si>
  <si>
    <t>=IF(J1975&lt;&gt;0,M1975/J1975,"")</t>
  </si>
  <si>
    <t>=NL("Sum","5802 Value Entry","150 Sales Amount (Expected)","41 Source Type",$C$5,"5 Source No.",$C1975,"4 Item Ledger Entry Type",$C$4,"2 Item No.","@@"&amp;$F1975,"3 Posting Date",O$9)+NL("Sum","5802 Value Entry","17 Sales Amount (Actual)","41 Source Type",$C$5,"5 Source no.",$C1975,"4 Item Ledger Entry Type",$C$4,"2 Item No.","@@"&amp;$F1975,"3 Posting Date",O$9)</t>
  </si>
  <si>
    <t>=-NL("Sum","5802 Value Entry","151 Cost Amount (Expected)","41 Source Type",$C$5,"5 Source No.",$C1975,"4 Item Ledger Entry Type",$C$4,"2 Item No.","@@"&amp;$F1975,"3 Posting Date",O$9)-NL("Sum","5802 Value Entry","43 Cost Amount (Actual)","41 Source Type",$C$5,"5 Source no.",$C1975,"4 Item Ledger Entry Type",$C$4,"2 Item No.","@@"&amp;$F1975,"3 Posting Date",O$9)</t>
  </si>
  <si>
    <t>=O1975-Q1975</t>
  </si>
  <si>
    <t>=IF(O1975&lt;&gt;0,R1975/O1975,"")</t>
  </si>
  <si>
    <t>=NL("Sum","5802 Value Entry","150 Sales Amount (Expected)","41 Source Type",$C$5,"5 Source No.",$C1975,"4 Item Ledger Entry Type",$C$4,"2 Item No.","@@"&amp;$F1975,"3 Posting Date",U$9)+NL("Sum","5802 Value Entry","17 Sales Amount (Actual)","41 Source Type",$C$5,"5 Source no.",$C1975,"4 Item Ledger Entry Type",$C$4,"2 Item No.","@@"&amp;$F1975,"3 Posting Date",U$9)</t>
  </si>
  <si>
    <t>=-NL("Sum","5802 Value Entry","151 Cost Amount (Expected)","41 Source Type",$C$5,"5 Source No.",$C1975,"4 Item Ledger Entry Type",$C$4,"2 Item No.","@@"&amp;$F1975,"3 Posting Date",U$9)-NL("Sum","5802 Value Entry","43 Cost Amount (Actual)","41 Source Type",$C$5,"5 Source no.",$C1975,"4 Item Ledger Entry Type",$C$4,"2 Item No.","@@"&amp;$F1975,"3 Posting Date",U$9)</t>
  </si>
  <si>
    <t>=U1975-W1975</t>
  </si>
  <si>
    <t>=IF(U1975&lt;&gt;0,X1975/U1975,"")</t>
  </si>
  <si>
    <t>=NL("Sum","5802 Value Entry","150 Sales Amount (Expected)","41 Source Type",$C$5,"5 Source No.",$C1975,"4 Item Ledger Entry Type",$C$4,"2 Item No.","@@"&amp;$F1975,"3 Posting Date",Z$9)+NL("Sum","5802 Value Entry","17 Sales Amount (Actual)","41 Source Type",$C$5,"5 Source no.",$C1975,"4 Item Ledger Entry Type",$C$4,"2 Item No.","@@"&amp;$F1975,"3 Posting Date",Z$9)</t>
  </si>
  <si>
    <t>=-NL("Sum","5802 Value Entry","151 Cost Amount (Expected)","41 Source Type",$C$5,"5 Source No.",$C1975,"4 Item Ledger Entry Type",$C$4,"2 Item No.","@@"&amp;$F1975,"3 Posting Date",Z$9)-NL("Sum","5802 Value Entry","43 Cost Amount (Actual)","41 Source Type",$C$5,"5 Source no.",$C1975,"4 Item Ledger Entry Type",$C$4,"2 Item No.","@@"&amp;$F1975,"3 Posting Date",Z$9)</t>
  </si>
  <si>
    <t>=Z1975-AB1975</t>
  </si>
  <si>
    <t>=IF(Z1975&lt;&gt;0,AC1975/Z1975,"")</t>
  </si>
  <si>
    <t>=C1975</t>
  </si>
  <si>
    <t>=NL("Sum","5802 Value Entry","150 Sales Amount (Expected)","41 Source Type",$C$5,"5 Source No.",$C1976,"4 Item Ledger Entry Type",$C$4,"2 Item No.","@@"&amp;$F1976,"3 Posting Date",J$9)+NL("Sum","5802 Value Entry","17 Sales Amount (Actual)","41 Source Type",$C$5,"5 Source no.",$C1976,"4 Item Ledger Entry Type",$C$4,"2 Item No.","@@"&amp;$F1976,"3 Posting Date",J$9)</t>
  </si>
  <si>
    <t>=-NL("Sum","5802 Value Entry","151 Cost Amount (Expected)","41 Source Type",$C$5,"5 Source No.",$C1976,"4 Item Ledger Entry Type",$C$4,"2 Item No.","@@"&amp;$F1976,"3 Posting Date",J$9)-NL("Sum","5802 Value Entry","43 Cost Amount (Actual)","41 Source Type",$C$5,"5 Source no.",$C1976,"4 Item Ledger Entry Type",$C$4,"2 Item No.","@@"&amp;$F1976,"3 Posting Date",J$9)</t>
  </si>
  <si>
    <t>=J1976-L1976</t>
  </si>
  <si>
    <t>=IF(J1976&lt;&gt;0,M1976/J1976,"")</t>
  </si>
  <si>
    <t>=NL("Sum","5802 Value Entry","150 Sales Amount (Expected)","41 Source Type",$C$5,"5 Source No.",$C1976,"4 Item Ledger Entry Type",$C$4,"2 Item No.","@@"&amp;$F1976,"3 Posting Date",O$9)+NL("Sum","5802 Value Entry","17 Sales Amount (Actual)","41 Source Type",$C$5,"5 Source no.",$C1976,"4 Item Ledger Entry Type",$C$4,"2 Item No.","@@"&amp;$F1976,"3 Posting Date",O$9)</t>
  </si>
  <si>
    <t>=-NL("Sum","5802 Value Entry","151 Cost Amount (Expected)","41 Source Type",$C$5,"5 Source No.",$C1976,"4 Item Ledger Entry Type",$C$4,"2 Item No.","@@"&amp;$F1976,"3 Posting Date",O$9)-NL("Sum","5802 Value Entry","43 Cost Amount (Actual)","41 Source Type",$C$5,"5 Source no.",$C1976,"4 Item Ledger Entry Type",$C$4,"2 Item No.","@@"&amp;$F1976,"3 Posting Date",O$9)</t>
  </si>
  <si>
    <t>=O1976-Q1976</t>
  </si>
  <si>
    <t>=IF(O1976&lt;&gt;0,R1976/O1976,"")</t>
  </si>
  <si>
    <t>=NL("Sum","5802 Value Entry","150 Sales Amount (Expected)","41 Source Type",$C$5,"5 Source No.",$C1976,"4 Item Ledger Entry Type",$C$4,"2 Item No.","@@"&amp;$F1976,"3 Posting Date",U$9)+NL("Sum","5802 Value Entry","17 Sales Amount (Actual)","41 Source Type",$C$5,"5 Source no.",$C1976,"4 Item Ledger Entry Type",$C$4,"2 Item No.","@@"&amp;$F1976,"3 Posting Date",U$9)</t>
  </si>
  <si>
    <t>=-NL("Sum","5802 Value Entry","151 Cost Amount (Expected)","41 Source Type",$C$5,"5 Source No.",$C1976,"4 Item Ledger Entry Type",$C$4,"2 Item No.","@@"&amp;$F1976,"3 Posting Date",U$9)-NL("Sum","5802 Value Entry","43 Cost Amount (Actual)","41 Source Type",$C$5,"5 Source no.",$C1976,"4 Item Ledger Entry Type",$C$4,"2 Item No.","@@"&amp;$F1976,"3 Posting Date",U$9)</t>
  </si>
  <si>
    <t>=U1976-W1976</t>
  </si>
  <si>
    <t>=IF(U1976&lt;&gt;0,X1976/U1976,"")</t>
  </si>
  <si>
    <t>=NL("Sum","5802 Value Entry","150 Sales Amount (Expected)","41 Source Type",$C$5,"5 Source No.",$C1976,"4 Item Ledger Entry Type",$C$4,"2 Item No.","@@"&amp;$F1976,"3 Posting Date",Z$9)+NL("Sum","5802 Value Entry","17 Sales Amount (Actual)","41 Source Type",$C$5,"5 Source no.",$C1976,"4 Item Ledger Entry Type",$C$4,"2 Item No.","@@"&amp;$F1976,"3 Posting Date",Z$9)</t>
  </si>
  <si>
    <t>=-NL("Sum","5802 Value Entry","151 Cost Amount (Expected)","41 Source Type",$C$5,"5 Source No.",$C1976,"4 Item Ledger Entry Type",$C$4,"2 Item No.","@@"&amp;$F1976,"3 Posting Date",Z$9)-NL("Sum","5802 Value Entry","43 Cost Amount (Actual)","41 Source Type",$C$5,"5 Source no.",$C1976,"4 Item Ledger Entry Type",$C$4,"2 Item No.","@@"&amp;$F1976,"3 Posting Date",Z$9)</t>
  </si>
  <si>
    <t>=Z1976-AB1976</t>
  </si>
  <si>
    <t>=IF(Z1976&lt;&gt;0,AC1976/Z1976,"")</t>
  </si>
  <si>
    <t>=C1976</t>
  </si>
  <si>
    <t>=NL("Sum","5802 Value Entry","150 Sales Amount (Expected)","41 Source Type",$C$5,"5 Source No.",$C1977,"4 Item Ledger Entry Type",$C$4,"2 Item No.","@@"&amp;$F1977,"3 Posting Date",J$9)+NL("Sum","5802 Value Entry","17 Sales Amount (Actual)","41 Source Type",$C$5,"5 Source no.",$C1977,"4 Item Ledger Entry Type",$C$4,"2 Item No.","@@"&amp;$F1977,"3 Posting Date",J$9)</t>
  </si>
  <si>
    <t>=-NL("Sum","5802 Value Entry","151 Cost Amount (Expected)","41 Source Type",$C$5,"5 Source No.",$C1977,"4 Item Ledger Entry Type",$C$4,"2 Item No.","@@"&amp;$F1977,"3 Posting Date",J$9)-NL("Sum","5802 Value Entry","43 Cost Amount (Actual)","41 Source Type",$C$5,"5 Source no.",$C1977,"4 Item Ledger Entry Type",$C$4,"2 Item No.","@@"&amp;$F1977,"3 Posting Date",J$9)</t>
  </si>
  <si>
    <t>=J1977-L1977</t>
  </si>
  <si>
    <t>=IF(J1977&lt;&gt;0,M1977/J1977,"")</t>
  </si>
  <si>
    <t>=NL("Sum","5802 Value Entry","150 Sales Amount (Expected)","41 Source Type",$C$5,"5 Source No.",$C1977,"4 Item Ledger Entry Type",$C$4,"2 Item No.","@@"&amp;$F1977,"3 Posting Date",O$9)+NL("Sum","5802 Value Entry","17 Sales Amount (Actual)","41 Source Type",$C$5,"5 Source no.",$C1977,"4 Item Ledger Entry Type",$C$4,"2 Item No.","@@"&amp;$F1977,"3 Posting Date",O$9)</t>
  </si>
  <si>
    <t>=-NL("Sum","5802 Value Entry","151 Cost Amount (Expected)","41 Source Type",$C$5,"5 Source No.",$C1977,"4 Item Ledger Entry Type",$C$4,"2 Item No.","@@"&amp;$F1977,"3 Posting Date",O$9)-NL("Sum","5802 Value Entry","43 Cost Amount (Actual)","41 Source Type",$C$5,"5 Source no.",$C1977,"4 Item Ledger Entry Type",$C$4,"2 Item No.","@@"&amp;$F1977,"3 Posting Date",O$9)</t>
  </si>
  <si>
    <t>=O1977-Q1977</t>
  </si>
  <si>
    <t>=IF(O1977&lt;&gt;0,R1977/O1977,"")</t>
  </si>
  <si>
    <t>=NL("Sum","5802 Value Entry","150 Sales Amount (Expected)","41 Source Type",$C$5,"5 Source No.",$C1977,"4 Item Ledger Entry Type",$C$4,"2 Item No.","@@"&amp;$F1977,"3 Posting Date",U$9)+NL("Sum","5802 Value Entry","17 Sales Amount (Actual)","41 Source Type",$C$5,"5 Source no.",$C1977,"4 Item Ledger Entry Type",$C$4,"2 Item No.","@@"&amp;$F1977,"3 Posting Date",U$9)</t>
  </si>
  <si>
    <t>=-NL("Sum","5802 Value Entry","151 Cost Amount (Expected)","41 Source Type",$C$5,"5 Source No.",$C1977,"4 Item Ledger Entry Type",$C$4,"2 Item No.","@@"&amp;$F1977,"3 Posting Date",U$9)-NL("Sum","5802 Value Entry","43 Cost Amount (Actual)","41 Source Type",$C$5,"5 Source no.",$C1977,"4 Item Ledger Entry Type",$C$4,"2 Item No.","@@"&amp;$F1977,"3 Posting Date",U$9)</t>
  </si>
  <si>
    <t>=U1977-W1977</t>
  </si>
  <si>
    <t>=IF(U1977&lt;&gt;0,X1977/U1977,"")</t>
  </si>
  <si>
    <t>=NL("Sum","5802 Value Entry","150 Sales Amount (Expected)","41 Source Type",$C$5,"5 Source No.",$C1977,"4 Item Ledger Entry Type",$C$4,"2 Item No.","@@"&amp;$F1977,"3 Posting Date",Z$9)+NL("Sum","5802 Value Entry","17 Sales Amount (Actual)","41 Source Type",$C$5,"5 Source no.",$C1977,"4 Item Ledger Entry Type",$C$4,"2 Item No.","@@"&amp;$F1977,"3 Posting Date",Z$9)</t>
  </si>
  <si>
    <t>=-NL("Sum","5802 Value Entry","151 Cost Amount (Expected)","41 Source Type",$C$5,"5 Source No.",$C1977,"4 Item Ledger Entry Type",$C$4,"2 Item No.","@@"&amp;$F1977,"3 Posting Date",Z$9)-NL("Sum","5802 Value Entry","43 Cost Amount (Actual)","41 Source Type",$C$5,"5 Source no.",$C1977,"4 Item Ledger Entry Type",$C$4,"2 Item No.","@@"&amp;$F1977,"3 Posting Date",Z$9)</t>
  </si>
  <si>
    <t>=Z1977-AB1977</t>
  </si>
  <si>
    <t>=IF(Z1977&lt;&gt;0,AC1977/Z1977,"")</t>
  </si>
  <si>
    <t>=C1977</t>
  </si>
  <si>
    <t>=NL("Sum","5802 Value Entry","150 Sales Amount (Expected)","41 Source Type",$C$5,"5 Source No.",$C1978,"4 Item Ledger Entry Type",$C$4,"2 Item No.","@@"&amp;$F1978,"3 Posting Date",J$9)+NL("Sum","5802 Value Entry","17 Sales Amount (Actual)","41 Source Type",$C$5,"5 Source no.",$C1978,"4 Item Ledger Entry Type",$C$4,"2 Item No.","@@"&amp;$F1978,"3 Posting Date",J$9)</t>
  </si>
  <si>
    <t>=-NL("Sum","5802 Value Entry","151 Cost Amount (Expected)","41 Source Type",$C$5,"5 Source No.",$C1978,"4 Item Ledger Entry Type",$C$4,"2 Item No.","@@"&amp;$F1978,"3 Posting Date",J$9)-NL("Sum","5802 Value Entry","43 Cost Amount (Actual)","41 Source Type",$C$5,"5 Source no.",$C1978,"4 Item Ledger Entry Type",$C$4,"2 Item No.","@@"&amp;$F1978,"3 Posting Date",J$9)</t>
  </si>
  <si>
    <t>=J1978-L1978</t>
  </si>
  <si>
    <t>=IF(J1978&lt;&gt;0,M1978/J1978,"")</t>
  </si>
  <si>
    <t>=NL("Sum","5802 Value Entry","150 Sales Amount (Expected)","41 Source Type",$C$5,"5 Source No.",$C1978,"4 Item Ledger Entry Type",$C$4,"2 Item No.","@@"&amp;$F1978,"3 Posting Date",O$9)+NL("Sum","5802 Value Entry","17 Sales Amount (Actual)","41 Source Type",$C$5,"5 Source no.",$C1978,"4 Item Ledger Entry Type",$C$4,"2 Item No.","@@"&amp;$F1978,"3 Posting Date",O$9)</t>
  </si>
  <si>
    <t>=-NL("Sum","5802 Value Entry","151 Cost Amount (Expected)","41 Source Type",$C$5,"5 Source No.",$C1978,"4 Item Ledger Entry Type",$C$4,"2 Item No.","@@"&amp;$F1978,"3 Posting Date",O$9)-NL("Sum","5802 Value Entry","43 Cost Amount (Actual)","41 Source Type",$C$5,"5 Source no.",$C1978,"4 Item Ledger Entry Type",$C$4,"2 Item No.","@@"&amp;$F1978,"3 Posting Date",O$9)</t>
  </si>
  <si>
    <t>=O1978-Q1978</t>
  </si>
  <si>
    <t>=IF(O1978&lt;&gt;0,R1978/O1978,"")</t>
  </si>
  <si>
    <t>=NL("Sum","5802 Value Entry","150 Sales Amount (Expected)","41 Source Type",$C$5,"5 Source No.",$C1978,"4 Item Ledger Entry Type",$C$4,"2 Item No.","@@"&amp;$F1978,"3 Posting Date",U$9)+NL("Sum","5802 Value Entry","17 Sales Amount (Actual)","41 Source Type",$C$5,"5 Source no.",$C1978,"4 Item Ledger Entry Type",$C$4,"2 Item No.","@@"&amp;$F1978,"3 Posting Date",U$9)</t>
  </si>
  <si>
    <t>=-NL("Sum","5802 Value Entry","151 Cost Amount (Expected)","41 Source Type",$C$5,"5 Source No.",$C1978,"4 Item Ledger Entry Type",$C$4,"2 Item No.","@@"&amp;$F1978,"3 Posting Date",U$9)-NL("Sum","5802 Value Entry","43 Cost Amount (Actual)","41 Source Type",$C$5,"5 Source no.",$C1978,"4 Item Ledger Entry Type",$C$4,"2 Item No.","@@"&amp;$F1978,"3 Posting Date",U$9)</t>
  </si>
  <si>
    <t>=U1978-W1978</t>
  </si>
  <si>
    <t>=IF(U1978&lt;&gt;0,X1978/U1978,"")</t>
  </si>
  <si>
    <t>=NL("Sum","5802 Value Entry","150 Sales Amount (Expected)","41 Source Type",$C$5,"5 Source No.",$C1978,"4 Item Ledger Entry Type",$C$4,"2 Item No.","@@"&amp;$F1978,"3 Posting Date",Z$9)+NL("Sum","5802 Value Entry","17 Sales Amount (Actual)","41 Source Type",$C$5,"5 Source no.",$C1978,"4 Item Ledger Entry Type",$C$4,"2 Item No.","@@"&amp;$F1978,"3 Posting Date",Z$9)</t>
  </si>
  <si>
    <t>=-NL("Sum","5802 Value Entry","151 Cost Amount (Expected)","41 Source Type",$C$5,"5 Source No.",$C1978,"4 Item Ledger Entry Type",$C$4,"2 Item No.","@@"&amp;$F1978,"3 Posting Date",Z$9)-NL("Sum","5802 Value Entry","43 Cost Amount (Actual)","41 Source Type",$C$5,"5 Source no.",$C1978,"4 Item Ledger Entry Type",$C$4,"2 Item No.","@@"&amp;$F1978,"3 Posting Date",Z$9)</t>
  </si>
  <si>
    <t>=Z1978-AB1978</t>
  </si>
  <si>
    <t>=IF(Z1978&lt;&gt;0,AC1978/Z1978,"")</t>
  </si>
  <si>
    <t>=C1978</t>
  </si>
  <si>
    <t>=NL("Sum","5802 Value Entry","150 Sales Amount (Expected)","41 Source Type",$C$5,"5 Source No.",$C1979,"4 Item Ledger Entry Type",$C$4,"2 Item No.","@@"&amp;$F1979,"3 Posting Date",J$9)+NL("Sum","5802 Value Entry","17 Sales Amount (Actual)","41 Source Type",$C$5,"5 Source no.",$C1979,"4 Item Ledger Entry Type",$C$4,"2 Item No.","@@"&amp;$F1979,"3 Posting Date",J$9)</t>
  </si>
  <si>
    <t>=-NL("Sum","5802 Value Entry","151 Cost Amount (Expected)","41 Source Type",$C$5,"5 Source No.",$C1979,"4 Item Ledger Entry Type",$C$4,"2 Item No.","@@"&amp;$F1979,"3 Posting Date",J$9)-NL("Sum","5802 Value Entry","43 Cost Amount (Actual)","41 Source Type",$C$5,"5 Source no.",$C1979,"4 Item Ledger Entry Type",$C$4,"2 Item No.","@@"&amp;$F1979,"3 Posting Date",J$9)</t>
  </si>
  <si>
    <t>=J1979-L1979</t>
  </si>
  <si>
    <t>=IF(J1979&lt;&gt;0,M1979/J1979,"")</t>
  </si>
  <si>
    <t>=NL("Sum","5802 Value Entry","150 Sales Amount (Expected)","41 Source Type",$C$5,"5 Source No.",$C1979,"4 Item Ledger Entry Type",$C$4,"2 Item No.","@@"&amp;$F1979,"3 Posting Date",O$9)+NL("Sum","5802 Value Entry","17 Sales Amount (Actual)","41 Source Type",$C$5,"5 Source no.",$C1979,"4 Item Ledger Entry Type",$C$4,"2 Item No.","@@"&amp;$F1979,"3 Posting Date",O$9)</t>
  </si>
  <si>
    <t>=-NL("Sum","5802 Value Entry","151 Cost Amount (Expected)","41 Source Type",$C$5,"5 Source No.",$C1979,"4 Item Ledger Entry Type",$C$4,"2 Item No.","@@"&amp;$F1979,"3 Posting Date",O$9)-NL("Sum","5802 Value Entry","43 Cost Amount (Actual)","41 Source Type",$C$5,"5 Source no.",$C1979,"4 Item Ledger Entry Type",$C$4,"2 Item No.","@@"&amp;$F1979,"3 Posting Date",O$9)</t>
  </si>
  <si>
    <t>=O1979-Q1979</t>
  </si>
  <si>
    <t>=IF(O1979&lt;&gt;0,R1979/O1979,"")</t>
  </si>
  <si>
    <t>=NL("Sum","5802 Value Entry","150 Sales Amount (Expected)","41 Source Type",$C$5,"5 Source No.",$C1979,"4 Item Ledger Entry Type",$C$4,"2 Item No.","@@"&amp;$F1979,"3 Posting Date",U$9)+NL("Sum","5802 Value Entry","17 Sales Amount (Actual)","41 Source Type",$C$5,"5 Source no.",$C1979,"4 Item Ledger Entry Type",$C$4,"2 Item No.","@@"&amp;$F1979,"3 Posting Date",U$9)</t>
  </si>
  <si>
    <t>=-NL("Sum","5802 Value Entry","151 Cost Amount (Expected)","41 Source Type",$C$5,"5 Source No.",$C1979,"4 Item Ledger Entry Type",$C$4,"2 Item No.","@@"&amp;$F1979,"3 Posting Date",U$9)-NL("Sum","5802 Value Entry","43 Cost Amount (Actual)","41 Source Type",$C$5,"5 Source no.",$C1979,"4 Item Ledger Entry Type",$C$4,"2 Item No.","@@"&amp;$F1979,"3 Posting Date",U$9)</t>
  </si>
  <si>
    <t>=U1979-W1979</t>
  </si>
  <si>
    <t>=IF(U1979&lt;&gt;0,X1979/U1979,"")</t>
  </si>
  <si>
    <t>=NL("Sum","5802 Value Entry","150 Sales Amount (Expected)","41 Source Type",$C$5,"5 Source No.",$C1979,"4 Item Ledger Entry Type",$C$4,"2 Item No.","@@"&amp;$F1979,"3 Posting Date",Z$9)+NL("Sum","5802 Value Entry","17 Sales Amount (Actual)","41 Source Type",$C$5,"5 Source no.",$C1979,"4 Item Ledger Entry Type",$C$4,"2 Item No.","@@"&amp;$F1979,"3 Posting Date",Z$9)</t>
  </si>
  <si>
    <t>=-NL("Sum","5802 Value Entry","151 Cost Amount (Expected)","41 Source Type",$C$5,"5 Source No.",$C1979,"4 Item Ledger Entry Type",$C$4,"2 Item No.","@@"&amp;$F1979,"3 Posting Date",Z$9)-NL("Sum","5802 Value Entry","43 Cost Amount (Actual)","41 Source Type",$C$5,"5 Source no.",$C1979,"4 Item Ledger Entry Type",$C$4,"2 Item No.","@@"&amp;$F1979,"3 Posting Date",Z$9)</t>
  </si>
  <si>
    <t>=Z1979-AB1979</t>
  </si>
  <si>
    <t>=IF(Z1979&lt;&gt;0,AC1979/Z1979,"")</t>
  </si>
  <si>
    <t>=C1979</t>
  </si>
  <si>
    <t>=NL("Sum","5802 Value Entry","150 Sales Amount (Expected)","41 Source Type",$C$5,"5 Source No.",$C1980,"4 Item Ledger Entry Type",$C$4,"2 Item No.","@@"&amp;$F1980,"3 Posting Date",J$9)+NL("Sum","5802 Value Entry","17 Sales Amount (Actual)","41 Source Type",$C$5,"5 Source no.",$C1980,"4 Item Ledger Entry Type",$C$4,"2 Item No.","@@"&amp;$F1980,"3 Posting Date",J$9)</t>
  </si>
  <si>
    <t>=-NL("Sum","5802 Value Entry","151 Cost Amount (Expected)","41 Source Type",$C$5,"5 Source No.",$C1980,"4 Item Ledger Entry Type",$C$4,"2 Item No.","@@"&amp;$F1980,"3 Posting Date",J$9)-NL("Sum","5802 Value Entry","43 Cost Amount (Actual)","41 Source Type",$C$5,"5 Source no.",$C1980,"4 Item Ledger Entry Type",$C$4,"2 Item No.","@@"&amp;$F1980,"3 Posting Date",J$9)</t>
  </si>
  <si>
    <t>=J1980-L1980</t>
  </si>
  <si>
    <t>=IF(J1980&lt;&gt;0,M1980/J1980,"")</t>
  </si>
  <si>
    <t>=NL("Sum","5802 Value Entry","150 Sales Amount (Expected)","41 Source Type",$C$5,"5 Source No.",$C1980,"4 Item Ledger Entry Type",$C$4,"2 Item No.","@@"&amp;$F1980,"3 Posting Date",O$9)+NL("Sum","5802 Value Entry","17 Sales Amount (Actual)","41 Source Type",$C$5,"5 Source no.",$C1980,"4 Item Ledger Entry Type",$C$4,"2 Item No.","@@"&amp;$F1980,"3 Posting Date",O$9)</t>
  </si>
  <si>
    <t>=-NL("Sum","5802 Value Entry","151 Cost Amount (Expected)","41 Source Type",$C$5,"5 Source No.",$C1980,"4 Item Ledger Entry Type",$C$4,"2 Item No.","@@"&amp;$F1980,"3 Posting Date",O$9)-NL("Sum","5802 Value Entry","43 Cost Amount (Actual)","41 Source Type",$C$5,"5 Source no.",$C1980,"4 Item Ledger Entry Type",$C$4,"2 Item No.","@@"&amp;$F1980,"3 Posting Date",O$9)</t>
  </si>
  <si>
    <t>=O1980-Q1980</t>
  </si>
  <si>
    <t>=IF(O1980&lt;&gt;0,R1980/O1980,"")</t>
  </si>
  <si>
    <t>=NL("Sum","5802 Value Entry","150 Sales Amount (Expected)","41 Source Type",$C$5,"5 Source No.",$C1980,"4 Item Ledger Entry Type",$C$4,"2 Item No.","@@"&amp;$F1980,"3 Posting Date",U$9)+NL("Sum","5802 Value Entry","17 Sales Amount (Actual)","41 Source Type",$C$5,"5 Source no.",$C1980,"4 Item Ledger Entry Type",$C$4,"2 Item No.","@@"&amp;$F1980,"3 Posting Date",U$9)</t>
  </si>
  <si>
    <t>=-NL("Sum","5802 Value Entry","151 Cost Amount (Expected)","41 Source Type",$C$5,"5 Source No.",$C1980,"4 Item Ledger Entry Type",$C$4,"2 Item No.","@@"&amp;$F1980,"3 Posting Date",U$9)-NL("Sum","5802 Value Entry","43 Cost Amount (Actual)","41 Source Type",$C$5,"5 Source no.",$C1980,"4 Item Ledger Entry Type",$C$4,"2 Item No.","@@"&amp;$F1980,"3 Posting Date",U$9)</t>
  </si>
  <si>
    <t>=U1980-W1980</t>
  </si>
  <si>
    <t>=IF(U1980&lt;&gt;0,X1980/U1980,"")</t>
  </si>
  <si>
    <t>=NL("Sum","5802 Value Entry","150 Sales Amount (Expected)","41 Source Type",$C$5,"5 Source No.",$C1980,"4 Item Ledger Entry Type",$C$4,"2 Item No.","@@"&amp;$F1980,"3 Posting Date",Z$9)+NL("Sum","5802 Value Entry","17 Sales Amount (Actual)","41 Source Type",$C$5,"5 Source no.",$C1980,"4 Item Ledger Entry Type",$C$4,"2 Item No.","@@"&amp;$F1980,"3 Posting Date",Z$9)</t>
  </si>
  <si>
    <t>=-NL("Sum","5802 Value Entry","151 Cost Amount (Expected)","41 Source Type",$C$5,"5 Source No.",$C1980,"4 Item Ledger Entry Type",$C$4,"2 Item No.","@@"&amp;$F1980,"3 Posting Date",Z$9)-NL("Sum","5802 Value Entry","43 Cost Amount (Actual)","41 Source Type",$C$5,"5 Source no.",$C1980,"4 Item Ledger Entry Type",$C$4,"2 Item No.","@@"&amp;$F1980,"3 Posting Date",Z$9)</t>
  </si>
  <si>
    <t>=Z1980-AB1980</t>
  </si>
  <si>
    <t>=IF(Z1980&lt;&gt;0,AC1980/Z1980,"")</t>
  </si>
  <si>
    <t>=C1980</t>
  </si>
  <si>
    <t>=NL("Sum","5802 Value Entry","150 Sales Amount (Expected)","41 Source Type",$C$5,"5 Source No.",$C1981,"4 Item Ledger Entry Type",$C$4,"2 Item No.","@@"&amp;$F1981,"3 Posting Date",J$9)+NL("Sum","5802 Value Entry","17 Sales Amount (Actual)","41 Source Type",$C$5,"5 Source no.",$C1981,"4 Item Ledger Entry Type",$C$4,"2 Item No.","@@"&amp;$F1981,"3 Posting Date",J$9)</t>
  </si>
  <si>
    <t>=-NL("Sum","5802 Value Entry","151 Cost Amount (Expected)","41 Source Type",$C$5,"5 Source No.",$C1981,"4 Item Ledger Entry Type",$C$4,"2 Item No.","@@"&amp;$F1981,"3 Posting Date",J$9)-NL("Sum","5802 Value Entry","43 Cost Amount (Actual)","41 Source Type",$C$5,"5 Source no.",$C1981,"4 Item Ledger Entry Type",$C$4,"2 Item No.","@@"&amp;$F1981,"3 Posting Date",J$9)</t>
  </si>
  <si>
    <t>=J1981-L1981</t>
  </si>
  <si>
    <t>=IF(J1981&lt;&gt;0,M1981/J1981,"")</t>
  </si>
  <si>
    <t>=NL("Sum","5802 Value Entry","150 Sales Amount (Expected)","41 Source Type",$C$5,"5 Source No.",$C1981,"4 Item Ledger Entry Type",$C$4,"2 Item No.","@@"&amp;$F1981,"3 Posting Date",O$9)+NL("Sum","5802 Value Entry","17 Sales Amount (Actual)","41 Source Type",$C$5,"5 Source no.",$C1981,"4 Item Ledger Entry Type",$C$4,"2 Item No.","@@"&amp;$F1981,"3 Posting Date",O$9)</t>
  </si>
  <si>
    <t>=-NL("Sum","5802 Value Entry","151 Cost Amount (Expected)","41 Source Type",$C$5,"5 Source No.",$C1981,"4 Item Ledger Entry Type",$C$4,"2 Item No.","@@"&amp;$F1981,"3 Posting Date",O$9)-NL("Sum","5802 Value Entry","43 Cost Amount (Actual)","41 Source Type",$C$5,"5 Source no.",$C1981,"4 Item Ledger Entry Type",$C$4,"2 Item No.","@@"&amp;$F1981,"3 Posting Date",O$9)</t>
  </si>
  <si>
    <t>=O1981-Q1981</t>
  </si>
  <si>
    <t>=IF(O1981&lt;&gt;0,R1981/O1981,"")</t>
  </si>
  <si>
    <t>=NL("Sum","5802 Value Entry","150 Sales Amount (Expected)","41 Source Type",$C$5,"5 Source No.",$C1981,"4 Item Ledger Entry Type",$C$4,"2 Item No.","@@"&amp;$F1981,"3 Posting Date",U$9)+NL("Sum","5802 Value Entry","17 Sales Amount (Actual)","41 Source Type",$C$5,"5 Source no.",$C1981,"4 Item Ledger Entry Type",$C$4,"2 Item No.","@@"&amp;$F1981,"3 Posting Date",U$9)</t>
  </si>
  <si>
    <t>=-NL("Sum","5802 Value Entry","151 Cost Amount (Expected)","41 Source Type",$C$5,"5 Source No.",$C1981,"4 Item Ledger Entry Type",$C$4,"2 Item No.","@@"&amp;$F1981,"3 Posting Date",U$9)-NL("Sum","5802 Value Entry","43 Cost Amount (Actual)","41 Source Type",$C$5,"5 Source no.",$C1981,"4 Item Ledger Entry Type",$C$4,"2 Item No.","@@"&amp;$F1981,"3 Posting Date",U$9)</t>
  </si>
  <si>
    <t>=U1981-W1981</t>
  </si>
  <si>
    <t>=IF(U1981&lt;&gt;0,X1981/U1981,"")</t>
  </si>
  <si>
    <t>=NL("Sum","5802 Value Entry","150 Sales Amount (Expected)","41 Source Type",$C$5,"5 Source No.",$C1981,"4 Item Ledger Entry Type",$C$4,"2 Item No.","@@"&amp;$F1981,"3 Posting Date",Z$9)+NL("Sum","5802 Value Entry","17 Sales Amount (Actual)","41 Source Type",$C$5,"5 Source no.",$C1981,"4 Item Ledger Entry Type",$C$4,"2 Item No.","@@"&amp;$F1981,"3 Posting Date",Z$9)</t>
  </si>
  <si>
    <t>=-NL("Sum","5802 Value Entry","151 Cost Amount (Expected)","41 Source Type",$C$5,"5 Source No.",$C1981,"4 Item Ledger Entry Type",$C$4,"2 Item No.","@@"&amp;$F1981,"3 Posting Date",Z$9)-NL("Sum","5802 Value Entry","43 Cost Amount (Actual)","41 Source Type",$C$5,"5 Source no.",$C1981,"4 Item Ledger Entry Type",$C$4,"2 Item No.","@@"&amp;$F1981,"3 Posting Date",Z$9)</t>
  </si>
  <si>
    <t>=Z1981-AB1981</t>
  </si>
  <si>
    <t>=IF(Z1981&lt;&gt;0,AC1981/Z1981,"")</t>
  </si>
  <si>
    <t>=C1981</t>
  </si>
  <si>
    <t>=NL("Sum","5802 Value Entry","150 Sales Amount (Expected)","41 Source Type",$C$5,"5 Source No.",$C1982,"4 Item Ledger Entry Type",$C$4,"2 Item No.","@@"&amp;$F1982,"3 Posting Date",J$9)+NL("Sum","5802 Value Entry","17 Sales Amount (Actual)","41 Source Type",$C$5,"5 Source no.",$C1982,"4 Item Ledger Entry Type",$C$4,"2 Item No.","@@"&amp;$F1982,"3 Posting Date",J$9)</t>
  </si>
  <si>
    <t>=-NL("Sum","5802 Value Entry","151 Cost Amount (Expected)","41 Source Type",$C$5,"5 Source No.",$C1982,"4 Item Ledger Entry Type",$C$4,"2 Item No.","@@"&amp;$F1982,"3 Posting Date",J$9)-NL("Sum","5802 Value Entry","43 Cost Amount (Actual)","41 Source Type",$C$5,"5 Source no.",$C1982,"4 Item Ledger Entry Type",$C$4,"2 Item No.","@@"&amp;$F1982,"3 Posting Date",J$9)</t>
  </si>
  <si>
    <t>=J1982-L1982</t>
  </si>
  <si>
    <t>=IF(J1982&lt;&gt;0,M1982/J1982,"")</t>
  </si>
  <si>
    <t>=NL("Sum","5802 Value Entry","150 Sales Amount (Expected)","41 Source Type",$C$5,"5 Source No.",$C1982,"4 Item Ledger Entry Type",$C$4,"2 Item No.","@@"&amp;$F1982,"3 Posting Date",O$9)+NL("Sum","5802 Value Entry","17 Sales Amount (Actual)","41 Source Type",$C$5,"5 Source no.",$C1982,"4 Item Ledger Entry Type",$C$4,"2 Item No.","@@"&amp;$F1982,"3 Posting Date",O$9)</t>
  </si>
  <si>
    <t>=-NL("Sum","5802 Value Entry","151 Cost Amount (Expected)","41 Source Type",$C$5,"5 Source No.",$C1982,"4 Item Ledger Entry Type",$C$4,"2 Item No.","@@"&amp;$F1982,"3 Posting Date",O$9)-NL("Sum","5802 Value Entry","43 Cost Amount (Actual)","41 Source Type",$C$5,"5 Source no.",$C1982,"4 Item Ledger Entry Type",$C$4,"2 Item No.","@@"&amp;$F1982,"3 Posting Date",O$9)</t>
  </si>
  <si>
    <t>=O1982-Q1982</t>
  </si>
  <si>
    <t>=IF(O1982&lt;&gt;0,R1982/O1982,"")</t>
  </si>
  <si>
    <t>=NL("Sum","5802 Value Entry","150 Sales Amount (Expected)","41 Source Type",$C$5,"5 Source No.",$C1982,"4 Item Ledger Entry Type",$C$4,"2 Item No.","@@"&amp;$F1982,"3 Posting Date",U$9)+NL("Sum","5802 Value Entry","17 Sales Amount (Actual)","41 Source Type",$C$5,"5 Source no.",$C1982,"4 Item Ledger Entry Type",$C$4,"2 Item No.","@@"&amp;$F1982,"3 Posting Date",U$9)</t>
  </si>
  <si>
    <t>=-NL("Sum","5802 Value Entry","151 Cost Amount (Expected)","41 Source Type",$C$5,"5 Source No.",$C1982,"4 Item Ledger Entry Type",$C$4,"2 Item No.","@@"&amp;$F1982,"3 Posting Date",U$9)-NL("Sum","5802 Value Entry","43 Cost Amount (Actual)","41 Source Type",$C$5,"5 Source no.",$C1982,"4 Item Ledger Entry Type",$C$4,"2 Item No.","@@"&amp;$F1982,"3 Posting Date",U$9)</t>
  </si>
  <si>
    <t>=U1982-W1982</t>
  </si>
  <si>
    <t>=IF(U1982&lt;&gt;0,X1982/U1982,"")</t>
  </si>
  <si>
    <t>=NL("Sum","5802 Value Entry","150 Sales Amount (Expected)","41 Source Type",$C$5,"5 Source No.",$C1982,"4 Item Ledger Entry Type",$C$4,"2 Item No.","@@"&amp;$F1982,"3 Posting Date",Z$9)+NL("Sum","5802 Value Entry","17 Sales Amount (Actual)","41 Source Type",$C$5,"5 Source no.",$C1982,"4 Item Ledger Entry Type",$C$4,"2 Item No.","@@"&amp;$F1982,"3 Posting Date",Z$9)</t>
  </si>
  <si>
    <t>=-NL("Sum","5802 Value Entry","151 Cost Amount (Expected)","41 Source Type",$C$5,"5 Source No.",$C1982,"4 Item Ledger Entry Type",$C$4,"2 Item No.","@@"&amp;$F1982,"3 Posting Date",Z$9)-NL("Sum","5802 Value Entry","43 Cost Amount (Actual)","41 Source Type",$C$5,"5 Source no.",$C1982,"4 Item Ledger Entry Type",$C$4,"2 Item No.","@@"&amp;$F1982,"3 Posting Date",Z$9)</t>
  </si>
  <si>
    <t>=Z1982-AB1982</t>
  </si>
  <si>
    <t>=IF(Z1982&lt;&gt;0,AC1982/Z1982,"")</t>
  </si>
  <si>
    <t>=C1982</t>
  </si>
  <si>
    <t>=NL("Sum","5802 Value Entry","150 Sales Amount (Expected)","41 Source Type",$C$5,"5 Source No.",$C1983,"4 Item Ledger Entry Type",$C$4,"2 Item No.","@@"&amp;$F1983,"3 Posting Date",J$9)+NL("Sum","5802 Value Entry","17 Sales Amount (Actual)","41 Source Type",$C$5,"5 Source no.",$C1983,"4 Item Ledger Entry Type",$C$4,"2 Item No.","@@"&amp;$F1983,"3 Posting Date",J$9)</t>
  </si>
  <si>
    <t>=-NL("Sum","5802 Value Entry","151 Cost Amount (Expected)","41 Source Type",$C$5,"5 Source No.",$C1983,"4 Item Ledger Entry Type",$C$4,"2 Item No.","@@"&amp;$F1983,"3 Posting Date",J$9)-NL("Sum","5802 Value Entry","43 Cost Amount (Actual)","41 Source Type",$C$5,"5 Source no.",$C1983,"4 Item Ledger Entry Type",$C$4,"2 Item No.","@@"&amp;$F1983,"3 Posting Date",J$9)</t>
  </si>
  <si>
    <t>=J1983-L1983</t>
  </si>
  <si>
    <t>=IF(J1983&lt;&gt;0,M1983/J1983,"")</t>
  </si>
  <si>
    <t>=NL("Sum","5802 Value Entry","150 Sales Amount (Expected)","41 Source Type",$C$5,"5 Source No.",$C1983,"4 Item Ledger Entry Type",$C$4,"2 Item No.","@@"&amp;$F1983,"3 Posting Date",O$9)+NL("Sum","5802 Value Entry","17 Sales Amount (Actual)","41 Source Type",$C$5,"5 Source no.",$C1983,"4 Item Ledger Entry Type",$C$4,"2 Item No.","@@"&amp;$F1983,"3 Posting Date",O$9)</t>
  </si>
  <si>
    <t>=-NL("Sum","5802 Value Entry","151 Cost Amount (Expected)","41 Source Type",$C$5,"5 Source No.",$C1983,"4 Item Ledger Entry Type",$C$4,"2 Item No.","@@"&amp;$F1983,"3 Posting Date",O$9)-NL("Sum","5802 Value Entry","43 Cost Amount (Actual)","41 Source Type",$C$5,"5 Source no.",$C1983,"4 Item Ledger Entry Type",$C$4,"2 Item No.","@@"&amp;$F1983,"3 Posting Date",O$9)</t>
  </si>
  <si>
    <t>=O1983-Q1983</t>
  </si>
  <si>
    <t>=IF(O1983&lt;&gt;0,R1983/O1983,"")</t>
  </si>
  <si>
    <t>=NL("Sum","5802 Value Entry","150 Sales Amount (Expected)","41 Source Type",$C$5,"5 Source No.",$C1983,"4 Item Ledger Entry Type",$C$4,"2 Item No.","@@"&amp;$F1983,"3 Posting Date",U$9)+NL("Sum","5802 Value Entry","17 Sales Amount (Actual)","41 Source Type",$C$5,"5 Source no.",$C1983,"4 Item Ledger Entry Type",$C$4,"2 Item No.","@@"&amp;$F1983,"3 Posting Date",U$9)</t>
  </si>
  <si>
    <t>=-NL("Sum","5802 Value Entry","151 Cost Amount (Expected)","41 Source Type",$C$5,"5 Source No.",$C1983,"4 Item Ledger Entry Type",$C$4,"2 Item No.","@@"&amp;$F1983,"3 Posting Date",U$9)-NL("Sum","5802 Value Entry","43 Cost Amount (Actual)","41 Source Type",$C$5,"5 Source no.",$C1983,"4 Item Ledger Entry Type",$C$4,"2 Item No.","@@"&amp;$F1983,"3 Posting Date",U$9)</t>
  </si>
  <si>
    <t>=U1983-W1983</t>
  </si>
  <si>
    <t>=IF(U1983&lt;&gt;0,X1983/U1983,"")</t>
  </si>
  <si>
    <t>=NL("Sum","5802 Value Entry","150 Sales Amount (Expected)","41 Source Type",$C$5,"5 Source No.",$C1983,"4 Item Ledger Entry Type",$C$4,"2 Item No.","@@"&amp;$F1983,"3 Posting Date",Z$9)+NL("Sum","5802 Value Entry","17 Sales Amount (Actual)","41 Source Type",$C$5,"5 Source no.",$C1983,"4 Item Ledger Entry Type",$C$4,"2 Item No.","@@"&amp;$F1983,"3 Posting Date",Z$9)</t>
  </si>
  <si>
    <t>=-NL("Sum","5802 Value Entry","151 Cost Amount (Expected)","41 Source Type",$C$5,"5 Source No.",$C1983,"4 Item Ledger Entry Type",$C$4,"2 Item No.","@@"&amp;$F1983,"3 Posting Date",Z$9)-NL("Sum","5802 Value Entry","43 Cost Amount (Actual)","41 Source Type",$C$5,"5 Source no.",$C1983,"4 Item Ledger Entry Type",$C$4,"2 Item No.","@@"&amp;$F1983,"3 Posting Date",Z$9)</t>
  </si>
  <si>
    <t>=Z1983-AB1983</t>
  </si>
  <si>
    <t>=IF(Z1983&lt;&gt;0,AC1983/Z1983,"")</t>
  </si>
  <si>
    <t>=C1983</t>
  </si>
  <si>
    <t>=NL("Sum","5802 Value Entry","150 Sales Amount (Expected)","41 Source Type",$C$5,"5 Source No.",$C1984,"4 Item Ledger Entry Type",$C$4,"2 Item No.","@@"&amp;$F1984,"3 Posting Date",J$9)+NL("Sum","5802 Value Entry","17 Sales Amount (Actual)","41 Source Type",$C$5,"5 Source no.",$C1984,"4 Item Ledger Entry Type",$C$4,"2 Item No.","@@"&amp;$F1984,"3 Posting Date",J$9)</t>
  </si>
  <si>
    <t>=-NL("Sum","5802 Value Entry","151 Cost Amount (Expected)","41 Source Type",$C$5,"5 Source No.",$C1984,"4 Item Ledger Entry Type",$C$4,"2 Item No.","@@"&amp;$F1984,"3 Posting Date",J$9)-NL("Sum","5802 Value Entry","43 Cost Amount (Actual)","41 Source Type",$C$5,"5 Source no.",$C1984,"4 Item Ledger Entry Type",$C$4,"2 Item No.","@@"&amp;$F1984,"3 Posting Date",J$9)</t>
  </si>
  <si>
    <t>=J1984-L1984</t>
  </si>
  <si>
    <t>=IF(J1984&lt;&gt;0,M1984/J1984,"")</t>
  </si>
  <si>
    <t>=NL("Sum","5802 Value Entry","150 Sales Amount (Expected)","41 Source Type",$C$5,"5 Source No.",$C1984,"4 Item Ledger Entry Type",$C$4,"2 Item No.","@@"&amp;$F1984,"3 Posting Date",O$9)+NL("Sum","5802 Value Entry","17 Sales Amount (Actual)","41 Source Type",$C$5,"5 Source no.",$C1984,"4 Item Ledger Entry Type",$C$4,"2 Item No.","@@"&amp;$F1984,"3 Posting Date",O$9)</t>
  </si>
  <si>
    <t>=-NL("Sum","5802 Value Entry","151 Cost Amount (Expected)","41 Source Type",$C$5,"5 Source No.",$C1984,"4 Item Ledger Entry Type",$C$4,"2 Item No.","@@"&amp;$F1984,"3 Posting Date",O$9)-NL("Sum","5802 Value Entry","43 Cost Amount (Actual)","41 Source Type",$C$5,"5 Source no.",$C1984,"4 Item Ledger Entry Type",$C$4,"2 Item No.","@@"&amp;$F1984,"3 Posting Date",O$9)</t>
  </si>
  <si>
    <t>=O1984-Q1984</t>
  </si>
  <si>
    <t>=IF(O1984&lt;&gt;0,R1984/O1984,"")</t>
  </si>
  <si>
    <t>=NL("Sum","5802 Value Entry","150 Sales Amount (Expected)","41 Source Type",$C$5,"5 Source No.",$C1984,"4 Item Ledger Entry Type",$C$4,"2 Item No.","@@"&amp;$F1984,"3 Posting Date",U$9)+NL("Sum","5802 Value Entry","17 Sales Amount (Actual)","41 Source Type",$C$5,"5 Source no.",$C1984,"4 Item Ledger Entry Type",$C$4,"2 Item No.","@@"&amp;$F1984,"3 Posting Date",U$9)</t>
  </si>
  <si>
    <t>=-NL("Sum","5802 Value Entry","151 Cost Amount (Expected)","41 Source Type",$C$5,"5 Source No.",$C1984,"4 Item Ledger Entry Type",$C$4,"2 Item No.","@@"&amp;$F1984,"3 Posting Date",U$9)-NL("Sum","5802 Value Entry","43 Cost Amount (Actual)","41 Source Type",$C$5,"5 Source no.",$C1984,"4 Item Ledger Entry Type",$C$4,"2 Item No.","@@"&amp;$F1984,"3 Posting Date",U$9)</t>
  </si>
  <si>
    <t>=U1984-W1984</t>
  </si>
  <si>
    <t>=IF(U1984&lt;&gt;0,X1984/U1984,"")</t>
  </si>
  <si>
    <t>=NL("Sum","5802 Value Entry","150 Sales Amount (Expected)","41 Source Type",$C$5,"5 Source No.",$C1984,"4 Item Ledger Entry Type",$C$4,"2 Item No.","@@"&amp;$F1984,"3 Posting Date",Z$9)+NL("Sum","5802 Value Entry","17 Sales Amount (Actual)","41 Source Type",$C$5,"5 Source no.",$C1984,"4 Item Ledger Entry Type",$C$4,"2 Item No.","@@"&amp;$F1984,"3 Posting Date",Z$9)</t>
  </si>
  <si>
    <t>=-NL("Sum","5802 Value Entry","151 Cost Amount (Expected)","41 Source Type",$C$5,"5 Source No.",$C1984,"4 Item Ledger Entry Type",$C$4,"2 Item No.","@@"&amp;$F1984,"3 Posting Date",Z$9)-NL("Sum","5802 Value Entry","43 Cost Amount (Actual)","41 Source Type",$C$5,"5 Source no.",$C1984,"4 Item Ledger Entry Type",$C$4,"2 Item No.","@@"&amp;$F1984,"3 Posting Date",Z$9)</t>
  </si>
  <si>
    <t>=Z1984-AB1984</t>
  </si>
  <si>
    <t>=IF(Z1984&lt;&gt;0,AC1984/Z1984,"")</t>
  </si>
  <si>
    <t>=C1984</t>
  </si>
  <si>
    <t>=NL("Sum","5802 Value Entry","150 Sales Amount (Expected)","41 Source Type",$C$5,"5 Source No.",$C1985,"4 Item Ledger Entry Type",$C$4,"2 Item No.","@@"&amp;$F1985,"3 Posting Date",J$9)+NL("Sum","5802 Value Entry","17 Sales Amount (Actual)","41 Source Type",$C$5,"5 Source no.",$C1985,"4 Item Ledger Entry Type",$C$4,"2 Item No.","@@"&amp;$F1985,"3 Posting Date",J$9)</t>
  </si>
  <si>
    <t>=-NL("Sum","5802 Value Entry","151 Cost Amount (Expected)","41 Source Type",$C$5,"5 Source No.",$C1985,"4 Item Ledger Entry Type",$C$4,"2 Item No.","@@"&amp;$F1985,"3 Posting Date",J$9)-NL("Sum","5802 Value Entry","43 Cost Amount (Actual)","41 Source Type",$C$5,"5 Source no.",$C1985,"4 Item Ledger Entry Type",$C$4,"2 Item No.","@@"&amp;$F1985,"3 Posting Date",J$9)</t>
  </si>
  <si>
    <t>=J1985-L1985</t>
  </si>
  <si>
    <t>=IF(J1985&lt;&gt;0,M1985/J1985,"")</t>
  </si>
  <si>
    <t>=NL("Sum","5802 Value Entry","150 Sales Amount (Expected)","41 Source Type",$C$5,"5 Source No.",$C1985,"4 Item Ledger Entry Type",$C$4,"2 Item No.","@@"&amp;$F1985,"3 Posting Date",O$9)+NL("Sum","5802 Value Entry","17 Sales Amount (Actual)","41 Source Type",$C$5,"5 Source no.",$C1985,"4 Item Ledger Entry Type",$C$4,"2 Item No.","@@"&amp;$F1985,"3 Posting Date",O$9)</t>
  </si>
  <si>
    <t>=-NL("Sum","5802 Value Entry","151 Cost Amount (Expected)","41 Source Type",$C$5,"5 Source No.",$C1985,"4 Item Ledger Entry Type",$C$4,"2 Item No.","@@"&amp;$F1985,"3 Posting Date",O$9)-NL("Sum","5802 Value Entry","43 Cost Amount (Actual)","41 Source Type",$C$5,"5 Source no.",$C1985,"4 Item Ledger Entry Type",$C$4,"2 Item No.","@@"&amp;$F1985,"3 Posting Date",O$9)</t>
  </si>
  <si>
    <t>=O1985-Q1985</t>
  </si>
  <si>
    <t>=IF(O1985&lt;&gt;0,R1985/O1985,"")</t>
  </si>
  <si>
    <t>=NL("Sum","5802 Value Entry","150 Sales Amount (Expected)","41 Source Type",$C$5,"5 Source No.",$C1985,"4 Item Ledger Entry Type",$C$4,"2 Item No.","@@"&amp;$F1985,"3 Posting Date",U$9)+NL("Sum","5802 Value Entry","17 Sales Amount (Actual)","41 Source Type",$C$5,"5 Source no.",$C1985,"4 Item Ledger Entry Type",$C$4,"2 Item No.","@@"&amp;$F1985,"3 Posting Date",U$9)</t>
  </si>
  <si>
    <t>=-NL("Sum","5802 Value Entry","151 Cost Amount (Expected)","41 Source Type",$C$5,"5 Source No.",$C1985,"4 Item Ledger Entry Type",$C$4,"2 Item No.","@@"&amp;$F1985,"3 Posting Date",U$9)-NL("Sum","5802 Value Entry","43 Cost Amount (Actual)","41 Source Type",$C$5,"5 Source no.",$C1985,"4 Item Ledger Entry Type",$C$4,"2 Item No.","@@"&amp;$F1985,"3 Posting Date",U$9)</t>
  </si>
  <si>
    <t>=U1985-W1985</t>
  </si>
  <si>
    <t>=IF(U1985&lt;&gt;0,X1985/U1985,"")</t>
  </si>
  <si>
    <t>=NL("Sum","5802 Value Entry","150 Sales Amount (Expected)","41 Source Type",$C$5,"5 Source No.",$C1985,"4 Item Ledger Entry Type",$C$4,"2 Item No.","@@"&amp;$F1985,"3 Posting Date",Z$9)+NL("Sum","5802 Value Entry","17 Sales Amount (Actual)","41 Source Type",$C$5,"5 Source no.",$C1985,"4 Item Ledger Entry Type",$C$4,"2 Item No.","@@"&amp;$F1985,"3 Posting Date",Z$9)</t>
  </si>
  <si>
    <t>=-NL("Sum","5802 Value Entry","151 Cost Amount (Expected)","41 Source Type",$C$5,"5 Source No.",$C1985,"4 Item Ledger Entry Type",$C$4,"2 Item No.","@@"&amp;$F1985,"3 Posting Date",Z$9)-NL("Sum","5802 Value Entry","43 Cost Amount (Actual)","41 Source Type",$C$5,"5 Source no.",$C1985,"4 Item Ledger Entry Type",$C$4,"2 Item No.","@@"&amp;$F1985,"3 Posting Date",Z$9)</t>
  </si>
  <si>
    <t>=Z1985-AB1985</t>
  </si>
  <si>
    <t>=IF(Z1985&lt;&gt;0,AC1985/Z1985,"")</t>
  </si>
  <si>
    <t>=C1985</t>
  </si>
  <si>
    <t>=NL("Sum","5802 Value Entry","150 Sales Amount (Expected)","41 Source Type",$C$5,"5 Source No.",$C1986,"4 Item Ledger Entry Type",$C$4,"2 Item No.","@@"&amp;$F1986,"3 Posting Date",J$9)+NL("Sum","5802 Value Entry","17 Sales Amount (Actual)","41 Source Type",$C$5,"5 Source no.",$C1986,"4 Item Ledger Entry Type",$C$4,"2 Item No.","@@"&amp;$F1986,"3 Posting Date",J$9)</t>
  </si>
  <si>
    <t>=-NL("Sum","5802 Value Entry","151 Cost Amount (Expected)","41 Source Type",$C$5,"5 Source No.",$C1986,"4 Item Ledger Entry Type",$C$4,"2 Item No.","@@"&amp;$F1986,"3 Posting Date",J$9)-NL("Sum","5802 Value Entry","43 Cost Amount (Actual)","41 Source Type",$C$5,"5 Source no.",$C1986,"4 Item Ledger Entry Type",$C$4,"2 Item No.","@@"&amp;$F1986,"3 Posting Date",J$9)</t>
  </si>
  <si>
    <t>=J1986-L1986</t>
  </si>
  <si>
    <t>=IF(J1986&lt;&gt;0,M1986/J1986,"")</t>
  </si>
  <si>
    <t>=NL("Sum","5802 Value Entry","150 Sales Amount (Expected)","41 Source Type",$C$5,"5 Source No.",$C1986,"4 Item Ledger Entry Type",$C$4,"2 Item No.","@@"&amp;$F1986,"3 Posting Date",O$9)+NL("Sum","5802 Value Entry","17 Sales Amount (Actual)","41 Source Type",$C$5,"5 Source no.",$C1986,"4 Item Ledger Entry Type",$C$4,"2 Item No.","@@"&amp;$F1986,"3 Posting Date",O$9)</t>
  </si>
  <si>
    <t>=-NL("Sum","5802 Value Entry","151 Cost Amount (Expected)","41 Source Type",$C$5,"5 Source No.",$C1986,"4 Item Ledger Entry Type",$C$4,"2 Item No.","@@"&amp;$F1986,"3 Posting Date",O$9)-NL("Sum","5802 Value Entry","43 Cost Amount (Actual)","41 Source Type",$C$5,"5 Source no.",$C1986,"4 Item Ledger Entry Type",$C$4,"2 Item No.","@@"&amp;$F1986,"3 Posting Date",O$9)</t>
  </si>
  <si>
    <t>=O1986-Q1986</t>
  </si>
  <si>
    <t>=IF(O1986&lt;&gt;0,R1986/O1986,"")</t>
  </si>
  <si>
    <t>=NL("Sum","5802 Value Entry","150 Sales Amount (Expected)","41 Source Type",$C$5,"5 Source No.",$C1986,"4 Item Ledger Entry Type",$C$4,"2 Item No.","@@"&amp;$F1986,"3 Posting Date",U$9)+NL("Sum","5802 Value Entry","17 Sales Amount (Actual)","41 Source Type",$C$5,"5 Source no.",$C1986,"4 Item Ledger Entry Type",$C$4,"2 Item No.","@@"&amp;$F1986,"3 Posting Date",U$9)</t>
  </si>
  <si>
    <t>=-NL("Sum","5802 Value Entry","151 Cost Amount (Expected)","41 Source Type",$C$5,"5 Source No.",$C1986,"4 Item Ledger Entry Type",$C$4,"2 Item No.","@@"&amp;$F1986,"3 Posting Date",U$9)-NL("Sum","5802 Value Entry","43 Cost Amount (Actual)","41 Source Type",$C$5,"5 Source no.",$C1986,"4 Item Ledger Entry Type",$C$4,"2 Item No.","@@"&amp;$F1986,"3 Posting Date",U$9)</t>
  </si>
  <si>
    <t>=U1986-W1986</t>
  </si>
  <si>
    <t>=IF(U1986&lt;&gt;0,X1986/U1986,"")</t>
  </si>
  <si>
    <t>=NL("Sum","5802 Value Entry","150 Sales Amount (Expected)","41 Source Type",$C$5,"5 Source No.",$C1986,"4 Item Ledger Entry Type",$C$4,"2 Item No.","@@"&amp;$F1986,"3 Posting Date",Z$9)+NL("Sum","5802 Value Entry","17 Sales Amount (Actual)","41 Source Type",$C$5,"5 Source no.",$C1986,"4 Item Ledger Entry Type",$C$4,"2 Item No.","@@"&amp;$F1986,"3 Posting Date",Z$9)</t>
  </si>
  <si>
    <t>=-NL("Sum","5802 Value Entry","151 Cost Amount (Expected)","41 Source Type",$C$5,"5 Source No.",$C1986,"4 Item Ledger Entry Type",$C$4,"2 Item No.","@@"&amp;$F1986,"3 Posting Date",Z$9)-NL("Sum","5802 Value Entry","43 Cost Amount (Actual)","41 Source Type",$C$5,"5 Source no.",$C1986,"4 Item Ledger Entry Type",$C$4,"2 Item No.","@@"&amp;$F1986,"3 Posting Date",Z$9)</t>
  </si>
  <si>
    <t>=Z1986-AB1986</t>
  </si>
  <si>
    <t>=IF(Z1986&lt;&gt;0,AC1986/Z1986,"")</t>
  </si>
  <si>
    <t>=C1986</t>
  </si>
  <si>
    <t>=NL("Sum","5802 Value Entry","150 Sales Amount (Expected)","41 Source Type",$C$5,"5 Source No.",$C1987,"4 Item Ledger Entry Type",$C$4,"2 Item No.","@@"&amp;$F1987,"3 Posting Date",J$9)+NL("Sum","5802 Value Entry","17 Sales Amount (Actual)","41 Source Type",$C$5,"5 Source no.",$C1987,"4 Item Ledger Entry Type",$C$4,"2 Item No.","@@"&amp;$F1987,"3 Posting Date",J$9)</t>
  </si>
  <si>
    <t>=-NL("Sum","5802 Value Entry","151 Cost Amount (Expected)","41 Source Type",$C$5,"5 Source No.",$C1987,"4 Item Ledger Entry Type",$C$4,"2 Item No.","@@"&amp;$F1987,"3 Posting Date",J$9)-NL("Sum","5802 Value Entry","43 Cost Amount (Actual)","41 Source Type",$C$5,"5 Source no.",$C1987,"4 Item Ledger Entry Type",$C$4,"2 Item No.","@@"&amp;$F1987,"3 Posting Date",J$9)</t>
  </si>
  <si>
    <t>=J1987-L1987</t>
  </si>
  <si>
    <t>=IF(J1987&lt;&gt;0,M1987/J1987,"")</t>
  </si>
  <si>
    <t>=NL("Sum","5802 Value Entry","150 Sales Amount (Expected)","41 Source Type",$C$5,"5 Source No.",$C1987,"4 Item Ledger Entry Type",$C$4,"2 Item No.","@@"&amp;$F1987,"3 Posting Date",O$9)+NL("Sum","5802 Value Entry","17 Sales Amount (Actual)","41 Source Type",$C$5,"5 Source no.",$C1987,"4 Item Ledger Entry Type",$C$4,"2 Item No.","@@"&amp;$F1987,"3 Posting Date",O$9)</t>
  </si>
  <si>
    <t>=-NL("Sum","5802 Value Entry","151 Cost Amount (Expected)","41 Source Type",$C$5,"5 Source No.",$C1987,"4 Item Ledger Entry Type",$C$4,"2 Item No.","@@"&amp;$F1987,"3 Posting Date",O$9)-NL("Sum","5802 Value Entry","43 Cost Amount (Actual)","41 Source Type",$C$5,"5 Source no.",$C1987,"4 Item Ledger Entry Type",$C$4,"2 Item No.","@@"&amp;$F1987,"3 Posting Date",O$9)</t>
  </si>
  <si>
    <t>=O1987-Q1987</t>
  </si>
  <si>
    <t>=IF(O1987&lt;&gt;0,R1987/O1987,"")</t>
  </si>
  <si>
    <t>=NL("Sum","5802 Value Entry","150 Sales Amount (Expected)","41 Source Type",$C$5,"5 Source No.",$C1987,"4 Item Ledger Entry Type",$C$4,"2 Item No.","@@"&amp;$F1987,"3 Posting Date",U$9)+NL("Sum","5802 Value Entry","17 Sales Amount (Actual)","41 Source Type",$C$5,"5 Source no.",$C1987,"4 Item Ledger Entry Type",$C$4,"2 Item No.","@@"&amp;$F1987,"3 Posting Date",U$9)</t>
  </si>
  <si>
    <t>=-NL("Sum","5802 Value Entry","151 Cost Amount (Expected)","41 Source Type",$C$5,"5 Source No.",$C1987,"4 Item Ledger Entry Type",$C$4,"2 Item No.","@@"&amp;$F1987,"3 Posting Date",U$9)-NL("Sum","5802 Value Entry","43 Cost Amount (Actual)","41 Source Type",$C$5,"5 Source no.",$C1987,"4 Item Ledger Entry Type",$C$4,"2 Item No.","@@"&amp;$F1987,"3 Posting Date",U$9)</t>
  </si>
  <si>
    <t>=U1987-W1987</t>
  </si>
  <si>
    <t>=IF(U1987&lt;&gt;0,X1987/U1987,"")</t>
  </si>
  <si>
    <t>=NL("Sum","5802 Value Entry","150 Sales Amount (Expected)","41 Source Type",$C$5,"5 Source No.",$C1987,"4 Item Ledger Entry Type",$C$4,"2 Item No.","@@"&amp;$F1987,"3 Posting Date",Z$9)+NL("Sum","5802 Value Entry","17 Sales Amount (Actual)","41 Source Type",$C$5,"5 Source no.",$C1987,"4 Item Ledger Entry Type",$C$4,"2 Item No.","@@"&amp;$F1987,"3 Posting Date",Z$9)</t>
  </si>
  <si>
    <t>=-NL("Sum","5802 Value Entry","151 Cost Amount (Expected)","41 Source Type",$C$5,"5 Source No.",$C1987,"4 Item Ledger Entry Type",$C$4,"2 Item No.","@@"&amp;$F1987,"3 Posting Date",Z$9)-NL("Sum","5802 Value Entry","43 Cost Amount (Actual)","41 Source Type",$C$5,"5 Source no.",$C1987,"4 Item Ledger Entry Type",$C$4,"2 Item No.","@@"&amp;$F1987,"3 Posting Date",Z$9)</t>
  </si>
  <si>
    <t>=Z1987-AB1987</t>
  </si>
  <si>
    <t>=IF(Z1987&lt;&gt;0,AC1987/Z1987,"")</t>
  </si>
  <si>
    <t>=C1988</t>
  </si>
  <si>
    <t>=J1989-L1989</t>
  </si>
  <si>
    <t>=IF(J1989&lt;&gt;0,M1989/J1989,"")</t>
  </si>
  <si>
    <t>=O1989-Q1989</t>
  </si>
  <si>
    <t>=IF(O1989&lt;&gt;0,R1989/O1989,"")</t>
  </si>
  <si>
    <t>=U1989-W1989</t>
  </si>
  <si>
    <t>=IF(U1989&lt;&gt;0,X1989/U1989,"")</t>
  </si>
  <si>
    <t>=Z1989-AB1989</t>
  </si>
  <si>
    <t>=IF(Z1989&lt;&gt;0,AC1989/Z1989,"")</t>
  </si>
  <si>
    <t>=C1991</t>
  </si>
  <si>
    <t>=C1992</t>
  </si>
  <si>
    <t>=NL("Sum","5802 Value Entry","150 Sales Amount (Expected)","41 Source Type",$C$5,"5 Source No.",$C1993,"4 Item Ledger Entry Type",$C$4,"2 Item No.","@@"&amp;$F1993,"3 Posting Date",J$9)+NL("Sum","5802 Value Entry","17 Sales Amount (Actual)","41 Source Type",$C$5,"5 Source no.",$C1993,"4 Item Ledger Entry Type",$C$4,"2 Item No.","@@"&amp;$F1993,"3 Posting Date",J$9)</t>
  </si>
  <si>
    <t>=-NL("Sum","5802 Value Entry","151 Cost Amount (Expected)","41 Source Type",$C$5,"5 Source No.",$C1993,"4 Item Ledger Entry Type",$C$4,"2 Item No.","@@"&amp;$F1993,"3 Posting Date",J$9)-NL("Sum","5802 Value Entry","43 Cost Amount (Actual)","41 Source Type",$C$5,"5 Source no.",$C1993,"4 Item Ledger Entry Type",$C$4,"2 Item No.","@@"&amp;$F1993,"3 Posting Date",J$9)</t>
  </si>
  <si>
    <t>=J1993-L1993</t>
  </si>
  <si>
    <t>=IF(J1993&lt;&gt;0,M1993/J1993,"")</t>
  </si>
  <si>
    <t>=NL("Sum","5802 Value Entry","150 Sales Amount (Expected)","41 Source Type",$C$5,"5 Source No.",$C1993,"4 Item Ledger Entry Type",$C$4,"2 Item No.","@@"&amp;$F1993,"3 Posting Date",O$9)+NL("Sum","5802 Value Entry","17 Sales Amount (Actual)","41 Source Type",$C$5,"5 Source no.",$C1993,"4 Item Ledger Entry Type",$C$4,"2 Item No.","@@"&amp;$F1993,"3 Posting Date",O$9)</t>
  </si>
  <si>
    <t>=-NL("Sum","5802 Value Entry","151 Cost Amount (Expected)","41 Source Type",$C$5,"5 Source No.",$C1993,"4 Item Ledger Entry Type",$C$4,"2 Item No.","@@"&amp;$F1993,"3 Posting Date",O$9)-NL("Sum","5802 Value Entry","43 Cost Amount (Actual)","41 Source Type",$C$5,"5 Source no.",$C1993,"4 Item Ledger Entry Type",$C$4,"2 Item No.","@@"&amp;$F1993,"3 Posting Date",O$9)</t>
  </si>
  <si>
    <t>=O1993-Q1993</t>
  </si>
  <si>
    <t>=IF(O1993&lt;&gt;0,R1993/O1993,"")</t>
  </si>
  <si>
    <t>=NL("Sum","5802 Value Entry","150 Sales Amount (Expected)","41 Source Type",$C$5,"5 Source No.",$C1993,"4 Item Ledger Entry Type",$C$4,"2 Item No.","@@"&amp;$F1993,"3 Posting Date",U$9)+NL("Sum","5802 Value Entry","17 Sales Amount (Actual)","41 Source Type",$C$5,"5 Source no.",$C1993,"4 Item Ledger Entry Type",$C$4,"2 Item No.","@@"&amp;$F1993,"3 Posting Date",U$9)</t>
  </si>
  <si>
    <t>=-NL("Sum","5802 Value Entry","151 Cost Amount (Expected)","41 Source Type",$C$5,"5 Source No.",$C1993,"4 Item Ledger Entry Type",$C$4,"2 Item No.","@@"&amp;$F1993,"3 Posting Date",U$9)-NL("Sum","5802 Value Entry","43 Cost Amount (Actual)","41 Source Type",$C$5,"5 Source no.",$C1993,"4 Item Ledger Entry Type",$C$4,"2 Item No.","@@"&amp;$F1993,"3 Posting Date",U$9)</t>
  </si>
  <si>
    <t>=U1993-W1993</t>
  </si>
  <si>
    <t>=IF(U1993&lt;&gt;0,X1993/U1993,"")</t>
  </si>
  <si>
    <t>=NL("Sum","5802 Value Entry","150 Sales Amount (Expected)","41 Source Type",$C$5,"5 Source No.",$C1993,"4 Item Ledger Entry Type",$C$4,"2 Item No.","@@"&amp;$F1993,"3 Posting Date",Z$9)+NL("Sum","5802 Value Entry","17 Sales Amount (Actual)","41 Source Type",$C$5,"5 Source no.",$C1993,"4 Item Ledger Entry Type",$C$4,"2 Item No.","@@"&amp;$F1993,"3 Posting Date",Z$9)</t>
  </si>
  <si>
    <t>=-NL("Sum","5802 Value Entry","151 Cost Amount (Expected)","41 Source Type",$C$5,"5 Source No.",$C1993,"4 Item Ledger Entry Type",$C$4,"2 Item No.","@@"&amp;$F1993,"3 Posting Date",Z$9)-NL("Sum","5802 Value Entry","43 Cost Amount (Actual)","41 Source Type",$C$5,"5 Source no.",$C1993,"4 Item Ledger Entry Type",$C$4,"2 Item No.","@@"&amp;$F1993,"3 Posting Date",Z$9)</t>
  </si>
  <si>
    <t>=Z1993-AB1993</t>
  </si>
  <si>
    <t>=IF(Z1993&lt;&gt;0,AC1993/Z1993,"")</t>
  </si>
  <si>
    <t>=C1993</t>
  </si>
  <si>
    <t>=NL("Sum","5802 Value Entry","150 Sales Amount (Expected)","41 Source Type",$C$5,"5 Source No.",$C1994,"4 Item Ledger Entry Type",$C$4,"2 Item No.","@@"&amp;$F1994,"3 Posting Date",J$9)+NL("Sum","5802 Value Entry","17 Sales Amount (Actual)","41 Source Type",$C$5,"5 Source no.",$C1994,"4 Item Ledger Entry Type",$C$4,"2 Item No.","@@"&amp;$F1994,"3 Posting Date",J$9)</t>
  </si>
  <si>
    <t>=-NL("Sum","5802 Value Entry","151 Cost Amount (Expected)","41 Source Type",$C$5,"5 Source No.",$C1994,"4 Item Ledger Entry Type",$C$4,"2 Item No.","@@"&amp;$F1994,"3 Posting Date",J$9)-NL("Sum","5802 Value Entry","43 Cost Amount (Actual)","41 Source Type",$C$5,"5 Source no.",$C1994,"4 Item Ledger Entry Type",$C$4,"2 Item No.","@@"&amp;$F1994,"3 Posting Date",J$9)</t>
  </si>
  <si>
    <t>=J1994-L1994</t>
  </si>
  <si>
    <t>=IF(J1994&lt;&gt;0,M1994/J1994,"")</t>
  </si>
  <si>
    <t>=NL("Sum","5802 Value Entry","150 Sales Amount (Expected)","41 Source Type",$C$5,"5 Source No.",$C1994,"4 Item Ledger Entry Type",$C$4,"2 Item No.","@@"&amp;$F1994,"3 Posting Date",O$9)+NL("Sum","5802 Value Entry","17 Sales Amount (Actual)","41 Source Type",$C$5,"5 Source no.",$C1994,"4 Item Ledger Entry Type",$C$4,"2 Item No.","@@"&amp;$F1994,"3 Posting Date",O$9)</t>
  </si>
  <si>
    <t>=-NL("Sum","5802 Value Entry","151 Cost Amount (Expected)","41 Source Type",$C$5,"5 Source No.",$C1994,"4 Item Ledger Entry Type",$C$4,"2 Item No.","@@"&amp;$F1994,"3 Posting Date",O$9)-NL("Sum","5802 Value Entry","43 Cost Amount (Actual)","41 Source Type",$C$5,"5 Source no.",$C1994,"4 Item Ledger Entry Type",$C$4,"2 Item No.","@@"&amp;$F1994,"3 Posting Date",O$9)</t>
  </si>
  <si>
    <t>=O1994-Q1994</t>
  </si>
  <si>
    <t>=IF(O1994&lt;&gt;0,R1994/O1994,"")</t>
  </si>
  <si>
    <t>=NL("Sum","5802 Value Entry","150 Sales Amount (Expected)","41 Source Type",$C$5,"5 Source No.",$C1994,"4 Item Ledger Entry Type",$C$4,"2 Item No.","@@"&amp;$F1994,"3 Posting Date",U$9)+NL("Sum","5802 Value Entry","17 Sales Amount (Actual)","41 Source Type",$C$5,"5 Source no.",$C1994,"4 Item Ledger Entry Type",$C$4,"2 Item No.","@@"&amp;$F1994,"3 Posting Date",U$9)</t>
  </si>
  <si>
    <t>=-NL("Sum","5802 Value Entry","151 Cost Amount (Expected)","41 Source Type",$C$5,"5 Source No.",$C1994,"4 Item Ledger Entry Type",$C$4,"2 Item No.","@@"&amp;$F1994,"3 Posting Date",U$9)-NL("Sum","5802 Value Entry","43 Cost Amount (Actual)","41 Source Type",$C$5,"5 Source no.",$C1994,"4 Item Ledger Entry Type",$C$4,"2 Item No.","@@"&amp;$F1994,"3 Posting Date",U$9)</t>
  </si>
  <si>
    <t>=U1994-W1994</t>
  </si>
  <si>
    <t>=IF(U1994&lt;&gt;0,X1994/U1994,"")</t>
  </si>
  <si>
    <t>=NL("Sum","5802 Value Entry","150 Sales Amount (Expected)","41 Source Type",$C$5,"5 Source No.",$C1994,"4 Item Ledger Entry Type",$C$4,"2 Item No.","@@"&amp;$F1994,"3 Posting Date",Z$9)+NL("Sum","5802 Value Entry","17 Sales Amount (Actual)","41 Source Type",$C$5,"5 Source no.",$C1994,"4 Item Ledger Entry Type",$C$4,"2 Item No.","@@"&amp;$F1994,"3 Posting Date",Z$9)</t>
  </si>
  <si>
    <t>=-NL("Sum","5802 Value Entry","151 Cost Amount (Expected)","41 Source Type",$C$5,"5 Source No.",$C1994,"4 Item Ledger Entry Type",$C$4,"2 Item No.","@@"&amp;$F1994,"3 Posting Date",Z$9)-NL("Sum","5802 Value Entry","43 Cost Amount (Actual)","41 Source Type",$C$5,"5 Source no.",$C1994,"4 Item Ledger Entry Type",$C$4,"2 Item No.","@@"&amp;$F1994,"3 Posting Date",Z$9)</t>
  </si>
  <si>
    <t>=Z1994-AB1994</t>
  </si>
  <si>
    <t>=IF(Z1994&lt;&gt;0,AC1994/Z1994,"")</t>
  </si>
  <si>
    <t>=C1994</t>
  </si>
  <si>
    <t>=NL("Sum","5802 Value Entry","150 Sales Amount (Expected)","41 Source Type",$C$5,"5 Source No.",$C1995,"4 Item Ledger Entry Type",$C$4,"2 Item No.","@@"&amp;$F1995,"3 Posting Date",J$9)+NL("Sum","5802 Value Entry","17 Sales Amount (Actual)","41 Source Type",$C$5,"5 Source no.",$C1995,"4 Item Ledger Entry Type",$C$4,"2 Item No.","@@"&amp;$F1995,"3 Posting Date",J$9)</t>
  </si>
  <si>
    <t>=-NL("Sum","5802 Value Entry","151 Cost Amount (Expected)","41 Source Type",$C$5,"5 Source No.",$C1995,"4 Item Ledger Entry Type",$C$4,"2 Item No.","@@"&amp;$F1995,"3 Posting Date",J$9)-NL("Sum","5802 Value Entry","43 Cost Amount (Actual)","41 Source Type",$C$5,"5 Source no.",$C1995,"4 Item Ledger Entry Type",$C$4,"2 Item No.","@@"&amp;$F1995,"3 Posting Date",J$9)</t>
  </si>
  <si>
    <t>=J1995-L1995</t>
  </si>
  <si>
    <t>=IF(J1995&lt;&gt;0,M1995/J1995,"")</t>
  </si>
  <si>
    <t>=NL("Sum","5802 Value Entry","150 Sales Amount (Expected)","41 Source Type",$C$5,"5 Source No.",$C1995,"4 Item Ledger Entry Type",$C$4,"2 Item No.","@@"&amp;$F1995,"3 Posting Date",O$9)+NL("Sum","5802 Value Entry","17 Sales Amount (Actual)","41 Source Type",$C$5,"5 Source no.",$C1995,"4 Item Ledger Entry Type",$C$4,"2 Item No.","@@"&amp;$F1995,"3 Posting Date",O$9)</t>
  </si>
  <si>
    <t>=-NL("Sum","5802 Value Entry","151 Cost Amount (Expected)","41 Source Type",$C$5,"5 Source No.",$C1995,"4 Item Ledger Entry Type",$C$4,"2 Item No.","@@"&amp;$F1995,"3 Posting Date",O$9)-NL("Sum","5802 Value Entry","43 Cost Amount (Actual)","41 Source Type",$C$5,"5 Source no.",$C1995,"4 Item Ledger Entry Type",$C$4,"2 Item No.","@@"&amp;$F1995,"3 Posting Date",O$9)</t>
  </si>
  <si>
    <t>=O1995-Q1995</t>
  </si>
  <si>
    <t>=IF(O1995&lt;&gt;0,R1995/O1995,"")</t>
  </si>
  <si>
    <t>=NL("Sum","5802 Value Entry","150 Sales Amount (Expected)","41 Source Type",$C$5,"5 Source No.",$C1995,"4 Item Ledger Entry Type",$C$4,"2 Item No.","@@"&amp;$F1995,"3 Posting Date",U$9)+NL("Sum","5802 Value Entry","17 Sales Amount (Actual)","41 Source Type",$C$5,"5 Source no.",$C1995,"4 Item Ledger Entry Type",$C$4,"2 Item No.","@@"&amp;$F1995,"3 Posting Date",U$9)</t>
  </si>
  <si>
    <t>=-NL("Sum","5802 Value Entry","151 Cost Amount (Expected)","41 Source Type",$C$5,"5 Source No.",$C1995,"4 Item Ledger Entry Type",$C$4,"2 Item No.","@@"&amp;$F1995,"3 Posting Date",U$9)-NL("Sum","5802 Value Entry","43 Cost Amount (Actual)","41 Source Type",$C$5,"5 Source no.",$C1995,"4 Item Ledger Entry Type",$C$4,"2 Item No.","@@"&amp;$F1995,"3 Posting Date",U$9)</t>
  </si>
  <si>
    <t>=U1995-W1995</t>
  </si>
  <si>
    <t>=IF(U1995&lt;&gt;0,X1995/U1995,"")</t>
  </si>
  <si>
    <t>=NL("Sum","5802 Value Entry","150 Sales Amount (Expected)","41 Source Type",$C$5,"5 Source No.",$C1995,"4 Item Ledger Entry Type",$C$4,"2 Item No.","@@"&amp;$F1995,"3 Posting Date",Z$9)+NL("Sum","5802 Value Entry","17 Sales Amount (Actual)","41 Source Type",$C$5,"5 Source no.",$C1995,"4 Item Ledger Entry Type",$C$4,"2 Item No.","@@"&amp;$F1995,"3 Posting Date",Z$9)</t>
  </si>
  <si>
    <t>=-NL("Sum","5802 Value Entry","151 Cost Amount (Expected)","41 Source Type",$C$5,"5 Source No.",$C1995,"4 Item Ledger Entry Type",$C$4,"2 Item No.","@@"&amp;$F1995,"3 Posting Date",Z$9)-NL("Sum","5802 Value Entry","43 Cost Amount (Actual)","41 Source Type",$C$5,"5 Source no.",$C1995,"4 Item Ledger Entry Type",$C$4,"2 Item No.","@@"&amp;$F1995,"3 Posting Date",Z$9)</t>
  </si>
  <si>
    <t>=Z1995-AB1995</t>
  </si>
  <si>
    <t>=IF(Z1995&lt;&gt;0,AC1995/Z1995,"")</t>
  </si>
  <si>
    <t>=C1995</t>
  </si>
  <si>
    <t>=NL("Sum","5802 Value Entry","150 Sales Amount (Expected)","41 Source Type",$C$5,"5 Source No.",$C1996,"4 Item Ledger Entry Type",$C$4,"2 Item No.","@@"&amp;$F1996,"3 Posting Date",J$9)+NL("Sum","5802 Value Entry","17 Sales Amount (Actual)","41 Source Type",$C$5,"5 Source no.",$C1996,"4 Item Ledger Entry Type",$C$4,"2 Item No.","@@"&amp;$F1996,"3 Posting Date",J$9)</t>
  </si>
  <si>
    <t>=-NL("Sum","5802 Value Entry","151 Cost Amount (Expected)","41 Source Type",$C$5,"5 Source No.",$C1996,"4 Item Ledger Entry Type",$C$4,"2 Item No.","@@"&amp;$F1996,"3 Posting Date",J$9)-NL("Sum","5802 Value Entry","43 Cost Amount (Actual)","41 Source Type",$C$5,"5 Source no.",$C1996,"4 Item Ledger Entry Type",$C$4,"2 Item No.","@@"&amp;$F1996,"3 Posting Date",J$9)</t>
  </si>
  <si>
    <t>=J1996-L1996</t>
  </si>
  <si>
    <t>=IF(J1996&lt;&gt;0,M1996/J1996,"")</t>
  </si>
  <si>
    <t>=NL("Sum","5802 Value Entry","150 Sales Amount (Expected)","41 Source Type",$C$5,"5 Source No.",$C1996,"4 Item Ledger Entry Type",$C$4,"2 Item No.","@@"&amp;$F1996,"3 Posting Date",O$9)+NL("Sum","5802 Value Entry","17 Sales Amount (Actual)","41 Source Type",$C$5,"5 Source no.",$C1996,"4 Item Ledger Entry Type",$C$4,"2 Item No.","@@"&amp;$F1996,"3 Posting Date",O$9)</t>
  </si>
  <si>
    <t>=-NL("Sum","5802 Value Entry","151 Cost Amount (Expected)","41 Source Type",$C$5,"5 Source No.",$C1996,"4 Item Ledger Entry Type",$C$4,"2 Item No.","@@"&amp;$F1996,"3 Posting Date",O$9)-NL("Sum","5802 Value Entry","43 Cost Amount (Actual)","41 Source Type",$C$5,"5 Source no.",$C1996,"4 Item Ledger Entry Type",$C$4,"2 Item No.","@@"&amp;$F1996,"3 Posting Date",O$9)</t>
  </si>
  <si>
    <t>=O1996-Q1996</t>
  </si>
  <si>
    <t>=IF(O1996&lt;&gt;0,R1996/O1996,"")</t>
  </si>
  <si>
    <t>=NL("Sum","5802 Value Entry","150 Sales Amount (Expected)","41 Source Type",$C$5,"5 Source No.",$C1996,"4 Item Ledger Entry Type",$C$4,"2 Item No.","@@"&amp;$F1996,"3 Posting Date",U$9)+NL("Sum","5802 Value Entry","17 Sales Amount (Actual)","41 Source Type",$C$5,"5 Source no.",$C1996,"4 Item Ledger Entry Type",$C$4,"2 Item No.","@@"&amp;$F1996,"3 Posting Date",U$9)</t>
  </si>
  <si>
    <t>=-NL("Sum","5802 Value Entry","151 Cost Amount (Expected)","41 Source Type",$C$5,"5 Source No.",$C1996,"4 Item Ledger Entry Type",$C$4,"2 Item No.","@@"&amp;$F1996,"3 Posting Date",U$9)-NL("Sum","5802 Value Entry","43 Cost Amount (Actual)","41 Source Type",$C$5,"5 Source no.",$C1996,"4 Item Ledger Entry Type",$C$4,"2 Item No.","@@"&amp;$F1996,"3 Posting Date",U$9)</t>
  </si>
  <si>
    <t>=U1996-W1996</t>
  </si>
  <si>
    <t>=IF(U1996&lt;&gt;0,X1996/U1996,"")</t>
  </si>
  <si>
    <t>=NL("Sum","5802 Value Entry","150 Sales Amount (Expected)","41 Source Type",$C$5,"5 Source No.",$C1996,"4 Item Ledger Entry Type",$C$4,"2 Item No.","@@"&amp;$F1996,"3 Posting Date",Z$9)+NL("Sum","5802 Value Entry","17 Sales Amount (Actual)","41 Source Type",$C$5,"5 Source no.",$C1996,"4 Item Ledger Entry Type",$C$4,"2 Item No.","@@"&amp;$F1996,"3 Posting Date",Z$9)</t>
  </si>
  <si>
    <t>=-NL("Sum","5802 Value Entry","151 Cost Amount (Expected)","41 Source Type",$C$5,"5 Source No.",$C1996,"4 Item Ledger Entry Type",$C$4,"2 Item No.","@@"&amp;$F1996,"3 Posting Date",Z$9)-NL("Sum","5802 Value Entry","43 Cost Amount (Actual)","41 Source Type",$C$5,"5 Source no.",$C1996,"4 Item Ledger Entry Type",$C$4,"2 Item No.","@@"&amp;$F1996,"3 Posting Date",Z$9)</t>
  </si>
  <si>
    <t>=Z1996-AB1996</t>
  </si>
  <si>
    <t>=IF(Z1996&lt;&gt;0,AC1996/Z1996,"")</t>
  </si>
  <si>
    <t>=C1996</t>
  </si>
  <si>
    <t>=NL("Sum","5802 Value Entry","150 Sales Amount (Expected)","41 Source Type",$C$5,"5 Source No.",$C1997,"4 Item Ledger Entry Type",$C$4,"2 Item No.","@@"&amp;$F1997,"3 Posting Date",J$9)+NL("Sum","5802 Value Entry","17 Sales Amount (Actual)","41 Source Type",$C$5,"5 Source no.",$C1997,"4 Item Ledger Entry Type",$C$4,"2 Item No.","@@"&amp;$F1997,"3 Posting Date",J$9)</t>
  </si>
  <si>
    <t>=-NL("Sum","5802 Value Entry","151 Cost Amount (Expected)","41 Source Type",$C$5,"5 Source No.",$C1997,"4 Item Ledger Entry Type",$C$4,"2 Item No.","@@"&amp;$F1997,"3 Posting Date",J$9)-NL("Sum","5802 Value Entry","43 Cost Amount (Actual)","41 Source Type",$C$5,"5 Source no.",$C1997,"4 Item Ledger Entry Type",$C$4,"2 Item No.","@@"&amp;$F1997,"3 Posting Date",J$9)</t>
  </si>
  <si>
    <t>=J1997-L1997</t>
  </si>
  <si>
    <t>=IF(J1997&lt;&gt;0,M1997/J1997,"")</t>
  </si>
  <si>
    <t>=NL("Sum","5802 Value Entry","150 Sales Amount (Expected)","41 Source Type",$C$5,"5 Source No.",$C1997,"4 Item Ledger Entry Type",$C$4,"2 Item No.","@@"&amp;$F1997,"3 Posting Date",O$9)+NL("Sum","5802 Value Entry","17 Sales Amount (Actual)","41 Source Type",$C$5,"5 Source no.",$C1997,"4 Item Ledger Entry Type",$C$4,"2 Item No.","@@"&amp;$F1997,"3 Posting Date",O$9)</t>
  </si>
  <si>
    <t>=-NL("Sum","5802 Value Entry","151 Cost Amount (Expected)","41 Source Type",$C$5,"5 Source No.",$C1997,"4 Item Ledger Entry Type",$C$4,"2 Item No.","@@"&amp;$F1997,"3 Posting Date",O$9)-NL("Sum","5802 Value Entry","43 Cost Amount (Actual)","41 Source Type",$C$5,"5 Source no.",$C1997,"4 Item Ledger Entry Type",$C$4,"2 Item No.","@@"&amp;$F1997,"3 Posting Date",O$9)</t>
  </si>
  <si>
    <t>=O1997-Q1997</t>
  </si>
  <si>
    <t>=IF(O1997&lt;&gt;0,R1997/O1997,"")</t>
  </si>
  <si>
    <t>=NL("Sum","5802 Value Entry","150 Sales Amount (Expected)","41 Source Type",$C$5,"5 Source No.",$C1997,"4 Item Ledger Entry Type",$C$4,"2 Item No.","@@"&amp;$F1997,"3 Posting Date",U$9)+NL("Sum","5802 Value Entry","17 Sales Amount (Actual)","41 Source Type",$C$5,"5 Source no.",$C1997,"4 Item Ledger Entry Type",$C$4,"2 Item No.","@@"&amp;$F1997,"3 Posting Date",U$9)</t>
  </si>
  <si>
    <t>=-NL("Sum","5802 Value Entry","151 Cost Amount (Expected)","41 Source Type",$C$5,"5 Source No.",$C1997,"4 Item Ledger Entry Type",$C$4,"2 Item No.","@@"&amp;$F1997,"3 Posting Date",U$9)-NL("Sum","5802 Value Entry","43 Cost Amount (Actual)","41 Source Type",$C$5,"5 Source no.",$C1997,"4 Item Ledger Entry Type",$C$4,"2 Item No.","@@"&amp;$F1997,"3 Posting Date",U$9)</t>
  </si>
  <si>
    <t>=U1997-W1997</t>
  </si>
  <si>
    <t>=IF(U1997&lt;&gt;0,X1997/U1997,"")</t>
  </si>
  <si>
    <t>=NL("Sum","5802 Value Entry","150 Sales Amount (Expected)","41 Source Type",$C$5,"5 Source No.",$C1997,"4 Item Ledger Entry Type",$C$4,"2 Item No.","@@"&amp;$F1997,"3 Posting Date",Z$9)+NL("Sum","5802 Value Entry","17 Sales Amount (Actual)","41 Source Type",$C$5,"5 Source no.",$C1997,"4 Item Ledger Entry Type",$C$4,"2 Item No.","@@"&amp;$F1997,"3 Posting Date",Z$9)</t>
  </si>
  <si>
    <t>=-NL("Sum","5802 Value Entry","151 Cost Amount (Expected)","41 Source Type",$C$5,"5 Source No.",$C1997,"4 Item Ledger Entry Type",$C$4,"2 Item No.","@@"&amp;$F1997,"3 Posting Date",Z$9)-NL("Sum","5802 Value Entry","43 Cost Amount (Actual)","41 Source Type",$C$5,"5 Source no.",$C1997,"4 Item Ledger Entry Type",$C$4,"2 Item No.","@@"&amp;$F1997,"3 Posting Date",Z$9)</t>
  </si>
  <si>
    <t>=Z1997-AB1997</t>
  </si>
  <si>
    <t>=IF(Z1997&lt;&gt;0,AC1997/Z1997,"")</t>
  </si>
  <si>
    <t>=C1998</t>
  </si>
  <si>
    <t>=J1999-L1999</t>
  </si>
  <si>
    <t>=IF(J1999&lt;&gt;0,M1999/J1999,"")</t>
  </si>
  <si>
    <t>=O1999-Q1999</t>
  </si>
  <si>
    <t>=IF(O1999&lt;&gt;0,R1999/O1999,"")</t>
  </si>
  <si>
    <t>=U1999-W1999</t>
  </si>
  <si>
    <t>=IF(U1999&lt;&gt;0,X1999/U1999,"")</t>
  </si>
  <si>
    <t>=Z1999-AB1999</t>
  </si>
  <si>
    <t>=IF(Z1999&lt;&gt;0,AC1999/Z1999,"")</t>
  </si>
  <si>
    <t>=C2001</t>
  </si>
  <si>
    <t>=C2002</t>
  </si>
  <si>
    <t>=NL("Sum","5802 Value Entry","150 Sales Amount (Expected)","41 Source Type",$C$5,"5 Source No.",$C2003,"4 Item Ledger Entry Type",$C$4,"2 Item No.","@@"&amp;$F2003,"3 Posting Date",J$9)+NL("Sum","5802 Value Entry","17 Sales Amount (Actual)","41 Source Type",$C$5,"5 Source no.",$C2003,"4 Item Ledger Entry Type",$C$4,"2 Item No.","@@"&amp;$F2003,"3 Posting Date",J$9)</t>
  </si>
  <si>
    <t>=-NL("Sum","5802 Value Entry","151 Cost Amount (Expected)","41 Source Type",$C$5,"5 Source No.",$C2003,"4 Item Ledger Entry Type",$C$4,"2 Item No.","@@"&amp;$F2003,"3 Posting Date",J$9)-NL("Sum","5802 Value Entry","43 Cost Amount (Actual)","41 Source Type",$C$5,"5 Source no.",$C2003,"4 Item Ledger Entry Type",$C$4,"2 Item No.","@@"&amp;$F2003,"3 Posting Date",J$9)</t>
  </si>
  <si>
    <t>=J2003-L2003</t>
  </si>
  <si>
    <t>=IF(J2003&lt;&gt;0,M2003/J2003,"")</t>
  </si>
  <si>
    <t>=NL("Sum","5802 Value Entry","150 Sales Amount (Expected)","41 Source Type",$C$5,"5 Source No.",$C2003,"4 Item Ledger Entry Type",$C$4,"2 Item No.","@@"&amp;$F2003,"3 Posting Date",O$9)+NL("Sum","5802 Value Entry","17 Sales Amount (Actual)","41 Source Type",$C$5,"5 Source no.",$C2003,"4 Item Ledger Entry Type",$C$4,"2 Item No.","@@"&amp;$F2003,"3 Posting Date",O$9)</t>
  </si>
  <si>
    <t>=-NL("Sum","5802 Value Entry","151 Cost Amount (Expected)","41 Source Type",$C$5,"5 Source No.",$C2003,"4 Item Ledger Entry Type",$C$4,"2 Item No.","@@"&amp;$F2003,"3 Posting Date",O$9)-NL("Sum","5802 Value Entry","43 Cost Amount (Actual)","41 Source Type",$C$5,"5 Source no.",$C2003,"4 Item Ledger Entry Type",$C$4,"2 Item No.","@@"&amp;$F2003,"3 Posting Date",O$9)</t>
  </si>
  <si>
    <t>=O2003-Q2003</t>
  </si>
  <si>
    <t>=IF(O2003&lt;&gt;0,R2003/O2003,"")</t>
  </si>
  <si>
    <t>=NL("Sum","5802 Value Entry","150 Sales Amount (Expected)","41 Source Type",$C$5,"5 Source No.",$C2003,"4 Item Ledger Entry Type",$C$4,"2 Item No.","@@"&amp;$F2003,"3 Posting Date",U$9)+NL("Sum","5802 Value Entry","17 Sales Amount (Actual)","41 Source Type",$C$5,"5 Source no.",$C2003,"4 Item Ledger Entry Type",$C$4,"2 Item No.","@@"&amp;$F2003,"3 Posting Date",U$9)</t>
  </si>
  <si>
    <t>=-NL("Sum","5802 Value Entry","151 Cost Amount (Expected)","41 Source Type",$C$5,"5 Source No.",$C2003,"4 Item Ledger Entry Type",$C$4,"2 Item No.","@@"&amp;$F2003,"3 Posting Date",U$9)-NL("Sum","5802 Value Entry","43 Cost Amount (Actual)","41 Source Type",$C$5,"5 Source no.",$C2003,"4 Item Ledger Entry Type",$C$4,"2 Item No.","@@"&amp;$F2003,"3 Posting Date",U$9)</t>
  </si>
  <si>
    <t>=U2003-W2003</t>
  </si>
  <si>
    <t>=IF(U2003&lt;&gt;0,X2003/U2003,"")</t>
  </si>
  <si>
    <t>=NL("Sum","5802 Value Entry","150 Sales Amount (Expected)","41 Source Type",$C$5,"5 Source No.",$C2003,"4 Item Ledger Entry Type",$C$4,"2 Item No.","@@"&amp;$F2003,"3 Posting Date",Z$9)+NL("Sum","5802 Value Entry","17 Sales Amount (Actual)","41 Source Type",$C$5,"5 Source no.",$C2003,"4 Item Ledger Entry Type",$C$4,"2 Item No.","@@"&amp;$F2003,"3 Posting Date",Z$9)</t>
  </si>
  <si>
    <t>=-NL("Sum","5802 Value Entry","151 Cost Amount (Expected)","41 Source Type",$C$5,"5 Source No.",$C2003,"4 Item Ledger Entry Type",$C$4,"2 Item No.","@@"&amp;$F2003,"3 Posting Date",Z$9)-NL("Sum","5802 Value Entry","43 Cost Amount (Actual)","41 Source Type",$C$5,"5 Source no.",$C2003,"4 Item Ledger Entry Type",$C$4,"2 Item No.","@@"&amp;$F2003,"3 Posting Date",Z$9)</t>
  </si>
  <si>
    <t>=Z2003-AB2003</t>
  </si>
  <si>
    <t>=IF(Z2003&lt;&gt;0,AC2003/Z2003,"")</t>
  </si>
  <si>
    <t>=C2003</t>
  </si>
  <si>
    <t>=NL("Sum","5802 Value Entry","150 Sales Amount (Expected)","41 Source Type",$C$5,"5 Source No.",$C2004,"4 Item Ledger Entry Type",$C$4,"2 Item No.","@@"&amp;$F2004,"3 Posting Date",J$9)+NL("Sum","5802 Value Entry","17 Sales Amount (Actual)","41 Source Type",$C$5,"5 Source no.",$C2004,"4 Item Ledger Entry Type",$C$4,"2 Item No.","@@"&amp;$F2004,"3 Posting Date",J$9)</t>
  </si>
  <si>
    <t>=-NL("Sum","5802 Value Entry","151 Cost Amount (Expected)","41 Source Type",$C$5,"5 Source No.",$C2004,"4 Item Ledger Entry Type",$C$4,"2 Item No.","@@"&amp;$F2004,"3 Posting Date",J$9)-NL("Sum","5802 Value Entry","43 Cost Amount (Actual)","41 Source Type",$C$5,"5 Source no.",$C2004,"4 Item Ledger Entry Type",$C$4,"2 Item No.","@@"&amp;$F2004,"3 Posting Date",J$9)</t>
  </si>
  <si>
    <t>=J2004-L2004</t>
  </si>
  <si>
    <t>=IF(J2004&lt;&gt;0,M2004/J2004,"")</t>
  </si>
  <si>
    <t>=NL("Sum","5802 Value Entry","150 Sales Amount (Expected)","41 Source Type",$C$5,"5 Source No.",$C2004,"4 Item Ledger Entry Type",$C$4,"2 Item No.","@@"&amp;$F2004,"3 Posting Date",O$9)+NL("Sum","5802 Value Entry","17 Sales Amount (Actual)","41 Source Type",$C$5,"5 Source no.",$C2004,"4 Item Ledger Entry Type",$C$4,"2 Item No.","@@"&amp;$F2004,"3 Posting Date",O$9)</t>
  </si>
  <si>
    <t>=-NL("Sum","5802 Value Entry","151 Cost Amount (Expected)","41 Source Type",$C$5,"5 Source No.",$C2004,"4 Item Ledger Entry Type",$C$4,"2 Item No.","@@"&amp;$F2004,"3 Posting Date",O$9)-NL("Sum","5802 Value Entry","43 Cost Amount (Actual)","41 Source Type",$C$5,"5 Source no.",$C2004,"4 Item Ledger Entry Type",$C$4,"2 Item No.","@@"&amp;$F2004,"3 Posting Date",O$9)</t>
  </si>
  <si>
    <t>=O2004-Q2004</t>
  </si>
  <si>
    <t>=IF(O2004&lt;&gt;0,R2004/O2004,"")</t>
  </si>
  <si>
    <t>=NL("Sum","5802 Value Entry","150 Sales Amount (Expected)","41 Source Type",$C$5,"5 Source No.",$C2004,"4 Item Ledger Entry Type",$C$4,"2 Item No.","@@"&amp;$F2004,"3 Posting Date",U$9)+NL("Sum","5802 Value Entry","17 Sales Amount (Actual)","41 Source Type",$C$5,"5 Source no.",$C2004,"4 Item Ledger Entry Type",$C$4,"2 Item No.","@@"&amp;$F2004,"3 Posting Date",U$9)</t>
  </si>
  <si>
    <t>=-NL("Sum","5802 Value Entry","151 Cost Amount (Expected)","41 Source Type",$C$5,"5 Source No.",$C2004,"4 Item Ledger Entry Type",$C$4,"2 Item No.","@@"&amp;$F2004,"3 Posting Date",U$9)-NL("Sum","5802 Value Entry","43 Cost Amount (Actual)","41 Source Type",$C$5,"5 Source no.",$C2004,"4 Item Ledger Entry Type",$C$4,"2 Item No.","@@"&amp;$F2004,"3 Posting Date",U$9)</t>
  </si>
  <si>
    <t>=U2004-W2004</t>
  </si>
  <si>
    <t>=IF(U2004&lt;&gt;0,X2004/U2004,"")</t>
  </si>
  <si>
    <t>=NL("Sum","5802 Value Entry","150 Sales Amount (Expected)","41 Source Type",$C$5,"5 Source No.",$C2004,"4 Item Ledger Entry Type",$C$4,"2 Item No.","@@"&amp;$F2004,"3 Posting Date",Z$9)+NL("Sum","5802 Value Entry","17 Sales Amount (Actual)","41 Source Type",$C$5,"5 Source no.",$C2004,"4 Item Ledger Entry Type",$C$4,"2 Item No.","@@"&amp;$F2004,"3 Posting Date",Z$9)</t>
  </si>
  <si>
    <t>=-NL("Sum","5802 Value Entry","151 Cost Amount (Expected)","41 Source Type",$C$5,"5 Source No.",$C2004,"4 Item Ledger Entry Type",$C$4,"2 Item No.","@@"&amp;$F2004,"3 Posting Date",Z$9)-NL("Sum","5802 Value Entry","43 Cost Amount (Actual)","41 Source Type",$C$5,"5 Source no.",$C2004,"4 Item Ledger Entry Type",$C$4,"2 Item No.","@@"&amp;$F2004,"3 Posting Date",Z$9)</t>
  </si>
  <si>
    <t>=Z2004-AB2004</t>
  </si>
  <si>
    <t>=IF(Z2004&lt;&gt;0,AC2004/Z2004,"")</t>
  </si>
  <si>
    <t>=C2004</t>
  </si>
  <si>
    <t>=NL("Sum","5802 Value Entry","150 Sales Amount (Expected)","41 Source Type",$C$5,"5 Source No.",$C2005,"4 Item Ledger Entry Type",$C$4,"2 Item No.","@@"&amp;$F2005,"3 Posting Date",J$9)+NL("Sum","5802 Value Entry","17 Sales Amount (Actual)","41 Source Type",$C$5,"5 Source no.",$C2005,"4 Item Ledger Entry Type",$C$4,"2 Item No.","@@"&amp;$F2005,"3 Posting Date",J$9)</t>
  </si>
  <si>
    <t>=-NL("Sum","5802 Value Entry","151 Cost Amount (Expected)","41 Source Type",$C$5,"5 Source No.",$C2005,"4 Item Ledger Entry Type",$C$4,"2 Item No.","@@"&amp;$F2005,"3 Posting Date",J$9)-NL("Sum","5802 Value Entry","43 Cost Amount (Actual)","41 Source Type",$C$5,"5 Source no.",$C2005,"4 Item Ledger Entry Type",$C$4,"2 Item No.","@@"&amp;$F2005,"3 Posting Date",J$9)</t>
  </si>
  <si>
    <t>=J2005-L2005</t>
  </si>
  <si>
    <t>=IF(J2005&lt;&gt;0,M2005/J2005,"")</t>
  </si>
  <si>
    <t>=NL("Sum","5802 Value Entry","150 Sales Amount (Expected)","41 Source Type",$C$5,"5 Source No.",$C2005,"4 Item Ledger Entry Type",$C$4,"2 Item No.","@@"&amp;$F2005,"3 Posting Date",O$9)+NL("Sum","5802 Value Entry","17 Sales Amount (Actual)","41 Source Type",$C$5,"5 Source no.",$C2005,"4 Item Ledger Entry Type",$C$4,"2 Item No.","@@"&amp;$F2005,"3 Posting Date",O$9)</t>
  </si>
  <si>
    <t>=-NL("Sum","5802 Value Entry","151 Cost Amount (Expected)","41 Source Type",$C$5,"5 Source No.",$C2005,"4 Item Ledger Entry Type",$C$4,"2 Item No.","@@"&amp;$F2005,"3 Posting Date",O$9)-NL("Sum","5802 Value Entry","43 Cost Amount (Actual)","41 Source Type",$C$5,"5 Source no.",$C2005,"4 Item Ledger Entry Type",$C$4,"2 Item No.","@@"&amp;$F2005,"3 Posting Date",O$9)</t>
  </si>
  <si>
    <t>=O2005-Q2005</t>
  </si>
  <si>
    <t>=IF(O2005&lt;&gt;0,R2005/O2005,"")</t>
  </si>
  <si>
    <t>=NL("Sum","5802 Value Entry","150 Sales Amount (Expected)","41 Source Type",$C$5,"5 Source No.",$C2005,"4 Item Ledger Entry Type",$C$4,"2 Item No.","@@"&amp;$F2005,"3 Posting Date",U$9)+NL("Sum","5802 Value Entry","17 Sales Amount (Actual)","41 Source Type",$C$5,"5 Source no.",$C2005,"4 Item Ledger Entry Type",$C$4,"2 Item No.","@@"&amp;$F2005,"3 Posting Date",U$9)</t>
  </si>
  <si>
    <t>=-NL("Sum","5802 Value Entry","151 Cost Amount (Expected)","41 Source Type",$C$5,"5 Source No.",$C2005,"4 Item Ledger Entry Type",$C$4,"2 Item No.","@@"&amp;$F2005,"3 Posting Date",U$9)-NL("Sum","5802 Value Entry","43 Cost Amount (Actual)","41 Source Type",$C$5,"5 Source no.",$C2005,"4 Item Ledger Entry Type",$C$4,"2 Item No.","@@"&amp;$F2005,"3 Posting Date",U$9)</t>
  </si>
  <si>
    <t>=U2005-W2005</t>
  </si>
  <si>
    <t>=IF(U2005&lt;&gt;0,X2005/U2005,"")</t>
  </si>
  <si>
    <t>=NL("Sum","5802 Value Entry","150 Sales Amount (Expected)","41 Source Type",$C$5,"5 Source No.",$C2005,"4 Item Ledger Entry Type",$C$4,"2 Item No.","@@"&amp;$F2005,"3 Posting Date",Z$9)+NL("Sum","5802 Value Entry","17 Sales Amount (Actual)","41 Source Type",$C$5,"5 Source no.",$C2005,"4 Item Ledger Entry Type",$C$4,"2 Item No.","@@"&amp;$F2005,"3 Posting Date",Z$9)</t>
  </si>
  <si>
    <t>=-NL("Sum","5802 Value Entry","151 Cost Amount (Expected)","41 Source Type",$C$5,"5 Source No.",$C2005,"4 Item Ledger Entry Type",$C$4,"2 Item No.","@@"&amp;$F2005,"3 Posting Date",Z$9)-NL("Sum","5802 Value Entry","43 Cost Amount (Actual)","41 Source Type",$C$5,"5 Source no.",$C2005,"4 Item Ledger Entry Type",$C$4,"2 Item No.","@@"&amp;$F2005,"3 Posting Date",Z$9)</t>
  </si>
  <si>
    <t>=Z2005-AB2005</t>
  </si>
  <si>
    <t>=IF(Z2005&lt;&gt;0,AC2005/Z2005,"")</t>
  </si>
  <si>
    <t>=C2005</t>
  </si>
  <si>
    <t>=NL("Sum","5802 Value Entry","150 Sales Amount (Expected)","41 Source Type",$C$5,"5 Source No.",$C2006,"4 Item Ledger Entry Type",$C$4,"2 Item No.","@@"&amp;$F2006,"3 Posting Date",J$9)+NL("Sum","5802 Value Entry","17 Sales Amount (Actual)","41 Source Type",$C$5,"5 Source no.",$C2006,"4 Item Ledger Entry Type",$C$4,"2 Item No.","@@"&amp;$F2006,"3 Posting Date",J$9)</t>
  </si>
  <si>
    <t>=-NL("Sum","5802 Value Entry","151 Cost Amount (Expected)","41 Source Type",$C$5,"5 Source No.",$C2006,"4 Item Ledger Entry Type",$C$4,"2 Item No.","@@"&amp;$F2006,"3 Posting Date",J$9)-NL("Sum","5802 Value Entry","43 Cost Amount (Actual)","41 Source Type",$C$5,"5 Source no.",$C2006,"4 Item Ledger Entry Type",$C$4,"2 Item No.","@@"&amp;$F2006,"3 Posting Date",J$9)</t>
  </si>
  <si>
    <t>=J2006-L2006</t>
  </si>
  <si>
    <t>=IF(J2006&lt;&gt;0,M2006/J2006,"")</t>
  </si>
  <si>
    <t>=NL("Sum","5802 Value Entry","150 Sales Amount (Expected)","41 Source Type",$C$5,"5 Source No.",$C2006,"4 Item Ledger Entry Type",$C$4,"2 Item No.","@@"&amp;$F2006,"3 Posting Date",O$9)+NL("Sum","5802 Value Entry","17 Sales Amount (Actual)","41 Source Type",$C$5,"5 Source no.",$C2006,"4 Item Ledger Entry Type",$C$4,"2 Item No.","@@"&amp;$F2006,"3 Posting Date",O$9)</t>
  </si>
  <si>
    <t>=-NL("Sum","5802 Value Entry","151 Cost Amount (Expected)","41 Source Type",$C$5,"5 Source No.",$C2006,"4 Item Ledger Entry Type",$C$4,"2 Item No.","@@"&amp;$F2006,"3 Posting Date",O$9)-NL("Sum","5802 Value Entry","43 Cost Amount (Actual)","41 Source Type",$C$5,"5 Source no.",$C2006,"4 Item Ledger Entry Type",$C$4,"2 Item No.","@@"&amp;$F2006,"3 Posting Date",O$9)</t>
  </si>
  <si>
    <t>=O2006-Q2006</t>
  </si>
  <si>
    <t>=IF(O2006&lt;&gt;0,R2006/O2006,"")</t>
  </si>
  <si>
    <t>=NL("Sum","5802 Value Entry","150 Sales Amount (Expected)","41 Source Type",$C$5,"5 Source No.",$C2006,"4 Item Ledger Entry Type",$C$4,"2 Item No.","@@"&amp;$F2006,"3 Posting Date",U$9)+NL("Sum","5802 Value Entry","17 Sales Amount (Actual)","41 Source Type",$C$5,"5 Source no.",$C2006,"4 Item Ledger Entry Type",$C$4,"2 Item No.","@@"&amp;$F2006,"3 Posting Date",U$9)</t>
  </si>
  <si>
    <t>=-NL("Sum","5802 Value Entry","151 Cost Amount (Expected)","41 Source Type",$C$5,"5 Source No.",$C2006,"4 Item Ledger Entry Type",$C$4,"2 Item No.","@@"&amp;$F2006,"3 Posting Date",U$9)-NL("Sum","5802 Value Entry","43 Cost Amount (Actual)","41 Source Type",$C$5,"5 Source no.",$C2006,"4 Item Ledger Entry Type",$C$4,"2 Item No.","@@"&amp;$F2006,"3 Posting Date",U$9)</t>
  </si>
  <si>
    <t>=U2006-W2006</t>
  </si>
  <si>
    <t>=IF(U2006&lt;&gt;0,X2006/U2006,"")</t>
  </si>
  <si>
    <t>=NL("Sum","5802 Value Entry","150 Sales Amount (Expected)","41 Source Type",$C$5,"5 Source No.",$C2006,"4 Item Ledger Entry Type",$C$4,"2 Item No.","@@"&amp;$F2006,"3 Posting Date",Z$9)+NL("Sum","5802 Value Entry","17 Sales Amount (Actual)","41 Source Type",$C$5,"5 Source no.",$C2006,"4 Item Ledger Entry Type",$C$4,"2 Item No.","@@"&amp;$F2006,"3 Posting Date",Z$9)</t>
  </si>
  <si>
    <t>=-NL("Sum","5802 Value Entry","151 Cost Amount (Expected)","41 Source Type",$C$5,"5 Source No.",$C2006,"4 Item Ledger Entry Type",$C$4,"2 Item No.","@@"&amp;$F2006,"3 Posting Date",Z$9)-NL("Sum","5802 Value Entry","43 Cost Amount (Actual)","41 Source Type",$C$5,"5 Source no.",$C2006,"4 Item Ledger Entry Type",$C$4,"2 Item No.","@@"&amp;$F2006,"3 Posting Date",Z$9)</t>
  </si>
  <si>
    <t>=Z2006-AB2006</t>
  </si>
  <si>
    <t>=IF(Z2006&lt;&gt;0,AC2006/Z2006,"")</t>
  </si>
  <si>
    <t>=C2006</t>
  </si>
  <si>
    <t>=NL("Sum","5802 Value Entry","150 Sales Amount (Expected)","41 Source Type",$C$5,"5 Source No.",$C2007,"4 Item Ledger Entry Type",$C$4,"2 Item No.","@@"&amp;$F2007,"3 Posting Date",J$9)+NL("Sum","5802 Value Entry","17 Sales Amount (Actual)","41 Source Type",$C$5,"5 Source no.",$C2007,"4 Item Ledger Entry Type",$C$4,"2 Item No.","@@"&amp;$F2007,"3 Posting Date",J$9)</t>
  </si>
  <si>
    <t>=-NL("Sum","5802 Value Entry","151 Cost Amount (Expected)","41 Source Type",$C$5,"5 Source No.",$C2007,"4 Item Ledger Entry Type",$C$4,"2 Item No.","@@"&amp;$F2007,"3 Posting Date",J$9)-NL("Sum","5802 Value Entry","43 Cost Amount (Actual)","41 Source Type",$C$5,"5 Source no.",$C2007,"4 Item Ledger Entry Type",$C$4,"2 Item No.","@@"&amp;$F2007,"3 Posting Date",J$9)</t>
  </si>
  <si>
    <t>=J2007-L2007</t>
  </si>
  <si>
    <t>=IF(J2007&lt;&gt;0,M2007/J2007,"")</t>
  </si>
  <si>
    <t>=NL("Sum","5802 Value Entry","150 Sales Amount (Expected)","41 Source Type",$C$5,"5 Source No.",$C2007,"4 Item Ledger Entry Type",$C$4,"2 Item No.","@@"&amp;$F2007,"3 Posting Date",O$9)+NL("Sum","5802 Value Entry","17 Sales Amount (Actual)","41 Source Type",$C$5,"5 Source no.",$C2007,"4 Item Ledger Entry Type",$C$4,"2 Item No.","@@"&amp;$F2007,"3 Posting Date",O$9)</t>
  </si>
  <si>
    <t>=-NL("Sum","5802 Value Entry","151 Cost Amount (Expected)","41 Source Type",$C$5,"5 Source No.",$C2007,"4 Item Ledger Entry Type",$C$4,"2 Item No.","@@"&amp;$F2007,"3 Posting Date",O$9)-NL("Sum","5802 Value Entry","43 Cost Amount (Actual)","41 Source Type",$C$5,"5 Source no.",$C2007,"4 Item Ledger Entry Type",$C$4,"2 Item No.","@@"&amp;$F2007,"3 Posting Date",O$9)</t>
  </si>
  <si>
    <t>=O2007-Q2007</t>
  </si>
  <si>
    <t>=IF(O2007&lt;&gt;0,R2007/O2007,"")</t>
  </si>
  <si>
    <t>=NL("Sum","5802 Value Entry","150 Sales Amount (Expected)","41 Source Type",$C$5,"5 Source No.",$C2007,"4 Item Ledger Entry Type",$C$4,"2 Item No.","@@"&amp;$F2007,"3 Posting Date",U$9)+NL("Sum","5802 Value Entry","17 Sales Amount (Actual)","41 Source Type",$C$5,"5 Source no.",$C2007,"4 Item Ledger Entry Type",$C$4,"2 Item No.","@@"&amp;$F2007,"3 Posting Date",U$9)</t>
  </si>
  <si>
    <t>=-NL("Sum","5802 Value Entry","151 Cost Amount (Expected)","41 Source Type",$C$5,"5 Source No.",$C2007,"4 Item Ledger Entry Type",$C$4,"2 Item No.","@@"&amp;$F2007,"3 Posting Date",U$9)-NL("Sum","5802 Value Entry","43 Cost Amount (Actual)","41 Source Type",$C$5,"5 Source no.",$C2007,"4 Item Ledger Entry Type",$C$4,"2 Item No.","@@"&amp;$F2007,"3 Posting Date",U$9)</t>
  </si>
  <si>
    <t>=U2007-W2007</t>
  </si>
  <si>
    <t>=IF(U2007&lt;&gt;0,X2007/U2007,"")</t>
  </si>
  <si>
    <t>=NL("Sum","5802 Value Entry","150 Sales Amount (Expected)","41 Source Type",$C$5,"5 Source No.",$C2007,"4 Item Ledger Entry Type",$C$4,"2 Item No.","@@"&amp;$F2007,"3 Posting Date",Z$9)+NL("Sum","5802 Value Entry","17 Sales Amount (Actual)","41 Source Type",$C$5,"5 Source no.",$C2007,"4 Item Ledger Entry Type",$C$4,"2 Item No.","@@"&amp;$F2007,"3 Posting Date",Z$9)</t>
  </si>
  <si>
    <t>=-NL("Sum","5802 Value Entry","151 Cost Amount (Expected)","41 Source Type",$C$5,"5 Source No.",$C2007,"4 Item Ledger Entry Type",$C$4,"2 Item No.","@@"&amp;$F2007,"3 Posting Date",Z$9)-NL("Sum","5802 Value Entry","43 Cost Amount (Actual)","41 Source Type",$C$5,"5 Source no.",$C2007,"4 Item Ledger Entry Type",$C$4,"2 Item No.","@@"&amp;$F2007,"3 Posting Date",Z$9)</t>
  </si>
  <si>
    <t>=Z2007-AB2007</t>
  </si>
  <si>
    <t>=IF(Z2007&lt;&gt;0,AC2007/Z2007,"")</t>
  </si>
  <si>
    <t>=C2007</t>
  </si>
  <si>
    <t>=NL("Sum","5802 Value Entry","150 Sales Amount (Expected)","41 Source Type",$C$5,"5 Source No.",$C2008,"4 Item Ledger Entry Type",$C$4,"2 Item No.","@@"&amp;$F2008,"3 Posting Date",J$9)+NL("Sum","5802 Value Entry","17 Sales Amount (Actual)","41 Source Type",$C$5,"5 Source no.",$C2008,"4 Item Ledger Entry Type",$C$4,"2 Item No.","@@"&amp;$F2008,"3 Posting Date",J$9)</t>
  </si>
  <si>
    <t>=-NL("Sum","5802 Value Entry","151 Cost Amount (Expected)","41 Source Type",$C$5,"5 Source No.",$C2008,"4 Item Ledger Entry Type",$C$4,"2 Item No.","@@"&amp;$F2008,"3 Posting Date",J$9)-NL("Sum","5802 Value Entry","43 Cost Amount (Actual)","41 Source Type",$C$5,"5 Source no.",$C2008,"4 Item Ledger Entry Type",$C$4,"2 Item No.","@@"&amp;$F2008,"3 Posting Date",J$9)</t>
  </si>
  <si>
    <t>=J2008-L2008</t>
  </si>
  <si>
    <t>=IF(J2008&lt;&gt;0,M2008/J2008,"")</t>
  </si>
  <si>
    <t>=NL("Sum","5802 Value Entry","150 Sales Amount (Expected)","41 Source Type",$C$5,"5 Source No.",$C2008,"4 Item Ledger Entry Type",$C$4,"2 Item No.","@@"&amp;$F2008,"3 Posting Date",O$9)+NL("Sum","5802 Value Entry","17 Sales Amount (Actual)","41 Source Type",$C$5,"5 Source no.",$C2008,"4 Item Ledger Entry Type",$C$4,"2 Item No.","@@"&amp;$F2008,"3 Posting Date",O$9)</t>
  </si>
  <si>
    <t>=-NL("Sum","5802 Value Entry","151 Cost Amount (Expected)","41 Source Type",$C$5,"5 Source No.",$C2008,"4 Item Ledger Entry Type",$C$4,"2 Item No.","@@"&amp;$F2008,"3 Posting Date",O$9)-NL("Sum","5802 Value Entry","43 Cost Amount (Actual)","41 Source Type",$C$5,"5 Source no.",$C2008,"4 Item Ledger Entry Type",$C$4,"2 Item No.","@@"&amp;$F2008,"3 Posting Date",O$9)</t>
  </si>
  <si>
    <t>=O2008-Q2008</t>
  </si>
  <si>
    <t>=IF(O2008&lt;&gt;0,R2008/O2008,"")</t>
  </si>
  <si>
    <t>=NL("Sum","5802 Value Entry","150 Sales Amount (Expected)","41 Source Type",$C$5,"5 Source No.",$C2008,"4 Item Ledger Entry Type",$C$4,"2 Item No.","@@"&amp;$F2008,"3 Posting Date",U$9)+NL("Sum","5802 Value Entry","17 Sales Amount (Actual)","41 Source Type",$C$5,"5 Source no.",$C2008,"4 Item Ledger Entry Type",$C$4,"2 Item No.","@@"&amp;$F2008,"3 Posting Date",U$9)</t>
  </si>
  <si>
    <t>=-NL("Sum","5802 Value Entry","151 Cost Amount (Expected)","41 Source Type",$C$5,"5 Source No.",$C2008,"4 Item Ledger Entry Type",$C$4,"2 Item No.","@@"&amp;$F2008,"3 Posting Date",U$9)-NL("Sum","5802 Value Entry","43 Cost Amount (Actual)","41 Source Type",$C$5,"5 Source no.",$C2008,"4 Item Ledger Entry Type",$C$4,"2 Item No.","@@"&amp;$F2008,"3 Posting Date",U$9)</t>
  </si>
  <si>
    <t>=U2008-W2008</t>
  </si>
  <si>
    <t>=IF(U2008&lt;&gt;0,X2008/U2008,"")</t>
  </si>
  <si>
    <t>=NL("Sum","5802 Value Entry","150 Sales Amount (Expected)","41 Source Type",$C$5,"5 Source No.",$C2008,"4 Item Ledger Entry Type",$C$4,"2 Item No.","@@"&amp;$F2008,"3 Posting Date",Z$9)+NL("Sum","5802 Value Entry","17 Sales Amount (Actual)","41 Source Type",$C$5,"5 Source no.",$C2008,"4 Item Ledger Entry Type",$C$4,"2 Item No.","@@"&amp;$F2008,"3 Posting Date",Z$9)</t>
  </si>
  <si>
    <t>=-NL("Sum","5802 Value Entry","151 Cost Amount (Expected)","41 Source Type",$C$5,"5 Source No.",$C2008,"4 Item Ledger Entry Type",$C$4,"2 Item No.","@@"&amp;$F2008,"3 Posting Date",Z$9)-NL("Sum","5802 Value Entry","43 Cost Amount (Actual)","41 Source Type",$C$5,"5 Source no.",$C2008,"4 Item Ledger Entry Type",$C$4,"2 Item No.","@@"&amp;$F2008,"3 Posting Date",Z$9)</t>
  </si>
  <si>
    <t>=Z2008-AB2008</t>
  </si>
  <si>
    <t>=IF(Z2008&lt;&gt;0,AC2008/Z2008,"")</t>
  </si>
  <si>
    <t>=C2008</t>
  </si>
  <si>
    <t>=NL("Sum","5802 Value Entry","150 Sales Amount (Expected)","41 Source Type",$C$5,"5 Source No.",$C2009,"4 Item Ledger Entry Type",$C$4,"2 Item No.","@@"&amp;$F2009,"3 Posting Date",J$9)+NL("Sum","5802 Value Entry","17 Sales Amount (Actual)","41 Source Type",$C$5,"5 Source no.",$C2009,"4 Item Ledger Entry Type",$C$4,"2 Item No.","@@"&amp;$F2009,"3 Posting Date",J$9)</t>
  </si>
  <si>
    <t>=-NL("Sum","5802 Value Entry","151 Cost Amount (Expected)","41 Source Type",$C$5,"5 Source No.",$C2009,"4 Item Ledger Entry Type",$C$4,"2 Item No.","@@"&amp;$F2009,"3 Posting Date",J$9)-NL("Sum","5802 Value Entry","43 Cost Amount (Actual)","41 Source Type",$C$5,"5 Source no.",$C2009,"4 Item Ledger Entry Type",$C$4,"2 Item No.","@@"&amp;$F2009,"3 Posting Date",J$9)</t>
  </si>
  <si>
    <t>=J2009-L2009</t>
  </si>
  <si>
    <t>=IF(J2009&lt;&gt;0,M2009/J2009,"")</t>
  </si>
  <si>
    <t>=NL("Sum","5802 Value Entry","150 Sales Amount (Expected)","41 Source Type",$C$5,"5 Source No.",$C2009,"4 Item Ledger Entry Type",$C$4,"2 Item No.","@@"&amp;$F2009,"3 Posting Date",O$9)+NL("Sum","5802 Value Entry","17 Sales Amount (Actual)","41 Source Type",$C$5,"5 Source no.",$C2009,"4 Item Ledger Entry Type",$C$4,"2 Item No.","@@"&amp;$F2009,"3 Posting Date",O$9)</t>
  </si>
  <si>
    <t>=-NL("Sum","5802 Value Entry","151 Cost Amount (Expected)","41 Source Type",$C$5,"5 Source No.",$C2009,"4 Item Ledger Entry Type",$C$4,"2 Item No.","@@"&amp;$F2009,"3 Posting Date",O$9)-NL("Sum","5802 Value Entry","43 Cost Amount (Actual)","41 Source Type",$C$5,"5 Source no.",$C2009,"4 Item Ledger Entry Type",$C$4,"2 Item No.","@@"&amp;$F2009,"3 Posting Date",O$9)</t>
  </si>
  <si>
    <t>=O2009-Q2009</t>
  </si>
  <si>
    <t>=IF(O2009&lt;&gt;0,R2009/O2009,"")</t>
  </si>
  <si>
    <t>=NL("Sum","5802 Value Entry","150 Sales Amount (Expected)","41 Source Type",$C$5,"5 Source No.",$C2009,"4 Item Ledger Entry Type",$C$4,"2 Item No.","@@"&amp;$F2009,"3 Posting Date",U$9)+NL("Sum","5802 Value Entry","17 Sales Amount (Actual)","41 Source Type",$C$5,"5 Source no.",$C2009,"4 Item Ledger Entry Type",$C$4,"2 Item No.","@@"&amp;$F2009,"3 Posting Date",U$9)</t>
  </si>
  <si>
    <t>=-NL("Sum","5802 Value Entry","151 Cost Amount (Expected)","41 Source Type",$C$5,"5 Source No.",$C2009,"4 Item Ledger Entry Type",$C$4,"2 Item No.","@@"&amp;$F2009,"3 Posting Date",U$9)-NL("Sum","5802 Value Entry","43 Cost Amount (Actual)","41 Source Type",$C$5,"5 Source no.",$C2009,"4 Item Ledger Entry Type",$C$4,"2 Item No.","@@"&amp;$F2009,"3 Posting Date",U$9)</t>
  </si>
  <si>
    <t>=U2009-W2009</t>
  </si>
  <si>
    <t>=IF(U2009&lt;&gt;0,X2009/U2009,"")</t>
  </si>
  <si>
    <t>=NL("Sum","5802 Value Entry","150 Sales Amount (Expected)","41 Source Type",$C$5,"5 Source No.",$C2009,"4 Item Ledger Entry Type",$C$4,"2 Item No.","@@"&amp;$F2009,"3 Posting Date",Z$9)+NL("Sum","5802 Value Entry","17 Sales Amount (Actual)","41 Source Type",$C$5,"5 Source no.",$C2009,"4 Item Ledger Entry Type",$C$4,"2 Item No.","@@"&amp;$F2009,"3 Posting Date",Z$9)</t>
  </si>
  <si>
    <t>=-NL("Sum","5802 Value Entry","151 Cost Amount (Expected)","41 Source Type",$C$5,"5 Source No.",$C2009,"4 Item Ledger Entry Type",$C$4,"2 Item No.","@@"&amp;$F2009,"3 Posting Date",Z$9)-NL("Sum","5802 Value Entry","43 Cost Amount (Actual)","41 Source Type",$C$5,"5 Source no.",$C2009,"4 Item Ledger Entry Type",$C$4,"2 Item No.","@@"&amp;$F2009,"3 Posting Date",Z$9)</t>
  </si>
  <si>
    <t>=Z2009-AB2009</t>
  </si>
  <si>
    <t>=IF(Z2009&lt;&gt;0,AC2009/Z2009,"")</t>
  </si>
  <si>
    <t>=C2009</t>
  </si>
  <si>
    <t>=NL("Sum","5802 Value Entry","150 Sales Amount (Expected)","41 Source Type",$C$5,"5 Source No.",$C2010,"4 Item Ledger Entry Type",$C$4,"2 Item No.","@@"&amp;$F2010,"3 Posting Date",J$9)+NL("Sum","5802 Value Entry","17 Sales Amount (Actual)","41 Source Type",$C$5,"5 Source no.",$C2010,"4 Item Ledger Entry Type",$C$4,"2 Item No.","@@"&amp;$F2010,"3 Posting Date",J$9)</t>
  </si>
  <si>
    <t>=-NL("Sum","5802 Value Entry","151 Cost Amount (Expected)","41 Source Type",$C$5,"5 Source No.",$C2010,"4 Item Ledger Entry Type",$C$4,"2 Item No.","@@"&amp;$F2010,"3 Posting Date",J$9)-NL("Sum","5802 Value Entry","43 Cost Amount (Actual)","41 Source Type",$C$5,"5 Source no.",$C2010,"4 Item Ledger Entry Type",$C$4,"2 Item No.","@@"&amp;$F2010,"3 Posting Date",J$9)</t>
  </si>
  <si>
    <t>=J2010-L2010</t>
  </si>
  <si>
    <t>=IF(J2010&lt;&gt;0,M2010/J2010,"")</t>
  </si>
  <si>
    <t>=NL("Sum","5802 Value Entry","150 Sales Amount (Expected)","41 Source Type",$C$5,"5 Source No.",$C2010,"4 Item Ledger Entry Type",$C$4,"2 Item No.","@@"&amp;$F2010,"3 Posting Date",O$9)+NL("Sum","5802 Value Entry","17 Sales Amount (Actual)","41 Source Type",$C$5,"5 Source no.",$C2010,"4 Item Ledger Entry Type",$C$4,"2 Item No.","@@"&amp;$F2010,"3 Posting Date",O$9)</t>
  </si>
  <si>
    <t>=-NL("Sum","5802 Value Entry","151 Cost Amount (Expected)","41 Source Type",$C$5,"5 Source No.",$C2010,"4 Item Ledger Entry Type",$C$4,"2 Item No.","@@"&amp;$F2010,"3 Posting Date",O$9)-NL("Sum","5802 Value Entry","43 Cost Amount (Actual)","41 Source Type",$C$5,"5 Source no.",$C2010,"4 Item Ledger Entry Type",$C$4,"2 Item No.","@@"&amp;$F2010,"3 Posting Date",O$9)</t>
  </si>
  <si>
    <t>=O2010-Q2010</t>
  </si>
  <si>
    <t>=IF(O2010&lt;&gt;0,R2010/O2010,"")</t>
  </si>
  <si>
    <t>=NL("Sum","5802 Value Entry","150 Sales Amount (Expected)","41 Source Type",$C$5,"5 Source No.",$C2010,"4 Item Ledger Entry Type",$C$4,"2 Item No.","@@"&amp;$F2010,"3 Posting Date",U$9)+NL("Sum","5802 Value Entry","17 Sales Amount (Actual)","41 Source Type",$C$5,"5 Source no.",$C2010,"4 Item Ledger Entry Type",$C$4,"2 Item No.","@@"&amp;$F2010,"3 Posting Date",U$9)</t>
  </si>
  <si>
    <t>=-NL("Sum","5802 Value Entry","151 Cost Amount (Expected)","41 Source Type",$C$5,"5 Source No.",$C2010,"4 Item Ledger Entry Type",$C$4,"2 Item No.","@@"&amp;$F2010,"3 Posting Date",U$9)-NL("Sum","5802 Value Entry","43 Cost Amount (Actual)","41 Source Type",$C$5,"5 Source no.",$C2010,"4 Item Ledger Entry Type",$C$4,"2 Item No.","@@"&amp;$F2010,"3 Posting Date",U$9)</t>
  </si>
  <si>
    <t>=U2010-W2010</t>
  </si>
  <si>
    <t>=IF(U2010&lt;&gt;0,X2010/U2010,"")</t>
  </si>
  <si>
    <t>=NL("Sum","5802 Value Entry","150 Sales Amount (Expected)","41 Source Type",$C$5,"5 Source No.",$C2010,"4 Item Ledger Entry Type",$C$4,"2 Item No.","@@"&amp;$F2010,"3 Posting Date",Z$9)+NL("Sum","5802 Value Entry","17 Sales Amount (Actual)","41 Source Type",$C$5,"5 Source no.",$C2010,"4 Item Ledger Entry Type",$C$4,"2 Item No.","@@"&amp;$F2010,"3 Posting Date",Z$9)</t>
  </si>
  <si>
    <t>=-NL("Sum","5802 Value Entry","151 Cost Amount (Expected)","41 Source Type",$C$5,"5 Source No.",$C2010,"4 Item Ledger Entry Type",$C$4,"2 Item No.","@@"&amp;$F2010,"3 Posting Date",Z$9)-NL("Sum","5802 Value Entry","43 Cost Amount (Actual)","41 Source Type",$C$5,"5 Source no.",$C2010,"4 Item Ledger Entry Type",$C$4,"2 Item No.","@@"&amp;$F2010,"3 Posting Date",Z$9)</t>
  </si>
  <si>
    <t>=Z2010-AB2010</t>
  </si>
  <si>
    <t>=IF(Z2010&lt;&gt;0,AC2010/Z2010,"")</t>
  </si>
  <si>
    <t>=C2010</t>
  </si>
  <si>
    <t>=NL("Sum","5802 Value Entry","150 Sales Amount (Expected)","41 Source Type",$C$5,"5 Source No.",$C2011,"4 Item Ledger Entry Type",$C$4,"2 Item No.","@@"&amp;$F2011,"3 Posting Date",J$9)+NL("Sum","5802 Value Entry","17 Sales Amount (Actual)","41 Source Type",$C$5,"5 Source no.",$C2011,"4 Item Ledger Entry Type",$C$4,"2 Item No.","@@"&amp;$F2011,"3 Posting Date",J$9)</t>
  </si>
  <si>
    <t>=-NL("Sum","5802 Value Entry","151 Cost Amount (Expected)","41 Source Type",$C$5,"5 Source No.",$C2011,"4 Item Ledger Entry Type",$C$4,"2 Item No.","@@"&amp;$F2011,"3 Posting Date",J$9)-NL("Sum","5802 Value Entry","43 Cost Amount (Actual)","41 Source Type",$C$5,"5 Source no.",$C2011,"4 Item Ledger Entry Type",$C$4,"2 Item No.","@@"&amp;$F2011,"3 Posting Date",J$9)</t>
  </si>
  <si>
    <t>=J2011-L2011</t>
  </si>
  <si>
    <t>=IF(J2011&lt;&gt;0,M2011/J2011,"")</t>
  </si>
  <si>
    <t>=NL("Sum","5802 Value Entry","150 Sales Amount (Expected)","41 Source Type",$C$5,"5 Source No.",$C2011,"4 Item Ledger Entry Type",$C$4,"2 Item No.","@@"&amp;$F2011,"3 Posting Date",O$9)+NL("Sum","5802 Value Entry","17 Sales Amount (Actual)","41 Source Type",$C$5,"5 Source no.",$C2011,"4 Item Ledger Entry Type",$C$4,"2 Item No.","@@"&amp;$F2011,"3 Posting Date",O$9)</t>
  </si>
  <si>
    <t>=-NL("Sum","5802 Value Entry","151 Cost Amount (Expected)","41 Source Type",$C$5,"5 Source No.",$C2011,"4 Item Ledger Entry Type",$C$4,"2 Item No.","@@"&amp;$F2011,"3 Posting Date",O$9)-NL("Sum","5802 Value Entry","43 Cost Amount (Actual)","41 Source Type",$C$5,"5 Source no.",$C2011,"4 Item Ledger Entry Type",$C$4,"2 Item No.","@@"&amp;$F2011,"3 Posting Date",O$9)</t>
  </si>
  <si>
    <t>=O2011-Q2011</t>
  </si>
  <si>
    <t>=IF(O2011&lt;&gt;0,R2011/O2011,"")</t>
  </si>
  <si>
    <t>=NL("Sum","5802 Value Entry","150 Sales Amount (Expected)","41 Source Type",$C$5,"5 Source No.",$C2011,"4 Item Ledger Entry Type",$C$4,"2 Item No.","@@"&amp;$F2011,"3 Posting Date",U$9)+NL("Sum","5802 Value Entry","17 Sales Amount (Actual)","41 Source Type",$C$5,"5 Source no.",$C2011,"4 Item Ledger Entry Type",$C$4,"2 Item No.","@@"&amp;$F2011,"3 Posting Date",U$9)</t>
  </si>
  <si>
    <t>=-NL("Sum","5802 Value Entry","151 Cost Amount (Expected)","41 Source Type",$C$5,"5 Source No.",$C2011,"4 Item Ledger Entry Type",$C$4,"2 Item No.","@@"&amp;$F2011,"3 Posting Date",U$9)-NL("Sum","5802 Value Entry","43 Cost Amount (Actual)","41 Source Type",$C$5,"5 Source no.",$C2011,"4 Item Ledger Entry Type",$C$4,"2 Item No.","@@"&amp;$F2011,"3 Posting Date",U$9)</t>
  </si>
  <si>
    <t>=U2011-W2011</t>
  </si>
  <si>
    <t>=IF(U2011&lt;&gt;0,X2011/U2011,"")</t>
  </si>
  <si>
    <t>=NL("Sum","5802 Value Entry","150 Sales Amount (Expected)","41 Source Type",$C$5,"5 Source No.",$C2011,"4 Item Ledger Entry Type",$C$4,"2 Item No.","@@"&amp;$F2011,"3 Posting Date",Z$9)+NL("Sum","5802 Value Entry","17 Sales Amount (Actual)","41 Source Type",$C$5,"5 Source no.",$C2011,"4 Item Ledger Entry Type",$C$4,"2 Item No.","@@"&amp;$F2011,"3 Posting Date",Z$9)</t>
  </si>
  <si>
    <t>=-NL("Sum","5802 Value Entry","151 Cost Amount (Expected)","41 Source Type",$C$5,"5 Source No.",$C2011,"4 Item Ledger Entry Type",$C$4,"2 Item No.","@@"&amp;$F2011,"3 Posting Date",Z$9)-NL("Sum","5802 Value Entry","43 Cost Amount (Actual)","41 Source Type",$C$5,"5 Source no.",$C2011,"4 Item Ledger Entry Type",$C$4,"2 Item No.","@@"&amp;$F2011,"3 Posting Date",Z$9)</t>
  </si>
  <si>
    <t>=Z2011-AB2011</t>
  </si>
  <si>
    <t>=IF(Z2011&lt;&gt;0,AC2011/Z2011,"")</t>
  </si>
  <si>
    <t>=C2011</t>
  </si>
  <si>
    <t>=NL("Sum","5802 Value Entry","150 Sales Amount (Expected)","41 Source Type",$C$5,"5 Source No.",$C2012,"4 Item Ledger Entry Type",$C$4,"2 Item No.","@@"&amp;$F2012,"3 Posting Date",J$9)+NL("Sum","5802 Value Entry","17 Sales Amount (Actual)","41 Source Type",$C$5,"5 Source no.",$C2012,"4 Item Ledger Entry Type",$C$4,"2 Item No.","@@"&amp;$F2012,"3 Posting Date",J$9)</t>
  </si>
  <si>
    <t>=-NL("Sum","5802 Value Entry","151 Cost Amount (Expected)","41 Source Type",$C$5,"5 Source No.",$C2012,"4 Item Ledger Entry Type",$C$4,"2 Item No.","@@"&amp;$F2012,"3 Posting Date",J$9)-NL("Sum","5802 Value Entry","43 Cost Amount (Actual)","41 Source Type",$C$5,"5 Source no.",$C2012,"4 Item Ledger Entry Type",$C$4,"2 Item No.","@@"&amp;$F2012,"3 Posting Date",J$9)</t>
  </si>
  <si>
    <t>=J2012-L2012</t>
  </si>
  <si>
    <t>=IF(J2012&lt;&gt;0,M2012/J2012,"")</t>
  </si>
  <si>
    <t>=NL("Sum","5802 Value Entry","150 Sales Amount (Expected)","41 Source Type",$C$5,"5 Source No.",$C2012,"4 Item Ledger Entry Type",$C$4,"2 Item No.","@@"&amp;$F2012,"3 Posting Date",O$9)+NL("Sum","5802 Value Entry","17 Sales Amount (Actual)","41 Source Type",$C$5,"5 Source no.",$C2012,"4 Item Ledger Entry Type",$C$4,"2 Item No.","@@"&amp;$F2012,"3 Posting Date",O$9)</t>
  </si>
  <si>
    <t>=-NL("Sum","5802 Value Entry","151 Cost Amount (Expected)","41 Source Type",$C$5,"5 Source No.",$C2012,"4 Item Ledger Entry Type",$C$4,"2 Item No.","@@"&amp;$F2012,"3 Posting Date",O$9)-NL("Sum","5802 Value Entry","43 Cost Amount (Actual)","41 Source Type",$C$5,"5 Source no.",$C2012,"4 Item Ledger Entry Type",$C$4,"2 Item No.","@@"&amp;$F2012,"3 Posting Date",O$9)</t>
  </si>
  <si>
    <t>=O2012-Q2012</t>
  </si>
  <si>
    <t>=IF(O2012&lt;&gt;0,R2012/O2012,"")</t>
  </si>
  <si>
    <t>=NL("Sum","5802 Value Entry","150 Sales Amount (Expected)","41 Source Type",$C$5,"5 Source No.",$C2012,"4 Item Ledger Entry Type",$C$4,"2 Item No.","@@"&amp;$F2012,"3 Posting Date",U$9)+NL("Sum","5802 Value Entry","17 Sales Amount (Actual)","41 Source Type",$C$5,"5 Source no.",$C2012,"4 Item Ledger Entry Type",$C$4,"2 Item No.","@@"&amp;$F2012,"3 Posting Date",U$9)</t>
  </si>
  <si>
    <t>=-NL("Sum","5802 Value Entry","151 Cost Amount (Expected)","41 Source Type",$C$5,"5 Source No.",$C2012,"4 Item Ledger Entry Type",$C$4,"2 Item No.","@@"&amp;$F2012,"3 Posting Date",U$9)-NL("Sum","5802 Value Entry","43 Cost Amount (Actual)","41 Source Type",$C$5,"5 Source no.",$C2012,"4 Item Ledger Entry Type",$C$4,"2 Item No.","@@"&amp;$F2012,"3 Posting Date",U$9)</t>
  </si>
  <si>
    <t>=U2012-W2012</t>
  </si>
  <si>
    <t>=IF(U2012&lt;&gt;0,X2012/U2012,"")</t>
  </si>
  <si>
    <t>=NL("Sum","5802 Value Entry","150 Sales Amount (Expected)","41 Source Type",$C$5,"5 Source No.",$C2012,"4 Item Ledger Entry Type",$C$4,"2 Item No.","@@"&amp;$F2012,"3 Posting Date",Z$9)+NL("Sum","5802 Value Entry","17 Sales Amount (Actual)","41 Source Type",$C$5,"5 Source no.",$C2012,"4 Item Ledger Entry Type",$C$4,"2 Item No.","@@"&amp;$F2012,"3 Posting Date",Z$9)</t>
  </si>
  <si>
    <t>=-NL("Sum","5802 Value Entry","151 Cost Amount (Expected)","41 Source Type",$C$5,"5 Source No.",$C2012,"4 Item Ledger Entry Type",$C$4,"2 Item No.","@@"&amp;$F2012,"3 Posting Date",Z$9)-NL("Sum","5802 Value Entry","43 Cost Amount (Actual)","41 Source Type",$C$5,"5 Source no.",$C2012,"4 Item Ledger Entry Type",$C$4,"2 Item No.","@@"&amp;$F2012,"3 Posting Date",Z$9)</t>
  </si>
  <si>
    <t>=Z2012-AB2012</t>
  </si>
  <si>
    <t>=IF(Z2012&lt;&gt;0,AC2012/Z2012,"")</t>
  </si>
  <si>
    <t>=C2012</t>
  </si>
  <si>
    <t>=NL("Sum","5802 Value Entry","150 Sales Amount (Expected)","41 Source Type",$C$5,"5 Source No.",$C2013,"4 Item Ledger Entry Type",$C$4,"2 Item No.","@@"&amp;$F2013,"3 Posting Date",J$9)+NL("Sum","5802 Value Entry","17 Sales Amount (Actual)","41 Source Type",$C$5,"5 Source no.",$C2013,"4 Item Ledger Entry Type",$C$4,"2 Item No.","@@"&amp;$F2013,"3 Posting Date",J$9)</t>
  </si>
  <si>
    <t>=-NL("Sum","5802 Value Entry","151 Cost Amount (Expected)","41 Source Type",$C$5,"5 Source No.",$C2013,"4 Item Ledger Entry Type",$C$4,"2 Item No.","@@"&amp;$F2013,"3 Posting Date",J$9)-NL("Sum","5802 Value Entry","43 Cost Amount (Actual)","41 Source Type",$C$5,"5 Source no.",$C2013,"4 Item Ledger Entry Type",$C$4,"2 Item No.","@@"&amp;$F2013,"3 Posting Date",J$9)</t>
  </si>
  <si>
    <t>=J2013-L2013</t>
  </si>
  <si>
    <t>=IF(J2013&lt;&gt;0,M2013/J2013,"")</t>
  </si>
  <si>
    <t>=NL("Sum","5802 Value Entry","150 Sales Amount (Expected)","41 Source Type",$C$5,"5 Source No.",$C2013,"4 Item Ledger Entry Type",$C$4,"2 Item No.","@@"&amp;$F2013,"3 Posting Date",O$9)+NL("Sum","5802 Value Entry","17 Sales Amount (Actual)","41 Source Type",$C$5,"5 Source no.",$C2013,"4 Item Ledger Entry Type",$C$4,"2 Item No.","@@"&amp;$F2013,"3 Posting Date",O$9)</t>
  </si>
  <si>
    <t>=-NL("Sum","5802 Value Entry","151 Cost Amount (Expected)","41 Source Type",$C$5,"5 Source No.",$C2013,"4 Item Ledger Entry Type",$C$4,"2 Item No.","@@"&amp;$F2013,"3 Posting Date",O$9)-NL("Sum","5802 Value Entry","43 Cost Amount (Actual)","41 Source Type",$C$5,"5 Source no.",$C2013,"4 Item Ledger Entry Type",$C$4,"2 Item No.","@@"&amp;$F2013,"3 Posting Date",O$9)</t>
  </si>
  <si>
    <t>=O2013-Q2013</t>
  </si>
  <si>
    <t>=IF(O2013&lt;&gt;0,R2013/O2013,"")</t>
  </si>
  <si>
    <t>=NL("Sum","5802 Value Entry","150 Sales Amount (Expected)","41 Source Type",$C$5,"5 Source No.",$C2013,"4 Item Ledger Entry Type",$C$4,"2 Item No.","@@"&amp;$F2013,"3 Posting Date",U$9)+NL("Sum","5802 Value Entry","17 Sales Amount (Actual)","41 Source Type",$C$5,"5 Source no.",$C2013,"4 Item Ledger Entry Type",$C$4,"2 Item No.","@@"&amp;$F2013,"3 Posting Date",U$9)</t>
  </si>
  <si>
    <t>=-NL("Sum","5802 Value Entry","151 Cost Amount (Expected)","41 Source Type",$C$5,"5 Source No.",$C2013,"4 Item Ledger Entry Type",$C$4,"2 Item No.","@@"&amp;$F2013,"3 Posting Date",U$9)-NL("Sum","5802 Value Entry","43 Cost Amount (Actual)","41 Source Type",$C$5,"5 Source no.",$C2013,"4 Item Ledger Entry Type",$C$4,"2 Item No.","@@"&amp;$F2013,"3 Posting Date",U$9)</t>
  </si>
  <si>
    <t>=U2013-W2013</t>
  </si>
  <si>
    <t>=IF(U2013&lt;&gt;0,X2013/U2013,"")</t>
  </si>
  <si>
    <t>=NL("Sum","5802 Value Entry","150 Sales Amount (Expected)","41 Source Type",$C$5,"5 Source No.",$C2013,"4 Item Ledger Entry Type",$C$4,"2 Item No.","@@"&amp;$F2013,"3 Posting Date",Z$9)+NL("Sum","5802 Value Entry","17 Sales Amount (Actual)","41 Source Type",$C$5,"5 Source no.",$C2013,"4 Item Ledger Entry Type",$C$4,"2 Item No.","@@"&amp;$F2013,"3 Posting Date",Z$9)</t>
  </si>
  <si>
    <t>=-NL("Sum","5802 Value Entry","151 Cost Amount (Expected)","41 Source Type",$C$5,"5 Source No.",$C2013,"4 Item Ledger Entry Type",$C$4,"2 Item No.","@@"&amp;$F2013,"3 Posting Date",Z$9)-NL("Sum","5802 Value Entry","43 Cost Amount (Actual)","41 Source Type",$C$5,"5 Source no.",$C2013,"4 Item Ledger Entry Type",$C$4,"2 Item No.","@@"&amp;$F2013,"3 Posting Date",Z$9)</t>
  </si>
  <si>
    <t>=Z2013-AB2013</t>
  </si>
  <si>
    <t>=IF(Z2013&lt;&gt;0,AC2013/Z2013,"")</t>
  </si>
  <si>
    <t>=C2013</t>
  </si>
  <si>
    <t>=NL("Sum","5802 Value Entry","150 Sales Amount (Expected)","41 Source Type",$C$5,"5 Source No.",$C2014,"4 Item Ledger Entry Type",$C$4,"2 Item No.","@@"&amp;$F2014,"3 Posting Date",J$9)+NL("Sum","5802 Value Entry","17 Sales Amount (Actual)","41 Source Type",$C$5,"5 Source no.",$C2014,"4 Item Ledger Entry Type",$C$4,"2 Item No.","@@"&amp;$F2014,"3 Posting Date",J$9)</t>
  </si>
  <si>
    <t>=-NL("Sum","5802 Value Entry","151 Cost Amount (Expected)","41 Source Type",$C$5,"5 Source No.",$C2014,"4 Item Ledger Entry Type",$C$4,"2 Item No.","@@"&amp;$F2014,"3 Posting Date",J$9)-NL("Sum","5802 Value Entry","43 Cost Amount (Actual)","41 Source Type",$C$5,"5 Source no.",$C2014,"4 Item Ledger Entry Type",$C$4,"2 Item No.","@@"&amp;$F2014,"3 Posting Date",J$9)</t>
  </si>
  <si>
    <t>=J2014-L2014</t>
  </si>
  <si>
    <t>=IF(J2014&lt;&gt;0,M2014/J2014,"")</t>
  </si>
  <si>
    <t>=NL("Sum","5802 Value Entry","150 Sales Amount (Expected)","41 Source Type",$C$5,"5 Source No.",$C2014,"4 Item Ledger Entry Type",$C$4,"2 Item No.","@@"&amp;$F2014,"3 Posting Date",O$9)+NL("Sum","5802 Value Entry","17 Sales Amount (Actual)","41 Source Type",$C$5,"5 Source no.",$C2014,"4 Item Ledger Entry Type",$C$4,"2 Item No.","@@"&amp;$F2014,"3 Posting Date",O$9)</t>
  </si>
  <si>
    <t>=-NL("Sum","5802 Value Entry","151 Cost Amount (Expected)","41 Source Type",$C$5,"5 Source No.",$C2014,"4 Item Ledger Entry Type",$C$4,"2 Item No.","@@"&amp;$F2014,"3 Posting Date",O$9)-NL("Sum","5802 Value Entry","43 Cost Amount (Actual)","41 Source Type",$C$5,"5 Source no.",$C2014,"4 Item Ledger Entry Type",$C$4,"2 Item No.","@@"&amp;$F2014,"3 Posting Date",O$9)</t>
  </si>
  <si>
    <t>=O2014-Q2014</t>
  </si>
  <si>
    <t>=IF(O2014&lt;&gt;0,R2014/O2014,"")</t>
  </si>
  <si>
    <t>=NL("Sum","5802 Value Entry","150 Sales Amount (Expected)","41 Source Type",$C$5,"5 Source No.",$C2014,"4 Item Ledger Entry Type",$C$4,"2 Item No.","@@"&amp;$F2014,"3 Posting Date",U$9)+NL("Sum","5802 Value Entry","17 Sales Amount (Actual)","41 Source Type",$C$5,"5 Source no.",$C2014,"4 Item Ledger Entry Type",$C$4,"2 Item No.","@@"&amp;$F2014,"3 Posting Date",U$9)</t>
  </si>
  <si>
    <t>=-NL("Sum","5802 Value Entry","151 Cost Amount (Expected)","41 Source Type",$C$5,"5 Source No.",$C2014,"4 Item Ledger Entry Type",$C$4,"2 Item No.","@@"&amp;$F2014,"3 Posting Date",U$9)-NL("Sum","5802 Value Entry","43 Cost Amount (Actual)","41 Source Type",$C$5,"5 Source no.",$C2014,"4 Item Ledger Entry Type",$C$4,"2 Item No.","@@"&amp;$F2014,"3 Posting Date",U$9)</t>
  </si>
  <si>
    <t>=U2014-W2014</t>
  </si>
  <si>
    <t>=IF(U2014&lt;&gt;0,X2014/U2014,"")</t>
  </si>
  <si>
    <t>=NL("Sum","5802 Value Entry","150 Sales Amount (Expected)","41 Source Type",$C$5,"5 Source No.",$C2014,"4 Item Ledger Entry Type",$C$4,"2 Item No.","@@"&amp;$F2014,"3 Posting Date",Z$9)+NL("Sum","5802 Value Entry","17 Sales Amount (Actual)","41 Source Type",$C$5,"5 Source no.",$C2014,"4 Item Ledger Entry Type",$C$4,"2 Item No.","@@"&amp;$F2014,"3 Posting Date",Z$9)</t>
  </si>
  <si>
    <t>=-NL("Sum","5802 Value Entry","151 Cost Amount (Expected)","41 Source Type",$C$5,"5 Source No.",$C2014,"4 Item Ledger Entry Type",$C$4,"2 Item No.","@@"&amp;$F2014,"3 Posting Date",Z$9)-NL("Sum","5802 Value Entry","43 Cost Amount (Actual)","41 Source Type",$C$5,"5 Source no.",$C2014,"4 Item Ledger Entry Type",$C$4,"2 Item No.","@@"&amp;$F2014,"3 Posting Date",Z$9)</t>
  </si>
  <si>
    <t>=Z2014-AB2014</t>
  </si>
  <si>
    <t>=IF(Z2014&lt;&gt;0,AC2014/Z2014,"")</t>
  </si>
  <si>
    <t>=C2014</t>
  </si>
  <si>
    <t>=NL("Sum","5802 Value Entry","150 Sales Amount (Expected)","41 Source Type",$C$5,"5 Source No.",$C2015,"4 Item Ledger Entry Type",$C$4,"2 Item No.","@@"&amp;$F2015,"3 Posting Date",J$9)+NL("Sum","5802 Value Entry","17 Sales Amount (Actual)","41 Source Type",$C$5,"5 Source no.",$C2015,"4 Item Ledger Entry Type",$C$4,"2 Item No.","@@"&amp;$F2015,"3 Posting Date",J$9)</t>
  </si>
  <si>
    <t>=-NL("Sum","5802 Value Entry","151 Cost Amount (Expected)","41 Source Type",$C$5,"5 Source No.",$C2015,"4 Item Ledger Entry Type",$C$4,"2 Item No.","@@"&amp;$F2015,"3 Posting Date",J$9)-NL("Sum","5802 Value Entry","43 Cost Amount (Actual)","41 Source Type",$C$5,"5 Source no.",$C2015,"4 Item Ledger Entry Type",$C$4,"2 Item No.","@@"&amp;$F2015,"3 Posting Date",J$9)</t>
  </si>
  <si>
    <t>=J2015-L2015</t>
  </si>
  <si>
    <t>=IF(J2015&lt;&gt;0,M2015/J2015,"")</t>
  </si>
  <si>
    <t>=NL("Sum","5802 Value Entry","150 Sales Amount (Expected)","41 Source Type",$C$5,"5 Source No.",$C2015,"4 Item Ledger Entry Type",$C$4,"2 Item No.","@@"&amp;$F2015,"3 Posting Date",O$9)+NL("Sum","5802 Value Entry","17 Sales Amount (Actual)","41 Source Type",$C$5,"5 Source no.",$C2015,"4 Item Ledger Entry Type",$C$4,"2 Item No.","@@"&amp;$F2015,"3 Posting Date",O$9)</t>
  </si>
  <si>
    <t>=-NL("Sum","5802 Value Entry","151 Cost Amount (Expected)","41 Source Type",$C$5,"5 Source No.",$C2015,"4 Item Ledger Entry Type",$C$4,"2 Item No.","@@"&amp;$F2015,"3 Posting Date",O$9)-NL("Sum","5802 Value Entry","43 Cost Amount (Actual)","41 Source Type",$C$5,"5 Source no.",$C2015,"4 Item Ledger Entry Type",$C$4,"2 Item No.","@@"&amp;$F2015,"3 Posting Date",O$9)</t>
  </si>
  <si>
    <t>=O2015-Q2015</t>
  </si>
  <si>
    <t>=IF(O2015&lt;&gt;0,R2015/O2015,"")</t>
  </si>
  <si>
    <t>=NL("Sum","5802 Value Entry","150 Sales Amount (Expected)","41 Source Type",$C$5,"5 Source No.",$C2015,"4 Item Ledger Entry Type",$C$4,"2 Item No.","@@"&amp;$F2015,"3 Posting Date",U$9)+NL("Sum","5802 Value Entry","17 Sales Amount (Actual)","41 Source Type",$C$5,"5 Source no.",$C2015,"4 Item Ledger Entry Type",$C$4,"2 Item No.","@@"&amp;$F2015,"3 Posting Date",U$9)</t>
  </si>
  <si>
    <t>=-NL("Sum","5802 Value Entry","151 Cost Amount (Expected)","41 Source Type",$C$5,"5 Source No.",$C2015,"4 Item Ledger Entry Type",$C$4,"2 Item No.","@@"&amp;$F2015,"3 Posting Date",U$9)-NL("Sum","5802 Value Entry","43 Cost Amount (Actual)","41 Source Type",$C$5,"5 Source no.",$C2015,"4 Item Ledger Entry Type",$C$4,"2 Item No.","@@"&amp;$F2015,"3 Posting Date",U$9)</t>
  </si>
  <si>
    <t>=U2015-W2015</t>
  </si>
  <si>
    <t>=IF(U2015&lt;&gt;0,X2015/U2015,"")</t>
  </si>
  <si>
    <t>=NL("Sum","5802 Value Entry","150 Sales Amount (Expected)","41 Source Type",$C$5,"5 Source No.",$C2015,"4 Item Ledger Entry Type",$C$4,"2 Item No.","@@"&amp;$F2015,"3 Posting Date",Z$9)+NL("Sum","5802 Value Entry","17 Sales Amount (Actual)","41 Source Type",$C$5,"5 Source no.",$C2015,"4 Item Ledger Entry Type",$C$4,"2 Item No.","@@"&amp;$F2015,"3 Posting Date",Z$9)</t>
  </si>
  <si>
    <t>=-NL("Sum","5802 Value Entry","151 Cost Amount (Expected)","41 Source Type",$C$5,"5 Source No.",$C2015,"4 Item Ledger Entry Type",$C$4,"2 Item No.","@@"&amp;$F2015,"3 Posting Date",Z$9)-NL("Sum","5802 Value Entry","43 Cost Amount (Actual)","41 Source Type",$C$5,"5 Source no.",$C2015,"4 Item Ledger Entry Type",$C$4,"2 Item No.","@@"&amp;$F2015,"3 Posting Date",Z$9)</t>
  </si>
  <si>
    <t>=Z2015-AB2015</t>
  </si>
  <si>
    <t>=IF(Z2015&lt;&gt;0,AC2015/Z2015,"")</t>
  </si>
  <si>
    <t>=C2015</t>
  </si>
  <si>
    <t>=NL("Sum","5802 Value Entry","150 Sales Amount (Expected)","41 Source Type",$C$5,"5 Source No.",$C2016,"4 Item Ledger Entry Type",$C$4,"2 Item No.","@@"&amp;$F2016,"3 Posting Date",J$9)+NL("Sum","5802 Value Entry","17 Sales Amount (Actual)","41 Source Type",$C$5,"5 Source no.",$C2016,"4 Item Ledger Entry Type",$C$4,"2 Item No.","@@"&amp;$F2016,"3 Posting Date",J$9)</t>
  </si>
  <si>
    <t>=-NL("Sum","5802 Value Entry","151 Cost Amount (Expected)","41 Source Type",$C$5,"5 Source No.",$C2016,"4 Item Ledger Entry Type",$C$4,"2 Item No.","@@"&amp;$F2016,"3 Posting Date",J$9)-NL("Sum","5802 Value Entry","43 Cost Amount (Actual)","41 Source Type",$C$5,"5 Source no.",$C2016,"4 Item Ledger Entry Type",$C$4,"2 Item No.","@@"&amp;$F2016,"3 Posting Date",J$9)</t>
  </si>
  <si>
    <t>=J2016-L2016</t>
  </si>
  <si>
    <t>=IF(J2016&lt;&gt;0,M2016/J2016,"")</t>
  </si>
  <si>
    <t>=NL("Sum","5802 Value Entry","150 Sales Amount (Expected)","41 Source Type",$C$5,"5 Source No.",$C2016,"4 Item Ledger Entry Type",$C$4,"2 Item No.","@@"&amp;$F2016,"3 Posting Date",O$9)+NL("Sum","5802 Value Entry","17 Sales Amount (Actual)","41 Source Type",$C$5,"5 Source no.",$C2016,"4 Item Ledger Entry Type",$C$4,"2 Item No.","@@"&amp;$F2016,"3 Posting Date",O$9)</t>
  </si>
  <si>
    <t>=-NL("Sum","5802 Value Entry","151 Cost Amount (Expected)","41 Source Type",$C$5,"5 Source No.",$C2016,"4 Item Ledger Entry Type",$C$4,"2 Item No.","@@"&amp;$F2016,"3 Posting Date",O$9)-NL("Sum","5802 Value Entry","43 Cost Amount (Actual)","41 Source Type",$C$5,"5 Source no.",$C2016,"4 Item Ledger Entry Type",$C$4,"2 Item No.","@@"&amp;$F2016,"3 Posting Date",O$9)</t>
  </si>
  <si>
    <t>=O2016-Q2016</t>
  </si>
  <si>
    <t>=IF(O2016&lt;&gt;0,R2016/O2016,"")</t>
  </si>
  <si>
    <t>=NL("Sum","5802 Value Entry","150 Sales Amount (Expected)","41 Source Type",$C$5,"5 Source No.",$C2016,"4 Item Ledger Entry Type",$C$4,"2 Item No.","@@"&amp;$F2016,"3 Posting Date",U$9)+NL("Sum","5802 Value Entry","17 Sales Amount (Actual)","41 Source Type",$C$5,"5 Source no.",$C2016,"4 Item Ledger Entry Type",$C$4,"2 Item No.","@@"&amp;$F2016,"3 Posting Date",U$9)</t>
  </si>
  <si>
    <t>=-NL("Sum","5802 Value Entry","151 Cost Amount (Expected)","41 Source Type",$C$5,"5 Source No.",$C2016,"4 Item Ledger Entry Type",$C$4,"2 Item No.","@@"&amp;$F2016,"3 Posting Date",U$9)-NL("Sum","5802 Value Entry","43 Cost Amount (Actual)","41 Source Type",$C$5,"5 Source no.",$C2016,"4 Item Ledger Entry Type",$C$4,"2 Item No.","@@"&amp;$F2016,"3 Posting Date",U$9)</t>
  </si>
  <si>
    <t>=U2016-W2016</t>
  </si>
  <si>
    <t>=IF(U2016&lt;&gt;0,X2016/U2016,"")</t>
  </si>
  <si>
    <t>=NL("Sum","5802 Value Entry","150 Sales Amount (Expected)","41 Source Type",$C$5,"5 Source No.",$C2016,"4 Item Ledger Entry Type",$C$4,"2 Item No.","@@"&amp;$F2016,"3 Posting Date",Z$9)+NL("Sum","5802 Value Entry","17 Sales Amount (Actual)","41 Source Type",$C$5,"5 Source no.",$C2016,"4 Item Ledger Entry Type",$C$4,"2 Item No.","@@"&amp;$F2016,"3 Posting Date",Z$9)</t>
  </si>
  <si>
    <t>=-NL("Sum","5802 Value Entry","151 Cost Amount (Expected)","41 Source Type",$C$5,"5 Source No.",$C2016,"4 Item Ledger Entry Type",$C$4,"2 Item No.","@@"&amp;$F2016,"3 Posting Date",Z$9)-NL("Sum","5802 Value Entry","43 Cost Amount (Actual)","41 Source Type",$C$5,"5 Source no.",$C2016,"4 Item Ledger Entry Type",$C$4,"2 Item No.","@@"&amp;$F2016,"3 Posting Date",Z$9)</t>
  </si>
  <si>
    <t>=Z2016-AB2016</t>
  </si>
  <si>
    <t>=IF(Z2016&lt;&gt;0,AC2016/Z2016,"")</t>
  </si>
  <si>
    <t>=C2016</t>
  </si>
  <si>
    <t>=NL("Sum","5802 Value Entry","150 Sales Amount (Expected)","41 Source Type",$C$5,"5 Source No.",$C2017,"4 Item Ledger Entry Type",$C$4,"2 Item No.","@@"&amp;$F2017,"3 Posting Date",J$9)+NL("Sum","5802 Value Entry","17 Sales Amount (Actual)","41 Source Type",$C$5,"5 Source no.",$C2017,"4 Item Ledger Entry Type",$C$4,"2 Item No.","@@"&amp;$F2017,"3 Posting Date",J$9)</t>
  </si>
  <si>
    <t>=-NL("Sum","5802 Value Entry","151 Cost Amount (Expected)","41 Source Type",$C$5,"5 Source No.",$C2017,"4 Item Ledger Entry Type",$C$4,"2 Item No.","@@"&amp;$F2017,"3 Posting Date",J$9)-NL("Sum","5802 Value Entry","43 Cost Amount (Actual)","41 Source Type",$C$5,"5 Source no.",$C2017,"4 Item Ledger Entry Type",$C$4,"2 Item No.","@@"&amp;$F2017,"3 Posting Date",J$9)</t>
  </si>
  <si>
    <t>=J2017-L2017</t>
  </si>
  <si>
    <t>=IF(J2017&lt;&gt;0,M2017/J2017,"")</t>
  </si>
  <si>
    <t>=NL("Sum","5802 Value Entry","150 Sales Amount (Expected)","41 Source Type",$C$5,"5 Source No.",$C2017,"4 Item Ledger Entry Type",$C$4,"2 Item No.","@@"&amp;$F2017,"3 Posting Date",O$9)+NL("Sum","5802 Value Entry","17 Sales Amount (Actual)","41 Source Type",$C$5,"5 Source no.",$C2017,"4 Item Ledger Entry Type",$C$4,"2 Item No.","@@"&amp;$F2017,"3 Posting Date",O$9)</t>
  </si>
  <si>
    <t>=-NL("Sum","5802 Value Entry","151 Cost Amount (Expected)","41 Source Type",$C$5,"5 Source No.",$C2017,"4 Item Ledger Entry Type",$C$4,"2 Item No.","@@"&amp;$F2017,"3 Posting Date",O$9)-NL("Sum","5802 Value Entry","43 Cost Amount (Actual)","41 Source Type",$C$5,"5 Source no.",$C2017,"4 Item Ledger Entry Type",$C$4,"2 Item No.","@@"&amp;$F2017,"3 Posting Date",O$9)</t>
  </si>
  <si>
    <t>=O2017-Q2017</t>
  </si>
  <si>
    <t>=IF(O2017&lt;&gt;0,R2017/O2017,"")</t>
  </si>
  <si>
    <t>=NL("Sum","5802 Value Entry","150 Sales Amount (Expected)","41 Source Type",$C$5,"5 Source No.",$C2017,"4 Item Ledger Entry Type",$C$4,"2 Item No.","@@"&amp;$F2017,"3 Posting Date",U$9)+NL("Sum","5802 Value Entry","17 Sales Amount (Actual)","41 Source Type",$C$5,"5 Source no.",$C2017,"4 Item Ledger Entry Type",$C$4,"2 Item No.","@@"&amp;$F2017,"3 Posting Date",U$9)</t>
  </si>
  <si>
    <t>=-NL("Sum","5802 Value Entry","151 Cost Amount (Expected)","41 Source Type",$C$5,"5 Source No.",$C2017,"4 Item Ledger Entry Type",$C$4,"2 Item No.","@@"&amp;$F2017,"3 Posting Date",U$9)-NL("Sum","5802 Value Entry","43 Cost Amount (Actual)","41 Source Type",$C$5,"5 Source no.",$C2017,"4 Item Ledger Entry Type",$C$4,"2 Item No.","@@"&amp;$F2017,"3 Posting Date",U$9)</t>
  </si>
  <si>
    <t>=U2017-W2017</t>
  </si>
  <si>
    <t>=IF(U2017&lt;&gt;0,X2017/U2017,"")</t>
  </si>
  <si>
    <t>=NL("Sum","5802 Value Entry","150 Sales Amount (Expected)","41 Source Type",$C$5,"5 Source No.",$C2017,"4 Item Ledger Entry Type",$C$4,"2 Item No.","@@"&amp;$F2017,"3 Posting Date",Z$9)+NL("Sum","5802 Value Entry","17 Sales Amount (Actual)","41 Source Type",$C$5,"5 Source no.",$C2017,"4 Item Ledger Entry Type",$C$4,"2 Item No.","@@"&amp;$F2017,"3 Posting Date",Z$9)</t>
  </si>
  <si>
    <t>=-NL("Sum","5802 Value Entry","151 Cost Amount (Expected)","41 Source Type",$C$5,"5 Source No.",$C2017,"4 Item Ledger Entry Type",$C$4,"2 Item No.","@@"&amp;$F2017,"3 Posting Date",Z$9)-NL("Sum","5802 Value Entry","43 Cost Amount (Actual)","41 Source Type",$C$5,"5 Source no.",$C2017,"4 Item Ledger Entry Type",$C$4,"2 Item No.","@@"&amp;$F2017,"3 Posting Date",Z$9)</t>
  </si>
  <si>
    <t>=Z2017-AB2017</t>
  </si>
  <si>
    <t>=IF(Z2017&lt;&gt;0,AC2017/Z2017,"")</t>
  </si>
  <si>
    <t>=C2017</t>
  </si>
  <si>
    <t>=NL("Sum","5802 Value Entry","150 Sales Amount (Expected)","41 Source Type",$C$5,"5 Source No.",$C2018,"4 Item Ledger Entry Type",$C$4,"2 Item No.","@@"&amp;$F2018,"3 Posting Date",J$9)+NL("Sum","5802 Value Entry","17 Sales Amount (Actual)","41 Source Type",$C$5,"5 Source no.",$C2018,"4 Item Ledger Entry Type",$C$4,"2 Item No.","@@"&amp;$F2018,"3 Posting Date",J$9)</t>
  </si>
  <si>
    <t>=-NL("Sum","5802 Value Entry","151 Cost Amount (Expected)","41 Source Type",$C$5,"5 Source No.",$C2018,"4 Item Ledger Entry Type",$C$4,"2 Item No.","@@"&amp;$F2018,"3 Posting Date",J$9)-NL("Sum","5802 Value Entry","43 Cost Amount (Actual)","41 Source Type",$C$5,"5 Source no.",$C2018,"4 Item Ledger Entry Type",$C$4,"2 Item No.","@@"&amp;$F2018,"3 Posting Date",J$9)</t>
  </si>
  <si>
    <t>=J2018-L2018</t>
  </si>
  <si>
    <t>=IF(J2018&lt;&gt;0,M2018/J2018,"")</t>
  </si>
  <si>
    <t>=NL("Sum","5802 Value Entry","150 Sales Amount (Expected)","41 Source Type",$C$5,"5 Source No.",$C2018,"4 Item Ledger Entry Type",$C$4,"2 Item No.","@@"&amp;$F2018,"3 Posting Date",O$9)+NL("Sum","5802 Value Entry","17 Sales Amount (Actual)","41 Source Type",$C$5,"5 Source no.",$C2018,"4 Item Ledger Entry Type",$C$4,"2 Item No.","@@"&amp;$F2018,"3 Posting Date",O$9)</t>
  </si>
  <si>
    <t>=-NL("Sum","5802 Value Entry","151 Cost Amount (Expected)","41 Source Type",$C$5,"5 Source No.",$C2018,"4 Item Ledger Entry Type",$C$4,"2 Item No.","@@"&amp;$F2018,"3 Posting Date",O$9)-NL("Sum","5802 Value Entry","43 Cost Amount (Actual)","41 Source Type",$C$5,"5 Source no.",$C2018,"4 Item Ledger Entry Type",$C$4,"2 Item No.","@@"&amp;$F2018,"3 Posting Date",O$9)</t>
  </si>
  <si>
    <t>=O2018-Q2018</t>
  </si>
  <si>
    <t>=IF(O2018&lt;&gt;0,R2018/O2018,"")</t>
  </si>
  <si>
    <t>=NL("Sum","5802 Value Entry","150 Sales Amount (Expected)","41 Source Type",$C$5,"5 Source No.",$C2018,"4 Item Ledger Entry Type",$C$4,"2 Item No.","@@"&amp;$F2018,"3 Posting Date",U$9)+NL("Sum","5802 Value Entry","17 Sales Amount (Actual)","41 Source Type",$C$5,"5 Source no.",$C2018,"4 Item Ledger Entry Type",$C$4,"2 Item No.","@@"&amp;$F2018,"3 Posting Date",U$9)</t>
  </si>
  <si>
    <t>=-NL("Sum","5802 Value Entry","151 Cost Amount (Expected)","41 Source Type",$C$5,"5 Source No.",$C2018,"4 Item Ledger Entry Type",$C$4,"2 Item No.","@@"&amp;$F2018,"3 Posting Date",U$9)-NL("Sum","5802 Value Entry","43 Cost Amount (Actual)","41 Source Type",$C$5,"5 Source no.",$C2018,"4 Item Ledger Entry Type",$C$4,"2 Item No.","@@"&amp;$F2018,"3 Posting Date",U$9)</t>
  </si>
  <si>
    <t>=U2018-W2018</t>
  </si>
  <si>
    <t>=IF(U2018&lt;&gt;0,X2018/U2018,"")</t>
  </si>
  <si>
    <t>=NL("Sum","5802 Value Entry","150 Sales Amount (Expected)","41 Source Type",$C$5,"5 Source No.",$C2018,"4 Item Ledger Entry Type",$C$4,"2 Item No.","@@"&amp;$F2018,"3 Posting Date",Z$9)+NL("Sum","5802 Value Entry","17 Sales Amount (Actual)","41 Source Type",$C$5,"5 Source no.",$C2018,"4 Item Ledger Entry Type",$C$4,"2 Item No.","@@"&amp;$F2018,"3 Posting Date",Z$9)</t>
  </si>
  <si>
    <t>=-NL("Sum","5802 Value Entry","151 Cost Amount (Expected)","41 Source Type",$C$5,"5 Source No.",$C2018,"4 Item Ledger Entry Type",$C$4,"2 Item No.","@@"&amp;$F2018,"3 Posting Date",Z$9)-NL("Sum","5802 Value Entry","43 Cost Amount (Actual)","41 Source Type",$C$5,"5 Source no.",$C2018,"4 Item Ledger Entry Type",$C$4,"2 Item No.","@@"&amp;$F2018,"3 Posting Date",Z$9)</t>
  </si>
  <si>
    <t>=Z2018-AB2018</t>
  </si>
  <si>
    <t>=IF(Z2018&lt;&gt;0,AC2018/Z2018,"")</t>
  </si>
  <si>
    <t>=C2018</t>
  </si>
  <si>
    <t>=NL("Sum","5802 Value Entry","150 Sales Amount (Expected)","41 Source Type",$C$5,"5 Source No.",$C2019,"4 Item Ledger Entry Type",$C$4,"2 Item No.","@@"&amp;$F2019,"3 Posting Date",J$9)+NL("Sum","5802 Value Entry","17 Sales Amount (Actual)","41 Source Type",$C$5,"5 Source no.",$C2019,"4 Item Ledger Entry Type",$C$4,"2 Item No.","@@"&amp;$F2019,"3 Posting Date",J$9)</t>
  </si>
  <si>
    <t>=-NL("Sum","5802 Value Entry","151 Cost Amount (Expected)","41 Source Type",$C$5,"5 Source No.",$C2019,"4 Item Ledger Entry Type",$C$4,"2 Item No.","@@"&amp;$F2019,"3 Posting Date",J$9)-NL("Sum","5802 Value Entry","43 Cost Amount (Actual)","41 Source Type",$C$5,"5 Source no.",$C2019,"4 Item Ledger Entry Type",$C$4,"2 Item No.","@@"&amp;$F2019,"3 Posting Date",J$9)</t>
  </si>
  <si>
    <t>=J2019-L2019</t>
  </si>
  <si>
    <t>=IF(J2019&lt;&gt;0,M2019/J2019,"")</t>
  </si>
  <si>
    <t>=NL("Sum","5802 Value Entry","150 Sales Amount (Expected)","41 Source Type",$C$5,"5 Source No.",$C2019,"4 Item Ledger Entry Type",$C$4,"2 Item No.","@@"&amp;$F2019,"3 Posting Date",O$9)+NL("Sum","5802 Value Entry","17 Sales Amount (Actual)","41 Source Type",$C$5,"5 Source no.",$C2019,"4 Item Ledger Entry Type",$C$4,"2 Item No.","@@"&amp;$F2019,"3 Posting Date",O$9)</t>
  </si>
  <si>
    <t>=-NL("Sum","5802 Value Entry","151 Cost Amount (Expected)","41 Source Type",$C$5,"5 Source No.",$C2019,"4 Item Ledger Entry Type",$C$4,"2 Item No.","@@"&amp;$F2019,"3 Posting Date",O$9)-NL("Sum","5802 Value Entry","43 Cost Amount (Actual)","41 Source Type",$C$5,"5 Source no.",$C2019,"4 Item Ledger Entry Type",$C$4,"2 Item No.","@@"&amp;$F2019,"3 Posting Date",O$9)</t>
  </si>
  <si>
    <t>=O2019-Q2019</t>
  </si>
  <si>
    <t>=IF(O2019&lt;&gt;0,R2019/O2019,"")</t>
  </si>
  <si>
    <t>=NL("Sum","5802 Value Entry","150 Sales Amount (Expected)","41 Source Type",$C$5,"5 Source No.",$C2019,"4 Item Ledger Entry Type",$C$4,"2 Item No.","@@"&amp;$F2019,"3 Posting Date",U$9)+NL("Sum","5802 Value Entry","17 Sales Amount (Actual)","41 Source Type",$C$5,"5 Source no.",$C2019,"4 Item Ledger Entry Type",$C$4,"2 Item No.","@@"&amp;$F2019,"3 Posting Date",U$9)</t>
  </si>
  <si>
    <t>=-NL("Sum","5802 Value Entry","151 Cost Amount (Expected)","41 Source Type",$C$5,"5 Source No.",$C2019,"4 Item Ledger Entry Type",$C$4,"2 Item No.","@@"&amp;$F2019,"3 Posting Date",U$9)-NL("Sum","5802 Value Entry","43 Cost Amount (Actual)","41 Source Type",$C$5,"5 Source no.",$C2019,"4 Item Ledger Entry Type",$C$4,"2 Item No.","@@"&amp;$F2019,"3 Posting Date",U$9)</t>
  </si>
  <si>
    <t>=U2019-W2019</t>
  </si>
  <si>
    <t>=IF(U2019&lt;&gt;0,X2019/U2019,"")</t>
  </si>
  <si>
    <t>=NL("Sum","5802 Value Entry","150 Sales Amount (Expected)","41 Source Type",$C$5,"5 Source No.",$C2019,"4 Item Ledger Entry Type",$C$4,"2 Item No.","@@"&amp;$F2019,"3 Posting Date",Z$9)+NL("Sum","5802 Value Entry","17 Sales Amount (Actual)","41 Source Type",$C$5,"5 Source no.",$C2019,"4 Item Ledger Entry Type",$C$4,"2 Item No.","@@"&amp;$F2019,"3 Posting Date",Z$9)</t>
  </si>
  <si>
    <t>=-NL("Sum","5802 Value Entry","151 Cost Amount (Expected)","41 Source Type",$C$5,"5 Source No.",$C2019,"4 Item Ledger Entry Type",$C$4,"2 Item No.","@@"&amp;$F2019,"3 Posting Date",Z$9)-NL("Sum","5802 Value Entry","43 Cost Amount (Actual)","41 Source Type",$C$5,"5 Source no.",$C2019,"4 Item Ledger Entry Type",$C$4,"2 Item No.","@@"&amp;$F2019,"3 Posting Date",Z$9)</t>
  </si>
  <si>
    <t>=Z2019-AB2019</t>
  </si>
  <si>
    <t>=IF(Z2019&lt;&gt;0,AC2019/Z2019,"")</t>
  </si>
  <si>
    <t>=C2019</t>
  </si>
  <si>
    <t>=NL("Sum","5802 Value Entry","150 Sales Amount (Expected)","41 Source Type",$C$5,"5 Source No.",$C2020,"4 Item Ledger Entry Type",$C$4,"2 Item No.","@@"&amp;$F2020,"3 Posting Date",J$9)+NL("Sum","5802 Value Entry","17 Sales Amount (Actual)","41 Source Type",$C$5,"5 Source no.",$C2020,"4 Item Ledger Entry Type",$C$4,"2 Item No.","@@"&amp;$F2020,"3 Posting Date",J$9)</t>
  </si>
  <si>
    <t>=-NL("Sum","5802 Value Entry","151 Cost Amount (Expected)","41 Source Type",$C$5,"5 Source No.",$C2020,"4 Item Ledger Entry Type",$C$4,"2 Item No.","@@"&amp;$F2020,"3 Posting Date",J$9)-NL("Sum","5802 Value Entry","43 Cost Amount (Actual)","41 Source Type",$C$5,"5 Source no.",$C2020,"4 Item Ledger Entry Type",$C$4,"2 Item No.","@@"&amp;$F2020,"3 Posting Date",J$9)</t>
  </si>
  <si>
    <t>=J2020-L2020</t>
  </si>
  <si>
    <t>=IF(J2020&lt;&gt;0,M2020/J2020,"")</t>
  </si>
  <si>
    <t>=NL("Sum","5802 Value Entry","150 Sales Amount (Expected)","41 Source Type",$C$5,"5 Source No.",$C2020,"4 Item Ledger Entry Type",$C$4,"2 Item No.","@@"&amp;$F2020,"3 Posting Date",O$9)+NL("Sum","5802 Value Entry","17 Sales Amount (Actual)","41 Source Type",$C$5,"5 Source no.",$C2020,"4 Item Ledger Entry Type",$C$4,"2 Item No.","@@"&amp;$F2020,"3 Posting Date",O$9)</t>
  </si>
  <si>
    <t>=-NL("Sum","5802 Value Entry","151 Cost Amount (Expected)","41 Source Type",$C$5,"5 Source No.",$C2020,"4 Item Ledger Entry Type",$C$4,"2 Item No.","@@"&amp;$F2020,"3 Posting Date",O$9)-NL("Sum","5802 Value Entry","43 Cost Amount (Actual)","41 Source Type",$C$5,"5 Source no.",$C2020,"4 Item Ledger Entry Type",$C$4,"2 Item No.","@@"&amp;$F2020,"3 Posting Date",O$9)</t>
  </si>
  <si>
    <t>=O2020-Q2020</t>
  </si>
  <si>
    <t>=IF(O2020&lt;&gt;0,R2020/O2020,"")</t>
  </si>
  <si>
    <t>=NL("Sum","5802 Value Entry","150 Sales Amount (Expected)","41 Source Type",$C$5,"5 Source No.",$C2020,"4 Item Ledger Entry Type",$C$4,"2 Item No.","@@"&amp;$F2020,"3 Posting Date",U$9)+NL("Sum","5802 Value Entry","17 Sales Amount (Actual)","41 Source Type",$C$5,"5 Source no.",$C2020,"4 Item Ledger Entry Type",$C$4,"2 Item No.","@@"&amp;$F2020,"3 Posting Date",U$9)</t>
  </si>
  <si>
    <t>=-NL("Sum","5802 Value Entry","151 Cost Amount (Expected)","41 Source Type",$C$5,"5 Source No.",$C2020,"4 Item Ledger Entry Type",$C$4,"2 Item No.","@@"&amp;$F2020,"3 Posting Date",U$9)-NL("Sum","5802 Value Entry","43 Cost Amount (Actual)","41 Source Type",$C$5,"5 Source no.",$C2020,"4 Item Ledger Entry Type",$C$4,"2 Item No.","@@"&amp;$F2020,"3 Posting Date",U$9)</t>
  </si>
  <si>
    <t>=U2020-W2020</t>
  </si>
  <si>
    <t>=IF(U2020&lt;&gt;0,X2020/U2020,"")</t>
  </si>
  <si>
    <t>=NL("Sum","5802 Value Entry","150 Sales Amount (Expected)","41 Source Type",$C$5,"5 Source No.",$C2020,"4 Item Ledger Entry Type",$C$4,"2 Item No.","@@"&amp;$F2020,"3 Posting Date",Z$9)+NL("Sum","5802 Value Entry","17 Sales Amount (Actual)","41 Source Type",$C$5,"5 Source no.",$C2020,"4 Item Ledger Entry Type",$C$4,"2 Item No.","@@"&amp;$F2020,"3 Posting Date",Z$9)</t>
  </si>
  <si>
    <t>=-NL("Sum","5802 Value Entry","151 Cost Amount (Expected)","41 Source Type",$C$5,"5 Source No.",$C2020,"4 Item Ledger Entry Type",$C$4,"2 Item No.","@@"&amp;$F2020,"3 Posting Date",Z$9)-NL("Sum","5802 Value Entry","43 Cost Amount (Actual)","41 Source Type",$C$5,"5 Source no.",$C2020,"4 Item Ledger Entry Type",$C$4,"2 Item No.","@@"&amp;$F2020,"3 Posting Date",Z$9)</t>
  </si>
  <si>
    <t>=Z2020-AB2020</t>
  </si>
  <si>
    <t>=IF(Z2020&lt;&gt;0,AC2020/Z2020,"")</t>
  </si>
  <si>
    <t>=C2020</t>
  </si>
  <si>
    <t>=NL("Sum","5802 Value Entry","150 Sales Amount (Expected)","41 Source Type",$C$5,"5 Source No.",$C2021,"4 Item Ledger Entry Type",$C$4,"2 Item No.","@@"&amp;$F2021,"3 Posting Date",J$9)+NL("Sum","5802 Value Entry","17 Sales Amount (Actual)","41 Source Type",$C$5,"5 Source no.",$C2021,"4 Item Ledger Entry Type",$C$4,"2 Item No.","@@"&amp;$F2021,"3 Posting Date",J$9)</t>
  </si>
  <si>
    <t>=-NL("Sum","5802 Value Entry","151 Cost Amount (Expected)","41 Source Type",$C$5,"5 Source No.",$C2021,"4 Item Ledger Entry Type",$C$4,"2 Item No.","@@"&amp;$F2021,"3 Posting Date",J$9)-NL("Sum","5802 Value Entry","43 Cost Amount (Actual)","41 Source Type",$C$5,"5 Source no.",$C2021,"4 Item Ledger Entry Type",$C$4,"2 Item No.","@@"&amp;$F2021,"3 Posting Date",J$9)</t>
  </si>
  <si>
    <t>=J2021-L2021</t>
  </si>
  <si>
    <t>=IF(J2021&lt;&gt;0,M2021/J2021,"")</t>
  </si>
  <si>
    <t>=NL("Sum","5802 Value Entry","150 Sales Amount (Expected)","41 Source Type",$C$5,"5 Source No.",$C2021,"4 Item Ledger Entry Type",$C$4,"2 Item No.","@@"&amp;$F2021,"3 Posting Date",O$9)+NL("Sum","5802 Value Entry","17 Sales Amount (Actual)","41 Source Type",$C$5,"5 Source no.",$C2021,"4 Item Ledger Entry Type",$C$4,"2 Item No.","@@"&amp;$F2021,"3 Posting Date",O$9)</t>
  </si>
  <si>
    <t>=-NL("Sum","5802 Value Entry","151 Cost Amount (Expected)","41 Source Type",$C$5,"5 Source No.",$C2021,"4 Item Ledger Entry Type",$C$4,"2 Item No.","@@"&amp;$F2021,"3 Posting Date",O$9)-NL("Sum","5802 Value Entry","43 Cost Amount (Actual)","41 Source Type",$C$5,"5 Source no.",$C2021,"4 Item Ledger Entry Type",$C$4,"2 Item No.","@@"&amp;$F2021,"3 Posting Date",O$9)</t>
  </si>
  <si>
    <t>=O2021-Q2021</t>
  </si>
  <si>
    <t>=IF(O2021&lt;&gt;0,R2021/O2021,"")</t>
  </si>
  <si>
    <t>=NL("Sum","5802 Value Entry","150 Sales Amount (Expected)","41 Source Type",$C$5,"5 Source No.",$C2021,"4 Item Ledger Entry Type",$C$4,"2 Item No.","@@"&amp;$F2021,"3 Posting Date",U$9)+NL("Sum","5802 Value Entry","17 Sales Amount (Actual)","41 Source Type",$C$5,"5 Source no.",$C2021,"4 Item Ledger Entry Type",$C$4,"2 Item No.","@@"&amp;$F2021,"3 Posting Date",U$9)</t>
  </si>
  <si>
    <t>=-NL("Sum","5802 Value Entry","151 Cost Amount (Expected)","41 Source Type",$C$5,"5 Source No.",$C2021,"4 Item Ledger Entry Type",$C$4,"2 Item No.","@@"&amp;$F2021,"3 Posting Date",U$9)-NL("Sum","5802 Value Entry","43 Cost Amount (Actual)","41 Source Type",$C$5,"5 Source no.",$C2021,"4 Item Ledger Entry Type",$C$4,"2 Item No.","@@"&amp;$F2021,"3 Posting Date",U$9)</t>
  </si>
  <si>
    <t>=U2021-W2021</t>
  </si>
  <si>
    <t>=IF(U2021&lt;&gt;0,X2021/U2021,"")</t>
  </si>
  <si>
    <t>=NL("Sum","5802 Value Entry","150 Sales Amount (Expected)","41 Source Type",$C$5,"5 Source No.",$C2021,"4 Item Ledger Entry Type",$C$4,"2 Item No.","@@"&amp;$F2021,"3 Posting Date",Z$9)+NL("Sum","5802 Value Entry","17 Sales Amount (Actual)","41 Source Type",$C$5,"5 Source no.",$C2021,"4 Item Ledger Entry Type",$C$4,"2 Item No.","@@"&amp;$F2021,"3 Posting Date",Z$9)</t>
  </si>
  <si>
    <t>=-NL("Sum","5802 Value Entry","151 Cost Amount (Expected)","41 Source Type",$C$5,"5 Source No.",$C2021,"4 Item Ledger Entry Type",$C$4,"2 Item No.","@@"&amp;$F2021,"3 Posting Date",Z$9)-NL("Sum","5802 Value Entry","43 Cost Amount (Actual)","41 Source Type",$C$5,"5 Source no.",$C2021,"4 Item Ledger Entry Type",$C$4,"2 Item No.","@@"&amp;$F2021,"3 Posting Date",Z$9)</t>
  </si>
  <si>
    <t>=Z2021-AB2021</t>
  </si>
  <si>
    <t>=IF(Z2021&lt;&gt;0,AC2021/Z2021,"")</t>
  </si>
  <si>
    <t>=C2021</t>
  </si>
  <si>
    <t>=NL("Sum","5802 Value Entry","150 Sales Amount (Expected)","41 Source Type",$C$5,"5 Source No.",$C2022,"4 Item Ledger Entry Type",$C$4,"2 Item No.","@@"&amp;$F2022,"3 Posting Date",J$9)+NL("Sum","5802 Value Entry","17 Sales Amount (Actual)","41 Source Type",$C$5,"5 Source no.",$C2022,"4 Item Ledger Entry Type",$C$4,"2 Item No.","@@"&amp;$F2022,"3 Posting Date",J$9)</t>
  </si>
  <si>
    <t>=-NL("Sum","5802 Value Entry","151 Cost Amount (Expected)","41 Source Type",$C$5,"5 Source No.",$C2022,"4 Item Ledger Entry Type",$C$4,"2 Item No.","@@"&amp;$F2022,"3 Posting Date",J$9)-NL("Sum","5802 Value Entry","43 Cost Amount (Actual)","41 Source Type",$C$5,"5 Source no.",$C2022,"4 Item Ledger Entry Type",$C$4,"2 Item No.","@@"&amp;$F2022,"3 Posting Date",J$9)</t>
  </si>
  <si>
    <t>=J2022-L2022</t>
  </si>
  <si>
    <t>=IF(J2022&lt;&gt;0,M2022/J2022,"")</t>
  </si>
  <si>
    <t>=NL("Sum","5802 Value Entry","150 Sales Amount (Expected)","41 Source Type",$C$5,"5 Source No.",$C2022,"4 Item Ledger Entry Type",$C$4,"2 Item No.","@@"&amp;$F2022,"3 Posting Date",O$9)+NL("Sum","5802 Value Entry","17 Sales Amount (Actual)","41 Source Type",$C$5,"5 Source no.",$C2022,"4 Item Ledger Entry Type",$C$4,"2 Item No.","@@"&amp;$F2022,"3 Posting Date",O$9)</t>
  </si>
  <si>
    <t>=-NL("Sum","5802 Value Entry","151 Cost Amount (Expected)","41 Source Type",$C$5,"5 Source No.",$C2022,"4 Item Ledger Entry Type",$C$4,"2 Item No.","@@"&amp;$F2022,"3 Posting Date",O$9)-NL("Sum","5802 Value Entry","43 Cost Amount (Actual)","41 Source Type",$C$5,"5 Source no.",$C2022,"4 Item Ledger Entry Type",$C$4,"2 Item No.","@@"&amp;$F2022,"3 Posting Date",O$9)</t>
  </si>
  <si>
    <t>=O2022-Q2022</t>
  </si>
  <si>
    <t>=IF(O2022&lt;&gt;0,R2022/O2022,"")</t>
  </si>
  <si>
    <t>=NL("Sum","5802 Value Entry","150 Sales Amount (Expected)","41 Source Type",$C$5,"5 Source No.",$C2022,"4 Item Ledger Entry Type",$C$4,"2 Item No.","@@"&amp;$F2022,"3 Posting Date",U$9)+NL("Sum","5802 Value Entry","17 Sales Amount (Actual)","41 Source Type",$C$5,"5 Source no.",$C2022,"4 Item Ledger Entry Type",$C$4,"2 Item No.","@@"&amp;$F2022,"3 Posting Date",U$9)</t>
  </si>
  <si>
    <t>=-NL("Sum","5802 Value Entry","151 Cost Amount (Expected)","41 Source Type",$C$5,"5 Source No.",$C2022,"4 Item Ledger Entry Type",$C$4,"2 Item No.","@@"&amp;$F2022,"3 Posting Date",U$9)-NL("Sum","5802 Value Entry","43 Cost Amount (Actual)","41 Source Type",$C$5,"5 Source no.",$C2022,"4 Item Ledger Entry Type",$C$4,"2 Item No.","@@"&amp;$F2022,"3 Posting Date",U$9)</t>
  </si>
  <si>
    <t>=U2022-W2022</t>
  </si>
  <si>
    <t>=IF(U2022&lt;&gt;0,X2022/U2022,"")</t>
  </si>
  <si>
    <t>=NL("Sum","5802 Value Entry","150 Sales Amount (Expected)","41 Source Type",$C$5,"5 Source No.",$C2022,"4 Item Ledger Entry Type",$C$4,"2 Item No.","@@"&amp;$F2022,"3 Posting Date",Z$9)+NL("Sum","5802 Value Entry","17 Sales Amount (Actual)","41 Source Type",$C$5,"5 Source no.",$C2022,"4 Item Ledger Entry Type",$C$4,"2 Item No.","@@"&amp;$F2022,"3 Posting Date",Z$9)</t>
  </si>
  <si>
    <t>=-NL("Sum","5802 Value Entry","151 Cost Amount (Expected)","41 Source Type",$C$5,"5 Source No.",$C2022,"4 Item Ledger Entry Type",$C$4,"2 Item No.","@@"&amp;$F2022,"3 Posting Date",Z$9)-NL("Sum","5802 Value Entry","43 Cost Amount (Actual)","41 Source Type",$C$5,"5 Source no.",$C2022,"4 Item Ledger Entry Type",$C$4,"2 Item No.","@@"&amp;$F2022,"3 Posting Date",Z$9)</t>
  </si>
  <si>
    <t>=Z2022-AB2022</t>
  </si>
  <si>
    <t>=IF(Z2022&lt;&gt;0,AC2022/Z2022,"")</t>
  </si>
  <si>
    <t>=C2022</t>
  </si>
  <si>
    <t>=NL("Sum","5802 Value Entry","150 Sales Amount (Expected)","41 Source Type",$C$5,"5 Source No.",$C2023,"4 Item Ledger Entry Type",$C$4,"2 Item No.","@@"&amp;$F2023,"3 Posting Date",J$9)+NL("Sum","5802 Value Entry","17 Sales Amount (Actual)","41 Source Type",$C$5,"5 Source no.",$C2023,"4 Item Ledger Entry Type",$C$4,"2 Item No.","@@"&amp;$F2023,"3 Posting Date",J$9)</t>
  </si>
  <si>
    <t>=-NL("Sum","5802 Value Entry","151 Cost Amount (Expected)","41 Source Type",$C$5,"5 Source No.",$C2023,"4 Item Ledger Entry Type",$C$4,"2 Item No.","@@"&amp;$F2023,"3 Posting Date",J$9)-NL("Sum","5802 Value Entry","43 Cost Amount (Actual)","41 Source Type",$C$5,"5 Source no.",$C2023,"4 Item Ledger Entry Type",$C$4,"2 Item No.","@@"&amp;$F2023,"3 Posting Date",J$9)</t>
  </si>
  <si>
    <t>=J2023-L2023</t>
  </si>
  <si>
    <t>=IF(J2023&lt;&gt;0,M2023/J2023,"")</t>
  </si>
  <si>
    <t>=NL("Sum","5802 Value Entry","150 Sales Amount (Expected)","41 Source Type",$C$5,"5 Source No.",$C2023,"4 Item Ledger Entry Type",$C$4,"2 Item No.","@@"&amp;$F2023,"3 Posting Date",O$9)+NL("Sum","5802 Value Entry","17 Sales Amount (Actual)","41 Source Type",$C$5,"5 Source no.",$C2023,"4 Item Ledger Entry Type",$C$4,"2 Item No.","@@"&amp;$F2023,"3 Posting Date",O$9)</t>
  </si>
  <si>
    <t>=-NL("Sum","5802 Value Entry","151 Cost Amount (Expected)","41 Source Type",$C$5,"5 Source No.",$C2023,"4 Item Ledger Entry Type",$C$4,"2 Item No.","@@"&amp;$F2023,"3 Posting Date",O$9)-NL("Sum","5802 Value Entry","43 Cost Amount (Actual)","41 Source Type",$C$5,"5 Source no.",$C2023,"4 Item Ledger Entry Type",$C$4,"2 Item No.","@@"&amp;$F2023,"3 Posting Date",O$9)</t>
  </si>
  <si>
    <t>=O2023-Q2023</t>
  </si>
  <si>
    <t>=IF(O2023&lt;&gt;0,R2023/O2023,"")</t>
  </si>
  <si>
    <t>=NL("Sum","5802 Value Entry","150 Sales Amount (Expected)","41 Source Type",$C$5,"5 Source No.",$C2023,"4 Item Ledger Entry Type",$C$4,"2 Item No.","@@"&amp;$F2023,"3 Posting Date",U$9)+NL("Sum","5802 Value Entry","17 Sales Amount (Actual)","41 Source Type",$C$5,"5 Source no.",$C2023,"4 Item Ledger Entry Type",$C$4,"2 Item No.","@@"&amp;$F2023,"3 Posting Date",U$9)</t>
  </si>
  <si>
    <t>=-NL("Sum","5802 Value Entry","151 Cost Amount (Expected)","41 Source Type",$C$5,"5 Source No.",$C2023,"4 Item Ledger Entry Type",$C$4,"2 Item No.","@@"&amp;$F2023,"3 Posting Date",U$9)-NL("Sum","5802 Value Entry","43 Cost Amount (Actual)","41 Source Type",$C$5,"5 Source no.",$C2023,"4 Item Ledger Entry Type",$C$4,"2 Item No.","@@"&amp;$F2023,"3 Posting Date",U$9)</t>
  </si>
  <si>
    <t>=U2023-W2023</t>
  </si>
  <si>
    <t>=IF(U2023&lt;&gt;0,X2023/U2023,"")</t>
  </si>
  <si>
    <t>=NL("Sum","5802 Value Entry","150 Sales Amount (Expected)","41 Source Type",$C$5,"5 Source No.",$C2023,"4 Item Ledger Entry Type",$C$4,"2 Item No.","@@"&amp;$F2023,"3 Posting Date",Z$9)+NL("Sum","5802 Value Entry","17 Sales Amount (Actual)","41 Source Type",$C$5,"5 Source no.",$C2023,"4 Item Ledger Entry Type",$C$4,"2 Item No.","@@"&amp;$F2023,"3 Posting Date",Z$9)</t>
  </si>
  <si>
    <t>=-NL("Sum","5802 Value Entry","151 Cost Amount (Expected)","41 Source Type",$C$5,"5 Source No.",$C2023,"4 Item Ledger Entry Type",$C$4,"2 Item No.","@@"&amp;$F2023,"3 Posting Date",Z$9)-NL("Sum","5802 Value Entry","43 Cost Amount (Actual)","41 Source Type",$C$5,"5 Source no.",$C2023,"4 Item Ledger Entry Type",$C$4,"2 Item No.","@@"&amp;$F2023,"3 Posting Date",Z$9)</t>
  </si>
  <si>
    <t>=Z2023-AB2023</t>
  </si>
  <si>
    <t>=IF(Z2023&lt;&gt;0,AC2023/Z2023,"")</t>
  </si>
  <si>
    <t>=C2023</t>
  </si>
  <si>
    <t>=NL("Sum","5802 Value Entry","150 Sales Amount (Expected)","41 Source Type",$C$5,"5 Source No.",$C2024,"4 Item Ledger Entry Type",$C$4,"2 Item No.","@@"&amp;$F2024,"3 Posting Date",J$9)+NL("Sum","5802 Value Entry","17 Sales Amount (Actual)","41 Source Type",$C$5,"5 Source no.",$C2024,"4 Item Ledger Entry Type",$C$4,"2 Item No.","@@"&amp;$F2024,"3 Posting Date",J$9)</t>
  </si>
  <si>
    <t>=-NL("Sum","5802 Value Entry","151 Cost Amount (Expected)","41 Source Type",$C$5,"5 Source No.",$C2024,"4 Item Ledger Entry Type",$C$4,"2 Item No.","@@"&amp;$F2024,"3 Posting Date",J$9)-NL("Sum","5802 Value Entry","43 Cost Amount (Actual)","41 Source Type",$C$5,"5 Source no.",$C2024,"4 Item Ledger Entry Type",$C$4,"2 Item No.","@@"&amp;$F2024,"3 Posting Date",J$9)</t>
  </si>
  <si>
    <t>=J2024-L2024</t>
  </si>
  <si>
    <t>=IF(J2024&lt;&gt;0,M2024/J2024,"")</t>
  </si>
  <si>
    <t>=NL("Sum","5802 Value Entry","150 Sales Amount (Expected)","41 Source Type",$C$5,"5 Source No.",$C2024,"4 Item Ledger Entry Type",$C$4,"2 Item No.","@@"&amp;$F2024,"3 Posting Date",O$9)+NL("Sum","5802 Value Entry","17 Sales Amount (Actual)","41 Source Type",$C$5,"5 Source no.",$C2024,"4 Item Ledger Entry Type",$C$4,"2 Item No.","@@"&amp;$F2024,"3 Posting Date",O$9)</t>
  </si>
  <si>
    <t>=-NL("Sum","5802 Value Entry","151 Cost Amount (Expected)","41 Source Type",$C$5,"5 Source No.",$C2024,"4 Item Ledger Entry Type",$C$4,"2 Item No.","@@"&amp;$F2024,"3 Posting Date",O$9)-NL("Sum","5802 Value Entry","43 Cost Amount (Actual)","41 Source Type",$C$5,"5 Source no.",$C2024,"4 Item Ledger Entry Type",$C$4,"2 Item No.","@@"&amp;$F2024,"3 Posting Date",O$9)</t>
  </si>
  <si>
    <t>=O2024-Q2024</t>
  </si>
  <si>
    <t>=IF(O2024&lt;&gt;0,R2024/O2024,"")</t>
  </si>
  <si>
    <t>=NL("Sum","5802 Value Entry","150 Sales Amount (Expected)","41 Source Type",$C$5,"5 Source No.",$C2024,"4 Item Ledger Entry Type",$C$4,"2 Item No.","@@"&amp;$F2024,"3 Posting Date",U$9)+NL("Sum","5802 Value Entry","17 Sales Amount (Actual)","41 Source Type",$C$5,"5 Source no.",$C2024,"4 Item Ledger Entry Type",$C$4,"2 Item No.","@@"&amp;$F2024,"3 Posting Date",U$9)</t>
  </si>
  <si>
    <t>=-NL("Sum","5802 Value Entry","151 Cost Amount (Expected)","41 Source Type",$C$5,"5 Source No.",$C2024,"4 Item Ledger Entry Type",$C$4,"2 Item No.","@@"&amp;$F2024,"3 Posting Date",U$9)-NL("Sum","5802 Value Entry","43 Cost Amount (Actual)","41 Source Type",$C$5,"5 Source no.",$C2024,"4 Item Ledger Entry Type",$C$4,"2 Item No.","@@"&amp;$F2024,"3 Posting Date",U$9)</t>
  </si>
  <si>
    <t>=U2024-W2024</t>
  </si>
  <si>
    <t>=IF(U2024&lt;&gt;0,X2024/U2024,"")</t>
  </si>
  <si>
    <t>=NL("Sum","5802 Value Entry","150 Sales Amount (Expected)","41 Source Type",$C$5,"5 Source No.",$C2024,"4 Item Ledger Entry Type",$C$4,"2 Item No.","@@"&amp;$F2024,"3 Posting Date",Z$9)+NL("Sum","5802 Value Entry","17 Sales Amount (Actual)","41 Source Type",$C$5,"5 Source no.",$C2024,"4 Item Ledger Entry Type",$C$4,"2 Item No.","@@"&amp;$F2024,"3 Posting Date",Z$9)</t>
  </si>
  <si>
    <t>=-NL("Sum","5802 Value Entry","151 Cost Amount (Expected)","41 Source Type",$C$5,"5 Source No.",$C2024,"4 Item Ledger Entry Type",$C$4,"2 Item No.","@@"&amp;$F2024,"3 Posting Date",Z$9)-NL("Sum","5802 Value Entry","43 Cost Amount (Actual)","41 Source Type",$C$5,"5 Source no.",$C2024,"4 Item Ledger Entry Type",$C$4,"2 Item No.","@@"&amp;$F2024,"3 Posting Date",Z$9)</t>
  </si>
  <si>
    <t>=Z2024-AB2024</t>
  </si>
  <si>
    <t>=IF(Z2024&lt;&gt;0,AC2024/Z2024,"")</t>
  </si>
  <si>
    <t>=C2024</t>
  </si>
  <si>
    <t>=NL("Sum","5802 Value Entry","150 Sales Amount (Expected)","41 Source Type",$C$5,"5 Source No.",$C2025,"4 Item Ledger Entry Type",$C$4,"2 Item No.","@@"&amp;$F2025,"3 Posting Date",J$9)+NL("Sum","5802 Value Entry","17 Sales Amount (Actual)","41 Source Type",$C$5,"5 Source no.",$C2025,"4 Item Ledger Entry Type",$C$4,"2 Item No.","@@"&amp;$F2025,"3 Posting Date",J$9)</t>
  </si>
  <si>
    <t>=-NL("Sum","5802 Value Entry","151 Cost Amount (Expected)","41 Source Type",$C$5,"5 Source No.",$C2025,"4 Item Ledger Entry Type",$C$4,"2 Item No.","@@"&amp;$F2025,"3 Posting Date",J$9)-NL("Sum","5802 Value Entry","43 Cost Amount (Actual)","41 Source Type",$C$5,"5 Source no.",$C2025,"4 Item Ledger Entry Type",$C$4,"2 Item No.","@@"&amp;$F2025,"3 Posting Date",J$9)</t>
  </si>
  <si>
    <t>=J2025-L2025</t>
  </si>
  <si>
    <t>=IF(J2025&lt;&gt;0,M2025/J2025,"")</t>
  </si>
  <si>
    <t>=NL("Sum","5802 Value Entry","150 Sales Amount (Expected)","41 Source Type",$C$5,"5 Source No.",$C2025,"4 Item Ledger Entry Type",$C$4,"2 Item No.","@@"&amp;$F2025,"3 Posting Date",O$9)+NL("Sum","5802 Value Entry","17 Sales Amount (Actual)","41 Source Type",$C$5,"5 Source no.",$C2025,"4 Item Ledger Entry Type",$C$4,"2 Item No.","@@"&amp;$F2025,"3 Posting Date",O$9)</t>
  </si>
  <si>
    <t>=-NL("Sum","5802 Value Entry","151 Cost Amount (Expected)","41 Source Type",$C$5,"5 Source No.",$C2025,"4 Item Ledger Entry Type",$C$4,"2 Item No.","@@"&amp;$F2025,"3 Posting Date",O$9)-NL("Sum","5802 Value Entry","43 Cost Amount (Actual)","41 Source Type",$C$5,"5 Source no.",$C2025,"4 Item Ledger Entry Type",$C$4,"2 Item No.","@@"&amp;$F2025,"3 Posting Date",O$9)</t>
  </si>
  <si>
    <t>=O2025-Q2025</t>
  </si>
  <si>
    <t>=IF(O2025&lt;&gt;0,R2025/O2025,"")</t>
  </si>
  <si>
    <t>=NL("Sum","5802 Value Entry","150 Sales Amount (Expected)","41 Source Type",$C$5,"5 Source No.",$C2025,"4 Item Ledger Entry Type",$C$4,"2 Item No.","@@"&amp;$F2025,"3 Posting Date",U$9)+NL("Sum","5802 Value Entry","17 Sales Amount (Actual)","41 Source Type",$C$5,"5 Source no.",$C2025,"4 Item Ledger Entry Type",$C$4,"2 Item No.","@@"&amp;$F2025,"3 Posting Date",U$9)</t>
  </si>
  <si>
    <t>=-NL("Sum","5802 Value Entry","151 Cost Amount (Expected)","41 Source Type",$C$5,"5 Source No.",$C2025,"4 Item Ledger Entry Type",$C$4,"2 Item No.","@@"&amp;$F2025,"3 Posting Date",U$9)-NL("Sum","5802 Value Entry","43 Cost Amount (Actual)","41 Source Type",$C$5,"5 Source no.",$C2025,"4 Item Ledger Entry Type",$C$4,"2 Item No.","@@"&amp;$F2025,"3 Posting Date",U$9)</t>
  </si>
  <si>
    <t>=U2025-W2025</t>
  </si>
  <si>
    <t>=IF(U2025&lt;&gt;0,X2025/U2025,"")</t>
  </si>
  <si>
    <t>=NL("Sum","5802 Value Entry","150 Sales Amount (Expected)","41 Source Type",$C$5,"5 Source No.",$C2025,"4 Item Ledger Entry Type",$C$4,"2 Item No.","@@"&amp;$F2025,"3 Posting Date",Z$9)+NL("Sum","5802 Value Entry","17 Sales Amount (Actual)","41 Source Type",$C$5,"5 Source no.",$C2025,"4 Item Ledger Entry Type",$C$4,"2 Item No.","@@"&amp;$F2025,"3 Posting Date",Z$9)</t>
  </si>
  <si>
    <t>=-NL("Sum","5802 Value Entry","151 Cost Amount (Expected)","41 Source Type",$C$5,"5 Source No.",$C2025,"4 Item Ledger Entry Type",$C$4,"2 Item No.","@@"&amp;$F2025,"3 Posting Date",Z$9)-NL("Sum","5802 Value Entry","43 Cost Amount (Actual)","41 Source Type",$C$5,"5 Source no.",$C2025,"4 Item Ledger Entry Type",$C$4,"2 Item No.","@@"&amp;$F2025,"3 Posting Date",Z$9)</t>
  </si>
  <si>
    <t>=Z2025-AB2025</t>
  </si>
  <si>
    <t>=IF(Z2025&lt;&gt;0,AC2025/Z2025,"")</t>
  </si>
  <si>
    <t>=C2025</t>
  </si>
  <si>
    <t>=NL("Sum","5802 Value Entry","150 Sales Amount (Expected)","41 Source Type",$C$5,"5 Source No.",$C2026,"4 Item Ledger Entry Type",$C$4,"2 Item No.","@@"&amp;$F2026,"3 Posting Date",J$9)+NL("Sum","5802 Value Entry","17 Sales Amount (Actual)","41 Source Type",$C$5,"5 Source no.",$C2026,"4 Item Ledger Entry Type",$C$4,"2 Item No.","@@"&amp;$F2026,"3 Posting Date",J$9)</t>
  </si>
  <si>
    <t>=-NL("Sum","5802 Value Entry","151 Cost Amount (Expected)","41 Source Type",$C$5,"5 Source No.",$C2026,"4 Item Ledger Entry Type",$C$4,"2 Item No.","@@"&amp;$F2026,"3 Posting Date",J$9)-NL("Sum","5802 Value Entry","43 Cost Amount (Actual)","41 Source Type",$C$5,"5 Source no.",$C2026,"4 Item Ledger Entry Type",$C$4,"2 Item No.","@@"&amp;$F2026,"3 Posting Date",J$9)</t>
  </si>
  <si>
    <t>=J2026-L2026</t>
  </si>
  <si>
    <t>=IF(J2026&lt;&gt;0,M2026/J2026,"")</t>
  </si>
  <si>
    <t>=NL("Sum","5802 Value Entry","150 Sales Amount (Expected)","41 Source Type",$C$5,"5 Source No.",$C2026,"4 Item Ledger Entry Type",$C$4,"2 Item No.","@@"&amp;$F2026,"3 Posting Date",O$9)+NL("Sum","5802 Value Entry","17 Sales Amount (Actual)","41 Source Type",$C$5,"5 Source no.",$C2026,"4 Item Ledger Entry Type",$C$4,"2 Item No.","@@"&amp;$F2026,"3 Posting Date",O$9)</t>
  </si>
  <si>
    <t>=-NL("Sum","5802 Value Entry","151 Cost Amount (Expected)","41 Source Type",$C$5,"5 Source No.",$C2026,"4 Item Ledger Entry Type",$C$4,"2 Item No.","@@"&amp;$F2026,"3 Posting Date",O$9)-NL("Sum","5802 Value Entry","43 Cost Amount (Actual)","41 Source Type",$C$5,"5 Source no.",$C2026,"4 Item Ledger Entry Type",$C$4,"2 Item No.","@@"&amp;$F2026,"3 Posting Date",O$9)</t>
  </si>
  <si>
    <t>=O2026-Q2026</t>
  </si>
  <si>
    <t>=IF(O2026&lt;&gt;0,R2026/O2026,"")</t>
  </si>
  <si>
    <t>=NL("Sum","5802 Value Entry","150 Sales Amount (Expected)","41 Source Type",$C$5,"5 Source No.",$C2026,"4 Item Ledger Entry Type",$C$4,"2 Item No.","@@"&amp;$F2026,"3 Posting Date",U$9)+NL("Sum","5802 Value Entry","17 Sales Amount (Actual)","41 Source Type",$C$5,"5 Source no.",$C2026,"4 Item Ledger Entry Type",$C$4,"2 Item No.","@@"&amp;$F2026,"3 Posting Date",U$9)</t>
  </si>
  <si>
    <t>=-NL("Sum","5802 Value Entry","151 Cost Amount (Expected)","41 Source Type",$C$5,"5 Source No.",$C2026,"4 Item Ledger Entry Type",$C$4,"2 Item No.","@@"&amp;$F2026,"3 Posting Date",U$9)-NL("Sum","5802 Value Entry","43 Cost Amount (Actual)","41 Source Type",$C$5,"5 Source no.",$C2026,"4 Item Ledger Entry Type",$C$4,"2 Item No.","@@"&amp;$F2026,"3 Posting Date",U$9)</t>
  </si>
  <si>
    <t>=U2026-W2026</t>
  </si>
  <si>
    <t>=IF(U2026&lt;&gt;0,X2026/U2026,"")</t>
  </si>
  <si>
    <t>=NL("Sum","5802 Value Entry","150 Sales Amount (Expected)","41 Source Type",$C$5,"5 Source No.",$C2026,"4 Item Ledger Entry Type",$C$4,"2 Item No.","@@"&amp;$F2026,"3 Posting Date",Z$9)+NL("Sum","5802 Value Entry","17 Sales Amount (Actual)","41 Source Type",$C$5,"5 Source no.",$C2026,"4 Item Ledger Entry Type",$C$4,"2 Item No.","@@"&amp;$F2026,"3 Posting Date",Z$9)</t>
  </si>
  <si>
    <t>=-NL("Sum","5802 Value Entry","151 Cost Amount (Expected)","41 Source Type",$C$5,"5 Source No.",$C2026,"4 Item Ledger Entry Type",$C$4,"2 Item No.","@@"&amp;$F2026,"3 Posting Date",Z$9)-NL("Sum","5802 Value Entry","43 Cost Amount (Actual)","41 Source Type",$C$5,"5 Source no.",$C2026,"4 Item Ledger Entry Type",$C$4,"2 Item No.","@@"&amp;$F2026,"3 Posting Date",Z$9)</t>
  </si>
  <si>
    <t>=Z2026-AB2026</t>
  </si>
  <si>
    <t>=IF(Z2026&lt;&gt;0,AC2026/Z2026,"")</t>
  </si>
  <si>
    <t>=C2026</t>
  </si>
  <si>
    <t>=NL("Sum","5802 Value Entry","150 Sales Amount (Expected)","41 Source Type",$C$5,"5 Source No.",$C2027,"4 Item Ledger Entry Type",$C$4,"2 Item No.","@@"&amp;$F2027,"3 Posting Date",J$9)+NL("Sum","5802 Value Entry","17 Sales Amount (Actual)","41 Source Type",$C$5,"5 Source no.",$C2027,"4 Item Ledger Entry Type",$C$4,"2 Item No.","@@"&amp;$F2027,"3 Posting Date",J$9)</t>
  </si>
  <si>
    <t>=-NL("Sum","5802 Value Entry","151 Cost Amount (Expected)","41 Source Type",$C$5,"5 Source No.",$C2027,"4 Item Ledger Entry Type",$C$4,"2 Item No.","@@"&amp;$F2027,"3 Posting Date",J$9)-NL("Sum","5802 Value Entry","43 Cost Amount (Actual)","41 Source Type",$C$5,"5 Source no.",$C2027,"4 Item Ledger Entry Type",$C$4,"2 Item No.","@@"&amp;$F2027,"3 Posting Date",J$9)</t>
  </si>
  <si>
    <t>=J2027-L2027</t>
  </si>
  <si>
    <t>=IF(J2027&lt;&gt;0,M2027/J2027,"")</t>
  </si>
  <si>
    <t>=NL("Sum","5802 Value Entry","150 Sales Amount (Expected)","41 Source Type",$C$5,"5 Source No.",$C2027,"4 Item Ledger Entry Type",$C$4,"2 Item No.","@@"&amp;$F2027,"3 Posting Date",O$9)+NL("Sum","5802 Value Entry","17 Sales Amount (Actual)","41 Source Type",$C$5,"5 Source no.",$C2027,"4 Item Ledger Entry Type",$C$4,"2 Item No.","@@"&amp;$F2027,"3 Posting Date",O$9)</t>
  </si>
  <si>
    <t>=-NL("Sum","5802 Value Entry","151 Cost Amount (Expected)","41 Source Type",$C$5,"5 Source No.",$C2027,"4 Item Ledger Entry Type",$C$4,"2 Item No.","@@"&amp;$F2027,"3 Posting Date",O$9)-NL("Sum","5802 Value Entry","43 Cost Amount (Actual)","41 Source Type",$C$5,"5 Source no.",$C2027,"4 Item Ledger Entry Type",$C$4,"2 Item No.","@@"&amp;$F2027,"3 Posting Date",O$9)</t>
  </si>
  <si>
    <t>=O2027-Q2027</t>
  </si>
  <si>
    <t>=IF(O2027&lt;&gt;0,R2027/O2027,"")</t>
  </si>
  <si>
    <t>=NL("Sum","5802 Value Entry","150 Sales Amount (Expected)","41 Source Type",$C$5,"5 Source No.",$C2027,"4 Item Ledger Entry Type",$C$4,"2 Item No.","@@"&amp;$F2027,"3 Posting Date",U$9)+NL("Sum","5802 Value Entry","17 Sales Amount (Actual)","41 Source Type",$C$5,"5 Source no.",$C2027,"4 Item Ledger Entry Type",$C$4,"2 Item No.","@@"&amp;$F2027,"3 Posting Date",U$9)</t>
  </si>
  <si>
    <t>=-NL("Sum","5802 Value Entry","151 Cost Amount (Expected)","41 Source Type",$C$5,"5 Source No.",$C2027,"4 Item Ledger Entry Type",$C$4,"2 Item No.","@@"&amp;$F2027,"3 Posting Date",U$9)-NL("Sum","5802 Value Entry","43 Cost Amount (Actual)","41 Source Type",$C$5,"5 Source no.",$C2027,"4 Item Ledger Entry Type",$C$4,"2 Item No.","@@"&amp;$F2027,"3 Posting Date",U$9)</t>
  </si>
  <si>
    <t>=U2027-W2027</t>
  </si>
  <si>
    <t>=IF(U2027&lt;&gt;0,X2027/U2027,"")</t>
  </si>
  <si>
    <t>=NL("Sum","5802 Value Entry","150 Sales Amount (Expected)","41 Source Type",$C$5,"5 Source No.",$C2027,"4 Item Ledger Entry Type",$C$4,"2 Item No.","@@"&amp;$F2027,"3 Posting Date",Z$9)+NL("Sum","5802 Value Entry","17 Sales Amount (Actual)","41 Source Type",$C$5,"5 Source no.",$C2027,"4 Item Ledger Entry Type",$C$4,"2 Item No.","@@"&amp;$F2027,"3 Posting Date",Z$9)</t>
  </si>
  <si>
    <t>=-NL("Sum","5802 Value Entry","151 Cost Amount (Expected)","41 Source Type",$C$5,"5 Source No.",$C2027,"4 Item Ledger Entry Type",$C$4,"2 Item No.","@@"&amp;$F2027,"3 Posting Date",Z$9)-NL("Sum","5802 Value Entry","43 Cost Amount (Actual)","41 Source Type",$C$5,"5 Source no.",$C2027,"4 Item Ledger Entry Type",$C$4,"2 Item No.","@@"&amp;$F2027,"3 Posting Date",Z$9)</t>
  </si>
  <si>
    <t>=Z2027-AB2027</t>
  </si>
  <si>
    <t>=IF(Z2027&lt;&gt;0,AC2027/Z2027,"")</t>
  </si>
  <si>
    <t>=C2027</t>
  </si>
  <si>
    <t>=NL("Sum","5802 Value Entry","150 Sales Amount (Expected)","41 Source Type",$C$5,"5 Source No.",$C2028,"4 Item Ledger Entry Type",$C$4,"2 Item No.","@@"&amp;$F2028,"3 Posting Date",J$9)+NL("Sum","5802 Value Entry","17 Sales Amount (Actual)","41 Source Type",$C$5,"5 Source no.",$C2028,"4 Item Ledger Entry Type",$C$4,"2 Item No.","@@"&amp;$F2028,"3 Posting Date",J$9)</t>
  </si>
  <si>
    <t>=-NL("Sum","5802 Value Entry","151 Cost Amount (Expected)","41 Source Type",$C$5,"5 Source No.",$C2028,"4 Item Ledger Entry Type",$C$4,"2 Item No.","@@"&amp;$F2028,"3 Posting Date",J$9)-NL("Sum","5802 Value Entry","43 Cost Amount (Actual)","41 Source Type",$C$5,"5 Source no.",$C2028,"4 Item Ledger Entry Type",$C$4,"2 Item No.","@@"&amp;$F2028,"3 Posting Date",J$9)</t>
  </si>
  <si>
    <t>=J2028-L2028</t>
  </si>
  <si>
    <t>=IF(J2028&lt;&gt;0,M2028/J2028,"")</t>
  </si>
  <si>
    <t>=NL("Sum","5802 Value Entry","150 Sales Amount (Expected)","41 Source Type",$C$5,"5 Source No.",$C2028,"4 Item Ledger Entry Type",$C$4,"2 Item No.","@@"&amp;$F2028,"3 Posting Date",O$9)+NL("Sum","5802 Value Entry","17 Sales Amount (Actual)","41 Source Type",$C$5,"5 Source no.",$C2028,"4 Item Ledger Entry Type",$C$4,"2 Item No.","@@"&amp;$F2028,"3 Posting Date",O$9)</t>
  </si>
  <si>
    <t>=-NL("Sum","5802 Value Entry","151 Cost Amount (Expected)","41 Source Type",$C$5,"5 Source No.",$C2028,"4 Item Ledger Entry Type",$C$4,"2 Item No.","@@"&amp;$F2028,"3 Posting Date",O$9)-NL("Sum","5802 Value Entry","43 Cost Amount (Actual)","41 Source Type",$C$5,"5 Source no.",$C2028,"4 Item Ledger Entry Type",$C$4,"2 Item No.","@@"&amp;$F2028,"3 Posting Date",O$9)</t>
  </si>
  <si>
    <t>=O2028-Q2028</t>
  </si>
  <si>
    <t>=IF(O2028&lt;&gt;0,R2028/O2028,"")</t>
  </si>
  <si>
    <t>=NL("Sum","5802 Value Entry","150 Sales Amount (Expected)","41 Source Type",$C$5,"5 Source No.",$C2028,"4 Item Ledger Entry Type",$C$4,"2 Item No.","@@"&amp;$F2028,"3 Posting Date",U$9)+NL("Sum","5802 Value Entry","17 Sales Amount (Actual)","41 Source Type",$C$5,"5 Source no.",$C2028,"4 Item Ledger Entry Type",$C$4,"2 Item No.","@@"&amp;$F2028,"3 Posting Date",U$9)</t>
  </si>
  <si>
    <t>=-NL("Sum","5802 Value Entry","151 Cost Amount (Expected)","41 Source Type",$C$5,"5 Source No.",$C2028,"4 Item Ledger Entry Type",$C$4,"2 Item No.","@@"&amp;$F2028,"3 Posting Date",U$9)-NL("Sum","5802 Value Entry","43 Cost Amount (Actual)","41 Source Type",$C$5,"5 Source no.",$C2028,"4 Item Ledger Entry Type",$C$4,"2 Item No.","@@"&amp;$F2028,"3 Posting Date",U$9)</t>
  </si>
  <si>
    <t>=U2028-W2028</t>
  </si>
  <si>
    <t>=IF(U2028&lt;&gt;0,X2028/U2028,"")</t>
  </si>
  <si>
    <t>=NL("Sum","5802 Value Entry","150 Sales Amount (Expected)","41 Source Type",$C$5,"5 Source No.",$C2028,"4 Item Ledger Entry Type",$C$4,"2 Item No.","@@"&amp;$F2028,"3 Posting Date",Z$9)+NL("Sum","5802 Value Entry","17 Sales Amount (Actual)","41 Source Type",$C$5,"5 Source no.",$C2028,"4 Item Ledger Entry Type",$C$4,"2 Item No.","@@"&amp;$F2028,"3 Posting Date",Z$9)</t>
  </si>
  <si>
    <t>=-NL("Sum","5802 Value Entry","151 Cost Amount (Expected)","41 Source Type",$C$5,"5 Source No.",$C2028,"4 Item Ledger Entry Type",$C$4,"2 Item No.","@@"&amp;$F2028,"3 Posting Date",Z$9)-NL("Sum","5802 Value Entry","43 Cost Amount (Actual)","41 Source Type",$C$5,"5 Source no.",$C2028,"4 Item Ledger Entry Type",$C$4,"2 Item No.","@@"&amp;$F2028,"3 Posting Date",Z$9)</t>
  </si>
  <si>
    <t>=Z2028-AB2028</t>
  </si>
  <si>
    <t>=IF(Z2028&lt;&gt;0,AC2028/Z2028,"")</t>
  </si>
  <si>
    <t>=C2028</t>
  </si>
  <si>
    <t>=NL("Sum","5802 Value Entry","150 Sales Amount (Expected)","41 Source Type",$C$5,"5 Source No.",$C2029,"4 Item Ledger Entry Type",$C$4,"2 Item No.","@@"&amp;$F2029,"3 Posting Date",J$9)+NL("Sum","5802 Value Entry","17 Sales Amount (Actual)","41 Source Type",$C$5,"5 Source no.",$C2029,"4 Item Ledger Entry Type",$C$4,"2 Item No.","@@"&amp;$F2029,"3 Posting Date",J$9)</t>
  </si>
  <si>
    <t>=-NL("Sum","5802 Value Entry","151 Cost Amount (Expected)","41 Source Type",$C$5,"5 Source No.",$C2029,"4 Item Ledger Entry Type",$C$4,"2 Item No.","@@"&amp;$F2029,"3 Posting Date",J$9)-NL("Sum","5802 Value Entry","43 Cost Amount (Actual)","41 Source Type",$C$5,"5 Source no.",$C2029,"4 Item Ledger Entry Type",$C$4,"2 Item No.","@@"&amp;$F2029,"3 Posting Date",J$9)</t>
  </si>
  <si>
    <t>=J2029-L2029</t>
  </si>
  <si>
    <t>=IF(J2029&lt;&gt;0,M2029/J2029,"")</t>
  </si>
  <si>
    <t>=NL("Sum","5802 Value Entry","150 Sales Amount (Expected)","41 Source Type",$C$5,"5 Source No.",$C2029,"4 Item Ledger Entry Type",$C$4,"2 Item No.","@@"&amp;$F2029,"3 Posting Date",O$9)+NL("Sum","5802 Value Entry","17 Sales Amount (Actual)","41 Source Type",$C$5,"5 Source no.",$C2029,"4 Item Ledger Entry Type",$C$4,"2 Item No.","@@"&amp;$F2029,"3 Posting Date",O$9)</t>
  </si>
  <si>
    <t>=-NL("Sum","5802 Value Entry","151 Cost Amount (Expected)","41 Source Type",$C$5,"5 Source No.",$C2029,"4 Item Ledger Entry Type",$C$4,"2 Item No.","@@"&amp;$F2029,"3 Posting Date",O$9)-NL("Sum","5802 Value Entry","43 Cost Amount (Actual)","41 Source Type",$C$5,"5 Source no.",$C2029,"4 Item Ledger Entry Type",$C$4,"2 Item No.","@@"&amp;$F2029,"3 Posting Date",O$9)</t>
  </si>
  <si>
    <t>=O2029-Q2029</t>
  </si>
  <si>
    <t>=IF(O2029&lt;&gt;0,R2029/O2029,"")</t>
  </si>
  <si>
    <t>=NL("Sum","5802 Value Entry","150 Sales Amount (Expected)","41 Source Type",$C$5,"5 Source No.",$C2029,"4 Item Ledger Entry Type",$C$4,"2 Item No.","@@"&amp;$F2029,"3 Posting Date",U$9)+NL("Sum","5802 Value Entry","17 Sales Amount (Actual)","41 Source Type",$C$5,"5 Source no.",$C2029,"4 Item Ledger Entry Type",$C$4,"2 Item No.","@@"&amp;$F2029,"3 Posting Date",U$9)</t>
  </si>
  <si>
    <t>=-NL("Sum","5802 Value Entry","151 Cost Amount (Expected)","41 Source Type",$C$5,"5 Source No.",$C2029,"4 Item Ledger Entry Type",$C$4,"2 Item No.","@@"&amp;$F2029,"3 Posting Date",U$9)-NL("Sum","5802 Value Entry","43 Cost Amount (Actual)","41 Source Type",$C$5,"5 Source no.",$C2029,"4 Item Ledger Entry Type",$C$4,"2 Item No.","@@"&amp;$F2029,"3 Posting Date",U$9)</t>
  </si>
  <si>
    <t>=U2029-W2029</t>
  </si>
  <si>
    <t>=IF(U2029&lt;&gt;0,X2029/U2029,"")</t>
  </si>
  <si>
    <t>=NL("Sum","5802 Value Entry","150 Sales Amount (Expected)","41 Source Type",$C$5,"5 Source No.",$C2029,"4 Item Ledger Entry Type",$C$4,"2 Item No.","@@"&amp;$F2029,"3 Posting Date",Z$9)+NL("Sum","5802 Value Entry","17 Sales Amount (Actual)","41 Source Type",$C$5,"5 Source no.",$C2029,"4 Item Ledger Entry Type",$C$4,"2 Item No.","@@"&amp;$F2029,"3 Posting Date",Z$9)</t>
  </si>
  <si>
    <t>=-NL("Sum","5802 Value Entry","151 Cost Amount (Expected)","41 Source Type",$C$5,"5 Source No.",$C2029,"4 Item Ledger Entry Type",$C$4,"2 Item No.","@@"&amp;$F2029,"3 Posting Date",Z$9)-NL("Sum","5802 Value Entry","43 Cost Amount (Actual)","41 Source Type",$C$5,"5 Source no.",$C2029,"4 Item Ledger Entry Type",$C$4,"2 Item No.","@@"&amp;$F2029,"3 Posting Date",Z$9)</t>
  </si>
  <si>
    <t>=Z2029-AB2029</t>
  </si>
  <si>
    <t>=IF(Z2029&lt;&gt;0,AC2029/Z2029,"")</t>
  </si>
  <si>
    <t>=C2029</t>
  </si>
  <si>
    <t>=NL("Sum","5802 Value Entry","150 Sales Amount (Expected)","41 Source Type",$C$5,"5 Source No.",$C2030,"4 Item Ledger Entry Type",$C$4,"2 Item No.","@@"&amp;$F2030,"3 Posting Date",J$9)+NL("Sum","5802 Value Entry","17 Sales Amount (Actual)","41 Source Type",$C$5,"5 Source no.",$C2030,"4 Item Ledger Entry Type",$C$4,"2 Item No.","@@"&amp;$F2030,"3 Posting Date",J$9)</t>
  </si>
  <si>
    <t>=-NL("Sum","5802 Value Entry","151 Cost Amount (Expected)","41 Source Type",$C$5,"5 Source No.",$C2030,"4 Item Ledger Entry Type",$C$4,"2 Item No.","@@"&amp;$F2030,"3 Posting Date",J$9)-NL("Sum","5802 Value Entry","43 Cost Amount (Actual)","41 Source Type",$C$5,"5 Source no.",$C2030,"4 Item Ledger Entry Type",$C$4,"2 Item No.","@@"&amp;$F2030,"3 Posting Date",J$9)</t>
  </si>
  <si>
    <t>=J2030-L2030</t>
  </si>
  <si>
    <t>=IF(J2030&lt;&gt;0,M2030/J2030,"")</t>
  </si>
  <si>
    <t>=NL("Sum","5802 Value Entry","150 Sales Amount (Expected)","41 Source Type",$C$5,"5 Source No.",$C2030,"4 Item Ledger Entry Type",$C$4,"2 Item No.","@@"&amp;$F2030,"3 Posting Date",O$9)+NL("Sum","5802 Value Entry","17 Sales Amount (Actual)","41 Source Type",$C$5,"5 Source no.",$C2030,"4 Item Ledger Entry Type",$C$4,"2 Item No.","@@"&amp;$F2030,"3 Posting Date",O$9)</t>
  </si>
  <si>
    <t>=-NL("Sum","5802 Value Entry","151 Cost Amount (Expected)","41 Source Type",$C$5,"5 Source No.",$C2030,"4 Item Ledger Entry Type",$C$4,"2 Item No.","@@"&amp;$F2030,"3 Posting Date",O$9)-NL("Sum","5802 Value Entry","43 Cost Amount (Actual)","41 Source Type",$C$5,"5 Source no.",$C2030,"4 Item Ledger Entry Type",$C$4,"2 Item No.","@@"&amp;$F2030,"3 Posting Date",O$9)</t>
  </si>
  <si>
    <t>=O2030-Q2030</t>
  </si>
  <si>
    <t>=IF(O2030&lt;&gt;0,R2030/O2030,"")</t>
  </si>
  <si>
    <t>=NL("Sum","5802 Value Entry","150 Sales Amount (Expected)","41 Source Type",$C$5,"5 Source No.",$C2030,"4 Item Ledger Entry Type",$C$4,"2 Item No.","@@"&amp;$F2030,"3 Posting Date",U$9)+NL("Sum","5802 Value Entry","17 Sales Amount (Actual)","41 Source Type",$C$5,"5 Source no.",$C2030,"4 Item Ledger Entry Type",$C$4,"2 Item No.","@@"&amp;$F2030,"3 Posting Date",U$9)</t>
  </si>
  <si>
    <t>=-NL("Sum","5802 Value Entry","151 Cost Amount (Expected)","41 Source Type",$C$5,"5 Source No.",$C2030,"4 Item Ledger Entry Type",$C$4,"2 Item No.","@@"&amp;$F2030,"3 Posting Date",U$9)-NL("Sum","5802 Value Entry","43 Cost Amount (Actual)","41 Source Type",$C$5,"5 Source no.",$C2030,"4 Item Ledger Entry Type",$C$4,"2 Item No.","@@"&amp;$F2030,"3 Posting Date",U$9)</t>
  </si>
  <si>
    <t>=U2030-W2030</t>
  </si>
  <si>
    <t>=IF(U2030&lt;&gt;0,X2030/U2030,"")</t>
  </si>
  <si>
    <t>=NL("Sum","5802 Value Entry","150 Sales Amount (Expected)","41 Source Type",$C$5,"5 Source No.",$C2030,"4 Item Ledger Entry Type",$C$4,"2 Item No.","@@"&amp;$F2030,"3 Posting Date",Z$9)+NL("Sum","5802 Value Entry","17 Sales Amount (Actual)","41 Source Type",$C$5,"5 Source no.",$C2030,"4 Item Ledger Entry Type",$C$4,"2 Item No.","@@"&amp;$F2030,"3 Posting Date",Z$9)</t>
  </si>
  <si>
    <t>=-NL("Sum","5802 Value Entry","151 Cost Amount (Expected)","41 Source Type",$C$5,"5 Source No.",$C2030,"4 Item Ledger Entry Type",$C$4,"2 Item No.","@@"&amp;$F2030,"3 Posting Date",Z$9)-NL("Sum","5802 Value Entry","43 Cost Amount (Actual)","41 Source Type",$C$5,"5 Source no.",$C2030,"4 Item Ledger Entry Type",$C$4,"2 Item No.","@@"&amp;$F2030,"3 Posting Date",Z$9)</t>
  </si>
  <si>
    <t>=Z2030-AB2030</t>
  </si>
  <si>
    <t>=IF(Z2030&lt;&gt;0,AC2030/Z2030,"")</t>
  </si>
  <si>
    <t>=C2030</t>
  </si>
  <si>
    <t>=NL("Sum","5802 Value Entry","150 Sales Amount (Expected)","41 Source Type",$C$5,"5 Source No.",$C2031,"4 Item Ledger Entry Type",$C$4,"2 Item No.","@@"&amp;$F2031,"3 Posting Date",J$9)+NL("Sum","5802 Value Entry","17 Sales Amount (Actual)","41 Source Type",$C$5,"5 Source no.",$C2031,"4 Item Ledger Entry Type",$C$4,"2 Item No.","@@"&amp;$F2031,"3 Posting Date",J$9)</t>
  </si>
  <si>
    <t>=-NL("Sum","5802 Value Entry","151 Cost Amount (Expected)","41 Source Type",$C$5,"5 Source No.",$C2031,"4 Item Ledger Entry Type",$C$4,"2 Item No.","@@"&amp;$F2031,"3 Posting Date",J$9)-NL("Sum","5802 Value Entry","43 Cost Amount (Actual)","41 Source Type",$C$5,"5 Source no.",$C2031,"4 Item Ledger Entry Type",$C$4,"2 Item No.","@@"&amp;$F2031,"3 Posting Date",J$9)</t>
  </si>
  <si>
    <t>=J2031-L2031</t>
  </si>
  <si>
    <t>=IF(J2031&lt;&gt;0,M2031/J2031,"")</t>
  </si>
  <si>
    <t>=NL("Sum","5802 Value Entry","150 Sales Amount (Expected)","41 Source Type",$C$5,"5 Source No.",$C2031,"4 Item Ledger Entry Type",$C$4,"2 Item No.","@@"&amp;$F2031,"3 Posting Date",O$9)+NL("Sum","5802 Value Entry","17 Sales Amount (Actual)","41 Source Type",$C$5,"5 Source no.",$C2031,"4 Item Ledger Entry Type",$C$4,"2 Item No.","@@"&amp;$F2031,"3 Posting Date",O$9)</t>
  </si>
  <si>
    <t>=-NL("Sum","5802 Value Entry","151 Cost Amount (Expected)","41 Source Type",$C$5,"5 Source No.",$C2031,"4 Item Ledger Entry Type",$C$4,"2 Item No.","@@"&amp;$F2031,"3 Posting Date",O$9)-NL("Sum","5802 Value Entry","43 Cost Amount (Actual)","41 Source Type",$C$5,"5 Source no.",$C2031,"4 Item Ledger Entry Type",$C$4,"2 Item No.","@@"&amp;$F2031,"3 Posting Date",O$9)</t>
  </si>
  <si>
    <t>=O2031-Q2031</t>
  </si>
  <si>
    <t>=IF(O2031&lt;&gt;0,R2031/O2031,"")</t>
  </si>
  <si>
    <t>=NL("Sum","5802 Value Entry","150 Sales Amount (Expected)","41 Source Type",$C$5,"5 Source No.",$C2031,"4 Item Ledger Entry Type",$C$4,"2 Item No.","@@"&amp;$F2031,"3 Posting Date",U$9)+NL("Sum","5802 Value Entry","17 Sales Amount (Actual)","41 Source Type",$C$5,"5 Source no.",$C2031,"4 Item Ledger Entry Type",$C$4,"2 Item No.","@@"&amp;$F2031,"3 Posting Date",U$9)</t>
  </si>
  <si>
    <t>=-NL("Sum","5802 Value Entry","151 Cost Amount (Expected)","41 Source Type",$C$5,"5 Source No.",$C2031,"4 Item Ledger Entry Type",$C$4,"2 Item No.","@@"&amp;$F2031,"3 Posting Date",U$9)-NL("Sum","5802 Value Entry","43 Cost Amount (Actual)","41 Source Type",$C$5,"5 Source no.",$C2031,"4 Item Ledger Entry Type",$C$4,"2 Item No.","@@"&amp;$F2031,"3 Posting Date",U$9)</t>
  </si>
  <si>
    <t>=U2031-W2031</t>
  </si>
  <si>
    <t>=IF(U2031&lt;&gt;0,X2031/U2031,"")</t>
  </si>
  <si>
    <t>=NL("Sum","5802 Value Entry","150 Sales Amount (Expected)","41 Source Type",$C$5,"5 Source No.",$C2031,"4 Item Ledger Entry Type",$C$4,"2 Item No.","@@"&amp;$F2031,"3 Posting Date",Z$9)+NL("Sum","5802 Value Entry","17 Sales Amount (Actual)","41 Source Type",$C$5,"5 Source no.",$C2031,"4 Item Ledger Entry Type",$C$4,"2 Item No.","@@"&amp;$F2031,"3 Posting Date",Z$9)</t>
  </si>
  <si>
    <t>=-NL("Sum","5802 Value Entry","151 Cost Amount (Expected)","41 Source Type",$C$5,"5 Source No.",$C2031,"4 Item Ledger Entry Type",$C$4,"2 Item No.","@@"&amp;$F2031,"3 Posting Date",Z$9)-NL("Sum","5802 Value Entry","43 Cost Amount (Actual)","41 Source Type",$C$5,"5 Source no.",$C2031,"4 Item Ledger Entry Type",$C$4,"2 Item No.","@@"&amp;$F2031,"3 Posting Date",Z$9)</t>
  </si>
  <si>
    <t>=Z2031-AB2031</t>
  </si>
  <si>
    <t>=IF(Z2031&lt;&gt;0,AC2031/Z2031,"")</t>
  </si>
  <si>
    <t>=C2031</t>
  </si>
  <si>
    <t>=NL("Sum","5802 Value Entry","150 Sales Amount (Expected)","41 Source Type",$C$5,"5 Source No.",$C2032,"4 Item Ledger Entry Type",$C$4,"2 Item No.","@@"&amp;$F2032,"3 Posting Date",J$9)+NL("Sum","5802 Value Entry","17 Sales Amount (Actual)","41 Source Type",$C$5,"5 Source no.",$C2032,"4 Item Ledger Entry Type",$C$4,"2 Item No.","@@"&amp;$F2032,"3 Posting Date",J$9)</t>
  </si>
  <si>
    <t>=-NL("Sum","5802 Value Entry","151 Cost Amount (Expected)","41 Source Type",$C$5,"5 Source No.",$C2032,"4 Item Ledger Entry Type",$C$4,"2 Item No.","@@"&amp;$F2032,"3 Posting Date",J$9)-NL("Sum","5802 Value Entry","43 Cost Amount (Actual)","41 Source Type",$C$5,"5 Source no.",$C2032,"4 Item Ledger Entry Type",$C$4,"2 Item No.","@@"&amp;$F2032,"3 Posting Date",J$9)</t>
  </si>
  <si>
    <t>=J2032-L2032</t>
  </si>
  <si>
    <t>=IF(J2032&lt;&gt;0,M2032/J2032,"")</t>
  </si>
  <si>
    <t>=NL("Sum","5802 Value Entry","150 Sales Amount (Expected)","41 Source Type",$C$5,"5 Source No.",$C2032,"4 Item Ledger Entry Type",$C$4,"2 Item No.","@@"&amp;$F2032,"3 Posting Date",O$9)+NL("Sum","5802 Value Entry","17 Sales Amount (Actual)","41 Source Type",$C$5,"5 Source no.",$C2032,"4 Item Ledger Entry Type",$C$4,"2 Item No.","@@"&amp;$F2032,"3 Posting Date",O$9)</t>
  </si>
  <si>
    <t>=-NL("Sum","5802 Value Entry","151 Cost Amount (Expected)","41 Source Type",$C$5,"5 Source No.",$C2032,"4 Item Ledger Entry Type",$C$4,"2 Item No.","@@"&amp;$F2032,"3 Posting Date",O$9)-NL("Sum","5802 Value Entry","43 Cost Amount (Actual)","41 Source Type",$C$5,"5 Source no.",$C2032,"4 Item Ledger Entry Type",$C$4,"2 Item No.","@@"&amp;$F2032,"3 Posting Date",O$9)</t>
  </si>
  <si>
    <t>=O2032-Q2032</t>
  </si>
  <si>
    <t>=IF(O2032&lt;&gt;0,R2032/O2032,"")</t>
  </si>
  <si>
    <t>=NL("Sum","5802 Value Entry","150 Sales Amount (Expected)","41 Source Type",$C$5,"5 Source No.",$C2032,"4 Item Ledger Entry Type",$C$4,"2 Item No.","@@"&amp;$F2032,"3 Posting Date",U$9)+NL("Sum","5802 Value Entry","17 Sales Amount (Actual)","41 Source Type",$C$5,"5 Source no.",$C2032,"4 Item Ledger Entry Type",$C$4,"2 Item No.","@@"&amp;$F2032,"3 Posting Date",U$9)</t>
  </si>
  <si>
    <t>=-NL("Sum","5802 Value Entry","151 Cost Amount (Expected)","41 Source Type",$C$5,"5 Source No.",$C2032,"4 Item Ledger Entry Type",$C$4,"2 Item No.","@@"&amp;$F2032,"3 Posting Date",U$9)-NL("Sum","5802 Value Entry","43 Cost Amount (Actual)","41 Source Type",$C$5,"5 Source no.",$C2032,"4 Item Ledger Entry Type",$C$4,"2 Item No.","@@"&amp;$F2032,"3 Posting Date",U$9)</t>
  </si>
  <si>
    <t>=U2032-W2032</t>
  </si>
  <si>
    <t>=IF(U2032&lt;&gt;0,X2032/U2032,"")</t>
  </si>
  <si>
    <t>=NL("Sum","5802 Value Entry","150 Sales Amount (Expected)","41 Source Type",$C$5,"5 Source No.",$C2032,"4 Item Ledger Entry Type",$C$4,"2 Item No.","@@"&amp;$F2032,"3 Posting Date",Z$9)+NL("Sum","5802 Value Entry","17 Sales Amount (Actual)","41 Source Type",$C$5,"5 Source no.",$C2032,"4 Item Ledger Entry Type",$C$4,"2 Item No.","@@"&amp;$F2032,"3 Posting Date",Z$9)</t>
  </si>
  <si>
    <t>=-NL("Sum","5802 Value Entry","151 Cost Amount (Expected)","41 Source Type",$C$5,"5 Source No.",$C2032,"4 Item Ledger Entry Type",$C$4,"2 Item No.","@@"&amp;$F2032,"3 Posting Date",Z$9)-NL("Sum","5802 Value Entry","43 Cost Amount (Actual)","41 Source Type",$C$5,"5 Source no.",$C2032,"4 Item Ledger Entry Type",$C$4,"2 Item No.","@@"&amp;$F2032,"3 Posting Date",Z$9)</t>
  </si>
  <si>
    <t>=Z2032-AB2032</t>
  </si>
  <si>
    <t>=IF(Z2032&lt;&gt;0,AC2032/Z2032,"")</t>
  </si>
  <si>
    <t>=C2032</t>
  </si>
  <si>
    <t>=NL("Sum","5802 Value Entry","150 Sales Amount (Expected)","41 Source Type",$C$5,"5 Source No.",$C2033,"4 Item Ledger Entry Type",$C$4,"2 Item No.","@@"&amp;$F2033,"3 Posting Date",J$9)+NL("Sum","5802 Value Entry","17 Sales Amount (Actual)","41 Source Type",$C$5,"5 Source no.",$C2033,"4 Item Ledger Entry Type",$C$4,"2 Item No.","@@"&amp;$F2033,"3 Posting Date",J$9)</t>
  </si>
  <si>
    <t>=-NL("Sum","5802 Value Entry","151 Cost Amount (Expected)","41 Source Type",$C$5,"5 Source No.",$C2033,"4 Item Ledger Entry Type",$C$4,"2 Item No.","@@"&amp;$F2033,"3 Posting Date",J$9)-NL("Sum","5802 Value Entry","43 Cost Amount (Actual)","41 Source Type",$C$5,"5 Source no.",$C2033,"4 Item Ledger Entry Type",$C$4,"2 Item No.","@@"&amp;$F2033,"3 Posting Date",J$9)</t>
  </si>
  <si>
    <t>=J2033-L2033</t>
  </si>
  <si>
    <t>=IF(J2033&lt;&gt;0,M2033/J2033,"")</t>
  </si>
  <si>
    <t>=NL("Sum","5802 Value Entry","150 Sales Amount (Expected)","41 Source Type",$C$5,"5 Source No.",$C2033,"4 Item Ledger Entry Type",$C$4,"2 Item No.","@@"&amp;$F2033,"3 Posting Date",O$9)+NL("Sum","5802 Value Entry","17 Sales Amount (Actual)","41 Source Type",$C$5,"5 Source no.",$C2033,"4 Item Ledger Entry Type",$C$4,"2 Item No.","@@"&amp;$F2033,"3 Posting Date",O$9)</t>
  </si>
  <si>
    <t>=-NL("Sum","5802 Value Entry","151 Cost Amount (Expected)","41 Source Type",$C$5,"5 Source No.",$C2033,"4 Item Ledger Entry Type",$C$4,"2 Item No.","@@"&amp;$F2033,"3 Posting Date",O$9)-NL("Sum","5802 Value Entry","43 Cost Amount (Actual)","41 Source Type",$C$5,"5 Source no.",$C2033,"4 Item Ledger Entry Type",$C$4,"2 Item No.","@@"&amp;$F2033,"3 Posting Date",O$9)</t>
  </si>
  <si>
    <t>=O2033-Q2033</t>
  </si>
  <si>
    <t>=IF(O2033&lt;&gt;0,R2033/O2033,"")</t>
  </si>
  <si>
    <t>=NL("Sum","5802 Value Entry","150 Sales Amount (Expected)","41 Source Type",$C$5,"5 Source No.",$C2033,"4 Item Ledger Entry Type",$C$4,"2 Item No.","@@"&amp;$F2033,"3 Posting Date",U$9)+NL("Sum","5802 Value Entry","17 Sales Amount (Actual)","41 Source Type",$C$5,"5 Source no.",$C2033,"4 Item Ledger Entry Type",$C$4,"2 Item No.","@@"&amp;$F2033,"3 Posting Date",U$9)</t>
  </si>
  <si>
    <t>=-NL("Sum","5802 Value Entry","151 Cost Amount (Expected)","41 Source Type",$C$5,"5 Source No.",$C2033,"4 Item Ledger Entry Type",$C$4,"2 Item No.","@@"&amp;$F2033,"3 Posting Date",U$9)-NL("Sum","5802 Value Entry","43 Cost Amount (Actual)","41 Source Type",$C$5,"5 Source no.",$C2033,"4 Item Ledger Entry Type",$C$4,"2 Item No.","@@"&amp;$F2033,"3 Posting Date",U$9)</t>
  </si>
  <si>
    <t>=U2033-W2033</t>
  </si>
  <si>
    <t>=IF(U2033&lt;&gt;0,X2033/U2033,"")</t>
  </si>
  <si>
    <t>=NL("Sum","5802 Value Entry","150 Sales Amount (Expected)","41 Source Type",$C$5,"5 Source No.",$C2033,"4 Item Ledger Entry Type",$C$4,"2 Item No.","@@"&amp;$F2033,"3 Posting Date",Z$9)+NL("Sum","5802 Value Entry","17 Sales Amount (Actual)","41 Source Type",$C$5,"5 Source no.",$C2033,"4 Item Ledger Entry Type",$C$4,"2 Item No.","@@"&amp;$F2033,"3 Posting Date",Z$9)</t>
  </si>
  <si>
    <t>=-NL("Sum","5802 Value Entry","151 Cost Amount (Expected)","41 Source Type",$C$5,"5 Source No.",$C2033,"4 Item Ledger Entry Type",$C$4,"2 Item No.","@@"&amp;$F2033,"3 Posting Date",Z$9)-NL("Sum","5802 Value Entry","43 Cost Amount (Actual)","41 Source Type",$C$5,"5 Source no.",$C2033,"4 Item Ledger Entry Type",$C$4,"2 Item No.","@@"&amp;$F2033,"3 Posting Date",Z$9)</t>
  </si>
  <si>
    <t>=Z2033-AB2033</t>
  </si>
  <si>
    <t>=IF(Z2033&lt;&gt;0,AC2033/Z2033,"")</t>
  </si>
  <si>
    <t>=C2034</t>
  </si>
  <si>
    <t>=J2035-L2035</t>
  </si>
  <si>
    <t>=IF(J2035&lt;&gt;0,M2035/J2035,"")</t>
  </si>
  <si>
    <t>=O2035-Q2035</t>
  </si>
  <si>
    <t>=IF(O2035&lt;&gt;0,R2035/O2035,"")</t>
  </si>
  <si>
    <t>=U2035-W2035</t>
  </si>
  <si>
    <t>=IF(U2035&lt;&gt;0,X2035/U2035,"")</t>
  </si>
  <si>
    <t>=Z2035-AB2035</t>
  </si>
  <si>
    <t>=IF(Z2035&lt;&gt;0,AC2035/Z2035,"")</t>
  </si>
  <si>
    <t>=C2037</t>
  </si>
  <si>
    <t>=C2038</t>
  </si>
  <si>
    <t>=NL("Sum","5802 Value Entry","150 Sales Amount (Expected)","41 Source Type",$C$5,"5 Source No.",$C2039,"4 Item Ledger Entry Type",$C$4,"2 Item No.","@@"&amp;$F2039,"3 Posting Date",J$9)+NL("Sum","5802 Value Entry","17 Sales Amount (Actual)","41 Source Type",$C$5,"5 Source no.",$C2039,"4 Item Ledger Entry Type",$C$4,"2 Item No.","@@"&amp;$F2039,"3 Posting Date",J$9)</t>
  </si>
  <si>
    <t>=-NL("Sum","5802 Value Entry","151 Cost Amount (Expected)","41 Source Type",$C$5,"5 Source No.",$C2039,"4 Item Ledger Entry Type",$C$4,"2 Item No.","@@"&amp;$F2039,"3 Posting Date",J$9)-NL("Sum","5802 Value Entry","43 Cost Amount (Actual)","41 Source Type",$C$5,"5 Source no.",$C2039,"4 Item Ledger Entry Type",$C$4,"2 Item No.","@@"&amp;$F2039,"3 Posting Date",J$9)</t>
  </si>
  <si>
    <t>=J2039-L2039</t>
  </si>
  <si>
    <t>=IF(J2039&lt;&gt;0,M2039/J2039,"")</t>
  </si>
  <si>
    <t>=NL("Sum","5802 Value Entry","150 Sales Amount (Expected)","41 Source Type",$C$5,"5 Source No.",$C2039,"4 Item Ledger Entry Type",$C$4,"2 Item No.","@@"&amp;$F2039,"3 Posting Date",O$9)+NL("Sum","5802 Value Entry","17 Sales Amount (Actual)","41 Source Type",$C$5,"5 Source no.",$C2039,"4 Item Ledger Entry Type",$C$4,"2 Item No.","@@"&amp;$F2039,"3 Posting Date",O$9)</t>
  </si>
  <si>
    <t>=-NL("Sum","5802 Value Entry","151 Cost Amount (Expected)","41 Source Type",$C$5,"5 Source No.",$C2039,"4 Item Ledger Entry Type",$C$4,"2 Item No.","@@"&amp;$F2039,"3 Posting Date",O$9)-NL("Sum","5802 Value Entry","43 Cost Amount (Actual)","41 Source Type",$C$5,"5 Source no.",$C2039,"4 Item Ledger Entry Type",$C$4,"2 Item No.","@@"&amp;$F2039,"3 Posting Date",O$9)</t>
  </si>
  <si>
    <t>=O2039-Q2039</t>
  </si>
  <si>
    <t>=IF(O2039&lt;&gt;0,R2039/O2039,"")</t>
  </si>
  <si>
    <t>=NL("Sum","5802 Value Entry","150 Sales Amount (Expected)","41 Source Type",$C$5,"5 Source No.",$C2039,"4 Item Ledger Entry Type",$C$4,"2 Item No.","@@"&amp;$F2039,"3 Posting Date",U$9)+NL("Sum","5802 Value Entry","17 Sales Amount (Actual)","41 Source Type",$C$5,"5 Source no.",$C2039,"4 Item Ledger Entry Type",$C$4,"2 Item No.","@@"&amp;$F2039,"3 Posting Date",U$9)</t>
  </si>
  <si>
    <t>=-NL("Sum","5802 Value Entry","151 Cost Amount (Expected)","41 Source Type",$C$5,"5 Source No.",$C2039,"4 Item Ledger Entry Type",$C$4,"2 Item No.","@@"&amp;$F2039,"3 Posting Date",U$9)-NL("Sum","5802 Value Entry","43 Cost Amount (Actual)","41 Source Type",$C$5,"5 Source no.",$C2039,"4 Item Ledger Entry Type",$C$4,"2 Item No.","@@"&amp;$F2039,"3 Posting Date",U$9)</t>
  </si>
  <si>
    <t>=U2039-W2039</t>
  </si>
  <si>
    <t>=IF(U2039&lt;&gt;0,X2039/U2039,"")</t>
  </si>
  <si>
    <t>=NL("Sum","5802 Value Entry","150 Sales Amount (Expected)","41 Source Type",$C$5,"5 Source No.",$C2039,"4 Item Ledger Entry Type",$C$4,"2 Item No.","@@"&amp;$F2039,"3 Posting Date",Z$9)+NL("Sum","5802 Value Entry","17 Sales Amount (Actual)","41 Source Type",$C$5,"5 Source no.",$C2039,"4 Item Ledger Entry Type",$C$4,"2 Item No.","@@"&amp;$F2039,"3 Posting Date",Z$9)</t>
  </si>
  <si>
    <t>=-NL("Sum","5802 Value Entry","151 Cost Amount (Expected)","41 Source Type",$C$5,"5 Source No.",$C2039,"4 Item Ledger Entry Type",$C$4,"2 Item No.","@@"&amp;$F2039,"3 Posting Date",Z$9)-NL("Sum","5802 Value Entry","43 Cost Amount (Actual)","41 Source Type",$C$5,"5 Source no.",$C2039,"4 Item Ledger Entry Type",$C$4,"2 Item No.","@@"&amp;$F2039,"3 Posting Date",Z$9)</t>
  </si>
  <si>
    <t>=Z2039-AB2039</t>
  </si>
  <si>
    <t>=IF(Z2039&lt;&gt;0,AC2039/Z2039,"")</t>
  </si>
  <si>
    <t>=C2039</t>
  </si>
  <si>
    <t>=NL("Sum","5802 Value Entry","150 Sales Amount (Expected)","41 Source Type",$C$5,"5 Source No.",$C2040,"4 Item Ledger Entry Type",$C$4,"2 Item No.","@@"&amp;$F2040,"3 Posting Date",J$9)+NL("Sum","5802 Value Entry","17 Sales Amount (Actual)","41 Source Type",$C$5,"5 Source no.",$C2040,"4 Item Ledger Entry Type",$C$4,"2 Item No.","@@"&amp;$F2040,"3 Posting Date",J$9)</t>
  </si>
  <si>
    <t>=-NL("Sum","5802 Value Entry","151 Cost Amount (Expected)","41 Source Type",$C$5,"5 Source No.",$C2040,"4 Item Ledger Entry Type",$C$4,"2 Item No.","@@"&amp;$F2040,"3 Posting Date",J$9)-NL("Sum","5802 Value Entry","43 Cost Amount (Actual)","41 Source Type",$C$5,"5 Source no.",$C2040,"4 Item Ledger Entry Type",$C$4,"2 Item No.","@@"&amp;$F2040,"3 Posting Date",J$9)</t>
  </si>
  <si>
    <t>=J2040-L2040</t>
  </si>
  <si>
    <t>=IF(J2040&lt;&gt;0,M2040/J2040,"")</t>
  </si>
  <si>
    <t>=NL("Sum","5802 Value Entry","150 Sales Amount (Expected)","41 Source Type",$C$5,"5 Source No.",$C2040,"4 Item Ledger Entry Type",$C$4,"2 Item No.","@@"&amp;$F2040,"3 Posting Date",O$9)+NL("Sum","5802 Value Entry","17 Sales Amount (Actual)","41 Source Type",$C$5,"5 Source no.",$C2040,"4 Item Ledger Entry Type",$C$4,"2 Item No.","@@"&amp;$F2040,"3 Posting Date",O$9)</t>
  </si>
  <si>
    <t>=-NL("Sum","5802 Value Entry","151 Cost Amount (Expected)","41 Source Type",$C$5,"5 Source No.",$C2040,"4 Item Ledger Entry Type",$C$4,"2 Item No.","@@"&amp;$F2040,"3 Posting Date",O$9)-NL("Sum","5802 Value Entry","43 Cost Amount (Actual)","41 Source Type",$C$5,"5 Source no.",$C2040,"4 Item Ledger Entry Type",$C$4,"2 Item No.","@@"&amp;$F2040,"3 Posting Date",O$9)</t>
  </si>
  <si>
    <t>=O2040-Q2040</t>
  </si>
  <si>
    <t>=IF(O2040&lt;&gt;0,R2040/O2040,"")</t>
  </si>
  <si>
    <t>=NL("Sum","5802 Value Entry","150 Sales Amount (Expected)","41 Source Type",$C$5,"5 Source No.",$C2040,"4 Item Ledger Entry Type",$C$4,"2 Item No.","@@"&amp;$F2040,"3 Posting Date",U$9)+NL("Sum","5802 Value Entry","17 Sales Amount (Actual)","41 Source Type",$C$5,"5 Source no.",$C2040,"4 Item Ledger Entry Type",$C$4,"2 Item No.","@@"&amp;$F2040,"3 Posting Date",U$9)</t>
  </si>
  <si>
    <t>=-NL("Sum","5802 Value Entry","151 Cost Amount (Expected)","41 Source Type",$C$5,"5 Source No.",$C2040,"4 Item Ledger Entry Type",$C$4,"2 Item No.","@@"&amp;$F2040,"3 Posting Date",U$9)-NL("Sum","5802 Value Entry","43 Cost Amount (Actual)","41 Source Type",$C$5,"5 Source no.",$C2040,"4 Item Ledger Entry Type",$C$4,"2 Item No.","@@"&amp;$F2040,"3 Posting Date",U$9)</t>
  </si>
  <si>
    <t>=U2040-W2040</t>
  </si>
  <si>
    <t>=IF(U2040&lt;&gt;0,X2040/U2040,"")</t>
  </si>
  <si>
    <t>=NL("Sum","5802 Value Entry","150 Sales Amount (Expected)","41 Source Type",$C$5,"5 Source No.",$C2040,"4 Item Ledger Entry Type",$C$4,"2 Item No.","@@"&amp;$F2040,"3 Posting Date",Z$9)+NL("Sum","5802 Value Entry","17 Sales Amount (Actual)","41 Source Type",$C$5,"5 Source no.",$C2040,"4 Item Ledger Entry Type",$C$4,"2 Item No.","@@"&amp;$F2040,"3 Posting Date",Z$9)</t>
  </si>
  <si>
    <t>=-NL("Sum","5802 Value Entry","151 Cost Amount (Expected)","41 Source Type",$C$5,"5 Source No.",$C2040,"4 Item Ledger Entry Type",$C$4,"2 Item No.","@@"&amp;$F2040,"3 Posting Date",Z$9)-NL("Sum","5802 Value Entry","43 Cost Amount (Actual)","41 Source Type",$C$5,"5 Source no.",$C2040,"4 Item Ledger Entry Type",$C$4,"2 Item No.","@@"&amp;$F2040,"3 Posting Date",Z$9)</t>
  </si>
  <si>
    <t>=Z2040-AB2040</t>
  </si>
  <si>
    <t>=IF(Z2040&lt;&gt;0,AC2040/Z2040,"")</t>
  </si>
  <si>
    <t>=C2040</t>
  </si>
  <si>
    <t>=NL("Sum","5802 Value Entry","150 Sales Amount (Expected)","41 Source Type",$C$5,"5 Source No.",$C2041,"4 Item Ledger Entry Type",$C$4,"2 Item No.","@@"&amp;$F2041,"3 Posting Date",J$9)+NL("Sum","5802 Value Entry","17 Sales Amount (Actual)","41 Source Type",$C$5,"5 Source no.",$C2041,"4 Item Ledger Entry Type",$C$4,"2 Item No.","@@"&amp;$F2041,"3 Posting Date",J$9)</t>
  </si>
  <si>
    <t>=-NL("Sum","5802 Value Entry","151 Cost Amount (Expected)","41 Source Type",$C$5,"5 Source No.",$C2041,"4 Item Ledger Entry Type",$C$4,"2 Item No.","@@"&amp;$F2041,"3 Posting Date",J$9)-NL("Sum","5802 Value Entry","43 Cost Amount (Actual)","41 Source Type",$C$5,"5 Source no.",$C2041,"4 Item Ledger Entry Type",$C$4,"2 Item No.","@@"&amp;$F2041,"3 Posting Date",J$9)</t>
  </si>
  <si>
    <t>=J2041-L2041</t>
  </si>
  <si>
    <t>=IF(J2041&lt;&gt;0,M2041/J2041,"")</t>
  </si>
  <si>
    <t>=NL("Sum","5802 Value Entry","150 Sales Amount (Expected)","41 Source Type",$C$5,"5 Source No.",$C2041,"4 Item Ledger Entry Type",$C$4,"2 Item No.","@@"&amp;$F2041,"3 Posting Date",O$9)+NL("Sum","5802 Value Entry","17 Sales Amount (Actual)","41 Source Type",$C$5,"5 Source no.",$C2041,"4 Item Ledger Entry Type",$C$4,"2 Item No.","@@"&amp;$F2041,"3 Posting Date",O$9)</t>
  </si>
  <si>
    <t>=-NL("Sum","5802 Value Entry","151 Cost Amount (Expected)","41 Source Type",$C$5,"5 Source No.",$C2041,"4 Item Ledger Entry Type",$C$4,"2 Item No.","@@"&amp;$F2041,"3 Posting Date",O$9)-NL("Sum","5802 Value Entry","43 Cost Amount (Actual)","41 Source Type",$C$5,"5 Source no.",$C2041,"4 Item Ledger Entry Type",$C$4,"2 Item No.","@@"&amp;$F2041,"3 Posting Date",O$9)</t>
  </si>
  <si>
    <t>=O2041-Q2041</t>
  </si>
  <si>
    <t>=IF(O2041&lt;&gt;0,R2041/O2041,"")</t>
  </si>
  <si>
    <t>=NL("Sum","5802 Value Entry","150 Sales Amount (Expected)","41 Source Type",$C$5,"5 Source No.",$C2041,"4 Item Ledger Entry Type",$C$4,"2 Item No.","@@"&amp;$F2041,"3 Posting Date",U$9)+NL("Sum","5802 Value Entry","17 Sales Amount (Actual)","41 Source Type",$C$5,"5 Source no.",$C2041,"4 Item Ledger Entry Type",$C$4,"2 Item No.","@@"&amp;$F2041,"3 Posting Date",U$9)</t>
  </si>
  <si>
    <t>=-NL("Sum","5802 Value Entry","151 Cost Amount (Expected)","41 Source Type",$C$5,"5 Source No.",$C2041,"4 Item Ledger Entry Type",$C$4,"2 Item No.","@@"&amp;$F2041,"3 Posting Date",U$9)-NL("Sum","5802 Value Entry","43 Cost Amount (Actual)","41 Source Type",$C$5,"5 Source no.",$C2041,"4 Item Ledger Entry Type",$C$4,"2 Item No.","@@"&amp;$F2041,"3 Posting Date",U$9)</t>
  </si>
  <si>
    <t>=U2041-W2041</t>
  </si>
  <si>
    <t>=IF(U2041&lt;&gt;0,X2041/U2041,"")</t>
  </si>
  <si>
    <t>=NL("Sum","5802 Value Entry","150 Sales Amount (Expected)","41 Source Type",$C$5,"5 Source No.",$C2041,"4 Item Ledger Entry Type",$C$4,"2 Item No.","@@"&amp;$F2041,"3 Posting Date",Z$9)+NL("Sum","5802 Value Entry","17 Sales Amount (Actual)","41 Source Type",$C$5,"5 Source no.",$C2041,"4 Item Ledger Entry Type",$C$4,"2 Item No.","@@"&amp;$F2041,"3 Posting Date",Z$9)</t>
  </si>
  <si>
    <t>=-NL("Sum","5802 Value Entry","151 Cost Amount (Expected)","41 Source Type",$C$5,"5 Source No.",$C2041,"4 Item Ledger Entry Type",$C$4,"2 Item No.","@@"&amp;$F2041,"3 Posting Date",Z$9)-NL("Sum","5802 Value Entry","43 Cost Amount (Actual)","41 Source Type",$C$5,"5 Source no.",$C2041,"4 Item Ledger Entry Type",$C$4,"2 Item No.","@@"&amp;$F2041,"3 Posting Date",Z$9)</t>
  </si>
  <si>
    <t>=Z2041-AB2041</t>
  </si>
  <si>
    <t>=IF(Z2041&lt;&gt;0,AC2041/Z2041,"")</t>
  </si>
  <si>
    <t>=C2042</t>
  </si>
  <si>
    <t>=J2043-L2043</t>
  </si>
  <si>
    <t>=IF(J2043&lt;&gt;0,M2043/J2043,"")</t>
  </si>
  <si>
    <t>=O2043-Q2043</t>
  </si>
  <si>
    <t>=IF(O2043&lt;&gt;0,R2043/O2043,"")</t>
  </si>
  <si>
    <t>=U2043-W2043</t>
  </si>
  <si>
    <t>=IF(U2043&lt;&gt;0,X2043/U2043,"")</t>
  </si>
  <si>
    <t>=Z2043-AB2043</t>
  </si>
  <si>
    <t>=IF(Z2043&lt;&gt;0,AC2043/Z2043,"")</t>
  </si>
  <si>
    <t>="C100100"</t>
  </si>
  <si>
    <t>=C2045</t>
  </si>
  <si>
    <t>=C2046</t>
  </si>
  <si>
    <t>=NL("Sum","5802 Value Entry","150 Sales Amount (Expected)","41 Source Type",$C$5,"5 Source No.",$C2047,"4 Item Ledger Entry Type",$C$4,"2 Item No.","@@"&amp;$F2047,"3 Posting Date",J$9)+NL("Sum","5802 Value Entry","17 Sales Amount (Actual)","41 Source Type",$C$5,"5 Source no.",$C2047,"4 Item Ledger Entry Type",$C$4,"2 Item No.","@@"&amp;$F2047,"3 Posting Date",J$9)</t>
  </si>
  <si>
    <t>=-NL("Sum","5802 Value Entry","151 Cost Amount (Expected)","41 Source Type",$C$5,"5 Source No.",$C2047,"4 Item Ledger Entry Type",$C$4,"2 Item No.","@@"&amp;$F2047,"3 Posting Date",J$9)-NL("Sum","5802 Value Entry","43 Cost Amount (Actual)","41 Source Type",$C$5,"5 Source no.",$C2047,"4 Item Ledger Entry Type",$C$4,"2 Item No.","@@"&amp;$F2047,"3 Posting Date",J$9)</t>
  </si>
  <si>
    <t>=J2047-L2047</t>
  </si>
  <si>
    <t>=IF(J2047&lt;&gt;0,M2047/J2047,"")</t>
  </si>
  <si>
    <t>=NL("Sum","5802 Value Entry","150 Sales Amount (Expected)","41 Source Type",$C$5,"5 Source No.",$C2047,"4 Item Ledger Entry Type",$C$4,"2 Item No.","@@"&amp;$F2047,"3 Posting Date",O$9)+NL("Sum","5802 Value Entry","17 Sales Amount (Actual)","41 Source Type",$C$5,"5 Source no.",$C2047,"4 Item Ledger Entry Type",$C$4,"2 Item No.","@@"&amp;$F2047,"3 Posting Date",O$9)</t>
  </si>
  <si>
    <t>=-NL("Sum","5802 Value Entry","151 Cost Amount (Expected)","41 Source Type",$C$5,"5 Source No.",$C2047,"4 Item Ledger Entry Type",$C$4,"2 Item No.","@@"&amp;$F2047,"3 Posting Date",O$9)-NL("Sum","5802 Value Entry","43 Cost Amount (Actual)","41 Source Type",$C$5,"5 Source no.",$C2047,"4 Item Ledger Entry Type",$C$4,"2 Item No.","@@"&amp;$F2047,"3 Posting Date",O$9)</t>
  </si>
  <si>
    <t>=O2047-Q2047</t>
  </si>
  <si>
    <t>=IF(O2047&lt;&gt;0,R2047/O2047,"")</t>
  </si>
  <si>
    <t>=NL("Sum","5802 Value Entry","150 Sales Amount (Expected)","41 Source Type",$C$5,"5 Source No.",$C2047,"4 Item Ledger Entry Type",$C$4,"2 Item No.","@@"&amp;$F2047,"3 Posting Date",U$9)+NL("Sum","5802 Value Entry","17 Sales Amount (Actual)","41 Source Type",$C$5,"5 Source no.",$C2047,"4 Item Ledger Entry Type",$C$4,"2 Item No.","@@"&amp;$F2047,"3 Posting Date",U$9)</t>
  </si>
  <si>
    <t>=-NL("Sum","5802 Value Entry","151 Cost Amount (Expected)","41 Source Type",$C$5,"5 Source No.",$C2047,"4 Item Ledger Entry Type",$C$4,"2 Item No.","@@"&amp;$F2047,"3 Posting Date",U$9)-NL("Sum","5802 Value Entry","43 Cost Amount (Actual)","41 Source Type",$C$5,"5 Source no.",$C2047,"4 Item Ledger Entry Type",$C$4,"2 Item No.","@@"&amp;$F2047,"3 Posting Date",U$9)</t>
  </si>
  <si>
    <t>=U2047-W2047</t>
  </si>
  <si>
    <t>=IF(U2047&lt;&gt;0,X2047/U2047,"")</t>
  </si>
  <si>
    <t>=NL("Sum","5802 Value Entry","150 Sales Amount (Expected)","41 Source Type",$C$5,"5 Source No.",$C2047,"4 Item Ledger Entry Type",$C$4,"2 Item No.","@@"&amp;$F2047,"3 Posting Date",Z$9)+NL("Sum","5802 Value Entry","17 Sales Amount (Actual)","41 Source Type",$C$5,"5 Source no.",$C2047,"4 Item Ledger Entry Type",$C$4,"2 Item No.","@@"&amp;$F2047,"3 Posting Date",Z$9)</t>
  </si>
  <si>
    <t>=-NL("Sum","5802 Value Entry","151 Cost Amount (Expected)","41 Source Type",$C$5,"5 Source No.",$C2047,"4 Item Ledger Entry Type",$C$4,"2 Item No.","@@"&amp;$F2047,"3 Posting Date",Z$9)-NL("Sum","5802 Value Entry","43 Cost Amount (Actual)","41 Source Type",$C$5,"5 Source no.",$C2047,"4 Item Ledger Entry Type",$C$4,"2 Item No.","@@"&amp;$F2047,"3 Posting Date",Z$9)</t>
  </si>
  <si>
    <t>=Z2047-AB2047</t>
  </si>
  <si>
    <t>=IF(Z2047&lt;&gt;0,AC2047/Z2047,"")</t>
  </si>
  <si>
    <t>=C2047</t>
  </si>
  <si>
    <t>=NL("Sum","5802 Value Entry","150 Sales Amount (Expected)","41 Source Type",$C$5,"5 Source No.",$C2048,"4 Item Ledger Entry Type",$C$4,"2 Item No.","@@"&amp;$F2048,"3 Posting Date",J$9)+NL("Sum","5802 Value Entry","17 Sales Amount (Actual)","41 Source Type",$C$5,"5 Source no.",$C2048,"4 Item Ledger Entry Type",$C$4,"2 Item No.","@@"&amp;$F2048,"3 Posting Date",J$9)</t>
  </si>
  <si>
    <t>=-NL("Sum","5802 Value Entry","151 Cost Amount (Expected)","41 Source Type",$C$5,"5 Source No.",$C2048,"4 Item Ledger Entry Type",$C$4,"2 Item No.","@@"&amp;$F2048,"3 Posting Date",J$9)-NL("Sum","5802 Value Entry","43 Cost Amount (Actual)","41 Source Type",$C$5,"5 Source no.",$C2048,"4 Item Ledger Entry Type",$C$4,"2 Item No.","@@"&amp;$F2048,"3 Posting Date",J$9)</t>
  </si>
  <si>
    <t>=J2048-L2048</t>
  </si>
  <si>
    <t>=IF(J2048&lt;&gt;0,M2048/J2048,"")</t>
  </si>
  <si>
    <t>=NL("Sum","5802 Value Entry","150 Sales Amount (Expected)","41 Source Type",$C$5,"5 Source No.",$C2048,"4 Item Ledger Entry Type",$C$4,"2 Item No.","@@"&amp;$F2048,"3 Posting Date",O$9)+NL("Sum","5802 Value Entry","17 Sales Amount (Actual)","41 Source Type",$C$5,"5 Source no.",$C2048,"4 Item Ledger Entry Type",$C$4,"2 Item No.","@@"&amp;$F2048,"3 Posting Date",O$9)</t>
  </si>
  <si>
    <t>=-NL("Sum","5802 Value Entry","151 Cost Amount (Expected)","41 Source Type",$C$5,"5 Source No.",$C2048,"4 Item Ledger Entry Type",$C$4,"2 Item No.","@@"&amp;$F2048,"3 Posting Date",O$9)-NL("Sum","5802 Value Entry","43 Cost Amount (Actual)","41 Source Type",$C$5,"5 Source no.",$C2048,"4 Item Ledger Entry Type",$C$4,"2 Item No.","@@"&amp;$F2048,"3 Posting Date",O$9)</t>
  </si>
  <si>
    <t>=O2048-Q2048</t>
  </si>
  <si>
    <t>=IF(O2048&lt;&gt;0,R2048/O2048,"")</t>
  </si>
  <si>
    <t>=NL("Sum","5802 Value Entry","150 Sales Amount (Expected)","41 Source Type",$C$5,"5 Source No.",$C2048,"4 Item Ledger Entry Type",$C$4,"2 Item No.","@@"&amp;$F2048,"3 Posting Date",U$9)+NL("Sum","5802 Value Entry","17 Sales Amount (Actual)","41 Source Type",$C$5,"5 Source no.",$C2048,"4 Item Ledger Entry Type",$C$4,"2 Item No.","@@"&amp;$F2048,"3 Posting Date",U$9)</t>
  </si>
  <si>
    <t>=-NL("Sum","5802 Value Entry","151 Cost Amount (Expected)","41 Source Type",$C$5,"5 Source No.",$C2048,"4 Item Ledger Entry Type",$C$4,"2 Item No.","@@"&amp;$F2048,"3 Posting Date",U$9)-NL("Sum","5802 Value Entry","43 Cost Amount (Actual)","41 Source Type",$C$5,"5 Source no.",$C2048,"4 Item Ledger Entry Type",$C$4,"2 Item No.","@@"&amp;$F2048,"3 Posting Date",U$9)</t>
  </si>
  <si>
    <t>=U2048-W2048</t>
  </si>
  <si>
    <t>=IF(U2048&lt;&gt;0,X2048/U2048,"")</t>
  </si>
  <si>
    <t>=NL("Sum","5802 Value Entry","150 Sales Amount (Expected)","41 Source Type",$C$5,"5 Source No.",$C2048,"4 Item Ledger Entry Type",$C$4,"2 Item No.","@@"&amp;$F2048,"3 Posting Date",Z$9)+NL("Sum","5802 Value Entry","17 Sales Amount (Actual)","41 Source Type",$C$5,"5 Source no.",$C2048,"4 Item Ledger Entry Type",$C$4,"2 Item No.","@@"&amp;$F2048,"3 Posting Date",Z$9)</t>
  </si>
  <si>
    <t>=-NL("Sum","5802 Value Entry","151 Cost Amount (Expected)","41 Source Type",$C$5,"5 Source No.",$C2048,"4 Item Ledger Entry Type",$C$4,"2 Item No.","@@"&amp;$F2048,"3 Posting Date",Z$9)-NL("Sum","5802 Value Entry","43 Cost Amount (Actual)","41 Source Type",$C$5,"5 Source no.",$C2048,"4 Item Ledger Entry Type",$C$4,"2 Item No.","@@"&amp;$F2048,"3 Posting Date",Z$9)</t>
  </si>
  <si>
    <t>=Z2048-AB2048</t>
  </si>
  <si>
    <t>=IF(Z2048&lt;&gt;0,AC2048/Z2048,"")</t>
  </si>
  <si>
    <t>=C2048</t>
  </si>
  <si>
    <t>=NL("Sum","5802 Value Entry","150 Sales Amount (Expected)","41 Source Type",$C$5,"5 Source No.",$C2049,"4 Item Ledger Entry Type",$C$4,"2 Item No.","@@"&amp;$F2049,"3 Posting Date",J$9)+NL("Sum","5802 Value Entry","17 Sales Amount (Actual)","41 Source Type",$C$5,"5 Source no.",$C2049,"4 Item Ledger Entry Type",$C$4,"2 Item No.","@@"&amp;$F2049,"3 Posting Date",J$9)</t>
  </si>
  <si>
    <t>=-NL("Sum","5802 Value Entry","151 Cost Amount (Expected)","41 Source Type",$C$5,"5 Source No.",$C2049,"4 Item Ledger Entry Type",$C$4,"2 Item No.","@@"&amp;$F2049,"3 Posting Date",J$9)-NL("Sum","5802 Value Entry","43 Cost Amount (Actual)","41 Source Type",$C$5,"5 Source no.",$C2049,"4 Item Ledger Entry Type",$C$4,"2 Item No.","@@"&amp;$F2049,"3 Posting Date",J$9)</t>
  </si>
  <si>
    <t>=J2049-L2049</t>
  </si>
  <si>
    <t>=IF(J2049&lt;&gt;0,M2049/J2049,"")</t>
  </si>
  <si>
    <t>=NL("Sum","5802 Value Entry","150 Sales Amount (Expected)","41 Source Type",$C$5,"5 Source No.",$C2049,"4 Item Ledger Entry Type",$C$4,"2 Item No.","@@"&amp;$F2049,"3 Posting Date",O$9)+NL("Sum","5802 Value Entry","17 Sales Amount (Actual)","41 Source Type",$C$5,"5 Source no.",$C2049,"4 Item Ledger Entry Type",$C$4,"2 Item No.","@@"&amp;$F2049,"3 Posting Date",O$9)</t>
  </si>
  <si>
    <t>=-NL("Sum","5802 Value Entry","151 Cost Amount (Expected)","41 Source Type",$C$5,"5 Source No.",$C2049,"4 Item Ledger Entry Type",$C$4,"2 Item No.","@@"&amp;$F2049,"3 Posting Date",O$9)-NL("Sum","5802 Value Entry","43 Cost Amount (Actual)","41 Source Type",$C$5,"5 Source no.",$C2049,"4 Item Ledger Entry Type",$C$4,"2 Item No.","@@"&amp;$F2049,"3 Posting Date",O$9)</t>
  </si>
  <si>
    <t>=O2049-Q2049</t>
  </si>
  <si>
    <t>=IF(O2049&lt;&gt;0,R2049/O2049,"")</t>
  </si>
  <si>
    <t>=NL("Sum","5802 Value Entry","150 Sales Amount (Expected)","41 Source Type",$C$5,"5 Source No.",$C2049,"4 Item Ledger Entry Type",$C$4,"2 Item No.","@@"&amp;$F2049,"3 Posting Date",U$9)+NL("Sum","5802 Value Entry","17 Sales Amount (Actual)","41 Source Type",$C$5,"5 Source no.",$C2049,"4 Item Ledger Entry Type",$C$4,"2 Item No.","@@"&amp;$F2049,"3 Posting Date",U$9)</t>
  </si>
  <si>
    <t>=-NL("Sum","5802 Value Entry","151 Cost Amount (Expected)","41 Source Type",$C$5,"5 Source No.",$C2049,"4 Item Ledger Entry Type",$C$4,"2 Item No.","@@"&amp;$F2049,"3 Posting Date",U$9)-NL("Sum","5802 Value Entry","43 Cost Amount (Actual)","41 Source Type",$C$5,"5 Source no.",$C2049,"4 Item Ledger Entry Type",$C$4,"2 Item No.","@@"&amp;$F2049,"3 Posting Date",U$9)</t>
  </si>
  <si>
    <t>=U2049-W2049</t>
  </si>
  <si>
    <t>=IF(U2049&lt;&gt;0,X2049/U2049,"")</t>
  </si>
  <si>
    <t>=NL("Sum","5802 Value Entry","150 Sales Amount (Expected)","41 Source Type",$C$5,"5 Source No.",$C2049,"4 Item Ledger Entry Type",$C$4,"2 Item No.","@@"&amp;$F2049,"3 Posting Date",Z$9)+NL("Sum","5802 Value Entry","17 Sales Amount (Actual)","41 Source Type",$C$5,"5 Source no.",$C2049,"4 Item Ledger Entry Type",$C$4,"2 Item No.","@@"&amp;$F2049,"3 Posting Date",Z$9)</t>
  </si>
  <si>
    <t>=-NL("Sum","5802 Value Entry","151 Cost Amount (Expected)","41 Source Type",$C$5,"5 Source No.",$C2049,"4 Item Ledger Entry Type",$C$4,"2 Item No.","@@"&amp;$F2049,"3 Posting Date",Z$9)-NL("Sum","5802 Value Entry","43 Cost Amount (Actual)","41 Source Type",$C$5,"5 Source no.",$C2049,"4 Item Ledger Entry Type",$C$4,"2 Item No.","@@"&amp;$F2049,"3 Posting Date",Z$9)</t>
  </si>
  <si>
    <t>=Z2049-AB2049</t>
  </si>
  <si>
    <t>=IF(Z2049&lt;&gt;0,AC2049/Z2049,"")</t>
  </si>
  <si>
    <t>=C2049</t>
  </si>
  <si>
    <t>=NL("Sum","5802 Value Entry","150 Sales Amount (Expected)","41 Source Type",$C$5,"5 Source No.",$C2050,"4 Item Ledger Entry Type",$C$4,"2 Item No.","@@"&amp;$F2050,"3 Posting Date",J$9)+NL("Sum","5802 Value Entry","17 Sales Amount (Actual)","41 Source Type",$C$5,"5 Source no.",$C2050,"4 Item Ledger Entry Type",$C$4,"2 Item No.","@@"&amp;$F2050,"3 Posting Date",J$9)</t>
  </si>
  <si>
    <t>=-NL("Sum","5802 Value Entry","151 Cost Amount (Expected)","41 Source Type",$C$5,"5 Source No.",$C2050,"4 Item Ledger Entry Type",$C$4,"2 Item No.","@@"&amp;$F2050,"3 Posting Date",J$9)-NL("Sum","5802 Value Entry","43 Cost Amount (Actual)","41 Source Type",$C$5,"5 Source no.",$C2050,"4 Item Ledger Entry Type",$C$4,"2 Item No.","@@"&amp;$F2050,"3 Posting Date",J$9)</t>
  </si>
  <si>
    <t>=J2050-L2050</t>
  </si>
  <si>
    <t>=IF(J2050&lt;&gt;0,M2050/J2050,"")</t>
  </si>
  <si>
    <t>=NL("Sum","5802 Value Entry","150 Sales Amount (Expected)","41 Source Type",$C$5,"5 Source No.",$C2050,"4 Item Ledger Entry Type",$C$4,"2 Item No.","@@"&amp;$F2050,"3 Posting Date",O$9)+NL("Sum","5802 Value Entry","17 Sales Amount (Actual)","41 Source Type",$C$5,"5 Source no.",$C2050,"4 Item Ledger Entry Type",$C$4,"2 Item No.","@@"&amp;$F2050,"3 Posting Date",O$9)</t>
  </si>
  <si>
    <t>=-NL("Sum","5802 Value Entry","151 Cost Amount (Expected)","41 Source Type",$C$5,"5 Source No.",$C2050,"4 Item Ledger Entry Type",$C$4,"2 Item No.","@@"&amp;$F2050,"3 Posting Date",O$9)-NL("Sum","5802 Value Entry","43 Cost Amount (Actual)","41 Source Type",$C$5,"5 Source no.",$C2050,"4 Item Ledger Entry Type",$C$4,"2 Item No.","@@"&amp;$F2050,"3 Posting Date",O$9)</t>
  </si>
  <si>
    <t>=O2050-Q2050</t>
  </si>
  <si>
    <t>=IF(O2050&lt;&gt;0,R2050/O2050,"")</t>
  </si>
  <si>
    <t>=NL("Sum","5802 Value Entry","150 Sales Amount (Expected)","41 Source Type",$C$5,"5 Source No.",$C2050,"4 Item Ledger Entry Type",$C$4,"2 Item No.","@@"&amp;$F2050,"3 Posting Date",U$9)+NL("Sum","5802 Value Entry","17 Sales Amount (Actual)","41 Source Type",$C$5,"5 Source no.",$C2050,"4 Item Ledger Entry Type",$C$4,"2 Item No.","@@"&amp;$F2050,"3 Posting Date",U$9)</t>
  </si>
  <si>
    <t>=-NL("Sum","5802 Value Entry","151 Cost Amount (Expected)","41 Source Type",$C$5,"5 Source No.",$C2050,"4 Item Ledger Entry Type",$C$4,"2 Item No.","@@"&amp;$F2050,"3 Posting Date",U$9)-NL("Sum","5802 Value Entry","43 Cost Amount (Actual)","41 Source Type",$C$5,"5 Source no.",$C2050,"4 Item Ledger Entry Type",$C$4,"2 Item No.","@@"&amp;$F2050,"3 Posting Date",U$9)</t>
  </si>
  <si>
    <t>=U2050-W2050</t>
  </si>
  <si>
    <t>=IF(U2050&lt;&gt;0,X2050/U2050,"")</t>
  </si>
  <si>
    <t>=NL("Sum","5802 Value Entry","150 Sales Amount (Expected)","41 Source Type",$C$5,"5 Source No.",$C2050,"4 Item Ledger Entry Type",$C$4,"2 Item No.","@@"&amp;$F2050,"3 Posting Date",Z$9)+NL("Sum","5802 Value Entry","17 Sales Amount (Actual)","41 Source Type",$C$5,"5 Source no.",$C2050,"4 Item Ledger Entry Type",$C$4,"2 Item No.","@@"&amp;$F2050,"3 Posting Date",Z$9)</t>
  </si>
  <si>
    <t>=-NL("Sum","5802 Value Entry","151 Cost Amount (Expected)","41 Source Type",$C$5,"5 Source No.",$C2050,"4 Item Ledger Entry Type",$C$4,"2 Item No.","@@"&amp;$F2050,"3 Posting Date",Z$9)-NL("Sum","5802 Value Entry","43 Cost Amount (Actual)","41 Source Type",$C$5,"5 Source no.",$C2050,"4 Item Ledger Entry Type",$C$4,"2 Item No.","@@"&amp;$F2050,"3 Posting Date",Z$9)</t>
  </si>
  <si>
    <t>=Z2050-AB2050</t>
  </si>
  <si>
    <t>=IF(Z2050&lt;&gt;0,AC2050/Z2050,"")</t>
  </si>
  <si>
    <t>=C2050</t>
  </si>
  <si>
    <t>=NL("Sum","5802 Value Entry","150 Sales Amount (Expected)","41 Source Type",$C$5,"5 Source No.",$C2051,"4 Item Ledger Entry Type",$C$4,"2 Item No.","@@"&amp;$F2051,"3 Posting Date",J$9)+NL("Sum","5802 Value Entry","17 Sales Amount (Actual)","41 Source Type",$C$5,"5 Source no.",$C2051,"4 Item Ledger Entry Type",$C$4,"2 Item No.","@@"&amp;$F2051,"3 Posting Date",J$9)</t>
  </si>
  <si>
    <t>=-NL("Sum","5802 Value Entry","151 Cost Amount (Expected)","41 Source Type",$C$5,"5 Source No.",$C2051,"4 Item Ledger Entry Type",$C$4,"2 Item No.","@@"&amp;$F2051,"3 Posting Date",J$9)-NL("Sum","5802 Value Entry","43 Cost Amount (Actual)","41 Source Type",$C$5,"5 Source no.",$C2051,"4 Item Ledger Entry Type",$C$4,"2 Item No.","@@"&amp;$F2051,"3 Posting Date",J$9)</t>
  </si>
  <si>
    <t>=J2051-L2051</t>
  </si>
  <si>
    <t>=IF(J2051&lt;&gt;0,M2051/J2051,"")</t>
  </si>
  <si>
    <t>=NL("Sum","5802 Value Entry","150 Sales Amount (Expected)","41 Source Type",$C$5,"5 Source No.",$C2051,"4 Item Ledger Entry Type",$C$4,"2 Item No.","@@"&amp;$F2051,"3 Posting Date",O$9)+NL("Sum","5802 Value Entry","17 Sales Amount (Actual)","41 Source Type",$C$5,"5 Source no.",$C2051,"4 Item Ledger Entry Type",$C$4,"2 Item No.","@@"&amp;$F2051,"3 Posting Date",O$9)</t>
  </si>
  <si>
    <t>=-NL("Sum","5802 Value Entry","151 Cost Amount (Expected)","41 Source Type",$C$5,"5 Source No.",$C2051,"4 Item Ledger Entry Type",$C$4,"2 Item No.","@@"&amp;$F2051,"3 Posting Date",O$9)-NL("Sum","5802 Value Entry","43 Cost Amount (Actual)","41 Source Type",$C$5,"5 Source no.",$C2051,"4 Item Ledger Entry Type",$C$4,"2 Item No.","@@"&amp;$F2051,"3 Posting Date",O$9)</t>
  </si>
  <si>
    <t>=O2051-Q2051</t>
  </si>
  <si>
    <t>=IF(O2051&lt;&gt;0,R2051/O2051,"")</t>
  </si>
  <si>
    <t>=NL("Sum","5802 Value Entry","150 Sales Amount (Expected)","41 Source Type",$C$5,"5 Source No.",$C2051,"4 Item Ledger Entry Type",$C$4,"2 Item No.","@@"&amp;$F2051,"3 Posting Date",U$9)+NL("Sum","5802 Value Entry","17 Sales Amount (Actual)","41 Source Type",$C$5,"5 Source no.",$C2051,"4 Item Ledger Entry Type",$C$4,"2 Item No.","@@"&amp;$F2051,"3 Posting Date",U$9)</t>
  </si>
  <si>
    <t>=-NL("Sum","5802 Value Entry","151 Cost Amount (Expected)","41 Source Type",$C$5,"5 Source No.",$C2051,"4 Item Ledger Entry Type",$C$4,"2 Item No.","@@"&amp;$F2051,"3 Posting Date",U$9)-NL("Sum","5802 Value Entry","43 Cost Amount (Actual)","41 Source Type",$C$5,"5 Source no.",$C2051,"4 Item Ledger Entry Type",$C$4,"2 Item No.","@@"&amp;$F2051,"3 Posting Date",U$9)</t>
  </si>
  <si>
    <t>=U2051-W2051</t>
  </si>
  <si>
    <t>=IF(U2051&lt;&gt;0,X2051/U2051,"")</t>
  </si>
  <si>
    <t>=NL("Sum","5802 Value Entry","150 Sales Amount (Expected)","41 Source Type",$C$5,"5 Source No.",$C2051,"4 Item Ledger Entry Type",$C$4,"2 Item No.","@@"&amp;$F2051,"3 Posting Date",Z$9)+NL("Sum","5802 Value Entry","17 Sales Amount (Actual)","41 Source Type",$C$5,"5 Source no.",$C2051,"4 Item Ledger Entry Type",$C$4,"2 Item No.","@@"&amp;$F2051,"3 Posting Date",Z$9)</t>
  </si>
  <si>
    <t>=-NL("Sum","5802 Value Entry","151 Cost Amount (Expected)","41 Source Type",$C$5,"5 Source No.",$C2051,"4 Item Ledger Entry Type",$C$4,"2 Item No.","@@"&amp;$F2051,"3 Posting Date",Z$9)-NL("Sum","5802 Value Entry","43 Cost Amount (Actual)","41 Source Type",$C$5,"5 Source no.",$C2051,"4 Item Ledger Entry Type",$C$4,"2 Item No.","@@"&amp;$F2051,"3 Posting Date",Z$9)</t>
  </si>
  <si>
    <t>=Z2051-AB2051</t>
  </si>
  <si>
    <t>=IF(Z2051&lt;&gt;0,AC2051/Z2051,"")</t>
  </si>
  <si>
    <t>=C2051</t>
  </si>
  <si>
    <t>=NL("Sum","5802 Value Entry","150 Sales Amount (Expected)","41 Source Type",$C$5,"5 Source No.",$C2052,"4 Item Ledger Entry Type",$C$4,"2 Item No.","@@"&amp;$F2052,"3 Posting Date",J$9)+NL("Sum","5802 Value Entry","17 Sales Amount (Actual)","41 Source Type",$C$5,"5 Source no.",$C2052,"4 Item Ledger Entry Type",$C$4,"2 Item No.","@@"&amp;$F2052,"3 Posting Date",J$9)</t>
  </si>
  <si>
    <t>=-NL("Sum","5802 Value Entry","151 Cost Amount (Expected)","41 Source Type",$C$5,"5 Source No.",$C2052,"4 Item Ledger Entry Type",$C$4,"2 Item No.","@@"&amp;$F2052,"3 Posting Date",J$9)-NL("Sum","5802 Value Entry","43 Cost Amount (Actual)","41 Source Type",$C$5,"5 Source no.",$C2052,"4 Item Ledger Entry Type",$C$4,"2 Item No.","@@"&amp;$F2052,"3 Posting Date",J$9)</t>
  </si>
  <si>
    <t>=J2052-L2052</t>
  </si>
  <si>
    <t>=IF(J2052&lt;&gt;0,M2052/J2052,"")</t>
  </si>
  <si>
    <t>=NL("Sum","5802 Value Entry","150 Sales Amount (Expected)","41 Source Type",$C$5,"5 Source No.",$C2052,"4 Item Ledger Entry Type",$C$4,"2 Item No.","@@"&amp;$F2052,"3 Posting Date",O$9)+NL("Sum","5802 Value Entry","17 Sales Amount (Actual)","41 Source Type",$C$5,"5 Source no.",$C2052,"4 Item Ledger Entry Type",$C$4,"2 Item No.","@@"&amp;$F2052,"3 Posting Date",O$9)</t>
  </si>
  <si>
    <t>=-NL("Sum","5802 Value Entry","151 Cost Amount (Expected)","41 Source Type",$C$5,"5 Source No.",$C2052,"4 Item Ledger Entry Type",$C$4,"2 Item No.","@@"&amp;$F2052,"3 Posting Date",O$9)-NL("Sum","5802 Value Entry","43 Cost Amount (Actual)","41 Source Type",$C$5,"5 Source no.",$C2052,"4 Item Ledger Entry Type",$C$4,"2 Item No.","@@"&amp;$F2052,"3 Posting Date",O$9)</t>
  </si>
  <si>
    <t>=O2052-Q2052</t>
  </si>
  <si>
    <t>=IF(O2052&lt;&gt;0,R2052/O2052,"")</t>
  </si>
  <si>
    <t>=NL("Sum","5802 Value Entry","150 Sales Amount (Expected)","41 Source Type",$C$5,"5 Source No.",$C2052,"4 Item Ledger Entry Type",$C$4,"2 Item No.","@@"&amp;$F2052,"3 Posting Date",U$9)+NL("Sum","5802 Value Entry","17 Sales Amount (Actual)","41 Source Type",$C$5,"5 Source no.",$C2052,"4 Item Ledger Entry Type",$C$4,"2 Item No.","@@"&amp;$F2052,"3 Posting Date",U$9)</t>
  </si>
  <si>
    <t>=-NL("Sum","5802 Value Entry","151 Cost Amount (Expected)","41 Source Type",$C$5,"5 Source No.",$C2052,"4 Item Ledger Entry Type",$C$4,"2 Item No.","@@"&amp;$F2052,"3 Posting Date",U$9)-NL("Sum","5802 Value Entry","43 Cost Amount (Actual)","41 Source Type",$C$5,"5 Source no.",$C2052,"4 Item Ledger Entry Type",$C$4,"2 Item No.","@@"&amp;$F2052,"3 Posting Date",U$9)</t>
  </si>
  <si>
    <t>=U2052-W2052</t>
  </si>
  <si>
    <t>=IF(U2052&lt;&gt;0,X2052/U2052,"")</t>
  </si>
  <si>
    <t>=NL("Sum","5802 Value Entry","150 Sales Amount (Expected)","41 Source Type",$C$5,"5 Source No.",$C2052,"4 Item Ledger Entry Type",$C$4,"2 Item No.","@@"&amp;$F2052,"3 Posting Date",Z$9)+NL("Sum","5802 Value Entry","17 Sales Amount (Actual)","41 Source Type",$C$5,"5 Source no.",$C2052,"4 Item Ledger Entry Type",$C$4,"2 Item No.","@@"&amp;$F2052,"3 Posting Date",Z$9)</t>
  </si>
  <si>
    <t>=-NL("Sum","5802 Value Entry","151 Cost Amount (Expected)","41 Source Type",$C$5,"5 Source No.",$C2052,"4 Item Ledger Entry Type",$C$4,"2 Item No.","@@"&amp;$F2052,"3 Posting Date",Z$9)-NL("Sum","5802 Value Entry","43 Cost Amount (Actual)","41 Source Type",$C$5,"5 Source no.",$C2052,"4 Item Ledger Entry Type",$C$4,"2 Item No.","@@"&amp;$F2052,"3 Posting Date",Z$9)</t>
  </si>
  <si>
    <t>=Z2052-AB2052</t>
  </si>
  <si>
    <t>=IF(Z2052&lt;&gt;0,AC2052/Z2052,"")</t>
  </si>
  <si>
    <t>=C2052</t>
  </si>
  <si>
    <t>=NL("Sum","5802 Value Entry","150 Sales Amount (Expected)","41 Source Type",$C$5,"5 Source No.",$C2053,"4 Item Ledger Entry Type",$C$4,"2 Item No.","@@"&amp;$F2053,"3 Posting Date",J$9)+NL("Sum","5802 Value Entry","17 Sales Amount (Actual)","41 Source Type",$C$5,"5 Source no.",$C2053,"4 Item Ledger Entry Type",$C$4,"2 Item No.","@@"&amp;$F2053,"3 Posting Date",J$9)</t>
  </si>
  <si>
    <t>=-NL("Sum","5802 Value Entry","151 Cost Amount (Expected)","41 Source Type",$C$5,"5 Source No.",$C2053,"4 Item Ledger Entry Type",$C$4,"2 Item No.","@@"&amp;$F2053,"3 Posting Date",J$9)-NL("Sum","5802 Value Entry","43 Cost Amount (Actual)","41 Source Type",$C$5,"5 Source no.",$C2053,"4 Item Ledger Entry Type",$C$4,"2 Item No.","@@"&amp;$F2053,"3 Posting Date",J$9)</t>
  </si>
  <si>
    <t>=J2053-L2053</t>
  </si>
  <si>
    <t>=IF(J2053&lt;&gt;0,M2053/J2053,"")</t>
  </si>
  <si>
    <t>=NL("Sum","5802 Value Entry","150 Sales Amount (Expected)","41 Source Type",$C$5,"5 Source No.",$C2053,"4 Item Ledger Entry Type",$C$4,"2 Item No.","@@"&amp;$F2053,"3 Posting Date",O$9)+NL("Sum","5802 Value Entry","17 Sales Amount (Actual)","41 Source Type",$C$5,"5 Source no.",$C2053,"4 Item Ledger Entry Type",$C$4,"2 Item No.","@@"&amp;$F2053,"3 Posting Date",O$9)</t>
  </si>
  <si>
    <t>=-NL("Sum","5802 Value Entry","151 Cost Amount (Expected)","41 Source Type",$C$5,"5 Source No.",$C2053,"4 Item Ledger Entry Type",$C$4,"2 Item No.","@@"&amp;$F2053,"3 Posting Date",O$9)-NL("Sum","5802 Value Entry","43 Cost Amount (Actual)","41 Source Type",$C$5,"5 Source no.",$C2053,"4 Item Ledger Entry Type",$C$4,"2 Item No.","@@"&amp;$F2053,"3 Posting Date",O$9)</t>
  </si>
  <si>
    <t>=O2053-Q2053</t>
  </si>
  <si>
    <t>=IF(O2053&lt;&gt;0,R2053/O2053,"")</t>
  </si>
  <si>
    <t>=NL("Sum","5802 Value Entry","150 Sales Amount (Expected)","41 Source Type",$C$5,"5 Source No.",$C2053,"4 Item Ledger Entry Type",$C$4,"2 Item No.","@@"&amp;$F2053,"3 Posting Date",U$9)+NL("Sum","5802 Value Entry","17 Sales Amount (Actual)","41 Source Type",$C$5,"5 Source no.",$C2053,"4 Item Ledger Entry Type",$C$4,"2 Item No.","@@"&amp;$F2053,"3 Posting Date",U$9)</t>
  </si>
  <si>
    <t>=-NL("Sum","5802 Value Entry","151 Cost Amount (Expected)","41 Source Type",$C$5,"5 Source No.",$C2053,"4 Item Ledger Entry Type",$C$4,"2 Item No.","@@"&amp;$F2053,"3 Posting Date",U$9)-NL("Sum","5802 Value Entry","43 Cost Amount (Actual)","41 Source Type",$C$5,"5 Source no.",$C2053,"4 Item Ledger Entry Type",$C$4,"2 Item No.","@@"&amp;$F2053,"3 Posting Date",U$9)</t>
  </si>
  <si>
    <t>=U2053-W2053</t>
  </si>
  <si>
    <t>=IF(U2053&lt;&gt;0,X2053/U2053,"")</t>
  </si>
  <si>
    <t>=NL("Sum","5802 Value Entry","150 Sales Amount (Expected)","41 Source Type",$C$5,"5 Source No.",$C2053,"4 Item Ledger Entry Type",$C$4,"2 Item No.","@@"&amp;$F2053,"3 Posting Date",Z$9)+NL("Sum","5802 Value Entry","17 Sales Amount (Actual)","41 Source Type",$C$5,"5 Source no.",$C2053,"4 Item Ledger Entry Type",$C$4,"2 Item No.","@@"&amp;$F2053,"3 Posting Date",Z$9)</t>
  </si>
  <si>
    <t>=-NL("Sum","5802 Value Entry","151 Cost Amount (Expected)","41 Source Type",$C$5,"5 Source No.",$C2053,"4 Item Ledger Entry Type",$C$4,"2 Item No.","@@"&amp;$F2053,"3 Posting Date",Z$9)-NL("Sum","5802 Value Entry","43 Cost Amount (Actual)","41 Source Type",$C$5,"5 Source no.",$C2053,"4 Item Ledger Entry Type",$C$4,"2 Item No.","@@"&amp;$F2053,"3 Posting Date",Z$9)</t>
  </si>
  <si>
    <t>=Z2053-AB2053</t>
  </si>
  <si>
    <t>=IF(Z2053&lt;&gt;0,AC2053/Z2053,"")</t>
  </si>
  <si>
    <t>=C2053</t>
  </si>
  <si>
    <t>=NL("Sum","5802 Value Entry","150 Sales Amount (Expected)","41 Source Type",$C$5,"5 Source No.",$C2054,"4 Item Ledger Entry Type",$C$4,"2 Item No.","@@"&amp;$F2054,"3 Posting Date",J$9)+NL("Sum","5802 Value Entry","17 Sales Amount (Actual)","41 Source Type",$C$5,"5 Source no.",$C2054,"4 Item Ledger Entry Type",$C$4,"2 Item No.","@@"&amp;$F2054,"3 Posting Date",J$9)</t>
  </si>
  <si>
    <t>=-NL("Sum","5802 Value Entry","151 Cost Amount (Expected)","41 Source Type",$C$5,"5 Source No.",$C2054,"4 Item Ledger Entry Type",$C$4,"2 Item No.","@@"&amp;$F2054,"3 Posting Date",J$9)-NL("Sum","5802 Value Entry","43 Cost Amount (Actual)","41 Source Type",$C$5,"5 Source no.",$C2054,"4 Item Ledger Entry Type",$C$4,"2 Item No.","@@"&amp;$F2054,"3 Posting Date",J$9)</t>
  </si>
  <si>
    <t>=J2054-L2054</t>
  </si>
  <si>
    <t>=IF(J2054&lt;&gt;0,M2054/J2054,"")</t>
  </si>
  <si>
    <t>=NL("Sum","5802 Value Entry","150 Sales Amount (Expected)","41 Source Type",$C$5,"5 Source No.",$C2054,"4 Item Ledger Entry Type",$C$4,"2 Item No.","@@"&amp;$F2054,"3 Posting Date",O$9)+NL("Sum","5802 Value Entry","17 Sales Amount (Actual)","41 Source Type",$C$5,"5 Source no.",$C2054,"4 Item Ledger Entry Type",$C$4,"2 Item No.","@@"&amp;$F2054,"3 Posting Date",O$9)</t>
  </si>
  <si>
    <t>=-NL("Sum","5802 Value Entry","151 Cost Amount (Expected)","41 Source Type",$C$5,"5 Source No.",$C2054,"4 Item Ledger Entry Type",$C$4,"2 Item No.","@@"&amp;$F2054,"3 Posting Date",O$9)-NL("Sum","5802 Value Entry","43 Cost Amount (Actual)","41 Source Type",$C$5,"5 Source no.",$C2054,"4 Item Ledger Entry Type",$C$4,"2 Item No.","@@"&amp;$F2054,"3 Posting Date",O$9)</t>
  </si>
  <si>
    <t>=O2054-Q2054</t>
  </si>
  <si>
    <t>=IF(O2054&lt;&gt;0,R2054/O2054,"")</t>
  </si>
  <si>
    <t>=NL("Sum","5802 Value Entry","150 Sales Amount (Expected)","41 Source Type",$C$5,"5 Source No.",$C2054,"4 Item Ledger Entry Type",$C$4,"2 Item No.","@@"&amp;$F2054,"3 Posting Date",U$9)+NL("Sum","5802 Value Entry","17 Sales Amount (Actual)","41 Source Type",$C$5,"5 Source no.",$C2054,"4 Item Ledger Entry Type",$C$4,"2 Item No.","@@"&amp;$F2054,"3 Posting Date",U$9)</t>
  </si>
  <si>
    <t>=-NL("Sum","5802 Value Entry","151 Cost Amount (Expected)","41 Source Type",$C$5,"5 Source No.",$C2054,"4 Item Ledger Entry Type",$C$4,"2 Item No.","@@"&amp;$F2054,"3 Posting Date",U$9)-NL("Sum","5802 Value Entry","43 Cost Amount (Actual)","41 Source Type",$C$5,"5 Source no.",$C2054,"4 Item Ledger Entry Type",$C$4,"2 Item No.","@@"&amp;$F2054,"3 Posting Date",U$9)</t>
  </si>
  <si>
    <t>=U2054-W2054</t>
  </si>
  <si>
    <t>=IF(U2054&lt;&gt;0,X2054/U2054,"")</t>
  </si>
  <si>
    <t>=NL("Sum","5802 Value Entry","150 Sales Amount (Expected)","41 Source Type",$C$5,"5 Source No.",$C2054,"4 Item Ledger Entry Type",$C$4,"2 Item No.","@@"&amp;$F2054,"3 Posting Date",Z$9)+NL("Sum","5802 Value Entry","17 Sales Amount (Actual)","41 Source Type",$C$5,"5 Source no.",$C2054,"4 Item Ledger Entry Type",$C$4,"2 Item No.","@@"&amp;$F2054,"3 Posting Date",Z$9)</t>
  </si>
  <si>
    <t>=-NL("Sum","5802 Value Entry","151 Cost Amount (Expected)","41 Source Type",$C$5,"5 Source No.",$C2054,"4 Item Ledger Entry Type",$C$4,"2 Item No.","@@"&amp;$F2054,"3 Posting Date",Z$9)-NL("Sum","5802 Value Entry","43 Cost Amount (Actual)","41 Source Type",$C$5,"5 Source no.",$C2054,"4 Item Ledger Entry Type",$C$4,"2 Item No.","@@"&amp;$F2054,"3 Posting Date",Z$9)</t>
  </si>
  <si>
    <t>=Z2054-AB2054</t>
  </si>
  <si>
    <t>=IF(Z2054&lt;&gt;0,AC2054/Z2054,"")</t>
  </si>
  <si>
    <t>=C2054</t>
  </si>
  <si>
    <t>=NL("Sum","5802 Value Entry","150 Sales Amount (Expected)","41 Source Type",$C$5,"5 Source No.",$C2055,"4 Item Ledger Entry Type",$C$4,"2 Item No.","@@"&amp;$F2055,"3 Posting Date",J$9)+NL("Sum","5802 Value Entry","17 Sales Amount (Actual)","41 Source Type",$C$5,"5 Source no.",$C2055,"4 Item Ledger Entry Type",$C$4,"2 Item No.","@@"&amp;$F2055,"3 Posting Date",J$9)</t>
  </si>
  <si>
    <t>=-NL("Sum","5802 Value Entry","151 Cost Amount (Expected)","41 Source Type",$C$5,"5 Source No.",$C2055,"4 Item Ledger Entry Type",$C$4,"2 Item No.","@@"&amp;$F2055,"3 Posting Date",J$9)-NL("Sum","5802 Value Entry","43 Cost Amount (Actual)","41 Source Type",$C$5,"5 Source no.",$C2055,"4 Item Ledger Entry Type",$C$4,"2 Item No.","@@"&amp;$F2055,"3 Posting Date",J$9)</t>
  </si>
  <si>
    <t>=J2055-L2055</t>
  </si>
  <si>
    <t>=IF(J2055&lt;&gt;0,M2055/J2055,"")</t>
  </si>
  <si>
    <t>=NL("Sum","5802 Value Entry","150 Sales Amount (Expected)","41 Source Type",$C$5,"5 Source No.",$C2055,"4 Item Ledger Entry Type",$C$4,"2 Item No.","@@"&amp;$F2055,"3 Posting Date",O$9)+NL("Sum","5802 Value Entry","17 Sales Amount (Actual)","41 Source Type",$C$5,"5 Source no.",$C2055,"4 Item Ledger Entry Type",$C$4,"2 Item No.","@@"&amp;$F2055,"3 Posting Date",O$9)</t>
  </si>
  <si>
    <t>=-NL("Sum","5802 Value Entry","151 Cost Amount (Expected)","41 Source Type",$C$5,"5 Source No.",$C2055,"4 Item Ledger Entry Type",$C$4,"2 Item No.","@@"&amp;$F2055,"3 Posting Date",O$9)-NL("Sum","5802 Value Entry","43 Cost Amount (Actual)","41 Source Type",$C$5,"5 Source no.",$C2055,"4 Item Ledger Entry Type",$C$4,"2 Item No.","@@"&amp;$F2055,"3 Posting Date",O$9)</t>
  </si>
  <si>
    <t>=O2055-Q2055</t>
  </si>
  <si>
    <t>=IF(O2055&lt;&gt;0,R2055/O2055,"")</t>
  </si>
  <si>
    <t>=NL("Sum","5802 Value Entry","150 Sales Amount (Expected)","41 Source Type",$C$5,"5 Source No.",$C2055,"4 Item Ledger Entry Type",$C$4,"2 Item No.","@@"&amp;$F2055,"3 Posting Date",U$9)+NL("Sum","5802 Value Entry","17 Sales Amount (Actual)","41 Source Type",$C$5,"5 Source no.",$C2055,"4 Item Ledger Entry Type",$C$4,"2 Item No.","@@"&amp;$F2055,"3 Posting Date",U$9)</t>
  </si>
  <si>
    <t>=-NL("Sum","5802 Value Entry","151 Cost Amount (Expected)","41 Source Type",$C$5,"5 Source No.",$C2055,"4 Item Ledger Entry Type",$C$4,"2 Item No.","@@"&amp;$F2055,"3 Posting Date",U$9)-NL("Sum","5802 Value Entry","43 Cost Amount (Actual)","41 Source Type",$C$5,"5 Source no.",$C2055,"4 Item Ledger Entry Type",$C$4,"2 Item No.","@@"&amp;$F2055,"3 Posting Date",U$9)</t>
  </si>
  <si>
    <t>=U2055-W2055</t>
  </si>
  <si>
    <t>=IF(U2055&lt;&gt;0,X2055/U2055,"")</t>
  </si>
  <si>
    <t>=NL("Sum","5802 Value Entry","150 Sales Amount (Expected)","41 Source Type",$C$5,"5 Source No.",$C2055,"4 Item Ledger Entry Type",$C$4,"2 Item No.","@@"&amp;$F2055,"3 Posting Date",Z$9)+NL("Sum","5802 Value Entry","17 Sales Amount (Actual)","41 Source Type",$C$5,"5 Source no.",$C2055,"4 Item Ledger Entry Type",$C$4,"2 Item No.","@@"&amp;$F2055,"3 Posting Date",Z$9)</t>
  </si>
  <si>
    <t>=-NL("Sum","5802 Value Entry","151 Cost Amount (Expected)","41 Source Type",$C$5,"5 Source No.",$C2055,"4 Item Ledger Entry Type",$C$4,"2 Item No.","@@"&amp;$F2055,"3 Posting Date",Z$9)-NL("Sum","5802 Value Entry","43 Cost Amount (Actual)","41 Source Type",$C$5,"5 Source no.",$C2055,"4 Item Ledger Entry Type",$C$4,"2 Item No.","@@"&amp;$F2055,"3 Posting Date",Z$9)</t>
  </si>
  <si>
    <t>=Z2055-AB2055</t>
  </si>
  <si>
    <t>=IF(Z2055&lt;&gt;0,AC2055/Z2055,"")</t>
  </si>
  <si>
    <t>=C2055</t>
  </si>
  <si>
    <t>=NL("Sum","5802 Value Entry","150 Sales Amount (Expected)","41 Source Type",$C$5,"5 Source No.",$C2056,"4 Item Ledger Entry Type",$C$4,"2 Item No.","@@"&amp;$F2056,"3 Posting Date",J$9)+NL("Sum","5802 Value Entry","17 Sales Amount (Actual)","41 Source Type",$C$5,"5 Source no.",$C2056,"4 Item Ledger Entry Type",$C$4,"2 Item No.","@@"&amp;$F2056,"3 Posting Date",J$9)</t>
  </si>
  <si>
    <t>=-NL("Sum","5802 Value Entry","151 Cost Amount (Expected)","41 Source Type",$C$5,"5 Source No.",$C2056,"4 Item Ledger Entry Type",$C$4,"2 Item No.","@@"&amp;$F2056,"3 Posting Date",J$9)-NL("Sum","5802 Value Entry","43 Cost Amount (Actual)","41 Source Type",$C$5,"5 Source no.",$C2056,"4 Item Ledger Entry Type",$C$4,"2 Item No.","@@"&amp;$F2056,"3 Posting Date",J$9)</t>
  </si>
  <si>
    <t>=J2056-L2056</t>
  </si>
  <si>
    <t>=IF(J2056&lt;&gt;0,M2056/J2056,"")</t>
  </si>
  <si>
    <t>=NL("Sum","5802 Value Entry","150 Sales Amount (Expected)","41 Source Type",$C$5,"5 Source No.",$C2056,"4 Item Ledger Entry Type",$C$4,"2 Item No.","@@"&amp;$F2056,"3 Posting Date",O$9)+NL("Sum","5802 Value Entry","17 Sales Amount (Actual)","41 Source Type",$C$5,"5 Source no.",$C2056,"4 Item Ledger Entry Type",$C$4,"2 Item No.","@@"&amp;$F2056,"3 Posting Date",O$9)</t>
  </si>
  <si>
    <t>=-NL("Sum","5802 Value Entry","151 Cost Amount (Expected)","41 Source Type",$C$5,"5 Source No.",$C2056,"4 Item Ledger Entry Type",$C$4,"2 Item No.","@@"&amp;$F2056,"3 Posting Date",O$9)-NL("Sum","5802 Value Entry","43 Cost Amount (Actual)","41 Source Type",$C$5,"5 Source no.",$C2056,"4 Item Ledger Entry Type",$C$4,"2 Item No.","@@"&amp;$F2056,"3 Posting Date",O$9)</t>
  </si>
  <si>
    <t>=O2056-Q2056</t>
  </si>
  <si>
    <t>=IF(O2056&lt;&gt;0,R2056/O2056,"")</t>
  </si>
  <si>
    <t>=NL("Sum","5802 Value Entry","150 Sales Amount (Expected)","41 Source Type",$C$5,"5 Source No.",$C2056,"4 Item Ledger Entry Type",$C$4,"2 Item No.","@@"&amp;$F2056,"3 Posting Date",U$9)+NL("Sum","5802 Value Entry","17 Sales Amount (Actual)","41 Source Type",$C$5,"5 Source no.",$C2056,"4 Item Ledger Entry Type",$C$4,"2 Item No.","@@"&amp;$F2056,"3 Posting Date",U$9)</t>
  </si>
  <si>
    <t>=-NL("Sum","5802 Value Entry","151 Cost Amount (Expected)","41 Source Type",$C$5,"5 Source No.",$C2056,"4 Item Ledger Entry Type",$C$4,"2 Item No.","@@"&amp;$F2056,"3 Posting Date",U$9)-NL("Sum","5802 Value Entry","43 Cost Amount (Actual)","41 Source Type",$C$5,"5 Source no.",$C2056,"4 Item Ledger Entry Type",$C$4,"2 Item No.","@@"&amp;$F2056,"3 Posting Date",U$9)</t>
  </si>
  <si>
    <t>=U2056-W2056</t>
  </si>
  <si>
    <t>=IF(U2056&lt;&gt;0,X2056/U2056,"")</t>
  </si>
  <si>
    <t>=NL("Sum","5802 Value Entry","150 Sales Amount (Expected)","41 Source Type",$C$5,"5 Source No.",$C2056,"4 Item Ledger Entry Type",$C$4,"2 Item No.","@@"&amp;$F2056,"3 Posting Date",Z$9)+NL("Sum","5802 Value Entry","17 Sales Amount (Actual)","41 Source Type",$C$5,"5 Source no.",$C2056,"4 Item Ledger Entry Type",$C$4,"2 Item No.","@@"&amp;$F2056,"3 Posting Date",Z$9)</t>
  </si>
  <si>
    <t>=-NL("Sum","5802 Value Entry","151 Cost Amount (Expected)","41 Source Type",$C$5,"5 Source No.",$C2056,"4 Item Ledger Entry Type",$C$4,"2 Item No.","@@"&amp;$F2056,"3 Posting Date",Z$9)-NL("Sum","5802 Value Entry","43 Cost Amount (Actual)","41 Source Type",$C$5,"5 Source no.",$C2056,"4 Item Ledger Entry Type",$C$4,"2 Item No.","@@"&amp;$F2056,"3 Posting Date",Z$9)</t>
  </si>
  <si>
    <t>=Z2056-AB2056</t>
  </si>
  <si>
    <t>=IF(Z2056&lt;&gt;0,AC2056/Z2056,"")</t>
  </si>
  <si>
    <t>=C2056</t>
  </si>
  <si>
    <t>=NL("Sum","5802 Value Entry","150 Sales Amount (Expected)","41 Source Type",$C$5,"5 Source No.",$C2057,"4 Item Ledger Entry Type",$C$4,"2 Item No.","@@"&amp;$F2057,"3 Posting Date",J$9)+NL("Sum","5802 Value Entry","17 Sales Amount (Actual)","41 Source Type",$C$5,"5 Source no.",$C2057,"4 Item Ledger Entry Type",$C$4,"2 Item No.","@@"&amp;$F2057,"3 Posting Date",J$9)</t>
  </si>
  <si>
    <t>=-NL("Sum","5802 Value Entry","151 Cost Amount (Expected)","41 Source Type",$C$5,"5 Source No.",$C2057,"4 Item Ledger Entry Type",$C$4,"2 Item No.","@@"&amp;$F2057,"3 Posting Date",J$9)-NL("Sum","5802 Value Entry","43 Cost Amount (Actual)","41 Source Type",$C$5,"5 Source no.",$C2057,"4 Item Ledger Entry Type",$C$4,"2 Item No.","@@"&amp;$F2057,"3 Posting Date",J$9)</t>
  </si>
  <si>
    <t>=J2057-L2057</t>
  </si>
  <si>
    <t>=IF(J2057&lt;&gt;0,M2057/J2057,"")</t>
  </si>
  <si>
    <t>=NL("Sum","5802 Value Entry","150 Sales Amount (Expected)","41 Source Type",$C$5,"5 Source No.",$C2057,"4 Item Ledger Entry Type",$C$4,"2 Item No.","@@"&amp;$F2057,"3 Posting Date",O$9)+NL("Sum","5802 Value Entry","17 Sales Amount (Actual)","41 Source Type",$C$5,"5 Source no.",$C2057,"4 Item Ledger Entry Type",$C$4,"2 Item No.","@@"&amp;$F2057,"3 Posting Date",O$9)</t>
  </si>
  <si>
    <t>=-NL("Sum","5802 Value Entry","151 Cost Amount (Expected)","41 Source Type",$C$5,"5 Source No.",$C2057,"4 Item Ledger Entry Type",$C$4,"2 Item No.","@@"&amp;$F2057,"3 Posting Date",O$9)-NL("Sum","5802 Value Entry","43 Cost Amount (Actual)","41 Source Type",$C$5,"5 Source no.",$C2057,"4 Item Ledger Entry Type",$C$4,"2 Item No.","@@"&amp;$F2057,"3 Posting Date",O$9)</t>
  </si>
  <si>
    <t>=O2057-Q2057</t>
  </si>
  <si>
    <t>=IF(O2057&lt;&gt;0,R2057/O2057,"")</t>
  </si>
  <si>
    <t>=NL("Sum","5802 Value Entry","150 Sales Amount (Expected)","41 Source Type",$C$5,"5 Source No.",$C2057,"4 Item Ledger Entry Type",$C$4,"2 Item No.","@@"&amp;$F2057,"3 Posting Date",U$9)+NL("Sum","5802 Value Entry","17 Sales Amount (Actual)","41 Source Type",$C$5,"5 Source no.",$C2057,"4 Item Ledger Entry Type",$C$4,"2 Item No.","@@"&amp;$F2057,"3 Posting Date",U$9)</t>
  </si>
  <si>
    <t>=-NL("Sum","5802 Value Entry","151 Cost Amount (Expected)","41 Source Type",$C$5,"5 Source No.",$C2057,"4 Item Ledger Entry Type",$C$4,"2 Item No.","@@"&amp;$F2057,"3 Posting Date",U$9)-NL("Sum","5802 Value Entry","43 Cost Amount (Actual)","41 Source Type",$C$5,"5 Source no.",$C2057,"4 Item Ledger Entry Type",$C$4,"2 Item No.","@@"&amp;$F2057,"3 Posting Date",U$9)</t>
  </si>
  <si>
    <t>=U2057-W2057</t>
  </si>
  <si>
    <t>=IF(U2057&lt;&gt;0,X2057/U2057,"")</t>
  </si>
  <si>
    <t>=NL("Sum","5802 Value Entry","150 Sales Amount (Expected)","41 Source Type",$C$5,"5 Source No.",$C2057,"4 Item Ledger Entry Type",$C$4,"2 Item No.","@@"&amp;$F2057,"3 Posting Date",Z$9)+NL("Sum","5802 Value Entry","17 Sales Amount (Actual)","41 Source Type",$C$5,"5 Source no.",$C2057,"4 Item Ledger Entry Type",$C$4,"2 Item No.","@@"&amp;$F2057,"3 Posting Date",Z$9)</t>
  </si>
  <si>
    <t>=-NL("Sum","5802 Value Entry","151 Cost Amount (Expected)","41 Source Type",$C$5,"5 Source No.",$C2057,"4 Item Ledger Entry Type",$C$4,"2 Item No.","@@"&amp;$F2057,"3 Posting Date",Z$9)-NL("Sum","5802 Value Entry","43 Cost Amount (Actual)","41 Source Type",$C$5,"5 Source no.",$C2057,"4 Item Ledger Entry Type",$C$4,"2 Item No.","@@"&amp;$F2057,"3 Posting Date",Z$9)</t>
  </si>
  <si>
    <t>=Z2057-AB2057</t>
  </si>
  <si>
    <t>=IF(Z2057&lt;&gt;0,AC2057/Z2057,"")</t>
  </si>
  <si>
    <t>=C2057</t>
  </si>
  <si>
    <t>=NL("Sum","5802 Value Entry","150 Sales Amount (Expected)","41 Source Type",$C$5,"5 Source No.",$C2058,"4 Item Ledger Entry Type",$C$4,"2 Item No.","@@"&amp;$F2058,"3 Posting Date",J$9)+NL("Sum","5802 Value Entry","17 Sales Amount (Actual)","41 Source Type",$C$5,"5 Source no.",$C2058,"4 Item Ledger Entry Type",$C$4,"2 Item No.","@@"&amp;$F2058,"3 Posting Date",J$9)</t>
  </si>
  <si>
    <t>=-NL("Sum","5802 Value Entry","151 Cost Amount (Expected)","41 Source Type",$C$5,"5 Source No.",$C2058,"4 Item Ledger Entry Type",$C$4,"2 Item No.","@@"&amp;$F2058,"3 Posting Date",J$9)-NL("Sum","5802 Value Entry","43 Cost Amount (Actual)","41 Source Type",$C$5,"5 Source no.",$C2058,"4 Item Ledger Entry Type",$C$4,"2 Item No.","@@"&amp;$F2058,"3 Posting Date",J$9)</t>
  </si>
  <si>
    <t>=J2058-L2058</t>
  </si>
  <si>
    <t>=IF(J2058&lt;&gt;0,M2058/J2058,"")</t>
  </si>
  <si>
    <t>=NL("Sum","5802 Value Entry","150 Sales Amount (Expected)","41 Source Type",$C$5,"5 Source No.",$C2058,"4 Item Ledger Entry Type",$C$4,"2 Item No.","@@"&amp;$F2058,"3 Posting Date",O$9)+NL("Sum","5802 Value Entry","17 Sales Amount (Actual)","41 Source Type",$C$5,"5 Source no.",$C2058,"4 Item Ledger Entry Type",$C$4,"2 Item No.","@@"&amp;$F2058,"3 Posting Date",O$9)</t>
  </si>
  <si>
    <t>=-NL("Sum","5802 Value Entry","151 Cost Amount (Expected)","41 Source Type",$C$5,"5 Source No.",$C2058,"4 Item Ledger Entry Type",$C$4,"2 Item No.","@@"&amp;$F2058,"3 Posting Date",O$9)-NL("Sum","5802 Value Entry","43 Cost Amount (Actual)","41 Source Type",$C$5,"5 Source no.",$C2058,"4 Item Ledger Entry Type",$C$4,"2 Item No.","@@"&amp;$F2058,"3 Posting Date",O$9)</t>
  </si>
  <si>
    <t>=O2058-Q2058</t>
  </si>
  <si>
    <t>=IF(O2058&lt;&gt;0,R2058/O2058,"")</t>
  </si>
  <si>
    <t>=NL("Sum","5802 Value Entry","150 Sales Amount (Expected)","41 Source Type",$C$5,"5 Source No.",$C2058,"4 Item Ledger Entry Type",$C$4,"2 Item No.","@@"&amp;$F2058,"3 Posting Date",U$9)+NL("Sum","5802 Value Entry","17 Sales Amount (Actual)","41 Source Type",$C$5,"5 Source no.",$C2058,"4 Item Ledger Entry Type",$C$4,"2 Item No.","@@"&amp;$F2058,"3 Posting Date",U$9)</t>
  </si>
  <si>
    <t>=-NL("Sum","5802 Value Entry","151 Cost Amount (Expected)","41 Source Type",$C$5,"5 Source No.",$C2058,"4 Item Ledger Entry Type",$C$4,"2 Item No.","@@"&amp;$F2058,"3 Posting Date",U$9)-NL("Sum","5802 Value Entry","43 Cost Amount (Actual)","41 Source Type",$C$5,"5 Source no.",$C2058,"4 Item Ledger Entry Type",$C$4,"2 Item No.","@@"&amp;$F2058,"3 Posting Date",U$9)</t>
  </si>
  <si>
    <t>=U2058-W2058</t>
  </si>
  <si>
    <t>=IF(U2058&lt;&gt;0,X2058/U2058,"")</t>
  </si>
  <si>
    <t>=NL("Sum","5802 Value Entry","150 Sales Amount (Expected)","41 Source Type",$C$5,"5 Source No.",$C2058,"4 Item Ledger Entry Type",$C$4,"2 Item No.","@@"&amp;$F2058,"3 Posting Date",Z$9)+NL("Sum","5802 Value Entry","17 Sales Amount (Actual)","41 Source Type",$C$5,"5 Source no.",$C2058,"4 Item Ledger Entry Type",$C$4,"2 Item No.","@@"&amp;$F2058,"3 Posting Date",Z$9)</t>
  </si>
  <si>
    <t>=-NL("Sum","5802 Value Entry","151 Cost Amount (Expected)","41 Source Type",$C$5,"5 Source No.",$C2058,"4 Item Ledger Entry Type",$C$4,"2 Item No.","@@"&amp;$F2058,"3 Posting Date",Z$9)-NL("Sum","5802 Value Entry","43 Cost Amount (Actual)","41 Source Type",$C$5,"5 Source no.",$C2058,"4 Item Ledger Entry Type",$C$4,"2 Item No.","@@"&amp;$F2058,"3 Posting Date",Z$9)</t>
  </si>
  <si>
    <t>=Z2058-AB2058</t>
  </si>
  <si>
    <t>=IF(Z2058&lt;&gt;0,AC2058/Z2058,"")</t>
  </si>
  <si>
    <t>=C2058</t>
  </si>
  <si>
    <t>=NL("Sum","5802 Value Entry","150 Sales Amount (Expected)","41 Source Type",$C$5,"5 Source No.",$C2059,"4 Item Ledger Entry Type",$C$4,"2 Item No.","@@"&amp;$F2059,"3 Posting Date",J$9)+NL("Sum","5802 Value Entry","17 Sales Amount (Actual)","41 Source Type",$C$5,"5 Source no.",$C2059,"4 Item Ledger Entry Type",$C$4,"2 Item No.","@@"&amp;$F2059,"3 Posting Date",J$9)</t>
  </si>
  <si>
    <t>=-NL("Sum","5802 Value Entry","151 Cost Amount (Expected)","41 Source Type",$C$5,"5 Source No.",$C2059,"4 Item Ledger Entry Type",$C$4,"2 Item No.","@@"&amp;$F2059,"3 Posting Date",J$9)-NL("Sum","5802 Value Entry","43 Cost Amount (Actual)","41 Source Type",$C$5,"5 Source no.",$C2059,"4 Item Ledger Entry Type",$C$4,"2 Item No.","@@"&amp;$F2059,"3 Posting Date",J$9)</t>
  </si>
  <si>
    <t>=J2059-L2059</t>
  </si>
  <si>
    <t>=IF(J2059&lt;&gt;0,M2059/J2059,"")</t>
  </si>
  <si>
    <t>=NL("Sum","5802 Value Entry","150 Sales Amount (Expected)","41 Source Type",$C$5,"5 Source No.",$C2059,"4 Item Ledger Entry Type",$C$4,"2 Item No.","@@"&amp;$F2059,"3 Posting Date",O$9)+NL("Sum","5802 Value Entry","17 Sales Amount (Actual)","41 Source Type",$C$5,"5 Source no.",$C2059,"4 Item Ledger Entry Type",$C$4,"2 Item No.","@@"&amp;$F2059,"3 Posting Date",O$9)</t>
  </si>
  <si>
    <t>=-NL("Sum","5802 Value Entry","151 Cost Amount (Expected)","41 Source Type",$C$5,"5 Source No.",$C2059,"4 Item Ledger Entry Type",$C$4,"2 Item No.","@@"&amp;$F2059,"3 Posting Date",O$9)-NL("Sum","5802 Value Entry","43 Cost Amount (Actual)","41 Source Type",$C$5,"5 Source no.",$C2059,"4 Item Ledger Entry Type",$C$4,"2 Item No.","@@"&amp;$F2059,"3 Posting Date",O$9)</t>
  </si>
  <si>
    <t>=O2059-Q2059</t>
  </si>
  <si>
    <t>=IF(O2059&lt;&gt;0,R2059/O2059,"")</t>
  </si>
  <si>
    <t>=NL("Sum","5802 Value Entry","150 Sales Amount (Expected)","41 Source Type",$C$5,"5 Source No.",$C2059,"4 Item Ledger Entry Type",$C$4,"2 Item No.","@@"&amp;$F2059,"3 Posting Date",U$9)+NL("Sum","5802 Value Entry","17 Sales Amount (Actual)","41 Source Type",$C$5,"5 Source no.",$C2059,"4 Item Ledger Entry Type",$C$4,"2 Item No.","@@"&amp;$F2059,"3 Posting Date",U$9)</t>
  </si>
  <si>
    <t>=-NL("Sum","5802 Value Entry","151 Cost Amount (Expected)","41 Source Type",$C$5,"5 Source No.",$C2059,"4 Item Ledger Entry Type",$C$4,"2 Item No.","@@"&amp;$F2059,"3 Posting Date",U$9)-NL("Sum","5802 Value Entry","43 Cost Amount (Actual)","41 Source Type",$C$5,"5 Source no.",$C2059,"4 Item Ledger Entry Type",$C$4,"2 Item No.","@@"&amp;$F2059,"3 Posting Date",U$9)</t>
  </si>
  <si>
    <t>=U2059-W2059</t>
  </si>
  <si>
    <t>=IF(U2059&lt;&gt;0,X2059/U2059,"")</t>
  </si>
  <si>
    <t>=NL("Sum","5802 Value Entry","150 Sales Amount (Expected)","41 Source Type",$C$5,"5 Source No.",$C2059,"4 Item Ledger Entry Type",$C$4,"2 Item No.","@@"&amp;$F2059,"3 Posting Date",Z$9)+NL("Sum","5802 Value Entry","17 Sales Amount (Actual)","41 Source Type",$C$5,"5 Source no.",$C2059,"4 Item Ledger Entry Type",$C$4,"2 Item No.","@@"&amp;$F2059,"3 Posting Date",Z$9)</t>
  </si>
  <si>
    <t>=-NL("Sum","5802 Value Entry","151 Cost Amount (Expected)","41 Source Type",$C$5,"5 Source No.",$C2059,"4 Item Ledger Entry Type",$C$4,"2 Item No.","@@"&amp;$F2059,"3 Posting Date",Z$9)-NL("Sum","5802 Value Entry","43 Cost Amount (Actual)","41 Source Type",$C$5,"5 Source no.",$C2059,"4 Item Ledger Entry Type",$C$4,"2 Item No.","@@"&amp;$F2059,"3 Posting Date",Z$9)</t>
  </si>
  <si>
    <t>=Z2059-AB2059</t>
  </si>
  <si>
    <t>=IF(Z2059&lt;&gt;0,AC2059/Z2059,"")</t>
  </si>
  <si>
    <t>=C2059</t>
  </si>
  <si>
    <t>=NL("Sum","5802 Value Entry","150 Sales Amount (Expected)","41 Source Type",$C$5,"5 Source No.",$C2060,"4 Item Ledger Entry Type",$C$4,"2 Item No.","@@"&amp;$F2060,"3 Posting Date",J$9)+NL("Sum","5802 Value Entry","17 Sales Amount (Actual)","41 Source Type",$C$5,"5 Source no.",$C2060,"4 Item Ledger Entry Type",$C$4,"2 Item No.","@@"&amp;$F2060,"3 Posting Date",J$9)</t>
  </si>
  <si>
    <t>=-NL("Sum","5802 Value Entry","151 Cost Amount (Expected)","41 Source Type",$C$5,"5 Source No.",$C2060,"4 Item Ledger Entry Type",$C$4,"2 Item No.","@@"&amp;$F2060,"3 Posting Date",J$9)-NL("Sum","5802 Value Entry","43 Cost Amount (Actual)","41 Source Type",$C$5,"5 Source no.",$C2060,"4 Item Ledger Entry Type",$C$4,"2 Item No.","@@"&amp;$F2060,"3 Posting Date",J$9)</t>
  </si>
  <si>
    <t>=J2060-L2060</t>
  </si>
  <si>
    <t>=IF(J2060&lt;&gt;0,M2060/J2060,"")</t>
  </si>
  <si>
    <t>=NL("Sum","5802 Value Entry","150 Sales Amount (Expected)","41 Source Type",$C$5,"5 Source No.",$C2060,"4 Item Ledger Entry Type",$C$4,"2 Item No.","@@"&amp;$F2060,"3 Posting Date",O$9)+NL("Sum","5802 Value Entry","17 Sales Amount (Actual)","41 Source Type",$C$5,"5 Source no.",$C2060,"4 Item Ledger Entry Type",$C$4,"2 Item No.","@@"&amp;$F2060,"3 Posting Date",O$9)</t>
  </si>
  <si>
    <t>=-NL("Sum","5802 Value Entry","151 Cost Amount (Expected)","41 Source Type",$C$5,"5 Source No.",$C2060,"4 Item Ledger Entry Type",$C$4,"2 Item No.","@@"&amp;$F2060,"3 Posting Date",O$9)-NL("Sum","5802 Value Entry","43 Cost Amount (Actual)","41 Source Type",$C$5,"5 Source no.",$C2060,"4 Item Ledger Entry Type",$C$4,"2 Item No.","@@"&amp;$F2060,"3 Posting Date",O$9)</t>
  </si>
  <si>
    <t>=O2060-Q2060</t>
  </si>
  <si>
    <t>=IF(O2060&lt;&gt;0,R2060/O2060,"")</t>
  </si>
  <si>
    <t>=NL("Sum","5802 Value Entry","150 Sales Amount (Expected)","41 Source Type",$C$5,"5 Source No.",$C2060,"4 Item Ledger Entry Type",$C$4,"2 Item No.","@@"&amp;$F2060,"3 Posting Date",U$9)+NL("Sum","5802 Value Entry","17 Sales Amount (Actual)","41 Source Type",$C$5,"5 Source no.",$C2060,"4 Item Ledger Entry Type",$C$4,"2 Item No.","@@"&amp;$F2060,"3 Posting Date",U$9)</t>
  </si>
  <si>
    <t>=-NL("Sum","5802 Value Entry","151 Cost Amount (Expected)","41 Source Type",$C$5,"5 Source No.",$C2060,"4 Item Ledger Entry Type",$C$4,"2 Item No.","@@"&amp;$F2060,"3 Posting Date",U$9)-NL("Sum","5802 Value Entry","43 Cost Amount (Actual)","41 Source Type",$C$5,"5 Source no.",$C2060,"4 Item Ledger Entry Type",$C$4,"2 Item No.","@@"&amp;$F2060,"3 Posting Date",U$9)</t>
  </si>
  <si>
    <t>=U2060-W2060</t>
  </si>
  <si>
    <t>=IF(U2060&lt;&gt;0,X2060/U2060,"")</t>
  </si>
  <si>
    <t>=NL("Sum","5802 Value Entry","150 Sales Amount (Expected)","41 Source Type",$C$5,"5 Source No.",$C2060,"4 Item Ledger Entry Type",$C$4,"2 Item No.","@@"&amp;$F2060,"3 Posting Date",Z$9)+NL("Sum","5802 Value Entry","17 Sales Amount (Actual)","41 Source Type",$C$5,"5 Source no.",$C2060,"4 Item Ledger Entry Type",$C$4,"2 Item No.","@@"&amp;$F2060,"3 Posting Date",Z$9)</t>
  </si>
  <si>
    <t>=-NL("Sum","5802 Value Entry","151 Cost Amount (Expected)","41 Source Type",$C$5,"5 Source No.",$C2060,"4 Item Ledger Entry Type",$C$4,"2 Item No.","@@"&amp;$F2060,"3 Posting Date",Z$9)-NL("Sum","5802 Value Entry","43 Cost Amount (Actual)","41 Source Type",$C$5,"5 Source no.",$C2060,"4 Item Ledger Entry Type",$C$4,"2 Item No.","@@"&amp;$F2060,"3 Posting Date",Z$9)</t>
  </si>
  <si>
    <t>=Z2060-AB2060</t>
  </si>
  <si>
    <t>=IF(Z2060&lt;&gt;0,AC2060/Z2060,"")</t>
  </si>
  <si>
    <t>=C2060</t>
  </si>
  <si>
    <t>=NL("Sum","5802 Value Entry","150 Sales Amount (Expected)","41 Source Type",$C$5,"5 Source No.",$C2061,"4 Item Ledger Entry Type",$C$4,"2 Item No.","@@"&amp;$F2061,"3 Posting Date",J$9)+NL("Sum","5802 Value Entry","17 Sales Amount (Actual)","41 Source Type",$C$5,"5 Source no.",$C2061,"4 Item Ledger Entry Type",$C$4,"2 Item No.","@@"&amp;$F2061,"3 Posting Date",J$9)</t>
  </si>
  <si>
    <t>=-NL("Sum","5802 Value Entry","151 Cost Amount (Expected)","41 Source Type",$C$5,"5 Source No.",$C2061,"4 Item Ledger Entry Type",$C$4,"2 Item No.","@@"&amp;$F2061,"3 Posting Date",J$9)-NL("Sum","5802 Value Entry","43 Cost Amount (Actual)","41 Source Type",$C$5,"5 Source no.",$C2061,"4 Item Ledger Entry Type",$C$4,"2 Item No.","@@"&amp;$F2061,"3 Posting Date",J$9)</t>
  </si>
  <si>
    <t>=J2061-L2061</t>
  </si>
  <si>
    <t>=IF(J2061&lt;&gt;0,M2061/J2061,"")</t>
  </si>
  <si>
    <t>=NL("Sum","5802 Value Entry","150 Sales Amount (Expected)","41 Source Type",$C$5,"5 Source No.",$C2061,"4 Item Ledger Entry Type",$C$4,"2 Item No.","@@"&amp;$F2061,"3 Posting Date",O$9)+NL("Sum","5802 Value Entry","17 Sales Amount (Actual)","41 Source Type",$C$5,"5 Source no.",$C2061,"4 Item Ledger Entry Type",$C$4,"2 Item No.","@@"&amp;$F2061,"3 Posting Date",O$9)</t>
  </si>
  <si>
    <t>=-NL("Sum","5802 Value Entry","151 Cost Amount (Expected)","41 Source Type",$C$5,"5 Source No.",$C2061,"4 Item Ledger Entry Type",$C$4,"2 Item No.","@@"&amp;$F2061,"3 Posting Date",O$9)-NL("Sum","5802 Value Entry","43 Cost Amount (Actual)","41 Source Type",$C$5,"5 Source no.",$C2061,"4 Item Ledger Entry Type",$C$4,"2 Item No.","@@"&amp;$F2061,"3 Posting Date",O$9)</t>
  </si>
  <si>
    <t>=O2061-Q2061</t>
  </si>
  <si>
    <t>=IF(O2061&lt;&gt;0,R2061/O2061,"")</t>
  </si>
  <si>
    <t>=NL("Sum","5802 Value Entry","150 Sales Amount (Expected)","41 Source Type",$C$5,"5 Source No.",$C2061,"4 Item Ledger Entry Type",$C$4,"2 Item No.","@@"&amp;$F2061,"3 Posting Date",U$9)+NL("Sum","5802 Value Entry","17 Sales Amount (Actual)","41 Source Type",$C$5,"5 Source no.",$C2061,"4 Item Ledger Entry Type",$C$4,"2 Item No.","@@"&amp;$F2061,"3 Posting Date",U$9)</t>
  </si>
  <si>
    <t>=-NL("Sum","5802 Value Entry","151 Cost Amount (Expected)","41 Source Type",$C$5,"5 Source No.",$C2061,"4 Item Ledger Entry Type",$C$4,"2 Item No.","@@"&amp;$F2061,"3 Posting Date",U$9)-NL("Sum","5802 Value Entry","43 Cost Amount (Actual)","41 Source Type",$C$5,"5 Source no.",$C2061,"4 Item Ledger Entry Type",$C$4,"2 Item No.","@@"&amp;$F2061,"3 Posting Date",U$9)</t>
  </si>
  <si>
    <t>=U2061-W2061</t>
  </si>
  <si>
    <t>=IF(U2061&lt;&gt;0,X2061/U2061,"")</t>
  </si>
  <si>
    <t>=NL("Sum","5802 Value Entry","150 Sales Amount (Expected)","41 Source Type",$C$5,"5 Source No.",$C2061,"4 Item Ledger Entry Type",$C$4,"2 Item No.","@@"&amp;$F2061,"3 Posting Date",Z$9)+NL("Sum","5802 Value Entry","17 Sales Amount (Actual)","41 Source Type",$C$5,"5 Source no.",$C2061,"4 Item Ledger Entry Type",$C$4,"2 Item No.","@@"&amp;$F2061,"3 Posting Date",Z$9)</t>
  </si>
  <si>
    <t>=-NL("Sum","5802 Value Entry","151 Cost Amount (Expected)","41 Source Type",$C$5,"5 Source No.",$C2061,"4 Item Ledger Entry Type",$C$4,"2 Item No.","@@"&amp;$F2061,"3 Posting Date",Z$9)-NL("Sum","5802 Value Entry","43 Cost Amount (Actual)","41 Source Type",$C$5,"5 Source no.",$C2061,"4 Item Ledger Entry Type",$C$4,"2 Item No.","@@"&amp;$F2061,"3 Posting Date",Z$9)</t>
  </si>
  <si>
    <t>=Z2061-AB2061</t>
  </si>
  <si>
    <t>=IF(Z2061&lt;&gt;0,AC2061/Z2061,"")</t>
  </si>
  <si>
    <t>=C2061</t>
  </si>
  <si>
    <t>=NL("Sum","5802 Value Entry","150 Sales Amount (Expected)","41 Source Type",$C$5,"5 Source No.",$C2062,"4 Item Ledger Entry Type",$C$4,"2 Item No.","@@"&amp;$F2062,"3 Posting Date",J$9)+NL("Sum","5802 Value Entry","17 Sales Amount (Actual)","41 Source Type",$C$5,"5 Source no.",$C2062,"4 Item Ledger Entry Type",$C$4,"2 Item No.","@@"&amp;$F2062,"3 Posting Date",J$9)</t>
  </si>
  <si>
    <t>=-NL("Sum","5802 Value Entry","151 Cost Amount (Expected)","41 Source Type",$C$5,"5 Source No.",$C2062,"4 Item Ledger Entry Type",$C$4,"2 Item No.","@@"&amp;$F2062,"3 Posting Date",J$9)-NL("Sum","5802 Value Entry","43 Cost Amount (Actual)","41 Source Type",$C$5,"5 Source no.",$C2062,"4 Item Ledger Entry Type",$C$4,"2 Item No.","@@"&amp;$F2062,"3 Posting Date",J$9)</t>
  </si>
  <si>
    <t>=J2062-L2062</t>
  </si>
  <si>
    <t>=IF(J2062&lt;&gt;0,M2062/J2062,"")</t>
  </si>
  <si>
    <t>=NL("Sum","5802 Value Entry","150 Sales Amount (Expected)","41 Source Type",$C$5,"5 Source No.",$C2062,"4 Item Ledger Entry Type",$C$4,"2 Item No.","@@"&amp;$F2062,"3 Posting Date",O$9)+NL("Sum","5802 Value Entry","17 Sales Amount (Actual)","41 Source Type",$C$5,"5 Source no.",$C2062,"4 Item Ledger Entry Type",$C$4,"2 Item No.","@@"&amp;$F2062,"3 Posting Date",O$9)</t>
  </si>
  <si>
    <t>=-NL("Sum","5802 Value Entry","151 Cost Amount (Expected)","41 Source Type",$C$5,"5 Source No.",$C2062,"4 Item Ledger Entry Type",$C$4,"2 Item No.","@@"&amp;$F2062,"3 Posting Date",O$9)-NL("Sum","5802 Value Entry","43 Cost Amount (Actual)","41 Source Type",$C$5,"5 Source no.",$C2062,"4 Item Ledger Entry Type",$C$4,"2 Item No.","@@"&amp;$F2062,"3 Posting Date",O$9)</t>
  </si>
  <si>
    <t>=O2062-Q2062</t>
  </si>
  <si>
    <t>=IF(O2062&lt;&gt;0,R2062/O2062,"")</t>
  </si>
  <si>
    <t>=NL("Sum","5802 Value Entry","150 Sales Amount (Expected)","41 Source Type",$C$5,"5 Source No.",$C2062,"4 Item Ledger Entry Type",$C$4,"2 Item No.","@@"&amp;$F2062,"3 Posting Date",U$9)+NL("Sum","5802 Value Entry","17 Sales Amount (Actual)","41 Source Type",$C$5,"5 Source no.",$C2062,"4 Item Ledger Entry Type",$C$4,"2 Item No.","@@"&amp;$F2062,"3 Posting Date",U$9)</t>
  </si>
  <si>
    <t>=-NL("Sum","5802 Value Entry","151 Cost Amount (Expected)","41 Source Type",$C$5,"5 Source No.",$C2062,"4 Item Ledger Entry Type",$C$4,"2 Item No.","@@"&amp;$F2062,"3 Posting Date",U$9)-NL("Sum","5802 Value Entry","43 Cost Amount (Actual)","41 Source Type",$C$5,"5 Source no.",$C2062,"4 Item Ledger Entry Type",$C$4,"2 Item No.","@@"&amp;$F2062,"3 Posting Date",U$9)</t>
  </si>
  <si>
    <t>=U2062-W2062</t>
  </si>
  <si>
    <t>=IF(U2062&lt;&gt;0,X2062/U2062,"")</t>
  </si>
  <si>
    <t>=NL("Sum","5802 Value Entry","150 Sales Amount (Expected)","41 Source Type",$C$5,"5 Source No.",$C2062,"4 Item Ledger Entry Type",$C$4,"2 Item No.","@@"&amp;$F2062,"3 Posting Date",Z$9)+NL("Sum","5802 Value Entry","17 Sales Amount (Actual)","41 Source Type",$C$5,"5 Source no.",$C2062,"4 Item Ledger Entry Type",$C$4,"2 Item No.","@@"&amp;$F2062,"3 Posting Date",Z$9)</t>
  </si>
  <si>
    <t>=-NL("Sum","5802 Value Entry","151 Cost Amount (Expected)","41 Source Type",$C$5,"5 Source No.",$C2062,"4 Item Ledger Entry Type",$C$4,"2 Item No.","@@"&amp;$F2062,"3 Posting Date",Z$9)-NL("Sum","5802 Value Entry","43 Cost Amount (Actual)","41 Source Type",$C$5,"5 Source no.",$C2062,"4 Item Ledger Entry Type",$C$4,"2 Item No.","@@"&amp;$F2062,"3 Posting Date",Z$9)</t>
  </si>
  <si>
    <t>=Z2062-AB2062</t>
  </si>
  <si>
    <t>=IF(Z2062&lt;&gt;0,AC2062/Z2062,"")</t>
  </si>
  <si>
    <t>=C2062</t>
  </si>
  <si>
    <t>=NL("Sum","5802 Value Entry","150 Sales Amount (Expected)","41 Source Type",$C$5,"5 Source No.",$C2063,"4 Item Ledger Entry Type",$C$4,"2 Item No.","@@"&amp;$F2063,"3 Posting Date",J$9)+NL("Sum","5802 Value Entry","17 Sales Amount (Actual)","41 Source Type",$C$5,"5 Source no.",$C2063,"4 Item Ledger Entry Type",$C$4,"2 Item No.","@@"&amp;$F2063,"3 Posting Date",J$9)</t>
  </si>
  <si>
    <t>=-NL("Sum","5802 Value Entry","151 Cost Amount (Expected)","41 Source Type",$C$5,"5 Source No.",$C2063,"4 Item Ledger Entry Type",$C$4,"2 Item No.","@@"&amp;$F2063,"3 Posting Date",J$9)-NL("Sum","5802 Value Entry","43 Cost Amount (Actual)","41 Source Type",$C$5,"5 Source no.",$C2063,"4 Item Ledger Entry Type",$C$4,"2 Item No.","@@"&amp;$F2063,"3 Posting Date",J$9)</t>
  </si>
  <si>
    <t>=J2063-L2063</t>
  </si>
  <si>
    <t>=IF(J2063&lt;&gt;0,M2063/J2063,"")</t>
  </si>
  <si>
    <t>=NL("Sum","5802 Value Entry","150 Sales Amount (Expected)","41 Source Type",$C$5,"5 Source No.",$C2063,"4 Item Ledger Entry Type",$C$4,"2 Item No.","@@"&amp;$F2063,"3 Posting Date",O$9)+NL("Sum","5802 Value Entry","17 Sales Amount (Actual)","41 Source Type",$C$5,"5 Source no.",$C2063,"4 Item Ledger Entry Type",$C$4,"2 Item No.","@@"&amp;$F2063,"3 Posting Date",O$9)</t>
  </si>
  <si>
    <t>=-NL("Sum","5802 Value Entry","151 Cost Amount (Expected)","41 Source Type",$C$5,"5 Source No.",$C2063,"4 Item Ledger Entry Type",$C$4,"2 Item No.","@@"&amp;$F2063,"3 Posting Date",O$9)-NL("Sum","5802 Value Entry","43 Cost Amount (Actual)","41 Source Type",$C$5,"5 Source no.",$C2063,"4 Item Ledger Entry Type",$C$4,"2 Item No.","@@"&amp;$F2063,"3 Posting Date",O$9)</t>
  </si>
  <si>
    <t>=O2063-Q2063</t>
  </si>
  <si>
    <t>=IF(O2063&lt;&gt;0,R2063/O2063,"")</t>
  </si>
  <si>
    <t>=NL("Sum","5802 Value Entry","150 Sales Amount (Expected)","41 Source Type",$C$5,"5 Source No.",$C2063,"4 Item Ledger Entry Type",$C$4,"2 Item No.","@@"&amp;$F2063,"3 Posting Date",U$9)+NL("Sum","5802 Value Entry","17 Sales Amount (Actual)","41 Source Type",$C$5,"5 Source no.",$C2063,"4 Item Ledger Entry Type",$C$4,"2 Item No.","@@"&amp;$F2063,"3 Posting Date",U$9)</t>
  </si>
  <si>
    <t>=-NL("Sum","5802 Value Entry","151 Cost Amount (Expected)","41 Source Type",$C$5,"5 Source No.",$C2063,"4 Item Ledger Entry Type",$C$4,"2 Item No.","@@"&amp;$F2063,"3 Posting Date",U$9)-NL("Sum","5802 Value Entry","43 Cost Amount (Actual)","41 Source Type",$C$5,"5 Source no.",$C2063,"4 Item Ledger Entry Type",$C$4,"2 Item No.","@@"&amp;$F2063,"3 Posting Date",U$9)</t>
  </si>
  <si>
    <t>=U2063-W2063</t>
  </si>
  <si>
    <t>=IF(U2063&lt;&gt;0,X2063/U2063,"")</t>
  </si>
  <si>
    <t>=NL("Sum","5802 Value Entry","150 Sales Amount (Expected)","41 Source Type",$C$5,"5 Source No.",$C2063,"4 Item Ledger Entry Type",$C$4,"2 Item No.","@@"&amp;$F2063,"3 Posting Date",Z$9)+NL("Sum","5802 Value Entry","17 Sales Amount (Actual)","41 Source Type",$C$5,"5 Source no.",$C2063,"4 Item Ledger Entry Type",$C$4,"2 Item No.","@@"&amp;$F2063,"3 Posting Date",Z$9)</t>
  </si>
  <si>
    <t>=-NL("Sum","5802 Value Entry","151 Cost Amount (Expected)","41 Source Type",$C$5,"5 Source No.",$C2063,"4 Item Ledger Entry Type",$C$4,"2 Item No.","@@"&amp;$F2063,"3 Posting Date",Z$9)-NL("Sum","5802 Value Entry","43 Cost Amount (Actual)","41 Source Type",$C$5,"5 Source no.",$C2063,"4 Item Ledger Entry Type",$C$4,"2 Item No.","@@"&amp;$F2063,"3 Posting Date",Z$9)</t>
  </si>
  <si>
    <t>=Z2063-AB2063</t>
  </si>
  <si>
    <t>=IF(Z2063&lt;&gt;0,AC2063/Z2063,"")</t>
  </si>
  <si>
    <t>=C2063</t>
  </si>
  <si>
    <t>=NL("Sum","5802 Value Entry","150 Sales Amount (Expected)","41 Source Type",$C$5,"5 Source No.",$C2064,"4 Item Ledger Entry Type",$C$4,"2 Item No.","@@"&amp;$F2064,"3 Posting Date",J$9)+NL("Sum","5802 Value Entry","17 Sales Amount (Actual)","41 Source Type",$C$5,"5 Source no.",$C2064,"4 Item Ledger Entry Type",$C$4,"2 Item No.","@@"&amp;$F2064,"3 Posting Date",J$9)</t>
  </si>
  <si>
    <t>=-NL("Sum","5802 Value Entry","151 Cost Amount (Expected)","41 Source Type",$C$5,"5 Source No.",$C2064,"4 Item Ledger Entry Type",$C$4,"2 Item No.","@@"&amp;$F2064,"3 Posting Date",J$9)-NL("Sum","5802 Value Entry","43 Cost Amount (Actual)","41 Source Type",$C$5,"5 Source no.",$C2064,"4 Item Ledger Entry Type",$C$4,"2 Item No.","@@"&amp;$F2064,"3 Posting Date",J$9)</t>
  </si>
  <si>
    <t>=J2064-L2064</t>
  </si>
  <si>
    <t>=IF(J2064&lt;&gt;0,M2064/J2064,"")</t>
  </si>
  <si>
    <t>=NL("Sum","5802 Value Entry","150 Sales Amount (Expected)","41 Source Type",$C$5,"5 Source No.",$C2064,"4 Item Ledger Entry Type",$C$4,"2 Item No.","@@"&amp;$F2064,"3 Posting Date",O$9)+NL("Sum","5802 Value Entry","17 Sales Amount (Actual)","41 Source Type",$C$5,"5 Source no.",$C2064,"4 Item Ledger Entry Type",$C$4,"2 Item No.","@@"&amp;$F2064,"3 Posting Date",O$9)</t>
  </si>
  <si>
    <t>=-NL("Sum","5802 Value Entry","151 Cost Amount (Expected)","41 Source Type",$C$5,"5 Source No.",$C2064,"4 Item Ledger Entry Type",$C$4,"2 Item No.","@@"&amp;$F2064,"3 Posting Date",O$9)-NL("Sum","5802 Value Entry","43 Cost Amount (Actual)","41 Source Type",$C$5,"5 Source no.",$C2064,"4 Item Ledger Entry Type",$C$4,"2 Item No.","@@"&amp;$F2064,"3 Posting Date",O$9)</t>
  </si>
  <si>
    <t>=O2064-Q2064</t>
  </si>
  <si>
    <t>=IF(O2064&lt;&gt;0,R2064/O2064,"")</t>
  </si>
  <si>
    <t>=NL("Sum","5802 Value Entry","150 Sales Amount (Expected)","41 Source Type",$C$5,"5 Source No.",$C2064,"4 Item Ledger Entry Type",$C$4,"2 Item No.","@@"&amp;$F2064,"3 Posting Date",U$9)+NL("Sum","5802 Value Entry","17 Sales Amount (Actual)","41 Source Type",$C$5,"5 Source no.",$C2064,"4 Item Ledger Entry Type",$C$4,"2 Item No.","@@"&amp;$F2064,"3 Posting Date",U$9)</t>
  </si>
  <si>
    <t>=-NL("Sum","5802 Value Entry","151 Cost Amount (Expected)","41 Source Type",$C$5,"5 Source No.",$C2064,"4 Item Ledger Entry Type",$C$4,"2 Item No.","@@"&amp;$F2064,"3 Posting Date",U$9)-NL("Sum","5802 Value Entry","43 Cost Amount (Actual)","41 Source Type",$C$5,"5 Source no.",$C2064,"4 Item Ledger Entry Type",$C$4,"2 Item No.","@@"&amp;$F2064,"3 Posting Date",U$9)</t>
  </si>
  <si>
    <t>=U2064-W2064</t>
  </si>
  <si>
    <t>=IF(U2064&lt;&gt;0,X2064/U2064,"")</t>
  </si>
  <si>
    <t>=NL("Sum","5802 Value Entry","150 Sales Amount (Expected)","41 Source Type",$C$5,"5 Source No.",$C2064,"4 Item Ledger Entry Type",$C$4,"2 Item No.","@@"&amp;$F2064,"3 Posting Date",Z$9)+NL("Sum","5802 Value Entry","17 Sales Amount (Actual)","41 Source Type",$C$5,"5 Source no.",$C2064,"4 Item Ledger Entry Type",$C$4,"2 Item No.","@@"&amp;$F2064,"3 Posting Date",Z$9)</t>
  </si>
  <si>
    <t>=-NL("Sum","5802 Value Entry","151 Cost Amount (Expected)","41 Source Type",$C$5,"5 Source No.",$C2064,"4 Item Ledger Entry Type",$C$4,"2 Item No.","@@"&amp;$F2064,"3 Posting Date",Z$9)-NL("Sum","5802 Value Entry","43 Cost Amount (Actual)","41 Source Type",$C$5,"5 Source no.",$C2064,"4 Item Ledger Entry Type",$C$4,"2 Item No.","@@"&amp;$F2064,"3 Posting Date",Z$9)</t>
  </si>
  <si>
    <t>=Z2064-AB2064</t>
  </si>
  <si>
    <t>=IF(Z2064&lt;&gt;0,AC2064/Z2064,"")</t>
  </si>
  <si>
    <t>=C2064</t>
  </si>
  <si>
    <t>=NL("Sum","5802 Value Entry","150 Sales Amount (Expected)","41 Source Type",$C$5,"5 Source No.",$C2065,"4 Item Ledger Entry Type",$C$4,"2 Item No.","@@"&amp;$F2065,"3 Posting Date",J$9)+NL("Sum","5802 Value Entry","17 Sales Amount (Actual)","41 Source Type",$C$5,"5 Source no.",$C2065,"4 Item Ledger Entry Type",$C$4,"2 Item No.","@@"&amp;$F2065,"3 Posting Date",J$9)</t>
  </si>
  <si>
    <t>=-NL("Sum","5802 Value Entry","151 Cost Amount (Expected)","41 Source Type",$C$5,"5 Source No.",$C2065,"4 Item Ledger Entry Type",$C$4,"2 Item No.","@@"&amp;$F2065,"3 Posting Date",J$9)-NL("Sum","5802 Value Entry","43 Cost Amount (Actual)","41 Source Type",$C$5,"5 Source no.",$C2065,"4 Item Ledger Entry Type",$C$4,"2 Item No.","@@"&amp;$F2065,"3 Posting Date",J$9)</t>
  </si>
  <si>
    <t>=J2065-L2065</t>
  </si>
  <si>
    <t>=IF(J2065&lt;&gt;0,M2065/J2065,"")</t>
  </si>
  <si>
    <t>=NL("Sum","5802 Value Entry","150 Sales Amount (Expected)","41 Source Type",$C$5,"5 Source No.",$C2065,"4 Item Ledger Entry Type",$C$4,"2 Item No.","@@"&amp;$F2065,"3 Posting Date",O$9)+NL("Sum","5802 Value Entry","17 Sales Amount (Actual)","41 Source Type",$C$5,"5 Source no.",$C2065,"4 Item Ledger Entry Type",$C$4,"2 Item No.","@@"&amp;$F2065,"3 Posting Date",O$9)</t>
  </si>
  <si>
    <t>=-NL("Sum","5802 Value Entry","151 Cost Amount (Expected)","41 Source Type",$C$5,"5 Source No.",$C2065,"4 Item Ledger Entry Type",$C$4,"2 Item No.","@@"&amp;$F2065,"3 Posting Date",O$9)-NL("Sum","5802 Value Entry","43 Cost Amount (Actual)","41 Source Type",$C$5,"5 Source no.",$C2065,"4 Item Ledger Entry Type",$C$4,"2 Item No.","@@"&amp;$F2065,"3 Posting Date",O$9)</t>
  </si>
  <si>
    <t>=O2065-Q2065</t>
  </si>
  <si>
    <t>=IF(O2065&lt;&gt;0,R2065/O2065,"")</t>
  </si>
  <si>
    <t>=NL("Sum","5802 Value Entry","150 Sales Amount (Expected)","41 Source Type",$C$5,"5 Source No.",$C2065,"4 Item Ledger Entry Type",$C$4,"2 Item No.","@@"&amp;$F2065,"3 Posting Date",U$9)+NL("Sum","5802 Value Entry","17 Sales Amount (Actual)","41 Source Type",$C$5,"5 Source no.",$C2065,"4 Item Ledger Entry Type",$C$4,"2 Item No.","@@"&amp;$F2065,"3 Posting Date",U$9)</t>
  </si>
  <si>
    <t>=-NL("Sum","5802 Value Entry","151 Cost Amount (Expected)","41 Source Type",$C$5,"5 Source No.",$C2065,"4 Item Ledger Entry Type",$C$4,"2 Item No.","@@"&amp;$F2065,"3 Posting Date",U$9)-NL("Sum","5802 Value Entry","43 Cost Amount (Actual)","41 Source Type",$C$5,"5 Source no.",$C2065,"4 Item Ledger Entry Type",$C$4,"2 Item No.","@@"&amp;$F2065,"3 Posting Date",U$9)</t>
  </si>
  <si>
    <t>=U2065-W2065</t>
  </si>
  <si>
    <t>=IF(U2065&lt;&gt;0,X2065/U2065,"")</t>
  </si>
  <si>
    <t>=NL("Sum","5802 Value Entry","150 Sales Amount (Expected)","41 Source Type",$C$5,"5 Source No.",$C2065,"4 Item Ledger Entry Type",$C$4,"2 Item No.","@@"&amp;$F2065,"3 Posting Date",Z$9)+NL("Sum","5802 Value Entry","17 Sales Amount (Actual)","41 Source Type",$C$5,"5 Source no.",$C2065,"4 Item Ledger Entry Type",$C$4,"2 Item No.","@@"&amp;$F2065,"3 Posting Date",Z$9)</t>
  </si>
  <si>
    <t>=-NL("Sum","5802 Value Entry","151 Cost Amount (Expected)","41 Source Type",$C$5,"5 Source No.",$C2065,"4 Item Ledger Entry Type",$C$4,"2 Item No.","@@"&amp;$F2065,"3 Posting Date",Z$9)-NL("Sum","5802 Value Entry","43 Cost Amount (Actual)","41 Source Type",$C$5,"5 Source no.",$C2065,"4 Item Ledger Entry Type",$C$4,"2 Item No.","@@"&amp;$F2065,"3 Posting Date",Z$9)</t>
  </si>
  <si>
    <t>=Z2065-AB2065</t>
  </si>
  <si>
    <t>=IF(Z2065&lt;&gt;0,AC2065/Z2065,"")</t>
  </si>
  <si>
    <t>=C2065</t>
  </si>
  <si>
    <t>=NL("Sum","5802 Value Entry","150 Sales Amount (Expected)","41 Source Type",$C$5,"5 Source No.",$C2066,"4 Item Ledger Entry Type",$C$4,"2 Item No.","@@"&amp;$F2066,"3 Posting Date",J$9)+NL("Sum","5802 Value Entry","17 Sales Amount (Actual)","41 Source Type",$C$5,"5 Source no.",$C2066,"4 Item Ledger Entry Type",$C$4,"2 Item No.","@@"&amp;$F2066,"3 Posting Date",J$9)</t>
  </si>
  <si>
    <t>=-NL("Sum","5802 Value Entry","151 Cost Amount (Expected)","41 Source Type",$C$5,"5 Source No.",$C2066,"4 Item Ledger Entry Type",$C$4,"2 Item No.","@@"&amp;$F2066,"3 Posting Date",J$9)-NL("Sum","5802 Value Entry","43 Cost Amount (Actual)","41 Source Type",$C$5,"5 Source no.",$C2066,"4 Item Ledger Entry Type",$C$4,"2 Item No.","@@"&amp;$F2066,"3 Posting Date",J$9)</t>
  </si>
  <si>
    <t>=J2066-L2066</t>
  </si>
  <si>
    <t>=IF(J2066&lt;&gt;0,M2066/J2066,"")</t>
  </si>
  <si>
    <t>=NL("Sum","5802 Value Entry","150 Sales Amount (Expected)","41 Source Type",$C$5,"5 Source No.",$C2066,"4 Item Ledger Entry Type",$C$4,"2 Item No.","@@"&amp;$F2066,"3 Posting Date",O$9)+NL("Sum","5802 Value Entry","17 Sales Amount (Actual)","41 Source Type",$C$5,"5 Source no.",$C2066,"4 Item Ledger Entry Type",$C$4,"2 Item No.","@@"&amp;$F2066,"3 Posting Date",O$9)</t>
  </si>
  <si>
    <t>=-NL("Sum","5802 Value Entry","151 Cost Amount (Expected)","41 Source Type",$C$5,"5 Source No.",$C2066,"4 Item Ledger Entry Type",$C$4,"2 Item No.","@@"&amp;$F2066,"3 Posting Date",O$9)-NL("Sum","5802 Value Entry","43 Cost Amount (Actual)","41 Source Type",$C$5,"5 Source no.",$C2066,"4 Item Ledger Entry Type",$C$4,"2 Item No.","@@"&amp;$F2066,"3 Posting Date",O$9)</t>
  </si>
  <si>
    <t>=O2066-Q2066</t>
  </si>
  <si>
    <t>=IF(O2066&lt;&gt;0,R2066/O2066,"")</t>
  </si>
  <si>
    <t>=NL("Sum","5802 Value Entry","150 Sales Amount (Expected)","41 Source Type",$C$5,"5 Source No.",$C2066,"4 Item Ledger Entry Type",$C$4,"2 Item No.","@@"&amp;$F2066,"3 Posting Date",U$9)+NL("Sum","5802 Value Entry","17 Sales Amount (Actual)","41 Source Type",$C$5,"5 Source no.",$C2066,"4 Item Ledger Entry Type",$C$4,"2 Item No.","@@"&amp;$F2066,"3 Posting Date",U$9)</t>
  </si>
  <si>
    <t>=-NL("Sum","5802 Value Entry","151 Cost Amount (Expected)","41 Source Type",$C$5,"5 Source No.",$C2066,"4 Item Ledger Entry Type",$C$4,"2 Item No.","@@"&amp;$F2066,"3 Posting Date",U$9)-NL("Sum","5802 Value Entry","43 Cost Amount (Actual)","41 Source Type",$C$5,"5 Source no.",$C2066,"4 Item Ledger Entry Type",$C$4,"2 Item No.","@@"&amp;$F2066,"3 Posting Date",U$9)</t>
  </si>
  <si>
    <t>=U2066-W2066</t>
  </si>
  <si>
    <t>=IF(U2066&lt;&gt;0,X2066/U2066,"")</t>
  </si>
  <si>
    <t>=NL("Sum","5802 Value Entry","150 Sales Amount (Expected)","41 Source Type",$C$5,"5 Source No.",$C2066,"4 Item Ledger Entry Type",$C$4,"2 Item No.","@@"&amp;$F2066,"3 Posting Date",Z$9)+NL("Sum","5802 Value Entry","17 Sales Amount (Actual)","41 Source Type",$C$5,"5 Source no.",$C2066,"4 Item Ledger Entry Type",$C$4,"2 Item No.","@@"&amp;$F2066,"3 Posting Date",Z$9)</t>
  </si>
  <si>
    <t>=-NL("Sum","5802 Value Entry","151 Cost Amount (Expected)","41 Source Type",$C$5,"5 Source No.",$C2066,"4 Item Ledger Entry Type",$C$4,"2 Item No.","@@"&amp;$F2066,"3 Posting Date",Z$9)-NL("Sum","5802 Value Entry","43 Cost Amount (Actual)","41 Source Type",$C$5,"5 Source no.",$C2066,"4 Item Ledger Entry Type",$C$4,"2 Item No.","@@"&amp;$F2066,"3 Posting Date",Z$9)</t>
  </si>
  <si>
    <t>=Z2066-AB2066</t>
  </si>
  <si>
    <t>=IF(Z2066&lt;&gt;0,AC2066/Z2066,"")</t>
  </si>
  <si>
    <t>=C2066</t>
  </si>
  <si>
    <t>=NL("Sum","5802 Value Entry","150 Sales Amount (Expected)","41 Source Type",$C$5,"5 Source No.",$C2067,"4 Item Ledger Entry Type",$C$4,"2 Item No.","@@"&amp;$F2067,"3 Posting Date",J$9)+NL("Sum","5802 Value Entry","17 Sales Amount (Actual)","41 Source Type",$C$5,"5 Source no.",$C2067,"4 Item Ledger Entry Type",$C$4,"2 Item No.","@@"&amp;$F2067,"3 Posting Date",J$9)</t>
  </si>
  <si>
    <t>=-NL("Sum","5802 Value Entry","151 Cost Amount (Expected)","41 Source Type",$C$5,"5 Source No.",$C2067,"4 Item Ledger Entry Type",$C$4,"2 Item No.","@@"&amp;$F2067,"3 Posting Date",J$9)-NL("Sum","5802 Value Entry","43 Cost Amount (Actual)","41 Source Type",$C$5,"5 Source no.",$C2067,"4 Item Ledger Entry Type",$C$4,"2 Item No.","@@"&amp;$F2067,"3 Posting Date",J$9)</t>
  </si>
  <si>
    <t>=J2067-L2067</t>
  </si>
  <si>
    <t>=IF(J2067&lt;&gt;0,M2067/J2067,"")</t>
  </si>
  <si>
    <t>=NL("Sum","5802 Value Entry","150 Sales Amount (Expected)","41 Source Type",$C$5,"5 Source No.",$C2067,"4 Item Ledger Entry Type",$C$4,"2 Item No.","@@"&amp;$F2067,"3 Posting Date",O$9)+NL("Sum","5802 Value Entry","17 Sales Amount (Actual)","41 Source Type",$C$5,"5 Source no.",$C2067,"4 Item Ledger Entry Type",$C$4,"2 Item No.","@@"&amp;$F2067,"3 Posting Date",O$9)</t>
  </si>
  <si>
    <t>=-NL("Sum","5802 Value Entry","151 Cost Amount (Expected)","41 Source Type",$C$5,"5 Source No.",$C2067,"4 Item Ledger Entry Type",$C$4,"2 Item No.","@@"&amp;$F2067,"3 Posting Date",O$9)-NL("Sum","5802 Value Entry","43 Cost Amount (Actual)","41 Source Type",$C$5,"5 Source no.",$C2067,"4 Item Ledger Entry Type",$C$4,"2 Item No.","@@"&amp;$F2067,"3 Posting Date",O$9)</t>
  </si>
  <si>
    <t>=O2067-Q2067</t>
  </si>
  <si>
    <t>=IF(O2067&lt;&gt;0,R2067/O2067,"")</t>
  </si>
  <si>
    <t>=NL("Sum","5802 Value Entry","150 Sales Amount (Expected)","41 Source Type",$C$5,"5 Source No.",$C2067,"4 Item Ledger Entry Type",$C$4,"2 Item No.","@@"&amp;$F2067,"3 Posting Date",U$9)+NL("Sum","5802 Value Entry","17 Sales Amount (Actual)","41 Source Type",$C$5,"5 Source no.",$C2067,"4 Item Ledger Entry Type",$C$4,"2 Item No.","@@"&amp;$F2067,"3 Posting Date",U$9)</t>
  </si>
  <si>
    <t>=-NL("Sum","5802 Value Entry","151 Cost Amount (Expected)","41 Source Type",$C$5,"5 Source No.",$C2067,"4 Item Ledger Entry Type",$C$4,"2 Item No.","@@"&amp;$F2067,"3 Posting Date",U$9)-NL("Sum","5802 Value Entry","43 Cost Amount (Actual)","41 Source Type",$C$5,"5 Source no.",$C2067,"4 Item Ledger Entry Type",$C$4,"2 Item No.","@@"&amp;$F2067,"3 Posting Date",U$9)</t>
  </si>
  <si>
    <t>=U2067-W2067</t>
  </si>
  <si>
    <t>=IF(U2067&lt;&gt;0,X2067/U2067,"")</t>
  </si>
  <si>
    <t>=NL("Sum","5802 Value Entry","150 Sales Amount (Expected)","41 Source Type",$C$5,"5 Source No.",$C2067,"4 Item Ledger Entry Type",$C$4,"2 Item No.","@@"&amp;$F2067,"3 Posting Date",Z$9)+NL("Sum","5802 Value Entry","17 Sales Amount (Actual)","41 Source Type",$C$5,"5 Source no.",$C2067,"4 Item Ledger Entry Type",$C$4,"2 Item No.","@@"&amp;$F2067,"3 Posting Date",Z$9)</t>
  </si>
  <si>
    <t>=-NL("Sum","5802 Value Entry","151 Cost Amount (Expected)","41 Source Type",$C$5,"5 Source No.",$C2067,"4 Item Ledger Entry Type",$C$4,"2 Item No.","@@"&amp;$F2067,"3 Posting Date",Z$9)-NL("Sum","5802 Value Entry","43 Cost Amount (Actual)","41 Source Type",$C$5,"5 Source no.",$C2067,"4 Item Ledger Entry Type",$C$4,"2 Item No.","@@"&amp;$F2067,"3 Posting Date",Z$9)</t>
  </si>
  <si>
    <t>=Z2067-AB2067</t>
  </si>
  <si>
    <t>=IF(Z2067&lt;&gt;0,AC2067/Z2067,"")</t>
  </si>
  <si>
    <t>=C2067</t>
  </si>
  <si>
    <t>=NL("Sum","5802 Value Entry","150 Sales Amount (Expected)","41 Source Type",$C$5,"5 Source No.",$C2068,"4 Item Ledger Entry Type",$C$4,"2 Item No.","@@"&amp;$F2068,"3 Posting Date",J$9)+NL("Sum","5802 Value Entry","17 Sales Amount (Actual)","41 Source Type",$C$5,"5 Source no.",$C2068,"4 Item Ledger Entry Type",$C$4,"2 Item No.","@@"&amp;$F2068,"3 Posting Date",J$9)</t>
  </si>
  <si>
    <t>=-NL("Sum","5802 Value Entry","151 Cost Amount (Expected)","41 Source Type",$C$5,"5 Source No.",$C2068,"4 Item Ledger Entry Type",$C$4,"2 Item No.","@@"&amp;$F2068,"3 Posting Date",J$9)-NL("Sum","5802 Value Entry","43 Cost Amount (Actual)","41 Source Type",$C$5,"5 Source no.",$C2068,"4 Item Ledger Entry Type",$C$4,"2 Item No.","@@"&amp;$F2068,"3 Posting Date",J$9)</t>
  </si>
  <si>
    <t>=J2068-L2068</t>
  </si>
  <si>
    <t>=IF(J2068&lt;&gt;0,M2068/J2068,"")</t>
  </si>
  <si>
    <t>=NL("Sum","5802 Value Entry","150 Sales Amount (Expected)","41 Source Type",$C$5,"5 Source No.",$C2068,"4 Item Ledger Entry Type",$C$4,"2 Item No.","@@"&amp;$F2068,"3 Posting Date",O$9)+NL("Sum","5802 Value Entry","17 Sales Amount (Actual)","41 Source Type",$C$5,"5 Source no.",$C2068,"4 Item Ledger Entry Type",$C$4,"2 Item No.","@@"&amp;$F2068,"3 Posting Date",O$9)</t>
  </si>
  <si>
    <t>=-NL("Sum","5802 Value Entry","151 Cost Amount (Expected)","41 Source Type",$C$5,"5 Source No.",$C2068,"4 Item Ledger Entry Type",$C$4,"2 Item No.","@@"&amp;$F2068,"3 Posting Date",O$9)-NL("Sum","5802 Value Entry","43 Cost Amount (Actual)","41 Source Type",$C$5,"5 Source no.",$C2068,"4 Item Ledger Entry Type",$C$4,"2 Item No.","@@"&amp;$F2068,"3 Posting Date",O$9)</t>
  </si>
  <si>
    <t>=O2068-Q2068</t>
  </si>
  <si>
    <t>=IF(O2068&lt;&gt;0,R2068/O2068,"")</t>
  </si>
  <si>
    <t>=NL("Sum","5802 Value Entry","150 Sales Amount (Expected)","41 Source Type",$C$5,"5 Source No.",$C2068,"4 Item Ledger Entry Type",$C$4,"2 Item No.","@@"&amp;$F2068,"3 Posting Date",U$9)+NL("Sum","5802 Value Entry","17 Sales Amount (Actual)","41 Source Type",$C$5,"5 Source no.",$C2068,"4 Item Ledger Entry Type",$C$4,"2 Item No.","@@"&amp;$F2068,"3 Posting Date",U$9)</t>
  </si>
  <si>
    <t>=-NL("Sum","5802 Value Entry","151 Cost Amount (Expected)","41 Source Type",$C$5,"5 Source No.",$C2068,"4 Item Ledger Entry Type",$C$4,"2 Item No.","@@"&amp;$F2068,"3 Posting Date",U$9)-NL("Sum","5802 Value Entry","43 Cost Amount (Actual)","41 Source Type",$C$5,"5 Source no.",$C2068,"4 Item Ledger Entry Type",$C$4,"2 Item No.","@@"&amp;$F2068,"3 Posting Date",U$9)</t>
  </si>
  <si>
    <t>=U2068-W2068</t>
  </si>
  <si>
    <t>=IF(U2068&lt;&gt;0,X2068/U2068,"")</t>
  </si>
  <si>
    <t>=NL("Sum","5802 Value Entry","150 Sales Amount (Expected)","41 Source Type",$C$5,"5 Source No.",$C2068,"4 Item Ledger Entry Type",$C$4,"2 Item No.","@@"&amp;$F2068,"3 Posting Date",Z$9)+NL("Sum","5802 Value Entry","17 Sales Amount (Actual)","41 Source Type",$C$5,"5 Source no.",$C2068,"4 Item Ledger Entry Type",$C$4,"2 Item No.","@@"&amp;$F2068,"3 Posting Date",Z$9)</t>
  </si>
  <si>
    <t>=-NL("Sum","5802 Value Entry","151 Cost Amount (Expected)","41 Source Type",$C$5,"5 Source No.",$C2068,"4 Item Ledger Entry Type",$C$4,"2 Item No.","@@"&amp;$F2068,"3 Posting Date",Z$9)-NL("Sum","5802 Value Entry","43 Cost Amount (Actual)","41 Source Type",$C$5,"5 Source no.",$C2068,"4 Item Ledger Entry Type",$C$4,"2 Item No.","@@"&amp;$F2068,"3 Posting Date",Z$9)</t>
  </si>
  <si>
    <t>=Z2068-AB2068</t>
  </si>
  <si>
    <t>=IF(Z2068&lt;&gt;0,AC2068/Z2068,"")</t>
  </si>
  <si>
    <t>=C2068</t>
  </si>
  <si>
    <t>=NL("Sum","5802 Value Entry","150 Sales Amount (Expected)","41 Source Type",$C$5,"5 Source No.",$C2069,"4 Item Ledger Entry Type",$C$4,"2 Item No.","@@"&amp;$F2069,"3 Posting Date",J$9)+NL("Sum","5802 Value Entry","17 Sales Amount (Actual)","41 Source Type",$C$5,"5 Source no.",$C2069,"4 Item Ledger Entry Type",$C$4,"2 Item No.","@@"&amp;$F2069,"3 Posting Date",J$9)</t>
  </si>
  <si>
    <t>=-NL("Sum","5802 Value Entry","151 Cost Amount (Expected)","41 Source Type",$C$5,"5 Source No.",$C2069,"4 Item Ledger Entry Type",$C$4,"2 Item No.","@@"&amp;$F2069,"3 Posting Date",J$9)-NL("Sum","5802 Value Entry","43 Cost Amount (Actual)","41 Source Type",$C$5,"5 Source no.",$C2069,"4 Item Ledger Entry Type",$C$4,"2 Item No.","@@"&amp;$F2069,"3 Posting Date",J$9)</t>
  </si>
  <si>
    <t>=J2069-L2069</t>
  </si>
  <si>
    <t>=IF(J2069&lt;&gt;0,M2069/J2069,"")</t>
  </si>
  <si>
    <t>=NL("Sum","5802 Value Entry","150 Sales Amount (Expected)","41 Source Type",$C$5,"5 Source No.",$C2069,"4 Item Ledger Entry Type",$C$4,"2 Item No.","@@"&amp;$F2069,"3 Posting Date",O$9)+NL("Sum","5802 Value Entry","17 Sales Amount (Actual)","41 Source Type",$C$5,"5 Source no.",$C2069,"4 Item Ledger Entry Type",$C$4,"2 Item No.","@@"&amp;$F2069,"3 Posting Date",O$9)</t>
  </si>
  <si>
    <t>=-NL("Sum","5802 Value Entry","151 Cost Amount (Expected)","41 Source Type",$C$5,"5 Source No.",$C2069,"4 Item Ledger Entry Type",$C$4,"2 Item No.","@@"&amp;$F2069,"3 Posting Date",O$9)-NL("Sum","5802 Value Entry","43 Cost Amount (Actual)","41 Source Type",$C$5,"5 Source no.",$C2069,"4 Item Ledger Entry Type",$C$4,"2 Item No.","@@"&amp;$F2069,"3 Posting Date",O$9)</t>
  </si>
  <si>
    <t>=O2069-Q2069</t>
  </si>
  <si>
    <t>=IF(O2069&lt;&gt;0,R2069/O2069,"")</t>
  </si>
  <si>
    <t>=NL("Sum","5802 Value Entry","150 Sales Amount (Expected)","41 Source Type",$C$5,"5 Source No.",$C2069,"4 Item Ledger Entry Type",$C$4,"2 Item No.","@@"&amp;$F2069,"3 Posting Date",U$9)+NL("Sum","5802 Value Entry","17 Sales Amount (Actual)","41 Source Type",$C$5,"5 Source no.",$C2069,"4 Item Ledger Entry Type",$C$4,"2 Item No.","@@"&amp;$F2069,"3 Posting Date",U$9)</t>
  </si>
  <si>
    <t>=-NL("Sum","5802 Value Entry","151 Cost Amount (Expected)","41 Source Type",$C$5,"5 Source No.",$C2069,"4 Item Ledger Entry Type",$C$4,"2 Item No.","@@"&amp;$F2069,"3 Posting Date",U$9)-NL("Sum","5802 Value Entry","43 Cost Amount (Actual)","41 Source Type",$C$5,"5 Source no.",$C2069,"4 Item Ledger Entry Type",$C$4,"2 Item No.","@@"&amp;$F2069,"3 Posting Date",U$9)</t>
  </si>
  <si>
    <t>=U2069-W2069</t>
  </si>
  <si>
    <t>=IF(U2069&lt;&gt;0,X2069/U2069,"")</t>
  </si>
  <si>
    <t>=NL("Sum","5802 Value Entry","150 Sales Amount (Expected)","41 Source Type",$C$5,"5 Source No.",$C2069,"4 Item Ledger Entry Type",$C$4,"2 Item No.","@@"&amp;$F2069,"3 Posting Date",Z$9)+NL("Sum","5802 Value Entry","17 Sales Amount (Actual)","41 Source Type",$C$5,"5 Source no.",$C2069,"4 Item Ledger Entry Type",$C$4,"2 Item No.","@@"&amp;$F2069,"3 Posting Date",Z$9)</t>
  </si>
  <si>
    <t>=-NL("Sum","5802 Value Entry","151 Cost Amount (Expected)","41 Source Type",$C$5,"5 Source No.",$C2069,"4 Item Ledger Entry Type",$C$4,"2 Item No.","@@"&amp;$F2069,"3 Posting Date",Z$9)-NL("Sum","5802 Value Entry","43 Cost Amount (Actual)","41 Source Type",$C$5,"5 Source no.",$C2069,"4 Item Ledger Entry Type",$C$4,"2 Item No.","@@"&amp;$F2069,"3 Posting Date",Z$9)</t>
  </si>
  <si>
    <t>=Z2069-AB2069</t>
  </si>
  <si>
    <t>=IF(Z2069&lt;&gt;0,AC2069/Z2069,"")</t>
  </si>
  <si>
    <t>=C2069</t>
  </si>
  <si>
    <t>=NL("Sum","5802 Value Entry","150 Sales Amount (Expected)","41 Source Type",$C$5,"5 Source No.",$C2070,"4 Item Ledger Entry Type",$C$4,"2 Item No.","@@"&amp;$F2070,"3 Posting Date",J$9)+NL("Sum","5802 Value Entry","17 Sales Amount (Actual)","41 Source Type",$C$5,"5 Source no.",$C2070,"4 Item Ledger Entry Type",$C$4,"2 Item No.","@@"&amp;$F2070,"3 Posting Date",J$9)</t>
  </si>
  <si>
    <t>=-NL("Sum","5802 Value Entry","151 Cost Amount (Expected)","41 Source Type",$C$5,"5 Source No.",$C2070,"4 Item Ledger Entry Type",$C$4,"2 Item No.","@@"&amp;$F2070,"3 Posting Date",J$9)-NL("Sum","5802 Value Entry","43 Cost Amount (Actual)","41 Source Type",$C$5,"5 Source no.",$C2070,"4 Item Ledger Entry Type",$C$4,"2 Item No.","@@"&amp;$F2070,"3 Posting Date",J$9)</t>
  </si>
  <si>
    <t>=J2070-L2070</t>
  </si>
  <si>
    <t>=IF(J2070&lt;&gt;0,M2070/J2070,"")</t>
  </si>
  <si>
    <t>=NL("Sum","5802 Value Entry","150 Sales Amount (Expected)","41 Source Type",$C$5,"5 Source No.",$C2070,"4 Item Ledger Entry Type",$C$4,"2 Item No.","@@"&amp;$F2070,"3 Posting Date",O$9)+NL("Sum","5802 Value Entry","17 Sales Amount (Actual)","41 Source Type",$C$5,"5 Source no.",$C2070,"4 Item Ledger Entry Type",$C$4,"2 Item No.","@@"&amp;$F2070,"3 Posting Date",O$9)</t>
  </si>
  <si>
    <t>=-NL("Sum","5802 Value Entry","151 Cost Amount (Expected)","41 Source Type",$C$5,"5 Source No.",$C2070,"4 Item Ledger Entry Type",$C$4,"2 Item No.","@@"&amp;$F2070,"3 Posting Date",O$9)-NL("Sum","5802 Value Entry","43 Cost Amount (Actual)","41 Source Type",$C$5,"5 Source no.",$C2070,"4 Item Ledger Entry Type",$C$4,"2 Item No.","@@"&amp;$F2070,"3 Posting Date",O$9)</t>
  </si>
  <si>
    <t>=O2070-Q2070</t>
  </si>
  <si>
    <t>=IF(O2070&lt;&gt;0,R2070/O2070,"")</t>
  </si>
  <si>
    <t>=NL("Sum","5802 Value Entry","150 Sales Amount (Expected)","41 Source Type",$C$5,"5 Source No.",$C2070,"4 Item Ledger Entry Type",$C$4,"2 Item No.","@@"&amp;$F2070,"3 Posting Date",U$9)+NL("Sum","5802 Value Entry","17 Sales Amount (Actual)","41 Source Type",$C$5,"5 Source no.",$C2070,"4 Item Ledger Entry Type",$C$4,"2 Item No.","@@"&amp;$F2070,"3 Posting Date",U$9)</t>
  </si>
  <si>
    <t>=-NL("Sum","5802 Value Entry","151 Cost Amount (Expected)","41 Source Type",$C$5,"5 Source No.",$C2070,"4 Item Ledger Entry Type",$C$4,"2 Item No.","@@"&amp;$F2070,"3 Posting Date",U$9)-NL("Sum","5802 Value Entry","43 Cost Amount (Actual)","41 Source Type",$C$5,"5 Source no.",$C2070,"4 Item Ledger Entry Type",$C$4,"2 Item No.","@@"&amp;$F2070,"3 Posting Date",U$9)</t>
  </si>
  <si>
    <t>=U2070-W2070</t>
  </si>
  <si>
    <t>=IF(U2070&lt;&gt;0,X2070/U2070,"")</t>
  </si>
  <si>
    <t>=NL("Sum","5802 Value Entry","150 Sales Amount (Expected)","41 Source Type",$C$5,"5 Source No.",$C2070,"4 Item Ledger Entry Type",$C$4,"2 Item No.","@@"&amp;$F2070,"3 Posting Date",Z$9)+NL("Sum","5802 Value Entry","17 Sales Amount (Actual)","41 Source Type",$C$5,"5 Source no.",$C2070,"4 Item Ledger Entry Type",$C$4,"2 Item No.","@@"&amp;$F2070,"3 Posting Date",Z$9)</t>
  </si>
  <si>
    <t>=-NL("Sum","5802 Value Entry","151 Cost Amount (Expected)","41 Source Type",$C$5,"5 Source No.",$C2070,"4 Item Ledger Entry Type",$C$4,"2 Item No.","@@"&amp;$F2070,"3 Posting Date",Z$9)-NL("Sum","5802 Value Entry","43 Cost Amount (Actual)","41 Source Type",$C$5,"5 Source no.",$C2070,"4 Item Ledger Entry Type",$C$4,"2 Item No.","@@"&amp;$F2070,"3 Posting Date",Z$9)</t>
  </si>
  <si>
    <t>=Z2070-AB2070</t>
  </si>
  <si>
    <t>=IF(Z2070&lt;&gt;0,AC2070/Z2070,"")</t>
  </si>
  <si>
    <t>=C2070</t>
  </si>
  <si>
    <t>=NL("Sum","5802 Value Entry","150 Sales Amount (Expected)","41 Source Type",$C$5,"5 Source No.",$C2071,"4 Item Ledger Entry Type",$C$4,"2 Item No.","@@"&amp;$F2071,"3 Posting Date",J$9)+NL("Sum","5802 Value Entry","17 Sales Amount (Actual)","41 Source Type",$C$5,"5 Source no.",$C2071,"4 Item Ledger Entry Type",$C$4,"2 Item No.","@@"&amp;$F2071,"3 Posting Date",J$9)</t>
  </si>
  <si>
    <t>=-NL("Sum","5802 Value Entry","151 Cost Amount (Expected)","41 Source Type",$C$5,"5 Source No.",$C2071,"4 Item Ledger Entry Type",$C$4,"2 Item No.","@@"&amp;$F2071,"3 Posting Date",J$9)-NL("Sum","5802 Value Entry","43 Cost Amount (Actual)","41 Source Type",$C$5,"5 Source no.",$C2071,"4 Item Ledger Entry Type",$C$4,"2 Item No.","@@"&amp;$F2071,"3 Posting Date",J$9)</t>
  </si>
  <si>
    <t>=J2071-L2071</t>
  </si>
  <si>
    <t>=IF(J2071&lt;&gt;0,M2071/J2071,"")</t>
  </si>
  <si>
    <t>=NL("Sum","5802 Value Entry","150 Sales Amount (Expected)","41 Source Type",$C$5,"5 Source No.",$C2071,"4 Item Ledger Entry Type",$C$4,"2 Item No.","@@"&amp;$F2071,"3 Posting Date",O$9)+NL("Sum","5802 Value Entry","17 Sales Amount (Actual)","41 Source Type",$C$5,"5 Source no.",$C2071,"4 Item Ledger Entry Type",$C$4,"2 Item No.","@@"&amp;$F2071,"3 Posting Date",O$9)</t>
  </si>
  <si>
    <t>=-NL("Sum","5802 Value Entry","151 Cost Amount (Expected)","41 Source Type",$C$5,"5 Source No.",$C2071,"4 Item Ledger Entry Type",$C$4,"2 Item No.","@@"&amp;$F2071,"3 Posting Date",O$9)-NL("Sum","5802 Value Entry","43 Cost Amount (Actual)","41 Source Type",$C$5,"5 Source no.",$C2071,"4 Item Ledger Entry Type",$C$4,"2 Item No.","@@"&amp;$F2071,"3 Posting Date",O$9)</t>
  </si>
  <si>
    <t>=O2071-Q2071</t>
  </si>
  <si>
    <t>=IF(O2071&lt;&gt;0,R2071/O2071,"")</t>
  </si>
  <si>
    <t>=NL("Sum","5802 Value Entry","150 Sales Amount (Expected)","41 Source Type",$C$5,"5 Source No.",$C2071,"4 Item Ledger Entry Type",$C$4,"2 Item No.","@@"&amp;$F2071,"3 Posting Date",U$9)+NL("Sum","5802 Value Entry","17 Sales Amount (Actual)","41 Source Type",$C$5,"5 Source no.",$C2071,"4 Item Ledger Entry Type",$C$4,"2 Item No.","@@"&amp;$F2071,"3 Posting Date",U$9)</t>
  </si>
  <si>
    <t>=-NL("Sum","5802 Value Entry","151 Cost Amount (Expected)","41 Source Type",$C$5,"5 Source No.",$C2071,"4 Item Ledger Entry Type",$C$4,"2 Item No.","@@"&amp;$F2071,"3 Posting Date",U$9)-NL("Sum","5802 Value Entry","43 Cost Amount (Actual)","41 Source Type",$C$5,"5 Source no.",$C2071,"4 Item Ledger Entry Type",$C$4,"2 Item No.","@@"&amp;$F2071,"3 Posting Date",U$9)</t>
  </si>
  <si>
    <t>=U2071-W2071</t>
  </si>
  <si>
    <t>=IF(U2071&lt;&gt;0,X2071/U2071,"")</t>
  </si>
  <si>
    <t>=NL("Sum","5802 Value Entry","150 Sales Amount (Expected)","41 Source Type",$C$5,"5 Source No.",$C2071,"4 Item Ledger Entry Type",$C$4,"2 Item No.","@@"&amp;$F2071,"3 Posting Date",Z$9)+NL("Sum","5802 Value Entry","17 Sales Amount (Actual)","41 Source Type",$C$5,"5 Source no.",$C2071,"4 Item Ledger Entry Type",$C$4,"2 Item No.","@@"&amp;$F2071,"3 Posting Date",Z$9)</t>
  </si>
  <si>
    <t>=-NL("Sum","5802 Value Entry","151 Cost Amount (Expected)","41 Source Type",$C$5,"5 Source No.",$C2071,"4 Item Ledger Entry Type",$C$4,"2 Item No.","@@"&amp;$F2071,"3 Posting Date",Z$9)-NL("Sum","5802 Value Entry","43 Cost Amount (Actual)","41 Source Type",$C$5,"5 Source no.",$C2071,"4 Item Ledger Entry Type",$C$4,"2 Item No.","@@"&amp;$F2071,"3 Posting Date",Z$9)</t>
  </si>
  <si>
    <t>=Z2071-AB2071</t>
  </si>
  <si>
    <t>=IF(Z2071&lt;&gt;0,AC2071/Z2071,"")</t>
  </si>
  <si>
    <t>=C2071</t>
  </si>
  <si>
    <t>=NL("Sum","5802 Value Entry","150 Sales Amount (Expected)","41 Source Type",$C$5,"5 Source No.",$C2072,"4 Item Ledger Entry Type",$C$4,"2 Item No.","@@"&amp;$F2072,"3 Posting Date",J$9)+NL("Sum","5802 Value Entry","17 Sales Amount (Actual)","41 Source Type",$C$5,"5 Source no.",$C2072,"4 Item Ledger Entry Type",$C$4,"2 Item No.","@@"&amp;$F2072,"3 Posting Date",J$9)</t>
  </si>
  <si>
    <t>=-NL("Sum","5802 Value Entry","151 Cost Amount (Expected)","41 Source Type",$C$5,"5 Source No.",$C2072,"4 Item Ledger Entry Type",$C$4,"2 Item No.","@@"&amp;$F2072,"3 Posting Date",J$9)-NL("Sum","5802 Value Entry","43 Cost Amount (Actual)","41 Source Type",$C$5,"5 Source no.",$C2072,"4 Item Ledger Entry Type",$C$4,"2 Item No.","@@"&amp;$F2072,"3 Posting Date",J$9)</t>
  </si>
  <si>
    <t>=J2072-L2072</t>
  </si>
  <si>
    <t>=IF(J2072&lt;&gt;0,M2072/J2072,"")</t>
  </si>
  <si>
    <t>=NL("Sum","5802 Value Entry","150 Sales Amount (Expected)","41 Source Type",$C$5,"5 Source No.",$C2072,"4 Item Ledger Entry Type",$C$4,"2 Item No.","@@"&amp;$F2072,"3 Posting Date",O$9)+NL("Sum","5802 Value Entry","17 Sales Amount (Actual)","41 Source Type",$C$5,"5 Source no.",$C2072,"4 Item Ledger Entry Type",$C$4,"2 Item No.","@@"&amp;$F2072,"3 Posting Date",O$9)</t>
  </si>
  <si>
    <t>=-NL("Sum","5802 Value Entry","151 Cost Amount (Expected)","41 Source Type",$C$5,"5 Source No.",$C2072,"4 Item Ledger Entry Type",$C$4,"2 Item No.","@@"&amp;$F2072,"3 Posting Date",O$9)-NL("Sum","5802 Value Entry","43 Cost Amount (Actual)","41 Source Type",$C$5,"5 Source no.",$C2072,"4 Item Ledger Entry Type",$C$4,"2 Item No.","@@"&amp;$F2072,"3 Posting Date",O$9)</t>
  </si>
  <si>
    <t>=O2072-Q2072</t>
  </si>
  <si>
    <t>=IF(O2072&lt;&gt;0,R2072/O2072,"")</t>
  </si>
  <si>
    <t>=NL("Sum","5802 Value Entry","150 Sales Amount (Expected)","41 Source Type",$C$5,"5 Source No.",$C2072,"4 Item Ledger Entry Type",$C$4,"2 Item No.","@@"&amp;$F2072,"3 Posting Date",U$9)+NL("Sum","5802 Value Entry","17 Sales Amount (Actual)","41 Source Type",$C$5,"5 Source no.",$C2072,"4 Item Ledger Entry Type",$C$4,"2 Item No.","@@"&amp;$F2072,"3 Posting Date",U$9)</t>
  </si>
  <si>
    <t>=-NL("Sum","5802 Value Entry","151 Cost Amount (Expected)","41 Source Type",$C$5,"5 Source No.",$C2072,"4 Item Ledger Entry Type",$C$4,"2 Item No.","@@"&amp;$F2072,"3 Posting Date",U$9)-NL("Sum","5802 Value Entry","43 Cost Amount (Actual)","41 Source Type",$C$5,"5 Source no.",$C2072,"4 Item Ledger Entry Type",$C$4,"2 Item No.","@@"&amp;$F2072,"3 Posting Date",U$9)</t>
  </si>
  <si>
    <t>=U2072-W2072</t>
  </si>
  <si>
    <t>=IF(U2072&lt;&gt;0,X2072/U2072,"")</t>
  </si>
  <si>
    <t>=NL("Sum","5802 Value Entry","150 Sales Amount (Expected)","41 Source Type",$C$5,"5 Source No.",$C2072,"4 Item Ledger Entry Type",$C$4,"2 Item No.","@@"&amp;$F2072,"3 Posting Date",Z$9)+NL("Sum","5802 Value Entry","17 Sales Amount (Actual)","41 Source Type",$C$5,"5 Source no.",$C2072,"4 Item Ledger Entry Type",$C$4,"2 Item No.","@@"&amp;$F2072,"3 Posting Date",Z$9)</t>
  </si>
  <si>
    <t>=-NL("Sum","5802 Value Entry","151 Cost Amount (Expected)","41 Source Type",$C$5,"5 Source No.",$C2072,"4 Item Ledger Entry Type",$C$4,"2 Item No.","@@"&amp;$F2072,"3 Posting Date",Z$9)-NL("Sum","5802 Value Entry","43 Cost Amount (Actual)","41 Source Type",$C$5,"5 Source no.",$C2072,"4 Item Ledger Entry Type",$C$4,"2 Item No.","@@"&amp;$F2072,"3 Posting Date",Z$9)</t>
  </si>
  <si>
    <t>=Z2072-AB2072</t>
  </si>
  <si>
    <t>=IF(Z2072&lt;&gt;0,AC2072/Z2072,"")</t>
  </si>
  <si>
    <t>=C2072</t>
  </si>
  <si>
    <t>=NL("Sum","5802 Value Entry","150 Sales Amount (Expected)","41 Source Type",$C$5,"5 Source No.",$C2073,"4 Item Ledger Entry Type",$C$4,"2 Item No.","@@"&amp;$F2073,"3 Posting Date",J$9)+NL("Sum","5802 Value Entry","17 Sales Amount (Actual)","41 Source Type",$C$5,"5 Source no.",$C2073,"4 Item Ledger Entry Type",$C$4,"2 Item No.","@@"&amp;$F2073,"3 Posting Date",J$9)</t>
  </si>
  <si>
    <t>=-NL("Sum","5802 Value Entry","151 Cost Amount (Expected)","41 Source Type",$C$5,"5 Source No.",$C2073,"4 Item Ledger Entry Type",$C$4,"2 Item No.","@@"&amp;$F2073,"3 Posting Date",J$9)-NL("Sum","5802 Value Entry","43 Cost Amount (Actual)","41 Source Type",$C$5,"5 Source no.",$C2073,"4 Item Ledger Entry Type",$C$4,"2 Item No.","@@"&amp;$F2073,"3 Posting Date",J$9)</t>
  </si>
  <si>
    <t>=J2073-L2073</t>
  </si>
  <si>
    <t>=IF(J2073&lt;&gt;0,M2073/J2073,"")</t>
  </si>
  <si>
    <t>=NL("Sum","5802 Value Entry","150 Sales Amount (Expected)","41 Source Type",$C$5,"5 Source No.",$C2073,"4 Item Ledger Entry Type",$C$4,"2 Item No.","@@"&amp;$F2073,"3 Posting Date",O$9)+NL("Sum","5802 Value Entry","17 Sales Amount (Actual)","41 Source Type",$C$5,"5 Source no.",$C2073,"4 Item Ledger Entry Type",$C$4,"2 Item No.","@@"&amp;$F2073,"3 Posting Date",O$9)</t>
  </si>
  <si>
    <t>=-NL("Sum","5802 Value Entry","151 Cost Amount (Expected)","41 Source Type",$C$5,"5 Source No.",$C2073,"4 Item Ledger Entry Type",$C$4,"2 Item No.","@@"&amp;$F2073,"3 Posting Date",O$9)-NL("Sum","5802 Value Entry","43 Cost Amount (Actual)","41 Source Type",$C$5,"5 Source no.",$C2073,"4 Item Ledger Entry Type",$C$4,"2 Item No.","@@"&amp;$F2073,"3 Posting Date",O$9)</t>
  </si>
  <si>
    <t>=O2073-Q2073</t>
  </si>
  <si>
    <t>=IF(O2073&lt;&gt;0,R2073/O2073,"")</t>
  </si>
  <si>
    <t>=NL("Sum","5802 Value Entry","150 Sales Amount (Expected)","41 Source Type",$C$5,"5 Source No.",$C2073,"4 Item Ledger Entry Type",$C$4,"2 Item No.","@@"&amp;$F2073,"3 Posting Date",U$9)+NL("Sum","5802 Value Entry","17 Sales Amount (Actual)","41 Source Type",$C$5,"5 Source no.",$C2073,"4 Item Ledger Entry Type",$C$4,"2 Item No.","@@"&amp;$F2073,"3 Posting Date",U$9)</t>
  </si>
  <si>
    <t>=-NL("Sum","5802 Value Entry","151 Cost Amount (Expected)","41 Source Type",$C$5,"5 Source No.",$C2073,"4 Item Ledger Entry Type",$C$4,"2 Item No.","@@"&amp;$F2073,"3 Posting Date",U$9)-NL("Sum","5802 Value Entry","43 Cost Amount (Actual)","41 Source Type",$C$5,"5 Source no.",$C2073,"4 Item Ledger Entry Type",$C$4,"2 Item No.","@@"&amp;$F2073,"3 Posting Date",U$9)</t>
  </si>
  <si>
    <t>=U2073-W2073</t>
  </si>
  <si>
    <t>=IF(U2073&lt;&gt;0,X2073/U2073,"")</t>
  </si>
  <si>
    <t>=NL("Sum","5802 Value Entry","150 Sales Amount (Expected)","41 Source Type",$C$5,"5 Source No.",$C2073,"4 Item Ledger Entry Type",$C$4,"2 Item No.","@@"&amp;$F2073,"3 Posting Date",Z$9)+NL("Sum","5802 Value Entry","17 Sales Amount (Actual)","41 Source Type",$C$5,"5 Source no.",$C2073,"4 Item Ledger Entry Type",$C$4,"2 Item No.","@@"&amp;$F2073,"3 Posting Date",Z$9)</t>
  </si>
  <si>
    <t>=-NL("Sum","5802 Value Entry","151 Cost Amount (Expected)","41 Source Type",$C$5,"5 Source No.",$C2073,"4 Item Ledger Entry Type",$C$4,"2 Item No.","@@"&amp;$F2073,"3 Posting Date",Z$9)-NL("Sum","5802 Value Entry","43 Cost Amount (Actual)","41 Source Type",$C$5,"5 Source no.",$C2073,"4 Item Ledger Entry Type",$C$4,"2 Item No.","@@"&amp;$F2073,"3 Posting Date",Z$9)</t>
  </si>
  <si>
    <t>=Z2073-AB2073</t>
  </si>
  <si>
    <t>=IF(Z2073&lt;&gt;0,AC2073/Z2073,"")</t>
  </si>
  <si>
    <t>=C2073</t>
  </si>
  <si>
    <t>=NL("Sum","5802 Value Entry","150 Sales Amount (Expected)","41 Source Type",$C$5,"5 Source No.",$C2074,"4 Item Ledger Entry Type",$C$4,"2 Item No.","@@"&amp;$F2074,"3 Posting Date",J$9)+NL("Sum","5802 Value Entry","17 Sales Amount (Actual)","41 Source Type",$C$5,"5 Source no.",$C2074,"4 Item Ledger Entry Type",$C$4,"2 Item No.","@@"&amp;$F2074,"3 Posting Date",J$9)</t>
  </si>
  <si>
    <t>=-NL("Sum","5802 Value Entry","151 Cost Amount (Expected)","41 Source Type",$C$5,"5 Source No.",$C2074,"4 Item Ledger Entry Type",$C$4,"2 Item No.","@@"&amp;$F2074,"3 Posting Date",J$9)-NL("Sum","5802 Value Entry","43 Cost Amount (Actual)","41 Source Type",$C$5,"5 Source no.",$C2074,"4 Item Ledger Entry Type",$C$4,"2 Item No.","@@"&amp;$F2074,"3 Posting Date",J$9)</t>
  </si>
  <si>
    <t>=J2074-L2074</t>
  </si>
  <si>
    <t>=IF(J2074&lt;&gt;0,M2074/J2074,"")</t>
  </si>
  <si>
    <t>=NL("Sum","5802 Value Entry","150 Sales Amount (Expected)","41 Source Type",$C$5,"5 Source No.",$C2074,"4 Item Ledger Entry Type",$C$4,"2 Item No.","@@"&amp;$F2074,"3 Posting Date",O$9)+NL("Sum","5802 Value Entry","17 Sales Amount (Actual)","41 Source Type",$C$5,"5 Source no.",$C2074,"4 Item Ledger Entry Type",$C$4,"2 Item No.","@@"&amp;$F2074,"3 Posting Date",O$9)</t>
  </si>
  <si>
    <t>=-NL("Sum","5802 Value Entry","151 Cost Amount (Expected)","41 Source Type",$C$5,"5 Source No.",$C2074,"4 Item Ledger Entry Type",$C$4,"2 Item No.","@@"&amp;$F2074,"3 Posting Date",O$9)-NL("Sum","5802 Value Entry","43 Cost Amount (Actual)","41 Source Type",$C$5,"5 Source no.",$C2074,"4 Item Ledger Entry Type",$C$4,"2 Item No.","@@"&amp;$F2074,"3 Posting Date",O$9)</t>
  </si>
  <si>
    <t>=O2074-Q2074</t>
  </si>
  <si>
    <t>=IF(O2074&lt;&gt;0,R2074/O2074,"")</t>
  </si>
  <si>
    <t>=NL("Sum","5802 Value Entry","150 Sales Amount (Expected)","41 Source Type",$C$5,"5 Source No.",$C2074,"4 Item Ledger Entry Type",$C$4,"2 Item No.","@@"&amp;$F2074,"3 Posting Date",U$9)+NL("Sum","5802 Value Entry","17 Sales Amount (Actual)","41 Source Type",$C$5,"5 Source no.",$C2074,"4 Item Ledger Entry Type",$C$4,"2 Item No.","@@"&amp;$F2074,"3 Posting Date",U$9)</t>
  </si>
  <si>
    <t>=-NL("Sum","5802 Value Entry","151 Cost Amount (Expected)","41 Source Type",$C$5,"5 Source No.",$C2074,"4 Item Ledger Entry Type",$C$4,"2 Item No.","@@"&amp;$F2074,"3 Posting Date",U$9)-NL("Sum","5802 Value Entry","43 Cost Amount (Actual)","41 Source Type",$C$5,"5 Source no.",$C2074,"4 Item Ledger Entry Type",$C$4,"2 Item No.","@@"&amp;$F2074,"3 Posting Date",U$9)</t>
  </si>
  <si>
    <t>=U2074-W2074</t>
  </si>
  <si>
    <t>=IF(U2074&lt;&gt;0,X2074/U2074,"")</t>
  </si>
  <si>
    <t>=NL("Sum","5802 Value Entry","150 Sales Amount (Expected)","41 Source Type",$C$5,"5 Source No.",$C2074,"4 Item Ledger Entry Type",$C$4,"2 Item No.","@@"&amp;$F2074,"3 Posting Date",Z$9)+NL("Sum","5802 Value Entry","17 Sales Amount (Actual)","41 Source Type",$C$5,"5 Source no.",$C2074,"4 Item Ledger Entry Type",$C$4,"2 Item No.","@@"&amp;$F2074,"3 Posting Date",Z$9)</t>
  </si>
  <si>
    <t>=-NL("Sum","5802 Value Entry","151 Cost Amount (Expected)","41 Source Type",$C$5,"5 Source No.",$C2074,"4 Item Ledger Entry Type",$C$4,"2 Item No.","@@"&amp;$F2074,"3 Posting Date",Z$9)-NL("Sum","5802 Value Entry","43 Cost Amount (Actual)","41 Source Type",$C$5,"5 Source no.",$C2074,"4 Item Ledger Entry Type",$C$4,"2 Item No.","@@"&amp;$F2074,"3 Posting Date",Z$9)</t>
  </si>
  <si>
    <t>=Z2074-AB2074</t>
  </si>
  <si>
    <t>=IF(Z2074&lt;&gt;0,AC2074/Z2074,"")</t>
  </si>
  <si>
    <t>=C2074</t>
  </si>
  <si>
    <t>=NL("Sum","5802 Value Entry","150 Sales Amount (Expected)","41 Source Type",$C$5,"5 Source No.",$C2075,"4 Item Ledger Entry Type",$C$4,"2 Item No.","@@"&amp;$F2075,"3 Posting Date",J$9)+NL("Sum","5802 Value Entry","17 Sales Amount (Actual)","41 Source Type",$C$5,"5 Source no.",$C2075,"4 Item Ledger Entry Type",$C$4,"2 Item No.","@@"&amp;$F2075,"3 Posting Date",J$9)</t>
  </si>
  <si>
    <t>=-NL("Sum","5802 Value Entry","151 Cost Amount (Expected)","41 Source Type",$C$5,"5 Source No.",$C2075,"4 Item Ledger Entry Type",$C$4,"2 Item No.","@@"&amp;$F2075,"3 Posting Date",J$9)-NL("Sum","5802 Value Entry","43 Cost Amount (Actual)","41 Source Type",$C$5,"5 Source no.",$C2075,"4 Item Ledger Entry Type",$C$4,"2 Item No.","@@"&amp;$F2075,"3 Posting Date",J$9)</t>
  </si>
  <si>
    <t>=J2075-L2075</t>
  </si>
  <si>
    <t>=IF(J2075&lt;&gt;0,M2075/J2075,"")</t>
  </si>
  <si>
    <t>=NL("Sum","5802 Value Entry","150 Sales Amount (Expected)","41 Source Type",$C$5,"5 Source No.",$C2075,"4 Item Ledger Entry Type",$C$4,"2 Item No.","@@"&amp;$F2075,"3 Posting Date",O$9)+NL("Sum","5802 Value Entry","17 Sales Amount (Actual)","41 Source Type",$C$5,"5 Source no.",$C2075,"4 Item Ledger Entry Type",$C$4,"2 Item No.","@@"&amp;$F2075,"3 Posting Date",O$9)</t>
  </si>
  <si>
    <t>=-NL("Sum","5802 Value Entry","151 Cost Amount (Expected)","41 Source Type",$C$5,"5 Source No.",$C2075,"4 Item Ledger Entry Type",$C$4,"2 Item No.","@@"&amp;$F2075,"3 Posting Date",O$9)-NL("Sum","5802 Value Entry","43 Cost Amount (Actual)","41 Source Type",$C$5,"5 Source no.",$C2075,"4 Item Ledger Entry Type",$C$4,"2 Item No.","@@"&amp;$F2075,"3 Posting Date",O$9)</t>
  </si>
  <si>
    <t>=O2075-Q2075</t>
  </si>
  <si>
    <t>=IF(O2075&lt;&gt;0,R2075/O2075,"")</t>
  </si>
  <si>
    <t>=NL("Sum","5802 Value Entry","150 Sales Amount (Expected)","41 Source Type",$C$5,"5 Source No.",$C2075,"4 Item Ledger Entry Type",$C$4,"2 Item No.","@@"&amp;$F2075,"3 Posting Date",U$9)+NL("Sum","5802 Value Entry","17 Sales Amount (Actual)","41 Source Type",$C$5,"5 Source no.",$C2075,"4 Item Ledger Entry Type",$C$4,"2 Item No.","@@"&amp;$F2075,"3 Posting Date",U$9)</t>
  </si>
  <si>
    <t>=-NL("Sum","5802 Value Entry","151 Cost Amount (Expected)","41 Source Type",$C$5,"5 Source No.",$C2075,"4 Item Ledger Entry Type",$C$4,"2 Item No.","@@"&amp;$F2075,"3 Posting Date",U$9)-NL("Sum","5802 Value Entry","43 Cost Amount (Actual)","41 Source Type",$C$5,"5 Source no.",$C2075,"4 Item Ledger Entry Type",$C$4,"2 Item No.","@@"&amp;$F2075,"3 Posting Date",U$9)</t>
  </si>
  <si>
    <t>=U2075-W2075</t>
  </si>
  <si>
    <t>=IF(U2075&lt;&gt;0,X2075/U2075,"")</t>
  </si>
  <si>
    <t>=NL("Sum","5802 Value Entry","150 Sales Amount (Expected)","41 Source Type",$C$5,"5 Source No.",$C2075,"4 Item Ledger Entry Type",$C$4,"2 Item No.","@@"&amp;$F2075,"3 Posting Date",Z$9)+NL("Sum","5802 Value Entry","17 Sales Amount (Actual)","41 Source Type",$C$5,"5 Source no.",$C2075,"4 Item Ledger Entry Type",$C$4,"2 Item No.","@@"&amp;$F2075,"3 Posting Date",Z$9)</t>
  </si>
  <si>
    <t>=-NL("Sum","5802 Value Entry","151 Cost Amount (Expected)","41 Source Type",$C$5,"5 Source No.",$C2075,"4 Item Ledger Entry Type",$C$4,"2 Item No.","@@"&amp;$F2075,"3 Posting Date",Z$9)-NL("Sum","5802 Value Entry","43 Cost Amount (Actual)","41 Source Type",$C$5,"5 Source no.",$C2075,"4 Item Ledger Entry Type",$C$4,"2 Item No.","@@"&amp;$F2075,"3 Posting Date",Z$9)</t>
  </si>
  <si>
    <t>=Z2075-AB2075</t>
  </si>
  <si>
    <t>=IF(Z2075&lt;&gt;0,AC2075/Z2075,"")</t>
  </si>
  <si>
    <t>=C2075</t>
  </si>
  <si>
    <t>=NL("Sum","5802 Value Entry","150 Sales Amount (Expected)","41 Source Type",$C$5,"5 Source No.",$C2076,"4 Item Ledger Entry Type",$C$4,"2 Item No.","@@"&amp;$F2076,"3 Posting Date",J$9)+NL("Sum","5802 Value Entry","17 Sales Amount (Actual)","41 Source Type",$C$5,"5 Source no.",$C2076,"4 Item Ledger Entry Type",$C$4,"2 Item No.","@@"&amp;$F2076,"3 Posting Date",J$9)</t>
  </si>
  <si>
    <t>=-NL("Sum","5802 Value Entry","151 Cost Amount (Expected)","41 Source Type",$C$5,"5 Source No.",$C2076,"4 Item Ledger Entry Type",$C$4,"2 Item No.","@@"&amp;$F2076,"3 Posting Date",J$9)-NL("Sum","5802 Value Entry","43 Cost Amount (Actual)","41 Source Type",$C$5,"5 Source no.",$C2076,"4 Item Ledger Entry Type",$C$4,"2 Item No.","@@"&amp;$F2076,"3 Posting Date",J$9)</t>
  </si>
  <si>
    <t>=J2076-L2076</t>
  </si>
  <si>
    <t>=IF(J2076&lt;&gt;0,M2076/J2076,"")</t>
  </si>
  <si>
    <t>=NL("Sum","5802 Value Entry","150 Sales Amount (Expected)","41 Source Type",$C$5,"5 Source No.",$C2076,"4 Item Ledger Entry Type",$C$4,"2 Item No.","@@"&amp;$F2076,"3 Posting Date",O$9)+NL("Sum","5802 Value Entry","17 Sales Amount (Actual)","41 Source Type",$C$5,"5 Source no.",$C2076,"4 Item Ledger Entry Type",$C$4,"2 Item No.","@@"&amp;$F2076,"3 Posting Date",O$9)</t>
  </si>
  <si>
    <t>=-NL("Sum","5802 Value Entry","151 Cost Amount (Expected)","41 Source Type",$C$5,"5 Source No.",$C2076,"4 Item Ledger Entry Type",$C$4,"2 Item No.","@@"&amp;$F2076,"3 Posting Date",O$9)-NL("Sum","5802 Value Entry","43 Cost Amount (Actual)","41 Source Type",$C$5,"5 Source no.",$C2076,"4 Item Ledger Entry Type",$C$4,"2 Item No.","@@"&amp;$F2076,"3 Posting Date",O$9)</t>
  </si>
  <si>
    <t>=O2076-Q2076</t>
  </si>
  <si>
    <t>=IF(O2076&lt;&gt;0,R2076/O2076,"")</t>
  </si>
  <si>
    <t>=NL("Sum","5802 Value Entry","150 Sales Amount (Expected)","41 Source Type",$C$5,"5 Source No.",$C2076,"4 Item Ledger Entry Type",$C$4,"2 Item No.","@@"&amp;$F2076,"3 Posting Date",U$9)+NL("Sum","5802 Value Entry","17 Sales Amount (Actual)","41 Source Type",$C$5,"5 Source no.",$C2076,"4 Item Ledger Entry Type",$C$4,"2 Item No.","@@"&amp;$F2076,"3 Posting Date",U$9)</t>
  </si>
  <si>
    <t>=-NL("Sum","5802 Value Entry","151 Cost Amount (Expected)","41 Source Type",$C$5,"5 Source No.",$C2076,"4 Item Ledger Entry Type",$C$4,"2 Item No.","@@"&amp;$F2076,"3 Posting Date",U$9)-NL("Sum","5802 Value Entry","43 Cost Amount (Actual)","41 Source Type",$C$5,"5 Source no.",$C2076,"4 Item Ledger Entry Type",$C$4,"2 Item No.","@@"&amp;$F2076,"3 Posting Date",U$9)</t>
  </si>
  <si>
    <t>=U2076-W2076</t>
  </si>
  <si>
    <t>=IF(U2076&lt;&gt;0,X2076/U2076,"")</t>
  </si>
  <si>
    <t>=NL("Sum","5802 Value Entry","150 Sales Amount (Expected)","41 Source Type",$C$5,"5 Source No.",$C2076,"4 Item Ledger Entry Type",$C$4,"2 Item No.","@@"&amp;$F2076,"3 Posting Date",Z$9)+NL("Sum","5802 Value Entry","17 Sales Amount (Actual)","41 Source Type",$C$5,"5 Source no.",$C2076,"4 Item Ledger Entry Type",$C$4,"2 Item No.","@@"&amp;$F2076,"3 Posting Date",Z$9)</t>
  </si>
  <si>
    <t>=-NL("Sum","5802 Value Entry","151 Cost Amount (Expected)","41 Source Type",$C$5,"5 Source No.",$C2076,"4 Item Ledger Entry Type",$C$4,"2 Item No.","@@"&amp;$F2076,"3 Posting Date",Z$9)-NL("Sum","5802 Value Entry","43 Cost Amount (Actual)","41 Source Type",$C$5,"5 Source no.",$C2076,"4 Item Ledger Entry Type",$C$4,"2 Item No.","@@"&amp;$F2076,"3 Posting Date",Z$9)</t>
  </si>
  <si>
    <t>=Z2076-AB2076</t>
  </si>
  <si>
    <t>=IF(Z2076&lt;&gt;0,AC2076/Z2076,"")</t>
  </si>
  <si>
    <t>=C2076</t>
  </si>
  <si>
    <t>=NL("Sum","5802 Value Entry","150 Sales Amount (Expected)","41 Source Type",$C$5,"5 Source No.",$C2077,"4 Item Ledger Entry Type",$C$4,"2 Item No.","@@"&amp;$F2077,"3 Posting Date",J$9)+NL("Sum","5802 Value Entry","17 Sales Amount (Actual)","41 Source Type",$C$5,"5 Source no.",$C2077,"4 Item Ledger Entry Type",$C$4,"2 Item No.","@@"&amp;$F2077,"3 Posting Date",J$9)</t>
  </si>
  <si>
    <t>=-NL("Sum","5802 Value Entry","151 Cost Amount (Expected)","41 Source Type",$C$5,"5 Source No.",$C2077,"4 Item Ledger Entry Type",$C$4,"2 Item No.","@@"&amp;$F2077,"3 Posting Date",J$9)-NL("Sum","5802 Value Entry","43 Cost Amount (Actual)","41 Source Type",$C$5,"5 Source no.",$C2077,"4 Item Ledger Entry Type",$C$4,"2 Item No.","@@"&amp;$F2077,"3 Posting Date",J$9)</t>
  </si>
  <si>
    <t>=J2077-L2077</t>
  </si>
  <si>
    <t>=IF(J2077&lt;&gt;0,M2077/J2077,"")</t>
  </si>
  <si>
    <t>=NL("Sum","5802 Value Entry","150 Sales Amount (Expected)","41 Source Type",$C$5,"5 Source No.",$C2077,"4 Item Ledger Entry Type",$C$4,"2 Item No.","@@"&amp;$F2077,"3 Posting Date",O$9)+NL("Sum","5802 Value Entry","17 Sales Amount (Actual)","41 Source Type",$C$5,"5 Source no.",$C2077,"4 Item Ledger Entry Type",$C$4,"2 Item No.","@@"&amp;$F2077,"3 Posting Date",O$9)</t>
  </si>
  <si>
    <t>=-NL("Sum","5802 Value Entry","151 Cost Amount (Expected)","41 Source Type",$C$5,"5 Source No.",$C2077,"4 Item Ledger Entry Type",$C$4,"2 Item No.","@@"&amp;$F2077,"3 Posting Date",O$9)-NL("Sum","5802 Value Entry","43 Cost Amount (Actual)","41 Source Type",$C$5,"5 Source no.",$C2077,"4 Item Ledger Entry Type",$C$4,"2 Item No.","@@"&amp;$F2077,"3 Posting Date",O$9)</t>
  </si>
  <si>
    <t>=O2077-Q2077</t>
  </si>
  <si>
    <t>=IF(O2077&lt;&gt;0,R2077/O2077,"")</t>
  </si>
  <si>
    <t>=NL("Sum","5802 Value Entry","150 Sales Amount (Expected)","41 Source Type",$C$5,"5 Source No.",$C2077,"4 Item Ledger Entry Type",$C$4,"2 Item No.","@@"&amp;$F2077,"3 Posting Date",U$9)+NL("Sum","5802 Value Entry","17 Sales Amount (Actual)","41 Source Type",$C$5,"5 Source no.",$C2077,"4 Item Ledger Entry Type",$C$4,"2 Item No.","@@"&amp;$F2077,"3 Posting Date",U$9)</t>
  </si>
  <si>
    <t>=-NL("Sum","5802 Value Entry","151 Cost Amount (Expected)","41 Source Type",$C$5,"5 Source No.",$C2077,"4 Item Ledger Entry Type",$C$4,"2 Item No.","@@"&amp;$F2077,"3 Posting Date",U$9)-NL("Sum","5802 Value Entry","43 Cost Amount (Actual)","41 Source Type",$C$5,"5 Source no.",$C2077,"4 Item Ledger Entry Type",$C$4,"2 Item No.","@@"&amp;$F2077,"3 Posting Date",U$9)</t>
  </si>
  <si>
    <t>=U2077-W2077</t>
  </si>
  <si>
    <t>=IF(U2077&lt;&gt;0,X2077/U2077,"")</t>
  </si>
  <si>
    <t>=NL("Sum","5802 Value Entry","150 Sales Amount (Expected)","41 Source Type",$C$5,"5 Source No.",$C2077,"4 Item Ledger Entry Type",$C$4,"2 Item No.","@@"&amp;$F2077,"3 Posting Date",Z$9)+NL("Sum","5802 Value Entry","17 Sales Amount (Actual)","41 Source Type",$C$5,"5 Source no.",$C2077,"4 Item Ledger Entry Type",$C$4,"2 Item No.","@@"&amp;$F2077,"3 Posting Date",Z$9)</t>
  </si>
  <si>
    <t>=-NL("Sum","5802 Value Entry","151 Cost Amount (Expected)","41 Source Type",$C$5,"5 Source No.",$C2077,"4 Item Ledger Entry Type",$C$4,"2 Item No.","@@"&amp;$F2077,"3 Posting Date",Z$9)-NL("Sum","5802 Value Entry","43 Cost Amount (Actual)","41 Source Type",$C$5,"5 Source no.",$C2077,"4 Item Ledger Entry Type",$C$4,"2 Item No.","@@"&amp;$F2077,"3 Posting Date",Z$9)</t>
  </si>
  <si>
    <t>=Z2077-AB2077</t>
  </si>
  <si>
    <t>=IF(Z2077&lt;&gt;0,AC2077/Z2077,"")</t>
  </si>
  <si>
    <t>=C2077</t>
  </si>
  <si>
    <t>=NL("Sum","5802 Value Entry","150 Sales Amount (Expected)","41 Source Type",$C$5,"5 Source No.",$C2078,"4 Item Ledger Entry Type",$C$4,"2 Item No.","@@"&amp;$F2078,"3 Posting Date",J$9)+NL("Sum","5802 Value Entry","17 Sales Amount (Actual)","41 Source Type",$C$5,"5 Source no.",$C2078,"4 Item Ledger Entry Type",$C$4,"2 Item No.","@@"&amp;$F2078,"3 Posting Date",J$9)</t>
  </si>
  <si>
    <t>=-NL("Sum","5802 Value Entry","151 Cost Amount (Expected)","41 Source Type",$C$5,"5 Source No.",$C2078,"4 Item Ledger Entry Type",$C$4,"2 Item No.","@@"&amp;$F2078,"3 Posting Date",J$9)-NL("Sum","5802 Value Entry","43 Cost Amount (Actual)","41 Source Type",$C$5,"5 Source no.",$C2078,"4 Item Ledger Entry Type",$C$4,"2 Item No.","@@"&amp;$F2078,"3 Posting Date",J$9)</t>
  </si>
  <si>
    <t>=J2078-L2078</t>
  </si>
  <si>
    <t>=IF(J2078&lt;&gt;0,M2078/J2078,"")</t>
  </si>
  <si>
    <t>=NL("Sum","5802 Value Entry","150 Sales Amount (Expected)","41 Source Type",$C$5,"5 Source No.",$C2078,"4 Item Ledger Entry Type",$C$4,"2 Item No.","@@"&amp;$F2078,"3 Posting Date",O$9)+NL("Sum","5802 Value Entry","17 Sales Amount (Actual)","41 Source Type",$C$5,"5 Source no.",$C2078,"4 Item Ledger Entry Type",$C$4,"2 Item No.","@@"&amp;$F2078,"3 Posting Date",O$9)</t>
  </si>
  <si>
    <t>=-NL("Sum","5802 Value Entry","151 Cost Amount (Expected)","41 Source Type",$C$5,"5 Source No.",$C2078,"4 Item Ledger Entry Type",$C$4,"2 Item No.","@@"&amp;$F2078,"3 Posting Date",O$9)-NL("Sum","5802 Value Entry","43 Cost Amount (Actual)","41 Source Type",$C$5,"5 Source no.",$C2078,"4 Item Ledger Entry Type",$C$4,"2 Item No.","@@"&amp;$F2078,"3 Posting Date",O$9)</t>
  </si>
  <si>
    <t>=O2078-Q2078</t>
  </si>
  <si>
    <t>=IF(O2078&lt;&gt;0,R2078/O2078,"")</t>
  </si>
  <si>
    <t>=NL("Sum","5802 Value Entry","150 Sales Amount (Expected)","41 Source Type",$C$5,"5 Source No.",$C2078,"4 Item Ledger Entry Type",$C$4,"2 Item No.","@@"&amp;$F2078,"3 Posting Date",U$9)+NL("Sum","5802 Value Entry","17 Sales Amount (Actual)","41 Source Type",$C$5,"5 Source no.",$C2078,"4 Item Ledger Entry Type",$C$4,"2 Item No.","@@"&amp;$F2078,"3 Posting Date",U$9)</t>
  </si>
  <si>
    <t>=-NL("Sum","5802 Value Entry","151 Cost Amount (Expected)","41 Source Type",$C$5,"5 Source No.",$C2078,"4 Item Ledger Entry Type",$C$4,"2 Item No.","@@"&amp;$F2078,"3 Posting Date",U$9)-NL("Sum","5802 Value Entry","43 Cost Amount (Actual)","41 Source Type",$C$5,"5 Source no.",$C2078,"4 Item Ledger Entry Type",$C$4,"2 Item No.","@@"&amp;$F2078,"3 Posting Date",U$9)</t>
  </si>
  <si>
    <t>=U2078-W2078</t>
  </si>
  <si>
    <t>=IF(U2078&lt;&gt;0,X2078/U2078,"")</t>
  </si>
  <si>
    <t>=NL("Sum","5802 Value Entry","150 Sales Amount (Expected)","41 Source Type",$C$5,"5 Source No.",$C2078,"4 Item Ledger Entry Type",$C$4,"2 Item No.","@@"&amp;$F2078,"3 Posting Date",Z$9)+NL("Sum","5802 Value Entry","17 Sales Amount (Actual)","41 Source Type",$C$5,"5 Source no.",$C2078,"4 Item Ledger Entry Type",$C$4,"2 Item No.","@@"&amp;$F2078,"3 Posting Date",Z$9)</t>
  </si>
  <si>
    <t>=-NL("Sum","5802 Value Entry","151 Cost Amount (Expected)","41 Source Type",$C$5,"5 Source No.",$C2078,"4 Item Ledger Entry Type",$C$4,"2 Item No.","@@"&amp;$F2078,"3 Posting Date",Z$9)-NL("Sum","5802 Value Entry","43 Cost Amount (Actual)","41 Source Type",$C$5,"5 Source no.",$C2078,"4 Item Ledger Entry Type",$C$4,"2 Item No.","@@"&amp;$F2078,"3 Posting Date",Z$9)</t>
  </si>
  <si>
    <t>=Z2078-AB2078</t>
  </si>
  <si>
    <t>=IF(Z2078&lt;&gt;0,AC2078/Z2078,"")</t>
  </si>
  <si>
    <t>=C2078</t>
  </si>
  <si>
    <t>=NL("Sum","5802 Value Entry","150 Sales Amount (Expected)","41 Source Type",$C$5,"5 Source No.",$C2079,"4 Item Ledger Entry Type",$C$4,"2 Item No.","@@"&amp;$F2079,"3 Posting Date",J$9)+NL("Sum","5802 Value Entry","17 Sales Amount (Actual)","41 Source Type",$C$5,"5 Source no.",$C2079,"4 Item Ledger Entry Type",$C$4,"2 Item No.","@@"&amp;$F2079,"3 Posting Date",J$9)</t>
  </si>
  <si>
    <t>=-NL("Sum","5802 Value Entry","151 Cost Amount (Expected)","41 Source Type",$C$5,"5 Source No.",$C2079,"4 Item Ledger Entry Type",$C$4,"2 Item No.","@@"&amp;$F2079,"3 Posting Date",J$9)-NL("Sum","5802 Value Entry","43 Cost Amount (Actual)","41 Source Type",$C$5,"5 Source no.",$C2079,"4 Item Ledger Entry Type",$C$4,"2 Item No.","@@"&amp;$F2079,"3 Posting Date",J$9)</t>
  </si>
  <si>
    <t>=J2079-L2079</t>
  </si>
  <si>
    <t>=IF(J2079&lt;&gt;0,M2079/J2079,"")</t>
  </si>
  <si>
    <t>=NL("Sum","5802 Value Entry","150 Sales Amount (Expected)","41 Source Type",$C$5,"5 Source No.",$C2079,"4 Item Ledger Entry Type",$C$4,"2 Item No.","@@"&amp;$F2079,"3 Posting Date",O$9)+NL("Sum","5802 Value Entry","17 Sales Amount (Actual)","41 Source Type",$C$5,"5 Source no.",$C2079,"4 Item Ledger Entry Type",$C$4,"2 Item No.","@@"&amp;$F2079,"3 Posting Date",O$9)</t>
  </si>
  <si>
    <t>=-NL("Sum","5802 Value Entry","151 Cost Amount (Expected)","41 Source Type",$C$5,"5 Source No.",$C2079,"4 Item Ledger Entry Type",$C$4,"2 Item No.","@@"&amp;$F2079,"3 Posting Date",O$9)-NL("Sum","5802 Value Entry","43 Cost Amount (Actual)","41 Source Type",$C$5,"5 Source no.",$C2079,"4 Item Ledger Entry Type",$C$4,"2 Item No.","@@"&amp;$F2079,"3 Posting Date",O$9)</t>
  </si>
  <si>
    <t>=O2079-Q2079</t>
  </si>
  <si>
    <t>=IF(O2079&lt;&gt;0,R2079/O2079,"")</t>
  </si>
  <si>
    <t>=NL("Sum","5802 Value Entry","150 Sales Amount (Expected)","41 Source Type",$C$5,"5 Source No.",$C2079,"4 Item Ledger Entry Type",$C$4,"2 Item No.","@@"&amp;$F2079,"3 Posting Date",U$9)+NL("Sum","5802 Value Entry","17 Sales Amount (Actual)","41 Source Type",$C$5,"5 Source no.",$C2079,"4 Item Ledger Entry Type",$C$4,"2 Item No.","@@"&amp;$F2079,"3 Posting Date",U$9)</t>
  </si>
  <si>
    <t>=-NL("Sum","5802 Value Entry","151 Cost Amount (Expected)","41 Source Type",$C$5,"5 Source No.",$C2079,"4 Item Ledger Entry Type",$C$4,"2 Item No.","@@"&amp;$F2079,"3 Posting Date",U$9)-NL("Sum","5802 Value Entry","43 Cost Amount (Actual)","41 Source Type",$C$5,"5 Source no.",$C2079,"4 Item Ledger Entry Type",$C$4,"2 Item No.","@@"&amp;$F2079,"3 Posting Date",U$9)</t>
  </si>
  <si>
    <t>=U2079-W2079</t>
  </si>
  <si>
    <t>=IF(U2079&lt;&gt;0,X2079/U2079,"")</t>
  </si>
  <si>
    <t>=NL("Sum","5802 Value Entry","150 Sales Amount (Expected)","41 Source Type",$C$5,"5 Source No.",$C2079,"4 Item Ledger Entry Type",$C$4,"2 Item No.","@@"&amp;$F2079,"3 Posting Date",Z$9)+NL("Sum","5802 Value Entry","17 Sales Amount (Actual)","41 Source Type",$C$5,"5 Source no.",$C2079,"4 Item Ledger Entry Type",$C$4,"2 Item No.","@@"&amp;$F2079,"3 Posting Date",Z$9)</t>
  </si>
  <si>
    <t>=-NL("Sum","5802 Value Entry","151 Cost Amount (Expected)","41 Source Type",$C$5,"5 Source No.",$C2079,"4 Item Ledger Entry Type",$C$4,"2 Item No.","@@"&amp;$F2079,"3 Posting Date",Z$9)-NL("Sum","5802 Value Entry","43 Cost Amount (Actual)","41 Source Type",$C$5,"5 Source no.",$C2079,"4 Item Ledger Entry Type",$C$4,"2 Item No.","@@"&amp;$F2079,"3 Posting Date",Z$9)</t>
  </si>
  <si>
    <t>=Z2079-AB2079</t>
  </si>
  <si>
    <t>=IF(Z2079&lt;&gt;0,AC2079/Z2079,"")</t>
  </si>
  <si>
    <t>=C2079</t>
  </si>
  <si>
    <t>=NL("Sum","5802 Value Entry","150 Sales Amount (Expected)","41 Source Type",$C$5,"5 Source No.",$C2080,"4 Item Ledger Entry Type",$C$4,"2 Item No.","@@"&amp;$F2080,"3 Posting Date",J$9)+NL("Sum","5802 Value Entry","17 Sales Amount (Actual)","41 Source Type",$C$5,"5 Source no.",$C2080,"4 Item Ledger Entry Type",$C$4,"2 Item No.","@@"&amp;$F2080,"3 Posting Date",J$9)</t>
  </si>
  <si>
    <t>=-NL("Sum","5802 Value Entry","151 Cost Amount (Expected)","41 Source Type",$C$5,"5 Source No.",$C2080,"4 Item Ledger Entry Type",$C$4,"2 Item No.","@@"&amp;$F2080,"3 Posting Date",J$9)-NL("Sum","5802 Value Entry","43 Cost Amount (Actual)","41 Source Type",$C$5,"5 Source no.",$C2080,"4 Item Ledger Entry Type",$C$4,"2 Item No.","@@"&amp;$F2080,"3 Posting Date",J$9)</t>
  </si>
  <si>
    <t>=J2080-L2080</t>
  </si>
  <si>
    <t>=IF(J2080&lt;&gt;0,M2080/J2080,"")</t>
  </si>
  <si>
    <t>=NL("Sum","5802 Value Entry","150 Sales Amount (Expected)","41 Source Type",$C$5,"5 Source No.",$C2080,"4 Item Ledger Entry Type",$C$4,"2 Item No.","@@"&amp;$F2080,"3 Posting Date",O$9)+NL("Sum","5802 Value Entry","17 Sales Amount (Actual)","41 Source Type",$C$5,"5 Source no.",$C2080,"4 Item Ledger Entry Type",$C$4,"2 Item No.","@@"&amp;$F2080,"3 Posting Date",O$9)</t>
  </si>
  <si>
    <t>=-NL("Sum","5802 Value Entry","151 Cost Amount (Expected)","41 Source Type",$C$5,"5 Source No.",$C2080,"4 Item Ledger Entry Type",$C$4,"2 Item No.","@@"&amp;$F2080,"3 Posting Date",O$9)-NL("Sum","5802 Value Entry","43 Cost Amount (Actual)","41 Source Type",$C$5,"5 Source no.",$C2080,"4 Item Ledger Entry Type",$C$4,"2 Item No.","@@"&amp;$F2080,"3 Posting Date",O$9)</t>
  </si>
  <si>
    <t>=O2080-Q2080</t>
  </si>
  <si>
    <t>=IF(O2080&lt;&gt;0,R2080/O2080,"")</t>
  </si>
  <si>
    <t>=NL("Sum","5802 Value Entry","150 Sales Amount (Expected)","41 Source Type",$C$5,"5 Source No.",$C2080,"4 Item Ledger Entry Type",$C$4,"2 Item No.","@@"&amp;$F2080,"3 Posting Date",U$9)+NL("Sum","5802 Value Entry","17 Sales Amount (Actual)","41 Source Type",$C$5,"5 Source no.",$C2080,"4 Item Ledger Entry Type",$C$4,"2 Item No.","@@"&amp;$F2080,"3 Posting Date",U$9)</t>
  </si>
  <si>
    <t>=-NL("Sum","5802 Value Entry","151 Cost Amount (Expected)","41 Source Type",$C$5,"5 Source No.",$C2080,"4 Item Ledger Entry Type",$C$4,"2 Item No.","@@"&amp;$F2080,"3 Posting Date",U$9)-NL("Sum","5802 Value Entry","43 Cost Amount (Actual)","41 Source Type",$C$5,"5 Source no.",$C2080,"4 Item Ledger Entry Type",$C$4,"2 Item No.","@@"&amp;$F2080,"3 Posting Date",U$9)</t>
  </si>
  <si>
    <t>=U2080-W2080</t>
  </si>
  <si>
    <t>=IF(U2080&lt;&gt;0,X2080/U2080,"")</t>
  </si>
  <si>
    <t>=NL("Sum","5802 Value Entry","150 Sales Amount (Expected)","41 Source Type",$C$5,"5 Source No.",$C2080,"4 Item Ledger Entry Type",$C$4,"2 Item No.","@@"&amp;$F2080,"3 Posting Date",Z$9)+NL("Sum","5802 Value Entry","17 Sales Amount (Actual)","41 Source Type",$C$5,"5 Source no.",$C2080,"4 Item Ledger Entry Type",$C$4,"2 Item No.","@@"&amp;$F2080,"3 Posting Date",Z$9)</t>
  </si>
  <si>
    <t>=-NL("Sum","5802 Value Entry","151 Cost Amount (Expected)","41 Source Type",$C$5,"5 Source No.",$C2080,"4 Item Ledger Entry Type",$C$4,"2 Item No.","@@"&amp;$F2080,"3 Posting Date",Z$9)-NL("Sum","5802 Value Entry","43 Cost Amount (Actual)","41 Source Type",$C$5,"5 Source no.",$C2080,"4 Item Ledger Entry Type",$C$4,"2 Item No.","@@"&amp;$F2080,"3 Posting Date",Z$9)</t>
  </si>
  <si>
    <t>=Z2080-AB2080</t>
  </si>
  <si>
    <t>=IF(Z2080&lt;&gt;0,AC2080/Z2080,"")</t>
  </si>
  <si>
    <t>=C2080</t>
  </si>
  <si>
    <t>=NL("Sum","5802 Value Entry","150 Sales Amount (Expected)","41 Source Type",$C$5,"5 Source No.",$C2081,"4 Item Ledger Entry Type",$C$4,"2 Item No.","@@"&amp;$F2081,"3 Posting Date",J$9)+NL("Sum","5802 Value Entry","17 Sales Amount (Actual)","41 Source Type",$C$5,"5 Source no.",$C2081,"4 Item Ledger Entry Type",$C$4,"2 Item No.","@@"&amp;$F2081,"3 Posting Date",J$9)</t>
  </si>
  <si>
    <t>=-NL("Sum","5802 Value Entry","151 Cost Amount (Expected)","41 Source Type",$C$5,"5 Source No.",$C2081,"4 Item Ledger Entry Type",$C$4,"2 Item No.","@@"&amp;$F2081,"3 Posting Date",J$9)-NL("Sum","5802 Value Entry","43 Cost Amount (Actual)","41 Source Type",$C$5,"5 Source no.",$C2081,"4 Item Ledger Entry Type",$C$4,"2 Item No.","@@"&amp;$F2081,"3 Posting Date",J$9)</t>
  </si>
  <si>
    <t>=J2081-L2081</t>
  </si>
  <si>
    <t>=IF(J2081&lt;&gt;0,M2081/J2081,"")</t>
  </si>
  <si>
    <t>=NL("Sum","5802 Value Entry","150 Sales Amount (Expected)","41 Source Type",$C$5,"5 Source No.",$C2081,"4 Item Ledger Entry Type",$C$4,"2 Item No.","@@"&amp;$F2081,"3 Posting Date",O$9)+NL("Sum","5802 Value Entry","17 Sales Amount (Actual)","41 Source Type",$C$5,"5 Source no.",$C2081,"4 Item Ledger Entry Type",$C$4,"2 Item No.","@@"&amp;$F2081,"3 Posting Date",O$9)</t>
  </si>
  <si>
    <t>=-NL("Sum","5802 Value Entry","151 Cost Amount (Expected)","41 Source Type",$C$5,"5 Source No.",$C2081,"4 Item Ledger Entry Type",$C$4,"2 Item No.","@@"&amp;$F2081,"3 Posting Date",O$9)-NL("Sum","5802 Value Entry","43 Cost Amount (Actual)","41 Source Type",$C$5,"5 Source no.",$C2081,"4 Item Ledger Entry Type",$C$4,"2 Item No.","@@"&amp;$F2081,"3 Posting Date",O$9)</t>
  </si>
  <si>
    <t>=O2081-Q2081</t>
  </si>
  <si>
    <t>=IF(O2081&lt;&gt;0,R2081/O2081,"")</t>
  </si>
  <si>
    <t>=NL("Sum","5802 Value Entry","150 Sales Amount (Expected)","41 Source Type",$C$5,"5 Source No.",$C2081,"4 Item Ledger Entry Type",$C$4,"2 Item No.","@@"&amp;$F2081,"3 Posting Date",U$9)+NL("Sum","5802 Value Entry","17 Sales Amount (Actual)","41 Source Type",$C$5,"5 Source no.",$C2081,"4 Item Ledger Entry Type",$C$4,"2 Item No.","@@"&amp;$F2081,"3 Posting Date",U$9)</t>
  </si>
  <si>
    <t>=-NL("Sum","5802 Value Entry","151 Cost Amount (Expected)","41 Source Type",$C$5,"5 Source No.",$C2081,"4 Item Ledger Entry Type",$C$4,"2 Item No.","@@"&amp;$F2081,"3 Posting Date",U$9)-NL("Sum","5802 Value Entry","43 Cost Amount (Actual)","41 Source Type",$C$5,"5 Source no.",$C2081,"4 Item Ledger Entry Type",$C$4,"2 Item No.","@@"&amp;$F2081,"3 Posting Date",U$9)</t>
  </si>
  <si>
    <t>=U2081-W2081</t>
  </si>
  <si>
    <t>=IF(U2081&lt;&gt;0,X2081/U2081,"")</t>
  </si>
  <si>
    <t>=NL("Sum","5802 Value Entry","150 Sales Amount (Expected)","41 Source Type",$C$5,"5 Source No.",$C2081,"4 Item Ledger Entry Type",$C$4,"2 Item No.","@@"&amp;$F2081,"3 Posting Date",Z$9)+NL("Sum","5802 Value Entry","17 Sales Amount (Actual)","41 Source Type",$C$5,"5 Source no.",$C2081,"4 Item Ledger Entry Type",$C$4,"2 Item No.","@@"&amp;$F2081,"3 Posting Date",Z$9)</t>
  </si>
  <si>
    <t>=-NL("Sum","5802 Value Entry","151 Cost Amount (Expected)","41 Source Type",$C$5,"5 Source No.",$C2081,"4 Item Ledger Entry Type",$C$4,"2 Item No.","@@"&amp;$F2081,"3 Posting Date",Z$9)-NL("Sum","5802 Value Entry","43 Cost Amount (Actual)","41 Source Type",$C$5,"5 Source no.",$C2081,"4 Item Ledger Entry Type",$C$4,"2 Item No.","@@"&amp;$F2081,"3 Posting Date",Z$9)</t>
  </si>
  <si>
    <t>=Z2081-AB2081</t>
  </si>
  <si>
    <t>=IF(Z2081&lt;&gt;0,AC2081/Z2081,"")</t>
  </si>
  <si>
    <t>=C2081</t>
  </si>
  <si>
    <t>=NL("Sum","5802 Value Entry","150 Sales Amount (Expected)","41 Source Type",$C$5,"5 Source No.",$C2082,"4 Item Ledger Entry Type",$C$4,"2 Item No.","@@"&amp;$F2082,"3 Posting Date",J$9)+NL("Sum","5802 Value Entry","17 Sales Amount (Actual)","41 Source Type",$C$5,"5 Source no.",$C2082,"4 Item Ledger Entry Type",$C$4,"2 Item No.","@@"&amp;$F2082,"3 Posting Date",J$9)</t>
  </si>
  <si>
    <t>=-NL("Sum","5802 Value Entry","151 Cost Amount (Expected)","41 Source Type",$C$5,"5 Source No.",$C2082,"4 Item Ledger Entry Type",$C$4,"2 Item No.","@@"&amp;$F2082,"3 Posting Date",J$9)-NL("Sum","5802 Value Entry","43 Cost Amount (Actual)","41 Source Type",$C$5,"5 Source no.",$C2082,"4 Item Ledger Entry Type",$C$4,"2 Item No.","@@"&amp;$F2082,"3 Posting Date",J$9)</t>
  </si>
  <si>
    <t>=J2082-L2082</t>
  </si>
  <si>
    <t>=IF(J2082&lt;&gt;0,M2082/J2082,"")</t>
  </si>
  <si>
    <t>=NL("Sum","5802 Value Entry","150 Sales Amount (Expected)","41 Source Type",$C$5,"5 Source No.",$C2082,"4 Item Ledger Entry Type",$C$4,"2 Item No.","@@"&amp;$F2082,"3 Posting Date",O$9)+NL("Sum","5802 Value Entry","17 Sales Amount (Actual)","41 Source Type",$C$5,"5 Source no.",$C2082,"4 Item Ledger Entry Type",$C$4,"2 Item No.","@@"&amp;$F2082,"3 Posting Date",O$9)</t>
  </si>
  <si>
    <t>=-NL("Sum","5802 Value Entry","151 Cost Amount (Expected)","41 Source Type",$C$5,"5 Source No.",$C2082,"4 Item Ledger Entry Type",$C$4,"2 Item No.","@@"&amp;$F2082,"3 Posting Date",O$9)-NL("Sum","5802 Value Entry","43 Cost Amount (Actual)","41 Source Type",$C$5,"5 Source no.",$C2082,"4 Item Ledger Entry Type",$C$4,"2 Item No.","@@"&amp;$F2082,"3 Posting Date",O$9)</t>
  </si>
  <si>
    <t>=O2082-Q2082</t>
  </si>
  <si>
    <t>=IF(O2082&lt;&gt;0,R2082/O2082,"")</t>
  </si>
  <si>
    <t>=NL("Sum","5802 Value Entry","150 Sales Amount (Expected)","41 Source Type",$C$5,"5 Source No.",$C2082,"4 Item Ledger Entry Type",$C$4,"2 Item No.","@@"&amp;$F2082,"3 Posting Date",U$9)+NL("Sum","5802 Value Entry","17 Sales Amount (Actual)","41 Source Type",$C$5,"5 Source no.",$C2082,"4 Item Ledger Entry Type",$C$4,"2 Item No.","@@"&amp;$F2082,"3 Posting Date",U$9)</t>
  </si>
  <si>
    <t>=-NL("Sum","5802 Value Entry","151 Cost Amount (Expected)","41 Source Type",$C$5,"5 Source No.",$C2082,"4 Item Ledger Entry Type",$C$4,"2 Item No.","@@"&amp;$F2082,"3 Posting Date",U$9)-NL("Sum","5802 Value Entry","43 Cost Amount (Actual)","41 Source Type",$C$5,"5 Source no.",$C2082,"4 Item Ledger Entry Type",$C$4,"2 Item No.","@@"&amp;$F2082,"3 Posting Date",U$9)</t>
  </si>
  <si>
    <t>=U2082-W2082</t>
  </si>
  <si>
    <t>=IF(U2082&lt;&gt;0,X2082/U2082,"")</t>
  </si>
  <si>
    <t>=NL("Sum","5802 Value Entry","150 Sales Amount (Expected)","41 Source Type",$C$5,"5 Source No.",$C2082,"4 Item Ledger Entry Type",$C$4,"2 Item No.","@@"&amp;$F2082,"3 Posting Date",Z$9)+NL("Sum","5802 Value Entry","17 Sales Amount (Actual)","41 Source Type",$C$5,"5 Source no.",$C2082,"4 Item Ledger Entry Type",$C$4,"2 Item No.","@@"&amp;$F2082,"3 Posting Date",Z$9)</t>
  </si>
  <si>
    <t>=-NL("Sum","5802 Value Entry","151 Cost Amount (Expected)","41 Source Type",$C$5,"5 Source No.",$C2082,"4 Item Ledger Entry Type",$C$4,"2 Item No.","@@"&amp;$F2082,"3 Posting Date",Z$9)-NL("Sum","5802 Value Entry","43 Cost Amount (Actual)","41 Source Type",$C$5,"5 Source no.",$C2082,"4 Item Ledger Entry Type",$C$4,"2 Item No.","@@"&amp;$F2082,"3 Posting Date",Z$9)</t>
  </si>
  <si>
    <t>=Z2082-AB2082</t>
  </si>
  <si>
    <t>=IF(Z2082&lt;&gt;0,AC2082/Z2082,"")</t>
  </si>
  <si>
    <t>=C2082</t>
  </si>
  <si>
    <t>=NL("Sum","5802 Value Entry","150 Sales Amount (Expected)","41 Source Type",$C$5,"5 Source No.",$C2083,"4 Item Ledger Entry Type",$C$4,"2 Item No.","@@"&amp;$F2083,"3 Posting Date",J$9)+NL("Sum","5802 Value Entry","17 Sales Amount (Actual)","41 Source Type",$C$5,"5 Source no.",$C2083,"4 Item Ledger Entry Type",$C$4,"2 Item No.","@@"&amp;$F2083,"3 Posting Date",J$9)</t>
  </si>
  <si>
    <t>=-NL("Sum","5802 Value Entry","151 Cost Amount (Expected)","41 Source Type",$C$5,"5 Source No.",$C2083,"4 Item Ledger Entry Type",$C$4,"2 Item No.","@@"&amp;$F2083,"3 Posting Date",J$9)-NL("Sum","5802 Value Entry","43 Cost Amount (Actual)","41 Source Type",$C$5,"5 Source no.",$C2083,"4 Item Ledger Entry Type",$C$4,"2 Item No.","@@"&amp;$F2083,"3 Posting Date",J$9)</t>
  </si>
  <si>
    <t>=J2083-L2083</t>
  </si>
  <si>
    <t>=IF(J2083&lt;&gt;0,M2083/J2083,"")</t>
  </si>
  <si>
    <t>=NL("Sum","5802 Value Entry","150 Sales Amount (Expected)","41 Source Type",$C$5,"5 Source No.",$C2083,"4 Item Ledger Entry Type",$C$4,"2 Item No.","@@"&amp;$F2083,"3 Posting Date",O$9)+NL("Sum","5802 Value Entry","17 Sales Amount (Actual)","41 Source Type",$C$5,"5 Source no.",$C2083,"4 Item Ledger Entry Type",$C$4,"2 Item No.","@@"&amp;$F2083,"3 Posting Date",O$9)</t>
  </si>
  <si>
    <t>=-NL("Sum","5802 Value Entry","151 Cost Amount (Expected)","41 Source Type",$C$5,"5 Source No.",$C2083,"4 Item Ledger Entry Type",$C$4,"2 Item No.","@@"&amp;$F2083,"3 Posting Date",O$9)-NL("Sum","5802 Value Entry","43 Cost Amount (Actual)","41 Source Type",$C$5,"5 Source no.",$C2083,"4 Item Ledger Entry Type",$C$4,"2 Item No.","@@"&amp;$F2083,"3 Posting Date",O$9)</t>
  </si>
  <si>
    <t>=O2083-Q2083</t>
  </si>
  <si>
    <t>=IF(O2083&lt;&gt;0,R2083/O2083,"")</t>
  </si>
  <si>
    <t>=NL("Sum","5802 Value Entry","150 Sales Amount (Expected)","41 Source Type",$C$5,"5 Source No.",$C2083,"4 Item Ledger Entry Type",$C$4,"2 Item No.","@@"&amp;$F2083,"3 Posting Date",U$9)+NL("Sum","5802 Value Entry","17 Sales Amount (Actual)","41 Source Type",$C$5,"5 Source no.",$C2083,"4 Item Ledger Entry Type",$C$4,"2 Item No.","@@"&amp;$F2083,"3 Posting Date",U$9)</t>
  </si>
  <si>
    <t>=-NL("Sum","5802 Value Entry","151 Cost Amount (Expected)","41 Source Type",$C$5,"5 Source No.",$C2083,"4 Item Ledger Entry Type",$C$4,"2 Item No.","@@"&amp;$F2083,"3 Posting Date",U$9)-NL("Sum","5802 Value Entry","43 Cost Amount (Actual)","41 Source Type",$C$5,"5 Source no.",$C2083,"4 Item Ledger Entry Type",$C$4,"2 Item No.","@@"&amp;$F2083,"3 Posting Date",U$9)</t>
  </si>
  <si>
    <t>=U2083-W2083</t>
  </si>
  <si>
    <t>=IF(U2083&lt;&gt;0,X2083/U2083,"")</t>
  </si>
  <si>
    <t>=NL("Sum","5802 Value Entry","150 Sales Amount (Expected)","41 Source Type",$C$5,"5 Source No.",$C2083,"4 Item Ledger Entry Type",$C$4,"2 Item No.","@@"&amp;$F2083,"3 Posting Date",Z$9)+NL("Sum","5802 Value Entry","17 Sales Amount (Actual)","41 Source Type",$C$5,"5 Source no.",$C2083,"4 Item Ledger Entry Type",$C$4,"2 Item No.","@@"&amp;$F2083,"3 Posting Date",Z$9)</t>
  </si>
  <si>
    <t>=-NL("Sum","5802 Value Entry","151 Cost Amount (Expected)","41 Source Type",$C$5,"5 Source No.",$C2083,"4 Item Ledger Entry Type",$C$4,"2 Item No.","@@"&amp;$F2083,"3 Posting Date",Z$9)-NL("Sum","5802 Value Entry","43 Cost Amount (Actual)","41 Source Type",$C$5,"5 Source no.",$C2083,"4 Item Ledger Entry Type",$C$4,"2 Item No.","@@"&amp;$F2083,"3 Posting Date",Z$9)</t>
  </si>
  <si>
    <t>=Z2083-AB2083</t>
  </si>
  <si>
    <t>=IF(Z2083&lt;&gt;0,AC2083/Z2083,"")</t>
  </si>
  <si>
    <t>=C2083</t>
  </si>
  <si>
    <t>=NL("Sum","5802 Value Entry","150 Sales Amount (Expected)","41 Source Type",$C$5,"5 Source No.",$C2084,"4 Item Ledger Entry Type",$C$4,"2 Item No.","@@"&amp;$F2084,"3 Posting Date",J$9)+NL("Sum","5802 Value Entry","17 Sales Amount (Actual)","41 Source Type",$C$5,"5 Source no.",$C2084,"4 Item Ledger Entry Type",$C$4,"2 Item No.","@@"&amp;$F2084,"3 Posting Date",J$9)</t>
  </si>
  <si>
    <t>=-NL("Sum","5802 Value Entry","151 Cost Amount (Expected)","41 Source Type",$C$5,"5 Source No.",$C2084,"4 Item Ledger Entry Type",$C$4,"2 Item No.","@@"&amp;$F2084,"3 Posting Date",J$9)-NL("Sum","5802 Value Entry","43 Cost Amount (Actual)","41 Source Type",$C$5,"5 Source no.",$C2084,"4 Item Ledger Entry Type",$C$4,"2 Item No.","@@"&amp;$F2084,"3 Posting Date",J$9)</t>
  </si>
  <si>
    <t>=J2084-L2084</t>
  </si>
  <si>
    <t>=IF(J2084&lt;&gt;0,M2084/J2084,"")</t>
  </si>
  <si>
    <t>=NL("Sum","5802 Value Entry","150 Sales Amount (Expected)","41 Source Type",$C$5,"5 Source No.",$C2084,"4 Item Ledger Entry Type",$C$4,"2 Item No.","@@"&amp;$F2084,"3 Posting Date",O$9)+NL("Sum","5802 Value Entry","17 Sales Amount (Actual)","41 Source Type",$C$5,"5 Source no.",$C2084,"4 Item Ledger Entry Type",$C$4,"2 Item No.","@@"&amp;$F2084,"3 Posting Date",O$9)</t>
  </si>
  <si>
    <t>=-NL("Sum","5802 Value Entry","151 Cost Amount (Expected)","41 Source Type",$C$5,"5 Source No.",$C2084,"4 Item Ledger Entry Type",$C$4,"2 Item No.","@@"&amp;$F2084,"3 Posting Date",O$9)-NL("Sum","5802 Value Entry","43 Cost Amount (Actual)","41 Source Type",$C$5,"5 Source no.",$C2084,"4 Item Ledger Entry Type",$C$4,"2 Item No.","@@"&amp;$F2084,"3 Posting Date",O$9)</t>
  </si>
  <si>
    <t>=O2084-Q2084</t>
  </si>
  <si>
    <t>=IF(O2084&lt;&gt;0,R2084/O2084,"")</t>
  </si>
  <si>
    <t>=NL("Sum","5802 Value Entry","150 Sales Amount (Expected)","41 Source Type",$C$5,"5 Source No.",$C2084,"4 Item Ledger Entry Type",$C$4,"2 Item No.","@@"&amp;$F2084,"3 Posting Date",U$9)+NL("Sum","5802 Value Entry","17 Sales Amount (Actual)","41 Source Type",$C$5,"5 Source no.",$C2084,"4 Item Ledger Entry Type",$C$4,"2 Item No.","@@"&amp;$F2084,"3 Posting Date",U$9)</t>
  </si>
  <si>
    <t>=-NL("Sum","5802 Value Entry","151 Cost Amount (Expected)","41 Source Type",$C$5,"5 Source No.",$C2084,"4 Item Ledger Entry Type",$C$4,"2 Item No.","@@"&amp;$F2084,"3 Posting Date",U$9)-NL("Sum","5802 Value Entry","43 Cost Amount (Actual)","41 Source Type",$C$5,"5 Source no.",$C2084,"4 Item Ledger Entry Type",$C$4,"2 Item No.","@@"&amp;$F2084,"3 Posting Date",U$9)</t>
  </si>
  <si>
    <t>=U2084-W2084</t>
  </si>
  <si>
    <t>=IF(U2084&lt;&gt;0,X2084/U2084,"")</t>
  </si>
  <si>
    <t>=NL("Sum","5802 Value Entry","150 Sales Amount (Expected)","41 Source Type",$C$5,"5 Source No.",$C2084,"4 Item Ledger Entry Type",$C$4,"2 Item No.","@@"&amp;$F2084,"3 Posting Date",Z$9)+NL("Sum","5802 Value Entry","17 Sales Amount (Actual)","41 Source Type",$C$5,"5 Source no.",$C2084,"4 Item Ledger Entry Type",$C$4,"2 Item No.","@@"&amp;$F2084,"3 Posting Date",Z$9)</t>
  </si>
  <si>
    <t>=-NL("Sum","5802 Value Entry","151 Cost Amount (Expected)","41 Source Type",$C$5,"5 Source No.",$C2084,"4 Item Ledger Entry Type",$C$4,"2 Item No.","@@"&amp;$F2084,"3 Posting Date",Z$9)-NL("Sum","5802 Value Entry","43 Cost Amount (Actual)","41 Source Type",$C$5,"5 Source no.",$C2084,"4 Item Ledger Entry Type",$C$4,"2 Item No.","@@"&amp;$F2084,"3 Posting Date",Z$9)</t>
  </si>
  <si>
    <t>=Z2084-AB2084</t>
  </si>
  <si>
    <t>=IF(Z2084&lt;&gt;0,AC2084/Z2084,"")</t>
  </si>
  <si>
    <t>=C2084</t>
  </si>
  <si>
    <t>=NL("Sum","5802 Value Entry","150 Sales Amount (Expected)","41 Source Type",$C$5,"5 Source No.",$C2085,"4 Item Ledger Entry Type",$C$4,"2 Item No.","@@"&amp;$F2085,"3 Posting Date",J$9)+NL("Sum","5802 Value Entry","17 Sales Amount (Actual)","41 Source Type",$C$5,"5 Source no.",$C2085,"4 Item Ledger Entry Type",$C$4,"2 Item No.","@@"&amp;$F2085,"3 Posting Date",J$9)</t>
  </si>
  <si>
    <t>=-NL("Sum","5802 Value Entry","151 Cost Amount (Expected)","41 Source Type",$C$5,"5 Source No.",$C2085,"4 Item Ledger Entry Type",$C$4,"2 Item No.","@@"&amp;$F2085,"3 Posting Date",J$9)-NL("Sum","5802 Value Entry","43 Cost Amount (Actual)","41 Source Type",$C$5,"5 Source no.",$C2085,"4 Item Ledger Entry Type",$C$4,"2 Item No.","@@"&amp;$F2085,"3 Posting Date",J$9)</t>
  </si>
  <si>
    <t>=J2085-L2085</t>
  </si>
  <si>
    <t>=IF(J2085&lt;&gt;0,M2085/J2085,"")</t>
  </si>
  <si>
    <t>=NL("Sum","5802 Value Entry","150 Sales Amount (Expected)","41 Source Type",$C$5,"5 Source No.",$C2085,"4 Item Ledger Entry Type",$C$4,"2 Item No.","@@"&amp;$F2085,"3 Posting Date",O$9)+NL("Sum","5802 Value Entry","17 Sales Amount (Actual)","41 Source Type",$C$5,"5 Source no.",$C2085,"4 Item Ledger Entry Type",$C$4,"2 Item No.","@@"&amp;$F2085,"3 Posting Date",O$9)</t>
  </si>
  <si>
    <t>=-NL("Sum","5802 Value Entry","151 Cost Amount (Expected)","41 Source Type",$C$5,"5 Source No.",$C2085,"4 Item Ledger Entry Type",$C$4,"2 Item No.","@@"&amp;$F2085,"3 Posting Date",O$9)-NL("Sum","5802 Value Entry","43 Cost Amount (Actual)","41 Source Type",$C$5,"5 Source no.",$C2085,"4 Item Ledger Entry Type",$C$4,"2 Item No.","@@"&amp;$F2085,"3 Posting Date",O$9)</t>
  </si>
  <si>
    <t>=O2085-Q2085</t>
  </si>
  <si>
    <t>=IF(O2085&lt;&gt;0,R2085/O2085,"")</t>
  </si>
  <si>
    <t>=NL("Sum","5802 Value Entry","150 Sales Amount (Expected)","41 Source Type",$C$5,"5 Source No.",$C2085,"4 Item Ledger Entry Type",$C$4,"2 Item No.","@@"&amp;$F2085,"3 Posting Date",U$9)+NL("Sum","5802 Value Entry","17 Sales Amount (Actual)","41 Source Type",$C$5,"5 Source no.",$C2085,"4 Item Ledger Entry Type",$C$4,"2 Item No.","@@"&amp;$F2085,"3 Posting Date",U$9)</t>
  </si>
  <si>
    <t>=-NL("Sum","5802 Value Entry","151 Cost Amount (Expected)","41 Source Type",$C$5,"5 Source No.",$C2085,"4 Item Ledger Entry Type",$C$4,"2 Item No.","@@"&amp;$F2085,"3 Posting Date",U$9)-NL("Sum","5802 Value Entry","43 Cost Amount (Actual)","41 Source Type",$C$5,"5 Source no.",$C2085,"4 Item Ledger Entry Type",$C$4,"2 Item No.","@@"&amp;$F2085,"3 Posting Date",U$9)</t>
  </si>
  <si>
    <t>=U2085-W2085</t>
  </si>
  <si>
    <t>=IF(U2085&lt;&gt;0,X2085/U2085,"")</t>
  </si>
  <si>
    <t>=NL("Sum","5802 Value Entry","150 Sales Amount (Expected)","41 Source Type",$C$5,"5 Source No.",$C2085,"4 Item Ledger Entry Type",$C$4,"2 Item No.","@@"&amp;$F2085,"3 Posting Date",Z$9)+NL("Sum","5802 Value Entry","17 Sales Amount (Actual)","41 Source Type",$C$5,"5 Source no.",$C2085,"4 Item Ledger Entry Type",$C$4,"2 Item No.","@@"&amp;$F2085,"3 Posting Date",Z$9)</t>
  </si>
  <si>
    <t>=-NL("Sum","5802 Value Entry","151 Cost Amount (Expected)","41 Source Type",$C$5,"5 Source No.",$C2085,"4 Item Ledger Entry Type",$C$4,"2 Item No.","@@"&amp;$F2085,"3 Posting Date",Z$9)-NL("Sum","5802 Value Entry","43 Cost Amount (Actual)","41 Source Type",$C$5,"5 Source no.",$C2085,"4 Item Ledger Entry Type",$C$4,"2 Item No.","@@"&amp;$F2085,"3 Posting Date",Z$9)</t>
  </si>
  <si>
    <t>=Z2085-AB2085</t>
  </si>
  <si>
    <t>=IF(Z2085&lt;&gt;0,AC2085/Z2085,"")</t>
  </si>
  <si>
    <t>=C2085</t>
  </si>
  <si>
    <t>=NL("Sum","5802 Value Entry","150 Sales Amount (Expected)","41 Source Type",$C$5,"5 Source No.",$C2086,"4 Item Ledger Entry Type",$C$4,"2 Item No.","@@"&amp;$F2086,"3 Posting Date",J$9)+NL("Sum","5802 Value Entry","17 Sales Amount (Actual)","41 Source Type",$C$5,"5 Source no.",$C2086,"4 Item Ledger Entry Type",$C$4,"2 Item No.","@@"&amp;$F2086,"3 Posting Date",J$9)</t>
  </si>
  <si>
    <t>=-NL("Sum","5802 Value Entry","151 Cost Amount (Expected)","41 Source Type",$C$5,"5 Source No.",$C2086,"4 Item Ledger Entry Type",$C$4,"2 Item No.","@@"&amp;$F2086,"3 Posting Date",J$9)-NL("Sum","5802 Value Entry","43 Cost Amount (Actual)","41 Source Type",$C$5,"5 Source no.",$C2086,"4 Item Ledger Entry Type",$C$4,"2 Item No.","@@"&amp;$F2086,"3 Posting Date",J$9)</t>
  </si>
  <si>
    <t>=J2086-L2086</t>
  </si>
  <si>
    <t>=IF(J2086&lt;&gt;0,M2086/J2086,"")</t>
  </si>
  <si>
    <t>=NL("Sum","5802 Value Entry","150 Sales Amount (Expected)","41 Source Type",$C$5,"5 Source No.",$C2086,"4 Item Ledger Entry Type",$C$4,"2 Item No.","@@"&amp;$F2086,"3 Posting Date",O$9)+NL("Sum","5802 Value Entry","17 Sales Amount (Actual)","41 Source Type",$C$5,"5 Source no.",$C2086,"4 Item Ledger Entry Type",$C$4,"2 Item No.","@@"&amp;$F2086,"3 Posting Date",O$9)</t>
  </si>
  <si>
    <t>=-NL("Sum","5802 Value Entry","151 Cost Amount (Expected)","41 Source Type",$C$5,"5 Source No.",$C2086,"4 Item Ledger Entry Type",$C$4,"2 Item No.","@@"&amp;$F2086,"3 Posting Date",O$9)-NL("Sum","5802 Value Entry","43 Cost Amount (Actual)","41 Source Type",$C$5,"5 Source no.",$C2086,"4 Item Ledger Entry Type",$C$4,"2 Item No.","@@"&amp;$F2086,"3 Posting Date",O$9)</t>
  </si>
  <si>
    <t>=O2086-Q2086</t>
  </si>
  <si>
    <t>=IF(O2086&lt;&gt;0,R2086/O2086,"")</t>
  </si>
  <si>
    <t>=NL("Sum","5802 Value Entry","150 Sales Amount (Expected)","41 Source Type",$C$5,"5 Source No.",$C2086,"4 Item Ledger Entry Type",$C$4,"2 Item No.","@@"&amp;$F2086,"3 Posting Date",U$9)+NL("Sum","5802 Value Entry","17 Sales Amount (Actual)","41 Source Type",$C$5,"5 Source no.",$C2086,"4 Item Ledger Entry Type",$C$4,"2 Item No.","@@"&amp;$F2086,"3 Posting Date",U$9)</t>
  </si>
  <si>
    <t>=-NL("Sum","5802 Value Entry","151 Cost Amount (Expected)","41 Source Type",$C$5,"5 Source No.",$C2086,"4 Item Ledger Entry Type",$C$4,"2 Item No.","@@"&amp;$F2086,"3 Posting Date",U$9)-NL("Sum","5802 Value Entry","43 Cost Amount (Actual)","41 Source Type",$C$5,"5 Source no.",$C2086,"4 Item Ledger Entry Type",$C$4,"2 Item No.","@@"&amp;$F2086,"3 Posting Date",U$9)</t>
  </si>
  <si>
    <t>=U2086-W2086</t>
  </si>
  <si>
    <t>=IF(U2086&lt;&gt;0,X2086/U2086,"")</t>
  </si>
  <si>
    <t>=NL("Sum","5802 Value Entry","150 Sales Amount (Expected)","41 Source Type",$C$5,"5 Source No.",$C2086,"4 Item Ledger Entry Type",$C$4,"2 Item No.","@@"&amp;$F2086,"3 Posting Date",Z$9)+NL("Sum","5802 Value Entry","17 Sales Amount (Actual)","41 Source Type",$C$5,"5 Source no.",$C2086,"4 Item Ledger Entry Type",$C$4,"2 Item No.","@@"&amp;$F2086,"3 Posting Date",Z$9)</t>
  </si>
  <si>
    <t>=-NL("Sum","5802 Value Entry","151 Cost Amount (Expected)","41 Source Type",$C$5,"5 Source No.",$C2086,"4 Item Ledger Entry Type",$C$4,"2 Item No.","@@"&amp;$F2086,"3 Posting Date",Z$9)-NL("Sum","5802 Value Entry","43 Cost Amount (Actual)","41 Source Type",$C$5,"5 Source no.",$C2086,"4 Item Ledger Entry Type",$C$4,"2 Item No.","@@"&amp;$F2086,"3 Posting Date",Z$9)</t>
  </si>
  <si>
    <t>=Z2086-AB2086</t>
  </si>
  <si>
    <t>=IF(Z2086&lt;&gt;0,AC2086/Z2086,"")</t>
  </si>
  <si>
    <t>=C2086</t>
  </si>
  <si>
    <t>=NL("Sum","5802 Value Entry","150 Sales Amount (Expected)","41 Source Type",$C$5,"5 Source No.",$C2087,"4 Item Ledger Entry Type",$C$4,"2 Item No.","@@"&amp;$F2087,"3 Posting Date",J$9)+NL("Sum","5802 Value Entry","17 Sales Amount (Actual)","41 Source Type",$C$5,"5 Source no.",$C2087,"4 Item Ledger Entry Type",$C$4,"2 Item No.","@@"&amp;$F2087,"3 Posting Date",J$9)</t>
  </si>
  <si>
    <t>=-NL("Sum","5802 Value Entry","151 Cost Amount (Expected)","41 Source Type",$C$5,"5 Source No.",$C2087,"4 Item Ledger Entry Type",$C$4,"2 Item No.","@@"&amp;$F2087,"3 Posting Date",J$9)-NL("Sum","5802 Value Entry","43 Cost Amount (Actual)","41 Source Type",$C$5,"5 Source no.",$C2087,"4 Item Ledger Entry Type",$C$4,"2 Item No.","@@"&amp;$F2087,"3 Posting Date",J$9)</t>
  </si>
  <si>
    <t>=J2087-L2087</t>
  </si>
  <si>
    <t>=IF(J2087&lt;&gt;0,M2087/J2087,"")</t>
  </si>
  <si>
    <t>=NL("Sum","5802 Value Entry","150 Sales Amount (Expected)","41 Source Type",$C$5,"5 Source No.",$C2087,"4 Item Ledger Entry Type",$C$4,"2 Item No.","@@"&amp;$F2087,"3 Posting Date",O$9)+NL("Sum","5802 Value Entry","17 Sales Amount (Actual)","41 Source Type",$C$5,"5 Source no.",$C2087,"4 Item Ledger Entry Type",$C$4,"2 Item No.","@@"&amp;$F2087,"3 Posting Date",O$9)</t>
  </si>
  <si>
    <t>=-NL("Sum","5802 Value Entry","151 Cost Amount (Expected)","41 Source Type",$C$5,"5 Source No.",$C2087,"4 Item Ledger Entry Type",$C$4,"2 Item No.","@@"&amp;$F2087,"3 Posting Date",O$9)-NL("Sum","5802 Value Entry","43 Cost Amount (Actual)","41 Source Type",$C$5,"5 Source no.",$C2087,"4 Item Ledger Entry Type",$C$4,"2 Item No.","@@"&amp;$F2087,"3 Posting Date",O$9)</t>
  </si>
  <si>
    <t>=O2087-Q2087</t>
  </si>
  <si>
    <t>=IF(O2087&lt;&gt;0,R2087/O2087,"")</t>
  </si>
  <si>
    <t>=NL("Sum","5802 Value Entry","150 Sales Amount (Expected)","41 Source Type",$C$5,"5 Source No.",$C2087,"4 Item Ledger Entry Type",$C$4,"2 Item No.","@@"&amp;$F2087,"3 Posting Date",U$9)+NL("Sum","5802 Value Entry","17 Sales Amount (Actual)","41 Source Type",$C$5,"5 Source no.",$C2087,"4 Item Ledger Entry Type",$C$4,"2 Item No.","@@"&amp;$F2087,"3 Posting Date",U$9)</t>
  </si>
  <si>
    <t>=-NL("Sum","5802 Value Entry","151 Cost Amount (Expected)","41 Source Type",$C$5,"5 Source No.",$C2087,"4 Item Ledger Entry Type",$C$4,"2 Item No.","@@"&amp;$F2087,"3 Posting Date",U$9)-NL("Sum","5802 Value Entry","43 Cost Amount (Actual)","41 Source Type",$C$5,"5 Source no.",$C2087,"4 Item Ledger Entry Type",$C$4,"2 Item No.","@@"&amp;$F2087,"3 Posting Date",U$9)</t>
  </si>
  <si>
    <t>=U2087-W2087</t>
  </si>
  <si>
    <t>=IF(U2087&lt;&gt;0,X2087/U2087,"")</t>
  </si>
  <si>
    <t>=NL("Sum","5802 Value Entry","150 Sales Amount (Expected)","41 Source Type",$C$5,"5 Source No.",$C2087,"4 Item Ledger Entry Type",$C$4,"2 Item No.","@@"&amp;$F2087,"3 Posting Date",Z$9)+NL("Sum","5802 Value Entry","17 Sales Amount (Actual)","41 Source Type",$C$5,"5 Source no.",$C2087,"4 Item Ledger Entry Type",$C$4,"2 Item No.","@@"&amp;$F2087,"3 Posting Date",Z$9)</t>
  </si>
  <si>
    <t>=-NL("Sum","5802 Value Entry","151 Cost Amount (Expected)","41 Source Type",$C$5,"5 Source No.",$C2087,"4 Item Ledger Entry Type",$C$4,"2 Item No.","@@"&amp;$F2087,"3 Posting Date",Z$9)-NL("Sum","5802 Value Entry","43 Cost Amount (Actual)","41 Source Type",$C$5,"5 Source no.",$C2087,"4 Item Ledger Entry Type",$C$4,"2 Item No.","@@"&amp;$F2087,"3 Posting Date",Z$9)</t>
  </si>
  <si>
    <t>=Z2087-AB2087</t>
  </si>
  <si>
    <t>=IF(Z2087&lt;&gt;0,AC2087/Z2087,"")</t>
  </si>
  <si>
    <t>=C2087</t>
  </si>
  <si>
    <t>=NL("Sum","5802 Value Entry","150 Sales Amount (Expected)","41 Source Type",$C$5,"5 Source No.",$C2088,"4 Item Ledger Entry Type",$C$4,"2 Item No.","@@"&amp;$F2088,"3 Posting Date",J$9)+NL("Sum","5802 Value Entry","17 Sales Amount (Actual)","41 Source Type",$C$5,"5 Source no.",$C2088,"4 Item Ledger Entry Type",$C$4,"2 Item No.","@@"&amp;$F2088,"3 Posting Date",J$9)</t>
  </si>
  <si>
    <t>=-NL("Sum","5802 Value Entry","151 Cost Amount (Expected)","41 Source Type",$C$5,"5 Source No.",$C2088,"4 Item Ledger Entry Type",$C$4,"2 Item No.","@@"&amp;$F2088,"3 Posting Date",J$9)-NL("Sum","5802 Value Entry","43 Cost Amount (Actual)","41 Source Type",$C$5,"5 Source no.",$C2088,"4 Item Ledger Entry Type",$C$4,"2 Item No.","@@"&amp;$F2088,"3 Posting Date",J$9)</t>
  </si>
  <si>
    <t>=J2088-L2088</t>
  </si>
  <si>
    <t>=IF(J2088&lt;&gt;0,M2088/J2088,"")</t>
  </si>
  <si>
    <t>=NL("Sum","5802 Value Entry","150 Sales Amount (Expected)","41 Source Type",$C$5,"5 Source No.",$C2088,"4 Item Ledger Entry Type",$C$4,"2 Item No.","@@"&amp;$F2088,"3 Posting Date",O$9)+NL("Sum","5802 Value Entry","17 Sales Amount (Actual)","41 Source Type",$C$5,"5 Source no.",$C2088,"4 Item Ledger Entry Type",$C$4,"2 Item No.","@@"&amp;$F2088,"3 Posting Date",O$9)</t>
  </si>
  <si>
    <t>=-NL("Sum","5802 Value Entry","151 Cost Amount (Expected)","41 Source Type",$C$5,"5 Source No.",$C2088,"4 Item Ledger Entry Type",$C$4,"2 Item No.","@@"&amp;$F2088,"3 Posting Date",O$9)-NL("Sum","5802 Value Entry","43 Cost Amount (Actual)","41 Source Type",$C$5,"5 Source no.",$C2088,"4 Item Ledger Entry Type",$C$4,"2 Item No.","@@"&amp;$F2088,"3 Posting Date",O$9)</t>
  </si>
  <si>
    <t>=O2088-Q2088</t>
  </si>
  <si>
    <t>=IF(O2088&lt;&gt;0,R2088/O2088,"")</t>
  </si>
  <si>
    <t>=NL("Sum","5802 Value Entry","150 Sales Amount (Expected)","41 Source Type",$C$5,"5 Source No.",$C2088,"4 Item Ledger Entry Type",$C$4,"2 Item No.","@@"&amp;$F2088,"3 Posting Date",U$9)+NL("Sum","5802 Value Entry","17 Sales Amount (Actual)","41 Source Type",$C$5,"5 Source no.",$C2088,"4 Item Ledger Entry Type",$C$4,"2 Item No.","@@"&amp;$F2088,"3 Posting Date",U$9)</t>
  </si>
  <si>
    <t>=-NL("Sum","5802 Value Entry","151 Cost Amount (Expected)","41 Source Type",$C$5,"5 Source No.",$C2088,"4 Item Ledger Entry Type",$C$4,"2 Item No.","@@"&amp;$F2088,"3 Posting Date",U$9)-NL("Sum","5802 Value Entry","43 Cost Amount (Actual)","41 Source Type",$C$5,"5 Source no.",$C2088,"4 Item Ledger Entry Type",$C$4,"2 Item No.","@@"&amp;$F2088,"3 Posting Date",U$9)</t>
  </si>
  <si>
    <t>=U2088-W2088</t>
  </si>
  <si>
    <t>=IF(U2088&lt;&gt;0,X2088/U2088,"")</t>
  </si>
  <si>
    <t>=NL("Sum","5802 Value Entry","150 Sales Amount (Expected)","41 Source Type",$C$5,"5 Source No.",$C2088,"4 Item Ledger Entry Type",$C$4,"2 Item No.","@@"&amp;$F2088,"3 Posting Date",Z$9)+NL("Sum","5802 Value Entry","17 Sales Amount (Actual)","41 Source Type",$C$5,"5 Source no.",$C2088,"4 Item Ledger Entry Type",$C$4,"2 Item No.","@@"&amp;$F2088,"3 Posting Date",Z$9)</t>
  </si>
  <si>
    <t>=-NL("Sum","5802 Value Entry","151 Cost Amount (Expected)","41 Source Type",$C$5,"5 Source No.",$C2088,"4 Item Ledger Entry Type",$C$4,"2 Item No.","@@"&amp;$F2088,"3 Posting Date",Z$9)-NL("Sum","5802 Value Entry","43 Cost Amount (Actual)","41 Source Type",$C$5,"5 Source no.",$C2088,"4 Item Ledger Entry Type",$C$4,"2 Item No.","@@"&amp;$F2088,"3 Posting Date",Z$9)</t>
  </si>
  <si>
    <t>=Z2088-AB2088</t>
  </si>
  <si>
    <t>=IF(Z2088&lt;&gt;0,AC2088/Z2088,"")</t>
  </si>
  <si>
    <t>=C2088</t>
  </si>
  <si>
    <t>=NL("Sum","5802 Value Entry","150 Sales Amount (Expected)","41 Source Type",$C$5,"5 Source No.",$C2089,"4 Item Ledger Entry Type",$C$4,"2 Item No.","@@"&amp;$F2089,"3 Posting Date",J$9)+NL("Sum","5802 Value Entry","17 Sales Amount (Actual)","41 Source Type",$C$5,"5 Source no.",$C2089,"4 Item Ledger Entry Type",$C$4,"2 Item No.","@@"&amp;$F2089,"3 Posting Date",J$9)</t>
  </si>
  <si>
    <t>=-NL("Sum","5802 Value Entry","151 Cost Amount (Expected)","41 Source Type",$C$5,"5 Source No.",$C2089,"4 Item Ledger Entry Type",$C$4,"2 Item No.","@@"&amp;$F2089,"3 Posting Date",J$9)-NL("Sum","5802 Value Entry","43 Cost Amount (Actual)","41 Source Type",$C$5,"5 Source no.",$C2089,"4 Item Ledger Entry Type",$C$4,"2 Item No.","@@"&amp;$F2089,"3 Posting Date",J$9)</t>
  </si>
  <si>
    <t>=J2089-L2089</t>
  </si>
  <si>
    <t>=IF(J2089&lt;&gt;0,M2089/J2089,"")</t>
  </si>
  <si>
    <t>=NL("Sum","5802 Value Entry","150 Sales Amount (Expected)","41 Source Type",$C$5,"5 Source No.",$C2089,"4 Item Ledger Entry Type",$C$4,"2 Item No.","@@"&amp;$F2089,"3 Posting Date",O$9)+NL("Sum","5802 Value Entry","17 Sales Amount (Actual)","41 Source Type",$C$5,"5 Source no.",$C2089,"4 Item Ledger Entry Type",$C$4,"2 Item No.","@@"&amp;$F2089,"3 Posting Date",O$9)</t>
  </si>
  <si>
    <t>=-NL("Sum","5802 Value Entry","151 Cost Amount (Expected)","41 Source Type",$C$5,"5 Source No.",$C2089,"4 Item Ledger Entry Type",$C$4,"2 Item No.","@@"&amp;$F2089,"3 Posting Date",O$9)-NL("Sum","5802 Value Entry","43 Cost Amount (Actual)","41 Source Type",$C$5,"5 Source no.",$C2089,"4 Item Ledger Entry Type",$C$4,"2 Item No.","@@"&amp;$F2089,"3 Posting Date",O$9)</t>
  </si>
  <si>
    <t>=O2089-Q2089</t>
  </si>
  <si>
    <t>=IF(O2089&lt;&gt;0,R2089/O2089,"")</t>
  </si>
  <si>
    <t>=NL("Sum","5802 Value Entry","150 Sales Amount (Expected)","41 Source Type",$C$5,"5 Source No.",$C2089,"4 Item Ledger Entry Type",$C$4,"2 Item No.","@@"&amp;$F2089,"3 Posting Date",U$9)+NL("Sum","5802 Value Entry","17 Sales Amount (Actual)","41 Source Type",$C$5,"5 Source no.",$C2089,"4 Item Ledger Entry Type",$C$4,"2 Item No.","@@"&amp;$F2089,"3 Posting Date",U$9)</t>
  </si>
  <si>
    <t>=-NL("Sum","5802 Value Entry","151 Cost Amount (Expected)","41 Source Type",$C$5,"5 Source No.",$C2089,"4 Item Ledger Entry Type",$C$4,"2 Item No.","@@"&amp;$F2089,"3 Posting Date",U$9)-NL("Sum","5802 Value Entry","43 Cost Amount (Actual)","41 Source Type",$C$5,"5 Source no.",$C2089,"4 Item Ledger Entry Type",$C$4,"2 Item No.","@@"&amp;$F2089,"3 Posting Date",U$9)</t>
  </si>
  <si>
    <t>=U2089-W2089</t>
  </si>
  <si>
    <t>=IF(U2089&lt;&gt;0,X2089/U2089,"")</t>
  </si>
  <si>
    <t>=NL("Sum","5802 Value Entry","150 Sales Amount (Expected)","41 Source Type",$C$5,"5 Source No.",$C2089,"4 Item Ledger Entry Type",$C$4,"2 Item No.","@@"&amp;$F2089,"3 Posting Date",Z$9)+NL("Sum","5802 Value Entry","17 Sales Amount (Actual)","41 Source Type",$C$5,"5 Source no.",$C2089,"4 Item Ledger Entry Type",$C$4,"2 Item No.","@@"&amp;$F2089,"3 Posting Date",Z$9)</t>
  </si>
  <si>
    <t>=-NL("Sum","5802 Value Entry","151 Cost Amount (Expected)","41 Source Type",$C$5,"5 Source No.",$C2089,"4 Item Ledger Entry Type",$C$4,"2 Item No.","@@"&amp;$F2089,"3 Posting Date",Z$9)-NL("Sum","5802 Value Entry","43 Cost Amount (Actual)","41 Source Type",$C$5,"5 Source no.",$C2089,"4 Item Ledger Entry Type",$C$4,"2 Item No.","@@"&amp;$F2089,"3 Posting Date",Z$9)</t>
  </si>
  <si>
    <t>=Z2089-AB2089</t>
  </si>
  <si>
    <t>=IF(Z2089&lt;&gt;0,AC2089/Z2089,"")</t>
  </si>
  <si>
    <t>=C2089</t>
  </si>
  <si>
    <t>="S200017"</t>
  </si>
  <si>
    <t>=NL("Sum","5802 Value Entry","150 Sales Amount (Expected)","41 Source Type",$C$5,"5 Source No.",$C2090,"4 Item Ledger Entry Type",$C$4,"2 Item No.","@@"&amp;$F2090,"3 Posting Date",J$9)+NL("Sum","5802 Value Entry","17 Sales Amount (Actual)","41 Source Type",$C$5,"5 Source no.",$C2090,"4 Item Ledger Entry Type",$C$4,"2 Item No.","@@"&amp;$F2090,"3 Posting Date",J$9)</t>
  </si>
  <si>
    <t>=-NL("Sum","5802 Value Entry","151 Cost Amount (Expected)","41 Source Type",$C$5,"5 Source No.",$C2090,"4 Item Ledger Entry Type",$C$4,"2 Item No.","@@"&amp;$F2090,"3 Posting Date",J$9)-NL("Sum","5802 Value Entry","43 Cost Amount (Actual)","41 Source Type",$C$5,"5 Source no.",$C2090,"4 Item Ledger Entry Type",$C$4,"2 Item No.","@@"&amp;$F2090,"3 Posting Date",J$9)</t>
  </si>
  <si>
    <t>=J2090-L2090</t>
  </si>
  <si>
    <t>=IF(J2090&lt;&gt;0,M2090/J2090,"")</t>
  </si>
  <si>
    <t>=NL("Sum","5802 Value Entry","150 Sales Amount (Expected)","41 Source Type",$C$5,"5 Source No.",$C2090,"4 Item Ledger Entry Type",$C$4,"2 Item No.","@@"&amp;$F2090,"3 Posting Date",O$9)+NL("Sum","5802 Value Entry","17 Sales Amount (Actual)","41 Source Type",$C$5,"5 Source no.",$C2090,"4 Item Ledger Entry Type",$C$4,"2 Item No.","@@"&amp;$F2090,"3 Posting Date",O$9)</t>
  </si>
  <si>
    <t>=-NL("Sum","5802 Value Entry","151 Cost Amount (Expected)","41 Source Type",$C$5,"5 Source No.",$C2090,"4 Item Ledger Entry Type",$C$4,"2 Item No.","@@"&amp;$F2090,"3 Posting Date",O$9)-NL("Sum","5802 Value Entry","43 Cost Amount (Actual)","41 Source Type",$C$5,"5 Source no.",$C2090,"4 Item Ledger Entry Type",$C$4,"2 Item No.","@@"&amp;$F2090,"3 Posting Date",O$9)</t>
  </si>
  <si>
    <t>=O2090-Q2090</t>
  </si>
  <si>
    <t>=IF(O2090&lt;&gt;0,R2090/O2090,"")</t>
  </si>
  <si>
    <t>=NL("Sum","5802 Value Entry","150 Sales Amount (Expected)","41 Source Type",$C$5,"5 Source No.",$C2090,"4 Item Ledger Entry Type",$C$4,"2 Item No.","@@"&amp;$F2090,"3 Posting Date",U$9)+NL("Sum","5802 Value Entry","17 Sales Amount (Actual)","41 Source Type",$C$5,"5 Source no.",$C2090,"4 Item Ledger Entry Type",$C$4,"2 Item No.","@@"&amp;$F2090,"3 Posting Date",U$9)</t>
  </si>
  <si>
    <t>=-NL("Sum","5802 Value Entry","151 Cost Amount (Expected)","41 Source Type",$C$5,"5 Source No.",$C2090,"4 Item Ledger Entry Type",$C$4,"2 Item No.","@@"&amp;$F2090,"3 Posting Date",U$9)-NL("Sum","5802 Value Entry","43 Cost Amount (Actual)","41 Source Type",$C$5,"5 Source no.",$C2090,"4 Item Ledger Entry Type",$C$4,"2 Item No.","@@"&amp;$F2090,"3 Posting Date",U$9)</t>
  </si>
  <si>
    <t>=U2090-W2090</t>
  </si>
  <si>
    <t>=IF(U2090&lt;&gt;0,X2090/U2090,"")</t>
  </si>
  <si>
    <t>=NL("Sum","5802 Value Entry","150 Sales Amount (Expected)","41 Source Type",$C$5,"5 Source No.",$C2090,"4 Item Ledger Entry Type",$C$4,"2 Item No.","@@"&amp;$F2090,"3 Posting Date",Z$9)+NL("Sum","5802 Value Entry","17 Sales Amount (Actual)","41 Source Type",$C$5,"5 Source no.",$C2090,"4 Item Ledger Entry Type",$C$4,"2 Item No.","@@"&amp;$F2090,"3 Posting Date",Z$9)</t>
  </si>
  <si>
    <t>=-NL("Sum","5802 Value Entry","151 Cost Amount (Expected)","41 Source Type",$C$5,"5 Source No.",$C2090,"4 Item Ledger Entry Type",$C$4,"2 Item No.","@@"&amp;$F2090,"3 Posting Date",Z$9)-NL("Sum","5802 Value Entry","43 Cost Amount (Actual)","41 Source Type",$C$5,"5 Source no.",$C2090,"4 Item Ledger Entry Type",$C$4,"2 Item No.","@@"&amp;$F2090,"3 Posting Date",Z$9)</t>
  </si>
  <si>
    <t>=Z2090-AB2090</t>
  </si>
  <si>
    <t>=IF(Z2090&lt;&gt;0,AC2090/Z2090,"")</t>
  </si>
  <si>
    <t>=C2090</t>
  </si>
  <si>
    <t>=NL("Sum","5802 Value Entry","150 Sales Amount (Expected)","41 Source Type",$C$5,"5 Source No.",$C2091,"4 Item Ledger Entry Type",$C$4,"2 Item No.","@@"&amp;$F2091,"3 Posting Date",J$9)+NL("Sum","5802 Value Entry","17 Sales Amount (Actual)","41 Source Type",$C$5,"5 Source no.",$C2091,"4 Item Ledger Entry Type",$C$4,"2 Item No.","@@"&amp;$F2091,"3 Posting Date",J$9)</t>
  </si>
  <si>
    <t>=-NL("Sum","5802 Value Entry","151 Cost Amount (Expected)","41 Source Type",$C$5,"5 Source No.",$C2091,"4 Item Ledger Entry Type",$C$4,"2 Item No.","@@"&amp;$F2091,"3 Posting Date",J$9)-NL("Sum","5802 Value Entry","43 Cost Amount (Actual)","41 Source Type",$C$5,"5 Source no.",$C2091,"4 Item Ledger Entry Type",$C$4,"2 Item No.","@@"&amp;$F2091,"3 Posting Date",J$9)</t>
  </si>
  <si>
    <t>=J2091-L2091</t>
  </si>
  <si>
    <t>=IF(J2091&lt;&gt;0,M2091/J2091,"")</t>
  </si>
  <si>
    <t>=NL("Sum","5802 Value Entry","150 Sales Amount (Expected)","41 Source Type",$C$5,"5 Source No.",$C2091,"4 Item Ledger Entry Type",$C$4,"2 Item No.","@@"&amp;$F2091,"3 Posting Date",O$9)+NL("Sum","5802 Value Entry","17 Sales Amount (Actual)","41 Source Type",$C$5,"5 Source no.",$C2091,"4 Item Ledger Entry Type",$C$4,"2 Item No.","@@"&amp;$F2091,"3 Posting Date",O$9)</t>
  </si>
  <si>
    <t>=-NL("Sum","5802 Value Entry","151 Cost Amount (Expected)","41 Source Type",$C$5,"5 Source No.",$C2091,"4 Item Ledger Entry Type",$C$4,"2 Item No.","@@"&amp;$F2091,"3 Posting Date",O$9)-NL("Sum","5802 Value Entry","43 Cost Amount (Actual)","41 Source Type",$C$5,"5 Source no.",$C2091,"4 Item Ledger Entry Type",$C$4,"2 Item No.","@@"&amp;$F2091,"3 Posting Date",O$9)</t>
  </si>
  <si>
    <t>=O2091-Q2091</t>
  </si>
  <si>
    <t>=IF(O2091&lt;&gt;0,R2091/O2091,"")</t>
  </si>
  <si>
    <t>=NL("Sum","5802 Value Entry","150 Sales Amount (Expected)","41 Source Type",$C$5,"5 Source No.",$C2091,"4 Item Ledger Entry Type",$C$4,"2 Item No.","@@"&amp;$F2091,"3 Posting Date",U$9)+NL("Sum","5802 Value Entry","17 Sales Amount (Actual)","41 Source Type",$C$5,"5 Source no.",$C2091,"4 Item Ledger Entry Type",$C$4,"2 Item No.","@@"&amp;$F2091,"3 Posting Date",U$9)</t>
  </si>
  <si>
    <t>=-NL("Sum","5802 Value Entry","151 Cost Amount (Expected)","41 Source Type",$C$5,"5 Source No.",$C2091,"4 Item Ledger Entry Type",$C$4,"2 Item No.","@@"&amp;$F2091,"3 Posting Date",U$9)-NL("Sum","5802 Value Entry","43 Cost Amount (Actual)","41 Source Type",$C$5,"5 Source no.",$C2091,"4 Item Ledger Entry Type",$C$4,"2 Item No.","@@"&amp;$F2091,"3 Posting Date",U$9)</t>
  </si>
  <si>
    <t>=U2091-W2091</t>
  </si>
  <si>
    <t>=IF(U2091&lt;&gt;0,X2091/U2091,"")</t>
  </si>
  <si>
    <t>=NL("Sum","5802 Value Entry","150 Sales Amount (Expected)","41 Source Type",$C$5,"5 Source No.",$C2091,"4 Item Ledger Entry Type",$C$4,"2 Item No.","@@"&amp;$F2091,"3 Posting Date",Z$9)+NL("Sum","5802 Value Entry","17 Sales Amount (Actual)","41 Source Type",$C$5,"5 Source no.",$C2091,"4 Item Ledger Entry Type",$C$4,"2 Item No.","@@"&amp;$F2091,"3 Posting Date",Z$9)</t>
  </si>
  <si>
    <t>=-NL("Sum","5802 Value Entry","151 Cost Amount (Expected)","41 Source Type",$C$5,"5 Source No.",$C2091,"4 Item Ledger Entry Type",$C$4,"2 Item No.","@@"&amp;$F2091,"3 Posting Date",Z$9)-NL("Sum","5802 Value Entry","43 Cost Amount (Actual)","41 Source Type",$C$5,"5 Source no.",$C2091,"4 Item Ledger Entry Type",$C$4,"2 Item No.","@@"&amp;$F2091,"3 Posting Date",Z$9)</t>
  </si>
  <si>
    <t>=Z2091-AB2091</t>
  </si>
  <si>
    <t>=IF(Z2091&lt;&gt;0,AC2091/Z2091,"")</t>
  </si>
  <si>
    <t>=C2092</t>
  </si>
  <si>
    <t>=J2093-L2093</t>
  </si>
  <si>
    <t>=IF(J2093&lt;&gt;0,M2093/J2093,"")</t>
  </si>
  <si>
    <t>=O2093-Q2093</t>
  </si>
  <si>
    <t>=IF(O2093&lt;&gt;0,R2093/O2093,"")</t>
  </si>
  <si>
    <t>=U2093-W2093</t>
  </si>
  <si>
    <t>=IF(U2093&lt;&gt;0,X2093/U2093,"")</t>
  </si>
  <si>
    <t>=Z2093-AB2093</t>
  </si>
  <si>
    <t>=IF(Z2093&lt;&gt;0,AC2093/Z2093,"")</t>
  </si>
  <si>
    <t>=C2095</t>
  </si>
  <si>
    <t>="C100101"</t>
  </si>
  <si>
    <t>=C2098</t>
  </si>
  <si>
    <t>=C2099</t>
  </si>
  <si>
    <t>=NL("Sum","5802 Value Entry","150 Sales Amount (Expected)","41 Source Type",$C$5,"5 Source No.",$C2100,"4 Item Ledger Entry Type",$C$4,"2 Item No.","@@"&amp;$F2100,"3 Posting Date",J$9)+NL("Sum","5802 Value Entry","17 Sales Amount (Actual)","41 Source Type",$C$5,"5 Source no.",$C2100,"4 Item Ledger Entry Type",$C$4,"2 Item No.","@@"&amp;$F2100,"3 Posting Date",J$9)</t>
  </si>
  <si>
    <t>=-NL("Sum","5802 Value Entry","151 Cost Amount (Expected)","41 Source Type",$C$5,"5 Source No.",$C2100,"4 Item Ledger Entry Type",$C$4,"2 Item No.","@@"&amp;$F2100,"3 Posting Date",J$9)-NL("Sum","5802 Value Entry","43 Cost Amount (Actual)","41 Source Type",$C$5,"5 Source no.",$C2100,"4 Item Ledger Entry Type",$C$4,"2 Item No.","@@"&amp;$F2100,"3 Posting Date",J$9)</t>
  </si>
  <si>
    <t>=J2100-L2100</t>
  </si>
  <si>
    <t>=IF(J2100&lt;&gt;0,M2100/J2100,"")</t>
  </si>
  <si>
    <t>=NL("Sum","5802 Value Entry","150 Sales Amount (Expected)","41 Source Type",$C$5,"5 Source No.",$C2100,"4 Item Ledger Entry Type",$C$4,"2 Item No.","@@"&amp;$F2100,"3 Posting Date",O$9)+NL("Sum","5802 Value Entry","17 Sales Amount (Actual)","41 Source Type",$C$5,"5 Source no.",$C2100,"4 Item Ledger Entry Type",$C$4,"2 Item No.","@@"&amp;$F2100,"3 Posting Date",O$9)</t>
  </si>
  <si>
    <t>=-NL("Sum","5802 Value Entry","151 Cost Amount (Expected)","41 Source Type",$C$5,"5 Source No.",$C2100,"4 Item Ledger Entry Type",$C$4,"2 Item No.","@@"&amp;$F2100,"3 Posting Date",O$9)-NL("Sum","5802 Value Entry","43 Cost Amount (Actual)","41 Source Type",$C$5,"5 Source no.",$C2100,"4 Item Ledger Entry Type",$C$4,"2 Item No.","@@"&amp;$F2100,"3 Posting Date",O$9)</t>
  </si>
  <si>
    <t>=O2100-Q2100</t>
  </si>
  <si>
    <t>=IF(O2100&lt;&gt;0,R2100/O2100,"")</t>
  </si>
  <si>
    <t>=NL("Sum","5802 Value Entry","150 Sales Amount (Expected)","41 Source Type",$C$5,"5 Source No.",$C2100,"4 Item Ledger Entry Type",$C$4,"2 Item No.","@@"&amp;$F2100,"3 Posting Date",U$9)+NL("Sum","5802 Value Entry","17 Sales Amount (Actual)","41 Source Type",$C$5,"5 Source no.",$C2100,"4 Item Ledger Entry Type",$C$4,"2 Item No.","@@"&amp;$F2100,"3 Posting Date",U$9)</t>
  </si>
  <si>
    <t>=-NL("Sum","5802 Value Entry","151 Cost Amount (Expected)","41 Source Type",$C$5,"5 Source No.",$C2100,"4 Item Ledger Entry Type",$C$4,"2 Item No.","@@"&amp;$F2100,"3 Posting Date",U$9)-NL("Sum","5802 Value Entry","43 Cost Amount (Actual)","41 Source Type",$C$5,"5 Source no.",$C2100,"4 Item Ledger Entry Type",$C$4,"2 Item No.","@@"&amp;$F2100,"3 Posting Date",U$9)</t>
  </si>
  <si>
    <t>=U2100-W2100</t>
  </si>
  <si>
    <t>=IF(U2100&lt;&gt;0,X2100/U2100,"")</t>
  </si>
  <si>
    <t>=NL("Sum","5802 Value Entry","150 Sales Amount (Expected)","41 Source Type",$C$5,"5 Source No.",$C2100,"4 Item Ledger Entry Type",$C$4,"2 Item No.","@@"&amp;$F2100,"3 Posting Date",Z$9)+NL("Sum","5802 Value Entry","17 Sales Amount (Actual)","41 Source Type",$C$5,"5 Source no.",$C2100,"4 Item Ledger Entry Type",$C$4,"2 Item No.","@@"&amp;$F2100,"3 Posting Date",Z$9)</t>
  </si>
  <si>
    <t>=-NL("Sum","5802 Value Entry","151 Cost Amount (Expected)","41 Source Type",$C$5,"5 Source No.",$C2100,"4 Item Ledger Entry Type",$C$4,"2 Item No.","@@"&amp;$F2100,"3 Posting Date",Z$9)-NL("Sum","5802 Value Entry","43 Cost Amount (Actual)","41 Source Type",$C$5,"5 Source no.",$C2100,"4 Item Ledger Entry Type",$C$4,"2 Item No.","@@"&amp;$F2100,"3 Posting Date",Z$9)</t>
  </si>
  <si>
    <t>=Z2100-AB2100</t>
  </si>
  <si>
    <t>=IF(Z2100&lt;&gt;0,AC2100/Z2100,"")</t>
  </si>
  <si>
    <t>=C2100</t>
  </si>
  <si>
    <t>=NL("Sum","5802 Value Entry","150 Sales Amount (Expected)","41 Source Type",$C$5,"5 Source No.",$C2101,"4 Item Ledger Entry Type",$C$4,"2 Item No.","@@"&amp;$F2101,"3 Posting Date",J$9)+NL("Sum","5802 Value Entry","17 Sales Amount (Actual)","41 Source Type",$C$5,"5 Source no.",$C2101,"4 Item Ledger Entry Type",$C$4,"2 Item No.","@@"&amp;$F2101,"3 Posting Date",J$9)</t>
  </si>
  <si>
    <t>=-NL("Sum","5802 Value Entry","151 Cost Amount (Expected)","41 Source Type",$C$5,"5 Source No.",$C2101,"4 Item Ledger Entry Type",$C$4,"2 Item No.","@@"&amp;$F2101,"3 Posting Date",J$9)-NL("Sum","5802 Value Entry","43 Cost Amount (Actual)","41 Source Type",$C$5,"5 Source no.",$C2101,"4 Item Ledger Entry Type",$C$4,"2 Item No.","@@"&amp;$F2101,"3 Posting Date",J$9)</t>
  </si>
  <si>
    <t>=J2101-L2101</t>
  </si>
  <si>
    <t>=IF(J2101&lt;&gt;0,M2101/J2101,"")</t>
  </si>
  <si>
    <t>=NL("Sum","5802 Value Entry","150 Sales Amount (Expected)","41 Source Type",$C$5,"5 Source No.",$C2101,"4 Item Ledger Entry Type",$C$4,"2 Item No.","@@"&amp;$F2101,"3 Posting Date",O$9)+NL("Sum","5802 Value Entry","17 Sales Amount (Actual)","41 Source Type",$C$5,"5 Source no.",$C2101,"4 Item Ledger Entry Type",$C$4,"2 Item No.","@@"&amp;$F2101,"3 Posting Date",O$9)</t>
  </si>
  <si>
    <t>=-NL("Sum","5802 Value Entry","151 Cost Amount (Expected)","41 Source Type",$C$5,"5 Source No.",$C2101,"4 Item Ledger Entry Type",$C$4,"2 Item No.","@@"&amp;$F2101,"3 Posting Date",O$9)-NL("Sum","5802 Value Entry","43 Cost Amount (Actual)","41 Source Type",$C$5,"5 Source no.",$C2101,"4 Item Ledger Entry Type",$C$4,"2 Item No.","@@"&amp;$F2101,"3 Posting Date",O$9)</t>
  </si>
  <si>
    <t>=O2101-Q2101</t>
  </si>
  <si>
    <t>=IF(O2101&lt;&gt;0,R2101/O2101,"")</t>
  </si>
  <si>
    <t>=NL("Sum","5802 Value Entry","150 Sales Amount (Expected)","41 Source Type",$C$5,"5 Source No.",$C2101,"4 Item Ledger Entry Type",$C$4,"2 Item No.","@@"&amp;$F2101,"3 Posting Date",U$9)+NL("Sum","5802 Value Entry","17 Sales Amount (Actual)","41 Source Type",$C$5,"5 Source no.",$C2101,"4 Item Ledger Entry Type",$C$4,"2 Item No.","@@"&amp;$F2101,"3 Posting Date",U$9)</t>
  </si>
  <si>
    <t>=-NL("Sum","5802 Value Entry","151 Cost Amount (Expected)","41 Source Type",$C$5,"5 Source No.",$C2101,"4 Item Ledger Entry Type",$C$4,"2 Item No.","@@"&amp;$F2101,"3 Posting Date",U$9)-NL("Sum","5802 Value Entry","43 Cost Amount (Actual)","41 Source Type",$C$5,"5 Source no.",$C2101,"4 Item Ledger Entry Type",$C$4,"2 Item No.","@@"&amp;$F2101,"3 Posting Date",U$9)</t>
  </si>
  <si>
    <t>=U2101-W2101</t>
  </si>
  <si>
    <t>=IF(U2101&lt;&gt;0,X2101/U2101,"")</t>
  </si>
  <si>
    <t>=NL("Sum","5802 Value Entry","150 Sales Amount (Expected)","41 Source Type",$C$5,"5 Source No.",$C2101,"4 Item Ledger Entry Type",$C$4,"2 Item No.","@@"&amp;$F2101,"3 Posting Date",Z$9)+NL("Sum","5802 Value Entry","17 Sales Amount (Actual)","41 Source Type",$C$5,"5 Source no.",$C2101,"4 Item Ledger Entry Type",$C$4,"2 Item No.","@@"&amp;$F2101,"3 Posting Date",Z$9)</t>
  </si>
  <si>
    <t>=-NL("Sum","5802 Value Entry","151 Cost Amount (Expected)","41 Source Type",$C$5,"5 Source No.",$C2101,"4 Item Ledger Entry Type",$C$4,"2 Item No.","@@"&amp;$F2101,"3 Posting Date",Z$9)-NL("Sum","5802 Value Entry","43 Cost Amount (Actual)","41 Source Type",$C$5,"5 Source no.",$C2101,"4 Item Ledger Entry Type",$C$4,"2 Item No.","@@"&amp;$F2101,"3 Posting Date",Z$9)</t>
  </si>
  <si>
    <t>=Z2101-AB2101</t>
  </si>
  <si>
    <t>=IF(Z2101&lt;&gt;0,AC2101/Z2101,"")</t>
  </si>
  <si>
    <t>=C2101</t>
  </si>
  <si>
    <t>=NL("Sum","5802 Value Entry","150 Sales Amount (Expected)","41 Source Type",$C$5,"5 Source No.",$C2102,"4 Item Ledger Entry Type",$C$4,"2 Item No.","@@"&amp;$F2102,"3 Posting Date",J$9)+NL("Sum","5802 Value Entry","17 Sales Amount (Actual)","41 Source Type",$C$5,"5 Source no.",$C2102,"4 Item Ledger Entry Type",$C$4,"2 Item No.","@@"&amp;$F2102,"3 Posting Date",J$9)</t>
  </si>
  <si>
    <t>=-NL("Sum","5802 Value Entry","151 Cost Amount (Expected)","41 Source Type",$C$5,"5 Source No.",$C2102,"4 Item Ledger Entry Type",$C$4,"2 Item No.","@@"&amp;$F2102,"3 Posting Date",J$9)-NL("Sum","5802 Value Entry","43 Cost Amount (Actual)","41 Source Type",$C$5,"5 Source no.",$C2102,"4 Item Ledger Entry Type",$C$4,"2 Item No.","@@"&amp;$F2102,"3 Posting Date",J$9)</t>
  </si>
  <si>
    <t>=J2102-L2102</t>
  </si>
  <si>
    <t>=IF(J2102&lt;&gt;0,M2102/J2102,"")</t>
  </si>
  <si>
    <t>=NL("Sum","5802 Value Entry","150 Sales Amount (Expected)","41 Source Type",$C$5,"5 Source No.",$C2102,"4 Item Ledger Entry Type",$C$4,"2 Item No.","@@"&amp;$F2102,"3 Posting Date",O$9)+NL("Sum","5802 Value Entry","17 Sales Amount (Actual)","41 Source Type",$C$5,"5 Source no.",$C2102,"4 Item Ledger Entry Type",$C$4,"2 Item No.","@@"&amp;$F2102,"3 Posting Date",O$9)</t>
  </si>
  <si>
    <t>=-NL("Sum","5802 Value Entry","151 Cost Amount (Expected)","41 Source Type",$C$5,"5 Source No.",$C2102,"4 Item Ledger Entry Type",$C$4,"2 Item No.","@@"&amp;$F2102,"3 Posting Date",O$9)-NL("Sum","5802 Value Entry","43 Cost Amount (Actual)","41 Source Type",$C$5,"5 Source no.",$C2102,"4 Item Ledger Entry Type",$C$4,"2 Item No.","@@"&amp;$F2102,"3 Posting Date",O$9)</t>
  </si>
  <si>
    <t>=O2102-Q2102</t>
  </si>
  <si>
    <t>=IF(O2102&lt;&gt;0,R2102/O2102,"")</t>
  </si>
  <si>
    <t>=NL("Sum","5802 Value Entry","150 Sales Amount (Expected)","41 Source Type",$C$5,"5 Source No.",$C2102,"4 Item Ledger Entry Type",$C$4,"2 Item No.","@@"&amp;$F2102,"3 Posting Date",U$9)+NL("Sum","5802 Value Entry","17 Sales Amount (Actual)","41 Source Type",$C$5,"5 Source no.",$C2102,"4 Item Ledger Entry Type",$C$4,"2 Item No.","@@"&amp;$F2102,"3 Posting Date",U$9)</t>
  </si>
  <si>
    <t>=-NL("Sum","5802 Value Entry","151 Cost Amount (Expected)","41 Source Type",$C$5,"5 Source No.",$C2102,"4 Item Ledger Entry Type",$C$4,"2 Item No.","@@"&amp;$F2102,"3 Posting Date",U$9)-NL("Sum","5802 Value Entry","43 Cost Amount (Actual)","41 Source Type",$C$5,"5 Source no.",$C2102,"4 Item Ledger Entry Type",$C$4,"2 Item No.","@@"&amp;$F2102,"3 Posting Date",U$9)</t>
  </si>
  <si>
    <t>=U2102-W2102</t>
  </si>
  <si>
    <t>=IF(U2102&lt;&gt;0,X2102/U2102,"")</t>
  </si>
  <si>
    <t>=NL("Sum","5802 Value Entry","150 Sales Amount (Expected)","41 Source Type",$C$5,"5 Source No.",$C2102,"4 Item Ledger Entry Type",$C$4,"2 Item No.","@@"&amp;$F2102,"3 Posting Date",Z$9)+NL("Sum","5802 Value Entry","17 Sales Amount (Actual)","41 Source Type",$C$5,"5 Source no.",$C2102,"4 Item Ledger Entry Type",$C$4,"2 Item No.","@@"&amp;$F2102,"3 Posting Date",Z$9)</t>
  </si>
  <si>
    <t>=-NL("Sum","5802 Value Entry","151 Cost Amount (Expected)","41 Source Type",$C$5,"5 Source No.",$C2102,"4 Item Ledger Entry Type",$C$4,"2 Item No.","@@"&amp;$F2102,"3 Posting Date",Z$9)-NL("Sum","5802 Value Entry","43 Cost Amount (Actual)","41 Source Type",$C$5,"5 Source no.",$C2102,"4 Item Ledger Entry Type",$C$4,"2 Item No.","@@"&amp;$F2102,"3 Posting Date",Z$9)</t>
  </si>
  <si>
    <t>=Z2102-AB2102</t>
  </si>
  <si>
    <t>=IF(Z2102&lt;&gt;0,AC2102/Z2102,"")</t>
  </si>
  <si>
    <t>=C2102</t>
  </si>
  <si>
    <t>=NL("Sum","5802 Value Entry","150 Sales Amount (Expected)","41 Source Type",$C$5,"5 Source No.",$C2103,"4 Item Ledger Entry Type",$C$4,"2 Item No.","@@"&amp;$F2103,"3 Posting Date",J$9)+NL("Sum","5802 Value Entry","17 Sales Amount (Actual)","41 Source Type",$C$5,"5 Source no.",$C2103,"4 Item Ledger Entry Type",$C$4,"2 Item No.","@@"&amp;$F2103,"3 Posting Date",J$9)</t>
  </si>
  <si>
    <t>=-NL("Sum","5802 Value Entry","151 Cost Amount (Expected)","41 Source Type",$C$5,"5 Source No.",$C2103,"4 Item Ledger Entry Type",$C$4,"2 Item No.","@@"&amp;$F2103,"3 Posting Date",J$9)-NL("Sum","5802 Value Entry","43 Cost Amount (Actual)","41 Source Type",$C$5,"5 Source no.",$C2103,"4 Item Ledger Entry Type",$C$4,"2 Item No.","@@"&amp;$F2103,"3 Posting Date",J$9)</t>
  </si>
  <si>
    <t>=J2103-L2103</t>
  </si>
  <si>
    <t>=IF(J2103&lt;&gt;0,M2103/J2103,"")</t>
  </si>
  <si>
    <t>=NL("Sum","5802 Value Entry","150 Sales Amount (Expected)","41 Source Type",$C$5,"5 Source No.",$C2103,"4 Item Ledger Entry Type",$C$4,"2 Item No.","@@"&amp;$F2103,"3 Posting Date",O$9)+NL("Sum","5802 Value Entry","17 Sales Amount (Actual)","41 Source Type",$C$5,"5 Source no.",$C2103,"4 Item Ledger Entry Type",$C$4,"2 Item No.","@@"&amp;$F2103,"3 Posting Date",O$9)</t>
  </si>
  <si>
    <t>=-NL("Sum","5802 Value Entry","151 Cost Amount (Expected)","41 Source Type",$C$5,"5 Source No.",$C2103,"4 Item Ledger Entry Type",$C$4,"2 Item No.","@@"&amp;$F2103,"3 Posting Date",O$9)-NL("Sum","5802 Value Entry","43 Cost Amount (Actual)","41 Source Type",$C$5,"5 Source no.",$C2103,"4 Item Ledger Entry Type",$C$4,"2 Item No.","@@"&amp;$F2103,"3 Posting Date",O$9)</t>
  </si>
  <si>
    <t>=O2103-Q2103</t>
  </si>
  <si>
    <t>=IF(O2103&lt;&gt;0,R2103/O2103,"")</t>
  </si>
  <si>
    <t>=NL("Sum","5802 Value Entry","150 Sales Amount (Expected)","41 Source Type",$C$5,"5 Source No.",$C2103,"4 Item Ledger Entry Type",$C$4,"2 Item No.","@@"&amp;$F2103,"3 Posting Date",U$9)+NL("Sum","5802 Value Entry","17 Sales Amount (Actual)","41 Source Type",$C$5,"5 Source no.",$C2103,"4 Item Ledger Entry Type",$C$4,"2 Item No.","@@"&amp;$F2103,"3 Posting Date",U$9)</t>
  </si>
  <si>
    <t>=-NL("Sum","5802 Value Entry","151 Cost Amount (Expected)","41 Source Type",$C$5,"5 Source No.",$C2103,"4 Item Ledger Entry Type",$C$4,"2 Item No.","@@"&amp;$F2103,"3 Posting Date",U$9)-NL("Sum","5802 Value Entry","43 Cost Amount (Actual)","41 Source Type",$C$5,"5 Source no.",$C2103,"4 Item Ledger Entry Type",$C$4,"2 Item No.","@@"&amp;$F2103,"3 Posting Date",U$9)</t>
  </si>
  <si>
    <t>=U2103-W2103</t>
  </si>
  <si>
    <t>=IF(U2103&lt;&gt;0,X2103/U2103,"")</t>
  </si>
  <si>
    <t>=NL("Sum","5802 Value Entry","150 Sales Amount (Expected)","41 Source Type",$C$5,"5 Source No.",$C2103,"4 Item Ledger Entry Type",$C$4,"2 Item No.","@@"&amp;$F2103,"3 Posting Date",Z$9)+NL("Sum","5802 Value Entry","17 Sales Amount (Actual)","41 Source Type",$C$5,"5 Source no.",$C2103,"4 Item Ledger Entry Type",$C$4,"2 Item No.","@@"&amp;$F2103,"3 Posting Date",Z$9)</t>
  </si>
  <si>
    <t>=-NL("Sum","5802 Value Entry","151 Cost Amount (Expected)","41 Source Type",$C$5,"5 Source No.",$C2103,"4 Item Ledger Entry Type",$C$4,"2 Item No.","@@"&amp;$F2103,"3 Posting Date",Z$9)-NL("Sum","5802 Value Entry","43 Cost Amount (Actual)","41 Source Type",$C$5,"5 Source no.",$C2103,"4 Item Ledger Entry Type",$C$4,"2 Item No.","@@"&amp;$F2103,"3 Posting Date",Z$9)</t>
  </si>
  <si>
    <t>=Z2103-AB2103</t>
  </si>
  <si>
    <t>=IF(Z2103&lt;&gt;0,AC2103/Z2103,"")</t>
  </si>
  <si>
    <t>=C2103</t>
  </si>
  <si>
    <t>=NL("Sum","5802 Value Entry","150 Sales Amount (Expected)","41 Source Type",$C$5,"5 Source No.",$C2104,"4 Item Ledger Entry Type",$C$4,"2 Item No.","@@"&amp;$F2104,"3 Posting Date",J$9)+NL("Sum","5802 Value Entry","17 Sales Amount (Actual)","41 Source Type",$C$5,"5 Source no.",$C2104,"4 Item Ledger Entry Type",$C$4,"2 Item No.","@@"&amp;$F2104,"3 Posting Date",J$9)</t>
  </si>
  <si>
    <t>=-NL("Sum","5802 Value Entry","151 Cost Amount (Expected)","41 Source Type",$C$5,"5 Source No.",$C2104,"4 Item Ledger Entry Type",$C$4,"2 Item No.","@@"&amp;$F2104,"3 Posting Date",J$9)-NL("Sum","5802 Value Entry","43 Cost Amount (Actual)","41 Source Type",$C$5,"5 Source no.",$C2104,"4 Item Ledger Entry Type",$C$4,"2 Item No.","@@"&amp;$F2104,"3 Posting Date",J$9)</t>
  </si>
  <si>
    <t>=J2104-L2104</t>
  </si>
  <si>
    <t>=IF(J2104&lt;&gt;0,M2104/J2104,"")</t>
  </si>
  <si>
    <t>=NL("Sum","5802 Value Entry","150 Sales Amount (Expected)","41 Source Type",$C$5,"5 Source No.",$C2104,"4 Item Ledger Entry Type",$C$4,"2 Item No.","@@"&amp;$F2104,"3 Posting Date",O$9)+NL("Sum","5802 Value Entry","17 Sales Amount (Actual)","41 Source Type",$C$5,"5 Source no.",$C2104,"4 Item Ledger Entry Type",$C$4,"2 Item No.","@@"&amp;$F2104,"3 Posting Date",O$9)</t>
  </si>
  <si>
    <t>=-NL("Sum","5802 Value Entry","151 Cost Amount (Expected)","41 Source Type",$C$5,"5 Source No.",$C2104,"4 Item Ledger Entry Type",$C$4,"2 Item No.","@@"&amp;$F2104,"3 Posting Date",O$9)-NL("Sum","5802 Value Entry","43 Cost Amount (Actual)","41 Source Type",$C$5,"5 Source no.",$C2104,"4 Item Ledger Entry Type",$C$4,"2 Item No.","@@"&amp;$F2104,"3 Posting Date",O$9)</t>
  </si>
  <si>
    <t>=O2104-Q2104</t>
  </si>
  <si>
    <t>=IF(O2104&lt;&gt;0,R2104/O2104,"")</t>
  </si>
  <si>
    <t>=NL("Sum","5802 Value Entry","150 Sales Amount (Expected)","41 Source Type",$C$5,"5 Source No.",$C2104,"4 Item Ledger Entry Type",$C$4,"2 Item No.","@@"&amp;$F2104,"3 Posting Date",U$9)+NL("Sum","5802 Value Entry","17 Sales Amount (Actual)","41 Source Type",$C$5,"5 Source no.",$C2104,"4 Item Ledger Entry Type",$C$4,"2 Item No.","@@"&amp;$F2104,"3 Posting Date",U$9)</t>
  </si>
  <si>
    <t>=-NL("Sum","5802 Value Entry","151 Cost Amount (Expected)","41 Source Type",$C$5,"5 Source No.",$C2104,"4 Item Ledger Entry Type",$C$4,"2 Item No.","@@"&amp;$F2104,"3 Posting Date",U$9)-NL("Sum","5802 Value Entry","43 Cost Amount (Actual)","41 Source Type",$C$5,"5 Source no.",$C2104,"4 Item Ledger Entry Type",$C$4,"2 Item No.","@@"&amp;$F2104,"3 Posting Date",U$9)</t>
  </si>
  <si>
    <t>=U2104-W2104</t>
  </si>
  <si>
    <t>=IF(U2104&lt;&gt;0,X2104/U2104,"")</t>
  </si>
  <si>
    <t>=NL("Sum","5802 Value Entry","150 Sales Amount (Expected)","41 Source Type",$C$5,"5 Source No.",$C2104,"4 Item Ledger Entry Type",$C$4,"2 Item No.","@@"&amp;$F2104,"3 Posting Date",Z$9)+NL("Sum","5802 Value Entry","17 Sales Amount (Actual)","41 Source Type",$C$5,"5 Source no.",$C2104,"4 Item Ledger Entry Type",$C$4,"2 Item No.","@@"&amp;$F2104,"3 Posting Date",Z$9)</t>
  </si>
  <si>
    <t>=-NL("Sum","5802 Value Entry","151 Cost Amount (Expected)","41 Source Type",$C$5,"5 Source No.",$C2104,"4 Item Ledger Entry Type",$C$4,"2 Item No.","@@"&amp;$F2104,"3 Posting Date",Z$9)-NL("Sum","5802 Value Entry","43 Cost Amount (Actual)","41 Source Type",$C$5,"5 Source no.",$C2104,"4 Item Ledger Entry Type",$C$4,"2 Item No.","@@"&amp;$F2104,"3 Posting Date",Z$9)</t>
  </si>
  <si>
    <t>=Z2104-AB2104</t>
  </si>
  <si>
    <t>=IF(Z2104&lt;&gt;0,AC2104/Z2104,"")</t>
  </si>
  <si>
    <t>=C2104</t>
  </si>
  <si>
    <t>=NL("Sum","5802 Value Entry","150 Sales Amount (Expected)","41 Source Type",$C$5,"5 Source No.",$C2105,"4 Item Ledger Entry Type",$C$4,"2 Item No.","@@"&amp;$F2105,"3 Posting Date",J$9)+NL("Sum","5802 Value Entry","17 Sales Amount (Actual)","41 Source Type",$C$5,"5 Source no.",$C2105,"4 Item Ledger Entry Type",$C$4,"2 Item No.","@@"&amp;$F2105,"3 Posting Date",J$9)</t>
  </si>
  <si>
    <t>=-NL("Sum","5802 Value Entry","151 Cost Amount (Expected)","41 Source Type",$C$5,"5 Source No.",$C2105,"4 Item Ledger Entry Type",$C$4,"2 Item No.","@@"&amp;$F2105,"3 Posting Date",J$9)-NL("Sum","5802 Value Entry","43 Cost Amount (Actual)","41 Source Type",$C$5,"5 Source no.",$C2105,"4 Item Ledger Entry Type",$C$4,"2 Item No.","@@"&amp;$F2105,"3 Posting Date",J$9)</t>
  </si>
  <si>
    <t>=J2105-L2105</t>
  </si>
  <si>
    <t>=IF(J2105&lt;&gt;0,M2105/J2105,"")</t>
  </si>
  <si>
    <t>=NL("Sum","5802 Value Entry","150 Sales Amount (Expected)","41 Source Type",$C$5,"5 Source No.",$C2105,"4 Item Ledger Entry Type",$C$4,"2 Item No.","@@"&amp;$F2105,"3 Posting Date",O$9)+NL("Sum","5802 Value Entry","17 Sales Amount (Actual)","41 Source Type",$C$5,"5 Source no.",$C2105,"4 Item Ledger Entry Type",$C$4,"2 Item No.","@@"&amp;$F2105,"3 Posting Date",O$9)</t>
  </si>
  <si>
    <t>=-NL("Sum","5802 Value Entry","151 Cost Amount (Expected)","41 Source Type",$C$5,"5 Source No.",$C2105,"4 Item Ledger Entry Type",$C$4,"2 Item No.","@@"&amp;$F2105,"3 Posting Date",O$9)-NL("Sum","5802 Value Entry","43 Cost Amount (Actual)","41 Source Type",$C$5,"5 Source no.",$C2105,"4 Item Ledger Entry Type",$C$4,"2 Item No.","@@"&amp;$F2105,"3 Posting Date",O$9)</t>
  </si>
  <si>
    <t>=O2105-Q2105</t>
  </si>
  <si>
    <t>=IF(O2105&lt;&gt;0,R2105/O2105,"")</t>
  </si>
  <si>
    <t>=NL("Sum","5802 Value Entry","150 Sales Amount (Expected)","41 Source Type",$C$5,"5 Source No.",$C2105,"4 Item Ledger Entry Type",$C$4,"2 Item No.","@@"&amp;$F2105,"3 Posting Date",U$9)+NL("Sum","5802 Value Entry","17 Sales Amount (Actual)","41 Source Type",$C$5,"5 Source no.",$C2105,"4 Item Ledger Entry Type",$C$4,"2 Item No.","@@"&amp;$F2105,"3 Posting Date",U$9)</t>
  </si>
  <si>
    <t>=-NL("Sum","5802 Value Entry","151 Cost Amount (Expected)","41 Source Type",$C$5,"5 Source No.",$C2105,"4 Item Ledger Entry Type",$C$4,"2 Item No.","@@"&amp;$F2105,"3 Posting Date",U$9)-NL("Sum","5802 Value Entry","43 Cost Amount (Actual)","41 Source Type",$C$5,"5 Source no.",$C2105,"4 Item Ledger Entry Type",$C$4,"2 Item No.","@@"&amp;$F2105,"3 Posting Date",U$9)</t>
  </si>
  <si>
    <t>=U2105-W2105</t>
  </si>
  <si>
    <t>=IF(U2105&lt;&gt;0,X2105/U2105,"")</t>
  </si>
  <si>
    <t>=NL("Sum","5802 Value Entry","150 Sales Amount (Expected)","41 Source Type",$C$5,"5 Source No.",$C2105,"4 Item Ledger Entry Type",$C$4,"2 Item No.","@@"&amp;$F2105,"3 Posting Date",Z$9)+NL("Sum","5802 Value Entry","17 Sales Amount (Actual)","41 Source Type",$C$5,"5 Source no.",$C2105,"4 Item Ledger Entry Type",$C$4,"2 Item No.","@@"&amp;$F2105,"3 Posting Date",Z$9)</t>
  </si>
  <si>
    <t>=-NL("Sum","5802 Value Entry","151 Cost Amount (Expected)","41 Source Type",$C$5,"5 Source No.",$C2105,"4 Item Ledger Entry Type",$C$4,"2 Item No.","@@"&amp;$F2105,"3 Posting Date",Z$9)-NL("Sum","5802 Value Entry","43 Cost Amount (Actual)","41 Source Type",$C$5,"5 Source no.",$C2105,"4 Item Ledger Entry Type",$C$4,"2 Item No.","@@"&amp;$F2105,"3 Posting Date",Z$9)</t>
  </si>
  <si>
    <t>=Z2105-AB2105</t>
  </si>
  <si>
    <t>=IF(Z2105&lt;&gt;0,AC2105/Z2105,"")</t>
  </si>
  <si>
    <t>=C2105</t>
  </si>
  <si>
    <t>=NL("Sum","5802 Value Entry","150 Sales Amount (Expected)","41 Source Type",$C$5,"5 Source No.",$C2106,"4 Item Ledger Entry Type",$C$4,"2 Item No.","@@"&amp;$F2106,"3 Posting Date",J$9)+NL("Sum","5802 Value Entry","17 Sales Amount (Actual)","41 Source Type",$C$5,"5 Source no.",$C2106,"4 Item Ledger Entry Type",$C$4,"2 Item No.","@@"&amp;$F2106,"3 Posting Date",J$9)</t>
  </si>
  <si>
    <t>=-NL("Sum","5802 Value Entry","151 Cost Amount (Expected)","41 Source Type",$C$5,"5 Source No.",$C2106,"4 Item Ledger Entry Type",$C$4,"2 Item No.","@@"&amp;$F2106,"3 Posting Date",J$9)-NL("Sum","5802 Value Entry","43 Cost Amount (Actual)","41 Source Type",$C$5,"5 Source no.",$C2106,"4 Item Ledger Entry Type",$C$4,"2 Item No.","@@"&amp;$F2106,"3 Posting Date",J$9)</t>
  </si>
  <si>
    <t>=J2106-L2106</t>
  </si>
  <si>
    <t>=IF(J2106&lt;&gt;0,M2106/J2106,"")</t>
  </si>
  <si>
    <t>=NL("Sum","5802 Value Entry","150 Sales Amount (Expected)","41 Source Type",$C$5,"5 Source No.",$C2106,"4 Item Ledger Entry Type",$C$4,"2 Item No.","@@"&amp;$F2106,"3 Posting Date",O$9)+NL("Sum","5802 Value Entry","17 Sales Amount (Actual)","41 Source Type",$C$5,"5 Source no.",$C2106,"4 Item Ledger Entry Type",$C$4,"2 Item No.","@@"&amp;$F2106,"3 Posting Date",O$9)</t>
  </si>
  <si>
    <t>=-NL("Sum","5802 Value Entry","151 Cost Amount (Expected)","41 Source Type",$C$5,"5 Source No.",$C2106,"4 Item Ledger Entry Type",$C$4,"2 Item No.","@@"&amp;$F2106,"3 Posting Date",O$9)-NL("Sum","5802 Value Entry","43 Cost Amount (Actual)","41 Source Type",$C$5,"5 Source no.",$C2106,"4 Item Ledger Entry Type",$C$4,"2 Item No.","@@"&amp;$F2106,"3 Posting Date",O$9)</t>
  </si>
  <si>
    <t>=O2106-Q2106</t>
  </si>
  <si>
    <t>=IF(O2106&lt;&gt;0,R2106/O2106,"")</t>
  </si>
  <si>
    <t>=NL("Sum","5802 Value Entry","150 Sales Amount (Expected)","41 Source Type",$C$5,"5 Source No.",$C2106,"4 Item Ledger Entry Type",$C$4,"2 Item No.","@@"&amp;$F2106,"3 Posting Date",U$9)+NL("Sum","5802 Value Entry","17 Sales Amount (Actual)","41 Source Type",$C$5,"5 Source no.",$C2106,"4 Item Ledger Entry Type",$C$4,"2 Item No.","@@"&amp;$F2106,"3 Posting Date",U$9)</t>
  </si>
  <si>
    <t>=-NL("Sum","5802 Value Entry","151 Cost Amount (Expected)","41 Source Type",$C$5,"5 Source No.",$C2106,"4 Item Ledger Entry Type",$C$4,"2 Item No.","@@"&amp;$F2106,"3 Posting Date",U$9)-NL("Sum","5802 Value Entry","43 Cost Amount (Actual)","41 Source Type",$C$5,"5 Source no.",$C2106,"4 Item Ledger Entry Type",$C$4,"2 Item No.","@@"&amp;$F2106,"3 Posting Date",U$9)</t>
  </si>
  <si>
    <t>=U2106-W2106</t>
  </si>
  <si>
    <t>=IF(U2106&lt;&gt;0,X2106/U2106,"")</t>
  </si>
  <si>
    <t>=NL("Sum","5802 Value Entry","150 Sales Amount (Expected)","41 Source Type",$C$5,"5 Source No.",$C2106,"4 Item Ledger Entry Type",$C$4,"2 Item No.","@@"&amp;$F2106,"3 Posting Date",Z$9)+NL("Sum","5802 Value Entry","17 Sales Amount (Actual)","41 Source Type",$C$5,"5 Source no.",$C2106,"4 Item Ledger Entry Type",$C$4,"2 Item No.","@@"&amp;$F2106,"3 Posting Date",Z$9)</t>
  </si>
  <si>
    <t>=-NL("Sum","5802 Value Entry","151 Cost Amount (Expected)","41 Source Type",$C$5,"5 Source No.",$C2106,"4 Item Ledger Entry Type",$C$4,"2 Item No.","@@"&amp;$F2106,"3 Posting Date",Z$9)-NL("Sum","5802 Value Entry","43 Cost Amount (Actual)","41 Source Type",$C$5,"5 Source no.",$C2106,"4 Item Ledger Entry Type",$C$4,"2 Item No.","@@"&amp;$F2106,"3 Posting Date",Z$9)</t>
  </si>
  <si>
    <t>=Z2106-AB2106</t>
  </si>
  <si>
    <t>=IF(Z2106&lt;&gt;0,AC2106/Z2106,"")</t>
  </si>
  <si>
    <t>=C2106</t>
  </si>
  <si>
    <t>=NL("Sum","5802 Value Entry","150 Sales Amount (Expected)","41 Source Type",$C$5,"5 Source No.",$C2107,"4 Item Ledger Entry Type",$C$4,"2 Item No.","@@"&amp;$F2107,"3 Posting Date",J$9)+NL("Sum","5802 Value Entry","17 Sales Amount (Actual)","41 Source Type",$C$5,"5 Source no.",$C2107,"4 Item Ledger Entry Type",$C$4,"2 Item No.","@@"&amp;$F2107,"3 Posting Date",J$9)</t>
  </si>
  <si>
    <t>=-NL("Sum","5802 Value Entry","151 Cost Amount (Expected)","41 Source Type",$C$5,"5 Source No.",$C2107,"4 Item Ledger Entry Type",$C$4,"2 Item No.","@@"&amp;$F2107,"3 Posting Date",J$9)-NL("Sum","5802 Value Entry","43 Cost Amount (Actual)","41 Source Type",$C$5,"5 Source no.",$C2107,"4 Item Ledger Entry Type",$C$4,"2 Item No.","@@"&amp;$F2107,"3 Posting Date",J$9)</t>
  </si>
  <si>
    <t>=J2107-L2107</t>
  </si>
  <si>
    <t>=IF(J2107&lt;&gt;0,M2107/J2107,"")</t>
  </si>
  <si>
    <t>=NL("Sum","5802 Value Entry","150 Sales Amount (Expected)","41 Source Type",$C$5,"5 Source No.",$C2107,"4 Item Ledger Entry Type",$C$4,"2 Item No.","@@"&amp;$F2107,"3 Posting Date",O$9)+NL("Sum","5802 Value Entry","17 Sales Amount (Actual)","41 Source Type",$C$5,"5 Source no.",$C2107,"4 Item Ledger Entry Type",$C$4,"2 Item No.","@@"&amp;$F2107,"3 Posting Date",O$9)</t>
  </si>
  <si>
    <t>=-NL("Sum","5802 Value Entry","151 Cost Amount (Expected)","41 Source Type",$C$5,"5 Source No.",$C2107,"4 Item Ledger Entry Type",$C$4,"2 Item No.","@@"&amp;$F2107,"3 Posting Date",O$9)-NL("Sum","5802 Value Entry","43 Cost Amount (Actual)","41 Source Type",$C$5,"5 Source no.",$C2107,"4 Item Ledger Entry Type",$C$4,"2 Item No.","@@"&amp;$F2107,"3 Posting Date",O$9)</t>
  </si>
  <si>
    <t>=O2107-Q2107</t>
  </si>
  <si>
    <t>=IF(O2107&lt;&gt;0,R2107/O2107,"")</t>
  </si>
  <si>
    <t>=NL("Sum","5802 Value Entry","150 Sales Amount (Expected)","41 Source Type",$C$5,"5 Source No.",$C2107,"4 Item Ledger Entry Type",$C$4,"2 Item No.","@@"&amp;$F2107,"3 Posting Date",U$9)+NL("Sum","5802 Value Entry","17 Sales Amount (Actual)","41 Source Type",$C$5,"5 Source no.",$C2107,"4 Item Ledger Entry Type",$C$4,"2 Item No.","@@"&amp;$F2107,"3 Posting Date",U$9)</t>
  </si>
  <si>
    <t>=-NL("Sum","5802 Value Entry","151 Cost Amount (Expected)","41 Source Type",$C$5,"5 Source No.",$C2107,"4 Item Ledger Entry Type",$C$4,"2 Item No.","@@"&amp;$F2107,"3 Posting Date",U$9)-NL("Sum","5802 Value Entry","43 Cost Amount (Actual)","41 Source Type",$C$5,"5 Source no.",$C2107,"4 Item Ledger Entry Type",$C$4,"2 Item No.","@@"&amp;$F2107,"3 Posting Date",U$9)</t>
  </si>
  <si>
    <t>=U2107-W2107</t>
  </si>
  <si>
    <t>=IF(U2107&lt;&gt;0,X2107/U2107,"")</t>
  </si>
  <si>
    <t>=NL("Sum","5802 Value Entry","150 Sales Amount (Expected)","41 Source Type",$C$5,"5 Source No.",$C2107,"4 Item Ledger Entry Type",$C$4,"2 Item No.","@@"&amp;$F2107,"3 Posting Date",Z$9)+NL("Sum","5802 Value Entry","17 Sales Amount (Actual)","41 Source Type",$C$5,"5 Source no.",$C2107,"4 Item Ledger Entry Type",$C$4,"2 Item No.","@@"&amp;$F2107,"3 Posting Date",Z$9)</t>
  </si>
  <si>
    <t>=-NL("Sum","5802 Value Entry","151 Cost Amount (Expected)","41 Source Type",$C$5,"5 Source No.",$C2107,"4 Item Ledger Entry Type",$C$4,"2 Item No.","@@"&amp;$F2107,"3 Posting Date",Z$9)-NL("Sum","5802 Value Entry","43 Cost Amount (Actual)","41 Source Type",$C$5,"5 Source no.",$C2107,"4 Item Ledger Entry Type",$C$4,"2 Item No.","@@"&amp;$F2107,"3 Posting Date",Z$9)</t>
  </si>
  <si>
    <t>=Z2107-AB2107</t>
  </si>
  <si>
    <t>=IF(Z2107&lt;&gt;0,AC2107/Z2107,"")</t>
  </si>
  <si>
    <t>=C2107</t>
  </si>
  <si>
    <t>=NL("Sum","5802 Value Entry","150 Sales Amount (Expected)","41 Source Type",$C$5,"5 Source No.",$C2108,"4 Item Ledger Entry Type",$C$4,"2 Item No.","@@"&amp;$F2108,"3 Posting Date",J$9)+NL("Sum","5802 Value Entry","17 Sales Amount (Actual)","41 Source Type",$C$5,"5 Source no.",$C2108,"4 Item Ledger Entry Type",$C$4,"2 Item No.","@@"&amp;$F2108,"3 Posting Date",J$9)</t>
  </si>
  <si>
    <t>=-NL("Sum","5802 Value Entry","151 Cost Amount (Expected)","41 Source Type",$C$5,"5 Source No.",$C2108,"4 Item Ledger Entry Type",$C$4,"2 Item No.","@@"&amp;$F2108,"3 Posting Date",J$9)-NL("Sum","5802 Value Entry","43 Cost Amount (Actual)","41 Source Type",$C$5,"5 Source no.",$C2108,"4 Item Ledger Entry Type",$C$4,"2 Item No.","@@"&amp;$F2108,"3 Posting Date",J$9)</t>
  </si>
  <si>
    <t>=J2108-L2108</t>
  </si>
  <si>
    <t>=IF(J2108&lt;&gt;0,M2108/J2108,"")</t>
  </si>
  <si>
    <t>=NL("Sum","5802 Value Entry","150 Sales Amount (Expected)","41 Source Type",$C$5,"5 Source No.",$C2108,"4 Item Ledger Entry Type",$C$4,"2 Item No.","@@"&amp;$F2108,"3 Posting Date",O$9)+NL("Sum","5802 Value Entry","17 Sales Amount (Actual)","41 Source Type",$C$5,"5 Source no.",$C2108,"4 Item Ledger Entry Type",$C$4,"2 Item No.","@@"&amp;$F2108,"3 Posting Date",O$9)</t>
  </si>
  <si>
    <t>=-NL("Sum","5802 Value Entry","151 Cost Amount (Expected)","41 Source Type",$C$5,"5 Source No.",$C2108,"4 Item Ledger Entry Type",$C$4,"2 Item No.","@@"&amp;$F2108,"3 Posting Date",O$9)-NL("Sum","5802 Value Entry","43 Cost Amount (Actual)","41 Source Type",$C$5,"5 Source no.",$C2108,"4 Item Ledger Entry Type",$C$4,"2 Item No.","@@"&amp;$F2108,"3 Posting Date",O$9)</t>
  </si>
  <si>
    <t>=O2108-Q2108</t>
  </si>
  <si>
    <t>=IF(O2108&lt;&gt;0,R2108/O2108,"")</t>
  </si>
  <si>
    <t>=NL("Sum","5802 Value Entry","150 Sales Amount (Expected)","41 Source Type",$C$5,"5 Source No.",$C2108,"4 Item Ledger Entry Type",$C$4,"2 Item No.","@@"&amp;$F2108,"3 Posting Date",U$9)+NL("Sum","5802 Value Entry","17 Sales Amount (Actual)","41 Source Type",$C$5,"5 Source no.",$C2108,"4 Item Ledger Entry Type",$C$4,"2 Item No.","@@"&amp;$F2108,"3 Posting Date",U$9)</t>
  </si>
  <si>
    <t>=-NL("Sum","5802 Value Entry","151 Cost Amount (Expected)","41 Source Type",$C$5,"5 Source No.",$C2108,"4 Item Ledger Entry Type",$C$4,"2 Item No.","@@"&amp;$F2108,"3 Posting Date",U$9)-NL("Sum","5802 Value Entry","43 Cost Amount (Actual)","41 Source Type",$C$5,"5 Source no.",$C2108,"4 Item Ledger Entry Type",$C$4,"2 Item No.","@@"&amp;$F2108,"3 Posting Date",U$9)</t>
  </si>
  <si>
    <t>=U2108-W2108</t>
  </si>
  <si>
    <t>=IF(U2108&lt;&gt;0,X2108/U2108,"")</t>
  </si>
  <si>
    <t>=NL("Sum","5802 Value Entry","150 Sales Amount (Expected)","41 Source Type",$C$5,"5 Source No.",$C2108,"4 Item Ledger Entry Type",$C$4,"2 Item No.","@@"&amp;$F2108,"3 Posting Date",Z$9)+NL("Sum","5802 Value Entry","17 Sales Amount (Actual)","41 Source Type",$C$5,"5 Source no.",$C2108,"4 Item Ledger Entry Type",$C$4,"2 Item No.","@@"&amp;$F2108,"3 Posting Date",Z$9)</t>
  </si>
  <si>
    <t>=-NL("Sum","5802 Value Entry","151 Cost Amount (Expected)","41 Source Type",$C$5,"5 Source No.",$C2108,"4 Item Ledger Entry Type",$C$4,"2 Item No.","@@"&amp;$F2108,"3 Posting Date",Z$9)-NL("Sum","5802 Value Entry","43 Cost Amount (Actual)","41 Source Type",$C$5,"5 Source no.",$C2108,"4 Item Ledger Entry Type",$C$4,"2 Item No.","@@"&amp;$F2108,"3 Posting Date",Z$9)</t>
  </si>
  <si>
    <t>=Z2108-AB2108</t>
  </si>
  <si>
    <t>=IF(Z2108&lt;&gt;0,AC2108/Z2108,"")</t>
  </si>
  <si>
    <t>=C2108</t>
  </si>
  <si>
    <t>=NL("Sum","5802 Value Entry","150 Sales Amount (Expected)","41 Source Type",$C$5,"5 Source No.",$C2109,"4 Item Ledger Entry Type",$C$4,"2 Item No.","@@"&amp;$F2109,"3 Posting Date",J$9)+NL("Sum","5802 Value Entry","17 Sales Amount (Actual)","41 Source Type",$C$5,"5 Source no.",$C2109,"4 Item Ledger Entry Type",$C$4,"2 Item No.","@@"&amp;$F2109,"3 Posting Date",J$9)</t>
  </si>
  <si>
    <t>=-NL("Sum","5802 Value Entry","151 Cost Amount (Expected)","41 Source Type",$C$5,"5 Source No.",$C2109,"4 Item Ledger Entry Type",$C$4,"2 Item No.","@@"&amp;$F2109,"3 Posting Date",J$9)-NL("Sum","5802 Value Entry","43 Cost Amount (Actual)","41 Source Type",$C$5,"5 Source no.",$C2109,"4 Item Ledger Entry Type",$C$4,"2 Item No.","@@"&amp;$F2109,"3 Posting Date",J$9)</t>
  </si>
  <si>
    <t>=J2109-L2109</t>
  </si>
  <si>
    <t>=IF(J2109&lt;&gt;0,M2109/J2109,"")</t>
  </si>
  <si>
    <t>=NL("Sum","5802 Value Entry","150 Sales Amount (Expected)","41 Source Type",$C$5,"5 Source No.",$C2109,"4 Item Ledger Entry Type",$C$4,"2 Item No.","@@"&amp;$F2109,"3 Posting Date",O$9)+NL("Sum","5802 Value Entry","17 Sales Amount (Actual)","41 Source Type",$C$5,"5 Source no.",$C2109,"4 Item Ledger Entry Type",$C$4,"2 Item No.","@@"&amp;$F2109,"3 Posting Date",O$9)</t>
  </si>
  <si>
    <t>=-NL("Sum","5802 Value Entry","151 Cost Amount (Expected)","41 Source Type",$C$5,"5 Source No.",$C2109,"4 Item Ledger Entry Type",$C$4,"2 Item No.","@@"&amp;$F2109,"3 Posting Date",O$9)-NL("Sum","5802 Value Entry","43 Cost Amount (Actual)","41 Source Type",$C$5,"5 Source no.",$C2109,"4 Item Ledger Entry Type",$C$4,"2 Item No.","@@"&amp;$F2109,"3 Posting Date",O$9)</t>
  </si>
  <si>
    <t>=O2109-Q2109</t>
  </si>
  <si>
    <t>=IF(O2109&lt;&gt;0,R2109/O2109,"")</t>
  </si>
  <si>
    <t>=NL("Sum","5802 Value Entry","150 Sales Amount (Expected)","41 Source Type",$C$5,"5 Source No.",$C2109,"4 Item Ledger Entry Type",$C$4,"2 Item No.","@@"&amp;$F2109,"3 Posting Date",U$9)+NL("Sum","5802 Value Entry","17 Sales Amount (Actual)","41 Source Type",$C$5,"5 Source no.",$C2109,"4 Item Ledger Entry Type",$C$4,"2 Item No.","@@"&amp;$F2109,"3 Posting Date",U$9)</t>
  </si>
  <si>
    <t>=-NL("Sum","5802 Value Entry","151 Cost Amount (Expected)","41 Source Type",$C$5,"5 Source No.",$C2109,"4 Item Ledger Entry Type",$C$4,"2 Item No.","@@"&amp;$F2109,"3 Posting Date",U$9)-NL("Sum","5802 Value Entry","43 Cost Amount (Actual)","41 Source Type",$C$5,"5 Source no.",$C2109,"4 Item Ledger Entry Type",$C$4,"2 Item No.","@@"&amp;$F2109,"3 Posting Date",U$9)</t>
  </si>
  <si>
    <t>=U2109-W2109</t>
  </si>
  <si>
    <t>=IF(U2109&lt;&gt;0,X2109/U2109,"")</t>
  </si>
  <si>
    <t>=NL("Sum","5802 Value Entry","150 Sales Amount (Expected)","41 Source Type",$C$5,"5 Source No.",$C2109,"4 Item Ledger Entry Type",$C$4,"2 Item No.","@@"&amp;$F2109,"3 Posting Date",Z$9)+NL("Sum","5802 Value Entry","17 Sales Amount (Actual)","41 Source Type",$C$5,"5 Source no.",$C2109,"4 Item Ledger Entry Type",$C$4,"2 Item No.","@@"&amp;$F2109,"3 Posting Date",Z$9)</t>
  </si>
  <si>
    <t>=-NL("Sum","5802 Value Entry","151 Cost Amount (Expected)","41 Source Type",$C$5,"5 Source No.",$C2109,"4 Item Ledger Entry Type",$C$4,"2 Item No.","@@"&amp;$F2109,"3 Posting Date",Z$9)-NL("Sum","5802 Value Entry","43 Cost Amount (Actual)","41 Source Type",$C$5,"5 Source no.",$C2109,"4 Item Ledger Entry Type",$C$4,"2 Item No.","@@"&amp;$F2109,"3 Posting Date",Z$9)</t>
  </si>
  <si>
    <t>=Z2109-AB2109</t>
  </si>
  <si>
    <t>=IF(Z2109&lt;&gt;0,AC2109/Z2109,"")</t>
  </si>
  <si>
    <t>=C2109</t>
  </si>
  <si>
    <t>=NL("Sum","5802 Value Entry","150 Sales Amount (Expected)","41 Source Type",$C$5,"5 Source No.",$C2110,"4 Item Ledger Entry Type",$C$4,"2 Item No.","@@"&amp;$F2110,"3 Posting Date",J$9)+NL("Sum","5802 Value Entry","17 Sales Amount (Actual)","41 Source Type",$C$5,"5 Source no.",$C2110,"4 Item Ledger Entry Type",$C$4,"2 Item No.","@@"&amp;$F2110,"3 Posting Date",J$9)</t>
  </si>
  <si>
    <t>=-NL("Sum","5802 Value Entry","151 Cost Amount (Expected)","41 Source Type",$C$5,"5 Source No.",$C2110,"4 Item Ledger Entry Type",$C$4,"2 Item No.","@@"&amp;$F2110,"3 Posting Date",J$9)-NL("Sum","5802 Value Entry","43 Cost Amount (Actual)","41 Source Type",$C$5,"5 Source no.",$C2110,"4 Item Ledger Entry Type",$C$4,"2 Item No.","@@"&amp;$F2110,"3 Posting Date",J$9)</t>
  </si>
  <si>
    <t>=J2110-L2110</t>
  </si>
  <si>
    <t>=IF(J2110&lt;&gt;0,M2110/J2110,"")</t>
  </si>
  <si>
    <t>=NL("Sum","5802 Value Entry","150 Sales Amount (Expected)","41 Source Type",$C$5,"5 Source No.",$C2110,"4 Item Ledger Entry Type",$C$4,"2 Item No.","@@"&amp;$F2110,"3 Posting Date",O$9)+NL("Sum","5802 Value Entry","17 Sales Amount (Actual)","41 Source Type",$C$5,"5 Source no.",$C2110,"4 Item Ledger Entry Type",$C$4,"2 Item No.","@@"&amp;$F2110,"3 Posting Date",O$9)</t>
  </si>
  <si>
    <t>=-NL("Sum","5802 Value Entry","151 Cost Amount (Expected)","41 Source Type",$C$5,"5 Source No.",$C2110,"4 Item Ledger Entry Type",$C$4,"2 Item No.","@@"&amp;$F2110,"3 Posting Date",O$9)-NL("Sum","5802 Value Entry","43 Cost Amount (Actual)","41 Source Type",$C$5,"5 Source no.",$C2110,"4 Item Ledger Entry Type",$C$4,"2 Item No.","@@"&amp;$F2110,"3 Posting Date",O$9)</t>
  </si>
  <si>
    <t>=O2110-Q2110</t>
  </si>
  <si>
    <t>=IF(O2110&lt;&gt;0,R2110/O2110,"")</t>
  </si>
  <si>
    <t>=NL("Sum","5802 Value Entry","150 Sales Amount (Expected)","41 Source Type",$C$5,"5 Source No.",$C2110,"4 Item Ledger Entry Type",$C$4,"2 Item No.","@@"&amp;$F2110,"3 Posting Date",U$9)+NL("Sum","5802 Value Entry","17 Sales Amount (Actual)","41 Source Type",$C$5,"5 Source no.",$C2110,"4 Item Ledger Entry Type",$C$4,"2 Item No.","@@"&amp;$F2110,"3 Posting Date",U$9)</t>
  </si>
  <si>
    <t>=-NL("Sum","5802 Value Entry","151 Cost Amount (Expected)","41 Source Type",$C$5,"5 Source No.",$C2110,"4 Item Ledger Entry Type",$C$4,"2 Item No.","@@"&amp;$F2110,"3 Posting Date",U$9)-NL("Sum","5802 Value Entry","43 Cost Amount (Actual)","41 Source Type",$C$5,"5 Source no.",$C2110,"4 Item Ledger Entry Type",$C$4,"2 Item No.","@@"&amp;$F2110,"3 Posting Date",U$9)</t>
  </si>
  <si>
    <t>=U2110-W2110</t>
  </si>
  <si>
    <t>=IF(U2110&lt;&gt;0,X2110/U2110,"")</t>
  </si>
  <si>
    <t>=NL("Sum","5802 Value Entry","150 Sales Amount (Expected)","41 Source Type",$C$5,"5 Source No.",$C2110,"4 Item Ledger Entry Type",$C$4,"2 Item No.","@@"&amp;$F2110,"3 Posting Date",Z$9)+NL("Sum","5802 Value Entry","17 Sales Amount (Actual)","41 Source Type",$C$5,"5 Source no.",$C2110,"4 Item Ledger Entry Type",$C$4,"2 Item No.","@@"&amp;$F2110,"3 Posting Date",Z$9)</t>
  </si>
  <si>
    <t>=-NL("Sum","5802 Value Entry","151 Cost Amount (Expected)","41 Source Type",$C$5,"5 Source No.",$C2110,"4 Item Ledger Entry Type",$C$4,"2 Item No.","@@"&amp;$F2110,"3 Posting Date",Z$9)-NL("Sum","5802 Value Entry","43 Cost Amount (Actual)","41 Source Type",$C$5,"5 Source no.",$C2110,"4 Item Ledger Entry Type",$C$4,"2 Item No.","@@"&amp;$F2110,"3 Posting Date",Z$9)</t>
  </si>
  <si>
    <t>=Z2110-AB2110</t>
  </si>
  <si>
    <t>=IF(Z2110&lt;&gt;0,AC2110/Z2110,"")</t>
  </si>
  <si>
    <t>=C2110</t>
  </si>
  <si>
    <t>=NL("Sum","5802 Value Entry","150 Sales Amount (Expected)","41 Source Type",$C$5,"5 Source No.",$C2111,"4 Item Ledger Entry Type",$C$4,"2 Item No.","@@"&amp;$F2111,"3 Posting Date",J$9)+NL("Sum","5802 Value Entry","17 Sales Amount (Actual)","41 Source Type",$C$5,"5 Source no.",$C2111,"4 Item Ledger Entry Type",$C$4,"2 Item No.","@@"&amp;$F2111,"3 Posting Date",J$9)</t>
  </si>
  <si>
    <t>=-NL("Sum","5802 Value Entry","151 Cost Amount (Expected)","41 Source Type",$C$5,"5 Source No.",$C2111,"4 Item Ledger Entry Type",$C$4,"2 Item No.","@@"&amp;$F2111,"3 Posting Date",J$9)-NL("Sum","5802 Value Entry","43 Cost Amount (Actual)","41 Source Type",$C$5,"5 Source no.",$C2111,"4 Item Ledger Entry Type",$C$4,"2 Item No.","@@"&amp;$F2111,"3 Posting Date",J$9)</t>
  </si>
  <si>
    <t>=J2111-L2111</t>
  </si>
  <si>
    <t>=IF(J2111&lt;&gt;0,M2111/J2111,"")</t>
  </si>
  <si>
    <t>=NL("Sum","5802 Value Entry","150 Sales Amount (Expected)","41 Source Type",$C$5,"5 Source No.",$C2111,"4 Item Ledger Entry Type",$C$4,"2 Item No.","@@"&amp;$F2111,"3 Posting Date",O$9)+NL("Sum","5802 Value Entry","17 Sales Amount (Actual)","41 Source Type",$C$5,"5 Source no.",$C2111,"4 Item Ledger Entry Type",$C$4,"2 Item No.","@@"&amp;$F2111,"3 Posting Date",O$9)</t>
  </si>
  <si>
    <t>=-NL("Sum","5802 Value Entry","151 Cost Amount (Expected)","41 Source Type",$C$5,"5 Source No.",$C2111,"4 Item Ledger Entry Type",$C$4,"2 Item No.","@@"&amp;$F2111,"3 Posting Date",O$9)-NL("Sum","5802 Value Entry","43 Cost Amount (Actual)","41 Source Type",$C$5,"5 Source no.",$C2111,"4 Item Ledger Entry Type",$C$4,"2 Item No.","@@"&amp;$F2111,"3 Posting Date",O$9)</t>
  </si>
  <si>
    <t>=O2111-Q2111</t>
  </si>
  <si>
    <t>=IF(O2111&lt;&gt;0,R2111/O2111,"")</t>
  </si>
  <si>
    <t>=NL("Sum","5802 Value Entry","150 Sales Amount (Expected)","41 Source Type",$C$5,"5 Source No.",$C2111,"4 Item Ledger Entry Type",$C$4,"2 Item No.","@@"&amp;$F2111,"3 Posting Date",U$9)+NL("Sum","5802 Value Entry","17 Sales Amount (Actual)","41 Source Type",$C$5,"5 Source no.",$C2111,"4 Item Ledger Entry Type",$C$4,"2 Item No.","@@"&amp;$F2111,"3 Posting Date",U$9)</t>
  </si>
  <si>
    <t>=-NL("Sum","5802 Value Entry","151 Cost Amount (Expected)","41 Source Type",$C$5,"5 Source No.",$C2111,"4 Item Ledger Entry Type",$C$4,"2 Item No.","@@"&amp;$F2111,"3 Posting Date",U$9)-NL("Sum","5802 Value Entry","43 Cost Amount (Actual)","41 Source Type",$C$5,"5 Source no.",$C2111,"4 Item Ledger Entry Type",$C$4,"2 Item No.","@@"&amp;$F2111,"3 Posting Date",U$9)</t>
  </si>
  <si>
    <t>=U2111-W2111</t>
  </si>
  <si>
    <t>=IF(U2111&lt;&gt;0,X2111/U2111,"")</t>
  </si>
  <si>
    <t>=NL("Sum","5802 Value Entry","150 Sales Amount (Expected)","41 Source Type",$C$5,"5 Source No.",$C2111,"4 Item Ledger Entry Type",$C$4,"2 Item No.","@@"&amp;$F2111,"3 Posting Date",Z$9)+NL("Sum","5802 Value Entry","17 Sales Amount (Actual)","41 Source Type",$C$5,"5 Source no.",$C2111,"4 Item Ledger Entry Type",$C$4,"2 Item No.","@@"&amp;$F2111,"3 Posting Date",Z$9)</t>
  </si>
  <si>
    <t>=-NL("Sum","5802 Value Entry","151 Cost Amount (Expected)","41 Source Type",$C$5,"5 Source No.",$C2111,"4 Item Ledger Entry Type",$C$4,"2 Item No.","@@"&amp;$F2111,"3 Posting Date",Z$9)-NL("Sum","5802 Value Entry","43 Cost Amount (Actual)","41 Source Type",$C$5,"5 Source no.",$C2111,"4 Item Ledger Entry Type",$C$4,"2 Item No.","@@"&amp;$F2111,"3 Posting Date",Z$9)</t>
  </si>
  <si>
    <t>=Z2111-AB2111</t>
  </si>
  <si>
    <t>=IF(Z2111&lt;&gt;0,AC2111/Z2111,"")</t>
  </si>
  <si>
    <t>=C2111</t>
  </si>
  <si>
    <t>=NL("Sum","5802 Value Entry","150 Sales Amount (Expected)","41 Source Type",$C$5,"5 Source No.",$C2112,"4 Item Ledger Entry Type",$C$4,"2 Item No.","@@"&amp;$F2112,"3 Posting Date",J$9)+NL("Sum","5802 Value Entry","17 Sales Amount (Actual)","41 Source Type",$C$5,"5 Source no.",$C2112,"4 Item Ledger Entry Type",$C$4,"2 Item No.","@@"&amp;$F2112,"3 Posting Date",J$9)</t>
  </si>
  <si>
    <t>=-NL("Sum","5802 Value Entry","151 Cost Amount (Expected)","41 Source Type",$C$5,"5 Source No.",$C2112,"4 Item Ledger Entry Type",$C$4,"2 Item No.","@@"&amp;$F2112,"3 Posting Date",J$9)-NL("Sum","5802 Value Entry","43 Cost Amount (Actual)","41 Source Type",$C$5,"5 Source no.",$C2112,"4 Item Ledger Entry Type",$C$4,"2 Item No.","@@"&amp;$F2112,"3 Posting Date",J$9)</t>
  </si>
  <si>
    <t>=J2112-L2112</t>
  </si>
  <si>
    <t>=IF(J2112&lt;&gt;0,M2112/J2112,"")</t>
  </si>
  <si>
    <t>=NL("Sum","5802 Value Entry","150 Sales Amount (Expected)","41 Source Type",$C$5,"5 Source No.",$C2112,"4 Item Ledger Entry Type",$C$4,"2 Item No.","@@"&amp;$F2112,"3 Posting Date",O$9)+NL("Sum","5802 Value Entry","17 Sales Amount (Actual)","41 Source Type",$C$5,"5 Source no.",$C2112,"4 Item Ledger Entry Type",$C$4,"2 Item No.","@@"&amp;$F2112,"3 Posting Date",O$9)</t>
  </si>
  <si>
    <t>=-NL("Sum","5802 Value Entry","151 Cost Amount (Expected)","41 Source Type",$C$5,"5 Source No.",$C2112,"4 Item Ledger Entry Type",$C$4,"2 Item No.","@@"&amp;$F2112,"3 Posting Date",O$9)-NL("Sum","5802 Value Entry","43 Cost Amount (Actual)","41 Source Type",$C$5,"5 Source no.",$C2112,"4 Item Ledger Entry Type",$C$4,"2 Item No.","@@"&amp;$F2112,"3 Posting Date",O$9)</t>
  </si>
  <si>
    <t>=O2112-Q2112</t>
  </si>
  <si>
    <t>=IF(O2112&lt;&gt;0,R2112/O2112,"")</t>
  </si>
  <si>
    <t>=NL("Sum","5802 Value Entry","150 Sales Amount (Expected)","41 Source Type",$C$5,"5 Source No.",$C2112,"4 Item Ledger Entry Type",$C$4,"2 Item No.","@@"&amp;$F2112,"3 Posting Date",U$9)+NL("Sum","5802 Value Entry","17 Sales Amount (Actual)","41 Source Type",$C$5,"5 Source no.",$C2112,"4 Item Ledger Entry Type",$C$4,"2 Item No.","@@"&amp;$F2112,"3 Posting Date",U$9)</t>
  </si>
  <si>
    <t>=-NL("Sum","5802 Value Entry","151 Cost Amount (Expected)","41 Source Type",$C$5,"5 Source No.",$C2112,"4 Item Ledger Entry Type",$C$4,"2 Item No.","@@"&amp;$F2112,"3 Posting Date",U$9)-NL("Sum","5802 Value Entry","43 Cost Amount (Actual)","41 Source Type",$C$5,"5 Source no.",$C2112,"4 Item Ledger Entry Type",$C$4,"2 Item No.","@@"&amp;$F2112,"3 Posting Date",U$9)</t>
  </si>
  <si>
    <t>=U2112-W2112</t>
  </si>
  <si>
    <t>=IF(U2112&lt;&gt;0,X2112/U2112,"")</t>
  </si>
  <si>
    <t>=NL("Sum","5802 Value Entry","150 Sales Amount (Expected)","41 Source Type",$C$5,"5 Source No.",$C2112,"4 Item Ledger Entry Type",$C$4,"2 Item No.","@@"&amp;$F2112,"3 Posting Date",Z$9)+NL("Sum","5802 Value Entry","17 Sales Amount (Actual)","41 Source Type",$C$5,"5 Source no.",$C2112,"4 Item Ledger Entry Type",$C$4,"2 Item No.","@@"&amp;$F2112,"3 Posting Date",Z$9)</t>
  </si>
  <si>
    <t>=-NL("Sum","5802 Value Entry","151 Cost Amount (Expected)","41 Source Type",$C$5,"5 Source No.",$C2112,"4 Item Ledger Entry Type",$C$4,"2 Item No.","@@"&amp;$F2112,"3 Posting Date",Z$9)-NL("Sum","5802 Value Entry","43 Cost Amount (Actual)","41 Source Type",$C$5,"5 Source no.",$C2112,"4 Item Ledger Entry Type",$C$4,"2 Item No.","@@"&amp;$F2112,"3 Posting Date",Z$9)</t>
  </si>
  <si>
    <t>=Z2112-AB2112</t>
  </si>
  <si>
    <t>=IF(Z2112&lt;&gt;0,AC2112/Z2112,"")</t>
  </si>
  <si>
    <t>=C2112</t>
  </si>
  <si>
    <t>=NL("Sum","5802 Value Entry","150 Sales Amount (Expected)","41 Source Type",$C$5,"5 Source No.",$C2113,"4 Item Ledger Entry Type",$C$4,"2 Item No.","@@"&amp;$F2113,"3 Posting Date",J$9)+NL("Sum","5802 Value Entry","17 Sales Amount (Actual)","41 Source Type",$C$5,"5 Source no.",$C2113,"4 Item Ledger Entry Type",$C$4,"2 Item No.","@@"&amp;$F2113,"3 Posting Date",J$9)</t>
  </si>
  <si>
    <t>=-NL("Sum","5802 Value Entry","151 Cost Amount (Expected)","41 Source Type",$C$5,"5 Source No.",$C2113,"4 Item Ledger Entry Type",$C$4,"2 Item No.","@@"&amp;$F2113,"3 Posting Date",J$9)-NL("Sum","5802 Value Entry","43 Cost Amount (Actual)","41 Source Type",$C$5,"5 Source no.",$C2113,"4 Item Ledger Entry Type",$C$4,"2 Item No.","@@"&amp;$F2113,"3 Posting Date",J$9)</t>
  </si>
  <si>
    <t>=J2113-L2113</t>
  </si>
  <si>
    <t>=IF(J2113&lt;&gt;0,M2113/J2113,"")</t>
  </si>
  <si>
    <t>=NL("Sum","5802 Value Entry","150 Sales Amount (Expected)","41 Source Type",$C$5,"5 Source No.",$C2113,"4 Item Ledger Entry Type",$C$4,"2 Item No.","@@"&amp;$F2113,"3 Posting Date",O$9)+NL("Sum","5802 Value Entry","17 Sales Amount (Actual)","41 Source Type",$C$5,"5 Source no.",$C2113,"4 Item Ledger Entry Type",$C$4,"2 Item No.","@@"&amp;$F2113,"3 Posting Date",O$9)</t>
  </si>
  <si>
    <t>=-NL("Sum","5802 Value Entry","151 Cost Amount (Expected)","41 Source Type",$C$5,"5 Source No.",$C2113,"4 Item Ledger Entry Type",$C$4,"2 Item No.","@@"&amp;$F2113,"3 Posting Date",O$9)-NL("Sum","5802 Value Entry","43 Cost Amount (Actual)","41 Source Type",$C$5,"5 Source no.",$C2113,"4 Item Ledger Entry Type",$C$4,"2 Item No.","@@"&amp;$F2113,"3 Posting Date",O$9)</t>
  </si>
  <si>
    <t>=O2113-Q2113</t>
  </si>
  <si>
    <t>=IF(O2113&lt;&gt;0,R2113/O2113,"")</t>
  </si>
  <si>
    <t>=NL("Sum","5802 Value Entry","150 Sales Amount (Expected)","41 Source Type",$C$5,"5 Source No.",$C2113,"4 Item Ledger Entry Type",$C$4,"2 Item No.","@@"&amp;$F2113,"3 Posting Date",U$9)+NL("Sum","5802 Value Entry","17 Sales Amount (Actual)","41 Source Type",$C$5,"5 Source no.",$C2113,"4 Item Ledger Entry Type",$C$4,"2 Item No.","@@"&amp;$F2113,"3 Posting Date",U$9)</t>
  </si>
  <si>
    <t>=-NL("Sum","5802 Value Entry","151 Cost Amount (Expected)","41 Source Type",$C$5,"5 Source No.",$C2113,"4 Item Ledger Entry Type",$C$4,"2 Item No.","@@"&amp;$F2113,"3 Posting Date",U$9)-NL("Sum","5802 Value Entry","43 Cost Amount (Actual)","41 Source Type",$C$5,"5 Source no.",$C2113,"4 Item Ledger Entry Type",$C$4,"2 Item No.","@@"&amp;$F2113,"3 Posting Date",U$9)</t>
  </si>
  <si>
    <t>=U2113-W2113</t>
  </si>
  <si>
    <t>=IF(U2113&lt;&gt;0,X2113/U2113,"")</t>
  </si>
  <si>
    <t>=NL("Sum","5802 Value Entry","150 Sales Amount (Expected)","41 Source Type",$C$5,"5 Source No.",$C2113,"4 Item Ledger Entry Type",$C$4,"2 Item No.","@@"&amp;$F2113,"3 Posting Date",Z$9)+NL("Sum","5802 Value Entry","17 Sales Amount (Actual)","41 Source Type",$C$5,"5 Source no.",$C2113,"4 Item Ledger Entry Type",$C$4,"2 Item No.","@@"&amp;$F2113,"3 Posting Date",Z$9)</t>
  </si>
  <si>
    <t>=-NL("Sum","5802 Value Entry","151 Cost Amount (Expected)","41 Source Type",$C$5,"5 Source No.",$C2113,"4 Item Ledger Entry Type",$C$4,"2 Item No.","@@"&amp;$F2113,"3 Posting Date",Z$9)-NL("Sum","5802 Value Entry","43 Cost Amount (Actual)","41 Source Type",$C$5,"5 Source no.",$C2113,"4 Item Ledger Entry Type",$C$4,"2 Item No.","@@"&amp;$F2113,"3 Posting Date",Z$9)</t>
  </si>
  <si>
    <t>=Z2113-AB2113</t>
  </si>
  <si>
    <t>=IF(Z2113&lt;&gt;0,AC2113/Z2113,"")</t>
  </si>
  <si>
    <t>=C2113</t>
  </si>
  <si>
    <t>=NL("Sum","5802 Value Entry","150 Sales Amount (Expected)","41 Source Type",$C$5,"5 Source No.",$C2114,"4 Item Ledger Entry Type",$C$4,"2 Item No.","@@"&amp;$F2114,"3 Posting Date",J$9)+NL("Sum","5802 Value Entry","17 Sales Amount (Actual)","41 Source Type",$C$5,"5 Source no.",$C2114,"4 Item Ledger Entry Type",$C$4,"2 Item No.","@@"&amp;$F2114,"3 Posting Date",J$9)</t>
  </si>
  <si>
    <t>=-NL("Sum","5802 Value Entry","151 Cost Amount (Expected)","41 Source Type",$C$5,"5 Source No.",$C2114,"4 Item Ledger Entry Type",$C$4,"2 Item No.","@@"&amp;$F2114,"3 Posting Date",J$9)-NL("Sum","5802 Value Entry","43 Cost Amount (Actual)","41 Source Type",$C$5,"5 Source no.",$C2114,"4 Item Ledger Entry Type",$C$4,"2 Item No.","@@"&amp;$F2114,"3 Posting Date",J$9)</t>
  </si>
  <si>
    <t>=J2114-L2114</t>
  </si>
  <si>
    <t>=IF(J2114&lt;&gt;0,M2114/J2114,"")</t>
  </si>
  <si>
    <t>=NL("Sum","5802 Value Entry","150 Sales Amount (Expected)","41 Source Type",$C$5,"5 Source No.",$C2114,"4 Item Ledger Entry Type",$C$4,"2 Item No.","@@"&amp;$F2114,"3 Posting Date",O$9)+NL("Sum","5802 Value Entry","17 Sales Amount (Actual)","41 Source Type",$C$5,"5 Source no.",$C2114,"4 Item Ledger Entry Type",$C$4,"2 Item No.","@@"&amp;$F2114,"3 Posting Date",O$9)</t>
  </si>
  <si>
    <t>=-NL("Sum","5802 Value Entry","151 Cost Amount (Expected)","41 Source Type",$C$5,"5 Source No.",$C2114,"4 Item Ledger Entry Type",$C$4,"2 Item No.","@@"&amp;$F2114,"3 Posting Date",O$9)-NL("Sum","5802 Value Entry","43 Cost Amount (Actual)","41 Source Type",$C$5,"5 Source no.",$C2114,"4 Item Ledger Entry Type",$C$4,"2 Item No.","@@"&amp;$F2114,"3 Posting Date",O$9)</t>
  </si>
  <si>
    <t>=O2114-Q2114</t>
  </si>
  <si>
    <t>=IF(O2114&lt;&gt;0,R2114/O2114,"")</t>
  </si>
  <si>
    <t>=NL("Sum","5802 Value Entry","150 Sales Amount (Expected)","41 Source Type",$C$5,"5 Source No.",$C2114,"4 Item Ledger Entry Type",$C$4,"2 Item No.","@@"&amp;$F2114,"3 Posting Date",U$9)+NL("Sum","5802 Value Entry","17 Sales Amount (Actual)","41 Source Type",$C$5,"5 Source no.",$C2114,"4 Item Ledger Entry Type",$C$4,"2 Item No.","@@"&amp;$F2114,"3 Posting Date",U$9)</t>
  </si>
  <si>
    <t>=-NL("Sum","5802 Value Entry","151 Cost Amount (Expected)","41 Source Type",$C$5,"5 Source No.",$C2114,"4 Item Ledger Entry Type",$C$4,"2 Item No.","@@"&amp;$F2114,"3 Posting Date",U$9)-NL("Sum","5802 Value Entry","43 Cost Amount (Actual)","41 Source Type",$C$5,"5 Source no.",$C2114,"4 Item Ledger Entry Type",$C$4,"2 Item No.","@@"&amp;$F2114,"3 Posting Date",U$9)</t>
  </si>
  <si>
    <t>=U2114-W2114</t>
  </si>
  <si>
    <t>=IF(U2114&lt;&gt;0,X2114/U2114,"")</t>
  </si>
  <si>
    <t>=NL("Sum","5802 Value Entry","150 Sales Amount (Expected)","41 Source Type",$C$5,"5 Source No.",$C2114,"4 Item Ledger Entry Type",$C$4,"2 Item No.","@@"&amp;$F2114,"3 Posting Date",Z$9)+NL("Sum","5802 Value Entry","17 Sales Amount (Actual)","41 Source Type",$C$5,"5 Source no.",$C2114,"4 Item Ledger Entry Type",$C$4,"2 Item No.","@@"&amp;$F2114,"3 Posting Date",Z$9)</t>
  </si>
  <si>
    <t>=-NL("Sum","5802 Value Entry","151 Cost Amount (Expected)","41 Source Type",$C$5,"5 Source No.",$C2114,"4 Item Ledger Entry Type",$C$4,"2 Item No.","@@"&amp;$F2114,"3 Posting Date",Z$9)-NL("Sum","5802 Value Entry","43 Cost Amount (Actual)","41 Source Type",$C$5,"5 Source no.",$C2114,"4 Item Ledger Entry Type",$C$4,"2 Item No.","@@"&amp;$F2114,"3 Posting Date",Z$9)</t>
  </si>
  <si>
    <t>=Z2114-AB2114</t>
  </si>
  <si>
    <t>=IF(Z2114&lt;&gt;0,AC2114/Z2114,"")</t>
  </si>
  <si>
    <t>=C2114</t>
  </si>
  <si>
    <t>=NL("Sum","5802 Value Entry","150 Sales Amount (Expected)","41 Source Type",$C$5,"5 Source No.",$C2115,"4 Item Ledger Entry Type",$C$4,"2 Item No.","@@"&amp;$F2115,"3 Posting Date",J$9)+NL("Sum","5802 Value Entry","17 Sales Amount (Actual)","41 Source Type",$C$5,"5 Source no.",$C2115,"4 Item Ledger Entry Type",$C$4,"2 Item No.","@@"&amp;$F2115,"3 Posting Date",J$9)</t>
  </si>
  <si>
    <t>=-NL("Sum","5802 Value Entry","151 Cost Amount (Expected)","41 Source Type",$C$5,"5 Source No.",$C2115,"4 Item Ledger Entry Type",$C$4,"2 Item No.","@@"&amp;$F2115,"3 Posting Date",J$9)-NL("Sum","5802 Value Entry","43 Cost Amount (Actual)","41 Source Type",$C$5,"5 Source no.",$C2115,"4 Item Ledger Entry Type",$C$4,"2 Item No.","@@"&amp;$F2115,"3 Posting Date",J$9)</t>
  </si>
  <si>
    <t>=J2115-L2115</t>
  </si>
  <si>
    <t>=IF(J2115&lt;&gt;0,M2115/J2115,"")</t>
  </si>
  <si>
    <t>=NL("Sum","5802 Value Entry","150 Sales Amount (Expected)","41 Source Type",$C$5,"5 Source No.",$C2115,"4 Item Ledger Entry Type",$C$4,"2 Item No.","@@"&amp;$F2115,"3 Posting Date",O$9)+NL("Sum","5802 Value Entry","17 Sales Amount (Actual)","41 Source Type",$C$5,"5 Source no.",$C2115,"4 Item Ledger Entry Type",$C$4,"2 Item No.","@@"&amp;$F2115,"3 Posting Date",O$9)</t>
  </si>
  <si>
    <t>=-NL("Sum","5802 Value Entry","151 Cost Amount (Expected)","41 Source Type",$C$5,"5 Source No.",$C2115,"4 Item Ledger Entry Type",$C$4,"2 Item No.","@@"&amp;$F2115,"3 Posting Date",O$9)-NL("Sum","5802 Value Entry","43 Cost Amount (Actual)","41 Source Type",$C$5,"5 Source no.",$C2115,"4 Item Ledger Entry Type",$C$4,"2 Item No.","@@"&amp;$F2115,"3 Posting Date",O$9)</t>
  </si>
  <si>
    <t>=O2115-Q2115</t>
  </si>
  <si>
    <t>=IF(O2115&lt;&gt;0,R2115/O2115,"")</t>
  </si>
  <si>
    <t>=NL("Sum","5802 Value Entry","150 Sales Amount (Expected)","41 Source Type",$C$5,"5 Source No.",$C2115,"4 Item Ledger Entry Type",$C$4,"2 Item No.","@@"&amp;$F2115,"3 Posting Date",U$9)+NL("Sum","5802 Value Entry","17 Sales Amount (Actual)","41 Source Type",$C$5,"5 Source no.",$C2115,"4 Item Ledger Entry Type",$C$4,"2 Item No.","@@"&amp;$F2115,"3 Posting Date",U$9)</t>
  </si>
  <si>
    <t>=-NL("Sum","5802 Value Entry","151 Cost Amount (Expected)","41 Source Type",$C$5,"5 Source No.",$C2115,"4 Item Ledger Entry Type",$C$4,"2 Item No.","@@"&amp;$F2115,"3 Posting Date",U$9)-NL("Sum","5802 Value Entry","43 Cost Amount (Actual)","41 Source Type",$C$5,"5 Source no.",$C2115,"4 Item Ledger Entry Type",$C$4,"2 Item No.","@@"&amp;$F2115,"3 Posting Date",U$9)</t>
  </si>
  <si>
    <t>=U2115-W2115</t>
  </si>
  <si>
    <t>=IF(U2115&lt;&gt;0,X2115/U2115,"")</t>
  </si>
  <si>
    <t>=NL("Sum","5802 Value Entry","150 Sales Amount (Expected)","41 Source Type",$C$5,"5 Source No.",$C2115,"4 Item Ledger Entry Type",$C$4,"2 Item No.","@@"&amp;$F2115,"3 Posting Date",Z$9)+NL("Sum","5802 Value Entry","17 Sales Amount (Actual)","41 Source Type",$C$5,"5 Source no.",$C2115,"4 Item Ledger Entry Type",$C$4,"2 Item No.","@@"&amp;$F2115,"3 Posting Date",Z$9)</t>
  </si>
  <si>
    <t>=-NL("Sum","5802 Value Entry","151 Cost Amount (Expected)","41 Source Type",$C$5,"5 Source No.",$C2115,"4 Item Ledger Entry Type",$C$4,"2 Item No.","@@"&amp;$F2115,"3 Posting Date",Z$9)-NL("Sum","5802 Value Entry","43 Cost Amount (Actual)","41 Source Type",$C$5,"5 Source no.",$C2115,"4 Item Ledger Entry Type",$C$4,"2 Item No.","@@"&amp;$F2115,"3 Posting Date",Z$9)</t>
  </si>
  <si>
    <t>=Z2115-AB2115</t>
  </si>
  <si>
    <t>=IF(Z2115&lt;&gt;0,AC2115/Z2115,"")</t>
  </si>
  <si>
    <t>=C2115</t>
  </si>
  <si>
    <t>=NL("Sum","5802 Value Entry","150 Sales Amount (Expected)","41 Source Type",$C$5,"5 Source No.",$C2116,"4 Item Ledger Entry Type",$C$4,"2 Item No.","@@"&amp;$F2116,"3 Posting Date",J$9)+NL("Sum","5802 Value Entry","17 Sales Amount (Actual)","41 Source Type",$C$5,"5 Source no.",$C2116,"4 Item Ledger Entry Type",$C$4,"2 Item No.","@@"&amp;$F2116,"3 Posting Date",J$9)</t>
  </si>
  <si>
    <t>=-NL("Sum","5802 Value Entry","151 Cost Amount (Expected)","41 Source Type",$C$5,"5 Source No.",$C2116,"4 Item Ledger Entry Type",$C$4,"2 Item No.","@@"&amp;$F2116,"3 Posting Date",J$9)-NL("Sum","5802 Value Entry","43 Cost Amount (Actual)","41 Source Type",$C$5,"5 Source no.",$C2116,"4 Item Ledger Entry Type",$C$4,"2 Item No.","@@"&amp;$F2116,"3 Posting Date",J$9)</t>
  </si>
  <si>
    <t>=J2116-L2116</t>
  </si>
  <si>
    <t>=IF(J2116&lt;&gt;0,M2116/J2116,"")</t>
  </si>
  <si>
    <t>=NL("Sum","5802 Value Entry","150 Sales Amount (Expected)","41 Source Type",$C$5,"5 Source No.",$C2116,"4 Item Ledger Entry Type",$C$4,"2 Item No.","@@"&amp;$F2116,"3 Posting Date",O$9)+NL("Sum","5802 Value Entry","17 Sales Amount (Actual)","41 Source Type",$C$5,"5 Source no.",$C2116,"4 Item Ledger Entry Type",$C$4,"2 Item No.","@@"&amp;$F2116,"3 Posting Date",O$9)</t>
  </si>
  <si>
    <t>=-NL("Sum","5802 Value Entry","151 Cost Amount (Expected)","41 Source Type",$C$5,"5 Source No.",$C2116,"4 Item Ledger Entry Type",$C$4,"2 Item No.","@@"&amp;$F2116,"3 Posting Date",O$9)-NL("Sum","5802 Value Entry","43 Cost Amount (Actual)","41 Source Type",$C$5,"5 Source no.",$C2116,"4 Item Ledger Entry Type",$C$4,"2 Item No.","@@"&amp;$F2116,"3 Posting Date",O$9)</t>
  </si>
  <si>
    <t>=O2116-Q2116</t>
  </si>
  <si>
    <t>=IF(O2116&lt;&gt;0,R2116/O2116,"")</t>
  </si>
  <si>
    <t>=NL("Sum","5802 Value Entry","150 Sales Amount (Expected)","41 Source Type",$C$5,"5 Source No.",$C2116,"4 Item Ledger Entry Type",$C$4,"2 Item No.","@@"&amp;$F2116,"3 Posting Date",U$9)+NL("Sum","5802 Value Entry","17 Sales Amount (Actual)","41 Source Type",$C$5,"5 Source no.",$C2116,"4 Item Ledger Entry Type",$C$4,"2 Item No.","@@"&amp;$F2116,"3 Posting Date",U$9)</t>
  </si>
  <si>
    <t>=-NL("Sum","5802 Value Entry","151 Cost Amount (Expected)","41 Source Type",$C$5,"5 Source No.",$C2116,"4 Item Ledger Entry Type",$C$4,"2 Item No.","@@"&amp;$F2116,"3 Posting Date",U$9)-NL("Sum","5802 Value Entry","43 Cost Amount (Actual)","41 Source Type",$C$5,"5 Source no.",$C2116,"4 Item Ledger Entry Type",$C$4,"2 Item No.","@@"&amp;$F2116,"3 Posting Date",U$9)</t>
  </si>
  <si>
    <t>=U2116-W2116</t>
  </si>
  <si>
    <t>=IF(U2116&lt;&gt;0,X2116/U2116,"")</t>
  </si>
  <si>
    <t>=NL("Sum","5802 Value Entry","150 Sales Amount (Expected)","41 Source Type",$C$5,"5 Source No.",$C2116,"4 Item Ledger Entry Type",$C$4,"2 Item No.","@@"&amp;$F2116,"3 Posting Date",Z$9)+NL("Sum","5802 Value Entry","17 Sales Amount (Actual)","41 Source Type",$C$5,"5 Source no.",$C2116,"4 Item Ledger Entry Type",$C$4,"2 Item No.","@@"&amp;$F2116,"3 Posting Date",Z$9)</t>
  </si>
  <si>
    <t>=-NL("Sum","5802 Value Entry","151 Cost Amount (Expected)","41 Source Type",$C$5,"5 Source No.",$C2116,"4 Item Ledger Entry Type",$C$4,"2 Item No.","@@"&amp;$F2116,"3 Posting Date",Z$9)-NL("Sum","5802 Value Entry","43 Cost Amount (Actual)","41 Source Type",$C$5,"5 Source no.",$C2116,"4 Item Ledger Entry Type",$C$4,"2 Item No.","@@"&amp;$F2116,"3 Posting Date",Z$9)</t>
  </si>
  <si>
    <t>=Z2116-AB2116</t>
  </si>
  <si>
    <t>=IF(Z2116&lt;&gt;0,AC2116/Z2116,"")</t>
  </si>
  <si>
    <t>=C2116</t>
  </si>
  <si>
    <t>=NL("Sum","5802 Value Entry","150 Sales Amount (Expected)","41 Source Type",$C$5,"5 Source No.",$C2117,"4 Item Ledger Entry Type",$C$4,"2 Item No.","@@"&amp;$F2117,"3 Posting Date",J$9)+NL("Sum","5802 Value Entry","17 Sales Amount (Actual)","41 Source Type",$C$5,"5 Source no.",$C2117,"4 Item Ledger Entry Type",$C$4,"2 Item No.","@@"&amp;$F2117,"3 Posting Date",J$9)</t>
  </si>
  <si>
    <t>=-NL("Sum","5802 Value Entry","151 Cost Amount (Expected)","41 Source Type",$C$5,"5 Source No.",$C2117,"4 Item Ledger Entry Type",$C$4,"2 Item No.","@@"&amp;$F2117,"3 Posting Date",J$9)-NL("Sum","5802 Value Entry","43 Cost Amount (Actual)","41 Source Type",$C$5,"5 Source no.",$C2117,"4 Item Ledger Entry Type",$C$4,"2 Item No.","@@"&amp;$F2117,"3 Posting Date",J$9)</t>
  </si>
  <si>
    <t>=J2117-L2117</t>
  </si>
  <si>
    <t>=IF(J2117&lt;&gt;0,M2117/J2117,"")</t>
  </si>
  <si>
    <t>=NL("Sum","5802 Value Entry","150 Sales Amount (Expected)","41 Source Type",$C$5,"5 Source No.",$C2117,"4 Item Ledger Entry Type",$C$4,"2 Item No.","@@"&amp;$F2117,"3 Posting Date",O$9)+NL("Sum","5802 Value Entry","17 Sales Amount (Actual)","41 Source Type",$C$5,"5 Source no.",$C2117,"4 Item Ledger Entry Type",$C$4,"2 Item No.","@@"&amp;$F2117,"3 Posting Date",O$9)</t>
  </si>
  <si>
    <t>=-NL("Sum","5802 Value Entry","151 Cost Amount (Expected)","41 Source Type",$C$5,"5 Source No.",$C2117,"4 Item Ledger Entry Type",$C$4,"2 Item No.","@@"&amp;$F2117,"3 Posting Date",O$9)-NL("Sum","5802 Value Entry","43 Cost Amount (Actual)","41 Source Type",$C$5,"5 Source no.",$C2117,"4 Item Ledger Entry Type",$C$4,"2 Item No.","@@"&amp;$F2117,"3 Posting Date",O$9)</t>
  </si>
  <si>
    <t>=O2117-Q2117</t>
  </si>
  <si>
    <t>=IF(O2117&lt;&gt;0,R2117/O2117,"")</t>
  </si>
  <si>
    <t>=NL("Sum","5802 Value Entry","150 Sales Amount (Expected)","41 Source Type",$C$5,"5 Source No.",$C2117,"4 Item Ledger Entry Type",$C$4,"2 Item No.","@@"&amp;$F2117,"3 Posting Date",U$9)+NL("Sum","5802 Value Entry","17 Sales Amount (Actual)","41 Source Type",$C$5,"5 Source no.",$C2117,"4 Item Ledger Entry Type",$C$4,"2 Item No.","@@"&amp;$F2117,"3 Posting Date",U$9)</t>
  </si>
  <si>
    <t>=-NL("Sum","5802 Value Entry","151 Cost Amount (Expected)","41 Source Type",$C$5,"5 Source No.",$C2117,"4 Item Ledger Entry Type",$C$4,"2 Item No.","@@"&amp;$F2117,"3 Posting Date",U$9)-NL("Sum","5802 Value Entry","43 Cost Amount (Actual)","41 Source Type",$C$5,"5 Source no.",$C2117,"4 Item Ledger Entry Type",$C$4,"2 Item No.","@@"&amp;$F2117,"3 Posting Date",U$9)</t>
  </si>
  <si>
    <t>=U2117-W2117</t>
  </si>
  <si>
    <t>=IF(U2117&lt;&gt;0,X2117/U2117,"")</t>
  </si>
  <si>
    <t>=NL("Sum","5802 Value Entry","150 Sales Amount (Expected)","41 Source Type",$C$5,"5 Source No.",$C2117,"4 Item Ledger Entry Type",$C$4,"2 Item No.","@@"&amp;$F2117,"3 Posting Date",Z$9)+NL("Sum","5802 Value Entry","17 Sales Amount (Actual)","41 Source Type",$C$5,"5 Source no.",$C2117,"4 Item Ledger Entry Type",$C$4,"2 Item No.","@@"&amp;$F2117,"3 Posting Date",Z$9)</t>
  </si>
  <si>
    <t>=-NL("Sum","5802 Value Entry","151 Cost Amount (Expected)","41 Source Type",$C$5,"5 Source No.",$C2117,"4 Item Ledger Entry Type",$C$4,"2 Item No.","@@"&amp;$F2117,"3 Posting Date",Z$9)-NL("Sum","5802 Value Entry","43 Cost Amount (Actual)","41 Source Type",$C$5,"5 Source no.",$C2117,"4 Item Ledger Entry Type",$C$4,"2 Item No.","@@"&amp;$F2117,"3 Posting Date",Z$9)</t>
  </si>
  <si>
    <t>=Z2117-AB2117</t>
  </si>
  <si>
    <t>=IF(Z2117&lt;&gt;0,AC2117/Z2117,"")</t>
  </si>
  <si>
    <t>=C2117</t>
  </si>
  <si>
    <t>=NL("Sum","5802 Value Entry","150 Sales Amount (Expected)","41 Source Type",$C$5,"5 Source No.",$C2118,"4 Item Ledger Entry Type",$C$4,"2 Item No.","@@"&amp;$F2118,"3 Posting Date",J$9)+NL("Sum","5802 Value Entry","17 Sales Amount (Actual)","41 Source Type",$C$5,"5 Source no.",$C2118,"4 Item Ledger Entry Type",$C$4,"2 Item No.","@@"&amp;$F2118,"3 Posting Date",J$9)</t>
  </si>
  <si>
    <t>=-NL("Sum","5802 Value Entry","151 Cost Amount (Expected)","41 Source Type",$C$5,"5 Source No.",$C2118,"4 Item Ledger Entry Type",$C$4,"2 Item No.","@@"&amp;$F2118,"3 Posting Date",J$9)-NL("Sum","5802 Value Entry","43 Cost Amount (Actual)","41 Source Type",$C$5,"5 Source no.",$C2118,"4 Item Ledger Entry Type",$C$4,"2 Item No.","@@"&amp;$F2118,"3 Posting Date",J$9)</t>
  </si>
  <si>
    <t>=J2118-L2118</t>
  </si>
  <si>
    <t>=IF(J2118&lt;&gt;0,M2118/J2118,"")</t>
  </si>
  <si>
    <t>=NL("Sum","5802 Value Entry","150 Sales Amount (Expected)","41 Source Type",$C$5,"5 Source No.",$C2118,"4 Item Ledger Entry Type",$C$4,"2 Item No.","@@"&amp;$F2118,"3 Posting Date",O$9)+NL("Sum","5802 Value Entry","17 Sales Amount (Actual)","41 Source Type",$C$5,"5 Source no.",$C2118,"4 Item Ledger Entry Type",$C$4,"2 Item No.","@@"&amp;$F2118,"3 Posting Date",O$9)</t>
  </si>
  <si>
    <t>=-NL("Sum","5802 Value Entry","151 Cost Amount (Expected)","41 Source Type",$C$5,"5 Source No.",$C2118,"4 Item Ledger Entry Type",$C$4,"2 Item No.","@@"&amp;$F2118,"3 Posting Date",O$9)-NL("Sum","5802 Value Entry","43 Cost Amount (Actual)","41 Source Type",$C$5,"5 Source no.",$C2118,"4 Item Ledger Entry Type",$C$4,"2 Item No.","@@"&amp;$F2118,"3 Posting Date",O$9)</t>
  </si>
  <si>
    <t>=O2118-Q2118</t>
  </si>
  <si>
    <t>=IF(O2118&lt;&gt;0,R2118/O2118,"")</t>
  </si>
  <si>
    <t>=NL("Sum","5802 Value Entry","150 Sales Amount (Expected)","41 Source Type",$C$5,"5 Source No.",$C2118,"4 Item Ledger Entry Type",$C$4,"2 Item No.","@@"&amp;$F2118,"3 Posting Date",U$9)+NL("Sum","5802 Value Entry","17 Sales Amount (Actual)","41 Source Type",$C$5,"5 Source no.",$C2118,"4 Item Ledger Entry Type",$C$4,"2 Item No.","@@"&amp;$F2118,"3 Posting Date",U$9)</t>
  </si>
  <si>
    <t>=-NL("Sum","5802 Value Entry","151 Cost Amount (Expected)","41 Source Type",$C$5,"5 Source No.",$C2118,"4 Item Ledger Entry Type",$C$4,"2 Item No.","@@"&amp;$F2118,"3 Posting Date",U$9)-NL("Sum","5802 Value Entry","43 Cost Amount (Actual)","41 Source Type",$C$5,"5 Source no.",$C2118,"4 Item Ledger Entry Type",$C$4,"2 Item No.","@@"&amp;$F2118,"3 Posting Date",U$9)</t>
  </si>
  <si>
    <t>=U2118-W2118</t>
  </si>
  <si>
    <t>=IF(U2118&lt;&gt;0,X2118/U2118,"")</t>
  </si>
  <si>
    <t>=NL("Sum","5802 Value Entry","150 Sales Amount (Expected)","41 Source Type",$C$5,"5 Source No.",$C2118,"4 Item Ledger Entry Type",$C$4,"2 Item No.","@@"&amp;$F2118,"3 Posting Date",Z$9)+NL("Sum","5802 Value Entry","17 Sales Amount (Actual)","41 Source Type",$C$5,"5 Source no.",$C2118,"4 Item Ledger Entry Type",$C$4,"2 Item No.","@@"&amp;$F2118,"3 Posting Date",Z$9)</t>
  </si>
  <si>
    <t>=-NL("Sum","5802 Value Entry","151 Cost Amount (Expected)","41 Source Type",$C$5,"5 Source No.",$C2118,"4 Item Ledger Entry Type",$C$4,"2 Item No.","@@"&amp;$F2118,"3 Posting Date",Z$9)-NL("Sum","5802 Value Entry","43 Cost Amount (Actual)","41 Source Type",$C$5,"5 Source no.",$C2118,"4 Item Ledger Entry Type",$C$4,"2 Item No.","@@"&amp;$F2118,"3 Posting Date",Z$9)</t>
  </si>
  <si>
    <t>=Z2118-AB2118</t>
  </si>
  <si>
    <t>=IF(Z2118&lt;&gt;0,AC2118/Z2118,"")</t>
  </si>
  <si>
    <t>=C2118</t>
  </si>
  <si>
    <t>=NL("Sum","5802 Value Entry","150 Sales Amount (Expected)","41 Source Type",$C$5,"5 Source No.",$C2119,"4 Item Ledger Entry Type",$C$4,"2 Item No.","@@"&amp;$F2119,"3 Posting Date",J$9)+NL("Sum","5802 Value Entry","17 Sales Amount (Actual)","41 Source Type",$C$5,"5 Source no.",$C2119,"4 Item Ledger Entry Type",$C$4,"2 Item No.","@@"&amp;$F2119,"3 Posting Date",J$9)</t>
  </si>
  <si>
    <t>=-NL("Sum","5802 Value Entry","151 Cost Amount (Expected)","41 Source Type",$C$5,"5 Source No.",$C2119,"4 Item Ledger Entry Type",$C$4,"2 Item No.","@@"&amp;$F2119,"3 Posting Date",J$9)-NL("Sum","5802 Value Entry","43 Cost Amount (Actual)","41 Source Type",$C$5,"5 Source no.",$C2119,"4 Item Ledger Entry Type",$C$4,"2 Item No.","@@"&amp;$F2119,"3 Posting Date",J$9)</t>
  </si>
  <si>
    <t>=J2119-L2119</t>
  </si>
  <si>
    <t>=IF(J2119&lt;&gt;0,M2119/J2119,"")</t>
  </si>
  <si>
    <t>=NL("Sum","5802 Value Entry","150 Sales Amount (Expected)","41 Source Type",$C$5,"5 Source No.",$C2119,"4 Item Ledger Entry Type",$C$4,"2 Item No.","@@"&amp;$F2119,"3 Posting Date",O$9)+NL("Sum","5802 Value Entry","17 Sales Amount (Actual)","41 Source Type",$C$5,"5 Source no.",$C2119,"4 Item Ledger Entry Type",$C$4,"2 Item No.","@@"&amp;$F2119,"3 Posting Date",O$9)</t>
  </si>
  <si>
    <t>=-NL("Sum","5802 Value Entry","151 Cost Amount (Expected)","41 Source Type",$C$5,"5 Source No.",$C2119,"4 Item Ledger Entry Type",$C$4,"2 Item No.","@@"&amp;$F2119,"3 Posting Date",O$9)-NL("Sum","5802 Value Entry","43 Cost Amount (Actual)","41 Source Type",$C$5,"5 Source no.",$C2119,"4 Item Ledger Entry Type",$C$4,"2 Item No.","@@"&amp;$F2119,"3 Posting Date",O$9)</t>
  </si>
  <si>
    <t>=O2119-Q2119</t>
  </si>
  <si>
    <t>=IF(O2119&lt;&gt;0,R2119/O2119,"")</t>
  </si>
  <si>
    <t>=NL("Sum","5802 Value Entry","150 Sales Amount (Expected)","41 Source Type",$C$5,"5 Source No.",$C2119,"4 Item Ledger Entry Type",$C$4,"2 Item No.","@@"&amp;$F2119,"3 Posting Date",U$9)+NL("Sum","5802 Value Entry","17 Sales Amount (Actual)","41 Source Type",$C$5,"5 Source no.",$C2119,"4 Item Ledger Entry Type",$C$4,"2 Item No.","@@"&amp;$F2119,"3 Posting Date",U$9)</t>
  </si>
  <si>
    <t>=-NL("Sum","5802 Value Entry","151 Cost Amount (Expected)","41 Source Type",$C$5,"5 Source No.",$C2119,"4 Item Ledger Entry Type",$C$4,"2 Item No.","@@"&amp;$F2119,"3 Posting Date",U$9)-NL("Sum","5802 Value Entry","43 Cost Amount (Actual)","41 Source Type",$C$5,"5 Source no.",$C2119,"4 Item Ledger Entry Type",$C$4,"2 Item No.","@@"&amp;$F2119,"3 Posting Date",U$9)</t>
  </si>
  <si>
    <t>=U2119-W2119</t>
  </si>
  <si>
    <t>=IF(U2119&lt;&gt;0,X2119/U2119,"")</t>
  </si>
  <si>
    <t>=NL("Sum","5802 Value Entry","150 Sales Amount (Expected)","41 Source Type",$C$5,"5 Source No.",$C2119,"4 Item Ledger Entry Type",$C$4,"2 Item No.","@@"&amp;$F2119,"3 Posting Date",Z$9)+NL("Sum","5802 Value Entry","17 Sales Amount (Actual)","41 Source Type",$C$5,"5 Source no.",$C2119,"4 Item Ledger Entry Type",$C$4,"2 Item No.","@@"&amp;$F2119,"3 Posting Date",Z$9)</t>
  </si>
  <si>
    <t>=-NL("Sum","5802 Value Entry","151 Cost Amount (Expected)","41 Source Type",$C$5,"5 Source No.",$C2119,"4 Item Ledger Entry Type",$C$4,"2 Item No.","@@"&amp;$F2119,"3 Posting Date",Z$9)-NL("Sum","5802 Value Entry","43 Cost Amount (Actual)","41 Source Type",$C$5,"5 Source no.",$C2119,"4 Item Ledger Entry Type",$C$4,"2 Item No.","@@"&amp;$F2119,"3 Posting Date",Z$9)</t>
  </si>
  <si>
    <t>=Z2119-AB2119</t>
  </si>
  <si>
    <t>=IF(Z2119&lt;&gt;0,AC2119/Z2119,"")</t>
  </si>
  <si>
    <t>=C2119</t>
  </si>
  <si>
    <t>=NL("Sum","5802 Value Entry","150 Sales Amount (Expected)","41 Source Type",$C$5,"5 Source No.",$C2120,"4 Item Ledger Entry Type",$C$4,"2 Item No.","@@"&amp;$F2120,"3 Posting Date",J$9)+NL("Sum","5802 Value Entry","17 Sales Amount (Actual)","41 Source Type",$C$5,"5 Source no.",$C2120,"4 Item Ledger Entry Type",$C$4,"2 Item No.","@@"&amp;$F2120,"3 Posting Date",J$9)</t>
  </si>
  <si>
    <t>=-NL("Sum","5802 Value Entry","151 Cost Amount (Expected)","41 Source Type",$C$5,"5 Source No.",$C2120,"4 Item Ledger Entry Type",$C$4,"2 Item No.","@@"&amp;$F2120,"3 Posting Date",J$9)-NL("Sum","5802 Value Entry","43 Cost Amount (Actual)","41 Source Type",$C$5,"5 Source no.",$C2120,"4 Item Ledger Entry Type",$C$4,"2 Item No.","@@"&amp;$F2120,"3 Posting Date",J$9)</t>
  </si>
  <si>
    <t>=J2120-L2120</t>
  </si>
  <si>
    <t>=IF(J2120&lt;&gt;0,M2120/J2120,"")</t>
  </si>
  <si>
    <t>=NL("Sum","5802 Value Entry","150 Sales Amount (Expected)","41 Source Type",$C$5,"5 Source No.",$C2120,"4 Item Ledger Entry Type",$C$4,"2 Item No.","@@"&amp;$F2120,"3 Posting Date",O$9)+NL("Sum","5802 Value Entry","17 Sales Amount (Actual)","41 Source Type",$C$5,"5 Source no.",$C2120,"4 Item Ledger Entry Type",$C$4,"2 Item No.","@@"&amp;$F2120,"3 Posting Date",O$9)</t>
  </si>
  <si>
    <t>=-NL("Sum","5802 Value Entry","151 Cost Amount (Expected)","41 Source Type",$C$5,"5 Source No.",$C2120,"4 Item Ledger Entry Type",$C$4,"2 Item No.","@@"&amp;$F2120,"3 Posting Date",O$9)-NL("Sum","5802 Value Entry","43 Cost Amount (Actual)","41 Source Type",$C$5,"5 Source no.",$C2120,"4 Item Ledger Entry Type",$C$4,"2 Item No.","@@"&amp;$F2120,"3 Posting Date",O$9)</t>
  </si>
  <si>
    <t>=O2120-Q2120</t>
  </si>
  <si>
    <t>=IF(O2120&lt;&gt;0,R2120/O2120,"")</t>
  </si>
  <si>
    <t>=NL("Sum","5802 Value Entry","150 Sales Amount (Expected)","41 Source Type",$C$5,"5 Source No.",$C2120,"4 Item Ledger Entry Type",$C$4,"2 Item No.","@@"&amp;$F2120,"3 Posting Date",U$9)+NL("Sum","5802 Value Entry","17 Sales Amount (Actual)","41 Source Type",$C$5,"5 Source no.",$C2120,"4 Item Ledger Entry Type",$C$4,"2 Item No.","@@"&amp;$F2120,"3 Posting Date",U$9)</t>
  </si>
  <si>
    <t>=-NL("Sum","5802 Value Entry","151 Cost Amount (Expected)","41 Source Type",$C$5,"5 Source No.",$C2120,"4 Item Ledger Entry Type",$C$4,"2 Item No.","@@"&amp;$F2120,"3 Posting Date",U$9)-NL("Sum","5802 Value Entry","43 Cost Amount (Actual)","41 Source Type",$C$5,"5 Source no.",$C2120,"4 Item Ledger Entry Type",$C$4,"2 Item No.","@@"&amp;$F2120,"3 Posting Date",U$9)</t>
  </si>
  <si>
    <t>=U2120-W2120</t>
  </si>
  <si>
    <t>=IF(U2120&lt;&gt;0,X2120/U2120,"")</t>
  </si>
  <si>
    <t>=NL("Sum","5802 Value Entry","150 Sales Amount (Expected)","41 Source Type",$C$5,"5 Source No.",$C2120,"4 Item Ledger Entry Type",$C$4,"2 Item No.","@@"&amp;$F2120,"3 Posting Date",Z$9)+NL("Sum","5802 Value Entry","17 Sales Amount (Actual)","41 Source Type",$C$5,"5 Source no.",$C2120,"4 Item Ledger Entry Type",$C$4,"2 Item No.","@@"&amp;$F2120,"3 Posting Date",Z$9)</t>
  </si>
  <si>
    <t>=-NL("Sum","5802 Value Entry","151 Cost Amount (Expected)","41 Source Type",$C$5,"5 Source No.",$C2120,"4 Item Ledger Entry Type",$C$4,"2 Item No.","@@"&amp;$F2120,"3 Posting Date",Z$9)-NL("Sum","5802 Value Entry","43 Cost Amount (Actual)","41 Source Type",$C$5,"5 Source no.",$C2120,"4 Item Ledger Entry Type",$C$4,"2 Item No.","@@"&amp;$F2120,"3 Posting Date",Z$9)</t>
  </si>
  <si>
    <t>=Z2120-AB2120</t>
  </si>
  <si>
    <t>=IF(Z2120&lt;&gt;0,AC2120/Z2120,"")</t>
  </si>
  <si>
    <t>=C2120</t>
  </si>
  <si>
    <t>=NL("Sum","5802 Value Entry","150 Sales Amount (Expected)","41 Source Type",$C$5,"5 Source No.",$C2121,"4 Item Ledger Entry Type",$C$4,"2 Item No.","@@"&amp;$F2121,"3 Posting Date",J$9)+NL("Sum","5802 Value Entry","17 Sales Amount (Actual)","41 Source Type",$C$5,"5 Source no.",$C2121,"4 Item Ledger Entry Type",$C$4,"2 Item No.","@@"&amp;$F2121,"3 Posting Date",J$9)</t>
  </si>
  <si>
    <t>=-NL("Sum","5802 Value Entry","151 Cost Amount (Expected)","41 Source Type",$C$5,"5 Source No.",$C2121,"4 Item Ledger Entry Type",$C$4,"2 Item No.","@@"&amp;$F2121,"3 Posting Date",J$9)-NL("Sum","5802 Value Entry","43 Cost Amount (Actual)","41 Source Type",$C$5,"5 Source no.",$C2121,"4 Item Ledger Entry Type",$C$4,"2 Item No.","@@"&amp;$F2121,"3 Posting Date",J$9)</t>
  </si>
  <si>
    <t>=J2121-L2121</t>
  </si>
  <si>
    <t>=IF(J2121&lt;&gt;0,M2121/J2121,"")</t>
  </si>
  <si>
    <t>=NL("Sum","5802 Value Entry","150 Sales Amount (Expected)","41 Source Type",$C$5,"5 Source No.",$C2121,"4 Item Ledger Entry Type",$C$4,"2 Item No.","@@"&amp;$F2121,"3 Posting Date",O$9)+NL("Sum","5802 Value Entry","17 Sales Amount (Actual)","41 Source Type",$C$5,"5 Source no.",$C2121,"4 Item Ledger Entry Type",$C$4,"2 Item No.","@@"&amp;$F2121,"3 Posting Date",O$9)</t>
  </si>
  <si>
    <t>=-NL("Sum","5802 Value Entry","151 Cost Amount (Expected)","41 Source Type",$C$5,"5 Source No.",$C2121,"4 Item Ledger Entry Type",$C$4,"2 Item No.","@@"&amp;$F2121,"3 Posting Date",O$9)-NL("Sum","5802 Value Entry","43 Cost Amount (Actual)","41 Source Type",$C$5,"5 Source no.",$C2121,"4 Item Ledger Entry Type",$C$4,"2 Item No.","@@"&amp;$F2121,"3 Posting Date",O$9)</t>
  </si>
  <si>
    <t>=O2121-Q2121</t>
  </si>
  <si>
    <t>=IF(O2121&lt;&gt;0,R2121/O2121,"")</t>
  </si>
  <si>
    <t>=NL("Sum","5802 Value Entry","150 Sales Amount (Expected)","41 Source Type",$C$5,"5 Source No.",$C2121,"4 Item Ledger Entry Type",$C$4,"2 Item No.","@@"&amp;$F2121,"3 Posting Date",U$9)+NL("Sum","5802 Value Entry","17 Sales Amount (Actual)","41 Source Type",$C$5,"5 Source no.",$C2121,"4 Item Ledger Entry Type",$C$4,"2 Item No.","@@"&amp;$F2121,"3 Posting Date",U$9)</t>
  </si>
  <si>
    <t>=-NL("Sum","5802 Value Entry","151 Cost Amount (Expected)","41 Source Type",$C$5,"5 Source No.",$C2121,"4 Item Ledger Entry Type",$C$4,"2 Item No.","@@"&amp;$F2121,"3 Posting Date",U$9)-NL("Sum","5802 Value Entry","43 Cost Amount (Actual)","41 Source Type",$C$5,"5 Source no.",$C2121,"4 Item Ledger Entry Type",$C$4,"2 Item No.","@@"&amp;$F2121,"3 Posting Date",U$9)</t>
  </si>
  <si>
    <t>=U2121-W2121</t>
  </si>
  <si>
    <t>=IF(U2121&lt;&gt;0,X2121/U2121,"")</t>
  </si>
  <si>
    <t>=NL("Sum","5802 Value Entry","150 Sales Amount (Expected)","41 Source Type",$C$5,"5 Source No.",$C2121,"4 Item Ledger Entry Type",$C$4,"2 Item No.","@@"&amp;$F2121,"3 Posting Date",Z$9)+NL("Sum","5802 Value Entry","17 Sales Amount (Actual)","41 Source Type",$C$5,"5 Source no.",$C2121,"4 Item Ledger Entry Type",$C$4,"2 Item No.","@@"&amp;$F2121,"3 Posting Date",Z$9)</t>
  </si>
  <si>
    <t>=-NL("Sum","5802 Value Entry","151 Cost Amount (Expected)","41 Source Type",$C$5,"5 Source No.",$C2121,"4 Item Ledger Entry Type",$C$4,"2 Item No.","@@"&amp;$F2121,"3 Posting Date",Z$9)-NL("Sum","5802 Value Entry","43 Cost Amount (Actual)","41 Source Type",$C$5,"5 Source no.",$C2121,"4 Item Ledger Entry Type",$C$4,"2 Item No.","@@"&amp;$F2121,"3 Posting Date",Z$9)</t>
  </si>
  <si>
    <t>=Z2121-AB2121</t>
  </si>
  <si>
    <t>=IF(Z2121&lt;&gt;0,AC2121/Z2121,"")</t>
  </si>
  <si>
    <t>=C2121</t>
  </si>
  <si>
    <t>=NL("Sum","5802 Value Entry","150 Sales Amount (Expected)","41 Source Type",$C$5,"5 Source No.",$C2122,"4 Item Ledger Entry Type",$C$4,"2 Item No.","@@"&amp;$F2122,"3 Posting Date",J$9)+NL("Sum","5802 Value Entry","17 Sales Amount (Actual)","41 Source Type",$C$5,"5 Source no.",$C2122,"4 Item Ledger Entry Type",$C$4,"2 Item No.","@@"&amp;$F2122,"3 Posting Date",J$9)</t>
  </si>
  <si>
    <t>=-NL("Sum","5802 Value Entry","151 Cost Amount (Expected)","41 Source Type",$C$5,"5 Source No.",$C2122,"4 Item Ledger Entry Type",$C$4,"2 Item No.","@@"&amp;$F2122,"3 Posting Date",J$9)-NL("Sum","5802 Value Entry","43 Cost Amount (Actual)","41 Source Type",$C$5,"5 Source no.",$C2122,"4 Item Ledger Entry Type",$C$4,"2 Item No.","@@"&amp;$F2122,"3 Posting Date",J$9)</t>
  </si>
  <si>
    <t>=J2122-L2122</t>
  </si>
  <si>
    <t>=IF(J2122&lt;&gt;0,M2122/J2122,"")</t>
  </si>
  <si>
    <t>=NL("Sum","5802 Value Entry","150 Sales Amount (Expected)","41 Source Type",$C$5,"5 Source No.",$C2122,"4 Item Ledger Entry Type",$C$4,"2 Item No.","@@"&amp;$F2122,"3 Posting Date",O$9)+NL("Sum","5802 Value Entry","17 Sales Amount (Actual)","41 Source Type",$C$5,"5 Source no.",$C2122,"4 Item Ledger Entry Type",$C$4,"2 Item No.","@@"&amp;$F2122,"3 Posting Date",O$9)</t>
  </si>
  <si>
    <t>=-NL("Sum","5802 Value Entry","151 Cost Amount (Expected)","41 Source Type",$C$5,"5 Source No.",$C2122,"4 Item Ledger Entry Type",$C$4,"2 Item No.","@@"&amp;$F2122,"3 Posting Date",O$9)-NL("Sum","5802 Value Entry","43 Cost Amount (Actual)","41 Source Type",$C$5,"5 Source no.",$C2122,"4 Item Ledger Entry Type",$C$4,"2 Item No.","@@"&amp;$F2122,"3 Posting Date",O$9)</t>
  </si>
  <si>
    <t>=O2122-Q2122</t>
  </si>
  <si>
    <t>=IF(O2122&lt;&gt;0,R2122/O2122,"")</t>
  </si>
  <si>
    <t>=NL("Sum","5802 Value Entry","150 Sales Amount (Expected)","41 Source Type",$C$5,"5 Source No.",$C2122,"4 Item Ledger Entry Type",$C$4,"2 Item No.","@@"&amp;$F2122,"3 Posting Date",U$9)+NL("Sum","5802 Value Entry","17 Sales Amount (Actual)","41 Source Type",$C$5,"5 Source no.",$C2122,"4 Item Ledger Entry Type",$C$4,"2 Item No.","@@"&amp;$F2122,"3 Posting Date",U$9)</t>
  </si>
  <si>
    <t>=-NL("Sum","5802 Value Entry","151 Cost Amount (Expected)","41 Source Type",$C$5,"5 Source No.",$C2122,"4 Item Ledger Entry Type",$C$4,"2 Item No.","@@"&amp;$F2122,"3 Posting Date",U$9)-NL("Sum","5802 Value Entry","43 Cost Amount (Actual)","41 Source Type",$C$5,"5 Source no.",$C2122,"4 Item Ledger Entry Type",$C$4,"2 Item No.","@@"&amp;$F2122,"3 Posting Date",U$9)</t>
  </si>
  <si>
    <t>=U2122-W2122</t>
  </si>
  <si>
    <t>=IF(U2122&lt;&gt;0,X2122/U2122,"")</t>
  </si>
  <si>
    <t>=NL("Sum","5802 Value Entry","150 Sales Amount (Expected)","41 Source Type",$C$5,"5 Source No.",$C2122,"4 Item Ledger Entry Type",$C$4,"2 Item No.","@@"&amp;$F2122,"3 Posting Date",Z$9)+NL("Sum","5802 Value Entry","17 Sales Amount (Actual)","41 Source Type",$C$5,"5 Source no.",$C2122,"4 Item Ledger Entry Type",$C$4,"2 Item No.","@@"&amp;$F2122,"3 Posting Date",Z$9)</t>
  </si>
  <si>
    <t>=-NL("Sum","5802 Value Entry","151 Cost Amount (Expected)","41 Source Type",$C$5,"5 Source No.",$C2122,"4 Item Ledger Entry Type",$C$4,"2 Item No.","@@"&amp;$F2122,"3 Posting Date",Z$9)-NL("Sum","5802 Value Entry","43 Cost Amount (Actual)","41 Source Type",$C$5,"5 Source no.",$C2122,"4 Item Ledger Entry Type",$C$4,"2 Item No.","@@"&amp;$F2122,"3 Posting Date",Z$9)</t>
  </si>
  <si>
    <t>=Z2122-AB2122</t>
  </si>
  <si>
    <t>=IF(Z2122&lt;&gt;0,AC2122/Z2122,"")</t>
  </si>
  <si>
    <t>=C2122</t>
  </si>
  <si>
    <t>=NL("Sum","5802 Value Entry","150 Sales Amount (Expected)","41 Source Type",$C$5,"5 Source No.",$C2123,"4 Item Ledger Entry Type",$C$4,"2 Item No.","@@"&amp;$F2123,"3 Posting Date",J$9)+NL("Sum","5802 Value Entry","17 Sales Amount (Actual)","41 Source Type",$C$5,"5 Source no.",$C2123,"4 Item Ledger Entry Type",$C$4,"2 Item No.","@@"&amp;$F2123,"3 Posting Date",J$9)</t>
  </si>
  <si>
    <t>=-NL("Sum","5802 Value Entry","151 Cost Amount (Expected)","41 Source Type",$C$5,"5 Source No.",$C2123,"4 Item Ledger Entry Type",$C$4,"2 Item No.","@@"&amp;$F2123,"3 Posting Date",J$9)-NL("Sum","5802 Value Entry","43 Cost Amount (Actual)","41 Source Type",$C$5,"5 Source no.",$C2123,"4 Item Ledger Entry Type",$C$4,"2 Item No.","@@"&amp;$F2123,"3 Posting Date",J$9)</t>
  </si>
  <si>
    <t>=J2123-L2123</t>
  </si>
  <si>
    <t>=IF(J2123&lt;&gt;0,M2123/J2123,"")</t>
  </si>
  <si>
    <t>=NL("Sum","5802 Value Entry","150 Sales Amount (Expected)","41 Source Type",$C$5,"5 Source No.",$C2123,"4 Item Ledger Entry Type",$C$4,"2 Item No.","@@"&amp;$F2123,"3 Posting Date",O$9)+NL("Sum","5802 Value Entry","17 Sales Amount (Actual)","41 Source Type",$C$5,"5 Source no.",$C2123,"4 Item Ledger Entry Type",$C$4,"2 Item No.","@@"&amp;$F2123,"3 Posting Date",O$9)</t>
  </si>
  <si>
    <t>=-NL("Sum","5802 Value Entry","151 Cost Amount (Expected)","41 Source Type",$C$5,"5 Source No.",$C2123,"4 Item Ledger Entry Type",$C$4,"2 Item No.","@@"&amp;$F2123,"3 Posting Date",O$9)-NL("Sum","5802 Value Entry","43 Cost Amount (Actual)","41 Source Type",$C$5,"5 Source no.",$C2123,"4 Item Ledger Entry Type",$C$4,"2 Item No.","@@"&amp;$F2123,"3 Posting Date",O$9)</t>
  </si>
  <si>
    <t>=O2123-Q2123</t>
  </si>
  <si>
    <t>=IF(O2123&lt;&gt;0,R2123/O2123,"")</t>
  </si>
  <si>
    <t>=NL("Sum","5802 Value Entry","150 Sales Amount (Expected)","41 Source Type",$C$5,"5 Source No.",$C2123,"4 Item Ledger Entry Type",$C$4,"2 Item No.","@@"&amp;$F2123,"3 Posting Date",U$9)+NL("Sum","5802 Value Entry","17 Sales Amount (Actual)","41 Source Type",$C$5,"5 Source no.",$C2123,"4 Item Ledger Entry Type",$C$4,"2 Item No.","@@"&amp;$F2123,"3 Posting Date",U$9)</t>
  </si>
  <si>
    <t>=-NL("Sum","5802 Value Entry","151 Cost Amount (Expected)","41 Source Type",$C$5,"5 Source No.",$C2123,"4 Item Ledger Entry Type",$C$4,"2 Item No.","@@"&amp;$F2123,"3 Posting Date",U$9)-NL("Sum","5802 Value Entry","43 Cost Amount (Actual)","41 Source Type",$C$5,"5 Source no.",$C2123,"4 Item Ledger Entry Type",$C$4,"2 Item No.","@@"&amp;$F2123,"3 Posting Date",U$9)</t>
  </si>
  <si>
    <t>=U2123-W2123</t>
  </si>
  <si>
    <t>=IF(U2123&lt;&gt;0,X2123/U2123,"")</t>
  </si>
  <si>
    <t>=NL("Sum","5802 Value Entry","150 Sales Amount (Expected)","41 Source Type",$C$5,"5 Source No.",$C2123,"4 Item Ledger Entry Type",$C$4,"2 Item No.","@@"&amp;$F2123,"3 Posting Date",Z$9)+NL("Sum","5802 Value Entry","17 Sales Amount (Actual)","41 Source Type",$C$5,"5 Source no.",$C2123,"4 Item Ledger Entry Type",$C$4,"2 Item No.","@@"&amp;$F2123,"3 Posting Date",Z$9)</t>
  </si>
  <si>
    <t>=-NL("Sum","5802 Value Entry","151 Cost Amount (Expected)","41 Source Type",$C$5,"5 Source No.",$C2123,"4 Item Ledger Entry Type",$C$4,"2 Item No.","@@"&amp;$F2123,"3 Posting Date",Z$9)-NL("Sum","5802 Value Entry","43 Cost Amount (Actual)","41 Source Type",$C$5,"5 Source no.",$C2123,"4 Item Ledger Entry Type",$C$4,"2 Item No.","@@"&amp;$F2123,"3 Posting Date",Z$9)</t>
  </si>
  <si>
    <t>=Z2123-AB2123</t>
  </si>
  <si>
    <t>=IF(Z2123&lt;&gt;0,AC2123/Z2123,"")</t>
  </si>
  <si>
    <t>=C2123</t>
  </si>
  <si>
    <t>=NL("Sum","5802 Value Entry","150 Sales Amount (Expected)","41 Source Type",$C$5,"5 Source No.",$C2124,"4 Item Ledger Entry Type",$C$4,"2 Item No.","@@"&amp;$F2124,"3 Posting Date",J$9)+NL("Sum","5802 Value Entry","17 Sales Amount (Actual)","41 Source Type",$C$5,"5 Source no.",$C2124,"4 Item Ledger Entry Type",$C$4,"2 Item No.","@@"&amp;$F2124,"3 Posting Date",J$9)</t>
  </si>
  <si>
    <t>=-NL("Sum","5802 Value Entry","151 Cost Amount (Expected)","41 Source Type",$C$5,"5 Source No.",$C2124,"4 Item Ledger Entry Type",$C$4,"2 Item No.","@@"&amp;$F2124,"3 Posting Date",J$9)-NL("Sum","5802 Value Entry","43 Cost Amount (Actual)","41 Source Type",$C$5,"5 Source no.",$C2124,"4 Item Ledger Entry Type",$C$4,"2 Item No.","@@"&amp;$F2124,"3 Posting Date",J$9)</t>
  </si>
  <si>
    <t>=J2124-L2124</t>
  </si>
  <si>
    <t>=IF(J2124&lt;&gt;0,M2124/J2124,"")</t>
  </si>
  <si>
    <t>=NL("Sum","5802 Value Entry","150 Sales Amount (Expected)","41 Source Type",$C$5,"5 Source No.",$C2124,"4 Item Ledger Entry Type",$C$4,"2 Item No.","@@"&amp;$F2124,"3 Posting Date",O$9)+NL("Sum","5802 Value Entry","17 Sales Amount (Actual)","41 Source Type",$C$5,"5 Source no.",$C2124,"4 Item Ledger Entry Type",$C$4,"2 Item No.","@@"&amp;$F2124,"3 Posting Date",O$9)</t>
  </si>
  <si>
    <t>=-NL("Sum","5802 Value Entry","151 Cost Amount (Expected)","41 Source Type",$C$5,"5 Source No.",$C2124,"4 Item Ledger Entry Type",$C$4,"2 Item No.","@@"&amp;$F2124,"3 Posting Date",O$9)-NL("Sum","5802 Value Entry","43 Cost Amount (Actual)","41 Source Type",$C$5,"5 Source no.",$C2124,"4 Item Ledger Entry Type",$C$4,"2 Item No.","@@"&amp;$F2124,"3 Posting Date",O$9)</t>
  </si>
  <si>
    <t>=O2124-Q2124</t>
  </si>
  <si>
    <t>=IF(O2124&lt;&gt;0,R2124/O2124,"")</t>
  </si>
  <si>
    <t>=NL("Sum","5802 Value Entry","150 Sales Amount (Expected)","41 Source Type",$C$5,"5 Source No.",$C2124,"4 Item Ledger Entry Type",$C$4,"2 Item No.","@@"&amp;$F2124,"3 Posting Date",U$9)+NL("Sum","5802 Value Entry","17 Sales Amount (Actual)","41 Source Type",$C$5,"5 Source no.",$C2124,"4 Item Ledger Entry Type",$C$4,"2 Item No.","@@"&amp;$F2124,"3 Posting Date",U$9)</t>
  </si>
  <si>
    <t>=-NL("Sum","5802 Value Entry","151 Cost Amount (Expected)","41 Source Type",$C$5,"5 Source No.",$C2124,"4 Item Ledger Entry Type",$C$4,"2 Item No.","@@"&amp;$F2124,"3 Posting Date",U$9)-NL("Sum","5802 Value Entry","43 Cost Amount (Actual)","41 Source Type",$C$5,"5 Source no.",$C2124,"4 Item Ledger Entry Type",$C$4,"2 Item No.","@@"&amp;$F2124,"3 Posting Date",U$9)</t>
  </si>
  <si>
    <t>=U2124-W2124</t>
  </si>
  <si>
    <t>=IF(U2124&lt;&gt;0,X2124/U2124,"")</t>
  </si>
  <si>
    <t>=NL("Sum","5802 Value Entry","150 Sales Amount (Expected)","41 Source Type",$C$5,"5 Source No.",$C2124,"4 Item Ledger Entry Type",$C$4,"2 Item No.","@@"&amp;$F2124,"3 Posting Date",Z$9)+NL("Sum","5802 Value Entry","17 Sales Amount (Actual)","41 Source Type",$C$5,"5 Source no.",$C2124,"4 Item Ledger Entry Type",$C$4,"2 Item No.","@@"&amp;$F2124,"3 Posting Date",Z$9)</t>
  </si>
  <si>
    <t>=-NL("Sum","5802 Value Entry","151 Cost Amount (Expected)","41 Source Type",$C$5,"5 Source No.",$C2124,"4 Item Ledger Entry Type",$C$4,"2 Item No.","@@"&amp;$F2124,"3 Posting Date",Z$9)-NL("Sum","5802 Value Entry","43 Cost Amount (Actual)","41 Source Type",$C$5,"5 Source no.",$C2124,"4 Item Ledger Entry Type",$C$4,"2 Item No.","@@"&amp;$F2124,"3 Posting Date",Z$9)</t>
  </si>
  <si>
    <t>=Z2124-AB2124</t>
  </si>
  <si>
    <t>=IF(Z2124&lt;&gt;0,AC2124/Z2124,"")</t>
  </si>
  <si>
    <t>=C2124</t>
  </si>
  <si>
    <t>=NL("Sum","5802 Value Entry","150 Sales Amount (Expected)","41 Source Type",$C$5,"5 Source No.",$C2125,"4 Item Ledger Entry Type",$C$4,"2 Item No.","@@"&amp;$F2125,"3 Posting Date",J$9)+NL("Sum","5802 Value Entry","17 Sales Amount (Actual)","41 Source Type",$C$5,"5 Source no.",$C2125,"4 Item Ledger Entry Type",$C$4,"2 Item No.","@@"&amp;$F2125,"3 Posting Date",J$9)</t>
  </si>
  <si>
    <t>=-NL("Sum","5802 Value Entry","151 Cost Amount (Expected)","41 Source Type",$C$5,"5 Source No.",$C2125,"4 Item Ledger Entry Type",$C$4,"2 Item No.","@@"&amp;$F2125,"3 Posting Date",J$9)-NL("Sum","5802 Value Entry","43 Cost Amount (Actual)","41 Source Type",$C$5,"5 Source no.",$C2125,"4 Item Ledger Entry Type",$C$4,"2 Item No.","@@"&amp;$F2125,"3 Posting Date",J$9)</t>
  </si>
  <si>
    <t>=J2125-L2125</t>
  </si>
  <si>
    <t>=IF(J2125&lt;&gt;0,M2125/J2125,"")</t>
  </si>
  <si>
    <t>=NL("Sum","5802 Value Entry","150 Sales Amount (Expected)","41 Source Type",$C$5,"5 Source No.",$C2125,"4 Item Ledger Entry Type",$C$4,"2 Item No.","@@"&amp;$F2125,"3 Posting Date",O$9)+NL("Sum","5802 Value Entry","17 Sales Amount (Actual)","41 Source Type",$C$5,"5 Source no.",$C2125,"4 Item Ledger Entry Type",$C$4,"2 Item No.","@@"&amp;$F2125,"3 Posting Date",O$9)</t>
  </si>
  <si>
    <t>=-NL("Sum","5802 Value Entry","151 Cost Amount (Expected)","41 Source Type",$C$5,"5 Source No.",$C2125,"4 Item Ledger Entry Type",$C$4,"2 Item No.","@@"&amp;$F2125,"3 Posting Date",O$9)-NL("Sum","5802 Value Entry","43 Cost Amount (Actual)","41 Source Type",$C$5,"5 Source no.",$C2125,"4 Item Ledger Entry Type",$C$4,"2 Item No.","@@"&amp;$F2125,"3 Posting Date",O$9)</t>
  </si>
  <si>
    <t>=O2125-Q2125</t>
  </si>
  <si>
    <t>=IF(O2125&lt;&gt;0,R2125/O2125,"")</t>
  </si>
  <si>
    <t>=NL("Sum","5802 Value Entry","150 Sales Amount (Expected)","41 Source Type",$C$5,"5 Source No.",$C2125,"4 Item Ledger Entry Type",$C$4,"2 Item No.","@@"&amp;$F2125,"3 Posting Date",U$9)+NL("Sum","5802 Value Entry","17 Sales Amount (Actual)","41 Source Type",$C$5,"5 Source no.",$C2125,"4 Item Ledger Entry Type",$C$4,"2 Item No.","@@"&amp;$F2125,"3 Posting Date",U$9)</t>
  </si>
  <si>
    <t>=-NL("Sum","5802 Value Entry","151 Cost Amount (Expected)","41 Source Type",$C$5,"5 Source No.",$C2125,"4 Item Ledger Entry Type",$C$4,"2 Item No.","@@"&amp;$F2125,"3 Posting Date",U$9)-NL("Sum","5802 Value Entry","43 Cost Amount (Actual)","41 Source Type",$C$5,"5 Source no.",$C2125,"4 Item Ledger Entry Type",$C$4,"2 Item No.","@@"&amp;$F2125,"3 Posting Date",U$9)</t>
  </si>
  <si>
    <t>=U2125-W2125</t>
  </si>
  <si>
    <t>=IF(U2125&lt;&gt;0,X2125/U2125,"")</t>
  </si>
  <si>
    <t>=NL("Sum","5802 Value Entry","150 Sales Amount (Expected)","41 Source Type",$C$5,"5 Source No.",$C2125,"4 Item Ledger Entry Type",$C$4,"2 Item No.","@@"&amp;$F2125,"3 Posting Date",Z$9)+NL("Sum","5802 Value Entry","17 Sales Amount (Actual)","41 Source Type",$C$5,"5 Source no.",$C2125,"4 Item Ledger Entry Type",$C$4,"2 Item No.","@@"&amp;$F2125,"3 Posting Date",Z$9)</t>
  </si>
  <si>
    <t>=-NL("Sum","5802 Value Entry","151 Cost Amount (Expected)","41 Source Type",$C$5,"5 Source No.",$C2125,"4 Item Ledger Entry Type",$C$4,"2 Item No.","@@"&amp;$F2125,"3 Posting Date",Z$9)-NL("Sum","5802 Value Entry","43 Cost Amount (Actual)","41 Source Type",$C$5,"5 Source no.",$C2125,"4 Item Ledger Entry Type",$C$4,"2 Item No.","@@"&amp;$F2125,"3 Posting Date",Z$9)</t>
  </si>
  <si>
    <t>=Z2125-AB2125</t>
  </si>
  <si>
    <t>=IF(Z2125&lt;&gt;0,AC2125/Z2125,"")</t>
  </si>
  <si>
    <t>=C2125</t>
  </si>
  <si>
    <t>=NL("Sum","5802 Value Entry","150 Sales Amount (Expected)","41 Source Type",$C$5,"5 Source No.",$C2126,"4 Item Ledger Entry Type",$C$4,"2 Item No.","@@"&amp;$F2126,"3 Posting Date",J$9)+NL("Sum","5802 Value Entry","17 Sales Amount (Actual)","41 Source Type",$C$5,"5 Source no.",$C2126,"4 Item Ledger Entry Type",$C$4,"2 Item No.","@@"&amp;$F2126,"3 Posting Date",J$9)</t>
  </si>
  <si>
    <t>=-NL("Sum","5802 Value Entry","151 Cost Amount (Expected)","41 Source Type",$C$5,"5 Source No.",$C2126,"4 Item Ledger Entry Type",$C$4,"2 Item No.","@@"&amp;$F2126,"3 Posting Date",J$9)-NL("Sum","5802 Value Entry","43 Cost Amount (Actual)","41 Source Type",$C$5,"5 Source no.",$C2126,"4 Item Ledger Entry Type",$C$4,"2 Item No.","@@"&amp;$F2126,"3 Posting Date",J$9)</t>
  </si>
  <si>
    <t>=J2126-L2126</t>
  </si>
  <si>
    <t>=IF(J2126&lt;&gt;0,M2126/J2126,"")</t>
  </si>
  <si>
    <t>=NL("Sum","5802 Value Entry","150 Sales Amount (Expected)","41 Source Type",$C$5,"5 Source No.",$C2126,"4 Item Ledger Entry Type",$C$4,"2 Item No.","@@"&amp;$F2126,"3 Posting Date",O$9)+NL("Sum","5802 Value Entry","17 Sales Amount (Actual)","41 Source Type",$C$5,"5 Source no.",$C2126,"4 Item Ledger Entry Type",$C$4,"2 Item No.","@@"&amp;$F2126,"3 Posting Date",O$9)</t>
  </si>
  <si>
    <t>=-NL("Sum","5802 Value Entry","151 Cost Amount (Expected)","41 Source Type",$C$5,"5 Source No.",$C2126,"4 Item Ledger Entry Type",$C$4,"2 Item No.","@@"&amp;$F2126,"3 Posting Date",O$9)-NL("Sum","5802 Value Entry","43 Cost Amount (Actual)","41 Source Type",$C$5,"5 Source no.",$C2126,"4 Item Ledger Entry Type",$C$4,"2 Item No.","@@"&amp;$F2126,"3 Posting Date",O$9)</t>
  </si>
  <si>
    <t>=O2126-Q2126</t>
  </si>
  <si>
    <t>=IF(O2126&lt;&gt;0,R2126/O2126,"")</t>
  </si>
  <si>
    <t>=NL("Sum","5802 Value Entry","150 Sales Amount (Expected)","41 Source Type",$C$5,"5 Source No.",$C2126,"4 Item Ledger Entry Type",$C$4,"2 Item No.","@@"&amp;$F2126,"3 Posting Date",U$9)+NL("Sum","5802 Value Entry","17 Sales Amount (Actual)","41 Source Type",$C$5,"5 Source no.",$C2126,"4 Item Ledger Entry Type",$C$4,"2 Item No.","@@"&amp;$F2126,"3 Posting Date",U$9)</t>
  </si>
  <si>
    <t>=-NL("Sum","5802 Value Entry","151 Cost Amount (Expected)","41 Source Type",$C$5,"5 Source No.",$C2126,"4 Item Ledger Entry Type",$C$4,"2 Item No.","@@"&amp;$F2126,"3 Posting Date",U$9)-NL("Sum","5802 Value Entry","43 Cost Amount (Actual)","41 Source Type",$C$5,"5 Source no.",$C2126,"4 Item Ledger Entry Type",$C$4,"2 Item No.","@@"&amp;$F2126,"3 Posting Date",U$9)</t>
  </si>
  <si>
    <t>=U2126-W2126</t>
  </si>
  <si>
    <t>=IF(U2126&lt;&gt;0,X2126/U2126,"")</t>
  </si>
  <si>
    <t>=NL("Sum","5802 Value Entry","150 Sales Amount (Expected)","41 Source Type",$C$5,"5 Source No.",$C2126,"4 Item Ledger Entry Type",$C$4,"2 Item No.","@@"&amp;$F2126,"3 Posting Date",Z$9)+NL("Sum","5802 Value Entry","17 Sales Amount (Actual)","41 Source Type",$C$5,"5 Source no.",$C2126,"4 Item Ledger Entry Type",$C$4,"2 Item No.","@@"&amp;$F2126,"3 Posting Date",Z$9)</t>
  </si>
  <si>
    <t>=-NL("Sum","5802 Value Entry","151 Cost Amount (Expected)","41 Source Type",$C$5,"5 Source No.",$C2126,"4 Item Ledger Entry Type",$C$4,"2 Item No.","@@"&amp;$F2126,"3 Posting Date",Z$9)-NL("Sum","5802 Value Entry","43 Cost Amount (Actual)","41 Source Type",$C$5,"5 Source no.",$C2126,"4 Item Ledger Entry Type",$C$4,"2 Item No.","@@"&amp;$F2126,"3 Posting Date",Z$9)</t>
  </si>
  <si>
    <t>=Z2126-AB2126</t>
  </si>
  <si>
    <t>=IF(Z2126&lt;&gt;0,AC2126/Z2126,"")</t>
  </si>
  <si>
    <t>=C2126</t>
  </si>
  <si>
    <t>=NL("Sum","5802 Value Entry","150 Sales Amount (Expected)","41 Source Type",$C$5,"5 Source No.",$C2127,"4 Item Ledger Entry Type",$C$4,"2 Item No.","@@"&amp;$F2127,"3 Posting Date",J$9)+NL("Sum","5802 Value Entry","17 Sales Amount (Actual)","41 Source Type",$C$5,"5 Source no.",$C2127,"4 Item Ledger Entry Type",$C$4,"2 Item No.","@@"&amp;$F2127,"3 Posting Date",J$9)</t>
  </si>
  <si>
    <t>=-NL("Sum","5802 Value Entry","151 Cost Amount (Expected)","41 Source Type",$C$5,"5 Source No.",$C2127,"4 Item Ledger Entry Type",$C$4,"2 Item No.","@@"&amp;$F2127,"3 Posting Date",J$9)-NL("Sum","5802 Value Entry","43 Cost Amount (Actual)","41 Source Type",$C$5,"5 Source no.",$C2127,"4 Item Ledger Entry Type",$C$4,"2 Item No.","@@"&amp;$F2127,"3 Posting Date",J$9)</t>
  </si>
  <si>
    <t>=J2127-L2127</t>
  </si>
  <si>
    <t>=IF(J2127&lt;&gt;0,M2127/J2127,"")</t>
  </si>
  <si>
    <t>=NL("Sum","5802 Value Entry","150 Sales Amount (Expected)","41 Source Type",$C$5,"5 Source No.",$C2127,"4 Item Ledger Entry Type",$C$4,"2 Item No.","@@"&amp;$F2127,"3 Posting Date",O$9)+NL("Sum","5802 Value Entry","17 Sales Amount (Actual)","41 Source Type",$C$5,"5 Source no.",$C2127,"4 Item Ledger Entry Type",$C$4,"2 Item No.","@@"&amp;$F2127,"3 Posting Date",O$9)</t>
  </si>
  <si>
    <t>=-NL("Sum","5802 Value Entry","151 Cost Amount (Expected)","41 Source Type",$C$5,"5 Source No.",$C2127,"4 Item Ledger Entry Type",$C$4,"2 Item No.","@@"&amp;$F2127,"3 Posting Date",O$9)-NL("Sum","5802 Value Entry","43 Cost Amount (Actual)","41 Source Type",$C$5,"5 Source no.",$C2127,"4 Item Ledger Entry Type",$C$4,"2 Item No.","@@"&amp;$F2127,"3 Posting Date",O$9)</t>
  </si>
  <si>
    <t>=O2127-Q2127</t>
  </si>
  <si>
    <t>=IF(O2127&lt;&gt;0,R2127/O2127,"")</t>
  </si>
  <si>
    <t>=NL("Sum","5802 Value Entry","150 Sales Amount (Expected)","41 Source Type",$C$5,"5 Source No.",$C2127,"4 Item Ledger Entry Type",$C$4,"2 Item No.","@@"&amp;$F2127,"3 Posting Date",U$9)+NL("Sum","5802 Value Entry","17 Sales Amount (Actual)","41 Source Type",$C$5,"5 Source no.",$C2127,"4 Item Ledger Entry Type",$C$4,"2 Item No.","@@"&amp;$F2127,"3 Posting Date",U$9)</t>
  </si>
  <si>
    <t>=-NL("Sum","5802 Value Entry","151 Cost Amount (Expected)","41 Source Type",$C$5,"5 Source No.",$C2127,"4 Item Ledger Entry Type",$C$4,"2 Item No.","@@"&amp;$F2127,"3 Posting Date",U$9)-NL("Sum","5802 Value Entry","43 Cost Amount (Actual)","41 Source Type",$C$5,"5 Source no.",$C2127,"4 Item Ledger Entry Type",$C$4,"2 Item No.","@@"&amp;$F2127,"3 Posting Date",U$9)</t>
  </si>
  <si>
    <t>=U2127-W2127</t>
  </si>
  <si>
    <t>=IF(U2127&lt;&gt;0,X2127/U2127,"")</t>
  </si>
  <si>
    <t>=NL("Sum","5802 Value Entry","150 Sales Amount (Expected)","41 Source Type",$C$5,"5 Source No.",$C2127,"4 Item Ledger Entry Type",$C$4,"2 Item No.","@@"&amp;$F2127,"3 Posting Date",Z$9)+NL("Sum","5802 Value Entry","17 Sales Amount (Actual)","41 Source Type",$C$5,"5 Source no.",$C2127,"4 Item Ledger Entry Type",$C$4,"2 Item No.","@@"&amp;$F2127,"3 Posting Date",Z$9)</t>
  </si>
  <si>
    <t>=-NL("Sum","5802 Value Entry","151 Cost Amount (Expected)","41 Source Type",$C$5,"5 Source No.",$C2127,"4 Item Ledger Entry Type",$C$4,"2 Item No.","@@"&amp;$F2127,"3 Posting Date",Z$9)-NL("Sum","5802 Value Entry","43 Cost Amount (Actual)","41 Source Type",$C$5,"5 Source no.",$C2127,"4 Item Ledger Entry Type",$C$4,"2 Item No.","@@"&amp;$F2127,"3 Posting Date",Z$9)</t>
  </si>
  <si>
    <t>=Z2127-AB2127</t>
  </si>
  <si>
    <t>=IF(Z2127&lt;&gt;0,AC2127/Z2127,"")</t>
  </si>
  <si>
    <t>=C2127</t>
  </si>
  <si>
    <t>=NL("Sum","5802 Value Entry","150 Sales Amount (Expected)","41 Source Type",$C$5,"5 Source No.",$C2128,"4 Item Ledger Entry Type",$C$4,"2 Item No.","@@"&amp;$F2128,"3 Posting Date",J$9)+NL("Sum","5802 Value Entry","17 Sales Amount (Actual)","41 Source Type",$C$5,"5 Source no.",$C2128,"4 Item Ledger Entry Type",$C$4,"2 Item No.","@@"&amp;$F2128,"3 Posting Date",J$9)</t>
  </si>
  <si>
    <t>=-NL("Sum","5802 Value Entry","151 Cost Amount (Expected)","41 Source Type",$C$5,"5 Source No.",$C2128,"4 Item Ledger Entry Type",$C$4,"2 Item No.","@@"&amp;$F2128,"3 Posting Date",J$9)-NL("Sum","5802 Value Entry","43 Cost Amount (Actual)","41 Source Type",$C$5,"5 Source no.",$C2128,"4 Item Ledger Entry Type",$C$4,"2 Item No.","@@"&amp;$F2128,"3 Posting Date",J$9)</t>
  </si>
  <si>
    <t>=J2128-L2128</t>
  </si>
  <si>
    <t>=IF(J2128&lt;&gt;0,M2128/J2128,"")</t>
  </si>
  <si>
    <t>=NL("Sum","5802 Value Entry","150 Sales Amount (Expected)","41 Source Type",$C$5,"5 Source No.",$C2128,"4 Item Ledger Entry Type",$C$4,"2 Item No.","@@"&amp;$F2128,"3 Posting Date",O$9)+NL("Sum","5802 Value Entry","17 Sales Amount (Actual)","41 Source Type",$C$5,"5 Source no.",$C2128,"4 Item Ledger Entry Type",$C$4,"2 Item No.","@@"&amp;$F2128,"3 Posting Date",O$9)</t>
  </si>
  <si>
    <t>=-NL("Sum","5802 Value Entry","151 Cost Amount (Expected)","41 Source Type",$C$5,"5 Source No.",$C2128,"4 Item Ledger Entry Type",$C$4,"2 Item No.","@@"&amp;$F2128,"3 Posting Date",O$9)-NL("Sum","5802 Value Entry","43 Cost Amount (Actual)","41 Source Type",$C$5,"5 Source no.",$C2128,"4 Item Ledger Entry Type",$C$4,"2 Item No.","@@"&amp;$F2128,"3 Posting Date",O$9)</t>
  </si>
  <si>
    <t>=O2128-Q2128</t>
  </si>
  <si>
    <t>=IF(O2128&lt;&gt;0,R2128/O2128,"")</t>
  </si>
  <si>
    <t>=NL("Sum","5802 Value Entry","150 Sales Amount (Expected)","41 Source Type",$C$5,"5 Source No.",$C2128,"4 Item Ledger Entry Type",$C$4,"2 Item No.","@@"&amp;$F2128,"3 Posting Date",U$9)+NL("Sum","5802 Value Entry","17 Sales Amount (Actual)","41 Source Type",$C$5,"5 Source no.",$C2128,"4 Item Ledger Entry Type",$C$4,"2 Item No.","@@"&amp;$F2128,"3 Posting Date",U$9)</t>
  </si>
  <si>
    <t>=-NL("Sum","5802 Value Entry","151 Cost Amount (Expected)","41 Source Type",$C$5,"5 Source No.",$C2128,"4 Item Ledger Entry Type",$C$4,"2 Item No.","@@"&amp;$F2128,"3 Posting Date",U$9)-NL("Sum","5802 Value Entry","43 Cost Amount (Actual)","41 Source Type",$C$5,"5 Source no.",$C2128,"4 Item Ledger Entry Type",$C$4,"2 Item No.","@@"&amp;$F2128,"3 Posting Date",U$9)</t>
  </si>
  <si>
    <t>=U2128-W2128</t>
  </si>
  <si>
    <t>=IF(U2128&lt;&gt;0,X2128/U2128,"")</t>
  </si>
  <si>
    <t>=NL("Sum","5802 Value Entry","150 Sales Amount (Expected)","41 Source Type",$C$5,"5 Source No.",$C2128,"4 Item Ledger Entry Type",$C$4,"2 Item No.","@@"&amp;$F2128,"3 Posting Date",Z$9)+NL("Sum","5802 Value Entry","17 Sales Amount (Actual)","41 Source Type",$C$5,"5 Source no.",$C2128,"4 Item Ledger Entry Type",$C$4,"2 Item No.","@@"&amp;$F2128,"3 Posting Date",Z$9)</t>
  </si>
  <si>
    <t>=-NL("Sum","5802 Value Entry","151 Cost Amount (Expected)","41 Source Type",$C$5,"5 Source No.",$C2128,"4 Item Ledger Entry Type",$C$4,"2 Item No.","@@"&amp;$F2128,"3 Posting Date",Z$9)-NL("Sum","5802 Value Entry","43 Cost Amount (Actual)","41 Source Type",$C$5,"5 Source no.",$C2128,"4 Item Ledger Entry Type",$C$4,"2 Item No.","@@"&amp;$F2128,"3 Posting Date",Z$9)</t>
  </si>
  <si>
    <t>=Z2128-AB2128</t>
  </si>
  <si>
    <t>=IF(Z2128&lt;&gt;0,AC2128/Z2128,"")</t>
  </si>
  <si>
    <t>=C2128</t>
  </si>
  <si>
    <t>=NL("Sum","5802 Value Entry","150 Sales Amount (Expected)","41 Source Type",$C$5,"5 Source No.",$C2129,"4 Item Ledger Entry Type",$C$4,"2 Item No.","@@"&amp;$F2129,"3 Posting Date",J$9)+NL("Sum","5802 Value Entry","17 Sales Amount (Actual)","41 Source Type",$C$5,"5 Source no.",$C2129,"4 Item Ledger Entry Type",$C$4,"2 Item No.","@@"&amp;$F2129,"3 Posting Date",J$9)</t>
  </si>
  <si>
    <t>=-NL("Sum","5802 Value Entry","151 Cost Amount (Expected)","41 Source Type",$C$5,"5 Source No.",$C2129,"4 Item Ledger Entry Type",$C$4,"2 Item No.","@@"&amp;$F2129,"3 Posting Date",J$9)-NL("Sum","5802 Value Entry","43 Cost Amount (Actual)","41 Source Type",$C$5,"5 Source no.",$C2129,"4 Item Ledger Entry Type",$C$4,"2 Item No.","@@"&amp;$F2129,"3 Posting Date",J$9)</t>
  </si>
  <si>
    <t>=J2129-L2129</t>
  </si>
  <si>
    <t>=IF(J2129&lt;&gt;0,M2129/J2129,"")</t>
  </si>
  <si>
    <t>=NL("Sum","5802 Value Entry","150 Sales Amount (Expected)","41 Source Type",$C$5,"5 Source No.",$C2129,"4 Item Ledger Entry Type",$C$4,"2 Item No.","@@"&amp;$F2129,"3 Posting Date",O$9)+NL("Sum","5802 Value Entry","17 Sales Amount (Actual)","41 Source Type",$C$5,"5 Source no.",$C2129,"4 Item Ledger Entry Type",$C$4,"2 Item No.","@@"&amp;$F2129,"3 Posting Date",O$9)</t>
  </si>
  <si>
    <t>=-NL("Sum","5802 Value Entry","151 Cost Amount (Expected)","41 Source Type",$C$5,"5 Source No.",$C2129,"4 Item Ledger Entry Type",$C$4,"2 Item No.","@@"&amp;$F2129,"3 Posting Date",O$9)-NL("Sum","5802 Value Entry","43 Cost Amount (Actual)","41 Source Type",$C$5,"5 Source no.",$C2129,"4 Item Ledger Entry Type",$C$4,"2 Item No.","@@"&amp;$F2129,"3 Posting Date",O$9)</t>
  </si>
  <si>
    <t>=O2129-Q2129</t>
  </si>
  <si>
    <t>=IF(O2129&lt;&gt;0,R2129/O2129,"")</t>
  </si>
  <si>
    <t>=NL("Sum","5802 Value Entry","150 Sales Amount (Expected)","41 Source Type",$C$5,"5 Source No.",$C2129,"4 Item Ledger Entry Type",$C$4,"2 Item No.","@@"&amp;$F2129,"3 Posting Date",U$9)+NL("Sum","5802 Value Entry","17 Sales Amount (Actual)","41 Source Type",$C$5,"5 Source no.",$C2129,"4 Item Ledger Entry Type",$C$4,"2 Item No.","@@"&amp;$F2129,"3 Posting Date",U$9)</t>
  </si>
  <si>
    <t>=-NL("Sum","5802 Value Entry","151 Cost Amount (Expected)","41 Source Type",$C$5,"5 Source No.",$C2129,"4 Item Ledger Entry Type",$C$4,"2 Item No.","@@"&amp;$F2129,"3 Posting Date",U$9)-NL("Sum","5802 Value Entry","43 Cost Amount (Actual)","41 Source Type",$C$5,"5 Source no.",$C2129,"4 Item Ledger Entry Type",$C$4,"2 Item No.","@@"&amp;$F2129,"3 Posting Date",U$9)</t>
  </si>
  <si>
    <t>=U2129-W2129</t>
  </si>
  <si>
    <t>=IF(U2129&lt;&gt;0,X2129/U2129,"")</t>
  </si>
  <si>
    <t>=NL("Sum","5802 Value Entry","150 Sales Amount (Expected)","41 Source Type",$C$5,"5 Source No.",$C2129,"4 Item Ledger Entry Type",$C$4,"2 Item No.","@@"&amp;$F2129,"3 Posting Date",Z$9)+NL("Sum","5802 Value Entry","17 Sales Amount (Actual)","41 Source Type",$C$5,"5 Source no.",$C2129,"4 Item Ledger Entry Type",$C$4,"2 Item No.","@@"&amp;$F2129,"3 Posting Date",Z$9)</t>
  </si>
  <si>
    <t>=-NL("Sum","5802 Value Entry","151 Cost Amount (Expected)","41 Source Type",$C$5,"5 Source No.",$C2129,"4 Item Ledger Entry Type",$C$4,"2 Item No.","@@"&amp;$F2129,"3 Posting Date",Z$9)-NL("Sum","5802 Value Entry","43 Cost Amount (Actual)","41 Source Type",$C$5,"5 Source no.",$C2129,"4 Item Ledger Entry Type",$C$4,"2 Item No.","@@"&amp;$F2129,"3 Posting Date",Z$9)</t>
  </si>
  <si>
    <t>=Z2129-AB2129</t>
  </si>
  <si>
    <t>=IF(Z2129&lt;&gt;0,AC2129/Z2129,"")</t>
  </si>
  <si>
    <t>=C2130</t>
  </si>
  <si>
    <t>=J2131-L2131</t>
  </si>
  <si>
    <t>=IF(J2131&lt;&gt;0,M2131/J2131,"")</t>
  </si>
  <si>
    <t>=O2131-Q2131</t>
  </si>
  <si>
    <t>=IF(O2131&lt;&gt;0,R2131/O2131,"")</t>
  </si>
  <si>
    <t>=U2131-W2131</t>
  </si>
  <si>
    <t>=IF(U2131&lt;&gt;0,X2131/U2131,"")</t>
  </si>
  <si>
    <t>=Z2131-AB2131</t>
  </si>
  <si>
    <t>=IF(Z2131&lt;&gt;0,AC2131/Z2131,"")</t>
  </si>
  <si>
    <t>=C2133</t>
  </si>
  <si>
    <t>=C2134</t>
  </si>
  <si>
    <t>=NL("Sum","5802 Value Entry","150 Sales Amount (Expected)","41 Source Type",$C$5,"5 Source No.",$C2135,"4 Item Ledger Entry Type",$C$4,"2 Item No.","@@"&amp;$F2135,"3 Posting Date",J$9)+NL("Sum","5802 Value Entry","17 Sales Amount (Actual)","41 Source Type",$C$5,"5 Source no.",$C2135,"4 Item Ledger Entry Type",$C$4,"2 Item No.","@@"&amp;$F2135,"3 Posting Date",J$9)</t>
  </si>
  <si>
    <t>=-NL("Sum","5802 Value Entry","151 Cost Amount (Expected)","41 Source Type",$C$5,"5 Source No.",$C2135,"4 Item Ledger Entry Type",$C$4,"2 Item No.","@@"&amp;$F2135,"3 Posting Date",J$9)-NL("Sum","5802 Value Entry","43 Cost Amount (Actual)","41 Source Type",$C$5,"5 Source no.",$C2135,"4 Item Ledger Entry Type",$C$4,"2 Item No.","@@"&amp;$F2135,"3 Posting Date",J$9)</t>
  </si>
  <si>
    <t>=J2135-L2135</t>
  </si>
  <si>
    <t>=IF(J2135&lt;&gt;0,M2135/J2135,"")</t>
  </si>
  <si>
    <t>=NL("Sum","5802 Value Entry","150 Sales Amount (Expected)","41 Source Type",$C$5,"5 Source No.",$C2135,"4 Item Ledger Entry Type",$C$4,"2 Item No.","@@"&amp;$F2135,"3 Posting Date",O$9)+NL("Sum","5802 Value Entry","17 Sales Amount (Actual)","41 Source Type",$C$5,"5 Source no.",$C2135,"4 Item Ledger Entry Type",$C$4,"2 Item No.","@@"&amp;$F2135,"3 Posting Date",O$9)</t>
  </si>
  <si>
    <t>=-NL("Sum","5802 Value Entry","151 Cost Amount (Expected)","41 Source Type",$C$5,"5 Source No.",$C2135,"4 Item Ledger Entry Type",$C$4,"2 Item No.","@@"&amp;$F2135,"3 Posting Date",O$9)-NL("Sum","5802 Value Entry","43 Cost Amount (Actual)","41 Source Type",$C$5,"5 Source no.",$C2135,"4 Item Ledger Entry Type",$C$4,"2 Item No.","@@"&amp;$F2135,"3 Posting Date",O$9)</t>
  </si>
  <si>
    <t>=O2135-Q2135</t>
  </si>
  <si>
    <t>=IF(O2135&lt;&gt;0,R2135/O2135,"")</t>
  </si>
  <si>
    <t>=NL("Sum","5802 Value Entry","150 Sales Amount (Expected)","41 Source Type",$C$5,"5 Source No.",$C2135,"4 Item Ledger Entry Type",$C$4,"2 Item No.","@@"&amp;$F2135,"3 Posting Date",U$9)+NL("Sum","5802 Value Entry","17 Sales Amount (Actual)","41 Source Type",$C$5,"5 Source no.",$C2135,"4 Item Ledger Entry Type",$C$4,"2 Item No.","@@"&amp;$F2135,"3 Posting Date",U$9)</t>
  </si>
  <si>
    <t>=-NL("Sum","5802 Value Entry","151 Cost Amount (Expected)","41 Source Type",$C$5,"5 Source No.",$C2135,"4 Item Ledger Entry Type",$C$4,"2 Item No.","@@"&amp;$F2135,"3 Posting Date",U$9)-NL("Sum","5802 Value Entry","43 Cost Amount (Actual)","41 Source Type",$C$5,"5 Source no.",$C2135,"4 Item Ledger Entry Type",$C$4,"2 Item No.","@@"&amp;$F2135,"3 Posting Date",U$9)</t>
  </si>
  <si>
    <t>=U2135-W2135</t>
  </si>
  <si>
    <t>=IF(U2135&lt;&gt;0,X2135/U2135,"")</t>
  </si>
  <si>
    <t>=NL("Sum","5802 Value Entry","150 Sales Amount (Expected)","41 Source Type",$C$5,"5 Source No.",$C2135,"4 Item Ledger Entry Type",$C$4,"2 Item No.","@@"&amp;$F2135,"3 Posting Date",Z$9)+NL("Sum","5802 Value Entry","17 Sales Amount (Actual)","41 Source Type",$C$5,"5 Source no.",$C2135,"4 Item Ledger Entry Type",$C$4,"2 Item No.","@@"&amp;$F2135,"3 Posting Date",Z$9)</t>
  </si>
  <si>
    <t>=-NL("Sum","5802 Value Entry","151 Cost Amount (Expected)","41 Source Type",$C$5,"5 Source No.",$C2135,"4 Item Ledger Entry Type",$C$4,"2 Item No.","@@"&amp;$F2135,"3 Posting Date",Z$9)-NL("Sum","5802 Value Entry","43 Cost Amount (Actual)","41 Source Type",$C$5,"5 Source no.",$C2135,"4 Item Ledger Entry Type",$C$4,"2 Item No.","@@"&amp;$F2135,"3 Posting Date",Z$9)</t>
  </si>
  <si>
    <t>=Z2135-AB2135</t>
  </si>
  <si>
    <t>=IF(Z2135&lt;&gt;0,AC2135/Z2135,"")</t>
  </si>
  <si>
    <t>=C2135</t>
  </si>
  <si>
    <t>=NL("Sum","5802 Value Entry","150 Sales Amount (Expected)","41 Source Type",$C$5,"5 Source No.",$C2136,"4 Item Ledger Entry Type",$C$4,"2 Item No.","@@"&amp;$F2136,"3 Posting Date",J$9)+NL("Sum","5802 Value Entry","17 Sales Amount (Actual)","41 Source Type",$C$5,"5 Source no.",$C2136,"4 Item Ledger Entry Type",$C$4,"2 Item No.","@@"&amp;$F2136,"3 Posting Date",J$9)</t>
  </si>
  <si>
    <t>=-NL("Sum","5802 Value Entry","151 Cost Amount (Expected)","41 Source Type",$C$5,"5 Source No.",$C2136,"4 Item Ledger Entry Type",$C$4,"2 Item No.","@@"&amp;$F2136,"3 Posting Date",J$9)-NL("Sum","5802 Value Entry","43 Cost Amount (Actual)","41 Source Type",$C$5,"5 Source no.",$C2136,"4 Item Ledger Entry Type",$C$4,"2 Item No.","@@"&amp;$F2136,"3 Posting Date",J$9)</t>
  </si>
  <si>
    <t>=J2136-L2136</t>
  </si>
  <si>
    <t>=IF(J2136&lt;&gt;0,M2136/J2136,"")</t>
  </si>
  <si>
    <t>=NL("Sum","5802 Value Entry","150 Sales Amount (Expected)","41 Source Type",$C$5,"5 Source No.",$C2136,"4 Item Ledger Entry Type",$C$4,"2 Item No.","@@"&amp;$F2136,"3 Posting Date",O$9)+NL("Sum","5802 Value Entry","17 Sales Amount (Actual)","41 Source Type",$C$5,"5 Source no.",$C2136,"4 Item Ledger Entry Type",$C$4,"2 Item No.","@@"&amp;$F2136,"3 Posting Date",O$9)</t>
  </si>
  <si>
    <t>=-NL("Sum","5802 Value Entry","151 Cost Amount (Expected)","41 Source Type",$C$5,"5 Source No.",$C2136,"4 Item Ledger Entry Type",$C$4,"2 Item No.","@@"&amp;$F2136,"3 Posting Date",O$9)-NL("Sum","5802 Value Entry","43 Cost Amount (Actual)","41 Source Type",$C$5,"5 Source no.",$C2136,"4 Item Ledger Entry Type",$C$4,"2 Item No.","@@"&amp;$F2136,"3 Posting Date",O$9)</t>
  </si>
  <si>
    <t>=O2136-Q2136</t>
  </si>
  <si>
    <t>=IF(O2136&lt;&gt;0,R2136/O2136,"")</t>
  </si>
  <si>
    <t>=NL("Sum","5802 Value Entry","150 Sales Amount (Expected)","41 Source Type",$C$5,"5 Source No.",$C2136,"4 Item Ledger Entry Type",$C$4,"2 Item No.","@@"&amp;$F2136,"3 Posting Date",U$9)+NL("Sum","5802 Value Entry","17 Sales Amount (Actual)","41 Source Type",$C$5,"5 Source no.",$C2136,"4 Item Ledger Entry Type",$C$4,"2 Item No.","@@"&amp;$F2136,"3 Posting Date",U$9)</t>
  </si>
  <si>
    <t>=-NL("Sum","5802 Value Entry","151 Cost Amount (Expected)","41 Source Type",$C$5,"5 Source No.",$C2136,"4 Item Ledger Entry Type",$C$4,"2 Item No.","@@"&amp;$F2136,"3 Posting Date",U$9)-NL("Sum","5802 Value Entry","43 Cost Amount (Actual)","41 Source Type",$C$5,"5 Source no.",$C2136,"4 Item Ledger Entry Type",$C$4,"2 Item No.","@@"&amp;$F2136,"3 Posting Date",U$9)</t>
  </si>
  <si>
    <t>=U2136-W2136</t>
  </si>
  <si>
    <t>=IF(U2136&lt;&gt;0,X2136/U2136,"")</t>
  </si>
  <si>
    <t>=NL("Sum","5802 Value Entry","150 Sales Amount (Expected)","41 Source Type",$C$5,"5 Source No.",$C2136,"4 Item Ledger Entry Type",$C$4,"2 Item No.","@@"&amp;$F2136,"3 Posting Date",Z$9)+NL("Sum","5802 Value Entry","17 Sales Amount (Actual)","41 Source Type",$C$5,"5 Source no.",$C2136,"4 Item Ledger Entry Type",$C$4,"2 Item No.","@@"&amp;$F2136,"3 Posting Date",Z$9)</t>
  </si>
  <si>
    <t>=-NL("Sum","5802 Value Entry","151 Cost Amount (Expected)","41 Source Type",$C$5,"5 Source No.",$C2136,"4 Item Ledger Entry Type",$C$4,"2 Item No.","@@"&amp;$F2136,"3 Posting Date",Z$9)-NL("Sum","5802 Value Entry","43 Cost Amount (Actual)","41 Source Type",$C$5,"5 Source no.",$C2136,"4 Item Ledger Entry Type",$C$4,"2 Item No.","@@"&amp;$F2136,"3 Posting Date",Z$9)</t>
  </si>
  <si>
    <t>=Z2136-AB2136</t>
  </si>
  <si>
    <t>=IF(Z2136&lt;&gt;0,AC2136/Z2136,"")</t>
  </si>
  <si>
    <t>=C2136</t>
  </si>
  <si>
    <t>=NL("Sum","5802 Value Entry","150 Sales Amount (Expected)","41 Source Type",$C$5,"5 Source No.",$C2137,"4 Item Ledger Entry Type",$C$4,"2 Item No.","@@"&amp;$F2137,"3 Posting Date",J$9)+NL("Sum","5802 Value Entry","17 Sales Amount (Actual)","41 Source Type",$C$5,"5 Source no.",$C2137,"4 Item Ledger Entry Type",$C$4,"2 Item No.","@@"&amp;$F2137,"3 Posting Date",J$9)</t>
  </si>
  <si>
    <t>=-NL("Sum","5802 Value Entry","151 Cost Amount (Expected)","41 Source Type",$C$5,"5 Source No.",$C2137,"4 Item Ledger Entry Type",$C$4,"2 Item No.","@@"&amp;$F2137,"3 Posting Date",J$9)-NL("Sum","5802 Value Entry","43 Cost Amount (Actual)","41 Source Type",$C$5,"5 Source no.",$C2137,"4 Item Ledger Entry Type",$C$4,"2 Item No.","@@"&amp;$F2137,"3 Posting Date",J$9)</t>
  </si>
  <si>
    <t>=J2137-L2137</t>
  </si>
  <si>
    <t>=IF(J2137&lt;&gt;0,M2137/J2137,"")</t>
  </si>
  <si>
    <t>=NL("Sum","5802 Value Entry","150 Sales Amount (Expected)","41 Source Type",$C$5,"5 Source No.",$C2137,"4 Item Ledger Entry Type",$C$4,"2 Item No.","@@"&amp;$F2137,"3 Posting Date",O$9)+NL("Sum","5802 Value Entry","17 Sales Amount (Actual)","41 Source Type",$C$5,"5 Source no.",$C2137,"4 Item Ledger Entry Type",$C$4,"2 Item No.","@@"&amp;$F2137,"3 Posting Date",O$9)</t>
  </si>
  <si>
    <t>=-NL("Sum","5802 Value Entry","151 Cost Amount (Expected)","41 Source Type",$C$5,"5 Source No.",$C2137,"4 Item Ledger Entry Type",$C$4,"2 Item No.","@@"&amp;$F2137,"3 Posting Date",O$9)-NL("Sum","5802 Value Entry","43 Cost Amount (Actual)","41 Source Type",$C$5,"5 Source no.",$C2137,"4 Item Ledger Entry Type",$C$4,"2 Item No.","@@"&amp;$F2137,"3 Posting Date",O$9)</t>
  </si>
  <si>
    <t>=O2137-Q2137</t>
  </si>
  <si>
    <t>=IF(O2137&lt;&gt;0,R2137/O2137,"")</t>
  </si>
  <si>
    <t>=NL("Sum","5802 Value Entry","150 Sales Amount (Expected)","41 Source Type",$C$5,"5 Source No.",$C2137,"4 Item Ledger Entry Type",$C$4,"2 Item No.","@@"&amp;$F2137,"3 Posting Date",U$9)+NL("Sum","5802 Value Entry","17 Sales Amount (Actual)","41 Source Type",$C$5,"5 Source no.",$C2137,"4 Item Ledger Entry Type",$C$4,"2 Item No.","@@"&amp;$F2137,"3 Posting Date",U$9)</t>
  </si>
  <si>
    <t>=-NL("Sum","5802 Value Entry","151 Cost Amount (Expected)","41 Source Type",$C$5,"5 Source No.",$C2137,"4 Item Ledger Entry Type",$C$4,"2 Item No.","@@"&amp;$F2137,"3 Posting Date",U$9)-NL("Sum","5802 Value Entry","43 Cost Amount (Actual)","41 Source Type",$C$5,"5 Source no.",$C2137,"4 Item Ledger Entry Type",$C$4,"2 Item No.","@@"&amp;$F2137,"3 Posting Date",U$9)</t>
  </si>
  <si>
    <t>=U2137-W2137</t>
  </si>
  <si>
    <t>=IF(U2137&lt;&gt;0,X2137/U2137,"")</t>
  </si>
  <si>
    <t>=NL("Sum","5802 Value Entry","150 Sales Amount (Expected)","41 Source Type",$C$5,"5 Source No.",$C2137,"4 Item Ledger Entry Type",$C$4,"2 Item No.","@@"&amp;$F2137,"3 Posting Date",Z$9)+NL("Sum","5802 Value Entry","17 Sales Amount (Actual)","41 Source Type",$C$5,"5 Source no.",$C2137,"4 Item Ledger Entry Type",$C$4,"2 Item No.","@@"&amp;$F2137,"3 Posting Date",Z$9)</t>
  </si>
  <si>
    <t>=-NL("Sum","5802 Value Entry","151 Cost Amount (Expected)","41 Source Type",$C$5,"5 Source No.",$C2137,"4 Item Ledger Entry Type",$C$4,"2 Item No.","@@"&amp;$F2137,"3 Posting Date",Z$9)-NL("Sum","5802 Value Entry","43 Cost Amount (Actual)","41 Source Type",$C$5,"5 Source no.",$C2137,"4 Item Ledger Entry Type",$C$4,"2 Item No.","@@"&amp;$F2137,"3 Posting Date",Z$9)</t>
  </si>
  <si>
    <t>=Z2137-AB2137</t>
  </si>
  <si>
    <t>=IF(Z2137&lt;&gt;0,AC2137/Z2137,"")</t>
  </si>
  <si>
    <t>=C2137</t>
  </si>
  <si>
    <t>=NL("Sum","5802 Value Entry","150 Sales Amount (Expected)","41 Source Type",$C$5,"5 Source No.",$C2138,"4 Item Ledger Entry Type",$C$4,"2 Item No.","@@"&amp;$F2138,"3 Posting Date",J$9)+NL("Sum","5802 Value Entry","17 Sales Amount (Actual)","41 Source Type",$C$5,"5 Source no.",$C2138,"4 Item Ledger Entry Type",$C$4,"2 Item No.","@@"&amp;$F2138,"3 Posting Date",J$9)</t>
  </si>
  <si>
    <t>=-NL("Sum","5802 Value Entry","151 Cost Amount (Expected)","41 Source Type",$C$5,"5 Source No.",$C2138,"4 Item Ledger Entry Type",$C$4,"2 Item No.","@@"&amp;$F2138,"3 Posting Date",J$9)-NL("Sum","5802 Value Entry","43 Cost Amount (Actual)","41 Source Type",$C$5,"5 Source no.",$C2138,"4 Item Ledger Entry Type",$C$4,"2 Item No.","@@"&amp;$F2138,"3 Posting Date",J$9)</t>
  </si>
  <si>
    <t>=J2138-L2138</t>
  </si>
  <si>
    <t>=IF(J2138&lt;&gt;0,M2138/J2138,"")</t>
  </si>
  <si>
    <t>=NL("Sum","5802 Value Entry","150 Sales Amount (Expected)","41 Source Type",$C$5,"5 Source No.",$C2138,"4 Item Ledger Entry Type",$C$4,"2 Item No.","@@"&amp;$F2138,"3 Posting Date",O$9)+NL("Sum","5802 Value Entry","17 Sales Amount (Actual)","41 Source Type",$C$5,"5 Source no.",$C2138,"4 Item Ledger Entry Type",$C$4,"2 Item No.","@@"&amp;$F2138,"3 Posting Date",O$9)</t>
  </si>
  <si>
    <t>=-NL("Sum","5802 Value Entry","151 Cost Amount (Expected)","41 Source Type",$C$5,"5 Source No.",$C2138,"4 Item Ledger Entry Type",$C$4,"2 Item No.","@@"&amp;$F2138,"3 Posting Date",O$9)-NL("Sum","5802 Value Entry","43 Cost Amount (Actual)","41 Source Type",$C$5,"5 Source no.",$C2138,"4 Item Ledger Entry Type",$C$4,"2 Item No.","@@"&amp;$F2138,"3 Posting Date",O$9)</t>
  </si>
  <si>
    <t>=O2138-Q2138</t>
  </si>
  <si>
    <t>=IF(O2138&lt;&gt;0,R2138/O2138,"")</t>
  </si>
  <si>
    <t>=NL("Sum","5802 Value Entry","150 Sales Amount (Expected)","41 Source Type",$C$5,"5 Source No.",$C2138,"4 Item Ledger Entry Type",$C$4,"2 Item No.","@@"&amp;$F2138,"3 Posting Date",U$9)+NL("Sum","5802 Value Entry","17 Sales Amount (Actual)","41 Source Type",$C$5,"5 Source no.",$C2138,"4 Item Ledger Entry Type",$C$4,"2 Item No.","@@"&amp;$F2138,"3 Posting Date",U$9)</t>
  </si>
  <si>
    <t>=-NL("Sum","5802 Value Entry","151 Cost Amount (Expected)","41 Source Type",$C$5,"5 Source No.",$C2138,"4 Item Ledger Entry Type",$C$4,"2 Item No.","@@"&amp;$F2138,"3 Posting Date",U$9)-NL("Sum","5802 Value Entry","43 Cost Amount (Actual)","41 Source Type",$C$5,"5 Source no.",$C2138,"4 Item Ledger Entry Type",$C$4,"2 Item No.","@@"&amp;$F2138,"3 Posting Date",U$9)</t>
  </si>
  <si>
    <t>=U2138-W2138</t>
  </si>
  <si>
    <t>=IF(U2138&lt;&gt;0,X2138/U2138,"")</t>
  </si>
  <si>
    <t>=NL("Sum","5802 Value Entry","150 Sales Amount (Expected)","41 Source Type",$C$5,"5 Source No.",$C2138,"4 Item Ledger Entry Type",$C$4,"2 Item No.","@@"&amp;$F2138,"3 Posting Date",Z$9)+NL("Sum","5802 Value Entry","17 Sales Amount (Actual)","41 Source Type",$C$5,"5 Source no.",$C2138,"4 Item Ledger Entry Type",$C$4,"2 Item No.","@@"&amp;$F2138,"3 Posting Date",Z$9)</t>
  </si>
  <si>
    <t>=-NL("Sum","5802 Value Entry","151 Cost Amount (Expected)","41 Source Type",$C$5,"5 Source No.",$C2138,"4 Item Ledger Entry Type",$C$4,"2 Item No.","@@"&amp;$F2138,"3 Posting Date",Z$9)-NL("Sum","5802 Value Entry","43 Cost Amount (Actual)","41 Source Type",$C$5,"5 Source no.",$C2138,"4 Item Ledger Entry Type",$C$4,"2 Item No.","@@"&amp;$F2138,"3 Posting Date",Z$9)</t>
  </si>
  <si>
    <t>=Z2138-AB2138</t>
  </si>
  <si>
    <t>=IF(Z2138&lt;&gt;0,AC2138/Z2138,"")</t>
  </si>
  <si>
    <t>=C2138</t>
  </si>
  <si>
    <t>=NL("Sum","5802 Value Entry","150 Sales Amount (Expected)","41 Source Type",$C$5,"5 Source No.",$C2139,"4 Item Ledger Entry Type",$C$4,"2 Item No.","@@"&amp;$F2139,"3 Posting Date",J$9)+NL("Sum","5802 Value Entry","17 Sales Amount (Actual)","41 Source Type",$C$5,"5 Source no.",$C2139,"4 Item Ledger Entry Type",$C$4,"2 Item No.","@@"&amp;$F2139,"3 Posting Date",J$9)</t>
  </si>
  <si>
    <t>=-NL("Sum","5802 Value Entry","151 Cost Amount (Expected)","41 Source Type",$C$5,"5 Source No.",$C2139,"4 Item Ledger Entry Type",$C$4,"2 Item No.","@@"&amp;$F2139,"3 Posting Date",J$9)-NL("Sum","5802 Value Entry","43 Cost Amount (Actual)","41 Source Type",$C$5,"5 Source no.",$C2139,"4 Item Ledger Entry Type",$C$4,"2 Item No.","@@"&amp;$F2139,"3 Posting Date",J$9)</t>
  </si>
  <si>
    <t>=J2139-L2139</t>
  </si>
  <si>
    <t>=IF(J2139&lt;&gt;0,M2139/J2139,"")</t>
  </si>
  <si>
    <t>=NL("Sum","5802 Value Entry","150 Sales Amount (Expected)","41 Source Type",$C$5,"5 Source No.",$C2139,"4 Item Ledger Entry Type",$C$4,"2 Item No.","@@"&amp;$F2139,"3 Posting Date",O$9)+NL("Sum","5802 Value Entry","17 Sales Amount (Actual)","41 Source Type",$C$5,"5 Source no.",$C2139,"4 Item Ledger Entry Type",$C$4,"2 Item No.","@@"&amp;$F2139,"3 Posting Date",O$9)</t>
  </si>
  <si>
    <t>=-NL("Sum","5802 Value Entry","151 Cost Amount (Expected)","41 Source Type",$C$5,"5 Source No.",$C2139,"4 Item Ledger Entry Type",$C$4,"2 Item No.","@@"&amp;$F2139,"3 Posting Date",O$9)-NL("Sum","5802 Value Entry","43 Cost Amount (Actual)","41 Source Type",$C$5,"5 Source no.",$C2139,"4 Item Ledger Entry Type",$C$4,"2 Item No.","@@"&amp;$F2139,"3 Posting Date",O$9)</t>
  </si>
  <si>
    <t>=O2139-Q2139</t>
  </si>
  <si>
    <t>=IF(O2139&lt;&gt;0,R2139/O2139,"")</t>
  </si>
  <si>
    <t>=NL("Sum","5802 Value Entry","150 Sales Amount (Expected)","41 Source Type",$C$5,"5 Source No.",$C2139,"4 Item Ledger Entry Type",$C$4,"2 Item No.","@@"&amp;$F2139,"3 Posting Date",U$9)+NL("Sum","5802 Value Entry","17 Sales Amount (Actual)","41 Source Type",$C$5,"5 Source no.",$C2139,"4 Item Ledger Entry Type",$C$4,"2 Item No.","@@"&amp;$F2139,"3 Posting Date",U$9)</t>
  </si>
  <si>
    <t>=-NL("Sum","5802 Value Entry","151 Cost Amount (Expected)","41 Source Type",$C$5,"5 Source No.",$C2139,"4 Item Ledger Entry Type",$C$4,"2 Item No.","@@"&amp;$F2139,"3 Posting Date",U$9)-NL("Sum","5802 Value Entry","43 Cost Amount (Actual)","41 Source Type",$C$5,"5 Source no.",$C2139,"4 Item Ledger Entry Type",$C$4,"2 Item No.","@@"&amp;$F2139,"3 Posting Date",U$9)</t>
  </si>
  <si>
    <t>=U2139-W2139</t>
  </si>
  <si>
    <t>=IF(U2139&lt;&gt;0,X2139/U2139,"")</t>
  </si>
  <si>
    <t>=NL("Sum","5802 Value Entry","150 Sales Amount (Expected)","41 Source Type",$C$5,"5 Source No.",$C2139,"4 Item Ledger Entry Type",$C$4,"2 Item No.","@@"&amp;$F2139,"3 Posting Date",Z$9)+NL("Sum","5802 Value Entry","17 Sales Amount (Actual)","41 Source Type",$C$5,"5 Source no.",$C2139,"4 Item Ledger Entry Type",$C$4,"2 Item No.","@@"&amp;$F2139,"3 Posting Date",Z$9)</t>
  </si>
  <si>
    <t>=-NL("Sum","5802 Value Entry","151 Cost Amount (Expected)","41 Source Type",$C$5,"5 Source No.",$C2139,"4 Item Ledger Entry Type",$C$4,"2 Item No.","@@"&amp;$F2139,"3 Posting Date",Z$9)-NL("Sum","5802 Value Entry","43 Cost Amount (Actual)","41 Source Type",$C$5,"5 Source no.",$C2139,"4 Item Ledger Entry Type",$C$4,"2 Item No.","@@"&amp;$F2139,"3 Posting Date",Z$9)</t>
  </si>
  <si>
    <t>=Z2139-AB2139</t>
  </si>
  <si>
    <t>=IF(Z2139&lt;&gt;0,AC2139/Z2139,"")</t>
  </si>
  <si>
    <t>=C2139</t>
  </si>
  <si>
    <t>="S200010"</t>
  </si>
  <si>
    <t>=NL("Sum","5802 Value Entry","150 Sales Amount (Expected)","41 Source Type",$C$5,"5 Source No.",$C2140,"4 Item Ledger Entry Type",$C$4,"2 Item No.","@@"&amp;$F2140,"3 Posting Date",J$9)+NL("Sum","5802 Value Entry","17 Sales Amount (Actual)","41 Source Type",$C$5,"5 Source no.",$C2140,"4 Item Ledger Entry Type",$C$4,"2 Item No.","@@"&amp;$F2140,"3 Posting Date",J$9)</t>
  </si>
  <si>
    <t>=-NL("Sum","5802 Value Entry","151 Cost Amount (Expected)","41 Source Type",$C$5,"5 Source No.",$C2140,"4 Item Ledger Entry Type",$C$4,"2 Item No.","@@"&amp;$F2140,"3 Posting Date",J$9)-NL("Sum","5802 Value Entry","43 Cost Amount (Actual)","41 Source Type",$C$5,"5 Source no.",$C2140,"4 Item Ledger Entry Type",$C$4,"2 Item No.","@@"&amp;$F2140,"3 Posting Date",J$9)</t>
  </si>
  <si>
    <t>=J2140-L2140</t>
  </si>
  <si>
    <t>=IF(J2140&lt;&gt;0,M2140/J2140,"")</t>
  </si>
  <si>
    <t>=NL("Sum","5802 Value Entry","150 Sales Amount (Expected)","41 Source Type",$C$5,"5 Source No.",$C2140,"4 Item Ledger Entry Type",$C$4,"2 Item No.","@@"&amp;$F2140,"3 Posting Date",O$9)+NL("Sum","5802 Value Entry","17 Sales Amount (Actual)","41 Source Type",$C$5,"5 Source no.",$C2140,"4 Item Ledger Entry Type",$C$4,"2 Item No.","@@"&amp;$F2140,"3 Posting Date",O$9)</t>
  </si>
  <si>
    <t>=-NL("Sum","5802 Value Entry","151 Cost Amount (Expected)","41 Source Type",$C$5,"5 Source No.",$C2140,"4 Item Ledger Entry Type",$C$4,"2 Item No.","@@"&amp;$F2140,"3 Posting Date",O$9)-NL("Sum","5802 Value Entry","43 Cost Amount (Actual)","41 Source Type",$C$5,"5 Source no.",$C2140,"4 Item Ledger Entry Type",$C$4,"2 Item No.","@@"&amp;$F2140,"3 Posting Date",O$9)</t>
  </si>
  <si>
    <t>=O2140-Q2140</t>
  </si>
  <si>
    <t>=IF(O2140&lt;&gt;0,R2140/O2140,"")</t>
  </si>
  <si>
    <t>=NL("Sum","5802 Value Entry","150 Sales Amount (Expected)","41 Source Type",$C$5,"5 Source No.",$C2140,"4 Item Ledger Entry Type",$C$4,"2 Item No.","@@"&amp;$F2140,"3 Posting Date",U$9)+NL("Sum","5802 Value Entry","17 Sales Amount (Actual)","41 Source Type",$C$5,"5 Source no.",$C2140,"4 Item Ledger Entry Type",$C$4,"2 Item No.","@@"&amp;$F2140,"3 Posting Date",U$9)</t>
  </si>
  <si>
    <t>=-NL("Sum","5802 Value Entry","151 Cost Amount (Expected)","41 Source Type",$C$5,"5 Source No.",$C2140,"4 Item Ledger Entry Type",$C$4,"2 Item No.","@@"&amp;$F2140,"3 Posting Date",U$9)-NL("Sum","5802 Value Entry","43 Cost Amount (Actual)","41 Source Type",$C$5,"5 Source no.",$C2140,"4 Item Ledger Entry Type",$C$4,"2 Item No.","@@"&amp;$F2140,"3 Posting Date",U$9)</t>
  </si>
  <si>
    <t>=U2140-W2140</t>
  </si>
  <si>
    <t>=IF(U2140&lt;&gt;0,X2140/U2140,"")</t>
  </si>
  <si>
    <t>=NL("Sum","5802 Value Entry","150 Sales Amount (Expected)","41 Source Type",$C$5,"5 Source No.",$C2140,"4 Item Ledger Entry Type",$C$4,"2 Item No.","@@"&amp;$F2140,"3 Posting Date",Z$9)+NL("Sum","5802 Value Entry","17 Sales Amount (Actual)","41 Source Type",$C$5,"5 Source no.",$C2140,"4 Item Ledger Entry Type",$C$4,"2 Item No.","@@"&amp;$F2140,"3 Posting Date",Z$9)</t>
  </si>
  <si>
    <t>=-NL("Sum","5802 Value Entry","151 Cost Amount (Expected)","41 Source Type",$C$5,"5 Source No.",$C2140,"4 Item Ledger Entry Type",$C$4,"2 Item No.","@@"&amp;$F2140,"3 Posting Date",Z$9)-NL("Sum","5802 Value Entry","43 Cost Amount (Actual)","41 Source Type",$C$5,"5 Source no.",$C2140,"4 Item Ledger Entry Type",$C$4,"2 Item No.","@@"&amp;$F2140,"3 Posting Date",Z$9)</t>
  </si>
  <si>
    <t>=Z2140-AB2140</t>
  </si>
  <si>
    <t>=IF(Z2140&lt;&gt;0,AC2140/Z2140,"")</t>
  </si>
  <si>
    <t>=C2140</t>
  </si>
  <si>
    <t>="S200011"</t>
  </si>
  <si>
    <t>=NL("Sum","5802 Value Entry","150 Sales Amount (Expected)","41 Source Type",$C$5,"5 Source No.",$C2141,"4 Item Ledger Entry Type",$C$4,"2 Item No.","@@"&amp;$F2141,"3 Posting Date",J$9)+NL("Sum","5802 Value Entry","17 Sales Amount (Actual)","41 Source Type",$C$5,"5 Source no.",$C2141,"4 Item Ledger Entry Type",$C$4,"2 Item No.","@@"&amp;$F2141,"3 Posting Date",J$9)</t>
  </si>
  <si>
    <t>=-NL("Sum","5802 Value Entry","151 Cost Amount (Expected)","41 Source Type",$C$5,"5 Source No.",$C2141,"4 Item Ledger Entry Type",$C$4,"2 Item No.","@@"&amp;$F2141,"3 Posting Date",J$9)-NL("Sum","5802 Value Entry","43 Cost Amount (Actual)","41 Source Type",$C$5,"5 Source no.",$C2141,"4 Item Ledger Entry Type",$C$4,"2 Item No.","@@"&amp;$F2141,"3 Posting Date",J$9)</t>
  </si>
  <si>
    <t>=J2141-L2141</t>
  </si>
  <si>
    <t>=IF(J2141&lt;&gt;0,M2141/J2141,"")</t>
  </si>
  <si>
    <t>=NL("Sum","5802 Value Entry","150 Sales Amount (Expected)","41 Source Type",$C$5,"5 Source No.",$C2141,"4 Item Ledger Entry Type",$C$4,"2 Item No.","@@"&amp;$F2141,"3 Posting Date",O$9)+NL("Sum","5802 Value Entry","17 Sales Amount (Actual)","41 Source Type",$C$5,"5 Source no.",$C2141,"4 Item Ledger Entry Type",$C$4,"2 Item No.","@@"&amp;$F2141,"3 Posting Date",O$9)</t>
  </si>
  <si>
    <t>=-NL("Sum","5802 Value Entry","151 Cost Amount (Expected)","41 Source Type",$C$5,"5 Source No.",$C2141,"4 Item Ledger Entry Type",$C$4,"2 Item No.","@@"&amp;$F2141,"3 Posting Date",O$9)-NL("Sum","5802 Value Entry","43 Cost Amount (Actual)","41 Source Type",$C$5,"5 Source no.",$C2141,"4 Item Ledger Entry Type",$C$4,"2 Item No.","@@"&amp;$F2141,"3 Posting Date",O$9)</t>
  </si>
  <si>
    <t>=O2141-Q2141</t>
  </si>
  <si>
    <t>=IF(O2141&lt;&gt;0,R2141/O2141,"")</t>
  </si>
  <si>
    <t>=NL("Sum","5802 Value Entry","150 Sales Amount (Expected)","41 Source Type",$C$5,"5 Source No.",$C2141,"4 Item Ledger Entry Type",$C$4,"2 Item No.","@@"&amp;$F2141,"3 Posting Date",U$9)+NL("Sum","5802 Value Entry","17 Sales Amount (Actual)","41 Source Type",$C$5,"5 Source no.",$C2141,"4 Item Ledger Entry Type",$C$4,"2 Item No.","@@"&amp;$F2141,"3 Posting Date",U$9)</t>
  </si>
  <si>
    <t>=-NL("Sum","5802 Value Entry","151 Cost Amount (Expected)","41 Source Type",$C$5,"5 Source No.",$C2141,"4 Item Ledger Entry Type",$C$4,"2 Item No.","@@"&amp;$F2141,"3 Posting Date",U$9)-NL("Sum","5802 Value Entry","43 Cost Amount (Actual)","41 Source Type",$C$5,"5 Source no.",$C2141,"4 Item Ledger Entry Type",$C$4,"2 Item No.","@@"&amp;$F2141,"3 Posting Date",U$9)</t>
  </si>
  <si>
    <t>=U2141-W2141</t>
  </si>
  <si>
    <t>=IF(U2141&lt;&gt;0,X2141/U2141,"")</t>
  </si>
  <si>
    <t>=NL("Sum","5802 Value Entry","150 Sales Amount (Expected)","41 Source Type",$C$5,"5 Source No.",$C2141,"4 Item Ledger Entry Type",$C$4,"2 Item No.","@@"&amp;$F2141,"3 Posting Date",Z$9)+NL("Sum","5802 Value Entry","17 Sales Amount (Actual)","41 Source Type",$C$5,"5 Source no.",$C2141,"4 Item Ledger Entry Type",$C$4,"2 Item No.","@@"&amp;$F2141,"3 Posting Date",Z$9)</t>
  </si>
  <si>
    <t>=-NL("Sum","5802 Value Entry","151 Cost Amount (Expected)","41 Source Type",$C$5,"5 Source No.",$C2141,"4 Item Ledger Entry Type",$C$4,"2 Item No.","@@"&amp;$F2141,"3 Posting Date",Z$9)-NL("Sum","5802 Value Entry","43 Cost Amount (Actual)","41 Source Type",$C$5,"5 Source no.",$C2141,"4 Item Ledger Entry Type",$C$4,"2 Item No.","@@"&amp;$F2141,"3 Posting Date",Z$9)</t>
  </si>
  <si>
    <t>=Z2141-AB2141</t>
  </si>
  <si>
    <t>=IF(Z2141&lt;&gt;0,AC2141/Z2141,"")</t>
  </si>
  <si>
    <t>=C2141</t>
  </si>
  <si>
    <t>=NL("Sum","5802 Value Entry","150 Sales Amount (Expected)","41 Source Type",$C$5,"5 Source No.",$C2142,"4 Item Ledger Entry Type",$C$4,"2 Item No.","@@"&amp;$F2142,"3 Posting Date",J$9)+NL("Sum","5802 Value Entry","17 Sales Amount (Actual)","41 Source Type",$C$5,"5 Source no.",$C2142,"4 Item Ledger Entry Type",$C$4,"2 Item No.","@@"&amp;$F2142,"3 Posting Date",J$9)</t>
  </si>
  <si>
    <t>=-NL("Sum","5802 Value Entry","151 Cost Amount (Expected)","41 Source Type",$C$5,"5 Source No.",$C2142,"4 Item Ledger Entry Type",$C$4,"2 Item No.","@@"&amp;$F2142,"3 Posting Date",J$9)-NL("Sum","5802 Value Entry","43 Cost Amount (Actual)","41 Source Type",$C$5,"5 Source no.",$C2142,"4 Item Ledger Entry Type",$C$4,"2 Item No.","@@"&amp;$F2142,"3 Posting Date",J$9)</t>
  </si>
  <si>
    <t>=J2142-L2142</t>
  </si>
  <si>
    <t>=IF(J2142&lt;&gt;0,M2142/J2142,"")</t>
  </si>
  <si>
    <t>=NL("Sum","5802 Value Entry","150 Sales Amount (Expected)","41 Source Type",$C$5,"5 Source No.",$C2142,"4 Item Ledger Entry Type",$C$4,"2 Item No.","@@"&amp;$F2142,"3 Posting Date",O$9)+NL("Sum","5802 Value Entry","17 Sales Amount (Actual)","41 Source Type",$C$5,"5 Source no.",$C2142,"4 Item Ledger Entry Type",$C$4,"2 Item No.","@@"&amp;$F2142,"3 Posting Date",O$9)</t>
  </si>
  <si>
    <t>=-NL("Sum","5802 Value Entry","151 Cost Amount (Expected)","41 Source Type",$C$5,"5 Source No.",$C2142,"4 Item Ledger Entry Type",$C$4,"2 Item No.","@@"&amp;$F2142,"3 Posting Date",O$9)-NL("Sum","5802 Value Entry","43 Cost Amount (Actual)","41 Source Type",$C$5,"5 Source no.",$C2142,"4 Item Ledger Entry Type",$C$4,"2 Item No.","@@"&amp;$F2142,"3 Posting Date",O$9)</t>
  </si>
  <si>
    <t>=O2142-Q2142</t>
  </si>
  <si>
    <t>=IF(O2142&lt;&gt;0,R2142/O2142,"")</t>
  </si>
  <si>
    <t>=NL("Sum","5802 Value Entry","150 Sales Amount (Expected)","41 Source Type",$C$5,"5 Source No.",$C2142,"4 Item Ledger Entry Type",$C$4,"2 Item No.","@@"&amp;$F2142,"3 Posting Date",U$9)+NL("Sum","5802 Value Entry","17 Sales Amount (Actual)","41 Source Type",$C$5,"5 Source no.",$C2142,"4 Item Ledger Entry Type",$C$4,"2 Item No.","@@"&amp;$F2142,"3 Posting Date",U$9)</t>
  </si>
  <si>
    <t>=-NL("Sum","5802 Value Entry","151 Cost Amount (Expected)","41 Source Type",$C$5,"5 Source No.",$C2142,"4 Item Ledger Entry Type",$C$4,"2 Item No.","@@"&amp;$F2142,"3 Posting Date",U$9)-NL("Sum","5802 Value Entry","43 Cost Amount (Actual)","41 Source Type",$C$5,"5 Source no.",$C2142,"4 Item Ledger Entry Type",$C$4,"2 Item No.","@@"&amp;$F2142,"3 Posting Date",U$9)</t>
  </si>
  <si>
    <t>=U2142-W2142</t>
  </si>
  <si>
    <t>=IF(U2142&lt;&gt;0,X2142/U2142,"")</t>
  </si>
  <si>
    <t>=NL("Sum","5802 Value Entry","150 Sales Amount (Expected)","41 Source Type",$C$5,"5 Source No.",$C2142,"4 Item Ledger Entry Type",$C$4,"2 Item No.","@@"&amp;$F2142,"3 Posting Date",Z$9)+NL("Sum","5802 Value Entry","17 Sales Amount (Actual)","41 Source Type",$C$5,"5 Source no.",$C2142,"4 Item Ledger Entry Type",$C$4,"2 Item No.","@@"&amp;$F2142,"3 Posting Date",Z$9)</t>
  </si>
  <si>
    <t>=-NL("Sum","5802 Value Entry","151 Cost Amount (Expected)","41 Source Type",$C$5,"5 Source No.",$C2142,"4 Item Ledger Entry Type",$C$4,"2 Item No.","@@"&amp;$F2142,"3 Posting Date",Z$9)-NL("Sum","5802 Value Entry","43 Cost Amount (Actual)","41 Source Type",$C$5,"5 Source no.",$C2142,"4 Item Ledger Entry Type",$C$4,"2 Item No.","@@"&amp;$F2142,"3 Posting Date",Z$9)</t>
  </si>
  <si>
    <t>=Z2142-AB2142</t>
  </si>
  <si>
    <t>=IF(Z2142&lt;&gt;0,AC2142/Z2142,"")</t>
  </si>
  <si>
    <t>=C2142</t>
  </si>
  <si>
    <t>=NL("Sum","5802 Value Entry","150 Sales Amount (Expected)","41 Source Type",$C$5,"5 Source No.",$C2143,"4 Item Ledger Entry Type",$C$4,"2 Item No.","@@"&amp;$F2143,"3 Posting Date",J$9)+NL("Sum","5802 Value Entry","17 Sales Amount (Actual)","41 Source Type",$C$5,"5 Source no.",$C2143,"4 Item Ledger Entry Type",$C$4,"2 Item No.","@@"&amp;$F2143,"3 Posting Date",J$9)</t>
  </si>
  <si>
    <t>=-NL("Sum","5802 Value Entry","151 Cost Amount (Expected)","41 Source Type",$C$5,"5 Source No.",$C2143,"4 Item Ledger Entry Type",$C$4,"2 Item No.","@@"&amp;$F2143,"3 Posting Date",J$9)-NL("Sum","5802 Value Entry","43 Cost Amount (Actual)","41 Source Type",$C$5,"5 Source no.",$C2143,"4 Item Ledger Entry Type",$C$4,"2 Item No.","@@"&amp;$F2143,"3 Posting Date",J$9)</t>
  </si>
  <si>
    <t>=J2143-L2143</t>
  </si>
  <si>
    <t>=IF(J2143&lt;&gt;0,M2143/J2143,"")</t>
  </si>
  <si>
    <t>=NL("Sum","5802 Value Entry","150 Sales Amount (Expected)","41 Source Type",$C$5,"5 Source No.",$C2143,"4 Item Ledger Entry Type",$C$4,"2 Item No.","@@"&amp;$F2143,"3 Posting Date",O$9)+NL("Sum","5802 Value Entry","17 Sales Amount (Actual)","41 Source Type",$C$5,"5 Source no.",$C2143,"4 Item Ledger Entry Type",$C$4,"2 Item No.","@@"&amp;$F2143,"3 Posting Date",O$9)</t>
  </si>
  <si>
    <t>=-NL("Sum","5802 Value Entry","151 Cost Amount (Expected)","41 Source Type",$C$5,"5 Source No.",$C2143,"4 Item Ledger Entry Type",$C$4,"2 Item No.","@@"&amp;$F2143,"3 Posting Date",O$9)-NL("Sum","5802 Value Entry","43 Cost Amount (Actual)","41 Source Type",$C$5,"5 Source no.",$C2143,"4 Item Ledger Entry Type",$C$4,"2 Item No.","@@"&amp;$F2143,"3 Posting Date",O$9)</t>
  </si>
  <si>
    <t>=O2143-Q2143</t>
  </si>
  <si>
    <t>=IF(O2143&lt;&gt;0,R2143/O2143,"")</t>
  </si>
  <si>
    <t>=NL("Sum","5802 Value Entry","150 Sales Amount (Expected)","41 Source Type",$C$5,"5 Source No.",$C2143,"4 Item Ledger Entry Type",$C$4,"2 Item No.","@@"&amp;$F2143,"3 Posting Date",U$9)+NL("Sum","5802 Value Entry","17 Sales Amount (Actual)","41 Source Type",$C$5,"5 Source no.",$C2143,"4 Item Ledger Entry Type",$C$4,"2 Item No.","@@"&amp;$F2143,"3 Posting Date",U$9)</t>
  </si>
  <si>
    <t>=-NL("Sum","5802 Value Entry","151 Cost Amount (Expected)","41 Source Type",$C$5,"5 Source No.",$C2143,"4 Item Ledger Entry Type",$C$4,"2 Item No.","@@"&amp;$F2143,"3 Posting Date",U$9)-NL("Sum","5802 Value Entry","43 Cost Amount (Actual)","41 Source Type",$C$5,"5 Source no.",$C2143,"4 Item Ledger Entry Type",$C$4,"2 Item No.","@@"&amp;$F2143,"3 Posting Date",U$9)</t>
  </si>
  <si>
    <t>=U2143-W2143</t>
  </si>
  <si>
    <t>=IF(U2143&lt;&gt;0,X2143/U2143,"")</t>
  </si>
  <si>
    <t>=NL("Sum","5802 Value Entry","150 Sales Amount (Expected)","41 Source Type",$C$5,"5 Source No.",$C2143,"4 Item Ledger Entry Type",$C$4,"2 Item No.","@@"&amp;$F2143,"3 Posting Date",Z$9)+NL("Sum","5802 Value Entry","17 Sales Amount (Actual)","41 Source Type",$C$5,"5 Source no.",$C2143,"4 Item Ledger Entry Type",$C$4,"2 Item No.","@@"&amp;$F2143,"3 Posting Date",Z$9)</t>
  </si>
  <si>
    <t>=-NL("Sum","5802 Value Entry","151 Cost Amount (Expected)","41 Source Type",$C$5,"5 Source No.",$C2143,"4 Item Ledger Entry Type",$C$4,"2 Item No.","@@"&amp;$F2143,"3 Posting Date",Z$9)-NL("Sum","5802 Value Entry","43 Cost Amount (Actual)","41 Source Type",$C$5,"5 Source no.",$C2143,"4 Item Ledger Entry Type",$C$4,"2 Item No.","@@"&amp;$F2143,"3 Posting Date",Z$9)</t>
  </si>
  <si>
    <t>=Z2143-AB2143</t>
  </si>
  <si>
    <t>=IF(Z2143&lt;&gt;0,AC2143/Z2143,"")</t>
  </si>
  <si>
    <t>=C2143</t>
  </si>
  <si>
    <t>=NL("Sum","5802 Value Entry","150 Sales Amount (Expected)","41 Source Type",$C$5,"5 Source No.",$C2144,"4 Item Ledger Entry Type",$C$4,"2 Item No.","@@"&amp;$F2144,"3 Posting Date",J$9)+NL("Sum","5802 Value Entry","17 Sales Amount (Actual)","41 Source Type",$C$5,"5 Source no.",$C2144,"4 Item Ledger Entry Type",$C$4,"2 Item No.","@@"&amp;$F2144,"3 Posting Date",J$9)</t>
  </si>
  <si>
    <t>=-NL("Sum","5802 Value Entry","151 Cost Amount (Expected)","41 Source Type",$C$5,"5 Source No.",$C2144,"4 Item Ledger Entry Type",$C$4,"2 Item No.","@@"&amp;$F2144,"3 Posting Date",J$9)-NL("Sum","5802 Value Entry","43 Cost Amount (Actual)","41 Source Type",$C$5,"5 Source no.",$C2144,"4 Item Ledger Entry Type",$C$4,"2 Item No.","@@"&amp;$F2144,"3 Posting Date",J$9)</t>
  </si>
  <si>
    <t>=J2144-L2144</t>
  </si>
  <si>
    <t>=IF(J2144&lt;&gt;0,M2144/J2144,"")</t>
  </si>
  <si>
    <t>=NL("Sum","5802 Value Entry","150 Sales Amount (Expected)","41 Source Type",$C$5,"5 Source No.",$C2144,"4 Item Ledger Entry Type",$C$4,"2 Item No.","@@"&amp;$F2144,"3 Posting Date",O$9)+NL("Sum","5802 Value Entry","17 Sales Amount (Actual)","41 Source Type",$C$5,"5 Source no.",$C2144,"4 Item Ledger Entry Type",$C$4,"2 Item No.","@@"&amp;$F2144,"3 Posting Date",O$9)</t>
  </si>
  <si>
    <t>=-NL("Sum","5802 Value Entry","151 Cost Amount (Expected)","41 Source Type",$C$5,"5 Source No.",$C2144,"4 Item Ledger Entry Type",$C$4,"2 Item No.","@@"&amp;$F2144,"3 Posting Date",O$9)-NL("Sum","5802 Value Entry","43 Cost Amount (Actual)","41 Source Type",$C$5,"5 Source no.",$C2144,"4 Item Ledger Entry Type",$C$4,"2 Item No.","@@"&amp;$F2144,"3 Posting Date",O$9)</t>
  </si>
  <si>
    <t>=O2144-Q2144</t>
  </si>
  <si>
    <t>=IF(O2144&lt;&gt;0,R2144/O2144,"")</t>
  </si>
  <si>
    <t>=NL("Sum","5802 Value Entry","150 Sales Amount (Expected)","41 Source Type",$C$5,"5 Source No.",$C2144,"4 Item Ledger Entry Type",$C$4,"2 Item No.","@@"&amp;$F2144,"3 Posting Date",U$9)+NL("Sum","5802 Value Entry","17 Sales Amount (Actual)","41 Source Type",$C$5,"5 Source no.",$C2144,"4 Item Ledger Entry Type",$C$4,"2 Item No.","@@"&amp;$F2144,"3 Posting Date",U$9)</t>
  </si>
  <si>
    <t>=-NL("Sum","5802 Value Entry","151 Cost Amount (Expected)","41 Source Type",$C$5,"5 Source No.",$C2144,"4 Item Ledger Entry Type",$C$4,"2 Item No.","@@"&amp;$F2144,"3 Posting Date",U$9)-NL("Sum","5802 Value Entry","43 Cost Amount (Actual)","41 Source Type",$C$5,"5 Source no.",$C2144,"4 Item Ledger Entry Type",$C$4,"2 Item No.","@@"&amp;$F2144,"3 Posting Date",U$9)</t>
  </si>
  <si>
    <t>=U2144-W2144</t>
  </si>
  <si>
    <t>=IF(U2144&lt;&gt;0,X2144/U2144,"")</t>
  </si>
  <si>
    <t>=NL("Sum","5802 Value Entry","150 Sales Amount (Expected)","41 Source Type",$C$5,"5 Source No.",$C2144,"4 Item Ledger Entry Type",$C$4,"2 Item No.","@@"&amp;$F2144,"3 Posting Date",Z$9)+NL("Sum","5802 Value Entry","17 Sales Amount (Actual)","41 Source Type",$C$5,"5 Source no.",$C2144,"4 Item Ledger Entry Type",$C$4,"2 Item No.","@@"&amp;$F2144,"3 Posting Date",Z$9)</t>
  </si>
  <si>
    <t>=-NL("Sum","5802 Value Entry","151 Cost Amount (Expected)","41 Source Type",$C$5,"5 Source No.",$C2144,"4 Item Ledger Entry Type",$C$4,"2 Item No.","@@"&amp;$F2144,"3 Posting Date",Z$9)-NL("Sum","5802 Value Entry","43 Cost Amount (Actual)","41 Source Type",$C$5,"5 Source no.",$C2144,"4 Item Ledger Entry Type",$C$4,"2 Item No.","@@"&amp;$F2144,"3 Posting Date",Z$9)</t>
  </si>
  <si>
    <t>=Z2144-AB2144</t>
  </si>
  <si>
    <t>=IF(Z2144&lt;&gt;0,AC2144/Z2144,"")</t>
  </si>
  <si>
    <t>=C2144</t>
  </si>
  <si>
    <t>=NL("Sum","5802 Value Entry","150 Sales Amount (Expected)","41 Source Type",$C$5,"5 Source No.",$C2145,"4 Item Ledger Entry Type",$C$4,"2 Item No.","@@"&amp;$F2145,"3 Posting Date",J$9)+NL("Sum","5802 Value Entry","17 Sales Amount (Actual)","41 Source Type",$C$5,"5 Source no.",$C2145,"4 Item Ledger Entry Type",$C$4,"2 Item No.","@@"&amp;$F2145,"3 Posting Date",J$9)</t>
  </si>
  <si>
    <t>=-NL("Sum","5802 Value Entry","151 Cost Amount (Expected)","41 Source Type",$C$5,"5 Source No.",$C2145,"4 Item Ledger Entry Type",$C$4,"2 Item No.","@@"&amp;$F2145,"3 Posting Date",J$9)-NL("Sum","5802 Value Entry","43 Cost Amount (Actual)","41 Source Type",$C$5,"5 Source no.",$C2145,"4 Item Ledger Entry Type",$C$4,"2 Item No.","@@"&amp;$F2145,"3 Posting Date",J$9)</t>
  </si>
  <si>
    <t>=J2145-L2145</t>
  </si>
  <si>
    <t>=IF(J2145&lt;&gt;0,M2145/J2145,"")</t>
  </si>
  <si>
    <t>=NL("Sum","5802 Value Entry","150 Sales Amount (Expected)","41 Source Type",$C$5,"5 Source No.",$C2145,"4 Item Ledger Entry Type",$C$4,"2 Item No.","@@"&amp;$F2145,"3 Posting Date",O$9)+NL("Sum","5802 Value Entry","17 Sales Amount (Actual)","41 Source Type",$C$5,"5 Source no.",$C2145,"4 Item Ledger Entry Type",$C$4,"2 Item No.","@@"&amp;$F2145,"3 Posting Date",O$9)</t>
  </si>
  <si>
    <t>=-NL("Sum","5802 Value Entry","151 Cost Amount (Expected)","41 Source Type",$C$5,"5 Source No.",$C2145,"4 Item Ledger Entry Type",$C$4,"2 Item No.","@@"&amp;$F2145,"3 Posting Date",O$9)-NL("Sum","5802 Value Entry","43 Cost Amount (Actual)","41 Source Type",$C$5,"5 Source no.",$C2145,"4 Item Ledger Entry Type",$C$4,"2 Item No.","@@"&amp;$F2145,"3 Posting Date",O$9)</t>
  </si>
  <si>
    <t>=O2145-Q2145</t>
  </si>
  <si>
    <t>=IF(O2145&lt;&gt;0,R2145/O2145,"")</t>
  </si>
  <si>
    <t>=NL("Sum","5802 Value Entry","150 Sales Amount (Expected)","41 Source Type",$C$5,"5 Source No.",$C2145,"4 Item Ledger Entry Type",$C$4,"2 Item No.","@@"&amp;$F2145,"3 Posting Date",U$9)+NL("Sum","5802 Value Entry","17 Sales Amount (Actual)","41 Source Type",$C$5,"5 Source no.",$C2145,"4 Item Ledger Entry Type",$C$4,"2 Item No.","@@"&amp;$F2145,"3 Posting Date",U$9)</t>
  </si>
  <si>
    <t>=-NL("Sum","5802 Value Entry","151 Cost Amount (Expected)","41 Source Type",$C$5,"5 Source No.",$C2145,"4 Item Ledger Entry Type",$C$4,"2 Item No.","@@"&amp;$F2145,"3 Posting Date",U$9)-NL("Sum","5802 Value Entry","43 Cost Amount (Actual)","41 Source Type",$C$5,"5 Source no.",$C2145,"4 Item Ledger Entry Type",$C$4,"2 Item No.","@@"&amp;$F2145,"3 Posting Date",U$9)</t>
  </si>
  <si>
    <t>=U2145-W2145</t>
  </si>
  <si>
    <t>=IF(U2145&lt;&gt;0,X2145/U2145,"")</t>
  </si>
  <si>
    <t>=NL("Sum","5802 Value Entry","150 Sales Amount (Expected)","41 Source Type",$C$5,"5 Source No.",$C2145,"4 Item Ledger Entry Type",$C$4,"2 Item No.","@@"&amp;$F2145,"3 Posting Date",Z$9)+NL("Sum","5802 Value Entry","17 Sales Amount (Actual)","41 Source Type",$C$5,"5 Source no.",$C2145,"4 Item Ledger Entry Type",$C$4,"2 Item No.","@@"&amp;$F2145,"3 Posting Date",Z$9)</t>
  </si>
  <si>
    <t>=-NL("Sum","5802 Value Entry","151 Cost Amount (Expected)","41 Source Type",$C$5,"5 Source No.",$C2145,"4 Item Ledger Entry Type",$C$4,"2 Item No.","@@"&amp;$F2145,"3 Posting Date",Z$9)-NL("Sum","5802 Value Entry","43 Cost Amount (Actual)","41 Source Type",$C$5,"5 Source no.",$C2145,"4 Item Ledger Entry Type",$C$4,"2 Item No.","@@"&amp;$F2145,"3 Posting Date",Z$9)</t>
  </si>
  <si>
    <t>=Z2145-AB2145</t>
  </si>
  <si>
    <t>=IF(Z2145&lt;&gt;0,AC2145/Z2145,"")</t>
  </si>
  <si>
    <t>=C2145</t>
  </si>
  <si>
    <t>=NL("Sum","5802 Value Entry","150 Sales Amount (Expected)","41 Source Type",$C$5,"5 Source No.",$C2146,"4 Item Ledger Entry Type",$C$4,"2 Item No.","@@"&amp;$F2146,"3 Posting Date",J$9)+NL("Sum","5802 Value Entry","17 Sales Amount (Actual)","41 Source Type",$C$5,"5 Source no.",$C2146,"4 Item Ledger Entry Type",$C$4,"2 Item No.","@@"&amp;$F2146,"3 Posting Date",J$9)</t>
  </si>
  <si>
    <t>=-NL("Sum","5802 Value Entry","151 Cost Amount (Expected)","41 Source Type",$C$5,"5 Source No.",$C2146,"4 Item Ledger Entry Type",$C$4,"2 Item No.","@@"&amp;$F2146,"3 Posting Date",J$9)-NL("Sum","5802 Value Entry","43 Cost Amount (Actual)","41 Source Type",$C$5,"5 Source no.",$C2146,"4 Item Ledger Entry Type",$C$4,"2 Item No.","@@"&amp;$F2146,"3 Posting Date",J$9)</t>
  </si>
  <si>
    <t>=J2146-L2146</t>
  </si>
  <si>
    <t>=IF(J2146&lt;&gt;0,M2146/J2146,"")</t>
  </si>
  <si>
    <t>=NL("Sum","5802 Value Entry","150 Sales Amount (Expected)","41 Source Type",$C$5,"5 Source No.",$C2146,"4 Item Ledger Entry Type",$C$4,"2 Item No.","@@"&amp;$F2146,"3 Posting Date",O$9)+NL("Sum","5802 Value Entry","17 Sales Amount (Actual)","41 Source Type",$C$5,"5 Source no.",$C2146,"4 Item Ledger Entry Type",$C$4,"2 Item No.","@@"&amp;$F2146,"3 Posting Date",O$9)</t>
  </si>
  <si>
    <t>=-NL("Sum","5802 Value Entry","151 Cost Amount (Expected)","41 Source Type",$C$5,"5 Source No.",$C2146,"4 Item Ledger Entry Type",$C$4,"2 Item No.","@@"&amp;$F2146,"3 Posting Date",O$9)-NL("Sum","5802 Value Entry","43 Cost Amount (Actual)","41 Source Type",$C$5,"5 Source no.",$C2146,"4 Item Ledger Entry Type",$C$4,"2 Item No.","@@"&amp;$F2146,"3 Posting Date",O$9)</t>
  </si>
  <si>
    <t>=O2146-Q2146</t>
  </si>
  <si>
    <t>=IF(O2146&lt;&gt;0,R2146/O2146,"")</t>
  </si>
  <si>
    <t>=NL("Sum","5802 Value Entry","150 Sales Amount (Expected)","41 Source Type",$C$5,"5 Source No.",$C2146,"4 Item Ledger Entry Type",$C$4,"2 Item No.","@@"&amp;$F2146,"3 Posting Date",U$9)+NL("Sum","5802 Value Entry","17 Sales Amount (Actual)","41 Source Type",$C$5,"5 Source no.",$C2146,"4 Item Ledger Entry Type",$C$4,"2 Item No.","@@"&amp;$F2146,"3 Posting Date",U$9)</t>
  </si>
  <si>
    <t>=-NL("Sum","5802 Value Entry","151 Cost Amount (Expected)","41 Source Type",$C$5,"5 Source No.",$C2146,"4 Item Ledger Entry Type",$C$4,"2 Item No.","@@"&amp;$F2146,"3 Posting Date",U$9)-NL("Sum","5802 Value Entry","43 Cost Amount (Actual)","41 Source Type",$C$5,"5 Source no.",$C2146,"4 Item Ledger Entry Type",$C$4,"2 Item No.","@@"&amp;$F2146,"3 Posting Date",U$9)</t>
  </si>
  <si>
    <t>=U2146-W2146</t>
  </si>
  <si>
    <t>=IF(U2146&lt;&gt;0,X2146/U2146,"")</t>
  </si>
  <si>
    <t>=NL("Sum","5802 Value Entry","150 Sales Amount (Expected)","41 Source Type",$C$5,"5 Source No.",$C2146,"4 Item Ledger Entry Type",$C$4,"2 Item No.","@@"&amp;$F2146,"3 Posting Date",Z$9)+NL("Sum","5802 Value Entry","17 Sales Amount (Actual)","41 Source Type",$C$5,"5 Source no.",$C2146,"4 Item Ledger Entry Type",$C$4,"2 Item No.","@@"&amp;$F2146,"3 Posting Date",Z$9)</t>
  </si>
  <si>
    <t>=-NL("Sum","5802 Value Entry","151 Cost Amount (Expected)","41 Source Type",$C$5,"5 Source No.",$C2146,"4 Item Ledger Entry Type",$C$4,"2 Item No.","@@"&amp;$F2146,"3 Posting Date",Z$9)-NL("Sum","5802 Value Entry","43 Cost Amount (Actual)","41 Source Type",$C$5,"5 Source no.",$C2146,"4 Item Ledger Entry Type",$C$4,"2 Item No.","@@"&amp;$F2146,"3 Posting Date",Z$9)</t>
  </si>
  <si>
    <t>=Z2146-AB2146</t>
  </si>
  <si>
    <t>=IF(Z2146&lt;&gt;0,AC2146/Z2146,"")</t>
  </si>
  <si>
    <t>=C2146</t>
  </si>
  <si>
    <t>=NL("Sum","5802 Value Entry","150 Sales Amount (Expected)","41 Source Type",$C$5,"5 Source No.",$C2147,"4 Item Ledger Entry Type",$C$4,"2 Item No.","@@"&amp;$F2147,"3 Posting Date",J$9)+NL("Sum","5802 Value Entry","17 Sales Amount (Actual)","41 Source Type",$C$5,"5 Source no.",$C2147,"4 Item Ledger Entry Type",$C$4,"2 Item No.","@@"&amp;$F2147,"3 Posting Date",J$9)</t>
  </si>
  <si>
    <t>=-NL("Sum","5802 Value Entry","151 Cost Amount (Expected)","41 Source Type",$C$5,"5 Source No.",$C2147,"4 Item Ledger Entry Type",$C$4,"2 Item No.","@@"&amp;$F2147,"3 Posting Date",J$9)-NL("Sum","5802 Value Entry","43 Cost Amount (Actual)","41 Source Type",$C$5,"5 Source no.",$C2147,"4 Item Ledger Entry Type",$C$4,"2 Item No.","@@"&amp;$F2147,"3 Posting Date",J$9)</t>
  </si>
  <si>
    <t>=J2147-L2147</t>
  </si>
  <si>
    <t>=IF(J2147&lt;&gt;0,M2147/J2147,"")</t>
  </si>
  <si>
    <t>=NL("Sum","5802 Value Entry","150 Sales Amount (Expected)","41 Source Type",$C$5,"5 Source No.",$C2147,"4 Item Ledger Entry Type",$C$4,"2 Item No.","@@"&amp;$F2147,"3 Posting Date",O$9)+NL("Sum","5802 Value Entry","17 Sales Amount (Actual)","41 Source Type",$C$5,"5 Source no.",$C2147,"4 Item Ledger Entry Type",$C$4,"2 Item No.","@@"&amp;$F2147,"3 Posting Date",O$9)</t>
  </si>
  <si>
    <t>=-NL("Sum","5802 Value Entry","151 Cost Amount (Expected)","41 Source Type",$C$5,"5 Source No.",$C2147,"4 Item Ledger Entry Type",$C$4,"2 Item No.","@@"&amp;$F2147,"3 Posting Date",O$9)-NL("Sum","5802 Value Entry","43 Cost Amount (Actual)","41 Source Type",$C$5,"5 Source no.",$C2147,"4 Item Ledger Entry Type",$C$4,"2 Item No.","@@"&amp;$F2147,"3 Posting Date",O$9)</t>
  </si>
  <si>
    <t>=O2147-Q2147</t>
  </si>
  <si>
    <t>=IF(O2147&lt;&gt;0,R2147/O2147,"")</t>
  </si>
  <si>
    <t>=NL("Sum","5802 Value Entry","150 Sales Amount (Expected)","41 Source Type",$C$5,"5 Source No.",$C2147,"4 Item Ledger Entry Type",$C$4,"2 Item No.","@@"&amp;$F2147,"3 Posting Date",U$9)+NL("Sum","5802 Value Entry","17 Sales Amount (Actual)","41 Source Type",$C$5,"5 Source no.",$C2147,"4 Item Ledger Entry Type",$C$4,"2 Item No.","@@"&amp;$F2147,"3 Posting Date",U$9)</t>
  </si>
  <si>
    <t>=-NL("Sum","5802 Value Entry","151 Cost Amount (Expected)","41 Source Type",$C$5,"5 Source No.",$C2147,"4 Item Ledger Entry Type",$C$4,"2 Item No.","@@"&amp;$F2147,"3 Posting Date",U$9)-NL("Sum","5802 Value Entry","43 Cost Amount (Actual)","41 Source Type",$C$5,"5 Source no.",$C2147,"4 Item Ledger Entry Type",$C$4,"2 Item No.","@@"&amp;$F2147,"3 Posting Date",U$9)</t>
  </si>
  <si>
    <t>=U2147-W2147</t>
  </si>
  <si>
    <t>=IF(U2147&lt;&gt;0,X2147/U2147,"")</t>
  </si>
  <si>
    <t>=NL("Sum","5802 Value Entry","150 Sales Amount (Expected)","41 Source Type",$C$5,"5 Source No.",$C2147,"4 Item Ledger Entry Type",$C$4,"2 Item No.","@@"&amp;$F2147,"3 Posting Date",Z$9)+NL("Sum","5802 Value Entry","17 Sales Amount (Actual)","41 Source Type",$C$5,"5 Source no.",$C2147,"4 Item Ledger Entry Type",$C$4,"2 Item No.","@@"&amp;$F2147,"3 Posting Date",Z$9)</t>
  </si>
  <si>
    <t>=-NL("Sum","5802 Value Entry","151 Cost Amount (Expected)","41 Source Type",$C$5,"5 Source No.",$C2147,"4 Item Ledger Entry Type",$C$4,"2 Item No.","@@"&amp;$F2147,"3 Posting Date",Z$9)-NL("Sum","5802 Value Entry","43 Cost Amount (Actual)","41 Source Type",$C$5,"5 Source no.",$C2147,"4 Item Ledger Entry Type",$C$4,"2 Item No.","@@"&amp;$F2147,"3 Posting Date",Z$9)</t>
  </si>
  <si>
    <t>=Z2147-AB2147</t>
  </si>
  <si>
    <t>=IF(Z2147&lt;&gt;0,AC2147/Z2147,"")</t>
  </si>
  <si>
    <t>=C2147</t>
  </si>
  <si>
    <t>=NL("Sum","5802 Value Entry","150 Sales Amount (Expected)","41 Source Type",$C$5,"5 Source No.",$C2148,"4 Item Ledger Entry Type",$C$4,"2 Item No.","@@"&amp;$F2148,"3 Posting Date",J$9)+NL("Sum","5802 Value Entry","17 Sales Amount (Actual)","41 Source Type",$C$5,"5 Source no.",$C2148,"4 Item Ledger Entry Type",$C$4,"2 Item No.","@@"&amp;$F2148,"3 Posting Date",J$9)</t>
  </si>
  <si>
    <t>=-NL("Sum","5802 Value Entry","151 Cost Amount (Expected)","41 Source Type",$C$5,"5 Source No.",$C2148,"4 Item Ledger Entry Type",$C$4,"2 Item No.","@@"&amp;$F2148,"3 Posting Date",J$9)-NL("Sum","5802 Value Entry","43 Cost Amount (Actual)","41 Source Type",$C$5,"5 Source no.",$C2148,"4 Item Ledger Entry Type",$C$4,"2 Item No.","@@"&amp;$F2148,"3 Posting Date",J$9)</t>
  </si>
  <si>
    <t>=J2148-L2148</t>
  </si>
  <si>
    <t>=IF(J2148&lt;&gt;0,M2148/J2148,"")</t>
  </si>
  <si>
    <t>=NL("Sum","5802 Value Entry","150 Sales Amount (Expected)","41 Source Type",$C$5,"5 Source No.",$C2148,"4 Item Ledger Entry Type",$C$4,"2 Item No.","@@"&amp;$F2148,"3 Posting Date",O$9)+NL("Sum","5802 Value Entry","17 Sales Amount (Actual)","41 Source Type",$C$5,"5 Source no.",$C2148,"4 Item Ledger Entry Type",$C$4,"2 Item No.","@@"&amp;$F2148,"3 Posting Date",O$9)</t>
  </si>
  <si>
    <t>=-NL("Sum","5802 Value Entry","151 Cost Amount (Expected)","41 Source Type",$C$5,"5 Source No.",$C2148,"4 Item Ledger Entry Type",$C$4,"2 Item No.","@@"&amp;$F2148,"3 Posting Date",O$9)-NL("Sum","5802 Value Entry","43 Cost Amount (Actual)","41 Source Type",$C$5,"5 Source no.",$C2148,"4 Item Ledger Entry Type",$C$4,"2 Item No.","@@"&amp;$F2148,"3 Posting Date",O$9)</t>
  </si>
  <si>
    <t>=O2148-Q2148</t>
  </si>
  <si>
    <t>=IF(O2148&lt;&gt;0,R2148/O2148,"")</t>
  </si>
  <si>
    <t>=NL("Sum","5802 Value Entry","150 Sales Amount (Expected)","41 Source Type",$C$5,"5 Source No.",$C2148,"4 Item Ledger Entry Type",$C$4,"2 Item No.","@@"&amp;$F2148,"3 Posting Date",U$9)+NL("Sum","5802 Value Entry","17 Sales Amount (Actual)","41 Source Type",$C$5,"5 Source no.",$C2148,"4 Item Ledger Entry Type",$C$4,"2 Item No.","@@"&amp;$F2148,"3 Posting Date",U$9)</t>
  </si>
  <si>
    <t>=-NL("Sum","5802 Value Entry","151 Cost Amount (Expected)","41 Source Type",$C$5,"5 Source No.",$C2148,"4 Item Ledger Entry Type",$C$4,"2 Item No.","@@"&amp;$F2148,"3 Posting Date",U$9)-NL("Sum","5802 Value Entry","43 Cost Amount (Actual)","41 Source Type",$C$5,"5 Source no.",$C2148,"4 Item Ledger Entry Type",$C$4,"2 Item No.","@@"&amp;$F2148,"3 Posting Date",U$9)</t>
  </si>
  <si>
    <t>=U2148-W2148</t>
  </si>
  <si>
    <t>=IF(U2148&lt;&gt;0,X2148/U2148,"")</t>
  </si>
  <si>
    <t>=NL("Sum","5802 Value Entry","150 Sales Amount (Expected)","41 Source Type",$C$5,"5 Source No.",$C2148,"4 Item Ledger Entry Type",$C$4,"2 Item No.","@@"&amp;$F2148,"3 Posting Date",Z$9)+NL("Sum","5802 Value Entry","17 Sales Amount (Actual)","41 Source Type",$C$5,"5 Source no.",$C2148,"4 Item Ledger Entry Type",$C$4,"2 Item No.","@@"&amp;$F2148,"3 Posting Date",Z$9)</t>
  </si>
  <si>
    <t>=-NL("Sum","5802 Value Entry","151 Cost Amount (Expected)","41 Source Type",$C$5,"5 Source No.",$C2148,"4 Item Ledger Entry Type",$C$4,"2 Item No.","@@"&amp;$F2148,"3 Posting Date",Z$9)-NL("Sum","5802 Value Entry","43 Cost Amount (Actual)","41 Source Type",$C$5,"5 Source no.",$C2148,"4 Item Ledger Entry Type",$C$4,"2 Item No.","@@"&amp;$F2148,"3 Posting Date",Z$9)</t>
  </si>
  <si>
    <t>=Z2148-AB2148</t>
  </si>
  <si>
    <t>=IF(Z2148&lt;&gt;0,AC2148/Z2148,"")</t>
  </si>
  <si>
    <t>=C2149</t>
  </si>
  <si>
    <t>=J2150-L2150</t>
  </si>
  <si>
    <t>=IF(J2150&lt;&gt;0,M2150/J2150,"")</t>
  </si>
  <si>
    <t>=O2150-Q2150</t>
  </si>
  <si>
    <t>=IF(O2150&lt;&gt;0,R2150/O2150,"")</t>
  </si>
  <si>
    <t>=U2150-W2150</t>
  </si>
  <si>
    <t>=IF(U2150&lt;&gt;0,X2150/U2150,"")</t>
  </si>
  <si>
    <t>=Z2150-AB2150</t>
  </si>
  <si>
    <t>=IF(Z2150&lt;&gt;0,AC2150/Z2150,"")</t>
  </si>
  <si>
    <t>=C2152</t>
  </si>
  <si>
    <t>=C2153</t>
  </si>
  <si>
    <t>=NL("Sum","5802 Value Entry","150 Sales Amount (Expected)","41 Source Type",$C$5,"5 Source No.",$C2154,"4 Item Ledger Entry Type",$C$4,"2 Item No.","@@"&amp;$F2154,"3 Posting Date",J$9)+NL("Sum","5802 Value Entry","17 Sales Amount (Actual)","41 Source Type",$C$5,"5 Source no.",$C2154,"4 Item Ledger Entry Type",$C$4,"2 Item No.","@@"&amp;$F2154,"3 Posting Date",J$9)</t>
  </si>
  <si>
    <t>=-NL("Sum","5802 Value Entry","151 Cost Amount (Expected)","41 Source Type",$C$5,"5 Source No.",$C2154,"4 Item Ledger Entry Type",$C$4,"2 Item No.","@@"&amp;$F2154,"3 Posting Date",J$9)-NL("Sum","5802 Value Entry","43 Cost Amount (Actual)","41 Source Type",$C$5,"5 Source no.",$C2154,"4 Item Ledger Entry Type",$C$4,"2 Item No.","@@"&amp;$F2154,"3 Posting Date",J$9)</t>
  </si>
  <si>
    <t>=J2154-L2154</t>
  </si>
  <si>
    <t>=IF(J2154&lt;&gt;0,M2154/J2154,"")</t>
  </si>
  <si>
    <t>=NL("Sum","5802 Value Entry","150 Sales Amount (Expected)","41 Source Type",$C$5,"5 Source No.",$C2154,"4 Item Ledger Entry Type",$C$4,"2 Item No.","@@"&amp;$F2154,"3 Posting Date",O$9)+NL("Sum","5802 Value Entry","17 Sales Amount (Actual)","41 Source Type",$C$5,"5 Source no.",$C2154,"4 Item Ledger Entry Type",$C$4,"2 Item No.","@@"&amp;$F2154,"3 Posting Date",O$9)</t>
  </si>
  <si>
    <t>=-NL("Sum","5802 Value Entry","151 Cost Amount (Expected)","41 Source Type",$C$5,"5 Source No.",$C2154,"4 Item Ledger Entry Type",$C$4,"2 Item No.","@@"&amp;$F2154,"3 Posting Date",O$9)-NL("Sum","5802 Value Entry","43 Cost Amount (Actual)","41 Source Type",$C$5,"5 Source no.",$C2154,"4 Item Ledger Entry Type",$C$4,"2 Item No.","@@"&amp;$F2154,"3 Posting Date",O$9)</t>
  </si>
  <si>
    <t>=O2154-Q2154</t>
  </si>
  <si>
    <t>=IF(O2154&lt;&gt;0,R2154/O2154,"")</t>
  </si>
  <si>
    <t>=NL("Sum","5802 Value Entry","150 Sales Amount (Expected)","41 Source Type",$C$5,"5 Source No.",$C2154,"4 Item Ledger Entry Type",$C$4,"2 Item No.","@@"&amp;$F2154,"3 Posting Date",U$9)+NL("Sum","5802 Value Entry","17 Sales Amount (Actual)","41 Source Type",$C$5,"5 Source no.",$C2154,"4 Item Ledger Entry Type",$C$4,"2 Item No.","@@"&amp;$F2154,"3 Posting Date",U$9)</t>
  </si>
  <si>
    <t>=-NL("Sum","5802 Value Entry","151 Cost Amount (Expected)","41 Source Type",$C$5,"5 Source No.",$C2154,"4 Item Ledger Entry Type",$C$4,"2 Item No.","@@"&amp;$F2154,"3 Posting Date",U$9)-NL("Sum","5802 Value Entry","43 Cost Amount (Actual)","41 Source Type",$C$5,"5 Source no.",$C2154,"4 Item Ledger Entry Type",$C$4,"2 Item No.","@@"&amp;$F2154,"3 Posting Date",U$9)</t>
  </si>
  <si>
    <t>=U2154-W2154</t>
  </si>
  <si>
    <t>=IF(U2154&lt;&gt;0,X2154/U2154,"")</t>
  </si>
  <si>
    <t>=NL("Sum","5802 Value Entry","150 Sales Amount (Expected)","41 Source Type",$C$5,"5 Source No.",$C2154,"4 Item Ledger Entry Type",$C$4,"2 Item No.","@@"&amp;$F2154,"3 Posting Date",Z$9)+NL("Sum","5802 Value Entry","17 Sales Amount (Actual)","41 Source Type",$C$5,"5 Source no.",$C2154,"4 Item Ledger Entry Type",$C$4,"2 Item No.","@@"&amp;$F2154,"3 Posting Date",Z$9)</t>
  </si>
  <si>
    <t>=-NL("Sum","5802 Value Entry","151 Cost Amount (Expected)","41 Source Type",$C$5,"5 Source No.",$C2154,"4 Item Ledger Entry Type",$C$4,"2 Item No.","@@"&amp;$F2154,"3 Posting Date",Z$9)-NL("Sum","5802 Value Entry","43 Cost Amount (Actual)","41 Source Type",$C$5,"5 Source no.",$C2154,"4 Item Ledger Entry Type",$C$4,"2 Item No.","@@"&amp;$F2154,"3 Posting Date",Z$9)</t>
  </si>
  <si>
    <t>=Z2154-AB2154</t>
  </si>
  <si>
    <t>=IF(Z2154&lt;&gt;0,AC2154/Z2154,"")</t>
  </si>
  <si>
    <t>=C2154</t>
  </si>
  <si>
    <t>=NL("Sum","5802 Value Entry","150 Sales Amount (Expected)","41 Source Type",$C$5,"5 Source No.",$C2155,"4 Item Ledger Entry Type",$C$4,"2 Item No.","@@"&amp;$F2155,"3 Posting Date",J$9)+NL("Sum","5802 Value Entry","17 Sales Amount (Actual)","41 Source Type",$C$5,"5 Source no.",$C2155,"4 Item Ledger Entry Type",$C$4,"2 Item No.","@@"&amp;$F2155,"3 Posting Date",J$9)</t>
  </si>
  <si>
    <t>=-NL("Sum","5802 Value Entry","151 Cost Amount (Expected)","41 Source Type",$C$5,"5 Source No.",$C2155,"4 Item Ledger Entry Type",$C$4,"2 Item No.","@@"&amp;$F2155,"3 Posting Date",J$9)-NL("Sum","5802 Value Entry","43 Cost Amount (Actual)","41 Source Type",$C$5,"5 Source no.",$C2155,"4 Item Ledger Entry Type",$C$4,"2 Item No.","@@"&amp;$F2155,"3 Posting Date",J$9)</t>
  </si>
  <si>
    <t>=J2155-L2155</t>
  </si>
  <si>
    <t>=IF(J2155&lt;&gt;0,M2155/J2155,"")</t>
  </si>
  <si>
    <t>=NL("Sum","5802 Value Entry","150 Sales Amount (Expected)","41 Source Type",$C$5,"5 Source No.",$C2155,"4 Item Ledger Entry Type",$C$4,"2 Item No.","@@"&amp;$F2155,"3 Posting Date",O$9)+NL("Sum","5802 Value Entry","17 Sales Amount (Actual)","41 Source Type",$C$5,"5 Source no.",$C2155,"4 Item Ledger Entry Type",$C$4,"2 Item No.","@@"&amp;$F2155,"3 Posting Date",O$9)</t>
  </si>
  <si>
    <t>=-NL("Sum","5802 Value Entry","151 Cost Amount (Expected)","41 Source Type",$C$5,"5 Source No.",$C2155,"4 Item Ledger Entry Type",$C$4,"2 Item No.","@@"&amp;$F2155,"3 Posting Date",O$9)-NL("Sum","5802 Value Entry","43 Cost Amount (Actual)","41 Source Type",$C$5,"5 Source no.",$C2155,"4 Item Ledger Entry Type",$C$4,"2 Item No.","@@"&amp;$F2155,"3 Posting Date",O$9)</t>
  </si>
  <si>
    <t>=O2155-Q2155</t>
  </si>
  <si>
    <t>=IF(O2155&lt;&gt;0,R2155/O2155,"")</t>
  </si>
  <si>
    <t>=NL("Sum","5802 Value Entry","150 Sales Amount (Expected)","41 Source Type",$C$5,"5 Source No.",$C2155,"4 Item Ledger Entry Type",$C$4,"2 Item No.","@@"&amp;$F2155,"3 Posting Date",U$9)+NL("Sum","5802 Value Entry","17 Sales Amount (Actual)","41 Source Type",$C$5,"5 Source no.",$C2155,"4 Item Ledger Entry Type",$C$4,"2 Item No.","@@"&amp;$F2155,"3 Posting Date",U$9)</t>
  </si>
  <si>
    <t>=-NL("Sum","5802 Value Entry","151 Cost Amount (Expected)","41 Source Type",$C$5,"5 Source No.",$C2155,"4 Item Ledger Entry Type",$C$4,"2 Item No.","@@"&amp;$F2155,"3 Posting Date",U$9)-NL("Sum","5802 Value Entry","43 Cost Amount (Actual)","41 Source Type",$C$5,"5 Source no.",$C2155,"4 Item Ledger Entry Type",$C$4,"2 Item No.","@@"&amp;$F2155,"3 Posting Date",U$9)</t>
  </si>
  <si>
    <t>=U2155-W2155</t>
  </si>
  <si>
    <t>=IF(U2155&lt;&gt;0,X2155/U2155,"")</t>
  </si>
  <si>
    <t>=NL("Sum","5802 Value Entry","150 Sales Amount (Expected)","41 Source Type",$C$5,"5 Source No.",$C2155,"4 Item Ledger Entry Type",$C$4,"2 Item No.","@@"&amp;$F2155,"3 Posting Date",Z$9)+NL("Sum","5802 Value Entry","17 Sales Amount (Actual)","41 Source Type",$C$5,"5 Source no.",$C2155,"4 Item Ledger Entry Type",$C$4,"2 Item No.","@@"&amp;$F2155,"3 Posting Date",Z$9)</t>
  </si>
  <si>
    <t>=-NL("Sum","5802 Value Entry","151 Cost Amount (Expected)","41 Source Type",$C$5,"5 Source No.",$C2155,"4 Item Ledger Entry Type",$C$4,"2 Item No.","@@"&amp;$F2155,"3 Posting Date",Z$9)-NL("Sum","5802 Value Entry","43 Cost Amount (Actual)","41 Source Type",$C$5,"5 Source no.",$C2155,"4 Item Ledger Entry Type",$C$4,"2 Item No.","@@"&amp;$F2155,"3 Posting Date",Z$9)</t>
  </si>
  <si>
    <t>=Z2155-AB2155</t>
  </si>
  <si>
    <t>=IF(Z2155&lt;&gt;0,AC2155/Z2155,"")</t>
  </si>
  <si>
    <t>=C2155</t>
  </si>
  <si>
    <t>=NL("Sum","5802 Value Entry","150 Sales Amount (Expected)","41 Source Type",$C$5,"5 Source No.",$C2156,"4 Item Ledger Entry Type",$C$4,"2 Item No.","@@"&amp;$F2156,"3 Posting Date",J$9)+NL("Sum","5802 Value Entry","17 Sales Amount (Actual)","41 Source Type",$C$5,"5 Source no.",$C2156,"4 Item Ledger Entry Type",$C$4,"2 Item No.","@@"&amp;$F2156,"3 Posting Date",J$9)</t>
  </si>
  <si>
    <t>=-NL("Sum","5802 Value Entry","151 Cost Amount (Expected)","41 Source Type",$C$5,"5 Source No.",$C2156,"4 Item Ledger Entry Type",$C$4,"2 Item No.","@@"&amp;$F2156,"3 Posting Date",J$9)-NL("Sum","5802 Value Entry","43 Cost Amount (Actual)","41 Source Type",$C$5,"5 Source no.",$C2156,"4 Item Ledger Entry Type",$C$4,"2 Item No.","@@"&amp;$F2156,"3 Posting Date",J$9)</t>
  </si>
  <si>
    <t>=J2156-L2156</t>
  </si>
  <si>
    <t>=IF(J2156&lt;&gt;0,M2156/J2156,"")</t>
  </si>
  <si>
    <t>=NL("Sum","5802 Value Entry","150 Sales Amount (Expected)","41 Source Type",$C$5,"5 Source No.",$C2156,"4 Item Ledger Entry Type",$C$4,"2 Item No.","@@"&amp;$F2156,"3 Posting Date",O$9)+NL("Sum","5802 Value Entry","17 Sales Amount (Actual)","41 Source Type",$C$5,"5 Source no.",$C2156,"4 Item Ledger Entry Type",$C$4,"2 Item No.","@@"&amp;$F2156,"3 Posting Date",O$9)</t>
  </si>
  <si>
    <t>=-NL("Sum","5802 Value Entry","151 Cost Amount (Expected)","41 Source Type",$C$5,"5 Source No.",$C2156,"4 Item Ledger Entry Type",$C$4,"2 Item No.","@@"&amp;$F2156,"3 Posting Date",O$9)-NL("Sum","5802 Value Entry","43 Cost Amount (Actual)","41 Source Type",$C$5,"5 Source no.",$C2156,"4 Item Ledger Entry Type",$C$4,"2 Item No.","@@"&amp;$F2156,"3 Posting Date",O$9)</t>
  </si>
  <si>
    <t>=O2156-Q2156</t>
  </si>
  <si>
    <t>=IF(O2156&lt;&gt;0,R2156/O2156,"")</t>
  </si>
  <si>
    <t>=NL("Sum","5802 Value Entry","150 Sales Amount (Expected)","41 Source Type",$C$5,"5 Source No.",$C2156,"4 Item Ledger Entry Type",$C$4,"2 Item No.","@@"&amp;$F2156,"3 Posting Date",U$9)+NL("Sum","5802 Value Entry","17 Sales Amount (Actual)","41 Source Type",$C$5,"5 Source no.",$C2156,"4 Item Ledger Entry Type",$C$4,"2 Item No.","@@"&amp;$F2156,"3 Posting Date",U$9)</t>
  </si>
  <si>
    <t>=-NL("Sum","5802 Value Entry","151 Cost Amount (Expected)","41 Source Type",$C$5,"5 Source No.",$C2156,"4 Item Ledger Entry Type",$C$4,"2 Item No.","@@"&amp;$F2156,"3 Posting Date",U$9)-NL("Sum","5802 Value Entry","43 Cost Amount (Actual)","41 Source Type",$C$5,"5 Source no.",$C2156,"4 Item Ledger Entry Type",$C$4,"2 Item No.","@@"&amp;$F2156,"3 Posting Date",U$9)</t>
  </si>
  <si>
    <t>=U2156-W2156</t>
  </si>
  <si>
    <t>=IF(U2156&lt;&gt;0,X2156/U2156,"")</t>
  </si>
  <si>
    <t>=NL("Sum","5802 Value Entry","150 Sales Amount (Expected)","41 Source Type",$C$5,"5 Source No.",$C2156,"4 Item Ledger Entry Type",$C$4,"2 Item No.","@@"&amp;$F2156,"3 Posting Date",Z$9)+NL("Sum","5802 Value Entry","17 Sales Amount (Actual)","41 Source Type",$C$5,"5 Source no.",$C2156,"4 Item Ledger Entry Type",$C$4,"2 Item No.","@@"&amp;$F2156,"3 Posting Date",Z$9)</t>
  </si>
  <si>
    <t>=-NL("Sum","5802 Value Entry","151 Cost Amount (Expected)","41 Source Type",$C$5,"5 Source No.",$C2156,"4 Item Ledger Entry Type",$C$4,"2 Item No.","@@"&amp;$F2156,"3 Posting Date",Z$9)-NL("Sum","5802 Value Entry","43 Cost Amount (Actual)","41 Source Type",$C$5,"5 Source no.",$C2156,"4 Item Ledger Entry Type",$C$4,"2 Item No.","@@"&amp;$F2156,"3 Posting Date",Z$9)</t>
  </si>
  <si>
    <t>=Z2156-AB2156</t>
  </si>
  <si>
    <t>=IF(Z2156&lt;&gt;0,AC2156/Z2156,"")</t>
  </si>
  <si>
    <t>=C2156</t>
  </si>
  <si>
    <t>=NL("Sum","5802 Value Entry","150 Sales Amount (Expected)","41 Source Type",$C$5,"5 Source No.",$C2157,"4 Item Ledger Entry Type",$C$4,"2 Item No.","@@"&amp;$F2157,"3 Posting Date",J$9)+NL("Sum","5802 Value Entry","17 Sales Amount (Actual)","41 Source Type",$C$5,"5 Source no.",$C2157,"4 Item Ledger Entry Type",$C$4,"2 Item No.","@@"&amp;$F2157,"3 Posting Date",J$9)</t>
  </si>
  <si>
    <t>=-NL("Sum","5802 Value Entry","151 Cost Amount (Expected)","41 Source Type",$C$5,"5 Source No.",$C2157,"4 Item Ledger Entry Type",$C$4,"2 Item No.","@@"&amp;$F2157,"3 Posting Date",J$9)-NL("Sum","5802 Value Entry","43 Cost Amount (Actual)","41 Source Type",$C$5,"5 Source no.",$C2157,"4 Item Ledger Entry Type",$C$4,"2 Item No.","@@"&amp;$F2157,"3 Posting Date",J$9)</t>
  </si>
  <si>
    <t>=J2157-L2157</t>
  </si>
  <si>
    <t>=IF(J2157&lt;&gt;0,M2157/J2157,"")</t>
  </si>
  <si>
    <t>=NL("Sum","5802 Value Entry","150 Sales Amount (Expected)","41 Source Type",$C$5,"5 Source No.",$C2157,"4 Item Ledger Entry Type",$C$4,"2 Item No.","@@"&amp;$F2157,"3 Posting Date",O$9)+NL("Sum","5802 Value Entry","17 Sales Amount (Actual)","41 Source Type",$C$5,"5 Source no.",$C2157,"4 Item Ledger Entry Type",$C$4,"2 Item No.","@@"&amp;$F2157,"3 Posting Date",O$9)</t>
  </si>
  <si>
    <t>=-NL("Sum","5802 Value Entry","151 Cost Amount (Expected)","41 Source Type",$C$5,"5 Source No.",$C2157,"4 Item Ledger Entry Type",$C$4,"2 Item No.","@@"&amp;$F2157,"3 Posting Date",O$9)-NL("Sum","5802 Value Entry","43 Cost Amount (Actual)","41 Source Type",$C$5,"5 Source no.",$C2157,"4 Item Ledger Entry Type",$C$4,"2 Item No.","@@"&amp;$F2157,"3 Posting Date",O$9)</t>
  </si>
  <si>
    <t>=O2157-Q2157</t>
  </si>
  <si>
    <t>=IF(O2157&lt;&gt;0,R2157/O2157,"")</t>
  </si>
  <si>
    <t>=NL("Sum","5802 Value Entry","150 Sales Amount (Expected)","41 Source Type",$C$5,"5 Source No.",$C2157,"4 Item Ledger Entry Type",$C$4,"2 Item No.","@@"&amp;$F2157,"3 Posting Date",U$9)+NL("Sum","5802 Value Entry","17 Sales Amount (Actual)","41 Source Type",$C$5,"5 Source no.",$C2157,"4 Item Ledger Entry Type",$C$4,"2 Item No.","@@"&amp;$F2157,"3 Posting Date",U$9)</t>
  </si>
  <si>
    <t>=-NL("Sum","5802 Value Entry","151 Cost Amount (Expected)","41 Source Type",$C$5,"5 Source No.",$C2157,"4 Item Ledger Entry Type",$C$4,"2 Item No.","@@"&amp;$F2157,"3 Posting Date",U$9)-NL("Sum","5802 Value Entry","43 Cost Amount (Actual)","41 Source Type",$C$5,"5 Source no.",$C2157,"4 Item Ledger Entry Type",$C$4,"2 Item No.","@@"&amp;$F2157,"3 Posting Date",U$9)</t>
  </si>
  <si>
    <t>=U2157-W2157</t>
  </si>
  <si>
    <t>=IF(U2157&lt;&gt;0,X2157/U2157,"")</t>
  </si>
  <si>
    <t>=NL("Sum","5802 Value Entry","150 Sales Amount (Expected)","41 Source Type",$C$5,"5 Source No.",$C2157,"4 Item Ledger Entry Type",$C$4,"2 Item No.","@@"&amp;$F2157,"3 Posting Date",Z$9)+NL("Sum","5802 Value Entry","17 Sales Amount (Actual)","41 Source Type",$C$5,"5 Source no.",$C2157,"4 Item Ledger Entry Type",$C$4,"2 Item No.","@@"&amp;$F2157,"3 Posting Date",Z$9)</t>
  </si>
  <si>
    <t>=-NL("Sum","5802 Value Entry","151 Cost Amount (Expected)","41 Source Type",$C$5,"5 Source No.",$C2157,"4 Item Ledger Entry Type",$C$4,"2 Item No.","@@"&amp;$F2157,"3 Posting Date",Z$9)-NL("Sum","5802 Value Entry","43 Cost Amount (Actual)","41 Source Type",$C$5,"5 Source no.",$C2157,"4 Item Ledger Entry Type",$C$4,"2 Item No.","@@"&amp;$F2157,"3 Posting Date",Z$9)</t>
  </si>
  <si>
    <t>=Z2157-AB2157</t>
  </si>
  <si>
    <t>=IF(Z2157&lt;&gt;0,AC2157/Z2157,"")</t>
  </si>
  <si>
    <t>=C2157</t>
  </si>
  <si>
    <t>=NL("Sum","5802 Value Entry","150 Sales Amount (Expected)","41 Source Type",$C$5,"5 Source No.",$C2158,"4 Item Ledger Entry Type",$C$4,"2 Item No.","@@"&amp;$F2158,"3 Posting Date",J$9)+NL("Sum","5802 Value Entry","17 Sales Amount (Actual)","41 Source Type",$C$5,"5 Source no.",$C2158,"4 Item Ledger Entry Type",$C$4,"2 Item No.","@@"&amp;$F2158,"3 Posting Date",J$9)</t>
  </si>
  <si>
    <t>=-NL("Sum","5802 Value Entry","151 Cost Amount (Expected)","41 Source Type",$C$5,"5 Source No.",$C2158,"4 Item Ledger Entry Type",$C$4,"2 Item No.","@@"&amp;$F2158,"3 Posting Date",J$9)-NL("Sum","5802 Value Entry","43 Cost Amount (Actual)","41 Source Type",$C$5,"5 Source no.",$C2158,"4 Item Ledger Entry Type",$C$4,"2 Item No.","@@"&amp;$F2158,"3 Posting Date",J$9)</t>
  </si>
  <si>
    <t>=J2158-L2158</t>
  </si>
  <si>
    <t>=IF(J2158&lt;&gt;0,M2158/J2158,"")</t>
  </si>
  <si>
    <t>=NL("Sum","5802 Value Entry","150 Sales Amount (Expected)","41 Source Type",$C$5,"5 Source No.",$C2158,"4 Item Ledger Entry Type",$C$4,"2 Item No.","@@"&amp;$F2158,"3 Posting Date",O$9)+NL("Sum","5802 Value Entry","17 Sales Amount (Actual)","41 Source Type",$C$5,"5 Source no.",$C2158,"4 Item Ledger Entry Type",$C$4,"2 Item No.","@@"&amp;$F2158,"3 Posting Date",O$9)</t>
  </si>
  <si>
    <t>=-NL("Sum","5802 Value Entry","151 Cost Amount (Expected)","41 Source Type",$C$5,"5 Source No.",$C2158,"4 Item Ledger Entry Type",$C$4,"2 Item No.","@@"&amp;$F2158,"3 Posting Date",O$9)-NL("Sum","5802 Value Entry","43 Cost Amount (Actual)","41 Source Type",$C$5,"5 Source no.",$C2158,"4 Item Ledger Entry Type",$C$4,"2 Item No.","@@"&amp;$F2158,"3 Posting Date",O$9)</t>
  </si>
  <si>
    <t>=O2158-Q2158</t>
  </si>
  <si>
    <t>=IF(O2158&lt;&gt;0,R2158/O2158,"")</t>
  </si>
  <si>
    <t>=NL("Sum","5802 Value Entry","150 Sales Amount (Expected)","41 Source Type",$C$5,"5 Source No.",$C2158,"4 Item Ledger Entry Type",$C$4,"2 Item No.","@@"&amp;$F2158,"3 Posting Date",U$9)+NL("Sum","5802 Value Entry","17 Sales Amount (Actual)","41 Source Type",$C$5,"5 Source no.",$C2158,"4 Item Ledger Entry Type",$C$4,"2 Item No.","@@"&amp;$F2158,"3 Posting Date",U$9)</t>
  </si>
  <si>
    <t>=-NL("Sum","5802 Value Entry","151 Cost Amount (Expected)","41 Source Type",$C$5,"5 Source No.",$C2158,"4 Item Ledger Entry Type",$C$4,"2 Item No.","@@"&amp;$F2158,"3 Posting Date",U$9)-NL("Sum","5802 Value Entry","43 Cost Amount (Actual)","41 Source Type",$C$5,"5 Source no.",$C2158,"4 Item Ledger Entry Type",$C$4,"2 Item No.","@@"&amp;$F2158,"3 Posting Date",U$9)</t>
  </si>
  <si>
    <t>=U2158-W2158</t>
  </si>
  <si>
    <t>=IF(U2158&lt;&gt;0,X2158/U2158,"")</t>
  </si>
  <si>
    <t>=NL("Sum","5802 Value Entry","150 Sales Amount (Expected)","41 Source Type",$C$5,"5 Source No.",$C2158,"4 Item Ledger Entry Type",$C$4,"2 Item No.","@@"&amp;$F2158,"3 Posting Date",Z$9)+NL("Sum","5802 Value Entry","17 Sales Amount (Actual)","41 Source Type",$C$5,"5 Source no.",$C2158,"4 Item Ledger Entry Type",$C$4,"2 Item No.","@@"&amp;$F2158,"3 Posting Date",Z$9)</t>
  </si>
  <si>
    <t>=-NL("Sum","5802 Value Entry","151 Cost Amount (Expected)","41 Source Type",$C$5,"5 Source No.",$C2158,"4 Item Ledger Entry Type",$C$4,"2 Item No.","@@"&amp;$F2158,"3 Posting Date",Z$9)-NL("Sum","5802 Value Entry","43 Cost Amount (Actual)","41 Source Type",$C$5,"5 Source no.",$C2158,"4 Item Ledger Entry Type",$C$4,"2 Item No.","@@"&amp;$F2158,"3 Posting Date",Z$9)</t>
  </si>
  <si>
    <t>=Z2158-AB2158</t>
  </si>
  <si>
    <t>=IF(Z2158&lt;&gt;0,AC2158/Z2158,"")</t>
  </si>
  <si>
    <t>=C2158</t>
  </si>
  <si>
    <t>=NL("Sum","5802 Value Entry","150 Sales Amount (Expected)","41 Source Type",$C$5,"5 Source No.",$C2159,"4 Item Ledger Entry Type",$C$4,"2 Item No.","@@"&amp;$F2159,"3 Posting Date",J$9)+NL("Sum","5802 Value Entry","17 Sales Amount (Actual)","41 Source Type",$C$5,"5 Source no.",$C2159,"4 Item Ledger Entry Type",$C$4,"2 Item No.","@@"&amp;$F2159,"3 Posting Date",J$9)</t>
  </si>
  <si>
    <t>=-NL("Sum","5802 Value Entry","151 Cost Amount (Expected)","41 Source Type",$C$5,"5 Source No.",$C2159,"4 Item Ledger Entry Type",$C$4,"2 Item No.","@@"&amp;$F2159,"3 Posting Date",J$9)-NL("Sum","5802 Value Entry","43 Cost Amount (Actual)","41 Source Type",$C$5,"5 Source no.",$C2159,"4 Item Ledger Entry Type",$C$4,"2 Item No.","@@"&amp;$F2159,"3 Posting Date",J$9)</t>
  </si>
  <si>
    <t>=J2159-L2159</t>
  </si>
  <si>
    <t>=IF(J2159&lt;&gt;0,M2159/J2159,"")</t>
  </si>
  <si>
    <t>=NL("Sum","5802 Value Entry","150 Sales Amount (Expected)","41 Source Type",$C$5,"5 Source No.",$C2159,"4 Item Ledger Entry Type",$C$4,"2 Item No.","@@"&amp;$F2159,"3 Posting Date",O$9)+NL("Sum","5802 Value Entry","17 Sales Amount (Actual)","41 Source Type",$C$5,"5 Source no.",$C2159,"4 Item Ledger Entry Type",$C$4,"2 Item No.","@@"&amp;$F2159,"3 Posting Date",O$9)</t>
  </si>
  <si>
    <t>=-NL("Sum","5802 Value Entry","151 Cost Amount (Expected)","41 Source Type",$C$5,"5 Source No.",$C2159,"4 Item Ledger Entry Type",$C$4,"2 Item No.","@@"&amp;$F2159,"3 Posting Date",O$9)-NL("Sum","5802 Value Entry","43 Cost Amount (Actual)","41 Source Type",$C$5,"5 Source no.",$C2159,"4 Item Ledger Entry Type",$C$4,"2 Item No.","@@"&amp;$F2159,"3 Posting Date",O$9)</t>
  </si>
  <si>
    <t>=O2159-Q2159</t>
  </si>
  <si>
    <t>=IF(O2159&lt;&gt;0,R2159/O2159,"")</t>
  </si>
  <si>
    <t>=NL("Sum","5802 Value Entry","150 Sales Amount (Expected)","41 Source Type",$C$5,"5 Source No.",$C2159,"4 Item Ledger Entry Type",$C$4,"2 Item No.","@@"&amp;$F2159,"3 Posting Date",U$9)+NL("Sum","5802 Value Entry","17 Sales Amount (Actual)","41 Source Type",$C$5,"5 Source no.",$C2159,"4 Item Ledger Entry Type",$C$4,"2 Item No.","@@"&amp;$F2159,"3 Posting Date",U$9)</t>
  </si>
  <si>
    <t>=-NL("Sum","5802 Value Entry","151 Cost Amount (Expected)","41 Source Type",$C$5,"5 Source No.",$C2159,"4 Item Ledger Entry Type",$C$4,"2 Item No.","@@"&amp;$F2159,"3 Posting Date",U$9)-NL("Sum","5802 Value Entry","43 Cost Amount (Actual)","41 Source Type",$C$5,"5 Source no.",$C2159,"4 Item Ledger Entry Type",$C$4,"2 Item No.","@@"&amp;$F2159,"3 Posting Date",U$9)</t>
  </si>
  <si>
    <t>=U2159-W2159</t>
  </si>
  <si>
    <t>=IF(U2159&lt;&gt;0,X2159/U2159,"")</t>
  </si>
  <si>
    <t>=NL("Sum","5802 Value Entry","150 Sales Amount (Expected)","41 Source Type",$C$5,"5 Source No.",$C2159,"4 Item Ledger Entry Type",$C$4,"2 Item No.","@@"&amp;$F2159,"3 Posting Date",Z$9)+NL("Sum","5802 Value Entry","17 Sales Amount (Actual)","41 Source Type",$C$5,"5 Source no.",$C2159,"4 Item Ledger Entry Type",$C$4,"2 Item No.","@@"&amp;$F2159,"3 Posting Date",Z$9)</t>
  </si>
  <si>
    <t>=-NL("Sum","5802 Value Entry","151 Cost Amount (Expected)","41 Source Type",$C$5,"5 Source No.",$C2159,"4 Item Ledger Entry Type",$C$4,"2 Item No.","@@"&amp;$F2159,"3 Posting Date",Z$9)-NL("Sum","5802 Value Entry","43 Cost Amount (Actual)","41 Source Type",$C$5,"5 Source no.",$C2159,"4 Item Ledger Entry Type",$C$4,"2 Item No.","@@"&amp;$F2159,"3 Posting Date",Z$9)</t>
  </si>
  <si>
    <t>=Z2159-AB2159</t>
  </si>
  <si>
    <t>=IF(Z2159&lt;&gt;0,AC2159/Z2159,"")</t>
  </si>
  <si>
    <t>=C2159</t>
  </si>
  <si>
    <t>=NL("Sum","5802 Value Entry","150 Sales Amount (Expected)","41 Source Type",$C$5,"5 Source No.",$C2160,"4 Item Ledger Entry Type",$C$4,"2 Item No.","@@"&amp;$F2160,"3 Posting Date",J$9)+NL("Sum","5802 Value Entry","17 Sales Amount (Actual)","41 Source Type",$C$5,"5 Source no.",$C2160,"4 Item Ledger Entry Type",$C$4,"2 Item No.","@@"&amp;$F2160,"3 Posting Date",J$9)</t>
  </si>
  <si>
    <t>=-NL("Sum","5802 Value Entry","151 Cost Amount (Expected)","41 Source Type",$C$5,"5 Source No.",$C2160,"4 Item Ledger Entry Type",$C$4,"2 Item No.","@@"&amp;$F2160,"3 Posting Date",J$9)-NL("Sum","5802 Value Entry","43 Cost Amount (Actual)","41 Source Type",$C$5,"5 Source no.",$C2160,"4 Item Ledger Entry Type",$C$4,"2 Item No.","@@"&amp;$F2160,"3 Posting Date",J$9)</t>
  </si>
  <si>
    <t>=J2160-L2160</t>
  </si>
  <si>
    <t>=IF(J2160&lt;&gt;0,M2160/J2160,"")</t>
  </si>
  <si>
    <t>=NL("Sum","5802 Value Entry","150 Sales Amount (Expected)","41 Source Type",$C$5,"5 Source No.",$C2160,"4 Item Ledger Entry Type",$C$4,"2 Item No.","@@"&amp;$F2160,"3 Posting Date",O$9)+NL("Sum","5802 Value Entry","17 Sales Amount (Actual)","41 Source Type",$C$5,"5 Source no.",$C2160,"4 Item Ledger Entry Type",$C$4,"2 Item No.","@@"&amp;$F2160,"3 Posting Date",O$9)</t>
  </si>
  <si>
    <t>=-NL("Sum","5802 Value Entry","151 Cost Amount (Expected)","41 Source Type",$C$5,"5 Source No.",$C2160,"4 Item Ledger Entry Type",$C$4,"2 Item No.","@@"&amp;$F2160,"3 Posting Date",O$9)-NL("Sum","5802 Value Entry","43 Cost Amount (Actual)","41 Source Type",$C$5,"5 Source no.",$C2160,"4 Item Ledger Entry Type",$C$4,"2 Item No.","@@"&amp;$F2160,"3 Posting Date",O$9)</t>
  </si>
  <si>
    <t>=O2160-Q2160</t>
  </si>
  <si>
    <t>=IF(O2160&lt;&gt;0,R2160/O2160,"")</t>
  </si>
  <si>
    <t>=NL("Sum","5802 Value Entry","150 Sales Amount (Expected)","41 Source Type",$C$5,"5 Source No.",$C2160,"4 Item Ledger Entry Type",$C$4,"2 Item No.","@@"&amp;$F2160,"3 Posting Date",U$9)+NL("Sum","5802 Value Entry","17 Sales Amount (Actual)","41 Source Type",$C$5,"5 Source no.",$C2160,"4 Item Ledger Entry Type",$C$4,"2 Item No.","@@"&amp;$F2160,"3 Posting Date",U$9)</t>
  </si>
  <si>
    <t>=-NL("Sum","5802 Value Entry","151 Cost Amount (Expected)","41 Source Type",$C$5,"5 Source No.",$C2160,"4 Item Ledger Entry Type",$C$4,"2 Item No.","@@"&amp;$F2160,"3 Posting Date",U$9)-NL("Sum","5802 Value Entry","43 Cost Amount (Actual)","41 Source Type",$C$5,"5 Source no.",$C2160,"4 Item Ledger Entry Type",$C$4,"2 Item No.","@@"&amp;$F2160,"3 Posting Date",U$9)</t>
  </si>
  <si>
    <t>=U2160-W2160</t>
  </si>
  <si>
    <t>=IF(U2160&lt;&gt;0,X2160/U2160,"")</t>
  </si>
  <si>
    <t>=NL("Sum","5802 Value Entry","150 Sales Amount (Expected)","41 Source Type",$C$5,"5 Source No.",$C2160,"4 Item Ledger Entry Type",$C$4,"2 Item No.","@@"&amp;$F2160,"3 Posting Date",Z$9)+NL("Sum","5802 Value Entry","17 Sales Amount (Actual)","41 Source Type",$C$5,"5 Source no.",$C2160,"4 Item Ledger Entry Type",$C$4,"2 Item No.","@@"&amp;$F2160,"3 Posting Date",Z$9)</t>
  </si>
  <si>
    <t>=-NL("Sum","5802 Value Entry","151 Cost Amount (Expected)","41 Source Type",$C$5,"5 Source No.",$C2160,"4 Item Ledger Entry Type",$C$4,"2 Item No.","@@"&amp;$F2160,"3 Posting Date",Z$9)-NL("Sum","5802 Value Entry","43 Cost Amount (Actual)","41 Source Type",$C$5,"5 Source no.",$C2160,"4 Item Ledger Entry Type",$C$4,"2 Item No.","@@"&amp;$F2160,"3 Posting Date",Z$9)</t>
  </si>
  <si>
    <t>=Z2160-AB2160</t>
  </si>
  <si>
    <t>=IF(Z2160&lt;&gt;0,AC2160/Z2160,"")</t>
  </si>
  <si>
    <t>=C2160</t>
  </si>
  <si>
    <t>=NL("Sum","5802 Value Entry","150 Sales Amount (Expected)","41 Source Type",$C$5,"5 Source No.",$C2161,"4 Item Ledger Entry Type",$C$4,"2 Item No.","@@"&amp;$F2161,"3 Posting Date",J$9)+NL("Sum","5802 Value Entry","17 Sales Amount (Actual)","41 Source Type",$C$5,"5 Source no.",$C2161,"4 Item Ledger Entry Type",$C$4,"2 Item No.","@@"&amp;$F2161,"3 Posting Date",J$9)</t>
  </si>
  <si>
    <t>=-NL("Sum","5802 Value Entry","151 Cost Amount (Expected)","41 Source Type",$C$5,"5 Source No.",$C2161,"4 Item Ledger Entry Type",$C$4,"2 Item No.","@@"&amp;$F2161,"3 Posting Date",J$9)-NL("Sum","5802 Value Entry","43 Cost Amount (Actual)","41 Source Type",$C$5,"5 Source no.",$C2161,"4 Item Ledger Entry Type",$C$4,"2 Item No.","@@"&amp;$F2161,"3 Posting Date",J$9)</t>
  </si>
  <si>
    <t>=J2161-L2161</t>
  </si>
  <si>
    <t>=IF(J2161&lt;&gt;0,M2161/J2161,"")</t>
  </si>
  <si>
    <t>=NL("Sum","5802 Value Entry","150 Sales Amount (Expected)","41 Source Type",$C$5,"5 Source No.",$C2161,"4 Item Ledger Entry Type",$C$4,"2 Item No.","@@"&amp;$F2161,"3 Posting Date",O$9)+NL("Sum","5802 Value Entry","17 Sales Amount (Actual)","41 Source Type",$C$5,"5 Source no.",$C2161,"4 Item Ledger Entry Type",$C$4,"2 Item No.","@@"&amp;$F2161,"3 Posting Date",O$9)</t>
  </si>
  <si>
    <t>=-NL("Sum","5802 Value Entry","151 Cost Amount (Expected)","41 Source Type",$C$5,"5 Source No.",$C2161,"4 Item Ledger Entry Type",$C$4,"2 Item No.","@@"&amp;$F2161,"3 Posting Date",O$9)-NL("Sum","5802 Value Entry","43 Cost Amount (Actual)","41 Source Type",$C$5,"5 Source no.",$C2161,"4 Item Ledger Entry Type",$C$4,"2 Item No.","@@"&amp;$F2161,"3 Posting Date",O$9)</t>
  </si>
  <si>
    <t>=O2161-Q2161</t>
  </si>
  <si>
    <t>=IF(O2161&lt;&gt;0,R2161/O2161,"")</t>
  </si>
  <si>
    <t>=NL("Sum","5802 Value Entry","150 Sales Amount (Expected)","41 Source Type",$C$5,"5 Source No.",$C2161,"4 Item Ledger Entry Type",$C$4,"2 Item No.","@@"&amp;$F2161,"3 Posting Date",U$9)+NL("Sum","5802 Value Entry","17 Sales Amount (Actual)","41 Source Type",$C$5,"5 Source no.",$C2161,"4 Item Ledger Entry Type",$C$4,"2 Item No.","@@"&amp;$F2161,"3 Posting Date",U$9)</t>
  </si>
  <si>
    <t>=-NL("Sum","5802 Value Entry","151 Cost Amount (Expected)","41 Source Type",$C$5,"5 Source No.",$C2161,"4 Item Ledger Entry Type",$C$4,"2 Item No.","@@"&amp;$F2161,"3 Posting Date",U$9)-NL("Sum","5802 Value Entry","43 Cost Amount (Actual)","41 Source Type",$C$5,"5 Source no.",$C2161,"4 Item Ledger Entry Type",$C$4,"2 Item No.","@@"&amp;$F2161,"3 Posting Date",U$9)</t>
  </si>
  <si>
    <t>=U2161-W2161</t>
  </si>
  <si>
    <t>=IF(U2161&lt;&gt;0,X2161/U2161,"")</t>
  </si>
  <si>
    <t>=NL("Sum","5802 Value Entry","150 Sales Amount (Expected)","41 Source Type",$C$5,"5 Source No.",$C2161,"4 Item Ledger Entry Type",$C$4,"2 Item No.","@@"&amp;$F2161,"3 Posting Date",Z$9)+NL("Sum","5802 Value Entry","17 Sales Amount (Actual)","41 Source Type",$C$5,"5 Source no.",$C2161,"4 Item Ledger Entry Type",$C$4,"2 Item No.","@@"&amp;$F2161,"3 Posting Date",Z$9)</t>
  </si>
  <si>
    <t>=-NL("Sum","5802 Value Entry","151 Cost Amount (Expected)","41 Source Type",$C$5,"5 Source No.",$C2161,"4 Item Ledger Entry Type",$C$4,"2 Item No.","@@"&amp;$F2161,"3 Posting Date",Z$9)-NL("Sum","5802 Value Entry","43 Cost Amount (Actual)","41 Source Type",$C$5,"5 Source no.",$C2161,"4 Item Ledger Entry Type",$C$4,"2 Item No.","@@"&amp;$F2161,"3 Posting Date",Z$9)</t>
  </si>
  <si>
    <t>=Z2161-AB2161</t>
  </si>
  <si>
    <t>=IF(Z2161&lt;&gt;0,AC2161/Z2161,"")</t>
  </si>
  <si>
    <t>=C2161</t>
  </si>
  <si>
    <t>=NL("Sum","5802 Value Entry","150 Sales Amount (Expected)","41 Source Type",$C$5,"5 Source No.",$C2162,"4 Item Ledger Entry Type",$C$4,"2 Item No.","@@"&amp;$F2162,"3 Posting Date",J$9)+NL("Sum","5802 Value Entry","17 Sales Amount (Actual)","41 Source Type",$C$5,"5 Source no.",$C2162,"4 Item Ledger Entry Type",$C$4,"2 Item No.","@@"&amp;$F2162,"3 Posting Date",J$9)</t>
  </si>
  <si>
    <t>=-NL("Sum","5802 Value Entry","151 Cost Amount (Expected)","41 Source Type",$C$5,"5 Source No.",$C2162,"4 Item Ledger Entry Type",$C$4,"2 Item No.","@@"&amp;$F2162,"3 Posting Date",J$9)-NL("Sum","5802 Value Entry","43 Cost Amount (Actual)","41 Source Type",$C$5,"5 Source no.",$C2162,"4 Item Ledger Entry Type",$C$4,"2 Item No.","@@"&amp;$F2162,"3 Posting Date",J$9)</t>
  </si>
  <si>
    <t>=J2162-L2162</t>
  </si>
  <si>
    <t>=IF(J2162&lt;&gt;0,M2162/J2162,"")</t>
  </si>
  <si>
    <t>=NL("Sum","5802 Value Entry","150 Sales Amount (Expected)","41 Source Type",$C$5,"5 Source No.",$C2162,"4 Item Ledger Entry Type",$C$4,"2 Item No.","@@"&amp;$F2162,"3 Posting Date",O$9)+NL("Sum","5802 Value Entry","17 Sales Amount (Actual)","41 Source Type",$C$5,"5 Source no.",$C2162,"4 Item Ledger Entry Type",$C$4,"2 Item No.","@@"&amp;$F2162,"3 Posting Date",O$9)</t>
  </si>
  <si>
    <t>=-NL("Sum","5802 Value Entry","151 Cost Amount (Expected)","41 Source Type",$C$5,"5 Source No.",$C2162,"4 Item Ledger Entry Type",$C$4,"2 Item No.","@@"&amp;$F2162,"3 Posting Date",O$9)-NL("Sum","5802 Value Entry","43 Cost Amount (Actual)","41 Source Type",$C$5,"5 Source no.",$C2162,"4 Item Ledger Entry Type",$C$4,"2 Item No.","@@"&amp;$F2162,"3 Posting Date",O$9)</t>
  </si>
  <si>
    <t>=O2162-Q2162</t>
  </si>
  <si>
    <t>=IF(O2162&lt;&gt;0,R2162/O2162,"")</t>
  </si>
  <si>
    <t>=NL("Sum","5802 Value Entry","150 Sales Amount (Expected)","41 Source Type",$C$5,"5 Source No.",$C2162,"4 Item Ledger Entry Type",$C$4,"2 Item No.","@@"&amp;$F2162,"3 Posting Date",U$9)+NL("Sum","5802 Value Entry","17 Sales Amount (Actual)","41 Source Type",$C$5,"5 Source no.",$C2162,"4 Item Ledger Entry Type",$C$4,"2 Item No.","@@"&amp;$F2162,"3 Posting Date",U$9)</t>
  </si>
  <si>
    <t>=-NL("Sum","5802 Value Entry","151 Cost Amount (Expected)","41 Source Type",$C$5,"5 Source No.",$C2162,"4 Item Ledger Entry Type",$C$4,"2 Item No.","@@"&amp;$F2162,"3 Posting Date",U$9)-NL("Sum","5802 Value Entry","43 Cost Amount (Actual)","41 Source Type",$C$5,"5 Source no.",$C2162,"4 Item Ledger Entry Type",$C$4,"2 Item No.","@@"&amp;$F2162,"3 Posting Date",U$9)</t>
  </si>
  <si>
    <t>=U2162-W2162</t>
  </si>
  <si>
    <t>=IF(U2162&lt;&gt;0,X2162/U2162,"")</t>
  </si>
  <si>
    <t>=NL("Sum","5802 Value Entry","150 Sales Amount (Expected)","41 Source Type",$C$5,"5 Source No.",$C2162,"4 Item Ledger Entry Type",$C$4,"2 Item No.","@@"&amp;$F2162,"3 Posting Date",Z$9)+NL("Sum","5802 Value Entry","17 Sales Amount (Actual)","41 Source Type",$C$5,"5 Source no.",$C2162,"4 Item Ledger Entry Type",$C$4,"2 Item No.","@@"&amp;$F2162,"3 Posting Date",Z$9)</t>
  </si>
  <si>
    <t>=-NL("Sum","5802 Value Entry","151 Cost Amount (Expected)","41 Source Type",$C$5,"5 Source No.",$C2162,"4 Item Ledger Entry Type",$C$4,"2 Item No.","@@"&amp;$F2162,"3 Posting Date",Z$9)-NL("Sum","5802 Value Entry","43 Cost Amount (Actual)","41 Source Type",$C$5,"5 Source no.",$C2162,"4 Item Ledger Entry Type",$C$4,"2 Item No.","@@"&amp;$F2162,"3 Posting Date",Z$9)</t>
  </si>
  <si>
    <t>=Z2162-AB2162</t>
  </si>
  <si>
    <t>=IF(Z2162&lt;&gt;0,AC2162/Z2162,"")</t>
  </si>
  <si>
    <t>=C2162</t>
  </si>
  <si>
    <t>=NL("Sum","5802 Value Entry","150 Sales Amount (Expected)","41 Source Type",$C$5,"5 Source No.",$C2163,"4 Item Ledger Entry Type",$C$4,"2 Item No.","@@"&amp;$F2163,"3 Posting Date",J$9)+NL("Sum","5802 Value Entry","17 Sales Amount (Actual)","41 Source Type",$C$5,"5 Source no.",$C2163,"4 Item Ledger Entry Type",$C$4,"2 Item No.","@@"&amp;$F2163,"3 Posting Date",J$9)</t>
  </si>
  <si>
    <t>=-NL("Sum","5802 Value Entry","151 Cost Amount (Expected)","41 Source Type",$C$5,"5 Source No.",$C2163,"4 Item Ledger Entry Type",$C$4,"2 Item No.","@@"&amp;$F2163,"3 Posting Date",J$9)-NL("Sum","5802 Value Entry","43 Cost Amount (Actual)","41 Source Type",$C$5,"5 Source no.",$C2163,"4 Item Ledger Entry Type",$C$4,"2 Item No.","@@"&amp;$F2163,"3 Posting Date",J$9)</t>
  </si>
  <si>
    <t>=J2163-L2163</t>
  </si>
  <si>
    <t>=IF(J2163&lt;&gt;0,M2163/J2163,"")</t>
  </si>
  <si>
    <t>=NL("Sum","5802 Value Entry","150 Sales Amount (Expected)","41 Source Type",$C$5,"5 Source No.",$C2163,"4 Item Ledger Entry Type",$C$4,"2 Item No.","@@"&amp;$F2163,"3 Posting Date",O$9)+NL("Sum","5802 Value Entry","17 Sales Amount (Actual)","41 Source Type",$C$5,"5 Source no.",$C2163,"4 Item Ledger Entry Type",$C$4,"2 Item No.","@@"&amp;$F2163,"3 Posting Date",O$9)</t>
  </si>
  <si>
    <t>=-NL("Sum","5802 Value Entry","151 Cost Amount (Expected)","41 Source Type",$C$5,"5 Source No.",$C2163,"4 Item Ledger Entry Type",$C$4,"2 Item No.","@@"&amp;$F2163,"3 Posting Date",O$9)-NL("Sum","5802 Value Entry","43 Cost Amount (Actual)","41 Source Type",$C$5,"5 Source no.",$C2163,"4 Item Ledger Entry Type",$C$4,"2 Item No.","@@"&amp;$F2163,"3 Posting Date",O$9)</t>
  </si>
  <si>
    <t>=O2163-Q2163</t>
  </si>
  <si>
    <t>=IF(O2163&lt;&gt;0,R2163/O2163,"")</t>
  </si>
  <si>
    <t>=NL("Sum","5802 Value Entry","150 Sales Amount (Expected)","41 Source Type",$C$5,"5 Source No.",$C2163,"4 Item Ledger Entry Type",$C$4,"2 Item No.","@@"&amp;$F2163,"3 Posting Date",U$9)+NL("Sum","5802 Value Entry","17 Sales Amount (Actual)","41 Source Type",$C$5,"5 Source no.",$C2163,"4 Item Ledger Entry Type",$C$4,"2 Item No.","@@"&amp;$F2163,"3 Posting Date",U$9)</t>
  </si>
  <si>
    <t>=-NL("Sum","5802 Value Entry","151 Cost Amount (Expected)","41 Source Type",$C$5,"5 Source No.",$C2163,"4 Item Ledger Entry Type",$C$4,"2 Item No.","@@"&amp;$F2163,"3 Posting Date",U$9)-NL("Sum","5802 Value Entry","43 Cost Amount (Actual)","41 Source Type",$C$5,"5 Source no.",$C2163,"4 Item Ledger Entry Type",$C$4,"2 Item No.","@@"&amp;$F2163,"3 Posting Date",U$9)</t>
  </si>
  <si>
    <t>=U2163-W2163</t>
  </si>
  <si>
    <t>=IF(U2163&lt;&gt;0,X2163/U2163,"")</t>
  </si>
  <si>
    <t>=NL("Sum","5802 Value Entry","150 Sales Amount (Expected)","41 Source Type",$C$5,"5 Source No.",$C2163,"4 Item Ledger Entry Type",$C$4,"2 Item No.","@@"&amp;$F2163,"3 Posting Date",Z$9)+NL("Sum","5802 Value Entry","17 Sales Amount (Actual)","41 Source Type",$C$5,"5 Source no.",$C2163,"4 Item Ledger Entry Type",$C$4,"2 Item No.","@@"&amp;$F2163,"3 Posting Date",Z$9)</t>
  </si>
  <si>
    <t>=-NL("Sum","5802 Value Entry","151 Cost Amount (Expected)","41 Source Type",$C$5,"5 Source No.",$C2163,"4 Item Ledger Entry Type",$C$4,"2 Item No.","@@"&amp;$F2163,"3 Posting Date",Z$9)-NL("Sum","5802 Value Entry","43 Cost Amount (Actual)","41 Source Type",$C$5,"5 Source no.",$C2163,"4 Item Ledger Entry Type",$C$4,"2 Item No.","@@"&amp;$F2163,"3 Posting Date",Z$9)</t>
  </si>
  <si>
    <t>=Z2163-AB2163</t>
  </si>
  <si>
    <t>=IF(Z2163&lt;&gt;0,AC2163/Z2163,"")</t>
  </si>
  <si>
    <t>=C2163</t>
  </si>
  <si>
    <t>=NL("Sum","5802 Value Entry","150 Sales Amount (Expected)","41 Source Type",$C$5,"5 Source No.",$C2164,"4 Item Ledger Entry Type",$C$4,"2 Item No.","@@"&amp;$F2164,"3 Posting Date",J$9)+NL("Sum","5802 Value Entry","17 Sales Amount (Actual)","41 Source Type",$C$5,"5 Source no.",$C2164,"4 Item Ledger Entry Type",$C$4,"2 Item No.","@@"&amp;$F2164,"3 Posting Date",J$9)</t>
  </si>
  <si>
    <t>=-NL("Sum","5802 Value Entry","151 Cost Amount (Expected)","41 Source Type",$C$5,"5 Source No.",$C2164,"4 Item Ledger Entry Type",$C$4,"2 Item No.","@@"&amp;$F2164,"3 Posting Date",J$9)-NL("Sum","5802 Value Entry","43 Cost Amount (Actual)","41 Source Type",$C$5,"5 Source no.",$C2164,"4 Item Ledger Entry Type",$C$4,"2 Item No.","@@"&amp;$F2164,"3 Posting Date",J$9)</t>
  </si>
  <si>
    <t>=J2164-L2164</t>
  </si>
  <si>
    <t>=IF(J2164&lt;&gt;0,M2164/J2164,"")</t>
  </si>
  <si>
    <t>=NL("Sum","5802 Value Entry","150 Sales Amount (Expected)","41 Source Type",$C$5,"5 Source No.",$C2164,"4 Item Ledger Entry Type",$C$4,"2 Item No.","@@"&amp;$F2164,"3 Posting Date",O$9)+NL("Sum","5802 Value Entry","17 Sales Amount (Actual)","41 Source Type",$C$5,"5 Source no.",$C2164,"4 Item Ledger Entry Type",$C$4,"2 Item No.","@@"&amp;$F2164,"3 Posting Date",O$9)</t>
  </si>
  <si>
    <t>=-NL("Sum","5802 Value Entry","151 Cost Amount (Expected)","41 Source Type",$C$5,"5 Source No.",$C2164,"4 Item Ledger Entry Type",$C$4,"2 Item No.","@@"&amp;$F2164,"3 Posting Date",O$9)-NL("Sum","5802 Value Entry","43 Cost Amount (Actual)","41 Source Type",$C$5,"5 Source no.",$C2164,"4 Item Ledger Entry Type",$C$4,"2 Item No.","@@"&amp;$F2164,"3 Posting Date",O$9)</t>
  </si>
  <si>
    <t>=O2164-Q2164</t>
  </si>
  <si>
    <t>=IF(O2164&lt;&gt;0,R2164/O2164,"")</t>
  </si>
  <si>
    <t>=NL("Sum","5802 Value Entry","150 Sales Amount (Expected)","41 Source Type",$C$5,"5 Source No.",$C2164,"4 Item Ledger Entry Type",$C$4,"2 Item No.","@@"&amp;$F2164,"3 Posting Date",U$9)+NL("Sum","5802 Value Entry","17 Sales Amount (Actual)","41 Source Type",$C$5,"5 Source no.",$C2164,"4 Item Ledger Entry Type",$C$4,"2 Item No.","@@"&amp;$F2164,"3 Posting Date",U$9)</t>
  </si>
  <si>
    <t>=-NL("Sum","5802 Value Entry","151 Cost Amount (Expected)","41 Source Type",$C$5,"5 Source No.",$C2164,"4 Item Ledger Entry Type",$C$4,"2 Item No.","@@"&amp;$F2164,"3 Posting Date",U$9)-NL("Sum","5802 Value Entry","43 Cost Amount (Actual)","41 Source Type",$C$5,"5 Source no.",$C2164,"4 Item Ledger Entry Type",$C$4,"2 Item No.","@@"&amp;$F2164,"3 Posting Date",U$9)</t>
  </si>
  <si>
    <t>=U2164-W2164</t>
  </si>
  <si>
    <t>=IF(U2164&lt;&gt;0,X2164/U2164,"")</t>
  </si>
  <si>
    <t>=NL("Sum","5802 Value Entry","150 Sales Amount (Expected)","41 Source Type",$C$5,"5 Source No.",$C2164,"4 Item Ledger Entry Type",$C$4,"2 Item No.","@@"&amp;$F2164,"3 Posting Date",Z$9)+NL("Sum","5802 Value Entry","17 Sales Amount (Actual)","41 Source Type",$C$5,"5 Source no.",$C2164,"4 Item Ledger Entry Type",$C$4,"2 Item No.","@@"&amp;$F2164,"3 Posting Date",Z$9)</t>
  </si>
  <si>
    <t>=-NL("Sum","5802 Value Entry","151 Cost Amount (Expected)","41 Source Type",$C$5,"5 Source No.",$C2164,"4 Item Ledger Entry Type",$C$4,"2 Item No.","@@"&amp;$F2164,"3 Posting Date",Z$9)-NL("Sum","5802 Value Entry","43 Cost Amount (Actual)","41 Source Type",$C$5,"5 Source no.",$C2164,"4 Item Ledger Entry Type",$C$4,"2 Item No.","@@"&amp;$F2164,"3 Posting Date",Z$9)</t>
  </si>
  <si>
    <t>=Z2164-AB2164</t>
  </si>
  <si>
    <t>=IF(Z2164&lt;&gt;0,AC2164/Z2164,"")</t>
  </si>
  <si>
    <t>=C2164</t>
  </si>
  <si>
    <t>=NL("Sum","5802 Value Entry","150 Sales Amount (Expected)","41 Source Type",$C$5,"5 Source No.",$C2165,"4 Item Ledger Entry Type",$C$4,"2 Item No.","@@"&amp;$F2165,"3 Posting Date",J$9)+NL("Sum","5802 Value Entry","17 Sales Amount (Actual)","41 Source Type",$C$5,"5 Source no.",$C2165,"4 Item Ledger Entry Type",$C$4,"2 Item No.","@@"&amp;$F2165,"3 Posting Date",J$9)</t>
  </si>
  <si>
    <t>=-NL("Sum","5802 Value Entry","151 Cost Amount (Expected)","41 Source Type",$C$5,"5 Source No.",$C2165,"4 Item Ledger Entry Type",$C$4,"2 Item No.","@@"&amp;$F2165,"3 Posting Date",J$9)-NL("Sum","5802 Value Entry","43 Cost Amount (Actual)","41 Source Type",$C$5,"5 Source no.",$C2165,"4 Item Ledger Entry Type",$C$4,"2 Item No.","@@"&amp;$F2165,"3 Posting Date",J$9)</t>
  </si>
  <si>
    <t>=J2165-L2165</t>
  </si>
  <si>
    <t>=IF(J2165&lt;&gt;0,M2165/J2165,"")</t>
  </si>
  <si>
    <t>=NL("Sum","5802 Value Entry","150 Sales Amount (Expected)","41 Source Type",$C$5,"5 Source No.",$C2165,"4 Item Ledger Entry Type",$C$4,"2 Item No.","@@"&amp;$F2165,"3 Posting Date",O$9)+NL("Sum","5802 Value Entry","17 Sales Amount (Actual)","41 Source Type",$C$5,"5 Source no.",$C2165,"4 Item Ledger Entry Type",$C$4,"2 Item No.","@@"&amp;$F2165,"3 Posting Date",O$9)</t>
  </si>
  <si>
    <t>=-NL("Sum","5802 Value Entry","151 Cost Amount (Expected)","41 Source Type",$C$5,"5 Source No.",$C2165,"4 Item Ledger Entry Type",$C$4,"2 Item No.","@@"&amp;$F2165,"3 Posting Date",O$9)-NL("Sum","5802 Value Entry","43 Cost Amount (Actual)","41 Source Type",$C$5,"5 Source no.",$C2165,"4 Item Ledger Entry Type",$C$4,"2 Item No.","@@"&amp;$F2165,"3 Posting Date",O$9)</t>
  </si>
  <si>
    <t>=O2165-Q2165</t>
  </si>
  <si>
    <t>=IF(O2165&lt;&gt;0,R2165/O2165,"")</t>
  </si>
  <si>
    <t>=NL("Sum","5802 Value Entry","150 Sales Amount (Expected)","41 Source Type",$C$5,"5 Source No.",$C2165,"4 Item Ledger Entry Type",$C$4,"2 Item No.","@@"&amp;$F2165,"3 Posting Date",U$9)+NL("Sum","5802 Value Entry","17 Sales Amount (Actual)","41 Source Type",$C$5,"5 Source no.",$C2165,"4 Item Ledger Entry Type",$C$4,"2 Item No.","@@"&amp;$F2165,"3 Posting Date",U$9)</t>
  </si>
  <si>
    <t>=-NL("Sum","5802 Value Entry","151 Cost Amount (Expected)","41 Source Type",$C$5,"5 Source No.",$C2165,"4 Item Ledger Entry Type",$C$4,"2 Item No.","@@"&amp;$F2165,"3 Posting Date",U$9)-NL("Sum","5802 Value Entry","43 Cost Amount (Actual)","41 Source Type",$C$5,"5 Source no.",$C2165,"4 Item Ledger Entry Type",$C$4,"2 Item No.","@@"&amp;$F2165,"3 Posting Date",U$9)</t>
  </si>
  <si>
    <t>=U2165-W2165</t>
  </si>
  <si>
    <t>=IF(U2165&lt;&gt;0,X2165/U2165,"")</t>
  </si>
  <si>
    <t>=NL("Sum","5802 Value Entry","150 Sales Amount (Expected)","41 Source Type",$C$5,"5 Source No.",$C2165,"4 Item Ledger Entry Type",$C$4,"2 Item No.","@@"&amp;$F2165,"3 Posting Date",Z$9)+NL("Sum","5802 Value Entry","17 Sales Amount (Actual)","41 Source Type",$C$5,"5 Source no.",$C2165,"4 Item Ledger Entry Type",$C$4,"2 Item No.","@@"&amp;$F2165,"3 Posting Date",Z$9)</t>
  </si>
  <si>
    <t>=-NL("Sum","5802 Value Entry","151 Cost Amount (Expected)","41 Source Type",$C$5,"5 Source No.",$C2165,"4 Item Ledger Entry Type",$C$4,"2 Item No.","@@"&amp;$F2165,"3 Posting Date",Z$9)-NL("Sum","5802 Value Entry","43 Cost Amount (Actual)","41 Source Type",$C$5,"5 Source no.",$C2165,"4 Item Ledger Entry Type",$C$4,"2 Item No.","@@"&amp;$F2165,"3 Posting Date",Z$9)</t>
  </si>
  <si>
    <t>=Z2165-AB2165</t>
  </si>
  <si>
    <t>=IF(Z2165&lt;&gt;0,AC2165/Z2165,"")</t>
  </si>
  <si>
    <t>=C2165</t>
  </si>
  <si>
    <t>=NL("Sum","5802 Value Entry","150 Sales Amount (Expected)","41 Source Type",$C$5,"5 Source No.",$C2166,"4 Item Ledger Entry Type",$C$4,"2 Item No.","@@"&amp;$F2166,"3 Posting Date",J$9)+NL("Sum","5802 Value Entry","17 Sales Amount (Actual)","41 Source Type",$C$5,"5 Source no.",$C2166,"4 Item Ledger Entry Type",$C$4,"2 Item No.","@@"&amp;$F2166,"3 Posting Date",J$9)</t>
  </si>
  <si>
    <t>=-NL("Sum","5802 Value Entry","151 Cost Amount (Expected)","41 Source Type",$C$5,"5 Source No.",$C2166,"4 Item Ledger Entry Type",$C$4,"2 Item No.","@@"&amp;$F2166,"3 Posting Date",J$9)-NL("Sum","5802 Value Entry","43 Cost Amount (Actual)","41 Source Type",$C$5,"5 Source no.",$C2166,"4 Item Ledger Entry Type",$C$4,"2 Item No.","@@"&amp;$F2166,"3 Posting Date",J$9)</t>
  </si>
  <si>
    <t>=J2166-L2166</t>
  </si>
  <si>
    <t>=IF(J2166&lt;&gt;0,M2166/J2166,"")</t>
  </si>
  <si>
    <t>=NL("Sum","5802 Value Entry","150 Sales Amount (Expected)","41 Source Type",$C$5,"5 Source No.",$C2166,"4 Item Ledger Entry Type",$C$4,"2 Item No.","@@"&amp;$F2166,"3 Posting Date",O$9)+NL("Sum","5802 Value Entry","17 Sales Amount (Actual)","41 Source Type",$C$5,"5 Source no.",$C2166,"4 Item Ledger Entry Type",$C$4,"2 Item No.","@@"&amp;$F2166,"3 Posting Date",O$9)</t>
  </si>
  <si>
    <t>=-NL("Sum","5802 Value Entry","151 Cost Amount (Expected)","41 Source Type",$C$5,"5 Source No.",$C2166,"4 Item Ledger Entry Type",$C$4,"2 Item No.","@@"&amp;$F2166,"3 Posting Date",O$9)-NL("Sum","5802 Value Entry","43 Cost Amount (Actual)","41 Source Type",$C$5,"5 Source no.",$C2166,"4 Item Ledger Entry Type",$C$4,"2 Item No.","@@"&amp;$F2166,"3 Posting Date",O$9)</t>
  </si>
  <si>
    <t>=O2166-Q2166</t>
  </si>
  <si>
    <t>=IF(O2166&lt;&gt;0,R2166/O2166,"")</t>
  </si>
  <si>
    <t>=NL("Sum","5802 Value Entry","150 Sales Amount (Expected)","41 Source Type",$C$5,"5 Source No.",$C2166,"4 Item Ledger Entry Type",$C$4,"2 Item No.","@@"&amp;$F2166,"3 Posting Date",U$9)+NL("Sum","5802 Value Entry","17 Sales Amount (Actual)","41 Source Type",$C$5,"5 Source no.",$C2166,"4 Item Ledger Entry Type",$C$4,"2 Item No.","@@"&amp;$F2166,"3 Posting Date",U$9)</t>
  </si>
  <si>
    <t>=-NL("Sum","5802 Value Entry","151 Cost Amount (Expected)","41 Source Type",$C$5,"5 Source No.",$C2166,"4 Item Ledger Entry Type",$C$4,"2 Item No.","@@"&amp;$F2166,"3 Posting Date",U$9)-NL("Sum","5802 Value Entry","43 Cost Amount (Actual)","41 Source Type",$C$5,"5 Source no.",$C2166,"4 Item Ledger Entry Type",$C$4,"2 Item No.","@@"&amp;$F2166,"3 Posting Date",U$9)</t>
  </si>
  <si>
    <t>=U2166-W2166</t>
  </si>
  <si>
    <t>=IF(U2166&lt;&gt;0,X2166/U2166,"")</t>
  </si>
  <si>
    <t>=NL("Sum","5802 Value Entry","150 Sales Amount (Expected)","41 Source Type",$C$5,"5 Source No.",$C2166,"4 Item Ledger Entry Type",$C$4,"2 Item No.","@@"&amp;$F2166,"3 Posting Date",Z$9)+NL("Sum","5802 Value Entry","17 Sales Amount (Actual)","41 Source Type",$C$5,"5 Source no.",$C2166,"4 Item Ledger Entry Type",$C$4,"2 Item No.","@@"&amp;$F2166,"3 Posting Date",Z$9)</t>
  </si>
  <si>
    <t>=-NL("Sum","5802 Value Entry","151 Cost Amount (Expected)","41 Source Type",$C$5,"5 Source No.",$C2166,"4 Item Ledger Entry Type",$C$4,"2 Item No.","@@"&amp;$F2166,"3 Posting Date",Z$9)-NL("Sum","5802 Value Entry","43 Cost Amount (Actual)","41 Source Type",$C$5,"5 Source no.",$C2166,"4 Item Ledger Entry Type",$C$4,"2 Item No.","@@"&amp;$F2166,"3 Posting Date",Z$9)</t>
  </si>
  <si>
    <t>=Z2166-AB2166</t>
  </si>
  <si>
    <t>=IF(Z2166&lt;&gt;0,AC2166/Z2166,"")</t>
  </si>
  <si>
    <t>=C2167</t>
  </si>
  <si>
    <t>=J2168-L2168</t>
  </si>
  <si>
    <t>=IF(J2168&lt;&gt;0,M2168/J2168,"")</t>
  </si>
  <si>
    <t>=O2168-Q2168</t>
  </si>
  <si>
    <t>=IF(O2168&lt;&gt;0,R2168/O2168,"")</t>
  </si>
  <si>
    <t>=U2168-W2168</t>
  </si>
  <si>
    <t>=IF(U2168&lt;&gt;0,X2168/U2168,"")</t>
  </si>
  <si>
    <t>=Z2168-AB2168</t>
  </si>
  <si>
    <t>=IF(Z2168&lt;&gt;0,AC2168/Z2168,"")</t>
  </si>
  <si>
    <t>=C2170</t>
  </si>
  <si>
    <t>=C2171</t>
  </si>
  <si>
    <t>=NL("Sum","5802 Value Entry","150 Sales Amount (Expected)","41 Source Type",$C$5,"5 Source No.",$C2172,"4 Item Ledger Entry Type",$C$4,"2 Item No.","@@"&amp;$F2172,"3 Posting Date",J$9)+NL("Sum","5802 Value Entry","17 Sales Amount (Actual)","41 Source Type",$C$5,"5 Source no.",$C2172,"4 Item Ledger Entry Type",$C$4,"2 Item No.","@@"&amp;$F2172,"3 Posting Date",J$9)</t>
  </si>
  <si>
    <t>=-NL("Sum","5802 Value Entry","151 Cost Amount (Expected)","41 Source Type",$C$5,"5 Source No.",$C2172,"4 Item Ledger Entry Type",$C$4,"2 Item No.","@@"&amp;$F2172,"3 Posting Date",J$9)-NL("Sum","5802 Value Entry","43 Cost Amount (Actual)","41 Source Type",$C$5,"5 Source no.",$C2172,"4 Item Ledger Entry Type",$C$4,"2 Item No.","@@"&amp;$F2172,"3 Posting Date",J$9)</t>
  </si>
  <si>
    <t>=J2172-L2172</t>
  </si>
  <si>
    <t>=IF(J2172&lt;&gt;0,M2172/J2172,"")</t>
  </si>
  <si>
    <t>=NL("Sum","5802 Value Entry","150 Sales Amount (Expected)","41 Source Type",$C$5,"5 Source No.",$C2172,"4 Item Ledger Entry Type",$C$4,"2 Item No.","@@"&amp;$F2172,"3 Posting Date",O$9)+NL("Sum","5802 Value Entry","17 Sales Amount (Actual)","41 Source Type",$C$5,"5 Source no.",$C2172,"4 Item Ledger Entry Type",$C$4,"2 Item No.","@@"&amp;$F2172,"3 Posting Date",O$9)</t>
  </si>
  <si>
    <t>=-NL("Sum","5802 Value Entry","151 Cost Amount (Expected)","41 Source Type",$C$5,"5 Source No.",$C2172,"4 Item Ledger Entry Type",$C$4,"2 Item No.","@@"&amp;$F2172,"3 Posting Date",O$9)-NL("Sum","5802 Value Entry","43 Cost Amount (Actual)","41 Source Type",$C$5,"5 Source no.",$C2172,"4 Item Ledger Entry Type",$C$4,"2 Item No.","@@"&amp;$F2172,"3 Posting Date",O$9)</t>
  </si>
  <si>
    <t>=O2172-Q2172</t>
  </si>
  <si>
    <t>=IF(O2172&lt;&gt;0,R2172/O2172,"")</t>
  </si>
  <si>
    <t>=NL("Sum","5802 Value Entry","150 Sales Amount (Expected)","41 Source Type",$C$5,"5 Source No.",$C2172,"4 Item Ledger Entry Type",$C$4,"2 Item No.","@@"&amp;$F2172,"3 Posting Date",U$9)+NL("Sum","5802 Value Entry","17 Sales Amount (Actual)","41 Source Type",$C$5,"5 Source no.",$C2172,"4 Item Ledger Entry Type",$C$4,"2 Item No.","@@"&amp;$F2172,"3 Posting Date",U$9)</t>
  </si>
  <si>
    <t>=-NL("Sum","5802 Value Entry","151 Cost Amount (Expected)","41 Source Type",$C$5,"5 Source No.",$C2172,"4 Item Ledger Entry Type",$C$4,"2 Item No.","@@"&amp;$F2172,"3 Posting Date",U$9)-NL("Sum","5802 Value Entry","43 Cost Amount (Actual)","41 Source Type",$C$5,"5 Source no.",$C2172,"4 Item Ledger Entry Type",$C$4,"2 Item No.","@@"&amp;$F2172,"3 Posting Date",U$9)</t>
  </si>
  <si>
    <t>=U2172-W2172</t>
  </si>
  <si>
    <t>=IF(U2172&lt;&gt;0,X2172/U2172,"")</t>
  </si>
  <si>
    <t>=NL("Sum","5802 Value Entry","150 Sales Amount (Expected)","41 Source Type",$C$5,"5 Source No.",$C2172,"4 Item Ledger Entry Type",$C$4,"2 Item No.","@@"&amp;$F2172,"3 Posting Date",Z$9)+NL("Sum","5802 Value Entry","17 Sales Amount (Actual)","41 Source Type",$C$5,"5 Source no.",$C2172,"4 Item Ledger Entry Type",$C$4,"2 Item No.","@@"&amp;$F2172,"3 Posting Date",Z$9)</t>
  </si>
  <si>
    <t>=-NL("Sum","5802 Value Entry","151 Cost Amount (Expected)","41 Source Type",$C$5,"5 Source No.",$C2172,"4 Item Ledger Entry Type",$C$4,"2 Item No.","@@"&amp;$F2172,"3 Posting Date",Z$9)-NL("Sum","5802 Value Entry","43 Cost Amount (Actual)","41 Source Type",$C$5,"5 Source no.",$C2172,"4 Item Ledger Entry Type",$C$4,"2 Item No.","@@"&amp;$F2172,"3 Posting Date",Z$9)</t>
  </si>
  <si>
    <t>=Z2172-AB2172</t>
  </si>
  <si>
    <t>=IF(Z2172&lt;&gt;0,AC2172/Z2172,"")</t>
  </si>
  <si>
    <t>=C2172</t>
  </si>
  <si>
    <t>=NL("Sum","5802 Value Entry","150 Sales Amount (Expected)","41 Source Type",$C$5,"5 Source No.",$C2173,"4 Item Ledger Entry Type",$C$4,"2 Item No.","@@"&amp;$F2173,"3 Posting Date",J$9)+NL("Sum","5802 Value Entry","17 Sales Amount (Actual)","41 Source Type",$C$5,"5 Source no.",$C2173,"4 Item Ledger Entry Type",$C$4,"2 Item No.","@@"&amp;$F2173,"3 Posting Date",J$9)</t>
  </si>
  <si>
    <t>=-NL("Sum","5802 Value Entry","151 Cost Amount (Expected)","41 Source Type",$C$5,"5 Source No.",$C2173,"4 Item Ledger Entry Type",$C$4,"2 Item No.","@@"&amp;$F2173,"3 Posting Date",J$9)-NL("Sum","5802 Value Entry","43 Cost Amount (Actual)","41 Source Type",$C$5,"5 Source no.",$C2173,"4 Item Ledger Entry Type",$C$4,"2 Item No.","@@"&amp;$F2173,"3 Posting Date",J$9)</t>
  </si>
  <si>
    <t>=J2173-L2173</t>
  </si>
  <si>
    <t>=IF(J2173&lt;&gt;0,M2173/J2173,"")</t>
  </si>
  <si>
    <t>=NL("Sum","5802 Value Entry","150 Sales Amount (Expected)","41 Source Type",$C$5,"5 Source No.",$C2173,"4 Item Ledger Entry Type",$C$4,"2 Item No.","@@"&amp;$F2173,"3 Posting Date",O$9)+NL("Sum","5802 Value Entry","17 Sales Amount (Actual)","41 Source Type",$C$5,"5 Source no.",$C2173,"4 Item Ledger Entry Type",$C$4,"2 Item No.","@@"&amp;$F2173,"3 Posting Date",O$9)</t>
  </si>
  <si>
    <t>=-NL("Sum","5802 Value Entry","151 Cost Amount (Expected)","41 Source Type",$C$5,"5 Source No.",$C2173,"4 Item Ledger Entry Type",$C$4,"2 Item No.","@@"&amp;$F2173,"3 Posting Date",O$9)-NL("Sum","5802 Value Entry","43 Cost Amount (Actual)","41 Source Type",$C$5,"5 Source no.",$C2173,"4 Item Ledger Entry Type",$C$4,"2 Item No.","@@"&amp;$F2173,"3 Posting Date",O$9)</t>
  </si>
  <si>
    <t>=O2173-Q2173</t>
  </si>
  <si>
    <t>=IF(O2173&lt;&gt;0,R2173/O2173,"")</t>
  </si>
  <si>
    <t>=NL("Sum","5802 Value Entry","150 Sales Amount (Expected)","41 Source Type",$C$5,"5 Source No.",$C2173,"4 Item Ledger Entry Type",$C$4,"2 Item No.","@@"&amp;$F2173,"3 Posting Date",U$9)+NL("Sum","5802 Value Entry","17 Sales Amount (Actual)","41 Source Type",$C$5,"5 Source no.",$C2173,"4 Item Ledger Entry Type",$C$4,"2 Item No.","@@"&amp;$F2173,"3 Posting Date",U$9)</t>
  </si>
  <si>
    <t>=-NL("Sum","5802 Value Entry","151 Cost Amount (Expected)","41 Source Type",$C$5,"5 Source No.",$C2173,"4 Item Ledger Entry Type",$C$4,"2 Item No.","@@"&amp;$F2173,"3 Posting Date",U$9)-NL("Sum","5802 Value Entry","43 Cost Amount (Actual)","41 Source Type",$C$5,"5 Source no.",$C2173,"4 Item Ledger Entry Type",$C$4,"2 Item No.","@@"&amp;$F2173,"3 Posting Date",U$9)</t>
  </si>
  <si>
    <t>=U2173-W2173</t>
  </si>
  <si>
    <t>=IF(U2173&lt;&gt;0,X2173/U2173,"")</t>
  </si>
  <si>
    <t>=NL("Sum","5802 Value Entry","150 Sales Amount (Expected)","41 Source Type",$C$5,"5 Source No.",$C2173,"4 Item Ledger Entry Type",$C$4,"2 Item No.","@@"&amp;$F2173,"3 Posting Date",Z$9)+NL("Sum","5802 Value Entry","17 Sales Amount (Actual)","41 Source Type",$C$5,"5 Source no.",$C2173,"4 Item Ledger Entry Type",$C$4,"2 Item No.","@@"&amp;$F2173,"3 Posting Date",Z$9)</t>
  </si>
  <si>
    <t>=-NL("Sum","5802 Value Entry","151 Cost Amount (Expected)","41 Source Type",$C$5,"5 Source No.",$C2173,"4 Item Ledger Entry Type",$C$4,"2 Item No.","@@"&amp;$F2173,"3 Posting Date",Z$9)-NL("Sum","5802 Value Entry","43 Cost Amount (Actual)","41 Source Type",$C$5,"5 Source no.",$C2173,"4 Item Ledger Entry Type",$C$4,"2 Item No.","@@"&amp;$F2173,"3 Posting Date",Z$9)</t>
  </si>
  <si>
    <t>=Z2173-AB2173</t>
  </si>
  <si>
    <t>=IF(Z2173&lt;&gt;0,AC2173/Z2173,"")</t>
  </si>
  <si>
    <t>=C2173</t>
  </si>
  <si>
    <t>=NL("Sum","5802 Value Entry","150 Sales Amount (Expected)","41 Source Type",$C$5,"5 Source No.",$C2174,"4 Item Ledger Entry Type",$C$4,"2 Item No.","@@"&amp;$F2174,"3 Posting Date",J$9)+NL("Sum","5802 Value Entry","17 Sales Amount (Actual)","41 Source Type",$C$5,"5 Source no.",$C2174,"4 Item Ledger Entry Type",$C$4,"2 Item No.","@@"&amp;$F2174,"3 Posting Date",J$9)</t>
  </si>
  <si>
    <t>=-NL("Sum","5802 Value Entry","151 Cost Amount (Expected)","41 Source Type",$C$5,"5 Source No.",$C2174,"4 Item Ledger Entry Type",$C$4,"2 Item No.","@@"&amp;$F2174,"3 Posting Date",J$9)-NL("Sum","5802 Value Entry","43 Cost Amount (Actual)","41 Source Type",$C$5,"5 Source no.",$C2174,"4 Item Ledger Entry Type",$C$4,"2 Item No.","@@"&amp;$F2174,"3 Posting Date",J$9)</t>
  </si>
  <si>
    <t>=J2174-L2174</t>
  </si>
  <si>
    <t>=IF(J2174&lt;&gt;0,M2174/J2174,"")</t>
  </si>
  <si>
    <t>=NL("Sum","5802 Value Entry","150 Sales Amount (Expected)","41 Source Type",$C$5,"5 Source No.",$C2174,"4 Item Ledger Entry Type",$C$4,"2 Item No.","@@"&amp;$F2174,"3 Posting Date",O$9)+NL("Sum","5802 Value Entry","17 Sales Amount (Actual)","41 Source Type",$C$5,"5 Source no.",$C2174,"4 Item Ledger Entry Type",$C$4,"2 Item No.","@@"&amp;$F2174,"3 Posting Date",O$9)</t>
  </si>
  <si>
    <t>=-NL("Sum","5802 Value Entry","151 Cost Amount (Expected)","41 Source Type",$C$5,"5 Source No.",$C2174,"4 Item Ledger Entry Type",$C$4,"2 Item No.","@@"&amp;$F2174,"3 Posting Date",O$9)-NL("Sum","5802 Value Entry","43 Cost Amount (Actual)","41 Source Type",$C$5,"5 Source no.",$C2174,"4 Item Ledger Entry Type",$C$4,"2 Item No.","@@"&amp;$F2174,"3 Posting Date",O$9)</t>
  </si>
  <si>
    <t>=O2174-Q2174</t>
  </si>
  <si>
    <t>=IF(O2174&lt;&gt;0,R2174/O2174,"")</t>
  </si>
  <si>
    <t>=NL("Sum","5802 Value Entry","150 Sales Amount (Expected)","41 Source Type",$C$5,"5 Source No.",$C2174,"4 Item Ledger Entry Type",$C$4,"2 Item No.","@@"&amp;$F2174,"3 Posting Date",U$9)+NL("Sum","5802 Value Entry","17 Sales Amount (Actual)","41 Source Type",$C$5,"5 Source no.",$C2174,"4 Item Ledger Entry Type",$C$4,"2 Item No.","@@"&amp;$F2174,"3 Posting Date",U$9)</t>
  </si>
  <si>
    <t>=-NL("Sum","5802 Value Entry","151 Cost Amount (Expected)","41 Source Type",$C$5,"5 Source No.",$C2174,"4 Item Ledger Entry Type",$C$4,"2 Item No.","@@"&amp;$F2174,"3 Posting Date",U$9)-NL("Sum","5802 Value Entry","43 Cost Amount (Actual)","41 Source Type",$C$5,"5 Source no.",$C2174,"4 Item Ledger Entry Type",$C$4,"2 Item No.","@@"&amp;$F2174,"3 Posting Date",U$9)</t>
  </si>
  <si>
    <t>=U2174-W2174</t>
  </si>
  <si>
    <t>=IF(U2174&lt;&gt;0,X2174/U2174,"")</t>
  </si>
  <si>
    <t>=NL("Sum","5802 Value Entry","150 Sales Amount (Expected)","41 Source Type",$C$5,"5 Source No.",$C2174,"4 Item Ledger Entry Type",$C$4,"2 Item No.","@@"&amp;$F2174,"3 Posting Date",Z$9)+NL("Sum","5802 Value Entry","17 Sales Amount (Actual)","41 Source Type",$C$5,"5 Source no.",$C2174,"4 Item Ledger Entry Type",$C$4,"2 Item No.","@@"&amp;$F2174,"3 Posting Date",Z$9)</t>
  </si>
  <si>
    <t>=-NL("Sum","5802 Value Entry","151 Cost Amount (Expected)","41 Source Type",$C$5,"5 Source No.",$C2174,"4 Item Ledger Entry Type",$C$4,"2 Item No.","@@"&amp;$F2174,"3 Posting Date",Z$9)-NL("Sum","5802 Value Entry","43 Cost Amount (Actual)","41 Source Type",$C$5,"5 Source no.",$C2174,"4 Item Ledger Entry Type",$C$4,"2 Item No.","@@"&amp;$F2174,"3 Posting Date",Z$9)</t>
  </si>
  <si>
    <t>=Z2174-AB2174</t>
  </si>
  <si>
    <t>=IF(Z2174&lt;&gt;0,AC2174/Z2174,"")</t>
  </si>
  <si>
    <t>=C2174</t>
  </si>
  <si>
    <t>=NL("Sum","5802 Value Entry","150 Sales Amount (Expected)","41 Source Type",$C$5,"5 Source No.",$C2175,"4 Item Ledger Entry Type",$C$4,"2 Item No.","@@"&amp;$F2175,"3 Posting Date",J$9)+NL("Sum","5802 Value Entry","17 Sales Amount (Actual)","41 Source Type",$C$5,"5 Source no.",$C2175,"4 Item Ledger Entry Type",$C$4,"2 Item No.","@@"&amp;$F2175,"3 Posting Date",J$9)</t>
  </si>
  <si>
    <t>=-NL("Sum","5802 Value Entry","151 Cost Amount (Expected)","41 Source Type",$C$5,"5 Source No.",$C2175,"4 Item Ledger Entry Type",$C$4,"2 Item No.","@@"&amp;$F2175,"3 Posting Date",J$9)-NL("Sum","5802 Value Entry","43 Cost Amount (Actual)","41 Source Type",$C$5,"5 Source no.",$C2175,"4 Item Ledger Entry Type",$C$4,"2 Item No.","@@"&amp;$F2175,"3 Posting Date",J$9)</t>
  </si>
  <si>
    <t>=J2175-L2175</t>
  </si>
  <si>
    <t>=IF(J2175&lt;&gt;0,M2175/J2175,"")</t>
  </si>
  <si>
    <t>=NL("Sum","5802 Value Entry","150 Sales Amount (Expected)","41 Source Type",$C$5,"5 Source No.",$C2175,"4 Item Ledger Entry Type",$C$4,"2 Item No.","@@"&amp;$F2175,"3 Posting Date",O$9)+NL("Sum","5802 Value Entry","17 Sales Amount (Actual)","41 Source Type",$C$5,"5 Source no.",$C2175,"4 Item Ledger Entry Type",$C$4,"2 Item No.","@@"&amp;$F2175,"3 Posting Date",O$9)</t>
  </si>
  <si>
    <t>=-NL("Sum","5802 Value Entry","151 Cost Amount (Expected)","41 Source Type",$C$5,"5 Source No.",$C2175,"4 Item Ledger Entry Type",$C$4,"2 Item No.","@@"&amp;$F2175,"3 Posting Date",O$9)-NL("Sum","5802 Value Entry","43 Cost Amount (Actual)","41 Source Type",$C$5,"5 Source no.",$C2175,"4 Item Ledger Entry Type",$C$4,"2 Item No.","@@"&amp;$F2175,"3 Posting Date",O$9)</t>
  </si>
  <si>
    <t>=O2175-Q2175</t>
  </si>
  <si>
    <t>=IF(O2175&lt;&gt;0,R2175/O2175,"")</t>
  </si>
  <si>
    <t>=NL("Sum","5802 Value Entry","150 Sales Amount (Expected)","41 Source Type",$C$5,"5 Source No.",$C2175,"4 Item Ledger Entry Type",$C$4,"2 Item No.","@@"&amp;$F2175,"3 Posting Date",U$9)+NL("Sum","5802 Value Entry","17 Sales Amount (Actual)","41 Source Type",$C$5,"5 Source no.",$C2175,"4 Item Ledger Entry Type",$C$4,"2 Item No.","@@"&amp;$F2175,"3 Posting Date",U$9)</t>
  </si>
  <si>
    <t>=-NL("Sum","5802 Value Entry","151 Cost Amount (Expected)","41 Source Type",$C$5,"5 Source No.",$C2175,"4 Item Ledger Entry Type",$C$4,"2 Item No.","@@"&amp;$F2175,"3 Posting Date",U$9)-NL("Sum","5802 Value Entry","43 Cost Amount (Actual)","41 Source Type",$C$5,"5 Source no.",$C2175,"4 Item Ledger Entry Type",$C$4,"2 Item No.","@@"&amp;$F2175,"3 Posting Date",U$9)</t>
  </si>
  <si>
    <t>=U2175-W2175</t>
  </si>
  <si>
    <t>=IF(U2175&lt;&gt;0,X2175/U2175,"")</t>
  </si>
  <si>
    <t>=NL("Sum","5802 Value Entry","150 Sales Amount (Expected)","41 Source Type",$C$5,"5 Source No.",$C2175,"4 Item Ledger Entry Type",$C$4,"2 Item No.","@@"&amp;$F2175,"3 Posting Date",Z$9)+NL("Sum","5802 Value Entry","17 Sales Amount (Actual)","41 Source Type",$C$5,"5 Source no.",$C2175,"4 Item Ledger Entry Type",$C$4,"2 Item No.","@@"&amp;$F2175,"3 Posting Date",Z$9)</t>
  </si>
  <si>
    <t>=-NL("Sum","5802 Value Entry","151 Cost Amount (Expected)","41 Source Type",$C$5,"5 Source No.",$C2175,"4 Item Ledger Entry Type",$C$4,"2 Item No.","@@"&amp;$F2175,"3 Posting Date",Z$9)-NL("Sum","5802 Value Entry","43 Cost Amount (Actual)","41 Source Type",$C$5,"5 Source no.",$C2175,"4 Item Ledger Entry Type",$C$4,"2 Item No.","@@"&amp;$F2175,"3 Posting Date",Z$9)</t>
  </si>
  <si>
    <t>=Z2175-AB2175</t>
  </si>
  <si>
    <t>=IF(Z2175&lt;&gt;0,AC2175/Z2175,"")</t>
  </si>
  <si>
    <t>=C2175</t>
  </si>
  <si>
    <t>=NL("Sum","5802 Value Entry","150 Sales Amount (Expected)","41 Source Type",$C$5,"5 Source No.",$C2176,"4 Item Ledger Entry Type",$C$4,"2 Item No.","@@"&amp;$F2176,"3 Posting Date",J$9)+NL("Sum","5802 Value Entry","17 Sales Amount (Actual)","41 Source Type",$C$5,"5 Source no.",$C2176,"4 Item Ledger Entry Type",$C$4,"2 Item No.","@@"&amp;$F2176,"3 Posting Date",J$9)</t>
  </si>
  <si>
    <t>=-NL("Sum","5802 Value Entry","151 Cost Amount (Expected)","41 Source Type",$C$5,"5 Source No.",$C2176,"4 Item Ledger Entry Type",$C$4,"2 Item No.","@@"&amp;$F2176,"3 Posting Date",J$9)-NL("Sum","5802 Value Entry","43 Cost Amount (Actual)","41 Source Type",$C$5,"5 Source no.",$C2176,"4 Item Ledger Entry Type",$C$4,"2 Item No.","@@"&amp;$F2176,"3 Posting Date",J$9)</t>
  </si>
  <si>
    <t>=J2176-L2176</t>
  </si>
  <si>
    <t>=IF(J2176&lt;&gt;0,M2176/J2176,"")</t>
  </si>
  <si>
    <t>=NL("Sum","5802 Value Entry","150 Sales Amount (Expected)","41 Source Type",$C$5,"5 Source No.",$C2176,"4 Item Ledger Entry Type",$C$4,"2 Item No.","@@"&amp;$F2176,"3 Posting Date",O$9)+NL("Sum","5802 Value Entry","17 Sales Amount (Actual)","41 Source Type",$C$5,"5 Source no.",$C2176,"4 Item Ledger Entry Type",$C$4,"2 Item No.","@@"&amp;$F2176,"3 Posting Date",O$9)</t>
  </si>
  <si>
    <t>=-NL("Sum","5802 Value Entry","151 Cost Amount (Expected)","41 Source Type",$C$5,"5 Source No.",$C2176,"4 Item Ledger Entry Type",$C$4,"2 Item No.","@@"&amp;$F2176,"3 Posting Date",O$9)-NL("Sum","5802 Value Entry","43 Cost Amount (Actual)","41 Source Type",$C$5,"5 Source no.",$C2176,"4 Item Ledger Entry Type",$C$4,"2 Item No.","@@"&amp;$F2176,"3 Posting Date",O$9)</t>
  </si>
  <si>
    <t>=O2176-Q2176</t>
  </si>
  <si>
    <t>=IF(O2176&lt;&gt;0,R2176/O2176,"")</t>
  </si>
  <si>
    <t>=NL("Sum","5802 Value Entry","150 Sales Amount (Expected)","41 Source Type",$C$5,"5 Source No.",$C2176,"4 Item Ledger Entry Type",$C$4,"2 Item No.","@@"&amp;$F2176,"3 Posting Date",U$9)+NL("Sum","5802 Value Entry","17 Sales Amount (Actual)","41 Source Type",$C$5,"5 Source no.",$C2176,"4 Item Ledger Entry Type",$C$4,"2 Item No.","@@"&amp;$F2176,"3 Posting Date",U$9)</t>
  </si>
  <si>
    <t>=-NL("Sum","5802 Value Entry","151 Cost Amount (Expected)","41 Source Type",$C$5,"5 Source No.",$C2176,"4 Item Ledger Entry Type",$C$4,"2 Item No.","@@"&amp;$F2176,"3 Posting Date",U$9)-NL("Sum","5802 Value Entry","43 Cost Amount (Actual)","41 Source Type",$C$5,"5 Source no.",$C2176,"4 Item Ledger Entry Type",$C$4,"2 Item No.","@@"&amp;$F2176,"3 Posting Date",U$9)</t>
  </si>
  <si>
    <t>=U2176-W2176</t>
  </si>
  <si>
    <t>=IF(U2176&lt;&gt;0,X2176/U2176,"")</t>
  </si>
  <si>
    <t>=NL("Sum","5802 Value Entry","150 Sales Amount (Expected)","41 Source Type",$C$5,"5 Source No.",$C2176,"4 Item Ledger Entry Type",$C$4,"2 Item No.","@@"&amp;$F2176,"3 Posting Date",Z$9)+NL("Sum","5802 Value Entry","17 Sales Amount (Actual)","41 Source Type",$C$5,"5 Source no.",$C2176,"4 Item Ledger Entry Type",$C$4,"2 Item No.","@@"&amp;$F2176,"3 Posting Date",Z$9)</t>
  </si>
  <si>
    <t>=-NL("Sum","5802 Value Entry","151 Cost Amount (Expected)","41 Source Type",$C$5,"5 Source No.",$C2176,"4 Item Ledger Entry Type",$C$4,"2 Item No.","@@"&amp;$F2176,"3 Posting Date",Z$9)-NL("Sum","5802 Value Entry","43 Cost Amount (Actual)","41 Source Type",$C$5,"5 Source no.",$C2176,"4 Item Ledger Entry Type",$C$4,"2 Item No.","@@"&amp;$F2176,"3 Posting Date",Z$9)</t>
  </si>
  <si>
    <t>=Z2176-AB2176</t>
  </si>
  <si>
    <t>=IF(Z2176&lt;&gt;0,AC2176/Z2176,"")</t>
  </si>
  <si>
    <t>=C2176</t>
  </si>
  <si>
    <t>=NL("Sum","5802 Value Entry","150 Sales Amount (Expected)","41 Source Type",$C$5,"5 Source No.",$C2177,"4 Item Ledger Entry Type",$C$4,"2 Item No.","@@"&amp;$F2177,"3 Posting Date",J$9)+NL("Sum","5802 Value Entry","17 Sales Amount (Actual)","41 Source Type",$C$5,"5 Source no.",$C2177,"4 Item Ledger Entry Type",$C$4,"2 Item No.","@@"&amp;$F2177,"3 Posting Date",J$9)</t>
  </si>
  <si>
    <t>=-NL("Sum","5802 Value Entry","151 Cost Amount (Expected)","41 Source Type",$C$5,"5 Source No.",$C2177,"4 Item Ledger Entry Type",$C$4,"2 Item No.","@@"&amp;$F2177,"3 Posting Date",J$9)-NL("Sum","5802 Value Entry","43 Cost Amount (Actual)","41 Source Type",$C$5,"5 Source no.",$C2177,"4 Item Ledger Entry Type",$C$4,"2 Item No.","@@"&amp;$F2177,"3 Posting Date",J$9)</t>
  </si>
  <si>
    <t>=J2177-L2177</t>
  </si>
  <si>
    <t>=IF(J2177&lt;&gt;0,M2177/J2177,"")</t>
  </si>
  <si>
    <t>=NL("Sum","5802 Value Entry","150 Sales Amount (Expected)","41 Source Type",$C$5,"5 Source No.",$C2177,"4 Item Ledger Entry Type",$C$4,"2 Item No.","@@"&amp;$F2177,"3 Posting Date",O$9)+NL("Sum","5802 Value Entry","17 Sales Amount (Actual)","41 Source Type",$C$5,"5 Source no.",$C2177,"4 Item Ledger Entry Type",$C$4,"2 Item No.","@@"&amp;$F2177,"3 Posting Date",O$9)</t>
  </si>
  <si>
    <t>=-NL("Sum","5802 Value Entry","151 Cost Amount (Expected)","41 Source Type",$C$5,"5 Source No.",$C2177,"4 Item Ledger Entry Type",$C$4,"2 Item No.","@@"&amp;$F2177,"3 Posting Date",O$9)-NL("Sum","5802 Value Entry","43 Cost Amount (Actual)","41 Source Type",$C$5,"5 Source no.",$C2177,"4 Item Ledger Entry Type",$C$4,"2 Item No.","@@"&amp;$F2177,"3 Posting Date",O$9)</t>
  </si>
  <si>
    <t>=O2177-Q2177</t>
  </si>
  <si>
    <t>=IF(O2177&lt;&gt;0,R2177/O2177,"")</t>
  </si>
  <si>
    <t>=NL("Sum","5802 Value Entry","150 Sales Amount (Expected)","41 Source Type",$C$5,"5 Source No.",$C2177,"4 Item Ledger Entry Type",$C$4,"2 Item No.","@@"&amp;$F2177,"3 Posting Date",U$9)+NL("Sum","5802 Value Entry","17 Sales Amount (Actual)","41 Source Type",$C$5,"5 Source no.",$C2177,"4 Item Ledger Entry Type",$C$4,"2 Item No.","@@"&amp;$F2177,"3 Posting Date",U$9)</t>
  </si>
  <si>
    <t>=-NL("Sum","5802 Value Entry","151 Cost Amount (Expected)","41 Source Type",$C$5,"5 Source No.",$C2177,"4 Item Ledger Entry Type",$C$4,"2 Item No.","@@"&amp;$F2177,"3 Posting Date",U$9)-NL("Sum","5802 Value Entry","43 Cost Amount (Actual)","41 Source Type",$C$5,"5 Source no.",$C2177,"4 Item Ledger Entry Type",$C$4,"2 Item No.","@@"&amp;$F2177,"3 Posting Date",U$9)</t>
  </si>
  <si>
    <t>=U2177-W2177</t>
  </si>
  <si>
    <t>=IF(U2177&lt;&gt;0,X2177/U2177,"")</t>
  </si>
  <si>
    <t>=NL("Sum","5802 Value Entry","150 Sales Amount (Expected)","41 Source Type",$C$5,"5 Source No.",$C2177,"4 Item Ledger Entry Type",$C$4,"2 Item No.","@@"&amp;$F2177,"3 Posting Date",Z$9)+NL("Sum","5802 Value Entry","17 Sales Amount (Actual)","41 Source Type",$C$5,"5 Source no.",$C2177,"4 Item Ledger Entry Type",$C$4,"2 Item No.","@@"&amp;$F2177,"3 Posting Date",Z$9)</t>
  </si>
  <si>
    <t>=-NL("Sum","5802 Value Entry","151 Cost Amount (Expected)","41 Source Type",$C$5,"5 Source No.",$C2177,"4 Item Ledger Entry Type",$C$4,"2 Item No.","@@"&amp;$F2177,"3 Posting Date",Z$9)-NL("Sum","5802 Value Entry","43 Cost Amount (Actual)","41 Source Type",$C$5,"5 Source no.",$C2177,"4 Item Ledger Entry Type",$C$4,"2 Item No.","@@"&amp;$F2177,"3 Posting Date",Z$9)</t>
  </si>
  <si>
    <t>=Z2177-AB2177</t>
  </si>
  <si>
    <t>=IF(Z2177&lt;&gt;0,AC2177/Z2177,"")</t>
  </si>
  <si>
    <t>=C2177</t>
  </si>
  <si>
    <t>=NL("Sum","5802 Value Entry","150 Sales Amount (Expected)","41 Source Type",$C$5,"5 Source No.",$C2178,"4 Item Ledger Entry Type",$C$4,"2 Item No.","@@"&amp;$F2178,"3 Posting Date",J$9)+NL("Sum","5802 Value Entry","17 Sales Amount (Actual)","41 Source Type",$C$5,"5 Source no.",$C2178,"4 Item Ledger Entry Type",$C$4,"2 Item No.","@@"&amp;$F2178,"3 Posting Date",J$9)</t>
  </si>
  <si>
    <t>=-NL("Sum","5802 Value Entry","151 Cost Amount (Expected)","41 Source Type",$C$5,"5 Source No.",$C2178,"4 Item Ledger Entry Type",$C$4,"2 Item No.","@@"&amp;$F2178,"3 Posting Date",J$9)-NL("Sum","5802 Value Entry","43 Cost Amount (Actual)","41 Source Type",$C$5,"5 Source no.",$C2178,"4 Item Ledger Entry Type",$C$4,"2 Item No.","@@"&amp;$F2178,"3 Posting Date",J$9)</t>
  </si>
  <si>
    <t>=J2178-L2178</t>
  </si>
  <si>
    <t>=IF(J2178&lt;&gt;0,M2178/J2178,"")</t>
  </si>
  <si>
    <t>=NL("Sum","5802 Value Entry","150 Sales Amount (Expected)","41 Source Type",$C$5,"5 Source No.",$C2178,"4 Item Ledger Entry Type",$C$4,"2 Item No.","@@"&amp;$F2178,"3 Posting Date",O$9)+NL("Sum","5802 Value Entry","17 Sales Amount (Actual)","41 Source Type",$C$5,"5 Source no.",$C2178,"4 Item Ledger Entry Type",$C$4,"2 Item No.","@@"&amp;$F2178,"3 Posting Date",O$9)</t>
  </si>
  <si>
    <t>=-NL("Sum","5802 Value Entry","151 Cost Amount (Expected)","41 Source Type",$C$5,"5 Source No.",$C2178,"4 Item Ledger Entry Type",$C$4,"2 Item No.","@@"&amp;$F2178,"3 Posting Date",O$9)-NL("Sum","5802 Value Entry","43 Cost Amount (Actual)","41 Source Type",$C$5,"5 Source no.",$C2178,"4 Item Ledger Entry Type",$C$4,"2 Item No.","@@"&amp;$F2178,"3 Posting Date",O$9)</t>
  </si>
  <si>
    <t>=O2178-Q2178</t>
  </si>
  <si>
    <t>=IF(O2178&lt;&gt;0,R2178/O2178,"")</t>
  </si>
  <si>
    <t>=NL("Sum","5802 Value Entry","150 Sales Amount (Expected)","41 Source Type",$C$5,"5 Source No.",$C2178,"4 Item Ledger Entry Type",$C$4,"2 Item No.","@@"&amp;$F2178,"3 Posting Date",U$9)+NL("Sum","5802 Value Entry","17 Sales Amount (Actual)","41 Source Type",$C$5,"5 Source no.",$C2178,"4 Item Ledger Entry Type",$C$4,"2 Item No.","@@"&amp;$F2178,"3 Posting Date",U$9)</t>
  </si>
  <si>
    <t>=-NL("Sum","5802 Value Entry","151 Cost Amount (Expected)","41 Source Type",$C$5,"5 Source No.",$C2178,"4 Item Ledger Entry Type",$C$4,"2 Item No.","@@"&amp;$F2178,"3 Posting Date",U$9)-NL("Sum","5802 Value Entry","43 Cost Amount (Actual)","41 Source Type",$C$5,"5 Source no.",$C2178,"4 Item Ledger Entry Type",$C$4,"2 Item No.","@@"&amp;$F2178,"3 Posting Date",U$9)</t>
  </si>
  <si>
    <t>=U2178-W2178</t>
  </si>
  <si>
    <t>=IF(U2178&lt;&gt;0,X2178/U2178,"")</t>
  </si>
  <si>
    <t>=NL("Sum","5802 Value Entry","150 Sales Amount (Expected)","41 Source Type",$C$5,"5 Source No.",$C2178,"4 Item Ledger Entry Type",$C$4,"2 Item No.","@@"&amp;$F2178,"3 Posting Date",Z$9)+NL("Sum","5802 Value Entry","17 Sales Amount (Actual)","41 Source Type",$C$5,"5 Source no.",$C2178,"4 Item Ledger Entry Type",$C$4,"2 Item No.","@@"&amp;$F2178,"3 Posting Date",Z$9)</t>
  </si>
  <si>
    <t>=-NL("Sum","5802 Value Entry","151 Cost Amount (Expected)","41 Source Type",$C$5,"5 Source No.",$C2178,"4 Item Ledger Entry Type",$C$4,"2 Item No.","@@"&amp;$F2178,"3 Posting Date",Z$9)-NL("Sum","5802 Value Entry","43 Cost Amount (Actual)","41 Source Type",$C$5,"5 Source no.",$C2178,"4 Item Ledger Entry Type",$C$4,"2 Item No.","@@"&amp;$F2178,"3 Posting Date",Z$9)</t>
  </si>
  <si>
    <t>=Z2178-AB2178</t>
  </si>
  <si>
    <t>=IF(Z2178&lt;&gt;0,AC2178/Z2178,"")</t>
  </si>
  <si>
    <t>=C2179</t>
  </si>
  <si>
    <t>=J2180-L2180</t>
  </si>
  <si>
    <t>=IF(J2180&lt;&gt;0,M2180/J2180,"")</t>
  </si>
  <si>
    <t>=O2180-Q2180</t>
  </si>
  <si>
    <t>=IF(O2180&lt;&gt;0,R2180/O2180,"")</t>
  </si>
  <si>
    <t>=U2180-W2180</t>
  </si>
  <si>
    <t>=IF(U2180&lt;&gt;0,X2180/U2180,"")</t>
  </si>
  <si>
    <t>=Z2180-AB2180</t>
  </si>
  <si>
    <t>=IF(Z2180&lt;&gt;0,AC2180/Z2180,"")</t>
  </si>
  <si>
    <t>=C2182</t>
  </si>
  <si>
    <t>=C2183</t>
  </si>
  <si>
    <t>=NL("Sum","5802 Value Entry","150 Sales Amount (Expected)","41 Source Type",$C$5,"5 Source No.",$C2184,"4 Item Ledger Entry Type",$C$4,"2 Item No.","@@"&amp;$F2184,"3 Posting Date",J$9)+NL("Sum","5802 Value Entry","17 Sales Amount (Actual)","41 Source Type",$C$5,"5 Source no.",$C2184,"4 Item Ledger Entry Type",$C$4,"2 Item No.","@@"&amp;$F2184,"3 Posting Date",J$9)</t>
  </si>
  <si>
    <t>=-NL("Sum","5802 Value Entry","151 Cost Amount (Expected)","41 Source Type",$C$5,"5 Source No.",$C2184,"4 Item Ledger Entry Type",$C$4,"2 Item No.","@@"&amp;$F2184,"3 Posting Date",J$9)-NL("Sum","5802 Value Entry","43 Cost Amount (Actual)","41 Source Type",$C$5,"5 Source no.",$C2184,"4 Item Ledger Entry Type",$C$4,"2 Item No.","@@"&amp;$F2184,"3 Posting Date",J$9)</t>
  </si>
  <si>
    <t>=J2184-L2184</t>
  </si>
  <si>
    <t>=IF(J2184&lt;&gt;0,M2184/J2184,"")</t>
  </si>
  <si>
    <t>=NL("Sum","5802 Value Entry","150 Sales Amount (Expected)","41 Source Type",$C$5,"5 Source No.",$C2184,"4 Item Ledger Entry Type",$C$4,"2 Item No.","@@"&amp;$F2184,"3 Posting Date",O$9)+NL("Sum","5802 Value Entry","17 Sales Amount (Actual)","41 Source Type",$C$5,"5 Source no.",$C2184,"4 Item Ledger Entry Type",$C$4,"2 Item No.","@@"&amp;$F2184,"3 Posting Date",O$9)</t>
  </si>
  <si>
    <t>=-NL("Sum","5802 Value Entry","151 Cost Amount (Expected)","41 Source Type",$C$5,"5 Source No.",$C2184,"4 Item Ledger Entry Type",$C$4,"2 Item No.","@@"&amp;$F2184,"3 Posting Date",O$9)-NL("Sum","5802 Value Entry","43 Cost Amount (Actual)","41 Source Type",$C$5,"5 Source no.",$C2184,"4 Item Ledger Entry Type",$C$4,"2 Item No.","@@"&amp;$F2184,"3 Posting Date",O$9)</t>
  </si>
  <si>
    <t>=O2184-Q2184</t>
  </si>
  <si>
    <t>=IF(O2184&lt;&gt;0,R2184/O2184,"")</t>
  </si>
  <si>
    <t>=NL("Sum","5802 Value Entry","150 Sales Amount (Expected)","41 Source Type",$C$5,"5 Source No.",$C2184,"4 Item Ledger Entry Type",$C$4,"2 Item No.","@@"&amp;$F2184,"3 Posting Date",U$9)+NL("Sum","5802 Value Entry","17 Sales Amount (Actual)","41 Source Type",$C$5,"5 Source no.",$C2184,"4 Item Ledger Entry Type",$C$4,"2 Item No.","@@"&amp;$F2184,"3 Posting Date",U$9)</t>
  </si>
  <si>
    <t>=-NL("Sum","5802 Value Entry","151 Cost Amount (Expected)","41 Source Type",$C$5,"5 Source No.",$C2184,"4 Item Ledger Entry Type",$C$4,"2 Item No.","@@"&amp;$F2184,"3 Posting Date",U$9)-NL("Sum","5802 Value Entry","43 Cost Amount (Actual)","41 Source Type",$C$5,"5 Source no.",$C2184,"4 Item Ledger Entry Type",$C$4,"2 Item No.","@@"&amp;$F2184,"3 Posting Date",U$9)</t>
  </si>
  <si>
    <t>=U2184-W2184</t>
  </si>
  <si>
    <t>=IF(U2184&lt;&gt;0,X2184/U2184,"")</t>
  </si>
  <si>
    <t>=NL("Sum","5802 Value Entry","150 Sales Amount (Expected)","41 Source Type",$C$5,"5 Source No.",$C2184,"4 Item Ledger Entry Type",$C$4,"2 Item No.","@@"&amp;$F2184,"3 Posting Date",Z$9)+NL("Sum","5802 Value Entry","17 Sales Amount (Actual)","41 Source Type",$C$5,"5 Source no.",$C2184,"4 Item Ledger Entry Type",$C$4,"2 Item No.","@@"&amp;$F2184,"3 Posting Date",Z$9)</t>
  </si>
  <si>
    <t>=-NL("Sum","5802 Value Entry","151 Cost Amount (Expected)","41 Source Type",$C$5,"5 Source No.",$C2184,"4 Item Ledger Entry Type",$C$4,"2 Item No.","@@"&amp;$F2184,"3 Posting Date",Z$9)-NL("Sum","5802 Value Entry","43 Cost Amount (Actual)","41 Source Type",$C$5,"5 Source no.",$C2184,"4 Item Ledger Entry Type",$C$4,"2 Item No.","@@"&amp;$F2184,"3 Posting Date",Z$9)</t>
  </si>
  <si>
    <t>=Z2184-AB2184</t>
  </si>
  <si>
    <t>=IF(Z2184&lt;&gt;0,AC2184/Z2184,"")</t>
  </si>
  <si>
    <t>=C2184</t>
  </si>
  <si>
    <t>=NL("Sum","5802 Value Entry","150 Sales Amount (Expected)","41 Source Type",$C$5,"5 Source No.",$C2185,"4 Item Ledger Entry Type",$C$4,"2 Item No.","@@"&amp;$F2185,"3 Posting Date",J$9)+NL("Sum","5802 Value Entry","17 Sales Amount (Actual)","41 Source Type",$C$5,"5 Source no.",$C2185,"4 Item Ledger Entry Type",$C$4,"2 Item No.","@@"&amp;$F2185,"3 Posting Date",J$9)</t>
  </si>
  <si>
    <t>=-NL("Sum","5802 Value Entry","151 Cost Amount (Expected)","41 Source Type",$C$5,"5 Source No.",$C2185,"4 Item Ledger Entry Type",$C$4,"2 Item No.","@@"&amp;$F2185,"3 Posting Date",J$9)-NL("Sum","5802 Value Entry","43 Cost Amount (Actual)","41 Source Type",$C$5,"5 Source no.",$C2185,"4 Item Ledger Entry Type",$C$4,"2 Item No.","@@"&amp;$F2185,"3 Posting Date",J$9)</t>
  </si>
  <si>
    <t>=J2185-L2185</t>
  </si>
  <si>
    <t>=IF(J2185&lt;&gt;0,M2185/J2185,"")</t>
  </si>
  <si>
    <t>=NL("Sum","5802 Value Entry","150 Sales Amount (Expected)","41 Source Type",$C$5,"5 Source No.",$C2185,"4 Item Ledger Entry Type",$C$4,"2 Item No.","@@"&amp;$F2185,"3 Posting Date",O$9)+NL("Sum","5802 Value Entry","17 Sales Amount (Actual)","41 Source Type",$C$5,"5 Source no.",$C2185,"4 Item Ledger Entry Type",$C$4,"2 Item No.","@@"&amp;$F2185,"3 Posting Date",O$9)</t>
  </si>
  <si>
    <t>=-NL("Sum","5802 Value Entry","151 Cost Amount (Expected)","41 Source Type",$C$5,"5 Source No.",$C2185,"4 Item Ledger Entry Type",$C$4,"2 Item No.","@@"&amp;$F2185,"3 Posting Date",O$9)-NL("Sum","5802 Value Entry","43 Cost Amount (Actual)","41 Source Type",$C$5,"5 Source no.",$C2185,"4 Item Ledger Entry Type",$C$4,"2 Item No.","@@"&amp;$F2185,"3 Posting Date",O$9)</t>
  </si>
  <si>
    <t>=O2185-Q2185</t>
  </si>
  <si>
    <t>=IF(O2185&lt;&gt;0,R2185/O2185,"")</t>
  </si>
  <si>
    <t>=NL("Sum","5802 Value Entry","150 Sales Amount (Expected)","41 Source Type",$C$5,"5 Source No.",$C2185,"4 Item Ledger Entry Type",$C$4,"2 Item No.","@@"&amp;$F2185,"3 Posting Date",U$9)+NL("Sum","5802 Value Entry","17 Sales Amount (Actual)","41 Source Type",$C$5,"5 Source no.",$C2185,"4 Item Ledger Entry Type",$C$4,"2 Item No.","@@"&amp;$F2185,"3 Posting Date",U$9)</t>
  </si>
  <si>
    <t>=-NL("Sum","5802 Value Entry","151 Cost Amount (Expected)","41 Source Type",$C$5,"5 Source No.",$C2185,"4 Item Ledger Entry Type",$C$4,"2 Item No.","@@"&amp;$F2185,"3 Posting Date",U$9)-NL("Sum","5802 Value Entry","43 Cost Amount (Actual)","41 Source Type",$C$5,"5 Source no.",$C2185,"4 Item Ledger Entry Type",$C$4,"2 Item No.","@@"&amp;$F2185,"3 Posting Date",U$9)</t>
  </si>
  <si>
    <t>=U2185-W2185</t>
  </si>
  <si>
    <t>=IF(U2185&lt;&gt;0,X2185/U2185,"")</t>
  </si>
  <si>
    <t>=NL("Sum","5802 Value Entry","150 Sales Amount (Expected)","41 Source Type",$C$5,"5 Source No.",$C2185,"4 Item Ledger Entry Type",$C$4,"2 Item No.","@@"&amp;$F2185,"3 Posting Date",Z$9)+NL("Sum","5802 Value Entry","17 Sales Amount (Actual)","41 Source Type",$C$5,"5 Source no.",$C2185,"4 Item Ledger Entry Type",$C$4,"2 Item No.","@@"&amp;$F2185,"3 Posting Date",Z$9)</t>
  </si>
  <si>
    <t>=-NL("Sum","5802 Value Entry","151 Cost Amount (Expected)","41 Source Type",$C$5,"5 Source No.",$C2185,"4 Item Ledger Entry Type",$C$4,"2 Item No.","@@"&amp;$F2185,"3 Posting Date",Z$9)-NL("Sum","5802 Value Entry","43 Cost Amount (Actual)","41 Source Type",$C$5,"5 Source no.",$C2185,"4 Item Ledger Entry Type",$C$4,"2 Item No.","@@"&amp;$F2185,"3 Posting Date",Z$9)</t>
  </si>
  <si>
    <t>=Z2185-AB2185</t>
  </si>
  <si>
    <t>=IF(Z2185&lt;&gt;0,AC2185/Z2185,"")</t>
  </si>
  <si>
    <t>=C2185</t>
  </si>
  <si>
    <t>=NL("Sum","5802 Value Entry","150 Sales Amount (Expected)","41 Source Type",$C$5,"5 Source No.",$C2186,"4 Item Ledger Entry Type",$C$4,"2 Item No.","@@"&amp;$F2186,"3 Posting Date",J$9)+NL("Sum","5802 Value Entry","17 Sales Amount (Actual)","41 Source Type",$C$5,"5 Source no.",$C2186,"4 Item Ledger Entry Type",$C$4,"2 Item No.","@@"&amp;$F2186,"3 Posting Date",J$9)</t>
  </si>
  <si>
    <t>=-NL("Sum","5802 Value Entry","151 Cost Amount (Expected)","41 Source Type",$C$5,"5 Source No.",$C2186,"4 Item Ledger Entry Type",$C$4,"2 Item No.","@@"&amp;$F2186,"3 Posting Date",J$9)-NL("Sum","5802 Value Entry","43 Cost Amount (Actual)","41 Source Type",$C$5,"5 Source no.",$C2186,"4 Item Ledger Entry Type",$C$4,"2 Item No.","@@"&amp;$F2186,"3 Posting Date",J$9)</t>
  </si>
  <si>
    <t>=J2186-L2186</t>
  </si>
  <si>
    <t>=IF(J2186&lt;&gt;0,M2186/J2186,"")</t>
  </si>
  <si>
    <t>=NL("Sum","5802 Value Entry","150 Sales Amount (Expected)","41 Source Type",$C$5,"5 Source No.",$C2186,"4 Item Ledger Entry Type",$C$4,"2 Item No.","@@"&amp;$F2186,"3 Posting Date",O$9)+NL("Sum","5802 Value Entry","17 Sales Amount (Actual)","41 Source Type",$C$5,"5 Source no.",$C2186,"4 Item Ledger Entry Type",$C$4,"2 Item No.","@@"&amp;$F2186,"3 Posting Date",O$9)</t>
  </si>
  <si>
    <t>=-NL("Sum","5802 Value Entry","151 Cost Amount (Expected)","41 Source Type",$C$5,"5 Source No.",$C2186,"4 Item Ledger Entry Type",$C$4,"2 Item No.","@@"&amp;$F2186,"3 Posting Date",O$9)-NL("Sum","5802 Value Entry","43 Cost Amount (Actual)","41 Source Type",$C$5,"5 Source no.",$C2186,"4 Item Ledger Entry Type",$C$4,"2 Item No.","@@"&amp;$F2186,"3 Posting Date",O$9)</t>
  </si>
  <si>
    <t>=O2186-Q2186</t>
  </si>
  <si>
    <t>=IF(O2186&lt;&gt;0,R2186/O2186,"")</t>
  </si>
  <si>
    <t>=NL("Sum","5802 Value Entry","150 Sales Amount (Expected)","41 Source Type",$C$5,"5 Source No.",$C2186,"4 Item Ledger Entry Type",$C$4,"2 Item No.","@@"&amp;$F2186,"3 Posting Date",U$9)+NL("Sum","5802 Value Entry","17 Sales Amount (Actual)","41 Source Type",$C$5,"5 Source no.",$C2186,"4 Item Ledger Entry Type",$C$4,"2 Item No.","@@"&amp;$F2186,"3 Posting Date",U$9)</t>
  </si>
  <si>
    <t>=-NL("Sum","5802 Value Entry","151 Cost Amount (Expected)","41 Source Type",$C$5,"5 Source No.",$C2186,"4 Item Ledger Entry Type",$C$4,"2 Item No.","@@"&amp;$F2186,"3 Posting Date",U$9)-NL("Sum","5802 Value Entry","43 Cost Amount (Actual)","41 Source Type",$C$5,"5 Source no.",$C2186,"4 Item Ledger Entry Type",$C$4,"2 Item No.","@@"&amp;$F2186,"3 Posting Date",U$9)</t>
  </si>
  <si>
    <t>=U2186-W2186</t>
  </si>
  <si>
    <t>=IF(U2186&lt;&gt;0,X2186/U2186,"")</t>
  </si>
  <si>
    <t>=NL("Sum","5802 Value Entry","150 Sales Amount (Expected)","41 Source Type",$C$5,"5 Source No.",$C2186,"4 Item Ledger Entry Type",$C$4,"2 Item No.","@@"&amp;$F2186,"3 Posting Date",Z$9)+NL("Sum","5802 Value Entry","17 Sales Amount (Actual)","41 Source Type",$C$5,"5 Source no.",$C2186,"4 Item Ledger Entry Type",$C$4,"2 Item No.","@@"&amp;$F2186,"3 Posting Date",Z$9)</t>
  </si>
  <si>
    <t>=-NL("Sum","5802 Value Entry","151 Cost Amount (Expected)","41 Source Type",$C$5,"5 Source No.",$C2186,"4 Item Ledger Entry Type",$C$4,"2 Item No.","@@"&amp;$F2186,"3 Posting Date",Z$9)-NL("Sum","5802 Value Entry","43 Cost Amount (Actual)","41 Source Type",$C$5,"5 Source no.",$C2186,"4 Item Ledger Entry Type",$C$4,"2 Item No.","@@"&amp;$F2186,"3 Posting Date",Z$9)</t>
  </si>
  <si>
    <t>=Z2186-AB2186</t>
  </si>
  <si>
    <t>=IF(Z2186&lt;&gt;0,AC2186/Z2186,"")</t>
  </si>
  <si>
    <t>=C2186</t>
  </si>
  <si>
    <t>=NL("Sum","5802 Value Entry","150 Sales Amount (Expected)","41 Source Type",$C$5,"5 Source No.",$C2187,"4 Item Ledger Entry Type",$C$4,"2 Item No.","@@"&amp;$F2187,"3 Posting Date",J$9)+NL("Sum","5802 Value Entry","17 Sales Amount (Actual)","41 Source Type",$C$5,"5 Source no.",$C2187,"4 Item Ledger Entry Type",$C$4,"2 Item No.","@@"&amp;$F2187,"3 Posting Date",J$9)</t>
  </si>
  <si>
    <t>=-NL("Sum","5802 Value Entry","151 Cost Amount (Expected)","41 Source Type",$C$5,"5 Source No.",$C2187,"4 Item Ledger Entry Type",$C$4,"2 Item No.","@@"&amp;$F2187,"3 Posting Date",J$9)-NL("Sum","5802 Value Entry","43 Cost Amount (Actual)","41 Source Type",$C$5,"5 Source no.",$C2187,"4 Item Ledger Entry Type",$C$4,"2 Item No.","@@"&amp;$F2187,"3 Posting Date",J$9)</t>
  </si>
  <si>
    <t>=J2187-L2187</t>
  </si>
  <si>
    <t>=IF(J2187&lt;&gt;0,M2187/J2187,"")</t>
  </si>
  <si>
    <t>=NL("Sum","5802 Value Entry","150 Sales Amount (Expected)","41 Source Type",$C$5,"5 Source No.",$C2187,"4 Item Ledger Entry Type",$C$4,"2 Item No.","@@"&amp;$F2187,"3 Posting Date",O$9)+NL("Sum","5802 Value Entry","17 Sales Amount (Actual)","41 Source Type",$C$5,"5 Source no.",$C2187,"4 Item Ledger Entry Type",$C$4,"2 Item No.","@@"&amp;$F2187,"3 Posting Date",O$9)</t>
  </si>
  <si>
    <t>=-NL("Sum","5802 Value Entry","151 Cost Amount (Expected)","41 Source Type",$C$5,"5 Source No.",$C2187,"4 Item Ledger Entry Type",$C$4,"2 Item No.","@@"&amp;$F2187,"3 Posting Date",O$9)-NL("Sum","5802 Value Entry","43 Cost Amount (Actual)","41 Source Type",$C$5,"5 Source no.",$C2187,"4 Item Ledger Entry Type",$C$4,"2 Item No.","@@"&amp;$F2187,"3 Posting Date",O$9)</t>
  </si>
  <si>
    <t>=O2187-Q2187</t>
  </si>
  <si>
    <t>=IF(O2187&lt;&gt;0,R2187/O2187,"")</t>
  </si>
  <si>
    <t>=NL("Sum","5802 Value Entry","150 Sales Amount (Expected)","41 Source Type",$C$5,"5 Source No.",$C2187,"4 Item Ledger Entry Type",$C$4,"2 Item No.","@@"&amp;$F2187,"3 Posting Date",U$9)+NL("Sum","5802 Value Entry","17 Sales Amount (Actual)","41 Source Type",$C$5,"5 Source no.",$C2187,"4 Item Ledger Entry Type",$C$4,"2 Item No.","@@"&amp;$F2187,"3 Posting Date",U$9)</t>
  </si>
  <si>
    <t>=-NL("Sum","5802 Value Entry","151 Cost Amount (Expected)","41 Source Type",$C$5,"5 Source No.",$C2187,"4 Item Ledger Entry Type",$C$4,"2 Item No.","@@"&amp;$F2187,"3 Posting Date",U$9)-NL("Sum","5802 Value Entry","43 Cost Amount (Actual)","41 Source Type",$C$5,"5 Source no.",$C2187,"4 Item Ledger Entry Type",$C$4,"2 Item No.","@@"&amp;$F2187,"3 Posting Date",U$9)</t>
  </si>
  <si>
    <t>=U2187-W2187</t>
  </si>
  <si>
    <t>=IF(U2187&lt;&gt;0,X2187/U2187,"")</t>
  </si>
  <si>
    <t>=NL("Sum","5802 Value Entry","150 Sales Amount (Expected)","41 Source Type",$C$5,"5 Source No.",$C2187,"4 Item Ledger Entry Type",$C$4,"2 Item No.","@@"&amp;$F2187,"3 Posting Date",Z$9)+NL("Sum","5802 Value Entry","17 Sales Amount (Actual)","41 Source Type",$C$5,"5 Source no.",$C2187,"4 Item Ledger Entry Type",$C$4,"2 Item No.","@@"&amp;$F2187,"3 Posting Date",Z$9)</t>
  </si>
  <si>
    <t>=-NL("Sum","5802 Value Entry","151 Cost Amount (Expected)","41 Source Type",$C$5,"5 Source No.",$C2187,"4 Item Ledger Entry Type",$C$4,"2 Item No.","@@"&amp;$F2187,"3 Posting Date",Z$9)-NL("Sum","5802 Value Entry","43 Cost Amount (Actual)","41 Source Type",$C$5,"5 Source no.",$C2187,"4 Item Ledger Entry Type",$C$4,"2 Item No.","@@"&amp;$F2187,"3 Posting Date",Z$9)</t>
  </si>
  <si>
    <t>=Z2187-AB2187</t>
  </si>
  <si>
    <t>=IF(Z2187&lt;&gt;0,AC2187/Z2187,"")</t>
  </si>
  <si>
    <t>=C2187</t>
  </si>
  <si>
    <t>=NL("Sum","5802 Value Entry","150 Sales Amount (Expected)","41 Source Type",$C$5,"5 Source No.",$C2188,"4 Item Ledger Entry Type",$C$4,"2 Item No.","@@"&amp;$F2188,"3 Posting Date",J$9)+NL("Sum","5802 Value Entry","17 Sales Amount (Actual)","41 Source Type",$C$5,"5 Source no.",$C2188,"4 Item Ledger Entry Type",$C$4,"2 Item No.","@@"&amp;$F2188,"3 Posting Date",J$9)</t>
  </si>
  <si>
    <t>=-NL("Sum","5802 Value Entry","151 Cost Amount (Expected)","41 Source Type",$C$5,"5 Source No.",$C2188,"4 Item Ledger Entry Type",$C$4,"2 Item No.","@@"&amp;$F2188,"3 Posting Date",J$9)-NL("Sum","5802 Value Entry","43 Cost Amount (Actual)","41 Source Type",$C$5,"5 Source no.",$C2188,"4 Item Ledger Entry Type",$C$4,"2 Item No.","@@"&amp;$F2188,"3 Posting Date",J$9)</t>
  </si>
  <si>
    <t>=J2188-L2188</t>
  </si>
  <si>
    <t>=IF(J2188&lt;&gt;0,M2188/J2188,"")</t>
  </si>
  <si>
    <t>=NL("Sum","5802 Value Entry","150 Sales Amount (Expected)","41 Source Type",$C$5,"5 Source No.",$C2188,"4 Item Ledger Entry Type",$C$4,"2 Item No.","@@"&amp;$F2188,"3 Posting Date",O$9)+NL("Sum","5802 Value Entry","17 Sales Amount (Actual)","41 Source Type",$C$5,"5 Source no.",$C2188,"4 Item Ledger Entry Type",$C$4,"2 Item No.","@@"&amp;$F2188,"3 Posting Date",O$9)</t>
  </si>
  <si>
    <t>=-NL("Sum","5802 Value Entry","151 Cost Amount (Expected)","41 Source Type",$C$5,"5 Source No.",$C2188,"4 Item Ledger Entry Type",$C$4,"2 Item No.","@@"&amp;$F2188,"3 Posting Date",O$9)-NL("Sum","5802 Value Entry","43 Cost Amount (Actual)","41 Source Type",$C$5,"5 Source no.",$C2188,"4 Item Ledger Entry Type",$C$4,"2 Item No.","@@"&amp;$F2188,"3 Posting Date",O$9)</t>
  </si>
  <si>
    <t>=O2188-Q2188</t>
  </si>
  <si>
    <t>=IF(O2188&lt;&gt;0,R2188/O2188,"")</t>
  </si>
  <si>
    <t>=NL("Sum","5802 Value Entry","150 Sales Amount (Expected)","41 Source Type",$C$5,"5 Source No.",$C2188,"4 Item Ledger Entry Type",$C$4,"2 Item No.","@@"&amp;$F2188,"3 Posting Date",U$9)+NL("Sum","5802 Value Entry","17 Sales Amount (Actual)","41 Source Type",$C$5,"5 Source no.",$C2188,"4 Item Ledger Entry Type",$C$4,"2 Item No.","@@"&amp;$F2188,"3 Posting Date",U$9)</t>
  </si>
  <si>
    <t>=-NL("Sum","5802 Value Entry","151 Cost Amount (Expected)","41 Source Type",$C$5,"5 Source No.",$C2188,"4 Item Ledger Entry Type",$C$4,"2 Item No.","@@"&amp;$F2188,"3 Posting Date",U$9)-NL("Sum","5802 Value Entry","43 Cost Amount (Actual)","41 Source Type",$C$5,"5 Source no.",$C2188,"4 Item Ledger Entry Type",$C$4,"2 Item No.","@@"&amp;$F2188,"3 Posting Date",U$9)</t>
  </si>
  <si>
    <t>=U2188-W2188</t>
  </si>
  <si>
    <t>=IF(U2188&lt;&gt;0,X2188/U2188,"")</t>
  </si>
  <si>
    <t>=NL("Sum","5802 Value Entry","150 Sales Amount (Expected)","41 Source Type",$C$5,"5 Source No.",$C2188,"4 Item Ledger Entry Type",$C$4,"2 Item No.","@@"&amp;$F2188,"3 Posting Date",Z$9)+NL("Sum","5802 Value Entry","17 Sales Amount (Actual)","41 Source Type",$C$5,"5 Source no.",$C2188,"4 Item Ledger Entry Type",$C$4,"2 Item No.","@@"&amp;$F2188,"3 Posting Date",Z$9)</t>
  </si>
  <si>
    <t>=-NL("Sum","5802 Value Entry","151 Cost Amount (Expected)","41 Source Type",$C$5,"5 Source No.",$C2188,"4 Item Ledger Entry Type",$C$4,"2 Item No.","@@"&amp;$F2188,"3 Posting Date",Z$9)-NL("Sum","5802 Value Entry","43 Cost Amount (Actual)","41 Source Type",$C$5,"5 Source no.",$C2188,"4 Item Ledger Entry Type",$C$4,"2 Item No.","@@"&amp;$F2188,"3 Posting Date",Z$9)</t>
  </si>
  <si>
    <t>=Z2188-AB2188</t>
  </si>
  <si>
    <t>=IF(Z2188&lt;&gt;0,AC2188/Z2188,"")</t>
  </si>
  <si>
    <t>=C2188</t>
  </si>
  <si>
    <t>=NL("Sum","5802 Value Entry","150 Sales Amount (Expected)","41 Source Type",$C$5,"5 Source No.",$C2189,"4 Item Ledger Entry Type",$C$4,"2 Item No.","@@"&amp;$F2189,"3 Posting Date",J$9)+NL("Sum","5802 Value Entry","17 Sales Amount (Actual)","41 Source Type",$C$5,"5 Source no.",$C2189,"4 Item Ledger Entry Type",$C$4,"2 Item No.","@@"&amp;$F2189,"3 Posting Date",J$9)</t>
  </si>
  <si>
    <t>=-NL("Sum","5802 Value Entry","151 Cost Amount (Expected)","41 Source Type",$C$5,"5 Source No.",$C2189,"4 Item Ledger Entry Type",$C$4,"2 Item No.","@@"&amp;$F2189,"3 Posting Date",J$9)-NL("Sum","5802 Value Entry","43 Cost Amount (Actual)","41 Source Type",$C$5,"5 Source no.",$C2189,"4 Item Ledger Entry Type",$C$4,"2 Item No.","@@"&amp;$F2189,"3 Posting Date",J$9)</t>
  </si>
  <si>
    <t>=J2189-L2189</t>
  </si>
  <si>
    <t>=IF(J2189&lt;&gt;0,M2189/J2189,"")</t>
  </si>
  <si>
    <t>=NL("Sum","5802 Value Entry","150 Sales Amount (Expected)","41 Source Type",$C$5,"5 Source No.",$C2189,"4 Item Ledger Entry Type",$C$4,"2 Item No.","@@"&amp;$F2189,"3 Posting Date",O$9)+NL("Sum","5802 Value Entry","17 Sales Amount (Actual)","41 Source Type",$C$5,"5 Source no.",$C2189,"4 Item Ledger Entry Type",$C$4,"2 Item No.","@@"&amp;$F2189,"3 Posting Date",O$9)</t>
  </si>
  <si>
    <t>=-NL("Sum","5802 Value Entry","151 Cost Amount (Expected)","41 Source Type",$C$5,"5 Source No.",$C2189,"4 Item Ledger Entry Type",$C$4,"2 Item No.","@@"&amp;$F2189,"3 Posting Date",O$9)-NL("Sum","5802 Value Entry","43 Cost Amount (Actual)","41 Source Type",$C$5,"5 Source no.",$C2189,"4 Item Ledger Entry Type",$C$4,"2 Item No.","@@"&amp;$F2189,"3 Posting Date",O$9)</t>
  </si>
  <si>
    <t>=O2189-Q2189</t>
  </si>
  <si>
    <t>=IF(O2189&lt;&gt;0,R2189/O2189,"")</t>
  </si>
  <si>
    <t>=NL("Sum","5802 Value Entry","150 Sales Amount (Expected)","41 Source Type",$C$5,"5 Source No.",$C2189,"4 Item Ledger Entry Type",$C$4,"2 Item No.","@@"&amp;$F2189,"3 Posting Date",U$9)+NL("Sum","5802 Value Entry","17 Sales Amount (Actual)","41 Source Type",$C$5,"5 Source no.",$C2189,"4 Item Ledger Entry Type",$C$4,"2 Item No.","@@"&amp;$F2189,"3 Posting Date",U$9)</t>
  </si>
  <si>
    <t>=-NL("Sum","5802 Value Entry","151 Cost Amount (Expected)","41 Source Type",$C$5,"5 Source No.",$C2189,"4 Item Ledger Entry Type",$C$4,"2 Item No.","@@"&amp;$F2189,"3 Posting Date",U$9)-NL("Sum","5802 Value Entry","43 Cost Amount (Actual)","41 Source Type",$C$5,"5 Source no.",$C2189,"4 Item Ledger Entry Type",$C$4,"2 Item No.","@@"&amp;$F2189,"3 Posting Date",U$9)</t>
  </si>
  <si>
    <t>=U2189-W2189</t>
  </si>
  <si>
    <t>=IF(U2189&lt;&gt;0,X2189/U2189,"")</t>
  </si>
  <si>
    <t>=NL("Sum","5802 Value Entry","150 Sales Amount (Expected)","41 Source Type",$C$5,"5 Source No.",$C2189,"4 Item Ledger Entry Type",$C$4,"2 Item No.","@@"&amp;$F2189,"3 Posting Date",Z$9)+NL("Sum","5802 Value Entry","17 Sales Amount (Actual)","41 Source Type",$C$5,"5 Source no.",$C2189,"4 Item Ledger Entry Type",$C$4,"2 Item No.","@@"&amp;$F2189,"3 Posting Date",Z$9)</t>
  </si>
  <si>
    <t>=-NL("Sum","5802 Value Entry","151 Cost Amount (Expected)","41 Source Type",$C$5,"5 Source No.",$C2189,"4 Item Ledger Entry Type",$C$4,"2 Item No.","@@"&amp;$F2189,"3 Posting Date",Z$9)-NL("Sum","5802 Value Entry","43 Cost Amount (Actual)","41 Source Type",$C$5,"5 Source no.",$C2189,"4 Item Ledger Entry Type",$C$4,"2 Item No.","@@"&amp;$F2189,"3 Posting Date",Z$9)</t>
  </si>
  <si>
    <t>=Z2189-AB2189</t>
  </si>
  <si>
    <t>=IF(Z2189&lt;&gt;0,AC2189/Z2189,"")</t>
  </si>
  <si>
    <t>=C2189</t>
  </si>
  <si>
    <t>=NL("Sum","5802 Value Entry","150 Sales Amount (Expected)","41 Source Type",$C$5,"5 Source No.",$C2190,"4 Item Ledger Entry Type",$C$4,"2 Item No.","@@"&amp;$F2190,"3 Posting Date",J$9)+NL("Sum","5802 Value Entry","17 Sales Amount (Actual)","41 Source Type",$C$5,"5 Source no.",$C2190,"4 Item Ledger Entry Type",$C$4,"2 Item No.","@@"&amp;$F2190,"3 Posting Date",J$9)</t>
  </si>
  <si>
    <t>=-NL("Sum","5802 Value Entry","151 Cost Amount (Expected)","41 Source Type",$C$5,"5 Source No.",$C2190,"4 Item Ledger Entry Type",$C$4,"2 Item No.","@@"&amp;$F2190,"3 Posting Date",J$9)-NL("Sum","5802 Value Entry","43 Cost Amount (Actual)","41 Source Type",$C$5,"5 Source no.",$C2190,"4 Item Ledger Entry Type",$C$4,"2 Item No.","@@"&amp;$F2190,"3 Posting Date",J$9)</t>
  </si>
  <si>
    <t>=J2190-L2190</t>
  </si>
  <si>
    <t>=IF(J2190&lt;&gt;0,M2190/J2190,"")</t>
  </si>
  <si>
    <t>=NL("Sum","5802 Value Entry","150 Sales Amount (Expected)","41 Source Type",$C$5,"5 Source No.",$C2190,"4 Item Ledger Entry Type",$C$4,"2 Item No.","@@"&amp;$F2190,"3 Posting Date",O$9)+NL("Sum","5802 Value Entry","17 Sales Amount (Actual)","41 Source Type",$C$5,"5 Source no.",$C2190,"4 Item Ledger Entry Type",$C$4,"2 Item No.","@@"&amp;$F2190,"3 Posting Date",O$9)</t>
  </si>
  <si>
    <t>=-NL("Sum","5802 Value Entry","151 Cost Amount (Expected)","41 Source Type",$C$5,"5 Source No.",$C2190,"4 Item Ledger Entry Type",$C$4,"2 Item No.","@@"&amp;$F2190,"3 Posting Date",O$9)-NL("Sum","5802 Value Entry","43 Cost Amount (Actual)","41 Source Type",$C$5,"5 Source no.",$C2190,"4 Item Ledger Entry Type",$C$4,"2 Item No.","@@"&amp;$F2190,"3 Posting Date",O$9)</t>
  </si>
  <si>
    <t>=O2190-Q2190</t>
  </si>
  <si>
    <t>=IF(O2190&lt;&gt;0,R2190/O2190,"")</t>
  </si>
  <si>
    <t>=NL("Sum","5802 Value Entry","150 Sales Amount (Expected)","41 Source Type",$C$5,"5 Source No.",$C2190,"4 Item Ledger Entry Type",$C$4,"2 Item No.","@@"&amp;$F2190,"3 Posting Date",U$9)+NL("Sum","5802 Value Entry","17 Sales Amount (Actual)","41 Source Type",$C$5,"5 Source no.",$C2190,"4 Item Ledger Entry Type",$C$4,"2 Item No.","@@"&amp;$F2190,"3 Posting Date",U$9)</t>
  </si>
  <si>
    <t>=-NL("Sum","5802 Value Entry","151 Cost Amount (Expected)","41 Source Type",$C$5,"5 Source No.",$C2190,"4 Item Ledger Entry Type",$C$4,"2 Item No.","@@"&amp;$F2190,"3 Posting Date",U$9)-NL("Sum","5802 Value Entry","43 Cost Amount (Actual)","41 Source Type",$C$5,"5 Source no.",$C2190,"4 Item Ledger Entry Type",$C$4,"2 Item No.","@@"&amp;$F2190,"3 Posting Date",U$9)</t>
  </si>
  <si>
    <t>=U2190-W2190</t>
  </si>
  <si>
    <t>=IF(U2190&lt;&gt;0,X2190/U2190,"")</t>
  </si>
  <si>
    <t>=NL("Sum","5802 Value Entry","150 Sales Amount (Expected)","41 Source Type",$C$5,"5 Source No.",$C2190,"4 Item Ledger Entry Type",$C$4,"2 Item No.","@@"&amp;$F2190,"3 Posting Date",Z$9)+NL("Sum","5802 Value Entry","17 Sales Amount (Actual)","41 Source Type",$C$5,"5 Source no.",$C2190,"4 Item Ledger Entry Type",$C$4,"2 Item No.","@@"&amp;$F2190,"3 Posting Date",Z$9)</t>
  </si>
  <si>
    <t>=-NL("Sum","5802 Value Entry","151 Cost Amount (Expected)","41 Source Type",$C$5,"5 Source No.",$C2190,"4 Item Ledger Entry Type",$C$4,"2 Item No.","@@"&amp;$F2190,"3 Posting Date",Z$9)-NL("Sum","5802 Value Entry","43 Cost Amount (Actual)","41 Source Type",$C$5,"5 Source no.",$C2190,"4 Item Ledger Entry Type",$C$4,"2 Item No.","@@"&amp;$F2190,"3 Posting Date",Z$9)</t>
  </si>
  <si>
    <t>=Z2190-AB2190</t>
  </si>
  <si>
    <t>=IF(Z2190&lt;&gt;0,AC2190/Z2190,"")</t>
  </si>
  <si>
    <t>=C2190</t>
  </si>
  <si>
    <t>=NL("Sum","5802 Value Entry","150 Sales Amount (Expected)","41 Source Type",$C$5,"5 Source No.",$C2191,"4 Item Ledger Entry Type",$C$4,"2 Item No.","@@"&amp;$F2191,"3 Posting Date",J$9)+NL("Sum","5802 Value Entry","17 Sales Amount (Actual)","41 Source Type",$C$5,"5 Source no.",$C2191,"4 Item Ledger Entry Type",$C$4,"2 Item No.","@@"&amp;$F2191,"3 Posting Date",J$9)</t>
  </si>
  <si>
    <t>=-NL("Sum","5802 Value Entry","151 Cost Amount (Expected)","41 Source Type",$C$5,"5 Source No.",$C2191,"4 Item Ledger Entry Type",$C$4,"2 Item No.","@@"&amp;$F2191,"3 Posting Date",J$9)-NL("Sum","5802 Value Entry","43 Cost Amount (Actual)","41 Source Type",$C$5,"5 Source no.",$C2191,"4 Item Ledger Entry Type",$C$4,"2 Item No.","@@"&amp;$F2191,"3 Posting Date",J$9)</t>
  </si>
  <si>
    <t>=J2191-L2191</t>
  </si>
  <si>
    <t>=IF(J2191&lt;&gt;0,M2191/J2191,"")</t>
  </si>
  <si>
    <t>=NL("Sum","5802 Value Entry","150 Sales Amount (Expected)","41 Source Type",$C$5,"5 Source No.",$C2191,"4 Item Ledger Entry Type",$C$4,"2 Item No.","@@"&amp;$F2191,"3 Posting Date",O$9)+NL("Sum","5802 Value Entry","17 Sales Amount (Actual)","41 Source Type",$C$5,"5 Source no.",$C2191,"4 Item Ledger Entry Type",$C$4,"2 Item No.","@@"&amp;$F2191,"3 Posting Date",O$9)</t>
  </si>
  <si>
    <t>=-NL("Sum","5802 Value Entry","151 Cost Amount (Expected)","41 Source Type",$C$5,"5 Source No.",$C2191,"4 Item Ledger Entry Type",$C$4,"2 Item No.","@@"&amp;$F2191,"3 Posting Date",O$9)-NL("Sum","5802 Value Entry","43 Cost Amount (Actual)","41 Source Type",$C$5,"5 Source no.",$C2191,"4 Item Ledger Entry Type",$C$4,"2 Item No.","@@"&amp;$F2191,"3 Posting Date",O$9)</t>
  </si>
  <si>
    <t>=O2191-Q2191</t>
  </si>
  <si>
    <t>=IF(O2191&lt;&gt;0,R2191/O2191,"")</t>
  </si>
  <si>
    <t>=NL("Sum","5802 Value Entry","150 Sales Amount (Expected)","41 Source Type",$C$5,"5 Source No.",$C2191,"4 Item Ledger Entry Type",$C$4,"2 Item No.","@@"&amp;$F2191,"3 Posting Date",U$9)+NL("Sum","5802 Value Entry","17 Sales Amount (Actual)","41 Source Type",$C$5,"5 Source no.",$C2191,"4 Item Ledger Entry Type",$C$4,"2 Item No.","@@"&amp;$F2191,"3 Posting Date",U$9)</t>
  </si>
  <si>
    <t>=-NL("Sum","5802 Value Entry","151 Cost Amount (Expected)","41 Source Type",$C$5,"5 Source No.",$C2191,"4 Item Ledger Entry Type",$C$4,"2 Item No.","@@"&amp;$F2191,"3 Posting Date",U$9)-NL("Sum","5802 Value Entry","43 Cost Amount (Actual)","41 Source Type",$C$5,"5 Source no.",$C2191,"4 Item Ledger Entry Type",$C$4,"2 Item No.","@@"&amp;$F2191,"3 Posting Date",U$9)</t>
  </si>
  <si>
    <t>=U2191-W2191</t>
  </si>
  <si>
    <t>=IF(U2191&lt;&gt;0,X2191/U2191,"")</t>
  </si>
  <si>
    <t>=NL("Sum","5802 Value Entry","150 Sales Amount (Expected)","41 Source Type",$C$5,"5 Source No.",$C2191,"4 Item Ledger Entry Type",$C$4,"2 Item No.","@@"&amp;$F2191,"3 Posting Date",Z$9)+NL("Sum","5802 Value Entry","17 Sales Amount (Actual)","41 Source Type",$C$5,"5 Source no.",$C2191,"4 Item Ledger Entry Type",$C$4,"2 Item No.","@@"&amp;$F2191,"3 Posting Date",Z$9)</t>
  </si>
  <si>
    <t>=-NL("Sum","5802 Value Entry","151 Cost Amount (Expected)","41 Source Type",$C$5,"5 Source No.",$C2191,"4 Item Ledger Entry Type",$C$4,"2 Item No.","@@"&amp;$F2191,"3 Posting Date",Z$9)-NL("Sum","5802 Value Entry","43 Cost Amount (Actual)","41 Source Type",$C$5,"5 Source no.",$C2191,"4 Item Ledger Entry Type",$C$4,"2 Item No.","@@"&amp;$F2191,"3 Posting Date",Z$9)</t>
  </si>
  <si>
    <t>=Z2191-AB2191</t>
  </si>
  <si>
    <t>=IF(Z2191&lt;&gt;0,AC2191/Z2191,"")</t>
  </si>
  <si>
    <t>=C2191</t>
  </si>
  <si>
    <t>=NL("Sum","5802 Value Entry","150 Sales Amount (Expected)","41 Source Type",$C$5,"5 Source No.",$C2192,"4 Item Ledger Entry Type",$C$4,"2 Item No.","@@"&amp;$F2192,"3 Posting Date",J$9)+NL("Sum","5802 Value Entry","17 Sales Amount (Actual)","41 Source Type",$C$5,"5 Source no.",$C2192,"4 Item Ledger Entry Type",$C$4,"2 Item No.","@@"&amp;$F2192,"3 Posting Date",J$9)</t>
  </si>
  <si>
    <t>=-NL("Sum","5802 Value Entry","151 Cost Amount (Expected)","41 Source Type",$C$5,"5 Source No.",$C2192,"4 Item Ledger Entry Type",$C$4,"2 Item No.","@@"&amp;$F2192,"3 Posting Date",J$9)-NL("Sum","5802 Value Entry","43 Cost Amount (Actual)","41 Source Type",$C$5,"5 Source no.",$C2192,"4 Item Ledger Entry Type",$C$4,"2 Item No.","@@"&amp;$F2192,"3 Posting Date",J$9)</t>
  </si>
  <si>
    <t>=J2192-L2192</t>
  </si>
  <si>
    <t>=IF(J2192&lt;&gt;0,M2192/J2192,"")</t>
  </si>
  <si>
    <t>=NL("Sum","5802 Value Entry","150 Sales Amount (Expected)","41 Source Type",$C$5,"5 Source No.",$C2192,"4 Item Ledger Entry Type",$C$4,"2 Item No.","@@"&amp;$F2192,"3 Posting Date",O$9)+NL("Sum","5802 Value Entry","17 Sales Amount (Actual)","41 Source Type",$C$5,"5 Source no.",$C2192,"4 Item Ledger Entry Type",$C$4,"2 Item No.","@@"&amp;$F2192,"3 Posting Date",O$9)</t>
  </si>
  <si>
    <t>=-NL("Sum","5802 Value Entry","151 Cost Amount (Expected)","41 Source Type",$C$5,"5 Source No.",$C2192,"4 Item Ledger Entry Type",$C$4,"2 Item No.","@@"&amp;$F2192,"3 Posting Date",O$9)-NL("Sum","5802 Value Entry","43 Cost Amount (Actual)","41 Source Type",$C$5,"5 Source no.",$C2192,"4 Item Ledger Entry Type",$C$4,"2 Item No.","@@"&amp;$F2192,"3 Posting Date",O$9)</t>
  </si>
  <si>
    <t>=O2192-Q2192</t>
  </si>
  <si>
    <t>=IF(O2192&lt;&gt;0,R2192/O2192,"")</t>
  </si>
  <si>
    <t>=NL("Sum","5802 Value Entry","150 Sales Amount (Expected)","41 Source Type",$C$5,"5 Source No.",$C2192,"4 Item Ledger Entry Type",$C$4,"2 Item No.","@@"&amp;$F2192,"3 Posting Date",U$9)+NL("Sum","5802 Value Entry","17 Sales Amount (Actual)","41 Source Type",$C$5,"5 Source no.",$C2192,"4 Item Ledger Entry Type",$C$4,"2 Item No.","@@"&amp;$F2192,"3 Posting Date",U$9)</t>
  </si>
  <si>
    <t>=-NL("Sum","5802 Value Entry","151 Cost Amount (Expected)","41 Source Type",$C$5,"5 Source No.",$C2192,"4 Item Ledger Entry Type",$C$4,"2 Item No.","@@"&amp;$F2192,"3 Posting Date",U$9)-NL("Sum","5802 Value Entry","43 Cost Amount (Actual)","41 Source Type",$C$5,"5 Source no.",$C2192,"4 Item Ledger Entry Type",$C$4,"2 Item No.","@@"&amp;$F2192,"3 Posting Date",U$9)</t>
  </si>
  <si>
    <t>=U2192-W2192</t>
  </si>
  <si>
    <t>=IF(U2192&lt;&gt;0,X2192/U2192,"")</t>
  </si>
  <si>
    <t>=NL("Sum","5802 Value Entry","150 Sales Amount (Expected)","41 Source Type",$C$5,"5 Source No.",$C2192,"4 Item Ledger Entry Type",$C$4,"2 Item No.","@@"&amp;$F2192,"3 Posting Date",Z$9)+NL("Sum","5802 Value Entry","17 Sales Amount (Actual)","41 Source Type",$C$5,"5 Source no.",$C2192,"4 Item Ledger Entry Type",$C$4,"2 Item No.","@@"&amp;$F2192,"3 Posting Date",Z$9)</t>
  </si>
  <si>
    <t>=-NL("Sum","5802 Value Entry","151 Cost Amount (Expected)","41 Source Type",$C$5,"5 Source No.",$C2192,"4 Item Ledger Entry Type",$C$4,"2 Item No.","@@"&amp;$F2192,"3 Posting Date",Z$9)-NL("Sum","5802 Value Entry","43 Cost Amount (Actual)","41 Source Type",$C$5,"5 Source no.",$C2192,"4 Item Ledger Entry Type",$C$4,"2 Item No.","@@"&amp;$F2192,"3 Posting Date",Z$9)</t>
  </si>
  <si>
    <t>=Z2192-AB2192</t>
  </si>
  <si>
    <t>=IF(Z2192&lt;&gt;0,AC2192/Z2192,"")</t>
  </si>
  <si>
    <t>=C2192</t>
  </si>
  <si>
    <t>=NL("Sum","5802 Value Entry","150 Sales Amount (Expected)","41 Source Type",$C$5,"5 Source No.",$C2193,"4 Item Ledger Entry Type",$C$4,"2 Item No.","@@"&amp;$F2193,"3 Posting Date",J$9)+NL("Sum","5802 Value Entry","17 Sales Amount (Actual)","41 Source Type",$C$5,"5 Source no.",$C2193,"4 Item Ledger Entry Type",$C$4,"2 Item No.","@@"&amp;$F2193,"3 Posting Date",J$9)</t>
  </si>
  <si>
    <t>=-NL("Sum","5802 Value Entry","151 Cost Amount (Expected)","41 Source Type",$C$5,"5 Source No.",$C2193,"4 Item Ledger Entry Type",$C$4,"2 Item No.","@@"&amp;$F2193,"3 Posting Date",J$9)-NL("Sum","5802 Value Entry","43 Cost Amount (Actual)","41 Source Type",$C$5,"5 Source no.",$C2193,"4 Item Ledger Entry Type",$C$4,"2 Item No.","@@"&amp;$F2193,"3 Posting Date",J$9)</t>
  </si>
  <si>
    <t>=J2193-L2193</t>
  </si>
  <si>
    <t>=IF(J2193&lt;&gt;0,M2193/J2193,"")</t>
  </si>
  <si>
    <t>=NL("Sum","5802 Value Entry","150 Sales Amount (Expected)","41 Source Type",$C$5,"5 Source No.",$C2193,"4 Item Ledger Entry Type",$C$4,"2 Item No.","@@"&amp;$F2193,"3 Posting Date",O$9)+NL("Sum","5802 Value Entry","17 Sales Amount (Actual)","41 Source Type",$C$5,"5 Source no.",$C2193,"4 Item Ledger Entry Type",$C$4,"2 Item No.","@@"&amp;$F2193,"3 Posting Date",O$9)</t>
  </si>
  <si>
    <t>=-NL("Sum","5802 Value Entry","151 Cost Amount (Expected)","41 Source Type",$C$5,"5 Source No.",$C2193,"4 Item Ledger Entry Type",$C$4,"2 Item No.","@@"&amp;$F2193,"3 Posting Date",O$9)-NL("Sum","5802 Value Entry","43 Cost Amount (Actual)","41 Source Type",$C$5,"5 Source no.",$C2193,"4 Item Ledger Entry Type",$C$4,"2 Item No.","@@"&amp;$F2193,"3 Posting Date",O$9)</t>
  </si>
  <si>
    <t>=O2193-Q2193</t>
  </si>
  <si>
    <t>=IF(O2193&lt;&gt;0,R2193/O2193,"")</t>
  </si>
  <si>
    <t>=NL("Sum","5802 Value Entry","150 Sales Amount (Expected)","41 Source Type",$C$5,"5 Source No.",$C2193,"4 Item Ledger Entry Type",$C$4,"2 Item No.","@@"&amp;$F2193,"3 Posting Date",U$9)+NL("Sum","5802 Value Entry","17 Sales Amount (Actual)","41 Source Type",$C$5,"5 Source no.",$C2193,"4 Item Ledger Entry Type",$C$4,"2 Item No.","@@"&amp;$F2193,"3 Posting Date",U$9)</t>
  </si>
  <si>
    <t>=-NL("Sum","5802 Value Entry","151 Cost Amount (Expected)","41 Source Type",$C$5,"5 Source No.",$C2193,"4 Item Ledger Entry Type",$C$4,"2 Item No.","@@"&amp;$F2193,"3 Posting Date",U$9)-NL("Sum","5802 Value Entry","43 Cost Amount (Actual)","41 Source Type",$C$5,"5 Source no.",$C2193,"4 Item Ledger Entry Type",$C$4,"2 Item No.","@@"&amp;$F2193,"3 Posting Date",U$9)</t>
  </si>
  <si>
    <t>=U2193-W2193</t>
  </si>
  <si>
    <t>=IF(U2193&lt;&gt;0,X2193/U2193,"")</t>
  </si>
  <si>
    <t>=NL("Sum","5802 Value Entry","150 Sales Amount (Expected)","41 Source Type",$C$5,"5 Source No.",$C2193,"4 Item Ledger Entry Type",$C$4,"2 Item No.","@@"&amp;$F2193,"3 Posting Date",Z$9)+NL("Sum","5802 Value Entry","17 Sales Amount (Actual)","41 Source Type",$C$5,"5 Source no.",$C2193,"4 Item Ledger Entry Type",$C$4,"2 Item No.","@@"&amp;$F2193,"3 Posting Date",Z$9)</t>
  </si>
  <si>
    <t>=-NL("Sum","5802 Value Entry","151 Cost Amount (Expected)","41 Source Type",$C$5,"5 Source No.",$C2193,"4 Item Ledger Entry Type",$C$4,"2 Item No.","@@"&amp;$F2193,"3 Posting Date",Z$9)-NL("Sum","5802 Value Entry","43 Cost Amount (Actual)","41 Source Type",$C$5,"5 Source no.",$C2193,"4 Item Ledger Entry Type",$C$4,"2 Item No.","@@"&amp;$F2193,"3 Posting Date",Z$9)</t>
  </si>
  <si>
    <t>=Z2193-AB2193</t>
  </si>
  <si>
    <t>=IF(Z2193&lt;&gt;0,AC2193/Z2193,"")</t>
  </si>
  <si>
    <t>=C2193</t>
  </si>
  <si>
    <t>=NL("Sum","5802 Value Entry","150 Sales Amount (Expected)","41 Source Type",$C$5,"5 Source No.",$C2194,"4 Item Ledger Entry Type",$C$4,"2 Item No.","@@"&amp;$F2194,"3 Posting Date",J$9)+NL("Sum","5802 Value Entry","17 Sales Amount (Actual)","41 Source Type",$C$5,"5 Source no.",$C2194,"4 Item Ledger Entry Type",$C$4,"2 Item No.","@@"&amp;$F2194,"3 Posting Date",J$9)</t>
  </si>
  <si>
    <t>=-NL("Sum","5802 Value Entry","151 Cost Amount (Expected)","41 Source Type",$C$5,"5 Source No.",$C2194,"4 Item Ledger Entry Type",$C$4,"2 Item No.","@@"&amp;$F2194,"3 Posting Date",J$9)-NL("Sum","5802 Value Entry","43 Cost Amount (Actual)","41 Source Type",$C$5,"5 Source no.",$C2194,"4 Item Ledger Entry Type",$C$4,"2 Item No.","@@"&amp;$F2194,"3 Posting Date",J$9)</t>
  </si>
  <si>
    <t>=J2194-L2194</t>
  </si>
  <si>
    <t>=IF(J2194&lt;&gt;0,M2194/J2194,"")</t>
  </si>
  <si>
    <t>=NL("Sum","5802 Value Entry","150 Sales Amount (Expected)","41 Source Type",$C$5,"5 Source No.",$C2194,"4 Item Ledger Entry Type",$C$4,"2 Item No.","@@"&amp;$F2194,"3 Posting Date",O$9)+NL("Sum","5802 Value Entry","17 Sales Amount (Actual)","41 Source Type",$C$5,"5 Source no.",$C2194,"4 Item Ledger Entry Type",$C$4,"2 Item No.","@@"&amp;$F2194,"3 Posting Date",O$9)</t>
  </si>
  <si>
    <t>=-NL("Sum","5802 Value Entry","151 Cost Amount (Expected)","41 Source Type",$C$5,"5 Source No.",$C2194,"4 Item Ledger Entry Type",$C$4,"2 Item No.","@@"&amp;$F2194,"3 Posting Date",O$9)-NL("Sum","5802 Value Entry","43 Cost Amount (Actual)","41 Source Type",$C$5,"5 Source no.",$C2194,"4 Item Ledger Entry Type",$C$4,"2 Item No.","@@"&amp;$F2194,"3 Posting Date",O$9)</t>
  </si>
  <si>
    <t>=O2194-Q2194</t>
  </si>
  <si>
    <t>=IF(O2194&lt;&gt;0,R2194/O2194,"")</t>
  </si>
  <si>
    <t>=NL("Sum","5802 Value Entry","150 Sales Amount (Expected)","41 Source Type",$C$5,"5 Source No.",$C2194,"4 Item Ledger Entry Type",$C$4,"2 Item No.","@@"&amp;$F2194,"3 Posting Date",U$9)+NL("Sum","5802 Value Entry","17 Sales Amount (Actual)","41 Source Type",$C$5,"5 Source no.",$C2194,"4 Item Ledger Entry Type",$C$4,"2 Item No.","@@"&amp;$F2194,"3 Posting Date",U$9)</t>
  </si>
  <si>
    <t>=-NL("Sum","5802 Value Entry","151 Cost Amount (Expected)","41 Source Type",$C$5,"5 Source No.",$C2194,"4 Item Ledger Entry Type",$C$4,"2 Item No.","@@"&amp;$F2194,"3 Posting Date",U$9)-NL("Sum","5802 Value Entry","43 Cost Amount (Actual)","41 Source Type",$C$5,"5 Source no.",$C2194,"4 Item Ledger Entry Type",$C$4,"2 Item No.","@@"&amp;$F2194,"3 Posting Date",U$9)</t>
  </si>
  <si>
    <t>=U2194-W2194</t>
  </si>
  <si>
    <t>=IF(U2194&lt;&gt;0,X2194/U2194,"")</t>
  </si>
  <si>
    <t>=NL("Sum","5802 Value Entry","150 Sales Amount (Expected)","41 Source Type",$C$5,"5 Source No.",$C2194,"4 Item Ledger Entry Type",$C$4,"2 Item No.","@@"&amp;$F2194,"3 Posting Date",Z$9)+NL("Sum","5802 Value Entry","17 Sales Amount (Actual)","41 Source Type",$C$5,"5 Source no.",$C2194,"4 Item Ledger Entry Type",$C$4,"2 Item No.","@@"&amp;$F2194,"3 Posting Date",Z$9)</t>
  </si>
  <si>
    <t>=-NL("Sum","5802 Value Entry","151 Cost Amount (Expected)","41 Source Type",$C$5,"5 Source No.",$C2194,"4 Item Ledger Entry Type",$C$4,"2 Item No.","@@"&amp;$F2194,"3 Posting Date",Z$9)-NL("Sum","5802 Value Entry","43 Cost Amount (Actual)","41 Source Type",$C$5,"5 Source no.",$C2194,"4 Item Ledger Entry Type",$C$4,"2 Item No.","@@"&amp;$F2194,"3 Posting Date",Z$9)</t>
  </si>
  <si>
    <t>=Z2194-AB2194</t>
  </si>
  <si>
    <t>=IF(Z2194&lt;&gt;0,AC2194/Z2194,"")</t>
  </si>
  <si>
    <t>=C2194</t>
  </si>
  <si>
    <t>=NL("Sum","5802 Value Entry","150 Sales Amount (Expected)","41 Source Type",$C$5,"5 Source No.",$C2195,"4 Item Ledger Entry Type",$C$4,"2 Item No.","@@"&amp;$F2195,"3 Posting Date",J$9)+NL("Sum","5802 Value Entry","17 Sales Amount (Actual)","41 Source Type",$C$5,"5 Source no.",$C2195,"4 Item Ledger Entry Type",$C$4,"2 Item No.","@@"&amp;$F2195,"3 Posting Date",J$9)</t>
  </si>
  <si>
    <t>=-NL("Sum","5802 Value Entry","151 Cost Amount (Expected)","41 Source Type",$C$5,"5 Source No.",$C2195,"4 Item Ledger Entry Type",$C$4,"2 Item No.","@@"&amp;$F2195,"3 Posting Date",J$9)-NL("Sum","5802 Value Entry","43 Cost Amount (Actual)","41 Source Type",$C$5,"5 Source no.",$C2195,"4 Item Ledger Entry Type",$C$4,"2 Item No.","@@"&amp;$F2195,"3 Posting Date",J$9)</t>
  </si>
  <si>
    <t>=J2195-L2195</t>
  </si>
  <si>
    <t>=IF(J2195&lt;&gt;0,M2195/J2195,"")</t>
  </si>
  <si>
    <t>=NL("Sum","5802 Value Entry","150 Sales Amount (Expected)","41 Source Type",$C$5,"5 Source No.",$C2195,"4 Item Ledger Entry Type",$C$4,"2 Item No.","@@"&amp;$F2195,"3 Posting Date",O$9)+NL("Sum","5802 Value Entry","17 Sales Amount (Actual)","41 Source Type",$C$5,"5 Source no.",$C2195,"4 Item Ledger Entry Type",$C$4,"2 Item No.","@@"&amp;$F2195,"3 Posting Date",O$9)</t>
  </si>
  <si>
    <t>=-NL("Sum","5802 Value Entry","151 Cost Amount (Expected)","41 Source Type",$C$5,"5 Source No.",$C2195,"4 Item Ledger Entry Type",$C$4,"2 Item No.","@@"&amp;$F2195,"3 Posting Date",O$9)-NL("Sum","5802 Value Entry","43 Cost Amount (Actual)","41 Source Type",$C$5,"5 Source no.",$C2195,"4 Item Ledger Entry Type",$C$4,"2 Item No.","@@"&amp;$F2195,"3 Posting Date",O$9)</t>
  </si>
  <si>
    <t>=O2195-Q2195</t>
  </si>
  <si>
    <t>=IF(O2195&lt;&gt;0,R2195/O2195,"")</t>
  </si>
  <si>
    <t>=NL("Sum","5802 Value Entry","150 Sales Amount (Expected)","41 Source Type",$C$5,"5 Source No.",$C2195,"4 Item Ledger Entry Type",$C$4,"2 Item No.","@@"&amp;$F2195,"3 Posting Date",U$9)+NL("Sum","5802 Value Entry","17 Sales Amount (Actual)","41 Source Type",$C$5,"5 Source no.",$C2195,"4 Item Ledger Entry Type",$C$4,"2 Item No.","@@"&amp;$F2195,"3 Posting Date",U$9)</t>
  </si>
  <si>
    <t>=-NL("Sum","5802 Value Entry","151 Cost Amount (Expected)","41 Source Type",$C$5,"5 Source No.",$C2195,"4 Item Ledger Entry Type",$C$4,"2 Item No.","@@"&amp;$F2195,"3 Posting Date",U$9)-NL("Sum","5802 Value Entry","43 Cost Amount (Actual)","41 Source Type",$C$5,"5 Source no.",$C2195,"4 Item Ledger Entry Type",$C$4,"2 Item No.","@@"&amp;$F2195,"3 Posting Date",U$9)</t>
  </si>
  <si>
    <t>=U2195-W2195</t>
  </si>
  <si>
    <t>=IF(U2195&lt;&gt;0,X2195/U2195,"")</t>
  </si>
  <si>
    <t>=NL("Sum","5802 Value Entry","150 Sales Amount (Expected)","41 Source Type",$C$5,"5 Source No.",$C2195,"4 Item Ledger Entry Type",$C$4,"2 Item No.","@@"&amp;$F2195,"3 Posting Date",Z$9)+NL("Sum","5802 Value Entry","17 Sales Amount (Actual)","41 Source Type",$C$5,"5 Source no.",$C2195,"4 Item Ledger Entry Type",$C$4,"2 Item No.","@@"&amp;$F2195,"3 Posting Date",Z$9)</t>
  </si>
  <si>
    <t>=-NL("Sum","5802 Value Entry","151 Cost Amount (Expected)","41 Source Type",$C$5,"5 Source No.",$C2195,"4 Item Ledger Entry Type",$C$4,"2 Item No.","@@"&amp;$F2195,"3 Posting Date",Z$9)-NL("Sum","5802 Value Entry","43 Cost Amount (Actual)","41 Source Type",$C$5,"5 Source no.",$C2195,"4 Item Ledger Entry Type",$C$4,"2 Item No.","@@"&amp;$F2195,"3 Posting Date",Z$9)</t>
  </si>
  <si>
    <t>=Z2195-AB2195</t>
  </si>
  <si>
    <t>=IF(Z2195&lt;&gt;0,AC2195/Z2195,"")</t>
  </si>
  <si>
    <t>=C2195</t>
  </si>
  <si>
    <t>=NL("Sum","5802 Value Entry","150 Sales Amount (Expected)","41 Source Type",$C$5,"5 Source No.",$C2196,"4 Item Ledger Entry Type",$C$4,"2 Item No.","@@"&amp;$F2196,"3 Posting Date",J$9)+NL("Sum","5802 Value Entry","17 Sales Amount (Actual)","41 Source Type",$C$5,"5 Source no.",$C2196,"4 Item Ledger Entry Type",$C$4,"2 Item No.","@@"&amp;$F2196,"3 Posting Date",J$9)</t>
  </si>
  <si>
    <t>=-NL("Sum","5802 Value Entry","151 Cost Amount (Expected)","41 Source Type",$C$5,"5 Source No.",$C2196,"4 Item Ledger Entry Type",$C$4,"2 Item No.","@@"&amp;$F2196,"3 Posting Date",J$9)-NL("Sum","5802 Value Entry","43 Cost Amount (Actual)","41 Source Type",$C$5,"5 Source no.",$C2196,"4 Item Ledger Entry Type",$C$4,"2 Item No.","@@"&amp;$F2196,"3 Posting Date",J$9)</t>
  </si>
  <si>
    <t>=J2196-L2196</t>
  </si>
  <si>
    <t>=IF(J2196&lt;&gt;0,M2196/J2196,"")</t>
  </si>
  <si>
    <t>=NL("Sum","5802 Value Entry","150 Sales Amount (Expected)","41 Source Type",$C$5,"5 Source No.",$C2196,"4 Item Ledger Entry Type",$C$4,"2 Item No.","@@"&amp;$F2196,"3 Posting Date",O$9)+NL("Sum","5802 Value Entry","17 Sales Amount (Actual)","41 Source Type",$C$5,"5 Source no.",$C2196,"4 Item Ledger Entry Type",$C$4,"2 Item No.","@@"&amp;$F2196,"3 Posting Date",O$9)</t>
  </si>
  <si>
    <t>=-NL("Sum","5802 Value Entry","151 Cost Amount (Expected)","41 Source Type",$C$5,"5 Source No.",$C2196,"4 Item Ledger Entry Type",$C$4,"2 Item No.","@@"&amp;$F2196,"3 Posting Date",O$9)-NL("Sum","5802 Value Entry","43 Cost Amount (Actual)","41 Source Type",$C$5,"5 Source no.",$C2196,"4 Item Ledger Entry Type",$C$4,"2 Item No.","@@"&amp;$F2196,"3 Posting Date",O$9)</t>
  </si>
  <si>
    <t>=O2196-Q2196</t>
  </si>
  <si>
    <t>=IF(O2196&lt;&gt;0,R2196/O2196,"")</t>
  </si>
  <si>
    <t>=NL("Sum","5802 Value Entry","150 Sales Amount (Expected)","41 Source Type",$C$5,"5 Source No.",$C2196,"4 Item Ledger Entry Type",$C$4,"2 Item No.","@@"&amp;$F2196,"3 Posting Date",U$9)+NL("Sum","5802 Value Entry","17 Sales Amount (Actual)","41 Source Type",$C$5,"5 Source no.",$C2196,"4 Item Ledger Entry Type",$C$4,"2 Item No.","@@"&amp;$F2196,"3 Posting Date",U$9)</t>
  </si>
  <si>
    <t>=-NL("Sum","5802 Value Entry","151 Cost Amount (Expected)","41 Source Type",$C$5,"5 Source No.",$C2196,"4 Item Ledger Entry Type",$C$4,"2 Item No.","@@"&amp;$F2196,"3 Posting Date",U$9)-NL("Sum","5802 Value Entry","43 Cost Amount (Actual)","41 Source Type",$C$5,"5 Source no.",$C2196,"4 Item Ledger Entry Type",$C$4,"2 Item No.","@@"&amp;$F2196,"3 Posting Date",U$9)</t>
  </si>
  <si>
    <t>=U2196-W2196</t>
  </si>
  <si>
    <t>=IF(U2196&lt;&gt;0,X2196/U2196,"")</t>
  </si>
  <si>
    <t>=NL("Sum","5802 Value Entry","150 Sales Amount (Expected)","41 Source Type",$C$5,"5 Source No.",$C2196,"4 Item Ledger Entry Type",$C$4,"2 Item No.","@@"&amp;$F2196,"3 Posting Date",Z$9)+NL("Sum","5802 Value Entry","17 Sales Amount (Actual)","41 Source Type",$C$5,"5 Source no.",$C2196,"4 Item Ledger Entry Type",$C$4,"2 Item No.","@@"&amp;$F2196,"3 Posting Date",Z$9)</t>
  </si>
  <si>
    <t>=-NL("Sum","5802 Value Entry","151 Cost Amount (Expected)","41 Source Type",$C$5,"5 Source No.",$C2196,"4 Item Ledger Entry Type",$C$4,"2 Item No.","@@"&amp;$F2196,"3 Posting Date",Z$9)-NL("Sum","5802 Value Entry","43 Cost Amount (Actual)","41 Source Type",$C$5,"5 Source no.",$C2196,"4 Item Ledger Entry Type",$C$4,"2 Item No.","@@"&amp;$F2196,"3 Posting Date",Z$9)</t>
  </si>
  <si>
    <t>=Z2196-AB2196</t>
  </si>
  <si>
    <t>=IF(Z2196&lt;&gt;0,AC2196/Z2196,"")</t>
  </si>
  <si>
    <t>=C2196</t>
  </si>
  <si>
    <t>=NL("Sum","5802 Value Entry","150 Sales Amount (Expected)","41 Source Type",$C$5,"5 Source No.",$C2197,"4 Item Ledger Entry Type",$C$4,"2 Item No.","@@"&amp;$F2197,"3 Posting Date",J$9)+NL("Sum","5802 Value Entry","17 Sales Amount (Actual)","41 Source Type",$C$5,"5 Source no.",$C2197,"4 Item Ledger Entry Type",$C$4,"2 Item No.","@@"&amp;$F2197,"3 Posting Date",J$9)</t>
  </si>
  <si>
    <t>=-NL("Sum","5802 Value Entry","151 Cost Amount (Expected)","41 Source Type",$C$5,"5 Source No.",$C2197,"4 Item Ledger Entry Type",$C$4,"2 Item No.","@@"&amp;$F2197,"3 Posting Date",J$9)-NL("Sum","5802 Value Entry","43 Cost Amount (Actual)","41 Source Type",$C$5,"5 Source no.",$C2197,"4 Item Ledger Entry Type",$C$4,"2 Item No.","@@"&amp;$F2197,"3 Posting Date",J$9)</t>
  </si>
  <si>
    <t>=J2197-L2197</t>
  </si>
  <si>
    <t>=IF(J2197&lt;&gt;0,M2197/J2197,"")</t>
  </si>
  <si>
    <t>=NL("Sum","5802 Value Entry","150 Sales Amount (Expected)","41 Source Type",$C$5,"5 Source No.",$C2197,"4 Item Ledger Entry Type",$C$4,"2 Item No.","@@"&amp;$F2197,"3 Posting Date",O$9)+NL("Sum","5802 Value Entry","17 Sales Amount (Actual)","41 Source Type",$C$5,"5 Source no.",$C2197,"4 Item Ledger Entry Type",$C$4,"2 Item No.","@@"&amp;$F2197,"3 Posting Date",O$9)</t>
  </si>
  <si>
    <t>=-NL("Sum","5802 Value Entry","151 Cost Amount (Expected)","41 Source Type",$C$5,"5 Source No.",$C2197,"4 Item Ledger Entry Type",$C$4,"2 Item No.","@@"&amp;$F2197,"3 Posting Date",O$9)-NL("Sum","5802 Value Entry","43 Cost Amount (Actual)","41 Source Type",$C$5,"5 Source no.",$C2197,"4 Item Ledger Entry Type",$C$4,"2 Item No.","@@"&amp;$F2197,"3 Posting Date",O$9)</t>
  </si>
  <si>
    <t>=O2197-Q2197</t>
  </si>
  <si>
    <t>=IF(O2197&lt;&gt;0,R2197/O2197,"")</t>
  </si>
  <si>
    <t>=NL("Sum","5802 Value Entry","150 Sales Amount (Expected)","41 Source Type",$C$5,"5 Source No.",$C2197,"4 Item Ledger Entry Type",$C$4,"2 Item No.","@@"&amp;$F2197,"3 Posting Date",U$9)+NL("Sum","5802 Value Entry","17 Sales Amount (Actual)","41 Source Type",$C$5,"5 Source no.",$C2197,"4 Item Ledger Entry Type",$C$4,"2 Item No.","@@"&amp;$F2197,"3 Posting Date",U$9)</t>
  </si>
  <si>
    <t>=-NL("Sum","5802 Value Entry","151 Cost Amount (Expected)","41 Source Type",$C$5,"5 Source No.",$C2197,"4 Item Ledger Entry Type",$C$4,"2 Item No.","@@"&amp;$F2197,"3 Posting Date",U$9)-NL("Sum","5802 Value Entry","43 Cost Amount (Actual)","41 Source Type",$C$5,"5 Source no.",$C2197,"4 Item Ledger Entry Type",$C$4,"2 Item No.","@@"&amp;$F2197,"3 Posting Date",U$9)</t>
  </si>
  <si>
    <t>=U2197-W2197</t>
  </si>
  <si>
    <t>=IF(U2197&lt;&gt;0,X2197/U2197,"")</t>
  </si>
  <si>
    <t>=NL("Sum","5802 Value Entry","150 Sales Amount (Expected)","41 Source Type",$C$5,"5 Source No.",$C2197,"4 Item Ledger Entry Type",$C$4,"2 Item No.","@@"&amp;$F2197,"3 Posting Date",Z$9)+NL("Sum","5802 Value Entry","17 Sales Amount (Actual)","41 Source Type",$C$5,"5 Source no.",$C2197,"4 Item Ledger Entry Type",$C$4,"2 Item No.","@@"&amp;$F2197,"3 Posting Date",Z$9)</t>
  </si>
  <si>
    <t>=-NL("Sum","5802 Value Entry","151 Cost Amount (Expected)","41 Source Type",$C$5,"5 Source No.",$C2197,"4 Item Ledger Entry Type",$C$4,"2 Item No.","@@"&amp;$F2197,"3 Posting Date",Z$9)-NL("Sum","5802 Value Entry","43 Cost Amount (Actual)","41 Source Type",$C$5,"5 Source no.",$C2197,"4 Item Ledger Entry Type",$C$4,"2 Item No.","@@"&amp;$F2197,"3 Posting Date",Z$9)</t>
  </si>
  <si>
    <t>=Z2197-AB2197</t>
  </si>
  <si>
    <t>=IF(Z2197&lt;&gt;0,AC2197/Z2197,"")</t>
  </si>
  <si>
    <t>=C2197</t>
  </si>
  <si>
    <t>=NL("Sum","5802 Value Entry","150 Sales Amount (Expected)","41 Source Type",$C$5,"5 Source No.",$C2198,"4 Item Ledger Entry Type",$C$4,"2 Item No.","@@"&amp;$F2198,"3 Posting Date",J$9)+NL("Sum","5802 Value Entry","17 Sales Amount (Actual)","41 Source Type",$C$5,"5 Source no.",$C2198,"4 Item Ledger Entry Type",$C$4,"2 Item No.","@@"&amp;$F2198,"3 Posting Date",J$9)</t>
  </si>
  <si>
    <t>=-NL("Sum","5802 Value Entry","151 Cost Amount (Expected)","41 Source Type",$C$5,"5 Source No.",$C2198,"4 Item Ledger Entry Type",$C$4,"2 Item No.","@@"&amp;$F2198,"3 Posting Date",J$9)-NL("Sum","5802 Value Entry","43 Cost Amount (Actual)","41 Source Type",$C$5,"5 Source no.",$C2198,"4 Item Ledger Entry Type",$C$4,"2 Item No.","@@"&amp;$F2198,"3 Posting Date",J$9)</t>
  </si>
  <si>
    <t>=J2198-L2198</t>
  </si>
  <si>
    <t>=IF(J2198&lt;&gt;0,M2198/J2198,"")</t>
  </si>
  <si>
    <t>=NL("Sum","5802 Value Entry","150 Sales Amount (Expected)","41 Source Type",$C$5,"5 Source No.",$C2198,"4 Item Ledger Entry Type",$C$4,"2 Item No.","@@"&amp;$F2198,"3 Posting Date",O$9)+NL("Sum","5802 Value Entry","17 Sales Amount (Actual)","41 Source Type",$C$5,"5 Source no.",$C2198,"4 Item Ledger Entry Type",$C$4,"2 Item No.","@@"&amp;$F2198,"3 Posting Date",O$9)</t>
  </si>
  <si>
    <t>=-NL("Sum","5802 Value Entry","151 Cost Amount (Expected)","41 Source Type",$C$5,"5 Source No.",$C2198,"4 Item Ledger Entry Type",$C$4,"2 Item No.","@@"&amp;$F2198,"3 Posting Date",O$9)-NL("Sum","5802 Value Entry","43 Cost Amount (Actual)","41 Source Type",$C$5,"5 Source no.",$C2198,"4 Item Ledger Entry Type",$C$4,"2 Item No.","@@"&amp;$F2198,"3 Posting Date",O$9)</t>
  </si>
  <si>
    <t>=O2198-Q2198</t>
  </si>
  <si>
    <t>=IF(O2198&lt;&gt;0,R2198/O2198,"")</t>
  </si>
  <si>
    <t>=NL("Sum","5802 Value Entry","150 Sales Amount (Expected)","41 Source Type",$C$5,"5 Source No.",$C2198,"4 Item Ledger Entry Type",$C$4,"2 Item No.","@@"&amp;$F2198,"3 Posting Date",U$9)+NL("Sum","5802 Value Entry","17 Sales Amount (Actual)","41 Source Type",$C$5,"5 Source no.",$C2198,"4 Item Ledger Entry Type",$C$4,"2 Item No.","@@"&amp;$F2198,"3 Posting Date",U$9)</t>
  </si>
  <si>
    <t>=-NL("Sum","5802 Value Entry","151 Cost Amount (Expected)","41 Source Type",$C$5,"5 Source No.",$C2198,"4 Item Ledger Entry Type",$C$4,"2 Item No.","@@"&amp;$F2198,"3 Posting Date",U$9)-NL("Sum","5802 Value Entry","43 Cost Amount (Actual)","41 Source Type",$C$5,"5 Source no.",$C2198,"4 Item Ledger Entry Type",$C$4,"2 Item No.","@@"&amp;$F2198,"3 Posting Date",U$9)</t>
  </si>
  <si>
    <t>=U2198-W2198</t>
  </si>
  <si>
    <t>=IF(U2198&lt;&gt;0,X2198/U2198,"")</t>
  </si>
  <si>
    <t>=NL("Sum","5802 Value Entry","150 Sales Amount (Expected)","41 Source Type",$C$5,"5 Source No.",$C2198,"4 Item Ledger Entry Type",$C$4,"2 Item No.","@@"&amp;$F2198,"3 Posting Date",Z$9)+NL("Sum","5802 Value Entry","17 Sales Amount (Actual)","41 Source Type",$C$5,"5 Source no.",$C2198,"4 Item Ledger Entry Type",$C$4,"2 Item No.","@@"&amp;$F2198,"3 Posting Date",Z$9)</t>
  </si>
  <si>
    <t>=-NL("Sum","5802 Value Entry","151 Cost Amount (Expected)","41 Source Type",$C$5,"5 Source No.",$C2198,"4 Item Ledger Entry Type",$C$4,"2 Item No.","@@"&amp;$F2198,"3 Posting Date",Z$9)-NL("Sum","5802 Value Entry","43 Cost Amount (Actual)","41 Source Type",$C$5,"5 Source no.",$C2198,"4 Item Ledger Entry Type",$C$4,"2 Item No.","@@"&amp;$F2198,"3 Posting Date",Z$9)</t>
  </si>
  <si>
    <t>=Z2198-AB2198</t>
  </si>
  <si>
    <t>=IF(Z2198&lt;&gt;0,AC2198/Z2198,"")</t>
  </si>
  <si>
    <t>=C2198</t>
  </si>
  <si>
    <t>=NL("Sum","5802 Value Entry","150 Sales Amount (Expected)","41 Source Type",$C$5,"5 Source No.",$C2199,"4 Item Ledger Entry Type",$C$4,"2 Item No.","@@"&amp;$F2199,"3 Posting Date",J$9)+NL("Sum","5802 Value Entry","17 Sales Amount (Actual)","41 Source Type",$C$5,"5 Source no.",$C2199,"4 Item Ledger Entry Type",$C$4,"2 Item No.","@@"&amp;$F2199,"3 Posting Date",J$9)</t>
  </si>
  <si>
    <t>=-NL("Sum","5802 Value Entry","151 Cost Amount (Expected)","41 Source Type",$C$5,"5 Source No.",$C2199,"4 Item Ledger Entry Type",$C$4,"2 Item No.","@@"&amp;$F2199,"3 Posting Date",J$9)-NL("Sum","5802 Value Entry","43 Cost Amount (Actual)","41 Source Type",$C$5,"5 Source no.",$C2199,"4 Item Ledger Entry Type",$C$4,"2 Item No.","@@"&amp;$F2199,"3 Posting Date",J$9)</t>
  </si>
  <si>
    <t>=J2199-L2199</t>
  </si>
  <si>
    <t>=IF(J2199&lt;&gt;0,M2199/J2199,"")</t>
  </si>
  <si>
    <t>=NL("Sum","5802 Value Entry","150 Sales Amount (Expected)","41 Source Type",$C$5,"5 Source No.",$C2199,"4 Item Ledger Entry Type",$C$4,"2 Item No.","@@"&amp;$F2199,"3 Posting Date",O$9)+NL("Sum","5802 Value Entry","17 Sales Amount (Actual)","41 Source Type",$C$5,"5 Source no.",$C2199,"4 Item Ledger Entry Type",$C$4,"2 Item No.","@@"&amp;$F2199,"3 Posting Date",O$9)</t>
  </si>
  <si>
    <t>=-NL("Sum","5802 Value Entry","151 Cost Amount (Expected)","41 Source Type",$C$5,"5 Source No.",$C2199,"4 Item Ledger Entry Type",$C$4,"2 Item No.","@@"&amp;$F2199,"3 Posting Date",O$9)-NL("Sum","5802 Value Entry","43 Cost Amount (Actual)","41 Source Type",$C$5,"5 Source no.",$C2199,"4 Item Ledger Entry Type",$C$4,"2 Item No.","@@"&amp;$F2199,"3 Posting Date",O$9)</t>
  </si>
  <si>
    <t>=O2199-Q2199</t>
  </si>
  <si>
    <t>=IF(O2199&lt;&gt;0,R2199/O2199,"")</t>
  </si>
  <si>
    <t>=NL("Sum","5802 Value Entry","150 Sales Amount (Expected)","41 Source Type",$C$5,"5 Source No.",$C2199,"4 Item Ledger Entry Type",$C$4,"2 Item No.","@@"&amp;$F2199,"3 Posting Date",U$9)+NL("Sum","5802 Value Entry","17 Sales Amount (Actual)","41 Source Type",$C$5,"5 Source no.",$C2199,"4 Item Ledger Entry Type",$C$4,"2 Item No.","@@"&amp;$F2199,"3 Posting Date",U$9)</t>
  </si>
  <si>
    <t>=-NL("Sum","5802 Value Entry","151 Cost Amount (Expected)","41 Source Type",$C$5,"5 Source No.",$C2199,"4 Item Ledger Entry Type",$C$4,"2 Item No.","@@"&amp;$F2199,"3 Posting Date",U$9)-NL("Sum","5802 Value Entry","43 Cost Amount (Actual)","41 Source Type",$C$5,"5 Source no.",$C2199,"4 Item Ledger Entry Type",$C$4,"2 Item No.","@@"&amp;$F2199,"3 Posting Date",U$9)</t>
  </si>
  <si>
    <t>=U2199-W2199</t>
  </si>
  <si>
    <t>=IF(U2199&lt;&gt;0,X2199/U2199,"")</t>
  </si>
  <si>
    <t>=NL("Sum","5802 Value Entry","150 Sales Amount (Expected)","41 Source Type",$C$5,"5 Source No.",$C2199,"4 Item Ledger Entry Type",$C$4,"2 Item No.","@@"&amp;$F2199,"3 Posting Date",Z$9)+NL("Sum","5802 Value Entry","17 Sales Amount (Actual)","41 Source Type",$C$5,"5 Source no.",$C2199,"4 Item Ledger Entry Type",$C$4,"2 Item No.","@@"&amp;$F2199,"3 Posting Date",Z$9)</t>
  </si>
  <si>
    <t>=-NL("Sum","5802 Value Entry","151 Cost Amount (Expected)","41 Source Type",$C$5,"5 Source No.",$C2199,"4 Item Ledger Entry Type",$C$4,"2 Item No.","@@"&amp;$F2199,"3 Posting Date",Z$9)-NL("Sum","5802 Value Entry","43 Cost Amount (Actual)","41 Source Type",$C$5,"5 Source no.",$C2199,"4 Item Ledger Entry Type",$C$4,"2 Item No.","@@"&amp;$F2199,"3 Posting Date",Z$9)</t>
  </si>
  <si>
    <t>=Z2199-AB2199</t>
  </si>
  <si>
    <t>=IF(Z2199&lt;&gt;0,AC2199/Z2199,"")</t>
  </si>
  <si>
    <t>=C2200</t>
  </si>
  <si>
    <t>=J2201-L2201</t>
  </si>
  <si>
    <t>=IF(J2201&lt;&gt;0,M2201/J2201,"")</t>
  </si>
  <si>
    <t>=O2201-Q2201</t>
  </si>
  <si>
    <t>=IF(O2201&lt;&gt;0,R2201/O2201,"")</t>
  </si>
  <si>
    <t>=U2201-W2201</t>
  </si>
  <si>
    <t>=IF(U2201&lt;&gt;0,X2201/U2201,"")</t>
  </si>
  <si>
    <t>=Z2201-AB2201</t>
  </si>
  <si>
    <t>=IF(Z2201&lt;&gt;0,AC2201/Z2201,"")</t>
  </si>
  <si>
    <t>="C100104"</t>
  </si>
  <si>
    <t>=C2203</t>
  </si>
  <si>
    <t>=C2204</t>
  </si>
  <si>
    <t>=NL("Sum","5802 Value Entry","150 Sales Amount (Expected)","41 Source Type",$C$5,"5 Source No.",$C2205,"4 Item Ledger Entry Type",$C$4,"2 Item No.","@@"&amp;$F2205,"3 Posting Date",J$9)+NL("Sum","5802 Value Entry","17 Sales Amount (Actual)","41 Source Type",$C$5,"5 Source no.",$C2205,"4 Item Ledger Entry Type",$C$4,"2 Item No.","@@"&amp;$F2205,"3 Posting Date",J$9)</t>
  </si>
  <si>
    <t>=-NL("Sum","5802 Value Entry","151 Cost Amount (Expected)","41 Source Type",$C$5,"5 Source No.",$C2205,"4 Item Ledger Entry Type",$C$4,"2 Item No.","@@"&amp;$F2205,"3 Posting Date",J$9)-NL("Sum","5802 Value Entry","43 Cost Amount (Actual)","41 Source Type",$C$5,"5 Source no.",$C2205,"4 Item Ledger Entry Type",$C$4,"2 Item No.","@@"&amp;$F2205,"3 Posting Date",J$9)</t>
  </si>
  <si>
    <t>=J2205-L2205</t>
  </si>
  <si>
    <t>=IF(J2205&lt;&gt;0,M2205/J2205,"")</t>
  </si>
  <si>
    <t>=NL("Sum","5802 Value Entry","150 Sales Amount (Expected)","41 Source Type",$C$5,"5 Source No.",$C2205,"4 Item Ledger Entry Type",$C$4,"2 Item No.","@@"&amp;$F2205,"3 Posting Date",O$9)+NL("Sum","5802 Value Entry","17 Sales Amount (Actual)","41 Source Type",$C$5,"5 Source no.",$C2205,"4 Item Ledger Entry Type",$C$4,"2 Item No.","@@"&amp;$F2205,"3 Posting Date",O$9)</t>
  </si>
  <si>
    <t>=-NL("Sum","5802 Value Entry","151 Cost Amount (Expected)","41 Source Type",$C$5,"5 Source No.",$C2205,"4 Item Ledger Entry Type",$C$4,"2 Item No.","@@"&amp;$F2205,"3 Posting Date",O$9)-NL("Sum","5802 Value Entry","43 Cost Amount (Actual)","41 Source Type",$C$5,"5 Source no.",$C2205,"4 Item Ledger Entry Type",$C$4,"2 Item No.","@@"&amp;$F2205,"3 Posting Date",O$9)</t>
  </si>
  <si>
    <t>=O2205-Q2205</t>
  </si>
  <si>
    <t>=IF(O2205&lt;&gt;0,R2205/O2205,"")</t>
  </si>
  <si>
    <t>=NL("Sum","5802 Value Entry","150 Sales Amount (Expected)","41 Source Type",$C$5,"5 Source No.",$C2205,"4 Item Ledger Entry Type",$C$4,"2 Item No.","@@"&amp;$F2205,"3 Posting Date",U$9)+NL("Sum","5802 Value Entry","17 Sales Amount (Actual)","41 Source Type",$C$5,"5 Source no.",$C2205,"4 Item Ledger Entry Type",$C$4,"2 Item No.","@@"&amp;$F2205,"3 Posting Date",U$9)</t>
  </si>
  <si>
    <t>=-NL("Sum","5802 Value Entry","151 Cost Amount (Expected)","41 Source Type",$C$5,"5 Source No.",$C2205,"4 Item Ledger Entry Type",$C$4,"2 Item No.","@@"&amp;$F2205,"3 Posting Date",U$9)-NL("Sum","5802 Value Entry","43 Cost Amount (Actual)","41 Source Type",$C$5,"5 Source no.",$C2205,"4 Item Ledger Entry Type",$C$4,"2 Item No.","@@"&amp;$F2205,"3 Posting Date",U$9)</t>
  </si>
  <si>
    <t>=U2205-W2205</t>
  </si>
  <si>
    <t>=IF(U2205&lt;&gt;0,X2205/U2205,"")</t>
  </si>
  <si>
    <t>=NL("Sum","5802 Value Entry","150 Sales Amount (Expected)","41 Source Type",$C$5,"5 Source No.",$C2205,"4 Item Ledger Entry Type",$C$4,"2 Item No.","@@"&amp;$F2205,"3 Posting Date",Z$9)+NL("Sum","5802 Value Entry","17 Sales Amount (Actual)","41 Source Type",$C$5,"5 Source no.",$C2205,"4 Item Ledger Entry Type",$C$4,"2 Item No.","@@"&amp;$F2205,"3 Posting Date",Z$9)</t>
  </si>
  <si>
    <t>=-NL("Sum","5802 Value Entry","151 Cost Amount (Expected)","41 Source Type",$C$5,"5 Source No.",$C2205,"4 Item Ledger Entry Type",$C$4,"2 Item No.","@@"&amp;$F2205,"3 Posting Date",Z$9)-NL("Sum","5802 Value Entry","43 Cost Amount (Actual)","41 Source Type",$C$5,"5 Source no.",$C2205,"4 Item Ledger Entry Type",$C$4,"2 Item No.","@@"&amp;$F2205,"3 Posting Date",Z$9)</t>
  </si>
  <si>
    <t>=Z2205-AB2205</t>
  </si>
  <si>
    <t>=IF(Z2205&lt;&gt;0,AC2205/Z2205,"")</t>
  </si>
  <si>
    <t>=C2205</t>
  </si>
  <si>
    <t>=NL("Sum","5802 Value Entry","150 Sales Amount (Expected)","41 Source Type",$C$5,"5 Source No.",$C2206,"4 Item Ledger Entry Type",$C$4,"2 Item No.","@@"&amp;$F2206,"3 Posting Date",J$9)+NL("Sum","5802 Value Entry","17 Sales Amount (Actual)","41 Source Type",$C$5,"5 Source no.",$C2206,"4 Item Ledger Entry Type",$C$4,"2 Item No.","@@"&amp;$F2206,"3 Posting Date",J$9)</t>
  </si>
  <si>
    <t>=-NL("Sum","5802 Value Entry","151 Cost Amount (Expected)","41 Source Type",$C$5,"5 Source No.",$C2206,"4 Item Ledger Entry Type",$C$4,"2 Item No.","@@"&amp;$F2206,"3 Posting Date",J$9)-NL("Sum","5802 Value Entry","43 Cost Amount (Actual)","41 Source Type",$C$5,"5 Source no.",$C2206,"4 Item Ledger Entry Type",$C$4,"2 Item No.","@@"&amp;$F2206,"3 Posting Date",J$9)</t>
  </si>
  <si>
    <t>=J2206-L2206</t>
  </si>
  <si>
    <t>=IF(J2206&lt;&gt;0,M2206/J2206,"")</t>
  </si>
  <si>
    <t>=NL("Sum","5802 Value Entry","150 Sales Amount (Expected)","41 Source Type",$C$5,"5 Source No.",$C2206,"4 Item Ledger Entry Type",$C$4,"2 Item No.","@@"&amp;$F2206,"3 Posting Date",O$9)+NL("Sum","5802 Value Entry","17 Sales Amount (Actual)","41 Source Type",$C$5,"5 Source no.",$C2206,"4 Item Ledger Entry Type",$C$4,"2 Item No.","@@"&amp;$F2206,"3 Posting Date",O$9)</t>
  </si>
  <si>
    <t>=-NL("Sum","5802 Value Entry","151 Cost Amount (Expected)","41 Source Type",$C$5,"5 Source No.",$C2206,"4 Item Ledger Entry Type",$C$4,"2 Item No.","@@"&amp;$F2206,"3 Posting Date",O$9)-NL("Sum","5802 Value Entry","43 Cost Amount (Actual)","41 Source Type",$C$5,"5 Source no.",$C2206,"4 Item Ledger Entry Type",$C$4,"2 Item No.","@@"&amp;$F2206,"3 Posting Date",O$9)</t>
  </si>
  <si>
    <t>=O2206-Q2206</t>
  </si>
  <si>
    <t>=IF(O2206&lt;&gt;0,R2206/O2206,"")</t>
  </si>
  <si>
    <t>=NL("Sum","5802 Value Entry","150 Sales Amount (Expected)","41 Source Type",$C$5,"5 Source No.",$C2206,"4 Item Ledger Entry Type",$C$4,"2 Item No.","@@"&amp;$F2206,"3 Posting Date",U$9)+NL("Sum","5802 Value Entry","17 Sales Amount (Actual)","41 Source Type",$C$5,"5 Source no.",$C2206,"4 Item Ledger Entry Type",$C$4,"2 Item No.","@@"&amp;$F2206,"3 Posting Date",U$9)</t>
  </si>
  <si>
    <t>=-NL("Sum","5802 Value Entry","151 Cost Amount (Expected)","41 Source Type",$C$5,"5 Source No.",$C2206,"4 Item Ledger Entry Type",$C$4,"2 Item No.","@@"&amp;$F2206,"3 Posting Date",U$9)-NL("Sum","5802 Value Entry","43 Cost Amount (Actual)","41 Source Type",$C$5,"5 Source no.",$C2206,"4 Item Ledger Entry Type",$C$4,"2 Item No.","@@"&amp;$F2206,"3 Posting Date",U$9)</t>
  </si>
  <si>
    <t>=U2206-W2206</t>
  </si>
  <si>
    <t>=IF(U2206&lt;&gt;0,X2206/U2206,"")</t>
  </si>
  <si>
    <t>=NL("Sum","5802 Value Entry","150 Sales Amount (Expected)","41 Source Type",$C$5,"5 Source No.",$C2206,"4 Item Ledger Entry Type",$C$4,"2 Item No.","@@"&amp;$F2206,"3 Posting Date",Z$9)+NL("Sum","5802 Value Entry","17 Sales Amount (Actual)","41 Source Type",$C$5,"5 Source no.",$C2206,"4 Item Ledger Entry Type",$C$4,"2 Item No.","@@"&amp;$F2206,"3 Posting Date",Z$9)</t>
  </si>
  <si>
    <t>=-NL("Sum","5802 Value Entry","151 Cost Amount (Expected)","41 Source Type",$C$5,"5 Source No.",$C2206,"4 Item Ledger Entry Type",$C$4,"2 Item No.","@@"&amp;$F2206,"3 Posting Date",Z$9)-NL("Sum","5802 Value Entry","43 Cost Amount (Actual)","41 Source Type",$C$5,"5 Source no.",$C2206,"4 Item Ledger Entry Type",$C$4,"2 Item No.","@@"&amp;$F2206,"3 Posting Date",Z$9)</t>
  </si>
  <si>
    <t>=Z2206-AB2206</t>
  </si>
  <si>
    <t>=IF(Z2206&lt;&gt;0,AC2206/Z2206,"")</t>
  </si>
  <si>
    <t>=C2207</t>
  </si>
  <si>
    <t>=J2208-L2208</t>
  </si>
  <si>
    <t>=IF(J2208&lt;&gt;0,M2208/J2208,"")</t>
  </si>
  <si>
    <t>=O2208-Q2208</t>
  </si>
  <si>
    <t>=IF(O2208&lt;&gt;0,R2208/O2208,"")</t>
  </si>
  <si>
    <t>=U2208-W2208</t>
  </si>
  <si>
    <t>=IF(U2208&lt;&gt;0,X2208/U2208,"")</t>
  </si>
  <si>
    <t>=Z2208-AB2208</t>
  </si>
  <si>
    <t>=IF(Z2208&lt;&gt;0,AC2208/Z2208,"")</t>
  </si>
  <si>
    <t>=C2210</t>
  </si>
  <si>
    <t>=C2211</t>
  </si>
  <si>
    <t>=NL("Sum","5802 Value Entry","150 Sales Amount (Expected)","41 Source Type",$C$5,"5 Source No.",$C2212,"4 Item Ledger Entry Type",$C$4,"2 Item No.","@@"&amp;$F2212,"3 Posting Date",J$9)+NL("Sum","5802 Value Entry","17 Sales Amount (Actual)","41 Source Type",$C$5,"5 Source no.",$C2212,"4 Item Ledger Entry Type",$C$4,"2 Item No.","@@"&amp;$F2212,"3 Posting Date",J$9)</t>
  </si>
  <si>
    <t>=-NL("Sum","5802 Value Entry","151 Cost Amount (Expected)","41 Source Type",$C$5,"5 Source No.",$C2212,"4 Item Ledger Entry Type",$C$4,"2 Item No.","@@"&amp;$F2212,"3 Posting Date",J$9)-NL("Sum","5802 Value Entry","43 Cost Amount (Actual)","41 Source Type",$C$5,"5 Source no.",$C2212,"4 Item Ledger Entry Type",$C$4,"2 Item No.","@@"&amp;$F2212,"3 Posting Date",J$9)</t>
  </si>
  <si>
    <t>=J2212-L2212</t>
  </si>
  <si>
    <t>=IF(J2212&lt;&gt;0,M2212/J2212,"")</t>
  </si>
  <si>
    <t>=NL("Sum","5802 Value Entry","150 Sales Amount (Expected)","41 Source Type",$C$5,"5 Source No.",$C2212,"4 Item Ledger Entry Type",$C$4,"2 Item No.","@@"&amp;$F2212,"3 Posting Date",O$9)+NL("Sum","5802 Value Entry","17 Sales Amount (Actual)","41 Source Type",$C$5,"5 Source no.",$C2212,"4 Item Ledger Entry Type",$C$4,"2 Item No.","@@"&amp;$F2212,"3 Posting Date",O$9)</t>
  </si>
  <si>
    <t>=-NL("Sum","5802 Value Entry","151 Cost Amount (Expected)","41 Source Type",$C$5,"5 Source No.",$C2212,"4 Item Ledger Entry Type",$C$4,"2 Item No.","@@"&amp;$F2212,"3 Posting Date",O$9)-NL("Sum","5802 Value Entry","43 Cost Amount (Actual)","41 Source Type",$C$5,"5 Source no.",$C2212,"4 Item Ledger Entry Type",$C$4,"2 Item No.","@@"&amp;$F2212,"3 Posting Date",O$9)</t>
  </si>
  <si>
    <t>=O2212-Q2212</t>
  </si>
  <si>
    <t>=IF(O2212&lt;&gt;0,R2212/O2212,"")</t>
  </si>
  <si>
    <t>=NL("Sum","5802 Value Entry","150 Sales Amount (Expected)","41 Source Type",$C$5,"5 Source No.",$C2212,"4 Item Ledger Entry Type",$C$4,"2 Item No.","@@"&amp;$F2212,"3 Posting Date",U$9)+NL("Sum","5802 Value Entry","17 Sales Amount (Actual)","41 Source Type",$C$5,"5 Source no.",$C2212,"4 Item Ledger Entry Type",$C$4,"2 Item No.","@@"&amp;$F2212,"3 Posting Date",U$9)</t>
  </si>
  <si>
    <t>=-NL("Sum","5802 Value Entry","151 Cost Amount (Expected)","41 Source Type",$C$5,"5 Source No.",$C2212,"4 Item Ledger Entry Type",$C$4,"2 Item No.","@@"&amp;$F2212,"3 Posting Date",U$9)-NL("Sum","5802 Value Entry","43 Cost Amount (Actual)","41 Source Type",$C$5,"5 Source no.",$C2212,"4 Item Ledger Entry Type",$C$4,"2 Item No.","@@"&amp;$F2212,"3 Posting Date",U$9)</t>
  </si>
  <si>
    <t>=U2212-W2212</t>
  </si>
  <si>
    <t>=IF(U2212&lt;&gt;0,X2212/U2212,"")</t>
  </si>
  <si>
    <t>=NL("Sum","5802 Value Entry","150 Sales Amount (Expected)","41 Source Type",$C$5,"5 Source No.",$C2212,"4 Item Ledger Entry Type",$C$4,"2 Item No.","@@"&amp;$F2212,"3 Posting Date",Z$9)+NL("Sum","5802 Value Entry","17 Sales Amount (Actual)","41 Source Type",$C$5,"5 Source no.",$C2212,"4 Item Ledger Entry Type",$C$4,"2 Item No.","@@"&amp;$F2212,"3 Posting Date",Z$9)</t>
  </si>
  <si>
    <t>=-NL("Sum","5802 Value Entry","151 Cost Amount (Expected)","41 Source Type",$C$5,"5 Source No.",$C2212,"4 Item Ledger Entry Type",$C$4,"2 Item No.","@@"&amp;$F2212,"3 Posting Date",Z$9)-NL("Sum","5802 Value Entry","43 Cost Amount (Actual)","41 Source Type",$C$5,"5 Source no.",$C2212,"4 Item Ledger Entry Type",$C$4,"2 Item No.","@@"&amp;$F2212,"3 Posting Date",Z$9)</t>
  </si>
  <si>
    <t>=Z2212-AB2212</t>
  </si>
  <si>
    <t>=IF(Z2212&lt;&gt;0,AC2212/Z2212,"")</t>
  </si>
  <si>
    <t>=C2212</t>
  </si>
  <si>
    <t>=NL("Sum","5802 Value Entry","150 Sales Amount (Expected)","41 Source Type",$C$5,"5 Source No.",$C2213,"4 Item Ledger Entry Type",$C$4,"2 Item No.","@@"&amp;$F2213,"3 Posting Date",J$9)+NL("Sum","5802 Value Entry","17 Sales Amount (Actual)","41 Source Type",$C$5,"5 Source no.",$C2213,"4 Item Ledger Entry Type",$C$4,"2 Item No.","@@"&amp;$F2213,"3 Posting Date",J$9)</t>
  </si>
  <si>
    <t>=-NL("Sum","5802 Value Entry","151 Cost Amount (Expected)","41 Source Type",$C$5,"5 Source No.",$C2213,"4 Item Ledger Entry Type",$C$4,"2 Item No.","@@"&amp;$F2213,"3 Posting Date",J$9)-NL("Sum","5802 Value Entry","43 Cost Amount (Actual)","41 Source Type",$C$5,"5 Source no.",$C2213,"4 Item Ledger Entry Type",$C$4,"2 Item No.","@@"&amp;$F2213,"3 Posting Date",J$9)</t>
  </si>
  <si>
    <t>=J2213-L2213</t>
  </si>
  <si>
    <t>=IF(J2213&lt;&gt;0,M2213/J2213,"")</t>
  </si>
  <si>
    <t>=NL("Sum","5802 Value Entry","150 Sales Amount (Expected)","41 Source Type",$C$5,"5 Source No.",$C2213,"4 Item Ledger Entry Type",$C$4,"2 Item No.","@@"&amp;$F2213,"3 Posting Date",O$9)+NL("Sum","5802 Value Entry","17 Sales Amount (Actual)","41 Source Type",$C$5,"5 Source no.",$C2213,"4 Item Ledger Entry Type",$C$4,"2 Item No.","@@"&amp;$F2213,"3 Posting Date",O$9)</t>
  </si>
  <si>
    <t>=-NL("Sum","5802 Value Entry","151 Cost Amount (Expected)","41 Source Type",$C$5,"5 Source No.",$C2213,"4 Item Ledger Entry Type",$C$4,"2 Item No.","@@"&amp;$F2213,"3 Posting Date",O$9)-NL("Sum","5802 Value Entry","43 Cost Amount (Actual)","41 Source Type",$C$5,"5 Source no.",$C2213,"4 Item Ledger Entry Type",$C$4,"2 Item No.","@@"&amp;$F2213,"3 Posting Date",O$9)</t>
  </si>
  <si>
    <t>=O2213-Q2213</t>
  </si>
  <si>
    <t>=IF(O2213&lt;&gt;0,R2213/O2213,"")</t>
  </si>
  <si>
    <t>=NL("Sum","5802 Value Entry","150 Sales Amount (Expected)","41 Source Type",$C$5,"5 Source No.",$C2213,"4 Item Ledger Entry Type",$C$4,"2 Item No.","@@"&amp;$F2213,"3 Posting Date",U$9)+NL("Sum","5802 Value Entry","17 Sales Amount (Actual)","41 Source Type",$C$5,"5 Source no.",$C2213,"4 Item Ledger Entry Type",$C$4,"2 Item No.","@@"&amp;$F2213,"3 Posting Date",U$9)</t>
  </si>
  <si>
    <t>=-NL("Sum","5802 Value Entry","151 Cost Amount (Expected)","41 Source Type",$C$5,"5 Source No.",$C2213,"4 Item Ledger Entry Type",$C$4,"2 Item No.","@@"&amp;$F2213,"3 Posting Date",U$9)-NL("Sum","5802 Value Entry","43 Cost Amount (Actual)","41 Source Type",$C$5,"5 Source no.",$C2213,"4 Item Ledger Entry Type",$C$4,"2 Item No.","@@"&amp;$F2213,"3 Posting Date",U$9)</t>
  </si>
  <si>
    <t>=U2213-W2213</t>
  </si>
  <si>
    <t>=IF(U2213&lt;&gt;0,X2213/U2213,"")</t>
  </si>
  <si>
    <t>=NL("Sum","5802 Value Entry","150 Sales Amount (Expected)","41 Source Type",$C$5,"5 Source No.",$C2213,"4 Item Ledger Entry Type",$C$4,"2 Item No.","@@"&amp;$F2213,"3 Posting Date",Z$9)+NL("Sum","5802 Value Entry","17 Sales Amount (Actual)","41 Source Type",$C$5,"5 Source no.",$C2213,"4 Item Ledger Entry Type",$C$4,"2 Item No.","@@"&amp;$F2213,"3 Posting Date",Z$9)</t>
  </si>
  <si>
    <t>=-NL("Sum","5802 Value Entry","151 Cost Amount (Expected)","41 Source Type",$C$5,"5 Source No.",$C2213,"4 Item Ledger Entry Type",$C$4,"2 Item No.","@@"&amp;$F2213,"3 Posting Date",Z$9)-NL("Sum","5802 Value Entry","43 Cost Amount (Actual)","41 Source Type",$C$5,"5 Source no.",$C2213,"4 Item Ledger Entry Type",$C$4,"2 Item No.","@@"&amp;$F2213,"3 Posting Date",Z$9)</t>
  </si>
  <si>
    <t>=Z2213-AB2213</t>
  </si>
  <si>
    <t>=IF(Z2213&lt;&gt;0,AC2213/Z2213,"")</t>
  </si>
  <si>
    <t>=C2213</t>
  </si>
  <si>
    <t>=NL("Sum","5802 Value Entry","150 Sales Amount (Expected)","41 Source Type",$C$5,"5 Source No.",$C2214,"4 Item Ledger Entry Type",$C$4,"2 Item No.","@@"&amp;$F2214,"3 Posting Date",J$9)+NL("Sum","5802 Value Entry","17 Sales Amount (Actual)","41 Source Type",$C$5,"5 Source no.",$C2214,"4 Item Ledger Entry Type",$C$4,"2 Item No.","@@"&amp;$F2214,"3 Posting Date",J$9)</t>
  </si>
  <si>
    <t>=-NL("Sum","5802 Value Entry","151 Cost Amount (Expected)","41 Source Type",$C$5,"5 Source No.",$C2214,"4 Item Ledger Entry Type",$C$4,"2 Item No.","@@"&amp;$F2214,"3 Posting Date",J$9)-NL("Sum","5802 Value Entry","43 Cost Amount (Actual)","41 Source Type",$C$5,"5 Source no.",$C2214,"4 Item Ledger Entry Type",$C$4,"2 Item No.","@@"&amp;$F2214,"3 Posting Date",J$9)</t>
  </si>
  <si>
    <t>=J2214-L2214</t>
  </si>
  <si>
    <t>=IF(J2214&lt;&gt;0,M2214/J2214,"")</t>
  </si>
  <si>
    <t>=NL("Sum","5802 Value Entry","150 Sales Amount (Expected)","41 Source Type",$C$5,"5 Source No.",$C2214,"4 Item Ledger Entry Type",$C$4,"2 Item No.","@@"&amp;$F2214,"3 Posting Date",O$9)+NL("Sum","5802 Value Entry","17 Sales Amount (Actual)","41 Source Type",$C$5,"5 Source no.",$C2214,"4 Item Ledger Entry Type",$C$4,"2 Item No.","@@"&amp;$F2214,"3 Posting Date",O$9)</t>
  </si>
  <si>
    <t>=-NL("Sum","5802 Value Entry","151 Cost Amount (Expected)","41 Source Type",$C$5,"5 Source No.",$C2214,"4 Item Ledger Entry Type",$C$4,"2 Item No.","@@"&amp;$F2214,"3 Posting Date",O$9)-NL("Sum","5802 Value Entry","43 Cost Amount (Actual)","41 Source Type",$C$5,"5 Source no.",$C2214,"4 Item Ledger Entry Type",$C$4,"2 Item No.","@@"&amp;$F2214,"3 Posting Date",O$9)</t>
  </si>
  <si>
    <t>=O2214-Q2214</t>
  </si>
  <si>
    <t>=IF(O2214&lt;&gt;0,R2214/O2214,"")</t>
  </si>
  <si>
    <t>=NL("Sum","5802 Value Entry","150 Sales Amount (Expected)","41 Source Type",$C$5,"5 Source No.",$C2214,"4 Item Ledger Entry Type",$C$4,"2 Item No.","@@"&amp;$F2214,"3 Posting Date",U$9)+NL("Sum","5802 Value Entry","17 Sales Amount (Actual)","41 Source Type",$C$5,"5 Source no.",$C2214,"4 Item Ledger Entry Type",$C$4,"2 Item No.","@@"&amp;$F2214,"3 Posting Date",U$9)</t>
  </si>
  <si>
    <t>=-NL("Sum","5802 Value Entry","151 Cost Amount (Expected)","41 Source Type",$C$5,"5 Source No.",$C2214,"4 Item Ledger Entry Type",$C$4,"2 Item No.","@@"&amp;$F2214,"3 Posting Date",U$9)-NL("Sum","5802 Value Entry","43 Cost Amount (Actual)","41 Source Type",$C$5,"5 Source no.",$C2214,"4 Item Ledger Entry Type",$C$4,"2 Item No.","@@"&amp;$F2214,"3 Posting Date",U$9)</t>
  </si>
  <si>
    <t>=U2214-W2214</t>
  </si>
  <si>
    <t>=IF(U2214&lt;&gt;0,X2214/U2214,"")</t>
  </si>
  <si>
    <t>=NL("Sum","5802 Value Entry","150 Sales Amount (Expected)","41 Source Type",$C$5,"5 Source No.",$C2214,"4 Item Ledger Entry Type",$C$4,"2 Item No.","@@"&amp;$F2214,"3 Posting Date",Z$9)+NL("Sum","5802 Value Entry","17 Sales Amount (Actual)","41 Source Type",$C$5,"5 Source no.",$C2214,"4 Item Ledger Entry Type",$C$4,"2 Item No.","@@"&amp;$F2214,"3 Posting Date",Z$9)</t>
  </si>
  <si>
    <t>=-NL("Sum","5802 Value Entry","151 Cost Amount (Expected)","41 Source Type",$C$5,"5 Source No.",$C2214,"4 Item Ledger Entry Type",$C$4,"2 Item No.","@@"&amp;$F2214,"3 Posting Date",Z$9)-NL("Sum","5802 Value Entry","43 Cost Amount (Actual)","41 Source Type",$C$5,"5 Source no.",$C2214,"4 Item Ledger Entry Type",$C$4,"2 Item No.","@@"&amp;$F2214,"3 Posting Date",Z$9)</t>
  </si>
  <si>
    <t>=Z2214-AB2214</t>
  </si>
  <si>
    <t>=IF(Z2214&lt;&gt;0,AC2214/Z2214,"")</t>
  </si>
  <si>
    <t>=C2214</t>
  </si>
  <si>
    <t>=NL("Sum","5802 Value Entry","150 Sales Amount (Expected)","41 Source Type",$C$5,"5 Source No.",$C2215,"4 Item Ledger Entry Type",$C$4,"2 Item No.","@@"&amp;$F2215,"3 Posting Date",J$9)+NL("Sum","5802 Value Entry","17 Sales Amount (Actual)","41 Source Type",$C$5,"5 Source no.",$C2215,"4 Item Ledger Entry Type",$C$4,"2 Item No.","@@"&amp;$F2215,"3 Posting Date",J$9)</t>
  </si>
  <si>
    <t>=-NL("Sum","5802 Value Entry","151 Cost Amount (Expected)","41 Source Type",$C$5,"5 Source No.",$C2215,"4 Item Ledger Entry Type",$C$4,"2 Item No.","@@"&amp;$F2215,"3 Posting Date",J$9)-NL("Sum","5802 Value Entry","43 Cost Amount (Actual)","41 Source Type",$C$5,"5 Source no.",$C2215,"4 Item Ledger Entry Type",$C$4,"2 Item No.","@@"&amp;$F2215,"3 Posting Date",J$9)</t>
  </si>
  <si>
    <t>=J2215-L2215</t>
  </si>
  <si>
    <t>=IF(J2215&lt;&gt;0,M2215/J2215,"")</t>
  </si>
  <si>
    <t>=NL("Sum","5802 Value Entry","150 Sales Amount (Expected)","41 Source Type",$C$5,"5 Source No.",$C2215,"4 Item Ledger Entry Type",$C$4,"2 Item No.","@@"&amp;$F2215,"3 Posting Date",O$9)+NL("Sum","5802 Value Entry","17 Sales Amount (Actual)","41 Source Type",$C$5,"5 Source no.",$C2215,"4 Item Ledger Entry Type",$C$4,"2 Item No.","@@"&amp;$F2215,"3 Posting Date",O$9)</t>
  </si>
  <si>
    <t>=-NL("Sum","5802 Value Entry","151 Cost Amount (Expected)","41 Source Type",$C$5,"5 Source No.",$C2215,"4 Item Ledger Entry Type",$C$4,"2 Item No.","@@"&amp;$F2215,"3 Posting Date",O$9)-NL("Sum","5802 Value Entry","43 Cost Amount (Actual)","41 Source Type",$C$5,"5 Source no.",$C2215,"4 Item Ledger Entry Type",$C$4,"2 Item No.","@@"&amp;$F2215,"3 Posting Date",O$9)</t>
  </si>
  <si>
    <t>=O2215-Q2215</t>
  </si>
  <si>
    <t>=IF(O2215&lt;&gt;0,R2215/O2215,"")</t>
  </si>
  <si>
    <t>=NL("Sum","5802 Value Entry","150 Sales Amount (Expected)","41 Source Type",$C$5,"5 Source No.",$C2215,"4 Item Ledger Entry Type",$C$4,"2 Item No.","@@"&amp;$F2215,"3 Posting Date",U$9)+NL("Sum","5802 Value Entry","17 Sales Amount (Actual)","41 Source Type",$C$5,"5 Source no.",$C2215,"4 Item Ledger Entry Type",$C$4,"2 Item No.","@@"&amp;$F2215,"3 Posting Date",U$9)</t>
  </si>
  <si>
    <t>=-NL("Sum","5802 Value Entry","151 Cost Amount (Expected)","41 Source Type",$C$5,"5 Source No.",$C2215,"4 Item Ledger Entry Type",$C$4,"2 Item No.","@@"&amp;$F2215,"3 Posting Date",U$9)-NL("Sum","5802 Value Entry","43 Cost Amount (Actual)","41 Source Type",$C$5,"5 Source no.",$C2215,"4 Item Ledger Entry Type",$C$4,"2 Item No.","@@"&amp;$F2215,"3 Posting Date",U$9)</t>
  </si>
  <si>
    <t>=U2215-W2215</t>
  </si>
  <si>
    <t>=IF(U2215&lt;&gt;0,X2215/U2215,"")</t>
  </si>
  <si>
    <t>=NL("Sum","5802 Value Entry","150 Sales Amount (Expected)","41 Source Type",$C$5,"5 Source No.",$C2215,"4 Item Ledger Entry Type",$C$4,"2 Item No.","@@"&amp;$F2215,"3 Posting Date",Z$9)+NL("Sum","5802 Value Entry","17 Sales Amount (Actual)","41 Source Type",$C$5,"5 Source no.",$C2215,"4 Item Ledger Entry Type",$C$4,"2 Item No.","@@"&amp;$F2215,"3 Posting Date",Z$9)</t>
  </si>
  <si>
    <t>=-NL("Sum","5802 Value Entry","151 Cost Amount (Expected)","41 Source Type",$C$5,"5 Source No.",$C2215,"4 Item Ledger Entry Type",$C$4,"2 Item No.","@@"&amp;$F2215,"3 Posting Date",Z$9)-NL("Sum","5802 Value Entry","43 Cost Amount (Actual)","41 Source Type",$C$5,"5 Source no.",$C2215,"4 Item Ledger Entry Type",$C$4,"2 Item No.","@@"&amp;$F2215,"3 Posting Date",Z$9)</t>
  </si>
  <si>
    <t>=Z2215-AB2215</t>
  </si>
  <si>
    <t>=IF(Z2215&lt;&gt;0,AC2215/Z2215,"")</t>
  </si>
  <si>
    <t>=C2215</t>
  </si>
  <si>
    <t>=NL("Sum","5802 Value Entry","150 Sales Amount (Expected)","41 Source Type",$C$5,"5 Source No.",$C2216,"4 Item Ledger Entry Type",$C$4,"2 Item No.","@@"&amp;$F2216,"3 Posting Date",J$9)+NL("Sum","5802 Value Entry","17 Sales Amount (Actual)","41 Source Type",$C$5,"5 Source no.",$C2216,"4 Item Ledger Entry Type",$C$4,"2 Item No.","@@"&amp;$F2216,"3 Posting Date",J$9)</t>
  </si>
  <si>
    <t>=-NL("Sum","5802 Value Entry","151 Cost Amount (Expected)","41 Source Type",$C$5,"5 Source No.",$C2216,"4 Item Ledger Entry Type",$C$4,"2 Item No.","@@"&amp;$F2216,"3 Posting Date",J$9)-NL("Sum","5802 Value Entry","43 Cost Amount (Actual)","41 Source Type",$C$5,"5 Source no.",$C2216,"4 Item Ledger Entry Type",$C$4,"2 Item No.","@@"&amp;$F2216,"3 Posting Date",J$9)</t>
  </si>
  <si>
    <t>=J2216-L2216</t>
  </si>
  <si>
    <t>=IF(J2216&lt;&gt;0,M2216/J2216,"")</t>
  </si>
  <si>
    <t>=NL("Sum","5802 Value Entry","150 Sales Amount (Expected)","41 Source Type",$C$5,"5 Source No.",$C2216,"4 Item Ledger Entry Type",$C$4,"2 Item No.","@@"&amp;$F2216,"3 Posting Date",O$9)+NL("Sum","5802 Value Entry","17 Sales Amount (Actual)","41 Source Type",$C$5,"5 Source no.",$C2216,"4 Item Ledger Entry Type",$C$4,"2 Item No.","@@"&amp;$F2216,"3 Posting Date",O$9)</t>
  </si>
  <si>
    <t>=-NL("Sum","5802 Value Entry","151 Cost Amount (Expected)","41 Source Type",$C$5,"5 Source No.",$C2216,"4 Item Ledger Entry Type",$C$4,"2 Item No.","@@"&amp;$F2216,"3 Posting Date",O$9)-NL("Sum","5802 Value Entry","43 Cost Amount (Actual)","41 Source Type",$C$5,"5 Source no.",$C2216,"4 Item Ledger Entry Type",$C$4,"2 Item No.","@@"&amp;$F2216,"3 Posting Date",O$9)</t>
  </si>
  <si>
    <t>=O2216-Q2216</t>
  </si>
  <si>
    <t>=IF(O2216&lt;&gt;0,R2216/O2216,"")</t>
  </si>
  <si>
    <t>=NL("Sum","5802 Value Entry","150 Sales Amount (Expected)","41 Source Type",$C$5,"5 Source No.",$C2216,"4 Item Ledger Entry Type",$C$4,"2 Item No.","@@"&amp;$F2216,"3 Posting Date",U$9)+NL("Sum","5802 Value Entry","17 Sales Amount (Actual)","41 Source Type",$C$5,"5 Source no.",$C2216,"4 Item Ledger Entry Type",$C$4,"2 Item No.","@@"&amp;$F2216,"3 Posting Date",U$9)</t>
  </si>
  <si>
    <t>=-NL("Sum","5802 Value Entry","151 Cost Amount (Expected)","41 Source Type",$C$5,"5 Source No.",$C2216,"4 Item Ledger Entry Type",$C$4,"2 Item No.","@@"&amp;$F2216,"3 Posting Date",U$9)-NL("Sum","5802 Value Entry","43 Cost Amount (Actual)","41 Source Type",$C$5,"5 Source no.",$C2216,"4 Item Ledger Entry Type",$C$4,"2 Item No.","@@"&amp;$F2216,"3 Posting Date",U$9)</t>
  </si>
  <si>
    <t>=U2216-W2216</t>
  </si>
  <si>
    <t>=IF(U2216&lt;&gt;0,X2216/U2216,"")</t>
  </si>
  <si>
    <t>=NL("Sum","5802 Value Entry","150 Sales Amount (Expected)","41 Source Type",$C$5,"5 Source No.",$C2216,"4 Item Ledger Entry Type",$C$4,"2 Item No.","@@"&amp;$F2216,"3 Posting Date",Z$9)+NL("Sum","5802 Value Entry","17 Sales Amount (Actual)","41 Source Type",$C$5,"5 Source no.",$C2216,"4 Item Ledger Entry Type",$C$4,"2 Item No.","@@"&amp;$F2216,"3 Posting Date",Z$9)</t>
  </si>
  <si>
    <t>=-NL("Sum","5802 Value Entry","151 Cost Amount (Expected)","41 Source Type",$C$5,"5 Source No.",$C2216,"4 Item Ledger Entry Type",$C$4,"2 Item No.","@@"&amp;$F2216,"3 Posting Date",Z$9)-NL("Sum","5802 Value Entry","43 Cost Amount (Actual)","41 Source Type",$C$5,"5 Source no.",$C2216,"4 Item Ledger Entry Type",$C$4,"2 Item No.","@@"&amp;$F2216,"3 Posting Date",Z$9)</t>
  </si>
  <si>
    <t>=Z2216-AB2216</t>
  </si>
  <si>
    <t>=IF(Z2216&lt;&gt;0,AC2216/Z2216,"")</t>
  </si>
  <si>
    <t>=C2216</t>
  </si>
  <si>
    <t>=NL("Sum","5802 Value Entry","150 Sales Amount (Expected)","41 Source Type",$C$5,"5 Source No.",$C2217,"4 Item Ledger Entry Type",$C$4,"2 Item No.","@@"&amp;$F2217,"3 Posting Date",J$9)+NL("Sum","5802 Value Entry","17 Sales Amount (Actual)","41 Source Type",$C$5,"5 Source no.",$C2217,"4 Item Ledger Entry Type",$C$4,"2 Item No.","@@"&amp;$F2217,"3 Posting Date",J$9)</t>
  </si>
  <si>
    <t>=-NL("Sum","5802 Value Entry","151 Cost Amount (Expected)","41 Source Type",$C$5,"5 Source No.",$C2217,"4 Item Ledger Entry Type",$C$4,"2 Item No.","@@"&amp;$F2217,"3 Posting Date",J$9)-NL("Sum","5802 Value Entry","43 Cost Amount (Actual)","41 Source Type",$C$5,"5 Source no.",$C2217,"4 Item Ledger Entry Type",$C$4,"2 Item No.","@@"&amp;$F2217,"3 Posting Date",J$9)</t>
  </si>
  <si>
    <t>=J2217-L2217</t>
  </si>
  <si>
    <t>=IF(J2217&lt;&gt;0,M2217/J2217,"")</t>
  </si>
  <si>
    <t>=NL("Sum","5802 Value Entry","150 Sales Amount (Expected)","41 Source Type",$C$5,"5 Source No.",$C2217,"4 Item Ledger Entry Type",$C$4,"2 Item No.","@@"&amp;$F2217,"3 Posting Date",O$9)+NL("Sum","5802 Value Entry","17 Sales Amount (Actual)","41 Source Type",$C$5,"5 Source no.",$C2217,"4 Item Ledger Entry Type",$C$4,"2 Item No.","@@"&amp;$F2217,"3 Posting Date",O$9)</t>
  </si>
  <si>
    <t>=-NL("Sum","5802 Value Entry","151 Cost Amount (Expected)","41 Source Type",$C$5,"5 Source No.",$C2217,"4 Item Ledger Entry Type",$C$4,"2 Item No.","@@"&amp;$F2217,"3 Posting Date",O$9)-NL("Sum","5802 Value Entry","43 Cost Amount (Actual)","41 Source Type",$C$5,"5 Source no.",$C2217,"4 Item Ledger Entry Type",$C$4,"2 Item No.","@@"&amp;$F2217,"3 Posting Date",O$9)</t>
  </si>
  <si>
    <t>=O2217-Q2217</t>
  </si>
  <si>
    <t>=IF(O2217&lt;&gt;0,R2217/O2217,"")</t>
  </si>
  <si>
    <t>=NL("Sum","5802 Value Entry","150 Sales Amount (Expected)","41 Source Type",$C$5,"5 Source No.",$C2217,"4 Item Ledger Entry Type",$C$4,"2 Item No.","@@"&amp;$F2217,"3 Posting Date",U$9)+NL("Sum","5802 Value Entry","17 Sales Amount (Actual)","41 Source Type",$C$5,"5 Source no.",$C2217,"4 Item Ledger Entry Type",$C$4,"2 Item No.","@@"&amp;$F2217,"3 Posting Date",U$9)</t>
  </si>
  <si>
    <t>=-NL("Sum","5802 Value Entry","151 Cost Amount (Expected)","41 Source Type",$C$5,"5 Source No.",$C2217,"4 Item Ledger Entry Type",$C$4,"2 Item No.","@@"&amp;$F2217,"3 Posting Date",U$9)-NL("Sum","5802 Value Entry","43 Cost Amount (Actual)","41 Source Type",$C$5,"5 Source no.",$C2217,"4 Item Ledger Entry Type",$C$4,"2 Item No.","@@"&amp;$F2217,"3 Posting Date",U$9)</t>
  </si>
  <si>
    <t>=U2217-W2217</t>
  </si>
  <si>
    <t>=IF(U2217&lt;&gt;0,X2217/U2217,"")</t>
  </si>
  <si>
    <t>=NL("Sum","5802 Value Entry","150 Sales Amount (Expected)","41 Source Type",$C$5,"5 Source No.",$C2217,"4 Item Ledger Entry Type",$C$4,"2 Item No.","@@"&amp;$F2217,"3 Posting Date",Z$9)+NL("Sum","5802 Value Entry","17 Sales Amount (Actual)","41 Source Type",$C$5,"5 Source no.",$C2217,"4 Item Ledger Entry Type",$C$4,"2 Item No.","@@"&amp;$F2217,"3 Posting Date",Z$9)</t>
  </si>
  <si>
    <t>=-NL("Sum","5802 Value Entry","151 Cost Amount (Expected)","41 Source Type",$C$5,"5 Source No.",$C2217,"4 Item Ledger Entry Type",$C$4,"2 Item No.","@@"&amp;$F2217,"3 Posting Date",Z$9)-NL("Sum","5802 Value Entry","43 Cost Amount (Actual)","41 Source Type",$C$5,"5 Source no.",$C2217,"4 Item Ledger Entry Type",$C$4,"2 Item No.","@@"&amp;$F2217,"3 Posting Date",Z$9)</t>
  </si>
  <si>
    <t>=Z2217-AB2217</t>
  </si>
  <si>
    <t>=IF(Z2217&lt;&gt;0,AC2217/Z2217,"")</t>
  </si>
  <si>
    <t>=C2217</t>
  </si>
  <si>
    <t>=NL("Sum","5802 Value Entry","150 Sales Amount (Expected)","41 Source Type",$C$5,"5 Source No.",$C2218,"4 Item Ledger Entry Type",$C$4,"2 Item No.","@@"&amp;$F2218,"3 Posting Date",J$9)+NL("Sum","5802 Value Entry","17 Sales Amount (Actual)","41 Source Type",$C$5,"5 Source no.",$C2218,"4 Item Ledger Entry Type",$C$4,"2 Item No.","@@"&amp;$F2218,"3 Posting Date",J$9)</t>
  </si>
  <si>
    <t>=-NL("Sum","5802 Value Entry","151 Cost Amount (Expected)","41 Source Type",$C$5,"5 Source No.",$C2218,"4 Item Ledger Entry Type",$C$4,"2 Item No.","@@"&amp;$F2218,"3 Posting Date",J$9)-NL("Sum","5802 Value Entry","43 Cost Amount (Actual)","41 Source Type",$C$5,"5 Source no.",$C2218,"4 Item Ledger Entry Type",$C$4,"2 Item No.","@@"&amp;$F2218,"3 Posting Date",J$9)</t>
  </si>
  <si>
    <t>=J2218-L2218</t>
  </si>
  <si>
    <t>=IF(J2218&lt;&gt;0,M2218/J2218,"")</t>
  </si>
  <si>
    <t>=NL("Sum","5802 Value Entry","150 Sales Amount (Expected)","41 Source Type",$C$5,"5 Source No.",$C2218,"4 Item Ledger Entry Type",$C$4,"2 Item No.","@@"&amp;$F2218,"3 Posting Date",O$9)+NL("Sum","5802 Value Entry","17 Sales Amount (Actual)","41 Source Type",$C$5,"5 Source no.",$C2218,"4 Item Ledger Entry Type",$C$4,"2 Item No.","@@"&amp;$F2218,"3 Posting Date",O$9)</t>
  </si>
  <si>
    <t>=-NL("Sum","5802 Value Entry","151 Cost Amount (Expected)","41 Source Type",$C$5,"5 Source No.",$C2218,"4 Item Ledger Entry Type",$C$4,"2 Item No.","@@"&amp;$F2218,"3 Posting Date",O$9)-NL("Sum","5802 Value Entry","43 Cost Amount (Actual)","41 Source Type",$C$5,"5 Source no.",$C2218,"4 Item Ledger Entry Type",$C$4,"2 Item No.","@@"&amp;$F2218,"3 Posting Date",O$9)</t>
  </si>
  <si>
    <t>=O2218-Q2218</t>
  </si>
  <si>
    <t>=IF(O2218&lt;&gt;0,R2218/O2218,"")</t>
  </si>
  <si>
    <t>=NL("Sum","5802 Value Entry","150 Sales Amount (Expected)","41 Source Type",$C$5,"5 Source No.",$C2218,"4 Item Ledger Entry Type",$C$4,"2 Item No.","@@"&amp;$F2218,"3 Posting Date",U$9)+NL("Sum","5802 Value Entry","17 Sales Amount (Actual)","41 Source Type",$C$5,"5 Source no.",$C2218,"4 Item Ledger Entry Type",$C$4,"2 Item No.","@@"&amp;$F2218,"3 Posting Date",U$9)</t>
  </si>
  <si>
    <t>=-NL("Sum","5802 Value Entry","151 Cost Amount (Expected)","41 Source Type",$C$5,"5 Source No.",$C2218,"4 Item Ledger Entry Type",$C$4,"2 Item No.","@@"&amp;$F2218,"3 Posting Date",U$9)-NL("Sum","5802 Value Entry","43 Cost Amount (Actual)","41 Source Type",$C$5,"5 Source no.",$C2218,"4 Item Ledger Entry Type",$C$4,"2 Item No.","@@"&amp;$F2218,"3 Posting Date",U$9)</t>
  </si>
  <si>
    <t>=U2218-W2218</t>
  </si>
  <si>
    <t>=IF(U2218&lt;&gt;0,X2218/U2218,"")</t>
  </si>
  <si>
    <t>=NL("Sum","5802 Value Entry","150 Sales Amount (Expected)","41 Source Type",$C$5,"5 Source No.",$C2218,"4 Item Ledger Entry Type",$C$4,"2 Item No.","@@"&amp;$F2218,"3 Posting Date",Z$9)+NL("Sum","5802 Value Entry","17 Sales Amount (Actual)","41 Source Type",$C$5,"5 Source no.",$C2218,"4 Item Ledger Entry Type",$C$4,"2 Item No.","@@"&amp;$F2218,"3 Posting Date",Z$9)</t>
  </si>
  <si>
    <t>=-NL("Sum","5802 Value Entry","151 Cost Amount (Expected)","41 Source Type",$C$5,"5 Source No.",$C2218,"4 Item Ledger Entry Type",$C$4,"2 Item No.","@@"&amp;$F2218,"3 Posting Date",Z$9)-NL("Sum","5802 Value Entry","43 Cost Amount (Actual)","41 Source Type",$C$5,"5 Source no.",$C2218,"4 Item Ledger Entry Type",$C$4,"2 Item No.","@@"&amp;$F2218,"3 Posting Date",Z$9)</t>
  </si>
  <si>
    <t>=Z2218-AB2218</t>
  </si>
  <si>
    <t>=IF(Z2218&lt;&gt;0,AC2218/Z2218,"")</t>
  </si>
  <si>
    <t>=C2218</t>
  </si>
  <si>
    <t>=NL("Sum","5802 Value Entry","150 Sales Amount (Expected)","41 Source Type",$C$5,"5 Source No.",$C2219,"4 Item Ledger Entry Type",$C$4,"2 Item No.","@@"&amp;$F2219,"3 Posting Date",J$9)+NL("Sum","5802 Value Entry","17 Sales Amount (Actual)","41 Source Type",$C$5,"5 Source no.",$C2219,"4 Item Ledger Entry Type",$C$4,"2 Item No.","@@"&amp;$F2219,"3 Posting Date",J$9)</t>
  </si>
  <si>
    <t>=-NL("Sum","5802 Value Entry","151 Cost Amount (Expected)","41 Source Type",$C$5,"5 Source No.",$C2219,"4 Item Ledger Entry Type",$C$4,"2 Item No.","@@"&amp;$F2219,"3 Posting Date",J$9)-NL("Sum","5802 Value Entry","43 Cost Amount (Actual)","41 Source Type",$C$5,"5 Source no.",$C2219,"4 Item Ledger Entry Type",$C$4,"2 Item No.","@@"&amp;$F2219,"3 Posting Date",J$9)</t>
  </si>
  <si>
    <t>=J2219-L2219</t>
  </si>
  <si>
    <t>=IF(J2219&lt;&gt;0,M2219/J2219,"")</t>
  </si>
  <si>
    <t>=NL("Sum","5802 Value Entry","150 Sales Amount (Expected)","41 Source Type",$C$5,"5 Source No.",$C2219,"4 Item Ledger Entry Type",$C$4,"2 Item No.","@@"&amp;$F2219,"3 Posting Date",O$9)+NL("Sum","5802 Value Entry","17 Sales Amount (Actual)","41 Source Type",$C$5,"5 Source no.",$C2219,"4 Item Ledger Entry Type",$C$4,"2 Item No.","@@"&amp;$F2219,"3 Posting Date",O$9)</t>
  </si>
  <si>
    <t>=-NL("Sum","5802 Value Entry","151 Cost Amount (Expected)","41 Source Type",$C$5,"5 Source No.",$C2219,"4 Item Ledger Entry Type",$C$4,"2 Item No.","@@"&amp;$F2219,"3 Posting Date",O$9)-NL("Sum","5802 Value Entry","43 Cost Amount (Actual)","41 Source Type",$C$5,"5 Source no.",$C2219,"4 Item Ledger Entry Type",$C$4,"2 Item No.","@@"&amp;$F2219,"3 Posting Date",O$9)</t>
  </si>
  <si>
    <t>=O2219-Q2219</t>
  </si>
  <si>
    <t>=IF(O2219&lt;&gt;0,R2219/O2219,"")</t>
  </si>
  <si>
    <t>=NL("Sum","5802 Value Entry","150 Sales Amount (Expected)","41 Source Type",$C$5,"5 Source No.",$C2219,"4 Item Ledger Entry Type",$C$4,"2 Item No.","@@"&amp;$F2219,"3 Posting Date",U$9)+NL("Sum","5802 Value Entry","17 Sales Amount (Actual)","41 Source Type",$C$5,"5 Source no.",$C2219,"4 Item Ledger Entry Type",$C$4,"2 Item No.","@@"&amp;$F2219,"3 Posting Date",U$9)</t>
  </si>
  <si>
    <t>=-NL("Sum","5802 Value Entry","151 Cost Amount (Expected)","41 Source Type",$C$5,"5 Source No.",$C2219,"4 Item Ledger Entry Type",$C$4,"2 Item No.","@@"&amp;$F2219,"3 Posting Date",U$9)-NL("Sum","5802 Value Entry","43 Cost Amount (Actual)","41 Source Type",$C$5,"5 Source no.",$C2219,"4 Item Ledger Entry Type",$C$4,"2 Item No.","@@"&amp;$F2219,"3 Posting Date",U$9)</t>
  </si>
  <si>
    <t>=U2219-W2219</t>
  </si>
  <si>
    <t>=IF(U2219&lt;&gt;0,X2219/U2219,"")</t>
  </si>
  <si>
    <t>=NL("Sum","5802 Value Entry","150 Sales Amount (Expected)","41 Source Type",$C$5,"5 Source No.",$C2219,"4 Item Ledger Entry Type",$C$4,"2 Item No.","@@"&amp;$F2219,"3 Posting Date",Z$9)+NL("Sum","5802 Value Entry","17 Sales Amount (Actual)","41 Source Type",$C$5,"5 Source no.",$C2219,"4 Item Ledger Entry Type",$C$4,"2 Item No.","@@"&amp;$F2219,"3 Posting Date",Z$9)</t>
  </si>
  <si>
    <t>=-NL("Sum","5802 Value Entry","151 Cost Amount (Expected)","41 Source Type",$C$5,"5 Source No.",$C2219,"4 Item Ledger Entry Type",$C$4,"2 Item No.","@@"&amp;$F2219,"3 Posting Date",Z$9)-NL("Sum","5802 Value Entry","43 Cost Amount (Actual)","41 Source Type",$C$5,"5 Source no.",$C2219,"4 Item Ledger Entry Type",$C$4,"2 Item No.","@@"&amp;$F2219,"3 Posting Date",Z$9)</t>
  </si>
  <si>
    <t>=Z2219-AB2219</t>
  </si>
  <si>
    <t>=IF(Z2219&lt;&gt;0,AC2219/Z2219,"")</t>
  </si>
  <si>
    <t>=C2219</t>
  </si>
  <si>
    <t>=NL("Sum","5802 Value Entry","150 Sales Amount (Expected)","41 Source Type",$C$5,"5 Source No.",$C2220,"4 Item Ledger Entry Type",$C$4,"2 Item No.","@@"&amp;$F2220,"3 Posting Date",J$9)+NL("Sum","5802 Value Entry","17 Sales Amount (Actual)","41 Source Type",$C$5,"5 Source no.",$C2220,"4 Item Ledger Entry Type",$C$4,"2 Item No.","@@"&amp;$F2220,"3 Posting Date",J$9)</t>
  </si>
  <si>
    <t>=-NL("Sum","5802 Value Entry","151 Cost Amount (Expected)","41 Source Type",$C$5,"5 Source No.",$C2220,"4 Item Ledger Entry Type",$C$4,"2 Item No.","@@"&amp;$F2220,"3 Posting Date",J$9)-NL("Sum","5802 Value Entry","43 Cost Amount (Actual)","41 Source Type",$C$5,"5 Source no.",$C2220,"4 Item Ledger Entry Type",$C$4,"2 Item No.","@@"&amp;$F2220,"3 Posting Date",J$9)</t>
  </si>
  <si>
    <t>=J2220-L2220</t>
  </si>
  <si>
    <t>=IF(J2220&lt;&gt;0,M2220/J2220,"")</t>
  </si>
  <si>
    <t>=NL("Sum","5802 Value Entry","150 Sales Amount (Expected)","41 Source Type",$C$5,"5 Source No.",$C2220,"4 Item Ledger Entry Type",$C$4,"2 Item No.","@@"&amp;$F2220,"3 Posting Date",O$9)+NL("Sum","5802 Value Entry","17 Sales Amount (Actual)","41 Source Type",$C$5,"5 Source no.",$C2220,"4 Item Ledger Entry Type",$C$4,"2 Item No.","@@"&amp;$F2220,"3 Posting Date",O$9)</t>
  </si>
  <si>
    <t>=-NL("Sum","5802 Value Entry","151 Cost Amount (Expected)","41 Source Type",$C$5,"5 Source No.",$C2220,"4 Item Ledger Entry Type",$C$4,"2 Item No.","@@"&amp;$F2220,"3 Posting Date",O$9)-NL("Sum","5802 Value Entry","43 Cost Amount (Actual)","41 Source Type",$C$5,"5 Source no.",$C2220,"4 Item Ledger Entry Type",$C$4,"2 Item No.","@@"&amp;$F2220,"3 Posting Date",O$9)</t>
  </si>
  <si>
    <t>=O2220-Q2220</t>
  </si>
  <si>
    <t>=IF(O2220&lt;&gt;0,R2220/O2220,"")</t>
  </si>
  <si>
    <t>=NL("Sum","5802 Value Entry","150 Sales Amount (Expected)","41 Source Type",$C$5,"5 Source No.",$C2220,"4 Item Ledger Entry Type",$C$4,"2 Item No.","@@"&amp;$F2220,"3 Posting Date",U$9)+NL("Sum","5802 Value Entry","17 Sales Amount (Actual)","41 Source Type",$C$5,"5 Source no.",$C2220,"4 Item Ledger Entry Type",$C$4,"2 Item No.","@@"&amp;$F2220,"3 Posting Date",U$9)</t>
  </si>
  <si>
    <t>=-NL("Sum","5802 Value Entry","151 Cost Amount (Expected)","41 Source Type",$C$5,"5 Source No.",$C2220,"4 Item Ledger Entry Type",$C$4,"2 Item No.","@@"&amp;$F2220,"3 Posting Date",U$9)-NL("Sum","5802 Value Entry","43 Cost Amount (Actual)","41 Source Type",$C$5,"5 Source no.",$C2220,"4 Item Ledger Entry Type",$C$4,"2 Item No.","@@"&amp;$F2220,"3 Posting Date",U$9)</t>
  </si>
  <si>
    <t>=U2220-W2220</t>
  </si>
  <si>
    <t>=IF(U2220&lt;&gt;0,X2220/U2220,"")</t>
  </si>
  <si>
    <t>=NL("Sum","5802 Value Entry","150 Sales Amount (Expected)","41 Source Type",$C$5,"5 Source No.",$C2220,"4 Item Ledger Entry Type",$C$4,"2 Item No.","@@"&amp;$F2220,"3 Posting Date",Z$9)+NL("Sum","5802 Value Entry","17 Sales Amount (Actual)","41 Source Type",$C$5,"5 Source no.",$C2220,"4 Item Ledger Entry Type",$C$4,"2 Item No.","@@"&amp;$F2220,"3 Posting Date",Z$9)</t>
  </si>
  <si>
    <t>=-NL("Sum","5802 Value Entry","151 Cost Amount (Expected)","41 Source Type",$C$5,"5 Source No.",$C2220,"4 Item Ledger Entry Type",$C$4,"2 Item No.","@@"&amp;$F2220,"3 Posting Date",Z$9)-NL("Sum","5802 Value Entry","43 Cost Amount (Actual)","41 Source Type",$C$5,"5 Source no.",$C2220,"4 Item Ledger Entry Type",$C$4,"2 Item No.","@@"&amp;$F2220,"3 Posting Date",Z$9)</t>
  </si>
  <si>
    <t>=Z2220-AB2220</t>
  </si>
  <si>
    <t>=IF(Z2220&lt;&gt;0,AC2220/Z2220,"")</t>
  </si>
  <si>
    <t>=C2220</t>
  </si>
  <si>
    <t>=NL("Sum","5802 Value Entry","150 Sales Amount (Expected)","41 Source Type",$C$5,"5 Source No.",$C2221,"4 Item Ledger Entry Type",$C$4,"2 Item No.","@@"&amp;$F2221,"3 Posting Date",J$9)+NL("Sum","5802 Value Entry","17 Sales Amount (Actual)","41 Source Type",$C$5,"5 Source no.",$C2221,"4 Item Ledger Entry Type",$C$4,"2 Item No.","@@"&amp;$F2221,"3 Posting Date",J$9)</t>
  </si>
  <si>
    <t>=-NL("Sum","5802 Value Entry","151 Cost Amount (Expected)","41 Source Type",$C$5,"5 Source No.",$C2221,"4 Item Ledger Entry Type",$C$4,"2 Item No.","@@"&amp;$F2221,"3 Posting Date",J$9)-NL("Sum","5802 Value Entry","43 Cost Amount (Actual)","41 Source Type",$C$5,"5 Source no.",$C2221,"4 Item Ledger Entry Type",$C$4,"2 Item No.","@@"&amp;$F2221,"3 Posting Date",J$9)</t>
  </si>
  <si>
    <t>=J2221-L2221</t>
  </si>
  <si>
    <t>=IF(J2221&lt;&gt;0,M2221/J2221,"")</t>
  </si>
  <si>
    <t>=NL("Sum","5802 Value Entry","150 Sales Amount (Expected)","41 Source Type",$C$5,"5 Source No.",$C2221,"4 Item Ledger Entry Type",$C$4,"2 Item No.","@@"&amp;$F2221,"3 Posting Date",O$9)+NL("Sum","5802 Value Entry","17 Sales Amount (Actual)","41 Source Type",$C$5,"5 Source no.",$C2221,"4 Item Ledger Entry Type",$C$4,"2 Item No.","@@"&amp;$F2221,"3 Posting Date",O$9)</t>
  </si>
  <si>
    <t>=-NL("Sum","5802 Value Entry","151 Cost Amount (Expected)","41 Source Type",$C$5,"5 Source No.",$C2221,"4 Item Ledger Entry Type",$C$4,"2 Item No.","@@"&amp;$F2221,"3 Posting Date",O$9)-NL("Sum","5802 Value Entry","43 Cost Amount (Actual)","41 Source Type",$C$5,"5 Source no.",$C2221,"4 Item Ledger Entry Type",$C$4,"2 Item No.","@@"&amp;$F2221,"3 Posting Date",O$9)</t>
  </si>
  <si>
    <t>=O2221-Q2221</t>
  </si>
  <si>
    <t>=IF(O2221&lt;&gt;0,R2221/O2221,"")</t>
  </si>
  <si>
    <t>=NL("Sum","5802 Value Entry","150 Sales Amount (Expected)","41 Source Type",$C$5,"5 Source No.",$C2221,"4 Item Ledger Entry Type",$C$4,"2 Item No.","@@"&amp;$F2221,"3 Posting Date",U$9)+NL("Sum","5802 Value Entry","17 Sales Amount (Actual)","41 Source Type",$C$5,"5 Source no.",$C2221,"4 Item Ledger Entry Type",$C$4,"2 Item No.","@@"&amp;$F2221,"3 Posting Date",U$9)</t>
  </si>
  <si>
    <t>=-NL("Sum","5802 Value Entry","151 Cost Amount (Expected)","41 Source Type",$C$5,"5 Source No.",$C2221,"4 Item Ledger Entry Type",$C$4,"2 Item No.","@@"&amp;$F2221,"3 Posting Date",U$9)-NL("Sum","5802 Value Entry","43 Cost Amount (Actual)","41 Source Type",$C$5,"5 Source no.",$C2221,"4 Item Ledger Entry Type",$C$4,"2 Item No.","@@"&amp;$F2221,"3 Posting Date",U$9)</t>
  </si>
  <si>
    <t>=U2221-W2221</t>
  </si>
  <si>
    <t>=IF(U2221&lt;&gt;0,X2221/U2221,"")</t>
  </si>
  <si>
    <t>=NL("Sum","5802 Value Entry","150 Sales Amount (Expected)","41 Source Type",$C$5,"5 Source No.",$C2221,"4 Item Ledger Entry Type",$C$4,"2 Item No.","@@"&amp;$F2221,"3 Posting Date",Z$9)+NL("Sum","5802 Value Entry","17 Sales Amount (Actual)","41 Source Type",$C$5,"5 Source no.",$C2221,"4 Item Ledger Entry Type",$C$4,"2 Item No.","@@"&amp;$F2221,"3 Posting Date",Z$9)</t>
  </si>
  <si>
    <t>=-NL("Sum","5802 Value Entry","151 Cost Amount (Expected)","41 Source Type",$C$5,"5 Source No.",$C2221,"4 Item Ledger Entry Type",$C$4,"2 Item No.","@@"&amp;$F2221,"3 Posting Date",Z$9)-NL("Sum","5802 Value Entry","43 Cost Amount (Actual)","41 Source Type",$C$5,"5 Source no.",$C2221,"4 Item Ledger Entry Type",$C$4,"2 Item No.","@@"&amp;$F2221,"3 Posting Date",Z$9)</t>
  </si>
  <si>
    <t>=Z2221-AB2221</t>
  </si>
  <si>
    <t>=IF(Z2221&lt;&gt;0,AC2221/Z2221,"")</t>
  </si>
  <si>
    <t>=C2221</t>
  </si>
  <si>
    <t>=NL("Sum","5802 Value Entry","150 Sales Amount (Expected)","41 Source Type",$C$5,"5 Source No.",$C2222,"4 Item Ledger Entry Type",$C$4,"2 Item No.","@@"&amp;$F2222,"3 Posting Date",J$9)+NL("Sum","5802 Value Entry","17 Sales Amount (Actual)","41 Source Type",$C$5,"5 Source no.",$C2222,"4 Item Ledger Entry Type",$C$4,"2 Item No.","@@"&amp;$F2222,"3 Posting Date",J$9)</t>
  </si>
  <si>
    <t>=-NL("Sum","5802 Value Entry","151 Cost Amount (Expected)","41 Source Type",$C$5,"5 Source No.",$C2222,"4 Item Ledger Entry Type",$C$4,"2 Item No.","@@"&amp;$F2222,"3 Posting Date",J$9)-NL("Sum","5802 Value Entry","43 Cost Amount (Actual)","41 Source Type",$C$5,"5 Source no.",$C2222,"4 Item Ledger Entry Type",$C$4,"2 Item No.","@@"&amp;$F2222,"3 Posting Date",J$9)</t>
  </si>
  <si>
    <t>=J2222-L2222</t>
  </si>
  <si>
    <t>=IF(J2222&lt;&gt;0,M2222/J2222,"")</t>
  </si>
  <si>
    <t>=NL("Sum","5802 Value Entry","150 Sales Amount (Expected)","41 Source Type",$C$5,"5 Source No.",$C2222,"4 Item Ledger Entry Type",$C$4,"2 Item No.","@@"&amp;$F2222,"3 Posting Date",O$9)+NL("Sum","5802 Value Entry","17 Sales Amount (Actual)","41 Source Type",$C$5,"5 Source no.",$C2222,"4 Item Ledger Entry Type",$C$4,"2 Item No.","@@"&amp;$F2222,"3 Posting Date",O$9)</t>
  </si>
  <si>
    <t>=-NL("Sum","5802 Value Entry","151 Cost Amount (Expected)","41 Source Type",$C$5,"5 Source No.",$C2222,"4 Item Ledger Entry Type",$C$4,"2 Item No.","@@"&amp;$F2222,"3 Posting Date",O$9)-NL("Sum","5802 Value Entry","43 Cost Amount (Actual)","41 Source Type",$C$5,"5 Source no.",$C2222,"4 Item Ledger Entry Type",$C$4,"2 Item No.","@@"&amp;$F2222,"3 Posting Date",O$9)</t>
  </si>
  <si>
    <t>=O2222-Q2222</t>
  </si>
  <si>
    <t>=IF(O2222&lt;&gt;0,R2222/O2222,"")</t>
  </si>
  <si>
    <t>=NL("Sum","5802 Value Entry","150 Sales Amount (Expected)","41 Source Type",$C$5,"5 Source No.",$C2222,"4 Item Ledger Entry Type",$C$4,"2 Item No.","@@"&amp;$F2222,"3 Posting Date",U$9)+NL("Sum","5802 Value Entry","17 Sales Amount (Actual)","41 Source Type",$C$5,"5 Source no.",$C2222,"4 Item Ledger Entry Type",$C$4,"2 Item No.","@@"&amp;$F2222,"3 Posting Date",U$9)</t>
  </si>
  <si>
    <t>=-NL("Sum","5802 Value Entry","151 Cost Amount (Expected)","41 Source Type",$C$5,"5 Source No.",$C2222,"4 Item Ledger Entry Type",$C$4,"2 Item No.","@@"&amp;$F2222,"3 Posting Date",U$9)-NL("Sum","5802 Value Entry","43 Cost Amount (Actual)","41 Source Type",$C$5,"5 Source no.",$C2222,"4 Item Ledger Entry Type",$C$4,"2 Item No.","@@"&amp;$F2222,"3 Posting Date",U$9)</t>
  </si>
  <si>
    <t>=U2222-W2222</t>
  </si>
  <si>
    <t>=IF(U2222&lt;&gt;0,X2222/U2222,"")</t>
  </si>
  <si>
    <t>=NL("Sum","5802 Value Entry","150 Sales Amount (Expected)","41 Source Type",$C$5,"5 Source No.",$C2222,"4 Item Ledger Entry Type",$C$4,"2 Item No.","@@"&amp;$F2222,"3 Posting Date",Z$9)+NL("Sum","5802 Value Entry","17 Sales Amount (Actual)","41 Source Type",$C$5,"5 Source no.",$C2222,"4 Item Ledger Entry Type",$C$4,"2 Item No.","@@"&amp;$F2222,"3 Posting Date",Z$9)</t>
  </si>
  <si>
    <t>=-NL("Sum","5802 Value Entry","151 Cost Amount (Expected)","41 Source Type",$C$5,"5 Source No.",$C2222,"4 Item Ledger Entry Type",$C$4,"2 Item No.","@@"&amp;$F2222,"3 Posting Date",Z$9)-NL("Sum","5802 Value Entry","43 Cost Amount (Actual)","41 Source Type",$C$5,"5 Source no.",$C2222,"4 Item Ledger Entry Type",$C$4,"2 Item No.","@@"&amp;$F2222,"3 Posting Date",Z$9)</t>
  </si>
  <si>
    <t>=Z2222-AB2222</t>
  </si>
  <si>
    <t>=IF(Z2222&lt;&gt;0,AC2222/Z2222,"")</t>
  </si>
  <si>
    <t>=C2222</t>
  </si>
  <si>
    <t>=NL("Sum","5802 Value Entry","150 Sales Amount (Expected)","41 Source Type",$C$5,"5 Source No.",$C2223,"4 Item Ledger Entry Type",$C$4,"2 Item No.","@@"&amp;$F2223,"3 Posting Date",J$9)+NL("Sum","5802 Value Entry","17 Sales Amount (Actual)","41 Source Type",$C$5,"5 Source no.",$C2223,"4 Item Ledger Entry Type",$C$4,"2 Item No.","@@"&amp;$F2223,"3 Posting Date",J$9)</t>
  </si>
  <si>
    <t>=-NL("Sum","5802 Value Entry","151 Cost Amount (Expected)","41 Source Type",$C$5,"5 Source No.",$C2223,"4 Item Ledger Entry Type",$C$4,"2 Item No.","@@"&amp;$F2223,"3 Posting Date",J$9)-NL("Sum","5802 Value Entry","43 Cost Amount (Actual)","41 Source Type",$C$5,"5 Source no.",$C2223,"4 Item Ledger Entry Type",$C$4,"2 Item No.","@@"&amp;$F2223,"3 Posting Date",J$9)</t>
  </si>
  <si>
    <t>=J2223-L2223</t>
  </si>
  <si>
    <t>=IF(J2223&lt;&gt;0,M2223/J2223,"")</t>
  </si>
  <si>
    <t>=NL("Sum","5802 Value Entry","150 Sales Amount (Expected)","41 Source Type",$C$5,"5 Source No.",$C2223,"4 Item Ledger Entry Type",$C$4,"2 Item No.","@@"&amp;$F2223,"3 Posting Date",O$9)+NL("Sum","5802 Value Entry","17 Sales Amount (Actual)","41 Source Type",$C$5,"5 Source no.",$C2223,"4 Item Ledger Entry Type",$C$4,"2 Item No.","@@"&amp;$F2223,"3 Posting Date",O$9)</t>
  </si>
  <si>
    <t>=-NL("Sum","5802 Value Entry","151 Cost Amount (Expected)","41 Source Type",$C$5,"5 Source No.",$C2223,"4 Item Ledger Entry Type",$C$4,"2 Item No.","@@"&amp;$F2223,"3 Posting Date",O$9)-NL("Sum","5802 Value Entry","43 Cost Amount (Actual)","41 Source Type",$C$5,"5 Source no.",$C2223,"4 Item Ledger Entry Type",$C$4,"2 Item No.","@@"&amp;$F2223,"3 Posting Date",O$9)</t>
  </si>
  <si>
    <t>=O2223-Q2223</t>
  </si>
  <si>
    <t>=IF(O2223&lt;&gt;0,R2223/O2223,"")</t>
  </si>
  <si>
    <t>=NL("Sum","5802 Value Entry","150 Sales Amount (Expected)","41 Source Type",$C$5,"5 Source No.",$C2223,"4 Item Ledger Entry Type",$C$4,"2 Item No.","@@"&amp;$F2223,"3 Posting Date",U$9)+NL("Sum","5802 Value Entry","17 Sales Amount (Actual)","41 Source Type",$C$5,"5 Source no.",$C2223,"4 Item Ledger Entry Type",$C$4,"2 Item No.","@@"&amp;$F2223,"3 Posting Date",U$9)</t>
  </si>
  <si>
    <t>=-NL("Sum","5802 Value Entry","151 Cost Amount (Expected)","41 Source Type",$C$5,"5 Source No.",$C2223,"4 Item Ledger Entry Type",$C$4,"2 Item No.","@@"&amp;$F2223,"3 Posting Date",U$9)-NL("Sum","5802 Value Entry","43 Cost Amount (Actual)","41 Source Type",$C$5,"5 Source no.",$C2223,"4 Item Ledger Entry Type",$C$4,"2 Item No.","@@"&amp;$F2223,"3 Posting Date",U$9)</t>
  </si>
  <si>
    <t>=U2223-W2223</t>
  </si>
  <si>
    <t>=IF(U2223&lt;&gt;0,X2223/U2223,"")</t>
  </si>
  <si>
    <t>=NL("Sum","5802 Value Entry","150 Sales Amount (Expected)","41 Source Type",$C$5,"5 Source No.",$C2223,"4 Item Ledger Entry Type",$C$4,"2 Item No.","@@"&amp;$F2223,"3 Posting Date",Z$9)+NL("Sum","5802 Value Entry","17 Sales Amount (Actual)","41 Source Type",$C$5,"5 Source no.",$C2223,"4 Item Ledger Entry Type",$C$4,"2 Item No.","@@"&amp;$F2223,"3 Posting Date",Z$9)</t>
  </si>
  <si>
    <t>=-NL("Sum","5802 Value Entry","151 Cost Amount (Expected)","41 Source Type",$C$5,"5 Source No.",$C2223,"4 Item Ledger Entry Type",$C$4,"2 Item No.","@@"&amp;$F2223,"3 Posting Date",Z$9)-NL("Sum","5802 Value Entry","43 Cost Amount (Actual)","41 Source Type",$C$5,"5 Source no.",$C2223,"4 Item Ledger Entry Type",$C$4,"2 Item No.","@@"&amp;$F2223,"3 Posting Date",Z$9)</t>
  </si>
  <si>
    <t>=Z2223-AB2223</t>
  </si>
  <si>
    <t>=IF(Z2223&lt;&gt;0,AC2223/Z2223,"")</t>
  </si>
  <si>
    <t>=C2223</t>
  </si>
  <si>
    <t>=NL("Sum","5802 Value Entry","150 Sales Amount (Expected)","41 Source Type",$C$5,"5 Source No.",$C2224,"4 Item Ledger Entry Type",$C$4,"2 Item No.","@@"&amp;$F2224,"3 Posting Date",J$9)+NL("Sum","5802 Value Entry","17 Sales Amount (Actual)","41 Source Type",$C$5,"5 Source no.",$C2224,"4 Item Ledger Entry Type",$C$4,"2 Item No.","@@"&amp;$F2224,"3 Posting Date",J$9)</t>
  </si>
  <si>
    <t>=-NL("Sum","5802 Value Entry","151 Cost Amount (Expected)","41 Source Type",$C$5,"5 Source No.",$C2224,"4 Item Ledger Entry Type",$C$4,"2 Item No.","@@"&amp;$F2224,"3 Posting Date",J$9)-NL("Sum","5802 Value Entry","43 Cost Amount (Actual)","41 Source Type",$C$5,"5 Source no.",$C2224,"4 Item Ledger Entry Type",$C$4,"2 Item No.","@@"&amp;$F2224,"3 Posting Date",J$9)</t>
  </si>
  <si>
    <t>=J2224-L2224</t>
  </si>
  <si>
    <t>=IF(J2224&lt;&gt;0,M2224/J2224,"")</t>
  </si>
  <si>
    <t>=NL("Sum","5802 Value Entry","150 Sales Amount (Expected)","41 Source Type",$C$5,"5 Source No.",$C2224,"4 Item Ledger Entry Type",$C$4,"2 Item No.","@@"&amp;$F2224,"3 Posting Date",O$9)+NL("Sum","5802 Value Entry","17 Sales Amount (Actual)","41 Source Type",$C$5,"5 Source no.",$C2224,"4 Item Ledger Entry Type",$C$4,"2 Item No.","@@"&amp;$F2224,"3 Posting Date",O$9)</t>
  </si>
  <si>
    <t>=-NL("Sum","5802 Value Entry","151 Cost Amount (Expected)","41 Source Type",$C$5,"5 Source No.",$C2224,"4 Item Ledger Entry Type",$C$4,"2 Item No.","@@"&amp;$F2224,"3 Posting Date",O$9)-NL("Sum","5802 Value Entry","43 Cost Amount (Actual)","41 Source Type",$C$5,"5 Source no.",$C2224,"4 Item Ledger Entry Type",$C$4,"2 Item No.","@@"&amp;$F2224,"3 Posting Date",O$9)</t>
  </si>
  <si>
    <t>=O2224-Q2224</t>
  </si>
  <si>
    <t>=IF(O2224&lt;&gt;0,R2224/O2224,"")</t>
  </si>
  <si>
    <t>=NL("Sum","5802 Value Entry","150 Sales Amount (Expected)","41 Source Type",$C$5,"5 Source No.",$C2224,"4 Item Ledger Entry Type",$C$4,"2 Item No.","@@"&amp;$F2224,"3 Posting Date",U$9)+NL("Sum","5802 Value Entry","17 Sales Amount (Actual)","41 Source Type",$C$5,"5 Source no.",$C2224,"4 Item Ledger Entry Type",$C$4,"2 Item No.","@@"&amp;$F2224,"3 Posting Date",U$9)</t>
  </si>
  <si>
    <t>=-NL("Sum","5802 Value Entry","151 Cost Amount (Expected)","41 Source Type",$C$5,"5 Source No.",$C2224,"4 Item Ledger Entry Type",$C$4,"2 Item No.","@@"&amp;$F2224,"3 Posting Date",U$9)-NL("Sum","5802 Value Entry","43 Cost Amount (Actual)","41 Source Type",$C$5,"5 Source no.",$C2224,"4 Item Ledger Entry Type",$C$4,"2 Item No.","@@"&amp;$F2224,"3 Posting Date",U$9)</t>
  </si>
  <si>
    <t>=U2224-W2224</t>
  </si>
  <si>
    <t>=IF(U2224&lt;&gt;0,X2224/U2224,"")</t>
  </si>
  <si>
    <t>=NL("Sum","5802 Value Entry","150 Sales Amount (Expected)","41 Source Type",$C$5,"5 Source No.",$C2224,"4 Item Ledger Entry Type",$C$4,"2 Item No.","@@"&amp;$F2224,"3 Posting Date",Z$9)+NL("Sum","5802 Value Entry","17 Sales Amount (Actual)","41 Source Type",$C$5,"5 Source no.",$C2224,"4 Item Ledger Entry Type",$C$4,"2 Item No.","@@"&amp;$F2224,"3 Posting Date",Z$9)</t>
  </si>
  <si>
    <t>=-NL("Sum","5802 Value Entry","151 Cost Amount (Expected)","41 Source Type",$C$5,"5 Source No.",$C2224,"4 Item Ledger Entry Type",$C$4,"2 Item No.","@@"&amp;$F2224,"3 Posting Date",Z$9)-NL("Sum","5802 Value Entry","43 Cost Amount (Actual)","41 Source Type",$C$5,"5 Source no.",$C2224,"4 Item Ledger Entry Type",$C$4,"2 Item No.","@@"&amp;$F2224,"3 Posting Date",Z$9)</t>
  </si>
  <si>
    <t>=Z2224-AB2224</t>
  </si>
  <si>
    <t>=IF(Z2224&lt;&gt;0,AC2224/Z2224,"")</t>
  </si>
  <si>
    <t>=C2224</t>
  </si>
  <si>
    <t>=NL("Sum","5802 Value Entry","150 Sales Amount (Expected)","41 Source Type",$C$5,"5 Source No.",$C2225,"4 Item Ledger Entry Type",$C$4,"2 Item No.","@@"&amp;$F2225,"3 Posting Date",J$9)+NL("Sum","5802 Value Entry","17 Sales Amount (Actual)","41 Source Type",$C$5,"5 Source no.",$C2225,"4 Item Ledger Entry Type",$C$4,"2 Item No.","@@"&amp;$F2225,"3 Posting Date",J$9)</t>
  </si>
  <si>
    <t>=-NL("Sum","5802 Value Entry","151 Cost Amount (Expected)","41 Source Type",$C$5,"5 Source No.",$C2225,"4 Item Ledger Entry Type",$C$4,"2 Item No.","@@"&amp;$F2225,"3 Posting Date",J$9)-NL("Sum","5802 Value Entry","43 Cost Amount (Actual)","41 Source Type",$C$5,"5 Source no.",$C2225,"4 Item Ledger Entry Type",$C$4,"2 Item No.","@@"&amp;$F2225,"3 Posting Date",J$9)</t>
  </si>
  <si>
    <t>=J2225-L2225</t>
  </si>
  <si>
    <t>=IF(J2225&lt;&gt;0,M2225/J2225,"")</t>
  </si>
  <si>
    <t>=NL("Sum","5802 Value Entry","150 Sales Amount (Expected)","41 Source Type",$C$5,"5 Source No.",$C2225,"4 Item Ledger Entry Type",$C$4,"2 Item No.","@@"&amp;$F2225,"3 Posting Date",O$9)+NL("Sum","5802 Value Entry","17 Sales Amount (Actual)","41 Source Type",$C$5,"5 Source no.",$C2225,"4 Item Ledger Entry Type",$C$4,"2 Item No.","@@"&amp;$F2225,"3 Posting Date",O$9)</t>
  </si>
  <si>
    <t>=-NL("Sum","5802 Value Entry","151 Cost Amount (Expected)","41 Source Type",$C$5,"5 Source No.",$C2225,"4 Item Ledger Entry Type",$C$4,"2 Item No.","@@"&amp;$F2225,"3 Posting Date",O$9)-NL("Sum","5802 Value Entry","43 Cost Amount (Actual)","41 Source Type",$C$5,"5 Source no.",$C2225,"4 Item Ledger Entry Type",$C$4,"2 Item No.","@@"&amp;$F2225,"3 Posting Date",O$9)</t>
  </si>
  <si>
    <t>=O2225-Q2225</t>
  </si>
  <si>
    <t>=IF(O2225&lt;&gt;0,R2225/O2225,"")</t>
  </si>
  <si>
    <t>=NL("Sum","5802 Value Entry","150 Sales Amount (Expected)","41 Source Type",$C$5,"5 Source No.",$C2225,"4 Item Ledger Entry Type",$C$4,"2 Item No.","@@"&amp;$F2225,"3 Posting Date",U$9)+NL("Sum","5802 Value Entry","17 Sales Amount (Actual)","41 Source Type",$C$5,"5 Source no.",$C2225,"4 Item Ledger Entry Type",$C$4,"2 Item No.","@@"&amp;$F2225,"3 Posting Date",U$9)</t>
  </si>
  <si>
    <t>=-NL("Sum","5802 Value Entry","151 Cost Amount (Expected)","41 Source Type",$C$5,"5 Source No.",$C2225,"4 Item Ledger Entry Type",$C$4,"2 Item No.","@@"&amp;$F2225,"3 Posting Date",U$9)-NL("Sum","5802 Value Entry","43 Cost Amount (Actual)","41 Source Type",$C$5,"5 Source no.",$C2225,"4 Item Ledger Entry Type",$C$4,"2 Item No.","@@"&amp;$F2225,"3 Posting Date",U$9)</t>
  </si>
  <si>
    <t>=U2225-W2225</t>
  </si>
  <si>
    <t>=IF(U2225&lt;&gt;0,X2225/U2225,"")</t>
  </si>
  <si>
    <t>=NL("Sum","5802 Value Entry","150 Sales Amount (Expected)","41 Source Type",$C$5,"5 Source No.",$C2225,"4 Item Ledger Entry Type",$C$4,"2 Item No.","@@"&amp;$F2225,"3 Posting Date",Z$9)+NL("Sum","5802 Value Entry","17 Sales Amount (Actual)","41 Source Type",$C$5,"5 Source no.",$C2225,"4 Item Ledger Entry Type",$C$4,"2 Item No.","@@"&amp;$F2225,"3 Posting Date",Z$9)</t>
  </si>
  <si>
    <t>=-NL("Sum","5802 Value Entry","151 Cost Amount (Expected)","41 Source Type",$C$5,"5 Source No.",$C2225,"4 Item Ledger Entry Type",$C$4,"2 Item No.","@@"&amp;$F2225,"3 Posting Date",Z$9)-NL("Sum","5802 Value Entry","43 Cost Amount (Actual)","41 Source Type",$C$5,"5 Source no.",$C2225,"4 Item Ledger Entry Type",$C$4,"2 Item No.","@@"&amp;$F2225,"3 Posting Date",Z$9)</t>
  </si>
  <si>
    <t>=Z2225-AB2225</t>
  </si>
  <si>
    <t>=IF(Z2225&lt;&gt;0,AC2225/Z2225,"")</t>
  </si>
  <si>
    <t>=C2226</t>
  </si>
  <si>
    <t>=J2227-L2227</t>
  </si>
  <si>
    <t>=IF(J2227&lt;&gt;0,M2227/J2227,"")</t>
  </si>
  <si>
    <t>=O2227-Q2227</t>
  </si>
  <si>
    <t>=IF(O2227&lt;&gt;0,R2227/O2227,"")</t>
  </si>
  <si>
    <t>=U2227-W2227</t>
  </si>
  <si>
    <t>=IF(U2227&lt;&gt;0,X2227/U2227,"")</t>
  </si>
  <si>
    <t>=Z2227-AB2227</t>
  </si>
  <si>
    <t>=IF(Z2227&lt;&gt;0,AC2227/Z2227,"")</t>
  </si>
  <si>
    <t>=C2229</t>
  </si>
  <si>
    <t>=C2230</t>
  </si>
  <si>
    <t>=NL("Sum","5802 Value Entry","150 Sales Amount (Expected)","41 Source Type",$C$5,"5 Source No.",$C2231,"4 Item Ledger Entry Type",$C$4,"2 Item No.","@@"&amp;$F2231,"3 Posting Date",J$9)+NL("Sum","5802 Value Entry","17 Sales Amount (Actual)","41 Source Type",$C$5,"5 Source no.",$C2231,"4 Item Ledger Entry Type",$C$4,"2 Item No.","@@"&amp;$F2231,"3 Posting Date",J$9)</t>
  </si>
  <si>
    <t>=-NL("Sum","5802 Value Entry","151 Cost Amount (Expected)","41 Source Type",$C$5,"5 Source No.",$C2231,"4 Item Ledger Entry Type",$C$4,"2 Item No.","@@"&amp;$F2231,"3 Posting Date",J$9)-NL("Sum","5802 Value Entry","43 Cost Amount (Actual)","41 Source Type",$C$5,"5 Source no.",$C2231,"4 Item Ledger Entry Type",$C$4,"2 Item No.","@@"&amp;$F2231,"3 Posting Date",J$9)</t>
  </si>
  <si>
    <t>=J2231-L2231</t>
  </si>
  <si>
    <t>=IF(J2231&lt;&gt;0,M2231/J2231,"")</t>
  </si>
  <si>
    <t>=NL("Sum","5802 Value Entry","150 Sales Amount (Expected)","41 Source Type",$C$5,"5 Source No.",$C2231,"4 Item Ledger Entry Type",$C$4,"2 Item No.","@@"&amp;$F2231,"3 Posting Date",O$9)+NL("Sum","5802 Value Entry","17 Sales Amount (Actual)","41 Source Type",$C$5,"5 Source no.",$C2231,"4 Item Ledger Entry Type",$C$4,"2 Item No.","@@"&amp;$F2231,"3 Posting Date",O$9)</t>
  </si>
  <si>
    <t>=-NL("Sum","5802 Value Entry","151 Cost Amount (Expected)","41 Source Type",$C$5,"5 Source No.",$C2231,"4 Item Ledger Entry Type",$C$4,"2 Item No.","@@"&amp;$F2231,"3 Posting Date",O$9)-NL("Sum","5802 Value Entry","43 Cost Amount (Actual)","41 Source Type",$C$5,"5 Source no.",$C2231,"4 Item Ledger Entry Type",$C$4,"2 Item No.","@@"&amp;$F2231,"3 Posting Date",O$9)</t>
  </si>
  <si>
    <t>=O2231-Q2231</t>
  </si>
  <si>
    <t>=IF(O2231&lt;&gt;0,R2231/O2231,"")</t>
  </si>
  <si>
    <t>=NL("Sum","5802 Value Entry","150 Sales Amount (Expected)","41 Source Type",$C$5,"5 Source No.",$C2231,"4 Item Ledger Entry Type",$C$4,"2 Item No.","@@"&amp;$F2231,"3 Posting Date",U$9)+NL("Sum","5802 Value Entry","17 Sales Amount (Actual)","41 Source Type",$C$5,"5 Source no.",$C2231,"4 Item Ledger Entry Type",$C$4,"2 Item No.","@@"&amp;$F2231,"3 Posting Date",U$9)</t>
  </si>
  <si>
    <t>=-NL("Sum","5802 Value Entry","151 Cost Amount (Expected)","41 Source Type",$C$5,"5 Source No.",$C2231,"4 Item Ledger Entry Type",$C$4,"2 Item No.","@@"&amp;$F2231,"3 Posting Date",U$9)-NL("Sum","5802 Value Entry","43 Cost Amount (Actual)","41 Source Type",$C$5,"5 Source no.",$C2231,"4 Item Ledger Entry Type",$C$4,"2 Item No.","@@"&amp;$F2231,"3 Posting Date",U$9)</t>
  </si>
  <si>
    <t>=U2231-W2231</t>
  </si>
  <si>
    <t>=IF(U2231&lt;&gt;0,X2231/U2231,"")</t>
  </si>
  <si>
    <t>=NL("Sum","5802 Value Entry","150 Sales Amount (Expected)","41 Source Type",$C$5,"5 Source No.",$C2231,"4 Item Ledger Entry Type",$C$4,"2 Item No.","@@"&amp;$F2231,"3 Posting Date",Z$9)+NL("Sum","5802 Value Entry","17 Sales Amount (Actual)","41 Source Type",$C$5,"5 Source no.",$C2231,"4 Item Ledger Entry Type",$C$4,"2 Item No.","@@"&amp;$F2231,"3 Posting Date",Z$9)</t>
  </si>
  <si>
    <t>=-NL("Sum","5802 Value Entry","151 Cost Amount (Expected)","41 Source Type",$C$5,"5 Source No.",$C2231,"4 Item Ledger Entry Type",$C$4,"2 Item No.","@@"&amp;$F2231,"3 Posting Date",Z$9)-NL("Sum","5802 Value Entry","43 Cost Amount (Actual)","41 Source Type",$C$5,"5 Source no.",$C2231,"4 Item Ledger Entry Type",$C$4,"2 Item No.","@@"&amp;$F2231,"3 Posting Date",Z$9)</t>
  </si>
  <si>
    <t>=Z2231-AB2231</t>
  </si>
  <si>
    <t>=IF(Z2231&lt;&gt;0,AC2231/Z2231,"")</t>
  </si>
  <si>
    <t>=C2231</t>
  </si>
  <si>
    <t>=NL("Sum","5802 Value Entry","150 Sales Amount (Expected)","41 Source Type",$C$5,"5 Source No.",$C2232,"4 Item Ledger Entry Type",$C$4,"2 Item No.","@@"&amp;$F2232,"3 Posting Date",J$9)+NL("Sum","5802 Value Entry","17 Sales Amount (Actual)","41 Source Type",$C$5,"5 Source no.",$C2232,"4 Item Ledger Entry Type",$C$4,"2 Item No.","@@"&amp;$F2232,"3 Posting Date",J$9)</t>
  </si>
  <si>
    <t>=-NL("Sum","5802 Value Entry","151 Cost Amount (Expected)","41 Source Type",$C$5,"5 Source No.",$C2232,"4 Item Ledger Entry Type",$C$4,"2 Item No.","@@"&amp;$F2232,"3 Posting Date",J$9)-NL("Sum","5802 Value Entry","43 Cost Amount (Actual)","41 Source Type",$C$5,"5 Source no.",$C2232,"4 Item Ledger Entry Type",$C$4,"2 Item No.","@@"&amp;$F2232,"3 Posting Date",J$9)</t>
  </si>
  <si>
    <t>=J2232-L2232</t>
  </si>
  <si>
    <t>=IF(J2232&lt;&gt;0,M2232/J2232,"")</t>
  </si>
  <si>
    <t>=NL("Sum","5802 Value Entry","150 Sales Amount (Expected)","41 Source Type",$C$5,"5 Source No.",$C2232,"4 Item Ledger Entry Type",$C$4,"2 Item No.","@@"&amp;$F2232,"3 Posting Date",O$9)+NL("Sum","5802 Value Entry","17 Sales Amount (Actual)","41 Source Type",$C$5,"5 Source no.",$C2232,"4 Item Ledger Entry Type",$C$4,"2 Item No.","@@"&amp;$F2232,"3 Posting Date",O$9)</t>
  </si>
  <si>
    <t>=-NL("Sum","5802 Value Entry","151 Cost Amount (Expected)","41 Source Type",$C$5,"5 Source No.",$C2232,"4 Item Ledger Entry Type",$C$4,"2 Item No.","@@"&amp;$F2232,"3 Posting Date",O$9)-NL("Sum","5802 Value Entry","43 Cost Amount (Actual)","41 Source Type",$C$5,"5 Source no.",$C2232,"4 Item Ledger Entry Type",$C$4,"2 Item No.","@@"&amp;$F2232,"3 Posting Date",O$9)</t>
  </si>
  <si>
    <t>=O2232-Q2232</t>
  </si>
  <si>
    <t>=IF(O2232&lt;&gt;0,R2232/O2232,"")</t>
  </si>
  <si>
    <t>=NL("Sum","5802 Value Entry","150 Sales Amount (Expected)","41 Source Type",$C$5,"5 Source No.",$C2232,"4 Item Ledger Entry Type",$C$4,"2 Item No.","@@"&amp;$F2232,"3 Posting Date",U$9)+NL("Sum","5802 Value Entry","17 Sales Amount (Actual)","41 Source Type",$C$5,"5 Source no.",$C2232,"4 Item Ledger Entry Type",$C$4,"2 Item No.","@@"&amp;$F2232,"3 Posting Date",U$9)</t>
  </si>
  <si>
    <t>=-NL("Sum","5802 Value Entry","151 Cost Amount (Expected)","41 Source Type",$C$5,"5 Source No.",$C2232,"4 Item Ledger Entry Type",$C$4,"2 Item No.","@@"&amp;$F2232,"3 Posting Date",U$9)-NL("Sum","5802 Value Entry","43 Cost Amount (Actual)","41 Source Type",$C$5,"5 Source no.",$C2232,"4 Item Ledger Entry Type",$C$4,"2 Item No.","@@"&amp;$F2232,"3 Posting Date",U$9)</t>
  </si>
  <si>
    <t>=U2232-W2232</t>
  </si>
  <si>
    <t>=IF(U2232&lt;&gt;0,X2232/U2232,"")</t>
  </si>
  <si>
    <t>=NL("Sum","5802 Value Entry","150 Sales Amount (Expected)","41 Source Type",$C$5,"5 Source No.",$C2232,"4 Item Ledger Entry Type",$C$4,"2 Item No.","@@"&amp;$F2232,"3 Posting Date",Z$9)+NL("Sum","5802 Value Entry","17 Sales Amount (Actual)","41 Source Type",$C$5,"5 Source no.",$C2232,"4 Item Ledger Entry Type",$C$4,"2 Item No.","@@"&amp;$F2232,"3 Posting Date",Z$9)</t>
  </si>
  <si>
    <t>=-NL("Sum","5802 Value Entry","151 Cost Amount (Expected)","41 Source Type",$C$5,"5 Source No.",$C2232,"4 Item Ledger Entry Type",$C$4,"2 Item No.","@@"&amp;$F2232,"3 Posting Date",Z$9)-NL("Sum","5802 Value Entry","43 Cost Amount (Actual)","41 Source Type",$C$5,"5 Source no.",$C2232,"4 Item Ledger Entry Type",$C$4,"2 Item No.","@@"&amp;$F2232,"3 Posting Date",Z$9)</t>
  </si>
  <si>
    <t>=Z2232-AB2232</t>
  </si>
  <si>
    <t>=IF(Z2232&lt;&gt;0,AC2232/Z2232,"")</t>
  </si>
  <si>
    <t>=C2232</t>
  </si>
  <si>
    <t>=NL("Sum","5802 Value Entry","150 Sales Amount (Expected)","41 Source Type",$C$5,"5 Source No.",$C2233,"4 Item Ledger Entry Type",$C$4,"2 Item No.","@@"&amp;$F2233,"3 Posting Date",J$9)+NL("Sum","5802 Value Entry","17 Sales Amount (Actual)","41 Source Type",$C$5,"5 Source no.",$C2233,"4 Item Ledger Entry Type",$C$4,"2 Item No.","@@"&amp;$F2233,"3 Posting Date",J$9)</t>
  </si>
  <si>
    <t>=-NL("Sum","5802 Value Entry","151 Cost Amount (Expected)","41 Source Type",$C$5,"5 Source No.",$C2233,"4 Item Ledger Entry Type",$C$4,"2 Item No.","@@"&amp;$F2233,"3 Posting Date",J$9)-NL("Sum","5802 Value Entry","43 Cost Amount (Actual)","41 Source Type",$C$5,"5 Source no.",$C2233,"4 Item Ledger Entry Type",$C$4,"2 Item No.","@@"&amp;$F2233,"3 Posting Date",J$9)</t>
  </si>
  <si>
    <t>=J2233-L2233</t>
  </si>
  <si>
    <t>=IF(J2233&lt;&gt;0,M2233/J2233,"")</t>
  </si>
  <si>
    <t>=NL("Sum","5802 Value Entry","150 Sales Amount (Expected)","41 Source Type",$C$5,"5 Source No.",$C2233,"4 Item Ledger Entry Type",$C$4,"2 Item No.","@@"&amp;$F2233,"3 Posting Date",O$9)+NL("Sum","5802 Value Entry","17 Sales Amount (Actual)","41 Source Type",$C$5,"5 Source no.",$C2233,"4 Item Ledger Entry Type",$C$4,"2 Item No.","@@"&amp;$F2233,"3 Posting Date",O$9)</t>
  </si>
  <si>
    <t>=-NL("Sum","5802 Value Entry","151 Cost Amount (Expected)","41 Source Type",$C$5,"5 Source No.",$C2233,"4 Item Ledger Entry Type",$C$4,"2 Item No.","@@"&amp;$F2233,"3 Posting Date",O$9)-NL("Sum","5802 Value Entry","43 Cost Amount (Actual)","41 Source Type",$C$5,"5 Source no.",$C2233,"4 Item Ledger Entry Type",$C$4,"2 Item No.","@@"&amp;$F2233,"3 Posting Date",O$9)</t>
  </si>
  <si>
    <t>=O2233-Q2233</t>
  </si>
  <si>
    <t>=IF(O2233&lt;&gt;0,R2233/O2233,"")</t>
  </si>
  <si>
    <t>=NL("Sum","5802 Value Entry","150 Sales Amount (Expected)","41 Source Type",$C$5,"5 Source No.",$C2233,"4 Item Ledger Entry Type",$C$4,"2 Item No.","@@"&amp;$F2233,"3 Posting Date",U$9)+NL("Sum","5802 Value Entry","17 Sales Amount (Actual)","41 Source Type",$C$5,"5 Source no.",$C2233,"4 Item Ledger Entry Type",$C$4,"2 Item No.","@@"&amp;$F2233,"3 Posting Date",U$9)</t>
  </si>
  <si>
    <t>=-NL("Sum","5802 Value Entry","151 Cost Amount (Expected)","41 Source Type",$C$5,"5 Source No.",$C2233,"4 Item Ledger Entry Type",$C$4,"2 Item No.","@@"&amp;$F2233,"3 Posting Date",U$9)-NL("Sum","5802 Value Entry","43 Cost Amount (Actual)","41 Source Type",$C$5,"5 Source no.",$C2233,"4 Item Ledger Entry Type",$C$4,"2 Item No.","@@"&amp;$F2233,"3 Posting Date",U$9)</t>
  </si>
  <si>
    <t>=U2233-W2233</t>
  </si>
  <si>
    <t>=IF(U2233&lt;&gt;0,X2233/U2233,"")</t>
  </si>
  <si>
    <t>=NL("Sum","5802 Value Entry","150 Sales Amount (Expected)","41 Source Type",$C$5,"5 Source No.",$C2233,"4 Item Ledger Entry Type",$C$4,"2 Item No.","@@"&amp;$F2233,"3 Posting Date",Z$9)+NL("Sum","5802 Value Entry","17 Sales Amount (Actual)","41 Source Type",$C$5,"5 Source no.",$C2233,"4 Item Ledger Entry Type",$C$4,"2 Item No.","@@"&amp;$F2233,"3 Posting Date",Z$9)</t>
  </si>
  <si>
    <t>=-NL("Sum","5802 Value Entry","151 Cost Amount (Expected)","41 Source Type",$C$5,"5 Source No.",$C2233,"4 Item Ledger Entry Type",$C$4,"2 Item No.","@@"&amp;$F2233,"3 Posting Date",Z$9)-NL("Sum","5802 Value Entry","43 Cost Amount (Actual)","41 Source Type",$C$5,"5 Source no.",$C2233,"4 Item Ledger Entry Type",$C$4,"2 Item No.","@@"&amp;$F2233,"3 Posting Date",Z$9)</t>
  </si>
  <si>
    <t>=Z2233-AB2233</t>
  </si>
  <si>
    <t>=IF(Z2233&lt;&gt;0,AC2233/Z2233,"")</t>
  </si>
  <si>
    <t>=C2233</t>
  </si>
  <si>
    <t>=NL("Sum","5802 Value Entry","150 Sales Amount (Expected)","41 Source Type",$C$5,"5 Source No.",$C2234,"4 Item Ledger Entry Type",$C$4,"2 Item No.","@@"&amp;$F2234,"3 Posting Date",J$9)+NL("Sum","5802 Value Entry","17 Sales Amount (Actual)","41 Source Type",$C$5,"5 Source no.",$C2234,"4 Item Ledger Entry Type",$C$4,"2 Item No.","@@"&amp;$F2234,"3 Posting Date",J$9)</t>
  </si>
  <si>
    <t>=-NL("Sum","5802 Value Entry","151 Cost Amount (Expected)","41 Source Type",$C$5,"5 Source No.",$C2234,"4 Item Ledger Entry Type",$C$4,"2 Item No.","@@"&amp;$F2234,"3 Posting Date",J$9)-NL("Sum","5802 Value Entry","43 Cost Amount (Actual)","41 Source Type",$C$5,"5 Source no.",$C2234,"4 Item Ledger Entry Type",$C$4,"2 Item No.","@@"&amp;$F2234,"3 Posting Date",J$9)</t>
  </si>
  <si>
    <t>=J2234-L2234</t>
  </si>
  <si>
    <t>=IF(J2234&lt;&gt;0,M2234/J2234,"")</t>
  </si>
  <si>
    <t>=NL("Sum","5802 Value Entry","150 Sales Amount (Expected)","41 Source Type",$C$5,"5 Source No.",$C2234,"4 Item Ledger Entry Type",$C$4,"2 Item No.","@@"&amp;$F2234,"3 Posting Date",O$9)+NL("Sum","5802 Value Entry","17 Sales Amount (Actual)","41 Source Type",$C$5,"5 Source no.",$C2234,"4 Item Ledger Entry Type",$C$4,"2 Item No.","@@"&amp;$F2234,"3 Posting Date",O$9)</t>
  </si>
  <si>
    <t>=-NL("Sum","5802 Value Entry","151 Cost Amount (Expected)","41 Source Type",$C$5,"5 Source No.",$C2234,"4 Item Ledger Entry Type",$C$4,"2 Item No.","@@"&amp;$F2234,"3 Posting Date",O$9)-NL("Sum","5802 Value Entry","43 Cost Amount (Actual)","41 Source Type",$C$5,"5 Source no.",$C2234,"4 Item Ledger Entry Type",$C$4,"2 Item No.","@@"&amp;$F2234,"3 Posting Date",O$9)</t>
  </si>
  <si>
    <t>=O2234-Q2234</t>
  </si>
  <si>
    <t>=IF(O2234&lt;&gt;0,R2234/O2234,"")</t>
  </si>
  <si>
    <t>=NL("Sum","5802 Value Entry","150 Sales Amount (Expected)","41 Source Type",$C$5,"5 Source No.",$C2234,"4 Item Ledger Entry Type",$C$4,"2 Item No.","@@"&amp;$F2234,"3 Posting Date",U$9)+NL("Sum","5802 Value Entry","17 Sales Amount (Actual)","41 Source Type",$C$5,"5 Source no.",$C2234,"4 Item Ledger Entry Type",$C$4,"2 Item No.","@@"&amp;$F2234,"3 Posting Date",U$9)</t>
  </si>
  <si>
    <t>=-NL("Sum","5802 Value Entry","151 Cost Amount (Expected)","41 Source Type",$C$5,"5 Source No.",$C2234,"4 Item Ledger Entry Type",$C$4,"2 Item No.","@@"&amp;$F2234,"3 Posting Date",U$9)-NL("Sum","5802 Value Entry","43 Cost Amount (Actual)","41 Source Type",$C$5,"5 Source no.",$C2234,"4 Item Ledger Entry Type",$C$4,"2 Item No.","@@"&amp;$F2234,"3 Posting Date",U$9)</t>
  </si>
  <si>
    <t>=U2234-W2234</t>
  </si>
  <si>
    <t>=IF(U2234&lt;&gt;0,X2234/U2234,"")</t>
  </si>
  <si>
    <t>=NL("Sum","5802 Value Entry","150 Sales Amount (Expected)","41 Source Type",$C$5,"5 Source No.",$C2234,"4 Item Ledger Entry Type",$C$4,"2 Item No.","@@"&amp;$F2234,"3 Posting Date",Z$9)+NL("Sum","5802 Value Entry","17 Sales Amount (Actual)","41 Source Type",$C$5,"5 Source no.",$C2234,"4 Item Ledger Entry Type",$C$4,"2 Item No.","@@"&amp;$F2234,"3 Posting Date",Z$9)</t>
  </si>
  <si>
    <t>=-NL("Sum","5802 Value Entry","151 Cost Amount (Expected)","41 Source Type",$C$5,"5 Source No.",$C2234,"4 Item Ledger Entry Type",$C$4,"2 Item No.","@@"&amp;$F2234,"3 Posting Date",Z$9)-NL("Sum","5802 Value Entry","43 Cost Amount (Actual)","41 Source Type",$C$5,"5 Source no.",$C2234,"4 Item Ledger Entry Type",$C$4,"2 Item No.","@@"&amp;$F2234,"3 Posting Date",Z$9)</t>
  </si>
  <si>
    <t>=Z2234-AB2234</t>
  </si>
  <si>
    <t>=IF(Z2234&lt;&gt;0,AC2234/Z2234,"")</t>
  </si>
  <si>
    <t>=C2234</t>
  </si>
  <si>
    <t>=NL("Sum","5802 Value Entry","150 Sales Amount (Expected)","41 Source Type",$C$5,"5 Source No.",$C2235,"4 Item Ledger Entry Type",$C$4,"2 Item No.","@@"&amp;$F2235,"3 Posting Date",J$9)+NL("Sum","5802 Value Entry","17 Sales Amount (Actual)","41 Source Type",$C$5,"5 Source no.",$C2235,"4 Item Ledger Entry Type",$C$4,"2 Item No.","@@"&amp;$F2235,"3 Posting Date",J$9)</t>
  </si>
  <si>
    <t>=-NL("Sum","5802 Value Entry","151 Cost Amount (Expected)","41 Source Type",$C$5,"5 Source No.",$C2235,"4 Item Ledger Entry Type",$C$4,"2 Item No.","@@"&amp;$F2235,"3 Posting Date",J$9)-NL("Sum","5802 Value Entry","43 Cost Amount (Actual)","41 Source Type",$C$5,"5 Source no.",$C2235,"4 Item Ledger Entry Type",$C$4,"2 Item No.","@@"&amp;$F2235,"3 Posting Date",J$9)</t>
  </si>
  <si>
    <t>=J2235-L2235</t>
  </si>
  <si>
    <t>=IF(J2235&lt;&gt;0,M2235/J2235,"")</t>
  </si>
  <si>
    <t>=NL("Sum","5802 Value Entry","150 Sales Amount (Expected)","41 Source Type",$C$5,"5 Source No.",$C2235,"4 Item Ledger Entry Type",$C$4,"2 Item No.","@@"&amp;$F2235,"3 Posting Date",O$9)+NL("Sum","5802 Value Entry","17 Sales Amount (Actual)","41 Source Type",$C$5,"5 Source no.",$C2235,"4 Item Ledger Entry Type",$C$4,"2 Item No.","@@"&amp;$F2235,"3 Posting Date",O$9)</t>
  </si>
  <si>
    <t>=-NL("Sum","5802 Value Entry","151 Cost Amount (Expected)","41 Source Type",$C$5,"5 Source No.",$C2235,"4 Item Ledger Entry Type",$C$4,"2 Item No.","@@"&amp;$F2235,"3 Posting Date",O$9)-NL("Sum","5802 Value Entry","43 Cost Amount (Actual)","41 Source Type",$C$5,"5 Source no.",$C2235,"4 Item Ledger Entry Type",$C$4,"2 Item No.","@@"&amp;$F2235,"3 Posting Date",O$9)</t>
  </si>
  <si>
    <t>=O2235-Q2235</t>
  </si>
  <si>
    <t>=IF(O2235&lt;&gt;0,R2235/O2235,"")</t>
  </si>
  <si>
    <t>=NL("Sum","5802 Value Entry","150 Sales Amount (Expected)","41 Source Type",$C$5,"5 Source No.",$C2235,"4 Item Ledger Entry Type",$C$4,"2 Item No.","@@"&amp;$F2235,"3 Posting Date",U$9)+NL("Sum","5802 Value Entry","17 Sales Amount (Actual)","41 Source Type",$C$5,"5 Source no.",$C2235,"4 Item Ledger Entry Type",$C$4,"2 Item No.","@@"&amp;$F2235,"3 Posting Date",U$9)</t>
  </si>
  <si>
    <t>=-NL("Sum","5802 Value Entry","151 Cost Amount (Expected)","41 Source Type",$C$5,"5 Source No.",$C2235,"4 Item Ledger Entry Type",$C$4,"2 Item No.","@@"&amp;$F2235,"3 Posting Date",U$9)-NL("Sum","5802 Value Entry","43 Cost Amount (Actual)","41 Source Type",$C$5,"5 Source no.",$C2235,"4 Item Ledger Entry Type",$C$4,"2 Item No.","@@"&amp;$F2235,"3 Posting Date",U$9)</t>
  </si>
  <si>
    <t>=U2235-W2235</t>
  </si>
  <si>
    <t>=IF(U2235&lt;&gt;0,X2235/U2235,"")</t>
  </si>
  <si>
    <t>=NL("Sum","5802 Value Entry","150 Sales Amount (Expected)","41 Source Type",$C$5,"5 Source No.",$C2235,"4 Item Ledger Entry Type",$C$4,"2 Item No.","@@"&amp;$F2235,"3 Posting Date",Z$9)+NL("Sum","5802 Value Entry","17 Sales Amount (Actual)","41 Source Type",$C$5,"5 Source no.",$C2235,"4 Item Ledger Entry Type",$C$4,"2 Item No.","@@"&amp;$F2235,"3 Posting Date",Z$9)</t>
  </si>
  <si>
    <t>=-NL("Sum","5802 Value Entry","151 Cost Amount (Expected)","41 Source Type",$C$5,"5 Source No.",$C2235,"4 Item Ledger Entry Type",$C$4,"2 Item No.","@@"&amp;$F2235,"3 Posting Date",Z$9)-NL("Sum","5802 Value Entry","43 Cost Amount (Actual)","41 Source Type",$C$5,"5 Source no.",$C2235,"4 Item Ledger Entry Type",$C$4,"2 Item No.","@@"&amp;$F2235,"3 Posting Date",Z$9)</t>
  </si>
  <si>
    <t>=Z2235-AB2235</t>
  </si>
  <si>
    <t>=IF(Z2235&lt;&gt;0,AC2235/Z2235,"")</t>
  </si>
  <si>
    <t>=C2235</t>
  </si>
  <si>
    <t>=NL("Sum","5802 Value Entry","150 Sales Amount (Expected)","41 Source Type",$C$5,"5 Source No.",$C2236,"4 Item Ledger Entry Type",$C$4,"2 Item No.","@@"&amp;$F2236,"3 Posting Date",J$9)+NL("Sum","5802 Value Entry","17 Sales Amount (Actual)","41 Source Type",$C$5,"5 Source no.",$C2236,"4 Item Ledger Entry Type",$C$4,"2 Item No.","@@"&amp;$F2236,"3 Posting Date",J$9)</t>
  </si>
  <si>
    <t>=-NL("Sum","5802 Value Entry","151 Cost Amount (Expected)","41 Source Type",$C$5,"5 Source No.",$C2236,"4 Item Ledger Entry Type",$C$4,"2 Item No.","@@"&amp;$F2236,"3 Posting Date",J$9)-NL("Sum","5802 Value Entry","43 Cost Amount (Actual)","41 Source Type",$C$5,"5 Source no.",$C2236,"4 Item Ledger Entry Type",$C$4,"2 Item No.","@@"&amp;$F2236,"3 Posting Date",J$9)</t>
  </si>
  <si>
    <t>=J2236-L2236</t>
  </si>
  <si>
    <t>=IF(J2236&lt;&gt;0,M2236/J2236,"")</t>
  </si>
  <si>
    <t>=NL("Sum","5802 Value Entry","150 Sales Amount (Expected)","41 Source Type",$C$5,"5 Source No.",$C2236,"4 Item Ledger Entry Type",$C$4,"2 Item No.","@@"&amp;$F2236,"3 Posting Date",O$9)+NL("Sum","5802 Value Entry","17 Sales Amount (Actual)","41 Source Type",$C$5,"5 Source no.",$C2236,"4 Item Ledger Entry Type",$C$4,"2 Item No.","@@"&amp;$F2236,"3 Posting Date",O$9)</t>
  </si>
  <si>
    <t>=-NL("Sum","5802 Value Entry","151 Cost Amount (Expected)","41 Source Type",$C$5,"5 Source No.",$C2236,"4 Item Ledger Entry Type",$C$4,"2 Item No.","@@"&amp;$F2236,"3 Posting Date",O$9)-NL("Sum","5802 Value Entry","43 Cost Amount (Actual)","41 Source Type",$C$5,"5 Source no.",$C2236,"4 Item Ledger Entry Type",$C$4,"2 Item No.","@@"&amp;$F2236,"3 Posting Date",O$9)</t>
  </si>
  <si>
    <t>=O2236-Q2236</t>
  </si>
  <si>
    <t>=IF(O2236&lt;&gt;0,R2236/O2236,"")</t>
  </si>
  <si>
    <t>=NL("Sum","5802 Value Entry","150 Sales Amount (Expected)","41 Source Type",$C$5,"5 Source No.",$C2236,"4 Item Ledger Entry Type",$C$4,"2 Item No.","@@"&amp;$F2236,"3 Posting Date",U$9)+NL("Sum","5802 Value Entry","17 Sales Amount (Actual)","41 Source Type",$C$5,"5 Source no.",$C2236,"4 Item Ledger Entry Type",$C$4,"2 Item No.","@@"&amp;$F2236,"3 Posting Date",U$9)</t>
  </si>
  <si>
    <t>=-NL("Sum","5802 Value Entry","151 Cost Amount (Expected)","41 Source Type",$C$5,"5 Source No.",$C2236,"4 Item Ledger Entry Type",$C$4,"2 Item No.","@@"&amp;$F2236,"3 Posting Date",U$9)-NL("Sum","5802 Value Entry","43 Cost Amount (Actual)","41 Source Type",$C$5,"5 Source no.",$C2236,"4 Item Ledger Entry Type",$C$4,"2 Item No.","@@"&amp;$F2236,"3 Posting Date",U$9)</t>
  </si>
  <si>
    <t>=U2236-W2236</t>
  </si>
  <si>
    <t>=IF(U2236&lt;&gt;0,X2236/U2236,"")</t>
  </si>
  <si>
    <t>=NL("Sum","5802 Value Entry","150 Sales Amount (Expected)","41 Source Type",$C$5,"5 Source No.",$C2236,"4 Item Ledger Entry Type",$C$4,"2 Item No.","@@"&amp;$F2236,"3 Posting Date",Z$9)+NL("Sum","5802 Value Entry","17 Sales Amount (Actual)","41 Source Type",$C$5,"5 Source no.",$C2236,"4 Item Ledger Entry Type",$C$4,"2 Item No.","@@"&amp;$F2236,"3 Posting Date",Z$9)</t>
  </si>
  <si>
    <t>=-NL("Sum","5802 Value Entry","151 Cost Amount (Expected)","41 Source Type",$C$5,"5 Source No.",$C2236,"4 Item Ledger Entry Type",$C$4,"2 Item No.","@@"&amp;$F2236,"3 Posting Date",Z$9)-NL("Sum","5802 Value Entry","43 Cost Amount (Actual)","41 Source Type",$C$5,"5 Source no.",$C2236,"4 Item Ledger Entry Type",$C$4,"2 Item No.","@@"&amp;$F2236,"3 Posting Date",Z$9)</t>
  </si>
  <si>
    <t>=Z2236-AB2236</t>
  </si>
  <si>
    <t>=IF(Z2236&lt;&gt;0,AC2236/Z2236,"")</t>
  </si>
  <si>
    <t>=C2236</t>
  </si>
  <si>
    <t>=NL("Sum","5802 Value Entry","150 Sales Amount (Expected)","41 Source Type",$C$5,"5 Source No.",$C2237,"4 Item Ledger Entry Type",$C$4,"2 Item No.","@@"&amp;$F2237,"3 Posting Date",J$9)+NL("Sum","5802 Value Entry","17 Sales Amount (Actual)","41 Source Type",$C$5,"5 Source no.",$C2237,"4 Item Ledger Entry Type",$C$4,"2 Item No.","@@"&amp;$F2237,"3 Posting Date",J$9)</t>
  </si>
  <si>
    <t>=-NL("Sum","5802 Value Entry","151 Cost Amount (Expected)","41 Source Type",$C$5,"5 Source No.",$C2237,"4 Item Ledger Entry Type",$C$4,"2 Item No.","@@"&amp;$F2237,"3 Posting Date",J$9)-NL("Sum","5802 Value Entry","43 Cost Amount (Actual)","41 Source Type",$C$5,"5 Source no.",$C2237,"4 Item Ledger Entry Type",$C$4,"2 Item No.","@@"&amp;$F2237,"3 Posting Date",J$9)</t>
  </si>
  <si>
    <t>=J2237-L2237</t>
  </si>
  <si>
    <t>=IF(J2237&lt;&gt;0,M2237/J2237,"")</t>
  </si>
  <si>
    <t>=NL("Sum","5802 Value Entry","150 Sales Amount (Expected)","41 Source Type",$C$5,"5 Source No.",$C2237,"4 Item Ledger Entry Type",$C$4,"2 Item No.","@@"&amp;$F2237,"3 Posting Date",O$9)+NL("Sum","5802 Value Entry","17 Sales Amount (Actual)","41 Source Type",$C$5,"5 Source no.",$C2237,"4 Item Ledger Entry Type",$C$4,"2 Item No.","@@"&amp;$F2237,"3 Posting Date",O$9)</t>
  </si>
  <si>
    <t>=-NL("Sum","5802 Value Entry","151 Cost Amount (Expected)","41 Source Type",$C$5,"5 Source No.",$C2237,"4 Item Ledger Entry Type",$C$4,"2 Item No.","@@"&amp;$F2237,"3 Posting Date",O$9)-NL("Sum","5802 Value Entry","43 Cost Amount (Actual)","41 Source Type",$C$5,"5 Source no.",$C2237,"4 Item Ledger Entry Type",$C$4,"2 Item No.","@@"&amp;$F2237,"3 Posting Date",O$9)</t>
  </si>
  <si>
    <t>=O2237-Q2237</t>
  </si>
  <si>
    <t>=IF(O2237&lt;&gt;0,R2237/O2237,"")</t>
  </si>
  <si>
    <t>=NL("Sum","5802 Value Entry","150 Sales Amount (Expected)","41 Source Type",$C$5,"5 Source No.",$C2237,"4 Item Ledger Entry Type",$C$4,"2 Item No.","@@"&amp;$F2237,"3 Posting Date",U$9)+NL("Sum","5802 Value Entry","17 Sales Amount (Actual)","41 Source Type",$C$5,"5 Source no.",$C2237,"4 Item Ledger Entry Type",$C$4,"2 Item No.","@@"&amp;$F2237,"3 Posting Date",U$9)</t>
  </si>
  <si>
    <t>=-NL("Sum","5802 Value Entry","151 Cost Amount (Expected)","41 Source Type",$C$5,"5 Source No.",$C2237,"4 Item Ledger Entry Type",$C$4,"2 Item No.","@@"&amp;$F2237,"3 Posting Date",U$9)-NL("Sum","5802 Value Entry","43 Cost Amount (Actual)","41 Source Type",$C$5,"5 Source no.",$C2237,"4 Item Ledger Entry Type",$C$4,"2 Item No.","@@"&amp;$F2237,"3 Posting Date",U$9)</t>
  </si>
  <si>
    <t>=U2237-W2237</t>
  </si>
  <si>
    <t>=IF(U2237&lt;&gt;0,X2237/U2237,"")</t>
  </si>
  <si>
    <t>=NL("Sum","5802 Value Entry","150 Sales Amount (Expected)","41 Source Type",$C$5,"5 Source No.",$C2237,"4 Item Ledger Entry Type",$C$4,"2 Item No.","@@"&amp;$F2237,"3 Posting Date",Z$9)+NL("Sum","5802 Value Entry","17 Sales Amount (Actual)","41 Source Type",$C$5,"5 Source no.",$C2237,"4 Item Ledger Entry Type",$C$4,"2 Item No.","@@"&amp;$F2237,"3 Posting Date",Z$9)</t>
  </si>
  <si>
    <t>=-NL("Sum","5802 Value Entry","151 Cost Amount (Expected)","41 Source Type",$C$5,"5 Source No.",$C2237,"4 Item Ledger Entry Type",$C$4,"2 Item No.","@@"&amp;$F2237,"3 Posting Date",Z$9)-NL("Sum","5802 Value Entry","43 Cost Amount (Actual)","41 Source Type",$C$5,"5 Source no.",$C2237,"4 Item Ledger Entry Type",$C$4,"2 Item No.","@@"&amp;$F2237,"3 Posting Date",Z$9)</t>
  </si>
  <si>
    <t>=Z2237-AB2237</t>
  </si>
  <si>
    <t>=IF(Z2237&lt;&gt;0,AC2237/Z2237,"")</t>
  </si>
  <si>
    <t>=C2237</t>
  </si>
  <si>
    <t>=NL("Sum","5802 Value Entry","150 Sales Amount (Expected)","41 Source Type",$C$5,"5 Source No.",$C2238,"4 Item Ledger Entry Type",$C$4,"2 Item No.","@@"&amp;$F2238,"3 Posting Date",J$9)+NL("Sum","5802 Value Entry","17 Sales Amount (Actual)","41 Source Type",$C$5,"5 Source no.",$C2238,"4 Item Ledger Entry Type",$C$4,"2 Item No.","@@"&amp;$F2238,"3 Posting Date",J$9)</t>
  </si>
  <si>
    <t>=-NL("Sum","5802 Value Entry","151 Cost Amount (Expected)","41 Source Type",$C$5,"5 Source No.",$C2238,"4 Item Ledger Entry Type",$C$4,"2 Item No.","@@"&amp;$F2238,"3 Posting Date",J$9)-NL("Sum","5802 Value Entry","43 Cost Amount (Actual)","41 Source Type",$C$5,"5 Source no.",$C2238,"4 Item Ledger Entry Type",$C$4,"2 Item No.","@@"&amp;$F2238,"3 Posting Date",J$9)</t>
  </si>
  <si>
    <t>=J2238-L2238</t>
  </si>
  <si>
    <t>=IF(J2238&lt;&gt;0,M2238/J2238,"")</t>
  </si>
  <si>
    <t>=NL("Sum","5802 Value Entry","150 Sales Amount (Expected)","41 Source Type",$C$5,"5 Source No.",$C2238,"4 Item Ledger Entry Type",$C$4,"2 Item No.","@@"&amp;$F2238,"3 Posting Date",O$9)+NL("Sum","5802 Value Entry","17 Sales Amount (Actual)","41 Source Type",$C$5,"5 Source no.",$C2238,"4 Item Ledger Entry Type",$C$4,"2 Item No.","@@"&amp;$F2238,"3 Posting Date",O$9)</t>
  </si>
  <si>
    <t>=-NL("Sum","5802 Value Entry","151 Cost Amount (Expected)","41 Source Type",$C$5,"5 Source No.",$C2238,"4 Item Ledger Entry Type",$C$4,"2 Item No.","@@"&amp;$F2238,"3 Posting Date",O$9)-NL("Sum","5802 Value Entry","43 Cost Amount (Actual)","41 Source Type",$C$5,"5 Source no.",$C2238,"4 Item Ledger Entry Type",$C$4,"2 Item No.","@@"&amp;$F2238,"3 Posting Date",O$9)</t>
  </si>
  <si>
    <t>=O2238-Q2238</t>
  </si>
  <si>
    <t>=IF(O2238&lt;&gt;0,R2238/O2238,"")</t>
  </si>
  <si>
    <t>=NL("Sum","5802 Value Entry","150 Sales Amount (Expected)","41 Source Type",$C$5,"5 Source No.",$C2238,"4 Item Ledger Entry Type",$C$4,"2 Item No.","@@"&amp;$F2238,"3 Posting Date",U$9)+NL("Sum","5802 Value Entry","17 Sales Amount (Actual)","41 Source Type",$C$5,"5 Source no.",$C2238,"4 Item Ledger Entry Type",$C$4,"2 Item No.","@@"&amp;$F2238,"3 Posting Date",U$9)</t>
  </si>
  <si>
    <t>=-NL("Sum","5802 Value Entry","151 Cost Amount (Expected)","41 Source Type",$C$5,"5 Source No.",$C2238,"4 Item Ledger Entry Type",$C$4,"2 Item No.","@@"&amp;$F2238,"3 Posting Date",U$9)-NL("Sum","5802 Value Entry","43 Cost Amount (Actual)","41 Source Type",$C$5,"5 Source no.",$C2238,"4 Item Ledger Entry Type",$C$4,"2 Item No.","@@"&amp;$F2238,"3 Posting Date",U$9)</t>
  </si>
  <si>
    <t>=U2238-W2238</t>
  </si>
  <si>
    <t>=IF(U2238&lt;&gt;0,X2238/U2238,"")</t>
  </si>
  <si>
    <t>=NL("Sum","5802 Value Entry","150 Sales Amount (Expected)","41 Source Type",$C$5,"5 Source No.",$C2238,"4 Item Ledger Entry Type",$C$4,"2 Item No.","@@"&amp;$F2238,"3 Posting Date",Z$9)+NL("Sum","5802 Value Entry","17 Sales Amount (Actual)","41 Source Type",$C$5,"5 Source no.",$C2238,"4 Item Ledger Entry Type",$C$4,"2 Item No.","@@"&amp;$F2238,"3 Posting Date",Z$9)</t>
  </si>
  <si>
    <t>=-NL("Sum","5802 Value Entry","151 Cost Amount (Expected)","41 Source Type",$C$5,"5 Source No.",$C2238,"4 Item Ledger Entry Type",$C$4,"2 Item No.","@@"&amp;$F2238,"3 Posting Date",Z$9)-NL("Sum","5802 Value Entry","43 Cost Amount (Actual)","41 Source Type",$C$5,"5 Source no.",$C2238,"4 Item Ledger Entry Type",$C$4,"2 Item No.","@@"&amp;$F2238,"3 Posting Date",Z$9)</t>
  </si>
  <si>
    <t>=Z2238-AB2238</t>
  </si>
  <si>
    <t>=IF(Z2238&lt;&gt;0,AC2238/Z2238,"")</t>
  </si>
  <si>
    <t>=C2238</t>
  </si>
  <si>
    <t>=NL("Sum","5802 Value Entry","150 Sales Amount (Expected)","41 Source Type",$C$5,"5 Source No.",$C2239,"4 Item Ledger Entry Type",$C$4,"2 Item No.","@@"&amp;$F2239,"3 Posting Date",J$9)+NL("Sum","5802 Value Entry","17 Sales Amount (Actual)","41 Source Type",$C$5,"5 Source no.",$C2239,"4 Item Ledger Entry Type",$C$4,"2 Item No.","@@"&amp;$F2239,"3 Posting Date",J$9)</t>
  </si>
  <si>
    <t>=-NL("Sum","5802 Value Entry","151 Cost Amount (Expected)","41 Source Type",$C$5,"5 Source No.",$C2239,"4 Item Ledger Entry Type",$C$4,"2 Item No.","@@"&amp;$F2239,"3 Posting Date",J$9)-NL("Sum","5802 Value Entry","43 Cost Amount (Actual)","41 Source Type",$C$5,"5 Source no.",$C2239,"4 Item Ledger Entry Type",$C$4,"2 Item No.","@@"&amp;$F2239,"3 Posting Date",J$9)</t>
  </si>
  <si>
    <t>=J2239-L2239</t>
  </si>
  <si>
    <t>=IF(J2239&lt;&gt;0,M2239/J2239,"")</t>
  </si>
  <si>
    <t>=NL("Sum","5802 Value Entry","150 Sales Amount (Expected)","41 Source Type",$C$5,"5 Source No.",$C2239,"4 Item Ledger Entry Type",$C$4,"2 Item No.","@@"&amp;$F2239,"3 Posting Date",O$9)+NL("Sum","5802 Value Entry","17 Sales Amount (Actual)","41 Source Type",$C$5,"5 Source no.",$C2239,"4 Item Ledger Entry Type",$C$4,"2 Item No.","@@"&amp;$F2239,"3 Posting Date",O$9)</t>
  </si>
  <si>
    <t>=-NL("Sum","5802 Value Entry","151 Cost Amount (Expected)","41 Source Type",$C$5,"5 Source No.",$C2239,"4 Item Ledger Entry Type",$C$4,"2 Item No.","@@"&amp;$F2239,"3 Posting Date",O$9)-NL("Sum","5802 Value Entry","43 Cost Amount (Actual)","41 Source Type",$C$5,"5 Source no.",$C2239,"4 Item Ledger Entry Type",$C$4,"2 Item No.","@@"&amp;$F2239,"3 Posting Date",O$9)</t>
  </si>
  <si>
    <t>=O2239-Q2239</t>
  </si>
  <si>
    <t>=IF(O2239&lt;&gt;0,R2239/O2239,"")</t>
  </si>
  <si>
    <t>=NL("Sum","5802 Value Entry","150 Sales Amount (Expected)","41 Source Type",$C$5,"5 Source No.",$C2239,"4 Item Ledger Entry Type",$C$4,"2 Item No.","@@"&amp;$F2239,"3 Posting Date",U$9)+NL("Sum","5802 Value Entry","17 Sales Amount (Actual)","41 Source Type",$C$5,"5 Source no.",$C2239,"4 Item Ledger Entry Type",$C$4,"2 Item No.","@@"&amp;$F2239,"3 Posting Date",U$9)</t>
  </si>
  <si>
    <t>=-NL("Sum","5802 Value Entry","151 Cost Amount (Expected)","41 Source Type",$C$5,"5 Source No.",$C2239,"4 Item Ledger Entry Type",$C$4,"2 Item No.","@@"&amp;$F2239,"3 Posting Date",U$9)-NL("Sum","5802 Value Entry","43 Cost Amount (Actual)","41 Source Type",$C$5,"5 Source no.",$C2239,"4 Item Ledger Entry Type",$C$4,"2 Item No.","@@"&amp;$F2239,"3 Posting Date",U$9)</t>
  </si>
  <si>
    <t>=U2239-W2239</t>
  </si>
  <si>
    <t>=IF(U2239&lt;&gt;0,X2239/U2239,"")</t>
  </si>
  <si>
    <t>=NL("Sum","5802 Value Entry","150 Sales Amount (Expected)","41 Source Type",$C$5,"5 Source No.",$C2239,"4 Item Ledger Entry Type",$C$4,"2 Item No.","@@"&amp;$F2239,"3 Posting Date",Z$9)+NL("Sum","5802 Value Entry","17 Sales Amount (Actual)","41 Source Type",$C$5,"5 Source no.",$C2239,"4 Item Ledger Entry Type",$C$4,"2 Item No.","@@"&amp;$F2239,"3 Posting Date",Z$9)</t>
  </si>
  <si>
    <t>=-NL("Sum","5802 Value Entry","151 Cost Amount (Expected)","41 Source Type",$C$5,"5 Source No.",$C2239,"4 Item Ledger Entry Type",$C$4,"2 Item No.","@@"&amp;$F2239,"3 Posting Date",Z$9)-NL("Sum","5802 Value Entry","43 Cost Amount (Actual)","41 Source Type",$C$5,"5 Source no.",$C2239,"4 Item Ledger Entry Type",$C$4,"2 Item No.","@@"&amp;$F2239,"3 Posting Date",Z$9)</t>
  </si>
  <si>
    <t>=Z2239-AB2239</t>
  </si>
  <si>
    <t>=IF(Z2239&lt;&gt;0,AC2239/Z2239,"")</t>
  </si>
  <si>
    <t>=C2239</t>
  </si>
  <si>
    <t>=NL("Sum","5802 Value Entry","150 Sales Amount (Expected)","41 Source Type",$C$5,"5 Source No.",$C2240,"4 Item Ledger Entry Type",$C$4,"2 Item No.","@@"&amp;$F2240,"3 Posting Date",J$9)+NL("Sum","5802 Value Entry","17 Sales Amount (Actual)","41 Source Type",$C$5,"5 Source no.",$C2240,"4 Item Ledger Entry Type",$C$4,"2 Item No.","@@"&amp;$F2240,"3 Posting Date",J$9)</t>
  </si>
  <si>
    <t>=-NL("Sum","5802 Value Entry","151 Cost Amount (Expected)","41 Source Type",$C$5,"5 Source No.",$C2240,"4 Item Ledger Entry Type",$C$4,"2 Item No.","@@"&amp;$F2240,"3 Posting Date",J$9)-NL("Sum","5802 Value Entry","43 Cost Amount (Actual)","41 Source Type",$C$5,"5 Source no.",$C2240,"4 Item Ledger Entry Type",$C$4,"2 Item No.","@@"&amp;$F2240,"3 Posting Date",J$9)</t>
  </si>
  <si>
    <t>=J2240-L2240</t>
  </si>
  <si>
    <t>=IF(J2240&lt;&gt;0,M2240/J2240,"")</t>
  </si>
  <si>
    <t>=NL("Sum","5802 Value Entry","150 Sales Amount (Expected)","41 Source Type",$C$5,"5 Source No.",$C2240,"4 Item Ledger Entry Type",$C$4,"2 Item No.","@@"&amp;$F2240,"3 Posting Date",O$9)+NL("Sum","5802 Value Entry","17 Sales Amount (Actual)","41 Source Type",$C$5,"5 Source no.",$C2240,"4 Item Ledger Entry Type",$C$4,"2 Item No.","@@"&amp;$F2240,"3 Posting Date",O$9)</t>
  </si>
  <si>
    <t>=-NL("Sum","5802 Value Entry","151 Cost Amount (Expected)","41 Source Type",$C$5,"5 Source No.",$C2240,"4 Item Ledger Entry Type",$C$4,"2 Item No.","@@"&amp;$F2240,"3 Posting Date",O$9)-NL("Sum","5802 Value Entry","43 Cost Amount (Actual)","41 Source Type",$C$5,"5 Source no.",$C2240,"4 Item Ledger Entry Type",$C$4,"2 Item No.","@@"&amp;$F2240,"3 Posting Date",O$9)</t>
  </si>
  <si>
    <t>=O2240-Q2240</t>
  </si>
  <si>
    <t>=IF(O2240&lt;&gt;0,R2240/O2240,"")</t>
  </si>
  <si>
    <t>=NL("Sum","5802 Value Entry","150 Sales Amount (Expected)","41 Source Type",$C$5,"5 Source No.",$C2240,"4 Item Ledger Entry Type",$C$4,"2 Item No.","@@"&amp;$F2240,"3 Posting Date",U$9)+NL("Sum","5802 Value Entry","17 Sales Amount (Actual)","41 Source Type",$C$5,"5 Source no.",$C2240,"4 Item Ledger Entry Type",$C$4,"2 Item No.","@@"&amp;$F2240,"3 Posting Date",U$9)</t>
  </si>
  <si>
    <t>=-NL("Sum","5802 Value Entry","151 Cost Amount (Expected)","41 Source Type",$C$5,"5 Source No.",$C2240,"4 Item Ledger Entry Type",$C$4,"2 Item No.","@@"&amp;$F2240,"3 Posting Date",U$9)-NL("Sum","5802 Value Entry","43 Cost Amount (Actual)","41 Source Type",$C$5,"5 Source no.",$C2240,"4 Item Ledger Entry Type",$C$4,"2 Item No.","@@"&amp;$F2240,"3 Posting Date",U$9)</t>
  </si>
  <si>
    <t>=U2240-W2240</t>
  </si>
  <si>
    <t>=IF(U2240&lt;&gt;0,X2240/U2240,"")</t>
  </si>
  <si>
    <t>=NL("Sum","5802 Value Entry","150 Sales Amount (Expected)","41 Source Type",$C$5,"5 Source No.",$C2240,"4 Item Ledger Entry Type",$C$4,"2 Item No.","@@"&amp;$F2240,"3 Posting Date",Z$9)+NL("Sum","5802 Value Entry","17 Sales Amount (Actual)","41 Source Type",$C$5,"5 Source no.",$C2240,"4 Item Ledger Entry Type",$C$4,"2 Item No.","@@"&amp;$F2240,"3 Posting Date",Z$9)</t>
  </si>
  <si>
    <t>=-NL("Sum","5802 Value Entry","151 Cost Amount (Expected)","41 Source Type",$C$5,"5 Source No.",$C2240,"4 Item Ledger Entry Type",$C$4,"2 Item No.","@@"&amp;$F2240,"3 Posting Date",Z$9)-NL("Sum","5802 Value Entry","43 Cost Amount (Actual)","41 Source Type",$C$5,"5 Source no.",$C2240,"4 Item Ledger Entry Type",$C$4,"2 Item No.","@@"&amp;$F2240,"3 Posting Date",Z$9)</t>
  </si>
  <si>
    <t>=Z2240-AB2240</t>
  </si>
  <si>
    <t>=IF(Z2240&lt;&gt;0,AC2240/Z2240,"")</t>
  </si>
  <si>
    <t>=C2240</t>
  </si>
  <si>
    <t>=NL("Sum","5802 Value Entry","150 Sales Amount (Expected)","41 Source Type",$C$5,"5 Source No.",$C2241,"4 Item Ledger Entry Type",$C$4,"2 Item No.","@@"&amp;$F2241,"3 Posting Date",J$9)+NL("Sum","5802 Value Entry","17 Sales Amount (Actual)","41 Source Type",$C$5,"5 Source no.",$C2241,"4 Item Ledger Entry Type",$C$4,"2 Item No.","@@"&amp;$F2241,"3 Posting Date",J$9)</t>
  </si>
  <si>
    <t>=-NL("Sum","5802 Value Entry","151 Cost Amount (Expected)","41 Source Type",$C$5,"5 Source No.",$C2241,"4 Item Ledger Entry Type",$C$4,"2 Item No.","@@"&amp;$F2241,"3 Posting Date",J$9)-NL("Sum","5802 Value Entry","43 Cost Amount (Actual)","41 Source Type",$C$5,"5 Source no.",$C2241,"4 Item Ledger Entry Type",$C$4,"2 Item No.","@@"&amp;$F2241,"3 Posting Date",J$9)</t>
  </si>
  <si>
    <t>=J2241-L2241</t>
  </si>
  <si>
    <t>=IF(J2241&lt;&gt;0,M2241/J2241,"")</t>
  </si>
  <si>
    <t>=NL("Sum","5802 Value Entry","150 Sales Amount (Expected)","41 Source Type",$C$5,"5 Source No.",$C2241,"4 Item Ledger Entry Type",$C$4,"2 Item No.","@@"&amp;$F2241,"3 Posting Date",O$9)+NL("Sum","5802 Value Entry","17 Sales Amount (Actual)","41 Source Type",$C$5,"5 Source no.",$C2241,"4 Item Ledger Entry Type",$C$4,"2 Item No.","@@"&amp;$F2241,"3 Posting Date",O$9)</t>
  </si>
  <si>
    <t>=-NL("Sum","5802 Value Entry","151 Cost Amount (Expected)","41 Source Type",$C$5,"5 Source No.",$C2241,"4 Item Ledger Entry Type",$C$4,"2 Item No.","@@"&amp;$F2241,"3 Posting Date",O$9)-NL("Sum","5802 Value Entry","43 Cost Amount (Actual)","41 Source Type",$C$5,"5 Source no.",$C2241,"4 Item Ledger Entry Type",$C$4,"2 Item No.","@@"&amp;$F2241,"3 Posting Date",O$9)</t>
  </si>
  <si>
    <t>=O2241-Q2241</t>
  </si>
  <si>
    <t>=IF(O2241&lt;&gt;0,R2241/O2241,"")</t>
  </si>
  <si>
    <t>=NL("Sum","5802 Value Entry","150 Sales Amount (Expected)","41 Source Type",$C$5,"5 Source No.",$C2241,"4 Item Ledger Entry Type",$C$4,"2 Item No.","@@"&amp;$F2241,"3 Posting Date",U$9)+NL("Sum","5802 Value Entry","17 Sales Amount (Actual)","41 Source Type",$C$5,"5 Source no.",$C2241,"4 Item Ledger Entry Type",$C$4,"2 Item No.","@@"&amp;$F2241,"3 Posting Date",U$9)</t>
  </si>
  <si>
    <t>=-NL("Sum","5802 Value Entry","151 Cost Amount (Expected)","41 Source Type",$C$5,"5 Source No.",$C2241,"4 Item Ledger Entry Type",$C$4,"2 Item No.","@@"&amp;$F2241,"3 Posting Date",U$9)-NL("Sum","5802 Value Entry","43 Cost Amount (Actual)","41 Source Type",$C$5,"5 Source no.",$C2241,"4 Item Ledger Entry Type",$C$4,"2 Item No.","@@"&amp;$F2241,"3 Posting Date",U$9)</t>
  </si>
  <si>
    <t>=U2241-W2241</t>
  </si>
  <si>
    <t>=IF(U2241&lt;&gt;0,X2241/U2241,"")</t>
  </si>
  <si>
    <t>=NL("Sum","5802 Value Entry","150 Sales Amount (Expected)","41 Source Type",$C$5,"5 Source No.",$C2241,"4 Item Ledger Entry Type",$C$4,"2 Item No.","@@"&amp;$F2241,"3 Posting Date",Z$9)+NL("Sum","5802 Value Entry","17 Sales Amount (Actual)","41 Source Type",$C$5,"5 Source no.",$C2241,"4 Item Ledger Entry Type",$C$4,"2 Item No.","@@"&amp;$F2241,"3 Posting Date",Z$9)</t>
  </si>
  <si>
    <t>=-NL("Sum","5802 Value Entry","151 Cost Amount (Expected)","41 Source Type",$C$5,"5 Source No.",$C2241,"4 Item Ledger Entry Type",$C$4,"2 Item No.","@@"&amp;$F2241,"3 Posting Date",Z$9)-NL("Sum","5802 Value Entry","43 Cost Amount (Actual)","41 Source Type",$C$5,"5 Source no.",$C2241,"4 Item Ledger Entry Type",$C$4,"2 Item No.","@@"&amp;$F2241,"3 Posting Date",Z$9)</t>
  </si>
  <si>
    <t>=Z2241-AB2241</t>
  </si>
  <si>
    <t>=IF(Z2241&lt;&gt;0,AC2241/Z2241,"")</t>
  </si>
  <si>
    <t>=C2242</t>
  </si>
  <si>
    <t>=J2243-L2243</t>
  </si>
  <si>
    <t>=IF(J2243&lt;&gt;0,M2243/J2243,"")</t>
  </si>
  <si>
    <t>=O2243-Q2243</t>
  </si>
  <si>
    <t>=IF(O2243&lt;&gt;0,R2243/O2243,"")</t>
  </si>
  <si>
    <t>=U2243-W2243</t>
  </si>
  <si>
    <t>=IF(U2243&lt;&gt;0,X2243/U2243,"")</t>
  </si>
  <si>
    <t>=Z2243-AB2243</t>
  </si>
  <si>
    <t>=IF(Z2243&lt;&gt;0,AC2243/Z2243,"")</t>
  </si>
  <si>
    <t>=C2245</t>
  </si>
  <si>
    <t>=C2246</t>
  </si>
  <si>
    <t>=NL("Sum","5802 Value Entry","150 Sales Amount (Expected)","41 Source Type",$C$5,"5 Source No.",$C2247,"4 Item Ledger Entry Type",$C$4,"2 Item No.","@@"&amp;$F2247,"3 Posting Date",J$9)+NL("Sum","5802 Value Entry","17 Sales Amount (Actual)","41 Source Type",$C$5,"5 Source no.",$C2247,"4 Item Ledger Entry Type",$C$4,"2 Item No.","@@"&amp;$F2247,"3 Posting Date",J$9)</t>
  </si>
  <si>
    <t>=-NL("Sum","5802 Value Entry","151 Cost Amount (Expected)","41 Source Type",$C$5,"5 Source No.",$C2247,"4 Item Ledger Entry Type",$C$4,"2 Item No.","@@"&amp;$F2247,"3 Posting Date",J$9)-NL("Sum","5802 Value Entry","43 Cost Amount (Actual)","41 Source Type",$C$5,"5 Source no.",$C2247,"4 Item Ledger Entry Type",$C$4,"2 Item No.","@@"&amp;$F2247,"3 Posting Date",J$9)</t>
  </si>
  <si>
    <t>=J2247-L2247</t>
  </si>
  <si>
    <t>=IF(J2247&lt;&gt;0,M2247/J2247,"")</t>
  </si>
  <si>
    <t>=NL("Sum","5802 Value Entry","150 Sales Amount (Expected)","41 Source Type",$C$5,"5 Source No.",$C2247,"4 Item Ledger Entry Type",$C$4,"2 Item No.","@@"&amp;$F2247,"3 Posting Date",O$9)+NL("Sum","5802 Value Entry","17 Sales Amount (Actual)","41 Source Type",$C$5,"5 Source no.",$C2247,"4 Item Ledger Entry Type",$C$4,"2 Item No.","@@"&amp;$F2247,"3 Posting Date",O$9)</t>
  </si>
  <si>
    <t>=-NL("Sum","5802 Value Entry","151 Cost Amount (Expected)","41 Source Type",$C$5,"5 Source No.",$C2247,"4 Item Ledger Entry Type",$C$4,"2 Item No.","@@"&amp;$F2247,"3 Posting Date",O$9)-NL("Sum","5802 Value Entry","43 Cost Amount (Actual)","41 Source Type",$C$5,"5 Source no.",$C2247,"4 Item Ledger Entry Type",$C$4,"2 Item No.","@@"&amp;$F2247,"3 Posting Date",O$9)</t>
  </si>
  <si>
    <t>=O2247-Q2247</t>
  </si>
  <si>
    <t>=IF(O2247&lt;&gt;0,R2247/O2247,"")</t>
  </si>
  <si>
    <t>=NL("Sum","5802 Value Entry","150 Sales Amount (Expected)","41 Source Type",$C$5,"5 Source No.",$C2247,"4 Item Ledger Entry Type",$C$4,"2 Item No.","@@"&amp;$F2247,"3 Posting Date",U$9)+NL("Sum","5802 Value Entry","17 Sales Amount (Actual)","41 Source Type",$C$5,"5 Source no.",$C2247,"4 Item Ledger Entry Type",$C$4,"2 Item No.","@@"&amp;$F2247,"3 Posting Date",U$9)</t>
  </si>
  <si>
    <t>=-NL("Sum","5802 Value Entry","151 Cost Amount (Expected)","41 Source Type",$C$5,"5 Source No.",$C2247,"4 Item Ledger Entry Type",$C$4,"2 Item No.","@@"&amp;$F2247,"3 Posting Date",U$9)-NL("Sum","5802 Value Entry","43 Cost Amount (Actual)","41 Source Type",$C$5,"5 Source no.",$C2247,"4 Item Ledger Entry Type",$C$4,"2 Item No.","@@"&amp;$F2247,"3 Posting Date",U$9)</t>
  </si>
  <si>
    <t>=U2247-W2247</t>
  </si>
  <si>
    <t>=IF(U2247&lt;&gt;0,X2247/U2247,"")</t>
  </si>
  <si>
    <t>=NL("Sum","5802 Value Entry","150 Sales Amount (Expected)","41 Source Type",$C$5,"5 Source No.",$C2247,"4 Item Ledger Entry Type",$C$4,"2 Item No.","@@"&amp;$F2247,"3 Posting Date",Z$9)+NL("Sum","5802 Value Entry","17 Sales Amount (Actual)","41 Source Type",$C$5,"5 Source no.",$C2247,"4 Item Ledger Entry Type",$C$4,"2 Item No.","@@"&amp;$F2247,"3 Posting Date",Z$9)</t>
  </si>
  <si>
    <t>=-NL("Sum","5802 Value Entry","151 Cost Amount (Expected)","41 Source Type",$C$5,"5 Source No.",$C2247,"4 Item Ledger Entry Type",$C$4,"2 Item No.","@@"&amp;$F2247,"3 Posting Date",Z$9)-NL("Sum","5802 Value Entry","43 Cost Amount (Actual)","41 Source Type",$C$5,"5 Source no.",$C2247,"4 Item Ledger Entry Type",$C$4,"2 Item No.","@@"&amp;$F2247,"3 Posting Date",Z$9)</t>
  </si>
  <si>
    <t>=Z2247-AB2247</t>
  </si>
  <si>
    <t>=IF(Z2247&lt;&gt;0,AC2247/Z2247,"")</t>
  </si>
  <si>
    <t>=C2247</t>
  </si>
  <si>
    <t>=NL("Sum","5802 Value Entry","150 Sales Amount (Expected)","41 Source Type",$C$5,"5 Source No.",$C2248,"4 Item Ledger Entry Type",$C$4,"2 Item No.","@@"&amp;$F2248,"3 Posting Date",J$9)+NL("Sum","5802 Value Entry","17 Sales Amount (Actual)","41 Source Type",$C$5,"5 Source no.",$C2248,"4 Item Ledger Entry Type",$C$4,"2 Item No.","@@"&amp;$F2248,"3 Posting Date",J$9)</t>
  </si>
  <si>
    <t>=-NL("Sum","5802 Value Entry","151 Cost Amount (Expected)","41 Source Type",$C$5,"5 Source No.",$C2248,"4 Item Ledger Entry Type",$C$4,"2 Item No.","@@"&amp;$F2248,"3 Posting Date",J$9)-NL("Sum","5802 Value Entry","43 Cost Amount (Actual)","41 Source Type",$C$5,"5 Source no.",$C2248,"4 Item Ledger Entry Type",$C$4,"2 Item No.","@@"&amp;$F2248,"3 Posting Date",J$9)</t>
  </si>
  <si>
    <t>=J2248-L2248</t>
  </si>
  <si>
    <t>=IF(J2248&lt;&gt;0,M2248/J2248,"")</t>
  </si>
  <si>
    <t>=NL("Sum","5802 Value Entry","150 Sales Amount (Expected)","41 Source Type",$C$5,"5 Source No.",$C2248,"4 Item Ledger Entry Type",$C$4,"2 Item No.","@@"&amp;$F2248,"3 Posting Date",O$9)+NL("Sum","5802 Value Entry","17 Sales Amount (Actual)","41 Source Type",$C$5,"5 Source no.",$C2248,"4 Item Ledger Entry Type",$C$4,"2 Item No.","@@"&amp;$F2248,"3 Posting Date",O$9)</t>
  </si>
  <si>
    <t>=-NL("Sum","5802 Value Entry","151 Cost Amount (Expected)","41 Source Type",$C$5,"5 Source No.",$C2248,"4 Item Ledger Entry Type",$C$4,"2 Item No.","@@"&amp;$F2248,"3 Posting Date",O$9)-NL("Sum","5802 Value Entry","43 Cost Amount (Actual)","41 Source Type",$C$5,"5 Source no.",$C2248,"4 Item Ledger Entry Type",$C$4,"2 Item No.","@@"&amp;$F2248,"3 Posting Date",O$9)</t>
  </si>
  <si>
    <t>=O2248-Q2248</t>
  </si>
  <si>
    <t>=IF(O2248&lt;&gt;0,R2248/O2248,"")</t>
  </si>
  <si>
    <t>=NL("Sum","5802 Value Entry","150 Sales Amount (Expected)","41 Source Type",$C$5,"5 Source No.",$C2248,"4 Item Ledger Entry Type",$C$4,"2 Item No.","@@"&amp;$F2248,"3 Posting Date",U$9)+NL("Sum","5802 Value Entry","17 Sales Amount (Actual)","41 Source Type",$C$5,"5 Source no.",$C2248,"4 Item Ledger Entry Type",$C$4,"2 Item No.","@@"&amp;$F2248,"3 Posting Date",U$9)</t>
  </si>
  <si>
    <t>=-NL("Sum","5802 Value Entry","151 Cost Amount (Expected)","41 Source Type",$C$5,"5 Source No.",$C2248,"4 Item Ledger Entry Type",$C$4,"2 Item No.","@@"&amp;$F2248,"3 Posting Date",U$9)-NL("Sum","5802 Value Entry","43 Cost Amount (Actual)","41 Source Type",$C$5,"5 Source no.",$C2248,"4 Item Ledger Entry Type",$C$4,"2 Item No.","@@"&amp;$F2248,"3 Posting Date",U$9)</t>
  </si>
  <si>
    <t>=U2248-W2248</t>
  </si>
  <si>
    <t>=IF(U2248&lt;&gt;0,X2248/U2248,"")</t>
  </si>
  <si>
    <t>=NL("Sum","5802 Value Entry","150 Sales Amount (Expected)","41 Source Type",$C$5,"5 Source No.",$C2248,"4 Item Ledger Entry Type",$C$4,"2 Item No.","@@"&amp;$F2248,"3 Posting Date",Z$9)+NL("Sum","5802 Value Entry","17 Sales Amount (Actual)","41 Source Type",$C$5,"5 Source no.",$C2248,"4 Item Ledger Entry Type",$C$4,"2 Item No.","@@"&amp;$F2248,"3 Posting Date",Z$9)</t>
  </si>
  <si>
    <t>=-NL("Sum","5802 Value Entry","151 Cost Amount (Expected)","41 Source Type",$C$5,"5 Source No.",$C2248,"4 Item Ledger Entry Type",$C$4,"2 Item No.","@@"&amp;$F2248,"3 Posting Date",Z$9)-NL("Sum","5802 Value Entry","43 Cost Amount (Actual)","41 Source Type",$C$5,"5 Source no.",$C2248,"4 Item Ledger Entry Type",$C$4,"2 Item No.","@@"&amp;$F2248,"3 Posting Date",Z$9)</t>
  </si>
  <si>
    <t>=Z2248-AB2248</t>
  </si>
  <si>
    <t>=IF(Z2248&lt;&gt;0,AC2248/Z2248,"")</t>
  </si>
  <si>
    <t>=C2248</t>
  </si>
  <si>
    <t>=NL("Sum","5802 Value Entry","150 Sales Amount (Expected)","41 Source Type",$C$5,"5 Source No.",$C2249,"4 Item Ledger Entry Type",$C$4,"2 Item No.","@@"&amp;$F2249,"3 Posting Date",J$9)+NL("Sum","5802 Value Entry","17 Sales Amount (Actual)","41 Source Type",$C$5,"5 Source no.",$C2249,"4 Item Ledger Entry Type",$C$4,"2 Item No.","@@"&amp;$F2249,"3 Posting Date",J$9)</t>
  </si>
  <si>
    <t>=-NL("Sum","5802 Value Entry","151 Cost Amount (Expected)","41 Source Type",$C$5,"5 Source No.",$C2249,"4 Item Ledger Entry Type",$C$4,"2 Item No.","@@"&amp;$F2249,"3 Posting Date",J$9)-NL("Sum","5802 Value Entry","43 Cost Amount (Actual)","41 Source Type",$C$5,"5 Source no.",$C2249,"4 Item Ledger Entry Type",$C$4,"2 Item No.","@@"&amp;$F2249,"3 Posting Date",J$9)</t>
  </si>
  <si>
    <t>=J2249-L2249</t>
  </si>
  <si>
    <t>=IF(J2249&lt;&gt;0,M2249/J2249,"")</t>
  </si>
  <si>
    <t>=NL("Sum","5802 Value Entry","150 Sales Amount (Expected)","41 Source Type",$C$5,"5 Source No.",$C2249,"4 Item Ledger Entry Type",$C$4,"2 Item No.","@@"&amp;$F2249,"3 Posting Date",O$9)+NL("Sum","5802 Value Entry","17 Sales Amount (Actual)","41 Source Type",$C$5,"5 Source no.",$C2249,"4 Item Ledger Entry Type",$C$4,"2 Item No.","@@"&amp;$F2249,"3 Posting Date",O$9)</t>
  </si>
  <si>
    <t>=-NL("Sum","5802 Value Entry","151 Cost Amount (Expected)","41 Source Type",$C$5,"5 Source No.",$C2249,"4 Item Ledger Entry Type",$C$4,"2 Item No.","@@"&amp;$F2249,"3 Posting Date",O$9)-NL("Sum","5802 Value Entry","43 Cost Amount (Actual)","41 Source Type",$C$5,"5 Source no.",$C2249,"4 Item Ledger Entry Type",$C$4,"2 Item No.","@@"&amp;$F2249,"3 Posting Date",O$9)</t>
  </si>
  <si>
    <t>=O2249-Q2249</t>
  </si>
  <si>
    <t>=IF(O2249&lt;&gt;0,R2249/O2249,"")</t>
  </si>
  <si>
    <t>=NL("Sum","5802 Value Entry","150 Sales Amount (Expected)","41 Source Type",$C$5,"5 Source No.",$C2249,"4 Item Ledger Entry Type",$C$4,"2 Item No.","@@"&amp;$F2249,"3 Posting Date",U$9)+NL("Sum","5802 Value Entry","17 Sales Amount (Actual)","41 Source Type",$C$5,"5 Source no.",$C2249,"4 Item Ledger Entry Type",$C$4,"2 Item No.","@@"&amp;$F2249,"3 Posting Date",U$9)</t>
  </si>
  <si>
    <t>=-NL("Sum","5802 Value Entry","151 Cost Amount (Expected)","41 Source Type",$C$5,"5 Source No.",$C2249,"4 Item Ledger Entry Type",$C$4,"2 Item No.","@@"&amp;$F2249,"3 Posting Date",U$9)-NL("Sum","5802 Value Entry","43 Cost Amount (Actual)","41 Source Type",$C$5,"5 Source no.",$C2249,"4 Item Ledger Entry Type",$C$4,"2 Item No.","@@"&amp;$F2249,"3 Posting Date",U$9)</t>
  </si>
  <si>
    <t>=U2249-W2249</t>
  </si>
  <si>
    <t>=IF(U2249&lt;&gt;0,X2249/U2249,"")</t>
  </si>
  <si>
    <t>=NL("Sum","5802 Value Entry","150 Sales Amount (Expected)","41 Source Type",$C$5,"5 Source No.",$C2249,"4 Item Ledger Entry Type",$C$4,"2 Item No.","@@"&amp;$F2249,"3 Posting Date",Z$9)+NL("Sum","5802 Value Entry","17 Sales Amount (Actual)","41 Source Type",$C$5,"5 Source no.",$C2249,"4 Item Ledger Entry Type",$C$4,"2 Item No.","@@"&amp;$F2249,"3 Posting Date",Z$9)</t>
  </si>
  <si>
    <t>=-NL("Sum","5802 Value Entry","151 Cost Amount (Expected)","41 Source Type",$C$5,"5 Source No.",$C2249,"4 Item Ledger Entry Type",$C$4,"2 Item No.","@@"&amp;$F2249,"3 Posting Date",Z$9)-NL("Sum","5802 Value Entry","43 Cost Amount (Actual)","41 Source Type",$C$5,"5 Source no.",$C2249,"4 Item Ledger Entry Type",$C$4,"2 Item No.","@@"&amp;$F2249,"3 Posting Date",Z$9)</t>
  </si>
  <si>
    <t>=Z2249-AB2249</t>
  </si>
  <si>
    <t>=IF(Z2249&lt;&gt;0,AC2249/Z2249,"")</t>
  </si>
  <si>
    <t>=C2249</t>
  </si>
  <si>
    <t>=NL("Sum","5802 Value Entry","150 Sales Amount (Expected)","41 Source Type",$C$5,"5 Source No.",$C2250,"4 Item Ledger Entry Type",$C$4,"2 Item No.","@@"&amp;$F2250,"3 Posting Date",J$9)+NL("Sum","5802 Value Entry","17 Sales Amount (Actual)","41 Source Type",$C$5,"5 Source no.",$C2250,"4 Item Ledger Entry Type",$C$4,"2 Item No.","@@"&amp;$F2250,"3 Posting Date",J$9)</t>
  </si>
  <si>
    <t>=-NL("Sum","5802 Value Entry","151 Cost Amount (Expected)","41 Source Type",$C$5,"5 Source No.",$C2250,"4 Item Ledger Entry Type",$C$4,"2 Item No.","@@"&amp;$F2250,"3 Posting Date",J$9)-NL("Sum","5802 Value Entry","43 Cost Amount (Actual)","41 Source Type",$C$5,"5 Source no.",$C2250,"4 Item Ledger Entry Type",$C$4,"2 Item No.","@@"&amp;$F2250,"3 Posting Date",J$9)</t>
  </si>
  <si>
    <t>=J2250-L2250</t>
  </si>
  <si>
    <t>=IF(J2250&lt;&gt;0,M2250/J2250,"")</t>
  </si>
  <si>
    <t>=NL("Sum","5802 Value Entry","150 Sales Amount (Expected)","41 Source Type",$C$5,"5 Source No.",$C2250,"4 Item Ledger Entry Type",$C$4,"2 Item No.","@@"&amp;$F2250,"3 Posting Date",O$9)+NL("Sum","5802 Value Entry","17 Sales Amount (Actual)","41 Source Type",$C$5,"5 Source no.",$C2250,"4 Item Ledger Entry Type",$C$4,"2 Item No.","@@"&amp;$F2250,"3 Posting Date",O$9)</t>
  </si>
  <si>
    <t>=-NL("Sum","5802 Value Entry","151 Cost Amount (Expected)","41 Source Type",$C$5,"5 Source No.",$C2250,"4 Item Ledger Entry Type",$C$4,"2 Item No.","@@"&amp;$F2250,"3 Posting Date",O$9)-NL("Sum","5802 Value Entry","43 Cost Amount (Actual)","41 Source Type",$C$5,"5 Source no.",$C2250,"4 Item Ledger Entry Type",$C$4,"2 Item No.","@@"&amp;$F2250,"3 Posting Date",O$9)</t>
  </si>
  <si>
    <t>=O2250-Q2250</t>
  </si>
  <si>
    <t>=IF(O2250&lt;&gt;0,R2250/O2250,"")</t>
  </si>
  <si>
    <t>=NL("Sum","5802 Value Entry","150 Sales Amount (Expected)","41 Source Type",$C$5,"5 Source No.",$C2250,"4 Item Ledger Entry Type",$C$4,"2 Item No.","@@"&amp;$F2250,"3 Posting Date",U$9)+NL("Sum","5802 Value Entry","17 Sales Amount (Actual)","41 Source Type",$C$5,"5 Source no.",$C2250,"4 Item Ledger Entry Type",$C$4,"2 Item No.","@@"&amp;$F2250,"3 Posting Date",U$9)</t>
  </si>
  <si>
    <t>=-NL("Sum","5802 Value Entry","151 Cost Amount (Expected)","41 Source Type",$C$5,"5 Source No.",$C2250,"4 Item Ledger Entry Type",$C$4,"2 Item No.","@@"&amp;$F2250,"3 Posting Date",U$9)-NL("Sum","5802 Value Entry","43 Cost Amount (Actual)","41 Source Type",$C$5,"5 Source no.",$C2250,"4 Item Ledger Entry Type",$C$4,"2 Item No.","@@"&amp;$F2250,"3 Posting Date",U$9)</t>
  </si>
  <si>
    <t>=U2250-W2250</t>
  </si>
  <si>
    <t>=IF(U2250&lt;&gt;0,X2250/U2250,"")</t>
  </si>
  <si>
    <t>=NL("Sum","5802 Value Entry","150 Sales Amount (Expected)","41 Source Type",$C$5,"5 Source No.",$C2250,"4 Item Ledger Entry Type",$C$4,"2 Item No.","@@"&amp;$F2250,"3 Posting Date",Z$9)+NL("Sum","5802 Value Entry","17 Sales Amount (Actual)","41 Source Type",$C$5,"5 Source no.",$C2250,"4 Item Ledger Entry Type",$C$4,"2 Item No.","@@"&amp;$F2250,"3 Posting Date",Z$9)</t>
  </si>
  <si>
    <t>=-NL("Sum","5802 Value Entry","151 Cost Amount (Expected)","41 Source Type",$C$5,"5 Source No.",$C2250,"4 Item Ledger Entry Type",$C$4,"2 Item No.","@@"&amp;$F2250,"3 Posting Date",Z$9)-NL("Sum","5802 Value Entry","43 Cost Amount (Actual)","41 Source Type",$C$5,"5 Source no.",$C2250,"4 Item Ledger Entry Type",$C$4,"2 Item No.","@@"&amp;$F2250,"3 Posting Date",Z$9)</t>
  </si>
  <si>
    <t>=Z2250-AB2250</t>
  </si>
  <si>
    <t>=IF(Z2250&lt;&gt;0,AC2250/Z2250,"")</t>
  </si>
  <si>
    <t>=C2250</t>
  </si>
  <si>
    <t>=NL("Sum","5802 Value Entry","150 Sales Amount (Expected)","41 Source Type",$C$5,"5 Source No.",$C2251,"4 Item Ledger Entry Type",$C$4,"2 Item No.","@@"&amp;$F2251,"3 Posting Date",J$9)+NL("Sum","5802 Value Entry","17 Sales Amount (Actual)","41 Source Type",$C$5,"5 Source no.",$C2251,"4 Item Ledger Entry Type",$C$4,"2 Item No.","@@"&amp;$F2251,"3 Posting Date",J$9)</t>
  </si>
  <si>
    <t>=-NL("Sum","5802 Value Entry","151 Cost Amount (Expected)","41 Source Type",$C$5,"5 Source No.",$C2251,"4 Item Ledger Entry Type",$C$4,"2 Item No.","@@"&amp;$F2251,"3 Posting Date",J$9)-NL("Sum","5802 Value Entry","43 Cost Amount (Actual)","41 Source Type",$C$5,"5 Source no.",$C2251,"4 Item Ledger Entry Type",$C$4,"2 Item No.","@@"&amp;$F2251,"3 Posting Date",J$9)</t>
  </si>
  <si>
    <t>=J2251-L2251</t>
  </si>
  <si>
    <t>=IF(J2251&lt;&gt;0,M2251/J2251,"")</t>
  </si>
  <si>
    <t>=NL("Sum","5802 Value Entry","150 Sales Amount (Expected)","41 Source Type",$C$5,"5 Source No.",$C2251,"4 Item Ledger Entry Type",$C$4,"2 Item No.","@@"&amp;$F2251,"3 Posting Date",O$9)+NL("Sum","5802 Value Entry","17 Sales Amount (Actual)","41 Source Type",$C$5,"5 Source no.",$C2251,"4 Item Ledger Entry Type",$C$4,"2 Item No.","@@"&amp;$F2251,"3 Posting Date",O$9)</t>
  </si>
  <si>
    <t>=-NL("Sum","5802 Value Entry","151 Cost Amount (Expected)","41 Source Type",$C$5,"5 Source No.",$C2251,"4 Item Ledger Entry Type",$C$4,"2 Item No.","@@"&amp;$F2251,"3 Posting Date",O$9)-NL("Sum","5802 Value Entry","43 Cost Amount (Actual)","41 Source Type",$C$5,"5 Source no.",$C2251,"4 Item Ledger Entry Type",$C$4,"2 Item No.","@@"&amp;$F2251,"3 Posting Date",O$9)</t>
  </si>
  <si>
    <t>=O2251-Q2251</t>
  </si>
  <si>
    <t>=IF(O2251&lt;&gt;0,R2251/O2251,"")</t>
  </si>
  <si>
    <t>=NL("Sum","5802 Value Entry","150 Sales Amount (Expected)","41 Source Type",$C$5,"5 Source No.",$C2251,"4 Item Ledger Entry Type",$C$4,"2 Item No.","@@"&amp;$F2251,"3 Posting Date",U$9)+NL("Sum","5802 Value Entry","17 Sales Amount (Actual)","41 Source Type",$C$5,"5 Source no.",$C2251,"4 Item Ledger Entry Type",$C$4,"2 Item No.","@@"&amp;$F2251,"3 Posting Date",U$9)</t>
  </si>
  <si>
    <t>=-NL("Sum","5802 Value Entry","151 Cost Amount (Expected)","41 Source Type",$C$5,"5 Source No.",$C2251,"4 Item Ledger Entry Type",$C$4,"2 Item No.","@@"&amp;$F2251,"3 Posting Date",U$9)-NL("Sum","5802 Value Entry","43 Cost Amount (Actual)","41 Source Type",$C$5,"5 Source no.",$C2251,"4 Item Ledger Entry Type",$C$4,"2 Item No.","@@"&amp;$F2251,"3 Posting Date",U$9)</t>
  </si>
  <si>
    <t>=U2251-W2251</t>
  </si>
  <si>
    <t>=IF(U2251&lt;&gt;0,X2251/U2251,"")</t>
  </si>
  <si>
    <t>=NL("Sum","5802 Value Entry","150 Sales Amount (Expected)","41 Source Type",$C$5,"5 Source No.",$C2251,"4 Item Ledger Entry Type",$C$4,"2 Item No.","@@"&amp;$F2251,"3 Posting Date",Z$9)+NL("Sum","5802 Value Entry","17 Sales Amount (Actual)","41 Source Type",$C$5,"5 Source no.",$C2251,"4 Item Ledger Entry Type",$C$4,"2 Item No.","@@"&amp;$F2251,"3 Posting Date",Z$9)</t>
  </si>
  <si>
    <t>=-NL("Sum","5802 Value Entry","151 Cost Amount (Expected)","41 Source Type",$C$5,"5 Source No.",$C2251,"4 Item Ledger Entry Type",$C$4,"2 Item No.","@@"&amp;$F2251,"3 Posting Date",Z$9)-NL("Sum","5802 Value Entry","43 Cost Amount (Actual)","41 Source Type",$C$5,"5 Source no.",$C2251,"4 Item Ledger Entry Type",$C$4,"2 Item No.","@@"&amp;$F2251,"3 Posting Date",Z$9)</t>
  </si>
  <si>
    <t>=Z2251-AB2251</t>
  </si>
  <si>
    <t>=IF(Z2251&lt;&gt;0,AC2251/Z2251,"")</t>
  </si>
  <si>
    <t>=C2251</t>
  </si>
  <si>
    <t>=NL("Sum","5802 Value Entry","150 Sales Amount (Expected)","41 Source Type",$C$5,"5 Source No.",$C2252,"4 Item Ledger Entry Type",$C$4,"2 Item No.","@@"&amp;$F2252,"3 Posting Date",J$9)+NL("Sum","5802 Value Entry","17 Sales Amount (Actual)","41 Source Type",$C$5,"5 Source no.",$C2252,"4 Item Ledger Entry Type",$C$4,"2 Item No.","@@"&amp;$F2252,"3 Posting Date",J$9)</t>
  </si>
  <si>
    <t>=-NL("Sum","5802 Value Entry","151 Cost Amount (Expected)","41 Source Type",$C$5,"5 Source No.",$C2252,"4 Item Ledger Entry Type",$C$4,"2 Item No.","@@"&amp;$F2252,"3 Posting Date",J$9)-NL("Sum","5802 Value Entry","43 Cost Amount (Actual)","41 Source Type",$C$5,"5 Source no.",$C2252,"4 Item Ledger Entry Type",$C$4,"2 Item No.","@@"&amp;$F2252,"3 Posting Date",J$9)</t>
  </si>
  <si>
    <t>=J2252-L2252</t>
  </si>
  <si>
    <t>=IF(J2252&lt;&gt;0,M2252/J2252,"")</t>
  </si>
  <si>
    <t>=NL("Sum","5802 Value Entry","150 Sales Amount (Expected)","41 Source Type",$C$5,"5 Source No.",$C2252,"4 Item Ledger Entry Type",$C$4,"2 Item No.","@@"&amp;$F2252,"3 Posting Date",O$9)+NL("Sum","5802 Value Entry","17 Sales Amount (Actual)","41 Source Type",$C$5,"5 Source no.",$C2252,"4 Item Ledger Entry Type",$C$4,"2 Item No.","@@"&amp;$F2252,"3 Posting Date",O$9)</t>
  </si>
  <si>
    <t>=-NL("Sum","5802 Value Entry","151 Cost Amount (Expected)","41 Source Type",$C$5,"5 Source No.",$C2252,"4 Item Ledger Entry Type",$C$4,"2 Item No.","@@"&amp;$F2252,"3 Posting Date",O$9)-NL("Sum","5802 Value Entry","43 Cost Amount (Actual)","41 Source Type",$C$5,"5 Source no.",$C2252,"4 Item Ledger Entry Type",$C$4,"2 Item No.","@@"&amp;$F2252,"3 Posting Date",O$9)</t>
  </si>
  <si>
    <t>=O2252-Q2252</t>
  </si>
  <si>
    <t>=IF(O2252&lt;&gt;0,R2252/O2252,"")</t>
  </si>
  <si>
    <t>=NL("Sum","5802 Value Entry","150 Sales Amount (Expected)","41 Source Type",$C$5,"5 Source No.",$C2252,"4 Item Ledger Entry Type",$C$4,"2 Item No.","@@"&amp;$F2252,"3 Posting Date",U$9)+NL("Sum","5802 Value Entry","17 Sales Amount (Actual)","41 Source Type",$C$5,"5 Source no.",$C2252,"4 Item Ledger Entry Type",$C$4,"2 Item No.","@@"&amp;$F2252,"3 Posting Date",U$9)</t>
  </si>
  <si>
    <t>=-NL("Sum","5802 Value Entry","151 Cost Amount (Expected)","41 Source Type",$C$5,"5 Source No.",$C2252,"4 Item Ledger Entry Type",$C$4,"2 Item No.","@@"&amp;$F2252,"3 Posting Date",U$9)-NL("Sum","5802 Value Entry","43 Cost Amount (Actual)","41 Source Type",$C$5,"5 Source no.",$C2252,"4 Item Ledger Entry Type",$C$4,"2 Item No.","@@"&amp;$F2252,"3 Posting Date",U$9)</t>
  </si>
  <si>
    <t>=U2252-W2252</t>
  </si>
  <si>
    <t>=IF(U2252&lt;&gt;0,X2252/U2252,"")</t>
  </si>
  <si>
    <t>=NL("Sum","5802 Value Entry","150 Sales Amount (Expected)","41 Source Type",$C$5,"5 Source No.",$C2252,"4 Item Ledger Entry Type",$C$4,"2 Item No.","@@"&amp;$F2252,"3 Posting Date",Z$9)+NL("Sum","5802 Value Entry","17 Sales Amount (Actual)","41 Source Type",$C$5,"5 Source no.",$C2252,"4 Item Ledger Entry Type",$C$4,"2 Item No.","@@"&amp;$F2252,"3 Posting Date",Z$9)</t>
  </si>
  <si>
    <t>=-NL("Sum","5802 Value Entry","151 Cost Amount (Expected)","41 Source Type",$C$5,"5 Source No.",$C2252,"4 Item Ledger Entry Type",$C$4,"2 Item No.","@@"&amp;$F2252,"3 Posting Date",Z$9)-NL("Sum","5802 Value Entry","43 Cost Amount (Actual)","41 Source Type",$C$5,"5 Source no.",$C2252,"4 Item Ledger Entry Type",$C$4,"2 Item No.","@@"&amp;$F2252,"3 Posting Date",Z$9)</t>
  </si>
  <si>
    <t>=Z2252-AB2252</t>
  </si>
  <si>
    <t>=IF(Z2252&lt;&gt;0,AC2252/Z2252,"")</t>
  </si>
  <si>
    <t>=C2252</t>
  </si>
  <si>
    <t>=NL("Sum","5802 Value Entry","150 Sales Amount (Expected)","41 Source Type",$C$5,"5 Source No.",$C2253,"4 Item Ledger Entry Type",$C$4,"2 Item No.","@@"&amp;$F2253,"3 Posting Date",J$9)+NL("Sum","5802 Value Entry","17 Sales Amount (Actual)","41 Source Type",$C$5,"5 Source no.",$C2253,"4 Item Ledger Entry Type",$C$4,"2 Item No.","@@"&amp;$F2253,"3 Posting Date",J$9)</t>
  </si>
  <si>
    <t>=-NL("Sum","5802 Value Entry","151 Cost Amount (Expected)","41 Source Type",$C$5,"5 Source No.",$C2253,"4 Item Ledger Entry Type",$C$4,"2 Item No.","@@"&amp;$F2253,"3 Posting Date",J$9)-NL("Sum","5802 Value Entry","43 Cost Amount (Actual)","41 Source Type",$C$5,"5 Source no.",$C2253,"4 Item Ledger Entry Type",$C$4,"2 Item No.","@@"&amp;$F2253,"3 Posting Date",J$9)</t>
  </si>
  <si>
    <t>=J2253-L2253</t>
  </si>
  <si>
    <t>=IF(J2253&lt;&gt;0,M2253/J2253,"")</t>
  </si>
  <si>
    <t>=NL("Sum","5802 Value Entry","150 Sales Amount (Expected)","41 Source Type",$C$5,"5 Source No.",$C2253,"4 Item Ledger Entry Type",$C$4,"2 Item No.","@@"&amp;$F2253,"3 Posting Date",O$9)+NL("Sum","5802 Value Entry","17 Sales Amount (Actual)","41 Source Type",$C$5,"5 Source no.",$C2253,"4 Item Ledger Entry Type",$C$4,"2 Item No.","@@"&amp;$F2253,"3 Posting Date",O$9)</t>
  </si>
  <si>
    <t>=-NL("Sum","5802 Value Entry","151 Cost Amount (Expected)","41 Source Type",$C$5,"5 Source No.",$C2253,"4 Item Ledger Entry Type",$C$4,"2 Item No.","@@"&amp;$F2253,"3 Posting Date",O$9)-NL("Sum","5802 Value Entry","43 Cost Amount (Actual)","41 Source Type",$C$5,"5 Source no.",$C2253,"4 Item Ledger Entry Type",$C$4,"2 Item No.","@@"&amp;$F2253,"3 Posting Date",O$9)</t>
  </si>
  <si>
    <t>=O2253-Q2253</t>
  </si>
  <si>
    <t>=IF(O2253&lt;&gt;0,R2253/O2253,"")</t>
  </si>
  <si>
    <t>=NL("Sum","5802 Value Entry","150 Sales Amount (Expected)","41 Source Type",$C$5,"5 Source No.",$C2253,"4 Item Ledger Entry Type",$C$4,"2 Item No.","@@"&amp;$F2253,"3 Posting Date",U$9)+NL("Sum","5802 Value Entry","17 Sales Amount (Actual)","41 Source Type",$C$5,"5 Source no.",$C2253,"4 Item Ledger Entry Type",$C$4,"2 Item No.","@@"&amp;$F2253,"3 Posting Date",U$9)</t>
  </si>
  <si>
    <t>=-NL("Sum","5802 Value Entry","151 Cost Amount (Expected)","41 Source Type",$C$5,"5 Source No.",$C2253,"4 Item Ledger Entry Type",$C$4,"2 Item No.","@@"&amp;$F2253,"3 Posting Date",U$9)-NL("Sum","5802 Value Entry","43 Cost Amount (Actual)","41 Source Type",$C$5,"5 Source no.",$C2253,"4 Item Ledger Entry Type",$C$4,"2 Item No.","@@"&amp;$F2253,"3 Posting Date",U$9)</t>
  </si>
  <si>
    <t>=U2253-W2253</t>
  </si>
  <si>
    <t>=IF(U2253&lt;&gt;0,X2253/U2253,"")</t>
  </si>
  <si>
    <t>=NL("Sum","5802 Value Entry","150 Sales Amount (Expected)","41 Source Type",$C$5,"5 Source No.",$C2253,"4 Item Ledger Entry Type",$C$4,"2 Item No.","@@"&amp;$F2253,"3 Posting Date",Z$9)+NL("Sum","5802 Value Entry","17 Sales Amount (Actual)","41 Source Type",$C$5,"5 Source no.",$C2253,"4 Item Ledger Entry Type",$C$4,"2 Item No.","@@"&amp;$F2253,"3 Posting Date",Z$9)</t>
  </si>
  <si>
    <t>=-NL("Sum","5802 Value Entry","151 Cost Amount (Expected)","41 Source Type",$C$5,"5 Source No.",$C2253,"4 Item Ledger Entry Type",$C$4,"2 Item No.","@@"&amp;$F2253,"3 Posting Date",Z$9)-NL("Sum","5802 Value Entry","43 Cost Amount (Actual)","41 Source Type",$C$5,"5 Source no.",$C2253,"4 Item Ledger Entry Type",$C$4,"2 Item No.","@@"&amp;$F2253,"3 Posting Date",Z$9)</t>
  </si>
  <si>
    <t>=Z2253-AB2253</t>
  </si>
  <si>
    <t>=IF(Z2253&lt;&gt;0,AC2253/Z2253,"")</t>
  </si>
  <si>
    <t>=C2253</t>
  </si>
  <si>
    <t>=NL("Sum","5802 Value Entry","150 Sales Amount (Expected)","41 Source Type",$C$5,"5 Source No.",$C2254,"4 Item Ledger Entry Type",$C$4,"2 Item No.","@@"&amp;$F2254,"3 Posting Date",J$9)+NL("Sum","5802 Value Entry","17 Sales Amount (Actual)","41 Source Type",$C$5,"5 Source no.",$C2254,"4 Item Ledger Entry Type",$C$4,"2 Item No.","@@"&amp;$F2254,"3 Posting Date",J$9)</t>
  </si>
  <si>
    <t>=-NL("Sum","5802 Value Entry","151 Cost Amount (Expected)","41 Source Type",$C$5,"5 Source No.",$C2254,"4 Item Ledger Entry Type",$C$4,"2 Item No.","@@"&amp;$F2254,"3 Posting Date",J$9)-NL("Sum","5802 Value Entry","43 Cost Amount (Actual)","41 Source Type",$C$5,"5 Source no.",$C2254,"4 Item Ledger Entry Type",$C$4,"2 Item No.","@@"&amp;$F2254,"3 Posting Date",J$9)</t>
  </si>
  <si>
    <t>=J2254-L2254</t>
  </si>
  <si>
    <t>=IF(J2254&lt;&gt;0,M2254/J2254,"")</t>
  </si>
  <si>
    <t>=NL("Sum","5802 Value Entry","150 Sales Amount (Expected)","41 Source Type",$C$5,"5 Source No.",$C2254,"4 Item Ledger Entry Type",$C$4,"2 Item No.","@@"&amp;$F2254,"3 Posting Date",O$9)+NL("Sum","5802 Value Entry","17 Sales Amount (Actual)","41 Source Type",$C$5,"5 Source no.",$C2254,"4 Item Ledger Entry Type",$C$4,"2 Item No.","@@"&amp;$F2254,"3 Posting Date",O$9)</t>
  </si>
  <si>
    <t>=-NL("Sum","5802 Value Entry","151 Cost Amount (Expected)","41 Source Type",$C$5,"5 Source No.",$C2254,"4 Item Ledger Entry Type",$C$4,"2 Item No.","@@"&amp;$F2254,"3 Posting Date",O$9)-NL("Sum","5802 Value Entry","43 Cost Amount (Actual)","41 Source Type",$C$5,"5 Source no.",$C2254,"4 Item Ledger Entry Type",$C$4,"2 Item No.","@@"&amp;$F2254,"3 Posting Date",O$9)</t>
  </si>
  <si>
    <t>=O2254-Q2254</t>
  </si>
  <si>
    <t>=IF(O2254&lt;&gt;0,R2254/O2254,"")</t>
  </si>
  <si>
    <t>=NL("Sum","5802 Value Entry","150 Sales Amount (Expected)","41 Source Type",$C$5,"5 Source No.",$C2254,"4 Item Ledger Entry Type",$C$4,"2 Item No.","@@"&amp;$F2254,"3 Posting Date",U$9)+NL("Sum","5802 Value Entry","17 Sales Amount (Actual)","41 Source Type",$C$5,"5 Source no.",$C2254,"4 Item Ledger Entry Type",$C$4,"2 Item No.","@@"&amp;$F2254,"3 Posting Date",U$9)</t>
  </si>
  <si>
    <t>=-NL("Sum","5802 Value Entry","151 Cost Amount (Expected)","41 Source Type",$C$5,"5 Source No.",$C2254,"4 Item Ledger Entry Type",$C$4,"2 Item No.","@@"&amp;$F2254,"3 Posting Date",U$9)-NL("Sum","5802 Value Entry","43 Cost Amount (Actual)","41 Source Type",$C$5,"5 Source no.",$C2254,"4 Item Ledger Entry Type",$C$4,"2 Item No.","@@"&amp;$F2254,"3 Posting Date",U$9)</t>
  </si>
  <si>
    <t>=U2254-W2254</t>
  </si>
  <si>
    <t>=IF(U2254&lt;&gt;0,X2254/U2254,"")</t>
  </si>
  <si>
    <t>=NL("Sum","5802 Value Entry","150 Sales Amount (Expected)","41 Source Type",$C$5,"5 Source No.",$C2254,"4 Item Ledger Entry Type",$C$4,"2 Item No.","@@"&amp;$F2254,"3 Posting Date",Z$9)+NL("Sum","5802 Value Entry","17 Sales Amount (Actual)","41 Source Type",$C$5,"5 Source no.",$C2254,"4 Item Ledger Entry Type",$C$4,"2 Item No.","@@"&amp;$F2254,"3 Posting Date",Z$9)</t>
  </si>
  <si>
    <t>=-NL("Sum","5802 Value Entry","151 Cost Amount (Expected)","41 Source Type",$C$5,"5 Source No.",$C2254,"4 Item Ledger Entry Type",$C$4,"2 Item No.","@@"&amp;$F2254,"3 Posting Date",Z$9)-NL("Sum","5802 Value Entry","43 Cost Amount (Actual)","41 Source Type",$C$5,"5 Source no.",$C2254,"4 Item Ledger Entry Type",$C$4,"2 Item No.","@@"&amp;$F2254,"3 Posting Date",Z$9)</t>
  </si>
  <si>
    <t>=Z2254-AB2254</t>
  </si>
  <si>
    <t>=IF(Z2254&lt;&gt;0,AC2254/Z2254,"")</t>
  </si>
  <si>
    <t>=C2254</t>
  </si>
  <si>
    <t>=NL("Sum","5802 Value Entry","150 Sales Amount (Expected)","41 Source Type",$C$5,"5 Source No.",$C2255,"4 Item Ledger Entry Type",$C$4,"2 Item No.","@@"&amp;$F2255,"3 Posting Date",J$9)+NL("Sum","5802 Value Entry","17 Sales Amount (Actual)","41 Source Type",$C$5,"5 Source no.",$C2255,"4 Item Ledger Entry Type",$C$4,"2 Item No.","@@"&amp;$F2255,"3 Posting Date",J$9)</t>
  </si>
  <si>
    <t>=-NL("Sum","5802 Value Entry","151 Cost Amount (Expected)","41 Source Type",$C$5,"5 Source No.",$C2255,"4 Item Ledger Entry Type",$C$4,"2 Item No.","@@"&amp;$F2255,"3 Posting Date",J$9)-NL("Sum","5802 Value Entry","43 Cost Amount (Actual)","41 Source Type",$C$5,"5 Source no.",$C2255,"4 Item Ledger Entry Type",$C$4,"2 Item No.","@@"&amp;$F2255,"3 Posting Date",J$9)</t>
  </si>
  <si>
    <t>=J2255-L2255</t>
  </si>
  <si>
    <t>=IF(J2255&lt;&gt;0,M2255/J2255,"")</t>
  </si>
  <si>
    <t>=NL("Sum","5802 Value Entry","150 Sales Amount (Expected)","41 Source Type",$C$5,"5 Source No.",$C2255,"4 Item Ledger Entry Type",$C$4,"2 Item No.","@@"&amp;$F2255,"3 Posting Date",O$9)+NL("Sum","5802 Value Entry","17 Sales Amount (Actual)","41 Source Type",$C$5,"5 Source no.",$C2255,"4 Item Ledger Entry Type",$C$4,"2 Item No.","@@"&amp;$F2255,"3 Posting Date",O$9)</t>
  </si>
  <si>
    <t>=-NL("Sum","5802 Value Entry","151 Cost Amount (Expected)","41 Source Type",$C$5,"5 Source No.",$C2255,"4 Item Ledger Entry Type",$C$4,"2 Item No.","@@"&amp;$F2255,"3 Posting Date",O$9)-NL("Sum","5802 Value Entry","43 Cost Amount (Actual)","41 Source Type",$C$5,"5 Source no.",$C2255,"4 Item Ledger Entry Type",$C$4,"2 Item No.","@@"&amp;$F2255,"3 Posting Date",O$9)</t>
  </si>
  <si>
    <t>=O2255-Q2255</t>
  </si>
  <si>
    <t>=IF(O2255&lt;&gt;0,R2255/O2255,"")</t>
  </si>
  <si>
    <t>=NL("Sum","5802 Value Entry","150 Sales Amount (Expected)","41 Source Type",$C$5,"5 Source No.",$C2255,"4 Item Ledger Entry Type",$C$4,"2 Item No.","@@"&amp;$F2255,"3 Posting Date",U$9)+NL("Sum","5802 Value Entry","17 Sales Amount (Actual)","41 Source Type",$C$5,"5 Source no.",$C2255,"4 Item Ledger Entry Type",$C$4,"2 Item No.","@@"&amp;$F2255,"3 Posting Date",U$9)</t>
  </si>
  <si>
    <t>=-NL("Sum","5802 Value Entry","151 Cost Amount (Expected)","41 Source Type",$C$5,"5 Source No.",$C2255,"4 Item Ledger Entry Type",$C$4,"2 Item No.","@@"&amp;$F2255,"3 Posting Date",U$9)-NL("Sum","5802 Value Entry","43 Cost Amount (Actual)","41 Source Type",$C$5,"5 Source no.",$C2255,"4 Item Ledger Entry Type",$C$4,"2 Item No.","@@"&amp;$F2255,"3 Posting Date",U$9)</t>
  </si>
  <si>
    <t>=U2255-W2255</t>
  </si>
  <si>
    <t>=IF(U2255&lt;&gt;0,X2255/U2255,"")</t>
  </si>
  <si>
    <t>=NL("Sum","5802 Value Entry","150 Sales Amount (Expected)","41 Source Type",$C$5,"5 Source No.",$C2255,"4 Item Ledger Entry Type",$C$4,"2 Item No.","@@"&amp;$F2255,"3 Posting Date",Z$9)+NL("Sum","5802 Value Entry","17 Sales Amount (Actual)","41 Source Type",$C$5,"5 Source no.",$C2255,"4 Item Ledger Entry Type",$C$4,"2 Item No.","@@"&amp;$F2255,"3 Posting Date",Z$9)</t>
  </si>
  <si>
    <t>=-NL("Sum","5802 Value Entry","151 Cost Amount (Expected)","41 Source Type",$C$5,"5 Source No.",$C2255,"4 Item Ledger Entry Type",$C$4,"2 Item No.","@@"&amp;$F2255,"3 Posting Date",Z$9)-NL("Sum","5802 Value Entry","43 Cost Amount (Actual)","41 Source Type",$C$5,"5 Source no.",$C2255,"4 Item Ledger Entry Type",$C$4,"2 Item No.","@@"&amp;$F2255,"3 Posting Date",Z$9)</t>
  </si>
  <si>
    <t>=Z2255-AB2255</t>
  </si>
  <si>
    <t>=IF(Z2255&lt;&gt;0,AC2255/Z2255,"")</t>
  </si>
  <si>
    <t>=C2255</t>
  </si>
  <si>
    <t>=NL("Sum","5802 Value Entry","150 Sales Amount (Expected)","41 Source Type",$C$5,"5 Source No.",$C2256,"4 Item Ledger Entry Type",$C$4,"2 Item No.","@@"&amp;$F2256,"3 Posting Date",J$9)+NL("Sum","5802 Value Entry","17 Sales Amount (Actual)","41 Source Type",$C$5,"5 Source no.",$C2256,"4 Item Ledger Entry Type",$C$4,"2 Item No.","@@"&amp;$F2256,"3 Posting Date",J$9)</t>
  </si>
  <si>
    <t>=-NL("Sum","5802 Value Entry","151 Cost Amount (Expected)","41 Source Type",$C$5,"5 Source No.",$C2256,"4 Item Ledger Entry Type",$C$4,"2 Item No.","@@"&amp;$F2256,"3 Posting Date",J$9)-NL("Sum","5802 Value Entry","43 Cost Amount (Actual)","41 Source Type",$C$5,"5 Source no.",$C2256,"4 Item Ledger Entry Type",$C$4,"2 Item No.","@@"&amp;$F2256,"3 Posting Date",J$9)</t>
  </si>
  <si>
    <t>=J2256-L2256</t>
  </si>
  <si>
    <t>=IF(J2256&lt;&gt;0,M2256/J2256,"")</t>
  </si>
  <si>
    <t>=NL("Sum","5802 Value Entry","150 Sales Amount (Expected)","41 Source Type",$C$5,"5 Source No.",$C2256,"4 Item Ledger Entry Type",$C$4,"2 Item No.","@@"&amp;$F2256,"3 Posting Date",O$9)+NL("Sum","5802 Value Entry","17 Sales Amount (Actual)","41 Source Type",$C$5,"5 Source no.",$C2256,"4 Item Ledger Entry Type",$C$4,"2 Item No.","@@"&amp;$F2256,"3 Posting Date",O$9)</t>
  </si>
  <si>
    <t>=-NL("Sum","5802 Value Entry","151 Cost Amount (Expected)","41 Source Type",$C$5,"5 Source No.",$C2256,"4 Item Ledger Entry Type",$C$4,"2 Item No.","@@"&amp;$F2256,"3 Posting Date",O$9)-NL("Sum","5802 Value Entry","43 Cost Amount (Actual)","41 Source Type",$C$5,"5 Source no.",$C2256,"4 Item Ledger Entry Type",$C$4,"2 Item No.","@@"&amp;$F2256,"3 Posting Date",O$9)</t>
  </si>
  <si>
    <t>=O2256-Q2256</t>
  </si>
  <si>
    <t>=IF(O2256&lt;&gt;0,R2256/O2256,"")</t>
  </si>
  <si>
    <t>=NL("Sum","5802 Value Entry","150 Sales Amount (Expected)","41 Source Type",$C$5,"5 Source No.",$C2256,"4 Item Ledger Entry Type",$C$4,"2 Item No.","@@"&amp;$F2256,"3 Posting Date",U$9)+NL("Sum","5802 Value Entry","17 Sales Amount (Actual)","41 Source Type",$C$5,"5 Source no.",$C2256,"4 Item Ledger Entry Type",$C$4,"2 Item No.","@@"&amp;$F2256,"3 Posting Date",U$9)</t>
  </si>
  <si>
    <t>=-NL("Sum","5802 Value Entry","151 Cost Amount (Expected)","41 Source Type",$C$5,"5 Source No.",$C2256,"4 Item Ledger Entry Type",$C$4,"2 Item No.","@@"&amp;$F2256,"3 Posting Date",U$9)-NL("Sum","5802 Value Entry","43 Cost Amount (Actual)","41 Source Type",$C$5,"5 Source no.",$C2256,"4 Item Ledger Entry Type",$C$4,"2 Item No.","@@"&amp;$F2256,"3 Posting Date",U$9)</t>
  </si>
  <si>
    <t>=U2256-W2256</t>
  </si>
  <si>
    <t>=IF(U2256&lt;&gt;0,X2256/U2256,"")</t>
  </si>
  <si>
    <t>=NL("Sum","5802 Value Entry","150 Sales Amount (Expected)","41 Source Type",$C$5,"5 Source No.",$C2256,"4 Item Ledger Entry Type",$C$4,"2 Item No.","@@"&amp;$F2256,"3 Posting Date",Z$9)+NL("Sum","5802 Value Entry","17 Sales Amount (Actual)","41 Source Type",$C$5,"5 Source no.",$C2256,"4 Item Ledger Entry Type",$C$4,"2 Item No.","@@"&amp;$F2256,"3 Posting Date",Z$9)</t>
  </si>
  <si>
    <t>=-NL("Sum","5802 Value Entry","151 Cost Amount (Expected)","41 Source Type",$C$5,"5 Source No.",$C2256,"4 Item Ledger Entry Type",$C$4,"2 Item No.","@@"&amp;$F2256,"3 Posting Date",Z$9)-NL("Sum","5802 Value Entry","43 Cost Amount (Actual)","41 Source Type",$C$5,"5 Source no.",$C2256,"4 Item Ledger Entry Type",$C$4,"2 Item No.","@@"&amp;$F2256,"3 Posting Date",Z$9)</t>
  </si>
  <si>
    <t>=Z2256-AB2256</t>
  </si>
  <si>
    <t>=IF(Z2256&lt;&gt;0,AC2256/Z2256,"")</t>
  </si>
  <si>
    <t>=C2256</t>
  </si>
  <si>
    <t>=NL("Sum","5802 Value Entry","150 Sales Amount (Expected)","41 Source Type",$C$5,"5 Source No.",$C2257,"4 Item Ledger Entry Type",$C$4,"2 Item No.","@@"&amp;$F2257,"3 Posting Date",J$9)+NL("Sum","5802 Value Entry","17 Sales Amount (Actual)","41 Source Type",$C$5,"5 Source no.",$C2257,"4 Item Ledger Entry Type",$C$4,"2 Item No.","@@"&amp;$F2257,"3 Posting Date",J$9)</t>
  </si>
  <si>
    <t>=-NL("Sum","5802 Value Entry","151 Cost Amount (Expected)","41 Source Type",$C$5,"5 Source No.",$C2257,"4 Item Ledger Entry Type",$C$4,"2 Item No.","@@"&amp;$F2257,"3 Posting Date",J$9)-NL("Sum","5802 Value Entry","43 Cost Amount (Actual)","41 Source Type",$C$5,"5 Source no.",$C2257,"4 Item Ledger Entry Type",$C$4,"2 Item No.","@@"&amp;$F2257,"3 Posting Date",J$9)</t>
  </si>
  <si>
    <t>=J2257-L2257</t>
  </si>
  <si>
    <t>=IF(J2257&lt;&gt;0,M2257/J2257,"")</t>
  </si>
  <si>
    <t>=NL("Sum","5802 Value Entry","150 Sales Amount (Expected)","41 Source Type",$C$5,"5 Source No.",$C2257,"4 Item Ledger Entry Type",$C$4,"2 Item No.","@@"&amp;$F2257,"3 Posting Date",O$9)+NL("Sum","5802 Value Entry","17 Sales Amount (Actual)","41 Source Type",$C$5,"5 Source no.",$C2257,"4 Item Ledger Entry Type",$C$4,"2 Item No.","@@"&amp;$F2257,"3 Posting Date",O$9)</t>
  </si>
  <si>
    <t>=-NL("Sum","5802 Value Entry","151 Cost Amount (Expected)","41 Source Type",$C$5,"5 Source No.",$C2257,"4 Item Ledger Entry Type",$C$4,"2 Item No.","@@"&amp;$F2257,"3 Posting Date",O$9)-NL("Sum","5802 Value Entry","43 Cost Amount (Actual)","41 Source Type",$C$5,"5 Source no.",$C2257,"4 Item Ledger Entry Type",$C$4,"2 Item No.","@@"&amp;$F2257,"3 Posting Date",O$9)</t>
  </si>
  <si>
    <t>=O2257-Q2257</t>
  </si>
  <si>
    <t>=IF(O2257&lt;&gt;0,R2257/O2257,"")</t>
  </si>
  <si>
    <t>=NL("Sum","5802 Value Entry","150 Sales Amount (Expected)","41 Source Type",$C$5,"5 Source No.",$C2257,"4 Item Ledger Entry Type",$C$4,"2 Item No.","@@"&amp;$F2257,"3 Posting Date",U$9)+NL("Sum","5802 Value Entry","17 Sales Amount (Actual)","41 Source Type",$C$5,"5 Source no.",$C2257,"4 Item Ledger Entry Type",$C$4,"2 Item No.","@@"&amp;$F2257,"3 Posting Date",U$9)</t>
  </si>
  <si>
    <t>=-NL("Sum","5802 Value Entry","151 Cost Amount (Expected)","41 Source Type",$C$5,"5 Source No.",$C2257,"4 Item Ledger Entry Type",$C$4,"2 Item No.","@@"&amp;$F2257,"3 Posting Date",U$9)-NL("Sum","5802 Value Entry","43 Cost Amount (Actual)","41 Source Type",$C$5,"5 Source no.",$C2257,"4 Item Ledger Entry Type",$C$4,"2 Item No.","@@"&amp;$F2257,"3 Posting Date",U$9)</t>
  </si>
  <si>
    <t>=U2257-W2257</t>
  </si>
  <si>
    <t>=IF(U2257&lt;&gt;0,X2257/U2257,"")</t>
  </si>
  <si>
    <t>=NL("Sum","5802 Value Entry","150 Sales Amount (Expected)","41 Source Type",$C$5,"5 Source No.",$C2257,"4 Item Ledger Entry Type",$C$4,"2 Item No.","@@"&amp;$F2257,"3 Posting Date",Z$9)+NL("Sum","5802 Value Entry","17 Sales Amount (Actual)","41 Source Type",$C$5,"5 Source no.",$C2257,"4 Item Ledger Entry Type",$C$4,"2 Item No.","@@"&amp;$F2257,"3 Posting Date",Z$9)</t>
  </si>
  <si>
    <t>=-NL("Sum","5802 Value Entry","151 Cost Amount (Expected)","41 Source Type",$C$5,"5 Source No.",$C2257,"4 Item Ledger Entry Type",$C$4,"2 Item No.","@@"&amp;$F2257,"3 Posting Date",Z$9)-NL("Sum","5802 Value Entry","43 Cost Amount (Actual)","41 Source Type",$C$5,"5 Source no.",$C2257,"4 Item Ledger Entry Type",$C$4,"2 Item No.","@@"&amp;$F2257,"3 Posting Date",Z$9)</t>
  </si>
  <si>
    <t>=Z2257-AB2257</t>
  </si>
  <si>
    <t>=IF(Z2257&lt;&gt;0,AC2257/Z2257,"")</t>
  </si>
  <si>
    <t>=C2257</t>
  </si>
  <si>
    <t>=NL("Sum","5802 Value Entry","150 Sales Amount (Expected)","41 Source Type",$C$5,"5 Source No.",$C2258,"4 Item Ledger Entry Type",$C$4,"2 Item No.","@@"&amp;$F2258,"3 Posting Date",J$9)+NL("Sum","5802 Value Entry","17 Sales Amount (Actual)","41 Source Type",$C$5,"5 Source no.",$C2258,"4 Item Ledger Entry Type",$C$4,"2 Item No.","@@"&amp;$F2258,"3 Posting Date",J$9)</t>
  </si>
  <si>
    <t>=-NL("Sum","5802 Value Entry","151 Cost Amount (Expected)","41 Source Type",$C$5,"5 Source No.",$C2258,"4 Item Ledger Entry Type",$C$4,"2 Item No.","@@"&amp;$F2258,"3 Posting Date",J$9)-NL("Sum","5802 Value Entry","43 Cost Amount (Actual)","41 Source Type",$C$5,"5 Source no.",$C2258,"4 Item Ledger Entry Type",$C$4,"2 Item No.","@@"&amp;$F2258,"3 Posting Date",J$9)</t>
  </si>
  <si>
    <t>=J2258-L2258</t>
  </si>
  <si>
    <t>=IF(J2258&lt;&gt;0,M2258/J2258,"")</t>
  </si>
  <si>
    <t>=NL("Sum","5802 Value Entry","150 Sales Amount (Expected)","41 Source Type",$C$5,"5 Source No.",$C2258,"4 Item Ledger Entry Type",$C$4,"2 Item No.","@@"&amp;$F2258,"3 Posting Date",O$9)+NL("Sum","5802 Value Entry","17 Sales Amount (Actual)","41 Source Type",$C$5,"5 Source no.",$C2258,"4 Item Ledger Entry Type",$C$4,"2 Item No.","@@"&amp;$F2258,"3 Posting Date",O$9)</t>
  </si>
  <si>
    <t>=-NL("Sum","5802 Value Entry","151 Cost Amount (Expected)","41 Source Type",$C$5,"5 Source No.",$C2258,"4 Item Ledger Entry Type",$C$4,"2 Item No.","@@"&amp;$F2258,"3 Posting Date",O$9)-NL("Sum","5802 Value Entry","43 Cost Amount (Actual)","41 Source Type",$C$5,"5 Source no.",$C2258,"4 Item Ledger Entry Type",$C$4,"2 Item No.","@@"&amp;$F2258,"3 Posting Date",O$9)</t>
  </si>
  <si>
    <t>=O2258-Q2258</t>
  </si>
  <si>
    <t>=IF(O2258&lt;&gt;0,R2258/O2258,"")</t>
  </si>
  <si>
    <t>=NL("Sum","5802 Value Entry","150 Sales Amount (Expected)","41 Source Type",$C$5,"5 Source No.",$C2258,"4 Item Ledger Entry Type",$C$4,"2 Item No.","@@"&amp;$F2258,"3 Posting Date",U$9)+NL("Sum","5802 Value Entry","17 Sales Amount (Actual)","41 Source Type",$C$5,"5 Source no.",$C2258,"4 Item Ledger Entry Type",$C$4,"2 Item No.","@@"&amp;$F2258,"3 Posting Date",U$9)</t>
  </si>
  <si>
    <t>=-NL("Sum","5802 Value Entry","151 Cost Amount (Expected)","41 Source Type",$C$5,"5 Source No.",$C2258,"4 Item Ledger Entry Type",$C$4,"2 Item No.","@@"&amp;$F2258,"3 Posting Date",U$9)-NL("Sum","5802 Value Entry","43 Cost Amount (Actual)","41 Source Type",$C$5,"5 Source no.",$C2258,"4 Item Ledger Entry Type",$C$4,"2 Item No.","@@"&amp;$F2258,"3 Posting Date",U$9)</t>
  </si>
  <si>
    <t>=U2258-W2258</t>
  </si>
  <si>
    <t>=IF(U2258&lt;&gt;0,X2258/U2258,"")</t>
  </si>
  <si>
    <t>=NL("Sum","5802 Value Entry","150 Sales Amount (Expected)","41 Source Type",$C$5,"5 Source No.",$C2258,"4 Item Ledger Entry Type",$C$4,"2 Item No.","@@"&amp;$F2258,"3 Posting Date",Z$9)+NL("Sum","5802 Value Entry","17 Sales Amount (Actual)","41 Source Type",$C$5,"5 Source no.",$C2258,"4 Item Ledger Entry Type",$C$4,"2 Item No.","@@"&amp;$F2258,"3 Posting Date",Z$9)</t>
  </si>
  <si>
    <t>=-NL("Sum","5802 Value Entry","151 Cost Amount (Expected)","41 Source Type",$C$5,"5 Source No.",$C2258,"4 Item Ledger Entry Type",$C$4,"2 Item No.","@@"&amp;$F2258,"3 Posting Date",Z$9)-NL("Sum","5802 Value Entry","43 Cost Amount (Actual)","41 Source Type",$C$5,"5 Source no.",$C2258,"4 Item Ledger Entry Type",$C$4,"2 Item No.","@@"&amp;$F2258,"3 Posting Date",Z$9)</t>
  </si>
  <si>
    <t>=Z2258-AB2258</t>
  </si>
  <si>
    <t>=IF(Z2258&lt;&gt;0,AC2258/Z2258,"")</t>
  </si>
  <si>
    <t>=C2258</t>
  </si>
  <si>
    <t>=NL("Sum","5802 Value Entry","150 Sales Amount (Expected)","41 Source Type",$C$5,"5 Source No.",$C2259,"4 Item Ledger Entry Type",$C$4,"2 Item No.","@@"&amp;$F2259,"3 Posting Date",J$9)+NL("Sum","5802 Value Entry","17 Sales Amount (Actual)","41 Source Type",$C$5,"5 Source no.",$C2259,"4 Item Ledger Entry Type",$C$4,"2 Item No.","@@"&amp;$F2259,"3 Posting Date",J$9)</t>
  </si>
  <si>
    <t>=-NL("Sum","5802 Value Entry","151 Cost Amount (Expected)","41 Source Type",$C$5,"5 Source No.",$C2259,"4 Item Ledger Entry Type",$C$4,"2 Item No.","@@"&amp;$F2259,"3 Posting Date",J$9)-NL("Sum","5802 Value Entry","43 Cost Amount (Actual)","41 Source Type",$C$5,"5 Source no.",$C2259,"4 Item Ledger Entry Type",$C$4,"2 Item No.","@@"&amp;$F2259,"3 Posting Date",J$9)</t>
  </si>
  <si>
    <t>=J2259-L2259</t>
  </si>
  <si>
    <t>=IF(J2259&lt;&gt;0,M2259/J2259,"")</t>
  </si>
  <si>
    <t>=NL("Sum","5802 Value Entry","150 Sales Amount (Expected)","41 Source Type",$C$5,"5 Source No.",$C2259,"4 Item Ledger Entry Type",$C$4,"2 Item No.","@@"&amp;$F2259,"3 Posting Date",O$9)+NL("Sum","5802 Value Entry","17 Sales Amount (Actual)","41 Source Type",$C$5,"5 Source no.",$C2259,"4 Item Ledger Entry Type",$C$4,"2 Item No.","@@"&amp;$F2259,"3 Posting Date",O$9)</t>
  </si>
  <si>
    <t>=-NL("Sum","5802 Value Entry","151 Cost Amount (Expected)","41 Source Type",$C$5,"5 Source No.",$C2259,"4 Item Ledger Entry Type",$C$4,"2 Item No.","@@"&amp;$F2259,"3 Posting Date",O$9)-NL("Sum","5802 Value Entry","43 Cost Amount (Actual)","41 Source Type",$C$5,"5 Source no.",$C2259,"4 Item Ledger Entry Type",$C$4,"2 Item No.","@@"&amp;$F2259,"3 Posting Date",O$9)</t>
  </si>
  <si>
    <t>=O2259-Q2259</t>
  </si>
  <si>
    <t>=IF(O2259&lt;&gt;0,R2259/O2259,"")</t>
  </si>
  <si>
    <t>=NL("Sum","5802 Value Entry","150 Sales Amount (Expected)","41 Source Type",$C$5,"5 Source No.",$C2259,"4 Item Ledger Entry Type",$C$4,"2 Item No.","@@"&amp;$F2259,"3 Posting Date",U$9)+NL("Sum","5802 Value Entry","17 Sales Amount (Actual)","41 Source Type",$C$5,"5 Source no.",$C2259,"4 Item Ledger Entry Type",$C$4,"2 Item No.","@@"&amp;$F2259,"3 Posting Date",U$9)</t>
  </si>
  <si>
    <t>=-NL("Sum","5802 Value Entry","151 Cost Amount (Expected)","41 Source Type",$C$5,"5 Source No.",$C2259,"4 Item Ledger Entry Type",$C$4,"2 Item No.","@@"&amp;$F2259,"3 Posting Date",U$9)-NL("Sum","5802 Value Entry","43 Cost Amount (Actual)","41 Source Type",$C$5,"5 Source no.",$C2259,"4 Item Ledger Entry Type",$C$4,"2 Item No.","@@"&amp;$F2259,"3 Posting Date",U$9)</t>
  </si>
  <si>
    <t>=U2259-W2259</t>
  </si>
  <si>
    <t>=IF(U2259&lt;&gt;0,X2259/U2259,"")</t>
  </si>
  <si>
    <t>=NL("Sum","5802 Value Entry","150 Sales Amount (Expected)","41 Source Type",$C$5,"5 Source No.",$C2259,"4 Item Ledger Entry Type",$C$4,"2 Item No.","@@"&amp;$F2259,"3 Posting Date",Z$9)+NL("Sum","5802 Value Entry","17 Sales Amount (Actual)","41 Source Type",$C$5,"5 Source no.",$C2259,"4 Item Ledger Entry Type",$C$4,"2 Item No.","@@"&amp;$F2259,"3 Posting Date",Z$9)</t>
  </si>
  <si>
    <t>=-NL("Sum","5802 Value Entry","151 Cost Amount (Expected)","41 Source Type",$C$5,"5 Source No.",$C2259,"4 Item Ledger Entry Type",$C$4,"2 Item No.","@@"&amp;$F2259,"3 Posting Date",Z$9)-NL("Sum","5802 Value Entry","43 Cost Amount (Actual)","41 Source Type",$C$5,"5 Source no.",$C2259,"4 Item Ledger Entry Type",$C$4,"2 Item No.","@@"&amp;$F2259,"3 Posting Date",Z$9)</t>
  </si>
  <si>
    <t>=Z2259-AB2259</t>
  </si>
  <si>
    <t>=IF(Z2259&lt;&gt;0,AC2259/Z2259,"")</t>
  </si>
  <si>
    <t>=C2259</t>
  </si>
  <si>
    <t>=NL("Sum","5802 Value Entry","150 Sales Amount (Expected)","41 Source Type",$C$5,"5 Source No.",$C2260,"4 Item Ledger Entry Type",$C$4,"2 Item No.","@@"&amp;$F2260,"3 Posting Date",J$9)+NL("Sum","5802 Value Entry","17 Sales Amount (Actual)","41 Source Type",$C$5,"5 Source no.",$C2260,"4 Item Ledger Entry Type",$C$4,"2 Item No.","@@"&amp;$F2260,"3 Posting Date",J$9)</t>
  </si>
  <si>
    <t>=-NL("Sum","5802 Value Entry","151 Cost Amount (Expected)","41 Source Type",$C$5,"5 Source No.",$C2260,"4 Item Ledger Entry Type",$C$4,"2 Item No.","@@"&amp;$F2260,"3 Posting Date",J$9)-NL("Sum","5802 Value Entry","43 Cost Amount (Actual)","41 Source Type",$C$5,"5 Source no.",$C2260,"4 Item Ledger Entry Type",$C$4,"2 Item No.","@@"&amp;$F2260,"3 Posting Date",J$9)</t>
  </si>
  <si>
    <t>=J2260-L2260</t>
  </si>
  <si>
    <t>=IF(J2260&lt;&gt;0,M2260/J2260,"")</t>
  </si>
  <si>
    <t>=NL("Sum","5802 Value Entry","150 Sales Amount (Expected)","41 Source Type",$C$5,"5 Source No.",$C2260,"4 Item Ledger Entry Type",$C$4,"2 Item No.","@@"&amp;$F2260,"3 Posting Date",O$9)+NL("Sum","5802 Value Entry","17 Sales Amount (Actual)","41 Source Type",$C$5,"5 Source no.",$C2260,"4 Item Ledger Entry Type",$C$4,"2 Item No.","@@"&amp;$F2260,"3 Posting Date",O$9)</t>
  </si>
  <si>
    <t>=-NL("Sum","5802 Value Entry","151 Cost Amount (Expected)","41 Source Type",$C$5,"5 Source No.",$C2260,"4 Item Ledger Entry Type",$C$4,"2 Item No.","@@"&amp;$F2260,"3 Posting Date",O$9)-NL("Sum","5802 Value Entry","43 Cost Amount (Actual)","41 Source Type",$C$5,"5 Source no.",$C2260,"4 Item Ledger Entry Type",$C$4,"2 Item No.","@@"&amp;$F2260,"3 Posting Date",O$9)</t>
  </si>
  <si>
    <t>=O2260-Q2260</t>
  </si>
  <si>
    <t>=IF(O2260&lt;&gt;0,R2260/O2260,"")</t>
  </si>
  <si>
    <t>=NL("Sum","5802 Value Entry","150 Sales Amount (Expected)","41 Source Type",$C$5,"5 Source No.",$C2260,"4 Item Ledger Entry Type",$C$4,"2 Item No.","@@"&amp;$F2260,"3 Posting Date",U$9)+NL("Sum","5802 Value Entry","17 Sales Amount (Actual)","41 Source Type",$C$5,"5 Source no.",$C2260,"4 Item Ledger Entry Type",$C$4,"2 Item No.","@@"&amp;$F2260,"3 Posting Date",U$9)</t>
  </si>
  <si>
    <t>=-NL("Sum","5802 Value Entry","151 Cost Amount (Expected)","41 Source Type",$C$5,"5 Source No.",$C2260,"4 Item Ledger Entry Type",$C$4,"2 Item No.","@@"&amp;$F2260,"3 Posting Date",U$9)-NL("Sum","5802 Value Entry","43 Cost Amount (Actual)","41 Source Type",$C$5,"5 Source no.",$C2260,"4 Item Ledger Entry Type",$C$4,"2 Item No.","@@"&amp;$F2260,"3 Posting Date",U$9)</t>
  </si>
  <si>
    <t>=U2260-W2260</t>
  </si>
  <si>
    <t>=IF(U2260&lt;&gt;0,X2260/U2260,"")</t>
  </si>
  <si>
    <t>=NL("Sum","5802 Value Entry","150 Sales Amount (Expected)","41 Source Type",$C$5,"5 Source No.",$C2260,"4 Item Ledger Entry Type",$C$4,"2 Item No.","@@"&amp;$F2260,"3 Posting Date",Z$9)+NL("Sum","5802 Value Entry","17 Sales Amount (Actual)","41 Source Type",$C$5,"5 Source no.",$C2260,"4 Item Ledger Entry Type",$C$4,"2 Item No.","@@"&amp;$F2260,"3 Posting Date",Z$9)</t>
  </si>
  <si>
    <t>=-NL("Sum","5802 Value Entry","151 Cost Amount (Expected)","41 Source Type",$C$5,"5 Source No.",$C2260,"4 Item Ledger Entry Type",$C$4,"2 Item No.","@@"&amp;$F2260,"3 Posting Date",Z$9)-NL("Sum","5802 Value Entry","43 Cost Amount (Actual)","41 Source Type",$C$5,"5 Source no.",$C2260,"4 Item Ledger Entry Type",$C$4,"2 Item No.","@@"&amp;$F2260,"3 Posting Date",Z$9)</t>
  </si>
  <si>
    <t>=Z2260-AB2260</t>
  </si>
  <si>
    <t>=IF(Z2260&lt;&gt;0,AC2260/Z2260,"")</t>
  </si>
  <si>
    <t>=C2260</t>
  </si>
  <si>
    <t>=NL("Sum","5802 Value Entry","150 Sales Amount (Expected)","41 Source Type",$C$5,"5 Source No.",$C2261,"4 Item Ledger Entry Type",$C$4,"2 Item No.","@@"&amp;$F2261,"3 Posting Date",J$9)+NL("Sum","5802 Value Entry","17 Sales Amount (Actual)","41 Source Type",$C$5,"5 Source no.",$C2261,"4 Item Ledger Entry Type",$C$4,"2 Item No.","@@"&amp;$F2261,"3 Posting Date",J$9)</t>
  </si>
  <si>
    <t>=-NL("Sum","5802 Value Entry","151 Cost Amount (Expected)","41 Source Type",$C$5,"5 Source No.",$C2261,"4 Item Ledger Entry Type",$C$4,"2 Item No.","@@"&amp;$F2261,"3 Posting Date",J$9)-NL("Sum","5802 Value Entry","43 Cost Amount (Actual)","41 Source Type",$C$5,"5 Source no.",$C2261,"4 Item Ledger Entry Type",$C$4,"2 Item No.","@@"&amp;$F2261,"3 Posting Date",J$9)</t>
  </si>
  <si>
    <t>=J2261-L2261</t>
  </si>
  <si>
    <t>=IF(J2261&lt;&gt;0,M2261/J2261,"")</t>
  </si>
  <si>
    <t>=NL("Sum","5802 Value Entry","150 Sales Amount (Expected)","41 Source Type",$C$5,"5 Source No.",$C2261,"4 Item Ledger Entry Type",$C$4,"2 Item No.","@@"&amp;$F2261,"3 Posting Date",O$9)+NL("Sum","5802 Value Entry","17 Sales Amount (Actual)","41 Source Type",$C$5,"5 Source no.",$C2261,"4 Item Ledger Entry Type",$C$4,"2 Item No.","@@"&amp;$F2261,"3 Posting Date",O$9)</t>
  </si>
  <si>
    <t>=-NL("Sum","5802 Value Entry","151 Cost Amount (Expected)","41 Source Type",$C$5,"5 Source No.",$C2261,"4 Item Ledger Entry Type",$C$4,"2 Item No.","@@"&amp;$F2261,"3 Posting Date",O$9)-NL("Sum","5802 Value Entry","43 Cost Amount (Actual)","41 Source Type",$C$5,"5 Source no.",$C2261,"4 Item Ledger Entry Type",$C$4,"2 Item No.","@@"&amp;$F2261,"3 Posting Date",O$9)</t>
  </si>
  <si>
    <t>=O2261-Q2261</t>
  </si>
  <si>
    <t>=IF(O2261&lt;&gt;0,R2261/O2261,"")</t>
  </si>
  <si>
    <t>=NL("Sum","5802 Value Entry","150 Sales Amount (Expected)","41 Source Type",$C$5,"5 Source No.",$C2261,"4 Item Ledger Entry Type",$C$4,"2 Item No.","@@"&amp;$F2261,"3 Posting Date",U$9)+NL("Sum","5802 Value Entry","17 Sales Amount (Actual)","41 Source Type",$C$5,"5 Source no.",$C2261,"4 Item Ledger Entry Type",$C$4,"2 Item No.","@@"&amp;$F2261,"3 Posting Date",U$9)</t>
  </si>
  <si>
    <t>=-NL("Sum","5802 Value Entry","151 Cost Amount (Expected)","41 Source Type",$C$5,"5 Source No.",$C2261,"4 Item Ledger Entry Type",$C$4,"2 Item No.","@@"&amp;$F2261,"3 Posting Date",U$9)-NL("Sum","5802 Value Entry","43 Cost Amount (Actual)","41 Source Type",$C$5,"5 Source no.",$C2261,"4 Item Ledger Entry Type",$C$4,"2 Item No.","@@"&amp;$F2261,"3 Posting Date",U$9)</t>
  </si>
  <si>
    <t>=U2261-W2261</t>
  </si>
  <si>
    <t>=IF(U2261&lt;&gt;0,X2261/U2261,"")</t>
  </si>
  <si>
    <t>=NL("Sum","5802 Value Entry","150 Sales Amount (Expected)","41 Source Type",$C$5,"5 Source No.",$C2261,"4 Item Ledger Entry Type",$C$4,"2 Item No.","@@"&amp;$F2261,"3 Posting Date",Z$9)+NL("Sum","5802 Value Entry","17 Sales Amount (Actual)","41 Source Type",$C$5,"5 Source no.",$C2261,"4 Item Ledger Entry Type",$C$4,"2 Item No.","@@"&amp;$F2261,"3 Posting Date",Z$9)</t>
  </si>
  <si>
    <t>=-NL("Sum","5802 Value Entry","151 Cost Amount (Expected)","41 Source Type",$C$5,"5 Source No.",$C2261,"4 Item Ledger Entry Type",$C$4,"2 Item No.","@@"&amp;$F2261,"3 Posting Date",Z$9)-NL("Sum","5802 Value Entry","43 Cost Amount (Actual)","41 Source Type",$C$5,"5 Source no.",$C2261,"4 Item Ledger Entry Type",$C$4,"2 Item No.","@@"&amp;$F2261,"3 Posting Date",Z$9)</t>
  </si>
  <si>
    <t>=Z2261-AB2261</t>
  </si>
  <si>
    <t>=IF(Z2261&lt;&gt;0,AC2261/Z2261,"")</t>
  </si>
  <si>
    <t>=C2261</t>
  </si>
  <si>
    <t>=NL("Sum","5802 Value Entry","150 Sales Amount (Expected)","41 Source Type",$C$5,"5 Source No.",$C2262,"4 Item Ledger Entry Type",$C$4,"2 Item No.","@@"&amp;$F2262,"3 Posting Date",J$9)+NL("Sum","5802 Value Entry","17 Sales Amount (Actual)","41 Source Type",$C$5,"5 Source no.",$C2262,"4 Item Ledger Entry Type",$C$4,"2 Item No.","@@"&amp;$F2262,"3 Posting Date",J$9)</t>
  </si>
  <si>
    <t>=-NL("Sum","5802 Value Entry","151 Cost Amount (Expected)","41 Source Type",$C$5,"5 Source No.",$C2262,"4 Item Ledger Entry Type",$C$4,"2 Item No.","@@"&amp;$F2262,"3 Posting Date",J$9)-NL("Sum","5802 Value Entry","43 Cost Amount (Actual)","41 Source Type",$C$5,"5 Source no.",$C2262,"4 Item Ledger Entry Type",$C$4,"2 Item No.","@@"&amp;$F2262,"3 Posting Date",J$9)</t>
  </si>
  <si>
    <t>=J2262-L2262</t>
  </si>
  <si>
    <t>=IF(J2262&lt;&gt;0,M2262/J2262,"")</t>
  </si>
  <si>
    <t>=NL("Sum","5802 Value Entry","150 Sales Amount (Expected)","41 Source Type",$C$5,"5 Source No.",$C2262,"4 Item Ledger Entry Type",$C$4,"2 Item No.","@@"&amp;$F2262,"3 Posting Date",O$9)+NL("Sum","5802 Value Entry","17 Sales Amount (Actual)","41 Source Type",$C$5,"5 Source no.",$C2262,"4 Item Ledger Entry Type",$C$4,"2 Item No.","@@"&amp;$F2262,"3 Posting Date",O$9)</t>
  </si>
  <si>
    <t>=-NL("Sum","5802 Value Entry","151 Cost Amount (Expected)","41 Source Type",$C$5,"5 Source No.",$C2262,"4 Item Ledger Entry Type",$C$4,"2 Item No.","@@"&amp;$F2262,"3 Posting Date",O$9)-NL("Sum","5802 Value Entry","43 Cost Amount (Actual)","41 Source Type",$C$5,"5 Source no.",$C2262,"4 Item Ledger Entry Type",$C$4,"2 Item No.","@@"&amp;$F2262,"3 Posting Date",O$9)</t>
  </si>
  <si>
    <t>=O2262-Q2262</t>
  </si>
  <si>
    <t>=IF(O2262&lt;&gt;0,R2262/O2262,"")</t>
  </si>
  <si>
    <t>=NL("Sum","5802 Value Entry","150 Sales Amount (Expected)","41 Source Type",$C$5,"5 Source No.",$C2262,"4 Item Ledger Entry Type",$C$4,"2 Item No.","@@"&amp;$F2262,"3 Posting Date",U$9)+NL("Sum","5802 Value Entry","17 Sales Amount (Actual)","41 Source Type",$C$5,"5 Source no.",$C2262,"4 Item Ledger Entry Type",$C$4,"2 Item No.","@@"&amp;$F2262,"3 Posting Date",U$9)</t>
  </si>
  <si>
    <t>=-NL("Sum","5802 Value Entry","151 Cost Amount (Expected)","41 Source Type",$C$5,"5 Source No.",$C2262,"4 Item Ledger Entry Type",$C$4,"2 Item No.","@@"&amp;$F2262,"3 Posting Date",U$9)-NL("Sum","5802 Value Entry","43 Cost Amount (Actual)","41 Source Type",$C$5,"5 Source no.",$C2262,"4 Item Ledger Entry Type",$C$4,"2 Item No.","@@"&amp;$F2262,"3 Posting Date",U$9)</t>
  </si>
  <si>
    <t>=U2262-W2262</t>
  </si>
  <si>
    <t>=IF(U2262&lt;&gt;0,X2262/U2262,"")</t>
  </si>
  <si>
    <t>=NL("Sum","5802 Value Entry","150 Sales Amount (Expected)","41 Source Type",$C$5,"5 Source No.",$C2262,"4 Item Ledger Entry Type",$C$4,"2 Item No.","@@"&amp;$F2262,"3 Posting Date",Z$9)+NL("Sum","5802 Value Entry","17 Sales Amount (Actual)","41 Source Type",$C$5,"5 Source no.",$C2262,"4 Item Ledger Entry Type",$C$4,"2 Item No.","@@"&amp;$F2262,"3 Posting Date",Z$9)</t>
  </si>
  <si>
    <t>=-NL("Sum","5802 Value Entry","151 Cost Amount (Expected)","41 Source Type",$C$5,"5 Source No.",$C2262,"4 Item Ledger Entry Type",$C$4,"2 Item No.","@@"&amp;$F2262,"3 Posting Date",Z$9)-NL("Sum","5802 Value Entry","43 Cost Amount (Actual)","41 Source Type",$C$5,"5 Source no.",$C2262,"4 Item Ledger Entry Type",$C$4,"2 Item No.","@@"&amp;$F2262,"3 Posting Date",Z$9)</t>
  </si>
  <si>
    <t>=Z2262-AB2262</t>
  </si>
  <si>
    <t>=IF(Z2262&lt;&gt;0,AC2262/Z2262,"")</t>
  </si>
  <si>
    <t>=C2263</t>
  </si>
  <si>
    <t>=J2264-L2264</t>
  </si>
  <si>
    <t>=IF(J2264&lt;&gt;0,M2264/J2264,"")</t>
  </si>
  <si>
    <t>=O2264-Q2264</t>
  </si>
  <si>
    <t>=IF(O2264&lt;&gt;0,R2264/O2264,"")</t>
  </si>
  <si>
    <t>=U2264-W2264</t>
  </si>
  <si>
    <t>=IF(U2264&lt;&gt;0,X2264/U2264,"")</t>
  </si>
  <si>
    <t>=Z2264-AB2264</t>
  </si>
  <si>
    <t>=IF(Z2264&lt;&gt;0,AC2264/Z2264,"")</t>
  </si>
  <si>
    <t>=C2266</t>
  </si>
  <si>
    <t>=C2267</t>
  </si>
  <si>
    <t>=NL("Sum","5802 Value Entry","150 Sales Amount (Expected)","41 Source Type",$C$5,"5 Source No.",$C2268,"4 Item Ledger Entry Type",$C$4,"2 Item No.","@@"&amp;$F2268,"3 Posting Date",J$9)+NL("Sum","5802 Value Entry","17 Sales Amount (Actual)","41 Source Type",$C$5,"5 Source no.",$C2268,"4 Item Ledger Entry Type",$C$4,"2 Item No.","@@"&amp;$F2268,"3 Posting Date",J$9)</t>
  </si>
  <si>
    <t>=-NL("Sum","5802 Value Entry","151 Cost Amount (Expected)","41 Source Type",$C$5,"5 Source No.",$C2268,"4 Item Ledger Entry Type",$C$4,"2 Item No.","@@"&amp;$F2268,"3 Posting Date",J$9)-NL("Sum","5802 Value Entry","43 Cost Amount (Actual)","41 Source Type",$C$5,"5 Source no.",$C2268,"4 Item Ledger Entry Type",$C$4,"2 Item No.","@@"&amp;$F2268,"3 Posting Date",J$9)</t>
  </si>
  <si>
    <t>=J2268-L2268</t>
  </si>
  <si>
    <t>=IF(J2268&lt;&gt;0,M2268/J2268,"")</t>
  </si>
  <si>
    <t>=NL("Sum","5802 Value Entry","150 Sales Amount (Expected)","41 Source Type",$C$5,"5 Source No.",$C2268,"4 Item Ledger Entry Type",$C$4,"2 Item No.","@@"&amp;$F2268,"3 Posting Date",O$9)+NL("Sum","5802 Value Entry","17 Sales Amount (Actual)","41 Source Type",$C$5,"5 Source no.",$C2268,"4 Item Ledger Entry Type",$C$4,"2 Item No.","@@"&amp;$F2268,"3 Posting Date",O$9)</t>
  </si>
  <si>
    <t>=-NL("Sum","5802 Value Entry","151 Cost Amount (Expected)","41 Source Type",$C$5,"5 Source No.",$C2268,"4 Item Ledger Entry Type",$C$4,"2 Item No.","@@"&amp;$F2268,"3 Posting Date",O$9)-NL("Sum","5802 Value Entry","43 Cost Amount (Actual)","41 Source Type",$C$5,"5 Source no.",$C2268,"4 Item Ledger Entry Type",$C$4,"2 Item No.","@@"&amp;$F2268,"3 Posting Date",O$9)</t>
  </si>
  <si>
    <t>=O2268-Q2268</t>
  </si>
  <si>
    <t>=IF(O2268&lt;&gt;0,R2268/O2268,"")</t>
  </si>
  <si>
    <t>=NL("Sum","5802 Value Entry","150 Sales Amount (Expected)","41 Source Type",$C$5,"5 Source No.",$C2268,"4 Item Ledger Entry Type",$C$4,"2 Item No.","@@"&amp;$F2268,"3 Posting Date",U$9)+NL("Sum","5802 Value Entry","17 Sales Amount (Actual)","41 Source Type",$C$5,"5 Source no.",$C2268,"4 Item Ledger Entry Type",$C$4,"2 Item No.","@@"&amp;$F2268,"3 Posting Date",U$9)</t>
  </si>
  <si>
    <t>=-NL("Sum","5802 Value Entry","151 Cost Amount (Expected)","41 Source Type",$C$5,"5 Source No.",$C2268,"4 Item Ledger Entry Type",$C$4,"2 Item No.","@@"&amp;$F2268,"3 Posting Date",U$9)-NL("Sum","5802 Value Entry","43 Cost Amount (Actual)","41 Source Type",$C$5,"5 Source no.",$C2268,"4 Item Ledger Entry Type",$C$4,"2 Item No.","@@"&amp;$F2268,"3 Posting Date",U$9)</t>
  </si>
  <si>
    <t>=U2268-W2268</t>
  </si>
  <si>
    <t>=IF(U2268&lt;&gt;0,X2268/U2268,"")</t>
  </si>
  <si>
    <t>=NL("Sum","5802 Value Entry","150 Sales Amount (Expected)","41 Source Type",$C$5,"5 Source No.",$C2268,"4 Item Ledger Entry Type",$C$4,"2 Item No.","@@"&amp;$F2268,"3 Posting Date",Z$9)+NL("Sum","5802 Value Entry","17 Sales Amount (Actual)","41 Source Type",$C$5,"5 Source no.",$C2268,"4 Item Ledger Entry Type",$C$4,"2 Item No.","@@"&amp;$F2268,"3 Posting Date",Z$9)</t>
  </si>
  <si>
    <t>=-NL("Sum","5802 Value Entry","151 Cost Amount (Expected)","41 Source Type",$C$5,"5 Source No.",$C2268,"4 Item Ledger Entry Type",$C$4,"2 Item No.","@@"&amp;$F2268,"3 Posting Date",Z$9)-NL("Sum","5802 Value Entry","43 Cost Amount (Actual)","41 Source Type",$C$5,"5 Source no.",$C2268,"4 Item Ledger Entry Type",$C$4,"2 Item No.","@@"&amp;$F2268,"3 Posting Date",Z$9)</t>
  </si>
  <si>
    <t>=Z2268-AB2268</t>
  </si>
  <si>
    <t>=IF(Z2268&lt;&gt;0,AC2268/Z2268,"")</t>
  </si>
  <si>
    <t>=C2268</t>
  </si>
  <si>
    <t>=NL("Sum","5802 Value Entry","150 Sales Amount (Expected)","41 Source Type",$C$5,"5 Source No.",$C2269,"4 Item Ledger Entry Type",$C$4,"2 Item No.","@@"&amp;$F2269,"3 Posting Date",J$9)+NL("Sum","5802 Value Entry","17 Sales Amount (Actual)","41 Source Type",$C$5,"5 Source no.",$C2269,"4 Item Ledger Entry Type",$C$4,"2 Item No.","@@"&amp;$F2269,"3 Posting Date",J$9)</t>
  </si>
  <si>
    <t>=-NL("Sum","5802 Value Entry","151 Cost Amount (Expected)","41 Source Type",$C$5,"5 Source No.",$C2269,"4 Item Ledger Entry Type",$C$4,"2 Item No.","@@"&amp;$F2269,"3 Posting Date",J$9)-NL("Sum","5802 Value Entry","43 Cost Amount (Actual)","41 Source Type",$C$5,"5 Source no.",$C2269,"4 Item Ledger Entry Type",$C$4,"2 Item No.","@@"&amp;$F2269,"3 Posting Date",J$9)</t>
  </si>
  <si>
    <t>=J2269-L2269</t>
  </si>
  <si>
    <t>=IF(J2269&lt;&gt;0,M2269/J2269,"")</t>
  </si>
  <si>
    <t>=NL("Sum","5802 Value Entry","150 Sales Amount (Expected)","41 Source Type",$C$5,"5 Source No.",$C2269,"4 Item Ledger Entry Type",$C$4,"2 Item No.","@@"&amp;$F2269,"3 Posting Date",O$9)+NL("Sum","5802 Value Entry","17 Sales Amount (Actual)","41 Source Type",$C$5,"5 Source no.",$C2269,"4 Item Ledger Entry Type",$C$4,"2 Item No.","@@"&amp;$F2269,"3 Posting Date",O$9)</t>
  </si>
  <si>
    <t>=-NL("Sum","5802 Value Entry","151 Cost Amount (Expected)","41 Source Type",$C$5,"5 Source No.",$C2269,"4 Item Ledger Entry Type",$C$4,"2 Item No.","@@"&amp;$F2269,"3 Posting Date",O$9)-NL("Sum","5802 Value Entry","43 Cost Amount (Actual)","41 Source Type",$C$5,"5 Source no.",$C2269,"4 Item Ledger Entry Type",$C$4,"2 Item No.","@@"&amp;$F2269,"3 Posting Date",O$9)</t>
  </si>
  <si>
    <t>=O2269-Q2269</t>
  </si>
  <si>
    <t>=IF(O2269&lt;&gt;0,R2269/O2269,"")</t>
  </si>
  <si>
    <t>=NL("Sum","5802 Value Entry","150 Sales Amount (Expected)","41 Source Type",$C$5,"5 Source No.",$C2269,"4 Item Ledger Entry Type",$C$4,"2 Item No.","@@"&amp;$F2269,"3 Posting Date",U$9)+NL("Sum","5802 Value Entry","17 Sales Amount (Actual)","41 Source Type",$C$5,"5 Source no.",$C2269,"4 Item Ledger Entry Type",$C$4,"2 Item No.","@@"&amp;$F2269,"3 Posting Date",U$9)</t>
  </si>
  <si>
    <t>=-NL("Sum","5802 Value Entry","151 Cost Amount (Expected)","41 Source Type",$C$5,"5 Source No.",$C2269,"4 Item Ledger Entry Type",$C$4,"2 Item No.","@@"&amp;$F2269,"3 Posting Date",U$9)-NL("Sum","5802 Value Entry","43 Cost Amount (Actual)","41 Source Type",$C$5,"5 Source no.",$C2269,"4 Item Ledger Entry Type",$C$4,"2 Item No.","@@"&amp;$F2269,"3 Posting Date",U$9)</t>
  </si>
  <si>
    <t>=U2269-W2269</t>
  </si>
  <si>
    <t>=IF(U2269&lt;&gt;0,X2269/U2269,"")</t>
  </si>
  <si>
    <t>=NL("Sum","5802 Value Entry","150 Sales Amount (Expected)","41 Source Type",$C$5,"5 Source No.",$C2269,"4 Item Ledger Entry Type",$C$4,"2 Item No.","@@"&amp;$F2269,"3 Posting Date",Z$9)+NL("Sum","5802 Value Entry","17 Sales Amount (Actual)","41 Source Type",$C$5,"5 Source no.",$C2269,"4 Item Ledger Entry Type",$C$4,"2 Item No.","@@"&amp;$F2269,"3 Posting Date",Z$9)</t>
  </si>
  <si>
    <t>=-NL("Sum","5802 Value Entry","151 Cost Amount (Expected)","41 Source Type",$C$5,"5 Source No.",$C2269,"4 Item Ledger Entry Type",$C$4,"2 Item No.","@@"&amp;$F2269,"3 Posting Date",Z$9)-NL("Sum","5802 Value Entry","43 Cost Amount (Actual)","41 Source Type",$C$5,"5 Source no.",$C2269,"4 Item Ledger Entry Type",$C$4,"2 Item No.","@@"&amp;$F2269,"3 Posting Date",Z$9)</t>
  </si>
  <si>
    <t>=Z2269-AB2269</t>
  </si>
  <si>
    <t>=IF(Z2269&lt;&gt;0,AC2269/Z2269,"")</t>
  </si>
  <si>
    <t>=C2269</t>
  </si>
  <si>
    <t>=NL("Sum","5802 Value Entry","150 Sales Amount (Expected)","41 Source Type",$C$5,"5 Source No.",$C2270,"4 Item Ledger Entry Type",$C$4,"2 Item No.","@@"&amp;$F2270,"3 Posting Date",J$9)+NL("Sum","5802 Value Entry","17 Sales Amount (Actual)","41 Source Type",$C$5,"5 Source no.",$C2270,"4 Item Ledger Entry Type",$C$4,"2 Item No.","@@"&amp;$F2270,"3 Posting Date",J$9)</t>
  </si>
  <si>
    <t>=-NL("Sum","5802 Value Entry","151 Cost Amount (Expected)","41 Source Type",$C$5,"5 Source No.",$C2270,"4 Item Ledger Entry Type",$C$4,"2 Item No.","@@"&amp;$F2270,"3 Posting Date",J$9)-NL("Sum","5802 Value Entry","43 Cost Amount (Actual)","41 Source Type",$C$5,"5 Source no.",$C2270,"4 Item Ledger Entry Type",$C$4,"2 Item No.","@@"&amp;$F2270,"3 Posting Date",J$9)</t>
  </si>
  <si>
    <t>=J2270-L2270</t>
  </si>
  <si>
    <t>=IF(J2270&lt;&gt;0,M2270/J2270,"")</t>
  </si>
  <si>
    <t>=NL("Sum","5802 Value Entry","150 Sales Amount (Expected)","41 Source Type",$C$5,"5 Source No.",$C2270,"4 Item Ledger Entry Type",$C$4,"2 Item No.","@@"&amp;$F2270,"3 Posting Date",O$9)+NL("Sum","5802 Value Entry","17 Sales Amount (Actual)","41 Source Type",$C$5,"5 Source no.",$C2270,"4 Item Ledger Entry Type",$C$4,"2 Item No.","@@"&amp;$F2270,"3 Posting Date",O$9)</t>
  </si>
  <si>
    <t>=-NL("Sum","5802 Value Entry","151 Cost Amount (Expected)","41 Source Type",$C$5,"5 Source No.",$C2270,"4 Item Ledger Entry Type",$C$4,"2 Item No.","@@"&amp;$F2270,"3 Posting Date",O$9)-NL("Sum","5802 Value Entry","43 Cost Amount (Actual)","41 Source Type",$C$5,"5 Source no.",$C2270,"4 Item Ledger Entry Type",$C$4,"2 Item No.","@@"&amp;$F2270,"3 Posting Date",O$9)</t>
  </si>
  <si>
    <t>=O2270-Q2270</t>
  </si>
  <si>
    <t>=IF(O2270&lt;&gt;0,R2270/O2270,"")</t>
  </si>
  <si>
    <t>=NL("Sum","5802 Value Entry","150 Sales Amount (Expected)","41 Source Type",$C$5,"5 Source No.",$C2270,"4 Item Ledger Entry Type",$C$4,"2 Item No.","@@"&amp;$F2270,"3 Posting Date",U$9)+NL("Sum","5802 Value Entry","17 Sales Amount (Actual)","41 Source Type",$C$5,"5 Source no.",$C2270,"4 Item Ledger Entry Type",$C$4,"2 Item No.","@@"&amp;$F2270,"3 Posting Date",U$9)</t>
  </si>
  <si>
    <t>=-NL("Sum","5802 Value Entry","151 Cost Amount (Expected)","41 Source Type",$C$5,"5 Source No.",$C2270,"4 Item Ledger Entry Type",$C$4,"2 Item No.","@@"&amp;$F2270,"3 Posting Date",U$9)-NL("Sum","5802 Value Entry","43 Cost Amount (Actual)","41 Source Type",$C$5,"5 Source no.",$C2270,"4 Item Ledger Entry Type",$C$4,"2 Item No.","@@"&amp;$F2270,"3 Posting Date",U$9)</t>
  </si>
  <si>
    <t>=U2270-W2270</t>
  </si>
  <si>
    <t>=IF(U2270&lt;&gt;0,X2270/U2270,"")</t>
  </si>
  <si>
    <t>=NL("Sum","5802 Value Entry","150 Sales Amount (Expected)","41 Source Type",$C$5,"5 Source No.",$C2270,"4 Item Ledger Entry Type",$C$4,"2 Item No.","@@"&amp;$F2270,"3 Posting Date",Z$9)+NL("Sum","5802 Value Entry","17 Sales Amount (Actual)","41 Source Type",$C$5,"5 Source no.",$C2270,"4 Item Ledger Entry Type",$C$4,"2 Item No.","@@"&amp;$F2270,"3 Posting Date",Z$9)</t>
  </si>
  <si>
    <t>=-NL("Sum","5802 Value Entry","151 Cost Amount (Expected)","41 Source Type",$C$5,"5 Source No.",$C2270,"4 Item Ledger Entry Type",$C$4,"2 Item No.","@@"&amp;$F2270,"3 Posting Date",Z$9)-NL("Sum","5802 Value Entry","43 Cost Amount (Actual)","41 Source Type",$C$5,"5 Source no.",$C2270,"4 Item Ledger Entry Type",$C$4,"2 Item No.","@@"&amp;$F2270,"3 Posting Date",Z$9)</t>
  </si>
  <si>
    <t>=Z2270-AB2270</t>
  </si>
  <si>
    <t>=IF(Z2270&lt;&gt;0,AC2270/Z2270,"")</t>
  </si>
  <si>
    <t>=C2270</t>
  </si>
  <si>
    <t>=NL("Sum","5802 Value Entry","150 Sales Amount (Expected)","41 Source Type",$C$5,"5 Source No.",$C2271,"4 Item Ledger Entry Type",$C$4,"2 Item No.","@@"&amp;$F2271,"3 Posting Date",J$9)+NL("Sum","5802 Value Entry","17 Sales Amount (Actual)","41 Source Type",$C$5,"5 Source no.",$C2271,"4 Item Ledger Entry Type",$C$4,"2 Item No.","@@"&amp;$F2271,"3 Posting Date",J$9)</t>
  </si>
  <si>
    <t>=-NL("Sum","5802 Value Entry","151 Cost Amount (Expected)","41 Source Type",$C$5,"5 Source No.",$C2271,"4 Item Ledger Entry Type",$C$4,"2 Item No.","@@"&amp;$F2271,"3 Posting Date",J$9)-NL("Sum","5802 Value Entry","43 Cost Amount (Actual)","41 Source Type",$C$5,"5 Source no.",$C2271,"4 Item Ledger Entry Type",$C$4,"2 Item No.","@@"&amp;$F2271,"3 Posting Date",J$9)</t>
  </si>
  <si>
    <t>=J2271-L2271</t>
  </si>
  <si>
    <t>=IF(J2271&lt;&gt;0,M2271/J2271,"")</t>
  </si>
  <si>
    <t>=NL("Sum","5802 Value Entry","150 Sales Amount (Expected)","41 Source Type",$C$5,"5 Source No.",$C2271,"4 Item Ledger Entry Type",$C$4,"2 Item No.","@@"&amp;$F2271,"3 Posting Date",O$9)+NL("Sum","5802 Value Entry","17 Sales Amount (Actual)","41 Source Type",$C$5,"5 Source no.",$C2271,"4 Item Ledger Entry Type",$C$4,"2 Item No.","@@"&amp;$F2271,"3 Posting Date",O$9)</t>
  </si>
  <si>
    <t>=-NL("Sum","5802 Value Entry","151 Cost Amount (Expected)","41 Source Type",$C$5,"5 Source No.",$C2271,"4 Item Ledger Entry Type",$C$4,"2 Item No.","@@"&amp;$F2271,"3 Posting Date",O$9)-NL("Sum","5802 Value Entry","43 Cost Amount (Actual)","41 Source Type",$C$5,"5 Source no.",$C2271,"4 Item Ledger Entry Type",$C$4,"2 Item No.","@@"&amp;$F2271,"3 Posting Date",O$9)</t>
  </si>
  <si>
    <t>=O2271-Q2271</t>
  </si>
  <si>
    <t>=IF(O2271&lt;&gt;0,R2271/O2271,"")</t>
  </si>
  <si>
    <t>=NL("Sum","5802 Value Entry","150 Sales Amount (Expected)","41 Source Type",$C$5,"5 Source No.",$C2271,"4 Item Ledger Entry Type",$C$4,"2 Item No.","@@"&amp;$F2271,"3 Posting Date",U$9)+NL("Sum","5802 Value Entry","17 Sales Amount (Actual)","41 Source Type",$C$5,"5 Source no.",$C2271,"4 Item Ledger Entry Type",$C$4,"2 Item No.","@@"&amp;$F2271,"3 Posting Date",U$9)</t>
  </si>
  <si>
    <t>=-NL("Sum","5802 Value Entry","151 Cost Amount (Expected)","41 Source Type",$C$5,"5 Source No.",$C2271,"4 Item Ledger Entry Type",$C$4,"2 Item No.","@@"&amp;$F2271,"3 Posting Date",U$9)-NL("Sum","5802 Value Entry","43 Cost Amount (Actual)","41 Source Type",$C$5,"5 Source no.",$C2271,"4 Item Ledger Entry Type",$C$4,"2 Item No.","@@"&amp;$F2271,"3 Posting Date",U$9)</t>
  </si>
  <si>
    <t>=U2271-W2271</t>
  </si>
  <si>
    <t>=IF(U2271&lt;&gt;0,X2271/U2271,"")</t>
  </si>
  <si>
    <t>=NL("Sum","5802 Value Entry","150 Sales Amount (Expected)","41 Source Type",$C$5,"5 Source No.",$C2271,"4 Item Ledger Entry Type",$C$4,"2 Item No.","@@"&amp;$F2271,"3 Posting Date",Z$9)+NL("Sum","5802 Value Entry","17 Sales Amount (Actual)","41 Source Type",$C$5,"5 Source no.",$C2271,"4 Item Ledger Entry Type",$C$4,"2 Item No.","@@"&amp;$F2271,"3 Posting Date",Z$9)</t>
  </si>
  <si>
    <t>=-NL("Sum","5802 Value Entry","151 Cost Amount (Expected)","41 Source Type",$C$5,"5 Source No.",$C2271,"4 Item Ledger Entry Type",$C$4,"2 Item No.","@@"&amp;$F2271,"3 Posting Date",Z$9)-NL("Sum","5802 Value Entry","43 Cost Amount (Actual)","41 Source Type",$C$5,"5 Source no.",$C2271,"4 Item Ledger Entry Type",$C$4,"2 Item No.","@@"&amp;$F2271,"3 Posting Date",Z$9)</t>
  </si>
  <si>
    <t>=Z2271-AB2271</t>
  </si>
  <si>
    <t>=IF(Z2271&lt;&gt;0,AC2271/Z2271,"")</t>
  </si>
  <si>
    <t>=C2271</t>
  </si>
  <si>
    <t>=NL("Sum","5802 Value Entry","150 Sales Amount (Expected)","41 Source Type",$C$5,"5 Source No.",$C2272,"4 Item Ledger Entry Type",$C$4,"2 Item No.","@@"&amp;$F2272,"3 Posting Date",J$9)+NL("Sum","5802 Value Entry","17 Sales Amount (Actual)","41 Source Type",$C$5,"5 Source no.",$C2272,"4 Item Ledger Entry Type",$C$4,"2 Item No.","@@"&amp;$F2272,"3 Posting Date",J$9)</t>
  </si>
  <si>
    <t>=-NL("Sum","5802 Value Entry","151 Cost Amount (Expected)","41 Source Type",$C$5,"5 Source No.",$C2272,"4 Item Ledger Entry Type",$C$4,"2 Item No.","@@"&amp;$F2272,"3 Posting Date",J$9)-NL("Sum","5802 Value Entry","43 Cost Amount (Actual)","41 Source Type",$C$5,"5 Source no.",$C2272,"4 Item Ledger Entry Type",$C$4,"2 Item No.","@@"&amp;$F2272,"3 Posting Date",J$9)</t>
  </si>
  <si>
    <t>=J2272-L2272</t>
  </si>
  <si>
    <t>=IF(J2272&lt;&gt;0,M2272/J2272,"")</t>
  </si>
  <si>
    <t>=NL("Sum","5802 Value Entry","150 Sales Amount (Expected)","41 Source Type",$C$5,"5 Source No.",$C2272,"4 Item Ledger Entry Type",$C$4,"2 Item No.","@@"&amp;$F2272,"3 Posting Date",O$9)+NL("Sum","5802 Value Entry","17 Sales Amount (Actual)","41 Source Type",$C$5,"5 Source no.",$C2272,"4 Item Ledger Entry Type",$C$4,"2 Item No.","@@"&amp;$F2272,"3 Posting Date",O$9)</t>
  </si>
  <si>
    <t>=-NL("Sum","5802 Value Entry","151 Cost Amount (Expected)","41 Source Type",$C$5,"5 Source No.",$C2272,"4 Item Ledger Entry Type",$C$4,"2 Item No.","@@"&amp;$F2272,"3 Posting Date",O$9)-NL("Sum","5802 Value Entry","43 Cost Amount (Actual)","41 Source Type",$C$5,"5 Source no.",$C2272,"4 Item Ledger Entry Type",$C$4,"2 Item No.","@@"&amp;$F2272,"3 Posting Date",O$9)</t>
  </si>
  <si>
    <t>=O2272-Q2272</t>
  </si>
  <si>
    <t>=IF(O2272&lt;&gt;0,R2272/O2272,"")</t>
  </si>
  <si>
    <t>=NL("Sum","5802 Value Entry","150 Sales Amount (Expected)","41 Source Type",$C$5,"5 Source No.",$C2272,"4 Item Ledger Entry Type",$C$4,"2 Item No.","@@"&amp;$F2272,"3 Posting Date",U$9)+NL("Sum","5802 Value Entry","17 Sales Amount (Actual)","41 Source Type",$C$5,"5 Source no.",$C2272,"4 Item Ledger Entry Type",$C$4,"2 Item No.","@@"&amp;$F2272,"3 Posting Date",U$9)</t>
  </si>
  <si>
    <t>=-NL("Sum","5802 Value Entry","151 Cost Amount (Expected)","41 Source Type",$C$5,"5 Source No.",$C2272,"4 Item Ledger Entry Type",$C$4,"2 Item No.","@@"&amp;$F2272,"3 Posting Date",U$9)-NL("Sum","5802 Value Entry","43 Cost Amount (Actual)","41 Source Type",$C$5,"5 Source no.",$C2272,"4 Item Ledger Entry Type",$C$4,"2 Item No.","@@"&amp;$F2272,"3 Posting Date",U$9)</t>
  </si>
  <si>
    <t>=U2272-W2272</t>
  </si>
  <si>
    <t>=IF(U2272&lt;&gt;0,X2272/U2272,"")</t>
  </si>
  <si>
    <t>=NL("Sum","5802 Value Entry","150 Sales Amount (Expected)","41 Source Type",$C$5,"5 Source No.",$C2272,"4 Item Ledger Entry Type",$C$4,"2 Item No.","@@"&amp;$F2272,"3 Posting Date",Z$9)+NL("Sum","5802 Value Entry","17 Sales Amount (Actual)","41 Source Type",$C$5,"5 Source no.",$C2272,"4 Item Ledger Entry Type",$C$4,"2 Item No.","@@"&amp;$F2272,"3 Posting Date",Z$9)</t>
  </si>
  <si>
    <t>=-NL("Sum","5802 Value Entry","151 Cost Amount (Expected)","41 Source Type",$C$5,"5 Source No.",$C2272,"4 Item Ledger Entry Type",$C$4,"2 Item No.","@@"&amp;$F2272,"3 Posting Date",Z$9)-NL("Sum","5802 Value Entry","43 Cost Amount (Actual)","41 Source Type",$C$5,"5 Source no.",$C2272,"4 Item Ledger Entry Type",$C$4,"2 Item No.","@@"&amp;$F2272,"3 Posting Date",Z$9)</t>
  </si>
  <si>
    <t>=Z2272-AB2272</t>
  </si>
  <si>
    <t>=IF(Z2272&lt;&gt;0,AC2272/Z2272,"")</t>
  </si>
  <si>
    <t>=C2272</t>
  </si>
  <si>
    <t>=NL("Sum","5802 Value Entry","150 Sales Amount (Expected)","41 Source Type",$C$5,"5 Source No.",$C2273,"4 Item Ledger Entry Type",$C$4,"2 Item No.","@@"&amp;$F2273,"3 Posting Date",J$9)+NL("Sum","5802 Value Entry","17 Sales Amount (Actual)","41 Source Type",$C$5,"5 Source no.",$C2273,"4 Item Ledger Entry Type",$C$4,"2 Item No.","@@"&amp;$F2273,"3 Posting Date",J$9)</t>
  </si>
  <si>
    <t>=-NL("Sum","5802 Value Entry","151 Cost Amount (Expected)","41 Source Type",$C$5,"5 Source No.",$C2273,"4 Item Ledger Entry Type",$C$4,"2 Item No.","@@"&amp;$F2273,"3 Posting Date",J$9)-NL("Sum","5802 Value Entry","43 Cost Amount (Actual)","41 Source Type",$C$5,"5 Source no.",$C2273,"4 Item Ledger Entry Type",$C$4,"2 Item No.","@@"&amp;$F2273,"3 Posting Date",J$9)</t>
  </si>
  <si>
    <t>=J2273-L2273</t>
  </si>
  <si>
    <t>=IF(J2273&lt;&gt;0,M2273/J2273,"")</t>
  </si>
  <si>
    <t>=NL("Sum","5802 Value Entry","150 Sales Amount (Expected)","41 Source Type",$C$5,"5 Source No.",$C2273,"4 Item Ledger Entry Type",$C$4,"2 Item No.","@@"&amp;$F2273,"3 Posting Date",O$9)+NL("Sum","5802 Value Entry","17 Sales Amount (Actual)","41 Source Type",$C$5,"5 Source no.",$C2273,"4 Item Ledger Entry Type",$C$4,"2 Item No.","@@"&amp;$F2273,"3 Posting Date",O$9)</t>
  </si>
  <si>
    <t>=-NL("Sum","5802 Value Entry","151 Cost Amount (Expected)","41 Source Type",$C$5,"5 Source No.",$C2273,"4 Item Ledger Entry Type",$C$4,"2 Item No.","@@"&amp;$F2273,"3 Posting Date",O$9)-NL("Sum","5802 Value Entry","43 Cost Amount (Actual)","41 Source Type",$C$5,"5 Source no.",$C2273,"4 Item Ledger Entry Type",$C$4,"2 Item No.","@@"&amp;$F2273,"3 Posting Date",O$9)</t>
  </si>
  <si>
    <t>=O2273-Q2273</t>
  </si>
  <si>
    <t>=IF(O2273&lt;&gt;0,R2273/O2273,"")</t>
  </si>
  <si>
    <t>=NL("Sum","5802 Value Entry","150 Sales Amount (Expected)","41 Source Type",$C$5,"5 Source No.",$C2273,"4 Item Ledger Entry Type",$C$4,"2 Item No.","@@"&amp;$F2273,"3 Posting Date",U$9)+NL("Sum","5802 Value Entry","17 Sales Amount (Actual)","41 Source Type",$C$5,"5 Source no.",$C2273,"4 Item Ledger Entry Type",$C$4,"2 Item No.","@@"&amp;$F2273,"3 Posting Date",U$9)</t>
  </si>
  <si>
    <t>=-NL("Sum","5802 Value Entry","151 Cost Amount (Expected)","41 Source Type",$C$5,"5 Source No.",$C2273,"4 Item Ledger Entry Type",$C$4,"2 Item No.","@@"&amp;$F2273,"3 Posting Date",U$9)-NL("Sum","5802 Value Entry","43 Cost Amount (Actual)","41 Source Type",$C$5,"5 Source no.",$C2273,"4 Item Ledger Entry Type",$C$4,"2 Item No.","@@"&amp;$F2273,"3 Posting Date",U$9)</t>
  </si>
  <si>
    <t>=U2273-W2273</t>
  </si>
  <si>
    <t>=IF(U2273&lt;&gt;0,X2273/U2273,"")</t>
  </si>
  <si>
    <t>=NL("Sum","5802 Value Entry","150 Sales Amount (Expected)","41 Source Type",$C$5,"5 Source No.",$C2273,"4 Item Ledger Entry Type",$C$4,"2 Item No.","@@"&amp;$F2273,"3 Posting Date",Z$9)+NL("Sum","5802 Value Entry","17 Sales Amount (Actual)","41 Source Type",$C$5,"5 Source no.",$C2273,"4 Item Ledger Entry Type",$C$4,"2 Item No.","@@"&amp;$F2273,"3 Posting Date",Z$9)</t>
  </si>
  <si>
    <t>=-NL("Sum","5802 Value Entry","151 Cost Amount (Expected)","41 Source Type",$C$5,"5 Source No.",$C2273,"4 Item Ledger Entry Type",$C$4,"2 Item No.","@@"&amp;$F2273,"3 Posting Date",Z$9)-NL("Sum","5802 Value Entry","43 Cost Amount (Actual)","41 Source Type",$C$5,"5 Source no.",$C2273,"4 Item Ledger Entry Type",$C$4,"2 Item No.","@@"&amp;$F2273,"3 Posting Date",Z$9)</t>
  </si>
  <si>
    <t>=Z2273-AB2273</t>
  </si>
  <si>
    <t>=IF(Z2273&lt;&gt;0,AC2273/Z2273,"")</t>
  </si>
  <si>
    <t>=C2273</t>
  </si>
  <si>
    <t>=NL("Sum","5802 Value Entry","150 Sales Amount (Expected)","41 Source Type",$C$5,"5 Source No.",$C2274,"4 Item Ledger Entry Type",$C$4,"2 Item No.","@@"&amp;$F2274,"3 Posting Date",J$9)+NL("Sum","5802 Value Entry","17 Sales Amount (Actual)","41 Source Type",$C$5,"5 Source no.",$C2274,"4 Item Ledger Entry Type",$C$4,"2 Item No.","@@"&amp;$F2274,"3 Posting Date",J$9)</t>
  </si>
  <si>
    <t>=-NL("Sum","5802 Value Entry","151 Cost Amount (Expected)","41 Source Type",$C$5,"5 Source No.",$C2274,"4 Item Ledger Entry Type",$C$4,"2 Item No.","@@"&amp;$F2274,"3 Posting Date",J$9)-NL("Sum","5802 Value Entry","43 Cost Amount (Actual)","41 Source Type",$C$5,"5 Source no.",$C2274,"4 Item Ledger Entry Type",$C$4,"2 Item No.","@@"&amp;$F2274,"3 Posting Date",J$9)</t>
  </si>
  <si>
    <t>=J2274-L2274</t>
  </si>
  <si>
    <t>=IF(J2274&lt;&gt;0,M2274/J2274,"")</t>
  </si>
  <si>
    <t>=NL("Sum","5802 Value Entry","150 Sales Amount (Expected)","41 Source Type",$C$5,"5 Source No.",$C2274,"4 Item Ledger Entry Type",$C$4,"2 Item No.","@@"&amp;$F2274,"3 Posting Date",O$9)+NL("Sum","5802 Value Entry","17 Sales Amount (Actual)","41 Source Type",$C$5,"5 Source no.",$C2274,"4 Item Ledger Entry Type",$C$4,"2 Item No.","@@"&amp;$F2274,"3 Posting Date",O$9)</t>
  </si>
  <si>
    <t>=-NL("Sum","5802 Value Entry","151 Cost Amount (Expected)","41 Source Type",$C$5,"5 Source No.",$C2274,"4 Item Ledger Entry Type",$C$4,"2 Item No.","@@"&amp;$F2274,"3 Posting Date",O$9)-NL("Sum","5802 Value Entry","43 Cost Amount (Actual)","41 Source Type",$C$5,"5 Source no.",$C2274,"4 Item Ledger Entry Type",$C$4,"2 Item No.","@@"&amp;$F2274,"3 Posting Date",O$9)</t>
  </si>
  <si>
    <t>=O2274-Q2274</t>
  </si>
  <si>
    <t>=IF(O2274&lt;&gt;0,R2274/O2274,"")</t>
  </si>
  <si>
    <t>=NL("Sum","5802 Value Entry","150 Sales Amount (Expected)","41 Source Type",$C$5,"5 Source No.",$C2274,"4 Item Ledger Entry Type",$C$4,"2 Item No.","@@"&amp;$F2274,"3 Posting Date",U$9)+NL("Sum","5802 Value Entry","17 Sales Amount (Actual)","41 Source Type",$C$5,"5 Source no.",$C2274,"4 Item Ledger Entry Type",$C$4,"2 Item No.","@@"&amp;$F2274,"3 Posting Date",U$9)</t>
  </si>
  <si>
    <t>=-NL("Sum","5802 Value Entry","151 Cost Amount (Expected)","41 Source Type",$C$5,"5 Source No.",$C2274,"4 Item Ledger Entry Type",$C$4,"2 Item No.","@@"&amp;$F2274,"3 Posting Date",U$9)-NL("Sum","5802 Value Entry","43 Cost Amount (Actual)","41 Source Type",$C$5,"5 Source no.",$C2274,"4 Item Ledger Entry Type",$C$4,"2 Item No.","@@"&amp;$F2274,"3 Posting Date",U$9)</t>
  </si>
  <si>
    <t>=U2274-W2274</t>
  </si>
  <si>
    <t>=IF(U2274&lt;&gt;0,X2274/U2274,"")</t>
  </si>
  <si>
    <t>=NL("Sum","5802 Value Entry","150 Sales Amount (Expected)","41 Source Type",$C$5,"5 Source No.",$C2274,"4 Item Ledger Entry Type",$C$4,"2 Item No.","@@"&amp;$F2274,"3 Posting Date",Z$9)+NL("Sum","5802 Value Entry","17 Sales Amount (Actual)","41 Source Type",$C$5,"5 Source no.",$C2274,"4 Item Ledger Entry Type",$C$4,"2 Item No.","@@"&amp;$F2274,"3 Posting Date",Z$9)</t>
  </si>
  <si>
    <t>=-NL("Sum","5802 Value Entry","151 Cost Amount (Expected)","41 Source Type",$C$5,"5 Source No.",$C2274,"4 Item Ledger Entry Type",$C$4,"2 Item No.","@@"&amp;$F2274,"3 Posting Date",Z$9)-NL("Sum","5802 Value Entry","43 Cost Amount (Actual)","41 Source Type",$C$5,"5 Source no.",$C2274,"4 Item Ledger Entry Type",$C$4,"2 Item No.","@@"&amp;$F2274,"3 Posting Date",Z$9)</t>
  </si>
  <si>
    <t>=Z2274-AB2274</t>
  </si>
  <si>
    <t>=IF(Z2274&lt;&gt;0,AC2274/Z2274,"")</t>
  </si>
  <si>
    <t>=C2274</t>
  </si>
  <si>
    <t>=NL("Sum","5802 Value Entry","150 Sales Amount (Expected)","41 Source Type",$C$5,"5 Source No.",$C2275,"4 Item Ledger Entry Type",$C$4,"2 Item No.","@@"&amp;$F2275,"3 Posting Date",J$9)+NL("Sum","5802 Value Entry","17 Sales Amount (Actual)","41 Source Type",$C$5,"5 Source no.",$C2275,"4 Item Ledger Entry Type",$C$4,"2 Item No.","@@"&amp;$F2275,"3 Posting Date",J$9)</t>
  </si>
  <si>
    <t>=-NL("Sum","5802 Value Entry","151 Cost Amount (Expected)","41 Source Type",$C$5,"5 Source No.",$C2275,"4 Item Ledger Entry Type",$C$4,"2 Item No.","@@"&amp;$F2275,"3 Posting Date",J$9)-NL("Sum","5802 Value Entry","43 Cost Amount (Actual)","41 Source Type",$C$5,"5 Source no.",$C2275,"4 Item Ledger Entry Type",$C$4,"2 Item No.","@@"&amp;$F2275,"3 Posting Date",J$9)</t>
  </si>
  <si>
    <t>=J2275-L2275</t>
  </si>
  <si>
    <t>=IF(J2275&lt;&gt;0,M2275/J2275,"")</t>
  </si>
  <si>
    <t>=NL("Sum","5802 Value Entry","150 Sales Amount (Expected)","41 Source Type",$C$5,"5 Source No.",$C2275,"4 Item Ledger Entry Type",$C$4,"2 Item No.","@@"&amp;$F2275,"3 Posting Date",O$9)+NL("Sum","5802 Value Entry","17 Sales Amount (Actual)","41 Source Type",$C$5,"5 Source no.",$C2275,"4 Item Ledger Entry Type",$C$4,"2 Item No.","@@"&amp;$F2275,"3 Posting Date",O$9)</t>
  </si>
  <si>
    <t>=-NL("Sum","5802 Value Entry","151 Cost Amount (Expected)","41 Source Type",$C$5,"5 Source No.",$C2275,"4 Item Ledger Entry Type",$C$4,"2 Item No.","@@"&amp;$F2275,"3 Posting Date",O$9)-NL("Sum","5802 Value Entry","43 Cost Amount (Actual)","41 Source Type",$C$5,"5 Source no.",$C2275,"4 Item Ledger Entry Type",$C$4,"2 Item No.","@@"&amp;$F2275,"3 Posting Date",O$9)</t>
  </si>
  <si>
    <t>=O2275-Q2275</t>
  </si>
  <si>
    <t>=IF(O2275&lt;&gt;0,R2275/O2275,"")</t>
  </si>
  <si>
    <t>=NL("Sum","5802 Value Entry","150 Sales Amount (Expected)","41 Source Type",$C$5,"5 Source No.",$C2275,"4 Item Ledger Entry Type",$C$4,"2 Item No.","@@"&amp;$F2275,"3 Posting Date",U$9)+NL("Sum","5802 Value Entry","17 Sales Amount (Actual)","41 Source Type",$C$5,"5 Source no.",$C2275,"4 Item Ledger Entry Type",$C$4,"2 Item No.","@@"&amp;$F2275,"3 Posting Date",U$9)</t>
  </si>
  <si>
    <t>=-NL("Sum","5802 Value Entry","151 Cost Amount (Expected)","41 Source Type",$C$5,"5 Source No.",$C2275,"4 Item Ledger Entry Type",$C$4,"2 Item No.","@@"&amp;$F2275,"3 Posting Date",U$9)-NL("Sum","5802 Value Entry","43 Cost Amount (Actual)","41 Source Type",$C$5,"5 Source no.",$C2275,"4 Item Ledger Entry Type",$C$4,"2 Item No.","@@"&amp;$F2275,"3 Posting Date",U$9)</t>
  </si>
  <si>
    <t>=U2275-W2275</t>
  </si>
  <si>
    <t>=IF(U2275&lt;&gt;0,X2275/U2275,"")</t>
  </si>
  <si>
    <t>=NL("Sum","5802 Value Entry","150 Sales Amount (Expected)","41 Source Type",$C$5,"5 Source No.",$C2275,"4 Item Ledger Entry Type",$C$4,"2 Item No.","@@"&amp;$F2275,"3 Posting Date",Z$9)+NL("Sum","5802 Value Entry","17 Sales Amount (Actual)","41 Source Type",$C$5,"5 Source no.",$C2275,"4 Item Ledger Entry Type",$C$4,"2 Item No.","@@"&amp;$F2275,"3 Posting Date",Z$9)</t>
  </si>
  <si>
    <t>=-NL("Sum","5802 Value Entry","151 Cost Amount (Expected)","41 Source Type",$C$5,"5 Source No.",$C2275,"4 Item Ledger Entry Type",$C$4,"2 Item No.","@@"&amp;$F2275,"3 Posting Date",Z$9)-NL("Sum","5802 Value Entry","43 Cost Amount (Actual)","41 Source Type",$C$5,"5 Source no.",$C2275,"4 Item Ledger Entry Type",$C$4,"2 Item No.","@@"&amp;$F2275,"3 Posting Date",Z$9)</t>
  </si>
  <si>
    <t>=Z2275-AB2275</t>
  </si>
  <si>
    <t>=IF(Z2275&lt;&gt;0,AC2275/Z2275,"")</t>
  </si>
  <si>
    <t>=C2275</t>
  </si>
  <si>
    <t>=NL("Sum","5802 Value Entry","150 Sales Amount (Expected)","41 Source Type",$C$5,"5 Source No.",$C2276,"4 Item Ledger Entry Type",$C$4,"2 Item No.","@@"&amp;$F2276,"3 Posting Date",J$9)+NL("Sum","5802 Value Entry","17 Sales Amount (Actual)","41 Source Type",$C$5,"5 Source no.",$C2276,"4 Item Ledger Entry Type",$C$4,"2 Item No.","@@"&amp;$F2276,"3 Posting Date",J$9)</t>
  </si>
  <si>
    <t>=-NL("Sum","5802 Value Entry","151 Cost Amount (Expected)","41 Source Type",$C$5,"5 Source No.",$C2276,"4 Item Ledger Entry Type",$C$4,"2 Item No.","@@"&amp;$F2276,"3 Posting Date",J$9)-NL("Sum","5802 Value Entry","43 Cost Amount (Actual)","41 Source Type",$C$5,"5 Source no.",$C2276,"4 Item Ledger Entry Type",$C$4,"2 Item No.","@@"&amp;$F2276,"3 Posting Date",J$9)</t>
  </si>
  <si>
    <t>=J2276-L2276</t>
  </si>
  <si>
    <t>=IF(J2276&lt;&gt;0,M2276/J2276,"")</t>
  </si>
  <si>
    <t>=NL("Sum","5802 Value Entry","150 Sales Amount (Expected)","41 Source Type",$C$5,"5 Source No.",$C2276,"4 Item Ledger Entry Type",$C$4,"2 Item No.","@@"&amp;$F2276,"3 Posting Date",O$9)+NL("Sum","5802 Value Entry","17 Sales Amount (Actual)","41 Source Type",$C$5,"5 Source no.",$C2276,"4 Item Ledger Entry Type",$C$4,"2 Item No.","@@"&amp;$F2276,"3 Posting Date",O$9)</t>
  </si>
  <si>
    <t>=-NL("Sum","5802 Value Entry","151 Cost Amount (Expected)","41 Source Type",$C$5,"5 Source No.",$C2276,"4 Item Ledger Entry Type",$C$4,"2 Item No.","@@"&amp;$F2276,"3 Posting Date",O$9)-NL("Sum","5802 Value Entry","43 Cost Amount (Actual)","41 Source Type",$C$5,"5 Source no.",$C2276,"4 Item Ledger Entry Type",$C$4,"2 Item No.","@@"&amp;$F2276,"3 Posting Date",O$9)</t>
  </si>
  <si>
    <t>=O2276-Q2276</t>
  </si>
  <si>
    <t>=IF(O2276&lt;&gt;0,R2276/O2276,"")</t>
  </si>
  <si>
    <t>=NL("Sum","5802 Value Entry","150 Sales Amount (Expected)","41 Source Type",$C$5,"5 Source No.",$C2276,"4 Item Ledger Entry Type",$C$4,"2 Item No.","@@"&amp;$F2276,"3 Posting Date",U$9)+NL("Sum","5802 Value Entry","17 Sales Amount (Actual)","41 Source Type",$C$5,"5 Source no.",$C2276,"4 Item Ledger Entry Type",$C$4,"2 Item No.","@@"&amp;$F2276,"3 Posting Date",U$9)</t>
  </si>
  <si>
    <t>=-NL("Sum","5802 Value Entry","151 Cost Amount (Expected)","41 Source Type",$C$5,"5 Source No.",$C2276,"4 Item Ledger Entry Type",$C$4,"2 Item No.","@@"&amp;$F2276,"3 Posting Date",U$9)-NL("Sum","5802 Value Entry","43 Cost Amount (Actual)","41 Source Type",$C$5,"5 Source no.",$C2276,"4 Item Ledger Entry Type",$C$4,"2 Item No.","@@"&amp;$F2276,"3 Posting Date",U$9)</t>
  </si>
  <si>
    <t>=U2276-W2276</t>
  </si>
  <si>
    <t>=IF(U2276&lt;&gt;0,X2276/U2276,"")</t>
  </si>
  <si>
    <t>=NL("Sum","5802 Value Entry","150 Sales Amount (Expected)","41 Source Type",$C$5,"5 Source No.",$C2276,"4 Item Ledger Entry Type",$C$4,"2 Item No.","@@"&amp;$F2276,"3 Posting Date",Z$9)+NL("Sum","5802 Value Entry","17 Sales Amount (Actual)","41 Source Type",$C$5,"5 Source no.",$C2276,"4 Item Ledger Entry Type",$C$4,"2 Item No.","@@"&amp;$F2276,"3 Posting Date",Z$9)</t>
  </si>
  <si>
    <t>=-NL("Sum","5802 Value Entry","151 Cost Amount (Expected)","41 Source Type",$C$5,"5 Source No.",$C2276,"4 Item Ledger Entry Type",$C$4,"2 Item No.","@@"&amp;$F2276,"3 Posting Date",Z$9)-NL("Sum","5802 Value Entry","43 Cost Amount (Actual)","41 Source Type",$C$5,"5 Source no.",$C2276,"4 Item Ledger Entry Type",$C$4,"2 Item No.","@@"&amp;$F2276,"3 Posting Date",Z$9)</t>
  </si>
  <si>
    <t>=Z2276-AB2276</t>
  </si>
  <si>
    <t>=IF(Z2276&lt;&gt;0,AC2276/Z2276,"")</t>
  </si>
  <si>
    <t>=C2276</t>
  </si>
  <si>
    <t>=NL("Sum","5802 Value Entry","150 Sales Amount (Expected)","41 Source Type",$C$5,"5 Source No.",$C2277,"4 Item Ledger Entry Type",$C$4,"2 Item No.","@@"&amp;$F2277,"3 Posting Date",J$9)+NL("Sum","5802 Value Entry","17 Sales Amount (Actual)","41 Source Type",$C$5,"5 Source no.",$C2277,"4 Item Ledger Entry Type",$C$4,"2 Item No.","@@"&amp;$F2277,"3 Posting Date",J$9)</t>
  </si>
  <si>
    <t>=-NL("Sum","5802 Value Entry","151 Cost Amount (Expected)","41 Source Type",$C$5,"5 Source No.",$C2277,"4 Item Ledger Entry Type",$C$4,"2 Item No.","@@"&amp;$F2277,"3 Posting Date",J$9)-NL("Sum","5802 Value Entry","43 Cost Amount (Actual)","41 Source Type",$C$5,"5 Source no.",$C2277,"4 Item Ledger Entry Type",$C$4,"2 Item No.","@@"&amp;$F2277,"3 Posting Date",J$9)</t>
  </si>
  <si>
    <t>=J2277-L2277</t>
  </si>
  <si>
    <t>=IF(J2277&lt;&gt;0,M2277/J2277,"")</t>
  </si>
  <si>
    <t>=NL("Sum","5802 Value Entry","150 Sales Amount (Expected)","41 Source Type",$C$5,"5 Source No.",$C2277,"4 Item Ledger Entry Type",$C$4,"2 Item No.","@@"&amp;$F2277,"3 Posting Date",O$9)+NL("Sum","5802 Value Entry","17 Sales Amount (Actual)","41 Source Type",$C$5,"5 Source no.",$C2277,"4 Item Ledger Entry Type",$C$4,"2 Item No.","@@"&amp;$F2277,"3 Posting Date",O$9)</t>
  </si>
  <si>
    <t>=-NL("Sum","5802 Value Entry","151 Cost Amount (Expected)","41 Source Type",$C$5,"5 Source No.",$C2277,"4 Item Ledger Entry Type",$C$4,"2 Item No.","@@"&amp;$F2277,"3 Posting Date",O$9)-NL("Sum","5802 Value Entry","43 Cost Amount (Actual)","41 Source Type",$C$5,"5 Source no.",$C2277,"4 Item Ledger Entry Type",$C$4,"2 Item No.","@@"&amp;$F2277,"3 Posting Date",O$9)</t>
  </si>
  <si>
    <t>=O2277-Q2277</t>
  </si>
  <si>
    <t>=IF(O2277&lt;&gt;0,R2277/O2277,"")</t>
  </si>
  <si>
    <t>=NL("Sum","5802 Value Entry","150 Sales Amount (Expected)","41 Source Type",$C$5,"5 Source No.",$C2277,"4 Item Ledger Entry Type",$C$4,"2 Item No.","@@"&amp;$F2277,"3 Posting Date",U$9)+NL("Sum","5802 Value Entry","17 Sales Amount (Actual)","41 Source Type",$C$5,"5 Source no.",$C2277,"4 Item Ledger Entry Type",$C$4,"2 Item No.","@@"&amp;$F2277,"3 Posting Date",U$9)</t>
  </si>
  <si>
    <t>=-NL("Sum","5802 Value Entry","151 Cost Amount (Expected)","41 Source Type",$C$5,"5 Source No.",$C2277,"4 Item Ledger Entry Type",$C$4,"2 Item No.","@@"&amp;$F2277,"3 Posting Date",U$9)-NL("Sum","5802 Value Entry","43 Cost Amount (Actual)","41 Source Type",$C$5,"5 Source no.",$C2277,"4 Item Ledger Entry Type",$C$4,"2 Item No.","@@"&amp;$F2277,"3 Posting Date",U$9)</t>
  </si>
  <si>
    <t>=U2277-W2277</t>
  </si>
  <si>
    <t>=IF(U2277&lt;&gt;0,X2277/U2277,"")</t>
  </si>
  <si>
    <t>=NL("Sum","5802 Value Entry","150 Sales Amount (Expected)","41 Source Type",$C$5,"5 Source No.",$C2277,"4 Item Ledger Entry Type",$C$4,"2 Item No.","@@"&amp;$F2277,"3 Posting Date",Z$9)+NL("Sum","5802 Value Entry","17 Sales Amount (Actual)","41 Source Type",$C$5,"5 Source no.",$C2277,"4 Item Ledger Entry Type",$C$4,"2 Item No.","@@"&amp;$F2277,"3 Posting Date",Z$9)</t>
  </si>
  <si>
    <t>=-NL("Sum","5802 Value Entry","151 Cost Amount (Expected)","41 Source Type",$C$5,"5 Source No.",$C2277,"4 Item Ledger Entry Type",$C$4,"2 Item No.","@@"&amp;$F2277,"3 Posting Date",Z$9)-NL("Sum","5802 Value Entry","43 Cost Amount (Actual)","41 Source Type",$C$5,"5 Source no.",$C2277,"4 Item Ledger Entry Type",$C$4,"2 Item No.","@@"&amp;$F2277,"3 Posting Date",Z$9)</t>
  </si>
  <si>
    <t>=Z2277-AB2277</t>
  </si>
  <si>
    <t>=IF(Z2277&lt;&gt;0,AC2277/Z2277,"")</t>
  </si>
  <si>
    <t>=C2277</t>
  </si>
  <si>
    <t>=NL("Sum","5802 Value Entry","150 Sales Amount (Expected)","41 Source Type",$C$5,"5 Source No.",$C2278,"4 Item Ledger Entry Type",$C$4,"2 Item No.","@@"&amp;$F2278,"3 Posting Date",J$9)+NL("Sum","5802 Value Entry","17 Sales Amount (Actual)","41 Source Type",$C$5,"5 Source no.",$C2278,"4 Item Ledger Entry Type",$C$4,"2 Item No.","@@"&amp;$F2278,"3 Posting Date",J$9)</t>
  </si>
  <si>
    <t>=-NL("Sum","5802 Value Entry","151 Cost Amount (Expected)","41 Source Type",$C$5,"5 Source No.",$C2278,"4 Item Ledger Entry Type",$C$4,"2 Item No.","@@"&amp;$F2278,"3 Posting Date",J$9)-NL("Sum","5802 Value Entry","43 Cost Amount (Actual)","41 Source Type",$C$5,"5 Source no.",$C2278,"4 Item Ledger Entry Type",$C$4,"2 Item No.","@@"&amp;$F2278,"3 Posting Date",J$9)</t>
  </si>
  <si>
    <t>=J2278-L2278</t>
  </si>
  <si>
    <t>=IF(J2278&lt;&gt;0,M2278/J2278,"")</t>
  </si>
  <si>
    <t>=NL("Sum","5802 Value Entry","150 Sales Amount (Expected)","41 Source Type",$C$5,"5 Source No.",$C2278,"4 Item Ledger Entry Type",$C$4,"2 Item No.","@@"&amp;$F2278,"3 Posting Date",O$9)+NL("Sum","5802 Value Entry","17 Sales Amount (Actual)","41 Source Type",$C$5,"5 Source no.",$C2278,"4 Item Ledger Entry Type",$C$4,"2 Item No.","@@"&amp;$F2278,"3 Posting Date",O$9)</t>
  </si>
  <si>
    <t>=-NL("Sum","5802 Value Entry","151 Cost Amount (Expected)","41 Source Type",$C$5,"5 Source No.",$C2278,"4 Item Ledger Entry Type",$C$4,"2 Item No.","@@"&amp;$F2278,"3 Posting Date",O$9)-NL("Sum","5802 Value Entry","43 Cost Amount (Actual)","41 Source Type",$C$5,"5 Source no.",$C2278,"4 Item Ledger Entry Type",$C$4,"2 Item No.","@@"&amp;$F2278,"3 Posting Date",O$9)</t>
  </si>
  <si>
    <t>=O2278-Q2278</t>
  </si>
  <si>
    <t>=IF(O2278&lt;&gt;0,R2278/O2278,"")</t>
  </si>
  <si>
    <t>=NL("Sum","5802 Value Entry","150 Sales Amount (Expected)","41 Source Type",$C$5,"5 Source No.",$C2278,"4 Item Ledger Entry Type",$C$4,"2 Item No.","@@"&amp;$F2278,"3 Posting Date",U$9)+NL("Sum","5802 Value Entry","17 Sales Amount (Actual)","41 Source Type",$C$5,"5 Source no.",$C2278,"4 Item Ledger Entry Type",$C$4,"2 Item No.","@@"&amp;$F2278,"3 Posting Date",U$9)</t>
  </si>
  <si>
    <t>=-NL("Sum","5802 Value Entry","151 Cost Amount (Expected)","41 Source Type",$C$5,"5 Source No.",$C2278,"4 Item Ledger Entry Type",$C$4,"2 Item No.","@@"&amp;$F2278,"3 Posting Date",U$9)-NL("Sum","5802 Value Entry","43 Cost Amount (Actual)","41 Source Type",$C$5,"5 Source no.",$C2278,"4 Item Ledger Entry Type",$C$4,"2 Item No.","@@"&amp;$F2278,"3 Posting Date",U$9)</t>
  </si>
  <si>
    <t>=U2278-W2278</t>
  </si>
  <si>
    <t>=IF(U2278&lt;&gt;0,X2278/U2278,"")</t>
  </si>
  <si>
    <t>=NL("Sum","5802 Value Entry","150 Sales Amount (Expected)","41 Source Type",$C$5,"5 Source No.",$C2278,"4 Item Ledger Entry Type",$C$4,"2 Item No.","@@"&amp;$F2278,"3 Posting Date",Z$9)+NL("Sum","5802 Value Entry","17 Sales Amount (Actual)","41 Source Type",$C$5,"5 Source no.",$C2278,"4 Item Ledger Entry Type",$C$4,"2 Item No.","@@"&amp;$F2278,"3 Posting Date",Z$9)</t>
  </si>
  <si>
    <t>=-NL("Sum","5802 Value Entry","151 Cost Amount (Expected)","41 Source Type",$C$5,"5 Source No.",$C2278,"4 Item Ledger Entry Type",$C$4,"2 Item No.","@@"&amp;$F2278,"3 Posting Date",Z$9)-NL("Sum","5802 Value Entry","43 Cost Amount (Actual)","41 Source Type",$C$5,"5 Source no.",$C2278,"4 Item Ledger Entry Type",$C$4,"2 Item No.","@@"&amp;$F2278,"3 Posting Date",Z$9)</t>
  </si>
  <si>
    <t>=Z2278-AB2278</t>
  </si>
  <si>
    <t>=IF(Z2278&lt;&gt;0,AC2278/Z2278,"")</t>
  </si>
  <si>
    <t>=C2278</t>
  </si>
  <si>
    <t>=NL("Sum","5802 Value Entry","150 Sales Amount (Expected)","41 Source Type",$C$5,"5 Source No.",$C2279,"4 Item Ledger Entry Type",$C$4,"2 Item No.","@@"&amp;$F2279,"3 Posting Date",J$9)+NL("Sum","5802 Value Entry","17 Sales Amount (Actual)","41 Source Type",$C$5,"5 Source no.",$C2279,"4 Item Ledger Entry Type",$C$4,"2 Item No.","@@"&amp;$F2279,"3 Posting Date",J$9)</t>
  </si>
  <si>
    <t>=-NL("Sum","5802 Value Entry","151 Cost Amount (Expected)","41 Source Type",$C$5,"5 Source No.",$C2279,"4 Item Ledger Entry Type",$C$4,"2 Item No.","@@"&amp;$F2279,"3 Posting Date",J$9)-NL("Sum","5802 Value Entry","43 Cost Amount (Actual)","41 Source Type",$C$5,"5 Source no.",$C2279,"4 Item Ledger Entry Type",$C$4,"2 Item No.","@@"&amp;$F2279,"3 Posting Date",J$9)</t>
  </si>
  <si>
    <t>=J2279-L2279</t>
  </si>
  <si>
    <t>=IF(J2279&lt;&gt;0,M2279/J2279,"")</t>
  </si>
  <si>
    <t>=NL("Sum","5802 Value Entry","150 Sales Amount (Expected)","41 Source Type",$C$5,"5 Source No.",$C2279,"4 Item Ledger Entry Type",$C$4,"2 Item No.","@@"&amp;$F2279,"3 Posting Date",O$9)+NL("Sum","5802 Value Entry","17 Sales Amount (Actual)","41 Source Type",$C$5,"5 Source no.",$C2279,"4 Item Ledger Entry Type",$C$4,"2 Item No.","@@"&amp;$F2279,"3 Posting Date",O$9)</t>
  </si>
  <si>
    <t>=-NL("Sum","5802 Value Entry","151 Cost Amount (Expected)","41 Source Type",$C$5,"5 Source No.",$C2279,"4 Item Ledger Entry Type",$C$4,"2 Item No.","@@"&amp;$F2279,"3 Posting Date",O$9)-NL("Sum","5802 Value Entry","43 Cost Amount (Actual)","41 Source Type",$C$5,"5 Source no.",$C2279,"4 Item Ledger Entry Type",$C$4,"2 Item No.","@@"&amp;$F2279,"3 Posting Date",O$9)</t>
  </si>
  <si>
    <t>=O2279-Q2279</t>
  </si>
  <si>
    <t>=IF(O2279&lt;&gt;0,R2279/O2279,"")</t>
  </si>
  <si>
    <t>=NL("Sum","5802 Value Entry","150 Sales Amount (Expected)","41 Source Type",$C$5,"5 Source No.",$C2279,"4 Item Ledger Entry Type",$C$4,"2 Item No.","@@"&amp;$F2279,"3 Posting Date",U$9)+NL("Sum","5802 Value Entry","17 Sales Amount (Actual)","41 Source Type",$C$5,"5 Source no.",$C2279,"4 Item Ledger Entry Type",$C$4,"2 Item No.","@@"&amp;$F2279,"3 Posting Date",U$9)</t>
  </si>
  <si>
    <t>=-NL("Sum","5802 Value Entry","151 Cost Amount (Expected)","41 Source Type",$C$5,"5 Source No.",$C2279,"4 Item Ledger Entry Type",$C$4,"2 Item No.","@@"&amp;$F2279,"3 Posting Date",U$9)-NL("Sum","5802 Value Entry","43 Cost Amount (Actual)","41 Source Type",$C$5,"5 Source no.",$C2279,"4 Item Ledger Entry Type",$C$4,"2 Item No.","@@"&amp;$F2279,"3 Posting Date",U$9)</t>
  </si>
  <si>
    <t>=U2279-W2279</t>
  </si>
  <si>
    <t>=IF(U2279&lt;&gt;0,X2279/U2279,"")</t>
  </si>
  <si>
    <t>=NL("Sum","5802 Value Entry","150 Sales Amount (Expected)","41 Source Type",$C$5,"5 Source No.",$C2279,"4 Item Ledger Entry Type",$C$4,"2 Item No.","@@"&amp;$F2279,"3 Posting Date",Z$9)+NL("Sum","5802 Value Entry","17 Sales Amount (Actual)","41 Source Type",$C$5,"5 Source no.",$C2279,"4 Item Ledger Entry Type",$C$4,"2 Item No.","@@"&amp;$F2279,"3 Posting Date",Z$9)</t>
  </si>
  <si>
    <t>=-NL("Sum","5802 Value Entry","151 Cost Amount (Expected)","41 Source Type",$C$5,"5 Source No.",$C2279,"4 Item Ledger Entry Type",$C$4,"2 Item No.","@@"&amp;$F2279,"3 Posting Date",Z$9)-NL("Sum","5802 Value Entry","43 Cost Amount (Actual)","41 Source Type",$C$5,"5 Source no.",$C2279,"4 Item Ledger Entry Type",$C$4,"2 Item No.","@@"&amp;$F2279,"3 Posting Date",Z$9)</t>
  </si>
  <si>
    <t>=Z2279-AB2279</t>
  </si>
  <si>
    <t>=IF(Z2279&lt;&gt;0,AC2279/Z2279,"")</t>
  </si>
  <si>
    <t>=C2279</t>
  </si>
  <si>
    <t>=NL("Sum","5802 Value Entry","150 Sales Amount (Expected)","41 Source Type",$C$5,"5 Source No.",$C2280,"4 Item Ledger Entry Type",$C$4,"2 Item No.","@@"&amp;$F2280,"3 Posting Date",J$9)+NL("Sum","5802 Value Entry","17 Sales Amount (Actual)","41 Source Type",$C$5,"5 Source no.",$C2280,"4 Item Ledger Entry Type",$C$4,"2 Item No.","@@"&amp;$F2280,"3 Posting Date",J$9)</t>
  </si>
  <si>
    <t>=-NL("Sum","5802 Value Entry","151 Cost Amount (Expected)","41 Source Type",$C$5,"5 Source No.",$C2280,"4 Item Ledger Entry Type",$C$4,"2 Item No.","@@"&amp;$F2280,"3 Posting Date",J$9)-NL("Sum","5802 Value Entry","43 Cost Amount (Actual)","41 Source Type",$C$5,"5 Source no.",$C2280,"4 Item Ledger Entry Type",$C$4,"2 Item No.","@@"&amp;$F2280,"3 Posting Date",J$9)</t>
  </si>
  <si>
    <t>=J2280-L2280</t>
  </si>
  <si>
    <t>=IF(J2280&lt;&gt;0,M2280/J2280,"")</t>
  </si>
  <si>
    <t>=NL("Sum","5802 Value Entry","150 Sales Amount (Expected)","41 Source Type",$C$5,"5 Source No.",$C2280,"4 Item Ledger Entry Type",$C$4,"2 Item No.","@@"&amp;$F2280,"3 Posting Date",O$9)+NL("Sum","5802 Value Entry","17 Sales Amount (Actual)","41 Source Type",$C$5,"5 Source no.",$C2280,"4 Item Ledger Entry Type",$C$4,"2 Item No.","@@"&amp;$F2280,"3 Posting Date",O$9)</t>
  </si>
  <si>
    <t>=-NL("Sum","5802 Value Entry","151 Cost Amount (Expected)","41 Source Type",$C$5,"5 Source No.",$C2280,"4 Item Ledger Entry Type",$C$4,"2 Item No.","@@"&amp;$F2280,"3 Posting Date",O$9)-NL("Sum","5802 Value Entry","43 Cost Amount (Actual)","41 Source Type",$C$5,"5 Source no.",$C2280,"4 Item Ledger Entry Type",$C$4,"2 Item No.","@@"&amp;$F2280,"3 Posting Date",O$9)</t>
  </si>
  <si>
    <t>=O2280-Q2280</t>
  </si>
  <si>
    <t>=IF(O2280&lt;&gt;0,R2280/O2280,"")</t>
  </si>
  <si>
    <t>=NL("Sum","5802 Value Entry","150 Sales Amount (Expected)","41 Source Type",$C$5,"5 Source No.",$C2280,"4 Item Ledger Entry Type",$C$4,"2 Item No.","@@"&amp;$F2280,"3 Posting Date",U$9)+NL("Sum","5802 Value Entry","17 Sales Amount (Actual)","41 Source Type",$C$5,"5 Source no.",$C2280,"4 Item Ledger Entry Type",$C$4,"2 Item No.","@@"&amp;$F2280,"3 Posting Date",U$9)</t>
  </si>
  <si>
    <t>=-NL("Sum","5802 Value Entry","151 Cost Amount (Expected)","41 Source Type",$C$5,"5 Source No.",$C2280,"4 Item Ledger Entry Type",$C$4,"2 Item No.","@@"&amp;$F2280,"3 Posting Date",U$9)-NL("Sum","5802 Value Entry","43 Cost Amount (Actual)","41 Source Type",$C$5,"5 Source no.",$C2280,"4 Item Ledger Entry Type",$C$4,"2 Item No.","@@"&amp;$F2280,"3 Posting Date",U$9)</t>
  </si>
  <si>
    <t>=U2280-W2280</t>
  </si>
  <si>
    <t>=IF(U2280&lt;&gt;0,X2280/U2280,"")</t>
  </si>
  <si>
    <t>=NL("Sum","5802 Value Entry","150 Sales Amount (Expected)","41 Source Type",$C$5,"5 Source No.",$C2280,"4 Item Ledger Entry Type",$C$4,"2 Item No.","@@"&amp;$F2280,"3 Posting Date",Z$9)+NL("Sum","5802 Value Entry","17 Sales Amount (Actual)","41 Source Type",$C$5,"5 Source no.",$C2280,"4 Item Ledger Entry Type",$C$4,"2 Item No.","@@"&amp;$F2280,"3 Posting Date",Z$9)</t>
  </si>
  <si>
    <t>=-NL("Sum","5802 Value Entry","151 Cost Amount (Expected)","41 Source Type",$C$5,"5 Source No.",$C2280,"4 Item Ledger Entry Type",$C$4,"2 Item No.","@@"&amp;$F2280,"3 Posting Date",Z$9)-NL("Sum","5802 Value Entry","43 Cost Amount (Actual)","41 Source Type",$C$5,"5 Source no.",$C2280,"4 Item Ledger Entry Type",$C$4,"2 Item No.","@@"&amp;$F2280,"3 Posting Date",Z$9)</t>
  </si>
  <si>
    <t>=Z2280-AB2280</t>
  </si>
  <si>
    <t>=IF(Z2280&lt;&gt;0,AC2280/Z2280,"")</t>
  </si>
  <si>
    <t>=C2280</t>
  </si>
  <si>
    <t>=NL("Sum","5802 Value Entry","150 Sales Amount (Expected)","41 Source Type",$C$5,"5 Source No.",$C2281,"4 Item Ledger Entry Type",$C$4,"2 Item No.","@@"&amp;$F2281,"3 Posting Date",J$9)+NL("Sum","5802 Value Entry","17 Sales Amount (Actual)","41 Source Type",$C$5,"5 Source no.",$C2281,"4 Item Ledger Entry Type",$C$4,"2 Item No.","@@"&amp;$F2281,"3 Posting Date",J$9)</t>
  </si>
  <si>
    <t>=-NL("Sum","5802 Value Entry","151 Cost Amount (Expected)","41 Source Type",$C$5,"5 Source No.",$C2281,"4 Item Ledger Entry Type",$C$4,"2 Item No.","@@"&amp;$F2281,"3 Posting Date",J$9)-NL("Sum","5802 Value Entry","43 Cost Amount (Actual)","41 Source Type",$C$5,"5 Source no.",$C2281,"4 Item Ledger Entry Type",$C$4,"2 Item No.","@@"&amp;$F2281,"3 Posting Date",J$9)</t>
  </si>
  <si>
    <t>=J2281-L2281</t>
  </si>
  <si>
    <t>=IF(J2281&lt;&gt;0,M2281/J2281,"")</t>
  </si>
  <si>
    <t>=NL("Sum","5802 Value Entry","150 Sales Amount (Expected)","41 Source Type",$C$5,"5 Source No.",$C2281,"4 Item Ledger Entry Type",$C$4,"2 Item No.","@@"&amp;$F2281,"3 Posting Date",O$9)+NL("Sum","5802 Value Entry","17 Sales Amount (Actual)","41 Source Type",$C$5,"5 Source no.",$C2281,"4 Item Ledger Entry Type",$C$4,"2 Item No.","@@"&amp;$F2281,"3 Posting Date",O$9)</t>
  </si>
  <si>
    <t>=-NL("Sum","5802 Value Entry","151 Cost Amount (Expected)","41 Source Type",$C$5,"5 Source No.",$C2281,"4 Item Ledger Entry Type",$C$4,"2 Item No.","@@"&amp;$F2281,"3 Posting Date",O$9)-NL("Sum","5802 Value Entry","43 Cost Amount (Actual)","41 Source Type",$C$5,"5 Source no.",$C2281,"4 Item Ledger Entry Type",$C$4,"2 Item No.","@@"&amp;$F2281,"3 Posting Date",O$9)</t>
  </si>
  <si>
    <t>=O2281-Q2281</t>
  </si>
  <si>
    <t>=IF(O2281&lt;&gt;0,R2281/O2281,"")</t>
  </si>
  <si>
    <t>=NL("Sum","5802 Value Entry","150 Sales Amount (Expected)","41 Source Type",$C$5,"5 Source No.",$C2281,"4 Item Ledger Entry Type",$C$4,"2 Item No.","@@"&amp;$F2281,"3 Posting Date",U$9)+NL("Sum","5802 Value Entry","17 Sales Amount (Actual)","41 Source Type",$C$5,"5 Source no.",$C2281,"4 Item Ledger Entry Type",$C$4,"2 Item No.","@@"&amp;$F2281,"3 Posting Date",U$9)</t>
  </si>
  <si>
    <t>=-NL("Sum","5802 Value Entry","151 Cost Amount (Expected)","41 Source Type",$C$5,"5 Source No.",$C2281,"4 Item Ledger Entry Type",$C$4,"2 Item No.","@@"&amp;$F2281,"3 Posting Date",U$9)-NL("Sum","5802 Value Entry","43 Cost Amount (Actual)","41 Source Type",$C$5,"5 Source no.",$C2281,"4 Item Ledger Entry Type",$C$4,"2 Item No.","@@"&amp;$F2281,"3 Posting Date",U$9)</t>
  </si>
  <si>
    <t>=U2281-W2281</t>
  </si>
  <si>
    <t>=IF(U2281&lt;&gt;0,X2281/U2281,"")</t>
  </si>
  <si>
    <t>=NL("Sum","5802 Value Entry","150 Sales Amount (Expected)","41 Source Type",$C$5,"5 Source No.",$C2281,"4 Item Ledger Entry Type",$C$4,"2 Item No.","@@"&amp;$F2281,"3 Posting Date",Z$9)+NL("Sum","5802 Value Entry","17 Sales Amount (Actual)","41 Source Type",$C$5,"5 Source no.",$C2281,"4 Item Ledger Entry Type",$C$4,"2 Item No.","@@"&amp;$F2281,"3 Posting Date",Z$9)</t>
  </si>
  <si>
    <t>=-NL("Sum","5802 Value Entry","151 Cost Amount (Expected)","41 Source Type",$C$5,"5 Source No.",$C2281,"4 Item Ledger Entry Type",$C$4,"2 Item No.","@@"&amp;$F2281,"3 Posting Date",Z$9)-NL("Sum","5802 Value Entry","43 Cost Amount (Actual)","41 Source Type",$C$5,"5 Source no.",$C2281,"4 Item Ledger Entry Type",$C$4,"2 Item No.","@@"&amp;$F2281,"3 Posting Date",Z$9)</t>
  </si>
  <si>
    <t>=Z2281-AB2281</t>
  </si>
  <si>
    <t>=IF(Z2281&lt;&gt;0,AC2281/Z2281,"")</t>
  </si>
  <si>
    <t>=C2281</t>
  </si>
  <si>
    <t>=NL("Sum","5802 Value Entry","150 Sales Amount (Expected)","41 Source Type",$C$5,"5 Source No.",$C2282,"4 Item Ledger Entry Type",$C$4,"2 Item No.","@@"&amp;$F2282,"3 Posting Date",J$9)+NL("Sum","5802 Value Entry","17 Sales Amount (Actual)","41 Source Type",$C$5,"5 Source no.",$C2282,"4 Item Ledger Entry Type",$C$4,"2 Item No.","@@"&amp;$F2282,"3 Posting Date",J$9)</t>
  </si>
  <si>
    <t>=-NL("Sum","5802 Value Entry","151 Cost Amount (Expected)","41 Source Type",$C$5,"5 Source No.",$C2282,"4 Item Ledger Entry Type",$C$4,"2 Item No.","@@"&amp;$F2282,"3 Posting Date",J$9)-NL("Sum","5802 Value Entry","43 Cost Amount (Actual)","41 Source Type",$C$5,"5 Source no.",$C2282,"4 Item Ledger Entry Type",$C$4,"2 Item No.","@@"&amp;$F2282,"3 Posting Date",J$9)</t>
  </si>
  <si>
    <t>=J2282-L2282</t>
  </si>
  <si>
    <t>=IF(J2282&lt;&gt;0,M2282/J2282,"")</t>
  </si>
  <si>
    <t>=NL("Sum","5802 Value Entry","150 Sales Amount (Expected)","41 Source Type",$C$5,"5 Source No.",$C2282,"4 Item Ledger Entry Type",$C$4,"2 Item No.","@@"&amp;$F2282,"3 Posting Date",O$9)+NL("Sum","5802 Value Entry","17 Sales Amount (Actual)","41 Source Type",$C$5,"5 Source no.",$C2282,"4 Item Ledger Entry Type",$C$4,"2 Item No.","@@"&amp;$F2282,"3 Posting Date",O$9)</t>
  </si>
  <si>
    <t>=-NL("Sum","5802 Value Entry","151 Cost Amount (Expected)","41 Source Type",$C$5,"5 Source No.",$C2282,"4 Item Ledger Entry Type",$C$4,"2 Item No.","@@"&amp;$F2282,"3 Posting Date",O$9)-NL("Sum","5802 Value Entry","43 Cost Amount (Actual)","41 Source Type",$C$5,"5 Source no.",$C2282,"4 Item Ledger Entry Type",$C$4,"2 Item No.","@@"&amp;$F2282,"3 Posting Date",O$9)</t>
  </si>
  <si>
    <t>=O2282-Q2282</t>
  </si>
  <si>
    <t>=IF(O2282&lt;&gt;0,R2282/O2282,"")</t>
  </si>
  <si>
    <t>=NL("Sum","5802 Value Entry","150 Sales Amount (Expected)","41 Source Type",$C$5,"5 Source No.",$C2282,"4 Item Ledger Entry Type",$C$4,"2 Item No.","@@"&amp;$F2282,"3 Posting Date",U$9)+NL("Sum","5802 Value Entry","17 Sales Amount (Actual)","41 Source Type",$C$5,"5 Source no.",$C2282,"4 Item Ledger Entry Type",$C$4,"2 Item No.","@@"&amp;$F2282,"3 Posting Date",U$9)</t>
  </si>
  <si>
    <t>=-NL("Sum","5802 Value Entry","151 Cost Amount (Expected)","41 Source Type",$C$5,"5 Source No.",$C2282,"4 Item Ledger Entry Type",$C$4,"2 Item No.","@@"&amp;$F2282,"3 Posting Date",U$9)-NL("Sum","5802 Value Entry","43 Cost Amount (Actual)","41 Source Type",$C$5,"5 Source no.",$C2282,"4 Item Ledger Entry Type",$C$4,"2 Item No.","@@"&amp;$F2282,"3 Posting Date",U$9)</t>
  </si>
  <si>
    <t>=U2282-W2282</t>
  </si>
  <si>
    <t>=IF(U2282&lt;&gt;0,X2282/U2282,"")</t>
  </si>
  <si>
    <t>=NL("Sum","5802 Value Entry","150 Sales Amount (Expected)","41 Source Type",$C$5,"5 Source No.",$C2282,"4 Item Ledger Entry Type",$C$4,"2 Item No.","@@"&amp;$F2282,"3 Posting Date",Z$9)+NL("Sum","5802 Value Entry","17 Sales Amount (Actual)","41 Source Type",$C$5,"5 Source no.",$C2282,"4 Item Ledger Entry Type",$C$4,"2 Item No.","@@"&amp;$F2282,"3 Posting Date",Z$9)</t>
  </si>
  <si>
    <t>=-NL("Sum","5802 Value Entry","151 Cost Amount (Expected)","41 Source Type",$C$5,"5 Source No.",$C2282,"4 Item Ledger Entry Type",$C$4,"2 Item No.","@@"&amp;$F2282,"3 Posting Date",Z$9)-NL("Sum","5802 Value Entry","43 Cost Amount (Actual)","41 Source Type",$C$5,"5 Source no.",$C2282,"4 Item Ledger Entry Type",$C$4,"2 Item No.","@@"&amp;$F2282,"3 Posting Date",Z$9)</t>
  </si>
  <si>
    <t>=Z2282-AB2282</t>
  </si>
  <si>
    <t>=IF(Z2282&lt;&gt;0,AC2282/Z2282,"")</t>
  </si>
  <si>
    <t>=C2282</t>
  </si>
  <si>
    <t>=NL("Sum","5802 Value Entry","150 Sales Amount (Expected)","41 Source Type",$C$5,"5 Source No.",$C2283,"4 Item Ledger Entry Type",$C$4,"2 Item No.","@@"&amp;$F2283,"3 Posting Date",J$9)+NL("Sum","5802 Value Entry","17 Sales Amount (Actual)","41 Source Type",$C$5,"5 Source no.",$C2283,"4 Item Ledger Entry Type",$C$4,"2 Item No.","@@"&amp;$F2283,"3 Posting Date",J$9)</t>
  </si>
  <si>
    <t>=-NL("Sum","5802 Value Entry","151 Cost Amount (Expected)","41 Source Type",$C$5,"5 Source No.",$C2283,"4 Item Ledger Entry Type",$C$4,"2 Item No.","@@"&amp;$F2283,"3 Posting Date",J$9)-NL("Sum","5802 Value Entry","43 Cost Amount (Actual)","41 Source Type",$C$5,"5 Source no.",$C2283,"4 Item Ledger Entry Type",$C$4,"2 Item No.","@@"&amp;$F2283,"3 Posting Date",J$9)</t>
  </si>
  <si>
    <t>=J2283-L2283</t>
  </si>
  <si>
    <t>=IF(J2283&lt;&gt;0,M2283/J2283,"")</t>
  </si>
  <si>
    <t>=NL("Sum","5802 Value Entry","150 Sales Amount (Expected)","41 Source Type",$C$5,"5 Source No.",$C2283,"4 Item Ledger Entry Type",$C$4,"2 Item No.","@@"&amp;$F2283,"3 Posting Date",O$9)+NL("Sum","5802 Value Entry","17 Sales Amount (Actual)","41 Source Type",$C$5,"5 Source no.",$C2283,"4 Item Ledger Entry Type",$C$4,"2 Item No.","@@"&amp;$F2283,"3 Posting Date",O$9)</t>
  </si>
  <si>
    <t>=-NL("Sum","5802 Value Entry","151 Cost Amount (Expected)","41 Source Type",$C$5,"5 Source No.",$C2283,"4 Item Ledger Entry Type",$C$4,"2 Item No.","@@"&amp;$F2283,"3 Posting Date",O$9)-NL("Sum","5802 Value Entry","43 Cost Amount (Actual)","41 Source Type",$C$5,"5 Source no.",$C2283,"4 Item Ledger Entry Type",$C$4,"2 Item No.","@@"&amp;$F2283,"3 Posting Date",O$9)</t>
  </si>
  <si>
    <t>=O2283-Q2283</t>
  </si>
  <si>
    <t>=IF(O2283&lt;&gt;0,R2283/O2283,"")</t>
  </si>
  <si>
    <t>=NL("Sum","5802 Value Entry","150 Sales Amount (Expected)","41 Source Type",$C$5,"5 Source No.",$C2283,"4 Item Ledger Entry Type",$C$4,"2 Item No.","@@"&amp;$F2283,"3 Posting Date",U$9)+NL("Sum","5802 Value Entry","17 Sales Amount (Actual)","41 Source Type",$C$5,"5 Source no.",$C2283,"4 Item Ledger Entry Type",$C$4,"2 Item No.","@@"&amp;$F2283,"3 Posting Date",U$9)</t>
  </si>
  <si>
    <t>=-NL("Sum","5802 Value Entry","151 Cost Amount (Expected)","41 Source Type",$C$5,"5 Source No.",$C2283,"4 Item Ledger Entry Type",$C$4,"2 Item No.","@@"&amp;$F2283,"3 Posting Date",U$9)-NL("Sum","5802 Value Entry","43 Cost Amount (Actual)","41 Source Type",$C$5,"5 Source no.",$C2283,"4 Item Ledger Entry Type",$C$4,"2 Item No.","@@"&amp;$F2283,"3 Posting Date",U$9)</t>
  </si>
  <si>
    <t>=U2283-W2283</t>
  </si>
  <si>
    <t>=IF(U2283&lt;&gt;0,X2283/U2283,"")</t>
  </si>
  <si>
    <t>=NL("Sum","5802 Value Entry","150 Sales Amount (Expected)","41 Source Type",$C$5,"5 Source No.",$C2283,"4 Item Ledger Entry Type",$C$4,"2 Item No.","@@"&amp;$F2283,"3 Posting Date",Z$9)+NL("Sum","5802 Value Entry","17 Sales Amount (Actual)","41 Source Type",$C$5,"5 Source no.",$C2283,"4 Item Ledger Entry Type",$C$4,"2 Item No.","@@"&amp;$F2283,"3 Posting Date",Z$9)</t>
  </si>
  <si>
    <t>=-NL("Sum","5802 Value Entry","151 Cost Amount (Expected)","41 Source Type",$C$5,"5 Source No.",$C2283,"4 Item Ledger Entry Type",$C$4,"2 Item No.","@@"&amp;$F2283,"3 Posting Date",Z$9)-NL("Sum","5802 Value Entry","43 Cost Amount (Actual)","41 Source Type",$C$5,"5 Source no.",$C2283,"4 Item Ledger Entry Type",$C$4,"2 Item No.","@@"&amp;$F2283,"3 Posting Date",Z$9)</t>
  </si>
  <si>
    <t>=Z2283-AB2283</t>
  </si>
  <si>
    <t>=IF(Z2283&lt;&gt;0,AC2283/Z2283,"")</t>
  </si>
  <si>
    <t>=C2283</t>
  </si>
  <si>
    <t>=NL("Sum","5802 Value Entry","150 Sales Amount (Expected)","41 Source Type",$C$5,"5 Source No.",$C2284,"4 Item Ledger Entry Type",$C$4,"2 Item No.","@@"&amp;$F2284,"3 Posting Date",J$9)+NL("Sum","5802 Value Entry","17 Sales Amount (Actual)","41 Source Type",$C$5,"5 Source no.",$C2284,"4 Item Ledger Entry Type",$C$4,"2 Item No.","@@"&amp;$F2284,"3 Posting Date",J$9)</t>
  </si>
  <si>
    <t>=-NL("Sum","5802 Value Entry","151 Cost Amount (Expected)","41 Source Type",$C$5,"5 Source No.",$C2284,"4 Item Ledger Entry Type",$C$4,"2 Item No.","@@"&amp;$F2284,"3 Posting Date",J$9)-NL("Sum","5802 Value Entry","43 Cost Amount (Actual)","41 Source Type",$C$5,"5 Source no.",$C2284,"4 Item Ledger Entry Type",$C$4,"2 Item No.","@@"&amp;$F2284,"3 Posting Date",J$9)</t>
  </si>
  <si>
    <t>=J2284-L2284</t>
  </si>
  <si>
    <t>=IF(J2284&lt;&gt;0,M2284/J2284,"")</t>
  </si>
  <si>
    <t>=NL("Sum","5802 Value Entry","150 Sales Amount (Expected)","41 Source Type",$C$5,"5 Source No.",$C2284,"4 Item Ledger Entry Type",$C$4,"2 Item No.","@@"&amp;$F2284,"3 Posting Date",O$9)+NL("Sum","5802 Value Entry","17 Sales Amount (Actual)","41 Source Type",$C$5,"5 Source no.",$C2284,"4 Item Ledger Entry Type",$C$4,"2 Item No.","@@"&amp;$F2284,"3 Posting Date",O$9)</t>
  </si>
  <si>
    <t>=-NL("Sum","5802 Value Entry","151 Cost Amount (Expected)","41 Source Type",$C$5,"5 Source No.",$C2284,"4 Item Ledger Entry Type",$C$4,"2 Item No.","@@"&amp;$F2284,"3 Posting Date",O$9)-NL("Sum","5802 Value Entry","43 Cost Amount (Actual)","41 Source Type",$C$5,"5 Source no.",$C2284,"4 Item Ledger Entry Type",$C$4,"2 Item No.","@@"&amp;$F2284,"3 Posting Date",O$9)</t>
  </si>
  <si>
    <t>=O2284-Q2284</t>
  </si>
  <si>
    <t>=IF(O2284&lt;&gt;0,R2284/O2284,"")</t>
  </si>
  <si>
    <t>=NL("Sum","5802 Value Entry","150 Sales Amount (Expected)","41 Source Type",$C$5,"5 Source No.",$C2284,"4 Item Ledger Entry Type",$C$4,"2 Item No.","@@"&amp;$F2284,"3 Posting Date",U$9)+NL("Sum","5802 Value Entry","17 Sales Amount (Actual)","41 Source Type",$C$5,"5 Source no.",$C2284,"4 Item Ledger Entry Type",$C$4,"2 Item No.","@@"&amp;$F2284,"3 Posting Date",U$9)</t>
  </si>
  <si>
    <t>=-NL("Sum","5802 Value Entry","151 Cost Amount (Expected)","41 Source Type",$C$5,"5 Source No.",$C2284,"4 Item Ledger Entry Type",$C$4,"2 Item No.","@@"&amp;$F2284,"3 Posting Date",U$9)-NL("Sum","5802 Value Entry","43 Cost Amount (Actual)","41 Source Type",$C$5,"5 Source no.",$C2284,"4 Item Ledger Entry Type",$C$4,"2 Item No.","@@"&amp;$F2284,"3 Posting Date",U$9)</t>
  </si>
  <si>
    <t>=U2284-W2284</t>
  </si>
  <si>
    <t>=IF(U2284&lt;&gt;0,X2284/U2284,"")</t>
  </si>
  <si>
    <t>=NL("Sum","5802 Value Entry","150 Sales Amount (Expected)","41 Source Type",$C$5,"5 Source No.",$C2284,"4 Item Ledger Entry Type",$C$4,"2 Item No.","@@"&amp;$F2284,"3 Posting Date",Z$9)+NL("Sum","5802 Value Entry","17 Sales Amount (Actual)","41 Source Type",$C$5,"5 Source no.",$C2284,"4 Item Ledger Entry Type",$C$4,"2 Item No.","@@"&amp;$F2284,"3 Posting Date",Z$9)</t>
  </si>
  <si>
    <t>=-NL("Sum","5802 Value Entry","151 Cost Amount (Expected)","41 Source Type",$C$5,"5 Source No.",$C2284,"4 Item Ledger Entry Type",$C$4,"2 Item No.","@@"&amp;$F2284,"3 Posting Date",Z$9)-NL("Sum","5802 Value Entry","43 Cost Amount (Actual)","41 Source Type",$C$5,"5 Source no.",$C2284,"4 Item Ledger Entry Type",$C$4,"2 Item No.","@@"&amp;$F2284,"3 Posting Date",Z$9)</t>
  </si>
  <si>
    <t>=Z2284-AB2284</t>
  </si>
  <si>
    <t>=IF(Z2284&lt;&gt;0,AC2284/Z2284,"")</t>
  </si>
  <si>
    <t>=C2284</t>
  </si>
  <si>
    <t>=NL("Sum","5802 Value Entry","150 Sales Amount (Expected)","41 Source Type",$C$5,"5 Source No.",$C2285,"4 Item Ledger Entry Type",$C$4,"2 Item No.","@@"&amp;$F2285,"3 Posting Date",J$9)+NL("Sum","5802 Value Entry","17 Sales Amount (Actual)","41 Source Type",$C$5,"5 Source no.",$C2285,"4 Item Ledger Entry Type",$C$4,"2 Item No.","@@"&amp;$F2285,"3 Posting Date",J$9)</t>
  </si>
  <si>
    <t>=-NL("Sum","5802 Value Entry","151 Cost Amount (Expected)","41 Source Type",$C$5,"5 Source No.",$C2285,"4 Item Ledger Entry Type",$C$4,"2 Item No.","@@"&amp;$F2285,"3 Posting Date",J$9)-NL("Sum","5802 Value Entry","43 Cost Amount (Actual)","41 Source Type",$C$5,"5 Source no.",$C2285,"4 Item Ledger Entry Type",$C$4,"2 Item No.","@@"&amp;$F2285,"3 Posting Date",J$9)</t>
  </si>
  <si>
    <t>=J2285-L2285</t>
  </si>
  <si>
    <t>=IF(J2285&lt;&gt;0,M2285/J2285,"")</t>
  </si>
  <si>
    <t>=NL("Sum","5802 Value Entry","150 Sales Amount (Expected)","41 Source Type",$C$5,"5 Source No.",$C2285,"4 Item Ledger Entry Type",$C$4,"2 Item No.","@@"&amp;$F2285,"3 Posting Date",O$9)+NL("Sum","5802 Value Entry","17 Sales Amount (Actual)","41 Source Type",$C$5,"5 Source no.",$C2285,"4 Item Ledger Entry Type",$C$4,"2 Item No.","@@"&amp;$F2285,"3 Posting Date",O$9)</t>
  </si>
  <si>
    <t>=-NL("Sum","5802 Value Entry","151 Cost Amount (Expected)","41 Source Type",$C$5,"5 Source No.",$C2285,"4 Item Ledger Entry Type",$C$4,"2 Item No.","@@"&amp;$F2285,"3 Posting Date",O$9)-NL("Sum","5802 Value Entry","43 Cost Amount (Actual)","41 Source Type",$C$5,"5 Source no.",$C2285,"4 Item Ledger Entry Type",$C$4,"2 Item No.","@@"&amp;$F2285,"3 Posting Date",O$9)</t>
  </si>
  <si>
    <t>=O2285-Q2285</t>
  </si>
  <si>
    <t>=IF(O2285&lt;&gt;0,R2285/O2285,"")</t>
  </si>
  <si>
    <t>=NL("Sum","5802 Value Entry","150 Sales Amount (Expected)","41 Source Type",$C$5,"5 Source No.",$C2285,"4 Item Ledger Entry Type",$C$4,"2 Item No.","@@"&amp;$F2285,"3 Posting Date",U$9)+NL("Sum","5802 Value Entry","17 Sales Amount (Actual)","41 Source Type",$C$5,"5 Source no.",$C2285,"4 Item Ledger Entry Type",$C$4,"2 Item No.","@@"&amp;$F2285,"3 Posting Date",U$9)</t>
  </si>
  <si>
    <t>=-NL("Sum","5802 Value Entry","151 Cost Amount (Expected)","41 Source Type",$C$5,"5 Source No.",$C2285,"4 Item Ledger Entry Type",$C$4,"2 Item No.","@@"&amp;$F2285,"3 Posting Date",U$9)-NL("Sum","5802 Value Entry","43 Cost Amount (Actual)","41 Source Type",$C$5,"5 Source no.",$C2285,"4 Item Ledger Entry Type",$C$4,"2 Item No.","@@"&amp;$F2285,"3 Posting Date",U$9)</t>
  </si>
  <si>
    <t>=U2285-W2285</t>
  </si>
  <si>
    <t>=IF(U2285&lt;&gt;0,X2285/U2285,"")</t>
  </si>
  <si>
    <t>=NL("Sum","5802 Value Entry","150 Sales Amount (Expected)","41 Source Type",$C$5,"5 Source No.",$C2285,"4 Item Ledger Entry Type",$C$4,"2 Item No.","@@"&amp;$F2285,"3 Posting Date",Z$9)+NL("Sum","5802 Value Entry","17 Sales Amount (Actual)","41 Source Type",$C$5,"5 Source no.",$C2285,"4 Item Ledger Entry Type",$C$4,"2 Item No.","@@"&amp;$F2285,"3 Posting Date",Z$9)</t>
  </si>
  <si>
    <t>=-NL("Sum","5802 Value Entry","151 Cost Amount (Expected)","41 Source Type",$C$5,"5 Source No.",$C2285,"4 Item Ledger Entry Type",$C$4,"2 Item No.","@@"&amp;$F2285,"3 Posting Date",Z$9)-NL("Sum","5802 Value Entry","43 Cost Amount (Actual)","41 Source Type",$C$5,"5 Source no.",$C2285,"4 Item Ledger Entry Type",$C$4,"2 Item No.","@@"&amp;$F2285,"3 Posting Date",Z$9)</t>
  </si>
  <si>
    <t>=Z2285-AB2285</t>
  </si>
  <si>
    <t>=IF(Z2285&lt;&gt;0,AC2285/Z2285,"")</t>
  </si>
  <si>
    <t>=C2285</t>
  </si>
  <si>
    <t>=NL("Sum","5802 Value Entry","150 Sales Amount (Expected)","41 Source Type",$C$5,"5 Source No.",$C2286,"4 Item Ledger Entry Type",$C$4,"2 Item No.","@@"&amp;$F2286,"3 Posting Date",J$9)+NL("Sum","5802 Value Entry","17 Sales Amount (Actual)","41 Source Type",$C$5,"5 Source no.",$C2286,"4 Item Ledger Entry Type",$C$4,"2 Item No.","@@"&amp;$F2286,"3 Posting Date",J$9)</t>
  </si>
  <si>
    <t>=-NL("Sum","5802 Value Entry","151 Cost Amount (Expected)","41 Source Type",$C$5,"5 Source No.",$C2286,"4 Item Ledger Entry Type",$C$4,"2 Item No.","@@"&amp;$F2286,"3 Posting Date",J$9)-NL("Sum","5802 Value Entry","43 Cost Amount (Actual)","41 Source Type",$C$5,"5 Source no.",$C2286,"4 Item Ledger Entry Type",$C$4,"2 Item No.","@@"&amp;$F2286,"3 Posting Date",J$9)</t>
  </si>
  <si>
    <t>=J2286-L2286</t>
  </si>
  <si>
    <t>=IF(J2286&lt;&gt;0,M2286/J2286,"")</t>
  </si>
  <si>
    <t>=NL("Sum","5802 Value Entry","150 Sales Amount (Expected)","41 Source Type",$C$5,"5 Source No.",$C2286,"4 Item Ledger Entry Type",$C$4,"2 Item No.","@@"&amp;$F2286,"3 Posting Date",O$9)+NL("Sum","5802 Value Entry","17 Sales Amount (Actual)","41 Source Type",$C$5,"5 Source no.",$C2286,"4 Item Ledger Entry Type",$C$4,"2 Item No.","@@"&amp;$F2286,"3 Posting Date",O$9)</t>
  </si>
  <si>
    <t>=-NL("Sum","5802 Value Entry","151 Cost Amount (Expected)","41 Source Type",$C$5,"5 Source No.",$C2286,"4 Item Ledger Entry Type",$C$4,"2 Item No.","@@"&amp;$F2286,"3 Posting Date",O$9)-NL("Sum","5802 Value Entry","43 Cost Amount (Actual)","41 Source Type",$C$5,"5 Source no.",$C2286,"4 Item Ledger Entry Type",$C$4,"2 Item No.","@@"&amp;$F2286,"3 Posting Date",O$9)</t>
  </si>
  <si>
    <t>=O2286-Q2286</t>
  </si>
  <si>
    <t>=IF(O2286&lt;&gt;0,R2286/O2286,"")</t>
  </si>
  <si>
    <t>=NL("Sum","5802 Value Entry","150 Sales Amount (Expected)","41 Source Type",$C$5,"5 Source No.",$C2286,"4 Item Ledger Entry Type",$C$4,"2 Item No.","@@"&amp;$F2286,"3 Posting Date",U$9)+NL("Sum","5802 Value Entry","17 Sales Amount (Actual)","41 Source Type",$C$5,"5 Source no.",$C2286,"4 Item Ledger Entry Type",$C$4,"2 Item No.","@@"&amp;$F2286,"3 Posting Date",U$9)</t>
  </si>
  <si>
    <t>=-NL("Sum","5802 Value Entry","151 Cost Amount (Expected)","41 Source Type",$C$5,"5 Source No.",$C2286,"4 Item Ledger Entry Type",$C$4,"2 Item No.","@@"&amp;$F2286,"3 Posting Date",U$9)-NL("Sum","5802 Value Entry","43 Cost Amount (Actual)","41 Source Type",$C$5,"5 Source no.",$C2286,"4 Item Ledger Entry Type",$C$4,"2 Item No.","@@"&amp;$F2286,"3 Posting Date",U$9)</t>
  </si>
  <si>
    <t>=U2286-W2286</t>
  </si>
  <si>
    <t>=IF(U2286&lt;&gt;0,X2286/U2286,"")</t>
  </si>
  <si>
    <t>=NL("Sum","5802 Value Entry","150 Sales Amount (Expected)","41 Source Type",$C$5,"5 Source No.",$C2286,"4 Item Ledger Entry Type",$C$4,"2 Item No.","@@"&amp;$F2286,"3 Posting Date",Z$9)+NL("Sum","5802 Value Entry","17 Sales Amount (Actual)","41 Source Type",$C$5,"5 Source no.",$C2286,"4 Item Ledger Entry Type",$C$4,"2 Item No.","@@"&amp;$F2286,"3 Posting Date",Z$9)</t>
  </si>
  <si>
    <t>=-NL("Sum","5802 Value Entry","151 Cost Amount (Expected)","41 Source Type",$C$5,"5 Source No.",$C2286,"4 Item Ledger Entry Type",$C$4,"2 Item No.","@@"&amp;$F2286,"3 Posting Date",Z$9)-NL("Sum","5802 Value Entry","43 Cost Amount (Actual)","41 Source Type",$C$5,"5 Source no.",$C2286,"4 Item Ledger Entry Type",$C$4,"2 Item No.","@@"&amp;$F2286,"3 Posting Date",Z$9)</t>
  </si>
  <si>
    <t>=Z2286-AB2286</t>
  </si>
  <si>
    <t>=IF(Z2286&lt;&gt;0,AC2286/Z2286,"")</t>
  </si>
  <si>
    <t>=C2287</t>
  </si>
  <si>
    <t>=J2288-L2288</t>
  </si>
  <si>
    <t>=IF(J2288&lt;&gt;0,M2288/J2288,"")</t>
  </si>
  <si>
    <t>=O2288-Q2288</t>
  </si>
  <si>
    <t>=IF(O2288&lt;&gt;0,R2288/O2288,"")</t>
  </si>
  <si>
    <t>=U2288-W2288</t>
  </si>
  <si>
    <t>=IF(U2288&lt;&gt;0,X2288/U2288,"")</t>
  </si>
  <si>
    <t>=Z2288-AB2288</t>
  </si>
  <si>
    <t>=IF(Z2288&lt;&gt;0,AC2288/Z2288,"")</t>
  </si>
  <si>
    <t>="C100106"</t>
  </si>
  <si>
    <t>=C2290</t>
  </si>
  <si>
    <t>=C2291</t>
  </si>
  <si>
    <t>=NL("Sum","5802 Value Entry","150 Sales Amount (Expected)","41 Source Type",$C$5,"5 Source No.",$C2292,"4 Item Ledger Entry Type",$C$4,"2 Item No.","@@"&amp;$F2292,"3 Posting Date",J$9)+NL("Sum","5802 Value Entry","17 Sales Amount (Actual)","41 Source Type",$C$5,"5 Source no.",$C2292,"4 Item Ledger Entry Type",$C$4,"2 Item No.","@@"&amp;$F2292,"3 Posting Date",J$9)</t>
  </si>
  <si>
    <t>=-NL("Sum","5802 Value Entry","151 Cost Amount (Expected)","41 Source Type",$C$5,"5 Source No.",$C2292,"4 Item Ledger Entry Type",$C$4,"2 Item No.","@@"&amp;$F2292,"3 Posting Date",J$9)-NL("Sum","5802 Value Entry","43 Cost Amount (Actual)","41 Source Type",$C$5,"5 Source no.",$C2292,"4 Item Ledger Entry Type",$C$4,"2 Item No.","@@"&amp;$F2292,"3 Posting Date",J$9)</t>
  </si>
  <si>
    <t>=J2292-L2292</t>
  </si>
  <si>
    <t>=IF(J2292&lt;&gt;0,M2292/J2292,"")</t>
  </si>
  <si>
    <t>=NL("Sum","5802 Value Entry","150 Sales Amount (Expected)","41 Source Type",$C$5,"5 Source No.",$C2292,"4 Item Ledger Entry Type",$C$4,"2 Item No.","@@"&amp;$F2292,"3 Posting Date",O$9)+NL("Sum","5802 Value Entry","17 Sales Amount (Actual)","41 Source Type",$C$5,"5 Source no.",$C2292,"4 Item Ledger Entry Type",$C$4,"2 Item No.","@@"&amp;$F2292,"3 Posting Date",O$9)</t>
  </si>
  <si>
    <t>=-NL("Sum","5802 Value Entry","151 Cost Amount (Expected)","41 Source Type",$C$5,"5 Source No.",$C2292,"4 Item Ledger Entry Type",$C$4,"2 Item No.","@@"&amp;$F2292,"3 Posting Date",O$9)-NL("Sum","5802 Value Entry","43 Cost Amount (Actual)","41 Source Type",$C$5,"5 Source no.",$C2292,"4 Item Ledger Entry Type",$C$4,"2 Item No.","@@"&amp;$F2292,"3 Posting Date",O$9)</t>
  </si>
  <si>
    <t>=O2292-Q2292</t>
  </si>
  <si>
    <t>=IF(O2292&lt;&gt;0,R2292/O2292,"")</t>
  </si>
  <si>
    <t>=NL("Sum","5802 Value Entry","150 Sales Amount (Expected)","41 Source Type",$C$5,"5 Source No.",$C2292,"4 Item Ledger Entry Type",$C$4,"2 Item No.","@@"&amp;$F2292,"3 Posting Date",U$9)+NL("Sum","5802 Value Entry","17 Sales Amount (Actual)","41 Source Type",$C$5,"5 Source no.",$C2292,"4 Item Ledger Entry Type",$C$4,"2 Item No.","@@"&amp;$F2292,"3 Posting Date",U$9)</t>
  </si>
  <si>
    <t>=-NL("Sum","5802 Value Entry","151 Cost Amount (Expected)","41 Source Type",$C$5,"5 Source No.",$C2292,"4 Item Ledger Entry Type",$C$4,"2 Item No.","@@"&amp;$F2292,"3 Posting Date",U$9)-NL("Sum","5802 Value Entry","43 Cost Amount (Actual)","41 Source Type",$C$5,"5 Source no.",$C2292,"4 Item Ledger Entry Type",$C$4,"2 Item No.","@@"&amp;$F2292,"3 Posting Date",U$9)</t>
  </si>
  <si>
    <t>=U2292-W2292</t>
  </si>
  <si>
    <t>=IF(U2292&lt;&gt;0,X2292/U2292,"")</t>
  </si>
  <si>
    <t>=NL("Sum","5802 Value Entry","150 Sales Amount (Expected)","41 Source Type",$C$5,"5 Source No.",$C2292,"4 Item Ledger Entry Type",$C$4,"2 Item No.","@@"&amp;$F2292,"3 Posting Date",Z$9)+NL("Sum","5802 Value Entry","17 Sales Amount (Actual)","41 Source Type",$C$5,"5 Source no.",$C2292,"4 Item Ledger Entry Type",$C$4,"2 Item No.","@@"&amp;$F2292,"3 Posting Date",Z$9)</t>
  </si>
  <si>
    <t>=-NL("Sum","5802 Value Entry","151 Cost Amount (Expected)","41 Source Type",$C$5,"5 Source No.",$C2292,"4 Item Ledger Entry Type",$C$4,"2 Item No.","@@"&amp;$F2292,"3 Posting Date",Z$9)-NL("Sum","5802 Value Entry","43 Cost Amount (Actual)","41 Source Type",$C$5,"5 Source no.",$C2292,"4 Item Ledger Entry Type",$C$4,"2 Item No.","@@"&amp;$F2292,"3 Posting Date",Z$9)</t>
  </si>
  <si>
    <t>=Z2292-AB2292</t>
  </si>
  <si>
    <t>=IF(Z2292&lt;&gt;0,AC2292/Z2292,"")</t>
  </si>
  <si>
    <t>=C2292</t>
  </si>
  <si>
    <t>=NL("Sum","5802 Value Entry","150 Sales Amount (Expected)","41 Source Type",$C$5,"5 Source No.",$C2293,"4 Item Ledger Entry Type",$C$4,"2 Item No.","@@"&amp;$F2293,"3 Posting Date",J$9)+NL("Sum","5802 Value Entry","17 Sales Amount (Actual)","41 Source Type",$C$5,"5 Source no.",$C2293,"4 Item Ledger Entry Type",$C$4,"2 Item No.","@@"&amp;$F2293,"3 Posting Date",J$9)</t>
  </si>
  <si>
    <t>=-NL("Sum","5802 Value Entry","151 Cost Amount (Expected)","41 Source Type",$C$5,"5 Source No.",$C2293,"4 Item Ledger Entry Type",$C$4,"2 Item No.","@@"&amp;$F2293,"3 Posting Date",J$9)-NL("Sum","5802 Value Entry","43 Cost Amount (Actual)","41 Source Type",$C$5,"5 Source no.",$C2293,"4 Item Ledger Entry Type",$C$4,"2 Item No.","@@"&amp;$F2293,"3 Posting Date",J$9)</t>
  </si>
  <si>
    <t>=J2293-L2293</t>
  </si>
  <si>
    <t>=IF(J2293&lt;&gt;0,M2293/J2293,"")</t>
  </si>
  <si>
    <t>=NL("Sum","5802 Value Entry","150 Sales Amount (Expected)","41 Source Type",$C$5,"5 Source No.",$C2293,"4 Item Ledger Entry Type",$C$4,"2 Item No.","@@"&amp;$F2293,"3 Posting Date",O$9)+NL("Sum","5802 Value Entry","17 Sales Amount (Actual)","41 Source Type",$C$5,"5 Source no.",$C2293,"4 Item Ledger Entry Type",$C$4,"2 Item No.","@@"&amp;$F2293,"3 Posting Date",O$9)</t>
  </si>
  <si>
    <t>=-NL("Sum","5802 Value Entry","151 Cost Amount (Expected)","41 Source Type",$C$5,"5 Source No.",$C2293,"4 Item Ledger Entry Type",$C$4,"2 Item No.","@@"&amp;$F2293,"3 Posting Date",O$9)-NL("Sum","5802 Value Entry","43 Cost Amount (Actual)","41 Source Type",$C$5,"5 Source no.",$C2293,"4 Item Ledger Entry Type",$C$4,"2 Item No.","@@"&amp;$F2293,"3 Posting Date",O$9)</t>
  </si>
  <si>
    <t>=O2293-Q2293</t>
  </si>
  <si>
    <t>=IF(O2293&lt;&gt;0,R2293/O2293,"")</t>
  </si>
  <si>
    <t>=NL("Sum","5802 Value Entry","150 Sales Amount (Expected)","41 Source Type",$C$5,"5 Source No.",$C2293,"4 Item Ledger Entry Type",$C$4,"2 Item No.","@@"&amp;$F2293,"3 Posting Date",U$9)+NL("Sum","5802 Value Entry","17 Sales Amount (Actual)","41 Source Type",$C$5,"5 Source no.",$C2293,"4 Item Ledger Entry Type",$C$4,"2 Item No.","@@"&amp;$F2293,"3 Posting Date",U$9)</t>
  </si>
  <si>
    <t>=-NL("Sum","5802 Value Entry","151 Cost Amount (Expected)","41 Source Type",$C$5,"5 Source No.",$C2293,"4 Item Ledger Entry Type",$C$4,"2 Item No.","@@"&amp;$F2293,"3 Posting Date",U$9)-NL("Sum","5802 Value Entry","43 Cost Amount (Actual)","41 Source Type",$C$5,"5 Source no.",$C2293,"4 Item Ledger Entry Type",$C$4,"2 Item No.","@@"&amp;$F2293,"3 Posting Date",U$9)</t>
  </si>
  <si>
    <t>=U2293-W2293</t>
  </si>
  <si>
    <t>=IF(U2293&lt;&gt;0,X2293/U2293,"")</t>
  </si>
  <si>
    <t>=NL("Sum","5802 Value Entry","150 Sales Amount (Expected)","41 Source Type",$C$5,"5 Source No.",$C2293,"4 Item Ledger Entry Type",$C$4,"2 Item No.","@@"&amp;$F2293,"3 Posting Date",Z$9)+NL("Sum","5802 Value Entry","17 Sales Amount (Actual)","41 Source Type",$C$5,"5 Source no.",$C2293,"4 Item Ledger Entry Type",$C$4,"2 Item No.","@@"&amp;$F2293,"3 Posting Date",Z$9)</t>
  </si>
  <si>
    <t>=-NL("Sum","5802 Value Entry","151 Cost Amount (Expected)","41 Source Type",$C$5,"5 Source No.",$C2293,"4 Item Ledger Entry Type",$C$4,"2 Item No.","@@"&amp;$F2293,"3 Posting Date",Z$9)-NL("Sum","5802 Value Entry","43 Cost Amount (Actual)","41 Source Type",$C$5,"5 Source no.",$C2293,"4 Item Ledger Entry Type",$C$4,"2 Item No.","@@"&amp;$F2293,"3 Posting Date",Z$9)</t>
  </si>
  <si>
    <t>=Z2293-AB2293</t>
  </si>
  <si>
    <t>=IF(Z2293&lt;&gt;0,AC2293/Z2293,"")</t>
  </si>
  <si>
    <t>=C2293</t>
  </si>
  <si>
    <t>=NL("Sum","5802 Value Entry","150 Sales Amount (Expected)","41 Source Type",$C$5,"5 Source No.",$C2294,"4 Item Ledger Entry Type",$C$4,"2 Item No.","@@"&amp;$F2294,"3 Posting Date",J$9)+NL("Sum","5802 Value Entry","17 Sales Amount (Actual)","41 Source Type",$C$5,"5 Source no.",$C2294,"4 Item Ledger Entry Type",$C$4,"2 Item No.","@@"&amp;$F2294,"3 Posting Date",J$9)</t>
  </si>
  <si>
    <t>=-NL("Sum","5802 Value Entry","151 Cost Amount (Expected)","41 Source Type",$C$5,"5 Source No.",$C2294,"4 Item Ledger Entry Type",$C$4,"2 Item No.","@@"&amp;$F2294,"3 Posting Date",J$9)-NL("Sum","5802 Value Entry","43 Cost Amount (Actual)","41 Source Type",$C$5,"5 Source no.",$C2294,"4 Item Ledger Entry Type",$C$4,"2 Item No.","@@"&amp;$F2294,"3 Posting Date",J$9)</t>
  </si>
  <si>
    <t>=J2294-L2294</t>
  </si>
  <si>
    <t>=IF(J2294&lt;&gt;0,M2294/J2294,"")</t>
  </si>
  <si>
    <t>=NL("Sum","5802 Value Entry","150 Sales Amount (Expected)","41 Source Type",$C$5,"5 Source No.",$C2294,"4 Item Ledger Entry Type",$C$4,"2 Item No.","@@"&amp;$F2294,"3 Posting Date",O$9)+NL("Sum","5802 Value Entry","17 Sales Amount (Actual)","41 Source Type",$C$5,"5 Source no.",$C2294,"4 Item Ledger Entry Type",$C$4,"2 Item No.","@@"&amp;$F2294,"3 Posting Date",O$9)</t>
  </si>
  <si>
    <t>=-NL("Sum","5802 Value Entry","151 Cost Amount (Expected)","41 Source Type",$C$5,"5 Source No.",$C2294,"4 Item Ledger Entry Type",$C$4,"2 Item No.","@@"&amp;$F2294,"3 Posting Date",O$9)-NL("Sum","5802 Value Entry","43 Cost Amount (Actual)","41 Source Type",$C$5,"5 Source no.",$C2294,"4 Item Ledger Entry Type",$C$4,"2 Item No.","@@"&amp;$F2294,"3 Posting Date",O$9)</t>
  </si>
  <si>
    <t>=O2294-Q2294</t>
  </si>
  <si>
    <t>=IF(O2294&lt;&gt;0,R2294/O2294,"")</t>
  </si>
  <si>
    <t>=NL("Sum","5802 Value Entry","150 Sales Amount (Expected)","41 Source Type",$C$5,"5 Source No.",$C2294,"4 Item Ledger Entry Type",$C$4,"2 Item No.","@@"&amp;$F2294,"3 Posting Date",U$9)+NL("Sum","5802 Value Entry","17 Sales Amount (Actual)","41 Source Type",$C$5,"5 Source no.",$C2294,"4 Item Ledger Entry Type",$C$4,"2 Item No.","@@"&amp;$F2294,"3 Posting Date",U$9)</t>
  </si>
  <si>
    <t>=-NL("Sum","5802 Value Entry","151 Cost Amount (Expected)","41 Source Type",$C$5,"5 Source No.",$C2294,"4 Item Ledger Entry Type",$C$4,"2 Item No.","@@"&amp;$F2294,"3 Posting Date",U$9)-NL("Sum","5802 Value Entry","43 Cost Amount (Actual)","41 Source Type",$C$5,"5 Source no.",$C2294,"4 Item Ledger Entry Type",$C$4,"2 Item No.","@@"&amp;$F2294,"3 Posting Date",U$9)</t>
  </si>
  <si>
    <t>=U2294-W2294</t>
  </si>
  <si>
    <t>=IF(U2294&lt;&gt;0,X2294/U2294,"")</t>
  </si>
  <si>
    <t>=NL("Sum","5802 Value Entry","150 Sales Amount (Expected)","41 Source Type",$C$5,"5 Source No.",$C2294,"4 Item Ledger Entry Type",$C$4,"2 Item No.","@@"&amp;$F2294,"3 Posting Date",Z$9)+NL("Sum","5802 Value Entry","17 Sales Amount (Actual)","41 Source Type",$C$5,"5 Source no.",$C2294,"4 Item Ledger Entry Type",$C$4,"2 Item No.","@@"&amp;$F2294,"3 Posting Date",Z$9)</t>
  </si>
  <si>
    <t>=-NL("Sum","5802 Value Entry","151 Cost Amount (Expected)","41 Source Type",$C$5,"5 Source No.",$C2294,"4 Item Ledger Entry Type",$C$4,"2 Item No.","@@"&amp;$F2294,"3 Posting Date",Z$9)-NL("Sum","5802 Value Entry","43 Cost Amount (Actual)","41 Source Type",$C$5,"5 Source no.",$C2294,"4 Item Ledger Entry Type",$C$4,"2 Item No.","@@"&amp;$F2294,"3 Posting Date",Z$9)</t>
  </si>
  <si>
    <t>=Z2294-AB2294</t>
  </si>
  <si>
    <t>=IF(Z2294&lt;&gt;0,AC2294/Z2294,"")</t>
  </si>
  <si>
    <t>=C2294</t>
  </si>
  <si>
    <t>=NL("Sum","5802 Value Entry","150 Sales Amount (Expected)","41 Source Type",$C$5,"5 Source No.",$C2295,"4 Item Ledger Entry Type",$C$4,"2 Item No.","@@"&amp;$F2295,"3 Posting Date",J$9)+NL("Sum","5802 Value Entry","17 Sales Amount (Actual)","41 Source Type",$C$5,"5 Source no.",$C2295,"4 Item Ledger Entry Type",$C$4,"2 Item No.","@@"&amp;$F2295,"3 Posting Date",J$9)</t>
  </si>
  <si>
    <t>=-NL("Sum","5802 Value Entry","151 Cost Amount (Expected)","41 Source Type",$C$5,"5 Source No.",$C2295,"4 Item Ledger Entry Type",$C$4,"2 Item No.","@@"&amp;$F2295,"3 Posting Date",J$9)-NL("Sum","5802 Value Entry","43 Cost Amount (Actual)","41 Source Type",$C$5,"5 Source no.",$C2295,"4 Item Ledger Entry Type",$C$4,"2 Item No.","@@"&amp;$F2295,"3 Posting Date",J$9)</t>
  </si>
  <si>
    <t>=J2295-L2295</t>
  </si>
  <si>
    <t>=IF(J2295&lt;&gt;0,M2295/J2295,"")</t>
  </si>
  <si>
    <t>=NL("Sum","5802 Value Entry","150 Sales Amount (Expected)","41 Source Type",$C$5,"5 Source No.",$C2295,"4 Item Ledger Entry Type",$C$4,"2 Item No.","@@"&amp;$F2295,"3 Posting Date",O$9)+NL("Sum","5802 Value Entry","17 Sales Amount (Actual)","41 Source Type",$C$5,"5 Source no.",$C2295,"4 Item Ledger Entry Type",$C$4,"2 Item No.","@@"&amp;$F2295,"3 Posting Date",O$9)</t>
  </si>
  <si>
    <t>=-NL("Sum","5802 Value Entry","151 Cost Amount (Expected)","41 Source Type",$C$5,"5 Source No.",$C2295,"4 Item Ledger Entry Type",$C$4,"2 Item No.","@@"&amp;$F2295,"3 Posting Date",O$9)-NL("Sum","5802 Value Entry","43 Cost Amount (Actual)","41 Source Type",$C$5,"5 Source no.",$C2295,"4 Item Ledger Entry Type",$C$4,"2 Item No.","@@"&amp;$F2295,"3 Posting Date",O$9)</t>
  </si>
  <si>
    <t>=O2295-Q2295</t>
  </si>
  <si>
    <t>=IF(O2295&lt;&gt;0,R2295/O2295,"")</t>
  </si>
  <si>
    <t>=NL("Sum","5802 Value Entry","150 Sales Amount (Expected)","41 Source Type",$C$5,"5 Source No.",$C2295,"4 Item Ledger Entry Type",$C$4,"2 Item No.","@@"&amp;$F2295,"3 Posting Date",U$9)+NL("Sum","5802 Value Entry","17 Sales Amount (Actual)","41 Source Type",$C$5,"5 Source no.",$C2295,"4 Item Ledger Entry Type",$C$4,"2 Item No.","@@"&amp;$F2295,"3 Posting Date",U$9)</t>
  </si>
  <si>
    <t>=-NL("Sum","5802 Value Entry","151 Cost Amount (Expected)","41 Source Type",$C$5,"5 Source No.",$C2295,"4 Item Ledger Entry Type",$C$4,"2 Item No.","@@"&amp;$F2295,"3 Posting Date",U$9)-NL("Sum","5802 Value Entry","43 Cost Amount (Actual)","41 Source Type",$C$5,"5 Source no.",$C2295,"4 Item Ledger Entry Type",$C$4,"2 Item No.","@@"&amp;$F2295,"3 Posting Date",U$9)</t>
  </si>
  <si>
    <t>=U2295-W2295</t>
  </si>
  <si>
    <t>=IF(U2295&lt;&gt;0,X2295/U2295,"")</t>
  </si>
  <si>
    <t>=NL("Sum","5802 Value Entry","150 Sales Amount (Expected)","41 Source Type",$C$5,"5 Source No.",$C2295,"4 Item Ledger Entry Type",$C$4,"2 Item No.","@@"&amp;$F2295,"3 Posting Date",Z$9)+NL("Sum","5802 Value Entry","17 Sales Amount (Actual)","41 Source Type",$C$5,"5 Source no.",$C2295,"4 Item Ledger Entry Type",$C$4,"2 Item No.","@@"&amp;$F2295,"3 Posting Date",Z$9)</t>
  </si>
  <si>
    <t>=-NL("Sum","5802 Value Entry","151 Cost Amount (Expected)","41 Source Type",$C$5,"5 Source No.",$C2295,"4 Item Ledger Entry Type",$C$4,"2 Item No.","@@"&amp;$F2295,"3 Posting Date",Z$9)-NL("Sum","5802 Value Entry","43 Cost Amount (Actual)","41 Source Type",$C$5,"5 Source no.",$C2295,"4 Item Ledger Entry Type",$C$4,"2 Item No.","@@"&amp;$F2295,"3 Posting Date",Z$9)</t>
  </si>
  <si>
    <t>=Z2295-AB2295</t>
  </si>
  <si>
    <t>=IF(Z2295&lt;&gt;0,AC2295/Z2295,"")</t>
  </si>
  <si>
    <t>=C2295</t>
  </si>
  <si>
    <t>=NL("Sum","5802 Value Entry","150 Sales Amount (Expected)","41 Source Type",$C$5,"5 Source No.",$C2296,"4 Item Ledger Entry Type",$C$4,"2 Item No.","@@"&amp;$F2296,"3 Posting Date",J$9)+NL("Sum","5802 Value Entry","17 Sales Amount (Actual)","41 Source Type",$C$5,"5 Source no.",$C2296,"4 Item Ledger Entry Type",$C$4,"2 Item No.","@@"&amp;$F2296,"3 Posting Date",J$9)</t>
  </si>
  <si>
    <t>=-NL("Sum","5802 Value Entry","151 Cost Amount (Expected)","41 Source Type",$C$5,"5 Source No.",$C2296,"4 Item Ledger Entry Type",$C$4,"2 Item No.","@@"&amp;$F2296,"3 Posting Date",J$9)-NL("Sum","5802 Value Entry","43 Cost Amount (Actual)","41 Source Type",$C$5,"5 Source no.",$C2296,"4 Item Ledger Entry Type",$C$4,"2 Item No.","@@"&amp;$F2296,"3 Posting Date",J$9)</t>
  </si>
  <si>
    <t>=J2296-L2296</t>
  </si>
  <si>
    <t>=IF(J2296&lt;&gt;0,M2296/J2296,"")</t>
  </si>
  <si>
    <t>=NL("Sum","5802 Value Entry","150 Sales Amount (Expected)","41 Source Type",$C$5,"5 Source No.",$C2296,"4 Item Ledger Entry Type",$C$4,"2 Item No.","@@"&amp;$F2296,"3 Posting Date",O$9)+NL("Sum","5802 Value Entry","17 Sales Amount (Actual)","41 Source Type",$C$5,"5 Source no.",$C2296,"4 Item Ledger Entry Type",$C$4,"2 Item No.","@@"&amp;$F2296,"3 Posting Date",O$9)</t>
  </si>
  <si>
    <t>=-NL("Sum","5802 Value Entry","151 Cost Amount (Expected)","41 Source Type",$C$5,"5 Source No.",$C2296,"4 Item Ledger Entry Type",$C$4,"2 Item No.","@@"&amp;$F2296,"3 Posting Date",O$9)-NL("Sum","5802 Value Entry","43 Cost Amount (Actual)","41 Source Type",$C$5,"5 Source no.",$C2296,"4 Item Ledger Entry Type",$C$4,"2 Item No.","@@"&amp;$F2296,"3 Posting Date",O$9)</t>
  </si>
  <si>
    <t>=O2296-Q2296</t>
  </si>
  <si>
    <t>=IF(O2296&lt;&gt;0,R2296/O2296,"")</t>
  </si>
  <si>
    <t>=NL("Sum","5802 Value Entry","150 Sales Amount (Expected)","41 Source Type",$C$5,"5 Source No.",$C2296,"4 Item Ledger Entry Type",$C$4,"2 Item No.","@@"&amp;$F2296,"3 Posting Date",U$9)+NL("Sum","5802 Value Entry","17 Sales Amount (Actual)","41 Source Type",$C$5,"5 Source no.",$C2296,"4 Item Ledger Entry Type",$C$4,"2 Item No.","@@"&amp;$F2296,"3 Posting Date",U$9)</t>
  </si>
  <si>
    <t>=-NL("Sum","5802 Value Entry","151 Cost Amount (Expected)","41 Source Type",$C$5,"5 Source No.",$C2296,"4 Item Ledger Entry Type",$C$4,"2 Item No.","@@"&amp;$F2296,"3 Posting Date",U$9)-NL("Sum","5802 Value Entry","43 Cost Amount (Actual)","41 Source Type",$C$5,"5 Source no.",$C2296,"4 Item Ledger Entry Type",$C$4,"2 Item No.","@@"&amp;$F2296,"3 Posting Date",U$9)</t>
  </si>
  <si>
    <t>=U2296-W2296</t>
  </si>
  <si>
    <t>=IF(U2296&lt;&gt;0,X2296/U2296,"")</t>
  </si>
  <si>
    <t>=NL("Sum","5802 Value Entry","150 Sales Amount (Expected)","41 Source Type",$C$5,"5 Source No.",$C2296,"4 Item Ledger Entry Type",$C$4,"2 Item No.","@@"&amp;$F2296,"3 Posting Date",Z$9)+NL("Sum","5802 Value Entry","17 Sales Amount (Actual)","41 Source Type",$C$5,"5 Source no.",$C2296,"4 Item Ledger Entry Type",$C$4,"2 Item No.","@@"&amp;$F2296,"3 Posting Date",Z$9)</t>
  </si>
  <si>
    <t>=-NL("Sum","5802 Value Entry","151 Cost Amount (Expected)","41 Source Type",$C$5,"5 Source No.",$C2296,"4 Item Ledger Entry Type",$C$4,"2 Item No.","@@"&amp;$F2296,"3 Posting Date",Z$9)-NL("Sum","5802 Value Entry","43 Cost Amount (Actual)","41 Source Type",$C$5,"5 Source no.",$C2296,"4 Item Ledger Entry Type",$C$4,"2 Item No.","@@"&amp;$F2296,"3 Posting Date",Z$9)</t>
  </si>
  <si>
    <t>=Z2296-AB2296</t>
  </si>
  <si>
    <t>=IF(Z2296&lt;&gt;0,AC2296/Z2296,"")</t>
  </si>
  <si>
    <t>=C2296</t>
  </si>
  <si>
    <t>=NL("Sum","5802 Value Entry","150 Sales Amount (Expected)","41 Source Type",$C$5,"5 Source No.",$C2297,"4 Item Ledger Entry Type",$C$4,"2 Item No.","@@"&amp;$F2297,"3 Posting Date",J$9)+NL("Sum","5802 Value Entry","17 Sales Amount (Actual)","41 Source Type",$C$5,"5 Source no.",$C2297,"4 Item Ledger Entry Type",$C$4,"2 Item No.","@@"&amp;$F2297,"3 Posting Date",J$9)</t>
  </si>
  <si>
    <t>=-NL("Sum","5802 Value Entry","151 Cost Amount (Expected)","41 Source Type",$C$5,"5 Source No.",$C2297,"4 Item Ledger Entry Type",$C$4,"2 Item No.","@@"&amp;$F2297,"3 Posting Date",J$9)-NL("Sum","5802 Value Entry","43 Cost Amount (Actual)","41 Source Type",$C$5,"5 Source no.",$C2297,"4 Item Ledger Entry Type",$C$4,"2 Item No.","@@"&amp;$F2297,"3 Posting Date",J$9)</t>
  </si>
  <si>
    <t>=J2297-L2297</t>
  </si>
  <si>
    <t>=IF(J2297&lt;&gt;0,M2297/J2297,"")</t>
  </si>
  <si>
    <t>=NL("Sum","5802 Value Entry","150 Sales Amount (Expected)","41 Source Type",$C$5,"5 Source No.",$C2297,"4 Item Ledger Entry Type",$C$4,"2 Item No.","@@"&amp;$F2297,"3 Posting Date",O$9)+NL("Sum","5802 Value Entry","17 Sales Amount (Actual)","41 Source Type",$C$5,"5 Source no.",$C2297,"4 Item Ledger Entry Type",$C$4,"2 Item No.","@@"&amp;$F2297,"3 Posting Date",O$9)</t>
  </si>
  <si>
    <t>=-NL("Sum","5802 Value Entry","151 Cost Amount (Expected)","41 Source Type",$C$5,"5 Source No.",$C2297,"4 Item Ledger Entry Type",$C$4,"2 Item No.","@@"&amp;$F2297,"3 Posting Date",O$9)-NL("Sum","5802 Value Entry","43 Cost Amount (Actual)","41 Source Type",$C$5,"5 Source no.",$C2297,"4 Item Ledger Entry Type",$C$4,"2 Item No.","@@"&amp;$F2297,"3 Posting Date",O$9)</t>
  </si>
  <si>
    <t>=O2297-Q2297</t>
  </si>
  <si>
    <t>=IF(O2297&lt;&gt;0,R2297/O2297,"")</t>
  </si>
  <si>
    <t>=NL("Sum","5802 Value Entry","150 Sales Amount (Expected)","41 Source Type",$C$5,"5 Source No.",$C2297,"4 Item Ledger Entry Type",$C$4,"2 Item No.","@@"&amp;$F2297,"3 Posting Date",U$9)+NL("Sum","5802 Value Entry","17 Sales Amount (Actual)","41 Source Type",$C$5,"5 Source no.",$C2297,"4 Item Ledger Entry Type",$C$4,"2 Item No.","@@"&amp;$F2297,"3 Posting Date",U$9)</t>
  </si>
  <si>
    <t>=-NL("Sum","5802 Value Entry","151 Cost Amount (Expected)","41 Source Type",$C$5,"5 Source No.",$C2297,"4 Item Ledger Entry Type",$C$4,"2 Item No.","@@"&amp;$F2297,"3 Posting Date",U$9)-NL("Sum","5802 Value Entry","43 Cost Amount (Actual)","41 Source Type",$C$5,"5 Source no.",$C2297,"4 Item Ledger Entry Type",$C$4,"2 Item No.","@@"&amp;$F2297,"3 Posting Date",U$9)</t>
  </si>
  <si>
    <t>=U2297-W2297</t>
  </si>
  <si>
    <t>=IF(U2297&lt;&gt;0,X2297/U2297,"")</t>
  </si>
  <si>
    <t>=NL("Sum","5802 Value Entry","150 Sales Amount (Expected)","41 Source Type",$C$5,"5 Source No.",$C2297,"4 Item Ledger Entry Type",$C$4,"2 Item No.","@@"&amp;$F2297,"3 Posting Date",Z$9)+NL("Sum","5802 Value Entry","17 Sales Amount (Actual)","41 Source Type",$C$5,"5 Source no.",$C2297,"4 Item Ledger Entry Type",$C$4,"2 Item No.","@@"&amp;$F2297,"3 Posting Date",Z$9)</t>
  </si>
  <si>
    <t>=-NL("Sum","5802 Value Entry","151 Cost Amount (Expected)","41 Source Type",$C$5,"5 Source No.",$C2297,"4 Item Ledger Entry Type",$C$4,"2 Item No.","@@"&amp;$F2297,"3 Posting Date",Z$9)-NL("Sum","5802 Value Entry","43 Cost Amount (Actual)","41 Source Type",$C$5,"5 Source no.",$C2297,"4 Item Ledger Entry Type",$C$4,"2 Item No.","@@"&amp;$F2297,"3 Posting Date",Z$9)</t>
  </si>
  <si>
    <t>=Z2297-AB2297</t>
  </si>
  <si>
    <t>=IF(Z2297&lt;&gt;0,AC2297/Z2297,"")</t>
  </si>
  <si>
    <t>=C2297</t>
  </si>
  <si>
    <t>=NL("Sum","5802 Value Entry","150 Sales Amount (Expected)","41 Source Type",$C$5,"5 Source No.",$C2298,"4 Item Ledger Entry Type",$C$4,"2 Item No.","@@"&amp;$F2298,"3 Posting Date",J$9)+NL("Sum","5802 Value Entry","17 Sales Amount (Actual)","41 Source Type",$C$5,"5 Source no.",$C2298,"4 Item Ledger Entry Type",$C$4,"2 Item No.","@@"&amp;$F2298,"3 Posting Date",J$9)</t>
  </si>
  <si>
    <t>=-NL("Sum","5802 Value Entry","151 Cost Amount (Expected)","41 Source Type",$C$5,"5 Source No.",$C2298,"4 Item Ledger Entry Type",$C$4,"2 Item No.","@@"&amp;$F2298,"3 Posting Date",J$9)-NL("Sum","5802 Value Entry","43 Cost Amount (Actual)","41 Source Type",$C$5,"5 Source no.",$C2298,"4 Item Ledger Entry Type",$C$4,"2 Item No.","@@"&amp;$F2298,"3 Posting Date",J$9)</t>
  </si>
  <si>
    <t>=J2298-L2298</t>
  </si>
  <si>
    <t>=IF(J2298&lt;&gt;0,M2298/J2298,"")</t>
  </si>
  <si>
    <t>=NL("Sum","5802 Value Entry","150 Sales Amount (Expected)","41 Source Type",$C$5,"5 Source No.",$C2298,"4 Item Ledger Entry Type",$C$4,"2 Item No.","@@"&amp;$F2298,"3 Posting Date",O$9)+NL("Sum","5802 Value Entry","17 Sales Amount (Actual)","41 Source Type",$C$5,"5 Source no.",$C2298,"4 Item Ledger Entry Type",$C$4,"2 Item No.","@@"&amp;$F2298,"3 Posting Date",O$9)</t>
  </si>
  <si>
    <t>=-NL("Sum","5802 Value Entry","151 Cost Amount (Expected)","41 Source Type",$C$5,"5 Source No.",$C2298,"4 Item Ledger Entry Type",$C$4,"2 Item No.","@@"&amp;$F2298,"3 Posting Date",O$9)-NL("Sum","5802 Value Entry","43 Cost Amount (Actual)","41 Source Type",$C$5,"5 Source no.",$C2298,"4 Item Ledger Entry Type",$C$4,"2 Item No.","@@"&amp;$F2298,"3 Posting Date",O$9)</t>
  </si>
  <si>
    <t>=O2298-Q2298</t>
  </si>
  <si>
    <t>=IF(O2298&lt;&gt;0,R2298/O2298,"")</t>
  </si>
  <si>
    <t>=NL("Sum","5802 Value Entry","150 Sales Amount (Expected)","41 Source Type",$C$5,"5 Source No.",$C2298,"4 Item Ledger Entry Type",$C$4,"2 Item No.","@@"&amp;$F2298,"3 Posting Date",U$9)+NL("Sum","5802 Value Entry","17 Sales Amount (Actual)","41 Source Type",$C$5,"5 Source no.",$C2298,"4 Item Ledger Entry Type",$C$4,"2 Item No.","@@"&amp;$F2298,"3 Posting Date",U$9)</t>
  </si>
  <si>
    <t>=-NL("Sum","5802 Value Entry","151 Cost Amount (Expected)","41 Source Type",$C$5,"5 Source No.",$C2298,"4 Item Ledger Entry Type",$C$4,"2 Item No.","@@"&amp;$F2298,"3 Posting Date",U$9)-NL("Sum","5802 Value Entry","43 Cost Amount (Actual)","41 Source Type",$C$5,"5 Source no.",$C2298,"4 Item Ledger Entry Type",$C$4,"2 Item No.","@@"&amp;$F2298,"3 Posting Date",U$9)</t>
  </si>
  <si>
    <t>=U2298-W2298</t>
  </si>
  <si>
    <t>=IF(U2298&lt;&gt;0,X2298/U2298,"")</t>
  </si>
  <si>
    <t>=NL("Sum","5802 Value Entry","150 Sales Amount (Expected)","41 Source Type",$C$5,"5 Source No.",$C2298,"4 Item Ledger Entry Type",$C$4,"2 Item No.","@@"&amp;$F2298,"3 Posting Date",Z$9)+NL("Sum","5802 Value Entry","17 Sales Amount (Actual)","41 Source Type",$C$5,"5 Source no.",$C2298,"4 Item Ledger Entry Type",$C$4,"2 Item No.","@@"&amp;$F2298,"3 Posting Date",Z$9)</t>
  </si>
  <si>
    <t>=-NL("Sum","5802 Value Entry","151 Cost Amount (Expected)","41 Source Type",$C$5,"5 Source No.",$C2298,"4 Item Ledger Entry Type",$C$4,"2 Item No.","@@"&amp;$F2298,"3 Posting Date",Z$9)-NL("Sum","5802 Value Entry","43 Cost Amount (Actual)","41 Source Type",$C$5,"5 Source no.",$C2298,"4 Item Ledger Entry Type",$C$4,"2 Item No.","@@"&amp;$F2298,"3 Posting Date",Z$9)</t>
  </si>
  <si>
    <t>=Z2298-AB2298</t>
  </si>
  <si>
    <t>=IF(Z2298&lt;&gt;0,AC2298/Z2298,"")</t>
  </si>
  <si>
    <t>=C2298</t>
  </si>
  <si>
    <t>=NL("Sum","5802 Value Entry","150 Sales Amount (Expected)","41 Source Type",$C$5,"5 Source No.",$C2299,"4 Item Ledger Entry Type",$C$4,"2 Item No.","@@"&amp;$F2299,"3 Posting Date",J$9)+NL("Sum","5802 Value Entry","17 Sales Amount (Actual)","41 Source Type",$C$5,"5 Source no.",$C2299,"4 Item Ledger Entry Type",$C$4,"2 Item No.","@@"&amp;$F2299,"3 Posting Date",J$9)</t>
  </si>
  <si>
    <t>=-NL("Sum","5802 Value Entry","151 Cost Amount (Expected)","41 Source Type",$C$5,"5 Source No.",$C2299,"4 Item Ledger Entry Type",$C$4,"2 Item No.","@@"&amp;$F2299,"3 Posting Date",J$9)-NL("Sum","5802 Value Entry","43 Cost Amount (Actual)","41 Source Type",$C$5,"5 Source no.",$C2299,"4 Item Ledger Entry Type",$C$4,"2 Item No.","@@"&amp;$F2299,"3 Posting Date",J$9)</t>
  </si>
  <si>
    <t>=J2299-L2299</t>
  </si>
  <si>
    <t>=IF(J2299&lt;&gt;0,M2299/J2299,"")</t>
  </si>
  <si>
    <t>=NL("Sum","5802 Value Entry","150 Sales Amount (Expected)","41 Source Type",$C$5,"5 Source No.",$C2299,"4 Item Ledger Entry Type",$C$4,"2 Item No.","@@"&amp;$F2299,"3 Posting Date",O$9)+NL("Sum","5802 Value Entry","17 Sales Amount (Actual)","41 Source Type",$C$5,"5 Source no.",$C2299,"4 Item Ledger Entry Type",$C$4,"2 Item No.","@@"&amp;$F2299,"3 Posting Date",O$9)</t>
  </si>
  <si>
    <t>=-NL("Sum","5802 Value Entry","151 Cost Amount (Expected)","41 Source Type",$C$5,"5 Source No.",$C2299,"4 Item Ledger Entry Type",$C$4,"2 Item No.","@@"&amp;$F2299,"3 Posting Date",O$9)-NL("Sum","5802 Value Entry","43 Cost Amount (Actual)","41 Source Type",$C$5,"5 Source no.",$C2299,"4 Item Ledger Entry Type",$C$4,"2 Item No.","@@"&amp;$F2299,"3 Posting Date",O$9)</t>
  </si>
  <si>
    <t>=O2299-Q2299</t>
  </si>
  <si>
    <t>=IF(O2299&lt;&gt;0,R2299/O2299,"")</t>
  </si>
  <si>
    <t>=NL("Sum","5802 Value Entry","150 Sales Amount (Expected)","41 Source Type",$C$5,"5 Source No.",$C2299,"4 Item Ledger Entry Type",$C$4,"2 Item No.","@@"&amp;$F2299,"3 Posting Date",U$9)+NL("Sum","5802 Value Entry","17 Sales Amount (Actual)","41 Source Type",$C$5,"5 Source no.",$C2299,"4 Item Ledger Entry Type",$C$4,"2 Item No.","@@"&amp;$F2299,"3 Posting Date",U$9)</t>
  </si>
  <si>
    <t>=-NL("Sum","5802 Value Entry","151 Cost Amount (Expected)","41 Source Type",$C$5,"5 Source No.",$C2299,"4 Item Ledger Entry Type",$C$4,"2 Item No.","@@"&amp;$F2299,"3 Posting Date",U$9)-NL("Sum","5802 Value Entry","43 Cost Amount (Actual)","41 Source Type",$C$5,"5 Source no.",$C2299,"4 Item Ledger Entry Type",$C$4,"2 Item No.","@@"&amp;$F2299,"3 Posting Date",U$9)</t>
  </si>
  <si>
    <t>=U2299-W2299</t>
  </si>
  <si>
    <t>=IF(U2299&lt;&gt;0,X2299/U2299,"")</t>
  </si>
  <si>
    <t>=NL("Sum","5802 Value Entry","150 Sales Amount (Expected)","41 Source Type",$C$5,"5 Source No.",$C2299,"4 Item Ledger Entry Type",$C$4,"2 Item No.","@@"&amp;$F2299,"3 Posting Date",Z$9)+NL("Sum","5802 Value Entry","17 Sales Amount (Actual)","41 Source Type",$C$5,"5 Source no.",$C2299,"4 Item Ledger Entry Type",$C$4,"2 Item No.","@@"&amp;$F2299,"3 Posting Date",Z$9)</t>
  </si>
  <si>
    <t>=-NL("Sum","5802 Value Entry","151 Cost Amount (Expected)","41 Source Type",$C$5,"5 Source No.",$C2299,"4 Item Ledger Entry Type",$C$4,"2 Item No.","@@"&amp;$F2299,"3 Posting Date",Z$9)-NL("Sum","5802 Value Entry","43 Cost Amount (Actual)","41 Source Type",$C$5,"5 Source no.",$C2299,"4 Item Ledger Entry Type",$C$4,"2 Item No.","@@"&amp;$F2299,"3 Posting Date",Z$9)</t>
  </si>
  <si>
    <t>=Z2299-AB2299</t>
  </si>
  <si>
    <t>=IF(Z2299&lt;&gt;0,AC2299/Z2299,"")</t>
  </si>
  <si>
    <t>=C2299</t>
  </si>
  <si>
    <t>=NL("Sum","5802 Value Entry","150 Sales Amount (Expected)","41 Source Type",$C$5,"5 Source No.",$C2300,"4 Item Ledger Entry Type",$C$4,"2 Item No.","@@"&amp;$F2300,"3 Posting Date",J$9)+NL("Sum","5802 Value Entry","17 Sales Amount (Actual)","41 Source Type",$C$5,"5 Source no.",$C2300,"4 Item Ledger Entry Type",$C$4,"2 Item No.","@@"&amp;$F2300,"3 Posting Date",J$9)</t>
  </si>
  <si>
    <t>=-NL("Sum","5802 Value Entry","151 Cost Amount (Expected)","41 Source Type",$C$5,"5 Source No.",$C2300,"4 Item Ledger Entry Type",$C$4,"2 Item No.","@@"&amp;$F2300,"3 Posting Date",J$9)-NL("Sum","5802 Value Entry","43 Cost Amount (Actual)","41 Source Type",$C$5,"5 Source no.",$C2300,"4 Item Ledger Entry Type",$C$4,"2 Item No.","@@"&amp;$F2300,"3 Posting Date",J$9)</t>
  </si>
  <si>
    <t>=J2300-L2300</t>
  </si>
  <si>
    <t>=IF(J2300&lt;&gt;0,M2300/J2300,"")</t>
  </si>
  <si>
    <t>=NL("Sum","5802 Value Entry","150 Sales Amount (Expected)","41 Source Type",$C$5,"5 Source No.",$C2300,"4 Item Ledger Entry Type",$C$4,"2 Item No.","@@"&amp;$F2300,"3 Posting Date",O$9)+NL("Sum","5802 Value Entry","17 Sales Amount (Actual)","41 Source Type",$C$5,"5 Source no.",$C2300,"4 Item Ledger Entry Type",$C$4,"2 Item No.","@@"&amp;$F2300,"3 Posting Date",O$9)</t>
  </si>
  <si>
    <t>=-NL("Sum","5802 Value Entry","151 Cost Amount (Expected)","41 Source Type",$C$5,"5 Source No.",$C2300,"4 Item Ledger Entry Type",$C$4,"2 Item No.","@@"&amp;$F2300,"3 Posting Date",O$9)-NL("Sum","5802 Value Entry","43 Cost Amount (Actual)","41 Source Type",$C$5,"5 Source no.",$C2300,"4 Item Ledger Entry Type",$C$4,"2 Item No.","@@"&amp;$F2300,"3 Posting Date",O$9)</t>
  </si>
  <si>
    <t>=O2300-Q2300</t>
  </si>
  <si>
    <t>=IF(O2300&lt;&gt;0,R2300/O2300,"")</t>
  </si>
  <si>
    <t>=NL("Sum","5802 Value Entry","150 Sales Amount (Expected)","41 Source Type",$C$5,"5 Source No.",$C2300,"4 Item Ledger Entry Type",$C$4,"2 Item No.","@@"&amp;$F2300,"3 Posting Date",U$9)+NL("Sum","5802 Value Entry","17 Sales Amount (Actual)","41 Source Type",$C$5,"5 Source no.",$C2300,"4 Item Ledger Entry Type",$C$4,"2 Item No.","@@"&amp;$F2300,"3 Posting Date",U$9)</t>
  </si>
  <si>
    <t>=-NL("Sum","5802 Value Entry","151 Cost Amount (Expected)","41 Source Type",$C$5,"5 Source No.",$C2300,"4 Item Ledger Entry Type",$C$4,"2 Item No.","@@"&amp;$F2300,"3 Posting Date",U$9)-NL("Sum","5802 Value Entry","43 Cost Amount (Actual)","41 Source Type",$C$5,"5 Source no.",$C2300,"4 Item Ledger Entry Type",$C$4,"2 Item No.","@@"&amp;$F2300,"3 Posting Date",U$9)</t>
  </si>
  <si>
    <t>=U2300-W2300</t>
  </si>
  <si>
    <t>=IF(U2300&lt;&gt;0,X2300/U2300,"")</t>
  </si>
  <si>
    <t>=NL("Sum","5802 Value Entry","150 Sales Amount (Expected)","41 Source Type",$C$5,"5 Source No.",$C2300,"4 Item Ledger Entry Type",$C$4,"2 Item No.","@@"&amp;$F2300,"3 Posting Date",Z$9)+NL("Sum","5802 Value Entry","17 Sales Amount (Actual)","41 Source Type",$C$5,"5 Source no.",$C2300,"4 Item Ledger Entry Type",$C$4,"2 Item No.","@@"&amp;$F2300,"3 Posting Date",Z$9)</t>
  </si>
  <si>
    <t>=-NL("Sum","5802 Value Entry","151 Cost Amount (Expected)","41 Source Type",$C$5,"5 Source No.",$C2300,"4 Item Ledger Entry Type",$C$4,"2 Item No.","@@"&amp;$F2300,"3 Posting Date",Z$9)-NL("Sum","5802 Value Entry","43 Cost Amount (Actual)","41 Source Type",$C$5,"5 Source no.",$C2300,"4 Item Ledger Entry Type",$C$4,"2 Item No.","@@"&amp;$F2300,"3 Posting Date",Z$9)</t>
  </si>
  <si>
    <t>=Z2300-AB2300</t>
  </si>
  <si>
    <t>=IF(Z2300&lt;&gt;0,AC2300/Z2300,"")</t>
  </si>
  <si>
    <t>=C2300</t>
  </si>
  <si>
    <t>=NL("Sum","5802 Value Entry","150 Sales Amount (Expected)","41 Source Type",$C$5,"5 Source No.",$C2301,"4 Item Ledger Entry Type",$C$4,"2 Item No.","@@"&amp;$F2301,"3 Posting Date",J$9)+NL("Sum","5802 Value Entry","17 Sales Amount (Actual)","41 Source Type",$C$5,"5 Source no.",$C2301,"4 Item Ledger Entry Type",$C$4,"2 Item No.","@@"&amp;$F2301,"3 Posting Date",J$9)</t>
  </si>
  <si>
    <t>=-NL("Sum","5802 Value Entry","151 Cost Amount (Expected)","41 Source Type",$C$5,"5 Source No.",$C2301,"4 Item Ledger Entry Type",$C$4,"2 Item No.","@@"&amp;$F2301,"3 Posting Date",J$9)-NL("Sum","5802 Value Entry","43 Cost Amount (Actual)","41 Source Type",$C$5,"5 Source no.",$C2301,"4 Item Ledger Entry Type",$C$4,"2 Item No.","@@"&amp;$F2301,"3 Posting Date",J$9)</t>
  </si>
  <si>
    <t>=J2301-L2301</t>
  </si>
  <si>
    <t>=IF(J2301&lt;&gt;0,M2301/J2301,"")</t>
  </si>
  <si>
    <t>=NL("Sum","5802 Value Entry","150 Sales Amount (Expected)","41 Source Type",$C$5,"5 Source No.",$C2301,"4 Item Ledger Entry Type",$C$4,"2 Item No.","@@"&amp;$F2301,"3 Posting Date",O$9)+NL("Sum","5802 Value Entry","17 Sales Amount (Actual)","41 Source Type",$C$5,"5 Source no.",$C2301,"4 Item Ledger Entry Type",$C$4,"2 Item No.","@@"&amp;$F2301,"3 Posting Date",O$9)</t>
  </si>
  <si>
    <t>=-NL("Sum","5802 Value Entry","151 Cost Amount (Expected)","41 Source Type",$C$5,"5 Source No.",$C2301,"4 Item Ledger Entry Type",$C$4,"2 Item No.","@@"&amp;$F2301,"3 Posting Date",O$9)-NL("Sum","5802 Value Entry","43 Cost Amount (Actual)","41 Source Type",$C$5,"5 Source no.",$C2301,"4 Item Ledger Entry Type",$C$4,"2 Item No.","@@"&amp;$F2301,"3 Posting Date",O$9)</t>
  </si>
  <si>
    <t>=O2301-Q2301</t>
  </si>
  <si>
    <t>=IF(O2301&lt;&gt;0,R2301/O2301,"")</t>
  </si>
  <si>
    <t>=NL("Sum","5802 Value Entry","150 Sales Amount (Expected)","41 Source Type",$C$5,"5 Source No.",$C2301,"4 Item Ledger Entry Type",$C$4,"2 Item No.","@@"&amp;$F2301,"3 Posting Date",U$9)+NL("Sum","5802 Value Entry","17 Sales Amount (Actual)","41 Source Type",$C$5,"5 Source no.",$C2301,"4 Item Ledger Entry Type",$C$4,"2 Item No.","@@"&amp;$F2301,"3 Posting Date",U$9)</t>
  </si>
  <si>
    <t>=-NL("Sum","5802 Value Entry","151 Cost Amount (Expected)","41 Source Type",$C$5,"5 Source No.",$C2301,"4 Item Ledger Entry Type",$C$4,"2 Item No.","@@"&amp;$F2301,"3 Posting Date",U$9)-NL("Sum","5802 Value Entry","43 Cost Amount (Actual)","41 Source Type",$C$5,"5 Source no.",$C2301,"4 Item Ledger Entry Type",$C$4,"2 Item No.","@@"&amp;$F2301,"3 Posting Date",U$9)</t>
  </si>
  <si>
    <t>=U2301-W2301</t>
  </si>
  <si>
    <t>=IF(U2301&lt;&gt;0,X2301/U2301,"")</t>
  </si>
  <si>
    <t>=NL("Sum","5802 Value Entry","150 Sales Amount (Expected)","41 Source Type",$C$5,"5 Source No.",$C2301,"4 Item Ledger Entry Type",$C$4,"2 Item No.","@@"&amp;$F2301,"3 Posting Date",Z$9)+NL("Sum","5802 Value Entry","17 Sales Amount (Actual)","41 Source Type",$C$5,"5 Source no.",$C2301,"4 Item Ledger Entry Type",$C$4,"2 Item No.","@@"&amp;$F2301,"3 Posting Date",Z$9)</t>
  </si>
  <si>
    <t>=-NL("Sum","5802 Value Entry","151 Cost Amount (Expected)","41 Source Type",$C$5,"5 Source No.",$C2301,"4 Item Ledger Entry Type",$C$4,"2 Item No.","@@"&amp;$F2301,"3 Posting Date",Z$9)-NL("Sum","5802 Value Entry","43 Cost Amount (Actual)","41 Source Type",$C$5,"5 Source no.",$C2301,"4 Item Ledger Entry Type",$C$4,"2 Item No.","@@"&amp;$F2301,"3 Posting Date",Z$9)</t>
  </si>
  <si>
    <t>=Z2301-AB2301</t>
  </si>
  <si>
    <t>=IF(Z2301&lt;&gt;0,AC2301/Z2301,"")</t>
  </si>
  <si>
    <t>=C2301</t>
  </si>
  <si>
    <t>=NL("Sum","5802 Value Entry","150 Sales Amount (Expected)","41 Source Type",$C$5,"5 Source No.",$C2302,"4 Item Ledger Entry Type",$C$4,"2 Item No.","@@"&amp;$F2302,"3 Posting Date",J$9)+NL("Sum","5802 Value Entry","17 Sales Amount (Actual)","41 Source Type",$C$5,"5 Source no.",$C2302,"4 Item Ledger Entry Type",$C$4,"2 Item No.","@@"&amp;$F2302,"3 Posting Date",J$9)</t>
  </si>
  <si>
    <t>=-NL("Sum","5802 Value Entry","151 Cost Amount (Expected)","41 Source Type",$C$5,"5 Source No.",$C2302,"4 Item Ledger Entry Type",$C$4,"2 Item No.","@@"&amp;$F2302,"3 Posting Date",J$9)-NL("Sum","5802 Value Entry","43 Cost Amount (Actual)","41 Source Type",$C$5,"5 Source no.",$C2302,"4 Item Ledger Entry Type",$C$4,"2 Item No.","@@"&amp;$F2302,"3 Posting Date",J$9)</t>
  </si>
  <si>
    <t>=J2302-L2302</t>
  </si>
  <si>
    <t>=IF(J2302&lt;&gt;0,M2302/J2302,"")</t>
  </si>
  <si>
    <t>=NL("Sum","5802 Value Entry","150 Sales Amount (Expected)","41 Source Type",$C$5,"5 Source No.",$C2302,"4 Item Ledger Entry Type",$C$4,"2 Item No.","@@"&amp;$F2302,"3 Posting Date",O$9)+NL("Sum","5802 Value Entry","17 Sales Amount (Actual)","41 Source Type",$C$5,"5 Source no.",$C2302,"4 Item Ledger Entry Type",$C$4,"2 Item No.","@@"&amp;$F2302,"3 Posting Date",O$9)</t>
  </si>
  <si>
    <t>=-NL("Sum","5802 Value Entry","151 Cost Amount (Expected)","41 Source Type",$C$5,"5 Source No.",$C2302,"4 Item Ledger Entry Type",$C$4,"2 Item No.","@@"&amp;$F2302,"3 Posting Date",O$9)-NL("Sum","5802 Value Entry","43 Cost Amount (Actual)","41 Source Type",$C$5,"5 Source no.",$C2302,"4 Item Ledger Entry Type",$C$4,"2 Item No.","@@"&amp;$F2302,"3 Posting Date",O$9)</t>
  </si>
  <si>
    <t>=O2302-Q2302</t>
  </si>
  <si>
    <t>=IF(O2302&lt;&gt;0,R2302/O2302,"")</t>
  </si>
  <si>
    <t>=NL("Sum","5802 Value Entry","150 Sales Amount (Expected)","41 Source Type",$C$5,"5 Source No.",$C2302,"4 Item Ledger Entry Type",$C$4,"2 Item No.","@@"&amp;$F2302,"3 Posting Date",U$9)+NL("Sum","5802 Value Entry","17 Sales Amount (Actual)","41 Source Type",$C$5,"5 Source no.",$C2302,"4 Item Ledger Entry Type",$C$4,"2 Item No.","@@"&amp;$F2302,"3 Posting Date",U$9)</t>
  </si>
  <si>
    <t>=-NL("Sum","5802 Value Entry","151 Cost Amount (Expected)","41 Source Type",$C$5,"5 Source No.",$C2302,"4 Item Ledger Entry Type",$C$4,"2 Item No.","@@"&amp;$F2302,"3 Posting Date",U$9)-NL("Sum","5802 Value Entry","43 Cost Amount (Actual)","41 Source Type",$C$5,"5 Source no.",$C2302,"4 Item Ledger Entry Type",$C$4,"2 Item No.","@@"&amp;$F2302,"3 Posting Date",U$9)</t>
  </si>
  <si>
    <t>=U2302-W2302</t>
  </si>
  <si>
    <t>=IF(U2302&lt;&gt;0,X2302/U2302,"")</t>
  </si>
  <si>
    <t>=NL("Sum","5802 Value Entry","150 Sales Amount (Expected)","41 Source Type",$C$5,"5 Source No.",$C2302,"4 Item Ledger Entry Type",$C$4,"2 Item No.","@@"&amp;$F2302,"3 Posting Date",Z$9)+NL("Sum","5802 Value Entry","17 Sales Amount (Actual)","41 Source Type",$C$5,"5 Source no.",$C2302,"4 Item Ledger Entry Type",$C$4,"2 Item No.","@@"&amp;$F2302,"3 Posting Date",Z$9)</t>
  </si>
  <si>
    <t>=-NL("Sum","5802 Value Entry","151 Cost Amount (Expected)","41 Source Type",$C$5,"5 Source No.",$C2302,"4 Item Ledger Entry Type",$C$4,"2 Item No.","@@"&amp;$F2302,"3 Posting Date",Z$9)-NL("Sum","5802 Value Entry","43 Cost Amount (Actual)","41 Source Type",$C$5,"5 Source no.",$C2302,"4 Item Ledger Entry Type",$C$4,"2 Item No.","@@"&amp;$F2302,"3 Posting Date",Z$9)</t>
  </si>
  <si>
    <t>=Z2302-AB2302</t>
  </si>
  <si>
    <t>=IF(Z2302&lt;&gt;0,AC2302/Z2302,"")</t>
  </si>
  <si>
    <t>="C100107"</t>
  </si>
  <si>
    <t>=C2307</t>
  </si>
  <si>
    <t>=C2308</t>
  </si>
  <si>
    <t>=NL("Sum","5802 Value Entry","150 Sales Amount (Expected)","41 Source Type",$C$5,"5 Source No.",$C2309,"4 Item Ledger Entry Type",$C$4,"2 Item No.","@@"&amp;$F2309,"3 Posting Date",J$9)+NL("Sum","5802 Value Entry","17 Sales Amount (Actual)","41 Source Type",$C$5,"5 Source no.",$C2309,"4 Item Ledger Entry Type",$C$4,"2 Item No.","@@"&amp;$F2309,"3 Posting Date",J$9)</t>
  </si>
  <si>
    <t>=-NL("Sum","5802 Value Entry","151 Cost Amount (Expected)","41 Source Type",$C$5,"5 Source No.",$C2309,"4 Item Ledger Entry Type",$C$4,"2 Item No.","@@"&amp;$F2309,"3 Posting Date",J$9)-NL("Sum","5802 Value Entry","43 Cost Amount (Actual)","41 Source Type",$C$5,"5 Source no.",$C2309,"4 Item Ledger Entry Type",$C$4,"2 Item No.","@@"&amp;$F2309,"3 Posting Date",J$9)</t>
  </si>
  <si>
    <t>=J2309-L2309</t>
  </si>
  <si>
    <t>=IF(J2309&lt;&gt;0,M2309/J2309,"")</t>
  </si>
  <si>
    <t>=NL("Sum","5802 Value Entry","150 Sales Amount (Expected)","41 Source Type",$C$5,"5 Source No.",$C2309,"4 Item Ledger Entry Type",$C$4,"2 Item No.","@@"&amp;$F2309,"3 Posting Date",O$9)+NL("Sum","5802 Value Entry","17 Sales Amount (Actual)","41 Source Type",$C$5,"5 Source no.",$C2309,"4 Item Ledger Entry Type",$C$4,"2 Item No.","@@"&amp;$F2309,"3 Posting Date",O$9)</t>
  </si>
  <si>
    <t>=-NL("Sum","5802 Value Entry","151 Cost Amount (Expected)","41 Source Type",$C$5,"5 Source No.",$C2309,"4 Item Ledger Entry Type",$C$4,"2 Item No.","@@"&amp;$F2309,"3 Posting Date",O$9)-NL("Sum","5802 Value Entry","43 Cost Amount (Actual)","41 Source Type",$C$5,"5 Source no.",$C2309,"4 Item Ledger Entry Type",$C$4,"2 Item No.","@@"&amp;$F2309,"3 Posting Date",O$9)</t>
  </si>
  <si>
    <t>=O2309-Q2309</t>
  </si>
  <si>
    <t>=IF(O2309&lt;&gt;0,R2309/O2309,"")</t>
  </si>
  <si>
    <t>=NL("Sum","5802 Value Entry","150 Sales Amount (Expected)","41 Source Type",$C$5,"5 Source No.",$C2309,"4 Item Ledger Entry Type",$C$4,"2 Item No.","@@"&amp;$F2309,"3 Posting Date",U$9)+NL("Sum","5802 Value Entry","17 Sales Amount (Actual)","41 Source Type",$C$5,"5 Source no.",$C2309,"4 Item Ledger Entry Type",$C$4,"2 Item No.","@@"&amp;$F2309,"3 Posting Date",U$9)</t>
  </si>
  <si>
    <t>=-NL("Sum","5802 Value Entry","151 Cost Amount (Expected)","41 Source Type",$C$5,"5 Source No.",$C2309,"4 Item Ledger Entry Type",$C$4,"2 Item No.","@@"&amp;$F2309,"3 Posting Date",U$9)-NL("Sum","5802 Value Entry","43 Cost Amount (Actual)","41 Source Type",$C$5,"5 Source no.",$C2309,"4 Item Ledger Entry Type",$C$4,"2 Item No.","@@"&amp;$F2309,"3 Posting Date",U$9)</t>
  </si>
  <si>
    <t>=U2309-W2309</t>
  </si>
  <si>
    <t>=IF(U2309&lt;&gt;0,X2309/U2309,"")</t>
  </si>
  <si>
    <t>=NL("Sum","5802 Value Entry","150 Sales Amount (Expected)","41 Source Type",$C$5,"5 Source No.",$C2309,"4 Item Ledger Entry Type",$C$4,"2 Item No.","@@"&amp;$F2309,"3 Posting Date",Z$9)+NL("Sum","5802 Value Entry","17 Sales Amount (Actual)","41 Source Type",$C$5,"5 Source no.",$C2309,"4 Item Ledger Entry Type",$C$4,"2 Item No.","@@"&amp;$F2309,"3 Posting Date",Z$9)</t>
  </si>
  <si>
    <t>=-NL("Sum","5802 Value Entry","151 Cost Amount (Expected)","41 Source Type",$C$5,"5 Source No.",$C2309,"4 Item Ledger Entry Type",$C$4,"2 Item No.","@@"&amp;$F2309,"3 Posting Date",Z$9)-NL("Sum","5802 Value Entry","43 Cost Amount (Actual)","41 Source Type",$C$5,"5 Source no.",$C2309,"4 Item Ledger Entry Type",$C$4,"2 Item No.","@@"&amp;$F2309,"3 Posting Date",Z$9)</t>
  </si>
  <si>
    <t>=Z2309-AB2309</t>
  </si>
  <si>
    <t>=IF(Z2309&lt;&gt;0,AC2309/Z2309,"")</t>
  </si>
  <si>
    <t>=C2309</t>
  </si>
  <si>
    <t>=NL("Sum","5802 Value Entry","150 Sales Amount (Expected)","41 Source Type",$C$5,"5 Source No.",$C2310,"4 Item Ledger Entry Type",$C$4,"2 Item No.","@@"&amp;$F2310,"3 Posting Date",J$9)+NL("Sum","5802 Value Entry","17 Sales Amount (Actual)","41 Source Type",$C$5,"5 Source no.",$C2310,"4 Item Ledger Entry Type",$C$4,"2 Item No.","@@"&amp;$F2310,"3 Posting Date",J$9)</t>
  </si>
  <si>
    <t>=-NL("Sum","5802 Value Entry","151 Cost Amount (Expected)","41 Source Type",$C$5,"5 Source No.",$C2310,"4 Item Ledger Entry Type",$C$4,"2 Item No.","@@"&amp;$F2310,"3 Posting Date",J$9)-NL("Sum","5802 Value Entry","43 Cost Amount (Actual)","41 Source Type",$C$5,"5 Source no.",$C2310,"4 Item Ledger Entry Type",$C$4,"2 Item No.","@@"&amp;$F2310,"3 Posting Date",J$9)</t>
  </si>
  <si>
    <t>=J2310-L2310</t>
  </si>
  <si>
    <t>=IF(J2310&lt;&gt;0,M2310/J2310,"")</t>
  </si>
  <si>
    <t>=NL("Sum","5802 Value Entry","150 Sales Amount (Expected)","41 Source Type",$C$5,"5 Source No.",$C2310,"4 Item Ledger Entry Type",$C$4,"2 Item No.","@@"&amp;$F2310,"3 Posting Date",O$9)+NL("Sum","5802 Value Entry","17 Sales Amount (Actual)","41 Source Type",$C$5,"5 Source no.",$C2310,"4 Item Ledger Entry Type",$C$4,"2 Item No.","@@"&amp;$F2310,"3 Posting Date",O$9)</t>
  </si>
  <si>
    <t>=-NL("Sum","5802 Value Entry","151 Cost Amount (Expected)","41 Source Type",$C$5,"5 Source No.",$C2310,"4 Item Ledger Entry Type",$C$4,"2 Item No.","@@"&amp;$F2310,"3 Posting Date",O$9)-NL("Sum","5802 Value Entry","43 Cost Amount (Actual)","41 Source Type",$C$5,"5 Source no.",$C2310,"4 Item Ledger Entry Type",$C$4,"2 Item No.","@@"&amp;$F2310,"3 Posting Date",O$9)</t>
  </si>
  <si>
    <t>=O2310-Q2310</t>
  </si>
  <si>
    <t>=IF(O2310&lt;&gt;0,R2310/O2310,"")</t>
  </si>
  <si>
    <t>=NL("Sum","5802 Value Entry","150 Sales Amount (Expected)","41 Source Type",$C$5,"5 Source No.",$C2310,"4 Item Ledger Entry Type",$C$4,"2 Item No.","@@"&amp;$F2310,"3 Posting Date",U$9)+NL("Sum","5802 Value Entry","17 Sales Amount (Actual)","41 Source Type",$C$5,"5 Source no.",$C2310,"4 Item Ledger Entry Type",$C$4,"2 Item No.","@@"&amp;$F2310,"3 Posting Date",U$9)</t>
  </si>
  <si>
    <t>=-NL("Sum","5802 Value Entry","151 Cost Amount (Expected)","41 Source Type",$C$5,"5 Source No.",$C2310,"4 Item Ledger Entry Type",$C$4,"2 Item No.","@@"&amp;$F2310,"3 Posting Date",U$9)-NL("Sum","5802 Value Entry","43 Cost Amount (Actual)","41 Source Type",$C$5,"5 Source no.",$C2310,"4 Item Ledger Entry Type",$C$4,"2 Item No.","@@"&amp;$F2310,"3 Posting Date",U$9)</t>
  </si>
  <si>
    <t>=U2310-W2310</t>
  </si>
  <si>
    <t>=IF(U2310&lt;&gt;0,X2310/U2310,"")</t>
  </si>
  <si>
    <t>=NL("Sum","5802 Value Entry","150 Sales Amount (Expected)","41 Source Type",$C$5,"5 Source No.",$C2310,"4 Item Ledger Entry Type",$C$4,"2 Item No.","@@"&amp;$F2310,"3 Posting Date",Z$9)+NL("Sum","5802 Value Entry","17 Sales Amount (Actual)","41 Source Type",$C$5,"5 Source no.",$C2310,"4 Item Ledger Entry Type",$C$4,"2 Item No.","@@"&amp;$F2310,"3 Posting Date",Z$9)</t>
  </si>
  <si>
    <t>=-NL("Sum","5802 Value Entry","151 Cost Amount (Expected)","41 Source Type",$C$5,"5 Source No.",$C2310,"4 Item Ledger Entry Type",$C$4,"2 Item No.","@@"&amp;$F2310,"3 Posting Date",Z$9)-NL("Sum","5802 Value Entry","43 Cost Amount (Actual)","41 Source Type",$C$5,"5 Source no.",$C2310,"4 Item Ledger Entry Type",$C$4,"2 Item No.","@@"&amp;$F2310,"3 Posting Date",Z$9)</t>
  </si>
  <si>
    <t>=Z2310-AB2310</t>
  </si>
  <si>
    <t>=IF(Z2310&lt;&gt;0,AC2310/Z2310,"")</t>
  </si>
  <si>
    <t>=C2310</t>
  </si>
  <si>
    <t>=NL("Sum","5802 Value Entry","150 Sales Amount (Expected)","41 Source Type",$C$5,"5 Source No.",$C2311,"4 Item Ledger Entry Type",$C$4,"2 Item No.","@@"&amp;$F2311,"3 Posting Date",J$9)+NL("Sum","5802 Value Entry","17 Sales Amount (Actual)","41 Source Type",$C$5,"5 Source no.",$C2311,"4 Item Ledger Entry Type",$C$4,"2 Item No.","@@"&amp;$F2311,"3 Posting Date",J$9)</t>
  </si>
  <si>
    <t>=-NL("Sum","5802 Value Entry","151 Cost Amount (Expected)","41 Source Type",$C$5,"5 Source No.",$C2311,"4 Item Ledger Entry Type",$C$4,"2 Item No.","@@"&amp;$F2311,"3 Posting Date",J$9)-NL("Sum","5802 Value Entry","43 Cost Amount (Actual)","41 Source Type",$C$5,"5 Source no.",$C2311,"4 Item Ledger Entry Type",$C$4,"2 Item No.","@@"&amp;$F2311,"3 Posting Date",J$9)</t>
  </si>
  <si>
    <t>=J2311-L2311</t>
  </si>
  <si>
    <t>=IF(J2311&lt;&gt;0,M2311/J2311,"")</t>
  </si>
  <si>
    <t>=NL("Sum","5802 Value Entry","150 Sales Amount (Expected)","41 Source Type",$C$5,"5 Source No.",$C2311,"4 Item Ledger Entry Type",$C$4,"2 Item No.","@@"&amp;$F2311,"3 Posting Date",O$9)+NL("Sum","5802 Value Entry","17 Sales Amount (Actual)","41 Source Type",$C$5,"5 Source no.",$C2311,"4 Item Ledger Entry Type",$C$4,"2 Item No.","@@"&amp;$F2311,"3 Posting Date",O$9)</t>
  </si>
  <si>
    <t>=-NL("Sum","5802 Value Entry","151 Cost Amount (Expected)","41 Source Type",$C$5,"5 Source No.",$C2311,"4 Item Ledger Entry Type",$C$4,"2 Item No.","@@"&amp;$F2311,"3 Posting Date",O$9)-NL("Sum","5802 Value Entry","43 Cost Amount (Actual)","41 Source Type",$C$5,"5 Source no.",$C2311,"4 Item Ledger Entry Type",$C$4,"2 Item No.","@@"&amp;$F2311,"3 Posting Date",O$9)</t>
  </si>
  <si>
    <t>=O2311-Q2311</t>
  </si>
  <si>
    <t>=IF(O2311&lt;&gt;0,R2311/O2311,"")</t>
  </si>
  <si>
    <t>=NL("Sum","5802 Value Entry","150 Sales Amount (Expected)","41 Source Type",$C$5,"5 Source No.",$C2311,"4 Item Ledger Entry Type",$C$4,"2 Item No.","@@"&amp;$F2311,"3 Posting Date",U$9)+NL("Sum","5802 Value Entry","17 Sales Amount (Actual)","41 Source Type",$C$5,"5 Source no.",$C2311,"4 Item Ledger Entry Type",$C$4,"2 Item No.","@@"&amp;$F2311,"3 Posting Date",U$9)</t>
  </si>
  <si>
    <t>=-NL("Sum","5802 Value Entry","151 Cost Amount (Expected)","41 Source Type",$C$5,"5 Source No.",$C2311,"4 Item Ledger Entry Type",$C$4,"2 Item No.","@@"&amp;$F2311,"3 Posting Date",U$9)-NL("Sum","5802 Value Entry","43 Cost Amount (Actual)","41 Source Type",$C$5,"5 Source no.",$C2311,"4 Item Ledger Entry Type",$C$4,"2 Item No.","@@"&amp;$F2311,"3 Posting Date",U$9)</t>
  </si>
  <si>
    <t>=U2311-W2311</t>
  </si>
  <si>
    <t>=IF(U2311&lt;&gt;0,X2311/U2311,"")</t>
  </si>
  <si>
    <t>=NL("Sum","5802 Value Entry","150 Sales Amount (Expected)","41 Source Type",$C$5,"5 Source No.",$C2311,"4 Item Ledger Entry Type",$C$4,"2 Item No.","@@"&amp;$F2311,"3 Posting Date",Z$9)+NL("Sum","5802 Value Entry","17 Sales Amount (Actual)","41 Source Type",$C$5,"5 Source no.",$C2311,"4 Item Ledger Entry Type",$C$4,"2 Item No.","@@"&amp;$F2311,"3 Posting Date",Z$9)</t>
  </si>
  <si>
    <t>=-NL("Sum","5802 Value Entry","151 Cost Amount (Expected)","41 Source Type",$C$5,"5 Source No.",$C2311,"4 Item Ledger Entry Type",$C$4,"2 Item No.","@@"&amp;$F2311,"3 Posting Date",Z$9)-NL("Sum","5802 Value Entry","43 Cost Amount (Actual)","41 Source Type",$C$5,"5 Source no.",$C2311,"4 Item Ledger Entry Type",$C$4,"2 Item No.","@@"&amp;$F2311,"3 Posting Date",Z$9)</t>
  </si>
  <si>
    <t>=Z2311-AB2311</t>
  </si>
  <si>
    <t>=IF(Z2311&lt;&gt;0,AC2311/Z2311,"")</t>
  </si>
  <si>
    <t>=C2311</t>
  </si>
  <si>
    <t>=NL("Sum","5802 Value Entry","150 Sales Amount (Expected)","41 Source Type",$C$5,"5 Source No.",$C2312,"4 Item Ledger Entry Type",$C$4,"2 Item No.","@@"&amp;$F2312,"3 Posting Date",J$9)+NL("Sum","5802 Value Entry","17 Sales Amount (Actual)","41 Source Type",$C$5,"5 Source no.",$C2312,"4 Item Ledger Entry Type",$C$4,"2 Item No.","@@"&amp;$F2312,"3 Posting Date",J$9)</t>
  </si>
  <si>
    <t>=-NL("Sum","5802 Value Entry","151 Cost Amount (Expected)","41 Source Type",$C$5,"5 Source No.",$C2312,"4 Item Ledger Entry Type",$C$4,"2 Item No.","@@"&amp;$F2312,"3 Posting Date",J$9)-NL("Sum","5802 Value Entry","43 Cost Amount (Actual)","41 Source Type",$C$5,"5 Source no.",$C2312,"4 Item Ledger Entry Type",$C$4,"2 Item No.","@@"&amp;$F2312,"3 Posting Date",J$9)</t>
  </si>
  <si>
    <t>=J2312-L2312</t>
  </si>
  <si>
    <t>=IF(J2312&lt;&gt;0,M2312/J2312,"")</t>
  </si>
  <si>
    <t>=NL("Sum","5802 Value Entry","150 Sales Amount (Expected)","41 Source Type",$C$5,"5 Source No.",$C2312,"4 Item Ledger Entry Type",$C$4,"2 Item No.","@@"&amp;$F2312,"3 Posting Date",O$9)+NL("Sum","5802 Value Entry","17 Sales Amount (Actual)","41 Source Type",$C$5,"5 Source no.",$C2312,"4 Item Ledger Entry Type",$C$4,"2 Item No.","@@"&amp;$F2312,"3 Posting Date",O$9)</t>
  </si>
  <si>
    <t>=-NL("Sum","5802 Value Entry","151 Cost Amount (Expected)","41 Source Type",$C$5,"5 Source No.",$C2312,"4 Item Ledger Entry Type",$C$4,"2 Item No.","@@"&amp;$F2312,"3 Posting Date",O$9)-NL("Sum","5802 Value Entry","43 Cost Amount (Actual)","41 Source Type",$C$5,"5 Source no.",$C2312,"4 Item Ledger Entry Type",$C$4,"2 Item No.","@@"&amp;$F2312,"3 Posting Date",O$9)</t>
  </si>
  <si>
    <t>=O2312-Q2312</t>
  </si>
  <si>
    <t>=IF(O2312&lt;&gt;0,R2312/O2312,"")</t>
  </si>
  <si>
    <t>=NL("Sum","5802 Value Entry","150 Sales Amount (Expected)","41 Source Type",$C$5,"5 Source No.",$C2312,"4 Item Ledger Entry Type",$C$4,"2 Item No.","@@"&amp;$F2312,"3 Posting Date",U$9)+NL("Sum","5802 Value Entry","17 Sales Amount (Actual)","41 Source Type",$C$5,"5 Source no.",$C2312,"4 Item Ledger Entry Type",$C$4,"2 Item No.","@@"&amp;$F2312,"3 Posting Date",U$9)</t>
  </si>
  <si>
    <t>=-NL("Sum","5802 Value Entry","151 Cost Amount (Expected)","41 Source Type",$C$5,"5 Source No.",$C2312,"4 Item Ledger Entry Type",$C$4,"2 Item No.","@@"&amp;$F2312,"3 Posting Date",U$9)-NL("Sum","5802 Value Entry","43 Cost Amount (Actual)","41 Source Type",$C$5,"5 Source no.",$C2312,"4 Item Ledger Entry Type",$C$4,"2 Item No.","@@"&amp;$F2312,"3 Posting Date",U$9)</t>
  </si>
  <si>
    <t>=U2312-W2312</t>
  </si>
  <si>
    <t>=IF(U2312&lt;&gt;0,X2312/U2312,"")</t>
  </si>
  <si>
    <t>=NL("Sum","5802 Value Entry","150 Sales Amount (Expected)","41 Source Type",$C$5,"5 Source No.",$C2312,"4 Item Ledger Entry Type",$C$4,"2 Item No.","@@"&amp;$F2312,"3 Posting Date",Z$9)+NL("Sum","5802 Value Entry","17 Sales Amount (Actual)","41 Source Type",$C$5,"5 Source no.",$C2312,"4 Item Ledger Entry Type",$C$4,"2 Item No.","@@"&amp;$F2312,"3 Posting Date",Z$9)</t>
  </si>
  <si>
    <t>=-NL("Sum","5802 Value Entry","151 Cost Amount (Expected)","41 Source Type",$C$5,"5 Source No.",$C2312,"4 Item Ledger Entry Type",$C$4,"2 Item No.","@@"&amp;$F2312,"3 Posting Date",Z$9)-NL("Sum","5802 Value Entry","43 Cost Amount (Actual)","41 Source Type",$C$5,"5 Source no.",$C2312,"4 Item Ledger Entry Type",$C$4,"2 Item No.","@@"&amp;$F2312,"3 Posting Date",Z$9)</t>
  </si>
  <si>
    <t>=Z2312-AB2312</t>
  </si>
  <si>
    <t>=IF(Z2312&lt;&gt;0,AC2312/Z2312,"")</t>
  </si>
  <si>
    <t>=C2312</t>
  </si>
  <si>
    <t>=NL("Sum","5802 Value Entry","150 Sales Amount (Expected)","41 Source Type",$C$5,"5 Source No.",$C2313,"4 Item Ledger Entry Type",$C$4,"2 Item No.","@@"&amp;$F2313,"3 Posting Date",J$9)+NL("Sum","5802 Value Entry","17 Sales Amount (Actual)","41 Source Type",$C$5,"5 Source no.",$C2313,"4 Item Ledger Entry Type",$C$4,"2 Item No.","@@"&amp;$F2313,"3 Posting Date",J$9)</t>
  </si>
  <si>
    <t>=-NL("Sum","5802 Value Entry","151 Cost Amount (Expected)","41 Source Type",$C$5,"5 Source No.",$C2313,"4 Item Ledger Entry Type",$C$4,"2 Item No.","@@"&amp;$F2313,"3 Posting Date",J$9)-NL("Sum","5802 Value Entry","43 Cost Amount (Actual)","41 Source Type",$C$5,"5 Source no.",$C2313,"4 Item Ledger Entry Type",$C$4,"2 Item No.","@@"&amp;$F2313,"3 Posting Date",J$9)</t>
  </si>
  <si>
    <t>=J2313-L2313</t>
  </si>
  <si>
    <t>=IF(J2313&lt;&gt;0,M2313/J2313,"")</t>
  </si>
  <si>
    <t>=NL("Sum","5802 Value Entry","150 Sales Amount (Expected)","41 Source Type",$C$5,"5 Source No.",$C2313,"4 Item Ledger Entry Type",$C$4,"2 Item No.","@@"&amp;$F2313,"3 Posting Date",O$9)+NL("Sum","5802 Value Entry","17 Sales Amount (Actual)","41 Source Type",$C$5,"5 Source no.",$C2313,"4 Item Ledger Entry Type",$C$4,"2 Item No.","@@"&amp;$F2313,"3 Posting Date",O$9)</t>
  </si>
  <si>
    <t>=-NL("Sum","5802 Value Entry","151 Cost Amount (Expected)","41 Source Type",$C$5,"5 Source No.",$C2313,"4 Item Ledger Entry Type",$C$4,"2 Item No.","@@"&amp;$F2313,"3 Posting Date",O$9)-NL("Sum","5802 Value Entry","43 Cost Amount (Actual)","41 Source Type",$C$5,"5 Source no.",$C2313,"4 Item Ledger Entry Type",$C$4,"2 Item No.","@@"&amp;$F2313,"3 Posting Date",O$9)</t>
  </si>
  <si>
    <t>=O2313-Q2313</t>
  </si>
  <si>
    <t>=IF(O2313&lt;&gt;0,R2313/O2313,"")</t>
  </si>
  <si>
    <t>=NL("Sum","5802 Value Entry","150 Sales Amount (Expected)","41 Source Type",$C$5,"5 Source No.",$C2313,"4 Item Ledger Entry Type",$C$4,"2 Item No.","@@"&amp;$F2313,"3 Posting Date",U$9)+NL("Sum","5802 Value Entry","17 Sales Amount (Actual)","41 Source Type",$C$5,"5 Source no.",$C2313,"4 Item Ledger Entry Type",$C$4,"2 Item No.","@@"&amp;$F2313,"3 Posting Date",U$9)</t>
  </si>
  <si>
    <t>=-NL("Sum","5802 Value Entry","151 Cost Amount (Expected)","41 Source Type",$C$5,"5 Source No.",$C2313,"4 Item Ledger Entry Type",$C$4,"2 Item No.","@@"&amp;$F2313,"3 Posting Date",U$9)-NL("Sum","5802 Value Entry","43 Cost Amount (Actual)","41 Source Type",$C$5,"5 Source no.",$C2313,"4 Item Ledger Entry Type",$C$4,"2 Item No.","@@"&amp;$F2313,"3 Posting Date",U$9)</t>
  </si>
  <si>
    <t>=U2313-W2313</t>
  </si>
  <si>
    <t>=IF(U2313&lt;&gt;0,X2313/U2313,"")</t>
  </si>
  <si>
    <t>=NL("Sum","5802 Value Entry","150 Sales Amount (Expected)","41 Source Type",$C$5,"5 Source No.",$C2313,"4 Item Ledger Entry Type",$C$4,"2 Item No.","@@"&amp;$F2313,"3 Posting Date",Z$9)+NL("Sum","5802 Value Entry","17 Sales Amount (Actual)","41 Source Type",$C$5,"5 Source no.",$C2313,"4 Item Ledger Entry Type",$C$4,"2 Item No.","@@"&amp;$F2313,"3 Posting Date",Z$9)</t>
  </si>
  <si>
    <t>=-NL("Sum","5802 Value Entry","151 Cost Amount (Expected)","41 Source Type",$C$5,"5 Source No.",$C2313,"4 Item Ledger Entry Type",$C$4,"2 Item No.","@@"&amp;$F2313,"3 Posting Date",Z$9)-NL("Sum","5802 Value Entry","43 Cost Amount (Actual)","41 Source Type",$C$5,"5 Source no.",$C2313,"4 Item Ledger Entry Type",$C$4,"2 Item No.","@@"&amp;$F2313,"3 Posting Date",Z$9)</t>
  </si>
  <si>
    <t>=Z2313-AB2313</t>
  </si>
  <si>
    <t>=IF(Z2313&lt;&gt;0,AC2313/Z2313,"")</t>
  </si>
  <si>
    <t>=C2313</t>
  </si>
  <si>
    <t>=NL("Sum","5802 Value Entry","150 Sales Amount (Expected)","41 Source Type",$C$5,"5 Source No.",$C2314,"4 Item Ledger Entry Type",$C$4,"2 Item No.","@@"&amp;$F2314,"3 Posting Date",J$9)+NL("Sum","5802 Value Entry","17 Sales Amount (Actual)","41 Source Type",$C$5,"5 Source no.",$C2314,"4 Item Ledger Entry Type",$C$4,"2 Item No.","@@"&amp;$F2314,"3 Posting Date",J$9)</t>
  </si>
  <si>
    <t>=-NL("Sum","5802 Value Entry","151 Cost Amount (Expected)","41 Source Type",$C$5,"5 Source No.",$C2314,"4 Item Ledger Entry Type",$C$4,"2 Item No.","@@"&amp;$F2314,"3 Posting Date",J$9)-NL("Sum","5802 Value Entry","43 Cost Amount (Actual)","41 Source Type",$C$5,"5 Source no.",$C2314,"4 Item Ledger Entry Type",$C$4,"2 Item No.","@@"&amp;$F2314,"3 Posting Date",J$9)</t>
  </si>
  <si>
    <t>=J2314-L2314</t>
  </si>
  <si>
    <t>=IF(J2314&lt;&gt;0,M2314/J2314,"")</t>
  </si>
  <si>
    <t>=NL("Sum","5802 Value Entry","150 Sales Amount (Expected)","41 Source Type",$C$5,"5 Source No.",$C2314,"4 Item Ledger Entry Type",$C$4,"2 Item No.","@@"&amp;$F2314,"3 Posting Date",O$9)+NL("Sum","5802 Value Entry","17 Sales Amount (Actual)","41 Source Type",$C$5,"5 Source no.",$C2314,"4 Item Ledger Entry Type",$C$4,"2 Item No.","@@"&amp;$F2314,"3 Posting Date",O$9)</t>
  </si>
  <si>
    <t>=-NL("Sum","5802 Value Entry","151 Cost Amount (Expected)","41 Source Type",$C$5,"5 Source No.",$C2314,"4 Item Ledger Entry Type",$C$4,"2 Item No.","@@"&amp;$F2314,"3 Posting Date",O$9)-NL("Sum","5802 Value Entry","43 Cost Amount (Actual)","41 Source Type",$C$5,"5 Source no.",$C2314,"4 Item Ledger Entry Type",$C$4,"2 Item No.","@@"&amp;$F2314,"3 Posting Date",O$9)</t>
  </si>
  <si>
    <t>=O2314-Q2314</t>
  </si>
  <si>
    <t>=IF(O2314&lt;&gt;0,R2314/O2314,"")</t>
  </si>
  <si>
    <t>=NL("Sum","5802 Value Entry","150 Sales Amount (Expected)","41 Source Type",$C$5,"5 Source No.",$C2314,"4 Item Ledger Entry Type",$C$4,"2 Item No.","@@"&amp;$F2314,"3 Posting Date",U$9)+NL("Sum","5802 Value Entry","17 Sales Amount (Actual)","41 Source Type",$C$5,"5 Source no.",$C2314,"4 Item Ledger Entry Type",$C$4,"2 Item No.","@@"&amp;$F2314,"3 Posting Date",U$9)</t>
  </si>
  <si>
    <t>=-NL("Sum","5802 Value Entry","151 Cost Amount (Expected)","41 Source Type",$C$5,"5 Source No.",$C2314,"4 Item Ledger Entry Type",$C$4,"2 Item No.","@@"&amp;$F2314,"3 Posting Date",U$9)-NL("Sum","5802 Value Entry","43 Cost Amount (Actual)","41 Source Type",$C$5,"5 Source no.",$C2314,"4 Item Ledger Entry Type",$C$4,"2 Item No.","@@"&amp;$F2314,"3 Posting Date",U$9)</t>
  </si>
  <si>
    <t>=U2314-W2314</t>
  </si>
  <si>
    <t>=IF(U2314&lt;&gt;0,X2314/U2314,"")</t>
  </si>
  <si>
    <t>=NL("Sum","5802 Value Entry","150 Sales Amount (Expected)","41 Source Type",$C$5,"5 Source No.",$C2314,"4 Item Ledger Entry Type",$C$4,"2 Item No.","@@"&amp;$F2314,"3 Posting Date",Z$9)+NL("Sum","5802 Value Entry","17 Sales Amount (Actual)","41 Source Type",$C$5,"5 Source no.",$C2314,"4 Item Ledger Entry Type",$C$4,"2 Item No.","@@"&amp;$F2314,"3 Posting Date",Z$9)</t>
  </si>
  <si>
    <t>=-NL("Sum","5802 Value Entry","151 Cost Amount (Expected)","41 Source Type",$C$5,"5 Source No.",$C2314,"4 Item Ledger Entry Type",$C$4,"2 Item No.","@@"&amp;$F2314,"3 Posting Date",Z$9)-NL("Sum","5802 Value Entry","43 Cost Amount (Actual)","41 Source Type",$C$5,"5 Source no.",$C2314,"4 Item Ledger Entry Type",$C$4,"2 Item No.","@@"&amp;$F2314,"3 Posting Date",Z$9)</t>
  </si>
  <si>
    <t>=Z2314-AB2314</t>
  </si>
  <si>
    <t>=IF(Z2314&lt;&gt;0,AC2314/Z2314,"")</t>
  </si>
  <si>
    <t>=C2314</t>
  </si>
  <si>
    <t>=NL("Sum","5802 Value Entry","150 Sales Amount (Expected)","41 Source Type",$C$5,"5 Source No.",$C2315,"4 Item Ledger Entry Type",$C$4,"2 Item No.","@@"&amp;$F2315,"3 Posting Date",J$9)+NL("Sum","5802 Value Entry","17 Sales Amount (Actual)","41 Source Type",$C$5,"5 Source no.",$C2315,"4 Item Ledger Entry Type",$C$4,"2 Item No.","@@"&amp;$F2315,"3 Posting Date",J$9)</t>
  </si>
  <si>
    <t>=-NL("Sum","5802 Value Entry","151 Cost Amount (Expected)","41 Source Type",$C$5,"5 Source No.",$C2315,"4 Item Ledger Entry Type",$C$4,"2 Item No.","@@"&amp;$F2315,"3 Posting Date",J$9)-NL("Sum","5802 Value Entry","43 Cost Amount (Actual)","41 Source Type",$C$5,"5 Source no.",$C2315,"4 Item Ledger Entry Type",$C$4,"2 Item No.","@@"&amp;$F2315,"3 Posting Date",J$9)</t>
  </si>
  <si>
    <t>=J2315-L2315</t>
  </si>
  <si>
    <t>=IF(J2315&lt;&gt;0,M2315/J2315,"")</t>
  </si>
  <si>
    <t>=NL("Sum","5802 Value Entry","150 Sales Amount (Expected)","41 Source Type",$C$5,"5 Source No.",$C2315,"4 Item Ledger Entry Type",$C$4,"2 Item No.","@@"&amp;$F2315,"3 Posting Date",O$9)+NL("Sum","5802 Value Entry","17 Sales Amount (Actual)","41 Source Type",$C$5,"5 Source no.",$C2315,"4 Item Ledger Entry Type",$C$4,"2 Item No.","@@"&amp;$F2315,"3 Posting Date",O$9)</t>
  </si>
  <si>
    <t>=-NL("Sum","5802 Value Entry","151 Cost Amount (Expected)","41 Source Type",$C$5,"5 Source No.",$C2315,"4 Item Ledger Entry Type",$C$4,"2 Item No.","@@"&amp;$F2315,"3 Posting Date",O$9)-NL("Sum","5802 Value Entry","43 Cost Amount (Actual)","41 Source Type",$C$5,"5 Source no.",$C2315,"4 Item Ledger Entry Type",$C$4,"2 Item No.","@@"&amp;$F2315,"3 Posting Date",O$9)</t>
  </si>
  <si>
    <t>=O2315-Q2315</t>
  </si>
  <si>
    <t>=IF(O2315&lt;&gt;0,R2315/O2315,"")</t>
  </si>
  <si>
    <t>=NL("Sum","5802 Value Entry","150 Sales Amount (Expected)","41 Source Type",$C$5,"5 Source No.",$C2315,"4 Item Ledger Entry Type",$C$4,"2 Item No.","@@"&amp;$F2315,"3 Posting Date",U$9)+NL("Sum","5802 Value Entry","17 Sales Amount (Actual)","41 Source Type",$C$5,"5 Source no.",$C2315,"4 Item Ledger Entry Type",$C$4,"2 Item No.","@@"&amp;$F2315,"3 Posting Date",U$9)</t>
  </si>
  <si>
    <t>=-NL("Sum","5802 Value Entry","151 Cost Amount (Expected)","41 Source Type",$C$5,"5 Source No.",$C2315,"4 Item Ledger Entry Type",$C$4,"2 Item No.","@@"&amp;$F2315,"3 Posting Date",U$9)-NL("Sum","5802 Value Entry","43 Cost Amount (Actual)","41 Source Type",$C$5,"5 Source no.",$C2315,"4 Item Ledger Entry Type",$C$4,"2 Item No.","@@"&amp;$F2315,"3 Posting Date",U$9)</t>
  </si>
  <si>
    <t>=U2315-W2315</t>
  </si>
  <si>
    <t>=IF(U2315&lt;&gt;0,X2315/U2315,"")</t>
  </si>
  <si>
    <t>=NL("Sum","5802 Value Entry","150 Sales Amount (Expected)","41 Source Type",$C$5,"5 Source No.",$C2315,"4 Item Ledger Entry Type",$C$4,"2 Item No.","@@"&amp;$F2315,"3 Posting Date",Z$9)+NL("Sum","5802 Value Entry","17 Sales Amount (Actual)","41 Source Type",$C$5,"5 Source no.",$C2315,"4 Item Ledger Entry Type",$C$4,"2 Item No.","@@"&amp;$F2315,"3 Posting Date",Z$9)</t>
  </si>
  <si>
    <t>=-NL("Sum","5802 Value Entry","151 Cost Amount (Expected)","41 Source Type",$C$5,"5 Source No.",$C2315,"4 Item Ledger Entry Type",$C$4,"2 Item No.","@@"&amp;$F2315,"3 Posting Date",Z$9)-NL("Sum","5802 Value Entry","43 Cost Amount (Actual)","41 Source Type",$C$5,"5 Source no.",$C2315,"4 Item Ledger Entry Type",$C$4,"2 Item No.","@@"&amp;$F2315,"3 Posting Date",Z$9)</t>
  </si>
  <si>
    <t>=Z2315-AB2315</t>
  </si>
  <si>
    <t>=IF(Z2315&lt;&gt;0,AC2315/Z2315,"")</t>
  </si>
  <si>
    <t>=C2315</t>
  </si>
  <si>
    <t>=NL("Sum","5802 Value Entry","150 Sales Amount (Expected)","41 Source Type",$C$5,"5 Source No.",$C2316,"4 Item Ledger Entry Type",$C$4,"2 Item No.","@@"&amp;$F2316,"3 Posting Date",J$9)+NL("Sum","5802 Value Entry","17 Sales Amount (Actual)","41 Source Type",$C$5,"5 Source no.",$C2316,"4 Item Ledger Entry Type",$C$4,"2 Item No.","@@"&amp;$F2316,"3 Posting Date",J$9)</t>
  </si>
  <si>
    <t>=-NL("Sum","5802 Value Entry","151 Cost Amount (Expected)","41 Source Type",$C$5,"5 Source No.",$C2316,"4 Item Ledger Entry Type",$C$4,"2 Item No.","@@"&amp;$F2316,"3 Posting Date",J$9)-NL("Sum","5802 Value Entry","43 Cost Amount (Actual)","41 Source Type",$C$5,"5 Source no.",$C2316,"4 Item Ledger Entry Type",$C$4,"2 Item No.","@@"&amp;$F2316,"3 Posting Date",J$9)</t>
  </si>
  <si>
    <t>=J2316-L2316</t>
  </si>
  <si>
    <t>=IF(J2316&lt;&gt;0,M2316/J2316,"")</t>
  </si>
  <si>
    <t>=NL("Sum","5802 Value Entry","150 Sales Amount (Expected)","41 Source Type",$C$5,"5 Source No.",$C2316,"4 Item Ledger Entry Type",$C$4,"2 Item No.","@@"&amp;$F2316,"3 Posting Date",O$9)+NL("Sum","5802 Value Entry","17 Sales Amount (Actual)","41 Source Type",$C$5,"5 Source no.",$C2316,"4 Item Ledger Entry Type",$C$4,"2 Item No.","@@"&amp;$F2316,"3 Posting Date",O$9)</t>
  </si>
  <si>
    <t>=-NL("Sum","5802 Value Entry","151 Cost Amount (Expected)","41 Source Type",$C$5,"5 Source No.",$C2316,"4 Item Ledger Entry Type",$C$4,"2 Item No.","@@"&amp;$F2316,"3 Posting Date",O$9)-NL("Sum","5802 Value Entry","43 Cost Amount (Actual)","41 Source Type",$C$5,"5 Source no.",$C2316,"4 Item Ledger Entry Type",$C$4,"2 Item No.","@@"&amp;$F2316,"3 Posting Date",O$9)</t>
  </si>
  <si>
    <t>=O2316-Q2316</t>
  </si>
  <si>
    <t>=IF(O2316&lt;&gt;0,R2316/O2316,"")</t>
  </si>
  <si>
    <t>=NL("Sum","5802 Value Entry","150 Sales Amount (Expected)","41 Source Type",$C$5,"5 Source No.",$C2316,"4 Item Ledger Entry Type",$C$4,"2 Item No.","@@"&amp;$F2316,"3 Posting Date",U$9)+NL("Sum","5802 Value Entry","17 Sales Amount (Actual)","41 Source Type",$C$5,"5 Source no.",$C2316,"4 Item Ledger Entry Type",$C$4,"2 Item No.","@@"&amp;$F2316,"3 Posting Date",U$9)</t>
  </si>
  <si>
    <t>=-NL("Sum","5802 Value Entry","151 Cost Amount (Expected)","41 Source Type",$C$5,"5 Source No.",$C2316,"4 Item Ledger Entry Type",$C$4,"2 Item No.","@@"&amp;$F2316,"3 Posting Date",U$9)-NL("Sum","5802 Value Entry","43 Cost Amount (Actual)","41 Source Type",$C$5,"5 Source no.",$C2316,"4 Item Ledger Entry Type",$C$4,"2 Item No.","@@"&amp;$F2316,"3 Posting Date",U$9)</t>
  </si>
  <si>
    <t>=U2316-W2316</t>
  </si>
  <si>
    <t>=IF(U2316&lt;&gt;0,X2316/U2316,"")</t>
  </si>
  <si>
    <t>=NL("Sum","5802 Value Entry","150 Sales Amount (Expected)","41 Source Type",$C$5,"5 Source No.",$C2316,"4 Item Ledger Entry Type",$C$4,"2 Item No.","@@"&amp;$F2316,"3 Posting Date",Z$9)+NL("Sum","5802 Value Entry","17 Sales Amount (Actual)","41 Source Type",$C$5,"5 Source no.",$C2316,"4 Item Ledger Entry Type",$C$4,"2 Item No.","@@"&amp;$F2316,"3 Posting Date",Z$9)</t>
  </si>
  <si>
    <t>=-NL("Sum","5802 Value Entry","151 Cost Amount (Expected)","41 Source Type",$C$5,"5 Source No.",$C2316,"4 Item Ledger Entry Type",$C$4,"2 Item No.","@@"&amp;$F2316,"3 Posting Date",Z$9)-NL("Sum","5802 Value Entry","43 Cost Amount (Actual)","41 Source Type",$C$5,"5 Source no.",$C2316,"4 Item Ledger Entry Type",$C$4,"2 Item No.","@@"&amp;$F2316,"3 Posting Date",Z$9)</t>
  </si>
  <si>
    <t>=Z2316-AB2316</t>
  </si>
  <si>
    <t>=IF(Z2316&lt;&gt;0,AC2316/Z2316,"")</t>
  </si>
  <si>
    <t>=C2316</t>
  </si>
  <si>
    <t>=NL("Sum","5802 Value Entry","150 Sales Amount (Expected)","41 Source Type",$C$5,"5 Source No.",$C2317,"4 Item Ledger Entry Type",$C$4,"2 Item No.","@@"&amp;$F2317,"3 Posting Date",J$9)+NL("Sum","5802 Value Entry","17 Sales Amount (Actual)","41 Source Type",$C$5,"5 Source no.",$C2317,"4 Item Ledger Entry Type",$C$4,"2 Item No.","@@"&amp;$F2317,"3 Posting Date",J$9)</t>
  </si>
  <si>
    <t>=-NL("Sum","5802 Value Entry","151 Cost Amount (Expected)","41 Source Type",$C$5,"5 Source No.",$C2317,"4 Item Ledger Entry Type",$C$4,"2 Item No.","@@"&amp;$F2317,"3 Posting Date",J$9)-NL("Sum","5802 Value Entry","43 Cost Amount (Actual)","41 Source Type",$C$5,"5 Source no.",$C2317,"4 Item Ledger Entry Type",$C$4,"2 Item No.","@@"&amp;$F2317,"3 Posting Date",J$9)</t>
  </si>
  <si>
    <t>=J2317-L2317</t>
  </si>
  <si>
    <t>=IF(J2317&lt;&gt;0,M2317/J2317,"")</t>
  </si>
  <si>
    <t>=NL("Sum","5802 Value Entry","150 Sales Amount (Expected)","41 Source Type",$C$5,"5 Source No.",$C2317,"4 Item Ledger Entry Type",$C$4,"2 Item No.","@@"&amp;$F2317,"3 Posting Date",O$9)+NL("Sum","5802 Value Entry","17 Sales Amount (Actual)","41 Source Type",$C$5,"5 Source no.",$C2317,"4 Item Ledger Entry Type",$C$4,"2 Item No.","@@"&amp;$F2317,"3 Posting Date",O$9)</t>
  </si>
  <si>
    <t>=-NL("Sum","5802 Value Entry","151 Cost Amount (Expected)","41 Source Type",$C$5,"5 Source No.",$C2317,"4 Item Ledger Entry Type",$C$4,"2 Item No.","@@"&amp;$F2317,"3 Posting Date",O$9)-NL("Sum","5802 Value Entry","43 Cost Amount (Actual)","41 Source Type",$C$5,"5 Source no.",$C2317,"4 Item Ledger Entry Type",$C$4,"2 Item No.","@@"&amp;$F2317,"3 Posting Date",O$9)</t>
  </si>
  <si>
    <t>=O2317-Q2317</t>
  </si>
  <si>
    <t>=IF(O2317&lt;&gt;0,R2317/O2317,"")</t>
  </si>
  <si>
    <t>=NL("Sum","5802 Value Entry","150 Sales Amount (Expected)","41 Source Type",$C$5,"5 Source No.",$C2317,"4 Item Ledger Entry Type",$C$4,"2 Item No.","@@"&amp;$F2317,"3 Posting Date",U$9)+NL("Sum","5802 Value Entry","17 Sales Amount (Actual)","41 Source Type",$C$5,"5 Source no.",$C2317,"4 Item Ledger Entry Type",$C$4,"2 Item No.","@@"&amp;$F2317,"3 Posting Date",U$9)</t>
  </si>
  <si>
    <t>=-NL("Sum","5802 Value Entry","151 Cost Amount (Expected)","41 Source Type",$C$5,"5 Source No.",$C2317,"4 Item Ledger Entry Type",$C$4,"2 Item No.","@@"&amp;$F2317,"3 Posting Date",U$9)-NL("Sum","5802 Value Entry","43 Cost Amount (Actual)","41 Source Type",$C$5,"5 Source no.",$C2317,"4 Item Ledger Entry Type",$C$4,"2 Item No.","@@"&amp;$F2317,"3 Posting Date",U$9)</t>
  </si>
  <si>
    <t>=U2317-W2317</t>
  </si>
  <si>
    <t>=IF(U2317&lt;&gt;0,X2317/U2317,"")</t>
  </si>
  <si>
    <t>=NL("Sum","5802 Value Entry","150 Sales Amount (Expected)","41 Source Type",$C$5,"5 Source No.",$C2317,"4 Item Ledger Entry Type",$C$4,"2 Item No.","@@"&amp;$F2317,"3 Posting Date",Z$9)+NL("Sum","5802 Value Entry","17 Sales Amount (Actual)","41 Source Type",$C$5,"5 Source no.",$C2317,"4 Item Ledger Entry Type",$C$4,"2 Item No.","@@"&amp;$F2317,"3 Posting Date",Z$9)</t>
  </si>
  <si>
    <t>=-NL("Sum","5802 Value Entry","151 Cost Amount (Expected)","41 Source Type",$C$5,"5 Source No.",$C2317,"4 Item Ledger Entry Type",$C$4,"2 Item No.","@@"&amp;$F2317,"3 Posting Date",Z$9)-NL("Sum","5802 Value Entry","43 Cost Amount (Actual)","41 Source Type",$C$5,"5 Source no.",$C2317,"4 Item Ledger Entry Type",$C$4,"2 Item No.","@@"&amp;$F2317,"3 Posting Date",Z$9)</t>
  </si>
  <si>
    <t>=Z2317-AB2317</t>
  </si>
  <si>
    <t>=IF(Z2317&lt;&gt;0,AC2317/Z2317,"")</t>
  </si>
  <si>
    <t>=C2317</t>
  </si>
  <si>
    <t>=NL("Sum","5802 Value Entry","150 Sales Amount (Expected)","41 Source Type",$C$5,"5 Source No.",$C2318,"4 Item Ledger Entry Type",$C$4,"2 Item No.","@@"&amp;$F2318,"3 Posting Date",J$9)+NL("Sum","5802 Value Entry","17 Sales Amount (Actual)","41 Source Type",$C$5,"5 Source no.",$C2318,"4 Item Ledger Entry Type",$C$4,"2 Item No.","@@"&amp;$F2318,"3 Posting Date",J$9)</t>
  </si>
  <si>
    <t>=-NL("Sum","5802 Value Entry","151 Cost Amount (Expected)","41 Source Type",$C$5,"5 Source No.",$C2318,"4 Item Ledger Entry Type",$C$4,"2 Item No.","@@"&amp;$F2318,"3 Posting Date",J$9)-NL("Sum","5802 Value Entry","43 Cost Amount (Actual)","41 Source Type",$C$5,"5 Source no.",$C2318,"4 Item Ledger Entry Type",$C$4,"2 Item No.","@@"&amp;$F2318,"3 Posting Date",J$9)</t>
  </si>
  <si>
    <t>=J2318-L2318</t>
  </si>
  <si>
    <t>=IF(J2318&lt;&gt;0,M2318/J2318,"")</t>
  </si>
  <si>
    <t>=NL("Sum","5802 Value Entry","150 Sales Amount (Expected)","41 Source Type",$C$5,"5 Source No.",$C2318,"4 Item Ledger Entry Type",$C$4,"2 Item No.","@@"&amp;$F2318,"3 Posting Date",O$9)+NL("Sum","5802 Value Entry","17 Sales Amount (Actual)","41 Source Type",$C$5,"5 Source no.",$C2318,"4 Item Ledger Entry Type",$C$4,"2 Item No.","@@"&amp;$F2318,"3 Posting Date",O$9)</t>
  </si>
  <si>
    <t>=-NL("Sum","5802 Value Entry","151 Cost Amount (Expected)","41 Source Type",$C$5,"5 Source No.",$C2318,"4 Item Ledger Entry Type",$C$4,"2 Item No.","@@"&amp;$F2318,"3 Posting Date",O$9)-NL("Sum","5802 Value Entry","43 Cost Amount (Actual)","41 Source Type",$C$5,"5 Source no.",$C2318,"4 Item Ledger Entry Type",$C$4,"2 Item No.","@@"&amp;$F2318,"3 Posting Date",O$9)</t>
  </si>
  <si>
    <t>=O2318-Q2318</t>
  </si>
  <si>
    <t>=IF(O2318&lt;&gt;0,R2318/O2318,"")</t>
  </si>
  <si>
    <t>=NL("Sum","5802 Value Entry","150 Sales Amount (Expected)","41 Source Type",$C$5,"5 Source No.",$C2318,"4 Item Ledger Entry Type",$C$4,"2 Item No.","@@"&amp;$F2318,"3 Posting Date",U$9)+NL("Sum","5802 Value Entry","17 Sales Amount (Actual)","41 Source Type",$C$5,"5 Source no.",$C2318,"4 Item Ledger Entry Type",$C$4,"2 Item No.","@@"&amp;$F2318,"3 Posting Date",U$9)</t>
  </si>
  <si>
    <t>=-NL("Sum","5802 Value Entry","151 Cost Amount (Expected)","41 Source Type",$C$5,"5 Source No.",$C2318,"4 Item Ledger Entry Type",$C$4,"2 Item No.","@@"&amp;$F2318,"3 Posting Date",U$9)-NL("Sum","5802 Value Entry","43 Cost Amount (Actual)","41 Source Type",$C$5,"5 Source no.",$C2318,"4 Item Ledger Entry Type",$C$4,"2 Item No.","@@"&amp;$F2318,"3 Posting Date",U$9)</t>
  </si>
  <si>
    <t>=U2318-W2318</t>
  </si>
  <si>
    <t>=IF(U2318&lt;&gt;0,X2318/U2318,"")</t>
  </si>
  <si>
    <t>=NL("Sum","5802 Value Entry","150 Sales Amount (Expected)","41 Source Type",$C$5,"5 Source No.",$C2318,"4 Item Ledger Entry Type",$C$4,"2 Item No.","@@"&amp;$F2318,"3 Posting Date",Z$9)+NL("Sum","5802 Value Entry","17 Sales Amount (Actual)","41 Source Type",$C$5,"5 Source no.",$C2318,"4 Item Ledger Entry Type",$C$4,"2 Item No.","@@"&amp;$F2318,"3 Posting Date",Z$9)</t>
  </si>
  <si>
    <t>=-NL("Sum","5802 Value Entry","151 Cost Amount (Expected)","41 Source Type",$C$5,"5 Source No.",$C2318,"4 Item Ledger Entry Type",$C$4,"2 Item No.","@@"&amp;$F2318,"3 Posting Date",Z$9)-NL("Sum","5802 Value Entry","43 Cost Amount (Actual)","41 Source Type",$C$5,"5 Source no.",$C2318,"4 Item Ledger Entry Type",$C$4,"2 Item No.","@@"&amp;$F2318,"3 Posting Date",Z$9)</t>
  </si>
  <si>
    <t>=Z2318-AB2318</t>
  </si>
  <si>
    <t>=IF(Z2318&lt;&gt;0,AC2318/Z2318,"")</t>
  </si>
  <si>
    <t>=C2318</t>
  </si>
  <si>
    <t>=NL("Sum","5802 Value Entry","150 Sales Amount (Expected)","41 Source Type",$C$5,"5 Source No.",$C2319,"4 Item Ledger Entry Type",$C$4,"2 Item No.","@@"&amp;$F2319,"3 Posting Date",J$9)+NL("Sum","5802 Value Entry","17 Sales Amount (Actual)","41 Source Type",$C$5,"5 Source no.",$C2319,"4 Item Ledger Entry Type",$C$4,"2 Item No.","@@"&amp;$F2319,"3 Posting Date",J$9)</t>
  </si>
  <si>
    <t>=-NL("Sum","5802 Value Entry","151 Cost Amount (Expected)","41 Source Type",$C$5,"5 Source No.",$C2319,"4 Item Ledger Entry Type",$C$4,"2 Item No.","@@"&amp;$F2319,"3 Posting Date",J$9)-NL("Sum","5802 Value Entry","43 Cost Amount (Actual)","41 Source Type",$C$5,"5 Source no.",$C2319,"4 Item Ledger Entry Type",$C$4,"2 Item No.","@@"&amp;$F2319,"3 Posting Date",J$9)</t>
  </si>
  <si>
    <t>=J2319-L2319</t>
  </si>
  <si>
    <t>=IF(J2319&lt;&gt;0,M2319/J2319,"")</t>
  </si>
  <si>
    <t>=NL("Sum","5802 Value Entry","150 Sales Amount (Expected)","41 Source Type",$C$5,"5 Source No.",$C2319,"4 Item Ledger Entry Type",$C$4,"2 Item No.","@@"&amp;$F2319,"3 Posting Date",O$9)+NL("Sum","5802 Value Entry","17 Sales Amount (Actual)","41 Source Type",$C$5,"5 Source no.",$C2319,"4 Item Ledger Entry Type",$C$4,"2 Item No.","@@"&amp;$F2319,"3 Posting Date",O$9)</t>
  </si>
  <si>
    <t>=-NL("Sum","5802 Value Entry","151 Cost Amount (Expected)","41 Source Type",$C$5,"5 Source No.",$C2319,"4 Item Ledger Entry Type",$C$4,"2 Item No.","@@"&amp;$F2319,"3 Posting Date",O$9)-NL("Sum","5802 Value Entry","43 Cost Amount (Actual)","41 Source Type",$C$5,"5 Source no.",$C2319,"4 Item Ledger Entry Type",$C$4,"2 Item No.","@@"&amp;$F2319,"3 Posting Date",O$9)</t>
  </si>
  <si>
    <t>=O2319-Q2319</t>
  </si>
  <si>
    <t>=IF(O2319&lt;&gt;0,R2319/O2319,"")</t>
  </si>
  <si>
    <t>=NL("Sum","5802 Value Entry","150 Sales Amount (Expected)","41 Source Type",$C$5,"5 Source No.",$C2319,"4 Item Ledger Entry Type",$C$4,"2 Item No.","@@"&amp;$F2319,"3 Posting Date",U$9)+NL("Sum","5802 Value Entry","17 Sales Amount (Actual)","41 Source Type",$C$5,"5 Source no.",$C2319,"4 Item Ledger Entry Type",$C$4,"2 Item No.","@@"&amp;$F2319,"3 Posting Date",U$9)</t>
  </si>
  <si>
    <t>=-NL("Sum","5802 Value Entry","151 Cost Amount (Expected)","41 Source Type",$C$5,"5 Source No.",$C2319,"4 Item Ledger Entry Type",$C$4,"2 Item No.","@@"&amp;$F2319,"3 Posting Date",U$9)-NL("Sum","5802 Value Entry","43 Cost Amount (Actual)","41 Source Type",$C$5,"5 Source no.",$C2319,"4 Item Ledger Entry Type",$C$4,"2 Item No.","@@"&amp;$F2319,"3 Posting Date",U$9)</t>
  </si>
  <si>
    <t>=U2319-W2319</t>
  </si>
  <si>
    <t>=IF(U2319&lt;&gt;0,X2319/U2319,"")</t>
  </si>
  <si>
    <t>=NL("Sum","5802 Value Entry","150 Sales Amount (Expected)","41 Source Type",$C$5,"5 Source No.",$C2319,"4 Item Ledger Entry Type",$C$4,"2 Item No.","@@"&amp;$F2319,"3 Posting Date",Z$9)+NL("Sum","5802 Value Entry","17 Sales Amount (Actual)","41 Source Type",$C$5,"5 Source no.",$C2319,"4 Item Ledger Entry Type",$C$4,"2 Item No.","@@"&amp;$F2319,"3 Posting Date",Z$9)</t>
  </si>
  <si>
    <t>=-NL("Sum","5802 Value Entry","151 Cost Amount (Expected)","41 Source Type",$C$5,"5 Source No.",$C2319,"4 Item Ledger Entry Type",$C$4,"2 Item No.","@@"&amp;$F2319,"3 Posting Date",Z$9)-NL("Sum","5802 Value Entry","43 Cost Amount (Actual)","41 Source Type",$C$5,"5 Source no.",$C2319,"4 Item Ledger Entry Type",$C$4,"2 Item No.","@@"&amp;$F2319,"3 Posting Date",Z$9)</t>
  </si>
  <si>
    <t>=Z2319-AB2319</t>
  </si>
  <si>
    <t>=IF(Z2319&lt;&gt;0,AC2319/Z2319,"")</t>
  </si>
  <si>
    <t>=C2319</t>
  </si>
  <si>
    <t>=NL("Sum","5802 Value Entry","150 Sales Amount (Expected)","41 Source Type",$C$5,"5 Source No.",$C2320,"4 Item Ledger Entry Type",$C$4,"2 Item No.","@@"&amp;$F2320,"3 Posting Date",J$9)+NL("Sum","5802 Value Entry","17 Sales Amount (Actual)","41 Source Type",$C$5,"5 Source no.",$C2320,"4 Item Ledger Entry Type",$C$4,"2 Item No.","@@"&amp;$F2320,"3 Posting Date",J$9)</t>
  </si>
  <si>
    <t>=-NL("Sum","5802 Value Entry","151 Cost Amount (Expected)","41 Source Type",$C$5,"5 Source No.",$C2320,"4 Item Ledger Entry Type",$C$4,"2 Item No.","@@"&amp;$F2320,"3 Posting Date",J$9)-NL("Sum","5802 Value Entry","43 Cost Amount (Actual)","41 Source Type",$C$5,"5 Source no.",$C2320,"4 Item Ledger Entry Type",$C$4,"2 Item No.","@@"&amp;$F2320,"3 Posting Date",J$9)</t>
  </si>
  <si>
    <t>=J2320-L2320</t>
  </si>
  <si>
    <t>=IF(J2320&lt;&gt;0,M2320/J2320,"")</t>
  </si>
  <si>
    <t>=NL("Sum","5802 Value Entry","150 Sales Amount (Expected)","41 Source Type",$C$5,"5 Source No.",$C2320,"4 Item Ledger Entry Type",$C$4,"2 Item No.","@@"&amp;$F2320,"3 Posting Date",O$9)+NL("Sum","5802 Value Entry","17 Sales Amount (Actual)","41 Source Type",$C$5,"5 Source no.",$C2320,"4 Item Ledger Entry Type",$C$4,"2 Item No.","@@"&amp;$F2320,"3 Posting Date",O$9)</t>
  </si>
  <si>
    <t>=-NL("Sum","5802 Value Entry","151 Cost Amount (Expected)","41 Source Type",$C$5,"5 Source No.",$C2320,"4 Item Ledger Entry Type",$C$4,"2 Item No.","@@"&amp;$F2320,"3 Posting Date",O$9)-NL("Sum","5802 Value Entry","43 Cost Amount (Actual)","41 Source Type",$C$5,"5 Source no.",$C2320,"4 Item Ledger Entry Type",$C$4,"2 Item No.","@@"&amp;$F2320,"3 Posting Date",O$9)</t>
  </si>
  <si>
    <t>=O2320-Q2320</t>
  </si>
  <si>
    <t>=IF(O2320&lt;&gt;0,R2320/O2320,"")</t>
  </si>
  <si>
    <t>=NL("Sum","5802 Value Entry","150 Sales Amount (Expected)","41 Source Type",$C$5,"5 Source No.",$C2320,"4 Item Ledger Entry Type",$C$4,"2 Item No.","@@"&amp;$F2320,"3 Posting Date",U$9)+NL("Sum","5802 Value Entry","17 Sales Amount (Actual)","41 Source Type",$C$5,"5 Source no.",$C2320,"4 Item Ledger Entry Type",$C$4,"2 Item No.","@@"&amp;$F2320,"3 Posting Date",U$9)</t>
  </si>
  <si>
    <t>=-NL("Sum","5802 Value Entry","151 Cost Amount (Expected)","41 Source Type",$C$5,"5 Source No.",$C2320,"4 Item Ledger Entry Type",$C$4,"2 Item No.","@@"&amp;$F2320,"3 Posting Date",U$9)-NL("Sum","5802 Value Entry","43 Cost Amount (Actual)","41 Source Type",$C$5,"5 Source no.",$C2320,"4 Item Ledger Entry Type",$C$4,"2 Item No.","@@"&amp;$F2320,"3 Posting Date",U$9)</t>
  </si>
  <si>
    <t>=U2320-W2320</t>
  </si>
  <si>
    <t>=IF(U2320&lt;&gt;0,X2320/U2320,"")</t>
  </si>
  <si>
    <t>=NL("Sum","5802 Value Entry","150 Sales Amount (Expected)","41 Source Type",$C$5,"5 Source No.",$C2320,"4 Item Ledger Entry Type",$C$4,"2 Item No.","@@"&amp;$F2320,"3 Posting Date",Z$9)+NL("Sum","5802 Value Entry","17 Sales Amount (Actual)","41 Source Type",$C$5,"5 Source no.",$C2320,"4 Item Ledger Entry Type",$C$4,"2 Item No.","@@"&amp;$F2320,"3 Posting Date",Z$9)</t>
  </si>
  <si>
    <t>=-NL("Sum","5802 Value Entry","151 Cost Amount (Expected)","41 Source Type",$C$5,"5 Source No.",$C2320,"4 Item Ledger Entry Type",$C$4,"2 Item No.","@@"&amp;$F2320,"3 Posting Date",Z$9)-NL("Sum","5802 Value Entry","43 Cost Amount (Actual)","41 Source Type",$C$5,"5 Source no.",$C2320,"4 Item Ledger Entry Type",$C$4,"2 Item No.","@@"&amp;$F2320,"3 Posting Date",Z$9)</t>
  </si>
  <si>
    <t>=Z2320-AB2320</t>
  </si>
  <si>
    <t>=IF(Z2320&lt;&gt;0,AC2320/Z2320,"")</t>
  </si>
  <si>
    <t>=C2320</t>
  </si>
  <si>
    <t>=NL("Sum","5802 Value Entry","150 Sales Amount (Expected)","41 Source Type",$C$5,"5 Source No.",$C2321,"4 Item Ledger Entry Type",$C$4,"2 Item No.","@@"&amp;$F2321,"3 Posting Date",J$9)+NL("Sum","5802 Value Entry","17 Sales Amount (Actual)","41 Source Type",$C$5,"5 Source no.",$C2321,"4 Item Ledger Entry Type",$C$4,"2 Item No.","@@"&amp;$F2321,"3 Posting Date",J$9)</t>
  </si>
  <si>
    <t>=-NL("Sum","5802 Value Entry","151 Cost Amount (Expected)","41 Source Type",$C$5,"5 Source No.",$C2321,"4 Item Ledger Entry Type",$C$4,"2 Item No.","@@"&amp;$F2321,"3 Posting Date",J$9)-NL("Sum","5802 Value Entry","43 Cost Amount (Actual)","41 Source Type",$C$5,"5 Source no.",$C2321,"4 Item Ledger Entry Type",$C$4,"2 Item No.","@@"&amp;$F2321,"3 Posting Date",J$9)</t>
  </si>
  <si>
    <t>=J2321-L2321</t>
  </si>
  <si>
    <t>=IF(J2321&lt;&gt;0,M2321/J2321,"")</t>
  </si>
  <si>
    <t>=NL("Sum","5802 Value Entry","150 Sales Amount (Expected)","41 Source Type",$C$5,"5 Source No.",$C2321,"4 Item Ledger Entry Type",$C$4,"2 Item No.","@@"&amp;$F2321,"3 Posting Date",O$9)+NL("Sum","5802 Value Entry","17 Sales Amount (Actual)","41 Source Type",$C$5,"5 Source no.",$C2321,"4 Item Ledger Entry Type",$C$4,"2 Item No.","@@"&amp;$F2321,"3 Posting Date",O$9)</t>
  </si>
  <si>
    <t>=-NL("Sum","5802 Value Entry","151 Cost Amount (Expected)","41 Source Type",$C$5,"5 Source No.",$C2321,"4 Item Ledger Entry Type",$C$4,"2 Item No.","@@"&amp;$F2321,"3 Posting Date",O$9)-NL("Sum","5802 Value Entry","43 Cost Amount (Actual)","41 Source Type",$C$5,"5 Source no.",$C2321,"4 Item Ledger Entry Type",$C$4,"2 Item No.","@@"&amp;$F2321,"3 Posting Date",O$9)</t>
  </si>
  <si>
    <t>=O2321-Q2321</t>
  </si>
  <si>
    <t>=IF(O2321&lt;&gt;0,R2321/O2321,"")</t>
  </si>
  <si>
    <t>=NL("Sum","5802 Value Entry","150 Sales Amount (Expected)","41 Source Type",$C$5,"5 Source No.",$C2321,"4 Item Ledger Entry Type",$C$4,"2 Item No.","@@"&amp;$F2321,"3 Posting Date",U$9)+NL("Sum","5802 Value Entry","17 Sales Amount (Actual)","41 Source Type",$C$5,"5 Source no.",$C2321,"4 Item Ledger Entry Type",$C$4,"2 Item No.","@@"&amp;$F2321,"3 Posting Date",U$9)</t>
  </si>
  <si>
    <t>=-NL("Sum","5802 Value Entry","151 Cost Amount (Expected)","41 Source Type",$C$5,"5 Source No.",$C2321,"4 Item Ledger Entry Type",$C$4,"2 Item No.","@@"&amp;$F2321,"3 Posting Date",U$9)-NL("Sum","5802 Value Entry","43 Cost Amount (Actual)","41 Source Type",$C$5,"5 Source no.",$C2321,"4 Item Ledger Entry Type",$C$4,"2 Item No.","@@"&amp;$F2321,"3 Posting Date",U$9)</t>
  </si>
  <si>
    <t>=U2321-W2321</t>
  </si>
  <si>
    <t>=IF(U2321&lt;&gt;0,X2321/U2321,"")</t>
  </si>
  <si>
    <t>=NL("Sum","5802 Value Entry","150 Sales Amount (Expected)","41 Source Type",$C$5,"5 Source No.",$C2321,"4 Item Ledger Entry Type",$C$4,"2 Item No.","@@"&amp;$F2321,"3 Posting Date",Z$9)+NL("Sum","5802 Value Entry","17 Sales Amount (Actual)","41 Source Type",$C$5,"5 Source no.",$C2321,"4 Item Ledger Entry Type",$C$4,"2 Item No.","@@"&amp;$F2321,"3 Posting Date",Z$9)</t>
  </si>
  <si>
    <t>=-NL("Sum","5802 Value Entry","151 Cost Amount (Expected)","41 Source Type",$C$5,"5 Source No.",$C2321,"4 Item Ledger Entry Type",$C$4,"2 Item No.","@@"&amp;$F2321,"3 Posting Date",Z$9)-NL("Sum","5802 Value Entry","43 Cost Amount (Actual)","41 Source Type",$C$5,"5 Source no.",$C2321,"4 Item Ledger Entry Type",$C$4,"2 Item No.","@@"&amp;$F2321,"3 Posting Date",Z$9)</t>
  </si>
  <si>
    <t>=Z2321-AB2321</t>
  </si>
  <si>
    <t>=IF(Z2321&lt;&gt;0,AC2321/Z2321,"")</t>
  </si>
  <si>
    <t>=C2321</t>
  </si>
  <si>
    <t>=NL("Sum","5802 Value Entry","150 Sales Amount (Expected)","41 Source Type",$C$5,"5 Source No.",$C2322,"4 Item Ledger Entry Type",$C$4,"2 Item No.","@@"&amp;$F2322,"3 Posting Date",J$9)+NL("Sum","5802 Value Entry","17 Sales Amount (Actual)","41 Source Type",$C$5,"5 Source no.",$C2322,"4 Item Ledger Entry Type",$C$4,"2 Item No.","@@"&amp;$F2322,"3 Posting Date",J$9)</t>
  </si>
  <si>
    <t>=-NL("Sum","5802 Value Entry","151 Cost Amount (Expected)","41 Source Type",$C$5,"5 Source No.",$C2322,"4 Item Ledger Entry Type",$C$4,"2 Item No.","@@"&amp;$F2322,"3 Posting Date",J$9)-NL("Sum","5802 Value Entry","43 Cost Amount (Actual)","41 Source Type",$C$5,"5 Source no.",$C2322,"4 Item Ledger Entry Type",$C$4,"2 Item No.","@@"&amp;$F2322,"3 Posting Date",J$9)</t>
  </si>
  <si>
    <t>=J2322-L2322</t>
  </si>
  <si>
    <t>=IF(J2322&lt;&gt;0,M2322/J2322,"")</t>
  </si>
  <si>
    <t>=NL("Sum","5802 Value Entry","150 Sales Amount (Expected)","41 Source Type",$C$5,"5 Source No.",$C2322,"4 Item Ledger Entry Type",$C$4,"2 Item No.","@@"&amp;$F2322,"3 Posting Date",O$9)+NL("Sum","5802 Value Entry","17 Sales Amount (Actual)","41 Source Type",$C$5,"5 Source no.",$C2322,"4 Item Ledger Entry Type",$C$4,"2 Item No.","@@"&amp;$F2322,"3 Posting Date",O$9)</t>
  </si>
  <si>
    <t>=-NL("Sum","5802 Value Entry","151 Cost Amount (Expected)","41 Source Type",$C$5,"5 Source No.",$C2322,"4 Item Ledger Entry Type",$C$4,"2 Item No.","@@"&amp;$F2322,"3 Posting Date",O$9)-NL("Sum","5802 Value Entry","43 Cost Amount (Actual)","41 Source Type",$C$5,"5 Source no.",$C2322,"4 Item Ledger Entry Type",$C$4,"2 Item No.","@@"&amp;$F2322,"3 Posting Date",O$9)</t>
  </si>
  <si>
    <t>=O2322-Q2322</t>
  </si>
  <si>
    <t>=IF(O2322&lt;&gt;0,R2322/O2322,"")</t>
  </si>
  <si>
    <t>=NL("Sum","5802 Value Entry","150 Sales Amount (Expected)","41 Source Type",$C$5,"5 Source No.",$C2322,"4 Item Ledger Entry Type",$C$4,"2 Item No.","@@"&amp;$F2322,"3 Posting Date",U$9)+NL("Sum","5802 Value Entry","17 Sales Amount (Actual)","41 Source Type",$C$5,"5 Source no.",$C2322,"4 Item Ledger Entry Type",$C$4,"2 Item No.","@@"&amp;$F2322,"3 Posting Date",U$9)</t>
  </si>
  <si>
    <t>=-NL("Sum","5802 Value Entry","151 Cost Amount (Expected)","41 Source Type",$C$5,"5 Source No.",$C2322,"4 Item Ledger Entry Type",$C$4,"2 Item No.","@@"&amp;$F2322,"3 Posting Date",U$9)-NL("Sum","5802 Value Entry","43 Cost Amount (Actual)","41 Source Type",$C$5,"5 Source no.",$C2322,"4 Item Ledger Entry Type",$C$4,"2 Item No.","@@"&amp;$F2322,"3 Posting Date",U$9)</t>
  </si>
  <si>
    <t>=U2322-W2322</t>
  </si>
  <si>
    <t>=IF(U2322&lt;&gt;0,X2322/U2322,"")</t>
  </si>
  <si>
    <t>=NL("Sum","5802 Value Entry","150 Sales Amount (Expected)","41 Source Type",$C$5,"5 Source No.",$C2322,"4 Item Ledger Entry Type",$C$4,"2 Item No.","@@"&amp;$F2322,"3 Posting Date",Z$9)+NL("Sum","5802 Value Entry","17 Sales Amount (Actual)","41 Source Type",$C$5,"5 Source no.",$C2322,"4 Item Ledger Entry Type",$C$4,"2 Item No.","@@"&amp;$F2322,"3 Posting Date",Z$9)</t>
  </si>
  <si>
    <t>=-NL("Sum","5802 Value Entry","151 Cost Amount (Expected)","41 Source Type",$C$5,"5 Source No.",$C2322,"4 Item Ledger Entry Type",$C$4,"2 Item No.","@@"&amp;$F2322,"3 Posting Date",Z$9)-NL("Sum","5802 Value Entry","43 Cost Amount (Actual)","41 Source Type",$C$5,"5 Source no.",$C2322,"4 Item Ledger Entry Type",$C$4,"2 Item No.","@@"&amp;$F2322,"3 Posting Date",Z$9)</t>
  </si>
  <si>
    <t>=Z2322-AB2322</t>
  </si>
  <si>
    <t>=IF(Z2322&lt;&gt;0,AC2322/Z2322,"")</t>
  </si>
  <si>
    <t>=C2322</t>
  </si>
  <si>
    <t>=NL("Sum","5802 Value Entry","150 Sales Amount (Expected)","41 Source Type",$C$5,"5 Source No.",$C2323,"4 Item Ledger Entry Type",$C$4,"2 Item No.","@@"&amp;$F2323,"3 Posting Date",J$9)+NL("Sum","5802 Value Entry","17 Sales Amount (Actual)","41 Source Type",$C$5,"5 Source no.",$C2323,"4 Item Ledger Entry Type",$C$4,"2 Item No.","@@"&amp;$F2323,"3 Posting Date",J$9)</t>
  </si>
  <si>
    <t>=-NL("Sum","5802 Value Entry","151 Cost Amount (Expected)","41 Source Type",$C$5,"5 Source No.",$C2323,"4 Item Ledger Entry Type",$C$4,"2 Item No.","@@"&amp;$F2323,"3 Posting Date",J$9)-NL("Sum","5802 Value Entry","43 Cost Amount (Actual)","41 Source Type",$C$5,"5 Source no.",$C2323,"4 Item Ledger Entry Type",$C$4,"2 Item No.","@@"&amp;$F2323,"3 Posting Date",J$9)</t>
  </si>
  <si>
    <t>=J2323-L2323</t>
  </si>
  <si>
    <t>=IF(J2323&lt;&gt;0,M2323/J2323,"")</t>
  </si>
  <si>
    <t>=NL("Sum","5802 Value Entry","150 Sales Amount (Expected)","41 Source Type",$C$5,"5 Source No.",$C2323,"4 Item Ledger Entry Type",$C$4,"2 Item No.","@@"&amp;$F2323,"3 Posting Date",O$9)+NL("Sum","5802 Value Entry","17 Sales Amount (Actual)","41 Source Type",$C$5,"5 Source no.",$C2323,"4 Item Ledger Entry Type",$C$4,"2 Item No.","@@"&amp;$F2323,"3 Posting Date",O$9)</t>
  </si>
  <si>
    <t>=-NL("Sum","5802 Value Entry","151 Cost Amount (Expected)","41 Source Type",$C$5,"5 Source No.",$C2323,"4 Item Ledger Entry Type",$C$4,"2 Item No.","@@"&amp;$F2323,"3 Posting Date",O$9)-NL("Sum","5802 Value Entry","43 Cost Amount (Actual)","41 Source Type",$C$5,"5 Source no.",$C2323,"4 Item Ledger Entry Type",$C$4,"2 Item No.","@@"&amp;$F2323,"3 Posting Date",O$9)</t>
  </si>
  <si>
    <t>=O2323-Q2323</t>
  </si>
  <si>
    <t>=IF(O2323&lt;&gt;0,R2323/O2323,"")</t>
  </si>
  <si>
    <t>=NL("Sum","5802 Value Entry","150 Sales Amount (Expected)","41 Source Type",$C$5,"5 Source No.",$C2323,"4 Item Ledger Entry Type",$C$4,"2 Item No.","@@"&amp;$F2323,"3 Posting Date",U$9)+NL("Sum","5802 Value Entry","17 Sales Amount (Actual)","41 Source Type",$C$5,"5 Source no.",$C2323,"4 Item Ledger Entry Type",$C$4,"2 Item No.","@@"&amp;$F2323,"3 Posting Date",U$9)</t>
  </si>
  <si>
    <t>=-NL("Sum","5802 Value Entry","151 Cost Amount (Expected)","41 Source Type",$C$5,"5 Source No.",$C2323,"4 Item Ledger Entry Type",$C$4,"2 Item No.","@@"&amp;$F2323,"3 Posting Date",U$9)-NL("Sum","5802 Value Entry","43 Cost Amount (Actual)","41 Source Type",$C$5,"5 Source no.",$C2323,"4 Item Ledger Entry Type",$C$4,"2 Item No.","@@"&amp;$F2323,"3 Posting Date",U$9)</t>
  </si>
  <si>
    <t>=U2323-W2323</t>
  </si>
  <si>
    <t>=IF(U2323&lt;&gt;0,X2323/U2323,"")</t>
  </si>
  <si>
    <t>=NL("Sum","5802 Value Entry","150 Sales Amount (Expected)","41 Source Type",$C$5,"5 Source No.",$C2323,"4 Item Ledger Entry Type",$C$4,"2 Item No.","@@"&amp;$F2323,"3 Posting Date",Z$9)+NL("Sum","5802 Value Entry","17 Sales Amount (Actual)","41 Source Type",$C$5,"5 Source no.",$C2323,"4 Item Ledger Entry Type",$C$4,"2 Item No.","@@"&amp;$F2323,"3 Posting Date",Z$9)</t>
  </si>
  <si>
    <t>=-NL("Sum","5802 Value Entry","151 Cost Amount (Expected)","41 Source Type",$C$5,"5 Source No.",$C2323,"4 Item Ledger Entry Type",$C$4,"2 Item No.","@@"&amp;$F2323,"3 Posting Date",Z$9)-NL("Sum","5802 Value Entry","43 Cost Amount (Actual)","41 Source Type",$C$5,"5 Source no.",$C2323,"4 Item Ledger Entry Type",$C$4,"2 Item No.","@@"&amp;$F2323,"3 Posting Date",Z$9)</t>
  </si>
  <si>
    <t>=Z2323-AB2323</t>
  </si>
  <si>
    <t>=IF(Z2323&lt;&gt;0,AC2323/Z2323,"")</t>
  </si>
  <si>
    <t>=C2323</t>
  </si>
  <si>
    <t>=NL("Sum","5802 Value Entry","150 Sales Amount (Expected)","41 Source Type",$C$5,"5 Source No.",$C2324,"4 Item Ledger Entry Type",$C$4,"2 Item No.","@@"&amp;$F2324,"3 Posting Date",J$9)+NL("Sum","5802 Value Entry","17 Sales Amount (Actual)","41 Source Type",$C$5,"5 Source no.",$C2324,"4 Item Ledger Entry Type",$C$4,"2 Item No.","@@"&amp;$F2324,"3 Posting Date",J$9)</t>
  </si>
  <si>
    <t>=-NL("Sum","5802 Value Entry","151 Cost Amount (Expected)","41 Source Type",$C$5,"5 Source No.",$C2324,"4 Item Ledger Entry Type",$C$4,"2 Item No.","@@"&amp;$F2324,"3 Posting Date",J$9)-NL("Sum","5802 Value Entry","43 Cost Amount (Actual)","41 Source Type",$C$5,"5 Source no.",$C2324,"4 Item Ledger Entry Type",$C$4,"2 Item No.","@@"&amp;$F2324,"3 Posting Date",J$9)</t>
  </si>
  <si>
    <t>=J2324-L2324</t>
  </si>
  <si>
    <t>=IF(J2324&lt;&gt;0,M2324/J2324,"")</t>
  </si>
  <si>
    <t>=NL("Sum","5802 Value Entry","150 Sales Amount (Expected)","41 Source Type",$C$5,"5 Source No.",$C2324,"4 Item Ledger Entry Type",$C$4,"2 Item No.","@@"&amp;$F2324,"3 Posting Date",O$9)+NL("Sum","5802 Value Entry","17 Sales Amount (Actual)","41 Source Type",$C$5,"5 Source no.",$C2324,"4 Item Ledger Entry Type",$C$4,"2 Item No.","@@"&amp;$F2324,"3 Posting Date",O$9)</t>
  </si>
  <si>
    <t>=-NL("Sum","5802 Value Entry","151 Cost Amount (Expected)","41 Source Type",$C$5,"5 Source No.",$C2324,"4 Item Ledger Entry Type",$C$4,"2 Item No.","@@"&amp;$F2324,"3 Posting Date",O$9)-NL("Sum","5802 Value Entry","43 Cost Amount (Actual)","41 Source Type",$C$5,"5 Source no.",$C2324,"4 Item Ledger Entry Type",$C$4,"2 Item No.","@@"&amp;$F2324,"3 Posting Date",O$9)</t>
  </si>
  <si>
    <t>=O2324-Q2324</t>
  </si>
  <si>
    <t>=IF(O2324&lt;&gt;0,R2324/O2324,"")</t>
  </si>
  <si>
    <t>=NL("Sum","5802 Value Entry","150 Sales Amount (Expected)","41 Source Type",$C$5,"5 Source No.",$C2324,"4 Item Ledger Entry Type",$C$4,"2 Item No.","@@"&amp;$F2324,"3 Posting Date",U$9)+NL("Sum","5802 Value Entry","17 Sales Amount (Actual)","41 Source Type",$C$5,"5 Source no.",$C2324,"4 Item Ledger Entry Type",$C$4,"2 Item No.","@@"&amp;$F2324,"3 Posting Date",U$9)</t>
  </si>
  <si>
    <t>=-NL("Sum","5802 Value Entry","151 Cost Amount (Expected)","41 Source Type",$C$5,"5 Source No.",$C2324,"4 Item Ledger Entry Type",$C$4,"2 Item No.","@@"&amp;$F2324,"3 Posting Date",U$9)-NL("Sum","5802 Value Entry","43 Cost Amount (Actual)","41 Source Type",$C$5,"5 Source no.",$C2324,"4 Item Ledger Entry Type",$C$4,"2 Item No.","@@"&amp;$F2324,"3 Posting Date",U$9)</t>
  </si>
  <si>
    <t>=U2324-W2324</t>
  </si>
  <si>
    <t>=IF(U2324&lt;&gt;0,X2324/U2324,"")</t>
  </si>
  <si>
    <t>=NL("Sum","5802 Value Entry","150 Sales Amount (Expected)","41 Source Type",$C$5,"5 Source No.",$C2324,"4 Item Ledger Entry Type",$C$4,"2 Item No.","@@"&amp;$F2324,"3 Posting Date",Z$9)+NL("Sum","5802 Value Entry","17 Sales Amount (Actual)","41 Source Type",$C$5,"5 Source no.",$C2324,"4 Item Ledger Entry Type",$C$4,"2 Item No.","@@"&amp;$F2324,"3 Posting Date",Z$9)</t>
  </si>
  <si>
    <t>=-NL("Sum","5802 Value Entry","151 Cost Amount (Expected)","41 Source Type",$C$5,"5 Source No.",$C2324,"4 Item Ledger Entry Type",$C$4,"2 Item No.","@@"&amp;$F2324,"3 Posting Date",Z$9)-NL("Sum","5802 Value Entry","43 Cost Amount (Actual)","41 Source Type",$C$5,"5 Source no.",$C2324,"4 Item Ledger Entry Type",$C$4,"2 Item No.","@@"&amp;$F2324,"3 Posting Date",Z$9)</t>
  </si>
  <si>
    <t>=Z2324-AB2324</t>
  </si>
  <si>
    <t>=IF(Z2324&lt;&gt;0,AC2324/Z2324,"")</t>
  </si>
  <si>
    <t>=C2324</t>
  </si>
  <si>
    <t>=NL("Sum","5802 Value Entry","150 Sales Amount (Expected)","41 Source Type",$C$5,"5 Source No.",$C2325,"4 Item Ledger Entry Type",$C$4,"2 Item No.","@@"&amp;$F2325,"3 Posting Date",J$9)+NL("Sum","5802 Value Entry","17 Sales Amount (Actual)","41 Source Type",$C$5,"5 Source no.",$C2325,"4 Item Ledger Entry Type",$C$4,"2 Item No.","@@"&amp;$F2325,"3 Posting Date",J$9)</t>
  </si>
  <si>
    <t>=-NL("Sum","5802 Value Entry","151 Cost Amount (Expected)","41 Source Type",$C$5,"5 Source No.",$C2325,"4 Item Ledger Entry Type",$C$4,"2 Item No.","@@"&amp;$F2325,"3 Posting Date",J$9)-NL("Sum","5802 Value Entry","43 Cost Amount (Actual)","41 Source Type",$C$5,"5 Source no.",$C2325,"4 Item Ledger Entry Type",$C$4,"2 Item No.","@@"&amp;$F2325,"3 Posting Date",J$9)</t>
  </si>
  <si>
    <t>=J2325-L2325</t>
  </si>
  <si>
    <t>=IF(J2325&lt;&gt;0,M2325/J2325,"")</t>
  </si>
  <si>
    <t>=NL("Sum","5802 Value Entry","150 Sales Amount (Expected)","41 Source Type",$C$5,"5 Source No.",$C2325,"4 Item Ledger Entry Type",$C$4,"2 Item No.","@@"&amp;$F2325,"3 Posting Date",O$9)+NL("Sum","5802 Value Entry","17 Sales Amount (Actual)","41 Source Type",$C$5,"5 Source no.",$C2325,"4 Item Ledger Entry Type",$C$4,"2 Item No.","@@"&amp;$F2325,"3 Posting Date",O$9)</t>
  </si>
  <si>
    <t>=-NL("Sum","5802 Value Entry","151 Cost Amount (Expected)","41 Source Type",$C$5,"5 Source No.",$C2325,"4 Item Ledger Entry Type",$C$4,"2 Item No.","@@"&amp;$F2325,"3 Posting Date",O$9)-NL("Sum","5802 Value Entry","43 Cost Amount (Actual)","41 Source Type",$C$5,"5 Source no.",$C2325,"4 Item Ledger Entry Type",$C$4,"2 Item No.","@@"&amp;$F2325,"3 Posting Date",O$9)</t>
  </si>
  <si>
    <t>=O2325-Q2325</t>
  </si>
  <si>
    <t>=IF(O2325&lt;&gt;0,R2325/O2325,"")</t>
  </si>
  <si>
    <t>=NL("Sum","5802 Value Entry","150 Sales Amount (Expected)","41 Source Type",$C$5,"5 Source No.",$C2325,"4 Item Ledger Entry Type",$C$4,"2 Item No.","@@"&amp;$F2325,"3 Posting Date",U$9)+NL("Sum","5802 Value Entry","17 Sales Amount (Actual)","41 Source Type",$C$5,"5 Source no.",$C2325,"4 Item Ledger Entry Type",$C$4,"2 Item No.","@@"&amp;$F2325,"3 Posting Date",U$9)</t>
  </si>
  <si>
    <t>=-NL("Sum","5802 Value Entry","151 Cost Amount (Expected)","41 Source Type",$C$5,"5 Source No.",$C2325,"4 Item Ledger Entry Type",$C$4,"2 Item No.","@@"&amp;$F2325,"3 Posting Date",U$9)-NL("Sum","5802 Value Entry","43 Cost Amount (Actual)","41 Source Type",$C$5,"5 Source no.",$C2325,"4 Item Ledger Entry Type",$C$4,"2 Item No.","@@"&amp;$F2325,"3 Posting Date",U$9)</t>
  </si>
  <si>
    <t>=U2325-W2325</t>
  </si>
  <si>
    <t>=IF(U2325&lt;&gt;0,X2325/U2325,"")</t>
  </si>
  <si>
    <t>=NL("Sum","5802 Value Entry","150 Sales Amount (Expected)","41 Source Type",$C$5,"5 Source No.",$C2325,"4 Item Ledger Entry Type",$C$4,"2 Item No.","@@"&amp;$F2325,"3 Posting Date",Z$9)+NL("Sum","5802 Value Entry","17 Sales Amount (Actual)","41 Source Type",$C$5,"5 Source no.",$C2325,"4 Item Ledger Entry Type",$C$4,"2 Item No.","@@"&amp;$F2325,"3 Posting Date",Z$9)</t>
  </si>
  <si>
    <t>=-NL("Sum","5802 Value Entry","151 Cost Amount (Expected)","41 Source Type",$C$5,"5 Source No.",$C2325,"4 Item Ledger Entry Type",$C$4,"2 Item No.","@@"&amp;$F2325,"3 Posting Date",Z$9)-NL("Sum","5802 Value Entry","43 Cost Amount (Actual)","41 Source Type",$C$5,"5 Source no.",$C2325,"4 Item Ledger Entry Type",$C$4,"2 Item No.","@@"&amp;$F2325,"3 Posting Date",Z$9)</t>
  </si>
  <si>
    <t>=Z2325-AB2325</t>
  </si>
  <si>
    <t>=IF(Z2325&lt;&gt;0,AC2325/Z2325,"")</t>
  </si>
  <si>
    <t>=C2325</t>
  </si>
  <si>
    <t>=NL("Sum","5802 Value Entry","150 Sales Amount (Expected)","41 Source Type",$C$5,"5 Source No.",$C2326,"4 Item Ledger Entry Type",$C$4,"2 Item No.","@@"&amp;$F2326,"3 Posting Date",J$9)+NL("Sum","5802 Value Entry","17 Sales Amount (Actual)","41 Source Type",$C$5,"5 Source no.",$C2326,"4 Item Ledger Entry Type",$C$4,"2 Item No.","@@"&amp;$F2326,"3 Posting Date",J$9)</t>
  </si>
  <si>
    <t>=-NL("Sum","5802 Value Entry","151 Cost Amount (Expected)","41 Source Type",$C$5,"5 Source No.",$C2326,"4 Item Ledger Entry Type",$C$4,"2 Item No.","@@"&amp;$F2326,"3 Posting Date",J$9)-NL("Sum","5802 Value Entry","43 Cost Amount (Actual)","41 Source Type",$C$5,"5 Source no.",$C2326,"4 Item Ledger Entry Type",$C$4,"2 Item No.","@@"&amp;$F2326,"3 Posting Date",J$9)</t>
  </si>
  <si>
    <t>=J2326-L2326</t>
  </si>
  <si>
    <t>=IF(J2326&lt;&gt;0,M2326/J2326,"")</t>
  </si>
  <si>
    <t>=NL("Sum","5802 Value Entry","150 Sales Amount (Expected)","41 Source Type",$C$5,"5 Source No.",$C2326,"4 Item Ledger Entry Type",$C$4,"2 Item No.","@@"&amp;$F2326,"3 Posting Date",O$9)+NL("Sum","5802 Value Entry","17 Sales Amount (Actual)","41 Source Type",$C$5,"5 Source no.",$C2326,"4 Item Ledger Entry Type",$C$4,"2 Item No.","@@"&amp;$F2326,"3 Posting Date",O$9)</t>
  </si>
  <si>
    <t>=-NL("Sum","5802 Value Entry","151 Cost Amount (Expected)","41 Source Type",$C$5,"5 Source No.",$C2326,"4 Item Ledger Entry Type",$C$4,"2 Item No.","@@"&amp;$F2326,"3 Posting Date",O$9)-NL("Sum","5802 Value Entry","43 Cost Amount (Actual)","41 Source Type",$C$5,"5 Source no.",$C2326,"4 Item Ledger Entry Type",$C$4,"2 Item No.","@@"&amp;$F2326,"3 Posting Date",O$9)</t>
  </si>
  <si>
    <t>=O2326-Q2326</t>
  </si>
  <si>
    <t>=IF(O2326&lt;&gt;0,R2326/O2326,"")</t>
  </si>
  <si>
    <t>=NL("Sum","5802 Value Entry","150 Sales Amount (Expected)","41 Source Type",$C$5,"5 Source No.",$C2326,"4 Item Ledger Entry Type",$C$4,"2 Item No.","@@"&amp;$F2326,"3 Posting Date",U$9)+NL("Sum","5802 Value Entry","17 Sales Amount (Actual)","41 Source Type",$C$5,"5 Source no.",$C2326,"4 Item Ledger Entry Type",$C$4,"2 Item No.","@@"&amp;$F2326,"3 Posting Date",U$9)</t>
  </si>
  <si>
    <t>=-NL("Sum","5802 Value Entry","151 Cost Amount (Expected)","41 Source Type",$C$5,"5 Source No.",$C2326,"4 Item Ledger Entry Type",$C$4,"2 Item No.","@@"&amp;$F2326,"3 Posting Date",U$9)-NL("Sum","5802 Value Entry","43 Cost Amount (Actual)","41 Source Type",$C$5,"5 Source no.",$C2326,"4 Item Ledger Entry Type",$C$4,"2 Item No.","@@"&amp;$F2326,"3 Posting Date",U$9)</t>
  </si>
  <si>
    <t>=U2326-W2326</t>
  </si>
  <si>
    <t>=IF(U2326&lt;&gt;0,X2326/U2326,"")</t>
  </si>
  <si>
    <t>=NL("Sum","5802 Value Entry","150 Sales Amount (Expected)","41 Source Type",$C$5,"5 Source No.",$C2326,"4 Item Ledger Entry Type",$C$4,"2 Item No.","@@"&amp;$F2326,"3 Posting Date",Z$9)+NL("Sum","5802 Value Entry","17 Sales Amount (Actual)","41 Source Type",$C$5,"5 Source no.",$C2326,"4 Item Ledger Entry Type",$C$4,"2 Item No.","@@"&amp;$F2326,"3 Posting Date",Z$9)</t>
  </si>
  <si>
    <t>=-NL("Sum","5802 Value Entry","151 Cost Amount (Expected)","41 Source Type",$C$5,"5 Source No.",$C2326,"4 Item Ledger Entry Type",$C$4,"2 Item No.","@@"&amp;$F2326,"3 Posting Date",Z$9)-NL("Sum","5802 Value Entry","43 Cost Amount (Actual)","41 Source Type",$C$5,"5 Source no.",$C2326,"4 Item Ledger Entry Type",$C$4,"2 Item No.","@@"&amp;$F2326,"3 Posting Date",Z$9)</t>
  </si>
  <si>
    <t>=Z2326-AB2326</t>
  </si>
  <si>
    <t>=IF(Z2326&lt;&gt;0,AC2326/Z2326,"")</t>
  </si>
  <si>
    <t>=C2326</t>
  </si>
  <si>
    <t>=NL("Sum","5802 Value Entry","150 Sales Amount (Expected)","41 Source Type",$C$5,"5 Source No.",$C2327,"4 Item Ledger Entry Type",$C$4,"2 Item No.","@@"&amp;$F2327,"3 Posting Date",J$9)+NL("Sum","5802 Value Entry","17 Sales Amount (Actual)","41 Source Type",$C$5,"5 Source no.",$C2327,"4 Item Ledger Entry Type",$C$4,"2 Item No.","@@"&amp;$F2327,"3 Posting Date",J$9)</t>
  </si>
  <si>
    <t>=-NL("Sum","5802 Value Entry","151 Cost Amount (Expected)","41 Source Type",$C$5,"5 Source No.",$C2327,"4 Item Ledger Entry Type",$C$4,"2 Item No.","@@"&amp;$F2327,"3 Posting Date",J$9)-NL("Sum","5802 Value Entry","43 Cost Amount (Actual)","41 Source Type",$C$5,"5 Source no.",$C2327,"4 Item Ledger Entry Type",$C$4,"2 Item No.","@@"&amp;$F2327,"3 Posting Date",J$9)</t>
  </si>
  <si>
    <t>=J2327-L2327</t>
  </si>
  <si>
    <t>=IF(J2327&lt;&gt;0,M2327/J2327,"")</t>
  </si>
  <si>
    <t>=NL("Sum","5802 Value Entry","150 Sales Amount (Expected)","41 Source Type",$C$5,"5 Source No.",$C2327,"4 Item Ledger Entry Type",$C$4,"2 Item No.","@@"&amp;$F2327,"3 Posting Date",O$9)+NL("Sum","5802 Value Entry","17 Sales Amount (Actual)","41 Source Type",$C$5,"5 Source no.",$C2327,"4 Item Ledger Entry Type",$C$4,"2 Item No.","@@"&amp;$F2327,"3 Posting Date",O$9)</t>
  </si>
  <si>
    <t>=-NL("Sum","5802 Value Entry","151 Cost Amount (Expected)","41 Source Type",$C$5,"5 Source No.",$C2327,"4 Item Ledger Entry Type",$C$4,"2 Item No.","@@"&amp;$F2327,"3 Posting Date",O$9)-NL("Sum","5802 Value Entry","43 Cost Amount (Actual)","41 Source Type",$C$5,"5 Source no.",$C2327,"4 Item Ledger Entry Type",$C$4,"2 Item No.","@@"&amp;$F2327,"3 Posting Date",O$9)</t>
  </si>
  <si>
    <t>=O2327-Q2327</t>
  </si>
  <si>
    <t>=IF(O2327&lt;&gt;0,R2327/O2327,"")</t>
  </si>
  <si>
    <t>=NL("Sum","5802 Value Entry","150 Sales Amount (Expected)","41 Source Type",$C$5,"5 Source No.",$C2327,"4 Item Ledger Entry Type",$C$4,"2 Item No.","@@"&amp;$F2327,"3 Posting Date",U$9)+NL("Sum","5802 Value Entry","17 Sales Amount (Actual)","41 Source Type",$C$5,"5 Source no.",$C2327,"4 Item Ledger Entry Type",$C$4,"2 Item No.","@@"&amp;$F2327,"3 Posting Date",U$9)</t>
  </si>
  <si>
    <t>=-NL("Sum","5802 Value Entry","151 Cost Amount (Expected)","41 Source Type",$C$5,"5 Source No.",$C2327,"4 Item Ledger Entry Type",$C$4,"2 Item No.","@@"&amp;$F2327,"3 Posting Date",U$9)-NL("Sum","5802 Value Entry","43 Cost Amount (Actual)","41 Source Type",$C$5,"5 Source no.",$C2327,"4 Item Ledger Entry Type",$C$4,"2 Item No.","@@"&amp;$F2327,"3 Posting Date",U$9)</t>
  </si>
  <si>
    <t>=U2327-W2327</t>
  </si>
  <si>
    <t>=IF(U2327&lt;&gt;0,X2327/U2327,"")</t>
  </si>
  <si>
    <t>=NL("Sum","5802 Value Entry","150 Sales Amount (Expected)","41 Source Type",$C$5,"5 Source No.",$C2327,"4 Item Ledger Entry Type",$C$4,"2 Item No.","@@"&amp;$F2327,"3 Posting Date",Z$9)+NL("Sum","5802 Value Entry","17 Sales Amount (Actual)","41 Source Type",$C$5,"5 Source no.",$C2327,"4 Item Ledger Entry Type",$C$4,"2 Item No.","@@"&amp;$F2327,"3 Posting Date",Z$9)</t>
  </si>
  <si>
    <t>=-NL("Sum","5802 Value Entry","151 Cost Amount (Expected)","41 Source Type",$C$5,"5 Source No.",$C2327,"4 Item Ledger Entry Type",$C$4,"2 Item No.","@@"&amp;$F2327,"3 Posting Date",Z$9)-NL("Sum","5802 Value Entry","43 Cost Amount (Actual)","41 Source Type",$C$5,"5 Source no.",$C2327,"4 Item Ledger Entry Type",$C$4,"2 Item No.","@@"&amp;$F2327,"3 Posting Date",Z$9)</t>
  </si>
  <si>
    <t>=Z2327-AB2327</t>
  </si>
  <si>
    <t>=IF(Z2327&lt;&gt;0,AC2327/Z2327,"")</t>
  </si>
  <si>
    <t>=C2327</t>
  </si>
  <si>
    <t>=NL("Sum","5802 Value Entry","150 Sales Amount (Expected)","41 Source Type",$C$5,"5 Source No.",$C2328,"4 Item Ledger Entry Type",$C$4,"2 Item No.","@@"&amp;$F2328,"3 Posting Date",J$9)+NL("Sum","5802 Value Entry","17 Sales Amount (Actual)","41 Source Type",$C$5,"5 Source no.",$C2328,"4 Item Ledger Entry Type",$C$4,"2 Item No.","@@"&amp;$F2328,"3 Posting Date",J$9)</t>
  </si>
  <si>
    <t>=-NL("Sum","5802 Value Entry","151 Cost Amount (Expected)","41 Source Type",$C$5,"5 Source No.",$C2328,"4 Item Ledger Entry Type",$C$4,"2 Item No.","@@"&amp;$F2328,"3 Posting Date",J$9)-NL("Sum","5802 Value Entry","43 Cost Amount (Actual)","41 Source Type",$C$5,"5 Source no.",$C2328,"4 Item Ledger Entry Type",$C$4,"2 Item No.","@@"&amp;$F2328,"3 Posting Date",J$9)</t>
  </si>
  <si>
    <t>=J2328-L2328</t>
  </si>
  <si>
    <t>=IF(J2328&lt;&gt;0,M2328/J2328,"")</t>
  </si>
  <si>
    <t>=NL("Sum","5802 Value Entry","150 Sales Amount (Expected)","41 Source Type",$C$5,"5 Source No.",$C2328,"4 Item Ledger Entry Type",$C$4,"2 Item No.","@@"&amp;$F2328,"3 Posting Date",O$9)+NL("Sum","5802 Value Entry","17 Sales Amount (Actual)","41 Source Type",$C$5,"5 Source no.",$C2328,"4 Item Ledger Entry Type",$C$4,"2 Item No.","@@"&amp;$F2328,"3 Posting Date",O$9)</t>
  </si>
  <si>
    <t>=-NL("Sum","5802 Value Entry","151 Cost Amount (Expected)","41 Source Type",$C$5,"5 Source No.",$C2328,"4 Item Ledger Entry Type",$C$4,"2 Item No.","@@"&amp;$F2328,"3 Posting Date",O$9)-NL("Sum","5802 Value Entry","43 Cost Amount (Actual)","41 Source Type",$C$5,"5 Source no.",$C2328,"4 Item Ledger Entry Type",$C$4,"2 Item No.","@@"&amp;$F2328,"3 Posting Date",O$9)</t>
  </si>
  <si>
    <t>=O2328-Q2328</t>
  </si>
  <si>
    <t>=IF(O2328&lt;&gt;0,R2328/O2328,"")</t>
  </si>
  <si>
    <t>=NL("Sum","5802 Value Entry","150 Sales Amount (Expected)","41 Source Type",$C$5,"5 Source No.",$C2328,"4 Item Ledger Entry Type",$C$4,"2 Item No.","@@"&amp;$F2328,"3 Posting Date",U$9)+NL("Sum","5802 Value Entry","17 Sales Amount (Actual)","41 Source Type",$C$5,"5 Source no.",$C2328,"4 Item Ledger Entry Type",$C$4,"2 Item No.","@@"&amp;$F2328,"3 Posting Date",U$9)</t>
  </si>
  <si>
    <t>=-NL("Sum","5802 Value Entry","151 Cost Amount (Expected)","41 Source Type",$C$5,"5 Source No.",$C2328,"4 Item Ledger Entry Type",$C$4,"2 Item No.","@@"&amp;$F2328,"3 Posting Date",U$9)-NL("Sum","5802 Value Entry","43 Cost Amount (Actual)","41 Source Type",$C$5,"5 Source no.",$C2328,"4 Item Ledger Entry Type",$C$4,"2 Item No.","@@"&amp;$F2328,"3 Posting Date",U$9)</t>
  </si>
  <si>
    <t>=U2328-W2328</t>
  </si>
  <si>
    <t>=IF(U2328&lt;&gt;0,X2328/U2328,"")</t>
  </si>
  <si>
    <t>=NL("Sum","5802 Value Entry","150 Sales Amount (Expected)","41 Source Type",$C$5,"5 Source No.",$C2328,"4 Item Ledger Entry Type",$C$4,"2 Item No.","@@"&amp;$F2328,"3 Posting Date",Z$9)+NL("Sum","5802 Value Entry","17 Sales Amount (Actual)","41 Source Type",$C$5,"5 Source no.",$C2328,"4 Item Ledger Entry Type",$C$4,"2 Item No.","@@"&amp;$F2328,"3 Posting Date",Z$9)</t>
  </si>
  <si>
    <t>=-NL("Sum","5802 Value Entry","151 Cost Amount (Expected)","41 Source Type",$C$5,"5 Source No.",$C2328,"4 Item Ledger Entry Type",$C$4,"2 Item No.","@@"&amp;$F2328,"3 Posting Date",Z$9)-NL("Sum","5802 Value Entry","43 Cost Amount (Actual)","41 Source Type",$C$5,"5 Source no.",$C2328,"4 Item Ledger Entry Type",$C$4,"2 Item No.","@@"&amp;$F2328,"3 Posting Date",Z$9)</t>
  </si>
  <si>
    <t>=Z2328-AB2328</t>
  </si>
  <si>
    <t>=IF(Z2328&lt;&gt;0,AC2328/Z2328,"")</t>
  </si>
  <si>
    <t>=C2328</t>
  </si>
  <si>
    <t>=NL("Sum","5802 Value Entry","150 Sales Amount (Expected)","41 Source Type",$C$5,"5 Source No.",$C2329,"4 Item Ledger Entry Type",$C$4,"2 Item No.","@@"&amp;$F2329,"3 Posting Date",J$9)+NL("Sum","5802 Value Entry","17 Sales Amount (Actual)","41 Source Type",$C$5,"5 Source no.",$C2329,"4 Item Ledger Entry Type",$C$4,"2 Item No.","@@"&amp;$F2329,"3 Posting Date",J$9)</t>
  </si>
  <si>
    <t>=-NL("Sum","5802 Value Entry","151 Cost Amount (Expected)","41 Source Type",$C$5,"5 Source No.",$C2329,"4 Item Ledger Entry Type",$C$4,"2 Item No.","@@"&amp;$F2329,"3 Posting Date",J$9)-NL("Sum","5802 Value Entry","43 Cost Amount (Actual)","41 Source Type",$C$5,"5 Source no.",$C2329,"4 Item Ledger Entry Type",$C$4,"2 Item No.","@@"&amp;$F2329,"3 Posting Date",J$9)</t>
  </si>
  <si>
    <t>=J2329-L2329</t>
  </si>
  <si>
    <t>=IF(J2329&lt;&gt;0,M2329/J2329,"")</t>
  </si>
  <si>
    <t>=NL("Sum","5802 Value Entry","150 Sales Amount (Expected)","41 Source Type",$C$5,"5 Source No.",$C2329,"4 Item Ledger Entry Type",$C$4,"2 Item No.","@@"&amp;$F2329,"3 Posting Date",O$9)+NL("Sum","5802 Value Entry","17 Sales Amount (Actual)","41 Source Type",$C$5,"5 Source no.",$C2329,"4 Item Ledger Entry Type",$C$4,"2 Item No.","@@"&amp;$F2329,"3 Posting Date",O$9)</t>
  </si>
  <si>
    <t>=-NL("Sum","5802 Value Entry","151 Cost Amount (Expected)","41 Source Type",$C$5,"5 Source No.",$C2329,"4 Item Ledger Entry Type",$C$4,"2 Item No.","@@"&amp;$F2329,"3 Posting Date",O$9)-NL("Sum","5802 Value Entry","43 Cost Amount (Actual)","41 Source Type",$C$5,"5 Source no.",$C2329,"4 Item Ledger Entry Type",$C$4,"2 Item No.","@@"&amp;$F2329,"3 Posting Date",O$9)</t>
  </si>
  <si>
    <t>=O2329-Q2329</t>
  </si>
  <si>
    <t>=IF(O2329&lt;&gt;0,R2329/O2329,"")</t>
  </si>
  <si>
    <t>=NL("Sum","5802 Value Entry","150 Sales Amount (Expected)","41 Source Type",$C$5,"5 Source No.",$C2329,"4 Item Ledger Entry Type",$C$4,"2 Item No.","@@"&amp;$F2329,"3 Posting Date",U$9)+NL("Sum","5802 Value Entry","17 Sales Amount (Actual)","41 Source Type",$C$5,"5 Source no.",$C2329,"4 Item Ledger Entry Type",$C$4,"2 Item No.","@@"&amp;$F2329,"3 Posting Date",U$9)</t>
  </si>
  <si>
    <t>=-NL("Sum","5802 Value Entry","151 Cost Amount (Expected)","41 Source Type",$C$5,"5 Source No.",$C2329,"4 Item Ledger Entry Type",$C$4,"2 Item No.","@@"&amp;$F2329,"3 Posting Date",U$9)-NL("Sum","5802 Value Entry","43 Cost Amount (Actual)","41 Source Type",$C$5,"5 Source no.",$C2329,"4 Item Ledger Entry Type",$C$4,"2 Item No.","@@"&amp;$F2329,"3 Posting Date",U$9)</t>
  </si>
  <si>
    <t>=U2329-W2329</t>
  </si>
  <si>
    <t>=IF(U2329&lt;&gt;0,X2329/U2329,"")</t>
  </si>
  <si>
    <t>=NL("Sum","5802 Value Entry","150 Sales Amount (Expected)","41 Source Type",$C$5,"5 Source No.",$C2329,"4 Item Ledger Entry Type",$C$4,"2 Item No.","@@"&amp;$F2329,"3 Posting Date",Z$9)+NL("Sum","5802 Value Entry","17 Sales Amount (Actual)","41 Source Type",$C$5,"5 Source no.",$C2329,"4 Item Ledger Entry Type",$C$4,"2 Item No.","@@"&amp;$F2329,"3 Posting Date",Z$9)</t>
  </si>
  <si>
    <t>=-NL("Sum","5802 Value Entry","151 Cost Amount (Expected)","41 Source Type",$C$5,"5 Source No.",$C2329,"4 Item Ledger Entry Type",$C$4,"2 Item No.","@@"&amp;$F2329,"3 Posting Date",Z$9)-NL("Sum","5802 Value Entry","43 Cost Amount (Actual)","41 Source Type",$C$5,"5 Source no.",$C2329,"4 Item Ledger Entry Type",$C$4,"2 Item No.","@@"&amp;$F2329,"3 Posting Date",Z$9)</t>
  </si>
  <si>
    <t>=Z2329-AB2329</t>
  </si>
  <si>
    <t>=IF(Z2329&lt;&gt;0,AC2329/Z2329,"")</t>
  </si>
  <si>
    <t>=C2329</t>
  </si>
  <si>
    <t>=NL("Sum","5802 Value Entry","150 Sales Amount (Expected)","41 Source Type",$C$5,"5 Source No.",$C2330,"4 Item Ledger Entry Type",$C$4,"2 Item No.","@@"&amp;$F2330,"3 Posting Date",J$9)+NL("Sum","5802 Value Entry","17 Sales Amount (Actual)","41 Source Type",$C$5,"5 Source no.",$C2330,"4 Item Ledger Entry Type",$C$4,"2 Item No.","@@"&amp;$F2330,"3 Posting Date",J$9)</t>
  </si>
  <si>
    <t>=-NL("Sum","5802 Value Entry","151 Cost Amount (Expected)","41 Source Type",$C$5,"5 Source No.",$C2330,"4 Item Ledger Entry Type",$C$4,"2 Item No.","@@"&amp;$F2330,"3 Posting Date",J$9)-NL("Sum","5802 Value Entry","43 Cost Amount (Actual)","41 Source Type",$C$5,"5 Source no.",$C2330,"4 Item Ledger Entry Type",$C$4,"2 Item No.","@@"&amp;$F2330,"3 Posting Date",J$9)</t>
  </si>
  <si>
    <t>=J2330-L2330</t>
  </si>
  <si>
    <t>=IF(J2330&lt;&gt;0,M2330/J2330,"")</t>
  </si>
  <si>
    <t>=NL("Sum","5802 Value Entry","150 Sales Amount (Expected)","41 Source Type",$C$5,"5 Source No.",$C2330,"4 Item Ledger Entry Type",$C$4,"2 Item No.","@@"&amp;$F2330,"3 Posting Date",O$9)+NL("Sum","5802 Value Entry","17 Sales Amount (Actual)","41 Source Type",$C$5,"5 Source no.",$C2330,"4 Item Ledger Entry Type",$C$4,"2 Item No.","@@"&amp;$F2330,"3 Posting Date",O$9)</t>
  </si>
  <si>
    <t>=-NL("Sum","5802 Value Entry","151 Cost Amount (Expected)","41 Source Type",$C$5,"5 Source No.",$C2330,"4 Item Ledger Entry Type",$C$4,"2 Item No.","@@"&amp;$F2330,"3 Posting Date",O$9)-NL("Sum","5802 Value Entry","43 Cost Amount (Actual)","41 Source Type",$C$5,"5 Source no.",$C2330,"4 Item Ledger Entry Type",$C$4,"2 Item No.","@@"&amp;$F2330,"3 Posting Date",O$9)</t>
  </si>
  <si>
    <t>=O2330-Q2330</t>
  </si>
  <si>
    <t>=IF(O2330&lt;&gt;0,R2330/O2330,"")</t>
  </si>
  <si>
    <t>=NL("Sum","5802 Value Entry","150 Sales Amount (Expected)","41 Source Type",$C$5,"5 Source No.",$C2330,"4 Item Ledger Entry Type",$C$4,"2 Item No.","@@"&amp;$F2330,"3 Posting Date",U$9)+NL("Sum","5802 Value Entry","17 Sales Amount (Actual)","41 Source Type",$C$5,"5 Source no.",$C2330,"4 Item Ledger Entry Type",$C$4,"2 Item No.","@@"&amp;$F2330,"3 Posting Date",U$9)</t>
  </si>
  <si>
    <t>=-NL("Sum","5802 Value Entry","151 Cost Amount (Expected)","41 Source Type",$C$5,"5 Source No.",$C2330,"4 Item Ledger Entry Type",$C$4,"2 Item No.","@@"&amp;$F2330,"3 Posting Date",U$9)-NL("Sum","5802 Value Entry","43 Cost Amount (Actual)","41 Source Type",$C$5,"5 Source no.",$C2330,"4 Item Ledger Entry Type",$C$4,"2 Item No.","@@"&amp;$F2330,"3 Posting Date",U$9)</t>
  </si>
  <si>
    <t>=U2330-W2330</t>
  </si>
  <si>
    <t>=IF(U2330&lt;&gt;0,X2330/U2330,"")</t>
  </si>
  <si>
    <t>=NL("Sum","5802 Value Entry","150 Sales Amount (Expected)","41 Source Type",$C$5,"5 Source No.",$C2330,"4 Item Ledger Entry Type",$C$4,"2 Item No.","@@"&amp;$F2330,"3 Posting Date",Z$9)+NL("Sum","5802 Value Entry","17 Sales Amount (Actual)","41 Source Type",$C$5,"5 Source no.",$C2330,"4 Item Ledger Entry Type",$C$4,"2 Item No.","@@"&amp;$F2330,"3 Posting Date",Z$9)</t>
  </si>
  <si>
    <t>=-NL("Sum","5802 Value Entry","151 Cost Amount (Expected)","41 Source Type",$C$5,"5 Source No.",$C2330,"4 Item Ledger Entry Type",$C$4,"2 Item No.","@@"&amp;$F2330,"3 Posting Date",Z$9)-NL("Sum","5802 Value Entry","43 Cost Amount (Actual)","41 Source Type",$C$5,"5 Source no.",$C2330,"4 Item Ledger Entry Type",$C$4,"2 Item No.","@@"&amp;$F2330,"3 Posting Date",Z$9)</t>
  </si>
  <si>
    <t>=Z2330-AB2330</t>
  </si>
  <si>
    <t>=IF(Z2330&lt;&gt;0,AC2330/Z2330,"")</t>
  </si>
  <si>
    <t>=C2330</t>
  </si>
  <si>
    <t>=NL("Sum","5802 Value Entry","150 Sales Amount (Expected)","41 Source Type",$C$5,"5 Source No.",$C2331,"4 Item Ledger Entry Type",$C$4,"2 Item No.","@@"&amp;$F2331,"3 Posting Date",J$9)+NL("Sum","5802 Value Entry","17 Sales Amount (Actual)","41 Source Type",$C$5,"5 Source no.",$C2331,"4 Item Ledger Entry Type",$C$4,"2 Item No.","@@"&amp;$F2331,"3 Posting Date",J$9)</t>
  </si>
  <si>
    <t>=-NL("Sum","5802 Value Entry","151 Cost Amount (Expected)","41 Source Type",$C$5,"5 Source No.",$C2331,"4 Item Ledger Entry Type",$C$4,"2 Item No.","@@"&amp;$F2331,"3 Posting Date",J$9)-NL("Sum","5802 Value Entry","43 Cost Amount (Actual)","41 Source Type",$C$5,"5 Source no.",$C2331,"4 Item Ledger Entry Type",$C$4,"2 Item No.","@@"&amp;$F2331,"3 Posting Date",J$9)</t>
  </si>
  <si>
    <t>=J2331-L2331</t>
  </si>
  <si>
    <t>=IF(J2331&lt;&gt;0,M2331/J2331,"")</t>
  </si>
  <si>
    <t>=NL("Sum","5802 Value Entry","150 Sales Amount (Expected)","41 Source Type",$C$5,"5 Source No.",$C2331,"4 Item Ledger Entry Type",$C$4,"2 Item No.","@@"&amp;$F2331,"3 Posting Date",O$9)+NL("Sum","5802 Value Entry","17 Sales Amount (Actual)","41 Source Type",$C$5,"5 Source no.",$C2331,"4 Item Ledger Entry Type",$C$4,"2 Item No.","@@"&amp;$F2331,"3 Posting Date",O$9)</t>
  </si>
  <si>
    <t>=-NL("Sum","5802 Value Entry","151 Cost Amount (Expected)","41 Source Type",$C$5,"5 Source No.",$C2331,"4 Item Ledger Entry Type",$C$4,"2 Item No.","@@"&amp;$F2331,"3 Posting Date",O$9)-NL("Sum","5802 Value Entry","43 Cost Amount (Actual)","41 Source Type",$C$5,"5 Source no.",$C2331,"4 Item Ledger Entry Type",$C$4,"2 Item No.","@@"&amp;$F2331,"3 Posting Date",O$9)</t>
  </si>
  <si>
    <t>=O2331-Q2331</t>
  </si>
  <si>
    <t>=IF(O2331&lt;&gt;0,R2331/O2331,"")</t>
  </si>
  <si>
    <t>=NL("Sum","5802 Value Entry","150 Sales Amount (Expected)","41 Source Type",$C$5,"5 Source No.",$C2331,"4 Item Ledger Entry Type",$C$4,"2 Item No.","@@"&amp;$F2331,"3 Posting Date",U$9)+NL("Sum","5802 Value Entry","17 Sales Amount (Actual)","41 Source Type",$C$5,"5 Source no.",$C2331,"4 Item Ledger Entry Type",$C$4,"2 Item No.","@@"&amp;$F2331,"3 Posting Date",U$9)</t>
  </si>
  <si>
    <t>=-NL("Sum","5802 Value Entry","151 Cost Amount (Expected)","41 Source Type",$C$5,"5 Source No.",$C2331,"4 Item Ledger Entry Type",$C$4,"2 Item No.","@@"&amp;$F2331,"3 Posting Date",U$9)-NL("Sum","5802 Value Entry","43 Cost Amount (Actual)","41 Source Type",$C$5,"5 Source no.",$C2331,"4 Item Ledger Entry Type",$C$4,"2 Item No.","@@"&amp;$F2331,"3 Posting Date",U$9)</t>
  </si>
  <si>
    <t>=U2331-W2331</t>
  </si>
  <si>
    <t>=IF(U2331&lt;&gt;0,X2331/U2331,"")</t>
  </si>
  <si>
    <t>=NL("Sum","5802 Value Entry","150 Sales Amount (Expected)","41 Source Type",$C$5,"5 Source No.",$C2331,"4 Item Ledger Entry Type",$C$4,"2 Item No.","@@"&amp;$F2331,"3 Posting Date",Z$9)+NL("Sum","5802 Value Entry","17 Sales Amount (Actual)","41 Source Type",$C$5,"5 Source no.",$C2331,"4 Item Ledger Entry Type",$C$4,"2 Item No.","@@"&amp;$F2331,"3 Posting Date",Z$9)</t>
  </si>
  <si>
    <t>=-NL("Sum","5802 Value Entry","151 Cost Amount (Expected)","41 Source Type",$C$5,"5 Source No.",$C2331,"4 Item Ledger Entry Type",$C$4,"2 Item No.","@@"&amp;$F2331,"3 Posting Date",Z$9)-NL("Sum","5802 Value Entry","43 Cost Amount (Actual)","41 Source Type",$C$5,"5 Source no.",$C2331,"4 Item Ledger Entry Type",$C$4,"2 Item No.","@@"&amp;$F2331,"3 Posting Date",Z$9)</t>
  </si>
  <si>
    <t>=Z2331-AB2331</t>
  </si>
  <si>
    <t>=IF(Z2331&lt;&gt;0,AC2331/Z2331,"")</t>
  </si>
  <si>
    <t>=C2331</t>
  </si>
  <si>
    <t>=NL("Sum","5802 Value Entry","150 Sales Amount (Expected)","41 Source Type",$C$5,"5 Source No.",$C2332,"4 Item Ledger Entry Type",$C$4,"2 Item No.","@@"&amp;$F2332,"3 Posting Date",J$9)+NL("Sum","5802 Value Entry","17 Sales Amount (Actual)","41 Source Type",$C$5,"5 Source no.",$C2332,"4 Item Ledger Entry Type",$C$4,"2 Item No.","@@"&amp;$F2332,"3 Posting Date",J$9)</t>
  </si>
  <si>
    <t>=-NL("Sum","5802 Value Entry","151 Cost Amount (Expected)","41 Source Type",$C$5,"5 Source No.",$C2332,"4 Item Ledger Entry Type",$C$4,"2 Item No.","@@"&amp;$F2332,"3 Posting Date",J$9)-NL("Sum","5802 Value Entry","43 Cost Amount (Actual)","41 Source Type",$C$5,"5 Source no.",$C2332,"4 Item Ledger Entry Type",$C$4,"2 Item No.","@@"&amp;$F2332,"3 Posting Date",J$9)</t>
  </si>
  <si>
    <t>=J2332-L2332</t>
  </si>
  <si>
    <t>=IF(J2332&lt;&gt;0,M2332/J2332,"")</t>
  </si>
  <si>
    <t>=NL("Sum","5802 Value Entry","150 Sales Amount (Expected)","41 Source Type",$C$5,"5 Source No.",$C2332,"4 Item Ledger Entry Type",$C$4,"2 Item No.","@@"&amp;$F2332,"3 Posting Date",O$9)+NL("Sum","5802 Value Entry","17 Sales Amount (Actual)","41 Source Type",$C$5,"5 Source no.",$C2332,"4 Item Ledger Entry Type",$C$4,"2 Item No.","@@"&amp;$F2332,"3 Posting Date",O$9)</t>
  </si>
  <si>
    <t>=-NL("Sum","5802 Value Entry","151 Cost Amount (Expected)","41 Source Type",$C$5,"5 Source No.",$C2332,"4 Item Ledger Entry Type",$C$4,"2 Item No.","@@"&amp;$F2332,"3 Posting Date",O$9)-NL("Sum","5802 Value Entry","43 Cost Amount (Actual)","41 Source Type",$C$5,"5 Source no.",$C2332,"4 Item Ledger Entry Type",$C$4,"2 Item No.","@@"&amp;$F2332,"3 Posting Date",O$9)</t>
  </si>
  <si>
    <t>=O2332-Q2332</t>
  </si>
  <si>
    <t>=IF(O2332&lt;&gt;0,R2332/O2332,"")</t>
  </si>
  <si>
    <t>=NL("Sum","5802 Value Entry","150 Sales Amount (Expected)","41 Source Type",$C$5,"5 Source No.",$C2332,"4 Item Ledger Entry Type",$C$4,"2 Item No.","@@"&amp;$F2332,"3 Posting Date",U$9)+NL("Sum","5802 Value Entry","17 Sales Amount (Actual)","41 Source Type",$C$5,"5 Source no.",$C2332,"4 Item Ledger Entry Type",$C$4,"2 Item No.","@@"&amp;$F2332,"3 Posting Date",U$9)</t>
  </si>
  <si>
    <t>=-NL("Sum","5802 Value Entry","151 Cost Amount (Expected)","41 Source Type",$C$5,"5 Source No.",$C2332,"4 Item Ledger Entry Type",$C$4,"2 Item No.","@@"&amp;$F2332,"3 Posting Date",U$9)-NL("Sum","5802 Value Entry","43 Cost Amount (Actual)","41 Source Type",$C$5,"5 Source no.",$C2332,"4 Item Ledger Entry Type",$C$4,"2 Item No.","@@"&amp;$F2332,"3 Posting Date",U$9)</t>
  </si>
  <si>
    <t>=U2332-W2332</t>
  </si>
  <si>
    <t>=IF(U2332&lt;&gt;0,X2332/U2332,"")</t>
  </si>
  <si>
    <t>=NL("Sum","5802 Value Entry","150 Sales Amount (Expected)","41 Source Type",$C$5,"5 Source No.",$C2332,"4 Item Ledger Entry Type",$C$4,"2 Item No.","@@"&amp;$F2332,"3 Posting Date",Z$9)+NL("Sum","5802 Value Entry","17 Sales Amount (Actual)","41 Source Type",$C$5,"5 Source no.",$C2332,"4 Item Ledger Entry Type",$C$4,"2 Item No.","@@"&amp;$F2332,"3 Posting Date",Z$9)</t>
  </si>
  <si>
    <t>=-NL("Sum","5802 Value Entry","151 Cost Amount (Expected)","41 Source Type",$C$5,"5 Source No.",$C2332,"4 Item Ledger Entry Type",$C$4,"2 Item No.","@@"&amp;$F2332,"3 Posting Date",Z$9)-NL("Sum","5802 Value Entry","43 Cost Amount (Actual)","41 Source Type",$C$5,"5 Source no.",$C2332,"4 Item Ledger Entry Type",$C$4,"2 Item No.","@@"&amp;$F2332,"3 Posting Date",Z$9)</t>
  </si>
  <si>
    <t>=Z2332-AB2332</t>
  </si>
  <si>
    <t>=IF(Z2332&lt;&gt;0,AC2332/Z2332,"")</t>
  </si>
  <si>
    <t>=C2332</t>
  </si>
  <si>
    <t>=NL("Sum","5802 Value Entry","150 Sales Amount (Expected)","41 Source Type",$C$5,"5 Source No.",$C2333,"4 Item Ledger Entry Type",$C$4,"2 Item No.","@@"&amp;$F2333,"3 Posting Date",J$9)+NL("Sum","5802 Value Entry","17 Sales Amount (Actual)","41 Source Type",$C$5,"5 Source no.",$C2333,"4 Item Ledger Entry Type",$C$4,"2 Item No.","@@"&amp;$F2333,"3 Posting Date",J$9)</t>
  </si>
  <si>
    <t>=-NL("Sum","5802 Value Entry","151 Cost Amount (Expected)","41 Source Type",$C$5,"5 Source No.",$C2333,"4 Item Ledger Entry Type",$C$4,"2 Item No.","@@"&amp;$F2333,"3 Posting Date",J$9)-NL("Sum","5802 Value Entry","43 Cost Amount (Actual)","41 Source Type",$C$5,"5 Source no.",$C2333,"4 Item Ledger Entry Type",$C$4,"2 Item No.","@@"&amp;$F2333,"3 Posting Date",J$9)</t>
  </si>
  <si>
    <t>=J2333-L2333</t>
  </si>
  <si>
    <t>=IF(J2333&lt;&gt;0,M2333/J2333,"")</t>
  </si>
  <si>
    <t>=NL("Sum","5802 Value Entry","150 Sales Amount (Expected)","41 Source Type",$C$5,"5 Source No.",$C2333,"4 Item Ledger Entry Type",$C$4,"2 Item No.","@@"&amp;$F2333,"3 Posting Date",O$9)+NL("Sum","5802 Value Entry","17 Sales Amount (Actual)","41 Source Type",$C$5,"5 Source no.",$C2333,"4 Item Ledger Entry Type",$C$4,"2 Item No.","@@"&amp;$F2333,"3 Posting Date",O$9)</t>
  </si>
  <si>
    <t>=-NL("Sum","5802 Value Entry","151 Cost Amount (Expected)","41 Source Type",$C$5,"5 Source No.",$C2333,"4 Item Ledger Entry Type",$C$4,"2 Item No.","@@"&amp;$F2333,"3 Posting Date",O$9)-NL("Sum","5802 Value Entry","43 Cost Amount (Actual)","41 Source Type",$C$5,"5 Source no.",$C2333,"4 Item Ledger Entry Type",$C$4,"2 Item No.","@@"&amp;$F2333,"3 Posting Date",O$9)</t>
  </si>
  <si>
    <t>=O2333-Q2333</t>
  </si>
  <si>
    <t>=IF(O2333&lt;&gt;0,R2333/O2333,"")</t>
  </si>
  <si>
    <t>=NL("Sum","5802 Value Entry","150 Sales Amount (Expected)","41 Source Type",$C$5,"5 Source No.",$C2333,"4 Item Ledger Entry Type",$C$4,"2 Item No.","@@"&amp;$F2333,"3 Posting Date",U$9)+NL("Sum","5802 Value Entry","17 Sales Amount (Actual)","41 Source Type",$C$5,"5 Source no.",$C2333,"4 Item Ledger Entry Type",$C$4,"2 Item No.","@@"&amp;$F2333,"3 Posting Date",U$9)</t>
  </si>
  <si>
    <t>=-NL("Sum","5802 Value Entry","151 Cost Amount (Expected)","41 Source Type",$C$5,"5 Source No.",$C2333,"4 Item Ledger Entry Type",$C$4,"2 Item No.","@@"&amp;$F2333,"3 Posting Date",U$9)-NL("Sum","5802 Value Entry","43 Cost Amount (Actual)","41 Source Type",$C$5,"5 Source no.",$C2333,"4 Item Ledger Entry Type",$C$4,"2 Item No.","@@"&amp;$F2333,"3 Posting Date",U$9)</t>
  </si>
  <si>
    <t>=U2333-W2333</t>
  </si>
  <si>
    <t>=IF(U2333&lt;&gt;0,X2333/U2333,"")</t>
  </si>
  <si>
    <t>=NL("Sum","5802 Value Entry","150 Sales Amount (Expected)","41 Source Type",$C$5,"5 Source No.",$C2333,"4 Item Ledger Entry Type",$C$4,"2 Item No.","@@"&amp;$F2333,"3 Posting Date",Z$9)+NL("Sum","5802 Value Entry","17 Sales Amount (Actual)","41 Source Type",$C$5,"5 Source no.",$C2333,"4 Item Ledger Entry Type",$C$4,"2 Item No.","@@"&amp;$F2333,"3 Posting Date",Z$9)</t>
  </si>
  <si>
    <t>=-NL("Sum","5802 Value Entry","151 Cost Amount (Expected)","41 Source Type",$C$5,"5 Source No.",$C2333,"4 Item Ledger Entry Type",$C$4,"2 Item No.","@@"&amp;$F2333,"3 Posting Date",Z$9)-NL("Sum","5802 Value Entry","43 Cost Amount (Actual)","41 Source Type",$C$5,"5 Source no.",$C2333,"4 Item Ledger Entry Type",$C$4,"2 Item No.","@@"&amp;$F2333,"3 Posting Date",Z$9)</t>
  </si>
  <si>
    <t>=Z2333-AB2333</t>
  </si>
  <si>
    <t>=IF(Z2333&lt;&gt;0,AC2333/Z2333,"")</t>
  </si>
  <si>
    <t>=C2333</t>
  </si>
  <si>
    <t>=NL("Sum","5802 Value Entry","150 Sales Amount (Expected)","41 Source Type",$C$5,"5 Source No.",$C2334,"4 Item Ledger Entry Type",$C$4,"2 Item No.","@@"&amp;$F2334,"3 Posting Date",J$9)+NL("Sum","5802 Value Entry","17 Sales Amount (Actual)","41 Source Type",$C$5,"5 Source no.",$C2334,"4 Item Ledger Entry Type",$C$4,"2 Item No.","@@"&amp;$F2334,"3 Posting Date",J$9)</t>
  </si>
  <si>
    <t>=-NL("Sum","5802 Value Entry","151 Cost Amount (Expected)","41 Source Type",$C$5,"5 Source No.",$C2334,"4 Item Ledger Entry Type",$C$4,"2 Item No.","@@"&amp;$F2334,"3 Posting Date",J$9)-NL("Sum","5802 Value Entry","43 Cost Amount (Actual)","41 Source Type",$C$5,"5 Source no.",$C2334,"4 Item Ledger Entry Type",$C$4,"2 Item No.","@@"&amp;$F2334,"3 Posting Date",J$9)</t>
  </si>
  <si>
    <t>=J2334-L2334</t>
  </si>
  <si>
    <t>=IF(J2334&lt;&gt;0,M2334/J2334,"")</t>
  </si>
  <si>
    <t>=NL("Sum","5802 Value Entry","150 Sales Amount (Expected)","41 Source Type",$C$5,"5 Source No.",$C2334,"4 Item Ledger Entry Type",$C$4,"2 Item No.","@@"&amp;$F2334,"3 Posting Date",O$9)+NL("Sum","5802 Value Entry","17 Sales Amount (Actual)","41 Source Type",$C$5,"5 Source no.",$C2334,"4 Item Ledger Entry Type",$C$4,"2 Item No.","@@"&amp;$F2334,"3 Posting Date",O$9)</t>
  </si>
  <si>
    <t>=-NL("Sum","5802 Value Entry","151 Cost Amount (Expected)","41 Source Type",$C$5,"5 Source No.",$C2334,"4 Item Ledger Entry Type",$C$4,"2 Item No.","@@"&amp;$F2334,"3 Posting Date",O$9)-NL("Sum","5802 Value Entry","43 Cost Amount (Actual)","41 Source Type",$C$5,"5 Source no.",$C2334,"4 Item Ledger Entry Type",$C$4,"2 Item No.","@@"&amp;$F2334,"3 Posting Date",O$9)</t>
  </si>
  <si>
    <t>=O2334-Q2334</t>
  </si>
  <si>
    <t>=IF(O2334&lt;&gt;0,R2334/O2334,"")</t>
  </si>
  <si>
    <t>=NL("Sum","5802 Value Entry","150 Sales Amount (Expected)","41 Source Type",$C$5,"5 Source No.",$C2334,"4 Item Ledger Entry Type",$C$4,"2 Item No.","@@"&amp;$F2334,"3 Posting Date",U$9)+NL("Sum","5802 Value Entry","17 Sales Amount (Actual)","41 Source Type",$C$5,"5 Source no.",$C2334,"4 Item Ledger Entry Type",$C$4,"2 Item No.","@@"&amp;$F2334,"3 Posting Date",U$9)</t>
  </si>
  <si>
    <t>=-NL("Sum","5802 Value Entry","151 Cost Amount (Expected)","41 Source Type",$C$5,"5 Source No.",$C2334,"4 Item Ledger Entry Type",$C$4,"2 Item No.","@@"&amp;$F2334,"3 Posting Date",U$9)-NL("Sum","5802 Value Entry","43 Cost Amount (Actual)","41 Source Type",$C$5,"5 Source no.",$C2334,"4 Item Ledger Entry Type",$C$4,"2 Item No.","@@"&amp;$F2334,"3 Posting Date",U$9)</t>
  </si>
  <si>
    <t>=U2334-W2334</t>
  </si>
  <si>
    <t>=IF(U2334&lt;&gt;0,X2334/U2334,"")</t>
  </si>
  <si>
    <t>=NL("Sum","5802 Value Entry","150 Sales Amount (Expected)","41 Source Type",$C$5,"5 Source No.",$C2334,"4 Item Ledger Entry Type",$C$4,"2 Item No.","@@"&amp;$F2334,"3 Posting Date",Z$9)+NL("Sum","5802 Value Entry","17 Sales Amount (Actual)","41 Source Type",$C$5,"5 Source no.",$C2334,"4 Item Ledger Entry Type",$C$4,"2 Item No.","@@"&amp;$F2334,"3 Posting Date",Z$9)</t>
  </si>
  <si>
    <t>=-NL("Sum","5802 Value Entry","151 Cost Amount (Expected)","41 Source Type",$C$5,"5 Source No.",$C2334,"4 Item Ledger Entry Type",$C$4,"2 Item No.","@@"&amp;$F2334,"3 Posting Date",Z$9)-NL("Sum","5802 Value Entry","43 Cost Amount (Actual)","41 Source Type",$C$5,"5 Source no.",$C2334,"4 Item Ledger Entry Type",$C$4,"2 Item No.","@@"&amp;$F2334,"3 Posting Date",Z$9)</t>
  </si>
  <si>
    <t>=Z2334-AB2334</t>
  </si>
  <si>
    <t>=IF(Z2334&lt;&gt;0,AC2334/Z2334,"")</t>
  </si>
  <si>
    <t>=C2334</t>
  </si>
  <si>
    <t>=NL("Sum","5802 Value Entry","150 Sales Amount (Expected)","41 Source Type",$C$5,"5 Source No.",$C2335,"4 Item Ledger Entry Type",$C$4,"2 Item No.","@@"&amp;$F2335,"3 Posting Date",J$9)+NL("Sum","5802 Value Entry","17 Sales Amount (Actual)","41 Source Type",$C$5,"5 Source no.",$C2335,"4 Item Ledger Entry Type",$C$4,"2 Item No.","@@"&amp;$F2335,"3 Posting Date",J$9)</t>
  </si>
  <si>
    <t>=-NL("Sum","5802 Value Entry","151 Cost Amount (Expected)","41 Source Type",$C$5,"5 Source No.",$C2335,"4 Item Ledger Entry Type",$C$4,"2 Item No.","@@"&amp;$F2335,"3 Posting Date",J$9)-NL("Sum","5802 Value Entry","43 Cost Amount (Actual)","41 Source Type",$C$5,"5 Source no.",$C2335,"4 Item Ledger Entry Type",$C$4,"2 Item No.","@@"&amp;$F2335,"3 Posting Date",J$9)</t>
  </si>
  <si>
    <t>=J2335-L2335</t>
  </si>
  <si>
    <t>=IF(J2335&lt;&gt;0,M2335/J2335,"")</t>
  </si>
  <si>
    <t>=NL("Sum","5802 Value Entry","150 Sales Amount (Expected)","41 Source Type",$C$5,"5 Source No.",$C2335,"4 Item Ledger Entry Type",$C$4,"2 Item No.","@@"&amp;$F2335,"3 Posting Date",O$9)+NL("Sum","5802 Value Entry","17 Sales Amount (Actual)","41 Source Type",$C$5,"5 Source no.",$C2335,"4 Item Ledger Entry Type",$C$4,"2 Item No.","@@"&amp;$F2335,"3 Posting Date",O$9)</t>
  </si>
  <si>
    <t>=-NL("Sum","5802 Value Entry","151 Cost Amount (Expected)","41 Source Type",$C$5,"5 Source No.",$C2335,"4 Item Ledger Entry Type",$C$4,"2 Item No.","@@"&amp;$F2335,"3 Posting Date",O$9)-NL("Sum","5802 Value Entry","43 Cost Amount (Actual)","41 Source Type",$C$5,"5 Source no.",$C2335,"4 Item Ledger Entry Type",$C$4,"2 Item No.","@@"&amp;$F2335,"3 Posting Date",O$9)</t>
  </si>
  <si>
    <t>=O2335-Q2335</t>
  </si>
  <si>
    <t>=IF(O2335&lt;&gt;0,R2335/O2335,"")</t>
  </si>
  <si>
    <t>=NL("Sum","5802 Value Entry","150 Sales Amount (Expected)","41 Source Type",$C$5,"5 Source No.",$C2335,"4 Item Ledger Entry Type",$C$4,"2 Item No.","@@"&amp;$F2335,"3 Posting Date",U$9)+NL("Sum","5802 Value Entry","17 Sales Amount (Actual)","41 Source Type",$C$5,"5 Source no.",$C2335,"4 Item Ledger Entry Type",$C$4,"2 Item No.","@@"&amp;$F2335,"3 Posting Date",U$9)</t>
  </si>
  <si>
    <t>=-NL("Sum","5802 Value Entry","151 Cost Amount (Expected)","41 Source Type",$C$5,"5 Source No.",$C2335,"4 Item Ledger Entry Type",$C$4,"2 Item No.","@@"&amp;$F2335,"3 Posting Date",U$9)-NL("Sum","5802 Value Entry","43 Cost Amount (Actual)","41 Source Type",$C$5,"5 Source no.",$C2335,"4 Item Ledger Entry Type",$C$4,"2 Item No.","@@"&amp;$F2335,"3 Posting Date",U$9)</t>
  </si>
  <si>
    <t>=U2335-W2335</t>
  </si>
  <si>
    <t>=IF(U2335&lt;&gt;0,X2335/U2335,"")</t>
  </si>
  <si>
    <t>=NL("Sum","5802 Value Entry","150 Sales Amount (Expected)","41 Source Type",$C$5,"5 Source No.",$C2335,"4 Item Ledger Entry Type",$C$4,"2 Item No.","@@"&amp;$F2335,"3 Posting Date",Z$9)+NL("Sum","5802 Value Entry","17 Sales Amount (Actual)","41 Source Type",$C$5,"5 Source no.",$C2335,"4 Item Ledger Entry Type",$C$4,"2 Item No.","@@"&amp;$F2335,"3 Posting Date",Z$9)</t>
  </si>
  <si>
    <t>=-NL("Sum","5802 Value Entry","151 Cost Amount (Expected)","41 Source Type",$C$5,"5 Source No.",$C2335,"4 Item Ledger Entry Type",$C$4,"2 Item No.","@@"&amp;$F2335,"3 Posting Date",Z$9)-NL("Sum","5802 Value Entry","43 Cost Amount (Actual)","41 Source Type",$C$5,"5 Source no.",$C2335,"4 Item Ledger Entry Type",$C$4,"2 Item No.","@@"&amp;$F2335,"3 Posting Date",Z$9)</t>
  </si>
  <si>
    <t>=Z2335-AB2335</t>
  </si>
  <si>
    <t>=IF(Z2335&lt;&gt;0,AC2335/Z2335,"")</t>
  </si>
  <si>
    <t>=C2335</t>
  </si>
  <si>
    <t>=NL("Sum","5802 Value Entry","150 Sales Amount (Expected)","41 Source Type",$C$5,"5 Source No.",$C2336,"4 Item Ledger Entry Type",$C$4,"2 Item No.","@@"&amp;$F2336,"3 Posting Date",J$9)+NL("Sum","5802 Value Entry","17 Sales Amount (Actual)","41 Source Type",$C$5,"5 Source no.",$C2336,"4 Item Ledger Entry Type",$C$4,"2 Item No.","@@"&amp;$F2336,"3 Posting Date",J$9)</t>
  </si>
  <si>
    <t>=-NL("Sum","5802 Value Entry","151 Cost Amount (Expected)","41 Source Type",$C$5,"5 Source No.",$C2336,"4 Item Ledger Entry Type",$C$4,"2 Item No.","@@"&amp;$F2336,"3 Posting Date",J$9)-NL("Sum","5802 Value Entry","43 Cost Amount (Actual)","41 Source Type",$C$5,"5 Source no.",$C2336,"4 Item Ledger Entry Type",$C$4,"2 Item No.","@@"&amp;$F2336,"3 Posting Date",J$9)</t>
  </si>
  <si>
    <t>=J2336-L2336</t>
  </si>
  <si>
    <t>=IF(J2336&lt;&gt;0,M2336/J2336,"")</t>
  </si>
  <si>
    <t>=NL("Sum","5802 Value Entry","150 Sales Amount (Expected)","41 Source Type",$C$5,"5 Source No.",$C2336,"4 Item Ledger Entry Type",$C$4,"2 Item No.","@@"&amp;$F2336,"3 Posting Date",O$9)+NL("Sum","5802 Value Entry","17 Sales Amount (Actual)","41 Source Type",$C$5,"5 Source no.",$C2336,"4 Item Ledger Entry Type",$C$4,"2 Item No.","@@"&amp;$F2336,"3 Posting Date",O$9)</t>
  </si>
  <si>
    <t>=-NL("Sum","5802 Value Entry","151 Cost Amount (Expected)","41 Source Type",$C$5,"5 Source No.",$C2336,"4 Item Ledger Entry Type",$C$4,"2 Item No.","@@"&amp;$F2336,"3 Posting Date",O$9)-NL("Sum","5802 Value Entry","43 Cost Amount (Actual)","41 Source Type",$C$5,"5 Source no.",$C2336,"4 Item Ledger Entry Type",$C$4,"2 Item No.","@@"&amp;$F2336,"3 Posting Date",O$9)</t>
  </si>
  <si>
    <t>=O2336-Q2336</t>
  </si>
  <si>
    <t>=IF(O2336&lt;&gt;0,R2336/O2336,"")</t>
  </si>
  <si>
    <t>=NL("Sum","5802 Value Entry","150 Sales Amount (Expected)","41 Source Type",$C$5,"5 Source No.",$C2336,"4 Item Ledger Entry Type",$C$4,"2 Item No.","@@"&amp;$F2336,"3 Posting Date",U$9)+NL("Sum","5802 Value Entry","17 Sales Amount (Actual)","41 Source Type",$C$5,"5 Source no.",$C2336,"4 Item Ledger Entry Type",$C$4,"2 Item No.","@@"&amp;$F2336,"3 Posting Date",U$9)</t>
  </si>
  <si>
    <t>=-NL("Sum","5802 Value Entry","151 Cost Amount (Expected)","41 Source Type",$C$5,"5 Source No.",$C2336,"4 Item Ledger Entry Type",$C$4,"2 Item No.","@@"&amp;$F2336,"3 Posting Date",U$9)-NL("Sum","5802 Value Entry","43 Cost Amount (Actual)","41 Source Type",$C$5,"5 Source no.",$C2336,"4 Item Ledger Entry Type",$C$4,"2 Item No.","@@"&amp;$F2336,"3 Posting Date",U$9)</t>
  </si>
  <si>
    <t>=U2336-W2336</t>
  </si>
  <si>
    <t>=IF(U2336&lt;&gt;0,X2336/U2336,"")</t>
  </si>
  <si>
    <t>=NL("Sum","5802 Value Entry","150 Sales Amount (Expected)","41 Source Type",$C$5,"5 Source No.",$C2336,"4 Item Ledger Entry Type",$C$4,"2 Item No.","@@"&amp;$F2336,"3 Posting Date",Z$9)+NL("Sum","5802 Value Entry","17 Sales Amount (Actual)","41 Source Type",$C$5,"5 Source no.",$C2336,"4 Item Ledger Entry Type",$C$4,"2 Item No.","@@"&amp;$F2336,"3 Posting Date",Z$9)</t>
  </si>
  <si>
    <t>=-NL("Sum","5802 Value Entry","151 Cost Amount (Expected)","41 Source Type",$C$5,"5 Source No.",$C2336,"4 Item Ledger Entry Type",$C$4,"2 Item No.","@@"&amp;$F2336,"3 Posting Date",Z$9)-NL("Sum","5802 Value Entry","43 Cost Amount (Actual)","41 Source Type",$C$5,"5 Source no.",$C2336,"4 Item Ledger Entry Type",$C$4,"2 Item No.","@@"&amp;$F2336,"3 Posting Date",Z$9)</t>
  </si>
  <si>
    <t>=Z2336-AB2336</t>
  </si>
  <si>
    <t>=IF(Z2336&lt;&gt;0,AC2336/Z2336,"")</t>
  </si>
  <si>
    <t>=C2336</t>
  </si>
  <si>
    <t>=NL("Sum","5802 Value Entry","150 Sales Amount (Expected)","41 Source Type",$C$5,"5 Source No.",$C2337,"4 Item Ledger Entry Type",$C$4,"2 Item No.","@@"&amp;$F2337,"3 Posting Date",J$9)+NL("Sum","5802 Value Entry","17 Sales Amount (Actual)","41 Source Type",$C$5,"5 Source no.",$C2337,"4 Item Ledger Entry Type",$C$4,"2 Item No.","@@"&amp;$F2337,"3 Posting Date",J$9)</t>
  </si>
  <si>
    <t>=-NL("Sum","5802 Value Entry","151 Cost Amount (Expected)","41 Source Type",$C$5,"5 Source No.",$C2337,"4 Item Ledger Entry Type",$C$4,"2 Item No.","@@"&amp;$F2337,"3 Posting Date",J$9)-NL("Sum","5802 Value Entry","43 Cost Amount (Actual)","41 Source Type",$C$5,"5 Source no.",$C2337,"4 Item Ledger Entry Type",$C$4,"2 Item No.","@@"&amp;$F2337,"3 Posting Date",J$9)</t>
  </si>
  <si>
    <t>=J2337-L2337</t>
  </si>
  <si>
    <t>=IF(J2337&lt;&gt;0,M2337/J2337,"")</t>
  </si>
  <si>
    <t>=NL("Sum","5802 Value Entry","150 Sales Amount (Expected)","41 Source Type",$C$5,"5 Source No.",$C2337,"4 Item Ledger Entry Type",$C$4,"2 Item No.","@@"&amp;$F2337,"3 Posting Date",O$9)+NL("Sum","5802 Value Entry","17 Sales Amount (Actual)","41 Source Type",$C$5,"5 Source no.",$C2337,"4 Item Ledger Entry Type",$C$4,"2 Item No.","@@"&amp;$F2337,"3 Posting Date",O$9)</t>
  </si>
  <si>
    <t>=-NL("Sum","5802 Value Entry","151 Cost Amount (Expected)","41 Source Type",$C$5,"5 Source No.",$C2337,"4 Item Ledger Entry Type",$C$4,"2 Item No.","@@"&amp;$F2337,"3 Posting Date",O$9)-NL("Sum","5802 Value Entry","43 Cost Amount (Actual)","41 Source Type",$C$5,"5 Source no.",$C2337,"4 Item Ledger Entry Type",$C$4,"2 Item No.","@@"&amp;$F2337,"3 Posting Date",O$9)</t>
  </si>
  <si>
    <t>=O2337-Q2337</t>
  </si>
  <si>
    <t>=IF(O2337&lt;&gt;0,R2337/O2337,"")</t>
  </si>
  <si>
    <t>=NL("Sum","5802 Value Entry","150 Sales Amount (Expected)","41 Source Type",$C$5,"5 Source No.",$C2337,"4 Item Ledger Entry Type",$C$4,"2 Item No.","@@"&amp;$F2337,"3 Posting Date",U$9)+NL("Sum","5802 Value Entry","17 Sales Amount (Actual)","41 Source Type",$C$5,"5 Source no.",$C2337,"4 Item Ledger Entry Type",$C$4,"2 Item No.","@@"&amp;$F2337,"3 Posting Date",U$9)</t>
  </si>
  <si>
    <t>=-NL("Sum","5802 Value Entry","151 Cost Amount (Expected)","41 Source Type",$C$5,"5 Source No.",$C2337,"4 Item Ledger Entry Type",$C$4,"2 Item No.","@@"&amp;$F2337,"3 Posting Date",U$9)-NL("Sum","5802 Value Entry","43 Cost Amount (Actual)","41 Source Type",$C$5,"5 Source no.",$C2337,"4 Item Ledger Entry Type",$C$4,"2 Item No.","@@"&amp;$F2337,"3 Posting Date",U$9)</t>
  </si>
  <si>
    <t>=U2337-W2337</t>
  </si>
  <si>
    <t>=IF(U2337&lt;&gt;0,X2337/U2337,"")</t>
  </si>
  <si>
    <t>=NL("Sum","5802 Value Entry","150 Sales Amount (Expected)","41 Source Type",$C$5,"5 Source No.",$C2337,"4 Item Ledger Entry Type",$C$4,"2 Item No.","@@"&amp;$F2337,"3 Posting Date",Z$9)+NL("Sum","5802 Value Entry","17 Sales Amount (Actual)","41 Source Type",$C$5,"5 Source no.",$C2337,"4 Item Ledger Entry Type",$C$4,"2 Item No.","@@"&amp;$F2337,"3 Posting Date",Z$9)</t>
  </si>
  <si>
    <t>=-NL("Sum","5802 Value Entry","151 Cost Amount (Expected)","41 Source Type",$C$5,"5 Source No.",$C2337,"4 Item Ledger Entry Type",$C$4,"2 Item No.","@@"&amp;$F2337,"3 Posting Date",Z$9)-NL("Sum","5802 Value Entry","43 Cost Amount (Actual)","41 Source Type",$C$5,"5 Source no.",$C2337,"4 Item Ledger Entry Type",$C$4,"2 Item No.","@@"&amp;$F2337,"3 Posting Date",Z$9)</t>
  </si>
  <si>
    <t>=Z2337-AB2337</t>
  </si>
  <si>
    <t>=IF(Z2337&lt;&gt;0,AC2337/Z2337,"")</t>
  </si>
  <si>
    <t>=C2337</t>
  </si>
  <si>
    <t>=NL("Sum","5802 Value Entry","150 Sales Amount (Expected)","41 Source Type",$C$5,"5 Source No.",$C2338,"4 Item Ledger Entry Type",$C$4,"2 Item No.","@@"&amp;$F2338,"3 Posting Date",J$9)+NL("Sum","5802 Value Entry","17 Sales Amount (Actual)","41 Source Type",$C$5,"5 Source no.",$C2338,"4 Item Ledger Entry Type",$C$4,"2 Item No.","@@"&amp;$F2338,"3 Posting Date",J$9)</t>
  </si>
  <si>
    <t>=-NL("Sum","5802 Value Entry","151 Cost Amount (Expected)","41 Source Type",$C$5,"5 Source No.",$C2338,"4 Item Ledger Entry Type",$C$4,"2 Item No.","@@"&amp;$F2338,"3 Posting Date",J$9)-NL("Sum","5802 Value Entry","43 Cost Amount (Actual)","41 Source Type",$C$5,"5 Source no.",$C2338,"4 Item Ledger Entry Type",$C$4,"2 Item No.","@@"&amp;$F2338,"3 Posting Date",J$9)</t>
  </si>
  <si>
    <t>=J2338-L2338</t>
  </si>
  <si>
    <t>=IF(J2338&lt;&gt;0,M2338/J2338,"")</t>
  </si>
  <si>
    <t>=NL("Sum","5802 Value Entry","150 Sales Amount (Expected)","41 Source Type",$C$5,"5 Source No.",$C2338,"4 Item Ledger Entry Type",$C$4,"2 Item No.","@@"&amp;$F2338,"3 Posting Date",O$9)+NL("Sum","5802 Value Entry","17 Sales Amount (Actual)","41 Source Type",$C$5,"5 Source no.",$C2338,"4 Item Ledger Entry Type",$C$4,"2 Item No.","@@"&amp;$F2338,"3 Posting Date",O$9)</t>
  </si>
  <si>
    <t>=-NL("Sum","5802 Value Entry","151 Cost Amount (Expected)","41 Source Type",$C$5,"5 Source No.",$C2338,"4 Item Ledger Entry Type",$C$4,"2 Item No.","@@"&amp;$F2338,"3 Posting Date",O$9)-NL("Sum","5802 Value Entry","43 Cost Amount (Actual)","41 Source Type",$C$5,"5 Source no.",$C2338,"4 Item Ledger Entry Type",$C$4,"2 Item No.","@@"&amp;$F2338,"3 Posting Date",O$9)</t>
  </si>
  <si>
    <t>=O2338-Q2338</t>
  </si>
  <si>
    <t>=IF(O2338&lt;&gt;0,R2338/O2338,"")</t>
  </si>
  <si>
    <t>=NL("Sum","5802 Value Entry","150 Sales Amount (Expected)","41 Source Type",$C$5,"5 Source No.",$C2338,"4 Item Ledger Entry Type",$C$4,"2 Item No.","@@"&amp;$F2338,"3 Posting Date",U$9)+NL("Sum","5802 Value Entry","17 Sales Amount (Actual)","41 Source Type",$C$5,"5 Source no.",$C2338,"4 Item Ledger Entry Type",$C$4,"2 Item No.","@@"&amp;$F2338,"3 Posting Date",U$9)</t>
  </si>
  <si>
    <t>=-NL("Sum","5802 Value Entry","151 Cost Amount (Expected)","41 Source Type",$C$5,"5 Source No.",$C2338,"4 Item Ledger Entry Type",$C$4,"2 Item No.","@@"&amp;$F2338,"3 Posting Date",U$9)-NL("Sum","5802 Value Entry","43 Cost Amount (Actual)","41 Source Type",$C$5,"5 Source no.",$C2338,"4 Item Ledger Entry Type",$C$4,"2 Item No.","@@"&amp;$F2338,"3 Posting Date",U$9)</t>
  </si>
  <si>
    <t>=U2338-W2338</t>
  </si>
  <si>
    <t>=IF(U2338&lt;&gt;0,X2338/U2338,"")</t>
  </si>
  <si>
    <t>=NL("Sum","5802 Value Entry","150 Sales Amount (Expected)","41 Source Type",$C$5,"5 Source No.",$C2338,"4 Item Ledger Entry Type",$C$4,"2 Item No.","@@"&amp;$F2338,"3 Posting Date",Z$9)+NL("Sum","5802 Value Entry","17 Sales Amount (Actual)","41 Source Type",$C$5,"5 Source no.",$C2338,"4 Item Ledger Entry Type",$C$4,"2 Item No.","@@"&amp;$F2338,"3 Posting Date",Z$9)</t>
  </si>
  <si>
    <t>=-NL("Sum","5802 Value Entry","151 Cost Amount (Expected)","41 Source Type",$C$5,"5 Source No.",$C2338,"4 Item Ledger Entry Type",$C$4,"2 Item No.","@@"&amp;$F2338,"3 Posting Date",Z$9)-NL("Sum","5802 Value Entry","43 Cost Amount (Actual)","41 Source Type",$C$5,"5 Source no.",$C2338,"4 Item Ledger Entry Type",$C$4,"2 Item No.","@@"&amp;$F2338,"3 Posting Date",Z$9)</t>
  </si>
  <si>
    <t>=Z2338-AB2338</t>
  </si>
  <si>
    <t>=IF(Z2338&lt;&gt;0,AC2338/Z2338,"")</t>
  </si>
  <si>
    <t>=C2339</t>
  </si>
  <si>
    <t>=J2340-L2340</t>
  </si>
  <si>
    <t>=IF(J2340&lt;&gt;0,M2340/J2340,"")</t>
  </si>
  <si>
    <t>=O2340-Q2340</t>
  </si>
  <si>
    <t>=IF(O2340&lt;&gt;0,R2340/O2340,"")</t>
  </si>
  <si>
    <t>=U2340-W2340</t>
  </si>
  <si>
    <t>=IF(U2340&lt;&gt;0,X2340/U2340,"")</t>
  </si>
  <si>
    <t>=Z2340-AB2340</t>
  </si>
  <si>
    <t>=IF(Z2340&lt;&gt;0,AC2340/Z2340,"")</t>
  </si>
  <si>
    <t>=C2342</t>
  </si>
  <si>
    <t>=C2343</t>
  </si>
  <si>
    <t>=NL("Sum","5802 Value Entry","150 Sales Amount (Expected)","41 Source Type",$C$5,"5 Source No.",$C2344,"4 Item Ledger Entry Type",$C$4,"2 Item No.","@@"&amp;$F2344,"3 Posting Date",J$9)+NL("Sum","5802 Value Entry","17 Sales Amount (Actual)","41 Source Type",$C$5,"5 Source no.",$C2344,"4 Item Ledger Entry Type",$C$4,"2 Item No.","@@"&amp;$F2344,"3 Posting Date",J$9)</t>
  </si>
  <si>
    <t>=-NL("Sum","5802 Value Entry","151 Cost Amount (Expected)","41 Source Type",$C$5,"5 Source No.",$C2344,"4 Item Ledger Entry Type",$C$4,"2 Item No.","@@"&amp;$F2344,"3 Posting Date",J$9)-NL("Sum","5802 Value Entry","43 Cost Amount (Actual)","41 Source Type",$C$5,"5 Source no.",$C2344,"4 Item Ledger Entry Type",$C$4,"2 Item No.","@@"&amp;$F2344,"3 Posting Date",J$9)</t>
  </si>
  <si>
    <t>=J2344-L2344</t>
  </si>
  <si>
    <t>=IF(J2344&lt;&gt;0,M2344/J2344,"")</t>
  </si>
  <si>
    <t>=NL("Sum","5802 Value Entry","150 Sales Amount (Expected)","41 Source Type",$C$5,"5 Source No.",$C2344,"4 Item Ledger Entry Type",$C$4,"2 Item No.","@@"&amp;$F2344,"3 Posting Date",O$9)+NL("Sum","5802 Value Entry","17 Sales Amount (Actual)","41 Source Type",$C$5,"5 Source no.",$C2344,"4 Item Ledger Entry Type",$C$4,"2 Item No.","@@"&amp;$F2344,"3 Posting Date",O$9)</t>
  </si>
  <si>
    <t>=-NL("Sum","5802 Value Entry","151 Cost Amount (Expected)","41 Source Type",$C$5,"5 Source No.",$C2344,"4 Item Ledger Entry Type",$C$4,"2 Item No.","@@"&amp;$F2344,"3 Posting Date",O$9)-NL("Sum","5802 Value Entry","43 Cost Amount (Actual)","41 Source Type",$C$5,"5 Source no.",$C2344,"4 Item Ledger Entry Type",$C$4,"2 Item No.","@@"&amp;$F2344,"3 Posting Date",O$9)</t>
  </si>
  <si>
    <t>=O2344-Q2344</t>
  </si>
  <si>
    <t>=IF(O2344&lt;&gt;0,R2344/O2344,"")</t>
  </si>
  <si>
    <t>=NL("Sum","5802 Value Entry","150 Sales Amount (Expected)","41 Source Type",$C$5,"5 Source No.",$C2344,"4 Item Ledger Entry Type",$C$4,"2 Item No.","@@"&amp;$F2344,"3 Posting Date",U$9)+NL("Sum","5802 Value Entry","17 Sales Amount (Actual)","41 Source Type",$C$5,"5 Source no.",$C2344,"4 Item Ledger Entry Type",$C$4,"2 Item No.","@@"&amp;$F2344,"3 Posting Date",U$9)</t>
  </si>
  <si>
    <t>=-NL("Sum","5802 Value Entry","151 Cost Amount (Expected)","41 Source Type",$C$5,"5 Source No.",$C2344,"4 Item Ledger Entry Type",$C$4,"2 Item No.","@@"&amp;$F2344,"3 Posting Date",U$9)-NL("Sum","5802 Value Entry","43 Cost Amount (Actual)","41 Source Type",$C$5,"5 Source no.",$C2344,"4 Item Ledger Entry Type",$C$4,"2 Item No.","@@"&amp;$F2344,"3 Posting Date",U$9)</t>
  </si>
  <si>
    <t>=U2344-W2344</t>
  </si>
  <si>
    <t>=IF(U2344&lt;&gt;0,X2344/U2344,"")</t>
  </si>
  <si>
    <t>=NL("Sum","5802 Value Entry","150 Sales Amount (Expected)","41 Source Type",$C$5,"5 Source No.",$C2344,"4 Item Ledger Entry Type",$C$4,"2 Item No.","@@"&amp;$F2344,"3 Posting Date",Z$9)+NL("Sum","5802 Value Entry","17 Sales Amount (Actual)","41 Source Type",$C$5,"5 Source no.",$C2344,"4 Item Ledger Entry Type",$C$4,"2 Item No.","@@"&amp;$F2344,"3 Posting Date",Z$9)</t>
  </si>
  <si>
    <t>=-NL("Sum","5802 Value Entry","151 Cost Amount (Expected)","41 Source Type",$C$5,"5 Source No.",$C2344,"4 Item Ledger Entry Type",$C$4,"2 Item No.","@@"&amp;$F2344,"3 Posting Date",Z$9)-NL("Sum","5802 Value Entry","43 Cost Amount (Actual)","41 Source Type",$C$5,"5 Source no.",$C2344,"4 Item Ledger Entry Type",$C$4,"2 Item No.","@@"&amp;$F2344,"3 Posting Date",Z$9)</t>
  </si>
  <si>
    <t>=Z2344-AB2344</t>
  </si>
  <si>
    <t>=IF(Z2344&lt;&gt;0,AC2344/Z2344,"")</t>
  </si>
  <si>
    <t>=C2344</t>
  </si>
  <si>
    <t>=NL("Sum","5802 Value Entry","150 Sales Amount (Expected)","41 Source Type",$C$5,"5 Source No.",$C2345,"4 Item Ledger Entry Type",$C$4,"2 Item No.","@@"&amp;$F2345,"3 Posting Date",J$9)+NL("Sum","5802 Value Entry","17 Sales Amount (Actual)","41 Source Type",$C$5,"5 Source no.",$C2345,"4 Item Ledger Entry Type",$C$4,"2 Item No.","@@"&amp;$F2345,"3 Posting Date",J$9)</t>
  </si>
  <si>
    <t>=-NL("Sum","5802 Value Entry","151 Cost Amount (Expected)","41 Source Type",$C$5,"5 Source No.",$C2345,"4 Item Ledger Entry Type",$C$4,"2 Item No.","@@"&amp;$F2345,"3 Posting Date",J$9)-NL("Sum","5802 Value Entry","43 Cost Amount (Actual)","41 Source Type",$C$5,"5 Source no.",$C2345,"4 Item Ledger Entry Type",$C$4,"2 Item No.","@@"&amp;$F2345,"3 Posting Date",J$9)</t>
  </si>
  <si>
    <t>=J2345-L2345</t>
  </si>
  <si>
    <t>=IF(J2345&lt;&gt;0,M2345/J2345,"")</t>
  </si>
  <si>
    <t>=NL("Sum","5802 Value Entry","150 Sales Amount (Expected)","41 Source Type",$C$5,"5 Source No.",$C2345,"4 Item Ledger Entry Type",$C$4,"2 Item No.","@@"&amp;$F2345,"3 Posting Date",O$9)+NL("Sum","5802 Value Entry","17 Sales Amount (Actual)","41 Source Type",$C$5,"5 Source no.",$C2345,"4 Item Ledger Entry Type",$C$4,"2 Item No.","@@"&amp;$F2345,"3 Posting Date",O$9)</t>
  </si>
  <si>
    <t>=-NL("Sum","5802 Value Entry","151 Cost Amount (Expected)","41 Source Type",$C$5,"5 Source No.",$C2345,"4 Item Ledger Entry Type",$C$4,"2 Item No.","@@"&amp;$F2345,"3 Posting Date",O$9)-NL("Sum","5802 Value Entry","43 Cost Amount (Actual)","41 Source Type",$C$5,"5 Source no.",$C2345,"4 Item Ledger Entry Type",$C$4,"2 Item No.","@@"&amp;$F2345,"3 Posting Date",O$9)</t>
  </si>
  <si>
    <t>=O2345-Q2345</t>
  </si>
  <si>
    <t>=IF(O2345&lt;&gt;0,R2345/O2345,"")</t>
  </si>
  <si>
    <t>=NL("Sum","5802 Value Entry","150 Sales Amount (Expected)","41 Source Type",$C$5,"5 Source No.",$C2345,"4 Item Ledger Entry Type",$C$4,"2 Item No.","@@"&amp;$F2345,"3 Posting Date",U$9)+NL("Sum","5802 Value Entry","17 Sales Amount (Actual)","41 Source Type",$C$5,"5 Source no.",$C2345,"4 Item Ledger Entry Type",$C$4,"2 Item No.","@@"&amp;$F2345,"3 Posting Date",U$9)</t>
  </si>
  <si>
    <t>=-NL("Sum","5802 Value Entry","151 Cost Amount (Expected)","41 Source Type",$C$5,"5 Source No.",$C2345,"4 Item Ledger Entry Type",$C$4,"2 Item No.","@@"&amp;$F2345,"3 Posting Date",U$9)-NL("Sum","5802 Value Entry","43 Cost Amount (Actual)","41 Source Type",$C$5,"5 Source no.",$C2345,"4 Item Ledger Entry Type",$C$4,"2 Item No.","@@"&amp;$F2345,"3 Posting Date",U$9)</t>
  </si>
  <si>
    <t>=U2345-W2345</t>
  </si>
  <si>
    <t>=IF(U2345&lt;&gt;0,X2345/U2345,"")</t>
  </si>
  <si>
    <t>=NL("Sum","5802 Value Entry","150 Sales Amount (Expected)","41 Source Type",$C$5,"5 Source No.",$C2345,"4 Item Ledger Entry Type",$C$4,"2 Item No.","@@"&amp;$F2345,"3 Posting Date",Z$9)+NL("Sum","5802 Value Entry","17 Sales Amount (Actual)","41 Source Type",$C$5,"5 Source no.",$C2345,"4 Item Ledger Entry Type",$C$4,"2 Item No.","@@"&amp;$F2345,"3 Posting Date",Z$9)</t>
  </si>
  <si>
    <t>=-NL("Sum","5802 Value Entry","151 Cost Amount (Expected)","41 Source Type",$C$5,"5 Source No.",$C2345,"4 Item Ledger Entry Type",$C$4,"2 Item No.","@@"&amp;$F2345,"3 Posting Date",Z$9)-NL("Sum","5802 Value Entry","43 Cost Amount (Actual)","41 Source Type",$C$5,"5 Source no.",$C2345,"4 Item Ledger Entry Type",$C$4,"2 Item No.","@@"&amp;$F2345,"3 Posting Date",Z$9)</t>
  </si>
  <si>
    <t>=Z2345-AB2345</t>
  </si>
  <si>
    <t>=IF(Z2345&lt;&gt;0,AC2345/Z2345,"")</t>
  </si>
  <si>
    <t>=C2345</t>
  </si>
  <si>
    <t>=NL("Sum","5802 Value Entry","150 Sales Amount (Expected)","41 Source Type",$C$5,"5 Source No.",$C2346,"4 Item Ledger Entry Type",$C$4,"2 Item No.","@@"&amp;$F2346,"3 Posting Date",J$9)+NL("Sum","5802 Value Entry","17 Sales Amount (Actual)","41 Source Type",$C$5,"5 Source no.",$C2346,"4 Item Ledger Entry Type",$C$4,"2 Item No.","@@"&amp;$F2346,"3 Posting Date",J$9)</t>
  </si>
  <si>
    <t>=-NL("Sum","5802 Value Entry","151 Cost Amount (Expected)","41 Source Type",$C$5,"5 Source No.",$C2346,"4 Item Ledger Entry Type",$C$4,"2 Item No.","@@"&amp;$F2346,"3 Posting Date",J$9)-NL("Sum","5802 Value Entry","43 Cost Amount (Actual)","41 Source Type",$C$5,"5 Source no.",$C2346,"4 Item Ledger Entry Type",$C$4,"2 Item No.","@@"&amp;$F2346,"3 Posting Date",J$9)</t>
  </si>
  <si>
    <t>=J2346-L2346</t>
  </si>
  <si>
    <t>=IF(J2346&lt;&gt;0,M2346/J2346,"")</t>
  </si>
  <si>
    <t>=NL("Sum","5802 Value Entry","150 Sales Amount (Expected)","41 Source Type",$C$5,"5 Source No.",$C2346,"4 Item Ledger Entry Type",$C$4,"2 Item No.","@@"&amp;$F2346,"3 Posting Date",O$9)+NL("Sum","5802 Value Entry","17 Sales Amount (Actual)","41 Source Type",$C$5,"5 Source no.",$C2346,"4 Item Ledger Entry Type",$C$4,"2 Item No.","@@"&amp;$F2346,"3 Posting Date",O$9)</t>
  </si>
  <si>
    <t>=-NL("Sum","5802 Value Entry","151 Cost Amount (Expected)","41 Source Type",$C$5,"5 Source No.",$C2346,"4 Item Ledger Entry Type",$C$4,"2 Item No.","@@"&amp;$F2346,"3 Posting Date",O$9)-NL("Sum","5802 Value Entry","43 Cost Amount (Actual)","41 Source Type",$C$5,"5 Source no.",$C2346,"4 Item Ledger Entry Type",$C$4,"2 Item No.","@@"&amp;$F2346,"3 Posting Date",O$9)</t>
  </si>
  <si>
    <t>=O2346-Q2346</t>
  </si>
  <si>
    <t>=IF(O2346&lt;&gt;0,R2346/O2346,"")</t>
  </si>
  <si>
    <t>=NL("Sum","5802 Value Entry","150 Sales Amount (Expected)","41 Source Type",$C$5,"5 Source No.",$C2346,"4 Item Ledger Entry Type",$C$4,"2 Item No.","@@"&amp;$F2346,"3 Posting Date",U$9)+NL("Sum","5802 Value Entry","17 Sales Amount (Actual)","41 Source Type",$C$5,"5 Source no.",$C2346,"4 Item Ledger Entry Type",$C$4,"2 Item No.","@@"&amp;$F2346,"3 Posting Date",U$9)</t>
  </si>
  <si>
    <t>=-NL("Sum","5802 Value Entry","151 Cost Amount (Expected)","41 Source Type",$C$5,"5 Source No.",$C2346,"4 Item Ledger Entry Type",$C$4,"2 Item No.","@@"&amp;$F2346,"3 Posting Date",U$9)-NL("Sum","5802 Value Entry","43 Cost Amount (Actual)","41 Source Type",$C$5,"5 Source no.",$C2346,"4 Item Ledger Entry Type",$C$4,"2 Item No.","@@"&amp;$F2346,"3 Posting Date",U$9)</t>
  </si>
  <si>
    <t>=U2346-W2346</t>
  </si>
  <si>
    <t>=IF(U2346&lt;&gt;0,X2346/U2346,"")</t>
  </si>
  <si>
    <t>=NL("Sum","5802 Value Entry","150 Sales Amount (Expected)","41 Source Type",$C$5,"5 Source No.",$C2346,"4 Item Ledger Entry Type",$C$4,"2 Item No.","@@"&amp;$F2346,"3 Posting Date",Z$9)+NL("Sum","5802 Value Entry","17 Sales Amount (Actual)","41 Source Type",$C$5,"5 Source no.",$C2346,"4 Item Ledger Entry Type",$C$4,"2 Item No.","@@"&amp;$F2346,"3 Posting Date",Z$9)</t>
  </si>
  <si>
    <t>=-NL("Sum","5802 Value Entry","151 Cost Amount (Expected)","41 Source Type",$C$5,"5 Source No.",$C2346,"4 Item Ledger Entry Type",$C$4,"2 Item No.","@@"&amp;$F2346,"3 Posting Date",Z$9)-NL("Sum","5802 Value Entry","43 Cost Amount (Actual)","41 Source Type",$C$5,"5 Source no.",$C2346,"4 Item Ledger Entry Type",$C$4,"2 Item No.","@@"&amp;$F2346,"3 Posting Date",Z$9)</t>
  </si>
  <si>
    <t>=Z2346-AB2346</t>
  </si>
  <si>
    <t>=IF(Z2346&lt;&gt;0,AC2346/Z2346,"")</t>
  </si>
  <si>
    <t>=C2346</t>
  </si>
  <si>
    <t>=NL("Sum","5802 Value Entry","150 Sales Amount (Expected)","41 Source Type",$C$5,"5 Source No.",$C2347,"4 Item Ledger Entry Type",$C$4,"2 Item No.","@@"&amp;$F2347,"3 Posting Date",J$9)+NL("Sum","5802 Value Entry","17 Sales Amount (Actual)","41 Source Type",$C$5,"5 Source no.",$C2347,"4 Item Ledger Entry Type",$C$4,"2 Item No.","@@"&amp;$F2347,"3 Posting Date",J$9)</t>
  </si>
  <si>
    <t>=-NL("Sum","5802 Value Entry","151 Cost Amount (Expected)","41 Source Type",$C$5,"5 Source No.",$C2347,"4 Item Ledger Entry Type",$C$4,"2 Item No.","@@"&amp;$F2347,"3 Posting Date",J$9)-NL("Sum","5802 Value Entry","43 Cost Amount (Actual)","41 Source Type",$C$5,"5 Source no.",$C2347,"4 Item Ledger Entry Type",$C$4,"2 Item No.","@@"&amp;$F2347,"3 Posting Date",J$9)</t>
  </si>
  <si>
    <t>=J2347-L2347</t>
  </si>
  <si>
    <t>=IF(J2347&lt;&gt;0,M2347/J2347,"")</t>
  </si>
  <si>
    <t>=NL("Sum","5802 Value Entry","150 Sales Amount (Expected)","41 Source Type",$C$5,"5 Source No.",$C2347,"4 Item Ledger Entry Type",$C$4,"2 Item No.","@@"&amp;$F2347,"3 Posting Date",O$9)+NL("Sum","5802 Value Entry","17 Sales Amount (Actual)","41 Source Type",$C$5,"5 Source no.",$C2347,"4 Item Ledger Entry Type",$C$4,"2 Item No.","@@"&amp;$F2347,"3 Posting Date",O$9)</t>
  </si>
  <si>
    <t>=-NL("Sum","5802 Value Entry","151 Cost Amount (Expected)","41 Source Type",$C$5,"5 Source No.",$C2347,"4 Item Ledger Entry Type",$C$4,"2 Item No.","@@"&amp;$F2347,"3 Posting Date",O$9)-NL("Sum","5802 Value Entry","43 Cost Amount (Actual)","41 Source Type",$C$5,"5 Source no.",$C2347,"4 Item Ledger Entry Type",$C$4,"2 Item No.","@@"&amp;$F2347,"3 Posting Date",O$9)</t>
  </si>
  <si>
    <t>=O2347-Q2347</t>
  </si>
  <si>
    <t>=IF(O2347&lt;&gt;0,R2347/O2347,"")</t>
  </si>
  <si>
    <t>=NL("Sum","5802 Value Entry","150 Sales Amount (Expected)","41 Source Type",$C$5,"5 Source No.",$C2347,"4 Item Ledger Entry Type",$C$4,"2 Item No.","@@"&amp;$F2347,"3 Posting Date",U$9)+NL("Sum","5802 Value Entry","17 Sales Amount (Actual)","41 Source Type",$C$5,"5 Source no.",$C2347,"4 Item Ledger Entry Type",$C$4,"2 Item No.","@@"&amp;$F2347,"3 Posting Date",U$9)</t>
  </si>
  <si>
    <t>=-NL("Sum","5802 Value Entry","151 Cost Amount (Expected)","41 Source Type",$C$5,"5 Source No.",$C2347,"4 Item Ledger Entry Type",$C$4,"2 Item No.","@@"&amp;$F2347,"3 Posting Date",U$9)-NL("Sum","5802 Value Entry","43 Cost Amount (Actual)","41 Source Type",$C$5,"5 Source no.",$C2347,"4 Item Ledger Entry Type",$C$4,"2 Item No.","@@"&amp;$F2347,"3 Posting Date",U$9)</t>
  </si>
  <si>
    <t>=U2347-W2347</t>
  </si>
  <si>
    <t>=IF(U2347&lt;&gt;0,X2347/U2347,"")</t>
  </si>
  <si>
    <t>=NL("Sum","5802 Value Entry","150 Sales Amount (Expected)","41 Source Type",$C$5,"5 Source No.",$C2347,"4 Item Ledger Entry Type",$C$4,"2 Item No.","@@"&amp;$F2347,"3 Posting Date",Z$9)+NL("Sum","5802 Value Entry","17 Sales Amount (Actual)","41 Source Type",$C$5,"5 Source no.",$C2347,"4 Item Ledger Entry Type",$C$4,"2 Item No.","@@"&amp;$F2347,"3 Posting Date",Z$9)</t>
  </si>
  <si>
    <t>=-NL("Sum","5802 Value Entry","151 Cost Amount (Expected)","41 Source Type",$C$5,"5 Source No.",$C2347,"4 Item Ledger Entry Type",$C$4,"2 Item No.","@@"&amp;$F2347,"3 Posting Date",Z$9)-NL("Sum","5802 Value Entry","43 Cost Amount (Actual)","41 Source Type",$C$5,"5 Source no.",$C2347,"4 Item Ledger Entry Type",$C$4,"2 Item No.","@@"&amp;$F2347,"3 Posting Date",Z$9)</t>
  </si>
  <si>
    <t>=Z2347-AB2347</t>
  </si>
  <si>
    <t>=IF(Z2347&lt;&gt;0,AC2347/Z2347,"")</t>
  </si>
  <si>
    <t>=C2347</t>
  </si>
  <si>
    <t>=NL("Sum","5802 Value Entry","150 Sales Amount (Expected)","41 Source Type",$C$5,"5 Source No.",$C2348,"4 Item Ledger Entry Type",$C$4,"2 Item No.","@@"&amp;$F2348,"3 Posting Date",J$9)+NL("Sum","5802 Value Entry","17 Sales Amount (Actual)","41 Source Type",$C$5,"5 Source no.",$C2348,"4 Item Ledger Entry Type",$C$4,"2 Item No.","@@"&amp;$F2348,"3 Posting Date",J$9)</t>
  </si>
  <si>
    <t>=-NL("Sum","5802 Value Entry","151 Cost Amount (Expected)","41 Source Type",$C$5,"5 Source No.",$C2348,"4 Item Ledger Entry Type",$C$4,"2 Item No.","@@"&amp;$F2348,"3 Posting Date",J$9)-NL("Sum","5802 Value Entry","43 Cost Amount (Actual)","41 Source Type",$C$5,"5 Source no.",$C2348,"4 Item Ledger Entry Type",$C$4,"2 Item No.","@@"&amp;$F2348,"3 Posting Date",J$9)</t>
  </si>
  <si>
    <t>=J2348-L2348</t>
  </si>
  <si>
    <t>=IF(J2348&lt;&gt;0,M2348/J2348,"")</t>
  </si>
  <si>
    <t>=NL("Sum","5802 Value Entry","150 Sales Amount (Expected)","41 Source Type",$C$5,"5 Source No.",$C2348,"4 Item Ledger Entry Type",$C$4,"2 Item No.","@@"&amp;$F2348,"3 Posting Date",O$9)+NL("Sum","5802 Value Entry","17 Sales Amount (Actual)","41 Source Type",$C$5,"5 Source no.",$C2348,"4 Item Ledger Entry Type",$C$4,"2 Item No.","@@"&amp;$F2348,"3 Posting Date",O$9)</t>
  </si>
  <si>
    <t>=-NL("Sum","5802 Value Entry","151 Cost Amount (Expected)","41 Source Type",$C$5,"5 Source No.",$C2348,"4 Item Ledger Entry Type",$C$4,"2 Item No.","@@"&amp;$F2348,"3 Posting Date",O$9)-NL("Sum","5802 Value Entry","43 Cost Amount (Actual)","41 Source Type",$C$5,"5 Source no.",$C2348,"4 Item Ledger Entry Type",$C$4,"2 Item No.","@@"&amp;$F2348,"3 Posting Date",O$9)</t>
  </si>
  <si>
    <t>=O2348-Q2348</t>
  </si>
  <si>
    <t>=IF(O2348&lt;&gt;0,R2348/O2348,"")</t>
  </si>
  <si>
    <t>=NL("Sum","5802 Value Entry","150 Sales Amount (Expected)","41 Source Type",$C$5,"5 Source No.",$C2348,"4 Item Ledger Entry Type",$C$4,"2 Item No.","@@"&amp;$F2348,"3 Posting Date",U$9)+NL("Sum","5802 Value Entry","17 Sales Amount (Actual)","41 Source Type",$C$5,"5 Source no.",$C2348,"4 Item Ledger Entry Type",$C$4,"2 Item No.","@@"&amp;$F2348,"3 Posting Date",U$9)</t>
  </si>
  <si>
    <t>=-NL("Sum","5802 Value Entry","151 Cost Amount (Expected)","41 Source Type",$C$5,"5 Source No.",$C2348,"4 Item Ledger Entry Type",$C$4,"2 Item No.","@@"&amp;$F2348,"3 Posting Date",U$9)-NL("Sum","5802 Value Entry","43 Cost Amount (Actual)","41 Source Type",$C$5,"5 Source no.",$C2348,"4 Item Ledger Entry Type",$C$4,"2 Item No.","@@"&amp;$F2348,"3 Posting Date",U$9)</t>
  </si>
  <si>
    <t>=U2348-W2348</t>
  </si>
  <si>
    <t>=IF(U2348&lt;&gt;0,X2348/U2348,"")</t>
  </si>
  <si>
    <t>=NL("Sum","5802 Value Entry","150 Sales Amount (Expected)","41 Source Type",$C$5,"5 Source No.",$C2348,"4 Item Ledger Entry Type",$C$4,"2 Item No.","@@"&amp;$F2348,"3 Posting Date",Z$9)+NL("Sum","5802 Value Entry","17 Sales Amount (Actual)","41 Source Type",$C$5,"5 Source no.",$C2348,"4 Item Ledger Entry Type",$C$4,"2 Item No.","@@"&amp;$F2348,"3 Posting Date",Z$9)</t>
  </si>
  <si>
    <t>=-NL("Sum","5802 Value Entry","151 Cost Amount (Expected)","41 Source Type",$C$5,"5 Source No.",$C2348,"4 Item Ledger Entry Type",$C$4,"2 Item No.","@@"&amp;$F2348,"3 Posting Date",Z$9)-NL("Sum","5802 Value Entry","43 Cost Amount (Actual)","41 Source Type",$C$5,"5 Source no.",$C2348,"4 Item Ledger Entry Type",$C$4,"2 Item No.","@@"&amp;$F2348,"3 Posting Date",Z$9)</t>
  </si>
  <si>
    <t>=Z2348-AB2348</t>
  </si>
  <si>
    <t>=IF(Z2348&lt;&gt;0,AC2348/Z2348,"")</t>
  </si>
  <si>
    <t>=C2349</t>
  </si>
  <si>
    <t>=J2350-L2350</t>
  </si>
  <si>
    <t>=IF(J2350&lt;&gt;0,M2350/J2350,"")</t>
  </si>
  <si>
    <t>=O2350-Q2350</t>
  </si>
  <si>
    <t>=IF(O2350&lt;&gt;0,R2350/O2350,"")</t>
  </si>
  <si>
    <t>=U2350-W2350</t>
  </si>
  <si>
    <t>=IF(U2350&lt;&gt;0,X2350/U2350,"")</t>
  </si>
  <si>
    <t>=Z2350-AB2350</t>
  </si>
  <si>
    <t>=IF(Z2350&lt;&gt;0,AC2350/Z2350,"")</t>
  </si>
  <si>
    <t>=C2352</t>
  </si>
  <si>
    <t>=C2353</t>
  </si>
  <si>
    <t>=NL("Sum","5802 Value Entry","150 Sales Amount (Expected)","41 Source Type",$C$5,"5 Source No.",$C2354,"4 Item Ledger Entry Type",$C$4,"2 Item No.","@@"&amp;$F2354,"3 Posting Date",J$9)+NL("Sum","5802 Value Entry","17 Sales Amount (Actual)","41 Source Type",$C$5,"5 Source no.",$C2354,"4 Item Ledger Entry Type",$C$4,"2 Item No.","@@"&amp;$F2354,"3 Posting Date",J$9)</t>
  </si>
  <si>
    <t>=-NL("Sum","5802 Value Entry","151 Cost Amount (Expected)","41 Source Type",$C$5,"5 Source No.",$C2354,"4 Item Ledger Entry Type",$C$4,"2 Item No.","@@"&amp;$F2354,"3 Posting Date",J$9)-NL("Sum","5802 Value Entry","43 Cost Amount (Actual)","41 Source Type",$C$5,"5 Source no.",$C2354,"4 Item Ledger Entry Type",$C$4,"2 Item No.","@@"&amp;$F2354,"3 Posting Date",J$9)</t>
  </si>
  <si>
    <t>=J2354-L2354</t>
  </si>
  <si>
    <t>=IF(J2354&lt;&gt;0,M2354/J2354,"")</t>
  </si>
  <si>
    <t>=NL("Sum","5802 Value Entry","150 Sales Amount (Expected)","41 Source Type",$C$5,"5 Source No.",$C2354,"4 Item Ledger Entry Type",$C$4,"2 Item No.","@@"&amp;$F2354,"3 Posting Date",O$9)+NL("Sum","5802 Value Entry","17 Sales Amount (Actual)","41 Source Type",$C$5,"5 Source no.",$C2354,"4 Item Ledger Entry Type",$C$4,"2 Item No.","@@"&amp;$F2354,"3 Posting Date",O$9)</t>
  </si>
  <si>
    <t>=-NL("Sum","5802 Value Entry","151 Cost Amount (Expected)","41 Source Type",$C$5,"5 Source No.",$C2354,"4 Item Ledger Entry Type",$C$4,"2 Item No.","@@"&amp;$F2354,"3 Posting Date",O$9)-NL("Sum","5802 Value Entry","43 Cost Amount (Actual)","41 Source Type",$C$5,"5 Source no.",$C2354,"4 Item Ledger Entry Type",$C$4,"2 Item No.","@@"&amp;$F2354,"3 Posting Date",O$9)</t>
  </si>
  <si>
    <t>=O2354-Q2354</t>
  </si>
  <si>
    <t>=IF(O2354&lt;&gt;0,R2354/O2354,"")</t>
  </si>
  <si>
    <t>=NL("Sum","5802 Value Entry","150 Sales Amount (Expected)","41 Source Type",$C$5,"5 Source No.",$C2354,"4 Item Ledger Entry Type",$C$4,"2 Item No.","@@"&amp;$F2354,"3 Posting Date",U$9)+NL("Sum","5802 Value Entry","17 Sales Amount (Actual)","41 Source Type",$C$5,"5 Source no.",$C2354,"4 Item Ledger Entry Type",$C$4,"2 Item No.","@@"&amp;$F2354,"3 Posting Date",U$9)</t>
  </si>
  <si>
    <t>=-NL("Sum","5802 Value Entry","151 Cost Amount (Expected)","41 Source Type",$C$5,"5 Source No.",$C2354,"4 Item Ledger Entry Type",$C$4,"2 Item No.","@@"&amp;$F2354,"3 Posting Date",U$9)-NL("Sum","5802 Value Entry","43 Cost Amount (Actual)","41 Source Type",$C$5,"5 Source no.",$C2354,"4 Item Ledger Entry Type",$C$4,"2 Item No.","@@"&amp;$F2354,"3 Posting Date",U$9)</t>
  </si>
  <si>
    <t>=U2354-W2354</t>
  </si>
  <si>
    <t>=IF(U2354&lt;&gt;0,X2354/U2354,"")</t>
  </si>
  <si>
    <t>=NL("Sum","5802 Value Entry","150 Sales Amount (Expected)","41 Source Type",$C$5,"5 Source No.",$C2354,"4 Item Ledger Entry Type",$C$4,"2 Item No.","@@"&amp;$F2354,"3 Posting Date",Z$9)+NL("Sum","5802 Value Entry","17 Sales Amount (Actual)","41 Source Type",$C$5,"5 Source no.",$C2354,"4 Item Ledger Entry Type",$C$4,"2 Item No.","@@"&amp;$F2354,"3 Posting Date",Z$9)</t>
  </si>
  <si>
    <t>=-NL("Sum","5802 Value Entry","151 Cost Amount (Expected)","41 Source Type",$C$5,"5 Source No.",$C2354,"4 Item Ledger Entry Type",$C$4,"2 Item No.","@@"&amp;$F2354,"3 Posting Date",Z$9)-NL("Sum","5802 Value Entry","43 Cost Amount (Actual)","41 Source Type",$C$5,"5 Source no.",$C2354,"4 Item Ledger Entry Type",$C$4,"2 Item No.","@@"&amp;$F2354,"3 Posting Date",Z$9)</t>
  </si>
  <si>
    <t>=Z2354-AB2354</t>
  </si>
  <si>
    <t>=IF(Z2354&lt;&gt;0,AC2354/Z2354,"")</t>
  </si>
  <si>
    <t>=C2354</t>
  </si>
  <si>
    <t>=NL("Sum","5802 Value Entry","150 Sales Amount (Expected)","41 Source Type",$C$5,"5 Source No.",$C2355,"4 Item Ledger Entry Type",$C$4,"2 Item No.","@@"&amp;$F2355,"3 Posting Date",J$9)+NL("Sum","5802 Value Entry","17 Sales Amount (Actual)","41 Source Type",$C$5,"5 Source no.",$C2355,"4 Item Ledger Entry Type",$C$4,"2 Item No.","@@"&amp;$F2355,"3 Posting Date",J$9)</t>
  </si>
  <si>
    <t>=-NL("Sum","5802 Value Entry","151 Cost Amount (Expected)","41 Source Type",$C$5,"5 Source No.",$C2355,"4 Item Ledger Entry Type",$C$4,"2 Item No.","@@"&amp;$F2355,"3 Posting Date",J$9)-NL("Sum","5802 Value Entry","43 Cost Amount (Actual)","41 Source Type",$C$5,"5 Source no.",$C2355,"4 Item Ledger Entry Type",$C$4,"2 Item No.","@@"&amp;$F2355,"3 Posting Date",J$9)</t>
  </si>
  <si>
    <t>=J2355-L2355</t>
  </si>
  <si>
    <t>=IF(J2355&lt;&gt;0,M2355/J2355,"")</t>
  </si>
  <si>
    <t>=NL("Sum","5802 Value Entry","150 Sales Amount (Expected)","41 Source Type",$C$5,"5 Source No.",$C2355,"4 Item Ledger Entry Type",$C$4,"2 Item No.","@@"&amp;$F2355,"3 Posting Date",O$9)+NL("Sum","5802 Value Entry","17 Sales Amount (Actual)","41 Source Type",$C$5,"5 Source no.",$C2355,"4 Item Ledger Entry Type",$C$4,"2 Item No.","@@"&amp;$F2355,"3 Posting Date",O$9)</t>
  </si>
  <si>
    <t>=-NL("Sum","5802 Value Entry","151 Cost Amount (Expected)","41 Source Type",$C$5,"5 Source No.",$C2355,"4 Item Ledger Entry Type",$C$4,"2 Item No.","@@"&amp;$F2355,"3 Posting Date",O$9)-NL("Sum","5802 Value Entry","43 Cost Amount (Actual)","41 Source Type",$C$5,"5 Source no.",$C2355,"4 Item Ledger Entry Type",$C$4,"2 Item No.","@@"&amp;$F2355,"3 Posting Date",O$9)</t>
  </si>
  <si>
    <t>=O2355-Q2355</t>
  </si>
  <si>
    <t>=IF(O2355&lt;&gt;0,R2355/O2355,"")</t>
  </si>
  <si>
    <t>=NL("Sum","5802 Value Entry","150 Sales Amount (Expected)","41 Source Type",$C$5,"5 Source No.",$C2355,"4 Item Ledger Entry Type",$C$4,"2 Item No.","@@"&amp;$F2355,"3 Posting Date",U$9)+NL("Sum","5802 Value Entry","17 Sales Amount (Actual)","41 Source Type",$C$5,"5 Source no.",$C2355,"4 Item Ledger Entry Type",$C$4,"2 Item No.","@@"&amp;$F2355,"3 Posting Date",U$9)</t>
  </si>
  <si>
    <t>=-NL("Sum","5802 Value Entry","151 Cost Amount (Expected)","41 Source Type",$C$5,"5 Source No.",$C2355,"4 Item Ledger Entry Type",$C$4,"2 Item No.","@@"&amp;$F2355,"3 Posting Date",U$9)-NL("Sum","5802 Value Entry","43 Cost Amount (Actual)","41 Source Type",$C$5,"5 Source no.",$C2355,"4 Item Ledger Entry Type",$C$4,"2 Item No.","@@"&amp;$F2355,"3 Posting Date",U$9)</t>
  </si>
  <si>
    <t>=U2355-W2355</t>
  </si>
  <si>
    <t>=IF(U2355&lt;&gt;0,X2355/U2355,"")</t>
  </si>
  <si>
    <t>=NL("Sum","5802 Value Entry","150 Sales Amount (Expected)","41 Source Type",$C$5,"5 Source No.",$C2355,"4 Item Ledger Entry Type",$C$4,"2 Item No.","@@"&amp;$F2355,"3 Posting Date",Z$9)+NL("Sum","5802 Value Entry","17 Sales Amount (Actual)","41 Source Type",$C$5,"5 Source no.",$C2355,"4 Item Ledger Entry Type",$C$4,"2 Item No.","@@"&amp;$F2355,"3 Posting Date",Z$9)</t>
  </si>
  <si>
    <t>=-NL("Sum","5802 Value Entry","151 Cost Amount (Expected)","41 Source Type",$C$5,"5 Source No.",$C2355,"4 Item Ledger Entry Type",$C$4,"2 Item No.","@@"&amp;$F2355,"3 Posting Date",Z$9)-NL("Sum","5802 Value Entry","43 Cost Amount (Actual)","41 Source Type",$C$5,"5 Source no.",$C2355,"4 Item Ledger Entry Type",$C$4,"2 Item No.","@@"&amp;$F2355,"3 Posting Date",Z$9)</t>
  </si>
  <si>
    <t>=Z2355-AB2355</t>
  </si>
  <si>
    <t>=IF(Z2355&lt;&gt;0,AC2355/Z2355,"")</t>
  </si>
  <si>
    <t>=C2355</t>
  </si>
  <si>
    <t>=NL("Sum","5802 Value Entry","150 Sales Amount (Expected)","41 Source Type",$C$5,"5 Source No.",$C2356,"4 Item Ledger Entry Type",$C$4,"2 Item No.","@@"&amp;$F2356,"3 Posting Date",J$9)+NL("Sum","5802 Value Entry","17 Sales Amount (Actual)","41 Source Type",$C$5,"5 Source no.",$C2356,"4 Item Ledger Entry Type",$C$4,"2 Item No.","@@"&amp;$F2356,"3 Posting Date",J$9)</t>
  </si>
  <si>
    <t>=-NL("Sum","5802 Value Entry","151 Cost Amount (Expected)","41 Source Type",$C$5,"5 Source No.",$C2356,"4 Item Ledger Entry Type",$C$4,"2 Item No.","@@"&amp;$F2356,"3 Posting Date",J$9)-NL("Sum","5802 Value Entry","43 Cost Amount (Actual)","41 Source Type",$C$5,"5 Source no.",$C2356,"4 Item Ledger Entry Type",$C$4,"2 Item No.","@@"&amp;$F2356,"3 Posting Date",J$9)</t>
  </si>
  <si>
    <t>=J2356-L2356</t>
  </si>
  <si>
    <t>=IF(J2356&lt;&gt;0,M2356/J2356,"")</t>
  </si>
  <si>
    <t>=NL("Sum","5802 Value Entry","150 Sales Amount (Expected)","41 Source Type",$C$5,"5 Source No.",$C2356,"4 Item Ledger Entry Type",$C$4,"2 Item No.","@@"&amp;$F2356,"3 Posting Date",O$9)+NL("Sum","5802 Value Entry","17 Sales Amount (Actual)","41 Source Type",$C$5,"5 Source no.",$C2356,"4 Item Ledger Entry Type",$C$4,"2 Item No.","@@"&amp;$F2356,"3 Posting Date",O$9)</t>
  </si>
  <si>
    <t>=-NL("Sum","5802 Value Entry","151 Cost Amount (Expected)","41 Source Type",$C$5,"5 Source No.",$C2356,"4 Item Ledger Entry Type",$C$4,"2 Item No.","@@"&amp;$F2356,"3 Posting Date",O$9)-NL("Sum","5802 Value Entry","43 Cost Amount (Actual)","41 Source Type",$C$5,"5 Source no.",$C2356,"4 Item Ledger Entry Type",$C$4,"2 Item No.","@@"&amp;$F2356,"3 Posting Date",O$9)</t>
  </si>
  <si>
    <t>=O2356-Q2356</t>
  </si>
  <si>
    <t>=IF(O2356&lt;&gt;0,R2356/O2356,"")</t>
  </si>
  <si>
    <t>=NL("Sum","5802 Value Entry","150 Sales Amount (Expected)","41 Source Type",$C$5,"5 Source No.",$C2356,"4 Item Ledger Entry Type",$C$4,"2 Item No.","@@"&amp;$F2356,"3 Posting Date",U$9)+NL("Sum","5802 Value Entry","17 Sales Amount (Actual)","41 Source Type",$C$5,"5 Source no.",$C2356,"4 Item Ledger Entry Type",$C$4,"2 Item No.","@@"&amp;$F2356,"3 Posting Date",U$9)</t>
  </si>
  <si>
    <t>=-NL("Sum","5802 Value Entry","151 Cost Amount (Expected)","41 Source Type",$C$5,"5 Source No.",$C2356,"4 Item Ledger Entry Type",$C$4,"2 Item No.","@@"&amp;$F2356,"3 Posting Date",U$9)-NL("Sum","5802 Value Entry","43 Cost Amount (Actual)","41 Source Type",$C$5,"5 Source no.",$C2356,"4 Item Ledger Entry Type",$C$4,"2 Item No.","@@"&amp;$F2356,"3 Posting Date",U$9)</t>
  </si>
  <si>
    <t>=U2356-W2356</t>
  </si>
  <si>
    <t>=IF(U2356&lt;&gt;0,X2356/U2356,"")</t>
  </si>
  <si>
    <t>=NL("Sum","5802 Value Entry","150 Sales Amount (Expected)","41 Source Type",$C$5,"5 Source No.",$C2356,"4 Item Ledger Entry Type",$C$4,"2 Item No.","@@"&amp;$F2356,"3 Posting Date",Z$9)+NL("Sum","5802 Value Entry","17 Sales Amount (Actual)","41 Source Type",$C$5,"5 Source no.",$C2356,"4 Item Ledger Entry Type",$C$4,"2 Item No.","@@"&amp;$F2356,"3 Posting Date",Z$9)</t>
  </si>
  <si>
    <t>=-NL("Sum","5802 Value Entry","151 Cost Amount (Expected)","41 Source Type",$C$5,"5 Source No.",$C2356,"4 Item Ledger Entry Type",$C$4,"2 Item No.","@@"&amp;$F2356,"3 Posting Date",Z$9)-NL("Sum","5802 Value Entry","43 Cost Amount (Actual)","41 Source Type",$C$5,"5 Source no.",$C2356,"4 Item Ledger Entry Type",$C$4,"2 Item No.","@@"&amp;$F2356,"3 Posting Date",Z$9)</t>
  </si>
  <si>
    <t>=Z2356-AB2356</t>
  </si>
  <si>
    <t>=IF(Z2356&lt;&gt;0,AC2356/Z2356,"")</t>
  </si>
  <si>
    <t>=C2356</t>
  </si>
  <si>
    <t>=NL("Sum","5802 Value Entry","150 Sales Amount (Expected)","41 Source Type",$C$5,"5 Source No.",$C2357,"4 Item Ledger Entry Type",$C$4,"2 Item No.","@@"&amp;$F2357,"3 Posting Date",J$9)+NL("Sum","5802 Value Entry","17 Sales Amount (Actual)","41 Source Type",$C$5,"5 Source no.",$C2357,"4 Item Ledger Entry Type",$C$4,"2 Item No.","@@"&amp;$F2357,"3 Posting Date",J$9)</t>
  </si>
  <si>
    <t>=-NL("Sum","5802 Value Entry","151 Cost Amount (Expected)","41 Source Type",$C$5,"5 Source No.",$C2357,"4 Item Ledger Entry Type",$C$4,"2 Item No.","@@"&amp;$F2357,"3 Posting Date",J$9)-NL("Sum","5802 Value Entry","43 Cost Amount (Actual)","41 Source Type",$C$5,"5 Source no.",$C2357,"4 Item Ledger Entry Type",$C$4,"2 Item No.","@@"&amp;$F2357,"3 Posting Date",J$9)</t>
  </si>
  <si>
    <t>=J2357-L2357</t>
  </si>
  <si>
    <t>=IF(J2357&lt;&gt;0,M2357/J2357,"")</t>
  </si>
  <si>
    <t>=NL("Sum","5802 Value Entry","150 Sales Amount (Expected)","41 Source Type",$C$5,"5 Source No.",$C2357,"4 Item Ledger Entry Type",$C$4,"2 Item No.","@@"&amp;$F2357,"3 Posting Date",O$9)+NL("Sum","5802 Value Entry","17 Sales Amount (Actual)","41 Source Type",$C$5,"5 Source no.",$C2357,"4 Item Ledger Entry Type",$C$4,"2 Item No.","@@"&amp;$F2357,"3 Posting Date",O$9)</t>
  </si>
  <si>
    <t>=-NL("Sum","5802 Value Entry","151 Cost Amount (Expected)","41 Source Type",$C$5,"5 Source No.",$C2357,"4 Item Ledger Entry Type",$C$4,"2 Item No.","@@"&amp;$F2357,"3 Posting Date",O$9)-NL("Sum","5802 Value Entry","43 Cost Amount (Actual)","41 Source Type",$C$5,"5 Source no.",$C2357,"4 Item Ledger Entry Type",$C$4,"2 Item No.","@@"&amp;$F2357,"3 Posting Date",O$9)</t>
  </si>
  <si>
    <t>=O2357-Q2357</t>
  </si>
  <si>
    <t>=IF(O2357&lt;&gt;0,R2357/O2357,"")</t>
  </si>
  <si>
    <t>=NL("Sum","5802 Value Entry","150 Sales Amount (Expected)","41 Source Type",$C$5,"5 Source No.",$C2357,"4 Item Ledger Entry Type",$C$4,"2 Item No.","@@"&amp;$F2357,"3 Posting Date",U$9)+NL("Sum","5802 Value Entry","17 Sales Amount (Actual)","41 Source Type",$C$5,"5 Source no.",$C2357,"4 Item Ledger Entry Type",$C$4,"2 Item No.","@@"&amp;$F2357,"3 Posting Date",U$9)</t>
  </si>
  <si>
    <t>=-NL("Sum","5802 Value Entry","151 Cost Amount (Expected)","41 Source Type",$C$5,"5 Source No.",$C2357,"4 Item Ledger Entry Type",$C$4,"2 Item No.","@@"&amp;$F2357,"3 Posting Date",U$9)-NL("Sum","5802 Value Entry","43 Cost Amount (Actual)","41 Source Type",$C$5,"5 Source no.",$C2357,"4 Item Ledger Entry Type",$C$4,"2 Item No.","@@"&amp;$F2357,"3 Posting Date",U$9)</t>
  </si>
  <si>
    <t>=U2357-W2357</t>
  </si>
  <si>
    <t>=IF(U2357&lt;&gt;0,X2357/U2357,"")</t>
  </si>
  <si>
    <t>=NL("Sum","5802 Value Entry","150 Sales Amount (Expected)","41 Source Type",$C$5,"5 Source No.",$C2357,"4 Item Ledger Entry Type",$C$4,"2 Item No.","@@"&amp;$F2357,"3 Posting Date",Z$9)+NL("Sum","5802 Value Entry","17 Sales Amount (Actual)","41 Source Type",$C$5,"5 Source no.",$C2357,"4 Item Ledger Entry Type",$C$4,"2 Item No.","@@"&amp;$F2357,"3 Posting Date",Z$9)</t>
  </si>
  <si>
    <t>=-NL("Sum","5802 Value Entry","151 Cost Amount (Expected)","41 Source Type",$C$5,"5 Source No.",$C2357,"4 Item Ledger Entry Type",$C$4,"2 Item No.","@@"&amp;$F2357,"3 Posting Date",Z$9)-NL("Sum","5802 Value Entry","43 Cost Amount (Actual)","41 Source Type",$C$5,"5 Source no.",$C2357,"4 Item Ledger Entry Type",$C$4,"2 Item No.","@@"&amp;$F2357,"3 Posting Date",Z$9)</t>
  </si>
  <si>
    <t>=Z2357-AB2357</t>
  </si>
  <si>
    <t>=IF(Z2357&lt;&gt;0,AC2357/Z2357,"")</t>
  </si>
  <si>
    <t>=C2357</t>
  </si>
  <si>
    <t>=NL("Sum","5802 Value Entry","150 Sales Amount (Expected)","41 Source Type",$C$5,"5 Source No.",$C2358,"4 Item Ledger Entry Type",$C$4,"2 Item No.","@@"&amp;$F2358,"3 Posting Date",J$9)+NL("Sum","5802 Value Entry","17 Sales Amount (Actual)","41 Source Type",$C$5,"5 Source no.",$C2358,"4 Item Ledger Entry Type",$C$4,"2 Item No.","@@"&amp;$F2358,"3 Posting Date",J$9)</t>
  </si>
  <si>
    <t>=-NL("Sum","5802 Value Entry","151 Cost Amount (Expected)","41 Source Type",$C$5,"5 Source No.",$C2358,"4 Item Ledger Entry Type",$C$4,"2 Item No.","@@"&amp;$F2358,"3 Posting Date",J$9)-NL("Sum","5802 Value Entry","43 Cost Amount (Actual)","41 Source Type",$C$5,"5 Source no.",$C2358,"4 Item Ledger Entry Type",$C$4,"2 Item No.","@@"&amp;$F2358,"3 Posting Date",J$9)</t>
  </si>
  <si>
    <t>=J2358-L2358</t>
  </si>
  <si>
    <t>=IF(J2358&lt;&gt;0,M2358/J2358,"")</t>
  </si>
  <si>
    <t>=NL("Sum","5802 Value Entry","150 Sales Amount (Expected)","41 Source Type",$C$5,"5 Source No.",$C2358,"4 Item Ledger Entry Type",$C$4,"2 Item No.","@@"&amp;$F2358,"3 Posting Date",O$9)+NL("Sum","5802 Value Entry","17 Sales Amount (Actual)","41 Source Type",$C$5,"5 Source no.",$C2358,"4 Item Ledger Entry Type",$C$4,"2 Item No.","@@"&amp;$F2358,"3 Posting Date",O$9)</t>
  </si>
  <si>
    <t>=-NL("Sum","5802 Value Entry","151 Cost Amount (Expected)","41 Source Type",$C$5,"5 Source No.",$C2358,"4 Item Ledger Entry Type",$C$4,"2 Item No.","@@"&amp;$F2358,"3 Posting Date",O$9)-NL("Sum","5802 Value Entry","43 Cost Amount (Actual)","41 Source Type",$C$5,"5 Source no.",$C2358,"4 Item Ledger Entry Type",$C$4,"2 Item No.","@@"&amp;$F2358,"3 Posting Date",O$9)</t>
  </si>
  <si>
    <t>=O2358-Q2358</t>
  </si>
  <si>
    <t>=IF(O2358&lt;&gt;0,R2358/O2358,"")</t>
  </si>
  <si>
    <t>=NL("Sum","5802 Value Entry","150 Sales Amount (Expected)","41 Source Type",$C$5,"5 Source No.",$C2358,"4 Item Ledger Entry Type",$C$4,"2 Item No.","@@"&amp;$F2358,"3 Posting Date",U$9)+NL("Sum","5802 Value Entry","17 Sales Amount (Actual)","41 Source Type",$C$5,"5 Source no.",$C2358,"4 Item Ledger Entry Type",$C$4,"2 Item No.","@@"&amp;$F2358,"3 Posting Date",U$9)</t>
  </si>
  <si>
    <t>=-NL("Sum","5802 Value Entry","151 Cost Amount (Expected)","41 Source Type",$C$5,"5 Source No.",$C2358,"4 Item Ledger Entry Type",$C$4,"2 Item No.","@@"&amp;$F2358,"3 Posting Date",U$9)-NL("Sum","5802 Value Entry","43 Cost Amount (Actual)","41 Source Type",$C$5,"5 Source no.",$C2358,"4 Item Ledger Entry Type",$C$4,"2 Item No.","@@"&amp;$F2358,"3 Posting Date",U$9)</t>
  </si>
  <si>
    <t>=U2358-W2358</t>
  </si>
  <si>
    <t>=IF(U2358&lt;&gt;0,X2358/U2358,"")</t>
  </si>
  <si>
    <t>=NL("Sum","5802 Value Entry","150 Sales Amount (Expected)","41 Source Type",$C$5,"5 Source No.",$C2358,"4 Item Ledger Entry Type",$C$4,"2 Item No.","@@"&amp;$F2358,"3 Posting Date",Z$9)+NL("Sum","5802 Value Entry","17 Sales Amount (Actual)","41 Source Type",$C$5,"5 Source no.",$C2358,"4 Item Ledger Entry Type",$C$4,"2 Item No.","@@"&amp;$F2358,"3 Posting Date",Z$9)</t>
  </si>
  <si>
    <t>=-NL("Sum","5802 Value Entry","151 Cost Amount (Expected)","41 Source Type",$C$5,"5 Source No.",$C2358,"4 Item Ledger Entry Type",$C$4,"2 Item No.","@@"&amp;$F2358,"3 Posting Date",Z$9)-NL("Sum","5802 Value Entry","43 Cost Amount (Actual)","41 Source Type",$C$5,"5 Source no.",$C2358,"4 Item Ledger Entry Type",$C$4,"2 Item No.","@@"&amp;$F2358,"3 Posting Date",Z$9)</t>
  </si>
  <si>
    <t>=Z2358-AB2358</t>
  </si>
  <si>
    <t>=IF(Z2358&lt;&gt;0,AC2358/Z2358,"")</t>
  </si>
  <si>
    <t>=C2358</t>
  </si>
  <si>
    <t>=NL("Sum","5802 Value Entry","150 Sales Amount (Expected)","41 Source Type",$C$5,"5 Source No.",$C2359,"4 Item Ledger Entry Type",$C$4,"2 Item No.","@@"&amp;$F2359,"3 Posting Date",J$9)+NL("Sum","5802 Value Entry","17 Sales Amount (Actual)","41 Source Type",$C$5,"5 Source no.",$C2359,"4 Item Ledger Entry Type",$C$4,"2 Item No.","@@"&amp;$F2359,"3 Posting Date",J$9)</t>
  </si>
  <si>
    <t>=-NL("Sum","5802 Value Entry","151 Cost Amount (Expected)","41 Source Type",$C$5,"5 Source No.",$C2359,"4 Item Ledger Entry Type",$C$4,"2 Item No.","@@"&amp;$F2359,"3 Posting Date",J$9)-NL("Sum","5802 Value Entry","43 Cost Amount (Actual)","41 Source Type",$C$5,"5 Source no.",$C2359,"4 Item Ledger Entry Type",$C$4,"2 Item No.","@@"&amp;$F2359,"3 Posting Date",J$9)</t>
  </si>
  <si>
    <t>=J2359-L2359</t>
  </si>
  <si>
    <t>=IF(J2359&lt;&gt;0,M2359/J2359,"")</t>
  </si>
  <si>
    <t>=NL("Sum","5802 Value Entry","150 Sales Amount (Expected)","41 Source Type",$C$5,"5 Source No.",$C2359,"4 Item Ledger Entry Type",$C$4,"2 Item No.","@@"&amp;$F2359,"3 Posting Date",O$9)+NL("Sum","5802 Value Entry","17 Sales Amount (Actual)","41 Source Type",$C$5,"5 Source no.",$C2359,"4 Item Ledger Entry Type",$C$4,"2 Item No.","@@"&amp;$F2359,"3 Posting Date",O$9)</t>
  </si>
  <si>
    <t>=-NL("Sum","5802 Value Entry","151 Cost Amount (Expected)","41 Source Type",$C$5,"5 Source No.",$C2359,"4 Item Ledger Entry Type",$C$4,"2 Item No.","@@"&amp;$F2359,"3 Posting Date",O$9)-NL("Sum","5802 Value Entry","43 Cost Amount (Actual)","41 Source Type",$C$5,"5 Source no.",$C2359,"4 Item Ledger Entry Type",$C$4,"2 Item No.","@@"&amp;$F2359,"3 Posting Date",O$9)</t>
  </si>
  <si>
    <t>=O2359-Q2359</t>
  </si>
  <si>
    <t>=IF(O2359&lt;&gt;0,R2359/O2359,"")</t>
  </si>
  <si>
    <t>=NL("Sum","5802 Value Entry","150 Sales Amount (Expected)","41 Source Type",$C$5,"5 Source No.",$C2359,"4 Item Ledger Entry Type",$C$4,"2 Item No.","@@"&amp;$F2359,"3 Posting Date",U$9)+NL("Sum","5802 Value Entry","17 Sales Amount (Actual)","41 Source Type",$C$5,"5 Source no.",$C2359,"4 Item Ledger Entry Type",$C$4,"2 Item No.","@@"&amp;$F2359,"3 Posting Date",U$9)</t>
  </si>
  <si>
    <t>=-NL("Sum","5802 Value Entry","151 Cost Amount (Expected)","41 Source Type",$C$5,"5 Source No.",$C2359,"4 Item Ledger Entry Type",$C$4,"2 Item No.","@@"&amp;$F2359,"3 Posting Date",U$9)-NL("Sum","5802 Value Entry","43 Cost Amount (Actual)","41 Source Type",$C$5,"5 Source no.",$C2359,"4 Item Ledger Entry Type",$C$4,"2 Item No.","@@"&amp;$F2359,"3 Posting Date",U$9)</t>
  </si>
  <si>
    <t>=U2359-W2359</t>
  </si>
  <si>
    <t>=IF(U2359&lt;&gt;0,X2359/U2359,"")</t>
  </si>
  <si>
    <t>=NL("Sum","5802 Value Entry","150 Sales Amount (Expected)","41 Source Type",$C$5,"5 Source No.",$C2359,"4 Item Ledger Entry Type",$C$4,"2 Item No.","@@"&amp;$F2359,"3 Posting Date",Z$9)+NL("Sum","5802 Value Entry","17 Sales Amount (Actual)","41 Source Type",$C$5,"5 Source no.",$C2359,"4 Item Ledger Entry Type",$C$4,"2 Item No.","@@"&amp;$F2359,"3 Posting Date",Z$9)</t>
  </si>
  <si>
    <t>=-NL("Sum","5802 Value Entry","151 Cost Amount (Expected)","41 Source Type",$C$5,"5 Source No.",$C2359,"4 Item Ledger Entry Type",$C$4,"2 Item No.","@@"&amp;$F2359,"3 Posting Date",Z$9)-NL("Sum","5802 Value Entry","43 Cost Amount (Actual)","41 Source Type",$C$5,"5 Source no.",$C2359,"4 Item Ledger Entry Type",$C$4,"2 Item No.","@@"&amp;$F2359,"3 Posting Date",Z$9)</t>
  </si>
  <si>
    <t>=Z2359-AB2359</t>
  </si>
  <si>
    <t>=IF(Z2359&lt;&gt;0,AC2359/Z2359,"")</t>
  </si>
  <si>
    <t>=C2359</t>
  </si>
  <si>
    <t>=NL("Sum","5802 Value Entry","150 Sales Amount (Expected)","41 Source Type",$C$5,"5 Source No.",$C2360,"4 Item Ledger Entry Type",$C$4,"2 Item No.","@@"&amp;$F2360,"3 Posting Date",J$9)+NL("Sum","5802 Value Entry","17 Sales Amount (Actual)","41 Source Type",$C$5,"5 Source no.",$C2360,"4 Item Ledger Entry Type",$C$4,"2 Item No.","@@"&amp;$F2360,"3 Posting Date",J$9)</t>
  </si>
  <si>
    <t>=-NL("Sum","5802 Value Entry","151 Cost Amount (Expected)","41 Source Type",$C$5,"5 Source No.",$C2360,"4 Item Ledger Entry Type",$C$4,"2 Item No.","@@"&amp;$F2360,"3 Posting Date",J$9)-NL("Sum","5802 Value Entry","43 Cost Amount (Actual)","41 Source Type",$C$5,"5 Source no.",$C2360,"4 Item Ledger Entry Type",$C$4,"2 Item No.","@@"&amp;$F2360,"3 Posting Date",J$9)</t>
  </si>
  <si>
    <t>=J2360-L2360</t>
  </si>
  <si>
    <t>=IF(J2360&lt;&gt;0,M2360/J2360,"")</t>
  </si>
  <si>
    <t>=NL("Sum","5802 Value Entry","150 Sales Amount (Expected)","41 Source Type",$C$5,"5 Source No.",$C2360,"4 Item Ledger Entry Type",$C$4,"2 Item No.","@@"&amp;$F2360,"3 Posting Date",O$9)+NL("Sum","5802 Value Entry","17 Sales Amount (Actual)","41 Source Type",$C$5,"5 Source no.",$C2360,"4 Item Ledger Entry Type",$C$4,"2 Item No.","@@"&amp;$F2360,"3 Posting Date",O$9)</t>
  </si>
  <si>
    <t>=-NL("Sum","5802 Value Entry","151 Cost Amount (Expected)","41 Source Type",$C$5,"5 Source No.",$C2360,"4 Item Ledger Entry Type",$C$4,"2 Item No.","@@"&amp;$F2360,"3 Posting Date",O$9)-NL("Sum","5802 Value Entry","43 Cost Amount (Actual)","41 Source Type",$C$5,"5 Source no.",$C2360,"4 Item Ledger Entry Type",$C$4,"2 Item No.","@@"&amp;$F2360,"3 Posting Date",O$9)</t>
  </si>
  <si>
    <t>=O2360-Q2360</t>
  </si>
  <si>
    <t>=IF(O2360&lt;&gt;0,R2360/O2360,"")</t>
  </si>
  <si>
    <t>=NL("Sum","5802 Value Entry","150 Sales Amount (Expected)","41 Source Type",$C$5,"5 Source No.",$C2360,"4 Item Ledger Entry Type",$C$4,"2 Item No.","@@"&amp;$F2360,"3 Posting Date",U$9)+NL("Sum","5802 Value Entry","17 Sales Amount (Actual)","41 Source Type",$C$5,"5 Source no.",$C2360,"4 Item Ledger Entry Type",$C$4,"2 Item No.","@@"&amp;$F2360,"3 Posting Date",U$9)</t>
  </si>
  <si>
    <t>=-NL("Sum","5802 Value Entry","151 Cost Amount (Expected)","41 Source Type",$C$5,"5 Source No.",$C2360,"4 Item Ledger Entry Type",$C$4,"2 Item No.","@@"&amp;$F2360,"3 Posting Date",U$9)-NL("Sum","5802 Value Entry","43 Cost Amount (Actual)","41 Source Type",$C$5,"5 Source no.",$C2360,"4 Item Ledger Entry Type",$C$4,"2 Item No.","@@"&amp;$F2360,"3 Posting Date",U$9)</t>
  </si>
  <si>
    <t>=U2360-W2360</t>
  </si>
  <si>
    <t>=IF(U2360&lt;&gt;0,X2360/U2360,"")</t>
  </si>
  <si>
    <t>=NL("Sum","5802 Value Entry","150 Sales Amount (Expected)","41 Source Type",$C$5,"5 Source No.",$C2360,"4 Item Ledger Entry Type",$C$4,"2 Item No.","@@"&amp;$F2360,"3 Posting Date",Z$9)+NL("Sum","5802 Value Entry","17 Sales Amount (Actual)","41 Source Type",$C$5,"5 Source no.",$C2360,"4 Item Ledger Entry Type",$C$4,"2 Item No.","@@"&amp;$F2360,"3 Posting Date",Z$9)</t>
  </si>
  <si>
    <t>=-NL("Sum","5802 Value Entry","151 Cost Amount (Expected)","41 Source Type",$C$5,"5 Source No.",$C2360,"4 Item Ledger Entry Type",$C$4,"2 Item No.","@@"&amp;$F2360,"3 Posting Date",Z$9)-NL("Sum","5802 Value Entry","43 Cost Amount (Actual)","41 Source Type",$C$5,"5 Source no.",$C2360,"4 Item Ledger Entry Type",$C$4,"2 Item No.","@@"&amp;$F2360,"3 Posting Date",Z$9)</t>
  </si>
  <si>
    <t>=Z2360-AB2360</t>
  </si>
  <si>
    <t>=IF(Z2360&lt;&gt;0,AC2360/Z2360,"")</t>
  </si>
  <si>
    <t>=C2360</t>
  </si>
  <si>
    <t>=NL("Sum","5802 Value Entry","150 Sales Amount (Expected)","41 Source Type",$C$5,"5 Source No.",$C2361,"4 Item Ledger Entry Type",$C$4,"2 Item No.","@@"&amp;$F2361,"3 Posting Date",J$9)+NL("Sum","5802 Value Entry","17 Sales Amount (Actual)","41 Source Type",$C$5,"5 Source no.",$C2361,"4 Item Ledger Entry Type",$C$4,"2 Item No.","@@"&amp;$F2361,"3 Posting Date",J$9)</t>
  </si>
  <si>
    <t>=-NL("Sum","5802 Value Entry","151 Cost Amount (Expected)","41 Source Type",$C$5,"5 Source No.",$C2361,"4 Item Ledger Entry Type",$C$4,"2 Item No.","@@"&amp;$F2361,"3 Posting Date",J$9)-NL("Sum","5802 Value Entry","43 Cost Amount (Actual)","41 Source Type",$C$5,"5 Source no.",$C2361,"4 Item Ledger Entry Type",$C$4,"2 Item No.","@@"&amp;$F2361,"3 Posting Date",J$9)</t>
  </si>
  <si>
    <t>=J2361-L2361</t>
  </si>
  <si>
    <t>=IF(J2361&lt;&gt;0,M2361/J2361,"")</t>
  </si>
  <si>
    <t>=NL("Sum","5802 Value Entry","150 Sales Amount (Expected)","41 Source Type",$C$5,"5 Source No.",$C2361,"4 Item Ledger Entry Type",$C$4,"2 Item No.","@@"&amp;$F2361,"3 Posting Date",O$9)+NL("Sum","5802 Value Entry","17 Sales Amount (Actual)","41 Source Type",$C$5,"5 Source no.",$C2361,"4 Item Ledger Entry Type",$C$4,"2 Item No.","@@"&amp;$F2361,"3 Posting Date",O$9)</t>
  </si>
  <si>
    <t>=-NL("Sum","5802 Value Entry","151 Cost Amount (Expected)","41 Source Type",$C$5,"5 Source No.",$C2361,"4 Item Ledger Entry Type",$C$4,"2 Item No.","@@"&amp;$F2361,"3 Posting Date",O$9)-NL("Sum","5802 Value Entry","43 Cost Amount (Actual)","41 Source Type",$C$5,"5 Source no.",$C2361,"4 Item Ledger Entry Type",$C$4,"2 Item No.","@@"&amp;$F2361,"3 Posting Date",O$9)</t>
  </si>
  <si>
    <t>=O2361-Q2361</t>
  </si>
  <si>
    <t>=IF(O2361&lt;&gt;0,R2361/O2361,"")</t>
  </si>
  <si>
    <t>=NL("Sum","5802 Value Entry","150 Sales Amount (Expected)","41 Source Type",$C$5,"5 Source No.",$C2361,"4 Item Ledger Entry Type",$C$4,"2 Item No.","@@"&amp;$F2361,"3 Posting Date",U$9)+NL("Sum","5802 Value Entry","17 Sales Amount (Actual)","41 Source Type",$C$5,"5 Source no.",$C2361,"4 Item Ledger Entry Type",$C$4,"2 Item No.","@@"&amp;$F2361,"3 Posting Date",U$9)</t>
  </si>
  <si>
    <t>=-NL("Sum","5802 Value Entry","151 Cost Amount (Expected)","41 Source Type",$C$5,"5 Source No.",$C2361,"4 Item Ledger Entry Type",$C$4,"2 Item No.","@@"&amp;$F2361,"3 Posting Date",U$9)-NL("Sum","5802 Value Entry","43 Cost Amount (Actual)","41 Source Type",$C$5,"5 Source no.",$C2361,"4 Item Ledger Entry Type",$C$4,"2 Item No.","@@"&amp;$F2361,"3 Posting Date",U$9)</t>
  </si>
  <si>
    <t>=U2361-W2361</t>
  </si>
  <si>
    <t>=IF(U2361&lt;&gt;0,X2361/U2361,"")</t>
  </si>
  <si>
    <t>=NL("Sum","5802 Value Entry","150 Sales Amount (Expected)","41 Source Type",$C$5,"5 Source No.",$C2361,"4 Item Ledger Entry Type",$C$4,"2 Item No.","@@"&amp;$F2361,"3 Posting Date",Z$9)+NL("Sum","5802 Value Entry","17 Sales Amount (Actual)","41 Source Type",$C$5,"5 Source no.",$C2361,"4 Item Ledger Entry Type",$C$4,"2 Item No.","@@"&amp;$F2361,"3 Posting Date",Z$9)</t>
  </si>
  <si>
    <t>=-NL("Sum","5802 Value Entry","151 Cost Amount (Expected)","41 Source Type",$C$5,"5 Source No.",$C2361,"4 Item Ledger Entry Type",$C$4,"2 Item No.","@@"&amp;$F2361,"3 Posting Date",Z$9)-NL("Sum","5802 Value Entry","43 Cost Amount (Actual)","41 Source Type",$C$5,"5 Source no.",$C2361,"4 Item Ledger Entry Type",$C$4,"2 Item No.","@@"&amp;$F2361,"3 Posting Date",Z$9)</t>
  </si>
  <si>
    <t>=Z2361-AB2361</t>
  </si>
  <si>
    <t>=IF(Z2361&lt;&gt;0,AC2361/Z2361,"")</t>
  </si>
  <si>
    <t>=C2361</t>
  </si>
  <si>
    <t>=NL("Sum","5802 Value Entry","150 Sales Amount (Expected)","41 Source Type",$C$5,"5 Source No.",$C2362,"4 Item Ledger Entry Type",$C$4,"2 Item No.","@@"&amp;$F2362,"3 Posting Date",J$9)+NL("Sum","5802 Value Entry","17 Sales Amount (Actual)","41 Source Type",$C$5,"5 Source no.",$C2362,"4 Item Ledger Entry Type",$C$4,"2 Item No.","@@"&amp;$F2362,"3 Posting Date",J$9)</t>
  </si>
  <si>
    <t>=-NL("Sum","5802 Value Entry","151 Cost Amount (Expected)","41 Source Type",$C$5,"5 Source No.",$C2362,"4 Item Ledger Entry Type",$C$4,"2 Item No.","@@"&amp;$F2362,"3 Posting Date",J$9)-NL("Sum","5802 Value Entry","43 Cost Amount (Actual)","41 Source Type",$C$5,"5 Source no.",$C2362,"4 Item Ledger Entry Type",$C$4,"2 Item No.","@@"&amp;$F2362,"3 Posting Date",J$9)</t>
  </si>
  <si>
    <t>=J2362-L2362</t>
  </si>
  <si>
    <t>=IF(J2362&lt;&gt;0,M2362/J2362,"")</t>
  </si>
  <si>
    <t>=NL("Sum","5802 Value Entry","150 Sales Amount (Expected)","41 Source Type",$C$5,"5 Source No.",$C2362,"4 Item Ledger Entry Type",$C$4,"2 Item No.","@@"&amp;$F2362,"3 Posting Date",O$9)+NL("Sum","5802 Value Entry","17 Sales Amount (Actual)","41 Source Type",$C$5,"5 Source no.",$C2362,"4 Item Ledger Entry Type",$C$4,"2 Item No.","@@"&amp;$F2362,"3 Posting Date",O$9)</t>
  </si>
  <si>
    <t>=-NL("Sum","5802 Value Entry","151 Cost Amount (Expected)","41 Source Type",$C$5,"5 Source No.",$C2362,"4 Item Ledger Entry Type",$C$4,"2 Item No.","@@"&amp;$F2362,"3 Posting Date",O$9)-NL("Sum","5802 Value Entry","43 Cost Amount (Actual)","41 Source Type",$C$5,"5 Source no.",$C2362,"4 Item Ledger Entry Type",$C$4,"2 Item No.","@@"&amp;$F2362,"3 Posting Date",O$9)</t>
  </si>
  <si>
    <t>=O2362-Q2362</t>
  </si>
  <si>
    <t>=IF(O2362&lt;&gt;0,R2362/O2362,"")</t>
  </si>
  <si>
    <t>=NL("Sum","5802 Value Entry","150 Sales Amount (Expected)","41 Source Type",$C$5,"5 Source No.",$C2362,"4 Item Ledger Entry Type",$C$4,"2 Item No.","@@"&amp;$F2362,"3 Posting Date",U$9)+NL("Sum","5802 Value Entry","17 Sales Amount (Actual)","41 Source Type",$C$5,"5 Source no.",$C2362,"4 Item Ledger Entry Type",$C$4,"2 Item No.","@@"&amp;$F2362,"3 Posting Date",U$9)</t>
  </si>
  <si>
    <t>=-NL("Sum","5802 Value Entry","151 Cost Amount (Expected)","41 Source Type",$C$5,"5 Source No.",$C2362,"4 Item Ledger Entry Type",$C$4,"2 Item No.","@@"&amp;$F2362,"3 Posting Date",U$9)-NL("Sum","5802 Value Entry","43 Cost Amount (Actual)","41 Source Type",$C$5,"5 Source no.",$C2362,"4 Item Ledger Entry Type",$C$4,"2 Item No.","@@"&amp;$F2362,"3 Posting Date",U$9)</t>
  </si>
  <si>
    <t>=U2362-W2362</t>
  </si>
  <si>
    <t>=IF(U2362&lt;&gt;0,X2362/U2362,"")</t>
  </si>
  <si>
    <t>=NL("Sum","5802 Value Entry","150 Sales Amount (Expected)","41 Source Type",$C$5,"5 Source No.",$C2362,"4 Item Ledger Entry Type",$C$4,"2 Item No.","@@"&amp;$F2362,"3 Posting Date",Z$9)+NL("Sum","5802 Value Entry","17 Sales Amount (Actual)","41 Source Type",$C$5,"5 Source no.",$C2362,"4 Item Ledger Entry Type",$C$4,"2 Item No.","@@"&amp;$F2362,"3 Posting Date",Z$9)</t>
  </si>
  <si>
    <t>=-NL("Sum","5802 Value Entry","151 Cost Amount (Expected)","41 Source Type",$C$5,"5 Source No.",$C2362,"4 Item Ledger Entry Type",$C$4,"2 Item No.","@@"&amp;$F2362,"3 Posting Date",Z$9)-NL("Sum","5802 Value Entry","43 Cost Amount (Actual)","41 Source Type",$C$5,"5 Source no.",$C2362,"4 Item Ledger Entry Type",$C$4,"2 Item No.","@@"&amp;$F2362,"3 Posting Date",Z$9)</t>
  </si>
  <si>
    <t>=Z2362-AB2362</t>
  </si>
  <si>
    <t>=IF(Z2362&lt;&gt;0,AC2362/Z2362,"")</t>
  </si>
  <si>
    <t>=C2362</t>
  </si>
  <si>
    <t>=NL("Sum","5802 Value Entry","150 Sales Amount (Expected)","41 Source Type",$C$5,"5 Source No.",$C2363,"4 Item Ledger Entry Type",$C$4,"2 Item No.","@@"&amp;$F2363,"3 Posting Date",J$9)+NL("Sum","5802 Value Entry","17 Sales Amount (Actual)","41 Source Type",$C$5,"5 Source no.",$C2363,"4 Item Ledger Entry Type",$C$4,"2 Item No.","@@"&amp;$F2363,"3 Posting Date",J$9)</t>
  </si>
  <si>
    <t>=-NL("Sum","5802 Value Entry","151 Cost Amount (Expected)","41 Source Type",$C$5,"5 Source No.",$C2363,"4 Item Ledger Entry Type",$C$4,"2 Item No.","@@"&amp;$F2363,"3 Posting Date",J$9)-NL("Sum","5802 Value Entry","43 Cost Amount (Actual)","41 Source Type",$C$5,"5 Source no.",$C2363,"4 Item Ledger Entry Type",$C$4,"2 Item No.","@@"&amp;$F2363,"3 Posting Date",J$9)</t>
  </si>
  <si>
    <t>=J2363-L2363</t>
  </si>
  <si>
    <t>=IF(J2363&lt;&gt;0,M2363/J2363,"")</t>
  </si>
  <si>
    <t>=NL("Sum","5802 Value Entry","150 Sales Amount (Expected)","41 Source Type",$C$5,"5 Source No.",$C2363,"4 Item Ledger Entry Type",$C$4,"2 Item No.","@@"&amp;$F2363,"3 Posting Date",O$9)+NL("Sum","5802 Value Entry","17 Sales Amount (Actual)","41 Source Type",$C$5,"5 Source no.",$C2363,"4 Item Ledger Entry Type",$C$4,"2 Item No.","@@"&amp;$F2363,"3 Posting Date",O$9)</t>
  </si>
  <si>
    <t>=-NL("Sum","5802 Value Entry","151 Cost Amount (Expected)","41 Source Type",$C$5,"5 Source No.",$C2363,"4 Item Ledger Entry Type",$C$4,"2 Item No.","@@"&amp;$F2363,"3 Posting Date",O$9)-NL("Sum","5802 Value Entry","43 Cost Amount (Actual)","41 Source Type",$C$5,"5 Source no.",$C2363,"4 Item Ledger Entry Type",$C$4,"2 Item No.","@@"&amp;$F2363,"3 Posting Date",O$9)</t>
  </si>
  <si>
    <t>=O2363-Q2363</t>
  </si>
  <si>
    <t>=IF(O2363&lt;&gt;0,R2363/O2363,"")</t>
  </si>
  <si>
    <t>=NL("Sum","5802 Value Entry","150 Sales Amount (Expected)","41 Source Type",$C$5,"5 Source No.",$C2363,"4 Item Ledger Entry Type",$C$4,"2 Item No.","@@"&amp;$F2363,"3 Posting Date",U$9)+NL("Sum","5802 Value Entry","17 Sales Amount (Actual)","41 Source Type",$C$5,"5 Source no.",$C2363,"4 Item Ledger Entry Type",$C$4,"2 Item No.","@@"&amp;$F2363,"3 Posting Date",U$9)</t>
  </si>
  <si>
    <t>=-NL("Sum","5802 Value Entry","151 Cost Amount (Expected)","41 Source Type",$C$5,"5 Source No.",$C2363,"4 Item Ledger Entry Type",$C$4,"2 Item No.","@@"&amp;$F2363,"3 Posting Date",U$9)-NL("Sum","5802 Value Entry","43 Cost Amount (Actual)","41 Source Type",$C$5,"5 Source no.",$C2363,"4 Item Ledger Entry Type",$C$4,"2 Item No.","@@"&amp;$F2363,"3 Posting Date",U$9)</t>
  </si>
  <si>
    <t>=U2363-W2363</t>
  </si>
  <si>
    <t>=IF(U2363&lt;&gt;0,X2363/U2363,"")</t>
  </si>
  <si>
    <t>=NL("Sum","5802 Value Entry","150 Sales Amount (Expected)","41 Source Type",$C$5,"5 Source No.",$C2363,"4 Item Ledger Entry Type",$C$4,"2 Item No.","@@"&amp;$F2363,"3 Posting Date",Z$9)+NL("Sum","5802 Value Entry","17 Sales Amount (Actual)","41 Source Type",$C$5,"5 Source no.",$C2363,"4 Item Ledger Entry Type",$C$4,"2 Item No.","@@"&amp;$F2363,"3 Posting Date",Z$9)</t>
  </si>
  <si>
    <t>=-NL("Sum","5802 Value Entry","151 Cost Amount (Expected)","41 Source Type",$C$5,"5 Source No.",$C2363,"4 Item Ledger Entry Type",$C$4,"2 Item No.","@@"&amp;$F2363,"3 Posting Date",Z$9)-NL("Sum","5802 Value Entry","43 Cost Amount (Actual)","41 Source Type",$C$5,"5 Source no.",$C2363,"4 Item Ledger Entry Type",$C$4,"2 Item No.","@@"&amp;$F2363,"3 Posting Date",Z$9)</t>
  </si>
  <si>
    <t>=Z2363-AB2363</t>
  </si>
  <si>
    <t>=IF(Z2363&lt;&gt;0,AC2363/Z2363,"")</t>
  </si>
  <si>
    <t>=C2363</t>
  </si>
  <si>
    <t>=NL("Sum","5802 Value Entry","150 Sales Amount (Expected)","41 Source Type",$C$5,"5 Source No.",$C2364,"4 Item Ledger Entry Type",$C$4,"2 Item No.","@@"&amp;$F2364,"3 Posting Date",J$9)+NL("Sum","5802 Value Entry","17 Sales Amount (Actual)","41 Source Type",$C$5,"5 Source no.",$C2364,"4 Item Ledger Entry Type",$C$4,"2 Item No.","@@"&amp;$F2364,"3 Posting Date",J$9)</t>
  </si>
  <si>
    <t>=-NL("Sum","5802 Value Entry","151 Cost Amount (Expected)","41 Source Type",$C$5,"5 Source No.",$C2364,"4 Item Ledger Entry Type",$C$4,"2 Item No.","@@"&amp;$F2364,"3 Posting Date",J$9)-NL("Sum","5802 Value Entry","43 Cost Amount (Actual)","41 Source Type",$C$5,"5 Source no.",$C2364,"4 Item Ledger Entry Type",$C$4,"2 Item No.","@@"&amp;$F2364,"3 Posting Date",J$9)</t>
  </si>
  <si>
    <t>=J2364-L2364</t>
  </si>
  <si>
    <t>=IF(J2364&lt;&gt;0,M2364/J2364,"")</t>
  </si>
  <si>
    <t>=NL("Sum","5802 Value Entry","150 Sales Amount (Expected)","41 Source Type",$C$5,"5 Source No.",$C2364,"4 Item Ledger Entry Type",$C$4,"2 Item No.","@@"&amp;$F2364,"3 Posting Date",O$9)+NL("Sum","5802 Value Entry","17 Sales Amount (Actual)","41 Source Type",$C$5,"5 Source no.",$C2364,"4 Item Ledger Entry Type",$C$4,"2 Item No.","@@"&amp;$F2364,"3 Posting Date",O$9)</t>
  </si>
  <si>
    <t>=-NL("Sum","5802 Value Entry","151 Cost Amount (Expected)","41 Source Type",$C$5,"5 Source No.",$C2364,"4 Item Ledger Entry Type",$C$4,"2 Item No.","@@"&amp;$F2364,"3 Posting Date",O$9)-NL("Sum","5802 Value Entry","43 Cost Amount (Actual)","41 Source Type",$C$5,"5 Source no.",$C2364,"4 Item Ledger Entry Type",$C$4,"2 Item No.","@@"&amp;$F2364,"3 Posting Date",O$9)</t>
  </si>
  <si>
    <t>=O2364-Q2364</t>
  </si>
  <si>
    <t>=IF(O2364&lt;&gt;0,R2364/O2364,"")</t>
  </si>
  <si>
    <t>=NL("Sum","5802 Value Entry","150 Sales Amount (Expected)","41 Source Type",$C$5,"5 Source No.",$C2364,"4 Item Ledger Entry Type",$C$4,"2 Item No.","@@"&amp;$F2364,"3 Posting Date",U$9)+NL("Sum","5802 Value Entry","17 Sales Amount (Actual)","41 Source Type",$C$5,"5 Source no.",$C2364,"4 Item Ledger Entry Type",$C$4,"2 Item No.","@@"&amp;$F2364,"3 Posting Date",U$9)</t>
  </si>
  <si>
    <t>=-NL("Sum","5802 Value Entry","151 Cost Amount (Expected)","41 Source Type",$C$5,"5 Source No.",$C2364,"4 Item Ledger Entry Type",$C$4,"2 Item No.","@@"&amp;$F2364,"3 Posting Date",U$9)-NL("Sum","5802 Value Entry","43 Cost Amount (Actual)","41 Source Type",$C$5,"5 Source no.",$C2364,"4 Item Ledger Entry Type",$C$4,"2 Item No.","@@"&amp;$F2364,"3 Posting Date",U$9)</t>
  </si>
  <si>
    <t>=U2364-W2364</t>
  </si>
  <si>
    <t>=IF(U2364&lt;&gt;0,X2364/U2364,"")</t>
  </si>
  <si>
    <t>=NL("Sum","5802 Value Entry","150 Sales Amount (Expected)","41 Source Type",$C$5,"5 Source No.",$C2364,"4 Item Ledger Entry Type",$C$4,"2 Item No.","@@"&amp;$F2364,"3 Posting Date",Z$9)+NL("Sum","5802 Value Entry","17 Sales Amount (Actual)","41 Source Type",$C$5,"5 Source no.",$C2364,"4 Item Ledger Entry Type",$C$4,"2 Item No.","@@"&amp;$F2364,"3 Posting Date",Z$9)</t>
  </si>
  <si>
    <t>=-NL("Sum","5802 Value Entry","151 Cost Amount (Expected)","41 Source Type",$C$5,"5 Source No.",$C2364,"4 Item Ledger Entry Type",$C$4,"2 Item No.","@@"&amp;$F2364,"3 Posting Date",Z$9)-NL("Sum","5802 Value Entry","43 Cost Amount (Actual)","41 Source Type",$C$5,"5 Source no.",$C2364,"4 Item Ledger Entry Type",$C$4,"2 Item No.","@@"&amp;$F2364,"3 Posting Date",Z$9)</t>
  </si>
  <si>
    <t>=Z2364-AB2364</t>
  </si>
  <si>
    <t>=IF(Z2364&lt;&gt;0,AC2364/Z2364,"")</t>
  </si>
  <si>
    <t>=C2364</t>
  </si>
  <si>
    <t>=NL("Sum","5802 Value Entry","150 Sales Amount (Expected)","41 Source Type",$C$5,"5 Source No.",$C2365,"4 Item Ledger Entry Type",$C$4,"2 Item No.","@@"&amp;$F2365,"3 Posting Date",J$9)+NL("Sum","5802 Value Entry","17 Sales Amount (Actual)","41 Source Type",$C$5,"5 Source no.",$C2365,"4 Item Ledger Entry Type",$C$4,"2 Item No.","@@"&amp;$F2365,"3 Posting Date",J$9)</t>
  </si>
  <si>
    <t>=-NL("Sum","5802 Value Entry","151 Cost Amount (Expected)","41 Source Type",$C$5,"5 Source No.",$C2365,"4 Item Ledger Entry Type",$C$4,"2 Item No.","@@"&amp;$F2365,"3 Posting Date",J$9)-NL("Sum","5802 Value Entry","43 Cost Amount (Actual)","41 Source Type",$C$5,"5 Source no.",$C2365,"4 Item Ledger Entry Type",$C$4,"2 Item No.","@@"&amp;$F2365,"3 Posting Date",J$9)</t>
  </si>
  <si>
    <t>=J2365-L2365</t>
  </si>
  <si>
    <t>=IF(J2365&lt;&gt;0,M2365/J2365,"")</t>
  </si>
  <si>
    <t>=NL("Sum","5802 Value Entry","150 Sales Amount (Expected)","41 Source Type",$C$5,"5 Source No.",$C2365,"4 Item Ledger Entry Type",$C$4,"2 Item No.","@@"&amp;$F2365,"3 Posting Date",O$9)+NL("Sum","5802 Value Entry","17 Sales Amount (Actual)","41 Source Type",$C$5,"5 Source no.",$C2365,"4 Item Ledger Entry Type",$C$4,"2 Item No.","@@"&amp;$F2365,"3 Posting Date",O$9)</t>
  </si>
  <si>
    <t>=-NL("Sum","5802 Value Entry","151 Cost Amount (Expected)","41 Source Type",$C$5,"5 Source No.",$C2365,"4 Item Ledger Entry Type",$C$4,"2 Item No.","@@"&amp;$F2365,"3 Posting Date",O$9)-NL("Sum","5802 Value Entry","43 Cost Amount (Actual)","41 Source Type",$C$5,"5 Source no.",$C2365,"4 Item Ledger Entry Type",$C$4,"2 Item No.","@@"&amp;$F2365,"3 Posting Date",O$9)</t>
  </si>
  <si>
    <t>=O2365-Q2365</t>
  </si>
  <si>
    <t>=IF(O2365&lt;&gt;0,R2365/O2365,"")</t>
  </si>
  <si>
    <t>=NL("Sum","5802 Value Entry","150 Sales Amount (Expected)","41 Source Type",$C$5,"5 Source No.",$C2365,"4 Item Ledger Entry Type",$C$4,"2 Item No.","@@"&amp;$F2365,"3 Posting Date",U$9)+NL("Sum","5802 Value Entry","17 Sales Amount (Actual)","41 Source Type",$C$5,"5 Source no.",$C2365,"4 Item Ledger Entry Type",$C$4,"2 Item No.","@@"&amp;$F2365,"3 Posting Date",U$9)</t>
  </si>
  <si>
    <t>=-NL("Sum","5802 Value Entry","151 Cost Amount (Expected)","41 Source Type",$C$5,"5 Source No.",$C2365,"4 Item Ledger Entry Type",$C$4,"2 Item No.","@@"&amp;$F2365,"3 Posting Date",U$9)-NL("Sum","5802 Value Entry","43 Cost Amount (Actual)","41 Source Type",$C$5,"5 Source no.",$C2365,"4 Item Ledger Entry Type",$C$4,"2 Item No.","@@"&amp;$F2365,"3 Posting Date",U$9)</t>
  </si>
  <si>
    <t>=U2365-W2365</t>
  </si>
  <si>
    <t>=IF(U2365&lt;&gt;0,X2365/U2365,"")</t>
  </si>
  <si>
    <t>=NL("Sum","5802 Value Entry","150 Sales Amount (Expected)","41 Source Type",$C$5,"5 Source No.",$C2365,"4 Item Ledger Entry Type",$C$4,"2 Item No.","@@"&amp;$F2365,"3 Posting Date",Z$9)+NL("Sum","5802 Value Entry","17 Sales Amount (Actual)","41 Source Type",$C$5,"5 Source no.",$C2365,"4 Item Ledger Entry Type",$C$4,"2 Item No.","@@"&amp;$F2365,"3 Posting Date",Z$9)</t>
  </si>
  <si>
    <t>=-NL("Sum","5802 Value Entry","151 Cost Amount (Expected)","41 Source Type",$C$5,"5 Source No.",$C2365,"4 Item Ledger Entry Type",$C$4,"2 Item No.","@@"&amp;$F2365,"3 Posting Date",Z$9)-NL("Sum","5802 Value Entry","43 Cost Amount (Actual)","41 Source Type",$C$5,"5 Source no.",$C2365,"4 Item Ledger Entry Type",$C$4,"2 Item No.","@@"&amp;$F2365,"3 Posting Date",Z$9)</t>
  </si>
  <si>
    <t>=Z2365-AB2365</t>
  </si>
  <si>
    <t>=IF(Z2365&lt;&gt;0,AC2365/Z2365,"")</t>
  </si>
  <si>
    <t>=C2365</t>
  </si>
  <si>
    <t>=NL("Sum","5802 Value Entry","150 Sales Amount (Expected)","41 Source Type",$C$5,"5 Source No.",$C2366,"4 Item Ledger Entry Type",$C$4,"2 Item No.","@@"&amp;$F2366,"3 Posting Date",J$9)+NL("Sum","5802 Value Entry","17 Sales Amount (Actual)","41 Source Type",$C$5,"5 Source no.",$C2366,"4 Item Ledger Entry Type",$C$4,"2 Item No.","@@"&amp;$F2366,"3 Posting Date",J$9)</t>
  </si>
  <si>
    <t>=-NL("Sum","5802 Value Entry","151 Cost Amount (Expected)","41 Source Type",$C$5,"5 Source No.",$C2366,"4 Item Ledger Entry Type",$C$4,"2 Item No.","@@"&amp;$F2366,"3 Posting Date",J$9)-NL("Sum","5802 Value Entry","43 Cost Amount (Actual)","41 Source Type",$C$5,"5 Source no.",$C2366,"4 Item Ledger Entry Type",$C$4,"2 Item No.","@@"&amp;$F2366,"3 Posting Date",J$9)</t>
  </si>
  <si>
    <t>=J2366-L2366</t>
  </si>
  <si>
    <t>=IF(J2366&lt;&gt;0,M2366/J2366,"")</t>
  </si>
  <si>
    <t>=NL("Sum","5802 Value Entry","150 Sales Amount (Expected)","41 Source Type",$C$5,"5 Source No.",$C2366,"4 Item Ledger Entry Type",$C$4,"2 Item No.","@@"&amp;$F2366,"3 Posting Date",O$9)+NL("Sum","5802 Value Entry","17 Sales Amount (Actual)","41 Source Type",$C$5,"5 Source no.",$C2366,"4 Item Ledger Entry Type",$C$4,"2 Item No.","@@"&amp;$F2366,"3 Posting Date",O$9)</t>
  </si>
  <si>
    <t>=-NL("Sum","5802 Value Entry","151 Cost Amount (Expected)","41 Source Type",$C$5,"5 Source No.",$C2366,"4 Item Ledger Entry Type",$C$4,"2 Item No.","@@"&amp;$F2366,"3 Posting Date",O$9)-NL("Sum","5802 Value Entry","43 Cost Amount (Actual)","41 Source Type",$C$5,"5 Source no.",$C2366,"4 Item Ledger Entry Type",$C$4,"2 Item No.","@@"&amp;$F2366,"3 Posting Date",O$9)</t>
  </si>
  <si>
    <t>=O2366-Q2366</t>
  </si>
  <si>
    <t>=IF(O2366&lt;&gt;0,R2366/O2366,"")</t>
  </si>
  <si>
    <t>=NL("Sum","5802 Value Entry","150 Sales Amount (Expected)","41 Source Type",$C$5,"5 Source No.",$C2366,"4 Item Ledger Entry Type",$C$4,"2 Item No.","@@"&amp;$F2366,"3 Posting Date",U$9)+NL("Sum","5802 Value Entry","17 Sales Amount (Actual)","41 Source Type",$C$5,"5 Source no.",$C2366,"4 Item Ledger Entry Type",$C$4,"2 Item No.","@@"&amp;$F2366,"3 Posting Date",U$9)</t>
  </si>
  <si>
    <t>=-NL("Sum","5802 Value Entry","151 Cost Amount (Expected)","41 Source Type",$C$5,"5 Source No.",$C2366,"4 Item Ledger Entry Type",$C$4,"2 Item No.","@@"&amp;$F2366,"3 Posting Date",U$9)-NL("Sum","5802 Value Entry","43 Cost Amount (Actual)","41 Source Type",$C$5,"5 Source no.",$C2366,"4 Item Ledger Entry Type",$C$4,"2 Item No.","@@"&amp;$F2366,"3 Posting Date",U$9)</t>
  </si>
  <si>
    <t>=U2366-W2366</t>
  </si>
  <si>
    <t>=IF(U2366&lt;&gt;0,X2366/U2366,"")</t>
  </si>
  <si>
    <t>=NL("Sum","5802 Value Entry","150 Sales Amount (Expected)","41 Source Type",$C$5,"5 Source No.",$C2366,"4 Item Ledger Entry Type",$C$4,"2 Item No.","@@"&amp;$F2366,"3 Posting Date",Z$9)+NL("Sum","5802 Value Entry","17 Sales Amount (Actual)","41 Source Type",$C$5,"5 Source no.",$C2366,"4 Item Ledger Entry Type",$C$4,"2 Item No.","@@"&amp;$F2366,"3 Posting Date",Z$9)</t>
  </si>
  <si>
    <t>=-NL("Sum","5802 Value Entry","151 Cost Amount (Expected)","41 Source Type",$C$5,"5 Source No.",$C2366,"4 Item Ledger Entry Type",$C$4,"2 Item No.","@@"&amp;$F2366,"3 Posting Date",Z$9)-NL("Sum","5802 Value Entry","43 Cost Amount (Actual)","41 Source Type",$C$5,"5 Source no.",$C2366,"4 Item Ledger Entry Type",$C$4,"2 Item No.","@@"&amp;$F2366,"3 Posting Date",Z$9)</t>
  </si>
  <si>
    <t>=Z2366-AB2366</t>
  </si>
  <si>
    <t>=IF(Z2366&lt;&gt;0,AC2366/Z2366,"")</t>
  </si>
  <si>
    <t>=C2366</t>
  </si>
  <si>
    <t>=NL("Sum","5802 Value Entry","150 Sales Amount (Expected)","41 Source Type",$C$5,"5 Source No.",$C2367,"4 Item Ledger Entry Type",$C$4,"2 Item No.","@@"&amp;$F2367,"3 Posting Date",J$9)+NL("Sum","5802 Value Entry","17 Sales Amount (Actual)","41 Source Type",$C$5,"5 Source no.",$C2367,"4 Item Ledger Entry Type",$C$4,"2 Item No.","@@"&amp;$F2367,"3 Posting Date",J$9)</t>
  </si>
  <si>
    <t>=-NL("Sum","5802 Value Entry","151 Cost Amount (Expected)","41 Source Type",$C$5,"5 Source No.",$C2367,"4 Item Ledger Entry Type",$C$4,"2 Item No.","@@"&amp;$F2367,"3 Posting Date",J$9)-NL("Sum","5802 Value Entry","43 Cost Amount (Actual)","41 Source Type",$C$5,"5 Source no.",$C2367,"4 Item Ledger Entry Type",$C$4,"2 Item No.","@@"&amp;$F2367,"3 Posting Date",J$9)</t>
  </si>
  <si>
    <t>=J2367-L2367</t>
  </si>
  <si>
    <t>=IF(J2367&lt;&gt;0,M2367/J2367,"")</t>
  </si>
  <si>
    <t>=NL("Sum","5802 Value Entry","150 Sales Amount (Expected)","41 Source Type",$C$5,"5 Source No.",$C2367,"4 Item Ledger Entry Type",$C$4,"2 Item No.","@@"&amp;$F2367,"3 Posting Date",O$9)+NL("Sum","5802 Value Entry","17 Sales Amount (Actual)","41 Source Type",$C$5,"5 Source no.",$C2367,"4 Item Ledger Entry Type",$C$4,"2 Item No.","@@"&amp;$F2367,"3 Posting Date",O$9)</t>
  </si>
  <si>
    <t>=-NL("Sum","5802 Value Entry","151 Cost Amount (Expected)","41 Source Type",$C$5,"5 Source No.",$C2367,"4 Item Ledger Entry Type",$C$4,"2 Item No.","@@"&amp;$F2367,"3 Posting Date",O$9)-NL("Sum","5802 Value Entry","43 Cost Amount (Actual)","41 Source Type",$C$5,"5 Source no.",$C2367,"4 Item Ledger Entry Type",$C$4,"2 Item No.","@@"&amp;$F2367,"3 Posting Date",O$9)</t>
  </si>
  <si>
    <t>=O2367-Q2367</t>
  </si>
  <si>
    <t>=IF(O2367&lt;&gt;0,R2367/O2367,"")</t>
  </si>
  <si>
    <t>=NL("Sum","5802 Value Entry","150 Sales Amount (Expected)","41 Source Type",$C$5,"5 Source No.",$C2367,"4 Item Ledger Entry Type",$C$4,"2 Item No.","@@"&amp;$F2367,"3 Posting Date",U$9)+NL("Sum","5802 Value Entry","17 Sales Amount (Actual)","41 Source Type",$C$5,"5 Source no.",$C2367,"4 Item Ledger Entry Type",$C$4,"2 Item No.","@@"&amp;$F2367,"3 Posting Date",U$9)</t>
  </si>
  <si>
    <t>=-NL("Sum","5802 Value Entry","151 Cost Amount (Expected)","41 Source Type",$C$5,"5 Source No.",$C2367,"4 Item Ledger Entry Type",$C$4,"2 Item No.","@@"&amp;$F2367,"3 Posting Date",U$9)-NL("Sum","5802 Value Entry","43 Cost Amount (Actual)","41 Source Type",$C$5,"5 Source no.",$C2367,"4 Item Ledger Entry Type",$C$4,"2 Item No.","@@"&amp;$F2367,"3 Posting Date",U$9)</t>
  </si>
  <si>
    <t>=U2367-W2367</t>
  </si>
  <si>
    <t>=IF(U2367&lt;&gt;0,X2367/U2367,"")</t>
  </si>
  <si>
    <t>=NL("Sum","5802 Value Entry","150 Sales Amount (Expected)","41 Source Type",$C$5,"5 Source No.",$C2367,"4 Item Ledger Entry Type",$C$4,"2 Item No.","@@"&amp;$F2367,"3 Posting Date",Z$9)+NL("Sum","5802 Value Entry","17 Sales Amount (Actual)","41 Source Type",$C$5,"5 Source no.",$C2367,"4 Item Ledger Entry Type",$C$4,"2 Item No.","@@"&amp;$F2367,"3 Posting Date",Z$9)</t>
  </si>
  <si>
    <t>=-NL("Sum","5802 Value Entry","151 Cost Amount (Expected)","41 Source Type",$C$5,"5 Source No.",$C2367,"4 Item Ledger Entry Type",$C$4,"2 Item No.","@@"&amp;$F2367,"3 Posting Date",Z$9)-NL("Sum","5802 Value Entry","43 Cost Amount (Actual)","41 Source Type",$C$5,"5 Source no.",$C2367,"4 Item Ledger Entry Type",$C$4,"2 Item No.","@@"&amp;$F2367,"3 Posting Date",Z$9)</t>
  </si>
  <si>
    <t>=Z2367-AB2367</t>
  </si>
  <si>
    <t>=IF(Z2367&lt;&gt;0,AC2367/Z2367,"")</t>
  </si>
  <si>
    <t>=C2367</t>
  </si>
  <si>
    <t>=NL("Sum","5802 Value Entry","150 Sales Amount (Expected)","41 Source Type",$C$5,"5 Source No.",$C2368,"4 Item Ledger Entry Type",$C$4,"2 Item No.","@@"&amp;$F2368,"3 Posting Date",J$9)+NL("Sum","5802 Value Entry","17 Sales Amount (Actual)","41 Source Type",$C$5,"5 Source no.",$C2368,"4 Item Ledger Entry Type",$C$4,"2 Item No.","@@"&amp;$F2368,"3 Posting Date",J$9)</t>
  </si>
  <si>
    <t>=-NL("Sum","5802 Value Entry","151 Cost Amount (Expected)","41 Source Type",$C$5,"5 Source No.",$C2368,"4 Item Ledger Entry Type",$C$4,"2 Item No.","@@"&amp;$F2368,"3 Posting Date",J$9)-NL("Sum","5802 Value Entry","43 Cost Amount (Actual)","41 Source Type",$C$5,"5 Source no.",$C2368,"4 Item Ledger Entry Type",$C$4,"2 Item No.","@@"&amp;$F2368,"3 Posting Date",J$9)</t>
  </si>
  <si>
    <t>=J2368-L2368</t>
  </si>
  <si>
    <t>=IF(J2368&lt;&gt;0,M2368/J2368,"")</t>
  </si>
  <si>
    <t>=NL("Sum","5802 Value Entry","150 Sales Amount (Expected)","41 Source Type",$C$5,"5 Source No.",$C2368,"4 Item Ledger Entry Type",$C$4,"2 Item No.","@@"&amp;$F2368,"3 Posting Date",O$9)+NL("Sum","5802 Value Entry","17 Sales Amount (Actual)","41 Source Type",$C$5,"5 Source no.",$C2368,"4 Item Ledger Entry Type",$C$4,"2 Item No.","@@"&amp;$F2368,"3 Posting Date",O$9)</t>
  </si>
  <si>
    <t>=-NL("Sum","5802 Value Entry","151 Cost Amount (Expected)","41 Source Type",$C$5,"5 Source No.",$C2368,"4 Item Ledger Entry Type",$C$4,"2 Item No.","@@"&amp;$F2368,"3 Posting Date",O$9)-NL("Sum","5802 Value Entry","43 Cost Amount (Actual)","41 Source Type",$C$5,"5 Source no.",$C2368,"4 Item Ledger Entry Type",$C$4,"2 Item No.","@@"&amp;$F2368,"3 Posting Date",O$9)</t>
  </si>
  <si>
    <t>=O2368-Q2368</t>
  </si>
  <si>
    <t>=IF(O2368&lt;&gt;0,R2368/O2368,"")</t>
  </si>
  <si>
    <t>=NL("Sum","5802 Value Entry","150 Sales Amount (Expected)","41 Source Type",$C$5,"5 Source No.",$C2368,"4 Item Ledger Entry Type",$C$4,"2 Item No.","@@"&amp;$F2368,"3 Posting Date",U$9)+NL("Sum","5802 Value Entry","17 Sales Amount (Actual)","41 Source Type",$C$5,"5 Source no.",$C2368,"4 Item Ledger Entry Type",$C$4,"2 Item No.","@@"&amp;$F2368,"3 Posting Date",U$9)</t>
  </si>
  <si>
    <t>=-NL("Sum","5802 Value Entry","151 Cost Amount (Expected)","41 Source Type",$C$5,"5 Source No.",$C2368,"4 Item Ledger Entry Type",$C$4,"2 Item No.","@@"&amp;$F2368,"3 Posting Date",U$9)-NL("Sum","5802 Value Entry","43 Cost Amount (Actual)","41 Source Type",$C$5,"5 Source no.",$C2368,"4 Item Ledger Entry Type",$C$4,"2 Item No.","@@"&amp;$F2368,"3 Posting Date",U$9)</t>
  </si>
  <si>
    <t>=U2368-W2368</t>
  </si>
  <si>
    <t>=IF(U2368&lt;&gt;0,X2368/U2368,"")</t>
  </si>
  <si>
    <t>=NL("Sum","5802 Value Entry","150 Sales Amount (Expected)","41 Source Type",$C$5,"5 Source No.",$C2368,"4 Item Ledger Entry Type",$C$4,"2 Item No.","@@"&amp;$F2368,"3 Posting Date",Z$9)+NL("Sum","5802 Value Entry","17 Sales Amount (Actual)","41 Source Type",$C$5,"5 Source no.",$C2368,"4 Item Ledger Entry Type",$C$4,"2 Item No.","@@"&amp;$F2368,"3 Posting Date",Z$9)</t>
  </si>
  <si>
    <t>=-NL("Sum","5802 Value Entry","151 Cost Amount (Expected)","41 Source Type",$C$5,"5 Source No.",$C2368,"4 Item Ledger Entry Type",$C$4,"2 Item No.","@@"&amp;$F2368,"3 Posting Date",Z$9)-NL("Sum","5802 Value Entry","43 Cost Amount (Actual)","41 Source Type",$C$5,"5 Source no.",$C2368,"4 Item Ledger Entry Type",$C$4,"2 Item No.","@@"&amp;$F2368,"3 Posting Date",Z$9)</t>
  </si>
  <si>
    <t>=Z2368-AB2368</t>
  </si>
  <si>
    <t>=IF(Z2368&lt;&gt;0,AC2368/Z2368,"")</t>
  </si>
  <si>
    <t>=C2368</t>
  </si>
  <si>
    <t>=NL("Sum","5802 Value Entry","150 Sales Amount (Expected)","41 Source Type",$C$5,"5 Source No.",$C2369,"4 Item Ledger Entry Type",$C$4,"2 Item No.","@@"&amp;$F2369,"3 Posting Date",J$9)+NL("Sum","5802 Value Entry","17 Sales Amount (Actual)","41 Source Type",$C$5,"5 Source no.",$C2369,"4 Item Ledger Entry Type",$C$4,"2 Item No.","@@"&amp;$F2369,"3 Posting Date",J$9)</t>
  </si>
  <si>
    <t>=-NL("Sum","5802 Value Entry","151 Cost Amount (Expected)","41 Source Type",$C$5,"5 Source No.",$C2369,"4 Item Ledger Entry Type",$C$4,"2 Item No.","@@"&amp;$F2369,"3 Posting Date",J$9)-NL("Sum","5802 Value Entry","43 Cost Amount (Actual)","41 Source Type",$C$5,"5 Source no.",$C2369,"4 Item Ledger Entry Type",$C$4,"2 Item No.","@@"&amp;$F2369,"3 Posting Date",J$9)</t>
  </si>
  <si>
    <t>=J2369-L2369</t>
  </si>
  <si>
    <t>=IF(J2369&lt;&gt;0,M2369/J2369,"")</t>
  </si>
  <si>
    <t>=NL("Sum","5802 Value Entry","150 Sales Amount (Expected)","41 Source Type",$C$5,"5 Source No.",$C2369,"4 Item Ledger Entry Type",$C$4,"2 Item No.","@@"&amp;$F2369,"3 Posting Date",O$9)+NL("Sum","5802 Value Entry","17 Sales Amount (Actual)","41 Source Type",$C$5,"5 Source no.",$C2369,"4 Item Ledger Entry Type",$C$4,"2 Item No.","@@"&amp;$F2369,"3 Posting Date",O$9)</t>
  </si>
  <si>
    <t>=-NL("Sum","5802 Value Entry","151 Cost Amount (Expected)","41 Source Type",$C$5,"5 Source No.",$C2369,"4 Item Ledger Entry Type",$C$4,"2 Item No.","@@"&amp;$F2369,"3 Posting Date",O$9)-NL("Sum","5802 Value Entry","43 Cost Amount (Actual)","41 Source Type",$C$5,"5 Source no.",$C2369,"4 Item Ledger Entry Type",$C$4,"2 Item No.","@@"&amp;$F2369,"3 Posting Date",O$9)</t>
  </si>
  <si>
    <t>=O2369-Q2369</t>
  </si>
  <si>
    <t>=IF(O2369&lt;&gt;0,R2369/O2369,"")</t>
  </si>
  <si>
    <t>=NL("Sum","5802 Value Entry","150 Sales Amount (Expected)","41 Source Type",$C$5,"5 Source No.",$C2369,"4 Item Ledger Entry Type",$C$4,"2 Item No.","@@"&amp;$F2369,"3 Posting Date",U$9)+NL("Sum","5802 Value Entry","17 Sales Amount (Actual)","41 Source Type",$C$5,"5 Source no.",$C2369,"4 Item Ledger Entry Type",$C$4,"2 Item No.","@@"&amp;$F2369,"3 Posting Date",U$9)</t>
  </si>
  <si>
    <t>=-NL("Sum","5802 Value Entry","151 Cost Amount (Expected)","41 Source Type",$C$5,"5 Source No.",$C2369,"4 Item Ledger Entry Type",$C$4,"2 Item No.","@@"&amp;$F2369,"3 Posting Date",U$9)-NL("Sum","5802 Value Entry","43 Cost Amount (Actual)","41 Source Type",$C$5,"5 Source no.",$C2369,"4 Item Ledger Entry Type",$C$4,"2 Item No.","@@"&amp;$F2369,"3 Posting Date",U$9)</t>
  </si>
  <si>
    <t>=U2369-W2369</t>
  </si>
  <si>
    <t>=IF(U2369&lt;&gt;0,X2369/U2369,"")</t>
  </si>
  <si>
    <t>=NL("Sum","5802 Value Entry","150 Sales Amount (Expected)","41 Source Type",$C$5,"5 Source No.",$C2369,"4 Item Ledger Entry Type",$C$4,"2 Item No.","@@"&amp;$F2369,"3 Posting Date",Z$9)+NL("Sum","5802 Value Entry","17 Sales Amount (Actual)","41 Source Type",$C$5,"5 Source no.",$C2369,"4 Item Ledger Entry Type",$C$4,"2 Item No.","@@"&amp;$F2369,"3 Posting Date",Z$9)</t>
  </si>
  <si>
    <t>=-NL("Sum","5802 Value Entry","151 Cost Amount (Expected)","41 Source Type",$C$5,"5 Source No.",$C2369,"4 Item Ledger Entry Type",$C$4,"2 Item No.","@@"&amp;$F2369,"3 Posting Date",Z$9)-NL("Sum","5802 Value Entry","43 Cost Amount (Actual)","41 Source Type",$C$5,"5 Source no.",$C2369,"4 Item Ledger Entry Type",$C$4,"2 Item No.","@@"&amp;$F2369,"3 Posting Date",Z$9)</t>
  </si>
  <si>
    <t>=Z2369-AB2369</t>
  </si>
  <si>
    <t>=IF(Z2369&lt;&gt;0,AC2369/Z2369,"")</t>
  </si>
  <si>
    <t>=C2369</t>
  </si>
  <si>
    <t>=NL("Sum","5802 Value Entry","150 Sales Amount (Expected)","41 Source Type",$C$5,"5 Source No.",$C2370,"4 Item Ledger Entry Type",$C$4,"2 Item No.","@@"&amp;$F2370,"3 Posting Date",J$9)+NL("Sum","5802 Value Entry","17 Sales Amount (Actual)","41 Source Type",$C$5,"5 Source no.",$C2370,"4 Item Ledger Entry Type",$C$4,"2 Item No.","@@"&amp;$F2370,"3 Posting Date",J$9)</t>
  </si>
  <si>
    <t>=-NL("Sum","5802 Value Entry","151 Cost Amount (Expected)","41 Source Type",$C$5,"5 Source No.",$C2370,"4 Item Ledger Entry Type",$C$4,"2 Item No.","@@"&amp;$F2370,"3 Posting Date",J$9)-NL("Sum","5802 Value Entry","43 Cost Amount (Actual)","41 Source Type",$C$5,"5 Source no.",$C2370,"4 Item Ledger Entry Type",$C$4,"2 Item No.","@@"&amp;$F2370,"3 Posting Date",J$9)</t>
  </si>
  <si>
    <t>=J2370-L2370</t>
  </si>
  <si>
    <t>=IF(J2370&lt;&gt;0,M2370/J2370,"")</t>
  </si>
  <si>
    <t>=NL("Sum","5802 Value Entry","150 Sales Amount (Expected)","41 Source Type",$C$5,"5 Source No.",$C2370,"4 Item Ledger Entry Type",$C$4,"2 Item No.","@@"&amp;$F2370,"3 Posting Date",O$9)+NL("Sum","5802 Value Entry","17 Sales Amount (Actual)","41 Source Type",$C$5,"5 Source no.",$C2370,"4 Item Ledger Entry Type",$C$4,"2 Item No.","@@"&amp;$F2370,"3 Posting Date",O$9)</t>
  </si>
  <si>
    <t>=-NL("Sum","5802 Value Entry","151 Cost Amount (Expected)","41 Source Type",$C$5,"5 Source No.",$C2370,"4 Item Ledger Entry Type",$C$4,"2 Item No.","@@"&amp;$F2370,"3 Posting Date",O$9)-NL("Sum","5802 Value Entry","43 Cost Amount (Actual)","41 Source Type",$C$5,"5 Source no.",$C2370,"4 Item Ledger Entry Type",$C$4,"2 Item No.","@@"&amp;$F2370,"3 Posting Date",O$9)</t>
  </si>
  <si>
    <t>=O2370-Q2370</t>
  </si>
  <si>
    <t>=IF(O2370&lt;&gt;0,R2370/O2370,"")</t>
  </si>
  <si>
    <t>=NL("Sum","5802 Value Entry","150 Sales Amount (Expected)","41 Source Type",$C$5,"5 Source No.",$C2370,"4 Item Ledger Entry Type",$C$4,"2 Item No.","@@"&amp;$F2370,"3 Posting Date",U$9)+NL("Sum","5802 Value Entry","17 Sales Amount (Actual)","41 Source Type",$C$5,"5 Source no.",$C2370,"4 Item Ledger Entry Type",$C$4,"2 Item No.","@@"&amp;$F2370,"3 Posting Date",U$9)</t>
  </si>
  <si>
    <t>=-NL("Sum","5802 Value Entry","151 Cost Amount (Expected)","41 Source Type",$C$5,"5 Source No.",$C2370,"4 Item Ledger Entry Type",$C$4,"2 Item No.","@@"&amp;$F2370,"3 Posting Date",U$9)-NL("Sum","5802 Value Entry","43 Cost Amount (Actual)","41 Source Type",$C$5,"5 Source no.",$C2370,"4 Item Ledger Entry Type",$C$4,"2 Item No.","@@"&amp;$F2370,"3 Posting Date",U$9)</t>
  </si>
  <si>
    <t>=U2370-W2370</t>
  </si>
  <si>
    <t>=IF(U2370&lt;&gt;0,X2370/U2370,"")</t>
  </si>
  <si>
    <t>=NL("Sum","5802 Value Entry","150 Sales Amount (Expected)","41 Source Type",$C$5,"5 Source No.",$C2370,"4 Item Ledger Entry Type",$C$4,"2 Item No.","@@"&amp;$F2370,"3 Posting Date",Z$9)+NL("Sum","5802 Value Entry","17 Sales Amount (Actual)","41 Source Type",$C$5,"5 Source no.",$C2370,"4 Item Ledger Entry Type",$C$4,"2 Item No.","@@"&amp;$F2370,"3 Posting Date",Z$9)</t>
  </si>
  <si>
    <t>=-NL("Sum","5802 Value Entry","151 Cost Amount (Expected)","41 Source Type",$C$5,"5 Source No.",$C2370,"4 Item Ledger Entry Type",$C$4,"2 Item No.","@@"&amp;$F2370,"3 Posting Date",Z$9)-NL("Sum","5802 Value Entry","43 Cost Amount (Actual)","41 Source Type",$C$5,"5 Source no.",$C2370,"4 Item Ledger Entry Type",$C$4,"2 Item No.","@@"&amp;$F2370,"3 Posting Date",Z$9)</t>
  </si>
  <si>
    <t>=Z2370-AB2370</t>
  </si>
  <si>
    <t>=IF(Z2370&lt;&gt;0,AC2370/Z2370,"")</t>
  </si>
  <si>
    <t>=C2370</t>
  </si>
  <si>
    <t>=NL("Sum","5802 Value Entry","150 Sales Amount (Expected)","41 Source Type",$C$5,"5 Source No.",$C2371,"4 Item Ledger Entry Type",$C$4,"2 Item No.","@@"&amp;$F2371,"3 Posting Date",J$9)+NL("Sum","5802 Value Entry","17 Sales Amount (Actual)","41 Source Type",$C$5,"5 Source no.",$C2371,"4 Item Ledger Entry Type",$C$4,"2 Item No.","@@"&amp;$F2371,"3 Posting Date",J$9)</t>
  </si>
  <si>
    <t>=-NL("Sum","5802 Value Entry","151 Cost Amount (Expected)","41 Source Type",$C$5,"5 Source No.",$C2371,"4 Item Ledger Entry Type",$C$4,"2 Item No.","@@"&amp;$F2371,"3 Posting Date",J$9)-NL("Sum","5802 Value Entry","43 Cost Amount (Actual)","41 Source Type",$C$5,"5 Source no.",$C2371,"4 Item Ledger Entry Type",$C$4,"2 Item No.","@@"&amp;$F2371,"3 Posting Date",J$9)</t>
  </si>
  <si>
    <t>=J2371-L2371</t>
  </si>
  <si>
    <t>=IF(J2371&lt;&gt;0,M2371/J2371,"")</t>
  </si>
  <si>
    <t>=NL("Sum","5802 Value Entry","150 Sales Amount (Expected)","41 Source Type",$C$5,"5 Source No.",$C2371,"4 Item Ledger Entry Type",$C$4,"2 Item No.","@@"&amp;$F2371,"3 Posting Date",O$9)+NL("Sum","5802 Value Entry","17 Sales Amount (Actual)","41 Source Type",$C$5,"5 Source no.",$C2371,"4 Item Ledger Entry Type",$C$4,"2 Item No.","@@"&amp;$F2371,"3 Posting Date",O$9)</t>
  </si>
  <si>
    <t>=-NL("Sum","5802 Value Entry","151 Cost Amount (Expected)","41 Source Type",$C$5,"5 Source No.",$C2371,"4 Item Ledger Entry Type",$C$4,"2 Item No.","@@"&amp;$F2371,"3 Posting Date",O$9)-NL("Sum","5802 Value Entry","43 Cost Amount (Actual)","41 Source Type",$C$5,"5 Source no.",$C2371,"4 Item Ledger Entry Type",$C$4,"2 Item No.","@@"&amp;$F2371,"3 Posting Date",O$9)</t>
  </si>
  <si>
    <t>=O2371-Q2371</t>
  </si>
  <si>
    <t>=IF(O2371&lt;&gt;0,R2371/O2371,"")</t>
  </si>
  <si>
    <t>=NL("Sum","5802 Value Entry","150 Sales Amount (Expected)","41 Source Type",$C$5,"5 Source No.",$C2371,"4 Item Ledger Entry Type",$C$4,"2 Item No.","@@"&amp;$F2371,"3 Posting Date",U$9)+NL("Sum","5802 Value Entry","17 Sales Amount (Actual)","41 Source Type",$C$5,"5 Source no.",$C2371,"4 Item Ledger Entry Type",$C$4,"2 Item No.","@@"&amp;$F2371,"3 Posting Date",U$9)</t>
  </si>
  <si>
    <t>=-NL("Sum","5802 Value Entry","151 Cost Amount (Expected)","41 Source Type",$C$5,"5 Source No.",$C2371,"4 Item Ledger Entry Type",$C$4,"2 Item No.","@@"&amp;$F2371,"3 Posting Date",U$9)-NL("Sum","5802 Value Entry","43 Cost Amount (Actual)","41 Source Type",$C$5,"5 Source no.",$C2371,"4 Item Ledger Entry Type",$C$4,"2 Item No.","@@"&amp;$F2371,"3 Posting Date",U$9)</t>
  </si>
  <si>
    <t>=U2371-W2371</t>
  </si>
  <si>
    <t>=IF(U2371&lt;&gt;0,X2371/U2371,"")</t>
  </si>
  <si>
    <t>=NL("Sum","5802 Value Entry","150 Sales Amount (Expected)","41 Source Type",$C$5,"5 Source No.",$C2371,"4 Item Ledger Entry Type",$C$4,"2 Item No.","@@"&amp;$F2371,"3 Posting Date",Z$9)+NL("Sum","5802 Value Entry","17 Sales Amount (Actual)","41 Source Type",$C$5,"5 Source no.",$C2371,"4 Item Ledger Entry Type",$C$4,"2 Item No.","@@"&amp;$F2371,"3 Posting Date",Z$9)</t>
  </si>
  <si>
    <t>=-NL("Sum","5802 Value Entry","151 Cost Amount (Expected)","41 Source Type",$C$5,"5 Source No.",$C2371,"4 Item Ledger Entry Type",$C$4,"2 Item No.","@@"&amp;$F2371,"3 Posting Date",Z$9)-NL("Sum","5802 Value Entry","43 Cost Amount (Actual)","41 Source Type",$C$5,"5 Source no.",$C2371,"4 Item Ledger Entry Type",$C$4,"2 Item No.","@@"&amp;$F2371,"3 Posting Date",Z$9)</t>
  </si>
  <si>
    <t>=Z2371-AB2371</t>
  </si>
  <si>
    <t>=IF(Z2371&lt;&gt;0,AC2371/Z2371,"")</t>
  </si>
  <si>
    <t>=C2371</t>
  </si>
  <si>
    <t>=NL("Sum","5802 Value Entry","150 Sales Amount (Expected)","41 Source Type",$C$5,"5 Source No.",$C2372,"4 Item Ledger Entry Type",$C$4,"2 Item No.","@@"&amp;$F2372,"3 Posting Date",J$9)+NL("Sum","5802 Value Entry","17 Sales Amount (Actual)","41 Source Type",$C$5,"5 Source no.",$C2372,"4 Item Ledger Entry Type",$C$4,"2 Item No.","@@"&amp;$F2372,"3 Posting Date",J$9)</t>
  </si>
  <si>
    <t>=-NL("Sum","5802 Value Entry","151 Cost Amount (Expected)","41 Source Type",$C$5,"5 Source No.",$C2372,"4 Item Ledger Entry Type",$C$4,"2 Item No.","@@"&amp;$F2372,"3 Posting Date",J$9)-NL("Sum","5802 Value Entry","43 Cost Amount (Actual)","41 Source Type",$C$5,"5 Source no.",$C2372,"4 Item Ledger Entry Type",$C$4,"2 Item No.","@@"&amp;$F2372,"3 Posting Date",J$9)</t>
  </si>
  <si>
    <t>=J2372-L2372</t>
  </si>
  <si>
    <t>=IF(J2372&lt;&gt;0,M2372/J2372,"")</t>
  </si>
  <si>
    <t>=NL("Sum","5802 Value Entry","150 Sales Amount (Expected)","41 Source Type",$C$5,"5 Source No.",$C2372,"4 Item Ledger Entry Type",$C$4,"2 Item No.","@@"&amp;$F2372,"3 Posting Date",O$9)+NL("Sum","5802 Value Entry","17 Sales Amount (Actual)","41 Source Type",$C$5,"5 Source no.",$C2372,"4 Item Ledger Entry Type",$C$4,"2 Item No.","@@"&amp;$F2372,"3 Posting Date",O$9)</t>
  </si>
  <si>
    <t>=-NL("Sum","5802 Value Entry","151 Cost Amount (Expected)","41 Source Type",$C$5,"5 Source No.",$C2372,"4 Item Ledger Entry Type",$C$4,"2 Item No.","@@"&amp;$F2372,"3 Posting Date",O$9)-NL("Sum","5802 Value Entry","43 Cost Amount (Actual)","41 Source Type",$C$5,"5 Source no.",$C2372,"4 Item Ledger Entry Type",$C$4,"2 Item No.","@@"&amp;$F2372,"3 Posting Date",O$9)</t>
  </si>
  <si>
    <t>=O2372-Q2372</t>
  </si>
  <si>
    <t>=IF(O2372&lt;&gt;0,R2372/O2372,"")</t>
  </si>
  <si>
    <t>=NL("Sum","5802 Value Entry","150 Sales Amount (Expected)","41 Source Type",$C$5,"5 Source No.",$C2372,"4 Item Ledger Entry Type",$C$4,"2 Item No.","@@"&amp;$F2372,"3 Posting Date",U$9)+NL("Sum","5802 Value Entry","17 Sales Amount (Actual)","41 Source Type",$C$5,"5 Source no.",$C2372,"4 Item Ledger Entry Type",$C$4,"2 Item No.","@@"&amp;$F2372,"3 Posting Date",U$9)</t>
  </si>
  <si>
    <t>=-NL("Sum","5802 Value Entry","151 Cost Amount (Expected)","41 Source Type",$C$5,"5 Source No.",$C2372,"4 Item Ledger Entry Type",$C$4,"2 Item No.","@@"&amp;$F2372,"3 Posting Date",U$9)-NL("Sum","5802 Value Entry","43 Cost Amount (Actual)","41 Source Type",$C$5,"5 Source no.",$C2372,"4 Item Ledger Entry Type",$C$4,"2 Item No.","@@"&amp;$F2372,"3 Posting Date",U$9)</t>
  </si>
  <si>
    <t>=U2372-W2372</t>
  </si>
  <si>
    <t>=IF(U2372&lt;&gt;0,X2372/U2372,"")</t>
  </si>
  <si>
    <t>=NL("Sum","5802 Value Entry","150 Sales Amount (Expected)","41 Source Type",$C$5,"5 Source No.",$C2372,"4 Item Ledger Entry Type",$C$4,"2 Item No.","@@"&amp;$F2372,"3 Posting Date",Z$9)+NL("Sum","5802 Value Entry","17 Sales Amount (Actual)","41 Source Type",$C$5,"5 Source no.",$C2372,"4 Item Ledger Entry Type",$C$4,"2 Item No.","@@"&amp;$F2372,"3 Posting Date",Z$9)</t>
  </si>
  <si>
    <t>=-NL("Sum","5802 Value Entry","151 Cost Amount (Expected)","41 Source Type",$C$5,"5 Source No.",$C2372,"4 Item Ledger Entry Type",$C$4,"2 Item No.","@@"&amp;$F2372,"3 Posting Date",Z$9)-NL("Sum","5802 Value Entry","43 Cost Amount (Actual)","41 Source Type",$C$5,"5 Source no.",$C2372,"4 Item Ledger Entry Type",$C$4,"2 Item No.","@@"&amp;$F2372,"3 Posting Date",Z$9)</t>
  </si>
  <si>
    <t>=Z2372-AB2372</t>
  </si>
  <si>
    <t>=IF(Z2372&lt;&gt;0,AC2372/Z2372,"")</t>
  </si>
  <si>
    <t>=C2373</t>
  </si>
  <si>
    <t>=J2374-L2374</t>
  </si>
  <si>
    <t>=IF(J2374&lt;&gt;0,M2374/J2374,"")</t>
  </si>
  <si>
    <t>=O2374-Q2374</t>
  </si>
  <si>
    <t>=IF(O2374&lt;&gt;0,R2374/O2374,"")</t>
  </si>
  <si>
    <t>=U2374-W2374</t>
  </si>
  <si>
    <t>=IF(U2374&lt;&gt;0,X2374/U2374,"")</t>
  </si>
  <si>
    <t>=Z2374-AB2374</t>
  </si>
  <si>
    <t>=IF(Z2374&lt;&gt;0,AC2374/Z2374,"")</t>
  </si>
  <si>
    <t>="C100108"</t>
  </si>
  <si>
    <t>=C2376</t>
  </si>
  <si>
    <t>=C2379</t>
  </si>
  <si>
    <t>=C2380</t>
  </si>
  <si>
    <t>=NL("Sum","5802 Value Entry","150 Sales Amount (Expected)","41 Source Type",$C$5,"5 Source No.",$C2381,"4 Item Ledger Entry Type",$C$4,"2 Item No.","@@"&amp;$F2381,"3 Posting Date",J$9)+NL("Sum","5802 Value Entry","17 Sales Amount (Actual)","41 Source Type",$C$5,"5 Source no.",$C2381,"4 Item Ledger Entry Type",$C$4,"2 Item No.","@@"&amp;$F2381,"3 Posting Date",J$9)</t>
  </si>
  <si>
    <t>=-NL("Sum","5802 Value Entry","151 Cost Amount (Expected)","41 Source Type",$C$5,"5 Source No.",$C2381,"4 Item Ledger Entry Type",$C$4,"2 Item No.","@@"&amp;$F2381,"3 Posting Date",J$9)-NL("Sum","5802 Value Entry","43 Cost Amount (Actual)","41 Source Type",$C$5,"5 Source no.",$C2381,"4 Item Ledger Entry Type",$C$4,"2 Item No.","@@"&amp;$F2381,"3 Posting Date",J$9)</t>
  </si>
  <si>
    <t>=J2381-L2381</t>
  </si>
  <si>
    <t>=IF(J2381&lt;&gt;0,M2381/J2381,"")</t>
  </si>
  <si>
    <t>=NL("Sum","5802 Value Entry","150 Sales Amount (Expected)","41 Source Type",$C$5,"5 Source No.",$C2381,"4 Item Ledger Entry Type",$C$4,"2 Item No.","@@"&amp;$F2381,"3 Posting Date",O$9)+NL("Sum","5802 Value Entry","17 Sales Amount (Actual)","41 Source Type",$C$5,"5 Source no.",$C2381,"4 Item Ledger Entry Type",$C$4,"2 Item No.","@@"&amp;$F2381,"3 Posting Date",O$9)</t>
  </si>
  <si>
    <t>=-NL("Sum","5802 Value Entry","151 Cost Amount (Expected)","41 Source Type",$C$5,"5 Source No.",$C2381,"4 Item Ledger Entry Type",$C$4,"2 Item No.","@@"&amp;$F2381,"3 Posting Date",O$9)-NL("Sum","5802 Value Entry","43 Cost Amount (Actual)","41 Source Type",$C$5,"5 Source no.",$C2381,"4 Item Ledger Entry Type",$C$4,"2 Item No.","@@"&amp;$F2381,"3 Posting Date",O$9)</t>
  </si>
  <si>
    <t>=O2381-Q2381</t>
  </si>
  <si>
    <t>=IF(O2381&lt;&gt;0,R2381/O2381,"")</t>
  </si>
  <si>
    <t>=NL("Sum","5802 Value Entry","150 Sales Amount (Expected)","41 Source Type",$C$5,"5 Source No.",$C2381,"4 Item Ledger Entry Type",$C$4,"2 Item No.","@@"&amp;$F2381,"3 Posting Date",U$9)+NL("Sum","5802 Value Entry","17 Sales Amount (Actual)","41 Source Type",$C$5,"5 Source no.",$C2381,"4 Item Ledger Entry Type",$C$4,"2 Item No.","@@"&amp;$F2381,"3 Posting Date",U$9)</t>
  </si>
  <si>
    <t>=-NL("Sum","5802 Value Entry","151 Cost Amount (Expected)","41 Source Type",$C$5,"5 Source No.",$C2381,"4 Item Ledger Entry Type",$C$4,"2 Item No.","@@"&amp;$F2381,"3 Posting Date",U$9)-NL("Sum","5802 Value Entry","43 Cost Amount (Actual)","41 Source Type",$C$5,"5 Source no.",$C2381,"4 Item Ledger Entry Type",$C$4,"2 Item No.","@@"&amp;$F2381,"3 Posting Date",U$9)</t>
  </si>
  <si>
    <t>=U2381-W2381</t>
  </si>
  <si>
    <t>=IF(U2381&lt;&gt;0,X2381/U2381,"")</t>
  </si>
  <si>
    <t>=NL("Sum","5802 Value Entry","150 Sales Amount (Expected)","41 Source Type",$C$5,"5 Source No.",$C2381,"4 Item Ledger Entry Type",$C$4,"2 Item No.","@@"&amp;$F2381,"3 Posting Date",Z$9)+NL("Sum","5802 Value Entry","17 Sales Amount (Actual)","41 Source Type",$C$5,"5 Source no.",$C2381,"4 Item Ledger Entry Type",$C$4,"2 Item No.","@@"&amp;$F2381,"3 Posting Date",Z$9)</t>
  </si>
  <si>
    <t>=-NL("Sum","5802 Value Entry","151 Cost Amount (Expected)","41 Source Type",$C$5,"5 Source No.",$C2381,"4 Item Ledger Entry Type",$C$4,"2 Item No.","@@"&amp;$F2381,"3 Posting Date",Z$9)-NL("Sum","5802 Value Entry","43 Cost Amount (Actual)","41 Source Type",$C$5,"5 Source no.",$C2381,"4 Item Ledger Entry Type",$C$4,"2 Item No.","@@"&amp;$F2381,"3 Posting Date",Z$9)</t>
  </si>
  <si>
    <t>=Z2381-AB2381</t>
  </si>
  <si>
    <t>=IF(Z2381&lt;&gt;0,AC2381/Z2381,"")</t>
  </si>
  <si>
    <t>=C2381</t>
  </si>
  <si>
    <t>=NL("Sum","5802 Value Entry","150 Sales Amount (Expected)","41 Source Type",$C$5,"5 Source No.",$C2382,"4 Item Ledger Entry Type",$C$4,"2 Item No.","@@"&amp;$F2382,"3 Posting Date",J$9)+NL("Sum","5802 Value Entry","17 Sales Amount (Actual)","41 Source Type",$C$5,"5 Source no.",$C2382,"4 Item Ledger Entry Type",$C$4,"2 Item No.","@@"&amp;$F2382,"3 Posting Date",J$9)</t>
  </si>
  <si>
    <t>=-NL("Sum","5802 Value Entry","151 Cost Amount (Expected)","41 Source Type",$C$5,"5 Source No.",$C2382,"4 Item Ledger Entry Type",$C$4,"2 Item No.","@@"&amp;$F2382,"3 Posting Date",J$9)-NL("Sum","5802 Value Entry","43 Cost Amount (Actual)","41 Source Type",$C$5,"5 Source no.",$C2382,"4 Item Ledger Entry Type",$C$4,"2 Item No.","@@"&amp;$F2382,"3 Posting Date",J$9)</t>
  </si>
  <si>
    <t>=J2382-L2382</t>
  </si>
  <si>
    <t>=IF(J2382&lt;&gt;0,M2382/J2382,"")</t>
  </si>
  <si>
    <t>=NL("Sum","5802 Value Entry","150 Sales Amount (Expected)","41 Source Type",$C$5,"5 Source No.",$C2382,"4 Item Ledger Entry Type",$C$4,"2 Item No.","@@"&amp;$F2382,"3 Posting Date",O$9)+NL("Sum","5802 Value Entry","17 Sales Amount (Actual)","41 Source Type",$C$5,"5 Source no.",$C2382,"4 Item Ledger Entry Type",$C$4,"2 Item No.","@@"&amp;$F2382,"3 Posting Date",O$9)</t>
  </si>
  <si>
    <t>=-NL("Sum","5802 Value Entry","151 Cost Amount (Expected)","41 Source Type",$C$5,"5 Source No.",$C2382,"4 Item Ledger Entry Type",$C$4,"2 Item No.","@@"&amp;$F2382,"3 Posting Date",O$9)-NL("Sum","5802 Value Entry","43 Cost Amount (Actual)","41 Source Type",$C$5,"5 Source no.",$C2382,"4 Item Ledger Entry Type",$C$4,"2 Item No.","@@"&amp;$F2382,"3 Posting Date",O$9)</t>
  </si>
  <si>
    <t>=O2382-Q2382</t>
  </si>
  <si>
    <t>=IF(O2382&lt;&gt;0,R2382/O2382,"")</t>
  </si>
  <si>
    <t>=NL("Sum","5802 Value Entry","150 Sales Amount (Expected)","41 Source Type",$C$5,"5 Source No.",$C2382,"4 Item Ledger Entry Type",$C$4,"2 Item No.","@@"&amp;$F2382,"3 Posting Date",U$9)+NL("Sum","5802 Value Entry","17 Sales Amount (Actual)","41 Source Type",$C$5,"5 Source no.",$C2382,"4 Item Ledger Entry Type",$C$4,"2 Item No.","@@"&amp;$F2382,"3 Posting Date",U$9)</t>
  </si>
  <si>
    <t>=-NL("Sum","5802 Value Entry","151 Cost Amount (Expected)","41 Source Type",$C$5,"5 Source No.",$C2382,"4 Item Ledger Entry Type",$C$4,"2 Item No.","@@"&amp;$F2382,"3 Posting Date",U$9)-NL("Sum","5802 Value Entry","43 Cost Amount (Actual)","41 Source Type",$C$5,"5 Source no.",$C2382,"4 Item Ledger Entry Type",$C$4,"2 Item No.","@@"&amp;$F2382,"3 Posting Date",U$9)</t>
  </si>
  <si>
    <t>=U2382-W2382</t>
  </si>
  <si>
    <t>=IF(U2382&lt;&gt;0,X2382/U2382,"")</t>
  </si>
  <si>
    <t>=NL("Sum","5802 Value Entry","150 Sales Amount (Expected)","41 Source Type",$C$5,"5 Source No.",$C2382,"4 Item Ledger Entry Type",$C$4,"2 Item No.","@@"&amp;$F2382,"3 Posting Date",Z$9)+NL("Sum","5802 Value Entry","17 Sales Amount (Actual)","41 Source Type",$C$5,"5 Source no.",$C2382,"4 Item Ledger Entry Type",$C$4,"2 Item No.","@@"&amp;$F2382,"3 Posting Date",Z$9)</t>
  </si>
  <si>
    <t>=-NL("Sum","5802 Value Entry","151 Cost Amount (Expected)","41 Source Type",$C$5,"5 Source No.",$C2382,"4 Item Ledger Entry Type",$C$4,"2 Item No.","@@"&amp;$F2382,"3 Posting Date",Z$9)-NL("Sum","5802 Value Entry","43 Cost Amount (Actual)","41 Source Type",$C$5,"5 Source no.",$C2382,"4 Item Ledger Entry Type",$C$4,"2 Item No.","@@"&amp;$F2382,"3 Posting Date",Z$9)</t>
  </si>
  <si>
    <t>=Z2382-AB2382</t>
  </si>
  <si>
    <t>=IF(Z2382&lt;&gt;0,AC2382/Z2382,"")</t>
  </si>
  <si>
    <t>=C2382</t>
  </si>
  <si>
    <t>=NL("Sum","5802 Value Entry","150 Sales Amount (Expected)","41 Source Type",$C$5,"5 Source No.",$C2383,"4 Item Ledger Entry Type",$C$4,"2 Item No.","@@"&amp;$F2383,"3 Posting Date",J$9)+NL("Sum","5802 Value Entry","17 Sales Amount (Actual)","41 Source Type",$C$5,"5 Source no.",$C2383,"4 Item Ledger Entry Type",$C$4,"2 Item No.","@@"&amp;$F2383,"3 Posting Date",J$9)</t>
  </si>
  <si>
    <t>=-NL("Sum","5802 Value Entry","151 Cost Amount (Expected)","41 Source Type",$C$5,"5 Source No.",$C2383,"4 Item Ledger Entry Type",$C$4,"2 Item No.","@@"&amp;$F2383,"3 Posting Date",J$9)-NL("Sum","5802 Value Entry","43 Cost Amount (Actual)","41 Source Type",$C$5,"5 Source no.",$C2383,"4 Item Ledger Entry Type",$C$4,"2 Item No.","@@"&amp;$F2383,"3 Posting Date",J$9)</t>
  </si>
  <si>
    <t>=J2383-L2383</t>
  </si>
  <si>
    <t>=IF(J2383&lt;&gt;0,M2383/J2383,"")</t>
  </si>
  <si>
    <t>=NL("Sum","5802 Value Entry","150 Sales Amount (Expected)","41 Source Type",$C$5,"5 Source No.",$C2383,"4 Item Ledger Entry Type",$C$4,"2 Item No.","@@"&amp;$F2383,"3 Posting Date",O$9)+NL("Sum","5802 Value Entry","17 Sales Amount (Actual)","41 Source Type",$C$5,"5 Source no.",$C2383,"4 Item Ledger Entry Type",$C$4,"2 Item No.","@@"&amp;$F2383,"3 Posting Date",O$9)</t>
  </si>
  <si>
    <t>=-NL("Sum","5802 Value Entry","151 Cost Amount (Expected)","41 Source Type",$C$5,"5 Source No.",$C2383,"4 Item Ledger Entry Type",$C$4,"2 Item No.","@@"&amp;$F2383,"3 Posting Date",O$9)-NL("Sum","5802 Value Entry","43 Cost Amount (Actual)","41 Source Type",$C$5,"5 Source no.",$C2383,"4 Item Ledger Entry Type",$C$4,"2 Item No.","@@"&amp;$F2383,"3 Posting Date",O$9)</t>
  </si>
  <si>
    <t>=O2383-Q2383</t>
  </si>
  <si>
    <t>=IF(O2383&lt;&gt;0,R2383/O2383,"")</t>
  </si>
  <si>
    <t>=NL("Sum","5802 Value Entry","150 Sales Amount (Expected)","41 Source Type",$C$5,"5 Source No.",$C2383,"4 Item Ledger Entry Type",$C$4,"2 Item No.","@@"&amp;$F2383,"3 Posting Date",U$9)+NL("Sum","5802 Value Entry","17 Sales Amount (Actual)","41 Source Type",$C$5,"5 Source no.",$C2383,"4 Item Ledger Entry Type",$C$4,"2 Item No.","@@"&amp;$F2383,"3 Posting Date",U$9)</t>
  </si>
  <si>
    <t>=-NL("Sum","5802 Value Entry","151 Cost Amount (Expected)","41 Source Type",$C$5,"5 Source No.",$C2383,"4 Item Ledger Entry Type",$C$4,"2 Item No.","@@"&amp;$F2383,"3 Posting Date",U$9)-NL("Sum","5802 Value Entry","43 Cost Amount (Actual)","41 Source Type",$C$5,"5 Source no.",$C2383,"4 Item Ledger Entry Type",$C$4,"2 Item No.","@@"&amp;$F2383,"3 Posting Date",U$9)</t>
  </si>
  <si>
    <t>=U2383-W2383</t>
  </si>
  <si>
    <t>=IF(U2383&lt;&gt;0,X2383/U2383,"")</t>
  </si>
  <si>
    <t>=NL("Sum","5802 Value Entry","150 Sales Amount (Expected)","41 Source Type",$C$5,"5 Source No.",$C2383,"4 Item Ledger Entry Type",$C$4,"2 Item No.","@@"&amp;$F2383,"3 Posting Date",Z$9)+NL("Sum","5802 Value Entry","17 Sales Amount (Actual)","41 Source Type",$C$5,"5 Source no.",$C2383,"4 Item Ledger Entry Type",$C$4,"2 Item No.","@@"&amp;$F2383,"3 Posting Date",Z$9)</t>
  </si>
  <si>
    <t>=-NL("Sum","5802 Value Entry","151 Cost Amount (Expected)","41 Source Type",$C$5,"5 Source No.",$C2383,"4 Item Ledger Entry Type",$C$4,"2 Item No.","@@"&amp;$F2383,"3 Posting Date",Z$9)-NL("Sum","5802 Value Entry","43 Cost Amount (Actual)","41 Source Type",$C$5,"5 Source no.",$C2383,"4 Item Ledger Entry Type",$C$4,"2 Item No.","@@"&amp;$F2383,"3 Posting Date",Z$9)</t>
  </si>
  <si>
    <t>=Z2383-AB2383</t>
  </si>
  <si>
    <t>=IF(Z2383&lt;&gt;0,AC2383/Z2383,"")</t>
  </si>
  <si>
    <t>=C2383</t>
  </si>
  <si>
    <t>=NL("Sum","5802 Value Entry","150 Sales Amount (Expected)","41 Source Type",$C$5,"5 Source No.",$C2384,"4 Item Ledger Entry Type",$C$4,"2 Item No.","@@"&amp;$F2384,"3 Posting Date",J$9)+NL("Sum","5802 Value Entry","17 Sales Amount (Actual)","41 Source Type",$C$5,"5 Source no.",$C2384,"4 Item Ledger Entry Type",$C$4,"2 Item No.","@@"&amp;$F2384,"3 Posting Date",J$9)</t>
  </si>
  <si>
    <t>=-NL("Sum","5802 Value Entry","151 Cost Amount (Expected)","41 Source Type",$C$5,"5 Source No.",$C2384,"4 Item Ledger Entry Type",$C$4,"2 Item No.","@@"&amp;$F2384,"3 Posting Date",J$9)-NL("Sum","5802 Value Entry","43 Cost Amount (Actual)","41 Source Type",$C$5,"5 Source no.",$C2384,"4 Item Ledger Entry Type",$C$4,"2 Item No.","@@"&amp;$F2384,"3 Posting Date",J$9)</t>
  </si>
  <si>
    <t>=J2384-L2384</t>
  </si>
  <si>
    <t>=IF(J2384&lt;&gt;0,M2384/J2384,"")</t>
  </si>
  <si>
    <t>=NL("Sum","5802 Value Entry","150 Sales Amount (Expected)","41 Source Type",$C$5,"5 Source No.",$C2384,"4 Item Ledger Entry Type",$C$4,"2 Item No.","@@"&amp;$F2384,"3 Posting Date",O$9)+NL("Sum","5802 Value Entry","17 Sales Amount (Actual)","41 Source Type",$C$5,"5 Source no.",$C2384,"4 Item Ledger Entry Type",$C$4,"2 Item No.","@@"&amp;$F2384,"3 Posting Date",O$9)</t>
  </si>
  <si>
    <t>=-NL("Sum","5802 Value Entry","151 Cost Amount (Expected)","41 Source Type",$C$5,"5 Source No.",$C2384,"4 Item Ledger Entry Type",$C$4,"2 Item No.","@@"&amp;$F2384,"3 Posting Date",O$9)-NL("Sum","5802 Value Entry","43 Cost Amount (Actual)","41 Source Type",$C$5,"5 Source no.",$C2384,"4 Item Ledger Entry Type",$C$4,"2 Item No.","@@"&amp;$F2384,"3 Posting Date",O$9)</t>
  </si>
  <si>
    <t>=O2384-Q2384</t>
  </si>
  <si>
    <t>=IF(O2384&lt;&gt;0,R2384/O2384,"")</t>
  </si>
  <si>
    <t>=NL("Sum","5802 Value Entry","150 Sales Amount (Expected)","41 Source Type",$C$5,"5 Source No.",$C2384,"4 Item Ledger Entry Type",$C$4,"2 Item No.","@@"&amp;$F2384,"3 Posting Date",U$9)+NL("Sum","5802 Value Entry","17 Sales Amount (Actual)","41 Source Type",$C$5,"5 Source no.",$C2384,"4 Item Ledger Entry Type",$C$4,"2 Item No.","@@"&amp;$F2384,"3 Posting Date",U$9)</t>
  </si>
  <si>
    <t>=-NL("Sum","5802 Value Entry","151 Cost Amount (Expected)","41 Source Type",$C$5,"5 Source No.",$C2384,"4 Item Ledger Entry Type",$C$4,"2 Item No.","@@"&amp;$F2384,"3 Posting Date",U$9)-NL("Sum","5802 Value Entry","43 Cost Amount (Actual)","41 Source Type",$C$5,"5 Source no.",$C2384,"4 Item Ledger Entry Type",$C$4,"2 Item No.","@@"&amp;$F2384,"3 Posting Date",U$9)</t>
  </si>
  <si>
    <t>=U2384-W2384</t>
  </si>
  <si>
    <t>=IF(U2384&lt;&gt;0,X2384/U2384,"")</t>
  </si>
  <si>
    <t>=NL("Sum","5802 Value Entry","150 Sales Amount (Expected)","41 Source Type",$C$5,"5 Source No.",$C2384,"4 Item Ledger Entry Type",$C$4,"2 Item No.","@@"&amp;$F2384,"3 Posting Date",Z$9)+NL("Sum","5802 Value Entry","17 Sales Amount (Actual)","41 Source Type",$C$5,"5 Source no.",$C2384,"4 Item Ledger Entry Type",$C$4,"2 Item No.","@@"&amp;$F2384,"3 Posting Date",Z$9)</t>
  </si>
  <si>
    <t>=-NL("Sum","5802 Value Entry","151 Cost Amount (Expected)","41 Source Type",$C$5,"5 Source No.",$C2384,"4 Item Ledger Entry Type",$C$4,"2 Item No.","@@"&amp;$F2384,"3 Posting Date",Z$9)-NL("Sum","5802 Value Entry","43 Cost Amount (Actual)","41 Source Type",$C$5,"5 Source no.",$C2384,"4 Item Ledger Entry Type",$C$4,"2 Item No.","@@"&amp;$F2384,"3 Posting Date",Z$9)</t>
  </si>
  <si>
    <t>=Z2384-AB2384</t>
  </si>
  <si>
    <t>=IF(Z2384&lt;&gt;0,AC2384/Z2384,"")</t>
  </si>
  <si>
    <t>=C2384</t>
  </si>
  <si>
    <t>=NL("Sum","5802 Value Entry","150 Sales Amount (Expected)","41 Source Type",$C$5,"5 Source No.",$C2385,"4 Item Ledger Entry Type",$C$4,"2 Item No.","@@"&amp;$F2385,"3 Posting Date",J$9)+NL("Sum","5802 Value Entry","17 Sales Amount (Actual)","41 Source Type",$C$5,"5 Source no.",$C2385,"4 Item Ledger Entry Type",$C$4,"2 Item No.","@@"&amp;$F2385,"3 Posting Date",J$9)</t>
  </si>
  <si>
    <t>=-NL("Sum","5802 Value Entry","151 Cost Amount (Expected)","41 Source Type",$C$5,"5 Source No.",$C2385,"4 Item Ledger Entry Type",$C$4,"2 Item No.","@@"&amp;$F2385,"3 Posting Date",J$9)-NL("Sum","5802 Value Entry","43 Cost Amount (Actual)","41 Source Type",$C$5,"5 Source no.",$C2385,"4 Item Ledger Entry Type",$C$4,"2 Item No.","@@"&amp;$F2385,"3 Posting Date",J$9)</t>
  </si>
  <si>
    <t>=J2385-L2385</t>
  </si>
  <si>
    <t>=IF(J2385&lt;&gt;0,M2385/J2385,"")</t>
  </si>
  <si>
    <t>=NL("Sum","5802 Value Entry","150 Sales Amount (Expected)","41 Source Type",$C$5,"5 Source No.",$C2385,"4 Item Ledger Entry Type",$C$4,"2 Item No.","@@"&amp;$F2385,"3 Posting Date",O$9)+NL("Sum","5802 Value Entry","17 Sales Amount (Actual)","41 Source Type",$C$5,"5 Source no.",$C2385,"4 Item Ledger Entry Type",$C$4,"2 Item No.","@@"&amp;$F2385,"3 Posting Date",O$9)</t>
  </si>
  <si>
    <t>=-NL("Sum","5802 Value Entry","151 Cost Amount (Expected)","41 Source Type",$C$5,"5 Source No.",$C2385,"4 Item Ledger Entry Type",$C$4,"2 Item No.","@@"&amp;$F2385,"3 Posting Date",O$9)-NL("Sum","5802 Value Entry","43 Cost Amount (Actual)","41 Source Type",$C$5,"5 Source no.",$C2385,"4 Item Ledger Entry Type",$C$4,"2 Item No.","@@"&amp;$F2385,"3 Posting Date",O$9)</t>
  </si>
  <si>
    <t>=O2385-Q2385</t>
  </si>
  <si>
    <t>=IF(O2385&lt;&gt;0,R2385/O2385,"")</t>
  </si>
  <si>
    <t>=NL("Sum","5802 Value Entry","150 Sales Amount (Expected)","41 Source Type",$C$5,"5 Source No.",$C2385,"4 Item Ledger Entry Type",$C$4,"2 Item No.","@@"&amp;$F2385,"3 Posting Date",U$9)+NL("Sum","5802 Value Entry","17 Sales Amount (Actual)","41 Source Type",$C$5,"5 Source no.",$C2385,"4 Item Ledger Entry Type",$C$4,"2 Item No.","@@"&amp;$F2385,"3 Posting Date",U$9)</t>
  </si>
  <si>
    <t>=-NL("Sum","5802 Value Entry","151 Cost Amount (Expected)","41 Source Type",$C$5,"5 Source No.",$C2385,"4 Item Ledger Entry Type",$C$4,"2 Item No.","@@"&amp;$F2385,"3 Posting Date",U$9)-NL("Sum","5802 Value Entry","43 Cost Amount (Actual)","41 Source Type",$C$5,"5 Source no.",$C2385,"4 Item Ledger Entry Type",$C$4,"2 Item No.","@@"&amp;$F2385,"3 Posting Date",U$9)</t>
  </si>
  <si>
    <t>=U2385-W2385</t>
  </si>
  <si>
    <t>=IF(U2385&lt;&gt;0,X2385/U2385,"")</t>
  </si>
  <si>
    <t>=NL("Sum","5802 Value Entry","150 Sales Amount (Expected)","41 Source Type",$C$5,"5 Source No.",$C2385,"4 Item Ledger Entry Type",$C$4,"2 Item No.","@@"&amp;$F2385,"3 Posting Date",Z$9)+NL("Sum","5802 Value Entry","17 Sales Amount (Actual)","41 Source Type",$C$5,"5 Source no.",$C2385,"4 Item Ledger Entry Type",$C$4,"2 Item No.","@@"&amp;$F2385,"3 Posting Date",Z$9)</t>
  </si>
  <si>
    <t>=-NL("Sum","5802 Value Entry","151 Cost Amount (Expected)","41 Source Type",$C$5,"5 Source No.",$C2385,"4 Item Ledger Entry Type",$C$4,"2 Item No.","@@"&amp;$F2385,"3 Posting Date",Z$9)-NL("Sum","5802 Value Entry","43 Cost Amount (Actual)","41 Source Type",$C$5,"5 Source no.",$C2385,"4 Item Ledger Entry Type",$C$4,"2 Item No.","@@"&amp;$F2385,"3 Posting Date",Z$9)</t>
  </si>
  <si>
    <t>=Z2385-AB2385</t>
  </si>
  <si>
    <t>=IF(Z2385&lt;&gt;0,AC2385/Z2385,"")</t>
  </si>
  <si>
    <t>=C2385</t>
  </si>
  <si>
    <t>=NL("Sum","5802 Value Entry","150 Sales Amount (Expected)","41 Source Type",$C$5,"5 Source No.",$C2386,"4 Item Ledger Entry Type",$C$4,"2 Item No.","@@"&amp;$F2386,"3 Posting Date",J$9)+NL("Sum","5802 Value Entry","17 Sales Amount (Actual)","41 Source Type",$C$5,"5 Source no.",$C2386,"4 Item Ledger Entry Type",$C$4,"2 Item No.","@@"&amp;$F2386,"3 Posting Date",J$9)</t>
  </si>
  <si>
    <t>=-NL("Sum","5802 Value Entry","151 Cost Amount (Expected)","41 Source Type",$C$5,"5 Source No.",$C2386,"4 Item Ledger Entry Type",$C$4,"2 Item No.","@@"&amp;$F2386,"3 Posting Date",J$9)-NL("Sum","5802 Value Entry","43 Cost Amount (Actual)","41 Source Type",$C$5,"5 Source no.",$C2386,"4 Item Ledger Entry Type",$C$4,"2 Item No.","@@"&amp;$F2386,"3 Posting Date",J$9)</t>
  </si>
  <si>
    <t>=J2386-L2386</t>
  </si>
  <si>
    <t>=IF(J2386&lt;&gt;0,M2386/J2386,"")</t>
  </si>
  <si>
    <t>=NL("Sum","5802 Value Entry","150 Sales Amount (Expected)","41 Source Type",$C$5,"5 Source No.",$C2386,"4 Item Ledger Entry Type",$C$4,"2 Item No.","@@"&amp;$F2386,"3 Posting Date",O$9)+NL("Sum","5802 Value Entry","17 Sales Amount (Actual)","41 Source Type",$C$5,"5 Source no.",$C2386,"4 Item Ledger Entry Type",$C$4,"2 Item No.","@@"&amp;$F2386,"3 Posting Date",O$9)</t>
  </si>
  <si>
    <t>=-NL("Sum","5802 Value Entry","151 Cost Amount (Expected)","41 Source Type",$C$5,"5 Source No.",$C2386,"4 Item Ledger Entry Type",$C$4,"2 Item No.","@@"&amp;$F2386,"3 Posting Date",O$9)-NL("Sum","5802 Value Entry","43 Cost Amount (Actual)","41 Source Type",$C$5,"5 Source no.",$C2386,"4 Item Ledger Entry Type",$C$4,"2 Item No.","@@"&amp;$F2386,"3 Posting Date",O$9)</t>
  </si>
  <si>
    <t>=O2386-Q2386</t>
  </si>
  <si>
    <t>=IF(O2386&lt;&gt;0,R2386/O2386,"")</t>
  </si>
  <si>
    <t>=NL("Sum","5802 Value Entry","150 Sales Amount (Expected)","41 Source Type",$C$5,"5 Source No.",$C2386,"4 Item Ledger Entry Type",$C$4,"2 Item No.","@@"&amp;$F2386,"3 Posting Date",U$9)+NL("Sum","5802 Value Entry","17 Sales Amount (Actual)","41 Source Type",$C$5,"5 Source no.",$C2386,"4 Item Ledger Entry Type",$C$4,"2 Item No.","@@"&amp;$F2386,"3 Posting Date",U$9)</t>
  </si>
  <si>
    <t>=-NL("Sum","5802 Value Entry","151 Cost Amount (Expected)","41 Source Type",$C$5,"5 Source No.",$C2386,"4 Item Ledger Entry Type",$C$4,"2 Item No.","@@"&amp;$F2386,"3 Posting Date",U$9)-NL("Sum","5802 Value Entry","43 Cost Amount (Actual)","41 Source Type",$C$5,"5 Source no.",$C2386,"4 Item Ledger Entry Type",$C$4,"2 Item No.","@@"&amp;$F2386,"3 Posting Date",U$9)</t>
  </si>
  <si>
    <t>=U2386-W2386</t>
  </si>
  <si>
    <t>=IF(U2386&lt;&gt;0,X2386/U2386,"")</t>
  </si>
  <si>
    <t>=NL("Sum","5802 Value Entry","150 Sales Amount (Expected)","41 Source Type",$C$5,"5 Source No.",$C2386,"4 Item Ledger Entry Type",$C$4,"2 Item No.","@@"&amp;$F2386,"3 Posting Date",Z$9)+NL("Sum","5802 Value Entry","17 Sales Amount (Actual)","41 Source Type",$C$5,"5 Source no.",$C2386,"4 Item Ledger Entry Type",$C$4,"2 Item No.","@@"&amp;$F2386,"3 Posting Date",Z$9)</t>
  </si>
  <si>
    <t>=-NL("Sum","5802 Value Entry","151 Cost Amount (Expected)","41 Source Type",$C$5,"5 Source No.",$C2386,"4 Item Ledger Entry Type",$C$4,"2 Item No.","@@"&amp;$F2386,"3 Posting Date",Z$9)-NL("Sum","5802 Value Entry","43 Cost Amount (Actual)","41 Source Type",$C$5,"5 Source no.",$C2386,"4 Item Ledger Entry Type",$C$4,"2 Item No.","@@"&amp;$F2386,"3 Posting Date",Z$9)</t>
  </si>
  <si>
    <t>=Z2386-AB2386</t>
  </si>
  <si>
    <t>=IF(Z2386&lt;&gt;0,AC2386/Z2386,"")</t>
  </si>
  <si>
    <t>=C2386</t>
  </si>
  <si>
    <t>=NL("Sum","5802 Value Entry","150 Sales Amount (Expected)","41 Source Type",$C$5,"5 Source No.",$C2387,"4 Item Ledger Entry Type",$C$4,"2 Item No.","@@"&amp;$F2387,"3 Posting Date",J$9)+NL("Sum","5802 Value Entry","17 Sales Amount (Actual)","41 Source Type",$C$5,"5 Source no.",$C2387,"4 Item Ledger Entry Type",$C$4,"2 Item No.","@@"&amp;$F2387,"3 Posting Date",J$9)</t>
  </si>
  <si>
    <t>=-NL("Sum","5802 Value Entry","151 Cost Amount (Expected)","41 Source Type",$C$5,"5 Source No.",$C2387,"4 Item Ledger Entry Type",$C$4,"2 Item No.","@@"&amp;$F2387,"3 Posting Date",J$9)-NL("Sum","5802 Value Entry","43 Cost Amount (Actual)","41 Source Type",$C$5,"5 Source no.",$C2387,"4 Item Ledger Entry Type",$C$4,"2 Item No.","@@"&amp;$F2387,"3 Posting Date",J$9)</t>
  </si>
  <si>
    <t>=J2387-L2387</t>
  </si>
  <si>
    <t>=IF(J2387&lt;&gt;0,M2387/J2387,"")</t>
  </si>
  <si>
    <t>=NL("Sum","5802 Value Entry","150 Sales Amount (Expected)","41 Source Type",$C$5,"5 Source No.",$C2387,"4 Item Ledger Entry Type",$C$4,"2 Item No.","@@"&amp;$F2387,"3 Posting Date",O$9)+NL("Sum","5802 Value Entry","17 Sales Amount (Actual)","41 Source Type",$C$5,"5 Source no.",$C2387,"4 Item Ledger Entry Type",$C$4,"2 Item No.","@@"&amp;$F2387,"3 Posting Date",O$9)</t>
  </si>
  <si>
    <t>=-NL("Sum","5802 Value Entry","151 Cost Amount (Expected)","41 Source Type",$C$5,"5 Source No.",$C2387,"4 Item Ledger Entry Type",$C$4,"2 Item No.","@@"&amp;$F2387,"3 Posting Date",O$9)-NL("Sum","5802 Value Entry","43 Cost Amount (Actual)","41 Source Type",$C$5,"5 Source no.",$C2387,"4 Item Ledger Entry Type",$C$4,"2 Item No.","@@"&amp;$F2387,"3 Posting Date",O$9)</t>
  </si>
  <si>
    <t>=O2387-Q2387</t>
  </si>
  <si>
    <t>=IF(O2387&lt;&gt;0,R2387/O2387,"")</t>
  </si>
  <si>
    <t>=NL("Sum","5802 Value Entry","150 Sales Amount (Expected)","41 Source Type",$C$5,"5 Source No.",$C2387,"4 Item Ledger Entry Type",$C$4,"2 Item No.","@@"&amp;$F2387,"3 Posting Date",U$9)+NL("Sum","5802 Value Entry","17 Sales Amount (Actual)","41 Source Type",$C$5,"5 Source no.",$C2387,"4 Item Ledger Entry Type",$C$4,"2 Item No.","@@"&amp;$F2387,"3 Posting Date",U$9)</t>
  </si>
  <si>
    <t>=-NL("Sum","5802 Value Entry","151 Cost Amount (Expected)","41 Source Type",$C$5,"5 Source No.",$C2387,"4 Item Ledger Entry Type",$C$4,"2 Item No.","@@"&amp;$F2387,"3 Posting Date",U$9)-NL("Sum","5802 Value Entry","43 Cost Amount (Actual)","41 Source Type",$C$5,"5 Source no.",$C2387,"4 Item Ledger Entry Type",$C$4,"2 Item No.","@@"&amp;$F2387,"3 Posting Date",U$9)</t>
  </si>
  <si>
    <t>=U2387-W2387</t>
  </si>
  <si>
    <t>=IF(U2387&lt;&gt;0,X2387/U2387,"")</t>
  </si>
  <si>
    <t>=NL("Sum","5802 Value Entry","150 Sales Amount (Expected)","41 Source Type",$C$5,"5 Source No.",$C2387,"4 Item Ledger Entry Type",$C$4,"2 Item No.","@@"&amp;$F2387,"3 Posting Date",Z$9)+NL("Sum","5802 Value Entry","17 Sales Amount (Actual)","41 Source Type",$C$5,"5 Source no.",$C2387,"4 Item Ledger Entry Type",$C$4,"2 Item No.","@@"&amp;$F2387,"3 Posting Date",Z$9)</t>
  </si>
  <si>
    <t>=-NL("Sum","5802 Value Entry","151 Cost Amount (Expected)","41 Source Type",$C$5,"5 Source No.",$C2387,"4 Item Ledger Entry Type",$C$4,"2 Item No.","@@"&amp;$F2387,"3 Posting Date",Z$9)-NL("Sum","5802 Value Entry","43 Cost Amount (Actual)","41 Source Type",$C$5,"5 Source no.",$C2387,"4 Item Ledger Entry Type",$C$4,"2 Item No.","@@"&amp;$F2387,"3 Posting Date",Z$9)</t>
  </si>
  <si>
    <t>=Z2387-AB2387</t>
  </si>
  <si>
    <t>=IF(Z2387&lt;&gt;0,AC2387/Z2387,"")</t>
  </si>
  <si>
    <t>=C2387</t>
  </si>
  <si>
    <t>=NL("Sum","5802 Value Entry","150 Sales Amount (Expected)","41 Source Type",$C$5,"5 Source No.",$C2388,"4 Item Ledger Entry Type",$C$4,"2 Item No.","@@"&amp;$F2388,"3 Posting Date",J$9)+NL("Sum","5802 Value Entry","17 Sales Amount (Actual)","41 Source Type",$C$5,"5 Source no.",$C2388,"4 Item Ledger Entry Type",$C$4,"2 Item No.","@@"&amp;$F2388,"3 Posting Date",J$9)</t>
  </si>
  <si>
    <t>=-NL("Sum","5802 Value Entry","151 Cost Amount (Expected)","41 Source Type",$C$5,"5 Source No.",$C2388,"4 Item Ledger Entry Type",$C$4,"2 Item No.","@@"&amp;$F2388,"3 Posting Date",J$9)-NL("Sum","5802 Value Entry","43 Cost Amount (Actual)","41 Source Type",$C$5,"5 Source no.",$C2388,"4 Item Ledger Entry Type",$C$4,"2 Item No.","@@"&amp;$F2388,"3 Posting Date",J$9)</t>
  </si>
  <si>
    <t>=J2388-L2388</t>
  </si>
  <si>
    <t>=IF(J2388&lt;&gt;0,M2388/J2388,"")</t>
  </si>
  <si>
    <t>=NL("Sum","5802 Value Entry","150 Sales Amount (Expected)","41 Source Type",$C$5,"5 Source No.",$C2388,"4 Item Ledger Entry Type",$C$4,"2 Item No.","@@"&amp;$F2388,"3 Posting Date",O$9)+NL("Sum","5802 Value Entry","17 Sales Amount (Actual)","41 Source Type",$C$5,"5 Source no.",$C2388,"4 Item Ledger Entry Type",$C$4,"2 Item No.","@@"&amp;$F2388,"3 Posting Date",O$9)</t>
  </si>
  <si>
    <t>=-NL("Sum","5802 Value Entry","151 Cost Amount (Expected)","41 Source Type",$C$5,"5 Source No.",$C2388,"4 Item Ledger Entry Type",$C$4,"2 Item No.","@@"&amp;$F2388,"3 Posting Date",O$9)-NL("Sum","5802 Value Entry","43 Cost Amount (Actual)","41 Source Type",$C$5,"5 Source no.",$C2388,"4 Item Ledger Entry Type",$C$4,"2 Item No.","@@"&amp;$F2388,"3 Posting Date",O$9)</t>
  </si>
  <si>
    <t>=O2388-Q2388</t>
  </si>
  <si>
    <t>=IF(O2388&lt;&gt;0,R2388/O2388,"")</t>
  </si>
  <si>
    <t>=NL("Sum","5802 Value Entry","150 Sales Amount (Expected)","41 Source Type",$C$5,"5 Source No.",$C2388,"4 Item Ledger Entry Type",$C$4,"2 Item No.","@@"&amp;$F2388,"3 Posting Date",U$9)+NL("Sum","5802 Value Entry","17 Sales Amount (Actual)","41 Source Type",$C$5,"5 Source no.",$C2388,"4 Item Ledger Entry Type",$C$4,"2 Item No.","@@"&amp;$F2388,"3 Posting Date",U$9)</t>
  </si>
  <si>
    <t>=-NL("Sum","5802 Value Entry","151 Cost Amount (Expected)","41 Source Type",$C$5,"5 Source No.",$C2388,"4 Item Ledger Entry Type",$C$4,"2 Item No.","@@"&amp;$F2388,"3 Posting Date",U$9)-NL("Sum","5802 Value Entry","43 Cost Amount (Actual)","41 Source Type",$C$5,"5 Source no.",$C2388,"4 Item Ledger Entry Type",$C$4,"2 Item No.","@@"&amp;$F2388,"3 Posting Date",U$9)</t>
  </si>
  <si>
    <t>=U2388-W2388</t>
  </si>
  <si>
    <t>=IF(U2388&lt;&gt;0,X2388/U2388,"")</t>
  </si>
  <si>
    <t>=NL("Sum","5802 Value Entry","150 Sales Amount (Expected)","41 Source Type",$C$5,"5 Source No.",$C2388,"4 Item Ledger Entry Type",$C$4,"2 Item No.","@@"&amp;$F2388,"3 Posting Date",Z$9)+NL("Sum","5802 Value Entry","17 Sales Amount (Actual)","41 Source Type",$C$5,"5 Source no.",$C2388,"4 Item Ledger Entry Type",$C$4,"2 Item No.","@@"&amp;$F2388,"3 Posting Date",Z$9)</t>
  </si>
  <si>
    <t>=-NL("Sum","5802 Value Entry","151 Cost Amount (Expected)","41 Source Type",$C$5,"5 Source No.",$C2388,"4 Item Ledger Entry Type",$C$4,"2 Item No.","@@"&amp;$F2388,"3 Posting Date",Z$9)-NL("Sum","5802 Value Entry","43 Cost Amount (Actual)","41 Source Type",$C$5,"5 Source no.",$C2388,"4 Item Ledger Entry Type",$C$4,"2 Item No.","@@"&amp;$F2388,"3 Posting Date",Z$9)</t>
  </si>
  <si>
    <t>=Z2388-AB2388</t>
  </si>
  <si>
    <t>=IF(Z2388&lt;&gt;0,AC2388/Z2388,"")</t>
  </si>
  <si>
    <t>=C2388</t>
  </si>
  <si>
    <t>=NL("Sum","5802 Value Entry","150 Sales Amount (Expected)","41 Source Type",$C$5,"5 Source No.",$C2389,"4 Item Ledger Entry Type",$C$4,"2 Item No.","@@"&amp;$F2389,"3 Posting Date",J$9)+NL("Sum","5802 Value Entry","17 Sales Amount (Actual)","41 Source Type",$C$5,"5 Source no.",$C2389,"4 Item Ledger Entry Type",$C$4,"2 Item No.","@@"&amp;$F2389,"3 Posting Date",J$9)</t>
  </si>
  <si>
    <t>=-NL("Sum","5802 Value Entry","151 Cost Amount (Expected)","41 Source Type",$C$5,"5 Source No.",$C2389,"4 Item Ledger Entry Type",$C$4,"2 Item No.","@@"&amp;$F2389,"3 Posting Date",J$9)-NL("Sum","5802 Value Entry","43 Cost Amount (Actual)","41 Source Type",$C$5,"5 Source no.",$C2389,"4 Item Ledger Entry Type",$C$4,"2 Item No.","@@"&amp;$F2389,"3 Posting Date",J$9)</t>
  </si>
  <si>
    <t>=J2389-L2389</t>
  </si>
  <si>
    <t>=IF(J2389&lt;&gt;0,M2389/J2389,"")</t>
  </si>
  <si>
    <t>=NL("Sum","5802 Value Entry","150 Sales Amount (Expected)","41 Source Type",$C$5,"5 Source No.",$C2389,"4 Item Ledger Entry Type",$C$4,"2 Item No.","@@"&amp;$F2389,"3 Posting Date",O$9)+NL("Sum","5802 Value Entry","17 Sales Amount (Actual)","41 Source Type",$C$5,"5 Source no.",$C2389,"4 Item Ledger Entry Type",$C$4,"2 Item No.","@@"&amp;$F2389,"3 Posting Date",O$9)</t>
  </si>
  <si>
    <t>=-NL("Sum","5802 Value Entry","151 Cost Amount (Expected)","41 Source Type",$C$5,"5 Source No.",$C2389,"4 Item Ledger Entry Type",$C$4,"2 Item No.","@@"&amp;$F2389,"3 Posting Date",O$9)-NL("Sum","5802 Value Entry","43 Cost Amount (Actual)","41 Source Type",$C$5,"5 Source no.",$C2389,"4 Item Ledger Entry Type",$C$4,"2 Item No.","@@"&amp;$F2389,"3 Posting Date",O$9)</t>
  </si>
  <si>
    <t>=O2389-Q2389</t>
  </si>
  <si>
    <t>=IF(O2389&lt;&gt;0,R2389/O2389,"")</t>
  </si>
  <si>
    <t>=NL("Sum","5802 Value Entry","150 Sales Amount (Expected)","41 Source Type",$C$5,"5 Source No.",$C2389,"4 Item Ledger Entry Type",$C$4,"2 Item No.","@@"&amp;$F2389,"3 Posting Date",U$9)+NL("Sum","5802 Value Entry","17 Sales Amount (Actual)","41 Source Type",$C$5,"5 Source no.",$C2389,"4 Item Ledger Entry Type",$C$4,"2 Item No.","@@"&amp;$F2389,"3 Posting Date",U$9)</t>
  </si>
  <si>
    <t>=-NL("Sum","5802 Value Entry","151 Cost Amount (Expected)","41 Source Type",$C$5,"5 Source No.",$C2389,"4 Item Ledger Entry Type",$C$4,"2 Item No.","@@"&amp;$F2389,"3 Posting Date",U$9)-NL("Sum","5802 Value Entry","43 Cost Amount (Actual)","41 Source Type",$C$5,"5 Source no.",$C2389,"4 Item Ledger Entry Type",$C$4,"2 Item No.","@@"&amp;$F2389,"3 Posting Date",U$9)</t>
  </si>
  <si>
    <t>=U2389-W2389</t>
  </si>
  <si>
    <t>=IF(U2389&lt;&gt;0,X2389/U2389,"")</t>
  </si>
  <si>
    <t>=NL("Sum","5802 Value Entry","150 Sales Amount (Expected)","41 Source Type",$C$5,"5 Source No.",$C2389,"4 Item Ledger Entry Type",$C$4,"2 Item No.","@@"&amp;$F2389,"3 Posting Date",Z$9)+NL("Sum","5802 Value Entry","17 Sales Amount (Actual)","41 Source Type",$C$5,"5 Source no.",$C2389,"4 Item Ledger Entry Type",$C$4,"2 Item No.","@@"&amp;$F2389,"3 Posting Date",Z$9)</t>
  </si>
  <si>
    <t>=-NL("Sum","5802 Value Entry","151 Cost Amount (Expected)","41 Source Type",$C$5,"5 Source No.",$C2389,"4 Item Ledger Entry Type",$C$4,"2 Item No.","@@"&amp;$F2389,"3 Posting Date",Z$9)-NL("Sum","5802 Value Entry","43 Cost Amount (Actual)","41 Source Type",$C$5,"5 Source no.",$C2389,"4 Item Ledger Entry Type",$C$4,"2 Item No.","@@"&amp;$F2389,"3 Posting Date",Z$9)</t>
  </si>
  <si>
    <t>=Z2389-AB2389</t>
  </si>
  <si>
    <t>=IF(Z2389&lt;&gt;0,AC2389/Z2389,"")</t>
  </si>
  <si>
    <t>=C2389</t>
  </si>
  <si>
    <t>=NL("Sum","5802 Value Entry","150 Sales Amount (Expected)","41 Source Type",$C$5,"5 Source No.",$C2390,"4 Item Ledger Entry Type",$C$4,"2 Item No.","@@"&amp;$F2390,"3 Posting Date",J$9)+NL("Sum","5802 Value Entry","17 Sales Amount (Actual)","41 Source Type",$C$5,"5 Source no.",$C2390,"4 Item Ledger Entry Type",$C$4,"2 Item No.","@@"&amp;$F2390,"3 Posting Date",J$9)</t>
  </si>
  <si>
    <t>=-NL("Sum","5802 Value Entry","151 Cost Amount (Expected)","41 Source Type",$C$5,"5 Source No.",$C2390,"4 Item Ledger Entry Type",$C$4,"2 Item No.","@@"&amp;$F2390,"3 Posting Date",J$9)-NL("Sum","5802 Value Entry","43 Cost Amount (Actual)","41 Source Type",$C$5,"5 Source no.",$C2390,"4 Item Ledger Entry Type",$C$4,"2 Item No.","@@"&amp;$F2390,"3 Posting Date",J$9)</t>
  </si>
  <si>
    <t>=J2390-L2390</t>
  </si>
  <si>
    <t>=IF(J2390&lt;&gt;0,M2390/J2390,"")</t>
  </si>
  <si>
    <t>=NL("Sum","5802 Value Entry","150 Sales Amount (Expected)","41 Source Type",$C$5,"5 Source No.",$C2390,"4 Item Ledger Entry Type",$C$4,"2 Item No.","@@"&amp;$F2390,"3 Posting Date",O$9)+NL("Sum","5802 Value Entry","17 Sales Amount (Actual)","41 Source Type",$C$5,"5 Source no.",$C2390,"4 Item Ledger Entry Type",$C$4,"2 Item No.","@@"&amp;$F2390,"3 Posting Date",O$9)</t>
  </si>
  <si>
    <t>=-NL("Sum","5802 Value Entry","151 Cost Amount (Expected)","41 Source Type",$C$5,"5 Source No.",$C2390,"4 Item Ledger Entry Type",$C$4,"2 Item No.","@@"&amp;$F2390,"3 Posting Date",O$9)-NL("Sum","5802 Value Entry","43 Cost Amount (Actual)","41 Source Type",$C$5,"5 Source no.",$C2390,"4 Item Ledger Entry Type",$C$4,"2 Item No.","@@"&amp;$F2390,"3 Posting Date",O$9)</t>
  </si>
  <si>
    <t>=O2390-Q2390</t>
  </si>
  <si>
    <t>=IF(O2390&lt;&gt;0,R2390/O2390,"")</t>
  </si>
  <si>
    <t>=NL("Sum","5802 Value Entry","150 Sales Amount (Expected)","41 Source Type",$C$5,"5 Source No.",$C2390,"4 Item Ledger Entry Type",$C$4,"2 Item No.","@@"&amp;$F2390,"3 Posting Date",U$9)+NL("Sum","5802 Value Entry","17 Sales Amount (Actual)","41 Source Type",$C$5,"5 Source no.",$C2390,"4 Item Ledger Entry Type",$C$4,"2 Item No.","@@"&amp;$F2390,"3 Posting Date",U$9)</t>
  </si>
  <si>
    <t>=-NL("Sum","5802 Value Entry","151 Cost Amount (Expected)","41 Source Type",$C$5,"5 Source No.",$C2390,"4 Item Ledger Entry Type",$C$4,"2 Item No.","@@"&amp;$F2390,"3 Posting Date",U$9)-NL("Sum","5802 Value Entry","43 Cost Amount (Actual)","41 Source Type",$C$5,"5 Source no.",$C2390,"4 Item Ledger Entry Type",$C$4,"2 Item No.","@@"&amp;$F2390,"3 Posting Date",U$9)</t>
  </si>
  <si>
    <t>=U2390-W2390</t>
  </si>
  <si>
    <t>=IF(U2390&lt;&gt;0,X2390/U2390,"")</t>
  </si>
  <si>
    <t>=NL("Sum","5802 Value Entry","150 Sales Amount (Expected)","41 Source Type",$C$5,"5 Source No.",$C2390,"4 Item Ledger Entry Type",$C$4,"2 Item No.","@@"&amp;$F2390,"3 Posting Date",Z$9)+NL("Sum","5802 Value Entry","17 Sales Amount (Actual)","41 Source Type",$C$5,"5 Source no.",$C2390,"4 Item Ledger Entry Type",$C$4,"2 Item No.","@@"&amp;$F2390,"3 Posting Date",Z$9)</t>
  </si>
  <si>
    <t>=-NL("Sum","5802 Value Entry","151 Cost Amount (Expected)","41 Source Type",$C$5,"5 Source No.",$C2390,"4 Item Ledger Entry Type",$C$4,"2 Item No.","@@"&amp;$F2390,"3 Posting Date",Z$9)-NL("Sum","5802 Value Entry","43 Cost Amount (Actual)","41 Source Type",$C$5,"5 Source no.",$C2390,"4 Item Ledger Entry Type",$C$4,"2 Item No.","@@"&amp;$F2390,"3 Posting Date",Z$9)</t>
  </si>
  <si>
    <t>=Z2390-AB2390</t>
  </si>
  <si>
    <t>=IF(Z2390&lt;&gt;0,AC2390/Z2390,"")</t>
  </si>
  <si>
    <t>=C2390</t>
  </si>
  <si>
    <t>=NL("Sum","5802 Value Entry","150 Sales Amount (Expected)","41 Source Type",$C$5,"5 Source No.",$C2391,"4 Item Ledger Entry Type",$C$4,"2 Item No.","@@"&amp;$F2391,"3 Posting Date",J$9)+NL("Sum","5802 Value Entry","17 Sales Amount (Actual)","41 Source Type",$C$5,"5 Source no.",$C2391,"4 Item Ledger Entry Type",$C$4,"2 Item No.","@@"&amp;$F2391,"3 Posting Date",J$9)</t>
  </si>
  <si>
    <t>=-NL("Sum","5802 Value Entry","151 Cost Amount (Expected)","41 Source Type",$C$5,"5 Source No.",$C2391,"4 Item Ledger Entry Type",$C$4,"2 Item No.","@@"&amp;$F2391,"3 Posting Date",J$9)-NL("Sum","5802 Value Entry","43 Cost Amount (Actual)","41 Source Type",$C$5,"5 Source no.",$C2391,"4 Item Ledger Entry Type",$C$4,"2 Item No.","@@"&amp;$F2391,"3 Posting Date",J$9)</t>
  </si>
  <si>
    <t>=J2391-L2391</t>
  </si>
  <si>
    <t>=IF(J2391&lt;&gt;0,M2391/J2391,"")</t>
  </si>
  <si>
    <t>=NL("Sum","5802 Value Entry","150 Sales Amount (Expected)","41 Source Type",$C$5,"5 Source No.",$C2391,"4 Item Ledger Entry Type",$C$4,"2 Item No.","@@"&amp;$F2391,"3 Posting Date",O$9)+NL("Sum","5802 Value Entry","17 Sales Amount (Actual)","41 Source Type",$C$5,"5 Source no.",$C2391,"4 Item Ledger Entry Type",$C$4,"2 Item No.","@@"&amp;$F2391,"3 Posting Date",O$9)</t>
  </si>
  <si>
    <t>=-NL("Sum","5802 Value Entry","151 Cost Amount (Expected)","41 Source Type",$C$5,"5 Source No.",$C2391,"4 Item Ledger Entry Type",$C$4,"2 Item No.","@@"&amp;$F2391,"3 Posting Date",O$9)-NL("Sum","5802 Value Entry","43 Cost Amount (Actual)","41 Source Type",$C$5,"5 Source no.",$C2391,"4 Item Ledger Entry Type",$C$4,"2 Item No.","@@"&amp;$F2391,"3 Posting Date",O$9)</t>
  </si>
  <si>
    <t>=O2391-Q2391</t>
  </si>
  <si>
    <t>=IF(O2391&lt;&gt;0,R2391/O2391,"")</t>
  </si>
  <si>
    <t>=NL("Sum","5802 Value Entry","150 Sales Amount (Expected)","41 Source Type",$C$5,"5 Source No.",$C2391,"4 Item Ledger Entry Type",$C$4,"2 Item No.","@@"&amp;$F2391,"3 Posting Date",U$9)+NL("Sum","5802 Value Entry","17 Sales Amount (Actual)","41 Source Type",$C$5,"5 Source no.",$C2391,"4 Item Ledger Entry Type",$C$4,"2 Item No.","@@"&amp;$F2391,"3 Posting Date",U$9)</t>
  </si>
  <si>
    <t>=-NL("Sum","5802 Value Entry","151 Cost Amount (Expected)","41 Source Type",$C$5,"5 Source No.",$C2391,"4 Item Ledger Entry Type",$C$4,"2 Item No.","@@"&amp;$F2391,"3 Posting Date",U$9)-NL("Sum","5802 Value Entry","43 Cost Amount (Actual)","41 Source Type",$C$5,"5 Source no.",$C2391,"4 Item Ledger Entry Type",$C$4,"2 Item No.","@@"&amp;$F2391,"3 Posting Date",U$9)</t>
  </si>
  <si>
    <t>=U2391-W2391</t>
  </si>
  <si>
    <t>=IF(U2391&lt;&gt;0,X2391/U2391,"")</t>
  </si>
  <si>
    <t>=NL("Sum","5802 Value Entry","150 Sales Amount (Expected)","41 Source Type",$C$5,"5 Source No.",$C2391,"4 Item Ledger Entry Type",$C$4,"2 Item No.","@@"&amp;$F2391,"3 Posting Date",Z$9)+NL("Sum","5802 Value Entry","17 Sales Amount (Actual)","41 Source Type",$C$5,"5 Source no.",$C2391,"4 Item Ledger Entry Type",$C$4,"2 Item No.","@@"&amp;$F2391,"3 Posting Date",Z$9)</t>
  </si>
  <si>
    <t>=-NL("Sum","5802 Value Entry","151 Cost Amount (Expected)","41 Source Type",$C$5,"5 Source No.",$C2391,"4 Item Ledger Entry Type",$C$4,"2 Item No.","@@"&amp;$F2391,"3 Posting Date",Z$9)-NL("Sum","5802 Value Entry","43 Cost Amount (Actual)","41 Source Type",$C$5,"5 Source no.",$C2391,"4 Item Ledger Entry Type",$C$4,"2 Item No.","@@"&amp;$F2391,"3 Posting Date",Z$9)</t>
  </si>
  <si>
    <t>=Z2391-AB2391</t>
  </si>
  <si>
    <t>=IF(Z2391&lt;&gt;0,AC2391/Z2391,"")</t>
  </si>
  <si>
    <t>=C2391</t>
  </si>
  <si>
    <t>=NL("Sum","5802 Value Entry","150 Sales Amount (Expected)","41 Source Type",$C$5,"5 Source No.",$C2392,"4 Item Ledger Entry Type",$C$4,"2 Item No.","@@"&amp;$F2392,"3 Posting Date",J$9)+NL("Sum","5802 Value Entry","17 Sales Amount (Actual)","41 Source Type",$C$5,"5 Source no.",$C2392,"4 Item Ledger Entry Type",$C$4,"2 Item No.","@@"&amp;$F2392,"3 Posting Date",J$9)</t>
  </si>
  <si>
    <t>=-NL("Sum","5802 Value Entry","151 Cost Amount (Expected)","41 Source Type",$C$5,"5 Source No.",$C2392,"4 Item Ledger Entry Type",$C$4,"2 Item No.","@@"&amp;$F2392,"3 Posting Date",J$9)-NL("Sum","5802 Value Entry","43 Cost Amount (Actual)","41 Source Type",$C$5,"5 Source no.",$C2392,"4 Item Ledger Entry Type",$C$4,"2 Item No.","@@"&amp;$F2392,"3 Posting Date",J$9)</t>
  </si>
  <si>
    <t>=J2392-L2392</t>
  </si>
  <si>
    <t>=IF(J2392&lt;&gt;0,M2392/J2392,"")</t>
  </si>
  <si>
    <t>=NL("Sum","5802 Value Entry","150 Sales Amount (Expected)","41 Source Type",$C$5,"5 Source No.",$C2392,"4 Item Ledger Entry Type",$C$4,"2 Item No.","@@"&amp;$F2392,"3 Posting Date",O$9)+NL("Sum","5802 Value Entry","17 Sales Amount (Actual)","41 Source Type",$C$5,"5 Source no.",$C2392,"4 Item Ledger Entry Type",$C$4,"2 Item No.","@@"&amp;$F2392,"3 Posting Date",O$9)</t>
  </si>
  <si>
    <t>=-NL("Sum","5802 Value Entry","151 Cost Amount (Expected)","41 Source Type",$C$5,"5 Source No.",$C2392,"4 Item Ledger Entry Type",$C$4,"2 Item No.","@@"&amp;$F2392,"3 Posting Date",O$9)-NL("Sum","5802 Value Entry","43 Cost Amount (Actual)","41 Source Type",$C$5,"5 Source no.",$C2392,"4 Item Ledger Entry Type",$C$4,"2 Item No.","@@"&amp;$F2392,"3 Posting Date",O$9)</t>
  </si>
  <si>
    <t>=O2392-Q2392</t>
  </si>
  <si>
    <t>=IF(O2392&lt;&gt;0,R2392/O2392,"")</t>
  </si>
  <si>
    <t>=NL("Sum","5802 Value Entry","150 Sales Amount (Expected)","41 Source Type",$C$5,"5 Source No.",$C2392,"4 Item Ledger Entry Type",$C$4,"2 Item No.","@@"&amp;$F2392,"3 Posting Date",U$9)+NL("Sum","5802 Value Entry","17 Sales Amount (Actual)","41 Source Type",$C$5,"5 Source no.",$C2392,"4 Item Ledger Entry Type",$C$4,"2 Item No.","@@"&amp;$F2392,"3 Posting Date",U$9)</t>
  </si>
  <si>
    <t>=-NL("Sum","5802 Value Entry","151 Cost Amount (Expected)","41 Source Type",$C$5,"5 Source No.",$C2392,"4 Item Ledger Entry Type",$C$4,"2 Item No.","@@"&amp;$F2392,"3 Posting Date",U$9)-NL("Sum","5802 Value Entry","43 Cost Amount (Actual)","41 Source Type",$C$5,"5 Source no.",$C2392,"4 Item Ledger Entry Type",$C$4,"2 Item No.","@@"&amp;$F2392,"3 Posting Date",U$9)</t>
  </si>
  <si>
    <t>=U2392-W2392</t>
  </si>
  <si>
    <t>=IF(U2392&lt;&gt;0,X2392/U2392,"")</t>
  </si>
  <si>
    <t>=NL("Sum","5802 Value Entry","150 Sales Amount (Expected)","41 Source Type",$C$5,"5 Source No.",$C2392,"4 Item Ledger Entry Type",$C$4,"2 Item No.","@@"&amp;$F2392,"3 Posting Date",Z$9)+NL("Sum","5802 Value Entry","17 Sales Amount (Actual)","41 Source Type",$C$5,"5 Source no.",$C2392,"4 Item Ledger Entry Type",$C$4,"2 Item No.","@@"&amp;$F2392,"3 Posting Date",Z$9)</t>
  </si>
  <si>
    <t>=-NL("Sum","5802 Value Entry","151 Cost Amount (Expected)","41 Source Type",$C$5,"5 Source No.",$C2392,"4 Item Ledger Entry Type",$C$4,"2 Item No.","@@"&amp;$F2392,"3 Posting Date",Z$9)-NL("Sum","5802 Value Entry","43 Cost Amount (Actual)","41 Source Type",$C$5,"5 Source no.",$C2392,"4 Item Ledger Entry Type",$C$4,"2 Item No.","@@"&amp;$F2392,"3 Posting Date",Z$9)</t>
  </si>
  <si>
    <t>=Z2392-AB2392</t>
  </si>
  <si>
    <t>=IF(Z2392&lt;&gt;0,AC2392/Z2392,"")</t>
  </si>
  <si>
    <t>=C2392</t>
  </si>
  <si>
    <t>=NL("Sum","5802 Value Entry","150 Sales Amount (Expected)","41 Source Type",$C$5,"5 Source No.",$C2393,"4 Item Ledger Entry Type",$C$4,"2 Item No.","@@"&amp;$F2393,"3 Posting Date",J$9)+NL("Sum","5802 Value Entry","17 Sales Amount (Actual)","41 Source Type",$C$5,"5 Source no.",$C2393,"4 Item Ledger Entry Type",$C$4,"2 Item No.","@@"&amp;$F2393,"3 Posting Date",J$9)</t>
  </si>
  <si>
    <t>=-NL("Sum","5802 Value Entry","151 Cost Amount (Expected)","41 Source Type",$C$5,"5 Source No.",$C2393,"4 Item Ledger Entry Type",$C$4,"2 Item No.","@@"&amp;$F2393,"3 Posting Date",J$9)-NL("Sum","5802 Value Entry","43 Cost Amount (Actual)","41 Source Type",$C$5,"5 Source no.",$C2393,"4 Item Ledger Entry Type",$C$4,"2 Item No.","@@"&amp;$F2393,"3 Posting Date",J$9)</t>
  </si>
  <si>
    <t>=J2393-L2393</t>
  </si>
  <si>
    <t>=IF(J2393&lt;&gt;0,M2393/J2393,"")</t>
  </si>
  <si>
    <t>=NL("Sum","5802 Value Entry","150 Sales Amount (Expected)","41 Source Type",$C$5,"5 Source No.",$C2393,"4 Item Ledger Entry Type",$C$4,"2 Item No.","@@"&amp;$F2393,"3 Posting Date",O$9)+NL("Sum","5802 Value Entry","17 Sales Amount (Actual)","41 Source Type",$C$5,"5 Source no.",$C2393,"4 Item Ledger Entry Type",$C$4,"2 Item No.","@@"&amp;$F2393,"3 Posting Date",O$9)</t>
  </si>
  <si>
    <t>=-NL("Sum","5802 Value Entry","151 Cost Amount (Expected)","41 Source Type",$C$5,"5 Source No.",$C2393,"4 Item Ledger Entry Type",$C$4,"2 Item No.","@@"&amp;$F2393,"3 Posting Date",O$9)-NL("Sum","5802 Value Entry","43 Cost Amount (Actual)","41 Source Type",$C$5,"5 Source no.",$C2393,"4 Item Ledger Entry Type",$C$4,"2 Item No.","@@"&amp;$F2393,"3 Posting Date",O$9)</t>
  </si>
  <si>
    <t>=O2393-Q2393</t>
  </si>
  <si>
    <t>=IF(O2393&lt;&gt;0,R2393/O2393,"")</t>
  </si>
  <si>
    <t>=NL("Sum","5802 Value Entry","150 Sales Amount (Expected)","41 Source Type",$C$5,"5 Source No.",$C2393,"4 Item Ledger Entry Type",$C$4,"2 Item No.","@@"&amp;$F2393,"3 Posting Date",U$9)+NL("Sum","5802 Value Entry","17 Sales Amount (Actual)","41 Source Type",$C$5,"5 Source no.",$C2393,"4 Item Ledger Entry Type",$C$4,"2 Item No.","@@"&amp;$F2393,"3 Posting Date",U$9)</t>
  </si>
  <si>
    <t>=-NL("Sum","5802 Value Entry","151 Cost Amount (Expected)","41 Source Type",$C$5,"5 Source No.",$C2393,"4 Item Ledger Entry Type",$C$4,"2 Item No.","@@"&amp;$F2393,"3 Posting Date",U$9)-NL("Sum","5802 Value Entry","43 Cost Amount (Actual)","41 Source Type",$C$5,"5 Source no.",$C2393,"4 Item Ledger Entry Type",$C$4,"2 Item No.","@@"&amp;$F2393,"3 Posting Date",U$9)</t>
  </si>
  <si>
    <t>=U2393-W2393</t>
  </si>
  <si>
    <t>=IF(U2393&lt;&gt;0,X2393/U2393,"")</t>
  </si>
  <si>
    <t>=NL("Sum","5802 Value Entry","150 Sales Amount (Expected)","41 Source Type",$C$5,"5 Source No.",$C2393,"4 Item Ledger Entry Type",$C$4,"2 Item No.","@@"&amp;$F2393,"3 Posting Date",Z$9)+NL("Sum","5802 Value Entry","17 Sales Amount (Actual)","41 Source Type",$C$5,"5 Source no.",$C2393,"4 Item Ledger Entry Type",$C$4,"2 Item No.","@@"&amp;$F2393,"3 Posting Date",Z$9)</t>
  </si>
  <si>
    <t>=-NL("Sum","5802 Value Entry","151 Cost Amount (Expected)","41 Source Type",$C$5,"5 Source No.",$C2393,"4 Item Ledger Entry Type",$C$4,"2 Item No.","@@"&amp;$F2393,"3 Posting Date",Z$9)-NL("Sum","5802 Value Entry","43 Cost Amount (Actual)","41 Source Type",$C$5,"5 Source no.",$C2393,"4 Item Ledger Entry Type",$C$4,"2 Item No.","@@"&amp;$F2393,"3 Posting Date",Z$9)</t>
  </si>
  <si>
    <t>=Z2393-AB2393</t>
  </si>
  <si>
    <t>=IF(Z2393&lt;&gt;0,AC2393/Z2393,"")</t>
  </si>
  <si>
    <t>=C2393</t>
  </si>
  <si>
    <t>=NL("Sum","5802 Value Entry","150 Sales Amount (Expected)","41 Source Type",$C$5,"5 Source No.",$C2394,"4 Item Ledger Entry Type",$C$4,"2 Item No.","@@"&amp;$F2394,"3 Posting Date",J$9)+NL("Sum","5802 Value Entry","17 Sales Amount (Actual)","41 Source Type",$C$5,"5 Source no.",$C2394,"4 Item Ledger Entry Type",$C$4,"2 Item No.","@@"&amp;$F2394,"3 Posting Date",J$9)</t>
  </si>
  <si>
    <t>=-NL("Sum","5802 Value Entry","151 Cost Amount (Expected)","41 Source Type",$C$5,"5 Source No.",$C2394,"4 Item Ledger Entry Type",$C$4,"2 Item No.","@@"&amp;$F2394,"3 Posting Date",J$9)-NL("Sum","5802 Value Entry","43 Cost Amount (Actual)","41 Source Type",$C$5,"5 Source no.",$C2394,"4 Item Ledger Entry Type",$C$4,"2 Item No.","@@"&amp;$F2394,"3 Posting Date",J$9)</t>
  </si>
  <si>
    <t>=J2394-L2394</t>
  </si>
  <si>
    <t>=IF(J2394&lt;&gt;0,M2394/J2394,"")</t>
  </si>
  <si>
    <t>=NL("Sum","5802 Value Entry","150 Sales Amount (Expected)","41 Source Type",$C$5,"5 Source No.",$C2394,"4 Item Ledger Entry Type",$C$4,"2 Item No.","@@"&amp;$F2394,"3 Posting Date",O$9)+NL("Sum","5802 Value Entry","17 Sales Amount (Actual)","41 Source Type",$C$5,"5 Source no.",$C2394,"4 Item Ledger Entry Type",$C$4,"2 Item No.","@@"&amp;$F2394,"3 Posting Date",O$9)</t>
  </si>
  <si>
    <t>=-NL("Sum","5802 Value Entry","151 Cost Amount (Expected)","41 Source Type",$C$5,"5 Source No.",$C2394,"4 Item Ledger Entry Type",$C$4,"2 Item No.","@@"&amp;$F2394,"3 Posting Date",O$9)-NL("Sum","5802 Value Entry","43 Cost Amount (Actual)","41 Source Type",$C$5,"5 Source no.",$C2394,"4 Item Ledger Entry Type",$C$4,"2 Item No.","@@"&amp;$F2394,"3 Posting Date",O$9)</t>
  </si>
  <si>
    <t>=O2394-Q2394</t>
  </si>
  <si>
    <t>=IF(O2394&lt;&gt;0,R2394/O2394,"")</t>
  </si>
  <si>
    <t>=NL("Sum","5802 Value Entry","150 Sales Amount (Expected)","41 Source Type",$C$5,"5 Source No.",$C2394,"4 Item Ledger Entry Type",$C$4,"2 Item No.","@@"&amp;$F2394,"3 Posting Date",U$9)+NL("Sum","5802 Value Entry","17 Sales Amount (Actual)","41 Source Type",$C$5,"5 Source no.",$C2394,"4 Item Ledger Entry Type",$C$4,"2 Item No.","@@"&amp;$F2394,"3 Posting Date",U$9)</t>
  </si>
  <si>
    <t>=-NL("Sum","5802 Value Entry","151 Cost Amount (Expected)","41 Source Type",$C$5,"5 Source No.",$C2394,"4 Item Ledger Entry Type",$C$4,"2 Item No.","@@"&amp;$F2394,"3 Posting Date",U$9)-NL("Sum","5802 Value Entry","43 Cost Amount (Actual)","41 Source Type",$C$5,"5 Source no.",$C2394,"4 Item Ledger Entry Type",$C$4,"2 Item No.","@@"&amp;$F2394,"3 Posting Date",U$9)</t>
  </si>
  <si>
    <t>=U2394-W2394</t>
  </si>
  <si>
    <t>=IF(U2394&lt;&gt;0,X2394/U2394,"")</t>
  </si>
  <si>
    <t>=NL("Sum","5802 Value Entry","150 Sales Amount (Expected)","41 Source Type",$C$5,"5 Source No.",$C2394,"4 Item Ledger Entry Type",$C$4,"2 Item No.","@@"&amp;$F2394,"3 Posting Date",Z$9)+NL("Sum","5802 Value Entry","17 Sales Amount (Actual)","41 Source Type",$C$5,"5 Source no.",$C2394,"4 Item Ledger Entry Type",$C$4,"2 Item No.","@@"&amp;$F2394,"3 Posting Date",Z$9)</t>
  </si>
  <si>
    <t>=-NL("Sum","5802 Value Entry","151 Cost Amount (Expected)","41 Source Type",$C$5,"5 Source No.",$C2394,"4 Item Ledger Entry Type",$C$4,"2 Item No.","@@"&amp;$F2394,"3 Posting Date",Z$9)-NL("Sum","5802 Value Entry","43 Cost Amount (Actual)","41 Source Type",$C$5,"5 Source no.",$C2394,"4 Item Ledger Entry Type",$C$4,"2 Item No.","@@"&amp;$F2394,"3 Posting Date",Z$9)</t>
  </si>
  <si>
    <t>=Z2394-AB2394</t>
  </si>
  <si>
    <t>=IF(Z2394&lt;&gt;0,AC2394/Z2394,"")</t>
  </si>
  <si>
    <t>=C2394</t>
  </si>
  <si>
    <t>=NL("Sum","5802 Value Entry","150 Sales Amount (Expected)","41 Source Type",$C$5,"5 Source No.",$C2395,"4 Item Ledger Entry Type",$C$4,"2 Item No.","@@"&amp;$F2395,"3 Posting Date",J$9)+NL("Sum","5802 Value Entry","17 Sales Amount (Actual)","41 Source Type",$C$5,"5 Source no.",$C2395,"4 Item Ledger Entry Type",$C$4,"2 Item No.","@@"&amp;$F2395,"3 Posting Date",J$9)</t>
  </si>
  <si>
    <t>=-NL("Sum","5802 Value Entry","151 Cost Amount (Expected)","41 Source Type",$C$5,"5 Source No.",$C2395,"4 Item Ledger Entry Type",$C$4,"2 Item No.","@@"&amp;$F2395,"3 Posting Date",J$9)-NL("Sum","5802 Value Entry","43 Cost Amount (Actual)","41 Source Type",$C$5,"5 Source no.",$C2395,"4 Item Ledger Entry Type",$C$4,"2 Item No.","@@"&amp;$F2395,"3 Posting Date",J$9)</t>
  </si>
  <si>
    <t>=J2395-L2395</t>
  </si>
  <si>
    <t>=IF(J2395&lt;&gt;0,M2395/J2395,"")</t>
  </si>
  <si>
    <t>=NL("Sum","5802 Value Entry","150 Sales Amount (Expected)","41 Source Type",$C$5,"5 Source No.",$C2395,"4 Item Ledger Entry Type",$C$4,"2 Item No.","@@"&amp;$F2395,"3 Posting Date",O$9)+NL("Sum","5802 Value Entry","17 Sales Amount (Actual)","41 Source Type",$C$5,"5 Source no.",$C2395,"4 Item Ledger Entry Type",$C$4,"2 Item No.","@@"&amp;$F2395,"3 Posting Date",O$9)</t>
  </si>
  <si>
    <t>=-NL("Sum","5802 Value Entry","151 Cost Amount (Expected)","41 Source Type",$C$5,"5 Source No.",$C2395,"4 Item Ledger Entry Type",$C$4,"2 Item No.","@@"&amp;$F2395,"3 Posting Date",O$9)-NL("Sum","5802 Value Entry","43 Cost Amount (Actual)","41 Source Type",$C$5,"5 Source no.",$C2395,"4 Item Ledger Entry Type",$C$4,"2 Item No.","@@"&amp;$F2395,"3 Posting Date",O$9)</t>
  </si>
  <si>
    <t>=O2395-Q2395</t>
  </si>
  <si>
    <t>=IF(O2395&lt;&gt;0,R2395/O2395,"")</t>
  </si>
  <si>
    <t>=NL("Sum","5802 Value Entry","150 Sales Amount (Expected)","41 Source Type",$C$5,"5 Source No.",$C2395,"4 Item Ledger Entry Type",$C$4,"2 Item No.","@@"&amp;$F2395,"3 Posting Date",U$9)+NL("Sum","5802 Value Entry","17 Sales Amount (Actual)","41 Source Type",$C$5,"5 Source no.",$C2395,"4 Item Ledger Entry Type",$C$4,"2 Item No.","@@"&amp;$F2395,"3 Posting Date",U$9)</t>
  </si>
  <si>
    <t>=-NL("Sum","5802 Value Entry","151 Cost Amount (Expected)","41 Source Type",$C$5,"5 Source No.",$C2395,"4 Item Ledger Entry Type",$C$4,"2 Item No.","@@"&amp;$F2395,"3 Posting Date",U$9)-NL("Sum","5802 Value Entry","43 Cost Amount (Actual)","41 Source Type",$C$5,"5 Source no.",$C2395,"4 Item Ledger Entry Type",$C$4,"2 Item No.","@@"&amp;$F2395,"3 Posting Date",U$9)</t>
  </si>
  <si>
    <t>=U2395-W2395</t>
  </si>
  <si>
    <t>=IF(U2395&lt;&gt;0,X2395/U2395,"")</t>
  </si>
  <si>
    <t>=NL("Sum","5802 Value Entry","150 Sales Amount (Expected)","41 Source Type",$C$5,"5 Source No.",$C2395,"4 Item Ledger Entry Type",$C$4,"2 Item No.","@@"&amp;$F2395,"3 Posting Date",Z$9)+NL("Sum","5802 Value Entry","17 Sales Amount (Actual)","41 Source Type",$C$5,"5 Source no.",$C2395,"4 Item Ledger Entry Type",$C$4,"2 Item No.","@@"&amp;$F2395,"3 Posting Date",Z$9)</t>
  </si>
  <si>
    <t>=-NL("Sum","5802 Value Entry","151 Cost Amount (Expected)","41 Source Type",$C$5,"5 Source No.",$C2395,"4 Item Ledger Entry Type",$C$4,"2 Item No.","@@"&amp;$F2395,"3 Posting Date",Z$9)-NL("Sum","5802 Value Entry","43 Cost Amount (Actual)","41 Source Type",$C$5,"5 Source no.",$C2395,"4 Item Ledger Entry Type",$C$4,"2 Item No.","@@"&amp;$F2395,"3 Posting Date",Z$9)</t>
  </si>
  <si>
    <t>=Z2395-AB2395</t>
  </si>
  <si>
    <t>=IF(Z2395&lt;&gt;0,AC2395/Z2395,"")</t>
  </si>
  <si>
    <t>=C2395</t>
  </si>
  <si>
    <t>=NL("Sum","5802 Value Entry","150 Sales Amount (Expected)","41 Source Type",$C$5,"5 Source No.",$C2396,"4 Item Ledger Entry Type",$C$4,"2 Item No.","@@"&amp;$F2396,"3 Posting Date",J$9)+NL("Sum","5802 Value Entry","17 Sales Amount (Actual)","41 Source Type",$C$5,"5 Source no.",$C2396,"4 Item Ledger Entry Type",$C$4,"2 Item No.","@@"&amp;$F2396,"3 Posting Date",J$9)</t>
  </si>
  <si>
    <t>=-NL("Sum","5802 Value Entry","151 Cost Amount (Expected)","41 Source Type",$C$5,"5 Source No.",$C2396,"4 Item Ledger Entry Type",$C$4,"2 Item No.","@@"&amp;$F2396,"3 Posting Date",J$9)-NL("Sum","5802 Value Entry","43 Cost Amount (Actual)","41 Source Type",$C$5,"5 Source no.",$C2396,"4 Item Ledger Entry Type",$C$4,"2 Item No.","@@"&amp;$F2396,"3 Posting Date",J$9)</t>
  </si>
  <si>
    <t>=J2396-L2396</t>
  </si>
  <si>
    <t>=IF(J2396&lt;&gt;0,M2396/J2396,"")</t>
  </si>
  <si>
    <t>=NL("Sum","5802 Value Entry","150 Sales Amount (Expected)","41 Source Type",$C$5,"5 Source No.",$C2396,"4 Item Ledger Entry Type",$C$4,"2 Item No.","@@"&amp;$F2396,"3 Posting Date",O$9)+NL("Sum","5802 Value Entry","17 Sales Amount (Actual)","41 Source Type",$C$5,"5 Source no.",$C2396,"4 Item Ledger Entry Type",$C$4,"2 Item No.","@@"&amp;$F2396,"3 Posting Date",O$9)</t>
  </si>
  <si>
    <t>=-NL("Sum","5802 Value Entry","151 Cost Amount (Expected)","41 Source Type",$C$5,"5 Source No.",$C2396,"4 Item Ledger Entry Type",$C$4,"2 Item No.","@@"&amp;$F2396,"3 Posting Date",O$9)-NL("Sum","5802 Value Entry","43 Cost Amount (Actual)","41 Source Type",$C$5,"5 Source no.",$C2396,"4 Item Ledger Entry Type",$C$4,"2 Item No.","@@"&amp;$F2396,"3 Posting Date",O$9)</t>
  </si>
  <si>
    <t>=O2396-Q2396</t>
  </si>
  <si>
    <t>=IF(O2396&lt;&gt;0,R2396/O2396,"")</t>
  </si>
  <si>
    <t>=NL("Sum","5802 Value Entry","150 Sales Amount (Expected)","41 Source Type",$C$5,"5 Source No.",$C2396,"4 Item Ledger Entry Type",$C$4,"2 Item No.","@@"&amp;$F2396,"3 Posting Date",U$9)+NL("Sum","5802 Value Entry","17 Sales Amount (Actual)","41 Source Type",$C$5,"5 Source no.",$C2396,"4 Item Ledger Entry Type",$C$4,"2 Item No.","@@"&amp;$F2396,"3 Posting Date",U$9)</t>
  </si>
  <si>
    <t>=-NL("Sum","5802 Value Entry","151 Cost Amount (Expected)","41 Source Type",$C$5,"5 Source No.",$C2396,"4 Item Ledger Entry Type",$C$4,"2 Item No.","@@"&amp;$F2396,"3 Posting Date",U$9)-NL("Sum","5802 Value Entry","43 Cost Amount (Actual)","41 Source Type",$C$5,"5 Source no.",$C2396,"4 Item Ledger Entry Type",$C$4,"2 Item No.","@@"&amp;$F2396,"3 Posting Date",U$9)</t>
  </si>
  <si>
    <t>=U2396-W2396</t>
  </si>
  <si>
    <t>=IF(U2396&lt;&gt;0,X2396/U2396,"")</t>
  </si>
  <si>
    <t>=NL("Sum","5802 Value Entry","150 Sales Amount (Expected)","41 Source Type",$C$5,"5 Source No.",$C2396,"4 Item Ledger Entry Type",$C$4,"2 Item No.","@@"&amp;$F2396,"3 Posting Date",Z$9)+NL("Sum","5802 Value Entry","17 Sales Amount (Actual)","41 Source Type",$C$5,"5 Source no.",$C2396,"4 Item Ledger Entry Type",$C$4,"2 Item No.","@@"&amp;$F2396,"3 Posting Date",Z$9)</t>
  </si>
  <si>
    <t>=-NL("Sum","5802 Value Entry","151 Cost Amount (Expected)","41 Source Type",$C$5,"5 Source No.",$C2396,"4 Item Ledger Entry Type",$C$4,"2 Item No.","@@"&amp;$F2396,"3 Posting Date",Z$9)-NL("Sum","5802 Value Entry","43 Cost Amount (Actual)","41 Source Type",$C$5,"5 Source no.",$C2396,"4 Item Ledger Entry Type",$C$4,"2 Item No.","@@"&amp;$F2396,"3 Posting Date",Z$9)</t>
  </si>
  <si>
    <t>=Z2396-AB2396</t>
  </si>
  <si>
    <t>=IF(Z2396&lt;&gt;0,AC2396/Z2396,"")</t>
  </si>
  <si>
    <t>=C2396</t>
  </si>
  <si>
    <t>=NL("Sum","5802 Value Entry","150 Sales Amount (Expected)","41 Source Type",$C$5,"5 Source No.",$C2397,"4 Item Ledger Entry Type",$C$4,"2 Item No.","@@"&amp;$F2397,"3 Posting Date",J$9)+NL("Sum","5802 Value Entry","17 Sales Amount (Actual)","41 Source Type",$C$5,"5 Source no.",$C2397,"4 Item Ledger Entry Type",$C$4,"2 Item No.","@@"&amp;$F2397,"3 Posting Date",J$9)</t>
  </si>
  <si>
    <t>=-NL("Sum","5802 Value Entry","151 Cost Amount (Expected)","41 Source Type",$C$5,"5 Source No.",$C2397,"4 Item Ledger Entry Type",$C$4,"2 Item No.","@@"&amp;$F2397,"3 Posting Date",J$9)-NL("Sum","5802 Value Entry","43 Cost Amount (Actual)","41 Source Type",$C$5,"5 Source no.",$C2397,"4 Item Ledger Entry Type",$C$4,"2 Item No.","@@"&amp;$F2397,"3 Posting Date",J$9)</t>
  </si>
  <si>
    <t>=J2397-L2397</t>
  </si>
  <si>
    <t>=IF(J2397&lt;&gt;0,M2397/J2397,"")</t>
  </si>
  <si>
    <t>=NL("Sum","5802 Value Entry","150 Sales Amount (Expected)","41 Source Type",$C$5,"5 Source No.",$C2397,"4 Item Ledger Entry Type",$C$4,"2 Item No.","@@"&amp;$F2397,"3 Posting Date",O$9)+NL("Sum","5802 Value Entry","17 Sales Amount (Actual)","41 Source Type",$C$5,"5 Source no.",$C2397,"4 Item Ledger Entry Type",$C$4,"2 Item No.","@@"&amp;$F2397,"3 Posting Date",O$9)</t>
  </si>
  <si>
    <t>=-NL("Sum","5802 Value Entry","151 Cost Amount (Expected)","41 Source Type",$C$5,"5 Source No.",$C2397,"4 Item Ledger Entry Type",$C$4,"2 Item No.","@@"&amp;$F2397,"3 Posting Date",O$9)-NL("Sum","5802 Value Entry","43 Cost Amount (Actual)","41 Source Type",$C$5,"5 Source no.",$C2397,"4 Item Ledger Entry Type",$C$4,"2 Item No.","@@"&amp;$F2397,"3 Posting Date",O$9)</t>
  </si>
  <si>
    <t>=O2397-Q2397</t>
  </si>
  <si>
    <t>=IF(O2397&lt;&gt;0,R2397/O2397,"")</t>
  </si>
  <si>
    <t>=NL("Sum","5802 Value Entry","150 Sales Amount (Expected)","41 Source Type",$C$5,"5 Source No.",$C2397,"4 Item Ledger Entry Type",$C$4,"2 Item No.","@@"&amp;$F2397,"3 Posting Date",U$9)+NL("Sum","5802 Value Entry","17 Sales Amount (Actual)","41 Source Type",$C$5,"5 Source no.",$C2397,"4 Item Ledger Entry Type",$C$4,"2 Item No.","@@"&amp;$F2397,"3 Posting Date",U$9)</t>
  </si>
  <si>
    <t>=-NL("Sum","5802 Value Entry","151 Cost Amount (Expected)","41 Source Type",$C$5,"5 Source No.",$C2397,"4 Item Ledger Entry Type",$C$4,"2 Item No.","@@"&amp;$F2397,"3 Posting Date",U$9)-NL("Sum","5802 Value Entry","43 Cost Amount (Actual)","41 Source Type",$C$5,"5 Source no.",$C2397,"4 Item Ledger Entry Type",$C$4,"2 Item No.","@@"&amp;$F2397,"3 Posting Date",U$9)</t>
  </si>
  <si>
    <t>=U2397-W2397</t>
  </si>
  <si>
    <t>=IF(U2397&lt;&gt;0,X2397/U2397,"")</t>
  </si>
  <si>
    <t>=NL("Sum","5802 Value Entry","150 Sales Amount (Expected)","41 Source Type",$C$5,"5 Source No.",$C2397,"4 Item Ledger Entry Type",$C$4,"2 Item No.","@@"&amp;$F2397,"3 Posting Date",Z$9)+NL("Sum","5802 Value Entry","17 Sales Amount (Actual)","41 Source Type",$C$5,"5 Source no.",$C2397,"4 Item Ledger Entry Type",$C$4,"2 Item No.","@@"&amp;$F2397,"3 Posting Date",Z$9)</t>
  </si>
  <si>
    <t>=-NL("Sum","5802 Value Entry","151 Cost Amount (Expected)","41 Source Type",$C$5,"5 Source No.",$C2397,"4 Item Ledger Entry Type",$C$4,"2 Item No.","@@"&amp;$F2397,"3 Posting Date",Z$9)-NL("Sum","5802 Value Entry","43 Cost Amount (Actual)","41 Source Type",$C$5,"5 Source no.",$C2397,"4 Item Ledger Entry Type",$C$4,"2 Item No.","@@"&amp;$F2397,"3 Posting Date",Z$9)</t>
  </si>
  <si>
    <t>=Z2397-AB2397</t>
  </si>
  <si>
    <t>=IF(Z2397&lt;&gt;0,AC2397/Z2397,"")</t>
  </si>
  <si>
    <t>=C2397</t>
  </si>
  <si>
    <t>=NL("Sum","5802 Value Entry","150 Sales Amount (Expected)","41 Source Type",$C$5,"5 Source No.",$C2398,"4 Item Ledger Entry Type",$C$4,"2 Item No.","@@"&amp;$F2398,"3 Posting Date",J$9)+NL("Sum","5802 Value Entry","17 Sales Amount (Actual)","41 Source Type",$C$5,"5 Source no.",$C2398,"4 Item Ledger Entry Type",$C$4,"2 Item No.","@@"&amp;$F2398,"3 Posting Date",J$9)</t>
  </si>
  <si>
    <t>=-NL("Sum","5802 Value Entry","151 Cost Amount (Expected)","41 Source Type",$C$5,"5 Source No.",$C2398,"4 Item Ledger Entry Type",$C$4,"2 Item No.","@@"&amp;$F2398,"3 Posting Date",J$9)-NL("Sum","5802 Value Entry","43 Cost Amount (Actual)","41 Source Type",$C$5,"5 Source no.",$C2398,"4 Item Ledger Entry Type",$C$4,"2 Item No.","@@"&amp;$F2398,"3 Posting Date",J$9)</t>
  </si>
  <si>
    <t>=J2398-L2398</t>
  </si>
  <si>
    <t>=IF(J2398&lt;&gt;0,M2398/J2398,"")</t>
  </si>
  <si>
    <t>=NL("Sum","5802 Value Entry","150 Sales Amount (Expected)","41 Source Type",$C$5,"5 Source No.",$C2398,"4 Item Ledger Entry Type",$C$4,"2 Item No.","@@"&amp;$F2398,"3 Posting Date",O$9)+NL("Sum","5802 Value Entry","17 Sales Amount (Actual)","41 Source Type",$C$5,"5 Source no.",$C2398,"4 Item Ledger Entry Type",$C$4,"2 Item No.","@@"&amp;$F2398,"3 Posting Date",O$9)</t>
  </si>
  <si>
    <t>=-NL("Sum","5802 Value Entry","151 Cost Amount (Expected)","41 Source Type",$C$5,"5 Source No.",$C2398,"4 Item Ledger Entry Type",$C$4,"2 Item No.","@@"&amp;$F2398,"3 Posting Date",O$9)-NL("Sum","5802 Value Entry","43 Cost Amount (Actual)","41 Source Type",$C$5,"5 Source no.",$C2398,"4 Item Ledger Entry Type",$C$4,"2 Item No.","@@"&amp;$F2398,"3 Posting Date",O$9)</t>
  </si>
  <si>
    <t>=O2398-Q2398</t>
  </si>
  <si>
    <t>=IF(O2398&lt;&gt;0,R2398/O2398,"")</t>
  </si>
  <si>
    <t>=NL("Sum","5802 Value Entry","150 Sales Amount (Expected)","41 Source Type",$C$5,"5 Source No.",$C2398,"4 Item Ledger Entry Type",$C$4,"2 Item No.","@@"&amp;$F2398,"3 Posting Date",U$9)+NL("Sum","5802 Value Entry","17 Sales Amount (Actual)","41 Source Type",$C$5,"5 Source no.",$C2398,"4 Item Ledger Entry Type",$C$4,"2 Item No.","@@"&amp;$F2398,"3 Posting Date",U$9)</t>
  </si>
  <si>
    <t>=-NL("Sum","5802 Value Entry","151 Cost Amount (Expected)","41 Source Type",$C$5,"5 Source No.",$C2398,"4 Item Ledger Entry Type",$C$4,"2 Item No.","@@"&amp;$F2398,"3 Posting Date",U$9)-NL("Sum","5802 Value Entry","43 Cost Amount (Actual)","41 Source Type",$C$5,"5 Source no.",$C2398,"4 Item Ledger Entry Type",$C$4,"2 Item No.","@@"&amp;$F2398,"3 Posting Date",U$9)</t>
  </si>
  <si>
    <t>=U2398-W2398</t>
  </si>
  <si>
    <t>=IF(U2398&lt;&gt;0,X2398/U2398,"")</t>
  </si>
  <si>
    <t>=NL("Sum","5802 Value Entry","150 Sales Amount (Expected)","41 Source Type",$C$5,"5 Source No.",$C2398,"4 Item Ledger Entry Type",$C$4,"2 Item No.","@@"&amp;$F2398,"3 Posting Date",Z$9)+NL("Sum","5802 Value Entry","17 Sales Amount (Actual)","41 Source Type",$C$5,"5 Source no.",$C2398,"4 Item Ledger Entry Type",$C$4,"2 Item No.","@@"&amp;$F2398,"3 Posting Date",Z$9)</t>
  </si>
  <si>
    <t>=-NL("Sum","5802 Value Entry","151 Cost Amount (Expected)","41 Source Type",$C$5,"5 Source No.",$C2398,"4 Item Ledger Entry Type",$C$4,"2 Item No.","@@"&amp;$F2398,"3 Posting Date",Z$9)-NL("Sum","5802 Value Entry","43 Cost Amount (Actual)","41 Source Type",$C$5,"5 Source no.",$C2398,"4 Item Ledger Entry Type",$C$4,"2 Item No.","@@"&amp;$F2398,"3 Posting Date",Z$9)</t>
  </si>
  <si>
    <t>=Z2398-AB2398</t>
  </si>
  <si>
    <t>=IF(Z2398&lt;&gt;0,AC2398/Z2398,"")</t>
  </si>
  <si>
    <t>=C2398</t>
  </si>
  <si>
    <t>=NL("Sum","5802 Value Entry","150 Sales Amount (Expected)","41 Source Type",$C$5,"5 Source No.",$C2399,"4 Item Ledger Entry Type",$C$4,"2 Item No.","@@"&amp;$F2399,"3 Posting Date",J$9)+NL("Sum","5802 Value Entry","17 Sales Amount (Actual)","41 Source Type",$C$5,"5 Source no.",$C2399,"4 Item Ledger Entry Type",$C$4,"2 Item No.","@@"&amp;$F2399,"3 Posting Date",J$9)</t>
  </si>
  <si>
    <t>=-NL("Sum","5802 Value Entry","151 Cost Amount (Expected)","41 Source Type",$C$5,"5 Source No.",$C2399,"4 Item Ledger Entry Type",$C$4,"2 Item No.","@@"&amp;$F2399,"3 Posting Date",J$9)-NL("Sum","5802 Value Entry","43 Cost Amount (Actual)","41 Source Type",$C$5,"5 Source no.",$C2399,"4 Item Ledger Entry Type",$C$4,"2 Item No.","@@"&amp;$F2399,"3 Posting Date",J$9)</t>
  </si>
  <si>
    <t>=J2399-L2399</t>
  </si>
  <si>
    <t>=IF(J2399&lt;&gt;0,M2399/J2399,"")</t>
  </si>
  <si>
    <t>=NL("Sum","5802 Value Entry","150 Sales Amount (Expected)","41 Source Type",$C$5,"5 Source No.",$C2399,"4 Item Ledger Entry Type",$C$4,"2 Item No.","@@"&amp;$F2399,"3 Posting Date",O$9)+NL("Sum","5802 Value Entry","17 Sales Amount (Actual)","41 Source Type",$C$5,"5 Source no.",$C2399,"4 Item Ledger Entry Type",$C$4,"2 Item No.","@@"&amp;$F2399,"3 Posting Date",O$9)</t>
  </si>
  <si>
    <t>=-NL("Sum","5802 Value Entry","151 Cost Amount (Expected)","41 Source Type",$C$5,"5 Source No.",$C2399,"4 Item Ledger Entry Type",$C$4,"2 Item No.","@@"&amp;$F2399,"3 Posting Date",O$9)-NL("Sum","5802 Value Entry","43 Cost Amount (Actual)","41 Source Type",$C$5,"5 Source no.",$C2399,"4 Item Ledger Entry Type",$C$4,"2 Item No.","@@"&amp;$F2399,"3 Posting Date",O$9)</t>
  </si>
  <si>
    <t>=O2399-Q2399</t>
  </si>
  <si>
    <t>=IF(O2399&lt;&gt;0,R2399/O2399,"")</t>
  </si>
  <si>
    <t>=NL("Sum","5802 Value Entry","150 Sales Amount (Expected)","41 Source Type",$C$5,"5 Source No.",$C2399,"4 Item Ledger Entry Type",$C$4,"2 Item No.","@@"&amp;$F2399,"3 Posting Date",U$9)+NL("Sum","5802 Value Entry","17 Sales Amount (Actual)","41 Source Type",$C$5,"5 Source no.",$C2399,"4 Item Ledger Entry Type",$C$4,"2 Item No.","@@"&amp;$F2399,"3 Posting Date",U$9)</t>
  </si>
  <si>
    <t>=-NL("Sum","5802 Value Entry","151 Cost Amount (Expected)","41 Source Type",$C$5,"5 Source No.",$C2399,"4 Item Ledger Entry Type",$C$4,"2 Item No.","@@"&amp;$F2399,"3 Posting Date",U$9)-NL("Sum","5802 Value Entry","43 Cost Amount (Actual)","41 Source Type",$C$5,"5 Source no.",$C2399,"4 Item Ledger Entry Type",$C$4,"2 Item No.","@@"&amp;$F2399,"3 Posting Date",U$9)</t>
  </si>
  <si>
    <t>=U2399-W2399</t>
  </si>
  <si>
    <t>=IF(U2399&lt;&gt;0,X2399/U2399,"")</t>
  </si>
  <si>
    <t>=NL("Sum","5802 Value Entry","150 Sales Amount (Expected)","41 Source Type",$C$5,"5 Source No.",$C2399,"4 Item Ledger Entry Type",$C$4,"2 Item No.","@@"&amp;$F2399,"3 Posting Date",Z$9)+NL("Sum","5802 Value Entry","17 Sales Amount (Actual)","41 Source Type",$C$5,"5 Source no.",$C2399,"4 Item Ledger Entry Type",$C$4,"2 Item No.","@@"&amp;$F2399,"3 Posting Date",Z$9)</t>
  </si>
  <si>
    <t>=-NL("Sum","5802 Value Entry","151 Cost Amount (Expected)","41 Source Type",$C$5,"5 Source No.",$C2399,"4 Item Ledger Entry Type",$C$4,"2 Item No.","@@"&amp;$F2399,"3 Posting Date",Z$9)-NL("Sum","5802 Value Entry","43 Cost Amount (Actual)","41 Source Type",$C$5,"5 Source no.",$C2399,"4 Item Ledger Entry Type",$C$4,"2 Item No.","@@"&amp;$F2399,"3 Posting Date",Z$9)</t>
  </si>
  <si>
    <t>=Z2399-AB2399</t>
  </si>
  <si>
    <t>=IF(Z2399&lt;&gt;0,AC2399/Z2399,"")</t>
  </si>
  <si>
    <t>=C2399</t>
  </si>
  <si>
    <t>=NL("Sum","5802 Value Entry","150 Sales Amount (Expected)","41 Source Type",$C$5,"5 Source No.",$C2400,"4 Item Ledger Entry Type",$C$4,"2 Item No.","@@"&amp;$F2400,"3 Posting Date",J$9)+NL("Sum","5802 Value Entry","17 Sales Amount (Actual)","41 Source Type",$C$5,"5 Source no.",$C2400,"4 Item Ledger Entry Type",$C$4,"2 Item No.","@@"&amp;$F2400,"3 Posting Date",J$9)</t>
  </si>
  <si>
    <t>=-NL("Sum","5802 Value Entry","151 Cost Amount (Expected)","41 Source Type",$C$5,"5 Source No.",$C2400,"4 Item Ledger Entry Type",$C$4,"2 Item No.","@@"&amp;$F2400,"3 Posting Date",J$9)-NL("Sum","5802 Value Entry","43 Cost Amount (Actual)","41 Source Type",$C$5,"5 Source no.",$C2400,"4 Item Ledger Entry Type",$C$4,"2 Item No.","@@"&amp;$F2400,"3 Posting Date",J$9)</t>
  </si>
  <si>
    <t>=J2400-L2400</t>
  </si>
  <si>
    <t>=IF(J2400&lt;&gt;0,M2400/J2400,"")</t>
  </si>
  <si>
    <t>=NL("Sum","5802 Value Entry","150 Sales Amount (Expected)","41 Source Type",$C$5,"5 Source No.",$C2400,"4 Item Ledger Entry Type",$C$4,"2 Item No.","@@"&amp;$F2400,"3 Posting Date",O$9)+NL("Sum","5802 Value Entry","17 Sales Amount (Actual)","41 Source Type",$C$5,"5 Source no.",$C2400,"4 Item Ledger Entry Type",$C$4,"2 Item No.","@@"&amp;$F2400,"3 Posting Date",O$9)</t>
  </si>
  <si>
    <t>=-NL("Sum","5802 Value Entry","151 Cost Amount (Expected)","41 Source Type",$C$5,"5 Source No.",$C2400,"4 Item Ledger Entry Type",$C$4,"2 Item No.","@@"&amp;$F2400,"3 Posting Date",O$9)-NL("Sum","5802 Value Entry","43 Cost Amount (Actual)","41 Source Type",$C$5,"5 Source no.",$C2400,"4 Item Ledger Entry Type",$C$4,"2 Item No.","@@"&amp;$F2400,"3 Posting Date",O$9)</t>
  </si>
  <si>
    <t>=O2400-Q2400</t>
  </si>
  <si>
    <t>=IF(O2400&lt;&gt;0,R2400/O2400,"")</t>
  </si>
  <si>
    <t>=NL("Sum","5802 Value Entry","150 Sales Amount (Expected)","41 Source Type",$C$5,"5 Source No.",$C2400,"4 Item Ledger Entry Type",$C$4,"2 Item No.","@@"&amp;$F2400,"3 Posting Date",U$9)+NL("Sum","5802 Value Entry","17 Sales Amount (Actual)","41 Source Type",$C$5,"5 Source no.",$C2400,"4 Item Ledger Entry Type",$C$4,"2 Item No.","@@"&amp;$F2400,"3 Posting Date",U$9)</t>
  </si>
  <si>
    <t>=-NL("Sum","5802 Value Entry","151 Cost Amount (Expected)","41 Source Type",$C$5,"5 Source No.",$C2400,"4 Item Ledger Entry Type",$C$4,"2 Item No.","@@"&amp;$F2400,"3 Posting Date",U$9)-NL("Sum","5802 Value Entry","43 Cost Amount (Actual)","41 Source Type",$C$5,"5 Source no.",$C2400,"4 Item Ledger Entry Type",$C$4,"2 Item No.","@@"&amp;$F2400,"3 Posting Date",U$9)</t>
  </si>
  <si>
    <t>=U2400-W2400</t>
  </si>
  <si>
    <t>=IF(U2400&lt;&gt;0,X2400/U2400,"")</t>
  </si>
  <si>
    <t>=NL("Sum","5802 Value Entry","150 Sales Amount (Expected)","41 Source Type",$C$5,"5 Source No.",$C2400,"4 Item Ledger Entry Type",$C$4,"2 Item No.","@@"&amp;$F2400,"3 Posting Date",Z$9)+NL("Sum","5802 Value Entry","17 Sales Amount (Actual)","41 Source Type",$C$5,"5 Source no.",$C2400,"4 Item Ledger Entry Type",$C$4,"2 Item No.","@@"&amp;$F2400,"3 Posting Date",Z$9)</t>
  </si>
  <si>
    <t>=-NL("Sum","5802 Value Entry","151 Cost Amount (Expected)","41 Source Type",$C$5,"5 Source No.",$C2400,"4 Item Ledger Entry Type",$C$4,"2 Item No.","@@"&amp;$F2400,"3 Posting Date",Z$9)-NL("Sum","5802 Value Entry","43 Cost Amount (Actual)","41 Source Type",$C$5,"5 Source no.",$C2400,"4 Item Ledger Entry Type",$C$4,"2 Item No.","@@"&amp;$F2400,"3 Posting Date",Z$9)</t>
  </si>
  <si>
    <t>=Z2400-AB2400</t>
  </si>
  <si>
    <t>=IF(Z2400&lt;&gt;0,AC2400/Z2400,"")</t>
  </si>
  <si>
    <t>=C2400</t>
  </si>
  <si>
    <t>=NL("Sum","5802 Value Entry","150 Sales Amount (Expected)","41 Source Type",$C$5,"5 Source No.",$C2401,"4 Item Ledger Entry Type",$C$4,"2 Item No.","@@"&amp;$F2401,"3 Posting Date",J$9)+NL("Sum","5802 Value Entry","17 Sales Amount (Actual)","41 Source Type",$C$5,"5 Source no.",$C2401,"4 Item Ledger Entry Type",$C$4,"2 Item No.","@@"&amp;$F2401,"3 Posting Date",J$9)</t>
  </si>
  <si>
    <t>=-NL("Sum","5802 Value Entry","151 Cost Amount (Expected)","41 Source Type",$C$5,"5 Source No.",$C2401,"4 Item Ledger Entry Type",$C$4,"2 Item No.","@@"&amp;$F2401,"3 Posting Date",J$9)-NL("Sum","5802 Value Entry","43 Cost Amount (Actual)","41 Source Type",$C$5,"5 Source no.",$C2401,"4 Item Ledger Entry Type",$C$4,"2 Item No.","@@"&amp;$F2401,"3 Posting Date",J$9)</t>
  </si>
  <si>
    <t>=J2401-L2401</t>
  </si>
  <si>
    <t>=IF(J2401&lt;&gt;0,M2401/J2401,"")</t>
  </si>
  <si>
    <t>=NL("Sum","5802 Value Entry","150 Sales Amount (Expected)","41 Source Type",$C$5,"5 Source No.",$C2401,"4 Item Ledger Entry Type",$C$4,"2 Item No.","@@"&amp;$F2401,"3 Posting Date",O$9)+NL("Sum","5802 Value Entry","17 Sales Amount (Actual)","41 Source Type",$C$5,"5 Source no.",$C2401,"4 Item Ledger Entry Type",$C$4,"2 Item No.","@@"&amp;$F2401,"3 Posting Date",O$9)</t>
  </si>
  <si>
    <t>=-NL("Sum","5802 Value Entry","151 Cost Amount (Expected)","41 Source Type",$C$5,"5 Source No.",$C2401,"4 Item Ledger Entry Type",$C$4,"2 Item No.","@@"&amp;$F2401,"3 Posting Date",O$9)-NL("Sum","5802 Value Entry","43 Cost Amount (Actual)","41 Source Type",$C$5,"5 Source no.",$C2401,"4 Item Ledger Entry Type",$C$4,"2 Item No.","@@"&amp;$F2401,"3 Posting Date",O$9)</t>
  </si>
  <si>
    <t>=O2401-Q2401</t>
  </si>
  <si>
    <t>=IF(O2401&lt;&gt;0,R2401/O2401,"")</t>
  </si>
  <si>
    <t>=NL("Sum","5802 Value Entry","150 Sales Amount (Expected)","41 Source Type",$C$5,"5 Source No.",$C2401,"4 Item Ledger Entry Type",$C$4,"2 Item No.","@@"&amp;$F2401,"3 Posting Date",U$9)+NL("Sum","5802 Value Entry","17 Sales Amount (Actual)","41 Source Type",$C$5,"5 Source no.",$C2401,"4 Item Ledger Entry Type",$C$4,"2 Item No.","@@"&amp;$F2401,"3 Posting Date",U$9)</t>
  </si>
  <si>
    <t>=-NL("Sum","5802 Value Entry","151 Cost Amount (Expected)","41 Source Type",$C$5,"5 Source No.",$C2401,"4 Item Ledger Entry Type",$C$4,"2 Item No.","@@"&amp;$F2401,"3 Posting Date",U$9)-NL("Sum","5802 Value Entry","43 Cost Amount (Actual)","41 Source Type",$C$5,"5 Source no.",$C2401,"4 Item Ledger Entry Type",$C$4,"2 Item No.","@@"&amp;$F2401,"3 Posting Date",U$9)</t>
  </si>
  <si>
    <t>=U2401-W2401</t>
  </si>
  <si>
    <t>=IF(U2401&lt;&gt;0,X2401/U2401,"")</t>
  </si>
  <si>
    <t>=NL("Sum","5802 Value Entry","150 Sales Amount (Expected)","41 Source Type",$C$5,"5 Source No.",$C2401,"4 Item Ledger Entry Type",$C$4,"2 Item No.","@@"&amp;$F2401,"3 Posting Date",Z$9)+NL("Sum","5802 Value Entry","17 Sales Amount (Actual)","41 Source Type",$C$5,"5 Source no.",$C2401,"4 Item Ledger Entry Type",$C$4,"2 Item No.","@@"&amp;$F2401,"3 Posting Date",Z$9)</t>
  </si>
  <si>
    <t>=-NL("Sum","5802 Value Entry","151 Cost Amount (Expected)","41 Source Type",$C$5,"5 Source No.",$C2401,"4 Item Ledger Entry Type",$C$4,"2 Item No.","@@"&amp;$F2401,"3 Posting Date",Z$9)-NL("Sum","5802 Value Entry","43 Cost Amount (Actual)","41 Source Type",$C$5,"5 Source no.",$C2401,"4 Item Ledger Entry Type",$C$4,"2 Item No.","@@"&amp;$F2401,"3 Posting Date",Z$9)</t>
  </si>
  <si>
    <t>=Z2401-AB2401</t>
  </si>
  <si>
    <t>=IF(Z2401&lt;&gt;0,AC2401/Z2401,"")</t>
  </si>
  <si>
    <t>=C2401</t>
  </si>
  <si>
    <t>=NL("Sum","5802 Value Entry","150 Sales Amount (Expected)","41 Source Type",$C$5,"5 Source No.",$C2402,"4 Item Ledger Entry Type",$C$4,"2 Item No.","@@"&amp;$F2402,"3 Posting Date",J$9)+NL("Sum","5802 Value Entry","17 Sales Amount (Actual)","41 Source Type",$C$5,"5 Source no.",$C2402,"4 Item Ledger Entry Type",$C$4,"2 Item No.","@@"&amp;$F2402,"3 Posting Date",J$9)</t>
  </si>
  <si>
    <t>=-NL("Sum","5802 Value Entry","151 Cost Amount (Expected)","41 Source Type",$C$5,"5 Source No.",$C2402,"4 Item Ledger Entry Type",$C$4,"2 Item No.","@@"&amp;$F2402,"3 Posting Date",J$9)-NL("Sum","5802 Value Entry","43 Cost Amount (Actual)","41 Source Type",$C$5,"5 Source no.",$C2402,"4 Item Ledger Entry Type",$C$4,"2 Item No.","@@"&amp;$F2402,"3 Posting Date",J$9)</t>
  </si>
  <si>
    <t>=J2402-L2402</t>
  </si>
  <si>
    <t>=IF(J2402&lt;&gt;0,M2402/J2402,"")</t>
  </si>
  <si>
    <t>=NL("Sum","5802 Value Entry","150 Sales Amount (Expected)","41 Source Type",$C$5,"5 Source No.",$C2402,"4 Item Ledger Entry Type",$C$4,"2 Item No.","@@"&amp;$F2402,"3 Posting Date",O$9)+NL("Sum","5802 Value Entry","17 Sales Amount (Actual)","41 Source Type",$C$5,"5 Source no.",$C2402,"4 Item Ledger Entry Type",$C$4,"2 Item No.","@@"&amp;$F2402,"3 Posting Date",O$9)</t>
  </si>
  <si>
    <t>=-NL("Sum","5802 Value Entry","151 Cost Amount (Expected)","41 Source Type",$C$5,"5 Source No.",$C2402,"4 Item Ledger Entry Type",$C$4,"2 Item No.","@@"&amp;$F2402,"3 Posting Date",O$9)-NL("Sum","5802 Value Entry","43 Cost Amount (Actual)","41 Source Type",$C$5,"5 Source no.",$C2402,"4 Item Ledger Entry Type",$C$4,"2 Item No.","@@"&amp;$F2402,"3 Posting Date",O$9)</t>
  </si>
  <si>
    <t>=O2402-Q2402</t>
  </si>
  <si>
    <t>=IF(O2402&lt;&gt;0,R2402/O2402,"")</t>
  </si>
  <si>
    <t>=NL("Sum","5802 Value Entry","150 Sales Amount (Expected)","41 Source Type",$C$5,"5 Source No.",$C2402,"4 Item Ledger Entry Type",$C$4,"2 Item No.","@@"&amp;$F2402,"3 Posting Date",U$9)+NL("Sum","5802 Value Entry","17 Sales Amount (Actual)","41 Source Type",$C$5,"5 Source no.",$C2402,"4 Item Ledger Entry Type",$C$4,"2 Item No.","@@"&amp;$F2402,"3 Posting Date",U$9)</t>
  </si>
  <si>
    <t>=-NL("Sum","5802 Value Entry","151 Cost Amount (Expected)","41 Source Type",$C$5,"5 Source No.",$C2402,"4 Item Ledger Entry Type",$C$4,"2 Item No.","@@"&amp;$F2402,"3 Posting Date",U$9)-NL("Sum","5802 Value Entry","43 Cost Amount (Actual)","41 Source Type",$C$5,"5 Source no.",$C2402,"4 Item Ledger Entry Type",$C$4,"2 Item No.","@@"&amp;$F2402,"3 Posting Date",U$9)</t>
  </si>
  <si>
    <t>=U2402-W2402</t>
  </si>
  <si>
    <t>=IF(U2402&lt;&gt;0,X2402/U2402,"")</t>
  </si>
  <si>
    <t>=NL("Sum","5802 Value Entry","150 Sales Amount (Expected)","41 Source Type",$C$5,"5 Source No.",$C2402,"4 Item Ledger Entry Type",$C$4,"2 Item No.","@@"&amp;$F2402,"3 Posting Date",Z$9)+NL("Sum","5802 Value Entry","17 Sales Amount (Actual)","41 Source Type",$C$5,"5 Source no.",$C2402,"4 Item Ledger Entry Type",$C$4,"2 Item No.","@@"&amp;$F2402,"3 Posting Date",Z$9)</t>
  </si>
  <si>
    <t>=-NL("Sum","5802 Value Entry","151 Cost Amount (Expected)","41 Source Type",$C$5,"5 Source No.",$C2402,"4 Item Ledger Entry Type",$C$4,"2 Item No.","@@"&amp;$F2402,"3 Posting Date",Z$9)-NL("Sum","5802 Value Entry","43 Cost Amount (Actual)","41 Source Type",$C$5,"5 Source no.",$C2402,"4 Item Ledger Entry Type",$C$4,"2 Item No.","@@"&amp;$F2402,"3 Posting Date",Z$9)</t>
  </si>
  <si>
    <t>=Z2402-AB2402</t>
  </si>
  <si>
    <t>=IF(Z2402&lt;&gt;0,AC2402/Z2402,"")</t>
  </si>
  <si>
    <t>=C2402</t>
  </si>
  <si>
    <t>=NL("Sum","5802 Value Entry","150 Sales Amount (Expected)","41 Source Type",$C$5,"5 Source No.",$C2403,"4 Item Ledger Entry Type",$C$4,"2 Item No.","@@"&amp;$F2403,"3 Posting Date",J$9)+NL("Sum","5802 Value Entry","17 Sales Amount (Actual)","41 Source Type",$C$5,"5 Source no.",$C2403,"4 Item Ledger Entry Type",$C$4,"2 Item No.","@@"&amp;$F2403,"3 Posting Date",J$9)</t>
  </si>
  <si>
    <t>=-NL("Sum","5802 Value Entry","151 Cost Amount (Expected)","41 Source Type",$C$5,"5 Source No.",$C2403,"4 Item Ledger Entry Type",$C$4,"2 Item No.","@@"&amp;$F2403,"3 Posting Date",J$9)-NL("Sum","5802 Value Entry","43 Cost Amount (Actual)","41 Source Type",$C$5,"5 Source no.",$C2403,"4 Item Ledger Entry Type",$C$4,"2 Item No.","@@"&amp;$F2403,"3 Posting Date",J$9)</t>
  </si>
  <si>
    <t>=J2403-L2403</t>
  </si>
  <si>
    <t>=IF(J2403&lt;&gt;0,M2403/J2403,"")</t>
  </si>
  <si>
    <t>=NL("Sum","5802 Value Entry","150 Sales Amount (Expected)","41 Source Type",$C$5,"5 Source No.",$C2403,"4 Item Ledger Entry Type",$C$4,"2 Item No.","@@"&amp;$F2403,"3 Posting Date",O$9)+NL("Sum","5802 Value Entry","17 Sales Amount (Actual)","41 Source Type",$C$5,"5 Source no.",$C2403,"4 Item Ledger Entry Type",$C$4,"2 Item No.","@@"&amp;$F2403,"3 Posting Date",O$9)</t>
  </si>
  <si>
    <t>=-NL("Sum","5802 Value Entry","151 Cost Amount (Expected)","41 Source Type",$C$5,"5 Source No.",$C2403,"4 Item Ledger Entry Type",$C$4,"2 Item No.","@@"&amp;$F2403,"3 Posting Date",O$9)-NL("Sum","5802 Value Entry","43 Cost Amount (Actual)","41 Source Type",$C$5,"5 Source no.",$C2403,"4 Item Ledger Entry Type",$C$4,"2 Item No.","@@"&amp;$F2403,"3 Posting Date",O$9)</t>
  </si>
  <si>
    <t>=O2403-Q2403</t>
  </si>
  <si>
    <t>=IF(O2403&lt;&gt;0,R2403/O2403,"")</t>
  </si>
  <si>
    <t>=NL("Sum","5802 Value Entry","150 Sales Amount (Expected)","41 Source Type",$C$5,"5 Source No.",$C2403,"4 Item Ledger Entry Type",$C$4,"2 Item No.","@@"&amp;$F2403,"3 Posting Date",U$9)+NL("Sum","5802 Value Entry","17 Sales Amount (Actual)","41 Source Type",$C$5,"5 Source no.",$C2403,"4 Item Ledger Entry Type",$C$4,"2 Item No.","@@"&amp;$F2403,"3 Posting Date",U$9)</t>
  </si>
  <si>
    <t>=-NL("Sum","5802 Value Entry","151 Cost Amount (Expected)","41 Source Type",$C$5,"5 Source No.",$C2403,"4 Item Ledger Entry Type",$C$4,"2 Item No.","@@"&amp;$F2403,"3 Posting Date",U$9)-NL("Sum","5802 Value Entry","43 Cost Amount (Actual)","41 Source Type",$C$5,"5 Source no.",$C2403,"4 Item Ledger Entry Type",$C$4,"2 Item No.","@@"&amp;$F2403,"3 Posting Date",U$9)</t>
  </si>
  <si>
    <t>=U2403-W2403</t>
  </si>
  <si>
    <t>=IF(U2403&lt;&gt;0,X2403/U2403,"")</t>
  </si>
  <si>
    <t>=NL("Sum","5802 Value Entry","150 Sales Amount (Expected)","41 Source Type",$C$5,"5 Source No.",$C2403,"4 Item Ledger Entry Type",$C$4,"2 Item No.","@@"&amp;$F2403,"3 Posting Date",Z$9)+NL("Sum","5802 Value Entry","17 Sales Amount (Actual)","41 Source Type",$C$5,"5 Source no.",$C2403,"4 Item Ledger Entry Type",$C$4,"2 Item No.","@@"&amp;$F2403,"3 Posting Date",Z$9)</t>
  </si>
  <si>
    <t>=-NL("Sum","5802 Value Entry","151 Cost Amount (Expected)","41 Source Type",$C$5,"5 Source No.",$C2403,"4 Item Ledger Entry Type",$C$4,"2 Item No.","@@"&amp;$F2403,"3 Posting Date",Z$9)-NL("Sum","5802 Value Entry","43 Cost Amount (Actual)","41 Source Type",$C$5,"5 Source no.",$C2403,"4 Item Ledger Entry Type",$C$4,"2 Item No.","@@"&amp;$F2403,"3 Posting Date",Z$9)</t>
  </si>
  <si>
    <t>=Z2403-AB2403</t>
  </si>
  <si>
    <t>=IF(Z2403&lt;&gt;0,AC2403/Z2403,"")</t>
  </si>
  <si>
    <t>=C2404</t>
  </si>
  <si>
    <t>=J2405-L2405</t>
  </si>
  <si>
    <t>=IF(J2405&lt;&gt;0,M2405/J2405,"")</t>
  </si>
  <si>
    <t>=O2405-Q2405</t>
  </si>
  <si>
    <t>=IF(O2405&lt;&gt;0,R2405/O2405,"")</t>
  </si>
  <si>
    <t>=U2405-W2405</t>
  </si>
  <si>
    <t>=IF(U2405&lt;&gt;0,X2405/U2405,"")</t>
  </si>
  <si>
    <t>=Z2405-AB2405</t>
  </si>
  <si>
    <t>=IF(Z2405&lt;&gt;0,AC2405/Z2405,"")</t>
  </si>
  <si>
    <t>=C2407</t>
  </si>
  <si>
    <t>=C2408</t>
  </si>
  <si>
    <t>=NL("Sum","5802 Value Entry","150 Sales Amount (Expected)","41 Source Type",$C$5,"5 Source No.",$C2409,"4 Item Ledger Entry Type",$C$4,"2 Item No.","@@"&amp;$F2409,"3 Posting Date",J$9)+NL("Sum","5802 Value Entry","17 Sales Amount (Actual)","41 Source Type",$C$5,"5 Source no.",$C2409,"4 Item Ledger Entry Type",$C$4,"2 Item No.","@@"&amp;$F2409,"3 Posting Date",J$9)</t>
  </si>
  <si>
    <t>=-NL("Sum","5802 Value Entry","151 Cost Amount (Expected)","41 Source Type",$C$5,"5 Source No.",$C2409,"4 Item Ledger Entry Type",$C$4,"2 Item No.","@@"&amp;$F2409,"3 Posting Date",J$9)-NL("Sum","5802 Value Entry","43 Cost Amount (Actual)","41 Source Type",$C$5,"5 Source no.",$C2409,"4 Item Ledger Entry Type",$C$4,"2 Item No.","@@"&amp;$F2409,"3 Posting Date",J$9)</t>
  </si>
  <si>
    <t>=J2409-L2409</t>
  </si>
  <si>
    <t>=IF(J2409&lt;&gt;0,M2409/J2409,"")</t>
  </si>
  <si>
    <t>=NL("Sum","5802 Value Entry","150 Sales Amount (Expected)","41 Source Type",$C$5,"5 Source No.",$C2409,"4 Item Ledger Entry Type",$C$4,"2 Item No.","@@"&amp;$F2409,"3 Posting Date",O$9)+NL("Sum","5802 Value Entry","17 Sales Amount (Actual)","41 Source Type",$C$5,"5 Source no.",$C2409,"4 Item Ledger Entry Type",$C$4,"2 Item No.","@@"&amp;$F2409,"3 Posting Date",O$9)</t>
  </si>
  <si>
    <t>=-NL("Sum","5802 Value Entry","151 Cost Amount (Expected)","41 Source Type",$C$5,"5 Source No.",$C2409,"4 Item Ledger Entry Type",$C$4,"2 Item No.","@@"&amp;$F2409,"3 Posting Date",O$9)-NL("Sum","5802 Value Entry","43 Cost Amount (Actual)","41 Source Type",$C$5,"5 Source no.",$C2409,"4 Item Ledger Entry Type",$C$4,"2 Item No.","@@"&amp;$F2409,"3 Posting Date",O$9)</t>
  </si>
  <si>
    <t>=O2409-Q2409</t>
  </si>
  <si>
    <t>=IF(O2409&lt;&gt;0,R2409/O2409,"")</t>
  </si>
  <si>
    <t>=NL("Sum","5802 Value Entry","150 Sales Amount (Expected)","41 Source Type",$C$5,"5 Source No.",$C2409,"4 Item Ledger Entry Type",$C$4,"2 Item No.","@@"&amp;$F2409,"3 Posting Date",U$9)+NL("Sum","5802 Value Entry","17 Sales Amount (Actual)","41 Source Type",$C$5,"5 Source no.",$C2409,"4 Item Ledger Entry Type",$C$4,"2 Item No.","@@"&amp;$F2409,"3 Posting Date",U$9)</t>
  </si>
  <si>
    <t>=-NL("Sum","5802 Value Entry","151 Cost Amount (Expected)","41 Source Type",$C$5,"5 Source No.",$C2409,"4 Item Ledger Entry Type",$C$4,"2 Item No.","@@"&amp;$F2409,"3 Posting Date",U$9)-NL("Sum","5802 Value Entry","43 Cost Amount (Actual)","41 Source Type",$C$5,"5 Source no.",$C2409,"4 Item Ledger Entry Type",$C$4,"2 Item No.","@@"&amp;$F2409,"3 Posting Date",U$9)</t>
  </si>
  <si>
    <t>=U2409-W2409</t>
  </si>
  <si>
    <t>=IF(U2409&lt;&gt;0,X2409/U2409,"")</t>
  </si>
  <si>
    <t>=NL("Sum","5802 Value Entry","150 Sales Amount (Expected)","41 Source Type",$C$5,"5 Source No.",$C2409,"4 Item Ledger Entry Type",$C$4,"2 Item No.","@@"&amp;$F2409,"3 Posting Date",Z$9)+NL("Sum","5802 Value Entry","17 Sales Amount (Actual)","41 Source Type",$C$5,"5 Source no.",$C2409,"4 Item Ledger Entry Type",$C$4,"2 Item No.","@@"&amp;$F2409,"3 Posting Date",Z$9)</t>
  </si>
  <si>
    <t>=-NL("Sum","5802 Value Entry","151 Cost Amount (Expected)","41 Source Type",$C$5,"5 Source No.",$C2409,"4 Item Ledger Entry Type",$C$4,"2 Item No.","@@"&amp;$F2409,"3 Posting Date",Z$9)-NL("Sum","5802 Value Entry","43 Cost Amount (Actual)","41 Source Type",$C$5,"5 Source no.",$C2409,"4 Item Ledger Entry Type",$C$4,"2 Item No.","@@"&amp;$F2409,"3 Posting Date",Z$9)</t>
  </si>
  <si>
    <t>=Z2409-AB2409</t>
  </si>
  <si>
    <t>=IF(Z2409&lt;&gt;0,AC2409/Z2409,"")</t>
  </si>
  <si>
    <t>=C2409</t>
  </si>
  <si>
    <t>=NL("Sum","5802 Value Entry","150 Sales Amount (Expected)","41 Source Type",$C$5,"5 Source No.",$C2410,"4 Item Ledger Entry Type",$C$4,"2 Item No.","@@"&amp;$F2410,"3 Posting Date",J$9)+NL("Sum","5802 Value Entry","17 Sales Amount (Actual)","41 Source Type",$C$5,"5 Source no.",$C2410,"4 Item Ledger Entry Type",$C$4,"2 Item No.","@@"&amp;$F2410,"3 Posting Date",J$9)</t>
  </si>
  <si>
    <t>=-NL("Sum","5802 Value Entry","151 Cost Amount (Expected)","41 Source Type",$C$5,"5 Source No.",$C2410,"4 Item Ledger Entry Type",$C$4,"2 Item No.","@@"&amp;$F2410,"3 Posting Date",J$9)-NL("Sum","5802 Value Entry","43 Cost Amount (Actual)","41 Source Type",$C$5,"5 Source no.",$C2410,"4 Item Ledger Entry Type",$C$4,"2 Item No.","@@"&amp;$F2410,"3 Posting Date",J$9)</t>
  </si>
  <si>
    <t>=J2410-L2410</t>
  </si>
  <si>
    <t>=IF(J2410&lt;&gt;0,M2410/J2410,"")</t>
  </si>
  <si>
    <t>=NL("Sum","5802 Value Entry","150 Sales Amount (Expected)","41 Source Type",$C$5,"5 Source No.",$C2410,"4 Item Ledger Entry Type",$C$4,"2 Item No.","@@"&amp;$F2410,"3 Posting Date",O$9)+NL("Sum","5802 Value Entry","17 Sales Amount (Actual)","41 Source Type",$C$5,"5 Source no.",$C2410,"4 Item Ledger Entry Type",$C$4,"2 Item No.","@@"&amp;$F2410,"3 Posting Date",O$9)</t>
  </si>
  <si>
    <t>=-NL("Sum","5802 Value Entry","151 Cost Amount (Expected)","41 Source Type",$C$5,"5 Source No.",$C2410,"4 Item Ledger Entry Type",$C$4,"2 Item No.","@@"&amp;$F2410,"3 Posting Date",O$9)-NL("Sum","5802 Value Entry","43 Cost Amount (Actual)","41 Source Type",$C$5,"5 Source no.",$C2410,"4 Item Ledger Entry Type",$C$4,"2 Item No.","@@"&amp;$F2410,"3 Posting Date",O$9)</t>
  </si>
  <si>
    <t>=O2410-Q2410</t>
  </si>
  <si>
    <t>=IF(O2410&lt;&gt;0,R2410/O2410,"")</t>
  </si>
  <si>
    <t>=NL("Sum","5802 Value Entry","150 Sales Amount (Expected)","41 Source Type",$C$5,"5 Source No.",$C2410,"4 Item Ledger Entry Type",$C$4,"2 Item No.","@@"&amp;$F2410,"3 Posting Date",U$9)+NL("Sum","5802 Value Entry","17 Sales Amount (Actual)","41 Source Type",$C$5,"5 Source no.",$C2410,"4 Item Ledger Entry Type",$C$4,"2 Item No.","@@"&amp;$F2410,"3 Posting Date",U$9)</t>
  </si>
  <si>
    <t>=-NL("Sum","5802 Value Entry","151 Cost Amount (Expected)","41 Source Type",$C$5,"5 Source No.",$C2410,"4 Item Ledger Entry Type",$C$4,"2 Item No.","@@"&amp;$F2410,"3 Posting Date",U$9)-NL("Sum","5802 Value Entry","43 Cost Amount (Actual)","41 Source Type",$C$5,"5 Source no.",$C2410,"4 Item Ledger Entry Type",$C$4,"2 Item No.","@@"&amp;$F2410,"3 Posting Date",U$9)</t>
  </si>
  <si>
    <t>=U2410-W2410</t>
  </si>
  <si>
    <t>=IF(U2410&lt;&gt;0,X2410/U2410,"")</t>
  </si>
  <si>
    <t>=NL("Sum","5802 Value Entry","150 Sales Amount (Expected)","41 Source Type",$C$5,"5 Source No.",$C2410,"4 Item Ledger Entry Type",$C$4,"2 Item No.","@@"&amp;$F2410,"3 Posting Date",Z$9)+NL("Sum","5802 Value Entry","17 Sales Amount (Actual)","41 Source Type",$C$5,"5 Source no.",$C2410,"4 Item Ledger Entry Type",$C$4,"2 Item No.","@@"&amp;$F2410,"3 Posting Date",Z$9)</t>
  </si>
  <si>
    <t>=-NL("Sum","5802 Value Entry","151 Cost Amount (Expected)","41 Source Type",$C$5,"5 Source No.",$C2410,"4 Item Ledger Entry Type",$C$4,"2 Item No.","@@"&amp;$F2410,"3 Posting Date",Z$9)-NL("Sum","5802 Value Entry","43 Cost Amount (Actual)","41 Source Type",$C$5,"5 Source no.",$C2410,"4 Item Ledger Entry Type",$C$4,"2 Item No.","@@"&amp;$F2410,"3 Posting Date",Z$9)</t>
  </si>
  <si>
    <t>=Z2410-AB2410</t>
  </si>
  <si>
    <t>=IF(Z2410&lt;&gt;0,AC2410/Z2410,"")</t>
  </si>
  <si>
    <t>=C2410</t>
  </si>
  <si>
    <t>=NL("Sum","5802 Value Entry","150 Sales Amount (Expected)","41 Source Type",$C$5,"5 Source No.",$C2411,"4 Item Ledger Entry Type",$C$4,"2 Item No.","@@"&amp;$F2411,"3 Posting Date",J$9)+NL("Sum","5802 Value Entry","17 Sales Amount (Actual)","41 Source Type",$C$5,"5 Source no.",$C2411,"4 Item Ledger Entry Type",$C$4,"2 Item No.","@@"&amp;$F2411,"3 Posting Date",J$9)</t>
  </si>
  <si>
    <t>=-NL("Sum","5802 Value Entry","151 Cost Amount (Expected)","41 Source Type",$C$5,"5 Source No.",$C2411,"4 Item Ledger Entry Type",$C$4,"2 Item No.","@@"&amp;$F2411,"3 Posting Date",J$9)-NL("Sum","5802 Value Entry","43 Cost Amount (Actual)","41 Source Type",$C$5,"5 Source no.",$C2411,"4 Item Ledger Entry Type",$C$4,"2 Item No.","@@"&amp;$F2411,"3 Posting Date",J$9)</t>
  </si>
  <si>
    <t>=J2411-L2411</t>
  </si>
  <si>
    <t>=IF(J2411&lt;&gt;0,M2411/J2411,"")</t>
  </si>
  <si>
    <t>=NL("Sum","5802 Value Entry","150 Sales Amount (Expected)","41 Source Type",$C$5,"5 Source No.",$C2411,"4 Item Ledger Entry Type",$C$4,"2 Item No.","@@"&amp;$F2411,"3 Posting Date",O$9)+NL("Sum","5802 Value Entry","17 Sales Amount (Actual)","41 Source Type",$C$5,"5 Source no.",$C2411,"4 Item Ledger Entry Type",$C$4,"2 Item No.","@@"&amp;$F2411,"3 Posting Date",O$9)</t>
  </si>
  <si>
    <t>=-NL("Sum","5802 Value Entry","151 Cost Amount (Expected)","41 Source Type",$C$5,"5 Source No.",$C2411,"4 Item Ledger Entry Type",$C$4,"2 Item No.","@@"&amp;$F2411,"3 Posting Date",O$9)-NL("Sum","5802 Value Entry","43 Cost Amount (Actual)","41 Source Type",$C$5,"5 Source no.",$C2411,"4 Item Ledger Entry Type",$C$4,"2 Item No.","@@"&amp;$F2411,"3 Posting Date",O$9)</t>
  </si>
  <si>
    <t>=O2411-Q2411</t>
  </si>
  <si>
    <t>=IF(O2411&lt;&gt;0,R2411/O2411,"")</t>
  </si>
  <si>
    <t>=NL("Sum","5802 Value Entry","150 Sales Amount (Expected)","41 Source Type",$C$5,"5 Source No.",$C2411,"4 Item Ledger Entry Type",$C$4,"2 Item No.","@@"&amp;$F2411,"3 Posting Date",U$9)+NL("Sum","5802 Value Entry","17 Sales Amount (Actual)","41 Source Type",$C$5,"5 Source no.",$C2411,"4 Item Ledger Entry Type",$C$4,"2 Item No.","@@"&amp;$F2411,"3 Posting Date",U$9)</t>
  </si>
  <si>
    <t>=-NL("Sum","5802 Value Entry","151 Cost Amount (Expected)","41 Source Type",$C$5,"5 Source No.",$C2411,"4 Item Ledger Entry Type",$C$4,"2 Item No.","@@"&amp;$F2411,"3 Posting Date",U$9)-NL("Sum","5802 Value Entry","43 Cost Amount (Actual)","41 Source Type",$C$5,"5 Source no.",$C2411,"4 Item Ledger Entry Type",$C$4,"2 Item No.","@@"&amp;$F2411,"3 Posting Date",U$9)</t>
  </si>
  <si>
    <t>=U2411-W2411</t>
  </si>
  <si>
    <t>=IF(U2411&lt;&gt;0,X2411/U2411,"")</t>
  </si>
  <si>
    <t>=NL("Sum","5802 Value Entry","150 Sales Amount (Expected)","41 Source Type",$C$5,"5 Source No.",$C2411,"4 Item Ledger Entry Type",$C$4,"2 Item No.","@@"&amp;$F2411,"3 Posting Date",Z$9)+NL("Sum","5802 Value Entry","17 Sales Amount (Actual)","41 Source Type",$C$5,"5 Source no.",$C2411,"4 Item Ledger Entry Type",$C$4,"2 Item No.","@@"&amp;$F2411,"3 Posting Date",Z$9)</t>
  </si>
  <si>
    <t>=-NL("Sum","5802 Value Entry","151 Cost Amount (Expected)","41 Source Type",$C$5,"5 Source No.",$C2411,"4 Item Ledger Entry Type",$C$4,"2 Item No.","@@"&amp;$F2411,"3 Posting Date",Z$9)-NL("Sum","5802 Value Entry","43 Cost Amount (Actual)","41 Source Type",$C$5,"5 Source no.",$C2411,"4 Item Ledger Entry Type",$C$4,"2 Item No.","@@"&amp;$F2411,"3 Posting Date",Z$9)</t>
  </si>
  <si>
    <t>=Z2411-AB2411</t>
  </si>
  <si>
    <t>=IF(Z2411&lt;&gt;0,AC2411/Z2411,"")</t>
  </si>
  <si>
    <t>=C2411</t>
  </si>
  <si>
    <t>=NL("Sum","5802 Value Entry","150 Sales Amount (Expected)","41 Source Type",$C$5,"5 Source No.",$C2412,"4 Item Ledger Entry Type",$C$4,"2 Item No.","@@"&amp;$F2412,"3 Posting Date",J$9)+NL("Sum","5802 Value Entry","17 Sales Amount (Actual)","41 Source Type",$C$5,"5 Source no.",$C2412,"4 Item Ledger Entry Type",$C$4,"2 Item No.","@@"&amp;$F2412,"3 Posting Date",J$9)</t>
  </si>
  <si>
    <t>=-NL("Sum","5802 Value Entry","151 Cost Amount (Expected)","41 Source Type",$C$5,"5 Source No.",$C2412,"4 Item Ledger Entry Type",$C$4,"2 Item No.","@@"&amp;$F2412,"3 Posting Date",J$9)-NL("Sum","5802 Value Entry","43 Cost Amount (Actual)","41 Source Type",$C$5,"5 Source no.",$C2412,"4 Item Ledger Entry Type",$C$4,"2 Item No.","@@"&amp;$F2412,"3 Posting Date",J$9)</t>
  </si>
  <si>
    <t>=J2412-L2412</t>
  </si>
  <si>
    <t>=IF(J2412&lt;&gt;0,M2412/J2412,"")</t>
  </si>
  <si>
    <t>=NL("Sum","5802 Value Entry","150 Sales Amount (Expected)","41 Source Type",$C$5,"5 Source No.",$C2412,"4 Item Ledger Entry Type",$C$4,"2 Item No.","@@"&amp;$F2412,"3 Posting Date",O$9)+NL("Sum","5802 Value Entry","17 Sales Amount (Actual)","41 Source Type",$C$5,"5 Source no.",$C2412,"4 Item Ledger Entry Type",$C$4,"2 Item No.","@@"&amp;$F2412,"3 Posting Date",O$9)</t>
  </si>
  <si>
    <t>=-NL("Sum","5802 Value Entry","151 Cost Amount (Expected)","41 Source Type",$C$5,"5 Source No.",$C2412,"4 Item Ledger Entry Type",$C$4,"2 Item No.","@@"&amp;$F2412,"3 Posting Date",O$9)-NL("Sum","5802 Value Entry","43 Cost Amount (Actual)","41 Source Type",$C$5,"5 Source no.",$C2412,"4 Item Ledger Entry Type",$C$4,"2 Item No.","@@"&amp;$F2412,"3 Posting Date",O$9)</t>
  </si>
  <si>
    <t>=O2412-Q2412</t>
  </si>
  <si>
    <t>=IF(O2412&lt;&gt;0,R2412/O2412,"")</t>
  </si>
  <si>
    <t>=NL("Sum","5802 Value Entry","150 Sales Amount (Expected)","41 Source Type",$C$5,"5 Source No.",$C2412,"4 Item Ledger Entry Type",$C$4,"2 Item No.","@@"&amp;$F2412,"3 Posting Date",U$9)+NL("Sum","5802 Value Entry","17 Sales Amount (Actual)","41 Source Type",$C$5,"5 Source no.",$C2412,"4 Item Ledger Entry Type",$C$4,"2 Item No.","@@"&amp;$F2412,"3 Posting Date",U$9)</t>
  </si>
  <si>
    <t>=-NL("Sum","5802 Value Entry","151 Cost Amount (Expected)","41 Source Type",$C$5,"5 Source No.",$C2412,"4 Item Ledger Entry Type",$C$4,"2 Item No.","@@"&amp;$F2412,"3 Posting Date",U$9)-NL("Sum","5802 Value Entry","43 Cost Amount (Actual)","41 Source Type",$C$5,"5 Source no.",$C2412,"4 Item Ledger Entry Type",$C$4,"2 Item No.","@@"&amp;$F2412,"3 Posting Date",U$9)</t>
  </si>
  <si>
    <t>=U2412-W2412</t>
  </si>
  <si>
    <t>=IF(U2412&lt;&gt;0,X2412/U2412,"")</t>
  </si>
  <si>
    <t>=NL("Sum","5802 Value Entry","150 Sales Amount (Expected)","41 Source Type",$C$5,"5 Source No.",$C2412,"4 Item Ledger Entry Type",$C$4,"2 Item No.","@@"&amp;$F2412,"3 Posting Date",Z$9)+NL("Sum","5802 Value Entry","17 Sales Amount (Actual)","41 Source Type",$C$5,"5 Source no.",$C2412,"4 Item Ledger Entry Type",$C$4,"2 Item No.","@@"&amp;$F2412,"3 Posting Date",Z$9)</t>
  </si>
  <si>
    <t>=-NL("Sum","5802 Value Entry","151 Cost Amount (Expected)","41 Source Type",$C$5,"5 Source No.",$C2412,"4 Item Ledger Entry Type",$C$4,"2 Item No.","@@"&amp;$F2412,"3 Posting Date",Z$9)-NL("Sum","5802 Value Entry","43 Cost Amount (Actual)","41 Source Type",$C$5,"5 Source no.",$C2412,"4 Item Ledger Entry Type",$C$4,"2 Item No.","@@"&amp;$F2412,"3 Posting Date",Z$9)</t>
  </si>
  <si>
    <t>=Z2412-AB2412</t>
  </si>
  <si>
    <t>=IF(Z2412&lt;&gt;0,AC2412/Z2412,"")</t>
  </si>
  <si>
    <t>=C2412</t>
  </si>
  <si>
    <t>=NL("Sum","5802 Value Entry","150 Sales Amount (Expected)","41 Source Type",$C$5,"5 Source No.",$C2413,"4 Item Ledger Entry Type",$C$4,"2 Item No.","@@"&amp;$F2413,"3 Posting Date",J$9)+NL("Sum","5802 Value Entry","17 Sales Amount (Actual)","41 Source Type",$C$5,"5 Source no.",$C2413,"4 Item Ledger Entry Type",$C$4,"2 Item No.","@@"&amp;$F2413,"3 Posting Date",J$9)</t>
  </si>
  <si>
    <t>=-NL("Sum","5802 Value Entry","151 Cost Amount (Expected)","41 Source Type",$C$5,"5 Source No.",$C2413,"4 Item Ledger Entry Type",$C$4,"2 Item No.","@@"&amp;$F2413,"3 Posting Date",J$9)-NL("Sum","5802 Value Entry","43 Cost Amount (Actual)","41 Source Type",$C$5,"5 Source no.",$C2413,"4 Item Ledger Entry Type",$C$4,"2 Item No.","@@"&amp;$F2413,"3 Posting Date",J$9)</t>
  </si>
  <si>
    <t>=J2413-L2413</t>
  </si>
  <si>
    <t>=IF(J2413&lt;&gt;0,M2413/J2413,"")</t>
  </si>
  <si>
    <t>=NL("Sum","5802 Value Entry","150 Sales Amount (Expected)","41 Source Type",$C$5,"5 Source No.",$C2413,"4 Item Ledger Entry Type",$C$4,"2 Item No.","@@"&amp;$F2413,"3 Posting Date",O$9)+NL("Sum","5802 Value Entry","17 Sales Amount (Actual)","41 Source Type",$C$5,"5 Source no.",$C2413,"4 Item Ledger Entry Type",$C$4,"2 Item No.","@@"&amp;$F2413,"3 Posting Date",O$9)</t>
  </si>
  <si>
    <t>=-NL("Sum","5802 Value Entry","151 Cost Amount (Expected)","41 Source Type",$C$5,"5 Source No.",$C2413,"4 Item Ledger Entry Type",$C$4,"2 Item No.","@@"&amp;$F2413,"3 Posting Date",O$9)-NL("Sum","5802 Value Entry","43 Cost Amount (Actual)","41 Source Type",$C$5,"5 Source no.",$C2413,"4 Item Ledger Entry Type",$C$4,"2 Item No.","@@"&amp;$F2413,"3 Posting Date",O$9)</t>
  </si>
  <si>
    <t>=O2413-Q2413</t>
  </si>
  <si>
    <t>=IF(O2413&lt;&gt;0,R2413/O2413,"")</t>
  </si>
  <si>
    <t>=NL("Sum","5802 Value Entry","150 Sales Amount (Expected)","41 Source Type",$C$5,"5 Source No.",$C2413,"4 Item Ledger Entry Type",$C$4,"2 Item No.","@@"&amp;$F2413,"3 Posting Date",U$9)+NL("Sum","5802 Value Entry","17 Sales Amount (Actual)","41 Source Type",$C$5,"5 Source no.",$C2413,"4 Item Ledger Entry Type",$C$4,"2 Item No.","@@"&amp;$F2413,"3 Posting Date",U$9)</t>
  </si>
  <si>
    <t>=-NL("Sum","5802 Value Entry","151 Cost Amount (Expected)","41 Source Type",$C$5,"5 Source No.",$C2413,"4 Item Ledger Entry Type",$C$4,"2 Item No.","@@"&amp;$F2413,"3 Posting Date",U$9)-NL("Sum","5802 Value Entry","43 Cost Amount (Actual)","41 Source Type",$C$5,"5 Source no.",$C2413,"4 Item Ledger Entry Type",$C$4,"2 Item No.","@@"&amp;$F2413,"3 Posting Date",U$9)</t>
  </si>
  <si>
    <t>=U2413-W2413</t>
  </si>
  <si>
    <t>=IF(U2413&lt;&gt;0,X2413/U2413,"")</t>
  </si>
  <si>
    <t>=NL("Sum","5802 Value Entry","150 Sales Amount (Expected)","41 Source Type",$C$5,"5 Source No.",$C2413,"4 Item Ledger Entry Type",$C$4,"2 Item No.","@@"&amp;$F2413,"3 Posting Date",Z$9)+NL("Sum","5802 Value Entry","17 Sales Amount (Actual)","41 Source Type",$C$5,"5 Source no.",$C2413,"4 Item Ledger Entry Type",$C$4,"2 Item No.","@@"&amp;$F2413,"3 Posting Date",Z$9)</t>
  </si>
  <si>
    <t>=-NL("Sum","5802 Value Entry","151 Cost Amount (Expected)","41 Source Type",$C$5,"5 Source No.",$C2413,"4 Item Ledger Entry Type",$C$4,"2 Item No.","@@"&amp;$F2413,"3 Posting Date",Z$9)-NL("Sum","5802 Value Entry","43 Cost Amount (Actual)","41 Source Type",$C$5,"5 Source no.",$C2413,"4 Item Ledger Entry Type",$C$4,"2 Item No.","@@"&amp;$F2413,"3 Posting Date",Z$9)</t>
  </si>
  <si>
    <t>=Z2413-AB2413</t>
  </si>
  <si>
    <t>=IF(Z2413&lt;&gt;0,AC2413/Z2413,"")</t>
  </si>
  <si>
    <t>=C2413</t>
  </si>
  <si>
    <t>=NL("Sum","5802 Value Entry","150 Sales Amount (Expected)","41 Source Type",$C$5,"5 Source No.",$C2414,"4 Item Ledger Entry Type",$C$4,"2 Item No.","@@"&amp;$F2414,"3 Posting Date",J$9)+NL("Sum","5802 Value Entry","17 Sales Amount (Actual)","41 Source Type",$C$5,"5 Source no.",$C2414,"4 Item Ledger Entry Type",$C$4,"2 Item No.","@@"&amp;$F2414,"3 Posting Date",J$9)</t>
  </si>
  <si>
    <t>=-NL("Sum","5802 Value Entry","151 Cost Amount (Expected)","41 Source Type",$C$5,"5 Source No.",$C2414,"4 Item Ledger Entry Type",$C$4,"2 Item No.","@@"&amp;$F2414,"3 Posting Date",J$9)-NL("Sum","5802 Value Entry","43 Cost Amount (Actual)","41 Source Type",$C$5,"5 Source no.",$C2414,"4 Item Ledger Entry Type",$C$4,"2 Item No.","@@"&amp;$F2414,"3 Posting Date",J$9)</t>
  </si>
  <si>
    <t>=J2414-L2414</t>
  </si>
  <si>
    <t>=IF(J2414&lt;&gt;0,M2414/J2414,"")</t>
  </si>
  <si>
    <t>=NL("Sum","5802 Value Entry","150 Sales Amount (Expected)","41 Source Type",$C$5,"5 Source No.",$C2414,"4 Item Ledger Entry Type",$C$4,"2 Item No.","@@"&amp;$F2414,"3 Posting Date",O$9)+NL("Sum","5802 Value Entry","17 Sales Amount (Actual)","41 Source Type",$C$5,"5 Source no.",$C2414,"4 Item Ledger Entry Type",$C$4,"2 Item No.","@@"&amp;$F2414,"3 Posting Date",O$9)</t>
  </si>
  <si>
    <t>=-NL("Sum","5802 Value Entry","151 Cost Amount (Expected)","41 Source Type",$C$5,"5 Source No.",$C2414,"4 Item Ledger Entry Type",$C$4,"2 Item No.","@@"&amp;$F2414,"3 Posting Date",O$9)-NL("Sum","5802 Value Entry","43 Cost Amount (Actual)","41 Source Type",$C$5,"5 Source no.",$C2414,"4 Item Ledger Entry Type",$C$4,"2 Item No.","@@"&amp;$F2414,"3 Posting Date",O$9)</t>
  </si>
  <si>
    <t>=O2414-Q2414</t>
  </si>
  <si>
    <t>=IF(O2414&lt;&gt;0,R2414/O2414,"")</t>
  </si>
  <si>
    <t>=NL("Sum","5802 Value Entry","150 Sales Amount (Expected)","41 Source Type",$C$5,"5 Source No.",$C2414,"4 Item Ledger Entry Type",$C$4,"2 Item No.","@@"&amp;$F2414,"3 Posting Date",U$9)+NL("Sum","5802 Value Entry","17 Sales Amount (Actual)","41 Source Type",$C$5,"5 Source no.",$C2414,"4 Item Ledger Entry Type",$C$4,"2 Item No.","@@"&amp;$F2414,"3 Posting Date",U$9)</t>
  </si>
  <si>
    <t>=-NL("Sum","5802 Value Entry","151 Cost Amount (Expected)","41 Source Type",$C$5,"5 Source No.",$C2414,"4 Item Ledger Entry Type",$C$4,"2 Item No.","@@"&amp;$F2414,"3 Posting Date",U$9)-NL("Sum","5802 Value Entry","43 Cost Amount (Actual)","41 Source Type",$C$5,"5 Source no.",$C2414,"4 Item Ledger Entry Type",$C$4,"2 Item No.","@@"&amp;$F2414,"3 Posting Date",U$9)</t>
  </si>
  <si>
    <t>=U2414-W2414</t>
  </si>
  <si>
    <t>=IF(U2414&lt;&gt;0,X2414/U2414,"")</t>
  </si>
  <si>
    <t>=NL("Sum","5802 Value Entry","150 Sales Amount (Expected)","41 Source Type",$C$5,"5 Source No.",$C2414,"4 Item Ledger Entry Type",$C$4,"2 Item No.","@@"&amp;$F2414,"3 Posting Date",Z$9)+NL("Sum","5802 Value Entry","17 Sales Amount (Actual)","41 Source Type",$C$5,"5 Source no.",$C2414,"4 Item Ledger Entry Type",$C$4,"2 Item No.","@@"&amp;$F2414,"3 Posting Date",Z$9)</t>
  </si>
  <si>
    <t>=-NL("Sum","5802 Value Entry","151 Cost Amount (Expected)","41 Source Type",$C$5,"5 Source No.",$C2414,"4 Item Ledger Entry Type",$C$4,"2 Item No.","@@"&amp;$F2414,"3 Posting Date",Z$9)-NL("Sum","5802 Value Entry","43 Cost Amount (Actual)","41 Source Type",$C$5,"5 Source no.",$C2414,"4 Item Ledger Entry Type",$C$4,"2 Item No.","@@"&amp;$F2414,"3 Posting Date",Z$9)</t>
  </si>
  <si>
    <t>=Z2414-AB2414</t>
  </si>
  <si>
    <t>=IF(Z2414&lt;&gt;0,AC2414/Z2414,"")</t>
  </si>
  <si>
    <t>=C2414</t>
  </si>
  <si>
    <t>=NL("Sum","5802 Value Entry","150 Sales Amount (Expected)","41 Source Type",$C$5,"5 Source No.",$C2415,"4 Item Ledger Entry Type",$C$4,"2 Item No.","@@"&amp;$F2415,"3 Posting Date",J$9)+NL("Sum","5802 Value Entry","17 Sales Amount (Actual)","41 Source Type",$C$5,"5 Source no.",$C2415,"4 Item Ledger Entry Type",$C$4,"2 Item No.","@@"&amp;$F2415,"3 Posting Date",J$9)</t>
  </si>
  <si>
    <t>=-NL("Sum","5802 Value Entry","151 Cost Amount (Expected)","41 Source Type",$C$5,"5 Source No.",$C2415,"4 Item Ledger Entry Type",$C$4,"2 Item No.","@@"&amp;$F2415,"3 Posting Date",J$9)-NL("Sum","5802 Value Entry","43 Cost Amount (Actual)","41 Source Type",$C$5,"5 Source no.",$C2415,"4 Item Ledger Entry Type",$C$4,"2 Item No.","@@"&amp;$F2415,"3 Posting Date",J$9)</t>
  </si>
  <si>
    <t>=J2415-L2415</t>
  </si>
  <si>
    <t>=IF(J2415&lt;&gt;0,M2415/J2415,"")</t>
  </si>
  <si>
    <t>=NL("Sum","5802 Value Entry","150 Sales Amount (Expected)","41 Source Type",$C$5,"5 Source No.",$C2415,"4 Item Ledger Entry Type",$C$4,"2 Item No.","@@"&amp;$F2415,"3 Posting Date",O$9)+NL("Sum","5802 Value Entry","17 Sales Amount (Actual)","41 Source Type",$C$5,"5 Source no.",$C2415,"4 Item Ledger Entry Type",$C$4,"2 Item No.","@@"&amp;$F2415,"3 Posting Date",O$9)</t>
  </si>
  <si>
    <t>=-NL("Sum","5802 Value Entry","151 Cost Amount (Expected)","41 Source Type",$C$5,"5 Source No.",$C2415,"4 Item Ledger Entry Type",$C$4,"2 Item No.","@@"&amp;$F2415,"3 Posting Date",O$9)-NL("Sum","5802 Value Entry","43 Cost Amount (Actual)","41 Source Type",$C$5,"5 Source no.",$C2415,"4 Item Ledger Entry Type",$C$4,"2 Item No.","@@"&amp;$F2415,"3 Posting Date",O$9)</t>
  </si>
  <si>
    <t>=O2415-Q2415</t>
  </si>
  <si>
    <t>=IF(O2415&lt;&gt;0,R2415/O2415,"")</t>
  </si>
  <si>
    <t>=NL("Sum","5802 Value Entry","150 Sales Amount (Expected)","41 Source Type",$C$5,"5 Source No.",$C2415,"4 Item Ledger Entry Type",$C$4,"2 Item No.","@@"&amp;$F2415,"3 Posting Date",U$9)+NL("Sum","5802 Value Entry","17 Sales Amount (Actual)","41 Source Type",$C$5,"5 Source no.",$C2415,"4 Item Ledger Entry Type",$C$4,"2 Item No.","@@"&amp;$F2415,"3 Posting Date",U$9)</t>
  </si>
  <si>
    <t>=-NL("Sum","5802 Value Entry","151 Cost Amount (Expected)","41 Source Type",$C$5,"5 Source No.",$C2415,"4 Item Ledger Entry Type",$C$4,"2 Item No.","@@"&amp;$F2415,"3 Posting Date",U$9)-NL("Sum","5802 Value Entry","43 Cost Amount (Actual)","41 Source Type",$C$5,"5 Source no.",$C2415,"4 Item Ledger Entry Type",$C$4,"2 Item No.","@@"&amp;$F2415,"3 Posting Date",U$9)</t>
  </si>
  <si>
    <t>=U2415-W2415</t>
  </si>
  <si>
    <t>=IF(U2415&lt;&gt;0,X2415/U2415,"")</t>
  </si>
  <si>
    <t>=NL("Sum","5802 Value Entry","150 Sales Amount (Expected)","41 Source Type",$C$5,"5 Source No.",$C2415,"4 Item Ledger Entry Type",$C$4,"2 Item No.","@@"&amp;$F2415,"3 Posting Date",Z$9)+NL("Sum","5802 Value Entry","17 Sales Amount (Actual)","41 Source Type",$C$5,"5 Source no.",$C2415,"4 Item Ledger Entry Type",$C$4,"2 Item No.","@@"&amp;$F2415,"3 Posting Date",Z$9)</t>
  </si>
  <si>
    <t>=-NL("Sum","5802 Value Entry","151 Cost Amount (Expected)","41 Source Type",$C$5,"5 Source No.",$C2415,"4 Item Ledger Entry Type",$C$4,"2 Item No.","@@"&amp;$F2415,"3 Posting Date",Z$9)-NL("Sum","5802 Value Entry","43 Cost Amount (Actual)","41 Source Type",$C$5,"5 Source no.",$C2415,"4 Item Ledger Entry Type",$C$4,"2 Item No.","@@"&amp;$F2415,"3 Posting Date",Z$9)</t>
  </si>
  <si>
    <t>=Z2415-AB2415</t>
  </si>
  <si>
    <t>=IF(Z2415&lt;&gt;0,AC2415/Z2415,"")</t>
  </si>
  <si>
    <t>=C2415</t>
  </si>
  <si>
    <t>=NL("Sum","5802 Value Entry","150 Sales Amount (Expected)","41 Source Type",$C$5,"5 Source No.",$C2416,"4 Item Ledger Entry Type",$C$4,"2 Item No.","@@"&amp;$F2416,"3 Posting Date",J$9)+NL("Sum","5802 Value Entry","17 Sales Amount (Actual)","41 Source Type",$C$5,"5 Source no.",$C2416,"4 Item Ledger Entry Type",$C$4,"2 Item No.","@@"&amp;$F2416,"3 Posting Date",J$9)</t>
  </si>
  <si>
    <t>=-NL("Sum","5802 Value Entry","151 Cost Amount (Expected)","41 Source Type",$C$5,"5 Source No.",$C2416,"4 Item Ledger Entry Type",$C$4,"2 Item No.","@@"&amp;$F2416,"3 Posting Date",J$9)-NL("Sum","5802 Value Entry","43 Cost Amount (Actual)","41 Source Type",$C$5,"5 Source no.",$C2416,"4 Item Ledger Entry Type",$C$4,"2 Item No.","@@"&amp;$F2416,"3 Posting Date",J$9)</t>
  </si>
  <si>
    <t>=J2416-L2416</t>
  </si>
  <si>
    <t>=IF(J2416&lt;&gt;0,M2416/J2416,"")</t>
  </si>
  <si>
    <t>=NL("Sum","5802 Value Entry","150 Sales Amount (Expected)","41 Source Type",$C$5,"5 Source No.",$C2416,"4 Item Ledger Entry Type",$C$4,"2 Item No.","@@"&amp;$F2416,"3 Posting Date",O$9)+NL("Sum","5802 Value Entry","17 Sales Amount (Actual)","41 Source Type",$C$5,"5 Source no.",$C2416,"4 Item Ledger Entry Type",$C$4,"2 Item No.","@@"&amp;$F2416,"3 Posting Date",O$9)</t>
  </si>
  <si>
    <t>=-NL("Sum","5802 Value Entry","151 Cost Amount (Expected)","41 Source Type",$C$5,"5 Source No.",$C2416,"4 Item Ledger Entry Type",$C$4,"2 Item No.","@@"&amp;$F2416,"3 Posting Date",O$9)-NL("Sum","5802 Value Entry","43 Cost Amount (Actual)","41 Source Type",$C$5,"5 Source no.",$C2416,"4 Item Ledger Entry Type",$C$4,"2 Item No.","@@"&amp;$F2416,"3 Posting Date",O$9)</t>
  </si>
  <si>
    <t>=O2416-Q2416</t>
  </si>
  <si>
    <t>=IF(O2416&lt;&gt;0,R2416/O2416,"")</t>
  </si>
  <si>
    <t>=NL("Sum","5802 Value Entry","150 Sales Amount (Expected)","41 Source Type",$C$5,"5 Source No.",$C2416,"4 Item Ledger Entry Type",$C$4,"2 Item No.","@@"&amp;$F2416,"3 Posting Date",U$9)+NL("Sum","5802 Value Entry","17 Sales Amount (Actual)","41 Source Type",$C$5,"5 Source no.",$C2416,"4 Item Ledger Entry Type",$C$4,"2 Item No.","@@"&amp;$F2416,"3 Posting Date",U$9)</t>
  </si>
  <si>
    <t>=-NL("Sum","5802 Value Entry","151 Cost Amount (Expected)","41 Source Type",$C$5,"5 Source No.",$C2416,"4 Item Ledger Entry Type",$C$4,"2 Item No.","@@"&amp;$F2416,"3 Posting Date",U$9)-NL("Sum","5802 Value Entry","43 Cost Amount (Actual)","41 Source Type",$C$5,"5 Source no.",$C2416,"4 Item Ledger Entry Type",$C$4,"2 Item No.","@@"&amp;$F2416,"3 Posting Date",U$9)</t>
  </si>
  <si>
    <t>=U2416-W2416</t>
  </si>
  <si>
    <t>=IF(U2416&lt;&gt;0,X2416/U2416,"")</t>
  </si>
  <si>
    <t>=NL("Sum","5802 Value Entry","150 Sales Amount (Expected)","41 Source Type",$C$5,"5 Source No.",$C2416,"4 Item Ledger Entry Type",$C$4,"2 Item No.","@@"&amp;$F2416,"3 Posting Date",Z$9)+NL("Sum","5802 Value Entry","17 Sales Amount (Actual)","41 Source Type",$C$5,"5 Source no.",$C2416,"4 Item Ledger Entry Type",$C$4,"2 Item No.","@@"&amp;$F2416,"3 Posting Date",Z$9)</t>
  </si>
  <si>
    <t>=-NL("Sum","5802 Value Entry","151 Cost Amount (Expected)","41 Source Type",$C$5,"5 Source No.",$C2416,"4 Item Ledger Entry Type",$C$4,"2 Item No.","@@"&amp;$F2416,"3 Posting Date",Z$9)-NL("Sum","5802 Value Entry","43 Cost Amount (Actual)","41 Source Type",$C$5,"5 Source no.",$C2416,"4 Item Ledger Entry Type",$C$4,"2 Item No.","@@"&amp;$F2416,"3 Posting Date",Z$9)</t>
  </si>
  <si>
    <t>=Z2416-AB2416</t>
  </si>
  <si>
    <t>=IF(Z2416&lt;&gt;0,AC2416/Z2416,"")</t>
  </si>
  <si>
    <t>=C2416</t>
  </si>
  <si>
    <t>=NL("Sum","5802 Value Entry","150 Sales Amount (Expected)","41 Source Type",$C$5,"5 Source No.",$C2417,"4 Item Ledger Entry Type",$C$4,"2 Item No.","@@"&amp;$F2417,"3 Posting Date",J$9)+NL("Sum","5802 Value Entry","17 Sales Amount (Actual)","41 Source Type",$C$5,"5 Source no.",$C2417,"4 Item Ledger Entry Type",$C$4,"2 Item No.","@@"&amp;$F2417,"3 Posting Date",J$9)</t>
  </si>
  <si>
    <t>=-NL("Sum","5802 Value Entry","151 Cost Amount (Expected)","41 Source Type",$C$5,"5 Source No.",$C2417,"4 Item Ledger Entry Type",$C$4,"2 Item No.","@@"&amp;$F2417,"3 Posting Date",J$9)-NL("Sum","5802 Value Entry","43 Cost Amount (Actual)","41 Source Type",$C$5,"5 Source no.",$C2417,"4 Item Ledger Entry Type",$C$4,"2 Item No.","@@"&amp;$F2417,"3 Posting Date",J$9)</t>
  </si>
  <si>
    <t>=J2417-L2417</t>
  </si>
  <si>
    <t>=IF(J2417&lt;&gt;0,M2417/J2417,"")</t>
  </si>
  <si>
    <t>=NL("Sum","5802 Value Entry","150 Sales Amount (Expected)","41 Source Type",$C$5,"5 Source No.",$C2417,"4 Item Ledger Entry Type",$C$4,"2 Item No.","@@"&amp;$F2417,"3 Posting Date",O$9)+NL("Sum","5802 Value Entry","17 Sales Amount (Actual)","41 Source Type",$C$5,"5 Source no.",$C2417,"4 Item Ledger Entry Type",$C$4,"2 Item No.","@@"&amp;$F2417,"3 Posting Date",O$9)</t>
  </si>
  <si>
    <t>=-NL("Sum","5802 Value Entry","151 Cost Amount (Expected)","41 Source Type",$C$5,"5 Source No.",$C2417,"4 Item Ledger Entry Type",$C$4,"2 Item No.","@@"&amp;$F2417,"3 Posting Date",O$9)-NL("Sum","5802 Value Entry","43 Cost Amount (Actual)","41 Source Type",$C$5,"5 Source no.",$C2417,"4 Item Ledger Entry Type",$C$4,"2 Item No.","@@"&amp;$F2417,"3 Posting Date",O$9)</t>
  </si>
  <si>
    <t>=O2417-Q2417</t>
  </si>
  <si>
    <t>=IF(O2417&lt;&gt;0,R2417/O2417,"")</t>
  </si>
  <si>
    <t>=NL("Sum","5802 Value Entry","150 Sales Amount (Expected)","41 Source Type",$C$5,"5 Source No.",$C2417,"4 Item Ledger Entry Type",$C$4,"2 Item No.","@@"&amp;$F2417,"3 Posting Date",U$9)+NL("Sum","5802 Value Entry","17 Sales Amount (Actual)","41 Source Type",$C$5,"5 Source no.",$C2417,"4 Item Ledger Entry Type",$C$4,"2 Item No.","@@"&amp;$F2417,"3 Posting Date",U$9)</t>
  </si>
  <si>
    <t>=-NL("Sum","5802 Value Entry","151 Cost Amount (Expected)","41 Source Type",$C$5,"5 Source No.",$C2417,"4 Item Ledger Entry Type",$C$4,"2 Item No.","@@"&amp;$F2417,"3 Posting Date",U$9)-NL("Sum","5802 Value Entry","43 Cost Amount (Actual)","41 Source Type",$C$5,"5 Source no.",$C2417,"4 Item Ledger Entry Type",$C$4,"2 Item No.","@@"&amp;$F2417,"3 Posting Date",U$9)</t>
  </si>
  <si>
    <t>=U2417-W2417</t>
  </si>
  <si>
    <t>=IF(U2417&lt;&gt;0,X2417/U2417,"")</t>
  </si>
  <si>
    <t>=NL("Sum","5802 Value Entry","150 Sales Amount (Expected)","41 Source Type",$C$5,"5 Source No.",$C2417,"4 Item Ledger Entry Type",$C$4,"2 Item No.","@@"&amp;$F2417,"3 Posting Date",Z$9)+NL("Sum","5802 Value Entry","17 Sales Amount (Actual)","41 Source Type",$C$5,"5 Source no.",$C2417,"4 Item Ledger Entry Type",$C$4,"2 Item No.","@@"&amp;$F2417,"3 Posting Date",Z$9)</t>
  </si>
  <si>
    <t>=-NL("Sum","5802 Value Entry","151 Cost Amount (Expected)","41 Source Type",$C$5,"5 Source No.",$C2417,"4 Item Ledger Entry Type",$C$4,"2 Item No.","@@"&amp;$F2417,"3 Posting Date",Z$9)-NL("Sum","5802 Value Entry","43 Cost Amount (Actual)","41 Source Type",$C$5,"5 Source no.",$C2417,"4 Item Ledger Entry Type",$C$4,"2 Item No.","@@"&amp;$F2417,"3 Posting Date",Z$9)</t>
  </si>
  <si>
    <t>=Z2417-AB2417</t>
  </si>
  <si>
    <t>=IF(Z2417&lt;&gt;0,AC2417/Z2417,"")</t>
  </si>
  <si>
    <t>=C2417</t>
  </si>
  <si>
    <t>=NL("Sum","5802 Value Entry","150 Sales Amount (Expected)","41 Source Type",$C$5,"5 Source No.",$C2418,"4 Item Ledger Entry Type",$C$4,"2 Item No.","@@"&amp;$F2418,"3 Posting Date",J$9)+NL("Sum","5802 Value Entry","17 Sales Amount (Actual)","41 Source Type",$C$5,"5 Source no.",$C2418,"4 Item Ledger Entry Type",$C$4,"2 Item No.","@@"&amp;$F2418,"3 Posting Date",J$9)</t>
  </si>
  <si>
    <t>=-NL("Sum","5802 Value Entry","151 Cost Amount (Expected)","41 Source Type",$C$5,"5 Source No.",$C2418,"4 Item Ledger Entry Type",$C$4,"2 Item No.","@@"&amp;$F2418,"3 Posting Date",J$9)-NL("Sum","5802 Value Entry","43 Cost Amount (Actual)","41 Source Type",$C$5,"5 Source no.",$C2418,"4 Item Ledger Entry Type",$C$4,"2 Item No.","@@"&amp;$F2418,"3 Posting Date",J$9)</t>
  </si>
  <si>
    <t>=J2418-L2418</t>
  </si>
  <si>
    <t>=IF(J2418&lt;&gt;0,M2418/J2418,"")</t>
  </si>
  <si>
    <t>=NL("Sum","5802 Value Entry","150 Sales Amount (Expected)","41 Source Type",$C$5,"5 Source No.",$C2418,"4 Item Ledger Entry Type",$C$4,"2 Item No.","@@"&amp;$F2418,"3 Posting Date",O$9)+NL("Sum","5802 Value Entry","17 Sales Amount (Actual)","41 Source Type",$C$5,"5 Source no.",$C2418,"4 Item Ledger Entry Type",$C$4,"2 Item No.","@@"&amp;$F2418,"3 Posting Date",O$9)</t>
  </si>
  <si>
    <t>=-NL("Sum","5802 Value Entry","151 Cost Amount (Expected)","41 Source Type",$C$5,"5 Source No.",$C2418,"4 Item Ledger Entry Type",$C$4,"2 Item No.","@@"&amp;$F2418,"3 Posting Date",O$9)-NL("Sum","5802 Value Entry","43 Cost Amount (Actual)","41 Source Type",$C$5,"5 Source no.",$C2418,"4 Item Ledger Entry Type",$C$4,"2 Item No.","@@"&amp;$F2418,"3 Posting Date",O$9)</t>
  </si>
  <si>
    <t>=O2418-Q2418</t>
  </si>
  <si>
    <t>=IF(O2418&lt;&gt;0,R2418/O2418,"")</t>
  </si>
  <si>
    <t>=NL("Sum","5802 Value Entry","150 Sales Amount (Expected)","41 Source Type",$C$5,"5 Source No.",$C2418,"4 Item Ledger Entry Type",$C$4,"2 Item No.","@@"&amp;$F2418,"3 Posting Date",U$9)+NL("Sum","5802 Value Entry","17 Sales Amount (Actual)","41 Source Type",$C$5,"5 Source no.",$C2418,"4 Item Ledger Entry Type",$C$4,"2 Item No.","@@"&amp;$F2418,"3 Posting Date",U$9)</t>
  </si>
  <si>
    <t>=-NL("Sum","5802 Value Entry","151 Cost Amount (Expected)","41 Source Type",$C$5,"5 Source No.",$C2418,"4 Item Ledger Entry Type",$C$4,"2 Item No.","@@"&amp;$F2418,"3 Posting Date",U$9)-NL("Sum","5802 Value Entry","43 Cost Amount (Actual)","41 Source Type",$C$5,"5 Source no.",$C2418,"4 Item Ledger Entry Type",$C$4,"2 Item No.","@@"&amp;$F2418,"3 Posting Date",U$9)</t>
  </si>
  <si>
    <t>=U2418-W2418</t>
  </si>
  <si>
    <t>=IF(U2418&lt;&gt;0,X2418/U2418,"")</t>
  </si>
  <si>
    <t>=NL("Sum","5802 Value Entry","150 Sales Amount (Expected)","41 Source Type",$C$5,"5 Source No.",$C2418,"4 Item Ledger Entry Type",$C$4,"2 Item No.","@@"&amp;$F2418,"3 Posting Date",Z$9)+NL("Sum","5802 Value Entry","17 Sales Amount (Actual)","41 Source Type",$C$5,"5 Source no.",$C2418,"4 Item Ledger Entry Type",$C$4,"2 Item No.","@@"&amp;$F2418,"3 Posting Date",Z$9)</t>
  </si>
  <si>
    <t>=-NL("Sum","5802 Value Entry","151 Cost Amount (Expected)","41 Source Type",$C$5,"5 Source No.",$C2418,"4 Item Ledger Entry Type",$C$4,"2 Item No.","@@"&amp;$F2418,"3 Posting Date",Z$9)-NL("Sum","5802 Value Entry","43 Cost Amount (Actual)","41 Source Type",$C$5,"5 Source no.",$C2418,"4 Item Ledger Entry Type",$C$4,"2 Item No.","@@"&amp;$F2418,"3 Posting Date",Z$9)</t>
  </si>
  <si>
    <t>=Z2418-AB2418</t>
  </si>
  <si>
    <t>=IF(Z2418&lt;&gt;0,AC2418/Z2418,"")</t>
  </si>
  <si>
    <t>=C2418</t>
  </si>
  <si>
    <t>=NL("Sum","5802 Value Entry","150 Sales Amount (Expected)","41 Source Type",$C$5,"5 Source No.",$C2419,"4 Item Ledger Entry Type",$C$4,"2 Item No.","@@"&amp;$F2419,"3 Posting Date",J$9)+NL("Sum","5802 Value Entry","17 Sales Amount (Actual)","41 Source Type",$C$5,"5 Source no.",$C2419,"4 Item Ledger Entry Type",$C$4,"2 Item No.","@@"&amp;$F2419,"3 Posting Date",J$9)</t>
  </si>
  <si>
    <t>=-NL("Sum","5802 Value Entry","151 Cost Amount (Expected)","41 Source Type",$C$5,"5 Source No.",$C2419,"4 Item Ledger Entry Type",$C$4,"2 Item No.","@@"&amp;$F2419,"3 Posting Date",J$9)-NL("Sum","5802 Value Entry","43 Cost Amount (Actual)","41 Source Type",$C$5,"5 Source no.",$C2419,"4 Item Ledger Entry Type",$C$4,"2 Item No.","@@"&amp;$F2419,"3 Posting Date",J$9)</t>
  </si>
  <si>
    <t>=J2419-L2419</t>
  </si>
  <si>
    <t>=IF(J2419&lt;&gt;0,M2419/J2419,"")</t>
  </si>
  <si>
    <t>=NL("Sum","5802 Value Entry","150 Sales Amount (Expected)","41 Source Type",$C$5,"5 Source No.",$C2419,"4 Item Ledger Entry Type",$C$4,"2 Item No.","@@"&amp;$F2419,"3 Posting Date",O$9)+NL("Sum","5802 Value Entry","17 Sales Amount (Actual)","41 Source Type",$C$5,"5 Source no.",$C2419,"4 Item Ledger Entry Type",$C$4,"2 Item No.","@@"&amp;$F2419,"3 Posting Date",O$9)</t>
  </si>
  <si>
    <t>=-NL("Sum","5802 Value Entry","151 Cost Amount (Expected)","41 Source Type",$C$5,"5 Source No.",$C2419,"4 Item Ledger Entry Type",$C$4,"2 Item No.","@@"&amp;$F2419,"3 Posting Date",O$9)-NL("Sum","5802 Value Entry","43 Cost Amount (Actual)","41 Source Type",$C$5,"5 Source no.",$C2419,"4 Item Ledger Entry Type",$C$4,"2 Item No.","@@"&amp;$F2419,"3 Posting Date",O$9)</t>
  </si>
  <si>
    <t>=O2419-Q2419</t>
  </si>
  <si>
    <t>=IF(O2419&lt;&gt;0,R2419/O2419,"")</t>
  </si>
  <si>
    <t>=NL("Sum","5802 Value Entry","150 Sales Amount (Expected)","41 Source Type",$C$5,"5 Source No.",$C2419,"4 Item Ledger Entry Type",$C$4,"2 Item No.","@@"&amp;$F2419,"3 Posting Date",U$9)+NL("Sum","5802 Value Entry","17 Sales Amount (Actual)","41 Source Type",$C$5,"5 Source no.",$C2419,"4 Item Ledger Entry Type",$C$4,"2 Item No.","@@"&amp;$F2419,"3 Posting Date",U$9)</t>
  </si>
  <si>
    <t>=-NL("Sum","5802 Value Entry","151 Cost Amount (Expected)","41 Source Type",$C$5,"5 Source No.",$C2419,"4 Item Ledger Entry Type",$C$4,"2 Item No.","@@"&amp;$F2419,"3 Posting Date",U$9)-NL("Sum","5802 Value Entry","43 Cost Amount (Actual)","41 Source Type",$C$5,"5 Source no.",$C2419,"4 Item Ledger Entry Type",$C$4,"2 Item No.","@@"&amp;$F2419,"3 Posting Date",U$9)</t>
  </si>
  <si>
    <t>=U2419-W2419</t>
  </si>
  <si>
    <t>=IF(U2419&lt;&gt;0,X2419/U2419,"")</t>
  </si>
  <si>
    <t>=NL("Sum","5802 Value Entry","150 Sales Amount (Expected)","41 Source Type",$C$5,"5 Source No.",$C2419,"4 Item Ledger Entry Type",$C$4,"2 Item No.","@@"&amp;$F2419,"3 Posting Date",Z$9)+NL("Sum","5802 Value Entry","17 Sales Amount (Actual)","41 Source Type",$C$5,"5 Source no.",$C2419,"4 Item Ledger Entry Type",$C$4,"2 Item No.","@@"&amp;$F2419,"3 Posting Date",Z$9)</t>
  </si>
  <si>
    <t>=-NL("Sum","5802 Value Entry","151 Cost Amount (Expected)","41 Source Type",$C$5,"5 Source No.",$C2419,"4 Item Ledger Entry Type",$C$4,"2 Item No.","@@"&amp;$F2419,"3 Posting Date",Z$9)-NL("Sum","5802 Value Entry","43 Cost Amount (Actual)","41 Source Type",$C$5,"5 Source no.",$C2419,"4 Item Ledger Entry Type",$C$4,"2 Item No.","@@"&amp;$F2419,"3 Posting Date",Z$9)</t>
  </si>
  <si>
    <t>=Z2419-AB2419</t>
  </si>
  <si>
    <t>=IF(Z2419&lt;&gt;0,AC2419/Z2419,"")</t>
  </si>
  <si>
    <t>=C2419</t>
  </si>
  <si>
    <t>=NL("Sum","5802 Value Entry","150 Sales Amount (Expected)","41 Source Type",$C$5,"5 Source No.",$C2420,"4 Item Ledger Entry Type",$C$4,"2 Item No.","@@"&amp;$F2420,"3 Posting Date",J$9)+NL("Sum","5802 Value Entry","17 Sales Amount (Actual)","41 Source Type",$C$5,"5 Source no.",$C2420,"4 Item Ledger Entry Type",$C$4,"2 Item No.","@@"&amp;$F2420,"3 Posting Date",J$9)</t>
  </si>
  <si>
    <t>=-NL("Sum","5802 Value Entry","151 Cost Amount (Expected)","41 Source Type",$C$5,"5 Source No.",$C2420,"4 Item Ledger Entry Type",$C$4,"2 Item No.","@@"&amp;$F2420,"3 Posting Date",J$9)-NL("Sum","5802 Value Entry","43 Cost Amount (Actual)","41 Source Type",$C$5,"5 Source no.",$C2420,"4 Item Ledger Entry Type",$C$4,"2 Item No.","@@"&amp;$F2420,"3 Posting Date",J$9)</t>
  </si>
  <si>
    <t>=J2420-L2420</t>
  </si>
  <si>
    <t>=IF(J2420&lt;&gt;0,M2420/J2420,"")</t>
  </si>
  <si>
    <t>=NL("Sum","5802 Value Entry","150 Sales Amount (Expected)","41 Source Type",$C$5,"5 Source No.",$C2420,"4 Item Ledger Entry Type",$C$4,"2 Item No.","@@"&amp;$F2420,"3 Posting Date",O$9)+NL("Sum","5802 Value Entry","17 Sales Amount (Actual)","41 Source Type",$C$5,"5 Source no.",$C2420,"4 Item Ledger Entry Type",$C$4,"2 Item No.","@@"&amp;$F2420,"3 Posting Date",O$9)</t>
  </si>
  <si>
    <t>=-NL("Sum","5802 Value Entry","151 Cost Amount (Expected)","41 Source Type",$C$5,"5 Source No.",$C2420,"4 Item Ledger Entry Type",$C$4,"2 Item No.","@@"&amp;$F2420,"3 Posting Date",O$9)-NL("Sum","5802 Value Entry","43 Cost Amount (Actual)","41 Source Type",$C$5,"5 Source no.",$C2420,"4 Item Ledger Entry Type",$C$4,"2 Item No.","@@"&amp;$F2420,"3 Posting Date",O$9)</t>
  </si>
  <si>
    <t>=O2420-Q2420</t>
  </si>
  <si>
    <t>=IF(O2420&lt;&gt;0,R2420/O2420,"")</t>
  </si>
  <si>
    <t>=NL("Sum","5802 Value Entry","150 Sales Amount (Expected)","41 Source Type",$C$5,"5 Source No.",$C2420,"4 Item Ledger Entry Type",$C$4,"2 Item No.","@@"&amp;$F2420,"3 Posting Date",U$9)+NL("Sum","5802 Value Entry","17 Sales Amount (Actual)","41 Source Type",$C$5,"5 Source no.",$C2420,"4 Item Ledger Entry Type",$C$4,"2 Item No.","@@"&amp;$F2420,"3 Posting Date",U$9)</t>
  </si>
  <si>
    <t>=-NL("Sum","5802 Value Entry","151 Cost Amount (Expected)","41 Source Type",$C$5,"5 Source No.",$C2420,"4 Item Ledger Entry Type",$C$4,"2 Item No.","@@"&amp;$F2420,"3 Posting Date",U$9)-NL("Sum","5802 Value Entry","43 Cost Amount (Actual)","41 Source Type",$C$5,"5 Source no.",$C2420,"4 Item Ledger Entry Type",$C$4,"2 Item No.","@@"&amp;$F2420,"3 Posting Date",U$9)</t>
  </si>
  <si>
    <t>=U2420-W2420</t>
  </si>
  <si>
    <t>=IF(U2420&lt;&gt;0,X2420/U2420,"")</t>
  </si>
  <si>
    <t>=NL("Sum","5802 Value Entry","150 Sales Amount (Expected)","41 Source Type",$C$5,"5 Source No.",$C2420,"4 Item Ledger Entry Type",$C$4,"2 Item No.","@@"&amp;$F2420,"3 Posting Date",Z$9)+NL("Sum","5802 Value Entry","17 Sales Amount (Actual)","41 Source Type",$C$5,"5 Source no.",$C2420,"4 Item Ledger Entry Type",$C$4,"2 Item No.","@@"&amp;$F2420,"3 Posting Date",Z$9)</t>
  </si>
  <si>
    <t>=-NL("Sum","5802 Value Entry","151 Cost Amount (Expected)","41 Source Type",$C$5,"5 Source No.",$C2420,"4 Item Ledger Entry Type",$C$4,"2 Item No.","@@"&amp;$F2420,"3 Posting Date",Z$9)-NL("Sum","5802 Value Entry","43 Cost Amount (Actual)","41 Source Type",$C$5,"5 Source no.",$C2420,"4 Item Ledger Entry Type",$C$4,"2 Item No.","@@"&amp;$F2420,"3 Posting Date",Z$9)</t>
  </si>
  <si>
    <t>=Z2420-AB2420</t>
  </si>
  <si>
    <t>=IF(Z2420&lt;&gt;0,AC2420/Z2420,"")</t>
  </si>
  <si>
    <t>=C2420</t>
  </si>
  <si>
    <t>=NL("Sum","5802 Value Entry","150 Sales Amount (Expected)","41 Source Type",$C$5,"5 Source No.",$C2421,"4 Item Ledger Entry Type",$C$4,"2 Item No.","@@"&amp;$F2421,"3 Posting Date",J$9)+NL("Sum","5802 Value Entry","17 Sales Amount (Actual)","41 Source Type",$C$5,"5 Source no.",$C2421,"4 Item Ledger Entry Type",$C$4,"2 Item No.","@@"&amp;$F2421,"3 Posting Date",J$9)</t>
  </si>
  <si>
    <t>=-NL("Sum","5802 Value Entry","151 Cost Amount (Expected)","41 Source Type",$C$5,"5 Source No.",$C2421,"4 Item Ledger Entry Type",$C$4,"2 Item No.","@@"&amp;$F2421,"3 Posting Date",J$9)-NL("Sum","5802 Value Entry","43 Cost Amount (Actual)","41 Source Type",$C$5,"5 Source no.",$C2421,"4 Item Ledger Entry Type",$C$4,"2 Item No.","@@"&amp;$F2421,"3 Posting Date",J$9)</t>
  </si>
  <si>
    <t>=J2421-L2421</t>
  </si>
  <si>
    <t>=IF(J2421&lt;&gt;0,M2421/J2421,"")</t>
  </si>
  <si>
    <t>=NL("Sum","5802 Value Entry","150 Sales Amount (Expected)","41 Source Type",$C$5,"5 Source No.",$C2421,"4 Item Ledger Entry Type",$C$4,"2 Item No.","@@"&amp;$F2421,"3 Posting Date",O$9)+NL("Sum","5802 Value Entry","17 Sales Amount (Actual)","41 Source Type",$C$5,"5 Source no.",$C2421,"4 Item Ledger Entry Type",$C$4,"2 Item No.","@@"&amp;$F2421,"3 Posting Date",O$9)</t>
  </si>
  <si>
    <t>=-NL("Sum","5802 Value Entry","151 Cost Amount (Expected)","41 Source Type",$C$5,"5 Source No.",$C2421,"4 Item Ledger Entry Type",$C$4,"2 Item No.","@@"&amp;$F2421,"3 Posting Date",O$9)-NL("Sum","5802 Value Entry","43 Cost Amount (Actual)","41 Source Type",$C$5,"5 Source no.",$C2421,"4 Item Ledger Entry Type",$C$4,"2 Item No.","@@"&amp;$F2421,"3 Posting Date",O$9)</t>
  </si>
  <si>
    <t>=O2421-Q2421</t>
  </si>
  <si>
    <t>=IF(O2421&lt;&gt;0,R2421/O2421,"")</t>
  </si>
  <si>
    <t>=NL("Sum","5802 Value Entry","150 Sales Amount (Expected)","41 Source Type",$C$5,"5 Source No.",$C2421,"4 Item Ledger Entry Type",$C$4,"2 Item No.","@@"&amp;$F2421,"3 Posting Date",U$9)+NL("Sum","5802 Value Entry","17 Sales Amount (Actual)","41 Source Type",$C$5,"5 Source no.",$C2421,"4 Item Ledger Entry Type",$C$4,"2 Item No.","@@"&amp;$F2421,"3 Posting Date",U$9)</t>
  </si>
  <si>
    <t>=-NL("Sum","5802 Value Entry","151 Cost Amount (Expected)","41 Source Type",$C$5,"5 Source No.",$C2421,"4 Item Ledger Entry Type",$C$4,"2 Item No.","@@"&amp;$F2421,"3 Posting Date",U$9)-NL("Sum","5802 Value Entry","43 Cost Amount (Actual)","41 Source Type",$C$5,"5 Source no.",$C2421,"4 Item Ledger Entry Type",$C$4,"2 Item No.","@@"&amp;$F2421,"3 Posting Date",U$9)</t>
  </si>
  <si>
    <t>=U2421-W2421</t>
  </si>
  <si>
    <t>=IF(U2421&lt;&gt;0,X2421/U2421,"")</t>
  </si>
  <si>
    <t>=NL("Sum","5802 Value Entry","150 Sales Amount (Expected)","41 Source Type",$C$5,"5 Source No.",$C2421,"4 Item Ledger Entry Type",$C$4,"2 Item No.","@@"&amp;$F2421,"3 Posting Date",Z$9)+NL("Sum","5802 Value Entry","17 Sales Amount (Actual)","41 Source Type",$C$5,"5 Source no.",$C2421,"4 Item Ledger Entry Type",$C$4,"2 Item No.","@@"&amp;$F2421,"3 Posting Date",Z$9)</t>
  </si>
  <si>
    <t>=-NL("Sum","5802 Value Entry","151 Cost Amount (Expected)","41 Source Type",$C$5,"5 Source No.",$C2421,"4 Item Ledger Entry Type",$C$4,"2 Item No.","@@"&amp;$F2421,"3 Posting Date",Z$9)-NL("Sum","5802 Value Entry","43 Cost Amount (Actual)","41 Source Type",$C$5,"5 Source no.",$C2421,"4 Item Ledger Entry Type",$C$4,"2 Item No.","@@"&amp;$F2421,"3 Posting Date",Z$9)</t>
  </si>
  <si>
    <t>=Z2421-AB2421</t>
  </si>
  <si>
    <t>=IF(Z2421&lt;&gt;0,AC2421/Z2421,"")</t>
  </si>
  <si>
    <t>=C2421</t>
  </si>
  <si>
    <t>="S200002"</t>
  </si>
  <si>
    <t>=NL("Sum","5802 Value Entry","150 Sales Amount (Expected)","41 Source Type",$C$5,"5 Source No.",$C2422,"4 Item Ledger Entry Type",$C$4,"2 Item No.","@@"&amp;$F2422,"3 Posting Date",J$9)+NL("Sum","5802 Value Entry","17 Sales Amount (Actual)","41 Source Type",$C$5,"5 Source no.",$C2422,"4 Item Ledger Entry Type",$C$4,"2 Item No.","@@"&amp;$F2422,"3 Posting Date",J$9)</t>
  </si>
  <si>
    <t>=-NL("Sum","5802 Value Entry","151 Cost Amount (Expected)","41 Source Type",$C$5,"5 Source No.",$C2422,"4 Item Ledger Entry Type",$C$4,"2 Item No.","@@"&amp;$F2422,"3 Posting Date",J$9)-NL("Sum","5802 Value Entry","43 Cost Amount (Actual)","41 Source Type",$C$5,"5 Source no.",$C2422,"4 Item Ledger Entry Type",$C$4,"2 Item No.","@@"&amp;$F2422,"3 Posting Date",J$9)</t>
  </si>
  <si>
    <t>=J2422-L2422</t>
  </si>
  <si>
    <t>=IF(J2422&lt;&gt;0,M2422/J2422,"")</t>
  </si>
  <si>
    <t>=NL("Sum","5802 Value Entry","150 Sales Amount (Expected)","41 Source Type",$C$5,"5 Source No.",$C2422,"4 Item Ledger Entry Type",$C$4,"2 Item No.","@@"&amp;$F2422,"3 Posting Date",O$9)+NL("Sum","5802 Value Entry","17 Sales Amount (Actual)","41 Source Type",$C$5,"5 Source no.",$C2422,"4 Item Ledger Entry Type",$C$4,"2 Item No.","@@"&amp;$F2422,"3 Posting Date",O$9)</t>
  </si>
  <si>
    <t>=-NL("Sum","5802 Value Entry","151 Cost Amount (Expected)","41 Source Type",$C$5,"5 Source No.",$C2422,"4 Item Ledger Entry Type",$C$4,"2 Item No.","@@"&amp;$F2422,"3 Posting Date",O$9)-NL("Sum","5802 Value Entry","43 Cost Amount (Actual)","41 Source Type",$C$5,"5 Source no.",$C2422,"4 Item Ledger Entry Type",$C$4,"2 Item No.","@@"&amp;$F2422,"3 Posting Date",O$9)</t>
  </si>
  <si>
    <t>=O2422-Q2422</t>
  </si>
  <si>
    <t>=IF(O2422&lt;&gt;0,R2422/O2422,"")</t>
  </si>
  <si>
    <t>=NL("Sum","5802 Value Entry","150 Sales Amount (Expected)","41 Source Type",$C$5,"5 Source No.",$C2422,"4 Item Ledger Entry Type",$C$4,"2 Item No.","@@"&amp;$F2422,"3 Posting Date",U$9)+NL("Sum","5802 Value Entry","17 Sales Amount (Actual)","41 Source Type",$C$5,"5 Source no.",$C2422,"4 Item Ledger Entry Type",$C$4,"2 Item No.","@@"&amp;$F2422,"3 Posting Date",U$9)</t>
  </si>
  <si>
    <t>=-NL("Sum","5802 Value Entry","151 Cost Amount (Expected)","41 Source Type",$C$5,"5 Source No.",$C2422,"4 Item Ledger Entry Type",$C$4,"2 Item No.","@@"&amp;$F2422,"3 Posting Date",U$9)-NL("Sum","5802 Value Entry","43 Cost Amount (Actual)","41 Source Type",$C$5,"5 Source no.",$C2422,"4 Item Ledger Entry Type",$C$4,"2 Item No.","@@"&amp;$F2422,"3 Posting Date",U$9)</t>
  </si>
  <si>
    <t>=U2422-W2422</t>
  </si>
  <si>
    <t>=IF(U2422&lt;&gt;0,X2422/U2422,"")</t>
  </si>
  <si>
    <t>=NL("Sum","5802 Value Entry","150 Sales Amount (Expected)","41 Source Type",$C$5,"5 Source No.",$C2422,"4 Item Ledger Entry Type",$C$4,"2 Item No.","@@"&amp;$F2422,"3 Posting Date",Z$9)+NL("Sum","5802 Value Entry","17 Sales Amount (Actual)","41 Source Type",$C$5,"5 Source no.",$C2422,"4 Item Ledger Entry Type",$C$4,"2 Item No.","@@"&amp;$F2422,"3 Posting Date",Z$9)</t>
  </si>
  <si>
    <t>=-NL("Sum","5802 Value Entry","151 Cost Amount (Expected)","41 Source Type",$C$5,"5 Source No.",$C2422,"4 Item Ledger Entry Type",$C$4,"2 Item No.","@@"&amp;$F2422,"3 Posting Date",Z$9)-NL("Sum","5802 Value Entry","43 Cost Amount (Actual)","41 Source Type",$C$5,"5 Source no.",$C2422,"4 Item Ledger Entry Type",$C$4,"2 Item No.","@@"&amp;$F2422,"3 Posting Date",Z$9)</t>
  </si>
  <si>
    <t>=Z2422-AB2422</t>
  </si>
  <si>
    <t>=IF(Z2422&lt;&gt;0,AC2422/Z2422,"")</t>
  </si>
  <si>
    <t>=C2422</t>
  </si>
  <si>
    <t>="S200004"</t>
  </si>
  <si>
    <t>=NL("Sum","5802 Value Entry","150 Sales Amount (Expected)","41 Source Type",$C$5,"5 Source No.",$C2423,"4 Item Ledger Entry Type",$C$4,"2 Item No.","@@"&amp;$F2423,"3 Posting Date",J$9)+NL("Sum","5802 Value Entry","17 Sales Amount (Actual)","41 Source Type",$C$5,"5 Source no.",$C2423,"4 Item Ledger Entry Type",$C$4,"2 Item No.","@@"&amp;$F2423,"3 Posting Date",J$9)</t>
  </si>
  <si>
    <t>=-NL("Sum","5802 Value Entry","151 Cost Amount (Expected)","41 Source Type",$C$5,"5 Source No.",$C2423,"4 Item Ledger Entry Type",$C$4,"2 Item No.","@@"&amp;$F2423,"3 Posting Date",J$9)-NL("Sum","5802 Value Entry","43 Cost Amount (Actual)","41 Source Type",$C$5,"5 Source no.",$C2423,"4 Item Ledger Entry Type",$C$4,"2 Item No.","@@"&amp;$F2423,"3 Posting Date",J$9)</t>
  </si>
  <si>
    <t>=J2423-L2423</t>
  </si>
  <si>
    <t>=IF(J2423&lt;&gt;0,M2423/J2423,"")</t>
  </si>
  <si>
    <t>=NL("Sum","5802 Value Entry","150 Sales Amount (Expected)","41 Source Type",$C$5,"5 Source No.",$C2423,"4 Item Ledger Entry Type",$C$4,"2 Item No.","@@"&amp;$F2423,"3 Posting Date",O$9)+NL("Sum","5802 Value Entry","17 Sales Amount (Actual)","41 Source Type",$C$5,"5 Source no.",$C2423,"4 Item Ledger Entry Type",$C$4,"2 Item No.","@@"&amp;$F2423,"3 Posting Date",O$9)</t>
  </si>
  <si>
    <t>=-NL("Sum","5802 Value Entry","151 Cost Amount (Expected)","41 Source Type",$C$5,"5 Source No.",$C2423,"4 Item Ledger Entry Type",$C$4,"2 Item No.","@@"&amp;$F2423,"3 Posting Date",O$9)-NL("Sum","5802 Value Entry","43 Cost Amount (Actual)","41 Source Type",$C$5,"5 Source no.",$C2423,"4 Item Ledger Entry Type",$C$4,"2 Item No.","@@"&amp;$F2423,"3 Posting Date",O$9)</t>
  </si>
  <si>
    <t>=O2423-Q2423</t>
  </si>
  <si>
    <t>=IF(O2423&lt;&gt;0,R2423/O2423,"")</t>
  </si>
  <si>
    <t>=NL("Sum","5802 Value Entry","150 Sales Amount (Expected)","41 Source Type",$C$5,"5 Source No.",$C2423,"4 Item Ledger Entry Type",$C$4,"2 Item No.","@@"&amp;$F2423,"3 Posting Date",U$9)+NL("Sum","5802 Value Entry","17 Sales Amount (Actual)","41 Source Type",$C$5,"5 Source no.",$C2423,"4 Item Ledger Entry Type",$C$4,"2 Item No.","@@"&amp;$F2423,"3 Posting Date",U$9)</t>
  </si>
  <si>
    <t>=-NL("Sum","5802 Value Entry","151 Cost Amount (Expected)","41 Source Type",$C$5,"5 Source No.",$C2423,"4 Item Ledger Entry Type",$C$4,"2 Item No.","@@"&amp;$F2423,"3 Posting Date",U$9)-NL("Sum","5802 Value Entry","43 Cost Amount (Actual)","41 Source Type",$C$5,"5 Source no.",$C2423,"4 Item Ledger Entry Type",$C$4,"2 Item No.","@@"&amp;$F2423,"3 Posting Date",U$9)</t>
  </si>
  <si>
    <t>=U2423-W2423</t>
  </si>
  <si>
    <t>=IF(U2423&lt;&gt;0,X2423/U2423,"")</t>
  </si>
  <si>
    <t>=NL("Sum","5802 Value Entry","150 Sales Amount (Expected)","41 Source Type",$C$5,"5 Source No.",$C2423,"4 Item Ledger Entry Type",$C$4,"2 Item No.","@@"&amp;$F2423,"3 Posting Date",Z$9)+NL("Sum","5802 Value Entry","17 Sales Amount (Actual)","41 Source Type",$C$5,"5 Source no.",$C2423,"4 Item Ledger Entry Type",$C$4,"2 Item No.","@@"&amp;$F2423,"3 Posting Date",Z$9)</t>
  </si>
  <si>
    <t>=-NL("Sum","5802 Value Entry","151 Cost Amount (Expected)","41 Source Type",$C$5,"5 Source No.",$C2423,"4 Item Ledger Entry Type",$C$4,"2 Item No.","@@"&amp;$F2423,"3 Posting Date",Z$9)-NL("Sum","5802 Value Entry","43 Cost Amount (Actual)","41 Source Type",$C$5,"5 Source no.",$C2423,"4 Item Ledger Entry Type",$C$4,"2 Item No.","@@"&amp;$F2423,"3 Posting Date",Z$9)</t>
  </si>
  <si>
    <t>=Z2423-AB2423</t>
  </si>
  <si>
    <t>=IF(Z2423&lt;&gt;0,AC2423/Z2423,"")</t>
  </si>
  <si>
    <t>=C2423</t>
  </si>
  <si>
    <t>=NL("Sum","5802 Value Entry","150 Sales Amount (Expected)","41 Source Type",$C$5,"5 Source No.",$C2424,"4 Item Ledger Entry Type",$C$4,"2 Item No.","@@"&amp;$F2424,"3 Posting Date",J$9)+NL("Sum","5802 Value Entry","17 Sales Amount (Actual)","41 Source Type",$C$5,"5 Source no.",$C2424,"4 Item Ledger Entry Type",$C$4,"2 Item No.","@@"&amp;$F2424,"3 Posting Date",J$9)</t>
  </si>
  <si>
    <t>=-NL("Sum","5802 Value Entry","151 Cost Amount (Expected)","41 Source Type",$C$5,"5 Source No.",$C2424,"4 Item Ledger Entry Type",$C$4,"2 Item No.","@@"&amp;$F2424,"3 Posting Date",J$9)-NL("Sum","5802 Value Entry","43 Cost Amount (Actual)","41 Source Type",$C$5,"5 Source no.",$C2424,"4 Item Ledger Entry Type",$C$4,"2 Item No.","@@"&amp;$F2424,"3 Posting Date",J$9)</t>
  </si>
  <si>
    <t>=J2424-L2424</t>
  </si>
  <si>
    <t>=IF(J2424&lt;&gt;0,M2424/J2424,"")</t>
  </si>
  <si>
    <t>=NL("Sum","5802 Value Entry","150 Sales Amount (Expected)","41 Source Type",$C$5,"5 Source No.",$C2424,"4 Item Ledger Entry Type",$C$4,"2 Item No.","@@"&amp;$F2424,"3 Posting Date",O$9)+NL("Sum","5802 Value Entry","17 Sales Amount (Actual)","41 Source Type",$C$5,"5 Source no.",$C2424,"4 Item Ledger Entry Type",$C$4,"2 Item No.","@@"&amp;$F2424,"3 Posting Date",O$9)</t>
  </si>
  <si>
    <t>=-NL("Sum","5802 Value Entry","151 Cost Amount (Expected)","41 Source Type",$C$5,"5 Source No.",$C2424,"4 Item Ledger Entry Type",$C$4,"2 Item No.","@@"&amp;$F2424,"3 Posting Date",O$9)-NL("Sum","5802 Value Entry","43 Cost Amount (Actual)","41 Source Type",$C$5,"5 Source no.",$C2424,"4 Item Ledger Entry Type",$C$4,"2 Item No.","@@"&amp;$F2424,"3 Posting Date",O$9)</t>
  </si>
  <si>
    <t>=O2424-Q2424</t>
  </si>
  <si>
    <t>=IF(O2424&lt;&gt;0,R2424/O2424,"")</t>
  </si>
  <si>
    <t>=NL("Sum","5802 Value Entry","150 Sales Amount (Expected)","41 Source Type",$C$5,"5 Source No.",$C2424,"4 Item Ledger Entry Type",$C$4,"2 Item No.","@@"&amp;$F2424,"3 Posting Date",U$9)+NL("Sum","5802 Value Entry","17 Sales Amount (Actual)","41 Source Type",$C$5,"5 Source no.",$C2424,"4 Item Ledger Entry Type",$C$4,"2 Item No.","@@"&amp;$F2424,"3 Posting Date",U$9)</t>
  </si>
  <si>
    <t>=-NL("Sum","5802 Value Entry","151 Cost Amount (Expected)","41 Source Type",$C$5,"5 Source No.",$C2424,"4 Item Ledger Entry Type",$C$4,"2 Item No.","@@"&amp;$F2424,"3 Posting Date",U$9)-NL("Sum","5802 Value Entry","43 Cost Amount (Actual)","41 Source Type",$C$5,"5 Source no.",$C2424,"4 Item Ledger Entry Type",$C$4,"2 Item No.","@@"&amp;$F2424,"3 Posting Date",U$9)</t>
  </si>
  <si>
    <t>=U2424-W2424</t>
  </si>
  <si>
    <t>=IF(U2424&lt;&gt;0,X2424/U2424,"")</t>
  </si>
  <si>
    <t>=NL("Sum","5802 Value Entry","150 Sales Amount (Expected)","41 Source Type",$C$5,"5 Source No.",$C2424,"4 Item Ledger Entry Type",$C$4,"2 Item No.","@@"&amp;$F2424,"3 Posting Date",Z$9)+NL("Sum","5802 Value Entry","17 Sales Amount (Actual)","41 Source Type",$C$5,"5 Source no.",$C2424,"4 Item Ledger Entry Type",$C$4,"2 Item No.","@@"&amp;$F2424,"3 Posting Date",Z$9)</t>
  </si>
  <si>
    <t>=-NL("Sum","5802 Value Entry","151 Cost Amount (Expected)","41 Source Type",$C$5,"5 Source No.",$C2424,"4 Item Ledger Entry Type",$C$4,"2 Item No.","@@"&amp;$F2424,"3 Posting Date",Z$9)-NL("Sum","5802 Value Entry","43 Cost Amount (Actual)","41 Source Type",$C$5,"5 Source no.",$C2424,"4 Item Ledger Entry Type",$C$4,"2 Item No.","@@"&amp;$F2424,"3 Posting Date",Z$9)</t>
  </si>
  <si>
    <t>=Z2424-AB2424</t>
  </si>
  <si>
    <t>=IF(Z2424&lt;&gt;0,AC2424/Z2424,"")</t>
  </si>
  <si>
    <t>=C2424</t>
  </si>
  <si>
    <t>=NL("Sum","5802 Value Entry","150 Sales Amount (Expected)","41 Source Type",$C$5,"5 Source No.",$C2425,"4 Item Ledger Entry Type",$C$4,"2 Item No.","@@"&amp;$F2425,"3 Posting Date",J$9)+NL("Sum","5802 Value Entry","17 Sales Amount (Actual)","41 Source Type",$C$5,"5 Source no.",$C2425,"4 Item Ledger Entry Type",$C$4,"2 Item No.","@@"&amp;$F2425,"3 Posting Date",J$9)</t>
  </si>
  <si>
    <t>=-NL("Sum","5802 Value Entry","151 Cost Amount (Expected)","41 Source Type",$C$5,"5 Source No.",$C2425,"4 Item Ledger Entry Type",$C$4,"2 Item No.","@@"&amp;$F2425,"3 Posting Date",J$9)-NL("Sum","5802 Value Entry","43 Cost Amount (Actual)","41 Source Type",$C$5,"5 Source no.",$C2425,"4 Item Ledger Entry Type",$C$4,"2 Item No.","@@"&amp;$F2425,"3 Posting Date",J$9)</t>
  </si>
  <si>
    <t>=J2425-L2425</t>
  </si>
  <si>
    <t>=IF(J2425&lt;&gt;0,M2425/J2425,"")</t>
  </si>
  <si>
    <t>=NL("Sum","5802 Value Entry","150 Sales Amount (Expected)","41 Source Type",$C$5,"5 Source No.",$C2425,"4 Item Ledger Entry Type",$C$4,"2 Item No.","@@"&amp;$F2425,"3 Posting Date",O$9)+NL("Sum","5802 Value Entry","17 Sales Amount (Actual)","41 Source Type",$C$5,"5 Source no.",$C2425,"4 Item Ledger Entry Type",$C$4,"2 Item No.","@@"&amp;$F2425,"3 Posting Date",O$9)</t>
  </si>
  <si>
    <t>=-NL("Sum","5802 Value Entry","151 Cost Amount (Expected)","41 Source Type",$C$5,"5 Source No.",$C2425,"4 Item Ledger Entry Type",$C$4,"2 Item No.","@@"&amp;$F2425,"3 Posting Date",O$9)-NL("Sum","5802 Value Entry","43 Cost Amount (Actual)","41 Source Type",$C$5,"5 Source no.",$C2425,"4 Item Ledger Entry Type",$C$4,"2 Item No.","@@"&amp;$F2425,"3 Posting Date",O$9)</t>
  </si>
  <si>
    <t>=O2425-Q2425</t>
  </si>
  <si>
    <t>=IF(O2425&lt;&gt;0,R2425/O2425,"")</t>
  </si>
  <si>
    <t>=NL("Sum","5802 Value Entry","150 Sales Amount (Expected)","41 Source Type",$C$5,"5 Source No.",$C2425,"4 Item Ledger Entry Type",$C$4,"2 Item No.","@@"&amp;$F2425,"3 Posting Date",U$9)+NL("Sum","5802 Value Entry","17 Sales Amount (Actual)","41 Source Type",$C$5,"5 Source no.",$C2425,"4 Item Ledger Entry Type",$C$4,"2 Item No.","@@"&amp;$F2425,"3 Posting Date",U$9)</t>
  </si>
  <si>
    <t>=-NL("Sum","5802 Value Entry","151 Cost Amount (Expected)","41 Source Type",$C$5,"5 Source No.",$C2425,"4 Item Ledger Entry Type",$C$4,"2 Item No.","@@"&amp;$F2425,"3 Posting Date",U$9)-NL("Sum","5802 Value Entry","43 Cost Amount (Actual)","41 Source Type",$C$5,"5 Source no.",$C2425,"4 Item Ledger Entry Type",$C$4,"2 Item No.","@@"&amp;$F2425,"3 Posting Date",U$9)</t>
  </si>
  <si>
    <t>=U2425-W2425</t>
  </si>
  <si>
    <t>=IF(U2425&lt;&gt;0,X2425/U2425,"")</t>
  </si>
  <si>
    <t>=NL("Sum","5802 Value Entry","150 Sales Amount (Expected)","41 Source Type",$C$5,"5 Source No.",$C2425,"4 Item Ledger Entry Type",$C$4,"2 Item No.","@@"&amp;$F2425,"3 Posting Date",Z$9)+NL("Sum","5802 Value Entry","17 Sales Amount (Actual)","41 Source Type",$C$5,"5 Source no.",$C2425,"4 Item Ledger Entry Type",$C$4,"2 Item No.","@@"&amp;$F2425,"3 Posting Date",Z$9)</t>
  </si>
  <si>
    <t>=-NL("Sum","5802 Value Entry","151 Cost Amount (Expected)","41 Source Type",$C$5,"5 Source No.",$C2425,"4 Item Ledger Entry Type",$C$4,"2 Item No.","@@"&amp;$F2425,"3 Posting Date",Z$9)-NL("Sum","5802 Value Entry","43 Cost Amount (Actual)","41 Source Type",$C$5,"5 Source no.",$C2425,"4 Item Ledger Entry Type",$C$4,"2 Item No.","@@"&amp;$F2425,"3 Posting Date",Z$9)</t>
  </si>
  <si>
    <t>=Z2425-AB2425</t>
  </si>
  <si>
    <t>=IF(Z2425&lt;&gt;0,AC2425/Z2425,"")</t>
  </si>
  <si>
    <t>=C2426</t>
  </si>
  <si>
    <t>=J2427-L2427</t>
  </si>
  <si>
    <t>=IF(J2427&lt;&gt;0,M2427/J2427,"")</t>
  </si>
  <si>
    <t>=O2427-Q2427</t>
  </si>
  <si>
    <t>=IF(O2427&lt;&gt;0,R2427/O2427,"")</t>
  </si>
  <si>
    <t>=U2427-W2427</t>
  </si>
  <si>
    <t>=IF(U2427&lt;&gt;0,X2427/U2427,"")</t>
  </si>
  <si>
    <t>=Z2427-AB2427</t>
  </si>
  <si>
    <t>=IF(Z2427&lt;&gt;0,AC2427/Z2427,"")</t>
  </si>
  <si>
    <t>=C2429</t>
  </si>
  <si>
    <t>=C2431</t>
  </si>
  <si>
    <t>=J2432-L2432</t>
  </si>
  <si>
    <t>=IF(J2432&lt;&gt;0,M2432/J2432,"")</t>
  </si>
  <si>
    <t>=O2432-Q2432</t>
  </si>
  <si>
    <t>=IF(O2432&lt;&gt;0,R2432/O2432,"")</t>
  </si>
  <si>
    <t>=U2432-W2432</t>
  </si>
  <si>
    <t>=IF(U2432&lt;&gt;0,X2432/U2432,"")</t>
  </si>
  <si>
    <t>=Z2432-AB2432</t>
  </si>
  <si>
    <t>=IF(Z2432&lt;&gt;0,AC2432/Z2432,"")</t>
  </si>
  <si>
    <t>=C2434</t>
  </si>
  <si>
    <t>=C2435</t>
  </si>
  <si>
    <t>=NL("Sum","5802 Value Entry","150 Sales Amount (Expected)","41 Source Type",$C$5,"5 Source No.",$C2436,"4 Item Ledger Entry Type",$C$4,"2 Item No.","@@"&amp;$F2436,"3 Posting Date",J$9)+NL("Sum","5802 Value Entry","17 Sales Amount (Actual)","41 Source Type",$C$5,"5 Source no.",$C2436,"4 Item Ledger Entry Type",$C$4,"2 Item No.","@@"&amp;$F2436,"3 Posting Date",J$9)</t>
  </si>
  <si>
    <t>=-NL("Sum","5802 Value Entry","151 Cost Amount (Expected)","41 Source Type",$C$5,"5 Source No.",$C2436,"4 Item Ledger Entry Type",$C$4,"2 Item No.","@@"&amp;$F2436,"3 Posting Date",J$9)-NL("Sum","5802 Value Entry","43 Cost Amount (Actual)","41 Source Type",$C$5,"5 Source no.",$C2436,"4 Item Ledger Entry Type",$C$4,"2 Item No.","@@"&amp;$F2436,"3 Posting Date",J$9)</t>
  </si>
  <si>
    <t>=J2436-L2436</t>
  </si>
  <si>
    <t>=IF(J2436&lt;&gt;0,M2436/J2436,"")</t>
  </si>
  <si>
    <t>=NL("Sum","5802 Value Entry","150 Sales Amount (Expected)","41 Source Type",$C$5,"5 Source No.",$C2436,"4 Item Ledger Entry Type",$C$4,"2 Item No.","@@"&amp;$F2436,"3 Posting Date",O$9)+NL("Sum","5802 Value Entry","17 Sales Amount (Actual)","41 Source Type",$C$5,"5 Source no.",$C2436,"4 Item Ledger Entry Type",$C$4,"2 Item No.","@@"&amp;$F2436,"3 Posting Date",O$9)</t>
  </si>
  <si>
    <t>=-NL("Sum","5802 Value Entry","151 Cost Amount (Expected)","41 Source Type",$C$5,"5 Source No.",$C2436,"4 Item Ledger Entry Type",$C$4,"2 Item No.","@@"&amp;$F2436,"3 Posting Date",O$9)-NL("Sum","5802 Value Entry","43 Cost Amount (Actual)","41 Source Type",$C$5,"5 Source no.",$C2436,"4 Item Ledger Entry Type",$C$4,"2 Item No.","@@"&amp;$F2436,"3 Posting Date",O$9)</t>
  </si>
  <si>
    <t>=O2436-Q2436</t>
  </si>
  <si>
    <t>=IF(O2436&lt;&gt;0,R2436/O2436,"")</t>
  </si>
  <si>
    <t>=NL("Sum","5802 Value Entry","150 Sales Amount (Expected)","41 Source Type",$C$5,"5 Source No.",$C2436,"4 Item Ledger Entry Type",$C$4,"2 Item No.","@@"&amp;$F2436,"3 Posting Date",U$9)+NL("Sum","5802 Value Entry","17 Sales Amount (Actual)","41 Source Type",$C$5,"5 Source no.",$C2436,"4 Item Ledger Entry Type",$C$4,"2 Item No.","@@"&amp;$F2436,"3 Posting Date",U$9)</t>
  </si>
  <si>
    <t>=-NL("Sum","5802 Value Entry","151 Cost Amount (Expected)","41 Source Type",$C$5,"5 Source No.",$C2436,"4 Item Ledger Entry Type",$C$4,"2 Item No.","@@"&amp;$F2436,"3 Posting Date",U$9)-NL("Sum","5802 Value Entry","43 Cost Amount (Actual)","41 Source Type",$C$5,"5 Source no.",$C2436,"4 Item Ledger Entry Type",$C$4,"2 Item No.","@@"&amp;$F2436,"3 Posting Date",U$9)</t>
  </si>
  <si>
    <t>=U2436-W2436</t>
  </si>
  <si>
    <t>=IF(U2436&lt;&gt;0,X2436/U2436,"")</t>
  </si>
  <si>
    <t>=NL("Sum","5802 Value Entry","150 Sales Amount (Expected)","41 Source Type",$C$5,"5 Source No.",$C2436,"4 Item Ledger Entry Type",$C$4,"2 Item No.","@@"&amp;$F2436,"3 Posting Date",Z$9)+NL("Sum","5802 Value Entry","17 Sales Amount (Actual)","41 Source Type",$C$5,"5 Source no.",$C2436,"4 Item Ledger Entry Type",$C$4,"2 Item No.","@@"&amp;$F2436,"3 Posting Date",Z$9)</t>
  </si>
  <si>
    <t>=-NL("Sum","5802 Value Entry","151 Cost Amount (Expected)","41 Source Type",$C$5,"5 Source No.",$C2436,"4 Item Ledger Entry Type",$C$4,"2 Item No.","@@"&amp;$F2436,"3 Posting Date",Z$9)-NL("Sum","5802 Value Entry","43 Cost Amount (Actual)","41 Source Type",$C$5,"5 Source no.",$C2436,"4 Item Ledger Entry Type",$C$4,"2 Item No.","@@"&amp;$F2436,"3 Posting Date",Z$9)</t>
  </si>
  <si>
    <t>=Z2436-AB2436</t>
  </si>
  <si>
    <t>=IF(Z2436&lt;&gt;0,AC2436/Z2436,"")</t>
  </si>
  <si>
    <t>=C2436</t>
  </si>
  <si>
    <t>=NL("Sum","5802 Value Entry","150 Sales Amount (Expected)","41 Source Type",$C$5,"5 Source No.",$C2437,"4 Item Ledger Entry Type",$C$4,"2 Item No.","@@"&amp;$F2437,"3 Posting Date",J$9)+NL("Sum","5802 Value Entry","17 Sales Amount (Actual)","41 Source Type",$C$5,"5 Source no.",$C2437,"4 Item Ledger Entry Type",$C$4,"2 Item No.","@@"&amp;$F2437,"3 Posting Date",J$9)</t>
  </si>
  <si>
    <t>=-NL("Sum","5802 Value Entry","151 Cost Amount (Expected)","41 Source Type",$C$5,"5 Source No.",$C2437,"4 Item Ledger Entry Type",$C$4,"2 Item No.","@@"&amp;$F2437,"3 Posting Date",J$9)-NL("Sum","5802 Value Entry","43 Cost Amount (Actual)","41 Source Type",$C$5,"5 Source no.",$C2437,"4 Item Ledger Entry Type",$C$4,"2 Item No.","@@"&amp;$F2437,"3 Posting Date",J$9)</t>
  </si>
  <si>
    <t>=J2437-L2437</t>
  </si>
  <si>
    <t>=IF(J2437&lt;&gt;0,M2437/J2437,"")</t>
  </si>
  <si>
    <t>=NL("Sum","5802 Value Entry","150 Sales Amount (Expected)","41 Source Type",$C$5,"5 Source No.",$C2437,"4 Item Ledger Entry Type",$C$4,"2 Item No.","@@"&amp;$F2437,"3 Posting Date",O$9)+NL("Sum","5802 Value Entry","17 Sales Amount (Actual)","41 Source Type",$C$5,"5 Source no.",$C2437,"4 Item Ledger Entry Type",$C$4,"2 Item No.","@@"&amp;$F2437,"3 Posting Date",O$9)</t>
  </si>
  <si>
    <t>=-NL("Sum","5802 Value Entry","151 Cost Amount (Expected)","41 Source Type",$C$5,"5 Source No.",$C2437,"4 Item Ledger Entry Type",$C$4,"2 Item No.","@@"&amp;$F2437,"3 Posting Date",O$9)-NL("Sum","5802 Value Entry","43 Cost Amount (Actual)","41 Source Type",$C$5,"5 Source no.",$C2437,"4 Item Ledger Entry Type",$C$4,"2 Item No.","@@"&amp;$F2437,"3 Posting Date",O$9)</t>
  </si>
  <si>
    <t>=O2437-Q2437</t>
  </si>
  <si>
    <t>=IF(O2437&lt;&gt;0,R2437/O2437,"")</t>
  </si>
  <si>
    <t>=NL("Sum","5802 Value Entry","150 Sales Amount (Expected)","41 Source Type",$C$5,"5 Source No.",$C2437,"4 Item Ledger Entry Type",$C$4,"2 Item No.","@@"&amp;$F2437,"3 Posting Date",U$9)+NL("Sum","5802 Value Entry","17 Sales Amount (Actual)","41 Source Type",$C$5,"5 Source no.",$C2437,"4 Item Ledger Entry Type",$C$4,"2 Item No.","@@"&amp;$F2437,"3 Posting Date",U$9)</t>
  </si>
  <si>
    <t>=-NL("Sum","5802 Value Entry","151 Cost Amount (Expected)","41 Source Type",$C$5,"5 Source No.",$C2437,"4 Item Ledger Entry Type",$C$4,"2 Item No.","@@"&amp;$F2437,"3 Posting Date",U$9)-NL("Sum","5802 Value Entry","43 Cost Amount (Actual)","41 Source Type",$C$5,"5 Source no.",$C2437,"4 Item Ledger Entry Type",$C$4,"2 Item No.","@@"&amp;$F2437,"3 Posting Date",U$9)</t>
  </si>
  <si>
    <t>=U2437-W2437</t>
  </si>
  <si>
    <t>=IF(U2437&lt;&gt;0,X2437/U2437,"")</t>
  </si>
  <si>
    <t>=NL("Sum","5802 Value Entry","150 Sales Amount (Expected)","41 Source Type",$C$5,"5 Source No.",$C2437,"4 Item Ledger Entry Type",$C$4,"2 Item No.","@@"&amp;$F2437,"3 Posting Date",Z$9)+NL("Sum","5802 Value Entry","17 Sales Amount (Actual)","41 Source Type",$C$5,"5 Source no.",$C2437,"4 Item Ledger Entry Type",$C$4,"2 Item No.","@@"&amp;$F2437,"3 Posting Date",Z$9)</t>
  </si>
  <si>
    <t>=-NL("Sum","5802 Value Entry","151 Cost Amount (Expected)","41 Source Type",$C$5,"5 Source No.",$C2437,"4 Item Ledger Entry Type",$C$4,"2 Item No.","@@"&amp;$F2437,"3 Posting Date",Z$9)-NL("Sum","5802 Value Entry","43 Cost Amount (Actual)","41 Source Type",$C$5,"5 Source no.",$C2437,"4 Item Ledger Entry Type",$C$4,"2 Item No.","@@"&amp;$F2437,"3 Posting Date",Z$9)</t>
  </si>
  <si>
    <t>=Z2437-AB2437</t>
  </si>
  <si>
    <t>=IF(Z2437&lt;&gt;0,AC2437/Z2437,"")</t>
  </si>
  <si>
    <t>=C2437</t>
  </si>
  <si>
    <t>=NL("Sum","5802 Value Entry","150 Sales Amount (Expected)","41 Source Type",$C$5,"5 Source No.",$C2438,"4 Item Ledger Entry Type",$C$4,"2 Item No.","@@"&amp;$F2438,"3 Posting Date",J$9)+NL("Sum","5802 Value Entry","17 Sales Amount (Actual)","41 Source Type",$C$5,"5 Source no.",$C2438,"4 Item Ledger Entry Type",$C$4,"2 Item No.","@@"&amp;$F2438,"3 Posting Date",J$9)</t>
  </si>
  <si>
    <t>=-NL("Sum","5802 Value Entry","151 Cost Amount (Expected)","41 Source Type",$C$5,"5 Source No.",$C2438,"4 Item Ledger Entry Type",$C$4,"2 Item No.","@@"&amp;$F2438,"3 Posting Date",J$9)-NL("Sum","5802 Value Entry","43 Cost Amount (Actual)","41 Source Type",$C$5,"5 Source no.",$C2438,"4 Item Ledger Entry Type",$C$4,"2 Item No.","@@"&amp;$F2438,"3 Posting Date",J$9)</t>
  </si>
  <si>
    <t>=J2438-L2438</t>
  </si>
  <si>
    <t>=IF(J2438&lt;&gt;0,M2438/J2438,"")</t>
  </si>
  <si>
    <t>=NL("Sum","5802 Value Entry","150 Sales Amount (Expected)","41 Source Type",$C$5,"5 Source No.",$C2438,"4 Item Ledger Entry Type",$C$4,"2 Item No.","@@"&amp;$F2438,"3 Posting Date",O$9)+NL("Sum","5802 Value Entry","17 Sales Amount (Actual)","41 Source Type",$C$5,"5 Source no.",$C2438,"4 Item Ledger Entry Type",$C$4,"2 Item No.","@@"&amp;$F2438,"3 Posting Date",O$9)</t>
  </si>
  <si>
    <t>=-NL("Sum","5802 Value Entry","151 Cost Amount (Expected)","41 Source Type",$C$5,"5 Source No.",$C2438,"4 Item Ledger Entry Type",$C$4,"2 Item No.","@@"&amp;$F2438,"3 Posting Date",O$9)-NL("Sum","5802 Value Entry","43 Cost Amount (Actual)","41 Source Type",$C$5,"5 Source no.",$C2438,"4 Item Ledger Entry Type",$C$4,"2 Item No.","@@"&amp;$F2438,"3 Posting Date",O$9)</t>
  </si>
  <si>
    <t>=O2438-Q2438</t>
  </si>
  <si>
    <t>=IF(O2438&lt;&gt;0,R2438/O2438,"")</t>
  </si>
  <si>
    <t>=NL("Sum","5802 Value Entry","150 Sales Amount (Expected)","41 Source Type",$C$5,"5 Source No.",$C2438,"4 Item Ledger Entry Type",$C$4,"2 Item No.","@@"&amp;$F2438,"3 Posting Date",U$9)+NL("Sum","5802 Value Entry","17 Sales Amount (Actual)","41 Source Type",$C$5,"5 Source no.",$C2438,"4 Item Ledger Entry Type",$C$4,"2 Item No.","@@"&amp;$F2438,"3 Posting Date",U$9)</t>
  </si>
  <si>
    <t>=-NL("Sum","5802 Value Entry","151 Cost Amount (Expected)","41 Source Type",$C$5,"5 Source No.",$C2438,"4 Item Ledger Entry Type",$C$4,"2 Item No.","@@"&amp;$F2438,"3 Posting Date",U$9)-NL("Sum","5802 Value Entry","43 Cost Amount (Actual)","41 Source Type",$C$5,"5 Source no.",$C2438,"4 Item Ledger Entry Type",$C$4,"2 Item No.","@@"&amp;$F2438,"3 Posting Date",U$9)</t>
  </si>
  <si>
    <t>=U2438-W2438</t>
  </si>
  <si>
    <t>=IF(U2438&lt;&gt;0,X2438/U2438,"")</t>
  </si>
  <si>
    <t>=NL("Sum","5802 Value Entry","150 Sales Amount (Expected)","41 Source Type",$C$5,"5 Source No.",$C2438,"4 Item Ledger Entry Type",$C$4,"2 Item No.","@@"&amp;$F2438,"3 Posting Date",Z$9)+NL("Sum","5802 Value Entry","17 Sales Amount (Actual)","41 Source Type",$C$5,"5 Source no.",$C2438,"4 Item Ledger Entry Type",$C$4,"2 Item No.","@@"&amp;$F2438,"3 Posting Date",Z$9)</t>
  </si>
  <si>
    <t>=-NL("Sum","5802 Value Entry","151 Cost Amount (Expected)","41 Source Type",$C$5,"5 Source No.",$C2438,"4 Item Ledger Entry Type",$C$4,"2 Item No.","@@"&amp;$F2438,"3 Posting Date",Z$9)-NL("Sum","5802 Value Entry","43 Cost Amount (Actual)","41 Source Type",$C$5,"5 Source no.",$C2438,"4 Item Ledger Entry Type",$C$4,"2 Item No.","@@"&amp;$F2438,"3 Posting Date",Z$9)</t>
  </si>
  <si>
    <t>=Z2438-AB2438</t>
  </si>
  <si>
    <t>=IF(Z2438&lt;&gt;0,AC2438/Z2438,"")</t>
  </si>
  <si>
    <t>=C2438</t>
  </si>
  <si>
    <t>=NL("Sum","5802 Value Entry","150 Sales Amount (Expected)","41 Source Type",$C$5,"5 Source No.",$C2439,"4 Item Ledger Entry Type",$C$4,"2 Item No.","@@"&amp;$F2439,"3 Posting Date",J$9)+NL("Sum","5802 Value Entry","17 Sales Amount (Actual)","41 Source Type",$C$5,"5 Source no.",$C2439,"4 Item Ledger Entry Type",$C$4,"2 Item No.","@@"&amp;$F2439,"3 Posting Date",J$9)</t>
  </si>
  <si>
    <t>=-NL("Sum","5802 Value Entry","151 Cost Amount (Expected)","41 Source Type",$C$5,"5 Source No.",$C2439,"4 Item Ledger Entry Type",$C$4,"2 Item No.","@@"&amp;$F2439,"3 Posting Date",J$9)-NL("Sum","5802 Value Entry","43 Cost Amount (Actual)","41 Source Type",$C$5,"5 Source no.",$C2439,"4 Item Ledger Entry Type",$C$4,"2 Item No.","@@"&amp;$F2439,"3 Posting Date",J$9)</t>
  </si>
  <si>
    <t>=J2439-L2439</t>
  </si>
  <si>
    <t>=IF(J2439&lt;&gt;0,M2439/J2439,"")</t>
  </si>
  <si>
    <t>=NL("Sum","5802 Value Entry","150 Sales Amount (Expected)","41 Source Type",$C$5,"5 Source No.",$C2439,"4 Item Ledger Entry Type",$C$4,"2 Item No.","@@"&amp;$F2439,"3 Posting Date",O$9)+NL("Sum","5802 Value Entry","17 Sales Amount (Actual)","41 Source Type",$C$5,"5 Source no.",$C2439,"4 Item Ledger Entry Type",$C$4,"2 Item No.","@@"&amp;$F2439,"3 Posting Date",O$9)</t>
  </si>
  <si>
    <t>=-NL("Sum","5802 Value Entry","151 Cost Amount (Expected)","41 Source Type",$C$5,"5 Source No.",$C2439,"4 Item Ledger Entry Type",$C$4,"2 Item No.","@@"&amp;$F2439,"3 Posting Date",O$9)-NL("Sum","5802 Value Entry","43 Cost Amount (Actual)","41 Source Type",$C$5,"5 Source no.",$C2439,"4 Item Ledger Entry Type",$C$4,"2 Item No.","@@"&amp;$F2439,"3 Posting Date",O$9)</t>
  </si>
  <si>
    <t>=O2439-Q2439</t>
  </si>
  <si>
    <t>=IF(O2439&lt;&gt;0,R2439/O2439,"")</t>
  </si>
  <si>
    <t>=NL("Sum","5802 Value Entry","150 Sales Amount (Expected)","41 Source Type",$C$5,"5 Source No.",$C2439,"4 Item Ledger Entry Type",$C$4,"2 Item No.","@@"&amp;$F2439,"3 Posting Date",U$9)+NL("Sum","5802 Value Entry","17 Sales Amount (Actual)","41 Source Type",$C$5,"5 Source no.",$C2439,"4 Item Ledger Entry Type",$C$4,"2 Item No.","@@"&amp;$F2439,"3 Posting Date",U$9)</t>
  </si>
  <si>
    <t>=-NL("Sum","5802 Value Entry","151 Cost Amount (Expected)","41 Source Type",$C$5,"5 Source No.",$C2439,"4 Item Ledger Entry Type",$C$4,"2 Item No.","@@"&amp;$F2439,"3 Posting Date",U$9)-NL("Sum","5802 Value Entry","43 Cost Amount (Actual)","41 Source Type",$C$5,"5 Source no.",$C2439,"4 Item Ledger Entry Type",$C$4,"2 Item No.","@@"&amp;$F2439,"3 Posting Date",U$9)</t>
  </si>
  <si>
    <t>=U2439-W2439</t>
  </si>
  <si>
    <t>=IF(U2439&lt;&gt;0,X2439/U2439,"")</t>
  </si>
  <si>
    <t>=NL("Sum","5802 Value Entry","150 Sales Amount (Expected)","41 Source Type",$C$5,"5 Source No.",$C2439,"4 Item Ledger Entry Type",$C$4,"2 Item No.","@@"&amp;$F2439,"3 Posting Date",Z$9)+NL("Sum","5802 Value Entry","17 Sales Amount (Actual)","41 Source Type",$C$5,"5 Source no.",$C2439,"4 Item Ledger Entry Type",$C$4,"2 Item No.","@@"&amp;$F2439,"3 Posting Date",Z$9)</t>
  </si>
  <si>
    <t>=-NL("Sum","5802 Value Entry","151 Cost Amount (Expected)","41 Source Type",$C$5,"5 Source No.",$C2439,"4 Item Ledger Entry Type",$C$4,"2 Item No.","@@"&amp;$F2439,"3 Posting Date",Z$9)-NL("Sum","5802 Value Entry","43 Cost Amount (Actual)","41 Source Type",$C$5,"5 Source no.",$C2439,"4 Item Ledger Entry Type",$C$4,"2 Item No.","@@"&amp;$F2439,"3 Posting Date",Z$9)</t>
  </si>
  <si>
    <t>=Z2439-AB2439</t>
  </si>
  <si>
    <t>=IF(Z2439&lt;&gt;0,AC2439/Z2439,"")</t>
  </si>
  <si>
    <t>=C2439</t>
  </si>
  <si>
    <t>=NL("Sum","5802 Value Entry","150 Sales Amount (Expected)","41 Source Type",$C$5,"5 Source No.",$C2440,"4 Item Ledger Entry Type",$C$4,"2 Item No.","@@"&amp;$F2440,"3 Posting Date",J$9)+NL("Sum","5802 Value Entry","17 Sales Amount (Actual)","41 Source Type",$C$5,"5 Source no.",$C2440,"4 Item Ledger Entry Type",$C$4,"2 Item No.","@@"&amp;$F2440,"3 Posting Date",J$9)</t>
  </si>
  <si>
    <t>=-NL("Sum","5802 Value Entry","151 Cost Amount (Expected)","41 Source Type",$C$5,"5 Source No.",$C2440,"4 Item Ledger Entry Type",$C$4,"2 Item No.","@@"&amp;$F2440,"3 Posting Date",J$9)-NL("Sum","5802 Value Entry","43 Cost Amount (Actual)","41 Source Type",$C$5,"5 Source no.",$C2440,"4 Item Ledger Entry Type",$C$4,"2 Item No.","@@"&amp;$F2440,"3 Posting Date",J$9)</t>
  </si>
  <si>
    <t>=J2440-L2440</t>
  </si>
  <si>
    <t>=IF(J2440&lt;&gt;0,M2440/J2440,"")</t>
  </si>
  <si>
    <t>=NL("Sum","5802 Value Entry","150 Sales Amount (Expected)","41 Source Type",$C$5,"5 Source No.",$C2440,"4 Item Ledger Entry Type",$C$4,"2 Item No.","@@"&amp;$F2440,"3 Posting Date",O$9)+NL("Sum","5802 Value Entry","17 Sales Amount (Actual)","41 Source Type",$C$5,"5 Source no.",$C2440,"4 Item Ledger Entry Type",$C$4,"2 Item No.","@@"&amp;$F2440,"3 Posting Date",O$9)</t>
  </si>
  <si>
    <t>=-NL("Sum","5802 Value Entry","151 Cost Amount (Expected)","41 Source Type",$C$5,"5 Source No.",$C2440,"4 Item Ledger Entry Type",$C$4,"2 Item No.","@@"&amp;$F2440,"3 Posting Date",O$9)-NL("Sum","5802 Value Entry","43 Cost Amount (Actual)","41 Source Type",$C$5,"5 Source no.",$C2440,"4 Item Ledger Entry Type",$C$4,"2 Item No.","@@"&amp;$F2440,"3 Posting Date",O$9)</t>
  </si>
  <si>
    <t>=O2440-Q2440</t>
  </si>
  <si>
    <t>=IF(O2440&lt;&gt;0,R2440/O2440,"")</t>
  </si>
  <si>
    <t>=NL("Sum","5802 Value Entry","150 Sales Amount (Expected)","41 Source Type",$C$5,"5 Source No.",$C2440,"4 Item Ledger Entry Type",$C$4,"2 Item No.","@@"&amp;$F2440,"3 Posting Date",U$9)+NL("Sum","5802 Value Entry","17 Sales Amount (Actual)","41 Source Type",$C$5,"5 Source no.",$C2440,"4 Item Ledger Entry Type",$C$4,"2 Item No.","@@"&amp;$F2440,"3 Posting Date",U$9)</t>
  </si>
  <si>
    <t>=-NL("Sum","5802 Value Entry","151 Cost Amount (Expected)","41 Source Type",$C$5,"5 Source No.",$C2440,"4 Item Ledger Entry Type",$C$4,"2 Item No.","@@"&amp;$F2440,"3 Posting Date",U$9)-NL("Sum","5802 Value Entry","43 Cost Amount (Actual)","41 Source Type",$C$5,"5 Source no.",$C2440,"4 Item Ledger Entry Type",$C$4,"2 Item No.","@@"&amp;$F2440,"3 Posting Date",U$9)</t>
  </si>
  <si>
    <t>=U2440-W2440</t>
  </si>
  <si>
    <t>=IF(U2440&lt;&gt;0,X2440/U2440,"")</t>
  </si>
  <si>
    <t>=NL("Sum","5802 Value Entry","150 Sales Amount (Expected)","41 Source Type",$C$5,"5 Source No.",$C2440,"4 Item Ledger Entry Type",$C$4,"2 Item No.","@@"&amp;$F2440,"3 Posting Date",Z$9)+NL("Sum","5802 Value Entry","17 Sales Amount (Actual)","41 Source Type",$C$5,"5 Source no.",$C2440,"4 Item Ledger Entry Type",$C$4,"2 Item No.","@@"&amp;$F2440,"3 Posting Date",Z$9)</t>
  </si>
  <si>
    <t>=-NL("Sum","5802 Value Entry","151 Cost Amount (Expected)","41 Source Type",$C$5,"5 Source No.",$C2440,"4 Item Ledger Entry Type",$C$4,"2 Item No.","@@"&amp;$F2440,"3 Posting Date",Z$9)-NL("Sum","5802 Value Entry","43 Cost Amount (Actual)","41 Source Type",$C$5,"5 Source no.",$C2440,"4 Item Ledger Entry Type",$C$4,"2 Item No.","@@"&amp;$F2440,"3 Posting Date",Z$9)</t>
  </si>
  <si>
    <t>=Z2440-AB2440</t>
  </si>
  <si>
    <t>=IF(Z2440&lt;&gt;0,AC2440/Z2440,"")</t>
  </si>
  <si>
    <t>=C2440</t>
  </si>
  <si>
    <t>=NL("Sum","5802 Value Entry","150 Sales Amount (Expected)","41 Source Type",$C$5,"5 Source No.",$C2441,"4 Item Ledger Entry Type",$C$4,"2 Item No.","@@"&amp;$F2441,"3 Posting Date",J$9)+NL("Sum","5802 Value Entry","17 Sales Amount (Actual)","41 Source Type",$C$5,"5 Source no.",$C2441,"4 Item Ledger Entry Type",$C$4,"2 Item No.","@@"&amp;$F2441,"3 Posting Date",J$9)</t>
  </si>
  <si>
    <t>=-NL("Sum","5802 Value Entry","151 Cost Amount (Expected)","41 Source Type",$C$5,"5 Source No.",$C2441,"4 Item Ledger Entry Type",$C$4,"2 Item No.","@@"&amp;$F2441,"3 Posting Date",J$9)-NL("Sum","5802 Value Entry","43 Cost Amount (Actual)","41 Source Type",$C$5,"5 Source no.",$C2441,"4 Item Ledger Entry Type",$C$4,"2 Item No.","@@"&amp;$F2441,"3 Posting Date",J$9)</t>
  </si>
  <si>
    <t>=J2441-L2441</t>
  </si>
  <si>
    <t>=IF(J2441&lt;&gt;0,M2441/J2441,"")</t>
  </si>
  <si>
    <t>=NL("Sum","5802 Value Entry","150 Sales Amount (Expected)","41 Source Type",$C$5,"5 Source No.",$C2441,"4 Item Ledger Entry Type",$C$4,"2 Item No.","@@"&amp;$F2441,"3 Posting Date",O$9)+NL("Sum","5802 Value Entry","17 Sales Amount (Actual)","41 Source Type",$C$5,"5 Source no.",$C2441,"4 Item Ledger Entry Type",$C$4,"2 Item No.","@@"&amp;$F2441,"3 Posting Date",O$9)</t>
  </si>
  <si>
    <t>=-NL("Sum","5802 Value Entry","151 Cost Amount (Expected)","41 Source Type",$C$5,"5 Source No.",$C2441,"4 Item Ledger Entry Type",$C$4,"2 Item No.","@@"&amp;$F2441,"3 Posting Date",O$9)-NL("Sum","5802 Value Entry","43 Cost Amount (Actual)","41 Source Type",$C$5,"5 Source no.",$C2441,"4 Item Ledger Entry Type",$C$4,"2 Item No.","@@"&amp;$F2441,"3 Posting Date",O$9)</t>
  </si>
  <si>
    <t>=O2441-Q2441</t>
  </si>
  <si>
    <t>=IF(O2441&lt;&gt;0,R2441/O2441,"")</t>
  </si>
  <si>
    <t>=NL("Sum","5802 Value Entry","150 Sales Amount (Expected)","41 Source Type",$C$5,"5 Source No.",$C2441,"4 Item Ledger Entry Type",$C$4,"2 Item No.","@@"&amp;$F2441,"3 Posting Date",U$9)+NL("Sum","5802 Value Entry","17 Sales Amount (Actual)","41 Source Type",$C$5,"5 Source no.",$C2441,"4 Item Ledger Entry Type",$C$4,"2 Item No.","@@"&amp;$F2441,"3 Posting Date",U$9)</t>
  </si>
  <si>
    <t>=-NL("Sum","5802 Value Entry","151 Cost Amount (Expected)","41 Source Type",$C$5,"5 Source No.",$C2441,"4 Item Ledger Entry Type",$C$4,"2 Item No.","@@"&amp;$F2441,"3 Posting Date",U$9)-NL("Sum","5802 Value Entry","43 Cost Amount (Actual)","41 Source Type",$C$5,"5 Source no.",$C2441,"4 Item Ledger Entry Type",$C$4,"2 Item No.","@@"&amp;$F2441,"3 Posting Date",U$9)</t>
  </si>
  <si>
    <t>=U2441-W2441</t>
  </si>
  <si>
    <t>=IF(U2441&lt;&gt;0,X2441/U2441,"")</t>
  </si>
  <si>
    <t>=NL("Sum","5802 Value Entry","150 Sales Amount (Expected)","41 Source Type",$C$5,"5 Source No.",$C2441,"4 Item Ledger Entry Type",$C$4,"2 Item No.","@@"&amp;$F2441,"3 Posting Date",Z$9)+NL("Sum","5802 Value Entry","17 Sales Amount (Actual)","41 Source Type",$C$5,"5 Source no.",$C2441,"4 Item Ledger Entry Type",$C$4,"2 Item No.","@@"&amp;$F2441,"3 Posting Date",Z$9)</t>
  </si>
  <si>
    <t>=-NL("Sum","5802 Value Entry","151 Cost Amount (Expected)","41 Source Type",$C$5,"5 Source No.",$C2441,"4 Item Ledger Entry Type",$C$4,"2 Item No.","@@"&amp;$F2441,"3 Posting Date",Z$9)-NL("Sum","5802 Value Entry","43 Cost Amount (Actual)","41 Source Type",$C$5,"5 Source no.",$C2441,"4 Item Ledger Entry Type",$C$4,"2 Item No.","@@"&amp;$F2441,"3 Posting Date",Z$9)</t>
  </si>
  <si>
    <t>=Z2441-AB2441</t>
  </si>
  <si>
    <t>=IF(Z2441&lt;&gt;0,AC2441/Z2441,"")</t>
  </si>
  <si>
    <t>=C2441</t>
  </si>
  <si>
    <t>=NL("Sum","5802 Value Entry","150 Sales Amount (Expected)","41 Source Type",$C$5,"5 Source No.",$C2442,"4 Item Ledger Entry Type",$C$4,"2 Item No.","@@"&amp;$F2442,"3 Posting Date",J$9)+NL("Sum","5802 Value Entry","17 Sales Amount (Actual)","41 Source Type",$C$5,"5 Source no.",$C2442,"4 Item Ledger Entry Type",$C$4,"2 Item No.","@@"&amp;$F2442,"3 Posting Date",J$9)</t>
  </si>
  <si>
    <t>=-NL("Sum","5802 Value Entry","151 Cost Amount (Expected)","41 Source Type",$C$5,"5 Source No.",$C2442,"4 Item Ledger Entry Type",$C$4,"2 Item No.","@@"&amp;$F2442,"3 Posting Date",J$9)-NL("Sum","5802 Value Entry","43 Cost Amount (Actual)","41 Source Type",$C$5,"5 Source no.",$C2442,"4 Item Ledger Entry Type",$C$4,"2 Item No.","@@"&amp;$F2442,"3 Posting Date",J$9)</t>
  </si>
  <si>
    <t>=J2442-L2442</t>
  </si>
  <si>
    <t>=IF(J2442&lt;&gt;0,M2442/J2442,"")</t>
  </si>
  <si>
    <t>=NL("Sum","5802 Value Entry","150 Sales Amount (Expected)","41 Source Type",$C$5,"5 Source No.",$C2442,"4 Item Ledger Entry Type",$C$4,"2 Item No.","@@"&amp;$F2442,"3 Posting Date",O$9)+NL("Sum","5802 Value Entry","17 Sales Amount (Actual)","41 Source Type",$C$5,"5 Source no.",$C2442,"4 Item Ledger Entry Type",$C$4,"2 Item No.","@@"&amp;$F2442,"3 Posting Date",O$9)</t>
  </si>
  <si>
    <t>=-NL("Sum","5802 Value Entry","151 Cost Amount (Expected)","41 Source Type",$C$5,"5 Source No.",$C2442,"4 Item Ledger Entry Type",$C$4,"2 Item No.","@@"&amp;$F2442,"3 Posting Date",O$9)-NL("Sum","5802 Value Entry","43 Cost Amount (Actual)","41 Source Type",$C$5,"5 Source no.",$C2442,"4 Item Ledger Entry Type",$C$4,"2 Item No.","@@"&amp;$F2442,"3 Posting Date",O$9)</t>
  </si>
  <si>
    <t>=O2442-Q2442</t>
  </si>
  <si>
    <t>=IF(O2442&lt;&gt;0,R2442/O2442,"")</t>
  </si>
  <si>
    <t>=NL("Sum","5802 Value Entry","150 Sales Amount (Expected)","41 Source Type",$C$5,"5 Source No.",$C2442,"4 Item Ledger Entry Type",$C$4,"2 Item No.","@@"&amp;$F2442,"3 Posting Date",U$9)+NL("Sum","5802 Value Entry","17 Sales Amount (Actual)","41 Source Type",$C$5,"5 Source no.",$C2442,"4 Item Ledger Entry Type",$C$4,"2 Item No.","@@"&amp;$F2442,"3 Posting Date",U$9)</t>
  </si>
  <si>
    <t>=-NL("Sum","5802 Value Entry","151 Cost Amount (Expected)","41 Source Type",$C$5,"5 Source No.",$C2442,"4 Item Ledger Entry Type",$C$4,"2 Item No.","@@"&amp;$F2442,"3 Posting Date",U$9)-NL("Sum","5802 Value Entry","43 Cost Amount (Actual)","41 Source Type",$C$5,"5 Source no.",$C2442,"4 Item Ledger Entry Type",$C$4,"2 Item No.","@@"&amp;$F2442,"3 Posting Date",U$9)</t>
  </si>
  <si>
    <t>=U2442-W2442</t>
  </si>
  <si>
    <t>=IF(U2442&lt;&gt;0,X2442/U2442,"")</t>
  </si>
  <si>
    <t>=NL("Sum","5802 Value Entry","150 Sales Amount (Expected)","41 Source Type",$C$5,"5 Source No.",$C2442,"4 Item Ledger Entry Type",$C$4,"2 Item No.","@@"&amp;$F2442,"3 Posting Date",Z$9)+NL("Sum","5802 Value Entry","17 Sales Amount (Actual)","41 Source Type",$C$5,"5 Source no.",$C2442,"4 Item Ledger Entry Type",$C$4,"2 Item No.","@@"&amp;$F2442,"3 Posting Date",Z$9)</t>
  </si>
  <si>
    <t>=-NL("Sum","5802 Value Entry","151 Cost Amount (Expected)","41 Source Type",$C$5,"5 Source No.",$C2442,"4 Item Ledger Entry Type",$C$4,"2 Item No.","@@"&amp;$F2442,"3 Posting Date",Z$9)-NL("Sum","5802 Value Entry","43 Cost Amount (Actual)","41 Source Type",$C$5,"5 Source no.",$C2442,"4 Item Ledger Entry Type",$C$4,"2 Item No.","@@"&amp;$F2442,"3 Posting Date",Z$9)</t>
  </si>
  <si>
    <t>=Z2442-AB2442</t>
  </si>
  <si>
    <t>=IF(Z2442&lt;&gt;0,AC2442/Z2442,"")</t>
  </si>
  <si>
    <t>=C2442</t>
  </si>
  <si>
    <t>=NL("Sum","5802 Value Entry","150 Sales Amount (Expected)","41 Source Type",$C$5,"5 Source No.",$C2443,"4 Item Ledger Entry Type",$C$4,"2 Item No.","@@"&amp;$F2443,"3 Posting Date",J$9)+NL("Sum","5802 Value Entry","17 Sales Amount (Actual)","41 Source Type",$C$5,"5 Source no.",$C2443,"4 Item Ledger Entry Type",$C$4,"2 Item No.","@@"&amp;$F2443,"3 Posting Date",J$9)</t>
  </si>
  <si>
    <t>=-NL("Sum","5802 Value Entry","151 Cost Amount (Expected)","41 Source Type",$C$5,"5 Source No.",$C2443,"4 Item Ledger Entry Type",$C$4,"2 Item No.","@@"&amp;$F2443,"3 Posting Date",J$9)-NL("Sum","5802 Value Entry","43 Cost Amount (Actual)","41 Source Type",$C$5,"5 Source no.",$C2443,"4 Item Ledger Entry Type",$C$4,"2 Item No.","@@"&amp;$F2443,"3 Posting Date",J$9)</t>
  </si>
  <si>
    <t>=J2443-L2443</t>
  </si>
  <si>
    <t>=IF(J2443&lt;&gt;0,M2443/J2443,"")</t>
  </si>
  <si>
    <t>=NL("Sum","5802 Value Entry","150 Sales Amount (Expected)","41 Source Type",$C$5,"5 Source No.",$C2443,"4 Item Ledger Entry Type",$C$4,"2 Item No.","@@"&amp;$F2443,"3 Posting Date",O$9)+NL("Sum","5802 Value Entry","17 Sales Amount (Actual)","41 Source Type",$C$5,"5 Source no.",$C2443,"4 Item Ledger Entry Type",$C$4,"2 Item No.","@@"&amp;$F2443,"3 Posting Date",O$9)</t>
  </si>
  <si>
    <t>=-NL("Sum","5802 Value Entry","151 Cost Amount (Expected)","41 Source Type",$C$5,"5 Source No.",$C2443,"4 Item Ledger Entry Type",$C$4,"2 Item No.","@@"&amp;$F2443,"3 Posting Date",O$9)-NL("Sum","5802 Value Entry","43 Cost Amount (Actual)","41 Source Type",$C$5,"5 Source no.",$C2443,"4 Item Ledger Entry Type",$C$4,"2 Item No.","@@"&amp;$F2443,"3 Posting Date",O$9)</t>
  </si>
  <si>
    <t>=O2443-Q2443</t>
  </si>
  <si>
    <t>=IF(O2443&lt;&gt;0,R2443/O2443,"")</t>
  </si>
  <si>
    <t>=NL("Sum","5802 Value Entry","150 Sales Amount (Expected)","41 Source Type",$C$5,"5 Source No.",$C2443,"4 Item Ledger Entry Type",$C$4,"2 Item No.","@@"&amp;$F2443,"3 Posting Date",U$9)+NL("Sum","5802 Value Entry","17 Sales Amount (Actual)","41 Source Type",$C$5,"5 Source no.",$C2443,"4 Item Ledger Entry Type",$C$4,"2 Item No.","@@"&amp;$F2443,"3 Posting Date",U$9)</t>
  </si>
  <si>
    <t>=-NL("Sum","5802 Value Entry","151 Cost Amount (Expected)","41 Source Type",$C$5,"5 Source No.",$C2443,"4 Item Ledger Entry Type",$C$4,"2 Item No.","@@"&amp;$F2443,"3 Posting Date",U$9)-NL("Sum","5802 Value Entry","43 Cost Amount (Actual)","41 Source Type",$C$5,"5 Source no.",$C2443,"4 Item Ledger Entry Type",$C$4,"2 Item No.","@@"&amp;$F2443,"3 Posting Date",U$9)</t>
  </si>
  <si>
    <t>=U2443-W2443</t>
  </si>
  <si>
    <t>=IF(U2443&lt;&gt;0,X2443/U2443,"")</t>
  </si>
  <si>
    <t>=NL("Sum","5802 Value Entry","150 Sales Amount (Expected)","41 Source Type",$C$5,"5 Source No.",$C2443,"4 Item Ledger Entry Type",$C$4,"2 Item No.","@@"&amp;$F2443,"3 Posting Date",Z$9)+NL("Sum","5802 Value Entry","17 Sales Amount (Actual)","41 Source Type",$C$5,"5 Source no.",$C2443,"4 Item Ledger Entry Type",$C$4,"2 Item No.","@@"&amp;$F2443,"3 Posting Date",Z$9)</t>
  </si>
  <si>
    <t>=-NL("Sum","5802 Value Entry","151 Cost Amount (Expected)","41 Source Type",$C$5,"5 Source No.",$C2443,"4 Item Ledger Entry Type",$C$4,"2 Item No.","@@"&amp;$F2443,"3 Posting Date",Z$9)-NL("Sum","5802 Value Entry","43 Cost Amount (Actual)","41 Source Type",$C$5,"5 Source no.",$C2443,"4 Item Ledger Entry Type",$C$4,"2 Item No.","@@"&amp;$F2443,"3 Posting Date",Z$9)</t>
  </si>
  <si>
    <t>=Z2443-AB2443</t>
  </si>
  <si>
    <t>=IF(Z2443&lt;&gt;0,AC2443/Z2443,"")</t>
  </si>
  <si>
    <t>=C2443</t>
  </si>
  <si>
    <t>=NL("Sum","5802 Value Entry","150 Sales Amount (Expected)","41 Source Type",$C$5,"5 Source No.",$C2444,"4 Item Ledger Entry Type",$C$4,"2 Item No.","@@"&amp;$F2444,"3 Posting Date",J$9)+NL("Sum","5802 Value Entry","17 Sales Amount (Actual)","41 Source Type",$C$5,"5 Source no.",$C2444,"4 Item Ledger Entry Type",$C$4,"2 Item No.","@@"&amp;$F2444,"3 Posting Date",J$9)</t>
  </si>
  <si>
    <t>=-NL("Sum","5802 Value Entry","151 Cost Amount (Expected)","41 Source Type",$C$5,"5 Source No.",$C2444,"4 Item Ledger Entry Type",$C$4,"2 Item No.","@@"&amp;$F2444,"3 Posting Date",J$9)-NL("Sum","5802 Value Entry","43 Cost Amount (Actual)","41 Source Type",$C$5,"5 Source no.",$C2444,"4 Item Ledger Entry Type",$C$4,"2 Item No.","@@"&amp;$F2444,"3 Posting Date",J$9)</t>
  </si>
  <si>
    <t>=J2444-L2444</t>
  </si>
  <si>
    <t>=IF(J2444&lt;&gt;0,M2444/J2444,"")</t>
  </si>
  <si>
    <t>=NL("Sum","5802 Value Entry","150 Sales Amount (Expected)","41 Source Type",$C$5,"5 Source No.",$C2444,"4 Item Ledger Entry Type",$C$4,"2 Item No.","@@"&amp;$F2444,"3 Posting Date",O$9)+NL("Sum","5802 Value Entry","17 Sales Amount (Actual)","41 Source Type",$C$5,"5 Source no.",$C2444,"4 Item Ledger Entry Type",$C$4,"2 Item No.","@@"&amp;$F2444,"3 Posting Date",O$9)</t>
  </si>
  <si>
    <t>=-NL("Sum","5802 Value Entry","151 Cost Amount (Expected)","41 Source Type",$C$5,"5 Source No.",$C2444,"4 Item Ledger Entry Type",$C$4,"2 Item No.","@@"&amp;$F2444,"3 Posting Date",O$9)-NL("Sum","5802 Value Entry","43 Cost Amount (Actual)","41 Source Type",$C$5,"5 Source no.",$C2444,"4 Item Ledger Entry Type",$C$4,"2 Item No.","@@"&amp;$F2444,"3 Posting Date",O$9)</t>
  </si>
  <si>
    <t>=O2444-Q2444</t>
  </si>
  <si>
    <t>=IF(O2444&lt;&gt;0,R2444/O2444,"")</t>
  </si>
  <si>
    <t>=NL("Sum","5802 Value Entry","150 Sales Amount (Expected)","41 Source Type",$C$5,"5 Source No.",$C2444,"4 Item Ledger Entry Type",$C$4,"2 Item No.","@@"&amp;$F2444,"3 Posting Date",U$9)+NL("Sum","5802 Value Entry","17 Sales Amount (Actual)","41 Source Type",$C$5,"5 Source no.",$C2444,"4 Item Ledger Entry Type",$C$4,"2 Item No.","@@"&amp;$F2444,"3 Posting Date",U$9)</t>
  </si>
  <si>
    <t>=-NL("Sum","5802 Value Entry","151 Cost Amount (Expected)","41 Source Type",$C$5,"5 Source No.",$C2444,"4 Item Ledger Entry Type",$C$4,"2 Item No.","@@"&amp;$F2444,"3 Posting Date",U$9)-NL("Sum","5802 Value Entry","43 Cost Amount (Actual)","41 Source Type",$C$5,"5 Source no.",$C2444,"4 Item Ledger Entry Type",$C$4,"2 Item No.","@@"&amp;$F2444,"3 Posting Date",U$9)</t>
  </si>
  <si>
    <t>=U2444-W2444</t>
  </si>
  <si>
    <t>=IF(U2444&lt;&gt;0,X2444/U2444,"")</t>
  </si>
  <si>
    <t>=NL("Sum","5802 Value Entry","150 Sales Amount (Expected)","41 Source Type",$C$5,"5 Source No.",$C2444,"4 Item Ledger Entry Type",$C$4,"2 Item No.","@@"&amp;$F2444,"3 Posting Date",Z$9)+NL("Sum","5802 Value Entry","17 Sales Amount (Actual)","41 Source Type",$C$5,"5 Source no.",$C2444,"4 Item Ledger Entry Type",$C$4,"2 Item No.","@@"&amp;$F2444,"3 Posting Date",Z$9)</t>
  </si>
  <si>
    <t>=-NL("Sum","5802 Value Entry","151 Cost Amount (Expected)","41 Source Type",$C$5,"5 Source No.",$C2444,"4 Item Ledger Entry Type",$C$4,"2 Item No.","@@"&amp;$F2444,"3 Posting Date",Z$9)-NL("Sum","5802 Value Entry","43 Cost Amount (Actual)","41 Source Type",$C$5,"5 Source no.",$C2444,"4 Item Ledger Entry Type",$C$4,"2 Item No.","@@"&amp;$F2444,"3 Posting Date",Z$9)</t>
  </si>
  <si>
    <t>=Z2444-AB2444</t>
  </si>
  <si>
    <t>=IF(Z2444&lt;&gt;0,AC2444/Z2444,"")</t>
  </si>
  <si>
    <t>=C2444</t>
  </si>
  <si>
    <t>=NL("Sum","5802 Value Entry","150 Sales Amount (Expected)","41 Source Type",$C$5,"5 Source No.",$C2445,"4 Item Ledger Entry Type",$C$4,"2 Item No.","@@"&amp;$F2445,"3 Posting Date",J$9)+NL("Sum","5802 Value Entry","17 Sales Amount (Actual)","41 Source Type",$C$5,"5 Source no.",$C2445,"4 Item Ledger Entry Type",$C$4,"2 Item No.","@@"&amp;$F2445,"3 Posting Date",J$9)</t>
  </si>
  <si>
    <t>=-NL("Sum","5802 Value Entry","151 Cost Amount (Expected)","41 Source Type",$C$5,"5 Source No.",$C2445,"4 Item Ledger Entry Type",$C$4,"2 Item No.","@@"&amp;$F2445,"3 Posting Date",J$9)-NL("Sum","5802 Value Entry","43 Cost Amount (Actual)","41 Source Type",$C$5,"5 Source no.",$C2445,"4 Item Ledger Entry Type",$C$4,"2 Item No.","@@"&amp;$F2445,"3 Posting Date",J$9)</t>
  </si>
  <si>
    <t>=J2445-L2445</t>
  </si>
  <si>
    <t>=IF(J2445&lt;&gt;0,M2445/J2445,"")</t>
  </si>
  <si>
    <t>=NL("Sum","5802 Value Entry","150 Sales Amount (Expected)","41 Source Type",$C$5,"5 Source No.",$C2445,"4 Item Ledger Entry Type",$C$4,"2 Item No.","@@"&amp;$F2445,"3 Posting Date",O$9)+NL("Sum","5802 Value Entry","17 Sales Amount (Actual)","41 Source Type",$C$5,"5 Source no.",$C2445,"4 Item Ledger Entry Type",$C$4,"2 Item No.","@@"&amp;$F2445,"3 Posting Date",O$9)</t>
  </si>
  <si>
    <t>=-NL("Sum","5802 Value Entry","151 Cost Amount (Expected)","41 Source Type",$C$5,"5 Source No.",$C2445,"4 Item Ledger Entry Type",$C$4,"2 Item No.","@@"&amp;$F2445,"3 Posting Date",O$9)-NL("Sum","5802 Value Entry","43 Cost Amount (Actual)","41 Source Type",$C$5,"5 Source no.",$C2445,"4 Item Ledger Entry Type",$C$4,"2 Item No.","@@"&amp;$F2445,"3 Posting Date",O$9)</t>
  </si>
  <si>
    <t>=O2445-Q2445</t>
  </si>
  <si>
    <t>=IF(O2445&lt;&gt;0,R2445/O2445,"")</t>
  </si>
  <si>
    <t>=NL("Sum","5802 Value Entry","150 Sales Amount (Expected)","41 Source Type",$C$5,"5 Source No.",$C2445,"4 Item Ledger Entry Type",$C$4,"2 Item No.","@@"&amp;$F2445,"3 Posting Date",U$9)+NL("Sum","5802 Value Entry","17 Sales Amount (Actual)","41 Source Type",$C$5,"5 Source no.",$C2445,"4 Item Ledger Entry Type",$C$4,"2 Item No.","@@"&amp;$F2445,"3 Posting Date",U$9)</t>
  </si>
  <si>
    <t>=-NL("Sum","5802 Value Entry","151 Cost Amount (Expected)","41 Source Type",$C$5,"5 Source No.",$C2445,"4 Item Ledger Entry Type",$C$4,"2 Item No.","@@"&amp;$F2445,"3 Posting Date",U$9)-NL("Sum","5802 Value Entry","43 Cost Amount (Actual)","41 Source Type",$C$5,"5 Source no.",$C2445,"4 Item Ledger Entry Type",$C$4,"2 Item No.","@@"&amp;$F2445,"3 Posting Date",U$9)</t>
  </si>
  <si>
    <t>=U2445-W2445</t>
  </si>
  <si>
    <t>=IF(U2445&lt;&gt;0,X2445/U2445,"")</t>
  </si>
  <si>
    <t>=NL("Sum","5802 Value Entry","150 Sales Amount (Expected)","41 Source Type",$C$5,"5 Source No.",$C2445,"4 Item Ledger Entry Type",$C$4,"2 Item No.","@@"&amp;$F2445,"3 Posting Date",Z$9)+NL("Sum","5802 Value Entry","17 Sales Amount (Actual)","41 Source Type",$C$5,"5 Source no.",$C2445,"4 Item Ledger Entry Type",$C$4,"2 Item No.","@@"&amp;$F2445,"3 Posting Date",Z$9)</t>
  </si>
  <si>
    <t>=-NL("Sum","5802 Value Entry","151 Cost Amount (Expected)","41 Source Type",$C$5,"5 Source No.",$C2445,"4 Item Ledger Entry Type",$C$4,"2 Item No.","@@"&amp;$F2445,"3 Posting Date",Z$9)-NL("Sum","5802 Value Entry","43 Cost Amount (Actual)","41 Source Type",$C$5,"5 Source no.",$C2445,"4 Item Ledger Entry Type",$C$4,"2 Item No.","@@"&amp;$F2445,"3 Posting Date",Z$9)</t>
  </si>
  <si>
    <t>=Z2445-AB2445</t>
  </si>
  <si>
    <t>=IF(Z2445&lt;&gt;0,AC2445/Z2445,"")</t>
  </si>
  <si>
    <t>=C2445</t>
  </si>
  <si>
    <t>=NL("Sum","5802 Value Entry","150 Sales Amount (Expected)","41 Source Type",$C$5,"5 Source No.",$C2446,"4 Item Ledger Entry Type",$C$4,"2 Item No.","@@"&amp;$F2446,"3 Posting Date",J$9)+NL("Sum","5802 Value Entry","17 Sales Amount (Actual)","41 Source Type",$C$5,"5 Source no.",$C2446,"4 Item Ledger Entry Type",$C$4,"2 Item No.","@@"&amp;$F2446,"3 Posting Date",J$9)</t>
  </si>
  <si>
    <t>=-NL("Sum","5802 Value Entry","151 Cost Amount (Expected)","41 Source Type",$C$5,"5 Source No.",$C2446,"4 Item Ledger Entry Type",$C$4,"2 Item No.","@@"&amp;$F2446,"3 Posting Date",J$9)-NL("Sum","5802 Value Entry","43 Cost Amount (Actual)","41 Source Type",$C$5,"5 Source no.",$C2446,"4 Item Ledger Entry Type",$C$4,"2 Item No.","@@"&amp;$F2446,"3 Posting Date",J$9)</t>
  </si>
  <si>
    <t>=J2446-L2446</t>
  </si>
  <si>
    <t>=IF(J2446&lt;&gt;0,M2446/J2446,"")</t>
  </si>
  <si>
    <t>=NL("Sum","5802 Value Entry","150 Sales Amount (Expected)","41 Source Type",$C$5,"5 Source No.",$C2446,"4 Item Ledger Entry Type",$C$4,"2 Item No.","@@"&amp;$F2446,"3 Posting Date",O$9)+NL("Sum","5802 Value Entry","17 Sales Amount (Actual)","41 Source Type",$C$5,"5 Source no.",$C2446,"4 Item Ledger Entry Type",$C$4,"2 Item No.","@@"&amp;$F2446,"3 Posting Date",O$9)</t>
  </si>
  <si>
    <t>=-NL("Sum","5802 Value Entry","151 Cost Amount (Expected)","41 Source Type",$C$5,"5 Source No.",$C2446,"4 Item Ledger Entry Type",$C$4,"2 Item No.","@@"&amp;$F2446,"3 Posting Date",O$9)-NL("Sum","5802 Value Entry","43 Cost Amount (Actual)","41 Source Type",$C$5,"5 Source no.",$C2446,"4 Item Ledger Entry Type",$C$4,"2 Item No.","@@"&amp;$F2446,"3 Posting Date",O$9)</t>
  </si>
  <si>
    <t>=O2446-Q2446</t>
  </si>
  <si>
    <t>=IF(O2446&lt;&gt;0,R2446/O2446,"")</t>
  </si>
  <si>
    <t>=NL("Sum","5802 Value Entry","150 Sales Amount (Expected)","41 Source Type",$C$5,"5 Source No.",$C2446,"4 Item Ledger Entry Type",$C$4,"2 Item No.","@@"&amp;$F2446,"3 Posting Date",U$9)+NL("Sum","5802 Value Entry","17 Sales Amount (Actual)","41 Source Type",$C$5,"5 Source no.",$C2446,"4 Item Ledger Entry Type",$C$4,"2 Item No.","@@"&amp;$F2446,"3 Posting Date",U$9)</t>
  </si>
  <si>
    <t>=-NL("Sum","5802 Value Entry","151 Cost Amount (Expected)","41 Source Type",$C$5,"5 Source No.",$C2446,"4 Item Ledger Entry Type",$C$4,"2 Item No.","@@"&amp;$F2446,"3 Posting Date",U$9)-NL("Sum","5802 Value Entry","43 Cost Amount (Actual)","41 Source Type",$C$5,"5 Source no.",$C2446,"4 Item Ledger Entry Type",$C$4,"2 Item No.","@@"&amp;$F2446,"3 Posting Date",U$9)</t>
  </si>
  <si>
    <t>=U2446-W2446</t>
  </si>
  <si>
    <t>=IF(U2446&lt;&gt;0,X2446/U2446,"")</t>
  </si>
  <si>
    <t>=NL("Sum","5802 Value Entry","150 Sales Amount (Expected)","41 Source Type",$C$5,"5 Source No.",$C2446,"4 Item Ledger Entry Type",$C$4,"2 Item No.","@@"&amp;$F2446,"3 Posting Date",Z$9)+NL("Sum","5802 Value Entry","17 Sales Amount (Actual)","41 Source Type",$C$5,"5 Source no.",$C2446,"4 Item Ledger Entry Type",$C$4,"2 Item No.","@@"&amp;$F2446,"3 Posting Date",Z$9)</t>
  </si>
  <si>
    <t>=-NL("Sum","5802 Value Entry","151 Cost Amount (Expected)","41 Source Type",$C$5,"5 Source No.",$C2446,"4 Item Ledger Entry Type",$C$4,"2 Item No.","@@"&amp;$F2446,"3 Posting Date",Z$9)-NL("Sum","5802 Value Entry","43 Cost Amount (Actual)","41 Source Type",$C$5,"5 Source no.",$C2446,"4 Item Ledger Entry Type",$C$4,"2 Item No.","@@"&amp;$F2446,"3 Posting Date",Z$9)</t>
  </si>
  <si>
    <t>=Z2446-AB2446</t>
  </si>
  <si>
    <t>=IF(Z2446&lt;&gt;0,AC2446/Z2446,"")</t>
  </si>
  <si>
    <t>=C2446</t>
  </si>
  <si>
    <t>=NL("Sum","5802 Value Entry","150 Sales Amount (Expected)","41 Source Type",$C$5,"5 Source No.",$C2447,"4 Item Ledger Entry Type",$C$4,"2 Item No.","@@"&amp;$F2447,"3 Posting Date",J$9)+NL("Sum","5802 Value Entry","17 Sales Amount (Actual)","41 Source Type",$C$5,"5 Source no.",$C2447,"4 Item Ledger Entry Type",$C$4,"2 Item No.","@@"&amp;$F2447,"3 Posting Date",J$9)</t>
  </si>
  <si>
    <t>=-NL("Sum","5802 Value Entry","151 Cost Amount (Expected)","41 Source Type",$C$5,"5 Source No.",$C2447,"4 Item Ledger Entry Type",$C$4,"2 Item No.","@@"&amp;$F2447,"3 Posting Date",J$9)-NL("Sum","5802 Value Entry","43 Cost Amount (Actual)","41 Source Type",$C$5,"5 Source no.",$C2447,"4 Item Ledger Entry Type",$C$4,"2 Item No.","@@"&amp;$F2447,"3 Posting Date",J$9)</t>
  </si>
  <si>
    <t>=J2447-L2447</t>
  </si>
  <si>
    <t>=IF(J2447&lt;&gt;0,M2447/J2447,"")</t>
  </si>
  <si>
    <t>=NL("Sum","5802 Value Entry","150 Sales Amount (Expected)","41 Source Type",$C$5,"5 Source No.",$C2447,"4 Item Ledger Entry Type",$C$4,"2 Item No.","@@"&amp;$F2447,"3 Posting Date",O$9)+NL("Sum","5802 Value Entry","17 Sales Amount (Actual)","41 Source Type",$C$5,"5 Source no.",$C2447,"4 Item Ledger Entry Type",$C$4,"2 Item No.","@@"&amp;$F2447,"3 Posting Date",O$9)</t>
  </si>
  <si>
    <t>=-NL("Sum","5802 Value Entry","151 Cost Amount (Expected)","41 Source Type",$C$5,"5 Source No.",$C2447,"4 Item Ledger Entry Type",$C$4,"2 Item No.","@@"&amp;$F2447,"3 Posting Date",O$9)-NL("Sum","5802 Value Entry","43 Cost Amount (Actual)","41 Source Type",$C$5,"5 Source no.",$C2447,"4 Item Ledger Entry Type",$C$4,"2 Item No.","@@"&amp;$F2447,"3 Posting Date",O$9)</t>
  </si>
  <si>
    <t>=O2447-Q2447</t>
  </si>
  <si>
    <t>=IF(O2447&lt;&gt;0,R2447/O2447,"")</t>
  </si>
  <si>
    <t>=NL("Sum","5802 Value Entry","150 Sales Amount (Expected)","41 Source Type",$C$5,"5 Source No.",$C2447,"4 Item Ledger Entry Type",$C$4,"2 Item No.","@@"&amp;$F2447,"3 Posting Date",U$9)+NL("Sum","5802 Value Entry","17 Sales Amount (Actual)","41 Source Type",$C$5,"5 Source no.",$C2447,"4 Item Ledger Entry Type",$C$4,"2 Item No.","@@"&amp;$F2447,"3 Posting Date",U$9)</t>
  </si>
  <si>
    <t>=-NL("Sum","5802 Value Entry","151 Cost Amount (Expected)","41 Source Type",$C$5,"5 Source No.",$C2447,"4 Item Ledger Entry Type",$C$4,"2 Item No.","@@"&amp;$F2447,"3 Posting Date",U$9)-NL("Sum","5802 Value Entry","43 Cost Amount (Actual)","41 Source Type",$C$5,"5 Source no.",$C2447,"4 Item Ledger Entry Type",$C$4,"2 Item No.","@@"&amp;$F2447,"3 Posting Date",U$9)</t>
  </si>
  <si>
    <t>=U2447-W2447</t>
  </si>
  <si>
    <t>=IF(U2447&lt;&gt;0,X2447/U2447,"")</t>
  </si>
  <si>
    <t>=NL("Sum","5802 Value Entry","150 Sales Amount (Expected)","41 Source Type",$C$5,"5 Source No.",$C2447,"4 Item Ledger Entry Type",$C$4,"2 Item No.","@@"&amp;$F2447,"3 Posting Date",Z$9)+NL("Sum","5802 Value Entry","17 Sales Amount (Actual)","41 Source Type",$C$5,"5 Source no.",$C2447,"4 Item Ledger Entry Type",$C$4,"2 Item No.","@@"&amp;$F2447,"3 Posting Date",Z$9)</t>
  </si>
  <si>
    <t>=-NL("Sum","5802 Value Entry","151 Cost Amount (Expected)","41 Source Type",$C$5,"5 Source No.",$C2447,"4 Item Ledger Entry Type",$C$4,"2 Item No.","@@"&amp;$F2447,"3 Posting Date",Z$9)-NL("Sum","5802 Value Entry","43 Cost Amount (Actual)","41 Source Type",$C$5,"5 Source no.",$C2447,"4 Item Ledger Entry Type",$C$4,"2 Item No.","@@"&amp;$F2447,"3 Posting Date",Z$9)</t>
  </si>
  <si>
    <t>=Z2447-AB2447</t>
  </si>
  <si>
    <t>=IF(Z2447&lt;&gt;0,AC2447/Z2447,"")</t>
  </si>
  <si>
    <t>=C2447</t>
  </si>
  <si>
    <t>=NL("Sum","5802 Value Entry","150 Sales Amount (Expected)","41 Source Type",$C$5,"5 Source No.",$C2448,"4 Item Ledger Entry Type",$C$4,"2 Item No.","@@"&amp;$F2448,"3 Posting Date",J$9)+NL("Sum","5802 Value Entry","17 Sales Amount (Actual)","41 Source Type",$C$5,"5 Source no.",$C2448,"4 Item Ledger Entry Type",$C$4,"2 Item No.","@@"&amp;$F2448,"3 Posting Date",J$9)</t>
  </si>
  <si>
    <t>=-NL("Sum","5802 Value Entry","151 Cost Amount (Expected)","41 Source Type",$C$5,"5 Source No.",$C2448,"4 Item Ledger Entry Type",$C$4,"2 Item No.","@@"&amp;$F2448,"3 Posting Date",J$9)-NL("Sum","5802 Value Entry","43 Cost Amount (Actual)","41 Source Type",$C$5,"5 Source no.",$C2448,"4 Item Ledger Entry Type",$C$4,"2 Item No.","@@"&amp;$F2448,"3 Posting Date",J$9)</t>
  </si>
  <si>
    <t>=J2448-L2448</t>
  </si>
  <si>
    <t>=IF(J2448&lt;&gt;0,M2448/J2448,"")</t>
  </si>
  <si>
    <t>=NL("Sum","5802 Value Entry","150 Sales Amount (Expected)","41 Source Type",$C$5,"5 Source No.",$C2448,"4 Item Ledger Entry Type",$C$4,"2 Item No.","@@"&amp;$F2448,"3 Posting Date",O$9)+NL("Sum","5802 Value Entry","17 Sales Amount (Actual)","41 Source Type",$C$5,"5 Source no.",$C2448,"4 Item Ledger Entry Type",$C$4,"2 Item No.","@@"&amp;$F2448,"3 Posting Date",O$9)</t>
  </si>
  <si>
    <t>=-NL("Sum","5802 Value Entry","151 Cost Amount (Expected)","41 Source Type",$C$5,"5 Source No.",$C2448,"4 Item Ledger Entry Type",$C$4,"2 Item No.","@@"&amp;$F2448,"3 Posting Date",O$9)-NL("Sum","5802 Value Entry","43 Cost Amount (Actual)","41 Source Type",$C$5,"5 Source no.",$C2448,"4 Item Ledger Entry Type",$C$4,"2 Item No.","@@"&amp;$F2448,"3 Posting Date",O$9)</t>
  </si>
  <si>
    <t>=O2448-Q2448</t>
  </si>
  <si>
    <t>=IF(O2448&lt;&gt;0,R2448/O2448,"")</t>
  </si>
  <si>
    <t>=NL("Sum","5802 Value Entry","150 Sales Amount (Expected)","41 Source Type",$C$5,"5 Source No.",$C2448,"4 Item Ledger Entry Type",$C$4,"2 Item No.","@@"&amp;$F2448,"3 Posting Date",U$9)+NL("Sum","5802 Value Entry","17 Sales Amount (Actual)","41 Source Type",$C$5,"5 Source no.",$C2448,"4 Item Ledger Entry Type",$C$4,"2 Item No.","@@"&amp;$F2448,"3 Posting Date",U$9)</t>
  </si>
  <si>
    <t>=-NL("Sum","5802 Value Entry","151 Cost Amount (Expected)","41 Source Type",$C$5,"5 Source No.",$C2448,"4 Item Ledger Entry Type",$C$4,"2 Item No.","@@"&amp;$F2448,"3 Posting Date",U$9)-NL("Sum","5802 Value Entry","43 Cost Amount (Actual)","41 Source Type",$C$5,"5 Source no.",$C2448,"4 Item Ledger Entry Type",$C$4,"2 Item No.","@@"&amp;$F2448,"3 Posting Date",U$9)</t>
  </si>
  <si>
    <t>=U2448-W2448</t>
  </si>
  <si>
    <t>=IF(U2448&lt;&gt;0,X2448/U2448,"")</t>
  </si>
  <si>
    <t>=NL("Sum","5802 Value Entry","150 Sales Amount (Expected)","41 Source Type",$C$5,"5 Source No.",$C2448,"4 Item Ledger Entry Type",$C$4,"2 Item No.","@@"&amp;$F2448,"3 Posting Date",Z$9)+NL("Sum","5802 Value Entry","17 Sales Amount (Actual)","41 Source Type",$C$5,"5 Source no.",$C2448,"4 Item Ledger Entry Type",$C$4,"2 Item No.","@@"&amp;$F2448,"3 Posting Date",Z$9)</t>
  </si>
  <si>
    <t>=-NL("Sum","5802 Value Entry","151 Cost Amount (Expected)","41 Source Type",$C$5,"5 Source No.",$C2448,"4 Item Ledger Entry Type",$C$4,"2 Item No.","@@"&amp;$F2448,"3 Posting Date",Z$9)-NL("Sum","5802 Value Entry","43 Cost Amount (Actual)","41 Source Type",$C$5,"5 Source no.",$C2448,"4 Item Ledger Entry Type",$C$4,"2 Item No.","@@"&amp;$F2448,"3 Posting Date",Z$9)</t>
  </si>
  <si>
    <t>=Z2448-AB2448</t>
  </si>
  <si>
    <t>=IF(Z2448&lt;&gt;0,AC2448/Z2448,"")</t>
  </si>
  <si>
    <t>=C2448</t>
  </si>
  <si>
    <t>=NL("Sum","5802 Value Entry","150 Sales Amount (Expected)","41 Source Type",$C$5,"5 Source No.",$C2449,"4 Item Ledger Entry Type",$C$4,"2 Item No.","@@"&amp;$F2449,"3 Posting Date",J$9)+NL("Sum","5802 Value Entry","17 Sales Amount (Actual)","41 Source Type",$C$5,"5 Source no.",$C2449,"4 Item Ledger Entry Type",$C$4,"2 Item No.","@@"&amp;$F2449,"3 Posting Date",J$9)</t>
  </si>
  <si>
    <t>=-NL("Sum","5802 Value Entry","151 Cost Amount (Expected)","41 Source Type",$C$5,"5 Source No.",$C2449,"4 Item Ledger Entry Type",$C$4,"2 Item No.","@@"&amp;$F2449,"3 Posting Date",J$9)-NL("Sum","5802 Value Entry","43 Cost Amount (Actual)","41 Source Type",$C$5,"5 Source no.",$C2449,"4 Item Ledger Entry Type",$C$4,"2 Item No.","@@"&amp;$F2449,"3 Posting Date",J$9)</t>
  </si>
  <si>
    <t>=J2449-L2449</t>
  </si>
  <si>
    <t>=IF(J2449&lt;&gt;0,M2449/J2449,"")</t>
  </si>
  <si>
    <t>=NL("Sum","5802 Value Entry","150 Sales Amount (Expected)","41 Source Type",$C$5,"5 Source No.",$C2449,"4 Item Ledger Entry Type",$C$4,"2 Item No.","@@"&amp;$F2449,"3 Posting Date",O$9)+NL("Sum","5802 Value Entry","17 Sales Amount (Actual)","41 Source Type",$C$5,"5 Source no.",$C2449,"4 Item Ledger Entry Type",$C$4,"2 Item No.","@@"&amp;$F2449,"3 Posting Date",O$9)</t>
  </si>
  <si>
    <t>=-NL("Sum","5802 Value Entry","151 Cost Amount (Expected)","41 Source Type",$C$5,"5 Source No.",$C2449,"4 Item Ledger Entry Type",$C$4,"2 Item No.","@@"&amp;$F2449,"3 Posting Date",O$9)-NL("Sum","5802 Value Entry","43 Cost Amount (Actual)","41 Source Type",$C$5,"5 Source no.",$C2449,"4 Item Ledger Entry Type",$C$4,"2 Item No.","@@"&amp;$F2449,"3 Posting Date",O$9)</t>
  </si>
  <si>
    <t>=O2449-Q2449</t>
  </si>
  <si>
    <t>=IF(O2449&lt;&gt;0,R2449/O2449,"")</t>
  </si>
  <si>
    <t>=NL("Sum","5802 Value Entry","150 Sales Amount (Expected)","41 Source Type",$C$5,"5 Source No.",$C2449,"4 Item Ledger Entry Type",$C$4,"2 Item No.","@@"&amp;$F2449,"3 Posting Date",U$9)+NL("Sum","5802 Value Entry","17 Sales Amount (Actual)","41 Source Type",$C$5,"5 Source no.",$C2449,"4 Item Ledger Entry Type",$C$4,"2 Item No.","@@"&amp;$F2449,"3 Posting Date",U$9)</t>
  </si>
  <si>
    <t>=-NL("Sum","5802 Value Entry","151 Cost Amount (Expected)","41 Source Type",$C$5,"5 Source No.",$C2449,"4 Item Ledger Entry Type",$C$4,"2 Item No.","@@"&amp;$F2449,"3 Posting Date",U$9)-NL("Sum","5802 Value Entry","43 Cost Amount (Actual)","41 Source Type",$C$5,"5 Source no.",$C2449,"4 Item Ledger Entry Type",$C$4,"2 Item No.","@@"&amp;$F2449,"3 Posting Date",U$9)</t>
  </si>
  <si>
    <t>=U2449-W2449</t>
  </si>
  <si>
    <t>=IF(U2449&lt;&gt;0,X2449/U2449,"")</t>
  </si>
  <si>
    <t>=NL("Sum","5802 Value Entry","150 Sales Amount (Expected)","41 Source Type",$C$5,"5 Source No.",$C2449,"4 Item Ledger Entry Type",$C$4,"2 Item No.","@@"&amp;$F2449,"3 Posting Date",Z$9)+NL("Sum","5802 Value Entry","17 Sales Amount (Actual)","41 Source Type",$C$5,"5 Source no.",$C2449,"4 Item Ledger Entry Type",$C$4,"2 Item No.","@@"&amp;$F2449,"3 Posting Date",Z$9)</t>
  </si>
  <si>
    <t>=-NL("Sum","5802 Value Entry","151 Cost Amount (Expected)","41 Source Type",$C$5,"5 Source No.",$C2449,"4 Item Ledger Entry Type",$C$4,"2 Item No.","@@"&amp;$F2449,"3 Posting Date",Z$9)-NL("Sum","5802 Value Entry","43 Cost Amount (Actual)","41 Source Type",$C$5,"5 Source no.",$C2449,"4 Item Ledger Entry Type",$C$4,"2 Item No.","@@"&amp;$F2449,"3 Posting Date",Z$9)</t>
  </si>
  <si>
    <t>=Z2449-AB2449</t>
  </si>
  <si>
    <t>=IF(Z2449&lt;&gt;0,AC2449/Z2449,"")</t>
  </si>
  <si>
    <t>=C2449</t>
  </si>
  <si>
    <t>=NL("Sum","5802 Value Entry","150 Sales Amount (Expected)","41 Source Type",$C$5,"5 Source No.",$C2450,"4 Item Ledger Entry Type",$C$4,"2 Item No.","@@"&amp;$F2450,"3 Posting Date",J$9)+NL("Sum","5802 Value Entry","17 Sales Amount (Actual)","41 Source Type",$C$5,"5 Source no.",$C2450,"4 Item Ledger Entry Type",$C$4,"2 Item No.","@@"&amp;$F2450,"3 Posting Date",J$9)</t>
  </si>
  <si>
    <t>=-NL("Sum","5802 Value Entry","151 Cost Amount (Expected)","41 Source Type",$C$5,"5 Source No.",$C2450,"4 Item Ledger Entry Type",$C$4,"2 Item No.","@@"&amp;$F2450,"3 Posting Date",J$9)-NL("Sum","5802 Value Entry","43 Cost Amount (Actual)","41 Source Type",$C$5,"5 Source no.",$C2450,"4 Item Ledger Entry Type",$C$4,"2 Item No.","@@"&amp;$F2450,"3 Posting Date",J$9)</t>
  </si>
  <si>
    <t>=J2450-L2450</t>
  </si>
  <si>
    <t>=IF(J2450&lt;&gt;0,M2450/J2450,"")</t>
  </si>
  <si>
    <t>=NL("Sum","5802 Value Entry","150 Sales Amount (Expected)","41 Source Type",$C$5,"5 Source No.",$C2450,"4 Item Ledger Entry Type",$C$4,"2 Item No.","@@"&amp;$F2450,"3 Posting Date",O$9)+NL("Sum","5802 Value Entry","17 Sales Amount (Actual)","41 Source Type",$C$5,"5 Source no.",$C2450,"4 Item Ledger Entry Type",$C$4,"2 Item No.","@@"&amp;$F2450,"3 Posting Date",O$9)</t>
  </si>
  <si>
    <t>=-NL("Sum","5802 Value Entry","151 Cost Amount (Expected)","41 Source Type",$C$5,"5 Source No.",$C2450,"4 Item Ledger Entry Type",$C$4,"2 Item No.","@@"&amp;$F2450,"3 Posting Date",O$9)-NL("Sum","5802 Value Entry","43 Cost Amount (Actual)","41 Source Type",$C$5,"5 Source no.",$C2450,"4 Item Ledger Entry Type",$C$4,"2 Item No.","@@"&amp;$F2450,"3 Posting Date",O$9)</t>
  </si>
  <si>
    <t>=O2450-Q2450</t>
  </si>
  <si>
    <t>=IF(O2450&lt;&gt;0,R2450/O2450,"")</t>
  </si>
  <si>
    <t>=NL("Sum","5802 Value Entry","150 Sales Amount (Expected)","41 Source Type",$C$5,"5 Source No.",$C2450,"4 Item Ledger Entry Type",$C$4,"2 Item No.","@@"&amp;$F2450,"3 Posting Date",U$9)+NL("Sum","5802 Value Entry","17 Sales Amount (Actual)","41 Source Type",$C$5,"5 Source no.",$C2450,"4 Item Ledger Entry Type",$C$4,"2 Item No.","@@"&amp;$F2450,"3 Posting Date",U$9)</t>
  </si>
  <si>
    <t>=-NL("Sum","5802 Value Entry","151 Cost Amount (Expected)","41 Source Type",$C$5,"5 Source No.",$C2450,"4 Item Ledger Entry Type",$C$4,"2 Item No.","@@"&amp;$F2450,"3 Posting Date",U$9)-NL("Sum","5802 Value Entry","43 Cost Amount (Actual)","41 Source Type",$C$5,"5 Source no.",$C2450,"4 Item Ledger Entry Type",$C$4,"2 Item No.","@@"&amp;$F2450,"3 Posting Date",U$9)</t>
  </si>
  <si>
    <t>=U2450-W2450</t>
  </si>
  <si>
    <t>=IF(U2450&lt;&gt;0,X2450/U2450,"")</t>
  </si>
  <si>
    <t>=NL("Sum","5802 Value Entry","150 Sales Amount (Expected)","41 Source Type",$C$5,"5 Source No.",$C2450,"4 Item Ledger Entry Type",$C$4,"2 Item No.","@@"&amp;$F2450,"3 Posting Date",Z$9)+NL("Sum","5802 Value Entry","17 Sales Amount (Actual)","41 Source Type",$C$5,"5 Source no.",$C2450,"4 Item Ledger Entry Type",$C$4,"2 Item No.","@@"&amp;$F2450,"3 Posting Date",Z$9)</t>
  </si>
  <si>
    <t>=-NL("Sum","5802 Value Entry","151 Cost Amount (Expected)","41 Source Type",$C$5,"5 Source No.",$C2450,"4 Item Ledger Entry Type",$C$4,"2 Item No.","@@"&amp;$F2450,"3 Posting Date",Z$9)-NL("Sum","5802 Value Entry","43 Cost Amount (Actual)","41 Source Type",$C$5,"5 Source no.",$C2450,"4 Item Ledger Entry Type",$C$4,"2 Item No.","@@"&amp;$F2450,"3 Posting Date",Z$9)</t>
  </si>
  <si>
    <t>=Z2450-AB2450</t>
  </si>
  <si>
    <t>=IF(Z2450&lt;&gt;0,AC2450/Z2450,"")</t>
  </si>
  <si>
    <t>=C2451</t>
  </si>
  <si>
    <t>=J2452-L2452</t>
  </si>
  <si>
    <t>=IF(J2452&lt;&gt;0,M2452/J2452,"")</t>
  </si>
  <si>
    <t>=O2452-Q2452</t>
  </si>
  <si>
    <t>=IF(O2452&lt;&gt;0,R2452/O2452,"")</t>
  </si>
  <si>
    <t>=U2452-W2452</t>
  </si>
  <si>
    <t>=IF(U2452&lt;&gt;0,X2452/U2452,"")</t>
  </si>
  <si>
    <t>=Z2452-AB2452</t>
  </si>
  <si>
    <t>=IF(Z2452&lt;&gt;0,AC2452/Z2452,"")</t>
  </si>
  <si>
    <t>="C100112"</t>
  </si>
  <si>
    <t>=C2454</t>
  </si>
  <si>
    <t>=C2455</t>
  </si>
  <si>
    <t>=NL("Sum","5802 Value Entry","150 Sales Amount (Expected)","41 Source Type",$C$5,"5 Source No.",$C2456,"4 Item Ledger Entry Type",$C$4,"2 Item No.","@@"&amp;$F2456,"3 Posting Date",J$9)+NL("Sum","5802 Value Entry","17 Sales Amount (Actual)","41 Source Type",$C$5,"5 Source no.",$C2456,"4 Item Ledger Entry Type",$C$4,"2 Item No.","@@"&amp;$F2456,"3 Posting Date",J$9)</t>
  </si>
  <si>
    <t>=-NL("Sum","5802 Value Entry","151 Cost Amount (Expected)","41 Source Type",$C$5,"5 Source No.",$C2456,"4 Item Ledger Entry Type",$C$4,"2 Item No.","@@"&amp;$F2456,"3 Posting Date",J$9)-NL("Sum","5802 Value Entry","43 Cost Amount (Actual)","41 Source Type",$C$5,"5 Source no.",$C2456,"4 Item Ledger Entry Type",$C$4,"2 Item No.","@@"&amp;$F2456,"3 Posting Date",J$9)</t>
  </si>
  <si>
    <t>=J2456-L2456</t>
  </si>
  <si>
    <t>=IF(J2456&lt;&gt;0,M2456/J2456,"")</t>
  </si>
  <si>
    <t>=NL("Sum","5802 Value Entry","150 Sales Amount (Expected)","41 Source Type",$C$5,"5 Source No.",$C2456,"4 Item Ledger Entry Type",$C$4,"2 Item No.","@@"&amp;$F2456,"3 Posting Date",O$9)+NL("Sum","5802 Value Entry","17 Sales Amount (Actual)","41 Source Type",$C$5,"5 Source no.",$C2456,"4 Item Ledger Entry Type",$C$4,"2 Item No.","@@"&amp;$F2456,"3 Posting Date",O$9)</t>
  </si>
  <si>
    <t>=-NL("Sum","5802 Value Entry","151 Cost Amount (Expected)","41 Source Type",$C$5,"5 Source No.",$C2456,"4 Item Ledger Entry Type",$C$4,"2 Item No.","@@"&amp;$F2456,"3 Posting Date",O$9)-NL("Sum","5802 Value Entry","43 Cost Amount (Actual)","41 Source Type",$C$5,"5 Source no.",$C2456,"4 Item Ledger Entry Type",$C$4,"2 Item No.","@@"&amp;$F2456,"3 Posting Date",O$9)</t>
  </si>
  <si>
    <t>=O2456-Q2456</t>
  </si>
  <si>
    <t>=IF(O2456&lt;&gt;0,R2456/O2456,"")</t>
  </si>
  <si>
    <t>=NL("Sum","5802 Value Entry","150 Sales Amount (Expected)","41 Source Type",$C$5,"5 Source No.",$C2456,"4 Item Ledger Entry Type",$C$4,"2 Item No.","@@"&amp;$F2456,"3 Posting Date",U$9)+NL("Sum","5802 Value Entry","17 Sales Amount (Actual)","41 Source Type",$C$5,"5 Source no.",$C2456,"4 Item Ledger Entry Type",$C$4,"2 Item No.","@@"&amp;$F2456,"3 Posting Date",U$9)</t>
  </si>
  <si>
    <t>=-NL("Sum","5802 Value Entry","151 Cost Amount (Expected)","41 Source Type",$C$5,"5 Source No.",$C2456,"4 Item Ledger Entry Type",$C$4,"2 Item No.","@@"&amp;$F2456,"3 Posting Date",U$9)-NL("Sum","5802 Value Entry","43 Cost Amount (Actual)","41 Source Type",$C$5,"5 Source no.",$C2456,"4 Item Ledger Entry Type",$C$4,"2 Item No.","@@"&amp;$F2456,"3 Posting Date",U$9)</t>
  </si>
  <si>
    <t>=U2456-W2456</t>
  </si>
  <si>
    <t>=IF(U2456&lt;&gt;0,X2456/U2456,"")</t>
  </si>
  <si>
    <t>=NL("Sum","5802 Value Entry","150 Sales Amount (Expected)","41 Source Type",$C$5,"5 Source No.",$C2456,"4 Item Ledger Entry Type",$C$4,"2 Item No.","@@"&amp;$F2456,"3 Posting Date",Z$9)+NL("Sum","5802 Value Entry","17 Sales Amount (Actual)","41 Source Type",$C$5,"5 Source no.",$C2456,"4 Item Ledger Entry Type",$C$4,"2 Item No.","@@"&amp;$F2456,"3 Posting Date",Z$9)</t>
  </si>
  <si>
    <t>=-NL("Sum","5802 Value Entry","151 Cost Amount (Expected)","41 Source Type",$C$5,"5 Source No.",$C2456,"4 Item Ledger Entry Type",$C$4,"2 Item No.","@@"&amp;$F2456,"3 Posting Date",Z$9)-NL("Sum","5802 Value Entry","43 Cost Amount (Actual)","41 Source Type",$C$5,"5 Source no.",$C2456,"4 Item Ledger Entry Type",$C$4,"2 Item No.","@@"&amp;$F2456,"3 Posting Date",Z$9)</t>
  </si>
  <si>
    <t>=Z2456-AB2456</t>
  </si>
  <si>
    <t>=IF(Z2456&lt;&gt;0,AC2456/Z2456,"")</t>
  </si>
  <si>
    <t>=C2456</t>
  </si>
  <si>
    <t>=NL("Sum","5802 Value Entry","150 Sales Amount (Expected)","41 Source Type",$C$5,"5 Source No.",$C2457,"4 Item Ledger Entry Type",$C$4,"2 Item No.","@@"&amp;$F2457,"3 Posting Date",J$9)+NL("Sum","5802 Value Entry","17 Sales Amount (Actual)","41 Source Type",$C$5,"5 Source no.",$C2457,"4 Item Ledger Entry Type",$C$4,"2 Item No.","@@"&amp;$F2457,"3 Posting Date",J$9)</t>
  </si>
  <si>
    <t>=-NL("Sum","5802 Value Entry","151 Cost Amount (Expected)","41 Source Type",$C$5,"5 Source No.",$C2457,"4 Item Ledger Entry Type",$C$4,"2 Item No.","@@"&amp;$F2457,"3 Posting Date",J$9)-NL("Sum","5802 Value Entry","43 Cost Amount (Actual)","41 Source Type",$C$5,"5 Source no.",$C2457,"4 Item Ledger Entry Type",$C$4,"2 Item No.","@@"&amp;$F2457,"3 Posting Date",J$9)</t>
  </si>
  <si>
    <t>=J2457-L2457</t>
  </si>
  <si>
    <t>=IF(J2457&lt;&gt;0,M2457/J2457,"")</t>
  </si>
  <si>
    <t>=NL("Sum","5802 Value Entry","150 Sales Amount (Expected)","41 Source Type",$C$5,"5 Source No.",$C2457,"4 Item Ledger Entry Type",$C$4,"2 Item No.","@@"&amp;$F2457,"3 Posting Date",O$9)+NL("Sum","5802 Value Entry","17 Sales Amount (Actual)","41 Source Type",$C$5,"5 Source no.",$C2457,"4 Item Ledger Entry Type",$C$4,"2 Item No.","@@"&amp;$F2457,"3 Posting Date",O$9)</t>
  </si>
  <si>
    <t>=-NL("Sum","5802 Value Entry","151 Cost Amount (Expected)","41 Source Type",$C$5,"5 Source No.",$C2457,"4 Item Ledger Entry Type",$C$4,"2 Item No.","@@"&amp;$F2457,"3 Posting Date",O$9)-NL("Sum","5802 Value Entry","43 Cost Amount (Actual)","41 Source Type",$C$5,"5 Source no.",$C2457,"4 Item Ledger Entry Type",$C$4,"2 Item No.","@@"&amp;$F2457,"3 Posting Date",O$9)</t>
  </si>
  <si>
    <t>=O2457-Q2457</t>
  </si>
  <si>
    <t>=IF(O2457&lt;&gt;0,R2457/O2457,"")</t>
  </si>
  <si>
    <t>=NL("Sum","5802 Value Entry","150 Sales Amount (Expected)","41 Source Type",$C$5,"5 Source No.",$C2457,"4 Item Ledger Entry Type",$C$4,"2 Item No.","@@"&amp;$F2457,"3 Posting Date",U$9)+NL("Sum","5802 Value Entry","17 Sales Amount (Actual)","41 Source Type",$C$5,"5 Source no.",$C2457,"4 Item Ledger Entry Type",$C$4,"2 Item No.","@@"&amp;$F2457,"3 Posting Date",U$9)</t>
  </si>
  <si>
    <t>=-NL("Sum","5802 Value Entry","151 Cost Amount (Expected)","41 Source Type",$C$5,"5 Source No.",$C2457,"4 Item Ledger Entry Type",$C$4,"2 Item No.","@@"&amp;$F2457,"3 Posting Date",U$9)-NL("Sum","5802 Value Entry","43 Cost Amount (Actual)","41 Source Type",$C$5,"5 Source no.",$C2457,"4 Item Ledger Entry Type",$C$4,"2 Item No.","@@"&amp;$F2457,"3 Posting Date",U$9)</t>
  </si>
  <si>
    <t>=U2457-W2457</t>
  </si>
  <si>
    <t>=IF(U2457&lt;&gt;0,X2457/U2457,"")</t>
  </si>
  <si>
    <t>=NL("Sum","5802 Value Entry","150 Sales Amount (Expected)","41 Source Type",$C$5,"5 Source No.",$C2457,"4 Item Ledger Entry Type",$C$4,"2 Item No.","@@"&amp;$F2457,"3 Posting Date",Z$9)+NL("Sum","5802 Value Entry","17 Sales Amount (Actual)","41 Source Type",$C$5,"5 Source no.",$C2457,"4 Item Ledger Entry Type",$C$4,"2 Item No.","@@"&amp;$F2457,"3 Posting Date",Z$9)</t>
  </si>
  <si>
    <t>=-NL("Sum","5802 Value Entry","151 Cost Amount (Expected)","41 Source Type",$C$5,"5 Source No.",$C2457,"4 Item Ledger Entry Type",$C$4,"2 Item No.","@@"&amp;$F2457,"3 Posting Date",Z$9)-NL("Sum","5802 Value Entry","43 Cost Amount (Actual)","41 Source Type",$C$5,"5 Source no.",$C2457,"4 Item Ledger Entry Type",$C$4,"2 Item No.","@@"&amp;$F2457,"3 Posting Date",Z$9)</t>
  </si>
  <si>
    <t>=Z2457-AB2457</t>
  </si>
  <si>
    <t>=IF(Z2457&lt;&gt;0,AC2457/Z2457,"")</t>
  </si>
  <si>
    <t>=C2457</t>
  </si>
  <si>
    <t>=NL("Sum","5802 Value Entry","150 Sales Amount (Expected)","41 Source Type",$C$5,"5 Source No.",$C2458,"4 Item Ledger Entry Type",$C$4,"2 Item No.","@@"&amp;$F2458,"3 Posting Date",J$9)+NL("Sum","5802 Value Entry","17 Sales Amount (Actual)","41 Source Type",$C$5,"5 Source no.",$C2458,"4 Item Ledger Entry Type",$C$4,"2 Item No.","@@"&amp;$F2458,"3 Posting Date",J$9)</t>
  </si>
  <si>
    <t>=-NL("Sum","5802 Value Entry","151 Cost Amount (Expected)","41 Source Type",$C$5,"5 Source No.",$C2458,"4 Item Ledger Entry Type",$C$4,"2 Item No.","@@"&amp;$F2458,"3 Posting Date",J$9)-NL("Sum","5802 Value Entry","43 Cost Amount (Actual)","41 Source Type",$C$5,"5 Source no.",$C2458,"4 Item Ledger Entry Type",$C$4,"2 Item No.","@@"&amp;$F2458,"3 Posting Date",J$9)</t>
  </si>
  <si>
    <t>=J2458-L2458</t>
  </si>
  <si>
    <t>=IF(J2458&lt;&gt;0,M2458/J2458,"")</t>
  </si>
  <si>
    <t>=NL("Sum","5802 Value Entry","150 Sales Amount (Expected)","41 Source Type",$C$5,"5 Source No.",$C2458,"4 Item Ledger Entry Type",$C$4,"2 Item No.","@@"&amp;$F2458,"3 Posting Date",O$9)+NL("Sum","5802 Value Entry","17 Sales Amount (Actual)","41 Source Type",$C$5,"5 Source no.",$C2458,"4 Item Ledger Entry Type",$C$4,"2 Item No.","@@"&amp;$F2458,"3 Posting Date",O$9)</t>
  </si>
  <si>
    <t>=-NL("Sum","5802 Value Entry","151 Cost Amount (Expected)","41 Source Type",$C$5,"5 Source No.",$C2458,"4 Item Ledger Entry Type",$C$4,"2 Item No.","@@"&amp;$F2458,"3 Posting Date",O$9)-NL("Sum","5802 Value Entry","43 Cost Amount (Actual)","41 Source Type",$C$5,"5 Source no.",$C2458,"4 Item Ledger Entry Type",$C$4,"2 Item No.","@@"&amp;$F2458,"3 Posting Date",O$9)</t>
  </si>
  <si>
    <t>=O2458-Q2458</t>
  </si>
  <si>
    <t>=IF(O2458&lt;&gt;0,R2458/O2458,"")</t>
  </si>
  <si>
    <t>=NL("Sum","5802 Value Entry","150 Sales Amount (Expected)","41 Source Type",$C$5,"5 Source No.",$C2458,"4 Item Ledger Entry Type",$C$4,"2 Item No.","@@"&amp;$F2458,"3 Posting Date",U$9)+NL("Sum","5802 Value Entry","17 Sales Amount (Actual)","41 Source Type",$C$5,"5 Source no.",$C2458,"4 Item Ledger Entry Type",$C$4,"2 Item No.","@@"&amp;$F2458,"3 Posting Date",U$9)</t>
  </si>
  <si>
    <t>=-NL("Sum","5802 Value Entry","151 Cost Amount (Expected)","41 Source Type",$C$5,"5 Source No.",$C2458,"4 Item Ledger Entry Type",$C$4,"2 Item No.","@@"&amp;$F2458,"3 Posting Date",U$9)-NL("Sum","5802 Value Entry","43 Cost Amount (Actual)","41 Source Type",$C$5,"5 Source no.",$C2458,"4 Item Ledger Entry Type",$C$4,"2 Item No.","@@"&amp;$F2458,"3 Posting Date",U$9)</t>
  </si>
  <si>
    <t>=U2458-W2458</t>
  </si>
  <si>
    <t>=IF(U2458&lt;&gt;0,X2458/U2458,"")</t>
  </si>
  <si>
    <t>=NL("Sum","5802 Value Entry","150 Sales Amount (Expected)","41 Source Type",$C$5,"5 Source No.",$C2458,"4 Item Ledger Entry Type",$C$4,"2 Item No.","@@"&amp;$F2458,"3 Posting Date",Z$9)+NL("Sum","5802 Value Entry","17 Sales Amount (Actual)","41 Source Type",$C$5,"5 Source no.",$C2458,"4 Item Ledger Entry Type",$C$4,"2 Item No.","@@"&amp;$F2458,"3 Posting Date",Z$9)</t>
  </si>
  <si>
    <t>=-NL("Sum","5802 Value Entry","151 Cost Amount (Expected)","41 Source Type",$C$5,"5 Source No.",$C2458,"4 Item Ledger Entry Type",$C$4,"2 Item No.","@@"&amp;$F2458,"3 Posting Date",Z$9)-NL("Sum","5802 Value Entry","43 Cost Amount (Actual)","41 Source Type",$C$5,"5 Source no.",$C2458,"4 Item Ledger Entry Type",$C$4,"2 Item No.","@@"&amp;$F2458,"3 Posting Date",Z$9)</t>
  </si>
  <si>
    <t>=Z2458-AB2458</t>
  </si>
  <si>
    <t>=IF(Z2458&lt;&gt;0,AC2458/Z2458,"")</t>
  </si>
  <si>
    <t>=C2458</t>
  </si>
  <si>
    <t>=NL("Sum","5802 Value Entry","150 Sales Amount (Expected)","41 Source Type",$C$5,"5 Source No.",$C2459,"4 Item Ledger Entry Type",$C$4,"2 Item No.","@@"&amp;$F2459,"3 Posting Date",J$9)+NL("Sum","5802 Value Entry","17 Sales Amount (Actual)","41 Source Type",$C$5,"5 Source no.",$C2459,"4 Item Ledger Entry Type",$C$4,"2 Item No.","@@"&amp;$F2459,"3 Posting Date",J$9)</t>
  </si>
  <si>
    <t>=-NL("Sum","5802 Value Entry","151 Cost Amount (Expected)","41 Source Type",$C$5,"5 Source No.",$C2459,"4 Item Ledger Entry Type",$C$4,"2 Item No.","@@"&amp;$F2459,"3 Posting Date",J$9)-NL("Sum","5802 Value Entry","43 Cost Amount (Actual)","41 Source Type",$C$5,"5 Source no.",$C2459,"4 Item Ledger Entry Type",$C$4,"2 Item No.","@@"&amp;$F2459,"3 Posting Date",J$9)</t>
  </si>
  <si>
    <t>=J2459-L2459</t>
  </si>
  <si>
    <t>=IF(J2459&lt;&gt;0,M2459/J2459,"")</t>
  </si>
  <si>
    <t>=NL("Sum","5802 Value Entry","150 Sales Amount (Expected)","41 Source Type",$C$5,"5 Source No.",$C2459,"4 Item Ledger Entry Type",$C$4,"2 Item No.","@@"&amp;$F2459,"3 Posting Date",O$9)+NL("Sum","5802 Value Entry","17 Sales Amount (Actual)","41 Source Type",$C$5,"5 Source no.",$C2459,"4 Item Ledger Entry Type",$C$4,"2 Item No.","@@"&amp;$F2459,"3 Posting Date",O$9)</t>
  </si>
  <si>
    <t>=-NL("Sum","5802 Value Entry","151 Cost Amount (Expected)","41 Source Type",$C$5,"5 Source No.",$C2459,"4 Item Ledger Entry Type",$C$4,"2 Item No.","@@"&amp;$F2459,"3 Posting Date",O$9)-NL("Sum","5802 Value Entry","43 Cost Amount (Actual)","41 Source Type",$C$5,"5 Source no.",$C2459,"4 Item Ledger Entry Type",$C$4,"2 Item No.","@@"&amp;$F2459,"3 Posting Date",O$9)</t>
  </si>
  <si>
    <t>=O2459-Q2459</t>
  </si>
  <si>
    <t>=IF(O2459&lt;&gt;0,R2459/O2459,"")</t>
  </si>
  <si>
    <t>=NL("Sum","5802 Value Entry","150 Sales Amount (Expected)","41 Source Type",$C$5,"5 Source No.",$C2459,"4 Item Ledger Entry Type",$C$4,"2 Item No.","@@"&amp;$F2459,"3 Posting Date",U$9)+NL("Sum","5802 Value Entry","17 Sales Amount (Actual)","41 Source Type",$C$5,"5 Source no.",$C2459,"4 Item Ledger Entry Type",$C$4,"2 Item No.","@@"&amp;$F2459,"3 Posting Date",U$9)</t>
  </si>
  <si>
    <t>=-NL("Sum","5802 Value Entry","151 Cost Amount (Expected)","41 Source Type",$C$5,"5 Source No.",$C2459,"4 Item Ledger Entry Type",$C$4,"2 Item No.","@@"&amp;$F2459,"3 Posting Date",U$9)-NL("Sum","5802 Value Entry","43 Cost Amount (Actual)","41 Source Type",$C$5,"5 Source no.",$C2459,"4 Item Ledger Entry Type",$C$4,"2 Item No.","@@"&amp;$F2459,"3 Posting Date",U$9)</t>
  </si>
  <si>
    <t>=U2459-W2459</t>
  </si>
  <si>
    <t>=IF(U2459&lt;&gt;0,X2459/U2459,"")</t>
  </si>
  <si>
    <t>=NL("Sum","5802 Value Entry","150 Sales Amount (Expected)","41 Source Type",$C$5,"5 Source No.",$C2459,"4 Item Ledger Entry Type",$C$4,"2 Item No.","@@"&amp;$F2459,"3 Posting Date",Z$9)+NL("Sum","5802 Value Entry","17 Sales Amount (Actual)","41 Source Type",$C$5,"5 Source no.",$C2459,"4 Item Ledger Entry Type",$C$4,"2 Item No.","@@"&amp;$F2459,"3 Posting Date",Z$9)</t>
  </si>
  <si>
    <t>=-NL("Sum","5802 Value Entry","151 Cost Amount (Expected)","41 Source Type",$C$5,"5 Source No.",$C2459,"4 Item Ledger Entry Type",$C$4,"2 Item No.","@@"&amp;$F2459,"3 Posting Date",Z$9)-NL("Sum","5802 Value Entry","43 Cost Amount (Actual)","41 Source Type",$C$5,"5 Source no.",$C2459,"4 Item Ledger Entry Type",$C$4,"2 Item No.","@@"&amp;$F2459,"3 Posting Date",Z$9)</t>
  </si>
  <si>
    <t>=Z2459-AB2459</t>
  </si>
  <si>
    <t>=IF(Z2459&lt;&gt;0,AC2459/Z2459,"")</t>
  </si>
  <si>
    <t>=C2459</t>
  </si>
  <si>
    <t>=NL("Sum","5802 Value Entry","150 Sales Amount (Expected)","41 Source Type",$C$5,"5 Source No.",$C2460,"4 Item Ledger Entry Type",$C$4,"2 Item No.","@@"&amp;$F2460,"3 Posting Date",J$9)+NL("Sum","5802 Value Entry","17 Sales Amount (Actual)","41 Source Type",$C$5,"5 Source no.",$C2460,"4 Item Ledger Entry Type",$C$4,"2 Item No.","@@"&amp;$F2460,"3 Posting Date",J$9)</t>
  </si>
  <si>
    <t>=-NL("Sum","5802 Value Entry","151 Cost Amount (Expected)","41 Source Type",$C$5,"5 Source No.",$C2460,"4 Item Ledger Entry Type",$C$4,"2 Item No.","@@"&amp;$F2460,"3 Posting Date",J$9)-NL("Sum","5802 Value Entry","43 Cost Amount (Actual)","41 Source Type",$C$5,"5 Source no.",$C2460,"4 Item Ledger Entry Type",$C$4,"2 Item No.","@@"&amp;$F2460,"3 Posting Date",J$9)</t>
  </si>
  <si>
    <t>=J2460-L2460</t>
  </si>
  <si>
    <t>=IF(J2460&lt;&gt;0,M2460/J2460,"")</t>
  </si>
  <si>
    <t>=NL("Sum","5802 Value Entry","150 Sales Amount (Expected)","41 Source Type",$C$5,"5 Source No.",$C2460,"4 Item Ledger Entry Type",$C$4,"2 Item No.","@@"&amp;$F2460,"3 Posting Date",O$9)+NL("Sum","5802 Value Entry","17 Sales Amount (Actual)","41 Source Type",$C$5,"5 Source no.",$C2460,"4 Item Ledger Entry Type",$C$4,"2 Item No.","@@"&amp;$F2460,"3 Posting Date",O$9)</t>
  </si>
  <si>
    <t>=-NL("Sum","5802 Value Entry","151 Cost Amount (Expected)","41 Source Type",$C$5,"5 Source No.",$C2460,"4 Item Ledger Entry Type",$C$4,"2 Item No.","@@"&amp;$F2460,"3 Posting Date",O$9)-NL("Sum","5802 Value Entry","43 Cost Amount (Actual)","41 Source Type",$C$5,"5 Source no.",$C2460,"4 Item Ledger Entry Type",$C$4,"2 Item No.","@@"&amp;$F2460,"3 Posting Date",O$9)</t>
  </si>
  <si>
    <t>=O2460-Q2460</t>
  </si>
  <si>
    <t>=IF(O2460&lt;&gt;0,R2460/O2460,"")</t>
  </si>
  <si>
    <t>=NL("Sum","5802 Value Entry","150 Sales Amount (Expected)","41 Source Type",$C$5,"5 Source No.",$C2460,"4 Item Ledger Entry Type",$C$4,"2 Item No.","@@"&amp;$F2460,"3 Posting Date",U$9)+NL("Sum","5802 Value Entry","17 Sales Amount (Actual)","41 Source Type",$C$5,"5 Source no.",$C2460,"4 Item Ledger Entry Type",$C$4,"2 Item No.","@@"&amp;$F2460,"3 Posting Date",U$9)</t>
  </si>
  <si>
    <t>=-NL("Sum","5802 Value Entry","151 Cost Amount (Expected)","41 Source Type",$C$5,"5 Source No.",$C2460,"4 Item Ledger Entry Type",$C$4,"2 Item No.","@@"&amp;$F2460,"3 Posting Date",U$9)-NL("Sum","5802 Value Entry","43 Cost Amount (Actual)","41 Source Type",$C$5,"5 Source no.",$C2460,"4 Item Ledger Entry Type",$C$4,"2 Item No.","@@"&amp;$F2460,"3 Posting Date",U$9)</t>
  </si>
  <si>
    <t>=U2460-W2460</t>
  </si>
  <si>
    <t>=IF(U2460&lt;&gt;0,X2460/U2460,"")</t>
  </si>
  <si>
    <t>=NL("Sum","5802 Value Entry","150 Sales Amount (Expected)","41 Source Type",$C$5,"5 Source No.",$C2460,"4 Item Ledger Entry Type",$C$4,"2 Item No.","@@"&amp;$F2460,"3 Posting Date",Z$9)+NL("Sum","5802 Value Entry","17 Sales Amount (Actual)","41 Source Type",$C$5,"5 Source no.",$C2460,"4 Item Ledger Entry Type",$C$4,"2 Item No.","@@"&amp;$F2460,"3 Posting Date",Z$9)</t>
  </si>
  <si>
    <t>=-NL("Sum","5802 Value Entry","151 Cost Amount (Expected)","41 Source Type",$C$5,"5 Source No.",$C2460,"4 Item Ledger Entry Type",$C$4,"2 Item No.","@@"&amp;$F2460,"3 Posting Date",Z$9)-NL("Sum","5802 Value Entry","43 Cost Amount (Actual)","41 Source Type",$C$5,"5 Source no.",$C2460,"4 Item Ledger Entry Type",$C$4,"2 Item No.","@@"&amp;$F2460,"3 Posting Date",Z$9)</t>
  </si>
  <si>
    <t>=Z2460-AB2460</t>
  </si>
  <si>
    <t>=IF(Z2460&lt;&gt;0,AC2460/Z2460,"")</t>
  </si>
  <si>
    <t>=C2460</t>
  </si>
  <si>
    <t>=NL("Sum","5802 Value Entry","150 Sales Amount (Expected)","41 Source Type",$C$5,"5 Source No.",$C2461,"4 Item Ledger Entry Type",$C$4,"2 Item No.","@@"&amp;$F2461,"3 Posting Date",J$9)+NL("Sum","5802 Value Entry","17 Sales Amount (Actual)","41 Source Type",$C$5,"5 Source no.",$C2461,"4 Item Ledger Entry Type",$C$4,"2 Item No.","@@"&amp;$F2461,"3 Posting Date",J$9)</t>
  </si>
  <si>
    <t>=-NL("Sum","5802 Value Entry","151 Cost Amount (Expected)","41 Source Type",$C$5,"5 Source No.",$C2461,"4 Item Ledger Entry Type",$C$4,"2 Item No.","@@"&amp;$F2461,"3 Posting Date",J$9)-NL("Sum","5802 Value Entry","43 Cost Amount (Actual)","41 Source Type",$C$5,"5 Source no.",$C2461,"4 Item Ledger Entry Type",$C$4,"2 Item No.","@@"&amp;$F2461,"3 Posting Date",J$9)</t>
  </si>
  <si>
    <t>=J2461-L2461</t>
  </si>
  <si>
    <t>=IF(J2461&lt;&gt;0,M2461/J2461,"")</t>
  </si>
  <si>
    <t>=NL("Sum","5802 Value Entry","150 Sales Amount (Expected)","41 Source Type",$C$5,"5 Source No.",$C2461,"4 Item Ledger Entry Type",$C$4,"2 Item No.","@@"&amp;$F2461,"3 Posting Date",O$9)+NL("Sum","5802 Value Entry","17 Sales Amount (Actual)","41 Source Type",$C$5,"5 Source no.",$C2461,"4 Item Ledger Entry Type",$C$4,"2 Item No.","@@"&amp;$F2461,"3 Posting Date",O$9)</t>
  </si>
  <si>
    <t>=-NL("Sum","5802 Value Entry","151 Cost Amount (Expected)","41 Source Type",$C$5,"5 Source No.",$C2461,"4 Item Ledger Entry Type",$C$4,"2 Item No.","@@"&amp;$F2461,"3 Posting Date",O$9)-NL("Sum","5802 Value Entry","43 Cost Amount (Actual)","41 Source Type",$C$5,"5 Source no.",$C2461,"4 Item Ledger Entry Type",$C$4,"2 Item No.","@@"&amp;$F2461,"3 Posting Date",O$9)</t>
  </si>
  <si>
    <t>=O2461-Q2461</t>
  </si>
  <si>
    <t>=IF(O2461&lt;&gt;0,R2461/O2461,"")</t>
  </si>
  <si>
    <t>=NL("Sum","5802 Value Entry","150 Sales Amount (Expected)","41 Source Type",$C$5,"5 Source No.",$C2461,"4 Item Ledger Entry Type",$C$4,"2 Item No.","@@"&amp;$F2461,"3 Posting Date",U$9)+NL("Sum","5802 Value Entry","17 Sales Amount (Actual)","41 Source Type",$C$5,"5 Source no.",$C2461,"4 Item Ledger Entry Type",$C$4,"2 Item No.","@@"&amp;$F2461,"3 Posting Date",U$9)</t>
  </si>
  <si>
    <t>=-NL("Sum","5802 Value Entry","151 Cost Amount (Expected)","41 Source Type",$C$5,"5 Source No.",$C2461,"4 Item Ledger Entry Type",$C$4,"2 Item No.","@@"&amp;$F2461,"3 Posting Date",U$9)-NL("Sum","5802 Value Entry","43 Cost Amount (Actual)","41 Source Type",$C$5,"5 Source no.",$C2461,"4 Item Ledger Entry Type",$C$4,"2 Item No.","@@"&amp;$F2461,"3 Posting Date",U$9)</t>
  </si>
  <si>
    <t>=U2461-W2461</t>
  </si>
  <si>
    <t>=IF(U2461&lt;&gt;0,X2461/U2461,"")</t>
  </si>
  <si>
    <t>=NL("Sum","5802 Value Entry","150 Sales Amount (Expected)","41 Source Type",$C$5,"5 Source No.",$C2461,"4 Item Ledger Entry Type",$C$4,"2 Item No.","@@"&amp;$F2461,"3 Posting Date",Z$9)+NL("Sum","5802 Value Entry","17 Sales Amount (Actual)","41 Source Type",$C$5,"5 Source no.",$C2461,"4 Item Ledger Entry Type",$C$4,"2 Item No.","@@"&amp;$F2461,"3 Posting Date",Z$9)</t>
  </si>
  <si>
    <t>=-NL("Sum","5802 Value Entry","151 Cost Amount (Expected)","41 Source Type",$C$5,"5 Source No.",$C2461,"4 Item Ledger Entry Type",$C$4,"2 Item No.","@@"&amp;$F2461,"3 Posting Date",Z$9)-NL("Sum","5802 Value Entry","43 Cost Amount (Actual)","41 Source Type",$C$5,"5 Source no.",$C2461,"4 Item Ledger Entry Type",$C$4,"2 Item No.","@@"&amp;$F2461,"3 Posting Date",Z$9)</t>
  </si>
  <si>
    <t>=Z2461-AB2461</t>
  </si>
  <si>
    <t>=IF(Z2461&lt;&gt;0,AC2461/Z2461,"")</t>
  </si>
  <si>
    <t>=C2461</t>
  </si>
  <si>
    <t>=NL("Sum","5802 Value Entry","150 Sales Amount (Expected)","41 Source Type",$C$5,"5 Source No.",$C2462,"4 Item Ledger Entry Type",$C$4,"2 Item No.","@@"&amp;$F2462,"3 Posting Date",J$9)+NL("Sum","5802 Value Entry","17 Sales Amount (Actual)","41 Source Type",$C$5,"5 Source no.",$C2462,"4 Item Ledger Entry Type",$C$4,"2 Item No.","@@"&amp;$F2462,"3 Posting Date",J$9)</t>
  </si>
  <si>
    <t>=-NL("Sum","5802 Value Entry","151 Cost Amount (Expected)","41 Source Type",$C$5,"5 Source No.",$C2462,"4 Item Ledger Entry Type",$C$4,"2 Item No.","@@"&amp;$F2462,"3 Posting Date",J$9)-NL("Sum","5802 Value Entry","43 Cost Amount (Actual)","41 Source Type",$C$5,"5 Source no.",$C2462,"4 Item Ledger Entry Type",$C$4,"2 Item No.","@@"&amp;$F2462,"3 Posting Date",J$9)</t>
  </si>
  <si>
    <t>=J2462-L2462</t>
  </si>
  <si>
    <t>=IF(J2462&lt;&gt;0,M2462/J2462,"")</t>
  </si>
  <si>
    <t>=NL("Sum","5802 Value Entry","150 Sales Amount (Expected)","41 Source Type",$C$5,"5 Source No.",$C2462,"4 Item Ledger Entry Type",$C$4,"2 Item No.","@@"&amp;$F2462,"3 Posting Date",O$9)+NL("Sum","5802 Value Entry","17 Sales Amount (Actual)","41 Source Type",$C$5,"5 Source no.",$C2462,"4 Item Ledger Entry Type",$C$4,"2 Item No.","@@"&amp;$F2462,"3 Posting Date",O$9)</t>
  </si>
  <si>
    <t>=-NL("Sum","5802 Value Entry","151 Cost Amount (Expected)","41 Source Type",$C$5,"5 Source No.",$C2462,"4 Item Ledger Entry Type",$C$4,"2 Item No.","@@"&amp;$F2462,"3 Posting Date",O$9)-NL("Sum","5802 Value Entry","43 Cost Amount (Actual)","41 Source Type",$C$5,"5 Source no.",$C2462,"4 Item Ledger Entry Type",$C$4,"2 Item No.","@@"&amp;$F2462,"3 Posting Date",O$9)</t>
  </si>
  <si>
    <t>=O2462-Q2462</t>
  </si>
  <si>
    <t>=IF(O2462&lt;&gt;0,R2462/O2462,"")</t>
  </si>
  <si>
    <t>=NL("Sum","5802 Value Entry","150 Sales Amount (Expected)","41 Source Type",$C$5,"5 Source No.",$C2462,"4 Item Ledger Entry Type",$C$4,"2 Item No.","@@"&amp;$F2462,"3 Posting Date",U$9)+NL("Sum","5802 Value Entry","17 Sales Amount (Actual)","41 Source Type",$C$5,"5 Source no.",$C2462,"4 Item Ledger Entry Type",$C$4,"2 Item No.","@@"&amp;$F2462,"3 Posting Date",U$9)</t>
  </si>
  <si>
    <t>=-NL("Sum","5802 Value Entry","151 Cost Amount (Expected)","41 Source Type",$C$5,"5 Source No.",$C2462,"4 Item Ledger Entry Type",$C$4,"2 Item No.","@@"&amp;$F2462,"3 Posting Date",U$9)-NL("Sum","5802 Value Entry","43 Cost Amount (Actual)","41 Source Type",$C$5,"5 Source no.",$C2462,"4 Item Ledger Entry Type",$C$4,"2 Item No.","@@"&amp;$F2462,"3 Posting Date",U$9)</t>
  </si>
  <si>
    <t>=U2462-W2462</t>
  </si>
  <si>
    <t>=IF(U2462&lt;&gt;0,X2462/U2462,"")</t>
  </si>
  <si>
    <t>=NL("Sum","5802 Value Entry","150 Sales Amount (Expected)","41 Source Type",$C$5,"5 Source No.",$C2462,"4 Item Ledger Entry Type",$C$4,"2 Item No.","@@"&amp;$F2462,"3 Posting Date",Z$9)+NL("Sum","5802 Value Entry","17 Sales Amount (Actual)","41 Source Type",$C$5,"5 Source no.",$C2462,"4 Item Ledger Entry Type",$C$4,"2 Item No.","@@"&amp;$F2462,"3 Posting Date",Z$9)</t>
  </si>
  <si>
    <t>=-NL("Sum","5802 Value Entry","151 Cost Amount (Expected)","41 Source Type",$C$5,"5 Source No.",$C2462,"4 Item Ledger Entry Type",$C$4,"2 Item No.","@@"&amp;$F2462,"3 Posting Date",Z$9)-NL("Sum","5802 Value Entry","43 Cost Amount (Actual)","41 Source Type",$C$5,"5 Source no.",$C2462,"4 Item Ledger Entry Type",$C$4,"2 Item No.","@@"&amp;$F2462,"3 Posting Date",Z$9)</t>
  </si>
  <si>
    <t>=Z2462-AB2462</t>
  </si>
  <si>
    <t>=IF(Z2462&lt;&gt;0,AC2462/Z2462,"")</t>
  </si>
  <si>
    <t>=C2463</t>
  </si>
  <si>
    <t>=J2464-L2464</t>
  </si>
  <si>
    <t>=IF(J2464&lt;&gt;0,M2464/J2464,"")</t>
  </si>
  <si>
    <t>=O2464-Q2464</t>
  </si>
  <si>
    <t>=IF(O2464&lt;&gt;0,R2464/O2464,"")</t>
  </si>
  <si>
    <t>=U2464-W2464</t>
  </si>
  <si>
    <t>=IF(U2464&lt;&gt;0,X2464/U2464,"")</t>
  </si>
  <si>
    <t>=Z2464-AB2464</t>
  </si>
  <si>
    <t>=IF(Z2464&lt;&gt;0,AC2464/Z2464,"")</t>
  </si>
  <si>
    <t>=C2466</t>
  </si>
  <si>
    <t>=C2467</t>
  </si>
  <si>
    <t>=NL("Sum","5802 Value Entry","150 Sales Amount (Expected)","41 Source Type",$C$5,"5 Source No.",$C2468,"4 Item Ledger Entry Type",$C$4,"2 Item No.","@@"&amp;$F2468,"3 Posting Date",J$9)+NL("Sum","5802 Value Entry","17 Sales Amount (Actual)","41 Source Type",$C$5,"5 Source no.",$C2468,"4 Item Ledger Entry Type",$C$4,"2 Item No.","@@"&amp;$F2468,"3 Posting Date",J$9)</t>
  </si>
  <si>
    <t>=-NL("Sum","5802 Value Entry","151 Cost Amount (Expected)","41 Source Type",$C$5,"5 Source No.",$C2468,"4 Item Ledger Entry Type",$C$4,"2 Item No.","@@"&amp;$F2468,"3 Posting Date",J$9)-NL("Sum","5802 Value Entry","43 Cost Amount (Actual)","41 Source Type",$C$5,"5 Source no.",$C2468,"4 Item Ledger Entry Type",$C$4,"2 Item No.","@@"&amp;$F2468,"3 Posting Date",J$9)</t>
  </si>
  <si>
    <t>=J2468-L2468</t>
  </si>
  <si>
    <t>=IF(J2468&lt;&gt;0,M2468/J2468,"")</t>
  </si>
  <si>
    <t>=NL("Sum","5802 Value Entry","150 Sales Amount (Expected)","41 Source Type",$C$5,"5 Source No.",$C2468,"4 Item Ledger Entry Type",$C$4,"2 Item No.","@@"&amp;$F2468,"3 Posting Date",O$9)+NL("Sum","5802 Value Entry","17 Sales Amount (Actual)","41 Source Type",$C$5,"5 Source no.",$C2468,"4 Item Ledger Entry Type",$C$4,"2 Item No.","@@"&amp;$F2468,"3 Posting Date",O$9)</t>
  </si>
  <si>
    <t>=-NL("Sum","5802 Value Entry","151 Cost Amount (Expected)","41 Source Type",$C$5,"5 Source No.",$C2468,"4 Item Ledger Entry Type",$C$4,"2 Item No.","@@"&amp;$F2468,"3 Posting Date",O$9)-NL("Sum","5802 Value Entry","43 Cost Amount (Actual)","41 Source Type",$C$5,"5 Source no.",$C2468,"4 Item Ledger Entry Type",$C$4,"2 Item No.","@@"&amp;$F2468,"3 Posting Date",O$9)</t>
  </si>
  <si>
    <t>=O2468-Q2468</t>
  </si>
  <si>
    <t>=IF(O2468&lt;&gt;0,R2468/O2468,"")</t>
  </si>
  <si>
    <t>=NL("Sum","5802 Value Entry","150 Sales Amount (Expected)","41 Source Type",$C$5,"5 Source No.",$C2468,"4 Item Ledger Entry Type",$C$4,"2 Item No.","@@"&amp;$F2468,"3 Posting Date",U$9)+NL("Sum","5802 Value Entry","17 Sales Amount (Actual)","41 Source Type",$C$5,"5 Source no.",$C2468,"4 Item Ledger Entry Type",$C$4,"2 Item No.","@@"&amp;$F2468,"3 Posting Date",U$9)</t>
  </si>
  <si>
    <t>=-NL("Sum","5802 Value Entry","151 Cost Amount (Expected)","41 Source Type",$C$5,"5 Source No.",$C2468,"4 Item Ledger Entry Type",$C$4,"2 Item No.","@@"&amp;$F2468,"3 Posting Date",U$9)-NL("Sum","5802 Value Entry","43 Cost Amount (Actual)","41 Source Type",$C$5,"5 Source no.",$C2468,"4 Item Ledger Entry Type",$C$4,"2 Item No.","@@"&amp;$F2468,"3 Posting Date",U$9)</t>
  </si>
  <si>
    <t>=U2468-W2468</t>
  </si>
  <si>
    <t>=IF(U2468&lt;&gt;0,X2468/U2468,"")</t>
  </si>
  <si>
    <t>=NL("Sum","5802 Value Entry","150 Sales Amount (Expected)","41 Source Type",$C$5,"5 Source No.",$C2468,"4 Item Ledger Entry Type",$C$4,"2 Item No.","@@"&amp;$F2468,"3 Posting Date",Z$9)+NL("Sum","5802 Value Entry","17 Sales Amount (Actual)","41 Source Type",$C$5,"5 Source no.",$C2468,"4 Item Ledger Entry Type",$C$4,"2 Item No.","@@"&amp;$F2468,"3 Posting Date",Z$9)</t>
  </si>
  <si>
    <t>=-NL("Sum","5802 Value Entry","151 Cost Amount (Expected)","41 Source Type",$C$5,"5 Source No.",$C2468,"4 Item Ledger Entry Type",$C$4,"2 Item No.","@@"&amp;$F2468,"3 Posting Date",Z$9)-NL("Sum","5802 Value Entry","43 Cost Amount (Actual)","41 Source Type",$C$5,"5 Source no.",$C2468,"4 Item Ledger Entry Type",$C$4,"2 Item No.","@@"&amp;$F2468,"3 Posting Date",Z$9)</t>
  </si>
  <si>
    <t>=Z2468-AB2468</t>
  </si>
  <si>
    <t>=IF(Z2468&lt;&gt;0,AC2468/Z2468,"")</t>
  </si>
  <si>
    <t>=C2468</t>
  </si>
  <si>
    <t>=NL("Sum","5802 Value Entry","150 Sales Amount (Expected)","41 Source Type",$C$5,"5 Source No.",$C2469,"4 Item Ledger Entry Type",$C$4,"2 Item No.","@@"&amp;$F2469,"3 Posting Date",J$9)+NL("Sum","5802 Value Entry","17 Sales Amount (Actual)","41 Source Type",$C$5,"5 Source no.",$C2469,"4 Item Ledger Entry Type",$C$4,"2 Item No.","@@"&amp;$F2469,"3 Posting Date",J$9)</t>
  </si>
  <si>
    <t>=-NL("Sum","5802 Value Entry","151 Cost Amount (Expected)","41 Source Type",$C$5,"5 Source No.",$C2469,"4 Item Ledger Entry Type",$C$4,"2 Item No.","@@"&amp;$F2469,"3 Posting Date",J$9)-NL("Sum","5802 Value Entry","43 Cost Amount (Actual)","41 Source Type",$C$5,"5 Source no.",$C2469,"4 Item Ledger Entry Type",$C$4,"2 Item No.","@@"&amp;$F2469,"3 Posting Date",J$9)</t>
  </si>
  <si>
    <t>=J2469-L2469</t>
  </si>
  <si>
    <t>=IF(J2469&lt;&gt;0,M2469/J2469,"")</t>
  </si>
  <si>
    <t>=NL("Sum","5802 Value Entry","150 Sales Amount (Expected)","41 Source Type",$C$5,"5 Source No.",$C2469,"4 Item Ledger Entry Type",$C$4,"2 Item No.","@@"&amp;$F2469,"3 Posting Date",O$9)+NL("Sum","5802 Value Entry","17 Sales Amount (Actual)","41 Source Type",$C$5,"5 Source no.",$C2469,"4 Item Ledger Entry Type",$C$4,"2 Item No.","@@"&amp;$F2469,"3 Posting Date",O$9)</t>
  </si>
  <si>
    <t>=-NL("Sum","5802 Value Entry","151 Cost Amount (Expected)","41 Source Type",$C$5,"5 Source No.",$C2469,"4 Item Ledger Entry Type",$C$4,"2 Item No.","@@"&amp;$F2469,"3 Posting Date",O$9)-NL("Sum","5802 Value Entry","43 Cost Amount (Actual)","41 Source Type",$C$5,"5 Source no.",$C2469,"4 Item Ledger Entry Type",$C$4,"2 Item No.","@@"&amp;$F2469,"3 Posting Date",O$9)</t>
  </si>
  <si>
    <t>=O2469-Q2469</t>
  </si>
  <si>
    <t>=IF(O2469&lt;&gt;0,R2469/O2469,"")</t>
  </si>
  <si>
    <t>=NL("Sum","5802 Value Entry","150 Sales Amount (Expected)","41 Source Type",$C$5,"5 Source No.",$C2469,"4 Item Ledger Entry Type",$C$4,"2 Item No.","@@"&amp;$F2469,"3 Posting Date",U$9)+NL("Sum","5802 Value Entry","17 Sales Amount (Actual)","41 Source Type",$C$5,"5 Source no.",$C2469,"4 Item Ledger Entry Type",$C$4,"2 Item No.","@@"&amp;$F2469,"3 Posting Date",U$9)</t>
  </si>
  <si>
    <t>=-NL("Sum","5802 Value Entry","151 Cost Amount (Expected)","41 Source Type",$C$5,"5 Source No.",$C2469,"4 Item Ledger Entry Type",$C$4,"2 Item No.","@@"&amp;$F2469,"3 Posting Date",U$9)-NL("Sum","5802 Value Entry","43 Cost Amount (Actual)","41 Source Type",$C$5,"5 Source no.",$C2469,"4 Item Ledger Entry Type",$C$4,"2 Item No.","@@"&amp;$F2469,"3 Posting Date",U$9)</t>
  </si>
  <si>
    <t>=U2469-W2469</t>
  </si>
  <si>
    <t>=IF(U2469&lt;&gt;0,X2469/U2469,"")</t>
  </si>
  <si>
    <t>=NL("Sum","5802 Value Entry","150 Sales Amount (Expected)","41 Source Type",$C$5,"5 Source No.",$C2469,"4 Item Ledger Entry Type",$C$4,"2 Item No.","@@"&amp;$F2469,"3 Posting Date",Z$9)+NL("Sum","5802 Value Entry","17 Sales Amount (Actual)","41 Source Type",$C$5,"5 Source no.",$C2469,"4 Item Ledger Entry Type",$C$4,"2 Item No.","@@"&amp;$F2469,"3 Posting Date",Z$9)</t>
  </si>
  <si>
    <t>=-NL("Sum","5802 Value Entry","151 Cost Amount (Expected)","41 Source Type",$C$5,"5 Source No.",$C2469,"4 Item Ledger Entry Type",$C$4,"2 Item No.","@@"&amp;$F2469,"3 Posting Date",Z$9)-NL("Sum","5802 Value Entry","43 Cost Amount (Actual)","41 Source Type",$C$5,"5 Source no.",$C2469,"4 Item Ledger Entry Type",$C$4,"2 Item No.","@@"&amp;$F2469,"3 Posting Date",Z$9)</t>
  </si>
  <si>
    <t>=Z2469-AB2469</t>
  </si>
  <si>
    <t>=IF(Z2469&lt;&gt;0,AC2469/Z2469,"")</t>
  </si>
  <si>
    <t>=C2469</t>
  </si>
  <si>
    <t>=NL("Sum","5802 Value Entry","150 Sales Amount (Expected)","41 Source Type",$C$5,"5 Source No.",$C2470,"4 Item Ledger Entry Type",$C$4,"2 Item No.","@@"&amp;$F2470,"3 Posting Date",J$9)+NL("Sum","5802 Value Entry","17 Sales Amount (Actual)","41 Source Type",$C$5,"5 Source no.",$C2470,"4 Item Ledger Entry Type",$C$4,"2 Item No.","@@"&amp;$F2470,"3 Posting Date",J$9)</t>
  </si>
  <si>
    <t>=-NL("Sum","5802 Value Entry","151 Cost Amount (Expected)","41 Source Type",$C$5,"5 Source No.",$C2470,"4 Item Ledger Entry Type",$C$4,"2 Item No.","@@"&amp;$F2470,"3 Posting Date",J$9)-NL("Sum","5802 Value Entry","43 Cost Amount (Actual)","41 Source Type",$C$5,"5 Source no.",$C2470,"4 Item Ledger Entry Type",$C$4,"2 Item No.","@@"&amp;$F2470,"3 Posting Date",J$9)</t>
  </si>
  <si>
    <t>=J2470-L2470</t>
  </si>
  <si>
    <t>=IF(J2470&lt;&gt;0,M2470/J2470,"")</t>
  </si>
  <si>
    <t>=NL("Sum","5802 Value Entry","150 Sales Amount (Expected)","41 Source Type",$C$5,"5 Source No.",$C2470,"4 Item Ledger Entry Type",$C$4,"2 Item No.","@@"&amp;$F2470,"3 Posting Date",O$9)+NL("Sum","5802 Value Entry","17 Sales Amount (Actual)","41 Source Type",$C$5,"5 Source no.",$C2470,"4 Item Ledger Entry Type",$C$4,"2 Item No.","@@"&amp;$F2470,"3 Posting Date",O$9)</t>
  </si>
  <si>
    <t>=-NL("Sum","5802 Value Entry","151 Cost Amount (Expected)","41 Source Type",$C$5,"5 Source No.",$C2470,"4 Item Ledger Entry Type",$C$4,"2 Item No.","@@"&amp;$F2470,"3 Posting Date",O$9)-NL("Sum","5802 Value Entry","43 Cost Amount (Actual)","41 Source Type",$C$5,"5 Source no.",$C2470,"4 Item Ledger Entry Type",$C$4,"2 Item No.","@@"&amp;$F2470,"3 Posting Date",O$9)</t>
  </si>
  <si>
    <t>=O2470-Q2470</t>
  </si>
  <si>
    <t>=IF(O2470&lt;&gt;0,R2470/O2470,"")</t>
  </si>
  <si>
    <t>=NL("Sum","5802 Value Entry","150 Sales Amount (Expected)","41 Source Type",$C$5,"5 Source No.",$C2470,"4 Item Ledger Entry Type",$C$4,"2 Item No.","@@"&amp;$F2470,"3 Posting Date",U$9)+NL("Sum","5802 Value Entry","17 Sales Amount (Actual)","41 Source Type",$C$5,"5 Source no.",$C2470,"4 Item Ledger Entry Type",$C$4,"2 Item No.","@@"&amp;$F2470,"3 Posting Date",U$9)</t>
  </si>
  <si>
    <t>=-NL("Sum","5802 Value Entry","151 Cost Amount (Expected)","41 Source Type",$C$5,"5 Source No.",$C2470,"4 Item Ledger Entry Type",$C$4,"2 Item No.","@@"&amp;$F2470,"3 Posting Date",U$9)-NL("Sum","5802 Value Entry","43 Cost Amount (Actual)","41 Source Type",$C$5,"5 Source no.",$C2470,"4 Item Ledger Entry Type",$C$4,"2 Item No.","@@"&amp;$F2470,"3 Posting Date",U$9)</t>
  </si>
  <si>
    <t>=U2470-W2470</t>
  </si>
  <si>
    <t>=IF(U2470&lt;&gt;0,X2470/U2470,"")</t>
  </si>
  <si>
    <t>=NL("Sum","5802 Value Entry","150 Sales Amount (Expected)","41 Source Type",$C$5,"5 Source No.",$C2470,"4 Item Ledger Entry Type",$C$4,"2 Item No.","@@"&amp;$F2470,"3 Posting Date",Z$9)+NL("Sum","5802 Value Entry","17 Sales Amount (Actual)","41 Source Type",$C$5,"5 Source no.",$C2470,"4 Item Ledger Entry Type",$C$4,"2 Item No.","@@"&amp;$F2470,"3 Posting Date",Z$9)</t>
  </si>
  <si>
    <t>=-NL("Sum","5802 Value Entry","151 Cost Amount (Expected)","41 Source Type",$C$5,"5 Source No.",$C2470,"4 Item Ledger Entry Type",$C$4,"2 Item No.","@@"&amp;$F2470,"3 Posting Date",Z$9)-NL("Sum","5802 Value Entry","43 Cost Amount (Actual)","41 Source Type",$C$5,"5 Source no.",$C2470,"4 Item Ledger Entry Type",$C$4,"2 Item No.","@@"&amp;$F2470,"3 Posting Date",Z$9)</t>
  </si>
  <si>
    <t>=Z2470-AB2470</t>
  </si>
  <si>
    <t>=IF(Z2470&lt;&gt;0,AC2470/Z2470,"")</t>
  </si>
  <si>
    <t>=C2470</t>
  </si>
  <si>
    <t>=NL("Sum","5802 Value Entry","150 Sales Amount (Expected)","41 Source Type",$C$5,"5 Source No.",$C2471,"4 Item Ledger Entry Type",$C$4,"2 Item No.","@@"&amp;$F2471,"3 Posting Date",J$9)+NL("Sum","5802 Value Entry","17 Sales Amount (Actual)","41 Source Type",$C$5,"5 Source no.",$C2471,"4 Item Ledger Entry Type",$C$4,"2 Item No.","@@"&amp;$F2471,"3 Posting Date",J$9)</t>
  </si>
  <si>
    <t>=-NL("Sum","5802 Value Entry","151 Cost Amount (Expected)","41 Source Type",$C$5,"5 Source No.",$C2471,"4 Item Ledger Entry Type",$C$4,"2 Item No.","@@"&amp;$F2471,"3 Posting Date",J$9)-NL("Sum","5802 Value Entry","43 Cost Amount (Actual)","41 Source Type",$C$5,"5 Source no.",$C2471,"4 Item Ledger Entry Type",$C$4,"2 Item No.","@@"&amp;$F2471,"3 Posting Date",J$9)</t>
  </si>
  <si>
    <t>=J2471-L2471</t>
  </si>
  <si>
    <t>=IF(J2471&lt;&gt;0,M2471/J2471,"")</t>
  </si>
  <si>
    <t>=NL("Sum","5802 Value Entry","150 Sales Amount (Expected)","41 Source Type",$C$5,"5 Source No.",$C2471,"4 Item Ledger Entry Type",$C$4,"2 Item No.","@@"&amp;$F2471,"3 Posting Date",O$9)+NL("Sum","5802 Value Entry","17 Sales Amount (Actual)","41 Source Type",$C$5,"5 Source no.",$C2471,"4 Item Ledger Entry Type",$C$4,"2 Item No.","@@"&amp;$F2471,"3 Posting Date",O$9)</t>
  </si>
  <si>
    <t>=-NL("Sum","5802 Value Entry","151 Cost Amount (Expected)","41 Source Type",$C$5,"5 Source No.",$C2471,"4 Item Ledger Entry Type",$C$4,"2 Item No.","@@"&amp;$F2471,"3 Posting Date",O$9)-NL("Sum","5802 Value Entry","43 Cost Amount (Actual)","41 Source Type",$C$5,"5 Source no.",$C2471,"4 Item Ledger Entry Type",$C$4,"2 Item No.","@@"&amp;$F2471,"3 Posting Date",O$9)</t>
  </si>
  <si>
    <t>=O2471-Q2471</t>
  </si>
  <si>
    <t>=IF(O2471&lt;&gt;0,R2471/O2471,"")</t>
  </si>
  <si>
    <t>=NL("Sum","5802 Value Entry","150 Sales Amount (Expected)","41 Source Type",$C$5,"5 Source No.",$C2471,"4 Item Ledger Entry Type",$C$4,"2 Item No.","@@"&amp;$F2471,"3 Posting Date",U$9)+NL("Sum","5802 Value Entry","17 Sales Amount (Actual)","41 Source Type",$C$5,"5 Source no.",$C2471,"4 Item Ledger Entry Type",$C$4,"2 Item No.","@@"&amp;$F2471,"3 Posting Date",U$9)</t>
  </si>
  <si>
    <t>=-NL("Sum","5802 Value Entry","151 Cost Amount (Expected)","41 Source Type",$C$5,"5 Source No.",$C2471,"4 Item Ledger Entry Type",$C$4,"2 Item No.","@@"&amp;$F2471,"3 Posting Date",U$9)-NL("Sum","5802 Value Entry","43 Cost Amount (Actual)","41 Source Type",$C$5,"5 Source no.",$C2471,"4 Item Ledger Entry Type",$C$4,"2 Item No.","@@"&amp;$F2471,"3 Posting Date",U$9)</t>
  </si>
  <si>
    <t>=U2471-W2471</t>
  </si>
  <si>
    <t>=IF(U2471&lt;&gt;0,X2471/U2471,"")</t>
  </si>
  <si>
    <t>=NL("Sum","5802 Value Entry","150 Sales Amount (Expected)","41 Source Type",$C$5,"5 Source No.",$C2471,"4 Item Ledger Entry Type",$C$4,"2 Item No.","@@"&amp;$F2471,"3 Posting Date",Z$9)+NL("Sum","5802 Value Entry","17 Sales Amount (Actual)","41 Source Type",$C$5,"5 Source no.",$C2471,"4 Item Ledger Entry Type",$C$4,"2 Item No.","@@"&amp;$F2471,"3 Posting Date",Z$9)</t>
  </si>
  <si>
    <t>=-NL("Sum","5802 Value Entry","151 Cost Amount (Expected)","41 Source Type",$C$5,"5 Source No.",$C2471,"4 Item Ledger Entry Type",$C$4,"2 Item No.","@@"&amp;$F2471,"3 Posting Date",Z$9)-NL("Sum","5802 Value Entry","43 Cost Amount (Actual)","41 Source Type",$C$5,"5 Source no.",$C2471,"4 Item Ledger Entry Type",$C$4,"2 Item No.","@@"&amp;$F2471,"3 Posting Date",Z$9)</t>
  </si>
  <si>
    <t>=Z2471-AB2471</t>
  </si>
  <si>
    <t>=IF(Z2471&lt;&gt;0,AC2471/Z2471,"")</t>
  </si>
  <si>
    <t>=C2471</t>
  </si>
  <si>
    <t>=NL("Sum","5802 Value Entry","150 Sales Amount (Expected)","41 Source Type",$C$5,"5 Source No.",$C2472,"4 Item Ledger Entry Type",$C$4,"2 Item No.","@@"&amp;$F2472,"3 Posting Date",J$9)+NL("Sum","5802 Value Entry","17 Sales Amount (Actual)","41 Source Type",$C$5,"5 Source no.",$C2472,"4 Item Ledger Entry Type",$C$4,"2 Item No.","@@"&amp;$F2472,"3 Posting Date",J$9)</t>
  </si>
  <si>
    <t>=-NL("Sum","5802 Value Entry","151 Cost Amount (Expected)","41 Source Type",$C$5,"5 Source No.",$C2472,"4 Item Ledger Entry Type",$C$4,"2 Item No.","@@"&amp;$F2472,"3 Posting Date",J$9)-NL("Sum","5802 Value Entry","43 Cost Amount (Actual)","41 Source Type",$C$5,"5 Source no.",$C2472,"4 Item Ledger Entry Type",$C$4,"2 Item No.","@@"&amp;$F2472,"3 Posting Date",J$9)</t>
  </si>
  <si>
    <t>=J2472-L2472</t>
  </si>
  <si>
    <t>=IF(J2472&lt;&gt;0,M2472/J2472,"")</t>
  </si>
  <si>
    <t>=NL("Sum","5802 Value Entry","150 Sales Amount (Expected)","41 Source Type",$C$5,"5 Source No.",$C2472,"4 Item Ledger Entry Type",$C$4,"2 Item No.","@@"&amp;$F2472,"3 Posting Date",O$9)+NL("Sum","5802 Value Entry","17 Sales Amount (Actual)","41 Source Type",$C$5,"5 Source no.",$C2472,"4 Item Ledger Entry Type",$C$4,"2 Item No.","@@"&amp;$F2472,"3 Posting Date",O$9)</t>
  </si>
  <si>
    <t>=-NL("Sum","5802 Value Entry","151 Cost Amount (Expected)","41 Source Type",$C$5,"5 Source No.",$C2472,"4 Item Ledger Entry Type",$C$4,"2 Item No.","@@"&amp;$F2472,"3 Posting Date",O$9)-NL("Sum","5802 Value Entry","43 Cost Amount (Actual)","41 Source Type",$C$5,"5 Source no.",$C2472,"4 Item Ledger Entry Type",$C$4,"2 Item No.","@@"&amp;$F2472,"3 Posting Date",O$9)</t>
  </si>
  <si>
    <t>=O2472-Q2472</t>
  </si>
  <si>
    <t>=IF(O2472&lt;&gt;0,R2472/O2472,"")</t>
  </si>
  <si>
    <t>=NL("Sum","5802 Value Entry","150 Sales Amount (Expected)","41 Source Type",$C$5,"5 Source No.",$C2472,"4 Item Ledger Entry Type",$C$4,"2 Item No.","@@"&amp;$F2472,"3 Posting Date",U$9)+NL("Sum","5802 Value Entry","17 Sales Amount (Actual)","41 Source Type",$C$5,"5 Source no.",$C2472,"4 Item Ledger Entry Type",$C$4,"2 Item No.","@@"&amp;$F2472,"3 Posting Date",U$9)</t>
  </si>
  <si>
    <t>=-NL("Sum","5802 Value Entry","151 Cost Amount (Expected)","41 Source Type",$C$5,"5 Source No.",$C2472,"4 Item Ledger Entry Type",$C$4,"2 Item No.","@@"&amp;$F2472,"3 Posting Date",U$9)-NL("Sum","5802 Value Entry","43 Cost Amount (Actual)","41 Source Type",$C$5,"5 Source no.",$C2472,"4 Item Ledger Entry Type",$C$4,"2 Item No.","@@"&amp;$F2472,"3 Posting Date",U$9)</t>
  </si>
  <si>
    <t>=U2472-W2472</t>
  </si>
  <si>
    <t>=IF(U2472&lt;&gt;0,X2472/U2472,"")</t>
  </si>
  <si>
    <t>=NL("Sum","5802 Value Entry","150 Sales Amount (Expected)","41 Source Type",$C$5,"5 Source No.",$C2472,"4 Item Ledger Entry Type",$C$4,"2 Item No.","@@"&amp;$F2472,"3 Posting Date",Z$9)+NL("Sum","5802 Value Entry","17 Sales Amount (Actual)","41 Source Type",$C$5,"5 Source no.",$C2472,"4 Item Ledger Entry Type",$C$4,"2 Item No.","@@"&amp;$F2472,"3 Posting Date",Z$9)</t>
  </si>
  <si>
    <t>=-NL("Sum","5802 Value Entry","151 Cost Amount (Expected)","41 Source Type",$C$5,"5 Source No.",$C2472,"4 Item Ledger Entry Type",$C$4,"2 Item No.","@@"&amp;$F2472,"3 Posting Date",Z$9)-NL("Sum","5802 Value Entry","43 Cost Amount (Actual)","41 Source Type",$C$5,"5 Source no.",$C2472,"4 Item Ledger Entry Type",$C$4,"2 Item No.","@@"&amp;$F2472,"3 Posting Date",Z$9)</t>
  </si>
  <si>
    <t>=Z2472-AB2472</t>
  </si>
  <si>
    <t>=IF(Z2472&lt;&gt;0,AC2472/Z2472,"")</t>
  </si>
  <si>
    <t>=C2472</t>
  </si>
  <si>
    <t>=NL("Sum","5802 Value Entry","150 Sales Amount (Expected)","41 Source Type",$C$5,"5 Source No.",$C2473,"4 Item Ledger Entry Type",$C$4,"2 Item No.","@@"&amp;$F2473,"3 Posting Date",J$9)+NL("Sum","5802 Value Entry","17 Sales Amount (Actual)","41 Source Type",$C$5,"5 Source no.",$C2473,"4 Item Ledger Entry Type",$C$4,"2 Item No.","@@"&amp;$F2473,"3 Posting Date",J$9)</t>
  </si>
  <si>
    <t>=-NL("Sum","5802 Value Entry","151 Cost Amount (Expected)","41 Source Type",$C$5,"5 Source No.",$C2473,"4 Item Ledger Entry Type",$C$4,"2 Item No.","@@"&amp;$F2473,"3 Posting Date",J$9)-NL("Sum","5802 Value Entry","43 Cost Amount (Actual)","41 Source Type",$C$5,"5 Source no.",$C2473,"4 Item Ledger Entry Type",$C$4,"2 Item No.","@@"&amp;$F2473,"3 Posting Date",J$9)</t>
  </si>
  <si>
    <t>=J2473-L2473</t>
  </si>
  <si>
    <t>=IF(J2473&lt;&gt;0,M2473/J2473,"")</t>
  </si>
  <si>
    <t>=NL("Sum","5802 Value Entry","150 Sales Amount (Expected)","41 Source Type",$C$5,"5 Source No.",$C2473,"4 Item Ledger Entry Type",$C$4,"2 Item No.","@@"&amp;$F2473,"3 Posting Date",O$9)+NL("Sum","5802 Value Entry","17 Sales Amount (Actual)","41 Source Type",$C$5,"5 Source no.",$C2473,"4 Item Ledger Entry Type",$C$4,"2 Item No.","@@"&amp;$F2473,"3 Posting Date",O$9)</t>
  </si>
  <si>
    <t>=-NL("Sum","5802 Value Entry","151 Cost Amount (Expected)","41 Source Type",$C$5,"5 Source No.",$C2473,"4 Item Ledger Entry Type",$C$4,"2 Item No.","@@"&amp;$F2473,"3 Posting Date",O$9)-NL("Sum","5802 Value Entry","43 Cost Amount (Actual)","41 Source Type",$C$5,"5 Source no.",$C2473,"4 Item Ledger Entry Type",$C$4,"2 Item No.","@@"&amp;$F2473,"3 Posting Date",O$9)</t>
  </si>
  <si>
    <t>=O2473-Q2473</t>
  </si>
  <si>
    <t>=IF(O2473&lt;&gt;0,R2473/O2473,"")</t>
  </si>
  <si>
    <t>=NL("Sum","5802 Value Entry","150 Sales Amount (Expected)","41 Source Type",$C$5,"5 Source No.",$C2473,"4 Item Ledger Entry Type",$C$4,"2 Item No.","@@"&amp;$F2473,"3 Posting Date",U$9)+NL("Sum","5802 Value Entry","17 Sales Amount (Actual)","41 Source Type",$C$5,"5 Source no.",$C2473,"4 Item Ledger Entry Type",$C$4,"2 Item No.","@@"&amp;$F2473,"3 Posting Date",U$9)</t>
  </si>
  <si>
    <t>=-NL("Sum","5802 Value Entry","151 Cost Amount (Expected)","41 Source Type",$C$5,"5 Source No.",$C2473,"4 Item Ledger Entry Type",$C$4,"2 Item No.","@@"&amp;$F2473,"3 Posting Date",U$9)-NL("Sum","5802 Value Entry","43 Cost Amount (Actual)","41 Source Type",$C$5,"5 Source no.",$C2473,"4 Item Ledger Entry Type",$C$4,"2 Item No.","@@"&amp;$F2473,"3 Posting Date",U$9)</t>
  </si>
  <si>
    <t>=U2473-W2473</t>
  </si>
  <si>
    <t>=IF(U2473&lt;&gt;0,X2473/U2473,"")</t>
  </si>
  <si>
    <t>=NL("Sum","5802 Value Entry","150 Sales Amount (Expected)","41 Source Type",$C$5,"5 Source No.",$C2473,"4 Item Ledger Entry Type",$C$4,"2 Item No.","@@"&amp;$F2473,"3 Posting Date",Z$9)+NL("Sum","5802 Value Entry","17 Sales Amount (Actual)","41 Source Type",$C$5,"5 Source no.",$C2473,"4 Item Ledger Entry Type",$C$4,"2 Item No.","@@"&amp;$F2473,"3 Posting Date",Z$9)</t>
  </si>
  <si>
    <t>=-NL("Sum","5802 Value Entry","151 Cost Amount (Expected)","41 Source Type",$C$5,"5 Source No.",$C2473,"4 Item Ledger Entry Type",$C$4,"2 Item No.","@@"&amp;$F2473,"3 Posting Date",Z$9)-NL("Sum","5802 Value Entry","43 Cost Amount (Actual)","41 Source Type",$C$5,"5 Source no.",$C2473,"4 Item Ledger Entry Type",$C$4,"2 Item No.","@@"&amp;$F2473,"3 Posting Date",Z$9)</t>
  </si>
  <si>
    <t>=Z2473-AB2473</t>
  </si>
  <si>
    <t>=IF(Z2473&lt;&gt;0,AC2473/Z2473,"")</t>
  </si>
  <si>
    <t>=C2473</t>
  </si>
  <si>
    <t>=NL("Sum","5802 Value Entry","150 Sales Amount (Expected)","41 Source Type",$C$5,"5 Source No.",$C2474,"4 Item Ledger Entry Type",$C$4,"2 Item No.","@@"&amp;$F2474,"3 Posting Date",J$9)+NL("Sum","5802 Value Entry","17 Sales Amount (Actual)","41 Source Type",$C$5,"5 Source no.",$C2474,"4 Item Ledger Entry Type",$C$4,"2 Item No.","@@"&amp;$F2474,"3 Posting Date",J$9)</t>
  </si>
  <si>
    <t>=-NL("Sum","5802 Value Entry","151 Cost Amount (Expected)","41 Source Type",$C$5,"5 Source No.",$C2474,"4 Item Ledger Entry Type",$C$4,"2 Item No.","@@"&amp;$F2474,"3 Posting Date",J$9)-NL("Sum","5802 Value Entry","43 Cost Amount (Actual)","41 Source Type",$C$5,"5 Source no.",$C2474,"4 Item Ledger Entry Type",$C$4,"2 Item No.","@@"&amp;$F2474,"3 Posting Date",J$9)</t>
  </si>
  <si>
    <t>=J2474-L2474</t>
  </si>
  <si>
    <t>=IF(J2474&lt;&gt;0,M2474/J2474,"")</t>
  </si>
  <si>
    <t>=NL("Sum","5802 Value Entry","150 Sales Amount (Expected)","41 Source Type",$C$5,"5 Source No.",$C2474,"4 Item Ledger Entry Type",$C$4,"2 Item No.","@@"&amp;$F2474,"3 Posting Date",O$9)+NL("Sum","5802 Value Entry","17 Sales Amount (Actual)","41 Source Type",$C$5,"5 Source no.",$C2474,"4 Item Ledger Entry Type",$C$4,"2 Item No.","@@"&amp;$F2474,"3 Posting Date",O$9)</t>
  </si>
  <si>
    <t>=-NL("Sum","5802 Value Entry","151 Cost Amount (Expected)","41 Source Type",$C$5,"5 Source No.",$C2474,"4 Item Ledger Entry Type",$C$4,"2 Item No.","@@"&amp;$F2474,"3 Posting Date",O$9)-NL("Sum","5802 Value Entry","43 Cost Amount (Actual)","41 Source Type",$C$5,"5 Source no.",$C2474,"4 Item Ledger Entry Type",$C$4,"2 Item No.","@@"&amp;$F2474,"3 Posting Date",O$9)</t>
  </si>
  <si>
    <t>=O2474-Q2474</t>
  </si>
  <si>
    <t>=IF(O2474&lt;&gt;0,R2474/O2474,"")</t>
  </si>
  <si>
    <t>=NL("Sum","5802 Value Entry","150 Sales Amount (Expected)","41 Source Type",$C$5,"5 Source No.",$C2474,"4 Item Ledger Entry Type",$C$4,"2 Item No.","@@"&amp;$F2474,"3 Posting Date",U$9)+NL("Sum","5802 Value Entry","17 Sales Amount (Actual)","41 Source Type",$C$5,"5 Source no.",$C2474,"4 Item Ledger Entry Type",$C$4,"2 Item No.","@@"&amp;$F2474,"3 Posting Date",U$9)</t>
  </si>
  <si>
    <t>=-NL("Sum","5802 Value Entry","151 Cost Amount (Expected)","41 Source Type",$C$5,"5 Source No.",$C2474,"4 Item Ledger Entry Type",$C$4,"2 Item No.","@@"&amp;$F2474,"3 Posting Date",U$9)-NL("Sum","5802 Value Entry","43 Cost Amount (Actual)","41 Source Type",$C$5,"5 Source no.",$C2474,"4 Item Ledger Entry Type",$C$4,"2 Item No.","@@"&amp;$F2474,"3 Posting Date",U$9)</t>
  </si>
  <si>
    <t>=U2474-W2474</t>
  </si>
  <si>
    <t>=IF(U2474&lt;&gt;0,X2474/U2474,"")</t>
  </si>
  <si>
    <t>=NL("Sum","5802 Value Entry","150 Sales Amount (Expected)","41 Source Type",$C$5,"5 Source No.",$C2474,"4 Item Ledger Entry Type",$C$4,"2 Item No.","@@"&amp;$F2474,"3 Posting Date",Z$9)+NL("Sum","5802 Value Entry","17 Sales Amount (Actual)","41 Source Type",$C$5,"5 Source no.",$C2474,"4 Item Ledger Entry Type",$C$4,"2 Item No.","@@"&amp;$F2474,"3 Posting Date",Z$9)</t>
  </si>
  <si>
    <t>=-NL("Sum","5802 Value Entry","151 Cost Amount (Expected)","41 Source Type",$C$5,"5 Source No.",$C2474,"4 Item Ledger Entry Type",$C$4,"2 Item No.","@@"&amp;$F2474,"3 Posting Date",Z$9)-NL("Sum","5802 Value Entry","43 Cost Amount (Actual)","41 Source Type",$C$5,"5 Source no.",$C2474,"4 Item Ledger Entry Type",$C$4,"2 Item No.","@@"&amp;$F2474,"3 Posting Date",Z$9)</t>
  </si>
  <si>
    <t>=Z2474-AB2474</t>
  </si>
  <si>
    <t>=IF(Z2474&lt;&gt;0,AC2474/Z2474,"")</t>
  </si>
  <si>
    <t>=C2474</t>
  </si>
  <si>
    <t>=NL("Sum","5802 Value Entry","150 Sales Amount (Expected)","41 Source Type",$C$5,"5 Source No.",$C2475,"4 Item Ledger Entry Type",$C$4,"2 Item No.","@@"&amp;$F2475,"3 Posting Date",J$9)+NL("Sum","5802 Value Entry","17 Sales Amount (Actual)","41 Source Type",$C$5,"5 Source no.",$C2475,"4 Item Ledger Entry Type",$C$4,"2 Item No.","@@"&amp;$F2475,"3 Posting Date",J$9)</t>
  </si>
  <si>
    <t>=-NL("Sum","5802 Value Entry","151 Cost Amount (Expected)","41 Source Type",$C$5,"5 Source No.",$C2475,"4 Item Ledger Entry Type",$C$4,"2 Item No.","@@"&amp;$F2475,"3 Posting Date",J$9)-NL("Sum","5802 Value Entry","43 Cost Amount (Actual)","41 Source Type",$C$5,"5 Source no.",$C2475,"4 Item Ledger Entry Type",$C$4,"2 Item No.","@@"&amp;$F2475,"3 Posting Date",J$9)</t>
  </si>
  <si>
    <t>=J2475-L2475</t>
  </si>
  <si>
    <t>=IF(J2475&lt;&gt;0,M2475/J2475,"")</t>
  </si>
  <si>
    <t>=NL("Sum","5802 Value Entry","150 Sales Amount (Expected)","41 Source Type",$C$5,"5 Source No.",$C2475,"4 Item Ledger Entry Type",$C$4,"2 Item No.","@@"&amp;$F2475,"3 Posting Date",O$9)+NL("Sum","5802 Value Entry","17 Sales Amount (Actual)","41 Source Type",$C$5,"5 Source no.",$C2475,"4 Item Ledger Entry Type",$C$4,"2 Item No.","@@"&amp;$F2475,"3 Posting Date",O$9)</t>
  </si>
  <si>
    <t>=-NL("Sum","5802 Value Entry","151 Cost Amount (Expected)","41 Source Type",$C$5,"5 Source No.",$C2475,"4 Item Ledger Entry Type",$C$4,"2 Item No.","@@"&amp;$F2475,"3 Posting Date",O$9)-NL("Sum","5802 Value Entry","43 Cost Amount (Actual)","41 Source Type",$C$5,"5 Source no.",$C2475,"4 Item Ledger Entry Type",$C$4,"2 Item No.","@@"&amp;$F2475,"3 Posting Date",O$9)</t>
  </si>
  <si>
    <t>=O2475-Q2475</t>
  </si>
  <si>
    <t>=IF(O2475&lt;&gt;0,R2475/O2475,"")</t>
  </si>
  <si>
    <t>=NL("Sum","5802 Value Entry","150 Sales Amount (Expected)","41 Source Type",$C$5,"5 Source No.",$C2475,"4 Item Ledger Entry Type",$C$4,"2 Item No.","@@"&amp;$F2475,"3 Posting Date",U$9)+NL("Sum","5802 Value Entry","17 Sales Amount (Actual)","41 Source Type",$C$5,"5 Source no.",$C2475,"4 Item Ledger Entry Type",$C$4,"2 Item No.","@@"&amp;$F2475,"3 Posting Date",U$9)</t>
  </si>
  <si>
    <t>=-NL("Sum","5802 Value Entry","151 Cost Amount (Expected)","41 Source Type",$C$5,"5 Source No.",$C2475,"4 Item Ledger Entry Type",$C$4,"2 Item No.","@@"&amp;$F2475,"3 Posting Date",U$9)-NL("Sum","5802 Value Entry","43 Cost Amount (Actual)","41 Source Type",$C$5,"5 Source no.",$C2475,"4 Item Ledger Entry Type",$C$4,"2 Item No.","@@"&amp;$F2475,"3 Posting Date",U$9)</t>
  </si>
  <si>
    <t>=U2475-W2475</t>
  </si>
  <si>
    <t>=IF(U2475&lt;&gt;0,X2475/U2475,"")</t>
  </si>
  <si>
    <t>=NL("Sum","5802 Value Entry","150 Sales Amount (Expected)","41 Source Type",$C$5,"5 Source No.",$C2475,"4 Item Ledger Entry Type",$C$4,"2 Item No.","@@"&amp;$F2475,"3 Posting Date",Z$9)+NL("Sum","5802 Value Entry","17 Sales Amount (Actual)","41 Source Type",$C$5,"5 Source no.",$C2475,"4 Item Ledger Entry Type",$C$4,"2 Item No.","@@"&amp;$F2475,"3 Posting Date",Z$9)</t>
  </si>
  <si>
    <t>=-NL("Sum","5802 Value Entry","151 Cost Amount (Expected)","41 Source Type",$C$5,"5 Source No.",$C2475,"4 Item Ledger Entry Type",$C$4,"2 Item No.","@@"&amp;$F2475,"3 Posting Date",Z$9)-NL("Sum","5802 Value Entry","43 Cost Amount (Actual)","41 Source Type",$C$5,"5 Source no.",$C2475,"4 Item Ledger Entry Type",$C$4,"2 Item No.","@@"&amp;$F2475,"3 Posting Date",Z$9)</t>
  </si>
  <si>
    <t>=Z2475-AB2475</t>
  </si>
  <si>
    <t>=IF(Z2475&lt;&gt;0,AC2475/Z2475,"")</t>
  </si>
  <si>
    <t>=C2475</t>
  </si>
  <si>
    <t>=NL("Sum","5802 Value Entry","150 Sales Amount (Expected)","41 Source Type",$C$5,"5 Source No.",$C2476,"4 Item Ledger Entry Type",$C$4,"2 Item No.","@@"&amp;$F2476,"3 Posting Date",J$9)+NL("Sum","5802 Value Entry","17 Sales Amount (Actual)","41 Source Type",$C$5,"5 Source no.",$C2476,"4 Item Ledger Entry Type",$C$4,"2 Item No.","@@"&amp;$F2476,"3 Posting Date",J$9)</t>
  </si>
  <si>
    <t>=-NL("Sum","5802 Value Entry","151 Cost Amount (Expected)","41 Source Type",$C$5,"5 Source No.",$C2476,"4 Item Ledger Entry Type",$C$4,"2 Item No.","@@"&amp;$F2476,"3 Posting Date",J$9)-NL("Sum","5802 Value Entry","43 Cost Amount (Actual)","41 Source Type",$C$5,"5 Source no.",$C2476,"4 Item Ledger Entry Type",$C$4,"2 Item No.","@@"&amp;$F2476,"3 Posting Date",J$9)</t>
  </si>
  <si>
    <t>=J2476-L2476</t>
  </si>
  <si>
    <t>=IF(J2476&lt;&gt;0,M2476/J2476,"")</t>
  </si>
  <si>
    <t>=NL("Sum","5802 Value Entry","150 Sales Amount (Expected)","41 Source Type",$C$5,"5 Source No.",$C2476,"4 Item Ledger Entry Type",$C$4,"2 Item No.","@@"&amp;$F2476,"3 Posting Date",O$9)+NL("Sum","5802 Value Entry","17 Sales Amount (Actual)","41 Source Type",$C$5,"5 Source no.",$C2476,"4 Item Ledger Entry Type",$C$4,"2 Item No.","@@"&amp;$F2476,"3 Posting Date",O$9)</t>
  </si>
  <si>
    <t>=-NL("Sum","5802 Value Entry","151 Cost Amount (Expected)","41 Source Type",$C$5,"5 Source No.",$C2476,"4 Item Ledger Entry Type",$C$4,"2 Item No.","@@"&amp;$F2476,"3 Posting Date",O$9)-NL("Sum","5802 Value Entry","43 Cost Amount (Actual)","41 Source Type",$C$5,"5 Source no.",$C2476,"4 Item Ledger Entry Type",$C$4,"2 Item No.","@@"&amp;$F2476,"3 Posting Date",O$9)</t>
  </si>
  <si>
    <t>=O2476-Q2476</t>
  </si>
  <si>
    <t>=IF(O2476&lt;&gt;0,R2476/O2476,"")</t>
  </si>
  <si>
    <t>=NL("Sum","5802 Value Entry","150 Sales Amount (Expected)","41 Source Type",$C$5,"5 Source No.",$C2476,"4 Item Ledger Entry Type",$C$4,"2 Item No.","@@"&amp;$F2476,"3 Posting Date",U$9)+NL("Sum","5802 Value Entry","17 Sales Amount (Actual)","41 Source Type",$C$5,"5 Source no.",$C2476,"4 Item Ledger Entry Type",$C$4,"2 Item No.","@@"&amp;$F2476,"3 Posting Date",U$9)</t>
  </si>
  <si>
    <t>=-NL("Sum","5802 Value Entry","151 Cost Amount (Expected)","41 Source Type",$C$5,"5 Source No.",$C2476,"4 Item Ledger Entry Type",$C$4,"2 Item No.","@@"&amp;$F2476,"3 Posting Date",U$9)-NL("Sum","5802 Value Entry","43 Cost Amount (Actual)","41 Source Type",$C$5,"5 Source no.",$C2476,"4 Item Ledger Entry Type",$C$4,"2 Item No.","@@"&amp;$F2476,"3 Posting Date",U$9)</t>
  </si>
  <si>
    <t>=U2476-W2476</t>
  </si>
  <si>
    <t>=IF(U2476&lt;&gt;0,X2476/U2476,"")</t>
  </si>
  <si>
    <t>=NL("Sum","5802 Value Entry","150 Sales Amount (Expected)","41 Source Type",$C$5,"5 Source No.",$C2476,"4 Item Ledger Entry Type",$C$4,"2 Item No.","@@"&amp;$F2476,"3 Posting Date",Z$9)+NL("Sum","5802 Value Entry","17 Sales Amount (Actual)","41 Source Type",$C$5,"5 Source no.",$C2476,"4 Item Ledger Entry Type",$C$4,"2 Item No.","@@"&amp;$F2476,"3 Posting Date",Z$9)</t>
  </si>
  <si>
    <t>=-NL("Sum","5802 Value Entry","151 Cost Amount (Expected)","41 Source Type",$C$5,"5 Source No.",$C2476,"4 Item Ledger Entry Type",$C$4,"2 Item No.","@@"&amp;$F2476,"3 Posting Date",Z$9)-NL("Sum","5802 Value Entry","43 Cost Amount (Actual)","41 Source Type",$C$5,"5 Source no.",$C2476,"4 Item Ledger Entry Type",$C$4,"2 Item No.","@@"&amp;$F2476,"3 Posting Date",Z$9)</t>
  </si>
  <si>
    <t>=Z2476-AB2476</t>
  </si>
  <si>
    <t>=IF(Z2476&lt;&gt;0,AC2476/Z2476,"")</t>
  </si>
  <si>
    <t>=C2476</t>
  </si>
  <si>
    <t>=NL("Sum","5802 Value Entry","150 Sales Amount (Expected)","41 Source Type",$C$5,"5 Source No.",$C2477,"4 Item Ledger Entry Type",$C$4,"2 Item No.","@@"&amp;$F2477,"3 Posting Date",J$9)+NL("Sum","5802 Value Entry","17 Sales Amount (Actual)","41 Source Type",$C$5,"5 Source no.",$C2477,"4 Item Ledger Entry Type",$C$4,"2 Item No.","@@"&amp;$F2477,"3 Posting Date",J$9)</t>
  </si>
  <si>
    <t>=-NL("Sum","5802 Value Entry","151 Cost Amount (Expected)","41 Source Type",$C$5,"5 Source No.",$C2477,"4 Item Ledger Entry Type",$C$4,"2 Item No.","@@"&amp;$F2477,"3 Posting Date",J$9)-NL("Sum","5802 Value Entry","43 Cost Amount (Actual)","41 Source Type",$C$5,"5 Source no.",$C2477,"4 Item Ledger Entry Type",$C$4,"2 Item No.","@@"&amp;$F2477,"3 Posting Date",J$9)</t>
  </si>
  <si>
    <t>=J2477-L2477</t>
  </si>
  <si>
    <t>=IF(J2477&lt;&gt;0,M2477/J2477,"")</t>
  </si>
  <si>
    <t>=NL("Sum","5802 Value Entry","150 Sales Amount (Expected)","41 Source Type",$C$5,"5 Source No.",$C2477,"4 Item Ledger Entry Type",$C$4,"2 Item No.","@@"&amp;$F2477,"3 Posting Date",O$9)+NL("Sum","5802 Value Entry","17 Sales Amount (Actual)","41 Source Type",$C$5,"5 Source no.",$C2477,"4 Item Ledger Entry Type",$C$4,"2 Item No.","@@"&amp;$F2477,"3 Posting Date",O$9)</t>
  </si>
  <si>
    <t>=-NL("Sum","5802 Value Entry","151 Cost Amount (Expected)","41 Source Type",$C$5,"5 Source No.",$C2477,"4 Item Ledger Entry Type",$C$4,"2 Item No.","@@"&amp;$F2477,"3 Posting Date",O$9)-NL("Sum","5802 Value Entry","43 Cost Amount (Actual)","41 Source Type",$C$5,"5 Source no.",$C2477,"4 Item Ledger Entry Type",$C$4,"2 Item No.","@@"&amp;$F2477,"3 Posting Date",O$9)</t>
  </si>
  <si>
    <t>=O2477-Q2477</t>
  </si>
  <si>
    <t>=IF(O2477&lt;&gt;0,R2477/O2477,"")</t>
  </si>
  <si>
    <t>=NL("Sum","5802 Value Entry","150 Sales Amount (Expected)","41 Source Type",$C$5,"5 Source No.",$C2477,"4 Item Ledger Entry Type",$C$4,"2 Item No.","@@"&amp;$F2477,"3 Posting Date",U$9)+NL("Sum","5802 Value Entry","17 Sales Amount (Actual)","41 Source Type",$C$5,"5 Source no.",$C2477,"4 Item Ledger Entry Type",$C$4,"2 Item No.","@@"&amp;$F2477,"3 Posting Date",U$9)</t>
  </si>
  <si>
    <t>=-NL("Sum","5802 Value Entry","151 Cost Amount (Expected)","41 Source Type",$C$5,"5 Source No.",$C2477,"4 Item Ledger Entry Type",$C$4,"2 Item No.","@@"&amp;$F2477,"3 Posting Date",U$9)-NL("Sum","5802 Value Entry","43 Cost Amount (Actual)","41 Source Type",$C$5,"5 Source no.",$C2477,"4 Item Ledger Entry Type",$C$4,"2 Item No.","@@"&amp;$F2477,"3 Posting Date",U$9)</t>
  </si>
  <si>
    <t>=U2477-W2477</t>
  </si>
  <si>
    <t>=IF(U2477&lt;&gt;0,X2477/U2477,"")</t>
  </si>
  <si>
    <t>=NL("Sum","5802 Value Entry","150 Sales Amount (Expected)","41 Source Type",$C$5,"5 Source No.",$C2477,"4 Item Ledger Entry Type",$C$4,"2 Item No.","@@"&amp;$F2477,"3 Posting Date",Z$9)+NL("Sum","5802 Value Entry","17 Sales Amount (Actual)","41 Source Type",$C$5,"5 Source no.",$C2477,"4 Item Ledger Entry Type",$C$4,"2 Item No.","@@"&amp;$F2477,"3 Posting Date",Z$9)</t>
  </si>
  <si>
    <t>=-NL("Sum","5802 Value Entry","151 Cost Amount (Expected)","41 Source Type",$C$5,"5 Source No.",$C2477,"4 Item Ledger Entry Type",$C$4,"2 Item No.","@@"&amp;$F2477,"3 Posting Date",Z$9)-NL("Sum","5802 Value Entry","43 Cost Amount (Actual)","41 Source Type",$C$5,"5 Source no.",$C2477,"4 Item Ledger Entry Type",$C$4,"2 Item No.","@@"&amp;$F2477,"3 Posting Date",Z$9)</t>
  </si>
  <si>
    <t>=Z2477-AB2477</t>
  </si>
  <si>
    <t>=IF(Z2477&lt;&gt;0,AC2477/Z2477,"")</t>
  </si>
  <si>
    <t>=C2477</t>
  </si>
  <si>
    <t>=NL("Sum","5802 Value Entry","150 Sales Amount (Expected)","41 Source Type",$C$5,"5 Source No.",$C2478,"4 Item Ledger Entry Type",$C$4,"2 Item No.","@@"&amp;$F2478,"3 Posting Date",J$9)+NL("Sum","5802 Value Entry","17 Sales Amount (Actual)","41 Source Type",$C$5,"5 Source no.",$C2478,"4 Item Ledger Entry Type",$C$4,"2 Item No.","@@"&amp;$F2478,"3 Posting Date",J$9)</t>
  </si>
  <si>
    <t>=-NL("Sum","5802 Value Entry","151 Cost Amount (Expected)","41 Source Type",$C$5,"5 Source No.",$C2478,"4 Item Ledger Entry Type",$C$4,"2 Item No.","@@"&amp;$F2478,"3 Posting Date",J$9)-NL("Sum","5802 Value Entry","43 Cost Amount (Actual)","41 Source Type",$C$5,"5 Source no.",$C2478,"4 Item Ledger Entry Type",$C$4,"2 Item No.","@@"&amp;$F2478,"3 Posting Date",J$9)</t>
  </si>
  <si>
    <t>=J2478-L2478</t>
  </si>
  <si>
    <t>=IF(J2478&lt;&gt;0,M2478/J2478,"")</t>
  </si>
  <si>
    <t>=NL("Sum","5802 Value Entry","150 Sales Amount (Expected)","41 Source Type",$C$5,"5 Source No.",$C2478,"4 Item Ledger Entry Type",$C$4,"2 Item No.","@@"&amp;$F2478,"3 Posting Date",O$9)+NL("Sum","5802 Value Entry","17 Sales Amount (Actual)","41 Source Type",$C$5,"5 Source no.",$C2478,"4 Item Ledger Entry Type",$C$4,"2 Item No.","@@"&amp;$F2478,"3 Posting Date",O$9)</t>
  </si>
  <si>
    <t>=-NL("Sum","5802 Value Entry","151 Cost Amount (Expected)","41 Source Type",$C$5,"5 Source No.",$C2478,"4 Item Ledger Entry Type",$C$4,"2 Item No.","@@"&amp;$F2478,"3 Posting Date",O$9)-NL("Sum","5802 Value Entry","43 Cost Amount (Actual)","41 Source Type",$C$5,"5 Source no.",$C2478,"4 Item Ledger Entry Type",$C$4,"2 Item No.","@@"&amp;$F2478,"3 Posting Date",O$9)</t>
  </si>
  <si>
    <t>=O2478-Q2478</t>
  </si>
  <si>
    <t>=IF(O2478&lt;&gt;0,R2478/O2478,"")</t>
  </si>
  <si>
    <t>=NL("Sum","5802 Value Entry","150 Sales Amount (Expected)","41 Source Type",$C$5,"5 Source No.",$C2478,"4 Item Ledger Entry Type",$C$4,"2 Item No.","@@"&amp;$F2478,"3 Posting Date",U$9)+NL("Sum","5802 Value Entry","17 Sales Amount (Actual)","41 Source Type",$C$5,"5 Source no.",$C2478,"4 Item Ledger Entry Type",$C$4,"2 Item No.","@@"&amp;$F2478,"3 Posting Date",U$9)</t>
  </si>
  <si>
    <t>=-NL("Sum","5802 Value Entry","151 Cost Amount (Expected)","41 Source Type",$C$5,"5 Source No.",$C2478,"4 Item Ledger Entry Type",$C$4,"2 Item No.","@@"&amp;$F2478,"3 Posting Date",U$9)-NL("Sum","5802 Value Entry","43 Cost Amount (Actual)","41 Source Type",$C$5,"5 Source no.",$C2478,"4 Item Ledger Entry Type",$C$4,"2 Item No.","@@"&amp;$F2478,"3 Posting Date",U$9)</t>
  </si>
  <si>
    <t>=U2478-W2478</t>
  </si>
  <si>
    <t>=IF(U2478&lt;&gt;0,X2478/U2478,"")</t>
  </si>
  <si>
    <t>=NL("Sum","5802 Value Entry","150 Sales Amount (Expected)","41 Source Type",$C$5,"5 Source No.",$C2478,"4 Item Ledger Entry Type",$C$4,"2 Item No.","@@"&amp;$F2478,"3 Posting Date",Z$9)+NL("Sum","5802 Value Entry","17 Sales Amount (Actual)","41 Source Type",$C$5,"5 Source no.",$C2478,"4 Item Ledger Entry Type",$C$4,"2 Item No.","@@"&amp;$F2478,"3 Posting Date",Z$9)</t>
  </si>
  <si>
    <t>=-NL("Sum","5802 Value Entry","151 Cost Amount (Expected)","41 Source Type",$C$5,"5 Source No.",$C2478,"4 Item Ledger Entry Type",$C$4,"2 Item No.","@@"&amp;$F2478,"3 Posting Date",Z$9)-NL("Sum","5802 Value Entry","43 Cost Amount (Actual)","41 Source Type",$C$5,"5 Source no.",$C2478,"4 Item Ledger Entry Type",$C$4,"2 Item No.","@@"&amp;$F2478,"3 Posting Date",Z$9)</t>
  </si>
  <si>
    <t>=Z2478-AB2478</t>
  </si>
  <si>
    <t>=IF(Z2478&lt;&gt;0,AC2478/Z2478,"")</t>
  </si>
  <si>
    <t>=C2478</t>
  </si>
  <si>
    <t>=NL("Sum","5802 Value Entry","150 Sales Amount (Expected)","41 Source Type",$C$5,"5 Source No.",$C2479,"4 Item Ledger Entry Type",$C$4,"2 Item No.","@@"&amp;$F2479,"3 Posting Date",J$9)+NL("Sum","5802 Value Entry","17 Sales Amount (Actual)","41 Source Type",$C$5,"5 Source no.",$C2479,"4 Item Ledger Entry Type",$C$4,"2 Item No.","@@"&amp;$F2479,"3 Posting Date",J$9)</t>
  </si>
  <si>
    <t>=-NL("Sum","5802 Value Entry","151 Cost Amount (Expected)","41 Source Type",$C$5,"5 Source No.",$C2479,"4 Item Ledger Entry Type",$C$4,"2 Item No.","@@"&amp;$F2479,"3 Posting Date",J$9)-NL("Sum","5802 Value Entry","43 Cost Amount (Actual)","41 Source Type",$C$5,"5 Source no.",$C2479,"4 Item Ledger Entry Type",$C$4,"2 Item No.","@@"&amp;$F2479,"3 Posting Date",J$9)</t>
  </si>
  <si>
    <t>=J2479-L2479</t>
  </si>
  <si>
    <t>=IF(J2479&lt;&gt;0,M2479/J2479,"")</t>
  </si>
  <si>
    <t>=NL("Sum","5802 Value Entry","150 Sales Amount (Expected)","41 Source Type",$C$5,"5 Source No.",$C2479,"4 Item Ledger Entry Type",$C$4,"2 Item No.","@@"&amp;$F2479,"3 Posting Date",O$9)+NL("Sum","5802 Value Entry","17 Sales Amount (Actual)","41 Source Type",$C$5,"5 Source no.",$C2479,"4 Item Ledger Entry Type",$C$4,"2 Item No.","@@"&amp;$F2479,"3 Posting Date",O$9)</t>
  </si>
  <si>
    <t>=-NL("Sum","5802 Value Entry","151 Cost Amount (Expected)","41 Source Type",$C$5,"5 Source No.",$C2479,"4 Item Ledger Entry Type",$C$4,"2 Item No.","@@"&amp;$F2479,"3 Posting Date",O$9)-NL("Sum","5802 Value Entry","43 Cost Amount (Actual)","41 Source Type",$C$5,"5 Source no.",$C2479,"4 Item Ledger Entry Type",$C$4,"2 Item No.","@@"&amp;$F2479,"3 Posting Date",O$9)</t>
  </si>
  <si>
    <t>=O2479-Q2479</t>
  </si>
  <si>
    <t>=IF(O2479&lt;&gt;0,R2479/O2479,"")</t>
  </si>
  <si>
    <t>=NL("Sum","5802 Value Entry","150 Sales Amount (Expected)","41 Source Type",$C$5,"5 Source No.",$C2479,"4 Item Ledger Entry Type",$C$4,"2 Item No.","@@"&amp;$F2479,"3 Posting Date",U$9)+NL("Sum","5802 Value Entry","17 Sales Amount (Actual)","41 Source Type",$C$5,"5 Source no.",$C2479,"4 Item Ledger Entry Type",$C$4,"2 Item No.","@@"&amp;$F2479,"3 Posting Date",U$9)</t>
  </si>
  <si>
    <t>=-NL("Sum","5802 Value Entry","151 Cost Amount (Expected)","41 Source Type",$C$5,"5 Source No.",$C2479,"4 Item Ledger Entry Type",$C$4,"2 Item No.","@@"&amp;$F2479,"3 Posting Date",U$9)-NL("Sum","5802 Value Entry","43 Cost Amount (Actual)","41 Source Type",$C$5,"5 Source no.",$C2479,"4 Item Ledger Entry Type",$C$4,"2 Item No.","@@"&amp;$F2479,"3 Posting Date",U$9)</t>
  </si>
  <si>
    <t>=U2479-W2479</t>
  </si>
  <si>
    <t>=IF(U2479&lt;&gt;0,X2479/U2479,"")</t>
  </si>
  <si>
    <t>=NL("Sum","5802 Value Entry","150 Sales Amount (Expected)","41 Source Type",$C$5,"5 Source No.",$C2479,"4 Item Ledger Entry Type",$C$4,"2 Item No.","@@"&amp;$F2479,"3 Posting Date",Z$9)+NL("Sum","5802 Value Entry","17 Sales Amount (Actual)","41 Source Type",$C$5,"5 Source no.",$C2479,"4 Item Ledger Entry Type",$C$4,"2 Item No.","@@"&amp;$F2479,"3 Posting Date",Z$9)</t>
  </si>
  <si>
    <t>=-NL("Sum","5802 Value Entry","151 Cost Amount (Expected)","41 Source Type",$C$5,"5 Source No.",$C2479,"4 Item Ledger Entry Type",$C$4,"2 Item No.","@@"&amp;$F2479,"3 Posting Date",Z$9)-NL("Sum","5802 Value Entry","43 Cost Amount (Actual)","41 Source Type",$C$5,"5 Source no.",$C2479,"4 Item Ledger Entry Type",$C$4,"2 Item No.","@@"&amp;$F2479,"3 Posting Date",Z$9)</t>
  </si>
  <si>
    <t>=Z2479-AB2479</t>
  </si>
  <si>
    <t>=IF(Z2479&lt;&gt;0,AC2479/Z2479,"")</t>
  </si>
  <si>
    <t>=C2479</t>
  </si>
  <si>
    <t>=NL("Sum","5802 Value Entry","150 Sales Amount (Expected)","41 Source Type",$C$5,"5 Source No.",$C2480,"4 Item Ledger Entry Type",$C$4,"2 Item No.","@@"&amp;$F2480,"3 Posting Date",J$9)+NL("Sum","5802 Value Entry","17 Sales Amount (Actual)","41 Source Type",$C$5,"5 Source no.",$C2480,"4 Item Ledger Entry Type",$C$4,"2 Item No.","@@"&amp;$F2480,"3 Posting Date",J$9)</t>
  </si>
  <si>
    <t>=-NL("Sum","5802 Value Entry","151 Cost Amount (Expected)","41 Source Type",$C$5,"5 Source No.",$C2480,"4 Item Ledger Entry Type",$C$4,"2 Item No.","@@"&amp;$F2480,"3 Posting Date",J$9)-NL("Sum","5802 Value Entry","43 Cost Amount (Actual)","41 Source Type",$C$5,"5 Source no.",$C2480,"4 Item Ledger Entry Type",$C$4,"2 Item No.","@@"&amp;$F2480,"3 Posting Date",J$9)</t>
  </si>
  <si>
    <t>=J2480-L2480</t>
  </si>
  <si>
    <t>=IF(J2480&lt;&gt;0,M2480/J2480,"")</t>
  </si>
  <si>
    <t>=NL("Sum","5802 Value Entry","150 Sales Amount (Expected)","41 Source Type",$C$5,"5 Source No.",$C2480,"4 Item Ledger Entry Type",$C$4,"2 Item No.","@@"&amp;$F2480,"3 Posting Date",O$9)+NL("Sum","5802 Value Entry","17 Sales Amount (Actual)","41 Source Type",$C$5,"5 Source no.",$C2480,"4 Item Ledger Entry Type",$C$4,"2 Item No.","@@"&amp;$F2480,"3 Posting Date",O$9)</t>
  </si>
  <si>
    <t>=-NL("Sum","5802 Value Entry","151 Cost Amount (Expected)","41 Source Type",$C$5,"5 Source No.",$C2480,"4 Item Ledger Entry Type",$C$4,"2 Item No.","@@"&amp;$F2480,"3 Posting Date",O$9)-NL("Sum","5802 Value Entry","43 Cost Amount (Actual)","41 Source Type",$C$5,"5 Source no.",$C2480,"4 Item Ledger Entry Type",$C$4,"2 Item No.","@@"&amp;$F2480,"3 Posting Date",O$9)</t>
  </si>
  <si>
    <t>=O2480-Q2480</t>
  </si>
  <si>
    <t>=IF(O2480&lt;&gt;0,R2480/O2480,"")</t>
  </si>
  <si>
    <t>=NL("Sum","5802 Value Entry","150 Sales Amount (Expected)","41 Source Type",$C$5,"5 Source No.",$C2480,"4 Item Ledger Entry Type",$C$4,"2 Item No.","@@"&amp;$F2480,"3 Posting Date",U$9)+NL("Sum","5802 Value Entry","17 Sales Amount (Actual)","41 Source Type",$C$5,"5 Source no.",$C2480,"4 Item Ledger Entry Type",$C$4,"2 Item No.","@@"&amp;$F2480,"3 Posting Date",U$9)</t>
  </si>
  <si>
    <t>=-NL("Sum","5802 Value Entry","151 Cost Amount (Expected)","41 Source Type",$C$5,"5 Source No.",$C2480,"4 Item Ledger Entry Type",$C$4,"2 Item No.","@@"&amp;$F2480,"3 Posting Date",U$9)-NL("Sum","5802 Value Entry","43 Cost Amount (Actual)","41 Source Type",$C$5,"5 Source no.",$C2480,"4 Item Ledger Entry Type",$C$4,"2 Item No.","@@"&amp;$F2480,"3 Posting Date",U$9)</t>
  </si>
  <si>
    <t>=U2480-W2480</t>
  </si>
  <si>
    <t>=IF(U2480&lt;&gt;0,X2480/U2480,"")</t>
  </si>
  <si>
    <t>=NL("Sum","5802 Value Entry","150 Sales Amount (Expected)","41 Source Type",$C$5,"5 Source No.",$C2480,"4 Item Ledger Entry Type",$C$4,"2 Item No.","@@"&amp;$F2480,"3 Posting Date",Z$9)+NL("Sum","5802 Value Entry","17 Sales Amount (Actual)","41 Source Type",$C$5,"5 Source no.",$C2480,"4 Item Ledger Entry Type",$C$4,"2 Item No.","@@"&amp;$F2480,"3 Posting Date",Z$9)</t>
  </si>
  <si>
    <t>=-NL("Sum","5802 Value Entry","151 Cost Amount (Expected)","41 Source Type",$C$5,"5 Source No.",$C2480,"4 Item Ledger Entry Type",$C$4,"2 Item No.","@@"&amp;$F2480,"3 Posting Date",Z$9)-NL("Sum","5802 Value Entry","43 Cost Amount (Actual)","41 Source Type",$C$5,"5 Source no.",$C2480,"4 Item Ledger Entry Type",$C$4,"2 Item No.","@@"&amp;$F2480,"3 Posting Date",Z$9)</t>
  </si>
  <si>
    <t>=Z2480-AB2480</t>
  </si>
  <si>
    <t>=IF(Z2480&lt;&gt;0,AC2480/Z2480,"")</t>
  </si>
  <si>
    <t>=C2480</t>
  </si>
  <si>
    <t>=NL("Sum","5802 Value Entry","150 Sales Amount (Expected)","41 Source Type",$C$5,"5 Source No.",$C2481,"4 Item Ledger Entry Type",$C$4,"2 Item No.","@@"&amp;$F2481,"3 Posting Date",J$9)+NL("Sum","5802 Value Entry","17 Sales Amount (Actual)","41 Source Type",$C$5,"5 Source no.",$C2481,"4 Item Ledger Entry Type",$C$4,"2 Item No.","@@"&amp;$F2481,"3 Posting Date",J$9)</t>
  </si>
  <si>
    <t>=-NL("Sum","5802 Value Entry","151 Cost Amount (Expected)","41 Source Type",$C$5,"5 Source No.",$C2481,"4 Item Ledger Entry Type",$C$4,"2 Item No.","@@"&amp;$F2481,"3 Posting Date",J$9)-NL("Sum","5802 Value Entry","43 Cost Amount (Actual)","41 Source Type",$C$5,"5 Source no.",$C2481,"4 Item Ledger Entry Type",$C$4,"2 Item No.","@@"&amp;$F2481,"3 Posting Date",J$9)</t>
  </si>
  <si>
    <t>=J2481-L2481</t>
  </si>
  <si>
    <t>=IF(J2481&lt;&gt;0,M2481/J2481,"")</t>
  </si>
  <si>
    <t>=NL("Sum","5802 Value Entry","150 Sales Amount (Expected)","41 Source Type",$C$5,"5 Source No.",$C2481,"4 Item Ledger Entry Type",$C$4,"2 Item No.","@@"&amp;$F2481,"3 Posting Date",O$9)+NL("Sum","5802 Value Entry","17 Sales Amount (Actual)","41 Source Type",$C$5,"5 Source no.",$C2481,"4 Item Ledger Entry Type",$C$4,"2 Item No.","@@"&amp;$F2481,"3 Posting Date",O$9)</t>
  </si>
  <si>
    <t>=-NL("Sum","5802 Value Entry","151 Cost Amount (Expected)","41 Source Type",$C$5,"5 Source No.",$C2481,"4 Item Ledger Entry Type",$C$4,"2 Item No.","@@"&amp;$F2481,"3 Posting Date",O$9)-NL("Sum","5802 Value Entry","43 Cost Amount (Actual)","41 Source Type",$C$5,"5 Source no.",$C2481,"4 Item Ledger Entry Type",$C$4,"2 Item No.","@@"&amp;$F2481,"3 Posting Date",O$9)</t>
  </si>
  <si>
    <t>=O2481-Q2481</t>
  </si>
  <si>
    <t>=IF(O2481&lt;&gt;0,R2481/O2481,"")</t>
  </si>
  <si>
    <t>=NL("Sum","5802 Value Entry","150 Sales Amount (Expected)","41 Source Type",$C$5,"5 Source No.",$C2481,"4 Item Ledger Entry Type",$C$4,"2 Item No.","@@"&amp;$F2481,"3 Posting Date",U$9)+NL("Sum","5802 Value Entry","17 Sales Amount (Actual)","41 Source Type",$C$5,"5 Source no.",$C2481,"4 Item Ledger Entry Type",$C$4,"2 Item No.","@@"&amp;$F2481,"3 Posting Date",U$9)</t>
  </si>
  <si>
    <t>=-NL("Sum","5802 Value Entry","151 Cost Amount (Expected)","41 Source Type",$C$5,"5 Source No.",$C2481,"4 Item Ledger Entry Type",$C$4,"2 Item No.","@@"&amp;$F2481,"3 Posting Date",U$9)-NL("Sum","5802 Value Entry","43 Cost Amount (Actual)","41 Source Type",$C$5,"5 Source no.",$C2481,"4 Item Ledger Entry Type",$C$4,"2 Item No.","@@"&amp;$F2481,"3 Posting Date",U$9)</t>
  </si>
  <si>
    <t>=U2481-W2481</t>
  </si>
  <si>
    <t>=IF(U2481&lt;&gt;0,X2481/U2481,"")</t>
  </si>
  <si>
    <t>=NL("Sum","5802 Value Entry","150 Sales Amount (Expected)","41 Source Type",$C$5,"5 Source No.",$C2481,"4 Item Ledger Entry Type",$C$4,"2 Item No.","@@"&amp;$F2481,"3 Posting Date",Z$9)+NL("Sum","5802 Value Entry","17 Sales Amount (Actual)","41 Source Type",$C$5,"5 Source no.",$C2481,"4 Item Ledger Entry Type",$C$4,"2 Item No.","@@"&amp;$F2481,"3 Posting Date",Z$9)</t>
  </si>
  <si>
    <t>=-NL("Sum","5802 Value Entry","151 Cost Amount (Expected)","41 Source Type",$C$5,"5 Source No.",$C2481,"4 Item Ledger Entry Type",$C$4,"2 Item No.","@@"&amp;$F2481,"3 Posting Date",Z$9)-NL("Sum","5802 Value Entry","43 Cost Amount (Actual)","41 Source Type",$C$5,"5 Source no.",$C2481,"4 Item Ledger Entry Type",$C$4,"2 Item No.","@@"&amp;$F2481,"3 Posting Date",Z$9)</t>
  </si>
  <si>
    <t>=Z2481-AB2481</t>
  </si>
  <si>
    <t>=IF(Z2481&lt;&gt;0,AC2481/Z2481,"")</t>
  </si>
  <si>
    <t>=C2481</t>
  </si>
  <si>
    <t>=NL("Sum","5802 Value Entry","150 Sales Amount (Expected)","41 Source Type",$C$5,"5 Source No.",$C2482,"4 Item Ledger Entry Type",$C$4,"2 Item No.","@@"&amp;$F2482,"3 Posting Date",J$9)+NL("Sum","5802 Value Entry","17 Sales Amount (Actual)","41 Source Type",$C$5,"5 Source no.",$C2482,"4 Item Ledger Entry Type",$C$4,"2 Item No.","@@"&amp;$F2482,"3 Posting Date",J$9)</t>
  </si>
  <si>
    <t>=-NL("Sum","5802 Value Entry","151 Cost Amount (Expected)","41 Source Type",$C$5,"5 Source No.",$C2482,"4 Item Ledger Entry Type",$C$4,"2 Item No.","@@"&amp;$F2482,"3 Posting Date",J$9)-NL("Sum","5802 Value Entry","43 Cost Amount (Actual)","41 Source Type",$C$5,"5 Source no.",$C2482,"4 Item Ledger Entry Type",$C$4,"2 Item No.","@@"&amp;$F2482,"3 Posting Date",J$9)</t>
  </si>
  <si>
    <t>=J2482-L2482</t>
  </si>
  <si>
    <t>=IF(J2482&lt;&gt;0,M2482/J2482,"")</t>
  </si>
  <si>
    <t>=NL("Sum","5802 Value Entry","150 Sales Amount (Expected)","41 Source Type",$C$5,"5 Source No.",$C2482,"4 Item Ledger Entry Type",$C$4,"2 Item No.","@@"&amp;$F2482,"3 Posting Date",O$9)+NL("Sum","5802 Value Entry","17 Sales Amount (Actual)","41 Source Type",$C$5,"5 Source no.",$C2482,"4 Item Ledger Entry Type",$C$4,"2 Item No.","@@"&amp;$F2482,"3 Posting Date",O$9)</t>
  </si>
  <si>
    <t>=-NL("Sum","5802 Value Entry","151 Cost Amount (Expected)","41 Source Type",$C$5,"5 Source No.",$C2482,"4 Item Ledger Entry Type",$C$4,"2 Item No.","@@"&amp;$F2482,"3 Posting Date",O$9)-NL("Sum","5802 Value Entry","43 Cost Amount (Actual)","41 Source Type",$C$5,"5 Source no.",$C2482,"4 Item Ledger Entry Type",$C$4,"2 Item No.","@@"&amp;$F2482,"3 Posting Date",O$9)</t>
  </si>
  <si>
    <t>=O2482-Q2482</t>
  </si>
  <si>
    <t>=IF(O2482&lt;&gt;0,R2482/O2482,"")</t>
  </si>
  <si>
    <t>=NL("Sum","5802 Value Entry","150 Sales Amount (Expected)","41 Source Type",$C$5,"5 Source No.",$C2482,"4 Item Ledger Entry Type",$C$4,"2 Item No.","@@"&amp;$F2482,"3 Posting Date",U$9)+NL("Sum","5802 Value Entry","17 Sales Amount (Actual)","41 Source Type",$C$5,"5 Source no.",$C2482,"4 Item Ledger Entry Type",$C$4,"2 Item No.","@@"&amp;$F2482,"3 Posting Date",U$9)</t>
  </si>
  <si>
    <t>=-NL("Sum","5802 Value Entry","151 Cost Amount (Expected)","41 Source Type",$C$5,"5 Source No.",$C2482,"4 Item Ledger Entry Type",$C$4,"2 Item No.","@@"&amp;$F2482,"3 Posting Date",U$9)-NL("Sum","5802 Value Entry","43 Cost Amount (Actual)","41 Source Type",$C$5,"5 Source no.",$C2482,"4 Item Ledger Entry Type",$C$4,"2 Item No.","@@"&amp;$F2482,"3 Posting Date",U$9)</t>
  </si>
  <si>
    <t>=U2482-W2482</t>
  </si>
  <si>
    <t>=IF(U2482&lt;&gt;0,X2482/U2482,"")</t>
  </si>
  <si>
    <t>=NL("Sum","5802 Value Entry","150 Sales Amount (Expected)","41 Source Type",$C$5,"5 Source No.",$C2482,"4 Item Ledger Entry Type",$C$4,"2 Item No.","@@"&amp;$F2482,"3 Posting Date",Z$9)+NL("Sum","5802 Value Entry","17 Sales Amount (Actual)","41 Source Type",$C$5,"5 Source no.",$C2482,"4 Item Ledger Entry Type",$C$4,"2 Item No.","@@"&amp;$F2482,"3 Posting Date",Z$9)</t>
  </si>
  <si>
    <t>=-NL("Sum","5802 Value Entry","151 Cost Amount (Expected)","41 Source Type",$C$5,"5 Source No.",$C2482,"4 Item Ledger Entry Type",$C$4,"2 Item No.","@@"&amp;$F2482,"3 Posting Date",Z$9)-NL("Sum","5802 Value Entry","43 Cost Amount (Actual)","41 Source Type",$C$5,"5 Source no.",$C2482,"4 Item Ledger Entry Type",$C$4,"2 Item No.","@@"&amp;$F2482,"3 Posting Date",Z$9)</t>
  </si>
  <si>
    <t>=Z2482-AB2482</t>
  </si>
  <si>
    <t>=IF(Z2482&lt;&gt;0,AC2482/Z2482,"")</t>
  </si>
  <si>
    <t>=C2482</t>
  </si>
  <si>
    <t>=NL("Sum","5802 Value Entry","150 Sales Amount (Expected)","41 Source Type",$C$5,"5 Source No.",$C2483,"4 Item Ledger Entry Type",$C$4,"2 Item No.","@@"&amp;$F2483,"3 Posting Date",J$9)+NL("Sum","5802 Value Entry","17 Sales Amount (Actual)","41 Source Type",$C$5,"5 Source no.",$C2483,"4 Item Ledger Entry Type",$C$4,"2 Item No.","@@"&amp;$F2483,"3 Posting Date",J$9)</t>
  </si>
  <si>
    <t>=-NL("Sum","5802 Value Entry","151 Cost Amount (Expected)","41 Source Type",$C$5,"5 Source No.",$C2483,"4 Item Ledger Entry Type",$C$4,"2 Item No.","@@"&amp;$F2483,"3 Posting Date",J$9)-NL("Sum","5802 Value Entry","43 Cost Amount (Actual)","41 Source Type",$C$5,"5 Source no.",$C2483,"4 Item Ledger Entry Type",$C$4,"2 Item No.","@@"&amp;$F2483,"3 Posting Date",J$9)</t>
  </si>
  <si>
    <t>=J2483-L2483</t>
  </si>
  <si>
    <t>=IF(J2483&lt;&gt;0,M2483/J2483,"")</t>
  </si>
  <si>
    <t>=NL("Sum","5802 Value Entry","150 Sales Amount (Expected)","41 Source Type",$C$5,"5 Source No.",$C2483,"4 Item Ledger Entry Type",$C$4,"2 Item No.","@@"&amp;$F2483,"3 Posting Date",O$9)+NL("Sum","5802 Value Entry","17 Sales Amount (Actual)","41 Source Type",$C$5,"5 Source no.",$C2483,"4 Item Ledger Entry Type",$C$4,"2 Item No.","@@"&amp;$F2483,"3 Posting Date",O$9)</t>
  </si>
  <si>
    <t>=-NL("Sum","5802 Value Entry","151 Cost Amount (Expected)","41 Source Type",$C$5,"5 Source No.",$C2483,"4 Item Ledger Entry Type",$C$4,"2 Item No.","@@"&amp;$F2483,"3 Posting Date",O$9)-NL("Sum","5802 Value Entry","43 Cost Amount (Actual)","41 Source Type",$C$5,"5 Source no.",$C2483,"4 Item Ledger Entry Type",$C$4,"2 Item No.","@@"&amp;$F2483,"3 Posting Date",O$9)</t>
  </si>
  <si>
    <t>=O2483-Q2483</t>
  </si>
  <si>
    <t>=IF(O2483&lt;&gt;0,R2483/O2483,"")</t>
  </si>
  <si>
    <t>=NL("Sum","5802 Value Entry","150 Sales Amount (Expected)","41 Source Type",$C$5,"5 Source No.",$C2483,"4 Item Ledger Entry Type",$C$4,"2 Item No.","@@"&amp;$F2483,"3 Posting Date",U$9)+NL("Sum","5802 Value Entry","17 Sales Amount (Actual)","41 Source Type",$C$5,"5 Source no.",$C2483,"4 Item Ledger Entry Type",$C$4,"2 Item No.","@@"&amp;$F2483,"3 Posting Date",U$9)</t>
  </si>
  <si>
    <t>=-NL("Sum","5802 Value Entry","151 Cost Amount (Expected)","41 Source Type",$C$5,"5 Source No.",$C2483,"4 Item Ledger Entry Type",$C$4,"2 Item No.","@@"&amp;$F2483,"3 Posting Date",U$9)-NL("Sum","5802 Value Entry","43 Cost Amount (Actual)","41 Source Type",$C$5,"5 Source no.",$C2483,"4 Item Ledger Entry Type",$C$4,"2 Item No.","@@"&amp;$F2483,"3 Posting Date",U$9)</t>
  </si>
  <si>
    <t>=U2483-W2483</t>
  </si>
  <si>
    <t>=IF(U2483&lt;&gt;0,X2483/U2483,"")</t>
  </si>
  <si>
    <t>=NL("Sum","5802 Value Entry","150 Sales Amount (Expected)","41 Source Type",$C$5,"5 Source No.",$C2483,"4 Item Ledger Entry Type",$C$4,"2 Item No.","@@"&amp;$F2483,"3 Posting Date",Z$9)+NL("Sum","5802 Value Entry","17 Sales Amount (Actual)","41 Source Type",$C$5,"5 Source no.",$C2483,"4 Item Ledger Entry Type",$C$4,"2 Item No.","@@"&amp;$F2483,"3 Posting Date",Z$9)</t>
  </si>
  <si>
    <t>=-NL("Sum","5802 Value Entry","151 Cost Amount (Expected)","41 Source Type",$C$5,"5 Source No.",$C2483,"4 Item Ledger Entry Type",$C$4,"2 Item No.","@@"&amp;$F2483,"3 Posting Date",Z$9)-NL("Sum","5802 Value Entry","43 Cost Amount (Actual)","41 Source Type",$C$5,"5 Source no.",$C2483,"4 Item Ledger Entry Type",$C$4,"2 Item No.","@@"&amp;$F2483,"3 Posting Date",Z$9)</t>
  </si>
  <si>
    <t>=Z2483-AB2483</t>
  </si>
  <si>
    <t>=IF(Z2483&lt;&gt;0,AC2483/Z2483,"")</t>
  </si>
  <si>
    <t>=C2483</t>
  </si>
  <si>
    <t>=NL("Sum","5802 Value Entry","150 Sales Amount (Expected)","41 Source Type",$C$5,"5 Source No.",$C2484,"4 Item Ledger Entry Type",$C$4,"2 Item No.","@@"&amp;$F2484,"3 Posting Date",J$9)+NL("Sum","5802 Value Entry","17 Sales Amount (Actual)","41 Source Type",$C$5,"5 Source no.",$C2484,"4 Item Ledger Entry Type",$C$4,"2 Item No.","@@"&amp;$F2484,"3 Posting Date",J$9)</t>
  </si>
  <si>
    <t>=-NL("Sum","5802 Value Entry","151 Cost Amount (Expected)","41 Source Type",$C$5,"5 Source No.",$C2484,"4 Item Ledger Entry Type",$C$4,"2 Item No.","@@"&amp;$F2484,"3 Posting Date",J$9)-NL("Sum","5802 Value Entry","43 Cost Amount (Actual)","41 Source Type",$C$5,"5 Source no.",$C2484,"4 Item Ledger Entry Type",$C$4,"2 Item No.","@@"&amp;$F2484,"3 Posting Date",J$9)</t>
  </si>
  <si>
    <t>=J2484-L2484</t>
  </si>
  <si>
    <t>=IF(J2484&lt;&gt;0,M2484/J2484,"")</t>
  </si>
  <si>
    <t>=NL("Sum","5802 Value Entry","150 Sales Amount (Expected)","41 Source Type",$C$5,"5 Source No.",$C2484,"4 Item Ledger Entry Type",$C$4,"2 Item No.","@@"&amp;$F2484,"3 Posting Date",O$9)+NL("Sum","5802 Value Entry","17 Sales Amount (Actual)","41 Source Type",$C$5,"5 Source no.",$C2484,"4 Item Ledger Entry Type",$C$4,"2 Item No.","@@"&amp;$F2484,"3 Posting Date",O$9)</t>
  </si>
  <si>
    <t>=-NL("Sum","5802 Value Entry","151 Cost Amount (Expected)","41 Source Type",$C$5,"5 Source No.",$C2484,"4 Item Ledger Entry Type",$C$4,"2 Item No.","@@"&amp;$F2484,"3 Posting Date",O$9)-NL("Sum","5802 Value Entry","43 Cost Amount (Actual)","41 Source Type",$C$5,"5 Source no.",$C2484,"4 Item Ledger Entry Type",$C$4,"2 Item No.","@@"&amp;$F2484,"3 Posting Date",O$9)</t>
  </si>
  <si>
    <t>=O2484-Q2484</t>
  </si>
  <si>
    <t>=IF(O2484&lt;&gt;0,R2484/O2484,"")</t>
  </si>
  <si>
    <t>=NL("Sum","5802 Value Entry","150 Sales Amount (Expected)","41 Source Type",$C$5,"5 Source No.",$C2484,"4 Item Ledger Entry Type",$C$4,"2 Item No.","@@"&amp;$F2484,"3 Posting Date",U$9)+NL("Sum","5802 Value Entry","17 Sales Amount (Actual)","41 Source Type",$C$5,"5 Source no.",$C2484,"4 Item Ledger Entry Type",$C$4,"2 Item No.","@@"&amp;$F2484,"3 Posting Date",U$9)</t>
  </si>
  <si>
    <t>=-NL("Sum","5802 Value Entry","151 Cost Amount (Expected)","41 Source Type",$C$5,"5 Source No.",$C2484,"4 Item Ledger Entry Type",$C$4,"2 Item No.","@@"&amp;$F2484,"3 Posting Date",U$9)-NL("Sum","5802 Value Entry","43 Cost Amount (Actual)","41 Source Type",$C$5,"5 Source no.",$C2484,"4 Item Ledger Entry Type",$C$4,"2 Item No.","@@"&amp;$F2484,"3 Posting Date",U$9)</t>
  </si>
  <si>
    <t>=U2484-W2484</t>
  </si>
  <si>
    <t>=IF(U2484&lt;&gt;0,X2484/U2484,"")</t>
  </si>
  <si>
    <t>=NL("Sum","5802 Value Entry","150 Sales Amount (Expected)","41 Source Type",$C$5,"5 Source No.",$C2484,"4 Item Ledger Entry Type",$C$4,"2 Item No.","@@"&amp;$F2484,"3 Posting Date",Z$9)+NL("Sum","5802 Value Entry","17 Sales Amount (Actual)","41 Source Type",$C$5,"5 Source no.",$C2484,"4 Item Ledger Entry Type",$C$4,"2 Item No.","@@"&amp;$F2484,"3 Posting Date",Z$9)</t>
  </si>
  <si>
    <t>=-NL("Sum","5802 Value Entry","151 Cost Amount (Expected)","41 Source Type",$C$5,"5 Source No.",$C2484,"4 Item Ledger Entry Type",$C$4,"2 Item No.","@@"&amp;$F2484,"3 Posting Date",Z$9)-NL("Sum","5802 Value Entry","43 Cost Amount (Actual)","41 Source Type",$C$5,"5 Source no.",$C2484,"4 Item Ledger Entry Type",$C$4,"2 Item No.","@@"&amp;$F2484,"3 Posting Date",Z$9)</t>
  </si>
  <si>
    <t>=Z2484-AB2484</t>
  </si>
  <si>
    <t>=IF(Z2484&lt;&gt;0,AC2484/Z2484,"")</t>
  </si>
  <si>
    <t>=C2484</t>
  </si>
  <si>
    <t>=NL("Sum","5802 Value Entry","150 Sales Amount (Expected)","41 Source Type",$C$5,"5 Source No.",$C2485,"4 Item Ledger Entry Type",$C$4,"2 Item No.","@@"&amp;$F2485,"3 Posting Date",J$9)+NL("Sum","5802 Value Entry","17 Sales Amount (Actual)","41 Source Type",$C$5,"5 Source no.",$C2485,"4 Item Ledger Entry Type",$C$4,"2 Item No.","@@"&amp;$F2485,"3 Posting Date",J$9)</t>
  </si>
  <si>
    <t>=-NL("Sum","5802 Value Entry","151 Cost Amount (Expected)","41 Source Type",$C$5,"5 Source No.",$C2485,"4 Item Ledger Entry Type",$C$4,"2 Item No.","@@"&amp;$F2485,"3 Posting Date",J$9)-NL("Sum","5802 Value Entry","43 Cost Amount (Actual)","41 Source Type",$C$5,"5 Source no.",$C2485,"4 Item Ledger Entry Type",$C$4,"2 Item No.","@@"&amp;$F2485,"3 Posting Date",J$9)</t>
  </si>
  <si>
    <t>=J2485-L2485</t>
  </si>
  <si>
    <t>=IF(J2485&lt;&gt;0,M2485/J2485,"")</t>
  </si>
  <si>
    <t>=NL("Sum","5802 Value Entry","150 Sales Amount (Expected)","41 Source Type",$C$5,"5 Source No.",$C2485,"4 Item Ledger Entry Type",$C$4,"2 Item No.","@@"&amp;$F2485,"3 Posting Date",O$9)+NL("Sum","5802 Value Entry","17 Sales Amount (Actual)","41 Source Type",$C$5,"5 Source no.",$C2485,"4 Item Ledger Entry Type",$C$4,"2 Item No.","@@"&amp;$F2485,"3 Posting Date",O$9)</t>
  </si>
  <si>
    <t>=-NL("Sum","5802 Value Entry","151 Cost Amount (Expected)","41 Source Type",$C$5,"5 Source No.",$C2485,"4 Item Ledger Entry Type",$C$4,"2 Item No.","@@"&amp;$F2485,"3 Posting Date",O$9)-NL("Sum","5802 Value Entry","43 Cost Amount (Actual)","41 Source Type",$C$5,"5 Source no.",$C2485,"4 Item Ledger Entry Type",$C$4,"2 Item No.","@@"&amp;$F2485,"3 Posting Date",O$9)</t>
  </si>
  <si>
    <t>=O2485-Q2485</t>
  </si>
  <si>
    <t>=IF(O2485&lt;&gt;0,R2485/O2485,"")</t>
  </si>
  <si>
    <t>=NL("Sum","5802 Value Entry","150 Sales Amount (Expected)","41 Source Type",$C$5,"5 Source No.",$C2485,"4 Item Ledger Entry Type",$C$4,"2 Item No.","@@"&amp;$F2485,"3 Posting Date",U$9)+NL("Sum","5802 Value Entry","17 Sales Amount (Actual)","41 Source Type",$C$5,"5 Source no.",$C2485,"4 Item Ledger Entry Type",$C$4,"2 Item No.","@@"&amp;$F2485,"3 Posting Date",U$9)</t>
  </si>
  <si>
    <t>=-NL("Sum","5802 Value Entry","151 Cost Amount (Expected)","41 Source Type",$C$5,"5 Source No.",$C2485,"4 Item Ledger Entry Type",$C$4,"2 Item No.","@@"&amp;$F2485,"3 Posting Date",U$9)-NL("Sum","5802 Value Entry","43 Cost Amount (Actual)","41 Source Type",$C$5,"5 Source no.",$C2485,"4 Item Ledger Entry Type",$C$4,"2 Item No.","@@"&amp;$F2485,"3 Posting Date",U$9)</t>
  </si>
  <si>
    <t>=U2485-W2485</t>
  </si>
  <si>
    <t>=IF(U2485&lt;&gt;0,X2485/U2485,"")</t>
  </si>
  <si>
    <t>=NL("Sum","5802 Value Entry","150 Sales Amount (Expected)","41 Source Type",$C$5,"5 Source No.",$C2485,"4 Item Ledger Entry Type",$C$4,"2 Item No.","@@"&amp;$F2485,"3 Posting Date",Z$9)+NL("Sum","5802 Value Entry","17 Sales Amount (Actual)","41 Source Type",$C$5,"5 Source no.",$C2485,"4 Item Ledger Entry Type",$C$4,"2 Item No.","@@"&amp;$F2485,"3 Posting Date",Z$9)</t>
  </si>
  <si>
    <t>=-NL("Sum","5802 Value Entry","151 Cost Amount (Expected)","41 Source Type",$C$5,"5 Source No.",$C2485,"4 Item Ledger Entry Type",$C$4,"2 Item No.","@@"&amp;$F2485,"3 Posting Date",Z$9)-NL("Sum","5802 Value Entry","43 Cost Amount (Actual)","41 Source Type",$C$5,"5 Source no.",$C2485,"4 Item Ledger Entry Type",$C$4,"2 Item No.","@@"&amp;$F2485,"3 Posting Date",Z$9)</t>
  </si>
  <si>
    <t>=Z2485-AB2485</t>
  </si>
  <si>
    <t>=IF(Z2485&lt;&gt;0,AC2485/Z2485,"")</t>
  </si>
  <si>
    <t>=C2485</t>
  </si>
  <si>
    <t>=NL("Sum","5802 Value Entry","150 Sales Amount (Expected)","41 Source Type",$C$5,"5 Source No.",$C2486,"4 Item Ledger Entry Type",$C$4,"2 Item No.","@@"&amp;$F2486,"3 Posting Date",J$9)+NL("Sum","5802 Value Entry","17 Sales Amount (Actual)","41 Source Type",$C$5,"5 Source no.",$C2486,"4 Item Ledger Entry Type",$C$4,"2 Item No.","@@"&amp;$F2486,"3 Posting Date",J$9)</t>
  </si>
  <si>
    <t>=-NL("Sum","5802 Value Entry","151 Cost Amount (Expected)","41 Source Type",$C$5,"5 Source No.",$C2486,"4 Item Ledger Entry Type",$C$4,"2 Item No.","@@"&amp;$F2486,"3 Posting Date",J$9)-NL("Sum","5802 Value Entry","43 Cost Amount (Actual)","41 Source Type",$C$5,"5 Source no.",$C2486,"4 Item Ledger Entry Type",$C$4,"2 Item No.","@@"&amp;$F2486,"3 Posting Date",J$9)</t>
  </si>
  <si>
    <t>=J2486-L2486</t>
  </si>
  <si>
    <t>=IF(J2486&lt;&gt;0,M2486/J2486,"")</t>
  </si>
  <si>
    <t>=NL("Sum","5802 Value Entry","150 Sales Amount (Expected)","41 Source Type",$C$5,"5 Source No.",$C2486,"4 Item Ledger Entry Type",$C$4,"2 Item No.","@@"&amp;$F2486,"3 Posting Date",O$9)+NL("Sum","5802 Value Entry","17 Sales Amount (Actual)","41 Source Type",$C$5,"5 Source no.",$C2486,"4 Item Ledger Entry Type",$C$4,"2 Item No.","@@"&amp;$F2486,"3 Posting Date",O$9)</t>
  </si>
  <si>
    <t>=-NL("Sum","5802 Value Entry","151 Cost Amount (Expected)","41 Source Type",$C$5,"5 Source No.",$C2486,"4 Item Ledger Entry Type",$C$4,"2 Item No.","@@"&amp;$F2486,"3 Posting Date",O$9)-NL("Sum","5802 Value Entry","43 Cost Amount (Actual)","41 Source Type",$C$5,"5 Source no.",$C2486,"4 Item Ledger Entry Type",$C$4,"2 Item No.","@@"&amp;$F2486,"3 Posting Date",O$9)</t>
  </si>
  <si>
    <t>=O2486-Q2486</t>
  </si>
  <si>
    <t>=IF(O2486&lt;&gt;0,R2486/O2486,"")</t>
  </si>
  <si>
    <t>=NL("Sum","5802 Value Entry","150 Sales Amount (Expected)","41 Source Type",$C$5,"5 Source No.",$C2486,"4 Item Ledger Entry Type",$C$4,"2 Item No.","@@"&amp;$F2486,"3 Posting Date",U$9)+NL("Sum","5802 Value Entry","17 Sales Amount (Actual)","41 Source Type",$C$5,"5 Source no.",$C2486,"4 Item Ledger Entry Type",$C$4,"2 Item No.","@@"&amp;$F2486,"3 Posting Date",U$9)</t>
  </si>
  <si>
    <t>=-NL("Sum","5802 Value Entry","151 Cost Amount (Expected)","41 Source Type",$C$5,"5 Source No.",$C2486,"4 Item Ledger Entry Type",$C$4,"2 Item No.","@@"&amp;$F2486,"3 Posting Date",U$9)-NL("Sum","5802 Value Entry","43 Cost Amount (Actual)","41 Source Type",$C$5,"5 Source no.",$C2486,"4 Item Ledger Entry Type",$C$4,"2 Item No.","@@"&amp;$F2486,"3 Posting Date",U$9)</t>
  </si>
  <si>
    <t>=U2486-W2486</t>
  </si>
  <si>
    <t>=IF(U2486&lt;&gt;0,X2486/U2486,"")</t>
  </si>
  <si>
    <t>=NL("Sum","5802 Value Entry","150 Sales Amount (Expected)","41 Source Type",$C$5,"5 Source No.",$C2486,"4 Item Ledger Entry Type",$C$4,"2 Item No.","@@"&amp;$F2486,"3 Posting Date",Z$9)+NL("Sum","5802 Value Entry","17 Sales Amount (Actual)","41 Source Type",$C$5,"5 Source no.",$C2486,"4 Item Ledger Entry Type",$C$4,"2 Item No.","@@"&amp;$F2486,"3 Posting Date",Z$9)</t>
  </si>
  <si>
    <t>=-NL("Sum","5802 Value Entry","151 Cost Amount (Expected)","41 Source Type",$C$5,"5 Source No.",$C2486,"4 Item Ledger Entry Type",$C$4,"2 Item No.","@@"&amp;$F2486,"3 Posting Date",Z$9)-NL("Sum","5802 Value Entry","43 Cost Amount (Actual)","41 Source Type",$C$5,"5 Source no.",$C2486,"4 Item Ledger Entry Type",$C$4,"2 Item No.","@@"&amp;$F2486,"3 Posting Date",Z$9)</t>
  </si>
  <si>
    <t>=Z2486-AB2486</t>
  </si>
  <si>
    <t>=IF(Z2486&lt;&gt;0,AC2486/Z2486,"")</t>
  </si>
  <si>
    <t>=C2486</t>
  </si>
  <si>
    <t>=NL("Sum","5802 Value Entry","150 Sales Amount (Expected)","41 Source Type",$C$5,"5 Source No.",$C2487,"4 Item Ledger Entry Type",$C$4,"2 Item No.","@@"&amp;$F2487,"3 Posting Date",J$9)+NL("Sum","5802 Value Entry","17 Sales Amount (Actual)","41 Source Type",$C$5,"5 Source no.",$C2487,"4 Item Ledger Entry Type",$C$4,"2 Item No.","@@"&amp;$F2487,"3 Posting Date",J$9)</t>
  </si>
  <si>
    <t>=-NL("Sum","5802 Value Entry","151 Cost Amount (Expected)","41 Source Type",$C$5,"5 Source No.",$C2487,"4 Item Ledger Entry Type",$C$4,"2 Item No.","@@"&amp;$F2487,"3 Posting Date",J$9)-NL("Sum","5802 Value Entry","43 Cost Amount (Actual)","41 Source Type",$C$5,"5 Source no.",$C2487,"4 Item Ledger Entry Type",$C$4,"2 Item No.","@@"&amp;$F2487,"3 Posting Date",J$9)</t>
  </si>
  <si>
    <t>=J2487-L2487</t>
  </si>
  <si>
    <t>=IF(J2487&lt;&gt;0,M2487/J2487,"")</t>
  </si>
  <si>
    <t>=NL("Sum","5802 Value Entry","150 Sales Amount (Expected)","41 Source Type",$C$5,"5 Source No.",$C2487,"4 Item Ledger Entry Type",$C$4,"2 Item No.","@@"&amp;$F2487,"3 Posting Date",O$9)+NL("Sum","5802 Value Entry","17 Sales Amount (Actual)","41 Source Type",$C$5,"5 Source no.",$C2487,"4 Item Ledger Entry Type",$C$4,"2 Item No.","@@"&amp;$F2487,"3 Posting Date",O$9)</t>
  </si>
  <si>
    <t>=-NL("Sum","5802 Value Entry","151 Cost Amount (Expected)","41 Source Type",$C$5,"5 Source No.",$C2487,"4 Item Ledger Entry Type",$C$4,"2 Item No.","@@"&amp;$F2487,"3 Posting Date",O$9)-NL("Sum","5802 Value Entry","43 Cost Amount (Actual)","41 Source Type",$C$5,"5 Source no.",$C2487,"4 Item Ledger Entry Type",$C$4,"2 Item No.","@@"&amp;$F2487,"3 Posting Date",O$9)</t>
  </si>
  <si>
    <t>=O2487-Q2487</t>
  </si>
  <si>
    <t>=IF(O2487&lt;&gt;0,R2487/O2487,"")</t>
  </si>
  <si>
    <t>=NL("Sum","5802 Value Entry","150 Sales Amount (Expected)","41 Source Type",$C$5,"5 Source No.",$C2487,"4 Item Ledger Entry Type",$C$4,"2 Item No.","@@"&amp;$F2487,"3 Posting Date",U$9)+NL("Sum","5802 Value Entry","17 Sales Amount (Actual)","41 Source Type",$C$5,"5 Source no.",$C2487,"4 Item Ledger Entry Type",$C$4,"2 Item No.","@@"&amp;$F2487,"3 Posting Date",U$9)</t>
  </si>
  <si>
    <t>=-NL("Sum","5802 Value Entry","151 Cost Amount (Expected)","41 Source Type",$C$5,"5 Source No.",$C2487,"4 Item Ledger Entry Type",$C$4,"2 Item No.","@@"&amp;$F2487,"3 Posting Date",U$9)-NL("Sum","5802 Value Entry","43 Cost Amount (Actual)","41 Source Type",$C$5,"5 Source no.",$C2487,"4 Item Ledger Entry Type",$C$4,"2 Item No.","@@"&amp;$F2487,"3 Posting Date",U$9)</t>
  </si>
  <si>
    <t>=U2487-W2487</t>
  </si>
  <si>
    <t>=IF(U2487&lt;&gt;0,X2487/U2487,"")</t>
  </si>
  <si>
    <t>=NL("Sum","5802 Value Entry","150 Sales Amount (Expected)","41 Source Type",$C$5,"5 Source No.",$C2487,"4 Item Ledger Entry Type",$C$4,"2 Item No.","@@"&amp;$F2487,"3 Posting Date",Z$9)+NL("Sum","5802 Value Entry","17 Sales Amount (Actual)","41 Source Type",$C$5,"5 Source no.",$C2487,"4 Item Ledger Entry Type",$C$4,"2 Item No.","@@"&amp;$F2487,"3 Posting Date",Z$9)</t>
  </si>
  <si>
    <t>=-NL("Sum","5802 Value Entry","151 Cost Amount (Expected)","41 Source Type",$C$5,"5 Source No.",$C2487,"4 Item Ledger Entry Type",$C$4,"2 Item No.","@@"&amp;$F2487,"3 Posting Date",Z$9)-NL("Sum","5802 Value Entry","43 Cost Amount (Actual)","41 Source Type",$C$5,"5 Source no.",$C2487,"4 Item Ledger Entry Type",$C$4,"2 Item No.","@@"&amp;$F2487,"3 Posting Date",Z$9)</t>
  </si>
  <si>
    <t>=Z2487-AB2487</t>
  </si>
  <si>
    <t>=IF(Z2487&lt;&gt;0,AC2487/Z2487,"")</t>
  </si>
  <si>
    <t>=C2487</t>
  </si>
  <si>
    <t>=NL("Sum","5802 Value Entry","150 Sales Amount (Expected)","41 Source Type",$C$5,"5 Source No.",$C2488,"4 Item Ledger Entry Type",$C$4,"2 Item No.","@@"&amp;$F2488,"3 Posting Date",J$9)+NL("Sum","5802 Value Entry","17 Sales Amount (Actual)","41 Source Type",$C$5,"5 Source no.",$C2488,"4 Item Ledger Entry Type",$C$4,"2 Item No.","@@"&amp;$F2488,"3 Posting Date",J$9)</t>
  </si>
  <si>
    <t>=-NL("Sum","5802 Value Entry","151 Cost Amount (Expected)","41 Source Type",$C$5,"5 Source No.",$C2488,"4 Item Ledger Entry Type",$C$4,"2 Item No.","@@"&amp;$F2488,"3 Posting Date",J$9)-NL("Sum","5802 Value Entry","43 Cost Amount (Actual)","41 Source Type",$C$5,"5 Source no.",$C2488,"4 Item Ledger Entry Type",$C$4,"2 Item No.","@@"&amp;$F2488,"3 Posting Date",J$9)</t>
  </si>
  <si>
    <t>=J2488-L2488</t>
  </si>
  <si>
    <t>=IF(J2488&lt;&gt;0,M2488/J2488,"")</t>
  </si>
  <si>
    <t>=NL("Sum","5802 Value Entry","150 Sales Amount (Expected)","41 Source Type",$C$5,"5 Source No.",$C2488,"4 Item Ledger Entry Type",$C$4,"2 Item No.","@@"&amp;$F2488,"3 Posting Date",O$9)+NL("Sum","5802 Value Entry","17 Sales Amount (Actual)","41 Source Type",$C$5,"5 Source no.",$C2488,"4 Item Ledger Entry Type",$C$4,"2 Item No.","@@"&amp;$F2488,"3 Posting Date",O$9)</t>
  </si>
  <si>
    <t>=-NL("Sum","5802 Value Entry","151 Cost Amount (Expected)","41 Source Type",$C$5,"5 Source No.",$C2488,"4 Item Ledger Entry Type",$C$4,"2 Item No.","@@"&amp;$F2488,"3 Posting Date",O$9)-NL("Sum","5802 Value Entry","43 Cost Amount (Actual)","41 Source Type",$C$5,"5 Source no.",$C2488,"4 Item Ledger Entry Type",$C$4,"2 Item No.","@@"&amp;$F2488,"3 Posting Date",O$9)</t>
  </si>
  <si>
    <t>=O2488-Q2488</t>
  </si>
  <si>
    <t>=IF(O2488&lt;&gt;0,R2488/O2488,"")</t>
  </si>
  <si>
    <t>=NL("Sum","5802 Value Entry","150 Sales Amount (Expected)","41 Source Type",$C$5,"5 Source No.",$C2488,"4 Item Ledger Entry Type",$C$4,"2 Item No.","@@"&amp;$F2488,"3 Posting Date",U$9)+NL("Sum","5802 Value Entry","17 Sales Amount (Actual)","41 Source Type",$C$5,"5 Source no.",$C2488,"4 Item Ledger Entry Type",$C$4,"2 Item No.","@@"&amp;$F2488,"3 Posting Date",U$9)</t>
  </si>
  <si>
    <t>=-NL("Sum","5802 Value Entry","151 Cost Amount (Expected)","41 Source Type",$C$5,"5 Source No.",$C2488,"4 Item Ledger Entry Type",$C$4,"2 Item No.","@@"&amp;$F2488,"3 Posting Date",U$9)-NL("Sum","5802 Value Entry","43 Cost Amount (Actual)","41 Source Type",$C$5,"5 Source no.",$C2488,"4 Item Ledger Entry Type",$C$4,"2 Item No.","@@"&amp;$F2488,"3 Posting Date",U$9)</t>
  </si>
  <si>
    <t>=U2488-W2488</t>
  </si>
  <si>
    <t>=IF(U2488&lt;&gt;0,X2488/U2488,"")</t>
  </si>
  <si>
    <t>=NL("Sum","5802 Value Entry","150 Sales Amount (Expected)","41 Source Type",$C$5,"5 Source No.",$C2488,"4 Item Ledger Entry Type",$C$4,"2 Item No.","@@"&amp;$F2488,"3 Posting Date",Z$9)+NL("Sum","5802 Value Entry","17 Sales Amount (Actual)","41 Source Type",$C$5,"5 Source no.",$C2488,"4 Item Ledger Entry Type",$C$4,"2 Item No.","@@"&amp;$F2488,"3 Posting Date",Z$9)</t>
  </si>
  <si>
    <t>=-NL("Sum","5802 Value Entry","151 Cost Amount (Expected)","41 Source Type",$C$5,"5 Source No.",$C2488,"4 Item Ledger Entry Type",$C$4,"2 Item No.","@@"&amp;$F2488,"3 Posting Date",Z$9)-NL("Sum","5802 Value Entry","43 Cost Amount (Actual)","41 Source Type",$C$5,"5 Source no.",$C2488,"4 Item Ledger Entry Type",$C$4,"2 Item No.","@@"&amp;$F2488,"3 Posting Date",Z$9)</t>
  </si>
  <si>
    <t>=Z2488-AB2488</t>
  </si>
  <si>
    <t>=IF(Z2488&lt;&gt;0,AC2488/Z2488,"")</t>
  </si>
  <si>
    <t>=C2488</t>
  </si>
  <si>
    <t>=NL("Sum","5802 Value Entry","150 Sales Amount (Expected)","41 Source Type",$C$5,"5 Source No.",$C2489,"4 Item Ledger Entry Type",$C$4,"2 Item No.","@@"&amp;$F2489,"3 Posting Date",J$9)+NL("Sum","5802 Value Entry","17 Sales Amount (Actual)","41 Source Type",$C$5,"5 Source no.",$C2489,"4 Item Ledger Entry Type",$C$4,"2 Item No.","@@"&amp;$F2489,"3 Posting Date",J$9)</t>
  </si>
  <si>
    <t>=-NL("Sum","5802 Value Entry","151 Cost Amount (Expected)","41 Source Type",$C$5,"5 Source No.",$C2489,"4 Item Ledger Entry Type",$C$4,"2 Item No.","@@"&amp;$F2489,"3 Posting Date",J$9)-NL("Sum","5802 Value Entry","43 Cost Amount (Actual)","41 Source Type",$C$5,"5 Source no.",$C2489,"4 Item Ledger Entry Type",$C$4,"2 Item No.","@@"&amp;$F2489,"3 Posting Date",J$9)</t>
  </si>
  <si>
    <t>=J2489-L2489</t>
  </si>
  <si>
    <t>=IF(J2489&lt;&gt;0,M2489/J2489,"")</t>
  </si>
  <si>
    <t>=NL("Sum","5802 Value Entry","150 Sales Amount (Expected)","41 Source Type",$C$5,"5 Source No.",$C2489,"4 Item Ledger Entry Type",$C$4,"2 Item No.","@@"&amp;$F2489,"3 Posting Date",O$9)+NL("Sum","5802 Value Entry","17 Sales Amount (Actual)","41 Source Type",$C$5,"5 Source no.",$C2489,"4 Item Ledger Entry Type",$C$4,"2 Item No.","@@"&amp;$F2489,"3 Posting Date",O$9)</t>
  </si>
  <si>
    <t>=-NL("Sum","5802 Value Entry","151 Cost Amount (Expected)","41 Source Type",$C$5,"5 Source No.",$C2489,"4 Item Ledger Entry Type",$C$4,"2 Item No.","@@"&amp;$F2489,"3 Posting Date",O$9)-NL("Sum","5802 Value Entry","43 Cost Amount (Actual)","41 Source Type",$C$5,"5 Source no.",$C2489,"4 Item Ledger Entry Type",$C$4,"2 Item No.","@@"&amp;$F2489,"3 Posting Date",O$9)</t>
  </si>
  <si>
    <t>=O2489-Q2489</t>
  </si>
  <si>
    <t>=IF(O2489&lt;&gt;0,R2489/O2489,"")</t>
  </si>
  <si>
    <t>=NL("Sum","5802 Value Entry","150 Sales Amount (Expected)","41 Source Type",$C$5,"5 Source No.",$C2489,"4 Item Ledger Entry Type",$C$4,"2 Item No.","@@"&amp;$F2489,"3 Posting Date",U$9)+NL("Sum","5802 Value Entry","17 Sales Amount (Actual)","41 Source Type",$C$5,"5 Source no.",$C2489,"4 Item Ledger Entry Type",$C$4,"2 Item No.","@@"&amp;$F2489,"3 Posting Date",U$9)</t>
  </si>
  <si>
    <t>=-NL("Sum","5802 Value Entry","151 Cost Amount (Expected)","41 Source Type",$C$5,"5 Source No.",$C2489,"4 Item Ledger Entry Type",$C$4,"2 Item No.","@@"&amp;$F2489,"3 Posting Date",U$9)-NL("Sum","5802 Value Entry","43 Cost Amount (Actual)","41 Source Type",$C$5,"5 Source no.",$C2489,"4 Item Ledger Entry Type",$C$4,"2 Item No.","@@"&amp;$F2489,"3 Posting Date",U$9)</t>
  </si>
  <si>
    <t>=U2489-W2489</t>
  </si>
  <si>
    <t>=IF(U2489&lt;&gt;0,X2489/U2489,"")</t>
  </si>
  <si>
    <t>=NL("Sum","5802 Value Entry","150 Sales Amount (Expected)","41 Source Type",$C$5,"5 Source No.",$C2489,"4 Item Ledger Entry Type",$C$4,"2 Item No.","@@"&amp;$F2489,"3 Posting Date",Z$9)+NL("Sum","5802 Value Entry","17 Sales Amount (Actual)","41 Source Type",$C$5,"5 Source no.",$C2489,"4 Item Ledger Entry Type",$C$4,"2 Item No.","@@"&amp;$F2489,"3 Posting Date",Z$9)</t>
  </si>
  <si>
    <t>=-NL("Sum","5802 Value Entry","151 Cost Amount (Expected)","41 Source Type",$C$5,"5 Source No.",$C2489,"4 Item Ledger Entry Type",$C$4,"2 Item No.","@@"&amp;$F2489,"3 Posting Date",Z$9)-NL("Sum","5802 Value Entry","43 Cost Amount (Actual)","41 Source Type",$C$5,"5 Source no.",$C2489,"4 Item Ledger Entry Type",$C$4,"2 Item No.","@@"&amp;$F2489,"3 Posting Date",Z$9)</t>
  </si>
  <si>
    <t>=Z2489-AB2489</t>
  </si>
  <si>
    <t>=IF(Z2489&lt;&gt;0,AC2489/Z2489,"")</t>
  </si>
  <si>
    <t>=C2489</t>
  </si>
  <si>
    <t>=NL("Sum","5802 Value Entry","150 Sales Amount (Expected)","41 Source Type",$C$5,"5 Source No.",$C2490,"4 Item Ledger Entry Type",$C$4,"2 Item No.","@@"&amp;$F2490,"3 Posting Date",J$9)+NL("Sum","5802 Value Entry","17 Sales Amount (Actual)","41 Source Type",$C$5,"5 Source no.",$C2490,"4 Item Ledger Entry Type",$C$4,"2 Item No.","@@"&amp;$F2490,"3 Posting Date",J$9)</t>
  </si>
  <si>
    <t>=-NL("Sum","5802 Value Entry","151 Cost Amount (Expected)","41 Source Type",$C$5,"5 Source No.",$C2490,"4 Item Ledger Entry Type",$C$4,"2 Item No.","@@"&amp;$F2490,"3 Posting Date",J$9)-NL("Sum","5802 Value Entry","43 Cost Amount (Actual)","41 Source Type",$C$5,"5 Source no.",$C2490,"4 Item Ledger Entry Type",$C$4,"2 Item No.","@@"&amp;$F2490,"3 Posting Date",J$9)</t>
  </si>
  <si>
    <t>=J2490-L2490</t>
  </si>
  <si>
    <t>=IF(J2490&lt;&gt;0,M2490/J2490,"")</t>
  </si>
  <si>
    <t>=NL("Sum","5802 Value Entry","150 Sales Amount (Expected)","41 Source Type",$C$5,"5 Source No.",$C2490,"4 Item Ledger Entry Type",$C$4,"2 Item No.","@@"&amp;$F2490,"3 Posting Date",O$9)+NL("Sum","5802 Value Entry","17 Sales Amount (Actual)","41 Source Type",$C$5,"5 Source no.",$C2490,"4 Item Ledger Entry Type",$C$4,"2 Item No.","@@"&amp;$F2490,"3 Posting Date",O$9)</t>
  </si>
  <si>
    <t>=-NL("Sum","5802 Value Entry","151 Cost Amount (Expected)","41 Source Type",$C$5,"5 Source No.",$C2490,"4 Item Ledger Entry Type",$C$4,"2 Item No.","@@"&amp;$F2490,"3 Posting Date",O$9)-NL("Sum","5802 Value Entry","43 Cost Amount (Actual)","41 Source Type",$C$5,"5 Source no.",$C2490,"4 Item Ledger Entry Type",$C$4,"2 Item No.","@@"&amp;$F2490,"3 Posting Date",O$9)</t>
  </si>
  <si>
    <t>=O2490-Q2490</t>
  </si>
  <si>
    <t>=IF(O2490&lt;&gt;0,R2490/O2490,"")</t>
  </si>
  <si>
    <t>=NL("Sum","5802 Value Entry","150 Sales Amount (Expected)","41 Source Type",$C$5,"5 Source No.",$C2490,"4 Item Ledger Entry Type",$C$4,"2 Item No.","@@"&amp;$F2490,"3 Posting Date",U$9)+NL("Sum","5802 Value Entry","17 Sales Amount (Actual)","41 Source Type",$C$5,"5 Source no.",$C2490,"4 Item Ledger Entry Type",$C$4,"2 Item No.","@@"&amp;$F2490,"3 Posting Date",U$9)</t>
  </si>
  <si>
    <t>=-NL("Sum","5802 Value Entry","151 Cost Amount (Expected)","41 Source Type",$C$5,"5 Source No.",$C2490,"4 Item Ledger Entry Type",$C$4,"2 Item No.","@@"&amp;$F2490,"3 Posting Date",U$9)-NL("Sum","5802 Value Entry","43 Cost Amount (Actual)","41 Source Type",$C$5,"5 Source no.",$C2490,"4 Item Ledger Entry Type",$C$4,"2 Item No.","@@"&amp;$F2490,"3 Posting Date",U$9)</t>
  </si>
  <si>
    <t>=U2490-W2490</t>
  </si>
  <si>
    <t>=IF(U2490&lt;&gt;0,X2490/U2490,"")</t>
  </si>
  <si>
    <t>=NL("Sum","5802 Value Entry","150 Sales Amount (Expected)","41 Source Type",$C$5,"5 Source No.",$C2490,"4 Item Ledger Entry Type",$C$4,"2 Item No.","@@"&amp;$F2490,"3 Posting Date",Z$9)+NL("Sum","5802 Value Entry","17 Sales Amount (Actual)","41 Source Type",$C$5,"5 Source no.",$C2490,"4 Item Ledger Entry Type",$C$4,"2 Item No.","@@"&amp;$F2490,"3 Posting Date",Z$9)</t>
  </si>
  <si>
    <t>=-NL("Sum","5802 Value Entry","151 Cost Amount (Expected)","41 Source Type",$C$5,"5 Source No.",$C2490,"4 Item Ledger Entry Type",$C$4,"2 Item No.","@@"&amp;$F2490,"3 Posting Date",Z$9)-NL("Sum","5802 Value Entry","43 Cost Amount (Actual)","41 Source Type",$C$5,"5 Source no.",$C2490,"4 Item Ledger Entry Type",$C$4,"2 Item No.","@@"&amp;$F2490,"3 Posting Date",Z$9)</t>
  </si>
  <si>
    <t>=Z2490-AB2490</t>
  </si>
  <si>
    <t>=IF(Z2490&lt;&gt;0,AC2490/Z2490,"")</t>
  </si>
  <si>
    <t>=C2490</t>
  </si>
  <si>
    <t>=NL("Sum","5802 Value Entry","150 Sales Amount (Expected)","41 Source Type",$C$5,"5 Source No.",$C2491,"4 Item Ledger Entry Type",$C$4,"2 Item No.","@@"&amp;$F2491,"3 Posting Date",J$9)+NL("Sum","5802 Value Entry","17 Sales Amount (Actual)","41 Source Type",$C$5,"5 Source no.",$C2491,"4 Item Ledger Entry Type",$C$4,"2 Item No.","@@"&amp;$F2491,"3 Posting Date",J$9)</t>
  </si>
  <si>
    <t>=-NL("Sum","5802 Value Entry","151 Cost Amount (Expected)","41 Source Type",$C$5,"5 Source No.",$C2491,"4 Item Ledger Entry Type",$C$4,"2 Item No.","@@"&amp;$F2491,"3 Posting Date",J$9)-NL("Sum","5802 Value Entry","43 Cost Amount (Actual)","41 Source Type",$C$5,"5 Source no.",$C2491,"4 Item Ledger Entry Type",$C$4,"2 Item No.","@@"&amp;$F2491,"3 Posting Date",J$9)</t>
  </si>
  <si>
    <t>=J2491-L2491</t>
  </si>
  <si>
    <t>=IF(J2491&lt;&gt;0,M2491/J2491,"")</t>
  </si>
  <si>
    <t>=NL("Sum","5802 Value Entry","150 Sales Amount (Expected)","41 Source Type",$C$5,"5 Source No.",$C2491,"4 Item Ledger Entry Type",$C$4,"2 Item No.","@@"&amp;$F2491,"3 Posting Date",O$9)+NL("Sum","5802 Value Entry","17 Sales Amount (Actual)","41 Source Type",$C$5,"5 Source no.",$C2491,"4 Item Ledger Entry Type",$C$4,"2 Item No.","@@"&amp;$F2491,"3 Posting Date",O$9)</t>
  </si>
  <si>
    <t>=-NL("Sum","5802 Value Entry","151 Cost Amount (Expected)","41 Source Type",$C$5,"5 Source No.",$C2491,"4 Item Ledger Entry Type",$C$4,"2 Item No.","@@"&amp;$F2491,"3 Posting Date",O$9)-NL("Sum","5802 Value Entry","43 Cost Amount (Actual)","41 Source Type",$C$5,"5 Source no.",$C2491,"4 Item Ledger Entry Type",$C$4,"2 Item No.","@@"&amp;$F2491,"3 Posting Date",O$9)</t>
  </si>
  <si>
    <t>=O2491-Q2491</t>
  </si>
  <si>
    <t>=IF(O2491&lt;&gt;0,R2491/O2491,"")</t>
  </si>
  <si>
    <t>=NL("Sum","5802 Value Entry","150 Sales Amount (Expected)","41 Source Type",$C$5,"5 Source No.",$C2491,"4 Item Ledger Entry Type",$C$4,"2 Item No.","@@"&amp;$F2491,"3 Posting Date",U$9)+NL("Sum","5802 Value Entry","17 Sales Amount (Actual)","41 Source Type",$C$5,"5 Source no.",$C2491,"4 Item Ledger Entry Type",$C$4,"2 Item No.","@@"&amp;$F2491,"3 Posting Date",U$9)</t>
  </si>
  <si>
    <t>=-NL("Sum","5802 Value Entry","151 Cost Amount (Expected)","41 Source Type",$C$5,"5 Source No.",$C2491,"4 Item Ledger Entry Type",$C$4,"2 Item No.","@@"&amp;$F2491,"3 Posting Date",U$9)-NL("Sum","5802 Value Entry","43 Cost Amount (Actual)","41 Source Type",$C$5,"5 Source no.",$C2491,"4 Item Ledger Entry Type",$C$4,"2 Item No.","@@"&amp;$F2491,"3 Posting Date",U$9)</t>
  </si>
  <si>
    <t>=U2491-W2491</t>
  </si>
  <si>
    <t>=IF(U2491&lt;&gt;0,X2491/U2491,"")</t>
  </si>
  <si>
    <t>=NL("Sum","5802 Value Entry","150 Sales Amount (Expected)","41 Source Type",$C$5,"5 Source No.",$C2491,"4 Item Ledger Entry Type",$C$4,"2 Item No.","@@"&amp;$F2491,"3 Posting Date",Z$9)+NL("Sum","5802 Value Entry","17 Sales Amount (Actual)","41 Source Type",$C$5,"5 Source no.",$C2491,"4 Item Ledger Entry Type",$C$4,"2 Item No.","@@"&amp;$F2491,"3 Posting Date",Z$9)</t>
  </si>
  <si>
    <t>=-NL("Sum","5802 Value Entry","151 Cost Amount (Expected)","41 Source Type",$C$5,"5 Source No.",$C2491,"4 Item Ledger Entry Type",$C$4,"2 Item No.","@@"&amp;$F2491,"3 Posting Date",Z$9)-NL("Sum","5802 Value Entry","43 Cost Amount (Actual)","41 Source Type",$C$5,"5 Source no.",$C2491,"4 Item Ledger Entry Type",$C$4,"2 Item No.","@@"&amp;$F2491,"3 Posting Date",Z$9)</t>
  </si>
  <si>
    <t>=Z2491-AB2491</t>
  </si>
  <si>
    <t>=IF(Z2491&lt;&gt;0,AC2491/Z2491,"")</t>
  </si>
  <si>
    <t>=C2492</t>
  </si>
  <si>
    <t>=J2493-L2493</t>
  </si>
  <si>
    <t>=IF(J2493&lt;&gt;0,M2493/J2493,"")</t>
  </si>
  <si>
    <t>=O2493-Q2493</t>
  </si>
  <si>
    <t>=IF(O2493&lt;&gt;0,R2493/O2493,"")</t>
  </si>
  <si>
    <t>=U2493-W2493</t>
  </si>
  <si>
    <t>=IF(U2493&lt;&gt;0,X2493/U2493,"")</t>
  </si>
  <si>
    <t>=Z2493-AB2493</t>
  </si>
  <si>
    <t>=IF(Z2493&lt;&gt;0,AC2493/Z2493,"")</t>
  </si>
  <si>
    <t>=C2495</t>
  </si>
  <si>
    <t>="S200009"</t>
  </si>
  <si>
    <t>=C2496</t>
  </si>
  <si>
    <t>=NL("Sum","5802 Value Entry","150 Sales Amount (Expected)","41 Source Type",$C$5,"5 Source No.",$C2497,"4 Item Ledger Entry Type",$C$4,"2 Item No.","@@"&amp;$F2497,"3 Posting Date",J$9)+NL("Sum","5802 Value Entry","17 Sales Amount (Actual)","41 Source Type",$C$5,"5 Source no.",$C2497,"4 Item Ledger Entry Type",$C$4,"2 Item No.","@@"&amp;$F2497,"3 Posting Date",J$9)</t>
  </si>
  <si>
    <t>=-NL("Sum","5802 Value Entry","151 Cost Amount (Expected)","41 Source Type",$C$5,"5 Source No.",$C2497,"4 Item Ledger Entry Type",$C$4,"2 Item No.","@@"&amp;$F2497,"3 Posting Date",J$9)-NL("Sum","5802 Value Entry","43 Cost Amount (Actual)","41 Source Type",$C$5,"5 Source no.",$C2497,"4 Item Ledger Entry Type",$C$4,"2 Item No.","@@"&amp;$F2497,"3 Posting Date",J$9)</t>
  </si>
  <si>
    <t>=J2497-L2497</t>
  </si>
  <si>
    <t>=IF(J2497&lt;&gt;0,M2497/J2497,"")</t>
  </si>
  <si>
    <t>=NL("Sum","5802 Value Entry","150 Sales Amount (Expected)","41 Source Type",$C$5,"5 Source No.",$C2497,"4 Item Ledger Entry Type",$C$4,"2 Item No.","@@"&amp;$F2497,"3 Posting Date",O$9)+NL("Sum","5802 Value Entry","17 Sales Amount (Actual)","41 Source Type",$C$5,"5 Source no.",$C2497,"4 Item Ledger Entry Type",$C$4,"2 Item No.","@@"&amp;$F2497,"3 Posting Date",O$9)</t>
  </si>
  <si>
    <t>=-NL("Sum","5802 Value Entry","151 Cost Amount (Expected)","41 Source Type",$C$5,"5 Source No.",$C2497,"4 Item Ledger Entry Type",$C$4,"2 Item No.","@@"&amp;$F2497,"3 Posting Date",O$9)-NL("Sum","5802 Value Entry","43 Cost Amount (Actual)","41 Source Type",$C$5,"5 Source no.",$C2497,"4 Item Ledger Entry Type",$C$4,"2 Item No.","@@"&amp;$F2497,"3 Posting Date",O$9)</t>
  </si>
  <si>
    <t>=O2497-Q2497</t>
  </si>
  <si>
    <t>=IF(O2497&lt;&gt;0,R2497/O2497,"")</t>
  </si>
  <si>
    <t>=NL("Sum","5802 Value Entry","150 Sales Amount (Expected)","41 Source Type",$C$5,"5 Source No.",$C2497,"4 Item Ledger Entry Type",$C$4,"2 Item No.","@@"&amp;$F2497,"3 Posting Date",U$9)+NL("Sum","5802 Value Entry","17 Sales Amount (Actual)","41 Source Type",$C$5,"5 Source no.",$C2497,"4 Item Ledger Entry Type",$C$4,"2 Item No.","@@"&amp;$F2497,"3 Posting Date",U$9)</t>
  </si>
  <si>
    <t>=-NL("Sum","5802 Value Entry","151 Cost Amount (Expected)","41 Source Type",$C$5,"5 Source No.",$C2497,"4 Item Ledger Entry Type",$C$4,"2 Item No.","@@"&amp;$F2497,"3 Posting Date",U$9)-NL("Sum","5802 Value Entry","43 Cost Amount (Actual)","41 Source Type",$C$5,"5 Source no.",$C2497,"4 Item Ledger Entry Type",$C$4,"2 Item No.","@@"&amp;$F2497,"3 Posting Date",U$9)</t>
  </si>
  <si>
    <t>=U2497-W2497</t>
  </si>
  <si>
    <t>=IF(U2497&lt;&gt;0,X2497/U2497,"")</t>
  </si>
  <si>
    <t>=NL("Sum","5802 Value Entry","150 Sales Amount (Expected)","41 Source Type",$C$5,"5 Source No.",$C2497,"4 Item Ledger Entry Type",$C$4,"2 Item No.","@@"&amp;$F2497,"3 Posting Date",Z$9)+NL("Sum","5802 Value Entry","17 Sales Amount (Actual)","41 Source Type",$C$5,"5 Source no.",$C2497,"4 Item Ledger Entry Type",$C$4,"2 Item No.","@@"&amp;$F2497,"3 Posting Date",Z$9)</t>
  </si>
  <si>
    <t>=-NL("Sum","5802 Value Entry","151 Cost Amount (Expected)","41 Source Type",$C$5,"5 Source No.",$C2497,"4 Item Ledger Entry Type",$C$4,"2 Item No.","@@"&amp;$F2497,"3 Posting Date",Z$9)-NL("Sum","5802 Value Entry","43 Cost Amount (Actual)","41 Source Type",$C$5,"5 Source no.",$C2497,"4 Item Ledger Entry Type",$C$4,"2 Item No.","@@"&amp;$F2497,"3 Posting Date",Z$9)</t>
  </si>
  <si>
    <t>=Z2497-AB2497</t>
  </si>
  <si>
    <t>=IF(Z2497&lt;&gt;0,AC2497/Z2497,"")</t>
  </si>
  <si>
    <t>=C2497</t>
  </si>
  <si>
    <t>=NL("Sum","5802 Value Entry","150 Sales Amount (Expected)","41 Source Type",$C$5,"5 Source No.",$C2498,"4 Item Ledger Entry Type",$C$4,"2 Item No.","@@"&amp;$F2498,"3 Posting Date",J$9)+NL("Sum","5802 Value Entry","17 Sales Amount (Actual)","41 Source Type",$C$5,"5 Source no.",$C2498,"4 Item Ledger Entry Type",$C$4,"2 Item No.","@@"&amp;$F2498,"3 Posting Date",J$9)</t>
  </si>
  <si>
    <t>=-NL("Sum","5802 Value Entry","151 Cost Amount (Expected)","41 Source Type",$C$5,"5 Source No.",$C2498,"4 Item Ledger Entry Type",$C$4,"2 Item No.","@@"&amp;$F2498,"3 Posting Date",J$9)-NL("Sum","5802 Value Entry","43 Cost Amount (Actual)","41 Source Type",$C$5,"5 Source no.",$C2498,"4 Item Ledger Entry Type",$C$4,"2 Item No.","@@"&amp;$F2498,"3 Posting Date",J$9)</t>
  </si>
  <si>
    <t>=J2498-L2498</t>
  </si>
  <si>
    <t>=IF(J2498&lt;&gt;0,M2498/J2498,"")</t>
  </si>
  <si>
    <t>=NL("Sum","5802 Value Entry","150 Sales Amount (Expected)","41 Source Type",$C$5,"5 Source No.",$C2498,"4 Item Ledger Entry Type",$C$4,"2 Item No.","@@"&amp;$F2498,"3 Posting Date",O$9)+NL("Sum","5802 Value Entry","17 Sales Amount (Actual)","41 Source Type",$C$5,"5 Source no.",$C2498,"4 Item Ledger Entry Type",$C$4,"2 Item No.","@@"&amp;$F2498,"3 Posting Date",O$9)</t>
  </si>
  <si>
    <t>=-NL("Sum","5802 Value Entry","151 Cost Amount (Expected)","41 Source Type",$C$5,"5 Source No.",$C2498,"4 Item Ledger Entry Type",$C$4,"2 Item No.","@@"&amp;$F2498,"3 Posting Date",O$9)-NL("Sum","5802 Value Entry","43 Cost Amount (Actual)","41 Source Type",$C$5,"5 Source no.",$C2498,"4 Item Ledger Entry Type",$C$4,"2 Item No.","@@"&amp;$F2498,"3 Posting Date",O$9)</t>
  </si>
  <si>
    <t>=O2498-Q2498</t>
  </si>
  <si>
    <t>=IF(O2498&lt;&gt;0,R2498/O2498,"")</t>
  </si>
  <si>
    <t>=NL("Sum","5802 Value Entry","150 Sales Amount (Expected)","41 Source Type",$C$5,"5 Source No.",$C2498,"4 Item Ledger Entry Type",$C$4,"2 Item No.","@@"&amp;$F2498,"3 Posting Date",U$9)+NL("Sum","5802 Value Entry","17 Sales Amount (Actual)","41 Source Type",$C$5,"5 Source no.",$C2498,"4 Item Ledger Entry Type",$C$4,"2 Item No.","@@"&amp;$F2498,"3 Posting Date",U$9)</t>
  </si>
  <si>
    <t>=-NL("Sum","5802 Value Entry","151 Cost Amount (Expected)","41 Source Type",$C$5,"5 Source No.",$C2498,"4 Item Ledger Entry Type",$C$4,"2 Item No.","@@"&amp;$F2498,"3 Posting Date",U$9)-NL("Sum","5802 Value Entry","43 Cost Amount (Actual)","41 Source Type",$C$5,"5 Source no.",$C2498,"4 Item Ledger Entry Type",$C$4,"2 Item No.","@@"&amp;$F2498,"3 Posting Date",U$9)</t>
  </si>
  <si>
    <t>=U2498-W2498</t>
  </si>
  <si>
    <t>=IF(U2498&lt;&gt;0,X2498/U2498,"")</t>
  </si>
  <si>
    <t>=NL("Sum","5802 Value Entry","150 Sales Amount (Expected)","41 Source Type",$C$5,"5 Source No.",$C2498,"4 Item Ledger Entry Type",$C$4,"2 Item No.","@@"&amp;$F2498,"3 Posting Date",Z$9)+NL("Sum","5802 Value Entry","17 Sales Amount (Actual)","41 Source Type",$C$5,"5 Source no.",$C2498,"4 Item Ledger Entry Type",$C$4,"2 Item No.","@@"&amp;$F2498,"3 Posting Date",Z$9)</t>
  </si>
  <si>
    <t>=-NL("Sum","5802 Value Entry","151 Cost Amount (Expected)","41 Source Type",$C$5,"5 Source No.",$C2498,"4 Item Ledger Entry Type",$C$4,"2 Item No.","@@"&amp;$F2498,"3 Posting Date",Z$9)-NL("Sum","5802 Value Entry","43 Cost Amount (Actual)","41 Source Type",$C$5,"5 Source no.",$C2498,"4 Item Ledger Entry Type",$C$4,"2 Item No.","@@"&amp;$F2498,"3 Posting Date",Z$9)</t>
  </si>
  <si>
    <t>=Z2498-AB2498</t>
  </si>
  <si>
    <t>=IF(Z2498&lt;&gt;0,AC2498/Z2498,"")</t>
  </si>
  <si>
    <t>=C2498</t>
  </si>
  <si>
    <t>=NL("Sum","5802 Value Entry","150 Sales Amount (Expected)","41 Source Type",$C$5,"5 Source No.",$C2499,"4 Item Ledger Entry Type",$C$4,"2 Item No.","@@"&amp;$F2499,"3 Posting Date",J$9)+NL("Sum","5802 Value Entry","17 Sales Amount (Actual)","41 Source Type",$C$5,"5 Source no.",$C2499,"4 Item Ledger Entry Type",$C$4,"2 Item No.","@@"&amp;$F2499,"3 Posting Date",J$9)</t>
  </si>
  <si>
    <t>=-NL("Sum","5802 Value Entry","151 Cost Amount (Expected)","41 Source Type",$C$5,"5 Source No.",$C2499,"4 Item Ledger Entry Type",$C$4,"2 Item No.","@@"&amp;$F2499,"3 Posting Date",J$9)-NL("Sum","5802 Value Entry","43 Cost Amount (Actual)","41 Source Type",$C$5,"5 Source no.",$C2499,"4 Item Ledger Entry Type",$C$4,"2 Item No.","@@"&amp;$F2499,"3 Posting Date",J$9)</t>
  </si>
  <si>
    <t>=J2499-L2499</t>
  </si>
  <si>
    <t>=IF(J2499&lt;&gt;0,M2499/J2499,"")</t>
  </si>
  <si>
    <t>=NL("Sum","5802 Value Entry","150 Sales Amount (Expected)","41 Source Type",$C$5,"5 Source No.",$C2499,"4 Item Ledger Entry Type",$C$4,"2 Item No.","@@"&amp;$F2499,"3 Posting Date",O$9)+NL("Sum","5802 Value Entry","17 Sales Amount (Actual)","41 Source Type",$C$5,"5 Source no.",$C2499,"4 Item Ledger Entry Type",$C$4,"2 Item No.","@@"&amp;$F2499,"3 Posting Date",O$9)</t>
  </si>
  <si>
    <t>=-NL("Sum","5802 Value Entry","151 Cost Amount (Expected)","41 Source Type",$C$5,"5 Source No.",$C2499,"4 Item Ledger Entry Type",$C$4,"2 Item No.","@@"&amp;$F2499,"3 Posting Date",O$9)-NL("Sum","5802 Value Entry","43 Cost Amount (Actual)","41 Source Type",$C$5,"5 Source no.",$C2499,"4 Item Ledger Entry Type",$C$4,"2 Item No.","@@"&amp;$F2499,"3 Posting Date",O$9)</t>
  </si>
  <si>
    <t>=O2499-Q2499</t>
  </si>
  <si>
    <t>=IF(O2499&lt;&gt;0,R2499/O2499,"")</t>
  </si>
  <si>
    <t>=NL("Sum","5802 Value Entry","150 Sales Amount (Expected)","41 Source Type",$C$5,"5 Source No.",$C2499,"4 Item Ledger Entry Type",$C$4,"2 Item No.","@@"&amp;$F2499,"3 Posting Date",U$9)+NL("Sum","5802 Value Entry","17 Sales Amount (Actual)","41 Source Type",$C$5,"5 Source no.",$C2499,"4 Item Ledger Entry Type",$C$4,"2 Item No.","@@"&amp;$F2499,"3 Posting Date",U$9)</t>
  </si>
  <si>
    <t>=-NL("Sum","5802 Value Entry","151 Cost Amount (Expected)","41 Source Type",$C$5,"5 Source No.",$C2499,"4 Item Ledger Entry Type",$C$4,"2 Item No.","@@"&amp;$F2499,"3 Posting Date",U$9)-NL("Sum","5802 Value Entry","43 Cost Amount (Actual)","41 Source Type",$C$5,"5 Source no.",$C2499,"4 Item Ledger Entry Type",$C$4,"2 Item No.","@@"&amp;$F2499,"3 Posting Date",U$9)</t>
  </si>
  <si>
    <t>=U2499-W2499</t>
  </si>
  <si>
    <t>=IF(U2499&lt;&gt;0,X2499/U2499,"")</t>
  </si>
  <si>
    <t>=NL("Sum","5802 Value Entry","150 Sales Amount (Expected)","41 Source Type",$C$5,"5 Source No.",$C2499,"4 Item Ledger Entry Type",$C$4,"2 Item No.","@@"&amp;$F2499,"3 Posting Date",Z$9)+NL("Sum","5802 Value Entry","17 Sales Amount (Actual)","41 Source Type",$C$5,"5 Source no.",$C2499,"4 Item Ledger Entry Type",$C$4,"2 Item No.","@@"&amp;$F2499,"3 Posting Date",Z$9)</t>
  </si>
  <si>
    <t>=-NL("Sum","5802 Value Entry","151 Cost Amount (Expected)","41 Source Type",$C$5,"5 Source No.",$C2499,"4 Item Ledger Entry Type",$C$4,"2 Item No.","@@"&amp;$F2499,"3 Posting Date",Z$9)-NL("Sum","5802 Value Entry","43 Cost Amount (Actual)","41 Source Type",$C$5,"5 Source no.",$C2499,"4 Item Ledger Entry Type",$C$4,"2 Item No.","@@"&amp;$F2499,"3 Posting Date",Z$9)</t>
  </si>
  <si>
    <t>=Z2499-AB2499</t>
  </si>
  <si>
    <t>=IF(Z2499&lt;&gt;0,AC2499/Z2499,"")</t>
  </si>
  <si>
    <t>=C2499</t>
  </si>
  <si>
    <t>=NL("Sum","5802 Value Entry","150 Sales Amount (Expected)","41 Source Type",$C$5,"5 Source No.",$C2500,"4 Item Ledger Entry Type",$C$4,"2 Item No.","@@"&amp;$F2500,"3 Posting Date",J$9)+NL("Sum","5802 Value Entry","17 Sales Amount (Actual)","41 Source Type",$C$5,"5 Source no.",$C2500,"4 Item Ledger Entry Type",$C$4,"2 Item No.","@@"&amp;$F2500,"3 Posting Date",J$9)</t>
  </si>
  <si>
    <t>=-NL("Sum","5802 Value Entry","151 Cost Amount (Expected)","41 Source Type",$C$5,"5 Source No.",$C2500,"4 Item Ledger Entry Type",$C$4,"2 Item No.","@@"&amp;$F2500,"3 Posting Date",J$9)-NL("Sum","5802 Value Entry","43 Cost Amount (Actual)","41 Source Type",$C$5,"5 Source no.",$C2500,"4 Item Ledger Entry Type",$C$4,"2 Item No.","@@"&amp;$F2500,"3 Posting Date",J$9)</t>
  </si>
  <si>
    <t>=J2500-L2500</t>
  </si>
  <si>
    <t>=IF(J2500&lt;&gt;0,M2500/J2500,"")</t>
  </si>
  <si>
    <t>=NL("Sum","5802 Value Entry","150 Sales Amount (Expected)","41 Source Type",$C$5,"5 Source No.",$C2500,"4 Item Ledger Entry Type",$C$4,"2 Item No.","@@"&amp;$F2500,"3 Posting Date",O$9)+NL("Sum","5802 Value Entry","17 Sales Amount (Actual)","41 Source Type",$C$5,"5 Source no.",$C2500,"4 Item Ledger Entry Type",$C$4,"2 Item No.","@@"&amp;$F2500,"3 Posting Date",O$9)</t>
  </si>
  <si>
    <t>=-NL("Sum","5802 Value Entry","151 Cost Amount (Expected)","41 Source Type",$C$5,"5 Source No.",$C2500,"4 Item Ledger Entry Type",$C$4,"2 Item No.","@@"&amp;$F2500,"3 Posting Date",O$9)-NL("Sum","5802 Value Entry","43 Cost Amount (Actual)","41 Source Type",$C$5,"5 Source no.",$C2500,"4 Item Ledger Entry Type",$C$4,"2 Item No.","@@"&amp;$F2500,"3 Posting Date",O$9)</t>
  </si>
  <si>
    <t>=O2500-Q2500</t>
  </si>
  <si>
    <t>=IF(O2500&lt;&gt;0,R2500/O2500,"")</t>
  </si>
  <si>
    <t>=NL("Sum","5802 Value Entry","150 Sales Amount (Expected)","41 Source Type",$C$5,"5 Source No.",$C2500,"4 Item Ledger Entry Type",$C$4,"2 Item No.","@@"&amp;$F2500,"3 Posting Date",U$9)+NL("Sum","5802 Value Entry","17 Sales Amount (Actual)","41 Source Type",$C$5,"5 Source no.",$C2500,"4 Item Ledger Entry Type",$C$4,"2 Item No.","@@"&amp;$F2500,"3 Posting Date",U$9)</t>
  </si>
  <si>
    <t>=-NL("Sum","5802 Value Entry","151 Cost Amount (Expected)","41 Source Type",$C$5,"5 Source No.",$C2500,"4 Item Ledger Entry Type",$C$4,"2 Item No.","@@"&amp;$F2500,"3 Posting Date",U$9)-NL("Sum","5802 Value Entry","43 Cost Amount (Actual)","41 Source Type",$C$5,"5 Source no.",$C2500,"4 Item Ledger Entry Type",$C$4,"2 Item No.","@@"&amp;$F2500,"3 Posting Date",U$9)</t>
  </si>
  <si>
    <t>=U2500-W2500</t>
  </si>
  <si>
    <t>=IF(U2500&lt;&gt;0,X2500/U2500,"")</t>
  </si>
  <si>
    <t>=NL("Sum","5802 Value Entry","150 Sales Amount (Expected)","41 Source Type",$C$5,"5 Source No.",$C2500,"4 Item Ledger Entry Type",$C$4,"2 Item No.","@@"&amp;$F2500,"3 Posting Date",Z$9)+NL("Sum","5802 Value Entry","17 Sales Amount (Actual)","41 Source Type",$C$5,"5 Source no.",$C2500,"4 Item Ledger Entry Type",$C$4,"2 Item No.","@@"&amp;$F2500,"3 Posting Date",Z$9)</t>
  </si>
  <si>
    <t>=-NL("Sum","5802 Value Entry","151 Cost Amount (Expected)","41 Source Type",$C$5,"5 Source No.",$C2500,"4 Item Ledger Entry Type",$C$4,"2 Item No.","@@"&amp;$F2500,"3 Posting Date",Z$9)-NL("Sum","5802 Value Entry","43 Cost Amount (Actual)","41 Source Type",$C$5,"5 Source no.",$C2500,"4 Item Ledger Entry Type",$C$4,"2 Item No.","@@"&amp;$F2500,"3 Posting Date",Z$9)</t>
  </si>
  <si>
    <t>=Z2500-AB2500</t>
  </si>
  <si>
    <t>=IF(Z2500&lt;&gt;0,AC2500/Z2500,"")</t>
  </si>
  <si>
    <t>=C2500</t>
  </si>
  <si>
    <t>=NL("Sum","5802 Value Entry","150 Sales Amount (Expected)","41 Source Type",$C$5,"5 Source No.",$C2501,"4 Item Ledger Entry Type",$C$4,"2 Item No.","@@"&amp;$F2501,"3 Posting Date",J$9)+NL("Sum","5802 Value Entry","17 Sales Amount (Actual)","41 Source Type",$C$5,"5 Source no.",$C2501,"4 Item Ledger Entry Type",$C$4,"2 Item No.","@@"&amp;$F2501,"3 Posting Date",J$9)</t>
  </si>
  <si>
    <t>=-NL("Sum","5802 Value Entry","151 Cost Amount (Expected)","41 Source Type",$C$5,"5 Source No.",$C2501,"4 Item Ledger Entry Type",$C$4,"2 Item No.","@@"&amp;$F2501,"3 Posting Date",J$9)-NL("Sum","5802 Value Entry","43 Cost Amount (Actual)","41 Source Type",$C$5,"5 Source no.",$C2501,"4 Item Ledger Entry Type",$C$4,"2 Item No.","@@"&amp;$F2501,"3 Posting Date",J$9)</t>
  </si>
  <si>
    <t>=J2501-L2501</t>
  </si>
  <si>
    <t>=IF(J2501&lt;&gt;0,M2501/J2501,"")</t>
  </si>
  <si>
    <t>=NL("Sum","5802 Value Entry","150 Sales Amount (Expected)","41 Source Type",$C$5,"5 Source No.",$C2501,"4 Item Ledger Entry Type",$C$4,"2 Item No.","@@"&amp;$F2501,"3 Posting Date",O$9)+NL("Sum","5802 Value Entry","17 Sales Amount (Actual)","41 Source Type",$C$5,"5 Source no.",$C2501,"4 Item Ledger Entry Type",$C$4,"2 Item No.","@@"&amp;$F2501,"3 Posting Date",O$9)</t>
  </si>
  <si>
    <t>=-NL("Sum","5802 Value Entry","151 Cost Amount (Expected)","41 Source Type",$C$5,"5 Source No.",$C2501,"4 Item Ledger Entry Type",$C$4,"2 Item No.","@@"&amp;$F2501,"3 Posting Date",O$9)-NL("Sum","5802 Value Entry","43 Cost Amount (Actual)","41 Source Type",$C$5,"5 Source no.",$C2501,"4 Item Ledger Entry Type",$C$4,"2 Item No.","@@"&amp;$F2501,"3 Posting Date",O$9)</t>
  </si>
  <si>
    <t>=O2501-Q2501</t>
  </si>
  <si>
    <t>=IF(O2501&lt;&gt;0,R2501/O2501,"")</t>
  </si>
  <si>
    <t>=NL("Sum","5802 Value Entry","150 Sales Amount (Expected)","41 Source Type",$C$5,"5 Source No.",$C2501,"4 Item Ledger Entry Type",$C$4,"2 Item No.","@@"&amp;$F2501,"3 Posting Date",U$9)+NL("Sum","5802 Value Entry","17 Sales Amount (Actual)","41 Source Type",$C$5,"5 Source no.",$C2501,"4 Item Ledger Entry Type",$C$4,"2 Item No.","@@"&amp;$F2501,"3 Posting Date",U$9)</t>
  </si>
  <si>
    <t>=-NL("Sum","5802 Value Entry","151 Cost Amount (Expected)","41 Source Type",$C$5,"5 Source No.",$C2501,"4 Item Ledger Entry Type",$C$4,"2 Item No.","@@"&amp;$F2501,"3 Posting Date",U$9)-NL("Sum","5802 Value Entry","43 Cost Amount (Actual)","41 Source Type",$C$5,"5 Source no.",$C2501,"4 Item Ledger Entry Type",$C$4,"2 Item No.","@@"&amp;$F2501,"3 Posting Date",U$9)</t>
  </si>
  <si>
    <t>=U2501-W2501</t>
  </si>
  <si>
    <t>=IF(U2501&lt;&gt;0,X2501/U2501,"")</t>
  </si>
  <si>
    <t>=NL("Sum","5802 Value Entry","150 Sales Amount (Expected)","41 Source Type",$C$5,"5 Source No.",$C2501,"4 Item Ledger Entry Type",$C$4,"2 Item No.","@@"&amp;$F2501,"3 Posting Date",Z$9)+NL("Sum","5802 Value Entry","17 Sales Amount (Actual)","41 Source Type",$C$5,"5 Source no.",$C2501,"4 Item Ledger Entry Type",$C$4,"2 Item No.","@@"&amp;$F2501,"3 Posting Date",Z$9)</t>
  </si>
  <si>
    <t>=-NL("Sum","5802 Value Entry","151 Cost Amount (Expected)","41 Source Type",$C$5,"5 Source No.",$C2501,"4 Item Ledger Entry Type",$C$4,"2 Item No.","@@"&amp;$F2501,"3 Posting Date",Z$9)-NL("Sum","5802 Value Entry","43 Cost Amount (Actual)","41 Source Type",$C$5,"5 Source no.",$C2501,"4 Item Ledger Entry Type",$C$4,"2 Item No.","@@"&amp;$F2501,"3 Posting Date",Z$9)</t>
  </si>
  <si>
    <t>=Z2501-AB2501</t>
  </si>
  <si>
    <t>=IF(Z2501&lt;&gt;0,AC2501/Z2501,"")</t>
  </si>
  <si>
    <t>=C2502</t>
  </si>
  <si>
    <t>=J2503-L2503</t>
  </si>
  <si>
    <t>=IF(J2503&lt;&gt;0,M2503/J2503,"")</t>
  </si>
  <si>
    <t>=O2503-Q2503</t>
  </si>
  <si>
    <t>=IF(O2503&lt;&gt;0,R2503/O2503,"")</t>
  </si>
  <si>
    <t>=U2503-W2503</t>
  </si>
  <si>
    <t>=IF(U2503&lt;&gt;0,X2503/U2503,"")</t>
  </si>
  <si>
    <t>=Z2503-AB2503</t>
  </si>
  <si>
    <t>=IF(Z2503&lt;&gt;0,AC2503/Z2503,"")</t>
  </si>
  <si>
    <t>="C100113"</t>
  </si>
  <si>
    <t>=C2505</t>
  </si>
  <si>
    <t>=C2506</t>
  </si>
  <si>
    <t>=NL("Sum","5802 Value Entry","150 Sales Amount (Expected)","41 Source Type",$C$5,"5 Source No.",$C2507,"4 Item Ledger Entry Type",$C$4,"2 Item No.","@@"&amp;$F2507,"3 Posting Date",J$9)+NL("Sum","5802 Value Entry","17 Sales Amount (Actual)","41 Source Type",$C$5,"5 Source no.",$C2507,"4 Item Ledger Entry Type",$C$4,"2 Item No.","@@"&amp;$F2507,"3 Posting Date",J$9)</t>
  </si>
  <si>
    <t>=-NL("Sum","5802 Value Entry","151 Cost Amount (Expected)","41 Source Type",$C$5,"5 Source No.",$C2507,"4 Item Ledger Entry Type",$C$4,"2 Item No.","@@"&amp;$F2507,"3 Posting Date",J$9)-NL("Sum","5802 Value Entry","43 Cost Amount (Actual)","41 Source Type",$C$5,"5 Source no.",$C2507,"4 Item Ledger Entry Type",$C$4,"2 Item No.","@@"&amp;$F2507,"3 Posting Date",J$9)</t>
  </si>
  <si>
    <t>=J2507-L2507</t>
  </si>
  <si>
    <t>=IF(J2507&lt;&gt;0,M2507/J2507,"")</t>
  </si>
  <si>
    <t>=NL("Sum","5802 Value Entry","150 Sales Amount (Expected)","41 Source Type",$C$5,"5 Source No.",$C2507,"4 Item Ledger Entry Type",$C$4,"2 Item No.","@@"&amp;$F2507,"3 Posting Date",O$9)+NL("Sum","5802 Value Entry","17 Sales Amount (Actual)","41 Source Type",$C$5,"5 Source no.",$C2507,"4 Item Ledger Entry Type",$C$4,"2 Item No.","@@"&amp;$F2507,"3 Posting Date",O$9)</t>
  </si>
  <si>
    <t>=-NL("Sum","5802 Value Entry","151 Cost Amount (Expected)","41 Source Type",$C$5,"5 Source No.",$C2507,"4 Item Ledger Entry Type",$C$4,"2 Item No.","@@"&amp;$F2507,"3 Posting Date",O$9)-NL("Sum","5802 Value Entry","43 Cost Amount (Actual)","41 Source Type",$C$5,"5 Source no.",$C2507,"4 Item Ledger Entry Type",$C$4,"2 Item No.","@@"&amp;$F2507,"3 Posting Date",O$9)</t>
  </si>
  <si>
    <t>=O2507-Q2507</t>
  </si>
  <si>
    <t>=IF(O2507&lt;&gt;0,R2507/O2507,"")</t>
  </si>
  <si>
    <t>=NL("Sum","5802 Value Entry","150 Sales Amount (Expected)","41 Source Type",$C$5,"5 Source No.",$C2507,"4 Item Ledger Entry Type",$C$4,"2 Item No.","@@"&amp;$F2507,"3 Posting Date",U$9)+NL("Sum","5802 Value Entry","17 Sales Amount (Actual)","41 Source Type",$C$5,"5 Source no.",$C2507,"4 Item Ledger Entry Type",$C$4,"2 Item No.","@@"&amp;$F2507,"3 Posting Date",U$9)</t>
  </si>
  <si>
    <t>=-NL("Sum","5802 Value Entry","151 Cost Amount (Expected)","41 Source Type",$C$5,"5 Source No.",$C2507,"4 Item Ledger Entry Type",$C$4,"2 Item No.","@@"&amp;$F2507,"3 Posting Date",U$9)-NL("Sum","5802 Value Entry","43 Cost Amount (Actual)","41 Source Type",$C$5,"5 Source no.",$C2507,"4 Item Ledger Entry Type",$C$4,"2 Item No.","@@"&amp;$F2507,"3 Posting Date",U$9)</t>
  </si>
  <si>
    <t>=U2507-W2507</t>
  </si>
  <si>
    <t>=IF(U2507&lt;&gt;0,X2507/U2507,"")</t>
  </si>
  <si>
    <t>=NL("Sum","5802 Value Entry","150 Sales Amount (Expected)","41 Source Type",$C$5,"5 Source No.",$C2507,"4 Item Ledger Entry Type",$C$4,"2 Item No.","@@"&amp;$F2507,"3 Posting Date",Z$9)+NL("Sum","5802 Value Entry","17 Sales Amount (Actual)","41 Source Type",$C$5,"5 Source no.",$C2507,"4 Item Ledger Entry Type",$C$4,"2 Item No.","@@"&amp;$F2507,"3 Posting Date",Z$9)</t>
  </si>
  <si>
    <t>=-NL("Sum","5802 Value Entry","151 Cost Amount (Expected)","41 Source Type",$C$5,"5 Source No.",$C2507,"4 Item Ledger Entry Type",$C$4,"2 Item No.","@@"&amp;$F2507,"3 Posting Date",Z$9)-NL("Sum","5802 Value Entry","43 Cost Amount (Actual)","41 Source Type",$C$5,"5 Source no.",$C2507,"4 Item Ledger Entry Type",$C$4,"2 Item No.","@@"&amp;$F2507,"3 Posting Date",Z$9)</t>
  </si>
  <si>
    <t>=Z2507-AB2507</t>
  </si>
  <si>
    <t>=IF(Z2507&lt;&gt;0,AC2507/Z2507,"")</t>
  </si>
  <si>
    <t>=C2507</t>
  </si>
  <si>
    <t>=NL("Sum","5802 Value Entry","150 Sales Amount (Expected)","41 Source Type",$C$5,"5 Source No.",$C2508,"4 Item Ledger Entry Type",$C$4,"2 Item No.","@@"&amp;$F2508,"3 Posting Date",J$9)+NL("Sum","5802 Value Entry","17 Sales Amount (Actual)","41 Source Type",$C$5,"5 Source no.",$C2508,"4 Item Ledger Entry Type",$C$4,"2 Item No.","@@"&amp;$F2508,"3 Posting Date",J$9)</t>
  </si>
  <si>
    <t>=-NL("Sum","5802 Value Entry","151 Cost Amount (Expected)","41 Source Type",$C$5,"5 Source No.",$C2508,"4 Item Ledger Entry Type",$C$4,"2 Item No.","@@"&amp;$F2508,"3 Posting Date",J$9)-NL("Sum","5802 Value Entry","43 Cost Amount (Actual)","41 Source Type",$C$5,"5 Source no.",$C2508,"4 Item Ledger Entry Type",$C$4,"2 Item No.","@@"&amp;$F2508,"3 Posting Date",J$9)</t>
  </si>
  <si>
    <t>=J2508-L2508</t>
  </si>
  <si>
    <t>=IF(J2508&lt;&gt;0,M2508/J2508,"")</t>
  </si>
  <si>
    <t>=NL("Sum","5802 Value Entry","150 Sales Amount (Expected)","41 Source Type",$C$5,"5 Source No.",$C2508,"4 Item Ledger Entry Type",$C$4,"2 Item No.","@@"&amp;$F2508,"3 Posting Date",O$9)+NL("Sum","5802 Value Entry","17 Sales Amount (Actual)","41 Source Type",$C$5,"5 Source no.",$C2508,"4 Item Ledger Entry Type",$C$4,"2 Item No.","@@"&amp;$F2508,"3 Posting Date",O$9)</t>
  </si>
  <si>
    <t>=-NL("Sum","5802 Value Entry","151 Cost Amount (Expected)","41 Source Type",$C$5,"5 Source No.",$C2508,"4 Item Ledger Entry Type",$C$4,"2 Item No.","@@"&amp;$F2508,"3 Posting Date",O$9)-NL("Sum","5802 Value Entry","43 Cost Amount (Actual)","41 Source Type",$C$5,"5 Source no.",$C2508,"4 Item Ledger Entry Type",$C$4,"2 Item No.","@@"&amp;$F2508,"3 Posting Date",O$9)</t>
  </si>
  <si>
    <t>=O2508-Q2508</t>
  </si>
  <si>
    <t>=IF(O2508&lt;&gt;0,R2508/O2508,"")</t>
  </si>
  <si>
    <t>=NL("Sum","5802 Value Entry","150 Sales Amount (Expected)","41 Source Type",$C$5,"5 Source No.",$C2508,"4 Item Ledger Entry Type",$C$4,"2 Item No.","@@"&amp;$F2508,"3 Posting Date",U$9)+NL("Sum","5802 Value Entry","17 Sales Amount (Actual)","41 Source Type",$C$5,"5 Source no.",$C2508,"4 Item Ledger Entry Type",$C$4,"2 Item No.","@@"&amp;$F2508,"3 Posting Date",U$9)</t>
  </si>
  <si>
    <t>=-NL("Sum","5802 Value Entry","151 Cost Amount (Expected)","41 Source Type",$C$5,"5 Source No.",$C2508,"4 Item Ledger Entry Type",$C$4,"2 Item No.","@@"&amp;$F2508,"3 Posting Date",U$9)-NL("Sum","5802 Value Entry","43 Cost Amount (Actual)","41 Source Type",$C$5,"5 Source no.",$C2508,"4 Item Ledger Entry Type",$C$4,"2 Item No.","@@"&amp;$F2508,"3 Posting Date",U$9)</t>
  </si>
  <si>
    <t>=U2508-W2508</t>
  </si>
  <si>
    <t>=IF(U2508&lt;&gt;0,X2508/U2508,"")</t>
  </si>
  <si>
    <t>=NL("Sum","5802 Value Entry","150 Sales Amount (Expected)","41 Source Type",$C$5,"5 Source No.",$C2508,"4 Item Ledger Entry Type",$C$4,"2 Item No.","@@"&amp;$F2508,"3 Posting Date",Z$9)+NL("Sum","5802 Value Entry","17 Sales Amount (Actual)","41 Source Type",$C$5,"5 Source no.",$C2508,"4 Item Ledger Entry Type",$C$4,"2 Item No.","@@"&amp;$F2508,"3 Posting Date",Z$9)</t>
  </si>
  <si>
    <t>=-NL("Sum","5802 Value Entry","151 Cost Amount (Expected)","41 Source Type",$C$5,"5 Source No.",$C2508,"4 Item Ledger Entry Type",$C$4,"2 Item No.","@@"&amp;$F2508,"3 Posting Date",Z$9)-NL("Sum","5802 Value Entry","43 Cost Amount (Actual)","41 Source Type",$C$5,"5 Source no.",$C2508,"4 Item Ledger Entry Type",$C$4,"2 Item No.","@@"&amp;$F2508,"3 Posting Date",Z$9)</t>
  </si>
  <si>
    <t>=Z2508-AB2508</t>
  </si>
  <si>
    <t>=IF(Z2508&lt;&gt;0,AC2508/Z2508,"")</t>
  </si>
  <si>
    <t>=C2508</t>
  </si>
  <si>
    <t>=NL("Sum","5802 Value Entry","150 Sales Amount (Expected)","41 Source Type",$C$5,"5 Source No.",$C2509,"4 Item Ledger Entry Type",$C$4,"2 Item No.","@@"&amp;$F2509,"3 Posting Date",J$9)+NL("Sum","5802 Value Entry","17 Sales Amount (Actual)","41 Source Type",$C$5,"5 Source no.",$C2509,"4 Item Ledger Entry Type",$C$4,"2 Item No.","@@"&amp;$F2509,"3 Posting Date",J$9)</t>
  </si>
  <si>
    <t>=-NL("Sum","5802 Value Entry","151 Cost Amount (Expected)","41 Source Type",$C$5,"5 Source No.",$C2509,"4 Item Ledger Entry Type",$C$4,"2 Item No.","@@"&amp;$F2509,"3 Posting Date",J$9)-NL("Sum","5802 Value Entry","43 Cost Amount (Actual)","41 Source Type",$C$5,"5 Source no.",$C2509,"4 Item Ledger Entry Type",$C$4,"2 Item No.","@@"&amp;$F2509,"3 Posting Date",J$9)</t>
  </si>
  <si>
    <t>=J2509-L2509</t>
  </si>
  <si>
    <t>=IF(J2509&lt;&gt;0,M2509/J2509,"")</t>
  </si>
  <si>
    <t>=NL("Sum","5802 Value Entry","150 Sales Amount (Expected)","41 Source Type",$C$5,"5 Source No.",$C2509,"4 Item Ledger Entry Type",$C$4,"2 Item No.","@@"&amp;$F2509,"3 Posting Date",O$9)+NL("Sum","5802 Value Entry","17 Sales Amount (Actual)","41 Source Type",$C$5,"5 Source no.",$C2509,"4 Item Ledger Entry Type",$C$4,"2 Item No.","@@"&amp;$F2509,"3 Posting Date",O$9)</t>
  </si>
  <si>
    <t>=-NL("Sum","5802 Value Entry","151 Cost Amount (Expected)","41 Source Type",$C$5,"5 Source No.",$C2509,"4 Item Ledger Entry Type",$C$4,"2 Item No.","@@"&amp;$F2509,"3 Posting Date",O$9)-NL("Sum","5802 Value Entry","43 Cost Amount (Actual)","41 Source Type",$C$5,"5 Source no.",$C2509,"4 Item Ledger Entry Type",$C$4,"2 Item No.","@@"&amp;$F2509,"3 Posting Date",O$9)</t>
  </si>
  <si>
    <t>=O2509-Q2509</t>
  </si>
  <si>
    <t>=IF(O2509&lt;&gt;0,R2509/O2509,"")</t>
  </si>
  <si>
    <t>=NL("Sum","5802 Value Entry","150 Sales Amount (Expected)","41 Source Type",$C$5,"5 Source No.",$C2509,"4 Item Ledger Entry Type",$C$4,"2 Item No.","@@"&amp;$F2509,"3 Posting Date",U$9)+NL("Sum","5802 Value Entry","17 Sales Amount (Actual)","41 Source Type",$C$5,"5 Source no.",$C2509,"4 Item Ledger Entry Type",$C$4,"2 Item No.","@@"&amp;$F2509,"3 Posting Date",U$9)</t>
  </si>
  <si>
    <t>=-NL("Sum","5802 Value Entry","151 Cost Amount (Expected)","41 Source Type",$C$5,"5 Source No.",$C2509,"4 Item Ledger Entry Type",$C$4,"2 Item No.","@@"&amp;$F2509,"3 Posting Date",U$9)-NL("Sum","5802 Value Entry","43 Cost Amount (Actual)","41 Source Type",$C$5,"5 Source no.",$C2509,"4 Item Ledger Entry Type",$C$4,"2 Item No.","@@"&amp;$F2509,"3 Posting Date",U$9)</t>
  </si>
  <si>
    <t>=U2509-W2509</t>
  </si>
  <si>
    <t>=IF(U2509&lt;&gt;0,X2509/U2509,"")</t>
  </si>
  <si>
    <t>=NL("Sum","5802 Value Entry","150 Sales Amount (Expected)","41 Source Type",$C$5,"5 Source No.",$C2509,"4 Item Ledger Entry Type",$C$4,"2 Item No.","@@"&amp;$F2509,"3 Posting Date",Z$9)+NL("Sum","5802 Value Entry","17 Sales Amount (Actual)","41 Source Type",$C$5,"5 Source no.",$C2509,"4 Item Ledger Entry Type",$C$4,"2 Item No.","@@"&amp;$F2509,"3 Posting Date",Z$9)</t>
  </si>
  <si>
    <t>=-NL("Sum","5802 Value Entry","151 Cost Amount (Expected)","41 Source Type",$C$5,"5 Source No.",$C2509,"4 Item Ledger Entry Type",$C$4,"2 Item No.","@@"&amp;$F2509,"3 Posting Date",Z$9)-NL("Sum","5802 Value Entry","43 Cost Amount (Actual)","41 Source Type",$C$5,"5 Source no.",$C2509,"4 Item Ledger Entry Type",$C$4,"2 Item No.","@@"&amp;$F2509,"3 Posting Date",Z$9)</t>
  </si>
  <si>
    <t>=Z2509-AB2509</t>
  </si>
  <si>
    <t>=IF(Z2509&lt;&gt;0,AC2509/Z2509,"")</t>
  </si>
  <si>
    <t>=C2509</t>
  </si>
  <si>
    <t>=NL("Sum","5802 Value Entry","150 Sales Amount (Expected)","41 Source Type",$C$5,"5 Source No.",$C2510,"4 Item Ledger Entry Type",$C$4,"2 Item No.","@@"&amp;$F2510,"3 Posting Date",J$9)+NL("Sum","5802 Value Entry","17 Sales Amount (Actual)","41 Source Type",$C$5,"5 Source no.",$C2510,"4 Item Ledger Entry Type",$C$4,"2 Item No.","@@"&amp;$F2510,"3 Posting Date",J$9)</t>
  </si>
  <si>
    <t>=-NL("Sum","5802 Value Entry","151 Cost Amount (Expected)","41 Source Type",$C$5,"5 Source No.",$C2510,"4 Item Ledger Entry Type",$C$4,"2 Item No.","@@"&amp;$F2510,"3 Posting Date",J$9)-NL("Sum","5802 Value Entry","43 Cost Amount (Actual)","41 Source Type",$C$5,"5 Source no.",$C2510,"4 Item Ledger Entry Type",$C$4,"2 Item No.","@@"&amp;$F2510,"3 Posting Date",J$9)</t>
  </si>
  <si>
    <t>=J2510-L2510</t>
  </si>
  <si>
    <t>=IF(J2510&lt;&gt;0,M2510/J2510,"")</t>
  </si>
  <si>
    <t>=NL("Sum","5802 Value Entry","150 Sales Amount (Expected)","41 Source Type",$C$5,"5 Source No.",$C2510,"4 Item Ledger Entry Type",$C$4,"2 Item No.","@@"&amp;$F2510,"3 Posting Date",O$9)+NL("Sum","5802 Value Entry","17 Sales Amount (Actual)","41 Source Type",$C$5,"5 Source no.",$C2510,"4 Item Ledger Entry Type",$C$4,"2 Item No.","@@"&amp;$F2510,"3 Posting Date",O$9)</t>
  </si>
  <si>
    <t>=-NL("Sum","5802 Value Entry","151 Cost Amount (Expected)","41 Source Type",$C$5,"5 Source No.",$C2510,"4 Item Ledger Entry Type",$C$4,"2 Item No.","@@"&amp;$F2510,"3 Posting Date",O$9)-NL("Sum","5802 Value Entry","43 Cost Amount (Actual)","41 Source Type",$C$5,"5 Source no.",$C2510,"4 Item Ledger Entry Type",$C$4,"2 Item No.","@@"&amp;$F2510,"3 Posting Date",O$9)</t>
  </si>
  <si>
    <t>=O2510-Q2510</t>
  </si>
  <si>
    <t>=IF(O2510&lt;&gt;0,R2510/O2510,"")</t>
  </si>
  <si>
    <t>=NL("Sum","5802 Value Entry","150 Sales Amount (Expected)","41 Source Type",$C$5,"5 Source No.",$C2510,"4 Item Ledger Entry Type",$C$4,"2 Item No.","@@"&amp;$F2510,"3 Posting Date",U$9)+NL("Sum","5802 Value Entry","17 Sales Amount (Actual)","41 Source Type",$C$5,"5 Source no.",$C2510,"4 Item Ledger Entry Type",$C$4,"2 Item No.","@@"&amp;$F2510,"3 Posting Date",U$9)</t>
  </si>
  <si>
    <t>=-NL("Sum","5802 Value Entry","151 Cost Amount (Expected)","41 Source Type",$C$5,"5 Source No.",$C2510,"4 Item Ledger Entry Type",$C$4,"2 Item No.","@@"&amp;$F2510,"3 Posting Date",U$9)-NL("Sum","5802 Value Entry","43 Cost Amount (Actual)","41 Source Type",$C$5,"5 Source no.",$C2510,"4 Item Ledger Entry Type",$C$4,"2 Item No.","@@"&amp;$F2510,"3 Posting Date",U$9)</t>
  </si>
  <si>
    <t>=U2510-W2510</t>
  </si>
  <si>
    <t>=IF(U2510&lt;&gt;0,X2510/U2510,"")</t>
  </si>
  <si>
    <t>=NL("Sum","5802 Value Entry","150 Sales Amount (Expected)","41 Source Type",$C$5,"5 Source No.",$C2510,"4 Item Ledger Entry Type",$C$4,"2 Item No.","@@"&amp;$F2510,"3 Posting Date",Z$9)+NL("Sum","5802 Value Entry","17 Sales Amount (Actual)","41 Source Type",$C$5,"5 Source no.",$C2510,"4 Item Ledger Entry Type",$C$4,"2 Item No.","@@"&amp;$F2510,"3 Posting Date",Z$9)</t>
  </si>
  <si>
    <t>=-NL("Sum","5802 Value Entry","151 Cost Amount (Expected)","41 Source Type",$C$5,"5 Source No.",$C2510,"4 Item Ledger Entry Type",$C$4,"2 Item No.","@@"&amp;$F2510,"3 Posting Date",Z$9)-NL("Sum","5802 Value Entry","43 Cost Amount (Actual)","41 Source Type",$C$5,"5 Source no.",$C2510,"4 Item Ledger Entry Type",$C$4,"2 Item No.","@@"&amp;$F2510,"3 Posting Date",Z$9)</t>
  </si>
  <si>
    <t>=Z2510-AB2510</t>
  </si>
  <si>
    <t>=IF(Z2510&lt;&gt;0,AC2510/Z2510,"")</t>
  </si>
  <si>
    <t>=C2510</t>
  </si>
  <si>
    <t>=NL("Sum","5802 Value Entry","150 Sales Amount (Expected)","41 Source Type",$C$5,"5 Source No.",$C2511,"4 Item Ledger Entry Type",$C$4,"2 Item No.","@@"&amp;$F2511,"3 Posting Date",J$9)+NL("Sum","5802 Value Entry","17 Sales Amount (Actual)","41 Source Type",$C$5,"5 Source no.",$C2511,"4 Item Ledger Entry Type",$C$4,"2 Item No.","@@"&amp;$F2511,"3 Posting Date",J$9)</t>
  </si>
  <si>
    <t>=-NL("Sum","5802 Value Entry","151 Cost Amount (Expected)","41 Source Type",$C$5,"5 Source No.",$C2511,"4 Item Ledger Entry Type",$C$4,"2 Item No.","@@"&amp;$F2511,"3 Posting Date",J$9)-NL("Sum","5802 Value Entry","43 Cost Amount (Actual)","41 Source Type",$C$5,"5 Source no.",$C2511,"4 Item Ledger Entry Type",$C$4,"2 Item No.","@@"&amp;$F2511,"3 Posting Date",J$9)</t>
  </si>
  <si>
    <t>=J2511-L2511</t>
  </si>
  <si>
    <t>=IF(J2511&lt;&gt;0,M2511/J2511,"")</t>
  </si>
  <si>
    <t>=NL("Sum","5802 Value Entry","150 Sales Amount (Expected)","41 Source Type",$C$5,"5 Source No.",$C2511,"4 Item Ledger Entry Type",$C$4,"2 Item No.","@@"&amp;$F2511,"3 Posting Date",O$9)+NL("Sum","5802 Value Entry","17 Sales Amount (Actual)","41 Source Type",$C$5,"5 Source no.",$C2511,"4 Item Ledger Entry Type",$C$4,"2 Item No.","@@"&amp;$F2511,"3 Posting Date",O$9)</t>
  </si>
  <si>
    <t>=-NL("Sum","5802 Value Entry","151 Cost Amount (Expected)","41 Source Type",$C$5,"5 Source No.",$C2511,"4 Item Ledger Entry Type",$C$4,"2 Item No.","@@"&amp;$F2511,"3 Posting Date",O$9)-NL("Sum","5802 Value Entry","43 Cost Amount (Actual)","41 Source Type",$C$5,"5 Source no.",$C2511,"4 Item Ledger Entry Type",$C$4,"2 Item No.","@@"&amp;$F2511,"3 Posting Date",O$9)</t>
  </si>
  <si>
    <t>=O2511-Q2511</t>
  </si>
  <si>
    <t>=IF(O2511&lt;&gt;0,R2511/O2511,"")</t>
  </si>
  <si>
    <t>=NL("Sum","5802 Value Entry","150 Sales Amount (Expected)","41 Source Type",$C$5,"5 Source No.",$C2511,"4 Item Ledger Entry Type",$C$4,"2 Item No.","@@"&amp;$F2511,"3 Posting Date",U$9)+NL("Sum","5802 Value Entry","17 Sales Amount (Actual)","41 Source Type",$C$5,"5 Source no.",$C2511,"4 Item Ledger Entry Type",$C$4,"2 Item No.","@@"&amp;$F2511,"3 Posting Date",U$9)</t>
  </si>
  <si>
    <t>=-NL("Sum","5802 Value Entry","151 Cost Amount (Expected)","41 Source Type",$C$5,"5 Source No.",$C2511,"4 Item Ledger Entry Type",$C$4,"2 Item No.","@@"&amp;$F2511,"3 Posting Date",U$9)-NL("Sum","5802 Value Entry","43 Cost Amount (Actual)","41 Source Type",$C$5,"5 Source no.",$C2511,"4 Item Ledger Entry Type",$C$4,"2 Item No.","@@"&amp;$F2511,"3 Posting Date",U$9)</t>
  </si>
  <si>
    <t>=U2511-W2511</t>
  </si>
  <si>
    <t>=IF(U2511&lt;&gt;0,X2511/U2511,"")</t>
  </si>
  <si>
    <t>=NL("Sum","5802 Value Entry","150 Sales Amount (Expected)","41 Source Type",$C$5,"5 Source No.",$C2511,"4 Item Ledger Entry Type",$C$4,"2 Item No.","@@"&amp;$F2511,"3 Posting Date",Z$9)+NL("Sum","5802 Value Entry","17 Sales Amount (Actual)","41 Source Type",$C$5,"5 Source no.",$C2511,"4 Item Ledger Entry Type",$C$4,"2 Item No.","@@"&amp;$F2511,"3 Posting Date",Z$9)</t>
  </si>
  <si>
    <t>=-NL("Sum","5802 Value Entry","151 Cost Amount (Expected)","41 Source Type",$C$5,"5 Source No.",$C2511,"4 Item Ledger Entry Type",$C$4,"2 Item No.","@@"&amp;$F2511,"3 Posting Date",Z$9)-NL("Sum","5802 Value Entry","43 Cost Amount (Actual)","41 Source Type",$C$5,"5 Source no.",$C2511,"4 Item Ledger Entry Type",$C$4,"2 Item No.","@@"&amp;$F2511,"3 Posting Date",Z$9)</t>
  </si>
  <si>
    <t>=Z2511-AB2511</t>
  </si>
  <si>
    <t>=IF(Z2511&lt;&gt;0,AC2511/Z2511,"")</t>
  </si>
  <si>
    <t>=C2511</t>
  </si>
  <si>
    <t>=NL("Sum","5802 Value Entry","150 Sales Amount (Expected)","41 Source Type",$C$5,"5 Source No.",$C2512,"4 Item Ledger Entry Type",$C$4,"2 Item No.","@@"&amp;$F2512,"3 Posting Date",J$9)+NL("Sum","5802 Value Entry","17 Sales Amount (Actual)","41 Source Type",$C$5,"5 Source no.",$C2512,"4 Item Ledger Entry Type",$C$4,"2 Item No.","@@"&amp;$F2512,"3 Posting Date",J$9)</t>
  </si>
  <si>
    <t>=-NL("Sum","5802 Value Entry","151 Cost Amount (Expected)","41 Source Type",$C$5,"5 Source No.",$C2512,"4 Item Ledger Entry Type",$C$4,"2 Item No.","@@"&amp;$F2512,"3 Posting Date",J$9)-NL("Sum","5802 Value Entry","43 Cost Amount (Actual)","41 Source Type",$C$5,"5 Source no.",$C2512,"4 Item Ledger Entry Type",$C$4,"2 Item No.","@@"&amp;$F2512,"3 Posting Date",J$9)</t>
  </si>
  <si>
    <t>=J2512-L2512</t>
  </si>
  <si>
    <t>=IF(J2512&lt;&gt;0,M2512/J2512,"")</t>
  </si>
  <si>
    <t>=NL("Sum","5802 Value Entry","150 Sales Amount (Expected)","41 Source Type",$C$5,"5 Source No.",$C2512,"4 Item Ledger Entry Type",$C$4,"2 Item No.","@@"&amp;$F2512,"3 Posting Date",O$9)+NL("Sum","5802 Value Entry","17 Sales Amount (Actual)","41 Source Type",$C$5,"5 Source no.",$C2512,"4 Item Ledger Entry Type",$C$4,"2 Item No.","@@"&amp;$F2512,"3 Posting Date",O$9)</t>
  </si>
  <si>
    <t>=-NL("Sum","5802 Value Entry","151 Cost Amount (Expected)","41 Source Type",$C$5,"5 Source No.",$C2512,"4 Item Ledger Entry Type",$C$4,"2 Item No.","@@"&amp;$F2512,"3 Posting Date",O$9)-NL("Sum","5802 Value Entry","43 Cost Amount (Actual)","41 Source Type",$C$5,"5 Source no.",$C2512,"4 Item Ledger Entry Type",$C$4,"2 Item No.","@@"&amp;$F2512,"3 Posting Date",O$9)</t>
  </si>
  <si>
    <t>=O2512-Q2512</t>
  </si>
  <si>
    <t>=IF(O2512&lt;&gt;0,R2512/O2512,"")</t>
  </si>
  <si>
    <t>=NL("Sum","5802 Value Entry","150 Sales Amount (Expected)","41 Source Type",$C$5,"5 Source No.",$C2512,"4 Item Ledger Entry Type",$C$4,"2 Item No.","@@"&amp;$F2512,"3 Posting Date",U$9)+NL("Sum","5802 Value Entry","17 Sales Amount (Actual)","41 Source Type",$C$5,"5 Source no.",$C2512,"4 Item Ledger Entry Type",$C$4,"2 Item No.","@@"&amp;$F2512,"3 Posting Date",U$9)</t>
  </si>
  <si>
    <t>=-NL("Sum","5802 Value Entry","151 Cost Amount (Expected)","41 Source Type",$C$5,"5 Source No.",$C2512,"4 Item Ledger Entry Type",$C$4,"2 Item No.","@@"&amp;$F2512,"3 Posting Date",U$9)-NL("Sum","5802 Value Entry","43 Cost Amount (Actual)","41 Source Type",$C$5,"5 Source no.",$C2512,"4 Item Ledger Entry Type",$C$4,"2 Item No.","@@"&amp;$F2512,"3 Posting Date",U$9)</t>
  </si>
  <si>
    <t>=U2512-W2512</t>
  </si>
  <si>
    <t>=IF(U2512&lt;&gt;0,X2512/U2512,"")</t>
  </si>
  <si>
    <t>=NL("Sum","5802 Value Entry","150 Sales Amount (Expected)","41 Source Type",$C$5,"5 Source No.",$C2512,"4 Item Ledger Entry Type",$C$4,"2 Item No.","@@"&amp;$F2512,"3 Posting Date",Z$9)+NL("Sum","5802 Value Entry","17 Sales Amount (Actual)","41 Source Type",$C$5,"5 Source no.",$C2512,"4 Item Ledger Entry Type",$C$4,"2 Item No.","@@"&amp;$F2512,"3 Posting Date",Z$9)</t>
  </si>
  <si>
    <t>=-NL("Sum","5802 Value Entry","151 Cost Amount (Expected)","41 Source Type",$C$5,"5 Source No.",$C2512,"4 Item Ledger Entry Type",$C$4,"2 Item No.","@@"&amp;$F2512,"3 Posting Date",Z$9)-NL("Sum","5802 Value Entry","43 Cost Amount (Actual)","41 Source Type",$C$5,"5 Source no.",$C2512,"4 Item Ledger Entry Type",$C$4,"2 Item No.","@@"&amp;$F2512,"3 Posting Date",Z$9)</t>
  </si>
  <si>
    <t>=Z2512-AB2512</t>
  </si>
  <si>
    <t>=IF(Z2512&lt;&gt;0,AC2512/Z2512,"")</t>
  </si>
  <si>
    <t>=C2512</t>
  </si>
  <si>
    <t>=NL("Sum","5802 Value Entry","150 Sales Amount (Expected)","41 Source Type",$C$5,"5 Source No.",$C2513,"4 Item Ledger Entry Type",$C$4,"2 Item No.","@@"&amp;$F2513,"3 Posting Date",J$9)+NL("Sum","5802 Value Entry","17 Sales Amount (Actual)","41 Source Type",$C$5,"5 Source no.",$C2513,"4 Item Ledger Entry Type",$C$4,"2 Item No.","@@"&amp;$F2513,"3 Posting Date",J$9)</t>
  </si>
  <si>
    <t>=-NL("Sum","5802 Value Entry","151 Cost Amount (Expected)","41 Source Type",$C$5,"5 Source No.",$C2513,"4 Item Ledger Entry Type",$C$4,"2 Item No.","@@"&amp;$F2513,"3 Posting Date",J$9)-NL("Sum","5802 Value Entry","43 Cost Amount (Actual)","41 Source Type",$C$5,"5 Source no.",$C2513,"4 Item Ledger Entry Type",$C$4,"2 Item No.","@@"&amp;$F2513,"3 Posting Date",J$9)</t>
  </si>
  <si>
    <t>=J2513-L2513</t>
  </si>
  <si>
    <t>=IF(J2513&lt;&gt;0,M2513/J2513,"")</t>
  </si>
  <si>
    <t>=NL("Sum","5802 Value Entry","150 Sales Amount (Expected)","41 Source Type",$C$5,"5 Source No.",$C2513,"4 Item Ledger Entry Type",$C$4,"2 Item No.","@@"&amp;$F2513,"3 Posting Date",O$9)+NL("Sum","5802 Value Entry","17 Sales Amount (Actual)","41 Source Type",$C$5,"5 Source no.",$C2513,"4 Item Ledger Entry Type",$C$4,"2 Item No.","@@"&amp;$F2513,"3 Posting Date",O$9)</t>
  </si>
  <si>
    <t>=-NL("Sum","5802 Value Entry","151 Cost Amount (Expected)","41 Source Type",$C$5,"5 Source No.",$C2513,"4 Item Ledger Entry Type",$C$4,"2 Item No.","@@"&amp;$F2513,"3 Posting Date",O$9)-NL("Sum","5802 Value Entry","43 Cost Amount (Actual)","41 Source Type",$C$5,"5 Source no.",$C2513,"4 Item Ledger Entry Type",$C$4,"2 Item No.","@@"&amp;$F2513,"3 Posting Date",O$9)</t>
  </si>
  <si>
    <t>=O2513-Q2513</t>
  </si>
  <si>
    <t>=IF(O2513&lt;&gt;0,R2513/O2513,"")</t>
  </si>
  <si>
    <t>=NL("Sum","5802 Value Entry","150 Sales Amount (Expected)","41 Source Type",$C$5,"5 Source No.",$C2513,"4 Item Ledger Entry Type",$C$4,"2 Item No.","@@"&amp;$F2513,"3 Posting Date",U$9)+NL("Sum","5802 Value Entry","17 Sales Amount (Actual)","41 Source Type",$C$5,"5 Source no.",$C2513,"4 Item Ledger Entry Type",$C$4,"2 Item No.","@@"&amp;$F2513,"3 Posting Date",U$9)</t>
  </si>
  <si>
    <t>=-NL("Sum","5802 Value Entry","151 Cost Amount (Expected)","41 Source Type",$C$5,"5 Source No.",$C2513,"4 Item Ledger Entry Type",$C$4,"2 Item No.","@@"&amp;$F2513,"3 Posting Date",U$9)-NL("Sum","5802 Value Entry","43 Cost Amount (Actual)","41 Source Type",$C$5,"5 Source no.",$C2513,"4 Item Ledger Entry Type",$C$4,"2 Item No.","@@"&amp;$F2513,"3 Posting Date",U$9)</t>
  </si>
  <si>
    <t>=U2513-W2513</t>
  </si>
  <si>
    <t>=IF(U2513&lt;&gt;0,X2513/U2513,"")</t>
  </si>
  <si>
    <t>=NL("Sum","5802 Value Entry","150 Sales Amount (Expected)","41 Source Type",$C$5,"5 Source No.",$C2513,"4 Item Ledger Entry Type",$C$4,"2 Item No.","@@"&amp;$F2513,"3 Posting Date",Z$9)+NL("Sum","5802 Value Entry","17 Sales Amount (Actual)","41 Source Type",$C$5,"5 Source no.",$C2513,"4 Item Ledger Entry Type",$C$4,"2 Item No.","@@"&amp;$F2513,"3 Posting Date",Z$9)</t>
  </si>
  <si>
    <t>=-NL("Sum","5802 Value Entry","151 Cost Amount (Expected)","41 Source Type",$C$5,"5 Source No.",$C2513,"4 Item Ledger Entry Type",$C$4,"2 Item No.","@@"&amp;$F2513,"3 Posting Date",Z$9)-NL("Sum","5802 Value Entry","43 Cost Amount (Actual)","41 Source Type",$C$5,"5 Source no.",$C2513,"4 Item Ledger Entry Type",$C$4,"2 Item No.","@@"&amp;$F2513,"3 Posting Date",Z$9)</t>
  </si>
  <si>
    <t>=Z2513-AB2513</t>
  </si>
  <si>
    <t>=IF(Z2513&lt;&gt;0,AC2513/Z2513,"")</t>
  </si>
  <si>
    <t>=C2513</t>
  </si>
  <si>
    <t>=NL("Sum","5802 Value Entry","150 Sales Amount (Expected)","41 Source Type",$C$5,"5 Source No.",$C2514,"4 Item Ledger Entry Type",$C$4,"2 Item No.","@@"&amp;$F2514,"3 Posting Date",J$9)+NL("Sum","5802 Value Entry","17 Sales Amount (Actual)","41 Source Type",$C$5,"5 Source no.",$C2514,"4 Item Ledger Entry Type",$C$4,"2 Item No.","@@"&amp;$F2514,"3 Posting Date",J$9)</t>
  </si>
  <si>
    <t>=-NL("Sum","5802 Value Entry","151 Cost Amount (Expected)","41 Source Type",$C$5,"5 Source No.",$C2514,"4 Item Ledger Entry Type",$C$4,"2 Item No.","@@"&amp;$F2514,"3 Posting Date",J$9)-NL("Sum","5802 Value Entry","43 Cost Amount (Actual)","41 Source Type",$C$5,"5 Source no.",$C2514,"4 Item Ledger Entry Type",$C$4,"2 Item No.","@@"&amp;$F2514,"3 Posting Date",J$9)</t>
  </si>
  <si>
    <t>=J2514-L2514</t>
  </si>
  <si>
    <t>=IF(J2514&lt;&gt;0,M2514/J2514,"")</t>
  </si>
  <si>
    <t>=NL("Sum","5802 Value Entry","150 Sales Amount (Expected)","41 Source Type",$C$5,"5 Source No.",$C2514,"4 Item Ledger Entry Type",$C$4,"2 Item No.","@@"&amp;$F2514,"3 Posting Date",O$9)+NL("Sum","5802 Value Entry","17 Sales Amount (Actual)","41 Source Type",$C$5,"5 Source no.",$C2514,"4 Item Ledger Entry Type",$C$4,"2 Item No.","@@"&amp;$F2514,"3 Posting Date",O$9)</t>
  </si>
  <si>
    <t>=-NL("Sum","5802 Value Entry","151 Cost Amount (Expected)","41 Source Type",$C$5,"5 Source No.",$C2514,"4 Item Ledger Entry Type",$C$4,"2 Item No.","@@"&amp;$F2514,"3 Posting Date",O$9)-NL("Sum","5802 Value Entry","43 Cost Amount (Actual)","41 Source Type",$C$5,"5 Source no.",$C2514,"4 Item Ledger Entry Type",$C$4,"2 Item No.","@@"&amp;$F2514,"3 Posting Date",O$9)</t>
  </si>
  <si>
    <t>=O2514-Q2514</t>
  </si>
  <si>
    <t>=IF(O2514&lt;&gt;0,R2514/O2514,"")</t>
  </si>
  <si>
    <t>=NL("Sum","5802 Value Entry","150 Sales Amount (Expected)","41 Source Type",$C$5,"5 Source No.",$C2514,"4 Item Ledger Entry Type",$C$4,"2 Item No.","@@"&amp;$F2514,"3 Posting Date",U$9)+NL("Sum","5802 Value Entry","17 Sales Amount (Actual)","41 Source Type",$C$5,"5 Source no.",$C2514,"4 Item Ledger Entry Type",$C$4,"2 Item No.","@@"&amp;$F2514,"3 Posting Date",U$9)</t>
  </si>
  <si>
    <t>=-NL("Sum","5802 Value Entry","151 Cost Amount (Expected)","41 Source Type",$C$5,"5 Source No.",$C2514,"4 Item Ledger Entry Type",$C$4,"2 Item No.","@@"&amp;$F2514,"3 Posting Date",U$9)-NL("Sum","5802 Value Entry","43 Cost Amount (Actual)","41 Source Type",$C$5,"5 Source no.",$C2514,"4 Item Ledger Entry Type",$C$4,"2 Item No.","@@"&amp;$F2514,"3 Posting Date",U$9)</t>
  </si>
  <si>
    <t>=U2514-W2514</t>
  </si>
  <si>
    <t>=IF(U2514&lt;&gt;0,X2514/U2514,"")</t>
  </si>
  <si>
    <t>=NL("Sum","5802 Value Entry","150 Sales Amount (Expected)","41 Source Type",$C$5,"5 Source No.",$C2514,"4 Item Ledger Entry Type",$C$4,"2 Item No.","@@"&amp;$F2514,"3 Posting Date",Z$9)+NL("Sum","5802 Value Entry","17 Sales Amount (Actual)","41 Source Type",$C$5,"5 Source no.",$C2514,"4 Item Ledger Entry Type",$C$4,"2 Item No.","@@"&amp;$F2514,"3 Posting Date",Z$9)</t>
  </si>
  <si>
    <t>=-NL("Sum","5802 Value Entry","151 Cost Amount (Expected)","41 Source Type",$C$5,"5 Source No.",$C2514,"4 Item Ledger Entry Type",$C$4,"2 Item No.","@@"&amp;$F2514,"3 Posting Date",Z$9)-NL("Sum","5802 Value Entry","43 Cost Amount (Actual)","41 Source Type",$C$5,"5 Source no.",$C2514,"4 Item Ledger Entry Type",$C$4,"2 Item No.","@@"&amp;$F2514,"3 Posting Date",Z$9)</t>
  </si>
  <si>
    <t>=Z2514-AB2514</t>
  </si>
  <si>
    <t>=IF(Z2514&lt;&gt;0,AC2514/Z2514,"")</t>
  </si>
  <si>
    <t>=C2514</t>
  </si>
  <si>
    <t>=NL("Sum","5802 Value Entry","150 Sales Amount (Expected)","41 Source Type",$C$5,"5 Source No.",$C2515,"4 Item Ledger Entry Type",$C$4,"2 Item No.","@@"&amp;$F2515,"3 Posting Date",J$9)+NL("Sum","5802 Value Entry","17 Sales Amount (Actual)","41 Source Type",$C$5,"5 Source no.",$C2515,"4 Item Ledger Entry Type",$C$4,"2 Item No.","@@"&amp;$F2515,"3 Posting Date",J$9)</t>
  </si>
  <si>
    <t>=-NL("Sum","5802 Value Entry","151 Cost Amount (Expected)","41 Source Type",$C$5,"5 Source No.",$C2515,"4 Item Ledger Entry Type",$C$4,"2 Item No.","@@"&amp;$F2515,"3 Posting Date",J$9)-NL("Sum","5802 Value Entry","43 Cost Amount (Actual)","41 Source Type",$C$5,"5 Source no.",$C2515,"4 Item Ledger Entry Type",$C$4,"2 Item No.","@@"&amp;$F2515,"3 Posting Date",J$9)</t>
  </si>
  <si>
    <t>=J2515-L2515</t>
  </si>
  <si>
    <t>=IF(J2515&lt;&gt;0,M2515/J2515,"")</t>
  </si>
  <si>
    <t>=NL("Sum","5802 Value Entry","150 Sales Amount (Expected)","41 Source Type",$C$5,"5 Source No.",$C2515,"4 Item Ledger Entry Type",$C$4,"2 Item No.","@@"&amp;$F2515,"3 Posting Date",O$9)+NL("Sum","5802 Value Entry","17 Sales Amount (Actual)","41 Source Type",$C$5,"5 Source no.",$C2515,"4 Item Ledger Entry Type",$C$4,"2 Item No.","@@"&amp;$F2515,"3 Posting Date",O$9)</t>
  </si>
  <si>
    <t>=-NL("Sum","5802 Value Entry","151 Cost Amount (Expected)","41 Source Type",$C$5,"5 Source No.",$C2515,"4 Item Ledger Entry Type",$C$4,"2 Item No.","@@"&amp;$F2515,"3 Posting Date",O$9)-NL("Sum","5802 Value Entry","43 Cost Amount (Actual)","41 Source Type",$C$5,"5 Source no.",$C2515,"4 Item Ledger Entry Type",$C$4,"2 Item No.","@@"&amp;$F2515,"3 Posting Date",O$9)</t>
  </si>
  <si>
    <t>=O2515-Q2515</t>
  </si>
  <si>
    <t>=IF(O2515&lt;&gt;0,R2515/O2515,"")</t>
  </si>
  <si>
    <t>=NL("Sum","5802 Value Entry","150 Sales Amount (Expected)","41 Source Type",$C$5,"5 Source No.",$C2515,"4 Item Ledger Entry Type",$C$4,"2 Item No.","@@"&amp;$F2515,"3 Posting Date",U$9)+NL("Sum","5802 Value Entry","17 Sales Amount (Actual)","41 Source Type",$C$5,"5 Source no.",$C2515,"4 Item Ledger Entry Type",$C$4,"2 Item No.","@@"&amp;$F2515,"3 Posting Date",U$9)</t>
  </si>
  <si>
    <t>=-NL("Sum","5802 Value Entry","151 Cost Amount (Expected)","41 Source Type",$C$5,"5 Source No.",$C2515,"4 Item Ledger Entry Type",$C$4,"2 Item No.","@@"&amp;$F2515,"3 Posting Date",U$9)-NL("Sum","5802 Value Entry","43 Cost Amount (Actual)","41 Source Type",$C$5,"5 Source no.",$C2515,"4 Item Ledger Entry Type",$C$4,"2 Item No.","@@"&amp;$F2515,"3 Posting Date",U$9)</t>
  </si>
  <si>
    <t>=U2515-W2515</t>
  </si>
  <si>
    <t>=IF(U2515&lt;&gt;0,X2515/U2515,"")</t>
  </si>
  <si>
    <t>=NL("Sum","5802 Value Entry","150 Sales Amount (Expected)","41 Source Type",$C$5,"5 Source No.",$C2515,"4 Item Ledger Entry Type",$C$4,"2 Item No.","@@"&amp;$F2515,"3 Posting Date",Z$9)+NL("Sum","5802 Value Entry","17 Sales Amount (Actual)","41 Source Type",$C$5,"5 Source no.",$C2515,"4 Item Ledger Entry Type",$C$4,"2 Item No.","@@"&amp;$F2515,"3 Posting Date",Z$9)</t>
  </si>
  <si>
    <t>=-NL("Sum","5802 Value Entry","151 Cost Amount (Expected)","41 Source Type",$C$5,"5 Source No.",$C2515,"4 Item Ledger Entry Type",$C$4,"2 Item No.","@@"&amp;$F2515,"3 Posting Date",Z$9)-NL("Sum","5802 Value Entry","43 Cost Amount (Actual)","41 Source Type",$C$5,"5 Source no.",$C2515,"4 Item Ledger Entry Type",$C$4,"2 Item No.","@@"&amp;$F2515,"3 Posting Date",Z$9)</t>
  </si>
  <si>
    <t>=Z2515-AB2515</t>
  </si>
  <si>
    <t>=IF(Z2515&lt;&gt;0,AC2515/Z2515,"")</t>
  </si>
  <si>
    <t>=C2515</t>
  </si>
  <si>
    <t>=NL("Sum","5802 Value Entry","150 Sales Amount (Expected)","41 Source Type",$C$5,"5 Source No.",$C2516,"4 Item Ledger Entry Type",$C$4,"2 Item No.","@@"&amp;$F2516,"3 Posting Date",J$9)+NL("Sum","5802 Value Entry","17 Sales Amount (Actual)","41 Source Type",$C$5,"5 Source no.",$C2516,"4 Item Ledger Entry Type",$C$4,"2 Item No.","@@"&amp;$F2516,"3 Posting Date",J$9)</t>
  </si>
  <si>
    <t>=-NL("Sum","5802 Value Entry","151 Cost Amount (Expected)","41 Source Type",$C$5,"5 Source No.",$C2516,"4 Item Ledger Entry Type",$C$4,"2 Item No.","@@"&amp;$F2516,"3 Posting Date",J$9)-NL("Sum","5802 Value Entry","43 Cost Amount (Actual)","41 Source Type",$C$5,"5 Source no.",$C2516,"4 Item Ledger Entry Type",$C$4,"2 Item No.","@@"&amp;$F2516,"3 Posting Date",J$9)</t>
  </si>
  <si>
    <t>=J2516-L2516</t>
  </si>
  <si>
    <t>=IF(J2516&lt;&gt;0,M2516/J2516,"")</t>
  </si>
  <si>
    <t>=NL("Sum","5802 Value Entry","150 Sales Amount (Expected)","41 Source Type",$C$5,"5 Source No.",$C2516,"4 Item Ledger Entry Type",$C$4,"2 Item No.","@@"&amp;$F2516,"3 Posting Date",O$9)+NL("Sum","5802 Value Entry","17 Sales Amount (Actual)","41 Source Type",$C$5,"5 Source no.",$C2516,"4 Item Ledger Entry Type",$C$4,"2 Item No.","@@"&amp;$F2516,"3 Posting Date",O$9)</t>
  </si>
  <si>
    <t>=-NL("Sum","5802 Value Entry","151 Cost Amount (Expected)","41 Source Type",$C$5,"5 Source No.",$C2516,"4 Item Ledger Entry Type",$C$4,"2 Item No.","@@"&amp;$F2516,"3 Posting Date",O$9)-NL("Sum","5802 Value Entry","43 Cost Amount (Actual)","41 Source Type",$C$5,"5 Source no.",$C2516,"4 Item Ledger Entry Type",$C$4,"2 Item No.","@@"&amp;$F2516,"3 Posting Date",O$9)</t>
  </si>
  <si>
    <t>=O2516-Q2516</t>
  </si>
  <si>
    <t>=IF(O2516&lt;&gt;0,R2516/O2516,"")</t>
  </si>
  <si>
    <t>=NL("Sum","5802 Value Entry","150 Sales Amount (Expected)","41 Source Type",$C$5,"5 Source No.",$C2516,"4 Item Ledger Entry Type",$C$4,"2 Item No.","@@"&amp;$F2516,"3 Posting Date",U$9)+NL("Sum","5802 Value Entry","17 Sales Amount (Actual)","41 Source Type",$C$5,"5 Source no.",$C2516,"4 Item Ledger Entry Type",$C$4,"2 Item No.","@@"&amp;$F2516,"3 Posting Date",U$9)</t>
  </si>
  <si>
    <t>=-NL("Sum","5802 Value Entry","151 Cost Amount (Expected)","41 Source Type",$C$5,"5 Source No.",$C2516,"4 Item Ledger Entry Type",$C$4,"2 Item No.","@@"&amp;$F2516,"3 Posting Date",U$9)-NL("Sum","5802 Value Entry","43 Cost Amount (Actual)","41 Source Type",$C$5,"5 Source no.",$C2516,"4 Item Ledger Entry Type",$C$4,"2 Item No.","@@"&amp;$F2516,"3 Posting Date",U$9)</t>
  </si>
  <si>
    <t>=U2516-W2516</t>
  </si>
  <si>
    <t>=IF(U2516&lt;&gt;0,X2516/U2516,"")</t>
  </si>
  <si>
    <t>=NL("Sum","5802 Value Entry","150 Sales Amount (Expected)","41 Source Type",$C$5,"5 Source No.",$C2516,"4 Item Ledger Entry Type",$C$4,"2 Item No.","@@"&amp;$F2516,"3 Posting Date",Z$9)+NL("Sum","5802 Value Entry","17 Sales Amount (Actual)","41 Source Type",$C$5,"5 Source no.",$C2516,"4 Item Ledger Entry Type",$C$4,"2 Item No.","@@"&amp;$F2516,"3 Posting Date",Z$9)</t>
  </si>
  <si>
    <t>=-NL("Sum","5802 Value Entry","151 Cost Amount (Expected)","41 Source Type",$C$5,"5 Source No.",$C2516,"4 Item Ledger Entry Type",$C$4,"2 Item No.","@@"&amp;$F2516,"3 Posting Date",Z$9)-NL("Sum","5802 Value Entry","43 Cost Amount (Actual)","41 Source Type",$C$5,"5 Source no.",$C2516,"4 Item Ledger Entry Type",$C$4,"2 Item No.","@@"&amp;$F2516,"3 Posting Date",Z$9)</t>
  </si>
  <si>
    <t>=Z2516-AB2516</t>
  </si>
  <si>
    <t>=IF(Z2516&lt;&gt;0,AC2516/Z2516,"")</t>
  </si>
  <si>
    <t>=C2516</t>
  </si>
  <si>
    <t>=NL("Sum","5802 Value Entry","150 Sales Amount (Expected)","41 Source Type",$C$5,"5 Source No.",$C2517,"4 Item Ledger Entry Type",$C$4,"2 Item No.","@@"&amp;$F2517,"3 Posting Date",J$9)+NL("Sum","5802 Value Entry","17 Sales Amount (Actual)","41 Source Type",$C$5,"5 Source no.",$C2517,"4 Item Ledger Entry Type",$C$4,"2 Item No.","@@"&amp;$F2517,"3 Posting Date",J$9)</t>
  </si>
  <si>
    <t>=-NL("Sum","5802 Value Entry","151 Cost Amount (Expected)","41 Source Type",$C$5,"5 Source No.",$C2517,"4 Item Ledger Entry Type",$C$4,"2 Item No.","@@"&amp;$F2517,"3 Posting Date",J$9)-NL("Sum","5802 Value Entry","43 Cost Amount (Actual)","41 Source Type",$C$5,"5 Source no.",$C2517,"4 Item Ledger Entry Type",$C$4,"2 Item No.","@@"&amp;$F2517,"3 Posting Date",J$9)</t>
  </si>
  <si>
    <t>=J2517-L2517</t>
  </si>
  <si>
    <t>=IF(J2517&lt;&gt;0,M2517/J2517,"")</t>
  </si>
  <si>
    <t>=NL("Sum","5802 Value Entry","150 Sales Amount (Expected)","41 Source Type",$C$5,"5 Source No.",$C2517,"4 Item Ledger Entry Type",$C$4,"2 Item No.","@@"&amp;$F2517,"3 Posting Date",O$9)+NL("Sum","5802 Value Entry","17 Sales Amount (Actual)","41 Source Type",$C$5,"5 Source no.",$C2517,"4 Item Ledger Entry Type",$C$4,"2 Item No.","@@"&amp;$F2517,"3 Posting Date",O$9)</t>
  </si>
  <si>
    <t>=-NL("Sum","5802 Value Entry","151 Cost Amount (Expected)","41 Source Type",$C$5,"5 Source No.",$C2517,"4 Item Ledger Entry Type",$C$4,"2 Item No.","@@"&amp;$F2517,"3 Posting Date",O$9)-NL("Sum","5802 Value Entry","43 Cost Amount (Actual)","41 Source Type",$C$5,"5 Source no.",$C2517,"4 Item Ledger Entry Type",$C$4,"2 Item No.","@@"&amp;$F2517,"3 Posting Date",O$9)</t>
  </si>
  <si>
    <t>=O2517-Q2517</t>
  </si>
  <si>
    <t>=IF(O2517&lt;&gt;0,R2517/O2517,"")</t>
  </si>
  <si>
    <t>=NL("Sum","5802 Value Entry","150 Sales Amount (Expected)","41 Source Type",$C$5,"5 Source No.",$C2517,"4 Item Ledger Entry Type",$C$4,"2 Item No.","@@"&amp;$F2517,"3 Posting Date",U$9)+NL("Sum","5802 Value Entry","17 Sales Amount (Actual)","41 Source Type",$C$5,"5 Source no.",$C2517,"4 Item Ledger Entry Type",$C$4,"2 Item No.","@@"&amp;$F2517,"3 Posting Date",U$9)</t>
  </si>
  <si>
    <t>=-NL("Sum","5802 Value Entry","151 Cost Amount (Expected)","41 Source Type",$C$5,"5 Source No.",$C2517,"4 Item Ledger Entry Type",$C$4,"2 Item No.","@@"&amp;$F2517,"3 Posting Date",U$9)-NL("Sum","5802 Value Entry","43 Cost Amount (Actual)","41 Source Type",$C$5,"5 Source no.",$C2517,"4 Item Ledger Entry Type",$C$4,"2 Item No.","@@"&amp;$F2517,"3 Posting Date",U$9)</t>
  </si>
  <si>
    <t>=U2517-W2517</t>
  </si>
  <si>
    <t>=IF(U2517&lt;&gt;0,X2517/U2517,"")</t>
  </si>
  <si>
    <t>=NL("Sum","5802 Value Entry","150 Sales Amount (Expected)","41 Source Type",$C$5,"5 Source No.",$C2517,"4 Item Ledger Entry Type",$C$4,"2 Item No.","@@"&amp;$F2517,"3 Posting Date",Z$9)+NL("Sum","5802 Value Entry","17 Sales Amount (Actual)","41 Source Type",$C$5,"5 Source no.",$C2517,"4 Item Ledger Entry Type",$C$4,"2 Item No.","@@"&amp;$F2517,"3 Posting Date",Z$9)</t>
  </si>
  <si>
    <t>=-NL("Sum","5802 Value Entry","151 Cost Amount (Expected)","41 Source Type",$C$5,"5 Source No.",$C2517,"4 Item Ledger Entry Type",$C$4,"2 Item No.","@@"&amp;$F2517,"3 Posting Date",Z$9)-NL("Sum","5802 Value Entry","43 Cost Amount (Actual)","41 Source Type",$C$5,"5 Source no.",$C2517,"4 Item Ledger Entry Type",$C$4,"2 Item No.","@@"&amp;$F2517,"3 Posting Date",Z$9)</t>
  </si>
  <si>
    <t>=Z2517-AB2517</t>
  </si>
  <si>
    <t>=IF(Z2517&lt;&gt;0,AC2517/Z2517,"")</t>
  </si>
  <si>
    <t>=C2517</t>
  </si>
  <si>
    <t>=NL("Sum","5802 Value Entry","150 Sales Amount (Expected)","41 Source Type",$C$5,"5 Source No.",$C2518,"4 Item Ledger Entry Type",$C$4,"2 Item No.","@@"&amp;$F2518,"3 Posting Date",J$9)+NL("Sum","5802 Value Entry","17 Sales Amount (Actual)","41 Source Type",$C$5,"5 Source no.",$C2518,"4 Item Ledger Entry Type",$C$4,"2 Item No.","@@"&amp;$F2518,"3 Posting Date",J$9)</t>
  </si>
  <si>
    <t>=-NL("Sum","5802 Value Entry","151 Cost Amount (Expected)","41 Source Type",$C$5,"5 Source No.",$C2518,"4 Item Ledger Entry Type",$C$4,"2 Item No.","@@"&amp;$F2518,"3 Posting Date",J$9)-NL("Sum","5802 Value Entry","43 Cost Amount (Actual)","41 Source Type",$C$5,"5 Source no.",$C2518,"4 Item Ledger Entry Type",$C$4,"2 Item No.","@@"&amp;$F2518,"3 Posting Date",J$9)</t>
  </si>
  <si>
    <t>=J2518-L2518</t>
  </si>
  <si>
    <t>=IF(J2518&lt;&gt;0,M2518/J2518,"")</t>
  </si>
  <si>
    <t>=NL("Sum","5802 Value Entry","150 Sales Amount (Expected)","41 Source Type",$C$5,"5 Source No.",$C2518,"4 Item Ledger Entry Type",$C$4,"2 Item No.","@@"&amp;$F2518,"3 Posting Date",O$9)+NL("Sum","5802 Value Entry","17 Sales Amount (Actual)","41 Source Type",$C$5,"5 Source no.",$C2518,"4 Item Ledger Entry Type",$C$4,"2 Item No.","@@"&amp;$F2518,"3 Posting Date",O$9)</t>
  </si>
  <si>
    <t>=-NL("Sum","5802 Value Entry","151 Cost Amount (Expected)","41 Source Type",$C$5,"5 Source No.",$C2518,"4 Item Ledger Entry Type",$C$4,"2 Item No.","@@"&amp;$F2518,"3 Posting Date",O$9)-NL("Sum","5802 Value Entry","43 Cost Amount (Actual)","41 Source Type",$C$5,"5 Source no.",$C2518,"4 Item Ledger Entry Type",$C$4,"2 Item No.","@@"&amp;$F2518,"3 Posting Date",O$9)</t>
  </si>
  <si>
    <t>=O2518-Q2518</t>
  </si>
  <si>
    <t>=IF(O2518&lt;&gt;0,R2518/O2518,"")</t>
  </si>
  <si>
    <t>=NL("Sum","5802 Value Entry","150 Sales Amount (Expected)","41 Source Type",$C$5,"5 Source No.",$C2518,"4 Item Ledger Entry Type",$C$4,"2 Item No.","@@"&amp;$F2518,"3 Posting Date",U$9)+NL("Sum","5802 Value Entry","17 Sales Amount (Actual)","41 Source Type",$C$5,"5 Source no.",$C2518,"4 Item Ledger Entry Type",$C$4,"2 Item No.","@@"&amp;$F2518,"3 Posting Date",U$9)</t>
  </si>
  <si>
    <t>=-NL("Sum","5802 Value Entry","151 Cost Amount (Expected)","41 Source Type",$C$5,"5 Source No.",$C2518,"4 Item Ledger Entry Type",$C$4,"2 Item No.","@@"&amp;$F2518,"3 Posting Date",U$9)-NL("Sum","5802 Value Entry","43 Cost Amount (Actual)","41 Source Type",$C$5,"5 Source no.",$C2518,"4 Item Ledger Entry Type",$C$4,"2 Item No.","@@"&amp;$F2518,"3 Posting Date",U$9)</t>
  </si>
  <si>
    <t>=U2518-W2518</t>
  </si>
  <si>
    <t>=IF(U2518&lt;&gt;0,X2518/U2518,"")</t>
  </si>
  <si>
    <t>=NL("Sum","5802 Value Entry","150 Sales Amount (Expected)","41 Source Type",$C$5,"5 Source No.",$C2518,"4 Item Ledger Entry Type",$C$4,"2 Item No.","@@"&amp;$F2518,"3 Posting Date",Z$9)+NL("Sum","5802 Value Entry","17 Sales Amount (Actual)","41 Source Type",$C$5,"5 Source no.",$C2518,"4 Item Ledger Entry Type",$C$4,"2 Item No.","@@"&amp;$F2518,"3 Posting Date",Z$9)</t>
  </si>
  <si>
    <t>=-NL("Sum","5802 Value Entry","151 Cost Amount (Expected)","41 Source Type",$C$5,"5 Source No.",$C2518,"4 Item Ledger Entry Type",$C$4,"2 Item No.","@@"&amp;$F2518,"3 Posting Date",Z$9)-NL("Sum","5802 Value Entry","43 Cost Amount (Actual)","41 Source Type",$C$5,"5 Source no.",$C2518,"4 Item Ledger Entry Type",$C$4,"2 Item No.","@@"&amp;$F2518,"3 Posting Date",Z$9)</t>
  </si>
  <si>
    <t>=Z2518-AB2518</t>
  </si>
  <si>
    <t>=IF(Z2518&lt;&gt;0,AC2518/Z2518,"")</t>
  </si>
  <si>
    <t>=C2518</t>
  </si>
  <si>
    <t>=NL("Sum","5802 Value Entry","150 Sales Amount (Expected)","41 Source Type",$C$5,"5 Source No.",$C2519,"4 Item Ledger Entry Type",$C$4,"2 Item No.","@@"&amp;$F2519,"3 Posting Date",J$9)+NL("Sum","5802 Value Entry","17 Sales Amount (Actual)","41 Source Type",$C$5,"5 Source no.",$C2519,"4 Item Ledger Entry Type",$C$4,"2 Item No.","@@"&amp;$F2519,"3 Posting Date",J$9)</t>
  </si>
  <si>
    <t>=-NL("Sum","5802 Value Entry","151 Cost Amount (Expected)","41 Source Type",$C$5,"5 Source No.",$C2519,"4 Item Ledger Entry Type",$C$4,"2 Item No.","@@"&amp;$F2519,"3 Posting Date",J$9)-NL("Sum","5802 Value Entry","43 Cost Amount (Actual)","41 Source Type",$C$5,"5 Source no.",$C2519,"4 Item Ledger Entry Type",$C$4,"2 Item No.","@@"&amp;$F2519,"3 Posting Date",J$9)</t>
  </si>
  <si>
    <t>=J2519-L2519</t>
  </si>
  <si>
    <t>=IF(J2519&lt;&gt;0,M2519/J2519,"")</t>
  </si>
  <si>
    <t>=NL("Sum","5802 Value Entry","150 Sales Amount (Expected)","41 Source Type",$C$5,"5 Source No.",$C2519,"4 Item Ledger Entry Type",$C$4,"2 Item No.","@@"&amp;$F2519,"3 Posting Date",O$9)+NL("Sum","5802 Value Entry","17 Sales Amount (Actual)","41 Source Type",$C$5,"5 Source no.",$C2519,"4 Item Ledger Entry Type",$C$4,"2 Item No.","@@"&amp;$F2519,"3 Posting Date",O$9)</t>
  </si>
  <si>
    <t>=-NL("Sum","5802 Value Entry","151 Cost Amount (Expected)","41 Source Type",$C$5,"5 Source No.",$C2519,"4 Item Ledger Entry Type",$C$4,"2 Item No.","@@"&amp;$F2519,"3 Posting Date",O$9)-NL("Sum","5802 Value Entry","43 Cost Amount (Actual)","41 Source Type",$C$5,"5 Source no.",$C2519,"4 Item Ledger Entry Type",$C$4,"2 Item No.","@@"&amp;$F2519,"3 Posting Date",O$9)</t>
  </si>
  <si>
    <t>=O2519-Q2519</t>
  </si>
  <si>
    <t>=IF(O2519&lt;&gt;0,R2519/O2519,"")</t>
  </si>
  <si>
    <t>=NL("Sum","5802 Value Entry","150 Sales Amount (Expected)","41 Source Type",$C$5,"5 Source No.",$C2519,"4 Item Ledger Entry Type",$C$4,"2 Item No.","@@"&amp;$F2519,"3 Posting Date",U$9)+NL("Sum","5802 Value Entry","17 Sales Amount (Actual)","41 Source Type",$C$5,"5 Source no.",$C2519,"4 Item Ledger Entry Type",$C$4,"2 Item No.","@@"&amp;$F2519,"3 Posting Date",U$9)</t>
  </si>
  <si>
    <t>=-NL("Sum","5802 Value Entry","151 Cost Amount (Expected)","41 Source Type",$C$5,"5 Source No.",$C2519,"4 Item Ledger Entry Type",$C$4,"2 Item No.","@@"&amp;$F2519,"3 Posting Date",U$9)-NL("Sum","5802 Value Entry","43 Cost Amount (Actual)","41 Source Type",$C$5,"5 Source no.",$C2519,"4 Item Ledger Entry Type",$C$4,"2 Item No.","@@"&amp;$F2519,"3 Posting Date",U$9)</t>
  </si>
  <si>
    <t>=U2519-W2519</t>
  </si>
  <si>
    <t>=IF(U2519&lt;&gt;0,X2519/U2519,"")</t>
  </si>
  <si>
    <t>=NL("Sum","5802 Value Entry","150 Sales Amount (Expected)","41 Source Type",$C$5,"5 Source No.",$C2519,"4 Item Ledger Entry Type",$C$4,"2 Item No.","@@"&amp;$F2519,"3 Posting Date",Z$9)+NL("Sum","5802 Value Entry","17 Sales Amount (Actual)","41 Source Type",$C$5,"5 Source no.",$C2519,"4 Item Ledger Entry Type",$C$4,"2 Item No.","@@"&amp;$F2519,"3 Posting Date",Z$9)</t>
  </si>
  <si>
    <t>=-NL("Sum","5802 Value Entry","151 Cost Amount (Expected)","41 Source Type",$C$5,"5 Source No.",$C2519,"4 Item Ledger Entry Type",$C$4,"2 Item No.","@@"&amp;$F2519,"3 Posting Date",Z$9)-NL("Sum","5802 Value Entry","43 Cost Amount (Actual)","41 Source Type",$C$5,"5 Source no.",$C2519,"4 Item Ledger Entry Type",$C$4,"2 Item No.","@@"&amp;$F2519,"3 Posting Date",Z$9)</t>
  </si>
  <si>
    <t>=Z2519-AB2519</t>
  </si>
  <si>
    <t>=IF(Z2519&lt;&gt;0,AC2519/Z2519,"")</t>
  </si>
  <si>
    <t>=C2519</t>
  </si>
  <si>
    <t>=NL("Sum","5802 Value Entry","150 Sales Amount (Expected)","41 Source Type",$C$5,"5 Source No.",$C2520,"4 Item Ledger Entry Type",$C$4,"2 Item No.","@@"&amp;$F2520,"3 Posting Date",J$9)+NL("Sum","5802 Value Entry","17 Sales Amount (Actual)","41 Source Type",$C$5,"5 Source no.",$C2520,"4 Item Ledger Entry Type",$C$4,"2 Item No.","@@"&amp;$F2520,"3 Posting Date",J$9)</t>
  </si>
  <si>
    <t>=-NL("Sum","5802 Value Entry","151 Cost Amount (Expected)","41 Source Type",$C$5,"5 Source No.",$C2520,"4 Item Ledger Entry Type",$C$4,"2 Item No.","@@"&amp;$F2520,"3 Posting Date",J$9)-NL("Sum","5802 Value Entry","43 Cost Amount (Actual)","41 Source Type",$C$5,"5 Source no.",$C2520,"4 Item Ledger Entry Type",$C$4,"2 Item No.","@@"&amp;$F2520,"3 Posting Date",J$9)</t>
  </si>
  <si>
    <t>=J2520-L2520</t>
  </si>
  <si>
    <t>=IF(J2520&lt;&gt;0,M2520/J2520,"")</t>
  </si>
  <si>
    <t>=NL("Sum","5802 Value Entry","150 Sales Amount (Expected)","41 Source Type",$C$5,"5 Source No.",$C2520,"4 Item Ledger Entry Type",$C$4,"2 Item No.","@@"&amp;$F2520,"3 Posting Date",O$9)+NL("Sum","5802 Value Entry","17 Sales Amount (Actual)","41 Source Type",$C$5,"5 Source no.",$C2520,"4 Item Ledger Entry Type",$C$4,"2 Item No.","@@"&amp;$F2520,"3 Posting Date",O$9)</t>
  </si>
  <si>
    <t>=-NL("Sum","5802 Value Entry","151 Cost Amount (Expected)","41 Source Type",$C$5,"5 Source No.",$C2520,"4 Item Ledger Entry Type",$C$4,"2 Item No.","@@"&amp;$F2520,"3 Posting Date",O$9)-NL("Sum","5802 Value Entry","43 Cost Amount (Actual)","41 Source Type",$C$5,"5 Source no.",$C2520,"4 Item Ledger Entry Type",$C$4,"2 Item No.","@@"&amp;$F2520,"3 Posting Date",O$9)</t>
  </si>
  <si>
    <t>=O2520-Q2520</t>
  </si>
  <si>
    <t>=IF(O2520&lt;&gt;0,R2520/O2520,"")</t>
  </si>
  <si>
    <t>=NL("Sum","5802 Value Entry","150 Sales Amount (Expected)","41 Source Type",$C$5,"5 Source No.",$C2520,"4 Item Ledger Entry Type",$C$4,"2 Item No.","@@"&amp;$F2520,"3 Posting Date",U$9)+NL("Sum","5802 Value Entry","17 Sales Amount (Actual)","41 Source Type",$C$5,"5 Source no.",$C2520,"4 Item Ledger Entry Type",$C$4,"2 Item No.","@@"&amp;$F2520,"3 Posting Date",U$9)</t>
  </si>
  <si>
    <t>=-NL("Sum","5802 Value Entry","151 Cost Amount (Expected)","41 Source Type",$C$5,"5 Source No.",$C2520,"4 Item Ledger Entry Type",$C$4,"2 Item No.","@@"&amp;$F2520,"3 Posting Date",U$9)-NL("Sum","5802 Value Entry","43 Cost Amount (Actual)","41 Source Type",$C$5,"5 Source no.",$C2520,"4 Item Ledger Entry Type",$C$4,"2 Item No.","@@"&amp;$F2520,"3 Posting Date",U$9)</t>
  </si>
  <si>
    <t>=U2520-W2520</t>
  </si>
  <si>
    <t>=IF(U2520&lt;&gt;0,X2520/U2520,"")</t>
  </si>
  <si>
    <t>=NL("Sum","5802 Value Entry","150 Sales Amount (Expected)","41 Source Type",$C$5,"5 Source No.",$C2520,"4 Item Ledger Entry Type",$C$4,"2 Item No.","@@"&amp;$F2520,"3 Posting Date",Z$9)+NL("Sum","5802 Value Entry","17 Sales Amount (Actual)","41 Source Type",$C$5,"5 Source no.",$C2520,"4 Item Ledger Entry Type",$C$4,"2 Item No.","@@"&amp;$F2520,"3 Posting Date",Z$9)</t>
  </si>
  <si>
    <t>=-NL("Sum","5802 Value Entry","151 Cost Amount (Expected)","41 Source Type",$C$5,"5 Source No.",$C2520,"4 Item Ledger Entry Type",$C$4,"2 Item No.","@@"&amp;$F2520,"3 Posting Date",Z$9)-NL("Sum","5802 Value Entry","43 Cost Amount (Actual)","41 Source Type",$C$5,"5 Source no.",$C2520,"4 Item Ledger Entry Type",$C$4,"2 Item No.","@@"&amp;$F2520,"3 Posting Date",Z$9)</t>
  </si>
  <si>
    <t>=Z2520-AB2520</t>
  </si>
  <si>
    <t>=IF(Z2520&lt;&gt;0,AC2520/Z2520,"")</t>
  </si>
  <si>
    <t>=C2521</t>
  </si>
  <si>
    <t>=J2522-L2522</t>
  </si>
  <si>
    <t>=IF(J2522&lt;&gt;0,M2522/J2522,"")</t>
  </si>
  <si>
    <t>=O2522-Q2522</t>
  </si>
  <si>
    <t>=IF(O2522&lt;&gt;0,R2522/O2522,"")</t>
  </si>
  <si>
    <t>=U2522-W2522</t>
  </si>
  <si>
    <t>=IF(U2522&lt;&gt;0,X2522/U2522,"")</t>
  </si>
  <si>
    <t>=Z2522-AB2522</t>
  </si>
  <si>
    <t>=IF(Z2522&lt;&gt;0,AC2522/Z2522,"")</t>
  </si>
  <si>
    <t>=C2524</t>
  </si>
  <si>
    <t>=C2525</t>
  </si>
  <si>
    <t>=NL("Sum","5802 Value Entry","150 Sales Amount (Expected)","41 Source Type",$C$5,"5 Source No.",$C2526,"4 Item Ledger Entry Type",$C$4,"2 Item No.","@@"&amp;$F2526,"3 Posting Date",J$9)+NL("Sum","5802 Value Entry","17 Sales Amount (Actual)","41 Source Type",$C$5,"5 Source no.",$C2526,"4 Item Ledger Entry Type",$C$4,"2 Item No.","@@"&amp;$F2526,"3 Posting Date",J$9)</t>
  </si>
  <si>
    <t>=-NL("Sum","5802 Value Entry","151 Cost Amount (Expected)","41 Source Type",$C$5,"5 Source No.",$C2526,"4 Item Ledger Entry Type",$C$4,"2 Item No.","@@"&amp;$F2526,"3 Posting Date",J$9)-NL("Sum","5802 Value Entry","43 Cost Amount (Actual)","41 Source Type",$C$5,"5 Source no.",$C2526,"4 Item Ledger Entry Type",$C$4,"2 Item No.","@@"&amp;$F2526,"3 Posting Date",J$9)</t>
  </si>
  <si>
    <t>=J2526-L2526</t>
  </si>
  <si>
    <t>=IF(J2526&lt;&gt;0,M2526/J2526,"")</t>
  </si>
  <si>
    <t>=NL("Sum","5802 Value Entry","150 Sales Amount (Expected)","41 Source Type",$C$5,"5 Source No.",$C2526,"4 Item Ledger Entry Type",$C$4,"2 Item No.","@@"&amp;$F2526,"3 Posting Date",O$9)+NL("Sum","5802 Value Entry","17 Sales Amount (Actual)","41 Source Type",$C$5,"5 Source no.",$C2526,"4 Item Ledger Entry Type",$C$4,"2 Item No.","@@"&amp;$F2526,"3 Posting Date",O$9)</t>
  </si>
  <si>
    <t>=-NL("Sum","5802 Value Entry","151 Cost Amount (Expected)","41 Source Type",$C$5,"5 Source No.",$C2526,"4 Item Ledger Entry Type",$C$4,"2 Item No.","@@"&amp;$F2526,"3 Posting Date",O$9)-NL("Sum","5802 Value Entry","43 Cost Amount (Actual)","41 Source Type",$C$5,"5 Source no.",$C2526,"4 Item Ledger Entry Type",$C$4,"2 Item No.","@@"&amp;$F2526,"3 Posting Date",O$9)</t>
  </si>
  <si>
    <t>=O2526-Q2526</t>
  </si>
  <si>
    <t>=IF(O2526&lt;&gt;0,R2526/O2526,"")</t>
  </si>
  <si>
    <t>=NL("Sum","5802 Value Entry","150 Sales Amount (Expected)","41 Source Type",$C$5,"5 Source No.",$C2526,"4 Item Ledger Entry Type",$C$4,"2 Item No.","@@"&amp;$F2526,"3 Posting Date",U$9)+NL("Sum","5802 Value Entry","17 Sales Amount (Actual)","41 Source Type",$C$5,"5 Source no.",$C2526,"4 Item Ledger Entry Type",$C$4,"2 Item No.","@@"&amp;$F2526,"3 Posting Date",U$9)</t>
  </si>
  <si>
    <t>=-NL("Sum","5802 Value Entry","151 Cost Amount (Expected)","41 Source Type",$C$5,"5 Source No.",$C2526,"4 Item Ledger Entry Type",$C$4,"2 Item No.","@@"&amp;$F2526,"3 Posting Date",U$9)-NL("Sum","5802 Value Entry","43 Cost Amount (Actual)","41 Source Type",$C$5,"5 Source no.",$C2526,"4 Item Ledger Entry Type",$C$4,"2 Item No.","@@"&amp;$F2526,"3 Posting Date",U$9)</t>
  </si>
  <si>
    <t>=U2526-W2526</t>
  </si>
  <si>
    <t>=IF(U2526&lt;&gt;0,X2526/U2526,"")</t>
  </si>
  <si>
    <t>=NL("Sum","5802 Value Entry","150 Sales Amount (Expected)","41 Source Type",$C$5,"5 Source No.",$C2526,"4 Item Ledger Entry Type",$C$4,"2 Item No.","@@"&amp;$F2526,"3 Posting Date",Z$9)+NL("Sum","5802 Value Entry","17 Sales Amount (Actual)","41 Source Type",$C$5,"5 Source no.",$C2526,"4 Item Ledger Entry Type",$C$4,"2 Item No.","@@"&amp;$F2526,"3 Posting Date",Z$9)</t>
  </si>
  <si>
    <t>=-NL("Sum","5802 Value Entry","151 Cost Amount (Expected)","41 Source Type",$C$5,"5 Source No.",$C2526,"4 Item Ledger Entry Type",$C$4,"2 Item No.","@@"&amp;$F2526,"3 Posting Date",Z$9)-NL("Sum","5802 Value Entry","43 Cost Amount (Actual)","41 Source Type",$C$5,"5 Source no.",$C2526,"4 Item Ledger Entry Type",$C$4,"2 Item No.","@@"&amp;$F2526,"3 Posting Date",Z$9)</t>
  </si>
  <si>
    <t>=Z2526-AB2526</t>
  </si>
  <si>
    <t>=IF(Z2526&lt;&gt;0,AC2526/Z2526,"")</t>
  </si>
  <si>
    <t>=C2526</t>
  </si>
  <si>
    <t>=NL("Sum","5802 Value Entry","150 Sales Amount (Expected)","41 Source Type",$C$5,"5 Source No.",$C2527,"4 Item Ledger Entry Type",$C$4,"2 Item No.","@@"&amp;$F2527,"3 Posting Date",J$9)+NL("Sum","5802 Value Entry","17 Sales Amount (Actual)","41 Source Type",$C$5,"5 Source no.",$C2527,"4 Item Ledger Entry Type",$C$4,"2 Item No.","@@"&amp;$F2527,"3 Posting Date",J$9)</t>
  </si>
  <si>
    <t>=-NL("Sum","5802 Value Entry","151 Cost Amount (Expected)","41 Source Type",$C$5,"5 Source No.",$C2527,"4 Item Ledger Entry Type",$C$4,"2 Item No.","@@"&amp;$F2527,"3 Posting Date",J$9)-NL("Sum","5802 Value Entry","43 Cost Amount (Actual)","41 Source Type",$C$5,"5 Source no.",$C2527,"4 Item Ledger Entry Type",$C$4,"2 Item No.","@@"&amp;$F2527,"3 Posting Date",J$9)</t>
  </si>
  <si>
    <t>=J2527-L2527</t>
  </si>
  <si>
    <t>=IF(J2527&lt;&gt;0,M2527/J2527,"")</t>
  </si>
  <si>
    <t>=NL("Sum","5802 Value Entry","150 Sales Amount (Expected)","41 Source Type",$C$5,"5 Source No.",$C2527,"4 Item Ledger Entry Type",$C$4,"2 Item No.","@@"&amp;$F2527,"3 Posting Date",O$9)+NL("Sum","5802 Value Entry","17 Sales Amount (Actual)","41 Source Type",$C$5,"5 Source no.",$C2527,"4 Item Ledger Entry Type",$C$4,"2 Item No.","@@"&amp;$F2527,"3 Posting Date",O$9)</t>
  </si>
  <si>
    <t>=-NL("Sum","5802 Value Entry","151 Cost Amount (Expected)","41 Source Type",$C$5,"5 Source No.",$C2527,"4 Item Ledger Entry Type",$C$4,"2 Item No.","@@"&amp;$F2527,"3 Posting Date",O$9)-NL("Sum","5802 Value Entry","43 Cost Amount (Actual)","41 Source Type",$C$5,"5 Source no.",$C2527,"4 Item Ledger Entry Type",$C$4,"2 Item No.","@@"&amp;$F2527,"3 Posting Date",O$9)</t>
  </si>
  <si>
    <t>=O2527-Q2527</t>
  </si>
  <si>
    <t>=IF(O2527&lt;&gt;0,R2527/O2527,"")</t>
  </si>
  <si>
    <t>=NL("Sum","5802 Value Entry","150 Sales Amount (Expected)","41 Source Type",$C$5,"5 Source No.",$C2527,"4 Item Ledger Entry Type",$C$4,"2 Item No.","@@"&amp;$F2527,"3 Posting Date",U$9)+NL("Sum","5802 Value Entry","17 Sales Amount (Actual)","41 Source Type",$C$5,"5 Source no.",$C2527,"4 Item Ledger Entry Type",$C$4,"2 Item No.","@@"&amp;$F2527,"3 Posting Date",U$9)</t>
  </si>
  <si>
    <t>=-NL("Sum","5802 Value Entry","151 Cost Amount (Expected)","41 Source Type",$C$5,"5 Source No.",$C2527,"4 Item Ledger Entry Type",$C$4,"2 Item No.","@@"&amp;$F2527,"3 Posting Date",U$9)-NL("Sum","5802 Value Entry","43 Cost Amount (Actual)","41 Source Type",$C$5,"5 Source no.",$C2527,"4 Item Ledger Entry Type",$C$4,"2 Item No.","@@"&amp;$F2527,"3 Posting Date",U$9)</t>
  </si>
  <si>
    <t>=U2527-W2527</t>
  </si>
  <si>
    <t>=IF(U2527&lt;&gt;0,X2527/U2527,"")</t>
  </si>
  <si>
    <t>=NL("Sum","5802 Value Entry","150 Sales Amount (Expected)","41 Source Type",$C$5,"5 Source No.",$C2527,"4 Item Ledger Entry Type",$C$4,"2 Item No.","@@"&amp;$F2527,"3 Posting Date",Z$9)+NL("Sum","5802 Value Entry","17 Sales Amount (Actual)","41 Source Type",$C$5,"5 Source no.",$C2527,"4 Item Ledger Entry Type",$C$4,"2 Item No.","@@"&amp;$F2527,"3 Posting Date",Z$9)</t>
  </si>
  <si>
    <t>=-NL("Sum","5802 Value Entry","151 Cost Amount (Expected)","41 Source Type",$C$5,"5 Source No.",$C2527,"4 Item Ledger Entry Type",$C$4,"2 Item No.","@@"&amp;$F2527,"3 Posting Date",Z$9)-NL("Sum","5802 Value Entry","43 Cost Amount (Actual)","41 Source Type",$C$5,"5 Source no.",$C2527,"4 Item Ledger Entry Type",$C$4,"2 Item No.","@@"&amp;$F2527,"3 Posting Date",Z$9)</t>
  </si>
  <si>
    <t>=Z2527-AB2527</t>
  </si>
  <si>
    <t>=IF(Z2527&lt;&gt;0,AC2527/Z2527,"")</t>
  </si>
  <si>
    <t>=C2527</t>
  </si>
  <si>
    <t>=NL("Sum","5802 Value Entry","150 Sales Amount (Expected)","41 Source Type",$C$5,"5 Source No.",$C2528,"4 Item Ledger Entry Type",$C$4,"2 Item No.","@@"&amp;$F2528,"3 Posting Date",J$9)+NL("Sum","5802 Value Entry","17 Sales Amount (Actual)","41 Source Type",$C$5,"5 Source no.",$C2528,"4 Item Ledger Entry Type",$C$4,"2 Item No.","@@"&amp;$F2528,"3 Posting Date",J$9)</t>
  </si>
  <si>
    <t>=-NL("Sum","5802 Value Entry","151 Cost Amount (Expected)","41 Source Type",$C$5,"5 Source No.",$C2528,"4 Item Ledger Entry Type",$C$4,"2 Item No.","@@"&amp;$F2528,"3 Posting Date",J$9)-NL("Sum","5802 Value Entry","43 Cost Amount (Actual)","41 Source Type",$C$5,"5 Source no.",$C2528,"4 Item Ledger Entry Type",$C$4,"2 Item No.","@@"&amp;$F2528,"3 Posting Date",J$9)</t>
  </si>
  <si>
    <t>=J2528-L2528</t>
  </si>
  <si>
    <t>=IF(J2528&lt;&gt;0,M2528/J2528,"")</t>
  </si>
  <si>
    <t>=NL("Sum","5802 Value Entry","150 Sales Amount (Expected)","41 Source Type",$C$5,"5 Source No.",$C2528,"4 Item Ledger Entry Type",$C$4,"2 Item No.","@@"&amp;$F2528,"3 Posting Date",O$9)+NL("Sum","5802 Value Entry","17 Sales Amount (Actual)","41 Source Type",$C$5,"5 Source no.",$C2528,"4 Item Ledger Entry Type",$C$4,"2 Item No.","@@"&amp;$F2528,"3 Posting Date",O$9)</t>
  </si>
  <si>
    <t>=-NL("Sum","5802 Value Entry","151 Cost Amount (Expected)","41 Source Type",$C$5,"5 Source No.",$C2528,"4 Item Ledger Entry Type",$C$4,"2 Item No.","@@"&amp;$F2528,"3 Posting Date",O$9)-NL("Sum","5802 Value Entry","43 Cost Amount (Actual)","41 Source Type",$C$5,"5 Source no.",$C2528,"4 Item Ledger Entry Type",$C$4,"2 Item No.","@@"&amp;$F2528,"3 Posting Date",O$9)</t>
  </si>
  <si>
    <t>=O2528-Q2528</t>
  </si>
  <si>
    <t>=IF(O2528&lt;&gt;0,R2528/O2528,"")</t>
  </si>
  <si>
    <t>=NL("Sum","5802 Value Entry","150 Sales Amount (Expected)","41 Source Type",$C$5,"5 Source No.",$C2528,"4 Item Ledger Entry Type",$C$4,"2 Item No.","@@"&amp;$F2528,"3 Posting Date",U$9)+NL("Sum","5802 Value Entry","17 Sales Amount (Actual)","41 Source Type",$C$5,"5 Source no.",$C2528,"4 Item Ledger Entry Type",$C$4,"2 Item No.","@@"&amp;$F2528,"3 Posting Date",U$9)</t>
  </si>
  <si>
    <t>=-NL("Sum","5802 Value Entry","151 Cost Amount (Expected)","41 Source Type",$C$5,"5 Source No.",$C2528,"4 Item Ledger Entry Type",$C$4,"2 Item No.","@@"&amp;$F2528,"3 Posting Date",U$9)-NL("Sum","5802 Value Entry","43 Cost Amount (Actual)","41 Source Type",$C$5,"5 Source no.",$C2528,"4 Item Ledger Entry Type",$C$4,"2 Item No.","@@"&amp;$F2528,"3 Posting Date",U$9)</t>
  </si>
  <si>
    <t>=U2528-W2528</t>
  </si>
  <si>
    <t>=IF(U2528&lt;&gt;0,X2528/U2528,"")</t>
  </si>
  <si>
    <t>=NL("Sum","5802 Value Entry","150 Sales Amount (Expected)","41 Source Type",$C$5,"5 Source No.",$C2528,"4 Item Ledger Entry Type",$C$4,"2 Item No.","@@"&amp;$F2528,"3 Posting Date",Z$9)+NL("Sum","5802 Value Entry","17 Sales Amount (Actual)","41 Source Type",$C$5,"5 Source no.",$C2528,"4 Item Ledger Entry Type",$C$4,"2 Item No.","@@"&amp;$F2528,"3 Posting Date",Z$9)</t>
  </si>
  <si>
    <t>=-NL("Sum","5802 Value Entry","151 Cost Amount (Expected)","41 Source Type",$C$5,"5 Source No.",$C2528,"4 Item Ledger Entry Type",$C$4,"2 Item No.","@@"&amp;$F2528,"3 Posting Date",Z$9)-NL("Sum","5802 Value Entry","43 Cost Amount (Actual)","41 Source Type",$C$5,"5 Source no.",$C2528,"4 Item Ledger Entry Type",$C$4,"2 Item No.","@@"&amp;$F2528,"3 Posting Date",Z$9)</t>
  </si>
  <si>
    <t>=Z2528-AB2528</t>
  </si>
  <si>
    <t>=IF(Z2528&lt;&gt;0,AC2528/Z2528,"")</t>
  </si>
  <si>
    <t>=C2528</t>
  </si>
  <si>
    <t>=NL("Sum","5802 Value Entry","150 Sales Amount (Expected)","41 Source Type",$C$5,"5 Source No.",$C2529,"4 Item Ledger Entry Type",$C$4,"2 Item No.","@@"&amp;$F2529,"3 Posting Date",J$9)+NL("Sum","5802 Value Entry","17 Sales Amount (Actual)","41 Source Type",$C$5,"5 Source no.",$C2529,"4 Item Ledger Entry Type",$C$4,"2 Item No.","@@"&amp;$F2529,"3 Posting Date",J$9)</t>
  </si>
  <si>
    <t>=-NL("Sum","5802 Value Entry","151 Cost Amount (Expected)","41 Source Type",$C$5,"5 Source No.",$C2529,"4 Item Ledger Entry Type",$C$4,"2 Item No.","@@"&amp;$F2529,"3 Posting Date",J$9)-NL("Sum","5802 Value Entry","43 Cost Amount (Actual)","41 Source Type",$C$5,"5 Source no.",$C2529,"4 Item Ledger Entry Type",$C$4,"2 Item No.","@@"&amp;$F2529,"3 Posting Date",J$9)</t>
  </si>
  <si>
    <t>=J2529-L2529</t>
  </si>
  <si>
    <t>=IF(J2529&lt;&gt;0,M2529/J2529,"")</t>
  </si>
  <si>
    <t>=NL("Sum","5802 Value Entry","150 Sales Amount (Expected)","41 Source Type",$C$5,"5 Source No.",$C2529,"4 Item Ledger Entry Type",$C$4,"2 Item No.","@@"&amp;$F2529,"3 Posting Date",O$9)+NL("Sum","5802 Value Entry","17 Sales Amount (Actual)","41 Source Type",$C$5,"5 Source no.",$C2529,"4 Item Ledger Entry Type",$C$4,"2 Item No.","@@"&amp;$F2529,"3 Posting Date",O$9)</t>
  </si>
  <si>
    <t>=-NL("Sum","5802 Value Entry","151 Cost Amount (Expected)","41 Source Type",$C$5,"5 Source No.",$C2529,"4 Item Ledger Entry Type",$C$4,"2 Item No.","@@"&amp;$F2529,"3 Posting Date",O$9)-NL("Sum","5802 Value Entry","43 Cost Amount (Actual)","41 Source Type",$C$5,"5 Source no.",$C2529,"4 Item Ledger Entry Type",$C$4,"2 Item No.","@@"&amp;$F2529,"3 Posting Date",O$9)</t>
  </si>
  <si>
    <t>=O2529-Q2529</t>
  </si>
  <si>
    <t>=IF(O2529&lt;&gt;0,R2529/O2529,"")</t>
  </si>
  <si>
    <t>=NL("Sum","5802 Value Entry","150 Sales Amount (Expected)","41 Source Type",$C$5,"5 Source No.",$C2529,"4 Item Ledger Entry Type",$C$4,"2 Item No.","@@"&amp;$F2529,"3 Posting Date",U$9)+NL("Sum","5802 Value Entry","17 Sales Amount (Actual)","41 Source Type",$C$5,"5 Source no.",$C2529,"4 Item Ledger Entry Type",$C$4,"2 Item No.","@@"&amp;$F2529,"3 Posting Date",U$9)</t>
  </si>
  <si>
    <t>=-NL("Sum","5802 Value Entry","151 Cost Amount (Expected)","41 Source Type",$C$5,"5 Source No.",$C2529,"4 Item Ledger Entry Type",$C$4,"2 Item No.","@@"&amp;$F2529,"3 Posting Date",U$9)-NL("Sum","5802 Value Entry","43 Cost Amount (Actual)","41 Source Type",$C$5,"5 Source no.",$C2529,"4 Item Ledger Entry Type",$C$4,"2 Item No.","@@"&amp;$F2529,"3 Posting Date",U$9)</t>
  </si>
  <si>
    <t>=U2529-W2529</t>
  </si>
  <si>
    <t>=IF(U2529&lt;&gt;0,X2529/U2529,"")</t>
  </si>
  <si>
    <t>=NL("Sum","5802 Value Entry","150 Sales Amount (Expected)","41 Source Type",$C$5,"5 Source No.",$C2529,"4 Item Ledger Entry Type",$C$4,"2 Item No.","@@"&amp;$F2529,"3 Posting Date",Z$9)+NL("Sum","5802 Value Entry","17 Sales Amount (Actual)","41 Source Type",$C$5,"5 Source no.",$C2529,"4 Item Ledger Entry Type",$C$4,"2 Item No.","@@"&amp;$F2529,"3 Posting Date",Z$9)</t>
  </si>
  <si>
    <t>=-NL("Sum","5802 Value Entry","151 Cost Amount (Expected)","41 Source Type",$C$5,"5 Source No.",$C2529,"4 Item Ledger Entry Type",$C$4,"2 Item No.","@@"&amp;$F2529,"3 Posting Date",Z$9)-NL("Sum","5802 Value Entry","43 Cost Amount (Actual)","41 Source Type",$C$5,"5 Source no.",$C2529,"4 Item Ledger Entry Type",$C$4,"2 Item No.","@@"&amp;$F2529,"3 Posting Date",Z$9)</t>
  </si>
  <si>
    <t>=Z2529-AB2529</t>
  </si>
  <si>
    <t>=IF(Z2529&lt;&gt;0,AC2529/Z2529,"")</t>
  </si>
  <si>
    <t>=C2529</t>
  </si>
  <si>
    <t>=NL("Sum","5802 Value Entry","150 Sales Amount (Expected)","41 Source Type",$C$5,"5 Source No.",$C2530,"4 Item Ledger Entry Type",$C$4,"2 Item No.","@@"&amp;$F2530,"3 Posting Date",J$9)+NL("Sum","5802 Value Entry","17 Sales Amount (Actual)","41 Source Type",$C$5,"5 Source no.",$C2530,"4 Item Ledger Entry Type",$C$4,"2 Item No.","@@"&amp;$F2530,"3 Posting Date",J$9)</t>
  </si>
  <si>
    <t>=-NL("Sum","5802 Value Entry","151 Cost Amount (Expected)","41 Source Type",$C$5,"5 Source No.",$C2530,"4 Item Ledger Entry Type",$C$4,"2 Item No.","@@"&amp;$F2530,"3 Posting Date",J$9)-NL("Sum","5802 Value Entry","43 Cost Amount (Actual)","41 Source Type",$C$5,"5 Source no.",$C2530,"4 Item Ledger Entry Type",$C$4,"2 Item No.","@@"&amp;$F2530,"3 Posting Date",J$9)</t>
  </si>
  <si>
    <t>=J2530-L2530</t>
  </si>
  <si>
    <t>=IF(J2530&lt;&gt;0,M2530/J2530,"")</t>
  </si>
  <si>
    <t>=NL("Sum","5802 Value Entry","150 Sales Amount (Expected)","41 Source Type",$C$5,"5 Source No.",$C2530,"4 Item Ledger Entry Type",$C$4,"2 Item No.","@@"&amp;$F2530,"3 Posting Date",O$9)+NL("Sum","5802 Value Entry","17 Sales Amount (Actual)","41 Source Type",$C$5,"5 Source no.",$C2530,"4 Item Ledger Entry Type",$C$4,"2 Item No.","@@"&amp;$F2530,"3 Posting Date",O$9)</t>
  </si>
  <si>
    <t>=-NL("Sum","5802 Value Entry","151 Cost Amount (Expected)","41 Source Type",$C$5,"5 Source No.",$C2530,"4 Item Ledger Entry Type",$C$4,"2 Item No.","@@"&amp;$F2530,"3 Posting Date",O$9)-NL("Sum","5802 Value Entry","43 Cost Amount (Actual)","41 Source Type",$C$5,"5 Source no.",$C2530,"4 Item Ledger Entry Type",$C$4,"2 Item No.","@@"&amp;$F2530,"3 Posting Date",O$9)</t>
  </si>
  <si>
    <t>=O2530-Q2530</t>
  </si>
  <si>
    <t>=IF(O2530&lt;&gt;0,R2530/O2530,"")</t>
  </si>
  <si>
    <t>=NL("Sum","5802 Value Entry","150 Sales Amount (Expected)","41 Source Type",$C$5,"5 Source No.",$C2530,"4 Item Ledger Entry Type",$C$4,"2 Item No.","@@"&amp;$F2530,"3 Posting Date",U$9)+NL("Sum","5802 Value Entry","17 Sales Amount (Actual)","41 Source Type",$C$5,"5 Source no.",$C2530,"4 Item Ledger Entry Type",$C$4,"2 Item No.","@@"&amp;$F2530,"3 Posting Date",U$9)</t>
  </si>
  <si>
    <t>=-NL("Sum","5802 Value Entry","151 Cost Amount (Expected)","41 Source Type",$C$5,"5 Source No.",$C2530,"4 Item Ledger Entry Type",$C$4,"2 Item No.","@@"&amp;$F2530,"3 Posting Date",U$9)-NL("Sum","5802 Value Entry","43 Cost Amount (Actual)","41 Source Type",$C$5,"5 Source no.",$C2530,"4 Item Ledger Entry Type",$C$4,"2 Item No.","@@"&amp;$F2530,"3 Posting Date",U$9)</t>
  </si>
  <si>
    <t>=U2530-W2530</t>
  </si>
  <si>
    <t>=IF(U2530&lt;&gt;0,X2530/U2530,"")</t>
  </si>
  <si>
    <t>=NL("Sum","5802 Value Entry","150 Sales Amount (Expected)","41 Source Type",$C$5,"5 Source No.",$C2530,"4 Item Ledger Entry Type",$C$4,"2 Item No.","@@"&amp;$F2530,"3 Posting Date",Z$9)+NL("Sum","5802 Value Entry","17 Sales Amount (Actual)","41 Source Type",$C$5,"5 Source no.",$C2530,"4 Item Ledger Entry Type",$C$4,"2 Item No.","@@"&amp;$F2530,"3 Posting Date",Z$9)</t>
  </si>
  <si>
    <t>=-NL("Sum","5802 Value Entry","151 Cost Amount (Expected)","41 Source Type",$C$5,"5 Source No.",$C2530,"4 Item Ledger Entry Type",$C$4,"2 Item No.","@@"&amp;$F2530,"3 Posting Date",Z$9)-NL("Sum","5802 Value Entry","43 Cost Amount (Actual)","41 Source Type",$C$5,"5 Source no.",$C2530,"4 Item Ledger Entry Type",$C$4,"2 Item No.","@@"&amp;$F2530,"3 Posting Date",Z$9)</t>
  </si>
  <si>
    <t>=Z2530-AB2530</t>
  </si>
  <si>
    <t>=IF(Z2530&lt;&gt;0,AC2530/Z2530,"")</t>
  </si>
  <si>
    <t>=C2530</t>
  </si>
  <si>
    <t>=NL("Sum","5802 Value Entry","150 Sales Amount (Expected)","41 Source Type",$C$5,"5 Source No.",$C2531,"4 Item Ledger Entry Type",$C$4,"2 Item No.","@@"&amp;$F2531,"3 Posting Date",J$9)+NL("Sum","5802 Value Entry","17 Sales Amount (Actual)","41 Source Type",$C$5,"5 Source no.",$C2531,"4 Item Ledger Entry Type",$C$4,"2 Item No.","@@"&amp;$F2531,"3 Posting Date",J$9)</t>
  </si>
  <si>
    <t>=-NL("Sum","5802 Value Entry","151 Cost Amount (Expected)","41 Source Type",$C$5,"5 Source No.",$C2531,"4 Item Ledger Entry Type",$C$4,"2 Item No.","@@"&amp;$F2531,"3 Posting Date",J$9)-NL("Sum","5802 Value Entry","43 Cost Amount (Actual)","41 Source Type",$C$5,"5 Source no.",$C2531,"4 Item Ledger Entry Type",$C$4,"2 Item No.","@@"&amp;$F2531,"3 Posting Date",J$9)</t>
  </si>
  <si>
    <t>=J2531-L2531</t>
  </si>
  <si>
    <t>=IF(J2531&lt;&gt;0,M2531/J2531,"")</t>
  </si>
  <si>
    <t>=NL("Sum","5802 Value Entry","150 Sales Amount (Expected)","41 Source Type",$C$5,"5 Source No.",$C2531,"4 Item Ledger Entry Type",$C$4,"2 Item No.","@@"&amp;$F2531,"3 Posting Date",O$9)+NL("Sum","5802 Value Entry","17 Sales Amount (Actual)","41 Source Type",$C$5,"5 Source no.",$C2531,"4 Item Ledger Entry Type",$C$4,"2 Item No.","@@"&amp;$F2531,"3 Posting Date",O$9)</t>
  </si>
  <si>
    <t>=-NL("Sum","5802 Value Entry","151 Cost Amount (Expected)","41 Source Type",$C$5,"5 Source No.",$C2531,"4 Item Ledger Entry Type",$C$4,"2 Item No.","@@"&amp;$F2531,"3 Posting Date",O$9)-NL("Sum","5802 Value Entry","43 Cost Amount (Actual)","41 Source Type",$C$5,"5 Source no.",$C2531,"4 Item Ledger Entry Type",$C$4,"2 Item No.","@@"&amp;$F2531,"3 Posting Date",O$9)</t>
  </si>
  <si>
    <t>=O2531-Q2531</t>
  </si>
  <si>
    <t>=IF(O2531&lt;&gt;0,R2531/O2531,"")</t>
  </si>
  <si>
    <t>=NL("Sum","5802 Value Entry","150 Sales Amount (Expected)","41 Source Type",$C$5,"5 Source No.",$C2531,"4 Item Ledger Entry Type",$C$4,"2 Item No.","@@"&amp;$F2531,"3 Posting Date",U$9)+NL("Sum","5802 Value Entry","17 Sales Amount (Actual)","41 Source Type",$C$5,"5 Source no.",$C2531,"4 Item Ledger Entry Type",$C$4,"2 Item No.","@@"&amp;$F2531,"3 Posting Date",U$9)</t>
  </si>
  <si>
    <t>=-NL("Sum","5802 Value Entry","151 Cost Amount (Expected)","41 Source Type",$C$5,"5 Source No.",$C2531,"4 Item Ledger Entry Type",$C$4,"2 Item No.","@@"&amp;$F2531,"3 Posting Date",U$9)-NL("Sum","5802 Value Entry","43 Cost Amount (Actual)","41 Source Type",$C$5,"5 Source no.",$C2531,"4 Item Ledger Entry Type",$C$4,"2 Item No.","@@"&amp;$F2531,"3 Posting Date",U$9)</t>
  </si>
  <si>
    <t>=U2531-W2531</t>
  </si>
  <si>
    <t>=IF(U2531&lt;&gt;0,X2531/U2531,"")</t>
  </si>
  <si>
    <t>=NL("Sum","5802 Value Entry","150 Sales Amount (Expected)","41 Source Type",$C$5,"5 Source No.",$C2531,"4 Item Ledger Entry Type",$C$4,"2 Item No.","@@"&amp;$F2531,"3 Posting Date",Z$9)+NL("Sum","5802 Value Entry","17 Sales Amount (Actual)","41 Source Type",$C$5,"5 Source no.",$C2531,"4 Item Ledger Entry Type",$C$4,"2 Item No.","@@"&amp;$F2531,"3 Posting Date",Z$9)</t>
  </si>
  <si>
    <t>=-NL("Sum","5802 Value Entry","151 Cost Amount (Expected)","41 Source Type",$C$5,"5 Source No.",$C2531,"4 Item Ledger Entry Type",$C$4,"2 Item No.","@@"&amp;$F2531,"3 Posting Date",Z$9)-NL("Sum","5802 Value Entry","43 Cost Amount (Actual)","41 Source Type",$C$5,"5 Source no.",$C2531,"4 Item Ledger Entry Type",$C$4,"2 Item No.","@@"&amp;$F2531,"3 Posting Date",Z$9)</t>
  </si>
  <si>
    <t>=Z2531-AB2531</t>
  </si>
  <si>
    <t>=IF(Z2531&lt;&gt;0,AC2531/Z2531,"")</t>
  </si>
  <si>
    <t>=C2531</t>
  </si>
  <si>
    <t>=NL("Sum","5802 Value Entry","150 Sales Amount (Expected)","41 Source Type",$C$5,"5 Source No.",$C2532,"4 Item Ledger Entry Type",$C$4,"2 Item No.","@@"&amp;$F2532,"3 Posting Date",J$9)+NL("Sum","5802 Value Entry","17 Sales Amount (Actual)","41 Source Type",$C$5,"5 Source no.",$C2532,"4 Item Ledger Entry Type",$C$4,"2 Item No.","@@"&amp;$F2532,"3 Posting Date",J$9)</t>
  </si>
  <si>
    <t>=-NL("Sum","5802 Value Entry","151 Cost Amount (Expected)","41 Source Type",$C$5,"5 Source No.",$C2532,"4 Item Ledger Entry Type",$C$4,"2 Item No.","@@"&amp;$F2532,"3 Posting Date",J$9)-NL("Sum","5802 Value Entry","43 Cost Amount (Actual)","41 Source Type",$C$5,"5 Source no.",$C2532,"4 Item Ledger Entry Type",$C$4,"2 Item No.","@@"&amp;$F2532,"3 Posting Date",J$9)</t>
  </si>
  <si>
    <t>=J2532-L2532</t>
  </si>
  <si>
    <t>=IF(J2532&lt;&gt;0,M2532/J2532,"")</t>
  </si>
  <si>
    <t>=NL("Sum","5802 Value Entry","150 Sales Amount (Expected)","41 Source Type",$C$5,"5 Source No.",$C2532,"4 Item Ledger Entry Type",$C$4,"2 Item No.","@@"&amp;$F2532,"3 Posting Date",O$9)+NL("Sum","5802 Value Entry","17 Sales Amount (Actual)","41 Source Type",$C$5,"5 Source no.",$C2532,"4 Item Ledger Entry Type",$C$4,"2 Item No.","@@"&amp;$F2532,"3 Posting Date",O$9)</t>
  </si>
  <si>
    <t>=-NL("Sum","5802 Value Entry","151 Cost Amount (Expected)","41 Source Type",$C$5,"5 Source No.",$C2532,"4 Item Ledger Entry Type",$C$4,"2 Item No.","@@"&amp;$F2532,"3 Posting Date",O$9)-NL("Sum","5802 Value Entry","43 Cost Amount (Actual)","41 Source Type",$C$5,"5 Source no.",$C2532,"4 Item Ledger Entry Type",$C$4,"2 Item No.","@@"&amp;$F2532,"3 Posting Date",O$9)</t>
  </si>
  <si>
    <t>=O2532-Q2532</t>
  </si>
  <si>
    <t>=IF(O2532&lt;&gt;0,R2532/O2532,"")</t>
  </si>
  <si>
    <t>=NL("Sum","5802 Value Entry","150 Sales Amount (Expected)","41 Source Type",$C$5,"5 Source No.",$C2532,"4 Item Ledger Entry Type",$C$4,"2 Item No.","@@"&amp;$F2532,"3 Posting Date",U$9)+NL("Sum","5802 Value Entry","17 Sales Amount (Actual)","41 Source Type",$C$5,"5 Source no.",$C2532,"4 Item Ledger Entry Type",$C$4,"2 Item No.","@@"&amp;$F2532,"3 Posting Date",U$9)</t>
  </si>
  <si>
    <t>=-NL("Sum","5802 Value Entry","151 Cost Amount (Expected)","41 Source Type",$C$5,"5 Source No.",$C2532,"4 Item Ledger Entry Type",$C$4,"2 Item No.","@@"&amp;$F2532,"3 Posting Date",U$9)-NL("Sum","5802 Value Entry","43 Cost Amount (Actual)","41 Source Type",$C$5,"5 Source no.",$C2532,"4 Item Ledger Entry Type",$C$4,"2 Item No.","@@"&amp;$F2532,"3 Posting Date",U$9)</t>
  </si>
  <si>
    <t>=U2532-W2532</t>
  </si>
  <si>
    <t>=IF(U2532&lt;&gt;0,X2532/U2532,"")</t>
  </si>
  <si>
    <t>=NL("Sum","5802 Value Entry","150 Sales Amount (Expected)","41 Source Type",$C$5,"5 Source No.",$C2532,"4 Item Ledger Entry Type",$C$4,"2 Item No.","@@"&amp;$F2532,"3 Posting Date",Z$9)+NL("Sum","5802 Value Entry","17 Sales Amount (Actual)","41 Source Type",$C$5,"5 Source no.",$C2532,"4 Item Ledger Entry Type",$C$4,"2 Item No.","@@"&amp;$F2532,"3 Posting Date",Z$9)</t>
  </si>
  <si>
    <t>=-NL("Sum","5802 Value Entry","151 Cost Amount (Expected)","41 Source Type",$C$5,"5 Source No.",$C2532,"4 Item Ledger Entry Type",$C$4,"2 Item No.","@@"&amp;$F2532,"3 Posting Date",Z$9)-NL("Sum","5802 Value Entry","43 Cost Amount (Actual)","41 Source Type",$C$5,"5 Source no.",$C2532,"4 Item Ledger Entry Type",$C$4,"2 Item No.","@@"&amp;$F2532,"3 Posting Date",Z$9)</t>
  </si>
  <si>
    <t>=Z2532-AB2532</t>
  </si>
  <si>
    <t>=IF(Z2532&lt;&gt;0,AC2532/Z2532,"")</t>
  </si>
  <si>
    <t>=C2532</t>
  </si>
  <si>
    <t>=NL("Sum","5802 Value Entry","150 Sales Amount (Expected)","41 Source Type",$C$5,"5 Source No.",$C2533,"4 Item Ledger Entry Type",$C$4,"2 Item No.","@@"&amp;$F2533,"3 Posting Date",J$9)+NL("Sum","5802 Value Entry","17 Sales Amount (Actual)","41 Source Type",$C$5,"5 Source no.",$C2533,"4 Item Ledger Entry Type",$C$4,"2 Item No.","@@"&amp;$F2533,"3 Posting Date",J$9)</t>
  </si>
  <si>
    <t>=-NL("Sum","5802 Value Entry","151 Cost Amount (Expected)","41 Source Type",$C$5,"5 Source No.",$C2533,"4 Item Ledger Entry Type",$C$4,"2 Item No.","@@"&amp;$F2533,"3 Posting Date",J$9)-NL("Sum","5802 Value Entry","43 Cost Amount (Actual)","41 Source Type",$C$5,"5 Source no.",$C2533,"4 Item Ledger Entry Type",$C$4,"2 Item No.","@@"&amp;$F2533,"3 Posting Date",J$9)</t>
  </si>
  <si>
    <t>=J2533-L2533</t>
  </si>
  <si>
    <t>=IF(J2533&lt;&gt;0,M2533/J2533,"")</t>
  </si>
  <si>
    <t>=NL("Sum","5802 Value Entry","150 Sales Amount (Expected)","41 Source Type",$C$5,"5 Source No.",$C2533,"4 Item Ledger Entry Type",$C$4,"2 Item No.","@@"&amp;$F2533,"3 Posting Date",O$9)+NL("Sum","5802 Value Entry","17 Sales Amount (Actual)","41 Source Type",$C$5,"5 Source no.",$C2533,"4 Item Ledger Entry Type",$C$4,"2 Item No.","@@"&amp;$F2533,"3 Posting Date",O$9)</t>
  </si>
  <si>
    <t>=-NL("Sum","5802 Value Entry","151 Cost Amount (Expected)","41 Source Type",$C$5,"5 Source No.",$C2533,"4 Item Ledger Entry Type",$C$4,"2 Item No.","@@"&amp;$F2533,"3 Posting Date",O$9)-NL("Sum","5802 Value Entry","43 Cost Amount (Actual)","41 Source Type",$C$5,"5 Source no.",$C2533,"4 Item Ledger Entry Type",$C$4,"2 Item No.","@@"&amp;$F2533,"3 Posting Date",O$9)</t>
  </si>
  <si>
    <t>=O2533-Q2533</t>
  </si>
  <si>
    <t>=IF(O2533&lt;&gt;0,R2533/O2533,"")</t>
  </si>
  <si>
    <t>=NL("Sum","5802 Value Entry","150 Sales Amount (Expected)","41 Source Type",$C$5,"5 Source No.",$C2533,"4 Item Ledger Entry Type",$C$4,"2 Item No.","@@"&amp;$F2533,"3 Posting Date",U$9)+NL("Sum","5802 Value Entry","17 Sales Amount (Actual)","41 Source Type",$C$5,"5 Source no.",$C2533,"4 Item Ledger Entry Type",$C$4,"2 Item No.","@@"&amp;$F2533,"3 Posting Date",U$9)</t>
  </si>
  <si>
    <t>=-NL("Sum","5802 Value Entry","151 Cost Amount (Expected)","41 Source Type",$C$5,"5 Source No.",$C2533,"4 Item Ledger Entry Type",$C$4,"2 Item No.","@@"&amp;$F2533,"3 Posting Date",U$9)-NL("Sum","5802 Value Entry","43 Cost Amount (Actual)","41 Source Type",$C$5,"5 Source no.",$C2533,"4 Item Ledger Entry Type",$C$4,"2 Item No.","@@"&amp;$F2533,"3 Posting Date",U$9)</t>
  </si>
  <si>
    <t>=U2533-W2533</t>
  </si>
  <si>
    <t>=IF(U2533&lt;&gt;0,X2533/U2533,"")</t>
  </si>
  <si>
    <t>=NL("Sum","5802 Value Entry","150 Sales Amount (Expected)","41 Source Type",$C$5,"5 Source No.",$C2533,"4 Item Ledger Entry Type",$C$4,"2 Item No.","@@"&amp;$F2533,"3 Posting Date",Z$9)+NL("Sum","5802 Value Entry","17 Sales Amount (Actual)","41 Source Type",$C$5,"5 Source no.",$C2533,"4 Item Ledger Entry Type",$C$4,"2 Item No.","@@"&amp;$F2533,"3 Posting Date",Z$9)</t>
  </si>
  <si>
    <t>=-NL("Sum","5802 Value Entry","151 Cost Amount (Expected)","41 Source Type",$C$5,"5 Source No.",$C2533,"4 Item Ledger Entry Type",$C$4,"2 Item No.","@@"&amp;$F2533,"3 Posting Date",Z$9)-NL("Sum","5802 Value Entry","43 Cost Amount (Actual)","41 Source Type",$C$5,"5 Source no.",$C2533,"4 Item Ledger Entry Type",$C$4,"2 Item No.","@@"&amp;$F2533,"3 Posting Date",Z$9)</t>
  </si>
  <si>
    <t>=Z2533-AB2533</t>
  </si>
  <si>
    <t>=IF(Z2533&lt;&gt;0,AC2533/Z2533,"")</t>
  </si>
  <si>
    <t>=C2533</t>
  </si>
  <si>
    <t>=NL("Sum","5802 Value Entry","150 Sales Amount (Expected)","41 Source Type",$C$5,"5 Source No.",$C2534,"4 Item Ledger Entry Type",$C$4,"2 Item No.","@@"&amp;$F2534,"3 Posting Date",J$9)+NL("Sum","5802 Value Entry","17 Sales Amount (Actual)","41 Source Type",$C$5,"5 Source no.",$C2534,"4 Item Ledger Entry Type",$C$4,"2 Item No.","@@"&amp;$F2534,"3 Posting Date",J$9)</t>
  </si>
  <si>
    <t>=-NL("Sum","5802 Value Entry","151 Cost Amount (Expected)","41 Source Type",$C$5,"5 Source No.",$C2534,"4 Item Ledger Entry Type",$C$4,"2 Item No.","@@"&amp;$F2534,"3 Posting Date",J$9)-NL("Sum","5802 Value Entry","43 Cost Amount (Actual)","41 Source Type",$C$5,"5 Source no.",$C2534,"4 Item Ledger Entry Type",$C$4,"2 Item No.","@@"&amp;$F2534,"3 Posting Date",J$9)</t>
  </si>
  <si>
    <t>=J2534-L2534</t>
  </si>
  <si>
    <t>=IF(J2534&lt;&gt;0,M2534/J2534,"")</t>
  </si>
  <si>
    <t>=NL("Sum","5802 Value Entry","150 Sales Amount (Expected)","41 Source Type",$C$5,"5 Source No.",$C2534,"4 Item Ledger Entry Type",$C$4,"2 Item No.","@@"&amp;$F2534,"3 Posting Date",O$9)+NL("Sum","5802 Value Entry","17 Sales Amount (Actual)","41 Source Type",$C$5,"5 Source no.",$C2534,"4 Item Ledger Entry Type",$C$4,"2 Item No.","@@"&amp;$F2534,"3 Posting Date",O$9)</t>
  </si>
  <si>
    <t>=-NL("Sum","5802 Value Entry","151 Cost Amount (Expected)","41 Source Type",$C$5,"5 Source No.",$C2534,"4 Item Ledger Entry Type",$C$4,"2 Item No.","@@"&amp;$F2534,"3 Posting Date",O$9)-NL("Sum","5802 Value Entry","43 Cost Amount (Actual)","41 Source Type",$C$5,"5 Source no.",$C2534,"4 Item Ledger Entry Type",$C$4,"2 Item No.","@@"&amp;$F2534,"3 Posting Date",O$9)</t>
  </si>
  <si>
    <t>=O2534-Q2534</t>
  </si>
  <si>
    <t>=IF(O2534&lt;&gt;0,R2534/O2534,"")</t>
  </si>
  <si>
    <t>=NL("Sum","5802 Value Entry","150 Sales Amount (Expected)","41 Source Type",$C$5,"5 Source No.",$C2534,"4 Item Ledger Entry Type",$C$4,"2 Item No.","@@"&amp;$F2534,"3 Posting Date",U$9)+NL("Sum","5802 Value Entry","17 Sales Amount (Actual)","41 Source Type",$C$5,"5 Source no.",$C2534,"4 Item Ledger Entry Type",$C$4,"2 Item No.","@@"&amp;$F2534,"3 Posting Date",U$9)</t>
  </si>
  <si>
    <t>=-NL("Sum","5802 Value Entry","151 Cost Amount (Expected)","41 Source Type",$C$5,"5 Source No.",$C2534,"4 Item Ledger Entry Type",$C$4,"2 Item No.","@@"&amp;$F2534,"3 Posting Date",U$9)-NL("Sum","5802 Value Entry","43 Cost Amount (Actual)","41 Source Type",$C$5,"5 Source no.",$C2534,"4 Item Ledger Entry Type",$C$4,"2 Item No.","@@"&amp;$F2534,"3 Posting Date",U$9)</t>
  </si>
  <si>
    <t>=U2534-W2534</t>
  </si>
  <si>
    <t>=IF(U2534&lt;&gt;0,X2534/U2534,"")</t>
  </si>
  <si>
    <t>=NL("Sum","5802 Value Entry","150 Sales Amount (Expected)","41 Source Type",$C$5,"5 Source No.",$C2534,"4 Item Ledger Entry Type",$C$4,"2 Item No.","@@"&amp;$F2534,"3 Posting Date",Z$9)+NL("Sum","5802 Value Entry","17 Sales Amount (Actual)","41 Source Type",$C$5,"5 Source no.",$C2534,"4 Item Ledger Entry Type",$C$4,"2 Item No.","@@"&amp;$F2534,"3 Posting Date",Z$9)</t>
  </si>
  <si>
    <t>=-NL("Sum","5802 Value Entry","151 Cost Amount (Expected)","41 Source Type",$C$5,"5 Source No.",$C2534,"4 Item Ledger Entry Type",$C$4,"2 Item No.","@@"&amp;$F2534,"3 Posting Date",Z$9)-NL("Sum","5802 Value Entry","43 Cost Amount (Actual)","41 Source Type",$C$5,"5 Source no.",$C2534,"4 Item Ledger Entry Type",$C$4,"2 Item No.","@@"&amp;$F2534,"3 Posting Date",Z$9)</t>
  </si>
  <si>
    <t>=Z2534-AB2534</t>
  </si>
  <si>
    <t>=IF(Z2534&lt;&gt;0,AC2534/Z2534,"")</t>
  </si>
  <si>
    <t>=C2534</t>
  </si>
  <si>
    <t>=NL("Sum","5802 Value Entry","150 Sales Amount (Expected)","41 Source Type",$C$5,"5 Source No.",$C2535,"4 Item Ledger Entry Type",$C$4,"2 Item No.","@@"&amp;$F2535,"3 Posting Date",J$9)+NL("Sum","5802 Value Entry","17 Sales Amount (Actual)","41 Source Type",$C$5,"5 Source no.",$C2535,"4 Item Ledger Entry Type",$C$4,"2 Item No.","@@"&amp;$F2535,"3 Posting Date",J$9)</t>
  </si>
  <si>
    <t>=-NL("Sum","5802 Value Entry","151 Cost Amount (Expected)","41 Source Type",$C$5,"5 Source No.",$C2535,"4 Item Ledger Entry Type",$C$4,"2 Item No.","@@"&amp;$F2535,"3 Posting Date",J$9)-NL("Sum","5802 Value Entry","43 Cost Amount (Actual)","41 Source Type",$C$5,"5 Source no.",$C2535,"4 Item Ledger Entry Type",$C$4,"2 Item No.","@@"&amp;$F2535,"3 Posting Date",J$9)</t>
  </si>
  <si>
    <t>=J2535-L2535</t>
  </si>
  <si>
    <t>=IF(J2535&lt;&gt;0,M2535/J2535,"")</t>
  </si>
  <si>
    <t>=NL("Sum","5802 Value Entry","150 Sales Amount (Expected)","41 Source Type",$C$5,"5 Source No.",$C2535,"4 Item Ledger Entry Type",$C$4,"2 Item No.","@@"&amp;$F2535,"3 Posting Date",O$9)+NL("Sum","5802 Value Entry","17 Sales Amount (Actual)","41 Source Type",$C$5,"5 Source no.",$C2535,"4 Item Ledger Entry Type",$C$4,"2 Item No.","@@"&amp;$F2535,"3 Posting Date",O$9)</t>
  </si>
  <si>
    <t>=-NL("Sum","5802 Value Entry","151 Cost Amount (Expected)","41 Source Type",$C$5,"5 Source No.",$C2535,"4 Item Ledger Entry Type",$C$4,"2 Item No.","@@"&amp;$F2535,"3 Posting Date",O$9)-NL("Sum","5802 Value Entry","43 Cost Amount (Actual)","41 Source Type",$C$5,"5 Source no.",$C2535,"4 Item Ledger Entry Type",$C$4,"2 Item No.","@@"&amp;$F2535,"3 Posting Date",O$9)</t>
  </si>
  <si>
    <t>=O2535-Q2535</t>
  </si>
  <si>
    <t>=IF(O2535&lt;&gt;0,R2535/O2535,"")</t>
  </si>
  <si>
    <t>=NL("Sum","5802 Value Entry","150 Sales Amount (Expected)","41 Source Type",$C$5,"5 Source No.",$C2535,"4 Item Ledger Entry Type",$C$4,"2 Item No.","@@"&amp;$F2535,"3 Posting Date",U$9)+NL("Sum","5802 Value Entry","17 Sales Amount (Actual)","41 Source Type",$C$5,"5 Source no.",$C2535,"4 Item Ledger Entry Type",$C$4,"2 Item No.","@@"&amp;$F2535,"3 Posting Date",U$9)</t>
  </si>
  <si>
    <t>=-NL("Sum","5802 Value Entry","151 Cost Amount (Expected)","41 Source Type",$C$5,"5 Source No.",$C2535,"4 Item Ledger Entry Type",$C$4,"2 Item No.","@@"&amp;$F2535,"3 Posting Date",U$9)-NL("Sum","5802 Value Entry","43 Cost Amount (Actual)","41 Source Type",$C$5,"5 Source no.",$C2535,"4 Item Ledger Entry Type",$C$4,"2 Item No.","@@"&amp;$F2535,"3 Posting Date",U$9)</t>
  </si>
  <si>
    <t>=U2535-W2535</t>
  </si>
  <si>
    <t>=IF(U2535&lt;&gt;0,X2535/U2535,"")</t>
  </si>
  <si>
    <t>=NL("Sum","5802 Value Entry","150 Sales Amount (Expected)","41 Source Type",$C$5,"5 Source No.",$C2535,"4 Item Ledger Entry Type",$C$4,"2 Item No.","@@"&amp;$F2535,"3 Posting Date",Z$9)+NL("Sum","5802 Value Entry","17 Sales Amount (Actual)","41 Source Type",$C$5,"5 Source no.",$C2535,"4 Item Ledger Entry Type",$C$4,"2 Item No.","@@"&amp;$F2535,"3 Posting Date",Z$9)</t>
  </si>
  <si>
    <t>=-NL("Sum","5802 Value Entry","151 Cost Amount (Expected)","41 Source Type",$C$5,"5 Source No.",$C2535,"4 Item Ledger Entry Type",$C$4,"2 Item No.","@@"&amp;$F2535,"3 Posting Date",Z$9)-NL("Sum","5802 Value Entry","43 Cost Amount (Actual)","41 Source Type",$C$5,"5 Source no.",$C2535,"4 Item Ledger Entry Type",$C$4,"2 Item No.","@@"&amp;$F2535,"3 Posting Date",Z$9)</t>
  </si>
  <si>
    <t>=Z2535-AB2535</t>
  </si>
  <si>
    <t>=IF(Z2535&lt;&gt;0,AC2535/Z2535,"")</t>
  </si>
  <si>
    <t>=C2535</t>
  </si>
  <si>
    <t>=NL("Sum","5802 Value Entry","150 Sales Amount (Expected)","41 Source Type",$C$5,"5 Source No.",$C2536,"4 Item Ledger Entry Type",$C$4,"2 Item No.","@@"&amp;$F2536,"3 Posting Date",J$9)+NL("Sum","5802 Value Entry","17 Sales Amount (Actual)","41 Source Type",$C$5,"5 Source no.",$C2536,"4 Item Ledger Entry Type",$C$4,"2 Item No.","@@"&amp;$F2536,"3 Posting Date",J$9)</t>
  </si>
  <si>
    <t>=-NL("Sum","5802 Value Entry","151 Cost Amount (Expected)","41 Source Type",$C$5,"5 Source No.",$C2536,"4 Item Ledger Entry Type",$C$4,"2 Item No.","@@"&amp;$F2536,"3 Posting Date",J$9)-NL("Sum","5802 Value Entry","43 Cost Amount (Actual)","41 Source Type",$C$5,"5 Source no.",$C2536,"4 Item Ledger Entry Type",$C$4,"2 Item No.","@@"&amp;$F2536,"3 Posting Date",J$9)</t>
  </si>
  <si>
    <t>=J2536-L2536</t>
  </si>
  <si>
    <t>=IF(J2536&lt;&gt;0,M2536/J2536,"")</t>
  </si>
  <si>
    <t>=NL("Sum","5802 Value Entry","150 Sales Amount (Expected)","41 Source Type",$C$5,"5 Source No.",$C2536,"4 Item Ledger Entry Type",$C$4,"2 Item No.","@@"&amp;$F2536,"3 Posting Date",O$9)+NL("Sum","5802 Value Entry","17 Sales Amount (Actual)","41 Source Type",$C$5,"5 Source no.",$C2536,"4 Item Ledger Entry Type",$C$4,"2 Item No.","@@"&amp;$F2536,"3 Posting Date",O$9)</t>
  </si>
  <si>
    <t>=-NL("Sum","5802 Value Entry","151 Cost Amount (Expected)","41 Source Type",$C$5,"5 Source No.",$C2536,"4 Item Ledger Entry Type",$C$4,"2 Item No.","@@"&amp;$F2536,"3 Posting Date",O$9)-NL("Sum","5802 Value Entry","43 Cost Amount (Actual)","41 Source Type",$C$5,"5 Source no.",$C2536,"4 Item Ledger Entry Type",$C$4,"2 Item No.","@@"&amp;$F2536,"3 Posting Date",O$9)</t>
  </si>
  <si>
    <t>=O2536-Q2536</t>
  </si>
  <si>
    <t>=IF(O2536&lt;&gt;0,R2536/O2536,"")</t>
  </si>
  <si>
    <t>=NL("Sum","5802 Value Entry","150 Sales Amount (Expected)","41 Source Type",$C$5,"5 Source No.",$C2536,"4 Item Ledger Entry Type",$C$4,"2 Item No.","@@"&amp;$F2536,"3 Posting Date",U$9)+NL("Sum","5802 Value Entry","17 Sales Amount (Actual)","41 Source Type",$C$5,"5 Source no.",$C2536,"4 Item Ledger Entry Type",$C$4,"2 Item No.","@@"&amp;$F2536,"3 Posting Date",U$9)</t>
  </si>
  <si>
    <t>=-NL("Sum","5802 Value Entry","151 Cost Amount (Expected)","41 Source Type",$C$5,"5 Source No.",$C2536,"4 Item Ledger Entry Type",$C$4,"2 Item No.","@@"&amp;$F2536,"3 Posting Date",U$9)-NL("Sum","5802 Value Entry","43 Cost Amount (Actual)","41 Source Type",$C$5,"5 Source no.",$C2536,"4 Item Ledger Entry Type",$C$4,"2 Item No.","@@"&amp;$F2536,"3 Posting Date",U$9)</t>
  </si>
  <si>
    <t>=U2536-W2536</t>
  </si>
  <si>
    <t>=IF(U2536&lt;&gt;0,X2536/U2536,"")</t>
  </si>
  <si>
    <t>=NL("Sum","5802 Value Entry","150 Sales Amount (Expected)","41 Source Type",$C$5,"5 Source No.",$C2536,"4 Item Ledger Entry Type",$C$4,"2 Item No.","@@"&amp;$F2536,"3 Posting Date",Z$9)+NL("Sum","5802 Value Entry","17 Sales Amount (Actual)","41 Source Type",$C$5,"5 Source no.",$C2536,"4 Item Ledger Entry Type",$C$4,"2 Item No.","@@"&amp;$F2536,"3 Posting Date",Z$9)</t>
  </si>
  <si>
    <t>=-NL("Sum","5802 Value Entry","151 Cost Amount (Expected)","41 Source Type",$C$5,"5 Source No.",$C2536,"4 Item Ledger Entry Type",$C$4,"2 Item No.","@@"&amp;$F2536,"3 Posting Date",Z$9)-NL("Sum","5802 Value Entry","43 Cost Amount (Actual)","41 Source Type",$C$5,"5 Source no.",$C2536,"4 Item Ledger Entry Type",$C$4,"2 Item No.","@@"&amp;$F2536,"3 Posting Date",Z$9)</t>
  </si>
  <si>
    <t>=Z2536-AB2536</t>
  </si>
  <si>
    <t>=IF(Z2536&lt;&gt;0,AC2536/Z2536,"")</t>
  </si>
  <si>
    <t>=C2536</t>
  </si>
  <si>
    <t>=NL("Sum","5802 Value Entry","150 Sales Amount (Expected)","41 Source Type",$C$5,"5 Source No.",$C2537,"4 Item Ledger Entry Type",$C$4,"2 Item No.","@@"&amp;$F2537,"3 Posting Date",J$9)+NL("Sum","5802 Value Entry","17 Sales Amount (Actual)","41 Source Type",$C$5,"5 Source no.",$C2537,"4 Item Ledger Entry Type",$C$4,"2 Item No.","@@"&amp;$F2537,"3 Posting Date",J$9)</t>
  </si>
  <si>
    <t>=-NL("Sum","5802 Value Entry","151 Cost Amount (Expected)","41 Source Type",$C$5,"5 Source No.",$C2537,"4 Item Ledger Entry Type",$C$4,"2 Item No.","@@"&amp;$F2537,"3 Posting Date",J$9)-NL("Sum","5802 Value Entry","43 Cost Amount (Actual)","41 Source Type",$C$5,"5 Source no.",$C2537,"4 Item Ledger Entry Type",$C$4,"2 Item No.","@@"&amp;$F2537,"3 Posting Date",J$9)</t>
  </si>
  <si>
    <t>=J2537-L2537</t>
  </si>
  <si>
    <t>=IF(J2537&lt;&gt;0,M2537/J2537,"")</t>
  </si>
  <si>
    <t>=NL("Sum","5802 Value Entry","150 Sales Amount (Expected)","41 Source Type",$C$5,"5 Source No.",$C2537,"4 Item Ledger Entry Type",$C$4,"2 Item No.","@@"&amp;$F2537,"3 Posting Date",O$9)+NL("Sum","5802 Value Entry","17 Sales Amount (Actual)","41 Source Type",$C$5,"5 Source no.",$C2537,"4 Item Ledger Entry Type",$C$4,"2 Item No.","@@"&amp;$F2537,"3 Posting Date",O$9)</t>
  </si>
  <si>
    <t>=-NL("Sum","5802 Value Entry","151 Cost Amount (Expected)","41 Source Type",$C$5,"5 Source No.",$C2537,"4 Item Ledger Entry Type",$C$4,"2 Item No.","@@"&amp;$F2537,"3 Posting Date",O$9)-NL("Sum","5802 Value Entry","43 Cost Amount (Actual)","41 Source Type",$C$5,"5 Source no.",$C2537,"4 Item Ledger Entry Type",$C$4,"2 Item No.","@@"&amp;$F2537,"3 Posting Date",O$9)</t>
  </si>
  <si>
    <t>=O2537-Q2537</t>
  </si>
  <si>
    <t>=IF(O2537&lt;&gt;0,R2537/O2537,"")</t>
  </si>
  <si>
    <t>=NL("Sum","5802 Value Entry","150 Sales Amount (Expected)","41 Source Type",$C$5,"5 Source No.",$C2537,"4 Item Ledger Entry Type",$C$4,"2 Item No.","@@"&amp;$F2537,"3 Posting Date",U$9)+NL("Sum","5802 Value Entry","17 Sales Amount (Actual)","41 Source Type",$C$5,"5 Source no.",$C2537,"4 Item Ledger Entry Type",$C$4,"2 Item No.","@@"&amp;$F2537,"3 Posting Date",U$9)</t>
  </si>
  <si>
    <t>=-NL("Sum","5802 Value Entry","151 Cost Amount (Expected)","41 Source Type",$C$5,"5 Source No.",$C2537,"4 Item Ledger Entry Type",$C$4,"2 Item No.","@@"&amp;$F2537,"3 Posting Date",U$9)-NL("Sum","5802 Value Entry","43 Cost Amount (Actual)","41 Source Type",$C$5,"5 Source no.",$C2537,"4 Item Ledger Entry Type",$C$4,"2 Item No.","@@"&amp;$F2537,"3 Posting Date",U$9)</t>
  </si>
  <si>
    <t>=U2537-W2537</t>
  </si>
  <si>
    <t>=IF(U2537&lt;&gt;0,X2537/U2537,"")</t>
  </si>
  <si>
    <t>=NL("Sum","5802 Value Entry","150 Sales Amount (Expected)","41 Source Type",$C$5,"5 Source No.",$C2537,"4 Item Ledger Entry Type",$C$4,"2 Item No.","@@"&amp;$F2537,"3 Posting Date",Z$9)+NL("Sum","5802 Value Entry","17 Sales Amount (Actual)","41 Source Type",$C$5,"5 Source no.",$C2537,"4 Item Ledger Entry Type",$C$4,"2 Item No.","@@"&amp;$F2537,"3 Posting Date",Z$9)</t>
  </si>
  <si>
    <t>=-NL("Sum","5802 Value Entry","151 Cost Amount (Expected)","41 Source Type",$C$5,"5 Source No.",$C2537,"4 Item Ledger Entry Type",$C$4,"2 Item No.","@@"&amp;$F2537,"3 Posting Date",Z$9)-NL("Sum","5802 Value Entry","43 Cost Amount (Actual)","41 Source Type",$C$5,"5 Source no.",$C2537,"4 Item Ledger Entry Type",$C$4,"2 Item No.","@@"&amp;$F2537,"3 Posting Date",Z$9)</t>
  </si>
  <si>
    <t>=Z2537-AB2537</t>
  </si>
  <si>
    <t>=IF(Z2537&lt;&gt;0,AC2537/Z2537,"")</t>
  </si>
  <si>
    <t>=C2537</t>
  </si>
  <si>
    <t>=NL("Sum","5802 Value Entry","150 Sales Amount (Expected)","41 Source Type",$C$5,"5 Source No.",$C2538,"4 Item Ledger Entry Type",$C$4,"2 Item No.","@@"&amp;$F2538,"3 Posting Date",J$9)+NL("Sum","5802 Value Entry","17 Sales Amount (Actual)","41 Source Type",$C$5,"5 Source no.",$C2538,"4 Item Ledger Entry Type",$C$4,"2 Item No.","@@"&amp;$F2538,"3 Posting Date",J$9)</t>
  </si>
  <si>
    <t>=-NL("Sum","5802 Value Entry","151 Cost Amount (Expected)","41 Source Type",$C$5,"5 Source No.",$C2538,"4 Item Ledger Entry Type",$C$4,"2 Item No.","@@"&amp;$F2538,"3 Posting Date",J$9)-NL("Sum","5802 Value Entry","43 Cost Amount (Actual)","41 Source Type",$C$5,"5 Source no.",$C2538,"4 Item Ledger Entry Type",$C$4,"2 Item No.","@@"&amp;$F2538,"3 Posting Date",J$9)</t>
  </si>
  <si>
    <t>=J2538-L2538</t>
  </si>
  <si>
    <t>=IF(J2538&lt;&gt;0,M2538/J2538,"")</t>
  </si>
  <si>
    <t>=NL("Sum","5802 Value Entry","150 Sales Amount (Expected)","41 Source Type",$C$5,"5 Source No.",$C2538,"4 Item Ledger Entry Type",$C$4,"2 Item No.","@@"&amp;$F2538,"3 Posting Date",O$9)+NL("Sum","5802 Value Entry","17 Sales Amount (Actual)","41 Source Type",$C$5,"5 Source no.",$C2538,"4 Item Ledger Entry Type",$C$4,"2 Item No.","@@"&amp;$F2538,"3 Posting Date",O$9)</t>
  </si>
  <si>
    <t>=-NL("Sum","5802 Value Entry","151 Cost Amount (Expected)","41 Source Type",$C$5,"5 Source No.",$C2538,"4 Item Ledger Entry Type",$C$4,"2 Item No.","@@"&amp;$F2538,"3 Posting Date",O$9)-NL("Sum","5802 Value Entry","43 Cost Amount (Actual)","41 Source Type",$C$5,"5 Source no.",$C2538,"4 Item Ledger Entry Type",$C$4,"2 Item No.","@@"&amp;$F2538,"3 Posting Date",O$9)</t>
  </si>
  <si>
    <t>=O2538-Q2538</t>
  </si>
  <si>
    <t>=IF(O2538&lt;&gt;0,R2538/O2538,"")</t>
  </si>
  <si>
    <t>=NL("Sum","5802 Value Entry","150 Sales Amount (Expected)","41 Source Type",$C$5,"5 Source No.",$C2538,"4 Item Ledger Entry Type",$C$4,"2 Item No.","@@"&amp;$F2538,"3 Posting Date",U$9)+NL("Sum","5802 Value Entry","17 Sales Amount (Actual)","41 Source Type",$C$5,"5 Source no.",$C2538,"4 Item Ledger Entry Type",$C$4,"2 Item No.","@@"&amp;$F2538,"3 Posting Date",U$9)</t>
  </si>
  <si>
    <t>=-NL("Sum","5802 Value Entry","151 Cost Amount (Expected)","41 Source Type",$C$5,"5 Source No.",$C2538,"4 Item Ledger Entry Type",$C$4,"2 Item No.","@@"&amp;$F2538,"3 Posting Date",U$9)-NL("Sum","5802 Value Entry","43 Cost Amount (Actual)","41 Source Type",$C$5,"5 Source no.",$C2538,"4 Item Ledger Entry Type",$C$4,"2 Item No.","@@"&amp;$F2538,"3 Posting Date",U$9)</t>
  </si>
  <si>
    <t>=U2538-W2538</t>
  </si>
  <si>
    <t>=IF(U2538&lt;&gt;0,X2538/U2538,"")</t>
  </si>
  <si>
    <t>=NL("Sum","5802 Value Entry","150 Sales Amount (Expected)","41 Source Type",$C$5,"5 Source No.",$C2538,"4 Item Ledger Entry Type",$C$4,"2 Item No.","@@"&amp;$F2538,"3 Posting Date",Z$9)+NL("Sum","5802 Value Entry","17 Sales Amount (Actual)","41 Source Type",$C$5,"5 Source no.",$C2538,"4 Item Ledger Entry Type",$C$4,"2 Item No.","@@"&amp;$F2538,"3 Posting Date",Z$9)</t>
  </si>
  <si>
    <t>=-NL("Sum","5802 Value Entry","151 Cost Amount (Expected)","41 Source Type",$C$5,"5 Source No.",$C2538,"4 Item Ledger Entry Type",$C$4,"2 Item No.","@@"&amp;$F2538,"3 Posting Date",Z$9)-NL("Sum","5802 Value Entry","43 Cost Amount (Actual)","41 Source Type",$C$5,"5 Source no.",$C2538,"4 Item Ledger Entry Type",$C$4,"2 Item No.","@@"&amp;$F2538,"3 Posting Date",Z$9)</t>
  </si>
  <si>
    <t>=Z2538-AB2538</t>
  </si>
  <si>
    <t>=IF(Z2538&lt;&gt;0,AC2538/Z2538,"")</t>
  </si>
  <si>
    <t>=C2538</t>
  </si>
  <si>
    <t>=NL("Sum","5802 Value Entry","150 Sales Amount (Expected)","41 Source Type",$C$5,"5 Source No.",$C2539,"4 Item Ledger Entry Type",$C$4,"2 Item No.","@@"&amp;$F2539,"3 Posting Date",J$9)+NL("Sum","5802 Value Entry","17 Sales Amount (Actual)","41 Source Type",$C$5,"5 Source no.",$C2539,"4 Item Ledger Entry Type",$C$4,"2 Item No.","@@"&amp;$F2539,"3 Posting Date",J$9)</t>
  </si>
  <si>
    <t>=-NL("Sum","5802 Value Entry","151 Cost Amount (Expected)","41 Source Type",$C$5,"5 Source No.",$C2539,"4 Item Ledger Entry Type",$C$4,"2 Item No.","@@"&amp;$F2539,"3 Posting Date",J$9)-NL("Sum","5802 Value Entry","43 Cost Amount (Actual)","41 Source Type",$C$5,"5 Source no.",$C2539,"4 Item Ledger Entry Type",$C$4,"2 Item No.","@@"&amp;$F2539,"3 Posting Date",J$9)</t>
  </si>
  <si>
    <t>=J2539-L2539</t>
  </si>
  <si>
    <t>=IF(J2539&lt;&gt;0,M2539/J2539,"")</t>
  </si>
  <si>
    <t>=NL("Sum","5802 Value Entry","150 Sales Amount (Expected)","41 Source Type",$C$5,"5 Source No.",$C2539,"4 Item Ledger Entry Type",$C$4,"2 Item No.","@@"&amp;$F2539,"3 Posting Date",O$9)+NL("Sum","5802 Value Entry","17 Sales Amount (Actual)","41 Source Type",$C$5,"5 Source no.",$C2539,"4 Item Ledger Entry Type",$C$4,"2 Item No.","@@"&amp;$F2539,"3 Posting Date",O$9)</t>
  </si>
  <si>
    <t>=-NL("Sum","5802 Value Entry","151 Cost Amount (Expected)","41 Source Type",$C$5,"5 Source No.",$C2539,"4 Item Ledger Entry Type",$C$4,"2 Item No.","@@"&amp;$F2539,"3 Posting Date",O$9)-NL("Sum","5802 Value Entry","43 Cost Amount (Actual)","41 Source Type",$C$5,"5 Source no.",$C2539,"4 Item Ledger Entry Type",$C$4,"2 Item No.","@@"&amp;$F2539,"3 Posting Date",O$9)</t>
  </si>
  <si>
    <t>=O2539-Q2539</t>
  </si>
  <si>
    <t>=IF(O2539&lt;&gt;0,R2539/O2539,"")</t>
  </si>
  <si>
    <t>=NL("Sum","5802 Value Entry","150 Sales Amount (Expected)","41 Source Type",$C$5,"5 Source No.",$C2539,"4 Item Ledger Entry Type",$C$4,"2 Item No.","@@"&amp;$F2539,"3 Posting Date",U$9)+NL("Sum","5802 Value Entry","17 Sales Amount (Actual)","41 Source Type",$C$5,"5 Source no.",$C2539,"4 Item Ledger Entry Type",$C$4,"2 Item No.","@@"&amp;$F2539,"3 Posting Date",U$9)</t>
  </si>
  <si>
    <t>=-NL("Sum","5802 Value Entry","151 Cost Amount (Expected)","41 Source Type",$C$5,"5 Source No.",$C2539,"4 Item Ledger Entry Type",$C$4,"2 Item No.","@@"&amp;$F2539,"3 Posting Date",U$9)-NL("Sum","5802 Value Entry","43 Cost Amount (Actual)","41 Source Type",$C$5,"5 Source no.",$C2539,"4 Item Ledger Entry Type",$C$4,"2 Item No.","@@"&amp;$F2539,"3 Posting Date",U$9)</t>
  </si>
  <si>
    <t>=U2539-W2539</t>
  </si>
  <si>
    <t>=IF(U2539&lt;&gt;0,X2539/U2539,"")</t>
  </si>
  <si>
    <t>=NL("Sum","5802 Value Entry","150 Sales Amount (Expected)","41 Source Type",$C$5,"5 Source No.",$C2539,"4 Item Ledger Entry Type",$C$4,"2 Item No.","@@"&amp;$F2539,"3 Posting Date",Z$9)+NL("Sum","5802 Value Entry","17 Sales Amount (Actual)","41 Source Type",$C$5,"5 Source no.",$C2539,"4 Item Ledger Entry Type",$C$4,"2 Item No.","@@"&amp;$F2539,"3 Posting Date",Z$9)</t>
  </si>
  <si>
    <t>=-NL("Sum","5802 Value Entry","151 Cost Amount (Expected)","41 Source Type",$C$5,"5 Source No.",$C2539,"4 Item Ledger Entry Type",$C$4,"2 Item No.","@@"&amp;$F2539,"3 Posting Date",Z$9)-NL("Sum","5802 Value Entry","43 Cost Amount (Actual)","41 Source Type",$C$5,"5 Source no.",$C2539,"4 Item Ledger Entry Type",$C$4,"2 Item No.","@@"&amp;$F2539,"3 Posting Date",Z$9)</t>
  </si>
  <si>
    <t>=Z2539-AB2539</t>
  </si>
  <si>
    <t>=IF(Z2539&lt;&gt;0,AC2539/Z2539,"")</t>
  </si>
  <si>
    <t>=C2539</t>
  </si>
  <si>
    <t>=NL("Sum","5802 Value Entry","150 Sales Amount (Expected)","41 Source Type",$C$5,"5 Source No.",$C2540,"4 Item Ledger Entry Type",$C$4,"2 Item No.","@@"&amp;$F2540,"3 Posting Date",J$9)+NL("Sum","5802 Value Entry","17 Sales Amount (Actual)","41 Source Type",$C$5,"5 Source no.",$C2540,"4 Item Ledger Entry Type",$C$4,"2 Item No.","@@"&amp;$F2540,"3 Posting Date",J$9)</t>
  </si>
  <si>
    <t>=-NL("Sum","5802 Value Entry","151 Cost Amount (Expected)","41 Source Type",$C$5,"5 Source No.",$C2540,"4 Item Ledger Entry Type",$C$4,"2 Item No.","@@"&amp;$F2540,"3 Posting Date",J$9)-NL("Sum","5802 Value Entry","43 Cost Amount (Actual)","41 Source Type",$C$5,"5 Source no.",$C2540,"4 Item Ledger Entry Type",$C$4,"2 Item No.","@@"&amp;$F2540,"3 Posting Date",J$9)</t>
  </si>
  <si>
    <t>=J2540-L2540</t>
  </si>
  <si>
    <t>=IF(J2540&lt;&gt;0,M2540/J2540,"")</t>
  </si>
  <si>
    <t>=NL("Sum","5802 Value Entry","150 Sales Amount (Expected)","41 Source Type",$C$5,"5 Source No.",$C2540,"4 Item Ledger Entry Type",$C$4,"2 Item No.","@@"&amp;$F2540,"3 Posting Date",O$9)+NL("Sum","5802 Value Entry","17 Sales Amount (Actual)","41 Source Type",$C$5,"5 Source no.",$C2540,"4 Item Ledger Entry Type",$C$4,"2 Item No.","@@"&amp;$F2540,"3 Posting Date",O$9)</t>
  </si>
  <si>
    <t>=-NL("Sum","5802 Value Entry","151 Cost Amount (Expected)","41 Source Type",$C$5,"5 Source No.",$C2540,"4 Item Ledger Entry Type",$C$4,"2 Item No.","@@"&amp;$F2540,"3 Posting Date",O$9)-NL("Sum","5802 Value Entry","43 Cost Amount (Actual)","41 Source Type",$C$5,"5 Source no.",$C2540,"4 Item Ledger Entry Type",$C$4,"2 Item No.","@@"&amp;$F2540,"3 Posting Date",O$9)</t>
  </si>
  <si>
    <t>=O2540-Q2540</t>
  </si>
  <si>
    <t>=IF(O2540&lt;&gt;0,R2540/O2540,"")</t>
  </si>
  <si>
    <t>=NL("Sum","5802 Value Entry","150 Sales Amount (Expected)","41 Source Type",$C$5,"5 Source No.",$C2540,"4 Item Ledger Entry Type",$C$4,"2 Item No.","@@"&amp;$F2540,"3 Posting Date",U$9)+NL("Sum","5802 Value Entry","17 Sales Amount (Actual)","41 Source Type",$C$5,"5 Source no.",$C2540,"4 Item Ledger Entry Type",$C$4,"2 Item No.","@@"&amp;$F2540,"3 Posting Date",U$9)</t>
  </si>
  <si>
    <t>=-NL("Sum","5802 Value Entry","151 Cost Amount (Expected)","41 Source Type",$C$5,"5 Source No.",$C2540,"4 Item Ledger Entry Type",$C$4,"2 Item No.","@@"&amp;$F2540,"3 Posting Date",U$9)-NL("Sum","5802 Value Entry","43 Cost Amount (Actual)","41 Source Type",$C$5,"5 Source no.",$C2540,"4 Item Ledger Entry Type",$C$4,"2 Item No.","@@"&amp;$F2540,"3 Posting Date",U$9)</t>
  </si>
  <si>
    <t>=U2540-W2540</t>
  </si>
  <si>
    <t>=IF(U2540&lt;&gt;0,X2540/U2540,"")</t>
  </si>
  <si>
    <t>=NL("Sum","5802 Value Entry","150 Sales Amount (Expected)","41 Source Type",$C$5,"5 Source No.",$C2540,"4 Item Ledger Entry Type",$C$4,"2 Item No.","@@"&amp;$F2540,"3 Posting Date",Z$9)+NL("Sum","5802 Value Entry","17 Sales Amount (Actual)","41 Source Type",$C$5,"5 Source no.",$C2540,"4 Item Ledger Entry Type",$C$4,"2 Item No.","@@"&amp;$F2540,"3 Posting Date",Z$9)</t>
  </si>
  <si>
    <t>=-NL("Sum","5802 Value Entry","151 Cost Amount (Expected)","41 Source Type",$C$5,"5 Source No.",$C2540,"4 Item Ledger Entry Type",$C$4,"2 Item No.","@@"&amp;$F2540,"3 Posting Date",Z$9)-NL("Sum","5802 Value Entry","43 Cost Amount (Actual)","41 Source Type",$C$5,"5 Source no.",$C2540,"4 Item Ledger Entry Type",$C$4,"2 Item No.","@@"&amp;$F2540,"3 Posting Date",Z$9)</t>
  </si>
  <si>
    <t>=Z2540-AB2540</t>
  </si>
  <si>
    <t>=IF(Z2540&lt;&gt;0,AC2540/Z2540,"")</t>
  </si>
  <si>
    <t>=C2540</t>
  </si>
  <si>
    <t>=NL("Sum","5802 Value Entry","150 Sales Amount (Expected)","41 Source Type",$C$5,"5 Source No.",$C2541,"4 Item Ledger Entry Type",$C$4,"2 Item No.","@@"&amp;$F2541,"3 Posting Date",J$9)+NL("Sum","5802 Value Entry","17 Sales Amount (Actual)","41 Source Type",$C$5,"5 Source no.",$C2541,"4 Item Ledger Entry Type",$C$4,"2 Item No.","@@"&amp;$F2541,"3 Posting Date",J$9)</t>
  </si>
  <si>
    <t>=-NL("Sum","5802 Value Entry","151 Cost Amount (Expected)","41 Source Type",$C$5,"5 Source No.",$C2541,"4 Item Ledger Entry Type",$C$4,"2 Item No.","@@"&amp;$F2541,"3 Posting Date",J$9)-NL("Sum","5802 Value Entry","43 Cost Amount (Actual)","41 Source Type",$C$5,"5 Source no.",$C2541,"4 Item Ledger Entry Type",$C$4,"2 Item No.","@@"&amp;$F2541,"3 Posting Date",J$9)</t>
  </si>
  <si>
    <t>=J2541-L2541</t>
  </si>
  <si>
    <t>=IF(J2541&lt;&gt;0,M2541/J2541,"")</t>
  </si>
  <si>
    <t>=NL("Sum","5802 Value Entry","150 Sales Amount (Expected)","41 Source Type",$C$5,"5 Source No.",$C2541,"4 Item Ledger Entry Type",$C$4,"2 Item No.","@@"&amp;$F2541,"3 Posting Date",O$9)+NL("Sum","5802 Value Entry","17 Sales Amount (Actual)","41 Source Type",$C$5,"5 Source no.",$C2541,"4 Item Ledger Entry Type",$C$4,"2 Item No.","@@"&amp;$F2541,"3 Posting Date",O$9)</t>
  </si>
  <si>
    <t>=-NL("Sum","5802 Value Entry","151 Cost Amount (Expected)","41 Source Type",$C$5,"5 Source No.",$C2541,"4 Item Ledger Entry Type",$C$4,"2 Item No.","@@"&amp;$F2541,"3 Posting Date",O$9)-NL("Sum","5802 Value Entry","43 Cost Amount (Actual)","41 Source Type",$C$5,"5 Source no.",$C2541,"4 Item Ledger Entry Type",$C$4,"2 Item No.","@@"&amp;$F2541,"3 Posting Date",O$9)</t>
  </si>
  <si>
    <t>=O2541-Q2541</t>
  </si>
  <si>
    <t>=IF(O2541&lt;&gt;0,R2541/O2541,"")</t>
  </si>
  <si>
    <t>=NL("Sum","5802 Value Entry","150 Sales Amount (Expected)","41 Source Type",$C$5,"5 Source No.",$C2541,"4 Item Ledger Entry Type",$C$4,"2 Item No.","@@"&amp;$F2541,"3 Posting Date",U$9)+NL("Sum","5802 Value Entry","17 Sales Amount (Actual)","41 Source Type",$C$5,"5 Source no.",$C2541,"4 Item Ledger Entry Type",$C$4,"2 Item No.","@@"&amp;$F2541,"3 Posting Date",U$9)</t>
  </si>
  <si>
    <t>=-NL("Sum","5802 Value Entry","151 Cost Amount (Expected)","41 Source Type",$C$5,"5 Source No.",$C2541,"4 Item Ledger Entry Type",$C$4,"2 Item No.","@@"&amp;$F2541,"3 Posting Date",U$9)-NL("Sum","5802 Value Entry","43 Cost Amount (Actual)","41 Source Type",$C$5,"5 Source no.",$C2541,"4 Item Ledger Entry Type",$C$4,"2 Item No.","@@"&amp;$F2541,"3 Posting Date",U$9)</t>
  </si>
  <si>
    <t>=U2541-W2541</t>
  </si>
  <si>
    <t>=IF(U2541&lt;&gt;0,X2541/U2541,"")</t>
  </si>
  <si>
    <t>=NL("Sum","5802 Value Entry","150 Sales Amount (Expected)","41 Source Type",$C$5,"5 Source No.",$C2541,"4 Item Ledger Entry Type",$C$4,"2 Item No.","@@"&amp;$F2541,"3 Posting Date",Z$9)+NL("Sum","5802 Value Entry","17 Sales Amount (Actual)","41 Source Type",$C$5,"5 Source no.",$C2541,"4 Item Ledger Entry Type",$C$4,"2 Item No.","@@"&amp;$F2541,"3 Posting Date",Z$9)</t>
  </si>
  <si>
    <t>=-NL("Sum","5802 Value Entry","151 Cost Amount (Expected)","41 Source Type",$C$5,"5 Source No.",$C2541,"4 Item Ledger Entry Type",$C$4,"2 Item No.","@@"&amp;$F2541,"3 Posting Date",Z$9)-NL("Sum","5802 Value Entry","43 Cost Amount (Actual)","41 Source Type",$C$5,"5 Source no.",$C2541,"4 Item Ledger Entry Type",$C$4,"2 Item No.","@@"&amp;$F2541,"3 Posting Date",Z$9)</t>
  </si>
  <si>
    <t>=Z2541-AB2541</t>
  </si>
  <si>
    <t>=IF(Z2541&lt;&gt;0,AC2541/Z2541,"")</t>
  </si>
  <si>
    <t>=C2541</t>
  </si>
  <si>
    <t>=NL("Sum","5802 Value Entry","150 Sales Amount (Expected)","41 Source Type",$C$5,"5 Source No.",$C2542,"4 Item Ledger Entry Type",$C$4,"2 Item No.","@@"&amp;$F2542,"3 Posting Date",J$9)+NL("Sum","5802 Value Entry","17 Sales Amount (Actual)","41 Source Type",$C$5,"5 Source no.",$C2542,"4 Item Ledger Entry Type",$C$4,"2 Item No.","@@"&amp;$F2542,"3 Posting Date",J$9)</t>
  </si>
  <si>
    <t>=-NL("Sum","5802 Value Entry","151 Cost Amount (Expected)","41 Source Type",$C$5,"5 Source No.",$C2542,"4 Item Ledger Entry Type",$C$4,"2 Item No.","@@"&amp;$F2542,"3 Posting Date",J$9)-NL("Sum","5802 Value Entry","43 Cost Amount (Actual)","41 Source Type",$C$5,"5 Source no.",$C2542,"4 Item Ledger Entry Type",$C$4,"2 Item No.","@@"&amp;$F2542,"3 Posting Date",J$9)</t>
  </si>
  <si>
    <t>=J2542-L2542</t>
  </si>
  <si>
    <t>=IF(J2542&lt;&gt;0,M2542/J2542,"")</t>
  </si>
  <si>
    <t>=NL("Sum","5802 Value Entry","150 Sales Amount (Expected)","41 Source Type",$C$5,"5 Source No.",$C2542,"4 Item Ledger Entry Type",$C$4,"2 Item No.","@@"&amp;$F2542,"3 Posting Date",O$9)+NL("Sum","5802 Value Entry","17 Sales Amount (Actual)","41 Source Type",$C$5,"5 Source no.",$C2542,"4 Item Ledger Entry Type",$C$4,"2 Item No.","@@"&amp;$F2542,"3 Posting Date",O$9)</t>
  </si>
  <si>
    <t>=-NL("Sum","5802 Value Entry","151 Cost Amount (Expected)","41 Source Type",$C$5,"5 Source No.",$C2542,"4 Item Ledger Entry Type",$C$4,"2 Item No.","@@"&amp;$F2542,"3 Posting Date",O$9)-NL("Sum","5802 Value Entry","43 Cost Amount (Actual)","41 Source Type",$C$5,"5 Source no.",$C2542,"4 Item Ledger Entry Type",$C$4,"2 Item No.","@@"&amp;$F2542,"3 Posting Date",O$9)</t>
  </si>
  <si>
    <t>=O2542-Q2542</t>
  </si>
  <si>
    <t>=IF(O2542&lt;&gt;0,R2542/O2542,"")</t>
  </si>
  <si>
    <t>=NL("Sum","5802 Value Entry","150 Sales Amount (Expected)","41 Source Type",$C$5,"5 Source No.",$C2542,"4 Item Ledger Entry Type",$C$4,"2 Item No.","@@"&amp;$F2542,"3 Posting Date",U$9)+NL("Sum","5802 Value Entry","17 Sales Amount (Actual)","41 Source Type",$C$5,"5 Source no.",$C2542,"4 Item Ledger Entry Type",$C$4,"2 Item No.","@@"&amp;$F2542,"3 Posting Date",U$9)</t>
  </si>
  <si>
    <t>=-NL("Sum","5802 Value Entry","151 Cost Amount (Expected)","41 Source Type",$C$5,"5 Source No.",$C2542,"4 Item Ledger Entry Type",$C$4,"2 Item No.","@@"&amp;$F2542,"3 Posting Date",U$9)-NL("Sum","5802 Value Entry","43 Cost Amount (Actual)","41 Source Type",$C$5,"5 Source no.",$C2542,"4 Item Ledger Entry Type",$C$4,"2 Item No.","@@"&amp;$F2542,"3 Posting Date",U$9)</t>
  </si>
  <si>
    <t>=U2542-W2542</t>
  </si>
  <si>
    <t>=IF(U2542&lt;&gt;0,X2542/U2542,"")</t>
  </si>
  <si>
    <t>=NL("Sum","5802 Value Entry","150 Sales Amount (Expected)","41 Source Type",$C$5,"5 Source No.",$C2542,"4 Item Ledger Entry Type",$C$4,"2 Item No.","@@"&amp;$F2542,"3 Posting Date",Z$9)+NL("Sum","5802 Value Entry","17 Sales Amount (Actual)","41 Source Type",$C$5,"5 Source no.",$C2542,"4 Item Ledger Entry Type",$C$4,"2 Item No.","@@"&amp;$F2542,"3 Posting Date",Z$9)</t>
  </si>
  <si>
    <t>=-NL("Sum","5802 Value Entry","151 Cost Amount (Expected)","41 Source Type",$C$5,"5 Source No.",$C2542,"4 Item Ledger Entry Type",$C$4,"2 Item No.","@@"&amp;$F2542,"3 Posting Date",Z$9)-NL("Sum","5802 Value Entry","43 Cost Amount (Actual)","41 Source Type",$C$5,"5 Source no.",$C2542,"4 Item Ledger Entry Type",$C$4,"2 Item No.","@@"&amp;$F2542,"3 Posting Date",Z$9)</t>
  </si>
  <si>
    <t>=Z2542-AB2542</t>
  </si>
  <si>
    <t>=IF(Z2542&lt;&gt;0,AC2542/Z2542,"")</t>
  </si>
  <si>
    <t>=C2542</t>
  </si>
  <si>
    <t>=NL("Sum","5802 Value Entry","150 Sales Amount (Expected)","41 Source Type",$C$5,"5 Source No.",$C2543,"4 Item Ledger Entry Type",$C$4,"2 Item No.","@@"&amp;$F2543,"3 Posting Date",J$9)+NL("Sum","5802 Value Entry","17 Sales Amount (Actual)","41 Source Type",$C$5,"5 Source no.",$C2543,"4 Item Ledger Entry Type",$C$4,"2 Item No.","@@"&amp;$F2543,"3 Posting Date",J$9)</t>
  </si>
  <si>
    <t>=-NL("Sum","5802 Value Entry","151 Cost Amount (Expected)","41 Source Type",$C$5,"5 Source No.",$C2543,"4 Item Ledger Entry Type",$C$4,"2 Item No.","@@"&amp;$F2543,"3 Posting Date",J$9)-NL("Sum","5802 Value Entry","43 Cost Amount (Actual)","41 Source Type",$C$5,"5 Source no.",$C2543,"4 Item Ledger Entry Type",$C$4,"2 Item No.","@@"&amp;$F2543,"3 Posting Date",J$9)</t>
  </si>
  <si>
    <t>=J2543-L2543</t>
  </si>
  <si>
    <t>=IF(J2543&lt;&gt;0,M2543/J2543,"")</t>
  </si>
  <si>
    <t>=NL("Sum","5802 Value Entry","150 Sales Amount (Expected)","41 Source Type",$C$5,"5 Source No.",$C2543,"4 Item Ledger Entry Type",$C$4,"2 Item No.","@@"&amp;$F2543,"3 Posting Date",O$9)+NL("Sum","5802 Value Entry","17 Sales Amount (Actual)","41 Source Type",$C$5,"5 Source no.",$C2543,"4 Item Ledger Entry Type",$C$4,"2 Item No.","@@"&amp;$F2543,"3 Posting Date",O$9)</t>
  </si>
  <si>
    <t>=-NL("Sum","5802 Value Entry","151 Cost Amount (Expected)","41 Source Type",$C$5,"5 Source No.",$C2543,"4 Item Ledger Entry Type",$C$4,"2 Item No.","@@"&amp;$F2543,"3 Posting Date",O$9)-NL("Sum","5802 Value Entry","43 Cost Amount (Actual)","41 Source Type",$C$5,"5 Source no.",$C2543,"4 Item Ledger Entry Type",$C$4,"2 Item No.","@@"&amp;$F2543,"3 Posting Date",O$9)</t>
  </si>
  <si>
    <t>=O2543-Q2543</t>
  </si>
  <si>
    <t>=IF(O2543&lt;&gt;0,R2543/O2543,"")</t>
  </si>
  <si>
    <t>=NL("Sum","5802 Value Entry","150 Sales Amount (Expected)","41 Source Type",$C$5,"5 Source No.",$C2543,"4 Item Ledger Entry Type",$C$4,"2 Item No.","@@"&amp;$F2543,"3 Posting Date",U$9)+NL("Sum","5802 Value Entry","17 Sales Amount (Actual)","41 Source Type",$C$5,"5 Source no.",$C2543,"4 Item Ledger Entry Type",$C$4,"2 Item No.","@@"&amp;$F2543,"3 Posting Date",U$9)</t>
  </si>
  <si>
    <t>=-NL("Sum","5802 Value Entry","151 Cost Amount (Expected)","41 Source Type",$C$5,"5 Source No.",$C2543,"4 Item Ledger Entry Type",$C$4,"2 Item No.","@@"&amp;$F2543,"3 Posting Date",U$9)-NL("Sum","5802 Value Entry","43 Cost Amount (Actual)","41 Source Type",$C$5,"5 Source no.",$C2543,"4 Item Ledger Entry Type",$C$4,"2 Item No.","@@"&amp;$F2543,"3 Posting Date",U$9)</t>
  </si>
  <si>
    <t>=U2543-W2543</t>
  </si>
  <si>
    <t>=IF(U2543&lt;&gt;0,X2543/U2543,"")</t>
  </si>
  <si>
    <t>=NL("Sum","5802 Value Entry","150 Sales Amount (Expected)","41 Source Type",$C$5,"5 Source No.",$C2543,"4 Item Ledger Entry Type",$C$4,"2 Item No.","@@"&amp;$F2543,"3 Posting Date",Z$9)+NL("Sum","5802 Value Entry","17 Sales Amount (Actual)","41 Source Type",$C$5,"5 Source no.",$C2543,"4 Item Ledger Entry Type",$C$4,"2 Item No.","@@"&amp;$F2543,"3 Posting Date",Z$9)</t>
  </si>
  <si>
    <t>=-NL("Sum","5802 Value Entry","151 Cost Amount (Expected)","41 Source Type",$C$5,"5 Source No.",$C2543,"4 Item Ledger Entry Type",$C$4,"2 Item No.","@@"&amp;$F2543,"3 Posting Date",Z$9)-NL("Sum","5802 Value Entry","43 Cost Amount (Actual)","41 Source Type",$C$5,"5 Source no.",$C2543,"4 Item Ledger Entry Type",$C$4,"2 Item No.","@@"&amp;$F2543,"3 Posting Date",Z$9)</t>
  </si>
  <si>
    <t>=Z2543-AB2543</t>
  </si>
  <si>
    <t>=IF(Z2543&lt;&gt;0,AC2543/Z2543,"")</t>
  </si>
  <si>
    <t>=C2543</t>
  </si>
  <si>
    <t>=NL("Sum","5802 Value Entry","150 Sales Amount (Expected)","41 Source Type",$C$5,"5 Source No.",$C2544,"4 Item Ledger Entry Type",$C$4,"2 Item No.","@@"&amp;$F2544,"3 Posting Date",J$9)+NL("Sum","5802 Value Entry","17 Sales Amount (Actual)","41 Source Type",$C$5,"5 Source no.",$C2544,"4 Item Ledger Entry Type",$C$4,"2 Item No.","@@"&amp;$F2544,"3 Posting Date",J$9)</t>
  </si>
  <si>
    <t>=-NL("Sum","5802 Value Entry","151 Cost Amount (Expected)","41 Source Type",$C$5,"5 Source No.",$C2544,"4 Item Ledger Entry Type",$C$4,"2 Item No.","@@"&amp;$F2544,"3 Posting Date",J$9)-NL("Sum","5802 Value Entry","43 Cost Amount (Actual)","41 Source Type",$C$5,"5 Source no.",$C2544,"4 Item Ledger Entry Type",$C$4,"2 Item No.","@@"&amp;$F2544,"3 Posting Date",J$9)</t>
  </si>
  <si>
    <t>=J2544-L2544</t>
  </si>
  <si>
    <t>=IF(J2544&lt;&gt;0,M2544/J2544,"")</t>
  </si>
  <si>
    <t>=NL("Sum","5802 Value Entry","150 Sales Amount (Expected)","41 Source Type",$C$5,"5 Source No.",$C2544,"4 Item Ledger Entry Type",$C$4,"2 Item No.","@@"&amp;$F2544,"3 Posting Date",O$9)+NL("Sum","5802 Value Entry","17 Sales Amount (Actual)","41 Source Type",$C$5,"5 Source no.",$C2544,"4 Item Ledger Entry Type",$C$4,"2 Item No.","@@"&amp;$F2544,"3 Posting Date",O$9)</t>
  </si>
  <si>
    <t>=-NL("Sum","5802 Value Entry","151 Cost Amount (Expected)","41 Source Type",$C$5,"5 Source No.",$C2544,"4 Item Ledger Entry Type",$C$4,"2 Item No.","@@"&amp;$F2544,"3 Posting Date",O$9)-NL("Sum","5802 Value Entry","43 Cost Amount (Actual)","41 Source Type",$C$5,"5 Source no.",$C2544,"4 Item Ledger Entry Type",$C$4,"2 Item No.","@@"&amp;$F2544,"3 Posting Date",O$9)</t>
  </si>
  <si>
    <t>=O2544-Q2544</t>
  </si>
  <si>
    <t>=IF(O2544&lt;&gt;0,R2544/O2544,"")</t>
  </si>
  <si>
    <t>=NL("Sum","5802 Value Entry","150 Sales Amount (Expected)","41 Source Type",$C$5,"5 Source No.",$C2544,"4 Item Ledger Entry Type",$C$4,"2 Item No.","@@"&amp;$F2544,"3 Posting Date",U$9)+NL("Sum","5802 Value Entry","17 Sales Amount (Actual)","41 Source Type",$C$5,"5 Source no.",$C2544,"4 Item Ledger Entry Type",$C$4,"2 Item No.","@@"&amp;$F2544,"3 Posting Date",U$9)</t>
  </si>
  <si>
    <t>=-NL("Sum","5802 Value Entry","151 Cost Amount (Expected)","41 Source Type",$C$5,"5 Source No.",$C2544,"4 Item Ledger Entry Type",$C$4,"2 Item No.","@@"&amp;$F2544,"3 Posting Date",U$9)-NL("Sum","5802 Value Entry","43 Cost Amount (Actual)","41 Source Type",$C$5,"5 Source no.",$C2544,"4 Item Ledger Entry Type",$C$4,"2 Item No.","@@"&amp;$F2544,"3 Posting Date",U$9)</t>
  </si>
  <si>
    <t>=U2544-W2544</t>
  </si>
  <si>
    <t>=IF(U2544&lt;&gt;0,X2544/U2544,"")</t>
  </si>
  <si>
    <t>=NL("Sum","5802 Value Entry","150 Sales Amount (Expected)","41 Source Type",$C$5,"5 Source No.",$C2544,"4 Item Ledger Entry Type",$C$4,"2 Item No.","@@"&amp;$F2544,"3 Posting Date",Z$9)+NL("Sum","5802 Value Entry","17 Sales Amount (Actual)","41 Source Type",$C$5,"5 Source no.",$C2544,"4 Item Ledger Entry Type",$C$4,"2 Item No.","@@"&amp;$F2544,"3 Posting Date",Z$9)</t>
  </si>
  <si>
    <t>=-NL("Sum","5802 Value Entry","151 Cost Amount (Expected)","41 Source Type",$C$5,"5 Source No.",$C2544,"4 Item Ledger Entry Type",$C$4,"2 Item No.","@@"&amp;$F2544,"3 Posting Date",Z$9)-NL("Sum","5802 Value Entry","43 Cost Amount (Actual)","41 Source Type",$C$5,"5 Source no.",$C2544,"4 Item Ledger Entry Type",$C$4,"2 Item No.","@@"&amp;$F2544,"3 Posting Date",Z$9)</t>
  </si>
  <si>
    <t>=Z2544-AB2544</t>
  </si>
  <si>
    <t>=IF(Z2544&lt;&gt;0,AC2544/Z2544,"")</t>
  </si>
  <si>
    <t>=C2544</t>
  </si>
  <si>
    <t>=NL("Sum","5802 Value Entry","150 Sales Amount (Expected)","41 Source Type",$C$5,"5 Source No.",$C2545,"4 Item Ledger Entry Type",$C$4,"2 Item No.","@@"&amp;$F2545,"3 Posting Date",J$9)+NL("Sum","5802 Value Entry","17 Sales Amount (Actual)","41 Source Type",$C$5,"5 Source no.",$C2545,"4 Item Ledger Entry Type",$C$4,"2 Item No.","@@"&amp;$F2545,"3 Posting Date",J$9)</t>
  </si>
  <si>
    <t>=-NL("Sum","5802 Value Entry","151 Cost Amount (Expected)","41 Source Type",$C$5,"5 Source No.",$C2545,"4 Item Ledger Entry Type",$C$4,"2 Item No.","@@"&amp;$F2545,"3 Posting Date",J$9)-NL("Sum","5802 Value Entry","43 Cost Amount (Actual)","41 Source Type",$C$5,"5 Source no.",$C2545,"4 Item Ledger Entry Type",$C$4,"2 Item No.","@@"&amp;$F2545,"3 Posting Date",J$9)</t>
  </si>
  <si>
    <t>=J2545-L2545</t>
  </si>
  <si>
    <t>=IF(J2545&lt;&gt;0,M2545/J2545,"")</t>
  </si>
  <si>
    <t>=NL("Sum","5802 Value Entry","150 Sales Amount (Expected)","41 Source Type",$C$5,"5 Source No.",$C2545,"4 Item Ledger Entry Type",$C$4,"2 Item No.","@@"&amp;$F2545,"3 Posting Date",O$9)+NL("Sum","5802 Value Entry","17 Sales Amount (Actual)","41 Source Type",$C$5,"5 Source no.",$C2545,"4 Item Ledger Entry Type",$C$4,"2 Item No.","@@"&amp;$F2545,"3 Posting Date",O$9)</t>
  </si>
  <si>
    <t>=-NL("Sum","5802 Value Entry","151 Cost Amount (Expected)","41 Source Type",$C$5,"5 Source No.",$C2545,"4 Item Ledger Entry Type",$C$4,"2 Item No.","@@"&amp;$F2545,"3 Posting Date",O$9)-NL("Sum","5802 Value Entry","43 Cost Amount (Actual)","41 Source Type",$C$5,"5 Source no.",$C2545,"4 Item Ledger Entry Type",$C$4,"2 Item No.","@@"&amp;$F2545,"3 Posting Date",O$9)</t>
  </si>
  <si>
    <t>=O2545-Q2545</t>
  </si>
  <si>
    <t>=IF(O2545&lt;&gt;0,R2545/O2545,"")</t>
  </si>
  <si>
    <t>=NL("Sum","5802 Value Entry","150 Sales Amount (Expected)","41 Source Type",$C$5,"5 Source No.",$C2545,"4 Item Ledger Entry Type",$C$4,"2 Item No.","@@"&amp;$F2545,"3 Posting Date",U$9)+NL("Sum","5802 Value Entry","17 Sales Amount (Actual)","41 Source Type",$C$5,"5 Source no.",$C2545,"4 Item Ledger Entry Type",$C$4,"2 Item No.","@@"&amp;$F2545,"3 Posting Date",U$9)</t>
  </si>
  <si>
    <t>=-NL("Sum","5802 Value Entry","151 Cost Amount (Expected)","41 Source Type",$C$5,"5 Source No.",$C2545,"4 Item Ledger Entry Type",$C$4,"2 Item No.","@@"&amp;$F2545,"3 Posting Date",U$9)-NL("Sum","5802 Value Entry","43 Cost Amount (Actual)","41 Source Type",$C$5,"5 Source no.",$C2545,"4 Item Ledger Entry Type",$C$4,"2 Item No.","@@"&amp;$F2545,"3 Posting Date",U$9)</t>
  </si>
  <si>
    <t>=U2545-W2545</t>
  </si>
  <si>
    <t>=IF(U2545&lt;&gt;0,X2545/U2545,"")</t>
  </si>
  <si>
    <t>=NL("Sum","5802 Value Entry","150 Sales Amount (Expected)","41 Source Type",$C$5,"5 Source No.",$C2545,"4 Item Ledger Entry Type",$C$4,"2 Item No.","@@"&amp;$F2545,"3 Posting Date",Z$9)+NL("Sum","5802 Value Entry","17 Sales Amount (Actual)","41 Source Type",$C$5,"5 Source no.",$C2545,"4 Item Ledger Entry Type",$C$4,"2 Item No.","@@"&amp;$F2545,"3 Posting Date",Z$9)</t>
  </si>
  <si>
    <t>=-NL("Sum","5802 Value Entry","151 Cost Amount (Expected)","41 Source Type",$C$5,"5 Source No.",$C2545,"4 Item Ledger Entry Type",$C$4,"2 Item No.","@@"&amp;$F2545,"3 Posting Date",Z$9)-NL("Sum","5802 Value Entry","43 Cost Amount (Actual)","41 Source Type",$C$5,"5 Source no.",$C2545,"4 Item Ledger Entry Type",$C$4,"2 Item No.","@@"&amp;$F2545,"3 Posting Date",Z$9)</t>
  </si>
  <si>
    <t>=Z2545-AB2545</t>
  </si>
  <si>
    <t>=IF(Z2545&lt;&gt;0,AC2545/Z2545,"")</t>
  </si>
  <si>
    <t>=C2545</t>
  </si>
  <si>
    <t>=NL("Sum","5802 Value Entry","150 Sales Amount (Expected)","41 Source Type",$C$5,"5 Source No.",$C2546,"4 Item Ledger Entry Type",$C$4,"2 Item No.","@@"&amp;$F2546,"3 Posting Date",J$9)+NL("Sum","5802 Value Entry","17 Sales Amount (Actual)","41 Source Type",$C$5,"5 Source no.",$C2546,"4 Item Ledger Entry Type",$C$4,"2 Item No.","@@"&amp;$F2546,"3 Posting Date",J$9)</t>
  </si>
  <si>
    <t>=-NL("Sum","5802 Value Entry","151 Cost Amount (Expected)","41 Source Type",$C$5,"5 Source No.",$C2546,"4 Item Ledger Entry Type",$C$4,"2 Item No.","@@"&amp;$F2546,"3 Posting Date",J$9)-NL("Sum","5802 Value Entry","43 Cost Amount (Actual)","41 Source Type",$C$5,"5 Source no.",$C2546,"4 Item Ledger Entry Type",$C$4,"2 Item No.","@@"&amp;$F2546,"3 Posting Date",J$9)</t>
  </si>
  <si>
    <t>=J2546-L2546</t>
  </si>
  <si>
    <t>=IF(J2546&lt;&gt;0,M2546/J2546,"")</t>
  </si>
  <si>
    <t>=NL("Sum","5802 Value Entry","150 Sales Amount (Expected)","41 Source Type",$C$5,"5 Source No.",$C2546,"4 Item Ledger Entry Type",$C$4,"2 Item No.","@@"&amp;$F2546,"3 Posting Date",O$9)+NL("Sum","5802 Value Entry","17 Sales Amount (Actual)","41 Source Type",$C$5,"5 Source no.",$C2546,"4 Item Ledger Entry Type",$C$4,"2 Item No.","@@"&amp;$F2546,"3 Posting Date",O$9)</t>
  </si>
  <si>
    <t>=-NL("Sum","5802 Value Entry","151 Cost Amount (Expected)","41 Source Type",$C$5,"5 Source No.",$C2546,"4 Item Ledger Entry Type",$C$4,"2 Item No.","@@"&amp;$F2546,"3 Posting Date",O$9)-NL("Sum","5802 Value Entry","43 Cost Amount (Actual)","41 Source Type",$C$5,"5 Source no.",$C2546,"4 Item Ledger Entry Type",$C$4,"2 Item No.","@@"&amp;$F2546,"3 Posting Date",O$9)</t>
  </si>
  <si>
    <t>=O2546-Q2546</t>
  </si>
  <si>
    <t>=IF(O2546&lt;&gt;0,R2546/O2546,"")</t>
  </si>
  <si>
    <t>=NL("Sum","5802 Value Entry","150 Sales Amount (Expected)","41 Source Type",$C$5,"5 Source No.",$C2546,"4 Item Ledger Entry Type",$C$4,"2 Item No.","@@"&amp;$F2546,"3 Posting Date",U$9)+NL("Sum","5802 Value Entry","17 Sales Amount (Actual)","41 Source Type",$C$5,"5 Source no.",$C2546,"4 Item Ledger Entry Type",$C$4,"2 Item No.","@@"&amp;$F2546,"3 Posting Date",U$9)</t>
  </si>
  <si>
    <t>=-NL("Sum","5802 Value Entry","151 Cost Amount (Expected)","41 Source Type",$C$5,"5 Source No.",$C2546,"4 Item Ledger Entry Type",$C$4,"2 Item No.","@@"&amp;$F2546,"3 Posting Date",U$9)-NL("Sum","5802 Value Entry","43 Cost Amount (Actual)","41 Source Type",$C$5,"5 Source no.",$C2546,"4 Item Ledger Entry Type",$C$4,"2 Item No.","@@"&amp;$F2546,"3 Posting Date",U$9)</t>
  </si>
  <si>
    <t>=U2546-W2546</t>
  </si>
  <si>
    <t>=IF(U2546&lt;&gt;0,X2546/U2546,"")</t>
  </si>
  <si>
    <t>=NL("Sum","5802 Value Entry","150 Sales Amount (Expected)","41 Source Type",$C$5,"5 Source No.",$C2546,"4 Item Ledger Entry Type",$C$4,"2 Item No.","@@"&amp;$F2546,"3 Posting Date",Z$9)+NL("Sum","5802 Value Entry","17 Sales Amount (Actual)","41 Source Type",$C$5,"5 Source no.",$C2546,"4 Item Ledger Entry Type",$C$4,"2 Item No.","@@"&amp;$F2546,"3 Posting Date",Z$9)</t>
  </si>
  <si>
    <t>=-NL("Sum","5802 Value Entry","151 Cost Amount (Expected)","41 Source Type",$C$5,"5 Source No.",$C2546,"4 Item Ledger Entry Type",$C$4,"2 Item No.","@@"&amp;$F2546,"3 Posting Date",Z$9)-NL("Sum","5802 Value Entry","43 Cost Amount (Actual)","41 Source Type",$C$5,"5 Source no.",$C2546,"4 Item Ledger Entry Type",$C$4,"2 Item No.","@@"&amp;$F2546,"3 Posting Date",Z$9)</t>
  </si>
  <si>
    <t>=Z2546-AB2546</t>
  </si>
  <si>
    <t>=IF(Z2546&lt;&gt;0,AC2546/Z2546,"")</t>
  </si>
  <si>
    <t>=C2546</t>
  </si>
  <si>
    <t>=NL("Sum","5802 Value Entry","150 Sales Amount (Expected)","41 Source Type",$C$5,"5 Source No.",$C2547,"4 Item Ledger Entry Type",$C$4,"2 Item No.","@@"&amp;$F2547,"3 Posting Date",J$9)+NL("Sum","5802 Value Entry","17 Sales Amount (Actual)","41 Source Type",$C$5,"5 Source no.",$C2547,"4 Item Ledger Entry Type",$C$4,"2 Item No.","@@"&amp;$F2547,"3 Posting Date",J$9)</t>
  </si>
  <si>
    <t>=-NL("Sum","5802 Value Entry","151 Cost Amount (Expected)","41 Source Type",$C$5,"5 Source No.",$C2547,"4 Item Ledger Entry Type",$C$4,"2 Item No.","@@"&amp;$F2547,"3 Posting Date",J$9)-NL("Sum","5802 Value Entry","43 Cost Amount (Actual)","41 Source Type",$C$5,"5 Source no.",$C2547,"4 Item Ledger Entry Type",$C$4,"2 Item No.","@@"&amp;$F2547,"3 Posting Date",J$9)</t>
  </si>
  <si>
    <t>=J2547-L2547</t>
  </si>
  <si>
    <t>=IF(J2547&lt;&gt;0,M2547/J2547,"")</t>
  </si>
  <si>
    <t>=NL("Sum","5802 Value Entry","150 Sales Amount (Expected)","41 Source Type",$C$5,"5 Source No.",$C2547,"4 Item Ledger Entry Type",$C$4,"2 Item No.","@@"&amp;$F2547,"3 Posting Date",O$9)+NL("Sum","5802 Value Entry","17 Sales Amount (Actual)","41 Source Type",$C$5,"5 Source no.",$C2547,"4 Item Ledger Entry Type",$C$4,"2 Item No.","@@"&amp;$F2547,"3 Posting Date",O$9)</t>
  </si>
  <si>
    <t>=-NL("Sum","5802 Value Entry","151 Cost Amount (Expected)","41 Source Type",$C$5,"5 Source No.",$C2547,"4 Item Ledger Entry Type",$C$4,"2 Item No.","@@"&amp;$F2547,"3 Posting Date",O$9)-NL("Sum","5802 Value Entry","43 Cost Amount (Actual)","41 Source Type",$C$5,"5 Source no.",$C2547,"4 Item Ledger Entry Type",$C$4,"2 Item No.","@@"&amp;$F2547,"3 Posting Date",O$9)</t>
  </si>
  <si>
    <t>=O2547-Q2547</t>
  </si>
  <si>
    <t>=IF(O2547&lt;&gt;0,R2547/O2547,"")</t>
  </si>
  <si>
    <t>=NL("Sum","5802 Value Entry","150 Sales Amount (Expected)","41 Source Type",$C$5,"5 Source No.",$C2547,"4 Item Ledger Entry Type",$C$4,"2 Item No.","@@"&amp;$F2547,"3 Posting Date",U$9)+NL("Sum","5802 Value Entry","17 Sales Amount (Actual)","41 Source Type",$C$5,"5 Source no.",$C2547,"4 Item Ledger Entry Type",$C$4,"2 Item No.","@@"&amp;$F2547,"3 Posting Date",U$9)</t>
  </si>
  <si>
    <t>=-NL("Sum","5802 Value Entry","151 Cost Amount (Expected)","41 Source Type",$C$5,"5 Source No.",$C2547,"4 Item Ledger Entry Type",$C$4,"2 Item No.","@@"&amp;$F2547,"3 Posting Date",U$9)-NL("Sum","5802 Value Entry","43 Cost Amount (Actual)","41 Source Type",$C$5,"5 Source no.",$C2547,"4 Item Ledger Entry Type",$C$4,"2 Item No.","@@"&amp;$F2547,"3 Posting Date",U$9)</t>
  </si>
  <si>
    <t>=U2547-W2547</t>
  </si>
  <si>
    <t>=IF(U2547&lt;&gt;0,X2547/U2547,"")</t>
  </si>
  <si>
    <t>=NL("Sum","5802 Value Entry","150 Sales Amount (Expected)","41 Source Type",$C$5,"5 Source No.",$C2547,"4 Item Ledger Entry Type",$C$4,"2 Item No.","@@"&amp;$F2547,"3 Posting Date",Z$9)+NL("Sum","5802 Value Entry","17 Sales Amount (Actual)","41 Source Type",$C$5,"5 Source no.",$C2547,"4 Item Ledger Entry Type",$C$4,"2 Item No.","@@"&amp;$F2547,"3 Posting Date",Z$9)</t>
  </si>
  <si>
    <t>=-NL("Sum","5802 Value Entry","151 Cost Amount (Expected)","41 Source Type",$C$5,"5 Source No.",$C2547,"4 Item Ledger Entry Type",$C$4,"2 Item No.","@@"&amp;$F2547,"3 Posting Date",Z$9)-NL("Sum","5802 Value Entry","43 Cost Amount (Actual)","41 Source Type",$C$5,"5 Source no.",$C2547,"4 Item Ledger Entry Type",$C$4,"2 Item No.","@@"&amp;$F2547,"3 Posting Date",Z$9)</t>
  </si>
  <si>
    <t>=Z2547-AB2547</t>
  </si>
  <si>
    <t>=IF(Z2547&lt;&gt;0,AC2547/Z2547,"")</t>
  </si>
  <si>
    <t>=C2548</t>
  </si>
  <si>
    <t>=J2549-L2549</t>
  </si>
  <si>
    <t>=IF(J2549&lt;&gt;0,M2549/J2549,"")</t>
  </si>
  <si>
    <t>=O2549-Q2549</t>
  </si>
  <si>
    <t>=IF(O2549&lt;&gt;0,R2549/O2549,"")</t>
  </si>
  <si>
    <t>=U2549-W2549</t>
  </si>
  <si>
    <t>=IF(U2549&lt;&gt;0,X2549/U2549,"")</t>
  </si>
  <si>
    <t>=Z2549-AB2549</t>
  </si>
  <si>
    <t>=IF(Z2549&lt;&gt;0,AC2549/Z2549,"")</t>
  </si>
  <si>
    <t>="C100115"</t>
  </si>
  <si>
    <t>=C2551</t>
  </si>
  <si>
    <t>=C2552</t>
  </si>
  <si>
    <t>=NL("Sum","5802 Value Entry","150 Sales Amount (Expected)","41 Source Type",$C$5,"5 Source No.",$C2553,"4 Item Ledger Entry Type",$C$4,"2 Item No.","@@"&amp;$F2553,"3 Posting Date",J$9)+NL("Sum","5802 Value Entry","17 Sales Amount (Actual)","41 Source Type",$C$5,"5 Source no.",$C2553,"4 Item Ledger Entry Type",$C$4,"2 Item No.","@@"&amp;$F2553,"3 Posting Date",J$9)</t>
  </si>
  <si>
    <t>=-NL("Sum","5802 Value Entry","151 Cost Amount (Expected)","41 Source Type",$C$5,"5 Source No.",$C2553,"4 Item Ledger Entry Type",$C$4,"2 Item No.","@@"&amp;$F2553,"3 Posting Date",J$9)-NL("Sum","5802 Value Entry","43 Cost Amount (Actual)","41 Source Type",$C$5,"5 Source no.",$C2553,"4 Item Ledger Entry Type",$C$4,"2 Item No.","@@"&amp;$F2553,"3 Posting Date",J$9)</t>
  </si>
  <si>
    <t>=J2553-L2553</t>
  </si>
  <si>
    <t>=IF(J2553&lt;&gt;0,M2553/J2553,"")</t>
  </si>
  <si>
    <t>=NL("Sum","5802 Value Entry","150 Sales Amount (Expected)","41 Source Type",$C$5,"5 Source No.",$C2553,"4 Item Ledger Entry Type",$C$4,"2 Item No.","@@"&amp;$F2553,"3 Posting Date",O$9)+NL("Sum","5802 Value Entry","17 Sales Amount (Actual)","41 Source Type",$C$5,"5 Source no.",$C2553,"4 Item Ledger Entry Type",$C$4,"2 Item No.","@@"&amp;$F2553,"3 Posting Date",O$9)</t>
  </si>
  <si>
    <t>=-NL("Sum","5802 Value Entry","151 Cost Amount (Expected)","41 Source Type",$C$5,"5 Source No.",$C2553,"4 Item Ledger Entry Type",$C$4,"2 Item No.","@@"&amp;$F2553,"3 Posting Date",O$9)-NL("Sum","5802 Value Entry","43 Cost Amount (Actual)","41 Source Type",$C$5,"5 Source no.",$C2553,"4 Item Ledger Entry Type",$C$4,"2 Item No.","@@"&amp;$F2553,"3 Posting Date",O$9)</t>
  </si>
  <si>
    <t>=O2553-Q2553</t>
  </si>
  <si>
    <t>=IF(O2553&lt;&gt;0,R2553/O2553,"")</t>
  </si>
  <si>
    <t>=NL("Sum","5802 Value Entry","150 Sales Amount (Expected)","41 Source Type",$C$5,"5 Source No.",$C2553,"4 Item Ledger Entry Type",$C$4,"2 Item No.","@@"&amp;$F2553,"3 Posting Date",U$9)+NL("Sum","5802 Value Entry","17 Sales Amount (Actual)","41 Source Type",$C$5,"5 Source no.",$C2553,"4 Item Ledger Entry Type",$C$4,"2 Item No.","@@"&amp;$F2553,"3 Posting Date",U$9)</t>
  </si>
  <si>
    <t>=-NL("Sum","5802 Value Entry","151 Cost Amount (Expected)","41 Source Type",$C$5,"5 Source No.",$C2553,"4 Item Ledger Entry Type",$C$4,"2 Item No.","@@"&amp;$F2553,"3 Posting Date",U$9)-NL("Sum","5802 Value Entry","43 Cost Amount (Actual)","41 Source Type",$C$5,"5 Source no.",$C2553,"4 Item Ledger Entry Type",$C$4,"2 Item No.","@@"&amp;$F2553,"3 Posting Date",U$9)</t>
  </si>
  <si>
    <t>=U2553-W2553</t>
  </si>
  <si>
    <t>=IF(U2553&lt;&gt;0,X2553/U2553,"")</t>
  </si>
  <si>
    <t>=NL("Sum","5802 Value Entry","150 Sales Amount (Expected)","41 Source Type",$C$5,"5 Source No.",$C2553,"4 Item Ledger Entry Type",$C$4,"2 Item No.","@@"&amp;$F2553,"3 Posting Date",Z$9)+NL("Sum","5802 Value Entry","17 Sales Amount (Actual)","41 Source Type",$C$5,"5 Source no.",$C2553,"4 Item Ledger Entry Type",$C$4,"2 Item No.","@@"&amp;$F2553,"3 Posting Date",Z$9)</t>
  </si>
  <si>
    <t>=-NL("Sum","5802 Value Entry","151 Cost Amount (Expected)","41 Source Type",$C$5,"5 Source No.",$C2553,"4 Item Ledger Entry Type",$C$4,"2 Item No.","@@"&amp;$F2553,"3 Posting Date",Z$9)-NL("Sum","5802 Value Entry","43 Cost Amount (Actual)","41 Source Type",$C$5,"5 Source no.",$C2553,"4 Item Ledger Entry Type",$C$4,"2 Item No.","@@"&amp;$F2553,"3 Posting Date",Z$9)</t>
  </si>
  <si>
    <t>=Z2553-AB2553</t>
  </si>
  <si>
    <t>=IF(Z2553&lt;&gt;0,AC2553/Z2553,"")</t>
  </si>
  <si>
    <t>=C2553</t>
  </si>
  <si>
    <t>=NL("Sum","5802 Value Entry","150 Sales Amount (Expected)","41 Source Type",$C$5,"5 Source No.",$C2554,"4 Item Ledger Entry Type",$C$4,"2 Item No.","@@"&amp;$F2554,"3 Posting Date",J$9)+NL("Sum","5802 Value Entry","17 Sales Amount (Actual)","41 Source Type",$C$5,"5 Source no.",$C2554,"4 Item Ledger Entry Type",$C$4,"2 Item No.","@@"&amp;$F2554,"3 Posting Date",J$9)</t>
  </si>
  <si>
    <t>=-NL("Sum","5802 Value Entry","151 Cost Amount (Expected)","41 Source Type",$C$5,"5 Source No.",$C2554,"4 Item Ledger Entry Type",$C$4,"2 Item No.","@@"&amp;$F2554,"3 Posting Date",J$9)-NL("Sum","5802 Value Entry","43 Cost Amount (Actual)","41 Source Type",$C$5,"5 Source no.",$C2554,"4 Item Ledger Entry Type",$C$4,"2 Item No.","@@"&amp;$F2554,"3 Posting Date",J$9)</t>
  </si>
  <si>
    <t>=J2554-L2554</t>
  </si>
  <si>
    <t>=IF(J2554&lt;&gt;0,M2554/J2554,"")</t>
  </si>
  <si>
    <t>=NL("Sum","5802 Value Entry","150 Sales Amount (Expected)","41 Source Type",$C$5,"5 Source No.",$C2554,"4 Item Ledger Entry Type",$C$4,"2 Item No.","@@"&amp;$F2554,"3 Posting Date",O$9)+NL("Sum","5802 Value Entry","17 Sales Amount (Actual)","41 Source Type",$C$5,"5 Source no.",$C2554,"4 Item Ledger Entry Type",$C$4,"2 Item No.","@@"&amp;$F2554,"3 Posting Date",O$9)</t>
  </si>
  <si>
    <t>=-NL("Sum","5802 Value Entry","151 Cost Amount (Expected)","41 Source Type",$C$5,"5 Source No.",$C2554,"4 Item Ledger Entry Type",$C$4,"2 Item No.","@@"&amp;$F2554,"3 Posting Date",O$9)-NL("Sum","5802 Value Entry","43 Cost Amount (Actual)","41 Source Type",$C$5,"5 Source no.",$C2554,"4 Item Ledger Entry Type",$C$4,"2 Item No.","@@"&amp;$F2554,"3 Posting Date",O$9)</t>
  </si>
  <si>
    <t>=O2554-Q2554</t>
  </si>
  <si>
    <t>=IF(O2554&lt;&gt;0,R2554/O2554,"")</t>
  </si>
  <si>
    <t>=NL("Sum","5802 Value Entry","150 Sales Amount (Expected)","41 Source Type",$C$5,"5 Source No.",$C2554,"4 Item Ledger Entry Type",$C$4,"2 Item No.","@@"&amp;$F2554,"3 Posting Date",U$9)+NL("Sum","5802 Value Entry","17 Sales Amount (Actual)","41 Source Type",$C$5,"5 Source no.",$C2554,"4 Item Ledger Entry Type",$C$4,"2 Item No.","@@"&amp;$F2554,"3 Posting Date",U$9)</t>
  </si>
  <si>
    <t>=-NL("Sum","5802 Value Entry","151 Cost Amount (Expected)","41 Source Type",$C$5,"5 Source No.",$C2554,"4 Item Ledger Entry Type",$C$4,"2 Item No.","@@"&amp;$F2554,"3 Posting Date",U$9)-NL("Sum","5802 Value Entry","43 Cost Amount (Actual)","41 Source Type",$C$5,"5 Source no.",$C2554,"4 Item Ledger Entry Type",$C$4,"2 Item No.","@@"&amp;$F2554,"3 Posting Date",U$9)</t>
  </si>
  <si>
    <t>=U2554-W2554</t>
  </si>
  <si>
    <t>=IF(U2554&lt;&gt;0,X2554/U2554,"")</t>
  </si>
  <si>
    <t>=NL("Sum","5802 Value Entry","150 Sales Amount (Expected)","41 Source Type",$C$5,"5 Source No.",$C2554,"4 Item Ledger Entry Type",$C$4,"2 Item No.","@@"&amp;$F2554,"3 Posting Date",Z$9)+NL("Sum","5802 Value Entry","17 Sales Amount (Actual)","41 Source Type",$C$5,"5 Source no.",$C2554,"4 Item Ledger Entry Type",$C$4,"2 Item No.","@@"&amp;$F2554,"3 Posting Date",Z$9)</t>
  </si>
  <si>
    <t>=-NL("Sum","5802 Value Entry","151 Cost Amount (Expected)","41 Source Type",$C$5,"5 Source No.",$C2554,"4 Item Ledger Entry Type",$C$4,"2 Item No.","@@"&amp;$F2554,"3 Posting Date",Z$9)-NL("Sum","5802 Value Entry","43 Cost Amount (Actual)","41 Source Type",$C$5,"5 Source no.",$C2554,"4 Item Ledger Entry Type",$C$4,"2 Item No.","@@"&amp;$F2554,"3 Posting Date",Z$9)</t>
  </si>
  <si>
    <t>=Z2554-AB2554</t>
  </si>
  <si>
    <t>=IF(Z2554&lt;&gt;0,AC2554/Z2554,"")</t>
  </si>
  <si>
    <t>=C2554</t>
  </si>
  <si>
    <t>=NL("Sum","5802 Value Entry","150 Sales Amount (Expected)","41 Source Type",$C$5,"5 Source No.",$C2555,"4 Item Ledger Entry Type",$C$4,"2 Item No.","@@"&amp;$F2555,"3 Posting Date",J$9)+NL("Sum","5802 Value Entry","17 Sales Amount (Actual)","41 Source Type",$C$5,"5 Source no.",$C2555,"4 Item Ledger Entry Type",$C$4,"2 Item No.","@@"&amp;$F2555,"3 Posting Date",J$9)</t>
  </si>
  <si>
    <t>=-NL("Sum","5802 Value Entry","151 Cost Amount (Expected)","41 Source Type",$C$5,"5 Source No.",$C2555,"4 Item Ledger Entry Type",$C$4,"2 Item No.","@@"&amp;$F2555,"3 Posting Date",J$9)-NL("Sum","5802 Value Entry","43 Cost Amount (Actual)","41 Source Type",$C$5,"5 Source no.",$C2555,"4 Item Ledger Entry Type",$C$4,"2 Item No.","@@"&amp;$F2555,"3 Posting Date",J$9)</t>
  </si>
  <si>
    <t>=J2555-L2555</t>
  </si>
  <si>
    <t>=IF(J2555&lt;&gt;0,M2555/J2555,"")</t>
  </si>
  <si>
    <t>=NL("Sum","5802 Value Entry","150 Sales Amount (Expected)","41 Source Type",$C$5,"5 Source No.",$C2555,"4 Item Ledger Entry Type",$C$4,"2 Item No.","@@"&amp;$F2555,"3 Posting Date",O$9)+NL("Sum","5802 Value Entry","17 Sales Amount (Actual)","41 Source Type",$C$5,"5 Source no.",$C2555,"4 Item Ledger Entry Type",$C$4,"2 Item No.","@@"&amp;$F2555,"3 Posting Date",O$9)</t>
  </si>
  <si>
    <t>=-NL("Sum","5802 Value Entry","151 Cost Amount (Expected)","41 Source Type",$C$5,"5 Source No.",$C2555,"4 Item Ledger Entry Type",$C$4,"2 Item No.","@@"&amp;$F2555,"3 Posting Date",O$9)-NL("Sum","5802 Value Entry","43 Cost Amount (Actual)","41 Source Type",$C$5,"5 Source no.",$C2555,"4 Item Ledger Entry Type",$C$4,"2 Item No.","@@"&amp;$F2555,"3 Posting Date",O$9)</t>
  </si>
  <si>
    <t>=O2555-Q2555</t>
  </si>
  <si>
    <t>=IF(O2555&lt;&gt;0,R2555/O2555,"")</t>
  </si>
  <si>
    <t>=NL("Sum","5802 Value Entry","150 Sales Amount (Expected)","41 Source Type",$C$5,"5 Source No.",$C2555,"4 Item Ledger Entry Type",$C$4,"2 Item No.","@@"&amp;$F2555,"3 Posting Date",U$9)+NL("Sum","5802 Value Entry","17 Sales Amount (Actual)","41 Source Type",$C$5,"5 Source no.",$C2555,"4 Item Ledger Entry Type",$C$4,"2 Item No.","@@"&amp;$F2555,"3 Posting Date",U$9)</t>
  </si>
  <si>
    <t>=-NL("Sum","5802 Value Entry","151 Cost Amount (Expected)","41 Source Type",$C$5,"5 Source No.",$C2555,"4 Item Ledger Entry Type",$C$4,"2 Item No.","@@"&amp;$F2555,"3 Posting Date",U$9)-NL("Sum","5802 Value Entry","43 Cost Amount (Actual)","41 Source Type",$C$5,"5 Source no.",$C2555,"4 Item Ledger Entry Type",$C$4,"2 Item No.","@@"&amp;$F2555,"3 Posting Date",U$9)</t>
  </si>
  <si>
    <t>=U2555-W2555</t>
  </si>
  <si>
    <t>=IF(U2555&lt;&gt;0,X2555/U2555,"")</t>
  </si>
  <si>
    <t>=NL("Sum","5802 Value Entry","150 Sales Amount (Expected)","41 Source Type",$C$5,"5 Source No.",$C2555,"4 Item Ledger Entry Type",$C$4,"2 Item No.","@@"&amp;$F2555,"3 Posting Date",Z$9)+NL("Sum","5802 Value Entry","17 Sales Amount (Actual)","41 Source Type",$C$5,"5 Source no.",$C2555,"4 Item Ledger Entry Type",$C$4,"2 Item No.","@@"&amp;$F2555,"3 Posting Date",Z$9)</t>
  </si>
  <si>
    <t>=-NL("Sum","5802 Value Entry","151 Cost Amount (Expected)","41 Source Type",$C$5,"5 Source No.",$C2555,"4 Item Ledger Entry Type",$C$4,"2 Item No.","@@"&amp;$F2555,"3 Posting Date",Z$9)-NL("Sum","5802 Value Entry","43 Cost Amount (Actual)","41 Source Type",$C$5,"5 Source no.",$C2555,"4 Item Ledger Entry Type",$C$4,"2 Item No.","@@"&amp;$F2555,"3 Posting Date",Z$9)</t>
  </si>
  <si>
    <t>=Z2555-AB2555</t>
  </si>
  <si>
    <t>=IF(Z2555&lt;&gt;0,AC2555/Z2555,"")</t>
  </si>
  <si>
    <t>=C2555</t>
  </si>
  <si>
    <t>=NL("Sum","5802 Value Entry","150 Sales Amount (Expected)","41 Source Type",$C$5,"5 Source No.",$C2556,"4 Item Ledger Entry Type",$C$4,"2 Item No.","@@"&amp;$F2556,"3 Posting Date",J$9)+NL("Sum","5802 Value Entry","17 Sales Amount (Actual)","41 Source Type",$C$5,"5 Source no.",$C2556,"4 Item Ledger Entry Type",$C$4,"2 Item No.","@@"&amp;$F2556,"3 Posting Date",J$9)</t>
  </si>
  <si>
    <t>=-NL("Sum","5802 Value Entry","151 Cost Amount (Expected)","41 Source Type",$C$5,"5 Source No.",$C2556,"4 Item Ledger Entry Type",$C$4,"2 Item No.","@@"&amp;$F2556,"3 Posting Date",J$9)-NL("Sum","5802 Value Entry","43 Cost Amount (Actual)","41 Source Type",$C$5,"5 Source no.",$C2556,"4 Item Ledger Entry Type",$C$4,"2 Item No.","@@"&amp;$F2556,"3 Posting Date",J$9)</t>
  </si>
  <si>
    <t>=J2556-L2556</t>
  </si>
  <si>
    <t>=IF(J2556&lt;&gt;0,M2556/J2556,"")</t>
  </si>
  <si>
    <t>=NL("Sum","5802 Value Entry","150 Sales Amount (Expected)","41 Source Type",$C$5,"5 Source No.",$C2556,"4 Item Ledger Entry Type",$C$4,"2 Item No.","@@"&amp;$F2556,"3 Posting Date",O$9)+NL("Sum","5802 Value Entry","17 Sales Amount (Actual)","41 Source Type",$C$5,"5 Source no.",$C2556,"4 Item Ledger Entry Type",$C$4,"2 Item No.","@@"&amp;$F2556,"3 Posting Date",O$9)</t>
  </si>
  <si>
    <t>=-NL("Sum","5802 Value Entry","151 Cost Amount (Expected)","41 Source Type",$C$5,"5 Source No.",$C2556,"4 Item Ledger Entry Type",$C$4,"2 Item No.","@@"&amp;$F2556,"3 Posting Date",O$9)-NL("Sum","5802 Value Entry","43 Cost Amount (Actual)","41 Source Type",$C$5,"5 Source no.",$C2556,"4 Item Ledger Entry Type",$C$4,"2 Item No.","@@"&amp;$F2556,"3 Posting Date",O$9)</t>
  </si>
  <si>
    <t>=O2556-Q2556</t>
  </si>
  <si>
    <t>=IF(O2556&lt;&gt;0,R2556/O2556,"")</t>
  </si>
  <si>
    <t>=NL("Sum","5802 Value Entry","150 Sales Amount (Expected)","41 Source Type",$C$5,"5 Source No.",$C2556,"4 Item Ledger Entry Type",$C$4,"2 Item No.","@@"&amp;$F2556,"3 Posting Date",U$9)+NL("Sum","5802 Value Entry","17 Sales Amount (Actual)","41 Source Type",$C$5,"5 Source no.",$C2556,"4 Item Ledger Entry Type",$C$4,"2 Item No.","@@"&amp;$F2556,"3 Posting Date",U$9)</t>
  </si>
  <si>
    <t>=-NL("Sum","5802 Value Entry","151 Cost Amount (Expected)","41 Source Type",$C$5,"5 Source No.",$C2556,"4 Item Ledger Entry Type",$C$4,"2 Item No.","@@"&amp;$F2556,"3 Posting Date",U$9)-NL("Sum","5802 Value Entry","43 Cost Amount (Actual)","41 Source Type",$C$5,"5 Source no.",$C2556,"4 Item Ledger Entry Type",$C$4,"2 Item No.","@@"&amp;$F2556,"3 Posting Date",U$9)</t>
  </si>
  <si>
    <t>=U2556-W2556</t>
  </si>
  <si>
    <t>=IF(U2556&lt;&gt;0,X2556/U2556,"")</t>
  </si>
  <si>
    <t>=NL("Sum","5802 Value Entry","150 Sales Amount (Expected)","41 Source Type",$C$5,"5 Source No.",$C2556,"4 Item Ledger Entry Type",$C$4,"2 Item No.","@@"&amp;$F2556,"3 Posting Date",Z$9)+NL("Sum","5802 Value Entry","17 Sales Amount (Actual)","41 Source Type",$C$5,"5 Source no.",$C2556,"4 Item Ledger Entry Type",$C$4,"2 Item No.","@@"&amp;$F2556,"3 Posting Date",Z$9)</t>
  </si>
  <si>
    <t>=-NL("Sum","5802 Value Entry","151 Cost Amount (Expected)","41 Source Type",$C$5,"5 Source No.",$C2556,"4 Item Ledger Entry Type",$C$4,"2 Item No.","@@"&amp;$F2556,"3 Posting Date",Z$9)-NL("Sum","5802 Value Entry","43 Cost Amount (Actual)","41 Source Type",$C$5,"5 Source no.",$C2556,"4 Item Ledger Entry Type",$C$4,"2 Item No.","@@"&amp;$F2556,"3 Posting Date",Z$9)</t>
  </si>
  <si>
    <t>=Z2556-AB2556</t>
  </si>
  <si>
    <t>=IF(Z2556&lt;&gt;0,AC2556/Z2556,"")</t>
  </si>
  <si>
    <t>=C2556</t>
  </si>
  <si>
    <t>=NL("Sum","5802 Value Entry","150 Sales Amount (Expected)","41 Source Type",$C$5,"5 Source No.",$C2557,"4 Item Ledger Entry Type",$C$4,"2 Item No.","@@"&amp;$F2557,"3 Posting Date",J$9)+NL("Sum","5802 Value Entry","17 Sales Amount (Actual)","41 Source Type",$C$5,"5 Source no.",$C2557,"4 Item Ledger Entry Type",$C$4,"2 Item No.","@@"&amp;$F2557,"3 Posting Date",J$9)</t>
  </si>
  <si>
    <t>=-NL("Sum","5802 Value Entry","151 Cost Amount (Expected)","41 Source Type",$C$5,"5 Source No.",$C2557,"4 Item Ledger Entry Type",$C$4,"2 Item No.","@@"&amp;$F2557,"3 Posting Date",J$9)-NL("Sum","5802 Value Entry","43 Cost Amount (Actual)","41 Source Type",$C$5,"5 Source no.",$C2557,"4 Item Ledger Entry Type",$C$4,"2 Item No.","@@"&amp;$F2557,"3 Posting Date",J$9)</t>
  </si>
  <si>
    <t>=J2557-L2557</t>
  </si>
  <si>
    <t>=IF(J2557&lt;&gt;0,M2557/J2557,"")</t>
  </si>
  <si>
    <t>=NL("Sum","5802 Value Entry","150 Sales Amount (Expected)","41 Source Type",$C$5,"5 Source No.",$C2557,"4 Item Ledger Entry Type",$C$4,"2 Item No.","@@"&amp;$F2557,"3 Posting Date",O$9)+NL("Sum","5802 Value Entry","17 Sales Amount (Actual)","41 Source Type",$C$5,"5 Source no.",$C2557,"4 Item Ledger Entry Type",$C$4,"2 Item No.","@@"&amp;$F2557,"3 Posting Date",O$9)</t>
  </si>
  <si>
    <t>=-NL("Sum","5802 Value Entry","151 Cost Amount (Expected)","41 Source Type",$C$5,"5 Source No.",$C2557,"4 Item Ledger Entry Type",$C$4,"2 Item No.","@@"&amp;$F2557,"3 Posting Date",O$9)-NL("Sum","5802 Value Entry","43 Cost Amount (Actual)","41 Source Type",$C$5,"5 Source no.",$C2557,"4 Item Ledger Entry Type",$C$4,"2 Item No.","@@"&amp;$F2557,"3 Posting Date",O$9)</t>
  </si>
  <si>
    <t>=O2557-Q2557</t>
  </si>
  <si>
    <t>=IF(O2557&lt;&gt;0,R2557/O2557,"")</t>
  </si>
  <si>
    <t>=NL("Sum","5802 Value Entry","150 Sales Amount (Expected)","41 Source Type",$C$5,"5 Source No.",$C2557,"4 Item Ledger Entry Type",$C$4,"2 Item No.","@@"&amp;$F2557,"3 Posting Date",U$9)+NL("Sum","5802 Value Entry","17 Sales Amount (Actual)","41 Source Type",$C$5,"5 Source no.",$C2557,"4 Item Ledger Entry Type",$C$4,"2 Item No.","@@"&amp;$F2557,"3 Posting Date",U$9)</t>
  </si>
  <si>
    <t>=-NL("Sum","5802 Value Entry","151 Cost Amount (Expected)","41 Source Type",$C$5,"5 Source No.",$C2557,"4 Item Ledger Entry Type",$C$4,"2 Item No.","@@"&amp;$F2557,"3 Posting Date",U$9)-NL("Sum","5802 Value Entry","43 Cost Amount (Actual)","41 Source Type",$C$5,"5 Source no.",$C2557,"4 Item Ledger Entry Type",$C$4,"2 Item No.","@@"&amp;$F2557,"3 Posting Date",U$9)</t>
  </si>
  <si>
    <t>=U2557-W2557</t>
  </si>
  <si>
    <t>=IF(U2557&lt;&gt;0,X2557/U2557,"")</t>
  </si>
  <si>
    <t>=NL("Sum","5802 Value Entry","150 Sales Amount (Expected)","41 Source Type",$C$5,"5 Source No.",$C2557,"4 Item Ledger Entry Type",$C$4,"2 Item No.","@@"&amp;$F2557,"3 Posting Date",Z$9)+NL("Sum","5802 Value Entry","17 Sales Amount (Actual)","41 Source Type",$C$5,"5 Source no.",$C2557,"4 Item Ledger Entry Type",$C$4,"2 Item No.","@@"&amp;$F2557,"3 Posting Date",Z$9)</t>
  </si>
  <si>
    <t>=-NL("Sum","5802 Value Entry","151 Cost Amount (Expected)","41 Source Type",$C$5,"5 Source No.",$C2557,"4 Item Ledger Entry Type",$C$4,"2 Item No.","@@"&amp;$F2557,"3 Posting Date",Z$9)-NL("Sum","5802 Value Entry","43 Cost Amount (Actual)","41 Source Type",$C$5,"5 Source no.",$C2557,"4 Item Ledger Entry Type",$C$4,"2 Item No.","@@"&amp;$F2557,"3 Posting Date",Z$9)</t>
  </si>
  <si>
    <t>=Z2557-AB2557</t>
  </si>
  <si>
    <t>=IF(Z2557&lt;&gt;0,AC2557/Z2557,"")</t>
  </si>
  <si>
    <t>=C2557</t>
  </si>
  <si>
    <t>=NL("Sum","5802 Value Entry","150 Sales Amount (Expected)","41 Source Type",$C$5,"5 Source No.",$C2558,"4 Item Ledger Entry Type",$C$4,"2 Item No.","@@"&amp;$F2558,"3 Posting Date",J$9)+NL("Sum","5802 Value Entry","17 Sales Amount (Actual)","41 Source Type",$C$5,"5 Source no.",$C2558,"4 Item Ledger Entry Type",$C$4,"2 Item No.","@@"&amp;$F2558,"3 Posting Date",J$9)</t>
  </si>
  <si>
    <t>=-NL("Sum","5802 Value Entry","151 Cost Amount (Expected)","41 Source Type",$C$5,"5 Source No.",$C2558,"4 Item Ledger Entry Type",$C$4,"2 Item No.","@@"&amp;$F2558,"3 Posting Date",J$9)-NL("Sum","5802 Value Entry","43 Cost Amount (Actual)","41 Source Type",$C$5,"5 Source no.",$C2558,"4 Item Ledger Entry Type",$C$4,"2 Item No.","@@"&amp;$F2558,"3 Posting Date",J$9)</t>
  </si>
  <si>
    <t>=J2558-L2558</t>
  </si>
  <si>
    <t>=IF(J2558&lt;&gt;0,M2558/J2558,"")</t>
  </si>
  <si>
    <t>=NL("Sum","5802 Value Entry","150 Sales Amount (Expected)","41 Source Type",$C$5,"5 Source No.",$C2558,"4 Item Ledger Entry Type",$C$4,"2 Item No.","@@"&amp;$F2558,"3 Posting Date",O$9)+NL("Sum","5802 Value Entry","17 Sales Amount (Actual)","41 Source Type",$C$5,"5 Source no.",$C2558,"4 Item Ledger Entry Type",$C$4,"2 Item No.","@@"&amp;$F2558,"3 Posting Date",O$9)</t>
  </si>
  <si>
    <t>=-NL("Sum","5802 Value Entry","151 Cost Amount (Expected)","41 Source Type",$C$5,"5 Source No.",$C2558,"4 Item Ledger Entry Type",$C$4,"2 Item No.","@@"&amp;$F2558,"3 Posting Date",O$9)-NL("Sum","5802 Value Entry","43 Cost Amount (Actual)","41 Source Type",$C$5,"5 Source no.",$C2558,"4 Item Ledger Entry Type",$C$4,"2 Item No.","@@"&amp;$F2558,"3 Posting Date",O$9)</t>
  </si>
  <si>
    <t>=O2558-Q2558</t>
  </si>
  <si>
    <t>=IF(O2558&lt;&gt;0,R2558/O2558,"")</t>
  </si>
  <si>
    <t>=NL("Sum","5802 Value Entry","150 Sales Amount (Expected)","41 Source Type",$C$5,"5 Source No.",$C2558,"4 Item Ledger Entry Type",$C$4,"2 Item No.","@@"&amp;$F2558,"3 Posting Date",U$9)+NL("Sum","5802 Value Entry","17 Sales Amount (Actual)","41 Source Type",$C$5,"5 Source no.",$C2558,"4 Item Ledger Entry Type",$C$4,"2 Item No.","@@"&amp;$F2558,"3 Posting Date",U$9)</t>
  </si>
  <si>
    <t>=-NL("Sum","5802 Value Entry","151 Cost Amount (Expected)","41 Source Type",$C$5,"5 Source No.",$C2558,"4 Item Ledger Entry Type",$C$4,"2 Item No.","@@"&amp;$F2558,"3 Posting Date",U$9)-NL("Sum","5802 Value Entry","43 Cost Amount (Actual)","41 Source Type",$C$5,"5 Source no.",$C2558,"4 Item Ledger Entry Type",$C$4,"2 Item No.","@@"&amp;$F2558,"3 Posting Date",U$9)</t>
  </si>
  <si>
    <t>=U2558-W2558</t>
  </si>
  <si>
    <t>=IF(U2558&lt;&gt;0,X2558/U2558,"")</t>
  </si>
  <si>
    <t>=NL("Sum","5802 Value Entry","150 Sales Amount (Expected)","41 Source Type",$C$5,"5 Source No.",$C2558,"4 Item Ledger Entry Type",$C$4,"2 Item No.","@@"&amp;$F2558,"3 Posting Date",Z$9)+NL("Sum","5802 Value Entry","17 Sales Amount (Actual)","41 Source Type",$C$5,"5 Source no.",$C2558,"4 Item Ledger Entry Type",$C$4,"2 Item No.","@@"&amp;$F2558,"3 Posting Date",Z$9)</t>
  </si>
  <si>
    <t>=-NL("Sum","5802 Value Entry","151 Cost Amount (Expected)","41 Source Type",$C$5,"5 Source No.",$C2558,"4 Item Ledger Entry Type",$C$4,"2 Item No.","@@"&amp;$F2558,"3 Posting Date",Z$9)-NL("Sum","5802 Value Entry","43 Cost Amount (Actual)","41 Source Type",$C$5,"5 Source no.",$C2558,"4 Item Ledger Entry Type",$C$4,"2 Item No.","@@"&amp;$F2558,"3 Posting Date",Z$9)</t>
  </si>
  <si>
    <t>=Z2558-AB2558</t>
  </si>
  <si>
    <t>=IF(Z2558&lt;&gt;0,AC2558/Z2558,"")</t>
  </si>
  <si>
    <t>=C2558</t>
  </si>
  <si>
    <t>=NL("Sum","5802 Value Entry","150 Sales Amount (Expected)","41 Source Type",$C$5,"5 Source No.",$C2559,"4 Item Ledger Entry Type",$C$4,"2 Item No.","@@"&amp;$F2559,"3 Posting Date",J$9)+NL("Sum","5802 Value Entry","17 Sales Amount (Actual)","41 Source Type",$C$5,"5 Source no.",$C2559,"4 Item Ledger Entry Type",$C$4,"2 Item No.","@@"&amp;$F2559,"3 Posting Date",J$9)</t>
  </si>
  <si>
    <t>=-NL("Sum","5802 Value Entry","151 Cost Amount (Expected)","41 Source Type",$C$5,"5 Source No.",$C2559,"4 Item Ledger Entry Type",$C$4,"2 Item No.","@@"&amp;$F2559,"3 Posting Date",J$9)-NL("Sum","5802 Value Entry","43 Cost Amount (Actual)","41 Source Type",$C$5,"5 Source no.",$C2559,"4 Item Ledger Entry Type",$C$4,"2 Item No.","@@"&amp;$F2559,"3 Posting Date",J$9)</t>
  </si>
  <si>
    <t>=J2559-L2559</t>
  </si>
  <si>
    <t>=IF(J2559&lt;&gt;0,M2559/J2559,"")</t>
  </si>
  <si>
    <t>=NL("Sum","5802 Value Entry","150 Sales Amount (Expected)","41 Source Type",$C$5,"5 Source No.",$C2559,"4 Item Ledger Entry Type",$C$4,"2 Item No.","@@"&amp;$F2559,"3 Posting Date",O$9)+NL("Sum","5802 Value Entry","17 Sales Amount (Actual)","41 Source Type",$C$5,"5 Source no.",$C2559,"4 Item Ledger Entry Type",$C$4,"2 Item No.","@@"&amp;$F2559,"3 Posting Date",O$9)</t>
  </si>
  <si>
    <t>=-NL("Sum","5802 Value Entry","151 Cost Amount (Expected)","41 Source Type",$C$5,"5 Source No.",$C2559,"4 Item Ledger Entry Type",$C$4,"2 Item No.","@@"&amp;$F2559,"3 Posting Date",O$9)-NL("Sum","5802 Value Entry","43 Cost Amount (Actual)","41 Source Type",$C$5,"5 Source no.",$C2559,"4 Item Ledger Entry Type",$C$4,"2 Item No.","@@"&amp;$F2559,"3 Posting Date",O$9)</t>
  </si>
  <si>
    <t>=O2559-Q2559</t>
  </si>
  <si>
    <t>=IF(O2559&lt;&gt;0,R2559/O2559,"")</t>
  </si>
  <si>
    <t>=NL("Sum","5802 Value Entry","150 Sales Amount (Expected)","41 Source Type",$C$5,"5 Source No.",$C2559,"4 Item Ledger Entry Type",$C$4,"2 Item No.","@@"&amp;$F2559,"3 Posting Date",U$9)+NL("Sum","5802 Value Entry","17 Sales Amount (Actual)","41 Source Type",$C$5,"5 Source no.",$C2559,"4 Item Ledger Entry Type",$C$4,"2 Item No.","@@"&amp;$F2559,"3 Posting Date",U$9)</t>
  </si>
  <si>
    <t>=-NL("Sum","5802 Value Entry","151 Cost Amount (Expected)","41 Source Type",$C$5,"5 Source No.",$C2559,"4 Item Ledger Entry Type",$C$4,"2 Item No.","@@"&amp;$F2559,"3 Posting Date",U$9)-NL("Sum","5802 Value Entry","43 Cost Amount (Actual)","41 Source Type",$C$5,"5 Source no.",$C2559,"4 Item Ledger Entry Type",$C$4,"2 Item No.","@@"&amp;$F2559,"3 Posting Date",U$9)</t>
  </si>
  <si>
    <t>=U2559-W2559</t>
  </si>
  <si>
    <t>=IF(U2559&lt;&gt;0,X2559/U2559,"")</t>
  </si>
  <si>
    <t>=NL("Sum","5802 Value Entry","150 Sales Amount (Expected)","41 Source Type",$C$5,"5 Source No.",$C2559,"4 Item Ledger Entry Type",$C$4,"2 Item No.","@@"&amp;$F2559,"3 Posting Date",Z$9)+NL("Sum","5802 Value Entry","17 Sales Amount (Actual)","41 Source Type",$C$5,"5 Source no.",$C2559,"4 Item Ledger Entry Type",$C$4,"2 Item No.","@@"&amp;$F2559,"3 Posting Date",Z$9)</t>
  </si>
  <si>
    <t>=-NL("Sum","5802 Value Entry","151 Cost Amount (Expected)","41 Source Type",$C$5,"5 Source No.",$C2559,"4 Item Ledger Entry Type",$C$4,"2 Item No.","@@"&amp;$F2559,"3 Posting Date",Z$9)-NL("Sum","5802 Value Entry","43 Cost Amount (Actual)","41 Source Type",$C$5,"5 Source no.",$C2559,"4 Item Ledger Entry Type",$C$4,"2 Item No.","@@"&amp;$F2559,"3 Posting Date",Z$9)</t>
  </si>
  <si>
    <t>=Z2559-AB2559</t>
  </si>
  <si>
    <t>=IF(Z2559&lt;&gt;0,AC2559/Z2559,"")</t>
  </si>
  <si>
    <t>=C2559</t>
  </si>
  <si>
    <t>=NL("Sum","5802 Value Entry","150 Sales Amount (Expected)","41 Source Type",$C$5,"5 Source No.",$C2560,"4 Item Ledger Entry Type",$C$4,"2 Item No.","@@"&amp;$F2560,"3 Posting Date",J$9)+NL("Sum","5802 Value Entry","17 Sales Amount (Actual)","41 Source Type",$C$5,"5 Source no.",$C2560,"4 Item Ledger Entry Type",$C$4,"2 Item No.","@@"&amp;$F2560,"3 Posting Date",J$9)</t>
  </si>
  <si>
    <t>=-NL("Sum","5802 Value Entry","151 Cost Amount (Expected)","41 Source Type",$C$5,"5 Source No.",$C2560,"4 Item Ledger Entry Type",$C$4,"2 Item No.","@@"&amp;$F2560,"3 Posting Date",J$9)-NL("Sum","5802 Value Entry","43 Cost Amount (Actual)","41 Source Type",$C$5,"5 Source no.",$C2560,"4 Item Ledger Entry Type",$C$4,"2 Item No.","@@"&amp;$F2560,"3 Posting Date",J$9)</t>
  </si>
  <si>
    <t>=J2560-L2560</t>
  </si>
  <si>
    <t>=IF(J2560&lt;&gt;0,M2560/J2560,"")</t>
  </si>
  <si>
    <t>=NL("Sum","5802 Value Entry","150 Sales Amount (Expected)","41 Source Type",$C$5,"5 Source No.",$C2560,"4 Item Ledger Entry Type",$C$4,"2 Item No.","@@"&amp;$F2560,"3 Posting Date",O$9)+NL("Sum","5802 Value Entry","17 Sales Amount (Actual)","41 Source Type",$C$5,"5 Source no.",$C2560,"4 Item Ledger Entry Type",$C$4,"2 Item No.","@@"&amp;$F2560,"3 Posting Date",O$9)</t>
  </si>
  <si>
    <t>=-NL("Sum","5802 Value Entry","151 Cost Amount (Expected)","41 Source Type",$C$5,"5 Source No.",$C2560,"4 Item Ledger Entry Type",$C$4,"2 Item No.","@@"&amp;$F2560,"3 Posting Date",O$9)-NL("Sum","5802 Value Entry","43 Cost Amount (Actual)","41 Source Type",$C$5,"5 Source no.",$C2560,"4 Item Ledger Entry Type",$C$4,"2 Item No.","@@"&amp;$F2560,"3 Posting Date",O$9)</t>
  </si>
  <si>
    <t>=O2560-Q2560</t>
  </si>
  <si>
    <t>=IF(O2560&lt;&gt;0,R2560/O2560,"")</t>
  </si>
  <si>
    <t>=NL("Sum","5802 Value Entry","150 Sales Amount (Expected)","41 Source Type",$C$5,"5 Source No.",$C2560,"4 Item Ledger Entry Type",$C$4,"2 Item No.","@@"&amp;$F2560,"3 Posting Date",U$9)+NL("Sum","5802 Value Entry","17 Sales Amount (Actual)","41 Source Type",$C$5,"5 Source no.",$C2560,"4 Item Ledger Entry Type",$C$4,"2 Item No.","@@"&amp;$F2560,"3 Posting Date",U$9)</t>
  </si>
  <si>
    <t>=-NL("Sum","5802 Value Entry","151 Cost Amount (Expected)","41 Source Type",$C$5,"5 Source No.",$C2560,"4 Item Ledger Entry Type",$C$4,"2 Item No.","@@"&amp;$F2560,"3 Posting Date",U$9)-NL("Sum","5802 Value Entry","43 Cost Amount (Actual)","41 Source Type",$C$5,"5 Source no.",$C2560,"4 Item Ledger Entry Type",$C$4,"2 Item No.","@@"&amp;$F2560,"3 Posting Date",U$9)</t>
  </si>
  <si>
    <t>=U2560-W2560</t>
  </si>
  <si>
    <t>=IF(U2560&lt;&gt;0,X2560/U2560,"")</t>
  </si>
  <si>
    <t>=NL("Sum","5802 Value Entry","150 Sales Amount (Expected)","41 Source Type",$C$5,"5 Source No.",$C2560,"4 Item Ledger Entry Type",$C$4,"2 Item No.","@@"&amp;$F2560,"3 Posting Date",Z$9)+NL("Sum","5802 Value Entry","17 Sales Amount (Actual)","41 Source Type",$C$5,"5 Source no.",$C2560,"4 Item Ledger Entry Type",$C$4,"2 Item No.","@@"&amp;$F2560,"3 Posting Date",Z$9)</t>
  </si>
  <si>
    <t>=-NL("Sum","5802 Value Entry","151 Cost Amount (Expected)","41 Source Type",$C$5,"5 Source No.",$C2560,"4 Item Ledger Entry Type",$C$4,"2 Item No.","@@"&amp;$F2560,"3 Posting Date",Z$9)-NL("Sum","5802 Value Entry","43 Cost Amount (Actual)","41 Source Type",$C$5,"5 Source no.",$C2560,"4 Item Ledger Entry Type",$C$4,"2 Item No.","@@"&amp;$F2560,"3 Posting Date",Z$9)</t>
  </si>
  <si>
    <t>=Z2560-AB2560</t>
  </si>
  <si>
    <t>=IF(Z2560&lt;&gt;0,AC2560/Z2560,"")</t>
  </si>
  <si>
    <t>=C2560</t>
  </si>
  <si>
    <t>=NL("Sum","5802 Value Entry","150 Sales Amount (Expected)","41 Source Type",$C$5,"5 Source No.",$C2561,"4 Item Ledger Entry Type",$C$4,"2 Item No.","@@"&amp;$F2561,"3 Posting Date",J$9)+NL("Sum","5802 Value Entry","17 Sales Amount (Actual)","41 Source Type",$C$5,"5 Source no.",$C2561,"4 Item Ledger Entry Type",$C$4,"2 Item No.","@@"&amp;$F2561,"3 Posting Date",J$9)</t>
  </si>
  <si>
    <t>=-NL("Sum","5802 Value Entry","151 Cost Amount (Expected)","41 Source Type",$C$5,"5 Source No.",$C2561,"4 Item Ledger Entry Type",$C$4,"2 Item No.","@@"&amp;$F2561,"3 Posting Date",J$9)-NL("Sum","5802 Value Entry","43 Cost Amount (Actual)","41 Source Type",$C$5,"5 Source no.",$C2561,"4 Item Ledger Entry Type",$C$4,"2 Item No.","@@"&amp;$F2561,"3 Posting Date",J$9)</t>
  </si>
  <si>
    <t>=J2561-L2561</t>
  </si>
  <si>
    <t>=IF(J2561&lt;&gt;0,M2561/J2561,"")</t>
  </si>
  <si>
    <t>=NL("Sum","5802 Value Entry","150 Sales Amount (Expected)","41 Source Type",$C$5,"5 Source No.",$C2561,"4 Item Ledger Entry Type",$C$4,"2 Item No.","@@"&amp;$F2561,"3 Posting Date",O$9)+NL("Sum","5802 Value Entry","17 Sales Amount (Actual)","41 Source Type",$C$5,"5 Source no.",$C2561,"4 Item Ledger Entry Type",$C$4,"2 Item No.","@@"&amp;$F2561,"3 Posting Date",O$9)</t>
  </si>
  <si>
    <t>=-NL("Sum","5802 Value Entry","151 Cost Amount (Expected)","41 Source Type",$C$5,"5 Source No.",$C2561,"4 Item Ledger Entry Type",$C$4,"2 Item No.","@@"&amp;$F2561,"3 Posting Date",O$9)-NL("Sum","5802 Value Entry","43 Cost Amount (Actual)","41 Source Type",$C$5,"5 Source no.",$C2561,"4 Item Ledger Entry Type",$C$4,"2 Item No.","@@"&amp;$F2561,"3 Posting Date",O$9)</t>
  </si>
  <si>
    <t>=O2561-Q2561</t>
  </si>
  <si>
    <t>=IF(O2561&lt;&gt;0,R2561/O2561,"")</t>
  </si>
  <si>
    <t>=NL("Sum","5802 Value Entry","150 Sales Amount (Expected)","41 Source Type",$C$5,"5 Source No.",$C2561,"4 Item Ledger Entry Type",$C$4,"2 Item No.","@@"&amp;$F2561,"3 Posting Date",U$9)+NL("Sum","5802 Value Entry","17 Sales Amount (Actual)","41 Source Type",$C$5,"5 Source no.",$C2561,"4 Item Ledger Entry Type",$C$4,"2 Item No.","@@"&amp;$F2561,"3 Posting Date",U$9)</t>
  </si>
  <si>
    <t>=-NL("Sum","5802 Value Entry","151 Cost Amount (Expected)","41 Source Type",$C$5,"5 Source No.",$C2561,"4 Item Ledger Entry Type",$C$4,"2 Item No.","@@"&amp;$F2561,"3 Posting Date",U$9)-NL("Sum","5802 Value Entry","43 Cost Amount (Actual)","41 Source Type",$C$5,"5 Source no.",$C2561,"4 Item Ledger Entry Type",$C$4,"2 Item No.","@@"&amp;$F2561,"3 Posting Date",U$9)</t>
  </si>
  <si>
    <t>=U2561-W2561</t>
  </si>
  <si>
    <t>=IF(U2561&lt;&gt;0,X2561/U2561,"")</t>
  </si>
  <si>
    <t>=NL("Sum","5802 Value Entry","150 Sales Amount (Expected)","41 Source Type",$C$5,"5 Source No.",$C2561,"4 Item Ledger Entry Type",$C$4,"2 Item No.","@@"&amp;$F2561,"3 Posting Date",Z$9)+NL("Sum","5802 Value Entry","17 Sales Amount (Actual)","41 Source Type",$C$5,"5 Source no.",$C2561,"4 Item Ledger Entry Type",$C$4,"2 Item No.","@@"&amp;$F2561,"3 Posting Date",Z$9)</t>
  </si>
  <si>
    <t>=-NL("Sum","5802 Value Entry","151 Cost Amount (Expected)","41 Source Type",$C$5,"5 Source No.",$C2561,"4 Item Ledger Entry Type",$C$4,"2 Item No.","@@"&amp;$F2561,"3 Posting Date",Z$9)-NL("Sum","5802 Value Entry","43 Cost Amount (Actual)","41 Source Type",$C$5,"5 Source no.",$C2561,"4 Item Ledger Entry Type",$C$4,"2 Item No.","@@"&amp;$F2561,"3 Posting Date",Z$9)</t>
  </si>
  <si>
    <t>=Z2561-AB2561</t>
  </si>
  <si>
    <t>=IF(Z2561&lt;&gt;0,AC2561/Z2561,"")</t>
  </si>
  <si>
    <t>=C2561</t>
  </si>
  <si>
    <t>=NL("Sum","5802 Value Entry","150 Sales Amount (Expected)","41 Source Type",$C$5,"5 Source No.",$C2562,"4 Item Ledger Entry Type",$C$4,"2 Item No.","@@"&amp;$F2562,"3 Posting Date",J$9)+NL("Sum","5802 Value Entry","17 Sales Amount (Actual)","41 Source Type",$C$5,"5 Source no.",$C2562,"4 Item Ledger Entry Type",$C$4,"2 Item No.","@@"&amp;$F2562,"3 Posting Date",J$9)</t>
  </si>
  <si>
    <t>=-NL("Sum","5802 Value Entry","151 Cost Amount (Expected)","41 Source Type",$C$5,"5 Source No.",$C2562,"4 Item Ledger Entry Type",$C$4,"2 Item No.","@@"&amp;$F2562,"3 Posting Date",J$9)-NL("Sum","5802 Value Entry","43 Cost Amount (Actual)","41 Source Type",$C$5,"5 Source no.",$C2562,"4 Item Ledger Entry Type",$C$4,"2 Item No.","@@"&amp;$F2562,"3 Posting Date",J$9)</t>
  </si>
  <si>
    <t>=J2562-L2562</t>
  </si>
  <si>
    <t>=IF(J2562&lt;&gt;0,M2562/J2562,"")</t>
  </si>
  <si>
    <t>=NL("Sum","5802 Value Entry","150 Sales Amount (Expected)","41 Source Type",$C$5,"5 Source No.",$C2562,"4 Item Ledger Entry Type",$C$4,"2 Item No.","@@"&amp;$F2562,"3 Posting Date",O$9)+NL("Sum","5802 Value Entry","17 Sales Amount (Actual)","41 Source Type",$C$5,"5 Source no.",$C2562,"4 Item Ledger Entry Type",$C$4,"2 Item No.","@@"&amp;$F2562,"3 Posting Date",O$9)</t>
  </si>
  <si>
    <t>=-NL("Sum","5802 Value Entry","151 Cost Amount (Expected)","41 Source Type",$C$5,"5 Source No.",$C2562,"4 Item Ledger Entry Type",$C$4,"2 Item No.","@@"&amp;$F2562,"3 Posting Date",O$9)-NL("Sum","5802 Value Entry","43 Cost Amount (Actual)","41 Source Type",$C$5,"5 Source no.",$C2562,"4 Item Ledger Entry Type",$C$4,"2 Item No.","@@"&amp;$F2562,"3 Posting Date",O$9)</t>
  </si>
  <si>
    <t>=O2562-Q2562</t>
  </si>
  <si>
    <t>=IF(O2562&lt;&gt;0,R2562/O2562,"")</t>
  </si>
  <si>
    <t>=NL("Sum","5802 Value Entry","150 Sales Amount (Expected)","41 Source Type",$C$5,"5 Source No.",$C2562,"4 Item Ledger Entry Type",$C$4,"2 Item No.","@@"&amp;$F2562,"3 Posting Date",U$9)+NL("Sum","5802 Value Entry","17 Sales Amount (Actual)","41 Source Type",$C$5,"5 Source no.",$C2562,"4 Item Ledger Entry Type",$C$4,"2 Item No.","@@"&amp;$F2562,"3 Posting Date",U$9)</t>
  </si>
  <si>
    <t>=-NL("Sum","5802 Value Entry","151 Cost Amount (Expected)","41 Source Type",$C$5,"5 Source No.",$C2562,"4 Item Ledger Entry Type",$C$4,"2 Item No.","@@"&amp;$F2562,"3 Posting Date",U$9)-NL("Sum","5802 Value Entry","43 Cost Amount (Actual)","41 Source Type",$C$5,"5 Source no.",$C2562,"4 Item Ledger Entry Type",$C$4,"2 Item No.","@@"&amp;$F2562,"3 Posting Date",U$9)</t>
  </si>
  <si>
    <t>=U2562-W2562</t>
  </si>
  <si>
    <t>=IF(U2562&lt;&gt;0,X2562/U2562,"")</t>
  </si>
  <si>
    <t>=NL("Sum","5802 Value Entry","150 Sales Amount (Expected)","41 Source Type",$C$5,"5 Source No.",$C2562,"4 Item Ledger Entry Type",$C$4,"2 Item No.","@@"&amp;$F2562,"3 Posting Date",Z$9)+NL("Sum","5802 Value Entry","17 Sales Amount (Actual)","41 Source Type",$C$5,"5 Source no.",$C2562,"4 Item Ledger Entry Type",$C$4,"2 Item No.","@@"&amp;$F2562,"3 Posting Date",Z$9)</t>
  </si>
  <si>
    <t>=-NL("Sum","5802 Value Entry","151 Cost Amount (Expected)","41 Source Type",$C$5,"5 Source No.",$C2562,"4 Item Ledger Entry Type",$C$4,"2 Item No.","@@"&amp;$F2562,"3 Posting Date",Z$9)-NL("Sum","5802 Value Entry","43 Cost Amount (Actual)","41 Source Type",$C$5,"5 Source no.",$C2562,"4 Item Ledger Entry Type",$C$4,"2 Item No.","@@"&amp;$F2562,"3 Posting Date",Z$9)</t>
  </si>
  <si>
    <t>=Z2562-AB2562</t>
  </si>
  <si>
    <t>=IF(Z2562&lt;&gt;0,AC2562/Z2562,"")</t>
  </si>
  <si>
    <t>=C2562</t>
  </si>
  <si>
    <t>=NL("Sum","5802 Value Entry","150 Sales Amount (Expected)","41 Source Type",$C$5,"5 Source No.",$C2563,"4 Item Ledger Entry Type",$C$4,"2 Item No.","@@"&amp;$F2563,"3 Posting Date",J$9)+NL("Sum","5802 Value Entry","17 Sales Amount (Actual)","41 Source Type",$C$5,"5 Source no.",$C2563,"4 Item Ledger Entry Type",$C$4,"2 Item No.","@@"&amp;$F2563,"3 Posting Date",J$9)</t>
  </si>
  <si>
    <t>=-NL("Sum","5802 Value Entry","151 Cost Amount (Expected)","41 Source Type",$C$5,"5 Source No.",$C2563,"4 Item Ledger Entry Type",$C$4,"2 Item No.","@@"&amp;$F2563,"3 Posting Date",J$9)-NL("Sum","5802 Value Entry","43 Cost Amount (Actual)","41 Source Type",$C$5,"5 Source no.",$C2563,"4 Item Ledger Entry Type",$C$4,"2 Item No.","@@"&amp;$F2563,"3 Posting Date",J$9)</t>
  </si>
  <si>
    <t>=J2563-L2563</t>
  </si>
  <si>
    <t>=IF(J2563&lt;&gt;0,M2563/J2563,"")</t>
  </si>
  <si>
    <t>=NL("Sum","5802 Value Entry","150 Sales Amount (Expected)","41 Source Type",$C$5,"5 Source No.",$C2563,"4 Item Ledger Entry Type",$C$4,"2 Item No.","@@"&amp;$F2563,"3 Posting Date",O$9)+NL("Sum","5802 Value Entry","17 Sales Amount (Actual)","41 Source Type",$C$5,"5 Source no.",$C2563,"4 Item Ledger Entry Type",$C$4,"2 Item No.","@@"&amp;$F2563,"3 Posting Date",O$9)</t>
  </si>
  <si>
    <t>=-NL("Sum","5802 Value Entry","151 Cost Amount (Expected)","41 Source Type",$C$5,"5 Source No.",$C2563,"4 Item Ledger Entry Type",$C$4,"2 Item No.","@@"&amp;$F2563,"3 Posting Date",O$9)-NL("Sum","5802 Value Entry","43 Cost Amount (Actual)","41 Source Type",$C$5,"5 Source no.",$C2563,"4 Item Ledger Entry Type",$C$4,"2 Item No.","@@"&amp;$F2563,"3 Posting Date",O$9)</t>
  </si>
  <si>
    <t>=O2563-Q2563</t>
  </si>
  <si>
    <t>=IF(O2563&lt;&gt;0,R2563/O2563,"")</t>
  </si>
  <si>
    <t>=NL("Sum","5802 Value Entry","150 Sales Amount (Expected)","41 Source Type",$C$5,"5 Source No.",$C2563,"4 Item Ledger Entry Type",$C$4,"2 Item No.","@@"&amp;$F2563,"3 Posting Date",U$9)+NL("Sum","5802 Value Entry","17 Sales Amount (Actual)","41 Source Type",$C$5,"5 Source no.",$C2563,"4 Item Ledger Entry Type",$C$4,"2 Item No.","@@"&amp;$F2563,"3 Posting Date",U$9)</t>
  </si>
  <si>
    <t>=-NL("Sum","5802 Value Entry","151 Cost Amount (Expected)","41 Source Type",$C$5,"5 Source No.",$C2563,"4 Item Ledger Entry Type",$C$4,"2 Item No.","@@"&amp;$F2563,"3 Posting Date",U$9)-NL("Sum","5802 Value Entry","43 Cost Amount (Actual)","41 Source Type",$C$5,"5 Source no.",$C2563,"4 Item Ledger Entry Type",$C$4,"2 Item No.","@@"&amp;$F2563,"3 Posting Date",U$9)</t>
  </si>
  <si>
    <t>=U2563-W2563</t>
  </si>
  <si>
    <t>=IF(U2563&lt;&gt;0,X2563/U2563,"")</t>
  </si>
  <si>
    <t>=NL("Sum","5802 Value Entry","150 Sales Amount (Expected)","41 Source Type",$C$5,"5 Source No.",$C2563,"4 Item Ledger Entry Type",$C$4,"2 Item No.","@@"&amp;$F2563,"3 Posting Date",Z$9)+NL("Sum","5802 Value Entry","17 Sales Amount (Actual)","41 Source Type",$C$5,"5 Source no.",$C2563,"4 Item Ledger Entry Type",$C$4,"2 Item No.","@@"&amp;$F2563,"3 Posting Date",Z$9)</t>
  </si>
  <si>
    <t>=-NL("Sum","5802 Value Entry","151 Cost Amount (Expected)","41 Source Type",$C$5,"5 Source No.",$C2563,"4 Item Ledger Entry Type",$C$4,"2 Item No.","@@"&amp;$F2563,"3 Posting Date",Z$9)-NL("Sum","5802 Value Entry","43 Cost Amount (Actual)","41 Source Type",$C$5,"5 Source no.",$C2563,"4 Item Ledger Entry Type",$C$4,"2 Item No.","@@"&amp;$F2563,"3 Posting Date",Z$9)</t>
  </si>
  <si>
    <t>=Z2563-AB2563</t>
  </si>
  <si>
    <t>=IF(Z2563&lt;&gt;0,AC2563/Z2563,"")</t>
  </si>
  <si>
    <t>=C2563</t>
  </si>
  <si>
    <t>=NL("Sum","5802 Value Entry","150 Sales Amount (Expected)","41 Source Type",$C$5,"5 Source No.",$C2564,"4 Item Ledger Entry Type",$C$4,"2 Item No.","@@"&amp;$F2564,"3 Posting Date",J$9)+NL("Sum","5802 Value Entry","17 Sales Amount (Actual)","41 Source Type",$C$5,"5 Source no.",$C2564,"4 Item Ledger Entry Type",$C$4,"2 Item No.","@@"&amp;$F2564,"3 Posting Date",J$9)</t>
  </si>
  <si>
    <t>=-NL("Sum","5802 Value Entry","151 Cost Amount (Expected)","41 Source Type",$C$5,"5 Source No.",$C2564,"4 Item Ledger Entry Type",$C$4,"2 Item No.","@@"&amp;$F2564,"3 Posting Date",J$9)-NL("Sum","5802 Value Entry","43 Cost Amount (Actual)","41 Source Type",$C$5,"5 Source no.",$C2564,"4 Item Ledger Entry Type",$C$4,"2 Item No.","@@"&amp;$F2564,"3 Posting Date",J$9)</t>
  </si>
  <si>
    <t>=J2564-L2564</t>
  </si>
  <si>
    <t>=IF(J2564&lt;&gt;0,M2564/J2564,"")</t>
  </si>
  <si>
    <t>=NL("Sum","5802 Value Entry","150 Sales Amount (Expected)","41 Source Type",$C$5,"5 Source No.",$C2564,"4 Item Ledger Entry Type",$C$4,"2 Item No.","@@"&amp;$F2564,"3 Posting Date",O$9)+NL("Sum","5802 Value Entry","17 Sales Amount (Actual)","41 Source Type",$C$5,"5 Source no.",$C2564,"4 Item Ledger Entry Type",$C$4,"2 Item No.","@@"&amp;$F2564,"3 Posting Date",O$9)</t>
  </si>
  <si>
    <t>=-NL("Sum","5802 Value Entry","151 Cost Amount (Expected)","41 Source Type",$C$5,"5 Source No.",$C2564,"4 Item Ledger Entry Type",$C$4,"2 Item No.","@@"&amp;$F2564,"3 Posting Date",O$9)-NL("Sum","5802 Value Entry","43 Cost Amount (Actual)","41 Source Type",$C$5,"5 Source no.",$C2564,"4 Item Ledger Entry Type",$C$4,"2 Item No.","@@"&amp;$F2564,"3 Posting Date",O$9)</t>
  </si>
  <si>
    <t>=O2564-Q2564</t>
  </si>
  <si>
    <t>=IF(O2564&lt;&gt;0,R2564/O2564,"")</t>
  </si>
  <si>
    <t>=NL("Sum","5802 Value Entry","150 Sales Amount (Expected)","41 Source Type",$C$5,"5 Source No.",$C2564,"4 Item Ledger Entry Type",$C$4,"2 Item No.","@@"&amp;$F2564,"3 Posting Date",U$9)+NL("Sum","5802 Value Entry","17 Sales Amount (Actual)","41 Source Type",$C$5,"5 Source no.",$C2564,"4 Item Ledger Entry Type",$C$4,"2 Item No.","@@"&amp;$F2564,"3 Posting Date",U$9)</t>
  </si>
  <si>
    <t>=-NL("Sum","5802 Value Entry","151 Cost Amount (Expected)","41 Source Type",$C$5,"5 Source No.",$C2564,"4 Item Ledger Entry Type",$C$4,"2 Item No.","@@"&amp;$F2564,"3 Posting Date",U$9)-NL("Sum","5802 Value Entry","43 Cost Amount (Actual)","41 Source Type",$C$5,"5 Source no.",$C2564,"4 Item Ledger Entry Type",$C$4,"2 Item No.","@@"&amp;$F2564,"3 Posting Date",U$9)</t>
  </si>
  <si>
    <t>=U2564-W2564</t>
  </si>
  <si>
    <t>=IF(U2564&lt;&gt;0,X2564/U2564,"")</t>
  </si>
  <si>
    <t>=NL("Sum","5802 Value Entry","150 Sales Amount (Expected)","41 Source Type",$C$5,"5 Source No.",$C2564,"4 Item Ledger Entry Type",$C$4,"2 Item No.","@@"&amp;$F2564,"3 Posting Date",Z$9)+NL("Sum","5802 Value Entry","17 Sales Amount (Actual)","41 Source Type",$C$5,"5 Source no.",$C2564,"4 Item Ledger Entry Type",$C$4,"2 Item No.","@@"&amp;$F2564,"3 Posting Date",Z$9)</t>
  </si>
  <si>
    <t>=-NL("Sum","5802 Value Entry","151 Cost Amount (Expected)","41 Source Type",$C$5,"5 Source No.",$C2564,"4 Item Ledger Entry Type",$C$4,"2 Item No.","@@"&amp;$F2564,"3 Posting Date",Z$9)-NL("Sum","5802 Value Entry","43 Cost Amount (Actual)","41 Source Type",$C$5,"5 Source no.",$C2564,"4 Item Ledger Entry Type",$C$4,"2 Item No.","@@"&amp;$F2564,"3 Posting Date",Z$9)</t>
  </si>
  <si>
    <t>=Z2564-AB2564</t>
  </si>
  <si>
    <t>=IF(Z2564&lt;&gt;0,AC2564/Z2564,"")</t>
  </si>
  <si>
    <t>=C2564</t>
  </si>
  <si>
    <t>=NL("Sum","5802 Value Entry","150 Sales Amount (Expected)","41 Source Type",$C$5,"5 Source No.",$C2565,"4 Item Ledger Entry Type",$C$4,"2 Item No.","@@"&amp;$F2565,"3 Posting Date",J$9)+NL("Sum","5802 Value Entry","17 Sales Amount (Actual)","41 Source Type",$C$5,"5 Source no.",$C2565,"4 Item Ledger Entry Type",$C$4,"2 Item No.","@@"&amp;$F2565,"3 Posting Date",J$9)</t>
  </si>
  <si>
    <t>=-NL("Sum","5802 Value Entry","151 Cost Amount (Expected)","41 Source Type",$C$5,"5 Source No.",$C2565,"4 Item Ledger Entry Type",$C$4,"2 Item No.","@@"&amp;$F2565,"3 Posting Date",J$9)-NL("Sum","5802 Value Entry","43 Cost Amount (Actual)","41 Source Type",$C$5,"5 Source no.",$C2565,"4 Item Ledger Entry Type",$C$4,"2 Item No.","@@"&amp;$F2565,"3 Posting Date",J$9)</t>
  </si>
  <si>
    <t>=J2565-L2565</t>
  </si>
  <si>
    <t>=IF(J2565&lt;&gt;0,M2565/J2565,"")</t>
  </si>
  <si>
    <t>=NL("Sum","5802 Value Entry","150 Sales Amount (Expected)","41 Source Type",$C$5,"5 Source No.",$C2565,"4 Item Ledger Entry Type",$C$4,"2 Item No.","@@"&amp;$F2565,"3 Posting Date",O$9)+NL("Sum","5802 Value Entry","17 Sales Amount (Actual)","41 Source Type",$C$5,"5 Source no.",$C2565,"4 Item Ledger Entry Type",$C$4,"2 Item No.","@@"&amp;$F2565,"3 Posting Date",O$9)</t>
  </si>
  <si>
    <t>=-NL("Sum","5802 Value Entry","151 Cost Amount (Expected)","41 Source Type",$C$5,"5 Source No.",$C2565,"4 Item Ledger Entry Type",$C$4,"2 Item No.","@@"&amp;$F2565,"3 Posting Date",O$9)-NL("Sum","5802 Value Entry","43 Cost Amount (Actual)","41 Source Type",$C$5,"5 Source no.",$C2565,"4 Item Ledger Entry Type",$C$4,"2 Item No.","@@"&amp;$F2565,"3 Posting Date",O$9)</t>
  </si>
  <si>
    <t>=O2565-Q2565</t>
  </si>
  <si>
    <t>=IF(O2565&lt;&gt;0,R2565/O2565,"")</t>
  </si>
  <si>
    <t>=NL("Sum","5802 Value Entry","150 Sales Amount (Expected)","41 Source Type",$C$5,"5 Source No.",$C2565,"4 Item Ledger Entry Type",$C$4,"2 Item No.","@@"&amp;$F2565,"3 Posting Date",U$9)+NL("Sum","5802 Value Entry","17 Sales Amount (Actual)","41 Source Type",$C$5,"5 Source no.",$C2565,"4 Item Ledger Entry Type",$C$4,"2 Item No.","@@"&amp;$F2565,"3 Posting Date",U$9)</t>
  </si>
  <si>
    <t>=-NL("Sum","5802 Value Entry","151 Cost Amount (Expected)","41 Source Type",$C$5,"5 Source No.",$C2565,"4 Item Ledger Entry Type",$C$4,"2 Item No.","@@"&amp;$F2565,"3 Posting Date",U$9)-NL("Sum","5802 Value Entry","43 Cost Amount (Actual)","41 Source Type",$C$5,"5 Source no.",$C2565,"4 Item Ledger Entry Type",$C$4,"2 Item No.","@@"&amp;$F2565,"3 Posting Date",U$9)</t>
  </si>
  <si>
    <t>=U2565-W2565</t>
  </si>
  <si>
    <t>=IF(U2565&lt;&gt;0,X2565/U2565,"")</t>
  </si>
  <si>
    <t>=NL("Sum","5802 Value Entry","150 Sales Amount (Expected)","41 Source Type",$C$5,"5 Source No.",$C2565,"4 Item Ledger Entry Type",$C$4,"2 Item No.","@@"&amp;$F2565,"3 Posting Date",Z$9)+NL("Sum","5802 Value Entry","17 Sales Amount (Actual)","41 Source Type",$C$5,"5 Source no.",$C2565,"4 Item Ledger Entry Type",$C$4,"2 Item No.","@@"&amp;$F2565,"3 Posting Date",Z$9)</t>
  </si>
  <si>
    <t>=-NL("Sum","5802 Value Entry","151 Cost Amount (Expected)","41 Source Type",$C$5,"5 Source No.",$C2565,"4 Item Ledger Entry Type",$C$4,"2 Item No.","@@"&amp;$F2565,"3 Posting Date",Z$9)-NL("Sum","5802 Value Entry","43 Cost Amount (Actual)","41 Source Type",$C$5,"5 Source no.",$C2565,"4 Item Ledger Entry Type",$C$4,"2 Item No.","@@"&amp;$F2565,"3 Posting Date",Z$9)</t>
  </si>
  <si>
    <t>=Z2565-AB2565</t>
  </si>
  <si>
    <t>=IF(Z2565&lt;&gt;0,AC2565/Z2565,"")</t>
  </si>
  <si>
    <t>=C2565</t>
  </si>
  <si>
    <t>=NL("Sum","5802 Value Entry","150 Sales Amount (Expected)","41 Source Type",$C$5,"5 Source No.",$C2566,"4 Item Ledger Entry Type",$C$4,"2 Item No.","@@"&amp;$F2566,"3 Posting Date",J$9)+NL("Sum","5802 Value Entry","17 Sales Amount (Actual)","41 Source Type",$C$5,"5 Source no.",$C2566,"4 Item Ledger Entry Type",$C$4,"2 Item No.","@@"&amp;$F2566,"3 Posting Date",J$9)</t>
  </si>
  <si>
    <t>=-NL("Sum","5802 Value Entry","151 Cost Amount (Expected)","41 Source Type",$C$5,"5 Source No.",$C2566,"4 Item Ledger Entry Type",$C$4,"2 Item No.","@@"&amp;$F2566,"3 Posting Date",J$9)-NL("Sum","5802 Value Entry","43 Cost Amount (Actual)","41 Source Type",$C$5,"5 Source no.",$C2566,"4 Item Ledger Entry Type",$C$4,"2 Item No.","@@"&amp;$F2566,"3 Posting Date",J$9)</t>
  </si>
  <si>
    <t>=J2566-L2566</t>
  </si>
  <si>
    <t>=IF(J2566&lt;&gt;0,M2566/J2566,"")</t>
  </si>
  <si>
    <t>=NL("Sum","5802 Value Entry","150 Sales Amount (Expected)","41 Source Type",$C$5,"5 Source No.",$C2566,"4 Item Ledger Entry Type",$C$4,"2 Item No.","@@"&amp;$F2566,"3 Posting Date",O$9)+NL("Sum","5802 Value Entry","17 Sales Amount (Actual)","41 Source Type",$C$5,"5 Source no.",$C2566,"4 Item Ledger Entry Type",$C$4,"2 Item No.","@@"&amp;$F2566,"3 Posting Date",O$9)</t>
  </si>
  <si>
    <t>=-NL("Sum","5802 Value Entry","151 Cost Amount (Expected)","41 Source Type",$C$5,"5 Source No.",$C2566,"4 Item Ledger Entry Type",$C$4,"2 Item No.","@@"&amp;$F2566,"3 Posting Date",O$9)-NL("Sum","5802 Value Entry","43 Cost Amount (Actual)","41 Source Type",$C$5,"5 Source no.",$C2566,"4 Item Ledger Entry Type",$C$4,"2 Item No.","@@"&amp;$F2566,"3 Posting Date",O$9)</t>
  </si>
  <si>
    <t>=O2566-Q2566</t>
  </si>
  <si>
    <t>=IF(O2566&lt;&gt;0,R2566/O2566,"")</t>
  </si>
  <si>
    <t>=NL("Sum","5802 Value Entry","150 Sales Amount (Expected)","41 Source Type",$C$5,"5 Source No.",$C2566,"4 Item Ledger Entry Type",$C$4,"2 Item No.","@@"&amp;$F2566,"3 Posting Date",U$9)+NL("Sum","5802 Value Entry","17 Sales Amount (Actual)","41 Source Type",$C$5,"5 Source no.",$C2566,"4 Item Ledger Entry Type",$C$4,"2 Item No.","@@"&amp;$F2566,"3 Posting Date",U$9)</t>
  </si>
  <si>
    <t>=-NL("Sum","5802 Value Entry","151 Cost Amount (Expected)","41 Source Type",$C$5,"5 Source No.",$C2566,"4 Item Ledger Entry Type",$C$4,"2 Item No.","@@"&amp;$F2566,"3 Posting Date",U$9)-NL("Sum","5802 Value Entry","43 Cost Amount (Actual)","41 Source Type",$C$5,"5 Source no.",$C2566,"4 Item Ledger Entry Type",$C$4,"2 Item No.","@@"&amp;$F2566,"3 Posting Date",U$9)</t>
  </si>
  <si>
    <t>=U2566-W2566</t>
  </si>
  <si>
    <t>=IF(U2566&lt;&gt;0,X2566/U2566,"")</t>
  </si>
  <si>
    <t>=NL("Sum","5802 Value Entry","150 Sales Amount (Expected)","41 Source Type",$C$5,"5 Source No.",$C2566,"4 Item Ledger Entry Type",$C$4,"2 Item No.","@@"&amp;$F2566,"3 Posting Date",Z$9)+NL("Sum","5802 Value Entry","17 Sales Amount (Actual)","41 Source Type",$C$5,"5 Source no.",$C2566,"4 Item Ledger Entry Type",$C$4,"2 Item No.","@@"&amp;$F2566,"3 Posting Date",Z$9)</t>
  </si>
  <si>
    <t>=-NL("Sum","5802 Value Entry","151 Cost Amount (Expected)","41 Source Type",$C$5,"5 Source No.",$C2566,"4 Item Ledger Entry Type",$C$4,"2 Item No.","@@"&amp;$F2566,"3 Posting Date",Z$9)-NL("Sum","5802 Value Entry","43 Cost Amount (Actual)","41 Source Type",$C$5,"5 Source no.",$C2566,"4 Item Ledger Entry Type",$C$4,"2 Item No.","@@"&amp;$F2566,"3 Posting Date",Z$9)</t>
  </si>
  <si>
    <t>=Z2566-AB2566</t>
  </si>
  <si>
    <t>=IF(Z2566&lt;&gt;0,AC2566/Z2566,"")</t>
  </si>
  <si>
    <t>=C2566</t>
  </si>
  <si>
    <t>=NL("Sum","5802 Value Entry","150 Sales Amount (Expected)","41 Source Type",$C$5,"5 Source No.",$C2567,"4 Item Ledger Entry Type",$C$4,"2 Item No.","@@"&amp;$F2567,"3 Posting Date",J$9)+NL("Sum","5802 Value Entry","17 Sales Amount (Actual)","41 Source Type",$C$5,"5 Source no.",$C2567,"4 Item Ledger Entry Type",$C$4,"2 Item No.","@@"&amp;$F2567,"3 Posting Date",J$9)</t>
  </si>
  <si>
    <t>=-NL("Sum","5802 Value Entry","151 Cost Amount (Expected)","41 Source Type",$C$5,"5 Source No.",$C2567,"4 Item Ledger Entry Type",$C$4,"2 Item No.","@@"&amp;$F2567,"3 Posting Date",J$9)-NL("Sum","5802 Value Entry","43 Cost Amount (Actual)","41 Source Type",$C$5,"5 Source no.",$C2567,"4 Item Ledger Entry Type",$C$4,"2 Item No.","@@"&amp;$F2567,"3 Posting Date",J$9)</t>
  </si>
  <si>
    <t>=J2567-L2567</t>
  </si>
  <si>
    <t>=IF(J2567&lt;&gt;0,M2567/J2567,"")</t>
  </si>
  <si>
    <t>=NL("Sum","5802 Value Entry","150 Sales Amount (Expected)","41 Source Type",$C$5,"5 Source No.",$C2567,"4 Item Ledger Entry Type",$C$4,"2 Item No.","@@"&amp;$F2567,"3 Posting Date",O$9)+NL("Sum","5802 Value Entry","17 Sales Amount (Actual)","41 Source Type",$C$5,"5 Source no.",$C2567,"4 Item Ledger Entry Type",$C$4,"2 Item No.","@@"&amp;$F2567,"3 Posting Date",O$9)</t>
  </si>
  <si>
    <t>=-NL("Sum","5802 Value Entry","151 Cost Amount (Expected)","41 Source Type",$C$5,"5 Source No.",$C2567,"4 Item Ledger Entry Type",$C$4,"2 Item No.","@@"&amp;$F2567,"3 Posting Date",O$9)-NL("Sum","5802 Value Entry","43 Cost Amount (Actual)","41 Source Type",$C$5,"5 Source no.",$C2567,"4 Item Ledger Entry Type",$C$4,"2 Item No.","@@"&amp;$F2567,"3 Posting Date",O$9)</t>
  </si>
  <si>
    <t>=O2567-Q2567</t>
  </si>
  <si>
    <t>=IF(O2567&lt;&gt;0,R2567/O2567,"")</t>
  </si>
  <si>
    <t>=NL("Sum","5802 Value Entry","150 Sales Amount (Expected)","41 Source Type",$C$5,"5 Source No.",$C2567,"4 Item Ledger Entry Type",$C$4,"2 Item No.","@@"&amp;$F2567,"3 Posting Date",U$9)+NL("Sum","5802 Value Entry","17 Sales Amount (Actual)","41 Source Type",$C$5,"5 Source no.",$C2567,"4 Item Ledger Entry Type",$C$4,"2 Item No.","@@"&amp;$F2567,"3 Posting Date",U$9)</t>
  </si>
  <si>
    <t>=-NL("Sum","5802 Value Entry","151 Cost Amount (Expected)","41 Source Type",$C$5,"5 Source No.",$C2567,"4 Item Ledger Entry Type",$C$4,"2 Item No.","@@"&amp;$F2567,"3 Posting Date",U$9)-NL("Sum","5802 Value Entry","43 Cost Amount (Actual)","41 Source Type",$C$5,"5 Source no.",$C2567,"4 Item Ledger Entry Type",$C$4,"2 Item No.","@@"&amp;$F2567,"3 Posting Date",U$9)</t>
  </si>
  <si>
    <t>=U2567-W2567</t>
  </si>
  <si>
    <t>=IF(U2567&lt;&gt;0,X2567/U2567,"")</t>
  </si>
  <si>
    <t>=NL("Sum","5802 Value Entry","150 Sales Amount (Expected)","41 Source Type",$C$5,"5 Source No.",$C2567,"4 Item Ledger Entry Type",$C$4,"2 Item No.","@@"&amp;$F2567,"3 Posting Date",Z$9)+NL("Sum","5802 Value Entry","17 Sales Amount (Actual)","41 Source Type",$C$5,"5 Source no.",$C2567,"4 Item Ledger Entry Type",$C$4,"2 Item No.","@@"&amp;$F2567,"3 Posting Date",Z$9)</t>
  </si>
  <si>
    <t>=-NL("Sum","5802 Value Entry","151 Cost Amount (Expected)","41 Source Type",$C$5,"5 Source No.",$C2567,"4 Item Ledger Entry Type",$C$4,"2 Item No.","@@"&amp;$F2567,"3 Posting Date",Z$9)-NL("Sum","5802 Value Entry","43 Cost Amount (Actual)","41 Source Type",$C$5,"5 Source no.",$C2567,"4 Item Ledger Entry Type",$C$4,"2 Item No.","@@"&amp;$F2567,"3 Posting Date",Z$9)</t>
  </si>
  <si>
    <t>=Z2567-AB2567</t>
  </si>
  <si>
    <t>=IF(Z2567&lt;&gt;0,AC2567/Z2567,"")</t>
  </si>
  <si>
    <t>=C2567</t>
  </si>
  <si>
    <t>=NL("Sum","5802 Value Entry","150 Sales Amount (Expected)","41 Source Type",$C$5,"5 Source No.",$C2568,"4 Item Ledger Entry Type",$C$4,"2 Item No.","@@"&amp;$F2568,"3 Posting Date",J$9)+NL("Sum","5802 Value Entry","17 Sales Amount (Actual)","41 Source Type",$C$5,"5 Source no.",$C2568,"4 Item Ledger Entry Type",$C$4,"2 Item No.","@@"&amp;$F2568,"3 Posting Date",J$9)</t>
  </si>
  <si>
    <t>=-NL("Sum","5802 Value Entry","151 Cost Amount (Expected)","41 Source Type",$C$5,"5 Source No.",$C2568,"4 Item Ledger Entry Type",$C$4,"2 Item No.","@@"&amp;$F2568,"3 Posting Date",J$9)-NL("Sum","5802 Value Entry","43 Cost Amount (Actual)","41 Source Type",$C$5,"5 Source no.",$C2568,"4 Item Ledger Entry Type",$C$4,"2 Item No.","@@"&amp;$F2568,"3 Posting Date",J$9)</t>
  </si>
  <si>
    <t>=J2568-L2568</t>
  </si>
  <si>
    <t>=IF(J2568&lt;&gt;0,M2568/J2568,"")</t>
  </si>
  <si>
    <t>=NL("Sum","5802 Value Entry","150 Sales Amount (Expected)","41 Source Type",$C$5,"5 Source No.",$C2568,"4 Item Ledger Entry Type",$C$4,"2 Item No.","@@"&amp;$F2568,"3 Posting Date",O$9)+NL("Sum","5802 Value Entry","17 Sales Amount (Actual)","41 Source Type",$C$5,"5 Source no.",$C2568,"4 Item Ledger Entry Type",$C$4,"2 Item No.","@@"&amp;$F2568,"3 Posting Date",O$9)</t>
  </si>
  <si>
    <t>=-NL("Sum","5802 Value Entry","151 Cost Amount (Expected)","41 Source Type",$C$5,"5 Source No.",$C2568,"4 Item Ledger Entry Type",$C$4,"2 Item No.","@@"&amp;$F2568,"3 Posting Date",O$9)-NL("Sum","5802 Value Entry","43 Cost Amount (Actual)","41 Source Type",$C$5,"5 Source no.",$C2568,"4 Item Ledger Entry Type",$C$4,"2 Item No.","@@"&amp;$F2568,"3 Posting Date",O$9)</t>
  </si>
  <si>
    <t>=O2568-Q2568</t>
  </si>
  <si>
    <t>=IF(O2568&lt;&gt;0,R2568/O2568,"")</t>
  </si>
  <si>
    <t>=NL("Sum","5802 Value Entry","150 Sales Amount (Expected)","41 Source Type",$C$5,"5 Source No.",$C2568,"4 Item Ledger Entry Type",$C$4,"2 Item No.","@@"&amp;$F2568,"3 Posting Date",U$9)+NL("Sum","5802 Value Entry","17 Sales Amount (Actual)","41 Source Type",$C$5,"5 Source no.",$C2568,"4 Item Ledger Entry Type",$C$4,"2 Item No.","@@"&amp;$F2568,"3 Posting Date",U$9)</t>
  </si>
  <si>
    <t>=-NL("Sum","5802 Value Entry","151 Cost Amount (Expected)","41 Source Type",$C$5,"5 Source No.",$C2568,"4 Item Ledger Entry Type",$C$4,"2 Item No.","@@"&amp;$F2568,"3 Posting Date",U$9)-NL("Sum","5802 Value Entry","43 Cost Amount (Actual)","41 Source Type",$C$5,"5 Source no.",$C2568,"4 Item Ledger Entry Type",$C$4,"2 Item No.","@@"&amp;$F2568,"3 Posting Date",U$9)</t>
  </si>
  <si>
    <t>=U2568-W2568</t>
  </si>
  <si>
    <t>=IF(U2568&lt;&gt;0,X2568/U2568,"")</t>
  </si>
  <si>
    <t>=NL("Sum","5802 Value Entry","150 Sales Amount (Expected)","41 Source Type",$C$5,"5 Source No.",$C2568,"4 Item Ledger Entry Type",$C$4,"2 Item No.","@@"&amp;$F2568,"3 Posting Date",Z$9)+NL("Sum","5802 Value Entry","17 Sales Amount (Actual)","41 Source Type",$C$5,"5 Source no.",$C2568,"4 Item Ledger Entry Type",$C$4,"2 Item No.","@@"&amp;$F2568,"3 Posting Date",Z$9)</t>
  </si>
  <si>
    <t>=-NL("Sum","5802 Value Entry","151 Cost Amount (Expected)","41 Source Type",$C$5,"5 Source No.",$C2568,"4 Item Ledger Entry Type",$C$4,"2 Item No.","@@"&amp;$F2568,"3 Posting Date",Z$9)-NL("Sum","5802 Value Entry","43 Cost Amount (Actual)","41 Source Type",$C$5,"5 Source no.",$C2568,"4 Item Ledger Entry Type",$C$4,"2 Item No.","@@"&amp;$F2568,"3 Posting Date",Z$9)</t>
  </si>
  <si>
    <t>=Z2568-AB2568</t>
  </si>
  <si>
    <t>=IF(Z2568&lt;&gt;0,AC2568/Z2568,"")</t>
  </si>
  <si>
    <t>=C2568</t>
  </si>
  <si>
    <t>=NL("Sum","5802 Value Entry","150 Sales Amount (Expected)","41 Source Type",$C$5,"5 Source No.",$C2569,"4 Item Ledger Entry Type",$C$4,"2 Item No.","@@"&amp;$F2569,"3 Posting Date",J$9)+NL("Sum","5802 Value Entry","17 Sales Amount (Actual)","41 Source Type",$C$5,"5 Source no.",$C2569,"4 Item Ledger Entry Type",$C$4,"2 Item No.","@@"&amp;$F2569,"3 Posting Date",J$9)</t>
  </si>
  <si>
    <t>=-NL("Sum","5802 Value Entry","151 Cost Amount (Expected)","41 Source Type",$C$5,"5 Source No.",$C2569,"4 Item Ledger Entry Type",$C$4,"2 Item No.","@@"&amp;$F2569,"3 Posting Date",J$9)-NL("Sum","5802 Value Entry","43 Cost Amount (Actual)","41 Source Type",$C$5,"5 Source no.",$C2569,"4 Item Ledger Entry Type",$C$4,"2 Item No.","@@"&amp;$F2569,"3 Posting Date",J$9)</t>
  </si>
  <si>
    <t>=J2569-L2569</t>
  </si>
  <si>
    <t>=IF(J2569&lt;&gt;0,M2569/J2569,"")</t>
  </si>
  <si>
    <t>=NL("Sum","5802 Value Entry","150 Sales Amount (Expected)","41 Source Type",$C$5,"5 Source No.",$C2569,"4 Item Ledger Entry Type",$C$4,"2 Item No.","@@"&amp;$F2569,"3 Posting Date",O$9)+NL("Sum","5802 Value Entry","17 Sales Amount (Actual)","41 Source Type",$C$5,"5 Source no.",$C2569,"4 Item Ledger Entry Type",$C$4,"2 Item No.","@@"&amp;$F2569,"3 Posting Date",O$9)</t>
  </si>
  <si>
    <t>=-NL("Sum","5802 Value Entry","151 Cost Amount (Expected)","41 Source Type",$C$5,"5 Source No.",$C2569,"4 Item Ledger Entry Type",$C$4,"2 Item No.","@@"&amp;$F2569,"3 Posting Date",O$9)-NL("Sum","5802 Value Entry","43 Cost Amount (Actual)","41 Source Type",$C$5,"5 Source no.",$C2569,"4 Item Ledger Entry Type",$C$4,"2 Item No.","@@"&amp;$F2569,"3 Posting Date",O$9)</t>
  </si>
  <si>
    <t>=O2569-Q2569</t>
  </si>
  <si>
    <t>=IF(O2569&lt;&gt;0,R2569/O2569,"")</t>
  </si>
  <si>
    <t>=NL("Sum","5802 Value Entry","150 Sales Amount (Expected)","41 Source Type",$C$5,"5 Source No.",$C2569,"4 Item Ledger Entry Type",$C$4,"2 Item No.","@@"&amp;$F2569,"3 Posting Date",U$9)+NL("Sum","5802 Value Entry","17 Sales Amount (Actual)","41 Source Type",$C$5,"5 Source no.",$C2569,"4 Item Ledger Entry Type",$C$4,"2 Item No.","@@"&amp;$F2569,"3 Posting Date",U$9)</t>
  </si>
  <si>
    <t>=-NL("Sum","5802 Value Entry","151 Cost Amount (Expected)","41 Source Type",$C$5,"5 Source No.",$C2569,"4 Item Ledger Entry Type",$C$4,"2 Item No.","@@"&amp;$F2569,"3 Posting Date",U$9)-NL("Sum","5802 Value Entry","43 Cost Amount (Actual)","41 Source Type",$C$5,"5 Source no.",$C2569,"4 Item Ledger Entry Type",$C$4,"2 Item No.","@@"&amp;$F2569,"3 Posting Date",U$9)</t>
  </si>
  <si>
    <t>=U2569-W2569</t>
  </si>
  <si>
    <t>=IF(U2569&lt;&gt;0,X2569/U2569,"")</t>
  </si>
  <si>
    <t>=NL("Sum","5802 Value Entry","150 Sales Amount (Expected)","41 Source Type",$C$5,"5 Source No.",$C2569,"4 Item Ledger Entry Type",$C$4,"2 Item No.","@@"&amp;$F2569,"3 Posting Date",Z$9)+NL("Sum","5802 Value Entry","17 Sales Amount (Actual)","41 Source Type",$C$5,"5 Source no.",$C2569,"4 Item Ledger Entry Type",$C$4,"2 Item No.","@@"&amp;$F2569,"3 Posting Date",Z$9)</t>
  </si>
  <si>
    <t>=-NL("Sum","5802 Value Entry","151 Cost Amount (Expected)","41 Source Type",$C$5,"5 Source No.",$C2569,"4 Item Ledger Entry Type",$C$4,"2 Item No.","@@"&amp;$F2569,"3 Posting Date",Z$9)-NL("Sum","5802 Value Entry","43 Cost Amount (Actual)","41 Source Type",$C$5,"5 Source no.",$C2569,"4 Item Ledger Entry Type",$C$4,"2 Item No.","@@"&amp;$F2569,"3 Posting Date",Z$9)</t>
  </si>
  <si>
    <t>=Z2569-AB2569</t>
  </si>
  <si>
    <t>=IF(Z2569&lt;&gt;0,AC2569/Z2569,"")</t>
  </si>
  <si>
    <t>=C2569</t>
  </si>
  <si>
    <t>=NL("Sum","5802 Value Entry","150 Sales Amount (Expected)","41 Source Type",$C$5,"5 Source No.",$C2570,"4 Item Ledger Entry Type",$C$4,"2 Item No.","@@"&amp;$F2570,"3 Posting Date",J$9)+NL("Sum","5802 Value Entry","17 Sales Amount (Actual)","41 Source Type",$C$5,"5 Source no.",$C2570,"4 Item Ledger Entry Type",$C$4,"2 Item No.","@@"&amp;$F2570,"3 Posting Date",J$9)</t>
  </si>
  <si>
    <t>=-NL("Sum","5802 Value Entry","151 Cost Amount (Expected)","41 Source Type",$C$5,"5 Source No.",$C2570,"4 Item Ledger Entry Type",$C$4,"2 Item No.","@@"&amp;$F2570,"3 Posting Date",J$9)-NL("Sum","5802 Value Entry","43 Cost Amount (Actual)","41 Source Type",$C$5,"5 Source no.",$C2570,"4 Item Ledger Entry Type",$C$4,"2 Item No.","@@"&amp;$F2570,"3 Posting Date",J$9)</t>
  </si>
  <si>
    <t>=J2570-L2570</t>
  </si>
  <si>
    <t>=IF(J2570&lt;&gt;0,M2570/J2570,"")</t>
  </si>
  <si>
    <t>=NL("Sum","5802 Value Entry","150 Sales Amount (Expected)","41 Source Type",$C$5,"5 Source No.",$C2570,"4 Item Ledger Entry Type",$C$4,"2 Item No.","@@"&amp;$F2570,"3 Posting Date",O$9)+NL("Sum","5802 Value Entry","17 Sales Amount (Actual)","41 Source Type",$C$5,"5 Source no.",$C2570,"4 Item Ledger Entry Type",$C$4,"2 Item No.","@@"&amp;$F2570,"3 Posting Date",O$9)</t>
  </si>
  <si>
    <t>=-NL("Sum","5802 Value Entry","151 Cost Amount (Expected)","41 Source Type",$C$5,"5 Source No.",$C2570,"4 Item Ledger Entry Type",$C$4,"2 Item No.","@@"&amp;$F2570,"3 Posting Date",O$9)-NL("Sum","5802 Value Entry","43 Cost Amount (Actual)","41 Source Type",$C$5,"5 Source no.",$C2570,"4 Item Ledger Entry Type",$C$4,"2 Item No.","@@"&amp;$F2570,"3 Posting Date",O$9)</t>
  </si>
  <si>
    <t>=O2570-Q2570</t>
  </si>
  <si>
    <t>=IF(O2570&lt;&gt;0,R2570/O2570,"")</t>
  </si>
  <si>
    <t>=NL("Sum","5802 Value Entry","150 Sales Amount (Expected)","41 Source Type",$C$5,"5 Source No.",$C2570,"4 Item Ledger Entry Type",$C$4,"2 Item No.","@@"&amp;$F2570,"3 Posting Date",U$9)+NL("Sum","5802 Value Entry","17 Sales Amount (Actual)","41 Source Type",$C$5,"5 Source no.",$C2570,"4 Item Ledger Entry Type",$C$4,"2 Item No.","@@"&amp;$F2570,"3 Posting Date",U$9)</t>
  </si>
  <si>
    <t>=-NL("Sum","5802 Value Entry","151 Cost Amount (Expected)","41 Source Type",$C$5,"5 Source No.",$C2570,"4 Item Ledger Entry Type",$C$4,"2 Item No.","@@"&amp;$F2570,"3 Posting Date",U$9)-NL("Sum","5802 Value Entry","43 Cost Amount (Actual)","41 Source Type",$C$5,"5 Source no.",$C2570,"4 Item Ledger Entry Type",$C$4,"2 Item No.","@@"&amp;$F2570,"3 Posting Date",U$9)</t>
  </si>
  <si>
    <t>=U2570-W2570</t>
  </si>
  <si>
    <t>=IF(U2570&lt;&gt;0,X2570/U2570,"")</t>
  </si>
  <si>
    <t>=NL("Sum","5802 Value Entry","150 Sales Amount (Expected)","41 Source Type",$C$5,"5 Source No.",$C2570,"4 Item Ledger Entry Type",$C$4,"2 Item No.","@@"&amp;$F2570,"3 Posting Date",Z$9)+NL("Sum","5802 Value Entry","17 Sales Amount (Actual)","41 Source Type",$C$5,"5 Source no.",$C2570,"4 Item Ledger Entry Type",$C$4,"2 Item No.","@@"&amp;$F2570,"3 Posting Date",Z$9)</t>
  </si>
  <si>
    <t>=-NL("Sum","5802 Value Entry","151 Cost Amount (Expected)","41 Source Type",$C$5,"5 Source No.",$C2570,"4 Item Ledger Entry Type",$C$4,"2 Item No.","@@"&amp;$F2570,"3 Posting Date",Z$9)-NL("Sum","5802 Value Entry","43 Cost Amount (Actual)","41 Source Type",$C$5,"5 Source no.",$C2570,"4 Item Ledger Entry Type",$C$4,"2 Item No.","@@"&amp;$F2570,"3 Posting Date",Z$9)</t>
  </si>
  <si>
    <t>=Z2570-AB2570</t>
  </si>
  <si>
    <t>=IF(Z2570&lt;&gt;0,AC2570/Z2570,"")</t>
  </si>
  <si>
    <t>=C2570</t>
  </si>
  <si>
    <t>=NL("Sum","5802 Value Entry","150 Sales Amount (Expected)","41 Source Type",$C$5,"5 Source No.",$C2571,"4 Item Ledger Entry Type",$C$4,"2 Item No.","@@"&amp;$F2571,"3 Posting Date",J$9)+NL("Sum","5802 Value Entry","17 Sales Amount (Actual)","41 Source Type",$C$5,"5 Source no.",$C2571,"4 Item Ledger Entry Type",$C$4,"2 Item No.","@@"&amp;$F2571,"3 Posting Date",J$9)</t>
  </si>
  <si>
    <t>=-NL("Sum","5802 Value Entry","151 Cost Amount (Expected)","41 Source Type",$C$5,"5 Source No.",$C2571,"4 Item Ledger Entry Type",$C$4,"2 Item No.","@@"&amp;$F2571,"3 Posting Date",J$9)-NL("Sum","5802 Value Entry","43 Cost Amount (Actual)","41 Source Type",$C$5,"5 Source no.",$C2571,"4 Item Ledger Entry Type",$C$4,"2 Item No.","@@"&amp;$F2571,"3 Posting Date",J$9)</t>
  </si>
  <si>
    <t>=J2571-L2571</t>
  </si>
  <si>
    <t>=IF(J2571&lt;&gt;0,M2571/J2571,"")</t>
  </si>
  <si>
    <t>=NL("Sum","5802 Value Entry","150 Sales Amount (Expected)","41 Source Type",$C$5,"5 Source No.",$C2571,"4 Item Ledger Entry Type",$C$4,"2 Item No.","@@"&amp;$F2571,"3 Posting Date",O$9)+NL("Sum","5802 Value Entry","17 Sales Amount (Actual)","41 Source Type",$C$5,"5 Source no.",$C2571,"4 Item Ledger Entry Type",$C$4,"2 Item No.","@@"&amp;$F2571,"3 Posting Date",O$9)</t>
  </si>
  <si>
    <t>=-NL("Sum","5802 Value Entry","151 Cost Amount (Expected)","41 Source Type",$C$5,"5 Source No.",$C2571,"4 Item Ledger Entry Type",$C$4,"2 Item No.","@@"&amp;$F2571,"3 Posting Date",O$9)-NL("Sum","5802 Value Entry","43 Cost Amount (Actual)","41 Source Type",$C$5,"5 Source no.",$C2571,"4 Item Ledger Entry Type",$C$4,"2 Item No.","@@"&amp;$F2571,"3 Posting Date",O$9)</t>
  </si>
  <si>
    <t>=O2571-Q2571</t>
  </si>
  <si>
    <t>=IF(O2571&lt;&gt;0,R2571/O2571,"")</t>
  </si>
  <si>
    <t>=NL("Sum","5802 Value Entry","150 Sales Amount (Expected)","41 Source Type",$C$5,"5 Source No.",$C2571,"4 Item Ledger Entry Type",$C$4,"2 Item No.","@@"&amp;$F2571,"3 Posting Date",U$9)+NL("Sum","5802 Value Entry","17 Sales Amount (Actual)","41 Source Type",$C$5,"5 Source no.",$C2571,"4 Item Ledger Entry Type",$C$4,"2 Item No.","@@"&amp;$F2571,"3 Posting Date",U$9)</t>
  </si>
  <si>
    <t>=-NL("Sum","5802 Value Entry","151 Cost Amount (Expected)","41 Source Type",$C$5,"5 Source No.",$C2571,"4 Item Ledger Entry Type",$C$4,"2 Item No.","@@"&amp;$F2571,"3 Posting Date",U$9)-NL("Sum","5802 Value Entry","43 Cost Amount (Actual)","41 Source Type",$C$5,"5 Source no.",$C2571,"4 Item Ledger Entry Type",$C$4,"2 Item No.","@@"&amp;$F2571,"3 Posting Date",U$9)</t>
  </si>
  <si>
    <t>=U2571-W2571</t>
  </si>
  <si>
    <t>=IF(U2571&lt;&gt;0,X2571/U2571,"")</t>
  </si>
  <si>
    <t>=NL("Sum","5802 Value Entry","150 Sales Amount (Expected)","41 Source Type",$C$5,"5 Source No.",$C2571,"4 Item Ledger Entry Type",$C$4,"2 Item No.","@@"&amp;$F2571,"3 Posting Date",Z$9)+NL("Sum","5802 Value Entry","17 Sales Amount (Actual)","41 Source Type",$C$5,"5 Source no.",$C2571,"4 Item Ledger Entry Type",$C$4,"2 Item No.","@@"&amp;$F2571,"3 Posting Date",Z$9)</t>
  </si>
  <si>
    <t>=-NL("Sum","5802 Value Entry","151 Cost Amount (Expected)","41 Source Type",$C$5,"5 Source No.",$C2571,"4 Item Ledger Entry Type",$C$4,"2 Item No.","@@"&amp;$F2571,"3 Posting Date",Z$9)-NL("Sum","5802 Value Entry","43 Cost Amount (Actual)","41 Source Type",$C$5,"5 Source no.",$C2571,"4 Item Ledger Entry Type",$C$4,"2 Item No.","@@"&amp;$F2571,"3 Posting Date",Z$9)</t>
  </si>
  <si>
    <t>=Z2571-AB2571</t>
  </si>
  <si>
    <t>=IF(Z2571&lt;&gt;0,AC2571/Z2571,"")</t>
  </si>
  <si>
    <t>=C2571</t>
  </si>
  <si>
    <t>=NL("Sum","5802 Value Entry","150 Sales Amount (Expected)","41 Source Type",$C$5,"5 Source No.",$C2572,"4 Item Ledger Entry Type",$C$4,"2 Item No.","@@"&amp;$F2572,"3 Posting Date",J$9)+NL("Sum","5802 Value Entry","17 Sales Amount (Actual)","41 Source Type",$C$5,"5 Source no.",$C2572,"4 Item Ledger Entry Type",$C$4,"2 Item No.","@@"&amp;$F2572,"3 Posting Date",J$9)</t>
  </si>
  <si>
    <t>=-NL("Sum","5802 Value Entry","151 Cost Amount (Expected)","41 Source Type",$C$5,"5 Source No.",$C2572,"4 Item Ledger Entry Type",$C$4,"2 Item No.","@@"&amp;$F2572,"3 Posting Date",J$9)-NL("Sum","5802 Value Entry","43 Cost Amount (Actual)","41 Source Type",$C$5,"5 Source no.",$C2572,"4 Item Ledger Entry Type",$C$4,"2 Item No.","@@"&amp;$F2572,"3 Posting Date",J$9)</t>
  </si>
  <si>
    <t>=J2572-L2572</t>
  </si>
  <si>
    <t>=IF(J2572&lt;&gt;0,M2572/J2572,"")</t>
  </si>
  <si>
    <t>=NL("Sum","5802 Value Entry","150 Sales Amount (Expected)","41 Source Type",$C$5,"5 Source No.",$C2572,"4 Item Ledger Entry Type",$C$4,"2 Item No.","@@"&amp;$F2572,"3 Posting Date",O$9)+NL("Sum","5802 Value Entry","17 Sales Amount (Actual)","41 Source Type",$C$5,"5 Source no.",$C2572,"4 Item Ledger Entry Type",$C$4,"2 Item No.","@@"&amp;$F2572,"3 Posting Date",O$9)</t>
  </si>
  <si>
    <t>=-NL("Sum","5802 Value Entry","151 Cost Amount (Expected)","41 Source Type",$C$5,"5 Source No.",$C2572,"4 Item Ledger Entry Type",$C$4,"2 Item No.","@@"&amp;$F2572,"3 Posting Date",O$9)-NL("Sum","5802 Value Entry","43 Cost Amount (Actual)","41 Source Type",$C$5,"5 Source no.",$C2572,"4 Item Ledger Entry Type",$C$4,"2 Item No.","@@"&amp;$F2572,"3 Posting Date",O$9)</t>
  </si>
  <si>
    <t>=O2572-Q2572</t>
  </si>
  <si>
    <t>=IF(O2572&lt;&gt;0,R2572/O2572,"")</t>
  </si>
  <si>
    <t>=NL("Sum","5802 Value Entry","150 Sales Amount (Expected)","41 Source Type",$C$5,"5 Source No.",$C2572,"4 Item Ledger Entry Type",$C$4,"2 Item No.","@@"&amp;$F2572,"3 Posting Date",U$9)+NL("Sum","5802 Value Entry","17 Sales Amount (Actual)","41 Source Type",$C$5,"5 Source no.",$C2572,"4 Item Ledger Entry Type",$C$4,"2 Item No.","@@"&amp;$F2572,"3 Posting Date",U$9)</t>
  </si>
  <si>
    <t>=-NL("Sum","5802 Value Entry","151 Cost Amount (Expected)","41 Source Type",$C$5,"5 Source No.",$C2572,"4 Item Ledger Entry Type",$C$4,"2 Item No.","@@"&amp;$F2572,"3 Posting Date",U$9)-NL("Sum","5802 Value Entry","43 Cost Amount (Actual)","41 Source Type",$C$5,"5 Source no.",$C2572,"4 Item Ledger Entry Type",$C$4,"2 Item No.","@@"&amp;$F2572,"3 Posting Date",U$9)</t>
  </si>
  <si>
    <t>=U2572-W2572</t>
  </si>
  <si>
    <t>=IF(U2572&lt;&gt;0,X2572/U2572,"")</t>
  </si>
  <si>
    <t>=NL("Sum","5802 Value Entry","150 Sales Amount (Expected)","41 Source Type",$C$5,"5 Source No.",$C2572,"4 Item Ledger Entry Type",$C$4,"2 Item No.","@@"&amp;$F2572,"3 Posting Date",Z$9)+NL("Sum","5802 Value Entry","17 Sales Amount (Actual)","41 Source Type",$C$5,"5 Source no.",$C2572,"4 Item Ledger Entry Type",$C$4,"2 Item No.","@@"&amp;$F2572,"3 Posting Date",Z$9)</t>
  </si>
  <si>
    <t>=-NL("Sum","5802 Value Entry","151 Cost Amount (Expected)","41 Source Type",$C$5,"5 Source No.",$C2572,"4 Item Ledger Entry Type",$C$4,"2 Item No.","@@"&amp;$F2572,"3 Posting Date",Z$9)-NL("Sum","5802 Value Entry","43 Cost Amount (Actual)","41 Source Type",$C$5,"5 Source no.",$C2572,"4 Item Ledger Entry Type",$C$4,"2 Item No.","@@"&amp;$F2572,"3 Posting Date",Z$9)</t>
  </si>
  <si>
    <t>=Z2572-AB2572</t>
  </si>
  <si>
    <t>=IF(Z2572&lt;&gt;0,AC2572/Z2572,"")</t>
  </si>
  <si>
    <t>=C2572</t>
  </si>
  <si>
    <t>=NL("Sum","5802 Value Entry","150 Sales Amount (Expected)","41 Source Type",$C$5,"5 Source No.",$C2573,"4 Item Ledger Entry Type",$C$4,"2 Item No.","@@"&amp;$F2573,"3 Posting Date",J$9)+NL("Sum","5802 Value Entry","17 Sales Amount (Actual)","41 Source Type",$C$5,"5 Source no.",$C2573,"4 Item Ledger Entry Type",$C$4,"2 Item No.","@@"&amp;$F2573,"3 Posting Date",J$9)</t>
  </si>
  <si>
    <t>=-NL("Sum","5802 Value Entry","151 Cost Amount (Expected)","41 Source Type",$C$5,"5 Source No.",$C2573,"4 Item Ledger Entry Type",$C$4,"2 Item No.","@@"&amp;$F2573,"3 Posting Date",J$9)-NL("Sum","5802 Value Entry","43 Cost Amount (Actual)","41 Source Type",$C$5,"5 Source no.",$C2573,"4 Item Ledger Entry Type",$C$4,"2 Item No.","@@"&amp;$F2573,"3 Posting Date",J$9)</t>
  </si>
  <si>
    <t>=J2573-L2573</t>
  </si>
  <si>
    <t>=IF(J2573&lt;&gt;0,M2573/J2573,"")</t>
  </si>
  <si>
    <t>=NL("Sum","5802 Value Entry","150 Sales Amount (Expected)","41 Source Type",$C$5,"5 Source No.",$C2573,"4 Item Ledger Entry Type",$C$4,"2 Item No.","@@"&amp;$F2573,"3 Posting Date",O$9)+NL("Sum","5802 Value Entry","17 Sales Amount (Actual)","41 Source Type",$C$5,"5 Source no.",$C2573,"4 Item Ledger Entry Type",$C$4,"2 Item No.","@@"&amp;$F2573,"3 Posting Date",O$9)</t>
  </si>
  <si>
    <t>=-NL("Sum","5802 Value Entry","151 Cost Amount (Expected)","41 Source Type",$C$5,"5 Source No.",$C2573,"4 Item Ledger Entry Type",$C$4,"2 Item No.","@@"&amp;$F2573,"3 Posting Date",O$9)-NL("Sum","5802 Value Entry","43 Cost Amount (Actual)","41 Source Type",$C$5,"5 Source no.",$C2573,"4 Item Ledger Entry Type",$C$4,"2 Item No.","@@"&amp;$F2573,"3 Posting Date",O$9)</t>
  </si>
  <si>
    <t>=O2573-Q2573</t>
  </si>
  <si>
    <t>=IF(O2573&lt;&gt;0,R2573/O2573,"")</t>
  </si>
  <si>
    <t>=NL("Sum","5802 Value Entry","150 Sales Amount (Expected)","41 Source Type",$C$5,"5 Source No.",$C2573,"4 Item Ledger Entry Type",$C$4,"2 Item No.","@@"&amp;$F2573,"3 Posting Date",U$9)+NL("Sum","5802 Value Entry","17 Sales Amount (Actual)","41 Source Type",$C$5,"5 Source no.",$C2573,"4 Item Ledger Entry Type",$C$4,"2 Item No.","@@"&amp;$F2573,"3 Posting Date",U$9)</t>
  </si>
  <si>
    <t>=-NL("Sum","5802 Value Entry","151 Cost Amount (Expected)","41 Source Type",$C$5,"5 Source No.",$C2573,"4 Item Ledger Entry Type",$C$4,"2 Item No.","@@"&amp;$F2573,"3 Posting Date",U$9)-NL("Sum","5802 Value Entry","43 Cost Amount (Actual)","41 Source Type",$C$5,"5 Source no.",$C2573,"4 Item Ledger Entry Type",$C$4,"2 Item No.","@@"&amp;$F2573,"3 Posting Date",U$9)</t>
  </si>
  <si>
    <t>=U2573-W2573</t>
  </si>
  <si>
    <t>=IF(U2573&lt;&gt;0,X2573/U2573,"")</t>
  </si>
  <si>
    <t>=NL("Sum","5802 Value Entry","150 Sales Amount (Expected)","41 Source Type",$C$5,"5 Source No.",$C2573,"4 Item Ledger Entry Type",$C$4,"2 Item No.","@@"&amp;$F2573,"3 Posting Date",Z$9)+NL("Sum","5802 Value Entry","17 Sales Amount (Actual)","41 Source Type",$C$5,"5 Source no.",$C2573,"4 Item Ledger Entry Type",$C$4,"2 Item No.","@@"&amp;$F2573,"3 Posting Date",Z$9)</t>
  </si>
  <si>
    <t>=-NL("Sum","5802 Value Entry","151 Cost Amount (Expected)","41 Source Type",$C$5,"5 Source No.",$C2573,"4 Item Ledger Entry Type",$C$4,"2 Item No.","@@"&amp;$F2573,"3 Posting Date",Z$9)-NL("Sum","5802 Value Entry","43 Cost Amount (Actual)","41 Source Type",$C$5,"5 Source no.",$C2573,"4 Item Ledger Entry Type",$C$4,"2 Item No.","@@"&amp;$F2573,"3 Posting Date",Z$9)</t>
  </si>
  <si>
    <t>=Z2573-AB2573</t>
  </si>
  <si>
    <t>=IF(Z2573&lt;&gt;0,AC2573/Z2573,"")</t>
  </si>
  <si>
    <t>=C2573</t>
  </si>
  <si>
    <t>=NL("Sum","5802 Value Entry","150 Sales Amount (Expected)","41 Source Type",$C$5,"5 Source No.",$C2574,"4 Item Ledger Entry Type",$C$4,"2 Item No.","@@"&amp;$F2574,"3 Posting Date",J$9)+NL("Sum","5802 Value Entry","17 Sales Amount (Actual)","41 Source Type",$C$5,"5 Source no.",$C2574,"4 Item Ledger Entry Type",$C$4,"2 Item No.","@@"&amp;$F2574,"3 Posting Date",J$9)</t>
  </si>
  <si>
    <t>=-NL("Sum","5802 Value Entry","151 Cost Amount (Expected)","41 Source Type",$C$5,"5 Source No.",$C2574,"4 Item Ledger Entry Type",$C$4,"2 Item No.","@@"&amp;$F2574,"3 Posting Date",J$9)-NL("Sum","5802 Value Entry","43 Cost Amount (Actual)","41 Source Type",$C$5,"5 Source no.",$C2574,"4 Item Ledger Entry Type",$C$4,"2 Item No.","@@"&amp;$F2574,"3 Posting Date",J$9)</t>
  </si>
  <si>
    <t>=J2574-L2574</t>
  </si>
  <si>
    <t>=IF(J2574&lt;&gt;0,M2574/J2574,"")</t>
  </si>
  <si>
    <t>=NL("Sum","5802 Value Entry","150 Sales Amount (Expected)","41 Source Type",$C$5,"5 Source No.",$C2574,"4 Item Ledger Entry Type",$C$4,"2 Item No.","@@"&amp;$F2574,"3 Posting Date",O$9)+NL("Sum","5802 Value Entry","17 Sales Amount (Actual)","41 Source Type",$C$5,"5 Source no.",$C2574,"4 Item Ledger Entry Type",$C$4,"2 Item No.","@@"&amp;$F2574,"3 Posting Date",O$9)</t>
  </si>
  <si>
    <t>=-NL("Sum","5802 Value Entry","151 Cost Amount (Expected)","41 Source Type",$C$5,"5 Source No.",$C2574,"4 Item Ledger Entry Type",$C$4,"2 Item No.","@@"&amp;$F2574,"3 Posting Date",O$9)-NL("Sum","5802 Value Entry","43 Cost Amount (Actual)","41 Source Type",$C$5,"5 Source no.",$C2574,"4 Item Ledger Entry Type",$C$4,"2 Item No.","@@"&amp;$F2574,"3 Posting Date",O$9)</t>
  </si>
  <si>
    <t>=O2574-Q2574</t>
  </si>
  <si>
    <t>=IF(O2574&lt;&gt;0,R2574/O2574,"")</t>
  </si>
  <si>
    <t>=NL("Sum","5802 Value Entry","150 Sales Amount (Expected)","41 Source Type",$C$5,"5 Source No.",$C2574,"4 Item Ledger Entry Type",$C$4,"2 Item No.","@@"&amp;$F2574,"3 Posting Date",U$9)+NL("Sum","5802 Value Entry","17 Sales Amount (Actual)","41 Source Type",$C$5,"5 Source no.",$C2574,"4 Item Ledger Entry Type",$C$4,"2 Item No.","@@"&amp;$F2574,"3 Posting Date",U$9)</t>
  </si>
  <si>
    <t>=-NL("Sum","5802 Value Entry","151 Cost Amount (Expected)","41 Source Type",$C$5,"5 Source No.",$C2574,"4 Item Ledger Entry Type",$C$4,"2 Item No.","@@"&amp;$F2574,"3 Posting Date",U$9)-NL("Sum","5802 Value Entry","43 Cost Amount (Actual)","41 Source Type",$C$5,"5 Source no.",$C2574,"4 Item Ledger Entry Type",$C$4,"2 Item No.","@@"&amp;$F2574,"3 Posting Date",U$9)</t>
  </si>
  <si>
    <t>=U2574-W2574</t>
  </si>
  <si>
    <t>=IF(U2574&lt;&gt;0,X2574/U2574,"")</t>
  </si>
  <si>
    <t>=NL("Sum","5802 Value Entry","150 Sales Amount (Expected)","41 Source Type",$C$5,"5 Source No.",$C2574,"4 Item Ledger Entry Type",$C$4,"2 Item No.","@@"&amp;$F2574,"3 Posting Date",Z$9)+NL("Sum","5802 Value Entry","17 Sales Amount (Actual)","41 Source Type",$C$5,"5 Source no.",$C2574,"4 Item Ledger Entry Type",$C$4,"2 Item No.","@@"&amp;$F2574,"3 Posting Date",Z$9)</t>
  </si>
  <si>
    <t>=-NL("Sum","5802 Value Entry","151 Cost Amount (Expected)","41 Source Type",$C$5,"5 Source No.",$C2574,"4 Item Ledger Entry Type",$C$4,"2 Item No.","@@"&amp;$F2574,"3 Posting Date",Z$9)-NL("Sum","5802 Value Entry","43 Cost Amount (Actual)","41 Source Type",$C$5,"5 Source no.",$C2574,"4 Item Ledger Entry Type",$C$4,"2 Item No.","@@"&amp;$F2574,"3 Posting Date",Z$9)</t>
  </si>
  <si>
    <t>=Z2574-AB2574</t>
  </si>
  <si>
    <t>=IF(Z2574&lt;&gt;0,AC2574/Z2574,"")</t>
  </si>
  <si>
    <t>=C2574</t>
  </si>
  <si>
    <t>=NL("Sum","5802 Value Entry","150 Sales Amount (Expected)","41 Source Type",$C$5,"5 Source No.",$C2575,"4 Item Ledger Entry Type",$C$4,"2 Item No.","@@"&amp;$F2575,"3 Posting Date",J$9)+NL("Sum","5802 Value Entry","17 Sales Amount (Actual)","41 Source Type",$C$5,"5 Source no.",$C2575,"4 Item Ledger Entry Type",$C$4,"2 Item No.","@@"&amp;$F2575,"3 Posting Date",J$9)</t>
  </si>
  <si>
    <t>=-NL("Sum","5802 Value Entry","151 Cost Amount (Expected)","41 Source Type",$C$5,"5 Source No.",$C2575,"4 Item Ledger Entry Type",$C$4,"2 Item No.","@@"&amp;$F2575,"3 Posting Date",J$9)-NL("Sum","5802 Value Entry","43 Cost Amount (Actual)","41 Source Type",$C$5,"5 Source no.",$C2575,"4 Item Ledger Entry Type",$C$4,"2 Item No.","@@"&amp;$F2575,"3 Posting Date",J$9)</t>
  </si>
  <si>
    <t>=J2575-L2575</t>
  </si>
  <si>
    <t>=IF(J2575&lt;&gt;0,M2575/J2575,"")</t>
  </si>
  <si>
    <t>=NL("Sum","5802 Value Entry","150 Sales Amount (Expected)","41 Source Type",$C$5,"5 Source No.",$C2575,"4 Item Ledger Entry Type",$C$4,"2 Item No.","@@"&amp;$F2575,"3 Posting Date",O$9)+NL("Sum","5802 Value Entry","17 Sales Amount (Actual)","41 Source Type",$C$5,"5 Source no.",$C2575,"4 Item Ledger Entry Type",$C$4,"2 Item No.","@@"&amp;$F2575,"3 Posting Date",O$9)</t>
  </si>
  <si>
    <t>=-NL("Sum","5802 Value Entry","151 Cost Amount (Expected)","41 Source Type",$C$5,"5 Source No.",$C2575,"4 Item Ledger Entry Type",$C$4,"2 Item No.","@@"&amp;$F2575,"3 Posting Date",O$9)-NL("Sum","5802 Value Entry","43 Cost Amount (Actual)","41 Source Type",$C$5,"5 Source no.",$C2575,"4 Item Ledger Entry Type",$C$4,"2 Item No.","@@"&amp;$F2575,"3 Posting Date",O$9)</t>
  </si>
  <si>
    <t>=O2575-Q2575</t>
  </si>
  <si>
    <t>=IF(O2575&lt;&gt;0,R2575/O2575,"")</t>
  </si>
  <si>
    <t>=NL("Sum","5802 Value Entry","150 Sales Amount (Expected)","41 Source Type",$C$5,"5 Source No.",$C2575,"4 Item Ledger Entry Type",$C$4,"2 Item No.","@@"&amp;$F2575,"3 Posting Date",U$9)+NL("Sum","5802 Value Entry","17 Sales Amount (Actual)","41 Source Type",$C$5,"5 Source no.",$C2575,"4 Item Ledger Entry Type",$C$4,"2 Item No.","@@"&amp;$F2575,"3 Posting Date",U$9)</t>
  </si>
  <si>
    <t>=-NL("Sum","5802 Value Entry","151 Cost Amount (Expected)","41 Source Type",$C$5,"5 Source No.",$C2575,"4 Item Ledger Entry Type",$C$4,"2 Item No.","@@"&amp;$F2575,"3 Posting Date",U$9)-NL("Sum","5802 Value Entry","43 Cost Amount (Actual)","41 Source Type",$C$5,"5 Source no.",$C2575,"4 Item Ledger Entry Type",$C$4,"2 Item No.","@@"&amp;$F2575,"3 Posting Date",U$9)</t>
  </si>
  <si>
    <t>=U2575-W2575</t>
  </si>
  <si>
    <t>=IF(U2575&lt;&gt;0,X2575/U2575,"")</t>
  </si>
  <si>
    <t>=NL("Sum","5802 Value Entry","150 Sales Amount (Expected)","41 Source Type",$C$5,"5 Source No.",$C2575,"4 Item Ledger Entry Type",$C$4,"2 Item No.","@@"&amp;$F2575,"3 Posting Date",Z$9)+NL("Sum","5802 Value Entry","17 Sales Amount (Actual)","41 Source Type",$C$5,"5 Source no.",$C2575,"4 Item Ledger Entry Type",$C$4,"2 Item No.","@@"&amp;$F2575,"3 Posting Date",Z$9)</t>
  </si>
  <si>
    <t>=-NL("Sum","5802 Value Entry","151 Cost Amount (Expected)","41 Source Type",$C$5,"5 Source No.",$C2575,"4 Item Ledger Entry Type",$C$4,"2 Item No.","@@"&amp;$F2575,"3 Posting Date",Z$9)-NL("Sum","5802 Value Entry","43 Cost Amount (Actual)","41 Source Type",$C$5,"5 Source no.",$C2575,"4 Item Ledger Entry Type",$C$4,"2 Item No.","@@"&amp;$F2575,"3 Posting Date",Z$9)</t>
  </si>
  <si>
    <t>=Z2575-AB2575</t>
  </si>
  <si>
    <t>=IF(Z2575&lt;&gt;0,AC2575/Z2575,"")</t>
  </si>
  <si>
    <t>=C2575</t>
  </si>
  <si>
    <t>=NL("Sum","5802 Value Entry","150 Sales Amount (Expected)","41 Source Type",$C$5,"5 Source No.",$C2576,"4 Item Ledger Entry Type",$C$4,"2 Item No.","@@"&amp;$F2576,"3 Posting Date",J$9)+NL("Sum","5802 Value Entry","17 Sales Amount (Actual)","41 Source Type",$C$5,"5 Source no.",$C2576,"4 Item Ledger Entry Type",$C$4,"2 Item No.","@@"&amp;$F2576,"3 Posting Date",J$9)</t>
  </si>
  <si>
    <t>=-NL("Sum","5802 Value Entry","151 Cost Amount (Expected)","41 Source Type",$C$5,"5 Source No.",$C2576,"4 Item Ledger Entry Type",$C$4,"2 Item No.","@@"&amp;$F2576,"3 Posting Date",J$9)-NL("Sum","5802 Value Entry","43 Cost Amount (Actual)","41 Source Type",$C$5,"5 Source no.",$C2576,"4 Item Ledger Entry Type",$C$4,"2 Item No.","@@"&amp;$F2576,"3 Posting Date",J$9)</t>
  </si>
  <si>
    <t>=J2576-L2576</t>
  </si>
  <si>
    <t>=IF(J2576&lt;&gt;0,M2576/J2576,"")</t>
  </si>
  <si>
    <t>=NL("Sum","5802 Value Entry","150 Sales Amount (Expected)","41 Source Type",$C$5,"5 Source No.",$C2576,"4 Item Ledger Entry Type",$C$4,"2 Item No.","@@"&amp;$F2576,"3 Posting Date",O$9)+NL("Sum","5802 Value Entry","17 Sales Amount (Actual)","41 Source Type",$C$5,"5 Source no.",$C2576,"4 Item Ledger Entry Type",$C$4,"2 Item No.","@@"&amp;$F2576,"3 Posting Date",O$9)</t>
  </si>
  <si>
    <t>=-NL("Sum","5802 Value Entry","151 Cost Amount (Expected)","41 Source Type",$C$5,"5 Source No.",$C2576,"4 Item Ledger Entry Type",$C$4,"2 Item No.","@@"&amp;$F2576,"3 Posting Date",O$9)-NL("Sum","5802 Value Entry","43 Cost Amount (Actual)","41 Source Type",$C$5,"5 Source no.",$C2576,"4 Item Ledger Entry Type",$C$4,"2 Item No.","@@"&amp;$F2576,"3 Posting Date",O$9)</t>
  </si>
  <si>
    <t>=O2576-Q2576</t>
  </si>
  <si>
    <t>=IF(O2576&lt;&gt;0,R2576/O2576,"")</t>
  </si>
  <si>
    <t>=NL("Sum","5802 Value Entry","150 Sales Amount (Expected)","41 Source Type",$C$5,"5 Source No.",$C2576,"4 Item Ledger Entry Type",$C$4,"2 Item No.","@@"&amp;$F2576,"3 Posting Date",U$9)+NL("Sum","5802 Value Entry","17 Sales Amount (Actual)","41 Source Type",$C$5,"5 Source no.",$C2576,"4 Item Ledger Entry Type",$C$4,"2 Item No.","@@"&amp;$F2576,"3 Posting Date",U$9)</t>
  </si>
  <si>
    <t>=-NL("Sum","5802 Value Entry","151 Cost Amount (Expected)","41 Source Type",$C$5,"5 Source No.",$C2576,"4 Item Ledger Entry Type",$C$4,"2 Item No.","@@"&amp;$F2576,"3 Posting Date",U$9)-NL("Sum","5802 Value Entry","43 Cost Amount (Actual)","41 Source Type",$C$5,"5 Source no.",$C2576,"4 Item Ledger Entry Type",$C$4,"2 Item No.","@@"&amp;$F2576,"3 Posting Date",U$9)</t>
  </si>
  <si>
    <t>=U2576-W2576</t>
  </si>
  <si>
    <t>=IF(U2576&lt;&gt;0,X2576/U2576,"")</t>
  </si>
  <si>
    <t>=NL("Sum","5802 Value Entry","150 Sales Amount (Expected)","41 Source Type",$C$5,"5 Source No.",$C2576,"4 Item Ledger Entry Type",$C$4,"2 Item No.","@@"&amp;$F2576,"3 Posting Date",Z$9)+NL("Sum","5802 Value Entry","17 Sales Amount (Actual)","41 Source Type",$C$5,"5 Source no.",$C2576,"4 Item Ledger Entry Type",$C$4,"2 Item No.","@@"&amp;$F2576,"3 Posting Date",Z$9)</t>
  </si>
  <si>
    <t>=-NL("Sum","5802 Value Entry","151 Cost Amount (Expected)","41 Source Type",$C$5,"5 Source No.",$C2576,"4 Item Ledger Entry Type",$C$4,"2 Item No.","@@"&amp;$F2576,"3 Posting Date",Z$9)-NL("Sum","5802 Value Entry","43 Cost Amount (Actual)","41 Source Type",$C$5,"5 Source no.",$C2576,"4 Item Ledger Entry Type",$C$4,"2 Item No.","@@"&amp;$F2576,"3 Posting Date",Z$9)</t>
  </si>
  <si>
    <t>=Z2576-AB2576</t>
  </si>
  <si>
    <t>=IF(Z2576&lt;&gt;0,AC2576/Z2576,"")</t>
  </si>
  <si>
    <t>=C2577</t>
  </si>
  <si>
    <t>=J2578-L2578</t>
  </si>
  <si>
    <t>=IF(J2578&lt;&gt;0,M2578/J2578,"")</t>
  </si>
  <si>
    <t>=O2578-Q2578</t>
  </si>
  <si>
    <t>=IF(O2578&lt;&gt;0,R2578/O2578,"")</t>
  </si>
  <si>
    <t>=U2578-W2578</t>
  </si>
  <si>
    <t>=IF(U2578&lt;&gt;0,X2578/U2578,"")</t>
  </si>
  <si>
    <t>=Z2578-AB2578</t>
  </si>
  <si>
    <t>=IF(Z2578&lt;&gt;0,AC2578/Z2578,"")</t>
  </si>
  <si>
    <t>=C2580</t>
  </si>
  <si>
    <t>=C2581</t>
  </si>
  <si>
    <t>=NL("Sum","5802 Value Entry","150 Sales Amount (Expected)","41 Source Type",$C$5,"5 Source No.",$C2582,"4 Item Ledger Entry Type",$C$4,"2 Item No.","@@"&amp;$F2582,"3 Posting Date",J$9)+NL("Sum","5802 Value Entry","17 Sales Amount (Actual)","41 Source Type",$C$5,"5 Source no.",$C2582,"4 Item Ledger Entry Type",$C$4,"2 Item No.","@@"&amp;$F2582,"3 Posting Date",J$9)</t>
  </si>
  <si>
    <t>=-NL("Sum","5802 Value Entry","151 Cost Amount (Expected)","41 Source Type",$C$5,"5 Source No.",$C2582,"4 Item Ledger Entry Type",$C$4,"2 Item No.","@@"&amp;$F2582,"3 Posting Date",J$9)-NL("Sum","5802 Value Entry","43 Cost Amount (Actual)","41 Source Type",$C$5,"5 Source no.",$C2582,"4 Item Ledger Entry Type",$C$4,"2 Item No.","@@"&amp;$F2582,"3 Posting Date",J$9)</t>
  </si>
  <si>
    <t>=J2582-L2582</t>
  </si>
  <si>
    <t>=IF(J2582&lt;&gt;0,M2582/J2582,"")</t>
  </si>
  <si>
    <t>=NL("Sum","5802 Value Entry","150 Sales Amount (Expected)","41 Source Type",$C$5,"5 Source No.",$C2582,"4 Item Ledger Entry Type",$C$4,"2 Item No.","@@"&amp;$F2582,"3 Posting Date",O$9)+NL("Sum","5802 Value Entry","17 Sales Amount (Actual)","41 Source Type",$C$5,"5 Source no.",$C2582,"4 Item Ledger Entry Type",$C$4,"2 Item No.","@@"&amp;$F2582,"3 Posting Date",O$9)</t>
  </si>
  <si>
    <t>=-NL("Sum","5802 Value Entry","151 Cost Amount (Expected)","41 Source Type",$C$5,"5 Source No.",$C2582,"4 Item Ledger Entry Type",$C$4,"2 Item No.","@@"&amp;$F2582,"3 Posting Date",O$9)-NL("Sum","5802 Value Entry","43 Cost Amount (Actual)","41 Source Type",$C$5,"5 Source no.",$C2582,"4 Item Ledger Entry Type",$C$4,"2 Item No.","@@"&amp;$F2582,"3 Posting Date",O$9)</t>
  </si>
  <si>
    <t>=O2582-Q2582</t>
  </si>
  <si>
    <t>=IF(O2582&lt;&gt;0,R2582/O2582,"")</t>
  </si>
  <si>
    <t>=NL("Sum","5802 Value Entry","150 Sales Amount (Expected)","41 Source Type",$C$5,"5 Source No.",$C2582,"4 Item Ledger Entry Type",$C$4,"2 Item No.","@@"&amp;$F2582,"3 Posting Date",U$9)+NL("Sum","5802 Value Entry","17 Sales Amount (Actual)","41 Source Type",$C$5,"5 Source no.",$C2582,"4 Item Ledger Entry Type",$C$4,"2 Item No.","@@"&amp;$F2582,"3 Posting Date",U$9)</t>
  </si>
  <si>
    <t>=-NL("Sum","5802 Value Entry","151 Cost Amount (Expected)","41 Source Type",$C$5,"5 Source No.",$C2582,"4 Item Ledger Entry Type",$C$4,"2 Item No.","@@"&amp;$F2582,"3 Posting Date",U$9)-NL("Sum","5802 Value Entry","43 Cost Amount (Actual)","41 Source Type",$C$5,"5 Source no.",$C2582,"4 Item Ledger Entry Type",$C$4,"2 Item No.","@@"&amp;$F2582,"3 Posting Date",U$9)</t>
  </si>
  <si>
    <t>=U2582-W2582</t>
  </si>
  <si>
    <t>=IF(U2582&lt;&gt;0,X2582/U2582,"")</t>
  </si>
  <si>
    <t>=NL("Sum","5802 Value Entry","150 Sales Amount (Expected)","41 Source Type",$C$5,"5 Source No.",$C2582,"4 Item Ledger Entry Type",$C$4,"2 Item No.","@@"&amp;$F2582,"3 Posting Date",Z$9)+NL("Sum","5802 Value Entry","17 Sales Amount (Actual)","41 Source Type",$C$5,"5 Source no.",$C2582,"4 Item Ledger Entry Type",$C$4,"2 Item No.","@@"&amp;$F2582,"3 Posting Date",Z$9)</t>
  </si>
  <si>
    <t>=-NL("Sum","5802 Value Entry","151 Cost Amount (Expected)","41 Source Type",$C$5,"5 Source No.",$C2582,"4 Item Ledger Entry Type",$C$4,"2 Item No.","@@"&amp;$F2582,"3 Posting Date",Z$9)-NL("Sum","5802 Value Entry","43 Cost Amount (Actual)","41 Source Type",$C$5,"5 Source no.",$C2582,"4 Item Ledger Entry Type",$C$4,"2 Item No.","@@"&amp;$F2582,"3 Posting Date",Z$9)</t>
  </si>
  <si>
    <t>=Z2582-AB2582</t>
  </si>
  <si>
    <t>=IF(Z2582&lt;&gt;0,AC2582/Z2582,"")</t>
  </si>
  <si>
    <t>=C2582</t>
  </si>
  <si>
    <t>=NL("Sum","5802 Value Entry","150 Sales Amount (Expected)","41 Source Type",$C$5,"5 Source No.",$C2583,"4 Item Ledger Entry Type",$C$4,"2 Item No.","@@"&amp;$F2583,"3 Posting Date",J$9)+NL("Sum","5802 Value Entry","17 Sales Amount (Actual)","41 Source Type",$C$5,"5 Source no.",$C2583,"4 Item Ledger Entry Type",$C$4,"2 Item No.","@@"&amp;$F2583,"3 Posting Date",J$9)</t>
  </si>
  <si>
    <t>=-NL("Sum","5802 Value Entry","151 Cost Amount (Expected)","41 Source Type",$C$5,"5 Source No.",$C2583,"4 Item Ledger Entry Type",$C$4,"2 Item No.","@@"&amp;$F2583,"3 Posting Date",J$9)-NL("Sum","5802 Value Entry","43 Cost Amount (Actual)","41 Source Type",$C$5,"5 Source no.",$C2583,"4 Item Ledger Entry Type",$C$4,"2 Item No.","@@"&amp;$F2583,"3 Posting Date",J$9)</t>
  </si>
  <si>
    <t>=J2583-L2583</t>
  </si>
  <si>
    <t>=IF(J2583&lt;&gt;0,M2583/J2583,"")</t>
  </si>
  <si>
    <t>=NL("Sum","5802 Value Entry","150 Sales Amount (Expected)","41 Source Type",$C$5,"5 Source No.",$C2583,"4 Item Ledger Entry Type",$C$4,"2 Item No.","@@"&amp;$F2583,"3 Posting Date",O$9)+NL("Sum","5802 Value Entry","17 Sales Amount (Actual)","41 Source Type",$C$5,"5 Source no.",$C2583,"4 Item Ledger Entry Type",$C$4,"2 Item No.","@@"&amp;$F2583,"3 Posting Date",O$9)</t>
  </si>
  <si>
    <t>=-NL("Sum","5802 Value Entry","151 Cost Amount (Expected)","41 Source Type",$C$5,"5 Source No.",$C2583,"4 Item Ledger Entry Type",$C$4,"2 Item No.","@@"&amp;$F2583,"3 Posting Date",O$9)-NL("Sum","5802 Value Entry","43 Cost Amount (Actual)","41 Source Type",$C$5,"5 Source no.",$C2583,"4 Item Ledger Entry Type",$C$4,"2 Item No.","@@"&amp;$F2583,"3 Posting Date",O$9)</t>
  </si>
  <si>
    <t>=O2583-Q2583</t>
  </si>
  <si>
    <t>=IF(O2583&lt;&gt;0,R2583/O2583,"")</t>
  </si>
  <si>
    <t>=NL("Sum","5802 Value Entry","150 Sales Amount (Expected)","41 Source Type",$C$5,"5 Source No.",$C2583,"4 Item Ledger Entry Type",$C$4,"2 Item No.","@@"&amp;$F2583,"3 Posting Date",U$9)+NL("Sum","5802 Value Entry","17 Sales Amount (Actual)","41 Source Type",$C$5,"5 Source no.",$C2583,"4 Item Ledger Entry Type",$C$4,"2 Item No.","@@"&amp;$F2583,"3 Posting Date",U$9)</t>
  </si>
  <si>
    <t>=-NL("Sum","5802 Value Entry","151 Cost Amount (Expected)","41 Source Type",$C$5,"5 Source No.",$C2583,"4 Item Ledger Entry Type",$C$4,"2 Item No.","@@"&amp;$F2583,"3 Posting Date",U$9)-NL("Sum","5802 Value Entry","43 Cost Amount (Actual)","41 Source Type",$C$5,"5 Source no.",$C2583,"4 Item Ledger Entry Type",$C$4,"2 Item No.","@@"&amp;$F2583,"3 Posting Date",U$9)</t>
  </si>
  <si>
    <t>=U2583-W2583</t>
  </si>
  <si>
    <t>=IF(U2583&lt;&gt;0,X2583/U2583,"")</t>
  </si>
  <si>
    <t>=NL("Sum","5802 Value Entry","150 Sales Amount (Expected)","41 Source Type",$C$5,"5 Source No.",$C2583,"4 Item Ledger Entry Type",$C$4,"2 Item No.","@@"&amp;$F2583,"3 Posting Date",Z$9)+NL("Sum","5802 Value Entry","17 Sales Amount (Actual)","41 Source Type",$C$5,"5 Source no.",$C2583,"4 Item Ledger Entry Type",$C$4,"2 Item No.","@@"&amp;$F2583,"3 Posting Date",Z$9)</t>
  </si>
  <si>
    <t>=-NL("Sum","5802 Value Entry","151 Cost Amount (Expected)","41 Source Type",$C$5,"5 Source No.",$C2583,"4 Item Ledger Entry Type",$C$4,"2 Item No.","@@"&amp;$F2583,"3 Posting Date",Z$9)-NL("Sum","5802 Value Entry","43 Cost Amount (Actual)","41 Source Type",$C$5,"5 Source no.",$C2583,"4 Item Ledger Entry Type",$C$4,"2 Item No.","@@"&amp;$F2583,"3 Posting Date",Z$9)</t>
  </si>
  <si>
    <t>=Z2583-AB2583</t>
  </si>
  <si>
    <t>=IF(Z2583&lt;&gt;0,AC2583/Z2583,"")</t>
  </si>
  <si>
    <t>=C2583</t>
  </si>
  <si>
    <t>=NL("Sum","5802 Value Entry","150 Sales Amount (Expected)","41 Source Type",$C$5,"5 Source No.",$C2584,"4 Item Ledger Entry Type",$C$4,"2 Item No.","@@"&amp;$F2584,"3 Posting Date",J$9)+NL("Sum","5802 Value Entry","17 Sales Amount (Actual)","41 Source Type",$C$5,"5 Source no.",$C2584,"4 Item Ledger Entry Type",$C$4,"2 Item No.","@@"&amp;$F2584,"3 Posting Date",J$9)</t>
  </si>
  <si>
    <t>=-NL("Sum","5802 Value Entry","151 Cost Amount (Expected)","41 Source Type",$C$5,"5 Source No.",$C2584,"4 Item Ledger Entry Type",$C$4,"2 Item No.","@@"&amp;$F2584,"3 Posting Date",J$9)-NL("Sum","5802 Value Entry","43 Cost Amount (Actual)","41 Source Type",$C$5,"5 Source no.",$C2584,"4 Item Ledger Entry Type",$C$4,"2 Item No.","@@"&amp;$F2584,"3 Posting Date",J$9)</t>
  </si>
  <si>
    <t>=J2584-L2584</t>
  </si>
  <si>
    <t>=IF(J2584&lt;&gt;0,M2584/J2584,"")</t>
  </si>
  <si>
    <t>=NL("Sum","5802 Value Entry","150 Sales Amount (Expected)","41 Source Type",$C$5,"5 Source No.",$C2584,"4 Item Ledger Entry Type",$C$4,"2 Item No.","@@"&amp;$F2584,"3 Posting Date",O$9)+NL("Sum","5802 Value Entry","17 Sales Amount (Actual)","41 Source Type",$C$5,"5 Source no.",$C2584,"4 Item Ledger Entry Type",$C$4,"2 Item No.","@@"&amp;$F2584,"3 Posting Date",O$9)</t>
  </si>
  <si>
    <t>=-NL("Sum","5802 Value Entry","151 Cost Amount (Expected)","41 Source Type",$C$5,"5 Source No.",$C2584,"4 Item Ledger Entry Type",$C$4,"2 Item No.","@@"&amp;$F2584,"3 Posting Date",O$9)-NL("Sum","5802 Value Entry","43 Cost Amount (Actual)","41 Source Type",$C$5,"5 Source no.",$C2584,"4 Item Ledger Entry Type",$C$4,"2 Item No.","@@"&amp;$F2584,"3 Posting Date",O$9)</t>
  </si>
  <si>
    <t>=O2584-Q2584</t>
  </si>
  <si>
    <t>=IF(O2584&lt;&gt;0,R2584/O2584,"")</t>
  </si>
  <si>
    <t>=NL("Sum","5802 Value Entry","150 Sales Amount (Expected)","41 Source Type",$C$5,"5 Source No.",$C2584,"4 Item Ledger Entry Type",$C$4,"2 Item No.","@@"&amp;$F2584,"3 Posting Date",U$9)+NL("Sum","5802 Value Entry","17 Sales Amount (Actual)","41 Source Type",$C$5,"5 Source no.",$C2584,"4 Item Ledger Entry Type",$C$4,"2 Item No.","@@"&amp;$F2584,"3 Posting Date",U$9)</t>
  </si>
  <si>
    <t>=-NL("Sum","5802 Value Entry","151 Cost Amount (Expected)","41 Source Type",$C$5,"5 Source No.",$C2584,"4 Item Ledger Entry Type",$C$4,"2 Item No.","@@"&amp;$F2584,"3 Posting Date",U$9)-NL("Sum","5802 Value Entry","43 Cost Amount (Actual)","41 Source Type",$C$5,"5 Source no.",$C2584,"4 Item Ledger Entry Type",$C$4,"2 Item No.","@@"&amp;$F2584,"3 Posting Date",U$9)</t>
  </si>
  <si>
    <t>=U2584-W2584</t>
  </si>
  <si>
    <t>=IF(U2584&lt;&gt;0,X2584/U2584,"")</t>
  </si>
  <si>
    <t>=NL("Sum","5802 Value Entry","150 Sales Amount (Expected)","41 Source Type",$C$5,"5 Source No.",$C2584,"4 Item Ledger Entry Type",$C$4,"2 Item No.","@@"&amp;$F2584,"3 Posting Date",Z$9)+NL("Sum","5802 Value Entry","17 Sales Amount (Actual)","41 Source Type",$C$5,"5 Source no.",$C2584,"4 Item Ledger Entry Type",$C$4,"2 Item No.","@@"&amp;$F2584,"3 Posting Date",Z$9)</t>
  </si>
  <si>
    <t>=-NL("Sum","5802 Value Entry","151 Cost Amount (Expected)","41 Source Type",$C$5,"5 Source No.",$C2584,"4 Item Ledger Entry Type",$C$4,"2 Item No.","@@"&amp;$F2584,"3 Posting Date",Z$9)-NL("Sum","5802 Value Entry","43 Cost Amount (Actual)","41 Source Type",$C$5,"5 Source no.",$C2584,"4 Item Ledger Entry Type",$C$4,"2 Item No.","@@"&amp;$F2584,"3 Posting Date",Z$9)</t>
  </si>
  <si>
    <t>=Z2584-AB2584</t>
  </si>
  <si>
    <t>=IF(Z2584&lt;&gt;0,AC2584/Z2584,"")</t>
  </si>
  <si>
    <t>=C2584</t>
  </si>
  <si>
    <t>=NL("Sum","5802 Value Entry","150 Sales Amount (Expected)","41 Source Type",$C$5,"5 Source No.",$C2585,"4 Item Ledger Entry Type",$C$4,"2 Item No.","@@"&amp;$F2585,"3 Posting Date",J$9)+NL("Sum","5802 Value Entry","17 Sales Amount (Actual)","41 Source Type",$C$5,"5 Source no.",$C2585,"4 Item Ledger Entry Type",$C$4,"2 Item No.","@@"&amp;$F2585,"3 Posting Date",J$9)</t>
  </si>
  <si>
    <t>=-NL("Sum","5802 Value Entry","151 Cost Amount (Expected)","41 Source Type",$C$5,"5 Source No.",$C2585,"4 Item Ledger Entry Type",$C$4,"2 Item No.","@@"&amp;$F2585,"3 Posting Date",J$9)-NL("Sum","5802 Value Entry","43 Cost Amount (Actual)","41 Source Type",$C$5,"5 Source no.",$C2585,"4 Item Ledger Entry Type",$C$4,"2 Item No.","@@"&amp;$F2585,"3 Posting Date",J$9)</t>
  </si>
  <si>
    <t>=J2585-L2585</t>
  </si>
  <si>
    <t>=IF(J2585&lt;&gt;0,M2585/J2585,"")</t>
  </si>
  <si>
    <t>=NL("Sum","5802 Value Entry","150 Sales Amount (Expected)","41 Source Type",$C$5,"5 Source No.",$C2585,"4 Item Ledger Entry Type",$C$4,"2 Item No.","@@"&amp;$F2585,"3 Posting Date",O$9)+NL("Sum","5802 Value Entry","17 Sales Amount (Actual)","41 Source Type",$C$5,"5 Source no.",$C2585,"4 Item Ledger Entry Type",$C$4,"2 Item No.","@@"&amp;$F2585,"3 Posting Date",O$9)</t>
  </si>
  <si>
    <t>=-NL("Sum","5802 Value Entry","151 Cost Amount (Expected)","41 Source Type",$C$5,"5 Source No.",$C2585,"4 Item Ledger Entry Type",$C$4,"2 Item No.","@@"&amp;$F2585,"3 Posting Date",O$9)-NL("Sum","5802 Value Entry","43 Cost Amount (Actual)","41 Source Type",$C$5,"5 Source no.",$C2585,"4 Item Ledger Entry Type",$C$4,"2 Item No.","@@"&amp;$F2585,"3 Posting Date",O$9)</t>
  </si>
  <si>
    <t>=O2585-Q2585</t>
  </si>
  <si>
    <t>=IF(O2585&lt;&gt;0,R2585/O2585,"")</t>
  </si>
  <si>
    <t>=NL("Sum","5802 Value Entry","150 Sales Amount (Expected)","41 Source Type",$C$5,"5 Source No.",$C2585,"4 Item Ledger Entry Type",$C$4,"2 Item No.","@@"&amp;$F2585,"3 Posting Date",U$9)+NL("Sum","5802 Value Entry","17 Sales Amount (Actual)","41 Source Type",$C$5,"5 Source no.",$C2585,"4 Item Ledger Entry Type",$C$4,"2 Item No.","@@"&amp;$F2585,"3 Posting Date",U$9)</t>
  </si>
  <si>
    <t>=-NL("Sum","5802 Value Entry","151 Cost Amount (Expected)","41 Source Type",$C$5,"5 Source No.",$C2585,"4 Item Ledger Entry Type",$C$4,"2 Item No.","@@"&amp;$F2585,"3 Posting Date",U$9)-NL("Sum","5802 Value Entry","43 Cost Amount (Actual)","41 Source Type",$C$5,"5 Source no.",$C2585,"4 Item Ledger Entry Type",$C$4,"2 Item No.","@@"&amp;$F2585,"3 Posting Date",U$9)</t>
  </si>
  <si>
    <t>=U2585-W2585</t>
  </si>
  <si>
    <t>=IF(U2585&lt;&gt;0,X2585/U2585,"")</t>
  </si>
  <si>
    <t>=NL("Sum","5802 Value Entry","150 Sales Amount (Expected)","41 Source Type",$C$5,"5 Source No.",$C2585,"4 Item Ledger Entry Type",$C$4,"2 Item No.","@@"&amp;$F2585,"3 Posting Date",Z$9)+NL("Sum","5802 Value Entry","17 Sales Amount (Actual)","41 Source Type",$C$5,"5 Source no.",$C2585,"4 Item Ledger Entry Type",$C$4,"2 Item No.","@@"&amp;$F2585,"3 Posting Date",Z$9)</t>
  </si>
  <si>
    <t>=-NL("Sum","5802 Value Entry","151 Cost Amount (Expected)","41 Source Type",$C$5,"5 Source No.",$C2585,"4 Item Ledger Entry Type",$C$4,"2 Item No.","@@"&amp;$F2585,"3 Posting Date",Z$9)-NL("Sum","5802 Value Entry","43 Cost Amount (Actual)","41 Source Type",$C$5,"5 Source no.",$C2585,"4 Item Ledger Entry Type",$C$4,"2 Item No.","@@"&amp;$F2585,"3 Posting Date",Z$9)</t>
  </si>
  <si>
    <t>=Z2585-AB2585</t>
  </si>
  <si>
    <t>=IF(Z2585&lt;&gt;0,AC2585/Z2585,"")</t>
  </si>
  <si>
    <t>=C2585</t>
  </si>
  <si>
    <t>=NL("Sum","5802 Value Entry","150 Sales Amount (Expected)","41 Source Type",$C$5,"5 Source No.",$C2586,"4 Item Ledger Entry Type",$C$4,"2 Item No.","@@"&amp;$F2586,"3 Posting Date",J$9)+NL("Sum","5802 Value Entry","17 Sales Amount (Actual)","41 Source Type",$C$5,"5 Source no.",$C2586,"4 Item Ledger Entry Type",$C$4,"2 Item No.","@@"&amp;$F2586,"3 Posting Date",J$9)</t>
  </si>
  <si>
    <t>=-NL("Sum","5802 Value Entry","151 Cost Amount (Expected)","41 Source Type",$C$5,"5 Source No.",$C2586,"4 Item Ledger Entry Type",$C$4,"2 Item No.","@@"&amp;$F2586,"3 Posting Date",J$9)-NL("Sum","5802 Value Entry","43 Cost Amount (Actual)","41 Source Type",$C$5,"5 Source no.",$C2586,"4 Item Ledger Entry Type",$C$4,"2 Item No.","@@"&amp;$F2586,"3 Posting Date",J$9)</t>
  </si>
  <si>
    <t>=J2586-L2586</t>
  </si>
  <si>
    <t>=IF(J2586&lt;&gt;0,M2586/J2586,"")</t>
  </si>
  <si>
    <t>=NL("Sum","5802 Value Entry","150 Sales Amount (Expected)","41 Source Type",$C$5,"5 Source No.",$C2586,"4 Item Ledger Entry Type",$C$4,"2 Item No.","@@"&amp;$F2586,"3 Posting Date",O$9)+NL("Sum","5802 Value Entry","17 Sales Amount (Actual)","41 Source Type",$C$5,"5 Source no.",$C2586,"4 Item Ledger Entry Type",$C$4,"2 Item No.","@@"&amp;$F2586,"3 Posting Date",O$9)</t>
  </si>
  <si>
    <t>=-NL("Sum","5802 Value Entry","151 Cost Amount (Expected)","41 Source Type",$C$5,"5 Source No.",$C2586,"4 Item Ledger Entry Type",$C$4,"2 Item No.","@@"&amp;$F2586,"3 Posting Date",O$9)-NL("Sum","5802 Value Entry","43 Cost Amount (Actual)","41 Source Type",$C$5,"5 Source no.",$C2586,"4 Item Ledger Entry Type",$C$4,"2 Item No.","@@"&amp;$F2586,"3 Posting Date",O$9)</t>
  </si>
  <si>
    <t>=O2586-Q2586</t>
  </si>
  <si>
    <t>=IF(O2586&lt;&gt;0,R2586/O2586,"")</t>
  </si>
  <si>
    <t>=NL("Sum","5802 Value Entry","150 Sales Amount (Expected)","41 Source Type",$C$5,"5 Source No.",$C2586,"4 Item Ledger Entry Type",$C$4,"2 Item No.","@@"&amp;$F2586,"3 Posting Date",U$9)+NL("Sum","5802 Value Entry","17 Sales Amount (Actual)","41 Source Type",$C$5,"5 Source no.",$C2586,"4 Item Ledger Entry Type",$C$4,"2 Item No.","@@"&amp;$F2586,"3 Posting Date",U$9)</t>
  </si>
  <si>
    <t>=-NL("Sum","5802 Value Entry","151 Cost Amount (Expected)","41 Source Type",$C$5,"5 Source No.",$C2586,"4 Item Ledger Entry Type",$C$4,"2 Item No.","@@"&amp;$F2586,"3 Posting Date",U$9)-NL("Sum","5802 Value Entry","43 Cost Amount (Actual)","41 Source Type",$C$5,"5 Source no.",$C2586,"4 Item Ledger Entry Type",$C$4,"2 Item No.","@@"&amp;$F2586,"3 Posting Date",U$9)</t>
  </si>
  <si>
    <t>=U2586-W2586</t>
  </si>
  <si>
    <t>=IF(U2586&lt;&gt;0,X2586/U2586,"")</t>
  </si>
  <si>
    <t>=NL("Sum","5802 Value Entry","150 Sales Amount (Expected)","41 Source Type",$C$5,"5 Source No.",$C2586,"4 Item Ledger Entry Type",$C$4,"2 Item No.","@@"&amp;$F2586,"3 Posting Date",Z$9)+NL("Sum","5802 Value Entry","17 Sales Amount (Actual)","41 Source Type",$C$5,"5 Source no.",$C2586,"4 Item Ledger Entry Type",$C$4,"2 Item No.","@@"&amp;$F2586,"3 Posting Date",Z$9)</t>
  </si>
  <si>
    <t>=-NL("Sum","5802 Value Entry","151 Cost Amount (Expected)","41 Source Type",$C$5,"5 Source No.",$C2586,"4 Item Ledger Entry Type",$C$4,"2 Item No.","@@"&amp;$F2586,"3 Posting Date",Z$9)-NL("Sum","5802 Value Entry","43 Cost Amount (Actual)","41 Source Type",$C$5,"5 Source no.",$C2586,"4 Item Ledger Entry Type",$C$4,"2 Item No.","@@"&amp;$F2586,"3 Posting Date",Z$9)</t>
  </si>
  <si>
    <t>=Z2586-AB2586</t>
  </si>
  <si>
    <t>=IF(Z2586&lt;&gt;0,AC2586/Z2586,"")</t>
  </si>
  <si>
    <t>=C2586</t>
  </si>
  <si>
    <t>=NL("Sum","5802 Value Entry","150 Sales Amount (Expected)","41 Source Type",$C$5,"5 Source No.",$C2587,"4 Item Ledger Entry Type",$C$4,"2 Item No.","@@"&amp;$F2587,"3 Posting Date",J$9)+NL("Sum","5802 Value Entry","17 Sales Amount (Actual)","41 Source Type",$C$5,"5 Source no.",$C2587,"4 Item Ledger Entry Type",$C$4,"2 Item No.","@@"&amp;$F2587,"3 Posting Date",J$9)</t>
  </si>
  <si>
    <t>=-NL("Sum","5802 Value Entry","151 Cost Amount (Expected)","41 Source Type",$C$5,"5 Source No.",$C2587,"4 Item Ledger Entry Type",$C$4,"2 Item No.","@@"&amp;$F2587,"3 Posting Date",J$9)-NL("Sum","5802 Value Entry","43 Cost Amount (Actual)","41 Source Type",$C$5,"5 Source no.",$C2587,"4 Item Ledger Entry Type",$C$4,"2 Item No.","@@"&amp;$F2587,"3 Posting Date",J$9)</t>
  </si>
  <si>
    <t>=J2587-L2587</t>
  </si>
  <si>
    <t>=IF(J2587&lt;&gt;0,M2587/J2587,"")</t>
  </si>
  <si>
    <t>=NL("Sum","5802 Value Entry","150 Sales Amount (Expected)","41 Source Type",$C$5,"5 Source No.",$C2587,"4 Item Ledger Entry Type",$C$4,"2 Item No.","@@"&amp;$F2587,"3 Posting Date",O$9)+NL("Sum","5802 Value Entry","17 Sales Amount (Actual)","41 Source Type",$C$5,"5 Source no.",$C2587,"4 Item Ledger Entry Type",$C$4,"2 Item No.","@@"&amp;$F2587,"3 Posting Date",O$9)</t>
  </si>
  <si>
    <t>=-NL("Sum","5802 Value Entry","151 Cost Amount (Expected)","41 Source Type",$C$5,"5 Source No.",$C2587,"4 Item Ledger Entry Type",$C$4,"2 Item No.","@@"&amp;$F2587,"3 Posting Date",O$9)-NL("Sum","5802 Value Entry","43 Cost Amount (Actual)","41 Source Type",$C$5,"5 Source no.",$C2587,"4 Item Ledger Entry Type",$C$4,"2 Item No.","@@"&amp;$F2587,"3 Posting Date",O$9)</t>
  </si>
  <si>
    <t>=O2587-Q2587</t>
  </si>
  <si>
    <t>=IF(O2587&lt;&gt;0,R2587/O2587,"")</t>
  </si>
  <si>
    <t>=NL("Sum","5802 Value Entry","150 Sales Amount (Expected)","41 Source Type",$C$5,"5 Source No.",$C2587,"4 Item Ledger Entry Type",$C$4,"2 Item No.","@@"&amp;$F2587,"3 Posting Date",U$9)+NL("Sum","5802 Value Entry","17 Sales Amount (Actual)","41 Source Type",$C$5,"5 Source no.",$C2587,"4 Item Ledger Entry Type",$C$4,"2 Item No.","@@"&amp;$F2587,"3 Posting Date",U$9)</t>
  </si>
  <si>
    <t>=-NL("Sum","5802 Value Entry","151 Cost Amount (Expected)","41 Source Type",$C$5,"5 Source No.",$C2587,"4 Item Ledger Entry Type",$C$4,"2 Item No.","@@"&amp;$F2587,"3 Posting Date",U$9)-NL("Sum","5802 Value Entry","43 Cost Amount (Actual)","41 Source Type",$C$5,"5 Source no.",$C2587,"4 Item Ledger Entry Type",$C$4,"2 Item No.","@@"&amp;$F2587,"3 Posting Date",U$9)</t>
  </si>
  <si>
    <t>=U2587-W2587</t>
  </si>
  <si>
    <t>=IF(U2587&lt;&gt;0,X2587/U2587,"")</t>
  </si>
  <si>
    <t>=NL("Sum","5802 Value Entry","150 Sales Amount (Expected)","41 Source Type",$C$5,"5 Source No.",$C2587,"4 Item Ledger Entry Type",$C$4,"2 Item No.","@@"&amp;$F2587,"3 Posting Date",Z$9)+NL("Sum","5802 Value Entry","17 Sales Amount (Actual)","41 Source Type",$C$5,"5 Source no.",$C2587,"4 Item Ledger Entry Type",$C$4,"2 Item No.","@@"&amp;$F2587,"3 Posting Date",Z$9)</t>
  </si>
  <si>
    <t>=-NL("Sum","5802 Value Entry","151 Cost Amount (Expected)","41 Source Type",$C$5,"5 Source No.",$C2587,"4 Item Ledger Entry Type",$C$4,"2 Item No.","@@"&amp;$F2587,"3 Posting Date",Z$9)-NL("Sum","5802 Value Entry","43 Cost Amount (Actual)","41 Source Type",$C$5,"5 Source no.",$C2587,"4 Item Ledger Entry Type",$C$4,"2 Item No.","@@"&amp;$F2587,"3 Posting Date",Z$9)</t>
  </si>
  <si>
    <t>=Z2587-AB2587</t>
  </si>
  <si>
    <t>=IF(Z2587&lt;&gt;0,AC2587/Z2587,"")</t>
  </si>
  <si>
    <t>=C2587</t>
  </si>
  <si>
    <t>=NL("Sum","5802 Value Entry","150 Sales Amount (Expected)","41 Source Type",$C$5,"5 Source No.",$C2588,"4 Item Ledger Entry Type",$C$4,"2 Item No.","@@"&amp;$F2588,"3 Posting Date",J$9)+NL("Sum","5802 Value Entry","17 Sales Amount (Actual)","41 Source Type",$C$5,"5 Source no.",$C2588,"4 Item Ledger Entry Type",$C$4,"2 Item No.","@@"&amp;$F2588,"3 Posting Date",J$9)</t>
  </si>
  <si>
    <t>=-NL("Sum","5802 Value Entry","151 Cost Amount (Expected)","41 Source Type",$C$5,"5 Source No.",$C2588,"4 Item Ledger Entry Type",$C$4,"2 Item No.","@@"&amp;$F2588,"3 Posting Date",J$9)-NL("Sum","5802 Value Entry","43 Cost Amount (Actual)","41 Source Type",$C$5,"5 Source no.",$C2588,"4 Item Ledger Entry Type",$C$4,"2 Item No.","@@"&amp;$F2588,"3 Posting Date",J$9)</t>
  </si>
  <si>
    <t>=J2588-L2588</t>
  </si>
  <si>
    <t>=IF(J2588&lt;&gt;0,M2588/J2588,"")</t>
  </si>
  <si>
    <t>=NL("Sum","5802 Value Entry","150 Sales Amount (Expected)","41 Source Type",$C$5,"5 Source No.",$C2588,"4 Item Ledger Entry Type",$C$4,"2 Item No.","@@"&amp;$F2588,"3 Posting Date",O$9)+NL("Sum","5802 Value Entry","17 Sales Amount (Actual)","41 Source Type",$C$5,"5 Source no.",$C2588,"4 Item Ledger Entry Type",$C$4,"2 Item No.","@@"&amp;$F2588,"3 Posting Date",O$9)</t>
  </si>
  <si>
    <t>=-NL("Sum","5802 Value Entry","151 Cost Amount (Expected)","41 Source Type",$C$5,"5 Source No.",$C2588,"4 Item Ledger Entry Type",$C$4,"2 Item No.","@@"&amp;$F2588,"3 Posting Date",O$9)-NL("Sum","5802 Value Entry","43 Cost Amount (Actual)","41 Source Type",$C$5,"5 Source no.",$C2588,"4 Item Ledger Entry Type",$C$4,"2 Item No.","@@"&amp;$F2588,"3 Posting Date",O$9)</t>
  </si>
  <si>
    <t>=O2588-Q2588</t>
  </si>
  <si>
    <t>=IF(O2588&lt;&gt;0,R2588/O2588,"")</t>
  </si>
  <si>
    <t>=NL("Sum","5802 Value Entry","150 Sales Amount (Expected)","41 Source Type",$C$5,"5 Source No.",$C2588,"4 Item Ledger Entry Type",$C$4,"2 Item No.","@@"&amp;$F2588,"3 Posting Date",U$9)+NL("Sum","5802 Value Entry","17 Sales Amount (Actual)","41 Source Type",$C$5,"5 Source no.",$C2588,"4 Item Ledger Entry Type",$C$4,"2 Item No.","@@"&amp;$F2588,"3 Posting Date",U$9)</t>
  </si>
  <si>
    <t>=-NL("Sum","5802 Value Entry","151 Cost Amount (Expected)","41 Source Type",$C$5,"5 Source No.",$C2588,"4 Item Ledger Entry Type",$C$4,"2 Item No.","@@"&amp;$F2588,"3 Posting Date",U$9)-NL("Sum","5802 Value Entry","43 Cost Amount (Actual)","41 Source Type",$C$5,"5 Source no.",$C2588,"4 Item Ledger Entry Type",$C$4,"2 Item No.","@@"&amp;$F2588,"3 Posting Date",U$9)</t>
  </si>
  <si>
    <t>=U2588-W2588</t>
  </si>
  <si>
    <t>=IF(U2588&lt;&gt;0,X2588/U2588,"")</t>
  </si>
  <si>
    <t>=NL("Sum","5802 Value Entry","150 Sales Amount (Expected)","41 Source Type",$C$5,"5 Source No.",$C2588,"4 Item Ledger Entry Type",$C$4,"2 Item No.","@@"&amp;$F2588,"3 Posting Date",Z$9)+NL("Sum","5802 Value Entry","17 Sales Amount (Actual)","41 Source Type",$C$5,"5 Source no.",$C2588,"4 Item Ledger Entry Type",$C$4,"2 Item No.","@@"&amp;$F2588,"3 Posting Date",Z$9)</t>
  </si>
  <si>
    <t>=-NL("Sum","5802 Value Entry","151 Cost Amount (Expected)","41 Source Type",$C$5,"5 Source No.",$C2588,"4 Item Ledger Entry Type",$C$4,"2 Item No.","@@"&amp;$F2588,"3 Posting Date",Z$9)-NL("Sum","5802 Value Entry","43 Cost Amount (Actual)","41 Source Type",$C$5,"5 Source no.",$C2588,"4 Item Ledger Entry Type",$C$4,"2 Item No.","@@"&amp;$F2588,"3 Posting Date",Z$9)</t>
  </si>
  <si>
    <t>=Z2588-AB2588</t>
  </si>
  <si>
    <t>=IF(Z2588&lt;&gt;0,AC2588/Z2588,"")</t>
  </si>
  <si>
    <t>=C2588</t>
  </si>
  <si>
    <t>=NL("Sum","5802 Value Entry","150 Sales Amount (Expected)","41 Source Type",$C$5,"5 Source No.",$C2589,"4 Item Ledger Entry Type",$C$4,"2 Item No.","@@"&amp;$F2589,"3 Posting Date",J$9)+NL("Sum","5802 Value Entry","17 Sales Amount (Actual)","41 Source Type",$C$5,"5 Source no.",$C2589,"4 Item Ledger Entry Type",$C$4,"2 Item No.","@@"&amp;$F2589,"3 Posting Date",J$9)</t>
  </si>
  <si>
    <t>=-NL("Sum","5802 Value Entry","151 Cost Amount (Expected)","41 Source Type",$C$5,"5 Source No.",$C2589,"4 Item Ledger Entry Type",$C$4,"2 Item No.","@@"&amp;$F2589,"3 Posting Date",J$9)-NL("Sum","5802 Value Entry","43 Cost Amount (Actual)","41 Source Type",$C$5,"5 Source no.",$C2589,"4 Item Ledger Entry Type",$C$4,"2 Item No.","@@"&amp;$F2589,"3 Posting Date",J$9)</t>
  </si>
  <si>
    <t>=J2589-L2589</t>
  </si>
  <si>
    <t>=IF(J2589&lt;&gt;0,M2589/J2589,"")</t>
  </si>
  <si>
    <t>=NL("Sum","5802 Value Entry","150 Sales Amount (Expected)","41 Source Type",$C$5,"5 Source No.",$C2589,"4 Item Ledger Entry Type",$C$4,"2 Item No.","@@"&amp;$F2589,"3 Posting Date",O$9)+NL("Sum","5802 Value Entry","17 Sales Amount (Actual)","41 Source Type",$C$5,"5 Source no.",$C2589,"4 Item Ledger Entry Type",$C$4,"2 Item No.","@@"&amp;$F2589,"3 Posting Date",O$9)</t>
  </si>
  <si>
    <t>=-NL("Sum","5802 Value Entry","151 Cost Amount (Expected)","41 Source Type",$C$5,"5 Source No.",$C2589,"4 Item Ledger Entry Type",$C$4,"2 Item No.","@@"&amp;$F2589,"3 Posting Date",O$9)-NL("Sum","5802 Value Entry","43 Cost Amount (Actual)","41 Source Type",$C$5,"5 Source no.",$C2589,"4 Item Ledger Entry Type",$C$4,"2 Item No.","@@"&amp;$F2589,"3 Posting Date",O$9)</t>
  </si>
  <si>
    <t>=O2589-Q2589</t>
  </si>
  <si>
    <t>=IF(O2589&lt;&gt;0,R2589/O2589,"")</t>
  </si>
  <si>
    <t>=NL("Sum","5802 Value Entry","150 Sales Amount (Expected)","41 Source Type",$C$5,"5 Source No.",$C2589,"4 Item Ledger Entry Type",$C$4,"2 Item No.","@@"&amp;$F2589,"3 Posting Date",U$9)+NL("Sum","5802 Value Entry","17 Sales Amount (Actual)","41 Source Type",$C$5,"5 Source no.",$C2589,"4 Item Ledger Entry Type",$C$4,"2 Item No.","@@"&amp;$F2589,"3 Posting Date",U$9)</t>
  </si>
  <si>
    <t>=-NL("Sum","5802 Value Entry","151 Cost Amount (Expected)","41 Source Type",$C$5,"5 Source No.",$C2589,"4 Item Ledger Entry Type",$C$4,"2 Item No.","@@"&amp;$F2589,"3 Posting Date",U$9)-NL("Sum","5802 Value Entry","43 Cost Amount (Actual)","41 Source Type",$C$5,"5 Source no.",$C2589,"4 Item Ledger Entry Type",$C$4,"2 Item No.","@@"&amp;$F2589,"3 Posting Date",U$9)</t>
  </si>
  <si>
    <t>=U2589-W2589</t>
  </si>
  <si>
    <t>=IF(U2589&lt;&gt;0,X2589/U2589,"")</t>
  </si>
  <si>
    <t>=NL("Sum","5802 Value Entry","150 Sales Amount (Expected)","41 Source Type",$C$5,"5 Source No.",$C2589,"4 Item Ledger Entry Type",$C$4,"2 Item No.","@@"&amp;$F2589,"3 Posting Date",Z$9)+NL("Sum","5802 Value Entry","17 Sales Amount (Actual)","41 Source Type",$C$5,"5 Source no.",$C2589,"4 Item Ledger Entry Type",$C$4,"2 Item No.","@@"&amp;$F2589,"3 Posting Date",Z$9)</t>
  </si>
  <si>
    <t>=-NL("Sum","5802 Value Entry","151 Cost Amount (Expected)","41 Source Type",$C$5,"5 Source No.",$C2589,"4 Item Ledger Entry Type",$C$4,"2 Item No.","@@"&amp;$F2589,"3 Posting Date",Z$9)-NL("Sum","5802 Value Entry","43 Cost Amount (Actual)","41 Source Type",$C$5,"5 Source no.",$C2589,"4 Item Ledger Entry Type",$C$4,"2 Item No.","@@"&amp;$F2589,"3 Posting Date",Z$9)</t>
  </si>
  <si>
    <t>=Z2589-AB2589</t>
  </si>
  <si>
    <t>=IF(Z2589&lt;&gt;0,AC2589/Z2589,"")</t>
  </si>
  <si>
    <t>=C2589</t>
  </si>
  <si>
    <t>=NL("Sum","5802 Value Entry","150 Sales Amount (Expected)","41 Source Type",$C$5,"5 Source No.",$C2590,"4 Item Ledger Entry Type",$C$4,"2 Item No.","@@"&amp;$F2590,"3 Posting Date",J$9)+NL("Sum","5802 Value Entry","17 Sales Amount (Actual)","41 Source Type",$C$5,"5 Source no.",$C2590,"4 Item Ledger Entry Type",$C$4,"2 Item No.","@@"&amp;$F2590,"3 Posting Date",J$9)</t>
  </si>
  <si>
    <t>=-NL("Sum","5802 Value Entry","151 Cost Amount (Expected)","41 Source Type",$C$5,"5 Source No.",$C2590,"4 Item Ledger Entry Type",$C$4,"2 Item No.","@@"&amp;$F2590,"3 Posting Date",J$9)-NL("Sum","5802 Value Entry","43 Cost Amount (Actual)","41 Source Type",$C$5,"5 Source no.",$C2590,"4 Item Ledger Entry Type",$C$4,"2 Item No.","@@"&amp;$F2590,"3 Posting Date",J$9)</t>
  </si>
  <si>
    <t>=J2590-L2590</t>
  </si>
  <si>
    <t>=IF(J2590&lt;&gt;0,M2590/J2590,"")</t>
  </si>
  <si>
    <t>=NL("Sum","5802 Value Entry","150 Sales Amount (Expected)","41 Source Type",$C$5,"5 Source No.",$C2590,"4 Item Ledger Entry Type",$C$4,"2 Item No.","@@"&amp;$F2590,"3 Posting Date",O$9)+NL("Sum","5802 Value Entry","17 Sales Amount (Actual)","41 Source Type",$C$5,"5 Source no.",$C2590,"4 Item Ledger Entry Type",$C$4,"2 Item No.","@@"&amp;$F2590,"3 Posting Date",O$9)</t>
  </si>
  <si>
    <t>=-NL("Sum","5802 Value Entry","151 Cost Amount (Expected)","41 Source Type",$C$5,"5 Source No.",$C2590,"4 Item Ledger Entry Type",$C$4,"2 Item No.","@@"&amp;$F2590,"3 Posting Date",O$9)-NL("Sum","5802 Value Entry","43 Cost Amount (Actual)","41 Source Type",$C$5,"5 Source no.",$C2590,"4 Item Ledger Entry Type",$C$4,"2 Item No.","@@"&amp;$F2590,"3 Posting Date",O$9)</t>
  </si>
  <si>
    <t>=O2590-Q2590</t>
  </si>
  <si>
    <t>=IF(O2590&lt;&gt;0,R2590/O2590,"")</t>
  </si>
  <si>
    <t>=NL("Sum","5802 Value Entry","150 Sales Amount (Expected)","41 Source Type",$C$5,"5 Source No.",$C2590,"4 Item Ledger Entry Type",$C$4,"2 Item No.","@@"&amp;$F2590,"3 Posting Date",U$9)+NL("Sum","5802 Value Entry","17 Sales Amount (Actual)","41 Source Type",$C$5,"5 Source no.",$C2590,"4 Item Ledger Entry Type",$C$4,"2 Item No.","@@"&amp;$F2590,"3 Posting Date",U$9)</t>
  </si>
  <si>
    <t>=-NL("Sum","5802 Value Entry","151 Cost Amount (Expected)","41 Source Type",$C$5,"5 Source No.",$C2590,"4 Item Ledger Entry Type",$C$4,"2 Item No.","@@"&amp;$F2590,"3 Posting Date",U$9)-NL("Sum","5802 Value Entry","43 Cost Amount (Actual)","41 Source Type",$C$5,"5 Source no.",$C2590,"4 Item Ledger Entry Type",$C$4,"2 Item No.","@@"&amp;$F2590,"3 Posting Date",U$9)</t>
  </si>
  <si>
    <t>=U2590-W2590</t>
  </si>
  <si>
    <t>=IF(U2590&lt;&gt;0,X2590/U2590,"")</t>
  </si>
  <si>
    <t>=NL("Sum","5802 Value Entry","150 Sales Amount (Expected)","41 Source Type",$C$5,"5 Source No.",$C2590,"4 Item Ledger Entry Type",$C$4,"2 Item No.","@@"&amp;$F2590,"3 Posting Date",Z$9)+NL("Sum","5802 Value Entry","17 Sales Amount (Actual)","41 Source Type",$C$5,"5 Source no.",$C2590,"4 Item Ledger Entry Type",$C$4,"2 Item No.","@@"&amp;$F2590,"3 Posting Date",Z$9)</t>
  </si>
  <si>
    <t>=-NL("Sum","5802 Value Entry","151 Cost Amount (Expected)","41 Source Type",$C$5,"5 Source No.",$C2590,"4 Item Ledger Entry Type",$C$4,"2 Item No.","@@"&amp;$F2590,"3 Posting Date",Z$9)-NL("Sum","5802 Value Entry","43 Cost Amount (Actual)","41 Source Type",$C$5,"5 Source no.",$C2590,"4 Item Ledger Entry Type",$C$4,"2 Item No.","@@"&amp;$F2590,"3 Posting Date",Z$9)</t>
  </si>
  <si>
    <t>=Z2590-AB2590</t>
  </si>
  <si>
    <t>=IF(Z2590&lt;&gt;0,AC2590/Z2590,"")</t>
  </si>
  <si>
    <t>=C2590</t>
  </si>
  <si>
    <t>=NL("Sum","5802 Value Entry","150 Sales Amount (Expected)","41 Source Type",$C$5,"5 Source No.",$C2591,"4 Item Ledger Entry Type",$C$4,"2 Item No.","@@"&amp;$F2591,"3 Posting Date",J$9)+NL("Sum","5802 Value Entry","17 Sales Amount (Actual)","41 Source Type",$C$5,"5 Source no.",$C2591,"4 Item Ledger Entry Type",$C$4,"2 Item No.","@@"&amp;$F2591,"3 Posting Date",J$9)</t>
  </si>
  <si>
    <t>=-NL("Sum","5802 Value Entry","151 Cost Amount (Expected)","41 Source Type",$C$5,"5 Source No.",$C2591,"4 Item Ledger Entry Type",$C$4,"2 Item No.","@@"&amp;$F2591,"3 Posting Date",J$9)-NL("Sum","5802 Value Entry","43 Cost Amount (Actual)","41 Source Type",$C$5,"5 Source no.",$C2591,"4 Item Ledger Entry Type",$C$4,"2 Item No.","@@"&amp;$F2591,"3 Posting Date",J$9)</t>
  </si>
  <si>
    <t>=J2591-L2591</t>
  </si>
  <si>
    <t>=IF(J2591&lt;&gt;0,M2591/J2591,"")</t>
  </si>
  <si>
    <t>=NL("Sum","5802 Value Entry","150 Sales Amount (Expected)","41 Source Type",$C$5,"5 Source No.",$C2591,"4 Item Ledger Entry Type",$C$4,"2 Item No.","@@"&amp;$F2591,"3 Posting Date",O$9)+NL("Sum","5802 Value Entry","17 Sales Amount (Actual)","41 Source Type",$C$5,"5 Source no.",$C2591,"4 Item Ledger Entry Type",$C$4,"2 Item No.","@@"&amp;$F2591,"3 Posting Date",O$9)</t>
  </si>
  <si>
    <t>=-NL("Sum","5802 Value Entry","151 Cost Amount (Expected)","41 Source Type",$C$5,"5 Source No.",$C2591,"4 Item Ledger Entry Type",$C$4,"2 Item No.","@@"&amp;$F2591,"3 Posting Date",O$9)-NL("Sum","5802 Value Entry","43 Cost Amount (Actual)","41 Source Type",$C$5,"5 Source no.",$C2591,"4 Item Ledger Entry Type",$C$4,"2 Item No.","@@"&amp;$F2591,"3 Posting Date",O$9)</t>
  </si>
  <si>
    <t>=O2591-Q2591</t>
  </si>
  <si>
    <t>=IF(O2591&lt;&gt;0,R2591/O2591,"")</t>
  </si>
  <si>
    <t>=NL("Sum","5802 Value Entry","150 Sales Amount (Expected)","41 Source Type",$C$5,"5 Source No.",$C2591,"4 Item Ledger Entry Type",$C$4,"2 Item No.","@@"&amp;$F2591,"3 Posting Date",U$9)+NL("Sum","5802 Value Entry","17 Sales Amount (Actual)","41 Source Type",$C$5,"5 Source no.",$C2591,"4 Item Ledger Entry Type",$C$4,"2 Item No.","@@"&amp;$F2591,"3 Posting Date",U$9)</t>
  </si>
  <si>
    <t>=-NL("Sum","5802 Value Entry","151 Cost Amount (Expected)","41 Source Type",$C$5,"5 Source No.",$C2591,"4 Item Ledger Entry Type",$C$4,"2 Item No.","@@"&amp;$F2591,"3 Posting Date",U$9)-NL("Sum","5802 Value Entry","43 Cost Amount (Actual)","41 Source Type",$C$5,"5 Source no.",$C2591,"4 Item Ledger Entry Type",$C$4,"2 Item No.","@@"&amp;$F2591,"3 Posting Date",U$9)</t>
  </si>
  <si>
    <t>=U2591-W2591</t>
  </si>
  <si>
    <t>=IF(U2591&lt;&gt;0,X2591/U2591,"")</t>
  </si>
  <si>
    <t>=NL("Sum","5802 Value Entry","150 Sales Amount (Expected)","41 Source Type",$C$5,"5 Source No.",$C2591,"4 Item Ledger Entry Type",$C$4,"2 Item No.","@@"&amp;$F2591,"3 Posting Date",Z$9)+NL("Sum","5802 Value Entry","17 Sales Amount (Actual)","41 Source Type",$C$5,"5 Source no.",$C2591,"4 Item Ledger Entry Type",$C$4,"2 Item No.","@@"&amp;$F2591,"3 Posting Date",Z$9)</t>
  </si>
  <si>
    <t>=-NL("Sum","5802 Value Entry","151 Cost Amount (Expected)","41 Source Type",$C$5,"5 Source No.",$C2591,"4 Item Ledger Entry Type",$C$4,"2 Item No.","@@"&amp;$F2591,"3 Posting Date",Z$9)-NL("Sum","5802 Value Entry","43 Cost Amount (Actual)","41 Source Type",$C$5,"5 Source no.",$C2591,"4 Item Ledger Entry Type",$C$4,"2 Item No.","@@"&amp;$F2591,"3 Posting Date",Z$9)</t>
  </si>
  <si>
    <t>=Z2591-AB2591</t>
  </si>
  <si>
    <t>=IF(Z2591&lt;&gt;0,AC2591/Z2591,"")</t>
  </si>
  <si>
    <t>=C2591</t>
  </si>
  <si>
    <t>=NL("Sum","5802 Value Entry","150 Sales Amount (Expected)","41 Source Type",$C$5,"5 Source No.",$C2592,"4 Item Ledger Entry Type",$C$4,"2 Item No.","@@"&amp;$F2592,"3 Posting Date",J$9)+NL("Sum","5802 Value Entry","17 Sales Amount (Actual)","41 Source Type",$C$5,"5 Source no.",$C2592,"4 Item Ledger Entry Type",$C$4,"2 Item No.","@@"&amp;$F2592,"3 Posting Date",J$9)</t>
  </si>
  <si>
    <t>=-NL("Sum","5802 Value Entry","151 Cost Amount (Expected)","41 Source Type",$C$5,"5 Source No.",$C2592,"4 Item Ledger Entry Type",$C$4,"2 Item No.","@@"&amp;$F2592,"3 Posting Date",J$9)-NL("Sum","5802 Value Entry","43 Cost Amount (Actual)","41 Source Type",$C$5,"5 Source no.",$C2592,"4 Item Ledger Entry Type",$C$4,"2 Item No.","@@"&amp;$F2592,"3 Posting Date",J$9)</t>
  </si>
  <si>
    <t>=J2592-L2592</t>
  </si>
  <si>
    <t>=IF(J2592&lt;&gt;0,M2592/J2592,"")</t>
  </si>
  <si>
    <t>=NL("Sum","5802 Value Entry","150 Sales Amount (Expected)","41 Source Type",$C$5,"5 Source No.",$C2592,"4 Item Ledger Entry Type",$C$4,"2 Item No.","@@"&amp;$F2592,"3 Posting Date",O$9)+NL("Sum","5802 Value Entry","17 Sales Amount (Actual)","41 Source Type",$C$5,"5 Source no.",$C2592,"4 Item Ledger Entry Type",$C$4,"2 Item No.","@@"&amp;$F2592,"3 Posting Date",O$9)</t>
  </si>
  <si>
    <t>=-NL("Sum","5802 Value Entry","151 Cost Amount (Expected)","41 Source Type",$C$5,"5 Source No.",$C2592,"4 Item Ledger Entry Type",$C$4,"2 Item No.","@@"&amp;$F2592,"3 Posting Date",O$9)-NL("Sum","5802 Value Entry","43 Cost Amount (Actual)","41 Source Type",$C$5,"5 Source no.",$C2592,"4 Item Ledger Entry Type",$C$4,"2 Item No.","@@"&amp;$F2592,"3 Posting Date",O$9)</t>
  </si>
  <si>
    <t>=O2592-Q2592</t>
  </si>
  <si>
    <t>=IF(O2592&lt;&gt;0,R2592/O2592,"")</t>
  </si>
  <si>
    <t>=NL("Sum","5802 Value Entry","150 Sales Amount (Expected)","41 Source Type",$C$5,"5 Source No.",$C2592,"4 Item Ledger Entry Type",$C$4,"2 Item No.","@@"&amp;$F2592,"3 Posting Date",U$9)+NL("Sum","5802 Value Entry","17 Sales Amount (Actual)","41 Source Type",$C$5,"5 Source no.",$C2592,"4 Item Ledger Entry Type",$C$4,"2 Item No.","@@"&amp;$F2592,"3 Posting Date",U$9)</t>
  </si>
  <si>
    <t>=-NL("Sum","5802 Value Entry","151 Cost Amount (Expected)","41 Source Type",$C$5,"5 Source No.",$C2592,"4 Item Ledger Entry Type",$C$4,"2 Item No.","@@"&amp;$F2592,"3 Posting Date",U$9)-NL("Sum","5802 Value Entry","43 Cost Amount (Actual)","41 Source Type",$C$5,"5 Source no.",$C2592,"4 Item Ledger Entry Type",$C$4,"2 Item No.","@@"&amp;$F2592,"3 Posting Date",U$9)</t>
  </si>
  <si>
    <t>=U2592-W2592</t>
  </si>
  <si>
    <t>=IF(U2592&lt;&gt;0,X2592/U2592,"")</t>
  </si>
  <si>
    <t>=NL("Sum","5802 Value Entry","150 Sales Amount (Expected)","41 Source Type",$C$5,"5 Source No.",$C2592,"4 Item Ledger Entry Type",$C$4,"2 Item No.","@@"&amp;$F2592,"3 Posting Date",Z$9)+NL("Sum","5802 Value Entry","17 Sales Amount (Actual)","41 Source Type",$C$5,"5 Source no.",$C2592,"4 Item Ledger Entry Type",$C$4,"2 Item No.","@@"&amp;$F2592,"3 Posting Date",Z$9)</t>
  </si>
  <si>
    <t>=-NL("Sum","5802 Value Entry","151 Cost Amount (Expected)","41 Source Type",$C$5,"5 Source No.",$C2592,"4 Item Ledger Entry Type",$C$4,"2 Item No.","@@"&amp;$F2592,"3 Posting Date",Z$9)-NL("Sum","5802 Value Entry","43 Cost Amount (Actual)","41 Source Type",$C$5,"5 Source no.",$C2592,"4 Item Ledger Entry Type",$C$4,"2 Item No.","@@"&amp;$F2592,"3 Posting Date",Z$9)</t>
  </si>
  <si>
    <t>=Z2592-AB2592</t>
  </si>
  <si>
    <t>=IF(Z2592&lt;&gt;0,AC2592/Z2592,"")</t>
  </si>
  <si>
    <t>=C2592</t>
  </si>
  <si>
    <t>=NL("Sum","5802 Value Entry","150 Sales Amount (Expected)","41 Source Type",$C$5,"5 Source No.",$C2593,"4 Item Ledger Entry Type",$C$4,"2 Item No.","@@"&amp;$F2593,"3 Posting Date",J$9)+NL("Sum","5802 Value Entry","17 Sales Amount (Actual)","41 Source Type",$C$5,"5 Source no.",$C2593,"4 Item Ledger Entry Type",$C$4,"2 Item No.","@@"&amp;$F2593,"3 Posting Date",J$9)</t>
  </si>
  <si>
    <t>=-NL("Sum","5802 Value Entry","151 Cost Amount (Expected)","41 Source Type",$C$5,"5 Source No.",$C2593,"4 Item Ledger Entry Type",$C$4,"2 Item No.","@@"&amp;$F2593,"3 Posting Date",J$9)-NL("Sum","5802 Value Entry","43 Cost Amount (Actual)","41 Source Type",$C$5,"5 Source no.",$C2593,"4 Item Ledger Entry Type",$C$4,"2 Item No.","@@"&amp;$F2593,"3 Posting Date",J$9)</t>
  </si>
  <si>
    <t>=J2593-L2593</t>
  </si>
  <si>
    <t>=IF(J2593&lt;&gt;0,M2593/J2593,"")</t>
  </si>
  <si>
    <t>=NL("Sum","5802 Value Entry","150 Sales Amount (Expected)","41 Source Type",$C$5,"5 Source No.",$C2593,"4 Item Ledger Entry Type",$C$4,"2 Item No.","@@"&amp;$F2593,"3 Posting Date",O$9)+NL("Sum","5802 Value Entry","17 Sales Amount (Actual)","41 Source Type",$C$5,"5 Source no.",$C2593,"4 Item Ledger Entry Type",$C$4,"2 Item No.","@@"&amp;$F2593,"3 Posting Date",O$9)</t>
  </si>
  <si>
    <t>=-NL("Sum","5802 Value Entry","151 Cost Amount (Expected)","41 Source Type",$C$5,"5 Source No.",$C2593,"4 Item Ledger Entry Type",$C$4,"2 Item No.","@@"&amp;$F2593,"3 Posting Date",O$9)-NL("Sum","5802 Value Entry","43 Cost Amount (Actual)","41 Source Type",$C$5,"5 Source no.",$C2593,"4 Item Ledger Entry Type",$C$4,"2 Item No.","@@"&amp;$F2593,"3 Posting Date",O$9)</t>
  </si>
  <si>
    <t>=O2593-Q2593</t>
  </si>
  <si>
    <t>=IF(O2593&lt;&gt;0,R2593/O2593,"")</t>
  </si>
  <si>
    <t>=NL("Sum","5802 Value Entry","150 Sales Amount (Expected)","41 Source Type",$C$5,"5 Source No.",$C2593,"4 Item Ledger Entry Type",$C$4,"2 Item No.","@@"&amp;$F2593,"3 Posting Date",U$9)+NL("Sum","5802 Value Entry","17 Sales Amount (Actual)","41 Source Type",$C$5,"5 Source no.",$C2593,"4 Item Ledger Entry Type",$C$4,"2 Item No.","@@"&amp;$F2593,"3 Posting Date",U$9)</t>
  </si>
  <si>
    <t>=-NL("Sum","5802 Value Entry","151 Cost Amount (Expected)","41 Source Type",$C$5,"5 Source No.",$C2593,"4 Item Ledger Entry Type",$C$4,"2 Item No.","@@"&amp;$F2593,"3 Posting Date",U$9)-NL("Sum","5802 Value Entry","43 Cost Amount (Actual)","41 Source Type",$C$5,"5 Source no.",$C2593,"4 Item Ledger Entry Type",$C$4,"2 Item No.","@@"&amp;$F2593,"3 Posting Date",U$9)</t>
  </si>
  <si>
    <t>=U2593-W2593</t>
  </si>
  <si>
    <t>=IF(U2593&lt;&gt;0,X2593/U2593,"")</t>
  </si>
  <si>
    <t>=NL("Sum","5802 Value Entry","150 Sales Amount (Expected)","41 Source Type",$C$5,"5 Source No.",$C2593,"4 Item Ledger Entry Type",$C$4,"2 Item No.","@@"&amp;$F2593,"3 Posting Date",Z$9)+NL("Sum","5802 Value Entry","17 Sales Amount (Actual)","41 Source Type",$C$5,"5 Source no.",$C2593,"4 Item Ledger Entry Type",$C$4,"2 Item No.","@@"&amp;$F2593,"3 Posting Date",Z$9)</t>
  </si>
  <si>
    <t>=-NL("Sum","5802 Value Entry","151 Cost Amount (Expected)","41 Source Type",$C$5,"5 Source No.",$C2593,"4 Item Ledger Entry Type",$C$4,"2 Item No.","@@"&amp;$F2593,"3 Posting Date",Z$9)-NL("Sum","5802 Value Entry","43 Cost Amount (Actual)","41 Source Type",$C$5,"5 Source no.",$C2593,"4 Item Ledger Entry Type",$C$4,"2 Item No.","@@"&amp;$F2593,"3 Posting Date",Z$9)</t>
  </si>
  <si>
    <t>=Z2593-AB2593</t>
  </si>
  <si>
    <t>=IF(Z2593&lt;&gt;0,AC2593/Z2593,"")</t>
  </si>
  <si>
    <t>=C2593</t>
  </si>
  <si>
    <t>=NL("Sum","5802 Value Entry","150 Sales Amount (Expected)","41 Source Type",$C$5,"5 Source No.",$C2594,"4 Item Ledger Entry Type",$C$4,"2 Item No.","@@"&amp;$F2594,"3 Posting Date",J$9)+NL("Sum","5802 Value Entry","17 Sales Amount (Actual)","41 Source Type",$C$5,"5 Source no.",$C2594,"4 Item Ledger Entry Type",$C$4,"2 Item No.","@@"&amp;$F2594,"3 Posting Date",J$9)</t>
  </si>
  <si>
    <t>=-NL("Sum","5802 Value Entry","151 Cost Amount (Expected)","41 Source Type",$C$5,"5 Source No.",$C2594,"4 Item Ledger Entry Type",$C$4,"2 Item No.","@@"&amp;$F2594,"3 Posting Date",J$9)-NL("Sum","5802 Value Entry","43 Cost Amount (Actual)","41 Source Type",$C$5,"5 Source no.",$C2594,"4 Item Ledger Entry Type",$C$4,"2 Item No.","@@"&amp;$F2594,"3 Posting Date",J$9)</t>
  </si>
  <si>
    <t>=J2594-L2594</t>
  </si>
  <si>
    <t>=IF(J2594&lt;&gt;0,M2594/J2594,"")</t>
  </si>
  <si>
    <t>=NL("Sum","5802 Value Entry","150 Sales Amount (Expected)","41 Source Type",$C$5,"5 Source No.",$C2594,"4 Item Ledger Entry Type",$C$4,"2 Item No.","@@"&amp;$F2594,"3 Posting Date",O$9)+NL("Sum","5802 Value Entry","17 Sales Amount (Actual)","41 Source Type",$C$5,"5 Source no.",$C2594,"4 Item Ledger Entry Type",$C$4,"2 Item No.","@@"&amp;$F2594,"3 Posting Date",O$9)</t>
  </si>
  <si>
    <t>=-NL("Sum","5802 Value Entry","151 Cost Amount (Expected)","41 Source Type",$C$5,"5 Source No.",$C2594,"4 Item Ledger Entry Type",$C$4,"2 Item No.","@@"&amp;$F2594,"3 Posting Date",O$9)-NL("Sum","5802 Value Entry","43 Cost Amount (Actual)","41 Source Type",$C$5,"5 Source no.",$C2594,"4 Item Ledger Entry Type",$C$4,"2 Item No.","@@"&amp;$F2594,"3 Posting Date",O$9)</t>
  </si>
  <si>
    <t>=O2594-Q2594</t>
  </si>
  <si>
    <t>=IF(O2594&lt;&gt;0,R2594/O2594,"")</t>
  </si>
  <si>
    <t>=NL("Sum","5802 Value Entry","150 Sales Amount (Expected)","41 Source Type",$C$5,"5 Source No.",$C2594,"4 Item Ledger Entry Type",$C$4,"2 Item No.","@@"&amp;$F2594,"3 Posting Date",U$9)+NL("Sum","5802 Value Entry","17 Sales Amount (Actual)","41 Source Type",$C$5,"5 Source no.",$C2594,"4 Item Ledger Entry Type",$C$4,"2 Item No.","@@"&amp;$F2594,"3 Posting Date",U$9)</t>
  </si>
  <si>
    <t>=-NL("Sum","5802 Value Entry","151 Cost Amount (Expected)","41 Source Type",$C$5,"5 Source No.",$C2594,"4 Item Ledger Entry Type",$C$4,"2 Item No.","@@"&amp;$F2594,"3 Posting Date",U$9)-NL("Sum","5802 Value Entry","43 Cost Amount (Actual)","41 Source Type",$C$5,"5 Source no.",$C2594,"4 Item Ledger Entry Type",$C$4,"2 Item No.","@@"&amp;$F2594,"3 Posting Date",U$9)</t>
  </si>
  <si>
    <t>=U2594-W2594</t>
  </si>
  <si>
    <t>=IF(U2594&lt;&gt;0,X2594/U2594,"")</t>
  </si>
  <si>
    <t>=NL("Sum","5802 Value Entry","150 Sales Amount (Expected)","41 Source Type",$C$5,"5 Source No.",$C2594,"4 Item Ledger Entry Type",$C$4,"2 Item No.","@@"&amp;$F2594,"3 Posting Date",Z$9)+NL("Sum","5802 Value Entry","17 Sales Amount (Actual)","41 Source Type",$C$5,"5 Source no.",$C2594,"4 Item Ledger Entry Type",$C$4,"2 Item No.","@@"&amp;$F2594,"3 Posting Date",Z$9)</t>
  </si>
  <si>
    <t>=-NL("Sum","5802 Value Entry","151 Cost Amount (Expected)","41 Source Type",$C$5,"5 Source No.",$C2594,"4 Item Ledger Entry Type",$C$4,"2 Item No.","@@"&amp;$F2594,"3 Posting Date",Z$9)-NL("Sum","5802 Value Entry","43 Cost Amount (Actual)","41 Source Type",$C$5,"5 Source no.",$C2594,"4 Item Ledger Entry Type",$C$4,"2 Item No.","@@"&amp;$F2594,"3 Posting Date",Z$9)</t>
  </si>
  <si>
    <t>=Z2594-AB2594</t>
  </si>
  <si>
    <t>=IF(Z2594&lt;&gt;0,AC2594/Z2594,"")</t>
  </si>
  <si>
    <t>=C2594</t>
  </si>
  <si>
    <t>=NL("Sum","5802 Value Entry","150 Sales Amount (Expected)","41 Source Type",$C$5,"5 Source No.",$C2595,"4 Item Ledger Entry Type",$C$4,"2 Item No.","@@"&amp;$F2595,"3 Posting Date",J$9)+NL("Sum","5802 Value Entry","17 Sales Amount (Actual)","41 Source Type",$C$5,"5 Source no.",$C2595,"4 Item Ledger Entry Type",$C$4,"2 Item No.","@@"&amp;$F2595,"3 Posting Date",J$9)</t>
  </si>
  <si>
    <t>=-NL("Sum","5802 Value Entry","151 Cost Amount (Expected)","41 Source Type",$C$5,"5 Source No.",$C2595,"4 Item Ledger Entry Type",$C$4,"2 Item No.","@@"&amp;$F2595,"3 Posting Date",J$9)-NL("Sum","5802 Value Entry","43 Cost Amount (Actual)","41 Source Type",$C$5,"5 Source no.",$C2595,"4 Item Ledger Entry Type",$C$4,"2 Item No.","@@"&amp;$F2595,"3 Posting Date",J$9)</t>
  </si>
  <si>
    <t>=J2595-L2595</t>
  </si>
  <si>
    <t>=IF(J2595&lt;&gt;0,M2595/J2595,"")</t>
  </si>
  <si>
    <t>=NL("Sum","5802 Value Entry","150 Sales Amount (Expected)","41 Source Type",$C$5,"5 Source No.",$C2595,"4 Item Ledger Entry Type",$C$4,"2 Item No.","@@"&amp;$F2595,"3 Posting Date",O$9)+NL("Sum","5802 Value Entry","17 Sales Amount (Actual)","41 Source Type",$C$5,"5 Source no.",$C2595,"4 Item Ledger Entry Type",$C$4,"2 Item No.","@@"&amp;$F2595,"3 Posting Date",O$9)</t>
  </si>
  <si>
    <t>=-NL("Sum","5802 Value Entry","151 Cost Amount (Expected)","41 Source Type",$C$5,"5 Source No.",$C2595,"4 Item Ledger Entry Type",$C$4,"2 Item No.","@@"&amp;$F2595,"3 Posting Date",O$9)-NL("Sum","5802 Value Entry","43 Cost Amount (Actual)","41 Source Type",$C$5,"5 Source no.",$C2595,"4 Item Ledger Entry Type",$C$4,"2 Item No.","@@"&amp;$F2595,"3 Posting Date",O$9)</t>
  </si>
  <si>
    <t>=O2595-Q2595</t>
  </si>
  <si>
    <t>=IF(O2595&lt;&gt;0,R2595/O2595,"")</t>
  </si>
  <si>
    <t>=NL("Sum","5802 Value Entry","150 Sales Amount (Expected)","41 Source Type",$C$5,"5 Source No.",$C2595,"4 Item Ledger Entry Type",$C$4,"2 Item No.","@@"&amp;$F2595,"3 Posting Date",U$9)+NL("Sum","5802 Value Entry","17 Sales Amount (Actual)","41 Source Type",$C$5,"5 Source no.",$C2595,"4 Item Ledger Entry Type",$C$4,"2 Item No.","@@"&amp;$F2595,"3 Posting Date",U$9)</t>
  </si>
  <si>
    <t>=-NL("Sum","5802 Value Entry","151 Cost Amount (Expected)","41 Source Type",$C$5,"5 Source No.",$C2595,"4 Item Ledger Entry Type",$C$4,"2 Item No.","@@"&amp;$F2595,"3 Posting Date",U$9)-NL("Sum","5802 Value Entry","43 Cost Amount (Actual)","41 Source Type",$C$5,"5 Source no.",$C2595,"4 Item Ledger Entry Type",$C$4,"2 Item No.","@@"&amp;$F2595,"3 Posting Date",U$9)</t>
  </si>
  <si>
    <t>=U2595-W2595</t>
  </si>
  <si>
    <t>=IF(U2595&lt;&gt;0,X2595/U2595,"")</t>
  </si>
  <si>
    <t>=NL("Sum","5802 Value Entry","150 Sales Amount (Expected)","41 Source Type",$C$5,"5 Source No.",$C2595,"4 Item Ledger Entry Type",$C$4,"2 Item No.","@@"&amp;$F2595,"3 Posting Date",Z$9)+NL("Sum","5802 Value Entry","17 Sales Amount (Actual)","41 Source Type",$C$5,"5 Source no.",$C2595,"4 Item Ledger Entry Type",$C$4,"2 Item No.","@@"&amp;$F2595,"3 Posting Date",Z$9)</t>
  </si>
  <si>
    <t>=-NL("Sum","5802 Value Entry","151 Cost Amount (Expected)","41 Source Type",$C$5,"5 Source No.",$C2595,"4 Item Ledger Entry Type",$C$4,"2 Item No.","@@"&amp;$F2595,"3 Posting Date",Z$9)-NL("Sum","5802 Value Entry","43 Cost Amount (Actual)","41 Source Type",$C$5,"5 Source no.",$C2595,"4 Item Ledger Entry Type",$C$4,"2 Item No.","@@"&amp;$F2595,"3 Posting Date",Z$9)</t>
  </si>
  <si>
    <t>=Z2595-AB2595</t>
  </si>
  <si>
    <t>=IF(Z2595&lt;&gt;0,AC2595/Z2595,"")</t>
  </si>
  <si>
    <t>=C2595</t>
  </si>
  <si>
    <t>=NL("Sum","5802 Value Entry","150 Sales Amount (Expected)","41 Source Type",$C$5,"5 Source No.",$C2596,"4 Item Ledger Entry Type",$C$4,"2 Item No.","@@"&amp;$F2596,"3 Posting Date",J$9)+NL("Sum","5802 Value Entry","17 Sales Amount (Actual)","41 Source Type",$C$5,"5 Source no.",$C2596,"4 Item Ledger Entry Type",$C$4,"2 Item No.","@@"&amp;$F2596,"3 Posting Date",J$9)</t>
  </si>
  <si>
    <t>=-NL("Sum","5802 Value Entry","151 Cost Amount (Expected)","41 Source Type",$C$5,"5 Source No.",$C2596,"4 Item Ledger Entry Type",$C$4,"2 Item No.","@@"&amp;$F2596,"3 Posting Date",J$9)-NL("Sum","5802 Value Entry","43 Cost Amount (Actual)","41 Source Type",$C$5,"5 Source no.",$C2596,"4 Item Ledger Entry Type",$C$4,"2 Item No.","@@"&amp;$F2596,"3 Posting Date",J$9)</t>
  </si>
  <si>
    <t>=J2596-L2596</t>
  </si>
  <si>
    <t>=IF(J2596&lt;&gt;0,M2596/J2596,"")</t>
  </si>
  <si>
    <t>=NL("Sum","5802 Value Entry","150 Sales Amount (Expected)","41 Source Type",$C$5,"5 Source No.",$C2596,"4 Item Ledger Entry Type",$C$4,"2 Item No.","@@"&amp;$F2596,"3 Posting Date",O$9)+NL("Sum","5802 Value Entry","17 Sales Amount (Actual)","41 Source Type",$C$5,"5 Source no.",$C2596,"4 Item Ledger Entry Type",$C$4,"2 Item No.","@@"&amp;$F2596,"3 Posting Date",O$9)</t>
  </si>
  <si>
    <t>=-NL("Sum","5802 Value Entry","151 Cost Amount (Expected)","41 Source Type",$C$5,"5 Source No.",$C2596,"4 Item Ledger Entry Type",$C$4,"2 Item No.","@@"&amp;$F2596,"3 Posting Date",O$9)-NL("Sum","5802 Value Entry","43 Cost Amount (Actual)","41 Source Type",$C$5,"5 Source no.",$C2596,"4 Item Ledger Entry Type",$C$4,"2 Item No.","@@"&amp;$F2596,"3 Posting Date",O$9)</t>
  </si>
  <si>
    <t>=O2596-Q2596</t>
  </si>
  <si>
    <t>=IF(O2596&lt;&gt;0,R2596/O2596,"")</t>
  </si>
  <si>
    <t>=NL("Sum","5802 Value Entry","150 Sales Amount (Expected)","41 Source Type",$C$5,"5 Source No.",$C2596,"4 Item Ledger Entry Type",$C$4,"2 Item No.","@@"&amp;$F2596,"3 Posting Date",U$9)+NL("Sum","5802 Value Entry","17 Sales Amount (Actual)","41 Source Type",$C$5,"5 Source no.",$C2596,"4 Item Ledger Entry Type",$C$4,"2 Item No.","@@"&amp;$F2596,"3 Posting Date",U$9)</t>
  </si>
  <si>
    <t>=-NL("Sum","5802 Value Entry","151 Cost Amount (Expected)","41 Source Type",$C$5,"5 Source No.",$C2596,"4 Item Ledger Entry Type",$C$4,"2 Item No.","@@"&amp;$F2596,"3 Posting Date",U$9)-NL("Sum","5802 Value Entry","43 Cost Amount (Actual)","41 Source Type",$C$5,"5 Source no.",$C2596,"4 Item Ledger Entry Type",$C$4,"2 Item No.","@@"&amp;$F2596,"3 Posting Date",U$9)</t>
  </si>
  <si>
    <t>=U2596-W2596</t>
  </si>
  <si>
    <t>=IF(U2596&lt;&gt;0,X2596/U2596,"")</t>
  </si>
  <si>
    <t>=NL("Sum","5802 Value Entry","150 Sales Amount (Expected)","41 Source Type",$C$5,"5 Source No.",$C2596,"4 Item Ledger Entry Type",$C$4,"2 Item No.","@@"&amp;$F2596,"3 Posting Date",Z$9)+NL("Sum","5802 Value Entry","17 Sales Amount (Actual)","41 Source Type",$C$5,"5 Source no.",$C2596,"4 Item Ledger Entry Type",$C$4,"2 Item No.","@@"&amp;$F2596,"3 Posting Date",Z$9)</t>
  </si>
  <si>
    <t>=-NL("Sum","5802 Value Entry","151 Cost Amount (Expected)","41 Source Type",$C$5,"5 Source No.",$C2596,"4 Item Ledger Entry Type",$C$4,"2 Item No.","@@"&amp;$F2596,"3 Posting Date",Z$9)-NL("Sum","5802 Value Entry","43 Cost Amount (Actual)","41 Source Type",$C$5,"5 Source no.",$C2596,"4 Item Ledger Entry Type",$C$4,"2 Item No.","@@"&amp;$F2596,"3 Posting Date",Z$9)</t>
  </si>
  <si>
    <t>=Z2596-AB2596</t>
  </si>
  <si>
    <t>=IF(Z2596&lt;&gt;0,AC2596/Z2596,"")</t>
  </si>
  <si>
    <t>=C2596</t>
  </si>
  <si>
    <t>=NL("Sum","5802 Value Entry","150 Sales Amount (Expected)","41 Source Type",$C$5,"5 Source No.",$C2597,"4 Item Ledger Entry Type",$C$4,"2 Item No.","@@"&amp;$F2597,"3 Posting Date",J$9)+NL("Sum","5802 Value Entry","17 Sales Amount (Actual)","41 Source Type",$C$5,"5 Source no.",$C2597,"4 Item Ledger Entry Type",$C$4,"2 Item No.","@@"&amp;$F2597,"3 Posting Date",J$9)</t>
  </si>
  <si>
    <t>=-NL("Sum","5802 Value Entry","151 Cost Amount (Expected)","41 Source Type",$C$5,"5 Source No.",$C2597,"4 Item Ledger Entry Type",$C$4,"2 Item No.","@@"&amp;$F2597,"3 Posting Date",J$9)-NL("Sum","5802 Value Entry","43 Cost Amount (Actual)","41 Source Type",$C$5,"5 Source no.",$C2597,"4 Item Ledger Entry Type",$C$4,"2 Item No.","@@"&amp;$F2597,"3 Posting Date",J$9)</t>
  </si>
  <si>
    <t>=J2597-L2597</t>
  </si>
  <si>
    <t>=IF(J2597&lt;&gt;0,M2597/J2597,"")</t>
  </si>
  <si>
    <t>=NL("Sum","5802 Value Entry","150 Sales Amount (Expected)","41 Source Type",$C$5,"5 Source No.",$C2597,"4 Item Ledger Entry Type",$C$4,"2 Item No.","@@"&amp;$F2597,"3 Posting Date",O$9)+NL("Sum","5802 Value Entry","17 Sales Amount (Actual)","41 Source Type",$C$5,"5 Source no.",$C2597,"4 Item Ledger Entry Type",$C$4,"2 Item No.","@@"&amp;$F2597,"3 Posting Date",O$9)</t>
  </si>
  <si>
    <t>=-NL("Sum","5802 Value Entry","151 Cost Amount (Expected)","41 Source Type",$C$5,"5 Source No.",$C2597,"4 Item Ledger Entry Type",$C$4,"2 Item No.","@@"&amp;$F2597,"3 Posting Date",O$9)-NL("Sum","5802 Value Entry","43 Cost Amount (Actual)","41 Source Type",$C$5,"5 Source no.",$C2597,"4 Item Ledger Entry Type",$C$4,"2 Item No.","@@"&amp;$F2597,"3 Posting Date",O$9)</t>
  </si>
  <si>
    <t>=O2597-Q2597</t>
  </si>
  <si>
    <t>=IF(O2597&lt;&gt;0,R2597/O2597,"")</t>
  </si>
  <si>
    <t>=NL("Sum","5802 Value Entry","150 Sales Amount (Expected)","41 Source Type",$C$5,"5 Source No.",$C2597,"4 Item Ledger Entry Type",$C$4,"2 Item No.","@@"&amp;$F2597,"3 Posting Date",U$9)+NL("Sum","5802 Value Entry","17 Sales Amount (Actual)","41 Source Type",$C$5,"5 Source no.",$C2597,"4 Item Ledger Entry Type",$C$4,"2 Item No.","@@"&amp;$F2597,"3 Posting Date",U$9)</t>
  </si>
  <si>
    <t>=-NL("Sum","5802 Value Entry","151 Cost Amount (Expected)","41 Source Type",$C$5,"5 Source No.",$C2597,"4 Item Ledger Entry Type",$C$4,"2 Item No.","@@"&amp;$F2597,"3 Posting Date",U$9)-NL("Sum","5802 Value Entry","43 Cost Amount (Actual)","41 Source Type",$C$5,"5 Source no.",$C2597,"4 Item Ledger Entry Type",$C$4,"2 Item No.","@@"&amp;$F2597,"3 Posting Date",U$9)</t>
  </si>
  <si>
    <t>=U2597-W2597</t>
  </si>
  <si>
    <t>=IF(U2597&lt;&gt;0,X2597/U2597,"")</t>
  </si>
  <si>
    <t>=NL("Sum","5802 Value Entry","150 Sales Amount (Expected)","41 Source Type",$C$5,"5 Source No.",$C2597,"4 Item Ledger Entry Type",$C$4,"2 Item No.","@@"&amp;$F2597,"3 Posting Date",Z$9)+NL("Sum","5802 Value Entry","17 Sales Amount (Actual)","41 Source Type",$C$5,"5 Source no.",$C2597,"4 Item Ledger Entry Type",$C$4,"2 Item No.","@@"&amp;$F2597,"3 Posting Date",Z$9)</t>
  </si>
  <si>
    <t>=-NL("Sum","5802 Value Entry","151 Cost Amount (Expected)","41 Source Type",$C$5,"5 Source No.",$C2597,"4 Item Ledger Entry Type",$C$4,"2 Item No.","@@"&amp;$F2597,"3 Posting Date",Z$9)-NL("Sum","5802 Value Entry","43 Cost Amount (Actual)","41 Source Type",$C$5,"5 Source no.",$C2597,"4 Item Ledger Entry Type",$C$4,"2 Item No.","@@"&amp;$F2597,"3 Posting Date",Z$9)</t>
  </si>
  <si>
    <t>=Z2597-AB2597</t>
  </si>
  <si>
    <t>=IF(Z2597&lt;&gt;0,AC2597/Z2597,"")</t>
  </si>
  <si>
    <t>=C2597</t>
  </si>
  <si>
    <t>=NL("Sum","5802 Value Entry","150 Sales Amount (Expected)","41 Source Type",$C$5,"5 Source No.",$C2598,"4 Item Ledger Entry Type",$C$4,"2 Item No.","@@"&amp;$F2598,"3 Posting Date",J$9)+NL("Sum","5802 Value Entry","17 Sales Amount (Actual)","41 Source Type",$C$5,"5 Source no.",$C2598,"4 Item Ledger Entry Type",$C$4,"2 Item No.","@@"&amp;$F2598,"3 Posting Date",J$9)</t>
  </si>
  <si>
    <t>=-NL("Sum","5802 Value Entry","151 Cost Amount (Expected)","41 Source Type",$C$5,"5 Source No.",$C2598,"4 Item Ledger Entry Type",$C$4,"2 Item No.","@@"&amp;$F2598,"3 Posting Date",J$9)-NL("Sum","5802 Value Entry","43 Cost Amount (Actual)","41 Source Type",$C$5,"5 Source no.",$C2598,"4 Item Ledger Entry Type",$C$4,"2 Item No.","@@"&amp;$F2598,"3 Posting Date",J$9)</t>
  </si>
  <si>
    <t>=J2598-L2598</t>
  </si>
  <si>
    <t>=IF(J2598&lt;&gt;0,M2598/J2598,"")</t>
  </si>
  <si>
    <t>=NL("Sum","5802 Value Entry","150 Sales Amount (Expected)","41 Source Type",$C$5,"5 Source No.",$C2598,"4 Item Ledger Entry Type",$C$4,"2 Item No.","@@"&amp;$F2598,"3 Posting Date",O$9)+NL("Sum","5802 Value Entry","17 Sales Amount (Actual)","41 Source Type",$C$5,"5 Source no.",$C2598,"4 Item Ledger Entry Type",$C$4,"2 Item No.","@@"&amp;$F2598,"3 Posting Date",O$9)</t>
  </si>
  <si>
    <t>=-NL("Sum","5802 Value Entry","151 Cost Amount (Expected)","41 Source Type",$C$5,"5 Source No.",$C2598,"4 Item Ledger Entry Type",$C$4,"2 Item No.","@@"&amp;$F2598,"3 Posting Date",O$9)-NL("Sum","5802 Value Entry","43 Cost Amount (Actual)","41 Source Type",$C$5,"5 Source no.",$C2598,"4 Item Ledger Entry Type",$C$4,"2 Item No.","@@"&amp;$F2598,"3 Posting Date",O$9)</t>
  </si>
  <si>
    <t>=O2598-Q2598</t>
  </si>
  <si>
    <t>=IF(O2598&lt;&gt;0,R2598/O2598,"")</t>
  </si>
  <si>
    <t>=NL("Sum","5802 Value Entry","150 Sales Amount (Expected)","41 Source Type",$C$5,"5 Source No.",$C2598,"4 Item Ledger Entry Type",$C$4,"2 Item No.","@@"&amp;$F2598,"3 Posting Date",U$9)+NL("Sum","5802 Value Entry","17 Sales Amount (Actual)","41 Source Type",$C$5,"5 Source no.",$C2598,"4 Item Ledger Entry Type",$C$4,"2 Item No.","@@"&amp;$F2598,"3 Posting Date",U$9)</t>
  </si>
  <si>
    <t>=-NL("Sum","5802 Value Entry","151 Cost Amount (Expected)","41 Source Type",$C$5,"5 Source No.",$C2598,"4 Item Ledger Entry Type",$C$4,"2 Item No.","@@"&amp;$F2598,"3 Posting Date",U$9)-NL("Sum","5802 Value Entry","43 Cost Amount (Actual)","41 Source Type",$C$5,"5 Source no.",$C2598,"4 Item Ledger Entry Type",$C$4,"2 Item No.","@@"&amp;$F2598,"3 Posting Date",U$9)</t>
  </si>
  <si>
    <t>=U2598-W2598</t>
  </si>
  <si>
    <t>=IF(U2598&lt;&gt;0,X2598/U2598,"")</t>
  </si>
  <si>
    <t>=NL("Sum","5802 Value Entry","150 Sales Amount (Expected)","41 Source Type",$C$5,"5 Source No.",$C2598,"4 Item Ledger Entry Type",$C$4,"2 Item No.","@@"&amp;$F2598,"3 Posting Date",Z$9)+NL("Sum","5802 Value Entry","17 Sales Amount (Actual)","41 Source Type",$C$5,"5 Source no.",$C2598,"4 Item Ledger Entry Type",$C$4,"2 Item No.","@@"&amp;$F2598,"3 Posting Date",Z$9)</t>
  </si>
  <si>
    <t>=-NL("Sum","5802 Value Entry","151 Cost Amount (Expected)","41 Source Type",$C$5,"5 Source No.",$C2598,"4 Item Ledger Entry Type",$C$4,"2 Item No.","@@"&amp;$F2598,"3 Posting Date",Z$9)-NL("Sum","5802 Value Entry","43 Cost Amount (Actual)","41 Source Type",$C$5,"5 Source no.",$C2598,"4 Item Ledger Entry Type",$C$4,"2 Item No.","@@"&amp;$F2598,"3 Posting Date",Z$9)</t>
  </si>
  <si>
    <t>=Z2598-AB2598</t>
  </si>
  <si>
    <t>=IF(Z2598&lt;&gt;0,AC2598/Z2598,"")</t>
  </si>
  <si>
    <t>=C2598</t>
  </si>
  <si>
    <t>=NL("Sum","5802 Value Entry","150 Sales Amount (Expected)","41 Source Type",$C$5,"5 Source No.",$C2599,"4 Item Ledger Entry Type",$C$4,"2 Item No.","@@"&amp;$F2599,"3 Posting Date",J$9)+NL("Sum","5802 Value Entry","17 Sales Amount (Actual)","41 Source Type",$C$5,"5 Source no.",$C2599,"4 Item Ledger Entry Type",$C$4,"2 Item No.","@@"&amp;$F2599,"3 Posting Date",J$9)</t>
  </si>
  <si>
    <t>=-NL("Sum","5802 Value Entry","151 Cost Amount (Expected)","41 Source Type",$C$5,"5 Source No.",$C2599,"4 Item Ledger Entry Type",$C$4,"2 Item No.","@@"&amp;$F2599,"3 Posting Date",J$9)-NL("Sum","5802 Value Entry","43 Cost Amount (Actual)","41 Source Type",$C$5,"5 Source no.",$C2599,"4 Item Ledger Entry Type",$C$4,"2 Item No.","@@"&amp;$F2599,"3 Posting Date",J$9)</t>
  </si>
  <si>
    <t>=J2599-L2599</t>
  </si>
  <si>
    <t>=IF(J2599&lt;&gt;0,M2599/J2599,"")</t>
  </si>
  <si>
    <t>=NL("Sum","5802 Value Entry","150 Sales Amount (Expected)","41 Source Type",$C$5,"5 Source No.",$C2599,"4 Item Ledger Entry Type",$C$4,"2 Item No.","@@"&amp;$F2599,"3 Posting Date",O$9)+NL("Sum","5802 Value Entry","17 Sales Amount (Actual)","41 Source Type",$C$5,"5 Source no.",$C2599,"4 Item Ledger Entry Type",$C$4,"2 Item No.","@@"&amp;$F2599,"3 Posting Date",O$9)</t>
  </si>
  <si>
    <t>=-NL("Sum","5802 Value Entry","151 Cost Amount (Expected)","41 Source Type",$C$5,"5 Source No.",$C2599,"4 Item Ledger Entry Type",$C$4,"2 Item No.","@@"&amp;$F2599,"3 Posting Date",O$9)-NL("Sum","5802 Value Entry","43 Cost Amount (Actual)","41 Source Type",$C$5,"5 Source no.",$C2599,"4 Item Ledger Entry Type",$C$4,"2 Item No.","@@"&amp;$F2599,"3 Posting Date",O$9)</t>
  </si>
  <si>
    <t>=O2599-Q2599</t>
  </si>
  <si>
    <t>=IF(O2599&lt;&gt;0,R2599/O2599,"")</t>
  </si>
  <si>
    <t>=NL("Sum","5802 Value Entry","150 Sales Amount (Expected)","41 Source Type",$C$5,"5 Source No.",$C2599,"4 Item Ledger Entry Type",$C$4,"2 Item No.","@@"&amp;$F2599,"3 Posting Date",U$9)+NL("Sum","5802 Value Entry","17 Sales Amount (Actual)","41 Source Type",$C$5,"5 Source no.",$C2599,"4 Item Ledger Entry Type",$C$4,"2 Item No.","@@"&amp;$F2599,"3 Posting Date",U$9)</t>
  </si>
  <si>
    <t>=-NL("Sum","5802 Value Entry","151 Cost Amount (Expected)","41 Source Type",$C$5,"5 Source No.",$C2599,"4 Item Ledger Entry Type",$C$4,"2 Item No.","@@"&amp;$F2599,"3 Posting Date",U$9)-NL("Sum","5802 Value Entry","43 Cost Amount (Actual)","41 Source Type",$C$5,"5 Source no.",$C2599,"4 Item Ledger Entry Type",$C$4,"2 Item No.","@@"&amp;$F2599,"3 Posting Date",U$9)</t>
  </si>
  <si>
    <t>=U2599-W2599</t>
  </si>
  <si>
    <t>=IF(U2599&lt;&gt;0,X2599/U2599,"")</t>
  </si>
  <si>
    <t>=NL("Sum","5802 Value Entry","150 Sales Amount (Expected)","41 Source Type",$C$5,"5 Source No.",$C2599,"4 Item Ledger Entry Type",$C$4,"2 Item No.","@@"&amp;$F2599,"3 Posting Date",Z$9)+NL("Sum","5802 Value Entry","17 Sales Amount (Actual)","41 Source Type",$C$5,"5 Source no.",$C2599,"4 Item Ledger Entry Type",$C$4,"2 Item No.","@@"&amp;$F2599,"3 Posting Date",Z$9)</t>
  </si>
  <si>
    <t>=-NL("Sum","5802 Value Entry","151 Cost Amount (Expected)","41 Source Type",$C$5,"5 Source No.",$C2599,"4 Item Ledger Entry Type",$C$4,"2 Item No.","@@"&amp;$F2599,"3 Posting Date",Z$9)-NL("Sum","5802 Value Entry","43 Cost Amount (Actual)","41 Source Type",$C$5,"5 Source no.",$C2599,"4 Item Ledger Entry Type",$C$4,"2 Item No.","@@"&amp;$F2599,"3 Posting Date",Z$9)</t>
  </si>
  <si>
    <t>=Z2599-AB2599</t>
  </si>
  <si>
    <t>=IF(Z2599&lt;&gt;0,AC2599/Z2599,"")</t>
  </si>
  <si>
    <t>=C2599</t>
  </si>
  <si>
    <t>=NL("Sum","5802 Value Entry","150 Sales Amount (Expected)","41 Source Type",$C$5,"5 Source No.",$C2600,"4 Item Ledger Entry Type",$C$4,"2 Item No.","@@"&amp;$F2600,"3 Posting Date",J$9)+NL("Sum","5802 Value Entry","17 Sales Amount (Actual)","41 Source Type",$C$5,"5 Source no.",$C2600,"4 Item Ledger Entry Type",$C$4,"2 Item No.","@@"&amp;$F2600,"3 Posting Date",J$9)</t>
  </si>
  <si>
    <t>=-NL("Sum","5802 Value Entry","151 Cost Amount (Expected)","41 Source Type",$C$5,"5 Source No.",$C2600,"4 Item Ledger Entry Type",$C$4,"2 Item No.","@@"&amp;$F2600,"3 Posting Date",J$9)-NL("Sum","5802 Value Entry","43 Cost Amount (Actual)","41 Source Type",$C$5,"5 Source no.",$C2600,"4 Item Ledger Entry Type",$C$4,"2 Item No.","@@"&amp;$F2600,"3 Posting Date",J$9)</t>
  </si>
  <si>
    <t>=J2600-L2600</t>
  </si>
  <si>
    <t>=IF(J2600&lt;&gt;0,M2600/J2600,"")</t>
  </si>
  <si>
    <t>=NL("Sum","5802 Value Entry","150 Sales Amount (Expected)","41 Source Type",$C$5,"5 Source No.",$C2600,"4 Item Ledger Entry Type",$C$4,"2 Item No.","@@"&amp;$F2600,"3 Posting Date",O$9)+NL("Sum","5802 Value Entry","17 Sales Amount (Actual)","41 Source Type",$C$5,"5 Source no.",$C2600,"4 Item Ledger Entry Type",$C$4,"2 Item No.","@@"&amp;$F2600,"3 Posting Date",O$9)</t>
  </si>
  <si>
    <t>=-NL("Sum","5802 Value Entry","151 Cost Amount (Expected)","41 Source Type",$C$5,"5 Source No.",$C2600,"4 Item Ledger Entry Type",$C$4,"2 Item No.","@@"&amp;$F2600,"3 Posting Date",O$9)-NL("Sum","5802 Value Entry","43 Cost Amount (Actual)","41 Source Type",$C$5,"5 Source no.",$C2600,"4 Item Ledger Entry Type",$C$4,"2 Item No.","@@"&amp;$F2600,"3 Posting Date",O$9)</t>
  </si>
  <si>
    <t>=O2600-Q2600</t>
  </si>
  <si>
    <t>=IF(O2600&lt;&gt;0,R2600/O2600,"")</t>
  </si>
  <si>
    <t>=NL("Sum","5802 Value Entry","150 Sales Amount (Expected)","41 Source Type",$C$5,"5 Source No.",$C2600,"4 Item Ledger Entry Type",$C$4,"2 Item No.","@@"&amp;$F2600,"3 Posting Date",U$9)+NL("Sum","5802 Value Entry","17 Sales Amount (Actual)","41 Source Type",$C$5,"5 Source no.",$C2600,"4 Item Ledger Entry Type",$C$4,"2 Item No.","@@"&amp;$F2600,"3 Posting Date",U$9)</t>
  </si>
  <si>
    <t>=-NL("Sum","5802 Value Entry","151 Cost Amount (Expected)","41 Source Type",$C$5,"5 Source No.",$C2600,"4 Item Ledger Entry Type",$C$4,"2 Item No.","@@"&amp;$F2600,"3 Posting Date",U$9)-NL("Sum","5802 Value Entry","43 Cost Amount (Actual)","41 Source Type",$C$5,"5 Source no.",$C2600,"4 Item Ledger Entry Type",$C$4,"2 Item No.","@@"&amp;$F2600,"3 Posting Date",U$9)</t>
  </si>
  <si>
    <t>=U2600-W2600</t>
  </si>
  <si>
    <t>=IF(U2600&lt;&gt;0,X2600/U2600,"")</t>
  </si>
  <si>
    <t>=NL("Sum","5802 Value Entry","150 Sales Amount (Expected)","41 Source Type",$C$5,"5 Source No.",$C2600,"4 Item Ledger Entry Type",$C$4,"2 Item No.","@@"&amp;$F2600,"3 Posting Date",Z$9)+NL("Sum","5802 Value Entry","17 Sales Amount (Actual)","41 Source Type",$C$5,"5 Source no.",$C2600,"4 Item Ledger Entry Type",$C$4,"2 Item No.","@@"&amp;$F2600,"3 Posting Date",Z$9)</t>
  </si>
  <si>
    <t>=-NL("Sum","5802 Value Entry","151 Cost Amount (Expected)","41 Source Type",$C$5,"5 Source No.",$C2600,"4 Item Ledger Entry Type",$C$4,"2 Item No.","@@"&amp;$F2600,"3 Posting Date",Z$9)-NL("Sum","5802 Value Entry","43 Cost Amount (Actual)","41 Source Type",$C$5,"5 Source no.",$C2600,"4 Item Ledger Entry Type",$C$4,"2 Item No.","@@"&amp;$F2600,"3 Posting Date",Z$9)</t>
  </si>
  <si>
    <t>=Z2600-AB2600</t>
  </si>
  <si>
    <t>=IF(Z2600&lt;&gt;0,AC2600/Z2600,"")</t>
  </si>
  <si>
    <t>=C2600</t>
  </si>
  <si>
    <t>=NL("Sum","5802 Value Entry","150 Sales Amount (Expected)","41 Source Type",$C$5,"5 Source No.",$C2601,"4 Item Ledger Entry Type",$C$4,"2 Item No.","@@"&amp;$F2601,"3 Posting Date",J$9)+NL("Sum","5802 Value Entry","17 Sales Amount (Actual)","41 Source Type",$C$5,"5 Source no.",$C2601,"4 Item Ledger Entry Type",$C$4,"2 Item No.","@@"&amp;$F2601,"3 Posting Date",J$9)</t>
  </si>
  <si>
    <t>=-NL("Sum","5802 Value Entry","151 Cost Amount (Expected)","41 Source Type",$C$5,"5 Source No.",$C2601,"4 Item Ledger Entry Type",$C$4,"2 Item No.","@@"&amp;$F2601,"3 Posting Date",J$9)-NL("Sum","5802 Value Entry","43 Cost Amount (Actual)","41 Source Type",$C$5,"5 Source no.",$C2601,"4 Item Ledger Entry Type",$C$4,"2 Item No.","@@"&amp;$F2601,"3 Posting Date",J$9)</t>
  </si>
  <si>
    <t>=J2601-L2601</t>
  </si>
  <si>
    <t>=IF(J2601&lt;&gt;0,M2601/J2601,"")</t>
  </si>
  <si>
    <t>=NL("Sum","5802 Value Entry","150 Sales Amount (Expected)","41 Source Type",$C$5,"5 Source No.",$C2601,"4 Item Ledger Entry Type",$C$4,"2 Item No.","@@"&amp;$F2601,"3 Posting Date",O$9)+NL("Sum","5802 Value Entry","17 Sales Amount (Actual)","41 Source Type",$C$5,"5 Source no.",$C2601,"4 Item Ledger Entry Type",$C$4,"2 Item No.","@@"&amp;$F2601,"3 Posting Date",O$9)</t>
  </si>
  <si>
    <t>=-NL("Sum","5802 Value Entry","151 Cost Amount (Expected)","41 Source Type",$C$5,"5 Source No.",$C2601,"4 Item Ledger Entry Type",$C$4,"2 Item No.","@@"&amp;$F2601,"3 Posting Date",O$9)-NL("Sum","5802 Value Entry","43 Cost Amount (Actual)","41 Source Type",$C$5,"5 Source no.",$C2601,"4 Item Ledger Entry Type",$C$4,"2 Item No.","@@"&amp;$F2601,"3 Posting Date",O$9)</t>
  </si>
  <si>
    <t>=O2601-Q2601</t>
  </si>
  <si>
    <t>=IF(O2601&lt;&gt;0,R2601/O2601,"")</t>
  </si>
  <si>
    <t>=NL("Sum","5802 Value Entry","150 Sales Amount (Expected)","41 Source Type",$C$5,"5 Source No.",$C2601,"4 Item Ledger Entry Type",$C$4,"2 Item No.","@@"&amp;$F2601,"3 Posting Date",U$9)+NL("Sum","5802 Value Entry","17 Sales Amount (Actual)","41 Source Type",$C$5,"5 Source no.",$C2601,"4 Item Ledger Entry Type",$C$4,"2 Item No.","@@"&amp;$F2601,"3 Posting Date",U$9)</t>
  </si>
  <si>
    <t>=-NL("Sum","5802 Value Entry","151 Cost Amount (Expected)","41 Source Type",$C$5,"5 Source No.",$C2601,"4 Item Ledger Entry Type",$C$4,"2 Item No.","@@"&amp;$F2601,"3 Posting Date",U$9)-NL("Sum","5802 Value Entry","43 Cost Amount (Actual)","41 Source Type",$C$5,"5 Source no.",$C2601,"4 Item Ledger Entry Type",$C$4,"2 Item No.","@@"&amp;$F2601,"3 Posting Date",U$9)</t>
  </si>
  <si>
    <t>=U2601-W2601</t>
  </si>
  <si>
    <t>=IF(U2601&lt;&gt;0,X2601/U2601,"")</t>
  </si>
  <si>
    <t>=NL("Sum","5802 Value Entry","150 Sales Amount (Expected)","41 Source Type",$C$5,"5 Source No.",$C2601,"4 Item Ledger Entry Type",$C$4,"2 Item No.","@@"&amp;$F2601,"3 Posting Date",Z$9)+NL("Sum","5802 Value Entry","17 Sales Amount (Actual)","41 Source Type",$C$5,"5 Source no.",$C2601,"4 Item Ledger Entry Type",$C$4,"2 Item No.","@@"&amp;$F2601,"3 Posting Date",Z$9)</t>
  </si>
  <si>
    <t>=-NL("Sum","5802 Value Entry","151 Cost Amount (Expected)","41 Source Type",$C$5,"5 Source No.",$C2601,"4 Item Ledger Entry Type",$C$4,"2 Item No.","@@"&amp;$F2601,"3 Posting Date",Z$9)-NL("Sum","5802 Value Entry","43 Cost Amount (Actual)","41 Source Type",$C$5,"5 Source no.",$C2601,"4 Item Ledger Entry Type",$C$4,"2 Item No.","@@"&amp;$F2601,"3 Posting Date",Z$9)</t>
  </si>
  <si>
    <t>=Z2601-AB2601</t>
  </si>
  <si>
    <t>=IF(Z2601&lt;&gt;0,AC2601/Z2601,"")</t>
  </si>
  <si>
    <t>=C2601</t>
  </si>
  <si>
    <t>=NL("Sum","5802 Value Entry","150 Sales Amount (Expected)","41 Source Type",$C$5,"5 Source No.",$C2602,"4 Item Ledger Entry Type",$C$4,"2 Item No.","@@"&amp;$F2602,"3 Posting Date",J$9)+NL("Sum","5802 Value Entry","17 Sales Amount (Actual)","41 Source Type",$C$5,"5 Source no.",$C2602,"4 Item Ledger Entry Type",$C$4,"2 Item No.","@@"&amp;$F2602,"3 Posting Date",J$9)</t>
  </si>
  <si>
    <t>=-NL("Sum","5802 Value Entry","151 Cost Amount (Expected)","41 Source Type",$C$5,"5 Source No.",$C2602,"4 Item Ledger Entry Type",$C$4,"2 Item No.","@@"&amp;$F2602,"3 Posting Date",J$9)-NL("Sum","5802 Value Entry","43 Cost Amount (Actual)","41 Source Type",$C$5,"5 Source no.",$C2602,"4 Item Ledger Entry Type",$C$4,"2 Item No.","@@"&amp;$F2602,"3 Posting Date",J$9)</t>
  </si>
  <si>
    <t>=J2602-L2602</t>
  </si>
  <si>
    <t>=IF(J2602&lt;&gt;0,M2602/J2602,"")</t>
  </si>
  <si>
    <t>=NL("Sum","5802 Value Entry","150 Sales Amount (Expected)","41 Source Type",$C$5,"5 Source No.",$C2602,"4 Item Ledger Entry Type",$C$4,"2 Item No.","@@"&amp;$F2602,"3 Posting Date",O$9)+NL("Sum","5802 Value Entry","17 Sales Amount (Actual)","41 Source Type",$C$5,"5 Source no.",$C2602,"4 Item Ledger Entry Type",$C$4,"2 Item No.","@@"&amp;$F2602,"3 Posting Date",O$9)</t>
  </si>
  <si>
    <t>=-NL("Sum","5802 Value Entry","151 Cost Amount (Expected)","41 Source Type",$C$5,"5 Source No.",$C2602,"4 Item Ledger Entry Type",$C$4,"2 Item No.","@@"&amp;$F2602,"3 Posting Date",O$9)-NL("Sum","5802 Value Entry","43 Cost Amount (Actual)","41 Source Type",$C$5,"5 Source no.",$C2602,"4 Item Ledger Entry Type",$C$4,"2 Item No.","@@"&amp;$F2602,"3 Posting Date",O$9)</t>
  </si>
  <si>
    <t>=O2602-Q2602</t>
  </si>
  <si>
    <t>=IF(O2602&lt;&gt;0,R2602/O2602,"")</t>
  </si>
  <si>
    <t>=NL("Sum","5802 Value Entry","150 Sales Amount (Expected)","41 Source Type",$C$5,"5 Source No.",$C2602,"4 Item Ledger Entry Type",$C$4,"2 Item No.","@@"&amp;$F2602,"3 Posting Date",U$9)+NL("Sum","5802 Value Entry","17 Sales Amount (Actual)","41 Source Type",$C$5,"5 Source no.",$C2602,"4 Item Ledger Entry Type",$C$4,"2 Item No.","@@"&amp;$F2602,"3 Posting Date",U$9)</t>
  </si>
  <si>
    <t>=-NL("Sum","5802 Value Entry","151 Cost Amount (Expected)","41 Source Type",$C$5,"5 Source No.",$C2602,"4 Item Ledger Entry Type",$C$4,"2 Item No.","@@"&amp;$F2602,"3 Posting Date",U$9)-NL("Sum","5802 Value Entry","43 Cost Amount (Actual)","41 Source Type",$C$5,"5 Source no.",$C2602,"4 Item Ledger Entry Type",$C$4,"2 Item No.","@@"&amp;$F2602,"3 Posting Date",U$9)</t>
  </si>
  <si>
    <t>=U2602-W2602</t>
  </si>
  <si>
    <t>=IF(U2602&lt;&gt;0,X2602/U2602,"")</t>
  </si>
  <si>
    <t>=NL("Sum","5802 Value Entry","150 Sales Amount (Expected)","41 Source Type",$C$5,"5 Source No.",$C2602,"4 Item Ledger Entry Type",$C$4,"2 Item No.","@@"&amp;$F2602,"3 Posting Date",Z$9)+NL("Sum","5802 Value Entry","17 Sales Amount (Actual)","41 Source Type",$C$5,"5 Source no.",$C2602,"4 Item Ledger Entry Type",$C$4,"2 Item No.","@@"&amp;$F2602,"3 Posting Date",Z$9)</t>
  </si>
  <si>
    <t>=-NL("Sum","5802 Value Entry","151 Cost Amount (Expected)","41 Source Type",$C$5,"5 Source No.",$C2602,"4 Item Ledger Entry Type",$C$4,"2 Item No.","@@"&amp;$F2602,"3 Posting Date",Z$9)-NL("Sum","5802 Value Entry","43 Cost Amount (Actual)","41 Source Type",$C$5,"5 Source no.",$C2602,"4 Item Ledger Entry Type",$C$4,"2 Item No.","@@"&amp;$F2602,"3 Posting Date",Z$9)</t>
  </si>
  <si>
    <t>=Z2602-AB2602</t>
  </si>
  <si>
    <t>=IF(Z2602&lt;&gt;0,AC2602/Z2602,"")</t>
  </si>
  <si>
    <t>=C2602</t>
  </si>
  <si>
    <t>=NL("Sum","5802 Value Entry","150 Sales Amount (Expected)","41 Source Type",$C$5,"5 Source No.",$C2603,"4 Item Ledger Entry Type",$C$4,"2 Item No.","@@"&amp;$F2603,"3 Posting Date",J$9)+NL("Sum","5802 Value Entry","17 Sales Amount (Actual)","41 Source Type",$C$5,"5 Source no.",$C2603,"4 Item Ledger Entry Type",$C$4,"2 Item No.","@@"&amp;$F2603,"3 Posting Date",J$9)</t>
  </si>
  <si>
    <t>=-NL("Sum","5802 Value Entry","151 Cost Amount (Expected)","41 Source Type",$C$5,"5 Source No.",$C2603,"4 Item Ledger Entry Type",$C$4,"2 Item No.","@@"&amp;$F2603,"3 Posting Date",J$9)-NL("Sum","5802 Value Entry","43 Cost Amount (Actual)","41 Source Type",$C$5,"5 Source no.",$C2603,"4 Item Ledger Entry Type",$C$4,"2 Item No.","@@"&amp;$F2603,"3 Posting Date",J$9)</t>
  </si>
  <si>
    <t>=J2603-L2603</t>
  </si>
  <si>
    <t>=IF(J2603&lt;&gt;0,M2603/J2603,"")</t>
  </si>
  <si>
    <t>=NL("Sum","5802 Value Entry","150 Sales Amount (Expected)","41 Source Type",$C$5,"5 Source No.",$C2603,"4 Item Ledger Entry Type",$C$4,"2 Item No.","@@"&amp;$F2603,"3 Posting Date",O$9)+NL("Sum","5802 Value Entry","17 Sales Amount (Actual)","41 Source Type",$C$5,"5 Source no.",$C2603,"4 Item Ledger Entry Type",$C$4,"2 Item No.","@@"&amp;$F2603,"3 Posting Date",O$9)</t>
  </si>
  <si>
    <t>=-NL("Sum","5802 Value Entry","151 Cost Amount (Expected)","41 Source Type",$C$5,"5 Source No.",$C2603,"4 Item Ledger Entry Type",$C$4,"2 Item No.","@@"&amp;$F2603,"3 Posting Date",O$9)-NL("Sum","5802 Value Entry","43 Cost Amount (Actual)","41 Source Type",$C$5,"5 Source no.",$C2603,"4 Item Ledger Entry Type",$C$4,"2 Item No.","@@"&amp;$F2603,"3 Posting Date",O$9)</t>
  </si>
  <si>
    <t>=O2603-Q2603</t>
  </si>
  <si>
    <t>=IF(O2603&lt;&gt;0,R2603/O2603,"")</t>
  </si>
  <si>
    <t>=NL("Sum","5802 Value Entry","150 Sales Amount (Expected)","41 Source Type",$C$5,"5 Source No.",$C2603,"4 Item Ledger Entry Type",$C$4,"2 Item No.","@@"&amp;$F2603,"3 Posting Date",U$9)+NL("Sum","5802 Value Entry","17 Sales Amount (Actual)","41 Source Type",$C$5,"5 Source no.",$C2603,"4 Item Ledger Entry Type",$C$4,"2 Item No.","@@"&amp;$F2603,"3 Posting Date",U$9)</t>
  </si>
  <si>
    <t>=-NL("Sum","5802 Value Entry","151 Cost Amount (Expected)","41 Source Type",$C$5,"5 Source No.",$C2603,"4 Item Ledger Entry Type",$C$4,"2 Item No.","@@"&amp;$F2603,"3 Posting Date",U$9)-NL("Sum","5802 Value Entry","43 Cost Amount (Actual)","41 Source Type",$C$5,"5 Source no.",$C2603,"4 Item Ledger Entry Type",$C$4,"2 Item No.","@@"&amp;$F2603,"3 Posting Date",U$9)</t>
  </si>
  <si>
    <t>=U2603-W2603</t>
  </si>
  <si>
    <t>=IF(U2603&lt;&gt;0,X2603/U2603,"")</t>
  </si>
  <si>
    <t>=NL("Sum","5802 Value Entry","150 Sales Amount (Expected)","41 Source Type",$C$5,"5 Source No.",$C2603,"4 Item Ledger Entry Type",$C$4,"2 Item No.","@@"&amp;$F2603,"3 Posting Date",Z$9)+NL("Sum","5802 Value Entry","17 Sales Amount (Actual)","41 Source Type",$C$5,"5 Source no.",$C2603,"4 Item Ledger Entry Type",$C$4,"2 Item No.","@@"&amp;$F2603,"3 Posting Date",Z$9)</t>
  </si>
  <si>
    <t>=-NL("Sum","5802 Value Entry","151 Cost Amount (Expected)","41 Source Type",$C$5,"5 Source No.",$C2603,"4 Item Ledger Entry Type",$C$4,"2 Item No.","@@"&amp;$F2603,"3 Posting Date",Z$9)-NL("Sum","5802 Value Entry","43 Cost Amount (Actual)","41 Source Type",$C$5,"5 Source no.",$C2603,"4 Item Ledger Entry Type",$C$4,"2 Item No.","@@"&amp;$F2603,"3 Posting Date",Z$9)</t>
  </si>
  <si>
    <t>=Z2603-AB2603</t>
  </si>
  <si>
    <t>=IF(Z2603&lt;&gt;0,AC2603/Z2603,"")</t>
  </si>
  <si>
    <t>=C2603</t>
  </si>
  <si>
    <t>=NL("Sum","5802 Value Entry","150 Sales Amount (Expected)","41 Source Type",$C$5,"5 Source No.",$C2604,"4 Item Ledger Entry Type",$C$4,"2 Item No.","@@"&amp;$F2604,"3 Posting Date",J$9)+NL("Sum","5802 Value Entry","17 Sales Amount (Actual)","41 Source Type",$C$5,"5 Source no.",$C2604,"4 Item Ledger Entry Type",$C$4,"2 Item No.","@@"&amp;$F2604,"3 Posting Date",J$9)</t>
  </si>
  <si>
    <t>=-NL("Sum","5802 Value Entry","151 Cost Amount (Expected)","41 Source Type",$C$5,"5 Source No.",$C2604,"4 Item Ledger Entry Type",$C$4,"2 Item No.","@@"&amp;$F2604,"3 Posting Date",J$9)-NL("Sum","5802 Value Entry","43 Cost Amount (Actual)","41 Source Type",$C$5,"5 Source no.",$C2604,"4 Item Ledger Entry Type",$C$4,"2 Item No.","@@"&amp;$F2604,"3 Posting Date",J$9)</t>
  </si>
  <si>
    <t>=J2604-L2604</t>
  </si>
  <si>
    <t>=IF(J2604&lt;&gt;0,M2604/J2604,"")</t>
  </si>
  <si>
    <t>=NL("Sum","5802 Value Entry","150 Sales Amount (Expected)","41 Source Type",$C$5,"5 Source No.",$C2604,"4 Item Ledger Entry Type",$C$4,"2 Item No.","@@"&amp;$F2604,"3 Posting Date",O$9)+NL("Sum","5802 Value Entry","17 Sales Amount (Actual)","41 Source Type",$C$5,"5 Source no.",$C2604,"4 Item Ledger Entry Type",$C$4,"2 Item No.","@@"&amp;$F2604,"3 Posting Date",O$9)</t>
  </si>
  <si>
    <t>=-NL("Sum","5802 Value Entry","151 Cost Amount (Expected)","41 Source Type",$C$5,"5 Source No.",$C2604,"4 Item Ledger Entry Type",$C$4,"2 Item No.","@@"&amp;$F2604,"3 Posting Date",O$9)-NL("Sum","5802 Value Entry","43 Cost Amount (Actual)","41 Source Type",$C$5,"5 Source no.",$C2604,"4 Item Ledger Entry Type",$C$4,"2 Item No.","@@"&amp;$F2604,"3 Posting Date",O$9)</t>
  </si>
  <si>
    <t>=O2604-Q2604</t>
  </si>
  <si>
    <t>=IF(O2604&lt;&gt;0,R2604/O2604,"")</t>
  </si>
  <si>
    <t>=NL("Sum","5802 Value Entry","150 Sales Amount (Expected)","41 Source Type",$C$5,"5 Source No.",$C2604,"4 Item Ledger Entry Type",$C$4,"2 Item No.","@@"&amp;$F2604,"3 Posting Date",U$9)+NL("Sum","5802 Value Entry","17 Sales Amount (Actual)","41 Source Type",$C$5,"5 Source no.",$C2604,"4 Item Ledger Entry Type",$C$4,"2 Item No.","@@"&amp;$F2604,"3 Posting Date",U$9)</t>
  </si>
  <si>
    <t>=-NL("Sum","5802 Value Entry","151 Cost Amount (Expected)","41 Source Type",$C$5,"5 Source No.",$C2604,"4 Item Ledger Entry Type",$C$4,"2 Item No.","@@"&amp;$F2604,"3 Posting Date",U$9)-NL("Sum","5802 Value Entry","43 Cost Amount (Actual)","41 Source Type",$C$5,"5 Source no.",$C2604,"4 Item Ledger Entry Type",$C$4,"2 Item No.","@@"&amp;$F2604,"3 Posting Date",U$9)</t>
  </si>
  <si>
    <t>=U2604-W2604</t>
  </si>
  <si>
    <t>=IF(U2604&lt;&gt;0,X2604/U2604,"")</t>
  </si>
  <si>
    <t>=NL("Sum","5802 Value Entry","150 Sales Amount (Expected)","41 Source Type",$C$5,"5 Source No.",$C2604,"4 Item Ledger Entry Type",$C$4,"2 Item No.","@@"&amp;$F2604,"3 Posting Date",Z$9)+NL("Sum","5802 Value Entry","17 Sales Amount (Actual)","41 Source Type",$C$5,"5 Source no.",$C2604,"4 Item Ledger Entry Type",$C$4,"2 Item No.","@@"&amp;$F2604,"3 Posting Date",Z$9)</t>
  </si>
  <si>
    <t>=-NL("Sum","5802 Value Entry","151 Cost Amount (Expected)","41 Source Type",$C$5,"5 Source No.",$C2604,"4 Item Ledger Entry Type",$C$4,"2 Item No.","@@"&amp;$F2604,"3 Posting Date",Z$9)-NL("Sum","5802 Value Entry","43 Cost Amount (Actual)","41 Source Type",$C$5,"5 Source no.",$C2604,"4 Item Ledger Entry Type",$C$4,"2 Item No.","@@"&amp;$F2604,"3 Posting Date",Z$9)</t>
  </si>
  <si>
    <t>=Z2604-AB2604</t>
  </si>
  <si>
    <t>=IF(Z2604&lt;&gt;0,AC2604/Z2604,"")</t>
  </si>
  <si>
    <t>=C2604</t>
  </si>
  <si>
    <t>=NL("Sum","5802 Value Entry","150 Sales Amount (Expected)","41 Source Type",$C$5,"5 Source No.",$C2605,"4 Item Ledger Entry Type",$C$4,"2 Item No.","@@"&amp;$F2605,"3 Posting Date",J$9)+NL("Sum","5802 Value Entry","17 Sales Amount (Actual)","41 Source Type",$C$5,"5 Source no.",$C2605,"4 Item Ledger Entry Type",$C$4,"2 Item No.","@@"&amp;$F2605,"3 Posting Date",J$9)</t>
  </si>
  <si>
    <t>=-NL("Sum","5802 Value Entry","151 Cost Amount (Expected)","41 Source Type",$C$5,"5 Source No.",$C2605,"4 Item Ledger Entry Type",$C$4,"2 Item No.","@@"&amp;$F2605,"3 Posting Date",J$9)-NL("Sum","5802 Value Entry","43 Cost Amount (Actual)","41 Source Type",$C$5,"5 Source no.",$C2605,"4 Item Ledger Entry Type",$C$4,"2 Item No.","@@"&amp;$F2605,"3 Posting Date",J$9)</t>
  </si>
  <si>
    <t>=J2605-L2605</t>
  </si>
  <si>
    <t>=IF(J2605&lt;&gt;0,M2605/J2605,"")</t>
  </si>
  <si>
    <t>=NL("Sum","5802 Value Entry","150 Sales Amount (Expected)","41 Source Type",$C$5,"5 Source No.",$C2605,"4 Item Ledger Entry Type",$C$4,"2 Item No.","@@"&amp;$F2605,"3 Posting Date",O$9)+NL("Sum","5802 Value Entry","17 Sales Amount (Actual)","41 Source Type",$C$5,"5 Source no.",$C2605,"4 Item Ledger Entry Type",$C$4,"2 Item No.","@@"&amp;$F2605,"3 Posting Date",O$9)</t>
  </si>
  <si>
    <t>=-NL("Sum","5802 Value Entry","151 Cost Amount (Expected)","41 Source Type",$C$5,"5 Source No.",$C2605,"4 Item Ledger Entry Type",$C$4,"2 Item No.","@@"&amp;$F2605,"3 Posting Date",O$9)-NL("Sum","5802 Value Entry","43 Cost Amount (Actual)","41 Source Type",$C$5,"5 Source no.",$C2605,"4 Item Ledger Entry Type",$C$4,"2 Item No.","@@"&amp;$F2605,"3 Posting Date",O$9)</t>
  </si>
  <si>
    <t>=O2605-Q2605</t>
  </si>
  <si>
    <t>=IF(O2605&lt;&gt;0,R2605/O2605,"")</t>
  </si>
  <si>
    <t>=NL("Sum","5802 Value Entry","150 Sales Amount (Expected)","41 Source Type",$C$5,"5 Source No.",$C2605,"4 Item Ledger Entry Type",$C$4,"2 Item No.","@@"&amp;$F2605,"3 Posting Date",U$9)+NL("Sum","5802 Value Entry","17 Sales Amount (Actual)","41 Source Type",$C$5,"5 Source no.",$C2605,"4 Item Ledger Entry Type",$C$4,"2 Item No.","@@"&amp;$F2605,"3 Posting Date",U$9)</t>
  </si>
  <si>
    <t>=-NL("Sum","5802 Value Entry","151 Cost Amount (Expected)","41 Source Type",$C$5,"5 Source No.",$C2605,"4 Item Ledger Entry Type",$C$4,"2 Item No.","@@"&amp;$F2605,"3 Posting Date",U$9)-NL("Sum","5802 Value Entry","43 Cost Amount (Actual)","41 Source Type",$C$5,"5 Source no.",$C2605,"4 Item Ledger Entry Type",$C$4,"2 Item No.","@@"&amp;$F2605,"3 Posting Date",U$9)</t>
  </si>
  <si>
    <t>=U2605-W2605</t>
  </si>
  <si>
    <t>=IF(U2605&lt;&gt;0,X2605/U2605,"")</t>
  </si>
  <si>
    <t>=NL("Sum","5802 Value Entry","150 Sales Amount (Expected)","41 Source Type",$C$5,"5 Source No.",$C2605,"4 Item Ledger Entry Type",$C$4,"2 Item No.","@@"&amp;$F2605,"3 Posting Date",Z$9)+NL("Sum","5802 Value Entry","17 Sales Amount (Actual)","41 Source Type",$C$5,"5 Source no.",$C2605,"4 Item Ledger Entry Type",$C$4,"2 Item No.","@@"&amp;$F2605,"3 Posting Date",Z$9)</t>
  </si>
  <si>
    <t>=-NL("Sum","5802 Value Entry","151 Cost Amount (Expected)","41 Source Type",$C$5,"5 Source No.",$C2605,"4 Item Ledger Entry Type",$C$4,"2 Item No.","@@"&amp;$F2605,"3 Posting Date",Z$9)-NL("Sum","5802 Value Entry","43 Cost Amount (Actual)","41 Source Type",$C$5,"5 Source no.",$C2605,"4 Item Ledger Entry Type",$C$4,"2 Item No.","@@"&amp;$F2605,"3 Posting Date",Z$9)</t>
  </si>
  <si>
    <t>=Z2605-AB2605</t>
  </si>
  <si>
    <t>=IF(Z2605&lt;&gt;0,AC2605/Z2605,"")</t>
  </si>
  <si>
    <t>=C2605</t>
  </si>
  <si>
    <t>="S200003"</t>
  </si>
  <si>
    <t>=NL("Sum","5802 Value Entry","150 Sales Amount (Expected)","41 Source Type",$C$5,"5 Source No.",$C2606,"4 Item Ledger Entry Type",$C$4,"2 Item No.","@@"&amp;$F2606,"3 Posting Date",J$9)+NL("Sum","5802 Value Entry","17 Sales Amount (Actual)","41 Source Type",$C$5,"5 Source no.",$C2606,"4 Item Ledger Entry Type",$C$4,"2 Item No.","@@"&amp;$F2606,"3 Posting Date",J$9)</t>
  </si>
  <si>
    <t>=-NL("Sum","5802 Value Entry","151 Cost Amount (Expected)","41 Source Type",$C$5,"5 Source No.",$C2606,"4 Item Ledger Entry Type",$C$4,"2 Item No.","@@"&amp;$F2606,"3 Posting Date",J$9)-NL("Sum","5802 Value Entry","43 Cost Amount (Actual)","41 Source Type",$C$5,"5 Source no.",$C2606,"4 Item Ledger Entry Type",$C$4,"2 Item No.","@@"&amp;$F2606,"3 Posting Date",J$9)</t>
  </si>
  <si>
    <t>=J2606-L2606</t>
  </si>
  <si>
    <t>=IF(J2606&lt;&gt;0,M2606/J2606,"")</t>
  </si>
  <si>
    <t>=NL("Sum","5802 Value Entry","150 Sales Amount (Expected)","41 Source Type",$C$5,"5 Source No.",$C2606,"4 Item Ledger Entry Type",$C$4,"2 Item No.","@@"&amp;$F2606,"3 Posting Date",O$9)+NL("Sum","5802 Value Entry","17 Sales Amount (Actual)","41 Source Type",$C$5,"5 Source no.",$C2606,"4 Item Ledger Entry Type",$C$4,"2 Item No.","@@"&amp;$F2606,"3 Posting Date",O$9)</t>
  </si>
  <si>
    <t>=-NL("Sum","5802 Value Entry","151 Cost Amount (Expected)","41 Source Type",$C$5,"5 Source No.",$C2606,"4 Item Ledger Entry Type",$C$4,"2 Item No.","@@"&amp;$F2606,"3 Posting Date",O$9)-NL("Sum","5802 Value Entry","43 Cost Amount (Actual)","41 Source Type",$C$5,"5 Source no.",$C2606,"4 Item Ledger Entry Type",$C$4,"2 Item No.","@@"&amp;$F2606,"3 Posting Date",O$9)</t>
  </si>
  <si>
    <t>=O2606-Q2606</t>
  </si>
  <si>
    <t>=IF(O2606&lt;&gt;0,R2606/O2606,"")</t>
  </si>
  <si>
    <t>=NL("Sum","5802 Value Entry","150 Sales Amount (Expected)","41 Source Type",$C$5,"5 Source No.",$C2606,"4 Item Ledger Entry Type",$C$4,"2 Item No.","@@"&amp;$F2606,"3 Posting Date",U$9)+NL("Sum","5802 Value Entry","17 Sales Amount (Actual)","41 Source Type",$C$5,"5 Source no.",$C2606,"4 Item Ledger Entry Type",$C$4,"2 Item No.","@@"&amp;$F2606,"3 Posting Date",U$9)</t>
  </si>
  <si>
    <t>=-NL("Sum","5802 Value Entry","151 Cost Amount (Expected)","41 Source Type",$C$5,"5 Source No.",$C2606,"4 Item Ledger Entry Type",$C$4,"2 Item No.","@@"&amp;$F2606,"3 Posting Date",U$9)-NL("Sum","5802 Value Entry","43 Cost Amount (Actual)","41 Source Type",$C$5,"5 Source no.",$C2606,"4 Item Ledger Entry Type",$C$4,"2 Item No.","@@"&amp;$F2606,"3 Posting Date",U$9)</t>
  </si>
  <si>
    <t>=U2606-W2606</t>
  </si>
  <si>
    <t>=IF(U2606&lt;&gt;0,X2606/U2606,"")</t>
  </si>
  <si>
    <t>=NL("Sum","5802 Value Entry","150 Sales Amount (Expected)","41 Source Type",$C$5,"5 Source No.",$C2606,"4 Item Ledger Entry Type",$C$4,"2 Item No.","@@"&amp;$F2606,"3 Posting Date",Z$9)+NL("Sum","5802 Value Entry","17 Sales Amount (Actual)","41 Source Type",$C$5,"5 Source no.",$C2606,"4 Item Ledger Entry Type",$C$4,"2 Item No.","@@"&amp;$F2606,"3 Posting Date",Z$9)</t>
  </si>
  <si>
    <t>=-NL("Sum","5802 Value Entry","151 Cost Amount (Expected)","41 Source Type",$C$5,"5 Source No.",$C2606,"4 Item Ledger Entry Type",$C$4,"2 Item No.","@@"&amp;$F2606,"3 Posting Date",Z$9)-NL("Sum","5802 Value Entry","43 Cost Amount (Actual)","41 Source Type",$C$5,"5 Source no.",$C2606,"4 Item Ledger Entry Type",$C$4,"2 Item No.","@@"&amp;$F2606,"3 Posting Date",Z$9)</t>
  </si>
  <si>
    <t>=Z2606-AB2606</t>
  </si>
  <si>
    <t>=IF(Z2606&lt;&gt;0,AC2606/Z2606,"")</t>
  </si>
  <si>
    <t>=C2606</t>
  </si>
  <si>
    <t>=NL("Sum","5802 Value Entry","150 Sales Amount (Expected)","41 Source Type",$C$5,"5 Source No.",$C2607,"4 Item Ledger Entry Type",$C$4,"2 Item No.","@@"&amp;$F2607,"3 Posting Date",J$9)+NL("Sum","5802 Value Entry","17 Sales Amount (Actual)","41 Source Type",$C$5,"5 Source no.",$C2607,"4 Item Ledger Entry Type",$C$4,"2 Item No.","@@"&amp;$F2607,"3 Posting Date",J$9)</t>
  </si>
  <si>
    <t>=-NL("Sum","5802 Value Entry","151 Cost Amount (Expected)","41 Source Type",$C$5,"5 Source No.",$C2607,"4 Item Ledger Entry Type",$C$4,"2 Item No.","@@"&amp;$F2607,"3 Posting Date",J$9)-NL("Sum","5802 Value Entry","43 Cost Amount (Actual)","41 Source Type",$C$5,"5 Source no.",$C2607,"4 Item Ledger Entry Type",$C$4,"2 Item No.","@@"&amp;$F2607,"3 Posting Date",J$9)</t>
  </si>
  <si>
    <t>=J2607-L2607</t>
  </si>
  <si>
    <t>=IF(J2607&lt;&gt;0,M2607/J2607,"")</t>
  </si>
  <si>
    <t>=NL("Sum","5802 Value Entry","150 Sales Amount (Expected)","41 Source Type",$C$5,"5 Source No.",$C2607,"4 Item Ledger Entry Type",$C$4,"2 Item No.","@@"&amp;$F2607,"3 Posting Date",O$9)+NL("Sum","5802 Value Entry","17 Sales Amount (Actual)","41 Source Type",$C$5,"5 Source no.",$C2607,"4 Item Ledger Entry Type",$C$4,"2 Item No.","@@"&amp;$F2607,"3 Posting Date",O$9)</t>
  </si>
  <si>
    <t>=-NL("Sum","5802 Value Entry","151 Cost Amount (Expected)","41 Source Type",$C$5,"5 Source No.",$C2607,"4 Item Ledger Entry Type",$C$4,"2 Item No.","@@"&amp;$F2607,"3 Posting Date",O$9)-NL("Sum","5802 Value Entry","43 Cost Amount (Actual)","41 Source Type",$C$5,"5 Source no.",$C2607,"4 Item Ledger Entry Type",$C$4,"2 Item No.","@@"&amp;$F2607,"3 Posting Date",O$9)</t>
  </si>
  <si>
    <t>=O2607-Q2607</t>
  </si>
  <si>
    <t>=IF(O2607&lt;&gt;0,R2607/O2607,"")</t>
  </si>
  <si>
    <t>=NL("Sum","5802 Value Entry","150 Sales Amount (Expected)","41 Source Type",$C$5,"5 Source No.",$C2607,"4 Item Ledger Entry Type",$C$4,"2 Item No.","@@"&amp;$F2607,"3 Posting Date",U$9)+NL("Sum","5802 Value Entry","17 Sales Amount (Actual)","41 Source Type",$C$5,"5 Source no.",$C2607,"4 Item Ledger Entry Type",$C$4,"2 Item No.","@@"&amp;$F2607,"3 Posting Date",U$9)</t>
  </si>
  <si>
    <t>=-NL("Sum","5802 Value Entry","151 Cost Amount (Expected)","41 Source Type",$C$5,"5 Source No.",$C2607,"4 Item Ledger Entry Type",$C$4,"2 Item No.","@@"&amp;$F2607,"3 Posting Date",U$9)-NL("Sum","5802 Value Entry","43 Cost Amount (Actual)","41 Source Type",$C$5,"5 Source no.",$C2607,"4 Item Ledger Entry Type",$C$4,"2 Item No.","@@"&amp;$F2607,"3 Posting Date",U$9)</t>
  </si>
  <si>
    <t>=U2607-W2607</t>
  </si>
  <si>
    <t>=IF(U2607&lt;&gt;0,X2607/U2607,"")</t>
  </si>
  <si>
    <t>=NL("Sum","5802 Value Entry","150 Sales Amount (Expected)","41 Source Type",$C$5,"5 Source No.",$C2607,"4 Item Ledger Entry Type",$C$4,"2 Item No.","@@"&amp;$F2607,"3 Posting Date",Z$9)+NL("Sum","5802 Value Entry","17 Sales Amount (Actual)","41 Source Type",$C$5,"5 Source no.",$C2607,"4 Item Ledger Entry Type",$C$4,"2 Item No.","@@"&amp;$F2607,"3 Posting Date",Z$9)</t>
  </si>
  <si>
    <t>=-NL("Sum","5802 Value Entry","151 Cost Amount (Expected)","41 Source Type",$C$5,"5 Source No.",$C2607,"4 Item Ledger Entry Type",$C$4,"2 Item No.","@@"&amp;$F2607,"3 Posting Date",Z$9)-NL("Sum","5802 Value Entry","43 Cost Amount (Actual)","41 Source Type",$C$5,"5 Source no.",$C2607,"4 Item Ledger Entry Type",$C$4,"2 Item No.","@@"&amp;$F2607,"3 Posting Date",Z$9)</t>
  </si>
  <si>
    <t>=Z2607-AB2607</t>
  </si>
  <si>
    <t>=IF(Z2607&lt;&gt;0,AC2607/Z2607,"")</t>
  </si>
  <si>
    <t>=C2607</t>
  </si>
  <si>
    <t>=NL("Sum","5802 Value Entry","150 Sales Amount (Expected)","41 Source Type",$C$5,"5 Source No.",$C2608,"4 Item Ledger Entry Type",$C$4,"2 Item No.","@@"&amp;$F2608,"3 Posting Date",J$9)+NL("Sum","5802 Value Entry","17 Sales Amount (Actual)","41 Source Type",$C$5,"5 Source no.",$C2608,"4 Item Ledger Entry Type",$C$4,"2 Item No.","@@"&amp;$F2608,"3 Posting Date",J$9)</t>
  </si>
  <si>
    <t>=-NL("Sum","5802 Value Entry","151 Cost Amount (Expected)","41 Source Type",$C$5,"5 Source No.",$C2608,"4 Item Ledger Entry Type",$C$4,"2 Item No.","@@"&amp;$F2608,"3 Posting Date",J$9)-NL("Sum","5802 Value Entry","43 Cost Amount (Actual)","41 Source Type",$C$5,"5 Source no.",$C2608,"4 Item Ledger Entry Type",$C$4,"2 Item No.","@@"&amp;$F2608,"3 Posting Date",J$9)</t>
  </si>
  <si>
    <t>=J2608-L2608</t>
  </si>
  <si>
    <t>=IF(J2608&lt;&gt;0,M2608/J2608,"")</t>
  </si>
  <si>
    <t>=NL("Sum","5802 Value Entry","150 Sales Amount (Expected)","41 Source Type",$C$5,"5 Source No.",$C2608,"4 Item Ledger Entry Type",$C$4,"2 Item No.","@@"&amp;$F2608,"3 Posting Date",O$9)+NL("Sum","5802 Value Entry","17 Sales Amount (Actual)","41 Source Type",$C$5,"5 Source no.",$C2608,"4 Item Ledger Entry Type",$C$4,"2 Item No.","@@"&amp;$F2608,"3 Posting Date",O$9)</t>
  </si>
  <si>
    <t>=-NL("Sum","5802 Value Entry","151 Cost Amount (Expected)","41 Source Type",$C$5,"5 Source No.",$C2608,"4 Item Ledger Entry Type",$C$4,"2 Item No.","@@"&amp;$F2608,"3 Posting Date",O$9)-NL("Sum","5802 Value Entry","43 Cost Amount (Actual)","41 Source Type",$C$5,"5 Source no.",$C2608,"4 Item Ledger Entry Type",$C$4,"2 Item No.","@@"&amp;$F2608,"3 Posting Date",O$9)</t>
  </si>
  <si>
    <t>=O2608-Q2608</t>
  </si>
  <si>
    <t>=IF(O2608&lt;&gt;0,R2608/O2608,"")</t>
  </si>
  <si>
    <t>=NL("Sum","5802 Value Entry","150 Sales Amount (Expected)","41 Source Type",$C$5,"5 Source No.",$C2608,"4 Item Ledger Entry Type",$C$4,"2 Item No.","@@"&amp;$F2608,"3 Posting Date",U$9)+NL("Sum","5802 Value Entry","17 Sales Amount (Actual)","41 Source Type",$C$5,"5 Source no.",$C2608,"4 Item Ledger Entry Type",$C$4,"2 Item No.","@@"&amp;$F2608,"3 Posting Date",U$9)</t>
  </si>
  <si>
    <t>=-NL("Sum","5802 Value Entry","151 Cost Amount (Expected)","41 Source Type",$C$5,"5 Source No.",$C2608,"4 Item Ledger Entry Type",$C$4,"2 Item No.","@@"&amp;$F2608,"3 Posting Date",U$9)-NL("Sum","5802 Value Entry","43 Cost Amount (Actual)","41 Source Type",$C$5,"5 Source no.",$C2608,"4 Item Ledger Entry Type",$C$4,"2 Item No.","@@"&amp;$F2608,"3 Posting Date",U$9)</t>
  </si>
  <si>
    <t>=U2608-W2608</t>
  </si>
  <si>
    <t>=IF(U2608&lt;&gt;0,X2608/U2608,"")</t>
  </si>
  <si>
    <t>=NL("Sum","5802 Value Entry","150 Sales Amount (Expected)","41 Source Type",$C$5,"5 Source No.",$C2608,"4 Item Ledger Entry Type",$C$4,"2 Item No.","@@"&amp;$F2608,"3 Posting Date",Z$9)+NL("Sum","5802 Value Entry","17 Sales Amount (Actual)","41 Source Type",$C$5,"5 Source no.",$C2608,"4 Item Ledger Entry Type",$C$4,"2 Item No.","@@"&amp;$F2608,"3 Posting Date",Z$9)</t>
  </si>
  <si>
    <t>=-NL("Sum","5802 Value Entry","151 Cost Amount (Expected)","41 Source Type",$C$5,"5 Source No.",$C2608,"4 Item Ledger Entry Type",$C$4,"2 Item No.","@@"&amp;$F2608,"3 Posting Date",Z$9)-NL("Sum","5802 Value Entry","43 Cost Amount (Actual)","41 Source Type",$C$5,"5 Source no.",$C2608,"4 Item Ledger Entry Type",$C$4,"2 Item No.","@@"&amp;$F2608,"3 Posting Date",Z$9)</t>
  </si>
  <si>
    <t>=Z2608-AB2608</t>
  </si>
  <si>
    <t>=IF(Z2608&lt;&gt;0,AC2608/Z2608,"")</t>
  </si>
  <si>
    <t>=C2608</t>
  </si>
  <si>
    <t>=NL("Sum","5802 Value Entry","150 Sales Amount (Expected)","41 Source Type",$C$5,"5 Source No.",$C2609,"4 Item Ledger Entry Type",$C$4,"2 Item No.","@@"&amp;$F2609,"3 Posting Date",J$9)+NL("Sum","5802 Value Entry","17 Sales Amount (Actual)","41 Source Type",$C$5,"5 Source no.",$C2609,"4 Item Ledger Entry Type",$C$4,"2 Item No.","@@"&amp;$F2609,"3 Posting Date",J$9)</t>
  </si>
  <si>
    <t>=-NL("Sum","5802 Value Entry","151 Cost Amount (Expected)","41 Source Type",$C$5,"5 Source No.",$C2609,"4 Item Ledger Entry Type",$C$4,"2 Item No.","@@"&amp;$F2609,"3 Posting Date",J$9)-NL("Sum","5802 Value Entry","43 Cost Amount (Actual)","41 Source Type",$C$5,"5 Source no.",$C2609,"4 Item Ledger Entry Type",$C$4,"2 Item No.","@@"&amp;$F2609,"3 Posting Date",J$9)</t>
  </si>
  <si>
    <t>=J2609-L2609</t>
  </si>
  <si>
    <t>=IF(J2609&lt;&gt;0,M2609/J2609,"")</t>
  </si>
  <si>
    <t>=NL("Sum","5802 Value Entry","150 Sales Amount (Expected)","41 Source Type",$C$5,"5 Source No.",$C2609,"4 Item Ledger Entry Type",$C$4,"2 Item No.","@@"&amp;$F2609,"3 Posting Date",O$9)+NL("Sum","5802 Value Entry","17 Sales Amount (Actual)","41 Source Type",$C$5,"5 Source no.",$C2609,"4 Item Ledger Entry Type",$C$4,"2 Item No.","@@"&amp;$F2609,"3 Posting Date",O$9)</t>
  </si>
  <si>
    <t>=-NL("Sum","5802 Value Entry","151 Cost Amount (Expected)","41 Source Type",$C$5,"5 Source No.",$C2609,"4 Item Ledger Entry Type",$C$4,"2 Item No.","@@"&amp;$F2609,"3 Posting Date",O$9)-NL("Sum","5802 Value Entry","43 Cost Amount (Actual)","41 Source Type",$C$5,"5 Source no.",$C2609,"4 Item Ledger Entry Type",$C$4,"2 Item No.","@@"&amp;$F2609,"3 Posting Date",O$9)</t>
  </si>
  <si>
    <t>=O2609-Q2609</t>
  </si>
  <si>
    <t>=IF(O2609&lt;&gt;0,R2609/O2609,"")</t>
  </si>
  <si>
    <t>=NL("Sum","5802 Value Entry","150 Sales Amount (Expected)","41 Source Type",$C$5,"5 Source No.",$C2609,"4 Item Ledger Entry Type",$C$4,"2 Item No.","@@"&amp;$F2609,"3 Posting Date",U$9)+NL("Sum","5802 Value Entry","17 Sales Amount (Actual)","41 Source Type",$C$5,"5 Source no.",$C2609,"4 Item Ledger Entry Type",$C$4,"2 Item No.","@@"&amp;$F2609,"3 Posting Date",U$9)</t>
  </si>
  <si>
    <t>=-NL("Sum","5802 Value Entry","151 Cost Amount (Expected)","41 Source Type",$C$5,"5 Source No.",$C2609,"4 Item Ledger Entry Type",$C$4,"2 Item No.","@@"&amp;$F2609,"3 Posting Date",U$9)-NL("Sum","5802 Value Entry","43 Cost Amount (Actual)","41 Source Type",$C$5,"5 Source no.",$C2609,"4 Item Ledger Entry Type",$C$4,"2 Item No.","@@"&amp;$F2609,"3 Posting Date",U$9)</t>
  </si>
  <si>
    <t>=U2609-W2609</t>
  </si>
  <si>
    <t>=IF(U2609&lt;&gt;0,X2609/U2609,"")</t>
  </si>
  <si>
    <t>=NL("Sum","5802 Value Entry","150 Sales Amount (Expected)","41 Source Type",$C$5,"5 Source No.",$C2609,"4 Item Ledger Entry Type",$C$4,"2 Item No.","@@"&amp;$F2609,"3 Posting Date",Z$9)+NL("Sum","5802 Value Entry","17 Sales Amount (Actual)","41 Source Type",$C$5,"5 Source no.",$C2609,"4 Item Ledger Entry Type",$C$4,"2 Item No.","@@"&amp;$F2609,"3 Posting Date",Z$9)</t>
  </si>
  <si>
    <t>=-NL("Sum","5802 Value Entry","151 Cost Amount (Expected)","41 Source Type",$C$5,"5 Source No.",$C2609,"4 Item Ledger Entry Type",$C$4,"2 Item No.","@@"&amp;$F2609,"3 Posting Date",Z$9)-NL("Sum","5802 Value Entry","43 Cost Amount (Actual)","41 Source Type",$C$5,"5 Source no.",$C2609,"4 Item Ledger Entry Type",$C$4,"2 Item No.","@@"&amp;$F2609,"3 Posting Date",Z$9)</t>
  </si>
  <si>
    <t>=Z2609-AB2609</t>
  </si>
  <si>
    <t>=IF(Z2609&lt;&gt;0,AC2609/Z2609,"")</t>
  </si>
  <si>
    <t>=C2609</t>
  </si>
  <si>
    <t>=NL("Sum","5802 Value Entry","150 Sales Amount (Expected)","41 Source Type",$C$5,"5 Source No.",$C2610,"4 Item Ledger Entry Type",$C$4,"2 Item No.","@@"&amp;$F2610,"3 Posting Date",J$9)+NL("Sum","5802 Value Entry","17 Sales Amount (Actual)","41 Source Type",$C$5,"5 Source no.",$C2610,"4 Item Ledger Entry Type",$C$4,"2 Item No.","@@"&amp;$F2610,"3 Posting Date",J$9)</t>
  </si>
  <si>
    <t>=-NL("Sum","5802 Value Entry","151 Cost Amount (Expected)","41 Source Type",$C$5,"5 Source No.",$C2610,"4 Item Ledger Entry Type",$C$4,"2 Item No.","@@"&amp;$F2610,"3 Posting Date",J$9)-NL("Sum","5802 Value Entry","43 Cost Amount (Actual)","41 Source Type",$C$5,"5 Source no.",$C2610,"4 Item Ledger Entry Type",$C$4,"2 Item No.","@@"&amp;$F2610,"3 Posting Date",J$9)</t>
  </si>
  <si>
    <t>=J2610-L2610</t>
  </si>
  <si>
    <t>=IF(J2610&lt;&gt;0,M2610/J2610,"")</t>
  </si>
  <si>
    <t>=NL("Sum","5802 Value Entry","150 Sales Amount (Expected)","41 Source Type",$C$5,"5 Source No.",$C2610,"4 Item Ledger Entry Type",$C$4,"2 Item No.","@@"&amp;$F2610,"3 Posting Date",O$9)+NL("Sum","5802 Value Entry","17 Sales Amount (Actual)","41 Source Type",$C$5,"5 Source no.",$C2610,"4 Item Ledger Entry Type",$C$4,"2 Item No.","@@"&amp;$F2610,"3 Posting Date",O$9)</t>
  </si>
  <si>
    <t>=-NL("Sum","5802 Value Entry","151 Cost Amount (Expected)","41 Source Type",$C$5,"5 Source No.",$C2610,"4 Item Ledger Entry Type",$C$4,"2 Item No.","@@"&amp;$F2610,"3 Posting Date",O$9)-NL("Sum","5802 Value Entry","43 Cost Amount (Actual)","41 Source Type",$C$5,"5 Source no.",$C2610,"4 Item Ledger Entry Type",$C$4,"2 Item No.","@@"&amp;$F2610,"3 Posting Date",O$9)</t>
  </si>
  <si>
    <t>=O2610-Q2610</t>
  </si>
  <si>
    <t>=IF(O2610&lt;&gt;0,R2610/O2610,"")</t>
  </si>
  <si>
    <t>=NL("Sum","5802 Value Entry","150 Sales Amount (Expected)","41 Source Type",$C$5,"5 Source No.",$C2610,"4 Item Ledger Entry Type",$C$4,"2 Item No.","@@"&amp;$F2610,"3 Posting Date",U$9)+NL("Sum","5802 Value Entry","17 Sales Amount (Actual)","41 Source Type",$C$5,"5 Source no.",$C2610,"4 Item Ledger Entry Type",$C$4,"2 Item No.","@@"&amp;$F2610,"3 Posting Date",U$9)</t>
  </si>
  <si>
    <t>=-NL("Sum","5802 Value Entry","151 Cost Amount (Expected)","41 Source Type",$C$5,"5 Source No.",$C2610,"4 Item Ledger Entry Type",$C$4,"2 Item No.","@@"&amp;$F2610,"3 Posting Date",U$9)-NL("Sum","5802 Value Entry","43 Cost Amount (Actual)","41 Source Type",$C$5,"5 Source no.",$C2610,"4 Item Ledger Entry Type",$C$4,"2 Item No.","@@"&amp;$F2610,"3 Posting Date",U$9)</t>
  </si>
  <si>
    <t>=U2610-W2610</t>
  </si>
  <si>
    <t>=IF(U2610&lt;&gt;0,X2610/U2610,"")</t>
  </si>
  <si>
    <t>=NL("Sum","5802 Value Entry","150 Sales Amount (Expected)","41 Source Type",$C$5,"5 Source No.",$C2610,"4 Item Ledger Entry Type",$C$4,"2 Item No.","@@"&amp;$F2610,"3 Posting Date",Z$9)+NL("Sum","5802 Value Entry","17 Sales Amount (Actual)","41 Source Type",$C$5,"5 Source no.",$C2610,"4 Item Ledger Entry Type",$C$4,"2 Item No.","@@"&amp;$F2610,"3 Posting Date",Z$9)</t>
  </si>
  <si>
    <t>=-NL("Sum","5802 Value Entry","151 Cost Amount (Expected)","41 Source Type",$C$5,"5 Source No.",$C2610,"4 Item Ledger Entry Type",$C$4,"2 Item No.","@@"&amp;$F2610,"3 Posting Date",Z$9)-NL("Sum","5802 Value Entry","43 Cost Amount (Actual)","41 Source Type",$C$5,"5 Source no.",$C2610,"4 Item Ledger Entry Type",$C$4,"2 Item No.","@@"&amp;$F2610,"3 Posting Date",Z$9)</t>
  </si>
  <si>
    <t>=Z2610-AB2610</t>
  </si>
  <si>
    <t>=IF(Z2610&lt;&gt;0,AC2610/Z2610,"")</t>
  </si>
  <si>
    <t>=C2610</t>
  </si>
  <si>
    <t>=NL("Sum","5802 Value Entry","150 Sales Amount (Expected)","41 Source Type",$C$5,"5 Source No.",$C2611,"4 Item Ledger Entry Type",$C$4,"2 Item No.","@@"&amp;$F2611,"3 Posting Date",J$9)+NL("Sum","5802 Value Entry","17 Sales Amount (Actual)","41 Source Type",$C$5,"5 Source no.",$C2611,"4 Item Ledger Entry Type",$C$4,"2 Item No.","@@"&amp;$F2611,"3 Posting Date",J$9)</t>
  </si>
  <si>
    <t>=-NL("Sum","5802 Value Entry","151 Cost Amount (Expected)","41 Source Type",$C$5,"5 Source No.",$C2611,"4 Item Ledger Entry Type",$C$4,"2 Item No.","@@"&amp;$F2611,"3 Posting Date",J$9)-NL("Sum","5802 Value Entry","43 Cost Amount (Actual)","41 Source Type",$C$5,"5 Source no.",$C2611,"4 Item Ledger Entry Type",$C$4,"2 Item No.","@@"&amp;$F2611,"3 Posting Date",J$9)</t>
  </si>
  <si>
    <t>=J2611-L2611</t>
  </si>
  <si>
    <t>=IF(J2611&lt;&gt;0,M2611/J2611,"")</t>
  </si>
  <si>
    <t>=NL("Sum","5802 Value Entry","150 Sales Amount (Expected)","41 Source Type",$C$5,"5 Source No.",$C2611,"4 Item Ledger Entry Type",$C$4,"2 Item No.","@@"&amp;$F2611,"3 Posting Date",O$9)+NL("Sum","5802 Value Entry","17 Sales Amount (Actual)","41 Source Type",$C$5,"5 Source no.",$C2611,"4 Item Ledger Entry Type",$C$4,"2 Item No.","@@"&amp;$F2611,"3 Posting Date",O$9)</t>
  </si>
  <si>
    <t>=-NL("Sum","5802 Value Entry","151 Cost Amount (Expected)","41 Source Type",$C$5,"5 Source No.",$C2611,"4 Item Ledger Entry Type",$C$4,"2 Item No.","@@"&amp;$F2611,"3 Posting Date",O$9)-NL("Sum","5802 Value Entry","43 Cost Amount (Actual)","41 Source Type",$C$5,"5 Source no.",$C2611,"4 Item Ledger Entry Type",$C$4,"2 Item No.","@@"&amp;$F2611,"3 Posting Date",O$9)</t>
  </si>
  <si>
    <t>=O2611-Q2611</t>
  </si>
  <si>
    <t>=IF(O2611&lt;&gt;0,R2611/O2611,"")</t>
  </si>
  <si>
    <t>=NL("Sum","5802 Value Entry","150 Sales Amount (Expected)","41 Source Type",$C$5,"5 Source No.",$C2611,"4 Item Ledger Entry Type",$C$4,"2 Item No.","@@"&amp;$F2611,"3 Posting Date",U$9)+NL("Sum","5802 Value Entry","17 Sales Amount (Actual)","41 Source Type",$C$5,"5 Source no.",$C2611,"4 Item Ledger Entry Type",$C$4,"2 Item No.","@@"&amp;$F2611,"3 Posting Date",U$9)</t>
  </si>
  <si>
    <t>=-NL("Sum","5802 Value Entry","151 Cost Amount (Expected)","41 Source Type",$C$5,"5 Source No.",$C2611,"4 Item Ledger Entry Type",$C$4,"2 Item No.","@@"&amp;$F2611,"3 Posting Date",U$9)-NL("Sum","5802 Value Entry","43 Cost Amount (Actual)","41 Source Type",$C$5,"5 Source no.",$C2611,"4 Item Ledger Entry Type",$C$4,"2 Item No.","@@"&amp;$F2611,"3 Posting Date",U$9)</t>
  </si>
  <si>
    <t>=U2611-W2611</t>
  </si>
  <si>
    <t>=IF(U2611&lt;&gt;0,X2611/U2611,"")</t>
  </si>
  <si>
    <t>=NL("Sum","5802 Value Entry","150 Sales Amount (Expected)","41 Source Type",$C$5,"5 Source No.",$C2611,"4 Item Ledger Entry Type",$C$4,"2 Item No.","@@"&amp;$F2611,"3 Posting Date",Z$9)+NL("Sum","5802 Value Entry","17 Sales Amount (Actual)","41 Source Type",$C$5,"5 Source no.",$C2611,"4 Item Ledger Entry Type",$C$4,"2 Item No.","@@"&amp;$F2611,"3 Posting Date",Z$9)</t>
  </si>
  <si>
    <t>=-NL("Sum","5802 Value Entry","151 Cost Amount (Expected)","41 Source Type",$C$5,"5 Source No.",$C2611,"4 Item Ledger Entry Type",$C$4,"2 Item No.","@@"&amp;$F2611,"3 Posting Date",Z$9)-NL("Sum","5802 Value Entry","43 Cost Amount (Actual)","41 Source Type",$C$5,"5 Source no.",$C2611,"4 Item Ledger Entry Type",$C$4,"2 Item No.","@@"&amp;$F2611,"3 Posting Date",Z$9)</t>
  </si>
  <si>
    <t>=Z2611-AB2611</t>
  </si>
  <si>
    <t>=IF(Z2611&lt;&gt;0,AC2611/Z2611,"")</t>
  </si>
  <si>
    <t>=C2611</t>
  </si>
  <si>
    <t>=NL("Sum","5802 Value Entry","150 Sales Amount (Expected)","41 Source Type",$C$5,"5 Source No.",$C2612,"4 Item Ledger Entry Type",$C$4,"2 Item No.","@@"&amp;$F2612,"3 Posting Date",J$9)+NL("Sum","5802 Value Entry","17 Sales Amount (Actual)","41 Source Type",$C$5,"5 Source no.",$C2612,"4 Item Ledger Entry Type",$C$4,"2 Item No.","@@"&amp;$F2612,"3 Posting Date",J$9)</t>
  </si>
  <si>
    <t>=-NL("Sum","5802 Value Entry","151 Cost Amount (Expected)","41 Source Type",$C$5,"5 Source No.",$C2612,"4 Item Ledger Entry Type",$C$4,"2 Item No.","@@"&amp;$F2612,"3 Posting Date",J$9)-NL("Sum","5802 Value Entry","43 Cost Amount (Actual)","41 Source Type",$C$5,"5 Source no.",$C2612,"4 Item Ledger Entry Type",$C$4,"2 Item No.","@@"&amp;$F2612,"3 Posting Date",J$9)</t>
  </si>
  <si>
    <t>=J2612-L2612</t>
  </si>
  <si>
    <t>=IF(J2612&lt;&gt;0,M2612/J2612,"")</t>
  </si>
  <si>
    <t>=NL("Sum","5802 Value Entry","150 Sales Amount (Expected)","41 Source Type",$C$5,"5 Source No.",$C2612,"4 Item Ledger Entry Type",$C$4,"2 Item No.","@@"&amp;$F2612,"3 Posting Date",O$9)+NL("Sum","5802 Value Entry","17 Sales Amount (Actual)","41 Source Type",$C$5,"5 Source no.",$C2612,"4 Item Ledger Entry Type",$C$4,"2 Item No.","@@"&amp;$F2612,"3 Posting Date",O$9)</t>
  </si>
  <si>
    <t>=-NL("Sum","5802 Value Entry","151 Cost Amount (Expected)","41 Source Type",$C$5,"5 Source No.",$C2612,"4 Item Ledger Entry Type",$C$4,"2 Item No.","@@"&amp;$F2612,"3 Posting Date",O$9)-NL("Sum","5802 Value Entry","43 Cost Amount (Actual)","41 Source Type",$C$5,"5 Source no.",$C2612,"4 Item Ledger Entry Type",$C$4,"2 Item No.","@@"&amp;$F2612,"3 Posting Date",O$9)</t>
  </si>
  <si>
    <t>=O2612-Q2612</t>
  </si>
  <si>
    <t>=IF(O2612&lt;&gt;0,R2612/O2612,"")</t>
  </si>
  <si>
    <t>=NL("Sum","5802 Value Entry","150 Sales Amount (Expected)","41 Source Type",$C$5,"5 Source No.",$C2612,"4 Item Ledger Entry Type",$C$4,"2 Item No.","@@"&amp;$F2612,"3 Posting Date",U$9)+NL("Sum","5802 Value Entry","17 Sales Amount (Actual)","41 Source Type",$C$5,"5 Source no.",$C2612,"4 Item Ledger Entry Type",$C$4,"2 Item No.","@@"&amp;$F2612,"3 Posting Date",U$9)</t>
  </si>
  <si>
    <t>=-NL("Sum","5802 Value Entry","151 Cost Amount (Expected)","41 Source Type",$C$5,"5 Source No.",$C2612,"4 Item Ledger Entry Type",$C$4,"2 Item No.","@@"&amp;$F2612,"3 Posting Date",U$9)-NL("Sum","5802 Value Entry","43 Cost Amount (Actual)","41 Source Type",$C$5,"5 Source no.",$C2612,"4 Item Ledger Entry Type",$C$4,"2 Item No.","@@"&amp;$F2612,"3 Posting Date",U$9)</t>
  </si>
  <si>
    <t>=U2612-W2612</t>
  </si>
  <si>
    <t>=IF(U2612&lt;&gt;0,X2612/U2612,"")</t>
  </si>
  <si>
    <t>=NL("Sum","5802 Value Entry","150 Sales Amount (Expected)","41 Source Type",$C$5,"5 Source No.",$C2612,"4 Item Ledger Entry Type",$C$4,"2 Item No.","@@"&amp;$F2612,"3 Posting Date",Z$9)+NL("Sum","5802 Value Entry","17 Sales Amount (Actual)","41 Source Type",$C$5,"5 Source no.",$C2612,"4 Item Ledger Entry Type",$C$4,"2 Item No.","@@"&amp;$F2612,"3 Posting Date",Z$9)</t>
  </si>
  <si>
    <t>=-NL("Sum","5802 Value Entry","151 Cost Amount (Expected)","41 Source Type",$C$5,"5 Source No.",$C2612,"4 Item Ledger Entry Type",$C$4,"2 Item No.","@@"&amp;$F2612,"3 Posting Date",Z$9)-NL("Sum","5802 Value Entry","43 Cost Amount (Actual)","41 Source Type",$C$5,"5 Source no.",$C2612,"4 Item Ledger Entry Type",$C$4,"2 Item No.","@@"&amp;$F2612,"3 Posting Date",Z$9)</t>
  </si>
  <si>
    <t>=Z2612-AB2612</t>
  </si>
  <si>
    <t>=IF(Z2612&lt;&gt;0,AC2612/Z2612,"")</t>
  </si>
  <si>
    <t>=C2613</t>
  </si>
  <si>
    <t>=J2614-L2614</t>
  </si>
  <si>
    <t>=IF(J2614&lt;&gt;0,M2614/J2614,"")</t>
  </si>
  <si>
    <t>=O2614-Q2614</t>
  </si>
  <si>
    <t>=IF(O2614&lt;&gt;0,R2614/O2614,"")</t>
  </si>
  <si>
    <t>=U2614-W2614</t>
  </si>
  <si>
    <t>=IF(U2614&lt;&gt;0,X2614/U2614,"")</t>
  </si>
  <si>
    <t>=Z2614-AB2614</t>
  </si>
  <si>
    <t>=IF(Z2614&lt;&gt;0,AC2614/Z2614,"")</t>
  </si>
  <si>
    <t>=C2616</t>
  </si>
  <si>
    <t>=C2617</t>
  </si>
  <si>
    <t>=NL("Sum","5802 Value Entry","150 Sales Amount (Expected)","41 Source Type",$C$5,"5 Source No.",$C2618,"4 Item Ledger Entry Type",$C$4,"2 Item No.","@@"&amp;$F2618,"3 Posting Date",J$9)+NL("Sum","5802 Value Entry","17 Sales Amount (Actual)","41 Source Type",$C$5,"5 Source no.",$C2618,"4 Item Ledger Entry Type",$C$4,"2 Item No.","@@"&amp;$F2618,"3 Posting Date",J$9)</t>
  </si>
  <si>
    <t>=-NL("Sum","5802 Value Entry","151 Cost Amount (Expected)","41 Source Type",$C$5,"5 Source No.",$C2618,"4 Item Ledger Entry Type",$C$4,"2 Item No.","@@"&amp;$F2618,"3 Posting Date",J$9)-NL("Sum","5802 Value Entry","43 Cost Amount (Actual)","41 Source Type",$C$5,"5 Source no.",$C2618,"4 Item Ledger Entry Type",$C$4,"2 Item No.","@@"&amp;$F2618,"3 Posting Date",J$9)</t>
  </si>
  <si>
    <t>=J2618-L2618</t>
  </si>
  <si>
    <t>=IF(J2618&lt;&gt;0,M2618/J2618,"")</t>
  </si>
  <si>
    <t>=NL("Sum","5802 Value Entry","150 Sales Amount (Expected)","41 Source Type",$C$5,"5 Source No.",$C2618,"4 Item Ledger Entry Type",$C$4,"2 Item No.","@@"&amp;$F2618,"3 Posting Date",O$9)+NL("Sum","5802 Value Entry","17 Sales Amount (Actual)","41 Source Type",$C$5,"5 Source no.",$C2618,"4 Item Ledger Entry Type",$C$4,"2 Item No.","@@"&amp;$F2618,"3 Posting Date",O$9)</t>
  </si>
  <si>
    <t>=-NL("Sum","5802 Value Entry","151 Cost Amount (Expected)","41 Source Type",$C$5,"5 Source No.",$C2618,"4 Item Ledger Entry Type",$C$4,"2 Item No.","@@"&amp;$F2618,"3 Posting Date",O$9)-NL("Sum","5802 Value Entry","43 Cost Amount (Actual)","41 Source Type",$C$5,"5 Source no.",$C2618,"4 Item Ledger Entry Type",$C$4,"2 Item No.","@@"&amp;$F2618,"3 Posting Date",O$9)</t>
  </si>
  <si>
    <t>=O2618-Q2618</t>
  </si>
  <si>
    <t>=IF(O2618&lt;&gt;0,R2618/O2618,"")</t>
  </si>
  <si>
    <t>=NL("Sum","5802 Value Entry","150 Sales Amount (Expected)","41 Source Type",$C$5,"5 Source No.",$C2618,"4 Item Ledger Entry Type",$C$4,"2 Item No.","@@"&amp;$F2618,"3 Posting Date",U$9)+NL("Sum","5802 Value Entry","17 Sales Amount (Actual)","41 Source Type",$C$5,"5 Source no.",$C2618,"4 Item Ledger Entry Type",$C$4,"2 Item No.","@@"&amp;$F2618,"3 Posting Date",U$9)</t>
  </si>
  <si>
    <t>=-NL("Sum","5802 Value Entry","151 Cost Amount (Expected)","41 Source Type",$C$5,"5 Source No.",$C2618,"4 Item Ledger Entry Type",$C$4,"2 Item No.","@@"&amp;$F2618,"3 Posting Date",U$9)-NL("Sum","5802 Value Entry","43 Cost Amount (Actual)","41 Source Type",$C$5,"5 Source no.",$C2618,"4 Item Ledger Entry Type",$C$4,"2 Item No.","@@"&amp;$F2618,"3 Posting Date",U$9)</t>
  </si>
  <si>
    <t>=U2618-W2618</t>
  </si>
  <si>
    <t>=IF(U2618&lt;&gt;0,X2618/U2618,"")</t>
  </si>
  <si>
    <t>=NL("Sum","5802 Value Entry","150 Sales Amount (Expected)","41 Source Type",$C$5,"5 Source No.",$C2618,"4 Item Ledger Entry Type",$C$4,"2 Item No.","@@"&amp;$F2618,"3 Posting Date",Z$9)+NL("Sum","5802 Value Entry","17 Sales Amount (Actual)","41 Source Type",$C$5,"5 Source no.",$C2618,"4 Item Ledger Entry Type",$C$4,"2 Item No.","@@"&amp;$F2618,"3 Posting Date",Z$9)</t>
  </si>
  <si>
    <t>=-NL("Sum","5802 Value Entry","151 Cost Amount (Expected)","41 Source Type",$C$5,"5 Source No.",$C2618,"4 Item Ledger Entry Type",$C$4,"2 Item No.","@@"&amp;$F2618,"3 Posting Date",Z$9)-NL("Sum","5802 Value Entry","43 Cost Amount (Actual)","41 Source Type",$C$5,"5 Source no.",$C2618,"4 Item Ledger Entry Type",$C$4,"2 Item No.","@@"&amp;$F2618,"3 Posting Date",Z$9)</t>
  </si>
  <si>
    <t>=Z2618-AB2618</t>
  </si>
  <si>
    <t>=IF(Z2618&lt;&gt;0,AC2618/Z2618,"")</t>
  </si>
  <si>
    <t>=C2618</t>
  </si>
  <si>
    <t>=NL("Sum","5802 Value Entry","150 Sales Amount (Expected)","41 Source Type",$C$5,"5 Source No.",$C2619,"4 Item Ledger Entry Type",$C$4,"2 Item No.","@@"&amp;$F2619,"3 Posting Date",J$9)+NL("Sum","5802 Value Entry","17 Sales Amount (Actual)","41 Source Type",$C$5,"5 Source no.",$C2619,"4 Item Ledger Entry Type",$C$4,"2 Item No.","@@"&amp;$F2619,"3 Posting Date",J$9)</t>
  </si>
  <si>
    <t>=-NL("Sum","5802 Value Entry","151 Cost Amount (Expected)","41 Source Type",$C$5,"5 Source No.",$C2619,"4 Item Ledger Entry Type",$C$4,"2 Item No.","@@"&amp;$F2619,"3 Posting Date",J$9)-NL("Sum","5802 Value Entry","43 Cost Amount (Actual)","41 Source Type",$C$5,"5 Source no.",$C2619,"4 Item Ledger Entry Type",$C$4,"2 Item No.","@@"&amp;$F2619,"3 Posting Date",J$9)</t>
  </si>
  <si>
    <t>=J2619-L2619</t>
  </si>
  <si>
    <t>=IF(J2619&lt;&gt;0,M2619/J2619,"")</t>
  </si>
  <si>
    <t>=NL("Sum","5802 Value Entry","150 Sales Amount (Expected)","41 Source Type",$C$5,"5 Source No.",$C2619,"4 Item Ledger Entry Type",$C$4,"2 Item No.","@@"&amp;$F2619,"3 Posting Date",O$9)+NL("Sum","5802 Value Entry","17 Sales Amount (Actual)","41 Source Type",$C$5,"5 Source no.",$C2619,"4 Item Ledger Entry Type",$C$4,"2 Item No.","@@"&amp;$F2619,"3 Posting Date",O$9)</t>
  </si>
  <si>
    <t>=-NL("Sum","5802 Value Entry","151 Cost Amount (Expected)","41 Source Type",$C$5,"5 Source No.",$C2619,"4 Item Ledger Entry Type",$C$4,"2 Item No.","@@"&amp;$F2619,"3 Posting Date",O$9)-NL("Sum","5802 Value Entry","43 Cost Amount (Actual)","41 Source Type",$C$5,"5 Source no.",$C2619,"4 Item Ledger Entry Type",$C$4,"2 Item No.","@@"&amp;$F2619,"3 Posting Date",O$9)</t>
  </si>
  <si>
    <t>=O2619-Q2619</t>
  </si>
  <si>
    <t>=IF(O2619&lt;&gt;0,R2619/O2619,"")</t>
  </si>
  <si>
    <t>=NL("Sum","5802 Value Entry","150 Sales Amount (Expected)","41 Source Type",$C$5,"5 Source No.",$C2619,"4 Item Ledger Entry Type",$C$4,"2 Item No.","@@"&amp;$F2619,"3 Posting Date",U$9)+NL("Sum","5802 Value Entry","17 Sales Amount (Actual)","41 Source Type",$C$5,"5 Source no.",$C2619,"4 Item Ledger Entry Type",$C$4,"2 Item No.","@@"&amp;$F2619,"3 Posting Date",U$9)</t>
  </si>
  <si>
    <t>=-NL("Sum","5802 Value Entry","151 Cost Amount (Expected)","41 Source Type",$C$5,"5 Source No.",$C2619,"4 Item Ledger Entry Type",$C$4,"2 Item No.","@@"&amp;$F2619,"3 Posting Date",U$9)-NL("Sum","5802 Value Entry","43 Cost Amount (Actual)","41 Source Type",$C$5,"5 Source no.",$C2619,"4 Item Ledger Entry Type",$C$4,"2 Item No.","@@"&amp;$F2619,"3 Posting Date",U$9)</t>
  </si>
  <si>
    <t>=U2619-W2619</t>
  </si>
  <si>
    <t>=IF(U2619&lt;&gt;0,X2619/U2619,"")</t>
  </si>
  <si>
    <t>=NL("Sum","5802 Value Entry","150 Sales Amount (Expected)","41 Source Type",$C$5,"5 Source No.",$C2619,"4 Item Ledger Entry Type",$C$4,"2 Item No.","@@"&amp;$F2619,"3 Posting Date",Z$9)+NL("Sum","5802 Value Entry","17 Sales Amount (Actual)","41 Source Type",$C$5,"5 Source no.",$C2619,"4 Item Ledger Entry Type",$C$4,"2 Item No.","@@"&amp;$F2619,"3 Posting Date",Z$9)</t>
  </si>
  <si>
    <t>=-NL("Sum","5802 Value Entry","151 Cost Amount (Expected)","41 Source Type",$C$5,"5 Source No.",$C2619,"4 Item Ledger Entry Type",$C$4,"2 Item No.","@@"&amp;$F2619,"3 Posting Date",Z$9)-NL("Sum","5802 Value Entry","43 Cost Amount (Actual)","41 Source Type",$C$5,"5 Source no.",$C2619,"4 Item Ledger Entry Type",$C$4,"2 Item No.","@@"&amp;$F2619,"3 Posting Date",Z$9)</t>
  </si>
  <si>
    <t>=Z2619-AB2619</t>
  </si>
  <si>
    <t>=IF(Z2619&lt;&gt;0,AC2619/Z2619,"")</t>
  </si>
  <si>
    <t>=C2619</t>
  </si>
  <si>
    <t>=NL("Sum","5802 Value Entry","150 Sales Amount (Expected)","41 Source Type",$C$5,"5 Source No.",$C2620,"4 Item Ledger Entry Type",$C$4,"2 Item No.","@@"&amp;$F2620,"3 Posting Date",J$9)+NL("Sum","5802 Value Entry","17 Sales Amount (Actual)","41 Source Type",$C$5,"5 Source no.",$C2620,"4 Item Ledger Entry Type",$C$4,"2 Item No.","@@"&amp;$F2620,"3 Posting Date",J$9)</t>
  </si>
  <si>
    <t>=-NL("Sum","5802 Value Entry","151 Cost Amount (Expected)","41 Source Type",$C$5,"5 Source No.",$C2620,"4 Item Ledger Entry Type",$C$4,"2 Item No.","@@"&amp;$F2620,"3 Posting Date",J$9)-NL("Sum","5802 Value Entry","43 Cost Amount (Actual)","41 Source Type",$C$5,"5 Source no.",$C2620,"4 Item Ledger Entry Type",$C$4,"2 Item No.","@@"&amp;$F2620,"3 Posting Date",J$9)</t>
  </si>
  <si>
    <t>=J2620-L2620</t>
  </si>
  <si>
    <t>=IF(J2620&lt;&gt;0,M2620/J2620,"")</t>
  </si>
  <si>
    <t>=NL("Sum","5802 Value Entry","150 Sales Amount (Expected)","41 Source Type",$C$5,"5 Source No.",$C2620,"4 Item Ledger Entry Type",$C$4,"2 Item No.","@@"&amp;$F2620,"3 Posting Date",O$9)+NL("Sum","5802 Value Entry","17 Sales Amount (Actual)","41 Source Type",$C$5,"5 Source no.",$C2620,"4 Item Ledger Entry Type",$C$4,"2 Item No.","@@"&amp;$F2620,"3 Posting Date",O$9)</t>
  </si>
  <si>
    <t>=-NL("Sum","5802 Value Entry","151 Cost Amount (Expected)","41 Source Type",$C$5,"5 Source No.",$C2620,"4 Item Ledger Entry Type",$C$4,"2 Item No.","@@"&amp;$F2620,"3 Posting Date",O$9)-NL("Sum","5802 Value Entry","43 Cost Amount (Actual)","41 Source Type",$C$5,"5 Source no.",$C2620,"4 Item Ledger Entry Type",$C$4,"2 Item No.","@@"&amp;$F2620,"3 Posting Date",O$9)</t>
  </si>
  <si>
    <t>=O2620-Q2620</t>
  </si>
  <si>
    <t>=IF(O2620&lt;&gt;0,R2620/O2620,"")</t>
  </si>
  <si>
    <t>=NL("Sum","5802 Value Entry","150 Sales Amount (Expected)","41 Source Type",$C$5,"5 Source No.",$C2620,"4 Item Ledger Entry Type",$C$4,"2 Item No.","@@"&amp;$F2620,"3 Posting Date",U$9)+NL("Sum","5802 Value Entry","17 Sales Amount (Actual)","41 Source Type",$C$5,"5 Source no.",$C2620,"4 Item Ledger Entry Type",$C$4,"2 Item No.","@@"&amp;$F2620,"3 Posting Date",U$9)</t>
  </si>
  <si>
    <t>=-NL("Sum","5802 Value Entry","151 Cost Amount (Expected)","41 Source Type",$C$5,"5 Source No.",$C2620,"4 Item Ledger Entry Type",$C$4,"2 Item No.","@@"&amp;$F2620,"3 Posting Date",U$9)-NL("Sum","5802 Value Entry","43 Cost Amount (Actual)","41 Source Type",$C$5,"5 Source no.",$C2620,"4 Item Ledger Entry Type",$C$4,"2 Item No.","@@"&amp;$F2620,"3 Posting Date",U$9)</t>
  </si>
  <si>
    <t>=U2620-W2620</t>
  </si>
  <si>
    <t>=IF(U2620&lt;&gt;0,X2620/U2620,"")</t>
  </si>
  <si>
    <t>=NL("Sum","5802 Value Entry","150 Sales Amount (Expected)","41 Source Type",$C$5,"5 Source No.",$C2620,"4 Item Ledger Entry Type",$C$4,"2 Item No.","@@"&amp;$F2620,"3 Posting Date",Z$9)+NL("Sum","5802 Value Entry","17 Sales Amount (Actual)","41 Source Type",$C$5,"5 Source no.",$C2620,"4 Item Ledger Entry Type",$C$4,"2 Item No.","@@"&amp;$F2620,"3 Posting Date",Z$9)</t>
  </si>
  <si>
    <t>=-NL("Sum","5802 Value Entry","151 Cost Amount (Expected)","41 Source Type",$C$5,"5 Source No.",$C2620,"4 Item Ledger Entry Type",$C$4,"2 Item No.","@@"&amp;$F2620,"3 Posting Date",Z$9)-NL("Sum","5802 Value Entry","43 Cost Amount (Actual)","41 Source Type",$C$5,"5 Source no.",$C2620,"4 Item Ledger Entry Type",$C$4,"2 Item No.","@@"&amp;$F2620,"3 Posting Date",Z$9)</t>
  </si>
  <si>
    <t>=Z2620-AB2620</t>
  </si>
  <si>
    <t>=IF(Z2620&lt;&gt;0,AC2620/Z2620,"")</t>
  </si>
  <si>
    <t>=C2620</t>
  </si>
  <si>
    <t>=NL("Sum","5802 Value Entry","150 Sales Amount (Expected)","41 Source Type",$C$5,"5 Source No.",$C2621,"4 Item Ledger Entry Type",$C$4,"2 Item No.","@@"&amp;$F2621,"3 Posting Date",J$9)+NL("Sum","5802 Value Entry","17 Sales Amount (Actual)","41 Source Type",$C$5,"5 Source no.",$C2621,"4 Item Ledger Entry Type",$C$4,"2 Item No.","@@"&amp;$F2621,"3 Posting Date",J$9)</t>
  </si>
  <si>
    <t>=-NL("Sum","5802 Value Entry","151 Cost Amount (Expected)","41 Source Type",$C$5,"5 Source No.",$C2621,"4 Item Ledger Entry Type",$C$4,"2 Item No.","@@"&amp;$F2621,"3 Posting Date",J$9)-NL("Sum","5802 Value Entry","43 Cost Amount (Actual)","41 Source Type",$C$5,"5 Source no.",$C2621,"4 Item Ledger Entry Type",$C$4,"2 Item No.","@@"&amp;$F2621,"3 Posting Date",J$9)</t>
  </si>
  <si>
    <t>=J2621-L2621</t>
  </si>
  <si>
    <t>=IF(J2621&lt;&gt;0,M2621/J2621,"")</t>
  </si>
  <si>
    <t>=NL("Sum","5802 Value Entry","150 Sales Amount (Expected)","41 Source Type",$C$5,"5 Source No.",$C2621,"4 Item Ledger Entry Type",$C$4,"2 Item No.","@@"&amp;$F2621,"3 Posting Date",O$9)+NL("Sum","5802 Value Entry","17 Sales Amount (Actual)","41 Source Type",$C$5,"5 Source no.",$C2621,"4 Item Ledger Entry Type",$C$4,"2 Item No.","@@"&amp;$F2621,"3 Posting Date",O$9)</t>
  </si>
  <si>
    <t>=-NL("Sum","5802 Value Entry","151 Cost Amount (Expected)","41 Source Type",$C$5,"5 Source No.",$C2621,"4 Item Ledger Entry Type",$C$4,"2 Item No.","@@"&amp;$F2621,"3 Posting Date",O$9)-NL("Sum","5802 Value Entry","43 Cost Amount (Actual)","41 Source Type",$C$5,"5 Source no.",$C2621,"4 Item Ledger Entry Type",$C$4,"2 Item No.","@@"&amp;$F2621,"3 Posting Date",O$9)</t>
  </si>
  <si>
    <t>=O2621-Q2621</t>
  </si>
  <si>
    <t>=IF(O2621&lt;&gt;0,R2621/O2621,"")</t>
  </si>
  <si>
    <t>=NL("Sum","5802 Value Entry","150 Sales Amount (Expected)","41 Source Type",$C$5,"5 Source No.",$C2621,"4 Item Ledger Entry Type",$C$4,"2 Item No.","@@"&amp;$F2621,"3 Posting Date",U$9)+NL("Sum","5802 Value Entry","17 Sales Amount (Actual)","41 Source Type",$C$5,"5 Source no.",$C2621,"4 Item Ledger Entry Type",$C$4,"2 Item No.","@@"&amp;$F2621,"3 Posting Date",U$9)</t>
  </si>
  <si>
    <t>=-NL("Sum","5802 Value Entry","151 Cost Amount (Expected)","41 Source Type",$C$5,"5 Source No.",$C2621,"4 Item Ledger Entry Type",$C$4,"2 Item No.","@@"&amp;$F2621,"3 Posting Date",U$9)-NL("Sum","5802 Value Entry","43 Cost Amount (Actual)","41 Source Type",$C$5,"5 Source no.",$C2621,"4 Item Ledger Entry Type",$C$4,"2 Item No.","@@"&amp;$F2621,"3 Posting Date",U$9)</t>
  </si>
  <si>
    <t>=U2621-W2621</t>
  </si>
  <si>
    <t>=IF(U2621&lt;&gt;0,X2621/U2621,"")</t>
  </si>
  <si>
    <t>=NL("Sum","5802 Value Entry","150 Sales Amount (Expected)","41 Source Type",$C$5,"5 Source No.",$C2621,"4 Item Ledger Entry Type",$C$4,"2 Item No.","@@"&amp;$F2621,"3 Posting Date",Z$9)+NL("Sum","5802 Value Entry","17 Sales Amount (Actual)","41 Source Type",$C$5,"5 Source no.",$C2621,"4 Item Ledger Entry Type",$C$4,"2 Item No.","@@"&amp;$F2621,"3 Posting Date",Z$9)</t>
  </si>
  <si>
    <t>=-NL("Sum","5802 Value Entry","151 Cost Amount (Expected)","41 Source Type",$C$5,"5 Source No.",$C2621,"4 Item Ledger Entry Type",$C$4,"2 Item No.","@@"&amp;$F2621,"3 Posting Date",Z$9)-NL("Sum","5802 Value Entry","43 Cost Amount (Actual)","41 Source Type",$C$5,"5 Source no.",$C2621,"4 Item Ledger Entry Type",$C$4,"2 Item No.","@@"&amp;$F2621,"3 Posting Date",Z$9)</t>
  </si>
  <si>
    <t>=Z2621-AB2621</t>
  </si>
  <si>
    <t>=IF(Z2621&lt;&gt;0,AC2621/Z2621,"")</t>
  </si>
  <si>
    <t>=C2621</t>
  </si>
  <si>
    <t>=NL("Sum","5802 Value Entry","150 Sales Amount (Expected)","41 Source Type",$C$5,"5 Source No.",$C2622,"4 Item Ledger Entry Type",$C$4,"2 Item No.","@@"&amp;$F2622,"3 Posting Date",J$9)+NL("Sum","5802 Value Entry","17 Sales Amount (Actual)","41 Source Type",$C$5,"5 Source no.",$C2622,"4 Item Ledger Entry Type",$C$4,"2 Item No.","@@"&amp;$F2622,"3 Posting Date",J$9)</t>
  </si>
  <si>
    <t>=-NL("Sum","5802 Value Entry","151 Cost Amount (Expected)","41 Source Type",$C$5,"5 Source No.",$C2622,"4 Item Ledger Entry Type",$C$4,"2 Item No.","@@"&amp;$F2622,"3 Posting Date",J$9)-NL("Sum","5802 Value Entry","43 Cost Amount (Actual)","41 Source Type",$C$5,"5 Source no.",$C2622,"4 Item Ledger Entry Type",$C$4,"2 Item No.","@@"&amp;$F2622,"3 Posting Date",J$9)</t>
  </si>
  <si>
    <t>=J2622-L2622</t>
  </si>
  <si>
    <t>=IF(J2622&lt;&gt;0,M2622/J2622,"")</t>
  </si>
  <si>
    <t>=NL("Sum","5802 Value Entry","150 Sales Amount (Expected)","41 Source Type",$C$5,"5 Source No.",$C2622,"4 Item Ledger Entry Type",$C$4,"2 Item No.","@@"&amp;$F2622,"3 Posting Date",O$9)+NL("Sum","5802 Value Entry","17 Sales Amount (Actual)","41 Source Type",$C$5,"5 Source no.",$C2622,"4 Item Ledger Entry Type",$C$4,"2 Item No.","@@"&amp;$F2622,"3 Posting Date",O$9)</t>
  </si>
  <si>
    <t>=-NL("Sum","5802 Value Entry","151 Cost Amount (Expected)","41 Source Type",$C$5,"5 Source No.",$C2622,"4 Item Ledger Entry Type",$C$4,"2 Item No.","@@"&amp;$F2622,"3 Posting Date",O$9)-NL("Sum","5802 Value Entry","43 Cost Amount (Actual)","41 Source Type",$C$5,"5 Source no.",$C2622,"4 Item Ledger Entry Type",$C$4,"2 Item No.","@@"&amp;$F2622,"3 Posting Date",O$9)</t>
  </si>
  <si>
    <t>=O2622-Q2622</t>
  </si>
  <si>
    <t>=IF(O2622&lt;&gt;0,R2622/O2622,"")</t>
  </si>
  <si>
    <t>=NL("Sum","5802 Value Entry","150 Sales Amount (Expected)","41 Source Type",$C$5,"5 Source No.",$C2622,"4 Item Ledger Entry Type",$C$4,"2 Item No.","@@"&amp;$F2622,"3 Posting Date",U$9)+NL("Sum","5802 Value Entry","17 Sales Amount (Actual)","41 Source Type",$C$5,"5 Source no.",$C2622,"4 Item Ledger Entry Type",$C$4,"2 Item No.","@@"&amp;$F2622,"3 Posting Date",U$9)</t>
  </si>
  <si>
    <t>=-NL("Sum","5802 Value Entry","151 Cost Amount (Expected)","41 Source Type",$C$5,"5 Source No.",$C2622,"4 Item Ledger Entry Type",$C$4,"2 Item No.","@@"&amp;$F2622,"3 Posting Date",U$9)-NL("Sum","5802 Value Entry","43 Cost Amount (Actual)","41 Source Type",$C$5,"5 Source no.",$C2622,"4 Item Ledger Entry Type",$C$4,"2 Item No.","@@"&amp;$F2622,"3 Posting Date",U$9)</t>
  </si>
  <si>
    <t>=U2622-W2622</t>
  </si>
  <si>
    <t>=IF(U2622&lt;&gt;0,X2622/U2622,"")</t>
  </si>
  <si>
    <t>=NL("Sum","5802 Value Entry","150 Sales Amount (Expected)","41 Source Type",$C$5,"5 Source No.",$C2622,"4 Item Ledger Entry Type",$C$4,"2 Item No.","@@"&amp;$F2622,"3 Posting Date",Z$9)+NL("Sum","5802 Value Entry","17 Sales Amount (Actual)","41 Source Type",$C$5,"5 Source no.",$C2622,"4 Item Ledger Entry Type",$C$4,"2 Item No.","@@"&amp;$F2622,"3 Posting Date",Z$9)</t>
  </si>
  <si>
    <t>=-NL("Sum","5802 Value Entry","151 Cost Amount (Expected)","41 Source Type",$C$5,"5 Source No.",$C2622,"4 Item Ledger Entry Type",$C$4,"2 Item No.","@@"&amp;$F2622,"3 Posting Date",Z$9)-NL("Sum","5802 Value Entry","43 Cost Amount (Actual)","41 Source Type",$C$5,"5 Source no.",$C2622,"4 Item Ledger Entry Type",$C$4,"2 Item No.","@@"&amp;$F2622,"3 Posting Date",Z$9)</t>
  </si>
  <si>
    <t>=Z2622-AB2622</t>
  </si>
  <si>
    <t>=IF(Z2622&lt;&gt;0,AC2622/Z2622,"")</t>
  </si>
  <si>
    <t>=C2622</t>
  </si>
  <si>
    <t>=NL("Sum","5802 Value Entry","150 Sales Amount (Expected)","41 Source Type",$C$5,"5 Source No.",$C2623,"4 Item Ledger Entry Type",$C$4,"2 Item No.","@@"&amp;$F2623,"3 Posting Date",J$9)+NL("Sum","5802 Value Entry","17 Sales Amount (Actual)","41 Source Type",$C$5,"5 Source no.",$C2623,"4 Item Ledger Entry Type",$C$4,"2 Item No.","@@"&amp;$F2623,"3 Posting Date",J$9)</t>
  </si>
  <si>
    <t>=-NL("Sum","5802 Value Entry","151 Cost Amount (Expected)","41 Source Type",$C$5,"5 Source No.",$C2623,"4 Item Ledger Entry Type",$C$4,"2 Item No.","@@"&amp;$F2623,"3 Posting Date",J$9)-NL("Sum","5802 Value Entry","43 Cost Amount (Actual)","41 Source Type",$C$5,"5 Source no.",$C2623,"4 Item Ledger Entry Type",$C$4,"2 Item No.","@@"&amp;$F2623,"3 Posting Date",J$9)</t>
  </si>
  <si>
    <t>=J2623-L2623</t>
  </si>
  <si>
    <t>=IF(J2623&lt;&gt;0,M2623/J2623,"")</t>
  </si>
  <si>
    <t>=NL("Sum","5802 Value Entry","150 Sales Amount (Expected)","41 Source Type",$C$5,"5 Source No.",$C2623,"4 Item Ledger Entry Type",$C$4,"2 Item No.","@@"&amp;$F2623,"3 Posting Date",O$9)+NL("Sum","5802 Value Entry","17 Sales Amount (Actual)","41 Source Type",$C$5,"5 Source no.",$C2623,"4 Item Ledger Entry Type",$C$4,"2 Item No.","@@"&amp;$F2623,"3 Posting Date",O$9)</t>
  </si>
  <si>
    <t>=-NL("Sum","5802 Value Entry","151 Cost Amount (Expected)","41 Source Type",$C$5,"5 Source No.",$C2623,"4 Item Ledger Entry Type",$C$4,"2 Item No.","@@"&amp;$F2623,"3 Posting Date",O$9)-NL("Sum","5802 Value Entry","43 Cost Amount (Actual)","41 Source Type",$C$5,"5 Source no.",$C2623,"4 Item Ledger Entry Type",$C$4,"2 Item No.","@@"&amp;$F2623,"3 Posting Date",O$9)</t>
  </si>
  <si>
    <t>=O2623-Q2623</t>
  </si>
  <si>
    <t>=IF(O2623&lt;&gt;0,R2623/O2623,"")</t>
  </si>
  <si>
    <t>=NL("Sum","5802 Value Entry","150 Sales Amount (Expected)","41 Source Type",$C$5,"5 Source No.",$C2623,"4 Item Ledger Entry Type",$C$4,"2 Item No.","@@"&amp;$F2623,"3 Posting Date",U$9)+NL("Sum","5802 Value Entry","17 Sales Amount (Actual)","41 Source Type",$C$5,"5 Source no.",$C2623,"4 Item Ledger Entry Type",$C$4,"2 Item No.","@@"&amp;$F2623,"3 Posting Date",U$9)</t>
  </si>
  <si>
    <t>=-NL("Sum","5802 Value Entry","151 Cost Amount (Expected)","41 Source Type",$C$5,"5 Source No.",$C2623,"4 Item Ledger Entry Type",$C$4,"2 Item No.","@@"&amp;$F2623,"3 Posting Date",U$9)-NL("Sum","5802 Value Entry","43 Cost Amount (Actual)","41 Source Type",$C$5,"5 Source no.",$C2623,"4 Item Ledger Entry Type",$C$4,"2 Item No.","@@"&amp;$F2623,"3 Posting Date",U$9)</t>
  </si>
  <si>
    <t>=U2623-W2623</t>
  </si>
  <si>
    <t>=IF(U2623&lt;&gt;0,X2623/U2623,"")</t>
  </si>
  <si>
    <t>=NL("Sum","5802 Value Entry","150 Sales Amount (Expected)","41 Source Type",$C$5,"5 Source No.",$C2623,"4 Item Ledger Entry Type",$C$4,"2 Item No.","@@"&amp;$F2623,"3 Posting Date",Z$9)+NL("Sum","5802 Value Entry","17 Sales Amount (Actual)","41 Source Type",$C$5,"5 Source no.",$C2623,"4 Item Ledger Entry Type",$C$4,"2 Item No.","@@"&amp;$F2623,"3 Posting Date",Z$9)</t>
  </si>
  <si>
    <t>=-NL("Sum","5802 Value Entry","151 Cost Amount (Expected)","41 Source Type",$C$5,"5 Source No.",$C2623,"4 Item Ledger Entry Type",$C$4,"2 Item No.","@@"&amp;$F2623,"3 Posting Date",Z$9)-NL("Sum","5802 Value Entry","43 Cost Amount (Actual)","41 Source Type",$C$5,"5 Source no.",$C2623,"4 Item Ledger Entry Type",$C$4,"2 Item No.","@@"&amp;$F2623,"3 Posting Date",Z$9)</t>
  </si>
  <si>
    <t>=Z2623-AB2623</t>
  </si>
  <si>
    <t>=IF(Z2623&lt;&gt;0,AC2623/Z2623,"")</t>
  </si>
  <si>
    <t>=C2623</t>
  </si>
  <si>
    <t>=NL("Sum","5802 Value Entry","150 Sales Amount (Expected)","41 Source Type",$C$5,"5 Source No.",$C2624,"4 Item Ledger Entry Type",$C$4,"2 Item No.","@@"&amp;$F2624,"3 Posting Date",J$9)+NL("Sum","5802 Value Entry","17 Sales Amount (Actual)","41 Source Type",$C$5,"5 Source no.",$C2624,"4 Item Ledger Entry Type",$C$4,"2 Item No.","@@"&amp;$F2624,"3 Posting Date",J$9)</t>
  </si>
  <si>
    <t>=-NL("Sum","5802 Value Entry","151 Cost Amount (Expected)","41 Source Type",$C$5,"5 Source No.",$C2624,"4 Item Ledger Entry Type",$C$4,"2 Item No.","@@"&amp;$F2624,"3 Posting Date",J$9)-NL("Sum","5802 Value Entry","43 Cost Amount (Actual)","41 Source Type",$C$5,"5 Source no.",$C2624,"4 Item Ledger Entry Type",$C$4,"2 Item No.","@@"&amp;$F2624,"3 Posting Date",J$9)</t>
  </si>
  <si>
    <t>=J2624-L2624</t>
  </si>
  <si>
    <t>=IF(J2624&lt;&gt;0,M2624/J2624,"")</t>
  </si>
  <si>
    <t>=NL("Sum","5802 Value Entry","150 Sales Amount (Expected)","41 Source Type",$C$5,"5 Source No.",$C2624,"4 Item Ledger Entry Type",$C$4,"2 Item No.","@@"&amp;$F2624,"3 Posting Date",O$9)+NL("Sum","5802 Value Entry","17 Sales Amount (Actual)","41 Source Type",$C$5,"5 Source no.",$C2624,"4 Item Ledger Entry Type",$C$4,"2 Item No.","@@"&amp;$F2624,"3 Posting Date",O$9)</t>
  </si>
  <si>
    <t>=-NL("Sum","5802 Value Entry","151 Cost Amount (Expected)","41 Source Type",$C$5,"5 Source No.",$C2624,"4 Item Ledger Entry Type",$C$4,"2 Item No.","@@"&amp;$F2624,"3 Posting Date",O$9)-NL("Sum","5802 Value Entry","43 Cost Amount (Actual)","41 Source Type",$C$5,"5 Source no.",$C2624,"4 Item Ledger Entry Type",$C$4,"2 Item No.","@@"&amp;$F2624,"3 Posting Date",O$9)</t>
  </si>
  <si>
    <t>=O2624-Q2624</t>
  </si>
  <si>
    <t>=IF(O2624&lt;&gt;0,R2624/O2624,"")</t>
  </si>
  <si>
    <t>=NL("Sum","5802 Value Entry","150 Sales Amount (Expected)","41 Source Type",$C$5,"5 Source No.",$C2624,"4 Item Ledger Entry Type",$C$4,"2 Item No.","@@"&amp;$F2624,"3 Posting Date",U$9)+NL("Sum","5802 Value Entry","17 Sales Amount (Actual)","41 Source Type",$C$5,"5 Source no.",$C2624,"4 Item Ledger Entry Type",$C$4,"2 Item No.","@@"&amp;$F2624,"3 Posting Date",U$9)</t>
  </si>
  <si>
    <t>=-NL("Sum","5802 Value Entry","151 Cost Amount (Expected)","41 Source Type",$C$5,"5 Source No.",$C2624,"4 Item Ledger Entry Type",$C$4,"2 Item No.","@@"&amp;$F2624,"3 Posting Date",U$9)-NL("Sum","5802 Value Entry","43 Cost Amount (Actual)","41 Source Type",$C$5,"5 Source no.",$C2624,"4 Item Ledger Entry Type",$C$4,"2 Item No.","@@"&amp;$F2624,"3 Posting Date",U$9)</t>
  </si>
  <si>
    <t>=U2624-W2624</t>
  </si>
  <si>
    <t>=IF(U2624&lt;&gt;0,X2624/U2624,"")</t>
  </si>
  <si>
    <t>=NL("Sum","5802 Value Entry","150 Sales Amount (Expected)","41 Source Type",$C$5,"5 Source No.",$C2624,"4 Item Ledger Entry Type",$C$4,"2 Item No.","@@"&amp;$F2624,"3 Posting Date",Z$9)+NL("Sum","5802 Value Entry","17 Sales Amount (Actual)","41 Source Type",$C$5,"5 Source no.",$C2624,"4 Item Ledger Entry Type",$C$4,"2 Item No.","@@"&amp;$F2624,"3 Posting Date",Z$9)</t>
  </si>
  <si>
    <t>=-NL("Sum","5802 Value Entry","151 Cost Amount (Expected)","41 Source Type",$C$5,"5 Source No.",$C2624,"4 Item Ledger Entry Type",$C$4,"2 Item No.","@@"&amp;$F2624,"3 Posting Date",Z$9)-NL("Sum","5802 Value Entry","43 Cost Amount (Actual)","41 Source Type",$C$5,"5 Source no.",$C2624,"4 Item Ledger Entry Type",$C$4,"2 Item No.","@@"&amp;$F2624,"3 Posting Date",Z$9)</t>
  </si>
  <si>
    <t>=Z2624-AB2624</t>
  </si>
  <si>
    <t>=IF(Z2624&lt;&gt;0,AC2624/Z2624,"")</t>
  </si>
  <si>
    <t>=C2624</t>
  </si>
  <si>
    <t>=NL("Sum","5802 Value Entry","150 Sales Amount (Expected)","41 Source Type",$C$5,"5 Source No.",$C2625,"4 Item Ledger Entry Type",$C$4,"2 Item No.","@@"&amp;$F2625,"3 Posting Date",J$9)+NL("Sum","5802 Value Entry","17 Sales Amount (Actual)","41 Source Type",$C$5,"5 Source no.",$C2625,"4 Item Ledger Entry Type",$C$4,"2 Item No.","@@"&amp;$F2625,"3 Posting Date",J$9)</t>
  </si>
  <si>
    <t>=-NL("Sum","5802 Value Entry","151 Cost Amount (Expected)","41 Source Type",$C$5,"5 Source No.",$C2625,"4 Item Ledger Entry Type",$C$4,"2 Item No.","@@"&amp;$F2625,"3 Posting Date",J$9)-NL("Sum","5802 Value Entry","43 Cost Amount (Actual)","41 Source Type",$C$5,"5 Source no.",$C2625,"4 Item Ledger Entry Type",$C$4,"2 Item No.","@@"&amp;$F2625,"3 Posting Date",J$9)</t>
  </si>
  <si>
    <t>=J2625-L2625</t>
  </si>
  <si>
    <t>=IF(J2625&lt;&gt;0,M2625/J2625,"")</t>
  </si>
  <si>
    <t>=NL("Sum","5802 Value Entry","150 Sales Amount (Expected)","41 Source Type",$C$5,"5 Source No.",$C2625,"4 Item Ledger Entry Type",$C$4,"2 Item No.","@@"&amp;$F2625,"3 Posting Date",O$9)+NL("Sum","5802 Value Entry","17 Sales Amount (Actual)","41 Source Type",$C$5,"5 Source no.",$C2625,"4 Item Ledger Entry Type",$C$4,"2 Item No.","@@"&amp;$F2625,"3 Posting Date",O$9)</t>
  </si>
  <si>
    <t>=-NL("Sum","5802 Value Entry","151 Cost Amount (Expected)","41 Source Type",$C$5,"5 Source No.",$C2625,"4 Item Ledger Entry Type",$C$4,"2 Item No.","@@"&amp;$F2625,"3 Posting Date",O$9)-NL("Sum","5802 Value Entry","43 Cost Amount (Actual)","41 Source Type",$C$5,"5 Source no.",$C2625,"4 Item Ledger Entry Type",$C$4,"2 Item No.","@@"&amp;$F2625,"3 Posting Date",O$9)</t>
  </si>
  <si>
    <t>=O2625-Q2625</t>
  </si>
  <si>
    <t>=IF(O2625&lt;&gt;0,R2625/O2625,"")</t>
  </si>
  <si>
    <t>=NL("Sum","5802 Value Entry","150 Sales Amount (Expected)","41 Source Type",$C$5,"5 Source No.",$C2625,"4 Item Ledger Entry Type",$C$4,"2 Item No.","@@"&amp;$F2625,"3 Posting Date",U$9)+NL("Sum","5802 Value Entry","17 Sales Amount (Actual)","41 Source Type",$C$5,"5 Source no.",$C2625,"4 Item Ledger Entry Type",$C$4,"2 Item No.","@@"&amp;$F2625,"3 Posting Date",U$9)</t>
  </si>
  <si>
    <t>=-NL("Sum","5802 Value Entry","151 Cost Amount (Expected)","41 Source Type",$C$5,"5 Source No.",$C2625,"4 Item Ledger Entry Type",$C$4,"2 Item No.","@@"&amp;$F2625,"3 Posting Date",U$9)-NL("Sum","5802 Value Entry","43 Cost Amount (Actual)","41 Source Type",$C$5,"5 Source no.",$C2625,"4 Item Ledger Entry Type",$C$4,"2 Item No.","@@"&amp;$F2625,"3 Posting Date",U$9)</t>
  </si>
  <si>
    <t>=U2625-W2625</t>
  </si>
  <si>
    <t>=IF(U2625&lt;&gt;0,X2625/U2625,"")</t>
  </si>
  <si>
    <t>=NL("Sum","5802 Value Entry","150 Sales Amount (Expected)","41 Source Type",$C$5,"5 Source No.",$C2625,"4 Item Ledger Entry Type",$C$4,"2 Item No.","@@"&amp;$F2625,"3 Posting Date",Z$9)+NL("Sum","5802 Value Entry","17 Sales Amount (Actual)","41 Source Type",$C$5,"5 Source no.",$C2625,"4 Item Ledger Entry Type",$C$4,"2 Item No.","@@"&amp;$F2625,"3 Posting Date",Z$9)</t>
  </si>
  <si>
    <t>=-NL("Sum","5802 Value Entry","151 Cost Amount (Expected)","41 Source Type",$C$5,"5 Source No.",$C2625,"4 Item Ledger Entry Type",$C$4,"2 Item No.","@@"&amp;$F2625,"3 Posting Date",Z$9)-NL("Sum","5802 Value Entry","43 Cost Amount (Actual)","41 Source Type",$C$5,"5 Source no.",$C2625,"4 Item Ledger Entry Type",$C$4,"2 Item No.","@@"&amp;$F2625,"3 Posting Date",Z$9)</t>
  </si>
  <si>
    <t>=Z2625-AB2625</t>
  </si>
  <si>
    <t>=IF(Z2625&lt;&gt;0,AC2625/Z2625,"")</t>
  </si>
  <si>
    <t>=C2625</t>
  </si>
  <si>
    <t>=NL("Sum","5802 Value Entry","150 Sales Amount (Expected)","41 Source Type",$C$5,"5 Source No.",$C2626,"4 Item Ledger Entry Type",$C$4,"2 Item No.","@@"&amp;$F2626,"3 Posting Date",J$9)+NL("Sum","5802 Value Entry","17 Sales Amount (Actual)","41 Source Type",$C$5,"5 Source no.",$C2626,"4 Item Ledger Entry Type",$C$4,"2 Item No.","@@"&amp;$F2626,"3 Posting Date",J$9)</t>
  </si>
  <si>
    <t>=-NL("Sum","5802 Value Entry","151 Cost Amount (Expected)","41 Source Type",$C$5,"5 Source No.",$C2626,"4 Item Ledger Entry Type",$C$4,"2 Item No.","@@"&amp;$F2626,"3 Posting Date",J$9)-NL("Sum","5802 Value Entry","43 Cost Amount (Actual)","41 Source Type",$C$5,"5 Source no.",$C2626,"4 Item Ledger Entry Type",$C$4,"2 Item No.","@@"&amp;$F2626,"3 Posting Date",J$9)</t>
  </si>
  <si>
    <t>=J2626-L2626</t>
  </si>
  <si>
    <t>=IF(J2626&lt;&gt;0,M2626/J2626,"")</t>
  </si>
  <si>
    <t>=NL("Sum","5802 Value Entry","150 Sales Amount (Expected)","41 Source Type",$C$5,"5 Source No.",$C2626,"4 Item Ledger Entry Type",$C$4,"2 Item No.","@@"&amp;$F2626,"3 Posting Date",O$9)+NL("Sum","5802 Value Entry","17 Sales Amount (Actual)","41 Source Type",$C$5,"5 Source no.",$C2626,"4 Item Ledger Entry Type",$C$4,"2 Item No.","@@"&amp;$F2626,"3 Posting Date",O$9)</t>
  </si>
  <si>
    <t>=-NL("Sum","5802 Value Entry","151 Cost Amount (Expected)","41 Source Type",$C$5,"5 Source No.",$C2626,"4 Item Ledger Entry Type",$C$4,"2 Item No.","@@"&amp;$F2626,"3 Posting Date",O$9)-NL("Sum","5802 Value Entry","43 Cost Amount (Actual)","41 Source Type",$C$5,"5 Source no.",$C2626,"4 Item Ledger Entry Type",$C$4,"2 Item No.","@@"&amp;$F2626,"3 Posting Date",O$9)</t>
  </si>
  <si>
    <t>=O2626-Q2626</t>
  </si>
  <si>
    <t>=IF(O2626&lt;&gt;0,R2626/O2626,"")</t>
  </si>
  <si>
    <t>=NL("Sum","5802 Value Entry","150 Sales Amount (Expected)","41 Source Type",$C$5,"5 Source No.",$C2626,"4 Item Ledger Entry Type",$C$4,"2 Item No.","@@"&amp;$F2626,"3 Posting Date",U$9)+NL("Sum","5802 Value Entry","17 Sales Amount (Actual)","41 Source Type",$C$5,"5 Source no.",$C2626,"4 Item Ledger Entry Type",$C$4,"2 Item No.","@@"&amp;$F2626,"3 Posting Date",U$9)</t>
  </si>
  <si>
    <t>=-NL("Sum","5802 Value Entry","151 Cost Amount (Expected)","41 Source Type",$C$5,"5 Source No.",$C2626,"4 Item Ledger Entry Type",$C$4,"2 Item No.","@@"&amp;$F2626,"3 Posting Date",U$9)-NL("Sum","5802 Value Entry","43 Cost Amount (Actual)","41 Source Type",$C$5,"5 Source no.",$C2626,"4 Item Ledger Entry Type",$C$4,"2 Item No.","@@"&amp;$F2626,"3 Posting Date",U$9)</t>
  </si>
  <si>
    <t>=U2626-W2626</t>
  </si>
  <si>
    <t>=IF(U2626&lt;&gt;0,X2626/U2626,"")</t>
  </si>
  <si>
    <t>=NL("Sum","5802 Value Entry","150 Sales Amount (Expected)","41 Source Type",$C$5,"5 Source No.",$C2626,"4 Item Ledger Entry Type",$C$4,"2 Item No.","@@"&amp;$F2626,"3 Posting Date",Z$9)+NL("Sum","5802 Value Entry","17 Sales Amount (Actual)","41 Source Type",$C$5,"5 Source no.",$C2626,"4 Item Ledger Entry Type",$C$4,"2 Item No.","@@"&amp;$F2626,"3 Posting Date",Z$9)</t>
  </si>
  <si>
    <t>=-NL("Sum","5802 Value Entry","151 Cost Amount (Expected)","41 Source Type",$C$5,"5 Source No.",$C2626,"4 Item Ledger Entry Type",$C$4,"2 Item No.","@@"&amp;$F2626,"3 Posting Date",Z$9)-NL("Sum","5802 Value Entry","43 Cost Amount (Actual)","41 Source Type",$C$5,"5 Source no.",$C2626,"4 Item Ledger Entry Type",$C$4,"2 Item No.","@@"&amp;$F2626,"3 Posting Date",Z$9)</t>
  </si>
  <si>
    <t>=Z2626-AB2626</t>
  </si>
  <si>
    <t>=IF(Z2626&lt;&gt;0,AC2626/Z2626,"")</t>
  </si>
  <si>
    <t>=C2626</t>
  </si>
  <si>
    <t>=NL("Sum","5802 Value Entry","150 Sales Amount (Expected)","41 Source Type",$C$5,"5 Source No.",$C2627,"4 Item Ledger Entry Type",$C$4,"2 Item No.","@@"&amp;$F2627,"3 Posting Date",J$9)+NL("Sum","5802 Value Entry","17 Sales Amount (Actual)","41 Source Type",$C$5,"5 Source no.",$C2627,"4 Item Ledger Entry Type",$C$4,"2 Item No.","@@"&amp;$F2627,"3 Posting Date",J$9)</t>
  </si>
  <si>
    <t>=-NL("Sum","5802 Value Entry","151 Cost Amount (Expected)","41 Source Type",$C$5,"5 Source No.",$C2627,"4 Item Ledger Entry Type",$C$4,"2 Item No.","@@"&amp;$F2627,"3 Posting Date",J$9)-NL("Sum","5802 Value Entry","43 Cost Amount (Actual)","41 Source Type",$C$5,"5 Source no.",$C2627,"4 Item Ledger Entry Type",$C$4,"2 Item No.","@@"&amp;$F2627,"3 Posting Date",J$9)</t>
  </si>
  <si>
    <t>=J2627-L2627</t>
  </si>
  <si>
    <t>=IF(J2627&lt;&gt;0,M2627/J2627,"")</t>
  </si>
  <si>
    <t>=NL("Sum","5802 Value Entry","150 Sales Amount (Expected)","41 Source Type",$C$5,"5 Source No.",$C2627,"4 Item Ledger Entry Type",$C$4,"2 Item No.","@@"&amp;$F2627,"3 Posting Date",O$9)+NL("Sum","5802 Value Entry","17 Sales Amount (Actual)","41 Source Type",$C$5,"5 Source no.",$C2627,"4 Item Ledger Entry Type",$C$4,"2 Item No.","@@"&amp;$F2627,"3 Posting Date",O$9)</t>
  </si>
  <si>
    <t>=-NL("Sum","5802 Value Entry","151 Cost Amount (Expected)","41 Source Type",$C$5,"5 Source No.",$C2627,"4 Item Ledger Entry Type",$C$4,"2 Item No.","@@"&amp;$F2627,"3 Posting Date",O$9)-NL("Sum","5802 Value Entry","43 Cost Amount (Actual)","41 Source Type",$C$5,"5 Source no.",$C2627,"4 Item Ledger Entry Type",$C$4,"2 Item No.","@@"&amp;$F2627,"3 Posting Date",O$9)</t>
  </si>
  <si>
    <t>=O2627-Q2627</t>
  </si>
  <si>
    <t>=IF(O2627&lt;&gt;0,R2627/O2627,"")</t>
  </si>
  <si>
    <t>=NL("Sum","5802 Value Entry","150 Sales Amount (Expected)","41 Source Type",$C$5,"5 Source No.",$C2627,"4 Item Ledger Entry Type",$C$4,"2 Item No.","@@"&amp;$F2627,"3 Posting Date",U$9)+NL("Sum","5802 Value Entry","17 Sales Amount (Actual)","41 Source Type",$C$5,"5 Source no.",$C2627,"4 Item Ledger Entry Type",$C$4,"2 Item No.","@@"&amp;$F2627,"3 Posting Date",U$9)</t>
  </si>
  <si>
    <t>=-NL("Sum","5802 Value Entry","151 Cost Amount (Expected)","41 Source Type",$C$5,"5 Source No.",$C2627,"4 Item Ledger Entry Type",$C$4,"2 Item No.","@@"&amp;$F2627,"3 Posting Date",U$9)-NL("Sum","5802 Value Entry","43 Cost Amount (Actual)","41 Source Type",$C$5,"5 Source no.",$C2627,"4 Item Ledger Entry Type",$C$4,"2 Item No.","@@"&amp;$F2627,"3 Posting Date",U$9)</t>
  </si>
  <si>
    <t>=U2627-W2627</t>
  </si>
  <si>
    <t>=IF(U2627&lt;&gt;0,X2627/U2627,"")</t>
  </si>
  <si>
    <t>=NL("Sum","5802 Value Entry","150 Sales Amount (Expected)","41 Source Type",$C$5,"5 Source No.",$C2627,"4 Item Ledger Entry Type",$C$4,"2 Item No.","@@"&amp;$F2627,"3 Posting Date",Z$9)+NL("Sum","5802 Value Entry","17 Sales Amount (Actual)","41 Source Type",$C$5,"5 Source no.",$C2627,"4 Item Ledger Entry Type",$C$4,"2 Item No.","@@"&amp;$F2627,"3 Posting Date",Z$9)</t>
  </si>
  <si>
    <t>=-NL("Sum","5802 Value Entry","151 Cost Amount (Expected)","41 Source Type",$C$5,"5 Source No.",$C2627,"4 Item Ledger Entry Type",$C$4,"2 Item No.","@@"&amp;$F2627,"3 Posting Date",Z$9)-NL("Sum","5802 Value Entry","43 Cost Amount (Actual)","41 Source Type",$C$5,"5 Source no.",$C2627,"4 Item Ledger Entry Type",$C$4,"2 Item No.","@@"&amp;$F2627,"3 Posting Date",Z$9)</t>
  </si>
  <si>
    <t>=Z2627-AB2627</t>
  </si>
  <si>
    <t>=IF(Z2627&lt;&gt;0,AC2627/Z2627,"")</t>
  </si>
  <si>
    <t>=C2627</t>
  </si>
  <si>
    <t>=NL("Sum","5802 Value Entry","150 Sales Amount (Expected)","41 Source Type",$C$5,"5 Source No.",$C2628,"4 Item Ledger Entry Type",$C$4,"2 Item No.","@@"&amp;$F2628,"3 Posting Date",J$9)+NL("Sum","5802 Value Entry","17 Sales Amount (Actual)","41 Source Type",$C$5,"5 Source no.",$C2628,"4 Item Ledger Entry Type",$C$4,"2 Item No.","@@"&amp;$F2628,"3 Posting Date",J$9)</t>
  </si>
  <si>
    <t>=-NL("Sum","5802 Value Entry","151 Cost Amount (Expected)","41 Source Type",$C$5,"5 Source No.",$C2628,"4 Item Ledger Entry Type",$C$4,"2 Item No.","@@"&amp;$F2628,"3 Posting Date",J$9)-NL("Sum","5802 Value Entry","43 Cost Amount (Actual)","41 Source Type",$C$5,"5 Source no.",$C2628,"4 Item Ledger Entry Type",$C$4,"2 Item No.","@@"&amp;$F2628,"3 Posting Date",J$9)</t>
  </si>
  <si>
    <t>=J2628-L2628</t>
  </si>
  <si>
    <t>=IF(J2628&lt;&gt;0,M2628/J2628,"")</t>
  </si>
  <si>
    <t>=NL("Sum","5802 Value Entry","150 Sales Amount (Expected)","41 Source Type",$C$5,"5 Source No.",$C2628,"4 Item Ledger Entry Type",$C$4,"2 Item No.","@@"&amp;$F2628,"3 Posting Date",O$9)+NL("Sum","5802 Value Entry","17 Sales Amount (Actual)","41 Source Type",$C$5,"5 Source no.",$C2628,"4 Item Ledger Entry Type",$C$4,"2 Item No.","@@"&amp;$F2628,"3 Posting Date",O$9)</t>
  </si>
  <si>
    <t>=-NL("Sum","5802 Value Entry","151 Cost Amount (Expected)","41 Source Type",$C$5,"5 Source No.",$C2628,"4 Item Ledger Entry Type",$C$4,"2 Item No.","@@"&amp;$F2628,"3 Posting Date",O$9)-NL("Sum","5802 Value Entry","43 Cost Amount (Actual)","41 Source Type",$C$5,"5 Source no.",$C2628,"4 Item Ledger Entry Type",$C$4,"2 Item No.","@@"&amp;$F2628,"3 Posting Date",O$9)</t>
  </si>
  <si>
    <t>=O2628-Q2628</t>
  </si>
  <si>
    <t>=IF(O2628&lt;&gt;0,R2628/O2628,"")</t>
  </si>
  <si>
    <t>=NL("Sum","5802 Value Entry","150 Sales Amount (Expected)","41 Source Type",$C$5,"5 Source No.",$C2628,"4 Item Ledger Entry Type",$C$4,"2 Item No.","@@"&amp;$F2628,"3 Posting Date",U$9)+NL("Sum","5802 Value Entry","17 Sales Amount (Actual)","41 Source Type",$C$5,"5 Source no.",$C2628,"4 Item Ledger Entry Type",$C$4,"2 Item No.","@@"&amp;$F2628,"3 Posting Date",U$9)</t>
  </si>
  <si>
    <t>=-NL("Sum","5802 Value Entry","151 Cost Amount (Expected)","41 Source Type",$C$5,"5 Source No.",$C2628,"4 Item Ledger Entry Type",$C$4,"2 Item No.","@@"&amp;$F2628,"3 Posting Date",U$9)-NL("Sum","5802 Value Entry","43 Cost Amount (Actual)","41 Source Type",$C$5,"5 Source no.",$C2628,"4 Item Ledger Entry Type",$C$4,"2 Item No.","@@"&amp;$F2628,"3 Posting Date",U$9)</t>
  </si>
  <si>
    <t>=U2628-W2628</t>
  </si>
  <si>
    <t>=IF(U2628&lt;&gt;0,X2628/U2628,"")</t>
  </si>
  <si>
    <t>=NL("Sum","5802 Value Entry","150 Sales Amount (Expected)","41 Source Type",$C$5,"5 Source No.",$C2628,"4 Item Ledger Entry Type",$C$4,"2 Item No.","@@"&amp;$F2628,"3 Posting Date",Z$9)+NL("Sum","5802 Value Entry","17 Sales Amount (Actual)","41 Source Type",$C$5,"5 Source no.",$C2628,"4 Item Ledger Entry Type",$C$4,"2 Item No.","@@"&amp;$F2628,"3 Posting Date",Z$9)</t>
  </si>
  <si>
    <t>=-NL("Sum","5802 Value Entry","151 Cost Amount (Expected)","41 Source Type",$C$5,"5 Source No.",$C2628,"4 Item Ledger Entry Type",$C$4,"2 Item No.","@@"&amp;$F2628,"3 Posting Date",Z$9)-NL("Sum","5802 Value Entry","43 Cost Amount (Actual)","41 Source Type",$C$5,"5 Source no.",$C2628,"4 Item Ledger Entry Type",$C$4,"2 Item No.","@@"&amp;$F2628,"3 Posting Date",Z$9)</t>
  </si>
  <si>
    <t>=Z2628-AB2628</t>
  </si>
  <si>
    <t>=IF(Z2628&lt;&gt;0,AC2628/Z2628,"")</t>
  </si>
  <si>
    <t>=C2628</t>
  </si>
  <si>
    <t>=NL("Sum","5802 Value Entry","150 Sales Amount (Expected)","41 Source Type",$C$5,"5 Source No.",$C2629,"4 Item Ledger Entry Type",$C$4,"2 Item No.","@@"&amp;$F2629,"3 Posting Date",J$9)+NL("Sum","5802 Value Entry","17 Sales Amount (Actual)","41 Source Type",$C$5,"5 Source no.",$C2629,"4 Item Ledger Entry Type",$C$4,"2 Item No.","@@"&amp;$F2629,"3 Posting Date",J$9)</t>
  </si>
  <si>
    <t>=-NL("Sum","5802 Value Entry","151 Cost Amount (Expected)","41 Source Type",$C$5,"5 Source No.",$C2629,"4 Item Ledger Entry Type",$C$4,"2 Item No.","@@"&amp;$F2629,"3 Posting Date",J$9)-NL("Sum","5802 Value Entry","43 Cost Amount (Actual)","41 Source Type",$C$5,"5 Source no.",$C2629,"4 Item Ledger Entry Type",$C$4,"2 Item No.","@@"&amp;$F2629,"3 Posting Date",J$9)</t>
  </si>
  <si>
    <t>=J2629-L2629</t>
  </si>
  <si>
    <t>=IF(J2629&lt;&gt;0,M2629/J2629,"")</t>
  </si>
  <si>
    <t>=NL("Sum","5802 Value Entry","150 Sales Amount (Expected)","41 Source Type",$C$5,"5 Source No.",$C2629,"4 Item Ledger Entry Type",$C$4,"2 Item No.","@@"&amp;$F2629,"3 Posting Date",O$9)+NL("Sum","5802 Value Entry","17 Sales Amount (Actual)","41 Source Type",$C$5,"5 Source no.",$C2629,"4 Item Ledger Entry Type",$C$4,"2 Item No.","@@"&amp;$F2629,"3 Posting Date",O$9)</t>
  </si>
  <si>
    <t>=-NL("Sum","5802 Value Entry","151 Cost Amount (Expected)","41 Source Type",$C$5,"5 Source No.",$C2629,"4 Item Ledger Entry Type",$C$4,"2 Item No.","@@"&amp;$F2629,"3 Posting Date",O$9)-NL("Sum","5802 Value Entry","43 Cost Amount (Actual)","41 Source Type",$C$5,"5 Source no.",$C2629,"4 Item Ledger Entry Type",$C$4,"2 Item No.","@@"&amp;$F2629,"3 Posting Date",O$9)</t>
  </si>
  <si>
    <t>=O2629-Q2629</t>
  </si>
  <si>
    <t>=IF(O2629&lt;&gt;0,R2629/O2629,"")</t>
  </si>
  <si>
    <t>=NL("Sum","5802 Value Entry","150 Sales Amount (Expected)","41 Source Type",$C$5,"5 Source No.",$C2629,"4 Item Ledger Entry Type",$C$4,"2 Item No.","@@"&amp;$F2629,"3 Posting Date",U$9)+NL("Sum","5802 Value Entry","17 Sales Amount (Actual)","41 Source Type",$C$5,"5 Source no.",$C2629,"4 Item Ledger Entry Type",$C$4,"2 Item No.","@@"&amp;$F2629,"3 Posting Date",U$9)</t>
  </si>
  <si>
    <t>=-NL("Sum","5802 Value Entry","151 Cost Amount (Expected)","41 Source Type",$C$5,"5 Source No.",$C2629,"4 Item Ledger Entry Type",$C$4,"2 Item No.","@@"&amp;$F2629,"3 Posting Date",U$9)-NL("Sum","5802 Value Entry","43 Cost Amount (Actual)","41 Source Type",$C$5,"5 Source no.",$C2629,"4 Item Ledger Entry Type",$C$4,"2 Item No.","@@"&amp;$F2629,"3 Posting Date",U$9)</t>
  </si>
  <si>
    <t>=U2629-W2629</t>
  </si>
  <si>
    <t>=IF(U2629&lt;&gt;0,X2629/U2629,"")</t>
  </si>
  <si>
    <t>=NL("Sum","5802 Value Entry","150 Sales Amount (Expected)","41 Source Type",$C$5,"5 Source No.",$C2629,"4 Item Ledger Entry Type",$C$4,"2 Item No.","@@"&amp;$F2629,"3 Posting Date",Z$9)+NL("Sum","5802 Value Entry","17 Sales Amount (Actual)","41 Source Type",$C$5,"5 Source no.",$C2629,"4 Item Ledger Entry Type",$C$4,"2 Item No.","@@"&amp;$F2629,"3 Posting Date",Z$9)</t>
  </si>
  <si>
    <t>=-NL("Sum","5802 Value Entry","151 Cost Amount (Expected)","41 Source Type",$C$5,"5 Source No.",$C2629,"4 Item Ledger Entry Type",$C$4,"2 Item No.","@@"&amp;$F2629,"3 Posting Date",Z$9)-NL("Sum","5802 Value Entry","43 Cost Amount (Actual)","41 Source Type",$C$5,"5 Source no.",$C2629,"4 Item Ledger Entry Type",$C$4,"2 Item No.","@@"&amp;$F2629,"3 Posting Date",Z$9)</t>
  </si>
  <si>
    <t>=Z2629-AB2629</t>
  </si>
  <si>
    <t>=IF(Z2629&lt;&gt;0,AC2629/Z2629,"")</t>
  </si>
  <si>
    <t>=C2629</t>
  </si>
  <si>
    <t>=NL("Sum","5802 Value Entry","150 Sales Amount (Expected)","41 Source Type",$C$5,"5 Source No.",$C2630,"4 Item Ledger Entry Type",$C$4,"2 Item No.","@@"&amp;$F2630,"3 Posting Date",J$9)+NL("Sum","5802 Value Entry","17 Sales Amount (Actual)","41 Source Type",$C$5,"5 Source no.",$C2630,"4 Item Ledger Entry Type",$C$4,"2 Item No.","@@"&amp;$F2630,"3 Posting Date",J$9)</t>
  </si>
  <si>
    <t>=-NL("Sum","5802 Value Entry","151 Cost Amount (Expected)","41 Source Type",$C$5,"5 Source No.",$C2630,"4 Item Ledger Entry Type",$C$4,"2 Item No.","@@"&amp;$F2630,"3 Posting Date",J$9)-NL("Sum","5802 Value Entry","43 Cost Amount (Actual)","41 Source Type",$C$5,"5 Source no.",$C2630,"4 Item Ledger Entry Type",$C$4,"2 Item No.","@@"&amp;$F2630,"3 Posting Date",J$9)</t>
  </si>
  <si>
    <t>=J2630-L2630</t>
  </si>
  <si>
    <t>=IF(J2630&lt;&gt;0,M2630/J2630,"")</t>
  </si>
  <si>
    <t>=NL("Sum","5802 Value Entry","150 Sales Amount (Expected)","41 Source Type",$C$5,"5 Source No.",$C2630,"4 Item Ledger Entry Type",$C$4,"2 Item No.","@@"&amp;$F2630,"3 Posting Date",O$9)+NL("Sum","5802 Value Entry","17 Sales Amount (Actual)","41 Source Type",$C$5,"5 Source no.",$C2630,"4 Item Ledger Entry Type",$C$4,"2 Item No.","@@"&amp;$F2630,"3 Posting Date",O$9)</t>
  </si>
  <si>
    <t>=-NL("Sum","5802 Value Entry","151 Cost Amount (Expected)","41 Source Type",$C$5,"5 Source No.",$C2630,"4 Item Ledger Entry Type",$C$4,"2 Item No.","@@"&amp;$F2630,"3 Posting Date",O$9)-NL("Sum","5802 Value Entry","43 Cost Amount (Actual)","41 Source Type",$C$5,"5 Source no.",$C2630,"4 Item Ledger Entry Type",$C$4,"2 Item No.","@@"&amp;$F2630,"3 Posting Date",O$9)</t>
  </si>
  <si>
    <t>=O2630-Q2630</t>
  </si>
  <si>
    <t>=IF(O2630&lt;&gt;0,R2630/O2630,"")</t>
  </si>
  <si>
    <t>=NL("Sum","5802 Value Entry","150 Sales Amount (Expected)","41 Source Type",$C$5,"5 Source No.",$C2630,"4 Item Ledger Entry Type",$C$4,"2 Item No.","@@"&amp;$F2630,"3 Posting Date",U$9)+NL("Sum","5802 Value Entry","17 Sales Amount (Actual)","41 Source Type",$C$5,"5 Source no.",$C2630,"4 Item Ledger Entry Type",$C$4,"2 Item No.","@@"&amp;$F2630,"3 Posting Date",U$9)</t>
  </si>
  <si>
    <t>=-NL("Sum","5802 Value Entry","151 Cost Amount (Expected)","41 Source Type",$C$5,"5 Source No.",$C2630,"4 Item Ledger Entry Type",$C$4,"2 Item No.","@@"&amp;$F2630,"3 Posting Date",U$9)-NL("Sum","5802 Value Entry","43 Cost Amount (Actual)","41 Source Type",$C$5,"5 Source no.",$C2630,"4 Item Ledger Entry Type",$C$4,"2 Item No.","@@"&amp;$F2630,"3 Posting Date",U$9)</t>
  </si>
  <si>
    <t>=U2630-W2630</t>
  </si>
  <si>
    <t>=IF(U2630&lt;&gt;0,X2630/U2630,"")</t>
  </si>
  <si>
    <t>=NL("Sum","5802 Value Entry","150 Sales Amount (Expected)","41 Source Type",$C$5,"5 Source No.",$C2630,"4 Item Ledger Entry Type",$C$4,"2 Item No.","@@"&amp;$F2630,"3 Posting Date",Z$9)+NL("Sum","5802 Value Entry","17 Sales Amount (Actual)","41 Source Type",$C$5,"5 Source no.",$C2630,"4 Item Ledger Entry Type",$C$4,"2 Item No.","@@"&amp;$F2630,"3 Posting Date",Z$9)</t>
  </si>
  <si>
    <t>=-NL("Sum","5802 Value Entry","151 Cost Amount (Expected)","41 Source Type",$C$5,"5 Source No.",$C2630,"4 Item Ledger Entry Type",$C$4,"2 Item No.","@@"&amp;$F2630,"3 Posting Date",Z$9)-NL("Sum","5802 Value Entry","43 Cost Amount (Actual)","41 Source Type",$C$5,"5 Source no.",$C2630,"4 Item Ledger Entry Type",$C$4,"2 Item No.","@@"&amp;$F2630,"3 Posting Date",Z$9)</t>
  </si>
  <si>
    <t>=Z2630-AB2630</t>
  </si>
  <si>
    <t>=IF(Z2630&lt;&gt;0,AC2630/Z2630,"")</t>
  </si>
  <si>
    <t>=C2630</t>
  </si>
  <si>
    <t>=NL("Sum","5802 Value Entry","150 Sales Amount (Expected)","41 Source Type",$C$5,"5 Source No.",$C2631,"4 Item Ledger Entry Type",$C$4,"2 Item No.","@@"&amp;$F2631,"3 Posting Date",J$9)+NL("Sum","5802 Value Entry","17 Sales Amount (Actual)","41 Source Type",$C$5,"5 Source no.",$C2631,"4 Item Ledger Entry Type",$C$4,"2 Item No.","@@"&amp;$F2631,"3 Posting Date",J$9)</t>
  </si>
  <si>
    <t>=-NL("Sum","5802 Value Entry","151 Cost Amount (Expected)","41 Source Type",$C$5,"5 Source No.",$C2631,"4 Item Ledger Entry Type",$C$4,"2 Item No.","@@"&amp;$F2631,"3 Posting Date",J$9)-NL("Sum","5802 Value Entry","43 Cost Amount (Actual)","41 Source Type",$C$5,"5 Source no.",$C2631,"4 Item Ledger Entry Type",$C$4,"2 Item No.","@@"&amp;$F2631,"3 Posting Date",J$9)</t>
  </si>
  <si>
    <t>=J2631-L2631</t>
  </si>
  <si>
    <t>=IF(J2631&lt;&gt;0,M2631/J2631,"")</t>
  </si>
  <si>
    <t>=NL("Sum","5802 Value Entry","150 Sales Amount (Expected)","41 Source Type",$C$5,"5 Source No.",$C2631,"4 Item Ledger Entry Type",$C$4,"2 Item No.","@@"&amp;$F2631,"3 Posting Date",O$9)+NL("Sum","5802 Value Entry","17 Sales Amount (Actual)","41 Source Type",$C$5,"5 Source no.",$C2631,"4 Item Ledger Entry Type",$C$4,"2 Item No.","@@"&amp;$F2631,"3 Posting Date",O$9)</t>
  </si>
  <si>
    <t>=-NL("Sum","5802 Value Entry","151 Cost Amount (Expected)","41 Source Type",$C$5,"5 Source No.",$C2631,"4 Item Ledger Entry Type",$C$4,"2 Item No.","@@"&amp;$F2631,"3 Posting Date",O$9)-NL("Sum","5802 Value Entry","43 Cost Amount (Actual)","41 Source Type",$C$5,"5 Source no.",$C2631,"4 Item Ledger Entry Type",$C$4,"2 Item No.","@@"&amp;$F2631,"3 Posting Date",O$9)</t>
  </si>
  <si>
    <t>=O2631-Q2631</t>
  </si>
  <si>
    <t>=IF(O2631&lt;&gt;0,R2631/O2631,"")</t>
  </si>
  <si>
    <t>=NL("Sum","5802 Value Entry","150 Sales Amount (Expected)","41 Source Type",$C$5,"5 Source No.",$C2631,"4 Item Ledger Entry Type",$C$4,"2 Item No.","@@"&amp;$F2631,"3 Posting Date",U$9)+NL("Sum","5802 Value Entry","17 Sales Amount (Actual)","41 Source Type",$C$5,"5 Source no.",$C2631,"4 Item Ledger Entry Type",$C$4,"2 Item No.","@@"&amp;$F2631,"3 Posting Date",U$9)</t>
  </si>
  <si>
    <t>=-NL("Sum","5802 Value Entry","151 Cost Amount (Expected)","41 Source Type",$C$5,"5 Source No.",$C2631,"4 Item Ledger Entry Type",$C$4,"2 Item No.","@@"&amp;$F2631,"3 Posting Date",U$9)-NL("Sum","5802 Value Entry","43 Cost Amount (Actual)","41 Source Type",$C$5,"5 Source no.",$C2631,"4 Item Ledger Entry Type",$C$4,"2 Item No.","@@"&amp;$F2631,"3 Posting Date",U$9)</t>
  </si>
  <si>
    <t>=U2631-W2631</t>
  </si>
  <si>
    <t>=IF(U2631&lt;&gt;0,X2631/U2631,"")</t>
  </si>
  <si>
    <t>=NL("Sum","5802 Value Entry","150 Sales Amount (Expected)","41 Source Type",$C$5,"5 Source No.",$C2631,"4 Item Ledger Entry Type",$C$4,"2 Item No.","@@"&amp;$F2631,"3 Posting Date",Z$9)+NL("Sum","5802 Value Entry","17 Sales Amount (Actual)","41 Source Type",$C$5,"5 Source no.",$C2631,"4 Item Ledger Entry Type",$C$4,"2 Item No.","@@"&amp;$F2631,"3 Posting Date",Z$9)</t>
  </si>
  <si>
    <t>=-NL("Sum","5802 Value Entry","151 Cost Amount (Expected)","41 Source Type",$C$5,"5 Source No.",$C2631,"4 Item Ledger Entry Type",$C$4,"2 Item No.","@@"&amp;$F2631,"3 Posting Date",Z$9)-NL("Sum","5802 Value Entry","43 Cost Amount (Actual)","41 Source Type",$C$5,"5 Source no.",$C2631,"4 Item Ledger Entry Type",$C$4,"2 Item No.","@@"&amp;$F2631,"3 Posting Date",Z$9)</t>
  </si>
  <si>
    <t>=Z2631-AB2631</t>
  </si>
  <si>
    <t>=IF(Z2631&lt;&gt;0,AC2631/Z2631,"")</t>
  </si>
  <si>
    <t>=C2631</t>
  </si>
  <si>
    <t>=NL("Sum","5802 Value Entry","150 Sales Amount (Expected)","41 Source Type",$C$5,"5 Source No.",$C2632,"4 Item Ledger Entry Type",$C$4,"2 Item No.","@@"&amp;$F2632,"3 Posting Date",J$9)+NL("Sum","5802 Value Entry","17 Sales Amount (Actual)","41 Source Type",$C$5,"5 Source no.",$C2632,"4 Item Ledger Entry Type",$C$4,"2 Item No.","@@"&amp;$F2632,"3 Posting Date",J$9)</t>
  </si>
  <si>
    <t>=-NL("Sum","5802 Value Entry","151 Cost Amount (Expected)","41 Source Type",$C$5,"5 Source No.",$C2632,"4 Item Ledger Entry Type",$C$4,"2 Item No.","@@"&amp;$F2632,"3 Posting Date",J$9)-NL("Sum","5802 Value Entry","43 Cost Amount (Actual)","41 Source Type",$C$5,"5 Source no.",$C2632,"4 Item Ledger Entry Type",$C$4,"2 Item No.","@@"&amp;$F2632,"3 Posting Date",J$9)</t>
  </si>
  <si>
    <t>=J2632-L2632</t>
  </si>
  <si>
    <t>=IF(J2632&lt;&gt;0,M2632/J2632,"")</t>
  </si>
  <si>
    <t>=NL("Sum","5802 Value Entry","150 Sales Amount (Expected)","41 Source Type",$C$5,"5 Source No.",$C2632,"4 Item Ledger Entry Type",$C$4,"2 Item No.","@@"&amp;$F2632,"3 Posting Date",O$9)+NL("Sum","5802 Value Entry","17 Sales Amount (Actual)","41 Source Type",$C$5,"5 Source no.",$C2632,"4 Item Ledger Entry Type",$C$4,"2 Item No.","@@"&amp;$F2632,"3 Posting Date",O$9)</t>
  </si>
  <si>
    <t>=-NL("Sum","5802 Value Entry","151 Cost Amount (Expected)","41 Source Type",$C$5,"5 Source No.",$C2632,"4 Item Ledger Entry Type",$C$4,"2 Item No.","@@"&amp;$F2632,"3 Posting Date",O$9)-NL("Sum","5802 Value Entry","43 Cost Amount (Actual)","41 Source Type",$C$5,"5 Source no.",$C2632,"4 Item Ledger Entry Type",$C$4,"2 Item No.","@@"&amp;$F2632,"3 Posting Date",O$9)</t>
  </si>
  <si>
    <t>=O2632-Q2632</t>
  </si>
  <si>
    <t>=IF(O2632&lt;&gt;0,R2632/O2632,"")</t>
  </si>
  <si>
    <t>=NL("Sum","5802 Value Entry","150 Sales Amount (Expected)","41 Source Type",$C$5,"5 Source No.",$C2632,"4 Item Ledger Entry Type",$C$4,"2 Item No.","@@"&amp;$F2632,"3 Posting Date",U$9)+NL("Sum","5802 Value Entry","17 Sales Amount (Actual)","41 Source Type",$C$5,"5 Source no.",$C2632,"4 Item Ledger Entry Type",$C$4,"2 Item No.","@@"&amp;$F2632,"3 Posting Date",U$9)</t>
  </si>
  <si>
    <t>=-NL("Sum","5802 Value Entry","151 Cost Amount (Expected)","41 Source Type",$C$5,"5 Source No.",$C2632,"4 Item Ledger Entry Type",$C$4,"2 Item No.","@@"&amp;$F2632,"3 Posting Date",U$9)-NL("Sum","5802 Value Entry","43 Cost Amount (Actual)","41 Source Type",$C$5,"5 Source no.",$C2632,"4 Item Ledger Entry Type",$C$4,"2 Item No.","@@"&amp;$F2632,"3 Posting Date",U$9)</t>
  </si>
  <si>
    <t>=U2632-W2632</t>
  </si>
  <si>
    <t>=IF(U2632&lt;&gt;0,X2632/U2632,"")</t>
  </si>
  <si>
    <t>=NL("Sum","5802 Value Entry","150 Sales Amount (Expected)","41 Source Type",$C$5,"5 Source No.",$C2632,"4 Item Ledger Entry Type",$C$4,"2 Item No.","@@"&amp;$F2632,"3 Posting Date",Z$9)+NL("Sum","5802 Value Entry","17 Sales Amount (Actual)","41 Source Type",$C$5,"5 Source no.",$C2632,"4 Item Ledger Entry Type",$C$4,"2 Item No.","@@"&amp;$F2632,"3 Posting Date",Z$9)</t>
  </si>
  <si>
    <t>=-NL("Sum","5802 Value Entry","151 Cost Amount (Expected)","41 Source Type",$C$5,"5 Source No.",$C2632,"4 Item Ledger Entry Type",$C$4,"2 Item No.","@@"&amp;$F2632,"3 Posting Date",Z$9)-NL("Sum","5802 Value Entry","43 Cost Amount (Actual)","41 Source Type",$C$5,"5 Source no.",$C2632,"4 Item Ledger Entry Type",$C$4,"2 Item No.","@@"&amp;$F2632,"3 Posting Date",Z$9)</t>
  </si>
  <si>
    <t>=Z2632-AB2632</t>
  </si>
  <si>
    <t>=IF(Z2632&lt;&gt;0,AC2632/Z2632,"")</t>
  </si>
  <si>
    <t>=C2632</t>
  </si>
  <si>
    <t>=NL("Sum","5802 Value Entry","150 Sales Amount (Expected)","41 Source Type",$C$5,"5 Source No.",$C2633,"4 Item Ledger Entry Type",$C$4,"2 Item No.","@@"&amp;$F2633,"3 Posting Date",J$9)+NL("Sum","5802 Value Entry","17 Sales Amount (Actual)","41 Source Type",$C$5,"5 Source no.",$C2633,"4 Item Ledger Entry Type",$C$4,"2 Item No.","@@"&amp;$F2633,"3 Posting Date",J$9)</t>
  </si>
  <si>
    <t>=-NL("Sum","5802 Value Entry","151 Cost Amount (Expected)","41 Source Type",$C$5,"5 Source No.",$C2633,"4 Item Ledger Entry Type",$C$4,"2 Item No.","@@"&amp;$F2633,"3 Posting Date",J$9)-NL("Sum","5802 Value Entry","43 Cost Amount (Actual)","41 Source Type",$C$5,"5 Source no.",$C2633,"4 Item Ledger Entry Type",$C$4,"2 Item No.","@@"&amp;$F2633,"3 Posting Date",J$9)</t>
  </si>
  <si>
    <t>=J2633-L2633</t>
  </si>
  <si>
    <t>=IF(J2633&lt;&gt;0,M2633/J2633,"")</t>
  </si>
  <si>
    <t>=NL("Sum","5802 Value Entry","150 Sales Amount (Expected)","41 Source Type",$C$5,"5 Source No.",$C2633,"4 Item Ledger Entry Type",$C$4,"2 Item No.","@@"&amp;$F2633,"3 Posting Date",O$9)+NL("Sum","5802 Value Entry","17 Sales Amount (Actual)","41 Source Type",$C$5,"5 Source no.",$C2633,"4 Item Ledger Entry Type",$C$4,"2 Item No.","@@"&amp;$F2633,"3 Posting Date",O$9)</t>
  </si>
  <si>
    <t>=-NL("Sum","5802 Value Entry","151 Cost Amount (Expected)","41 Source Type",$C$5,"5 Source No.",$C2633,"4 Item Ledger Entry Type",$C$4,"2 Item No.","@@"&amp;$F2633,"3 Posting Date",O$9)-NL("Sum","5802 Value Entry","43 Cost Amount (Actual)","41 Source Type",$C$5,"5 Source no.",$C2633,"4 Item Ledger Entry Type",$C$4,"2 Item No.","@@"&amp;$F2633,"3 Posting Date",O$9)</t>
  </si>
  <si>
    <t>=O2633-Q2633</t>
  </si>
  <si>
    <t>=IF(O2633&lt;&gt;0,R2633/O2633,"")</t>
  </si>
  <si>
    <t>=NL("Sum","5802 Value Entry","150 Sales Amount (Expected)","41 Source Type",$C$5,"5 Source No.",$C2633,"4 Item Ledger Entry Type",$C$4,"2 Item No.","@@"&amp;$F2633,"3 Posting Date",U$9)+NL("Sum","5802 Value Entry","17 Sales Amount (Actual)","41 Source Type",$C$5,"5 Source no.",$C2633,"4 Item Ledger Entry Type",$C$4,"2 Item No.","@@"&amp;$F2633,"3 Posting Date",U$9)</t>
  </si>
  <si>
    <t>=-NL("Sum","5802 Value Entry","151 Cost Amount (Expected)","41 Source Type",$C$5,"5 Source No.",$C2633,"4 Item Ledger Entry Type",$C$4,"2 Item No.","@@"&amp;$F2633,"3 Posting Date",U$9)-NL("Sum","5802 Value Entry","43 Cost Amount (Actual)","41 Source Type",$C$5,"5 Source no.",$C2633,"4 Item Ledger Entry Type",$C$4,"2 Item No.","@@"&amp;$F2633,"3 Posting Date",U$9)</t>
  </si>
  <si>
    <t>=U2633-W2633</t>
  </si>
  <si>
    <t>=IF(U2633&lt;&gt;0,X2633/U2633,"")</t>
  </si>
  <si>
    <t>=NL("Sum","5802 Value Entry","150 Sales Amount (Expected)","41 Source Type",$C$5,"5 Source No.",$C2633,"4 Item Ledger Entry Type",$C$4,"2 Item No.","@@"&amp;$F2633,"3 Posting Date",Z$9)+NL("Sum","5802 Value Entry","17 Sales Amount (Actual)","41 Source Type",$C$5,"5 Source no.",$C2633,"4 Item Ledger Entry Type",$C$4,"2 Item No.","@@"&amp;$F2633,"3 Posting Date",Z$9)</t>
  </si>
  <si>
    <t>=-NL("Sum","5802 Value Entry","151 Cost Amount (Expected)","41 Source Type",$C$5,"5 Source No.",$C2633,"4 Item Ledger Entry Type",$C$4,"2 Item No.","@@"&amp;$F2633,"3 Posting Date",Z$9)-NL("Sum","5802 Value Entry","43 Cost Amount (Actual)","41 Source Type",$C$5,"5 Source no.",$C2633,"4 Item Ledger Entry Type",$C$4,"2 Item No.","@@"&amp;$F2633,"3 Posting Date",Z$9)</t>
  </si>
  <si>
    <t>=Z2633-AB2633</t>
  </si>
  <si>
    <t>=IF(Z2633&lt;&gt;0,AC2633/Z2633,"")</t>
  </si>
  <si>
    <t>=C2633</t>
  </si>
  <si>
    <t>=NL("Sum","5802 Value Entry","150 Sales Amount (Expected)","41 Source Type",$C$5,"5 Source No.",$C2634,"4 Item Ledger Entry Type",$C$4,"2 Item No.","@@"&amp;$F2634,"3 Posting Date",J$9)+NL("Sum","5802 Value Entry","17 Sales Amount (Actual)","41 Source Type",$C$5,"5 Source no.",$C2634,"4 Item Ledger Entry Type",$C$4,"2 Item No.","@@"&amp;$F2634,"3 Posting Date",J$9)</t>
  </si>
  <si>
    <t>=-NL("Sum","5802 Value Entry","151 Cost Amount (Expected)","41 Source Type",$C$5,"5 Source No.",$C2634,"4 Item Ledger Entry Type",$C$4,"2 Item No.","@@"&amp;$F2634,"3 Posting Date",J$9)-NL("Sum","5802 Value Entry","43 Cost Amount (Actual)","41 Source Type",$C$5,"5 Source no.",$C2634,"4 Item Ledger Entry Type",$C$4,"2 Item No.","@@"&amp;$F2634,"3 Posting Date",J$9)</t>
  </si>
  <si>
    <t>=J2634-L2634</t>
  </si>
  <si>
    <t>=IF(J2634&lt;&gt;0,M2634/J2634,"")</t>
  </si>
  <si>
    <t>=NL("Sum","5802 Value Entry","150 Sales Amount (Expected)","41 Source Type",$C$5,"5 Source No.",$C2634,"4 Item Ledger Entry Type",$C$4,"2 Item No.","@@"&amp;$F2634,"3 Posting Date",O$9)+NL("Sum","5802 Value Entry","17 Sales Amount (Actual)","41 Source Type",$C$5,"5 Source no.",$C2634,"4 Item Ledger Entry Type",$C$4,"2 Item No.","@@"&amp;$F2634,"3 Posting Date",O$9)</t>
  </si>
  <si>
    <t>=-NL("Sum","5802 Value Entry","151 Cost Amount (Expected)","41 Source Type",$C$5,"5 Source No.",$C2634,"4 Item Ledger Entry Type",$C$4,"2 Item No.","@@"&amp;$F2634,"3 Posting Date",O$9)-NL("Sum","5802 Value Entry","43 Cost Amount (Actual)","41 Source Type",$C$5,"5 Source no.",$C2634,"4 Item Ledger Entry Type",$C$4,"2 Item No.","@@"&amp;$F2634,"3 Posting Date",O$9)</t>
  </si>
  <si>
    <t>=O2634-Q2634</t>
  </si>
  <si>
    <t>=IF(O2634&lt;&gt;0,R2634/O2634,"")</t>
  </si>
  <si>
    <t>=NL("Sum","5802 Value Entry","150 Sales Amount (Expected)","41 Source Type",$C$5,"5 Source No.",$C2634,"4 Item Ledger Entry Type",$C$4,"2 Item No.","@@"&amp;$F2634,"3 Posting Date",U$9)+NL("Sum","5802 Value Entry","17 Sales Amount (Actual)","41 Source Type",$C$5,"5 Source no.",$C2634,"4 Item Ledger Entry Type",$C$4,"2 Item No.","@@"&amp;$F2634,"3 Posting Date",U$9)</t>
  </si>
  <si>
    <t>=-NL("Sum","5802 Value Entry","151 Cost Amount (Expected)","41 Source Type",$C$5,"5 Source No.",$C2634,"4 Item Ledger Entry Type",$C$4,"2 Item No.","@@"&amp;$F2634,"3 Posting Date",U$9)-NL("Sum","5802 Value Entry","43 Cost Amount (Actual)","41 Source Type",$C$5,"5 Source no.",$C2634,"4 Item Ledger Entry Type",$C$4,"2 Item No.","@@"&amp;$F2634,"3 Posting Date",U$9)</t>
  </si>
  <si>
    <t>=U2634-W2634</t>
  </si>
  <si>
    <t>=IF(U2634&lt;&gt;0,X2634/U2634,"")</t>
  </si>
  <si>
    <t>=NL("Sum","5802 Value Entry","150 Sales Amount (Expected)","41 Source Type",$C$5,"5 Source No.",$C2634,"4 Item Ledger Entry Type",$C$4,"2 Item No.","@@"&amp;$F2634,"3 Posting Date",Z$9)+NL("Sum","5802 Value Entry","17 Sales Amount (Actual)","41 Source Type",$C$5,"5 Source no.",$C2634,"4 Item Ledger Entry Type",$C$4,"2 Item No.","@@"&amp;$F2634,"3 Posting Date",Z$9)</t>
  </si>
  <si>
    <t>=-NL("Sum","5802 Value Entry","151 Cost Amount (Expected)","41 Source Type",$C$5,"5 Source No.",$C2634,"4 Item Ledger Entry Type",$C$4,"2 Item No.","@@"&amp;$F2634,"3 Posting Date",Z$9)-NL("Sum","5802 Value Entry","43 Cost Amount (Actual)","41 Source Type",$C$5,"5 Source no.",$C2634,"4 Item Ledger Entry Type",$C$4,"2 Item No.","@@"&amp;$F2634,"3 Posting Date",Z$9)</t>
  </si>
  <si>
    <t>=Z2634-AB2634</t>
  </si>
  <si>
    <t>=IF(Z2634&lt;&gt;0,AC2634/Z2634,"")</t>
  </si>
  <si>
    <t>=C2635</t>
  </si>
  <si>
    <t>=J2636-L2636</t>
  </si>
  <si>
    <t>=IF(J2636&lt;&gt;0,M2636/J2636,"")</t>
  </si>
  <si>
    <t>=O2636-Q2636</t>
  </si>
  <si>
    <t>=IF(O2636&lt;&gt;0,R2636/O2636,"")</t>
  </si>
  <si>
    <t>=U2636-W2636</t>
  </si>
  <si>
    <t>=IF(U2636&lt;&gt;0,X2636/U2636,"")</t>
  </si>
  <si>
    <t>=Z2636-AB2636</t>
  </si>
  <si>
    <t>=IF(Z2636&lt;&gt;0,AC2636/Z2636,"")</t>
  </si>
  <si>
    <t>=C2638</t>
  </si>
  <si>
    <t>=C2639</t>
  </si>
  <si>
    <t>=NL("Sum","5802 Value Entry","150 Sales Amount (Expected)","41 Source Type",$C$5,"5 Source No.",$C2640,"4 Item Ledger Entry Type",$C$4,"2 Item No.","@@"&amp;$F2640,"3 Posting Date",J$9)+NL("Sum","5802 Value Entry","17 Sales Amount (Actual)","41 Source Type",$C$5,"5 Source no.",$C2640,"4 Item Ledger Entry Type",$C$4,"2 Item No.","@@"&amp;$F2640,"3 Posting Date",J$9)</t>
  </si>
  <si>
    <t>=-NL("Sum","5802 Value Entry","151 Cost Amount (Expected)","41 Source Type",$C$5,"5 Source No.",$C2640,"4 Item Ledger Entry Type",$C$4,"2 Item No.","@@"&amp;$F2640,"3 Posting Date",J$9)-NL("Sum","5802 Value Entry","43 Cost Amount (Actual)","41 Source Type",$C$5,"5 Source no.",$C2640,"4 Item Ledger Entry Type",$C$4,"2 Item No.","@@"&amp;$F2640,"3 Posting Date",J$9)</t>
  </si>
  <si>
    <t>=J2640-L2640</t>
  </si>
  <si>
    <t>=IF(J2640&lt;&gt;0,M2640/J2640,"")</t>
  </si>
  <si>
    <t>=NL("Sum","5802 Value Entry","150 Sales Amount (Expected)","41 Source Type",$C$5,"5 Source No.",$C2640,"4 Item Ledger Entry Type",$C$4,"2 Item No.","@@"&amp;$F2640,"3 Posting Date",O$9)+NL("Sum","5802 Value Entry","17 Sales Amount (Actual)","41 Source Type",$C$5,"5 Source no.",$C2640,"4 Item Ledger Entry Type",$C$4,"2 Item No.","@@"&amp;$F2640,"3 Posting Date",O$9)</t>
  </si>
  <si>
    <t>=-NL("Sum","5802 Value Entry","151 Cost Amount (Expected)","41 Source Type",$C$5,"5 Source No.",$C2640,"4 Item Ledger Entry Type",$C$4,"2 Item No.","@@"&amp;$F2640,"3 Posting Date",O$9)-NL("Sum","5802 Value Entry","43 Cost Amount (Actual)","41 Source Type",$C$5,"5 Source no.",$C2640,"4 Item Ledger Entry Type",$C$4,"2 Item No.","@@"&amp;$F2640,"3 Posting Date",O$9)</t>
  </si>
  <si>
    <t>=O2640-Q2640</t>
  </si>
  <si>
    <t>=IF(O2640&lt;&gt;0,R2640/O2640,"")</t>
  </si>
  <si>
    <t>=NL("Sum","5802 Value Entry","150 Sales Amount (Expected)","41 Source Type",$C$5,"5 Source No.",$C2640,"4 Item Ledger Entry Type",$C$4,"2 Item No.","@@"&amp;$F2640,"3 Posting Date",U$9)+NL("Sum","5802 Value Entry","17 Sales Amount (Actual)","41 Source Type",$C$5,"5 Source no.",$C2640,"4 Item Ledger Entry Type",$C$4,"2 Item No.","@@"&amp;$F2640,"3 Posting Date",U$9)</t>
  </si>
  <si>
    <t>=-NL("Sum","5802 Value Entry","151 Cost Amount (Expected)","41 Source Type",$C$5,"5 Source No.",$C2640,"4 Item Ledger Entry Type",$C$4,"2 Item No.","@@"&amp;$F2640,"3 Posting Date",U$9)-NL("Sum","5802 Value Entry","43 Cost Amount (Actual)","41 Source Type",$C$5,"5 Source no.",$C2640,"4 Item Ledger Entry Type",$C$4,"2 Item No.","@@"&amp;$F2640,"3 Posting Date",U$9)</t>
  </si>
  <si>
    <t>=U2640-W2640</t>
  </si>
  <si>
    <t>=IF(U2640&lt;&gt;0,X2640/U2640,"")</t>
  </si>
  <si>
    <t>=NL("Sum","5802 Value Entry","150 Sales Amount (Expected)","41 Source Type",$C$5,"5 Source No.",$C2640,"4 Item Ledger Entry Type",$C$4,"2 Item No.","@@"&amp;$F2640,"3 Posting Date",Z$9)+NL("Sum","5802 Value Entry","17 Sales Amount (Actual)","41 Source Type",$C$5,"5 Source no.",$C2640,"4 Item Ledger Entry Type",$C$4,"2 Item No.","@@"&amp;$F2640,"3 Posting Date",Z$9)</t>
  </si>
  <si>
    <t>=-NL("Sum","5802 Value Entry","151 Cost Amount (Expected)","41 Source Type",$C$5,"5 Source No.",$C2640,"4 Item Ledger Entry Type",$C$4,"2 Item No.","@@"&amp;$F2640,"3 Posting Date",Z$9)-NL("Sum","5802 Value Entry","43 Cost Amount (Actual)","41 Source Type",$C$5,"5 Source no.",$C2640,"4 Item Ledger Entry Type",$C$4,"2 Item No.","@@"&amp;$F2640,"3 Posting Date",Z$9)</t>
  </si>
  <si>
    <t>=Z2640-AB2640</t>
  </si>
  <si>
    <t>=IF(Z2640&lt;&gt;0,AC2640/Z2640,"")</t>
  </si>
  <si>
    <t>=C2640</t>
  </si>
  <si>
    <t>=NL("Sum","5802 Value Entry","150 Sales Amount (Expected)","41 Source Type",$C$5,"5 Source No.",$C2641,"4 Item Ledger Entry Type",$C$4,"2 Item No.","@@"&amp;$F2641,"3 Posting Date",J$9)+NL("Sum","5802 Value Entry","17 Sales Amount (Actual)","41 Source Type",$C$5,"5 Source no.",$C2641,"4 Item Ledger Entry Type",$C$4,"2 Item No.","@@"&amp;$F2641,"3 Posting Date",J$9)</t>
  </si>
  <si>
    <t>=-NL("Sum","5802 Value Entry","151 Cost Amount (Expected)","41 Source Type",$C$5,"5 Source No.",$C2641,"4 Item Ledger Entry Type",$C$4,"2 Item No.","@@"&amp;$F2641,"3 Posting Date",J$9)-NL("Sum","5802 Value Entry","43 Cost Amount (Actual)","41 Source Type",$C$5,"5 Source no.",$C2641,"4 Item Ledger Entry Type",$C$4,"2 Item No.","@@"&amp;$F2641,"3 Posting Date",J$9)</t>
  </si>
  <si>
    <t>=J2641-L2641</t>
  </si>
  <si>
    <t>=IF(J2641&lt;&gt;0,M2641/J2641,"")</t>
  </si>
  <si>
    <t>=NL("Sum","5802 Value Entry","150 Sales Amount (Expected)","41 Source Type",$C$5,"5 Source No.",$C2641,"4 Item Ledger Entry Type",$C$4,"2 Item No.","@@"&amp;$F2641,"3 Posting Date",O$9)+NL("Sum","5802 Value Entry","17 Sales Amount (Actual)","41 Source Type",$C$5,"5 Source no.",$C2641,"4 Item Ledger Entry Type",$C$4,"2 Item No.","@@"&amp;$F2641,"3 Posting Date",O$9)</t>
  </si>
  <si>
    <t>=-NL("Sum","5802 Value Entry","151 Cost Amount (Expected)","41 Source Type",$C$5,"5 Source No.",$C2641,"4 Item Ledger Entry Type",$C$4,"2 Item No.","@@"&amp;$F2641,"3 Posting Date",O$9)-NL("Sum","5802 Value Entry","43 Cost Amount (Actual)","41 Source Type",$C$5,"5 Source no.",$C2641,"4 Item Ledger Entry Type",$C$4,"2 Item No.","@@"&amp;$F2641,"3 Posting Date",O$9)</t>
  </si>
  <si>
    <t>=O2641-Q2641</t>
  </si>
  <si>
    <t>=IF(O2641&lt;&gt;0,R2641/O2641,"")</t>
  </si>
  <si>
    <t>=NL("Sum","5802 Value Entry","150 Sales Amount (Expected)","41 Source Type",$C$5,"5 Source No.",$C2641,"4 Item Ledger Entry Type",$C$4,"2 Item No.","@@"&amp;$F2641,"3 Posting Date",U$9)+NL("Sum","5802 Value Entry","17 Sales Amount (Actual)","41 Source Type",$C$5,"5 Source no.",$C2641,"4 Item Ledger Entry Type",$C$4,"2 Item No.","@@"&amp;$F2641,"3 Posting Date",U$9)</t>
  </si>
  <si>
    <t>=-NL("Sum","5802 Value Entry","151 Cost Amount (Expected)","41 Source Type",$C$5,"5 Source No.",$C2641,"4 Item Ledger Entry Type",$C$4,"2 Item No.","@@"&amp;$F2641,"3 Posting Date",U$9)-NL("Sum","5802 Value Entry","43 Cost Amount (Actual)","41 Source Type",$C$5,"5 Source no.",$C2641,"4 Item Ledger Entry Type",$C$4,"2 Item No.","@@"&amp;$F2641,"3 Posting Date",U$9)</t>
  </si>
  <si>
    <t>=U2641-W2641</t>
  </si>
  <si>
    <t>=IF(U2641&lt;&gt;0,X2641/U2641,"")</t>
  </si>
  <si>
    <t>=NL("Sum","5802 Value Entry","150 Sales Amount (Expected)","41 Source Type",$C$5,"5 Source No.",$C2641,"4 Item Ledger Entry Type",$C$4,"2 Item No.","@@"&amp;$F2641,"3 Posting Date",Z$9)+NL("Sum","5802 Value Entry","17 Sales Amount (Actual)","41 Source Type",$C$5,"5 Source no.",$C2641,"4 Item Ledger Entry Type",$C$4,"2 Item No.","@@"&amp;$F2641,"3 Posting Date",Z$9)</t>
  </si>
  <si>
    <t>=-NL("Sum","5802 Value Entry","151 Cost Amount (Expected)","41 Source Type",$C$5,"5 Source No.",$C2641,"4 Item Ledger Entry Type",$C$4,"2 Item No.","@@"&amp;$F2641,"3 Posting Date",Z$9)-NL("Sum","5802 Value Entry","43 Cost Amount (Actual)","41 Source Type",$C$5,"5 Source no.",$C2641,"4 Item Ledger Entry Type",$C$4,"2 Item No.","@@"&amp;$F2641,"3 Posting Date",Z$9)</t>
  </si>
  <si>
    <t>=Z2641-AB2641</t>
  </si>
  <si>
    <t>=IF(Z2641&lt;&gt;0,AC2641/Z2641,"")</t>
  </si>
  <si>
    <t>=C2641</t>
  </si>
  <si>
    <t>=NL("Sum","5802 Value Entry","150 Sales Amount (Expected)","41 Source Type",$C$5,"5 Source No.",$C2642,"4 Item Ledger Entry Type",$C$4,"2 Item No.","@@"&amp;$F2642,"3 Posting Date",J$9)+NL("Sum","5802 Value Entry","17 Sales Amount (Actual)","41 Source Type",$C$5,"5 Source no.",$C2642,"4 Item Ledger Entry Type",$C$4,"2 Item No.","@@"&amp;$F2642,"3 Posting Date",J$9)</t>
  </si>
  <si>
    <t>=-NL("Sum","5802 Value Entry","151 Cost Amount (Expected)","41 Source Type",$C$5,"5 Source No.",$C2642,"4 Item Ledger Entry Type",$C$4,"2 Item No.","@@"&amp;$F2642,"3 Posting Date",J$9)-NL("Sum","5802 Value Entry","43 Cost Amount (Actual)","41 Source Type",$C$5,"5 Source no.",$C2642,"4 Item Ledger Entry Type",$C$4,"2 Item No.","@@"&amp;$F2642,"3 Posting Date",J$9)</t>
  </si>
  <si>
    <t>=J2642-L2642</t>
  </si>
  <si>
    <t>=IF(J2642&lt;&gt;0,M2642/J2642,"")</t>
  </si>
  <si>
    <t>=NL("Sum","5802 Value Entry","150 Sales Amount (Expected)","41 Source Type",$C$5,"5 Source No.",$C2642,"4 Item Ledger Entry Type",$C$4,"2 Item No.","@@"&amp;$F2642,"3 Posting Date",O$9)+NL("Sum","5802 Value Entry","17 Sales Amount (Actual)","41 Source Type",$C$5,"5 Source no.",$C2642,"4 Item Ledger Entry Type",$C$4,"2 Item No.","@@"&amp;$F2642,"3 Posting Date",O$9)</t>
  </si>
  <si>
    <t>=-NL("Sum","5802 Value Entry","151 Cost Amount (Expected)","41 Source Type",$C$5,"5 Source No.",$C2642,"4 Item Ledger Entry Type",$C$4,"2 Item No.","@@"&amp;$F2642,"3 Posting Date",O$9)-NL("Sum","5802 Value Entry","43 Cost Amount (Actual)","41 Source Type",$C$5,"5 Source no.",$C2642,"4 Item Ledger Entry Type",$C$4,"2 Item No.","@@"&amp;$F2642,"3 Posting Date",O$9)</t>
  </si>
  <si>
    <t>=O2642-Q2642</t>
  </si>
  <si>
    <t>=IF(O2642&lt;&gt;0,R2642/O2642,"")</t>
  </si>
  <si>
    <t>=NL("Sum","5802 Value Entry","150 Sales Amount (Expected)","41 Source Type",$C$5,"5 Source No.",$C2642,"4 Item Ledger Entry Type",$C$4,"2 Item No.","@@"&amp;$F2642,"3 Posting Date",U$9)+NL("Sum","5802 Value Entry","17 Sales Amount (Actual)","41 Source Type",$C$5,"5 Source no.",$C2642,"4 Item Ledger Entry Type",$C$4,"2 Item No.","@@"&amp;$F2642,"3 Posting Date",U$9)</t>
  </si>
  <si>
    <t>=-NL("Sum","5802 Value Entry","151 Cost Amount (Expected)","41 Source Type",$C$5,"5 Source No.",$C2642,"4 Item Ledger Entry Type",$C$4,"2 Item No.","@@"&amp;$F2642,"3 Posting Date",U$9)-NL("Sum","5802 Value Entry","43 Cost Amount (Actual)","41 Source Type",$C$5,"5 Source no.",$C2642,"4 Item Ledger Entry Type",$C$4,"2 Item No.","@@"&amp;$F2642,"3 Posting Date",U$9)</t>
  </si>
  <si>
    <t>=U2642-W2642</t>
  </si>
  <si>
    <t>=IF(U2642&lt;&gt;0,X2642/U2642,"")</t>
  </si>
  <si>
    <t>=NL("Sum","5802 Value Entry","150 Sales Amount (Expected)","41 Source Type",$C$5,"5 Source No.",$C2642,"4 Item Ledger Entry Type",$C$4,"2 Item No.","@@"&amp;$F2642,"3 Posting Date",Z$9)+NL("Sum","5802 Value Entry","17 Sales Amount (Actual)","41 Source Type",$C$5,"5 Source no.",$C2642,"4 Item Ledger Entry Type",$C$4,"2 Item No.","@@"&amp;$F2642,"3 Posting Date",Z$9)</t>
  </si>
  <si>
    <t>=-NL("Sum","5802 Value Entry","151 Cost Amount (Expected)","41 Source Type",$C$5,"5 Source No.",$C2642,"4 Item Ledger Entry Type",$C$4,"2 Item No.","@@"&amp;$F2642,"3 Posting Date",Z$9)-NL("Sum","5802 Value Entry","43 Cost Amount (Actual)","41 Source Type",$C$5,"5 Source no.",$C2642,"4 Item Ledger Entry Type",$C$4,"2 Item No.","@@"&amp;$F2642,"3 Posting Date",Z$9)</t>
  </si>
  <si>
    <t>=Z2642-AB2642</t>
  </si>
  <si>
    <t>=IF(Z2642&lt;&gt;0,AC2642/Z2642,"")</t>
  </si>
  <si>
    <t>=C2642</t>
  </si>
  <si>
    <t>=NL("Sum","5802 Value Entry","150 Sales Amount (Expected)","41 Source Type",$C$5,"5 Source No.",$C2643,"4 Item Ledger Entry Type",$C$4,"2 Item No.","@@"&amp;$F2643,"3 Posting Date",J$9)+NL("Sum","5802 Value Entry","17 Sales Amount (Actual)","41 Source Type",$C$5,"5 Source no.",$C2643,"4 Item Ledger Entry Type",$C$4,"2 Item No.","@@"&amp;$F2643,"3 Posting Date",J$9)</t>
  </si>
  <si>
    <t>=-NL("Sum","5802 Value Entry","151 Cost Amount (Expected)","41 Source Type",$C$5,"5 Source No.",$C2643,"4 Item Ledger Entry Type",$C$4,"2 Item No.","@@"&amp;$F2643,"3 Posting Date",J$9)-NL("Sum","5802 Value Entry","43 Cost Amount (Actual)","41 Source Type",$C$5,"5 Source no.",$C2643,"4 Item Ledger Entry Type",$C$4,"2 Item No.","@@"&amp;$F2643,"3 Posting Date",J$9)</t>
  </si>
  <si>
    <t>=J2643-L2643</t>
  </si>
  <si>
    <t>=IF(J2643&lt;&gt;0,M2643/J2643,"")</t>
  </si>
  <si>
    <t>=NL("Sum","5802 Value Entry","150 Sales Amount (Expected)","41 Source Type",$C$5,"5 Source No.",$C2643,"4 Item Ledger Entry Type",$C$4,"2 Item No.","@@"&amp;$F2643,"3 Posting Date",O$9)+NL("Sum","5802 Value Entry","17 Sales Amount (Actual)","41 Source Type",$C$5,"5 Source no.",$C2643,"4 Item Ledger Entry Type",$C$4,"2 Item No.","@@"&amp;$F2643,"3 Posting Date",O$9)</t>
  </si>
  <si>
    <t>=-NL("Sum","5802 Value Entry","151 Cost Amount (Expected)","41 Source Type",$C$5,"5 Source No.",$C2643,"4 Item Ledger Entry Type",$C$4,"2 Item No.","@@"&amp;$F2643,"3 Posting Date",O$9)-NL("Sum","5802 Value Entry","43 Cost Amount (Actual)","41 Source Type",$C$5,"5 Source no.",$C2643,"4 Item Ledger Entry Type",$C$4,"2 Item No.","@@"&amp;$F2643,"3 Posting Date",O$9)</t>
  </si>
  <si>
    <t>=O2643-Q2643</t>
  </si>
  <si>
    <t>=IF(O2643&lt;&gt;0,R2643/O2643,"")</t>
  </si>
  <si>
    <t>=NL("Sum","5802 Value Entry","150 Sales Amount (Expected)","41 Source Type",$C$5,"5 Source No.",$C2643,"4 Item Ledger Entry Type",$C$4,"2 Item No.","@@"&amp;$F2643,"3 Posting Date",U$9)+NL("Sum","5802 Value Entry","17 Sales Amount (Actual)","41 Source Type",$C$5,"5 Source no.",$C2643,"4 Item Ledger Entry Type",$C$4,"2 Item No.","@@"&amp;$F2643,"3 Posting Date",U$9)</t>
  </si>
  <si>
    <t>=-NL("Sum","5802 Value Entry","151 Cost Amount (Expected)","41 Source Type",$C$5,"5 Source No.",$C2643,"4 Item Ledger Entry Type",$C$4,"2 Item No.","@@"&amp;$F2643,"3 Posting Date",U$9)-NL("Sum","5802 Value Entry","43 Cost Amount (Actual)","41 Source Type",$C$5,"5 Source no.",$C2643,"4 Item Ledger Entry Type",$C$4,"2 Item No.","@@"&amp;$F2643,"3 Posting Date",U$9)</t>
  </si>
  <si>
    <t>=U2643-W2643</t>
  </si>
  <si>
    <t>=IF(U2643&lt;&gt;0,X2643/U2643,"")</t>
  </si>
  <si>
    <t>=NL("Sum","5802 Value Entry","150 Sales Amount (Expected)","41 Source Type",$C$5,"5 Source No.",$C2643,"4 Item Ledger Entry Type",$C$4,"2 Item No.","@@"&amp;$F2643,"3 Posting Date",Z$9)+NL("Sum","5802 Value Entry","17 Sales Amount (Actual)","41 Source Type",$C$5,"5 Source no.",$C2643,"4 Item Ledger Entry Type",$C$4,"2 Item No.","@@"&amp;$F2643,"3 Posting Date",Z$9)</t>
  </si>
  <si>
    <t>=-NL("Sum","5802 Value Entry","151 Cost Amount (Expected)","41 Source Type",$C$5,"5 Source No.",$C2643,"4 Item Ledger Entry Type",$C$4,"2 Item No.","@@"&amp;$F2643,"3 Posting Date",Z$9)-NL("Sum","5802 Value Entry","43 Cost Amount (Actual)","41 Source Type",$C$5,"5 Source no.",$C2643,"4 Item Ledger Entry Type",$C$4,"2 Item No.","@@"&amp;$F2643,"3 Posting Date",Z$9)</t>
  </si>
  <si>
    <t>=Z2643-AB2643</t>
  </si>
  <si>
    <t>=IF(Z2643&lt;&gt;0,AC2643/Z2643,"")</t>
  </si>
  <si>
    <t>=C2643</t>
  </si>
  <si>
    <t>=NL("Sum","5802 Value Entry","150 Sales Amount (Expected)","41 Source Type",$C$5,"5 Source No.",$C2644,"4 Item Ledger Entry Type",$C$4,"2 Item No.","@@"&amp;$F2644,"3 Posting Date",J$9)+NL("Sum","5802 Value Entry","17 Sales Amount (Actual)","41 Source Type",$C$5,"5 Source no.",$C2644,"4 Item Ledger Entry Type",$C$4,"2 Item No.","@@"&amp;$F2644,"3 Posting Date",J$9)</t>
  </si>
  <si>
    <t>=-NL("Sum","5802 Value Entry","151 Cost Amount (Expected)","41 Source Type",$C$5,"5 Source No.",$C2644,"4 Item Ledger Entry Type",$C$4,"2 Item No.","@@"&amp;$F2644,"3 Posting Date",J$9)-NL("Sum","5802 Value Entry","43 Cost Amount (Actual)","41 Source Type",$C$5,"5 Source no.",$C2644,"4 Item Ledger Entry Type",$C$4,"2 Item No.","@@"&amp;$F2644,"3 Posting Date",J$9)</t>
  </si>
  <si>
    <t>=J2644-L2644</t>
  </si>
  <si>
    <t>=IF(J2644&lt;&gt;0,M2644/J2644,"")</t>
  </si>
  <si>
    <t>=NL("Sum","5802 Value Entry","150 Sales Amount (Expected)","41 Source Type",$C$5,"5 Source No.",$C2644,"4 Item Ledger Entry Type",$C$4,"2 Item No.","@@"&amp;$F2644,"3 Posting Date",O$9)+NL("Sum","5802 Value Entry","17 Sales Amount (Actual)","41 Source Type",$C$5,"5 Source no.",$C2644,"4 Item Ledger Entry Type",$C$4,"2 Item No.","@@"&amp;$F2644,"3 Posting Date",O$9)</t>
  </si>
  <si>
    <t>=-NL("Sum","5802 Value Entry","151 Cost Amount (Expected)","41 Source Type",$C$5,"5 Source No.",$C2644,"4 Item Ledger Entry Type",$C$4,"2 Item No.","@@"&amp;$F2644,"3 Posting Date",O$9)-NL("Sum","5802 Value Entry","43 Cost Amount (Actual)","41 Source Type",$C$5,"5 Source no.",$C2644,"4 Item Ledger Entry Type",$C$4,"2 Item No.","@@"&amp;$F2644,"3 Posting Date",O$9)</t>
  </si>
  <si>
    <t>=O2644-Q2644</t>
  </si>
  <si>
    <t>=IF(O2644&lt;&gt;0,R2644/O2644,"")</t>
  </si>
  <si>
    <t>=NL("Sum","5802 Value Entry","150 Sales Amount (Expected)","41 Source Type",$C$5,"5 Source No.",$C2644,"4 Item Ledger Entry Type",$C$4,"2 Item No.","@@"&amp;$F2644,"3 Posting Date",U$9)+NL("Sum","5802 Value Entry","17 Sales Amount (Actual)","41 Source Type",$C$5,"5 Source no.",$C2644,"4 Item Ledger Entry Type",$C$4,"2 Item No.","@@"&amp;$F2644,"3 Posting Date",U$9)</t>
  </si>
  <si>
    <t>=-NL("Sum","5802 Value Entry","151 Cost Amount (Expected)","41 Source Type",$C$5,"5 Source No.",$C2644,"4 Item Ledger Entry Type",$C$4,"2 Item No.","@@"&amp;$F2644,"3 Posting Date",U$9)-NL("Sum","5802 Value Entry","43 Cost Amount (Actual)","41 Source Type",$C$5,"5 Source no.",$C2644,"4 Item Ledger Entry Type",$C$4,"2 Item No.","@@"&amp;$F2644,"3 Posting Date",U$9)</t>
  </si>
  <si>
    <t>=U2644-W2644</t>
  </si>
  <si>
    <t>=IF(U2644&lt;&gt;0,X2644/U2644,"")</t>
  </si>
  <si>
    <t>=NL("Sum","5802 Value Entry","150 Sales Amount (Expected)","41 Source Type",$C$5,"5 Source No.",$C2644,"4 Item Ledger Entry Type",$C$4,"2 Item No.","@@"&amp;$F2644,"3 Posting Date",Z$9)+NL("Sum","5802 Value Entry","17 Sales Amount (Actual)","41 Source Type",$C$5,"5 Source no.",$C2644,"4 Item Ledger Entry Type",$C$4,"2 Item No.","@@"&amp;$F2644,"3 Posting Date",Z$9)</t>
  </si>
  <si>
    <t>=-NL("Sum","5802 Value Entry","151 Cost Amount (Expected)","41 Source Type",$C$5,"5 Source No.",$C2644,"4 Item Ledger Entry Type",$C$4,"2 Item No.","@@"&amp;$F2644,"3 Posting Date",Z$9)-NL("Sum","5802 Value Entry","43 Cost Amount (Actual)","41 Source Type",$C$5,"5 Source no.",$C2644,"4 Item Ledger Entry Type",$C$4,"2 Item No.","@@"&amp;$F2644,"3 Posting Date",Z$9)</t>
  </si>
  <si>
    <t>=Z2644-AB2644</t>
  </si>
  <si>
    <t>=IF(Z2644&lt;&gt;0,AC2644/Z2644,"")</t>
  </si>
  <si>
    <t>=C2644</t>
  </si>
  <si>
    <t>=NL("Sum","5802 Value Entry","150 Sales Amount (Expected)","41 Source Type",$C$5,"5 Source No.",$C2645,"4 Item Ledger Entry Type",$C$4,"2 Item No.","@@"&amp;$F2645,"3 Posting Date",J$9)+NL("Sum","5802 Value Entry","17 Sales Amount (Actual)","41 Source Type",$C$5,"5 Source no.",$C2645,"4 Item Ledger Entry Type",$C$4,"2 Item No.","@@"&amp;$F2645,"3 Posting Date",J$9)</t>
  </si>
  <si>
    <t>=-NL("Sum","5802 Value Entry","151 Cost Amount (Expected)","41 Source Type",$C$5,"5 Source No.",$C2645,"4 Item Ledger Entry Type",$C$4,"2 Item No.","@@"&amp;$F2645,"3 Posting Date",J$9)-NL("Sum","5802 Value Entry","43 Cost Amount (Actual)","41 Source Type",$C$5,"5 Source no.",$C2645,"4 Item Ledger Entry Type",$C$4,"2 Item No.","@@"&amp;$F2645,"3 Posting Date",J$9)</t>
  </si>
  <si>
    <t>=J2645-L2645</t>
  </si>
  <si>
    <t>=IF(J2645&lt;&gt;0,M2645/J2645,"")</t>
  </si>
  <si>
    <t>=NL("Sum","5802 Value Entry","150 Sales Amount (Expected)","41 Source Type",$C$5,"5 Source No.",$C2645,"4 Item Ledger Entry Type",$C$4,"2 Item No.","@@"&amp;$F2645,"3 Posting Date",O$9)+NL("Sum","5802 Value Entry","17 Sales Amount (Actual)","41 Source Type",$C$5,"5 Source no.",$C2645,"4 Item Ledger Entry Type",$C$4,"2 Item No.","@@"&amp;$F2645,"3 Posting Date",O$9)</t>
  </si>
  <si>
    <t>=-NL("Sum","5802 Value Entry","151 Cost Amount (Expected)","41 Source Type",$C$5,"5 Source No.",$C2645,"4 Item Ledger Entry Type",$C$4,"2 Item No.","@@"&amp;$F2645,"3 Posting Date",O$9)-NL("Sum","5802 Value Entry","43 Cost Amount (Actual)","41 Source Type",$C$5,"5 Source no.",$C2645,"4 Item Ledger Entry Type",$C$4,"2 Item No.","@@"&amp;$F2645,"3 Posting Date",O$9)</t>
  </si>
  <si>
    <t>=O2645-Q2645</t>
  </si>
  <si>
    <t>=IF(O2645&lt;&gt;0,R2645/O2645,"")</t>
  </si>
  <si>
    <t>=NL("Sum","5802 Value Entry","150 Sales Amount (Expected)","41 Source Type",$C$5,"5 Source No.",$C2645,"4 Item Ledger Entry Type",$C$4,"2 Item No.","@@"&amp;$F2645,"3 Posting Date",U$9)+NL("Sum","5802 Value Entry","17 Sales Amount (Actual)","41 Source Type",$C$5,"5 Source no.",$C2645,"4 Item Ledger Entry Type",$C$4,"2 Item No.","@@"&amp;$F2645,"3 Posting Date",U$9)</t>
  </si>
  <si>
    <t>=-NL("Sum","5802 Value Entry","151 Cost Amount (Expected)","41 Source Type",$C$5,"5 Source No.",$C2645,"4 Item Ledger Entry Type",$C$4,"2 Item No.","@@"&amp;$F2645,"3 Posting Date",U$9)-NL("Sum","5802 Value Entry","43 Cost Amount (Actual)","41 Source Type",$C$5,"5 Source no.",$C2645,"4 Item Ledger Entry Type",$C$4,"2 Item No.","@@"&amp;$F2645,"3 Posting Date",U$9)</t>
  </si>
  <si>
    <t>=U2645-W2645</t>
  </si>
  <si>
    <t>=IF(U2645&lt;&gt;0,X2645/U2645,"")</t>
  </si>
  <si>
    <t>=NL("Sum","5802 Value Entry","150 Sales Amount (Expected)","41 Source Type",$C$5,"5 Source No.",$C2645,"4 Item Ledger Entry Type",$C$4,"2 Item No.","@@"&amp;$F2645,"3 Posting Date",Z$9)+NL("Sum","5802 Value Entry","17 Sales Amount (Actual)","41 Source Type",$C$5,"5 Source no.",$C2645,"4 Item Ledger Entry Type",$C$4,"2 Item No.","@@"&amp;$F2645,"3 Posting Date",Z$9)</t>
  </si>
  <si>
    <t>=-NL("Sum","5802 Value Entry","151 Cost Amount (Expected)","41 Source Type",$C$5,"5 Source No.",$C2645,"4 Item Ledger Entry Type",$C$4,"2 Item No.","@@"&amp;$F2645,"3 Posting Date",Z$9)-NL("Sum","5802 Value Entry","43 Cost Amount (Actual)","41 Source Type",$C$5,"5 Source no.",$C2645,"4 Item Ledger Entry Type",$C$4,"2 Item No.","@@"&amp;$F2645,"3 Posting Date",Z$9)</t>
  </si>
  <si>
    <t>=Z2645-AB2645</t>
  </si>
  <si>
    <t>=IF(Z2645&lt;&gt;0,AC2645/Z2645,"")</t>
  </si>
  <si>
    <t>=C2645</t>
  </si>
  <si>
    <t>=NL("Sum","5802 Value Entry","150 Sales Amount (Expected)","41 Source Type",$C$5,"5 Source No.",$C2646,"4 Item Ledger Entry Type",$C$4,"2 Item No.","@@"&amp;$F2646,"3 Posting Date",J$9)+NL("Sum","5802 Value Entry","17 Sales Amount (Actual)","41 Source Type",$C$5,"5 Source no.",$C2646,"4 Item Ledger Entry Type",$C$4,"2 Item No.","@@"&amp;$F2646,"3 Posting Date",J$9)</t>
  </si>
  <si>
    <t>=-NL("Sum","5802 Value Entry","151 Cost Amount (Expected)","41 Source Type",$C$5,"5 Source No.",$C2646,"4 Item Ledger Entry Type",$C$4,"2 Item No.","@@"&amp;$F2646,"3 Posting Date",J$9)-NL("Sum","5802 Value Entry","43 Cost Amount (Actual)","41 Source Type",$C$5,"5 Source no.",$C2646,"4 Item Ledger Entry Type",$C$4,"2 Item No.","@@"&amp;$F2646,"3 Posting Date",J$9)</t>
  </si>
  <si>
    <t>=J2646-L2646</t>
  </si>
  <si>
    <t>=IF(J2646&lt;&gt;0,M2646/J2646,"")</t>
  </si>
  <si>
    <t>=NL("Sum","5802 Value Entry","150 Sales Amount (Expected)","41 Source Type",$C$5,"5 Source No.",$C2646,"4 Item Ledger Entry Type",$C$4,"2 Item No.","@@"&amp;$F2646,"3 Posting Date",O$9)+NL("Sum","5802 Value Entry","17 Sales Amount (Actual)","41 Source Type",$C$5,"5 Source no.",$C2646,"4 Item Ledger Entry Type",$C$4,"2 Item No.","@@"&amp;$F2646,"3 Posting Date",O$9)</t>
  </si>
  <si>
    <t>=-NL("Sum","5802 Value Entry","151 Cost Amount (Expected)","41 Source Type",$C$5,"5 Source No.",$C2646,"4 Item Ledger Entry Type",$C$4,"2 Item No.","@@"&amp;$F2646,"3 Posting Date",O$9)-NL("Sum","5802 Value Entry","43 Cost Amount (Actual)","41 Source Type",$C$5,"5 Source no.",$C2646,"4 Item Ledger Entry Type",$C$4,"2 Item No.","@@"&amp;$F2646,"3 Posting Date",O$9)</t>
  </si>
  <si>
    <t>=O2646-Q2646</t>
  </si>
  <si>
    <t>=IF(O2646&lt;&gt;0,R2646/O2646,"")</t>
  </si>
  <si>
    <t>=NL("Sum","5802 Value Entry","150 Sales Amount (Expected)","41 Source Type",$C$5,"5 Source No.",$C2646,"4 Item Ledger Entry Type",$C$4,"2 Item No.","@@"&amp;$F2646,"3 Posting Date",U$9)+NL("Sum","5802 Value Entry","17 Sales Amount (Actual)","41 Source Type",$C$5,"5 Source no.",$C2646,"4 Item Ledger Entry Type",$C$4,"2 Item No.","@@"&amp;$F2646,"3 Posting Date",U$9)</t>
  </si>
  <si>
    <t>=-NL("Sum","5802 Value Entry","151 Cost Amount (Expected)","41 Source Type",$C$5,"5 Source No.",$C2646,"4 Item Ledger Entry Type",$C$4,"2 Item No.","@@"&amp;$F2646,"3 Posting Date",U$9)-NL("Sum","5802 Value Entry","43 Cost Amount (Actual)","41 Source Type",$C$5,"5 Source no.",$C2646,"4 Item Ledger Entry Type",$C$4,"2 Item No.","@@"&amp;$F2646,"3 Posting Date",U$9)</t>
  </si>
  <si>
    <t>=U2646-W2646</t>
  </si>
  <si>
    <t>=IF(U2646&lt;&gt;0,X2646/U2646,"")</t>
  </si>
  <si>
    <t>=NL("Sum","5802 Value Entry","150 Sales Amount (Expected)","41 Source Type",$C$5,"5 Source No.",$C2646,"4 Item Ledger Entry Type",$C$4,"2 Item No.","@@"&amp;$F2646,"3 Posting Date",Z$9)+NL("Sum","5802 Value Entry","17 Sales Amount (Actual)","41 Source Type",$C$5,"5 Source no.",$C2646,"4 Item Ledger Entry Type",$C$4,"2 Item No.","@@"&amp;$F2646,"3 Posting Date",Z$9)</t>
  </si>
  <si>
    <t>=-NL("Sum","5802 Value Entry","151 Cost Amount (Expected)","41 Source Type",$C$5,"5 Source No.",$C2646,"4 Item Ledger Entry Type",$C$4,"2 Item No.","@@"&amp;$F2646,"3 Posting Date",Z$9)-NL("Sum","5802 Value Entry","43 Cost Amount (Actual)","41 Source Type",$C$5,"5 Source no.",$C2646,"4 Item Ledger Entry Type",$C$4,"2 Item No.","@@"&amp;$F2646,"3 Posting Date",Z$9)</t>
  </si>
  <si>
    <t>=Z2646-AB2646</t>
  </si>
  <si>
    <t>=IF(Z2646&lt;&gt;0,AC2646/Z2646,"")</t>
  </si>
  <si>
    <t>=C2646</t>
  </si>
  <si>
    <t>=NL("Sum","5802 Value Entry","150 Sales Amount (Expected)","41 Source Type",$C$5,"5 Source No.",$C2647,"4 Item Ledger Entry Type",$C$4,"2 Item No.","@@"&amp;$F2647,"3 Posting Date",J$9)+NL("Sum","5802 Value Entry","17 Sales Amount (Actual)","41 Source Type",$C$5,"5 Source no.",$C2647,"4 Item Ledger Entry Type",$C$4,"2 Item No.","@@"&amp;$F2647,"3 Posting Date",J$9)</t>
  </si>
  <si>
    <t>=-NL("Sum","5802 Value Entry","151 Cost Amount (Expected)","41 Source Type",$C$5,"5 Source No.",$C2647,"4 Item Ledger Entry Type",$C$4,"2 Item No.","@@"&amp;$F2647,"3 Posting Date",J$9)-NL("Sum","5802 Value Entry","43 Cost Amount (Actual)","41 Source Type",$C$5,"5 Source no.",$C2647,"4 Item Ledger Entry Type",$C$4,"2 Item No.","@@"&amp;$F2647,"3 Posting Date",J$9)</t>
  </si>
  <si>
    <t>=J2647-L2647</t>
  </si>
  <si>
    <t>=IF(J2647&lt;&gt;0,M2647/J2647,"")</t>
  </si>
  <si>
    <t>=NL("Sum","5802 Value Entry","150 Sales Amount (Expected)","41 Source Type",$C$5,"5 Source No.",$C2647,"4 Item Ledger Entry Type",$C$4,"2 Item No.","@@"&amp;$F2647,"3 Posting Date",O$9)+NL("Sum","5802 Value Entry","17 Sales Amount (Actual)","41 Source Type",$C$5,"5 Source no.",$C2647,"4 Item Ledger Entry Type",$C$4,"2 Item No.","@@"&amp;$F2647,"3 Posting Date",O$9)</t>
  </si>
  <si>
    <t>=-NL("Sum","5802 Value Entry","151 Cost Amount (Expected)","41 Source Type",$C$5,"5 Source No.",$C2647,"4 Item Ledger Entry Type",$C$4,"2 Item No.","@@"&amp;$F2647,"3 Posting Date",O$9)-NL("Sum","5802 Value Entry","43 Cost Amount (Actual)","41 Source Type",$C$5,"5 Source no.",$C2647,"4 Item Ledger Entry Type",$C$4,"2 Item No.","@@"&amp;$F2647,"3 Posting Date",O$9)</t>
  </si>
  <si>
    <t>=O2647-Q2647</t>
  </si>
  <si>
    <t>=IF(O2647&lt;&gt;0,R2647/O2647,"")</t>
  </si>
  <si>
    <t>=NL("Sum","5802 Value Entry","150 Sales Amount (Expected)","41 Source Type",$C$5,"5 Source No.",$C2647,"4 Item Ledger Entry Type",$C$4,"2 Item No.","@@"&amp;$F2647,"3 Posting Date",U$9)+NL("Sum","5802 Value Entry","17 Sales Amount (Actual)","41 Source Type",$C$5,"5 Source no.",$C2647,"4 Item Ledger Entry Type",$C$4,"2 Item No.","@@"&amp;$F2647,"3 Posting Date",U$9)</t>
  </si>
  <si>
    <t>=-NL("Sum","5802 Value Entry","151 Cost Amount (Expected)","41 Source Type",$C$5,"5 Source No.",$C2647,"4 Item Ledger Entry Type",$C$4,"2 Item No.","@@"&amp;$F2647,"3 Posting Date",U$9)-NL("Sum","5802 Value Entry","43 Cost Amount (Actual)","41 Source Type",$C$5,"5 Source no.",$C2647,"4 Item Ledger Entry Type",$C$4,"2 Item No.","@@"&amp;$F2647,"3 Posting Date",U$9)</t>
  </si>
  <si>
    <t>=U2647-W2647</t>
  </si>
  <si>
    <t>=IF(U2647&lt;&gt;0,X2647/U2647,"")</t>
  </si>
  <si>
    <t>=NL("Sum","5802 Value Entry","150 Sales Amount (Expected)","41 Source Type",$C$5,"5 Source No.",$C2647,"4 Item Ledger Entry Type",$C$4,"2 Item No.","@@"&amp;$F2647,"3 Posting Date",Z$9)+NL("Sum","5802 Value Entry","17 Sales Amount (Actual)","41 Source Type",$C$5,"5 Source no.",$C2647,"4 Item Ledger Entry Type",$C$4,"2 Item No.","@@"&amp;$F2647,"3 Posting Date",Z$9)</t>
  </si>
  <si>
    <t>=-NL("Sum","5802 Value Entry","151 Cost Amount (Expected)","41 Source Type",$C$5,"5 Source No.",$C2647,"4 Item Ledger Entry Type",$C$4,"2 Item No.","@@"&amp;$F2647,"3 Posting Date",Z$9)-NL("Sum","5802 Value Entry","43 Cost Amount (Actual)","41 Source Type",$C$5,"5 Source no.",$C2647,"4 Item Ledger Entry Type",$C$4,"2 Item No.","@@"&amp;$F2647,"3 Posting Date",Z$9)</t>
  </si>
  <si>
    <t>=Z2647-AB2647</t>
  </si>
  <si>
    <t>=IF(Z2647&lt;&gt;0,AC2647/Z2647,"")</t>
  </si>
  <si>
    <t>=C2647</t>
  </si>
  <si>
    <t>=NL("Sum","5802 Value Entry","150 Sales Amount (Expected)","41 Source Type",$C$5,"5 Source No.",$C2648,"4 Item Ledger Entry Type",$C$4,"2 Item No.","@@"&amp;$F2648,"3 Posting Date",J$9)+NL("Sum","5802 Value Entry","17 Sales Amount (Actual)","41 Source Type",$C$5,"5 Source no.",$C2648,"4 Item Ledger Entry Type",$C$4,"2 Item No.","@@"&amp;$F2648,"3 Posting Date",J$9)</t>
  </si>
  <si>
    <t>=-NL("Sum","5802 Value Entry","151 Cost Amount (Expected)","41 Source Type",$C$5,"5 Source No.",$C2648,"4 Item Ledger Entry Type",$C$4,"2 Item No.","@@"&amp;$F2648,"3 Posting Date",J$9)-NL("Sum","5802 Value Entry","43 Cost Amount (Actual)","41 Source Type",$C$5,"5 Source no.",$C2648,"4 Item Ledger Entry Type",$C$4,"2 Item No.","@@"&amp;$F2648,"3 Posting Date",J$9)</t>
  </si>
  <si>
    <t>=J2648-L2648</t>
  </si>
  <si>
    <t>=IF(J2648&lt;&gt;0,M2648/J2648,"")</t>
  </si>
  <si>
    <t>=NL("Sum","5802 Value Entry","150 Sales Amount (Expected)","41 Source Type",$C$5,"5 Source No.",$C2648,"4 Item Ledger Entry Type",$C$4,"2 Item No.","@@"&amp;$F2648,"3 Posting Date",O$9)+NL("Sum","5802 Value Entry","17 Sales Amount (Actual)","41 Source Type",$C$5,"5 Source no.",$C2648,"4 Item Ledger Entry Type",$C$4,"2 Item No.","@@"&amp;$F2648,"3 Posting Date",O$9)</t>
  </si>
  <si>
    <t>=-NL("Sum","5802 Value Entry","151 Cost Amount (Expected)","41 Source Type",$C$5,"5 Source No.",$C2648,"4 Item Ledger Entry Type",$C$4,"2 Item No.","@@"&amp;$F2648,"3 Posting Date",O$9)-NL("Sum","5802 Value Entry","43 Cost Amount (Actual)","41 Source Type",$C$5,"5 Source no.",$C2648,"4 Item Ledger Entry Type",$C$4,"2 Item No.","@@"&amp;$F2648,"3 Posting Date",O$9)</t>
  </si>
  <si>
    <t>=O2648-Q2648</t>
  </si>
  <si>
    <t>=IF(O2648&lt;&gt;0,R2648/O2648,"")</t>
  </si>
  <si>
    <t>=NL("Sum","5802 Value Entry","150 Sales Amount (Expected)","41 Source Type",$C$5,"5 Source No.",$C2648,"4 Item Ledger Entry Type",$C$4,"2 Item No.","@@"&amp;$F2648,"3 Posting Date",U$9)+NL("Sum","5802 Value Entry","17 Sales Amount (Actual)","41 Source Type",$C$5,"5 Source no.",$C2648,"4 Item Ledger Entry Type",$C$4,"2 Item No.","@@"&amp;$F2648,"3 Posting Date",U$9)</t>
  </si>
  <si>
    <t>=-NL("Sum","5802 Value Entry","151 Cost Amount (Expected)","41 Source Type",$C$5,"5 Source No.",$C2648,"4 Item Ledger Entry Type",$C$4,"2 Item No.","@@"&amp;$F2648,"3 Posting Date",U$9)-NL("Sum","5802 Value Entry","43 Cost Amount (Actual)","41 Source Type",$C$5,"5 Source no.",$C2648,"4 Item Ledger Entry Type",$C$4,"2 Item No.","@@"&amp;$F2648,"3 Posting Date",U$9)</t>
  </si>
  <si>
    <t>=U2648-W2648</t>
  </si>
  <si>
    <t>=IF(U2648&lt;&gt;0,X2648/U2648,"")</t>
  </si>
  <si>
    <t>=NL("Sum","5802 Value Entry","150 Sales Amount (Expected)","41 Source Type",$C$5,"5 Source No.",$C2648,"4 Item Ledger Entry Type",$C$4,"2 Item No.","@@"&amp;$F2648,"3 Posting Date",Z$9)+NL("Sum","5802 Value Entry","17 Sales Amount (Actual)","41 Source Type",$C$5,"5 Source no.",$C2648,"4 Item Ledger Entry Type",$C$4,"2 Item No.","@@"&amp;$F2648,"3 Posting Date",Z$9)</t>
  </si>
  <si>
    <t>=-NL("Sum","5802 Value Entry","151 Cost Amount (Expected)","41 Source Type",$C$5,"5 Source No.",$C2648,"4 Item Ledger Entry Type",$C$4,"2 Item No.","@@"&amp;$F2648,"3 Posting Date",Z$9)-NL("Sum","5802 Value Entry","43 Cost Amount (Actual)","41 Source Type",$C$5,"5 Source no.",$C2648,"4 Item Ledger Entry Type",$C$4,"2 Item No.","@@"&amp;$F2648,"3 Posting Date",Z$9)</t>
  </si>
  <si>
    <t>=Z2648-AB2648</t>
  </si>
  <si>
    <t>=IF(Z2648&lt;&gt;0,AC2648/Z2648,"")</t>
  </si>
  <si>
    <t>=C2648</t>
  </si>
  <si>
    <t>=NL("Sum","5802 Value Entry","150 Sales Amount (Expected)","41 Source Type",$C$5,"5 Source No.",$C2649,"4 Item Ledger Entry Type",$C$4,"2 Item No.","@@"&amp;$F2649,"3 Posting Date",J$9)+NL("Sum","5802 Value Entry","17 Sales Amount (Actual)","41 Source Type",$C$5,"5 Source no.",$C2649,"4 Item Ledger Entry Type",$C$4,"2 Item No.","@@"&amp;$F2649,"3 Posting Date",J$9)</t>
  </si>
  <si>
    <t>=-NL("Sum","5802 Value Entry","151 Cost Amount (Expected)","41 Source Type",$C$5,"5 Source No.",$C2649,"4 Item Ledger Entry Type",$C$4,"2 Item No.","@@"&amp;$F2649,"3 Posting Date",J$9)-NL("Sum","5802 Value Entry","43 Cost Amount (Actual)","41 Source Type",$C$5,"5 Source no.",$C2649,"4 Item Ledger Entry Type",$C$4,"2 Item No.","@@"&amp;$F2649,"3 Posting Date",J$9)</t>
  </si>
  <si>
    <t>=J2649-L2649</t>
  </si>
  <si>
    <t>=IF(J2649&lt;&gt;0,M2649/J2649,"")</t>
  </si>
  <si>
    <t>=NL("Sum","5802 Value Entry","150 Sales Amount (Expected)","41 Source Type",$C$5,"5 Source No.",$C2649,"4 Item Ledger Entry Type",$C$4,"2 Item No.","@@"&amp;$F2649,"3 Posting Date",O$9)+NL("Sum","5802 Value Entry","17 Sales Amount (Actual)","41 Source Type",$C$5,"5 Source no.",$C2649,"4 Item Ledger Entry Type",$C$4,"2 Item No.","@@"&amp;$F2649,"3 Posting Date",O$9)</t>
  </si>
  <si>
    <t>=-NL("Sum","5802 Value Entry","151 Cost Amount (Expected)","41 Source Type",$C$5,"5 Source No.",$C2649,"4 Item Ledger Entry Type",$C$4,"2 Item No.","@@"&amp;$F2649,"3 Posting Date",O$9)-NL("Sum","5802 Value Entry","43 Cost Amount (Actual)","41 Source Type",$C$5,"5 Source no.",$C2649,"4 Item Ledger Entry Type",$C$4,"2 Item No.","@@"&amp;$F2649,"3 Posting Date",O$9)</t>
  </si>
  <si>
    <t>=O2649-Q2649</t>
  </si>
  <si>
    <t>=IF(O2649&lt;&gt;0,R2649/O2649,"")</t>
  </si>
  <si>
    <t>=NL("Sum","5802 Value Entry","150 Sales Amount (Expected)","41 Source Type",$C$5,"5 Source No.",$C2649,"4 Item Ledger Entry Type",$C$4,"2 Item No.","@@"&amp;$F2649,"3 Posting Date",U$9)+NL("Sum","5802 Value Entry","17 Sales Amount (Actual)","41 Source Type",$C$5,"5 Source no.",$C2649,"4 Item Ledger Entry Type",$C$4,"2 Item No.","@@"&amp;$F2649,"3 Posting Date",U$9)</t>
  </si>
  <si>
    <t>=-NL("Sum","5802 Value Entry","151 Cost Amount (Expected)","41 Source Type",$C$5,"5 Source No.",$C2649,"4 Item Ledger Entry Type",$C$4,"2 Item No.","@@"&amp;$F2649,"3 Posting Date",U$9)-NL("Sum","5802 Value Entry","43 Cost Amount (Actual)","41 Source Type",$C$5,"5 Source no.",$C2649,"4 Item Ledger Entry Type",$C$4,"2 Item No.","@@"&amp;$F2649,"3 Posting Date",U$9)</t>
  </si>
  <si>
    <t>=U2649-W2649</t>
  </si>
  <si>
    <t>=IF(U2649&lt;&gt;0,X2649/U2649,"")</t>
  </si>
  <si>
    <t>=NL("Sum","5802 Value Entry","150 Sales Amount (Expected)","41 Source Type",$C$5,"5 Source No.",$C2649,"4 Item Ledger Entry Type",$C$4,"2 Item No.","@@"&amp;$F2649,"3 Posting Date",Z$9)+NL("Sum","5802 Value Entry","17 Sales Amount (Actual)","41 Source Type",$C$5,"5 Source no.",$C2649,"4 Item Ledger Entry Type",$C$4,"2 Item No.","@@"&amp;$F2649,"3 Posting Date",Z$9)</t>
  </si>
  <si>
    <t>=-NL("Sum","5802 Value Entry","151 Cost Amount (Expected)","41 Source Type",$C$5,"5 Source No.",$C2649,"4 Item Ledger Entry Type",$C$4,"2 Item No.","@@"&amp;$F2649,"3 Posting Date",Z$9)-NL("Sum","5802 Value Entry","43 Cost Amount (Actual)","41 Source Type",$C$5,"5 Source no.",$C2649,"4 Item Ledger Entry Type",$C$4,"2 Item No.","@@"&amp;$F2649,"3 Posting Date",Z$9)</t>
  </si>
  <si>
    <t>=Z2649-AB2649</t>
  </si>
  <si>
    <t>=IF(Z2649&lt;&gt;0,AC2649/Z2649,"")</t>
  </si>
  <si>
    <t>=C2649</t>
  </si>
  <si>
    <t>=NL("Sum","5802 Value Entry","150 Sales Amount (Expected)","41 Source Type",$C$5,"5 Source No.",$C2650,"4 Item Ledger Entry Type",$C$4,"2 Item No.","@@"&amp;$F2650,"3 Posting Date",J$9)+NL("Sum","5802 Value Entry","17 Sales Amount (Actual)","41 Source Type",$C$5,"5 Source no.",$C2650,"4 Item Ledger Entry Type",$C$4,"2 Item No.","@@"&amp;$F2650,"3 Posting Date",J$9)</t>
  </si>
  <si>
    <t>=-NL("Sum","5802 Value Entry","151 Cost Amount (Expected)","41 Source Type",$C$5,"5 Source No.",$C2650,"4 Item Ledger Entry Type",$C$4,"2 Item No.","@@"&amp;$F2650,"3 Posting Date",J$9)-NL("Sum","5802 Value Entry","43 Cost Amount (Actual)","41 Source Type",$C$5,"5 Source no.",$C2650,"4 Item Ledger Entry Type",$C$4,"2 Item No.","@@"&amp;$F2650,"3 Posting Date",J$9)</t>
  </si>
  <si>
    <t>=J2650-L2650</t>
  </si>
  <si>
    <t>=IF(J2650&lt;&gt;0,M2650/J2650,"")</t>
  </si>
  <si>
    <t>=NL("Sum","5802 Value Entry","150 Sales Amount (Expected)","41 Source Type",$C$5,"5 Source No.",$C2650,"4 Item Ledger Entry Type",$C$4,"2 Item No.","@@"&amp;$F2650,"3 Posting Date",O$9)+NL("Sum","5802 Value Entry","17 Sales Amount (Actual)","41 Source Type",$C$5,"5 Source no.",$C2650,"4 Item Ledger Entry Type",$C$4,"2 Item No.","@@"&amp;$F2650,"3 Posting Date",O$9)</t>
  </si>
  <si>
    <t>=-NL("Sum","5802 Value Entry","151 Cost Amount (Expected)","41 Source Type",$C$5,"5 Source No.",$C2650,"4 Item Ledger Entry Type",$C$4,"2 Item No.","@@"&amp;$F2650,"3 Posting Date",O$9)-NL("Sum","5802 Value Entry","43 Cost Amount (Actual)","41 Source Type",$C$5,"5 Source no.",$C2650,"4 Item Ledger Entry Type",$C$4,"2 Item No.","@@"&amp;$F2650,"3 Posting Date",O$9)</t>
  </si>
  <si>
    <t>=O2650-Q2650</t>
  </si>
  <si>
    <t>=IF(O2650&lt;&gt;0,R2650/O2650,"")</t>
  </si>
  <si>
    <t>=NL("Sum","5802 Value Entry","150 Sales Amount (Expected)","41 Source Type",$C$5,"5 Source No.",$C2650,"4 Item Ledger Entry Type",$C$4,"2 Item No.","@@"&amp;$F2650,"3 Posting Date",U$9)+NL("Sum","5802 Value Entry","17 Sales Amount (Actual)","41 Source Type",$C$5,"5 Source no.",$C2650,"4 Item Ledger Entry Type",$C$4,"2 Item No.","@@"&amp;$F2650,"3 Posting Date",U$9)</t>
  </si>
  <si>
    <t>=-NL("Sum","5802 Value Entry","151 Cost Amount (Expected)","41 Source Type",$C$5,"5 Source No.",$C2650,"4 Item Ledger Entry Type",$C$4,"2 Item No.","@@"&amp;$F2650,"3 Posting Date",U$9)-NL("Sum","5802 Value Entry","43 Cost Amount (Actual)","41 Source Type",$C$5,"5 Source no.",$C2650,"4 Item Ledger Entry Type",$C$4,"2 Item No.","@@"&amp;$F2650,"3 Posting Date",U$9)</t>
  </si>
  <si>
    <t>=U2650-W2650</t>
  </si>
  <si>
    <t>=IF(U2650&lt;&gt;0,X2650/U2650,"")</t>
  </si>
  <si>
    <t>=NL("Sum","5802 Value Entry","150 Sales Amount (Expected)","41 Source Type",$C$5,"5 Source No.",$C2650,"4 Item Ledger Entry Type",$C$4,"2 Item No.","@@"&amp;$F2650,"3 Posting Date",Z$9)+NL("Sum","5802 Value Entry","17 Sales Amount (Actual)","41 Source Type",$C$5,"5 Source no.",$C2650,"4 Item Ledger Entry Type",$C$4,"2 Item No.","@@"&amp;$F2650,"3 Posting Date",Z$9)</t>
  </si>
  <si>
    <t>=-NL("Sum","5802 Value Entry","151 Cost Amount (Expected)","41 Source Type",$C$5,"5 Source No.",$C2650,"4 Item Ledger Entry Type",$C$4,"2 Item No.","@@"&amp;$F2650,"3 Posting Date",Z$9)-NL("Sum","5802 Value Entry","43 Cost Amount (Actual)","41 Source Type",$C$5,"5 Source no.",$C2650,"4 Item Ledger Entry Type",$C$4,"2 Item No.","@@"&amp;$F2650,"3 Posting Date",Z$9)</t>
  </si>
  <si>
    <t>=Z2650-AB2650</t>
  </si>
  <si>
    <t>=IF(Z2650&lt;&gt;0,AC2650/Z2650,"")</t>
  </si>
  <si>
    <t>=C2650</t>
  </si>
  <si>
    <t>=NL("Sum","5802 Value Entry","150 Sales Amount (Expected)","41 Source Type",$C$5,"5 Source No.",$C2651,"4 Item Ledger Entry Type",$C$4,"2 Item No.","@@"&amp;$F2651,"3 Posting Date",J$9)+NL("Sum","5802 Value Entry","17 Sales Amount (Actual)","41 Source Type",$C$5,"5 Source no.",$C2651,"4 Item Ledger Entry Type",$C$4,"2 Item No.","@@"&amp;$F2651,"3 Posting Date",J$9)</t>
  </si>
  <si>
    <t>=-NL("Sum","5802 Value Entry","151 Cost Amount (Expected)","41 Source Type",$C$5,"5 Source No.",$C2651,"4 Item Ledger Entry Type",$C$4,"2 Item No.","@@"&amp;$F2651,"3 Posting Date",J$9)-NL("Sum","5802 Value Entry","43 Cost Amount (Actual)","41 Source Type",$C$5,"5 Source no.",$C2651,"4 Item Ledger Entry Type",$C$4,"2 Item No.","@@"&amp;$F2651,"3 Posting Date",J$9)</t>
  </si>
  <si>
    <t>=J2651-L2651</t>
  </si>
  <si>
    <t>=IF(J2651&lt;&gt;0,M2651/J2651,"")</t>
  </si>
  <si>
    <t>=NL("Sum","5802 Value Entry","150 Sales Amount (Expected)","41 Source Type",$C$5,"5 Source No.",$C2651,"4 Item Ledger Entry Type",$C$4,"2 Item No.","@@"&amp;$F2651,"3 Posting Date",O$9)+NL("Sum","5802 Value Entry","17 Sales Amount (Actual)","41 Source Type",$C$5,"5 Source no.",$C2651,"4 Item Ledger Entry Type",$C$4,"2 Item No.","@@"&amp;$F2651,"3 Posting Date",O$9)</t>
  </si>
  <si>
    <t>=-NL("Sum","5802 Value Entry","151 Cost Amount (Expected)","41 Source Type",$C$5,"5 Source No.",$C2651,"4 Item Ledger Entry Type",$C$4,"2 Item No.","@@"&amp;$F2651,"3 Posting Date",O$9)-NL("Sum","5802 Value Entry","43 Cost Amount (Actual)","41 Source Type",$C$5,"5 Source no.",$C2651,"4 Item Ledger Entry Type",$C$4,"2 Item No.","@@"&amp;$F2651,"3 Posting Date",O$9)</t>
  </si>
  <si>
    <t>=O2651-Q2651</t>
  </si>
  <si>
    <t>=IF(O2651&lt;&gt;0,R2651/O2651,"")</t>
  </si>
  <si>
    <t>=NL("Sum","5802 Value Entry","150 Sales Amount (Expected)","41 Source Type",$C$5,"5 Source No.",$C2651,"4 Item Ledger Entry Type",$C$4,"2 Item No.","@@"&amp;$F2651,"3 Posting Date",U$9)+NL("Sum","5802 Value Entry","17 Sales Amount (Actual)","41 Source Type",$C$5,"5 Source no.",$C2651,"4 Item Ledger Entry Type",$C$4,"2 Item No.","@@"&amp;$F2651,"3 Posting Date",U$9)</t>
  </si>
  <si>
    <t>=-NL("Sum","5802 Value Entry","151 Cost Amount (Expected)","41 Source Type",$C$5,"5 Source No.",$C2651,"4 Item Ledger Entry Type",$C$4,"2 Item No.","@@"&amp;$F2651,"3 Posting Date",U$9)-NL("Sum","5802 Value Entry","43 Cost Amount (Actual)","41 Source Type",$C$5,"5 Source no.",$C2651,"4 Item Ledger Entry Type",$C$4,"2 Item No.","@@"&amp;$F2651,"3 Posting Date",U$9)</t>
  </si>
  <si>
    <t>=U2651-W2651</t>
  </si>
  <si>
    <t>=IF(U2651&lt;&gt;0,X2651/U2651,"")</t>
  </si>
  <si>
    <t>=NL("Sum","5802 Value Entry","150 Sales Amount (Expected)","41 Source Type",$C$5,"5 Source No.",$C2651,"4 Item Ledger Entry Type",$C$4,"2 Item No.","@@"&amp;$F2651,"3 Posting Date",Z$9)+NL("Sum","5802 Value Entry","17 Sales Amount (Actual)","41 Source Type",$C$5,"5 Source no.",$C2651,"4 Item Ledger Entry Type",$C$4,"2 Item No.","@@"&amp;$F2651,"3 Posting Date",Z$9)</t>
  </si>
  <si>
    <t>=-NL("Sum","5802 Value Entry","151 Cost Amount (Expected)","41 Source Type",$C$5,"5 Source No.",$C2651,"4 Item Ledger Entry Type",$C$4,"2 Item No.","@@"&amp;$F2651,"3 Posting Date",Z$9)-NL("Sum","5802 Value Entry","43 Cost Amount (Actual)","41 Source Type",$C$5,"5 Source no.",$C2651,"4 Item Ledger Entry Type",$C$4,"2 Item No.","@@"&amp;$F2651,"3 Posting Date",Z$9)</t>
  </si>
  <si>
    <t>=Z2651-AB2651</t>
  </si>
  <si>
    <t>=IF(Z2651&lt;&gt;0,AC2651/Z2651,"")</t>
  </si>
  <si>
    <t>=C2651</t>
  </si>
  <si>
    <t>=NL("Sum","5802 Value Entry","150 Sales Amount (Expected)","41 Source Type",$C$5,"5 Source No.",$C2652,"4 Item Ledger Entry Type",$C$4,"2 Item No.","@@"&amp;$F2652,"3 Posting Date",J$9)+NL("Sum","5802 Value Entry","17 Sales Amount (Actual)","41 Source Type",$C$5,"5 Source no.",$C2652,"4 Item Ledger Entry Type",$C$4,"2 Item No.","@@"&amp;$F2652,"3 Posting Date",J$9)</t>
  </si>
  <si>
    <t>=-NL("Sum","5802 Value Entry","151 Cost Amount (Expected)","41 Source Type",$C$5,"5 Source No.",$C2652,"4 Item Ledger Entry Type",$C$4,"2 Item No.","@@"&amp;$F2652,"3 Posting Date",J$9)-NL("Sum","5802 Value Entry","43 Cost Amount (Actual)","41 Source Type",$C$5,"5 Source no.",$C2652,"4 Item Ledger Entry Type",$C$4,"2 Item No.","@@"&amp;$F2652,"3 Posting Date",J$9)</t>
  </si>
  <si>
    <t>=J2652-L2652</t>
  </si>
  <si>
    <t>=IF(J2652&lt;&gt;0,M2652/J2652,"")</t>
  </si>
  <si>
    <t>=NL("Sum","5802 Value Entry","150 Sales Amount (Expected)","41 Source Type",$C$5,"5 Source No.",$C2652,"4 Item Ledger Entry Type",$C$4,"2 Item No.","@@"&amp;$F2652,"3 Posting Date",O$9)+NL("Sum","5802 Value Entry","17 Sales Amount (Actual)","41 Source Type",$C$5,"5 Source no.",$C2652,"4 Item Ledger Entry Type",$C$4,"2 Item No.","@@"&amp;$F2652,"3 Posting Date",O$9)</t>
  </si>
  <si>
    <t>=-NL("Sum","5802 Value Entry","151 Cost Amount (Expected)","41 Source Type",$C$5,"5 Source No.",$C2652,"4 Item Ledger Entry Type",$C$4,"2 Item No.","@@"&amp;$F2652,"3 Posting Date",O$9)-NL("Sum","5802 Value Entry","43 Cost Amount (Actual)","41 Source Type",$C$5,"5 Source no.",$C2652,"4 Item Ledger Entry Type",$C$4,"2 Item No.","@@"&amp;$F2652,"3 Posting Date",O$9)</t>
  </si>
  <si>
    <t>=O2652-Q2652</t>
  </si>
  <si>
    <t>=IF(O2652&lt;&gt;0,R2652/O2652,"")</t>
  </si>
  <si>
    <t>=NL("Sum","5802 Value Entry","150 Sales Amount (Expected)","41 Source Type",$C$5,"5 Source No.",$C2652,"4 Item Ledger Entry Type",$C$4,"2 Item No.","@@"&amp;$F2652,"3 Posting Date",U$9)+NL("Sum","5802 Value Entry","17 Sales Amount (Actual)","41 Source Type",$C$5,"5 Source no.",$C2652,"4 Item Ledger Entry Type",$C$4,"2 Item No.","@@"&amp;$F2652,"3 Posting Date",U$9)</t>
  </si>
  <si>
    <t>=-NL("Sum","5802 Value Entry","151 Cost Amount (Expected)","41 Source Type",$C$5,"5 Source No.",$C2652,"4 Item Ledger Entry Type",$C$4,"2 Item No.","@@"&amp;$F2652,"3 Posting Date",U$9)-NL("Sum","5802 Value Entry","43 Cost Amount (Actual)","41 Source Type",$C$5,"5 Source no.",$C2652,"4 Item Ledger Entry Type",$C$4,"2 Item No.","@@"&amp;$F2652,"3 Posting Date",U$9)</t>
  </si>
  <si>
    <t>=U2652-W2652</t>
  </si>
  <si>
    <t>=IF(U2652&lt;&gt;0,X2652/U2652,"")</t>
  </si>
  <si>
    <t>=NL("Sum","5802 Value Entry","150 Sales Amount (Expected)","41 Source Type",$C$5,"5 Source No.",$C2652,"4 Item Ledger Entry Type",$C$4,"2 Item No.","@@"&amp;$F2652,"3 Posting Date",Z$9)+NL("Sum","5802 Value Entry","17 Sales Amount (Actual)","41 Source Type",$C$5,"5 Source no.",$C2652,"4 Item Ledger Entry Type",$C$4,"2 Item No.","@@"&amp;$F2652,"3 Posting Date",Z$9)</t>
  </si>
  <si>
    <t>=-NL("Sum","5802 Value Entry","151 Cost Amount (Expected)","41 Source Type",$C$5,"5 Source No.",$C2652,"4 Item Ledger Entry Type",$C$4,"2 Item No.","@@"&amp;$F2652,"3 Posting Date",Z$9)-NL("Sum","5802 Value Entry","43 Cost Amount (Actual)","41 Source Type",$C$5,"5 Source no.",$C2652,"4 Item Ledger Entry Type",$C$4,"2 Item No.","@@"&amp;$F2652,"3 Posting Date",Z$9)</t>
  </si>
  <si>
    <t>=Z2652-AB2652</t>
  </si>
  <si>
    <t>=IF(Z2652&lt;&gt;0,AC2652/Z2652,"")</t>
  </si>
  <si>
    <t>=C2652</t>
  </si>
  <si>
    <t>=NL("Sum","5802 Value Entry","150 Sales Amount (Expected)","41 Source Type",$C$5,"5 Source No.",$C2653,"4 Item Ledger Entry Type",$C$4,"2 Item No.","@@"&amp;$F2653,"3 Posting Date",J$9)+NL("Sum","5802 Value Entry","17 Sales Amount (Actual)","41 Source Type",$C$5,"5 Source no.",$C2653,"4 Item Ledger Entry Type",$C$4,"2 Item No.","@@"&amp;$F2653,"3 Posting Date",J$9)</t>
  </si>
  <si>
    <t>=-NL("Sum","5802 Value Entry","151 Cost Amount (Expected)","41 Source Type",$C$5,"5 Source No.",$C2653,"4 Item Ledger Entry Type",$C$4,"2 Item No.","@@"&amp;$F2653,"3 Posting Date",J$9)-NL("Sum","5802 Value Entry","43 Cost Amount (Actual)","41 Source Type",$C$5,"5 Source no.",$C2653,"4 Item Ledger Entry Type",$C$4,"2 Item No.","@@"&amp;$F2653,"3 Posting Date",J$9)</t>
  </si>
  <si>
    <t>=J2653-L2653</t>
  </si>
  <si>
    <t>=IF(J2653&lt;&gt;0,M2653/J2653,"")</t>
  </si>
  <si>
    <t>=NL("Sum","5802 Value Entry","150 Sales Amount (Expected)","41 Source Type",$C$5,"5 Source No.",$C2653,"4 Item Ledger Entry Type",$C$4,"2 Item No.","@@"&amp;$F2653,"3 Posting Date",O$9)+NL("Sum","5802 Value Entry","17 Sales Amount (Actual)","41 Source Type",$C$5,"5 Source no.",$C2653,"4 Item Ledger Entry Type",$C$4,"2 Item No.","@@"&amp;$F2653,"3 Posting Date",O$9)</t>
  </si>
  <si>
    <t>=-NL("Sum","5802 Value Entry","151 Cost Amount (Expected)","41 Source Type",$C$5,"5 Source No.",$C2653,"4 Item Ledger Entry Type",$C$4,"2 Item No.","@@"&amp;$F2653,"3 Posting Date",O$9)-NL("Sum","5802 Value Entry","43 Cost Amount (Actual)","41 Source Type",$C$5,"5 Source no.",$C2653,"4 Item Ledger Entry Type",$C$4,"2 Item No.","@@"&amp;$F2653,"3 Posting Date",O$9)</t>
  </si>
  <si>
    <t>=O2653-Q2653</t>
  </si>
  <si>
    <t>=IF(O2653&lt;&gt;0,R2653/O2653,"")</t>
  </si>
  <si>
    <t>=NL("Sum","5802 Value Entry","150 Sales Amount (Expected)","41 Source Type",$C$5,"5 Source No.",$C2653,"4 Item Ledger Entry Type",$C$4,"2 Item No.","@@"&amp;$F2653,"3 Posting Date",U$9)+NL("Sum","5802 Value Entry","17 Sales Amount (Actual)","41 Source Type",$C$5,"5 Source no.",$C2653,"4 Item Ledger Entry Type",$C$4,"2 Item No.","@@"&amp;$F2653,"3 Posting Date",U$9)</t>
  </si>
  <si>
    <t>=-NL("Sum","5802 Value Entry","151 Cost Amount (Expected)","41 Source Type",$C$5,"5 Source No.",$C2653,"4 Item Ledger Entry Type",$C$4,"2 Item No.","@@"&amp;$F2653,"3 Posting Date",U$9)-NL("Sum","5802 Value Entry","43 Cost Amount (Actual)","41 Source Type",$C$5,"5 Source no.",$C2653,"4 Item Ledger Entry Type",$C$4,"2 Item No.","@@"&amp;$F2653,"3 Posting Date",U$9)</t>
  </si>
  <si>
    <t>=U2653-W2653</t>
  </si>
  <si>
    <t>=IF(U2653&lt;&gt;0,X2653/U2653,"")</t>
  </si>
  <si>
    <t>=NL("Sum","5802 Value Entry","150 Sales Amount (Expected)","41 Source Type",$C$5,"5 Source No.",$C2653,"4 Item Ledger Entry Type",$C$4,"2 Item No.","@@"&amp;$F2653,"3 Posting Date",Z$9)+NL("Sum","5802 Value Entry","17 Sales Amount (Actual)","41 Source Type",$C$5,"5 Source no.",$C2653,"4 Item Ledger Entry Type",$C$4,"2 Item No.","@@"&amp;$F2653,"3 Posting Date",Z$9)</t>
  </si>
  <si>
    <t>=-NL("Sum","5802 Value Entry","151 Cost Amount (Expected)","41 Source Type",$C$5,"5 Source No.",$C2653,"4 Item Ledger Entry Type",$C$4,"2 Item No.","@@"&amp;$F2653,"3 Posting Date",Z$9)-NL("Sum","5802 Value Entry","43 Cost Amount (Actual)","41 Source Type",$C$5,"5 Source no.",$C2653,"4 Item Ledger Entry Type",$C$4,"2 Item No.","@@"&amp;$F2653,"3 Posting Date",Z$9)</t>
  </si>
  <si>
    <t>=Z2653-AB2653</t>
  </si>
  <si>
    <t>=IF(Z2653&lt;&gt;0,AC2653/Z2653,"")</t>
  </si>
  <si>
    <t>=C2653</t>
  </si>
  <si>
    <t>=NL("Sum","5802 Value Entry","150 Sales Amount (Expected)","41 Source Type",$C$5,"5 Source No.",$C2654,"4 Item Ledger Entry Type",$C$4,"2 Item No.","@@"&amp;$F2654,"3 Posting Date",J$9)+NL("Sum","5802 Value Entry","17 Sales Amount (Actual)","41 Source Type",$C$5,"5 Source no.",$C2654,"4 Item Ledger Entry Type",$C$4,"2 Item No.","@@"&amp;$F2654,"3 Posting Date",J$9)</t>
  </si>
  <si>
    <t>=-NL("Sum","5802 Value Entry","151 Cost Amount (Expected)","41 Source Type",$C$5,"5 Source No.",$C2654,"4 Item Ledger Entry Type",$C$4,"2 Item No.","@@"&amp;$F2654,"3 Posting Date",J$9)-NL("Sum","5802 Value Entry","43 Cost Amount (Actual)","41 Source Type",$C$5,"5 Source no.",$C2654,"4 Item Ledger Entry Type",$C$4,"2 Item No.","@@"&amp;$F2654,"3 Posting Date",J$9)</t>
  </si>
  <si>
    <t>=J2654-L2654</t>
  </si>
  <si>
    <t>=IF(J2654&lt;&gt;0,M2654/J2654,"")</t>
  </si>
  <si>
    <t>=NL("Sum","5802 Value Entry","150 Sales Amount (Expected)","41 Source Type",$C$5,"5 Source No.",$C2654,"4 Item Ledger Entry Type",$C$4,"2 Item No.","@@"&amp;$F2654,"3 Posting Date",O$9)+NL("Sum","5802 Value Entry","17 Sales Amount (Actual)","41 Source Type",$C$5,"5 Source no.",$C2654,"4 Item Ledger Entry Type",$C$4,"2 Item No.","@@"&amp;$F2654,"3 Posting Date",O$9)</t>
  </si>
  <si>
    <t>=-NL("Sum","5802 Value Entry","151 Cost Amount (Expected)","41 Source Type",$C$5,"5 Source No.",$C2654,"4 Item Ledger Entry Type",$C$4,"2 Item No.","@@"&amp;$F2654,"3 Posting Date",O$9)-NL("Sum","5802 Value Entry","43 Cost Amount (Actual)","41 Source Type",$C$5,"5 Source no.",$C2654,"4 Item Ledger Entry Type",$C$4,"2 Item No.","@@"&amp;$F2654,"3 Posting Date",O$9)</t>
  </si>
  <si>
    <t>=O2654-Q2654</t>
  </si>
  <si>
    <t>=IF(O2654&lt;&gt;0,R2654/O2654,"")</t>
  </si>
  <si>
    <t>=NL("Sum","5802 Value Entry","150 Sales Amount (Expected)","41 Source Type",$C$5,"5 Source No.",$C2654,"4 Item Ledger Entry Type",$C$4,"2 Item No.","@@"&amp;$F2654,"3 Posting Date",U$9)+NL("Sum","5802 Value Entry","17 Sales Amount (Actual)","41 Source Type",$C$5,"5 Source no.",$C2654,"4 Item Ledger Entry Type",$C$4,"2 Item No.","@@"&amp;$F2654,"3 Posting Date",U$9)</t>
  </si>
  <si>
    <t>=-NL("Sum","5802 Value Entry","151 Cost Amount (Expected)","41 Source Type",$C$5,"5 Source No.",$C2654,"4 Item Ledger Entry Type",$C$4,"2 Item No.","@@"&amp;$F2654,"3 Posting Date",U$9)-NL("Sum","5802 Value Entry","43 Cost Amount (Actual)","41 Source Type",$C$5,"5 Source no.",$C2654,"4 Item Ledger Entry Type",$C$4,"2 Item No.","@@"&amp;$F2654,"3 Posting Date",U$9)</t>
  </si>
  <si>
    <t>=U2654-W2654</t>
  </si>
  <si>
    <t>=IF(U2654&lt;&gt;0,X2654/U2654,"")</t>
  </si>
  <si>
    <t>=NL("Sum","5802 Value Entry","150 Sales Amount (Expected)","41 Source Type",$C$5,"5 Source No.",$C2654,"4 Item Ledger Entry Type",$C$4,"2 Item No.","@@"&amp;$F2654,"3 Posting Date",Z$9)+NL("Sum","5802 Value Entry","17 Sales Amount (Actual)","41 Source Type",$C$5,"5 Source no.",$C2654,"4 Item Ledger Entry Type",$C$4,"2 Item No.","@@"&amp;$F2654,"3 Posting Date",Z$9)</t>
  </si>
  <si>
    <t>=-NL("Sum","5802 Value Entry","151 Cost Amount (Expected)","41 Source Type",$C$5,"5 Source No.",$C2654,"4 Item Ledger Entry Type",$C$4,"2 Item No.","@@"&amp;$F2654,"3 Posting Date",Z$9)-NL("Sum","5802 Value Entry","43 Cost Amount (Actual)","41 Source Type",$C$5,"5 Source no.",$C2654,"4 Item Ledger Entry Type",$C$4,"2 Item No.","@@"&amp;$F2654,"3 Posting Date",Z$9)</t>
  </si>
  <si>
    <t>=Z2654-AB2654</t>
  </si>
  <si>
    <t>=IF(Z2654&lt;&gt;0,AC2654/Z2654,"")</t>
  </si>
  <si>
    <t>=C2654</t>
  </si>
  <si>
    <t>=NL("Sum","5802 Value Entry","150 Sales Amount (Expected)","41 Source Type",$C$5,"5 Source No.",$C2655,"4 Item Ledger Entry Type",$C$4,"2 Item No.","@@"&amp;$F2655,"3 Posting Date",J$9)+NL("Sum","5802 Value Entry","17 Sales Amount (Actual)","41 Source Type",$C$5,"5 Source no.",$C2655,"4 Item Ledger Entry Type",$C$4,"2 Item No.","@@"&amp;$F2655,"3 Posting Date",J$9)</t>
  </si>
  <si>
    <t>=-NL("Sum","5802 Value Entry","151 Cost Amount (Expected)","41 Source Type",$C$5,"5 Source No.",$C2655,"4 Item Ledger Entry Type",$C$4,"2 Item No.","@@"&amp;$F2655,"3 Posting Date",J$9)-NL("Sum","5802 Value Entry","43 Cost Amount (Actual)","41 Source Type",$C$5,"5 Source no.",$C2655,"4 Item Ledger Entry Type",$C$4,"2 Item No.","@@"&amp;$F2655,"3 Posting Date",J$9)</t>
  </si>
  <si>
    <t>=J2655-L2655</t>
  </si>
  <si>
    <t>=IF(J2655&lt;&gt;0,M2655/J2655,"")</t>
  </si>
  <si>
    <t>=NL("Sum","5802 Value Entry","150 Sales Amount (Expected)","41 Source Type",$C$5,"5 Source No.",$C2655,"4 Item Ledger Entry Type",$C$4,"2 Item No.","@@"&amp;$F2655,"3 Posting Date",O$9)+NL("Sum","5802 Value Entry","17 Sales Amount (Actual)","41 Source Type",$C$5,"5 Source no.",$C2655,"4 Item Ledger Entry Type",$C$4,"2 Item No.","@@"&amp;$F2655,"3 Posting Date",O$9)</t>
  </si>
  <si>
    <t>=-NL("Sum","5802 Value Entry","151 Cost Amount (Expected)","41 Source Type",$C$5,"5 Source No.",$C2655,"4 Item Ledger Entry Type",$C$4,"2 Item No.","@@"&amp;$F2655,"3 Posting Date",O$9)-NL("Sum","5802 Value Entry","43 Cost Amount (Actual)","41 Source Type",$C$5,"5 Source no.",$C2655,"4 Item Ledger Entry Type",$C$4,"2 Item No.","@@"&amp;$F2655,"3 Posting Date",O$9)</t>
  </si>
  <si>
    <t>=O2655-Q2655</t>
  </si>
  <si>
    <t>=IF(O2655&lt;&gt;0,R2655/O2655,"")</t>
  </si>
  <si>
    <t>=NL("Sum","5802 Value Entry","150 Sales Amount (Expected)","41 Source Type",$C$5,"5 Source No.",$C2655,"4 Item Ledger Entry Type",$C$4,"2 Item No.","@@"&amp;$F2655,"3 Posting Date",U$9)+NL("Sum","5802 Value Entry","17 Sales Amount (Actual)","41 Source Type",$C$5,"5 Source no.",$C2655,"4 Item Ledger Entry Type",$C$4,"2 Item No.","@@"&amp;$F2655,"3 Posting Date",U$9)</t>
  </si>
  <si>
    <t>=-NL("Sum","5802 Value Entry","151 Cost Amount (Expected)","41 Source Type",$C$5,"5 Source No.",$C2655,"4 Item Ledger Entry Type",$C$4,"2 Item No.","@@"&amp;$F2655,"3 Posting Date",U$9)-NL("Sum","5802 Value Entry","43 Cost Amount (Actual)","41 Source Type",$C$5,"5 Source no.",$C2655,"4 Item Ledger Entry Type",$C$4,"2 Item No.","@@"&amp;$F2655,"3 Posting Date",U$9)</t>
  </si>
  <si>
    <t>=U2655-W2655</t>
  </si>
  <si>
    <t>=IF(U2655&lt;&gt;0,X2655/U2655,"")</t>
  </si>
  <si>
    <t>=NL("Sum","5802 Value Entry","150 Sales Amount (Expected)","41 Source Type",$C$5,"5 Source No.",$C2655,"4 Item Ledger Entry Type",$C$4,"2 Item No.","@@"&amp;$F2655,"3 Posting Date",Z$9)+NL("Sum","5802 Value Entry","17 Sales Amount (Actual)","41 Source Type",$C$5,"5 Source no.",$C2655,"4 Item Ledger Entry Type",$C$4,"2 Item No.","@@"&amp;$F2655,"3 Posting Date",Z$9)</t>
  </si>
  <si>
    <t>=-NL("Sum","5802 Value Entry","151 Cost Amount (Expected)","41 Source Type",$C$5,"5 Source No.",$C2655,"4 Item Ledger Entry Type",$C$4,"2 Item No.","@@"&amp;$F2655,"3 Posting Date",Z$9)-NL("Sum","5802 Value Entry","43 Cost Amount (Actual)","41 Source Type",$C$5,"5 Source no.",$C2655,"4 Item Ledger Entry Type",$C$4,"2 Item No.","@@"&amp;$F2655,"3 Posting Date",Z$9)</t>
  </si>
  <si>
    <t>=Z2655-AB2655</t>
  </si>
  <si>
    <t>=IF(Z2655&lt;&gt;0,AC2655/Z2655,"")</t>
  </si>
  <si>
    <t>=C2655</t>
  </si>
  <si>
    <t>=NL("Sum","5802 Value Entry","150 Sales Amount (Expected)","41 Source Type",$C$5,"5 Source No.",$C2656,"4 Item Ledger Entry Type",$C$4,"2 Item No.","@@"&amp;$F2656,"3 Posting Date",J$9)+NL("Sum","5802 Value Entry","17 Sales Amount (Actual)","41 Source Type",$C$5,"5 Source no.",$C2656,"4 Item Ledger Entry Type",$C$4,"2 Item No.","@@"&amp;$F2656,"3 Posting Date",J$9)</t>
  </si>
  <si>
    <t>=-NL("Sum","5802 Value Entry","151 Cost Amount (Expected)","41 Source Type",$C$5,"5 Source No.",$C2656,"4 Item Ledger Entry Type",$C$4,"2 Item No.","@@"&amp;$F2656,"3 Posting Date",J$9)-NL("Sum","5802 Value Entry","43 Cost Amount (Actual)","41 Source Type",$C$5,"5 Source no.",$C2656,"4 Item Ledger Entry Type",$C$4,"2 Item No.","@@"&amp;$F2656,"3 Posting Date",J$9)</t>
  </si>
  <si>
    <t>=J2656-L2656</t>
  </si>
  <si>
    <t>=IF(J2656&lt;&gt;0,M2656/J2656,"")</t>
  </si>
  <si>
    <t>=NL("Sum","5802 Value Entry","150 Sales Amount (Expected)","41 Source Type",$C$5,"5 Source No.",$C2656,"4 Item Ledger Entry Type",$C$4,"2 Item No.","@@"&amp;$F2656,"3 Posting Date",O$9)+NL("Sum","5802 Value Entry","17 Sales Amount (Actual)","41 Source Type",$C$5,"5 Source no.",$C2656,"4 Item Ledger Entry Type",$C$4,"2 Item No.","@@"&amp;$F2656,"3 Posting Date",O$9)</t>
  </si>
  <si>
    <t>=-NL("Sum","5802 Value Entry","151 Cost Amount (Expected)","41 Source Type",$C$5,"5 Source No.",$C2656,"4 Item Ledger Entry Type",$C$4,"2 Item No.","@@"&amp;$F2656,"3 Posting Date",O$9)-NL("Sum","5802 Value Entry","43 Cost Amount (Actual)","41 Source Type",$C$5,"5 Source no.",$C2656,"4 Item Ledger Entry Type",$C$4,"2 Item No.","@@"&amp;$F2656,"3 Posting Date",O$9)</t>
  </si>
  <si>
    <t>=O2656-Q2656</t>
  </si>
  <si>
    <t>=IF(O2656&lt;&gt;0,R2656/O2656,"")</t>
  </si>
  <si>
    <t>=NL("Sum","5802 Value Entry","150 Sales Amount (Expected)","41 Source Type",$C$5,"5 Source No.",$C2656,"4 Item Ledger Entry Type",$C$4,"2 Item No.","@@"&amp;$F2656,"3 Posting Date",U$9)+NL("Sum","5802 Value Entry","17 Sales Amount (Actual)","41 Source Type",$C$5,"5 Source no.",$C2656,"4 Item Ledger Entry Type",$C$4,"2 Item No.","@@"&amp;$F2656,"3 Posting Date",U$9)</t>
  </si>
  <si>
    <t>=-NL("Sum","5802 Value Entry","151 Cost Amount (Expected)","41 Source Type",$C$5,"5 Source No.",$C2656,"4 Item Ledger Entry Type",$C$4,"2 Item No.","@@"&amp;$F2656,"3 Posting Date",U$9)-NL("Sum","5802 Value Entry","43 Cost Amount (Actual)","41 Source Type",$C$5,"5 Source no.",$C2656,"4 Item Ledger Entry Type",$C$4,"2 Item No.","@@"&amp;$F2656,"3 Posting Date",U$9)</t>
  </si>
  <si>
    <t>=U2656-W2656</t>
  </si>
  <si>
    <t>=IF(U2656&lt;&gt;0,X2656/U2656,"")</t>
  </si>
  <si>
    <t>=NL("Sum","5802 Value Entry","150 Sales Amount (Expected)","41 Source Type",$C$5,"5 Source No.",$C2656,"4 Item Ledger Entry Type",$C$4,"2 Item No.","@@"&amp;$F2656,"3 Posting Date",Z$9)+NL("Sum","5802 Value Entry","17 Sales Amount (Actual)","41 Source Type",$C$5,"5 Source no.",$C2656,"4 Item Ledger Entry Type",$C$4,"2 Item No.","@@"&amp;$F2656,"3 Posting Date",Z$9)</t>
  </si>
  <si>
    <t>=-NL("Sum","5802 Value Entry","151 Cost Amount (Expected)","41 Source Type",$C$5,"5 Source No.",$C2656,"4 Item Ledger Entry Type",$C$4,"2 Item No.","@@"&amp;$F2656,"3 Posting Date",Z$9)-NL("Sum","5802 Value Entry","43 Cost Amount (Actual)","41 Source Type",$C$5,"5 Source no.",$C2656,"4 Item Ledger Entry Type",$C$4,"2 Item No.","@@"&amp;$F2656,"3 Posting Date",Z$9)</t>
  </si>
  <si>
    <t>=Z2656-AB2656</t>
  </si>
  <si>
    <t>=IF(Z2656&lt;&gt;0,AC2656/Z2656,"")</t>
  </si>
  <si>
    <t>=C2656</t>
  </si>
  <si>
    <t>=NL("Sum","5802 Value Entry","150 Sales Amount (Expected)","41 Source Type",$C$5,"5 Source No.",$C2657,"4 Item Ledger Entry Type",$C$4,"2 Item No.","@@"&amp;$F2657,"3 Posting Date",J$9)+NL("Sum","5802 Value Entry","17 Sales Amount (Actual)","41 Source Type",$C$5,"5 Source no.",$C2657,"4 Item Ledger Entry Type",$C$4,"2 Item No.","@@"&amp;$F2657,"3 Posting Date",J$9)</t>
  </si>
  <si>
    <t>=-NL("Sum","5802 Value Entry","151 Cost Amount (Expected)","41 Source Type",$C$5,"5 Source No.",$C2657,"4 Item Ledger Entry Type",$C$4,"2 Item No.","@@"&amp;$F2657,"3 Posting Date",J$9)-NL("Sum","5802 Value Entry","43 Cost Amount (Actual)","41 Source Type",$C$5,"5 Source no.",$C2657,"4 Item Ledger Entry Type",$C$4,"2 Item No.","@@"&amp;$F2657,"3 Posting Date",J$9)</t>
  </si>
  <si>
    <t>=J2657-L2657</t>
  </si>
  <si>
    <t>=IF(J2657&lt;&gt;0,M2657/J2657,"")</t>
  </si>
  <si>
    <t>=NL("Sum","5802 Value Entry","150 Sales Amount (Expected)","41 Source Type",$C$5,"5 Source No.",$C2657,"4 Item Ledger Entry Type",$C$4,"2 Item No.","@@"&amp;$F2657,"3 Posting Date",O$9)+NL("Sum","5802 Value Entry","17 Sales Amount (Actual)","41 Source Type",$C$5,"5 Source no.",$C2657,"4 Item Ledger Entry Type",$C$4,"2 Item No.","@@"&amp;$F2657,"3 Posting Date",O$9)</t>
  </si>
  <si>
    <t>=-NL("Sum","5802 Value Entry","151 Cost Amount (Expected)","41 Source Type",$C$5,"5 Source No.",$C2657,"4 Item Ledger Entry Type",$C$4,"2 Item No.","@@"&amp;$F2657,"3 Posting Date",O$9)-NL("Sum","5802 Value Entry","43 Cost Amount (Actual)","41 Source Type",$C$5,"5 Source no.",$C2657,"4 Item Ledger Entry Type",$C$4,"2 Item No.","@@"&amp;$F2657,"3 Posting Date",O$9)</t>
  </si>
  <si>
    <t>=O2657-Q2657</t>
  </si>
  <si>
    <t>=IF(O2657&lt;&gt;0,R2657/O2657,"")</t>
  </si>
  <si>
    <t>=NL("Sum","5802 Value Entry","150 Sales Amount (Expected)","41 Source Type",$C$5,"5 Source No.",$C2657,"4 Item Ledger Entry Type",$C$4,"2 Item No.","@@"&amp;$F2657,"3 Posting Date",U$9)+NL("Sum","5802 Value Entry","17 Sales Amount (Actual)","41 Source Type",$C$5,"5 Source no.",$C2657,"4 Item Ledger Entry Type",$C$4,"2 Item No.","@@"&amp;$F2657,"3 Posting Date",U$9)</t>
  </si>
  <si>
    <t>=-NL("Sum","5802 Value Entry","151 Cost Amount (Expected)","41 Source Type",$C$5,"5 Source No.",$C2657,"4 Item Ledger Entry Type",$C$4,"2 Item No.","@@"&amp;$F2657,"3 Posting Date",U$9)-NL("Sum","5802 Value Entry","43 Cost Amount (Actual)","41 Source Type",$C$5,"5 Source no.",$C2657,"4 Item Ledger Entry Type",$C$4,"2 Item No.","@@"&amp;$F2657,"3 Posting Date",U$9)</t>
  </si>
  <si>
    <t>=U2657-W2657</t>
  </si>
  <si>
    <t>=IF(U2657&lt;&gt;0,X2657/U2657,"")</t>
  </si>
  <si>
    <t>=NL("Sum","5802 Value Entry","150 Sales Amount (Expected)","41 Source Type",$C$5,"5 Source No.",$C2657,"4 Item Ledger Entry Type",$C$4,"2 Item No.","@@"&amp;$F2657,"3 Posting Date",Z$9)+NL("Sum","5802 Value Entry","17 Sales Amount (Actual)","41 Source Type",$C$5,"5 Source no.",$C2657,"4 Item Ledger Entry Type",$C$4,"2 Item No.","@@"&amp;$F2657,"3 Posting Date",Z$9)</t>
  </si>
  <si>
    <t>=-NL("Sum","5802 Value Entry","151 Cost Amount (Expected)","41 Source Type",$C$5,"5 Source No.",$C2657,"4 Item Ledger Entry Type",$C$4,"2 Item No.","@@"&amp;$F2657,"3 Posting Date",Z$9)-NL("Sum","5802 Value Entry","43 Cost Amount (Actual)","41 Source Type",$C$5,"5 Source no.",$C2657,"4 Item Ledger Entry Type",$C$4,"2 Item No.","@@"&amp;$F2657,"3 Posting Date",Z$9)</t>
  </si>
  <si>
    <t>=Z2657-AB2657</t>
  </si>
  <si>
    <t>=IF(Z2657&lt;&gt;0,AC2657/Z2657,"")</t>
  </si>
  <si>
    <t>=C2657</t>
  </si>
  <si>
    <t>=NL("Sum","5802 Value Entry","150 Sales Amount (Expected)","41 Source Type",$C$5,"5 Source No.",$C2658,"4 Item Ledger Entry Type",$C$4,"2 Item No.","@@"&amp;$F2658,"3 Posting Date",J$9)+NL("Sum","5802 Value Entry","17 Sales Amount (Actual)","41 Source Type",$C$5,"5 Source no.",$C2658,"4 Item Ledger Entry Type",$C$4,"2 Item No.","@@"&amp;$F2658,"3 Posting Date",J$9)</t>
  </si>
  <si>
    <t>=-NL("Sum","5802 Value Entry","151 Cost Amount (Expected)","41 Source Type",$C$5,"5 Source No.",$C2658,"4 Item Ledger Entry Type",$C$4,"2 Item No.","@@"&amp;$F2658,"3 Posting Date",J$9)-NL("Sum","5802 Value Entry","43 Cost Amount (Actual)","41 Source Type",$C$5,"5 Source no.",$C2658,"4 Item Ledger Entry Type",$C$4,"2 Item No.","@@"&amp;$F2658,"3 Posting Date",J$9)</t>
  </si>
  <si>
    <t>=J2658-L2658</t>
  </si>
  <si>
    <t>=IF(J2658&lt;&gt;0,M2658/J2658,"")</t>
  </si>
  <si>
    <t>=NL("Sum","5802 Value Entry","150 Sales Amount (Expected)","41 Source Type",$C$5,"5 Source No.",$C2658,"4 Item Ledger Entry Type",$C$4,"2 Item No.","@@"&amp;$F2658,"3 Posting Date",O$9)+NL("Sum","5802 Value Entry","17 Sales Amount (Actual)","41 Source Type",$C$5,"5 Source no.",$C2658,"4 Item Ledger Entry Type",$C$4,"2 Item No.","@@"&amp;$F2658,"3 Posting Date",O$9)</t>
  </si>
  <si>
    <t>=-NL("Sum","5802 Value Entry","151 Cost Amount (Expected)","41 Source Type",$C$5,"5 Source No.",$C2658,"4 Item Ledger Entry Type",$C$4,"2 Item No.","@@"&amp;$F2658,"3 Posting Date",O$9)-NL("Sum","5802 Value Entry","43 Cost Amount (Actual)","41 Source Type",$C$5,"5 Source no.",$C2658,"4 Item Ledger Entry Type",$C$4,"2 Item No.","@@"&amp;$F2658,"3 Posting Date",O$9)</t>
  </si>
  <si>
    <t>=O2658-Q2658</t>
  </si>
  <si>
    <t>=IF(O2658&lt;&gt;0,R2658/O2658,"")</t>
  </si>
  <si>
    <t>=NL("Sum","5802 Value Entry","150 Sales Amount (Expected)","41 Source Type",$C$5,"5 Source No.",$C2658,"4 Item Ledger Entry Type",$C$4,"2 Item No.","@@"&amp;$F2658,"3 Posting Date",U$9)+NL("Sum","5802 Value Entry","17 Sales Amount (Actual)","41 Source Type",$C$5,"5 Source no.",$C2658,"4 Item Ledger Entry Type",$C$4,"2 Item No.","@@"&amp;$F2658,"3 Posting Date",U$9)</t>
  </si>
  <si>
    <t>=-NL("Sum","5802 Value Entry","151 Cost Amount (Expected)","41 Source Type",$C$5,"5 Source No.",$C2658,"4 Item Ledger Entry Type",$C$4,"2 Item No.","@@"&amp;$F2658,"3 Posting Date",U$9)-NL("Sum","5802 Value Entry","43 Cost Amount (Actual)","41 Source Type",$C$5,"5 Source no.",$C2658,"4 Item Ledger Entry Type",$C$4,"2 Item No.","@@"&amp;$F2658,"3 Posting Date",U$9)</t>
  </si>
  <si>
    <t>=U2658-W2658</t>
  </si>
  <si>
    <t>=IF(U2658&lt;&gt;0,X2658/U2658,"")</t>
  </si>
  <si>
    <t>=NL("Sum","5802 Value Entry","150 Sales Amount (Expected)","41 Source Type",$C$5,"5 Source No.",$C2658,"4 Item Ledger Entry Type",$C$4,"2 Item No.","@@"&amp;$F2658,"3 Posting Date",Z$9)+NL("Sum","5802 Value Entry","17 Sales Amount (Actual)","41 Source Type",$C$5,"5 Source no.",$C2658,"4 Item Ledger Entry Type",$C$4,"2 Item No.","@@"&amp;$F2658,"3 Posting Date",Z$9)</t>
  </si>
  <si>
    <t>=-NL("Sum","5802 Value Entry","151 Cost Amount (Expected)","41 Source Type",$C$5,"5 Source No.",$C2658,"4 Item Ledger Entry Type",$C$4,"2 Item No.","@@"&amp;$F2658,"3 Posting Date",Z$9)-NL("Sum","5802 Value Entry","43 Cost Amount (Actual)","41 Source Type",$C$5,"5 Source no.",$C2658,"4 Item Ledger Entry Type",$C$4,"2 Item No.","@@"&amp;$F2658,"3 Posting Date",Z$9)</t>
  </si>
  <si>
    <t>=Z2658-AB2658</t>
  </si>
  <si>
    <t>=IF(Z2658&lt;&gt;0,AC2658/Z2658,"")</t>
  </si>
  <si>
    <t>=C2658</t>
  </si>
  <si>
    <t>=NL("Sum","5802 Value Entry","150 Sales Amount (Expected)","41 Source Type",$C$5,"5 Source No.",$C2659,"4 Item Ledger Entry Type",$C$4,"2 Item No.","@@"&amp;$F2659,"3 Posting Date",J$9)+NL("Sum","5802 Value Entry","17 Sales Amount (Actual)","41 Source Type",$C$5,"5 Source no.",$C2659,"4 Item Ledger Entry Type",$C$4,"2 Item No.","@@"&amp;$F2659,"3 Posting Date",J$9)</t>
  </si>
  <si>
    <t>=-NL("Sum","5802 Value Entry","151 Cost Amount (Expected)","41 Source Type",$C$5,"5 Source No.",$C2659,"4 Item Ledger Entry Type",$C$4,"2 Item No.","@@"&amp;$F2659,"3 Posting Date",J$9)-NL("Sum","5802 Value Entry","43 Cost Amount (Actual)","41 Source Type",$C$5,"5 Source no.",$C2659,"4 Item Ledger Entry Type",$C$4,"2 Item No.","@@"&amp;$F2659,"3 Posting Date",J$9)</t>
  </si>
  <si>
    <t>=J2659-L2659</t>
  </si>
  <si>
    <t>=IF(J2659&lt;&gt;0,M2659/J2659,"")</t>
  </si>
  <si>
    <t>=NL("Sum","5802 Value Entry","150 Sales Amount (Expected)","41 Source Type",$C$5,"5 Source No.",$C2659,"4 Item Ledger Entry Type",$C$4,"2 Item No.","@@"&amp;$F2659,"3 Posting Date",O$9)+NL("Sum","5802 Value Entry","17 Sales Amount (Actual)","41 Source Type",$C$5,"5 Source no.",$C2659,"4 Item Ledger Entry Type",$C$4,"2 Item No.","@@"&amp;$F2659,"3 Posting Date",O$9)</t>
  </si>
  <si>
    <t>=-NL("Sum","5802 Value Entry","151 Cost Amount (Expected)","41 Source Type",$C$5,"5 Source No.",$C2659,"4 Item Ledger Entry Type",$C$4,"2 Item No.","@@"&amp;$F2659,"3 Posting Date",O$9)-NL("Sum","5802 Value Entry","43 Cost Amount (Actual)","41 Source Type",$C$5,"5 Source no.",$C2659,"4 Item Ledger Entry Type",$C$4,"2 Item No.","@@"&amp;$F2659,"3 Posting Date",O$9)</t>
  </si>
  <si>
    <t>=O2659-Q2659</t>
  </si>
  <si>
    <t>=IF(O2659&lt;&gt;0,R2659/O2659,"")</t>
  </si>
  <si>
    <t>=NL("Sum","5802 Value Entry","150 Sales Amount (Expected)","41 Source Type",$C$5,"5 Source No.",$C2659,"4 Item Ledger Entry Type",$C$4,"2 Item No.","@@"&amp;$F2659,"3 Posting Date",U$9)+NL("Sum","5802 Value Entry","17 Sales Amount (Actual)","41 Source Type",$C$5,"5 Source no.",$C2659,"4 Item Ledger Entry Type",$C$4,"2 Item No.","@@"&amp;$F2659,"3 Posting Date",U$9)</t>
  </si>
  <si>
    <t>=-NL("Sum","5802 Value Entry","151 Cost Amount (Expected)","41 Source Type",$C$5,"5 Source No.",$C2659,"4 Item Ledger Entry Type",$C$4,"2 Item No.","@@"&amp;$F2659,"3 Posting Date",U$9)-NL("Sum","5802 Value Entry","43 Cost Amount (Actual)","41 Source Type",$C$5,"5 Source no.",$C2659,"4 Item Ledger Entry Type",$C$4,"2 Item No.","@@"&amp;$F2659,"3 Posting Date",U$9)</t>
  </si>
  <si>
    <t>=U2659-W2659</t>
  </si>
  <si>
    <t>=IF(U2659&lt;&gt;0,X2659/U2659,"")</t>
  </si>
  <si>
    <t>=NL("Sum","5802 Value Entry","150 Sales Amount (Expected)","41 Source Type",$C$5,"5 Source No.",$C2659,"4 Item Ledger Entry Type",$C$4,"2 Item No.","@@"&amp;$F2659,"3 Posting Date",Z$9)+NL("Sum","5802 Value Entry","17 Sales Amount (Actual)","41 Source Type",$C$5,"5 Source no.",$C2659,"4 Item Ledger Entry Type",$C$4,"2 Item No.","@@"&amp;$F2659,"3 Posting Date",Z$9)</t>
  </si>
  <si>
    <t>=-NL("Sum","5802 Value Entry","151 Cost Amount (Expected)","41 Source Type",$C$5,"5 Source No.",$C2659,"4 Item Ledger Entry Type",$C$4,"2 Item No.","@@"&amp;$F2659,"3 Posting Date",Z$9)-NL("Sum","5802 Value Entry","43 Cost Amount (Actual)","41 Source Type",$C$5,"5 Source no.",$C2659,"4 Item Ledger Entry Type",$C$4,"2 Item No.","@@"&amp;$F2659,"3 Posting Date",Z$9)</t>
  </si>
  <si>
    <t>=Z2659-AB2659</t>
  </si>
  <si>
    <t>=IF(Z2659&lt;&gt;0,AC2659/Z2659,"")</t>
  </si>
  <si>
    <t>=C2659</t>
  </si>
  <si>
    <t>=NL("Sum","5802 Value Entry","150 Sales Amount (Expected)","41 Source Type",$C$5,"5 Source No.",$C2660,"4 Item Ledger Entry Type",$C$4,"2 Item No.","@@"&amp;$F2660,"3 Posting Date",J$9)+NL("Sum","5802 Value Entry","17 Sales Amount (Actual)","41 Source Type",$C$5,"5 Source no.",$C2660,"4 Item Ledger Entry Type",$C$4,"2 Item No.","@@"&amp;$F2660,"3 Posting Date",J$9)</t>
  </si>
  <si>
    <t>=-NL("Sum","5802 Value Entry","151 Cost Amount (Expected)","41 Source Type",$C$5,"5 Source No.",$C2660,"4 Item Ledger Entry Type",$C$4,"2 Item No.","@@"&amp;$F2660,"3 Posting Date",J$9)-NL("Sum","5802 Value Entry","43 Cost Amount (Actual)","41 Source Type",$C$5,"5 Source no.",$C2660,"4 Item Ledger Entry Type",$C$4,"2 Item No.","@@"&amp;$F2660,"3 Posting Date",J$9)</t>
  </si>
  <si>
    <t>=J2660-L2660</t>
  </si>
  <si>
    <t>=IF(J2660&lt;&gt;0,M2660/J2660,"")</t>
  </si>
  <si>
    <t>=NL("Sum","5802 Value Entry","150 Sales Amount (Expected)","41 Source Type",$C$5,"5 Source No.",$C2660,"4 Item Ledger Entry Type",$C$4,"2 Item No.","@@"&amp;$F2660,"3 Posting Date",O$9)+NL("Sum","5802 Value Entry","17 Sales Amount (Actual)","41 Source Type",$C$5,"5 Source no.",$C2660,"4 Item Ledger Entry Type",$C$4,"2 Item No.","@@"&amp;$F2660,"3 Posting Date",O$9)</t>
  </si>
  <si>
    <t>=-NL("Sum","5802 Value Entry","151 Cost Amount (Expected)","41 Source Type",$C$5,"5 Source No.",$C2660,"4 Item Ledger Entry Type",$C$4,"2 Item No.","@@"&amp;$F2660,"3 Posting Date",O$9)-NL("Sum","5802 Value Entry","43 Cost Amount (Actual)","41 Source Type",$C$5,"5 Source no.",$C2660,"4 Item Ledger Entry Type",$C$4,"2 Item No.","@@"&amp;$F2660,"3 Posting Date",O$9)</t>
  </si>
  <si>
    <t>=O2660-Q2660</t>
  </si>
  <si>
    <t>=IF(O2660&lt;&gt;0,R2660/O2660,"")</t>
  </si>
  <si>
    <t>=NL("Sum","5802 Value Entry","150 Sales Amount (Expected)","41 Source Type",$C$5,"5 Source No.",$C2660,"4 Item Ledger Entry Type",$C$4,"2 Item No.","@@"&amp;$F2660,"3 Posting Date",U$9)+NL("Sum","5802 Value Entry","17 Sales Amount (Actual)","41 Source Type",$C$5,"5 Source no.",$C2660,"4 Item Ledger Entry Type",$C$4,"2 Item No.","@@"&amp;$F2660,"3 Posting Date",U$9)</t>
  </si>
  <si>
    <t>=-NL("Sum","5802 Value Entry","151 Cost Amount (Expected)","41 Source Type",$C$5,"5 Source No.",$C2660,"4 Item Ledger Entry Type",$C$4,"2 Item No.","@@"&amp;$F2660,"3 Posting Date",U$9)-NL("Sum","5802 Value Entry","43 Cost Amount (Actual)","41 Source Type",$C$5,"5 Source no.",$C2660,"4 Item Ledger Entry Type",$C$4,"2 Item No.","@@"&amp;$F2660,"3 Posting Date",U$9)</t>
  </si>
  <si>
    <t>=U2660-W2660</t>
  </si>
  <si>
    <t>=IF(U2660&lt;&gt;0,X2660/U2660,"")</t>
  </si>
  <si>
    <t>=NL("Sum","5802 Value Entry","150 Sales Amount (Expected)","41 Source Type",$C$5,"5 Source No.",$C2660,"4 Item Ledger Entry Type",$C$4,"2 Item No.","@@"&amp;$F2660,"3 Posting Date",Z$9)+NL("Sum","5802 Value Entry","17 Sales Amount (Actual)","41 Source Type",$C$5,"5 Source no.",$C2660,"4 Item Ledger Entry Type",$C$4,"2 Item No.","@@"&amp;$F2660,"3 Posting Date",Z$9)</t>
  </si>
  <si>
    <t>=-NL("Sum","5802 Value Entry","151 Cost Amount (Expected)","41 Source Type",$C$5,"5 Source No.",$C2660,"4 Item Ledger Entry Type",$C$4,"2 Item No.","@@"&amp;$F2660,"3 Posting Date",Z$9)-NL("Sum","5802 Value Entry","43 Cost Amount (Actual)","41 Source Type",$C$5,"5 Source no.",$C2660,"4 Item Ledger Entry Type",$C$4,"2 Item No.","@@"&amp;$F2660,"3 Posting Date",Z$9)</t>
  </si>
  <si>
    <t>=Z2660-AB2660</t>
  </si>
  <si>
    <t>=IF(Z2660&lt;&gt;0,AC2660/Z2660,"")</t>
  </si>
  <si>
    <t>=C2661</t>
  </si>
  <si>
    <t>=J2662-L2662</t>
  </si>
  <si>
    <t>=IF(J2662&lt;&gt;0,M2662/J2662,"")</t>
  </si>
  <si>
    <t>=O2662-Q2662</t>
  </si>
  <si>
    <t>=IF(O2662&lt;&gt;0,R2662/O2662,"")</t>
  </si>
  <si>
    <t>=U2662-W2662</t>
  </si>
  <si>
    <t>=IF(U2662&lt;&gt;0,X2662/U2662,"")</t>
  </si>
  <si>
    <t>=Z2662-AB2662</t>
  </si>
  <si>
    <t>=IF(Z2662&lt;&gt;0,AC2662/Z2662,"")</t>
  </si>
  <si>
    <t>="C100117"</t>
  </si>
  <si>
    <t>=C2664</t>
  </si>
  <si>
    <t>=C2665</t>
  </si>
  <si>
    <t>=NL("Sum","5802 Value Entry","150 Sales Amount (Expected)","41 Source Type",$C$5,"5 Source No.",$C2666,"4 Item Ledger Entry Type",$C$4,"2 Item No.","@@"&amp;$F2666,"3 Posting Date",J$9)+NL("Sum","5802 Value Entry","17 Sales Amount (Actual)","41 Source Type",$C$5,"5 Source no.",$C2666,"4 Item Ledger Entry Type",$C$4,"2 Item No.","@@"&amp;$F2666,"3 Posting Date",J$9)</t>
  </si>
  <si>
    <t>=-NL("Sum","5802 Value Entry","151 Cost Amount (Expected)","41 Source Type",$C$5,"5 Source No.",$C2666,"4 Item Ledger Entry Type",$C$4,"2 Item No.","@@"&amp;$F2666,"3 Posting Date",J$9)-NL("Sum","5802 Value Entry","43 Cost Amount (Actual)","41 Source Type",$C$5,"5 Source no.",$C2666,"4 Item Ledger Entry Type",$C$4,"2 Item No.","@@"&amp;$F2666,"3 Posting Date",J$9)</t>
  </si>
  <si>
    <t>=J2666-L2666</t>
  </si>
  <si>
    <t>=IF(J2666&lt;&gt;0,M2666/J2666,"")</t>
  </si>
  <si>
    <t>=NL("Sum","5802 Value Entry","150 Sales Amount (Expected)","41 Source Type",$C$5,"5 Source No.",$C2666,"4 Item Ledger Entry Type",$C$4,"2 Item No.","@@"&amp;$F2666,"3 Posting Date",O$9)+NL("Sum","5802 Value Entry","17 Sales Amount (Actual)","41 Source Type",$C$5,"5 Source no.",$C2666,"4 Item Ledger Entry Type",$C$4,"2 Item No.","@@"&amp;$F2666,"3 Posting Date",O$9)</t>
  </si>
  <si>
    <t>=-NL("Sum","5802 Value Entry","151 Cost Amount (Expected)","41 Source Type",$C$5,"5 Source No.",$C2666,"4 Item Ledger Entry Type",$C$4,"2 Item No.","@@"&amp;$F2666,"3 Posting Date",O$9)-NL("Sum","5802 Value Entry","43 Cost Amount (Actual)","41 Source Type",$C$5,"5 Source no.",$C2666,"4 Item Ledger Entry Type",$C$4,"2 Item No.","@@"&amp;$F2666,"3 Posting Date",O$9)</t>
  </si>
  <si>
    <t>=O2666-Q2666</t>
  </si>
  <si>
    <t>=IF(O2666&lt;&gt;0,R2666/O2666,"")</t>
  </si>
  <si>
    <t>=NL("Sum","5802 Value Entry","150 Sales Amount (Expected)","41 Source Type",$C$5,"5 Source No.",$C2666,"4 Item Ledger Entry Type",$C$4,"2 Item No.","@@"&amp;$F2666,"3 Posting Date",U$9)+NL("Sum","5802 Value Entry","17 Sales Amount (Actual)","41 Source Type",$C$5,"5 Source no.",$C2666,"4 Item Ledger Entry Type",$C$4,"2 Item No.","@@"&amp;$F2666,"3 Posting Date",U$9)</t>
  </si>
  <si>
    <t>=-NL("Sum","5802 Value Entry","151 Cost Amount (Expected)","41 Source Type",$C$5,"5 Source No.",$C2666,"4 Item Ledger Entry Type",$C$4,"2 Item No.","@@"&amp;$F2666,"3 Posting Date",U$9)-NL("Sum","5802 Value Entry","43 Cost Amount (Actual)","41 Source Type",$C$5,"5 Source no.",$C2666,"4 Item Ledger Entry Type",$C$4,"2 Item No.","@@"&amp;$F2666,"3 Posting Date",U$9)</t>
  </si>
  <si>
    <t>=U2666-W2666</t>
  </si>
  <si>
    <t>=IF(U2666&lt;&gt;0,X2666/U2666,"")</t>
  </si>
  <si>
    <t>=NL("Sum","5802 Value Entry","150 Sales Amount (Expected)","41 Source Type",$C$5,"5 Source No.",$C2666,"4 Item Ledger Entry Type",$C$4,"2 Item No.","@@"&amp;$F2666,"3 Posting Date",Z$9)+NL("Sum","5802 Value Entry","17 Sales Amount (Actual)","41 Source Type",$C$5,"5 Source no.",$C2666,"4 Item Ledger Entry Type",$C$4,"2 Item No.","@@"&amp;$F2666,"3 Posting Date",Z$9)</t>
  </si>
  <si>
    <t>=-NL("Sum","5802 Value Entry","151 Cost Amount (Expected)","41 Source Type",$C$5,"5 Source No.",$C2666,"4 Item Ledger Entry Type",$C$4,"2 Item No.","@@"&amp;$F2666,"3 Posting Date",Z$9)-NL("Sum","5802 Value Entry","43 Cost Amount (Actual)","41 Source Type",$C$5,"5 Source no.",$C2666,"4 Item Ledger Entry Type",$C$4,"2 Item No.","@@"&amp;$F2666,"3 Posting Date",Z$9)</t>
  </si>
  <si>
    <t>=Z2666-AB2666</t>
  </si>
  <si>
    <t>=IF(Z2666&lt;&gt;0,AC2666/Z2666,"")</t>
  </si>
  <si>
    <t>=C2666</t>
  </si>
  <si>
    <t>=NL("Sum","5802 Value Entry","150 Sales Amount (Expected)","41 Source Type",$C$5,"5 Source No.",$C2667,"4 Item Ledger Entry Type",$C$4,"2 Item No.","@@"&amp;$F2667,"3 Posting Date",J$9)+NL("Sum","5802 Value Entry","17 Sales Amount (Actual)","41 Source Type",$C$5,"5 Source no.",$C2667,"4 Item Ledger Entry Type",$C$4,"2 Item No.","@@"&amp;$F2667,"3 Posting Date",J$9)</t>
  </si>
  <si>
    <t>=-NL("Sum","5802 Value Entry","151 Cost Amount (Expected)","41 Source Type",$C$5,"5 Source No.",$C2667,"4 Item Ledger Entry Type",$C$4,"2 Item No.","@@"&amp;$F2667,"3 Posting Date",J$9)-NL("Sum","5802 Value Entry","43 Cost Amount (Actual)","41 Source Type",$C$5,"5 Source no.",$C2667,"4 Item Ledger Entry Type",$C$4,"2 Item No.","@@"&amp;$F2667,"3 Posting Date",J$9)</t>
  </si>
  <si>
    <t>=J2667-L2667</t>
  </si>
  <si>
    <t>=IF(J2667&lt;&gt;0,M2667/J2667,"")</t>
  </si>
  <si>
    <t>=NL("Sum","5802 Value Entry","150 Sales Amount (Expected)","41 Source Type",$C$5,"5 Source No.",$C2667,"4 Item Ledger Entry Type",$C$4,"2 Item No.","@@"&amp;$F2667,"3 Posting Date",O$9)+NL("Sum","5802 Value Entry","17 Sales Amount (Actual)","41 Source Type",$C$5,"5 Source no.",$C2667,"4 Item Ledger Entry Type",$C$4,"2 Item No.","@@"&amp;$F2667,"3 Posting Date",O$9)</t>
  </si>
  <si>
    <t>=-NL("Sum","5802 Value Entry","151 Cost Amount (Expected)","41 Source Type",$C$5,"5 Source No.",$C2667,"4 Item Ledger Entry Type",$C$4,"2 Item No.","@@"&amp;$F2667,"3 Posting Date",O$9)-NL("Sum","5802 Value Entry","43 Cost Amount (Actual)","41 Source Type",$C$5,"5 Source no.",$C2667,"4 Item Ledger Entry Type",$C$4,"2 Item No.","@@"&amp;$F2667,"3 Posting Date",O$9)</t>
  </si>
  <si>
    <t>=O2667-Q2667</t>
  </si>
  <si>
    <t>=IF(O2667&lt;&gt;0,R2667/O2667,"")</t>
  </si>
  <si>
    <t>=NL("Sum","5802 Value Entry","150 Sales Amount (Expected)","41 Source Type",$C$5,"5 Source No.",$C2667,"4 Item Ledger Entry Type",$C$4,"2 Item No.","@@"&amp;$F2667,"3 Posting Date",U$9)+NL("Sum","5802 Value Entry","17 Sales Amount (Actual)","41 Source Type",$C$5,"5 Source no.",$C2667,"4 Item Ledger Entry Type",$C$4,"2 Item No.","@@"&amp;$F2667,"3 Posting Date",U$9)</t>
  </si>
  <si>
    <t>=-NL("Sum","5802 Value Entry","151 Cost Amount (Expected)","41 Source Type",$C$5,"5 Source No.",$C2667,"4 Item Ledger Entry Type",$C$4,"2 Item No.","@@"&amp;$F2667,"3 Posting Date",U$9)-NL("Sum","5802 Value Entry","43 Cost Amount (Actual)","41 Source Type",$C$5,"5 Source no.",$C2667,"4 Item Ledger Entry Type",$C$4,"2 Item No.","@@"&amp;$F2667,"3 Posting Date",U$9)</t>
  </si>
  <si>
    <t>=U2667-W2667</t>
  </si>
  <si>
    <t>=IF(U2667&lt;&gt;0,X2667/U2667,"")</t>
  </si>
  <si>
    <t>=NL("Sum","5802 Value Entry","150 Sales Amount (Expected)","41 Source Type",$C$5,"5 Source No.",$C2667,"4 Item Ledger Entry Type",$C$4,"2 Item No.","@@"&amp;$F2667,"3 Posting Date",Z$9)+NL("Sum","5802 Value Entry","17 Sales Amount (Actual)","41 Source Type",$C$5,"5 Source no.",$C2667,"4 Item Ledger Entry Type",$C$4,"2 Item No.","@@"&amp;$F2667,"3 Posting Date",Z$9)</t>
  </si>
  <si>
    <t>=-NL("Sum","5802 Value Entry","151 Cost Amount (Expected)","41 Source Type",$C$5,"5 Source No.",$C2667,"4 Item Ledger Entry Type",$C$4,"2 Item No.","@@"&amp;$F2667,"3 Posting Date",Z$9)-NL("Sum","5802 Value Entry","43 Cost Amount (Actual)","41 Source Type",$C$5,"5 Source no.",$C2667,"4 Item Ledger Entry Type",$C$4,"2 Item No.","@@"&amp;$F2667,"3 Posting Date",Z$9)</t>
  </si>
  <si>
    <t>=Z2667-AB2667</t>
  </si>
  <si>
    <t>=IF(Z2667&lt;&gt;0,AC2667/Z2667,"")</t>
  </si>
  <si>
    <t>=C2667</t>
  </si>
  <si>
    <t>=NL("Sum","5802 Value Entry","150 Sales Amount (Expected)","41 Source Type",$C$5,"5 Source No.",$C2668,"4 Item Ledger Entry Type",$C$4,"2 Item No.","@@"&amp;$F2668,"3 Posting Date",J$9)+NL("Sum","5802 Value Entry","17 Sales Amount (Actual)","41 Source Type",$C$5,"5 Source no.",$C2668,"4 Item Ledger Entry Type",$C$4,"2 Item No.","@@"&amp;$F2668,"3 Posting Date",J$9)</t>
  </si>
  <si>
    <t>=-NL("Sum","5802 Value Entry","151 Cost Amount (Expected)","41 Source Type",$C$5,"5 Source No.",$C2668,"4 Item Ledger Entry Type",$C$4,"2 Item No.","@@"&amp;$F2668,"3 Posting Date",J$9)-NL("Sum","5802 Value Entry","43 Cost Amount (Actual)","41 Source Type",$C$5,"5 Source no.",$C2668,"4 Item Ledger Entry Type",$C$4,"2 Item No.","@@"&amp;$F2668,"3 Posting Date",J$9)</t>
  </si>
  <si>
    <t>=J2668-L2668</t>
  </si>
  <si>
    <t>=IF(J2668&lt;&gt;0,M2668/J2668,"")</t>
  </si>
  <si>
    <t>=NL("Sum","5802 Value Entry","150 Sales Amount (Expected)","41 Source Type",$C$5,"5 Source No.",$C2668,"4 Item Ledger Entry Type",$C$4,"2 Item No.","@@"&amp;$F2668,"3 Posting Date",O$9)+NL("Sum","5802 Value Entry","17 Sales Amount (Actual)","41 Source Type",$C$5,"5 Source no.",$C2668,"4 Item Ledger Entry Type",$C$4,"2 Item No.","@@"&amp;$F2668,"3 Posting Date",O$9)</t>
  </si>
  <si>
    <t>=-NL("Sum","5802 Value Entry","151 Cost Amount (Expected)","41 Source Type",$C$5,"5 Source No.",$C2668,"4 Item Ledger Entry Type",$C$4,"2 Item No.","@@"&amp;$F2668,"3 Posting Date",O$9)-NL("Sum","5802 Value Entry","43 Cost Amount (Actual)","41 Source Type",$C$5,"5 Source no.",$C2668,"4 Item Ledger Entry Type",$C$4,"2 Item No.","@@"&amp;$F2668,"3 Posting Date",O$9)</t>
  </si>
  <si>
    <t>=O2668-Q2668</t>
  </si>
  <si>
    <t>=IF(O2668&lt;&gt;0,R2668/O2668,"")</t>
  </si>
  <si>
    <t>=NL("Sum","5802 Value Entry","150 Sales Amount (Expected)","41 Source Type",$C$5,"5 Source No.",$C2668,"4 Item Ledger Entry Type",$C$4,"2 Item No.","@@"&amp;$F2668,"3 Posting Date",U$9)+NL("Sum","5802 Value Entry","17 Sales Amount (Actual)","41 Source Type",$C$5,"5 Source no.",$C2668,"4 Item Ledger Entry Type",$C$4,"2 Item No.","@@"&amp;$F2668,"3 Posting Date",U$9)</t>
  </si>
  <si>
    <t>=-NL("Sum","5802 Value Entry","151 Cost Amount (Expected)","41 Source Type",$C$5,"5 Source No.",$C2668,"4 Item Ledger Entry Type",$C$4,"2 Item No.","@@"&amp;$F2668,"3 Posting Date",U$9)-NL("Sum","5802 Value Entry","43 Cost Amount (Actual)","41 Source Type",$C$5,"5 Source no.",$C2668,"4 Item Ledger Entry Type",$C$4,"2 Item No.","@@"&amp;$F2668,"3 Posting Date",U$9)</t>
  </si>
  <si>
    <t>=U2668-W2668</t>
  </si>
  <si>
    <t>=IF(U2668&lt;&gt;0,X2668/U2668,"")</t>
  </si>
  <si>
    <t>=NL("Sum","5802 Value Entry","150 Sales Amount (Expected)","41 Source Type",$C$5,"5 Source No.",$C2668,"4 Item Ledger Entry Type",$C$4,"2 Item No.","@@"&amp;$F2668,"3 Posting Date",Z$9)+NL("Sum","5802 Value Entry","17 Sales Amount (Actual)","41 Source Type",$C$5,"5 Source no.",$C2668,"4 Item Ledger Entry Type",$C$4,"2 Item No.","@@"&amp;$F2668,"3 Posting Date",Z$9)</t>
  </si>
  <si>
    <t>=-NL("Sum","5802 Value Entry","151 Cost Amount (Expected)","41 Source Type",$C$5,"5 Source No.",$C2668,"4 Item Ledger Entry Type",$C$4,"2 Item No.","@@"&amp;$F2668,"3 Posting Date",Z$9)-NL("Sum","5802 Value Entry","43 Cost Amount (Actual)","41 Source Type",$C$5,"5 Source no.",$C2668,"4 Item Ledger Entry Type",$C$4,"2 Item No.","@@"&amp;$F2668,"3 Posting Date",Z$9)</t>
  </si>
  <si>
    <t>=Z2668-AB2668</t>
  </si>
  <si>
    <t>=IF(Z2668&lt;&gt;0,AC2668/Z2668,"")</t>
  </si>
  <si>
    <t>=C2668</t>
  </si>
  <si>
    <t>=NL("Sum","5802 Value Entry","150 Sales Amount (Expected)","41 Source Type",$C$5,"5 Source No.",$C2669,"4 Item Ledger Entry Type",$C$4,"2 Item No.","@@"&amp;$F2669,"3 Posting Date",J$9)+NL("Sum","5802 Value Entry","17 Sales Amount (Actual)","41 Source Type",$C$5,"5 Source no.",$C2669,"4 Item Ledger Entry Type",$C$4,"2 Item No.","@@"&amp;$F2669,"3 Posting Date",J$9)</t>
  </si>
  <si>
    <t>=-NL("Sum","5802 Value Entry","151 Cost Amount (Expected)","41 Source Type",$C$5,"5 Source No.",$C2669,"4 Item Ledger Entry Type",$C$4,"2 Item No.","@@"&amp;$F2669,"3 Posting Date",J$9)-NL("Sum","5802 Value Entry","43 Cost Amount (Actual)","41 Source Type",$C$5,"5 Source no.",$C2669,"4 Item Ledger Entry Type",$C$4,"2 Item No.","@@"&amp;$F2669,"3 Posting Date",J$9)</t>
  </si>
  <si>
    <t>=J2669-L2669</t>
  </si>
  <si>
    <t>=IF(J2669&lt;&gt;0,M2669/J2669,"")</t>
  </si>
  <si>
    <t>=NL("Sum","5802 Value Entry","150 Sales Amount (Expected)","41 Source Type",$C$5,"5 Source No.",$C2669,"4 Item Ledger Entry Type",$C$4,"2 Item No.","@@"&amp;$F2669,"3 Posting Date",O$9)+NL("Sum","5802 Value Entry","17 Sales Amount (Actual)","41 Source Type",$C$5,"5 Source no.",$C2669,"4 Item Ledger Entry Type",$C$4,"2 Item No.","@@"&amp;$F2669,"3 Posting Date",O$9)</t>
  </si>
  <si>
    <t>=-NL("Sum","5802 Value Entry","151 Cost Amount (Expected)","41 Source Type",$C$5,"5 Source No.",$C2669,"4 Item Ledger Entry Type",$C$4,"2 Item No.","@@"&amp;$F2669,"3 Posting Date",O$9)-NL("Sum","5802 Value Entry","43 Cost Amount (Actual)","41 Source Type",$C$5,"5 Source no.",$C2669,"4 Item Ledger Entry Type",$C$4,"2 Item No.","@@"&amp;$F2669,"3 Posting Date",O$9)</t>
  </si>
  <si>
    <t>=O2669-Q2669</t>
  </si>
  <si>
    <t>=IF(O2669&lt;&gt;0,R2669/O2669,"")</t>
  </si>
  <si>
    <t>=NL("Sum","5802 Value Entry","150 Sales Amount (Expected)","41 Source Type",$C$5,"5 Source No.",$C2669,"4 Item Ledger Entry Type",$C$4,"2 Item No.","@@"&amp;$F2669,"3 Posting Date",U$9)+NL("Sum","5802 Value Entry","17 Sales Amount (Actual)","41 Source Type",$C$5,"5 Source no.",$C2669,"4 Item Ledger Entry Type",$C$4,"2 Item No.","@@"&amp;$F2669,"3 Posting Date",U$9)</t>
  </si>
  <si>
    <t>=-NL("Sum","5802 Value Entry","151 Cost Amount (Expected)","41 Source Type",$C$5,"5 Source No.",$C2669,"4 Item Ledger Entry Type",$C$4,"2 Item No.","@@"&amp;$F2669,"3 Posting Date",U$9)-NL("Sum","5802 Value Entry","43 Cost Amount (Actual)","41 Source Type",$C$5,"5 Source no.",$C2669,"4 Item Ledger Entry Type",$C$4,"2 Item No.","@@"&amp;$F2669,"3 Posting Date",U$9)</t>
  </si>
  <si>
    <t>=U2669-W2669</t>
  </si>
  <si>
    <t>=IF(U2669&lt;&gt;0,X2669/U2669,"")</t>
  </si>
  <si>
    <t>=NL("Sum","5802 Value Entry","150 Sales Amount (Expected)","41 Source Type",$C$5,"5 Source No.",$C2669,"4 Item Ledger Entry Type",$C$4,"2 Item No.","@@"&amp;$F2669,"3 Posting Date",Z$9)+NL("Sum","5802 Value Entry","17 Sales Amount (Actual)","41 Source Type",$C$5,"5 Source no.",$C2669,"4 Item Ledger Entry Type",$C$4,"2 Item No.","@@"&amp;$F2669,"3 Posting Date",Z$9)</t>
  </si>
  <si>
    <t>=-NL("Sum","5802 Value Entry","151 Cost Amount (Expected)","41 Source Type",$C$5,"5 Source No.",$C2669,"4 Item Ledger Entry Type",$C$4,"2 Item No.","@@"&amp;$F2669,"3 Posting Date",Z$9)-NL("Sum","5802 Value Entry","43 Cost Amount (Actual)","41 Source Type",$C$5,"5 Source no.",$C2669,"4 Item Ledger Entry Type",$C$4,"2 Item No.","@@"&amp;$F2669,"3 Posting Date",Z$9)</t>
  </si>
  <si>
    <t>=Z2669-AB2669</t>
  </si>
  <si>
    <t>=IF(Z2669&lt;&gt;0,AC2669/Z2669,"")</t>
  </si>
  <si>
    <t>=C2669</t>
  </si>
  <si>
    <t>=NL("Sum","5802 Value Entry","150 Sales Amount (Expected)","41 Source Type",$C$5,"5 Source No.",$C2670,"4 Item Ledger Entry Type",$C$4,"2 Item No.","@@"&amp;$F2670,"3 Posting Date",J$9)+NL("Sum","5802 Value Entry","17 Sales Amount (Actual)","41 Source Type",$C$5,"5 Source no.",$C2670,"4 Item Ledger Entry Type",$C$4,"2 Item No.","@@"&amp;$F2670,"3 Posting Date",J$9)</t>
  </si>
  <si>
    <t>=-NL("Sum","5802 Value Entry","151 Cost Amount (Expected)","41 Source Type",$C$5,"5 Source No.",$C2670,"4 Item Ledger Entry Type",$C$4,"2 Item No.","@@"&amp;$F2670,"3 Posting Date",J$9)-NL("Sum","5802 Value Entry","43 Cost Amount (Actual)","41 Source Type",$C$5,"5 Source no.",$C2670,"4 Item Ledger Entry Type",$C$4,"2 Item No.","@@"&amp;$F2670,"3 Posting Date",J$9)</t>
  </si>
  <si>
    <t>=J2670-L2670</t>
  </si>
  <si>
    <t>=IF(J2670&lt;&gt;0,M2670/J2670,"")</t>
  </si>
  <si>
    <t>=NL("Sum","5802 Value Entry","150 Sales Amount (Expected)","41 Source Type",$C$5,"5 Source No.",$C2670,"4 Item Ledger Entry Type",$C$4,"2 Item No.","@@"&amp;$F2670,"3 Posting Date",O$9)+NL("Sum","5802 Value Entry","17 Sales Amount (Actual)","41 Source Type",$C$5,"5 Source no.",$C2670,"4 Item Ledger Entry Type",$C$4,"2 Item No.","@@"&amp;$F2670,"3 Posting Date",O$9)</t>
  </si>
  <si>
    <t>=-NL("Sum","5802 Value Entry","151 Cost Amount (Expected)","41 Source Type",$C$5,"5 Source No.",$C2670,"4 Item Ledger Entry Type",$C$4,"2 Item No.","@@"&amp;$F2670,"3 Posting Date",O$9)-NL("Sum","5802 Value Entry","43 Cost Amount (Actual)","41 Source Type",$C$5,"5 Source no.",$C2670,"4 Item Ledger Entry Type",$C$4,"2 Item No.","@@"&amp;$F2670,"3 Posting Date",O$9)</t>
  </si>
  <si>
    <t>=O2670-Q2670</t>
  </si>
  <si>
    <t>=IF(O2670&lt;&gt;0,R2670/O2670,"")</t>
  </si>
  <si>
    <t>=NL("Sum","5802 Value Entry","150 Sales Amount (Expected)","41 Source Type",$C$5,"5 Source No.",$C2670,"4 Item Ledger Entry Type",$C$4,"2 Item No.","@@"&amp;$F2670,"3 Posting Date",U$9)+NL("Sum","5802 Value Entry","17 Sales Amount (Actual)","41 Source Type",$C$5,"5 Source no.",$C2670,"4 Item Ledger Entry Type",$C$4,"2 Item No.","@@"&amp;$F2670,"3 Posting Date",U$9)</t>
  </si>
  <si>
    <t>=-NL("Sum","5802 Value Entry","151 Cost Amount (Expected)","41 Source Type",$C$5,"5 Source No.",$C2670,"4 Item Ledger Entry Type",$C$4,"2 Item No.","@@"&amp;$F2670,"3 Posting Date",U$9)-NL("Sum","5802 Value Entry","43 Cost Amount (Actual)","41 Source Type",$C$5,"5 Source no.",$C2670,"4 Item Ledger Entry Type",$C$4,"2 Item No.","@@"&amp;$F2670,"3 Posting Date",U$9)</t>
  </si>
  <si>
    <t>=U2670-W2670</t>
  </si>
  <si>
    <t>=IF(U2670&lt;&gt;0,X2670/U2670,"")</t>
  </si>
  <si>
    <t>=NL("Sum","5802 Value Entry","150 Sales Amount (Expected)","41 Source Type",$C$5,"5 Source No.",$C2670,"4 Item Ledger Entry Type",$C$4,"2 Item No.","@@"&amp;$F2670,"3 Posting Date",Z$9)+NL("Sum","5802 Value Entry","17 Sales Amount (Actual)","41 Source Type",$C$5,"5 Source no.",$C2670,"4 Item Ledger Entry Type",$C$4,"2 Item No.","@@"&amp;$F2670,"3 Posting Date",Z$9)</t>
  </si>
  <si>
    <t>=-NL("Sum","5802 Value Entry","151 Cost Amount (Expected)","41 Source Type",$C$5,"5 Source No.",$C2670,"4 Item Ledger Entry Type",$C$4,"2 Item No.","@@"&amp;$F2670,"3 Posting Date",Z$9)-NL("Sum","5802 Value Entry","43 Cost Amount (Actual)","41 Source Type",$C$5,"5 Source no.",$C2670,"4 Item Ledger Entry Type",$C$4,"2 Item No.","@@"&amp;$F2670,"3 Posting Date",Z$9)</t>
  </si>
  <si>
    <t>=Z2670-AB2670</t>
  </si>
  <si>
    <t>=IF(Z2670&lt;&gt;0,AC2670/Z2670,"")</t>
  </si>
  <si>
    <t>=C2670</t>
  </si>
  <si>
    <t>=NL("Sum","5802 Value Entry","150 Sales Amount (Expected)","41 Source Type",$C$5,"5 Source No.",$C2671,"4 Item Ledger Entry Type",$C$4,"2 Item No.","@@"&amp;$F2671,"3 Posting Date",J$9)+NL("Sum","5802 Value Entry","17 Sales Amount (Actual)","41 Source Type",$C$5,"5 Source no.",$C2671,"4 Item Ledger Entry Type",$C$4,"2 Item No.","@@"&amp;$F2671,"3 Posting Date",J$9)</t>
  </si>
  <si>
    <t>=-NL("Sum","5802 Value Entry","151 Cost Amount (Expected)","41 Source Type",$C$5,"5 Source No.",$C2671,"4 Item Ledger Entry Type",$C$4,"2 Item No.","@@"&amp;$F2671,"3 Posting Date",J$9)-NL("Sum","5802 Value Entry","43 Cost Amount (Actual)","41 Source Type",$C$5,"5 Source no.",$C2671,"4 Item Ledger Entry Type",$C$4,"2 Item No.","@@"&amp;$F2671,"3 Posting Date",J$9)</t>
  </si>
  <si>
    <t>=J2671-L2671</t>
  </si>
  <si>
    <t>=IF(J2671&lt;&gt;0,M2671/J2671,"")</t>
  </si>
  <si>
    <t>=NL("Sum","5802 Value Entry","150 Sales Amount (Expected)","41 Source Type",$C$5,"5 Source No.",$C2671,"4 Item Ledger Entry Type",$C$4,"2 Item No.","@@"&amp;$F2671,"3 Posting Date",O$9)+NL("Sum","5802 Value Entry","17 Sales Amount (Actual)","41 Source Type",$C$5,"5 Source no.",$C2671,"4 Item Ledger Entry Type",$C$4,"2 Item No.","@@"&amp;$F2671,"3 Posting Date",O$9)</t>
  </si>
  <si>
    <t>=-NL("Sum","5802 Value Entry","151 Cost Amount (Expected)","41 Source Type",$C$5,"5 Source No.",$C2671,"4 Item Ledger Entry Type",$C$4,"2 Item No.","@@"&amp;$F2671,"3 Posting Date",O$9)-NL("Sum","5802 Value Entry","43 Cost Amount (Actual)","41 Source Type",$C$5,"5 Source no.",$C2671,"4 Item Ledger Entry Type",$C$4,"2 Item No.","@@"&amp;$F2671,"3 Posting Date",O$9)</t>
  </si>
  <si>
    <t>=O2671-Q2671</t>
  </si>
  <si>
    <t>=IF(O2671&lt;&gt;0,R2671/O2671,"")</t>
  </si>
  <si>
    <t>=NL("Sum","5802 Value Entry","150 Sales Amount (Expected)","41 Source Type",$C$5,"5 Source No.",$C2671,"4 Item Ledger Entry Type",$C$4,"2 Item No.","@@"&amp;$F2671,"3 Posting Date",U$9)+NL("Sum","5802 Value Entry","17 Sales Amount (Actual)","41 Source Type",$C$5,"5 Source no.",$C2671,"4 Item Ledger Entry Type",$C$4,"2 Item No.","@@"&amp;$F2671,"3 Posting Date",U$9)</t>
  </si>
  <si>
    <t>=-NL("Sum","5802 Value Entry","151 Cost Amount (Expected)","41 Source Type",$C$5,"5 Source No.",$C2671,"4 Item Ledger Entry Type",$C$4,"2 Item No.","@@"&amp;$F2671,"3 Posting Date",U$9)-NL("Sum","5802 Value Entry","43 Cost Amount (Actual)","41 Source Type",$C$5,"5 Source no.",$C2671,"4 Item Ledger Entry Type",$C$4,"2 Item No.","@@"&amp;$F2671,"3 Posting Date",U$9)</t>
  </si>
  <si>
    <t>=U2671-W2671</t>
  </si>
  <si>
    <t>=IF(U2671&lt;&gt;0,X2671/U2671,"")</t>
  </si>
  <si>
    <t>=NL("Sum","5802 Value Entry","150 Sales Amount (Expected)","41 Source Type",$C$5,"5 Source No.",$C2671,"4 Item Ledger Entry Type",$C$4,"2 Item No.","@@"&amp;$F2671,"3 Posting Date",Z$9)+NL("Sum","5802 Value Entry","17 Sales Amount (Actual)","41 Source Type",$C$5,"5 Source no.",$C2671,"4 Item Ledger Entry Type",$C$4,"2 Item No.","@@"&amp;$F2671,"3 Posting Date",Z$9)</t>
  </si>
  <si>
    <t>=-NL("Sum","5802 Value Entry","151 Cost Amount (Expected)","41 Source Type",$C$5,"5 Source No.",$C2671,"4 Item Ledger Entry Type",$C$4,"2 Item No.","@@"&amp;$F2671,"3 Posting Date",Z$9)-NL("Sum","5802 Value Entry","43 Cost Amount (Actual)","41 Source Type",$C$5,"5 Source no.",$C2671,"4 Item Ledger Entry Type",$C$4,"2 Item No.","@@"&amp;$F2671,"3 Posting Date",Z$9)</t>
  </si>
  <si>
    <t>=Z2671-AB2671</t>
  </si>
  <si>
    <t>=IF(Z2671&lt;&gt;0,AC2671/Z2671,"")</t>
  </si>
  <si>
    <t>=C2671</t>
  </si>
  <si>
    <t>=NL("Sum","5802 Value Entry","150 Sales Amount (Expected)","41 Source Type",$C$5,"5 Source No.",$C2672,"4 Item Ledger Entry Type",$C$4,"2 Item No.","@@"&amp;$F2672,"3 Posting Date",J$9)+NL("Sum","5802 Value Entry","17 Sales Amount (Actual)","41 Source Type",$C$5,"5 Source no.",$C2672,"4 Item Ledger Entry Type",$C$4,"2 Item No.","@@"&amp;$F2672,"3 Posting Date",J$9)</t>
  </si>
  <si>
    <t>=-NL("Sum","5802 Value Entry","151 Cost Amount (Expected)","41 Source Type",$C$5,"5 Source No.",$C2672,"4 Item Ledger Entry Type",$C$4,"2 Item No.","@@"&amp;$F2672,"3 Posting Date",J$9)-NL("Sum","5802 Value Entry","43 Cost Amount (Actual)","41 Source Type",$C$5,"5 Source no.",$C2672,"4 Item Ledger Entry Type",$C$4,"2 Item No.","@@"&amp;$F2672,"3 Posting Date",J$9)</t>
  </si>
  <si>
    <t>=J2672-L2672</t>
  </si>
  <si>
    <t>=IF(J2672&lt;&gt;0,M2672/J2672,"")</t>
  </si>
  <si>
    <t>=NL("Sum","5802 Value Entry","150 Sales Amount (Expected)","41 Source Type",$C$5,"5 Source No.",$C2672,"4 Item Ledger Entry Type",$C$4,"2 Item No.","@@"&amp;$F2672,"3 Posting Date",O$9)+NL("Sum","5802 Value Entry","17 Sales Amount (Actual)","41 Source Type",$C$5,"5 Source no.",$C2672,"4 Item Ledger Entry Type",$C$4,"2 Item No.","@@"&amp;$F2672,"3 Posting Date",O$9)</t>
  </si>
  <si>
    <t>=-NL("Sum","5802 Value Entry","151 Cost Amount (Expected)","41 Source Type",$C$5,"5 Source No.",$C2672,"4 Item Ledger Entry Type",$C$4,"2 Item No.","@@"&amp;$F2672,"3 Posting Date",O$9)-NL("Sum","5802 Value Entry","43 Cost Amount (Actual)","41 Source Type",$C$5,"5 Source no.",$C2672,"4 Item Ledger Entry Type",$C$4,"2 Item No.","@@"&amp;$F2672,"3 Posting Date",O$9)</t>
  </si>
  <si>
    <t>=O2672-Q2672</t>
  </si>
  <si>
    <t>=IF(O2672&lt;&gt;0,R2672/O2672,"")</t>
  </si>
  <si>
    <t>=NL("Sum","5802 Value Entry","150 Sales Amount (Expected)","41 Source Type",$C$5,"5 Source No.",$C2672,"4 Item Ledger Entry Type",$C$4,"2 Item No.","@@"&amp;$F2672,"3 Posting Date",U$9)+NL("Sum","5802 Value Entry","17 Sales Amount (Actual)","41 Source Type",$C$5,"5 Source no.",$C2672,"4 Item Ledger Entry Type",$C$4,"2 Item No.","@@"&amp;$F2672,"3 Posting Date",U$9)</t>
  </si>
  <si>
    <t>=-NL("Sum","5802 Value Entry","151 Cost Amount (Expected)","41 Source Type",$C$5,"5 Source No.",$C2672,"4 Item Ledger Entry Type",$C$4,"2 Item No.","@@"&amp;$F2672,"3 Posting Date",U$9)-NL("Sum","5802 Value Entry","43 Cost Amount (Actual)","41 Source Type",$C$5,"5 Source no.",$C2672,"4 Item Ledger Entry Type",$C$4,"2 Item No.","@@"&amp;$F2672,"3 Posting Date",U$9)</t>
  </si>
  <si>
    <t>=U2672-W2672</t>
  </si>
  <si>
    <t>=IF(U2672&lt;&gt;0,X2672/U2672,"")</t>
  </si>
  <si>
    <t>=NL("Sum","5802 Value Entry","150 Sales Amount (Expected)","41 Source Type",$C$5,"5 Source No.",$C2672,"4 Item Ledger Entry Type",$C$4,"2 Item No.","@@"&amp;$F2672,"3 Posting Date",Z$9)+NL("Sum","5802 Value Entry","17 Sales Amount (Actual)","41 Source Type",$C$5,"5 Source no.",$C2672,"4 Item Ledger Entry Type",$C$4,"2 Item No.","@@"&amp;$F2672,"3 Posting Date",Z$9)</t>
  </si>
  <si>
    <t>=-NL("Sum","5802 Value Entry","151 Cost Amount (Expected)","41 Source Type",$C$5,"5 Source No.",$C2672,"4 Item Ledger Entry Type",$C$4,"2 Item No.","@@"&amp;$F2672,"3 Posting Date",Z$9)-NL("Sum","5802 Value Entry","43 Cost Amount (Actual)","41 Source Type",$C$5,"5 Source no.",$C2672,"4 Item Ledger Entry Type",$C$4,"2 Item No.","@@"&amp;$F2672,"3 Posting Date",Z$9)</t>
  </si>
  <si>
    <t>=Z2672-AB2672</t>
  </si>
  <si>
    <t>=IF(Z2672&lt;&gt;0,AC2672/Z2672,"")</t>
  </si>
  <si>
    <t>=C2672</t>
  </si>
  <si>
    <t>=NL("Sum","5802 Value Entry","150 Sales Amount (Expected)","41 Source Type",$C$5,"5 Source No.",$C2673,"4 Item Ledger Entry Type",$C$4,"2 Item No.","@@"&amp;$F2673,"3 Posting Date",J$9)+NL("Sum","5802 Value Entry","17 Sales Amount (Actual)","41 Source Type",$C$5,"5 Source no.",$C2673,"4 Item Ledger Entry Type",$C$4,"2 Item No.","@@"&amp;$F2673,"3 Posting Date",J$9)</t>
  </si>
  <si>
    <t>=-NL("Sum","5802 Value Entry","151 Cost Amount (Expected)","41 Source Type",$C$5,"5 Source No.",$C2673,"4 Item Ledger Entry Type",$C$4,"2 Item No.","@@"&amp;$F2673,"3 Posting Date",J$9)-NL("Sum","5802 Value Entry","43 Cost Amount (Actual)","41 Source Type",$C$5,"5 Source no.",$C2673,"4 Item Ledger Entry Type",$C$4,"2 Item No.","@@"&amp;$F2673,"3 Posting Date",J$9)</t>
  </si>
  <si>
    <t>=J2673-L2673</t>
  </si>
  <si>
    <t>=IF(J2673&lt;&gt;0,M2673/J2673,"")</t>
  </si>
  <si>
    <t>=NL("Sum","5802 Value Entry","150 Sales Amount (Expected)","41 Source Type",$C$5,"5 Source No.",$C2673,"4 Item Ledger Entry Type",$C$4,"2 Item No.","@@"&amp;$F2673,"3 Posting Date",O$9)+NL("Sum","5802 Value Entry","17 Sales Amount (Actual)","41 Source Type",$C$5,"5 Source no.",$C2673,"4 Item Ledger Entry Type",$C$4,"2 Item No.","@@"&amp;$F2673,"3 Posting Date",O$9)</t>
  </si>
  <si>
    <t>=-NL("Sum","5802 Value Entry","151 Cost Amount (Expected)","41 Source Type",$C$5,"5 Source No.",$C2673,"4 Item Ledger Entry Type",$C$4,"2 Item No.","@@"&amp;$F2673,"3 Posting Date",O$9)-NL("Sum","5802 Value Entry","43 Cost Amount (Actual)","41 Source Type",$C$5,"5 Source no.",$C2673,"4 Item Ledger Entry Type",$C$4,"2 Item No.","@@"&amp;$F2673,"3 Posting Date",O$9)</t>
  </si>
  <si>
    <t>=O2673-Q2673</t>
  </si>
  <si>
    <t>=IF(O2673&lt;&gt;0,R2673/O2673,"")</t>
  </si>
  <si>
    <t>=NL("Sum","5802 Value Entry","150 Sales Amount (Expected)","41 Source Type",$C$5,"5 Source No.",$C2673,"4 Item Ledger Entry Type",$C$4,"2 Item No.","@@"&amp;$F2673,"3 Posting Date",U$9)+NL("Sum","5802 Value Entry","17 Sales Amount (Actual)","41 Source Type",$C$5,"5 Source no.",$C2673,"4 Item Ledger Entry Type",$C$4,"2 Item No.","@@"&amp;$F2673,"3 Posting Date",U$9)</t>
  </si>
  <si>
    <t>=-NL("Sum","5802 Value Entry","151 Cost Amount (Expected)","41 Source Type",$C$5,"5 Source No.",$C2673,"4 Item Ledger Entry Type",$C$4,"2 Item No.","@@"&amp;$F2673,"3 Posting Date",U$9)-NL("Sum","5802 Value Entry","43 Cost Amount (Actual)","41 Source Type",$C$5,"5 Source no.",$C2673,"4 Item Ledger Entry Type",$C$4,"2 Item No.","@@"&amp;$F2673,"3 Posting Date",U$9)</t>
  </si>
  <si>
    <t>=U2673-W2673</t>
  </si>
  <si>
    <t>=IF(U2673&lt;&gt;0,X2673/U2673,"")</t>
  </si>
  <si>
    <t>=NL("Sum","5802 Value Entry","150 Sales Amount (Expected)","41 Source Type",$C$5,"5 Source No.",$C2673,"4 Item Ledger Entry Type",$C$4,"2 Item No.","@@"&amp;$F2673,"3 Posting Date",Z$9)+NL("Sum","5802 Value Entry","17 Sales Amount (Actual)","41 Source Type",$C$5,"5 Source no.",$C2673,"4 Item Ledger Entry Type",$C$4,"2 Item No.","@@"&amp;$F2673,"3 Posting Date",Z$9)</t>
  </si>
  <si>
    <t>=-NL("Sum","5802 Value Entry","151 Cost Amount (Expected)","41 Source Type",$C$5,"5 Source No.",$C2673,"4 Item Ledger Entry Type",$C$4,"2 Item No.","@@"&amp;$F2673,"3 Posting Date",Z$9)-NL("Sum","5802 Value Entry","43 Cost Amount (Actual)","41 Source Type",$C$5,"5 Source no.",$C2673,"4 Item Ledger Entry Type",$C$4,"2 Item No.","@@"&amp;$F2673,"3 Posting Date",Z$9)</t>
  </si>
  <si>
    <t>=Z2673-AB2673</t>
  </si>
  <si>
    <t>=IF(Z2673&lt;&gt;0,AC2673/Z2673,"")</t>
  </si>
  <si>
    <t>=C2673</t>
  </si>
  <si>
    <t>=NL("Sum","5802 Value Entry","150 Sales Amount (Expected)","41 Source Type",$C$5,"5 Source No.",$C2674,"4 Item Ledger Entry Type",$C$4,"2 Item No.","@@"&amp;$F2674,"3 Posting Date",J$9)+NL("Sum","5802 Value Entry","17 Sales Amount (Actual)","41 Source Type",$C$5,"5 Source no.",$C2674,"4 Item Ledger Entry Type",$C$4,"2 Item No.","@@"&amp;$F2674,"3 Posting Date",J$9)</t>
  </si>
  <si>
    <t>=-NL("Sum","5802 Value Entry","151 Cost Amount (Expected)","41 Source Type",$C$5,"5 Source No.",$C2674,"4 Item Ledger Entry Type",$C$4,"2 Item No.","@@"&amp;$F2674,"3 Posting Date",J$9)-NL("Sum","5802 Value Entry","43 Cost Amount (Actual)","41 Source Type",$C$5,"5 Source no.",$C2674,"4 Item Ledger Entry Type",$C$4,"2 Item No.","@@"&amp;$F2674,"3 Posting Date",J$9)</t>
  </si>
  <si>
    <t>=J2674-L2674</t>
  </si>
  <si>
    <t>=IF(J2674&lt;&gt;0,M2674/J2674,"")</t>
  </si>
  <si>
    <t>=NL("Sum","5802 Value Entry","150 Sales Amount (Expected)","41 Source Type",$C$5,"5 Source No.",$C2674,"4 Item Ledger Entry Type",$C$4,"2 Item No.","@@"&amp;$F2674,"3 Posting Date",O$9)+NL("Sum","5802 Value Entry","17 Sales Amount (Actual)","41 Source Type",$C$5,"5 Source no.",$C2674,"4 Item Ledger Entry Type",$C$4,"2 Item No.","@@"&amp;$F2674,"3 Posting Date",O$9)</t>
  </si>
  <si>
    <t>=-NL("Sum","5802 Value Entry","151 Cost Amount (Expected)","41 Source Type",$C$5,"5 Source No.",$C2674,"4 Item Ledger Entry Type",$C$4,"2 Item No.","@@"&amp;$F2674,"3 Posting Date",O$9)-NL("Sum","5802 Value Entry","43 Cost Amount (Actual)","41 Source Type",$C$5,"5 Source no.",$C2674,"4 Item Ledger Entry Type",$C$4,"2 Item No.","@@"&amp;$F2674,"3 Posting Date",O$9)</t>
  </si>
  <si>
    <t>=O2674-Q2674</t>
  </si>
  <si>
    <t>=IF(O2674&lt;&gt;0,R2674/O2674,"")</t>
  </si>
  <si>
    <t>=NL("Sum","5802 Value Entry","150 Sales Amount (Expected)","41 Source Type",$C$5,"5 Source No.",$C2674,"4 Item Ledger Entry Type",$C$4,"2 Item No.","@@"&amp;$F2674,"3 Posting Date",U$9)+NL("Sum","5802 Value Entry","17 Sales Amount (Actual)","41 Source Type",$C$5,"5 Source no.",$C2674,"4 Item Ledger Entry Type",$C$4,"2 Item No.","@@"&amp;$F2674,"3 Posting Date",U$9)</t>
  </si>
  <si>
    <t>=-NL("Sum","5802 Value Entry","151 Cost Amount (Expected)","41 Source Type",$C$5,"5 Source No.",$C2674,"4 Item Ledger Entry Type",$C$4,"2 Item No.","@@"&amp;$F2674,"3 Posting Date",U$9)-NL("Sum","5802 Value Entry","43 Cost Amount (Actual)","41 Source Type",$C$5,"5 Source no.",$C2674,"4 Item Ledger Entry Type",$C$4,"2 Item No.","@@"&amp;$F2674,"3 Posting Date",U$9)</t>
  </si>
  <si>
    <t>=U2674-W2674</t>
  </si>
  <si>
    <t>=IF(U2674&lt;&gt;0,X2674/U2674,"")</t>
  </si>
  <si>
    <t>=NL("Sum","5802 Value Entry","150 Sales Amount (Expected)","41 Source Type",$C$5,"5 Source No.",$C2674,"4 Item Ledger Entry Type",$C$4,"2 Item No.","@@"&amp;$F2674,"3 Posting Date",Z$9)+NL("Sum","5802 Value Entry","17 Sales Amount (Actual)","41 Source Type",$C$5,"5 Source no.",$C2674,"4 Item Ledger Entry Type",$C$4,"2 Item No.","@@"&amp;$F2674,"3 Posting Date",Z$9)</t>
  </si>
  <si>
    <t>=-NL("Sum","5802 Value Entry","151 Cost Amount (Expected)","41 Source Type",$C$5,"5 Source No.",$C2674,"4 Item Ledger Entry Type",$C$4,"2 Item No.","@@"&amp;$F2674,"3 Posting Date",Z$9)-NL("Sum","5802 Value Entry","43 Cost Amount (Actual)","41 Source Type",$C$5,"5 Source no.",$C2674,"4 Item Ledger Entry Type",$C$4,"2 Item No.","@@"&amp;$F2674,"3 Posting Date",Z$9)</t>
  </si>
  <si>
    <t>=Z2674-AB2674</t>
  </si>
  <si>
    <t>=IF(Z2674&lt;&gt;0,AC2674/Z2674,"")</t>
  </si>
  <si>
    <t>=C2674</t>
  </si>
  <si>
    <t>=NL("Sum","5802 Value Entry","150 Sales Amount (Expected)","41 Source Type",$C$5,"5 Source No.",$C2675,"4 Item Ledger Entry Type",$C$4,"2 Item No.","@@"&amp;$F2675,"3 Posting Date",J$9)+NL("Sum","5802 Value Entry","17 Sales Amount (Actual)","41 Source Type",$C$5,"5 Source no.",$C2675,"4 Item Ledger Entry Type",$C$4,"2 Item No.","@@"&amp;$F2675,"3 Posting Date",J$9)</t>
  </si>
  <si>
    <t>=-NL("Sum","5802 Value Entry","151 Cost Amount (Expected)","41 Source Type",$C$5,"5 Source No.",$C2675,"4 Item Ledger Entry Type",$C$4,"2 Item No.","@@"&amp;$F2675,"3 Posting Date",J$9)-NL("Sum","5802 Value Entry","43 Cost Amount (Actual)","41 Source Type",$C$5,"5 Source no.",$C2675,"4 Item Ledger Entry Type",$C$4,"2 Item No.","@@"&amp;$F2675,"3 Posting Date",J$9)</t>
  </si>
  <si>
    <t>=J2675-L2675</t>
  </si>
  <si>
    <t>=IF(J2675&lt;&gt;0,M2675/J2675,"")</t>
  </si>
  <si>
    <t>=NL("Sum","5802 Value Entry","150 Sales Amount (Expected)","41 Source Type",$C$5,"5 Source No.",$C2675,"4 Item Ledger Entry Type",$C$4,"2 Item No.","@@"&amp;$F2675,"3 Posting Date",O$9)+NL("Sum","5802 Value Entry","17 Sales Amount (Actual)","41 Source Type",$C$5,"5 Source no.",$C2675,"4 Item Ledger Entry Type",$C$4,"2 Item No.","@@"&amp;$F2675,"3 Posting Date",O$9)</t>
  </si>
  <si>
    <t>=-NL("Sum","5802 Value Entry","151 Cost Amount (Expected)","41 Source Type",$C$5,"5 Source No.",$C2675,"4 Item Ledger Entry Type",$C$4,"2 Item No.","@@"&amp;$F2675,"3 Posting Date",O$9)-NL("Sum","5802 Value Entry","43 Cost Amount (Actual)","41 Source Type",$C$5,"5 Source no.",$C2675,"4 Item Ledger Entry Type",$C$4,"2 Item No.","@@"&amp;$F2675,"3 Posting Date",O$9)</t>
  </si>
  <si>
    <t>=O2675-Q2675</t>
  </si>
  <si>
    <t>=IF(O2675&lt;&gt;0,R2675/O2675,"")</t>
  </si>
  <si>
    <t>=NL("Sum","5802 Value Entry","150 Sales Amount (Expected)","41 Source Type",$C$5,"5 Source No.",$C2675,"4 Item Ledger Entry Type",$C$4,"2 Item No.","@@"&amp;$F2675,"3 Posting Date",U$9)+NL("Sum","5802 Value Entry","17 Sales Amount (Actual)","41 Source Type",$C$5,"5 Source no.",$C2675,"4 Item Ledger Entry Type",$C$4,"2 Item No.","@@"&amp;$F2675,"3 Posting Date",U$9)</t>
  </si>
  <si>
    <t>=-NL("Sum","5802 Value Entry","151 Cost Amount (Expected)","41 Source Type",$C$5,"5 Source No.",$C2675,"4 Item Ledger Entry Type",$C$4,"2 Item No.","@@"&amp;$F2675,"3 Posting Date",U$9)-NL("Sum","5802 Value Entry","43 Cost Amount (Actual)","41 Source Type",$C$5,"5 Source no.",$C2675,"4 Item Ledger Entry Type",$C$4,"2 Item No.","@@"&amp;$F2675,"3 Posting Date",U$9)</t>
  </si>
  <si>
    <t>=U2675-W2675</t>
  </si>
  <si>
    <t>=IF(U2675&lt;&gt;0,X2675/U2675,"")</t>
  </si>
  <si>
    <t>=NL("Sum","5802 Value Entry","150 Sales Amount (Expected)","41 Source Type",$C$5,"5 Source No.",$C2675,"4 Item Ledger Entry Type",$C$4,"2 Item No.","@@"&amp;$F2675,"3 Posting Date",Z$9)+NL("Sum","5802 Value Entry","17 Sales Amount (Actual)","41 Source Type",$C$5,"5 Source no.",$C2675,"4 Item Ledger Entry Type",$C$4,"2 Item No.","@@"&amp;$F2675,"3 Posting Date",Z$9)</t>
  </si>
  <si>
    <t>=-NL("Sum","5802 Value Entry","151 Cost Amount (Expected)","41 Source Type",$C$5,"5 Source No.",$C2675,"4 Item Ledger Entry Type",$C$4,"2 Item No.","@@"&amp;$F2675,"3 Posting Date",Z$9)-NL("Sum","5802 Value Entry","43 Cost Amount (Actual)","41 Source Type",$C$5,"5 Source no.",$C2675,"4 Item Ledger Entry Type",$C$4,"2 Item No.","@@"&amp;$F2675,"3 Posting Date",Z$9)</t>
  </si>
  <si>
    <t>=Z2675-AB2675</t>
  </si>
  <si>
    <t>=IF(Z2675&lt;&gt;0,AC2675/Z2675,"")</t>
  </si>
  <si>
    <t>=C2675</t>
  </si>
  <si>
    <t>=NL("Sum","5802 Value Entry","150 Sales Amount (Expected)","41 Source Type",$C$5,"5 Source No.",$C2676,"4 Item Ledger Entry Type",$C$4,"2 Item No.","@@"&amp;$F2676,"3 Posting Date",J$9)+NL("Sum","5802 Value Entry","17 Sales Amount (Actual)","41 Source Type",$C$5,"5 Source no.",$C2676,"4 Item Ledger Entry Type",$C$4,"2 Item No.","@@"&amp;$F2676,"3 Posting Date",J$9)</t>
  </si>
  <si>
    <t>=-NL("Sum","5802 Value Entry","151 Cost Amount (Expected)","41 Source Type",$C$5,"5 Source No.",$C2676,"4 Item Ledger Entry Type",$C$4,"2 Item No.","@@"&amp;$F2676,"3 Posting Date",J$9)-NL("Sum","5802 Value Entry","43 Cost Amount (Actual)","41 Source Type",$C$5,"5 Source no.",$C2676,"4 Item Ledger Entry Type",$C$4,"2 Item No.","@@"&amp;$F2676,"3 Posting Date",J$9)</t>
  </si>
  <si>
    <t>=J2676-L2676</t>
  </si>
  <si>
    <t>=IF(J2676&lt;&gt;0,M2676/J2676,"")</t>
  </si>
  <si>
    <t>=NL("Sum","5802 Value Entry","150 Sales Amount (Expected)","41 Source Type",$C$5,"5 Source No.",$C2676,"4 Item Ledger Entry Type",$C$4,"2 Item No.","@@"&amp;$F2676,"3 Posting Date",O$9)+NL("Sum","5802 Value Entry","17 Sales Amount (Actual)","41 Source Type",$C$5,"5 Source no.",$C2676,"4 Item Ledger Entry Type",$C$4,"2 Item No.","@@"&amp;$F2676,"3 Posting Date",O$9)</t>
  </si>
  <si>
    <t>=-NL("Sum","5802 Value Entry","151 Cost Amount (Expected)","41 Source Type",$C$5,"5 Source No.",$C2676,"4 Item Ledger Entry Type",$C$4,"2 Item No.","@@"&amp;$F2676,"3 Posting Date",O$9)-NL("Sum","5802 Value Entry","43 Cost Amount (Actual)","41 Source Type",$C$5,"5 Source no.",$C2676,"4 Item Ledger Entry Type",$C$4,"2 Item No.","@@"&amp;$F2676,"3 Posting Date",O$9)</t>
  </si>
  <si>
    <t>=O2676-Q2676</t>
  </si>
  <si>
    <t>=IF(O2676&lt;&gt;0,R2676/O2676,"")</t>
  </si>
  <si>
    <t>=NL("Sum","5802 Value Entry","150 Sales Amount (Expected)","41 Source Type",$C$5,"5 Source No.",$C2676,"4 Item Ledger Entry Type",$C$4,"2 Item No.","@@"&amp;$F2676,"3 Posting Date",U$9)+NL("Sum","5802 Value Entry","17 Sales Amount (Actual)","41 Source Type",$C$5,"5 Source no.",$C2676,"4 Item Ledger Entry Type",$C$4,"2 Item No.","@@"&amp;$F2676,"3 Posting Date",U$9)</t>
  </si>
  <si>
    <t>=-NL("Sum","5802 Value Entry","151 Cost Amount (Expected)","41 Source Type",$C$5,"5 Source No.",$C2676,"4 Item Ledger Entry Type",$C$4,"2 Item No.","@@"&amp;$F2676,"3 Posting Date",U$9)-NL("Sum","5802 Value Entry","43 Cost Amount (Actual)","41 Source Type",$C$5,"5 Source no.",$C2676,"4 Item Ledger Entry Type",$C$4,"2 Item No.","@@"&amp;$F2676,"3 Posting Date",U$9)</t>
  </si>
  <si>
    <t>=U2676-W2676</t>
  </si>
  <si>
    <t>=IF(U2676&lt;&gt;0,X2676/U2676,"")</t>
  </si>
  <si>
    <t>=NL("Sum","5802 Value Entry","150 Sales Amount (Expected)","41 Source Type",$C$5,"5 Source No.",$C2676,"4 Item Ledger Entry Type",$C$4,"2 Item No.","@@"&amp;$F2676,"3 Posting Date",Z$9)+NL("Sum","5802 Value Entry","17 Sales Amount (Actual)","41 Source Type",$C$5,"5 Source no.",$C2676,"4 Item Ledger Entry Type",$C$4,"2 Item No.","@@"&amp;$F2676,"3 Posting Date",Z$9)</t>
  </si>
  <si>
    <t>=-NL("Sum","5802 Value Entry","151 Cost Amount (Expected)","41 Source Type",$C$5,"5 Source No.",$C2676,"4 Item Ledger Entry Type",$C$4,"2 Item No.","@@"&amp;$F2676,"3 Posting Date",Z$9)-NL("Sum","5802 Value Entry","43 Cost Amount (Actual)","41 Source Type",$C$5,"5 Source no.",$C2676,"4 Item Ledger Entry Type",$C$4,"2 Item No.","@@"&amp;$F2676,"3 Posting Date",Z$9)</t>
  </si>
  <si>
    <t>=Z2676-AB2676</t>
  </si>
  <si>
    <t>=IF(Z2676&lt;&gt;0,AC2676/Z2676,"")</t>
  </si>
  <si>
    <t>=C2676</t>
  </si>
  <si>
    <t>=NL("Sum","5802 Value Entry","150 Sales Amount (Expected)","41 Source Type",$C$5,"5 Source No.",$C2677,"4 Item Ledger Entry Type",$C$4,"2 Item No.","@@"&amp;$F2677,"3 Posting Date",J$9)+NL("Sum","5802 Value Entry","17 Sales Amount (Actual)","41 Source Type",$C$5,"5 Source no.",$C2677,"4 Item Ledger Entry Type",$C$4,"2 Item No.","@@"&amp;$F2677,"3 Posting Date",J$9)</t>
  </si>
  <si>
    <t>=-NL("Sum","5802 Value Entry","151 Cost Amount (Expected)","41 Source Type",$C$5,"5 Source No.",$C2677,"4 Item Ledger Entry Type",$C$4,"2 Item No.","@@"&amp;$F2677,"3 Posting Date",J$9)-NL("Sum","5802 Value Entry","43 Cost Amount (Actual)","41 Source Type",$C$5,"5 Source no.",$C2677,"4 Item Ledger Entry Type",$C$4,"2 Item No.","@@"&amp;$F2677,"3 Posting Date",J$9)</t>
  </si>
  <si>
    <t>=J2677-L2677</t>
  </si>
  <si>
    <t>=IF(J2677&lt;&gt;0,M2677/J2677,"")</t>
  </si>
  <si>
    <t>=NL("Sum","5802 Value Entry","150 Sales Amount (Expected)","41 Source Type",$C$5,"5 Source No.",$C2677,"4 Item Ledger Entry Type",$C$4,"2 Item No.","@@"&amp;$F2677,"3 Posting Date",O$9)+NL("Sum","5802 Value Entry","17 Sales Amount (Actual)","41 Source Type",$C$5,"5 Source no.",$C2677,"4 Item Ledger Entry Type",$C$4,"2 Item No.","@@"&amp;$F2677,"3 Posting Date",O$9)</t>
  </si>
  <si>
    <t>=-NL("Sum","5802 Value Entry","151 Cost Amount (Expected)","41 Source Type",$C$5,"5 Source No.",$C2677,"4 Item Ledger Entry Type",$C$4,"2 Item No.","@@"&amp;$F2677,"3 Posting Date",O$9)-NL("Sum","5802 Value Entry","43 Cost Amount (Actual)","41 Source Type",$C$5,"5 Source no.",$C2677,"4 Item Ledger Entry Type",$C$4,"2 Item No.","@@"&amp;$F2677,"3 Posting Date",O$9)</t>
  </si>
  <si>
    <t>=O2677-Q2677</t>
  </si>
  <si>
    <t>=IF(O2677&lt;&gt;0,R2677/O2677,"")</t>
  </si>
  <si>
    <t>=NL("Sum","5802 Value Entry","150 Sales Amount (Expected)","41 Source Type",$C$5,"5 Source No.",$C2677,"4 Item Ledger Entry Type",$C$4,"2 Item No.","@@"&amp;$F2677,"3 Posting Date",U$9)+NL("Sum","5802 Value Entry","17 Sales Amount (Actual)","41 Source Type",$C$5,"5 Source no.",$C2677,"4 Item Ledger Entry Type",$C$4,"2 Item No.","@@"&amp;$F2677,"3 Posting Date",U$9)</t>
  </si>
  <si>
    <t>=-NL("Sum","5802 Value Entry","151 Cost Amount (Expected)","41 Source Type",$C$5,"5 Source No.",$C2677,"4 Item Ledger Entry Type",$C$4,"2 Item No.","@@"&amp;$F2677,"3 Posting Date",U$9)-NL("Sum","5802 Value Entry","43 Cost Amount (Actual)","41 Source Type",$C$5,"5 Source no.",$C2677,"4 Item Ledger Entry Type",$C$4,"2 Item No.","@@"&amp;$F2677,"3 Posting Date",U$9)</t>
  </si>
  <si>
    <t>=U2677-W2677</t>
  </si>
  <si>
    <t>=IF(U2677&lt;&gt;0,X2677/U2677,"")</t>
  </si>
  <si>
    <t>=NL("Sum","5802 Value Entry","150 Sales Amount (Expected)","41 Source Type",$C$5,"5 Source No.",$C2677,"4 Item Ledger Entry Type",$C$4,"2 Item No.","@@"&amp;$F2677,"3 Posting Date",Z$9)+NL("Sum","5802 Value Entry","17 Sales Amount (Actual)","41 Source Type",$C$5,"5 Source no.",$C2677,"4 Item Ledger Entry Type",$C$4,"2 Item No.","@@"&amp;$F2677,"3 Posting Date",Z$9)</t>
  </si>
  <si>
    <t>=-NL("Sum","5802 Value Entry","151 Cost Amount (Expected)","41 Source Type",$C$5,"5 Source No.",$C2677,"4 Item Ledger Entry Type",$C$4,"2 Item No.","@@"&amp;$F2677,"3 Posting Date",Z$9)-NL("Sum","5802 Value Entry","43 Cost Amount (Actual)","41 Source Type",$C$5,"5 Source no.",$C2677,"4 Item Ledger Entry Type",$C$4,"2 Item No.","@@"&amp;$F2677,"3 Posting Date",Z$9)</t>
  </si>
  <si>
    <t>=Z2677-AB2677</t>
  </si>
  <si>
    <t>=IF(Z2677&lt;&gt;0,AC2677/Z2677,"")</t>
  </si>
  <si>
    <t>=C2678</t>
  </si>
  <si>
    <t>=J2679-L2679</t>
  </si>
  <si>
    <t>=IF(J2679&lt;&gt;0,M2679/J2679,"")</t>
  </si>
  <si>
    <t>=O2679-Q2679</t>
  </si>
  <si>
    <t>=IF(O2679&lt;&gt;0,R2679/O2679,"")</t>
  </si>
  <si>
    <t>=U2679-W2679</t>
  </si>
  <si>
    <t>=IF(U2679&lt;&gt;0,X2679/U2679,"")</t>
  </si>
  <si>
    <t>=Z2679-AB2679</t>
  </si>
  <si>
    <t>=IF(Z2679&lt;&gt;0,AC2679/Z2679,"")</t>
  </si>
  <si>
    <t>=C2681</t>
  </si>
  <si>
    <t>=C2682</t>
  </si>
  <si>
    <t>=NL("Sum","5802 Value Entry","150 Sales Amount (Expected)","41 Source Type",$C$5,"5 Source No.",$C2683,"4 Item Ledger Entry Type",$C$4,"2 Item No.","@@"&amp;$F2683,"3 Posting Date",J$9)+NL("Sum","5802 Value Entry","17 Sales Amount (Actual)","41 Source Type",$C$5,"5 Source no.",$C2683,"4 Item Ledger Entry Type",$C$4,"2 Item No.","@@"&amp;$F2683,"3 Posting Date",J$9)</t>
  </si>
  <si>
    <t>=-NL("Sum","5802 Value Entry","151 Cost Amount (Expected)","41 Source Type",$C$5,"5 Source No.",$C2683,"4 Item Ledger Entry Type",$C$4,"2 Item No.","@@"&amp;$F2683,"3 Posting Date",J$9)-NL("Sum","5802 Value Entry","43 Cost Amount (Actual)","41 Source Type",$C$5,"5 Source no.",$C2683,"4 Item Ledger Entry Type",$C$4,"2 Item No.","@@"&amp;$F2683,"3 Posting Date",J$9)</t>
  </si>
  <si>
    <t>=J2683-L2683</t>
  </si>
  <si>
    <t>=IF(J2683&lt;&gt;0,M2683/J2683,"")</t>
  </si>
  <si>
    <t>=NL("Sum","5802 Value Entry","150 Sales Amount (Expected)","41 Source Type",$C$5,"5 Source No.",$C2683,"4 Item Ledger Entry Type",$C$4,"2 Item No.","@@"&amp;$F2683,"3 Posting Date",O$9)+NL("Sum","5802 Value Entry","17 Sales Amount (Actual)","41 Source Type",$C$5,"5 Source no.",$C2683,"4 Item Ledger Entry Type",$C$4,"2 Item No.","@@"&amp;$F2683,"3 Posting Date",O$9)</t>
  </si>
  <si>
    <t>=-NL("Sum","5802 Value Entry","151 Cost Amount (Expected)","41 Source Type",$C$5,"5 Source No.",$C2683,"4 Item Ledger Entry Type",$C$4,"2 Item No.","@@"&amp;$F2683,"3 Posting Date",O$9)-NL("Sum","5802 Value Entry","43 Cost Amount (Actual)","41 Source Type",$C$5,"5 Source no.",$C2683,"4 Item Ledger Entry Type",$C$4,"2 Item No.","@@"&amp;$F2683,"3 Posting Date",O$9)</t>
  </si>
  <si>
    <t>=O2683-Q2683</t>
  </si>
  <si>
    <t>=IF(O2683&lt;&gt;0,R2683/O2683,"")</t>
  </si>
  <si>
    <t>=NL("Sum","5802 Value Entry","150 Sales Amount (Expected)","41 Source Type",$C$5,"5 Source No.",$C2683,"4 Item Ledger Entry Type",$C$4,"2 Item No.","@@"&amp;$F2683,"3 Posting Date",U$9)+NL("Sum","5802 Value Entry","17 Sales Amount (Actual)","41 Source Type",$C$5,"5 Source no.",$C2683,"4 Item Ledger Entry Type",$C$4,"2 Item No.","@@"&amp;$F2683,"3 Posting Date",U$9)</t>
  </si>
  <si>
    <t>=-NL("Sum","5802 Value Entry","151 Cost Amount (Expected)","41 Source Type",$C$5,"5 Source No.",$C2683,"4 Item Ledger Entry Type",$C$4,"2 Item No.","@@"&amp;$F2683,"3 Posting Date",U$9)-NL("Sum","5802 Value Entry","43 Cost Amount (Actual)","41 Source Type",$C$5,"5 Source no.",$C2683,"4 Item Ledger Entry Type",$C$4,"2 Item No.","@@"&amp;$F2683,"3 Posting Date",U$9)</t>
  </si>
  <si>
    <t>=U2683-W2683</t>
  </si>
  <si>
    <t>=IF(U2683&lt;&gt;0,X2683/U2683,"")</t>
  </si>
  <si>
    <t>=NL("Sum","5802 Value Entry","150 Sales Amount (Expected)","41 Source Type",$C$5,"5 Source No.",$C2683,"4 Item Ledger Entry Type",$C$4,"2 Item No.","@@"&amp;$F2683,"3 Posting Date",Z$9)+NL("Sum","5802 Value Entry","17 Sales Amount (Actual)","41 Source Type",$C$5,"5 Source no.",$C2683,"4 Item Ledger Entry Type",$C$4,"2 Item No.","@@"&amp;$F2683,"3 Posting Date",Z$9)</t>
  </si>
  <si>
    <t>=-NL("Sum","5802 Value Entry","151 Cost Amount (Expected)","41 Source Type",$C$5,"5 Source No.",$C2683,"4 Item Ledger Entry Type",$C$4,"2 Item No.","@@"&amp;$F2683,"3 Posting Date",Z$9)-NL("Sum","5802 Value Entry","43 Cost Amount (Actual)","41 Source Type",$C$5,"5 Source no.",$C2683,"4 Item Ledger Entry Type",$C$4,"2 Item No.","@@"&amp;$F2683,"3 Posting Date",Z$9)</t>
  </si>
  <si>
    <t>=Z2683-AB2683</t>
  </si>
  <si>
    <t>=IF(Z2683&lt;&gt;0,AC2683/Z2683,"")</t>
  </si>
  <si>
    <t>=C2683</t>
  </si>
  <si>
    <t>=NL("Sum","5802 Value Entry","150 Sales Amount (Expected)","41 Source Type",$C$5,"5 Source No.",$C2684,"4 Item Ledger Entry Type",$C$4,"2 Item No.","@@"&amp;$F2684,"3 Posting Date",J$9)+NL("Sum","5802 Value Entry","17 Sales Amount (Actual)","41 Source Type",$C$5,"5 Source no.",$C2684,"4 Item Ledger Entry Type",$C$4,"2 Item No.","@@"&amp;$F2684,"3 Posting Date",J$9)</t>
  </si>
  <si>
    <t>=-NL("Sum","5802 Value Entry","151 Cost Amount (Expected)","41 Source Type",$C$5,"5 Source No.",$C2684,"4 Item Ledger Entry Type",$C$4,"2 Item No.","@@"&amp;$F2684,"3 Posting Date",J$9)-NL("Sum","5802 Value Entry","43 Cost Amount (Actual)","41 Source Type",$C$5,"5 Source no.",$C2684,"4 Item Ledger Entry Type",$C$4,"2 Item No.","@@"&amp;$F2684,"3 Posting Date",J$9)</t>
  </si>
  <si>
    <t>=J2684-L2684</t>
  </si>
  <si>
    <t>=IF(J2684&lt;&gt;0,M2684/J2684,"")</t>
  </si>
  <si>
    <t>=NL("Sum","5802 Value Entry","150 Sales Amount (Expected)","41 Source Type",$C$5,"5 Source No.",$C2684,"4 Item Ledger Entry Type",$C$4,"2 Item No.","@@"&amp;$F2684,"3 Posting Date",O$9)+NL("Sum","5802 Value Entry","17 Sales Amount (Actual)","41 Source Type",$C$5,"5 Source no.",$C2684,"4 Item Ledger Entry Type",$C$4,"2 Item No.","@@"&amp;$F2684,"3 Posting Date",O$9)</t>
  </si>
  <si>
    <t>=-NL("Sum","5802 Value Entry","151 Cost Amount (Expected)","41 Source Type",$C$5,"5 Source No.",$C2684,"4 Item Ledger Entry Type",$C$4,"2 Item No.","@@"&amp;$F2684,"3 Posting Date",O$9)-NL("Sum","5802 Value Entry","43 Cost Amount (Actual)","41 Source Type",$C$5,"5 Source no.",$C2684,"4 Item Ledger Entry Type",$C$4,"2 Item No.","@@"&amp;$F2684,"3 Posting Date",O$9)</t>
  </si>
  <si>
    <t>=O2684-Q2684</t>
  </si>
  <si>
    <t>=IF(O2684&lt;&gt;0,R2684/O2684,"")</t>
  </si>
  <si>
    <t>=NL("Sum","5802 Value Entry","150 Sales Amount (Expected)","41 Source Type",$C$5,"5 Source No.",$C2684,"4 Item Ledger Entry Type",$C$4,"2 Item No.","@@"&amp;$F2684,"3 Posting Date",U$9)+NL("Sum","5802 Value Entry","17 Sales Amount (Actual)","41 Source Type",$C$5,"5 Source no.",$C2684,"4 Item Ledger Entry Type",$C$4,"2 Item No.","@@"&amp;$F2684,"3 Posting Date",U$9)</t>
  </si>
  <si>
    <t>=-NL("Sum","5802 Value Entry","151 Cost Amount (Expected)","41 Source Type",$C$5,"5 Source No.",$C2684,"4 Item Ledger Entry Type",$C$4,"2 Item No.","@@"&amp;$F2684,"3 Posting Date",U$9)-NL("Sum","5802 Value Entry","43 Cost Amount (Actual)","41 Source Type",$C$5,"5 Source no.",$C2684,"4 Item Ledger Entry Type",$C$4,"2 Item No.","@@"&amp;$F2684,"3 Posting Date",U$9)</t>
  </si>
  <si>
    <t>=U2684-W2684</t>
  </si>
  <si>
    <t>=IF(U2684&lt;&gt;0,X2684/U2684,"")</t>
  </si>
  <si>
    <t>=NL("Sum","5802 Value Entry","150 Sales Amount (Expected)","41 Source Type",$C$5,"5 Source No.",$C2684,"4 Item Ledger Entry Type",$C$4,"2 Item No.","@@"&amp;$F2684,"3 Posting Date",Z$9)+NL("Sum","5802 Value Entry","17 Sales Amount (Actual)","41 Source Type",$C$5,"5 Source no.",$C2684,"4 Item Ledger Entry Type",$C$4,"2 Item No.","@@"&amp;$F2684,"3 Posting Date",Z$9)</t>
  </si>
  <si>
    <t>=-NL("Sum","5802 Value Entry","151 Cost Amount (Expected)","41 Source Type",$C$5,"5 Source No.",$C2684,"4 Item Ledger Entry Type",$C$4,"2 Item No.","@@"&amp;$F2684,"3 Posting Date",Z$9)-NL("Sum","5802 Value Entry","43 Cost Amount (Actual)","41 Source Type",$C$5,"5 Source no.",$C2684,"4 Item Ledger Entry Type",$C$4,"2 Item No.","@@"&amp;$F2684,"3 Posting Date",Z$9)</t>
  </si>
  <si>
    <t>=Z2684-AB2684</t>
  </si>
  <si>
    <t>=IF(Z2684&lt;&gt;0,AC2684/Z2684,"")</t>
  </si>
  <si>
    <t>=C2684</t>
  </si>
  <si>
    <t>=NL("Sum","5802 Value Entry","150 Sales Amount (Expected)","41 Source Type",$C$5,"5 Source No.",$C2685,"4 Item Ledger Entry Type",$C$4,"2 Item No.","@@"&amp;$F2685,"3 Posting Date",J$9)+NL("Sum","5802 Value Entry","17 Sales Amount (Actual)","41 Source Type",$C$5,"5 Source no.",$C2685,"4 Item Ledger Entry Type",$C$4,"2 Item No.","@@"&amp;$F2685,"3 Posting Date",J$9)</t>
  </si>
  <si>
    <t>=-NL("Sum","5802 Value Entry","151 Cost Amount (Expected)","41 Source Type",$C$5,"5 Source No.",$C2685,"4 Item Ledger Entry Type",$C$4,"2 Item No.","@@"&amp;$F2685,"3 Posting Date",J$9)-NL("Sum","5802 Value Entry","43 Cost Amount (Actual)","41 Source Type",$C$5,"5 Source no.",$C2685,"4 Item Ledger Entry Type",$C$4,"2 Item No.","@@"&amp;$F2685,"3 Posting Date",J$9)</t>
  </si>
  <si>
    <t>=J2685-L2685</t>
  </si>
  <si>
    <t>=IF(J2685&lt;&gt;0,M2685/J2685,"")</t>
  </si>
  <si>
    <t>=NL("Sum","5802 Value Entry","150 Sales Amount (Expected)","41 Source Type",$C$5,"5 Source No.",$C2685,"4 Item Ledger Entry Type",$C$4,"2 Item No.","@@"&amp;$F2685,"3 Posting Date",O$9)+NL("Sum","5802 Value Entry","17 Sales Amount (Actual)","41 Source Type",$C$5,"5 Source no.",$C2685,"4 Item Ledger Entry Type",$C$4,"2 Item No.","@@"&amp;$F2685,"3 Posting Date",O$9)</t>
  </si>
  <si>
    <t>=-NL("Sum","5802 Value Entry","151 Cost Amount (Expected)","41 Source Type",$C$5,"5 Source No.",$C2685,"4 Item Ledger Entry Type",$C$4,"2 Item No.","@@"&amp;$F2685,"3 Posting Date",O$9)-NL("Sum","5802 Value Entry","43 Cost Amount (Actual)","41 Source Type",$C$5,"5 Source no.",$C2685,"4 Item Ledger Entry Type",$C$4,"2 Item No.","@@"&amp;$F2685,"3 Posting Date",O$9)</t>
  </si>
  <si>
    <t>=O2685-Q2685</t>
  </si>
  <si>
    <t>=IF(O2685&lt;&gt;0,R2685/O2685,"")</t>
  </si>
  <si>
    <t>=NL("Sum","5802 Value Entry","150 Sales Amount (Expected)","41 Source Type",$C$5,"5 Source No.",$C2685,"4 Item Ledger Entry Type",$C$4,"2 Item No.","@@"&amp;$F2685,"3 Posting Date",U$9)+NL("Sum","5802 Value Entry","17 Sales Amount (Actual)","41 Source Type",$C$5,"5 Source no.",$C2685,"4 Item Ledger Entry Type",$C$4,"2 Item No.","@@"&amp;$F2685,"3 Posting Date",U$9)</t>
  </si>
  <si>
    <t>=-NL("Sum","5802 Value Entry","151 Cost Amount (Expected)","41 Source Type",$C$5,"5 Source No.",$C2685,"4 Item Ledger Entry Type",$C$4,"2 Item No.","@@"&amp;$F2685,"3 Posting Date",U$9)-NL("Sum","5802 Value Entry","43 Cost Amount (Actual)","41 Source Type",$C$5,"5 Source no.",$C2685,"4 Item Ledger Entry Type",$C$4,"2 Item No.","@@"&amp;$F2685,"3 Posting Date",U$9)</t>
  </si>
  <si>
    <t>=U2685-W2685</t>
  </si>
  <si>
    <t>=IF(U2685&lt;&gt;0,X2685/U2685,"")</t>
  </si>
  <si>
    <t>=NL("Sum","5802 Value Entry","150 Sales Amount (Expected)","41 Source Type",$C$5,"5 Source No.",$C2685,"4 Item Ledger Entry Type",$C$4,"2 Item No.","@@"&amp;$F2685,"3 Posting Date",Z$9)+NL("Sum","5802 Value Entry","17 Sales Amount (Actual)","41 Source Type",$C$5,"5 Source no.",$C2685,"4 Item Ledger Entry Type",$C$4,"2 Item No.","@@"&amp;$F2685,"3 Posting Date",Z$9)</t>
  </si>
  <si>
    <t>=-NL("Sum","5802 Value Entry","151 Cost Amount (Expected)","41 Source Type",$C$5,"5 Source No.",$C2685,"4 Item Ledger Entry Type",$C$4,"2 Item No.","@@"&amp;$F2685,"3 Posting Date",Z$9)-NL("Sum","5802 Value Entry","43 Cost Amount (Actual)","41 Source Type",$C$5,"5 Source no.",$C2685,"4 Item Ledger Entry Type",$C$4,"2 Item No.","@@"&amp;$F2685,"3 Posting Date",Z$9)</t>
  </si>
  <si>
    <t>=Z2685-AB2685</t>
  </si>
  <si>
    <t>=IF(Z2685&lt;&gt;0,AC2685/Z2685,"")</t>
  </si>
  <si>
    <t>=C2685</t>
  </si>
  <si>
    <t>=NL("Sum","5802 Value Entry","150 Sales Amount (Expected)","41 Source Type",$C$5,"5 Source No.",$C2686,"4 Item Ledger Entry Type",$C$4,"2 Item No.","@@"&amp;$F2686,"3 Posting Date",J$9)+NL("Sum","5802 Value Entry","17 Sales Amount (Actual)","41 Source Type",$C$5,"5 Source no.",$C2686,"4 Item Ledger Entry Type",$C$4,"2 Item No.","@@"&amp;$F2686,"3 Posting Date",J$9)</t>
  </si>
  <si>
    <t>=-NL("Sum","5802 Value Entry","151 Cost Amount (Expected)","41 Source Type",$C$5,"5 Source No.",$C2686,"4 Item Ledger Entry Type",$C$4,"2 Item No.","@@"&amp;$F2686,"3 Posting Date",J$9)-NL("Sum","5802 Value Entry","43 Cost Amount (Actual)","41 Source Type",$C$5,"5 Source no.",$C2686,"4 Item Ledger Entry Type",$C$4,"2 Item No.","@@"&amp;$F2686,"3 Posting Date",J$9)</t>
  </si>
  <si>
    <t>=J2686-L2686</t>
  </si>
  <si>
    <t>=IF(J2686&lt;&gt;0,M2686/J2686,"")</t>
  </si>
  <si>
    <t>=NL("Sum","5802 Value Entry","150 Sales Amount (Expected)","41 Source Type",$C$5,"5 Source No.",$C2686,"4 Item Ledger Entry Type",$C$4,"2 Item No.","@@"&amp;$F2686,"3 Posting Date",O$9)+NL("Sum","5802 Value Entry","17 Sales Amount (Actual)","41 Source Type",$C$5,"5 Source no.",$C2686,"4 Item Ledger Entry Type",$C$4,"2 Item No.","@@"&amp;$F2686,"3 Posting Date",O$9)</t>
  </si>
  <si>
    <t>=-NL("Sum","5802 Value Entry","151 Cost Amount (Expected)","41 Source Type",$C$5,"5 Source No.",$C2686,"4 Item Ledger Entry Type",$C$4,"2 Item No.","@@"&amp;$F2686,"3 Posting Date",O$9)-NL("Sum","5802 Value Entry","43 Cost Amount (Actual)","41 Source Type",$C$5,"5 Source no.",$C2686,"4 Item Ledger Entry Type",$C$4,"2 Item No.","@@"&amp;$F2686,"3 Posting Date",O$9)</t>
  </si>
  <si>
    <t>=O2686-Q2686</t>
  </si>
  <si>
    <t>=IF(O2686&lt;&gt;0,R2686/O2686,"")</t>
  </si>
  <si>
    <t>=NL("Sum","5802 Value Entry","150 Sales Amount (Expected)","41 Source Type",$C$5,"5 Source No.",$C2686,"4 Item Ledger Entry Type",$C$4,"2 Item No.","@@"&amp;$F2686,"3 Posting Date",U$9)+NL("Sum","5802 Value Entry","17 Sales Amount (Actual)","41 Source Type",$C$5,"5 Source no.",$C2686,"4 Item Ledger Entry Type",$C$4,"2 Item No.","@@"&amp;$F2686,"3 Posting Date",U$9)</t>
  </si>
  <si>
    <t>=-NL("Sum","5802 Value Entry","151 Cost Amount (Expected)","41 Source Type",$C$5,"5 Source No.",$C2686,"4 Item Ledger Entry Type",$C$4,"2 Item No.","@@"&amp;$F2686,"3 Posting Date",U$9)-NL("Sum","5802 Value Entry","43 Cost Amount (Actual)","41 Source Type",$C$5,"5 Source no.",$C2686,"4 Item Ledger Entry Type",$C$4,"2 Item No.","@@"&amp;$F2686,"3 Posting Date",U$9)</t>
  </si>
  <si>
    <t>=U2686-W2686</t>
  </si>
  <si>
    <t>=IF(U2686&lt;&gt;0,X2686/U2686,"")</t>
  </si>
  <si>
    <t>=NL("Sum","5802 Value Entry","150 Sales Amount (Expected)","41 Source Type",$C$5,"5 Source No.",$C2686,"4 Item Ledger Entry Type",$C$4,"2 Item No.","@@"&amp;$F2686,"3 Posting Date",Z$9)+NL("Sum","5802 Value Entry","17 Sales Amount (Actual)","41 Source Type",$C$5,"5 Source no.",$C2686,"4 Item Ledger Entry Type",$C$4,"2 Item No.","@@"&amp;$F2686,"3 Posting Date",Z$9)</t>
  </si>
  <si>
    <t>=-NL("Sum","5802 Value Entry","151 Cost Amount (Expected)","41 Source Type",$C$5,"5 Source No.",$C2686,"4 Item Ledger Entry Type",$C$4,"2 Item No.","@@"&amp;$F2686,"3 Posting Date",Z$9)-NL("Sum","5802 Value Entry","43 Cost Amount (Actual)","41 Source Type",$C$5,"5 Source no.",$C2686,"4 Item Ledger Entry Type",$C$4,"2 Item No.","@@"&amp;$F2686,"3 Posting Date",Z$9)</t>
  </si>
  <si>
    <t>=Z2686-AB2686</t>
  </si>
  <si>
    <t>=IF(Z2686&lt;&gt;0,AC2686/Z2686,"")</t>
  </si>
  <si>
    <t>=C2686</t>
  </si>
  <si>
    <t>=NL("Sum","5802 Value Entry","150 Sales Amount (Expected)","41 Source Type",$C$5,"5 Source No.",$C2687,"4 Item Ledger Entry Type",$C$4,"2 Item No.","@@"&amp;$F2687,"3 Posting Date",J$9)+NL("Sum","5802 Value Entry","17 Sales Amount (Actual)","41 Source Type",$C$5,"5 Source no.",$C2687,"4 Item Ledger Entry Type",$C$4,"2 Item No.","@@"&amp;$F2687,"3 Posting Date",J$9)</t>
  </si>
  <si>
    <t>=-NL("Sum","5802 Value Entry","151 Cost Amount (Expected)","41 Source Type",$C$5,"5 Source No.",$C2687,"4 Item Ledger Entry Type",$C$4,"2 Item No.","@@"&amp;$F2687,"3 Posting Date",J$9)-NL("Sum","5802 Value Entry","43 Cost Amount (Actual)","41 Source Type",$C$5,"5 Source no.",$C2687,"4 Item Ledger Entry Type",$C$4,"2 Item No.","@@"&amp;$F2687,"3 Posting Date",J$9)</t>
  </si>
  <si>
    <t>=J2687-L2687</t>
  </si>
  <si>
    <t>=IF(J2687&lt;&gt;0,M2687/J2687,"")</t>
  </si>
  <si>
    <t>=NL("Sum","5802 Value Entry","150 Sales Amount (Expected)","41 Source Type",$C$5,"5 Source No.",$C2687,"4 Item Ledger Entry Type",$C$4,"2 Item No.","@@"&amp;$F2687,"3 Posting Date",O$9)+NL("Sum","5802 Value Entry","17 Sales Amount (Actual)","41 Source Type",$C$5,"5 Source no.",$C2687,"4 Item Ledger Entry Type",$C$4,"2 Item No.","@@"&amp;$F2687,"3 Posting Date",O$9)</t>
  </si>
  <si>
    <t>=-NL("Sum","5802 Value Entry","151 Cost Amount (Expected)","41 Source Type",$C$5,"5 Source No.",$C2687,"4 Item Ledger Entry Type",$C$4,"2 Item No.","@@"&amp;$F2687,"3 Posting Date",O$9)-NL("Sum","5802 Value Entry","43 Cost Amount (Actual)","41 Source Type",$C$5,"5 Source no.",$C2687,"4 Item Ledger Entry Type",$C$4,"2 Item No.","@@"&amp;$F2687,"3 Posting Date",O$9)</t>
  </si>
  <si>
    <t>=O2687-Q2687</t>
  </si>
  <si>
    <t>=IF(O2687&lt;&gt;0,R2687/O2687,"")</t>
  </si>
  <si>
    <t>=NL("Sum","5802 Value Entry","150 Sales Amount (Expected)","41 Source Type",$C$5,"5 Source No.",$C2687,"4 Item Ledger Entry Type",$C$4,"2 Item No.","@@"&amp;$F2687,"3 Posting Date",U$9)+NL("Sum","5802 Value Entry","17 Sales Amount (Actual)","41 Source Type",$C$5,"5 Source no.",$C2687,"4 Item Ledger Entry Type",$C$4,"2 Item No.","@@"&amp;$F2687,"3 Posting Date",U$9)</t>
  </si>
  <si>
    <t>=-NL("Sum","5802 Value Entry","151 Cost Amount (Expected)","41 Source Type",$C$5,"5 Source No.",$C2687,"4 Item Ledger Entry Type",$C$4,"2 Item No.","@@"&amp;$F2687,"3 Posting Date",U$9)-NL("Sum","5802 Value Entry","43 Cost Amount (Actual)","41 Source Type",$C$5,"5 Source no.",$C2687,"4 Item Ledger Entry Type",$C$4,"2 Item No.","@@"&amp;$F2687,"3 Posting Date",U$9)</t>
  </si>
  <si>
    <t>=U2687-W2687</t>
  </si>
  <si>
    <t>=IF(U2687&lt;&gt;0,X2687/U2687,"")</t>
  </si>
  <si>
    <t>=NL("Sum","5802 Value Entry","150 Sales Amount (Expected)","41 Source Type",$C$5,"5 Source No.",$C2687,"4 Item Ledger Entry Type",$C$4,"2 Item No.","@@"&amp;$F2687,"3 Posting Date",Z$9)+NL("Sum","5802 Value Entry","17 Sales Amount (Actual)","41 Source Type",$C$5,"5 Source no.",$C2687,"4 Item Ledger Entry Type",$C$4,"2 Item No.","@@"&amp;$F2687,"3 Posting Date",Z$9)</t>
  </si>
  <si>
    <t>=-NL("Sum","5802 Value Entry","151 Cost Amount (Expected)","41 Source Type",$C$5,"5 Source No.",$C2687,"4 Item Ledger Entry Type",$C$4,"2 Item No.","@@"&amp;$F2687,"3 Posting Date",Z$9)-NL("Sum","5802 Value Entry","43 Cost Amount (Actual)","41 Source Type",$C$5,"5 Source no.",$C2687,"4 Item Ledger Entry Type",$C$4,"2 Item No.","@@"&amp;$F2687,"3 Posting Date",Z$9)</t>
  </si>
  <si>
    <t>=Z2687-AB2687</t>
  </si>
  <si>
    <t>=IF(Z2687&lt;&gt;0,AC2687/Z2687,"")</t>
  </si>
  <si>
    <t>=C2687</t>
  </si>
  <si>
    <t>=NL("Sum","5802 Value Entry","150 Sales Amount (Expected)","41 Source Type",$C$5,"5 Source No.",$C2688,"4 Item Ledger Entry Type",$C$4,"2 Item No.","@@"&amp;$F2688,"3 Posting Date",J$9)+NL("Sum","5802 Value Entry","17 Sales Amount (Actual)","41 Source Type",$C$5,"5 Source no.",$C2688,"4 Item Ledger Entry Type",$C$4,"2 Item No.","@@"&amp;$F2688,"3 Posting Date",J$9)</t>
  </si>
  <si>
    <t>=-NL("Sum","5802 Value Entry","151 Cost Amount (Expected)","41 Source Type",$C$5,"5 Source No.",$C2688,"4 Item Ledger Entry Type",$C$4,"2 Item No.","@@"&amp;$F2688,"3 Posting Date",J$9)-NL("Sum","5802 Value Entry","43 Cost Amount (Actual)","41 Source Type",$C$5,"5 Source no.",$C2688,"4 Item Ledger Entry Type",$C$4,"2 Item No.","@@"&amp;$F2688,"3 Posting Date",J$9)</t>
  </si>
  <si>
    <t>=J2688-L2688</t>
  </si>
  <si>
    <t>=IF(J2688&lt;&gt;0,M2688/J2688,"")</t>
  </si>
  <si>
    <t>=NL("Sum","5802 Value Entry","150 Sales Amount (Expected)","41 Source Type",$C$5,"5 Source No.",$C2688,"4 Item Ledger Entry Type",$C$4,"2 Item No.","@@"&amp;$F2688,"3 Posting Date",O$9)+NL("Sum","5802 Value Entry","17 Sales Amount (Actual)","41 Source Type",$C$5,"5 Source no.",$C2688,"4 Item Ledger Entry Type",$C$4,"2 Item No.","@@"&amp;$F2688,"3 Posting Date",O$9)</t>
  </si>
  <si>
    <t>=-NL("Sum","5802 Value Entry","151 Cost Amount (Expected)","41 Source Type",$C$5,"5 Source No.",$C2688,"4 Item Ledger Entry Type",$C$4,"2 Item No.","@@"&amp;$F2688,"3 Posting Date",O$9)-NL("Sum","5802 Value Entry","43 Cost Amount (Actual)","41 Source Type",$C$5,"5 Source no.",$C2688,"4 Item Ledger Entry Type",$C$4,"2 Item No.","@@"&amp;$F2688,"3 Posting Date",O$9)</t>
  </si>
  <si>
    <t>=O2688-Q2688</t>
  </si>
  <si>
    <t>=IF(O2688&lt;&gt;0,R2688/O2688,"")</t>
  </si>
  <si>
    <t>=NL("Sum","5802 Value Entry","150 Sales Amount (Expected)","41 Source Type",$C$5,"5 Source No.",$C2688,"4 Item Ledger Entry Type",$C$4,"2 Item No.","@@"&amp;$F2688,"3 Posting Date",U$9)+NL("Sum","5802 Value Entry","17 Sales Amount (Actual)","41 Source Type",$C$5,"5 Source no.",$C2688,"4 Item Ledger Entry Type",$C$4,"2 Item No.","@@"&amp;$F2688,"3 Posting Date",U$9)</t>
  </si>
  <si>
    <t>=-NL("Sum","5802 Value Entry","151 Cost Amount (Expected)","41 Source Type",$C$5,"5 Source No.",$C2688,"4 Item Ledger Entry Type",$C$4,"2 Item No.","@@"&amp;$F2688,"3 Posting Date",U$9)-NL("Sum","5802 Value Entry","43 Cost Amount (Actual)","41 Source Type",$C$5,"5 Source no.",$C2688,"4 Item Ledger Entry Type",$C$4,"2 Item No.","@@"&amp;$F2688,"3 Posting Date",U$9)</t>
  </si>
  <si>
    <t>=U2688-W2688</t>
  </si>
  <si>
    <t>=IF(U2688&lt;&gt;0,X2688/U2688,"")</t>
  </si>
  <si>
    <t>=NL("Sum","5802 Value Entry","150 Sales Amount (Expected)","41 Source Type",$C$5,"5 Source No.",$C2688,"4 Item Ledger Entry Type",$C$4,"2 Item No.","@@"&amp;$F2688,"3 Posting Date",Z$9)+NL("Sum","5802 Value Entry","17 Sales Amount (Actual)","41 Source Type",$C$5,"5 Source no.",$C2688,"4 Item Ledger Entry Type",$C$4,"2 Item No.","@@"&amp;$F2688,"3 Posting Date",Z$9)</t>
  </si>
  <si>
    <t>=-NL("Sum","5802 Value Entry","151 Cost Amount (Expected)","41 Source Type",$C$5,"5 Source No.",$C2688,"4 Item Ledger Entry Type",$C$4,"2 Item No.","@@"&amp;$F2688,"3 Posting Date",Z$9)-NL("Sum","5802 Value Entry","43 Cost Amount (Actual)","41 Source Type",$C$5,"5 Source no.",$C2688,"4 Item Ledger Entry Type",$C$4,"2 Item No.","@@"&amp;$F2688,"3 Posting Date",Z$9)</t>
  </si>
  <si>
    <t>=Z2688-AB2688</t>
  </si>
  <si>
    <t>=IF(Z2688&lt;&gt;0,AC2688/Z2688,"")</t>
  </si>
  <si>
    <t>=C2688</t>
  </si>
  <si>
    <t>=NL("Sum","5802 Value Entry","150 Sales Amount (Expected)","41 Source Type",$C$5,"5 Source No.",$C2689,"4 Item Ledger Entry Type",$C$4,"2 Item No.","@@"&amp;$F2689,"3 Posting Date",J$9)+NL("Sum","5802 Value Entry","17 Sales Amount (Actual)","41 Source Type",$C$5,"5 Source no.",$C2689,"4 Item Ledger Entry Type",$C$4,"2 Item No.","@@"&amp;$F2689,"3 Posting Date",J$9)</t>
  </si>
  <si>
    <t>=-NL("Sum","5802 Value Entry","151 Cost Amount (Expected)","41 Source Type",$C$5,"5 Source No.",$C2689,"4 Item Ledger Entry Type",$C$4,"2 Item No.","@@"&amp;$F2689,"3 Posting Date",J$9)-NL("Sum","5802 Value Entry","43 Cost Amount (Actual)","41 Source Type",$C$5,"5 Source no.",$C2689,"4 Item Ledger Entry Type",$C$4,"2 Item No.","@@"&amp;$F2689,"3 Posting Date",J$9)</t>
  </si>
  <si>
    <t>=J2689-L2689</t>
  </si>
  <si>
    <t>=IF(J2689&lt;&gt;0,M2689/J2689,"")</t>
  </si>
  <si>
    <t>=NL("Sum","5802 Value Entry","150 Sales Amount (Expected)","41 Source Type",$C$5,"5 Source No.",$C2689,"4 Item Ledger Entry Type",$C$4,"2 Item No.","@@"&amp;$F2689,"3 Posting Date",O$9)+NL("Sum","5802 Value Entry","17 Sales Amount (Actual)","41 Source Type",$C$5,"5 Source no.",$C2689,"4 Item Ledger Entry Type",$C$4,"2 Item No.","@@"&amp;$F2689,"3 Posting Date",O$9)</t>
  </si>
  <si>
    <t>=-NL("Sum","5802 Value Entry","151 Cost Amount (Expected)","41 Source Type",$C$5,"5 Source No.",$C2689,"4 Item Ledger Entry Type",$C$4,"2 Item No.","@@"&amp;$F2689,"3 Posting Date",O$9)-NL("Sum","5802 Value Entry","43 Cost Amount (Actual)","41 Source Type",$C$5,"5 Source no.",$C2689,"4 Item Ledger Entry Type",$C$4,"2 Item No.","@@"&amp;$F2689,"3 Posting Date",O$9)</t>
  </si>
  <si>
    <t>=O2689-Q2689</t>
  </si>
  <si>
    <t>=IF(O2689&lt;&gt;0,R2689/O2689,"")</t>
  </si>
  <si>
    <t>=NL("Sum","5802 Value Entry","150 Sales Amount (Expected)","41 Source Type",$C$5,"5 Source No.",$C2689,"4 Item Ledger Entry Type",$C$4,"2 Item No.","@@"&amp;$F2689,"3 Posting Date",U$9)+NL("Sum","5802 Value Entry","17 Sales Amount (Actual)","41 Source Type",$C$5,"5 Source no.",$C2689,"4 Item Ledger Entry Type",$C$4,"2 Item No.","@@"&amp;$F2689,"3 Posting Date",U$9)</t>
  </si>
  <si>
    <t>=-NL("Sum","5802 Value Entry","151 Cost Amount (Expected)","41 Source Type",$C$5,"5 Source No.",$C2689,"4 Item Ledger Entry Type",$C$4,"2 Item No.","@@"&amp;$F2689,"3 Posting Date",U$9)-NL("Sum","5802 Value Entry","43 Cost Amount (Actual)","41 Source Type",$C$5,"5 Source no.",$C2689,"4 Item Ledger Entry Type",$C$4,"2 Item No.","@@"&amp;$F2689,"3 Posting Date",U$9)</t>
  </si>
  <si>
    <t>=U2689-W2689</t>
  </si>
  <si>
    <t>=IF(U2689&lt;&gt;0,X2689/U2689,"")</t>
  </si>
  <si>
    <t>=NL("Sum","5802 Value Entry","150 Sales Amount (Expected)","41 Source Type",$C$5,"5 Source No.",$C2689,"4 Item Ledger Entry Type",$C$4,"2 Item No.","@@"&amp;$F2689,"3 Posting Date",Z$9)+NL("Sum","5802 Value Entry","17 Sales Amount (Actual)","41 Source Type",$C$5,"5 Source no.",$C2689,"4 Item Ledger Entry Type",$C$4,"2 Item No.","@@"&amp;$F2689,"3 Posting Date",Z$9)</t>
  </si>
  <si>
    <t>=-NL("Sum","5802 Value Entry","151 Cost Amount (Expected)","41 Source Type",$C$5,"5 Source No.",$C2689,"4 Item Ledger Entry Type",$C$4,"2 Item No.","@@"&amp;$F2689,"3 Posting Date",Z$9)-NL("Sum","5802 Value Entry","43 Cost Amount (Actual)","41 Source Type",$C$5,"5 Source no.",$C2689,"4 Item Ledger Entry Type",$C$4,"2 Item No.","@@"&amp;$F2689,"3 Posting Date",Z$9)</t>
  </si>
  <si>
    <t>=Z2689-AB2689</t>
  </si>
  <si>
    <t>=IF(Z2689&lt;&gt;0,AC2689/Z2689,"")</t>
  </si>
  <si>
    <t>=C2689</t>
  </si>
  <si>
    <t>=NL("Sum","5802 Value Entry","150 Sales Amount (Expected)","41 Source Type",$C$5,"5 Source No.",$C2690,"4 Item Ledger Entry Type",$C$4,"2 Item No.","@@"&amp;$F2690,"3 Posting Date",J$9)+NL("Sum","5802 Value Entry","17 Sales Amount (Actual)","41 Source Type",$C$5,"5 Source no.",$C2690,"4 Item Ledger Entry Type",$C$4,"2 Item No.","@@"&amp;$F2690,"3 Posting Date",J$9)</t>
  </si>
  <si>
    <t>=-NL("Sum","5802 Value Entry","151 Cost Amount (Expected)","41 Source Type",$C$5,"5 Source No.",$C2690,"4 Item Ledger Entry Type",$C$4,"2 Item No.","@@"&amp;$F2690,"3 Posting Date",J$9)-NL("Sum","5802 Value Entry","43 Cost Amount (Actual)","41 Source Type",$C$5,"5 Source no.",$C2690,"4 Item Ledger Entry Type",$C$4,"2 Item No.","@@"&amp;$F2690,"3 Posting Date",J$9)</t>
  </si>
  <si>
    <t>=J2690-L2690</t>
  </si>
  <si>
    <t>=IF(J2690&lt;&gt;0,M2690/J2690,"")</t>
  </si>
  <si>
    <t>=NL("Sum","5802 Value Entry","150 Sales Amount (Expected)","41 Source Type",$C$5,"5 Source No.",$C2690,"4 Item Ledger Entry Type",$C$4,"2 Item No.","@@"&amp;$F2690,"3 Posting Date",O$9)+NL("Sum","5802 Value Entry","17 Sales Amount (Actual)","41 Source Type",$C$5,"5 Source no.",$C2690,"4 Item Ledger Entry Type",$C$4,"2 Item No.","@@"&amp;$F2690,"3 Posting Date",O$9)</t>
  </si>
  <si>
    <t>=-NL("Sum","5802 Value Entry","151 Cost Amount (Expected)","41 Source Type",$C$5,"5 Source No.",$C2690,"4 Item Ledger Entry Type",$C$4,"2 Item No.","@@"&amp;$F2690,"3 Posting Date",O$9)-NL("Sum","5802 Value Entry","43 Cost Amount (Actual)","41 Source Type",$C$5,"5 Source no.",$C2690,"4 Item Ledger Entry Type",$C$4,"2 Item No.","@@"&amp;$F2690,"3 Posting Date",O$9)</t>
  </si>
  <si>
    <t>=O2690-Q2690</t>
  </si>
  <si>
    <t>=IF(O2690&lt;&gt;0,R2690/O2690,"")</t>
  </si>
  <si>
    <t>=NL("Sum","5802 Value Entry","150 Sales Amount (Expected)","41 Source Type",$C$5,"5 Source No.",$C2690,"4 Item Ledger Entry Type",$C$4,"2 Item No.","@@"&amp;$F2690,"3 Posting Date",U$9)+NL("Sum","5802 Value Entry","17 Sales Amount (Actual)","41 Source Type",$C$5,"5 Source no.",$C2690,"4 Item Ledger Entry Type",$C$4,"2 Item No.","@@"&amp;$F2690,"3 Posting Date",U$9)</t>
  </si>
  <si>
    <t>=-NL("Sum","5802 Value Entry","151 Cost Amount (Expected)","41 Source Type",$C$5,"5 Source No.",$C2690,"4 Item Ledger Entry Type",$C$4,"2 Item No.","@@"&amp;$F2690,"3 Posting Date",U$9)-NL("Sum","5802 Value Entry","43 Cost Amount (Actual)","41 Source Type",$C$5,"5 Source no.",$C2690,"4 Item Ledger Entry Type",$C$4,"2 Item No.","@@"&amp;$F2690,"3 Posting Date",U$9)</t>
  </si>
  <si>
    <t>=U2690-W2690</t>
  </si>
  <si>
    <t>=IF(U2690&lt;&gt;0,X2690/U2690,"")</t>
  </si>
  <si>
    <t>=NL("Sum","5802 Value Entry","150 Sales Amount (Expected)","41 Source Type",$C$5,"5 Source No.",$C2690,"4 Item Ledger Entry Type",$C$4,"2 Item No.","@@"&amp;$F2690,"3 Posting Date",Z$9)+NL("Sum","5802 Value Entry","17 Sales Amount (Actual)","41 Source Type",$C$5,"5 Source no.",$C2690,"4 Item Ledger Entry Type",$C$4,"2 Item No.","@@"&amp;$F2690,"3 Posting Date",Z$9)</t>
  </si>
  <si>
    <t>=-NL("Sum","5802 Value Entry","151 Cost Amount (Expected)","41 Source Type",$C$5,"5 Source No.",$C2690,"4 Item Ledger Entry Type",$C$4,"2 Item No.","@@"&amp;$F2690,"3 Posting Date",Z$9)-NL("Sum","5802 Value Entry","43 Cost Amount (Actual)","41 Source Type",$C$5,"5 Source no.",$C2690,"4 Item Ledger Entry Type",$C$4,"2 Item No.","@@"&amp;$F2690,"3 Posting Date",Z$9)</t>
  </si>
  <si>
    <t>=Z2690-AB2690</t>
  </si>
  <si>
    <t>=IF(Z2690&lt;&gt;0,AC2690/Z2690,"")</t>
  </si>
  <si>
    <t>=C2690</t>
  </si>
  <si>
    <t>=NL("Sum","5802 Value Entry","150 Sales Amount (Expected)","41 Source Type",$C$5,"5 Source No.",$C2691,"4 Item Ledger Entry Type",$C$4,"2 Item No.","@@"&amp;$F2691,"3 Posting Date",J$9)+NL("Sum","5802 Value Entry","17 Sales Amount (Actual)","41 Source Type",$C$5,"5 Source no.",$C2691,"4 Item Ledger Entry Type",$C$4,"2 Item No.","@@"&amp;$F2691,"3 Posting Date",J$9)</t>
  </si>
  <si>
    <t>=-NL("Sum","5802 Value Entry","151 Cost Amount (Expected)","41 Source Type",$C$5,"5 Source No.",$C2691,"4 Item Ledger Entry Type",$C$4,"2 Item No.","@@"&amp;$F2691,"3 Posting Date",J$9)-NL("Sum","5802 Value Entry","43 Cost Amount (Actual)","41 Source Type",$C$5,"5 Source no.",$C2691,"4 Item Ledger Entry Type",$C$4,"2 Item No.","@@"&amp;$F2691,"3 Posting Date",J$9)</t>
  </si>
  <si>
    <t>=J2691-L2691</t>
  </si>
  <si>
    <t>=IF(J2691&lt;&gt;0,M2691/J2691,"")</t>
  </si>
  <si>
    <t>=NL("Sum","5802 Value Entry","150 Sales Amount (Expected)","41 Source Type",$C$5,"5 Source No.",$C2691,"4 Item Ledger Entry Type",$C$4,"2 Item No.","@@"&amp;$F2691,"3 Posting Date",O$9)+NL("Sum","5802 Value Entry","17 Sales Amount (Actual)","41 Source Type",$C$5,"5 Source no.",$C2691,"4 Item Ledger Entry Type",$C$4,"2 Item No.","@@"&amp;$F2691,"3 Posting Date",O$9)</t>
  </si>
  <si>
    <t>=-NL("Sum","5802 Value Entry","151 Cost Amount (Expected)","41 Source Type",$C$5,"5 Source No.",$C2691,"4 Item Ledger Entry Type",$C$4,"2 Item No.","@@"&amp;$F2691,"3 Posting Date",O$9)-NL("Sum","5802 Value Entry","43 Cost Amount (Actual)","41 Source Type",$C$5,"5 Source no.",$C2691,"4 Item Ledger Entry Type",$C$4,"2 Item No.","@@"&amp;$F2691,"3 Posting Date",O$9)</t>
  </si>
  <si>
    <t>=O2691-Q2691</t>
  </si>
  <si>
    <t>=IF(O2691&lt;&gt;0,R2691/O2691,"")</t>
  </si>
  <si>
    <t>=NL("Sum","5802 Value Entry","150 Sales Amount (Expected)","41 Source Type",$C$5,"5 Source No.",$C2691,"4 Item Ledger Entry Type",$C$4,"2 Item No.","@@"&amp;$F2691,"3 Posting Date",U$9)+NL("Sum","5802 Value Entry","17 Sales Amount (Actual)","41 Source Type",$C$5,"5 Source no.",$C2691,"4 Item Ledger Entry Type",$C$4,"2 Item No.","@@"&amp;$F2691,"3 Posting Date",U$9)</t>
  </si>
  <si>
    <t>=-NL("Sum","5802 Value Entry","151 Cost Amount (Expected)","41 Source Type",$C$5,"5 Source No.",$C2691,"4 Item Ledger Entry Type",$C$4,"2 Item No.","@@"&amp;$F2691,"3 Posting Date",U$9)-NL("Sum","5802 Value Entry","43 Cost Amount (Actual)","41 Source Type",$C$5,"5 Source no.",$C2691,"4 Item Ledger Entry Type",$C$4,"2 Item No.","@@"&amp;$F2691,"3 Posting Date",U$9)</t>
  </si>
  <si>
    <t>=U2691-W2691</t>
  </si>
  <si>
    <t>=IF(U2691&lt;&gt;0,X2691/U2691,"")</t>
  </si>
  <si>
    <t>=NL("Sum","5802 Value Entry","150 Sales Amount (Expected)","41 Source Type",$C$5,"5 Source No.",$C2691,"4 Item Ledger Entry Type",$C$4,"2 Item No.","@@"&amp;$F2691,"3 Posting Date",Z$9)+NL("Sum","5802 Value Entry","17 Sales Amount (Actual)","41 Source Type",$C$5,"5 Source no.",$C2691,"4 Item Ledger Entry Type",$C$4,"2 Item No.","@@"&amp;$F2691,"3 Posting Date",Z$9)</t>
  </si>
  <si>
    <t>=-NL("Sum","5802 Value Entry","151 Cost Amount (Expected)","41 Source Type",$C$5,"5 Source No.",$C2691,"4 Item Ledger Entry Type",$C$4,"2 Item No.","@@"&amp;$F2691,"3 Posting Date",Z$9)-NL("Sum","5802 Value Entry","43 Cost Amount (Actual)","41 Source Type",$C$5,"5 Source no.",$C2691,"4 Item Ledger Entry Type",$C$4,"2 Item No.","@@"&amp;$F2691,"3 Posting Date",Z$9)</t>
  </si>
  <si>
    <t>=Z2691-AB2691</t>
  </si>
  <si>
    <t>=IF(Z2691&lt;&gt;0,AC2691/Z2691,"")</t>
  </si>
  <si>
    <t>=C2691</t>
  </si>
  <si>
    <t>=NL("Sum","5802 Value Entry","150 Sales Amount (Expected)","41 Source Type",$C$5,"5 Source No.",$C2692,"4 Item Ledger Entry Type",$C$4,"2 Item No.","@@"&amp;$F2692,"3 Posting Date",J$9)+NL("Sum","5802 Value Entry","17 Sales Amount (Actual)","41 Source Type",$C$5,"5 Source no.",$C2692,"4 Item Ledger Entry Type",$C$4,"2 Item No.","@@"&amp;$F2692,"3 Posting Date",J$9)</t>
  </si>
  <si>
    <t>=-NL("Sum","5802 Value Entry","151 Cost Amount (Expected)","41 Source Type",$C$5,"5 Source No.",$C2692,"4 Item Ledger Entry Type",$C$4,"2 Item No.","@@"&amp;$F2692,"3 Posting Date",J$9)-NL("Sum","5802 Value Entry","43 Cost Amount (Actual)","41 Source Type",$C$5,"5 Source no.",$C2692,"4 Item Ledger Entry Type",$C$4,"2 Item No.","@@"&amp;$F2692,"3 Posting Date",J$9)</t>
  </si>
  <si>
    <t>=J2692-L2692</t>
  </si>
  <si>
    <t>=IF(J2692&lt;&gt;0,M2692/J2692,"")</t>
  </si>
  <si>
    <t>=NL("Sum","5802 Value Entry","150 Sales Amount (Expected)","41 Source Type",$C$5,"5 Source No.",$C2692,"4 Item Ledger Entry Type",$C$4,"2 Item No.","@@"&amp;$F2692,"3 Posting Date",O$9)+NL("Sum","5802 Value Entry","17 Sales Amount (Actual)","41 Source Type",$C$5,"5 Source no.",$C2692,"4 Item Ledger Entry Type",$C$4,"2 Item No.","@@"&amp;$F2692,"3 Posting Date",O$9)</t>
  </si>
  <si>
    <t>=-NL("Sum","5802 Value Entry","151 Cost Amount (Expected)","41 Source Type",$C$5,"5 Source No.",$C2692,"4 Item Ledger Entry Type",$C$4,"2 Item No.","@@"&amp;$F2692,"3 Posting Date",O$9)-NL("Sum","5802 Value Entry","43 Cost Amount (Actual)","41 Source Type",$C$5,"5 Source no.",$C2692,"4 Item Ledger Entry Type",$C$4,"2 Item No.","@@"&amp;$F2692,"3 Posting Date",O$9)</t>
  </si>
  <si>
    <t>=O2692-Q2692</t>
  </si>
  <si>
    <t>=IF(O2692&lt;&gt;0,R2692/O2692,"")</t>
  </si>
  <si>
    <t>=NL("Sum","5802 Value Entry","150 Sales Amount (Expected)","41 Source Type",$C$5,"5 Source No.",$C2692,"4 Item Ledger Entry Type",$C$4,"2 Item No.","@@"&amp;$F2692,"3 Posting Date",U$9)+NL("Sum","5802 Value Entry","17 Sales Amount (Actual)","41 Source Type",$C$5,"5 Source no.",$C2692,"4 Item Ledger Entry Type",$C$4,"2 Item No.","@@"&amp;$F2692,"3 Posting Date",U$9)</t>
  </si>
  <si>
    <t>=-NL("Sum","5802 Value Entry","151 Cost Amount (Expected)","41 Source Type",$C$5,"5 Source No.",$C2692,"4 Item Ledger Entry Type",$C$4,"2 Item No.","@@"&amp;$F2692,"3 Posting Date",U$9)-NL("Sum","5802 Value Entry","43 Cost Amount (Actual)","41 Source Type",$C$5,"5 Source no.",$C2692,"4 Item Ledger Entry Type",$C$4,"2 Item No.","@@"&amp;$F2692,"3 Posting Date",U$9)</t>
  </si>
  <si>
    <t>=U2692-W2692</t>
  </si>
  <si>
    <t>=IF(U2692&lt;&gt;0,X2692/U2692,"")</t>
  </si>
  <si>
    <t>=NL("Sum","5802 Value Entry","150 Sales Amount (Expected)","41 Source Type",$C$5,"5 Source No.",$C2692,"4 Item Ledger Entry Type",$C$4,"2 Item No.","@@"&amp;$F2692,"3 Posting Date",Z$9)+NL("Sum","5802 Value Entry","17 Sales Amount (Actual)","41 Source Type",$C$5,"5 Source no.",$C2692,"4 Item Ledger Entry Type",$C$4,"2 Item No.","@@"&amp;$F2692,"3 Posting Date",Z$9)</t>
  </si>
  <si>
    <t>=-NL("Sum","5802 Value Entry","151 Cost Amount (Expected)","41 Source Type",$C$5,"5 Source No.",$C2692,"4 Item Ledger Entry Type",$C$4,"2 Item No.","@@"&amp;$F2692,"3 Posting Date",Z$9)-NL("Sum","5802 Value Entry","43 Cost Amount (Actual)","41 Source Type",$C$5,"5 Source no.",$C2692,"4 Item Ledger Entry Type",$C$4,"2 Item No.","@@"&amp;$F2692,"3 Posting Date",Z$9)</t>
  </si>
  <si>
    <t>=Z2692-AB2692</t>
  </si>
  <si>
    <t>=IF(Z2692&lt;&gt;0,AC2692/Z2692,"")</t>
  </si>
  <si>
    <t>=C2692</t>
  </si>
  <si>
    <t>=NL("Sum","5802 Value Entry","150 Sales Amount (Expected)","41 Source Type",$C$5,"5 Source No.",$C2693,"4 Item Ledger Entry Type",$C$4,"2 Item No.","@@"&amp;$F2693,"3 Posting Date",J$9)+NL("Sum","5802 Value Entry","17 Sales Amount (Actual)","41 Source Type",$C$5,"5 Source no.",$C2693,"4 Item Ledger Entry Type",$C$4,"2 Item No.","@@"&amp;$F2693,"3 Posting Date",J$9)</t>
  </si>
  <si>
    <t>=-NL("Sum","5802 Value Entry","151 Cost Amount (Expected)","41 Source Type",$C$5,"5 Source No.",$C2693,"4 Item Ledger Entry Type",$C$4,"2 Item No.","@@"&amp;$F2693,"3 Posting Date",J$9)-NL("Sum","5802 Value Entry","43 Cost Amount (Actual)","41 Source Type",$C$5,"5 Source no.",$C2693,"4 Item Ledger Entry Type",$C$4,"2 Item No.","@@"&amp;$F2693,"3 Posting Date",J$9)</t>
  </si>
  <si>
    <t>=J2693-L2693</t>
  </si>
  <si>
    <t>=IF(J2693&lt;&gt;0,M2693/J2693,"")</t>
  </si>
  <si>
    <t>=NL("Sum","5802 Value Entry","150 Sales Amount (Expected)","41 Source Type",$C$5,"5 Source No.",$C2693,"4 Item Ledger Entry Type",$C$4,"2 Item No.","@@"&amp;$F2693,"3 Posting Date",O$9)+NL("Sum","5802 Value Entry","17 Sales Amount (Actual)","41 Source Type",$C$5,"5 Source no.",$C2693,"4 Item Ledger Entry Type",$C$4,"2 Item No.","@@"&amp;$F2693,"3 Posting Date",O$9)</t>
  </si>
  <si>
    <t>=-NL("Sum","5802 Value Entry","151 Cost Amount (Expected)","41 Source Type",$C$5,"5 Source No.",$C2693,"4 Item Ledger Entry Type",$C$4,"2 Item No.","@@"&amp;$F2693,"3 Posting Date",O$9)-NL("Sum","5802 Value Entry","43 Cost Amount (Actual)","41 Source Type",$C$5,"5 Source no.",$C2693,"4 Item Ledger Entry Type",$C$4,"2 Item No.","@@"&amp;$F2693,"3 Posting Date",O$9)</t>
  </si>
  <si>
    <t>=O2693-Q2693</t>
  </si>
  <si>
    <t>=IF(O2693&lt;&gt;0,R2693/O2693,"")</t>
  </si>
  <si>
    <t>=NL("Sum","5802 Value Entry","150 Sales Amount (Expected)","41 Source Type",$C$5,"5 Source No.",$C2693,"4 Item Ledger Entry Type",$C$4,"2 Item No.","@@"&amp;$F2693,"3 Posting Date",U$9)+NL("Sum","5802 Value Entry","17 Sales Amount (Actual)","41 Source Type",$C$5,"5 Source no.",$C2693,"4 Item Ledger Entry Type",$C$4,"2 Item No.","@@"&amp;$F2693,"3 Posting Date",U$9)</t>
  </si>
  <si>
    <t>=-NL("Sum","5802 Value Entry","151 Cost Amount (Expected)","41 Source Type",$C$5,"5 Source No.",$C2693,"4 Item Ledger Entry Type",$C$4,"2 Item No.","@@"&amp;$F2693,"3 Posting Date",U$9)-NL("Sum","5802 Value Entry","43 Cost Amount (Actual)","41 Source Type",$C$5,"5 Source no.",$C2693,"4 Item Ledger Entry Type",$C$4,"2 Item No.","@@"&amp;$F2693,"3 Posting Date",U$9)</t>
  </si>
  <si>
    <t>=U2693-W2693</t>
  </si>
  <si>
    <t>=IF(U2693&lt;&gt;0,X2693/U2693,"")</t>
  </si>
  <si>
    <t>=NL("Sum","5802 Value Entry","150 Sales Amount (Expected)","41 Source Type",$C$5,"5 Source No.",$C2693,"4 Item Ledger Entry Type",$C$4,"2 Item No.","@@"&amp;$F2693,"3 Posting Date",Z$9)+NL("Sum","5802 Value Entry","17 Sales Amount (Actual)","41 Source Type",$C$5,"5 Source no.",$C2693,"4 Item Ledger Entry Type",$C$4,"2 Item No.","@@"&amp;$F2693,"3 Posting Date",Z$9)</t>
  </si>
  <si>
    <t>=-NL("Sum","5802 Value Entry","151 Cost Amount (Expected)","41 Source Type",$C$5,"5 Source No.",$C2693,"4 Item Ledger Entry Type",$C$4,"2 Item No.","@@"&amp;$F2693,"3 Posting Date",Z$9)-NL("Sum","5802 Value Entry","43 Cost Amount (Actual)","41 Source Type",$C$5,"5 Source no.",$C2693,"4 Item Ledger Entry Type",$C$4,"2 Item No.","@@"&amp;$F2693,"3 Posting Date",Z$9)</t>
  </si>
  <si>
    <t>=Z2693-AB2693</t>
  </si>
  <si>
    <t>=IF(Z2693&lt;&gt;0,AC2693/Z2693,"")</t>
  </si>
  <si>
    <t>=C2693</t>
  </si>
  <si>
    <t>=NL("Sum","5802 Value Entry","150 Sales Amount (Expected)","41 Source Type",$C$5,"5 Source No.",$C2694,"4 Item Ledger Entry Type",$C$4,"2 Item No.","@@"&amp;$F2694,"3 Posting Date",J$9)+NL("Sum","5802 Value Entry","17 Sales Amount (Actual)","41 Source Type",$C$5,"5 Source no.",$C2694,"4 Item Ledger Entry Type",$C$4,"2 Item No.","@@"&amp;$F2694,"3 Posting Date",J$9)</t>
  </si>
  <si>
    <t>=-NL("Sum","5802 Value Entry","151 Cost Amount (Expected)","41 Source Type",$C$5,"5 Source No.",$C2694,"4 Item Ledger Entry Type",$C$4,"2 Item No.","@@"&amp;$F2694,"3 Posting Date",J$9)-NL("Sum","5802 Value Entry","43 Cost Amount (Actual)","41 Source Type",$C$5,"5 Source no.",$C2694,"4 Item Ledger Entry Type",$C$4,"2 Item No.","@@"&amp;$F2694,"3 Posting Date",J$9)</t>
  </si>
  <si>
    <t>=J2694-L2694</t>
  </si>
  <si>
    <t>=IF(J2694&lt;&gt;0,M2694/J2694,"")</t>
  </si>
  <si>
    <t>=NL("Sum","5802 Value Entry","150 Sales Amount (Expected)","41 Source Type",$C$5,"5 Source No.",$C2694,"4 Item Ledger Entry Type",$C$4,"2 Item No.","@@"&amp;$F2694,"3 Posting Date",O$9)+NL("Sum","5802 Value Entry","17 Sales Amount (Actual)","41 Source Type",$C$5,"5 Source no.",$C2694,"4 Item Ledger Entry Type",$C$4,"2 Item No.","@@"&amp;$F2694,"3 Posting Date",O$9)</t>
  </si>
  <si>
    <t>=-NL("Sum","5802 Value Entry","151 Cost Amount (Expected)","41 Source Type",$C$5,"5 Source No.",$C2694,"4 Item Ledger Entry Type",$C$4,"2 Item No.","@@"&amp;$F2694,"3 Posting Date",O$9)-NL("Sum","5802 Value Entry","43 Cost Amount (Actual)","41 Source Type",$C$5,"5 Source no.",$C2694,"4 Item Ledger Entry Type",$C$4,"2 Item No.","@@"&amp;$F2694,"3 Posting Date",O$9)</t>
  </si>
  <si>
    <t>=O2694-Q2694</t>
  </si>
  <si>
    <t>=IF(O2694&lt;&gt;0,R2694/O2694,"")</t>
  </si>
  <si>
    <t>=NL("Sum","5802 Value Entry","150 Sales Amount (Expected)","41 Source Type",$C$5,"5 Source No.",$C2694,"4 Item Ledger Entry Type",$C$4,"2 Item No.","@@"&amp;$F2694,"3 Posting Date",U$9)+NL("Sum","5802 Value Entry","17 Sales Amount (Actual)","41 Source Type",$C$5,"5 Source no.",$C2694,"4 Item Ledger Entry Type",$C$4,"2 Item No.","@@"&amp;$F2694,"3 Posting Date",U$9)</t>
  </si>
  <si>
    <t>=-NL("Sum","5802 Value Entry","151 Cost Amount (Expected)","41 Source Type",$C$5,"5 Source No.",$C2694,"4 Item Ledger Entry Type",$C$4,"2 Item No.","@@"&amp;$F2694,"3 Posting Date",U$9)-NL("Sum","5802 Value Entry","43 Cost Amount (Actual)","41 Source Type",$C$5,"5 Source no.",$C2694,"4 Item Ledger Entry Type",$C$4,"2 Item No.","@@"&amp;$F2694,"3 Posting Date",U$9)</t>
  </si>
  <si>
    <t>=U2694-W2694</t>
  </si>
  <si>
    <t>=IF(U2694&lt;&gt;0,X2694/U2694,"")</t>
  </si>
  <si>
    <t>=NL("Sum","5802 Value Entry","150 Sales Amount (Expected)","41 Source Type",$C$5,"5 Source No.",$C2694,"4 Item Ledger Entry Type",$C$4,"2 Item No.","@@"&amp;$F2694,"3 Posting Date",Z$9)+NL("Sum","5802 Value Entry","17 Sales Amount (Actual)","41 Source Type",$C$5,"5 Source no.",$C2694,"4 Item Ledger Entry Type",$C$4,"2 Item No.","@@"&amp;$F2694,"3 Posting Date",Z$9)</t>
  </si>
  <si>
    <t>=-NL("Sum","5802 Value Entry","151 Cost Amount (Expected)","41 Source Type",$C$5,"5 Source No.",$C2694,"4 Item Ledger Entry Type",$C$4,"2 Item No.","@@"&amp;$F2694,"3 Posting Date",Z$9)-NL("Sum","5802 Value Entry","43 Cost Amount (Actual)","41 Source Type",$C$5,"5 Source no.",$C2694,"4 Item Ledger Entry Type",$C$4,"2 Item No.","@@"&amp;$F2694,"3 Posting Date",Z$9)</t>
  </si>
  <si>
    <t>=Z2694-AB2694</t>
  </si>
  <si>
    <t>=IF(Z2694&lt;&gt;0,AC2694/Z2694,"")</t>
  </si>
  <si>
    <t>=C2694</t>
  </si>
  <si>
    <t>=NL("Sum","5802 Value Entry","150 Sales Amount (Expected)","41 Source Type",$C$5,"5 Source No.",$C2695,"4 Item Ledger Entry Type",$C$4,"2 Item No.","@@"&amp;$F2695,"3 Posting Date",J$9)+NL("Sum","5802 Value Entry","17 Sales Amount (Actual)","41 Source Type",$C$5,"5 Source no.",$C2695,"4 Item Ledger Entry Type",$C$4,"2 Item No.","@@"&amp;$F2695,"3 Posting Date",J$9)</t>
  </si>
  <si>
    <t>=-NL("Sum","5802 Value Entry","151 Cost Amount (Expected)","41 Source Type",$C$5,"5 Source No.",$C2695,"4 Item Ledger Entry Type",$C$4,"2 Item No.","@@"&amp;$F2695,"3 Posting Date",J$9)-NL("Sum","5802 Value Entry","43 Cost Amount (Actual)","41 Source Type",$C$5,"5 Source no.",$C2695,"4 Item Ledger Entry Type",$C$4,"2 Item No.","@@"&amp;$F2695,"3 Posting Date",J$9)</t>
  </si>
  <si>
    <t>=J2695-L2695</t>
  </si>
  <si>
    <t>=IF(J2695&lt;&gt;0,M2695/J2695,"")</t>
  </si>
  <si>
    <t>=NL("Sum","5802 Value Entry","150 Sales Amount (Expected)","41 Source Type",$C$5,"5 Source No.",$C2695,"4 Item Ledger Entry Type",$C$4,"2 Item No.","@@"&amp;$F2695,"3 Posting Date",O$9)+NL("Sum","5802 Value Entry","17 Sales Amount (Actual)","41 Source Type",$C$5,"5 Source no.",$C2695,"4 Item Ledger Entry Type",$C$4,"2 Item No.","@@"&amp;$F2695,"3 Posting Date",O$9)</t>
  </si>
  <si>
    <t>=-NL("Sum","5802 Value Entry","151 Cost Amount (Expected)","41 Source Type",$C$5,"5 Source No.",$C2695,"4 Item Ledger Entry Type",$C$4,"2 Item No.","@@"&amp;$F2695,"3 Posting Date",O$9)-NL("Sum","5802 Value Entry","43 Cost Amount (Actual)","41 Source Type",$C$5,"5 Source no.",$C2695,"4 Item Ledger Entry Type",$C$4,"2 Item No.","@@"&amp;$F2695,"3 Posting Date",O$9)</t>
  </si>
  <si>
    <t>=O2695-Q2695</t>
  </si>
  <si>
    <t>=IF(O2695&lt;&gt;0,R2695/O2695,"")</t>
  </si>
  <si>
    <t>=NL("Sum","5802 Value Entry","150 Sales Amount (Expected)","41 Source Type",$C$5,"5 Source No.",$C2695,"4 Item Ledger Entry Type",$C$4,"2 Item No.","@@"&amp;$F2695,"3 Posting Date",U$9)+NL("Sum","5802 Value Entry","17 Sales Amount (Actual)","41 Source Type",$C$5,"5 Source no.",$C2695,"4 Item Ledger Entry Type",$C$4,"2 Item No.","@@"&amp;$F2695,"3 Posting Date",U$9)</t>
  </si>
  <si>
    <t>=-NL("Sum","5802 Value Entry","151 Cost Amount (Expected)","41 Source Type",$C$5,"5 Source No.",$C2695,"4 Item Ledger Entry Type",$C$4,"2 Item No.","@@"&amp;$F2695,"3 Posting Date",U$9)-NL("Sum","5802 Value Entry","43 Cost Amount (Actual)","41 Source Type",$C$5,"5 Source no.",$C2695,"4 Item Ledger Entry Type",$C$4,"2 Item No.","@@"&amp;$F2695,"3 Posting Date",U$9)</t>
  </si>
  <si>
    <t>=U2695-W2695</t>
  </si>
  <si>
    <t>=IF(U2695&lt;&gt;0,X2695/U2695,"")</t>
  </si>
  <si>
    <t>=NL("Sum","5802 Value Entry","150 Sales Amount (Expected)","41 Source Type",$C$5,"5 Source No.",$C2695,"4 Item Ledger Entry Type",$C$4,"2 Item No.","@@"&amp;$F2695,"3 Posting Date",Z$9)+NL("Sum","5802 Value Entry","17 Sales Amount (Actual)","41 Source Type",$C$5,"5 Source no.",$C2695,"4 Item Ledger Entry Type",$C$4,"2 Item No.","@@"&amp;$F2695,"3 Posting Date",Z$9)</t>
  </si>
  <si>
    <t>=-NL("Sum","5802 Value Entry","151 Cost Amount (Expected)","41 Source Type",$C$5,"5 Source No.",$C2695,"4 Item Ledger Entry Type",$C$4,"2 Item No.","@@"&amp;$F2695,"3 Posting Date",Z$9)-NL("Sum","5802 Value Entry","43 Cost Amount (Actual)","41 Source Type",$C$5,"5 Source no.",$C2695,"4 Item Ledger Entry Type",$C$4,"2 Item No.","@@"&amp;$F2695,"3 Posting Date",Z$9)</t>
  </si>
  <si>
    <t>=Z2695-AB2695</t>
  </si>
  <si>
    <t>=IF(Z2695&lt;&gt;0,AC2695/Z2695,"")</t>
  </si>
  <si>
    <t>=C2695</t>
  </si>
  <si>
    <t>=NL("Sum","5802 Value Entry","150 Sales Amount (Expected)","41 Source Type",$C$5,"5 Source No.",$C2696,"4 Item Ledger Entry Type",$C$4,"2 Item No.","@@"&amp;$F2696,"3 Posting Date",J$9)+NL("Sum","5802 Value Entry","17 Sales Amount (Actual)","41 Source Type",$C$5,"5 Source no.",$C2696,"4 Item Ledger Entry Type",$C$4,"2 Item No.","@@"&amp;$F2696,"3 Posting Date",J$9)</t>
  </si>
  <si>
    <t>=-NL("Sum","5802 Value Entry","151 Cost Amount (Expected)","41 Source Type",$C$5,"5 Source No.",$C2696,"4 Item Ledger Entry Type",$C$4,"2 Item No.","@@"&amp;$F2696,"3 Posting Date",J$9)-NL("Sum","5802 Value Entry","43 Cost Amount (Actual)","41 Source Type",$C$5,"5 Source no.",$C2696,"4 Item Ledger Entry Type",$C$4,"2 Item No.","@@"&amp;$F2696,"3 Posting Date",J$9)</t>
  </si>
  <si>
    <t>=J2696-L2696</t>
  </si>
  <si>
    <t>=IF(J2696&lt;&gt;0,M2696/J2696,"")</t>
  </si>
  <si>
    <t>=NL("Sum","5802 Value Entry","150 Sales Amount (Expected)","41 Source Type",$C$5,"5 Source No.",$C2696,"4 Item Ledger Entry Type",$C$4,"2 Item No.","@@"&amp;$F2696,"3 Posting Date",O$9)+NL("Sum","5802 Value Entry","17 Sales Amount (Actual)","41 Source Type",$C$5,"5 Source no.",$C2696,"4 Item Ledger Entry Type",$C$4,"2 Item No.","@@"&amp;$F2696,"3 Posting Date",O$9)</t>
  </si>
  <si>
    <t>=-NL("Sum","5802 Value Entry","151 Cost Amount (Expected)","41 Source Type",$C$5,"5 Source No.",$C2696,"4 Item Ledger Entry Type",$C$4,"2 Item No.","@@"&amp;$F2696,"3 Posting Date",O$9)-NL("Sum","5802 Value Entry","43 Cost Amount (Actual)","41 Source Type",$C$5,"5 Source no.",$C2696,"4 Item Ledger Entry Type",$C$4,"2 Item No.","@@"&amp;$F2696,"3 Posting Date",O$9)</t>
  </si>
  <si>
    <t>=O2696-Q2696</t>
  </si>
  <si>
    <t>=IF(O2696&lt;&gt;0,R2696/O2696,"")</t>
  </si>
  <si>
    <t>=NL("Sum","5802 Value Entry","150 Sales Amount (Expected)","41 Source Type",$C$5,"5 Source No.",$C2696,"4 Item Ledger Entry Type",$C$4,"2 Item No.","@@"&amp;$F2696,"3 Posting Date",U$9)+NL("Sum","5802 Value Entry","17 Sales Amount (Actual)","41 Source Type",$C$5,"5 Source no.",$C2696,"4 Item Ledger Entry Type",$C$4,"2 Item No.","@@"&amp;$F2696,"3 Posting Date",U$9)</t>
  </si>
  <si>
    <t>=-NL("Sum","5802 Value Entry","151 Cost Amount (Expected)","41 Source Type",$C$5,"5 Source No.",$C2696,"4 Item Ledger Entry Type",$C$4,"2 Item No.","@@"&amp;$F2696,"3 Posting Date",U$9)-NL("Sum","5802 Value Entry","43 Cost Amount (Actual)","41 Source Type",$C$5,"5 Source no.",$C2696,"4 Item Ledger Entry Type",$C$4,"2 Item No.","@@"&amp;$F2696,"3 Posting Date",U$9)</t>
  </si>
  <si>
    <t>=U2696-W2696</t>
  </si>
  <si>
    <t>=IF(U2696&lt;&gt;0,X2696/U2696,"")</t>
  </si>
  <si>
    <t>=NL("Sum","5802 Value Entry","150 Sales Amount (Expected)","41 Source Type",$C$5,"5 Source No.",$C2696,"4 Item Ledger Entry Type",$C$4,"2 Item No.","@@"&amp;$F2696,"3 Posting Date",Z$9)+NL("Sum","5802 Value Entry","17 Sales Amount (Actual)","41 Source Type",$C$5,"5 Source no.",$C2696,"4 Item Ledger Entry Type",$C$4,"2 Item No.","@@"&amp;$F2696,"3 Posting Date",Z$9)</t>
  </si>
  <si>
    <t>=-NL("Sum","5802 Value Entry","151 Cost Amount (Expected)","41 Source Type",$C$5,"5 Source No.",$C2696,"4 Item Ledger Entry Type",$C$4,"2 Item No.","@@"&amp;$F2696,"3 Posting Date",Z$9)-NL("Sum","5802 Value Entry","43 Cost Amount (Actual)","41 Source Type",$C$5,"5 Source no.",$C2696,"4 Item Ledger Entry Type",$C$4,"2 Item No.","@@"&amp;$F2696,"3 Posting Date",Z$9)</t>
  </si>
  <si>
    <t>=Z2696-AB2696</t>
  </si>
  <si>
    <t>=IF(Z2696&lt;&gt;0,AC2696/Z2696,"")</t>
  </si>
  <si>
    <t>=C2696</t>
  </si>
  <si>
    <t>=NL("Sum","5802 Value Entry","150 Sales Amount (Expected)","41 Source Type",$C$5,"5 Source No.",$C2697,"4 Item Ledger Entry Type",$C$4,"2 Item No.","@@"&amp;$F2697,"3 Posting Date",J$9)+NL("Sum","5802 Value Entry","17 Sales Amount (Actual)","41 Source Type",$C$5,"5 Source no.",$C2697,"4 Item Ledger Entry Type",$C$4,"2 Item No.","@@"&amp;$F2697,"3 Posting Date",J$9)</t>
  </si>
  <si>
    <t>=-NL("Sum","5802 Value Entry","151 Cost Amount (Expected)","41 Source Type",$C$5,"5 Source No.",$C2697,"4 Item Ledger Entry Type",$C$4,"2 Item No.","@@"&amp;$F2697,"3 Posting Date",J$9)-NL("Sum","5802 Value Entry","43 Cost Amount (Actual)","41 Source Type",$C$5,"5 Source no.",$C2697,"4 Item Ledger Entry Type",$C$4,"2 Item No.","@@"&amp;$F2697,"3 Posting Date",J$9)</t>
  </si>
  <si>
    <t>=J2697-L2697</t>
  </si>
  <si>
    <t>=IF(J2697&lt;&gt;0,M2697/J2697,"")</t>
  </si>
  <si>
    <t>=NL("Sum","5802 Value Entry","150 Sales Amount (Expected)","41 Source Type",$C$5,"5 Source No.",$C2697,"4 Item Ledger Entry Type",$C$4,"2 Item No.","@@"&amp;$F2697,"3 Posting Date",O$9)+NL("Sum","5802 Value Entry","17 Sales Amount (Actual)","41 Source Type",$C$5,"5 Source no.",$C2697,"4 Item Ledger Entry Type",$C$4,"2 Item No.","@@"&amp;$F2697,"3 Posting Date",O$9)</t>
  </si>
  <si>
    <t>=-NL("Sum","5802 Value Entry","151 Cost Amount (Expected)","41 Source Type",$C$5,"5 Source No.",$C2697,"4 Item Ledger Entry Type",$C$4,"2 Item No.","@@"&amp;$F2697,"3 Posting Date",O$9)-NL("Sum","5802 Value Entry","43 Cost Amount (Actual)","41 Source Type",$C$5,"5 Source no.",$C2697,"4 Item Ledger Entry Type",$C$4,"2 Item No.","@@"&amp;$F2697,"3 Posting Date",O$9)</t>
  </si>
  <si>
    <t>=O2697-Q2697</t>
  </si>
  <si>
    <t>=IF(O2697&lt;&gt;0,R2697/O2697,"")</t>
  </si>
  <si>
    <t>=NL("Sum","5802 Value Entry","150 Sales Amount (Expected)","41 Source Type",$C$5,"5 Source No.",$C2697,"4 Item Ledger Entry Type",$C$4,"2 Item No.","@@"&amp;$F2697,"3 Posting Date",U$9)+NL("Sum","5802 Value Entry","17 Sales Amount (Actual)","41 Source Type",$C$5,"5 Source no.",$C2697,"4 Item Ledger Entry Type",$C$4,"2 Item No.","@@"&amp;$F2697,"3 Posting Date",U$9)</t>
  </si>
  <si>
    <t>=-NL("Sum","5802 Value Entry","151 Cost Amount (Expected)","41 Source Type",$C$5,"5 Source No.",$C2697,"4 Item Ledger Entry Type",$C$4,"2 Item No.","@@"&amp;$F2697,"3 Posting Date",U$9)-NL("Sum","5802 Value Entry","43 Cost Amount (Actual)","41 Source Type",$C$5,"5 Source no.",$C2697,"4 Item Ledger Entry Type",$C$4,"2 Item No.","@@"&amp;$F2697,"3 Posting Date",U$9)</t>
  </si>
  <si>
    <t>=U2697-W2697</t>
  </si>
  <si>
    <t>=IF(U2697&lt;&gt;0,X2697/U2697,"")</t>
  </si>
  <si>
    <t>=NL("Sum","5802 Value Entry","150 Sales Amount (Expected)","41 Source Type",$C$5,"5 Source No.",$C2697,"4 Item Ledger Entry Type",$C$4,"2 Item No.","@@"&amp;$F2697,"3 Posting Date",Z$9)+NL("Sum","5802 Value Entry","17 Sales Amount (Actual)","41 Source Type",$C$5,"5 Source no.",$C2697,"4 Item Ledger Entry Type",$C$4,"2 Item No.","@@"&amp;$F2697,"3 Posting Date",Z$9)</t>
  </si>
  <si>
    <t>=-NL("Sum","5802 Value Entry","151 Cost Amount (Expected)","41 Source Type",$C$5,"5 Source No.",$C2697,"4 Item Ledger Entry Type",$C$4,"2 Item No.","@@"&amp;$F2697,"3 Posting Date",Z$9)-NL("Sum","5802 Value Entry","43 Cost Amount (Actual)","41 Source Type",$C$5,"5 Source no.",$C2697,"4 Item Ledger Entry Type",$C$4,"2 Item No.","@@"&amp;$F2697,"3 Posting Date",Z$9)</t>
  </si>
  <si>
    <t>=Z2697-AB2697</t>
  </si>
  <si>
    <t>=IF(Z2697&lt;&gt;0,AC2697/Z2697,"")</t>
  </si>
  <si>
    <t>=C2697</t>
  </si>
  <si>
    <t>=NL("Sum","5802 Value Entry","150 Sales Amount (Expected)","41 Source Type",$C$5,"5 Source No.",$C2698,"4 Item Ledger Entry Type",$C$4,"2 Item No.","@@"&amp;$F2698,"3 Posting Date",J$9)+NL("Sum","5802 Value Entry","17 Sales Amount (Actual)","41 Source Type",$C$5,"5 Source no.",$C2698,"4 Item Ledger Entry Type",$C$4,"2 Item No.","@@"&amp;$F2698,"3 Posting Date",J$9)</t>
  </si>
  <si>
    <t>=-NL("Sum","5802 Value Entry","151 Cost Amount (Expected)","41 Source Type",$C$5,"5 Source No.",$C2698,"4 Item Ledger Entry Type",$C$4,"2 Item No.","@@"&amp;$F2698,"3 Posting Date",J$9)-NL("Sum","5802 Value Entry","43 Cost Amount (Actual)","41 Source Type",$C$5,"5 Source no.",$C2698,"4 Item Ledger Entry Type",$C$4,"2 Item No.","@@"&amp;$F2698,"3 Posting Date",J$9)</t>
  </si>
  <si>
    <t>=J2698-L2698</t>
  </si>
  <si>
    <t>=IF(J2698&lt;&gt;0,M2698/J2698,"")</t>
  </si>
  <si>
    <t>=NL("Sum","5802 Value Entry","150 Sales Amount (Expected)","41 Source Type",$C$5,"5 Source No.",$C2698,"4 Item Ledger Entry Type",$C$4,"2 Item No.","@@"&amp;$F2698,"3 Posting Date",O$9)+NL("Sum","5802 Value Entry","17 Sales Amount (Actual)","41 Source Type",$C$5,"5 Source no.",$C2698,"4 Item Ledger Entry Type",$C$4,"2 Item No.","@@"&amp;$F2698,"3 Posting Date",O$9)</t>
  </si>
  <si>
    <t>=-NL("Sum","5802 Value Entry","151 Cost Amount (Expected)","41 Source Type",$C$5,"5 Source No.",$C2698,"4 Item Ledger Entry Type",$C$4,"2 Item No.","@@"&amp;$F2698,"3 Posting Date",O$9)-NL("Sum","5802 Value Entry","43 Cost Amount (Actual)","41 Source Type",$C$5,"5 Source no.",$C2698,"4 Item Ledger Entry Type",$C$4,"2 Item No.","@@"&amp;$F2698,"3 Posting Date",O$9)</t>
  </si>
  <si>
    <t>=O2698-Q2698</t>
  </si>
  <si>
    <t>=IF(O2698&lt;&gt;0,R2698/O2698,"")</t>
  </si>
  <si>
    <t>=NL("Sum","5802 Value Entry","150 Sales Amount (Expected)","41 Source Type",$C$5,"5 Source No.",$C2698,"4 Item Ledger Entry Type",$C$4,"2 Item No.","@@"&amp;$F2698,"3 Posting Date",U$9)+NL("Sum","5802 Value Entry","17 Sales Amount (Actual)","41 Source Type",$C$5,"5 Source no.",$C2698,"4 Item Ledger Entry Type",$C$4,"2 Item No.","@@"&amp;$F2698,"3 Posting Date",U$9)</t>
  </si>
  <si>
    <t>=-NL("Sum","5802 Value Entry","151 Cost Amount (Expected)","41 Source Type",$C$5,"5 Source No.",$C2698,"4 Item Ledger Entry Type",$C$4,"2 Item No.","@@"&amp;$F2698,"3 Posting Date",U$9)-NL("Sum","5802 Value Entry","43 Cost Amount (Actual)","41 Source Type",$C$5,"5 Source no.",$C2698,"4 Item Ledger Entry Type",$C$4,"2 Item No.","@@"&amp;$F2698,"3 Posting Date",U$9)</t>
  </si>
  <si>
    <t>=U2698-W2698</t>
  </si>
  <si>
    <t>=IF(U2698&lt;&gt;0,X2698/U2698,"")</t>
  </si>
  <si>
    <t>=NL("Sum","5802 Value Entry","150 Sales Amount (Expected)","41 Source Type",$C$5,"5 Source No.",$C2698,"4 Item Ledger Entry Type",$C$4,"2 Item No.","@@"&amp;$F2698,"3 Posting Date",Z$9)+NL("Sum","5802 Value Entry","17 Sales Amount (Actual)","41 Source Type",$C$5,"5 Source no.",$C2698,"4 Item Ledger Entry Type",$C$4,"2 Item No.","@@"&amp;$F2698,"3 Posting Date",Z$9)</t>
  </si>
  <si>
    <t>=-NL("Sum","5802 Value Entry","151 Cost Amount (Expected)","41 Source Type",$C$5,"5 Source No.",$C2698,"4 Item Ledger Entry Type",$C$4,"2 Item No.","@@"&amp;$F2698,"3 Posting Date",Z$9)-NL("Sum","5802 Value Entry","43 Cost Amount (Actual)","41 Source Type",$C$5,"5 Source no.",$C2698,"4 Item Ledger Entry Type",$C$4,"2 Item No.","@@"&amp;$F2698,"3 Posting Date",Z$9)</t>
  </si>
  <si>
    <t>=Z2698-AB2698</t>
  </si>
  <si>
    <t>=IF(Z2698&lt;&gt;0,AC2698/Z2698,"")</t>
  </si>
  <si>
    <t>=C2698</t>
  </si>
  <si>
    <t>=NL("Sum","5802 Value Entry","150 Sales Amount (Expected)","41 Source Type",$C$5,"5 Source No.",$C2699,"4 Item Ledger Entry Type",$C$4,"2 Item No.","@@"&amp;$F2699,"3 Posting Date",J$9)+NL("Sum","5802 Value Entry","17 Sales Amount (Actual)","41 Source Type",$C$5,"5 Source no.",$C2699,"4 Item Ledger Entry Type",$C$4,"2 Item No.","@@"&amp;$F2699,"3 Posting Date",J$9)</t>
  </si>
  <si>
    <t>=-NL("Sum","5802 Value Entry","151 Cost Amount (Expected)","41 Source Type",$C$5,"5 Source No.",$C2699,"4 Item Ledger Entry Type",$C$4,"2 Item No.","@@"&amp;$F2699,"3 Posting Date",J$9)-NL("Sum","5802 Value Entry","43 Cost Amount (Actual)","41 Source Type",$C$5,"5 Source no.",$C2699,"4 Item Ledger Entry Type",$C$4,"2 Item No.","@@"&amp;$F2699,"3 Posting Date",J$9)</t>
  </si>
  <si>
    <t>=J2699-L2699</t>
  </si>
  <si>
    <t>=IF(J2699&lt;&gt;0,M2699/J2699,"")</t>
  </si>
  <si>
    <t>=NL("Sum","5802 Value Entry","150 Sales Amount (Expected)","41 Source Type",$C$5,"5 Source No.",$C2699,"4 Item Ledger Entry Type",$C$4,"2 Item No.","@@"&amp;$F2699,"3 Posting Date",O$9)+NL("Sum","5802 Value Entry","17 Sales Amount (Actual)","41 Source Type",$C$5,"5 Source no.",$C2699,"4 Item Ledger Entry Type",$C$4,"2 Item No.","@@"&amp;$F2699,"3 Posting Date",O$9)</t>
  </si>
  <si>
    <t>=-NL("Sum","5802 Value Entry","151 Cost Amount (Expected)","41 Source Type",$C$5,"5 Source No.",$C2699,"4 Item Ledger Entry Type",$C$4,"2 Item No.","@@"&amp;$F2699,"3 Posting Date",O$9)-NL("Sum","5802 Value Entry","43 Cost Amount (Actual)","41 Source Type",$C$5,"5 Source no.",$C2699,"4 Item Ledger Entry Type",$C$4,"2 Item No.","@@"&amp;$F2699,"3 Posting Date",O$9)</t>
  </si>
  <si>
    <t>=O2699-Q2699</t>
  </si>
  <si>
    <t>=IF(O2699&lt;&gt;0,R2699/O2699,"")</t>
  </si>
  <si>
    <t>=NL("Sum","5802 Value Entry","150 Sales Amount (Expected)","41 Source Type",$C$5,"5 Source No.",$C2699,"4 Item Ledger Entry Type",$C$4,"2 Item No.","@@"&amp;$F2699,"3 Posting Date",U$9)+NL("Sum","5802 Value Entry","17 Sales Amount (Actual)","41 Source Type",$C$5,"5 Source no.",$C2699,"4 Item Ledger Entry Type",$C$4,"2 Item No.","@@"&amp;$F2699,"3 Posting Date",U$9)</t>
  </si>
  <si>
    <t>=-NL("Sum","5802 Value Entry","151 Cost Amount (Expected)","41 Source Type",$C$5,"5 Source No.",$C2699,"4 Item Ledger Entry Type",$C$4,"2 Item No.","@@"&amp;$F2699,"3 Posting Date",U$9)-NL("Sum","5802 Value Entry","43 Cost Amount (Actual)","41 Source Type",$C$5,"5 Source no.",$C2699,"4 Item Ledger Entry Type",$C$4,"2 Item No.","@@"&amp;$F2699,"3 Posting Date",U$9)</t>
  </si>
  <si>
    <t>=U2699-W2699</t>
  </si>
  <si>
    <t>=IF(U2699&lt;&gt;0,X2699/U2699,"")</t>
  </si>
  <si>
    <t>=NL("Sum","5802 Value Entry","150 Sales Amount (Expected)","41 Source Type",$C$5,"5 Source No.",$C2699,"4 Item Ledger Entry Type",$C$4,"2 Item No.","@@"&amp;$F2699,"3 Posting Date",Z$9)+NL("Sum","5802 Value Entry","17 Sales Amount (Actual)","41 Source Type",$C$5,"5 Source no.",$C2699,"4 Item Ledger Entry Type",$C$4,"2 Item No.","@@"&amp;$F2699,"3 Posting Date",Z$9)</t>
  </si>
  <si>
    <t>=-NL("Sum","5802 Value Entry","151 Cost Amount (Expected)","41 Source Type",$C$5,"5 Source No.",$C2699,"4 Item Ledger Entry Type",$C$4,"2 Item No.","@@"&amp;$F2699,"3 Posting Date",Z$9)-NL("Sum","5802 Value Entry","43 Cost Amount (Actual)","41 Source Type",$C$5,"5 Source no.",$C2699,"4 Item Ledger Entry Type",$C$4,"2 Item No.","@@"&amp;$F2699,"3 Posting Date",Z$9)</t>
  </si>
  <si>
    <t>=Z2699-AB2699</t>
  </si>
  <si>
    <t>=IF(Z2699&lt;&gt;0,AC2699/Z2699,"")</t>
  </si>
  <si>
    <t>=C2699</t>
  </si>
  <si>
    <t>=NL("Sum","5802 Value Entry","150 Sales Amount (Expected)","41 Source Type",$C$5,"5 Source No.",$C2700,"4 Item Ledger Entry Type",$C$4,"2 Item No.","@@"&amp;$F2700,"3 Posting Date",J$9)+NL("Sum","5802 Value Entry","17 Sales Amount (Actual)","41 Source Type",$C$5,"5 Source no.",$C2700,"4 Item Ledger Entry Type",$C$4,"2 Item No.","@@"&amp;$F2700,"3 Posting Date",J$9)</t>
  </si>
  <si>
    <t>=-NL("Sum","5802 Value Entry","151 Cost Amount (Expected)","41 Source Type",$C$5,"5 Source No.",$C2700,"4 Item Ledger Entry Type",$C$4,"2 Item No.","@@"&amp;$F2700,"3 Posting Date",J$9)-NL("Sum","5802 Value Entry","43 Cost Amount (Actual)","41 Source Type",$C$5,"5 Source no.",$C2700,"4 Item Ledger Entry Type",$C$4,"2 Item No.","@@"&amp;$F2700,"3 Posting Date",J$9)</t>
  </si>
  <si>
    <t>=J2700-L2700</t>
  </si>
  <si>
    <t>=IF(J2700&lt;&gt;0,M2700/J2700,"")</t>
  </si>
  <si>
    <t>=NL("Sum","5802 Value Entry","150 Sales Amount (Expected)","41 Source Type",$C$5,"5 Source No.",$C2700,"4 Item Ledger Entry Type",$C$4,"2 Item No.","@@"&amp;$F2700,"3 Posting Date",O$9)+NL("Sum","5802 Value Entry","17 Sales Amount (Actual)","41 Source Type",$C$5,"5 Source no.",$C2700,"4 Item Ledger Entry Type",$C$4,"2 Item No.","@@"&amp;$F2700,"3 Posting Date",O$9)</t>
  </si>
  <si>
    <t>=-NL("Sum","5802 Value Entry","151 Cost Amount (Expected)","41 Source Type",$C$5,"5 Source No.",$C2700,"4 Item Ledger Entry Type",$C$4,"2 Item No.","@@"&amp;$F2700,"3 Posting Date",O$9)-NL("Sum","5802 Value Entry","43 Cost Amount (Actual)","41 Source Type",$C$5,"5 Source no.",$C2700,"4 Item Ledger Entry Type",$C$4,"2 Item No.","@@"&amp;$F2700,"3 Posting Date",O$9)</t>
  </si>
  <si>
    <t>=O2700-Q2700</t>
  </si>
  <si>
    <t>=IF(O2700&lt;&gt;0,R2700/O2700,"")</t>
  </si>
  <si>
    <t>=NL("Sum","5802 Value Entry","150 Sales Amount (Expected)","41 Source Type",$C$5,"5 Source No.",$C2700,"4 Item Ledger Entry Type",$C$4,"2 Item No.","@@"&amp;$F2700,"3 Posting Date",U$9)+NL("Sum","5802 Value Entry","17 Sales Amount (Actual)","41 Source Type",$C$5,"5 Source no.",$C2700,"4 Item Ledger Entry Type",$C$4,"2 Item No.","@@"&amp;$F2700,"3 Posting Date",U$9)</t>
  </si>
  <si>
    <t>=-NL("Sum","5802 Value Entry","151 Cost Amount (Expected)","41 Source Type",$C$5,"5 Source No.",$C2700,"4 Item Ledger Entry Type",$C$4,"2 Item No.","@@"&amp;$F2700,"3 Posting Date",U$9)-NL("Sum","5802 Value Entry","43 Cost Amount (Actual)","41 Source Type",$C$5,"5 Source no.",$C2700,"4 Item Ledger Entry Type",$C$4,"2 Item No.","@@"&amp;$F2700,"3 Posting Date",U$9)</t>
  </si>
  <si>
    <t>=U2700-W2700</t>
  </si>
  <si>
    <t>=IF(U2700&lt;&gt;0,X2700/U2700,"")</t>
  </si>
  <si>
    <t>=NL("Sum","5802 Value Entry","150 Sales Amount (Expected)","41 Source Type",$C$5,"5 Source No.",$C2700,"4 Item Ledger Entry Type",$C$4,"2 Item No.","@@"&amp;$F2700,"3 Posting Date",Z$9)+NL("Sum","5802 Value Entry","17 Sales Amount (Actual)","41 Source Type",$C$5,"5 Source no.",$C2700,"4 Item Ledger Entry Type",$C$4,"2 Item No.","@@"&amp;$F2700,"3 Posting Date",Z$9)</t>
  </si>
  <si>
    <t>=-NL("Sum","5802 Value Entry","151 Cost Amount (Expected)","41 Source Type",$C$5,"5 Source No.",$C2700,"4 Item Ledger Entry Type",$C$4,"2 Item No.","@@"&amp;$F2700,"3 Posting Date",Z$9)-NL("Sum","5802 Value Entry","43 Cost Amount (Actual)","41 Source Type",$C$5,"5 Source no.",$C2700,"4 Item Ledger Entry Type",$C$4,"2 Item No.","@@"&amp;$F2700,"3 Posting Date",Z$9)</t>
  </si>
  <si>
    <t>=Z2700-AB2700</t>
  </si>
  <si>
    <t>=IF(Z2700&lt;&gt;0,AC2700/Z2700,"")</t>
  </si>
  <si>
    <t>=C2700</t>
  </si>
  <si>
    <t>=NL("Sum","5802 Value Entry","150 Sales Amount (Expected)","41 Source Type",$C$5,"5 Source No.",$C2701,"4 Item Ledger Entry Type",$C$4,"2 Item No.","@@"&amp;$F2701,"3 Posting Date",J$9)+NL("Sum","5802 Value Entry","17 Sales Amount (Actual)","41 Source Type",$C$5,"5 Source no.",$C2701,"4 Item Ledger Entry Type",$C$4,"2 Item No.","@@"&amp;$F2701,"3 Posting Date",J$9)</t>
  </si>
  <si>
    <t>=-NL("Sum","5802 Value Entry","151 Cost Amount (Expected)","41 Source Type",$C$5,"5 Source No.",$C2701,"4 Item Ledger Entry Type",$C$4,"2 Item No.","@@"&amp;$F2701,"3 Posting Date",J$9)-NL("Sum","5802 Value Entry","43 Cost Amount (Actual)","41 Source Type",$C$5,"5 Source no.",$C2701,"4 Item Ledger Entry Type",$C$4,"2 Item No.","@@"&amp;$F2701,"3 Posting Date",J$9)</t>
  </si>
  <si>
    <t>=J2701-L2701</t>
  </si>
  <si>
    <t>=IF(J2701&lt;&gt;0,M2701/J2701,"")</t>
  </si>
  <si>
    <t>=NL("Sum","5802 Value Entry","150 Sales Amount (Expected)","41 Source Type",$C$5,"5 Source No.",$C2701,"4 Item Ledger Entry Type",$C$4,"2 Item No.","@@"&amp;$F2701,"3 Posting Date",O$9)+NL("Sum","5802 Value Entry","17 Sales Amount (Actual)","41 Source Type",$C$5,"5 Source no.",$C2701,"4 Item Ledger Entry Type",$C$4,"2 Item No.","@@"&amp;$F2701,"3 Posting Date",O$9)</t>
  </si>
  <si>
    <t>=-NL("Sum","5802 Value Entry","151 Cost Amount (Expected)","41 Source Type",$C$5,"5 Source No.",$C2701,"4 Item Ledger Entry Type",$C$4,"2 Item No.","@@"&amp;$F2701,"3 Posting Date",O$9)-NL("Sum","5802 Value Entry","43 Cost Amount (Actual)","41 Source Type",$C$5,"5 Source no.",$C2701,"4 Item Ledger Entry Type",$C$4,"2 Item No.","@@"&amp;$F2701,"3 Posting Date",O$9)</t>
  </si>
  <si>
    <t>=O2701-Q2701</t>
  </si>
  <si>
    <t>=IF(O2701&lt;&gt;0,R2701/O2701,"")</t>
  </si>
  <si>
    <t>=NL("Sum","5802 Value Entry","150 Sales Amount (Expected)","41 Source Type",$C$5,"5 Source No.",$C2701,"4 Item Ledger Entry Type",$C$4,"2 Item No.","@@"&amp;$F2701,"3 Posting Date",U$9)+NL("Sum","5802 Value Entry","17 Sales Amount (Actual)","41 Source Type",$C$5,"5 Source no.",$C2701,"4 Item Ledger Entry Type",$C$4,"2 Item No.","@@"&amp;$F2701,"3 Posting Date",U$9)</t>
  </si>
  <si>
    <t>=-NL("Sum","5802 Value Entry","151 Cost Amount (Expected)","41 Source Type",$C$5,"5 Source No.",$C2701,"4 Item Ledger Entry Type",$C$4,"2 Item No.","@@"&amp;$F2701,"3 Posting Date",U$9)-NL("Sum","5802 Value Entry","43 Cost Amount (Actual)","41 Source Type",$C$5,"5 Source no.",$C2701,"4 Item Ledger Entry Type",$C$4,"2 Item No.","@@"&amp;$F2701,"3 Posting Date",U$9)</t>
  </si>
  <si>
    <t>=U2701-W2701</t>
  </si>
  <si>
    <t>=IF(U2701&lt;&gt;0,X2701/U2701,"")</t>
  </si>
  <si>
    <t>=NL("Sum","5802 Value Entry","150 Sales Amount (Expected)","41 Source Type",$C$5,"5 Source No.",$C2701,"4 Item Ledger Entry Type",$C$4,"2 Item No.","@@"&amp;$F2701,"3 Posting Date",Z$9)+NL("Sum","5802 Value Entry","17 Sales Amount (Actual)","41 Source Type",$C$5,"5 Source no.",$C2701,"4 Item Ledger Entry Type",$C$4,"2 Item No.","@@"&amp;$F2701,"3 Posting Date",Z$9)</t>
  </si>
  <si>
    <t>=-NL("Sum","5802 Value Entry","151 Cost Amount (Expected)","41 Source Type",$C$5,"5 Source No.",$C2701,"4 Item Ledger Entry Type",$C$4,"2 Item No.","@@"&amp;$F2701,"3 Posting Date",Z$9)-NL("Sum","5802 Value Entry","43 Cost Amount (Actual)","41 Source Type",$C$5,"5 Source no.",$C2701,"4 Item Ledger Entry Type",$C$4,"2 Item No.","@@"&amp;$F2701,"3 Posting Date",Z$9)</t>
  </si>
  <si>
    <t>=Z2701-AB2701</t>
  </si>
  <si>
    <t>=IF(Z2701&lt;&gt;0,AC2701/Z2701,"")</t>
  </si>
  <si>
    <t>=C2701</t>
  </si>
  <si>
    <t>=NL("Sum","5802 Value Entry","150 Sales Amount (Expected)","41 Source Type",$C$5,"5 Source No.",$C2702,"4 Item Ledger Entry Type",$C$4,"2 Item No.","@@"&amp;$F2702,"3 Posting Date",J$9)+NL("Sum","5802 Value Entry","17 Sales Amount (Actual)","41 Source Type",$C$5,"5 Source no.",$C2702,"4 Item Ledger Entry Type",$C$4,"2 Item No.","@@"&amp;$F2702,"3 Posting Date",J$9)</t>
  </si>
  <si>
    <t>=-NL("Sum","5802 Value Entry","151 Cost Amount (Expected)","41 Source Type",$C$5,"5 Source No.",$C2702,"4 Item Ledger Entry Type",$C$4,"2 Item No.","@@"&amp;$F2702,"3 Posting Date",J$9)-NL("Sum","5802 Value Entry","43 Cost Amount (Actual)","41 Source Type",$C$5,"5 Source no.",$C2702,"4 Item Ledger Entry Type",$C$4,"2 Item No.","@@"&amp;$F2702,"3 Posting Date",J$9)</t>
  </si>
  <si>
    <t>=J2702-L2702</t>
  </si>
  <si>
    <t>=IF(J2702&lt;&gt;0,M2702/J2702,"")</t>
  </si>
  <si>
    <t>=NL("Sum","5802 Value Entry","150 Sales Amount (Expected)","41 Source Type",$C$5,"5 Source No.",$C2702,"4 Item Ledger Entry Type",$C$4,"2 Item No.","@@"&amp;$F2702,"3 Posting Date",O$9)+NL("Sum","5802 Value Entry","17 Sales Amount (Actual)","41 Source Type",$C$5,"5 Source no.",$C2702,"4 Item Ledger Entry Type",$C$4,"2 Item No.","@@"&amp;$F2702,"3 Posting Date",O$9)</t>
  </si>
  <si>
    <t>=-NL("Sum","5802 Value Entry","151 Cost Amount (Expected)","41 Source Type",$C$5,"5 Source No.",$C2702,"4 Item Ledger Entry Type",$C$4,"2 Item No.","@@"&amp;$F2702,"3 Posting Date",O$9)-NL("Sum","5802 Value Entry","43 Cost Amount (Actual)","41 Source Type",$C$5,"5 Source no.",$C2702,"4 Item Ledger Entry Type",$C$4,"2 Item No.","@@"&amp;$F2702,"3 Posting Date",O$9)</t>
  </si>
  <si>
    <t>=O2702-Q2702</t>
  </si>
  <si>
    <t>=IF(O2702&lt;&gt;0,R2702/O2702,"")</t>
  </si>
  <si>
    <t>=NL("Sum","5802 Value Entry","150 Sales Amount (Expected)","41 Source Type",$C$5,"5 Source No.",$C2702,"4 Item Ledger Entry Type",$C$4,"2 Item No.","@@"&amp;$F2702,"3 Posting Date",U$9)+NL("Sum","5802 Value Entry","17 Sales Amount (Actual)","41 Source Type",$C$5,"5 Source no.",$C2702,"4 Item Ledger Entry Type",$C$4,"2 Item No.","@@"&amp;$F2702,"3 Posting Date",U$9)</t>
  </si>
  <si>
    <t>=-NL("Sum","5802 Value Entry","151 Cost Amount (Expected)","41 Source Type",$C$5,"5 Source No.",$C2702,"4 Item Ledger Entry Type",$C$4,"2 Item No.","@@"&amp;$F2702,"3 Posting Date",U$9)-NL("Sum","5802 Value Entry","43 Cost Amount (Actual)","41 Source Type",$C$5,"5 Source no.",$C2702,"4 Item Ledger Entry Type",$C$4,"2 Item No.","@@"&amp;$F2702,"3 Posting Date",U$9)</t>
  </si>
  <si>
    <t>=U2702-W2702</t>
  </si>
  <si>
    <t>=IF(U2702&lt;&gt;0,X2702/U2702,"")</t>
  </si>
  <si>
    <t>=NL("Sum","5802 Value Entry","150 Sales Amount (Expected)","41 Source Type",$C$5,"5 Source No.",$C2702,"4 Item Ledger Entry Type",$C$4,"2 Item No.","@@"&amp;$F2702,"3 Posting Date",Z$9)+NL("Sum","5802 Value Entry","17 Sales Amount (Actual)","41 Source Type",$C$5,"5 Source no.",$C2702,"4 Item Ledger Entry Type",$C$4,"2 Item No.","@@"&amp;$F2702,"3 Posting Date",Z$9)</t>
  </si>
  <si>
    <t>=-NL("Sum","5802 Value Entry","151 Cost Amount (Expected)","41 Source Type",$C$5,"5 Source No.",$C2702,"4 Item Ledger Entry Type",$C$4,"2 Item No.","@@"&amp;$F2702,"3 Posting Date",Z$9)-NL("Sum","5802 Value Entry","43 Cost Amount (Actual)","41 Source Type",$C$5,"5 Source no.",$C2702,"4 Item Ledger Entry Type",$C$4,"2 Item No.","@@"&amp;$F2702,"3 Posting Date",Z$9)</t>
  </si>
  <si>
    <t>=Z2702-AB2702</t>
  </si>
  <si>
    <t>=IF(Z2702&lt;&gt;0,AC2702/Z2702,"")</t>
  </si>
  <si>
    <t>=C2702</t>
  </si>
  <si>
    <t>=NL("Sum","5802 Value Entry","150 Sales Amount (Expected)","41 Source Type",$C$5,"5 Source No.",$C2703,"4 Item Ledger Entry Type",$C$4,"2 Item No.","@@"&amp;$F2703,"3 Posting Date",J$9)+NL("Sum","5802 Value Entry","17 Sales Amount (Actual)","41 Source Type",$C$5,"5 Source no.",$C2703,"4 Item Ledger Entry Type",$C$4,"2 Item No.","@@"&amp;$F2703,"3 Posting Date",J$9)</t>
  </si>
  <si>
    <t>=-NL("Sum","5802 Value Entry","151 Cost Amount (Expected)","41 Source Type",$C$5,"5 Source No.",$C2703,"4 Item Ledger Entry Type",$C$4,"2 Item No.","@@"&amp;$F2703,"3 Posting Date",J$9)-NL("Sum","5802 Value Entry","43 Cost Amount (Actual)","41 Source Type",$C$5,"5 Source no.",$C2703,"4 Item Ledger Entry Type",$C$4,"2 Item No.","@@"&amp;$F2703,"3 Posting Date",J$9)</t>
  </si>
  <si>
    <t>=J2703-L2703</t>
  </si>
  <si>
    <t>=IF(J2703&lt;&gt;0,M2703/J2703,"")</t>
  </si>
  <si>
    <t>=NL("Sum","5802 Value Entry","150 Sales Amount (Expected)","41 Source Type",$C$5,"5 Source No.",$C2703,"4 Item Ledger Entry Type",$C$4,"2 Item No.","@@"&amp;$F2703,"3 Posting Date",O$9)+NL("Sum","5802 Value Entry","17 Sales Amount (Actual)","41 Source Type",$C$5,"5 Source no.",$C2703,"4 Item Ledger Entry Type",$C$4,"2 Item No.","@@"&amp;$F2703,"3 Posting Date",O$9)</t>
  </si>
  <si>
    <t>=-NL("Sum","5802 Value Entry","151 Cost Amount (Expected)","41 Source Type",$C$5,"5 Source No.",$C2703,"4 Item Ledger Entry Type",$C$4,"2 Item No.","@@"&amp;$F2703,"3 Posting Date",O$9)-NL("Sum","5802 Value Entry","43 Cost Amount (Actual)","41 Source Type",$C$5,"5 Source no.",$C2703,"4 Item Ledger Entry Type",$C$4,"2 Item No.","@@"&amp;$F2703,"3 Posting Date",O$9)</t>
  </si>
  <si>
    <t>=O2703-Q2703</t>
  </si>
  <si>
    <t>=IF(O2703&lt;&gt;0,R2703/O2703,"")</t>
  </si>
  <si>
    <t>=NL("Sum","5802 Value Entry","150 Sales Amount (Expected)","41 Source Type",$C$5,"5 Source No.",$C2703,"4 Item Ledger Entry Type",$C$4,"2 Item No.","@@"&amp;$F2703,"3 Posting Date",U$9)+NL("Sum","5802 Value Entry","17 Sales Amount (Actual)","41 Source Type",$C$5,"5 Source no.",$C2703,"4 Item Ledger Entry Type",$C$4,"2 Item No.","@@"&amp;$F2703,"3 Posting Date",U$9)</t>
  </si>
  <si>
    <t>=-NL("Sum","5802 Value Entry","151 Cost Amount (Expected)","41 Source Type",$C$5,"5 Source No.",$C2703,"4 Item Ledger Entry Type",$C$4,"2 Item No.","@@"&amp;$F2703,"3 Posting Date",U$9)-NL("Sum","5802 Value Entry","43 Cost Amount (Actual)","41 Source Type",$C$5,"5 Source no.",$C2703,"4 Item Ledger Entry Type",$C$4,"2 Item No.","@@"&amp;$F2703,"3 Posting Date",U$9)</t>
  </si>
  <si>
    <t>=U2703-W2703</t>
  </si>
  <si>
    <t>=IF(U2703&lt;&gt;0,X2703/U2703,"")</t>
  </si>
  <si>
    <t>=NL("Sum","5802 Value Entry","150 Sales Amount (Expected)","41 Source Type",$C$5,"5 Source No.",$C2703,"4 Item Ledger Entry Type",$C$4,"2 Item No.","@@"&amp;$F2703,"3 Posting Date",Z$9)+NL("Sum","5802 Value Entry","17 Sales Amount (Actual)","41 Source Type",$C$5,"5 Source no.",$C2703,"4 Item Ledger Entry Type",$C$4,"2 Item No.","@@"&amp;$F2703,"3 Posting Date",Z$9)</t>
  </si>
  <si>
    <t>=-NL("Sum","5802 Value Entry","151 Cost Amount (Expected)","41 Source Type",$C$5,"5 Source No.",$C2703,"4 Item Ledger Entry Type",$C$4,"2 Item No.","@@"&amp;$F2703,"3 Posting Date",Z$9)-NL("Sum","5802 Value Entry","43 Cost Amount (Actual)","41 Source Type",$C$5,"5 Source no.",$C2703,"4 Item Ledger Entry Type",$C$4,"2 Item No.","@@"&amp;$F2703,"3 Posting Date",Z$9)</t>
  </si>
  <si>
    <t>=Z2703-AB2703</t>
  </si>
  <si>
    <t>=IF(Z2703&lt;&gt;0,AC2703/Z2703,"")</t>
  </si>
  <si>
    <t>=C2703</t>
  </si>
  <si>
    <t>=NL("Sum","5802 Value Entry","150 Sales Amount (Expected)","41 Source Type",$C$5,"5 Source No.",$C2704,"4 Item Ledger Entry Type",$C$4,"2 Item No.","@@"&amp;$F2704,"3 Posting Date",J$9)+NL("Sum","5802 Value Entry","17 Sales Amount (Actual)","41 Source Type",$C$5,"5 Source no.",$C2704,"4 Item Ledger Entry Type",$C$4,"2 Item No.","@@"&amp;$F2704,"3 Posting Date",J$9)</t>
  </si>
  <si>
    <t>=-NL("Sum","5802 Value Entry","151 Cost Amount (Expected)","41 Source Type",$C$5,"5 Source No.",$C2704,"4 Item Ledger Entry Type",$C$4,"2 Item No.","@@"&amp;$F2704,"3 Posting Date",J$9)-NL("Sum","5802 Value Entry","43 Cost Amount (Actual)","41 Source Type",$C$5,"5 Source no.",$C2704,"4 Item Ledger Entry Type",$C$4,"2 Item No.","@@"&amp;$F2704,"3 Posting Date",J$9)</t>
  </si>
  <si>
    <t>=J2704-L2704</t>
  </si>
  <si>
    <t>=IF(J2704&lt;&gt;0,M2704/J2704,"")</t>
  </si>
  <si>
    <t>=NL("Sum","5802 Value Entry","150 Sales Amount (Expected)","41 Source Type",$C$5,"5 Source No.",$C2704,"4 Item Ledger Entry Type",$C$4,"2 Item No.","@@"&amp;$F2704,"3 Posting Date",O$9)+NL("Sum","5802 Value Entry","17 Sales Amount (Actual)","41 Source Type",$C$5,"5 Source no.",$C2704,"4 Item Ledger Entry Type",$C$4,"2 Item No.","@@"&amp;$F2704,"3 Posting Date",O$9)</t>
  </si>
  <si>
    <t>=-NL("Sum","5802 Value Entry","151 Cost Amount (Expected)","41 Source Type",$C$5,"5 Source No.",$C2704,"4 Item Ledger Entry Type",$C$4,"2 Item No.","@@"&amp;$F2704,"3 Posting Date",O$9)-NL("Sum","5802 Value Entry","43 Cost Amount (Actual)","41 Source Type",$C$5,"5 Source no.",$C2704,"4 Item Ledger Entry Type",$C$4,"2 Item No.","@@"&amp;$F2704,"3 Posting Date",O$9)</t>
  </si>
  <si>
    <t>=O2704-Q2704</t>
  </si>
  <si>
    <t>=IF(O2704&lt;&gt;0,R2704/O2704,"")</t>
  </si>
  <si>
    <t>=NL("Sum","5802 Value Entry","150 Sales Amount (Expected)","41 Source Type",$C$5,"5 Source No.",$C2704,"4 Item Ledger Entry Type",$C$4,"2 Item No.","@@"&amp;$F2704,"3 Posting Date",U$9)+NL("Sum","5802 Value Entry","17 Sales Amount (Actual)","41 Source Type",$C$5,"5 Source no.",$C2704,"4 Item Ledger Entry Type",$C$4,"2 Item No.","@@"&amp;$F2704,"3 Posting Date",U$9)</t>
  </si>
  <si>
    <t>=-NL("Sum","5802 Value Entry","151 Cost Amount (Expected)","41 Source Type",$C$5,"5 Source No.",$C2704,"4 Item Ledger Entry Type",$C$4,"2 Item No.","@@"&amp;$F2704,"3 Posting Date",U$9)-NL("Sum","5802 Value Entry","43 Cost Amount (Actual)","41 Source Type",$C$5,"5 Source no.",$C2704,"4 Item Ledger Entry Type",$C$4,"2 Item No.","@@"&amp;$F2704,"3 Posting Date",U$9)</t>
  </si>
  <si>
    <t>=U2704-W2704</t>
  </si>
  <si>
    <t>=IF(U2704&lt;&gt;0,X2704/U2704,"")</t>
  </si>
  <si>
    <t>=NL("Sum","5802 Value Entry","150 Sales Amount (Expected)","41 Source Type",$C$5,"5 Source No.",$C2704,"4 Item Ledger Entry Type",$C$4,"2 Item No.","@@"&amp;$F2704,"3 Posting Date",Z$9)+NL("Sum","5802 Value Entry","17 Sales Amount (Actual)","41 Source Type",$C$5,"5 Source no.",$C2704,"4 Item Ledger Entry Type",$C$4,"2 Item No.","@@"&amp;$F2704,"3 Posting Date",Z$9)</t>
  </si>
  <si>
    <t>=-NL("Sum","5802 Value Entry","151 Cost Amount (Expected)","41 Source Type",$C$5,"5 Source No.",$C2704,"4 Item Ledger Entry Type",$C$4,"2 Item No.","@@"&amp;$F2704,"3 Posting Date",Z$9)-NL("Sum","5802 Value Entry","43 Cost Amount (Actual)","41 Source Type",$C$5,"5 Source no.",$C2704,"4 Item Ledger Entry Type",$C$4,"2 Item No.","@@"&amp;$F2704,"3 Posting Date",Z$9)</t>
  </si>
  <si>
    <t>=Z2704-AB2704</t>
  </si>
  <si>
    <t>=IF(Z2704&lt;&gt;0,AC2704/Z2704,"")</t>
  </si>
  <si>
    <t>=C2704</t>
  </si>
  <si>
    <t>=NL("Sum","5802 Value Entry","150 Sales Amount (Expected)","41 Source Type",$C$5,"5 Source No.",$C2705,"4 Item Ledger Entry Type",$C$4,"2 Item No.","@@"&amp;$F2705,"3 Posting Date",J$9)+NL("Sum","5802 Value Entry","17 Sales Amount (Actual)","41 Source Type",$C$5,"5 Source no.",$C2705,"4 Item Ledger Entry Type",$C$4,"2 Item No.","@@"&amp;$F2705,"3 Posting Date",J$9)</t>
  </si>
  <si>
    <t>=-NL("Sum","5802 Value Entry","151 Cost Amount (Expected)","41 Source Type",$C$5,"5 Source No.",$C2705,"4 Item Ledger Entry Type",$C$4,"2 Item No.","@@"&amp;$F2705,"3 Posting Date",J$9)-NL("Sum","5802 Value Entry","43 Cost Amount (Actual)","41 Source Type",$C$5,"5 Source no.",$C2705,"4 Item Ledger Entry Type",$C$4,"2 Item No.","@@"&amp;$F2705,"3 Posting Date",J$9)</t>
  </si>
  <si>
    <t>=J2705-L2705</t>
  </si>
  <si>
    <t>=IF(J2705&lt;&gt;0,M2705/J2705,"")</t>
  </si>
  <si>
    <t>=NL("Sum","5802 Value Entry","150 Sales Amount (Expected)","41 Source Type",$C$5,"5 Source No.",$C2705,"4 Item Ledger Entry Type",$C$4,"2 Item No.","@@"&amp;$F2705,"3 Posting Date",O$9)+NL("Sum","5802 Value Entry","17 Sales Amount (Actual)","41 Source Type",$C$5,"5 Source no.",$C2705,"4 Item Ledger Entry Type",$C$4,"2 Item No.","@@"&amp;$F2705,"3 Posting Date",O$9)</t>
  </si>
  <si>
    <t>=-NL("Sum","5802 Value Entry","151 Cost Amount (Expected)","41 Source Type",$C$5,"5 Source No.",$C2705,"4 Item Ledger Entry Type",$C$4,"2 Item No.","@@"&amp;$F2705,"3 Posting Date",O$9)-NL("Sum","5802 Value Entry","43 Cost Amount (Actual)","41 Source Type",$C$5,"5 Source no.",$C2705,"4 Item Ledger Entry Type",$C$4,"2 Item No.","@@"&amp;$F2705,"3 Posting Date",O$9)</t>
  </si>
  <si>
    <t>=O2705-Q2705</t>
  </si>
  <si>
    <t>=IF(O2705&lt;&gt;0,R2705/O2705,"")</t>
  </si>
  <si>
    <t>=NL("Sum","5802 Value Entry","150 Sales Amount (Expected)","41 Source Type",$C$5,"5 Source No.",$C2705,"4 Item Ledger Entry Type",$C$4,"2 Item No.","@@"&amp;$F2705,"3 Posting Date",U$9)+NL("Sum","5802 Value Entry","17 Sales Amount (Actual)","41 Source Type",$C$5,"5 Source no.",$C2705,"4 Item Ledger Entry Type",$C$4,"2 Item No.","@@"&amp;$F2705,"3 Posting Date",U$9)</t>
  </si>
  <si>
    <t>=-NL("Sum","5802 Value Entry","151 Cost Amount (Expected)","41 Source Type",$C$5,"5 Source No.",$C2705,"4 Item Ledger Entry Type",$C$4,"2 Item No.","@@"&amp;$F2705,"3 Posting Date",U$9)-NL("Sum","5802 Value Entry","43 Cost Amount (Actual)","41 Source Type",$C$5,"5 Source no.",$C2705,"4 Item Ledger Entry Type",$C$4,"2 Item No.","@@"&amp;$F2705,"3 Posting Date",U$9)</t>
  </si>
  <si>
    <t>=U2705-W2705</t>
  </si>
  <si>
    <t>=IF(U2705&lt;&gt;0,X2705/U2705,"")</t>
  </si>
  <si>
    <t>=NL("Sum","5802 Value Entry","150 Sales Amount (Expected)","41 Source Type",$C$5,"5 Source No.",$C2705,"4 Item Ledger Entry Type",$C$4,"2 Item No.","@@"&amp;$F2705,"3 Posting Date",Z$9)+NL("Sum","5802 Value Entry","17 Sales Amount (Actual)","41 Source Type",$C$5,"5 Source no.",$C2705,"4 Item Ledger Entry Type",$C$4,"2 Item No.","@@"&amp;$F2705,"3 Posting Date",Z$9)</t>
  </si>
  <si>
    <t>=-NL("Sum","5802 Value Entry","151 Cost Amount (Expected)","41 Source Type",$C$5,"5 Source No.",$C2705,"4 Item Ledger Entry Type",$C$4,"2 Item No.","@@"&amp;$F2705,"3 Posting Date",Z$9)-NL("Sum","5802 Value Entry","43 Cost Amount (Actual)","41 Source Type",$C$5,"5 Source no.",$C2705,"4 Item Ledger Entry Type",$C$4,"2 Item No.","@@"&amp;$F2705,"3 Posting Date",Z$9)</t>
  </si>
  <si>
    <t>=Z2705-AB2705</t>
  </si>
  <si>
    <t>=IF(Z2705&lt;&gt;0,AC2705/Z2705,"")</t>
  </si>
  <si>
    <t>=C2705</t>
  </si>
  <si>
    <t>=NL("Sum","5802 Value Entry","150 Sales Amount (Expected)","41 Source Type",$C$5,"5 Source No.",$C2706,"4 Item Ledger Entry Type",$C$4,"2 Item No.","@@"&amp;$F2706,"3 Posting Date",J$9)+NL("Sum","5802 Value Entry","17 Sales Amount (Actual)","41 Source Type",$C$5,"5 Source no.",$C2706,"4 Item Ledger Entry Type",$C$4,"2 Item No.","@@"&amp;$F2706,"3 Posting Date",J$9)</t>
  </si>
  <si>
    <t>=-NL("Sum","5802 Value Entry","151 Cost Amount (Expected)","41 Source Type",$C$5,"5 Source No.",$C2706,"4 Item Ledger Entry Type",$C$4,"2 Item No.","@@"&amp;$F2706,"3 Posting Date",J$9)-NL("Sum","5802 Value Entry","43 Cost Amount (Actual)","41 Source Type",$C$5,"5 Source no.",$C2706,"4 Item Ledger Entry Type",$C$4,"2 Item No.","@@"&amp;$F2706,"3 Posting Date",J$9)</t>
  </si>
  <si>
    <t>=J2706-L2706</t>
  </si>
  <si>
    <t>=IF(J2706&lt;&gt;0,M2706/J2706,"")</t>
  </si>
  <si>
    <t>=NL("Sum","5802 Value Entry","150 Sales Amount (Expected)","41 Source Type",$C$5,"5 Source No.",$C2706,"4 Item Ledger Entry Type",$C$4,"2 Item No.","@@"&amp;$F2706,"3 Posting Date",O$9)+NL("Sum","5802 Value Entry","17 Sales Amount (Actual)","41 Source Type",$C$5,"5 Source no.",$C2706,"4 Item Ledger Entry Type",$C$4,"2 Item No.","@@"&amp;$F2706,"3 Posting Date",O$9)</t>
  </si>
  <si>
    <t>=-NL("Sum","5802 Value Entry","151 Cost Amount (Expected)","41 Source Type",$C$5,"5 Source No.",$C2706,"4 Item Ledger Entry Type",$C$4,"2 Item No.","@@"&amp;$F2706,"3 Posting Date",O$9)-NL("Sum","5802 Value Entry","43 Cost Amount (Actual)","41 Source Type",$C$5,"5 Source no.",$C2706,"4 Item Ledger Entry Type",$C$4,"2 Item No.","@@"&amp;$F2706,"3 Posting Date",O$9)</t>
  </si>
  <si>
    <t>=O2706-Q2706</t>
  </si>
  <si>
    <t>=IF(O2706&lt;&gt;0,R2706/O2706,"")</t>
  </si>
  <si>
    <t>=NL("Sum","5802 Value Entry","150 Sales Amount (Expected)","41 Source Type",$C$5,"5 Source No.",$C2706,"4 Item Ledger Entry Type",$C$4,"2 Item No.","@@"&amp;$F2706,"3 Posting Date",U$9)+NL("Sum","5802 Value Entry","17 Sales Amount (Actual)","41 Source Type",$C$5,"5 Source no.",$C2706,"4 Item Ledger Entry Type",$C$4,"2 Item No.","@@"&amp;$F2706,"3 Posting Date",U$9)</t>
  </si>
  <si>
    <t>=-NL("Sum","5802 Value Entry","151 Cost Amount (Expected)","41 Source Type",$C$5,"5 Source No.",$C2706,"4 Item Ledger Entry Type",$C$4,"2 Item No.","@@"&amp;$F2706,"3 Posting Date",U$9)-NL("Sum","5802 Value Entry","43 Cost Amount (Actual)","41 Source Type",$C$5,"5 Source no.",$C2706,"4 Item Ledger Entry Type",$C$4,"2 Item No.","@@"&amp;$F2706,"3 Posting Date",U$9)</t>
  </si>
  <si>
    <t>=U2706-W2706</t>
  </si>
  <si>
    <t>=IF(U2706&lt;&gt;0,X2706/U2706,"")</t>
  </si>
  <si>
    <t>=NL("Sum","5802 Value Entry","150 Sales Amount (Expected)","41 Source Type",$C$5,"5 Source No.",$C2706,"4 Item Ledger Entry Type",$C$4,"2 Item No.","@@"&amp;$F2706,"3 Posting Date",Z$9)+NL("Sum","5802 Value Entry","17 Sales Amount (Actual)","41 Source Type",$C$5,"5 Source no.",$C2706,"4 Item Ledger Entry Type",$C$4,"2 Item No.","@@"&amp;$F2706,"3 Posting Date",Z$9)</t>
  </si>
  <si>
    <t>=-NL("Sum","5802 Value Entry","151 Cost Amount (Expected)","41 Source Type",$C$5,"5 Source No.",$C2706,"4 Item Ledger Entry Type",$C$4,"2 Item No.","@@"&amp;$F2706,"3 Posting Date",Z$9)-NL("Sum","5802 Value Entry","43 Cost Amount (Actual)","41 Source Type",$C$5,"5 Source no.",$C2706,"4 Item Ledger Entry Type",$C$4,"2 Item No.","@@"&amp;$F2706,"3 Posting Date",Z$9)</t>
  </si>
  <si>
    <t>=Z2706-AB2706</t>
  </si>
  <si>
    <t>=IF(Z2706&lt;&gt;0,AC2706/Z2706,"")</t>
  </si>
  <si>
    <t>=C2706</t>
  </si>
  <si>
    <t>=NL("Sum","5802 Value Entry","150 Sales Amount (Expected)","41 Source Type",$C$5,"5 Source No.",$C2707,"4 Item Ledger Entry Type",$C$4,"2 Item No.","@@"&amp;$F2707,"3 Posting Date",J$9)+NL("Sum","5802 Value Entry","17 Sales Amount (Actual)","41 Source Type",$C$5,"5 Source no.",$C2707,"4 Item Ledger Entry Type",$C$4,"2 Item No.","@@"&amp;$F2707,"3 Posting Date",J$9)</t>
  </si>
  <si>
    <t>=-NL("Sum","5802 Value Entry","151 Cost Amount (Expected)","41 Source Type",$C$5,"5 Source No.",$C2707,"4 Item Ledger Entry Type",$C$4,"2 Item No.","@@"&amp;$F2707,"3 Posting Date",J$9)-NL("Sum","5802 Value Entry","43 Cost Amount (Actual)","41 Source Type",$C$5,"5 Source no.",$C2707,"4 Item Ledger Entry Type",$C$4,"2 Item No.","@@"&amp;$F2707,"3 Posting Date",J$9)</t>
  </si>
  <si>
    <t>=J2707-L2707</t>
  </si>
  <si>
    <t>=IF(J2707&lt;&gt;0,M2707/J2707,"")</t>
  </si>
  <si>
    <t>=NL("Sum","5802 Value Entry","150 Sales Amount (Expected)","41 Source Type",$C$5,"5 Source No.",$C2707,"4 Item Ledger Entry Type",$C$4,"2 Item No.","@@"&amp;$F2707,"3 Posting Date",O$9)+NL("Sum","5802 Value Entry","17 Sales Amount (Actual)","41 Source Type",$C$5,"5 Source no.",$C2707,"4 Item Ledger Entry Type",$C$4,"2 Item No.","@@"&amp;$F2707,"3 Posting Date",O$9)</t>
  </si>
  <si>
    <t>=-NL("Sum","5802 Value Entry","151 Cost Amount (Expected)","41 Source Type",$C$5,"5 Source No.",$C2707,"4 Item Ledger Entry Type",$C$4,"2 Item No.","@@"&amp;$F2707,"3 Posting Date",O$9)-NL("Sum","5802 Value Entry","43 Cost Amount (Actual)","41 Source Type",$C$5,"5 Source no.",$C2707,"4 Item Ledger Entry Type",$C$4,"2 Item No.","@@"&amp;$F2707,"3 Posting Date",O$9)</t>
  </si>
  <si>
    <t>=O2707-Q2707</t>
  </si>
  <si>
    <t>=IF(O2707&lt;&gt;0,R2707/O2707,"")</t>
  </si>
  <si>
    <t>=NL("Sum","5802 Value Entry","150 Sales Amount (Expected)","41 Source Type",$C$5,"5 Source No.",$C2707,"4 Item Ledger Entry Type",$C$4,"2 Item No.","@@"&amp;$F2707,"3 Posting Date",U$9)+NL("Sum","5802 Value Entry","17 Sales Amount (Actual)","41 Source Type",$C$5,"5 Source no.",$C2707,"4 Item Ledger Entry Type",$C$4,"2 Item No.","@@"&amp;$F2707,"3 Posting Date",U$9)</t>
  </si>
  <si>
    <t>=-NL("Sum","5802 Value Entry","151 Cost Amount (Expected)","41 Source Type",$C$5,"5 Source No.",$C2707,"4 Item Ledger Entry Type",$C$4,"2 Item No.","@@"&amp;$F2707,"3 Posting Date",U$9)-NL("Sum","5802 Value Entry","43 Cost Amount (Actual)","41 Source Type",$C$5,"5 Source no.",$C2707,"4 Item Ledger Entry Type",$C$4,"2 Item No.","@@"&amp;$F2707,"3 Posting Date",U$9)</t>
  </si>
  <si>
    <t>=U2707-W2707</t>
  </si>
  <si>
    <t>=IF(U2707&lt;&gt;0,X2707/U2707,"")</t>
  </si>
  <si>
    <t>=NL("Sum","5802 Value Entry","150 Sales Amount (Expected)","41 Source Type",$C$5,"5 Source No.",$C2707,"4 Item Ledger Entry Type",$C$4,"2 Item No.","@@"&amp;$F2707,"3 Posting Date",Z$9)+NL("Sum","5802 Value Entry","17 Sales Amount (Actual)","41 Source Type",$C$5,"5 Source no.",$C2707,"4 Item Ledger Entry Type",$C$4,"2 Item No.","@@"&amp;$F2707,"3 Posting Date",Z$9)</t>
  </si>
  <si>
    <t>=-NL("Sum","5802 Value Entry","151 Cost Amount (Expected)","41 Source Type",$C$5,"5 Source No.",$C2707,"4 Item Ledger Entry Type",$C$4,"2 Item No.","@@"&amp;$F2707,"3 Posting Date",Z$9)-NL("Sum","5802 Value Entry","43 Cost Amount (Actual)","41 Source Type",$C$5,"5 Source no.",$C2707,"4 Item Ledger Entry Type",$C$4,"2 Item No.","@@"&amp;$F2707,"3 Posting Date",Z$9)</t>
  </si>
  <si>
    <t>=Z2707-AB2707</t>
  </si>
  <si>
    <t>=IF(Z2707&lt;&gt;0,AC2707/Z2707,"")</t>
  </si>
  <si>
    <t>=C2707</t>
  </si>
  <si>
    <t>=NL("Sum","5802 Value Entry","150 Sales Amount (Expected)","41 Source Type",$C$5,"5 Source No.",$C2708,"4 Item Ledger Entry Type",$C$4,"2 Item No.","@@"&amp;$F2708,"3 Posting Date",J$9)+NL("Sum","5802 Value Entry","17 Sales Amount (Actual)","41 Source Type",$C$5,"5 Source no.",$C2708,"4 Item Ledger Entry Type",$C$4,"2 Item No.","@@"&amp;$F2708,"3 Posting Date",J$9)</t>
  </si>
  <si>
    <t>=-NL("Sum","5802 Value Entry","151 Cost Amount (Expected)","41 Source Type",$C$5,"5 Source No.",$C2708,"4 Item Ledger Entry Type",$C$4,"2 Item No.","@@"&amp;$F2708,"3 Posting Date",J$9)-NL("Sum","5802 Value Entry","43 Cost Amount (Actual)","41 Source Type",$C$5,"5 Source no.",$C2708,"4 Item Ledger Entry Type",$C$4,"2 Item No.","@@"&amp;$F2708,"3 Posting Date",J$9)</t>
  </si>
  <si>
    <t>=J2708-L2708</t>
  </si>
  <si>
    <t>=IF(J2708&lt;&gt;0,M2708/J2708,"")</t>
  </si>
  <si>
    <t>=NL("Sum","5802 Value Entry","150 Sales Amount (Expected)","41 Source Type",$C$5,"5 Source No.",$C2708,"4 Item Ledger Entry Type",$C$4,"2 Item No.","@@"&amp;$F2708,"3 Posting Date",O$9)+NL("Sum","5802 Value Entry","17 Sales Amount (Actual)","41 Source Type",$C$5,"5 Source no.",$C2708,"4 Item Ledger Entry Type",$C$4,"2 Item No.","@@"&amp;$F2708,"3 Posting Date",O$9)</t>
  </si>
  <si>
    <t>=-NL("Sum","5802 Value Entry","151 Cost Amount (Expected)","41 Source Type",$C$5,"5 Source No.",$C2708,"4 Item Ledger Entry Type",$C$4,"2 Item No.","@@"&amp;$F2708,"3 Posting Date",O$9)-NL("Sum","5802 Value Entry","43 Cost Amount (Actual)","41 Source Type",$C$5,"5 Source no.",$C2708,"4 Item Ledger Entry Type",$C$4,"2 Item No.","@@"&amp;$F2708,"3 Posting Date",O$9)</t>
  </si>
  <si>
    <t>=O2708-Q2708</t>
  </si>
  <si>
    <t>=IF(O2708&lt;&gt;0,R2708/O2708,"")</t>
  </si>
  <si>
    <t>=NL("Sum","5802 Value Entry","150 Sales Amount (Expected)","41 Source Type",$C$5,"5 Source No.",$C2708,"4 Item Ledger Entry Type",$C$4,"2 Item No.","@@"&amp;$F2708,"3 Posting Date",U$9)+NL("Sum","5802 Value Entry","17 Sales Amount (Actual)","41 Source Type",$C$5,"5 Source no.",$C2708,"4 Item Ledger Entry Type",$C$4,"2 Item No.","@@"&amp;$F2708,"3 Posting Date",U$9)</t>
  </si>
  <si>
    <t>=-NL("Sum","5802 Value Entry","151 Cost Amount (Expected)","41 Source Type",$C$5,"5 Source No.",$C2708,"4 Item Ledger Entry Type",$C$4,"2 Item No.","@@"&amp;$F2708,"3 Posting Date",U$9)-NL("Sum","5802 Value Entry","43 Cost Amount (Actual)","41 Source Type",$C$5,"5 Source no.",$C2708,"4 Item Ledger Entry Type",$C$4,"2 Item No.","@@"&amp;$F2708,"3 Posting Date",U$9)</t>
  </si>
  <si>
    <t>=U2708-W2708</t>
  </si>
  <si>
    <t>=IF(U2708&lt;&gt;0,X2708/U2708,"")</t>
  </si>
  <si>
    <t>=NL("Sum","5802 Value Entry","150 Sales Amount (Expected)","41 Source Type",$C$5,"5 Source No.",$C2708,"4 Item Ledger Entry Type",$C$4,"2 Item No.","@@"&amp;$F2708,"3 Posting Date",Z$9)+NL("Sum","5802 Value Entry","17 Sales Amount (Actual)","41 Source Type",$C$5,"5 Source no.",$C2708,"4 Item Ledger Entry Type",$C$4,"2 Item No.","@@"&amp;$F2708,"3 Posting Date",Z$9)</t>
  </si>
  <si>
    <t>=-NL("Sum","5802 Value Entry","151 Cost Amount (Expected)","41 Source Type",$C$5,"5 Source No.",$C2708,"4 Item Ledger Entry Type",$C$4,"2 Item No.","@@"&amp;$F2708,"3 Posting Date",Z$9)-NL("Sum","5802 Value Entry","43 Cost Amount (Actual)","41 Source Type",$C$5,"5 Source no.",$C2708,"4 Item Ledger Entry Type",$C$4,"2 Item No.","@@"&amp;$F2708,"3 Posting Date",Z$9)</t>
  </si>
  <si>
    <t>=Z2708-AB2708</t>
  </si>
  <si>
    <t>=IF(Z2708&lt;&gt;0,AC2708/Z2708,"")</t>
  </si>
  <si>
    <t>=C2708</t>
  </si>
  <si>
    <t>=NL("Sum","5802 Value Entry","150 Sales Amount (Expected)","41 Source Type",$C$5,"5 Source No.",$C2709,"4 Item Ledger Entry Type",$C$4,"2 Item No.","@@"&amp;$F2709,"3 Posting Date",J$9)+NL("Sum","5802 Value Entry","17 Sales Amount (Actual)","41 Source Type",$C$5,"5 Source no.",$C2709,"4 Item Ledger Entry Type",$C$4,"2 Item No.","@@"&amp;$F2709,"3 Posting Date",J$9)</t>
  </si>
  <si>
    <t>=-NL("Sum","5802 Value Entry","151 Cost Amount (Expected)","41 Source Type",$C$5,"5 Source No.",$C2709,"4 Item Ledger Entry Type",$C$4,"2 Item No.","@@"&amp;$F2709,"3 Posting Date",J$9)-NL("Sum","5802 Value Entry","43 Cost Amount (Actual)","41 Source Type",$C$5,"5 Source no.",$C2709,"4 Item Ledger Entry Type",$C$4,"2 Item No.","@@"&amp;$F2709,"3 Posting Date",J$9)</t>
  </si>
  <si>
    <t>=J2709-L2709</t>
  </si>
  <si>
    <t>=IF(J2709&lt;&gt;0,M2709/J2709,"")</t>
  </si>
  <si>
    <t>=NL("Sum","5802 Value Entry","150 Sales Amount (Expected)","41 Source Type",$C$5,"5 Source No.",$C2709,"4 Item Ledger Entry Type",$C$4,"2 Item No.","@@"&amp;$F2709,"3 Posting Date",O$9)+NL("Sum","5802 Value Entry","17 Sales Amount (Actual)","41 Source Type",$C$5,"5 Source no.",$C2709,"4 Item Ledger Entry Type",$C$4,"2 Item No.","@@"&amp;$F2709,"3 Posting Date",O$9)</t>
  </si>
  <si>
    <t>=-NL("Sum","5802 Value Entry","151 Cost Amount (Expected)","41 Source Type",$C$5,"5 Source No.",$C2709,"4 Item Ledger Entry Type",$C$4,"2 Item No.","@@"&amp;$F2709,"3 Posting Date",O$9)-NL("Sum","5802 Value Entry","43 Cost Amount (Actual)","41 Source Type",$C$5,"5 Source no.",$C2709,"4 Item Ledger Entry Type",$C$4,"2 Item No.","@@"&amp;$F2709,"3 Posting Date",O$9)</t>
  </si>
  <si>
    <t>=O2709-Q2709</t>
  </si>
  <si>
    <t>=IF(O2709&lt;&gt;0,R2709/O2709,"")</t>
  </si>
  <si>
    <t>=NL("Sum","5802 Value Entry","150 Sales Amount (Expected)","41 Source Type",$C$5,"5 Source No.",$C2709,"4 Item Ledger Entry Type",$C$4,"2 Item No.","@@"&amp;$F2709,"3 Posting Date",U$9)+NL("Sum","5802 Value Entry","17 Sales Amount (Actual)","41 Source Type",$C$5,"5 Source no.",$C2709,"4 Item Ledger Entry Type",$C$4,"2 Item No.","@@"&amp;$F2709,"3 Posting Date",U$9)</t>
  </si>
  <si>
    <t>=-NL("Sum","5802 Value Entry","151 Cost Amount (Expected)","41 Source Type",$C$5,"5 Source No.",$C2709,"4 Item Ledger Entry Type",$C$4,"2 Item No.","@@"&amp;$F2709,"3 Posting Date",U$9)-NL("Sum","5802 Value Entry","43 Cost Amount (Actual)","41 Source Type",$C$5,"5 Source no.",$C2709,"4 Item Ledger Entry Type",$C$4,"2 Item No.","@@"&amp;$F2709,"3 Posting Date",U$9)</t>
  </si>
  <si>
    <t>=U2709-W2709</t>
  </si>
  <si>
    <t>=IF(U2709&lt;&gt;0,X2709/U2709,"")</t>
  </si>
  <si>
    <t>=NL("Sum","5802 Value Entry","150 Sales Amount (Expected)","41 Source Type",$C$5,"5 Source No.",$C2709,"4 Item Ledger Entry Type",$C$4,"2 Item No.","@@"&amp;$F2709,"3 Posting Date",Z$9)+NL("Sum","5802 Value Entry","17 Sales Amount (Actual)","41 Source Type",$C$5,"5 Source no.",$C2709,"4 Item Ledger Entry Type",$C$4,"2 Item No.","@@"&amp;$F2709,"3 Posting Date",Z$9)</t>
  </si>
  <si>
    <t>=-NL("Sum","5802 Value Entry","151 Cost Amount (Expected)","41 Source Type",$C$5,"5 Source No.",$C2709,"4 Item Ledger Entry Type",$C$4,"2 Item No.","@@"&amp;$F2709,"3 Posting Date",Z$9)-NL("Sum","5802 Value Entry","43 Cost Amount (Actual)","41 Source Type",$C$5,"5 Source no.",$C2709,"4 Item Ledger Entry Type",$C$4,"2 Item No.","@@"&amp;$F2709,"3 Posting Date",Z$9)</t>
  </si>
  <si>
    <t>=Z2709-AB2709</t>
  </si>
  <si>
    <t>=IF(Z2709&lt;&gt;0,AC2709/Z2709,"")</t>
  </si>
  <si>
    <t>=C2709</t>
  </si>
  <si>
    <t>=NL("Sum","5802 Value Entry","150 Sales Amount (Expected)","41 Source Type",$C$5,"5 Source No.",$C2710,"4 Item Ledger Entry Type",$C$4,"2 Item No.","@@"&amp;$F2710,"3 Posting Date",J$9)+NL("Sum","5802 Value Entry","17 Sales Amount (Actual)","41 Source Type",$C$5,"5 Source no.",$C2710,"4 Item Ledger Entry Type",$C$4,"2 Item No.","@@"&amp;$F2710,"3 Posting Date",J$9)</t>
  </si>
  <si>
    <t>=-NL("Sum","5802 Value Entry","151 Cost Amount (Expected)","41 Source Type",$C$5,"5 Source No.",$C2710,"4 Item Ledger Entry Type",$C$4,"2 Item No.","@@"&amp;$F2710,"3 Posting Date",J$9)-NL("Sum","5802 Value Entry","43 Cost Amount (Actual)","41 Source Type",$C$5,"5 Source no.",$C2710,"4 Item Ledger Entry Type",$C$4,"2 Item No.","@@"&amp;$F2710,"3 Posting Date",J$9)</t>
  </si>
  <si>
    <t>=J2710-L2710</t>
  </si>
  <si>
    <t>=IF(J2710&lt;&gt;0,M2710/J2710,"")</t>
  </si>
  <si>
    <t>=NL("Sum","5802 Value Entry","150 Sales Amount (Expected)","41 Source Type",$C$5,"5 Source No.",$C2710,"4 Item Ledger Entry Type",$C$4,"2 Item No.","@@"&amp;$F2710,"3 Posting Date",O$9)+NL("Sum","5802 Value Entry","17 Sales Amount (Actual)","41 Source Type",$C$5,"5 Source no.",$C2710,"4 Item Ledger Entry Type",$C$4,"2 Item No.","@@"&amp;$F2710,"3 Posting Date",O$9)</t>
  </si>
  <si>
    <t>=-NL("Sum","5802 Value Entry","151 Cost Amount (Expected)","41 Source Type",$C$5,"5 Source No.",$C2710,"4 Item Ledger Entry Type",$C$4,"2 Item No.","@@"&amp;$F2710,"3 Posting Date",O$9)-NL("Sum","5802 Value Entry","43 Cost Amount (Actual)","41 Source Type",$C$5,"5 Source no.",$C2710,"4 Item Ledger Entry Type",$C$4,"2 Item No.","@@"&amp;$F2710,"3 Posting Date",O$9)</t>
  </si>
  <si>
    <t>=O2710-Q2710</t>
  </si>
  <si>
    <t>=IF(O2710&lt;&gt;0,R2710/O2710,"")</t>
  </si>
  <si>
    <t>=NL("Sum","5802 Value Entry","150 Sales Amount (Expected)","41 Source Type",$C$5,"5 Source No.",$C2710,"4 Item Ledger Entry Type",$C$4,"2 Item No.","@@"&amp;$F2710,"3 Posting Date",U$9)+NL("Sum","5802 Value Entry","17 Sales Amount (Actual)","41 Source Type",$C$5,"5 Source no.",$C2710,"4 Item Ledger Entry Type",$C$4,"2 Item No.","@@"&amp;$F2710,"3 Posting Date",U$9)</t>
  </si>
  <si>
    <t>=-NL("Sum","5802 Value Entry","151 Cost Amount (Expected)","41 Source Type",$C$5,"5 Source No.",$C2710,"4 Item Ledger Entry Type",$C$4,"2 Item No.","@@"&amp;$F2710,"3 Posting Date",U$9)-NL("Sum","5802 Value Entry","43 Cost Amount (Actual)","41 Source Type",$C$5,"5 Source no.",$C2710,"4 Item Ledger Entry Type",$C$4,"2 Item No.","@@"&amp;$F2710,"3 Posting Date",U$9)</t>
  </si>
  <si>
    <t>=U2710-W2710</t>
  </si>
  <si>
    <t>=IF(U2710&lt;&gt;0,X2710/U2710,"")</t>
  </si>
  <si>
    <t>=NL("Sum","5802 Value Entry","150 Sales Amount (Expected)","41 Source Type",$C$5,"5 Source No.",$C2710,"4 Item Ledger Entry Type",$C$4,"2 Item No.","@@"&amp;$F2710,"3 Posting Date",Z$9)+NL("Sum","5802 Value Entry","17 Sales Amount (Actual)","41 Source Type",$C$5,"5 Source no.",$C2710,"4 Item Ledger Entry Type",$C$4,"2 Item No.","@@"&amp;$F2710,"3 Posting Date",Z$9)</t>
  </si>
  <si>
    <t>=-NL("Sum","5802 Value Entry","151 Cost Amount (Expected)","41 Source Type",$C$5,"5 Source No.",$C2710,"4 Item Ledger Entry Type",$C$4,"2 Item No.","@@"&amp;$F2710,"3 Posting Date",Z$9)-NL("Sum","5802 Value Entry","43 Cost Amount (Actual)","41 Source Type",$C$5,"5 Source no.",$C2710,"4 Item Ledger Entry Type",$C$4,"2 Item No.","@@"&amp;$F2710,"3 Posting Date",Z$9)</t>
  </si>
  <si>
    <t>=Z2710-AB2710</t>
  </si>
  <si>
    <t>=IF(Z2710&lt;&gt;0,AC2710/Z2710,"")</t>
  </si>
  <si>
    <t>=C2710</t>
  </si>
  <si>
    <t>=NL("Sum","5802 Value Entry","150 Sales Amount (Expected)","41 Source Type",$C$5,"5 Source No.",$C2711,"4 Item Ledger Entry Type",$C$4,"2 Item No.","@@"&amp;$F2711,"3 Posting Date",J$9)+NL("Sum","5802 Value Entry","17 Sales Amount (Actual)","41 Source Type",$C$5,"5 Source no.",$C2711,"4 Item Ledger Entry Type",$C$4,"2 Item No.","@@"&amp;$F2711,"3 Posting Date",J$9)</t>
  </si>
  <si>
    <t>=-NL("Sum","5802 Value Entry","151 Cost Amount (Expected)","41 Source Type",$C$5,"5 Source No.",$C2711,"4 Item Ledger Entry Type",$C$4,"2 Item No.","@@"&amp;$F2711,"3 Posting Date",J$9)-NL("Sum","5802 Value Entry","43 Cost Amount (Actual)","41 Source Type",$C$5,"5 Source no.",$C2711,"4 Item Ledger Entry Type",$C$4,"2 Item No.","@@"&amp;$F2711,"3 Posting Date",J$9)</t>
  </si>
  <si>
    <t>=J2711-L2711</t>
  </si>
  <si>
    <t>=IF(J2711&lt;&gt;0,M2711/J2711,"")</t>
  </si>
  <si>
    <t>=NL("Sum","5802 Value Entry","150 Sales Amount (Expected)","41 Source Type",$C$5,"5 Source No.",$C2711,"4 Item Ledger Entry Type",$C$4,"2 Item No.","@@"&amp;$F2711,"3 Posting Date",O$9)+NL("Sum","5802 Value Entry","17 Sales Amount (Actual)","41 Source Type",$C$5,"5 Source no.",$C2711,"4 Item Ledger Entry Type",$C$4,"2 Item No.","@@"&amp;$F2711,"3 Posting Date",O$9)</t>
  </si>
  <si>
    <t>=-NL("Sum","5802 Value Entry","151 Cost Amount (Expected)","41 Source Type",$C$5,"5 Source No.",$C2711,"4 Item Ledger Entry Type",$C$4,"2 Item No.","@@"&amp;$F2711,"3 Posting Date",O$9)-NL("Sum","5802 Value Entry","43 Cost Amount (Actual)","41 Source Type",$C$5,"5 Source no.",$C2711,"4 Item Ledger Entry Type",$C$4,"2 Item No.","@@"&amp;$F2711,"3 Posting Date",O$9)</t>
  </si>
  <si>
    <t>=O2711-Q2711</t>
  </si>
  <si>
    <t>=IF(O2711&lt;&gt;0,R2711/O2711,"")</t>
  </si>
  <si>
    <t>=NL("Sum","5802 Value Entry","150 Sales Amount (Expected)","41 Source Type",$C$5,"5 Source No.",$C2711,"4 Item Ledger Entry Type",$C$4,"2 Item No.","@@"&amp;$F2711,"3 Posting Date",U$9)+NL("Sum","5802 Value Entry","17 Sales Amount (Actual)","41 Source Type",$C$5,"5 Source no.",$C2711,"4 Item Ledger Entry Type",$C$4,"2 Item No.","@@"&amp;$F2711,"3 Posting Date",U$9)</t>
  </si>
  <si>
    <t>=-NL("Sum","5802 Value Entry","151 Cost Amount (Expected)","41 Source Type",$C$5,"5 Source No.",$C2711,"4 Item Ledger Entry Type",$C$4,"2 Item No.","@@"&amp;$F2711,"3 Posting Date",U$9)-NL("Sum","5802 Value Entry","43 Cost Amount (Actual)","41 Source Type",$C$5,"5 Source no.",$C2711,"4 Item Ledger Entry Type",$C$4,"2 Item No.","@@"&amp;$F2711,"3 Posting Date",U$9)</t>
  </si>
  <si>
    <t>=U2711-W2711</t>
  </si>
  <si>
    <t>=IF(U2711&lt;&gt;0,X2711/U2711,"")</t>
  </si>
  <si>
    <t>=NL("Sum","5802 Value Entry","150 Sales Amount (Expected)","41 Source Type",$C$5,"5 Source No.",$C2711,"4 Item Ledger Entry Type",$C$4,"2 Item No.","@@"&amp;$F2711,"3 Posting Date",Z$9)+NL("Sum","5802 Value Entry","17 Sales Amount (Actual)","41 Source Type",$C$5,"5 Source no.",$C2711,"4 Item Ledger Entry Type",$C$4,"2 Item No.","@@"&amp;$F2711,"3 Posting Date",Z$9)</t>
  </si>
  <si>
    <t>=-NL("Sum","5802 Value Entry","151 Cost Amount (Expected)","41 Source Type",$C$5,"5 Source No.",$C2711,"4 Item Ledger Entry Type",$C$4,"2 Item No.","@@"&amp;$F2711,"3 Posting Date",Z$9)-NL("Sum","5802 Value Entry","43 Cost Amount (Actual)","41 Source Type",$C$5,"5 Source no.",$C2711,"4 Item Ledger Entry Type",$C$4,"2 Item No.","@@"&amp;$F2711,"3 Posting Date",Z$9)</t>
  </si>
  <si>
    <t>=Z2711-AB2711</t>
  </si>
  <si>
    <t>=IF(Z2711&lt;&gt;0,AC2711/Z2711,"")</t>
  </si>
  <si>
    <t>=C2711</t>
  </si>
  <si>
    <t>=NL("Sum","5802 Value Entry","150 Sales Amount (Expected)","41 Source Type",$C$5,"5 Source No.",$C2712,"4 Item Ledger Entry Type",$C$4,"2 Item No.","@@"&amp;$F2712,"3 Posting Date",J$9)+NL("Sum","5802 Value Entry","17 Sales Amount (Actual)","41 Source Type",$C$5,"5 Source no.",$C2712,"4 Item Ledger Entry Type",$C$4,"2 Item No.","@@"&amp;$F2712,"3 Posting Date",J$9)</t>
  </si>
  <si>
    <t>=-NL("Sum","5802 Value Entry","151 Cost Amount (Expected)","41 Source Type",$C$5,"5 Source No.",$C2712,"4 Item Ledger Entry Type",$C$4,"2 Item No.","@@"&amp;$F2712,"3 Posting Date",J$9)-NL("Sum","5802 Value Entry","43 Cost Amount (Actual)","41 Source Type",$C$5,"5 Source no.",$C2712,"4 Item Ledger Entry Type",$C$4,"2 Item No.","@@"&amp;$F2712,"3 Posting Date",J$9)</t>
  </si>
  <si>
    <t>=J2712-L2712</t>
  </si>
  <si>
    <t>=IF(J2712&lt;&gt;0,M2712/J2712,"")</t>
  </si>
  <si>
    <t>=NL("Sum","5802 Value Entry","150 Sales Amount (Expected)","41 Source Type",$C$5,"5 Source No.",$C2712,"4 Item Ledger Entry Type",$C$4,"2 Item No.","@@"&amp;$F2712,"3 Posting Date",O$9)+NL("Sum","5802 Value Entry","17 Sales Amount (Actual)","41 Source Type",$C$5,"5 Source no.",$C2712,"4 Item Ledger Entry Type",$C$4,"2 Item No.","@@"&amp;$F2712,"3 Posting Date",O$9)</t>
  </si>
  <si>
    <t>=-NL("Sum","5802 Value Entry","151 Cost Amount (Expected)","41 Source Type",$C$5,"5 Source No.",$C2712,"4 Item Ledger Entry Type",$C$4,"2 Item No.","@@"&amp;$F2712,"3 Posting Date",O$9)-NL("Sum","5802 Value Entry","43 Cost Amount (Actual)","41 Source Type",$C$5,"5 Source no.",$C2712,"4 Item Ledger Entry Type",$C$4,"2 Item No.","@@"&amp;$F2712,"3 Posting Date",O$9)</t>
  </si>
  <si>
    <t>=O2712-Q2712</t>
  </si>
  <si>
    <t>=IF(O2712&lt;&gt;0,R2712/O2712,"")</t>
  </si>
  <si>
    <t>=NL("Sum","5802 Value Entry","150 Sales Amount (Expected)","41 Source Type",$C$5,"5 Source No.",$C2712,"4 Item Ledger Entry Type",$C$4,"2 Item No.","@@"&amp;$F2712,"3 Posting Date",U$9)+NL("Sum","5802 Value Entry","17 Sales Amount (Actual)","41 Source Type",$C$5,"5 Source no.",$C2712,"4 Item Ledger Entry Type",$C$4,"2 Item No.","@@"&amp;$F2712,"3 Posting Date",U$9)</t>
  </si>
  <si>
    <t>=-NL("Sum","5802 Value Entry","151 Cost Amount (Expected)","41 Source Type",$C$5,"5 Source No.",$C2712,"4 Item Ledger Entry Type",$C$4,"2 Item No.","@@"&amp;$F2712,"3 Posting Date",U$9)-NL("Sum","5802 Value Entry","43 Cost Amount (Actual)","41 Source Type",$C$5,"5 Source no.",$C2712,"4 Item Ledger Entry Type",$C$4,"2 Item No.","@@"&amp;$F2712,"3 Posting Date",U$9)</t>
  </si>
  <si>
    <t>=U2712-W2712</t>
  </si>
  <si>
    <t>=IF(U2712&lt;&gt;0,X2712/U2712,"")</t>
  </si>
  <si>
    <t>=NL("Sum","5802 Value Entry","150 Sales Amount (Expected)","41 Source Type",$C$5,"5 Source No.",$C2712,"4 Item Ledger Entry Type",$C$4,"2 Item No.","@@"&amp;$F2712,"3 Posting Date",Z$9)+NL("Sum","5802 Value Entry","17 Sales Amount (Actual)","41 Source Type",$C$5,"5 Source no.",$C2712,"4 Item Ledger Entry Type",$C$4,"2 Item No.","@@"&amp;$F2712,"3 Posting Date",Z$9)</t>
  </si>
  <si>
    <t>=-NL("Sum","5802 Value Entry","151 Cost Amount (Expected)","41 Source Type",$C$5,"5 Source No.",$C2712,"4 Item Ledger Entry Type",$C$4,"2 Item No.","@@"&amp;$F2712,"3 Posting Date",Z$9)-NL("Sum","5802 Value Entry","43 Cost Amount (Actual)","41 Source Type",$C$5,"5 Source no.",$C2712,"4 Item Ledger Entry Type",$C$4,"2 Item No.","@@"&amp;$F2712,"3 Posting Date",Z$9)</t>
  </si>
  <si>
    <t>=Z2712-AB2712</t>
  </si>
  <si>
    <t>=IF(Z2712&lt;&gt;0,AC2712/Z2712,"")</t>
  </si>
  <si>
    <t>=C2713</t>
  </si>
  <si>
    <t>=J2714-L2714</t>
  </si>
  <si>
    <t>=IF(J2714&lt;&gt;0,M2714/J2714,"")</t>
  </si>
  <si>
    <t>=O2714-Q2714</t>
  </si>
  <si>
    <t>=IF(O2714&lt;&gt;0,R2714/O2714,"")</t>
  </si>
  <si>
    <t>=U2714-W2714</t>
  </si>
  <si>
    <t>=IF(U2714&lt;&gt;0,X2714/U2714,"")</t>
  </si>
  <si>
    <t>=Z2714-AB2714</t>
  </si>
  <si>
    <t>=IF(Z2714&lt;&gt;0,AC2714/Z2714,"")</t>
  </si>
  <si>
    <t>="C100118"</t>
  </si>
  <si>
    <t>=C2716</t>
  </si>
  <si>
    <t>=C2717</t>
  </si>
  <si>
    <t>=NL("Sum","5802 Value Entry","150 Sales Amount (Expected)","41 Source Type",$C$5,"5 Source No.",$C2718,"4 Item Ledger Entry Type",$C$4,"2 Item No.","@@"&amp;$F2718,"3 Posting Date",J$9)+NL("Sum","5802 Value Entry","17 Sales Amount (Actual)","41 Source Type",$C$5,"5 Source no.",$C2718,"4 Item Ledger Entry Type",$C$4,"2 Item No.","@@"&amp;$F2718,"3 Posting Date",J$9)</t>
  </si>
  <si>
    <t>=-NL("Sum","5802 Value Entry","151 Cost Amount (Expected)","41 Source Type",$C$5,"5 Source No.",$C2718,"4 Item Ledger Entry Type",$C$4,"2 Item No.","@@"&amp;$F2718,"3 Posting Date",J$9)-NL("Sum","5802 Value Entry","43 Cost Amount (Actual)","41 Source Type",$C$5,"5 Source no.",$C2718,"4 Item Ledger Entry Type",$C$4,"2 Item No.","@@"&amp;$F2718,"3 Posting Date",J$9)</t>
  </si>
  <si>
    <t>=J2718-L2718</t>
  </si>
  <si>
    <t>=IF(J2718&lt;&gt;0,M2718/J2718,"")</t>
  </si>
  <si>
    <t>=NL("Sum","5802 Value Entry","150 Sales Amount (Expected)","41 Source Type",$C$5,"5 Source No.",$C2718,"4 Item Ledger Entry Type",$C$4,"2 Item No.","@@"&amp;$F2718,"3 Posting Date",O$9)+NL("Sum","5802 Value Entry","17 Sales Amount (Actual)","41 Source Type",$C$5,"5 Source no.",$C2718,"4 Item Ledger Entry Type",$C$4,"2 Item No.","@@"&amp;$F2718,"3 Posting Date",O$9)</t>
  </si>
  <si>
    <t>=-NL("Sum","5802 Value Entry","151 Cost Amount (Expected)","41 Source Type",$C$5,"5 Source No.",$C2718,"4 Item Ledger Entry Type",$C$4,"2 Item No.","@@"&amp;$F2718,"3 Posting Date",O$9)-NL("Sum","5802 Value Entry","43 Cost Amount (Actual)","41 Source Type",$C$5,"5 Source no.",$C2718,"4 Item Ledger Entry Type",$C$4,"2 Item No.","@@"&amp;$F2718,"3 Posting Date",O$9)</t>
  </si>
  <si>
    <t>=O2718-Q2718</t>
  </si>
  <si>
    <t>=IF(O2718&lt;&gt;0,R2718/O2718,"")</t>
  </si>
  <si>
    <t>=NL("Sum","5802 Value Entry","150 Sales Amount (Expected)","41 Source Type",$C$5,"5 Source No.",$C2718,"4 Item Ledger Entry Type",$C$4,"2 Item No.","@@"&amp;$F2718,"3 Posting Date",U$9)+NL("Sum","5802 Value Entry","17 Sales Amount (Actual)","41 Source Type",$C$5,"5 Source no.",$C2718,"4 Item Ledger Entry Type",$C$4,"2 Item No.","@@"&amp;$F2718,"3 Posting Date",U$9)</t>
  </si>
  <si>
    <t>=-NL("Sum","5802 Value Entry","151 Cost Amount (Expected)","41 Source Type",$C$5,"5 Source No.",$C2718,"4 Item Ledger Entry Type",$C$4,"2 Item No.","@@"&amp;$F2718,"3 Posting Date",U$9)-NL("Sum","5802 Value Entry","43 Cost Amount (Actual)","41 Source Type",$C$5,"5 Source no.",$C2718,"4 Item Ledger Entry Type",$C$4,"2 Item No.","@@"&amp;$F2718,"3 Posting Date",U$9)</t>
  </si>
  <si>
    <t>=U2718-W2718</t>
  </si>
  <si>
    <t>=IF(U2718&lt;&gt;0,X2718/U2718,"")</t>
  </si>
  <si>
    <t>=NL("Sum","5802 Value Entry","150 Sales Amount (Expected)","41 Source Type",$C$5,"5 Source No.",$C2718,"4 Item Ledger Entry Type",$C$4,"2 Item No.","@@"&amp;$F2718,"3 Posting Date",Z$9)+NL("Sum","5802 Value Entry","17 Sales Amount (Actual)","41 Source Type",$C$5,"5 Source no.",$C2718,"4 Item Ledger Entry Type",$C$4,"2 Item No.","@@"&amp;$F2718,"3 Posting Date",Z$9)</t>
  </si>
  <si>
    <t>=-NL("Sum","5802 Value Entry","151 Cost Amount (Expected)","41 Source Type",$C$5,"5 Source No.",$C2718,"4 Item Ledger Entry Type",$C$4,"2 Item No.","@@"&amp;$F2718,"3 Posting Date",Z$9)-NL("Sum","5802 Value Entry","43 Cost Amount (Actual)","41 Source Type",$C$5,"5 Source no.",$C2718,"4 Item Ledger Entry Type",$C$4,"2 Item No.","@@"&amp;$F2718,"3 Posting Date",Z$9)</t>
  </si>
  <si>
    <t>=Z2718-AB2718</t>
  </si>
  <si>
    <t>=IF(Z2718&lt;&gt;0,AC2718/Z2718,"")</t>
  </si>
  <si>
    <t>=C2718</t>
  </si>
  <si>
    <t>=NL("Sum","5802 Value Entry","150 Sales Amount (Expected)","41 Source Type",$C$5,"5 Source No.",$C2719,"4 Item Ledger Entry Type",$C$4,"2 Item No.","@@"&amp;$F2719,"3 Posting Date",J$9)+NL("Sum","5802 Value Entry","17 Sales Amount (Actual)","41 Source Type",$C$5,"5 Source no.",$C2719,"4 Item Ledger Entry Type",$C$4,"2 Item No.","@@"&amp;$F2719,"3 Posting Date",J$9)</t>
  </si>
  <si>
    <t>=-NL("Sum","5802 Value Entry","151 Cost Amount (Expected)","41 Source Type",$C$5,"5 Source No.",$C2719,"4 Item Ledger Entry Type",$C$4,"2 Item No.","@@"&amp;$F2719,"3 Posting Date",J$9)-NL("Sum","5802 Value Entry","43 Cost Amount (Actual)","41 Source Type",$C$5,"5 Source no.",$C2719,"4 Item Ledger Entry Type",$C$4,"2 Item No.","@@"&amp;$F2719,"3 Posting Date",J$9)</t>
  </si>
  <si>
    <t>=J2719-L2719</t>
  </si>
  <si>
    <t>=IF(J2719&lt;&gt;0,M2719/J2719,"")</t>
  </si>
  <si>
    <t>=NL("Sum","5802 Value Entry","150 Sales Amount (Expected)","41 Source Type",$C$5,"5 Source No.",$C2719,"4 Item Ledger Entry Type",$C$4,"2 Item No.","@@"&amp;$F2719,"3 Posting Date",O$9)+NL("Sum","5802 Value Entry","17 Sales Amount (Actual)","41 Source Type",$C$5,"5 Source no.",$C2719,"4 Item Ledger Entry Type",$C$4,"2 Item No.","@@"&amp;$F2719,"3 Posting Date",O$9)</t>
  </si>
  <si>
    <t>=-NL("Sum","5802 Value Entry","151 Cost Amount (Expected)","41 Source Type",$C$5,"5 Source No.",$C2719,"4 Item Ledger Entry Type",$C$4,"2 Item No.","@@"&amp;$F2719,"3 Posting Date",O$9)-NL("Sum","5802 Value Entry","43 Cost Amount (Actual)","41 Source Type",$C$5,"5 Source no.",$C2719,"4 Item Ledger Entry Type",$C$4,"2 Item No.","@@"&amp;$F2719,"3 Posting Date",O$9)</t>
  </si>
  <si>
    <t>=O2719-Q2719</t>
  </si>
  <si>
    <t>=IF(O2719&lt;&gt;0,R2719/O2719,"")</t>
  </si>
  <si>
    <t>=NL("Sum","5802 Value Entry","150 Sales Amount (Expected)","41 Source Type",$C$5,"5 Source No.",$C2719,"4 Item Ledger Entry Type",$C$4,"2 Item No.","@@"&amp;$F2719,"3 Posting Date",U$9)+NL("Sum","5802 Value Entry","17 Sales Amount (Actual)","41 Source Type",$C$5,"5 Source no.",$C2719,"4 Item Ledger Entry Type",$C$4,"2 Item No.","@@"&amp;$F2719,"3 Posting Date",U$9)</t>
  </si>
  <si>
    <t>=-NL("Sum","5802 Value Entry","151 Cost Amount (Expected)","41 Source Type",$C$5,"5 Source No.",$C2719,"4 Item Ledger Entry Type",$C$4,"2 Item No.","@@"&amp;$F2719,"3 Posting Date",U$9)-NL("Sum","5802 Value Entry","43 Cost Amount (Actual)","41 Source Type",$C$5,"5 Source no.",$C2719,"4 Item Ledger Entry Type",$C$4,"2 Item No.","@@"&amp;$F2719,"3 Posting Date",U$9)</t>
  </si>
  <si>
    <t>=U2719-W2719</t>
  </si>
  <si>
    <t>=IF(U2719&lt;&gt;0,X2719/U2719,"")</t>
  </si>
  <si>
    <t>=NL("Sum","5802 Value Entry","150 Sales Amount (Expected)","41 Source Type",$C$5,"5 Source No.",$C2719,"4 Item Ledger Entry Type",$C$4,"2 Item No.","@@"&amp;$F2719,"3 Posting Date",Z$9)+NL("Sum","5802 Value Entry","17 Sales Amount (Actual)","41 Source Type",$C$5,"5 Source no.",$C2719,"4 Item Ledger Entry Type",$C$4,"2 Item No.","@@"&amp;$F2719,"3 Posting Date",Z$9)</t>
  </si>
  <si>
    <t>=-NL("Sum","5802 Value Entry","151 Cost Amount (Expected)","41 Source Type",$C$5,"5 Source No.",$C2719,"4 Item Ledger Entry Type",$C$4,"2 Item No.","@@"&amp;$F2719,"3 Posting Date",Z$9)-NL("Sum","5802 Value Entry","43 Cost Amount (Actual)","41 Source Type",$C$5,"5 Source no.",$C2719,"4 Item Ledger Entry Type",$C$4,"2 Item No.","@@"&amp;$F2719,"3 Posting Date",Z$9)</t>
  </si>
  <si>
    <t>=Z2719-AB2719</t>
  </si>
  <si>
    <t>=IF(Z2719&lt;&gt;0,AC2719/Z2719,"")</t>
  </si>
  <si>
    <t>=C2719</t>
  </si>
  <si>
    <t>=NL("Sum","5802 Value Entry","150 Sales Amount (Expected)","41 Source Type",$C$5,"5 Source No.",$C2720,"4 Item Ledger Entry Type",$C$4,"2 Item No.","@@"&amp;$F2720,"3 Posting Date",J$9)+NL("Sum","5802 Value Entry","17 Sales Amount (Actual)","41 Source Type",$C$5,"5 Source no.",$C2720,"4 Item Ledger Entry Type",$C$4,"2 Item No.","@@"&amp;$F2720,"3 Posting Date",J$9)</t>
  </si>
  <si>
    <t>=-NL("Sum","5802 Value Entry","151 Cost Amount (Expected)","41 Source Type",$C$5,"5 Source No.",$C2720,"4 Item Ledger Entry Type",$C$4,"2 Item No.","@@"&amp;$F2720,"3 Posting Date",J$9)-NL("Sum","5802 Value Entry","43 Cost Amount (Actual)","41 Source Type",$C$5,"5 Source no.",$C2720,"4 Item Ledger Entry Type",$C$4,"2 Item No.","@@"&amp;$F2720,"3 Posting Date",J$9)</t>
  </si>
  <si>
    <t>=J2720-L2720</t>
  </si>
  <si>
    <t>=IF(J2720&lt;&gt;0,M2720/J2720,"")</t>
  </si>
  <si>
    <t>=NL("Sum","5802 Value Entry","150 Sales Amount (Expected)","41 Source Type",$C$5,"5 Source No.",$C2720,"4 Item Ledger Entry Type",$C$4,"2 Item No.","@@"&amp;$F2720,"3 Posting Date",O$9)+NL("Sum","5802 Value Entry","17 Sales Amount (Actual)","41 Source Type",$C$5,"5 Source no.",$C2720,"4 Item Ledger Entry Type",$C$4,"2 Item No.","@@"&amp;$F2720,"3 Posting Date",O$9)</t>
  </si>
  <si>
    <t>=-NL("Sum","5802 Value Entry","151 Cost Amount (Expected)","41 Source Type",$C$5,"5 Source No.",$C2720,"4 Item Ledger Entry Type",$C$4,"2 Item No.","@@"&amp;$F2720,"3 Posting Date",O$9)-NL("Sum","5802 Value Entry","43 Cost Amount (Actual)","41 Source Type",$C$5,"5 Source no.",$C2720,"4 Item Ledger Entry Type",$C$4,"2 Item No.","@@"&amp;$F2720,"3 Posting Date",O$9)</t>
  </si>
  <si>
    <t>=O2720-Q2720</t>
  </si>
  <si>
    <t>=IF(O2720&lt;&gt;0,R2720/O2720,"")</t>
  </si>
  <si>
    <t>=NL("Sum","5802 Value Entry","150 Sales Amount (Expected)","41 Source Type",$C$5,"5 Source No.",$C2720,"4 Item Ledger Entry Type",$C$4,"2 Item No.","@@"&amp;$F2720,"3 Posting Date",U$9)+NL("Sum","5802 Value Entry","17 Sales Amount (Actual)","41 Source Type",$C$5,"5 Source no.",$C2720,"4 Item Ledger Entry Type",$C$4,"2 Item No.","@@"&amp;$F2720,"3 Posting Date",U$9)</t>
  </si>
  <si>
    <t>=-NL("Sum","5802 Value Entry","151 Cost Amount (Expected)","41 Source Type",$C$5,"5 Source No.",$C2720,"4 Item Ledger Entry Type",$C$4,"2 Item No.","@@"&amp;$F2720,"3 Posting Date",U$9)-NL("Sum","5802 Value Entry","43 Cost Amount (Actual)","41 Source Type",$C$5,"5 Source no.",$C2720,"4 Item Ledger Entry Type",$C$4,"2 Item No.","@@"&amp;$F2720,"3 Posting Date",U$9)</t>
  </si>
  <si>
    <t>=U2720-W2720</t>
  </si>
  <si>
    <t>=IF(U2720&lt;&gt;0,X2720/U2720,"")</t>
  </si>
  <si>
    <t>=NL("Sum","5802 Value Entry","150 Sales Amount (Expected)","41 Source Type",$C$5,"5 Source No.",$C2720,"4 Item Ledger Entry Type",$C$4,"2 Item No.","@@"&amp;$F2720,"3 Posting Date",Z$9)+NL("Sum","5802 Value Entry","17 Sales Amount (Actual)","41 Source Type",$C$5,"5 Source no.",$C2720,"4 Item Ledger Entry Type",$C$4,"2 Item No.","@@"&amp;$F2720,"3 Posting Date",Z$9)</t>
  </si>
  <si>
    <t>=-NL("Sum","5802 Value Entry","151 Cost Amount (Expected)","41 Source Type",$C$5,"5 Source No.",$C2720,"4 Item Ledger Entry Type",$C$4,"2 Item No.","@@"&amp;$F2720,"3 Posting Date",Z$9)-NL("Sum","5802 Value Entry","43 Cost Amount (Actual)","41 Source Type",$C$5,"5 Source no.",$C2720,"4 Item Ledger Entry Type",$C$4,"2 Item No.","@@"&amp;$F2720,"3 Posting Date",Z$9)</t>
  </si>
  <si>
    <t>=Z2720-AB2720</t>
  </si>
  <si>
    <t>=IF(Z2720&lt;&gt;0,AC2720/Z2720,"")</t>
  </si>
  <si>
    <t>=C2720</t>
  </si>
  <si>
    <t>=NL("Sum","5802 Value Entry","150 Sales Amount (Expected)","41 Source Type",$C$5,"5 Source No.",$C2721,"4 Item Ledger Entry Type",$C$4,"2 Item No.","@@"&amp;$F2721,"3 Posting Date",J$9)+NL("Sum","5802 Value Entry","17 Sales Amount (Actual)","41 Source Type",$C$5,"5 Source no.",$C2721,"4 Item Ledger Entry Type",$C$4,"2 Item No.","@@"&amp;$F2721,"3 Posting Date",J$9)</t>
  </si>
  <si>
    <t>=-NL("Sum","5802 Value Entry","151 Cost Amount (Expected)","41 Source Type",$C$5,"5 Source No.",$C2721,"4 Item Ledger Entry Type",$C$4,"2 Item No.","@@"&amp;$F2721,"3 Posting Date",J$9)-NL("Sum","5802 Value Entry","43 Cost Amount (Actual)","41 Source Type",$C$5,"5 Source no.",$C2721,"4 Item Ledger Entry Type",$C$4,"2 Item No.","@@"&amp;$F2721,"3 Posting Date",J$9)</t>
  </si>
  <si>
    <t>=J2721-L2721</t>
  </si>
  <si>
    <t>=IF(J2721&lt;&gt;0,M2721/J2721,"")</t>
  </si>
  <si>
    <t>=NL("Sum","5802 Value Entry","150 Sales Amount (Expected)","41 Source Type",$C$5,"5 Source No.",$C2721,"4 Item Ledger Entry Type",$C$4,"2 Item No.","@@"&amp;$F2721,"3 Posting Date",O$9)+NL("Sum","5802 Value Entry","17 Sales Amount (Actual)","41 Source Type",$C$5,"5 Source no.",$C2721,"4 Item Ledger Entry Type",$C$4,"2 Item No.","@@"&amp;$F2721,"3 Posting Date",O$9)</t>
  </si>
  <si>
    <t>=-NL("Sum","5802 Value Entry","151 Cost Amount (Expected)","41 Source Type",$C$5,"5 Source No.",$C2721,"4 Item Ledger Entry Type",$C$4,"2 Item No.","@@"&amp;$F2721,"3 Posting Date",O$9)-NL("Sum","5802 Value Entry","43 Cost Amount (Actual)","41 Source Type",$C$5,"5 Source no.",$C2721,"4 Item Ledger Entry Type",$C$4,"2 Item No.","@@"&amp;$F2721,"3 Posting Date",O$9)</t>
  </si>
  <si>
    <t>=O2721-Q2721</t>
  </si>
  <si>
    <t>=IF(O2721&lt;&gt;0,R2721/O2721,"")</t>
  </si>
  <si>
    <t>=NL("Sum","5802 Value Entry","150 Sales Amount (Expected)","41 Source Type",$C$5,"5 Source No.",$C2721,"4 Item Ledger Entry Type",$C$4,"2 Item No.","@@"&amp;$F2721,"3 Posting Date",U$9)+NL("Sum","5802 Value Entry","17 Sales Amount (Actual)","41 Source Type",$C$5,"5 Source no.",$C2721,"4 Item Ledger Entry Type",$C$4,"2 Item No.","@@"&amp;$F2721,"3 Posting Date",U$9)</t>
  </si>
  <si>
    <t>=-NL("Sum","5802 Value Entry","151 Cost Amount (Expected)","41 Source Type",$C$5,"5 Source No.",$C2721,"4 Item Ledger Entry Type",$C$4,"2 Item No.","@@"&amp;$F2721,"3 Posting Date",U$9)-NL("Sum","5802 Value Entry","43 Cost Amount (Actual)","41 Source Type",$C$5,"5 Source no.",$C2721,"4 Item Ledger Entry Type",$C$4,"2 Item No.","@@"&amp;$F2721,"3 Posting Date",U$9)</t>
  </si>
  <si>
    <t>=U2721-W2721</t>
  </si>
  <si>
    <t>=IF(U2721&lt;&gt;0,X2721/U2721,"")</t>
  </si>
  <si>
    <t>=NL("Sum","5802 Value Entry","150 Sales Amount (Expected)","41 Source Type",$C$5,"5 Source No.",$C2721,"4 Item Ledger Entry Type",$C$4,"2 Item No.","@@"&amp;$F2721,"3 Posting Date",Z$9)+NL("Sum","5802 Value Entry","17 Sales Amount (Actual)","41 Source Type",$C$5,"5 Source no.",$C2721,"4 Item Ledger Entry Type",$C$4,"2 Item No.","@@"&amp;$F2721,"3 Posting Date",Z$9)</t>
  </si>
  <si>
    <t>=-NL("Sum","5802 Value Entry","151 Cost Amount (Expected)","41 Source Type",$C$5,"5 Source No.",$C2721,"4 Item Ledger Entry Type",$C$4,"2 Item No.","@@"&amp;$F2721,"3 Posting Date",Z$9)-NL("Sum","5802 Value Entry","43 Cost Amount (Actual)","41 Source Type",$C$5,"5 Source no.",$C2721,"4 Item Ledger Entry Type",$C$4,"2 Item No.","@@"&amp;$F2721,"3 Posting Date",Z$9)</t>
  </si>
  <si>
    <t>=Z2721-AB2721</t>
  </si>
  <si>
    <t>=IF(Z2721&lt;&gt;0,AC2721/Z2721,"")</t>
  </si>
  <si>
    <t>=C2721</t>
  </si>
  <si>
    <t>=NL("Sum","5802 Value Entry","150 Sales Amount (Expected)","41 Source Type",$C$5,"5 Source No.",$C2722,"4 Item Ledger Entry Type",$C$4,"2 Item No.","@@"&amp;$F2722,"3 Posting Date",J$9)+NL("Sum","5802 Value Entry","17 Sales Amount (Actual)","41 Source Type",$C$5,"5 Source no.",$C2722,"4 Item Ledger Entry Type",$C$4,"2 Item No.","@@"&amp;$F2722,"3 Posting Date",J$9)</t>
  </si>
  <si>
    <t>=-NL("Sum","5802 Value Entry","151 Cost Amount (Expected)","41 Source Type",$C$5,"5 Source No.",$C2722,"4 Item Ledger Entry Type",$C$4,"2 Item No.","@@"&amp;$F2722,"3 Posting Date",J$9)-NL("Sum","5802 Value Entry","43 Cost Amount (Actual)","41 Source Type",$C$5,"5 Source no.",$C2722,"4 Item Ledger Entry Type",$C$4,"2 Item No.","@@"&amp;$F2722,"3 Posting Date",J$9)</t>
  </si>
  <si>
    <t>=J2722-L2722</t>
  </si>
  <si>
    <t>=IF(J2722&lt;&gt;0,M2722/J2722,"")</t>
  </si>
  <si>
    <t>=NL("Sum","5802 Value Entry","150 Sales Amount (Expected)","41 Source Type",$C$5,"5 Source No.",$C2722,"4 Item Ledger Entry Type",$C$4,"2 Item No.","@@"&amp;$F2722,"3 Posting Date",O$9)+NL("Sum","5802 Value Entry","17 Sales Amount (Actual)","41 Source Type",$C$5,"5 Source no.",$C2722,"4 Item Ledger Entry Type",$C$4,"2 Item No.","@@"&amp;$F2722,"3 Posting Date",O$9)</t>
  </si>
  <si>
    <t>=-NL("Sum","5802 Value Entry","151 Cost Amount (Expected)","41 Source Type",$C$5,"5 Source No.",$C2722,"4 Item Ledger Entry Type",$C$4,"2 Item No.","@@"&amp;$F2722,"3 Posting Date",O$9)-NL("Sum","5802 Value Entry","43 Cost Amount (Actual)","41 Source Type",$C$5,"5 Source no.",$C2722,"4 Item Ledger Entry Type",$C$4,"2 Item No.","@@"&amp;$F2722,"3 Posting Date",O$9)</t>
  </si>
  <si>
    <t>=O2722-Q2722</t>
  </si>
  <si>
    <t>=IF(O2722&lt;&gt;0,R2722/O2722,"")</t>
  </si>
  <si>
    <t>=NL("Sum","5802 Value Entry","150 Sales Amount (Expected)","41 Source Type",$C$5,"5 Source No.",$C2722,"4 Item Ledger Entry Type",$C$4,"2 Item No.","@@"&amp;$F2722,"3 Posting Date",U$9)+NL("Sum","5802 Value Entry","17 Sales Amount (Actual)","41 Source Type",$C$5,"5 Source no.",$C2722,"4 Item Ledger Entry Type",$C$4,"2 Item No.","@@"&amp;$F2722,"3 Posting Date",U$9)</t>
  </si>
  <si>
    <t>=-NL("Sum","5802 Value Entry","151 Cost Amount (Expected)","41 Source Type",$C$5,"5 Source No.",$C2722,"4 Item Ledger Entry Type",$C$4,"2 Item No.","@@"&amp;$F2722,"3 Posting Date",U$9)-NL("Sum","5802 Value Entry","43 Cost Amount (Actual)","41 Source Type",$C$5,"5 Source no.",$C2722,"4 Item Ledger Entry Type",$C$4,"2 Item No.","@@"&amp;$F2722,"3 Posting Date",U$9)</t>
  </si>
  <si>
    <t>=U2722-W2722</t>
  </si>
  <si>
    <t>=IF(U2722&lt;&gt;0,X2722/U2722,"")</t>
  </si>
  <si>
    <t>=NL("Sum","5802 Value Entry","150 Sales Amount (Expected)","41 Source Type",$C$5,"5 Source No.",$C2722,"4 Item Ledger Entry Type",$C$4,"2 Item No.","@@"&amp;$F2722,"3 Posting Date",Z$9)+NL("Sum","5802 Value Entry","17 Sales Amount (Actual)","41 Source Type",$C$5,"5 Source no.",$C2722,"4 Item Ledger Entry Type",$C$4,"2 Item No.","@@"&amp;$F2722,"3 Posting Date",Z$9)</t>
  </si>
  <si>
    <t>=-NL("Sum","5802 Value Entry","151 Cost Amount (Expected)","41 Source Type",$C$5,"5 Source No.",$C2722,"4 Item Ledger Entry Type",$C$4,"2 Item No.","@@"&amp;$F2722,"3 Posting Date",Z$9)-NL("Sum","5802 Value Entry","43 Cost Amount (Actual)","41 Source Type",$C$5,"5 Source no.",$C2722,"4 Item Ledger Entry Type",$C$4,"2 Item No.","@@"&amp;$F2722,"3 Posting Date",Z$9)</t>
  </si>
  <si>
    <t>=Z2722-AB2722</t>
  </si>
  <si>
    <t>=IF(Z2722&lt;&gt;0,AC2722/Z2722,"")</t>
  </si>
  <si>
    <t>=C2722</t>
  </si>
  <si>
    <t>=NL("Sum","5802 Value Entry","150 Sales Amount (Expected)","41 Source Type",$C$5,"5 Source No.",$C2723,"4 Item Ledger Entry Type",$C$4,"2 Item No.","@@"&amp;$F2723,"3 Posting Date",J$9)+NL("Sum","5802 Value Entry","17 Sales Amount (Actual)","41 Source Type",$C$5,"5 Source no.",$C2723,"4 Item Ledger Entry Type",$C$4,"2 Item No.","@@"&amp;$F2723,"3 Posting Date",J$9)</t>
  </si>
  <si>
    <t>=-NL("Sum","5802 Value Entry","151 Cost Amount (Expected)","41 Source Type",$C$5,"5 Source No.",$C2723,"4 Item Ledger Entry Type",$C$4,"2 Item No.","@@"&amp;$F2723,"3 Posting Date",J$9)-NL("Sum","5802 Value Entry","43 Cost Amount (Actual)","41 Source Type",$C$5,"5 Source no.",$C2723,"4 Item Ledger Entry Type",$C$4,"2 Item No.","@@"&amp;$F2723,"3 Posting Date",J$9)</t>
  </si>
  <si>
    <t>=J2723-L2723</t>
  </si>
  <si>
    <t>=IF(J2723&lt;&gt;0,M2723/J2723,"")</t>
  </si>
  <si>
    <t>=NL("Sum","5802 Value Entry","150 Sales Amount (Expected)","41 Source Type",$C$5,"5 Source No.",$C2723,"4 Item Ledger Entry Type",$C$4,"2 Item No.","@@"&amp;$F2723,"3 Posting Date",O$9)+NL("Sum","5802 Value Entry","17 Sales Amount (Actual)","41 Source Type",$C$5,"5 Source no.",$C2723,"4 Item Ledger Entry Type",$C$4,"2 Item No.","@@"&amp;$F2723,"3 Posting Date",O$9)</t>
  </si>
  <si>
    <t>=-NL("Sum","5802 Value Entry","151 Cost Amount (Expected)","41 Source Type",$C$5,"5 Source No.",$C2723,"4 Item Ledger Entry Type",$C$4,"2 Item No.","@@"&amp;$F2723,"3 Posting Date",O$9)-NL("Sum","5802 Value Entry","43 Cost Amount (Actual)","41 Source Type",$C$5,"5 Source no.",$C2723,"4 Item Ledger Entry Type",$C$4,"2 Item No.","@@"&amp;$F2723,"3 Posting Date",O$9)</t>
  </si>
  <si>
    <t>=O2723-Q2723</t>
  </si>
  <si>
    <t>=IF(O2723&lt;&gt;0,R2723/O2723,"")</t>
  </si>
  <si>
    <t>=NL("Sum","5802 Value Entry","150 Sales Amount (Expected)","41 Source Type",$C$5,"5 Source No.",$C2723,"4 Item Ledger Entry Type",$C$4,"2 Item No.","@@"&amp;$F2723,"3 Posting Date",U$9)+NL("Sum","5802 Value Entry","17 Sales Amount (Actual)","41 Source Type",$C$5,"5 Source no.",$C2723,"4 Item Ledger Entry Type",$C$4,"2 Item No.","@@"&amp;$F2723,"3 Posting Date",U$9)</t>
  </si>
  <si>
    <t>=-NL("Sum","5802 Value Entry","151 Cost Amount (Expected)","41 Source Type",$C$5,"5 Source No.",$C2723,"4 Item Ledger Entry Type",$C$4,"2 Item No.","@@"&amp;$F2723,"3 Posting Date",U$9)-NL("Sum","5802 Value Entry","43 Cost Amount (Actual)","41 Source Type",$C$5,"5 Source no.",$C2723,"4 Item Ledger Entry Type",$C$4,"2 Item No.","@@"&amp;$F2723,"3 Posting Date",U$9)</t>
  </si>
  <si>
    <t>=U2723-W2723</t>
  </si>
  <si>
    <t>=IF(U2723&lt;&gt;0,X2723/U2723,"")</t>
  </si>
  <si>
    <t>=NL("Sum","5802 Value Entry","150 Sales Amount (Expected)","41 Source Type",$C$5,"5 Source No.",$C2723,"4 Item Ledger Entry Type",$C$4,"2 Item No.","@@"&amp;$F2723,"3 Posting Date",Z$9)+NL("Sum","5802 Value Entry","17 Sales Amount (Actual)","41 Source Type",$C$5,"5 Source no.",$C2723,"4 Item Ledger Entry Type",$C$4,"2 Item No.","@@"&amp;$F2723,"3 Posting Date",Z$9)</t>
  </si>
  <si>
    <t>=-NL("Sum","5802 Value Entry","151 Cost Amount (Expected)","41 Source Type",$C$5,"5 Source No.",$C2723,"4 Item Ledger Entry Type",$C$4,"2 Item No.","@@"&amp;$F2723,"3 Posting Date",Z$9)-NL("Sum","5802 Value Entry","43 Cost Amount (Actual)","41 Source Type",$C$5,"5 Source no.",$C2723,"4 Item Ledger Entry Type",$C$4,"2 Item No.","@@"&amp;$F2723,"3 Posting Date",Z$9)</t>
  </si>
  <si>
    <t>=Z2723-AB2723</t>
  </si>
  <si>
    <t>=IF(Z2723&lt;&gt;0,AC2723/Z2723,"")</t>
  </si>
  <si>
    <t>=C2723</t>
  </si>
  <si>
    <t>=NL("Sum","5802 Value Entry","150 Sales Amount (Expected)","41 Source Type",$C$5,"5 Source No.",$C2724,"4 Item Ledger Entry Type",$C$4,"2 Item No.","@@"&amp;$F2724,"3 Posting Date",J$9)+NL("Sum","5802 Value Entry","17 Sales Amount (Actual)","41 Source Type",$C$5,"5 Source no.",$C2724,"4 Item Ledger Entry Type",$C$4,"2 Item No.","@@"&amp;$F2724,"3 Posting Date",J$9)</t>
  </si>
  <si>
    <t>=-NL("Sum","5802 Value Entry","151 Cost Amount (Expected)","41 Source Type",$C$5,"5 Source No.",$C2724,"4 Item Ledger Entry Type",$C$4,"2 Item No.","@@"&amp;$F2724,"3 Posting Date",J$9)-NL("Sum","5802 Value Entry","43 Cost Amount (Actual)","41 Source Type",$C$5,"5 Source no.",$C2724,"4 Item Ledger Entry Type",$C$4,"2 Item No.","@@"&amp;$F2724,"3 Posting Date",J$9)</t>
  </si>
  <si>
    <t>=J2724-L2724</t>
  </si>
  <si>
    <t>=IF(J2724&lt;&gt;0,M2724/J2724,"")</t>
  </si>
  <si>
    <t>=NL("Sum","5802 Value Entry","150 Sales Amount (Expected)","41 Source Type",$C$5,"5 Source No.",$C2724,"4 Item Ledger Entry Type",$C$4,"2 Item No.","@@"&amp;$F2724,"3 Posting Date",O$9)+NL("Sum","5802 Value Entry","17 Sales Amount (Actual)","41 Source Type",$C$5,"5 Source no.",$C2724,"4 Item Ledger Entry Type",$C$4,"2 Item No.","@@"&amp;$F2724,"3 Posting Date",O$9)</t>
  </si>
  <si>
    <t>=-NL("Sum","5802 Value Entry","151 Cost Amount (Expected)","41 Source Type",$C$5,"5 Source No.",$C2724,"4 Item Ledger Entry Type",$C$4,"2 Item No.","@@"&amp;$F2724,"3 Posting Date",O$9)-NL("Sum","5802 Value Entry","43 Cost Amount (Actual)","41 Source Type",$C$5,"5 Source no.",$C2724,"4 Item Ledger Entry Type",$C$4,"2 Item No.","@@"&amp;$F2724,"3 Posting Date",O$9)</t>
  </si>
  <si>
    <t>=O2724-Q2724</t>
  </si>
  <si>
    <t>=IF(O2724&lt;&gt;0,R2724/O2724,"")</t>
  </si>
  <si>
    <t>=NL("Sum","5802 Value Entry","150 Sales Amount (Expected)","41 Source Type",$C$5,"5 Source No.",$C2724,"4 Item Ledger Entry Type",$C$4,"2 Item No.","@@"&amp;$F2724,"3 Posting Date",U$9)+NL("Sum","5802 Value Entry","17 Sales Amount (Actual)","41 Source Type",$C$5,"5 Source no.",$C2724,"4 Item Ledger Entry Type",$C$4,"2 Item No.","@@"&amp;$F2724,"3 Posting Date",U$9)</t>
  </si>
  <si>
    <t>=-NL("Sum","5802 Value Entry","151 Cost Amount (Expected)","41 Source Type",$C$5,"5 Source No.",$C2724,"4 Item Ledger Entry Type",$C$4,"2 Item No.","@@"&amp;$F2724,"3 Posting Date",U$9)-NL("Sum","5802 Value Entry","43 Cost Amount (Actual)","41 Source Type",$C$5,"5 Source no.",$C2724,"4 Item Ledger Entry Type",$C$4,"2 Item No.","@@"&amp;$F2724,"3 Posting Date",U$9)</t>
  </si>
  <si>
    <t>=U2724-W2724</t>
  </si>
  <si>
    <t>=IF(U2724&lt;&gt;0,X2724/U2724,"")</t>
  </si>
  <si>
    <t>=NL("Sum","5802 Value Entry","150 Sales Amount (Expected)","41 Source Type",$C$5,"5 Source No.",$C2724,"4 Item Ledger Entry Type",$C$4,"2 Item No.","@@"&amp;$F2724,"3 Posting Date",Z$9)+NL("Sum","5802 Value Entry","17 Sales Amount (Actual)","41 Source Type",$C$5,"5 Source no.",$C2724,"4 Item Ledger Entry Type",$C$4,"2 Item No.","@@"&amp;$F2724,"3 Posting Date",Z$9)</t>
  </si>
  <si>
    <t>=-NL("Sum","5802 Value Entry","151 Cost Amount (Expected)","41 Source Type",$C$5,"5 Source No.",$C2724,"4 Item Ledger Entry Type",$C$4,"2 Item No.","@@"&amp;$F2724,"3 Posting Date",Z$9)-NL("Sum","5802 Value Entry","43 Cost Amount (Actual)","41 Source Type",$C$5,"5 Source no.",$C2724,"4 Item Ledger Entry Type",$C$4,"2 Item No.","@@"&amp;$F2724,"3 Posting Date",Z$9)</t>
  </si>
  <si>
    <t>=Z2724-AB2724</t>
  </si>
  <si>
    <t>=IF(Z2724&lt;&gt;0,AC2724/Z2724,"")</t>
  </si>
  <si>
    <t>=C2725</t>
  </si>
  <si>
    <t>=J2726-L2726</t>
  </si>
  <si>
    <t>=IF(J2726&lt;&gt;0,M2726/J2726,"")</t>
  </si>
  <si>
    <t>=O2726-Q2726</t>
  </si>
  <si>
    <t>=IF(O2726&lt;&gt;0,R2726/O2726,"")</t>
  </si>
  <si>
    <t>=U2726-W2726</t>
  </si>
  <si>
    <t>=IF(U2726&lt;&gt;0,X2726/U2726,"")</t>
  </si>
  <si>
    <t>=Z2726-AB2726</t>
  </si>
  <si>
    <t>=IF(Z2726&lt;&gt;0,AC2726/Z2726,"")</t>
  </si>
  <si>
    <t>="C100119"</t>
  </si>
  <si>
    <t>=C2728</t>
  </si>
  <si>
    <t>=C2730</t>
  </si>
  <si>
    <t>=J2731-L2731</t>
  </si>
  <si>
    <t>=IF(J2731&lt;&gt;0,M2731/J2731,"")</t>
  </si>
  <si>
    <t>=O2731-Q2731</t>
  </si>
  <si>
    <t>=IF(O2731&lt;&gt;0,R2731/O2731,"")</t>
  </si>
  <si>
    <t>=U2731-W2731</t>
  </si>
  <si>
    <t>=IF(U2731&lt;&gt;0,X2731/U2731,"")</t>
  </si>
  <si>
    <t>=Z2731-AB2731</t>
  </si>
  <si>
    <t>=IF(Z2731&lt;&gt;0,AC2731/Z2731,"")</t>
  </si>
  <si>
    <t>=C2733</t>
  </si>
  <si>
    <t>=C2734</t>
  </si>
  <si>
    <t>=NL("Sum","5802 Value Entry","150 Sales Amount (Expected)","41 Source Type",$C$5,"5 Source No.",$C2735,"4 Item Ledger Entry Type",$C$4,"2 Item No.","@@"&amp;$F2735,"3 Posting Date",J$9)+NL("Sum","5802 Value Entry","17 Sales Amount (Actual)","41 Source Type",$C$5,"5 Source no.",$C2735,"4 Item Ledger Entry Type",$C$4,"2 Item No.","@@"&amp;$F2735,"3 Posting Date",J$9)</t>
  </si>
  <si>
    <t>=-NL("Sum","5802 Value Entry","151 Cost Amount (Expected)","41 Source Type",$C$5,"5 Source No.",$C2735,"4 Item Ledger Entry Type",$C$4,"2 Item No.","@@"&amp;$F2735,"3 Posting Date",J$9)-NL("Sum","5802 Value Entry","43 Cost Amount (Actual)","41 Source Type",$C$5,"5 Source no.",$C2735,"4 Item Ledger Entry Type",$C$4,"2 Item No.","@@"&amp;$F2735,"3 Posting Date",J$9)</t>
  </si>
  <si>
    <t>=J2735-L2735</t>
  </si>
  <si>
    <t>=IF(J2735&lt;&gt;0,M2735/J2735,"")</t>
  </si>
  <si>
    <t>=NL("Sum","5802 Value Entry","150 Sales Amount (Expected)","41 Source Type",$C$5,"5 Source No.",$C2735,"4 Item Ledger Entry Type",$C$4,"2 Item No.","@@"&amp;$F2735,"3 Posting Date",O$9)+NL("Sum","5802 Value Entry","17 Sales Amount (Actual)","41 Source Type",$C$5,"5 Source no.",$C2735,"4 Item Ledger Entry Type",$C$4,"2 Item No.","@@"&amp;$F2735,"3 Posting Date",O$9)</t>
  </si>
  <si>
    <t>=-NL("Sum","5802 Value Entry","151 Cost Amount (Expected)","41 Source Type",$C$5,"5 Source No.",$C2735,"4 Item Ledger Entry Type",$C$4,"2 Item No.","@@"&amp;$F2735,"3 Posting Date",O$9)-NL("Sum","5802 Value Entry","43 Cost Amount (Actual)","41 Source Type",$C$5,"5 Source no.",$C2735,"4 Item Ledger Entry Type",$C$4,"2 Item No.","@@"&amp;$F2735,"3 Posting Date",O$9)</t>
  </si>
  <si>
    <t>=O2735-Q2735</t>
  </si>
  <si>
    <t>=IF(O2735&lt;&gt;0,R2735/O2735,"")</t>
  </si>
  <si>
    <t>=NL("Sum","5802 Value Entry","150 Sales Amount (Expected)","41 Source Type",$C$5,"5 Source No.",$C2735,"4 Item Ledger Entry Type",$C$4,"2 Item No.","@@"&amp;$F2735,"3 Posting Date",U$9)+NL("Sum","5802 Value Entry","17 Sales Amount (Actual)","41 Source Type",$C$5,"5 Source no.",$C2735,"4 Item Ledger Entry Type",$C$4,"2 Item No.","@@"&amp;$F2735,"3 Posting Date",U$9)</t>
  </si>
  <si>
    <t>=-NL("Sum","5802 Value Entry","151 Cost Amount (Expected)","41 Source Type",$C$5,"5 Source No.",$C2735,"4 Item Ledger Entry Type",$C$4,"2 Item No.","@@"&amp;$F2735,"3 Posting Date",U$9)-NL("Sum","5802 Value Entry","43 Cost Amount (Actual)","41 Source Type",$C$5,"5 Source no.",$C2735,"4 Item Ledger Entry Type",$C$4,"2 Item No.","@@"&amp;$F2735,"3 Posting Date",U$9)</t>
  </si>
  <si>
    <t>=U2735-W2735</t>
  </si>
  <si>
    <t>=IF(U2735&lt;&gt;0,X2735/U2735,"")</t>
  </si>
  <si>
    <t>=NL("Sum","5802 Value Entry","150 Sales Amount (Expected)","41 Source Type",$C$5,"5 Source No.",$C2735,"4 Item Ledger Entry Type",$C$4,"2 Item No.","@@"&amp;$F2735,"3 Posting Date",Z$9)+NL("Sum","5802 Value Entry","17 Sales Amount (Actual)","41 Source Type",$C$5,"5 Source no.",$C2735,"4 Item Ledger Entry Type",$C$4,"2 Item No.","@@"&amp;$F2735,"3 Posting Date",Z$9)</t>
  </si>
  <si>
    <t>=-NL("Sum","5802 Value Entry","151 Cost Amount (Expected)","41 Source Type",$C$5,"5 Source No.",$C2735,"4 Item Ledger Entry Type",$C$4,"2 Item No.","@@"&amp;$F2735,"3 Posting Date",Z$9)-NL("Sum","5802 Value Entry","43 Cost Amount (Actual)","41 Source Type",$C$5,"5 Source no.",$C2735,"4 Item Ledger Entry Type",$C$4,"2 Item No.","@@"&amp;$F2735,"3 Posting Date",Z$9)</t>
  </si>
  <si>
    <t>=Z2735-AB2735</t>
  </si>
  <si>
    <t>=IF(Z2735&lt;&gt;0,AC2735/Z2735,"")</t>
  </si>
  <si>
    <t>=C2735</t>
  </si>
  <si>
    <t>=NL("Sum","5802 Value Entry","150 Sales Amount (Expected)","41 Source Type",$C$5,"5 Source No.",$C2736,"4 Item Ledger Entry Type",$C$4,"2 Item No.","@@"&amp;$F2736,"3 Posting Date",J$9)+NL("Sum","5802 Value Entry","17 Sales Amount (Actual)","41 Source Type",$C$5,"5 Source no.",$C2736,"4 Item Ledger Entry Type",$C$4,"2 Item No.","@@"&amp;$F2736,"3 Posting Date",J$9)</t>
  </si>
  <si>
    <t>=-NL("Sum","5802 Value Entry","151 Cost Amount (Expected)","41 Source Type",$C$5,"5 Source No.",$C2736,"4 Item Ledger Entry Type",$C$4,"2 Item No.","@@"&amp;$F2736,"3 Posting Date",J$9)-NL("Sum","5802 Value Entry","43 Cost Amount (Actual)","41 Source Type",$C$5,"5 Source no.",$C2736,"4 Item Ledger Entry Type",$C$4,"2 Item No.","@@"&amp;$F2736,"3 Posting Date",J$9)</t>
  </si>
  <si>
    <t>=J2736-L2736</t>
  </si>
  <si>
    <t>=IF(J2736&lt;&gt;0,M2736/J2736,"")</t>
  </si>
  <si>
    <t>=NL("Sum","5802 Value Entry","150 Sales Amount (Expected)","41 Source Type",$C$5,"5 Source No.",$C2736,"4 Item Ledger Entry Type",$C$4,"2 Item No.","@@"&amp;$F2736,"3 Posting Date",O$9)+NL("Sum","5802 Value Entry","17 Sales Amount (Actual)","41 Source Type",$C$5,"5 Source no.",$C2736,"4 Item Ledger Entry Type",$C$4,"2 Item No.","@@"&amp;$F2736,"3 Posting Date",O$9)</t>
  </si>
  <si>
    <t>=-NL("Sum","5802 Value Entry","151 Cost Amount (Expected)","41 Source Type",$C$5,"5 Source No.",$C2736,"4 Item Ledger Entry Type",$C$4,"2 Item No.","@@"&amp;$F2736,"3 Posting Date",O$9)-NL("Sum","5802 Value Entry","43 Cost Amount (Actual)","41 Source Type",$C$5,"5 Source no.",$C2736,"4 Item Ledger Entry Type",$C$4,"2 Item No.","@@"&amp;$F2736,"3 Posting Date",O$9)</t>
  </si>
  <si>
    <t>=O2736-Q2736</t>
  </si>
  <si>
    <t>=IF(O2736&lt;&gt;0,R2736/O2736,"")</t>
  </si>
  <si>
    <t>=NL("Sum","5802 Value Entry","150 Sales Amount (Expected)","41 Source Type",$C$5,"5 Source No.",$C2736,"4 Item Ledger Entry Type",$C$4,"2 Item No.","@@"&amp;$F2736,"3 Posting Date",U$9)+NL("Sum","5802 Value Entry","17 Sales Amount (Actual)","41 Source Type",$C$5,"5 Source no.",$C2736,"4 Item Ledger Entry Type",$C$4,"2 Item No.","@@"&amp;$F2736,"3 Posting Date",U$9)</t>
  </si>
  <si>
    <t>=-NL("Sum","5802 Value Entry","151 Cost Amount (Expected)","41 Source Type",$C$5,"5 Source No.",$C2736,"4 Item Ledger Entry Type",$C$4,"2 Item No.","@@"&amp;$F2736,"3 Posting Date",U$9)-NL("Sum","5802 Value Entry","43 Cost Amount (Actual)","41 Source Type",$C$5,"5 Source no.",$C2736,"4 Item Ledger Entry Type",$C$4,"2 Item No.","@@"&amp;$F2736,"3 Posting Date",U$9)</t>
  </si>
  <si>
    <t>=U2736-W2736</t>
  </si>
  <si>
    <t>=IF(U2736&lt;&gt;0,X2736/U2736,"")</t>
  </si>
  <si>
    <t>=NL("Sum","5802 Value Entry","150 Sales Amount (Expected)","41 Source Type",$C$5,"5 Source No.",$C2736,"4 Item Ledger Entry Type",$C$4,"2 Item No.","@@"&amp;$F2736,"3 Posting Date",Z$9)+NL("Sum","5802 Value Entry","17 Sales Amount (Actual)","41 Source Type",$C$5,"5 Source no.",$C2736,"4 Item Ledger Entry Type",$C$4,"2 Item No.","@@"&amp;$F2736,"3 Posting Date",Z$9)</t>
  </si>
  <si>
    <t>=-NL("Sum","5802 Value Entry","151 Cost Amount (Expected)","41 Source Type",$C$5,"5 Source No.",$C2736,"4 Item Ledger Entry Type",$C$4,"2 Item No.","@@"&amp;$F2736,"3 Posting Date",Z$9)-NL("Sum","5802 Value Entry","43 Cost Amount (Actual)","41 Source Type",$C$5,"5 Source no.",$C2736,"4 Item Ledger Entry Type",$C$4,"2 Item No.","@@"&amp;$F2736,"3 Posting Date",Z$9)</t>
  </si>
  <si>
    <t>=Z2736-AB2736</t>
  </si>
  <si>
    <t>=IF(Z2736&lt;&gt;0,AC2736/Z2736,"")</t>
  </si>
  <si>
    <t>=C2736</t>
  </si>
  <si>
    <t>=NL("Sum","5802 Value Entry","150 Sales Amount (Expected)","41 Source Type",$C$5,"5 Source No.",$C2737,"4 Item Ledger Entry Type",$C$4,"2 Item No.","@@"&amp;$F2737,"3 Posting Date",J$9)+NL("Sum","5802 Value Entry","17 Sales Amount (Actual)","41 Source Type",$C$5,"5 Source no.",$C2737,"4 Item Ledger Entry Type",$C$4,"2 Item No.","@@"&amp;$F2737,"3 Posting Date",J$9)</t>
  </si>
  <si>
    <t>=-NL("Sum","5802 Value Entry","151 Cost Amount (Expected)","41 Source Type",$C$5,"5 Source No.",$C2737,"4 Item Ledger Entry Type",$C$4,"2 Item No.","@@"&amp;$F2737,"3 Posting Date",J$9)-NL("Sum","5802 Value Entry","43 Cost Amount (Actual)","41 Source Type",$C$5,"5 Source no.",$C2737,"4 Item Ledger Entry Type",$C$4,"2 Item No.","@@"&amp;$F2737,"3 Posting Date",J$9)</t>
  </si>
  <si>
    <t>=J2737-L2737</t>
  </si>
  <si>
    <t>=IF(J2737&lt;&gt;0,M2737/J2737,"")</t>
  </si>
  <si>
    <t>=NL("Sum","5802 Value Entry","150 Sales Amount (Expected)","41 Source Type",$C$5,"5 Source No.",$C2737,"4 Item Ledger Entry Type",$C$4,"2 Item No.","@@"&amp;$F2737,"3 Posting Date",O$9)+NL("Sum","5802 Value Entry","17 Sales Amount (Actual)","41 Source Type",$C$5,"5 Source no.",$C2737,"4 Item Ledger Entry Type",$C$4,"2 Item No.","@@"&amp;$F2737,"3 Posting Date",O$9)</t>
  </si>
  <si>
    <t>=-NL("Sum","5802 Value Entry","151 Cost Amount (Expected)","41 Source Type",$C$5,"5 Source No.",$C2737,"4 Item Ledger Entry Type",$C$4,"2 Item No.","@@"&amp;$F2737,"3 Posting Date",O$9)-NL("Sum","5802 Value Entry","43 Cost Amount (Actual)","41 Source Type",$C$5,"5 Source no.",$C2737,"4 Item Ledger Entry Type",$C$4,"2 Item No.","@@"&amp;$F2737,"3 Posting Date",O$9)</t>
  </si>
  <si>
    <t>=O2737-Q2737</t>
  </si>
  <si>
    <t>=IF(O2737&lt;&gt;0,R2737/O2737,"")</t>
  </si>
  <si>
    <t>=NL("Sum","5802 Value Entry","150 Sales Amount (Expected)","41 Source Type",$C$5,"5 Source No.",$C2737,"4 Item Ledger Entry Type",$C$4,"2 Item No.","@@"&amp;$F2737,"3 Posting Date",U$9)+NL("Sum","5802 Value Entry","17 Sales Amount (Actual)","41 Source Type",$C$5,"5 Source no.",$C2737,"4 Item Ledger Entry Type",$C$4,"2 Item No.","@@"&amp;$F2737,"3 Posting Date",U$9)</t>
  </si>
  <si>
    <t>=-NL("Sum","5802 Value Entry","151 Cost Amount (Expected)","41 Source Type",$C$5,"5 Source No.",$C2737,"4 Item Ledger Entry Type",$C$4,"2 Item No.","@@"&amp;$F2737,"3 Posting Date",U$9)-NL("Sum","5802 Value Entry","43 Cost Amount (Actual)","41 Source Type",$C$5,"5 Source no.",$C2737,"4 Item Ledger Entry Type",$C$4,"2 Item No.","@@"&amp;$F2737,"3 Posting Date",U$9)</t>
  </si>
  <si>
    <t>=U2737-W2737</t>
  </si>
  <si>
    <t>=IF(U2737&lt;&gt;0,X2737/U2737,"")</t>
  </si>
  <si>
    <t>=NL("Sum","5802 Value Entry","150 Sales Amount (Expected)","41 Source Type",$C$5,"5 Source No.",$C2737,"4 Item Ledger Entry Type",$C$4,"2 Item No.","@@"&amp;$F2737,"3 Posting Date",Z$9)+NL("Sum","5802 Value Entry","17 Sales Amount (Actual)","41 Source Type",$C$5,"5 Source no.",$C2737,"4 Item Ledger Entry Type",$C$4,"2 Item No.","@@"&amp;$F2737,"3 Posting Date",Z$9)</t>
  </si>
  <si>
    <t>=-NL("Sum","5802 Value Entry","151 Cost Amount (Expected)","41 Source Type",$C$5,"5 Source No.",$C2737,"4 Item Ledger Entry Type",$C$4,"2 Item No.","@@"&amp;$F2737,"3 Posting Date",Z$9)-NL("Sum","5802 Value Entry","43 Cost Amount (Actual)","41 Source Type",$C$5,"5 Source no.",$C2737,"4 Item Ledger Entry Type",$C$4,"2 Item No.","@@"&amp;$F2737,"3 Posting Date",Z$9)</t>
  </si>
  <si>
    <t>=Z2737-AB2737</t>
  </si>
  <si>
    <t>=IF(Z2737&lt;&gt;0,AC2737/Z2737,"")</t>
  </si>
  <si>
    <t>=C2737</t>
  </si>
  <si>
    <t>=NL("Sum","5802 Value Entry","150 Sales Amount (Expected)","41 Source Type",$C$5,"5 Source No.",$C2738,"4 Item Ledger Entry Type",$C$4,"2 Item No.","@@"&amp;$F2738,"3 Posting Date",J$9)+NL("Sum","5802 Value Entry","17 Sales Amount (Actual)","41 Source Type",$C$5,"5 Source no.",$C2738,"4 Item Ledger Entry Type",$C$4,"2 Item No.","@@"&amp;$F2738,"3 Posting Date",J$9)</t>
  </si>
  <si>
    <t>=-NL("Sum","5802 Value Entry","151 Cost Amount (Expected)","41 Source Type",$C$5,"5 Source No.",$C2738,"4 Item Ledger Entry Type",$C$4,"2 Item No.","@@"&amp;$F2738,"3 Posting Date",J$9)-NL("Sum","5802 Value Entry","43 Cost Amount (Actual)","41 Source Type",$C$5,"5 Source no.",$C2738,"4 Item Ledger Entry Type",$C$4,"2 Item No.","@@"&amp;$F2738,"3 Posting Date",J$9)</t>
  </si>
  <si>
    <t>=J2738-L2738</t>
  </si>
  <si>
    <t>=IF(J2738&lt;&gt;0,M2738/J2738,"")</t>
  </si>
  <si>
    <t>=NL("Sum","5802 Value Entry","150 Sales Amount (Expected)","41 Source Type",$C$5,"5 Source No.",$C2738,"4 Item Ledger Entry Type",$C$4,"2 Item No.","@@"&amp;$F2738,"3 Posting Date",O$9)+NL("Sum","5802 Value Entry","17 Sales Amount (Actual)","41 Source Type",$C$5,"5 Source no.",$C2738,"4 Item Ledger Entry Type",$C$4,"2 Item No.","@@"&amp;$F2738,"3 Posting Date",O$9)</t>
  </si>
  <si>
    <t>=-NL("Sum","5802 Value Entry","151 Cost Amount (Expected)","41 Source Type",$C$5,"5 Source No.",$C2738,"4 Item Ledger Entry Type",$C$4,"2 Item No.","@@"&amp;$F2738,"3 Posting Date",O$9)-NL("Sum","5802 Value Entry","43 Cost Amount (Actual)","41 Source Type",$C$5,"5 Source no.",$C2738,"4 Item Ledger Entry Type",$C$4,"2 Item No.","@@"&amp;$F2738,"3 Posting Date",O$9)</t>
  </si>
  <si>
    <t>=O2738-Q2738</t>
  </si>
  <si>
    <t>=IF(O2738&lt;&gt;0,R2738/O2738,"")</t>
  </si>
  <si>
    <t>=NL("Sum","5802 Value Entry","150 Sales Amount (Expected)","41 Source Type",$C$5,"5 Source No.",$C2738,"4 Item Ledger Entry Type",$C$4,"2 Item No.","@@"&amp;$F2738,"3 Posting Date",U$9)+NL("Sum","5802 Value Entry","17 Sales Amount (Actual)","41 Source Type",$C$5,"5 Source no.",$C2738,"4 Item Ledger Entry Type",$C$4,"2 Item No.","@@"&amp;$F2738,"3 Posting Date",U$9)</t>
  </si>
  <si>
    <t>=-NL("Sum","5802 Value Entry","151 Cost Amount (Expected)","41 Source Type",$C$5,"5 Source No.",$C2738,"4 Item Ledger Entry Type",$C$4,"2 Item No.","@@"&amp;$F2738,"3 Posting Date",U$9)-NL("Sum","5802 Value Entry","43 Cost Amount (Actual)","41 Source Type",$C$5,"5 Source no.",$C2738,"4 Item Ledger Entry Type",$C$4,"2 Item No.","@@"&amp;$F2738,"3 Posting Date",U$9)</t>
  </si>
  <si>
    <t>=U2738-W2738</t>
  </si>
  <si>
    <t>=IF(U2738&lt;&gt;0,X2738/U2738,"")</t>
  </si>
  <si>
    <t>=NL("Sum","5802 Value Entry","150 Sales Amount (Expected)","41 Source Type",$C$5,"5 Source No.",$C2738,"4 Item Ledger Entry Type",$C$4,"2 Item No.","@@"&amp;$F2738,"3 Posting Date",Z$9)+NL("Sum","5802 Value Entry","17 Sales Amount (Actual)","41 Source Type",$C$5,"5 Source no.",$C2738,"4 Item Ledger Entry Type",$C$4,"2 Item No.","@@"&amp;$F2738,"3 Posting Date",Z$9)</t>
  </si>
  <si>
    <t>=-NL("Sum","5802 Value Entry","151 Cost Amount (Expected)","41 Source Type",$C$5,"5 Source No.",$C2738,"4 Item Ledger Entry Type",$C$4,"2 Item No.","@@"&amp;$F2738,"3 Posting Date",Z$9)-NL("Sum","5802 Value Entry","43 Cost Amount (Actual)","41 Source Type",$C$5,"5 Source no.",$C2738,"4 Item Ledger Entry Type",$C$4,"2 Item No.","@@"&amp;$F2738,"3 Posting Date",Z$9)</t>
  </si>
  <si>
    <t>=Z2738-AB2738</t>
  </si>
  <si>
    <t>=IF(Z2738&lt;&gt;0,AC2738/Z2738,"")</t>
  </si>
  <si>
    <t>=C2738</t>
  </si>
  <si>
    <t>=NL("Sum","5802 Value Entry","150 Sales Amount (Expected)","41 Source Type",$C$5,"5 Source No.",$C2739,"4 Item Ledger Entry Type",$C$4,"2 Item No.","@@"&amp;$F2739,"3 Posting Date",J$9)+NL("Sum","5802 Value Entry","17 Sales Amount (Actual)","41 Source Type",$C$5,"5 Source no.",$C2739,"4 Item Ledger Entry Type",$C$4,"2 Item No.","@@"&amp;$F2739,"3 Posting Date",J$9)</t>
  </si>
  <si>
    <t>=-NL("Sum","5802 Value Entry","151 Cost Amount (Expected)","41 Source Type",$C$5,"5 Source No.",$C2739,"4 Item Ledger Entry Type",$C$4,"2 Item No.","@@"&amp;$F2739,"3 Posting Date",J$9)-NL("Sum","5802 Value Entry","43 Cost Amount (Actual)","41 Source Type",$C$5,"5 Source no.",$C2739,"4 Item Ledger Entry Type",$C$4,"2 Item No.","@@"&amp;$F2739,"3 Posting Date",J$9)</t>
  </si>
  <si>
    <t>=J2739-L2739</t>
  </si>
  <si>
    <t>=IF(J2739&lt;&gt;0,M2739/J2739,"")</t>
  </si>
  <si>
    <t>=NL("Sum","5802 Value Entry","150 Sales Amount (Expected)","41 Source Type",$C$5,"5 Source No.",$C2739,"4 Item Ledger Entry Type",$C$4,"2 Item No.","@@"&amp;$F2739,"3 Posting Date",O$9)+NL("Sum","5802 Value Entry","17 Sales Amount (Actual)","41 Source Type",$C$5,"5 Source no.",$C2739,"4 Item Ledger Entry Type",$C$4,"2 Item No.","@@"&amp;$F2739,"3 Posting Date",O$9)</t>
  </si>
  <si>
    <t>=-NL("Sum","5802 Value Entry","151 Cost Amount (Expected)","41 Source Type",$C$5,"5 Source No.",$C2739,"4 Item Ledger Entry Type",$C$4,"2 Item No.","@@"&amp;$F2739,"3 Posting Date",O$9)-NL("Sum","5802 Value Entry","43 Cost Amount (Actual)","41 Source Type",$C$5,"5 Source no.",$C2739,"4 Item Ledger Entry Type",$C$4,"2 Item No.","@@"&amp;$F2739,"3 Posting Date",O$9)</t>
  </si>
  <si>
    <t>=O2739-Q2739</t>
  </si>
  <si>
    <t>=IF(O2739&lt;&gt;0,R2739/O2739,"")</t>
  </si>
  <si>
    <t>=NL("Sum","5802 Value Entry","150 Sales Amount (Expected)","41 Source Type",$C$5,"5 Source No.",$C2739,"4 Item Ledger Entry Type",$C$4,"2 Item No.","@@"&amp;$F2739,"3 Posting Date",U$9)+NL("Sum","5802 Value Entry","17 Sales Amount (Actual)","41 Source Type",$C$5,"5 Source no.",$C2739,"4 Item Ledger Entry Type",$C$4,"2 Item No.","@@"&amp;$F2739,"3 Posting Date",U$9)</t>
  </si>
  <si>
    <t>=-NL("Sum","5802 Value Entry","151 Cost Amount (Expected)","41 Source Type",$C$5,"5 Source No.",$C2739,"4 Item Ledger Entry Type",$C$4,"2 Item No.","@@"&amp;$F2739,"3 Posting Date",U$9)-NL("Sum","5802 Value Entry","43 Cost Amount (Actual)","41 Source Type",$C$5,"5 Source no.",$C2739,"4 Item Ledger Entry Type",$C$4,"2 Item No.","@@"&amp;$F2739,"3 Posting Date",U$9)</t>
  </si>
  <si>
    <t>=U2739-W2739</t>
  </si>
  <si>
    <t>=IF(U2739&lt;&gt;0,X2739/U2739,"")</t>
  </si>
  <si>
    <t>=NL("Sum","5802 Value Entry","150 Sales Amount (Expected)","41 Source Type",$C$5,"5 Source No.",$C2739,"4 Item Ledger Entry Type",$C$4,"2 Item No.","@@"&amp;$F2739,"3 Posting Date",Z$9)+NL("Sum","5802 Value Entry","17 Sales Amount (Actual)","41 Source Type",$C$5,"5 Source no.",$C2739,"4 Item Ledger Entry Type",$C$4,"2 Item No.","@@"&amp;$F2739,"3 Posting Date",Z$9)</t>
  </si>
  <si>
    <t>=-NL("Sum","5802 Value Entry","151 Cost Amount (Expected)","41 Source Type",$C$5,"5 Source No.",$C2739,"4 Item Ledger Entry Type",$C$4,"2 Item No.","@@"&amp;$F2739,"3 Posting Date",Z$9)-NL("Sum","5802 Value Entry","43 Cost Amount (Actual)","41 Source Type",$C$5,"5 Source no.",$C2739,"4 Item Ledger Entry Type",$C$4,"2 Item No.","@@"&amp;$F2739,"3 Posting Date",Z$9)</t>
  </si>
  <si>
    <t>=Z2739-AB2739</t>
  </si>
  <si>
    <t>=IF(Z2739&lt;&gt;0,AC2739/Z2739,"")</t>
  </si>
  <si>
    <t>=C2739</t>
  </si>
  <si>
    <t>=NL("Sum","5802 Value Entry","150 Sales Amount (Expected)","41 Source Type",$C$5,"5 Source No.",$C2740,"4 Item Ledger Entry Type",$C$4,"2 Item No.","@@"&amp;$F2740,"3 Posting Date",J$9)+NL("Sum","5802 Value Entry","17 Sales Amount (Actual)","41 Source Type",$C$5,"5 Source no.",$C2740,"4 Item Ledger Entry Type",$C$4,"2 Item No.","@@"&amp;$F2740,"3 Posting Date",J$9)</t>
  </si>
  <si>
    <t>=-NL("Sum","5802 Value Entry","151 Cost Amount (Expected)","41 Source Type",$C$5,"5 Source No.",$C2740,"4 Item Ledger Entry Type",$C$4,"2 Item No.","@@"&amp;$F2740,"3 Posting Date",J$9)-NL("Sum","5802 Value Entry","43 Cost Amount (Actual)","41 Source Type",$C$5,"5 Source no.",$C2740,"4 Item Ledger Entry Type",$C$4,"2 Item No.","@@"&amp;$F2740,"3 Posting Date",J$9)</t>
  </si>
  <si>
    <t>=J2740-L2740</t>
  </si>
  <si>
    <t>=IF(J2740&lt;&gt;0,M2740/J2740,"")</t>
  </si>
  <si>
    <t>=NL("Sum","5802 Value Entry","150 Sales Amount (Expected)","41 Source Type",$C$5,"5 Source No.",$C2740,"4 Item Ledger Entry Type",$C$4,"2 Item No.","@@"&amp;$F2740,"3 Posting Date",O$9)+NL("Sum","5802 Value Entry","17 Sales Amount (Actual)","41 Source Type",$C$5,"5 Source no.",$C2740,"4 Item Ledger Entry Type",$C$4,"2 Item No.","@@"&amp;$F2740,"3 Posting Date",O$9)</t>
  </si>
  <si>
    <t>=-NL("Sum","5802 Value Entry","151 Cost Amount (Expected)","41 Source Type",$C$5,"5 Source No.",$C2740,"4 Item Ledger Entry Type",$C$4,"2 Item No.","@@"&amp;$F2740,"3 Posting Date",O$9)-NL("Sum","5802 Value Entry","43 Cost Amount (Actual)","41 Source Type",$C$5,"5 Source no.",$C2740,"4 Item Ledger Entry Type",$C$4,"2 Item No.","@@"&amp;$F2740,"3 Posting Date",O$9)</t>
  </si>
  <si>
    <t>=O2740-Q2740</t>
  </si>
  <si>
    <t>=IF(O2740&lt;&gt;0,R2740/O2740,"")</t>
  </si>
  <si>
    <t>=NL("Sum","5802 Value Entry","150 Sales Amount (Expected)","41 Source Type",$C$5,"5 Source No.",$C2740,"4 Item Ledger Entry Type",$C$4,"2 Item No.","@@"&amp;$F2740,"3 Posting Date",U$9)+NL("Sum","5802 Value Entry","17 Sales Amount (Actual)","41 Source Type",$C$5,"5 Source no.",$C2740,"4 Item Ledger Entry Type",$C$4,"2 Item No.","@@"&amp;$F2740,"3 Posting Date",U$9)</t>
  </si>
  <si>
    <t>=-NL("Sum","5802 Value Entry","151 Cost Amount (Expected)","41 Source Type",$C$5,"5 Source No.",$C2740,"4 Item Ledger Entry Type",$C$4,"2 Item No.","@@"&amp;$F2740,"3 Posting Date",U$9)-NL("Sum","5802 Value Entry","43 Cost Amount (Actual)","41 Source Type",$C$5,"5 Source no.",$C2740,"4 Item Ledger Entry Type",$C$4,"2 Item No.","@@"&amp;$F2740,"3 Posting Date",U$9)</t>
  </si>
  <si>
    <t>=U2740-W2740</t>
  </si>
  <si>
    <t>=IF(U2740&lt;&gt;0,X2740/U2740,"")</t>
  </si>
  <si>
    <t>=NL("Sum","5802 Value Entry","150 Sales Amount (Expected)","41 Source Type",$C$5,"5 Source No.",$C2740,"4 Item Ledger Entry Type",$C$4,"2 Item No.","@@"&amp;$F2740,"3 Posting Date",Z$9)+NL("Sum","5802 Value Entry","17 Sales Amount (Actual)","41 Source Type",$C$5,"5 Source no.",$C2740,"4 Item Ledger Entry Type",$C$4,"2 Item No.","@@"&amp;$F2740,"3 Posting Date",Z$9)</t>
  </si>
  <si>
    <t>=-NL("Sum","5802 Value Entry","151 Cost Amount (Expected)","41 Source Type",$C$5,"5 Source No.",$C2740,"4 Item Ledger Entry Type",$C$4,"2 Item No.","@@"&amp;$F2740,"3 Posting Date",Z$9)-NL("Sum","5802 Value Entry","43 Cost Amount (Actual)","41 Source Type",$C$5,"5 Source no.",$C2740,"4 Item Ledger Entry Type",$C$4,"2 Item No.","@@"&amp;$F2740,"3 Posting Date",Z$9)</t>
  </si>
  <si>
    <t>=Z2740-AB2740</t>
  </si>
  <si>
    <t>=IF(Z2740&lt;&gt;0,AC2740/Z2740,"")</t>
  </si>
  <si>
    <t>=C2740</t>
  </si>
  <si>
    <t>=NL("Sum","5802 Value Entry","150 Sales Amount (Expected)","41 Source Type",$C$5,"5 Source No.",$C2741,"4 Item Ledger Entry Type",$C$4,"2 Item No.","@@"&amp;$F2741,"3 Posting Date",J$9)+NL("Sum","5802 Value Entry","17 Sales Amount (Actual)","41 Source Type",$C$5,"5 Source no.",$C2741,"4 Item Ledger Entry Type",$C$4,"2 Item No.","@@"&amp;$F2741,"3 Posting Date",J$9)</t>
  </si>
  <si>
    <t>=-NL("Sum","5802 Value Entry","151 Cost Amount (Expected)","41 Source Type",$C$5,"5 Source No.",$C2741,"4 Item Ledger Entry Type",$C$4,"2 Item No.","@@"&amp;$F2741,"3 Posting Date",J$9)-NL("Sum","5802 Value Entry","43 Cost Amount (Actual)","41 Source Type",$C$5,"5 Source no.",$C2741,"4 Item Ledger Entry Type",$C$4,"2 Item No.","@@"&amp;$F2741,"3 Posting Date",J$9)</t>
  </si>
  <si>
    <t>=J2741-L2741</t>
  </si>
  <si>
    <t>=IF(J2741&lt;&gt;0,M2741/J2741,"")</t>
  </si>
  <si>
    <t>=NL("Sum","5802 Value Entry","150 Sales Amount (Expected)","41 Source Type",$C$5,"5 Source No.",$C2741,"4 Item Ledger Entry Type",$C$4,"2 Item No.","@@"&amp;$F2741,"3 Posting Date",O$9)+NL("Sum","5802 Value Entry","17 Sales Amount (Actual)","41 Source Type",$C$5,"5 Source no.",$C2741,"4 Item Ledger Entry Type",$C$4,"2 Item No.","@@"&amp;$F2741,"3 Posting Date",O$9)</t>
  </si>
  <si>
    <t>=-NL("Sum","5802 Value Entry","151 Cost Amount (Expected)","41 Source Type",$C$5,"5 Source No.",$C2741,"4 Item Ledger Entry Type",$C$4,"2 Item No.","@@"&amp;$F2741,"3 Posting Date",O$9)-NL("Sum","5802 Value Entry","43 Cost Amount (Actual)","41 Source Type",$C$5,"5 Source no.",$C2741,"4 Item Ledger Entry Type",$C$4,"2 Item No.","@@"&amp;$F2741,"3 Posting Date",O$9)</t>
  </si>
  <si>
    <t>=O2741-Q2741</t>
  </si>
  <si>
    <t>=IF(O2741&lt;&gt;0,R2741/O2741,"")</t>
  </si>
  <si>
    <t>=NL("Sum","5802 Value Entry","150 Sales Amount (Expected)","41 Source Type",$C$5,"5 Source No.",$C2741,"4 Item Ledger Entry Type",$C$4,"2 Item No.","@@"&amp;$F2741,"3 Posting Date",U$9)+NL("Sum","5802 Value Entry","17 Sales Amount (Actual)","41 Source Type",$C$5,"5 Source no.",$C2741,"4 Item Ledger Entry Type",$C$4,"2 Item No.","@@"&amp;$F2741,"3 Posting Date",U$9)</t>
  </si>
  <si>
    <t>=-NL("Sum","5802 Value Entry","151 Cost Amount (Expected)","41 Source Type",$C$5,"5 Source No.",$C2741,"4 Item Ledger Entry Type",$C$4,"2 Item No.","@@"&amp;$F2741,"3 Posting Date",U$9)-NL("Sum","5802 Value Entry","43 Cost Amount (Actual)","41 Source Type",$C$5,"5 Source no.",$C2741,"4 Item Ledger Entry Type",$C$4,"2 Item No.","@@"&amp;$F2741,"3 Posting Date",U$9)</t>
  </si>
  <si>
    <t>=U2741-W2741</t>
  </si>
  <si>
    <t>=IF(U2741&lt;&gt;0,X2741/U2741,"")</t>
  </si>
  <si>
    <t>=NL("Sum","5802 Value Entry","150 Sales Amount (Expected)","41 Source Type",$C$5,"5 Source No.",$C2741,"4 Item Ledger Entry Type",$C$4,"2 Item No.","@@"&amp;$F2741,"3 Posting Date",Z$9)+NL("Sum","5802 Value Entry","17 Sales Amount (Actual)","41 Source Type",$C$5,"5 Source no.",$C2741,"4 Item Ledger Entry Type",$C$4,"2 Item No.","@@"&amp;$F2741,"3 Posting Date",Z$9)</t>
  </si>
  <si>
    <t>=-NL("Sum","5802 Value Entry","151 Cost Amount (Expected)","41 Source Type",$C$5,"5 Source No.",$C2741,"4 Item Ledger Entry Type",$C$4,"2 Item No.","@@"&amp;$F2741,"3 Posting Date",Z$9)-NL("Sum","5802 Value Entry","43 Cost Amount (Actual)","41 Source Type",$C$5,"5 Source no.",$C2741,"4 Item Ledger Entry Type",$C$4,"2 Item No.","@@"&amp;$F2741,"3 Posting Date",Z$9)</t>
  </si>
  <si>
    <t>=Z2741-AB2741</t>
  </si>
  <si>
    <t>=IF(Z2741&lt;&gt;0,AC2741/Z2741,"")</t>
  </si>
  <si>
    <t>=C2741</t>
  </si>
  <si>
    <t>=NL("Sum","5802 Value Entry","150 Sales Amount (Expected)","41 Source Type",$C$5,"5 Source No.",$C2742,"4 Item Ledger Entry Type",$C$4,"2 Item No.","@@"&amp;$F2742,"3 Posting Date",J$9)+NL("Sum","5802 Value Entry","17 Sales Amount (Actual)","41 Source Type",$C$5,"5 Source no.",$C2742,"4 Item Ledger Entry Type",$C$4,"2 Item No.","@@"&amp;$F2742,"3 Posting Date",J$9)</t>
  </si>
  <si>
    <t>=-NL("Sum","5802 Value Entry","151 Cost Amount (Expected)","41 Source Type",$C$5,"5 Source No.",$C2742,"4 Item Ledger Entry Type",$C$4,"2 Item No.","@@"&amp;$F2742,"3 Posting Date",J$9)-NL("Sum","5802 Value Entry","43 Cost Amount (Actual)","41 Source Type",$C$5,"5 Source no.",$C2742,"4 Item Ledger Entry Type",$C$4,"2 Item No.","@@"&amp;$F2742,"3 Posting Date",J$9)</t>
  </si>
  <si>
    <t>=J2742-L2742</t>
  </si>
  <si>
    <t>=IF(J2742&lt;&gt;0,M2742/J2742,"")</t>
  </si>
  <si>
    <t>=NL("Sum","5802 Value Entry","150 Sales Amount (Expected)","41 Source Type",$C$5,"5 Source No.",$C2742,"4 Item Ledger Entry Type",$C$4,"2 Item No.","@@"&amp;$F2742,"3 Posting Date",O$9)+NL("Sum","5802 Value Entry","17 Sales Amount (Actual)","41 Source Type",$C$5,"5 Source no.",$C2742,"4 Item Ledger Entry Type",$C$4,"2 Item No.","@@"&amp;$F2742,"3 Posting Date",O$9)</t>
  </si>
  <si>
    <t>=-NL("Sum","5802 Value Entry","151 Cost Amount (Expected)","41 Source Type",$C$5,"5 Source No.",$C2742,"4 Item Ledger Entry Type",$C$4,"2 Item No.","@@"&amp;$F2742,"3 Posting Date",O$9)-NL("Sum","5802 Value Entry","43 Cost Amount (Actual)","41 Source Type",$C$5,"5 Source no.",$C2742,"4 Item Ledger Entry Type",$C$4,"2 Item No.","@@"&amp;$F2742,"3 Posting Date",O$9)</t>
  </si>
  <si>
    <t>=O2742-Q2742</t>
  </si>
  <si>
    <t>=IF(O2742&lt;&gt;0,R2742/O2742,"")</t>
  </si>
  <si>
    <t>=NL("Sum","5802 Value Entry","150 Sales Amount (Expected)","41 Source Type",$C$5,"5 Source No.",$C2742,"4 Item Ledger Entry Type",$C$4,"2 Item No.","@@"&amp;$F2742,"3 Posting Date",U$9)+NL("Sum","5802 Value Entry","17 Sales Amount (Actual)","41 Source Type",$C$5,"5 Source no.",$C2742,"4 Item Ledger Entry Type",$C$4,"2 Item No.","@@"&amp;$F2742,"3 Posting Date",U$9)</t>
  </si>
  <si>
    <t>=-NL("Sum","5802 Value Entry","151 Cost Amount (Expected)","41 Source Type",$C$5,"5 Source No.",$C2742,"4 Item Ledger Entry Type",$C$4,"2 Item No.","@@"&amp;$F2742,"3 Posting Date",U$9)-NL("Sum","5802 Value Entry","43 Cost Amount (Actual)","41 Source Type",$C$5,"5 Source no.",$C2742,"4 Item Ledger Entry Type",$C$4,"2 Item No.","@@"&amp;$F2742,"3 Posting Date",U$9)</t>
  </si>
  <si>
    <t>=U2742-W2742</t>
  </si>
  <si>
    <t>=IF(U2742&lt;&gt;0,X2742/U2742,"")</t>
  </si>
  <si>
    <t>=NL("Sum","5802 Value Entry","150 Sales Amount (Expected)","41 Source Type",$C$5,"5 Source No.",$C2742,"4 Item Ledger Entry Type",$C$4,"2 Item No.","@@"&amp;$F2742,"3 Posting Date",Z$9)+NL("Sum","5802 Value Entry","17 Sales Amount (Actual)","41 Source Type",$C$5,"5 Source no.",$C2742,"4 Item Ledger Entry Type",$C$4,"2 Item No.","@@"&amp;$F2742,"3 Posting Date",Z$9)</t>
  </si>
  <si>
    <t>=-NL("Sum","5802 Value Entry","151 Cost Amount (Expected)","41 Source Type",$C$5,"5 Source No.",$C2742,"4 Item Ledger Entry Type",$C$4,"2 Item No.","@@"&amp;$F2742,"3 Posting Date",Z$9)-NL("Sum","5802 Value Entry","43 Cost Amount (Actual)","41 Source Type",$C$5,"5 Source no.",$C2742,"4 Item Ledger Entry Type",$C$4,"2 Item No.","@@"&amp;$F2742,"3 Posting Date",Z$9)</t>
  </si>
  <si>
    <t>=Z2742-AB2742</t>
  </si>
  <si>
    <t>=IF(Z2742&lt;&gt;0,AC2742/Z2742,"")</t>
  </si>
  <si>
    <t>=C2742</t>
  </si>
  <si>
    <t>=NL("Sum","5802 Value Entry","150 Sales Amount (Expected)","41 Source Type",$C$5,"5 Source No.",$C2743,"4 Item Ledger Entry Type",$C$4,"2 Item No.","@@"&amp;$F2743,"3 Posting Date",J$9)+NL("Sum","5802 Value Entry","17 Sales Amount (Actual)","41 Source Type",$C$5,"5 Source no.",$C2743,"4 Item Ledger Entry Type",$C$4,"2 Item No.","@@"&amp;$F2743,"3 Posting Date",J$9)</t>
  </si>
  <si>
    <t>=-NL("Sum","5802 Value Entry","151 Cost Amount (Expected)","41 Source Type",$C$5,"5 Source No.",$C2743,"4 Item Ledger Entry Type",$C$4,"2 Item No.","@@"&amp;$F2743,"3 Posting Date",J$9)-NL("Sum","5802 Value Entry","43 Cost Amount (Actual)","41 Source Type",$C$5,"5 Source no.",$C2743,"4 Item Ledger Entry Type",$C$4,"2 Item No.","@@"&amp;$F2743,"3 Posting Date",J$9)</t>
  </si>
  <si>
    <t>=J2743-L2743</t>
  </si>
  <si>
    <t>=IF(J2743&lt;&gt;0,M2743/J2743,"")</t>
  </si>
  <si>
    <t>=NL("Sum","5802 Value Entry","150 Sales Amount (Expected)","41 Source Type",$C$5,"5 Source No.",$C2743,"4 Item Ledger Entry Type",$C$4,"2 Item No.","@@"&amp;$F2743,"3 Posting Date",O$9)+NL("Sum","5802 Value Entry","17 Sales Amount (Actual)","41 Source Type",$C$5,"5 Source no.",$C2743,"4 Item Ledger Entry Type",$C$4,"2 Item No.","@@"&amp;$F2743,"3 Posting Date",O$9)</t>
  </si>
  <si>
    <t>=-NL("Sum","5802 Value Entry","151 Cost Amount (Expected)","41 Source Type",$C$5,"5 Source No.",$C2743,"4 Item Ledger Entry Type",$C$4,"2 Item No.","@@"&amp;$F2743,"3 Posting Date",O$9)-NL("Sum","5802 Value Entry","43 Cost Amount (Actual)","41 Source Type",$C$5,"5 Source no.",$C2743,"4 Item Ledger Entry Type",$C$4,"2 Item No.","@@"&amp;$F2743,"3 Posting Date",O$9)</t>
  </si>
  <si>
    <t>=O2743-Q2743</t>
  </si>
  <si>
    <t>=IF(O2743&lt;&gt;0,R2743/O2743,"")</t>
  </si>
  <si>
    <t>=NL("Sum","5802 Value Entry","150 Sales Amount (Expected)","41 Source Type",$C$5,"5 Source No.",$C2743,"4 Item Ledger Entry Type",$C$4,"2 Item No.","@@"&amp;$F2743,"3 Posting Date",U$9)+NL("Sum","5802 Value Entry","17 Sales Amount (Actual)","41 Source Type",$C$5,"5 Source no.",$C2743,"4 Item Ledger Entry Type",$C$4,"2 Item No.","@@"&amp;$F2743,"3 Posting Date",U$9)</t>
  </si>
  <si>
    <t>=-NL("Sum","5802 Value Entry","151 Cost Amount (Expected)","41 Source Type",$C$5,"5 Source No.",$C2743,"4 Item Ledger Entry Type",$C$4,"2 Item No.","@@"&amp;$F2743,"3 Posting Date",U$9)-NL("Sum","5802 Value Entry","43 Cost Amount (Actual)","41 Source Type",$C$5,"5 Source no.",$C2743,"4 Item Ledger Entry Type",$C$4,"2 Item No.","@@"&amp;$F2743,"3 Posting Date",U$9)</t>
  </si>
  <si>
    <t>=U2743-W2743</t>
  </si>
  <si>
    <t>=IF(U2743&lt;&gt;0,X2743/U2743,"")</t>
  </si>
  <si>
    <t>=NL("Sum","5802 Value Entry","150 Sales Amount (Expected)","41 Source Type",$C$5,"5 Source No.",$C2743,"4 Item Ledger Entry Type",$C$4,"2 Item No.","@@"&amp;$F2743,"3 Posting Date",Z$9)+NL("Sum","5802 Value Entry","17 Sales Amount (Actual)","41 Source Type",$C$5,"5 Source no.",$C2743,"4 Item Ledger Entry Type",$C$4,"2 Item No.","@@"&amp;$F2743,"3 Posting Date",Z$9)</t>
  </si>
  <si>
    <t>=-NL("Sum","5802 Value Entry","151 Cost Amount (Expected)","41 Source Type",$C$5,"5 Source No.",$C2743,"4 Item Ledger Entry Type",$C$4,"2 Item No.","@@"&amp;$F2743,"3 Posting Date",Z$9)-NL("Sum","5802 Value Entry","43 Cost Amount (Actual)","41 Source Type",$C$5,"5 Source no.",$C2743,"4 Item Ledger Entry Type",$C$4,"2 Item No.","@@"&amp;$F2743,"3 Posting Date",Z$9)</t>
  </si>
  <si>
    <t>=Z2743-AB2743</t>
  </si>
  <si>
    <t>=IF(Z2743&lt;&gt;0,AC2743/Z2743,"")</t>
  </si>
  <si>
    <t>=C2743</t>
  </si>
  <si>
    <t>=NL("Sum","5802 Value Entry","150 Sales Amount (Expected)","41 Source Type",$C$5,"5 Source No.",$C2744,"4 Item Ledger Entry Type",$C$4,"2 Item No.","@@"&amp;$F2744,"3 Posting Date",J$9)+NL("Sum","5802 Value Entry","17 Sales Amount (Actual)","41 Source Type",$C$5,"5 Source no.",$C2744,"4 Item Ledger Entry Type",$C$4,"2 Item No.","@@"&amp;$F2744,"3 Posting Date",J$9)</t>
  </si>
  <si>
    <t>=-NL("Sum","5802 Value Entry","151 Cost Amount (Expected)","41 Source Type",$C$5,"5 Source No.",$C2744,"4 Item Ledger Entry Type",$C$4,"2 Item No.","@@"&amp;$F2744,"3 Posting Date",J$9)-NL("Sum","5802 Value Entry","43 Cost Amount (Actual)","41 Source Type",$C$5,"5 Source no.",$C2744,"4 Item Ledger Entry Type",$C$4,"2 Item No.","@@"&amp;$F2744,"3 Posting Date",J$9)</t>
  </si>
  <si>
    <t>=J2744-L2744</t>
  </si>
  <si>
    <t>=IF(J2744&lt;&gt;0,M2744/J2744,"")</t>
  </si>
  <si>
    <t>=NL("Sum","5802 Value Entry","150 Sales Amount (Expected)","41 Source Type",$C$5,"5 Source No.",$C2744,"4 Item Ledger Entry Type",$C$4,"2 Item No.","@@"&amp;$F2744,"3 Posting Date",O$9)+NL("Sum","5802 Value Entry","17 Sales Amount (Actual)","41 Source Type",$C$5,"5 Source no.",$C2744,"4 Item Ledger Entry Type",$C$4,"2 Item No.","@@"&amp;$F2744,"3 Posting Date",O$9)</t>
  </si>
  <si>
    <t>=-NL("Sum","5802 Value Entry","151 Cost Amount (Expected)","41 Source Type",$C$5,"5 Source No.",$C2744,"4 Item Ledger Entry Type",$C$4,"2 Item No.","@@"&amp;$F2744,"3 Posting Date",O$9)-NL("Sum","5802 Value Entry","43 Cost Amount (Actual)","41 Source Type",$C$5,"5 Source no.",$C2744,"4 Item Ledger Entry Type",$C$4,"2 Item No.","@@"&amp;$F2744,"3 Posting Date",O$9)</t>
  </si>
  <si>
    <t>=O2744-Q2744</t>
  </si>
  <si>
    <t>=IF(O2744&lt;&gt;0,R2744/O2744,"")</t>
  </si>
  <si>
    <t>=NL("Sum","5802 Value Entry","150 Sales Amount (Expected)","41 Source Type",$C$5,"5 Source No.",$C2744,"4 Item Ledger Entry Type",$C$4,"2 Item No.","@@"&amp;$F2744,"3 Posting Date",U$9)+NL("Sum","5802 Value Entry","17 Sales Amount (Actual)","41 Source Type",$C$5,"5 Source no.",$C2744,"4 Item Ledger Entry Type",$C$4,"2 Item No.","@@"&amp;$F2744,"3 Posting Date",U$9)</t>
  </si>
  <si>
    <t>=-NL("Sum","5802 Value Entry","151 Cost Amount (Expected)","41 Source Type",$C$5,"5 Source No.",$C2744,"4 Item Ledger Entry Type",$C$4,"2 Item No.","@@"&amp;$F2744,"3 Posting Date",U$9)-NL("Sum","5802 Value Entry","43 Cost Amount (Actual)","41 Source Type",$C$5,"5 Source no.",$C2744,"4 Item Ledger Entry Type",$C$4,"2 Item No.","@@"&amp;$F2744,"3 Posting Date",U$9)</t>
  </si>
  <si>
    <t>=U2744-W2744</t>
  </si>
  <si>
    <t>=IF(U2744&lt;&gt;0,X2744/U2744,"")</t>
  </si>
  <si>
    <t>=NL("Sum","5802 Value Entry","150 Sales Amount (Expected)","41 Source Type",$C$5,"5 Source No.",$C2744,"4 Item Ledger Entry Type",$C$4,"2 Item No.","@@"&amp;$F2744,"3 Posting Date",Z$9)+NL("Sum","5802 Value Entry","17 Sales Amount (Actual)","41 Source Type",$C$5,"5 Source no.",$C2744,"4 Item Ledger Entry Type",$C$4,"2 Item No.","@@"&amp;$F2744,"3 Posting Date",Z$9)</t>
  </si>
  <si>
    <t>=-NL("Sum","5802 Value Entry","151 Cost Amount (Expected)","41 Source Type",$C$5,"5 Source No.",$C2744,"4 Item Ledger Entry Type",$C$4,"2 Item No.","@@"&amp;$F2744,"3 Posting Date",Z$9)-NL("Sum","5802 Value Entry","43 Cost Amount (Actual)","41 Source Type",$C$5,"5 Source no.",$C2744,"4 Item Ledger Entry Type",$C$4,"2 Item No.","@@"&amp;$F2744,"3 Posting Date",Z$9)</t>
  </si>
  <si>
    <t>=Z2744-AB2744</t>
  </si>
  <si>
    <t>=IF(Z2744&lt;&gt;0,AC2744/Z2744,"")</t>
  </si>
  <si>
    <t>=C2744</t>
  </si>
  <si>
    <t>=NL("Sum","5802 Value Entry","150 Sales Amount (Expected)","41 Source Type",$C$5,"5 Source No.",$C2745,"4 Item Ledger Entry Type",$C$4,"2 Item No.","@@"&amp;$F2745,"3 Posting Date",J$9)+NL("Sum","5802 Value Entry","17 Sales Amount (Actual)","41 Source Type",$C$5,"5 Source no.",$C2745,"4 Item Ledger Entry Type",$C$4,"2 Item No.","@@"&amp;$F2745,"3 Posting Date",J$9)</t>
  </si>
  <si>
    <t>=-NL("Sum","5802 Value Entry","151 Cost Amount (Expected)","41 Source Type",$C$5,"5 Source No.",$C2745,"4 Item Ledger Entry Type",$C$4,"2 Item No.","@@"&amp;$F2745,"3 Posting Date",J$9)-NL("Sum","5802 Value Entry","43 Cost Amount (Actual)","41 Source Type",$C$5,"5 Source no.",$C2745,"4 Item Ledger Entry Type",$C$4,"2 Item No.","@@"&amp;$F2745,"3 Posting Date",J$9)</t>
  </si>
  <si>
    <t>=J2745-L2745</t>
  </si>
  <si>
    <t>=IF(J2745&lt;&gt;0,M2745/J2745,"")</t>
  </si>
  <si>
    <t>=NL("Sum","5802 Value Entry","150 Sales Amount (Expected)","41 Source Type",$C$5,"5 Source No.",$C2745,"4 Item Ledger Entry Type",$C$4,"2 Item No.","@@"&amp;$F2745,"3 Posting Date",O$9)+NL("Sum","5802 Value Entry","17 Sales Amount (Actual)","41 Source Type",$C$5,"5 Source no.",$C2745,"4 Item Ledger Entry Type",$C$4,"2 Item No.","@@"&amp;$F2745,"3 Posting Date",O$9)</t>
  </si>
  <si>
    <t>=-NL("Sum","5802 Value Entry","151 Cost Amount (Expected)","41 Source Type",$C$5,"5 Source No.",$C2745,"4 Item Ledger Entry Type",$C$4,"2 Item No.","@@"&amp;$F2745,"3 Posting Date",O$9)-NL("Sum","5802 Value Entry","43 Cost Amount (Actual)","41 Source Type",$C$5,"5 Source no.",$C2745,"4 Item Ledger Entry Type",$C$4,"2 Item No.","@@"&amp;$F2745,"3 Posting Date",O$9)</t>
  </si>
  <si>
    <t>=O2745-Q2745</t>
  </si>
  <si>
    <t>=IF(O2745&lt;&gt;0,R2745/O2745,"")</t>
  </si>
  <si>
    <t>=NL("Sum","5802 Value Entry","150 Sales Amount (Expected)","41 Source Type",$C$5,"5 Source No.",$C2745,"4 Item Ledger Entry Type",$C$4,"2 Item No.","@@"&amp;$F2745,"3 Posting Date",U$9)+NL("Sum","5802 Value Entry","17 Sales Amount (Actual)","41 Source Type",$C$5,"5 Source no.",$C2745,"4 Item Ledger Entry Type",$C$4,"2 Item No.","@@"&amp;$F2745,"3 Posting Date",U$9)</t>
  </si>
  <si>
    <t>=-NL("Sum","5802 Value Entry","151 Cost Amount (Expected)","41 Source Type",$C$5,"5 Source No.",$C2745,"4 Item Ledger Entry Type",$C$4,"2 Item No.","@@"&amp;$F2745,"3 Posting Date",U$9)-NL("Sum","5802 Value Entry","43 Cost Amount (Actual)","41 Source Type",$C$5,"5 Source no.",$C2745,"4 Item Ledger Entry Type",$C$4,"2 Item No.","@@"&amp;$F2745,"3 Posting Date",U$9)</t>
  </si>
  <si>
    <t>=U2745-W2745</t>
  </si>
  <si>
    <t>=IF(U2745&lt;&gt;0,X2745/U2745,"")</t>
  </si>
  <si>
    <t>=NL("Sum","5802 Value Entry","150 Sales Amount (Expected)","41 Source Type",$C$5,"5 Source No.",$C2745,"4 Item Ledger Entry Type",$C$4,"2 Item No.","@@"&amp;$F2745,"3 Posting Date",Z$9)+NL("Sum","5802 Value Entry","17 Sales Amount (Actual)","41 Source Type",$C$5,"5 Source no.",$C2745,"4 Item Ledger Entry Type",$C$4,"2 Item No.","@@"&amp;$F2745,"3 Posting Date",Z$9)</t>
  </si>
  <si>
    <t>=-NL("Sum","5802 Value Entry","151 Cost Amount (Expected)","41 Source Type",$C$5,"5 Source No.",$C2745,"4 Item Ledger Entry Type",$C$4,"2 Item No.","@@"&amp;$F2745,"3 Posting Date",Z$9)-NL("Sum","5802 Value Entry","43 Cost Amount (Actual)","41 Source Type",$C$5,"5 Source no.",$C2745,"4 Item Ledger Entry Type",$C$4,"2 Item No.","@@"&amp;$F2745,"3 Posting Date",Z$9)</t>
  </si>
  <si>
    <t>=Z2745-AB2745</t>
  </si>
  <si>
    <t>=IF(Z2745&lt;&gt;0,AC2745/Z2745,"")</t>
  </si>
  <si>
    <t>=C2745</t>
  </si>
  <si>
    <t>=NL("Sum","5802 Value Entry","150 Sales Amount (Expected)","41 Source Type",$C$5,"5 Source No.",$C2746,"4 Item Ledger Entry Type",$C$4,"2 Item No.","@@"&amp;$F2746,"3 Posting Date",J$9)+NL("Sum","5802 Value Entry","17 Sales Amount (Actual)","41 Source Type",$C$5,"5 Source no.",$C2746,"4 Item Ledger Entry Type",$C$4,"2 Item No.","@@"&amp;$F2746,"3 Posting Date",J$9)</t>
  </si>
  <si>
    <t>=-NL("Sum","5802 Value Entry","151 Cost Amount (Expected)","41 Source Type",$C$5,"5 Source No.",$C2746,"4 Item Ledger Entry Type",$C$4,"2 Item No.","@@"&amp;$F2746,"3 Posting Date",J$9)-NL("Sum","5802 Value Entry","43 Cost Amount (Actual)","41 Source Type",$C$5,"5 Source no.",$C2746,"4 Item Ledger Entry Type",$C$4,"2 Item No.","@@"&amp;$F2746,"3 Posting Date",J$9)</t>
  </si>
  <si>
    <t>=J2746-L2746</t>
  </si>
  <si>
    <t>=IF(J2746&lt;&gt;0,M2746/J2746,"")</t>
  </si>
  <si>
    <t>=NL("Sum","5802 Value Entry","150 Sales Amount (Expected)","41 Source Type",$C$5,"5 Source No.",$C2746,"4 Item Ledger Entry Type",$C$4,"2 Item No.","@@"&amp;$F2746,"3 Posting Date",O$9)+NL("Sum","5802 Value Entry","17 Sales Amount (Actual)","41 Source Type",$C$5,"5 Source no.",$C2746,"4 Item Ledger Entry Type",$C$4,"2 Item No.","@@"&amp;$F2746,"3 Posting Date",O$9)</t>
  </si>
  <si>
    <t>=-NL("Sum","5802 Value Entry","151 Cost Amount (Expected)","41 Source Type",$C$5,"5 Source No.",$C2746,"4 Item Ledger Entry Type",$C$4,"2 Item No.","@@"&amp;$F2746,"3 Posting Date",O$9)-NL("Sum","5802 Value Entry","43 Cost Amount (Actual)","41 Source Type",$C$5,"5 Source no.",$C2746,"4 Item Ledger Entry Type",$C$4,"2 Item No.","@@"&amp;$F2746,"3 Posting Date",O$9)</t>
  </si>
  <si>
    <t>=O2746-Q2746</t>
  </si>
  <si>
    <t>=IF(O2746&lt;&gt;0,R2746/O2746,"")</t>
  </si>
  <si>
    <t>=NL("Sum","5802 Value Entry","150 Sales Amount (Expected)","41 Source Type",$C$5,"5 Source No.",$C2746,"4 Item Ledger Entry Type",$C$4,"2 Item No.","@@"&amp;$F2746,"3 Posting Date",U$9)+NL("Sum","5802 Value Entry","17 Sales Amount (Actual)","41 Source Type",$C$5,"5 Source no.",$C2746,"4 Item Ledger Entry Type",$C$4,"2 Item No.","@@"&amp;$F2746,"3 Posting Date",U$9)</t>
  </si>
  <si>
    <t>=-NL("Sum","5802 Value Entry","151 Cost Amount (Expected)","41 Source Type",$C$5,"5 Source No.",$C2746,"4 Item Ledger Entry Type",$C$4,"2 Item No.","@@"&amp;$F2746,"3 Posting Date",U$9)-NL("Sum","5802 Value Entry","43 Cost Amount (Actual)","41 Source Type",$C$5,"5 Source no.",$C2746,"4 Item Ledger Entry Type",$C$4,"2 Item No.","@@"&amp;$F2746,"3 Posting Date",U$9)</t>
  </si>
  <si>
    <t>=U2746-W2746</t>
  </si>
  <si>
    <t>=IF(U2746&lt;&gt;0,X2746/U2746,"")</t>
  </si>
  <si>
    <t>=NL("Sum","5802 Value Entry","150 Sales Amount (Expected)","41 Source Type",$C$5,"5 Source No.",$C2746,"4 Item Ledger Entry Type",$C$4,"2 Item No.","@@"&amp;$F2746,"3 Posting Date",Z$9)+NL("Sum","5802 Value Entry","17 Sales Amount (Actual)","41 Source Type",$C$5,"5 Source no.",$C2746,"4 Item Ledger Entry Type",$C$4,"2 Item No.","@@"&amp;$F2746,"3 Posting Date",Z$9)</t>
  </si>
  <si>
    <t>=-NL("Sum","5802 Value Entry","151 Cost Amount (Expected)","41 Source Type",$C$5,"5 Source No.",$C2746,"4 Item Ledger Entry Type",$C$4,"2 Item No.","@@"&amp;$F2746,"3 Posting Date",Z$9)-NL("Sum","5802 Value Entry","43 Cost Amount (Actual)","41 Source Type",$C$5,"5 Source no.",$C2746,"4 Item Ledger Entry Type",$C$4,"2 Item No.","@@"&amp;$F2746,"3 Posting Date",Z$9)</t>
  </si>
  <si>
    <t>=Z2746-AB2746</t>
  </si>
  <si>
    <t>=IF(Z2746&lt;&gt;0,AC2746/Z2746,"")</t>
  </si>
  <si>
    <t>=C2746</t>
  </si>
  <si>
    <t>=NL("Sum","5802 Value Entry","150 Sales Amount (Expected)","41 Source Type",$C$5,"5 Source No.",$C2747,"4 Item Ledger Entry Type",$C$4,"2 Item No.","@@"&amp;$F2747,"3 Posting Date",J$9)+NL("Sum","5802 Value Entry","17 Sales Amount (Actual)","41 Source Type",$C$5,"5 Source no.",$C2747,"4 Item Ledger Entry Type",$C$4,"2 Item No.","@@"&amp;$F2747,"3 Posting Date",J$9)</t>
  </si>
  <si>
    <t>=-NL("Sum","5802 Value Entry","151 Cost Amount (Expected)","41 Source Type",$C$5,"5 Source No.",$C2747,"4 Item Ledger Entry Type",$C$4,"2 Item No.","@@"&amp;$F2747,"3 Posting Date",J$9)-NL("Sum","5802 Value Entry","43 Cost Amount (Actual)","41 Source Type",$C$5,"5 Source no.",$C2747,"4 Item Ledger Entry Type",$C$4,"2 Item No.","@@"&amp;$F2747,"3 Posting Date",J$9)</t>
  </si>
  <si>
    <t>=J2747-L2747</t>
  </si>
  <si>
    <t>=IF(J2747&lt;&gt;0,M2747/J2747,"")</t>
  </si>
  <si>
    <t>=NL("Sum","5802 Value Entry","150 Sales Amount (Expected)","41 Source Type",$C$5,"5 Source No.",$C2747,"4 Item Ledger Entry Type",$C$4,"2 Item No.","@@"&amp;$F2747,"3 Posting Date",O$9)+NL("Sum","5802 Value Entry","17 Sales Amount (Actual)","41 Source Type",$C$5,"5 Source no.",$C2747,"4 Item Ledger Entry Type",$C$4,"2 Item No.","@@"&amp;$F2747,"3 Posting Date",O$9)</t>
  </si>
  <si>
    <t>=-NL("Sum","5802 Value Entry","151 Cost Amount (Expected)","41 Source Type",$C$5,"5 Source No.",$C2747,"4 Item Ledger Entry Type",$C$4,"2 Item No.","@@"&amp;$F2747,"3 Posting Date",O$9)-NL("Sum","5802 Value Entry","43 Cost Amount (Actual)","41 Source Type",$C$5,"5 Source no.",$C2747,"4 Item Ledger Entry Type",$C$4,"2 Item No.","@@"&amp;$F2747,"3 Posting Date",O$9)</t>
  </si>
  <si>
    <t>=O2747-Q2747</t>
  </si>
  <si>
    <t>=IF(O2747&lt;&gt;0,R2747/O2747,"")</t>
  </si>
  <si>
    <t>=NL("Sum","5802 Value Entry","150 Sales Amount (Expected)","41 Source Type",$C$5,"5 Source No.",$C2747,"4 Item Ledger Entry Type",$C$4,"2 Item No.","@@"&amp;$F2747,"3 Posting Date",U$9)+NL("Sum","5802 Value Entry","17 Sales Amount (Actual)","41 Source Type",$C$5,"5 Source no.",$C2747,"4 Item Ledger Entry Type",$C$4,"2 Item No.","@@"&amp;$F2747,"3 Posting Date",U$9)</t>
  </si>
  <si>
    <t>=-NL("Sum","5802 Value Entry","151 Cost Amount (Expected)","41 Source Type",$C$5,"5 Source No.",$C2747,"4 Item Ledger Entry Type",$C$4,"2 Item No.","@@"&amp;$F2747,"3 Posting Date",U$9)-NL("Sum","5802 Value Entry","43 Cost Amount (Actual)","41 Source Type",$C$5,"5 Source no.",$C2747,"4 Item Ledger Entry Type",$C$4,"2 Item No.","@@"&amp;$F2747,"3 Posting Date",U$9)</t>
  </si>
  <si>
    <t>=U2747-W2747</t>
  </si>
  <si>
    <t>=IF(U2747&lt;&gt;0,X2747/U2747,"")</t>
  </si>
  <si>
    <t>=NL("Sum","5802 Value Entry","150 Sales Amount (Expected)","41 Source Type",$C$5,"5 Source No.",$C2747,"4 Item Ledger Entry Type",$C$4,"2 Item No.","@@"&amp;$F2747,"3 Posting Date",Z$9)+NL("Sum","5802 Value Entry","17 Sales Amount (Actual)","41 Source Type",$C$5,"5 Source no.",$C2747,"4 Item Ledger Entry Type",$C$4,"2 Item No.","@@"&amp;$F2747,"3 Posting Date",Z$9)</t>
  </si>
  <si>
    <t>=-NL("Sum","5802 Value Entry","151 Cost Amount (Expected)","41 Source Type",$C$5,"5 Source No.",$C2747,"4 Item Ledger Entry Type",$C$4,"2 Item No.","@@"&amp;$F2747,"3 Posting Date",Z$9)-NL("Sum","5802 Value Entry","43 Cost Amount (Actual)","41 Source Type",$C$5,"5 Source no.",$C2747,"4 Item Ledger Entry Type",$C$4,"2 Item No.","@@"&amp;$F2747,"3 Posting Date",Z$9)</t>
  </si>
  <si>
    <t>=Z2747-AB2747</t>
  </si>
  <si>
    <t>=IF(Z2747&lt;&gt;0,AC2747/Z2747,"")</t>
  </si>
  <si>
    <t>=C2747</t>
  </si>
  <si>
    <t>=NL("Sum","5802 Value Entry","150 Sales Amount (Expected)","41 Source Type",$C$5,"5 Source No.",$C2748,"4 Item Ledger Entry Type",$C$4,"2 Item No.","@@"&amp;$F2748,"3 Posting Date",J$9)+NL("Sum","5802 Value Entry","17 Sales Amount (Actual)","41 Source Type",$C$5,"5 Source no.",$C2748,"4 Item Ledger Entry Type",$C$4,"2 Item No.","@@"&amp;$F2748,"3 Posting Date",J$9)</t>
  </si>
  <si>
    <t>=-NL("Sum","5802 Value Entry","151 Cost Amount (Expected)","41 Source Type",$C$5,"5 Source No.",$C2748,"4 Item Ledger Entry Type",$C$4,"2 Item No.","@@"&amp;$F2748,"3 Posting Date",J$9)-NL("Sum","5802 Value Entry","43 Cost Amount (Actual)","41 Source Type",$C$5,"5 Source no.",$C2748,"4 Item Ledger Entry Type",$C$4,"2 Item No.","@@"&amp;$F2748,"3 Posting Date",J$9)</t>
  </si>
  <si>
    <t>=J2748-L2748</t>
  </si>
  <si>
    <t>=IF(J2748&lt;&gt;0,M2748/J2748,"")</t>
  </si>
  <si>
    <t>=NL("Sum","5802 Value Entry","150 Sales Amount (Expected)","41 Source Type",$C$5,"5 Source No.",$C2748,"4 Item Ledger Entry Type",$C$4,"2 Item No.","@@"&amp;$F2748,"3 Posting Date",O$9)+NL("Sum","5802 Value Entry","17 Sales Amount (Actual)","41 Source Type",$C$5,"5 Source no.",$C2748,"4 Item Ledger Entry Type",$C$4,"2 Item No.","@@"&amp;$F2748,"3 Posting Date",O$9)</t>
  </si>
  <si>
    <t>=-NL("Sum","5802 Value Entry","151 Cost Amount (Expected)","41 Source Type",$C$5,"5 Source No.",$C2748,"4 Item Ledger Entry Type",$C$4,"2 Item No.","@@"&amp;$F2748,"3 Posting Date",O$9)-NL("Sum","5802 Value Entry","43 Cost Amount (Actual)","41 Source Type",$C$5,"5 Source no.",$C2748,"4 Item Ledger Entry Type",$C$4,"2 Item No.","@@"&amp;$F2748,"3 Posting Date",O$9)</t>
  </si>
  <si>
    <t>=O2748-Q2748</t>
  </si>
  <si>
    <t>=IF(O2748&lt;&gt;0,R2748/O2748,"")</t>
  </si>
  <si>
    <t>=NL("Sum","5802 Value Entry","150 Sales Amount (Expected)","41 Source Type",$C$5,"5 Source No.",$C2748,"4 Item Ledger Entry Type",$C$4,"2 Item No.","@@"&amp;$F2748,"3 Posting Date",U$9)+NL("Sum","5802 Value Entry","17 Sales Amount (Actual)","41 Source Type",$C$5,"5 Source no.",$C2748,"4 Item Ledger Entry Type",$C$4,"2 Item No.","@@"&amp;$F2748,"3 Posting Date",U$9)</t>
  </si>
  <si>
    <t>=-NL("Sum","5802 Value Entry","151 Cost Amount (Expected)","41 Source Type",$C$5,"5 Source No.",$C2748,"4 Item Ledger Entry Type",$C$4,"2 Item No.","@@"&amp;$F2748,"3 Posting Date",U$9)-NL("Sum","5802 Value Entry","43 Cost Amount (Actual)","41 Source Type",$C$5,"5 Source no.",$C2748,"4 Item Ledger Entry Type",$C$4,"2 Item No.","@@"&amp;$F2748,"3 Posting Date",U$9)</t>
  </si>
  <si>
    <t>=U2748-W2748</t>
  </si>
  <si>
    <t>=IF(U2748&lt;&gt;0,X2748/U2748,"")</t>
  </si>
  <si>
    <t>=NL("Sum","5802 Value Entry","150 Sales Amount (Expected)","41 Source Type",$C$5,"5 Source No.",$C2748,"4 Item Ledger Entry Type",$C$4,"2 Item No.","@@"&amp;$F2748,"3 Posting Date",Z$9)+NL("Sum","5802 Value Entry","17 Sales Amount (Actual)","41 Source Type",$C$5,"5 Source no.",$C2748,"4 Item Ledger Entry Type",$C$4,"2 Item No.","@@"&amp;$F2748,"3 Posting Date",Z$9)</t>
  </si>
  <si>
    <t>=-NL("Sum","5802 Value Entry","151 Cost Amount (Expected)","41 Source Type",$C$5,"5 Source No.",$C2748,"4 Item Ledger Entry Type",$C$4,"2 Item No.","@@"&amp;$F2748,"3 Posting Date",Z$9)-NL("Sum","5802 Value Entry","43 Cost Amount (Actual)","41 Source Type",$C$5,"5 Source no.",$C2748,"4 Item Ledger Entry Type",$C$4,"2 Item No.","@@"&amp;$F2748,"3 Posting Date",Z$9)</t>
  </si>
  <si>
    <t>=Z2748-AB2748</t>
  </si>
  <si>
    <t>=IF(Z2748&lt;&gt;0,AC2748/Z2748,"")</t>
  </si>
  <si>
    <t>=C2748</t>
  </si>
  <si>
    <t>=NL("Sum","5802 Value Entry","150 Sales Amount (Expected)","41 Source Type",$C$5,"5 Source No.",$C2749,"4 Item Ledger Entry Type",$C$4,"2 Item No.","@@"&amp;$F2749,"3 Posting Date",J$9)+NL("Sum","5802 Value Entry","17 Sales Amount (Actual)","41 Source Type",$C$5,"5 Source no.",$C2749,"4 Item Ledger Entry Type",$C$4,"2 Item No.","@@"&amp;$F2749,"3 Posting Date",J$9)</t>
  </si>
  <si>
    <t>=-NL("Sum","5802 Value Entry","151 Cost Amount (Expected)","41 Source Type",$C$5,"5 Source No.",$C2749,"4 Item Ledger Entry Type",$C$4,"2 Item No.","@@"&amp;$F2749,"3 Posting Date",J$9)-NL("Sum","5802 Value Entry","43 Cost Amount (Actual)","41 Source Type",$C$5,"5 Source no.",$C2749,"4 Item Ledger Entry Type",$C$4,"2 Item No.","@@"&amp;$F2749,"3 Posting Date",J$9)</t>
  </si>
  <si>
    <t>=J2749-L2749</t>
  </si>
  <si>
    <t>=IF(J2749&lt;&gt;0,M2749/J2749,"")</t>
  </si>
  <si>
    <t>=NL("Sum","5802 Value Entry","150 Sales Amount (Expected)","41 Source Type",$C$5,"5 Source No.",$C2749,"4 Item Ledger Entry Type",$C$4,"2 Item No.","@@"&amp;$F2749,"3 Posting Date",O$9)+NL("Sum","5802 Value Entry","17 Sales Amount (Actual)","41 Source Type",$C$5,"5 Source no.",$C2749,"4 Item Ledger Entry Type",$C$4,"2 Item No.","@@"&amp;$F2749,"3 Posting Date",O$9)</t>
  </si>
  <si>
    <t>=-NL("Sum","5802 Value Entry","151 Cost Amount (Expected)","41 Source Type",$C$5,"5 Source No.",$C2749,"4 Item Ledger Entry Type",$C$4,"2 Item No.","@@"&amp;$F2749,"3 Posting Date",O$9)-NL("Sum","5802 Value Entry","43 Cost Amount (Actual)","41 Source Type",$C$5,"5 Source no.",$C2749,"4 Item Ledger Entry Type",$C$4,"2 Item No.","@@"&amp;$F2749,"3 Posting Date",O$9)</t>
  </si>
  <si>
    <t>=O2749-Q2749</t>
  </si>
  <si>
    <t>=IF(O2749&lt;&gt;0,R2749/O2749,"")</t>
  </si>
  <si>
    <t>=NL("Sum","5802 Value Entry","150 Sales Amount (Expected)","41 Source Type",$C$5,"5 Source No.",$C2749,"4 Item Ledger Entry Type",$C$4,"2 Item No.","@@"&amp;$F2749,"3 Posting Date",U$9)+NL("Sum","5802 Value Entry","17 Sales Amount (Actual)","41 Source Type",$C$5,"5 Source no.",$C2749,"4 Item Ledger Entry Type",$C$4,"2 Item No.","@@"&amp;$F2749,"3 Posting Date",U$9)</t>
  </si>
  <si>
    <t>=-NL("Sum","5802 Value Entry","151 Cost Amount (Expected)","41 Source Type",$C$5,"5 Source No.",$C2749,"4 Item Ledger Entry Type",$C$4,"2 Item No.","@@"&amp;$F2749,"3 Posting Date",U$9)-NL("Sum","5802 Value Entry","43 Cost Amount (Actual)","41 Source Type",$C$5,"5 Source no.",$C2749,"4 Item Ledger Entry Type",$C$4,"2 Item No.","@@"&amp;$F2749,"3 Posting Date",U$9)</t>
  </si>
  <si>
    <t>=U2749-W2749</t>
  </si>
  <si>
    <t>=IF(U2749&lt;&gt;0,X2749/U2749,"")</t>
  </si>
  <si>
    <t>=NL("Sum","5802 Value Entry","150 Sales Amount (Expected)","41 Source Type",$C$5,"5 Source No.",$C2749,"4 Item Ledger Entry Type",$C$4,"2 Item No.","@@"&amp;$F2749,"3 Posting Date",Z$9)+NL("Sum","5802 Value Entry","17 Sales Amount (Actual)","41 Source Type",$C$5,"5 Source no.",$C2749,"4 Item Ledger Entry Type",$C$4,"2 Item No.","@@"&amp;$F2749,"3 Posting Date",Z$9)</t>
  </si>
  <si>
    <t>=-NL("Sum","5802 Value Entry","151 Cost Amount (Expected)","41 Source Type",$C$5,"5 Source No.",$C2749,"4 Item Ledger Entry Type",$C$4,"2 Item No.","@@"&amp;$F2749,"3 Posting Date",Z$9)-NL("Sum","5802 Value Entry","43 Cost Amount (Actual)","41 Source Type",$C$5,"5 Source no.",$C2749,"4 Item Ledger Entry Type",$C$4,"2 Item No.","@@"&amp;$F2749,"3 Posting Date",Z$9)</t>
  </si>
  <si>
    <t>=Z2749-AB2749</t>
  </si>
  <si>
    <t>=IF(Z2749&lt;&gt;0,AC2749/Z2749,"")</t>
  </si>
  <si>
    <t>=C2749</t>
  </si>
  <si>
    <t>=NL("Sum","5802 Value Entry","150 Sales Amount (Expected)","41 Source Type",$C$5,"5 Source No.",$C2750,"4 Item Ledger Entry Type",$C$4,"2 Item No.","@@"&amp;$F2750,"3 Posting Date",J$9)+NL("Sum","5802 Value Entry","17 Sales Amount (Actual)","41 Source Type",$C$5,"5 Source no.",$C2750,"4 Item Ledger Entry Type",$C$4,"2 Item No.","@@"&amp;$F2750,"3 Posting Date",J$9)</t>
  </si>
  <si>
    <t>=-NL("Sum","5802 Value Entry","151 Cost Amount (Expected)","41 Source Type",$C$5,"5 Source No.",$C2750,"4 Item Ledger Entry Type",$C$4,"2 Item No.","@@"&amp;$F2750,"3 Posting Date",J$9)-NL("Sum","5802 Value Entry","43 Cost Amount (Actual)","41 Source Type",$C$5,"5 Source no.",$C2750,"4 Item Ledger Entry Type",$C$4,"2 Item No.","@@"&amp;$F2750,"3 Posting Date",J$9)</t>
  </si>
  <si>
    <t>=J2750-L2750</t>
  </si>
  <si>
    <t>=IF(J2750&lt;&gt;0,M2750/J2750,"")</t>
  </si>
  <si>
    <t>=NL("Sum","5802 Value Entry","150 Sales Amount (Expected)","41 Source Type",$C$5,"5 Source No.",$C2750,"4 Item Ledger Entry Type",$C$4,"2 Item No.","@@"&amp;$F2750,"3 Posting Date",O$9)+NL("Sum","5802 Value Entry","17 Sales Amount (Actual)","41 Source Type",$C$5,"5 Source no.",$C2750,"4 Item Ledger Entry Type",$C$4,"2 Item No.","@@"&amp;$F2750,"3 Posting Date",O$9)</t>
  </si>
  <si>
    <t>=-NL("Sum","5802 Value Entry","151 Cost Amount (Expected)","41 Source Type",$C$5,"5 Source No.",$C2750,"4 Item Ledger Entry Type",$C$4,"2 Item No.","@@"&amp;$F2750,"3 Posting Date",O$9)-NL("Sum","5802 Value Entry","43 Cost Amount (Actual)","41 Source Type",$C$5,"5 Source no.",$C2750,"4 Item Ledger Entry Type",$C$4,"2 Item No.","@@"&amp;$F2750,"3 Posting Date",O$9)</t>
  </si>
  <si>
    <t>=O2750-Q2750</t>
  </si>
  <si>
    <t>=IF(O2750&lt;&gt;0,R2750/O2750,"")</t>
  </si>
  <si>
    <t>=NL("Sum","5802 Value Entry","150 Sales Amount (Expected)","41 Source Type",$C$5,"5 Source No.",$C2750,"4 Item Ledger Entry Type",$C$4,"2 Item No.","@@"&amp;$F2750,"3 Posting Date",U$9)+NL("Sum","5802 Value Entry","17 Sales Amount (Actual)","41 Source Type",$C$5,"5 Source no.",$C2750,"4 Item Ledger Entry Type",$C$4,"2 Item No.","@@"&amp;$F2750,"3 Posting Date",U$9)</t>
  </si>
  <si>
    <t>=-NL("Sum","5802 Value Entry","151 Cost Amount (Expected)","41 Source Type",$C$5,"5 Source No.",$C2750,"4 Item Ledger Entry Type",$C$4,"2 Item No.","@@"&amp;$F2750,"3 Posting Date",U$9)-NL("Sum","5802 Value Entry","43 Cost Amount (Actual)","41 Source Type",$C$5,"5 Source no.",$C2750,"4 Item Ledger Entry Type",$C$4,"2 Item No.","@@"&amp;$F2750,"3 Posting Date",U$9)</t>
  </si>
  <si>
    <t>=U2750-W2750</t>
  </si>
  <si>
    <t>=IF(U2750&lt;&gt;0,X2750/U2750,"")</t>
  </si>
  <si>
    <t>=NL("Sum","5802 Value Entry","150 Sales Amount (Expected)","41 Source Type",$C$5,"5 Source No.",$C2750,"4 Item Ledger Entry Type",$C$4,"2 Item No.","@@"&amp;$F2750,"3 Posting Date",Z$9)+NL("Sum","5802 Value Entry","17 Sales Amount (Actual)","41 Source Type",$C$5,"5 Source no.",$C2750,"4 Item Ledger Entry Type",$C$4,"2 Item No.","@@"&amp;$F2750,"3 Posting Date",Z$9)</t>
  </si>
  <si>
    <t>=-NL("Sum","5802 Value Entry","151 Cost Amount (Expected)","41 Source Type",$C$5,"5 Source No.",$C2750,"4 Item Ledger Entry Type",$C$4,"2 Item No.","@@"&amp;$F2750,"3 Posting Date",Z$9)-NL("Sum","5802 Value Entry","43 Cost Amount (Actual)","41 Source Type",$C$5,"5 Source no.",$C2750,"4 Item Ledger Entry Type",$C$4,"2 Item No.","@@"&amp;$F2750,"3 Posting Date",Z$9)</t>
  </si>
  <si>
    <t>=Z2750-AB2750</t>
  </si>
  <si>
    <t>=IF(Z2750&lt;&gt;0,AC2750/Z2750,"")</t>
  </si>
  <si>
    <t>=C2750</t>
  </si>
  <si>
    <t>=NL("Sum","5802 Value Entry","150 Sales Amount (Expected)","41 Source Type",$C$5,"5 Source No.",$C2751,"4 Item Ledger Entry Type",$C$4,"2 Item No.","@@"&amp;$F2751,"3 Posting Date",J$9)+NL("Sum","5802 Value Entry","17 Sales Amount (Actual)","41 Source Type",$C$5,"5 Source no.",$C2751,"4 Item Ledger Entry Type",$C$4,"2 Item No.","@@"&amp;$F2751,"3 Posting Date",J$9)</t>
  </si>
  <si>
    <t>=-NL("Sum","5802 Value Entry","151 Cost Amount (Expected)","41 Source Type",$C$5,"5 Source No.",$C2751,"4 Item Ledger Entry Type",$C$4,"2 Item No.","@@"&amp;$F2751,"3 Posting Date",J$9)-NL("Sum","5802 Value Entry","43 Cost Amount (Actual)","41 Source Type",$C$5,"5 Source no.",$C2751,"4 Item Ledger Entry Type",$C$4,"2 Item No.","@@"&amp;$F2751,"3 Posting Date",J$9)</t>
  </si>
  <si>
    <t>=J2751-L2751</t>
  </si>
  <si>
    <t>=IF(J2751&lt;&gt;0,M2751/J2751,"")</t>
  </si>
  <si>
    <t>=NL("Sum","5802 Value Entry","150 Sales Amount (Expected)","41 Source Type",$C$5,"5 Source No.",$C2751,"4 Item Ledger Entry Type",$C$4,"2 Item No.","@@"&amp;$F2751,"3 Posting Date",O$9)+NL("Sum","5802 Value Entry","17 Sales Amount (Actual)","41 Source Type",$C$5,"5 Source no.",$C2751,"4 Item Ledger Entry Type",$C$4,"2 Item No.","@@"&amp;$F2751,"3 Posting Date",O$9)</t>
  </si>
  <si>
    <t>=-NL("Sum","5802 Value Entry","151 Cost Amount (Expected)","41 Source Type",$C$5,"5 Source No.",$C2751,"4 Item Ledger Entry Type",$C$4,"2 Item No.","@@"&amp;$F2751,"3 Posting Date",O$9)-NL("Sum","5802 Value Entry","43 Cost Amount (Actual)","41 Source Type",$C$5,"5 Source no.",$C2751,"4 Item Ledger Entry Type",$C$4,"2 Item No.","@@"&amp;$F2751,"3 Posting Date",O$9)</t>
  </si>
  <si>
    <t>=O2751-Q2751</t>
  </si>
  <si>
    <t>=IF(O2751&lt;&gt;0,R2751/O2751,"")</t>
  </si>
  <si>
    <t>=NL("Sum","5802 Value Entry","150 Sales Amount (Expected)","41 Source Type",$C$5,"5 Source No.",$C2751,"4 Item Ledger Entry Type",$C$4,"2 Item No.","@@"&amp;$F2751,"3 Posting Date",U$9)+NL("Sum","5802 Value Entry","17 Sales Amount (Actual)","41 Source Type",$C$5,"5 Source no.",$C2751,"4 Item Ledger Entry Type",$C$4,"2 Item No.","@@"&amp;$F2751,"3 Posting Date",U$9)</t>
  </si>
  <si>
    <t>=-NL("Sum","5802 Value Entry","151 Cost Amount (Expected)","41 Source Type",$C$5,"5 Source No.",$C2751,"4 Item Ledger Entry Type",$C$4,"2 Item No.","@@"&amp;$F2751,"3 Posting Date",U$9)-NL("Sum","5802 Value Entry","43 Cost Amount (Actual)","41 Source Type",$C$5,"5 Source no.",$C2751,"4 Item Ledger Entry Type",$C$4,"2 Item No.","@@"&amp;$F2751,"3 Posting Date",U$9)</t>
  </si>
  <si>
    <t>=U2751-W2751</t>
  </si>
  <si>
    <t>=IF(U2751&lt;&gt;0,X2751/U2751,"")</t>
  </si>
  <si>
    <t>=NL("Sum","5802 Value Entry","150 Sales Amount (Expected)","41 Source Type",$C$5,"5 Source No.",$C2751,"4 Item Ledger Entry Type",$C$4,"2 Item No.","@@"&amp;$F2751,"3 Posting Date",Z$9)+NL("Sum","5802 Value Entry","17 Sales Amount (Actual)","41 Source Type",$C$5,"5 Source no.",$C2751,"4 Item Ledger Entry Type",$C$4,"2 Item No.","@@"&amp;$F2751,"3 Posting Date",Z$9)</t>
  </si>
  <si>
    <t>=-NL("Sum","5802 Value Entry","151 Cost Amount (Expected)","41 Source Type",$C$5,"5 Source No.",$C2751,"4 Item Ledger Entry Type",$C$4,"2 Item No.","@@"&amp;$F2751,"3 Posting Date",Z$9)-NL("Sum","5802 Value Entry","43 Cost Amount (Actual)","41 Source Type",$C$5,"5 Source no.",$C2751,"4 Item Ledger Entry Type",$C$4,"2 Item No.","@@"&amp;$F2751,"3 Posting Date",Z$9)</t>
  </si>
  <si>
    <t>=Z2751-AB2751</t>
  </si>
  <si>
    <t>=IF(Z2751&lt;&gt;0,AC2751/Z2751,"")</t>
  </si>
  <si>
    <t>=C2751</t>
  </si>
  <si>
    <t>=NL("Sum","5802 Value Entry","150 Sales Amount (Expected)","41 Source Type",$C$5,"5 Source No.",$C2752,"4 Item Ledger Entry Type",$C$4,"2 Item No.","@@"&amp;$F2752,"3 Posting Date",J$9)+NL("Sum","5802 Value Entry","17 Sales Amount (Actual)","41 Source Type",$C$5,"5 Source no.",$C2752,"4 Item Ledger Entry Type",$C$4,"2 Item No.","@@"&amp;$F2752,"3 Posting Date",J$9)</t>
  </si>
  <si>
    <t>=-NL("Sum","5802 Value Entry","151 Cost Amount (Expected)","41 Source Type",$C$5,"5 Source No.",$C2752,"4 Item Ledger Entry Type",$C$4,"2 Item No.","@@"&amp;$F2752,"3 Posting Date",J$9)-NL("Sum","5802 Value Entry","43 Cost Amount (Actual)","41 Source Type",$C$5,"5 Source no.",$C2752,"4 Item Ledger Entry Type",$C$4,"2 Item No.","@@"&amp;$F2752,"3 Posting Date",J$9)</t>
  </si>
  <si>
    <t>=J2752-L2752</t>
  </si>
  <si>
    <t>=IF(J2752&lt;&gt;0,M2752/J2752,"")</t>
  </si>
  <si>
    <t>=NL("Sum","5802 Value Entry","150 Sales Amount (Expected)","41 Source Type",$C$5,"5 Source No.",$C2752,"4 Item Ledger Entry Type",$C$4,"2 Item No.","@@"&amp;$F2752,"3 Posting Date",O$9)+NL("Sum","5802 Value Entry","17 Sales Amount (Actual)","41 Source Type",$C$5,"5 Source no.",$C2752,"4 Item Ledger Entry Type",$C$4,"2 Item No.","@@"&amp;$F2752,"3 Posting Date",O$9)</t>
  </si>
  <si>
    <t>=-NL("Sum","5802 Value Entry","151 Cost Amount (Expected)","41 Source Type",$C$5,"5 Source No.",$C2752,"4 Item Ledger Entry Type",$C$4,"2 Item No.","@@"&amp;$F2752,"3 Posting Date",O$9)-NL("Sum","5802 Value Entry","43 Cost Amount (Actual)","41 Source Type",$C$5,"5 Source no.",$C2752,"4 Item Ledger Entry Type",$C$4,"2 Item No.","@@"&amp;$F2752,"3 Posting Date",O$9)</t>
  </si>
  <si>
    <t>=O2752-Q2752</t>
  </si>
  <si>
    <t>=IF(O2752&lt;&gt;0,R2752/O2752,"")</t>
  </si>
  <si>
    <t>=NL("Sum","5802 Value Entry","150 Sales Amount (Expected)","41 Source Type",$C$5,"5 Source No.",$C2752,"4 Item Ledger Entry Type",$C$4,"2 Item No.","@@"&amp;$F2752,"3 Posting Date",U$9)+NL("Sum","5802 Value Entry","17 Sales Amount (Actual)","41 Source Type",$C$5,"5 Source no.",$C2752,"4 Item Ledger Entry Type",$C$4,"2 Item No.","@@"&amp;$F2752,"3 Posting Date",U$9)</t>
  </si>
  <si>
    <t>=-NL("Sum","5802 Value Entry","151 Cost Amount (Expected)","41 Source Type",$C$5,"5 Source No.",$C2752,"4 Item Ledger Entry Type",$C$4,"2 Item No.","@@"&amp;$F2752,"3 Posting Date",U$9)-NL("Sum","5802 Value Entry","43 Cost Amount (Actual)","41 Source Type",$C$5,"5 Source no.",$C2752,"4 Item Ledger Entry Type",$C$4,"2 Item No.","@@"&amp;$F2752,"3 Posting Date",U$9)</t>
  </si>
  <si>
    <t>=U2752-W2752</t>
  </si>
  <si>
    <t>=IF(U2752&lt;&gt;0,X2752/U2752,"")</t>
  </si>
  <si>
    <t>=NL("Sum","5802 Value Entry","150 Sales Amount (Expected)","41 Source Type",$C$5,"5 Source No.",$C2752,"4 Item Ledger Entry Type",$C$4,"2 Item No.","@@"&amp;$F2752,"3 Posting Date",Z$9)+NL("Sum","5802 Value Entry","17 Sales Amount (Actual)","41 Source Type",$C$5,"5 Source no.",$C2752,"4 Item Ledger Entry Type",$C$4,"2 Item No.","@@"&amp;$F2752,"3 Posting Date",Z$9)</t>
  </si>
  <si>
    <t>=-NL("Sum","5802 Value Entry","151 Cost Amount (Expected)","41 Source Type",$C$5,"5 Source No.",$C2752,"4 Item Ledger Entry Type",$C$4,"2 Item No.","@@"&amp;$F2752,"3 Posting Date",Z$9)-NL("Sum","5802 Value Entry","43 Cost Amount (Actual)","41 Source Type",$C$5,"5 Source no.",$C2752,"4 Item Ledger Entry Type",$C$4,"2 Item No.","@@"&amp;$F2752,"3 Posting Date",Z$9)</t>
  </si>
  <si>
    <t>=Z2752-AB2752</t>
  </si>
  <si>
    <t>=IF(Z2752&lt;&gt;0,AC2752/Z2752,"")</t>
  </si>
  <si>
    <t>=C2752</t>
  </si>
  <si>
    <t>=NL("Sum","5802 Value Entry","150 Sales Amount (Expected)","41 Source Type",$C$5,"5 Source No.",$C2753,"4 Item Ledger Entry Type",$C$4,"2 Item No.","@@"&amp;$F2753,"3 Posting Date",J$9)+NL("Sum","5802 Value Entry","17 Sales Amount (Actual)","41 Source Type",$C$5,"5 Source no.",$C2753,"4 Item Ledger Entry Type",$C$4,"2 Item No.","@@"&amp;$F2753,"3 Posting Date",J$9)</t>
  </si>
  <si>
    <t>=-NL("Sum","5802 Value Entry","151 Cost Amount (Expected)","41 Source Type",$C$5,"5 Source No.",$C2753,"4 Item Ledger Entry Type",$C$4,"2 Item No.","@@"&amp;$F2753,"3 Posting Date",J$9)-NL("Sum","5802 Value Entry","43 Cost Amount (Actual)","41 Source Type",$C$5,"5 Source no.",$C2753,"4 Item Ledger Entry Type",$C$4,"2 Item No.","@@"&amp;$F2753,"3 Posting Date",J$9)</t>
  </si>
  <si>
    <t>=J2753-L2753</t>
  </si>
  <si>
    <t>=IF(J2753&lt;&gt;0,M2753/J2753,"")</t>
  </si>
  <si>
    <t>=NL("Sum","5802 Value Entry","150 Sales Amount (Expected)","41 Source Type",$C$5,"5 Source No.",$C2753,"4 Item Ledger Entry Type",$C$4,"2 Item No.","@@"&amp;$F2753,"3 Posting Date",O$9)+NL("Sum","5802 Value Entry","17 Sales Amount (Actual)","41 Source Type",$C$5,"5 Source no.",$C2753,"4 Item Ledger Entry Type",$C$4,"2 Item No.","@@"&amp;$F2753,"3 Posting Date",O$9)</t>
  </si>
  <si>
    <t>=-NL("Sum","5802 Value Entry","151 Cost Amount (Expected)","41 Source Type",$C$5,"5 Source No.",$C2753,"4 Item Ledger Entry Type",$C$4,"2 Item No.","@@"&amp;$F2753,"3 Posting Date",O$9)-NL("Sum","5802 Value Entry","43 Cost Amount (Actual)","41 Source Type",$C$5,"5 Source no.",$C2753,"4 Item Ledger Entry Type",$C$4,"2 Item No.","@@"&amp;$F2753,"3 Posting Date",O$9)</t>
  </si>
  <si>
    <t>=O2753-Q2753</t>
  </si>
  <si>
    <t>=IF(O2753&lt;&gt;0,R2753/O2753,"")</t>
  </si>
  <si>
    <t>=NL("Sum","5802 Value Entry","150 Sales Amount (Expected)","41 Source Type",$C$5,"5 Source No.",$C2753,"4 Item Ledger Entry Type",$C$4,"2 Item No.","@@"&amp;$F2753,"3 Posting Date",U$9)+NL("Sum","5802 Value Entry","17 Sales Amount (Actual)","41 Source Type",$C$5,"5 Source no.",$C2753,"4 Item Ledger Entry Type",$C$4,"2 Item No.","@@"&amp;$F2753,"3 Posting Date",U$9)</t>
  </si>
  <si>
    <t>=-NL("Sum","5802 Value Entry","151 Cost Amount (Expected)","41 Source Type",$C$5,"5 Source No.",$C2753,"4 Item Ledger Entry Type",$C$4,"2 Item No.","@@"&amp;$F2753,"3 Posting Date",U$9)-NL("Sum","5802 Value Entry","43 Cost Amount (Actual)","41 Source Type",$C$5,"5 Source no.",$C2753,"4 Item Ledger Entry Type",$C$4,"2 Item No.","@@"&amp;$F2753,"3 Posting Date",U$9)</t>
  </si>
  <si>
    <t>=U2753-W2753</t>
  </si>
  <si>
    <t>=IF(U2753&lt;&gt;0,X2753/U2753,"")</t>
  </si>
  <si>
    <t>=NL("Sum","5802 Value Entry","150 Sales Amount (Expected)","41 Source Type",$C$5,"5 Source No.",$C2753,"4 Item Ledger Entry Type",$C$4,"2 Item No.","@@"&amp;$F2753,"3 Posting Date",Z$9)+NL("Sum","5802 Value Entry","17 Sales Amount (Actual)","41 Source Type",$C$5,"5 Source no.",$C2753,"4 Item Ledger Entry Type",$C$4,"2 Item No.","@@"&amp;$F2753,"3 Posting Date",Z$9)</t>
  </si>
  <si>
    <t>=-NL("Sum","5802 Value Entry","151 Cost Amount (Expected)","41 Source Type",$C$5,"5 Source No.",$C2753,"4 Item Ledger Entry Type",$C$4,"2 Item No.","@@"&amp;$F2753,"3 Posting Date",Z$9)-NL("Sum","5802 Value Entry","43 Cost Amount (Actual)","41 Source Type",$C$5,"5 Source no.",$C2753,"4 Item Ledger Entry Type",$C$4,"2 Item No.","@@"&amp;$F2753,"3 Posting Date",Z$9)</t>
  </si>
  <si>
    <t>=Z2753-AB2753</t>
  </si>
  <si>
    <t>=IF(Z2753&lt;&gt;0,AC2753/Z2753,"")</t>
  </si>
  <si>
    <t>=C2753</t>
  </si>
  <si>
    <t>=NL("Sum","5802 Value Entry","150 Sales Amount (Expected)","41 Source Type",$C$5,"5 Source No.",$C2754,"4 Item Ledger Entry Type",$C$4,"2 Item No.","@@"&amp;$F2754,"3 Posting Date",J$9)+NL("Sum","5802 Value Entry","17 Sales Amount (Actual)","41 Source Type",$C$5,"5 Source no.",$C2754,"4 Item Ledger Entry Type",$C$4,"2 Item No.","@@"&amp;$F2754,"3 Posting Date",J$9)</t>
  </si>
  <si>
    <t>=-NL("Sum","5802 Value Entry","151 Cost Amount (Expected)","41 Source Type",$C$5,"5 Source No.",$C2754,"4 Item Ledger Entry Type",$C$4,"2 Item No.","@@"&amp;$F2754,"3 Posting Date",J$9)-NL("Sum","5802 Value Entry","43 Cost Amount (Actual)","41 Source Type",$C$5,"5 Source no.",$C2754,"4 Item Ledger Entry Type",$C$4,"2 Item No.","@@"&amp;$F2754,"3 Posting Date",J$9)</t>
  </si>
  <si>
    <t>=J2754-L2754</t>
  </si>
  <si>
    <t>=IF(J2754&lt;&gt;0,M2754/J2754,"")</t>
  </si>
  <si>
    <t>=NL("Sum","5802 Value Entry","150 Sales Amount (Expected)","41 Source Type",$C$5,"5 Source No.",$C2754,"4 Item Ledger Entry Type",$C$4,"2 Item No.","@@"&amp;$F2754,"3 Posting Date",O$9)+NL("Sum","5802 Value Entry","17 Sales Amount (Actual)","41 Source Type",$C$5,"5 Source no.",$C2754,"4 Item Ledger Entry Type",$C$4,"2 Item No.","@@"&amp;$F2754,"3 Posting Date",O$9)</t>
  </si>
  <si>
    <t>=-NL("Sum","5802 Value Entry","151 Cost Amount (Expected)","41 Source Type",$C$5,"5 Source No.",$C2754,"4 Item Ledger Entry Type",$C$4,"2 Item No.","@@"&amp;$F2754,"3 Posting Date",O$9)-NL("Sum","5802 Value Entry","43 Cost Amount (Actual)","41 Source Type",$C$5,"5 Source no.",$C2754,"4 Item Ledger Entry Type",$C$4,"2 Item No.","@@"&amp;$F2754,"3 Posting Date",O$9)</t>
  </si>
  <si>
    <t>=O2754-Q2754</t>
  </si>
  <si>
    <t>=IF(O2754&lt;&gt;0,R2754/O2754,"")</t>
  </si>
  <si>
    <t>=NL("Sum","5802 Value Entry","150 Sales Amount (Expected)","41 Source Type",$C$5,"5 Source No.",$C2754,"4 Item Ledger Entry Type",$C$4,"2 Item No.","@@"&amp;$F2754,"3 Posting Date",U$9)+NL("Sum","5802 Value Entry","17 Sales Amount (Actual)","41 Source Type",$C$5,"5 Source no.",$C2754,"4 Item Ledger Entry Type",$C$4,"2 Item No.","@@"&amp;$F2754,"3 Posting Date",U$9)</t>
  </si>
  <si>
    <t>=-NL("Sum","5802 Value Entry","151 Cost Amount (Expected)","41 Source Type",$C$5,"5 Source No.",$C2754,"4 Item Ledger Entry Type",$C$4,"2 Item No.","@@"&amp;$F2754,"3 Posting Date",U$9)-NL("Sum","5802 Value Entry","43 Cost Amount (Actual)","41 Source Type",$C$5,"5 Source no.",$C2754,"4 Item Ledger Entry Type",$C$4,"2 Item No.","@@"&amp;$F2754,"3 Posting Date",U$9)</t>
  </si>
  <si>
    <t>=U2754-W2754</t>
  </si>
  <si>
    <t>=IF(U2754&lt;&gt;0,X2754/U2754,"")</t>
  </si>
  <si>
    <t>=NL("Sum","5802 Value Entry","150 Sales Amount (Expected)","41 Source Type",$C$5,"5 Source No.",$C2754,"4 Item Ledger Entry Type",$C$4,"2 Item No.","@@"&amp;$F2754,"3 Posting Date",Z$9)+NL("Sum","5802 Value Entry","17 Sales Amount (Actual)","41 Source Type",$C$5,"5 Source no.",$C2754,"4 Item Ledger Entry Type",$C$4,"2 Item No.","@@"&amp;$F2754,"3 Posting Date",Z$9)</t>
  </si>
  <si>
    <t>=-NL("Sum","5802 Value Entry","151 Cost Amount (Expected)","41 Source Type",$C$5,"5 Source No.",$C2754,"4 Item Ledger Entry Type",$C$4,"2 Item No.","@@"&amp;$F2754,"3 Posting Date",Z$9)-NL("Sum","5802 Value Entry","43 Cost Amount (Actual)","41 Source Type",$C$5,"5 Source no.",$C2754,"4 Item Ledger Entry Type",$C$4,"2 Item No.","@@"&amp;$F2754,"3 Posting Date",Z$9)</t>
  </si>
  <si>
    <t>=Z2754-AB2754</t>
  </si>
  <si>
    <t>=IF(Z2754&lt;&gt;0,AC2754/Z2754,"")</t>
  </si>
  <si>
    <t>=C2754</t>
  </si>
  <si>
    <t>=NL("Sum","5802 Value Entry","150 Sales Amount (Expected)","41 Source Type",$C$5,"5 Source No.",$C2755,"4 Item Ledger Entry Type",$C$4,"2 Item No.","@@"&amp;$F2755,"3 Posting Date",J$9)+NL("Sum","5802 Value Entry","17 Sales Amount (Actual)","41 Source Type",$C$5,"5 Source no.",$C2755,"4 Item Ledger Entry Type",$C$4,"2 Item No.","@@"&amp;$F2755,"3 Posting Date",J$9)</t>
  </si>
  <si>
    <t>=-NL("Sum","5802 Value Entry","151 Cost Amount (Expected)","41 Source Type",$C$5,"5 Source No.",$C2755,"4 Item Ledger Entry Type",$C$4,"2 Item No.","@@"&amp;$F2755,"3 Posting Date",J$9)-NL("Sum","5802 Value Entry","43 Cost Amount (Actual)","41 Source Type",$C$5,"5 Source no.",$C2755,"4 Item Ledger Entry Type",$C$4,"2 Item No.","@@"&amp;$F2755,"3 Posting Date",J$9)</t>
  </si>
  <si>
    <t>=J2755-L2755</t>
  </si>
  <si>
    <t>=IF(J2755&lt;&gt;0,M2755/J2755,"")</t>
  </si>
  <si>
    <t>=NL("Sum","5802 Value Entry","150 Sales Amount (Expected)","41 Source Type",$C$5,"5 Source No.",$C2755,"4 Item Ledger Entry Type",$C$4,"2 Item No.","@@"&amp;$F2755,"3 Posting Date",O$9)+NL("Sum","5802 Value Entry","17 Sales Amount (Actual)","41 Source Type",$C$5,"5 Source no.",$C2755,"4 Item Ledger Entry Type",$C$4,"2 Item No.","@@"&amp;$F2755,"3 Posting Date",O$9)</t>
  </si>
  <si>
    <t>=-NL("Sum","5802 Value Entry","151 Cost Amount (Expected)","41 Source Type",$C$5,"5 Source No.",$C2755,"4 Item Ledger Entry Type",$C$4,"2 Item No.","@@"&amp;$F2755,"3 Posting Date",O$9)-NL("Sum","5802 Value Entry","43 Cost Amount (Actual)","41 Source Type",$C$5,"5 Source no.",$C2755,"4 Item Ledger Entry Type",$C$4,"2 Item No.","@@"&amp;$F2755,"3 Posting Date",O$9)</t>
  </si>
  <si>
    <t>=O2755-Q2755</t>
  </si>
  <si>
    <t>=IF(O2755&lt;&gt;0,R2755/O2755,"")</t>
  </si>
  <si>
    <t>=NL("Sum","5802 Value Entry","150 Sales Amount (Expected)","41 Source Type",$C$5,"5 Source No.",$C2755,"4 Item Ledger Entry Type",$C$4,"2 Item No.","@@"&amp;$F2755,"3 Posting Date",U$9)+NL("Sum","5802 Value Entry","17 Sales Amount (Actual)","41 Source Type",$C$5,"5 Source no.",$C2755,"4 Item Ledger Entry Type",$C$4,"2 Item No.","@@"&amp;$F2755,"3 Posting Date",U$9)</t>
  </si>
  <si>
    <t>=-NL("Sum","5802 Value Entry","151 Cost Amount (Expected)","41 Source Type",$C$5,"5 Source No.",$C2755,"4 Item Ledger Entry Type",$C$4,"2 Item No.","@@"&amp;$F2755,"3 Posting Date",U$9)-NL("Sum","5802 Value Entry","43 Cost Amount (Actual)","41 Source Type",$C$5,"5 Source no.",$C2755,"4 Item Ledger Entry Type",$C$4,"2 Item No.","@@"&amp;$F2755,"3 Posting Date",U$9)</t>
  </si>
  <si>
    <t>=U2755-W2755</t>
  </si>
  <si>
    <t>=IF(U2755&lt;&gt;0,X2755/U2755,"")</t>
  </si>
  <si>
    <t>=NL("Sum","5802 Value Entry","150 Sales Amount (Expected)","41 Source Type",$C$5,"5 Source No.",$C2755,"4 Item Ledger Entry Type",$C$4,"2 Item No.","@@"&amp;$F2755,"3 Posting Date",Z$9)+NL("Sum","5802 Value Entry","17 Sales Amount (Actual)","41 Source Type",$C$5,"5 Source no.",$C2755,"4 Item Ledger Entry Type",$C$4,"2 Item No.","@@"&amp;$F2755,"3 Posting Date",Z$9)</t>
  </si>
  <si>
    <t>=-NL("Sum","5802 Value Entry","151 Cost Amount (Expected)","41 Source Type",$C$5,"5 Source No.",$C2755,"4 Item Ledger Entry Type",$C$4,"2 Item No.","@@"&amp;$F2755,"3 Posting Date",Z$9)-NL("Sum","5802 Value Entry","43 Cost Amount (Actual)","41 Source Type",$C$5,"5 Source no.",$C2755,"4 Item Ledger Entry Type",$C$4,"2 Item No.","@@"&amp;$F2755,"3 Posting Date",Z$9)</t>
  </si>
  <si>
    <t>=Z2755-AB2755</t>
  </si>
  <si>
    <t>=IF(Z2755&lt;&gt;0,AC2755/Z2755,"")</t>
  </si>
  <si>
    <t>=C2755</t>
  </si>
  <si>
    <t>=NL("Sum","5802 Value Entry","150 Sales Amount (Expected)","41 Source Type",$C$5,"5 Source No.",$C2756,"4 Item Ledger Entry Type",$C$4,"2 Item No.","@@"&amp;$F2756,"3 Posting Date",J$9)+NL("Sum","5802 Value Entry","17 Sales Amount (Actual)","41 Source Type",$C$5,"5 Source no.",$C2756,"4 Item Ledger Entry Type",$C$4,"2 Item No.","@@"&amp;$F2756,"3 Posting Date",J$9)</t>
  </si>
  <si>
    <t>=-NL("Sum","5802 Value Entry","151 Cost Amount (Expected)","41 Source Type",$C$5,"5 Source No.",$C2756,"4 Item Ledger Entry Type",$C$4,"2 Item No.","@@"&amp;$F2756,"3 Posting Date",J$9)-NL("Sum","5802 Value Entry","43 Cost Amount (Actual)","41 Source Type",$C$5,"5 Source no.",$C2756,"4 Item Ledger Entry Type",$C$4,"2 Item No.","@@"&amp;$F2756,"3 Posting Date",J$9)</t>
  </si>
  <si>
    <t>=J2756-L2756</t>
  </si>
  <si>
    <t>=IF(J2756&lt;&gt;0,M2756/J2756,"")</t>
  </si>
  <si>
    <t>=NL("Sum","5802 Value Entry","150 Sales Amount (Expected)","41 Source Type",$C$5,"5 Source No.",$C2756,"4 Item Ledger Entry Type",$C$4,"2 Item No.","@@"&amp;$F2756,"3 Posting Date",O$9)+NL("Sum","5802 Value Entry","17 Sales Amount (Actual)","41 Source Type",$C$5,"5 Source no.",$C2756,"4 Item Ledger Entry Type",$C$4,"2 Item No.","@@"&amp;$F2756,"3 Posting Date",O$9)</t>
  </si>
  <si>
    <t>=-NL("Sum","5802 Value Entry","151 Cost Amount (Expected)","41 Source Type",$C$5,"5 Source No.",$C2756,"4 Item Ledger Entry Type",$C$4,"2 Item No.","@@"&amp;$F2756,"3 Posting Date",O$9)-NL("Sum","5802 Value Entry","43 Cost Amount (Actual)","41 Source Type",$C$5,"5 Source no.",$C2756,"4 Item Ledger Entry Type",$C$4,"2 Item No.","@@"&amp;$F2756,"3 Posting Date",O$9)</t>
  </si>
  <si>
    <t>=O2756-Q2756</t>
  </si>
  <si>
    <t>=IF(O2756&lt;&gt;0,R2756/O2756,"")</t>
  </si>
  <si>
    <t>=NL("Sum","5802 Value Entry","150 Sales Amount (Expected)","41 Source Type",$C$5,"5 Source No.",$C2756,"4 Item Ledger Entry Type",$C$4,"2 Item No.","@@"&amp;$F2756,"3 Posting Date",U$9)+NL("Sum","5802 Value Entry","17 Sales Amount (Actual)","41 Source Type",$C$5,"5 Source no.",$C2756,"4 Item Ledger Entry Type",$C$4,"2 Item No.","@@"&amp;$F2756,"3 Posting Date",U$9)</t>
  </si>
  <si>
    <t>=-NL("Sum","5802 Value Entry","151 Cost Amount (Expected)","41 Source Type",$C$5,"5 Source No.",$C2756,"4 Item Ledger Entry Type",$C$4,"2 Item No.","@@"&amp;$F2756,"3 Posting Date",U$9)-NL("Sum","5802 Value Entry","43 Cost Amount (Actual)","41 Source Type",$C$5,"5 Source no.",$C2756,"4 Item Ledger Entry Type",$C$4,"2 Item No.","@@"&amp;$F2756,"3 Posting Date",U$9)</t>
  </si>
  <si>
    <t>=U2756-W2756</t>
  </si>
  <si>
    <t>=IF(U2756&lt;&gt;0,X2756/U2756,"")</t>
  </si>
  <si>
    <t>=NL("Sum","5802 Value Entry","150 Sales Amount (Expected)","41 Source Type",$C$5,"5 Source No.",$C2756,"4 Item Ledger Entry Type",$C$4,"2 Item No.","@@"&amp;$F2756,"3 Posting Date",Z$9)+NL("Sum","5802 Value Entry","17 Sales Amount (Actual)","41 Source Type",$C$5,"5 Source no.",$C2756,"4 Item Ledger Entry Type",$C$4,"2 Item No.","@@"&amp;$F2756,"3 Posting Date",Z$9)</t>
  </si>
  <si>
    <t>=-NL("Sum","5802 Value Entry","151 Cost Amount (Expected)","41 Source Type",$C$5,"5 Source No.",$C2756,"4 Item Ledger Entry Type",$C$4,"2 Item No.","@@"&amp;$F2756,"3 Posting Date",Z$9)-NL("Sum","5802 Value Entry","43 Cost Amount (Actual)","41 Source Type",$C$5,"5 Source no.",$C2756,"4 Item Ledger Entry Type",$C$4,"2 Item No.","@@"&amp;$F2756,"3 Posting Date",Z$9)</t>
  </si>
  <si>
    <t>=Z2756-AB2756</t>
  </si>
  <si>
    <t>=IF(Z2756&lt;&gt;0,AC2756/Z2756,"")</t>
  </si>
  <si>
    <t>=C2756</t>
  </si>
  <si>
    <t>=NL("Sum","5802 Value Entry","150 Sales Amount (Expected)","41 Source Type",$C$5,"5 Source No.",$C2757,"4 Item Ledger Entry Type",$C$4,"2 Item No.","@@"&amp;$F2757,"3 Posting Date",J$9)+NL("Sum","5802 Value Entry","17 Sales Amount (Actual)","41 Source Type",$C$5,"5 Source no.",$C2757,"4 Item Ledger Entry Type",$C$4,"2 Item No.","@@"&amp;$F2757,"3 Posting Date",J$9)</t>
  </si>
  <si>
    <t>=-NL("Sum","5802 Value Entry","151 Cost Amount (Expected)","41 Source Type",$C$5,"5 Source No.",$C2757,"4 Item Ledger Entry Type",$C$4,"2 Item No.","@@"&amp;$F2757,"3 Posting Date",J$9)-NL("Sum","5802 Value Entry","43 Cost Amount (Actual)","41 Source Type",$C$5,"5 Source no.",$C2757,"4 Item Ledger Entry Type",$C$4,"2 Item No.","@@"&amp;$F2757,"3 Posting Date",J$9)</t>
  </si>
  <si>
    <t>=J2757-L2757</t>
  </si>
  <si>
    <t>=IF(J2757&lt;&gt;0,M2757/J2757,"")</t>
  </si>
  <si>
    <t>=NL("Sum","5802 Value Entry","150 Sales Amount (Expected)","41 Source Type",$C$5,"5 Source No.",$C2757,"4 Item Ledger Entry Type",$C$4,"2 Item No.","@@"&amp;$F2757,"3 Posting Date",O$9)+NL("Sum","5802 Value Entry","17 Sales Amount (Actual)","41 Source Type",$C$5,"5 Source no.",$C2757,"4 Item Ledger Entry Type",$C$4,"2 Item No.","@@"&amp;$F2757,"3 Posting Date",O$9)</t>
  </si>
  <si>
    <t>=-NL("Sum","5802 Value Entry","151 Cost Amount (Expected)","41 Source Type",$C$5,"5 Source No.",$C2757,"4 Item Ledger Entry Type",$C$4,"2 Item No.","@@"&amp;$F2757,"3 Posting Date",O$9)-NL("Sum","5802 Value Entry","43 Cost Amount (Actual)","41 Source Type",$C$5,"5 Source no.",$C2757,"4 Item Ledger Entry Type",$C$4,"2 Item No.","@@"&amp;$F2757,"3 Posting Date",O$9)</t>
  </si>
  <si>
    <t>=O2757-Q2757</t>
  </si>
  <si>
    <t>=IF(O2757&lt;&gt;0,R2757/O2757,"")</t>
  </si>
  <si>
    <t>=NL("Sum","5802 Value Entry","150 Sales Amount (Expected)","41 Source Type",$C$5,"5 Source No.",$C2757,"4 Item Ledger Entry Type",$C$4,"2 Item No.","@@"&amp;$F2757,"3 Posting Date",U$9)+NL("Sum","5802 Value Entry","17 Sales Amount (Actual)","41 Source Type",$C$5,"5 Source no.",$C2757,"4 Item Ledger Entry Type",$C$4,"2 Item No.","@@"&amp;$F2757,"3 Posting Date",U$9)</t>
  </si>
  <si>
    <t>=-NL("Sum","5802 Value Entry","151 Cost Amount (Expected)","41 Source Type",$C$5,"5 Source No.",$C2757,"4 Item Ledger Entry Type",$C$4,"2 Item No.","@@"&amp;$F2757,"3 Posting Date",U$9)-NL("Sum","5802 Value Entry","43 Cost Amount (Actual)","41 Source Type",$C$5,"5 Source no.",$C2757,"4 Item Ledger Entry Type",$C$4,"2 Item No.","@@"&amp;$F2757,"3 Posting Date",U$9)</t>
  </si>
  <si>
    <t>=U2757-W2757</t>
  </si>
  <si>
    <t>=IF(U2757&lt;&gt;0,X2757/U2757,"")</t>
  </si>
  <si>
    <t>=NL("Sum","5802 Value Entry","150 Sales Amount (Expected)","41 Source Type",$C$5,"5 Source No.",$C2757,"4 Item Ledger Entry Type",$C$4,"2 Item No.","@@"&amp;$F2757,"3 Posting Date",Z$9)+NL("Sum","5802 Value Entry","17 Sales Amount (Actual)","41 Source Type",$C$5,"5 Source no.",$C2757,"4 Item Ledger Entry Type",$C$4,"2 Item No.","@@"&amp;$F2757,"3 Posting Date",Z$9)</t>
  </si>
  <si>
    <t>=-NL("Sum","5802 Value Entry","151 Cost Amount (Expected)","41 Source Type",$C$5,"5 Source No.",$C2757,"4 Item Ledger Entry Type",$C$4,"2 Item No.","@@"&amp;$F2757,"3 Posting Date",Z$9)-NL("Sum","5802 Value Entry","43 Cost Amount (Actual)","41 Source Type",$C$5,"5 Source no.",$C2757,"4 Item Ledger Entry Type",$C$4,"2 Item No.","@@"&amp;$F2757,"3 Posting Date",Z$9)</t>
  </si>
  <si>
    <t>=Z2757-AB2757</t>
  </si>
  <si>
    <t>=IF(Z2757&lt;&gt;0,AC2757/Z2757,"")</t>
  </si>
  <si>
    <t>=C2757</t>
  </si>
  <si>
    <t>=NL("Sum","5802 Value Entry","150 Sales Amount (Expected)","41 Source Type",$C$5,"5 Source No.",$C2758,"4 Item Ledger Entry Type",$C$4,"2 Item No.","@@"&amp;$F2758,"3 Posting Date",J$9)+NL("Sum","5802 Value Entry","17 Sales Amount (Actual)","41 Source Type",$C$5,"5 Source no.",$C2758,"4 Item Ledger Entry Type",$C$4,"2 Item No.","@@"&amp;$F2758,"3 Posting Date",J$9)</t>
  </si>
  <si>
    <t>=-NL("Sum","5802 Value Entry","151 Cost Amount (Expected)","41 Source Type",$C$5,"5 Source No.",$C2758,"4 Item Ledger Entry Type",$C$4,"2 Item No.","@@"&amp;$F2758,"3 Posting Date",J$9)-NL("Sum","5802 Value Entry","43 Cost Amount (Actual)","41 Source Type",$C$5,"5 Source no.",$C2758,"4 Item Ledger Entry Type",$C$4,"2 Item No.","@@"&amp;$F2758,"3 Posting Date",J$9)</t>
  </si>
  <si>
    <t>=J2758-L2758</t>
  </si>
  <si>
    <t>=IF(J2758&lt;&gt;0,M2758/J2758,"")</t>
  </si>
  <si>
    <t>=NL("Sum","5802 Value Entry","150 Sales Amount (Expected)","41 Source Type",$C$5,"5 Source No.",$C2758,"4 Item Ledger Entry Type",$C$4,"2 Item No.","@@"&amp;$F2758,"3 Posting Date",O$9)+NL("Sum","5802 Value Entry","17 Sales Amount (Actual)","41 Source Type",$C$5,"5 Source no.",$C2758,"4 Item Ledger Entry Type",$C$4,"2 Item No.","@@"&amp;$F2758,"3 Posting Date",O$9)</t>
  </si>
  <si>
    <t>=-NL("Sum","5802 Value Entry","151 Cost Amount (Expected)","41 Source Type",$C$5,"5 Source No.",$C2758,"4 Item Ledger Entry Type",$C$4,"2 Item No.","@@"&amp;$F2758,"3 Posting Date",O$9)-NL("Sum","5802 Value Entry","43 Cost Amount (Actual)","41 Source Type",$C$5,"5 Source no.",$C2758,"4 Item Ledger Entry Type",$C$4,"2 Item No.","@@"&amp;$F2758,"3 Posting Date",O$9)</t>
  </si>
  <si>
    <t>=O2758-Q2758</t>
  </si>
  <si>
    <t>=IF(O2758&lt;&gt;0,R2758/O2758,"")</t>
  </si>
  <si>
    <t>=NL("Sum","5802 Value Entry","150 Sales Amount (Expected)","41 Source Type",$C$5,"5 Source No.",$C2758,"4 Item Ledger Entry Type",$C$4,"2 Item No.","@@"&amp;$F2758,"3 Posting Date",U$9)+NL("Sum","5802 Value Entry","17 Sales Amount (Actual)","41 Source Type",$C$5,"5 Source no.",$C2758,"4 Item Ledger Entry Type",$C$4,"2 Item No.","@@"&amp;$F2758,"3 Posting Date",U$9)</t>
  </si>
  <si>
    <t>=-NL("Sum","5802 Value Entry","151 Cost Amount (Expected)","41 Source Type",$C$5,"5 Source No.",$C2758,"4 Item Ledger Entry Type",$C$4,"2 Item No.","@@"&amp;$F2758,"3 Posting Date",U$9)-NL("Sum","5802 Value Entry","43 Cost Amount (Actual)","41 Source Type",$C$5,"5 Source no.",$C2758,"4 Item Ledger Entry Type",$C$4,"2 Item No.","@@"&amp;$F2758,"3 Posting Date",U$9)</t>
  </si>
  <si>
    <t>=U2758-W2758</t>
  </si>
  <si>
    <t>=IF(U2758&lt;&gt;0,X2758/U2758,"")</t>
  </si>
  <si>
    <t>=NL("Sum","5802 Value Entry","150 Sales Amount (Expected)","41 Source Type",$C$5,"5 Source No.",$C2758,"4 Item Ledger Entry Type",$C$4,"2 Item No.","@@"&amp;$F2758,"3 Posting Date",Z$9)+NL("Sum","5802 Value Entry","17 Sales Amount (Actual)","41 Source Type",$C$5,"5 Source no.",$C2758,"4 Item Ledger Entry Type",$C$4,"2 Item No.","@@"&amp;$F2758,"3 Posting Date",Z$9)</t>
  </si>
  <si>
    <t>=-NL("Sum","5802 Value Entry","151 Cost Amount (Expected)","41 Source Type",$C$5,"5 Source No.",$C2758,"4 Item Ledger Entry Type",$C$4,"2 Item No.","@@"&amp;$F2758,"3 Posting Date",Z$9)-NL("Sum","5802 Value Entry","43 Cost Amount (Actual)","41 Source Type",$C$5,"5 Source no.",$C2758,"4 Item Ledger Entry Type",$C$4,"2 Item No.","@@"&amp;$F2758,"3 Posting Date",Z$9)</t>
  </si>
  <si>
    <t>=Z2758-AB2758</t>
  </si>
  <si>
    <t>=IF(Z2758&lt;&gt;0,AC2758/Z2758,"")</t>
  </si>
  <si>
    <t>=C2758</t>
  </si>
  <si>
    <t>=NL("Sum","5802 Value Entry","150 Sales Amount (Expected)","41 Source Type",$C$5,"5 Source No.",$C2759,"4 Item Ledger Entry Type",$C$4,"2 Item No.","@@"&amp;$F2759,"3 Posting Date",J$9)+NL("Sum","5802 Value Entry","17 Sales Amount (Actual)","41 Source Type",$C$5,"5 Source no.",$C2759,"4 Item Ledger Entry Type",$C$4,"2 Item No.","@@"&amp;$F2759,"3 Posting Date",J$9)</t>
  </si>
  <si>
    <t>=-NL("Sum","5802 Value Entry","151 Cost Amount (Expected)","41 Source Type",$C$5,"5 Source No.",$C2759,"4 Item Ledger Entry Type",$C$4,"2 Item No.","@@"&amp;$F2759,"3 Posting Date",J$9)-NL("Sum","5802 Value Entry","43 Cost Amount (Actual)","41 Source Type",$C$5,"5 Source no.",$C2759,"4 Item Ledger Entry Type",$C$4,"2 Item No.","@@"&amp;$F2759,"3 Posting Date",J$9)</t>
  </si>
  <si>
    <t>=J2759-L2759</t>
  </si>
  <si>
    <t>=IF(J2759&lt;&gt;0,M2759/J2759,"")</t>
  </si>
  <si>
    <t>=NL("Sum","5802 Value Entry","150 Sales Amount (Expected)","41 Source Type",$C$5,"5 Source No.",$C2759,"4 Item Ledger Entry Type",$C$4,"2 Item No.","@@"&amp;$F2759,"3 Posting Date",O$9)+NL("Sum","5802 Value Entry","17 Sales Amount (Actual)","41 Source Type",$C$5,"5 Source no.",$C2759,"4 Item Ledger Entry Type",$C$4,"2 Item No.","@@"&amp;$F2759,"3 Posting Date",O$9)</t>
  </si>
  <si>
    <t>=-NL("Sum","5802 Value Entry","151 Cost Amount (Expected)","41 Source Type",$C$5,"5 Source No.",$C2759,"4 Item Ledger Entry Type",$C$4,"2 Item No.","@@"&amp;$F2759,"3 Posting Date",O$9)-NL("Sum","5802 Value Entry","43 Cost Amount (Actual)","41 Source Type",$C$5,"5 Source no.",$C2759,"4 Item Ledger Entry Type",$C$4,"2 Item No.","@@"&amp;$F2759,"3 Posting Date",O$9)</t>
  </si>
  <si>
    <t>=O2759-Q2759</t>
  </si>
  <si>
    <t>=IF(O2759&lt;&gt;0,R2759/O2759,"")</t>
  </si>
  <si>
    <t>=NL("Sum","5802 Value Entry","150 Sales Amount (Expected)","41 Source Type",$C$5,"5 Source No.",$C2759,"4 Item Ledger Entry Type",$C$4,"2 Item No.","@@"&amp;$F2759,"3 Posting Date",U$9)+NL("Sum","5802 Value Entry","17 Sales Amount (Actual)","41 Source Type",$C$5,"5 Source no.",$C2759,"4 Item Ledger Entry Type",$C$4,"2 Item No.","@@"&amp;$F2759,"3 Posting Date",U$9)</t>
  </si>
  <si>
    <t>=-NL("Sum","5802 Value Entry","151 Cost Amount (Expected)","41 Source Type",$C$5,"5 Source No.",$C2759,"4 Item Ledger Entry Type",$C$4,"2 Item No.","@@"&amp;$F2759,"3 Posting Date",U$9)-NL("Sum","5802 Value Entry","43 Cost Amount (Actual)","41 Source Type",$C$5,"5 Source no.",$C2759,"4 Item Ledger Entry Type",$C$4,"2 Item No.","@@"&amp;$F2759,"3 Posting Date",U$9)</t>
  </si>
  <si>
    <t>=U2759-W2759</t>
  </si>
  <si>
    <t>=IF(U2759&lt;&gt;0,X2759/U2759,"")</t>
  </si>
  <si>
    <t>=NL("Sum","5802 Value Entry","150 Sales Amount (Expected)","41 Source Type",$C$5,"5 Source No.",$C2759,"4 Item Ledger Entry Type",$C$4,"2 Item No.","@@"&amp;$F2759,"3 Posting Date",Z$9)+NL("Sum","5802 Value Entry","17 Sales Amount (Actual)","41 Source Type",$C$5,"5 Source no.",$C2759,"4 Item Ledger Entry Type",$C$4,"2 Item No.","@@"&amp;$F2759,"3 Posting Date",Z$9)</t>
  </si>
  <si>
    <t>=-NL("Sum","5802 Value Entry","151 Cost Amount (Expected)","41 Source Type",$C$5,"5 Source No.",$C2759,"4 Item Ledger Entry Type",$C$4,"2 Item No.","@@"&amp;$F2759,"3 Posting Date",Z$9)-NL("Sum","5802 Value Entry","43 Cost Amount (Actual)","41 Source Type",$C$5,"5 Source no.",$C2759,"4 Item Ledger Entry Type",$C$4,"2 Item No.","@@"&amp;$F2759,"3 Posting Date",Z$9)</t>
  </si>
  <si>
    <t>=Z2759-AB2759</t>
  </si>
  <si>
    <t>=IF(Z2759&lt;&gt;0,AC2759/Z2759,"")</t>
  </si>
  <si>
    <t>=C2759</t>
  </si>
  <si>
    <t>=NL("Sum","5802 Value Entry","150 Sales Amount (Expected)","41 Source Type",$C$5,"5 Source No.",$C2760,"4 Item Ledger Entry Type",$C$4,"2 Item No.","@@"&amp;$F2760,"3 Posting Date",J$9)+NL("Sum","5802 Value Entry","17 Sales Amount (Actual)","41 Source Type",$C$5,"5 Source no.",$C2760,"4 Item Ledger Entry Type",$C$4,"2 Item No.","@@"&amp;$F2760,"3 Posting Date",J$9)</t>
  </si>
  <si>
    <t>=-NL("Sum","5802 Value Entry","151 Cost Amount (Expected)","41 Source Type",$C$5,"5 Source No.",$C2760,"4 Item Ledger Entry Type",$C$4,"2 Item No.","@@"&amp;$F2760,"3 Posting Date",J$9)-NL("Sum","5802 Value Entry","43 Cost Amount (Actual)","41 Source Type",$C$5,"5 Source no.",$C2760,"4 Item Ledger Entry Type",$C$4,"2 Item No.","@@"&amp;$F2760,"3 Posting Date",J$9)</t>
  </si>
  <si>
    <t>=J2760-L2760</t>
  </si>
  <si>
    <t>=IF(J2760&lt;&gt;0,M2760/J2760,"")</t>
  </si>
  <si>
    <t>=NL("Sum","5802 Value Entry","150 Sales Amount (Expected)","41 Source Type",$C$5,"5 Source No.",$C2760,"4 Item Ledger Entry Type",$C$4,"2 Item No.","@@"&amp;$F2760,"3 Posting Date",O$9)+NL("Sum","5802 Value Entry","17 Sales Amount (Actual)","41 Source Type",$C$5,"5 Source no.",$C2760,"4 Item Ledger Entry Type",$C$4,"2 Item No.","@@"&amp;$F2760,"3 Posting Date",O$9)</t>
  </si>
  <si>
    <t>=-NL("Sum","5802 Value Entry","151 Cost Amount (Expected)","41 Source Type",$C$5,"5 Source No.",$C2760,"4 Item Ledger Entry Type",$C$4,"2 Item No.","@@"&amp;$F2760,"3 Posting Date",O$9)-NL("Sum","5802 Value Entry","43 Cost Amount (Actual)","41 Source Type",$C$5,"5 Source no.",$C2760,"4 Item Ledger Entry Type",$C$4,"2 Item No.","@@"&amp;$F2760,"3 Posting Date",O$9)</t>
  </si>
  <si>
    <t>=O2760-Q2760</t>
  </si>
  <si>
    <t>=IF(O2760&lt;&gt;0,R2760/O2760,"")</t>
  </si>
  <si>
    <t>=NL("Sum","5802 Value Entry","150 Sales Amount (Expected)","41 Source Type",$C$5,"5 Source No.",$C2760,"4 Item Ledger Entry Type",$C$4,"2 Item No.","@@"&amp;$F2760,"3 Posting Date",U$9)+NL("Sum","5802 Value Entry","17 Sales Amount (Actual)","41 Source Type",$C$5,"5 Source no.",$C2760,"4 Item Ledger Entry Type",$C$4,"2 Item No.","@@"&amp;$F2760,"3 Posting Date",U$9)</t>
  </si>
  <si>
    <t>=-NL("Sum","5802 Value Entry","151 Cost Amount (Expected)","41 Source Type",$C$5,"5 Source No.",$C2760,"4 Item Ledger Entry Type",$C$4,"2 Item No.","@@"&amp;$F2760,"3 Posting Date",U$9)-NL("Sum","5802 Value Entry","43 Cost Amount (Actual)","41 Source Type",$C$5,"5 Source no.",$C2760,"4 Item Ledger Entry Type",$C$4,"2 Item No.","@@"&amp;$F2760,"3 Posting Date",U$9)</t>
  </si>
  <si>
    <t>=U2760-W2760</t>
  </si>
  <si>
    <t>=IF(U2760&lt;&gt;0,X2760/U2760,"")</t>
  </si>
  <si>
    <t>=NL("Sum","5802 Value Entry","150 Sales Amount (Expected)","41 Source Type",$C$5,"5 Source No.",$C2760,"4 Item Ledger Entry Type",$C$4,"2 Item No.","@@"&amp;$F2760,"3 Posting Date",Z$9)+NL("Sum","5802 Value Entry","17 Sales Amount (Actual)","41 Source Type",$C$5,"5 Source no.",$C2760,"4 Item Ledger Entry Type",$C$4,"2 Item No.","@@"&amp;$F2760,"3 Posting Date",Z$9)</t>
  </si>
  <si>
    <t>=-NL("Sum","5802 Value Entry","151 Cost Amount (Expected)","41 Source Type",$C$5,"5 Source No.",$C2760,"4 Item Ledger Entry Type",$C$4,"2 Item No.","@@"&amp;$F2760,"3 Posting Date",Z$9)-NL("Sum","5802 Value Entry","43 Cost Amount (Actual)","41 Source Type",$C$5,"5 Source no.",$C2760,"4 Item Ledger Entry Type",$C$4,"2 Item No.","@@"&amp;$F2760,"3 Posting Date",Z$9)</t>
  </si>
  <si>
    <t>=Z2760-AB2760</t>
  </si>
  <si>
    <t>=IF(Z2760&lt;&gt;0,AC2760/Z2760,"")</t>
  </si>
  <si>
    <t>=C2760</t>
  </si>
  <si>
    <t>=NL("Sum","5802 Value Entry","150 Sales Amount (Expected)","41 Source Type",$C$5,"5 Source No.",$C2761,"4 Item Ledger Entry Type",$C$4,"2 Item No.","@@"&amp;$F2761,"3 Posting Date",J$9)+NL("Sum","5802 Value Entry","17 Sales Amount (Actual)","41 Source Type",$C$5,"5 Source no.",$C2761,"4 Item Ledger Entry Type",$C$4,"2 Item No.","@@"&amp;$F2761,"3 Posting Date",J$9)</t>
  </si>
  <si>
    <t>=-NL("Sum","5802 Value Entry","151 Cost Amount (Expected)","41 Source Type",$C$5,"5 Source No.",$C2761,"4 Item Ledger Entry Type",$C$4,"2 Item No.","@@"&amp;$F2761,"3 Posting Date",J$9)-NL("Sum","5802 Value Entry","43 Cost Amount (Actual)","41 Source Type",$C$5,"5 Source no.",$C2761,"4 Item Ledger Entry Type",$C$4,"2 Item No.","@@"&amp;$F2761,"3 Posting Date",J$9)</t>
  </si>
  <si>
    <t>=J2761-L2761</t>
  </si>
  <si>
    <t>=IF(J2761&lt;&gt;0,M2761/J2761,"")</t>
  </si>
  <si>
    <t>=NL("Sum","5802 Value Entry","150 Sales Amount (Expected)","41 Source Type",$C$5,"5 Source No.",$C2761,"4 Item Ledger Entry Type",$C$4,"2 Item No.","@@"&amp;$F2761,"3 Posting Date",O$9)+NL("Sum","5802 Value Entry","17 Sales Amount (Actual)","41 Source Type",$C$5,"5 Source no.",$C2761,"4 Item Ledger Entry Type",$C$4,"2 Item No.","@@"&amp;$F2761,"3 Posting Date",O$9)</t>
  </si>
  <si>
    <t>=-NL("Sum","5802 Value Entry","151 Cost Amount (Expected)","41 Source Type",$C$5,"5 Source No.",$C2761,"4 Item Ledger Entry Type",$C$4,"2 Item No.","@@"&amp;$F2761,"3 Posting Date",O$9)-NL("Sum","5802 Value Entry","43 Cost Amount (Actual)","41 Source Type",$C$5,"5 Source no.",$C2761,"4 Item Ledger Entry Type",$C$4,"2 Item No.","@@"&amp;$F2761,"3 Posting Date",O$9)</t>
  </si>
  <si>
    <t>=O2761-Q2761</t>
  </si>
  <si>
    <t>=IF(O2761&lt;&gt;0,R2761/O2761,"")</t>
  </si>
  <si>
    <t>=NL("Sum","5802 Value Entry","150 Sales Amount (Expected)","41 Source Type",$C$5,"5 Source No.",$C2761,"4 Item Ledger Entry Type",$C$4,"2 Item No.","@@"&amp;$F2761,"3 Posting Date",U$9)+NL("Sum","5802 Value Entry","17 Sales Amount (Actual)","41 Source Type",$C$5,"5 Source no.",$C2761,"4 Item Ledger Entry Type",$C$4,"2 Item No.","@@"&amp;$F2761,"3 Posting Date",U$9)</t>
  </si>
  <si>
    <t>=-NL("Sum","5802 Value Entry","151 Cost Amount (Expected)","41 Source Type",$C$5,"5 Source No.",$C2761,"4 Item Ledger Entry Type",$C$4,"2 Item No.","@@"&amp;$F2761,"3 Posting Date",U$9)-NL("Sum","5802 Value Entry","43 Cost Amount (Actual)","41 Source Type",$C$5,"5 Source no.",$C2761,"4 Item Ledger Entry Type",$C$4,"2 Item No.","@@"&amp;$F2761,"3 Posting Date",U$9)</t>
  </si>
  <si>
    <t>=U2761-W2761</t>
  </si>
  <si>
    <t>=IF(U2761&lt;&gt;0,X2761/U2761,"")</t>
  </si>
  <si>
    <t>=NL("Sum","5802 Value Entry","150 Sales Amount (Expected)","41 Source Type",$C$5,"5 Source No.",$C2761,"4 Item Ledger Entry Type",$C$4,"2 Item No.","@@"&amp;$F2761,"3 Posting Date",Z$9)+NL("Sum","5802 Value Entry","17 Sales Amount (Actual)","41 Source Type",$C$5,"5 Source no.",$C2761,"4 Item Ledger Entry Type",$C$4,"2 Item No.","@@"&amp;$F2761,"3 Posting Date",Z$9)</t>
  </si>
  <si>
    <t>=-NL("Sum","5802 Value Entry","151 Cost Amount (Expected)","41 Source Type",$C$5,"5 Source No.",$C2761,"4 Item Ledger Entry Type",$C$4,"2 Item No.","@@"&amp;$F2761,"3 Posting Date",Z$9)-NL("Sum","5802 Value Entry","43 Cost Amount (Actual)","41 Source Type",$C$5,"5 Source no.",$C2761,"4 Item Ledger Entry Type",$C$4,"2 Item No.","@@"&amp;$F2761,"3 Posting Date",Z$9)</t>
  </si>
  <si>
    <t>=Z2761-AB2761</t>
  </si>
  <si>
    <t>=IF(Z2761&lt;&gt;0,AC2761/Z2761,"")</t>
  </si>
  <si>
    <t>=C2761</t>
  </si>
  <si>
    <t>=NL("Sum","5802 Value Entry","150 Sales Amount (Expected)","41 Source Type",$C$5,"5 Source No.",$C2762,"4 Item Ledger Entry Type",$C$4,"2 Item No.","@@"&amp;$F2762,"3 Posting Date",J$9)+NL("Sum","5802 Value Entry","17 Sales Amount (Actual)","41 Source Type",$C$5,"5 Source no.",$C2762,"4 Item Ledger Entry Type",$C$4,"2 Item No.","@@"&amp;$F2762,"3 Posting Date",J$9)</t>
  </si>
  <si>
    <t>=-NL("Sum","5802 Value Entry","151 Cost Amount (Expected)","41 Source Type",$C$5,"5 Source No.",$C2762,"4 Item Ledger Entry Type",$C$4,"2 Item No.","@@"&amp;$F2762,"3 Posting Date",J$9)-NL("Sum","5802 Value Entry","43 Cost Amount (Actual)","41 Source Type",$C$5,"5 Source no.",$C2762,"4 Item Ledger Entry Type",$C$4,"2 Item No.","@@"&amp;$F2762,"3 Posting Date",J$9)</t>
  </si>
  <si>
    <t>=J2762-L2762</t>
  </si>
  <si>
    <t>=IF(J2762&lt;&gt;0,M2762/J2762,"")</t>
  </si>
  <si>
    <t>=NL("Sum","5802 Value Entry","150 Sales Amount (Expected)","41 Source Type",$C$5,"5 Source No.",$C2762,"4 Item Ledger Entry Type",$C$4,"2 Item No.","@@"&amp;$F2762,"3 Posting Date",O$9)+NL("Sum","5802 Value Entry","17 Sales Amount (Actual)","41 Source Type",$C$5,"5 Source no.",$C2762,"4 Item Ledger Entry Type",$C$4,"2 Item No.","@@"&amp;$F2762,"3 Posting Date",O$9)</t>
  </si>
  <si>
    <t>=-NL("Sum","5802 Value Entry","151 Cost Amount (Expected)","41 Source Type",$C$5,"5 Source No.",$C2762,"4 Item Ledger Entry Type",$C$4,"2 Item No.","@@"&amp;$F2762,"3 Posting Date",O$9)-NL("Sum","5802 Value Entry","43 Cost Amount (Actual)","41 Source Type",$C$5,"5 Source no.",$C2762,"4 Item Ledger Entry Type",$C$4,"2 Item No.","@@"&amp;$F2762,"3 Posting Date",O$9)</t>
  </si>
  <si>
    <t>=O2762-Q2762</t>
  </si>
  <si>
    <t>=IF(O2762&lt;&gt;0,R2762/O2762,"")</t>
  </si>
  <si>
    <t>=NL("Sum","5802 Value Entry","150 Sales Amount (Expected)","41 Source Type",$C$5,"5 Source No.",$C2762,"4 Item Ledger Entry Type",$C$4,"2 Item No.","@@"&amp;$F2762,"3 Posting Date",U$9)+NL("Sum","5802 Value Entry","17 Sales Amount (Actual)","41 Source Type",$C$5,"5 Source no.",$C2762,"4 Item Ledger Entry Type",$C$4,"2 Item No.","@@"&amp;$F2762,"3 Posting Date",U$9)</t>
  </si>
  <si>
    <t>=-NL("Sum","5802 Value Entry","151 Cost Amount (Expected)","41 Source Type",$C$5,"5 Source No.",$C2762,"4 Item Ledger Entry Type",$C$4,"2 Item No.","@@"&amp;$F2762,"3 Posting Date",U$9)-NL("Sum","5802 Value Entry","43 Cost Amount (Actual)","41 Source Type",$C$5,"5 Source no.",$C2762,"4 Item Ledger Entry Type",$C$4,"2 Item No.","@@"&amp;$F2762,"3 Posting Date",U$9)</t>
  </si>
  <si>
    <t>=U2762-W2762</t>
  </si>
  <si>
    <t>=IF(U2762&lt;&gt;0,X2762/U2762,"")</t>
  </si>
  <si>
    <t>=NL("Sum","5802 Value Entry","150 Sales Amount (Expected)","41 Source Type",$C$5,"5 Source No.",$C2762,"4 Item Ledger Entry Type",$C$4,"2 Item No.","@@"&amp;$F2762,"3 Posting Date",Z$9)+NL("Sum","5802 Value Entry","17 Sales Amount (Actual)","41 Source Type",$C$5,"5 Source no.",$C2762,"4 Item Ledger Entry Type",$C$4,"2 Item No.","@@"&amp;$F2762,"3 Posting Date",Z$9)</t>
  </si>
  <si>
    <t>=-NL("Sum","5802 Value Entry","151 Cost Amount (Expected)","41 Source Type",$C$5,"5 Source No.",$C2762,"4 Item Ledger Entry Type",$C$4,"2 Item No.","@@"&amp;$F2762,"3 Posting Date",Z$9)-NL("Sum","5802 Value Entry","43 Cost Amount (Actual)","41 Source Type",$C$5,"5 Source no.",$C2762,"4 Item Ledger Entry Type",$C$4,"2 Item No.","@@"&amp;$F2762,"3 Posting Date",Z$9)</t>
  </si>
  <si>
    <t>=Z2762-AB2762</t>
  </si>
  <si>
    <t>=IF(Z2762&lt;&gt;0,AC2762/Z2762,"")</t>
  </si>
  <si>
    <t>=C2762</t>
  </si>
  <si>
    <t>=NL("Sum","5802 Value Entry","150 Sales Amount (Expected)","41 Source Type",$C$5,"5 Source No.",$C2763,"4 Item Ledger Entry Type",$C$4,"2 Item No.","@@"&amp;$F2763,"3 Posting Date",J$9)+NL("Sum","5802 Value Entry","17 Sales Amount (Actual)","41 Source Type",$C$5,"5 Source no.",$C2763,"4 Item Ledger Entry Type",$C$4,"2 Item No.","@@"&amp;$F2763,"3 Posting Date",J$9)</t>
  </si>
  <si>
    <t>=-NL("Sum","5802 Value Entry","151 Cost Amount (Expected)","41 Source Type",$C$5,"5 Source No.",$C2763,"4 Item Ledger Entry Type",$C$4,"2 Item No.","@@"&amp;$F2763,"3 Posting Date",J$9)-NL("Sum","5802 Value Entry","43 Cost Amount (Actual)","41 Source Type",$C$5,"5 Source no.",$C2763,"4 Item Ledger Entry Type",$C$4,"2 Item No.","@@"&amp;$F2763,"3 Posting Date",J$9)</t>
  </si>
  <si>
    <t>=J2763-L2763</t>
  </si>
  <si>
    <t>=IF(J2763&lt;&gt;0,M2763/J2763,"")</t>
  </si>
  <si>
    <t>=NL("Sum","5802 Value Entry","150 Sales Amount (Expected)","41 Source Type",$C$5,"5 Source No.",$C2763,"4 Item Ledger Entry Type",$C$4,"2 Item No.","@@"&amp;$F2763,"3 Posting Date",O$9)+NL("Sum","5802 Value Entry","17 Sales Amount (Actual)","41 Source Type",$C$5,"5 Source no.",$C2763,"4 Item Ledger Entry Type",$C$4,"2 Item No.","@@"&amp;$F2763,"3 Posting Date",O$9)</t>
  </si>
  <si>
    <t>=-NL("Sum","5802 Value Entry","151 Cost Amount (Expected)","41 Source Type",$C$5,"5 Source No.",$C2763,"4 Item Ledger Entry Type",$C$4,"2 Item No.","@@"&amp;$F2763,"3 Posting Date",O$9)-NL("Sum","5802 Value Entry","43 Cost Amount (Actual)","41 Source Type",$C$5,"5 Source no.",$C2763,"4 Item Ledger Entry Type",$C$4,"2 Item No.","@@"&amp;$F2763,"3 Posting Date",O$9)</t>
  </si>
  <si>
    <t>=O2763-Q2763</t>
  </si>
  <si>
    <t>=IF(O2763&lt;&gt;0,R2763/O2763,"")</t>
  </si>
  <si>
    <t>=NL("Sum","5802 Value Entry","150 Sales Amount (Expected)","41 Source Type",$C$5,"5 Source No.",$C2763,"4 Item Ledger Entry Type",$C$4,"2 Item No.","@@"&amp;$F2763,"3 Posting Date",U$9)+NL("Sum","5802 Value Entry","17 Sales Amount (Actual)","41 Source Type",$C$5,"5 Source no.",$C2763,"4 Item Ledger Entry Type",$C$4,"2 Item No.","@@"&amp;$F2763,"3 Posting Date",U$9)</t>
  </si>
  <si>
    <t>=-NL("Sum","5802 Value Entry","151 Cost Amount (Expected)","41 Source Type",$C$5,"5 Source No.",$C2763,"4 Item Ledger Entry Type",$C$4,"2 Item No.","@@"&amp;$F2763,"3 Posting Date",U$9)-NL("Sum","5802 Value Entry","43 Cost Amount (Actual)","41 Source Type",$C$5,"5 Source no.",$C2763,"4 Item Ledger Entry Type",$C$4,"2 Item No.","@@"&amp;$F2763,"3 Posting Date",U$9)</t>
  </si>
  <si>
    <t>=U2763-W2763</t>
  </si>
  <si>
    <t>=IF(U2763&lt;&gt;0,X2763/U2763,"")</t>
  </si>
  <si>
    <t>=NL("Sum","5802 Value Entry","150 Sales Amount (Expected)","41 Source Type",$C$5,"5 Source No.",$C2763,"4 Item Ledger Entry Type",$C$4,"2 Item No.","@@"&amp;$F2763,"3 Posting Date",Z$9)+NL("Sum","5802 Value Entry","17 Sales Amount (Actual)","41 Source Type",$C$5,"5 Source no.",$C2763,"4 Item Ledger Entry Type",$C$4,"2 Item No.","@@"&amp;$F2763,"3 Posting Date",Z$9)</t>
  </si>
  <si>
    <t>=-NL("Sum","5802 Value Entry","151 Cost Amount (Expected)","41 Source Type",$C$5,"5 Source No.",$C2763,"4 Item Ledger Entry Type",$C$4,"2 Item No.","@@"&amp;$F2763,"3 Posting Date",Z$9)-NL("Sum","5802 Value Entry","43 Cost Amount (Actual)","41 Source Type",$C$5,"5 Source no.",$C2763,"4 Item Ledger Entry Type",$C$4,"2 Item No.","@@"&amp;$F2763,"3 Posting Date",Z$9)</t>
  </si>
  <si>
    <t>=Z2763-AB2763</t>
  </si>
  <si>
    <t>=IF(Z2763&lt;&gt;0,AC2763/Z2763,"")</t>
  </si>
  <si>
    <t>=C2763</t>
  </si>
  <si>
    <t>=NL("Sum","5802 Value Entry","150 Sales Amount (Expected)","41 Source Type",$C$5,"5 Source No.",$C2764,"4 Item Ledger Entry Type",$C$4,"2 Item No.","@@"&amp;$F2764,"3 Posting Date",J$9)+NL("Sum","5802 Value Entry","17 Sales Amount (Actual)","41 Source Type",$C$5,"5 Source no.",$C2764,"4 Item Ledger Entry Type",$C$4,"2 Item No.","@@"&amp;$F2764,"3 Posting Date",J$9)</t>
  </si>
  <si>
    <t>=-NL("Sum","5802 Value Entry","151 Cost Amount (Expected)","41 Source Type",$C$5,"5 Source No.",$C2764,"4 Item Ledger Entry Type",$C$4,"2 Item No.","@@"&amp;$F2764,"3 Posting Date",J$9)-NL("Sum","5802 Value Entry","43 Cost Amount (Actual)","41 Source Type",$C$5,"5 Source no.",$C2764,"4 Item Ledger Entry Type",$C$4,"2 Item No.","@@"&amp;$F2764,"3 Posting Date",J$9)</t>
  </si>
  <si>
    <t>=J2764-L2764</t>
  </si>
  <si>
    <t>=IF(J2764&lt;&gt;0,M2764/J2764,"")</t>
  </si>
  <si>
    <t>=NL("Sum","5802 Value Entry","150 Sales Amount (Expected)","41 Source Type",$C$5,"5 Source No.",$C2764,"4 Item Ledger Entry Type",$C$4,"2 Item No.","@@"&amp;$F2764,"3 Posting Date",O$9)+NL("Sum","5802 Value Entry","17 Sales Amount (Actual)","41 Source Type",$C$5,"5 Source no.",$C2764,"4 Item Ledger Entry Type",$C$4,"2 Item No.","@@"&amp;$F2764,"3 Posting Date",O$9)</t>
  </si>
  <si>
    <t>=-NL("Sum","5802 Value Entry","151 Cost Amount (Expected)","41 Source Type",$C$5,"5 Source No.",$C2764,"4 Item Ledger Entry Type",$C$4,"2 Item No.","@@"&amp;$F2764,"3 Posting Date",O$9)-NL("Sum","5802 Value Entry","43 Cost Amount (Actual)","41 Source Type",$C$5,"5 Source no.",$C2764,"4 Item Ledger Entry Type",$C$4,"2 Item No.","@@"&amp;$F2764,"3 Posting Date",O$9)</t>
  </si>
  <si>
    <t>=O2764-Q2764</t>
  </si>
  <si>
    <t>=IF(O2764&lt;&gt;0,R2764/O2764,"")</t>
  </si>
  <si>
    <t>=NL("Sum","5802 Value Entry","150 Sales Amount (Expected)","41 Source Type",$C$5,"5 Source No.",$C2764,"4 Item Ledger Entry Type",$C$4,"2 Item No.","@@"&amp;$F2764,"3 Posting Date",U$9)+NL("Sum","5802 Value Entry","17 Sales Amount (Actual)","41 Source Type",$C$5,"5 Source no.",$C2764,"4 Item Ledger Entry Type",$C$4,"2 Item No.","@@"&amp;$F2764,"3 Posting Date",U$9)</t>
  </si>
  <si>
    <t>=-NL("Sum","5802 Value Entry","151 Cost Amount (Expected)","41 Source Type",$C$5,"5 Source No.",$C2764,"4 Item Ledger Entry Type",$C$4,"2 Item No.","@@"&amp;$F2764,"3 Posting Date",U$9)-NL("Sum","5802 Value Entry","43 Cost Amount (Actual)","41 Source Type",$C$5,"5 Source no.",$C2764,"4 Item Ledger Entry Type",$C$4,"2 Item No.","@@"&amp;$F2764,"3 Posting Date",U$9)</t>
  </si>
  <si>
    <t>=U2764-W2764</t>
  </si>
  <si>
    <t>=IF(U2764&lt;&gt;0,X2764/U2764,"")</t>
  </si>
  <si>
    <t>=NL("Sum","5802 Value Entry","150 Sales Amount (Expected)","41 Source Type",$C$5,"5 Source No.",$C2764,"4 Item Ledger Entry Type",$C$4,"2 Item No.","@@"&amp;$F2764,"3 Posting Date",Z$9)+NL("Sum","5802 Value Entry","17 Sales Amount (Actual)","41 Source Type",$C$5,"5 Source no.",$C2764,"4 Item Ledger Entry Type",$C$4,"2 Item No.","@@"&amp;$F2764,"3 Posting Date",Z$9)</t>
  </si>
  <si>
    <t>=-NL("Sum","5802 Value Entry","151 Cost Amount (Expected)","41 Source Type",$C$5,"5 Source No.",$C2764,"4 Item Ledger Entry Type",$C$4,"2 Item No.","@@"&amp;$F2764,"3 Posting Date",Z$9)-NL("Sum","5802 Value Entry","43 Cost Amount (Actual)","41 Source Type",$C$5,"5 Source no.",$C2764,"4 Item Ledger Entry Type",$C$4,"2 Item No.","@@"&amp;$F2764,"3 Posting Date",Z$9)</t>
  </si>
  <si>
    <t>=Z2764-AB2764</t>
  </si>
  <si>
    <t>=IF(Z2764&lt;&gt;0,AC2764/Z2764,"")</t>
  </si>
  <si>
    <t>=C2764</t>
  </si>
  <si>
    <t>=NL("Sum","5802 Value Entry","150 Sales Amount (Expected)","41 Source Type",$C$5,"5 Source No.",$C2765,"4 Item Ledger Entry Type",$C$4,"2 Item No.","@@"&amp;$F2765,"3 Posting Date",J$9)+NL("Sum","5802 Value Entry","17 Sales Amount (Actual)","41 Source Type",$C$5,"5 Source no.",$C2765,"4 Item Ledger Entry Type",$C$4,"2 Item No.","@@"&amp;$F2765,"3 Posting Date",J$9)</t>
  </si>
  <si>
    <t>=-NL("Sum","5802 Value Entry","151 Cost Amount (Expected)","41 Source Type",$C$5,"5 Source No.",$C2765,"4 Item Ledger Entry Type",$C$4,"2 Item No.","@@"&amp;$F2765,"3 Posting Date",J$9)-NL("Sum","5802 Value Entry","43 Cost Amount (Actual)","41 Source Type",$C$5,"5 Source no.",$C2765,"4 Item Ledger Entry Type",$C$4,"2 Item No.","@@"&amp;$F2765,"3 Posting Date",J$9)</t>
  </si>
  <si>
    <t>=J2765-L2765</t>
  </si>
  <si>
    <t>=IF(J2765&lt;&gt;0,M2765/J2765,"")</t>
  </si>
  <si>
    <t>=NL("Sum","5802 Value Entry","150 Sales Amount (Expected)","41 Source Type",$C$5,"5 Source No.",$C2765,"4 Item Ledger Entry Type",$C$4,"2 Item No.","@@"&amp;$F2765,"3 Posting Date",O$9)+NL("Sum","5802 Value Entry","17 Sales Amount (Actual)","41 Source Type",$C$5,"5 Source no.",$C2765,"4 Item Ledger Entry Type",$C$4,"2 Item No.","@@"&amp;$F2765,"3 Posting Date",O$9)</t>
  </si>
  <si>
    <t>=-NL("Sum","5802 Value Entry","151 Cost Amount (Expected)","41 Source Type",$C$5,"5 Source No.",$C2765,"4 Item Ledger Entry Type",$C$4,"2 Item No.","@@"&amp;$F2765,"3 Posting Date",O$9)-NL("Sum","5802 Value Entry","43 Cost Amount (Actual)","41 Source Type",$C$5,"5 Source no.",$C2765,"4 Item Ledger Entry Type",$C$4,"2 Item No.","@@"&amp;$F2765,"3 Posting Date",O$9)</t>
  </si>
  <si>
    <t>=O2765-Q2765</t>
  </si>
  <si>
    <t>=IF(O2765&lt;&gt;0,R2765/O2765,"")</t>
  </si>
  <si>
    <t>=NL("Sum","5802 Value Entry","150 Sales Amount (Expected)","41 Source Type",$C$5,"5 Source No.",$C2765,"4 Item Ledger Entry Type",$C$4,"2 Item No.","@@"&amp;$F2765,"3 Posting Date",U$9)+NL("Sum","5802 Value Entry","17 Sales Amount (Actual)","41 Source Type",$C$5,"5 Source no.",$C2765,"4 Item Ledger Entry Type",$C$4,"2 Item No.","@@"&amp;$F2765,"3 Posting Date",U$9)</t>
  </si>
  <si>
    <t>=-NL("Sum","5802 Value Entry","151 Cost Amount (Expected)","41 Source Type",$C$5,"5 Source No.",$C2765,"4 Item Ledger Entry Type",$C$4,"2 Item No.","@@"&amp;$F2765,"3 Posting Date",U$9)-NL("Sum","5802 Value Entry","43 Cost Amount (Actual)","41 Source Type",$C$5,"5 Source no.",$C2765,"4 Item Ledger Entry Type",$C$4,"2 Item No.","@@"&amp;$F2765,"3 Posting Date",U$9)</t>
  </si>
  <si>
    <t>=U2765-W2765</t>
  </si>
  <si>
    <t>=IF(U2765&lt;&gt;0,X2765/U2765,"")</t>
  </si>
  <si>
    <t>=NL("Sum","5802 Value Entry","150 Sales Amount (Expected)","41 Source Type",$C$5,"5 Source No.",$C2765,"4 Item Ledger Entry Type",$C$4,"2 Item No.","@@"&amp;$F2765,"3 Posting Date",Z$9)+NL("Sum","5802 Value Entry","17 Sales Amount (Actual)","41 Source Type",$C$5,"5 Source no.",$C2765,"4 Item Ledger Entry Type",$C$4,"2 Item No.","@@"&amp;$F2765,"3 Posting Date",Z$9)</t>
  </si>
  <si>
    <t>=-NL("Sum","5802 Value Entry","151 Cost Amount (Expected)","41 Source Type",$C$5,"5 Source No.",$C2765,"4 Item Ledger Entry Type",$C$4,"2 Item No.","@@"&amp;$F2765,"3 Posting Date",Z$9)-NL("Sum","5802 Value Entry","43 Cost Amount (Actual)","41 Source Type",$C$5,"5 Source no.",$C2765,"4 Item Ledger Entry Type",$C$4,"2 Item No.","@@"&amp;$F2765,"3 Posting Date",Z$9)</t>
  </si>
  <si>
    <t>=Z2765-AB2765</t>
  </si>
  <si>
    <t>=IF(Z2765&lt;&gt;0,AC2765/Z2765,"")</t>
  </si>
  <si>
    <t>=C2765</t>
  </si>
  <si>
    <t>=NL("Sum","5802 Value Entry","150 Sales Amount (Expected)","41 Source Type",$C$5,"5 Source No.",$C2766,"4 Item Ledger Entry Type",$C$4,"2 Item No.","@@"&amp;$F2766,"3 Posting Date",J$9)+NL("Sum","5802 Value Entry","17 Sales Amount (Actual)","41 Source Type",$C$5,"5 Source no.",$C2766,"4 Item Ledger Entry Type",$C$4,"2 Item No.","@@"&amp;$F2766,"3 Posting Date",J$9)</t>
  </si>
  <si>
    <t>=-NL("Sum","5802 Value Entry","151 Cost Amount (Expected)","41 Source Type",$C$5,"5 Source No.",$C2766,"4 Item Ledger Entry Type",$C$4,"2 Item No.","@@"&amp;$F2766,"3 Posting Date",J$9)-NL("Sum","5802 Value Entry","43 Cost Amount (Actual)","41 Source Type",$C$5,"5 Source no.",$C2766,"4 Item Ledger Entry Type",$C$4,"2 Item No.","@@"&amp;$F2766,"3 Posting Date",J$9)</t>
  </si>
  <si>
    <t>=J2766-L2766</t>
  </si>
  <si>
    <t>=IF(J2766&lt;&gt;0,M2766/J2766,"")</t>
  </si>
  <si>
    <t>=NL("Sum","5802 Value Entry","150 Sales Amount (Expected)","41 Source Type",$C$5,"5 Source No.",$C2766,"4 Item Ledger Entry Type",$C$4,"2 Item No.","@@"&amp;$F2766,"3 Posting Date",O$9)+NL("Sum","5802 Value Entry","17 Sales Amount (Actual)","41 Source Type",$C$5,"5 Source no.",$C2766,"4 Item Ledger Entry Type",$C$4,"2 Item No.","@@"&amp;$F2766,"3 Posting Date",O$9)</t>
  </si>
  <si>
    <t>=-NL("Sum","5802 Value Entry","151 Cost Amount (Expected)","41 Source Type",$C$5,"5 Source No.",$C2766,"4 Item Ledger Entry Type",$C$4,"2 Item No.","@@"&amp;$F2766,"3 Posting Date",O$9)-NL("Sum","5802 Value Entry","43 Cost Amount (Actual)","41 Source Type",$C$5,"5 Source no.",$C2766,"4 Item Ledger Entry Type",$C$4,"2 Item No.","@@"&amp;$F2766,"3 Posting Date",O$9)</t>
  </si>
  <si>
    <t>=O2766-Q2766</t>
  </si>
  <si>
    <t>=IF(O2766&lt;&gt;0,R2766/O2766,"")</t>
  </si>
  <si>
    <t>=NL("Sum","5802 Value Entry","150 Sales Amount (Expected)","41 Source Type",$C$5,"5 Source No.",$C2766,"4 Item Ledger Entry Type",$C$4,"2 Item No.","@@"&amp;$F2766,"3 Posting Date",U$9)+NL("Sum","5802 Value Entry","17 Sales Amount (Actual)","41 Source Type",$C$5,"5 Source no.",$C2766,"4 Item Ledger Entry Type",$C$4,"2 Item No.","@@"&amp;$F2766,"3 Posting Date",U$9)</t>
  </si>
  <si>
    <t>=-NL("Sum","5802 Value Entry","151 Cost Amount (Expected)","41 Source Type",$C$5,"5 Source No.",$C2766,"4 Item Ledger Entry Type",$C$4,"2 Item No.","@@"&amp;$F2766,"3 Posting Date",U$9)-NL("Sum","5802 Value Entry","43 Cost Amount (Actual)","41 Source Type",$C$5,"5 Source no.",$C2766,"4 Item Ledger Entry Type",$C$4,"2 Item No.","@@"&amp;$F2766,"3 Posting Date",U$9)</t>
  </si>
  <si>
    <t>=U2766-W2766</t>
  </si>
  <si>
    <t>=IF(U2766&lt;&gt;0,X2766/U2766,"")</t>
  </si>
  <si>
    <t>=NL("Sum","5802 Value Entry","150 Sales Amount (Expected)","41 Source Type",$C$5,"5 Source No.",$C2766,"4 Item Ledger Entry Type",$C$4,"2 Item No.","@@"&amp;$F2766,"3 Posting Date",Z$9)+NL("Sum","5802 Value Entry","17 Sales Amount (Actual)","41 Source Type",$C$5,"5 Source no.",$C2766,"4 Item Ledger Entry Type",$C$4,"2 Item No.","@@"&amp;$F2766,"3 Posting Date",Z$9)</t>
  </si>
  <si>
    <t>=-NL("Sum","5802 Value Entry","151 Cost Amount (Expected)","41 Source Type",$C$5,"5 Source No.",$C2766,"4 Item Ledger Entry Type",$C$4,"2 Item No.","@@"&amp;$F2766,"3 Posting Date",Z$9)-NL("Sum","5802 Value Entry","43 Cost Amount (Actual)","41 Source Type",$C$5,"5 Source no.",$C2766,"4 Item Ledger Entry Type",$C$4,"2 Item No.","@@"&amp;$F2766,"3 Posting Date",Z$9)</t>
  </si>
  <si>
    <t>=Z2766-AB2766</t>
  </si>
  <si>
    <t>=IF(Z2766&lt;&gt;0,AC2766/Z2766,"")</t>
  </si>
  <si>
    <t>=C2766</t>
  </si>
  <si>
    <t>=NL("Sum","5802 Value Entry","150 Sales Amount (Expected)","41 Source Type",$C$5,"5 Source No.",$C2767,"4 Item Ledger Entry Type",$C$4,"2 Item No.","@@"&amp;$F2767,"3 Posting Date",J$9)+NL("Sum","5802 Value Entry","17 Sales Amount (Actual)","41 Source Type",$C$5,"5 Source no.",$C2767,"4 Item Ledger Entry Type",$C$4,"2 Item No.","@@"&amp;$F2767,"3 Posting Date",J$9)</t>
  </si>
  <si>
    <t>=-NL("Sum","5802 Value Entry","151 Cost Amount (Expected)","41 Source Type",$C$5,"5 Source No.",$C2767,"4 Item Ledger Entry Type",$C$4,"2 Item No.","@@"&amp;$F2767,"3 Posting Date",J$9)-NL("Sum","5802 Value Entry","43 Cost Amount (Actual)","41 Source Type",$C$5,"5 Source no.",$C2767,"4 Item Ledger Entry Type",$C$4,"2 Item No.","@@"&amp;$F2767,"3 Posting Date",J$9)</t>
  </si>
  <si>
    <t>=J2767-L2767</t>
  </si>
  <si>
    <t>=IF(J2767&lt;&gt;0,M2767/J2767,"")</t>
  </si>
  <si>
    <t>=NL("Sum","5802 Value Entry","150 Sales Amount (Expected)","41 Source Type",$C$5,"5 Source No.",$C2767,"4 Item Ledger Entry Type",$C$4,"2 Item No.","@@"&amp;$F2767,"3 Posting Date",O$9)+NL("Sum","5802 Value Entry","17 Sales Amount (Actual)","41 Source Type",$C$5,"5 Source no.",$C2767,"4 Item Ledger Entry Type",$C$4,"2 Item No.","@@"&amp;$F2767,"3 Posting Date",O$9)</t>
  </si>
  <si>
    <t>=-NL("Sum","5802 Value Entry","151 Cost Amount (Expected)","41 Source Type",$C$5,"5 Source No.",$C2767,"4 Item Ledger Entry Type",$C$4,"2 Item No.","@@"&amp;$F2767,"3 Posting Date",O$9)-NL("Sum","5802 Value Entry","43 Cost Amount (Actual)","41 Source Type",$C$5,"5 Source no.",$C2767,"4 Item Ledger Entry Type",$C$4,"2 Item No.","@@"&amp;$F2767,"3 Posting Date",O$9)</t>
  </si>
  <si>
    <t>=O2767-Q2767</t>
  </si>
  <si>
    <t>=IF(O2767&lt;&gt;0,R2767/O2767,"")</t>
  </si>
  <si>
    <t>=NL("Sum","5802 Value Entry","150 Sales Amount (Expected)","41 Source Type",$C$5,"5 Source No.",$C2767,"4 Item Ledger Entry Type",$C$4,"2 Item No.","@@"&amp;$F2767,"3 Posting Date",U$9)+NL("Sum","5802 Value Entry","17 Sales Amount (Actual)","41 Source Type",$C$5,"5 Source no.",$C2767,"4 Item Ledger Entry Type",$C$4,"2 Item No.","@@"&amp;$F2767,"3 Posting Date",U$9)</t>
  </si>
  <si>
    <t>=-NL("Sum","5802 Value Entry","151 Cost Amount (Expected)","41 Source Type",$C$5,"5 Source No.",$C2767,"4 Item Ledger Entry Type",$C$4,"2 Item No.","@@"&amp;$F2767,"3 Posting Date",U$9)-NL("Sum","5802 Value Entry","43 Cost Amount (Actual)","41 Source Type",$C$5,"5 Source no.",$C2767,"4 Item Ledger Entry Type",$C$4,"2 Item No.","@@"&amp;$F2767,"3 Posting Date",U$9)</t>
  </si>
  <si>
    <t>=U2767-W2767</t>
  </si>
  <si>
    <t>=IF(U2767&lt;&gt;0,X2767/U2767,"")</t>
  </si>
  <si>
    <t>=NL("Sum","5802 Value Entry","150 Sales Amount (Expected)","41 Source Type",$C$5,"5 Source No.",$C2767,"4 Item Ledger Entry Type",$C$4,"2 Item No.","@@"&amp;$F2767,"3 Posting Date",Z$9)+NL("Sum","5802 Value Entry","17 Sales Amount (Actual)","41 Source Type",$C$5,"5 Source no.",$C2767,"4 Item Ledger Entry Type",$C$4,"2 Item No.","@@"&amp;$F2767,"3 Posting Date",Z$9)</t>
  </si>
  <si>
    <t>=-NL("Sum","5802 Value Entry","151 Cost Amount (Expected)","41 Source Type",$C$5,"5 Source No.",$C2767,"4 Item Ledger Entry Type",$C$4,"2 Item No.","@@"&amp;$F2767,"3 Posting Date",Z$9)-NL("Sum","5802 Value Entry","43 Cost Amount (Actual)","41 Source Type",$C$5,"5 Source no.",$C2767,"4 Item Ledger Entry Type",$C$4,"2 Item No.","@@"&amp;$F2767,"3 Posting Date",Z$9)</t>
  </si>
  <si>
    <t>=Z2767-AB2767</t>
  </si>
  <si>
    <t>=IF(Z2767&lt;&gt;0,AC2767/Z2767,"")</t>
  </si>
  <si>
    <t>=C2767</t>
  </si>
  <si>
    <t>=NL("Sum","5802 Value Entry","150 Sales Amount (Expected)","41 Source Type",$C$5,"5 Source No.",$C2768,"4 Item Ledger Entry Type",$C$4,"2 Item No.","@@"&amp;$F2768,"3 Posting Date",J$9)+NL("Sum","5802 Value Entry","17 Sales Amount (Actual)","41 Source Type",$C$5,"5 Source no.",$C2768,"4 Item Ledger Entry Type",$C$4,"2 Item No.","@@"&amp;$F2768,"3 Posting Date",J$9)</t>
  </si>
  <si>
    <t>=-NL("Sum","5802 Value Entry","151 Cost Amount (Expected)","41 Source Type",$C$5,"5 Source No.",$C2768,"4 Item Ledger Entry Type",$C$4,"2 Item No.","@@"&amp;$F2768,"3 Posting Date",J$9)-NL("Sum","5802 Value Entry","43 Cost Amount (Actual)","41 Source Type",$C$5,"5 Source no.",$C2768,"4 Item Ledger Entry Type",$C$4,"2 Item No.","@@"&amp;$F2768,"3 Posting Date",J$9)</t>
  </si>
  <si>
    <t>=J2768-L2768</t>
  </si>
  <si>
    <t>=IF(J2768&lt;&gt;0,M2768/J2768,"")</t>
  </si>
  <si>
    <t>=NL("Sum","5802 Value Entry","150 Sales Amount (Expected)","41 Source Type",$C$5,"5 Source No.",$C2768,"4 Item Ledger Entry Type",$C$4,"2 Item No.","@@"&amp;$F2768,"3 Posting Date",O$9)+NL("Sum","5802 Value Entry","17 Sales Amount (Actual)","41 Source Type",$C$5,"5 Source no.",$C2768,"4 Item Ledger Entry Type",$C$4,"2 Item No.","@@"&amp;$F2768,"3 Posting Date",O$9)</t>
  </si>
  <si>
    <t>=-NL("Sum","5802 Value Entry","151 Cost Amount (Expected)","41 Source Type",$C$5,"5 Source No.",$C2768,"4 Item Ledger Entry Type",$C$4,"2 Item No.","@@"&amp;$F2768,"3 Posting Date",O$9)-NL("Sum","5802 Value Entry","43 Cost Amount (Actual)","41 Source Type",$C$5,"5 Source no.",$C2768,"4 Item Ledger Entry Type",$C$4,"2 Item No.","@@"&amp;$F2768,"3 Posting Date",O$9)</t>
  </si>
  <si>
    <t>=O2768-Q2768</t>
  </si>
  <si>
    <t>=IF(O2768&lt;&gt;0,R2768/O2768,"")</t>
  </si>
  <si>
    <t>=NL("Sum","5802 Value Entry","150 Sales Amount (Expected)","41 Source Type",$C$5,"5 Source No.",$C2768,"4 Item Ledger Entry Type",$C$4,"2 Item No.","@@"&amp;$F2768,"3 Posting Date",U$9)+NL("Sum","5802 Value Entry","17 Sales Amount (Actual)","41 Source Type",$C$5,"5 Source no.",$C2768,"4 Item Ledger Entry Type",$C$4,"2 Item No.","@@"&amp;$F2768,"3 Posting Date",U$9)</t>
  </si>
  <si>
    <t>=-NL("Sum","5802 Value Entry","151 Cost Amount (Expected)","41 Source Type",$C$5,"5 Source No.",$C2768,"4 Item Ledger Entry Type",$C$4,"2 Item No.","@@"&amp;$F2768,"3 Posting Date",U$9)-NL("Sum","5802 Value Entry","43 Cost Amount (Actual)","41 Source Type",$C$5,"5 Source no.",$C2768,"4 Item Ledger Entry Type",$C$4,"2 Item No.","@@"&amp;$F2768,"3 Posting Date",U$9)</t>
  </si>
  <si>
    <t>=U2768-W2768</t>
  </si>
  <si>
    <t>=IF(U2768&lt;&gt;0,X2768/U2768,"")</t>
  </si>
  <si>
    <t>=NL("Sum","5802 Value Entry","150 Sales Amount (Expected)","41 Source Type",$C$5,"5 Source No.",$C2768,"4 Item Ledger Entry Type",$C$4,"2 Item No.","@@"&amp;$F2768,"3 Posting Date",Z$9)+NL("Sum","5802 Value Entry","17 Sales Amount (Actual)","41 Source Type",$C$5,"5 Source no.",$C2768,"4 Item Ledger Entry Type",$C$4,"2 Item No.","@@"&amp;$F2768,"3 Posting Date",Z$9)</t>
  </si>
  <si>
    <t>=-NL("Sum","5802 Value Entry","151 Cost Amount (Expected)","41 Source Type",$C$5,"5 Source No.",$C2768,"4 Item Ledger Entry Type",$C$4,"2 Item No.","@@"&amp;$F2768,"3 Posting Date",Z$9)-NL("Sum","5802 Value Entry","43 Cost Amount (Actual)","41 Source Type",$C$5,"5 Source no.",$C2768,"4 Item Ledger Entry Type",$C$4,"2 Item No.","@@"&amp;$F2768,"3 Posting Date",Z$9)</t>
  </si>
  <si>
    <t>=Z2768-AB2768</t>
  </si>
  <si>
    <t>=IF(Z2768&lt;&gt;0,AC2768/Z2768,"")</t>
  </si>
  <si>
    <t>=C2768</t>
  </si>
  <si>
    <t>=NL("Sum","5802 Value Entry","150 Sales Amount (Expected)","41 Source Type",$C$5,"5 Source No.",$C2769,"4 Item Ledger Entry Type",$C$4,"2 Item No.","@@"&amp;$F2769,"3 Posting Date",J$9)+NL("Sum","5802 Value Entry","17 Sales Amount (Actual)","41 Source Type",$C$5,"5 Source no.",$C2769,"4 Item Ledger Entry Type",$C$4,"2 Item No.","@@"&amp;$F2769,"3 Posting Date",J$9)</t>
  </si>
  <si>
    <t>=-NL("Sum","5802 Value Entry","151 Cost Amount (Expected)","41 Source Type",$C$5,"5 Source No.",$C2769,"4 Item Ledger Entry Type",$C$4,"2 Item No.","@@"&amp;$F2769,"3 Posting Date",J$9)-NL("Sum","5802 Value Entry","43 Cost Amount (Actual)","41 Source Type",$C$5,"5 Source no.",$C2769,"4 Item Ledger Entry Type",$C$4,"2 Item No.","@@"&amp;$F2769,"3 Posting Date",J$9)</t>
  </si>
  <si>
    <t>=J2769-L2769</t>
  </si>
  <si>
    <t>=IF(J2769&lt;&gt;0,M2769/J2769,"")</t>
  </si>
  <si>
    <t>=NL("Sum","5802 Value Entry","150 Sales Amount (Expected)","41 Source Type",$C$5,"5 Source No.",$C2769,"4 Item Ledger Entry Type",$C$4,"2 Item No.","@@"&amp;$F2769,"3 Posting Date",O$9)+NL("Sum","5802 Value Entry","17 Sales Amount (Actual)","41 Source Type",$C$5,"5 Source no.",$C2769,"4 Item Ledger Entry Type",$C$4,"2 Item No.","@@"&amp;$F2769,"3 Posting Date",O$9)</t>
  </si>
  <si>
    <t>=-NL("Sum","5802 Value Entry","151 Cost Amount (Expected)","41 Source Type",$C$5,"5 Source No.",$C2769,"4 Item Ledger Entry Type",$C$4,"2 Item No.","@@"&amp;$F2769,"3 Posting Date",O$9)-NL("Sum","5802 Value Entry","43 Cost Amount (Actual)","41 Source Type",$C$5,"5 Source no.",$C2769,"4 Item Ledger Entry Type",$C$4,"2 Item No.","@@"&amp;$F2769,"3 Posting Date",O$9)</t>
  </si>
  <si>
    <t>=O2769-Q2769</t>
  </si>
  <si>
    <t>=IF(O2769&lt;&gt;0,R2769/O2769,"")</t>
  </si>
  <si>
    <t>=NL("Sum","5802 Value Entry","150 Sales Amount (Expected)","41 Source Type",$C$5,"5 Source No.",$C2769,"4 Item Ledger Entry Type",$C$4,"2 Item No.","@@"&amp;$F2769,"3 Posting Date",U$9)+NL("Sum","5802 Value Entry","17 Sales Amount (Actual)","41 Source Type",$C$5,"5 Source no.",$C2769,"4 Item Ledger Entry Type",$C$4,"2 Item No.","@@"&amp;$F2769,"3 Posting Date",U$9)</t>
  </si>
  <si>
    <t>=-NL("Sum","5802 Value Entry","151 Cost Amount (Expected)","41 Source Type",$C$5,"5 Source No.",$C2769,"4 Item Ledger Entry Type",$C$4,"2 Item No.","@@"&amp;$F2769,"3 Posting Date",U$9)-NL("Sum","5802 Value Entry","43 Cost Amount (Actual)","41 Source Type",$C$5,"5 Source no.",$C2769,"4 Item Ledger Entry Type",$C$4,"2 Item No.","@@"&amp;$F2769,"3 Posting Date",U$9)</t>
  </si>
  <si>
    <t>=U2769-W2769</t>
  </si>
  <si>
    <t>=IF(U2769&lt;&gt;0,X2769/U2769,"")</t>
  </si>
  <si>
    <t>=NL("Sum","5802 Value Entry","150 Sales Amount (Expected)","41 Source Type",$C$5,"5 Source No.",$C2769,"4 Item Ledger Entry Type",$C$4,"2 Item No.","@@"&amp;$F2769,"3 Posting Date",Z$9)+NL("Sum","5802 Value Entry","17 Sales Amount (Actual)","41 Source Type",$C$5,"5 Source no.",$C2769,"4 Item Ledger Entry Type",$C$4,"2 Item No.","@@"&amp;$F2769,"3 Posting Date",Z$9)</t>
  </si>
  <si>
    <t>=-NL("Sum","5802 Value Entry","151 Cost Amount (Expected)","41 Source Type",$C$5,"5 Source No.",$C2769,"4 Item Ledger Entry Type",$C$4,"2 Item No.","@@"&amp;$F2769,"3 Posting Date",Z$9)-NL("Sum","5802 Value Entry","43 Cost Amount (Actual)","41 Source Type",$C$5,"5 Source no.",$C2769,"4 Item Ledger Entry Type",$C$4,"2 Item No.","@@"&amp;$F2769,"3 Posting Date",Z$9)</t>
  </si>
  <si>
    <t>=Z2769-AB2769</t>
  </si>
  <si>
    <t>=IF(Z2769&lt;&gt;0,AC2769/Z2769,"")</t>
  </si>
  <si>
    <t>="C100120"</t>
  </si>
  <si>
    <t>=C2774</t>
  </si>
  <si>
    <t>=C2775</t>
  </si>
  <si>
    <t>=NL("Sum","5802 Value Entry","150 Sales Amount (Expected)","41 Source Type",$C$5,"5 Source No.",$C2776,"4 Item Ledger Entry Type",$C$4,"2 Item No.","@@"&amp;$F2776,"3 Posting Date",J$9)+NL("Sum","5802 Value Entry","17 Sales Amount (Actual)","41 Source Type",$C$5,"5 Source no.",$C2776,"4 Item Ledger Entry Type",$C$4,"2 Item No.","@@"&amp;$F2776,"3 Posting Date",J$9)</t>
  </si>
  <si>
    <t>=-NL("Sum","5802 Value Entry","151 Cost Amount (Expected)","41 Source Type",$C$5,"5 Source No.",$C2776,"4 Item Ledger Entry Type",$C$4,"2 Item No.","@@"&amp;$F2776,"3 Posting Date",J$9)-NL("Sum","5802 Value Entry","43 Cost Amount (Actual)","41 Source Type",$C$5,"5 Source no.",$C2776,"4 Item Ledger Entry Type",$C$4,"2 Item No.","@@"&amp;$F2776,"3 Posting Date",J$9)</t>
  </si>
  <si>
    <t>=J2776-L2776</t>
  </si>
  <si>
    <t>=IF(J2776&lt;&gt;0,M2776/J2776,"")</t>
  </si>
  <si>
    <t>=NL("Sum","5802 Value Entry","150 Sales Amount (Expected)","41 Source Type",$C$5,"5 Source No.",$C2776,"4 Item Ledger Entry Type",$C$4,"2 Item No.","@@"&amp;$F2776,"3 Posting Date",O$9)+NL("Sum","5802 Value Entry","17 Sales Amount (Actual)","41 Source Type",$C$5,"5 Source no.",$C2776,"4 Item Ledger Entry Type",$C$4,"2 Item No.","@@"&amp;$F2776,"3 Posting Date",O$9)</t>
  </si>
  <si>
    <t>=-NL("Sum","5802 Value Entry","151 Cost Amount (Expected)","41 Source Type",$C$5,"5 Source No.",$C2776,"4 Item Ledger Entry Type",$C$4,"2 Item No.","@@"&amp;$F2776,"3 Posting Date",O$9)-NL("Sum","5802 Value Entry","43 Cost Amount (Actual)","41 Source Type",$C$5,"5 Source no.",$C2776,"4 Item Ledger Entry Type",$C$4,"2 Item No.","@@"&amp;$F2776,"3 Posting Date",O$9)</t>
  </si>
  <si>
    <t>=O2776-Q2776</t>
  </si>
  <si>
    <t>=IF(O2776&lt;&gt;0,R2776/O2776,"")</t>
  </si>
  <si>
    <t>=NL("Sum","5802 Value Entry","150 Sales Amount (Expected)","41 Source Type",$C$5,"5 Source No.",$C2776,"4 Item Ledger Entry Type",$C$4,"2 Item No.","@@"&amp;$F2776,"3 Posting Date",U$9)+NL("Sum","5802 Value Entry","17 Sales Amount (Actual)","41 Source Type",$C$5,"5 Source no.",$C2776,"4 Item Ledger Entry Type",$C$4,"2 Item No.","@@"&amp;$F2776,"3 Posting Date",U$9)</t>
  </si>
  <si>
    <t>=-NL("Sum","5802 Value Entry","151 Cost Amount (Expected)","41 Source Type",$C$5,"5 Source No.",$C2776,"4 Item Ledger Entry Type",$C$4,"2 Item No.","@@"&amp;$F2776,"3 Posting Date",U$9)-NL("Sum","5802 Value Entry","43 Cost Amount (Actual)","41 Source Type",$C$5,"5 Source no.",$C2776,"4 Item Ledger Entry Type",$C$4,"2 Item No.","@@"&amp;$F2776,"3 Posting Date",U$9)</t>
  </si>
  <si>
    <t>=U2776-W2776</t>
  </si>
  <si>
    <t>=IF(U2776&lt;&gt;0,X2776/U2776,"")</t>
  </si>
  <si>
    <t>=NL("Sum","5802 Value Entry","150 Sales Amount (Expected)","41 Source Type",$C$5,"5 Source No.",$C2776,"4 Item Ledger Entry Type",$C$4,"2 Item No.","@@"&amp;$F2776,"3 Posting Date",Z$9)+NL("Sum","5802 Value Entry","17 Sales Amount (Actual)","41 Source Type",$C$5,"5 Source no.",$C2776,"4 Item Ledger Entry Type",$C$4,"2 Item No.","@@"&amp;$F2776,"3 Posting Date",Z$9)</t>
  </si>
  <si>
    <t>=-NL("Sum","5802 Value Entry","151 Cost Amount (Expected)","41 Source Type",$C$5,"5 Source No.",$C2776,"4 Item Ledger Entry Type",$C$4,"2 Item No.","@@"&amp;$F2776,"3 Posting Date",Z$9)-NL("Sum","5802 Value Entry","43 Cost Amount (Actual)","41 Source Type",$C$5,"5 Source no.",$C2776,"4 Item Ledger Entry Type",$C$4,"2 Item No.","@@"&amp;$F2776,"3 Posting Date",Z$9)</t>
  </si>
  <si>
    <t>=Z2776-AB2776</t>
  </si>
  <si>
    <t>=IF(Z2776&lt;&gt;0,AC2776/Z2776,"")</t>
  </si>
  <si>
    <t>=C2776</t>
  </si>
  <si>
    <t>=NL("Sum","5802 Value Entry","150 Sales Amount (Expected)","41 Source Type",$C$5,"5 Source No.",$C2777,"4 Item Ledger Entry Type",$C$4,"2 Item No.","@@"&amp;$F2777,"3 Posting Date",J$9)+NL("Sum","5802 Value Entry","17 Sales Amount (Actual)","41 Source Type",$C$5,"5 Source no.",$C2777,"4 Item Ledger Entry Type",$C$4,"2 Item No.","@@"&amp;$F2777,"3 Posting Date",J$9)</t>
  </si>
  <si>
    <t>=-NL("Sum","5802 Value Entry","151 Cost Amount (Expected)","41 Source Type",$C$5,"5 Source No.",$C2777,"4 Item Ledger Entry Type",$C$4,"2 Item No.","@@"&amp;$F2777,"3 Posting Date",J$9)-NL("Sum","5802 Value Entry","43 Cost Amount (Actual)","41 Source Type",$C$5,"5 Source no.",$C2777,"4 Item Ledger Entry Type",$C$4,"2 Item No.","@@"&amp;$F2777,"3 Posting Date",J$9)</t>
  </si>
  <si>
    <t>=J2777-L2777</t>
  </si>
  <si>
    <t>=IF(J2777&lt;&gt;0,M2777/J2777,"")</t>
  </si>
  <si>
    <t>=NL("Sum","5802 Value Entry","150 Sales Amount (Expected)","41 Source Type",$C$5,"5 Source No.",$C2777,"4 Item Ledger Entry Type",$C$4,"2 Item No.","@@"&amp;$F2777,"3 Posting Date",O$9)+NL("Sum","5802 Value Entry","17 Sales Amount (Actual)","41 Source Type",$C$5,"5 Source no.",$C2777,"4 Item Ledger Entry Type",$C$4,"2 Item No.","@@"&amp;$F2777,"3 Posting Date",O$9)</t>
  </si>
  <si>
    <t>=-NL("Sum","5802 Value Entry","151 Cost Amount (Expected)","41 Source Type",$C$5,"5 Source No.",$C2777,"4 Item Ledger Entry Type",$C$4,"2 Item No.","@@"&amp;$F2777,"3 Posting Date",O$9)-NL("Sum","5802 Value Entry","43 Cost Amount (Actual)","41 Source Type",$C$5,"5 Source no.",$C2777,"4 Item Ledger Entry Type",$C$4,"2 Item No.","@@"&amp;$F2777,"3 Posting Date",O$9)</t>
  </si>
  <si>
    <t>=O2777-Q2777</t>
  </si>
  <si>
    <t>=IF(O2777&lt;&gt;0,R2777/O2777,"")</t>
  </si>
  <si>
    <t>=NL("Sum","5802 Value Entry","150 Sales Amount (Expected)","41 Source Type",$C$5,"5 Source No.",$C2777,"4 Item Ledger Entry Type",$C$4,"2 Item No.","@@"&amp;$F2777,"3 Posting Date",U$9)+NL("Sum","5802 Value Entry","17 Sales Amount (Actual)","41 Source Type",$C$5,"5 Source no.",$C2777,"4 Item Ledger Entry Type",$C$4,"2 Item No.","@@"&amp;$F2777,"3 Posting Date",U$9)</t>
  </si>
  <si>
    <t>=-NL("Sum","5802 Value Entry","151 Cost Amount (Expected)","41 Source Type",$C$5,"5 Source No.",$C2777,"4 Item Ledger Entry Type",$C$4,"2 Item No.","@@"&amp;$F2777,"3 Posting Date",U$9)-NL("Sum","5802 Value Entry","43 Cost Amount (Actual)","41 Source Type",$C$5,"5 Source no.",$C2777,"4 Item Ledger Entry Type",$C$4,"2 Item No.","@@"&amp;$F2777,"3 Posting Date",U$9)</t>
  </si>
  <si>
    <t>=U2777-W2777</t>
  </si>
  <si>
    <t>=IF(U2777&lt;&gt;0,X2777/U2777,"")</t>
  </si>
  <si>
    <t>=NL("Sum","5802 Value Entry","150 Sales Amount (Expected)","41 Source Type",$C$5,"5 Source No.",$C2777,"4 Item Ledger Entry Type",$C$4,"2 Item No.","@@"&amp;$F2777,"3 Posting Date",Z$9)+NL("Sum","5802 Value Entry","17 Sales Amount (Actual)","41 Source Type",$C$5,"5 Source no.",$C2777,"4 Item Ledger Entry Type",$C$4,"2 Item No.","@@"&amp;$F2777,"3 Posting Date",Z$9)</t>
  </si>
  <si>
    <t>=-NL("Sum","5802 Value Entry","151 Cost Amount (Expected)","41 Source Type",$C$5,"5 Source No.",$C2777,"4 Item Ledger Entry Type",$C$4,"2 Item No.","@@"&amp;$F2777,"3 Posting Date",Z$9)-NL("Sum","5802 Value Entry","43 Cost Amount (Actual)","41 Source Type",$C$5,"5 Source no.",$C2777,"4 Item Ledger Entry Type",$C$4,"2 Item No.","@@"&amp;$F2777,"3 Posting Date",Z$9)</t>
  </si>
  <si>
    <t>=Z2777-AB2777</t>
  </si>
  <si>
    <t>=IF(Z2777&lt;&gt;0,AC2777/Z2777,"")</t>
  </si>
  <si>
    <t>=C2777</t>
  </si>
  <si>
    <t>=NL("Sum","5802 Value Entry","150 Sales Amount (Expected)","41 Source Type",$C$5,"5 Source No.",$C2778,"4 Item Ledger Entry Type",$C$4,"2 Item No.","@@"&amp;$F2778,"3 Posting Date",J$9)+NL("Sum","5802 Value Entry","17 Sales Amount (Actual)","41 Source Type",$C$5,"5 Source no.",$C2778,"4 Item Ledger Entry Type",$C$4,"2 Item No.","@@"&amp;$F2778,"3 Posting Date",J$9)</t>
  </si>
  <si>
    <t>=-NL("Sum","5802 Value Entry","151 Cost Amount (Expected)","41 Source Type",$C$5,"5 Source No.",$C2778,"4 Item Ledger Entry Type",$C$4,"2 Item No.","@@"&amp;$F2778,"3 Posting Date",J$9)-NL("Sum","5802 Value Entry","43 Cost Amount (Actual)","41 Source Type",$C$5,"5 Source no.",$C2778,"4 Item Ledger Entry Type",$C$4,"2 Item No.","@@"&amp;$F2778,"3 Posting Date",J$9)</t>
  </si>
  <si>
    <t>=J2778-L2778</t>
  </si>
  <si>
    <t>=IF(J2778&lt;&gt;0,M2778/J2778,"")</t>
  </si>
  <si>
    <t>=NL("Sum","5802 Value Entry","150 Sales Amount (Expected)","41 Source Type",$C$5,"5 Source No.",$C2778,"4 Item Ledger Entry Type",$C$4,"2 Item No.","@@"&amp;$F2778,"3 Posting Date",O$9)+NL("Sum","5802 Value Entry","17 Sales Amount (Actual)","41 Source Type",$C$5,"5 Source no.",$C2778,"4 Item Ledger Entry Type",$C$4,"2 Item No.","@@"&amp;$F2778,"3 Posting Date",O$9)</t>
  </si>
  <si>
    <t>=-NL("Sum","5802 Value Entry","151 Cost Amount (Expected)","41 Source Type",$C$5,"5 Source No.",$C2778,"4 Item Ledger Entry Type",$C$4,"2 Item No.","@@"&amp;$F2778,"3 Posting Date",O$9)-NL("Sum","5802 Value Entry","43 Cost Amount (Actual)","41 Source Type",$C$5,"5 Source no.",$C2778,"4 Item Ledger Entry Type",$C$4,"2 Item No.","@@"&amp;$F2778,"3 Posting Date",O$9)</t>
  </si>
  <si>
    <t>=O2778-Q2778</t>
  </si>
  <si>
    <t>=IF(O2778&lt;&gt;0,R2778/O2778,"")</t>
  </si>
  <si>
    <t>=NL("Sum","5802 Value Entry","150 Sales Amount (Expected)","41 Source Type",$C$5,"5 Source No.",$C2778,"4 Item Ledger Entry Type",$C$4,"2 Item No.","@@"&amp;$F2778,"3 Posting Date",U$9)+NL("Sum","5802 Value Entry","17 Sales Amount (Actual)","41 Source Type",$C$5,"5 Source no.",$C2778,"4 Item Ledger Entry Type",$C$4,"2 Item No.","@@"&amp;$F2778,"3 Posting Date",U$9)</t>
  </si>
  <si>
    <t>=-NL("Sum","5802 Value Entry","151 Cost Amount (Expected)","41 Source Type",$C$5,"5 Source No.",$C2778,"4 Item Ledger Entry Type",$C$4,"2 Item No.","@@"&amp;$F2778,"3 Posting Date",U$9)-NL("Sum","5802 Value Entry","43 Cost Amount (Actual)","41 Source Type",$C$5,"5 Source no.",$C2778,"4 Item Ledger Entry Type",$C$4,"2 Item No.","@@"&amp;$F2778,"3 Posting Date",U$9)</t>
  </si>
  <si>
    <t>=U2778-W2778</t>
  </si>
  <si>
    <t>=IF(U2778&lt;&gt;0,X2778/U2778,"")</t>
  </si>
  <si>
    <t>=NL("Sum","5802 Value Entry","150 Sales Amount (Expected)","41 Source Type",$C$5,"5 Source No.",$C2778,"4 Item Ledger Entry Type",$C$4,"2 Item No.","@@"&amp;$F2778,"3 Posting Date",Z$9)+NL("Sum","5802 Value Entry","17 Sales Amount (Actual)","41 Source Type",$C$5,"5 Source no.",$C2778,"4 Item Ledger Entry Type",$C$4,"2 Item No.","@@"&amp;$F2778,"3 Posting Date",Z$9)</t>
  </si>
  <si>
    <t>=-NL("Sum","5802 Value Entry","151 Cost Amount (Expected)","41 Source Type",$C$5,"5 Source No.",$C2778,"4 Item Ledger Entry Type",$C$4,"2 Item No.","@@"&amp;$F2778,"3 Posting Date",Z$9)-NL("Sum","5802 Value Entry","43 Cost Amount (Actual)","41 Source Type",$C$5,"5 Source no.",$C2778,"4 Item Ledger Entry Type",$C$4,"2 Item No.","@@"&amp;$F2778,"3 Posting Date",Z$9)</t>
  </si>
  <si>
    <t>=Z2778-AB2778</t>
  </si>
  <si>
    <t>=IF(Z2778&lt;&gt;0,AC2778/Z2778,"")</t>
  </si>
  <si>
    <t>=C2778</t>
  </si>
  <si>
    <t>=NL("Sum","5802 Value Entry","150 Sales Amount (Expected)","41 Source Type",$C$5,"5 Source No.",$C2779,"4 Item Ledger Entry Type",$C$4,"2 Item No.","@@"&amp;$F2779,"3 Posting Date",J$9)+NL("Sum","5802 Value Entry","17 Sales Amount (Actual)","41 Source Type",$C$5,"5 Source no.",$C2779,"4 Item Ledger Entry Type",$C$4,"2 Item No.","@@"&amp;$F2779,"3 Posting Date",J$9)</t>
  </si>
  <si>
    <t>=-NL("Sum","5802 Value Entry","151 Cost Amount (Expected)","41 Source Type",$C$5,"5 Source No.",$C2779,"4 Item Ledger Entry Type",$C$4,"2 Item No.","@@"&amp;$F2779,"3 Posting Date",J$9)-NL("Sum","5802 Value Entry","43 Cost Amount (Actual)","41 Source Type",$C$5,"5 Source no.",$C2779,"4 Item Ledger Entry Type",$C$4,"2 Item No.","@@"&amp;$F2779,"3 Posting Date",J$9)</t>
  </si>
  <si>
    <t>=J2779-L2779</t>
  </si>
  <si>
    <t>=IF(J2779&lt;&gt;0,M2779/J2779,"")</t>
  </si>
  <si>
    <t>=NL("Sum","5802 Value Entry","150 Sales Amount (Expected)","41 Source Type",$C$5,"5 Source No.",$C2779,"4 Item Ledger Entry Type",$C$4,"2 Item No.","@@"&amp;$F2779,"3 Posting Date",O$9)+NL("Sum","5802 Value Entry","17 Sales Amount (Actual)","41 Source Type",$C$5,"5 Source no.",$C2779,"4 Item Ledger Entry Type",$C$4,"2 Item No.","@@"&amp;$F2779,"3 Posting Date",O$9)</t>
  </si>
  <si>
    <t>=-NL("Sum","5802 Value Entry","151 Cost Amount (Expected)","41 Source Type",$C$5,"5 Source No.",$C2779,"4 Item Ledger Entry Type",$C$4,"2 Item No.","@@"&amp;$F2779,"3 Posting Date",O$9)-NL("Sum","5802 Value Entry","43 Cost Amount (Actual)","41 Source Type",$C$5,"5 Source no.",$C2779,"4 Item Ledger Entry Type",$C$4,"2 Item No.","@@"&amp;$F2779,"3 Posting Date",O$9)</t>
  </si>
  <si>
    <t>=O2779-Q2779</t>
  </si>
  <si>
    <t>=IF(O2779&lt;&gt;0,R2779/O2779,"")</t>
  </si>
  <si>
    <t>=NL("Sum","5802 Value Entry","150 Sales Amount (Expected)","41 Source Type",$C$5,"5 Source No.",$C2779,"4 Item Ledger Entry Type",$C$4,"2 Item No.","@@"&amp;$F2779,"3 Posting Date",U$9)+NL("Sum","5802 Value Entry","17 Sales Amount (Actual)","41 Source Type",$C$5,"5 Source no.",$C2779,"4 Item Ledger Entry Type",$C$4,"2 Item No.","@@"&amp;$F2779,"3 Posting Date",U$9)</t>
  </si>
  <si>
    <t>=-NL("Sum","5802 Value Entry","151 Cost Amount (Expected)","41 Source Type",$C$5,"5 Source No.",$C2779,"4 Item Ledger Entry Type",$C$4,"2 Item No.","@@"&amp;$F2779,"3 Posting Date",U$9)-NL("Sum","5802 Value Entry","43 Cost Amount (Actual)","41 Source Type",$C$5,"5 Source no.",$C2779,"4 Item Ledger Entry Type",$C$4,"2 Item No.","@@"&amp;$F2779,"3 Posting Date",U$9)</t>
  </si>
  <si>
    <t>=U2779-W2779</t>
  </si>
  <si>
    <t>=IF(U2779&lt;&gt;0,X2779/U2779,"")</t>
  </si>
  <si>
    <t>=NL("Sum","5802 Value Entry","150 Sales Amount (Expected)","41 Source Type",$C$5,"5 Source No.",$C2779,"4 Item Ledger Entry Type",$C$4,"2 Item No.","@@"&amp;$F2779,"3 Posting Date",Z$9)+NL("Sum","5802 Value Entry","17 Sales Amount (Actual)","41 Source Type",$C$5,"5 Source no.",$C2779,"4 Item Ledger Entry Type",$C$4,"2 Item No.","@@"&amp;$F2779,"3 Posting Date",Z$9)</t>
  </si>
  <si>
    <t>=-NL("Sum","5802 Value Entry","151 Cost Amount (Expected)","41 Source Type",$C$5,"5 Source No.",$C2779,"4 Item Ledger Entry Type",$C$4,"2 Item No.","@@"&amp;$F2779,"3 Posting Date",Z$9)-NL("Sum","5802 Value Entry","43 Cost Amount (Actual)","41 Source Type",$C$5,"5 Source no.",$C2779,"4 Item Ledger Entry Type",$C$4,"2 Item No.","@@"&amp;$F2779,"3 Posting Date",Z$9)</t>
  </si>
  <si>
    <t>=Z2779-AB2779</t>
  </si>
  <si>
    <t>=IF(Z2779&lt;&gt;0,AC2779/Z2779,"")</t>
  </si>
  <si>
    <t>=C2779</t>
  </si>
  <si>
    <t>=NL("Sum","5802 Value Entry","150 Sales Amount (Expected)","41 Source Type",$C$5,"5 Source No.",$C2780,"4 Item Ledger Entry Type",$C$4,"2 Item No.","@@"&amp;$F2780,"3 Posting Date",J$9)+NL("Sum","5802 Value Entry","17 Sales Amount (Actual)","41 Source Type",$C$5,"5 Source no.",$C2780,"4 Item Ledger Entry Type",$C$4,"2 Item No.","@@"&amp;$F2780,"3 Posting Date",J$9)</t>
  </si>
  <si>
    <t>=-NL("Sum","5802 Value Entry","151 Cost Amount (Expected)","41 Source Type",$C$5,"5 Source No.",$C2780,"4 Item Ledger Entry Type",$C$4,"2 Item No.","@@"&amp;$F2780,"3 Posting Date",J$9)-NL("Sum","5802 Value Entry","43 Cost Amount (Actual)","41 Source Type",$C$5,"5 Source no.",$C2780,"4 Item Ledger Entry Type",$C$4,"2 Item No.","@@"&amp;$F2780,"3 Posting Date",J$9)</t>
  </si>
  <si>
    <t>=J2780-L2780</t>
  </si>
  <si>
    <t>=IF(J2780&lt;&gt;0,M2780/J2780,"")</t>
  </si>
  <si>
    <t>=NL("Sum","5802 Value Entry","150 Sales Amount (Expected)","41 Source Type",$C$5,"5 Source No.",$C2780,"4 Item Ledger Entry Type",$C$4,"2 Item No.","@@"&amp;$F2780,"3 Posting Date",O$9)+NL("Sum","5802 Value Entry","17 Sales Amount (Actual)","41 Source Type",$C$5,"5 Source no.",$C2780,"4 Item Ledger Entry Type",$C$4,"2 Item No.","@@"&amp;$F2780,"3 Posting Date",O$9)</t>
  </si>
  <si>
    <t>=-NL("Sum","5802 Value Entry","151 Cost Amount (Expected)","41 Source Type",$C$5,"5 Source No.",$C2780,"4 Item Ledger Entry Type",$C$4,"2 Item No.","@@"&amp;$F2780,"3 Posting Date",O$9)-NL("Sum","5802 Value Entry","43 Cost Amount (Actual)","41 Source Type",$C$5,"5 Source no.",$C2780,"4 Item Ledger Entry Type",$C$4,"2 Item No.","@@"&amp;$F2780,"3 Posting Date",O$9)</t>
  </si>
  <si>
    <t>=O2780-Q2780</t>
  </si>
  <si>
    <t>=IF(O2780&lt;&gt;0,R2780/O2780,"")</t>
  </si>
  <si>
    <t>=NL("Sum","5802 Value Entry","150 Sales Amount (Expected)","41 Source Type",$C$5,"5 Source No.",$C2780,"4 Item Ledger Entry Type",$C$4,"2 Item No.","@@"&amp;$F2780,"3 Posting Date",U$9)+NL("Sum","5802 Value Entry","17 Sales Amount (Actual)","41 Source Type",$C$5,"5 Source no.",$C2780,"4 Item Ledger Entry Type",$C$4,"2 Item No.","@@"&amp;$F2780,"3 Posting Date",U$9)</t>
  </si>
  <si>
    <t>=-NL("Sum","5802 Value Entry","151 Cost Amount (Expected)","41 Source Type",$C$5,"5 Source No.",$C2780,"4 Item Ledger Entry Type",$C$4,"2 Item No.","@@"&amp;$F2780,"3 Posting Date",U$9)-NL("Sum","5802 Value Entry","43 Cost Amount (Actual)","41 Source Type",$C$5,"5 Source no.",$C2780,"4 Item Ledger Entry Type",$C$4,"2 Item No.","@@"&amp;$F2780,"3 Posting Date",U$9)</t>
  </si>
  <si>
    <t>=U2780-W2780</t>
  </si>
  <si>
    <t>=IF(U2780&lt;&gt;0,X2780/U2780,"")</t>
  </si>
  <si>
    <t>=NL("Sum","5802 Value Entry","150 Sales Amount (Expected)","41 Source Type",$C$5,"5 Source No.",$C2780,"4 Item Ledger Entry Type",$C$4,"2 Item No.","@@"&amp;$F2780,"3 Posting Date",Z$9)+NL("Sum","5802 Value Entry","17 Sales Amount (Actual)","41 Source Type",$C$5,"5 Source no.",$C2780,"4 Item Ledger Entry Type",$C$4,"2 Item No.","@@"&amp;$F2780,"3 Posting Date",Z$9)</t>
  </si>
  <si>
    <t>=-NL("Sum","5802 Value Entry","151 Cost Amount (Expected)","41 Source Type",$C$5,"5 Source No.",$C2780,"4 Item Ledger Entry Type",$C$4,"2 Item No.","@@"&amp;$F2780,"3 Posting Date",Z$9)-NL("Sum","5802 Value Entry","43 Cost Amount (Actual)","41 Source Type",$C$5,"5 Source no.",$C2780,"4 Item Ledger Entry Type",$C$4,"2 Item No.","@@"&amp;$F2780,"3 Posting Date",Z$9)</t>
  </si>
  <si>
    <t>=Z2780-AB2780</t>
  </si>
  <si>
    <t>=IF(Z2780&lt;&gt;0,AC2780/Z2780,"")</t>
  </si>
  <si>
    <t>=C2780</t>
  </si>
  <si>
    <t>=NL("Sum","5802 Value Entry","150 Sales Amount (Expected)","41 Source Type",$C$5,"5 Source No.",$C2781,"4 Item Ledger Entry Type",$C$4,"2 Item No.","@@"&amp;$F2781,"3 Posting Date",J$9)+NL("Sum","5802 Value Entry","17 Sales Amount (Actual)","41 Source Type",$C$5,"5 Source no.",$C2781,"4 Item Ledger Entry Type",$C$4,"2 Item No.","@@"&amp;$F2781,"3 Posting Date",J$9)</t>
  </si>
  <si>
    <t>=-NL("Sum","5802 Value Entry","151 Cost Amount (Expected)","41 Source Type",$C$5,"5 Source No.",$C2781,"4 Item Ledger Entry Type",$C$4,"2 Item No.","@@"&amp;$F2781,"3 Posting Date",J$9)-NL("Sum","5802 Value Entry","43 Cost Amount (Actual)","41 Source Type",$C$5,"5 Source no.",$C2781,"4 Item Ledger Entry Type",$C$4,"2 Item No.","@@"&amp;$F2781,"3 Posting Date",J$9)</t>
  </si>
  <si>
    <t>=J2781-L2781</t>
  </si>
  <si>
    <t>=IF(J2781&lt;&gt;0,M2781/J2781,"")</t>
  </si>
  <si>
    <t>=NL("Sum","5802 Value Entry","150 Sales Amount (Expected)","41 Source Type",$C$5,"5 Source No.",$C2781,"4 Item Ledger Entry Type",$C$4,"2 Item No.","@@"&amp;$F2781,"3 Posting Date",O$9)+NL("Sum","5802 Value Entry","17 Sales Amount (Actual)","41 Source Type",$C$5,"5 Source no.",$C2781,"4 Item Ledger Entry Type",$C$4,"2 Item No.","@@"&amp;$F2781,"3 Posting Date",O$9)</t>
  </si>
  <si>
    <t>=-NL("Sum","5802 Value Entry","151 Cost Amount (Expected)","41 Source Type",$C$5,"5 Source No.",$C2781,"4 Item Ledger Entry Type",$C$4,"2 Item No.","@@"&amp;$F2781,"3 Posting Date",O$9)-NL("Sum","5802 Value Entry","43 Cost Amount (Actual)","41 Source Type",$C$5,"5 Source no.",$C2781,"4 Item Ledger Entry Type",$C$4,"2 Item No.","@@"&amp;$F2781,"3 Posting Date",O$9)</t>
  </si>
  <si>
    <t>=O2781-Q2781</t>
  </si>
  <si>
    <t>=IF(O2781&lt;&gt;0,R2781/O2781,"")</t>
  </si>
  <si>
    <t>=NL("Sum","5802 Value Entry","150 Sales Amount (Expected)","41 Source Type",$C$5,"5 Source No.",$C2781,"4 Item Ledger Entry Type",$C$4,"2 Item No.","@@"&amp;$F2781,"3 Posting Date",U$9)+NL("Sum","5802 Value Entry","17 Sales Amount (Actual)","41 Source Type",$C$5,"5 Source no.",$C2781,"4 Item Ledger Entry Type",$C$4,"2 Item No.","@@"&amp;$F2781,"3 Posting Date",U$9)</t>
  </si>
  <si>
    <t>=-NL("Sum","5802 Value Entry","151 Cost Amount (Expected)","41 Source Type",$C$5,"5 Source No.",$C2781,"4 Item Ledger Entry Type",$C$4,"2 Item No.","@@"&amp;$F2781,"3 Posting Date",U$9)-NL("Sum","5802 Value Entry","43 Cost Amount (Actual)","41 Source Type",$C$5,"5 Source no.",$C2781,"4 Item Ledger Entry Type",$C$4,"2 Item No.","@@"&amp;$F2781,"3 Posting Date",U$9)</t>
  </si>
  <si>
    <t>=U2781-W2781</t>
  </si>
  <si>
    <t>=IF(U2781&lt;&gt;0,X2781/U2781,"")</t>
  </si>
  <si>
    <t>=NL("Sum","5802 Value Entry","150 Sales Amount (Expected)","41 Source Type",$C$5,"5 Source No.",$C2781,"4 Item Ledger Entry Type",$C$4,"2 Item No.","@@"&amp;$F2781,"3 Posting Date",Z$9)+NL("Sum","5802 Value Entry","17 Sales Amount (Actual)","41 Source Type",$C$5,"5 Source no.",$C2781,"4 Item Ledger Entry Type",$C$4,"2 Item No.","@@"&amp;$F2781,"3 Posting Date",Z$9)</t>
  </si>
  <si>
    <t>=-NL("Sum","5802 Value Entry","151 Cost Amount (Expected)","41 Source Type",$C$5,"5 Source No.",$C2781,"4 Item Ledger Entry Type",$C$4,"2 Item No.","@@"&amp;$F2781,"3 Posting Date",Z$9)-NL("Sum","5802 Value Entry","43 Cost Amount (Actual)","41 Source Type",$C$5,"5 Source no.",$C2781,"4 Item Ledger Entry Type",$C$4,"2 Item No.","@@"&amp;$F2781,"3 Posting Date",Z$9)</t>
  </si>
  <si>
    <t>=Z2781-AB2781</t>
  </si>
  <si>
    <t>=IF(Z2781&lt;&gt;0,AC2781/Z2781,"")</t>
  </si>
  <si>
    <t>=C2781</t>
  </si>
  <si>
    <t>=NL("Sum","5802 Value Entry","150 Sales Amount (Expected)","41 Source Type",$C$5,"5 Source No.",$C2782,"4 Item Ledger Entry Type",$C$4,"2 Item No.","@@"&amp;$F2782,"3 Posting Date",J$9)+NL("Sum","5802 Value Entry","17 Sales Amount (Actual)","41 Source Type",$C$5,"5 Source no.",$C2782,"4 Item Ledger Entry Type",$C$4,"2 Item No.","@@"&amp;$F2782,"3 Posting Date",J$9)</t>
  </si>
  <si>
    <t>=-NL("Sum","5802 Value Entry","151 Cost Amount (Expected)","41 Source Type",$C$5,"5 Source No.",$C2782,"4 Item Ledger Entry Type",$C$4,"2 Item No.","@@"&amp;$F2782,"3 Posting Date",J$9)-NL("Sum","5802 Value Entry","43 Cost Amount (Actual)","41 Source Type",$C$5,"5 Source no.",$C2782,"4 Item Ledger Entry Type",$C$4,"2 Item No.","@@"&amp;$F2782,"3 Posting Date",J$9)</t>
  </si>
  <si>
    <t>=J2782-L2782</t>
  </si>
  <si>
    <t>=IF(J2782&lt;&gt;0,M2782/J2782,"")</t>
  </si>
  <si>
    <t>=NL("Sum","5802 Value Entry","150 Sales Amount (Expected)","41 Source Type",$C$5,"5 Source No.",$C2782,"4 Item Ledger Entry Type",$C$4,"2 Item No.","@@"&amp;$F2782,"3 Posting Date",O$9)+NL("Sum","5802 Value Entry","17 Sales Amount (Actual)","41 Source Type",$C$5,"5 Source no.",$C2782,"4 Item Ledger Entry Type",$C$4,"2 Item No.","@@"&amp;$F2782,"3 Posting Date",O$9)</t>
  </si>
  <si>
    <t>=-NL("Sum","5802 Value Entry","151 Cost Amount (Expected)","41 Source Type",$C$5,"5 Source No.",$C2782,"4 Item Ledger Entry Type",$C$4,"2 Item No.","@@"&amp;$F2782,"3 Posting Date",O$9)-NL("Sum","5802 Value Entry","43 Cost Amount (Actual)","41 Source Type",$C$5,"5 Source no.",$C2782,"4 Item Ledger Entry Type",$C$4,"2 Item No.","@@"&amp;$F2782,"3 Posting Date",O$9)</t>
  </si>
  <si>
    <t>=O2782-Q2782</t>
  </si>
  <si>
    <t>=IF(O2782&lt;&gt;0,R2782/O2782,"")</t>
  </si>
  <si>
    <t>=NL("Sum","5802 Value Entry","150 Sales Amount (Expected)","41 Source Type",$C$5,"5 Source No.",$C2782,"4 Item Ledger Entry Type",$C$4,"2 Item No.","@@"&amp;$F2782,"3 Posting Date",U$9)+NL("Sum","5802 Value Entry","17 Sales Amount (Actual)","41 Source Type",$C$5,"5 Source no.",$C2782,"4 Item Ledger Entry Type",$C$4,"2 Item No.","@@"&amp;$F2782,"3 Posting Date",U$9)</t>
  </si>
  <si>
    <t>=-NL("Sum","5802 Value Entry","151 Cost Amount (Expected)","41 Source Type",$C$5,"5 Source No.",$C2782,"4 Item Ledger Entry Type",$C$4,"2 Item No.","@@"&amp;$F2782,"3 Posting Date",U$9)-NL("Sum","5802 Value Entry","43 Cost Amount (Actual)","41 Source Type",$C$5,"5 Source no.",$C2782,"4 Item Ledger Entry Type",$C$4,"2 Item No.","@@"&amp;$F2782,"3 Posting Date",U$9)</t>
  </si>
  <si>
    <t>=U2782-W2782</t>
  </si>
  <si>
    <t>=IF(U2782&lt;&gt;0,X2782/U2782,"")</t>
  </si>
  <si>
    <t>=NL("Sum","5802 Value Entry","150 Sales Amount (Expected)","41 Source Type",$C$5,"5 Source No.",$C2782,"4 Item Ledger Entry Type",$C$4,"2 Item No.","@@"&amp;$F2782,"3 Posting Date",Z$9)+NL("Sum","5802 Value Entry","17 Sales Amount (Actual)","41 Source Type",$C$5,"5 Source no.",$C2782,"4 Item Ledger Entry Type",$C$4,"2 Item No.","@@"&amp;$F2782,"3 Posting Date",Z$9)</t>
  </si>
  <si>
    <t>=-NL("Sum","5802 Value Entry","151 Cost Amount (Expected)","41 Source Type",$C$5,"5 Source No.",$C2782,"4 Item Ledger Entry Type",$C$4,"2 Item No.","@@"&amp;$F2782,"3 Posting Date",Z$9)-NL("Sum","5802 Value Entry","43 Cost Amount (Actual)","41 Source Type",$C$5,"5 Source no.",$C2782,"4 Item Ledger Entry Type",$C$4,"2 Item No.","@@"&amp;$F2782,"3 Posting Date",Z$9)</t>
  </si>
  <si>
    <t>=Z2782-AB2782</t>
  </si>
  <si>
    <t>=IF(Z2782&lt;&gt;0,AC2782/Z2782,"")</t>
  </si>
  <si>
    <t>=C2782</t>
  </si>
  <si>
    <t>=NL("Sum","5802 Value Entry","150 Sales Amount (Expected)","41 Source Type",$C$5,"5 Source No.",$C2783,"4 Item Ledger Entry Type",$C$4,"2 Item No.","@@"&amp;$F2783,"3 Posting Date",J$9)+NL("Sum","5802 Value Entry","17 Sales Amount (Actual)","41 Source Type",$C$5,"5 Source no.",$C2783,"4 Item Ledger Entry Type",$C$4,"2 Item No.","@@"&amp;$F2783,"3 Posting Date",J$9)</t>
  </si>
  <si>
    <t>=-NL("Sum","5802 Value Entry","151 Cost Amount (Expected)","41 Source Type",$C$5,"5 Source No.",$C2783,"4 Item Ledger Entry Type",$C$4,"2 Item No.","@@"&amp;$F2783,"3 Posting Date",J$9)-NL("Sum","5802 Value Entry","43 Cost Amount (Actual)","41 Source Type",$C$5,"5 Source no.",$C2783,"4 Item Ledger Entry Type",$C$4,"2 Item No.","@@"&amp;$F2783,"3 Posting Date",J$9)</t>
  </si>
  <si>
    <t>=J2783-L2783</t>
  </si>
  <si>
    <t>=IF(J2783&lt;&gt;0,M2783/J2783,"")</t>
  </si>
  <si>
    <t>=NL("Sum","5802 Value Entry","150 Sales Amount (Expected)","41 Source Type",$C$5,"5 Source No.",$C2783,"4 Item Ledger Entry Type",$C$4,"2 Item No.","@@"&amp;$F2783,"3 Posting Date",O$9)+NL("Sum","5802 Value Entry","17 Sales Amount (Actual)","41 Source Type",$C$5,"5 Source no.",$C2783,"4 Item Ledger Entry Type",$C$4,"2 Item No.","@@"&amp;$F2783,"3 Posting Date",O$9)</t>
  </si>
  <si>
    <t>=-NL("Sum","5802 Value Entry","151 Cost Amount (Expected)","41 Source Type",$C$5,"5 Source No.",$C2783,"4 Item Ledger Entry Type",$C$4,"2 Item No.","@@"&amp;$F2783,"3 Posting Date",O$9)-NL("Sum","5802 Value Entry","43 Cost Amount (Actual)","41 Source Type",$C$5,"5 Source no.",$C2783,"4 Item Ledger Entry Type",$C$4,"2 Item No.","@@"&amp;$F2783,"3 Posting Date",O$9)</t>
  </si>
  <si>
    <t>=O2783-Q2783</t>
  </si>
  <si>
    <t>=IF(O2783&lt;&gt;0,R2783/O2783,"")</t>
  </si>
  <si>
    <t>=NL("Sum","5802 Value Entry","150 Sales Amount (Expected)","41 Source Type",$C$5,"5 Source No.",$C2783,"4 Item Ledger Entry Type",$C$4,"2 Item No.","@@"&amp;$F2783,"3 Posting Date",U$9)+NL("Sum","5802 Value Entry","17 Sales Amount (Actual)","41 Source Type",$C$5,"5 Source no.",$C2783,"4 Item Ledger Entry Type",$C$4,"2 Item No.","@@"&amp;$F2783,"3 Posting Date",U$9)</t>
  </si>
  <si>
    <t>=-NL("Sum","5802 Value Entry","151 Cost Amount (Expected)","41 Source Type",$C$5,"5 Source No.",$C2783,"4 Item Ledger Entry Type",$C$4,"2 Item No.","@@"&amp;$F2783,"3 Posting Date",U$9)-NL("Sum","5802 Value Entry","43 Cost Amount (Actual)","41 Source Type",$C$5,"5 Source no.",$C2783,"4 Item Ledger Entry Type",$C$4,"2 Item No.","@@"&amp;$F2783,"3 Posting Date",U$9)</t>
  </si>
  <si>
    <t>=U2783-W2783</t>
  </si>
  <si>
    <t>=IF(U2783&lt;&gt;0,X2783/U2783,"")</t>
  </si>
  <si>
    <t>=NL("Sum","5802 Value Entry","150 Sales Amount (Expected)","41 Source Type",$C$5,"5 Source No.",$C2783,"4 Item Ledger Entry Type",$C$4,"2 Item No.","@@"&amp;$F2783,"3 Posting Date",Z$9)+NL("Sum","5802 Value Entry","17 Sales Amount (Actual)","41 Source Type",$C$5,"5 Source no.",$C2783,"4 Item Ledger Entry Type",$C$4,"2 Item No.","@@"&amp;$F2783,"3 Posting Date",Z$9)</t>
  </si>
  <si>
    <t>=-NL("Sum","5802 Value Entry","151 Cost Amount (Expected)","41 Source Type",$C$5,"5 Source No.",$C2783,"4 Item Ledger Entry Type",$C$4,"2 Item No.","@@"&amp;$F2783,"3 Posting Date",Z$9)-NL("Sum","5802 Value Entry","43 Cost Amount (Actual)","41 Source Type",$C$5,"5 Source no.",$C2783,"4 Item Ledger Entry Type",$C$4,"2 Item No.","@@"&amp;$F2783,"3 Posting Date",Z$9)</t>
  </si>
  <si>
    <t>=Z2783-AB2783</t>
  </si>
  <si>
    <t>=IF(Z2783&lt;&gt;0,AC2783/Z2783,"")</t>
  </si>
  <si>
    <t>=C2783</t>
  </si>
  <si>
    <t>=NL("Sum","5802 Value Entry","150 Sales Amount (Expected)","41 Source Type",$C$5,"5 Source No.",$C2784,"4 Item Ledger Entry Type",$C$4,"2 Item No.","@@"&amp;$F2784,"3 Posting Date",J$9)+NL("Sum","5802 Value Entry","17 Sales Amount (Actual)","41 Source Type",$C$5,"5 Source no.",$C2784,"4 Item Ledger Entry Type",$C$4,"2 Item No.","@@"&amp;$F2784,"3 Posting Date",J$9)</t>
  </si>
  <si>
    <t>=-NL("Sum","5802 Value Entry","151 Cost Amount (Expected)","41 Source Type",$C$5,"5 Source No.",$C2784,"4 Item Ledger Entry Type",$C$4,"2 Item No.","@@"&amp;$F2784,"3 Posting Date",J$9)-NL("Sum","5802 Value Entry","43 Cost Amount (Actual)","41 Source Type",$C$5,"5 Source no.",$C2784,"4 Item Ledger Entry Type",$C$4,"2 Item No.","@@"&amp;$F2784,"3 Posting Date",J$9)</t>
  </si>
  <si>
    <t>=J2784-L2784</t>
  </si>
  <si>
    <t>=IF(J2784&lt;&gt;0,M2784/J2784,"")</t>
  </si>
  <si>
    <t>=NL("Sum","5802 Value Entry","150 Sales Amount (Expected)","41 Source Type",$C$5,"5 Source No.",$C2784,"4 Item Ledger Entry Type",$C$4,"2 Item No.","@@"&amp;$F2784,"3 Posting Date",O$9)+NL("Sum","5802 Value Entry","17 Sales Amount (Actual)","41 Source Type",$C$5,"5 Source no.",$C2784,"4 Item Ledger Entry Type",$C$4,"2 Item No.","@@"&amp;$F2784,"3 Posting Date",O$9)</t>
  </si>
  <si>
    <t>=-NL("Sum","5802 Value Entry","151 Cost Amount (Expected)","41 Source Type",$C$5,"5 Source No.",$C2784,"4 Item Ledger Entry Type",$C$4,"2 Item No.","@@"&amp;$F2784,"3 Posting Date",O$9)-NL("Sum","5802 Value Entry","43 Cost Amount (Actual)","41 Source Type",$C$5,"5 Source no.",$C2784,"4 Item Ledger Entry Type",$C$4,"2 Item No.","@@"&amp;$F2784,"3 Posting Date",O$9)</t>
  </si>
  <si>
    <t>=O2784-Q2784</t>
  </si>
  <si>
    <t>=IF(O2784&lt;&gt;0,R2784/O2784,"")</t>
  </si>
  <si>
    <t>=NL("Sum","5802 Value Entry","150 Sales Amount (Expected)","41 Source Type",$C$5,"5 Source No.",$C2784,"4 Item Ledger Entry Type",$C$4,"2 Item No.","@@"&amp;$F2784,"3 Posting Date",U$9)+NL("Sum","5802 Value Entry","17 Sales Amount (Actual)","41 Source Type",$C$5,"5 Source no.",$C2784,"4 Item Ledger Entry Type",$C$4,"2 Item No.","@@"&amp;$F2784,"3 Posting Date",U$9)</t>
  </si>
  <si>
    <t>=-NL("Sum","5802 Value Entry","151 Cost Amount (Expected)","41 Source Type",$C$5,"5 Source No.",$C2784,"4 Item Ledger Entry Type",$C$4,"2 Item No.","@@"&amp;$F2784,"3 Posting Date",U$9)-NL("Sum","5802 Value Entry","43 Cost Amount (Actual)","41 Source Type",$C$5,"5 Source no.",$C2784,"4 Item Ledger Entry Type",$C$4,"2 Item No.","@@"&amp;$F2784,"3 Posting Date",U$9)</t>
  </si>
  <si>
    <t>=U2784-W2784</t>
  </si>
  <si>
    <t>=IF(U2784&lt;&gt;0,X2784/U2784,"")</t>
  </si>
  <si>
    <t>=NL("Sum","5802 Value Entry","150 Sales Amount (Expected)","41 Source Type",$C$5,"5 Source No.",$C2784,"4 Item Ledger Entry Type",$C$4,"2 Item No.","@@"&amp;$F2784,"3 Posting Date",Z$9)+NL("Sum","5802 Value Entry","17 Sales Amount (Actual)","41 Source Type",$C$5,"5 Source no.",$C2784,"4 Item Ledger Entry Type",$C$4,"2 Item No.","@@"&amp;$F2784,"3 Posting Date",Z$9)</t>
  </si>
  <si>
    <t>=-NL("Sum","5802 Value Entry","151 Cost Amount (Expected)","41 Source Type",$C$5,"5 Source No.",$C2784,"4 Item Ledger Entry Type",$C$4,"2 Item No.","@@"&amp;$F2784,"3 Posting Date",Z$9)-NL("Sum","5802 Value Entry","43 Cost Amount (Actual)","41 Source Type",$C$5,"5 Source no.",$C2784,"4 Item Ledger Entry Type",$C$4,"2 Item No.","@@"&amp;$F2784,"3 Posting Date",Z$9)</t>
  </si>
  <si>
    <t>=Z2784-AB2784</t>
  </si>
  <si>
    <t>=IF(Z2784&lt;&gt;0,AC2784/Z2784,"")</t>
  </si>
  <si>
    <t>=C2784</t>
  </si>
  <si>
    <t>=NL("Sum","5802 Value Entry","150 Sales Amount (Expected)","41 Source Type",$C$5,"5 Source No.",$C2785,"4 Item Ledger Entry Type",$C$4,"2 Item No.","@@"&amp;$F2785,"3 Posting Date",J$9)+NL("Sum","5802 Value Entry","17 Sales Amount (Actual)","41 Source Type",$C$5,"5 Source no.",$C2785,"4 Item Ledger Entry Type",$C$4,"2 Item No.","@@"&amp;$F2785,"3 Posting Date",J$9)</t>
  </si>
  <si>
    <t>=-NL("Sum","5802 Value Entry","151 Cost Amount (Expected)","41 Source Type",$C$5,"5 Source No.",$C2785,"4 Item Ledger Entry Type",$C$4,"2 Item No.","@@"&amp;$F2785,"3 Posting Date",J$9)-NL("Sum","5802 Value Entry","43 Cost Amount (Actual)","41 Source Type",$C$5,"5 Source no.",$C2785,"4 Item Ledger Entry Type",$C$4,"2 Item No.","@@"&amp;$F2785,"3 Posting Date",J$9)</t>
  </si>
  <si>
    <t>=J2785-L2785</t>
  </si>
  <si>
    <t>=IF(J2785&lt;&gt;0,M2785/J2785,"")</t>
  </si>
  <si>
    <t>=NL("Sum","5802 Value Entry","150 Sales Amount (Expected)","41 Source Type",$C$5,"5 Source No.",$C2785,"4 Item Ledger Entry Type",$C$4,"2 Item No.","@@"&amp;$F2785,"3 Posting Date",O$9)+NL("Sum","5802 Value Entry","17 Sales Amount (Actual)","41 Source Type",$C$5,"5 Source no.",$C2785,"4 Item Ledger Entry Type",$C$4,"2 Item No.","@@"&amp;$F2785,"3 Posting Date",O$9)</t>
  </si>
  <si>
    <t>=-NL("Sum","5802 Value Entry","151 Cost Amount (Expected)","41 Source Type",$C$5,"5 Source No.",$C2785,"4 Item Ledger Entry Type",$C$4,"2 Item No.","@@"&amp;$F2785,"3 Posting Date",O$9)-NL("Sum","5802 Value Entry","43 Cost Amount (Actual)","41 Source Type",$C$5,"5 Source no.",$C2785,"4 Item Ledger Entry Type",$C$4,"2 Item No.","@@"&amp;$F2785,"3 Posting Date",O$9)</t>
  </si>
  <si>
    <t>=O2785-Q2785</t>
  </si>
  <si>
    <t>=IF(O2785&lt;&gt;0,R2785/O2785,"")</t>
  </si>
  <si>
    <t>=NL("Sum","5802 Value Entry","150 Sales Amount (Expected)","41 Source Type",$C$5,"5 Source No.",$C2785,"4 Item Ledger Entry Type",$C$4,"2 Item No.","@@"&amp;$F2785,"3 Posting Date",U$9)+NL("Sum","5802 Value Entry","17 Sales Amount (Actual)","41 Source Type",$C$5,"5 Source no.",$C2785,"4 Item Ledger Entry Type",$C$4,"2 Item No.","@@"&amp;$F2785,"3 Posting Date",U$9)</t>
  </si>
  <si>
    <t>=-NL("Sum","5802 Value Entry","151 Cost Amount (Expected)","41 Source Type",$C$5,"5 Source No.",$C2785,"4 Item Ledger Entry Type",$C$4,"2 Item No.","@@"&amp;$F2785,"3 Posting Date",U$9)-NL("Sum","5802 Value Entry","43 Cost Amount (Actual)","41 Source Type",$C$5,"5 Source no.",$C2785,"4 Item Ledger Entry Type",$C$4,"2 Item No.","@@"&amp;$F2785,"3 Posting Date",U$9)</t>
  </si>
  <si>
    <t>=U2785-W2785</t>
  </si>
  <si>
    <t>=IF(U2785&lt;&gt;0,X2785/U2785,"")</t>
  </si>
  <si>
    <t>=NL("Sum","5802 Value Entry","150 Sales Amount (Expected)","41 Source Type",$C$5,"5 Source No.",$C2785,"4 Item Ledger Entry Type",$C$4,"2 Item No.","@@"&amp;$F2785,"3 Posting Date",Z$9)+NL("Sum","5802 Value Entry","17 Sales Amount (Actual)","41 Source Type",$C$5,"5 Source no.",$C2785,"4 Item Ledger Entry Type",$C$4,"2 Item No.","@@"&amp;$F2785,"3 Posting Date",Z$9)</t>
  </si>
  <si>
    <t>=-NL("Sum","5802 Value Entry","151 Cost Amount (Expected)","41 Source Type",$C$5,"5 Source No.",$C2785,"4 Item Ledger Entry Type",$C$4,"2 Item No.","@@"&amp;$F2785,"3 Posting Date",Z$9)-NL("Sum","5802 Value Entry","43 Cost Amount (Actual)","41 Source Type",$C$5,"5 Source no.",$C2785,"4 Item Ledger Entry Type",$C$4,"2 Item No.","@@"&amp;$F2785,"3 Posting Date",Z$9)</t>
  </si>
  <si>
    <t>=Z2785-AB2785</t>
  </si>
  <si>
    <t>=IF(Z2785&lt;&gt;0,AC2785/Z2785,"")</t>
  </si>
  <si>
    <t>=C2785</t>
  </si>
  <si>
    <t>=NL("Sum","5802 Value Entry","150 Sales Amount (Expected)","41 Source Type",$C$5,"5 Source No.",$C2786,"4 Item Ledger Entry Type",$C$4,"2 Item No.","@@"&amp;$F2786,"3 Posting Date",J$9)+NL("Sum","5802 Value Entry","17 Sales Amount (Actual)","41 Source Type",$C$5,"5 Source no.",$C2786,"4 Item Ledger Entry Type",$C$4,"2 Item No.","@@"&amp;$F2786,"3 Posting Date",J$9)</t>
  </si>
  <si>
    <t>=-NL("Sum","5802 Value Entry","151 Cost Amount (Expected)","41 Source Type",$C$5,"5 Source No.",$C2786,"4 Item Ledger Entry Type",$C$4,"2 Item No.","@@"&amp;$F2786,"3 Posting Date",J$9)-NL("Sum","5802 Value Entry","43 Cost Amount (Actual)","41 Source Type",$C$5,"5 Source no.",$C2786,"4 Item Ledger Entry Type",$C$4,"2 Item No.","@@"&amp;$F2786,"3 Posting Date",J$9)</t>
  </si>
  <si>
    <t>=J2786-L2786</t>
  </si>
  <si>
    <t>=IF(J2786&lt;&gt;0,M2786/J2786,"")</t>
  </si>
  <si>
    <t>=NL("Sum","5802 Value Entry","150 Sales Amount (Expected)","41 Source Type",$C$5,"5 Source No.",$C2786,"4 Item Ledger Entry Type",$C$4,"2 Item No.","@@"&amp;$F2786,"3 Posting Date",O$9)+NL("Sum","5802 Value Entry","17 Sales Amount (Actual)","41 Source Type",$C$5,"5 Source no.",$C2786,"4 Item Ledger Entry Type",$C$4,"2 Item No.","@@"&amp;$F2786,"3 Posting Date",O$9)</t>
  </si>
  <si>
    <t>=-NL("Sum","5802 Value Entry","151 Cost Amount (Expected)","41 Source Type",$C$5,"5 Source No.",$C2786,"4 Item Ledger Entry Type",$C$4,"2 Item No.","@@"&amp;$F2786,"3 Posting Date",O$9)-NL("Sum","5802 Value Entry","43 Cost Amount (Actual)","41 Source Type",$C$5,"5 Source no.",$C2786,"4 Item Ledger Entry Type",$C$4,"2 Item No.","@@"&amp;$F2786,"3 Posting Date",O$9)</t>
  </si>
  <si>
    <t>=O2786-Q2786</t>
  </si>
  <si>
    <t>=IF(O2786&lt;&gt;0,R2786/O2786,"")</t>
  </si>
  <si>
    <t>=NL("Sum","5802 Value Entry","150 Sales Amount (Expected)","41 Source Type",$C$5,"5 Source No.",$C2786,"4 Item Ledger Entry Type",$C$4,"2 Item No.","@@"&amp;$F2786,"3 Posting Date",U$9)+NL("Sum","5802 Value Entry","17 Sales Amount (Actual)","41 Source Type",$C$5,"5 Source no.",$C2786,"4 Item Ledger Entry Type",$C$4,"2 Item No.","@@"&amp;$F2786,"3 Posting Date",U$9)</t>
  </si>
  <si>
    <t>=-NL("Sum","5802 Value Entry","151 Cost Amount (Expected)","41 Source Type",$C$5,"5 Source No.",$C2786,"4 Item Ledger Entry Type",$C$4,"2 Item No.","@@"&amp;$F2786,"3 Posting Date",U$9)-NL("Sum","5802 Value Entry","43 Cost Amount (Actual)","41 Source Type",$C$5,"5 Source no.",$C2786,"4 Item Ledger Entry Type",$C$4,"2 Item No.","@@"&amp;$F2786,"3 Posting Date",U$9)</t>
  </si>
  <si>
    <t>=U2786-W2786</t>
  </si>
  <si>
    <t>=IF(U2786&lt;&gt;0,X2786/U2786,"")</t>
  </si>
  <si>
    <t>=NL("Sum","5802 Value Entry","150 Sales Amount (Expected)","41 Source Type",$C$5,"5 Source No.",$C2786,"4 Item Ledger Entry Type",$C$4,"2 Item No.","@@"&amp;$F2786,"3 Posting Date",Z$9)+NL("Sum","5802 Value Entry","17 Sales Amount (Actual)","41 Source Type",$C$5,"5 Source no.",$C2786,"4 Item Ledger Entry Type",$C$4,"2 Item No.","@@"&amp;$F2786,"3 Posting Date",Z$9)</t>
  </si>
  <si>
    <t>=-NL("Sum","5802 Value Entry","151 Cost Amount (Expected)","41 Source Type",$C$5,"5 Source No.",$C2786,"4 Item Ledger Entry Type",$C$4,"2 Item No.","@@"&amp;$F2786,"3 Posting Date",Z$9)-NL("Sum","5802 Value Entry","43 Cost Amount (Actual)","41 Source Type",$C$5,"5 Source no.",$C2786,"4 Item Ledger Entry Type",$C$4,"2 Item No.","@@"&amp;$F2786,"3 Posting Date",Z$9)</t>
  </si>
  <si>
    <t>=Z2786-AB2786</t>
  </si>
  <si>
    <t>=IF(Z2786&lt;&gt;0,AC2786/Z2786,"")</t>
  </si>
  <si>
    <t>=C2786</t>
  </si>
  <si>
    <t>=NL("Sum","5802 Value Entry","150 Sales Amount (Expected)","41 Source Type",$C$5,"5 Source No.",$C2787,"4 Item Ledger Entry Type",$C$4,"2 Item No.","@@"&amp;$F2787,"3 Posting Date",J$9)+NL("Sum","5802 Value Entry","17 Sales Amount (Actual)","41 Source Type",$C$5,"5 Source no.",$C2787,"4 Item Ledger Entry Type",$C$4,"2 Item No.","@@"&amp;$F2787,"3 Posting Date",J$9)</t>
  </si>
  <si>
    <t>=-NL("Sum","5802 Value Entry","151 Cost Amount (Expected)","41 Source Type",$C$5,"5 Source No.",$C2787,"4 Item Ledger Entry Type",$C$4,"2 Item No.","@@"&amp;$F2787,"3 Posting Date",J$9)-NL("Sum","5802 Value Entry","43 Cost Amount (Actual)","41 Source Type",$C$5,"5 Source no.",$C2787,"4 Item Ledger Entry Type",$C$4,"2 Item No.","@@"&amp;$F2787,"3 Posting Date",J$9)</t>
  </si>
  <si>
    <t>=J2787-L2787</t>
  </si>
  <si>
    <t>=IF(J2787&lt;&gt;0,M2787/J2787,"")</t>
  </si>
  <si>
    <t>=NL("Sum","5802 Value Entry","150 Sales Amount (Expected)","41 Source Type",$C$5,"5 Source No.",$C2787,"4 Item Ledger Entry Type",$C$4,"2 Item No.","@@"&amp;$F2787,"3 Posting Date",O$9)+NL("Sum","5802 Value Entry","17 Sales Amount (Actual)","41 Source Type",$C$5,"5 Source no.",$C2787,"4 Item Ledger Entry Type",$C$4,"2 Item No.","@@"&amp;$F2787,"3 Posting Date",O$9)</t>
  </si>
  <si>
    <t>=-NL("Sum","5802 Value Entry","151 Cost Amount (Expected)","41 Source Type",$C$5,"5 Source No.",$C2787,"4 Item Ledger Entry Type",$C$4,"2 Item No.","@@"&amp;$F2787,"3 Posting Date",O$9)-NL("Sum","5802 Value Entry","43 Cost Amount (Actual)","41 Source Type",$C$5,"5 Source no.",$C2787,"4 Item Ledger Entry Type",$C$4,"2 Item No.","@@"&amp;$F2787,"3 Posting Date",O$9)</t>
  </si>
  <si>
    <t>=O2787-Q2787</t>
  </si>
  <si>
    <t>=IF(O2787&lt;&gt;0,R2787/O2787,"")</t>
  </si>
  <si>
    <t>=NL("Sum","5802 Value Entry","150 Sales Amount (Expected)","41 Source Type",$C$5,"5 Source No.",$C2787,"4 Item Ledger Entry Type",$C$4,"2 Item No.","@@"&amp;$F2787,"3 Posting Date",U$9)+NL("Sum","5802 Value Entry","17 Sales Amount (Actual)","41 Source Type",$C$5,"5 Source no.",$C2787,"4 Item Ledger Entry Type",$C$4,"2 Item No.","@@"&amp;$F2787,"3 Posting Date",U$9)</t>
  </si>
  <si>
    <t>=-NL("Sum","5802 Value Entry","151 Cost Amount (Expected)","41 Source Type",$C$5,"5 Source No.",$C2787,"4 Item Ledger Entry Type",$C$4,"2 Item No.","@@"&amp;$F2787,"3 Posting Date",U$9)-NL("Sum","5802 Value Entry","43 Cost Amount (Actual)","41 Source Type",$C$5,"5 Source no.",$C2787,"4 Item Ledger Entry Type",$C$4,"2 Item No.","@@"&amp;$F2787,"3 Posting Date",U$9)</t>
  </si>
  <si>
    <t>=U2787-W2787</t>
  </si>
  <si>
    <t>=IF(U2787&lt;&gt;0,X2787/U2787,"")</t>
  </si>
  <si>
    <t>=NL("Sum","5802 Value Entry","150 Sales Amount (Expected)","41 Source Type",$C$5,"5 Source No.",$C2787,"4 Item Ledger Entry Type",$C$4,"2 Item No.","@@"&amp;$F2787,"3 Posting Date",Z$9)+NL("Sum","5802 Value Entry","17 Sales Amount (Actual)","41 Source Type",$C$5,"5 Source no.",$C2787,"4 Item Ledger Entry Type",$C$4,"2 Item No.","@@"&amp;$F2787,"3 Posting Date",Z$9)</t>
  </si>
  <si>
    <t>=-NL("Sum","5802 Value Entry","151 Cost Amount (Expected)","41 Source Type",$C$5,"5 Source No.",$C2787,"4 Item Ledger Entry Type",$C$4,"2 Item No.","@@"&amp;$F2787,"3 Posting Date",Z$9)-NL("Sum","5802 Value Entry","43 Cost Amount (Actual)","41 Source Type",$C$5,"5 Source no.",$C2787,"4 Item Ledger Entry Type",$C$4,"2 Item No.","@@"&amp;$F2787,"3 Posting Date",Z$9)</t>
  </si>
  <si>
    <t>=Z2787-AB2787</t>
  </si>
  <si>
    <t>=IF(Z2787&lt;&gt;0,AC2787/Z2787,"")</t>
  </si>
  <si>
    <t>=C2787</t>
  </si>
  <si>
    <t>=NL("Sum","5802 Value Entry","150 Sales Amount (Expected)","41 Source Type",$C$5,"5 Source No.",$C2788,"4 Item Ledger Entry Type",$C$4,"2 Item No.","@@"&amp;$F2788,"3 Posting Date",J$9)+NL("Sum","5802 Value Entry","17 Sales Amount (Actual)","41 Source Type",$C$5,"5 Source no.",$C2788,"4 Item Ledger Entry Type",$C$4,"2 Item No.","@@"&amp;$F2788,"3 Posting Date",J$9)</t>
  </si>
  <si>
    <t>=-NL("Sum","5802 Value Entry","151 Cost Amount (Expected)","41 Source Type",$C$5,"5 Source No.",$C2788,"4 Item Ledger Entry Type",$C$4,"2 Item No.","@@"&amp;$F2788,"3 Posting Date",J$9)-NL("Sum","5802 Value Entry","43 Cost Amount (Actual)","41 Source Type",$C$5,"5 Source no.",$C2788,"4 Item Ledger Entry Type",$C$4,"2 Item No.","@@"&amp;$F2788,"3 Posting Date",J$9)</t>
  </si>
  <si>
    <t>=J2788-L2788</t>
  </si>
  <si>
    <t>=IF(J2788&lt;&gt;0,M2788/J2788,"")</t>
  </si>
  <si>
    <t>=NL("Sum","5802 Value Entry","150 Sales Amount (Expected)","41 Source Type",$C$5,"5 Source No.",$C2788,"4 Item Ledger Entry Type",$C$4,"2 Item No.","@@"&amp;$F2788,"3 Posting Date",O$9)+NL("Sum","5802 Value Entry","17 Sales Amount (Actual)","41 Source Type",$C$5,"5 Source no.",$C2788,"4 Item Ledger Entry Type",$C$4,"2 Item No.","@@"&amp;$F2788,"3 Posting Date",O$9)</t>
  </si>
  <si>
    <t>=-NL("Sum","5802 Value Entry","151 Cost Amount (Expected)","41 Source Type",$C$5,"5 Source No.",$C2788,"4 Item Ledger Entry Type",$C$4,"2 Item No.","@@"&amp;$F2788,"3 Posting Date",O$9)-NL("Sum","5802 Value Entry","43 Cost Amount (Actual)","41 Source Type",$C$5,"5 Source no.",$C2788,"4 Item Ledger Entry Type",$C$4,"2 Item No.","@@"&amp;$F2788,"3 Posting Date",O$9)</t>
  </si>
  <si>
    <t>=O2788-Q2788</t>
  </si>
  <si>
    <t>=IF(O2788&lt;&gt;0,R2788/O2788,"")</t>
  </si>
  <si>
    <t>=NL("Sum","5802 Value Entry","150 Sales Amount (Expected)","41 Source Type",$C$5,"5 Source No.",$C2788,"4 Item Ledger Entry Type",$C$4,"2 Item No.","@@"&amp;$F2788,"3 Posting Date",U$9)+NL("Sum","5802 Value Entry","17 Sales Amount (Actual)","41 Source Type",$C$5,"5 Source no.",$C2788,"4 Item Ledger Entry Type",$C$4,"2 Item No.","@@"&amp;$F2788,"3 Posting Date",U$9)</t>
  </si>
  <si>
    <t>=-NL("Sum","5802 Value Entry","151 Cost Amount (Expected)","41 Source Type",$C$5,"5 Source No.",$C2788,"4 Item Ledger Entry Type",$C$4,"2 Item No.","@@"&amp;$F2788,"3 Posting Date",U$9)-NL("Sum","5802 Value Entry","43 Cost Amount (Actual)","41 Source Type",$C$5,"5 Source no.",$C2788,"4 Item Ledger Entry Type",$C$4,"2 Item No.","@@"&amp;$F2788,"3 Posting Date",U$9)</t>
  </si>
  <si>
    <t>=U2788-W2788</t>
  </si>
  <si>
    <t>=IF(U2788&lt;&gt;0,X2788/U2788,"")</t>
  </si>
  <si>
    <t>=NL("Sum","5802 Value Entry","150 Sales Amount (Expected)","41 Source Type",$C$5,"5 Source No.",$C2788,"4 Item Ledger Entry Type",$C$4,"2 Item No.","@@"&amp;$F2788,"3 Posting Date",Z$9)+NL("Sum","5802 Value Entry","17 Sales Amount (Actual)","41 Source Type",$C$5,"5 Source no.",$C2788,"4 Item Ledger Entry Type",$C$4,"2 Item No.","@@"&amp;$F2788,"3 Posting Date",Z$9)</t>
  </si>
  <si>
    <t>=-NL("Sum","5802 Value Entry","151 Cost Amount (Expected)","41 Source Type",$C$5,"5 Source No.",$C2788,"4 Item Ledger Entry Type",$C$4,"2 Item No.","@@"&amp;$F2788,"3 Posting Date",Z$9)-NL("Sum","5802 Value Entry","43 Cost Amount (Actual)","41 Source Type",$C$5,"5 Source no.",$C2788,"4 Item Ledger Entry Type",$C$4,"2 Item No.","@@"&amp;$F2788,"3 Posting Date",Z$9)</t>
  </si>
  <si>
    <t>=Z2788-AB2788</t>
  </si>
  <si>
    <t>=IF(Z2788&lt;&gt;0,AC2788/Z2788,"")</t>
  </si>
  <si>
    <t>=C2788</t>
  </si>
  <si>
    <t>=NL("Sum","5802 Value Entry","150 Sales Amount (Expected)","41 Source Type",$C$5,"5 Source No.",$C2789,"4 Item Ledger Entry Type",$C$4,"2 Item No.","@@"&amp;$F2789,"3 Posting Date",J$9)+NL("Sum","5802 Value Entry","17 Sales Amount (Actual)","41 Source Type",$C$5,"5 Source no.",$C2789,"4 Item Ledger Entry Type",$C$4,"2 Item No.","@@"&amp;$F2789,"3 Posting Date",J$9)</t>
  </si>
  <si>
    <t>=-NL("Sum","5802 Value Entry","151 Cost Amount (Expected)","41 Source Type",$C$5,"5 Source No.",$C2789,"4 Item Ledger Entry Type",$C$4,"2 Item No.","@@"&amp;$F2789,"3 Posting Date",J$9)-NL("Sum","5802 Value Entry","43 Cost Amount (Actual)","41 Source Type",$C$5,"5 Source no.",$C2789,"4 Item Ledger Entry Type",$C$4,"2 Item No.","@@"&amp;$F2789,"3 Posting Date",J$9)</t>
  </si>
  <si>
    <t>=J2789-L2789</t>
  </si>
  <si>
    <t>=IF(J2789&lt;&gt;0,M2789/J2789,"")</t>
  </si>
  <si>
    <t>=NL("Sum","5802 Value Entry","150 Sales Amount (Expected)","41 Source Type",$C$5,"5 Source No.",$C2789,"4 Item Ledger Entry Type",$C$4,"2 Item No.","@@"&amp;$F2789,"3 Posting Date",O$9)+NL("Sum","5802 Value Entry","17 Sales Amount (Actual)","41 Source Type",$C$5,"5 Source no.",$C2789,"4 Item Ledger Entry Type",$C$4,"2 Item No.","@@"&amp;$F2789,"3 Posting Date",O$9)</t>
  </si>
  <si>
    <t>=-NL("Sum","5802 Value Entry","151 Cost Amount (Expected)","41 Source Type",$C$5,"5 Source No.",$C2789,"4 Item Ledger Entry Type",$C$4,"2 Item No.","@@"&amp;$F2789,"3 Posting Date",O$9)-NL("Sum","5802 Value Entry","43 Cost Amount (Actual)","41 Source Type",$C$5,"5 Source no.",$C2789,"4 Item Ledger Entry Type",$C$4,"2 Item No.","@@"&amp;$F2789,"3 Posting Date",O$9)</t>
  </si>
  <si>
    <t>=O2789-Q2789</t>
  </si>
  <si>
    <t>=IF(O2789&lt;&gt;0,R2789/O2789,"")</t>
  </si>
  <si>
    <t>=NL("Sum","5802 Value Entry","150 Sales Amount (Expected)","41 Source Type",$C$5,"5 Source No.",$C2789,"4 Item Ledger Entry Type",$C$4,"2 Item No.","@@"&amp;$F2789,"3 Posting Date",U$9)+NL("Sum","5802 Value Entry","17 Sales Amount (Actual)","41 Source Type",$C$5,"5 Source no.",$C2789,"4 Item Ledger Entry Type",$C$4,"2 Item No.","@@"&amp;$F2789,"3 Posting Date",U$9)</t>
  </si>
  <si>
    <t>=-NL("Sum","5802 Value Entry","151 Cost Amount (Expected)","41 Source Type",$C$5,"5 Source No.",$C2789,"4 Item Ledger Entry Type",$C$4,"2 Item No.","@@"&amp;$F2789,"3 Posting Date",U$9)-NL("Sum","5802 Value Entry","43 Cost Amount (Actual)","41 Source Type",$C$5,"5 Source no.",$C2789,"4 Item Ledger Entry Type",$C$4,"2 Item No.","@@"&amp;$F2789,"3 Posting Date",U$9)</t>
  </si>
  <si>
    <t>=U2789-W2789</t>
  </si>
  <si>
    <t>=IF(U2789&lt;&gt;0,X2789/U2789,"")</t>
  </si>
  <si>
    <t>=NL("Sum","5802 Value Entry","150 Sales Amount (Expected)","41 Source Type",$C$5,"5 Source No.",$C2789,"4 Item Ledger Entry Type",$C$4,"2 Item No.","@@"&amp;$F2789,"3 Posting Date",Z$9)+NL("Sum","5802 Value Entry","17 Sales Amount (Actual)","41 Source Type",$C$5,"5 Source no.",$C2789,"4 Item Ledger Entry Type",$C$4,"2 Item No.","@@"&amp;$F2789,"3 Posting Date",Z$9)</t>
  </si>
  <si>
    <t>=-NL("Sum","5802 Value Entry","151 Cost Amount (Expected)","41 Source Type",$C$5,"5 Source No.",$C2789,"4 Item Ledger Entry Type",$C$4,"2 Item No.","@@"&amp;$F2789,"3 Posting Date",Z$9)-NL("Sum","5802 Value Entry","43 Cost Amount (Actual)","41 Source Type",$C$5,"5 Source no.",$C2789,"4 Item Ledger Entry Type",$C$4,"2 Item No.","@@"&amp;$F2789,"3 Posting Date",Z$9)</t>
  </si>
  <si>
    <t>=Z2789-AB2789</t>
  </si>
  <si>
    <t>=IF(Z2789&lt;&gt;0,AC2789/Z2789,"")</t>
  </si>
  <si>
    <t>=C2789</t>
  </si>
  <si>
    <t>=NL("Sum","5802 Value Entry","150 Sales Amount (Expected)","41 Source Type",$C$5,"5 Source No.",$C2790,"4 Item Ledger Entry Type",$C$4,"2 Item No.","@@"&amp;$F2790,"3 Posting Date",J$9)+NL("Sum","5802 Value Entry","17 Sales Amount (Actual)","41 Source Type",$C$5,"5 Source no.",$C2790,"4 Item Ledger Entry Type",$C$4,"2 Item No.","@@"&amp;$F2790,"3 Posting Date",J$9)</t>
  </si>
  <si>
    <t>=-NL("Sum","5802 Value Entry","151 Cost Amount (Expected)","41 Source Type",$C$5,"5 Source No.",$C2790,"4 Item Ledger Entry Type",$C$4,"2 Item No.","@@"&amp;$F2790,"3 Posting Date",J$9)-NL("Sum","5802 Value Entry","43 Cost Amount (Actual)","41 Source Type",$C$5,"5 Source no.",$C2790,"4 Item Ledger Entry Type",$C$4,"2 Item No.","@@"&amp;$F2790,"3 Posting Date",J$9)</t>
  </si>
  <si>
    <t>=J2790-L2790</t>
  </si>
  <si>
    <t>=IF(J2790&lt;&gt;0,M2790/J2790,"")</t>
  </si>
  <si>
    <t>=NL("Sum","5802 Value Entry","150 Sales Amount (Expected)","41 Source Type",$C$5,"5 Source No.",$C2790,"4 Item Ledger Entry Type",$C$4,"2 Item No.","@@"&amp;$F2790,"3 Posting Date",O$9)+NL("Sum","5802 Value Entry","17 Sales Amount (Actual)","41 Source Type",$C$5,"5 Source no.",$C2790,"4 Item Ledger Entry Type",$C$4,"2 Item No.","@@"&amp;$F2790,"3 Posting Date",O$9)</t>
  </si>
  <si>
    <t>=-NL("Sum","5802 Value Entry","151 Cost Amount (Expected)","41 Source Type",$C$5,"5 Source No.",$C2790,"4 Item Ledger Entry Type",$C$4,"2 Item No.","@@"&amp;$F2790,"3 Posting Date",O$9)-NL("Sum","5802 Value Entry","43 Cost Amount (Actual)","41 Source Type",$C$5,"5 Source no.",$C2790,"4 Item Ledger Entry Type",$C$4,"2 Item No.","@@"&amp;$F2790,"3 Posting Date",O$9)</t>
  </si>
  <si>
    <t>=O2790-Q2790</t>
  </si>
  <si>
    <t>=IF(O2790&lt;&gt;0,R2790/O2790,"")</t>
  </si>
  <si>
    <t>=NL("Sum","5802 Value Entry","150 Sales Amount (Expected)","41 Source Type",$C$5,"5 Source No.",$C2790,"4 Item Ledger Entry Type",$C$4,"2 Item No.","@@"&amp;$F2790,"3 Posting Date",U$9)+NL("Sum","5802 Value Entry","17 Sales Amount (Actual)","41 Source Type",$C$5,"5 Source no.",$C2790,"4 Item Ledger Entry Type",$C$4,"2 Item No.","@@"&amp;$F2790,"3 Posting Date",U$9)</t>
  </si>
  <si>
    <t>=-NL("Sum","5802 Value Entry","151 Cost Amount (Expected)","41 Source Type",$C$5,"5 Source No.",$C2790,"4 Item Ledger Entry Type",$C$4,"2 Item No.","@@"&amp;$F2790,"3 Posting Date",U$9)-NL("Sum","5802 Value Entry","43 Cost Amount (Actual)","41 Source Type",$C$5,"5 Source no.",$C2790,"4 Item Ledger Entry Type",$C$4,"2 Item No.","@@"&amp;$F2790,"3 Posting Date",U$9)</t>
  </si>
  <si>
    <t>=U2790-W2790</t>
  </si>
  <si>
    <t>=IF(U2790&lt;&gt;0,X2790/U2790,"")</t>
  </si>
  <si>
    <t>=NL("Sum","5802 Value Entry","150 Sales Amount (Expected)","41 Source Type",$C$5,"5 Source No.",$C2790,"4 Item Ledger Entry Type",$C$4,"2 Item No.","@@"&amp;$F2790,"3 Posting Date",Z$9)+NL("Sum","5802 Value Entry","17 Sales Amount (Actual)","41 Source Type",$C$5,"5 Source no.",$C2790,"4 Item Ledger Entry Type",$C$4,"2 Item No.","@@"&amp;$F2790,"3 Posting Date",Z$9)</t>
  </si>
  <si>
    <t>=-NL("Sum","5802 Value Entry","151 Cost Amount (Expected)","41 Source Type",$C$5,"5 Source No.",$C2790,"4 Item Ledger Entry Type",$C$4,"2 Item No.","@@"&amp;$F2790,"3 Posting Date",Z$9)-NL("Sum","5802 Value Entry","43 Cost Amount (Actual)","41 Source Type",$C$5,"5 Source no.",$C2790,"4 Item Ledger Entry Type",$C$4,"2 Item No.","@@"&amp;$F2790,"3 Posting Date",Z$9)</t>
  </si>
  <si>
    <t>=Z2790-AB2790</t>
  </si>
  <si>
    <t>=IF(Z2790&lt;&gt;0,AC2790/Z2790,"")</t>
  </si>
  <si>
    <t>=C2790</t>
  </si>
  <si>
    <t>=NL("Sum","5802 Value Entry","150 Sales Amount (Expected)","41 Source Type",$C$5,"5 Source No.",$C2791,"4 Item Ledger Entry Type",$C$4,"2 Item No.","@@"&amp;$F2791,"3 Posting Date",J$9)+NL("Sum","5802 Value Entry","17 Sales Amount (Actual)","41 Source Type",$C$5,"5 Source no.",$C2791,"4 Item Ledger Entry Type",$C$4,"2 Item No.","@@"&amp;$F2791,"3 Posting Date",J$9)</t>
  </si>
  <si>
    <t>=-NL("Sum","5802 Value Entry","151 Cost Amount (Expected)","41 Source Type",$C$5,"5 Source No.",$C2791,"4 Item Ledger Entry Type",$C$4,"2 Item No.","@@"&amp;$F2791,"3 Posting Date",J$9)-NL("Sum","5802 Value Entry","43 Cost Amount (Actual)","41 Source Type",$C$5,"5 Source no.",$C2791,"4 Item Ledger Entry Type",$C$4,"2 Item No.","@@"&amp;$F2791,"3 Posting Date",J$9)</t>
  </si>
  <si>
    <t>=J2791-L2791</t>
  </si>
  <si>
    <t>=IF(J2791&lt;&gt;0,M2791/J2791,"")</t>
  </si>
  <si>
    <t>=NL("Sum","5802 Value Entry","150 Sales Amount (Expected)","41 Source Type",$C$5,"5 Source No.",$C2791,"4 Item Ledger Entry Type",$C$4,"2 Item No.","@@"&amp;$F2791,"3 Posting Date",O$9)+NL("Sum","5802 Value Entry","17 Sales Amount (Actual)","41 Source Type",$C$5,"5 Source no.",$C2791,"4 Item Ledger Entry Type",$C$4,"2 Item No.","@@"&amp;$F2791,"3 Posting Date",O$9)</t>
  </si>
  <si>
    <t>=-NL("Sum","5802 Value Entry","151 Cost Amount (Expected)","41 Source Type",$C$5,"5 Source No.",$C2791,"4 Item Ledger Entry Type",$C$4,"2 Item No.","@@"&amp;$F2791,"3 Posting Date",O$9)-NL("Sum","5802 Value Entry","43 Cost Amount (Actual)","41 Source Type",$C$5,"5 Source no.",$C2791,"4 Item Ledger Entry Type",$C$4,"2 Item No.","@@"&amp;$F2791,"3 Posting Date",O$9)</t>
  </si>
  <si>
    <t>=O2791-Q2791</t>
  </si>
  <si>
    <t>=IF(O2791&lt;&gt;0,R2791/O2791,"")</t>
  </si>
  <si>
    <t>=NL("Sum","5802 Value Entry","150 Sales Amount (Expected)","41 Source Type",$C$5,"5 Source No.",$C2791,"4 Item Ledger Entry Type",$C$4,"2 Item No.","@@"&amp;$F2791,"3 Posting Date",U$9)+NL("Sum","5802 Value Entry","17 Sales Amount (Actual)","41 Source Type",$C$5,"5 Source no.",$C2791,"4 Item Ledger Entry Type",$C$4,"2 Item No.","@@"&amp;$F2791,"3 Posting Date",U$9)</t>
  </si>
  <si>
    <t>=-NL("Sum","5802 Value Entry","151 Cost Amount (Expected)","41 Source Type",$C$5,"5 Source No.",$C2791,"4 Item Ledger Entry Type",$C$4,"2 Item No.","@@"&amp;$F2791,"3 Posting Date",U$9)-NL("Sum","5802 Value Entry","43 Cost Amount (Actual)","41 Source Type",$C$5,"5 Source no.",$C2791,"4 Item Ledger Entry Type",$C$4,"2 Item No.","@@"&amp;$F2791,"3 Posting Date",U$9)</t>
  </si>
  <si>
    <t>=U2791-W2791</t>
  </si>
  <si>
    <t>=IF(U2791&lt;&gt;0,X2791/U2791,"")</t>
  </si>
  <si>
    <t>=NL("Sum","5802 Value Entry","150 Sales Amount (Expected)","41 Source Type",$C$5,"5 Source No.",$C2791,"4 Item Ledger Entry Type",$C$4,"2 Item No.","@@"&amp;$F2791,"3 Posting Date",Z$9)+NL("Sum","5802 Value Entry","17 Sales Amount (Actual)","41 Source Type",$C$5,"5 Source no.",$C2791,"4 Item Ledger Entry Type",$C$4,"2 Item No.","@@"&amp;$F2791,"3 Posting Date",Z$9)</t>
  </si>
  <si>
    <t>=-NL("Sum","5802 Value Entry","151 Cost Amount (Expected)","41 Source Type",$C$5,"5 Source No.",$C2791,"4 Item Ledger Entry Type",$C$4,"2 Item No.","@@"&amp;$F2791,"3 Posting Date",Z$9)-NL("Sum","5802 Value Entry","43 Cost Amount (Actual)","41 Source Type",$C$5,"5 Source no.",$C2791,"4 Item Ledger Entry Type",$C$4,"2 Item No.","@@"&amp;$F2791,"3 Posting Date",Z$9)</t>
  </si>
  <si>
    <t>=Z2791-AB2791</t>
  </si>
  <si>
    <t>=IF(Z2791&lt;&gt;0,AC2791/Z2791,"")</t>
  </si>
  <si>
    <t>=C2791</t>
  </si>
  <si>
    <t>=NL("Sum","5802 Value Entry","150 Sales Amount (Expected)","41 Source Type",$C$5,"5 Source No.",$C2792,"4 Item Ledger Entry Type",$C$4,"2 Item No.","@@"&amp;$F2792,"3 Posting Date",J$9)+NL("Sum","5802 Value Entry","17 Sales Amount (Actual)","41 Source Type",$C$5,"5 Source no.",$C2792,"4 Item Ledger Entry Type",$C$4,"2 Item No.","@@"&amp;$F2792,"3 Posting Date",J$9)</t>
  </si>
  <si>
    <t>=-NL("Sum","5802 Value Entry","151 Cost Amount (Expected)","41 Source Type",$C$5,"5 Source No.",$C2792,"4 Item Ledger Entry Type",$C$4,"2 Item No.","@@"&amp;$F2792,"3 Posting Date",J$9)-NL("Sum","5802 Value Entry","43 Cost Amount (Actual)","41 Source Type",$C$5,"5 Source no.",$C2792,"4 Item Ledger Entry Type",$C$4,"2 Item No.","@@"&amp;$F2792,"3 Posting Date",J$9)</t>
  </si>
  <si>
    <t>=J2792-L2792</t>
  </si>
  <si>
    <t>=IF(J2792&lt;&gt;0,M2792/J2792,"")</t>
  </si>
  <si>
    <t>=NL("Sum","5802 Value Entry","150 Sales Amount (Expected)","41 Source Type",$C$5,"5 Source No.",$C2792,"4 Item Ledger Entry Type",$C$4,"2 Item No.","@@"&amp;$F2792,"3 Posting Date",O$9)+NL("Sum","5802 Value Entry","17 Sales Amount (Actual)","41 Source Type",$C$5,"5 Source no.",$C2792,"4 Item Ledger Entry Type",$C$4,"2 Item No.","@@"&amp;$F2792,"3 Posting Date",O$9)</t>
  </si>
  <si>
    <t>=-NL("Sum","5802 Value Entry","151 Cost Amount (Expected)","41 Source Type",$C$5,"5 Source No.",$C2792,"4 Item Ledger Entry Type",$C$4,"2 Item No.","@@"&amp;$F2792,"3 Posting Date",O$9)-NL("Sum","5802 Value Entry","43 Cost Amount (Actual)","41 Source Type",$C$5,"5 Source no.",$C2792,"4 Item Ledger Entry Type",$C$4,"2 Item No.","@@"&amp;$F2792,"3 Posting Date",O$9)</t>
  </si>
  <si>
    <t>=O2792-Q2792</t>
  </si>
  <si>
    <t>=IF(O2792&lt;&gt;0,R2792/O2792,"")</t>
  </si>
  <si>
    <t>=NL("Sum","5802 Value Entry","150 Sales Amount (Expected)","41 Source Type",$C$5,"5 Source No.",$C2792,"4 Item Ledger Entry Type",$C$4,"2 Item No.","@@"&amp;$F2792,"3 Posting Date",U$9)+NL("Sum","5802 Value Entry","17 Sales Amount (Actual)","41 Source Type",$C$5,"5 Source no.",$C2792,"4 Item Ledger Entry Type",$C$4,"2 Item No.","@@"&amp;$F2792,"3 Posting Date",U$9)</t>
  </si>
  <si>
    <t>=-NL("Sum","5802 Value Entry","151 Cost Amount (Expected)","41 Source Type",$C$5,"5 Source No.",$C2792,"4 Item Ledger Entry Type",$C$4,"2 Item No.","@@"&amp;$F2792,"3 Posting Date",U$9)-NL("Sum","5802 Value Entry","43 Cost Amount (Actual)","41 Source Type",$C$5,"5 Source no.",$C2792,"4 Item Ledger Entry Type",$C$4,"2 Item No.","@@"&amp;$F2792,"3 Posting Date",U$9)</t>
  </si>
  <si>
    <t>=U2792-W2792</t>
  </si>
  <si>
    <t>=IF(U2792&lt;&gt;0,X2792/U2792,"")</t>
  </si>
  <si>
    <t>=NL("Sum","5802 Value Entry","150 Sales Amount (Expected)","41 Source Type",$C$5,"5 Source No.",$C2792,"4 Item Ledger Entry Type",$C$4,"2 Item No.","@@"&amp;$F2792,"3 Posting Date",Z$9)+NL("Sum","5802 Value Entry","17 Sales Amount (Actual)","41 Source Type",$C$5,"5 Source no.",$C2792,"4 Item Ledger Entry Type",$C$4,"2 Item No.","@@"&amp;$F2792,"3 Posting Date",Z$9)</t>
  </si>
  <si>
    <t>=-NL("Sum","5802 Value Entry","151 Cost Amount (Expected)","41 Source Type",$C$5,"5 Source No.",$C2792,"4 Item Ledger Entry Type",$C$4,"2 Item No.","@@"&amp;$F2792,"3 Posting Date",Z$9)-NL("Sum","5802 Value Entry","43 Cost Amount (Actual)","41 Source Type",$C$5,"5 Source no.",$C2792,"4 Item Ledger Entry Type",$C$4,"2 Item No.","@@"&amp;$F2792,"3 Posting Date",Z$9)</t>
  </si>
  <si>
    <t>=Z2792-AB2792</t>
  </si>
  <si>
    <t>=IF(Z2792&lt;&gt;0,AC2792/Z2792,"")</t>
  </si>
  <si>
    <t>=C2792</t>
  </si>
  <si>
    <t>=NL("Sum","5802 Value Entry","150 Sales Amount (Expected)","41 Source Type",$C$5,"5 Source No.",$C2793,"4 Item Ledger Entry Type",$C$4,"2 Item No.","@@"&amp;$F2793,"3 Posting Date",J$9)+NL("Sum","5802 Value Entry","17 Sales Amount (Actual)","41 Source Type",$C$5,"5 Source no.",$C2793,"4 Item Ledger Entry Type",$C$4,"2 Item No.","@@"&amp;$F2793,"3 Posting Date",J$9)</t>
  </si>
  <si>
    <t>=-NL("Sum","5802 Value Entry","151 Cost Amount (Expected)","41 Source Type",$C$5,"5 Source No.",$C2793,"4 Item Ledger Entry Type",$C$4,"2 Item No.","@@"&amp;$F2793,"3 Posting Date",J$9)-NL("Sum","5802 Value Entry","43 Cost Amount (Actual)","41 Source Type",$C$5,"5 Source no.",$C2793,"4 Item Ledger Entry Type",$C$4,"2 Item No.","@@"&amp;$F2793,"3 Posting Date",J$9)</t>
  </si>
  <si>
    <t>=J2793-L2793</t>
  </si>
  <si>
    <t>=IF(J2793&lt;&gt;0,M2793/J2793,"")</t>
  </si>
  <si>
    <t>=NL("Sum","5802 Value Entry","150 Sales Amount (Expected)","41 Source Type",$C$5,"5 Source No.",$C2793,"4 Item Ledger Entry Type",$C$4,"2 Item No.","@@"&amp;$F2793,"3 Posting Date",O$9)+NL("Sum","5802 Value Entry","17 Sales Amount (Actual)","41 Source Type",$C$5,"5 Source no.",$C2793,"4 Item Ledger Entry Type",$C$4,"2 Item No.","@@"&amp;$F2793,"3 Posting Date",O$9)</t>
  </si>
  <si>
    <t>=-NL("Sum","5802 Value Entry","151 Cost Amount (Expected)","41 Source Type",$C$5,"5 Source No.",$C2793,"4 Item Ledger Entry Type",$C$4,"2 Item No.","@@"&amp;$F2793,"3 Posting Date",O$9)-NL("Sum","5802 Value Entry","43 Cost Amount (Actual)","41 Source Type",$C$5,"5 Source no.",$C2793,"4 Item Ledger Entry Type",$C$4,"2 Item No.","@@"&amp;$F2793,"3 Posting Date",O$9)</t>
  </si>
  <si>
    <t>=O2793-Q2793</t>
  </si>
  <si>
    <t>=IF(O2793&lt;&gt;0,R2793/O2793,"")</t>
  </si>
  <si>
    <t>=NL("Sum","5802 Value Entry","150 Sales Amount (Expected)","41 Source Type",$C$5,"5 Source No.",$C2793,"4 Item Ledger Entry Type",$C$4,"2 Item No.","@@"&amp;$F2793,"3 Posting Date",U$9)+NL("Sum","5802 Value Entry","17 Sales Amount (Actual)","41 Source Type",$C$5,"5 Source no.",$C2793,"4 Item Ledger Entry Type",$C$4,"2 Item No.","@@"&amp;$F2793,"3 Posting Date",U$9)</t>
  </si>
  <si>
    <t>=-NL("Sum","5802 Value Entry","151 Cost Amount (Expected)","41 Source Type",$C$5,"5 Source No.",$C2793,"4 Item Ledger Entry Type",$C$4,"2 Item No.","@@"&amp;$F2793,"3 Posting Date",U$9)-NL("Sum","5802 Value Entry","43 Cost Amount (Actual)","41 Source Type",$C$5,"5 Source no.",$C2793,"4 Item Ledger Entry Type",$C$4,"2 Item No.","@@"&amp;$F2793,"3 Posting Date",U$9)</t>
  </si>
  <si>
    <t>=U2793-W2793</t>
  </si>
  <si>
    <t>=IF(U2793&lt;&gt;0,X2793/U2793,"")</t>
  </si>
  <si>
    <t>=NL("Sum","5802 Value Entry","150 Sales Amount (Expected)","41 Source Type",$C$5,"5 Source No.",$C2793,"4 Item Ledger Entry Type",$C$4,"2 Item No.","@@"&amp;$F2793,"3 Posting Date",Z$9)+NL("Sum","5802 Value Entry","17 Sales Amount (Actual)","41 Source Type",$C$5,"5 Source no.",$C2793,"4 Item Ledger Entry Type",$C$4,"2 Item No.","@@"&amp;$F2793,"3 Posting Date",Z$9)</t>
  </si>
  <si>
    <t>=-NL("Sum","5802 Value Entry","151 Cost Amount (Expected)","41 Source Type",$C$5,"5 Source No.",$C2793,"4 Item Ledger Entry Type",$C$4,"2 Item No.","@@"&amp;$F2793,"3 Posting Date",Z$9)-NL("Sum","5802 Value Entry","43 Cost Amount (Actual)","41 Source Type",$C$5,"5 Source no.",$C2793,"4 Item Ledger Entry Type",$C$4,"2 Item No.","@@"&amp;$F2793,"3 Posting Date",Z$9)</t>
  </si>
  <si>
    <t>=Z2793-AB2793</t>
  </si>
  <si>
    <t>=IF(Z2793&lt;&gt;0,AC2793/Z2793,"")</t>
  </si>
  <si>
    <t>=C2793</t>
  </si>
  <si>
    <t>=NL("Sum","5802 Value Entry","150 Sales Amount (Expected)","41 Source Type",$C$5,"5 Source No.",$C2794,"4 Item Ledger Entry Type",$C$4,"2 Item No.","@@"&amp;$F2794,"3 Posting Date",J$9)+NL("Sum","5802 Value Entry","17 Sales Amount (Actual)","41 Source Type",$C$5,"5 Source no.",$C2794,"4 Item Ledger Entry Type",$C$4,"2 Item No.","@@"&amp;$F2794,"3 Posting Date",J$9)</t>
  </si>
  <si>
    <t>=-NL("Sum","5802 Value Entry","151 Cost Amount (Expected)","41 Source Type",$C$5,"5 Source No.",$C2794,"4 Item Ledger Entry Type",$C$4,"2 Item No.","@@"&amp;$F2794,"3 Posting Date",J$9)-NL("Sum","5802 Value Entry","43 Cost Amount (Actual)","41 Source Type",$C$5,"5 Source no.",$C2794,"4 Item Ledger Entry Type",$C$4,"2 Item No.","@@"&amp;$F2794,"3 Posting Date",J$9)</t>
  </si>
  <si>
    <t>=J2794-L2794</t>
  </si>
  <si>
    <t>=IF(J2794&lt;&gt;0,M2794/J2794,"")</t>
  </si>
  <si>
    <t>=NL("Sum","5802 Value Entry","150 Sales Amount (Expected)","41 Source Type",$C$5,"5 Source No.",$C2794,"4 Item Ledger Entry Type",$C$4,"2 Item No.","@@"&amp;$F2794,"3 Posting Date",O$9)+NL("Sum","5802 Value Entry","17 Sales Amount (Actual)","41 Source Type",$C$5,"5 Source no.",$C2794,"4 Item Ledger Entry Type",$C$4,"2 Item No.","@@"&amp;$F2794,"3 Posting Date",O$9)</t>
  </si>
  <si>
    <t>=-NL("Sum","5802 Value Entry","151 Cost Amount (Expected)","41 Source Type",$C$5,"5 Source No.",$C2794,"4 Item Ledger Entry Type",$C$4,"2 Item No.","@@"&amp;$F2794,"3 Posting Date",O$9)-NL("Sum","5802 Value Entry","43 Cost Amount (Actual)","41 Source Type",$C$5,"5 Source no.",$C2794,"4 Item Ledger Entry Type",$C$4,"2 Item No.","@@"&amp;$F2794,"3 Posting Date",O$9)</t>
  </si>
  <si>
    <t>=O2794-Q2794</t>
  </si>
  <si>
    <t>=IF(O2794&lt;&gt;0,R2794/O2794,"")</t>
  </si>
  <si>
    <t>=NL("Sum","5802 Value Entry","150 Sales Amount (Expected)","41 Source Type",$C$5,"5 Source No.",$C2794,"4 Item Ledger Entry Type",$C$4,"2 Item No.","@@"&amp;$F2794,"3 Posting Date",U$9)+NL("Sum","5802 Value Entry","17 Sales Amount (Actual)","41 Source Type",$C$5,"5 Source no.",$C2794,"4 Item Ledger Entry Type",$C$4,"2 Item No.","@@"&amp;$F2794,"3 Posting Date",U$9)</t>
  </si>
  <si>
    <t>=-NL("Sum","5802 Value Entry","151 Cost Amount (Expected)","41 Source Type",$C$5,"5 Source No.",$C2794,"4 Item Ledger Entry Type",$C$4,"2 Item No.","@@"&amp;$F2794,"3 Posting Date",U$9)-NL("Sum","5802 Value Entry","43 Cost Amount (Actual)","41 Source Type",$C$5,"5 Source no.",$C2794,"4 Item Ledger Entry Type",$C$4,"2 Item No.","@@"&amp;$F2794,"3 Posting Date",U$9)</t>
  </si>
  <si>
    <t>=U2794-W2794</t>
  </si>
  <si>
    <t>=IF(U2794&lt;&gt;0,X2794/U2794,"")</t>
  </si>
  <si>
    <t>=NL("Sum","5802 Value Entry","150 Sales Amount (Expected)","41 Source Type",$C$5,"5 Source No.",$C2794,"4 Item Ledger Entry Type",$C$4,"2 Item No.","@@"&amp;$F2794,"3 Posting Date",Z$9)+NL("Sum","5802 Value Entry","17 Sales Amount (Actual)","41 Source Type",$C$5,"5 Source no.",$C2794,"4 Item Ledger Entry Type",$C$4,"2 Item No.","@@"&amp;$F2794,"3 Posting Date",Z$9)</t>
  </si>
  <si>
    <t>=-NL("Sum","5802 Value Entry","151 Cost Amount (Expected)","41 Source Type",$C$5,"5 Source No.",$C2794,"4 Item Ledger Entry Type",$C$4,"2 Item No.","@@"&amp;$F2794,"3 Posting Date",Z$9)-NL("Sum","5802 Value Entry","43 Cost Amount (Actual)","41 Source Type",$C$5,"5 Source no.",$C2794,"4 Item Ledger Entry Type",$C$4,"2 Item No.","@@"&amp;$F2794,"3 Posting Date",Z$9)</t>
  </si>
  <si>
    <t>=Z2794-AB2794</t>
  </si>
  <si>
    <t>=IF(Z2794&lt;&gt;0,AC2794/Z2794,"")</t>
  </si>
  <si>
    <t>=C2794</t>
  </si>
  <si>
    <t>=NL("Sum","5802 Value Entry","150 Sales Amount (Expected)","41 Source Type",$C$5,"5 Source No.",$C2795,"4 Item Ledger Entry Type",$C$4,"2 Item No.","@@"&amp;$F2795,"3 Posting Date",J$9)+NL("Sum","5802 Value Entry","17 Sales Amount (Actual)","41 Source Type",$C$5,"5 Source no.",$C2795,"4 Item Ledger Entry Type",$C$4,"2 Item No.","@@"&amp;$F2795,"3 Posting Date",J$9)</t>
  </si>
  <si>
    <t>=-NL("Sum","5802 Value Entry","151 Cost Amount (Expected)","41 Source Type",$C$5,"5 Source No.",$C2795,"4 Item Ledger Entry Type",$C$4,"2 Item No.","@@"&amp;$F2795,"3 Posting Date",J$9)-NL("Sum","5802 Value Entry","43 Cost Amount (Actual)","41 Source Type",$C$5,"5 Source no.",$C2795,"4 Item Ledger Entry Type",$C$4,"2 Item No.","@@"&amp;$F2795,"3 Posting Date",J$9)</t>
  </si>
  <si>
    <t>=J2795-L2795</t>
  </si>
  <si>
    <t>=IF(J2795&lt;&gt;0,M2795/J2795,"")</t>
  </si>
  <si>
    <t>=NL("Sum","5802 Value Entry","150 Sales Amount (Expected)","41 Source Type",$C$5,"5 Source No.",$C2795,"4 Item Ledger Entry Type",$C$4,"2 Item No.","@@"&amp;$F2795,"3 Posting Date",O$9)+NL("Sum","5802 Value Entry","17 Sales Amount (Actual)","41 Source Type",$C$5,"5 Source no.",$C2795,"4 Item Ledger Entry Type",$C$4,"2 Item No.","@@"&amp;$F2795,"3 Posting Date",O$9)</t>
  </si>
  <si>
    <t>=-NL("Sum","5802 Value Entry","151 Cost Amount (Expected)","41 Source Type",$C$5,"5 Source No.",$C2795,"4 Item Ledger Entry Type",$C$4,"2 Item No.","@@"&amp;$F2795,"3 Posting Date",O$9)-NL("Sum","5802 Value Entry","43 Cost Amount (Actual)","41 Source Type",$C$5,"5 Source no.",$C2795,"4 Item Ledger Entry Type",$C$4,"2 Item No.","@@"&amp;$F2795,"3 Posting Date",O$9)</t>
  </si>
  <si>
    <t>=O2795-Q2795</t>
  </si>
  <si>
    <t>=IF(O2795&lt;&gt;0,R2795/O2795,"")</t>
  </si>
  <si>
    <t>=NL("Sum","5802 Value Entry","150 Sales Amount (Expected)","41 Source Type",$C$5,"5 Source No.",$C2795,"4 Item Ledger Entry Type",$C$4,"2 Item No.","@@"&amp;$F2795,"3 Posting Date",U$9)+NL("Sum","5802 Value Entry","17 Sales Amount (Actual)","41 Source Type",$C$5,"5 Source no.",$C2795,"4 Item Ledger Entry Type",$C$4,"2 Item No.","@@"&amp;$F2795,"3 Posting Date",U$9)</t>
  </si>
  <si>
    <t>=-NL("Sum","5802 Value Entry","151 Cost Amount (Expected)","41 Source Type",$C$5,"5 Source No.",$C2795,"4 Item Ledger Entry Type",$C$4,"2 Item No.","@@"&amp;$F2795,"3 Posting Date",U$9)-NL("Sum","5802 Value Entry","43 Cost Amount (Actual)","41 Source Type",$C$5,"5 Source no.",$C2795,"4 Item Ledger Entry Type",$C$4,"2 Item No.","@@"&amp;$F2795,"3 Posting Date",U$9)</t>
  </si>
  <si>
    <t>=U2795-W2795</t>
  </si>
  <si>
    <t>=IF(U2795&lt;&gt;0,X2795/U2795,"")</t>
  </si>
  <si>
    <t>=NL("Sum","5802 Value Entry","150 Sales Amount (Expected)","41 Source Type",$C$5,"5 Source No.",$C2795,"4 Item Ledger Entry Type",$C$4,"2 Item No.","@@"&amp;$F2795,"3 Posting Date",Z$9)+NL("Sum","5802 Value Entry","17 Sales Amount (Actual)","41 Source Type",$C$5,"5 Source no.",$C2795,"4 Item Ledger Entry Type",$C$4,"2 Item No.","@@"&amp;$F2795,"3 Posting Date",Z$9)</t>
  </si>
  <si>
    <t>=-NL("Sum","5802 Value Entry","151 Cost Amount (Expected)","41 Source Type",$C$5,"5 Source No.",$C2795,"4 Item Ledger Entry Type",$C$4,"2 Item No.","@@"&amp;$F2795,"3 Posting Date",Z$9)-NL("Sum","5802 Value Entry","43 Cost Amount (Actual)","41 Source Type",$C$5,"5 Source no.",$C2795,"4 Item Ledger Entry Type",$C$4,"2 Item No.","@@"&amp;$F2795,"3 Posting Date",Z$9)</t>
  </si>
  <si>
    <t>=Z2795-AB2795</t>
  </si>
  <si>
    <t>=IF(Z2795&lt;&gt;0,AC2795/Z2795,"")</t>
  </si>
  <si>
    <t>=C2795</t>
  </si>
  <si>
    <t>=NL("Sum","5802 Value Entry","150 Sales Amount (Expected)","41 Source Type",$C$5,"5 Source No.",$C2796,"4 Item Ledger Entry Type",$C$4,"2 Item No.","@@"&amp;$F2796,"3 Posting Date",J$9)+NL("Sum","5802 Value Entry","17 Sales Amount (Actual)","41 Source Type",$C$5,"5 Source no.",$C2796,"4 Item Ledger Entry Type",$C$4,"2 Item No.","@@"&amp;$F2796,"3 Posting Date",J$9)</t>
  </si>
  <si>
    <t>=-NL("Sum","5802 Value Entry","151 Cost Amount (Expected)","41 Source Type",$C$5,"5 Source No.",$C2796,"4 Item Ledger Entry Type",$C$4,"2 Item No.","@@"&amp;$F2796,"3 Posting Date",J$9)-NL("Sum","5802 Value Entry","43 Cost Amount (Actual)","41 Source Type",$C$5,"5 Source no.",$C2796,"4 Item Ledger Entry Type",$C$4,"2 Item No.","@@"&amp;$F2796,"3 Posting Date",J$9)</t>
  </si>
  <si>
    <t>=J2796-L2796</t>
  </si>
  <si>
    <t>=IF(J2796&lt;&gt;0,M2796/J2796,"")</t>
  </si>
  <si>
    <t>=NL("Sum","5802 Value Entry","150 Sales Amount (Expected)","41 Source Type",$C$5,"5 Source No.",$C2796,"4 Item Ledger Entry Type",$C$4,"2 Item No.","@@"&amp;$F2796,"3 Posting Date",O$9)+NL("Sum","5802 Value Entry","17 Sales Amount (Actual)","41 Source Type",$C$5,"5 Source no.",$C2796,"4 Item Ledger Entry Type",$C$4,"2 Item No.","@@"&amp;$F2796,"3 Posting Date",O$9)</t>
  </si>
  <si>
    <t>=-NL("Sum","5802 Value Entry","151 Cost Amount (Expected)","41 Source Type",$C$5,"5 Source No.",$C2796,"4 Item Ledger Entry Type",$C$4,"2 Item No.","@@"&amp;$F2796,"3 Posting Date",O$9)-NL("Sum","5802 Value Entry","43 Cost Amount (Actual)","41 Source Type",$C$5,"5 Source no.",$C2796,"4 Item Ledger Entry Type",$C$4,"2 Item No.","@@"&amp;$F2796,"3 Posting Date",O$9)</t>
  </si>
  <si>
    <t>=O2796-Q2796</t>
  </si>
  <si>
    <t>=IF(O2796&lt;&gt;0,R2796/O2796,"")</t>
  </si>
  <si>
    <t>=NL("Sum","5802 Value Entry","150 Sales Amount (Expected)","41 Source Type",$C$5,"5 Source No.",$C2796,"4 Item Ledger Entry Type",$C$4,"2 Item No.","@@"&amp;$F2796,"3 Posting Date",U$9)+NL("Sum","5802 Value Entry","17 Sales Amount (Actual)","41 Source Type",$C$5,"5 Source no.",$C2796,"4 Item Ledger Entry Type",$C$4,"2 Item No.","@@"&amp;$F2796,"3 Posting Date",U$9)</t>
  </si>
  <si>
    <t>=-NL("Sum","5802 Value Entry","151 Cost Amount (Expected)","41 Source Type",$C$5,"5 Source No.",$C2796,"4 Item Ledger Entry Type",$C$4,"2 Item No.","@@"&amp;$F2796,"3 Posting Date",U$9)-NL("Sum","5802 Value Entry","43 Cost Amount (Actual)","41 Source Type",$C$5,"5 Source no.",$C2796,"4 Item Ledger Entry Type",$C$4,"2 Item No.","@@"&amp;$F2796,"3 Posting Date",U$9)</t>
  </si>
  <si>
    <t>=U2796-W2796</t>
  </si>
  <si>
    <t>=IF(U2796&lt;&gt;0,X2796/U2796,"")</t>
  </si>
  <si>
    <t>=NL("Sum","5802 Value Entry","150 Sales Amount (Expected)","41 Source Type",$C$5,"5 Source No.",$C2796,"4 Item Ledger Entry Type",$C$4,"2 Item No.","@@"&amp;$F2796,"3 Posting Date",Z$9)+NL("Sum","5802 Value Entry","17 Sales Amount (Actual)","41 Source Type",$C$5,"5 Source no.",$C2796,"4 Item Ledger Entry Type",$C$4,"2 Item No.","@@"&amp;$F2796,"3 Posting Date",Z$9)</t>
  </si>
  <si>
    <t>=-NL("Sum","5802 Value Entry","151 Cost Amount (Expected)","41 Source Type",$C$5,"5 Source No.",$C2796,"4 Item Ledger Entry Type",$C$4,"2 Item No.","@@"&amp;$F2796,"3 Posting Date",Z$9)-NL("Sum","5802 Value Entry","43 Cost Amount (Actual)","41 Source Type",$C$5,"5 Source no.",$C2796,"4 Item Ledger Entry Type",$C$4,"2 Item No.","@@"&amp;$F2796,"3 Posting Date",Z$9)</t>
  </si>
  <si>
    <t>=Z2796-AB2796</t>
  </si>
  <si>
    <t>=IF(Z2796&lt;&gt;0,AC2796/Z2796,"")</t>
  </si>
  <si>
    <t>=C2796</t>
  </si>
  <si>
    <t>=NL("Sum","5802 Value Entry","150 Sales Amount (Expected)","41 Source Type",$C$5,"5 Source No.",$C2797,"4 Item Ledger Entry Type",$C$4,"2 Item No.","@@"&amp;$F2797,"3 Posting Date",J$9)+NL("Sum","5802 Value Entry","17 Sales Amount (Actual)","41 Source Type",$C$5,"5 Source no.",$C2797,"4 Item Ledger Entry Type",$C$4,"2 Item No.","@@"&amp;$F2797,"3 Posting Date",J$9)</t>
  </si>
  <si>
    <t>=-NL("Sum","5802 Value Entry","151 Cost Amount (Expected)","41 Source Type",$C$5,"5 Source No.",$C2797,"4 Item Ledger Entry Type",$C$4,"2 Item No.","@@"&amp;$F2797,"3 Posting Date",J$9)-NL("Sum","5802 Value Entry","43 Cost Amount (Actual)","41 Source Type",$C$5,"5 Source no.",$C2797,"4 Item Ledger Entry Type",$C$4,"2 Item No.","@@"&amp;$F2797,"3 Posting Date",J$9)</t>
  </si>
  <si>
    <t>=J2797-L2797</t>
  </si>
  <si>
    <t>=IF(J2797&lt;&gt;0,M2797/J2797,"")</t>
  </si>
  <si>
    <t>=NL("Sum","5802 Value Entry","150 Sales Amount (Expected)","41 Source Type",$C$5,"5 Source No.",$C2797,"4 Item Ledger Entry Type",$C$4,"2 Item No.","@@"&amp;$F2797,"3 Posting Date",O$9)+NL("Sum","5802 Value Entry","17 Sales Amount (Actual)","41 Source Type",$C$5,"5 Source no.",$C2797,"4 Item Ledger Entry Type",$C$4,"2 Item No.","@@"&amp;$F2797,"3 Posting Date",O$9)</t>
  </si>
  <si>
    <t>=-NL("Sum","5802 Value Entry","151 Cost Amount (Expected)","41 Source Type",$C$5,"5 Source No.",$C2797,"4 Item Ledger Entry Type",$C$4,"2 Item No.","@@"&amp;$F2797,"3 Posting Date",O$9)-NL("Sum","5802 Value Entry","43 Cost Amount (Actual)","41 Source Type",$C$5,"5 Source no.",$C2797,"4 Item Ledger Entry Type",$C$4,"2 Item No.","@@"&amp;$F2797,"3 Posting Date",O$9)</t>
  </si>
  <si>
    <t>=O2797-Q2797</t>
  </si>
  <si>
    <t>=IF(O2797&lt;&gt;0,R2797/O2797,"")</t>
  </si>
  <si>
    <t>=NL("Sum","5802 Value Entry","150 Sales Amount (Expected)","41 Source Type",$C$5,"5 Source No.",$C2797,"4 Item Ledger Entry Type",$C$4,"2 Item No.","@@"&amp;$F2797,"3 Posting Date",U$9)+NL("Sum","5802 Value Entry","17 Sales Amount (Actual)","41 Source Type",$C$5,"5 Source no.",$C2797,"4 Item Ledger Entry Type",$C$4,"2 Item No.","@@"&amp;$F2797,"3 Posting Date",U$9)</t>
  </si>
  <si>
    <t>=-NL("Sum","5802 Value Entry","151 Cost Amount (Expected)","41 Source Type",$C$5,"5 Source No.",$C2797,"4 Item Ledger Entry Type",$C$4,"2 Item No.","@@"&amp;$F2797,"3 Posting Date",U$9)-NL("Sum","5802 Value Entry","43 Cost Amount (Actual)","41 Source Type",$C$5,"5 Source no.",$C2797,"4 Item Ledger Entry Type",$C$4,"2 Item No.","@@"&amp;$F2797,"3 Posting Date",U$9)</t>
  </si>
  <si>
    <t>=U2797-W2797</t>
  </si>
  <si>
    <t>=IF(U2797&lt;&gt;0,X2797/U2797,"")</t>
  </si>
  <si>
    <t>=NL("Sum","5802 Value Entry","150 Sales Amount (Expected)","41 Source Type",$C$5,"5 Source No.",$C2797,"4 Item Ledger Entry Type",$C$4,"2 Item No.","@@"&amp;$F2797,"3 Posting Date",Z$9)+NL("Sum","5802 Value Entry","17 Sales Amount (Actual)","41 Source Type",$C$5,"5 Source no.",$C2797,"4 Item Ledger Entry Type",$C$4,"2 Item No.","@@"&amp;$F2797,"3 Posting Date",Z$9)</t>
  </si>
  <si>
    <t>=-NL("Sum","5802 Value Entry","151 Cost Amount (Expected)","41 Source Type",$C$5,"5 Source No.",$C2797,"4 Item Ledger Entry Type",$C$4,"2 Item No.","@@"&amp;$F2797,"3 Posting Date",Z$9)-NL("Sum","5802 Value Entry","43 Cost Amount (Actual)","41 Source Type",$C$5,"5 Source no.",$C2797,"4 Item Ledger Entry Type",$C$4,"2 Item No.","@@"&amp;$F2797,"3 Posting Date",Z$9)</t>
  </si>
  <si>
    <t>=Z2797-AB2797</t>
  </si>
  <si>
    <t>=IF(Z2797&lt;&gt;0,AC2797/Z2797,"")</t>
  </si>
  <si>
    <t>=C2797</t>
  </si>
  <si>
    <t>=NL("Sum","5802 Value Entry","150 Sales Amount (Expected)","41 Source Type",$C$5,"5 Source No.",$C2798,"4 Item Ledger Entry Type",$C$4,"2 Item No.","@@"&amp;$F2798,"3 Posting Date",J$9)+NL("Sum","5802 Value Entry","17 Sales Amount (Actual)","41 Source Type",$C$5,"5 Source no.",$C2798,"4 Item Ledger Entry Type",$C$4,"2 Item No.","@@"&amp;$F2798,"3 Posting Date",J$9)</t>
  </si>
  <si>
    <t>=-NL("Sum","5802 Value Entry","151 Cost Amount (Expected)","41 Source Type",$C$5,"5 Source No.",$C2798,"4 Item Ledger Entry Type",$C$4,"2 Item No.","@@"&amp;$F2798,"3 Posting Date",J$9)-NL("Sum","5802 Value Entry","43 Cost Amount (Actual)","41 Source Type",$C$5,"5 Source no.",$C2798,"4 Item Ledger Entry Type",$C$4,"2 Item No.","@@"&amp;$F2798,"3 Posting Date",J$9)</t>
  </si>
  <si>
    <t>=J2798-L2798</t>
  </si>
  <si>
    <t>=IF(J2798&lt;&gt;0,M2798/J2798,"")</t>
  </si>
  <si>
    <t>=NL("Sum","5802 Value Entry","150 Sales Amount (Expected)","41 Source Type",$C$5,"5 Source No.",$C2798,"4 Item Ledger Entry Type",$C$4,"2 Item No.","@@"&amp;$F2798,"3 Posting Date",O$9)+NL("Sum","5802 Value Entry","17 Sales Amount (Actual)","41 Source Type",$C$5,"5 Source no.",$C2798,"4 Item Ledger Entry Type",$C$4,"2 Item No.","@@"&amp;$F2798,"3 Posting Date",O$9)</t>
  </si>
  <si>
    <t>=-NL("Sum","5802 Value Entry","151 Cost Amount (Expected)","41 Source Type",$C$5,"5 Source No.",$C2798,"4 Item Ledger Entry Type",$C$4,"2 Item No.","@@"&amp;$F2798,"3 Posting Date",O$9)-NL("Sum","5802 Value Entry","43 Cost Amount (Actual)","41 Source Type",$C$5,"5 Source no.",$C2798,"4 Item Ledger Entry Type",$C$4,"2 Item No.","@@"&amp;$F2798,"3 Posting Date",O$9)</t>
  </si>
  <si>
    <t>=O2798-Q2798</t>
  </si>
  <si>
    <t>=IF(O2798&lt;&gt;0,R2798/O2798,"")</t>
  </si>
  <si>
    <t>=NL("Sum","5802 Value Entry","150 Sales Amount (Expected)","41 Source Type",$C$5,"5 Source No.",$C2798,"4 Item Ledger Entry Type",$C$4,"2 Item No.","@@"&amp;$F2798,"3 Posting Date",U$9)+NL("Sum","5802 Value Entry","17 Sales Amount (Actual)","41 Source Type",$C$5,"5 Source no.",$C2798,"4 Item Ledger Entry Type",$C$4,"2 Item No.","@@"&amp;$F2798,"3 Posting Date",U$9)</t>
  </si>
  <si>
    <t>=-NL("Sum","5802 Value Entry","151 Cost Amount (Expected)","41 Source Type",$C$5,"5 Source No.",$C2798,"4 Item Ledger Entry Type",$C$4,"2 Item No.","@@"&amp;$F2798,"3 Posting Date",U$9)-NL("Sum","5802 Value Entry","43 Cost Amount (Actual)","41 Source Type",$C$5,"5 Source no.",$C2798,"4 Item Ledger Entry Type",$C$4,"2 Item No.","@@"&amp;$F2798,"3 Posting Date",U$9)</t>
  </si>
  <si>
    <t>=U2798-W2798</t>
  </si>
  <si>
    <t>=IF(U2798&lt;&gt;0,X2798/U2798,"")</t>
  </si>
  <si>
    <t>=NL("Sum","5802 Value Entry","150 Sales Amount (Expected)","41 Source Type",$C$5,"5 Source No.",$C2798,"4 Item Ledger Entry Type",$C$4,"2 Item No.","@@"&amp;$F2798,"3 Posting Date",Z$9)+NL("Sum","5802 Value Entry","17 Sales Amount (Actual)","41 Source Type",$C$5,"5 Source no.",$C2798,"4 Item Ledger Entry Type",$C$4,"2 Item No.","@@"&amp;$F2798,"3 Posting Date",Z$9)</t>
  </si>
  <si>
    <t>=-NL("Sum","5802 Value Entry","151 Cost Amount (Expected)","41 Source Type",$C$5,"5 Source No.",$C2798,"4 Item Ledger Entry Type",$C$4,"2 Item No.","@@"&amp;$F2798,"3 Posting Date",Z$9)-NL("Sum","5802 Value Entry","43 Cost Amount (Actual)","41 Source Type",$C$5,"5 Source no.",$C2798,"4 Item Ledger Entry Type",$C$4,"2 Item No.","@@"&amp;$F2798,"3 Posting Date",Z$9)</t>
  </si>
  <si>
    <t>=Z2798-AB2798</t>
  </si>
  <si>
    <t>=IF(Z2798&lt;&gt;0,AC2798/Z2798,"")</t>
  </si>
  <si>
    <t>=C2798</t>
  </si>
  <si>
    <t>=NL("Sum","5802 Value Entry","150 Sales Amount (Expected)","41 Source Type",$C$5,"5 Source No.",$C2799,"4 Item Ledger Entry Type",$C$4,"2 Item No.","@@"&amp;$F2799,"3 Posting Date",J$9)+NL("Sum","5802 Value Entry","17 Sales Amount (Actual)","41 Source Type",$C$5,"5 Source no.",$C2799,"4 Item Ledger Entry Type",$C$4,"2 Item No.","@@"&amp;$F2799,"3 Posting Date",J$9)</t>
  </si>
  <si>
    <t>=-NL("Sum","5802 Value Entry","151 Cost Amount (Expected)","41 Source Type",$C$5,"5 Source No.",$C2799,"4 Item Ledger Entry Type",$C$4,"2 Item No.","@@"&amp;$F2799,"3 Posting Date",J$9)-NL("Sum","5802 Value Entry","43 Cost Amount (Actual)","41 Source Type",$C$5,"5 Source no.",$C2799,"4 Item Ledger Entry Type",$C$4,"2 Item No.","@@"&amp;$F2799,"3 Posting Date",J$9)</t>
  </si>
  <si>
    <t>=J2799-L2799</t>
  </si>
  <si>
    <t>=IF(J2799&lt;&gt;0,M2799/J2799,"")</t>
  </si>
  <si>
    <t>=NL("Sum","5802 Value Entry","150 Sales Amount (Expected)","41 Source Type",$C$5,"5 Source No.",$C2799,"4 Item Ledger Entry Type",$C$4,"2 Item No.","@@"&amp;$F2799,"3 Posting Date",O$9)+NL("Sum","5802 Value Entry","17 Sales Amount (Actual)","41 Source Type",$C$5,"5 Source no.",$C2799,"4 Item Ledger Entry Type",$C$4,"2 Item No.","@@"&amp;$F2799,"3 Posting Date",O$9)</t>
  </si>
  <si>
    <t>=-NL("Sum","5802 Value Entry","151 Cost Amount (Expected)","41 Source Type",$C$5,"5 Source No.",$C2799,"4 Item Ledger Entry Type",$C$4,"2 Item No.","@@"&amp;$F2799,"3 Posting Date",O$9)-NL("Sum","5802 Value Entry","43 Cost Amount (Actual)","41 Source Type",$C$5,"5 Source no.",$C2799,"4 Item Ledger Entry Type",$C$4,"2 Item No.","@@"&amp;$F2799,"3 Posting Date",O$9)</t>
  </si>
  <si>
    <t>=O2799-Q2799</t>
  </si>
  <si>
    <t>=IF(O2799&lt;&gt;0,R2799/O2799,"")</t>
  </si>
  <si>
    <t>=NL("Sum","5802 Value Entry","150 Sales Amount (Expected)","41 Source Type",$C$5,"5 Source No.",$C2799,"4 Item Ledger Entry Type",$C$4,"2 Item No.","@@"&amp;$F2799,"3 Posting Date",U$9)+NL("Sum","5802 Value Entry","17 Sales Amount (Actual)","41 Source Type",$C$5,"5 Source no.",$C2799,"4 Item Ledger Entry Type",$C$4,"2 Item No.","@@"&amp;$F2799,"3 Posting Date",U$9)</t>
  </si>
  <si>
    <t>=-NL("Sum","5802 Value Entry","151 Cost Amount (Expected)","41 Source Type",$C$5,"5 Source No.",$C2799,"4 Item Ledger Entry Type",$C$4,"2 Item No.","@@"&amp;$F2799,"3 Posting Date",U$9)-NL("Sum","5802 Value Entry","43 Cost Amount (Actual)","41 Source Type",$C$5,"5 Source no.",$C2799,"4 Item Ledger Entry Type",$C$4,"2 Item No.","@@"&amp;$F2799,"3 Posting Date",U$9)</t>
  </si>
  <si>
    <t>=U2799-W2799</t>
  </si>
  <si>
    <t>=IF(U2799&lt;&gt;0,X2799/U2799,"")</t>
  </si>
  <si>
    <t>=NL("Sum","5802 Value Entry","150 Sales Amount (Expected)","41 Source Type",$C$5,"5 Source No.",$C2799,"4 Item Ledger Entry Type",$C$4,"2 Item No.","@@"&amp;$F2799,"3 Posting Date",Z$9)+NL("Sum","5802 Value Entry","17 Sales Amount (Actual)","41 Source Type",$C$5,"5 Source no.",$C2799,"4 Item Ledger Entry Type",$C$4,"2 Item No.","@@"&amp;$F2799,"3 Posting Date",Z$9)</t>
  </si>
  <si>
    <t>=-NL("Sum","5802 Value Entry","151 Cost Amount (Expected)","41 Source Type",$C$5,"5 Source No.",$C2799,"4 Item Ledger Entry Type",$C$4,"2 Item No.","@@"&amp;$F2799,"3 Posting Date",Z$9)-NL("Sum","5802 Value Entry","43 Cost Amount (Actual)","41 Source Type",$C$5,"5 Source no.",$C2799,"4 Item Ledger Entry Type",$C$4,"2 Item No.","@@"&amp;$F2799,"3 Posting Date",Z$9)</t>
  </si>
  <si>
    <t>=Z2799-AB2799</t>
  </si>
  <si>
    <t>=IF(Z2799&lt;&gt;0,AC2799/Z2799,"")</t>
  </si>
  <si>
    <t>=C2799</t>
  </si>
  <si>
    <t>=NL("Sum","5802 Value Entry","150 Sales Amount (Expected)","41 Source Type",$C$5,"5 Source No.",$C2800,"4 Item Ledger Entry Type",$C$4,"2 Item No.","@@"&amp;$F2800,"3 Posting Date",J$9)+NL("Sum","5802 Value Entry","17 Sales Amount (Actual)","41 Source Type",$C$5,"5 Source no.",$C2800,"4 Item Ledger Entry Type",$C$4,"2 Item No.","@@"&amp;$F2800,"3 Posting Date",J$9)</t>
  </si>
  <si>
    <t>=-NL("Sum","5802 Value Entry","151 Cost Amount (Expected)","41 Source Type",$C$5,"5 Source No.",$C2800,"4 Item Ledger Entry Type",$C$4,"2 Item No.","@@"&amp;$F2800,"3 Posting Date",J$9)-NL("Sum","5802 Value Entry","43 Cost Amount (Actual)","41 Source Type",$C$5,"5 Source no.",$C2800,"4 Item Ledger Entry Type",$C$4,"2 Item No.","@@"&amp;$F2800,"3 Posting Date",J$9)</t>
  </si>
  <si>
    <t>=J2800-L2800</t>
  </si>
  <si>
    <t>=IF(J2800&lt;&gt;0,M2800/J2800,"")</t>
  </si>
  <si>
    <t>=NL("Sum","5802 Value Entry","150 Sales Amount (Expected)","41 Source Type",$C$5,"5 Source No.",$C2800,"4 Item Ledger Entry Type",$C$4,"2 Item No.","@@"&amp;$F2800,"3 Posting Date",O$9)+NL("Sum","5802 Value Entry","17 Sales Amount (Actual)","41 Source Type",$C$5,"5 Source no.",$C2800,"4 Item Ledger Entry Type",$C$4,"2 Item No.","@@"&amp;$F2800,"3 Posting Date",O$9)</t>
  </si>
  <si>
    <t>=-NL("Sum","5802 Value Entry","151 Cost Amount (Expected)","41 Source Type",$C$5,"5 Source No.",$C2800,"4 Item Ledger Entry Type",$C$4,"2 Item No.","@@"&amp;$F2800,"3 Posting Date",O$9)-NL("Sum","5802 Value Entry","43 Cost Amount (Actual)","41 Source Type",$C$5,"5 Source no.",$C2800,"4 Item Ledger Entry Type",$C$4,"2 Item No.","@@"&amp;$F2800,"3 Posting Date",O$9)</t>
  </si>
  <si>
    <t>=O2800-Q2800</t>
  </si>
  <si>
    <t>=IF(O2800&lt;&gt;0,R2800/O2800,"")</t>
  </si>
  <si>
    <t>=NL("Sum","5802 Value Entry","150 Sales Amount (Expected)","41 Source Type",$C$5,"5 Source No.",$C2800,"4 Item Ledger Entry Type",$C$4,"2 Item No.","@@"&amp;$F2800,"3 Posting Date",U$9)+NL("Sum","5802 Value Entry","17 Sales Amount (Actual)","41 Source Type",$C$5,"5 Source no.",$C2800,"4 Item Ledger Entry Type",$C$4,"2 Item No.","@@"&amp;$F2800,"3 Posting Date",U$9)</t>
  </si>
  <si>
    <t>=-NL("Sum","5802 Value Entry","151 Cost Amount (Expected)","41 Source Type",$C$5,"5 Source No.",$C2800,"4 Item Ledger Entry Type",$C$4,"2 Item No.","@@"&amp;$F2800,"3 Posting Date",U$9)-NL("Sum","5802 Value Entry","43 Cost Amount (Actual)","41 Source Type",$C$5,"5 Source no.",$C2800,"4 Item Ledger Entry Type",$C$4,"2 Item No.","@@"&amp;$F2800,"3 Posting Date",U$9)</t>
  </si>
  <si>
    <t>=U2800-W2800</t>
  </si>
  <si>
    <t>=IF(U2800&lt;&gt;0,X2800/U2800,"")</t>
  </si>
  <si>
    <t>=NL("Sum","5802 Value Entry","150 Sales Amount (Expected)","41 Source Type",$C$5,"5 Source No.",$C2800,"4 Item Ledger Entry Type",$C$4,"2 Item No.","@@"&amp;$F2800,"3 Posting Date",Z$9)+NL("Sum","5802 Value Entry","17 Sales Amount (Actual)","41 Source Type",$C$5,"5 Source no.",$C2800,"4 Item Ledger Entry Type",$C$4,"2 Item No.","@@"&amp;$F2800,"3 Posting Date",Z$9)</t>
  </si>
  <si>
    <t>=-NL("Sum","5802 Value Entry","151 Cost Amount (Expected)","41 Source Type",$C$5,"5 Source No.",$C2800,"4 Item Ledger Entry Type",$C$4,"2 Item No.","@@"&amp;$F2800,"3 Posting Date",Z$9)-NL("Sum","5802 Value Entry","43 Cost Amount (Actual)","41 Source Type",$C$5,"5 Source no.",$C2800,"4 Item Ledger Entry Type",$C$4,"2 Item No.","@@"&amp;$F2800,"3 Posting Date",Z$9)</t>
  </si>
  <si>
    <t>=Z2800-AB2800</t>
  </si>
  <si>
    <t>=IF(Z2800&lt;&gt;0,AC2800/Z2800,"")</t>
  </si>
  <si>
    <t>=C2800</t>
  </si>
  <si>
    <t>=NL("Sum","5802 Value Entry","150 Sales Amount (Expected)","41 Source Type",$C$5,"5 Source No.",$C2801,"4 Item Ledger Entry Type",$C$4,"2 Item No.","@@"&amp;$F2801,"3 Posting Date",J$9)+NL("Sum","5802 Value Entry","17 Sales Amount (Actual)","41 Source Type",$C$5,"5 Source no.",$C2801,"4 Item Ledger Entry Type",$C$4,"2 Item No.","@@"&amp;$F2801,"3 Posting Date",J$9)</t>
  </si>
  <si>
    <t>=-NL("Sum","5802 Value Entry","151 Cost Amount (Expected)","41 Source Type",$C$5,"5 Source No.",$C2801,"4 Item Ledger Entry Type",$C$4,"2 Item No.","@@"&amp;$F2801,"3 Posting Date",J$9)-NL("Sum","5802 Value Entry","43 Cost Amount (Actual)","41 Source Type",$C$5,"5 Source no.",$C2801,"4 Item Ledger Entry Type",$C$4,"2 Item No.","@@"&amp;$F2801,"3 Posting Date",J$9)</t>
  </si>
  <si>
    <t>=J2801-L2801</t>
  </si>
  <si>
    <t>=IF(J2801&lt;&gt;0,M2801/J2801,"")</t>
  </si>
  <si>
    <t>=NL("Sum","5802 Value Entry","150 Sales Amount (Expected)","41 Source Type",$C$5,"5 Source No.",$C2801,"4 Item Ledger Entry Type",$C$4,"2 Item No.","@@"&amp;$F2801,"3 Posting Date",O$9)+NL("Sum","5802 Value Entry","17 Sales Amount (Actual)","41 Source Type",$C$5,"5 Source no.",$C2801,"4 Item Ledger Entry Type",$C$4,"2 Item No.","@@"&amp;$F2801,"3 Posting Date",O$9)</t>
  </si>
  <si>
    <t>=-NL("Sum","5802 Value Entry","151 Cost Amount (Expected)","41 Source Type",$C$5,"5 Source No.",$C2801,"4 Item Ledger Entry Type",$C$4,"2 Item No.","@@"&amp;$F2801,"3 Posting Date",O$9)-NL("Sum","5802 Value Entry","43 Cost Amount (Actual)","41 Source Type",$C$5,"5 Source no.",$C2801,"4 Item Ledger Entry Type",$C$4,"2 Item No.","@@"&amp;$F2801,"3 Posting Date",O$9)</t>
  </si>
  <si>
    <t>=O2801-Q2801</t>
  </si>
  <si>
    <t>=IF(O2801&lt;&gt;0,R2801/O2801,"")</t>
  </si>
  <si>
    <t>=NL("Sum","5802 Value Entry","150 Sales Amount (Expected)","41 Source Type",$C$5,"5 Source No.",$C2801,"4 Item Ledger Entry Type",$C$4,"2 Item No.","@@"&amp;$F2801,"3 Posting Date",U$9)+NL("Sum","5802 Value Entry","17 Sales Amount (Actual)","41 Source Type",$C$5,"5 Source no.",$C2801,"4 Item Ledger Entry Type",$C$4,"2 Item No.","@@"&amp;$F2801,"3 Posting Date",U$9)</t>
  </si>
  <si>
    <t>=-NL("Sum","5802 Value Entry","151 Cost Amount (Expected)","41 Source Type",$C$5,"5 Source No.",$C2801,"4 Item Ledger Entry Type",$C$4,"2 Item No.","@@"&amp;$F2801,"3 Posting Date",U$9)-NL("Sum","5802 Value Entry","43 Cost Amount (Actual)","41 Source Type",$C$5,"5 Source no.",$C2801,"4 Item Ledger Entry Type",$C$4,"2 Item No.","@@"&amp;$F2801,"3 Posting Date",U$9)</t>
  </si>
  <si>
    <t>=U2801-W2801</t>
  </si>
  <si>
    <t>=IF(U2801&lt;&gt;0,X2801/U2801,"")</t>
  </si>
  <si>
    <t>=NL("Sum","5802 Value Entry","150 Sales Amount (Expected)","41 Source Type",$C$5,"5 Source No.",$C2801,"4 Item Ledger Entry Type",$C$4,"2 Item No.","@@"&amp;$F2801,"3 Posting Date",Z$9)+NL("Sum","5802 Value Entry","17 Sales Amount (Actual)","41 Source Type",$C$5,"5 Source no.",$C2801,"4 Item Ledger Entry Type",$C$4,"2 Item No.","@@"&amp;$F2801,"3 Posting Date",Z$9)</t>
  </si>
  <si>
    <t>=-NL("Sum","5802 Value Entry","151 Cost Amount (Expected)","41 Source Type",$C$5,"5 Source No.",$C2801,"4 Item Ledger Entry Type",$C$4,"2 Item No.","@@"&amp;$F2801,"3 Posting Date",Z$9)-NL("Sum","5802 Value Entry","43 Cost Amount (Actual)","41 Source Type",$C$5,"5 Source no.",$C2801,"4 Item Ledger Entry Type",$C$4,"2 Item No.","@@"&amp;$F2801,"3 Posting Date",Z$9)</t>
  </si>
  <si>
    <t>=Z2801-AB2801</t>
  </si>
  <si>
    <t>=IF(Z2801&lt;&gt;0,AC2801/Z2801,"")</t>
  </si>
  <si>
    <t>=C2801</t>
  </si>
  <si>
    <t>=NL("Sum","5802 Value Entry","150 Sales Amount (Expected)","41 Source Type",$C$5,"5 Source No.",$C2802,"4 Item Ledger Entry Type",$C$4,"2 Item No.","@@"&amp;$F2802,"3 Posting Date",J$9)+NL("Sum","5802 Value Entry","17 Sales Amount (Actual)","41 Source Type",$C$5,"5 Source no.",$C2802,"4 Item Ledger Entry Type",$C$4,"2 Item No.","@@"&amp;$F2802,"3 Posting Date",J$9)</t>
  </si>
  <si>
    <t>=-NL("Sum","5802 Value Entry","151 Cost Amount (Expected)","41 Source Type",$C$5,"5 Source No.",$C2802,"4 Item Ledger Entry Type",$C$4,"2 Item No.","@@"&amp;$F2802,"3 Posting Date",J$9)-NL("Sum","5802 Value Entry","43 Cost Amount (Actual)","41 Source Type",$C$5,"5 Source no.",$C2802,"4 Item Ledger Entry Type",$C$4,"2 Item No.","@@"&amp;$F2802,"3 Posting Date",J$9)</t>
  </si>
  <si>
    <t>=J2802-L2802</t>
  </si>
  <si>
    <t>=IF(J2802&lt;&gt;0,M2802/J2802,"")</t>
  </si>
  <si>
    <t>=NL("Sum","5802 Value Entry","150 Sales Amount (Expected)","41 Source Type",$C$5,"5 Source No.",$C2802,"4 Item Ledger Entry Type",$C$4,"2 Item No.","@@"&amp;$F2802,"3 Posting Date",O$9)+NL("Sum","5802 Value Entry","17 Sales Amount (Actual)","41 Source Type",$C$5,"5 Source no.",$C2802,"4 Item Ledger Entry Type",$C$4,"2 Item No.","@@"&amp;$F2802,"3 Posting Date",O$9)</t>
  </si>
  <si>
    <t>=-NL("Sum","5802 Value Entry","151 Cost Amount (Expected)","41 Source Type",$C$5,"5 Source No.",$C2802,"4 Item Ledger Entry Type",$C$4,"2 Item No.","@@"&amp;$F2802,"3 Posting Date",O$9)-NL("Sum","5802 Value Entry","43 Cost Amount (Actual)","41 Source Type",$C$5,"5 Source no.",$C2802,"4 Item Ledger Entry Type",$C$4,"2 Item No.","@@"&amp;$F2802,"3 Posting Date",O$9)</t>
  </si>
  <si>
    <t>=O2802-Q2802</t>
  </si>
  <si>
    <t>=IF(O2802&lt;&gt;0,R2802/O2802,"")</t>
  </si>
  <si>
    <t>=NL("Sum","5802 Value Entry","150 Sales Amount (Expected)","41 Source Type",$C$5,"5 Source No.",$C2802,"4 Item Ledger Entry Type",$C$4,"2 Item No.","@@"&amp;$F2802,"3 Posting Date",U$9)+NL("Sum","5802 Value Entry","17 Sales Amount (Actual)","41 Source Type",$C$5,"5 Source no.",$C2802,"4 Item Ledger Entry Type",$C$4,"2 Item No.","@@"&amp;$F2802,"3 Posting Date",U$9)</t>
  </si>
  <si>
    <t>=-NL("Sum","5802 Value Entry","151 Cost Amount (Expected)","41 Source Type",$C$5,"5 Source No.",$C2802,"4 Item Ledger Entry Type",$C$4,"2 Item No.","@@"&amp;$F2802,"3 Posting Date",U$9)-NL("Sum","5802 Value Entry","43 Cost Amount (Actual)","41 Source Type",$C$5,"5 Source no.",$C2802,"4 Item Ledger Entry Type",$C$4,"2 Item No.","@@"&amp;$F2802,"3 Posting Date",U$9)</t>
  </si>
  <si>
    <t>=U2802-W2802</t>
  </si>
  <si>
    <t>=IF(U2802&lt;&gt;0,X2802/U2802,"")</t>
  </si>
  <si>
    <t>=NL("Sum","5802 Value Entry","150 Sales Amount (Expected)","41 Source Type",$C$5,"5 Source No.",$C2802,"4 Item Ledger Entry Type",$C$4,"2 Item No.","@@"&amp;$F2802,"3 Posting Date",Z$9)+NL("Sum","5802 Value Entry","17 Sales Amount (Actual)","41 Source Type",$C$5,"5 Source no.",$C2802,"4 Item Ledger Entry Type",$C$4,"2 Item No.","@@"&amp;$F2802,"3 Posting Date",Z$9)</t>
  </si>
  <si>
    <t>=-NL("Sum","5802 Value Entry","151 Cost Amount (Expected)","41 Source Type",$C$5,"5 Source No.",$C2802,"4 Item Ledger Entry Type",$C$4,"2 Item No.","@@"&amp;$F2802,"3 Posting Date",Z$9)-NL("Sum","5802 Value Entry","43 Cost Amount (Actual)","41 Source Type",$C$5,"5 Source no.",$C2802,"4 Item Ledger Entry Type",$C$4,"2 Item No.","@@"&amp;$F2802,"3 Posting Date",Z$9)</t>
  </si>
  <si>
    <t>=Z2802-AB2802</t>
  </si>
  <si>
    <t>=IF(Z2802&lt;&gt;0,AC2802/Z2802,"")</t>
  </si>
  <si>
    <t>=C2802</t>
  </si>
  <si>
    <t>=NL("Sum","5802 Value Entry","150 Sales Amount (Expected)","41 Source Type",$C$5,"5 Source No.",$C2803,"4 Item Ledger Entry Type",$C$4,"2 Item No.","@@"&amp;$F2803,"3 Posting Date",J$9)+NL("Sum","5802 Value Entry","17 Sales Amount (Actual)","41 Source Type",$C$5,"5 Source no.",$C2803,"4 Item Ledger Entry Type",$C$4,"2 Item No.","@@"&amp;$F2803,"3 Posting Date",J$9)</t>
  </si>
  <si>
    <t>=-NL("Sum","5802 Value Entry","151 Cost Amount (Expected)","41 Source Type",$C$5,"5 Source No.",$C2803,"4 Item Ledger Entry Type",$C$4,"2 Item No.","@@"&amp;$F2803,"3 Posting Date",J$9)-NL("Sum","5802 Value Entry","43 Cost Amount (Actual)","41 Source Type",$C$5,"5 Source no.",$C2803,"4 Item Ledger Entry Type",$C$4,"2 Item No.","@@"&amp;$F2803,"3 Posting Date",J$9)</t>
  </si>
  <si>
    <t>=J2803-L2803</t>
  </si>
  <si>
    <t>=IF(J2803&lt;&gt;0,M2803/J2803,"")</t>
  </si>
  <si>
    <t>=NL("Sum","5802 Value Entry","150 Sales Amount (Expected)","41 Source Type",$C$5,"5 Source No.",$C2803,"4 Item Ledger Entry Type",$C$4,"2 Item No.","@@"&amp;$F2803,"3 Posting Date",O$9)+NL("Sum","5802 Value Entry","17 Sales Amount (Actual)","41 Source Type",$C$5,"5 Source no.",$C2803,"4 Item Ledger Entry Type",$C$4,"2 Item No.","@@"&amp;$F2803,"3 Posting Date",O$9)</t>
  </si>
  <si>
    <t>=-NL("Sum","5802 Value Entry","151 Cost Amount (Expected)","41 Source Type",$C$5,"5 Source No.",$C2803,"4 Item Ledger Entry Type",$C$4,"2 Item No.","@@"&amp;$F2803,"3 Posting Date",O$9)-NL("Sum","5802 Value Entry","43 Cost Amount (Actual)","41 Source Type",$C$5,"5 Source no.",$C2803,"4 Item Ledger Entry Type",$C$4,"2 Item No.","@@"&amp;$F2803,"3 Posting Date",O$9)</t>
  </si>
  <si>
    <t>=O2803-Q2803</t>
  </si>
  <si>
    <t>=IF(O2803&lt;&gt;0,R2803/O2803,"")</t>
  </si>
  <si>
    <t>=NL("Sum","5802 Value Entry","150 Sales Amount (Expected)","41 Source Type",$C$5,"5 Source No.",$C2803,"4 Item Ledger Entry Type",$C$4,"2 Item No.","@@"&amp;$F2803,"3 Posting Date",U$9)+NL("Sum","5802 Value Entry","17 Sales Amount (Actual)","41 Source Type",$C$5,"5 Source no.",$C2803,"4 Item Ledger Entry Type",$C$4,"2 Item No.","@@"&amp;$F2803,"3 Posting Date",U$9)</t>
  </si>
  <si>
    <t>=-NL("Sum","5802 Value Entry","151 Cost Amount (Expected)","41 Source Type",$C$5,"5 Source No.",$C2803,"4 Item Ledger Entry Type",$C$4,"2 Item No.","@@"&amp;$F2803,"3 Posting Date",U$9)-NL("Sum","5802 Value Entry","43 Cost Amount (Actual)","41 Source Type",$C$5,"5 Source no.",$C2803,"4 Item Ledger Entry Type",$C$4,"2 Item No.","@@"&amp;$F2803,"3 Posting Date",U$9)</t>
  </si>
  <si>
    <t>=U2803-W2803</t>
  </si>
  <si>
    <t>=IF(U2803&lt;&gt;0,X2803/U2803,"")</t>
  </si>
  <si>
    <t>=NL("Sum","5802 Value Entry","150 Sales Amount (Expected)","41 Source Type",$C$5,"5 Source No.",$C2803,"4 Item Ledger Entry Type",$C$4,"2 Item No.","@@"&amp;$F2803,"3 Posting Date",Z$9)+NL("Sum","5802 Value Entry","17 Sales Amount (Actual)","41 Source Type",$C$5,"5 Source no.",$C2803,"4 Item Ledger Entry Type",$C$4,"2 Item No.","@@"&amp;$F2803,"3 Posting Date",Z$9)</t>
  </si>
  <si>
    <t>=-NL("Sum","5802 Value Entry","151 Cost Amount (Expected)","41 Source Type",$C$5,"5 Source No.",$C2803,"4 Item Ledger Entry Type",$C$4,"2 Item No.","@@"&amp;$F2803,"3 Posting Date",Z$9)-NL("Sum","5802 Value Entry","43 Cost Amount (Actual)","41 Source Type",$C$5,"5 Source no.",$C2803,"4 Item Ledger Entry Type",$C$4,"2 Item No.","@@"&amp;$F2803,"3 Posting Date",Z$9)</t>
  </si>
  <si>
    <t>=Z2803-AB2803</t>
  </si>
  <si>
    <t>=IF(Z2803&lt;&gt;0,AC2803/Z2803,"")</t>
  </si>
  <si>
    <t>=C2803</t>
  </si>
  <si>
    <t>=NL("Sum","5802 Value Entry","150 Sales Amount (Expected)","41 Source Type",$C$5,"5 Source No.",$C2804,"4 Item Ledger Entry Type",$C$4,"2 Item No.","@@"&amp;$F2804,"3 Posting Date",J$9)+NL("Sum","5802 Value Entry","17 Sales Amount (Actual)","41 Source Type",$C$5,"5 Source no.",$C2804,"4 Item Ledger Entry Type",$C$4,"2 Item No.","@@"&amp;$F2804,"3 Posting Date",J$9)</t>
  </si>
  <si>
    <t>=-NL("Sum","5802 Value Entry","151 Cost Amount (Expected)","41 Source Type",$C$5,"5 Source No.",$C2804,"4 Item Ledger Entry Type",$C$4,"2 Item No.","@@"&amp;$F2804,"3 Posting Date",J$9)-NL("Sum","5802 Value Entry","43 Cost Amount (Actual)","41 Source Type",$C$5,"5 Source no.",$C2804,"4 Item Ledger Entry Type",$C$4,"2 Item No.","@@"&amp;$F2804,"3 Posting Date",J$9)</t>
  </si>
  <si>
    <t>=J2804-L2804</t>
  </si>
  <si>
    <t>=IF(J2804&lt;&gt;0,M2804/J2804,"")</t>
  </si>
  <si>
    <t>=NL("Sum","5802 Value Entry","150 Sales Amount (Expected)","41 Source Type",$C$5,"5 Source No.",$C2804,"4 Item Ledger Entry Type",$C$4,"2 Item No.","@@"&amp;$F2804,"3 Posting Date",O$9)+NL("Sum","5802 Value Entry","17 Sales Amount (Actual)","41 Source Type",$C$5,"5 Source no.",$C2804,"4 Item Ledger Entry Type",$C$4,"2 Item No.","@@"&amp;$F2804,"3 Posting Date",O$9)</t>
  </si>
  <si>
    <t>=-NL("Sum","5802 Value Entry","151 Cost Amount (Expected)","41 Source Type",$C$5,"5 Source No.",$C2804,"4 Item Ledger Entry Type",$C$4,"2 Item No.","@@"&amp;$F2804,"3 Posting Date",O$9)-NL("Sum","5802 Value Entry","43 Cost Amount (Actual)","41 Source Type",$C$5,"5 Source no.",$C2804,"4 Item Ledger Entry Type",$C$4,"2 Item No.","@@"&amp;$F2804,"3 Posting Date",O$9)</t>
  </si>
  <si>
    <t>=O2804-Q2804</t>
  </si>
  <si>
    <t>=IF(O2804&lt;&gt;0,R2804/O2804,"")</t>
  </si>
  <si>
    <t>=NL("Sum","5802 Value Entry","150 Sales Amount (Expected)","41 Source Type",$C$5,"5 Source No.",$C2804,"4 Item Ledger Entry Type",$C$4,"2 Item No.","@@"&amp;$F2804,"3 Posting Date",U$9)+NL("Sum","5802 Value Entry","17 Sales Amount (Actual)","41 Source Type",$C$5,"5 Source no.",$C2804,"4 Item Ledger Entry Type",$C$4,"2 Item No.","@@"&amp;$F2804,"3 Posting Date",U$9)</t>
  </si>
  <si>
    <t>=-NL("Sum","5802 Value Entry","151 Cost Amount (Expected)","41 Source Type",$C$5,"5 Source No.",$C2804,"4 Item Ledger Entry Type",$C$4,"2 Item No.","@@"&amp;$F2804,"3 Posting Date",U$9)-NL("Sum","5802 Value Entry","43 Cost Amount (Actual)","41 Source Type",$C$5,"5 Source no.",$C2804,"4 Item Ledger Entry Type",$C$4,"2 Item No.","@@"&amp;$F2804,"3 Posting Date",U$9)</t>
  </si>
  <si>
    <t>=U2804-W2804</t>
  </si>
  <si>
    <t>=IF(U2804&lt;&gt;0,X2804/U2804,"")</t>
  </si>
  <si>
    <t>=NL("Sum","5802 Value Entry","150 Sales Amount (Expected)","41 Source Type",$C$5,"5 Source No.",$C2804,"4 Item Ledger Entry Type",$C$4,"2 Item No.","@@"&amp;$F2804,"3 Posting Date",Z$9)+NL("Sum","5802 Value Entry","17 Sales Amount (Actual)","41 Source Type",$C$5,"5 Source no.",$C2804,"4 Item Ledger Entry Type",$C$4,"2 Item No.","@@"&amp;$F2804,"3 Posting Date",Z$9)</t>
  </si>
  <si>
    <t>=-NL("Sum","5802 Value Entry","151 Cost Amount (Expected)","41 Source Type",$C$5,"5 Source No.",$C2804,"4 Item Ledger Entry Type",$C$4,"2 Item No.","@@"&amp;$F2804,"3 Posting Date",Z$9)-NL("Sum","5802 Value Entry","43 Cost Amount (Actual)","41 Source Type",$C$5,"5 Source no.",$C2804,"4 Item Ledger Entry Type",$C$4,"2 Item No.","@@"&amp;$F2804,"3 Posting Date",Z$9)</t>
  </si>
  <si>
    <t>=Z2804-AB2804</t>
  </si>
  <si>
    <t>=IF(Z2804&lt;&gt;0,AC2804/Z2804,"")</t>
  </si>
  <si>
    <t>=C2804</t>
  </si>
  <si>
    <t>=NL("Sum","5802 Value Entry","150 Sales Amount (Expected)","41 Source Type",$C$5,"5 Source No.",$C2805,"4 Item Ledger Entry Type",$C$4,"2 Item No.","@@"&amp;$F2805,"3 Posting Date",J$9)+NL("Sum","5802 Value Entry","17 Sales Amount (Actual)","41 Source Type",$C$5,"5 Source no.",$C2805,"4 Item Ledger Entry Type",$C$4,"2 Item No.","@@"&amp;$F2805,"3 Posting Date",J$9)</t>
  </si>
  <si>
    <t>=-NL("Sum","5802 Value Entry","151 Cost Amount (Expected)","41 Source Type",$C$5,"5 Source No.",$C2805,"4 Item Ledger Entry Type",$C$4,"2 Item No.","@@"&amp;$F2805,"3 Posting Date",J$9)-NL("Sum","5802 Value Entry","43 Cost Amount (Actual)","41 Source Type",$C$5,"5 Source no.",$C2805,"4 Item Ledger Entry Type",$C$4,"2 Item No.","@@"&amp;$F2805,"3 Posting Date",J$9)</t>
  </si>
  <si>
    <t>=J2805-L2805</t>
  </si>
  <si>
    <t>=IF(J2805&lt;&gt;0,M2805/J2805,"")</t>
  </si>
  <si>
    <t>=NL("Sum","5802 Value Entry","150 Sales Amount (Expected)","41 Source Type",$C$5,"5 Source No.",$C2805,"4 Item Ledger Entry Type",$C$4,"2 Item No.","@@"&amp;$F2805,"3 Posting Date",O$9)+NL("Sum","5802 Value Entry","17 Sales Amount (Actual)","41 Source Type",$C$5,"5 Source no.",$C2805,"4 Item Ledger Entry Type",$C$4,"2 Item No.","@@"&amp;$F2805,"3 Posting Date",O$9)</t>
  </si>
  <si>
    <t>=-NL("Sum","5802 Value Entry","151 Cost Amount (Expected)","41 Source Type",$C$5,"5 Source No.",$C2805,"4 Item Ledger Entry Type",$C$4,"2 Item No.","@@"&amp;$F2805,"3 Posting Date",O$9)-NL("Sum","5802 Value Entry","43 Cost Amount (Actual)","41 Source Type",$C$5,"5 Source no.",$C2805,"4 Item Ledger Entry Type",$C$4,"2 Item No.","@@"&amp;$F2805,"3 Posting Date",O$9)</t>
  </si>
  <si>
    <t>=O2805-Q2805</t>
  </si>
  <si>
    <t>=IF(O2805&lt;&gt;0,R2805/O2805,"")</t>
  </si>
  <si>
    <t>=NL("Sum","5802 Value Entry","150 Sales Amount (Expected)","41 Source Type",$C$5,"5 Source No.",$C2805,"4 Item Ledger Entry Type",$C$4,"2 Item No.","@@"&amp;$F2805,"3 Posting Date",U$9)+NL("Sum","5802 Value Entry","17 Sales Amount (Actual)","41 Source Type",$C$5,"5 Source no.",$C2805,"4 Item Ledger Entry Type",$C$4,"2 Item No.","@@"&amp;$F2805,"3 Posting Date",U$9)</t>
  </si>
  <si>
    <t>=-NL("Sum","5802 Value Entry","151 Cost Amount (Expected)","41 Source Type",$C$5,"5 Source No.",$C2805,"4 Item Ledger Entry Type",$C$4,"2 Item No.","@@"&amp;$F2805,"3 Posting Date",U$9)-NL("Sum","5802 Value Entry","43 Cost Amount (Actual)","41 Source Type",$C$5,"5 Source no.",$C2805,"4 Item Ledger Entry Type",$C$4,"2 Item No.","@@"&amp;$F2805,"3 Posting Date",U$9)</t>
  </si>
  <si>
    <t>=U2805-W2805</t>
  </si>
  <si>
    <t>=IF(U2805&lt;&gt;0,X2805/U2805,"")</t>
  </si>
  <si>
    <t>=NL("Sum","5802 Value Entry","150 Sales Amount (Expected)","41 Source Type",$C$5,"5 Source No.",$C2805,"4 Item Ledger Entry Type",$C$4,"2 Item No.","@@"&amp;$F2805,"3 Posting Date",Z$9)+NL("Sum","5802 Value Entry","17 Sales Amount (Actual)","41 Source Type",$C$5,"5 Source no.",$C2805,"4 Item Ledger Entry Type",$C$4,"2 Item No.","@@"&amp;$F2805,"3 Posting Date",Z$9)</t>
  </si>
  <si>
    <t>=-NL("Sum","5802 Value Entry","151 Cost Amount (Expected)","41 Source Type",$C$5,"5 Source No.",$C2805,"4 Item Ledger Entry Type",$C$4,"2 Item No.","@@"&amp;$F2805,"3 Posting Date",Z$9)-NL("Sum","5802 Value Entry","43 Cost Amount (Actual)","41 Source Type",$C$5,"5 Source no.",$C2805,"4 Item Ledger Entry Type",$C$4,"2 Item No.","@@"&amp;$F2805,"3 Posting Date",Z$9)</t>
  </si>
  <si>
    <t>=Z2805-AB2805</t>
  </si>
  <si>
    <t>=IF(Z2805&lt;&gt;0,AC2805/Z2805,"")</t>
  </si>
  <si>
    <t>=C2805</t>
  </si>
  <si>
    <t>=NL("Sum","5802 Value Entry","150 Sales Amount (Expected)","41 Source Type",$C$5,"5 Source No.",$C2806,"4 Item Ledger Entry Type",$C$4,"2 Item No.","@@"&amp;$F2806,"3 Posting Date",J$9)+NL("Sum","5802 Value Entry","17 Sales Amount (Actual)","41 Source Type",$C$5,"5 Source no.",$C2806,"4 Item Ledger Entry Type",$C$4,"2 Item No.","@@"&amp;$F2806,"3 Posting Date",J$9)</t>
  </si>
  <si>
    <t>=-NL("Sum","5802 Value Entry","151 Cost Amount (Expected)","41 Source Type",$C$5,"5 Source No.",$C2806,"4 Item Ledger Entry Type",$C$4,"2 Item No.","@@"&amp;$F2806,"3 Posting Date",J$9)-NL("Sum","5802 Value Entry","43 Cost Amount (Actual)","41 Source Type",$C$5,"5 Source no.",$C2806,"4 Item Ledger Entry Type",$C$4,"2 Item No.","@@"&amp;$F2806,"3 Posting Date",J$9)</t>
  </si>
  <si>
    <t>=J2806-L2806</t>
  </si>
  <si>
    <t>=IF(J2806&lt;&gt;0,M2806/J2806,"")</t>
  </si>
  <si>
    <t>=NL("Sum","5802 Value Entry","150 Sales Amount (Expected)","41 Source Type",$C$5,"5 Source No.",$C2806,"4 Item Ledger Entry Type",$C$4,"2 Item No.","@@"&amp;$F2806,"3 Posting Date",O$9)+NL("Sum","5802 Value Entry","17 Sales Amount (Actual)","41 Source Type",$C$5,"5 Source no.",$C2806,"4 Item Ledger Entry Type",$C$4,"2 Item No.","@@"&amp;$F2806,"3 Posting Date",O$9)</t>
  </si>
  <si>
    <t>=-NL("Sum","5802 Value Entry","151 Cost Amount (Expected)","41 Source Type",$C$5,"5 Source No.",$C2806,"4 Item Ledger Entry Type",$C$4,"2 Item No.","@@"&amp;$F2806,"3 Posting Date",O$9)-NL("Sum","5802 Value Entry","43 Cost Amount (Actual)","41 Source Type",$C$5,"5 Source no.",$C2806,"4 Item Ledger Entry Type",$C$4,"2 Item No.","@@"&amp;$F2806,"3 Posting Date",O$9)</t>
  </si>
  <si>
    <t>=O2806-Q2806</t>
  </si>
  <si>
    <t>=IF(O2806&lt;&gt;0,R2806/O2806,"")</t>
  </si>
  <si>
    <t>=NL("Sum","5802 Value Entry","150 Sales Amount (Expected)","41 Source Type",$C$5,"5 Source No.",$C2806,"4 Item Ledger Entry Type",$C$4,"2 Item No.","@@"&amp;$F2806,"3 Posting Date",U$9)+NL("Sum","5802 Value Entry","17 Sales Amount (Actual)","41 Source Type",$C$5,"5 Source no.",$C2806,"4 Item Ledger Entry Type",$C$4,"2 Item No.","@@"&amp;$F2806,"3 Posting Date",U$9)</t>
  </si>
  <si>
    <t>=-NL("Sum","5802 Value Entry","151 Cost Amount (Expected)","41 Source Type",$C$5,"5 Source No.",$C2806,"4 Item Ledger Entry Type",$C$4,"2 Item No.","@@"&amp;$F2806,"3 Posting Date",U$9)-NL("Sum","5802 Value Entry","43 Cost Amount (Actual)","41 Source Type",$C$5,"5 Source no.",$C2806,"4 Item Ledger Entry Type",$C$4,"2 Item No.","@@"&amp;$F2806,"3 Posting Date",U$9)</t>
  </si>
  <si>
    <t>=U2806-W2806</t>
  </si>
  <si>
    <t>=IF(U2806&lt;&gt;0,X2806/U2806,"")</t>
  </si>
  <si>
    <t>=NL("Sum","5802 Value Entry","150 Sales Amount (Expected)","41 Source Type",$C$5,"5 Source No.",$C2806,"4 Item Ledger Entry Type",$C$4,"2 Item No.","@@"&amp;$F2806,"3 Posting Date",Z$9)+NL("Sum","5802 Value Entry","17 Sales Amount (Actual)","41 Source Type",$C$5,"5 Source no.",$C2806,"4 Item Ledger Entry Type",$C$4,"2 Item No.","@@"&amp;$F2806,"3 Posting Date",Z$9)</t>
  </si>
  <si>
    <t>=-NL("Sum","5802 Value Entry","151 Cost Amount (Expected)","41 Source Type",$C$5,"5 Source No.",$C2806,"4 Item Ledger Entry Type",$C$4,"2 Item No.","@@"&amp;$F2806,"3 Posting Date",Z$9)-NL("Sum","5802 Value Entry","43 Cost Amount (Actual)","41 Source Type",$C$5,"5 Source no.",$C2806,"4 Item Ledger Entry Type",$C$4,"2 Item No.","@@"&amp;$F2806,"3 Posting Date",Z$9)</t>
  </si>
  <si>
    <t>=Z2806-AB2806</t>
  </si>
  <si>
    <t>=IF(Z2806&lt;&gt;0,AC2806/Z2806,"")</t>
  </si>
  <si>
    <t>=C2806</t>
  </si>
  <si>
    <t>=NL("Sum","5802 Value Entry","150 Sales Amount (Expected)","41 Source Type",$C$5,"5 Source No.",$C2807,"4 Item Ledger Entry Type",$C$4,"2 Item No.","@@"&amp;$F2807,"3 Posting Date",J$9)+NL("Sum","5802 Value Entry","17 Sales Amount (Actual)","41 Source Type",$C$5,"5 Source no.",$C2807,"4 Item Ledger Entry Type",$C$4,"2 Item No.","@@"&amp;$F2807,"3 Posting Date",J$9)</t>
  </si>
  <si>
    <t>=-NL("Sum","5802 Value Entry","151 Cost Amount (Expected)","41 Source Type",$C$5,"5 Source No.",$C2807,"4 Item Ledger Entry Type",$C$4,"2 Item No.","@@"&amp;$F2807,"3 Posting Date",J$9)-NL("Sum","5802 Value Entry","43 Cost Amount (Actual)","41 Source Type",$C$5,"5 Source no.",$C2807,"4 Item Ledger Entry Type",$C$4,"2 Item No.","@@"&amp;$F2807,"3 Posting Date",J$9)</t>
  </si>
  <si>
    <t>=J2807-L2807</t>
  </si>
  <si>
    <t>=IF(J2807&lt;&gt;0,M2807/J2807,"")</t>
  </si>
  <si>
    <t>=NL("Sum","5802 Value Entry","150 Sales Amount (Expected)","41 Source Type",$C$5,"5 Source No.",$C2807,"4 Item Ledger Entry Type",$C$4,"2 Item No.","@@"&amp;$F2807,"3 Posting Date",O$9)+NL("Sum","5802 Value Entry","17 Sales Amount (Actual)","41 Source Type",$C$5,"5 Source no.",$C2807,"4 Item Ledger Entry Type",$C$4,"2 Item No.","@@"&amp;$F2807,"3 Posting Date",O$9)</t>
  </si>
  <si>
    <t>=-NL("Sum","5802 Value Entry","151 Cost Amount (Expected)","41 Source Type",$C$5,"5 Source No.",$C2807,"4 Item Ledger Entry Type",$C$4,"2 Item No.","@@"&amp;$F2807,"3 Posting Date",O$9)-NL("Sum","5802 Value Entry","43 Cost Amount (Actual)","41 Source Type",$C$5,"5 Source no.",$C2807,"4 Item Ledger Entry Type",$C$4,"2 Item No.","@@"&amp;$F2807,"3 Posting Date",O$9)</t>
  </si>
  <si>
    <t>=O2807-Q2807</t>
  </si>
  <si>
    <t>=IF(O2807&lt;&gt;0,R2807/O2807,"")</t>
  </si>
  <si>
    <t>=NL("Sum","5802 Value Entry","150 Sales Amount (Expected)","41 Source Type",$C$5,"5 Source No.",$C2807,"4 Item Ledger Entry Type",$C$4,"2 Item No.","@@"&amp;$F2807,"3 Posting Date",U$9)+NL("Sum","5802 Value Entry","17 Sales Amount (Actual)","41 Source Type",$C$5,"5 Source no.",$C2807,"4 Item Ledger Entry Type",$C$4,"2 Item No.","@@"&amp;$F2807,"3 Posting Date",U$9)</t>
  </si>
  <si>
    <t>=-NL("Sum","5802 Value Entry","151 Cost Amount (Expected)","41 Source Type",$C$5,"5 Source No.",$C2807,"4 Item Ledger Entry Type",$C$4,"2 Item No.","@@"&amp;$F2807,"3 Posting Date",U$9)-NL("Sum","5802 Value Entry","43 Cost Amount (Actual)","41 Source Type",$C$5,"5 Source no.",$C2807,"4 Item Ledger Entry Type",$C$4,"2 Item No.","@@"&amp;$F2807,"3 Posting Date",U$9)</t>
  </si>
  <si>
    <t>=U2807-W2807</t>
  </si>
  <si>
    <t>=IF(U2807&lt;&gt;0,X2807/U2807,"")</t>
  </si>
  <si>
    <t>=NL("Sum","5802 Value Entry","150 Sales Amount (Expected)","41 Source Type",$C$5,"5 Source No.",$C2807,"4 Item Ledger Entry Type",$C$4,"2 Item No.","@@"&amp;$F2807,"3 Posting Date",Z$9)+NL("Sum","5802 Value Entry","17 Sales Amount (Actual)","41 Source Type",$C$5,"5 Source no.",$C2807,"4 Item Ledger Entry Type",$C$4,"2 Item No.","@@"&amp;$F2807,"3 Posting Date",Z$9)</t>
  </si>
  <si>
    <t>=-NL("Sum","5802 Value Entry","151 Cost Amount (Expected)","41 Source Type",$C$5,"5 Source No.",$C2807,"4 Item Ledger Entry Type",$C$4,"2 Item No.","@@"&amp;$F2807,"3 Posting Date",Z$9)-NL("Sum","5802 Value Entry","43 Cost Amount (Actual)","41 Source Type",$C$5,"5 Source no.",$C2807,"4 Item Ledger Entry Type",$C$4,"2 Item No.","@@"&amp;$F2807,"3 Posting Date",Z$9)</t>
  </si>
  <si>
    <t>=Z2807-AB2807</t>
  </si>
  <si>
    <t>=IF(Z2807&lt;&gt;0,AC2807/Z2807,"")</t>
  </si>
  <si>
    <t>=C2807</t>
  </si>
  <si>
    <t>=NL("Sum","5802 Value Entry","150 Sales Amount (Expected)","41 Source Type",$C$5,"5 Source No.",$C2808,"4 Item Ledger Entry Type",$C$4,"2 Item No.","@@"&amp;$F2808,"3 Posting Date",J$9)+NL("Sum","5802 Value Entry","17 Sales Amount (Actual)","41 Source Type",$C$5,"5 Source no.",$C2808,"4 Item Ledger Entry Type",$C$4,"2 Item No.","@@"&amp;$F2808,"3 Posting Date",J$9)</t>
  </si>
  <si>
    <t>=-NL("Sum","5802 Value Entry","151 Cost Amount (Expected)","41 Source Type",$C$5,"5 Source No.",$C2808,"4 Item Ledger Entry Type",$C$4,"2 Item No.","@@"&amp;$F2808,"3 Posting Date",J$9)-NL("Sum","5802 Value Entry","43 Cost Amount (Actual)","41 Source Type",$C$5,"5 Source no.",$C2808,"4 Item Ledger Entry Type",$C$4,"2 Item No.","@@"&amp;$F2808,"3 Posting Date",J$9)</t>
  </si>
  <si>
    <t>=J2808-L2808</t>
  </si>
  <si>
    <t>=IF(J2808&lt;&gt;0,M2808/J2808,"")</t>
  </si>
  <si>
    <t>=NL("Sum","5802 Value Entry","150 Sales Amount (Expected)","41 Source Type",$C$5,"5 Source No.",$C2808,"4 Item Ledger Entry Type",$C$4,"2 Item No.","@@"&amp;$F2808,"3 Posting Date",O$9)+NL("Sum","5802 Value Entry","17 Sales Amount (Actual)","41 Source Type",$C$5,"5 Source no.",$C2808,"4 Item Ledger Entry Type",$C$4,"2 Item No.","@@"&amp;$F2808,"3 Posting Date",O$9)</t>
  </si>
  <si>
    <t>=-NL("Sum","5802 Value Entry","151 Cost Amount (Expected)","41 Source Type",$C$5,"5 Source No.",$C2808,"4 Item Ledger Entry Type",$C$4,"2 Item No.","@@"&amp;$F2808,"3 Posting Date",O$9)-NL("Sum","5802 Value Entry","43 Cost Amount (Actual)","41 Source Type",$C$5,"5 Source no.",$C2808,"4 Item Ledger Entry Type",$C$4,"2 Item No.","@@"&amp;$F2808,"3 Posting Date",O$9)</t>
  </si>
  <si>
    <t>=O2808-Q2808</t>
  </si>
  <si>
    <t>=IF(O2808&lt;&gt;0,R2808/O2808,"")</t>
  </si>
  <si>
    <t>=NL("Sum","5802 Value Entry","150 Sales Amount (Expected)","41 Source Type",$C$5,"5 Source No.",$C2808,"4 Item Ledger Entry Type",$C$4,"2 Item No.","@@"&amp;$F2808,"3 Posting Date",U$9)+NL("Sum","5802 Value Entry","17 Sales Amount (Actual)","41 Source Type",$C$5,"5 Source no.",$C2808,"4 Item Ledger Entry Type",$C$4,"2 Item No.","@@"&amp;$F2808,"3 Posting Date",U$9)</t>
  </si>
  <si>
    <t>=-NL("Sum","5802 Value Entry","151 Cost Amount (Expected)","41 Source Type",$C$5,"5 Source No.",$C2808,"4 Item Ledger Entry Type",$C$4,"2 Item No.","@@"&amp;$F2808,"3 Posting Date",U$9)-NL("Sum","5802 Value Entry","43 Cost Amount (Actual)","41 Source Type",$C$5,"5 Source no.",$C2808,"4 Item Ledger Entry Type",$C$4,"2 Item No.","@@"&amp;$F2808,"3 Posting Date",U$9)</t>
  </si>
  <si>
    <t>=U2808-W2808</t>
  </si>
  <si>
    <t>=IF(U2808&lt;&gt;0,X2808/U2808,"")</t>
  </si>
  <si>
    <t>=NL("Sum","5802 Value Entry","150 Sales Amount (Expected)","41 Source Type",$C$5,"5 Source No.",$C2808,"4 Item Ledger Entry Type",$C$4,"2 Item No.","@@"&amp;$F2808,"3 Posting Date",Z$9)+NL("Sum","5802 Value Entry","17 Sales Amount (Actual)","41 Source Type",$C$5,"5 Source no.",$C2808,"4 Item Ledger Entry Type",$C$4,"2 Item No.","@@"&amp;$F2808,"3 Posting Date",Z$9)</t>
  </si>
  <si>
    <t>=-NL("Sum","5802 Value Entry","151 Cost Amount (Expected)","41 Source Type",$C$5,"5 Source No.",$C2808,"4 Item Ledger Entry Type",$C$4,"2 Item No.","@@"&amp;$F2808,"3 Posting Date",Z$9)-NL("Sum","5802 Value Entry","43 Cost Amount (Actual)","41 Source Type",$C$5,"5 Source no.",$C2808,"4 Item Ledger Entry Type",$C$4,"2 Item No.","@@"&amp;$F2808,"3 Posting Date",Z$9)</t>
  </si>
  <si>
    <t>=Z2808-AB2808</t>
  </si>
  <si>
    <t>=IF(Z2808&lt;&gt;0,AC2808/Z2808,"")</t>
  </si>
  <si>
    <t>=C2808</t>
  </si>
  <si>
    <t>=NL("Sum","5802 Value Entry","150 Sales Amount (Expected)","41 Source Type",$C$5,"5 Source No.",$C2809,"4 Item Ledger Entry Type",$C$4,"2 Item No.","@@"&amp;$F2809,"3 Posting Date",J$9)+NL("Sum","5802 Value Entry","17 Sales Amount (Actual)","41 Source Type",$C$5,"5 Source no.",$C2809,"4 Item Ledger Entry Type",$C$4,"2 Item No.","@@"&amp;$F2809,"3 Posting Date",J$9)</t>
  </si>
  <si>
    <t>=-NL("Sum","5802 Value Entry","151 Cost Amount (Expected)","41 Source Type",$C$5,"5 Source No.",$C2809,"4 Item Ledger Entry Type",$C$4,"2 Item No.","@@"&amp;$F2809,"3 Posting Date",J$9)-NL("Sum","5802 Value Entry","43 Cost Amount (Actual)","41 Source Type",$C$5,"5 Source no.",$C2809,"4 Item Ledger Entry Type",$C$4,"2 Item No.","@@"&amp;$F2809,"3 Posting Date",J$9)</t>
  </si>
  <si>
    <t>=J2809-L2809</t>
  </si>
  <si>
    <t>=IF(J2809&lt;&gt;0,M2809/J2809,"")</t>
  </si>
  <si>
    <t>=NL("Sum","5802 Value Entry","150 Sales Amount (Expected)","41 Source Type",$C$5,"5 Source No.",$C2809,"4 Item Ledger Entry Type",$C$4,"2 Item No.","@@"&amp;$F2809,"3 Posting Date",O$9)+NL("Sum","5802 Value Entry","17 Sales Amount (Actual)","41 Source Type",$C$5,"5 Source no.",$C2809,"4 Item Ledger Entry Type",$C$4,"2 Item No.","@@"&amp;$F2809,"3 Posting Date",O$9)</t>
  </si>
  <si>
    <t>=-NL("Sum","5802 Value Entry","151 Cost Amount (Expected)","41 Source Type",$C$5,"5 Source No.",$C2809,"4 Item Ledger Entry Type",$C$4,"2 Item No.","@@"&amp;$F2809,"3 Posting Date",O$9)-NL("Sum","5802 Value Entry","43 Cost Amount (Actual)","41 Source Type",$C$5,"5 Source no.",$C2809,"4 Item Ledger Entry Type",$C$4,"2 Item No.","@@"&amp;$F2809,"3 Posting Date",O$9)</t>
  </si>
  <si>
    <t>=O2809-Q2809</t>
  </si>
  <si>
    <t>=IF(O2809&lt;&gt;0,R2809/O2809,"")</t>
  </si>
  <si>
    <t>=NL("Sum","5802 Value Entry","150 Sales Amount (Expected)","41 Source Type",$C$5,"5 Source No.",$C2809,"4 Item Ledger Entry Type",$C$4,"2 Item No.","@@"&amp;$F2809,"3 Posting Date",U$9)+NL("Sum","5802 Value Entry","17 Sales Amount (Actual)","41 Source Type",$C$5,"5 Source no.",$C2809,"4 Item Ledger Entry Type",$C$4,"2 Item No.","@@"&amp;$F2809,"3 Posting Date",U$9)</t>
  </si>
  <si>
    <t>=-NL("Sum","5802 Value Entry","151 Cost Amount (Expected)","41 Source Type",$C$5,"5 Source No.",$C2809,"4 Item Ledger Entry Type",$C$4,"2 Item No.","@@"&amp;$F2809,"3 Posting Date",U$9)-NL("Sum","5802 Value Entry","43 Cost Amount (Actual)","41 Source Type",$C$5,"5 Source no.",$C2809,"4 Item Ledger Entry Type",$C$4,"2 Item No.","@@"&amp;$F2809,"3 Posting Date",U$9)</t>
  </si>
  <si>
    <t>=U2809-W2809</t>
  </si>
  <si>
    <t>=IF(U2809&lt;&gt;0,X2809/U2809,"")</t>
  </si>
  <si>
    <t>=NL("Sum","5802 Value Entry","150 Sales Amount (Expected)","41 Source Type",$C$5,"5 Source No.",$C2809,"4 Item Ledger Entry Type",$C$4,"2 Item No.","@@"&amp;$F2809,"3 Posting Date",Z$9)+NL("Sum","5802 Value Entry","17 Sales Amount (Actual)","41 Source Type",$C$5,"5 Source no.",$C2809,"4 Item Ledger Entry Type",$C$4,"2 Item No.","@@"&amp;$F2809,"3 Posting Date",Z$9)</t>
  </si>
  <si>
    <t>=-NL("Sum","5802 Value Entry","151 Cost Amount (Expected)","41 Source Type",$C$5,"5 Source No.",$C2809,"4 Item Ledger Entry Type",$C$4,"2 Item No.","@@"&amp;$F2809,"3 Posting Date",Z$9)-NL("Sum","5802 Value Entry","43 Cost Amount (Actual)","41 Source Type",$C$5,"5 Source no.",$C2809,"4 Item Ledger Entry Type",$C$4,"2 Item No.","@@"&amp;$F2809,"3 Posting Date",Z$9)</t>
  </si>
  <si>
    <t>=Z2809-AB2809</t>
  </si>
  <si>
    <t>=IF(Z2809&lt;&gt;0,AC2809/Z2809,"")</t>
  </si>
  <si>
    <t>=C2809</t>
  </si>
  <si>
    <t>=NL("Sum","5802 Value Entry","150 Sales Amount (Expected)","41 Source Type",$C$5,"5 Source No.",$C2810,"4 Item Ledger Entry Type",$C$4,"2 Item No.","@@"&amp;$F2810,"3 Posting Date",J$9)+NL("Sum","5802 Value Entry","17 Sales Amount (Actual)","41 Source Type",$C$5,"5 Source no.",$C2810,"4 Item Ledger Entry Type",$C$4,"2 Item No.","@@"&amp;$F2810,"3 Posting Date",J$9)</t>
  </si>
  <si>
    <t>=-NL("Sum","5802 Value Entry","151 Cost Amount (Expected)","41 Source Type",$C$5,"5 Source No.",$C2810,"4 Item Ledger Entry Type",$C$4,"2 Item No.","@@"&amp;$F2810,"3 Posting Date",J$9)-NL("Sum","5802 Value Entry","43 Cost Amount (Actual)","41 Source Type",$C$5,"5 Source no.",$C2810,"4 Item Ledger Entry Type",$C$4,"2 Item No.","@@"&amp;$F2810,"3 Posting Date",J$9)</t>
  </si>
  <si>
    <t>=J2810-L2810</t>
  </si>
  <si>
    <t>=IF(J2810&lt;&gt;0,M2810/J2810,"")</t>
  </si>
  <si>
    <t>=NL("Sum","5802 Value Entry","150 Sales Amount (Expected)","41 Source Type",$C$5,"5 Source No.",$C2810,"4 Item Ledger Entry Type",$C$4,"2 Item No.","@@"&amp;$F2810,"3 Posting Date",O$9)+NL("Sum","5802 Value Entry","17 Sales Amount (Actual)","41 Source Type",$C$5,"5 Source no.",$C2810,"4 Item Ledger Entry Type",$C$4,"2 Item No.","@@"&amp;$F2810,"3 Posting Date",O$9)</t>
  </si>
  <si>
    <t>=-NL("Sum","5802 Value Entry","151 Cost Amount (Expected)","41 Source Type",$C$5,"5 Source No.",$C2810,"4 Item Ledger Entry Type",$C$4,"2 Item No.","@@"&amp;$F2810,"3 Posting Date",O$9)-NL("Sum","5802 Value Entry","43 Cost Amount (Actual)","41 Source Type",$C$5,"5 Source no.",$C2810,"4 Item Ledger Entry Type",$C$4,"2 Item No.","@@"&amp;$F2810,"3 Posting Date",O$9)</t>
  </si>
  <si>
    <t>=O2810-Q2810</t>
  </si>
  <si>
    <t>=IF(O2810&lt;&gt;0,R2810/O2810,"")</t>
  </si>
  <si>
    <t>=NL("Sum","5802 Value Entry","150 Sales Amount (Expected)","41 Source Type",$C$5,"5 Source No.",$C2810,"4 Item Ledger Entry Type",$C$4,"2 Item No.","@@"&amp;$F2810,"3 Posting Date",U$9)+NL("Sum","5802 Value Entry","17 Sales Amount (Actual)","41 Source Type",$C$5,"5 Source no.",$C2810,"4 Item Ledger Entry Type",$C$4,"2 Item No.","@@"&amp;$F2810,"3 Posting Date",U$9)</t>
  </si>
  <si>
    <t>=-NL("Sum","5802 Value Entry","151 Cost Amount (Expected)","41 Source Type",$C$5,"5 Source No.",$C2810,"4 Item Ledger Entry Type",$C$4,"2 Item No.","@@"&amp;$F2810,"3 Posting Date",U$9)-NL("Sum","5802 Value Entry","43 Cost Amount (Actual)","41 Source Type",$C$5,"5 Source no.",$C2810,"4 Item Ledger Entry Type",$C$4,"2 Item No.","@@"&amp;$F2810,"3 Posting Date",U$9)</t>
  </si>
  <si>
    <t>=U2810-W2810</t>
  </si>
  <si>
    <t>=IF(U2810&lt;&gt;0,X2810/U2810,"")</t>
  </si>
  <si>
    <t>=NL("Sum","5802 Value Entry","150 Sales Amount (Expected)","41 Source Type",$C$5,"5 Source No.",$C2810,"4 Item Ledger Entry Type",$C$4,"2 Item No.","@@"&amp;$F2810,"3 Posting Date",Z$9)+NL("Sum","5802 Value Entry","17 Sales Amount (Actual)","41 Source Type",$C$5,"5 Source no.",$C2810,"4 Item Ledger Entry Type",$C$4,"2 Item No.","@@"&amp;$F2810,"3 Posting Date",Z$9)</t>
  </si>
  <si>
    <t>=-NL("Sum","5802 Value Entry","151 Cost Amount (Expected)","41 Source Type",$C$5,"5 Source No.",$C2810,"4 Item Ledger Entry Type",$C$4,"2 Item No.","@@"&amp;$F2810,"3 Posting Date",Z$9)-NL("Sum","5802 Value Entry","43 Cost Amount (Actual)","41 Source Type",$C$5,"5 Source no.",$C2810,"4 Item Ledger Entry Type",$C$4,"2 Item No.","@@"&amp;$F2810,"3 Posting Date",Z$9)</t>
  </si>
  <si>
    <t>=Z2810-AB2810</t>
  </si>
  <si>
    <t>=IF(Z2810&lt;&gt;0,AC2810/Z2810,"")</t>
  </si>
  <si>
    <t>=C2810</t>
  </si>
  <si>
    <t>=NL("Sum","5802 Value Entry","150 Sales Amount (Expected)","41 Source Type",$C$5,"5 Source No.",$C2811,"4 Item Ledger Entry Type",$C$4,"2 Item No.","@@"&amp;$F2811,"3 Posting Date",J$9)+NL("Sum","5802 Value Entry","17 Sales Amount (Actual)","41 Source Type",$C$5,"5 Source no.",$C2811,"4 Item Ledger Entry Type",$C$4,"2 Item No.","@@"&amp;$F2811,"3 Posting Date",J$9)</t>
  </si>
  <si>
    <t>=-NL("Sum","5802 Value Entry","151 Cost Amount (Expected)","41 Source Type",$C$5,"5 Source No.",$C2811,"4 Item Ledger Entry Type",$C$4,"2 Item No.","@@"&amp;$F2811,"3 Posting Date",J$9)-NL("Sum","5802 Value Entry","43 Cost Amount (Actual)","41 Source Type",$C$5,"5 Source no.",$C2811,"4 Item Ledger Entry Type",$C$4,"2 Item No.","@@"&amp;$F2811,"3 Posting Date",J$9)</t>
  </si>
  <si>
    <t>=J2811-L2811</t>
  </si>
  <si>
    <t>=IF(J2811&lt;&gt;0,M2811/J2811,"")</t>
  </si>
  <si>
    <t>=NL("Sum","5802 Value Entry","150 Sales Amount (Expected)","41 Source Type",$C$5,"5 Source No.",$C2811,"4 Item Ledger Entry Type",$C$4,"2 Item No.","@@"&amp;$F2811,"3 Posting Date",O$9)+NL("Sum","5802 Value Entry","17 Sales Amount (Actual)","41 Source Type",$C$5,"5 Source no.",$C2811,"4 Item Ledger Entry Type",$C$4,"2 Item No.","@@"&amp;$F2811,"3 Posting Date",O$9)</t>
  </si>
  <si>
    <t>=-NL("Sum","5802 Value Entry","151 Cost Amount (Expected)","41 Source Type",$C$5,"5 Source No.",$C2811,"4 Item Ledger Entry Type",$C$4,"2 Item No.","@@"&amp;$F2811,"3 Posting Date",O$9)-NL("Sum","5802 Value Entry","43 Cost Amount (Actual)","41 Source Type",$C$5,"5 Source no.",$C2811,"4 Item Ledger Entry Type",$C$4,"2 Item No.","@@"&amp;$F2811,"3 Posting Date",O$9)</t>
  </si>
  <si>
    <t>=O2811-Q2811</t>
  </si>
  <si>
    <t>=IF(O2811&lt;&gt;0,R2811/O2811,"")</t>
  </si>
  <si>
    <t>=NL("Sum","5802 Value Entry","150 Sales Amount (Expected)","41 Source Type",$C$5,"5 Source No.",$C2811,"4 Item Ledger Entry Type",$C$4,"2 Item No.","@@"&amp;$F2811,"3 Posting Date",U$9)+NL("Sum","5802 Value Entry","17 Sales Amount (Actual)","41 Source Type",$C$5,"5 Source no.",$C2811,"4 Item Ledger Entry Type",$C$4,"2 Item No.","@@"&amp;$F2811,"3 Posting Date",U$9)</t>
  </si>
  <si>
    <t>=-NL("Sum","5802 Value Entry","151 Cost Amount (Expected)","41 Source Type",$C$5,"5 Source No.",$C2811,"4 Item Ledger Entry Type",$C$4,"2 Item No.","@@"&amp;$F2811,"3 Posting Date",U$9)-NL("Sum","5802 Value Entry","43 Cost Amount (Actual)","41 Source Type",$C$5,"5 Source no.",$C2811,"4 Item Ledger Entry Type",$C$4,"2 Item No.","@@"&amp;$F2811,"3 Posting Date",U$9)</t>
  </si>
  <si>
    <t>=U2811-W2811</t>
  </si>
  <si>
    <t>=IF(U2811&lt;&gt;0,X2811/U2811,"")</t>
  </si>
  <si>
    <t>=NL("Sum","5802 Value Entry","150 Sales Amount (Expected)","41 Source Type",$C$5,"5 Source No.",$C2811,"4 Item Ledger Entry Type",$C$4,"2 Item No.","@@"&amp;$F2811,"3 Posting Date",Z$9)+NL("Sum","5802 Value Entry","17 Sales Amount (Actual)","41 Source Type",$C$5,"5 Source no.",$C2811,"4 Item Ledger Entry Type",$C$4,"2 Item No.","@@"&amp;$F2811,"3 Posting Date",Z$9)</t>
  </si>
  <si>
    <t>=-NL("Sum","5802 Value Entry","151 Cost Amount (Expected)","41 Source Type",$C$5,"5 Source No.",$C2811,"4 Item Ledger Entry Type",$C$4,"2 Item No.","@@"&amp;$F2811,"3 Posting Date",Z$9)-NL("Sum","5802 Value Entry","43 Cost Amount (Actual)","41 Source Type",$C$5,"5 Source no.",$C2811,"4 Item Ledger Entry Type",$C$4,"2 Item No.","@@"&amp;$F2811,"3 Posting Date",Z$9)</t>
  </si>
  <si>
    <t>=Z2811-AB2811</t>
  </si>
  <si>
    <t>=IF(Z2811&lt;&gt;0,AC2811/Z2811,"")</t>
  </si>
  <si>
    <t>=C2811</t>
  </si>
  <si>
    <t>=NL("Sum","5802 Value Entry","150 Sales Amount (Expected)","41 Source Type",$C$5,"5 Source No.",$C2812,"4 Item Ledger Entry Type",$C$4,"2 Item No.","@@"&amp;$F2812,"3 Posting Date",J$9)+NL("Sum","5802 Value Entry","17 Sales Amount (Actual)","41 Source Type",$C$5,"5 Source no.",$C2812,"4 Item Ledger Entry Type",$C$4,"2 Item No.","@@"&amp;$F2812,"3 Posting Date",J$9)</t>
  </si>
  <si>
    <t>=-NL("Sum","5802 Value Entry","151 Cost Amount (Expected)","41 Source Type",$C$5,"5 Source No.",$C2812,"4 Item Ledger Entry Type",$C$4,"2 Item No.","@@"&amp;$F2812,"3 Posting Date",J$9)-NL("Sum","5802 Value Entry","43 Cost Amount (Actual)","41 Source Type",$C$5,"5 Source no.",$C2812,"4 Item Ledger Entry Type",$C$4,"2 Item No.","@@"&amp;$F2812,"3 Posting Date",J$9)</t>
  </si>
  <si>
    <t>=J2812-L2812</t>
  </si>
  <si>
    <t>=IF(J2812&lt;&gt;0,M2812/J2812,"")</t>
  </si>
  <si>
    <t>=NL("Sum","5802 Value Entry","150 Sales Amount (Expected)","41 Source Type",$C$5,"5 Source No.",$C2812,"4 Item Ledger Entry Type",$C$4,"2 Item No.","@@"&amp;$F2812,"3 Posting Date",O$9)+NL("Sum","5802 Value Entry","17 Sales Amount (Actual)","41 Source Type",$C$5,"5 Source no.",$C2812,"4 Item Ledger Entry Type",$C$4,"2 Item No.","@@"&amp;$F2812,"3 Posting Date",O$9)</t>
  </si>
  <si>
    <t>=-NL("Sum","5802 Value Entry","151 Cost Amount (Expected)","41 Source Type",$C$5,"5 Source No.",$C2812,"4 Item Ledger Entry Type",$C$4,"2 Item No.","@@"&amp;$F2812,"3 Posting Date",O$9)-NL("Sum","5802 Value Entry","43 Cost Amount (Actual)","41 Source Type",$C$5,"5 Source no.",$C2812,"4 Item Ledger Entry Type",$C$4,"2 Item No.","@@"&amp;$F2812,"3 Posting Date",O$9)</t>
  </si>
  <si>
    <t>=O2812-Q2812</t>
  </si>
  <si>
    <t>=IF(O2812&lt;&gt;0,R2812/O2812,"")</t>
  </si>
  <si>
    <t>=NL("Sum","5802 Value Entry","150 Sales Amount (Expected)","41 Source Type",$C$5,"5 Source No.",$C2812,"4 Item Ledger Entry Type",$C$4,"2 Item No.","@@"&amp;$F2812,"3 Posting Date",U$9)+NL("Sum","5802 Value Entry","17 Sales Amount (Actual)","41 Source Type",$C$5,"5 Source no.",$C2812,"4 Item Ledger Entry Type",$C$4,"2 Item No.","@@"&amp;$F2812,"3 Posting Date",U$9)</t>
  </si>
  <si>
    <t>=-NL("Sum","5802 Value Entry","151 Cost Amount (Expected)","41 Source Type",$C$5,"5 Source No.",$C2812,"4 Item Ledger Entry Type",$C$4,"2 Item No.","@@"&amp;$F2812,"3 Posting Date",U$9)-NL("Sum","5802 Value Entry","43 Cost Amount (Actual)","41 Source Type",$C$5,"5 Source no.",$C2812,"4 Item Ledger Entry Type",$C$4,"2 Item No.","@@"&amp;$F2812,"3 Posting Date",U$9)</t>
  </si>
  <si>
    <t>=U2812-W2812</t>
  </si>
  <si>
    <t>=IF(U2812&lt;&gt;0,X2812/U2812,"")</t>
  </si>
  <si>
    <t>=NL("Sum","5802 Value Entry","150 Sales Amount (Expected)","41 Source Type",$C$5,"5 Source No.",$C2812,"4 Item Ledger Entry Type",$C$4,"2 Item No.","@@"&amp;$F2812,"3 Posting Date",Z$9)+NL("Sum","5802 Value Entry","17 Sales Amount (Actual)","41 Source Type",$C$5,"5 Source no.",$C2812,"4 Item Ledger Entry Type",$C$4,"2 Item No.","@@"&amp;$F2812,"3 Posting Date",Z$9)</t>
  </si>
  <si>
    <t>=-NL("Sum","5802 Value Entry","151 Cost Amount (Expected)","41 Source Type",$C$5,"5 Source No.",$C2812,"4 Item Ledger Entry Type",$C$4,"2 Item No.","@@"&amp;$F2812,"3 Posting Date",Z$9)-NL("Sum","5802 Value Entry","43 Cost Amount (Actual)","41 Source Type",$C$5,"5 Source no.",$C2812,"4 Item Ledger Entry Type",$C$4,"2 Item No.","@@"&amp;$F2812,"3 Posting Date",Z$9)</t>
  </si>
  <si>
    <t>=Z2812-AB2812</t>
  </si>
  <si>
    <t>=IF(Z2812&lt;&gt;0,AC2812/Z2812,"")</t>
  </si>
  <si>
    <t>=C2812</t>
  </si>
  <si>
    <t>=NL("Sum","5802 Value Entry","150 Sales Amount (Expected)","41 Source Type",$C$5,"5 Source No.",$C2813,"4 Item Ledger Entry Type",$C$4,"2 Item No.","@@"&amp;$F2813,"3 Posting Date",J$9)+NL("Sum","5802 Value Entry","17 Sales Amount (Actual)","41 Source Type",$C$5,"5 Source no.",$C2813,"4 Item Ledger Entry Type",$C$4,"2 Item No.","@@"&amp;$F2813,"3 Posting Date",J$9)</t>
  </si>
  <si>
    <t>=-NL("Sum","5802 Value Entry","151 Cost Amount (Expected)","41 Source Type",$C$5,"5 Source No.",$C2813,"4 Item Ledger Entry Type",$C$4,"2 Item No.","@@"&amp;$F2813,"3 Posting Date",J$9)-NL("Sum","5802 Value Entry","43 Cost Amount (Actual)","41 Source Type",$C$5,"5 Source no.",$C2813,"4 Item Ledger Entry Type",$C$4,"2 Item No.","@@"&amp;$F2813,"3 Posting Date",J$9)</t>
  </si>
  <si>
    <t>=J2813-L2813</t>
  </si>
  <si>
    <t>=IF(J2813&lt;&gt;0,M2813/J2813,"")</t>
  </si>
  <si>
    <t>=NL("Sum","5802 Value Entry","150 Sales Amount (Expected)","41 Source Type",$C$5,"5 Source No.",$C2813,"4 Item Ledger Entry Type",$C$4,"2 Item No.","@@"&amp;$F2813,"3 Posting Date",O$9)+NL("Sum","5802 Value Entry","17 Sales Amount (Actual)","41 Source Type",$C$5,"5 Source no.",$C2813,"4 Item Ledger Entry Type",$C$4,"2 Item No.","@@"&amp;$F2813,"3 Posting Date",O$9)</t>
  </si>
  <si>
    <t>=-NL("Sum","5802 Value Entry","151 Cost Amount (Expected)","41 Source Type",$C$5,"5 Source No.",$C2813,"4 Item Ledger Entry Type",$C$4,"2 Item No.","@@"&amp;$F2813,"3 Posting Date",O$9)-NL("Sum","5802 Value Entry","43 Cost Amount (Actual)","41 Source Type",$C$5,"5 Source no.",$C2813,"4 Item Ledger Entry Type",$C$4,"2 Item No.","@@"&amp;$F2813,"3 Posting Date",O$9)</t>
  </si>
  <si>
    <t>=O2813-Q2813</t>
  </si>
  <si>
    <t>=IF(O2813&lt;&gt;0,R2813/O2813,"")</t>
  </si>
  <si>
    <t>=NL("Sum","5802 Value Entry","150 Sales Amount (Expected)","41 Source Type",$C$5,"5 Source No.",$C2813,"4 Item Ledger Entry Type",$C$4,"2 Item No.","@@"&amp;$F2813,"3 Posting Date",U$9)+NL("Sum","5802 Value Entry","17 Sales Amount (Actual)","41 Source Type",$C$5,"5 Source no.",$C2813,"4 Item Ledger Entry Type",$C$4,"2 Item No.","@@"&amp;$F2813,"3 Posting Date",U$9)</t>
  </si>
  <si>
    <t>=-NL("Sum","5802 Value Entry","151 Cost Amount (Expected)","41 Source Type",$C$5,"5 Source No.",$C2813,"4 Item Ledger Entry Type",$C$4,"2 Item No.","@@"&amp;$F2813,"3 Posting Date",U$9)-NL("Sum","5802 Value Entry","43 Cost Amount (Actual)","41 Source Type",$C$5,"5 Source no.",$C2813,"4 Item Ledger Entry Type",$C$4,"2 Item No.","@@"&amp;$F2813,"3 Posting Date",U$9)</t>
  </si>
  <si>
    <t>=U2813-W2813</t>
  </si>
  <si>
    <t>=IF(U2813&lt;&gt;0,X2813/U2813,"")</t>
  </si>
  <si>
    <t>=NL("Sum","5802 Value Entry","150 Sales Amount (Expected)","41 Source Type",$C$5,"5 Source No.",$C2813,"4 Item Ledger Entry Type",$C$4,"2 Item No.","@@"&amp;$F2813,"3 Posting Date",Z$9)+NL("Sum","5802 Value Entry","17 Sales Amount (Actual)","41 Source Type",$C$5,"5 Source no.",$C2813,"4 Item Ledger Entry Type",$C$4,"2 Item No.","@@"&amp;$F2813,"3 Posting Date",Z$9)</t>
  </si>
  <si>
    <t>=-NL("Sum","5802 Value Entry","151 Cost Amount (Expected)","41 Source Type",$C$5,"5 Source No.",$C2813,"4 Item Ledger Entry Type",$C$4,"2 Item No.","@@"&amp;$F2813,"3 Posting Date",Z$9)-NL("Sum","5802 Value Entry","43 Cost Amount (Actual)","41 Source Type",$C$5,"5 Source no.",$C2813,"4 Item Ledger Entry Type",$C$4,"2 Item No.","@@"&amp;$F2813,"3 Posting Date",Z$9)</t>
  </si>
  <si>
    <t>=Z2813-AB2813</t>
  </si>
  <si>
    <t>=IF(Z2813&lt;&gt;0,AC2813/Z2813,"")</t>
  </si>
  <si>
    <t>=C2813</t>
  </si>
  <si>
    <t>=NL("Sum","5802 Value Entry","150 Sales Amount (Expected)","41 Source Type",$C$5,"5 Source No.",$C2814,"4 Item Ledger Entry Type",$C$4,"2 Item No.","@@"&amp;$F2814,"3 Posting Date",J$9)+NL("Sum","5802 Value Entry","17 Sales Amount (Actual)","41 Source Type",$C$5,"5 Source no.",$C2814,"4 Item Ledger Entry Type",$C$4,"2 Item No.","@@"&amp;$F2814,"3 Posting Date",J$9)</t>
  </si>
  <si>
    <t>=-NL("Sum","5802 Value Entry","151 Cost Amount (Expected)","41 Source Type",$C$5,"5 Source No.",$C2814,"4 Item Ledger Entry Type",$C$4,"2 Item No.","@@"&amp;$F2814,"3 Posting Date",J$9)-NL("Sum","5802 Value Entry","43 Cost Amount (Actual)","41 Source Type",$C$5,"5 Source no.",$C2814,"4 Item Ledger Entry Type",$C$4,"2 Item No.","@@"&amp;$F2814,"3 Posting Date",J$9)</t>
  </si>
  <si>
    <t>=J2814-L2814</t>
  </si>
  <si>
    <t>=IF(J2814&lt;&gt;0,M2814/J2814,"")</t>
  </si>
  <si>
    <t>=NL("Sum","5802 Value Entry","150 Sales Amount (Expected)","41 Source Type",$C$5,"5 Source No.",$C2814,"4 Item Ledger Entry Type",$C$4,"2 Item No.","@@"&amp;$F2814,"3 Posting Date",O$9)+NL("Sum","5802 Value Entry","17 Sales Amount (Actual)","41 Source Type",$C$5,"5 Source no.",$C2814,"4 Item Ledger Entry Type",$C$4,"2 Item No.","@@"&amp;$F2814,"3 Posting Date",O$9)</t>
  </si>
  <si>
    <t>=-NL("Sum","5802 Value Entry","151 Cost Amount (Expected)","41 Source Type",$C$5,"5 Source No.",$C2814,"4 Item Ledger Entry Type",$C$4,"2 Item No.","@@"&amp;$F2814,"3 Posting Date",O$9)-NL("Sum","5802 Value Entry","43 Cost Amount (Actual)","41 Source Type",$C$5,"5 Source no.",$C2814,"4 Item Ledger Entry Type",$C$4,"2 Item No.","@@"&amp;$F2814,"3 Posting Date",O$9)</t>
  </si>
  <si>
    <t>=O2814-Q2814</t>
  </si>
  <si>
    <t>=IF(O2814&lt;&gt;0,R2814/O2814,"")</t>
  </si>
  <si>
    <t>=NL("Sum","5802 Value Entry","150 Sales Amount (Expected)","41 Source Type",$C$5,"5 Source No.",$C2814,"4 Item Ledger Entry Type",$C$4,"2 Item No.","@@"&amp;$F2814,"3 Posting Date",U$9)+NL("Sum","5802 Value Entry","17 Sales Amount (Actual)","41 Source Type",$C$5,"5 Source no.",$C2814,"4 Item Ledger Entry Type",$C$4,"2 Item No.","@@"&amp;$F2814,"3 Posting Date",U$9)</t>
  </si>
  <si>
    <t>=-NL("Sum","5802 Value Entry","151 Cost Amount (Expected)","41 Source Type",$C$5,"5 Source No.",$C2814,"4 Item Ledger Entry Type",$C$4,"2 Item No.","@@"&amp;$F2814,"3 Posting Date",U$9)-NL("Sum","5802 Value Entry","43 Cost Amount (Actual)","41 Source Type",$C$5,"5 Source no.",$C2814,"4 Item Ledger Entry Type",$C$4,"2 Item No.","@@"&amp;$F2814,"3 Posting Date",U$9)</t>
  </si>
  <si>
    <t>=U2814-W2814</t>
  </si>
  <si>
    <t>=IF(U2814&lt;&gt;0,X2814/U2814,"")</t>
  </si>
  <si>
    <t>=NL("Sum","5802 Value Entry","150 Sales Amount (Expected)","41 Source Type",$C$5,"5 Source No.",$C2814,"4 Item Ledger Entry Type",$C$4,"2 Item No.","@@"&amp;$F2814,"3 Posting Date",Z$9)+NL("Sum","5802 Value Entry","17 Sales Amount (Actual)","41 Source Type",$C$5,"5 Source no.",$C2814,"4 Item Ledger Entry Type",$C$4,"2 Item No.","@@"&amp;$F2814,"3 Posting Date",Z$9)</t>
  </si>
  <si>
    <t>=-NL("Sum","5802 Value Entry","151 Cost Amount (Expected)","41 Source Type",$C$5,"5 Source No.",$C2814,"4 Item Ledger Entry Type",$C$4,"2 Item No.","@@"&amp;$F2814,"3 Posting Date",Z$9)-NL("Sum","5802 Value Entry","43 Cost Amount (Actual)","41 Source Type",$C$5,"5 Source no.",$C2814,"4 Item Ledger Entry Type",$C$4,"2 Item No.","@@"&amp;$F2814,"3 Posting Date",Z$9)</t>
  </si>
  <si>
    <t>=Z2814-AB2814</t>
  </si>
  <si>
    <t>=IF(Z2814&lt;&gt;0,AC2814/Z2814,"")</t>
  </si>
  <si>
    <t>=C2814</t>
  </si>
  <si>
    <t>=NL("Sum","5802 Value Entry","150 Sales Amount (Expected)","41 Source Type",$C$5,"5 Source No.",$C2815,"4 Item Ledger Entry Type",$C$4,"2 Item No.","@@"&amp;$F2815,"3 Posting Date",J$9)+NL("Sum","5802 Value Entry","17 Sales Amount (Actual)","41 Source Type",$C$5,"5 Source no.",$C2815,"4 Item Ledger Entry Type",$C$4,"2 Item No.","@@"&amp;$F2815,"3 Posting Date",J$9)</t>
  </si>
  <si>
    <t>=-NL("Sum","5802 Value Entry","151 Cost Amount (Expected)","41 Source Type",$C$5,"5 Source No.",$C2815,"4 Item Ledger Entry Type",$C$4,"2 Item No.","@@"&amp;$F2815,"3 Posting Date",J$9)-NL("Sum","5802 Value Entry","43 Cost Amount (Actual)","41 Source Type",$C$5,"5 Source no.",$C2815,"4 Item Ledger Entry Type",$C$4,"2 Item No.","@@"&amp;$F2815,"3 Posting Date",J$9)</t>
  </si>
  <si>
    <t>=J2815-L2815</t>
  </si>
  <si>
    <t>=IF(J2815&lt;&gt;0,M2815/J2815,"")</t>
  </si>
  <si>
    <t>=NL("Sum","5802 Value Entry","150 Sales Amount (Expected)","41 Source Type",$C$5,"5 Source No.",$C2815,"4 Item Ledger Entry Type",$C$4,"2 Item No.","@@"&amp;$F2815,"3 Posting Date",O$9)+NL("Sum","5802 Value Entry","17 Sales Amount (Actual)","41 Source Type",$C$5,"5 Source no.",$C2815,"4 Item Ledger Entry Type",$C$4,"2 Item No.","@@"&amp;$F2815,"3 Posting Date",O$9)</t>
  </si>
  <si>
    <t>=-NL("Sum","5802 Value Entry","151 Cost Amount (Expected)","41 Source Type",$C$5,"5 Source No.",$C2815,"4 Item Ledger Entry Type",$C$4,"2 Item No.","@@"&amp;$F2815,"3 Posting Date",O$9)-NL("Sum","5802 Value Entry","43 Cost Amount (Actual)","41 Source Type",$C$5,"5 Source no.",$C2815,"4 Item Ledger Entry Type",$C$4,"2 Item No.","@@"&amp;$F2815,"3 Posting Date",O$9)</t>
  </si>
  <si>
    <t>=O2815-Q2815</t>
  </si>
  <si>
    <t>=IF(O2815&lt;&gt;0,R2815/O2815,"")</t>
  </si>
  <si>
    <t>=NL("Sum","5802 Value Entry","150 Sales Amount (Expected)","41 Source Type",$C$5,"5 Source No.",$C2815,"4 Item Ledger Entry Type",$C$4,"2 Item No.","@@"&amp;$F2815,"3 Posting Date",U$9)+NL("Sum","5802 Value Entry","17 Sales Amount (Actual)","41 Source Type",$C$5,"5 Source no.",$C2815,"4 Item Ledger Entry Type",$C$4,"2 Item No.","@@"&amp;$F2815,"3 Posting Date",U$9)</t>
  </si>
  <si>
    <t>=-NL("Sum","5802 Value Entry","151 Cost Amount (Expected)","41 Source Type",$C$5,"5 Source No.",$C2815,"4 Item Ledger Entry Type",$C$4,"2 Item No.","@@"&amp;$F2815,"3 Posting Date",U$9)-NL("Sum","5802 Value Entry","43 Cost Amount (Actual)","41 Source Type",$C$5,"5 Source no.",$C2815,"4 Item Ledger Entry Type",$C$4,"2 Item No.","@@"&amp;$F2815,"3 Posting Date",U$9)</t>
  </si>
  <si>
    <t>=U2815-W2815</t>
  </si>
  <si>
    <t>=IF(U2815&lt;&gt;0,X2815/U2815,"")</t>
  </si>
  <si>
    <t>=NL("Sum","5802 Value Entry","150 Sales Amount (Expected)","41 Source Type",$C$5,"5 Source No.",$C2815,"4 Item Ledger Entry Type",$C$4,"2 Item No.","@@"&amp;$F2815,"3 Posting Date",Z$9)+NL("Sum","5802 Value Entry","17 Sales Amount (Actual)","41 Source Type",$C$5,"5 Source no.",$C2815,"4 Item Ledger Entry Type",$C$4,"2 Item No.","@@"&amp;$F2815,"3 Posting Date",Z$9)</t>
  </si>
  <si>
    <t>=-NL("Sum","5802 Value Entry","151 Cost Amount (Expected)","41 Source Type",$C$5,"5 Source No.",$C2815,"4 Item Ledger Entry Type",$C$4,"2 Item No.","@@"&amp;$F2815,"3 Posting Date",Z$9)-NL("Sum","5802 Value Entry","43 Cost Amount (Actual)","41 Source Type",$C$5,"5 Source no.",$C2815,"4 Item Ledger Entry Type",$C$4,"2 Item No.","@@"&amp;$F2815,"3 Posting Date",Z$9)</t>
  </si>
  <si>
    <t>=Z2815-AB2815</t>
  </si>
  <si>
    <t>=IF(Z2815&lt;&gt;0,AC2815/Z2815,"")</t>
  </si>
  <si>
    <t>=C2815</t>
  </si>
  <si>
    <t>=NL("Sum","5802 Value Entry","150 Sales Amount (Expected)","41 Source Type",$C$5,"5 Source No.",$C2816,"4 Item Ledger Entry Type",$C$4,"2 Item No.","@@"&amp;$F2816,"3 Posting Date",J$9)+NL("Sum","5802 Value Entry","17 Sales Amount (Actual)","41 Source Type",$C$5,"5 Source no.",$C2816,"4 Item Ledger Entry Type",$C$4,"2 Item No.","@@"&amp;$F2816,"3 Posting Date",J$9)</t>
  </si>
  <si>
    <t>=-NL("Sum","5802 Value Entry","151 Cost Amount (Expected)","41 Source Type",$C$5,"5 Source No.",$C2816,"4 Item Ledger Entry Type",$C$4,"2 Item No.","@@"&amp;$F2816,"3 Posting Date",J$9)-NL("Sum","5802 Value Entry","43 Cost Amount (Actual)","41 Source Type",$C$5,"5 Source no.",$C2816,"4 Item Ledger Entry Type",$C$4,"2 Item No.","@@"&amp;$F2816,"3 Posting Date",J$9)</t>
  </si>
  <si>
    <t>=J2816-L2816</t>
  </si>
  <si>
    <t>=IF(J2816&lt;&gt;0,M2816/J2816,"")</t>
  </si>
  <si>
    <t>=NL("Sum","5802 Value Entry","150 Sales Amount (Expected)","41 Source Type",$C$5,"5 Source No.",$C2816,"4 Item Ledger Entry Type",$C$4,"2 Item No.","@@"&amp;$F2816,"3 Posting Date",O$9)+NL("Sum","5802 Value Entry","17 Sales Amount (Actual)","41 Source Type",$C$5,"5 Source no.",$C2816,"4 Item Ledger Entry Type",$C$4,"2 Item No.","@@"&amp;$F2816,"3 Posting Date",O$9)</t>
  </si>
  <si>
    <t>=-NL("Sum","5802 Value Entry","151 Cost Amount (Expected)","41 Source Type",$C$5,"5 Source No.",$C2816,"4 Item Ledger Entry Type",$C$4,"2 Item No.","@@"&amp;$F2816,"3 Posting Date",O$9)-NL("Sum","5802 Value Entry","43 Cost Amount (Actual)","41 Source Type",$C$5,"5 Source no.",$C2816,"4 Item Ledger Entry Type",$C$4,"2 Item No.","@@"&amp;$F2816,"3 Posting Date",O$9)</t>
  </si>
  <si>
    <t>=O2816-Q2816</t>
  </si>
  <si>
    <t>=IF(O2816&lt;&gt;0,R2816/O2816,"")</t>
  </si>
  <si>
    <t>=NL("Sum","5802 Value Entry","150 Sales Amount (Expected)","41 Source Type",$C$5,"5 Source No.",$C2816,"4 Item Ledger Entry Type",$C$4,"2 Item No.","@@"&amp;$F2816,"3 Posting Date",U$9)+NL("Sum","5802 Value Entry","17 Sales Amount (Actual)","41 Source Type",$C$5,"5 Source no.",$C2816,"4 Item Ledger Entry Type",$C$4,"2 Item No.","@@"&amp;$F2816,"3 Posting Date",U$9)</t>
  </si>
  <si>
    <t>=-NL("Sum","5802 Value Entry","151 Cost Amount (Expected)","41 Source Type",$C$5,"5 Source No.",$C2816,"4 Item Ledger Entry Type",$C$4,"2 Item No.","@@"&amp;$F2816,"3 Posting Date",U$9)-NL("Sum","5802 Value Entry","43 Cost Amount (Actual)","41 Source Type",$C$5,"5 Source no.",$C2816,"4 Item Ledger Entry Type",$C$4,"2 Item No.","@@"&amp;$F2816,"3 Posting Date",U$9)</t>
  </si>
  <si>
    <t>=U2816-W2816</t>
  </si>
  <si>
    <t>=IF(U2816&lt;&gt;0,X2816/U2816,"")</t>
  </si>
  <si>
    <t>=NL("Sum","5802 Value Entry","150 Sales Amount (Expected)","41 Source Type",$C$5,"5 Source No.",$C2816,"4 Item Ledger Entry Type",$C$4,"2 Item No.","@@"&amp;$F2816,"3 Posting Date",Z$9)+NL("Sum","5802 Value Entry","17 Sales Amount (Actual)","41 Source Type",$C$5,"5 Source no.",$C2816,"4 Item Ledger Entry Type",$C$4,"2 Item No.","@@"&amp;$F2816,"3 Posting Date",Z$9)</t>
  </si>
  <si>
    <t>=-NL("Sum","5802 Value Entry","151 Cost Amount (Expected)","41 Source Type",$C$5,"5 Source No.",$C2816,"4 Item Ledger Entry Type",$C$4,"2 Item No.","@@"&amp;$F2816,"3 Posting Date",Z$9)-NL("Sum","5802 Value Entry","43 Cost Amount (Actual)","41 Source Type",$C$5,"5 Source no.",$C2816,"4 Item Ledger Entry Type",$C$4,"2 Item No.","@@"&amp;$F2816,"3 Posting Date",Z$9)</t>
  </si>
  <si>
    <t>=Z2816-AB2816</t>
  </si>
  <si>
    <t>=IF(Z2816&lt;&gt;0,AC2816/Z2816,"")</t>
  </si>
  <si>
    <t>=C2816</t>
  </si>
  <si>
    <t>=NL("Sum","5802 Value Entry","150 Sales Amount (Expected)","41 Source Type",$C$5,"5 Source No.",$C2817,"4 Item Ledger Entry Type",$C$4,"2 Item No.","@@"&amp;$F2817,"3 Posting Date",J$9)+NL("Sum","5802 Value Entry","17 Sales Amount (Actual)","41 Source Type",$C$5,"5 Source no.",$C2817,"4 Item Ledger Entry Type",$C$4,"2 Item No.","@@"&amp;$F2817,"3 Posting Date",J$9)</t>
  </si>
  <si>
    <t>=-NL("Sum","5802 Value Entry","151 Cost Amount (Expected)","41 Source Type",$C$5,"5 Source No.",$C2817,"4 Item Ledger Entry Type",$C$4,"2 Item No.","@@"&amp;$F2817,"3 Posting Date",J$9)-NL("Sum","5802 Value Entry","43 Cost Amount (Actual)","41 Source Type",$C$5,"5 Source no.",$C2817,"4 Item Ledger Entry Type",$C$4,"2 Item No.","@@"&amp;$F2817,"3 Posting Date",J$9)</t>
  </si>
  <si>
    <t>=J2817-L2817</t>
  </si>
  <si>
    <t>=IF(J2817&lt;&gt;0,M2817/J2817,"")</t>
  </si>
  <si>
    <t>=NL("Sum","5802 Value Entry","150 Sales Amount (Expected)","41 Source Type",$C$5,"5 Source No.",$C2817,"4 Item Ledger Entry Type",$C$4,"2 Item No.","@@"&amp;$F2817,"3 Posting Date",O$9)+NL("Sum","5802 Value Entry","17 Sales Amount (Actual)","41 Source Type",$C$5,"5 Source no.",$C2817,"4 Item Ledger Entry Type",$C$4,"2 Item No.","@@"&amp;$F2817,"3 Posting Date",O$9)</t>
  </si>
  <si>
    <t>=-NL("Sum","5802 Value Entry","151 Cost Amount (Expected)","41 Source Type",$C$5,"5 Source No.",$C2817,"4 Item Ledger Entry Type",$C$4,"2 Item No.","@@"&amp;$F2817,"3 Posting Date",O$9)-NL("Sum","5802 Value Entry","43 Cost Amount (Actual)","41 Source Type",$C$5,"5 Source no.",$C2817,"4 Item Ledger Entry Type",$C$4,"2 Item No.","@@"&amp;$F2817,"3 Posting Date",O$9)</t>
  </si>
  <si>
    <t>=O2817-Q2817</t>
  </si>
  <si>
    <t>=IF(O2817&lt;&gt;0,R2817/O2817,"")</t>
  </si>
  <si>
    <t>=NL("Sum","5802 Value Entry","150 Sales Amount (Expected)","41 Source Type",$C$5,"5 Source No.",$C2817,"4 Item Ledger Entry Type",$C$4,"2 Item No.","@@"&amp;$F2817,"3 Posting Date",U$9)+NL("Sum","5802 Value Entry","17 Sales Amount (Actual)","41 Source Type",$C$5,"5 Source no.",$C2817,"4 Item Ledger Entry Type",$C$4,"2 Item No.","@@"&amp;$F2817,"3 Posting Date",U$9)</t>
  </si>
  <si>
    <t>=-NL("Sum","5802 Value Entry","151 Cost Amount (Expected)","41 Source Type",$C$5,"5 Source No.",$C2817,"4 Item Ledger Entry Type",$C$4,"2 Item No.","@@"&amp;$F2817,"3 Posting Date",U$9)-NL("Sum","5802 Value Entry","43 Cost Amount (Actual)","41 Source Type",$C$5,"5 Source no.",$C2817,"4 Item Ledger Entry Type",$C$4,"2 Item No.","@@"&amp;$F2817,"3 Posting Date",U$9)</t>
  </si>
  <si>
    <t>=U2817-W2817</t>
  </si>
  <si>
    <t>=IF(U2817&lt;&gt;0,X2817/U2817,"")</t>
  </si>
  <si>
    <t>=NL("Sum","5802 Value Entry","150 Sales Amount (Expected)","41 Source Type",$C$5,"5 Source No.",$C2817,"4 Item Ledger Entry Type",$C$4,"2 Item No.","@@"&amp;$F2817,"3 Posting Date",Z$9)+NL("Sum","5802 Value Entry","17 Sales Amount (Actual)","41 Source Type",$C$5,"5 Source no.",$C2817,"4 Item Ledger Entry Type",$C$4,"2 Item No.","@@"&amp;$F2817,"3 Posting Date",Z$9)</t>
  </si>
  <si>
    <t>=-NL("Sum","5802 Value Entry","151 Cost Amount (Expected)","41 Source Type",$C$5,"5 Source No.",$C2817,"4 Item Ledger Entry Type",$C$4,"2 Item No.","@@"&amp;$F2817,"3 Posting Date",Z$9)-NL("Sum","5802 Value Entry","43 Cost Amount (Actual)","41 Source Type",$C$5,"5 Source no.",$C2817,"4 Item Ledger Entry Type",$C$4,"2 Item No.","@@"&amp;$F2817,"3 Posting Date",Z$9)</t>
  </si>
  <si>
    <t>=Z2817-AB2817</t>
  </si>
  <si>
    <t>=IF(Z2817&lt;&gt;0,AC2817/Z2817,"")</t>
  </si>
  <si>
    <t>=C2817</t>
  </si>
  <si>
    <t>=NL("Sum","5802 Value Entry","150 Sales Amount (Expected)","41 Source Type",$C$5,"5 Source No.",$C2818,"4 Item Ledger Entry Type",$C$4,"2 Item No.","@@"&amp;$F2818,"3 Posting Date",J$9)+NL("Sum","5802 Value Entry","17 Sales Amount (Actual)","41 Source Type",$C$5,"5 Source no.",$C2818,"4 Item Ledger Entry Type",$C$4,"2 Item No.","@@"&amp;$F2818,"3 Posting Date",J$9)</t>
  </si>
  <si>
    <t>=-NL("Sum","5802 Value Entry","151 Cost Amount (Expected)","41 Source Type",$C$5,"5 Source No.",$C2818,"4 Item Ledger Entry Type",$C$4,"2 Item No.","@@"&amp;$F2818,"3 Posting Date",J$9)-NL("Sum","5802 Value Entry","43 Cost Amount (Actual)","41 Source Type",$C$5,"5 Source no.",$C2818,"4 Item Ledger Entry Type",$C$4,"2 Item No.","@@"&amp;$F2818,"3 Posting Date",J$9)</t>
  </si>
  <si>
    <t>=J2818-L2818</t>
  </si>
  <si>
    <t>=IF(J2818&lt;&gt;0,M2818/J2818,"")</t>
  </si>
  <si>
    <t>=NL("Sum","5802 Value Entry","150 Sales Amount (Expected)","41 Source Type",$C$5,"5 Source No.",$C2818,"4 Item Ledger Entry Type",$C$4,"2 Item No.","@@"&amp;$F2818,"3 Posting Date",O$9)+NL("Sum","5802 Value Entry","17 Sales Amount (Actual)","41 Source Type",$C$5,"5 Source no.",$C2818,"4 Item Ledger Entry Type",$C$4,"2 Item No.","@@"&amp;$F2818,"3 Posting Date",O$9)</t>
  </si>
  <si>
    <t>=-NL("Sum","5802 Value Entry","151 Cost Amount (Expected)","41 Source Type",$C$5,"5 Source No.",$C2818,"4 Item Ledger Entry Type",$C$4,"2 Item No.","@@"&amp;$F2818,"3 Posting Date",O$9)-NL("Sum","5802 Value Entry","43 Cost Amount (Actual)","41 Source Type",$C$5,"5 Source no.",$C2818,"4 Item Ledger Entry Type",$C$4,"2 Item No.","@@"&amp;$F2818,"3 Posting Date",O$9)</t>
  </si>
  <si>
    <t>=O2818-Q2818</t>
  </si>
  <si>
    <t>=IF(O2818&lt;&gt;0,R2818/O2818,"")</t>
  </si>
  <si>
    <t>=NL("Sum","5802 Value Entry","150 Sales Amount (Expected)","41 Source Type",$C$5,"5 Source No.",$C2818,"4 Item Ledger Entry Type",$C$4,"2 Item No.","@@"&amp;$F2818,"3 Posting Date",U$9)+NL("Sum","5802 Value Entry","17 Sales Amount (Actual)","41 Source Type",$C$5,"5 Source no.",$C2818,"4 Item Ledger Entry Type",$C$4,"2 Item No.","@@"&amp;$F2818,"3 Posting Date",U$9)</t>
  </si>
  <si>
    <t>=-NL("Sum","5802 Value Entry","151 Cost Amount (Expected)","41 Source Type",$C$5,"5 Source No.",$C2818,"4 Item Ledger Entry Type",$C$4,"2 Item No.","@@"&amp;$F2818,"3 Posting Date",U$9)-NL("Sum","5802 Value Entry","43 Cost Amount (Actual)","41 Source Type",$C$5,"5 Source no.",$C2818,"4 Item Ledger Entry Type",$C$4,"2 Item No.","@@"&amp;$F2818,"3 Posting Date",U$9)</t>
  </si>
  <si>
    <t>=U2818-W2818</t>
  </si>
  <si>
    <t>=IF(U2818&lt;&gt;0,X2818/U2818,"")</t>
  </si>
  <si>
    <t>=NL("Sum","5802 Value Entry","150 Sales Amount (Expected)","41 Source Type",$C$5,"5 Source No.",$C2818,"4 Item Ledger Entry Type",$C$4,"2 Item No.","@@"&amp;$F2818,"3 Posting Date",Z$9)+NL("Sum","5802 Value Entry","17 Sales Amount (Actual)","41 Source Type",$C$5,"5 Source no.",$C2818,"4 Item Ledger Entry Type",$C$4,"2 Item No.","@@"&amp;$F2818,"3 Posting Date",Z$9)</t>
  </si>
  <si>
    <t>=-NL("Sum","5802 Value Entry","151 Cost Amount (Expected)","41 Source Type",$C$5,"5 Source No.",$C2818,"4 Item Ledger Entry Type",$C$4,"2 Item No.","@@"&amp;$F2818,"3 Posting Date",Z$9)-NL("Sum","5802 Value Entry","43 Cost Amount (Actual)","41 Source Type",$C$5,"5 Source no.",$C2818,"4 Item Ledger Entry Type",$C$4,"2 Item No.","@@"&amp;$F2818,"3 Posting Date",Z$9)</t>
  </si>
  <si>
    <t>=Z2818-AB2818</t>
  </si>
  <si>
    <t>=IF(Z2818&lt;&gt;0,AC2818/Z2818,"")</t>
  </si>
  <si>
    <t>=C2818</t>
  </si>
  <si>
    <t>=NL("Sum","5802 Value Entry","150 Sales Amount (Expected)","41 Source Type",$C$5,"5 Source No.",$C2819,"4 Item Ledger Entry Type",$C$4,"2 Item No.","@@"&amp;$F2819,"3 Posting Date",J$9)+NL("Sum","5802 Value Entry","17 Sales Amount (Actual)","41 Source Type",$C$5,"5 Source no.",$C2819,"4 Item Ledger Entry Type",$C$4,"2 Item No.","@@"&amp;$F2819,"3 Posting Date",J$9)</t>
  </si>
  <si>
    <t>=-NL("Sum","5802 Value Entry","151 Cost Amount (Expected)","41 Source Type",$C$5,"5 Source No.",$C2819,"4 Item Ledger Entry Type",$C$4,"2 Item No.","@@"&amp;$F2819,"3 Posting Date",J$9)-NL("Sum","5802 Value Entry","43 Cost Amount (Actual)","41 Source Type",$C$5,"5 Source no.",$C2819,"4 Item Ledger Entry Type",$C$4,"2 Item No.","@@"&amp;$F2819,"3 Posting Date",J$9)</t>
  </si>
  <si>
    <t>=J2819-L2819</t>
  </si>
  <si>
    <t>=IF(J2819&lt;&gt;0,M2819/J2819,"")</t>
  </si>
  <si>
    <t>=NL("Sum","5802 Value Entry","150 Sales Amount (Expected)","41 Source Type",$C$5,"5 Source No.",$C2819,"4 Item Ledger Entry Type",$C$4,"2 Item No.","@@"&amp;$F2819,"3 Posting Date",O$9)+NL("Sum","5802 Value Entry","17 Sales Amount (Actual)","41 Source Type",$C$5,"5 Source no.",$C2819,"4 Item Ledger Entry Type",$C$4,"2 Item No.","@@"&amp;$F2819,"3 Posting Date",O$9)</t>
  </si>
  <si>
    <t>=-NL("Sum","5802 Value Entry","151 Cost Amount (Expected)","41 Source Type",$C$5,"5 Source No.",$C2819,"4 Item Ledger Entry Type",$C$4,"2 Item No.","@@"&amp;$F2819,"3 Posting Date",O$9)-NL("Sum","5802 Value Entry","43 Cost Amount (Actual)","41 Source Type",$C$5,"5 Source no.",$C2819,"4 Item Ledger Entry Type",$C$4,"2 Item No.","@@"&amp;$F2819,"3 Posting Date",O$9)</t>
  </si>
  <si>
    <t>=O2819-Q2819</t>
  </si>
  <si>
    <t>=IF(O2819&lt;&gt;0,R2819/O2819,"")</t>
  </si>
  <si>
    <t>=NL("Sum","5802 Value Entry","150 Sales Amount (Expected)","41 Source Type",$C$5,"5 Source No.",$C2819,"4 Item Ledger Entry Type",$C$4,"2 Item No.","@@"&amp;$F2819,"3 Posting Date",U$9)+NL("Sum","5802 Value Entry","17 Sales Amount (Actual)","41 Source Type",$C$5,"5 Source no.",$C2819,"4 Item Ledger Entry Type",$C$4,"2 Item No.","@@"&amp;$F2819,"3 Posting Date",U$9)</t>
  </si>
  <si>
    <t>=-NL("Sum","5802 Value Entry","151 Cost Amount (Expected)","41 Source Type",$C$5,"5 Source No.",$C2819,"4 Item Ledger Entry Type",$C$4,"2 Item No.","@@"&amp;$F2819,"3 Posting Date",U$9)-NL("Sum","5802 Value Entry","43 Cost Amount (Actual)","41 Source Type",$C$5,"5 Source no.",$C2819,"4 Item Ledger Entry Type",$C$4,"2 Item No.","@@"&amp;$F2819,"3 Posting Date",U$9)</t>
  </si>
  <si>
    <t>=U2819-W2819</t>
  </si>
  <si>
    <t>=IF(U2819&lt;&gt;0,X2819/U2819,"")</t>
  </si>
  <si>
    <t>=NL("Sum","5802 Value Entry","150 Sales Amount (Expected)","41 Source Type",$C$5,"5 Source No.",$C2819,"4 Item Ledger Entry Type",$C$4,"2 Item No.","@@"&amp;$F2819,"3 Posting Date",Z$9)+NL("Sum","5802 Value Entry","17 Sales Amount (Actual)","41 Source Type",$C$5,"5 Source no.",$C2819,"4 Item Ledger Entry Type",$C$4,"2 Item No.","@@"&amp;$F2819,"3 Posting Date",Z$9)</t>
  </si>
  <si>
    <t>=-NL("Sum","5802 Value Entry","151 Cost Amount (Expected)","41 Source Type",$C$5,"5 Source No.",$C2819,"4 Item Ledger Entry Type",$C$4,"2 Item No.","@@"&amp;$F2819,"3 Posting Date",Z$9)-NL("Sum","5802 Value Entry","43 Cost Amount (Actual)","41 Source Type",$C$5,"5 Source no.",$C2819,"4 Item Ledger Entry Type",$C$4,"2 Item No.","@@"&amp;$F2819,"3 Posting Date",Z$9)</t>
  </si>
  <si>
    <t>=Z2819-AB2819</t>
  </si>
  <si>
    <t>=IF(Z2819&lt;&gt;0,AC2819/Z2819,"")</t>
  </si>
  <si>
    <t>=C2819</t>
  </si>
  <si>
    <t>=NL("Sum","5802 Value Entry","150 Sales Amount (Expected)","41 Source Type",$C$5,"5 Source No.",$C2820,"4 Item Ledger Entry Type",$C$4,"2 Item No.","@@"&amp;$F2820,"3 Posting Date",J$9)+NL("Sum","5802 Value Entry","17 Sales Amount (Actual)","41 Source Type",$C$5,"5 Source no.",$C2820,"4 Item Ledger Entry Type",$C$4,"2 Item No.","@@"&amp;$F2820,"3 Posting Date",J$9)</t>
  </si>
  <si>
    <t>=-NL("Sum","5802 Value Entry","151 Cost Amount (Expected)","41 Source Type",$C$5,"5 Source No.",$C2820,"4 Item Ledger Entry Type",$C$4,"2 Item No.","@@"&amp;$F2820,"3 Posting Date",J$9)-NL("Sum","5802 Value Entry","43 Cost Amount (Actual)","41 Source Type",$C$5,"5 Source no.",$C2820,"4 Item Ledger Entry Type",$C$4,"2 Item No.","@@"&amp;$F2820,"3 Posting Date",J$9)</t>
  </si>
  <si>
    <t>=J2820-L2820</t>
  </si>
  <si>
    <t>=IF(J2820&lt;&gt;0,M2820/J2820,"")</t>
  </si>
  <si>
    <t>=NL("Sum","5802 Value Entry","150 Sales Amount (Expected)","41 Source Type",$C$5,"5 Source No.",$C2820,"4 Item Ledger Entry Type",$C$4,"2 Item No.","@@"&amp;$F2820,"3 Posting Date",O$9)+NL("Sum","5802 Value Entry","17 Sales Amount (Actual)","41 Source Type",$C$5,"5 Source no.",$C2820,"4 Item Ledger Entry Type",$C$4,"2 Item No.","@@"&amp;$F2820,"3 Posting Date",O$9)</t>
  </si>
  <si>
    <t>=-NL("Sum","5802 Value Entry","151 Cost Amount (Expected)","41 Source Type",$C$5,"5 Source No.",$C2820,"4 Item Ledger Entry Type",$C$4,"2 Item No.","@@"&amp;$F2820,"3 Posting Date",O$9)-NL("Sum","5802 Value Entry","43 Cost Amount (Actual)","41 Source Type",$C$5,"5 Source no.",$C2820,"4 Item Ledger Entry Type",$C$4,"2 Item No.","@@"&amp;$F2820,"3 Posting Date",O$9)</t>
  </si>
  <si>
    <t>=O2820-Q2820</t>
  </si>
  <si>
    <t>=IF(O2820&lt;&gt;0,R2820/O2820,"")</t>
  </si>
  <si>
    <t>=NL("Sum","5802 Value Entry","150 Sales Amount (Expected)","41 Source Type",$C$5,"5 Source No.",$C2820,"4 Item Ledger Entry Type",$C$4,"2 Item No.","@@"&amp;$F2820,"3 Posting Date",U$9)+NL("Sum","5802 Value Entry","17 Sales Amount (Actual)","41 Source Type",$C$5,"5 Source no.",$C2820,"4 Item Ledger Entry Type",$C$4,"2 Item No.","@@"&amp;$F2820,"3 Posting Date",U$9)</t>
  </si>
  <si>
    <t>=-NL("Sum","5802 Value Entry","151 Cost Amount (Expected)","41 Source Type",$C$5,"5 Source No.",$C2820,"4 Item Ledger Entry Type",$C$4,"2 Item No.","@@"&amp;$F2820,"3 Posting Date",U$9)-NL("Sum","5802 Value Entry","43 Cost Amount (Actual)","41 Source Type",$C$5,"5 Source no.",$C2820,"4 Item Ledger Entry Type",$C$4,"2 Item No.","@@"&amp;$F2820,"3 Posting Date",U$9)</t>
  </si>
  <si>
    <t>=U2820-W2820</t>
  </si>
  <si>
    <t>=IF(U2820&lt;&gt;0,X2820/U2820,"")</t>
  </si>
  <si>
    <t>=NL("Sum","5802 Value Entry","150 Sales Amount (Expected)","41 Source Type",$C$5,"5 Source No.",$C2820,"4 Item Ledger Entry Type",$C$4,"2 Item No.","@@"&amp;$F2820,"3 Posting Date",Z$9)+NL("Sum","5802 Value Entry","17 Sales Amount (Actual)","41 Source Type",$C$5,"5 Source no.",$C2820,"4 Item Ledger Entry Type",$C$4,"2 Item No.","@@"&amp;$F2820,"3 Posting Date",Z$9)</t>
  </si>
  <si>
    <t>=-NL("Sum","5802 Value Entry","151 Cost Amount (Expected)","41 Source Type",$C$5,"5 Source No.",$C2820,"4 Item Ledger Entry Type",$C$4,"2 Item No.","@@"&amp;$F2820,"3 Posting Date",Z$9)-NL("Sum","5802 Value Entry","43 Cost Amount (Actual)","41 Source Type",$C$5,"5 Source no.",$C2820,"4 Item Ledger Entry Type",$C$4,"2 Item No.","@@"&amp;$F2820,"3 Posting Date",Z$9)</t>
  </si>
  <si>
    <t>=Z2820-AB2820</t>
  </si>
  <si>
    <t>=IF(Z2820&lt;&gt;0,AC2820/Z2820,"")</t>
  </si>
  <si>
    <t>=C2820</t>
  </si>
  <si>
    <t>=NL("Sum","5802 Value Entry","150 Sales Amount (Expected)","41 Source Type",$C$5,"5 Source No.",$C2821,"4 Item Ledger Entry Type",$C$4,"2 Item No.","@@"&amp;$F2821,"3 Posting Date",J$9)+NL("Sum","5802 Value Entry","17 Sales Amount (Actual)","41 Source Type",$C$5,"5 Source no.",$C2821,"4 Item Ledger Entry Type",$C$4,"2 Item No.","@@"&amp;$F2821,"3 Posting Date",J$9)</t>
  </si>
  <si>
    <t>=-NL("Sum","5802 Value Entry","151 Cost Amount (Expected)","41 Source Type",$C$5,"5 Source No.",$C2821,"4 Item Ledger Entry Type",$C$4,"2 Item No.","@@"&amp;$F2821,"3 Posting Date",J$9)-NL("Sum","5802 Value Entry","43 Cost Amount (Actual)","41 Source Type",$C$5,"5 Source no.",$C2821,"4 Item Ledger Entry Type",$C$4,"2 Item No.","@@"&amp;$F2821,"3 Posting Date",J$9)</t>
  </si>
  <si>
    <t>=J2821-L2821</t>
  </si>
  <si>
    <t>=IF(J2821&lt;&gt;0,M2821/J2821,"")</t>
  </si>
  <si>
    <t>=NL("Sum","5802 Value Entry","150 Sales Amount (Expected)","41 Source Type",$C$5,"5 Source No.",$C2821,"4 Item Ledger Entry Type",$C$4,"2 Item No.","@@"&amp;$F2821,"3 Posting Date",O$9)+NL("Sum","5802 Value Entry","17 Sales Amount (Actual)","41 Source Type",$C$5,"5 Source no.",$C2821,"4 Item Ledger Entry Type",$C$4,"2 Item No.","@@"&amp;$F2821,"3 Posting Date",O$9)</t>
  </si>
  <si>
    <t>=-NL("Sum","5802 Value Entry","151 Cost Amount (Expected)","41 Source Type",$C$5,"5 Source No.",$C2821,"4 Item Ledger Entry Type",$C$4,"2 Item No.","@@"&amp;$F2821,"3 Posting Date",O$9)-NL("Sum","5802 Value Entry","43 Cost Amount (Actual)","41 Source Type",$C$5,"5 Source no.",$C2821,"4 Item Ledger Entry Type",$C$4,"2 Item No.","@@"&amp;$F2821,"3 Posting Date",O$9)</t>
  </si>
  <si>
    <t>=O2821-Q2821</t>
  </si>
  <si>
    <t>=IF(O2821&lt;&gt;0,R2821/O2821,"")</t>
  </si>
  <si>
    <t>=NL("Sum","5802 Value Entry","150 Sales Amount (Expected)","41 Source Type",$C$5,"5 Source No.",$C2821,"4 Item Ledger Entry Type",$C$4,"2 Item No.","@@"&amp;$F2821,"3 Posting Date",U$9)+NL("Sum","5802 Value Entry","17 Sales Amount (Actual)","41 Source Type",$C$5,"5 Source no.",$C2821,"4 Item Ledger Entry Type",$C$4,"2 Item No.","@@"&amp;$F2821,"3 Posting Date",U$9)</t>
  </si>
  <si>
    <t>=-NL("Sum","5802 Value Entry","151 Cost Amount (Expected)","41 Source Type",$C$5,"5 Source No.",$C2821,"4 Item Ledger Entry Type",$C$4,"2 Item No.","@@"&amp;$F2821,"3 Posting Date",U$9)-NL("Sum","5802 Value Entry","43 Cost Amount (Actual)","41 Source Type",$C$5,"5 Source no.",$C2821,"4 Item Ledger Entry Type",$C$4,"2 Item No.","@@"&amp;$F2821,"3 Posting Date",U$9)</t>
  </si>
  <si>
    <t>=U2821-W2821</t>
  </si>
  <si>
    <t>=IF(U2821&lt;&gt;0,X2821/U2821,"")</t>
  </si>
  <si>
    <t>=NL("Sum","5802 Value Entry","150 Sales Amount (Expected)","41 Source Type",$C$5,"5 Source No.",$C2821,"4 Item Ledger Entry Type",$C$4,"2 Item No.","@@"&amp;$F2821,"3 Posting Date",Z$9)+NL("Sum","5802 Value Entry","17 Sales Amount (Actual)","41 Source Type",$C$5,"5 Source no.",$C2821,"4 Item Ledger Entry Type",$C$4,"2 Item No.","@@"&amp;$F2821,"3 Posting Date",Z$9)</t>
  </si>
  <si>
    <t>=-NL("Sum","5802 Value Entry","151 Cost Amount (Expected)","41 Source Type",$C$5,"5 Source No.",$C2821,"4 Item Ledger Entry Type",$C$4,"2 Item No.","@@"&amp;$F2821,"3 Posting Date",Z$9)-NL("Sum","5802 Value Entry","43 Cost Amount (Actual)","41 Source Type",$C$5,"5 Source no.",$C2821,"4 Item Ledger Entry Type",$C$4,"2 Item No.","@@"&amp;$F2821,"3 Posting Date",Z$9)</t>
  </si>
  <si>
    <t>=Z2821-AB2821</t>
  </si>
  <si>
    <t>=IF(Z2821&lt;&gt;0,AC2821/Z2821,"")</t>
  </si>
  <si>
    <t>=C2821</t>
  </si>
  <si>
    <t>=NL("Sum","5802 Value Entry","150 Sales Amount (Expected)","41 Source Type",$C$5,"5 Source No.",$C2822,"4 Item Ledger Entry Type",$C$4,"2 Item No.","@@"&amp;$F2822,"3 Posting Date",J$9)+NL("Sum","5802 Value Entry","17 Sales Amount (Actual)","41 Source Type",$C$5,"5 Source no.",$C2822,"4 Item Ledger Entry Type",$C$4,"2 Item No.","@@"&amp;$F2822,"3 Posting Date",J$9)</t>
  </si>
  <si>
    <t>=-NL("Sum","5802 Value Entry","151 Cost Amount (Expected)","41 Source Type",$C$5,"5 Source No.",$C2822,"4 Item Ledger Entry Type",$C$4,"2 Item No.","@@"&amp;$F2822,"3 Posting Date",J$9)-NL("Sum","5802 Value Entry","43 Cost Amount (Actual)","41 Source Type",$C$5,"5 Source no.",$C2822,"4 Item Ledger Entry Type",$C$4,"2 Item No.","@@"&amp;$F2822,"3 Posting Date",J$9)</t>
  </si>
  <si>
    <t>=J2822-L2822</t>
  </si>
  <si>
    <t>=IF(J2822&lt;&gt;0,M2822/J2822,"")</t>
  </si>
  <si>
    <t>=NL("Sum","5802 Value Entry","150 Sales Amount (Expected)","41 Source Type",$C$5,"5 Source No.",$C2822,"4 Item Ledger Entry Type",$C$4,"2 Item No.","@@"&amp;$F2822,"3 Posting Date",O$9)+NL("Sum","5802 Value Entry","17 Sales Amount (Actual)","41 Source Type",$C$5,"5 Source no.",$C2822,"4 Item Ledger Entry Type",$C$4,"2 Item No.","@@"&amp;$F2822,"3 Posting Date",O$9)</t>
  </si>
  <si>
    <t>=-NL("Sum","5802 Value Entry","151 Cost Amount (Expected)","41 Source Type",$C$5,"5 Source No.",$C2822,"4 Item Ledger Entry Type",$C$4,"2 Item No.","@@"&amp;$F2822,"3 Posting Date",O$9)-NL("Sum","5802 Value Entry","43 Cost Amount (Actual)","41 Source Type",$C$5,"5 Source no.",$C2822,"4 Item Ledger Entry Type",$C$4,"2 Item No.","@@"&amp;$F2822,"3 Posting Date",O$9)</t>
  </si>
  <si>
    <t>=O2822-Q2822</t>
  </si>
  <si>
    <t>=IF(O2822&lt;&gt;0,R2822/O2822,"")</t>
  </si>
  <si>
    <t>=NL("Sum","5802 Value Entry","150 Sales Amount (Expected)","41 Source Type",$C$5,"5 Source No.",$C2822,"4 Item Ledger Entry Type",$C$4,"2 Item No.","@@"&amp;$F2822,"3 Posting Date",U$9)+NL("Sum","5802 Value Entry","17 Sales Amount (Actual)","41 Source Type",$C$5,"5 Source no.",$C2822,"4 Item Ledger Entry Type",$C$4,"2 Item No.","@@"&amp;$F2822,"3 Posting Date",U$9)</t>
  </si>
  <si>
    <t>=-NL("Sum","5802 Value Entry","151 Cost Amount (Expected)","41 Source Type",$C$5,"5 Source No.",$C2822,"4 Item Ledger Entry Type",$C$4,"2 Item No.","@@"&amp;$F2822,"3 Posting Date",U$9)-NL("Sum","5802 Value Entry","43 Cost Amount (Actual)","41 Source Type",$C$5,"5 Source no.",$C2822,"4 Item Ledger Entry Type",$C$4,"2 Item No.","@@"&amp;$F2822,"3 Posting Date",U$9)</t>
  </si>
  <si>
    <t>=U2822-W2822</t>
  </si>
  <si>
    <t>=IF(U2822&lt;&gt;0,X2822/U2822,"")</t>
  </si>
  <si>
    <t>=NL("Sum","5802 Value Entry","150 Sales Amount (Expected)","41 Source Type",$C$5,"5 Source No.",$C2822,"4 Item Ledger Entry Type",$C$4,"2 Item No.","@@"&amp;$F2822,"3 Posting Date",Z$9)+NL("Sum","5802 Value Entry","17 Sales Amount (Actual)","41 Source Type",$C$5,"5 Source no.",$C2822,"4 Item Ledger Entry Type",$C$4,"2 Item No.","@@"&amp;$F2822,"3 Posting Date",Z$9)</t>
  </si>
  <si>
    <t>=-NL("Sum","5802 Value Entry","151 Cost Amount (Expected)","41 Source Type",$C$5,"5 Source No.",$C2822,"4 Item Ledger Entry Type",$C$4,"2 Item No.","@@"&amp;$F2822,"3 Posting Date",Z$9)-NL("Sum","5802 Value Entry","43 Cost Amount (Actual)","41 Source Type",$C$5,"5 Source no.",$C2822,"4 Item Ledger Entry Type",$C$4,"2 Item No.","@@"&amp;$F2822,"3 Posting Date",Z$9)</t>
  </si>
  <si>
    <t>=Z2822-AB2822</t>
  </si>
  <si>
    <t>=IF(Z2822&lt;&gt;0,AC2822/Z2822,"")</t>
  </si>
  <si>
    <t>=C2822</t>
  </si>
  <si>
    <t>=NL("Sum","5802 Value Entry","150 Sales Amount (Expected)","41 Source Type",$C$5,"5 Source No.",$C2823,"4 Item Ledger Entry Type",$C$4,"2 Item No.","@@"&amp;$F2823,"3 Posting Date",J$9)+NL("Sum","5802 Value Entry","17 Sales Amount (Actual)","41 Source Type",$C$5,"5 Source no.",$C2823,"4 Item Ledger Entry Type",$C$4,"2 Item No.","@@"&amp;$F2823,"3 Posting Date",J$9)</t>
  </si>
  <si>
    <t>=-NL("Sum","5802 Value Entry","151 Cost Amount (Expected)","41 Source Type",$C$5,"5 Source No.",$C2823,"4 Item Ledger Entry Type",$C$4,"2 Item No.","@@"&amp;$F2823,"3 Posting Date",J$9)-NL("Sum","5802 Value Entry","43 Cost Amount (Actual)","41 Source Type",$C$5,"5 Source no.",$C2823,"4 Item Ledger Entry Type",$C$4,"2 Item No.","@@"&amp;$F2823,"3 Posting Date",J$9)</t>
  </si>
  <si>
    <t>=J2823-L2823</t>
  </si>
  <si>
    <t>=IF(J2823&lt;&gt;0,M2823/J2823,"")</t>
  </si>
  <si>
    <t>=NL("Sum","5802 Value Entry","150 Sales Amount (Expected)","41 Source Type",$C$5,"5 Source No.",$C2823,"4 Item Ledger Entry Type",$C$4,"2 Item No.","@@"&amp;$F2823,"3 Posting Date",O$9)+NL("Sum","5802 Value Entry","17 Sales Amount (Actual)","41 Source Type",$C$5,"5 Source no.",$C2823,"4 Item Ledger Entry Type",$C$4,"2 Item No.","@@"&amp;$F2823,"3 Posting Date",O$9)</t>
  </si>
  <si>
    <t>=-NL("Sum","5802 Value Entry","151 Cost Amount (Expected)","41 Source Type",$C$5,"5 Source No.",$C2823,"4 Item Ledger Entry Type",$C$4,"2 Item No.","@@"&amp;$F2823,"3 Posting Date",O$9)-NL("Sum","5802 Value Entry","43 Cost Amount (Actual)","41 Source Type",$C$5,"5 Source no.",$C2823,"4 Item Ledger Entry Type",$C$4,"2 Item No.","@@"&amp;$F2823,"3 Posting Date",O$9)</t>
  </si>
  <si>
    <t>=O2823-Q2823</t>
  </si>
  <si>
    <t>=IF(O2823&lt;&gt;0,R2823/O2823,"")</t>
  </si>
  <si>
    <t>=NL("Sum","5802 Value Entry","150 Sales Amount (Expected)","41 Source Type",$C$5,"5 Source No.",$C2823,"4 Item Ledger Entry Type",$C$4,"2 Item No.","@@"&amp;$F2823,"3 Posting Date",U$9)+NL("Sum","5802 Value Entry","17 Sales Amount (Actual)","41 Source Type",$C$5,"5 Source no.",$C2823,"4 Item Ledger Entry Type",$C$4,"2 Item No.","@@"&amp;$F2823,"3 Posting Date",U$9)</t>
  </si>
  <si>
    <t>=-NL("Sum","5802 Value Entry","151 Cost Amount (Expected)","41 Source Type",$C$5,"5 Source No.",$C2823,"4 Item Ledger Entry Type",$C$4,"2 Item No.","@@"&amp;$F2823,"3 Posting Date",U$9)-NL("Sum","5802 Value Entry","43 Cost Amount (Actual)","41 Source Type",$C$5,"5 Source no.",$C2823,"4 Item Ledger Entry Type",$C$4,"2 Item No.","@@"&amp;$F2823,"3 Posting Date",U$9)</t>
  </si>
  <si>
    <t>=U2823-W2823</t>
  </si>
  <si>
    <t>=IF(U2823&lt;&gt;0,X2823/U2823,"")</t>
  </si>
  <si>
    <t>=NL("Sum","5802 Value Entry","150 Sales Amount (Expected)","41 Source Type",$C$5,"5 Source No.",$C2823,"4 Item Ledger Entry Type",$C$4,"2 Item No.","@@"&amp;$F2823,"3 Posting Date",Z$9)+NL("Sum","5802 Value Entry","17 Sales Amount (Actual)","41 Source Type",$C$5,"5 Source no.",$C2823,"4 Item Ledger Entry Type",$C$4,"2 Item No.","@@"&amp;$F2823,"3 Posting Date",Z$9)</t>
  </si>
  <si>
    <t>=-NL("Sum","5802 Value Entry","151 Cost Amount (Expected)","41 Source Type",$C$5,"5 Source No.",$C2823,"4 Item Ledger Entry Type",$C$4,"2 Item No.","@@"&amp;$F2823,"3 Posting Date",Z$9)-NL("Sum","5802 Value Entry","43 Cost Amount (Actual)","41 Source Type",$C$5,"5 Source no.",$C2823,"4 Item Ledger Entry Type",$C$4,"2 Item No.","@@"&amp;$F2823,"3 Posting Date",Z$9)</t>
  </si>
  <si>
    <t>=Z2823-AB2823</t>
  </si>
  <si>
    <t>=IF(Z2823&lt;&gt;0,AC2823/Z2823,"")</t>
  </si>
  <si>
    <t>=C2823</t>
  </si>
  <si>
    <t>=NL("Sum","5802 Value Entry","150 Sales Amount (Expected)","41 Source Type",$C$5,"5 Source No.",$C2824,"4 Item Ledger Entry Type",$C$4,"2 Item No.","@@"&amp;$F2824,"3 Posting Date",J$9)+NL("Sum","5802 Value Entry","17 Sales Amount (Actual)","41 Source Type",$C$5,"5 Source no.",$C2824,"4 Item Ledger Entry Type",$C$4,"2 Item No.","@@"&amp;$F2824,"3 Posting Date",J$9)</t>
  </si>
  <si>
    <t>=-NL("Sum","5802 Value Entry","151 Cost Amount (Expected)","41 Source Type",$C$5,"5 Source No.",$C2824,"4 Item Ledger Entry Type",$C$4,"2 Item No.","@@"&amp;$F2824,"3 Posting Date",J$9)-NL("Sum","5802 Value Entry","43 Cost Amount (Actual)","41 Source Type",$C$5,"5 Source no.",$C2824,"4 Item Ledger Entry Type",$C$4,"2 Item No.","@@"&amp;$F2824,"3 Posting Date",J$9)</t>
  </si>
  <si>
    <t>=J2824-L2824</t>
  </si>
  <si>
    <t>=IF(J2824&lt;&gt;0,M2824/J2824,"")</t>
  </si>
  <si>
    <t>=NL("Sum","5802 Value Entry","150 Sales Amount (Expected)","41 Source Type",$C$5,"5 Source No.",$C2824,"4 Item Ledger Entry Type",$C$4,"2 Item No.","@@"&amp;$F2824,"3 Posting Date",O$9)+NL("Sum","5802 Value Entry","17 Sales Amount (Actual)","41 Source Type",$C$5,"5 Source no.",$C2824,"4 Item Ledger Entry Type",$C$4,"2 Item No.","@@"&amp;$F2824,"3 Posting Date",O$9)</t>
  </si>
  <si>
    <t>=-NL("Sum","5802 Value Entry","151 Cost Amount (Expected)","41 Source Type",$C$5,"5 Source No.",$C2824,"4 Item Ledger Entry Type",$C$4,"2 Item No.","@@"&amp;$F2824,"3 Posting Date",O$9)-NL("Sum","5802 Value Entry","43 Cost Amount (Actual)","41 Source Type",$C$5,"5 Source no.",$C2824,"4 Item Ledger Entry Type",$C$4,"2 Item No.","@@"&amp;$F2824,"3 Posting Date",O$9)</t>
  </si>
  <si>
    <t>=O2824-Q2824</t>
  </si>
  <si>
    <t>=IF(O2824&lt;&gt;0,R2824/O2824,"")</t>
  </si>
  <si>
    <t>=NL("Sum","5802 Value Entry","150 Sales Amount (Expected)","41 Source Type",$C$5,"5 Source No.",$C2824,"4 Item Ledger Entry Type",$C$4,"2 Item No.","@@"&amp;$F2824,"3 Posting Date",U$9)+NL("Sum","5802 Value Entry","17 Sales Amount (Actual)","41 Source Type",$C$5,"5 Source no.",$C2824,"4 Item Ledger Entry Type",$C$4,"2 Item No.","@@"&amp;$F2824,"3 Posting Date",U$9)</t>
  </si>
  <si>
    <t>=-NL("Sum","5802 Value Entry","151 Cost Amount (Expected)","41 Source Type",$C$5,"5 Source No.",$C2824,"4 Item Ledger Entry Type",$C$4,"2 Item No.","@@"&amp;$F2824,"3 Posting Date",U$9)-NL("Sum","5802 Value Entry","43 Cost Amount (Actual)","41 Source Type",$C$5,"5 Source no.",$C2824,"4 Item Ledger Entry Type",$C$4,"2 Item No.","@@"&amp;$F2824,"3 Posting Date",U$9)</t>
  </si>
  <si>
    <t>=U2824-W2824</t>
  </si>
  <si>
    <t>=IF(U2824&lt;&gt;0,X2824/U2824,"")</t>
  </si>
  <si>
    <t>=NL("Sum","5802 Value Entry","150 Sales Amount (Expected)","41 Source Type",$C$5,"5 Source No.",$C2824,"4 Item Ledger Entry Type",$C$4,"2 Item No.","@@"&amp;$F2824,"3 Posting Date",Z$9)+NL("Sum","5802 Value Entry","17 Sales Amount (Actual)","41 Source Type",$C$5,"5 Source no.",$C2824,"4 Item Ledger Entry Type",$C$4,"2 Item No.","@@"&amp;$F2824,"3 Posting Date",Z$9)</t>
  </si>
  <si>
    <t>=-NL("Sum","5802 Value Entry","151 Cost Amount (Expected)","41 Source Type",$C$5,"5 Source No.",$C2824,"4 Item Ledger Entry Type",$C$4,"2 Item No.","@@"&amp;$F2824,"3 Posting Date",Z$9)-NL("Sum","5802 Value Entry","43 Cost Amount (Actual)","41 Source Type",$C$5,"5 Source no.",$C2824,"4 Item Ledger Entry Type",$C$4,"2 Item No.","@@"&amp;$F2824,"3 Posting Date",Z$9)</t>
  </si>
  <si>
    <t>=Z2824-AB2824</t>
  </si>
  <si>
    <t>=IF(Z2824&lt;&gt;0,AC2824/Z2824,"")</t>
  </si>
  <si>
    <t>=C2824</t>
  </si>
  <si>
    <t>=NL("Sum","5802 Value Entry","150 Sales Amount (Expected)","41 Source Type",$C$5,"5 Source No.",$C2825,"4 Item Ledger Entry Type",$C$4,"2 Item No.","@@"&amp;$F2825,"3 Posting Date",J$9)+NL("Sum","5802 Value Entry","17 Sales Amount (Actual)","41 Source Type",$C$5,"5 Source no.",$C2825,"4 Item Ledger Entry Type",$C$4,"2 Item No.","@@"&amp;$F2825,"3 Posting Date",J$9)</t>
  </si>
  <si>
    <t>=-NL("Sum","5802 Value Entry","151 Cost Amount (Expected)","41 Source Type",$C$5,"5 Source No.",$C2825,"4 Item Ledger Entry Type",$C$4,"2 Item No.","@@"&amp;$F2825,"3 Posting Date",J$9)-NL("Sum","5802 Value Entry","43 Cost Amount (Actual)","41 Source Type",$C$5,"5 Source no.",$C2825,"4 Item Ledger Entry Type",$C$4,"2 Item No.","@@"&amp;$F2825,"3 Posting Date",J$9)</t>
  </si>
  <si>
    <t>=J2825-L2825</t>
  </si>
  <si>
    <t>=IF(J2825&lt;&gt;0,M2825/J2825,"")</t>
  </si>
  <si>
    <t>=NL("Sum","5802 Value Entry","150 Sales Amount (Expected)","41 Source Type",$C$5,"5 Source No.",$C2825,"4 Item Ledger Entry Type",$C$4,"2 Item No.","@@"&amp;$F2825,"3 Posting Date",O$9)+NL("Sum","5802 Value Entry","17 Sales Amount (Actual)","41 Source Type",$C$5,"5 Source no.",$C2825,"4 Item Ledger Entry Type",$C$4,"2 Item No.","@@"&amp;$F2825,"3 Posting Date",O$9)</t>
  </si>
  <si>
    <t>=-NL("Sum","5802 Value Entry","151 Cost Amount (Expected)","41 Source Type",$C$5,"5 Source No.",$C2825,"4 Item Ledger Entry Type",$C$4,"2 Item No.","@@"&amp;$F2825,"3 Posting Date",O$9)-NL("Sum","5802 Value Entry","43 Cost Amount (Actual)","41 Source Type",$C$5,"5 Source no.",$C2825,"4 Item Ledger Entry Type",$C$4,"2 Item No.","@@"&amp;$F2825,"3 Posting Date",O$9)</t>
  </si>
  <si>
    <t>=O2825-Q2825</t>
  </si>
  <si>
    <t>=IF(O2825&lt;&gt;0,R2825/O2825,"")</t>
  </si>
  <si>
    <t>=NL("Sum","5802 Value Entry","150 Sales Amount (Expected)","41 Source Type",$C$5,"5 Source No.",$C2825,"4 Item Ledger Entry Type",$C$4,"2 Item No.","@@"&amp;$F2825,"3 Posting Date",U$9)+NL("Sum","5802 Value Entry","17 Sales Amount (Actual)","41 Source Type",$C$5,"5 Source no.",$C2825,"4 Item Ledger Entry Type",$C$4,"2 Item No.","@@"&amp;$F2825,"3 Posting Date",U$9)</t>
  </si>
  <si>
    <t>=-NL("Sum","5802 Value Entry","151 Cost Amount (Expected)","41 Source Type",$C$5,"5 Source No.",$C2825,"4 Item Ledger Entry Type",$C$4,"2 Item No.","@@"&amp;$F2825,"3 Posting Date",U$9)-NL("Sum","5802 Value Entry","43 Cost Amount (Actual)","41 Source Type",$C$5,"5 Source no.",$C2825,"4 Item Ledger Entry Type",$C$4,"2 Item No.","@@"&amp;$F2825,"3 Posting Date",U$9)</t>
  </si>
  <si>
    <t>=U2825-W2825</t>
  </si>
  <si>
    <t>=IF(U2825&lt;&gt;0,X2825/U2825,"")</t>
  </si>
  <si>
    <t>=NL("Sum","5802 Value Entry","150 Sales Amount (Expected)","41 Source Type",$C$5,"5 Source No.",$C2825,"4 Item Ledger Entry Type",$C$4,"2 Item No.","@@"&amp;$F2825,"3 Posting Date",Z$9)+NL("Sum","5802 Value Entry","17 Sales Amount (Actual)","41 Source Type",$C$5,"5 Source no.",$C2825,"4 Item Ledger Entry Type",$C$4,"2 Item No.","@@"&amp;$F2825,"3 Posting Date",Z$9)</t>
  </si>
  <si>
    <t>=-NL("Sum","5802 Value Entry","151 Cost Amount (Expected)","41 Source Type",$C$5,"5 Source No.",$C2825,"4 Item Ledger Entry Type",$C$4,"2 Item No.","@@"&amp;$F2825,"3 Posting Date",Z$9)-NL("Sum","5802 Value Entry","43 Cost Amount (Actual)","41 Source Type",$C$5,"5 Source no.",$C2825,"4 Item Ledger Entry Type",$C$4,"2 Item No.","@@"&amp;$F2825,"3 Posting Date",Z$9)</t>
  </si>
  <si>
    <t>=Z2825-AB2825</t>
  </si>
  <si>
    <t>=IF(Z2825&lt;&gt;0,AC2825/Z2825,"")</t>
  </si>
  <si>
    <t>=C2825</t>
  </si>
  <si>
    <t>=NL("Sum","5802 Value Entry","150 Sales Amount (Expected)","41 Source Type",$C$5,"5 Source No.",$C2826,"4 Item Ledger Entry Type",$C$4,"2 Item No.","@@"&amp;$F2826,"3 Posting Date",J$9)+NL("Sum","5802 Value Entry","17 Sales Amount (Actual)","41 Source Type",$C$5,"5 Source no.",$C2826,"4 Item Ledger Entry Type",$C$4,"2 Item No.","@@"&amp;$F2826,"3 Posting Date",J$9)</t>
  </si>
  <si>
    <t>=-NL("Sum","5802 Value Entry","151 Cost Amount (Expected)","41 Source Type",$C$5,"5 Source No.",$C2826,"4 Item Ledger Entry Type",$C$4,"2 Item No.","@@"&amp;$F2826,"3 Posting Date",J$9)-NL("Sum","5802 Value Entry","43 Cost Amount (Actual)","41 Source Type",$C$5,"5 Source no.",$C2826,"4 Item Ledger Entry Type",$C$4,"2 Item No.","@@"&amp;$F2826,"3 Posting Date",J$9)</t>
  </si>
  <si>
    <t>=J2826-L2826</t>
  </si>
  <si>
    <t>=IF(J2826&lt;&gt;0,M2826/J2826,"")</t>
  </si>
  <si>
    <t>=NL("Sum","5802 Value Entry","150 Sales Amount (Expected)","41 Source Type",$C$5,"5 Source No.",$C2826,"4 Item Ledger Entry Type",$C$4,"2 Item No.","@@"&amp;$F2826,"3 Posting Date",O$9)+NL("Sum","5802 Value Entry","17 Sales Amount (Actual)","41 Source Type",$C$5,"5 Source no.",$C2826,"4 Item Ledger Entry Type",$C$4,"2 Item No.","@@"&amp;$F2826,"3 Posting Date",O$9)</t>
  </si>
  <si>
    <t>=-NL("Sum","5802 Value Entry","151 Cost Amount (Expected)","41 Source Type",$C$5,"5 Source No.",$C2826,"4 Item Ledger Entry Type",$C$4,"2 Item No.","@@"&amp;$F2826,"3 Posting Date",O$9)-NL("Sum","5802 Value Entry","43 Cost Amount (Actual)","41 Source Type",$C$5,"5 Source no.",$C2826,"4 Item Ledger Entry Type",$C$4,"2 Item No.","@@"&amp;$F2826,"3 Posting Date",O$9)</t>
  </si>
  <si>
    <t>=O2826-Q2826</t>
  </si>
  <si>
    <t>=IF(O2826&lt;&gt;0,R2826/O2826,"")</t>
  </si>
  <si>
    <t>=NL("Sum","5802 Value Entry","150 Sales Amount (Expected)","41 Source Type",$C$5,"5 Source No.",$C2826,"4 Item Ledger Entry Type",$C$4,"2 Item No.","@@"&amp;$F2826,"3 Posting Date",U$9)+NL("Sum","5802 Value Entry","17 Sales Amount (Actual)","41 Source Type",$C$5,"5 Source no.",$C2826,"4 Item Ledger Entry Type",$C$4,"2 Item No.","@@"&amp;$F2826,"3 Posting Date",U$9)</t>
  </si>
  <si>
    <t>=-NL("Sum","5802 Value Entry","151 Cost Amount (Expected)","41 Source Type",$C$5,"5 Source No.",$C2826,"4 Item Ledger Entry Type",$C$4,"2 Item No.","@@"&amp;$F2826,"3 Posting Date",U$9)-NL("Sum","5802 Value Entry","43 Cost Amount (Actual)","41 Source Type",$C$5,"5 Source no.",$C2826,"4 Item Ledger Entry Type",$C$4,"2 Item No.","@@"&amp;$F2826,"3 Posting Date",U$9)</t>
  </si>
  <si>
    <t>=U2826-W2826</t>
  </si>
  <si>
    <t>=IF(U2826&lt;&gt;0,X2826/U2826,"")</t>
  </si>
  <si>
    <t>=NL("Sum","5802 Value Entry","150 Sales Amount (Expected)","41 Source Type",$C$5,"5 Source No.",$C2826,"4 Item Ledger Entry Type",$C$4,"2 Item No.","@@"&amp;$F2826,"3 Posting Date",Z$9)+NL("Sum","5802 Value Entry","17 Sales Amount (Actual)","41 Source Type",$C$5,"5 Source no.",$C2826,"4 Item Ledger Entry Type",$C$4,"2 Item No.","@@"&amp;$F2826,"3 Posting Date",Z$9)</t>
  </si>
  <si>
    <t>=-NL("Sum","5802 Value Entry","151 Cost Amount (Expected)","41 Source Type",$C$5,"5 Source No.",$C2826,"4 Item Ledger Entry Type",$C$4,"2 Item No.","@@"&amp;$F2826,"3 Posting Date",Z$9)-NL("Sum","5802 Value Entry","43 Cost Amount (Actual)","41 Source Type",$C$5,"5 Source no.",$C2826,"4 Item Ledger Entry Type",$C$4,"2 Item No.","@@"&amp;$F2826,"3 Posting Date",Z$9)</t>
  </si>
  <si>
    <t>=Z2826-AB2826</t>
  </si>
  <si>
    <t>=IF(Z2826&lt;&gt;0,AC2826/Z2826,"")</t>
  </si>
  <si>
    <t>=C2826</t>
  </si>
  <si>
    <t>=NL("Sum","5802 Value Entry","150 Sales Amount (Expected)","41 Source Type",$C$5,"5 Source No.",$C2827,"4 Item Ledger Entry Type",$C$4,"2 Item No.","@@"&amp;$F2827,"3 Posting Date",J$9)+NL("Sum","5802 Value Entry","17 Sales Amount (Actual)","41 Source Type",$C$5,"5 Source no.",$C2827,"4 Item Ledger Entry Type",$C$4,"2 Item No.","@@"&amp;$F2827,"3 Posting Date",J$9)</t>
  </si>
  <si>
    <t>=-NL("Sum","5802 Value Entry","151 Cost Amount (Expected)","41 Source Type",$C$5,"5 Source No.",$C2827,"4 Item Ledger Entry Type",$C$4,"2 Item No.","@@"&amp;$F2827,"3 Posting Date",J$9)-NL("Sum","5802 Value Entry","43 Cost Amount (Actual)","41 Source Type",$C$5,"5 Source no.",$C2827,"4 Item Ledger Entry Type",$C$4,"2 Item No.","@@"&amp;$F2827,"3 Posting Date",J$9)</t>
  </si>
  <si>
    <t>=J2827-L2827</t>
  </si>
  <si>
    <t>=IF(J2827&lt;&gt;0,M2827/J2827,"")</t>
  </si>
  <si>
    <t>=NL("Sum","5802 Value Entry","150 Sales Amount (Expected)","41 Source Type",$C$5,"5 Source No.",$C2827,"4 Item Ledger Entry Type",$C$4,"2 Item No.","@@"&amp;$F2827,"3 Posting Date",O$9)+NL("Sum","5802 Value Entry","17 Sales Amount (Actual)","41 Source Type",$C$5,"5 Source no.",$C2827,"4 Item Ledger Entry Type",$C$4,"2 Item No.","@@"&amp;$F2827,"3 Posting Date",O$9)</t>
  </si>
  <si>
    <t>=-NL("Sum","5802 Value Entry","151 Cost Amount (Expected)","41 Source Type",$C$5,"5 Source No.",$C2827,"4 Item Ledger Entry Type",$C$4,"2 Item No.","@@"&amp;$F2827,"3 Posting Date",O$9)-NL("Sum","5802 Value Entry","43 Cost Amount (Actual)","41 Source Type",$C$5,"5 Source no.",$C2827,"4 Item Ledger Entry Type",$C$4,"2 Item No.","@@"&amp;$F2827,"3 Posting Date",O$9)</t>
  </si>
  <si>
    <t>=O2827-Q2827</t>
  </si>
  <si>
    <t>=IF(O2827&lt;&gt;0,R2827/O2827,"")</t>
  </si>
  <si>
    <t>=NL("Sum","5802 Value Entry","150 Sales Amount (Expected)","41 Source Type",$C$5,"5 Source No.",$C2827,"4 Item Ledger Entry Type",$C$4,"2 Item No.","@@"&amp;$F2827,"3 Posting Date",U$9)+NL("Sum","5802 Value Entry","17 Sales Amount (Actual)","41 Source Type",$C$5,"5 Source no.",$C2827,"4 Item Ledger Entry Type",$C$4,"2 Item No.","@@"&amp;$F2827,"3 Posting Date",U$9)</t>
  </si>
  <si>
    <t>=-NL("Sum","5802 Value Entry","151 Cost Amount (Expected)","41 Source Type",$C$5,"5 Source No.",$C2827,"4 Item Ledger Entry Type",$C$4,"2 Item No.","@@"&amp;$F2827,"3 Posting Date",U$9)-NL("Sum","5802 Value Entry","43 Cost Amount (Actual)","41 Source Type",$C$5,"5 Source no.",$C2827,"4 Item Ledger Entry Type",$C$4,"2 Item No.","@@"&amp;$F2827,"3 Posting Date",U$9)</t>
  </si>
  <si>
    <t>=U2827-W2827</t>
  </si>
  <si>
    <t>=IF(U2827&lt;&gt;0,X2827/U2827,"")</t>
  </si>
  <si>
    <t>=NL("Sum","5802 Value Entry","150 Sales Amount (Expected)","41 Source Type",$C$5,"5 Source No.",$C2827,"4 Item Ledger Entry Type",$C$4,"2 Item No.","@@"&amp;$F2827,"3 Posting Date",Z$9)+NL("Sum","5802 Value Entry","17 Sales Amount (Actual)","41 Source Type",$C$5,"5 Source no.",$C2827,"4 Item Ledger Entry Type",$C$4,"2 Item No.","@@"&amp;$F2827,"3 Posting Date",Z$9)</t>
  </si>
  <si>
    <t>=-NL("Sum","5802 Value Entry","151 Cost Amount (Expected)","41 Source Type",$C$5,"5 Source No.",$C2827,"4 Item Ledger Entry Type",$C$4,"2 Item No.","@@"&amp;$F2827,"3 Posting Date",Z$9)-NL("Sum","5802 Value Entry","43 Cost Amount (Actual)","41 Source Type",$C$5,"5 Source no.",$C2827,"4 Item Ledger Entry Type",$C$4,"2 Item No.","@@"&amp;$F2827,"3 Posting Date",Z$9)</t>
  </si>
  <si>
    <t>=Z2827-AB2827</t>
  </si>
  <si>
    <t>=IF(Z2827&lt;&gt;0,AC2827/Z2827,"")</t>
  </si>
  <si>
    <t>=C2827</t>
  </si>
  <si>
    <t>=NL("Sum","5802 Value Entry","150 Sales Amount (Expected)","41 Source Type",$C$5,"5 Source No.",$C2828,"4 Item Ledger Entry Type",$C$4,"2 Item No.","@@"&amp;$F2828,"3 Posting Date",J$9)+NL("Sum","5802 Value Entry","17 Sales Amount (Actual)","41 Source Type",$C$5,"5 Source no.",$C2828,"4 Item Ledger Entry Type",$C$4,"2 Item No.","@@"&amp;$F2828,"3 Posting Date",J$9)</t>
  </si>
  <si>
    <t>=-NL("Sum","5802 Value Entry","151 Cost Amount (Expected)","41 Source Type",$C$5,"5 Source No.",$C2828,"4 Item Ledger Entry Type",$C$4,"2 Item No.","@@"&amp;$F2828,"3 Posting Date",J$9)-NL("Sum","5802 Value Entry","43 Cost Amount (Actual)","41 Source Type",$C$5,"5 Source no.",$C2828,"4 Item Ledger Entry Type",$C$4,"2 Item No.","@@"&amp;$F2828,"3 Posting Date",J$9)</t>
  </si>
  <si>
    <t>=J2828-L2828</t>
  </si>
  <si>
    <t>=IF(J2828&lt;&gt;0,M2828/J2828,"")</t>
  </si>
  <si>
    <t>=NL("Sum","5802 Value Entry","150 Sales Amount (Expected)","41 Source Type",$C$5,"5 Source No.",$C2828,"4 Item Ledger Entry Type",$C$4,"2 Item No.","@@"&amp;$F2828,"3 Posting Date",O$9)+NL("Sum","5802 Value Entry","17 Sales Amount (Actual)","41 Source Type",$C$5,"5 Source no.",$C2828,"4 Item Ledger Entry Type",$C$4,"2 Item No.","@@"&amp;$F2828,"3 Posting Date",O$9)</t>
  </si>
  <si>
    <t>=-NL("Sum","5802 Value Entry","151 Cost Amount (Expected)","41 Source Type",$C$5,"5 Source No.",$C2828,"4 Item Ledger Entry Type",$C$4,"2 Item No.","@@"&amp;$F2828,"3 Posting Date",O$9)-NL("Sum","5802 Value Entry","43 Cost Amount (Actual)","41 Source Type",$C$5,"5 Source no.",$C2828,"4 Item Ledger Entry Type",$C$4,"2 Item No.","@@"&amp;$F2828,"3 Posting Date",O$9)</t>
  </si>
  <si>
    <t>=O2828-Q2828</t>
  </si>
  <si>
    <t>=IF(O2828&lt;&gt;0,R2828/O2828,"")</t>
  </si>
  <si>
    <t>=NL("Sum","5802 Value Entry","150 Sales Amount (Expected)","41 Source Type",$C$5,"5 Source No.",$C2828,"4 Item Ledger Entry Type",$C$4,"2 Item No.","@@"&amp;$F2828,"3 Posting Date",U$9)+NL("Sum","5802 Value Entry","17 Sales Amount (Actual)","41 Source Type",$C$5,"5 Source no.",$C2828,"4 Item Ledger Entry Type",$C$4,"2 Item No.","@@"&amp;$F2828,"3 Posting Date",U$9)</t>
  </si>
  <si>
    <t>=-NL("Sum","5802 Value Entry","151 Cost Amount (Expected)","41 Source Type",$C$5,"5 Source No.",$C2828,"4 Item Ledger Entry Type",$C$4,"2 Item No.","@@"&amp;$F2828,"3 Posting Date",U$9)-NL("Sum","5802 Value Entry","43 Cost Amount (Actual)","41 Source Type",$C$5,"5 Source no.",$C2828,"4 Item Ledger Entry Type",$C$4,"2 Item No.","@@"&amp;$F2828,"3 Posting Date",U$9)</t>
  </si>
  <si>
    <t>=U2828-W2828</t>
  </si>
  <si>
    <t>=IF(U2828&lt;&gt;0,X2828/U2828,"")</t>
  </si>
  <si>
    <t>=NL("Sum","5802 Value Entry","150 Sales Amount (Expected)","41 Source Type",$C$5,"5 Source No.",$C2828,"4 Item Ledger Entry Type",$C$4,"2 Item No.","@@"&amp;$F2828,"3 Posting Date",Z$9)+NL("Sum","5802 Value Entry","17 Sales Amount (Actual)","41 Source Type",$C$5,"5 Source no.",$C2828,"4 Item Ledger Entry Type",$C$4,"2 Item No.","@@"&amp;$F2828,"3 Posting Date",Z$9)</t>
  </si>
  <si>
    <t>=-NL("Sum","5802 Value Entry","151 Cost Amount (Expected)","41 Source Type",$C$5,"5 Source No.",$C2828,"4 Item Ledger Entry Type",$C$4,"2 Item No.","@@"&amp;$F2828,"3 Posting Date",Z$9)-NL("Sum","5802 Value Entry","43 Cost Amount (Actual)","41 Source Type",$C$5,"5 Source no.",$C2828,"4 Item Ledger Entry Type",$C$4,"2 Item No.","@@"&amp;$F2828,"3 Posting Date",Z$9)</t>
  </si>
  <si>
    <t>=Z2828-AB2828</t>
  </si>
  <si>
    <t>=IF(Z2828&lt;&gt;0,AC2828/Z2828,"")</t>
  </si>
  <si>
    <t>=C2828</t>
  </si>
  <si>
    <t>=NL("Sum","5802 Value Entry","150 Sales Amount (Expected)","41 Source Type",$C$5,"5 Source No.",$C2829,"4 Item Ledger Entry Type",$C$4,"2 Item No.","@@"&amp;$F2829,"3 Posting Date",J$9)+NL("Sum","5802 Value Entry","17 Sales Amount (Actual)","41 Source Type",$C$5,"5 Source no.",$C2829,"4 Item Ledger Entry Type",$C$4,"2 Item No.","@@"&amp;$F2829,"3 Posting Date",J$9)</t>
  </si>
  <si>
    <t>=-NL("Sum","5802 Value Entry","151 Cost Amount (Expected)","41 Source Type",$C$5,"5 Source No.",$C2829,"4 Item Ledger Entry Type",$C$4,"2 Item No.","@@"&amp;$F2829,"3 Posting Date",J$9)-NL("Sum","5802 Value Entry","43 Cost Amount (Actual)","41 Source Type",$C$5,"5 Source no.",$C2829,"4 Item Ledger Entry Type",$C$4,"2 Item No.","@@"&amp;$F2829,"3 Posting Date",J$9)</t>
  </si>
  <si>
    <t>=J2829-L2829</t>
  </si>
  <si>
    <t>=IF(J2829&lt;&gt;0,M2829/J2829,"")</t>
  </si>
  <si>
    <t>=NL("Sum","5802 Value Entry","150 Sales Amount (Expected)","41 Source Type",$C$5,"5 Source No.",$C2829,"4 Item Ledger Entry Type",$C$4,"2 Item No.","@@"&amp;$F2829,"3 Posting Date",O$9)+NL("Sum","5802 Value Entry","17 Sales Amount (Actual)","41 Source Type",$C$5,"5 Source no.",$C2829,"4 Item Ledger Entry Type",$C$4,"2 Item No.","@@"&amp;$F2829,"3 Posting Date",O$9)</t>
  </si>
  <si>
    <t>=-NL("Sum","5802 Value Entry","151 Cost Amount (Expected)","41 Source Type",$C$5,"5 Source No.",$C2829,"4 Item Ledger Entry Type",$C$4,"2 Item No.","@@"&amp;$F2829,"3 Posting Date",O$9)-NL("Sum","5802 Value Entry","43 Cost Amount (Actual)","41 Source Type",$C$5,"5 Source no.",$C2829,"4 Item Ledger Entry Type",$C$4,"2 Item No.","@@"&amp;$F2829,"3 Posting Date",O$9)</t>
  </si>
  <si>
    <t>=O2829-Q2829</t>
  </si>
  <si>
    <t>=IF(O2829&lt;&gt;0,R2829/O2829,"")</t>
  </si>
  <si>
    <t>=NL("Sum","5802 Value Entry","150 Sales Amount (Expected)","41 Source Type",$C$5,"5 Source No.",$C2829,"4 Item Ledger Entry Type",$C$4,"2 Item No.","@@"&amp;$F2829,"3 Posting Date",U$9)+NL("Sum","5802 Value Entry","17 Sales Amount (Actual)","41 Source Type",$C$5,"5 Source no.",$C2829,"4 Item Ledger Entry Type",$C$4,"2 Item No.","@@"&amp;$F2829,"3 Posting Date",U$9)</t>
  </si>
  <si>
    <t>=-NL("Sum","5802 Value Entry","151 Cost Amount (Expected)","41 Source Type",$C$5,"5 Source No.",$C2829,"4 Item Ledger Entry Type",$C$4,"2 Item No.","@@"&amp;$F2829,"3 Posting Date",U$9)-NL("Sum","5802 Value Entry","43 Cost Amount (Actual)","41 Source Type",$C$5,"5 Source no.",$C2829,"4 Item Ledger Entry Type",$C$4,"2 Item No.","@@"&amp;$F2829,"3 Posting Date",U$9)</t>
  </si>
  <si>
    <t>=U2829-W2829</t>
  </si>
  <si>
    <t>=IF(U2829&lt;&gt;0,X2829/U2829,"")</t>
  </si>
  <si>
    <t>=NL("Sum","5802 Value Entry","150 Sales Amount (Expected)","41 Source Type",$C$5,"5 Source No.",$C2829,"4 Item Ledger Entry Type",$C$4,"2 Item No.","@@"&amp;$F2829,"3 Posting Date",Z$9)+NL("Sum","5802 Value Entry","17 Sales Amount (Actual)","41 Source Type",$C$5,"5 Source no.",$C2829,"4 Item Ledger Entry Type",$C$4,"2 Item No.","@@"&amp;$F2829,"3 Posting Date",Z$9)</t>
  </si>
  <si>
    <t>=-NL("Sum","5802 Value Entry","151 Cost Amount (Expected)","41 Source Type",$C$5,"5 Source No.",$C2829,"4 Item Ledger Entry Type",$C$4,"2 Item No.","@@"&amp;$F2829,"3 Posting Date",Z$9)-NL("Sum","5802 Value Entry","43 Cost Amount (Actual)","41 Source Type",$C$5,"5 Source no.",$C2829,"4 Item Ledger Entry Type",$C$4,"2 Item No.","@@"&amp;$F2829,"3 Posting Date",Z$9)</t>
  </si>
  <si>
    <t>=Z2829-AB2829</t>
  </si>
  <si>
    <t>=IF(Z2829&lt;&gt;0,AC2829/Z2829,"")</t>
  </si>
  <si>
    <t>=C2829</t>
  </si>
  <si>
    <t>=NL("Sum","5802 Value Entry","150 Sales Amount (Expected)","41 Source Type",$C$5,"5 Source No.",$C2830,"4 Item Ledger Entry Type",$C$4,"2 Item No.","@@"&amp;$F2830,"3 Posting Date",J$9)+NL("Sum","5802 Value Entry","17 Sales Amount (Actual)","41 Source Type",$C$5,"5 Source no.",$C2830,"4 Item Ledger Entry Type",$C$4,"2 Item No.","@@"&amp;$F2830,"3 Posting Date",J$9)</t>
  </si>
  <si>
    <t>=-NL("Sum","5802 Value Entry","151 Cost Amount (Expected)","41 Source Type",$C$5,"5 Source No.",$C2830,"4 Item Ledger Entry Type",$C$4,"2 Item No.","@@"&amp;$F2830,"3 Posting Date",J$9)-NL("Sum","5802 Value Entry","43 Cost Amount (Actual)","41 Source Type",$C$5,"5 Source no.",$C2830,"4 Item Ledger Entry Type",$C$4,"2 Item No.","@@"&amp;$F2830,"3 Posting Date",J$9)</t>
  </si>
  <si>
    <t>=J2830-L2830</t>
  </si>
  <si>
    <t>=IF(J2830&lt;&gt;0,M2830/J2830,"")</t>
  </si>
  <si>
    <t>=NL("Sum","5802 Value Entry","150 Sales Amount (Expected)","41 Source Type",$C$5,"5 Source No.",$C2830,"4 Item Ledger Entry Type",$C$4,"2 Item No.","@@"&amp;$F2830,"3 Posting Date",O$9)+NL("Sum","5802 Value Entry","17 Sales Amount (Actual)","41 Source Type",$C$5,"5 Source no.",$C2830,"4 Item Ledger Entry Type",$C$4,"2 Item No.","@@"&amp;$F2830,"3 Posting Date",O$9)</t>
  </si>
  <si>
    <t>=-NL("Sum","5802 Value Entry","151 Cost Amount (Expected)","41 Source Type",$C$5,"5 Source No.",$C2830,"4 Item Ledger Entry Type",$C$4,"2 Item No.","@@"&amp;$F2830,"3 Posting Date",O$9)-NL("Sum","5802 Value Entry","43 Cost Amount (Actual)","41 Source Type",$C$5,"5 Source no.",$C2830,"4 Item Ledger Entry Type",$C$4,"2 Item No.","@@"&amp;$F2830,"3 Posting Date",O$9)</t>
  </si>
  <si>
    <t>=O2830-Q2830</t>
  </si>
  <si>
    <t>=IF(O2830&lt;&gt;0,R2830/O2830,"")</t>
  </si>
  <si>
    <t>=NL("Sum","5802 Value Entry","150 Sales Amount (Expected)","41 Source Type",$C$5,"5 Source No.",$C2830,"4 Item Ledger Entry Type",$C$4,"2 Item No.","@@"&amp;$F2830,"3 Posting Date",U$9)+NL("Sum","5802 Value Entry","17 Sales Amount (Actual)","41 Source Type",$C$5,"5 Source no.",$C2830,"4 Item Ledger Entry Type",$C$4,"2 Item No.","@@"&amp;$F2830,"3 Posting Date",U$9)</t>
  </si>
  <si>
    <t>=-NL("Sum","5802 Value Entry","151 Cost Amount (Expected)","41 Source Type",$C$5,"5 Source No.",$C2830,"4 Item Ledger Entry Type",$C$4,"2 Item No.","@@"&amp;$F2830,"3 Posting Date",U$9)-NL("Sum","5802 Value Entry","43 Cost Amount (Actual)","41 Source Type",$C$5,"5 Source no.",$C2830,"4 Item Ledger Entry Type",$C$4,"2 Item No.","@@"&amp;$F2830,"3 Posting Date",U$9)</t>
  </si>
  <si>
    <t>=U2830-W2830</t>
  </si>
  <si>
    <t>=IF(U2830&lt;&gt;0,X2830/U2830,"")</t>
  </si>
  <si>
    <t>=NL("Sum","5802 Value Entry","150 Sales Amount (Expected)","41 Source Type",$C$5,"5 Source No.",$C2830,"4 Item Ledger Entry Type",$C$4,"2 Item No.","@@"&amp;$F2830,"3 Posting Date",Z$9)+NL("Sum","5802 Value Entry","17 Sales Amount (Actual)","41 Source Type",$C$5,"5 Source no.",$C2830,"4 Item Ledger Entry Type",$C$4,"2 Item No.","@@"&amp;$F2830,"3 Posting Date",Z$9)</t>
  </si>
  <si>
    <t>=-NL("Sum","5802 Value Entry","151 Cost Amount (Expected)","41 Source Type",$C$5,"5 Source No.",$C2830,"4 Item Ledger Entry Type",$C$4,"2 Item No.","@@"&amp;$F2830,"3 Posting Date",Z$9)-NL("Sum","5802 Value Entry","43 Cost Amount (Actual)","41 Source Type",$C$5,"5 Source no.",$C2830,"4 Item Ledger Entry Type",$C$4,"2 Item No.","@@"&amp;$F2830,"3 Posting Date",Z$9)</t>
  </si>
  <si>
    <t>=Z2830-AB2830</t>
  </si>
  <si>
    <t>=IF(Z2830&lt;&gt;0,AC2830/Z2830,"")</t>
  </si>
  <si>
    <t>=C2830</t>
  </si>
  <si>
    <t>=NL("Sum","5802 Value Entry","150 Sales Amount (Expected)","41 Source Type",$C$5,"5 Source No.",$C2831,"4 Item Ledger Entry Type",$C$4,"2 Item No.","@@"&amp;$F2831,"3 Posting Date",J$9)+NL("Sum","5802 Value Entry","17 Sales Amount (Actual)","41 Source Type",$C$5,"5 Source no.",$C2831,"4 Item Ledger Entry Type",$C$4,"2 Item No.","@@"&amp;$F2831,"3 Posting Date",J$9)</t>
  </si>
  <si>
    <t>=-NL("Sum","5802 Value Entry","151 Cost Amount (Expected)","41 Source Type",$C$5,"5 Source No.",$C2831,"4 Item Ledger Entry Type",$C$4,"2 Item No.","@@"&amp;$F2831,"3 Posting Date",J$9)-NL("Sum","5802 Value Entry","43 Cost Amount (Actual)","41 Source Type",$C$5,"5 Source no.",$C2831,"4 Item Ledger Entry Type",$C$4,"2 Item No.","@@"&amp;$F2831,"3 Posting Date",J$9)</t>
  </si>
  <si>
    <t>=J2831-L2831</t>
  </si>
  <si>
    <t>=IF(J2831&lt;&gt;0,M2831/J2831,"")</t>
  </si>
  <si>
    <t>=NL("Sum","5802 Value Entry","150 Sales Amount (Expected)","41 Source Type",$C$5,"5 Source No.",$C2831,"4 Item Ledger Entry Type",$C$4,"2 Item No.","@@"&amp;$F2831,"3 Posting Date",O$9)+NL("Sum","5802 Value Entry","17 Sales Amount (Actual)","41 Source Type",$C$5,"5 Source no.",$C2831,"4 Item Ledger Entry Type",$C$4,"2 Item No.","@@"&amp;$F2831,"3 Posting Date",O$9)</t>
  </si>
  <si>
    <t>=-NL("Sum","5802 Value Entry","151 Cost Amount (Expected)","41 Source Type",$C$5,"5 Source No.",$C2831,"4 Item Ledger Entry Type",$C$4,"2 Item No.","@@"&amp;$F2831,"3 Posting Date",O$9)-NL("Sum","5802 Value Entry","43 Cost Amount (Actual)","41 Source Type",$C$5,"5 Source no.",$C2831,"4 Item Ledger Entry Type",$C$4,"2 Item No.","@@"&amp;$F2831,"3 Posting Date",O$9)</t>
  </si>
  <si>
    <t>=O2831-Q2831</t>
  </si>
  <si>
    <t>=IF(O2831&lt;&gt;0,R2831/O2831,"")</t>
  </si>
  <si>
    <t>=NL("Sum","5802 Value Entry","150 Sales Amount (Expected)","41 Source Type",$C$5,"5 Source No.",$C2831,"4 Item Ledger Entry Type",$C$4,"2 Item No.","@@"&amp;$F2831,"3 Posting Date",U$9)+NL("Sum","5802 Value Entry","17 Sales Amount (Actual)","41 Source Type",$C$5,"5 Source no.",$C2831,"4 Item Ledger Entry Type",$C$4,"2 Item No.","@@"&amp;$F2831,"3 Posting Date",U$9)</t>
  </si>
  <si>
    <t>=-NL("Sum","5802 Value Entry","151 Cost Amount (Expected)","41 Source Type",$C$5,"5 Source No.",$C2831,"4 Item Ledger Entry Type",$C$4,"2 Item No.","@@"&amp;$F2831,"3 Posting Date",U$9)-NL("Sum","5802 Value Entry","43 Cost Amount (Actual)","41 Source Type",$C$5,"5 Source no.",$C2831,"4 Item Ledger Entry Type",$C$4,"2 Item No.","@@"&amp;$F2831,"3 Posting Date",U$9)</t>
  </si>
  <si>
    <t>=U2831-W2831</t>
  </si>
  <si>
    <t>=IF(U2831&lt;&gt;0,X2831/U2831,"")</t>
  </si>
  <si>
    <t>=NL("Sum","5802 Value Entry","150 Sales Amount (Expected)","41 Source Type",$C$5,"5 Source No.",$C2831,"4 Item Ledger Entry Type",$C$4,"2 Item No.","@@"&amp;$F2831,"3 Posting Date",Z$9)+NL("Sum","5802 Value Entry","17 Sales Amount (Actual)","41 Source Type",$C$5,"5 Source no.",$C2831,"4 Item Ledger Entry Type",$C$4,"2 Item No.","@@"&amp;$F2831,"3 Posting Date",Z$9)</t>
  </si>
  <si>
    <t>=-NL("Sum","5802 Value Entry","151 Cost Amount (Expected)","41 Source Type",$C$5,"5 Source No.",$C2831,"4 Item Ledger Entry Type",$C$4,"2 Item No.","@@"&amp;$F2831,"3 Posting Date",Z$9)-NL("Sum","5802 Value Entry","43 Cost Amount (Actual)","41 Source Type",$C$5,"5 Source no.",$C2831,"4 Item Ledger Entry Type",$C$4,"2 Item No.","@@"&amp;$F2831,"3 Posting Date",Z$9)</t>
  </si>
  <si>
    <t>=Z2831-AB2831</t>
  </si>
  <si>
    <t>=IF(Z2831&lt;&gt;0,AC2831/Z2831,"")</t>
  </si>
  <si>
    <t>=C2831</t>
  </si>
  <si>
    <t>=NL("Sum","5802 Value Entry","150 Sales Amount (Expected)","41 Source Type",$C$5,"5 Source No.",$C2832,"4 Item Ledger Entry Type",$C$4,"2 Item No.","@@"&amp;$F2832,"3 Posting Date",J$9)+NL("Sum","5802 Value Entry","17 Sales Amount (Actual)","41 Source Type",$C$5,"5 Source no.",$C2832,"4 Item Ledger Entry Type",$C$4,"2 Item No.","@@"&amp;$F2832,"3 Posting Date",J$9)</t>
  </si>
  <si>
    <t>=-NL("Sum","5802 Value Entry","151 Cost Amount (Expected)","41 Source Type",$C$5,"5 Source No.",$C2832,"4 Item Ledger Entry Type",$C$4,"2 Item No.","@@"&amp;$F2832,"3 Posting Date",J$9)-NL("Sum","5802 Value Entry","43 Cost Amount (Actual)","41 Source Type",$C$5,"5 Source no.",$C2832,"4 Item Ledger Entry Type",$C$4,"2 Item No.","@@"&amp;$F2832,"3 Posting Date",J$9)</t>
  </si>
  <si>
    <t>=J2832-L2832</t>
  </si>
  <si>
    <t>=IF(J2832&lt;&gt;0,M2832/J2832,"")</t>
  </si>
  <si>
    <t>=NL("Sum","5802 Value Entry","150 Sales Amount (Expected)","41 Source Type",$C$5,"5 Source No.",$C2832,"4 Item Ledger Entry Type",$C$4,"2 Item No.","@@"&amp;$F2832,"3 Posting Date",O$9)+NL("Sum","5802 Value Entry","17 Sales Amount (Actual)","41 Source Type",$C$5,"5 Source no.",$C2832,"4 Item Ledger Entry Type",$C$4,"2 Item No.","@@"&amp;$F2832,"3 Posting Date",O$9)</t>
  </si>
  <si>
    <t>=-NL("Sum","5802 Value Entry","151 Cost Amount (Expected)","41 Source Type",$C$5,"5 Source No.",$C2832,"4 Item Ledger Entry Type",$C$4,"2 Item No.","@@"&amp;$F2832,"3 Posting Date",O$9)-NL("Sum","5802 Value Entry","43 Cost Amount (Actual)","41 Source Type",$C$5,"5 Source no.",$C2832,"4 Item Ledger Entry Type",$C$4,"2 Item No.","@@"&amp;$F2832,"3 Posting Date",O$9)</t>
  </si>
  <si>
    <t>=O2832-Q2832</t>
  </si>
  <si>
    <t>=IF(O2832&lt;&gt;0,R2832/O2832,"")</t>
  </si>
  <si>
    <t>=NL("Sum","5802 Value Entry","150 Sales Amount (Expected)","41 Source Type",$C$5,"5 Source No.",$C2832,"4 Item Ledger Entry Type",$C$4,"2 Item No.","@@"&amp;$F2832,"3 Posting Date",U$9)+NL("Sum","5802 Value Entry","17 Sales Amount (Actual)","41 Source Type",$C$5,"5 Source no.",$C2832,"4 Item Ledger Entry Type",$C$4,"2 Item No.","@@"&amp;$F2832,"3 Posting Date",U$9)</t>
  </si>
  <si>
    <t>=-NL("Sum","5802 Value Entry","151 Cost Amount (Expected)","41 Source Type",$C$5,"5 Source No.",$C2832,"4 Item Ledger Entry Type",$C$4,"2 Item No.","@@"&amp;$F2832,"3 Posting Date",U$9)-NL("Sum","5802 Value Entry","43 Cost Amount (Actual)","41 Source Type",$C$5,"5 Source no.",$C2832,"4 Item Ledger Entry Type",$C$4,"2 Item No.","@@"&amp;$F2832,"3 Posting Date",U$9)</t>
  </si>
  <si>
    <t>=U2832-W2832</t>
  </si>
  <si>
    <t>=IF(U2832&lt;&gt;0,X2832/U2832,"")</t>
  </si>
  <si>
    <t>=NL("Sum","5802 Value Entry","150 Sales Amount (Expected)","41 Source Type",$C$5,"5 Source No.",$C2832,"4 Item Ledger Entry Type",$C$4,"2 Item No.","@@"&amp;$F2832,"3 Posting Date",Z$9)+NL("Sum","5802 Value Entry","17 Sales Amount (Actual)","41 Source Type",$C$5,"5 Source no.",$C2832,"4 Item Ledger Entry Type",$C$4,"2 Item No.","@@"&amp;$F2832,"3 Posting Date",Z$9)</t>
  </si>
  <si>
    <t>=-NL("Sum","5802 Value Entry","151 Cost Amount (Expected)","41 Source Type",$C$5,"5 Source No.",$C2832,"4 Item Ledger Entry Type",$C$4,"2 Item No.","@@"&amp;$F2832,"3 Posting Date",Z$9)-NL("Sum","5802 Value Entry","43 Cost Amount (Actual)","41 Source Type",$C$5,"5 Source no.",$C2832,"4 Item Ledger Entry Type",$C$4,"2 Item No.","@@"&amp;$F2832,"3 Posting Date",Z$9)</t>
  </si>
  <si>
    <t>=Z2832-AB2832</t>
  </si>
  <si>
    <t>=IF(Z2832&lt;&gt;0,AC2832/Z2832,"")</t>
  </si>
  <si>
    <t>=C2832</t>
  </si>
  <si>
    <t>=NL("Sum","5802 Value Entry","150 Sales Amount (Expected)","41 Source Type",$C$5,"5 Source No.",$C2833,"4 Item Ledger Entry Type",$C$4,"2 Item No.","@@"&amp;$F2833,"3 Posting Date",J$9)+NL("Sum","5802 Value Entry","17 Sales Amount (Actual)","41 Source Type",$C$5,"5 Source no.",$C2833,"4 Item Ledger Entry Type",$C$4,"2 Item No.","@@"&amp;$F2833,"3 Posting Date",J$9)</t>
  </si>
  <si>
    <t>=-NL("Sum","5802 Value Entry","151 Cost Amount (Expected)","41 Source Type",$C$5,"5 Source No.",$C2833,"4 Item Ledger Entry Type",$C$4,"2 Item No.","@@"&amp;$F2833,"3 Posting Date",J$9)-NL("Sum","5802 Value Entry","43 Cost Amount (Actual)","41 Source Type",$C$5,"5 Source no.",$C2833,"4 Item Ledger Entry Type",$C$4,"2 Item No.","@@"&amp;$F2833,"3 Posting Date",J$9)</t>
  </si>
  <si>
    <t>=J2833-L2833</t>
  </si>
  <si>
    <t>=IF(J2833&lt;&gt;0,M2833/J2833,"")</t>
  </si>
  <si>
    <t>=NL("Sum","5802 Value Entry","150 Sales Amount (Expected)","41 Source Type",$C$5,"5 Source No.",$C2833,"4 Item Ledger Entry Type",$C$4,"2 Item No.","@@"&amp;$F2833,"3 Posting Date",O$9)+NL("Sum","5802 Value Entry","17 Sales Amount (Actual)","41 Source Type",$C$5,"5 Source no.",$C2833,"4 Item Ledger Entry Type",$C$4,"2 Item No.","@@"&amp;$F2833,"3 Posting Date",O$9)</t>
  </si>
  <si>
    <t>=-NL("Sum","5802 Value Entry","151 Cost Amount (Expected)","41 Source Type",$C$5,"5 Source No.",$C2833,"4 Item Ledger Entry Type",$C$4,"2 Item No.","@@"&amp;$F2833,"3 Posting Date",O$9)-NL("Sum","5802 Value Entry","43 Cost Amount (Actual)","41 Source Type",$C$5,"5 Source no.",$C2833,"4 Item Ledger Entry Type",$C$4,"2 Item No.","@@"&amp;$F2833,"3 Posting Date",O$9)</t>
  </si>
  <si>
    <t>=O2833-Q2833</t>
  </si>
  <si>
    <t>=IF(O2833&lt;&gt;0,R2833/O2833,"")</t>
  </si>
  <si>
    <t>=NL("Sum","5802 Value Entry","150 Sales Amount (Expected)","41 Source Type",$C$5,"5 Source No.",$C2833,"4 Item Ledger Entry Type",$C$4,"2 Item No.","@@"&amp;$F2833,"3 Posting Date",U$9)+NL("Sum","5802 Value Entry","17 Sales Amount (Actual)","41 Source Type",$C$5,"5 Source no.",$C2833,"4 Item Ledger Entry Type",$C$4,"2 Item No.","@@"&amp;$F2833,"3 Posting Date",U$9)</t>
  </si>
  <si>
    <t>=-NL("Sum","5802 Value Entry","151 Cost Amount (Expected)","41 Source Type",$C$5,"5 Source No.",$C2833,"4 Item Ledger Entry Type",$C$4,"2 Item No.","@@"&amp;$F2833,"3 Posting Date",U$9)-NL("Sum","5802 Value Entry","43 Cost Amount (Actual)","41 Source Type",$C$5,"5 Source no.",$C2833,"4 Item Ledger Entry Type",$C$4,"2 Item No.","@@"&amp;$F2833,"3 Posting Date",U$9)</t>
  </si>
  <si>
    <t>=U2833-W2833</t>
  </si>
  <si>
    <t>=IF(U2833&lt;&gt;0,X2833/U2833,"")</t>
  </si>
  <si>
    <t>=NL("Sum","5802 Value Entry","150 Sales Amount (Expected)","41 Source Type",$C$5,"5 Source No.",$C2833,"4 Item Ledger Entry Type",$C$4,"2 Item No.","@@"&amp;$F2833,"3 Posting Date",Z$9)+NL("Sum","5802 Value Entry","17 Sales Amount (Actual)","41 Source Type",$C$5,"5 Source no.",$C2833,"4 Item Ledger Entry Type",$C$4,"2 Item No.","@@"&amp;$F2833,"3 Posting Date",Z$9)</t>
  </si>
  <si>
    <t>=-NL("Sum","5802 Value Entry","151 Cost Amount (Expected)","41 Source Type",$C$5,"5 Source No.",$C2833,"4 Item Ledger Entry Type",$C$4,"2 Item No.","@@"&amp;$F2833,"3 Posting Date",Z$9)-NL("Sum","5802 Value Entry","43 Cost Amount (Actual)","41 Source Type",$C$5,"5 Source no.",$C2833,"4 Item Ledger Entry Type",$C$4,"2 Item No.","@@"&amp;$F2833,"3 Posting Date",Z$9)</t>
  </si>
  <si>
    <t>=Z2833-AB2833</t>
  </si>
  <si>
    <t>=IF(Z2833&lt;&gt;0,AC2833/Z2833,"")</t>
  </si>
  <si>
    <t>=C2833</t>
  </si>
  <si>
    <t>=NL("Sum","5802 Value Entry","150 Sales Amount (Expected)","41 Source Type",$C$5,"5 Source No.",$C2834,"4 Item Ledger Entry Type",$C$4,"2 Item No.","@@"&amp;$F2834,"3 Posting Date",J$9)+NL("Sum","5802 Value Entry","17 Sales Amount (Actual)","41 Source Type",$C$5,"5 Source no.",$C2834,"4 Item Ledger Entry Type",$C$4,"2 Item No.","@@"&amp;$F2834,"3 Posting Date",J$9)</t>
  </si>
  <si>
    <t>=-NL("Sum","5802 Value Entry","151 Cost Amount (Expected)","41 Source Type",$C$5,"5 Source No.",$C2834,"4 Item Ledger Entry Type",$C$4,"2 Item No.","@@"&amp;$F2834,"3 Posting Date",J$9)-NL("Sum","5802 Value Entry","43 Cost Amount (Actual)","41 Source Type",$C$5,"5 Source no.",$C2834,"4 Item Ledger Entry Type",$C$4,"2 Item No.","@@"&amp;$F2834,"3 Posting Date",J$9)</t>
  </si>
  <si>
    <t>=J2834-L2834</t>
  </si>
  <si>
    <t>=IF(J2834&lt;&gt;0,M2834/J2834,"")</t>
  </si>
  <si>
    <t>=NL("Sum","5802 Value Entry","150 Sales Amount (Expected)","41 Source Type",$C$5,"5 Source No.",$C2834,"4 Item Ledger Entry Type",$C$4,"2 Item No.","@@"&amp;$F2834,"3 Posting Date",O$9)+NL("Sum","5802 Value Entry","17 Sales Amount (Actual)","41 Source Type",$C$5,"5 Source no.",$C2834,"4 Item Ledger Entry Type",$C$4,"2 Item No.","@@"&amp;$F2834,"3 Posting Date",O$9)</t>
  </si>
  <si>
    <t>=-NL("Sum","5802 Value Entry","151 Cost Amount (Expected)","41 Source Type",$C$5,"5 Source No.",$C2834,"4 Item Ledger Entry Type",$C$4,"2 Item No.","@@"&amp;$F2834,"3 Posting Date",O$9)-NL("Sum","5802 Value Entry","43 Cost Amount (Actual)","41 Source Type",$C$5,"5 Source no.",$C2834,"4 Item Ledger Entry Type",$C$4,"2 Item No.","@@"&amp;$F2834,"3 Posting Date",O$9)</t>
  </si>
  <si>
    <t>=O2834-Q2834</t>
  </si>
  <si>
    <t>=IF(O2834&lt;&gt;0,R2834/O2834,"")</t>
  </si>
  <si>
    <t>=NL("Sum","5802 Value Entry","150 Sales Amount (Expected)","41 Source Type",$C$5,"5 Source No.",$C2834,"4 Item Ledger Entry Type",$C$4,"2 Item No.","@@"&amp;$F2834,"3 Posting Date",U$9)+NL("Sum","5802 Value Entry","17 Sales Amount (Actual)","41 Source Type",$C$5,"5 Source no.",$C2834,"4 Item Ledger Entry Type",$C$4,"2 Item No.","@@"&amp;$F2834,"3 Posting Date",U$9)</t>
  </si>
  <si>
    <t>=-NL("Sum","5802 Value Entry","151 Cost Amount (Expected)","41 Source Type",$C$5,"5 Source No.",$C2834,"4 Item Ledger Entry Type",$C$4,"2 Item No.","@@"&amp;$F2834,"3 Posting Date",U$9)-NL("Sum","5802 Value Entry","43 Cost Amount (Actual)","41 Source Type",$C$5,"5 Source no.",$C2834,"4 Item Ledger Entry Type",$C$4,"2 Item No.","@@"&amp;$F2834,"3 Posting Date",U$9)</t>
  </si>
  <si>
    <t>=U2834-W2834</t>
  </si>
  <si>
    <t>=IF(U2834&lt;&gt;0,X2834/U2834,"")</t>
  </si>
  <si>
    <t>=NL("Sum","5802 Value Entry","150 Sales Amount (Expected)","41 Source Type",$C$5,"5 Source No.",$C2834,"4 Item Ledger Entry Type",$C$4,"2 Item No.","@@"&amp;$F2834,"3 Posting Date",Z$9)+NL("Sum","5802 Value Entry","17 Sales Amount (Actual)","41 Source Type",$C$5,"5 Source no.",$C2834,"4 Item Ledger Entry Type",$C$4,"2 Item No.","@@"&amp;$F2834,"3 Posting Date",Z$9)</t>
  </si>
  <si>
    <t>=-NL("Sum","5802 Value Entry","151 Cost Amount (Expected)","41 Source Type",$C$5,"5 Source No.",$C2834,"4 Item Ledger Entry Type",$C$4,"2 Item No.","@@"&amp;$F2834,"3 Posting Date",Z$9)-NL("Sum","5802 Value Entry","43 Cost Amount (Actual)","41 Source Type",$C$5,"5 Source no.",$C2834,"4 Item Ledger Entry Type",$C$4,"2 Item No.","@@"&amp;$F2834,"3 Posting Date",Z$9)</t>
  </si>
  <si>
    <t>=Z2834-AB2834</t>
  </si>
  <si>
    <t>=IF(Z2834&lt;&gt;0,AC2834/Z2834,"")</t>
  </si>
  <si>
    <t>=C2834</t>
  </si>
  <si>
    <t>=NL("Sum","5802 Value Entry","150 Sales Amount (Expected)","41 Source Type",$C$5,"5 Source No.",$C2835,"4 Item Ledger Entry Type",$C$4,"2 Item No.","@@"&amp;$F2835,"3 Posting Date",J$9)+NL("Sum","5802 Value Entry","17 Sales Amount (Actual)","41 Source Type",$C$5,"5 Source no.",$C2835,"4 Item Ledger Entry Type",$C$4,"2 Item No.","@@"&amp;$F2835,"3 Posting Date",J$9)</t>
  </si>
  <si>
    <t>=-NL("Sum","5802 Value Entry","151 Cost Amount (Expected)","41 Source Type",$C$5,"5 Source No.",$C2835,"4 Item Ledger Entry Type",$C$4,"2 Item No.","@@"&amp;$F2835,"3 Posting Date",J$9)-NL("Sum","5802 Value Entry","43 Cost Amount (Actual)","41 Source Type",$C$5,"5 Source no.",$C2835,"4 Item Ledger Entry Type",$C$4,"2 Item No.","@@"&amp;$F2835,"3 Posting Date",J$9)</t>
  </si>
  <si>
    <t>=J2835-L2835</t>
  </si>
  <si>
    <t>=IF(J2835&lt;&gt;0,M2835/J2835,"")</t>
  </si>
  <si>
    <t>=NL("Sum","5802 Value Entry","150 Sales Amount (Expected)","41 Source Type",$C$5,"5 Source No.",$C2835,"4 Item Ledger Entry Type",$C$4,"2 Item No.","@@"&amp;$F2835,"3 Posting Date",O$9)+NL("Sum","5802 Value Entry","17 Sales Amount (Actual)","41 Source Type",$C$5,"5 Source no.",$C2835,"4 Item Ledger Entry Type",$C$4,"2 Item No.","@@"&amp;$F2835,"3 Posting Date",O$9)</t>
  </si>
  <si>
    <t>=-NL("Sum","5802 Value Entry","151 Cost Amount (Expected)","41 Source Type",$C$5,"5 Source No.",$C2835,"4 Item Ledger Entry Type",$C$4,"2 Item No.","@@"&amp;$F2835,"3 Posting Date",O$9)-NL("Sum","5802 Value Entry","43 Cost Amount (Actual)","41 Source Type",$C$5,"5 Source no.",$C2835,"4 Item Ledger Entry Type",$C$4,"2 Item No.","@@"&amp;$F2835,"3 Posting Date",O$9)</t>
  </si>
  <si>
    <t>=O2835-Q2835</t>
  </si>
  <si>
    <t>=IF(O2835&lt;&gt;0,R2835/O2835,"")</t>
  </si>
  <si>
    <t>=NL("Sum","5802 Value Entry","150 Sales Amount (Expected)","41 Source Type",$C$5,"5 Source No.",$C2835,"4 Item Ledger Entry Type",$C$4,"2 Item No.","@@"&amp;$F2835,"3 Posting Date",U$9)+NL("Sum","5802 Value Entry","17 Sales Amount (Actual)","41 Source Type",$C$5,"5 Source no.",$C2835,"4 Item Ledger Entry Type",$C$4,"2 Item No.","@@"&amp;$F2835,"3 Posting Date",U$9)</t>
  </si>
  <si>
    <t>=-NL("Sum","5802 Value Entry","151 Cost Amount (Expected)","41 Source Type",$C$5,"5 Source No.",$C2835,"4 Item Ledger Entry Type",$C$4,"2 Item No.","@@"&amp;$F2835,"3 Posting Date",U$9)-NL("Sum","5802 Value Entry","43 Cost Amount (Actual)","41 Source Type",$C$5,"5 Source no.",$C2835,"4 Item Ledger Entry Type",$C$4,"2 Item No.","@@"&amp;$F2835,"3 Posting Date",U$9)</t>
  </si>
  <si>
    <t>=U2835-W2835</t>
  </si>
  <si>
    <t>=IF(U2835&lt;&gt;0,X2835/U2835,"")</t>
  </si>
  <si>
    <t>=NL("Sum","5802 Value Entry","150 Sales Amount (Expected)","41 Source Type",$C$5,"5 Source No.",$C2835,"4 Item Ledger Entry Type",$C$4,"2 Item No.","@@"&amp;$F2835,"3 Posting Date",Z$9)+NL("Sum","5802 Value Entry","17 Sales Amount (Actual)","41 Source Type",$C$5,"5 Source no.",$C2835,"4 Item Ledger Entry Type",$C$4,"2 Item No.","@@"&amp;$F2835,"3 Posting Date",Z$9)</t>
  </si>
  <si>
    <t>=-NL("Sum","5802 Value Entry","151 Cost Amount (Expected)","41 Source Type",$C$5,"5 Source No.",$C2835,"4 Item Ledger Entry Type",$C$4,"2 Item No.","@@"&amp;$F2835,"3 Posting Date",Z$9)-NL("Sum","5802 Value Entry","43 Cost Amount (Actual)","41 Source Type",$C$5,"5 Source no.",$C2835,"4 Item Ledger Entry Type",$C$4,"2 Item No.","@@"&amp;$F2835,"3 Posting Date",Z$9)</t>
  </si>
  <si>
    <t>=Z2835-AB2835</t>
  </si>
  <si>
    <t>=IF(Z2835&lt;&gt;0,AC2835/Z2835,"")</t>
  </si>
  <si>
    <t>=C2835</t>
  </si>
  <si>
    <t>=NL("Sum","5802 Value Entry","150 Sales Amount (Expected)","41 Source Type",$C$5,"5 Source No.",$C2836,"4 Item Ledger Entry Type",$C$4,"2 Item No.","@@"&amp;$F2836,"3 Posting Date",J$9)+NL("Sum","5802 Value Entry","17 Sales Amount (Actual)","41 Source Type",$C$5,"5 Source no.",$C2836,"4 Item Ledger Entry Type",$C$4,"2 Item No.","@@"&amp;$F2836,"3 Posting Date",J$9)</t>
  </si>
  <si>
    <t>=-NL("Sum","5802 Value Entry","151 Cost Amount (Expected)","41 Source Type",$C$5,"5 Source No.",$C2836,"4 Item Ledger Entry Type",$C$4,"2 Item No.","@@"&amp;$F2836,"3 Posting Date",J$9)-NL("Sum","5802 Value Entry","43 Cost Amount (Actual)","41 Source Type",$C$5,"5 Source no.",$C2836,"4 Item Ledger Entry Type",$C$4,"2 Item No.","@@"&amp;$F2836,"3 Posting Date",J$9)</t>
  </si>
  <si>
    <t>=J2836-L2836</t>
  </si>
  <si>
    <t>=IF(J2836&lt;&gt;0,M2836/J2836,"")</t>
  </si>
  <si>
    <t>=NL("Sum","5802 Value Entry","150 Sales Amount (Expected)","41 Source Type",$C$5,"5 Source No.",$C2836,"4 Item Ledger Entry Type",$C$4,"2 Item No.","@@"&amp;$F2836,"3 Posting Date",O$9)+NL("Sum","5802 Value Entry","17 Sales Amount (Actual)","41 Source Type",$C$5,"5 Source no.",$C2836,"4 Item Ledger Entry Type",$C$4,"2 Item No.","@@"&amp;$F2836,"3 Posting Date",O$9)</t>
  </si>
  <si>
    <t>=-NL("Sum","5802 Value Entry","151 Cost Amount (Expected)","41 Source Type",$C$5,"5 Source No.",$C2836,"4 Item Ledger Entry Type",$C$4,"2 Item No.","@@"&amp;$F2836,"3 Posting Date",O$9)-NL("Sum","5802 Value Entry","43 Cost Amount (Actual)","41 Source Type",$C$5,"5 Source no.",$C2836,"4 Item Ledger Entry Type",$C$4,"2 Item No.","@@"&amp;$F2836,"3 Posting Date",O$9)</t>
  </si>
  <si>
    <t>=O2836-Q2836</t>
  </si>
  <si>
    <t>=IF(O2836&lt;&gt;0,R2836/O2836,"")</t>
  </si>
  <si>
    <t>=NL("Sum","5802 Value Entry","150 Sales Amount (Expected)","41 Source Type",$C$5,"5 Source No.",$C2836,"4 Item Ledger Entry Type",$C$4,"2 Item No.","@@"&amp;$F2836,"3 Posting Date",U$9)+NL("Sum","5802 Value Entry","17 Sales Amount (Actual)","41 Source Type",$C$5,"5 Source no.",$C2836,"4 Item Ledger Entry Type",$C$4,"2 Item No.","@@"&amp;$F2836,"3 Posting Date",U$9)</t>
  </si>
  <si>
    <t>=-NL("Sum","5802 Value Entry","151 Cost Amount (Expected)","41 Source Type",$C$5,"5 Source No.",$C2836,"4 Item Ledger Entry Type",$C$4,"2 Item No.","@@"&amp;$F2836,"3 Posting Date",U$9)-NL("Sum","5802 Value Entry","43 Cost Amount (Actual)","41 Source Type",$C$5,"5 Source no.",$C2836,"4 Item Ledger Entry Type",$C$4,"2 Item No.","@@"&amp;$F2836,"3 Posting Date",U$9)</t>
  </si>
  <si>
    <t>=U2836-W2836</t>
  </si>
  <si>
    <t>=IF(U2836&lt;&gt;0,X2836/U2836,"")</t>
  </si>
  <si>
    <t>=NL("Sum","5802 Value Entry","150 Sales Amount (Expected)","41 Source Type",$C$5,"5 Source No.",$C2836,"4 Item Ledger Entry Type",$C$4,"2 Item No.","@@"&amp;$F2836,"3 Posting Date",Z$9)+NL("Sum","5802 Value Entry","17 Sales Amount (Actual)","41 Source Type",$C$5,"5 Source no.",$C2836,"4 Item Ledger Entry Type",$C$4,"2 Item No.","@@"&amp;$F2836,"3 Posting Date",Z$9)</t>
  </si>
  <si>
    <t>=-NL("Sum","5802 Value Entry","151 Cost Amount (Expected)","41 Source Type",$C$5,"5 Source No.",$C2836,"4 Item Ledger Entry Type",$C$4,"2 Item No.","@@"&amp;$F2836,"3 Posting Date",Z$9)-NL("Sum","5802 Value Entry","43 Cost Amount (Actual)","41 Source Type",$C$5,"5 Source no.",$C2836,"4 Item Ledger Entry Type",$C$4,"2 Item No.","@@"&amp;$F2836,"3 Posting Date",Z$9)</t>
  </si>
  <si>
    <t>=Z2836-AB2836</t>
  </si>
  <si>
    <t>=IF(Z2836&lt;&gt;0,AC2836/Z2836,"")</t>
  </si>
  <si>
    <t>=C2836</t>
  </si>
  <si>
    <t>=NL("Sum","5802 Value Entry","150 Sales Amount (Expected)","41 Source Type",$C$5,"5 Source No.",$C2837,"4 Item Ledger Entry Type",$C$4,"2 Item No.","@@"&amp;$F2837,"3 Posting Date",J$9)+NL("Sum","5802 Value Entry","17 Sales Amount (Actual)","41 Source Type",$C$5,"5 Source no.",$C2837,"4 Item Ledger Entry Type",$C$4,"2 Item No.","@@"&amp;$F2837,"3 Posting Date",J$9)</t>
  </si>
  <si>
    <t>=-NL("Sum","5802 Value Entry","151 Cost Amount (Expected)","41 Source Type",$C$5,"5 Source No.",$C2837,"4 Item Ledger Entry Type",$C$4,"2 Item No.","@@"&amp;$F2837,"3 Posting Date",J$9)-NL("Sum","5802 Value Entry","43 Cost Amount (Actual)","41 Source Type",$C$5,"5 Source no.",$C2837,"4 Item Ledger Entry Type",$C$4,"2 Item No.","@@"&amp;$F2837,"3 Posting Date",J$9)</t>
  </si>
  <si>
    <t>=J2837-L2837</t>
  </si>
  <si>
    <t>=IF(J2837&lt;&gt;0,M2837/J2837,"")</t>
  </si>
  <si>
    <t>=NL("Sum","5802 Value Entry","150 Sales Amount (Expected)","41 Source Type",$C$5,"5 Source No.",$C2837,"4 Item Ledger Entry Type",$C$4,"2 Item No.","@@"&amp;$F2837,"3 Posting Date",O$9)+NL("Sum","5802 Value Entry","17 Sales Amount (Actual)","41 Source Type",$C$5,"5 Source no.",$C2837,"4 Item Ledger Entry Type",$C$4,"2 Item No.","@@"&amp;$F2837,"3 Posting Date",O$9)</t>
  </si>
  <si>
    <t>=-NL("Sum","5802 Value Entry","151 Cost Amount (Expected)","41 Source Type",$C$5,"5 Source No.",$C2837,"4 Item Ledger Entry Type",$C$4,"2 Item No.","@@"&amp;$F2837,"3 Posting Date",O$9)-NL("Sum","5802 Value Entry","43 Cost Amount (Actual)","41 Source Type",$C$5,"5 Source no.",$C2837,"4 Item Ledger Entry Type",$C$4,"2 Item No.","@@"&amp;$F2837,"3 Posting Date",O$9)</t>
  </si>
  <si>
    <t>=O2837-Q2837</t>
  </si>
  <si>
    <t>=IF(O2837&lt;&gt;0,R2837/O2837,"")</t>
  </si>
  <si>
    <t>=NL("Sum","5802 Value Entry","150 Sales Amount (Expected)","41 Source Type",$C$5,"5 Source No.",$C2837,"4 Item Ledger Entry Type",$C$4,"2 Item No.","@@"&amp;$F2837,"3 Posting Date",U$9)+NL("Sum","5802 Value Entry","17 Sales Amount (Actual)","41 Source Type",$C$5,"5 Source no.",$C2837,"4 Item Ledger Entry Type",$C$4,"2 Item No.","@@"&amp;$F2837,"3 Posting Date",U$9)</t>
  </si>
  <si>
    <t>=-NL("Sum","5802 Value Entry","151 Cost Amount (Expected)","41 Source Type",$C$5,"5 Source No.",$C2837,"4 Item Ledger Entry Type",$C$4,"2 Item No.","@@"&amp;$F2837,"3 Posting Date",U$9)-NL("Sum","5802 Value Entry","43 Cost Amount (Actual)","41 Source Type",$C$5,"5 Source no.",$C2837,"4 Item Ledger Entry Type",$C$4,"2 Item No.","@@"&amp;$F2837,"3 Posting Date",U$9)</t>
  </si>
  <si>
    <t>=U2837-W2837</t>
  </si>
  <si>
    <t>=IF(U2837&lt;&gt;0,X2837/U2837,"")</t>
  </si>
  <si>
    <t>=NL("Sum","5802 Value Entry","150 Sales Amount (Expected)","41 Source Type",$C$5,"5 Source No.",$C2837,"4 Item Ledger Entry Type",$C$4,"2 Item No.","@@"&amp;$F2837,"3 Posting Date",Z$9)+NL("Sum","5802 Value Entry","17 Sales Amount (Actual)","41 Source Type",$C$5,"5 Source no.",$C2837,"4 Item Ledger Entry Type",$C$4,"2 Item No.","@@"&amp;$F2837,"3 Posting Date",Z$9)</t>
  </si>
  <si>
    <t>=-NL("Sum","5802 Value Entry","151 Cost Amount (Expected)","41 Source Type",$C$5,"5 Source No.",$C2837,"4 Item Ledger Entry Type",$C$4,"2 Item No.","@@"&amp;$F2837,"3 Posting Date",Z$9)-NL("Sum","5802 Value Entry","43 Cost Amount (Actual)","41 Source Type",$C$5,"5 Source no.",$C2837,"4 Item Ledger Entry Type",$C$4,"2 Item No.","@@"&amp;$F2837,"3 Posting Date",Z$9)</t>
  </si>
  <si>
    <t>=Z2837-AB2837</t>
  </si>
  <si>
    <t>=IF(Z2837&lt;&gt;0,AC2837/Z2837,"")</t>
  </si>
  <si>
    <t>=C2837</t>
  </si>
  <si>
    <t>=NL("Sum","5802 Value Entry","150 Sales Amount (Expected)","41 Source Type",$C$5,"5 Source No.",$C2838,"4 Item Ledger Entry Type",$C$4,"2 Item No.","@@"&amp;$F2838,"3 Posting Date",J$9)+NL("Sum","5802 Value Entry","17 Sales Amount (Actual)","41 Source Type",$C$5,"5 Source no.",$C2838,"4 Item Ledger Entry Type",$C$4,"2 Item No.","@@"&amp;$F2838,"3 Posting Date",J$9)</t>
  </si>
  <si>
    <t>=-NL("Sum","5802 Value Entry","151 Cost Amount (Expected)","41 Source Type",$C$5,"5 Source No.",$C2838,"4 Item Ledger Entry Type",$C$4,"2 Item No.","@@"&amp;$F2838,"3 Posting Date",J$9)-NL("Sum","5802 Value Entry","43 Cost Amount (Actual)","41 Source Type",$C$5,"5 Source no.",$C2838,"4 Item Ledger Entry Type",$C$4,"2 Item No.","@@"&amp;$F2838,"3 Posting Date",J$9)</t>
  </si>
  <si>
    <t>=J2838-L2838</t>
  </si>
  <si>
    <t>=IF(J2838&lt;&gt;0,M2838/J2838,"")</t>
  </si>
  <si>
    <t>=NL("Sum","5802 Value Entry","150 Sales Amount (Expected)","41 Source Type",$C$5,"5 Source No.",$C2838,"4 Item Ledger Entry Type",$C$4,"2 Item No.","@@"&amp;$F2838,"3 Posting Date",O$9)+NL("Sum","5802 Value Entry","17 Sales Amount (Actual)","41 Source Type",$C$5,"5 Source no.",$C2838,"4 Item Ledger Entry Type",$C$4,"2 Item No.","@@"&amp;$F2838,"3 Posting Date",O$9)</t>
  </si>
  <si>
    <t>=-NL("Sum","5802 Value Entry","151 Cost Amount (Expected)","41 Source Type",$C$5,"5 Source No.",$C2838,"4 Item Ledger Entry Type",$C$4,"2 Item No.","@@"&amp;$F2838,"3 Posting Date",O$9)-NL("Sum","5802 Value Entry","43 Cost Amount (Actual)","41 Source Type",$C$5,"5 Source no.",$C2838,"4 Item Ledger Entry Type",$C$4,"2 Item No.","@@"&amp;$F2838,"3 Posting Date",O$9)</t>
  </si>
  <si>
    <t>=O2838-Q2838</t>
  </si>
  <si>
    <t>=IF(O2838&lt;&gt;0,R2838/O2838,"")</t>
  </si>
  <si>
    <t>=NL("Sum","5802 Value Entry","150 Sales Amount (Expected)","41 Source Type",$C$5,"5 Source No.",$C2838,"4 Item Ledger Entry Type",$C$4,"2 Item No.","@@"&amp;$F2838,"3 Posting Date",U$9)+NL("Sum","5802 Value Entry","17 Sales Amount (Actual)","41 Source Type",$C$5,"5 Source no.",$C2838,"4 Item Ledger Entry Type",$C$4,"2 Item No.","@@"&amp;$F2838,"3 Posting Date",U$9)</t>
  </si>
  <si>
    <t>=-NL("Sum","5802 Value Entry","151 Cost Amount (Expected)","41 Source Type",$C$5,"5 Source No.",$C2838,"4 Item Ledger Entry Type",$C$4,"2 Item No.","@@"&amp;$F2838,"3 Posting Date",U$9)-NL("Sum","5802 Value Entry","43 Cost Amount (Actual)","41 Source Type",$C$5,"5 Source no.",$C2838,"4 Item Ledger Entry Type",$C$4,"2 Item No.","@@"&amp;$F2838,"3 Posting Date",U$9)</t>
  </si>
  <si>
    <t>=U2838-W2838</t>
  </si>
  <si>
    <t>=IF(U2838&lt;&gt;0,X2838/U2838,"")</t>
  </si>
  <si>
    <t>=NL("Sum","5802 Value Entry","150 Sales Amount (Expected)","41 Source Type",$C$5,"5 Source No.",$C2838,"4 Item Ledger Entry Type",$C$4,"2 Item No.","@@"&amp;$F2838,"3 Posting Date",Z$9)+NL("Sum","5802 Value Entry","17 Sales Amount (Actual)","41 Source Type",$C$5,"5 Source no.",$C2838,"4 Item Ledger Entry Type",$C$4,"2 Item No.","@@"&amp;$F2838,"3 Posting Date",Z$9)</t>
  </si>
  <si>
    <t>=-NL("Sum","5802 Value Entry","151 Cost Amount (Expected)","41 Source Type",$C$5,"5 Source No.",$C2838,"4 Item Ledger Entry Type",$C$4,"2 Item No.","@@"&amp;$F2838,"3 Posting Date",Z$9)-NL("Sum","5802 Value Entry","43 Cost Amount (Actual)","41 Source Type",$C$5,"5 Source no.",$C2838,"4 Item Ledger Entry Type",$C$4,"2 Item No.","@@"&amp;$F2838,"3 Posting Date",Z$9)</t>
  </si>
  <si>
    <t>=Z2838-AB2838</t>
  </si>
  <si>
    <t>=IF(Z2838&lt;&gt;0,AC2838/Z2838,"")</t>
  </si>
  <si>
    <t>=C2838</t>
  </si>
  <si>
    <t>=NL("Sum","5802 Value Entry","150 Sales Amount (Expected)","41 Source Type",$C$5,"5 Source No.",$C2839,"4 Item Ledger Entry Type",$C$4,"2 Item No.","@@"&amp;$F2839,"3 Posting Date",J$9)+NL("Sum","5802 Value Entry","17 Sales Amount (Actual)","41 Source Type",$C$5,"5 Source no.",$C2839,"4 Item Ledger Entry Type",$C$4,"2 Item No.","@@"&amp;$F2839,"3 Posting Date",J$9)</t>
  </si>
  <si>
    <t>=-NL("Sum","5802 Value Entry","151 Cost Amount (Expected)","41 Source Type",$C$5,"5 Source No.",$C2839,"4 Item Ledger Entry Type",$C$4,"2 Item No.","@@"&amp;$F2839,"3 Posting Date",J$9)-NL("Sum","5802 Value Entry","43 Cost Amount (Actual)","41 Source Type",$C$5,"5 Source no.",$C2839,"4 Item Ledger Entry Type",$C$4,"2 Item No.","@@"&amp;$F2839,"3 Posting Date",J$9)</t>
  </si>
  <si>
    <t>=J2839-L2839</t>
  </si>
  <si>
    <t>=IF(J2839&lt;&gt;0,M2839/J2839,"")</t>
  </si>
  <si>
    <t>=NL("Sum","5802 Value Entry","150 Sales Amount (Expected)","41 Source Type",$C$5,"5 Source No.",$C2839,"4 Item Ledger Entry Type",$C$4,"2 Item No.","@@"&amp;$F2839,"3 Posting Date",O$9)+NL("Sum","5802 Value Entry","17 Sales Amount (Actual)","41 Source Type",$C$5,"5 Source no.",$C2839,"4 Item Ledger Entry Type",$C$4,"2 Item No.","@@"&amp;$F2839,"3 Posting Date",O$9)</t>
  </si>
  <si>
    <t>=-NL("Sum","5802 Value Entry","151 Cost Amount (Expected)","41 Source Type",$C$5,"5 Source No.",$C2839,"4 Item Ledger Entry Type",$C$4,"2 Item No.","@@"&amp;$F2839,"3 Posting Date",O$9)-NL("Sum","5802 Value Entry","43 Cost Amount (Actual)","41 Source Type",$C$5,"5 Source no.",$C2839,"4 Item Ledger Entry Type",$C$4,"2 Item No.","@@"&amp;$F2839,"3 Posting Date",O$9)</t>
  </si>
  <si>
    <t>=O2839-Q2839</t>
  </si>
  <si>
    <t>=IF(O2839&lt;&gt;0,R2839/O2839,"")</t>
  </si>
  <si>
    <t>=NL("Sum","5802 Value Entry","150 Sales Amount (Expected)","41 Source Type",$C$5,"5 Source No.",$C2839,"4 Item Ledger Entry Type",$C$4,"2 Item No.","@@"&amp;$F2839,"3 Posting Date",U$9)+NL("Sum","5802 Value Entry","17 Sales Amount (Actual)","41 Source Type",$C$5,"5 Source no.",$C2839,"4 Item Ledger Entry Type",$C$4,"2 Item No.","@@"&amp;$F2839,"3 Posting Date",U$9)</t>
  </si>
  <si>
    <t>=-NL("Sum","5802 Value Entry","151 Cost Amount (Expected)","41 Source Type",$C$5,"5 Source No.",$C2839,"4 Item Ledger Entry Type",$C$4,"2 Item No.","@@"&amp;$F2839,"3 Posting Date",U$9)-NL("Sum","5802 Value Entry","43 Cost Amount (Actual)","41 Source Type",$C$5,"5 Source no.",$C2839,"4 Item Ledger Entry Type",$C$4,"2 Item No.","@@"&amp;$F2839,"3 Posting Date",U$9)</t>
  </si>
  <si>
    <t>=U2839-W2839</t>
  </si>
  <si>
    <t>=IF(U2839&lt;&gt;0,X2839/U2839,"")</t>
  </si>
  <si>
    <t>=NL("Sum","5802 Value Entry","150 Sales Amount (Expected)","41 Source Type",$C$5,"5 Source No.",$C2839,"4 Item Ledger Entry Type",$C$4,"2 Item No.","@@"&amp;$F2839,"3 Posting Date",Z$9)+NL("Sum","5802 Value Entry","17 Sales Amount (Actual)","41 Source Type",$C$5,"5 Source no.",$C2839,"4 Item Ledger Entry Type",$C$4,"2 Item No.","@@"&amp;$F2839,"3 Posting Date",Z$9)</t>
  </si>
  <si>
    <t>=-NL("Sum","5802 Value Entry","151 Cost Amount (Expected)","41 Source Type",$C$5,"5 Source No.",$C2839,"4 Item Ledger Entry Type",$C$4,"2 Item No.","@@"&amp;$F2839,"3 Posting Date",Z$9)-NL("Sum","5802 Value Entry","43 Cost Amount (Actual)","41 Source Type",$C$5,"5 Source no.",$C2839,"4 Item Ledger Entry Type",$C$4,"2 Item No.","@@"&amp;$F2839,"3 Posting Date",Z$9)</t>
  </si>
  <si>
    <t>=Z2839-AB2839</t>
  </si>
  <si>
    <t>=IF(Z2839&lt;&gt;0,AC2839/Z2839,"")</t>
  </si>
  <si>
    <t>=C2839</t>
  </si>
  <si>
    <t>="S200029"</t>
  </si>
  <si>
    <t>=NL("Sum","5802 Value Entry","150 Sales Amount (Expected)","41 Source Type",$C$5,"5 Source No.",$C2840,"4 Item Ledger Entry Type",$C$4,"2 Item No.","@@"&amp;$F2840,"3 Posting Date",J$9)+NL("Sum","5802 Value Entry","17 Sales Amount (Actual)","41 Source Type",$C$5,"5 Source no.",$C2840,"4 Item Ledger Entry Type",$C$4,"2 Item No.","@@"&amp;$F2840,"3 Posting Date",J$9)</t>
  </si>
  <si>
    <t>=-NL("Sum","5802 Value Entry","151 Cost Amount (Expected)","41 Source Type",$C$5,"5 Source No.",$C2840,"4 Item Ledger Entry Type",$C$4,"2 Item No.","@@"&amp;$F2840,"3 Posting Date",J$9)-NL("Sum","5802 Value Entry","43 Cost Amount (Actual)","41 Source Type",$C$5,"5 Source no.",$C2840,"4 Item Ledger Entry Type",$C$4,"2 Item No.","@@"&amp;$F2840,"3 Posting Date",J$9)</t>
  </si>
  <si>
    <t>=J2840-L2840</t>
  </si>
  <si>
    <t>=IF(J2840&lt;&gt;0,M2840/J2840,"")</t>
  </si>
  <si>
    <t>=NL("Sum","5802 Value Entry","150 Sales Amount (Expected)","41 Source Type",$C$5,"5 Source No.",$C2840,"4 Item Ledger Entry Type",$C$4,"2 Item No.","@@"&amp;$F2840,"3 Posting Date",O$9)+NL("Sum","5802 Value Entry","17 Sales Amount (Actual)","41 Source Type",$C$5,"5 Source no.",$C2840,"4 Item Ledger Entry Type",$C$4,"2 Item No.","@@"&amp;$F2840,"3 Posting Date",O$9)</t>
  </si>
  <si>
    <t>=-NL("Sum","5802 Value Entry","151 Cost Amount (Expected)","41 Source Type",$C$5,"5 Source No.",$C2840,"4 Item Ledger Entry Type",$C$4,"2 Item No.","@@"&amp;$F2840,"3 Posting Date",O$9)-NL("Sum","5802 Value Entry","43 Cost Amount (Actual)","41 Source Type",$C$5,"5 Source no.",$C2840,"4 Item Ledger Entry Type",$C$4,"2 Item No.","@@"&amp;$F2840,"3 Posting Date",O$9)</t>
  </si>
  <si>
    <t>=O2840-Q2840</t>
  </si>
  <si>
    <t>=IF(O2840&lt;&gt;0,R2840/O2840,"")</t>
  </si>
  <si>
    <t>=NL("Sum","5802 Value Entry","150 Sales Amount (Expected)","41 Source Type",$C$5,"5 Source No.",$C2840,"4 Item Ledger Entry Type",$C$4,"2 Item No.","@@"&amp;$F2840,"3 Posting Date",U$9)+NL("Sum","5802 Value Entry","17 Sales Amount (Actual)","41 Source Type",$C$5,"5 Source no.",$C2840,"4 Item Ledger Entry Type",$C$4,"2 Item No.","@@"&amp;$F2840,"3 Posting Date",U$9)</t>
  </si>
  <si>
    <t>=-NL("Sum","5802 Value Entry","151 Cost Amount (Expected)","41 Source Type",$C$5,"5 Source No.",$C2840,"4 Item Ledger Entry Type",$C$4,"2 Item No.","@@"&amp;$F2840,"3 Posting Date",U$9)-NL("Sum","5802 Value Entry","43 Cost Amount (Actual)","41 Source Type",$C$5,"5 Source no.",$C2840,"4 Item Ledger Entry Type",$C$4,"2 Item No.","@@"&amp;$F2840,"3 Posting Date",U$9)</t>
  </si>
  <si>
    <t>=U2840-W2840</t>
  </si>
  <si>
    <t>=IF(U2840&lt;&gt;0,X2840/U2840,"")</t>
  </si>
  <si>
    <t>=NL("Sum","5802 Value Entry","150 Sales Amount (Expected)","41 Source Type",$C$5,"5 Source No.",$C2840,"4 Item Ledger Entry Type",$C$4,"2 Item No.","@@"&amp;$F2840,"3 Posting Date",Z$9)+NL("Sum","5802 Value Entry","17 Sales Amount (Actual)","41 Source Type",$C$5,"5 Source no.",$C2840,"4 Item Ledger Entry Type",$C$4,"2 Item No.","@@"&amp;$F2840,"3 Posting Date",Z$9)</t>
  </si>
  <si>
    <t>=-NL("Sum","5802 Value Entry","151 Cost Amount (Expected)","41 Source Type",$C$5,"5 Source No.",$C2840,"4 Item Ledger Entry Type",$C$4,"2 Item No.","@@"&amp;$F2840,"3 Posting Date",Z$9)-NL("Sum","5802 Value Entry","43 Cost Amount (Actual)","41 Source Type",$C$5,"5 Source no.",$C2840,"4 Item Ledger Entry Type",$C$4,"2 Item No.","@@"&amp;$F2840,"3 Posting Date",Z$9)</t>
  </si>
  <si>
    <t>=Z2840-AB2840</t>
  </si>
  <si>
    <t>=IF(Z2840&lt;&gt;0,AC2840/Z2840,"")</t>
  </si>
  <si>
    <t>=C2841</t>
  </si>
  <si>
    <t>=J2842-L2842</t>
  </si>
  <si>
    <t>=IF(J2842&lt;&gt;0,M2842/J2842,"")</t>
  </si>
  <si>
    <t>=O2842-Q2842</t>
  </si>
  <si>
    <t>=IF(O2842&lt;&gt;0,R2842/O2842,"")</t>
  </si>
  <si>
    <t>=U2842-W2842</t>
  </si>
  <si>
    <t>=IF(U2842&lt;&gt;0,X2842/U2842,"")</t>
  </si>
  <si>
    <t>=Z2842-AB2842</t>
  </si>
  <si>
    <t>=IF(Z2842&lt;&gt;0,AC2842/Z2842,"")</t>
  </si>
  <si>
    <t>="C100121"</t>
  </si>
  <si>
    <t>=C2844</t>
  </si>
  <si>
    <t>=C2846</t>
  </si>
  <si>
    <t>=J2847-L2847</t>
  </si>
  <si>
    <t>=IF(J2847&lt;&gt;0,M2847/J2847,"")</t>
  </si>
  <si>
    <t>=O2847-Q2847</t>
  </si>
  <si>
    <t>=IF(O2847&lt;&gt;0,R2847/O2847,"")</t>
  </si>
  <si>
    <t>=U2847-W2847</t>
  </si>
  <si>
    <t>=IF(U2847&lt;&gt;0,X2847/U2847,"")</t>
  </si>
  <si>
    <t>=Z2847-AB2847</t>
  </si>
  <si>
    <t>=IF(Z2847&lt;&gt;0,AC2847/Z2847,"")</t>
  </si>
  <si>
    <t>=C2849</t>
  </si>
  <si>
    <t>=C2850</t>
  </si>
  <si>
    <t>=NL("Sum","5802 Value Entry","150 Sales Amount (Expected)","41 Source Type",$C$5,"5 Source No.",$C2851,"4 Item Ledger Entry Type",$C$4,"2 Item No.","@@"&amp;$F2851,"3 Posting Date",J$9)+NL("Sum","5802 Value Entry","17 Sales Amount (Actual)","41 Source Type",$C$5,"5 Source no.",$C2851,"4 Item Ledger Entry Type",$C$4,"2 Item No.","@@"&amp;$F2851,"3 Posting Date",J$9)</t>
  </si>
  <si>
    <t>=-NL("Sum","5802 Value Entry","151 Cost Amount (Expected)","41 Source Type",$C$5,"5 Source No.",$C2851,"4 Item Ledger Entry Type",$C$4,"2 Item No.","@@"&amp;$F2851,"3 Posting Date",J$9)-NL("Sum","5802 Value Entry","43 Cost Amount (Actual)","41 Source Type",$C$5,"5 Source no.",$C2851,"4 Item Ledger Entry Type",$C$4,"2 Item No.","@@"&amp;$F2851,"3 Posting Date",J$9)</t>
  </si>
  <si>
    <t>=J2851-L2851</t>
  </si>
  <si>
    <t>=IF(J2851&lt;&gt;0,M2851/J2851,"")</t>
  </si>
  <si>
    <t>=NL("Sum","5802 Value Entry","150 Sales Amount (Expected)","41 Source Type",$C$5,"5 Source No.",$C2851,"4 Item Ledger Entry Type",$C$4,"2 Item No.","@@"&amp;$F2851,"3 Posting Date",O$9)+NL("Sum","5802 Value Entry","17 Sales Amount (Actual)","41 Source Type",$C$5,"5 Source no.",$C2851,"4 Item Ledger Entry Type",$C$4,"2 Item No.","@@"&amp;$F2851,"3 Posting Date",O$9)</t>
  </si>
  <si>
    <t>=-NL("Sum","5802 Value Entry","151 Cost Amount (Expected)","41 Source Type",$C$5,"5 Source No.",$C2851,"4 Item Ledger Entry Type",$C$4,"2 Item No.","@@"&amp;$F2851,"3 Posting Date",O$9)-NL("Sum","5802 Value Entry","43 Cost Amount (Actual)","41 Source Type",$C$5,"5 Source no.",$C2851,"4 Item Ledger Entry Type",$C$4,"2 Item No.","@@"&amp;$F2851,"3 Posting Date",O$9)</t>
  </si>
  <si>
    <t>=O2851-Q2851</t>
  </si>
  <si>
    <t>=IF(O2851&lt;&gt;0,R2851/O2851,"")</t>
  </si>
  <si>
    <t>=NL("Sum","5802 Value Entry","150 Sales Amount (Expected)","41 Source Type",$C$5,"5 Source No.",$C2851,"4 Item Ledger Entry Type",$C$4,"2 Item No.","@@"&amp;$F2851,"3 Posting Date",U$9)+NL("Sum","5802 Value Entry","17 Sales Amount (Actual)","41 Source Type",$C$5,"5 Source no.",$C2851,"4 Item Ledger Entry Type",$C$4,"2 Item No.","@@"&amp;$F2851,"3 Posting Date",U$9)</t>
  </si>
  <si>
    <t>=-NL("Sum","5802 Value Entry","151 Cost Amount (Expected)","41 Source Type",$C$5,"5 Source No.",$C2851,"4 Item Ledger Entry Type",$C$4,"2 Item No.","@@"&amp;$F2851,"3 Posting Date",U$9)-NL("Sum","5802 Value Entry","43 Cost Amount (Actual)","41 Source Type",$C$5,"5 Source no.",$C2851,"4 Item Ledger Entry Type",$C$4,"2 Item No.","@@"&amp;$F2851,"3 Posting Date",U$9)</t>
  </si>
  <si>
    <t>=U2851-W2851</t>
  </si>
  <si>
    <t>=IF(U2851&lt;&gt;0,X2851/U2851,"")</t>
  </si>
  <si>
    <t>=NL("Sum","5802 Value Entry","150 Sales Amount (Expected)","41 Source Type",$C$5,"5 Source No.",$C2851,"4 Item Ledger Entry Type",$C$4,"2 Item No.","@@"&amp;$F2851,"3 Posting Date",Z$9)+NL("Sum","5802 Value Entry","17 Sales Amount (Actual)","41 Source Type",$C$5,"5 Source no.",$C2851,"4 Item Ledger Entry Type",$C$4,"2 Item No.","@@"&amp;$F2851,"3 Posting Date",Z$9)</t>
  </si>
  <si>
    <t>=-NL("Sum","5802 Value Entry","151 Cost Amount (Expected)","41 Source Type",$C$5,"5 Source No.",$C2851,"4 Item Ledger Entry Type",$C$4,"2 Item No.","@@"&amp;$F2851,"3 Posting Date",Z$9)-NL("Sum","5802 Value Entry","43 Cost Amount (Actual)","41 Source Type",$C$5,"5 Source no.",$C2851,"4 Item Ledger Entry Type",$C$4,"2 Item No.","@@"&amp;$F2851,"3 Posting Date",Z$9)</t>
  </si>
  <si>
    <t>=Z2851-AB2851</t>
  </si>
  <si>
    <t>=IF(Z2851&lt;&gt;0,AC2851/Z2851,"")</t>
  </si>
  <si>
    <t>=C2851</t>
  </si>
  <si>
    <t>=NL("Sum","5802 Value Entry","150 Sales Amount (Expected)","41 Source Type",$C$5,"5 Source No.",$C2852,"4 Item Ledger Entry Type",$C$4,"2 Item No.","@@"&amp;$F2852,"3 Posting Date",J$9)+NL("Sum","5802 Value Entry","17 Sales Amount (Actual)","41 Source Type",$C$5,"5 Source no.",$C2852,"4 Item Ledger Entry Type",$C$4,"2 Item No.","@@"&amp;$F2852,"3 Posting Date",J$9)</t>
  </si>
  <si>
    <t>=-NL("Sum","5802 Value Entry","151 Cost Amount (Expected)","41 Source Type",$C$5,"5 Source No.",$C2852,"4 Item Ledger Entry Type",$C$4,"2 Item No.","@@"&amp;$F2852,"3 Posting Date",J$9)-NL("Sum","5802 Value Entry","43 Cost Amount (Actual)","41 Source Type",$C$5,"5 Source no.",$C2852,"4 Item Ledger Entry Type",$C$4,"2 Item No.","@@"&amp;$F2852,"3 Posting Date",J$9)</t>
  </si>
  <si>
    <t>=J2852-L2852</t>
  </si>
  <si>
    <t>=IF(J2852&lt;&gt;0,M2852/J2852,"")</t>
  </si>
  <si>
    <t>=NL("Sum","5802 Value Entry","150 Sales Amount (Expected)","41 Source Type",$C$5,"5 Source No.",$C2852,"4 Item Ledger Entry Type",$C$4,"2 Item No.","@@"&amp;$F2852,"3 Posting Date",O$9)+NL("Sum","5802 Value Entry","17 Sales Amount (Actual)","41 Source Type",$C$5,"5 Source no.",$C2852,"4 Item Ledger Entry Type",$C$4,"2 Item No.","@@"&amp;$F2852,"3 Posting Date",O$9)</t>
  </si>
  <si>
    <t>=-NL("Sum","5802 Value Entry","151 Cost Amount (Expected)","41 Source Type",$C$5,"5 Source No.",$C2852,"4 Item Ledger Entry Type",$C$4,"2 Item No.","@@"&amp;$F2852,"3 Posting Date",O$9)-NL("Sum","5802 Value Entry","43 Cost Amount (Actual)","41 Source Type",$C$5,"5 Source no.",$C2852,"4 Item Ledger Entry Type",$C$4,"2 Item No.","@@"&amp;$F2852,"3 Posting Date",O$9)</t>
  </si>
  <si>
    <t>=O2852-Q2852</t>
  </si>
  <si>
    <t>=IF(O2852&lt;&gt;0,R2852/O2852,"")</t>
  </si>
  <si>
    <t>=NL("Sum","5802 Value Entry","150 Sales Amount (Expected)","41 Source Type",$C$5,"5 Source No.",$C2852,"4 Item Ledger Entry Type",$C$4,"2 Item No.","@@"&amp;$F2852,"3 Posting Date",U$9)+NL("Sum","5802 Value Entry","17 Sales Amount (Actual)","41 Source Type",$C$5,"5 Source no.",$C2852,"4 Item Ledger Entry Type",$C$4,"2 Item No.","@@"&amp;$F2852,"3 Posting Date",U$9)</t>
  </si>
  <si>
    <t>=-NL("Sum","5802 Value Entry","151 Cost Amount (Expected)","41 Source Type",$C$5,"5 Source No.",$C2852,"4 Item Ledger Entry Type",$C$4,"2 Item No.","@@"&amp;$F2852,"3 Posting Date",U$9)-NL("Sum","5802 Value Entry","43 Cost Amount (Actual)","41 Source Type",$C$5,"5 Source no.",$C2852,"4 Item Ledger Entry Type",$C$4,"2 Item No.","@@"&amp;$F2852,"3 Posting Date",U$9)</t>
  </si>
  <si>
    <t>=U2852-W2852</t>
  </si>
  <si>
    <t>=IF(U2852&lt;&gt;0,X2852/U2852,"")</t>
  </si>
  <si>
    <t>=NL("Sum","5802 Value Entry","150 Sales Amount (Expected)","41 Source Type",$C$5,"5 Source No.",$C2852,"4 Item Ledger Entry Type",$C$4,"2 Item No.","@@"&amp;$F2852,"3 Posting Date",Z$9)+NL("Sum","5802 Value Entry","17 Sales Amount (Actual)","41 Source Type",$C$5,"5 Source no.",$C2852,"4 Item Ledger Entry Type",$C$4,"2 Item No.","@@"&amp;$F2852,"3 Posting Date",Z$9)</t>
  </si>
  <si>
    <t>=-NL("Sum","5802 Value Entry","151 Cost Amount (Expected)","41 Source Type",$C$5,"5 Source No.",$C2852,"4 Item Ledger Entry Type",$C$4,"2 Item No.","@@"&amp;$F2852,"3 Posting Date",Z$9)-NL("Sum","5802 Value Entry","43 Cost Amount (Actual)","41 Source Type",$C$5,"5 Source no.",$C2852,"4 Item Ledger Entry Type",$C$4,"2 Item No.","@@"&amp;$F2852,"3 Posting Date",Z$9)</t>
  </si>
  <si>
    <t>=Z2852-AB2852</t>
  </si>
  <si>
    <t>=IF(Z2852&lt;&gt;0,AC2852/Z2852,"")</t>
  </si>
  <si>
    <t>=C2852</t>
  </si>
  <si>
    <t>=NL("Sum","5802 Value Entry","150 Sales Amount (Expected)","41 Source Type",$C$5,"5 Source No.",$C2853,"4 Item Ledger Entry Type",$C$4,"2 Item No.","@@"&amp;$F2853,"3 Posting Date",J$9)+NL("Sum","5802 Value Entry","17 Sales Amount (Actual)","41 Source Type",$C$5,"5 Source no.",$C2853,"4 Item Ledger Entry Type",$C$4,"2 Item No.","@@"&amp;$F2853,"3 Posting Date",J$9)</t>
  </si>
  <si>
    <t>=-NL("Sum","5802 Value Entry","151 Cost Amount (Expected)","41 Source Type",$C$5,"5 Source No.",$C2853,"4 Item Ledger Entry Type",$C$4,"2 Item No.","@@"&amp;$F2853,"3 Posting Date",J$9)-NL("Sum","5802 Value Entry","43 Cost Amount (Actual)","41 Source Type",$C$5,"5 Source no.",$C2853,"4 Item Ledger Entry Type",$C$4,"2 Item No.","@@"&amp;$F2853,"3 Posting Date",J$9)</t>
  </si>
  <si>
    <t>=J2853-L2853</t>
  </si>
  <si>
    <t>=IF(J2853&lt;&gt;0,M2853/J2853,"")</t>
  </si>
  <si>
    <t>=NL("Sum","5802 Value Entry","150 Sales Amount (Expected)","41 Source Type",$C$5,"5 Source No.",$C2853,"4 Item Ledger Entry Type",$C$4,"2 Item No.","@@"&amp;$F2853,"3 Posting Date",O$9)+NL("Sum","5802 Value Entry","17 Sales Amount (Actual)","41 Source Type",$C$5,"5 Source no.",$C2853,"4 Item Ledger Entry Type",$C$4,"2 Item No.","@@"&amp;$F2853,"3 Posting Date",O$9)</t>
  </si>
  <si>
    <t>=-NL("Sum","5802 Value Entry","151 Cost Amount (Expected)","41 Source Type",$C$5,"5 Source No.",$C2853,"4 Item Ledger Entry Type",$C$4,"2 Item No.","@@"&amp;$F2853,"3 Posting Date",O$9)-NL("Sum","5802 Value Entry","43 Cost Amount (Actual)","41 Source Type",$C$5,"5 Source no.",$C2853,"4 Item Ledger Entry Type",$C$4,"2 Item No.","@@"&amp;$F2853,"3 Posting Date",O$9)</t>
  </si>
  <si>
    <t>=O2853-Q2853</t>
  </si>
  <si>
    <t>=IF(O2853&lt;&gt;0,R2853/O2853,"")</t>
  </si>
  <si>
    <t>=NL("Sum","5802 Value Entry","150 Sales Amount (Expected)","41 Source Type",$C$5,"5 Source No.",$C2853,"4 Item Ledger Entry Type",$C$4,"2 Item No.","@@"&amp;$F2853,"3 Posting Date",U$9)+NL("Sum","5802 Value Entry","17 Sales Amount (Actual)","41 Source Type",$C$5,"5 Source no.",$C2853,"4 Item Ledger Entry Type",$C$4,"2 Item No.","@@"&amp;$F2853,"3 Posting Date",U$9)</t>
  </si>
  <si>
    <t>=-NL("Sum","5802 Value Entry","151 Cost Amount (Expected)","41 Source Type",$C$5,"5 Source No.",$C2853,"4 Item Ledger Entry Type",$C$4,"2 Item No.","@@"&amp;$F2853,"3 Posting Date",U$9)-NL("Sum","5802 Value Entry","43 Cost Amount (Actual)","41 Source Type",$C$5,"5 Source no.",$C2853,"4 Item Ledger Entry Type",$C$4,"2 Item No.","@@"&amp;$F2853,"3 Posting Date",U$9)</t>
  </si>
  <si>
    <t>=U2853-W2853</t>
  </si>
  <si>
    <t>=IF(U2853&lt;&gt;0,X2853/U2853,"")</t>
  </si>
  <si>
    <t>=NL("Sum","5802 Value Entry","150 Sales Amount (Expected)","41 Source Type",$C$5,"5 Source No.",$C2853,"4 Item Ledger Entry Type",$C$4,"2 Item No.","@@"&amp;$F2853,"3 Posting Date",Z$9)+NL("Sum","5802 Value Entry","17 Sales Amount (Actual)","41 Source Type",$C$5,"5 Source no.",$C2853,"4 Item Ledger Entry Type",$C$4,"2 Item No.","@@"&amp;$F2853,"3 Posting Date",Z$9)</t>
  </si>
  <si>
    <t>=-NL("Sum","5802 Value Entry","151 Cost Amount (Expected)","41 Source Type",$C$5,"5 Source No.",$C2853,"4 Item Ledger Entry Type",$C$4,"2 Item No.","@@"&amp;$F2853,"3 Posting Date",Z$9)-NL("Sum","5802 Value Entry","43 Cost Amount (Actual)","41 Source Type",$C$5,"5 Source no.",$C2853,"4 Item Ledger Entry Type",$C$4,"2 Item No.","@@"&amp;$F2853,"3 Posting Date",Z$9)</t>
  </si>
  <si>
    <t>=Z2853-AB2853</t>
  </si>
  <si>
    <t>=IF(Z2853&lt;&gt;0,AC2853/Z2853,"")</t>
  </si>
  <si>
    <t>=C2853</t>
  </si>
  <si>
    <t>=NL("Sum","5802 Value Entry","150 Sales Amount (Expected)","41 Source Type",$C$5,"5 Source No.",$C2854,"4 Item Ledger Entry Type",$C$4,"2 Item No.","@@"&amp;$F2854,"3 Posting Date",J$9)+NL("Sum","5802 Value Entry","17 Sales Amount (Actual)","41 Source Type",$C$5,"5 Source no.",$C2854,"4 Item Ledger Entry Type",$C$4,"2 Item No.","@@"&amp;$F2854,"3 Posting Date",J$9)</t>
  </si>
  <si>
    <t>=-NL("Sum","5802 Value Entry","151 Cost Amount (Expected)","41 Source Type",$C$5,"5 Source No.",$C2854,"4 Item Ledger Entry Type",$C$4,"2 Item No.","@@"&amp;$F2854,"3 Posting Date",J$9)-NL("Sum","5802 Value Entry","43 Cost Amount (Actual)","41 Source Type",$C$5,"5 Source no.",$C2854,"4 Item Ledger Entry Type",$C$4,"2 Item No.","@@"&amp;$F2854,"3 Posting Date",J$9)</t>
  </si>
  <si>
    <t>=J2854-L2854</t>
  </si>
  <si>
    <t>=IF(J2854&lt;&gt;0,M2854/J2854,"")</t>
  </si>
  <si>
    <t>=NL("Sum","5802 Value Entry","150 Sales Amount (Expected)","41 Source Type",$C$5,"5 Source No.",$C2854,"4 Item Ledger Entry Type",$C$4,"2 Item No.","@@"&amp;$F2854,"3 Posting Date",O$9)+NL("Sum","5802 Value Entry","17 Sales Amount (Actual)","41 Source Type",$C$5,"5 Source no.",$C2854,"4 Item Ledger Entry Type",$C$4,"2 Item No.","@@"&amp;$F2854,"3 Posting Date",O$9)</t>
  </si>
  <si>
    <t>=-NL("Sum","5802 Value Entry","151 Cost Amount (Expected)","41 Source Type",$C$5,"5 Source No.",$C2854,"4 Item Ledger Entry Type",$C$4,"2 Item No.","@@"&amp;$F2854,"3 Posting Date",O$9)-NL("Sum","5802 Value Entry","43 Cost Amount (Actual)","41 Source Type",$C$5,"5 Source no.",$C2854,"4 Item Ledger Entry Type",$C$4,"2 Item No.","@@"&amp;$F2854,"3 Posting Date",O$9)</t>
  </si>
  <si>
    <t>=O2854-Q2854</t>
  </si>
  <si>
    <t>=IF(O2854&lt;&gt;0,R2854/O2854,"")</t>
  </si>
  <si>
    <t>=NL("Sum","5802 Value Entry","150 Sales Amount (Expected)","41 Source Type",$C$5,"5 Source No.",$C2854,"4 Item Ledger Entry Type",$C$4,"2 Item No.","@@"&amp;$F2854,"3 Posting Date",U$9)+NL("Sum","5802 Value Entry","17 Sales Amount (Actual)","41 Source Type",$C$5,"5 Source no.",$C2854,"4 Item Ledger Entry Type",$C$4,"2 Item No.","@@"&amp;$F2854,"3 Posting Date",U$9)</t>
  </si>
  <si>
    <t>=-NL("Sum","5802 Value Entry","151 Cost Amount (Expected)","41 Source Type",$C$5,"5 Source No.",$C2854,"4 Item Ledger Entry Type",$C$4,"2 Item No.","@@"&amp;$F2854,"3 Posting Date",U$9)-NL("Sum","5802 Value Entry","43 Cost Amount (Actual)","41 Source Type",$C$5,"5 Source no.",$C2854,"4 Item Ledger Entry Type",$C$4,"2 Item No.","@@"&amp;$F2854,"3 Posting Date",U$9)</t>
  </si>
  <si>
    <t>=U2854-W2854</t>
  </si>
  <si>
    <t>=IF(U2854&lt;&gt;0,X2854/U2854,"")</t>
  </si>
  <si>
    <t>=NL("Sum","5802 Value Entry","150 Sales Amount (Expected)","41 Source Type",$C$5,"5 Source No.",$C2854,"4 Item Ledger Entry Type",$C$4,"2 Item No.","@@"&amp;$F2854,"3 Posting Date",Z$9)+NL("Sum","5802 Value Entry","17 Sales Amount (Actual)","41 Source Type",$C$5,"5 Source no.",$C2854,"4 Item Ledger Entry Type",$C$4,"2 Item No.","@@"&amp;$F2854,"3 Posting Date",Z$9)</t>
  </si>
  <si>
    <t>=-NL("Sum","5802 Value Entry","151 Cost Amount (Expected)","41 Source Type",$C$5,"5 Source No.",$C2854,"4 Item Ledger Entry Type",$C$4,"2 Item No.","@@"&amp;$F2854,"3 Posting Date",Z$9)-NL("Sum","5802 Value Entry","43 Cost Amount (Actual)","41 Source Type",$C$5,"5 Source no.",$C2854,"4 Item Ledger Entry Type",$C$4,"2 Item No.","@@"&amp;$F2854,"3 Posting Date",Z$9)</t>
  </si>
  <si>
    <t>=Z2854-AB2854</t>
  </si>
  <si>
    <t>=IF(Z2854&lt;&gt;0,AC2854/Z2854,"")</t>
  </si>
  <si>
    <t>=C2854</t>
  </si>
  <si>
    <t>=NL("Sum","5802 Value Entry","150 Sales Amount (Expected)","41 Source Type",$C$5,"5 Source No.",$C2855,"4 Item Ledger Entry Type",$C$4,"2 Item No.","@@"&amp;$F2855,"3 Posting Date",J$9)+NL("Sum","5802 Value Entry","17 Sales Amount (Actual)","41 Source Type",$C$5,"5 Source no.",$C2855,"4 Item Ledger Entry Type",$C$4,"2 Item No.","@@"&amp;$F2855,"3 Posting Date",J$9)</t>
  </si>
  <si>
    <t>=-NL("Sum","5802 Value Entry","151 Cost Amount (Expected)","41 Source Type",$C$5,"5 Source No.",$C2855,"4 Item Ledger Entry Type",$C$4,"2 Item No.","@@"&amp;$F2855,"3 Posting Date",J$9)-NL("Sum","5802 Value Entry","43 Cost Amount (Actual)","41 Source Type",$C$5,"5 Source no.",$C2855,"4 Item Ledger Entry Type",$C$4,"2 Item No.","@@"&amp;$F2855,"3 Posting Date",J$9)</t>
  </si>
  <si>
    <t>=J2855-L2855</t>
  </si>
  <si>
    <t>=IF(J2855&lt;&gt;0,M2855/J2855,"")</t>
  </si>
  <si>
    <t>=NL("Sum","5802 Value Entry","150 Sales Amount (Expected)","41 Source Type",$C$5,"5 Source No.",$C2855,"4 Item Ledger Entry Type",$C$4,"2 Item No.","@@"&amp;$F2855,"3 Posting Date",O$9)+NL("Sum","5802 Value Entry","17 Sales Amount (Actual)","41 Source Type",$C$5,"5 Source no.",$C2855,"4 Item Ledger Entry Type",$C$4,"2 Item No.","@@"&amp;$F2855,"3 Posting Date",O$9)</t>
  </si>
  <si>
    <t>=-NL("Sum","5802 Value Entry","151 Cost Amount (Expected)","41 Source Type",$C$5,"5 Source No.",$C2855,"4 Item Ledger Entry Type",$C$4,"2 Item No.","@@"&amp;$F2855,"3 Posting Date",O$9)-NL("Sum","5802 Value Entry","43 Cost Amount (Actual)","41 Source Type",$C$5,"5 Source no.",$C2855,"4 Item Ledger Entry Type",$C$4,"2 Item No.","@@"&amp;$F2855,"3 Posting Date",O$9)</t>
  </si>
  <si>
    <t>=O2855-Q2855</t>
  </si>
  <si>
    <t>=IF(O2855&lt;&gt;0,R2855/O2855,"")</t>
  </si>
  <si>
    <t>=NL("Sum","5802 Value Entry","150 Sales Amount (Expected)","41 Source Type",$C$5,"5 Source No.",$C2855,"4 Item Ledger Entry Type",$C$4,"2 Item No.","@@"&amp;$F2855,"3 Posting Date",U$9)+NL("Sum","5802 Value Entry","17 Sales Amount (Actual)","41 Source Type",$C$5,"5 Source no.",$C2855,"4 Item Ledger Entry Type",$C$4,"2 Item No.","@@"&amp;$F2855,"3 Posting Date",U$9)</t>
  </si>
  <si>
    <t>=-NL("Sum","5802 Value Entry","151 Cost Amount (Expected)","41 Source Type",$C$5,"5 Source No.",$C2855,"4 Item Ledger Entry Type",$C$4,"2 Item No.","@@"&amp;$F2855,"3 Posting Date",U$9)-NL("Sum","5802 Value Entry","43 Cost Amount (Actual)","41 Source Type",$C$5,"5 Source no.",$C2855,"4 Item Ledger Entry Type",$C$4,"2 Item No.","@@"&amp;$F2855,"3 Posting Date",U$9)</t>
  </si>
  <si>
    <t>=U2855-W2855</t>
  </si>
  <si>
    <t>=IF(U2855&lt;&gt;0,X2855/U2855,"")</t>
  </si>
  <si>
    <t>=NL("Sum","5802 Value Entry","150 Sales Amount (Expected)","41 Source Type",$C$5,"5 Source No.",$C2855,"4 Item Ledger Entry Type",$C$4,"2 Item No.","@@"&amp;$F2855,"3 Posting Date",Z$9)+NL("Sum","5802 Value Entry","17 Sales Amount (Actual)","41 Source Type",$C$5,"5 Source no.",$C2855,"4 Item Ledger Entry Type",$C$4,"2 Item No.","@@"&amp;$F2855,"3 Posting Date",Z$9)</t>
  </si>
  <si>
    <t>=-NL("Sum","5802 Value Entry","151 Cost Amount (Expected)","41 Source Type",$C$5,"5 Source No.",$C2855,"4 Item Ledger Entry Type",$C$4,"2 Item No.","@@"&amp;$F2855,"3 Posting Date",Z$9)-NL("Sum","5802 Value Entry","43 Cost Amount (Actual)","41 Source Type",$C$5,"5 Source no.",$C2855,"4 Item Ledger Entry Type",$C$4,"2 Item No.","@@"&amp;$F2855,"3 Posting Date",Z$9)</t>
  </si>
  <si>
    <t>=Z2855-AB2855</t>
  </si>
  <si>
    <t>=IF(Z2855&lt;&gt;0,AC2855/Z2855,"")</t>
  </si>
  <si>
    <t>=C2855</t>
  </si>
  <si>
    <t>=NL("Sum","5802 Value Entry","150 Sales Amount (Expected)","41 Source Type",$C$5,"5 Source No.",$C2856,"4 Item Ledger Entry Type",$C$4,"2 Item No.","@@"&amp;$F2856,"3 Posting Date",J$9)+NL("Sum","5802 Value Entry","17 Sales Amount (Actual)","41 Source Type",$C$5,"5 Source no.",$C2856,"4 Item Ledger Entry Type",$C$4,"2 Item No.","@@"&amp;$F2856,"3 Posting Date",J$9)</t>
  </si>
  <si>
    <t>=-NL("Sum","5802 Value Entry","151 Cost Amount (Expected)","41 Source Type",$C$5,"5 Source No.",$C2856,"4 Item Ledger Entry Type",$C$4,"2 Item No.","@@"&amp;$F2856,"3 Posting Date",J$9)-NL("Sum","5802 Value Entry","43 Cost Amount (Actual)","41 Source Type",$C$5,"5 Source no.",$C2856,"4 Item Ledger Entry Type",$C$4,"2 Item No.","@@"&amp;$F2856,"3 Posting Date",J$9)</t>
  </si>
  <si>
    <t>=J2856-L2856</t>
  </si>
  <si>
    <t>=IF(J2856&lt;&gt;0,M2856/J2856,"")</t>
  </si>
  <si>
    <t>=NL("Sum","5802 Value Entry","150 Sales Amount (Expected)","41 Source Type",$C$5,"5 Source No.",$C2856,"4 Item Ledger Entry Type",$C$4,"2 Item No.","@@"&amp;$F2856,"3 Posting Date",O$9)+NL("Sum","5802 Value Entry","17 Sales Amount (Actual)","41 Source Type",$C$5,"5 Source no.",$C2856,"4 Item Ledger Entry Type",$C$4,"2 Item No.","@@"&amp;$F2856,"3 Posting Date",O$9)</t>
  </si>
  <si>
    <t>=-NL("Sum","5802 Value Entry","151 Cost Amount (Expected)","41 Source Type",$C$5,"5 Source No.",$C2856,"4 Item Ledger Entry Type",$C$4,"2 Item No.","@@"&amp;$F2856,"3 Posting Date",O$9)-NL("Sum","5802 Value Entry","43 Cost Amount (Actual)","41 Source Type",$C$5,"5 Source no.",$C2856,"4 Item Ledger Entry Type",$C$4,"2 Item No.","@@"&amp;$F2856,"3 Posting Date",O$9)</t>
  </si>
  <si>
    <t>=O2856-Q2856</t>
  </si>
  <si>
    <t>=IF(O2856&lt;&gt;0,R2856/O2856,"")</t>
  </si>
  <si>
    <t>=NL("Sum","5802 Value Entry","150 Sales Amount (Expected)","41 Source Type",$C$5,"5 Source No.",$C2856,"4 Item Ledger Entry Type",$C$4,"2 Item No.","@@"&amp;$F2856,"3 Posting Date",U$9)+NL("Sum","5802 Value Entry","17 Sales Amount (Actual)","41 Source Type",$C$5,"5 Source no.",$C2856,"4 Item Ledger Entry Type",$C$4,"2 Item No.","@@"&amp;$F2856,"3 Posting Date",U$9)</t>
  </si>
  <si>
    <t>=-NL("Sum","5802 Value Entry","151 Cost Amount (Expected)","41 Source Type",$C$5,"5 Source No.",$C2856,"4 Item Ledger Entry Type",$C$4,"2 Item No.","@@"&amp;$F2856,"3 Posting Date",U$9)-NL("Sum","5802 Value Entry","43 Cost Amount (Actual)","41 Source Type",$C$5,"5 Source no.",$C2856,"4 Item Ledger Entry Type",$C$4,"2 Item No.","@@"&amp;$F2856,"3 Posting Date",U$9)</t>
  </si>
  <si>
    <t>=U2856-W2856</t>
  </si>
  <si>
    <t>=IF(U2856&lt;&gt;0,X2856/U2856,"")</t>
  </si>
  <si>
    <t>=NL("Sum","5802 Value Entry","150 Sales Amount (Expected)","41 Source Type",$C$5,"5 Source No.",$C2856,"4 Item Ledger Entry Type",$C$4,"2 Item No.","@@"&amp;$F2856,"3 Posting Date",Z$9)+NL("Sum","5802 Value Entry","17 Sales Amount (Actual)","41 Source Type",$C$5,"5 Source no.",$C2856,"4 Item Ledger Entry Type",$C$4,"2 Item No.","@@"&amp;$F2856,"3 Posting Date",Z$9)</t>
  </si>
  <si>
    <t>=-NL("Sum","5802 Value Entry","151 Cost Amount (Expected)","41 Source Type",$C$5,"5 Source No.",$C2856,"4 Item Ledger Entry Type",$C$4,"2 Item No.","@@"&amp;$F2856,"3 Posting Date",Z$9)-NL("Sum","5802 Value Entry","43 Cost Amount (Actual)","41 Source Type",$C$5,"5 Source no.",$C2856,"4 Item Ledger Entry Type",$C$4,"2 Item No.","@@"&amp;$F2856,"3 Posting Date",Z$9)</t>
  </si>
  <si>
    <t>=Z2856-AB2856</t>
  </si>
  <si>
    <t>=IF(Z2856&lt;&gt;0,AC2856/Z2856,"")</t>
  </si>
  <si>
    <t>=C2856</t>
  </si>
  <si>
    <t>=NL("Sum","5802 Value Entry","150 Sales Amount (Expected)","41 Source Type",$C$5,"5 Source No.",$C2857,"4 Item Ledger Entry Type",$C$4,"2 Item No.","@@"&amp;$F2857,"3 Posting Date",J$9)+NL("Sum","5802 Value Entry","17 Sales Amount (Actual)","41 Source Type",$C$5,"5 Source no.",$C2857,"4 Item Ledger Entry Type",$C$4,"2 Item No.","@@"&amp;$F2857,"3 Posting Date",J$9)</t>
  </si>
  <si>
    <t>=-NL("Sum","5802 Value Entry","151 Cost Amount (Expected)","41 Source Type",$C$5,"5 Source No.",$C2857,"4 Item Ledger Entry Type",$C$4,"2 Item No.","@@"&amp;$F2857,"3 Posting Date",J$9)-NL("Sum","5802 Value Entry","43 Cost Amount (Actual)","41 Source Type",$C$5,"5 Source no.",$C2857,"4 Item Ledger Entry Type",$C$4,"2 Item No.","@@"&amp;$F2857,"3 Posting Date",J$9)</t>
  </si>
  <si>
    <t>=J2857-L2857</t>
  </si>
  <si>
    <t>=IF(J2857&lt;&gt;0,M2857/J2857,"")</t>
  </si>
  <si>
    <t>=NL("Sum","5802 Value Entry","150 Sales Amount (Expected)","41 Source Type",$C$5,"5 Source No.",$C2857,"4 Item Ledger Entry Type",$C$4,"2 Item No.","@@"&amp;$F2857,"3 Posting Date",O$9)+NL("Sum","5802 Value Entry","17 Sales Amount (Actual)","41 Source Type",$C$5,"5 Source no.",$C2857,"4 Item Ledger Entry Type",$C$4,"2 Item No.","@@"&amp;$F2857,"3 Posting Date",O$9)</t>
  </si>
  <si>
    <t>=-NL("Sum","5802 Value Entry","151 Cost Amount (Expected)","41 Source Type",$C$5,"5 Source No.",$C2857,"4 Item Ledger Entry Type",$C$4,"2 Item No.","@@"&amp;$F2857,"3 Posting Date",O$9)-NL("Sum","5802 Value Entry","43 Cost Amount (Actual)","41 Source Type",$C$5,"5 Source no.",$C2857,"4 Item Ledger Entry Type",$C$4,"2 Item No.","@@"&amp;$F2857,"3 Posting Date",O$9)</t>
  </si>
  <si>
    <t>=O2857-Q2857</t>
  </si>
  <si>
    <t>=IF(O2857&lt;&gt;0,R2857/O2857,"")</t>
  </si>
  <si>
    <t>=NL("Sum","5802 Value Entry","150 Sales Amount (Expected)","41 Source Type",$C$5,"5 Source No.",$C2857,"4 Item Ledger Entry Type",$C$4,"2 Item No.","@@"&amp;$F2857,"3 Posting Date",U$9)+NL("Sum","5802 Value Entry","17 Sales Amount (Actual)","41 Source Type",$C$5,"5 Source no.",$C2857,"4 Item Ledger Entry Type",$C$4,"2 Item No.","@@"&amp;$F2857,"3 Posting Date",U$9)</t>
  </si>
  <si>
    <t>=-NL("Sum","5802 Value Entry","151 Cost Amount (Expected)","41 Source Type",$C$5,"5 Source No.",$C2857,"4 Item Ledger Entry Type",$C$4,"2 Item No.","@@"&amp;$F2857,"3 Posting Date",U$9)-NL("Sum","5802 Value Entry","43 Cost Amount (Actual)","41 Source Type",$C$5,"5 Source no.",$C2857,"4 Item Ledger Entry Type",$C$4,"2 Item No.","@@"&amp;$F2857,"3 Posting Date",U$9)</t>
  </si>
  <si>
    <t>=U2857-W2857</t>
  </si>
  <si>
    <t>=IF(U2857&lt;&gt;0,X2857/U2857,"")</t>
  </si>
  <si>
    <t>=NL("Sum","5802 Value Entry","150 Sales Amount (Expected)","41 Source Type",$C$5,"5 Source No.",$C2857,"4 Item Ledger Entry Type",$C$4,"2 Item No.","@@"&amp;$F2857,"3 Posting Date",Z$9)+NL("Sum","5802 Value Entry","17 Sales Amount (Actual)","41 Source Type",$C$5,"5 Source no.",$C2857,"4 Item Ledger Entry Type",$C$4,"2 Item No.","@@"&amp;$F2857,"3 Posting Date",Z$9)</t>
  </si>
  <si>
    <t>=-NL("Sum","5802 Value Entry","151 Cost Amount (Expected)","41 Source Type",$C$5,"5 Source No.",$C2857,"4 Item Ledger Entry Type",$C$4,"2 Item No.","@@"&amp;$F2857,"3 Posting Date",Z$9)-NL("Sum","5802 Value Entry","43 Cost Amount (Actual)","41 Source Type",$C$5,"5 Source no.",$C2857,"4 Item Ledger Entry Type",$C$4,"2 Item No.","@@"&amp;$F2857,"3 Posting Date",Z$9)</t>
  </si>
  <si>
    <t>=Z2857-AB2857</t>
  </si>
  <si>
    <t>=IF(Z2857&lt;&gt;0,AC2857/Z2857,"")</t>
  </si>
  <si>
    <t>=C2857</t>
  </si>
  <si>
    <t>=NL("Sum","5802 Value Entry","150 Sales Amount (Expected)","41 Source Type",$C$5,"5 Source No.",$C2858,"4 Item Ledger Entry Type",$C$4,"2 Item No.","@@"&amp;$F2858,"3 Posting Date",J$9)+NL("Sum","5802 Value Entry","17 Sales Amount (Actual)","41 Source Type",$C$5,"5 Source no.",$C2858,"4 Item Ledger Entry Type",$C$4,"2 Item No.","@@"&amp;$F2858,"3 Posting Date",J$9)</t>
  </si>
  <si>
    <t>=-NL("Sum","5802 Value Entry","151 Cost Amount (Expected)","41 Source Type",$C$5,"5 Source No.",$C2858,"4 Item Ledger Entry Type",$C$4,"2 Item No.","@@"&amp;$F2858,"3 Posting Date",J$9)-NL("Sum","5802 Value Entry","43 Cost Amount (Actual)","41 Source Type",$C$5,"5 Source no.",$C2858,"4 Item Ledger Entry Type",$C$4,"2 Item No.","@@"&amp;$F2858,"3 Posting Date",J$9)</t>
  </si>
  <si>
    <t>=J2858-L2858</t>
  </si>
  <si>
    <t>=IF(J2858&lt;&gt;0,M2858/J2858,"")</t>
  </si>
  <si>
    <t>=NL("Sum","5802 Value Entry","150 Sales Amount (Expected)","41 Source Type",$C$5,"5 Source No.",$C2858,"4 Item Ledger Entry Type",$C$4,"2 Item No.","@@"&amp;$F2858,"3 Posting Date",O$9)+NL("Sum","5802 Value Entry","17 Sales Amount (Actual)","41 Source Type",$C$5,"5 Source no.",$C2858,"4 Item Ledger Entry Type",$C$4,"2 Item No.","@@"&amp;$F2858,"3 Posting Date",O$9)</t>
  </si>
  <si>
    <t>=-NL("Sum","5802 Value Entry","151 Cost Amount (Expected)","41 Source Type",$C$5,"5 Source No.",$C2858,"4 Item Ledger Entry Type",$C$4,"2 Item No.","@@"&amp;$F2858,"3 Posting Date",O$9)-NL("Sum","5802 Value Entry","43 Cost Amount (Actual)","41 Source Type",$C$5,"5 Source no.",$C2858,"4 Item Ledger Entry Type",$C$4,"2 Item No.","@@"&amp;$F2858,"3 Posting Date",O$9)</t>
  </si>
  <si>
    <t>=O2858-Q2858</t>
  </si>
  <si>
    <t>=IF(O2858&lt;&gt;0,R2858/O2858,"")</t>
  </si>
  <si>
    <t>=NL("Sum","5802 Value Entry","150 Sales Amount (Expected)","41 Source Type",$C$5,"5 Source No.",$C2858,"4 Item Ledger Entry Type",$C$4,"2 Item No.","@@"&amp;$F2858,"3 Posting Date",U$9)+NL("Sum","5802 Value Entry","17 Sales Amount (Actual)","41 Source Type",$C$5,"5 Source no.",$C2858,"4 Item Ledger Entry Type",$C$4,"2 Item No.","@@"&amp;$F2858,"3 Posting Date",U$9)</t>
  </si>
  <si>
    <t>=-NL("Sum","5802 Value Entry","151 Cost Amount (Expected)","41 Source Type",$C$5,"5 Source No.",$C2858,"4 Item Ledger Entry Type",$C$4,"2 Item No.","@@"&amp;$F2858,"3 Posting Date",U$9)-NL("Sum","5802 Value Entry","43 Cost Amount (Actual)","41 Source Type",$C$5,"5 Source no.",$C2858,"4 Item Ledger Entry Type",$C$4,"2 Item No.","@@"&amp;$F2858,"3 Posting Date",U$9)</t>
  </si>
  <si>
    <t>=U2858-W2858</t>
  </si>
  <si>
    <t>=IF(U2858&lt;&gt;0,X2858/U2858,"")</t>
  </si>
  <si>
    <t>=NL("Sum","5802 Value Entry","150 Sales Amount (Expected)","41 Source Type",$C$5,"5 Source No.",$C2858,"4 Item Ledger Entry Type",$C$4,"2 Item No.","@@"&amp;$F2858,"3 Posting Date",Z$9)+NL("Sum","5802 Value Entry","17 Sales Amount (Actual)","41 Source Type",$C$5,"5 Source no.",$C2858,"4 Item Ledger Entry Type",$C$4,"2 Item No.","@@"&amp;$F2858,"3 Posting Date",Z$9)</t>
  </si>
  <si>
    <t>=-NL("Sum","5802 Value Entry","151 Cost Amount (Expected)","41 Source Type",$C$5,"5 Source No.",$C2858,"4 Item Ledger Entry Type",$C$4,"2 Item No.","@@"&amp;$F2858,"3 Posting Date",Z$9)-NL("Sum","5802 Value Entry","43 Cost Amount (Actual)","41 Source Type",$C$5,"5 Source no.",$C2858,"4 Item Ledger Entry Type",$C$4,"2 Item No.","@@"&amp;$F2858,"3 Posting Date",Z$9)</t>
  </si>
  <si>
    <t>=Z2858-AB2858</t>
  </si>
  <si>
    <t>=IF(Z2858&lt;&gt;0,AC2858/Z2858,"")</t>
  </si>
  <si>
    <t>=C2858</t>
  </si>
  <si>
    <t>=NL("Sum","5802 Value Entry","150 Sales Amount (Expected)","41 Source Type",$C$5,"5 Source No.",$C2859,"4 Item Ledger Entry Type",$C$4,"2 Item No.","@@"&amp;$F2859,"3 Posting Date",J$9)+NL("Sum","5802 Value Entry","17 Sales Amount (Actual)","41 Source Type",$C$5,"5 Source no.",$C2859,"4 Item Ledger Entry Type",$C$4,"2 Item No.","@@"&amp;$F2859,"3 Posting Date",J$9)</t>
  </si>
  <si>
    <t>=-NL("Sum","5802 Value Entry","151 Cost Amount (Expected)","41 Source Type",$C$5,"5 Source No.",$C2859,"4 Item Ledger Entry Type",$C$4,"2 Item No.","@@"&amp;$F2859,"3 Posting Date",J$9)-NL("Sum","5802 Value Entry","43 Cost Amount (Actual)","41 Source Type",$C$5,"5 Source no.",$C2859,"4 Item Ledger Entry Type",$C$4,"2 Item No.","@@"&amp;$F2859,"3 Posting Date",J$9)</t>
  </si>
  <si>
    <t>=J2859-L2859</t>
  </si>
  <si>
    <t>=IF(J2859&lt;&gt;0,M2859/J2859,"")</t>
  </si>
  <si>
    <t>=NL("Sum","5802 Value Entry","150 Sales Amount (Expected)","41 Source Type",$C$5,"5 Source No.",$C2859,"4 Item Ledger Entry Type",$C$4,"2 Item No.","@@"&amp;$F2859,"3 Posting Date",O$9)+NL("Sum","5802 Value Entry","17 Sales Amount (Actual)","41 Source Type",$C$5,"5 Source no.",$C2859,"4 Item Ledger Entry Type",$C$4,"2 Item No.","@@"&amp;$F2859,"3 Posting Date",O$9)</t>
  </si>
  <si>
    <t>=-NL("Sum","5802 Value Entry","151 Cost Amount (Expected)","41 Source Type",$C$5,"5 Source No.",$C2859,"4 Item Ledger Entry Type",$C$4,"2 Item No.","@@"&amp;$F2859,"3 Posting Date",O$9)-NL("Sum","5802 Value Entry","43 Cost Amount (Actual)","41 Source Type",$C$5,"5 Source no.",$C2859,"4 Item Ledger Entry Type",$C$4,"2 Item No.","@@"&amp;$F2859,"3 Posting Date",O$9)</t>
  </si>
  <si>
    <t>=O2859-Q2859</t>
  </si>
  <si>
    <t>=IF(O2859&lt;&gt;0,R2859/O2859,"")</t>
  </si>
  <si>
    <t>=NL("Sum","5802 Value Entry","150 Sales Amount (Expected)","41 Source Type",$C$5,"5 Source No.",$C2859,"4 Item Ledger Entry Type",$C$4,"2 Item No.","@@"&amp;$F2859,"3 Posting Date",U$9)+NL("Sum","5802 Value Entry","17 Sales Amount (Actual)","41 Source Type",$C$5,"5 Source no.",$C2859,"4 Item Ledger Entry Type",$C$4,"2 Item No.","@@"&amp;$F2859,"3 Posting Date",U$9)</t>
  </si>
  <si>
    <t>=-NL("Sum","5802 Value Entry","151 Cost Amount (Expected)","41 Source Type",$C$5,"5 Source No.",$C2859,"4 Item Ledger Entry Type",$C$4,"2 Item No.","@@"&amp;$F2859,"3 Posting Date",U$9)-NL("Sum","5802 Value Entry","43 Cost Amount (Actual)","41 Source Type",$C$5,"5 Source no.",$C2859,"4 Item Ledger Entry Type",$C$4,"2 Item No.","@@"&amp;$F2859,"3 Posting Date",U$9)</t>
  </si>
  <si>
    <t>=U2859-W2859</t>
  </si>
  <si>
    <t>=IF(U2859&lt;&gt;0,X2859/U2859,"")</t>
  </si>
  <si>
    <t>=NL("Sum","5802 Value Entry","150 Sales Amount (Expected)","41 Source Type",$C$5,"5 Source No.",$C2859,"4 Item Ledger Entry Type",$C$4,"2 Item No.","@@"&amp;$F2859,"3 Posting Date",Z$9)+NL("Sum","5802 Value Entry","17 Sales Amount (Actual)","41 Source Type",$C$5,"5 Source no.",$C2859,"4 Item Ledger Entry Type",$C$4,"2 Item No.","@@"&amp;$F2859,"3 Posting Date",Z$9)</t>
  </si>
  <si>
    <t>=-NL("Sum","5802 Value Entry","151 Cost Amount (Expected)","41 Source Type",$C$5,"5 Source No.",$C2859,"4 Item Ledger Entry Type",$C$4,"2 Item No.","@@"&amp;$F2859,"3 Posting Date",Z$9)-NL("Sum","5802 Value Entry","43 Cost Amount (Actual)","41 Source Type",$C$5,"5 Source no.",$C2859,"4 Item Ledger Entry Type",$C$4,"2 Item No.","@@"&amp;$F2859,"3 Posting Date",Z$9)</t>
  </si>
  <si>
    <t>=Z2859-AB2859</t>
  </si>
  <si>
    <t>=IF(Z2859&lt;&gt;0,AC2859/Z2859,"")</t>
  </si>
  <si>
    <t>=C2859</t>
  </si>
  <si>
    <t>=NL("Sum","5802 Value Entry","150 Sales Amount (Expected)","41 Source Type",$C$5,"5 Source No.",$C2860,"4 Item Ledger Entry Type",$C$4,"2 Item No.","@@"&amp;$F2860,"3 Posting Date",J$9)+NL("Sum","5802 Value Entry","17 Sales Amount (Actual)","41 Source Type",$C$5,"5 Source no.",$C2860,"4 Item Ledger Entry Type",$C$4,"2 Item No.","@@"&amp;$F2860,"3 Posting Date",J$9)</t>
  </si>
  <si>
    <t>=-NL("Sum","5802 Value Entry","151 Cost Amount (Expected)","41 Source Type",$C$5,"5 Source No.",$C2860,"4 Item Ledger Entry Type",$C$4,"2 Item No.","@@"&amp;$F2860,"3 Posting Date",J$9)-NL("Sum","5802 Value Entry","43 Cost Amount (Actual)","41 Source Type",$C$5,"5 Source no.",$C2860,"4 Item Ledger Entry Type",$C$4,"2 Item No.","@@"&amp;$F2860,"3 Posting Date",J$9)</t>
  </si>
  <si>
    <t>=J2860-L2860</t>
  </si>
  <si>
    <t>=IF(J2860&lt;&gt;0,M2860/J2860,"")</t>
  </si>
  <si>
    <t>=NL("Sum","5802 Value Entry","150 Sales Amount (Expected)","41 Source Type",$C$5,"5 Source No.",$C2860,"4 Item Ledger Entry Type",$C$4,"2 Item No.","@@"&amp;$F2860,"3 Posting Date",O$9)+NL("Sum","5802 Value Entry","17 Sales Amount (Actual)","41 Source Type",$C$5,"5 Source no.",$C2860,"4 Item Ledger Entry Type",$C$4,"2 Item No.","@@"&amp;$F2860,"3 Posting Date",O$9)</t>
  </si>
  <si>
    <t>=-NL("Sum","5802 Value Entry","151 Cost Amount (Expected)","41 Source Type",$C$5,"5 Source No.",$C2860,"4 Item Ledger Entry Type",$C$4,"2 Item No.","@@"&amp;$F2860,"3 Posting Date",O$9)-NL("Sum","5802 Value Entry","43 Cost Amount (Actual)","41 Source Type",$C$5,"5 Source no.",$C2860,"4 Item Ledger Entry Type",$C$4,"2 Item No.","@@"&amp;$F2860,"3 Posting Date",O$9)</t>
  </si>
  <si>
    <t>=O2860-Q2860</t>
  </si>
  <si>
    <t>=IF(O2860&lt;&gt;0,R2860/O2860,"")</t>
  </si>
  <si>
    <t>=NL("Sum","5802 Value Entry","150 Sales Amount (Expected)","41 Source Type",$C$5,"5 Source No.",$C2860,"4 Item Ledger Entry Type",$C$4,"2 Item No.","@@"&amp;$F2860,"3 Posting Date",U$9)+NL("Sum","5802 Value Entry","17 Sales Amount (Actual)","41 Source Type",$C$5,"5 Source no.",$C2860,"4 Item Ledger Entry Type",$C$4,"2 Item No.","@@"&amp;$F2860,"3 Posting Date",U$9)</t>
  </si>
  <si>
    <t>=-NL("Sum","5802 Value Entry","151 Cost Amount (Expected)","41 Source Type",$C$5,"5 Source No.",$C2860,"4 Item Ledger Entry Type",$C$4,"2 Item No.","@@"&amp;$F2860,"3 Posting Date",U$9)-NL("Sum","5802 Value Entry","43 Cost Amount (Actual)","41 Source Type",$C$5,"5 Source no.",$C2860,"4 Item Ledger Entry Type",$C$4,"2 Item No.","@@"&amp;$F2860,"3 Posting Date",U$9)</t>
  </si>
  <si>
    <t>=U2860-W2860</t>
  </si>
  <si>
    <t>=IF(U2860&lt;&gt;0,X2860/U2860,"")</t>
  </si>
  <si>
    <t>=NL("Sum","5802 Value Entry","150 Sales Amount (Expected)","41 Source Type",$C$5,"5 Source No.",$C2860,"4 Item Ledger Entry Type",$C$4,"2 Item No.","@@"&amp;$F2860,"3 Posting Date",Z$9)+NL("Sum","5802 Value Entry","17 Sales Amount (Actual)","41 Source Type",$C$5,"5 Source no.",$C2860,"4 Item Ledger Entry Type",$C$4,"2 Item No.","@@"&amp;$F2860,"3 Posting Date",Z$9)</t>
  </si>
  <si>
    <t>=-NL("Sum","5802 Value Entry","151 Cost Amount (Expected)","41 Source Type",$C$5,"5 Source No.",$C2860,"4 Item Ledger Entry Type",$C$4,"2 Item No.","@@"&amp;$F2860,"3 Posting Date",Z$9)-NL("Sum","5802 Value Entry","43 Cost Amount (Actual)","41 Source Type",$C$5,"5 Source no.",$C2860,"4 Item Ledger Entry Type",$C$4,"2 Item No.","@@"&amp;$F2860,"3 Posting Date",Z$9)</t>
  </si>
  <si>
    <t>=Z2860-AB2860</t>
  </si>
  <si>
    <t>=IF(Z2860&lt;&gt;0,AC2860/Z2860,"")</t>
  </si>
  <si>
    <t>=C2860</t>
  </si>
  <si>
    <t>=NL("Sum","5802 Value Entry","150 Sales Amount (Expected)","41 Source Type",$C$5,"5 Source No.",$C2861,"4 Item Ledger Entry Type",$C$4,"2 Item No.","@@"&amp;$F2861,"3 Posting Date",J$9)+NL("Sum","5802 Value Entry","17 Sales Amount (Actual)","41 Source Type",$C$5,"5 Source no.",$C2861,"4 Item Ledger Entry Type",$C$4,"2 Item No.","@@"&amp;$F2861,"3 Posting Date",J$9)</t>
  </si>
  <si>
    <t>=-NL("Sum","5802 Value Entry","151 Cost Amount (Expected)","41 Source Type",$C$5,"5 Source No.",$C2861,"4 Item Ledger Entry Type",$C$4,"2 Item No.","@@"&amp;$F2861,"3 Posting Date",J$9)-NL("Sum","5802 Value Entry","43 Cost Amount (Actual)","41 Source Type",$C$5,"5 Source no.",$C2861,"4 Item Ledger Entry Type",$C$4,"2 Item No.","@@"&amp;$F2861,"3 Posting Date",J$9)</t>
  </si>
  <si>
    <t>=J2861-L2861</t>
  </si>
  <si>
    <t>=IF(J2861&lt;&gt;0,M2861/J2861,"")</t>
  </si>
  <si>
    <t>=NL("Sum","5802 Value Entry","150 Sales Amount (Expected)","41 Source Type",$C$5,"5 Source No.",$C2861,"4 Item Ledger Entry Type",$C$4,"2 Item No.","@@"&amp;$F2861,"3 Posting Date",O$9)+NL("Sum","5802 Value Entry","17 Sales Amount (Actual)","41 Source Type",$C$5,"5 Source no.",$C2861,"4 Item Ledger Entry Type",$C$4,"2 Item No.","@@"&amp;$F2861,"3 Posting Date",O$9)</t>
  </si>
  <si>
    <t>=-NL("Sum","5802 Value Entry","151 Cost Amount (Expected)","41 Source Type",$C$5,"5 Source No.",$C2861,"4 Item Ledger Entry Type",$C$4,"2 Item No.","@@"&amp;$F2861,"3 Posting Date",O$9)-NL("Sum","5802 Value Entry","43 Cost Amount (Actual)","41 Source Type",$C$5,"5 Source no.",$C2861,"4 Item Ledger Entry Type",$C$4,"2 Item No.","@@"&amp;$F2861,"3 Posting Date",O$9)</t>
  </si>
  <si>
    <t>=O2861-Q2861</t>
  </si>
  <si>
    <t>=IF(O2861&lt;&gt;0,R2861/O2861,"")</t>
  </si>
  <si>
    <t>=NL("Sum","5802 Value Entry","150 Sales Amount (Expected)","41 Source Type",$C$5,"5 Source No.",$C2861,"4 Item Ledger Entry Type",$C$4,"2 Item No.","@@"&amp;$F2861,"3 Posting Date",U$9)+NL("Sum","5802 Value Entry","17 Sales Amount (Actual)","41 Source Type",$C$5,"5 Source no.",$C2861,"4 Item Ledger Entry Type",$C$4,"2 Item No.","@@"&amp;$F2861,"3 Posting Date",U$9)</t>
  </si>
  <si>
    <t>=-NL("Sum","5802 Value Entry","151 Cost Amount (Expected)","41 Source Type",$C$5,"5 Source No.",$C2861,"4 Item Ledger Entry Type",$C$4,"2 Item No.","@@"&amp;$F2861,"3 Posting Date",U$9)-NL("Sum","5802 Value Entry","43 Cost Amount (Actual)","41 Source Type",$C$5,"5 Source no.",$C2861,"4 Item Ledger Entry Type",$C$4,"2 Item No.","@@"&amp;$F2861,"3 Posting Date",U$9)</t>
  </si>
  <si>
    <t>=U2861-W2861</t>
  </si>
  <si>
    <t>=IF(U2861&lt;&gt;0,X2861/U2861,"")</t>
  </si>
  <si>
    <t>=NL("Sum","5802 Value Entry","150 Sales Amount (Expected)","41 Source Type",$C$5,"5 Source No.",$C2861,"4 Item Ledger Entry Type",$C$4,"2 Item No.","@@"&amp;$F2861,"3 Posting Date",Z$9)+NL("Sum","5802 Value Entry","17 Sales Amount (Actual)","41 Source Type",$C$5,"5 Source no.",$C2861,"4 Item Ledger Entry Type",$C$4,"2 Item No.","@@"&amp;$F2861,"3 Posting Date",Z$9)</t>
  </si>
  <si>
    <t>=-NL("Sum","5802 Value Entry","151 Cost Amount (Expected)","41 Source Type",$C$5,"5 Source No.",$C2861,"4 Item Ledger Entry Type",$C$4,"2 Item No.","@@"&amp;$F2861,"3 Posting Date",Z$9)-NL("Sum","5802 Value Entry","43 Cost Amount (Actual)","41 Source Type",$C$5,"5 Source no.",$C2861,"4 Item Ledger Entry Type",$C$4,"2 Item No.","@@"&amp;$F2861,"3 Posting Date",Z$9)</t>
  </si>
  <si>
    <t>=Z2861-AB2861</t>
  </si>
  <si>
    <t>=IF(Z2861&lt;&gt;0,AC2861/Z2861,"")</t>
  </si>
  <si>
    <t>=C2861</t>
  </si>
  <si>
    <t>=NL("Sum","5802 Value Entry","150 Sales Amount (Expected)","41 Source Type",$C$5,"5 Source No.",$C2862,"4 Item Ledger Entry Type",$C$4,"2 Item No.","@@"&amp;$F2862,"3 Posting Date",J$9)+NL("Sum","5802 Value Entry","17 Sales Amount (Actual)","41 Source Type",$C$5,"5 Source no.",$C2862,"4 Item Ledger Entry Type",$C$4,"2 Item No.","@@"&amp;$F2862,"3 Posting Date",J$9)</t>
  </si>
  <si>
    <t>=-NL("Sum","5802 Value Entry","151 Cost Amount (Expected)","41 Source Type",$C$5,"5 Source No.",$C2862,"4 Item Ledger Entry Type",$C$4,"2 Item No.","@@"&amp;$F2862,"3 Posting Date",J$9)-NL("Sum","5802 Value Entry","43 Cost Amount (Actual)","41 Source Type",$C$5,"5 Source no.",$C2862,"4 Item Ledger Entry Type",$C$4,"2 Item No.","@@"&amp;$F2862,"3 Posting Date",J$9)</t>
  </si>
  <si>
    <t>=J2862-L2862</t>
  </si>
  <si>
    <t>=IF(J2862&lt;&gt;0,M2862/J2862,"")</t>
  </si>
  <si>
    <t>=NL("Sum","5802 Value Entry","150 Sales Amount (Expected)","41 Source Type",$C$5,"5 Source No.",$C2862,"4 Item Ledger Entry Type",$C$4,"2 Item No.","@@"&amp;$F2862,"3 Posting Date",O$9)+NL("Sum","5802 Value Entry","17 Sales Amount (Actual)","41 Source Type",$C$5,"5 Source no.",$C2862,"4 Item Ledger Entry Type",$C$4,"2 Item No.","@@"&amp;$F2862,"3 Posting Date",O$9)</t>
  </si>
  <si>
    <t>=-NL("Sum","5802 Value Entry","151 Cost Amount (Expected)","41 Source Type",$C$5,"5 Source No.",$C2862,"4 Item Ledger Entry Type",$C$4,"2 Item No.","@@"&amp;$F2862,"3 Posting Date",O$9)-NL("Sum","5802 Value Entry","43 Cost Amount (Actual)","41 Source Type",$C$5,"5 Source no.",$C2862,"4 Item Ledger Entry Type",$C$4,"2 Item No.","@@"&amp;$F2862,"3 Posting Date",O$9)</t>
  </si>
  <si>
    <t>=O2862-Q2862</t>
  </si>
  <si>
    <t>=IF(O2862&lt;&gt;0,R2862/O2862,"")</t>
  </si>
  <si>
    <t>=NL("Sum","5802 Value Entry","150 Sales Amount (Expected)","41 Source Type",$C$5,"5 Source No.",$C2862,"4 Item Ledger Entry Type",$C$4,"2 Item No.","@@"&amp;$F2862,"3 Posting Date",U$9)+NL("Sum","5802 Value Entry","17 Sales Amount (Actual)","41 Source Type",$C$5,"5 Source no.",$C2862,"4 Item Ledger Entry Type",$C$4,"2 Item No.","@@"&amp;$F2862,"3 Posting Date",U$9)</t>
  </si>
  <si>
    <t>=-NL("Sum","5802 Value Entry","151 Cost Amount (Expected)","41 Source Type",$C$5,"5 Source No.",$C2862,"4 Item Ledger Entry Type",$C$4,"2 Item No.","@@"&amp;$F2862,"3 Posting Date",U$9)-NL("Sum","5802 Value Entry","43 Cost Amount (Actual)","41 Source Type",$C$5,"5 Source no.",$C2862,"4 Item Ledger Entry Type",$C$4,"2 Item No.","@@"&amp;$F2862,"3 Posting Date",U$9)</t>
  </si>
  <si>
    <t>=U2862-W2862</t>
  </si>
  <si>
    <t>=IF(U2862&lt;&gt;0,X2862/U2862,"")</t>
  </si>
  <si>
    <t>=NL("Sum","5802 Value Entry","150 Sales Amount (Expected)","41 Source Type",$C$5,"5 Source No.",$C2862,"4 Item Ledger Entry Type",$C$4,"2 Item No.","@@"&amp;$F2862,"3 Posting Date",Z$9)+NL("Sum","5802 Value Entry","17 Sales Amount (Actual)","41 Source Type",$C$5,"5 Source no.",$C2862,"4 Item Ledger Entry Type",$C$4,"2 Item No.","@@"&amp;$F2862,"3 Posting Date",Z$9)</t>
  </si>
  <si>
    <t>=-NL("Sum","5802 Value Entry","151 Cost Amount (Expected)","41 Source Type",$C$5,"5 Source No.",$C2862,"4 Item Ledger Entry Type",$C$4,"2 Item No.","@@"&amp;$F2862,"3 Posting Date",Z$9)-NL("Sum","5802 Value Entry","43 Cost Amount (Actual)","41 Source Type",$C$5,"5 Source no.",$C2862,"4 Item Ledger Entry Type",$C$4,"2 Item No.","@@"&amp;$F2862,"3 Posting Date",Z$9)</t>
  </si>
  <si>
    <t>=Z2862-AB2862</t>
  </si>
  <si>
    <t>=IF(Z2862&lt;&gt;0,AC2862/Z2862,"")</t>
  </si>
  <si>
    <t>=C2862</t>
  </si>
  <si>
    <t>=NL("Sum","5802 Value Entry","150 Sales Amount (Expected)","41 Source Type",$C$5,"5 Source No.",$C2863,"4 Item Ledger Entry Type",$C$4,"2 Item No.","@@"&amp;$F2863,"3 Posting Date",J$9)+NL("Sum","5802 Value Entry","17 Sales Amount (Actual)","41 Source Type",$C$5,"5 Source no.",$C2863,"4 Item Ledger Entry Type",$C$4,"2 Item No.","@@"&amp;$F2863,"3 Posting Date",J$9)</t>
  </si>
  <si>
    <t>=-NL("Sum","5802 Value Entry","151 Cost Amount (Expected)","41 Source Type",$C$5,"5 Source No.",$C2863,"4 Item Ledger Entry Type",$C$4,"2 Item No.","@@"&amp;$F2863,"3 Posting Date",J$9)-NL("Sum","5802 Value Entry","43 Cost Amount (Actual)","41 Source Type",$C$5,"5 Source no.",$C2863,"4 Item Ledger Entry Type",$C$4,"2 Item No.","@@"&amp;$F2863,"3 Posting Date",J$9)</t>
  </si>
  <si>
    <t>=J2863-L2863</t>
  </si>
  <si>
    <t>=IF(J2863&lt;&gt;0,M2863/J2863,"")</t>
  </si>
  <si>
    <t>=NL("Sum","5802 Value Entry","150 Sales Amount (Expected)","41 Source Type",$C$5,"5 Source No.",$C2863,"4 Item Ledger Entry Type",$C$4,"2 Item No.","@@"&amp;$F2863,"3 Posting Date",O$9)+NL("Sum","5802 Value Entry","17 Sales Amount (Actual)","41 Source Type",$C$5,"5 Source no.",$C2863,"4 Item Ledger Entry Type",$C$4,"2 Item No.","@@"&amp;$F2863,"3 Posting Date",O$9)</t>
  </si>
  <si>
    <t>=-NL("Sum","5802 Value Entry","151 Cost Amount (Expected)","41 Source Type",$C$5,"5 Source No.",$C2863,"4 Item Ledger Entry Type",$C$4,"2 Item No.","@@"&amp;$F2863,"3 Posting Date",O$9)-NL("Sum","5802 Value Entry","43 Cost Amount (Actual)","41 Source Type",$C$5,"5 Source no.",$C2863,"4 Item Ledger Entry Type",$C$4,"2 Item No.","@@"&amp;$F2863,"3 Posting Date",O$9)</t>
  </si>
  <si>
    <t>=O2863-Q2863</t>
  </si>
  <si>
    <t>=IF(O2863&lt;&gt;0,R2863/O2863,"")</t>
  </si>
  <si>
    <t>=NL("Sum","5802 Value Entry","150 Sales Amount (Expected)","41 Source Type",$C$5,"5 Source No.",$C2863,"4 Item Ledger Entry Type",$C$4,"2 Item No.","@@"&amp;$F2863,"3 Posting Date",U$9)+NL("Sum","5802 Value Entry","17 Sales Amount (Actual)","41 Source Type",$C$5,"5 Source no.",$C2863,"4 Item Ledger Entry Type",$C$4,"2 Item No.","@@"&amp;$F2863,"3 Posting Date",U$9)</t>
  </si>
  <si>
    <t>=-NL("Sum","5802 Value Entry","151 Cost Amount (Expected)","41 Source Type",$C$5,"5 Source No.",$C2863,"4 Item Ledger Entry Type",$C$4,"2 Item No.","@@"&amp;$F2863,"3 Posting Date",U$9)-NL("Sum","5802 Value Entry","43 Cost Amount (Actual)","41 Source Type",$C$5,"5 Source no.",$C2863,"4 Item Ledger Entry Type",$C$4,"2 Item No.","@@"&amp;$F2863,"3 Posting Date",U$9)</t>
  </si>
  <si>
    <t>=U2863-W2863</t>
  </si>
  <si>
    <t>=IF(U2863&lt;&gt;0,X2863/U2863,"")</t>
  </si>
  <si>
    <t>=NL("Sum","5802 Value Entry","150 Sales Amount (Expected)","41 Source Type",$C$5,"5 Source No.",$C2863,"4 Item Ledger Entry Type",$C$4,"2 Item No.","@@"&amp;$F2863,"3 Posting Date",Z$9)+NL("Sum","5802 Value Entry","17 Sales Amount (Actual)","41 Source Type",$C$5,"5 Source no.",$C2863,"4 Item Ledger Entry Type",$C$4,"2 Item No.","@@"&amp;$F2863,"3 Posting Date",Z$9)</t>
  </si>
  <si>
    <t>=-NL("Sum","5802 Value Entry","151 Cost Amount (Expected)","41 Source Type",$C$5,"5 Source No.",$C2863,"4 Item Ledger Entry Type",$C$4,"2 Item No.","@@"&amp;$F2863,"3 Posting Date",Z$9)-NL("Sum","5802 Value Entry","43 Cost Amount (Actual)","41 Source Type",$C$5,"5 Source no.",$C2863,"4 Item Ledger Entry Type",$C$4,"2 Item No.","@@"&amp;$F2863,"3 Posting Date",Z$9)</t>
  </si>
  <si>
    <t>=Z2863-AB2863</t>
  </si>
  <si>
    <t>=IF(Z2863&lt;&gt;0,AC2863/Z2863,"")</t>
  </si>
  <si>
    <t>=C2863</t>
  </si>
  <si>
    <t>=NL("Sum","5802 Value Entry","150 Sales Amount (Expected)","41 Source Type",$C$5,"5 Source No.",$C2864,"4 Item Ledger Entry Type",$C$4,"2 Item No.","@@"&amp;$F2864,"3 Posting Date",J$9)+NL("Sum","5802 Value Entry","17 Sales Amount (Actual)","41 Source Type",$C$5,"5 Source no.",$C2864,"4 Item Ledger Entry Type",$C$4,"2 Item No.","@@"&amp;$F2864,"3 Posting Date",J$9)</t>
  </si>
  <si>
    <t>=-NL("Sum","5802 Value Entry","151 Cost Amount (Expected)","41 Source Type",$C$5,"5 Source No.",$C2864,"4 Item Ledger Entry Type",$C$4,"2 Item No.","@@"&amp;$F2864,"3 Posting Date",J$9)-NL("Sum","5802 Value Entry","43 Cost Amount (Actual)","41 Source Type",$C$5,"5 Source no.",$C2864,"4 Item Ledger Entry Type",$C$4,"2 Item No.","@@"&amp;$F2864,"3 Posting Date",J$9)</t>
  </si>
  <si>
    <t>=J2864-L2864</t>
  </si>
  <si>
    <t>=IF(J2864&lt;&gt;0,M2864/J2864,"")</t>
  </si>
  <si>
    <t>=NL("Sum","5802 Value Entry","150 Sales Amount (Expected)","41 Source Type",$C$5,"5 Source No.",$C2864,"4 Item Ledger Entry Type",$C$4,"2 Item No.","@@"&amp;$F2864,"3 Posting Date",O$9)+NL("Sum","5802 Value Entry","17 Sales Amount (Actual)","41 Source Type",$C$5,"5 Source no.",$C2864,"4 Item Ledger Entry Type",$C$4,"2 Item No.","@@"&amp;$F2864,"3 Posting Date",O$9)</t>
  </si>
  <si>
    <t>=-NL("Sum","5802 Value Entry","151 Cost Amount (Expected)","41 Source Type",$C$5,"5 Source No.",$C2864,"4 Item Ledger Entry Type",$C$4,"2 Item No.","@@"&amp;$F2864,"3 Posting Date",O$9)-NL("Sum","5802 Value Entry","43 Cost Amount (Actual)","41 Source Type",$C$5,"5 Source no.",$C2864,"4 Item Ledger Entry Type",$C$4,"2 Item No.","@@"&amp;$F2864,"3 Posting Date",O$9)</t>
  </si>
  <si>
    <t>=O2864-Q2864</t>
  </si>
  <si>
    <t>=IF(O2864&lt;&gt;0,R2864/O2864,"")</t>
  </si>
  <si>
    <t>=NL("Sum","5802 Value Entry","150 Sales Amount (Expected)","41 Source Type",$C$5,"5 Source No.",$C2864,"4 Item Ledger Entry Type",$C$4,"2 Item No.","@@"&amp;$F2864,"3 Posting Date",U$9)+NL("Sum","5802 Value Entry","17 Sales Amount (Actual)","41 Source Type",$C$5,"5 Source no.",$C2864,"4 Item Ledger Entry Type",$C$4,"2 Item No.","@@"&amp;$F2864,"3 Posting Date",U$9)</t>
  </si>
  <si>
    <t>=-NL("Sum","5802 Value Entry","151 Cost Amount (Expected)","41 Source Type",$C$5,"5 Source No.",$C2864,"4 Item Ledger Entry Type",$C$4,"2 Item No.","@@"&amp;$F2864,"3 Posting Date",U$9)-NL("Sum","5802 Value Entry","43 Cost Amount (Actual)","41 Source Type",$C$5,"5 Source no.",$C2864,"4 Item Ledger Entry Type",$C$4,"2 Item No.","@@"&amp;$F2864,"3 Posting Date",U$9)</t>
  </si>
  <si>
    <t>=U2864-W2864</t>
  </si>
  <si>
    <t>=IF(U2864&lt;&gt;0,X2864/U2864,"")</t>
  </si>
  <si>
    <t>=NL("Sum","5802 Value Entry","150 Sales Amount (Expected)","41 Source Type",$C$5,"5 Source No.",$C2864,"4 Item Ledger Entry Type",$C$4,"2 Item No.","@@"&amp;$F2864,"3 Posting Date",Z$9)+NL("Sum","5802 Value Entry","17 Sales Amount (Actual)","41 Source Type",$C$5,"5 Source no.",$C2864,"4 Item Ledger Entry Type",$C$4,"2 Item No.","@@"&amp;$F2864,"3 Posting Date",Z$9)</t>
  </si>
  <si>
    <t>=-NL("Sum","5802 Value Entry","151 Cost Amount (Expected)","41 Source Type",$C$5,"5 Source No.",$C2864,"4 Item Ledger Entry Type",$C$4,"2 Item No.","@@"&amp;$F2864,"3 Posting Date",Z$9)-NL("Sum","5802 Value Entry","43 Cost Amount (Actual)","41 Source Type",$C$5,"5 Source no.",$C2864,"4 Item Ledger Entry Type",$C$4,"2 Item No.","@@"&amp;$F2864,"3 Posting Date",Z$9)</t>
  </si>
  <si>
    <t>=Z2864-AB2864</t>
  </si>
  <si>
    <t>=IF(Z2864&lt;&gt;0,AC2864/Z2864,"")</t>
  </si>
  <si>
    <t>=C2864</t>
  </si>
  <si>
    <t>=NL("Sum","5802 Value Entry","150 Sales Amount (Expected)","41 Source Type",$C$5,"5 Source No.",$C2865,"4 Item Ledger Entry Type",$C$4,"2 Item No.","@@"&amp;$F2865,"3 Posting Date",J$9)+NL("Sum","5802 Value Entry","17 Sales Amount (Actual)","41 Source Type",$C$5,"5 Source no.",$C2865,"4 Item Ledger Entry Type",$C$4,"2 Item No.","@@"&amp;$F2865,"3 Posting Date",J$9)</t>
  </si>
  <si>
    <t>=-NL("Sum","5802 Value Entry","151 Cost Amount (Expected)","41 Source Type",$C$5,"5 Source No.",$C2865,"4 Item Ledger Entry Type",$C$4,"2 Item No.","@@"&amp;$F2865,"3 Posting Date",J$9)-NL("Sum","5802 Value Entry","43 Cost Amount (Actual)","41 Source Type",$C$5,"5 Source no.",$C2865,"4 Item Ledger Entry Type",$C$4,"2 Item No.","@@"&amp;$F2865,"3 Posting Date",J$9)</t>
  </si>
  <si>
    <t>=J2865-L2865</t>
  </si>
  <si>
    <t>=IF(J2865&lt;&gt;0,M2865/J2865,"")</t>
  </si>
  <si>
    <t>=NL("Sum","5802 Value Entry","150 Sales Amount (Expected)","41 Source Type",$C$5,"5 Source No.",$C2865,"4 Item Ledger Entry Type",$C$4,"2 Item No.","@@"&amp;$F2865,"3 Posting Date",O$9)+NL("Sum","5802 Value Entry","17 Sales Amount (Actual)","41 Source Type",$C$5,"5 Source no.",$C2865,"4 Item Ledger Entry Type",$C$4,"2 Item No.","@@"&amp;$F2865,"3 Posting Date",O$9)</t>
  </si>
  <si>
    <t>=-NL("Sum","5802 Value Entry","151 Cost Amount (Expected)","41 Source Type",$C$5,"5 Source No.",$C2865,"4 Item Ledger Entry Type",$C$4,"2 Item No.","@@"&amp;$F2865,"3 Posting Date",O$9)-NL("Sum","5802 Value Entry","43 Cost Amount (Actual)","41 Source Type",$C$5,"5 Source no.",$C2865,"4 Item Ledger Entry Type",$C$4,"2 Item No.","@@"&amp;$F2865,"3 Posting Date",O$9)</t>
  </si>
  <si>
    <t>=O2865-Q2865</t>
  </si>
  <si>
    <t>=IF(O2865&lt;&gt;0,R2865/O2865,"")</t>
  </si>
  <si>
    <t>=NL("Sum","5802 Value Entry","150 Sales Amount (Expected)","41 Source Type",$C$5,"5 Source No.",$C2865,"4 Item Ledger Entry Type",$C$4,"2 Item No.","@@"&amp;$F2865,"3 Posting Date",U$9)+NL("Sum","5802 Value Entry","17 Sales Amount (Actual)","41 Source Type",$C$5,"5 Source no.",$C2865,"4 Item Ledger Entry Type",$C$4,"2 Item No.","@@"&amp;$F2865,"3 Posting Date",U$9)</t>
  </si>
  <si>
    <t>=-NL("Sum","5802 Value Entry","151 Cost Amount (Expected)","41 Source Type",$C$5,"5 Source No.",$C2865,"4 Item Ledger Entry Type",$C$4,"2 Item No.","@@"&amp;$F2865,"3 Posting Date",U$9)-NL("Sum","5802 Value Entry","43 Cost Amount (Actual)","41 Source Type",$C$5,"5 Source no.",$C2865,"4 Item Ledger Entry Type",$C$4,"2 Item No.","@@"&amp;$F2865,"3 Posting Date",U$9)</t>
  </si>
  <si>
    <t>=U2865-W2865</t>
  </si>
  <si>
    <t>=IF(U2865&lt;&gt;0,X2865/U2865,"")</t>
  </si>
  <si>
    <t>=NL("Sum","5802 Value Entry","150 Sales Amount (Expected)","41 Source Type",$C$5,"5 Source No.",$C2865,"4 Item Ledger Entry Type",$C$4,"2 Item No.","@@"&amp;$F2865,"3 Posting Date",Z$9)+NL("Sum","5802 Value Entry","17 Sales Amount (Actual)","41 Source Type",$C$5,"5 Source no.",$C2865,"4 Item Ledger Entry Type",$C$4,"2 Item No.","@@"&amp;$F2865,"3 Posting Date",Z$9)</t>
  </si>
  <si>
    <t>=-NL("Sum","5802 Value Entry","151 Cost Amount (Expected)","41 Source Type",$C$5,"5 Source No.",$C2865,"4 Item Ledger Entry Type",$C$4,"2 Item No.","@@"&amp;$F2865,"3 Posting Date",Z$9)-NL("Sum","5802 Value Entry","43 Cost Amount (Actual)","41 Source Type",$C$5,"5 Source no.",$C2865,"4 Item Ledger Entry Type",$C$4,"2 Item No.","@@"&amp;$F2865,"3 Posting Date",Z$9)</t>
  </si>
  <si>
    <t>=Z2865-AB2865</t>
  </si>
  <si>
    <t>=IF(Z2865&lt;&gt;0,AC2865/Z2865,"")</t>
  </si>
  <si>
    <t>=C2865</t>
  </si>
  <si>
    <t>=NL("Sum","5802 Value Entry","150 Sales Amount (Expected)","41 Source Type",$C$5,"5 Source No.",$C2866,"4 Item Ledger Entry Type",$C$4,"2 Item No.","@@"&amp;$F2866,"3 Posting Date",J$9)+NL("Sum","5802 Value Entry","17 Sales Amount (Actual)","41 Source Type",$C$5,"5 Source no.",$C2866,"4 Item Ledger Entry Type",$C$4,"2 Item No.","@@"&amp;$F2866,"3 Posting Date",J$9)</t>
  </si>
  <si>
    <t>=-NL("Sum","5802 Value Entry","151 Cost Amount (Expected)","41 Source Type",$C$5,"5 Source No.",$C2866,"4 Item Ledger Entry Type",$C$4,"2 Item No.","@@"&amp;$F2866,"3 Posting Date",J$9)-NL("Sum","5802 Value Entry","43 Cost Amount (Actual)","41 Source Type",$C$5,"5 Source no.",$C2866,"4 Item Ledger Entry Type",$C$4,"2 Item No.","@@"&amp;$F2866,"3 Posting Date",J$9)</t>
  </si>
  <si>
    <t>=J2866-L2866</t>
  </si>
  <si>
    <t>=IF(J2866&lt;&gt;0,M2866/J2866,"")</t>
  </si>
  <si>
    <t>=NL("Sum","5802 Value Entry","150 Sales Amount (Expected)","41 Source Type",$C$5,"5 Source No.",$C2866,"4 Item Ledger Entry Type",$C$4,"2 Item No.","@@"&amp;$F2866,"3 Posting Date",O$9)+NL("Sum","5802 Value Entry","17 Sales Amount (Actual)","41 Source Type",$C$5,"5 Source no.",$C2866,"4 Item Ledger Entry Type",$C$4,"2 Item No.","@@"&amp;$F2866,"3 Posting Date",O$9)</t>
  </si>
  <si>
    <t>=-NL("Sum","5802 Value Entry","151 Cost Amount (Expected)","41 Source Type",$C$5,"5 Source No.",$C2866,"4 Item Ledger Entry Type",$C$4,"2 Item No.","@@"&amp;$F2866,"3 Posting Date",O$9)-NL("Sum","5802 Value Entry","43 Cost Amount (Actual)","41 Source Type",$C$5,"5 Source no.",$C2866,"4 Item Ledger Entry Type",$C$4,"2 Item No.","@@"&amp;$F2866,"3 Posting Date",O$9)</t>
  </si>
  <si>
    <t>=O2866-Q2866</t>
  </si>
  <si>
    <t>=IF(O2866&lt;&gt;0,R2866/O2866,"")</t>
  </si>
  <si>
    <t>=NL("Sum","5802 Value Entry","150 Sales Amount (Expected)","41 Source Type",$C$5,"5 Source No.",$C2866,"4 Item Ledger Entry Type",$C$4,"2 Item No.","@@"&amp;$F2866,"3 Posting Date",U$9)+NL("Sum","5802 Value Entry","17 Sales Amount (Actual)","41 Source Type",$C$5,"5 Source no.",$C2866,"4 Item Ledger Entry Type",$C$4,"2 Item No.","@@"&amp;$F2866,"3 Posting Date",U$9)</t>
  </si>
  <si>
    <t>=-NL("Sum","5802 Value Entry","151 Cost Amount (Expected)","41 Source Type",$C$5,"5 Source No.",$C2866,"4 Item Ledger Entry Type",$C$4,"2 Item No.","@@"&amp;$F2866,"3 Posting Date",U$9)-NL("Sum","5802 Value Entry","43 Cost Amount (Actual)","41 Source Type",$C$5,"5 Source no.",$C2866,"4 Item Ledger Entry Type",$C$4,"2 Item No.","@@"&amp;$F2866,"3 Posting Date",U$9)</t>
  </si>
  <si>
    <t>=U2866-W2866</t>
  </si>
  <si>
    <t>=IF(U2866&lt;&gt;0,X2866/U2866,"")</t>
  </si>
  <si>
    <t>=NL("Sum","5802 Value Entry","150 Sales Amount (Expected)","41 Source Type",$C$5,"5 Source No.",$C2866,"4 Item Ledger Entry Type",$C$4,"2 Item No.","@@"&amp;$F2866,"3 Posting Date",Z$9)+NL("Sum","5802 Value Entry","17 Sales Amount (Actual)","41 Source Type",$C$5,"5 Source no.",$C2866,"4 Item Ledger Entry Type",$C$4,"2 Item No.","@@"&amp;$F2866,"3 Posting Date",Z$9)</t>
  </si>
  <si>
    <t>=-NL("Sum","5802 Value Entry","151 Cost Amount (Expected)","41 Source Type",$C$5,"5 Source No.",$C2866,"4 Item Ledger Entry Type",$C$4,"2 Item No.","@@"&amp;$F2866,"3 Posting Date",Z$9)-NL("Sum","5802 Value Entry","43 Cost Amount (Actual)","41 Source Type",$C$5,"5 Source no.",$C2866,"4 Item Ledger Entry Type",$C$4,"2 Item No.","@@"&amp;$F2866,"3 Posting Date",Z$9)</t>
  </si>
  <si>
    <t>=Z2866-AB2866</t>
  </si>
  <si>
    <t>=IF(Z2866&lt;&gt;0,AC2866/Z2866,"")</t>
  </si>
  <si>
    <t>=C2866</t>
  </si>
  <si>
    <t>=NL("Sum","5802 Value Entry","150 Sales Amount (Expected)","41 Source Type",$C$5,"5 Source No.",$C2867,"4 Item Ledger Entry Type",$C$4,"2 Item No.","@@"&amp;$F2867,"3 Posting Date",J$9)+NL("Sum","5802 Value Entry","17 Sales Amount (Actual)","41 Source Type",$C$5,"5 Source no.",$C2867,"4 Item Ledger Entry Type",$C$4,"2 Item No.","@@"&amp;$F2867,"3 Posting Date",J$9)</t>
  </si>
  <si>
    <t>=-NL("Sum","5802 Value Entry","151 Cost Amount (Expected)","41 Source Type",$C$5,"5 Source No.",$C2867,"4 Item Ledger Entry Type",$C$4,"2 Item No.","@@"&amp;$F2867,"3 Posting Date",J$9)-NL("Sum","5802 Value Entry","43 Cost Amount (Actual)","41 Source Type",$C$5,"5 Source no.",$C2867,"4 Item Ledger Entry Type",$C$4,"2 Item No.","@@"&amp;$F2867,"3 Posting Date",J$9)</t>
  </si>
  <si>
    <t>=J2867-L2867</t>
  </si>
  <si>
    <t>=IF(J2867&lt;&gt;0,M2867/J2867,"")</t>
  </si>
  <si>
    <t>=NL("Sum","5802 Value Entry","150 Sales Amount (Expected)","41 Source Type",$C$5,"5 Source No.",$C2867,"4 Item Ledger Entry Type",$C$4,"2 Item No.","@@"&amp;$F2867,"3 Posting Date",O$9)+NL("Sum","5802 Value Entry","17 Sales Amount (Actual)","41 Source Type",$C$5,"5 Source no.",$C2867,"4 Item Ledger Entry Type",$C$4,"2 Item No.","@@"&amp;$F2867,"3 Posting Date",O$9)</t>
  </si>
  <si>
    <t>=-NL("Sum","5802 Value Entry","151 Cost Amount (Expected)","41 Source Type",$C$5,"5 Source No.",$C2867,"4 Item Ledger Entry Type",$C$4,"2 Item No.","@@"&amp;$F2867,"3 Posting Date",O$9)-NL("Sum","5802 Value Entry","43 Cost Amount (Actual)","41 Source Type",$C$5,"5 Source no.",$C2867,"4 Item Ledger Entry Type",$C$4,"2 Item No.","@@"&amp;$F2867,"3 Posting Date",O$9)</t>
  </si>
  <si>
    <t>=O2867-Q2867</t>
  </si>
  <si>
    <t>=IF(O2867&lt;&gt;0,R2867/O2867,"")</t>
  </si>
  <si>
    <t>=NL("Sum","5802 Value Entry","150 Sales Amount (Expected)","41 Source Type",$C$5,"5 Source No.",$C2867,"4 Item Ledger Entry Type",$C$4,"2 Item No.","@@"&amp;$F2867,"3 Posting Date",U$9)+NL("Sum","5802 Value Entry","17 Sales Amount (Actual)","41 Source Type",$C$5,"5 Source no.",$C2867,"4 Item Ledger Entry Type",$C$4,"2 Item No.","@@"&amp;$F2867,"3 Posting Date",U$9)</t>
  </si>
  <si>
    <t>=-NL("Sum","5802 Value Entry","151 Cost Amount (Expected)","41 Source Type",$C$5,"5 Source No.",$C2867,"4 Item Ledger Entry Type",$C$4,"2 Item No.","@@"&amp;$F2867,"3 Posting Date",U$9)-NL("Sum","5802 Value Entry","43 Cost Amount (Actual)","41 Source Type",$C$5,"5 Source no.",$C2867,"4 Item Ledger Entry Type",$C$4,"2 Item No.","@@"&amp;$F2867,"3 Posting Date",U$9)</t>
  </si>
  <si>
    <t>=U2867-W2867</t>
  </si>
  <si>
    <t>=IF(U2867&lt;&gt;0,X2867/U2867,"")</t>
  </si>
  <si>
    <t>=NL("Sum","5802 Value Entry","150 Sales Amount (Expected)","41 Source Type",$C$5,"5 Source No.",$C2867,"4 Item Ledger Entry Type",$C$4,"2 Item No.","@@"&amp;$F2867,"3 Posting Date",Z$9)+NL("Sum","5802 Value Entry","17 Sales Amount (Actual)","41 Source Type",$C$5,"5 Source no.",$C2867,"4 Item Ledger Entry Type",$C$4,"2 Item No.","@@"&amp;$F2867,"3 Posting Date",Z$9)</t>
  </si>
  <si>
    <t>=-NL("Sum","5802 Value Entry","151 Cost Amount (Expected)","41 Source Type",$C$5,"5 Source No.",$C2867,"4 Item Ledger Entry Type",$C$4,"2 Item No.","@@"&amp;$F2867,"3 Posting Date",Z$9)-NL("Sum","5802 Value Entry","43 Cost Amount (Actual)","41 Source Type",$C$5,"5 Source no.",$C2867,"4 Item Ledger Entry Type",$C$4,"2 Item No.","@@"&amp;$F2867,"3 Posting Date",Z$9)</t>
  </si>
  <si>
    <t>=Z2867-AB2867</t>
  </si>
  <si>
    <t>=IF(Z2867&lt;&gt;0,AC2867/Z2867,"")</t>
  </si>
  <si>
    <t>=C2867</t>
  </si>
  <si>
    <t>=NL("Sum","5802 Value Entry","150 Sales Amount (Expected)","41 Source Type",$C$5,"5 Source No.",$C2868,"4 Item Ledger Entry Type",$C$4,"2 Item No.","@@"&amp;$F2868,"3 Posting Date",J$9)+NL("Sum","5802 Value Entry","17 Sales Amount (Actual)","41 Source Type",$C$5,"5 Source no.",$C2868,"4 Item Ledger Entry Type",$C$4,"2 Item No.","@@"&amp;$F2868,"3 Posting Date",J$9)</t>
  </si>
  <si>
    <t>=-NL("Sum","5802 Value Entry","151 Cost Amount (Expected)","41 Source Type",$C$5,"5 Source No.",$C2868,"4 Item Ledger Entry Type",$C$4,"2 Item No.","@@"&amp;$F2868,"3 Posting Date",J$9)-NL("Sum","5802 Value Entry","43 Cost Amount (Actual)","41 Source Type",$C$5,"5 Source no.",$C2868,"4 Item Ledger Entry Type",$C$4,"2 Item No.","@@"&amp;$F2868,"3 Posting Date",J$9)</t>
  </si>
  <si>
    <t>=J2868-L2868</t>
  </si>
  <si>
    <t>=IF(J2868&lt;&gt;0,M2868/J2868,"")</t>
  </si>
  <si>
    <t>=NL("Sum","5802 Value Entry","150 Sales Amount (Expected)","41 Source Type",$C$5,"5 Source No.",$C2868,"4 Item Ledger Entry Type",$C$4,"2 Item No.","@@"&amp;$F2868,"3 Posting Date",O$9)+NL("Sum","5802 Value Entry","17 Sales Amount (Actual)","41 Source Type",$C$5,"5 Source no.",$C2868,"4 Item Ledger Entry Type",$C$4,"2 Item No.","@@"&amp;$F2868,"3 Posting Date",O$9)</t>
  </si>
  <si>
    <t>=-NL("Sum","5802 Value Entry","151 Cost Amount (Expected)","41 Source Type",$C$5,"5 Source No.",$C2868,"4 Item Ledger Entry Type",$C$4,"2 Item No.","@@"&amp;$F2868,"3 Posting Date",O$9)-NL("Sum","5802 Value Entry","43 Cost Amount (Actual)","41 Source Type",$C$5,"5 Source no.",$C2868,"4 Item Ledger Entry Type",$C$4,"2 Item No.","@@"&amp;$F2868,"3 Posting Date",O$9)</t>
  </si>
  <si>
    <t>=O2868-Q2868</t>
  </si>
  <si>
    <t>=IF(O2868&lt;&gt;0,R2868/O2868,"")</t>
  </si>
  <si>
    <t>=NL("Sum","5802 Value Entry","150 Sales Amount (Expected)","41 Source Type",$C$5,"5 Source No.",$C2868,"4 Item Ledger Entry Type",$C$4,"2 Item No.","@@"&amp;$F2868,"3 Posting Date",U$9)+NL("Sum","5802 Value Entry","17 Sales Amount (Actual)","41 Source Type",$C$5,"5 Source no.",$C2868,"4 Item Ledger Entry Type",$C$4,"2 Item No.","@@"&amp;$F2868,"3 Posting Date",U$9)</t>
  </si>
  <si>
    <t>=-NL("Sum","5802 Value Entry","151 Cost Amount (Expected)","41 Source Type",$C$5,"5 Source No.",$C2868,"4 Item Ledger Entry Type",$C$4,"2 Item No.","@@"&amp;$F2868,"3 Posting Date",U$9)-NL("Sum","5802 Value Entry","43 Cost Amount (Actual)","41 Source Type",$C$5,"5 Source no.",$C2868,"4 Item Ledger Entry Type",$C$4,"2 Item No.","@@"&amp;$F2868,"3 Posting Date",U$9)</t>
  </si>
  <si>
    <t>=U2868-W2868</t>
  </si>
  <si>
    <t>=IF(U2868&lt;&gt;0,X2868/U2868,"")</t>
  </si>
  <si>
    <t>=NL("Sum","5802 Value Entry","150 Sales Amount (Expected)","41 Source Type",$C$5,"5 Source No.",$C2868,"4 Item Ledger Entry Type",$C$4,"2 Item No.","@@"&amp;$F2868,"3 Posting Date",Z$9)+NL("Sum","5802 Value Entry","17 Sales Amount (Actual)","41 Source Type",$C$5,"5 Source no.",$C2868,"4 Item Ledger Entry Type",$C$4,"2 Item No.","@@"&amp;$F2868,"3 Posting Date",Z$9)</t>
  </si>
  <si>
    <t>=-NL("Sum","5802 Value Entry","151 Cost Amount (Expected)","41 Source Type",$C$5,"5 Source No.",$C2868,"4 Item Ledger Entry Type",$C$4,"2 Item No.","@@"&amp;$F2868,"3 Posting Date",Z$9)-NL("Sum","5802 Value Entry","43 Cost Amount (Actual)","41 Source Type",$C$5,"5 Source no.",$C2868,"4 Item Ledger Entry Type",$C$4,"2 Item No.","@@"&amp;$F2868,"3 Posting Date",Z$9)</t>
  </si>
  <si>
    <t>=Z2868-AB2868</t>
  </si>
  <si>
    <t>=IF(Z2868&lt;&gt;0,AC2868/Z2868,"")</t>
  </si>
  <si>
    <t>=C2868</t>
  </si>
  <si>
    <t>=NL("Sum","5802 Value Entry","150 Sales Amount (Expected)","41 Source Type",$C$5,"5 Source No.",$C2869,"4 Item Ledger Entry Type",$C$4,"2 Item No.","@@"&amp;$F2869,"3 Posting Date",J$9)+NL("Sum","5802 Value Entry","17 Sales Amount (Actual)","41 Source Type",$C$5,"5 Source no.",$C2869,"4 Item Ledger Entry Type",$C$4,"2 Item No.","@@"&amp;$F2869,"3 Posting Date",J$9)</t>
  </si>
  <si>
    <t>=-NL("Sum","5802 Value Entry","151 Cost Amount (Expected)","41 Source Type",$C$5,"5 Source No.",$C2869,"4 Item Ledger Entry Type",$C$4,"2 Item No.","@@"&amp;$F2869,"3 Posting Date",J$9)-NL("Sum","5802 Value Entry","43 Cost Amount (Actual)","41 Source Type",$C$5,"5 Source no.",$C2869,"4 Item Ledger Entry Type",$C$4,"2 Item No.","@@"&amp;$F2869,"3 Posting Date",J$9)</t>
  </si>
  <si>
    <t>=J2869-L2869</t>
  </si>
  <si>
    <t>=IF(J2869&lt;&gt;0,M2869/J2869,"")</t>
  </si>
  <si>
    <t>=NL("Sum","5802 Value Entry","150 Sales Amount (Expected)","41 Source Type",$C$5,"5 Source No.",$C2869,"4 Item Ledger Entry Type",$C$4,"2 Item No.","@@"&amp;$F2869,"3 Posting Date",O$9)+NL("Sum","5802 Value Entry","17 Sales Amount (Actual)","41 Source Type",$C$5,"5 Source no.",$C2869,"4 Item Ledger Entry Type",$C$4,"2 Item No.","@@"&amp;$F2869,"3 Posting Date",O$9)</t>
  </si>
  <si>
    <t>=-NL("Sum","5802 Value Entry","151 Cost Amount (Expected)","41 Source Type",$C$5,"5 Source No.",$C2869,"4 Item Ledger Entry Type",$C$4,"2 Item No.","@@"&amp;$F2869,"3 Posting Date",O$9)-NL("Sum","5802 Value Entry","43 Cost Amount (Actual)","41 Source Type",$C$5,"5 Source no.",$C2869,"4 Item Ledger Entry Type",$C$4,"2 Item No.","@@"&amp;$F2869,"3 Posting Date",O$9)</t>
  </si>
  <si>
    <t>=O2869-Q2869</t>
  </si>
  <si>
    <t>=IF(O2869&lt;&gt;0,R2869/O2869,"")</t>
  </si>
  <si>
    <t>=NL("Sum","5802 Value Entry","150 Sales Amount (Expected)","41 Source Type",$C$5,"5 Source No.",$C2869,"4 Item Ledger Entry Type",$C$4,"2 Item No.","@@"&amp;$F2869,"3 Posting Date",U$9)+NL("Sum","5802 Value Entry","17 Sales Amount (Actual)","41 Source Type",$C$5,"5 Source no.",$C2869,"4 Item Ledger Entry Type",$C$4,"2 Item No.","@@"&amp;$F2869,"3 Posting Date",U$9)</t>
  </si>
  <si>
    <t>=-NL("Sum","5802 Value Entry","151 Cost Amount (Expected)","41 Source Type",$C$5,"5 Source No.",$C2869,"4 Item Ledger Entry Type",$C$4,"2 Item No.","@@"&amp;$F2869,"3 Posting Date",U$9)-NL("Sum","5802 Value Entry","43 Cost Amount (Actual)","41 Source Type",$C$5,"5 Source no.",$C2869,"4 Item Ledger Entry Type",$C$4,"2 Item No.","@@"&amp;$F2869,"3 Posting Date",U$9)</t>
  </si>
  <si>
    <t>=U2869-W2869</t>
  </si>
  <si>
    <t>=IF(U2869&lt;&gt;0,X2869/U2869,"")</t>
  </si>
  <si>
    <t>=NL("Sum","5802 Value Entry","150 Sales Amount (Expected)","41 Source Type",$C$5,"5 Source No.",$C2869,"4 Item Ledger Entry Type",$C$4,"2 Item No.","@@"&amp;$F2869,"3 Posting Date",Z$9)+NL("Sum","5802 Value Entry","17 Sales Amount (Actual)","41 Source Type",$C$5,"5 Source no.",$C2869,"4 Item Ledger Entry Type",$C$4,"2 Item No.","@@"&amp;$F2869,"3 Posting Date",Z$9)</t>
  </si>
  <si>
    <t>=-NL("Sum","5802 Value Entry","151 Cost Amount (Expected)","41 Source Type",$C$5,"5 Source No.",$C2869,"4 Item Ledger Entry Type",$C$4,"2 Item No.","@@"&amp;$F2869,"3 Posting Date",Z$9)-NL("Sum","5802 Value Entry","43 Cost Amount (Actual)","41 Source Type",$C$5,"5 Source no.",$C2869,"4 Item Ledger Entry Type",$C$4,"2 Item No.","@@"&amp;$F2869,"3 Posting Date",Z$9)</t>
  </si>
  <si>
    <t>=Z2869-AB2869</t>
  </si>
  <si>
    <t>=IF(Z2869&lt;&gt;0,AC2869/Z2869,"")</t>
  </si>
  <si>
    <t>=C2869</t>
  </si>
  <si>
    <t>=NL("Sum","5802 Value Entry","150 Sales Amount (Expected)","41 Source Type",$C$5,"5 Source No.",$C2870,"4 Item Ledger Entry Type",$C$4,"2 Item No.","@@"&amp;$F2870,"3 Posting Date",J$9)+NL("Sum","5802 Value Entry","17 Sales Amount (Actual)","41 Source Type",$C$5,"5 Source no.",$C2870,"4 Item Ledger Entry Type",$C$4,"2 Item No.","@@"&amp;$F2870,"3 Posting Date",J$9)</t>
  </si>
  <si>
    <t>=-NL("Sum","5802 Value Entry","151 Cost Amount (Expected)","41 Source Type",$C$5,"5 Source No.",$C2870,"4 Item Ledger Entry Type",$C$4,"2 Item No.","@@"&amp;$F2870,"3 Posting Date",J$9)-NL("Sum","5802 Value Entry","43 Cost Amount (Actual)","41 Source Type",$C$5,"5 Source no.",$C2870,"4 Item Ledger Entry Type",$C$4,"2 Item No.","@@"&amp;$F2870,"3 Posting Date",J$9)</t>
  </si>
  <si>
    <t>=J2870-L2870</t>
  </si>
  <si>
    <t>=IF(J2870&lt;&gt;0,M2870/J2870,"")</t>
  </si>
  <si>
    <t>=NL("Sum","5802 Value Entry","150 Sales Amount (Expected)","41 Source Type",$C$5,"5 Source No.",$C2870,"4 Item Ledger Entry Type",$C$4,"2 Item No.","@@"&amp;$F2870,"3 Posting Date",O$9)+NL("Sum","5802 Value Entry","17 Sales Amount (Actual)","41 Source Type",$C$5,"5 Source no.",$C2870,"4 Item Ledger Entry Type",$C$4,"2 Item No.","@@"&amp;$F2870,"3 Posting Date",O$9)</t>
  </si>
  <si>
    <t>=-NL("Sum","5802 Value Entry","151 Cost Amount (Expected)","41 Source Type",$C$5,"5 Source No.",$C2870,"4 Item Ledger Entry Type",$C$4,"2 Item No.","@@"&amp;$F2870,"3 Posting Date",O$9)-NL("Sum","5802 Value Entry","43 Cost Amount (Actual)","41 Source Type",$C$5,"5 Source no.",$C2870,"4 Item Ledger Entry Type",$C$4,"2 Item No.","@@"&amp;$F2870,"3 Posting Date",O$9)</t>
  </si>
  <si>
    <t>=O2870-Q2870</t>
  </si>
  <si>
    <t>=IF(O2870&lt;&gt;0,R2870/O2870,"")</t>
  </si>
  <si>
    <t>=NL("Sum","5802 Value Entry","150 Sales Amount (Expected)","41 Source Type",$C$5,"5 Source No.",$C2870,"4 Item Ledger Entry Type",$C$4,"2 Item No.","@@"&amp;$F2870,"3 Posting Date",U$9)+NL("Sum","5802 Value Entry","17 Sales Amount (Actual)","41 Source Type",$C$5,"5 Source no.",$C2870,"4 Item Ledger Entry Type",$C$4,"2 Item No.","@@"&amp;$F2870,"3 Posting Date",U$9)</t>
  </si>
  <si>
    <t>=-NL("Sum","5802 Value Entry","151 Cost Amount (Expected)","41 Source Type",$C$5,"5 Source No.",$C2870,"4 Item Ledger Entry Type",$C$4,"2 Item No.","@@"&amp;$F2870,"3 Posting Date",U$9)-NL("Sum","5802 Value Entry","43 Cost Amount (Actual)","41 Source Type",$C$5,"5 Source no.",$C2870,"4 Item Ledger Entry Type",$C$4,"2 Item No.","@@"&amp;$F2870,"3 Posting Date",U$9)</t>
  </si>
  <si>
    <t>=U2870-W2870</t>
  </si>
  <si>
    <t>=IF(U2870&lt;&gt;0,X2870/U2870,"")</t>
  </si>
  <si>
    <t>=NL("Sum","5802 Value Entry","150 Sales Amount (Expected)","41 Source Type",$C$5,"5 Source No.",$C2870,"4 Item Ledger Entry Type",$C$4,"2 Item No.","@@"&amp;$F2870,"3 Posting Date",Z$9)+NL("Sum","5802 Value Entry","17 Sales Amount (Actual)","41 Source Type",$C$5,"5 Source no.",$C2870,"4 Item Ledger Entry Type",$C$4,"2 Item No.","@@"&amp;$F2870,"3 Posting Date",Z$9)</t>
  </si>
  <si>
    <t>=-NL("Sum","5802 Value Entry","151 Cost Amount (Expected)","41 Source Type",$C$5,"5 Source No.",$C2870,"4 Item Ledger Entry Type",$C$4,"2 Item No.","@@"&amp;$F2870,"3 Posting Date",Z$9)-NL("Sum","5802 Value Entry","43 Cost Amount (Actual)","41 Source Type",$C$5,"5 Source no.",$C2870,"4 Item Ledger Entry Type",$C$4,"2 Item No.","@@"&amp;$F2870,"3 Posting Date",Z$9)</t>
  </si>
  <si>
    <t>=Z2870-AB2870</t>
  </si>
  <si>
    <t>=IF(Z2870&lt;&gt;0,AC2870/Z2870,"")</t>
  </si>
  <si>
    <t>=C2870</t>
  </si>
  <si>
    <t>=NL("Sum","5802 Value Entry","150 Sales Amount (Expected)","41 Source Type",$C$5,"5 Source No.",$C2871,"4 Item Ledger Entry Type",$C$4,"2 Item No.","@@"&amp;$F2871,"3 Posting Date",J$9)+NL("Sum","5802 Value Entry","17 Sales Amount (Actual)","41 Source Type",$C$5,"5 Source no.",$C2871,"4 Item Ledger Entry Type",$C$4,"2 Item No.","@@"&amp;$F2871,"3 Posting Date",J$9)</t>
  </si>
  <si>
    <t>=-NL("Sum","5802 Value Entry","151 Cost Amount (Expected)","41 Source Type",$C$5,"5 Source No.",$C2871,"4 Item Ledger Entry Type",$C$4,"2 Item No.","@@"&amp;$F2871,"3 Posting Date",J$9)-NL("Sum","5802 Value Entry","43 Cost Amount (Actual)","41 Source Type",$C$5,"5 Source no.",$C2871,"4 Item Ledger Entry Type",$C$4,"2 Item No.","@@"&amp;$F2871,"3 Posting Date",J$9)</t>
  </si>
  <si>
    <t>=J2871-L2871</t>
  </si>
  <si>
    <t>=IF(J2871&lt;&gt;0,M2871/J2871,"")</t>
  </si>
  <si>
    <t>=NL("Sum","5802 Value Entry","150 Sales Amount (Expected)","41 Source Type",$C$5,"5 Source No.",$C2871,"4 Item Ledger Entry Type",$C$4,"2 Item No.","@@"&amp;$F2871,"3 Posting Date",O$9)+NL("Sum","5802 Value Entry","17 Sales Amount (Actual)","41 Source Type",$C$5,"5 Source no.",$C2871,"4 Item Ledger Entry Type",$C$4,"2 Item No.","@@"&amp;$F2871,"3 Posting Date",O$9)</t>
  </si>
  <si>
    <t>=-NL("Sum","5802 Value Entry","151 Cost Amount (Expected)","41 Source Type",$C$5,"5 Source No.",$C2871,"4 Item Ledger Entry Type",$C$4,"2 Item No.","@@"&amp;$F2871,"3 Posting Date",O$9)-NL("Sum","5802 Value Entry","43 Cost Amount (Actual)","41 Source Type",$C$5,"5 Source no.",$C2871,"4 Item Ledger Entry Type",$C$4,"2 Item No.","@@"&amp;$F2871,"3 Posting Date",O$9)</t>
  </si>
  <si>
    <t>=O2871-Q2871</t>
  </si>
  <si>
    <t>=IF(O2871&lt;&gt;0,R2871/O2871,"")</t>
  </si>
  <si>
    <t>=NL("Sum","5802 Value Entry","150 Sales Amount (Expected)","41 Source Type",$C$5,"5 Source No.",$C2871,"4 Item Ledger Entry Type",$C$4,"2 Item No.","@@"&amp;$F2871,"3 Posting Date",U$9)+NL("Sum","5802 Value Entry","17 Sales Amount (Actual)","41 Source Type",$C$5,"5 Source no.",$C2871,"4 Item Ledger Entry Type",$C$4,"2 Item No.","@@"&amp;$F2871,"3 Posting Date",U$9)</t>
  </si>
  <si>
    <t>=-NL("Sum","5802 Value Entry","151 Cost Amount (Expected)","41 Source Type",$C$5,"5 Source No.",$C2871,"4 Item Ledger Entry Type",$C$4,"2 Item No.","@@"&amp;$F2871,"3 Posting Date",U$9)-NL("Sum","5802 Value Entry","43 Cost Amount (Actual)","41 Source Type",$C$5,"5 Source no.",$C2871,"4 Item Ledger Entry Type",$C$4,"2 Item No.","@@"&amp;$F2871,"3 Posting Date",U$9)</t>
  </si>
  <si>
    <t>=U2871-W2871</t>
  </si>
  <si>
    <t>=IF(U2871&lt;&gt;0,X2871/U2871,"")</t>
  </si>
  <si>
    <t>=NL("Sum","5802 Value Entry","150 Sales Amount (Expected)","41 Source Type",$C$5,"5 Source No.",$C2871,"4 Item Ledger Entry Type",$C$4,"2 Item No.","@@"&amp;$F2871,"3 Posting Date",Z$9)+NL("Sum","5802 Value Entry","17 Sales Amount (Actual)","41 Source Type",$C$5,"5 Source no.",$C2871,"4 Item Ledger Entry Type",$C$4,"2 Item No.","@@"&amp;$F2871,"3 Posting Date",Z$9)</t>
  </si>
  <si>
    <t>=-NL("Sum","5802 Value Entry","151 Cost Amount (Expected)","41 Source Type",$C$5,"5 Source No.",$C2871,"4 Item Ledger Entry Type",$C$4,"2 Item No.","@@"&amp;$F2871,"3 Posting Date",Z$9)-NL("Sum","5802 Value Entry","43 Cost Amount (Actual)","41 Source Type",$C$5,"5 Source no.",$C2871,"4 Item Ledger Entry Type",$C$4,"2 Item No.","@@"&amp;$F2871,"3 Posting Date",Z$9)</t>
  </si>
  <si>
    <t>=Z2871-AB2871</t>
  </si>
  <si>
    <t>=IF(Z2871&lt;&gt;0,AC2871/Z2871,"")</t>
  </si>
  <si>
    <t>=C2871</t>
  </si>
  <si>
    <t>=NL("Sum","5802 Value Entry","150 Sales Amount (Expected)","41 Source Type",$C$5,"5 Source No.",$C2872,"4 Item Ledger Entry Type",$C$4,"2 Item No.","@@"&amp;$F2872,"3 Posting Date",J$9)+NL("Sum","5802 Value Entry","17 Sales Amount (Actual)","41 Source Type",$C$5,"5 Source no.",$C2872,"4 Item Ledger Entry Type",$C$4,"2 Item No.","@@"&amp;$F2872,"3 Posting Date",J$9)</t>
  </si>
  <si>
    <t>=-NL("Sum","5802 Value Entry","151 Cost Amount (Expected)","41 Source Type",$C$5,"5 Source No.",$C2872,"4 Item Ledger Entry Type",$C$4,"2 Item No.","@@"&amp;$F2872,"3 Posting Date",J$9)-NL("Sum","5802 Value Entry","43 Cost Amount (Actual)","41 Source Type",$C$5,"5 Source no.",$C2872,"4 Item Ledger Entry Type",$C$4,"2 Item No.","@@"&amp;$F2872,"3 Posting Date",J$9)</t>
  </si>
  <si>
    <t>=J2872-L2872</t>
  </si>
  <si>
    <t>=IF(J2872&lt;&gt;0,M2872/J2872,"")</t>
  </si>
  <si>
    <t>=NL("Sum","5802 Value Entry","150 Sales Amount (Expected)","41 Source Type",$C$5,"5 Source No.",$C2872,"4 Item Ledger Entry Type",$C$4,"2 Item No.","@@"&amp;$F2872,"3 Posting Date",O$9)+NL("Sum","5802 Value Entry","17 Sales Amount (Actual)","41 Source Type",$C$5,"5 Source no.",$C2872,"4 Item Ledger Entry Type",$C$4,"2 Item No.","@@"&amp;$F2872,"3 Posting Date",O$9)</t>
  </si>
  <si>
    <t>=-NL("Sum","5802 Value Entry","151 Cost Amount (Expected)","41 Source Type",$C$5,"5 Source No.",$C2872,"4 Item Ledger Entry Type",$C$4,"2 Item No.","@@"&amp;$F2872,"3 Posting Date",O$9)-NL("Sum","5802 Value Entry","43 Cost Amount (Actual)","41 Source Type",$C$5,"5 Source no.",$C2872,"4 Item Ledger Entry Type",$C$4,"2 Item No.","@@"&amp;$F2872,"3 Posting Date",O$9)</t>
  </si>
  <si>
    <t>=O2872-Q2872</t>
  </si>
  <si>
    <t>=IF(O2872&lt;&gt;0,R2872/O2872,"")</t>
  </si>
  <si>
    <t>=NL("Sum","5802 Value Entry","150 Sales Amount (Expected)","41 Source Type",$C$5,"5 Source No.",$C2872,"4 Item Ledger Entry Type",$C$4,"2 Item No.","@@"&amp;$F2872,"3 Posting Date",U$9)+NL("Sum","5802 Value Entry","17 Sales Amount (Actual)","41 Source Type",$C$5,"5 Source no.",$C2872,"4 Item Ledger Entry Type",$C$4,"2 Item No.","@@"&amp;$F2872,"3 Posting Date",U$9)</t>
  </si>
  <si>
    <t>=-NL("Sum","5802 Value Entry","151 Cost Amount (Expected)","41 Source Type",$C$5,"5 Source No.",$C2872,"4 Item Ledger Entry Type",$C$4,"2 Item No.","@@"&amp;$F2872,"3 Posting Date",U$9)-NL("Sum","5802 Value Entry","43 Cost Amount (Actual)","41 Source Type",$C$5,"5 Source no.",$C2872,"4 Item Ledger Entry Type",$C$4,"2 Item No.","@@"&amp;$F2872,"3 Posting Date",U$9)</t>
  </si>
  <si>
    <t>=U2872-W2872</t>
  </si>
  <si>
    <t>=IF(U2872&lt;&gt;0,X2872/U2872,"")</t>
  </si>
  <si>
    <t>=NL("Sum","5802 Value Entry","150 Sales Amount (Expected)","41 Source Type",$C$5,"5 Source No.",$C2872,"4 Item Ledger Entry Type",$C$4,"2 Item No.","@@"&amp;$F2872,"3 Posting Date",Z$9)+NL("Sum","5802 Value Entry","17 Sales Amount (Actual)","41 Source Type",$C$5,"5 Source no.",$C2872,"4 Item Ledger Entry Type",$C$4,"2 Item No.","@@"&amp;$F2872,"3 Posting Date",Z$9)</t>
  </si>
  <si>
    <t>=-NL("Sum","5802 Value Entry","151 Cost Amount (Expected)","41 Source Type",$C$5,"5 Source No.",$C2872,"4 Item Ledger Entry Type",$C$4,"2 Item No.","@@"&amp;$F2872,"3 Posting Date",Z$9)-NL("Sum","5802 Value Entry","43 Cost Amount (Actual)","41 Source Type",$C$5,"5 Source no.",$C2872,"4 Item Ledger Entry Type",$C$4,"2 Item No.","@@"&amp;$F2872,"3 Posting Date",Z$9)</t>
  </si>
  <si>
    <t>=Z2872-AB2872</t>
  </si>
  <si>
    <t>=IF(Z2872&lt;&gt;0,AC2872/Z2872,"")</t>
  </si>
  <si>
    <t>=C2872</t>
  </si>
  <si>
    <t>=NL("Sum","5802 Value Entry","150 Sales Amount (Expected)","41 Source Type",$C$5,"5 Source No.",$C2873,"4 Item Ledger Entry Type",$C$4,"2 Item No.","@@"&amp;$F2873,"3 Posting Date",J$9)+NL("Sum","5802 Value Entry","17 Sales Amount (Actual)","41 Source Type",$C$5,"5 Source no.",$C2873,"4 Item Ledger Entry Type",$C$4,"2 Item No.","@@"&amp;$F2873,"3 Posting Date",J$9)</t>
  </si>
  <si>
    <t>=-NL("Sum","5802 Value Entry","151 Cost Amount (Expected)","41 Source Type",$C$5,"5 Source No.",$C2873,"4 Item Ledger Entry Type",$C$4,"2 Item No.","@@"&amp;$F2873,"3 Posting Date",J$9)-NL("Sum","5802 Value Entry","43 Cost Amount (Actual)","41 Source Type",$C$5,"5 Source no.",$C2873,"4 Item Ledger Entry Type",$C$4,"2 Item No.","@@"&amp;$F2873,"3 Posting Date",J$9)</t>
  </si>
  <si>
    <t>=J2873-L2873</t>
  </si>
  <si>
    <t>=IF(J2873&lt;&gt;0,M2873/J2873,"")</t>
  </si>
  <si>
    <t>=NL("Sum","5802 Value Entry","150 Sales Amount (Expected)","41 Source Type",$C$5,"5 Source No.",$C2873,"4 Item Ledger Entry Type",$C$4,"2 Item No.","@@"&amp;$F2873,"3 Posting Date",O$9)+NL("Sum","5802 Value Entry","17 Sales Amount (Actual)","41 Source Type",$C$5,"5 Source no.",$C2873,"4 Item Ledger Entry Type",$C$4,"2 Item No.","@@"&amp;$F2873,"3 Posting Date",O$9)</t>
  </si>
  <si>
    <t>=-NL("Sum","5802 Value Entry","151 Cost Amount (Expected)","41 Source Type",$C$5,"5 Source No.",$C2873,"4 Item Ledger Entry Type",$C$4,"2 Item No.","@@"&amp;$F2873,"3 Posting Date",O$9)-NL("Sum","5802 Value Entry","43 Cost Amount (Actual)","41 Source Type",$C$5,"5 Source no.",$C2873,"4 Item Ledger Entry Type",$C$4,"2 Item No.","@@"&amp;$F2873,"3 Posting Date",O$9)</t>
  </si>
  <si>
    <t>=O2873-Q2873</t>
  </si>
  <si>
    <t>=IF(O2873&lt;&gt;0,R2873/O2873,"")</t>
  </si>
  <si>
    <t>=NL("Sum","5802 Value Entry","150 Sales Amount (Expected)","41 Source Type",$C$5,"5 Source No.",$C2873,"4 Item Ledger Entry Type",$C$4,"2 Item No.","@@"&amp;$F2873,"3 Posting Date",U$9)+NL("Sum","5802 Value Entry","17 Sales Amount (Actual)","41 Source Type",$C$5,"5 Source no.",$C2873,"4 Item Ledger Entry Type",$C$4,"2 Item No.","@@"&amp;$F2873,"3 Posting Date",U$9)</t>
  </si>
  <si>
    <t>=-NL("Sum","5802 Value Entry","151 Cost Amount (Expected)","41 Source Type",$C$5,"5 Source No.",$C2873,"4 Item Ledger Entry Type",$C$4,"2 Item No.","@@"&amp;$F2873,"3 Posting Date",U$9)-NL("Sum","5802 Value Entry","43 Cost Amount (Actual)","41 Source Type",$C$5,"5 Source no.",$C2873,"4 Item Ledger Entry Type",$C$4,"2 Item No.","@@"&amp;$F2873,"3 Posting Date",U$9)</t>
  </si>
  <si>
    <t>=U2873-W2873</t>
  </si>
  <si>
    <t>=IF(U2873&lt;&gt;0,X2873/U2873,"")</t>
  </si>
  <si>
    <t>=NL("Sum","5802 Value Entry","150 Sales Amount (Expected)","41 Source Type",$C$5,"5 Source No.",$C2873,"4 Item Ledger Entry Type",$C$4,"2 Item No.","@@"&amp;$F2873,"3 Posting Date",Z$9)+NL("Sum","5802 Value Entry","17 Sales Amount (Actual)","41 Source Type",$C$5,"5 Source no.",$C2873,"4 Item Ledger Entry Type",$C$4,"2 Item No.","@@"&amp;$F2873,"3 Posting Date",Z$9)</t>
  </si>
  <si>
    <t>=-NL("Sum","5802 Value Entry","151 Cost Amount (Expected)","41 Source Type",$C$5,"5 Source No.",$C2873,"4 Item Ledger Entry Type",$C$4,"2 Item No.","@@"&amp;$F2873,"3 Posting Date",Z$9)-NL("Sum","5802 Value Entry","43 Cost Amount (Actual)","41 Source Type",$C$5,"5 Source no.",$C2873,"4 Item Ledger Entry Type",$C$4,"2 Item No.","@@"&amp;$F2873,"3 Posting Date",Z$9)</t>
  </si>
  <si>
    <t>=Z2873-AB2873</t>
  </si>
  <si>
    <t>=IF(Z2873&lt;&gt;0,AC2873/Z2873,"")</t>
  </si>
  <si>
    <t>=C2873</t>
  </si>
  <si>
    <t>=NL("Sum","5802 Value Entry","150 Sales Amount (Expected)","41 Source Type",$C$5,"5 Source No.",$C2874,"4 Item Ledger Entry Type",$C$4,"2 Item No.","@@"&amp;$F2874,"3 Posting Date",J$9)+NL("Sum","5802 Value Entry","17 Sales Amount (Actual)","41 Source Type",$C$5,"5 Source no.",$C2874,"4 Item Ledger Entry Type",$C$4,"2 Item No.","@@"&amp;$F2874,"3 Posting Date",J$9)</t>
  </si>
  <si>
    <t>=-NL("Sum","5802 Value Entry","151 Cost Amount (Expected)","41 Source Type",$C$5,"5 Source No.",$C2874,"4 Item Ledger Entry Type",$C$4,"2 Item No.","@@"&amp;$F2874,"3 Posting Date",J$9)-NL("Sum","5802 Value Entry","43 Cost Amount (Actual)","41 Source Type",$C$5,"5 Source no.",$C2874,"4 Item Ledger Entry Type",$C$4,"2 Item No.","@@"&amp;$F2874,"3 Posting Date",J$9)</t>
  </si>
  <si>
    <t>=J2874-L2874</t>
  </si>
  <si>
    <t>=IF(J2874&lt;&gt;0,M2874/J2874,"")</t>
  </si>
  <si>
    <t>=NL("Sum","5802 Value Entry","150 Sales Amount (Expected)","41 Source Type",$C$5,"5 Source No.",$C2874,"4 Item Ledger Entry Type",$C$4,"2 Item No.","@@"&amp;$F2874,"3 Posting Date",O$9)+NL("Sum","5802 Value Entry","17 Sales Amount (Actual)","41 Source Type",$C$5,"5 Source no.",$C2874,"4 Item Ledger Entry Type",$C$4,"2 Item No.","@@"&amp;$F2874,"3 Posting Date",O$9)</t>
  </si>
  <si>
    <t>=-NL("Sum","5802 Value Entry","151 Cost Amount (Expected)","41 Source Type",$C$5,"5 Source No.",$C2874,"4 Item Ledger Entry Type",$C$4,"2 Item No.","@@"&amp;$F2874,"3 Posting Date",O$9)-NL("Sum","5802 Value Entry","43 Cost Amount (Actual)","41 Source Type",$C$5,"5 Source no.",$C2874,"4 Item Ledger Entry Type",$C$4,"2 Item No.","@@"&amp;$F2874,"3 Posting Date",O$9)</t>
  </si>
  <si>
    <t>=O2874-Q2874</t>
  </si>
  <si>
    <t>=IF(O2874&lt;&gt;0,R2874/O2874,"")</t>
  </si>
  <si>
    <t>=NL("Sum","5802 Value Entry","150 Sales Amount (Expected)","41 Source Type",$C$5,"5 Source No.",$C2874,"4 Item Ledger Entry Type",$C$4,"2 Item No.","@@"&amp;$F2874,"3 Posting Date",U$9)+NL("Sum","5802 Value Entry","17 Sales Amount (Actual)","41 Source Type",$C$5,"5 Source no.",$C2874,"4 Item Ledger Entry Type",$C$4,"2 Item No.","@@"&amp;$F2874,"3 Posting Date",U$9)</t>
  </si>
  <si>
    <t>=-NL("Sum","5802 Value Entry","151 Cost Amount (Expected)","41 Source Type",$C$5,"5 Source No.",$C2874,"4 Item Ledger Entry Type",$C$4,"2 Item No.","@@"&amp;$F2874,"3 Posting Date",U$9)-NL("Sum","5802 Value Entry","43 Cost Amount (Actual)","41 Source Type",$C$5,"5 Source no.",$C2874,"4 Item Ledger Entry Type",$C$4,"2 Item No.","@@"&amp;$F2874,"3 Posting Date",U$9)</t>
  </si>
  <si>
    <t>=U2874-W2874</t>
  </si>
  <si>
    <t>=IF(U2874&lt;&gt;0,X2874/U2874,"")</t>
  </si>
  <si>
    <t>=NL("Sum","5802 Value Entry","150 Sales Amount (Expected)","41 Source Type",$C$5,"5 Source No.",$C2874,"4 Item Ledger Entry Type",$C$4,"2 Item No.","@@"&amp;$F2874,"3 Posting Date",Z$9)+NL("Sum","5802 Value Entry","17 Sales Amount (Actual)","41 Source Type",$C$5,"5 Source no.",$C2874,"4 Item Ledger Entry Type",$C$4,"2 Item No.","@@"&amp;$F2874,"3 Posting Date",Z$9)</t>
  </si>
  <si>
    <t>=-NL("Sum","5802 Value Entry","151 Cost Amount (Expected)","41 Source Type",$C$5,"5 Source No.",$C2874,"4 Item Ledger Entry Type",$C$4,"2 Item No.","@@"&amp;$F2874,"3 Posting Date",Z$9)-NL("Sum","5802 Value Entry","43 Cost Amount (Actual)","41 Source Type",$C$5,"5 Source no.",$C2874,"4 Item Ledger Entry Type",$C$4,"2 Item No.","@@"&amp;$F2874,"3 Posting Date",Z$9)</t>
  </si>
  <si>
    <t>=Z2874-AB2874</t>
  </si>
  <si>
    <t>=IF(Z2874&lt;&gt;0,AC2874/Z2874,"")</t>
  </si>
  <si>
    <t>=C2874</t>
  </si>
  <si>
    <t>=NL("Sum","5802 Value Entry","150 Sales Amount (Expected)","41 Source Type",$C$5,"5 Source No.",$C2875,"4 Item Ledger Entry Type",$C$4,"2 Item No.","@@"&amp;$F2875,"3 Posting Date",J$9)+NL("Sum","5802 Value Entry","17 Sales Amount (Actual)","41 Source Type",$C$5,"5 Source no.",$C2875,"4 Item Ledger Entry Type",$C$4,"2 Item No.","@@"&amp;$F2875,"3 Posting Date",J$9)</t>
  </si>
  <si>
    <t>=-NL("Sum","5802 Value Entry","151 Cost Amount (Expected)","41 Source Type",$C$5,"5 Source No.",$C2875,"4 Item Ledger Entry Type",$C$4,"2 Item No.","@@"&amp;$F2875,"3 Posting Date",J$9)-NL("Sum","5802 Value Entry","43 Cost Amount (Actual)","41 Source Type",$C$5,"5 Source no.",$C2875,"4 Item Ledger Entry Type",$C$4,"2 Item No.","@@"&amp;$F2875,"3 Posting Date",J$9)</t>
  </si>
  <si>
    <t>=J2875-L2875</t>
  </si>
  <si>
    <t>=IF(J2875&lt;&gt;0,M2875/J2875,"")</t>
  </si>
  <si>
    <t>=NL("Sum","5802 Value Entry","150 Sales Amount (Expected)","41 Source Type",$C$5,"5 Source No.",$C2875,"4 Item Ledger Entry Type",$C$4,"2 Item No.","@@"&amp;$F2875,"3 Posting Date",O$9)+NL("Sum","5802 Value Entry","17 Sales Amount (Actual)","41 Source Type",$C$5,"5 Source no.",$C2875,"4 Item Ledger Entry Type",$C$4,"2 Item No.","@@"&amp;$F2875,"3 Posting Date",O$9)</t>
  </si>
  <si>
    <t>=-NL("Sum","5802 Value Entry","151 Cost Amount (Expected)","41 Source Type",$C$5,"5 Source No.",$C2875,"4 Item Ledger Entry Type",$C$4,"2 Item No.","@@"&amp;$F2875,"3 Posting Date",O$9)-NL("Sum","5802 Value Entry","43 Cost Amount (Actual)","41 Source Type",$C$5,"5 Source no.",$C2875,"4 Item Ledger Entry Type",$C$4,"2 Item No.","@@"&amp;$F2875,"3 Posting Date",O$9)</t>
  </si>
  <si>
    <t>=O2875-Q2875</t>
  </si>
  <si>
    <t>=IF(O2875&lt;&gt;0,R2875/O2875,"")</t>
  </si>
  <si>
    <t>=NL("Sum","5802 Value Entry","150 Sales Amount (Expected)","41 Source Type",$C$5,"5 Source No.",$C2875,"4 Item Ledger Entry Type",$C$4,"2 Item No.","@@"&amp;$F2875,"3 Posting Date",U$9)+NL("Sum","5802 Value Entry","17 Sales Amount (Actual)","41 Source Type",$C$5,"5 Source no.",$C2875,"4 Item Ledger Entry Type",$C$4,"2 Item No.","@@"&amp;$F2875,"3 Posting Date",U$9)</t>
  </si>
  <si>
    <t>=-NL("Sum","5802 Value Entry","151 Cost Amount (Expected)","41 Source Type",$C$5,"5 Source No.",$C2875,"4 Item Ledger Entry Type",$C$4,"2 Item No.","@@"&amp;$F2875,"3 Posting Date",U$9)-NL("Sum","5802 Value Entry","43 Cost Amount (Actual)","41 Source Type",$C$5,"5 Source no.",$C2875,"4 Item Ledger Entry Type",$C$4,"2 Item No.","@@"&amp;$F2875,"3 Posting Date",U$9)</t>
  </si>
  <si>
    <t>=U2875-W2875</t>
  </si>
  <si>
    <t>=IF(U2875&lt;&gt;0,X2875/U2875,"")</t>
  </si>
  <si>
    <t>=NL("Sum","5802 Value Entry","150 Sales Amount (Expected)","41 Source Type",$C$5,"5 Source No.",$C2875,"4 Item Ledger Entry Type",$C$4,"2 Item No.","@@"&amp;$F2875,"3 Posting Date",Z$9)+NL("Sum","5802 Value Entry","17 Sales Amount (Actual)","41 Source Type",$C$5,"5 Source no.",$C2875,"4 Item Ledger Entry Type",$C$4,"2 Item No.","@@"&amp;$F2875,"3 Posting Date",Z$9)</t>
  </si>
  <si>
    <t>=-NL("Sum","5802 Value Entry","151 Cost Amount (Expected)","41 Source Type",$C$5,"5 Source No.",$C2875,"4 Item Ledger Entry Type",$C$4,"2 Item No.","@@"&amp;$F2875,"3 Posting Date",Z$9)-NL("Sum","5802 Value Entry","43 Cost Amount (Actual)","41 Source Type",$C$5,"5 Source no.",$C2875,"4 Item Ledger Entry Type",$C$4,"2 Item No.","@@"&amp;$F2875,"3 Posting Date",Z$9)</t>
  </si>
  <si>
    <t>=Z2875-AB2875</t>
  </si>
  <si>
    <t>=IF(Z2875&lt;&gt;0,AC2875/Z2875,"")</t>
  </si>
  <si>
    <t>=C2875</t>
  </si>
  <si>
    <t>=NL("Sum","5802 Value Entry","150 Sales Amount (Expected)","41 Source Type",$C$5,"5 Source No.",$C2876,"4 Item Ledger Entry Type",$C$4,"2 Item No.","@@"&amp;$F2876,"3 Posting Date",J$9)+NL("Sum","5802 Value Entry","17 Sales Amount (Actual)","41 Source Type",$C$5,"5 Source no.",$C2876,"4 Item Ledger Entry Type",$C$4,"2 Item No.","@@"&amp;$F2876,"3 Posting Date",J$9)</t>
  </si>
  <si>
    <t>=-NL("Sum","5802 Value Entry","151 Cost Amount (Expected)","41 Source Type",$C$5,"5 Source No.",$C2876,"4 Item Ledger Entry Type",$C$4,"2 Item No.","@@"&amp;$F2876,"3 Posting Date",J$9)-NL("Sum","5802 Value Entry","43 Cost Amount (Actual)","41 Source Type",$C$5,"5 Source no.",$C2876,"4 Item Ledger Entry Type",$C$4,"2 Item No.","@@"&amp;$F2876,"3 Posting Date",J$9)</t>
  </si>
  <si>
    <t>=J2876-L2876</t>
  </si>
  <si>
    <t>=IF(J2876&lt;&gt;0,M2876/J2876,"")</t>
  </si>
  <si>
    <t>=NL("Sum","5802 Value Entry","150 Sales Amount (Expected)","41 Source Type",$C$5,"5 Source No.",$C2876,"4 Item Ledger Entry Type",$C$4,"2 Item No.","@@"&amp;$F2876,"3 Posting Date",O$9)+NL("Sum","5802 Value Entry","17 Sales Amount (Actual)","41 Source Type",$C$5,"5 Source no.",$C2876,"4 Item Ledger Entry Type",$C$4,"2 Item No.","@@"&amp;$F2876,"3 Posting Date",O$9)</t>
  </si>
  <si>
    <t>=-NL("Sum","5802 Value Entry","151 Cost Amount (Expected)","41 Source Type",$C$5,"5 Source No.",$C2876,"4 Item Ledger Entry Type",$C$4,"2 Item No.","@@"&amp;$F2876,"3 Posting Date",O$9)-NL("Sum","5802 Value Entry","43 Cost Amount (Actual)","41 Source Type",$C$5,"5 Source no.",$C2876,"4 Item Ledger Entry Type",$C$4,"2 Item No.","@@"&amp;$F2876,"3 Posting Date",O$9)</t>
  </si>
  <si>
    <t>=O2876-Q2876</t>
  </si>
  <si>
    <t>=IF(O2876&lt;&gt;0,R2876/O2876,"")</t>
  </si>
  <si>
    <t>=NL("Sum","5802 Value Entry","150 Sales Amount (Expected)","41 Source Type",$C$5,"5 Source No.",$C2876,"4 Item Ledger Entry Type",$C$4,"2 Item No.","@@"&amp;$F2876,"3 Posting Date",U$9)+NL("Sum","5802 Value Entry","17 Sales Amount (Actual)","41 Source Type",$C$5,"5 Source no.",$C2876,"4 Item Ledger Entry Type",$C$4,"2 Item No.","@@"&amp;$F2876,"3 Posting Date",U$9)</t>
  </si>
  <si>
    <t>=-NL("Sum","5802 Value Entry","151 Cost Amount (Expected)","41 Source Type",$C$5,"5 Source No.",$C2876,"4 Item Ledger Entry Type",$C$4,"2 Item No.","@@"&amp;$F2876,"3 Posting Date",U$9)-NL("Sum","5802 Value Entry","43 Cost Amount (Actual)","41 Source Type",$C$5,"5 Source no.",$C2876,"4 Item Ledger Entry Type",$C$4,"2 Item No.","@@"&amp;$F2876,"3 Posting Date",U$9)</t>
  </si>
  <si>
    <t>=U2876-W2876</t>
  </si>
  <si>
    <t>=IF(U2876&lt;&gt;0,X2876/U2876,"")</t>
  </si>
  <si>
    <t>=NL("Sum","5802 Value Entry","150 Sales Amount (Expected)","41 Source Type",$C$5,"5 Source No.",$C2876,"4 Item Ledger Entry Type",$C$4,"2 Item No.","@@"&amp;$F2876,"3 Posting Date",Z$9)+NL("Sum","5802 Value Entry","17 Sales Amount (Actual)","41 Source Type",$C$5,"5 Source no.",$C2876,"4 Item Ledger Entry Type",$C$4,"2 Item No.","@@"&amp;$F2876,"3 Posting Date",Z$9)</t>
  </si>
  <si>
    <t>=-NL("Sum","5802 Value Entry","151 Cost Amount (Expected)","41 Source Type",$C$5,"5 Source No.",$C2876,"4 Item Ledger Entry Type",$C$4,"2 Item No.","@@"&amp;$F2876,"3 Posting Date",Z$9)-NL("Sum","5802 Value Entry","43 Cost Amount (Actual)","41 Source Type",$C$5,"5 Source no.",$C2876,"4 Item Ledger Entry Type",$C$4,"2 Item No.","@@"&amp;$F2876,"3 Posting Date",Z$9)</t>
  </si>
  <si>
    <t>=Z2876-AB2876</t>
  </si>
  <si>
    <t>=IF(Z2876&lt;&gt;0,AC2876/Z2876,"")</t>
  </si>
  <si>
    <t>=C2876</t>
  </si>
  <si>
    <t>=NL("Sum","5802 Value Entry","150 Sales Amount (Expected)","41 Source Type",$C$5,"5 Source No.",$C2877,"4 Item Ledger Entry Type",$C$4,"2 Item No.","@@"&amp;$F2877,"3 Posting Date",J$9)+NL("Sum","5802 Value Entry","17 Sales Amount (Actual)","41 Source Type",$C$5,"5 Source no.",$C2877,"4 Item Ledger Entry Type",$C$4,"2 Item No.","@@"&amp;$F2877,"3 Posting Date",J$9)</t>
  </si>
  <si>
    <t>=-NL("Sum","5802 Value Entry","151 Cost Amount (Expected)","41 Source Type",$C$5,"5 Source No.",$C2877,"4 Item Ledger Entry Type",$C$4,"2 Item No.","@@"&amp;$F2877,"3 Posting Date",J$9)-NL("Sum","5802 Value Entry","43 Cost Amount (Actual)","41 Source Type",$C$5,"5 Source no.",$C2877,"4 Item Ledger Entry Type",$C$4,"2 Item No.","@@"&amp;$F2877,"3 Posting Date",J$9)</t>
  </si>
  <si>
    <t>=J2877-L2877</t>
  </si>
  <si>
    <t>=IF(J2877&lt;&gt;0,M2877/J2877,"")</t>
  </si>
  <si>
    <t>=NL("Sum","5802 Value Entry","150 Sales Amount (Expected)","41 Source Type",$C$5,"5 Source No.",$C2877,"4 Item Ledger Entry Type",$C$4,"2 Item No.","@@"&amp;$F2877,"3 Posting Date",O$9)+NL("Sum","5802 Value Entry","17 Sales Amount (Actual)","41 Source Type",$C$5,"5 Source no.",$C2877,"4 Item Ledger Entry Type",$C$4,"2 Item No.","@@"&amp;$F2877,"3 Posting Date",O$9)</t>
  </si>
  <si>
    <t>=-NL("Sum","5802 Value Entry","151 Cost Amount (Expected)","41 Source Type",$C$5,"5 Source No.",$C2877,"4 Item Ledger Entry Type",$C$4,"2 Item No.","@@"&amp;$F2877,"3 Posting Date",O$9)-NL("Sum","5802 Value Entry","43 Cost Amount (Actual)","41 Source Type",$C$5,"5 Source no.",$C2877,"4 Item Ledger Entry Type",$C$4,"2 Item No.","@@"&amp;$F2877,"3 Posting Date",O$9)</t>
  </si>
  <si>
    <t>=O2877-Q2877</t>
  </si>
  <si>
    <t>=IF(O2877&lt;&gt;0,R2877/O2877,"")</t>
  </si>
  <si>
    <t>=NL("Sum","5802 Value Entry","150 Sales Amount (Expected)","41 Source Type",$C$5,"5 Source No.",$C2877,"4 Item Ledger Entry Type",$C$4,"2 Item No.","@@"&amp;$F2877,"3 Posting Date",U$9)+NL("Sum","5802 Value Entry","17 Sales Amount (Actual)","41 Source Type",$C$5,"5 Source no.",$C2877,"4 Item Ledger Entry Type",$C$4,"2 Item No.","@@"&amp;$F2877,"3 Posting Date",U$9)</t>
  </si>
  <si>
    <t>=-NL("Sum","5802 Value Entry","151 Cost Amount (Expected)","41 Source Type",$C$5,"5 Source No.",$C2877,"4 Item Ledger Entry Type",$C$4,"2 Item No.","@@"&amp;$F2877,"3 Posting Date",U$9)-NL("Sum","5802 Value Entry","43 Cost Amount (Actual)","41 Source Type",$C$5,"5 Source no.",$C2877,"4 Item Ledger Entry Type",$C$4,"2 Item No.","@@"&amp;$F2877,"3 Posting Date",U$9)</t>
  </si>
  <si>
    <t>=U2877-W2877</t>
  </si>
  <si>
    <t>=IF(U2877&lt;&gt;0,X2877/U2877,"")</t>
  </si>
  <si>
    <t>=NL("Sum","5802 Value Entry","150 Sales Amount (Expected)","41 Source Type",$C$5,"5 Source No.",$C2877,"4 Item Ledger Entry Type",$C$4,"2 Item No.","@@"&amp;$F2877,"3 Posting Date",Z$9)+NL("Sum","5802 Value Entry","17 Sales Amount (Actual)","41 Source Type",$C$5,"5 Source no.",$C2877,"4 Item Ledger Entry Type",$C$4,"2 Item No.","@@"&amp;$F2877,"3 Posting Date",Z$9)</t>
  </si>
  <si>
    <t>=-NL("Sum","5802 Value Entry","151 Cost Amount (Expected)","41 Source Type",$C$5,"5 Source No.",$C2877,"4 Item Ledger Entry Type",$C$4,"2 Item No.","@@"&amp;$F2877,"3 Posting Date",Z$9)-NL("Sum","5802 Value Entry","43 Cost Amount (Actual)","41 Source Type",$C$5,"5 Source no.",$C2877,"4 Item Ledger Entry Type",$C$4,"2 Item No.","@@"&amp;$F2877,"3 Posting Date",Z$9)</t>
  </si>
  <si>
    <t>=Z2877-AB2877</t>
  </si>
  <si>
    <t>=IF(Z2877&lt;&gt;0,AC2877/Z2877,"")</t>
  </si>
  <si>
    <t>=C2878</t>
  </si>
  <si>
    <t>=J2879-L2879</t>
  </si>
  <si>
    <t>=IF(J2879&lt;&gt;0,M2879/J2879,"")</t>
  </si>
  <si>
    <t>=O2879-Q2879</t>
  </si>
  <si>
    <t>=IF(O2879&lt;&gt;0,R2879/O2879,"")</t>
  </si>
  <si>
    <t>=U2879-W2879</t>
  </si>
  <si>
    <t>=IF(U2879&lt;&gt;0,X2879/U2879,"")</t>
  </si>
  <si>
    <t>=Z2879-AB2879</t>
  </si>
  <si>
    <t>=IF(Z2879&lt;&gt;0,AC2879/Z2879,"")</t>
  </si>
  <si>
    <t>="C100122"</t>
  </si>
  <si>
    <t>=C2881</t>
  </si>
  <si>
    <t>=C2882</t>
  </si>
  <si>
    <t>=NL("Sum","5802 Value Entry","150 Sales Amount (Expected)","41 Source Type",$C$5,"5 Source No.",$C2883,"4 Item Ledger Entry Type",$C$4,"2 Item No.","@@"&amp;$F2883,"3 Posting Date",J$9)+NL("Sum","5802 Value Entry","17 Sales Amount (Actual)","41 Source Type",$C$5,"5 Source no.",$C2883,"4 Item Ledger Entry Type",$C$4,"2 Item No.","@@"&amp;$F2883,"3 Posting Date",J$9)</t>
  </si>
  <si>
    <t>=-NL("Sum","5802 Value Entry","151 Cost Amount (Expected)","41 Source Type",$C$5,"5 Source No.",$C2883,"4 Item Ledger Entry Type",$C$4,"2 Item No.","@@"&amp;$F2883,"3 Posting Date",J$9)-NL("Sum","5802 Value Entry","43 Cost Amount (Actual)","41 Source Type",$C$5,"5 Source no.",$C2883,"4 Item Ledger Entry Type",$C$4,"2 Item No.","@@"&amp;$F2883,"3 Posting Date",J$9)</t>
  </si>
  <si>
    <t>=J2883-L2883</t>
  </si>
  <si>
    <t>=IF(J2883&lt;&gt;0,M2883/J2883,"")</t>
  </si>
  <si>
    <t>=NL("Sum","5802 Value Entry","150 Sales Amount (Expected)","41 Source Type",$C$5,"5 Source No.",$C2883,"4 Item Ledger Entry Type",$C$4,"2 Item No.","@@"&amp;$F2883,"3 Posting Date",O$9)+NL("Sum","5802 Value Entry","17 Sales Amount (Actual)","41 Source Type",$C$5,"5 Source no.",$C2883,"4 Item Ledger Entry Type",$C$4,"2 Item No.","@@"&amp;$F2883,"3 Posting Date",O$9)</t>
  </si>
  <si>
    <t>=-NL("Sum","5802 Value Entry","151 Cost Amount (Expected)","41 Source Type",$C$5,"5 Source No.",$C2883,"4 Item Ledger Entry Type",$C$4,"2 Item No.","@@"&amp;$F2883,"3 Posting Date",O$9)-NL("Sum","5802 Value Entry","43 Cost Amount (Actual)","41 Source Type",$C$5,"5 Source no.",$C2883,"4 Item Ledger Entry Type",$C$4,"2 Item No.","@@"&amp;$F2883,"3 Posting Date",O$9)</t>
  </si>
  <si>
    <t>=O2883-Q2883</t>
  </si>
  <si>
    <t>=IF(O2883&lt;&gt;0,R2883/O2883,"")</t>
  </si>
  <si>
    <t>=NL("Sum","5802 Value Entry","150 Sales Amount (Expected)","41 Source Type",$C$5,"5 Source No.",$C2883,"4 Item Ledger Entry Type",$C$4,"2 Item No.","@@"&amp;$F2883,"3 Posting Date",U$9)+NL("Sum","5802 Value Entry","17 Sales Amount (Actual)","41 Source Type",$C$5,"5 Source no.",$C2883,"4 Item Ledger Entry Type",$C$4,"2 Item No.","@@"&amp;$F2883,"3 Posting Date",U$9)</t>
  </si>
  <si>
    <t>=-NL("Sum","5802 Value Entry","151 Cost Amount (Expected)","41 Source Type",$C$5,"5 Source No.",$C2883,"4 Item Ledger Entry Type",$C$4,"2 Item No.","@@"&amp;$F2883,"3 Posting Date",U$9)-NL("Sum","5802 Value Entry","43 Cost Amount (Actual)","41 Source Type",$C$5,"5 Source no.",$C2883,"4 Item Ledger Entry Type",$C$4,"2 Item No.","@@"&amp;$F2883,"3 Posting Date",U$9)</t>
  </si>
  <si>
    <t>=U2883-W2883</t>
  </si>
  <si>
    <t>=IF(U2883&lt;&gt;0,X2883/U2883,"")</t>
  </si>
  <si>
    <t>=NL("Sum","5802 Value Entry","150 Sales Amount (Expected)","41 Source Type",$C$5,"5 Source No.",$C2883,"4 Item Ledger Entry Type",$C$4,"2 Item No.","@@"&amp;$F2883,"3 Posting Date",Z$9)+NL("Sum","5802 Value Entry","17 Sales Amount (Actual)","41 Source Type",$C$5,"5 Source no.",$C2883,"4 Item Ledger Entry Type",$C$4,"2 Item No.","@@"&amp;$F2883,"3 Posting Date",Z$9)</t>
  </si>
  <si>
    <t>=-NL("Sum","5802 Value Entry","151 Cost Amount (Expected)","41 Source Type",$C$5,"5 Source No.",$C2883,"4 Item Ledger Entry Type",$C$4,"2 Item No.","@@"&amp;$F2883,"3 Posting Date",Z$9)-NL("Sum","5802 Value Entry","43 Cost Amount (Actual)","41 Source Type",$C$5,"5 Source no.",$C2883,"4 Item Ledger Entry Type",$C$4,"2 Item No.","@@"&amp;$F2883,"3 Posting Date",Z$9)</t>
  </si>
  <si>
    <t>=Z2883-AB2883</t>
  </si>
  <si>
    <t>=IF(Z2883&lt;&gt;0,AC2883/Z2883,"")</t>
  </si>
  <si>
    <t>=C2883</t>
  </si>
  <si>
    <t>=NL("Sum","5802 Value Entry","150 Sales Amount (Expected)","41 Source Type",$C$5,"5 Source No.",$C2884,"4 Item Ledger Entry Type",$C$4,"2 Item No.","@@"&amp;$F2884,"3 Posting Date",J$9)+NL("Sum","5802 Value Entry","17 Sales Amount (Actual)","41 Source Type",$C$5,"5 Source no.",$C2884,"4 Item Ledger Entry Type",$C$4,"2 Item No.","@@"&amp;$F2884,"3 Posting Date",J$9)</t>
  </si>
  <si>
    <t>=-NL("Sum","5802 Value Entry","151 Cost Amount (Expected)","41 Source Type",$C$5,"5 Source No.",$C2884,"4 Item Ledger Entry Type",$C$4,"2 Item No.","@@"&amp;$F2884,"3 Posting Date",J$9)-NL("Sum","5802 Value Entry","43 Cost Amount (Actual)","41 Source Type",$C$5,"5 Source no.",$C2884,"4 Item Ledger Entry Type",$C$4,"2 Item No.","@@"&amp;$F2884,"3 Posting Date",J$9)</t>
  </si>
  <si>
    <t>=J2884-L2884</t>
  </si>
  <si>
    <t>=IF(J2884&lt;&gt;0,M2884/J2884,"")</t>
  </si>
  <si>
    <t>=NL("Sum","5802 Value Entry","150 Sales Amount (Expected)","41 Source Type",$C$5,"5 Source No.",$C2884,"4 Item Ledger Entry Type",$C$4,"2 Item No.","@@"&amp;$F2884,"3 Posting Date",O$9)+NL("Sum","5802 Value Entry","17 Sales Amount (Actual)","41 Source Type",$C$5,"5 Source no.",$C2884,"4 Item Ledger Entry Type",$C$4,"2 Item No.","@@"&amp;$F2884,"3 Posting Date",O$9)</t>
  </si>
  <si>
    <t>=-NL("Sum","5802 Value Entry","151 Cost Amount (Expected)","41 Source Type",$C$5,"5 Source No.",$C2884,"4 Item Ledger Entry Type",$C$4,"2 Item No.","@@"&amp;$F2884,"3 Posting Date",O$9)-NL("Sum","5802 Value Entry","43 Cost Amount (Actual)","41 Source Type",$C$5,"5 Source no.",$C2884,"4 Item Ledger Entry Type",$C$4,"2 Item No.","@@"&amp;$F2884,"3 Posting Date",O$9)</t>
  </si>
  <si>
    <t>=O2884-Q2884</t>
  </si>
  <si>
    <t>=IF(O2884&lt;&gt;0,R2884/O2884,"")</t>
  </si>
  <si>
    <t>=NL("Sum","5802 Value Entry","150 Sales Amount (Expected)","41 Source Type",$C$5,"5 Source No.",$C2884,"4 Item Ledger Entry Type",$C$4,"2 Item No.","@@"&amp;$F2884,"3 Posting Date",U$9)+NL("Sum","5802 Value Entry","17 Sales Amount (Actual)","41 Source Type",$C$5,"5 Source no.",$C2884,"4 Item Ledger Entry Type",$C$4,"2 Item No.","@@"&amp;$F2884,"3 Posting Date",U$9)</t>
  </si>
  <si>
    <t>=-NL("Sum","5802 Value Entry","151 Cost Amount (Expected)","41 Source Type",$C$5,"5 Source No.",$C2884,"4 Item Ledger Entry Type",$C$4,"2 Item No.","@@"&amp;$F2884,"3 Posting Date",U$9)-NL("Sum","5802 Value Entry","43 Cost Amount (Actual)","41 Source Type",$C$5,"5 Source no.",$C2884,"4 Item Ledger Entry Type",$C$4,"2 Item No.","@@"&amp;$F2884,"3 Posting Date",U$9)</t>
  </si>
  <si>
    <t>=U2884-W2884</t>
  </si>
  <si>
    <t>=IF(U2884&lt;&gt;0,X2884/U2884,"")</t>
  </si>
  <si>
    <t>=NL("Sum","5802 Value Entry","150 Sales Amount (Expected)","41 Source Type",$C$5,"5 Source No.",$C2884,"4 Item Ledger Entry Type",$C$4,"2 Item No.","@@"&amp;$F2884,"3 Posting Date",Z$9)+NL("Sum","5802 Value Entry","17 Sales Amount (Actual)","41 Source Type",$C$5,"5 Source no.",$C2884,"4 Item Ledger Entry Type",$C$4,"2 Item No.","@@"&amp;$F2884,"3 Posting Date",Z$9)</t>
  </si>
  <si>
    <t>=-NL("Sum","5802 Value Entry","151 Cost Amount (Expected)","41 Source Type",$C$5,"5 Source No.",$C2884,"4 Item Ledger Entry Type",$C$4,"2 Item No.","@@"&amp;$F2884,"3 Posting Date",Z$9)-NL("Sum","5802 Value Entry","43 Cost Amount (Actual)","41 Source Type",$C$5,"5 Source no.",$C2884,"4 Item Ledger Entry Type",$C$4,"2 Item No.","@@"&amp;$F2884,"3 Posting Date",Z$9)</t>
  </si>
  <si>
    <t>=Z2884-AB2884</t>
  </si>
  <si>
    <t>=IF(Z2884&lt;&gt;0,AC2884/Z2884,"")</t>
  </si>
  <si>
    <t>=C2884</t>
  </si>
  <si>
    <t>=NL("Sum","5802 Value Entry","150 Sales Amount (Expected)","41 Source Type",$C$5,"5 Source No.",$C2885,"4 Item Ledger Entry Type",$C$4,"2 Item No.","@@"&amp;$F2885,"3 Posting Date",J$9)+NL("Sum","5802 Value Entry","17 Sales Amount (Actual)","41 Source Type",$C$5,"5 Source no.",$C2885,"4 Item Ledger Entry Type",$C$4,"2 Item No.","@@"&amp;$F2885,"3 Posting Date",J$9)</t>
  </si>
  <si>
    <t>=-NL("Sum","5802 Value Entry","151 Cost Amount (Expected)","41 Source Type",$C$5,"5 Source No.",$C2885,"4 Item Ledger Entry Type",$C$4,"2 Item No.","@@"&amp;$F2885,"3 Posting Date",J$9)-NL("Sum","5802 Value Entry","43 Cost Amount (Actual)","41 Source Type",$C$5,"5 Source no.",$C2885,"4 Item Ledger Entry Type",$C$4,"2 Item No.","@@"&amp;$F2885,"3 Posting Date",J$9)</t>
  </si>
  <si>
    <t>=J2885-L2885</t>
  </si>
  <si>
    <t>=IF(J2885&lt;&gt;0,M2885/J2885,"")</t>
  </si>
  <si>
    <t>=NL("Sum","5802 Value Entry","150 Sales Amount (Expected)","41 Source Type",$C$5,"5 Source No.",$C2885,"4 Item Ledger Entry Type",$C$4,"2 Item No.","@@"&amp;$F2885,"3 Posting Date",O$9)+NL("Sum","5802 Value Entry","17 Sales Amount (Actual)","41 Source Type",$C$5,"5 Source no.",$C2885,"4 Item Ledger Entry Type",$C$4,"2 Item No.","@@"&amp;$F2885,"3 Posting Date",O$9)</t>
  </si>
  <si>
    <t>=-NL("Sum","5802 Value Entry","151 Cost Amount (Expected)","41 Source Type",$C$5,"5 Source No.",$C2885,"4 Item Ledger Entry Type",$C$4,"2 Item No.","@@"&amp;$F2885,"3 Posting Date",O$9)-NL("Sum","5802 Value Entry","43 Cost Amount (Actual)","41 Source Type",$C$5,"5 Source no.",$C2885,"4 Item Ledger Entry Type",$C$4,"2 Item No.","@@"&amp;$F2885,"3 Posting Date",O$9)</t>
  </si>
  <si>
    <t>=O2885-Q2885</t>
  </si>
  <si>
    <t>=IF(O2885&lt;&gt;0,R2885/O2885,"")</t>
  </si>
  <si>
    <t>=NL("Sum","5802 Value Entry","150 Sales Amount (Expected)","41 Source Type",$C$5,"5 Source No.",$C2885,"4 Item Ledger Entry Type",$C$4,"2 Item No.","@@"&amp;$F2885,"3 Posting Date",U$9)+NL("Sum","5802 Value Entry","17 Sales Amount (Actual)","41 Source Type",$C$5,"5 Source no.",$C2885,"4 Item Ledger Entry Type",$C$4,"2 Item No.","@@"&amp;$F2885,"3 Posting Date",U$9)</t>
  </si>
  <si>
    <t>=-NL("Sum","5802 Value Entry","151 Cost Amount (Expected)","41 Source Type",$C$5,"5 Source No.",$C2885,"4 Item Ledger Entry Type",$C$4,"2 Item No.","@@"&amp;$F2885,"3 Posting Date",U$9)-NL("Sum","5802 Value Entry","43 Cost Amount (Actual)","41 Source Type",$C$5,"5 Source no.",$C2885,"4 Item Ledger Entry Type",$C$4,"2 Item No.","@@"&amp;$F2885,"3 Posting Date",U$9)</t>
  </si>
  <si>
    <t>=U2885-W2885</t>
  </si>
  <si>
    <t>=IF(U2885&lt;&gt;0,X2885/U2885,"")</t>
  </si>
  <si>
    <t>=NL("Sum","5802 Value Entry","150 Sales Amount (Expected)","41 Source Type",$C$5,"5 Source No.",$C2885,"4 Item Ledger Entry Type",$C$4,"2 Item No.","@@"&amp;$F2885,"3 Posting Date",Z$9)+NL("Sum","5802 Value Entry","17 Sales Amount (Actual)","41 Source Type",$C$5,"5 Source no.",$C2885,"4 Item Ledger Entry Type",$C$4,"2 Item No.","@@"&amp;$F2885,"3 Posting Date",Z$9)</t>
  </si>
  <si>
    <t>=-NL("Sum","5802 Value Entry","151 Cost Amount (Expected)","41 Source Type",$C$5,"5 Source No.",$C2885,"4 Item Ledger Entry Type",$C$4,"2 Item No.","@@"&amp;$F2885,"3 Posting Date",Z$9)-NL("Sum","5802 Value Entry","43 Cost Amount (Actual)","41 Source Type",$C$5,"5 Source no.",$C2885,"4 Item Ledger Entry Type",$C$4,"2 Item No.","@@"&amp;$F2885,"3 Posting Date",Z$9)</t>
  </si>
  <si>
    <t>=Z2885-AB2885</t>
  </si>
  <si>
    <t>=IF(Z2885&lt;&gt;0,AC2885/Z2885,"")</t>
  </si>
  <si>
    <t>=C2885</t>
  </si>
  <si>
    <t>=NL("Sum","5802 Value Entry","150 Sales Amount (Expected)","41 Source Type",$C$5,"5 Source No.",$C2886,"4 Item Ledger Entry Type",$C$4,"2 Item No.","@@"&amp;$F2886,"3 Posting Date",J$9)+NL("Sum","5802 Value Entry","17 Sales Amount (Actual)","41 Source Type",$C$5,"5 Source no.",$C2886,"4 Item Ledger Entry Type",$C$4,"2 Item No.","@@"&amp;$F2886,"3 Posting Date",J$9)</t>
  </si>
  <si>
    <t>=-NL("Sum","5802 Value Entry","151 Cost Amount (Expected)","41 Source Type",$C$5,"5 Source No.",$C2886,"4 Item Ledger Entry Type",$C$4,"2 Item No.","@@"&amp;$F2886,"3 Posting Date",J$9)-NL("Sum","5802 Value Entry","43 Cost Amount (Actual)","41 Source Type",$C$5,"5 Source no.",$C2886,"4 Item Ledger Entry Type",$C$4,"2 Item No.","@@"&amp;$F2886,"3 Posting Date",J$9)</t>
  </si>
  <si>
    <t>=J2886-L2886</t>
  </si>
  <si>
    <t>=IF(J2886&lt;&gt;0,M2886/J2886,"")</t>
  </si>
  <si>
    <t>=NL("Sum","5802 Value Entry","150 Sales Amount (Expected)","41 Source Type",$C$5,"5 Source No.",$C2886,"4 Item Ledger Entry Type",$C$4,"2 Item No.","@@"&amp;$F2886,"3 Posting Date",O$9)+NL("Sum","5802 Value Entry","17 Sales Amount (Actual)","41 Source Type",$C$5,"5 Source no.",$C2886,"4 Item Ledger Entry Type",$C$4,"2 Item No.","@@"&amp;$F2886,"3 Posting Date",O$9)</t>
  </si>
  <si>
    <t>=-NL("Sum","5802 Value Entry","151 Cost Amount (Expected)","41 Source Type",$C$5,"5 Source No.",$C2886,"4 Item Ledger Entry Type",$C$4,"2 Item No.","@@"&amp;$F2886,"3 Posting Date",O$9)-NL("Sum","5802 Value Entry","43 Cost Amount (Actual)","41 Source Type",$C$5,"5 Source no.",$C2886,"4 Item Ledger Entry Type",$C$4,"2 Item No.","@@"&amp;$F2886,"3 Posting Date",O$9)</t>
  </si>
  <si>
    <t>=O2886-Q2886</t>
  </si>
  <si>
    <t>=IF(O2886&lt;&gt;0,R2886/O2886,"")</t>
  </si>
  <si>
    <t>=NL("Sum","5802 Value Entry","150 Sales Amount (Expected)","41 Source Type",$C$5,"5 Source No.",$C2886,"4 Item Ledger Entry Type",$C$4,"2 Item No.","@@"&amp;$F2886,"3 Posting Date",U$9)+NL("Sum","5802 Value Entry","17 Sales Amount (Actual)","41 Source Type",$C$5,"5 Source no.",$C2886,"4 Item Ledger Entry Type",$C$4,"2 Item No.","@@"&amp;$F2886,"3 Posting Date",U$9)</t>
  </si>
  <si>
    <t>=-NL("Sum","5802 Value Entry","151 Cost Amount (Expected)","41 Source Type",$C$5,"5 Source No.",$C2886,"4 Item Ledger Entry Type",$C$4,"2 Item No.","@@"&amp;$F2886,"3 Posting Date",U$9)-NL("Sum","5802 Value Entry","43 Cost Amount (Actual)","41 Source Type",$C$5,"5 Source no.",$C2886,"4 Item Ledger Entry Type",$C$4,"2 Item No.","@@"&amp;$F2886,"3 Posting Date",U$9)</t>
  </si>
  <si>
    <t>=U2886-W2886</t>
  </si>
  <si>
    <t>=IF(U2886&lt;&gt;0,X2886/U2886,"")</t>
  </si>
  <si>
    <t>=NL("Sum","5802 Value Entry","150 Sales Amount (Expected)","41 Source Type",$C$5,"5 Source No.",$C2886,"4 Item Ledger Entry Type",$C$4,"2 Item No.","@@"&amp;$F2886,"3 Posting Date",Z$9)+NL("Sum","5802 Value Entry","17 Sales Amount (Actual)","41 Source Type",$C$5,"5 Source no.",$C2886,"4 Item Ledger Entry Type",$C$4,"2 Item No.","@@"&amp;$F2886,"3 Posting Date",Z$9)</t>
  </si>
  <si>
    <t>=-NL("Sum","5802 Value Entry","151 Cost Amount (Expected)","41 Source Type",$C$5,"5 Source No.",$C2886,"4 Item Ledger Entry Type",$C$4,"2 Item No.","@@"&amp;$F2886,"3 Posting Date",Z$9)-NL("Sum","5802 Value Entry","43 Cost Amount (Actual)","41 Source Type",$C$5,"5 Source no.",$C2886,"4 Item Ledger Entry Type",$C$4,"2 Item No.","@@"&amp;$F2886,"3 Posting Date",Z$9)</t>
  </si>
  <si>
    <t>=Z2886-AB2886</t>
  </si>
  <si>
    <t>=IF(Z2886&lt;&gt;0,AC2886/Z2886,"")</t>
  </si>
  <si>
    <t>=C2886</t>
  </si>
  <si>
    <t>=NL("Sum","5802 Value Entry","150 Sales Amount (Expected)","41 Source Type",$C$5,"5 Source No.",$C2887,"4 Item Ledger Entry Type",$C$4,"2 Item No.","@@"&amp;$F2887,"3 Posting Date",J$9)+NL("Sum","5802 Value Entry","17 Sales Amount (Actual)","41 Source Type",$C$5,"5 Source no.",$C2887,"4 Item Ledger Entry Type",$C$4,"2 Item No.","@@"&amp;$F2887,"3 Posting Date",J$9)</t>
  </si>
  <si>
    <t>=-NL("Sum","5802 Value Entry","151 Cost Amount (Expected)","41 Source Type",$C$5,"5 Source No.",$C2887,"4 Item Ledger Entry Type",$C$4,"2 Item No.","@@"&amp;$F2887,"3 Posting Date",J$9)-NL("Sum","5802 Value Entry","43 Cost Amount (Actual)","41 Source Type",$C$5,"5 Source no.",$C2887,"4 Item Ledger Entry Type",$C$4,"2 Item No.","@@"&amp;$F2887,"3 Posting Date",J$9)</t>
  </si>
  <si>
    <t>=J2887-L2887</t>
  </si>
  <si>
    <t>=IF(J2887&lt;&gt;0,M2887/J2887,"")</t>
  </si>
  <si>
    <t>=NL("Sum","5802 Value Entry","150 Sales Amount (Expected)","41 Source Type",$C$5,"5 Source No.",$C2887,"4 Item Ledger Entry Type",$C$4,"2 Item No.","@@"&amp;$F2887,"3 Posting Date",O$9)+NL("Sum","5802 Value Entry","17 Sales Amount (Actual)","41 Source Type",$C$5,"5 Source no.",$C2887,"4 Item Ledger Entry Type",$C$4,"2 Item No.","@@"&amp;$F2887,"3 Posting Date",O$9)</t>
  </si>
  <si>
    <t>=-NL("Sum","5802 Value Entry","151 Cost Amount (Expected)","41 Source Type",$C$5,"5 Source No.",$C2887,"4 Item Ledger Entry Type",$C$4,"2 Item No.","@@"&amp;$F2887,"3 Posting Date",O$9)-NL("Sum","5802 Value Entry","43 Cost Amount (Actual)","41 Source Type",$C$5,"5 Source no.",$C2887,"4 Item Ledger Entry Type",$C$4,"2 Item No.","@@"&amp;$F2887,"3 Posting Date",O$9)</t>
  </si>
  <si>
    <t>=O2887-Q2887</t>
  </si>
  <si>
    <t>=IF(O2887&lt;&gt;0,R2887/O2887,"")</t>
  </si>
  <si>
    <t>=NL("Sum","5802 Value Entry","150 Sales Amount (Expected)","41 Source Type",$C$5,"5 Source No.",$C2887,"4 Item Ledger Entry Type",$C$4,"2 Item No.","@@"&amp;$F2887,"3 Posting Date",U$9)+NL("Sum","5802 Value Entry","17 Sales Amount (Actual)","41 Source Type",$C$5,"5 Source no.",$C2887,"4 Item Ledger Entry Type",$C$4,"2 Item No.","@@"&amp;$F2887,"3 Posting Date",U$9)</t>
  </si>
  <si>
    <t>=-NL("Sum","5802 Value Entry","151 Cost Amount (Expected)","41 Source Type",$C$5,"5 Source No.",$C2887,"4 Item Ledger Entry Type",$C$4,"2 Item No.","@@"&amp;$F2887,"3 Posting Date",U$9)-NL("Sum","5802 Value Entry","43 Cost Amount (Actual)","41 Source Type",$C$5,"5 Source no.",$C2887,"4 Item Ledger Entry Type",$C$4,"2 Item No.","@@"&amp;$F2887,"3 Posting Date",U$9)</t>
  </si>
  <si>
    <t>=U2887-W2887</t>
  </si>
  <si>
    <t>=IF(U2887&lt;&gt;0,X2887/U2887,"")</t>
  </si>
  <si>
    <t>=NL("Sum","5802 Value Entry","150 Sales Amount (Expected)","41 Source Type",$C$5,"5 Source No.",$C2887,"4 Item Ledger Entry Type",$C$4,"2 Item No.","@@"&amp;$F2887,"3 Posting Date",Z$9)+NL("Sum","5802 Value Entry","17 Sales Amount (Actual)","41 Source Type",$C$5,"5 Source no.",$C2887,"4 Item Ledger Entry Type",$C$4,"2 Item No.","@@"&amp;$F2887,"3 Posting Date",Z$9)</t>
  </si>
  <si>
    <t>=-NL("Sum","5802 Value Entry","151 Cost Amount (Expected)","41 Source Type",$C$5,"5 Source No.",$C2887,"4 Item Ledger Entry Type",$C$4,"2 Item No.","@@"&amp;$F2887,"3 Posting Date",Z$9)-NL("Sum","5802 Value Entry","43 Cost Amount (Actual)","41 Source Type",$C$5,"5 Source no.",$C2887,"4 Item Ledger Entry Type",$C$4,"2 Item No.","@@"&amp;$F2887,"3 Posting Date",Z$9)</t>
  </si>
  <si>
    <t>=Z2887-AB2887</t>
  </si>
  <si>
    <t>=IF(Z2887&lt;&gt;0,AC2887/Z2887,"")</t>
  </si>
  <si>
    <t>=C2887</t>
  </si>
  <si>
    <t>=NL("Sum","5802 Value Entry","150 Sales Amount (Expected)","41 Source Type",$C$5,"5 Source No.",$C2888,"4 Item Ledger Entry Type",$C$4,"2 Item No.","@@"&amp;$F2888,"3 Posting Date",J$9)+NL("Sum","5802 Value Entry","17 Sales Amount (Actual)","41 Source Type",$C$5,"5 Source no.",$C2888,"4 Item Ledger Entry Type",$C$4,"2 Item No.","@@"&amp;$F2888,"3 Posting Date",J$9)</t>
  </si>
  <si>
    <t>=-NL("Sum","5802 Value Entry","151 Cost Amount (Expected)","41 Source Type",$C$5,"5 Source No.",$C2888,"4 Item Ledger Entry Type",$C$4,"2 Item No.","@@"&amp;$F2888,"3 Posting Date",J$9)-NL("Sum","5802 Value Entry","43 Cost Amount (Actual)","41 Source Type",$C$5,"5 Source no.",$C2888,"4 Item Ledger Entry Type",$C$4,"2 Item No.","@@"&amp;$F2888,"3 Posting Date",J$9)</t>
  </si>
  <si>
    <t>=J2888-L2888</t>
  </si>
  <si>
    <t>=IF(J2888&lt;&gt;0,M2888/J2888,"")</t>
  </si>
  <si>
    <t>=NL("Sum","5802 Value Entry","150 Sales Amount (Expected)","41 Source Type",$C$5,"5 Source No.",$C2888,"4 Item Ledger Entry Type",$C$4,"2 Item No.","@@"&amp;$F2888,"3 Posting Date",O$9)+NL("Sum","5802 Value Entry","17 Sales Amount (Actual)","41 Source Type",$C$5,"5 Source no.",$C2888,"4 Item Ledger Entry Type",$C$4,"2 Item No.","@@"&amp;$F2888,"3 Posting Date",O$9)</t>
  </si>
  <si>
    <t>=-NL("Sum","5802 Value Entry","151 Cost Amount (Expected)","41 Source Type",$C$5,"5 Source No.",$C2888,"4 Item Ledger Entry Type",$C$4,"2 Item No.","@@"&amp;$F2888,"3 Posting Date",O$9)-NL("Sum","5802 Value Entry","43 Cost Amount (Actual)","41 Source Type",$C$5,"5 Source no.",$C2888,"4 Item Ledger Entry Type",$C$4,"2 Item No.","@@"&amp;$F2888,"3 Posting Date",O$9)</t>
  </si>
  <si>
    <t>=O2888-Q2888</t>
  </si>
  <si>
    <t>=IF(O2888&lt;&gt;0,R2888/O2888,"")</t>
  </si>
  <si>
    <t>=NL("Sum","5802 Value Entry","150 Sales Amount (Expected)","41 Source Type",$C$5,"5 Source No.",$C2888,"4 Item Ledger Entry Type",$C$4,"2 Item No.","@@"&amp;$F2888,"3 Posting Date",U$9)+NL("Sum","5802 Value Entry","17 Sales Amount (Actual)","41 Source Type",$C$5,"5 Source no.",$C2888,"4 Item Ledger Entry Type",$C$4,"2 Item No.","@@"&amp;$F2888,"3 Posting Date",U$9)</t>
  </si>
  <si>
    <t>=-NL("Sum","5802 Value Entry","151 Cost Amount (Expected)","41 Source Type",$C$5,"5 Source No.",$C2888,"4 Item Ledger Entry Type",$C$4,"2 Item No.","@@"&amp;$F2888,"3 Posting Date",U$9)-NL("Sum","5802 Value Entry","43 Cost Amount (Actual)","41 Source Type",$C$5,"5 Source no.",$C2888,"4 Item Ledger Entry Type",$C$4,"2 Item No.","@@"&amp;$F2888,"3 Posting Date",U$9)</t>
  </si>
  <si>
    <t>=U2888-W2888</t>
  </si>
  <si>
    <t>=IF(U2888&lt;&gt;0,X2888/U2888,"")</t>
  </si>
  <si>
    <t>=NL("Sum","5802 Value Entry","150 Sales Amount (Expected)","41 Source Type",$C$5,"5 Source No.",$C2888,"4 Item Ledger Entry Type",$C$4,"2 Item No.","@@"&amp;$F2888,"3 Posting Date",Z$9)+NL("Sum","5802 Value Entry","17 Sales Amount (Actual)","41 Source Type",$C$5,"5 Source no.",$C2888,"4 Item Ledger Entry Type",$C$4,"2 Item No.","@@"&amp;$F2888,"3 Posting Date",Z$9)</t>
  </si>
  <si>
    <t>=-NL("Sum","5802 Value Entry","151 Cost Amount (Expected)","41 Source Type",$C$5,"5 Source No.",$C2888,"4 Item Ledger Entry Type",$C$4,"2 Item No.","@@"&amp;$F2888,"3 Posting Date",Z$9)-NL("Sum","5802 Value Entry","43 Cost Amount (Actual)","41 Source Type",$C$5,"5 Source no.",$C2888,"4 Item Ledger Entry Type",$C$4,"2 Item No.","@@"&amp;$F2888,"3 Posting Date",Z$9)</t>
  </si>
  <si>
    <t>=Z2888-AB2888</t>
  </si>
  <si>
    <t>=IF(Z2888&lt;&gt;0,AC2888/Z2888,"")</t>
  </si>
  <si>
    <t>=C2888</t>
  </si>
  <si>
    <t>=NL("Sum","5802 Value Entry","150 Sales Amount (Expected)","41 Source Type",$C$5,"5 Source No.",$C2889,"4 Item Ledger Entry Type",$C$4,"2 Item No.","@@"&amp;$F2889,"3 Posting Date",J$9)+NL("Sum","5802 Value Entry","17 Sales Amount (Actual)","41 Source Type",$C$5,"5 Source no.",$C2889,"4 Item Ledger Entry Type",$C$4,"2 Item No.","@@"&amp;$F2889,"3 Posting Date",J$9)</t>
  </si>
  <si>
    <t>=-NL("Sum","5802 Value Entry","151 Cost Amount (Expected)","41 Source Type",$C$5,"5 Source No.",$C2889,"4 Item Ledger Entry Type",$C$4,"2 Item No.","@@"&amp;$F2889,"3 Posting Date",J$9)-NL("Sum","5802 Value Entry","43 Cost Amount (Actual)","41 Source Type",$C$5,"5 Source no.",$C2889,"4 Item Ledger Entry Type",$C$4,"2 Item No.","@@"&amp;$F2889,"3 Posting Date",J$9)</t>
  </si>
  <si>
    <t>=J2889-L2889</t>
  </si>
  <si>
    <t>=IF(J2889&lt;&gt;0,M2889/J2889,"")</t>
  </si>
  <si>
    <t>=NL("Sum","5802 Value Entry","150 Sales Amount (Expected)","41 Source Type",$C$5,"5 Source No.",$C2889,"4 Item Ledger Entry Type",$C$4,"2 Item No.","@@"&amp;$F2889,"3 Posting Date",O$9)+NL("Sum","5802 Value Entry","17 Sales Amount (Actual)","41 Source Type",$C$5,"5 Source no.",$C2889,"4 Item Ledger Entry Type",$C$4,"2 Item No.","@@"&amp;$F2889,"3 Posting Date",O$9)</t>
  </si>
  <si>
    <t>=-NL("Sum","5802 Value Entry","151 Cost Amount (Expected)","41 Source Type",$C$5,"5 Source No.",$C2889,"4 Item Ledger Entry Type",$C$4,"2 Item No.","@@"&amp;$F2889,"3 Posting Date",O$9)-NL("Sum","5802 Value Entry","43 Cost Amount (Actual)","41 Source Type",$C$5,"5 Source no.",$C2889,"4 Item Ledger Entry Type",$C$4,"2 Item No.","@@"&amp;$F2889,"3 Posting Date",O$9)</t>
  </si>
  <si>
    <t>=O2889-Q2889</t>
  </si>
  <si>
    <t>=IF(O2889&lt;&gt;0,R2889/O2889,"")</t>
  </si>
  <si>
    <t>=NL("Sum","5802 Value Entry","150 Sales Amount (Expected)","41 Source Type",$C$5,"5 Source No.",$C2889,"4 Item Ledger Entry Type",$C$4,"2 Item No.","@@"&amp;$F2889,"3 Posting Date",U$9)+NL("Sum","5802 Value Entry","17 Sales Amount (Actual)","41 Source Type",$C$5,"5 Source no.",$C2889,"4 Item Ledger Entry Type",$C$4,"2 Item No.","@@"&amp;$F2889,"3 Posting Date",U$9)</t>
  </si>
  <si>
    <t>=-NL("Sum","5802 Value Entry","151 Cost Amount (Expected)","41 Source Type",$C$5,"5 Source No.",$C2889,"4 Item Ledger Entry Type",$C$4,"2 Item No.","@@"&amp;$F2889,"3 Posting Date",U$9)-NL("Sum","5802 Value Entry","43 Cost Amount (Actual)","41 Source Type",$C$5,"5 Source no.",$C2889,"4 Item Ledger Entry Type",$C$4,"2 Item No.","@@"&amp;$F2889,"3 Posting Date",U$9)</t>
  </si>
  <si>
    <t>=U2889-W2889</t>
  </si>
  <si>
    <t>=IF(U2889&lt;&gt;0,X2889/U2889,"")</t>
  </si>
  <si>
    <t>=NL("Sum","5802 Value Entry","150 Sales Amount (Expected)","41 Source Type",$C$5,"5 Source No.",$C2889,"4 Item Ledger Entry Type",$C$4,"2 Item No.","@@"&amp;$F2889,"3 Posting Date",Z$9)+NL("Sum","5802 Value Entry","17 Sales Amount (Actual)","41 Source Type",$C$5,"5 Source no.",$C2889,"4 Item Ledger Entry Type",$C$4,"2 Item No.","@@"&amp;$F2889,"3 Posting Date",Z$9)</t>
  </si>
  <si>
    <t>=-NL("Sum","5802 Value Entry","151 Cost Amount (Expected)","41 Source Type",$C$5,"5 Source No.",$C2889,"4 Item Ledger Entry Type",$C$4,"2 Item No.","@@"&amp;$F2889,"3 Posting Date",Z$9)-NL("Sum","5802 Value Entry","43 Cost Amount (Actual)","41 Source Type",$C$5,"5 Source no.",$C2889,"4 Item Ledger Entry Type",$C$4,"2 Item No.","@@"&amp;$F2889,"3 Posting Date",Z$9)</t>
  </si>
  <si>
    <t>=Z2889-AB2889</t>
  </si>
  <si>
    <t>=IF(Z2889&lt;&gt;0,AC2889/Z2889,"")</t>
  </si>
  <si>
    <t>=C2889</t>
  </si>
  <si>
    <t>=NL("Sum","5802 Value Entry","150 Sales Amount (Expected)","41 Source Type",$C$5,"5 Source No.",$C2890,"4 Item Ledger Entry Type",$C$4,"2 Item No.","@@"&amp;$F2890,"3 Posting Date",J$9)+NL("Sum","5802 Value Entry","17 Sales Amount (Actual)","41 Source Type",$C$5,"5 Source no.",$C2890,"4 Item Ledger Entry Type",$C$4,"2 Item No.","@@"&amp;$F2890,"3 Posting Date",J$9)</t>
  </si>
  <si>
    <t>=-NL("Sum","5802 Value Entry","151 Cost Amount (Expected)","41 Source Type",$C$5,"5 Source No.",$C2890,"4 Item Ledger Entry Type",$C$4,"2 Item No.","@@"&amp;$F2890,"3 Posting Date",J$9)-NL("Sum","5802 Value Entry","43 Cost Amount (Actual)","41 Source Type",$C$5,"5 Source no.",$C2890,"4 Item Ledger Entry Type",$C$4,"2 Item No.","@@"&amp;$F2890,"3 Posting Date",J$9)</t>
  </si>
  <si>
    <t>=J2890-L2890</t>
  </si>
  <si>
    <t>=IF(J2890&lt;&gt;0,M2890/J2890,"")</t>
  </si>
  <si>
    <t>=NL("Sum","5802 Value Entry","150 Sales Amount (Expected)","41 Source Type",$C$5,"5 Source No.",$C2890,"4 Item Ledger Entry Type",$C$4,"2 Item No.","@@"&amp;$F2890,"3 Posting Date",O$9)+NL("Sum","5802 Value Entry","17 Sales Amount (Actual)","41 Source Type",$C$5,"5 Source no.",$C2890,"4 Item Ledger Entry Type",$C$4,"2 Item No.","@@"&amp;$F2890,"3 Posting Date",O$9)</t>
  </si>
  <si>
    <t>=-NL("Sum","5802 Value Entry","151 Cost Amount (Expected)","41 Source Type",$C$5,"5 Source No.",$C2890,"4 Item Ledger Entry Type",$C$4,"2 Item No.","@@"&amp;$F2890,"3 Posting Date",O$9)-NL("Sum","5802 Value Entry","43 Cost Amount (Actual)","41 Source Type",$C$5,"5 Source no.",$C2890,"4 Item Ledger Entry Type",$C$4,"2 Item No.","@@"&amp;$F2890,"3 Posting Date",O$9)</t>
  </si>
  <si>
    <t>=O2890-Q2890</t>
  </si>
  <si>
    <t>=IF(O2890&lt;&gt;0,R2890/O2890,"")</t>
  </si>
  <si>
    <t>=NL("Sum","5802 Value Entry","150 Sales Amount (Expected)","41 Source Type",$C$5,"5 Source No.",$C2890,"4 Item Ledger Entry Type",$C$4,"2 Item No.","@@"&amp;$F2890,"3 Posting Date",U$9)+NL("Sum","5802 Value Entry","17 Sales Amount (Actual)","41 Source Type",$C$5,"5 Source no.",$C2890,"4 Item Ledger Entry Type",$C$4,"2 Item No.","@@"&amp;$F2890,"3 Posting Date",U$9)</t>
  </si>
  <si>
    <t>=-NL("Sum","5802 Value Entry","151 Cost Amount (Expected)","41 Source Type",$C$5,"5 Source No.",$C2890,"4 Item Ledger Entry Type",$C$4,"2 Item No.","@@"&amp;$F2890,"3 Posting Date",U$9)-NL("Sum","5802 Value Entry","43 Cost Amount (Actual)","41 Source Type",$C$5,"5 Source no.",$C2890,"4 Item Ledger Entry Type",$C$4,"2 Item No.","@@"&amp;$F2890,"3 Posting Date",U$9)</t>
  </si>
  <si>
    <t>=U2890-W2890</t>
  </si>
  <si>
    <t>=IF(U2890&lt;&gt;0,X2890/U2890,"")</t>
  </si>
  <si>
    <t>=NL("Sum","5802 Value Entry","150 Sales Amount (Expected)","41 Source Type",$C$5,"5 Source No.",$C2890,"4 Item Ledger Entry Type",$C$4,"2 Item No.","@@"&amp;$F2890,"3 Posting Date",Z$9)+NL("Sum","5802 Value Entry","17 Sales Amount (Actual)","41 Source Type",$C$5,"5 Source no.",$C2890,"4 Item Ledger Entry Type",$C$4,"2 Item No.","@@"&amp;$F2890,"3 Posting Date",Z$9)</t>
  </si>
  <si>
    <t>=-NL("Sum","5802 Value Entry","151 Cost Amount (Expected)","41 Source Type",$C$5,"5 Source No.",$C2890,"4 Item Ledger Entry Type",$C$4,"2 Item No.","@@"&amp;$F2890,"3 Posting Date",Z$9)-NL("Sum","5802 Value Entry","43 Cost Amount (Actual)","41 Source Type",$C$5,"5 Source no.",$C2890,"4 Item Ledger Entry Type",$C$4,"2 Item No.","@@"&amp;$F2890,"3 Posting Date",Z$9)</t>
  </si>
  <si>
    <t>=Z2890-AB2890</t>
  </si>
  <si>
    <t>=IF(Z2890&lt;&gt;0,AC2890/Z2890,"")</t>
  </si>
  <si>
    <t>=C2890</t>
  </si>
  <si>
    <t>=NL("Sum","5802 Value Entry","150 Sales Amount (Expected)","41 Source Type",$C$5,"5 Source No.",$C2891,"4 Item Ledger Entry Type",$C$4,"2 Item No.","@@"&amp;$F2891,"3 Posting Date",J$9)+NL("Sum","5802 Value Entry","17 Sales Amount (Actual)","41 Source Type",$C$5,"5 Source no.",$C2891,"4 Item Ledger Entry Type",$C$4,"2 Item No.","@@"&amp;$F2891,"3 Posting Date",J$9)</t>
  </si>
  <si>
    <t>=-NL("Sum","5802 Value Entry","151 Cost Amount (Expected)","41 Source Type",$C$5,"5 Source No.",$C2891,"4 Item Ledger Entry Type",$C$4,"2 Item No.","@@"&amp;$F2891,"3 Posting Date",J$9)-NL("Sum","5802 Value Entry","43 Cost Amount (Actual)","41 Source Type",$C$5,"5 Source no.",$C2891,"4 Item Ledger Entry Type",$C$4,"2 Item No.","@@"&amp;$F2891,"3 Posting Date",J$9)</t>
  </si>
  <si>
    <t>=J2891-L2891</t>
  </si>
  <si>
    <t>=IF(J2891&lt;&gt;0,M2891/J2891,"")</t>
  </si>
  <si>
    <t>=NL("Sum","5802 Value Entry","150 Sales Amount (Expected)","41 Source Type",$C$5,"5 Source No.",$C2891,"4 Item Ledger Entry Type",$C$4,"2 Item No.","@@"&amp;$F2891,"3 Posting Date",O$9)+NL("Sum","5802 Value Entry","17 Sales Amount (Actual)","41 Source Type",$C$5,"5 Source no.",$C2891,"4 Item Ledger Entry Type",$C$4,"2 Item No.","@@"&amp;$F2891,"3 Posting Date",O$9)</t>
  </si>
  <si>
    <t>=-NL("Sum","5802 Value Entry","151 Cost Amount (Expected)","41 Source Type",$C$5,"5 Source No.",$C2891,"4 Item Ledger Entry Type",$C$4,"2 Item No.","@@"&amp;$F2891,"3 Posting Date",O$9)-NL("Sum","5802 Value Entry","43 Cost Amount (Actual)","41 Source Type",$C$5,"5 Source no.",$C2891,"4 Item Ledger Entry Type",$C$4,"2 Item No.","@@"&amp;$F2891,"3 Posting Date",O$9)</t>
  </si>
  <si>
    <t>=O2891-Q2891</t>
  </si>
  <si>
    <t>=IF(O2891&lt;&gt;0,R2891/O2891,"")</t>
  </si>
  <si>
    <t>=NL("Sum","5802 Value Entry","150 Sales Amount (Expected)","41 Source Type",$C$5,"5 Source No.",$C2891,"4 Item Ledger Entry Type",$C$4,"2 Item No.","@@"&amp;$F2891,"3 Posting Date",U$9)+NL("Sum","5802 Value Entry","17 Sales Amount (Actual)","41 Source Type",$C$5,"5 Source no.",$C2891,"4 Item Ledger Entry Type",$C$4,"2 Item No.","@@"&amp;$F2891,"3 Posting Date",U$9)</t>
  </si>
  <si>
    <t>=-NL("Sum","5802 Value Entry","151 Cost Amount (Expected)","41 Source Type",$C$5,"5 Source No.",$C2891,"4 Item Ledger Entry Type",$C$4,"2 Item No.","@@"&amp;$F2891,"3 Posting Date",U$9)-NL("Sum","5802 Value Entry","43 Cost Amount (Actual)","41 Source Type",$C$5,"5 Source no.",$C2891,"4 Item Ledger Entry Type",$C$4,"2 Item No.","@@"&amp;$F2891,"3 Posting Date",U$9)</t>
  </si>
  <si>
    <t>=U2891-W2891</t>
  </si>
  <si>
    <t>=IF(U2891&lt;&gt;0,X2891/U2891,"")</t>
  </si>
  <si>
    <t>=NL("Sum","5802 Value Entry","150 Sales Amount (Expected)","41 Source Type",$C$5,"5 Source No.",$C2891,"4 Item Ledger Entry Type",$C$4,"2 Item No.","@@"&amp;$F2891,"3 Posting Date",Z$9)+NL("Sum","5802 Value Entry","17 Sales Amount (Actual)","41 Source Type",$C$5,"5 Source no.",$C2891,"4 Item Ledger Entry Type",$C$4,"2 Item No.","@@"&amp;$F2891,"3 Posting Date",Z$9)</t>
  </si>
  <si>
    <t>=-NL("Sum","5802 Value Entry","151 Cost Amount (Expected)","41 Source Type",$C$5,"5 Source No.",$C2891,"4 Item Ledger Entry Type",$C$4,"2 Item No.","@@"&amp;$F2891,"3 Posting Date",Z$9)-NL("Sum","5802 Value Entry","43 Cost Amount (Actual)","41 Source Type",$C$5,"5 Source no.",$C2891,"4 Item Ledger Entry Type",$C$4,"2 Item No.","@@"&amp;$F2891,"3 Posting Date",Z$9)</t>
  </si>
  <si>
    <t>=Z2891-AB2891</t>
  </si>
  <si>
    <t>=IF(Z2891&lt;&gt;0,AC2891/Z2891,"")</t>
  </si>
  <si>
    <t>=C2891</t>
  </si>
  <si>
    <t>=NL("Sum","5802 Value Entry","150 Sales Amount (Expected)","41 Source Type",$C$5,"5 Source No.",$C2892,"4 Item Ledger Entry Type",$C$4,"2 Item No.","@@"&amp;$F2892,"3 Posting Date",J$9)+NL("Sum","5802 Value Entry","17 Sales Amount (Actual)","41 Source Type",$C$5,"5 Source no.",$C2892,"4 Item Ledger Entry Type",$C$4,"2 Item No.","@@"&amp;$F2892,"3 Posting Date",J$9)</t>
  </si>
  <si>
    <t>=-NL("Sum","5802 Value Entry","151 Cost Amount (Expected)","41 Source Type",$C$5,"5 Source No.",$C2892,"4 Item Ledger Entry Type",$C$4,"2 Item No.","@@"&amp;$F2892,"3 Posting Date",J$9)-NL("Sum","5802 Value Entry","43 Cost Amount (Actual)","41 Source Type",$C$5,"5 Source no.",$C2892,"4 Item Ledger Entry Type",$C$4,"2 Item No.","@@"&amp;$F2892,"3 Posting Date",J$9)</t>
  </si>
  <si>
    <t>=J2892-L2892</t>
  </si>
  <si>
    <t>=IF(J2892&lt;&gt;0,M2892/J2892,"")</t>
  </si>
  <si>
    <t>=NL("Sum","5802 Value Entry","150 Sales Amount (Expected)","41 Source Type",$C$5,"5 Source No.",$C2892,"4 Item Ledger Entry Type",$C$4,"2 Item No.","@@"&amp;$F2892,"3 Posting Date",O$9)+NL("Sum","5802 Value Entry","17 Sales Amount (Actual)","41 Source Type",$C$5,"5 Source no.",$C2892,"4 Item Ledger Entry Type",$C$4,"2 Item No.","@@"&amp;$F2892,"3 Posting Date",O$9)</t>
  </si>
  <si>
    <t>=-NL("Sum","5802 Value Entry","151 Cost Amount (Expected)","41 Source Type",$C$5,"5 Source No.",$C2892,"4 Item Ledger Entry Type",$C$4,"2 Item No.","@@"&amp;$F2892,"3 Posting Date",O$9)-NL("Sum","5802 Value Entry","43 Cost Amount (Actual)","41 Source Type",$C$5,"5 Source no.",$C2892,"4 Item Ledger Entry Type",$C$4,"2 Item No.","@@"&amp;$F2892,"3 Posting Date",O$9)</t>
  </si>
  <si>
    <t>=O2892-Q2892</t>
  </si>
  <si>
    <t>=IF(O2892&lt;&gt;0,R2892/O2892,"")</t>
  </si>
  <si>
    <t>=NL("Sum","5802 Value Entry","150 Sales Amount (Expected)","41 Source Type",$C$5,"5 Source No.",$C2892,"4 Item Ledger Entry Type",$C$4,"2 Item No.","@@"&amp;$F2892,"3 Posting Date",U$9)+NL("Sum","5802 Value Entry","17 Sales Amount (Actual)","41 Source Type",$C$5,"5 Source no.",$C2892,"4 Item Ledger Entry Type",$C$4,"2 Item No.","@@"&amp;$F2892,"3 Posting Date",U$9)</t>
  </si>
  <si>
    <t>=-NL("Sum","5802 Value Entry","151 Cost Amount (Expected)","41 Source Type",$C$5,"5 Source No.",$C2892,"4 Item Ledger Entry Type",$C$4,"2 Item No.","@@"&amp;$F2892,"3 Posting Date",U$9)-NL("Sum","5802 Value Entry","43 Cost Amount (Actual)","41 Source Type",$C$5,"5 Source no.",$C2892,"4 Item Ledger Entry Type",$C$4,"2 Item No.","@@"&amp;$F2892,"3 Posting Date",U$9)</t>
  </si>
  <si>
    <t>=U2892-W2892</t>
  </si>
  <si>
    <t>=IF(U2892&lt;&gt;0,X2892/U2892,"")</t>
  </si>
  <si>
    <t>=NL("Sum","5802 Value Entry","150 Sales Amount (Expected)","41 Source Type",$C$5,"5 Source No.",$C2892,"4 Item Ledger Entry Type",$C$4,"2 Item No.","@@"&amp;$F2892,"3 Posting Date",Z$9)+NL("Sum","5802 Value Entry","17 Sales Amount (Actual)","41 Source Type",$C$5,"5 Source no.",$C2892,"4 Item Ledger Entry Type",$C$4,"2 Item No.","@@"&amp;$F2892,"3 Posting Date",Z$9)</t>
  </si>
  <si>
    <t>=-NL("Sum","5802 Value Entry","151 Cost Amount (Expected)","41 Source Type",$C$5,"5 Source No.",$C2892,"4 Item Ledger Entry Type",$C$4,"2 Item No.","@@"&amp;$F2892,"3 Posting Date",Z$9)-NL("Sum","5802 Value Entry","43 Cost Amount (Actual)","41 Source Type",$C$5,"5 Source no.",$C2892,"4 Item Ledger Entry Type",$C$4,"2 Item No.","@@"&amp;$F2892,"3 Posting Date",Z$9)</t>
  </si>
  <si>
    <t>=Z2892-AB2892</t>
  </si>
  <si>
    <t>=IF(Z2892&lt;&gt;0,AC2892/Z2892,"")</t>
  </si>
  <si>
    <t>=C2892</t>
  </si>
  <si>
    <t>=NL("Sum","5802 Value Entry","150 Sales Amount (Expected)","41 Source Type",$C$5,"5 Source No.",$C2893,"4 Item Ledger Entry Type",$C$4,"2 Item No.","@@"&amp;$F2893,"3 Posting Date",J$9)+NL("Sum","5802 Value Entry","17 Sales Amount (Actual)","41 Source Type",$C$5,"5 Source no.",$C2893,"4 Item Ledger Entry Type",$C$4,"2 Item No.","@@"&amp;$F2893,"3 Posting Date",J$9)</t>
  </si>
  <si>
    <t>=-NL("Sum","5802 Value Entry","151 Cost Amount (Expected)","41 Source Type",$C$5,"5 Source No.",$C2893,"4 Item Ledger Entry Type",$C$4,"2 Item No.","@@"&amp;$F2893,"3 Posting Date",J$9)-NL("Sum","5802 Value Entry","43 Cost Amount (Actual)","41 Source Type",$C$5,"5 Source no.",$C2893,"4 Item Ledger Entry Type",$C$4,"2 Item No.","@@"&amp;$F2893,"3 Posting Date",J$9)</t>
  </si>
  <si>
    <t>=J2893-L2893</t>
  </si>
  <si>
    <t>=IF(J2893&lt;&gt;0,M2893/J2893,"")</t>
  </si>
  <si>
    <t>=NL("Sum","5802 Value Entry","150 Sales Amount (Expected)","41 Source Type",$C$5,"5 Source No.",$C2893,"4 Item Ledger Entry Type",$C$4,"2 Item No.","@@"&amp;$F2893,"3 Posting Date",O$9)+NL("Sum","5802 Value Entry","17 Sales Amount (Actual)","41 Source Type",$C$5,"5 Source no.",$C2893,"4 Item Ledger Entry Type",$C$4,"2 Item No.","@@"&amp;$F2893,"3 Posting Date",O$9)</t>
  </si>
  <si>
    <t>=-NL("Sum","5802 Value Entry","151 Cost Amount (Expected)","41 Source Type",$C$5,"5 Source No.",$C2893,"4 Item Ledger Entry Type",$C$4,"2 Item No.","@@"&amp;$F2893,"3 Posting Date",O$9)-NL("Sum","5802 Value Entry","43 Cost Amount (Actual)","41 Source Type",$C$5,"5 Source no.",$C2893,"4 Item Ledger Entry Type",$C$4,"2 Item No.","@@"&amp;$F2893,"3 Posting Date",O$9)</t>
  </si>
  <si>
    <t>=O2893-Q2893</t>
  </si>
  <si>
    <t>=IF(O2893&lt;&gt;0,R2893/O2893,"")</t>
  </si>
  <si>
    <t>=NL("Sum","5802 Value Entry","150 Sales Amount (Expected)","41 Source Type",$C$5,"5 Source No.",$C2893,"4 Item Ledger Entry Type",$C$4,"2 Item No.","@@"&amp;$F2893,"3 Posting Date",U$9)+NL("Sum","5802 Value Entry","17 Sales Amount (Actual)","41 Source Type",$C$5,"5 Source no.",$C2893,"4 Item Ledger Entry Type",$C$4,"2 Item No.","@@"&amp;$F2893,"3 Posting Date",U$9)</t>
  </si>
  <si>
    <t>=-NL("Sum","5802 Value Entry","151 Cost Amount (Expected)","41 Source Type",$C$5,"5 Source No.",$C2893,"4 Item Ledger Entry Type",$C$4,"2 Item No.","@@"&amp;$F2893,"3 Posting Date",U$9)-NL("Sum","5802 Value Entry","43 Cost Amount (Actual)","41 Source Type",$C$5,"5 Source no.",$C2893,"4 Item Ledger Entry Type",$C$4,"2 Item No.","@@"&amp;$F2893,"3 Posting Date",U$9)</t>
  </si>
  <si>
    <t>=U2893-W2893</t>
  </si>
  <si>
    <t>=IF(U2893&lt;&gt;0,X2893/U2893,"")</t>
  </si>
  <si>
    <t>=NL("Sum","5802 Value Entry","150 Sales Amount (Expected)","41 Source Type",$C$5,"5 Source No.",$C2893,"4 Item Ledger Entry Type",$C$4,"2 Item No.","@@"&amp;$F2893,"3 Posting Date",Z$9)+NL("Sum","5802 Value Entry","17 Sales Amount (Actual)","41 Source Type",$C$5,"5 Source no.",$C2893,"4 Item Ledger Entry Type",$C$4,"2 Item No.","@@"&amp;$F2893,"3 Posting Date",Z$9)</t>
  </si>
  <si>
    <t>=-NL("Sum","5802 Value Entry","151 Cost Amount (Expected)","41 Source Type",$C$5,"5 Source No.",$C2893,"4 Item Ledger Entry Type",$C$4,"2 Item No.","@@"&amp;$F2893,"3 Posting Date",Z$9)-NL("Sum","5802 Value Entry","43 Cost Amount (Actual)","41 Source Type",$C$5,"5 Source no.",$C2893,"4 Item Ledger Entry Type",$C$4,"2 Item No.","@@"&amp;$F2893,"3 Posting Date",Z$9)</t>
  </si>
  <si>
    <t>=Z2893-AB2893</t>
  </si>
  <si>
    <t>=IF(Z2893&lt;&gt;0,AC2893/Z2893,"")</t>
  </si>
  <si>
    <t>=C2893</t>
  </si>
  <si>
    <t>=NL("Sum","5802 Value Entry","150 Sales Amount (Expected)","41 Source Type",$C$5,"5 Source No.",$C2894,"4 Item Ledger Entry Type",$C$4,"2 Item No.","@@"&amp;$F2894,"3 Posting Date",J$9)+NL("Sum","5802 Value Entry","17 Sales Amount (Actual)","41 Source Type",$C$5,"5 Source no.",$C2894,"4 Item Ledger Entry Type",$C$4,"2 Item No.","@@"&amp;$F2894,"3 Posting Date",J$9)</t>
  </si>
  <si>
    <t>=-NL("Sum","5802 Value Entry","151 Cost Amount (Expected)","41 Source Type",$C$5,"5 Source No.",$C2894,"4 Item Ledger Entry Type",$C$4,"2 Item No.","@@"&amp;$F2894,"3 Posting Date",J$9)-NL("Sum","5802 Value Entry","43 Cost Amount (Actual)","41 Source Type",$C$5,"5 Source no.",$C2894,"4 Item Ledger Entry Type",$C$4,"2 Item No.","@@"&amp;$F2894,"3 Posting Date",J$9)</t>
  </si>
  <si>
    <t>=J2894-L2894</t>
  </si>
  <si>
    <t>=IF(J2894&lt;&gt;0,M2894/J2894,"")</t>
  </si>
  <si>
    <t>=NL("Sum","5802 Value Entry","150 Sales Amount (Expected)","41 Source Type",$C$5,"5 Source No.",$C2894,"4 Item Ledger Entry Type",$C$4,"2 Item No.","@@"&amp;$F2894,"3 Posting Date",O$9)+NL("Sum","5802 Value Entry","17 Sales Amount (Actual)","41 Source Type",$C$5,"5 Source no.",$C2894,"4 Item Ledger Entry Type",$C$4,"2 Item No.","@@"&amp;$F2894,"3 Posting Date",O$9)</t>
  </si>
  <si>
    <t>=-NL("Sum","5802 Value Entry","151 Cost Amount (Expected)","41 Source Type",$C$5,"5 Source No.",$C2894,"4 Item Ledger Entry Type",$C$4,"2 Item No.","@@"&amp;$F2894,"3 Posting Date",O$9)-NL("Sum","5802 Value Entry","43 Cost Amount (Actual)","41 Source Type",$C$5,"5 Source no.",$C2894,"4 Item Ledger Entry Type",$C$4,"2 Item No.","@@"&amp;$F2894,"3 Posting Date",O$9)</t>
  </si>
  <si>
    <t>=O2894-Q2894</t>
  </si>
  <si>
    <t>=IF(O2894&lt;&gt;0,R2894/O2894,"")</t>
  </si>
  <si>
    <t>=NL("Sum","5802 Value Entry","150 Sales Amount (Expected)","41 Source Type",$C$5,"5 Source No.",$C2894,"4 Item Ledger Entry Type",$C$4,"2 Item No.","@@"&amp;$F2894,"3 Posting Date",U$9)+NL("Sum","5802 Value Entry","17 Sales Amount (Actual)","41 Source Type",$C$5,"5 Source no.",$C2894,"4 Item Ledger Entry Type",$C$4,"2 Item No.","@@"&amp;$F2894,"3 Posting Date",U$9)</t>
  </si>
  <si>
    <t>=-NL("Sum","5802 Value Entry","151 Cost Amount (Expected)","41 Source Type",$C$5,"5 Source No.",$C2894,"4 Item Ledger Entry Type",$C$4,"2 Item No.","@@"&amp;$F2894,"3 Posting Date",U$9)-NL("Sum","5802 Value Entry","43 Cost Amount (Actual)","41 Source Type",$C$5,"5 Source no.",$C2894,"4 Item Ledger Entry Type",$C$4,"2 Item No.","@@"&amp;$F2894,"3 Posting Date",U$9)</t>
  </si>
  <si>
    <t>=U2894-W2894</t>
  </si>
  <si>
    <t>=IF(U2894&lt;&gt;0,X2894/U2894,"")</t>
  </si>
  <si>
    <t>=NL("Sum","5802 Value Entry","150 Sales Amount (Expected)","41 Source Type",$C$5,"5 Source No.",$C2894,"4 Item Ledger Entry Type",$C$4,"2 Item No.","@@"&amp;$F2894,"3 Posting Date",Z$9)+NL("Sum","5802 Value Entry","17 Sales Amount (Actual)","41 Source Type",$C$5,"5 Source no.",$C2894,"4 Item Ledger Entry Type",$C$4,"2 Item No.","@@"&amp;$F2894,"3 Posting Date",Z$9)</t>
  </si>
  <si>
    <t>=-NL("Sum","5802 Value Entry","151 Cost Amount (Expected)","41 Source Type",$C$5,"5 Source No.",$C2894,"4 Item Ledger Entry Type",$C$4,"2 Item No.","@@"&amp;$F2894,"3 Posting Date",Z$9)-NL("Sum","5802 Value Entry","43 Cost Amount (Actual)","41 Source Type",$C$5,"5 Source no.",$C2894,"4 Item Ledger Entry Type",$C$4,"2 Item No.","@@"&amp;$F2894,"3 Posting Date",Z$9)</t>
  </si>
  <si>
    <t>=Z2894-AB2894</t>
  </si>
  <si>
    <t>=IF(Z2894&lt;&gt;0,AC2894/Z2894,"")</t>
  </si>
  <si>
    <t>=C2894</t>
  </si>
  <si>
    <t>=NL("Sum","5802 Value Entry","150 Sales Amount (Expected)","41 Source Type",$C$5,"5 Source No.",$C2895,"4 Item Ledger Entry Type",$C$4,"2 Item No.","@@"&amp;$F2895,"3 Posting Date",J$9)+NL("Sum","5802 Value Entry","17 Sales Amount (Actual)","41 Source Type",$C$5,"5 Source no.",$C2895,"4 Item Ledger Entry Type",$C$4,"2 Item No.","@@"&amp;$F2895,"3 Posting Date",J$9)</t>
  </si>
  <si>
    <t>=-NL("Sum","5802 Value Entry","151 Cost Amount (Expected)","41 Source Type",$C$5,"5 Source No.",$C2895,"4 Item Ledger Entry Type",$C$4,"2 Item No.","@@"&amp;$F2895,"3 Posting Date",J$9)-NL("Sum","5802 Value Entry","43 Cost Amount (Actual)","41 Source Type",$C$5,"5 Source no.",$C2895,"4 Item Ledger Entry Type",$C$4,"2 Item No.","@@"&amp;$F2895,"3 Posting Date",J$9)</t>
  </si>
  <si>
    <t>=J2895-L2895</t>
  </si>
  <si>
    <t>=IF(J2895&lt;&gt;0,M2895/J2895,"")</t>
  </si>
  <si>
    <t>=NL("Sum","5802 Value Entry","150 Sales Amount (Expected)","41 Source Type",$C$5,"5 Source No.",$C2895,"4 Item Ledger Entry Type",$C$4,"2 Item No.","@@"&amp;$F2895,"3 Posting Date",O$9)+NL("Sum","5802 Value Entry","17 Sales Amount (Actual)","41 Source Type",$C$5,"5 Source no.",$C2895,"4 Item Ledger Entry Type",$C$4,"2 Item No.","@@"&amp;$F2895,"3 Posting Date",O$9)</t>
  </si>
  <si>
    <t>=-NL("Sum","5802 Value Entry","151 Cost Amount (Expected)","41 Source Type",$C$5,"5 Source No.",$C2895,"4 Item Ledger Entry Type",$C$4,"2 Item No.","@@"&amp;$F2895,"3 Posting Date",O$9)-NL("Sum","5802 Value Entry","43 Cost Amount (Actual)","41 Source Type",$C$5,"5 Source no.",$C2895,"4 Item Ledger Entry Type",$C$4,"2 Item No.","@@"&amp;$F2895,"3 Posting Date",O$9)</t>
  </si>
  <si>
    <t>=O2895-Q2895</t>
  </si>
  <si>
    <t>=IF(O2895&lt;&gt;0,R2895/O2895,"")</t>
  </si>
  <si>
    <t>=NL("Sum","5802 Value Entry","150 Sales Amount (Expected)","41 Source Type",$C$5,"5 Source No.",$C2895,"4 Item Ledger Entry Type",$C$4,"2 Item No.","@@"&amp;$F2895,"3 Posting Date",U$9)+NL("Sum","5802 Value Entry","17 Sales Amount (Actual)","41 Source Type",$C$5,"5 Source no.",$C2895,"4 Item Ledger Entry Type",$C$4,"2 Item No.","@@"&amp;$F2895,"3 Posting Date",U$9)</t>
  </si>
  <si>
    <t>=-NL("Sum","5802 Value Entry","151 Cost Amount (Expected)","41 Source Type",$C$5,"5 Source No.",$C2895,"4 Item Ledger Entry Type",$C$4,"2 Item No.","@@"&amp;$F2895,"3 Posting Date",U$9)-NL("Sum","5802 Value Entry","43 Cost Amount (Actual)","41 Source Type",$C$5,"5 Source no.",$C2895,"4 Item Ledger Entry Type",$C$4,"2 Item No.","@@"&amp;$F2895,"3 Posting Date",U$9)</t>
  </si>
  <si>
    <t>=U2895-W2895</t>
  </si>
  <si>
    <t>=IF(U2895&lt;&gt;0,X2895/U2895,"")</t>
  </si>
  <si>
    <t>=NL("Sum","5802 Value Entry","150 Sales Amount (Expected)","41 Source Type",$C$5,"5 Source No.",$C2895,"4 Item Ledger Entry Type",$C$4,"2 Item No.","@@"&amp;$F2895,"3 Posting Date",Z$9)+NL("Sum","5802 Value Entry","17 Sales Amount (Actual)","41 Source Type",$C$5,"5 Source no.",$C2895,"4 Item Ledger Entry Type",$C$4,"2 Item No.","@@"&amp;$F2895,"3 Posting Date",Z$9)</t>
  </si>
  <si>
    <t>=-NL("Sum","5802 Value Entry","151 Cost Amount (Expected)","41 Source Type",$C$5,"5 Source No.",$C2895,"4 Item Ledger Entry Type",$C$4,"2 Item No.","@@"&amp;$F2895,"3 Posting Date",Z$9)-NL("Sum","5802 Value Entry","43 Cost Amount (Actual)","41 Source Type",$C$5,"5 Source no.",$C2895,"4 Item Ledger Entry Type",$C$4,"2 Item No.","@@"&amp;$F2895,"3 Posting Date",Z$9)</t>
  </si>
  <si>
    <t>=Z2895-AB2895</t>
  </si>
  <si>
    <t>=IF(Z2895&lt;&gt;0,AC2895/Z2895,"")</t>
  </si>
  <si>
    <t>=C2895</t>
  </si>
  <si>
    <t>=NL("Sum","5802 Value Entry","150 Sales Amount (Expected)","41 Source Type",$C$5,"5 Source No.",$C2896,"4 Item Ledger Entry Type",$C$4,"2 Item No.","@@"&amp;$F2896,"3 Posting Date",J$9)+NL("Sum","5802 Value Entry","17 Sales Amount (Actual)","41 Source Type",$C$5,"5 Source no.",$C2896,"4 Item Ledger Entry Type",$C$4,"2 Item No.","@@"&amp;$F2896,"3 Posting Date",J$9)</t>
  </si>
  <si>
    <t>=-NL("Sum","5802 Value Entry","151 Cost Amount (Expected)","41 Source Type",$C$5,"5 Source No.",$C2896,"4 Item Ledger Entry Type",$C$4,"2 Item No.","@@"&amp;$F2896,"3 Posting Date",J$9)-NL("Sum","5802 Value Entry","43 Cost Amount (Actual)","41 Source Type",$C$5,"5 Source no.",$C2896,"4 Item Ledger Entry Type",$C$4,"2 Item No.","@@"&amp;$F2896,"3 Posting Date",J$9)</t>
  </si>
  <si>
    <t>=J2896-L2896</t>
  </si>
  <si>
    <t>=IF(J2896&lt;&gt;0,M2896/J2896,"")</t>
  </si>
  <si>
    <t>=NL("Sum","5802 Value Entry","150 Sales Amount (Expected)","41 Source Type",$C$5,"5 Source No.",$C2896,"4 Item Ledger Entry Type",$C$4,"2 Item No.","@@"&amp;$F2896,"3 Posting Date",O$9)+NL("Sum","5802 Value Entry","17 Sales Amount (Actual)","41 Source Type",$C$5,"5 Source no.",$C2896,"4 Item Ledger Entry Type",$C$4,"2 Item No.","@@"&amp;$F2896,"3 Posting Date",O$9)</t>
  </si>
  <si>
    <t>=-NL("Sum","5802 Value Entry","151 Cost Amount (Expected)","41 Source Type",$C$5,"5 Source No.",$C2896,"4 Item Ledger Entry Type",$C$4,"2 Item No.","@@"&amp;$F2896,"3 Posting Date",O$9)-NL("Sum","5802 Value Entry","43 Cost Amount (Actual)","41 Source Type",$C$5,"5 Source no.",$C2896,"4 Item Ledger Entry Type",$C$4,"2 Item No.","@@"&amp;$F2896,"3 Posting Date",O$9)</t>
  </si>
  <si>
    <t>=O2896-Q2896</t>
  </si>
  <si>
    <t>=IF(O2896&lt;&gt;0,R2896/O2896,"")</t>
  </si>
  <si>
    <t>=NL("Sum","5802 Value Entry","150 Sales Amount (Expected)","41 Source Type",$C$5,"5 Source No.",$C2896,"4 Item Ledger Entry Type",$C$4,"2 Item No.","@@"&amp;$F2896,"3 Posting Date",U$9)+NL("Sum","5802 Value Entry","17 Sales Amount (Actual)","41 Source Type",$C$5,"5 Source no.",$C2896,"4 Item Ledger Entry Type",$C$4,"2 Item No.","@@"&amp;$F2896,"3 Posting Date",U$9)</t>
  </si>
  <si>
    <t>=-NL("Sum","5802 Value Entry","151 Cost Amount (Expected)","41 Source Type",$C$5,"5 Source No.",$C2896,"4 Item Ledger Entry Type",$C$4,"2 Item No.","@@"&amp;$F2896,"3 Posting Date",U$9)-NL("Sum","5802 Value Entry","43 Cost Amount (Actual)","41 Source Type",$C$5,"5 Source no.",$C2896,"4 Item Ledger Entry Type",$C$4,"2 Item No.","@@"&amp;$F2896,"3 Posting Date",U$9)</t>
  </si>
  <si>
    <t>=U2896-W2896</t>
  </si>
  <si>
    <t>=IF(U2896&lt;&gt;0,X2896/U2896,"")</t>
  </si>
  <si>
    <t>=NL("Sum","5802 Value Entry","150 Sales Amount (Expected)","41 Source Type",$C$5,"5 Source No.",$C2896,"4 Item Ledger Entry Type",$C$4,"2 Item No.","@@"&amp;$F2896,"3 Posting Date",Z$9)+NL("Sum","5802 Value Entry","17 Sales Amount (Actual)","41 Source Type",$C$5,"5 Source no.",$C2896,"4 Item Ledger Entry Type",$C$4,"2 Item No.","@@"&amp;$F2896,"3 Posting Date",Z$9)</t>
  </si>
  <si>
    <t>=-NL("Sum","5802 Value Entry","151 Cost Amount (Expected)","41 Source Type",$C$5,"5 Source No.",$C2896,"4 Item Ledger Entry Type",$C$4,"2 Item No.","@@"&amp;$F2896,"3 Posting Date",Z$9)-NL("Sum","5802 Value Entry","43 Cost Amount (Actual)","41 Source Type",$C$5,"5 Source no.",$C2896,"4 Item Ledger Entry Type",$C$4,"2 Item No.","@@"&amp;$F2896,"3 Posting Date",Z$9)</t>
  </si>
  <si>
    <t>=Z2896-AB2896</t>
  </si>
  <si>
    <t>=IF(Z2896&lt;&gt;0,AC2896/Z2896,"")</t>
  </si>
  <si>
    <t>=C2896</t>
  </si>
  <si>
    <t>=NL("Sum","5802 Value Entry","150 Sales Amount (Expected)","41 Source Type",$C$5,"5 Source No.",$C2897,"4 Item Ledger Entry Type",$C$4,"2 Item No.","@@"&amp;$F2897,"3 Posting Date",J$9)+NL("Sum","5802 Value Entry","17 Sales Amount (Actual)","41 Source Type",$C$5,"5 Source no.",$C2897,"4 Item Ledger Entry Type",$C$4,"2 Item No.","@@"&amp;$F2897,"3 Posting Date",J$9)</t>
  </si>
  <si>
    <t>=-NL("Sum","5802 Value Entry","151 Cost Amount (Expected)","41 Source Type",$C$5,"5 Source No.",$C2897,"4 Item Ledger Entry Type",$C$4,"2 Item No.","@@"&amp;$F2897,"3 Posting Date",J$9)-NL("Sum","5802 Value Entry","43 Cost Amount (Actual)","41 Source Type",$C$5,"5 Source no.",$C2897,"4 Item Ledger Entry Type",$C$4,"2 Item No.","@@"&amp;$F2897,"3 Posting Date",J$9)</t>
  </si>
  <si>
    <t>=J2897-L2897</t>
  </si>
  <si>
    <t>=IF(J2897&lt;&gt;0,M2897/J2897,"")</t>
  </si>
  <si>
    <t>=NL("Sum","5802 Value Entry","150 Sales Amount (Expected)","41 Source Type",$C$5,"5 Source No.",$C2897,"4 Item Ledger Entry Type",$C$4,"2 Item No.","@@"&amp;$F2897,"3 Posting Date",O$9)+NL("Sum","5802 Value Entry","17 Sales Amount (Actual)","41 Source Type",$C$5,"5 Source no.",$C2897,"4 Item Ledger Entry Type",$C$4,"2 Item No.","@@"&amp;$F2897,"3 Posting Date",O$9)</t>
  </si>
  <si>
    <t>=-NL("Sum","5802 Value Entry","151 Cost Amount (Expected)","41 Source Type",$C$5,"5 Source No.",$C2897,"4 Item Ledger Entry Type",$C$4,"2 Item No.","@@"&amp;$F2897,"3 Posting Date",O$9)-NL("Sum","5802 Value Entry","43 Cost Amount (Actual)","41 Source Type",$C$5,"5 Source no.",$C2897,"4 Item Ledger Entry Type",$C$4,"2 Item No.","@@"&amp;$F2897,"3 Posting Date",O$9)</t>
  </si>
  <si>
    <t>=O2897-Q2897</t>
  </si>
  <si>
    <t>=IF(O2897&lt;&gt;0,R2897/O2897,"")</t>
  </si>
  <si>
    <t>=NL("Sum","5802 Value Entry","150 Sales Amount (Expected)","41 Source Type",$C$5,"5 Source No.",$C2897,"4 Item Ledger Entry Type",$C$4,"2 Item No.","@@"&amp;$F2897,"3 Posting Date",U$9)+NL("Sum","5802 Value Entry","17 Sales Amount (Actual)","41 Source Type",$C$5,"5 Source no.",$C2897,"4 Item Ledger Entry Type",$C$4,"2 Item No.","@@"&amp;$F2897,"3 Posting Date",U$9)</t>
  </si>
  <si>
    <t>=-NL("Sum","5802 Value Entry","151 Cost Amount (Expected)","41 Source Type",$C$5,"5 Source No.",$C2897,"4 Item Ledger Entry Type",$C$4,"2 Item No.","@@"&amp;$F2897,"3 Posting Date",U$9)-NL("Sum","5802 Value Entry","43 Cost Amount (Actual)","41 Source Type",$C$5,"5 Source no.",$C2897,"4 Item Ledger Entry Type",$C$4,"2 Item No.","@@"&amp;$F2897,"3 Posting Date",U$9)</t>
  </si>
  <si>
    <t>=U2897-W2897</t>
  </si>
  <si>
    <t>=IF(U2897&lt;&gt;0,X2897/U2897,"")</t>
  </si>
  <si>
    <t>=NL("Sum","5802 Value Entry","150 Sales Amount (Expected)","41 Source Type",$C$5,"5 Source No.",$C2897,"4 Item Ledger Entry Type",$C$4,"2 Item No.","@@"&amp;$F2897,"3 Posting Date",Z$9)+NL("Sum","5802 Value Entry","17 Sales Amount (Actual)","41 Source Type",$C$5,"5 Source no.",$C2897,"4 Item Ledger Entry Type",$C$4,"2 Item No.","@@"&amp;$F2897,"3 Posting Date",Z$9)</t>
  </si>
  <si>
    <t>=-NL("Sum","5802 Value Entry","151 Cost Amount (Expected)","41 Source Type",$C$5,"5 Source No.",$C2897,"4 Item Ledger Entry Type",$C$4,"2 Item No.","@@"&amp;$F2897,"3 Posting Date",Z$9)-NL("Sum","5802 Value Entry","43 Cost Amount (Actual)","41 Source Type",$C$5,"5 Source no.",$C2897,"4 Item Ledger Entry Type",$C$4,"2 Item No.","@@"&amp;$F2897,"3 Posting Date",Z$9)</t>
  </si>
  <si>
    <t>=Z2897-AB2897</t>
  </si>
  <si>
    <t>=IF(Z2897&lt;&gt;0,AC2897/Z2897,"")</t>
  </si>
  <si>
    <t>=C2897</t>
  </si>
  <si>
    <t>=NL("Sum","5802 Value Entry","150 Sales Amount (Expected)","41 Source Type",$C$5,"5 Source No.",$C2898,"4 Item Ledger Entry Type",$C$4,"2 Item No.","@@"&amp;$F2898,"3 Posting Date",J$9)+NL("Sum","5802 Value Entry","17 Sales Amount (Actual)","41 Source Type",$C$5,"5 Source no.",$C2898,"4 Item Ledger Entry Type",$C$4,"2 Item No.","@@"&amp;$F2898,"3 Posting Date",J$9)</t>
  </si>
  <si>
    <t>=-NL("Sum","5802 Value Entry","151 Cost Amount (Expected)","41 Source Type",$C$5,"5 Source No.",$C2898,"4 Item Ledger Entry Type",$C$4,"2 Item No.","@@"&amp;$F2898,"3 Posting Date",J$9)-NL("Sum","5802 Value Entry","43 Cost Amount (Actual)","41 Source Type",$C$5,"5 Source no.",$C2898,"4 Item Ledger Entry Type",$C$4,"2 Item No.","@@"&amp;$F2898,"3 Posting Date",J$9)</t>
  </si>
  <si>
    <t>=J2898-L2898</t>
  </si>
  <si>
    <t>=IF(J2898&lt;&gt;0,M2898/J2898,"")</t>
  </si>
  <si>
    <t>=NL("Sum","5802 Value Entry","150 Sales Amount (Expected)","41 Source Type",$C$5,"5 Source No.",$C2898,"4 Item Ledger Entry Type",$C$4,"2 Item No.","@@"&amp;$F2898,"3 Posting Date",O$9)+NL("Sum","5802 Value Entry","17 Sales Amount (Actual)","41 Source Type",$C$5,"5 Source no.",$C2898,"4 Item Ledger Entry Type",$C$4,"2 Item No.","@@"&amp;$F2898,"3 Posting Date",O$9)</t>
  </si>
  <si>
    <t>=-NL("Sum","5802 Value Entry","151 Cost Amount (Expected)","41 Source Type",$C$5,"5 Source No.",$C2898,"4 Item Ledger Entry Type",$C$4,"2 Item No.","@@"&amp;$F2898,"3 Posting Date",O$9)-NL("Sum","5802 Value Entry","43 Cost Amount (Actual)","41 Source Type",$C$5,"5 Source no.",$C2898,"4 Item Ledger Entry Type",$C$4,"2 Item No.","@@"&amp;$F2898,"3 Posting Date",O$9)</t>
  </si>
  <si>
    <t>=O2898-Q2898</t>
  </si>
  <si>
    <t>=IF(O2898&lt;&gt;0,R2898/O2898,"")</t>
  </si>
  <si>
    <t>=NL("Sum","5802 Value Entry","150 Sales Amount (Expected)","41 Source Type",$C$5,"5 Source No.",$C2898,"4 Item Ledger Entry Type",$C$4,"2 Item No.","@@"&amp;$F2898,"3 Posting Date",U$9)+NL("Sum","5802 Value Entry","17 Sales Amount (Actual)","41 Source Type",$C$5,"5 Source no.",$C2898,"4 Item Ledger Entry Type",$C$4,"2 Item No.","@@"&amp;$F2898,"3 Posting Date",U$9)</t>
  </si>
  <si>
    <t>=-NL("Sum","5802 Value Entry","151 Cost Amount (Expected)","41 Source Type",$C$5,"5 Source No.",$C2898,"4 Item Ledger Entry Type",$C$4,"2 Item No.","@@"&amp;$F2898,"3 Posting Date",U$9)-NL("Sum","5802 Value Entry","43 Cost Amount (Actual)","41 Source Type",$C$5,"5 Source no.",$C2898,"4 Item Ledger Entry Type",$C$4,"2 Item No.","@@"&amp;$F2898,"3 Posting Date",U$9)</t>
  </si>
  <si>
    <t>=U2898-W2898</t>
  </si>
  <si>
    <t>=IF(U2898&lt;&gt;0,X2898/U2898,"")</t>
  </si>
  <si>
    <t>=NL("Sum","5802 Value Entry","150 Sales Amount (Expected)","41 Source Type",$C$5,"5 Source No.",$C2898,"4 Item Ledger Entry Type",$C$4,"2 Item No.","@@"&amp;$F2898,"3 Posting Date",Z$9)+NL("Sum","5802 Value Entry","17 Sales Amount (Actual)","41 Source Type",$C$5,"5 Source no.",$C2898,"4 Item Ledger Entry Type",$C$4,"2 Item No.","@@"&amp;$F2898,"3 Posting Date",Z$9)</t>
  </si>
  <si>
    <t>=-NL("Sum","5802 Value Entry","151 Cost Amount (Expected)","41 Source Type",$C$5,"5 Source No.",$C2898,"4 Item Ledger Entry Type",$C$4,"2 Item No.","@@"&amp;$F2898,"3 Posting Date",Z$9)-NL("Sum","5802 Value Entry","43 Cost Amount (Actual)","41 Source Type",$C$5,"5 Source no.",$C2898,"4 Item Ledger Entry Type",$C$4,"2 Item No.","@@"&amp;$F2898,"3 Posting Date",Z$9)</t>
  </si>
  <si>
    <t>=Z2898-AB2898</t>
  </si>
  <si>
    <t>=IF(Z2898&lt;&gt;0,AC2898/Z2898,"")</t>
  </si>
  <si>
    <t>=C2898</t>
  </si>
  <si>
    <t>=NL("Sum","5802 Value Entry","150 Sales Amount (Expected)","41 Source Type",$C$5,"5 Source No.",$C2899,"4 Item Ledger Entry Type",$C$4,"2 Item No.","@@"&amp;$F2899,"3 Posting Date",J$9)+NL("Sum","5802 Value Entry","17 Sales Amount (Actual)","41 Source Type",$C$5,"5 Source no.",$C2899,"4 Item Ledger Entry Type",$C$4,"2 Item No.","@@"&amp;$F2899,"3 Posting Date",J$9)</t>
  </si>
  <si>
    <t>=-NL("Sum","5802 Value Entry","151 Cost Amount (Expected)","41 Source Type",$C$5,"5 Source No.",$C2899,"4 Item Ledger Entry Type",$C$4,"2 Item No.","@@"&amp;$F2899,"3 Posting Date",J$9)-NL("Sum","5802 Value Entry","43 Cost Amount (Actual)","41 Source Type",$C$5,"5 Source no.",$C2899,"4 Item Ledger Entry Type",$C$4,"2 Item No.","@@"&amp;$F2899,"3 Posting Date",J$9)</t>
  </si>
  <si>
    <t>=J2899-L2899</t>
  </si>
  <si>
    <t>=IF(J2899&lt;&gt;0,M2899/J2899,"")</t>
  </si>
  <si>
    <t>=NL("Sum","5802 Value Entry","150 Sales Amount (Expected)","41 Source Type",$C$5,"5 Source No.",$C2899,"4 Item Ledger Entry Type",$C$4,"2 Item No.","@@"&amp;$F2899,"3 Posting Date",O$9)+NL("Sum","5802 Value Entry","17 Sales Amount (Actual)","41 Source Type",$C$5,"5 Source no.",$C2899,"4 Item Ledger Entry Type",$C$4,"2 Item No.","@@"&amp;$F2899,"3 Posting Date",O$9)</t>
  </si>
  <si>
    <t>=-NL("Sum","5802 Value Entry","151 Cost Amount (Expected)","41 Source Type",$C$5,"5 Source No.",$C2899,"4 Item Ledger Entry Type",$C$4,"2 Item No.","@@"&amp;$F2899,"3 Posting Date",O$9)-NL("Sum","5802 Value Entry","43 Cost Amount (Actual)","41 Source Type",$C$5,"5 Source no.",$C2899,"4 Item Ledger Entry Type",$C$4,"2 Item No.","@@"&amp;$F2899,"3 Posting Date",O$9)</t>
  </si>
  <si>
    <t>=O2899-Q2899</t>
  </si>
  <si>
    <t>=IF(O2899&lt;&gt;0,R2899/O2899,"")</t>
  </si>
  <si>
    <t>=NL("Sum","5802 Value Entry","150 Sales Amount (Expected)","41 Source Type",$C$5,"5 Source No.",$C2899,"4 Item Ledger Entry Type",$C$4,"2 Item No.","@@"&amp;$F2899,"3 Posting Date",U$9)+NL("Sum","5802 Value Entry","17 Sales Amount (Actual)","41 Source Type",$C$5,"5 Source no.",$C2899,"4 Item Ledger Entry Type",$C$4,"2 Item No.","@@"&amp;$F2899,"3 Posting Date",U$9)</t>
  </si>
  <si>
    <t>=-NL("Sum","5802 Value Entry","151 Cost Amount (Expected)","41 Source Type",$C$5,"5 Source No.",$C2899,"4 Item Ledger Entry Type",$C$4,"2 Item No.","@@"&amp;$F2899,"3 Posting Date",U$9)-NL("Sum","5802 Value Entry","43 Cost Amount (Actual)","41 Source Type",$C$5,"5 Source no.",$C2899,"4 Item Ledger Entry Type",$C$4,"2 Item No.","@@"&amp;$F2899,"3 Posting Date",U$9)</t>
  </si>
  <si>
    <t>=U2899-W2899</t>
  </si>
  <si>
    <t>=IF(U2899&lt;&gt;0,X2899/U2899,"")</t>
  </si>
  <si>
    <t>=NL("Sum","5802 Value Entry","150 Sales Amount (Expected)","41 Source Type",$C$5,"5 Source No.",$C2899,"4 Item Ledger Entry Type",$C$4,"2 Item No.","@@"&amp;$F2899,"3 Posting Date",Z$9)+NL("Sum","5802 Value Entry","17 Sales Amount (Actual)","41 Source Type",$C$5,"5 Source no.",$C2899,"4 Item Ledger Entry Type",$C$4,"2 Item No.","@@"&amp;$F2899,"3 Posting Date",Z$9)</t>
  </si>
  <si>
    <t>=-NL("Sum","5802 Value Entry","151 Cost Amount (Expected)","41 Source Type",$C$5,"5 Source No.",$C2899,"4 Item Ledger Entry Type",$C$4,"2 Item No.","@@"&amp;$F2899,"3 Posting Date",Z$9)-NL("Sum","5802 Value Entry","43 Cost Amount (Actual)","41 Source Type",$C$5,"5 Source no.",$C2899,"4 Item Ledger Entry Type",$C$4,"2 Item No.","@@"&amp;$F2899,"3 Posting Date",Z$9)</t>
  </si>
  <si>
    <t>=Z2899-AB2899</t>
  </si>
  <si>
    <t>=IF(Z2899&lt;&gt;0,AC2899/Z2899,"")</t>
  </si>
  <si>
    <t>=C2900</t>
  </si>
  <si>
    <t>=J2901-L2901</t>
  </si>
  <si>
    <t>=IF(J2901&lt;&gt;0,M2901/J2901,"")</t>
  </si>
  <si>
    <t>=O2901-Q2901</t>
  </si>
  <si>
    <t>=IF(O2901&lt;&gt;0,R2901/O2901,"")</t>
  </si>
  <si>
    <t>=U2901-W2901</t>
  </si>
  <si>
    <t>=IF(U2901&lt;&gt;0,X2901/U2901,"")</t>
  </si>
  <si>
    <t>=Z2901-AB2901</t>
  </si>
  <si>
    <t>=IF(Z2901&lt;&gt;0,AC2901/Z2901,"")</t>
  </si>
  <si>
    <t>=C2903</t>
  </si>
  <si>
    <t>=C2904</t>
  </si>
  <si>
    <t>=NL("Sum","5802 Value Entry","150 Sales Amount (Expected)","41 Source Type",$C$5,"5 Source No.",$C2905,"4 Item Ledger Entry Type",$C$4,"2 Item No.","@@"&amp;$F2905,"3 Posting Date",J$9)+NL("Sum","5802 Value Entry","17 Sales Amount (Actual)","41 Source Type",$C$5,"5 Source no.",$C2905,"4 Item Ledger Entry Type",$C$4,"2 Item No.","@@"&amp;$F2905,"3 Posting Date",J$9)</t>
  </si>
  <si>
    <t>=-NL("Sum","5802 Value Entry","151 Cost Amount (Expected)","41 Source Type",$C$5,"5 Source No.",$C2905,"4 Item Ledger Entry Type",$C$4,"2 Item No.","@@"&amp;$F2905,"3 Posting Date",J$9)-NL("Sum","5802 Value Entry","43 Cost Amount (Actual)","41 Source Type",$C$5,"5 Source no.",$C2905,"4 Item Ledger Entry Type",$C$4,"2 Item No.","@@"&amp;$F2905,"3 Posting Date",J$9)</t>
  </si>
  <si>
    <t>=J2905-L2905</t>
  </si>
  <si>
    <t>=IF(J2905&lt;&gt;0,M2905/J2905,"")</t>
  </si>
  <si>
    <t>=NL("Sum","5802 Value Entry","150 Sales Amount (Expected)","41 Source Type",$C$5,"5 Source No.",$C2905,"4 Item Ledger Entry Type",$C$4,"2 Item No.","@@"&amp;$F2905,"3 Posting Date",O$9)+NL("Sum","5802 Value Entry","17 Sales Amount (Actual)","41 Source Type",$C$5,"5 Source no.",$C2905,"4 Item Ledger Entry Type",$C$4,"2 Item No.","@@"&amp;$F2905,"3 Posting Date",O$9)</t>
  </si>
  <si>
    <t>=-NL("Sum","5802 Value Entry","151 Cost Amount (Expected)","41 Source Type",$C$5,"5 Source No.",$C2905,"4 Item Ledger Entry Type",$C$4,"2 Item No.","@@"&amp;$F2905,"3 Posting Date",O$9)-NL("Sum","5802 Value Entry","43 Cost Amount (Actual)","41 Source Type",$C$5,"5 Source no.",$C2905,"4 Item Ledger Entry Type",$C$4,"2 Item No.","@@"&amp;$F2905,"3 Posting Date",O$9)</t>
  </si>
  <si>
    <t>=O2905-Q2905</t>
  </si>
  <si>
    <t>=IF(O2905&lt;&gt;0,R2905/O2905,"")</t>
  </si>
  <si>
    <t>=NL("Sum","5802 Value Entry","150 Sales Amount (Expected)","41 Source Type",$C$5,"5 Source No.",$C2905,"4 Item Ledger Entry Type",$C$4,"2 Item No.","@@"&amp;$F2905,"3 Posting Date",U$9)+NL("Sum","5802 Value Entry","17 Sales Amount (Actual)","41 Source Type",$C$5,"5 Source no.",$C2905,"4 Item Ledger Entry Type",$C$4,"2 Item No.","@@"&amp;$F2905,"3 Posting Date",U$9)</t>
  </si>
  <si>
    <t>=-NL("Sum","5802 Value Entry","151 Cost Amount (Expected)","41 Source Type",$C$5,"5 Source No.",$C2905,"4 Item Ledger Entry Type",$C$4,"2 Item No.","@@"&amp;$F2905,"3 Posting Date",U$9)-NL("Sum","5802 Value Entry","43 Cost Amount (Actual)","41 Source Type",$C$5,"5 Source no.",$C2905,"4 Item Ledger Entry Type",$C$4,"2 Item No.","@@"&amp;$F2905,"3 Posting Date",U$9)</t>
  </si>
  <si>
    <t>=U2905-W2905</t>
  </si>
  <si>
    <t>=IF(U2905&lt;&gt;0,X2905/U2905,"")</t>
  </si>
  <si>
    <t>=NL("Sum","5802 Value Entry","150 Sales Amount (Expected)","41 Source Type",$C$5,"5 Source No.",$C2905,"4 Item Ledger Entry Type",$C$4,"2 Item No.","@@"&amp;$F2905,"3 Posting Date",Z$9)+NL("Sum","5802 Value Entry","17 Sales Amount (Actual)","41 Source Type",$C$5,"5 Source no.",$C2905,"4 Item Ledger Entry Type",$C$4,"2 Item No.","@@"&amp;$F2905,"3 Posting Date",Z$9)</t>
  </si>
  <si>
    <t>=-NL("Sum","5802 Value Entry","151 Cost Amount (Expected)","41 Source Type",$C$5,"5 Source No.",$C2905,"4 Item Ledger Entry Type",$C$4,"2 Item No.","@@"&amp;$F2905,"3 Posting Date",Z$9)-NL("Sum","5802 Value Entry","43 Cost Amount (Actual)","41 Source Type",$C$5,"5 Source no.",$C2905,"4 Item Ledger Entry Type",$C$4,"2 Item No.","@@"&amp;$F2905,"3 Posting Date",Z$9)</t>
  </si>
  <si>
    <t>=Z2905-AB2905</t>
  </si>
  <si>
    <t>=IF(Z2905&lt;&gt;0,AC2905/Z2905,"")</t>
  </si>
  <si>
    <t>=C2905</t>
  </si>
  <si>
    <t>=NL("Sum","5802 Value Entry","150 Sales Amount (Expected)","41 Source Type",$C$5,"5 Source No.",$C2906,"4 Item Ledger Entry Type",$C$4,"2 Item No.","@@"&amp;$F2906,"3 Posting Date",J$9)+NL("Sum","5802 Value Entry","17 Sales Amount (Actual)","41 Source Type",$C$5,"5 Source no.",$C2906,"4 Item Ledger Entry Type",$C$4,"2 Item No.","@@"&amp;$F2906,"3 Posting Date",J$9)</t>
  </si>
  <si>
    <t>=-NL("Sum","5802 Value Entry","151 Cost Amount (Expected)","41 Source Type",$C$5,"5 Source No.",$C2906,"4 Item Ledger Entry Type",$C$4,"2 Item No.","@@"&amp;$F2906,"3 Posting Date",J$9)-NL("Sum","5802 Value Entry","43 Cost Amount (Actual)","41 Source Type",$C$5,"5 Source no.",$C2906,"4 Item Ledger Entry Type",$C$4,"2 Item No.","@@"&amp;$F2906,"3 Posting Date",J$9)</t>
  </si>
  <si>
    <t>=J2906-L2906</t>
  </si>
  <si>
    <t>=IF(J2906&lt;&gt;0,M2906/J2906,"")</t>
  </si>
  <si>
    <t>=NL("Sum","5802 Value Entry","150 Sales Amount (Expected)","41 Source Type",$C$5,"5 Source No.",$C2906,"4 Item Ledger Entry Type",$C$4,"2 Item No.","@@"&amp;$F2906,"3 Posting Date",O$9)+NL("Sum","5802 Value Entry","17 Sales Amount (Actual)","41 Source Type",$C$5,"5 Source no.",$C2906,"4 Item Ledger Entry Type",$C$4,"2 Item No.","@@"&amp;$F2906,"3 Posting Date",O$9)</t>
  </si>
  <si>
    <t>=-NL("Sum","5802 Value Entry","151 Cost Amount (Expected)","41 Source Type",$C$5,"5 Source No.",$C2906,"4 Item Ledger Entry Type",$C$4,"2 Item No.","@@"&amp;$F2906,"3 Posting Date",O$9)-NL("Sum","5802 Value Entry","43 Cost Amount (Actual)","41 Source Type",$C$5,"5 Source no.",$C2906,"4 Item Ledger Entry Type",$C$4,"2 Item No.","@@"&amp;$F2906,"3 Posting Date",O$9)</t>
  </si>
  <si>
    <t>=O2906-Q2906</t>
  </si>
  <si>
    <t>=IF(O2906&lt;&gt;0,R2906/O2906,"")</t>
  </si>
  <si>
    <t>=NL("Sum","5802 Value Entry","150 Sales Amount (Expected)","41 Source Type",$C$5,"5 Source No.",$C2906,"4 Item Ledger Entry Type",$C$4,"2 Item No.","@@"&amp;$F2906,"3 Posting Date",U$9)+NL("Sum","5802 Value Entry","17 Sales Amount (Actual)","41 Source Type",$C$5,"5 Source no.",$C2906,"4 Item Ledger Entry Type",$C$4,"2 Item No.","@@"&amp;$F2906,"3 Posting Date",U$9)</t>
  </si>
  <si>
    <t>=-NL("Sum","5802 Value Entry","151 Cost Amount (Expected)","41 Source Type",$C$5,"5 Source No.",$C2906,"4 Item Ledger Entry Type",$C$4,"2 Item No.","@@"&amp;$F2906,"3 Posting Date",U$9)-NL("Sum","5802 Value Entry","43 Cost Amount (Actual)","41 Source Type",$C$5,"5 Source no.",$C2906,"4 Item Ledger Entry Type",$C$4,"2 Item No.","@@"&amp;$F2906,"3 Posting Date",U$9)</t>
  </si>
  <si>
    <t>=U2906-W2906</t>
  </si>
  <si>
    <t>=IF(U2906&lt;&gt;0,X2906/U2906,"")</t>
  </si>
  <si>
    <t>=NL("Sum","5802 Value Entry","150 Sales Amount (Expected)","41 Source Type",$C$5,"5 Source No.",$C2906,"4 Item Ledger Entry Type",$C$4,"2 Item No.","@@"&amp;$F2906,"3 Posting Date",Z$9)+NL("Sum","5802 Value Entry","17 Sales Amount (Actual)","41 Source Type",$C$5,"5 Source no.",$C2906,"4 Item Ledger Entry Type",$C$4,"2 Item No.","@@"&amp;$F2906,"3 Posting Date",Z$9)</t>
  </si>
  <si>
    <t>=-NL("Sum","5802 Value Entry","151 Cost Amount (Expected)","41 Source Type",$C$5,"5 Source No.",$C2906,"4 Item Ledger Entry Type",$C$4,"2 Item No.","@@"&amp;$F2906,"3 Posting Date",Z$9)-NL("Sum","5802 Value Entry","43 Cost Amount (Actual)","41 Source Type",$C$5,"5 Source no.",$C2906,"4 Item Ledger Entry Type",$C$4,"2 Item No.","@@"&amp;$F2906,"3 Posting Date",Z$9)</t>
  </si>
  <si>
    <t>=Z2906-AB2906</t>
  </si>
  <si>
    <t>=IF(Z2906&lt;&gt;0,AC2906/Z2906,"")</t>
  </si>
  <si>
    <t>=C2906</t>
  </si>
  <si>
    <t>=NL("Sum","5802 Value Entry","150 Sales Amount (Expected)","41 Source Type",$C$5,"5 Source No.",$C2907,"4 Item Ledger Entry Type",$C$4,"2 Item No.","@@"&amp;$F2907,"3 Posting Date",J$9)+NL("Sum","5802 Value Entry","17 Sales Amount (Actual)","41 Source Type",$C$5,"5 Source no.",$C2907,"4 Item Ledger Entry Type",$C$4,"2 Item No.","@@"&amp;$F2907,"3 Posting Date",J$9)</t>
  </si>
  <si>
    <t>=-NL("Sum","5802 Value Entry","151 Cost Amount (Expected)","41 Source Type",$C$5,"5 Source No.",$C2907,"4 Item Ledger Entry Type",$C$4,"2 Item No.","@@"&amp;$F2907,"3 Posting Date",J$9)-NL("Sum","5802 Value Entry","43 Cost Amount (Actual)","41 Source Type",$C$5,"5 Source no.",$C2907,"4 Item Ledger Entry Type",$C$4,"2 Item No.","@@"&amp;$F2907,"3 Posting Date",J$9)</t>
  </si>
  <si>
    <t>=J2907-L2907</t>
  </si>
  <si>
    <t>=IF(J2907&lt;&gt;0,M2907/J2907,"")</t>
  </si>
  <si>
    <t>=NL("Sum","5802 Value Entry","150 Sales Amount (Expected)","41 Source Type",$C$5,"5 Source No.",$C2907,"4 Item Ledger Entry Type",$C$4,"2 Item No.","@@"&amp;$F2907,"3 Posting Date",O$9)+NL("Sum","5802 Value Entry","17 Sales Amount (Actual)","41 Source Type",$C$5,"5 Source no.",$C2907,"4 Item Ledger Entry Type",$C$4,"2 Item No.","@@"&amp;$F2907,"3 Posting Date",O$9)</t>
  </si>
  <si>
    <t>=-NL("Sum","5802 Value Entry","151 Cost Amount (Expected)","41 Source Type",$C$5,"5 Source No.",$C2907,"4 Item Ledger Entry Type",$C$4,"2 Item No.","@@"&amp;$F2907,"3 Posting Date",O$9)-NL("Sum","5802 Value Entry","43 Cost Amount (Actual)","41 Source Type",$C$5,"5 Source no.",$C2907,"4 Item Ledger Entry Type",$C$4,"2 Item No.","@@"&amp;$F2907,"3 Posting Date",O$9)</t>
  </si>
  <si>
    <t>=O2907-Q2907</t>
  </si>
  <si>
    <t>=IF(O2907&lt;&gt;0,R2907/O2907,"")</t>
  </si>
  <si>
    <t>=NL("Sum","5802 Value Entry","150 Sales Amount (Expected)","41 Source Type",$C$5,"5 Source No.",$C2907,"4 Item Ledger Entry Type",$C$4,"2 Item No.","@@"&amp;$F2907,"3 Posting Date",U$9)+NL("Sum","5802 Value Entry","17 Sales Amount (Actual)","41 Source Type",$C$5,"5 Source no.",$C2907,"4 Item Ledger Entry Type",$C$4,"2 Item No.","@@"&amp;$F2907,"3 Posting Date",U$9)</t>
  </si>
  <si>
    <t>=-NL("Sum","5802 Value Entry","151 Cost Amount (Expected)","41 Source Type",$C$5,"5 Source No.",$C2907,"4 Item Ledger Entry Type",$C$4,"2 Item No.","@@"&amp;$F2907,"3 Posting Date",U$9)-NL("Sum","5802 Value Entry","43 Cost Amount (Actual)","41 Source Type",$C$5,"5 Source no.",$C2907,"4 Item Ledger Entry Type",$C$4,"2 Item No.","@@"&amp;$F2907,"3 Posting Date",U$9)</t>
  </si>
  <si>
    <t>=U2907-W2907</t>
  </si>
  <si>
    <t>=IF(U2907&lt;&gt;0,X2907/U2907,"")</t>
  </si>
  <si>
    <t>=NL("Sum","5802 Value Entry","150 Sales Amount (Expected)","41 Source Type",$C$5,"5 Source No.",$C2907,"4 Item Ledger Entry Type",$C$4,"2 Item No.","@@"&amp;$F2907,"3 Posting Date",Z$9)+NL("Sum","5802 Value Entry","17 Sales Amount (Actual)","41 Source Type",$C$5,"5 Source no.",$C2907,"4 Item Ledger Entry Type",$C$4,"2 Item No.","@@"&amp;$F2907,"3 Posting Date",Z$9)</t>
  </si>
  <si>
    <t>=-NL("Sum","5802 Value Entry","151 Cost Amount (Expected)","41 Source Type",$C$5,"5 Source No.",$C2907,"4 Item Ledger Entry Type",$C$4,"2 Item No.","@@"&amp;$F2907,"3 Posting Date",Z$9)-NL("Sum","5802 Value Entry","43 Cost Amount (Actual)","41 Source Type",$C$5,"5 Source no.",$C2907,"4 Item Ledger Entry Type",$C$4,"2 Item No.","@@"&amp;$F2907,"3 Posting Date",Z$9)</t>
  </si>
  <si>
    <t>=Z2907-AB2907</t>
  </si>
  <si>
    <t>=IF(Z2907&lt;&gt;0,AC2907/Z2907,"")</t>
  </si>
  <si>
    <t>=C2908</t>
  </si>
  <si>
    <t>=J2909-L2909</t>
  </si>
  <si>
    <t>=IF(J2909&lt;&gt;0,M2909/J2909,"")</t>
  </si>
  <si>
    <t>=O2909-Q2909</t>
  </si>
  <si>
    <t>=IF(O2909&lt;&gt;0,R2909/O2909,"")</t>
  </si>
  <si>
    <t>=U2909-W2909</t>
  </si>
  <si>
    <t>=IF(U2909&lt;&gt;0,X2909/U2909,"")</t>
  </si>
  <si>
    <t>=Z2909-AB2909</t>
  </si>
  <si>
    <t>=IF(Z2909&lt;&gt;0,AC2909/Z2909,"")</t>
  </si>
  <si>
    <t>=C2911</t>
  </si>
  <si>
    <t>=C2912</t>
  </si>
  <si>
    <t>=NL("Sum","5802 Value Entry","150 Sales Amount (Expected)","41 Source Type",$C$5,"5 Source No.",$C2913,"4 Item Ledger Entry Type",$C$4,"2 Item No.","@@"&amp;$F2913,"3 Posting Date",J$9)+NL("Sum","5802 Value Entry","17 Sales Amount (Actual)","41 Source Type",$C$5,"5 Source no.",$C2913,"4 Item Ledger Entry Type",$C$4,"2 Item No.","@@"&amp;$F2913,"3 Posting Date",J$9)</t>
  </si>
  <si>
    <t>=-NL("Sum","5802 Value Entry","151 Cost Amount (Expected)","41 Source Type",$C$5,"5 Source No.",$C2913,"4 Item Ledger Entry Type",$C$4,"2 Item No.","@@"&amp;$F2913,"3 Posting Date",J$9)-NL("Sum","5802 Value Entry","43 Cost Amount (Actual)","41 Source Type",$C$5,"5 Source no.",$C2913,"4 Item Ledger Entry Type",$C$4,"2 Item No.","@@"&amp;$F2913,"3 Posting Date",J$9)</t>
  </si>
  <si>
    <t>=J2913-L2913</t>
  </si>
  <si>
    <t>=IF(J2913&lt;&gt;0,M2913/J2913,"")</t>
  </si>
  <si>
    <t>=NL("Sum","5802 Value Entry","150 Sales Amount (Expected)","41 Source Type",$C$5,"5 Source No.",$C2913,"4 Item Ledger Entry Type",$C$4,"2 Item No.","@@"&amp;$F2913,"3 Posting Date",O$9)+NL("Sum","5802 Value Entry","17 Sales Amount (Actual)","41 Source Type",$C$5,"5 Source no.",$C2913,"4 Item Ledger Entry Type",$C$4,"2 Item No.","@@"&amp;$F2913,"3 Posting Date",O$9)</t>
  </si>
  <si>
    <t>=-NL("Sum","5802 Value Entry","151 Cost Amount (Expected)","41 Source Type",$C$5,"5 Source No.",$C2913,"4 Item Ledger Entry Type",$C$4,"2 Item No.","@@"&amp;$F2913,"3 Posting Date",O$9)-NL("Sum","5802 Value Entry","43 Cost Amount (Actual)","41 Source Type",$C$5,"5 Source no.",$C2913,"4 Item Ledger Entry Type",$C$4,"2 Item No.","@@"&amp;$F2913,"3 Posting Date",O$9)</t>
  </si>
  <si>
    <t>=O2913-Q2913</t>
  </si>
  <si>
    <t>=IF(O2913&lt;&gt;0,R2913/O2913,"")</t>
  </si>
  <si>
    <t>=NL("Sum","5802 Value Entry","150 Sales Amount (Expected)","41 Source Type",$C$5,"5 Source No.",$C2913,"4 Item Ledger Entry Type",$C$4,"2 Item No.","@@"&amp;$F2913,"3 Posting Date",U$9)+NL("Sum","5802 Value Entry","17 Sales Amount (Actual)","41 Source Type",$C$5,"5 Source no.",$C2913,"4 Item Ledger Entry Type",$C$4,"2 Item No.","@@"&amp;$F2913,"3 Posting Date",U$9)</t>
  </si>
  <si>
    <t>=-NL("Sum","5802 Value Entry","151 Cost Amount (Expected)","41 Source Type",$C$5,"5 Source No.",$C2913,"4 Item Ledger Entry Type",$C$4,"2 Item No.","@@"&amp;$F2913,"3 Posting Date",U$9)-NL("Sum","5802 Value Entry","43 Cost Amount (Actual)","41 Source Type",$C$5,"5 Source no.",$C2913,"4 Item Ledger Entry Type",$C$4,"2 Item No.","@@"&amp;$F2913,"3 Posting Date",U$9)</t>
  </si>
  <si>
    <t>=U2913-W2913</t>
  </si>
  <si>
    <t>=IF(U2913&lt;&gt;0,X2913/U2913,"")</t>
  </si>
  <si>
    <t>=NL("Sum","5802 Value Entry","150 Sales Amount (Expected)","41 Source Type",$C$5,"5 Source No.",$C2913,"4 Item Ledger Entry Type",$C$4,"2 Item No.","@@"&amp;$F2913,"3 Posting Date",Z$9)+NL("Sum","5802 Value Entry","17 Sales Amount (Actual)","41 Source Type",$C$5,"5 Source no.",$C2913,"4 Item Ledger Entry Type",$C$4,"2 Item No.","@@"&amp;$F2913,"3 Posting Date",Z$9)</t>
  </si>
  <si>
    <t>=-NL("Sum","5802 Value Entry","151 Cost Amount (Expected)","41 Source Type",$C$5,"5 Source No.",$C2913,"4 Item Ledger Entry Type",$C$4,"2 Item No.","@@"&amp;$F2913,"3 Posting Date",Z$9)-NL("Sum","5802 Value Entry","43 Cost Amount (Actual)","41 Source Type",$C$5,"5 Source no.",$C2913,"4 Item Ledger Entry Type",$C$4,"2 Item No.","@@"&amp;$F2913,"3 Posting Date",Z$9)</t>
  </si>
  <si>
    <t>=Z2913-AB2913</t>
  </si>
  <si>
    <t>=IF(Z2913&lt;&gt;0,AC2913/Z2913,"")</t>
  </si>
  <si>
    <t>=C2913</t>
  </si>
  <si>
    <t>=NL("Sum","5802 Value Entry","150 Sales Amount (Expected)","41 Source Type",$C$5,"5 Source No.",$C2914,"4 Item Ledger Entry Type",$C$4,"2 Item No.","@@"&amp;$F2914,"3 Posting Date",J$9)+NL("Sum","5802 Value Entry","17 Sales Amount (Actual)","41 Source Type",$C$5,"5 Source no.",$C2914,"4 Item Ledger Entry Type",$C$4,"2 Item No.","@@"&amp;$F2914,"3 Posting Date",J$9)</t>
  </si>
  <si>
    <t>=-NL("Sum","5802 Value Entry","151 Cost Amount (Expected)","41 Source Type",$C$5,"5 Source No.",$C2914,"4 Item Ledger Entry Type",$C$4,"2 Item No.","@@"&amp;$F2914,"3 Posting Date",J$9)-NL("Sum","5802 Value Entry","43 Cost Amount (Actual)","41 Source Type",$C$5,"5 Source no.",$C2914,"4 Item Ledger Entry Type",$C$4,"2 Item No.","@@"&amp;$F2914,"3 Posting Date",J$9)</t>
  </si>
  <si>
    <t>=J2914-L2914</t>
  </si>
  <si>
    <t>=IF(J2914&lt;&gt;0,M2914/J2914,"")</t>
  </si>
  <si>
    <t>=NL("Sum","5802 Value Entry","150 Sales Amount (Expected)","41 Source Type",$C$5,"5 Source No.",$C2914,"4 Item Ledger Entry Type",$C$4,"2 Item No.","@@"&amp;$F2914,"3 Posting Date",O$9)+NL("Sum","5802 Value Entry","17 Sales Amount (Actual)","41 Source Type",$C$5,"5 Source no.",$C2914,"4 Item Ledger Entry Type",$C$4,"2 Item No.","@@"&amp;$F2914,"3 Posting Date",O$9)</t>
  </si>
  <si>
    <t>=-NL("Sum","5802 Value Entry","151 Cost Amount (Expected)","41 Source Type",$C$5,"5 Source No.",$C2914,"4 Item Ledger Entry Type",$C$4,"2 Item No.","@@"&amp;$F2914,"3 Posting Date",O$9)-NL("Sum","5802 Value Entry","43 Cost Amount (Actual)","41 Source Type",$C$5,"5 Source no.",$C2914,"4 Item Ledger Entry Type",$C$4,"2 Item No.","@@"&amp;$F2914,"3 Posting Date",O$9)</t>
  </si>
  <si>
    <t>=O2914-Q2914</t>
  </si>
  <si>
    <t>=IF(O2914&lt;&gt;0,R2914/O2914,"")</t>
  </si>
  <si>
    <t>=NL("Sum","5802 Value Entry","150 Sales Amount (Expected)","41 Source Type",$C$5,"5 Source No.",$C2914,"4 Item Ledger Entry Type",$C$4,"2 Item No.","@@"&amp;$F2914,"3 Posting Date",U$9)+NL("Sum","5802 Value Entry","17 Sales Amount (Actual)","41 Source Type",$C$5,"5 Source no.",$C2914,"4 Item Ledger Entry Type",$C$4,"2 Item No.","@@"&amp;$F2914,"3 Posting Date",U$9)</t>
  </si>
  <si>
    <t>=-NL("Sum","5802 Value Entry","151 Cost Amount (Expected)","41 Source Type",$C$5,"5 Source No.",$C2914,"4 Item Ledger Entry Type",$C$4,"2 Item No.","@@"&amp;$F2914,"3 Posting Date",U$9)-NL("Sum","5802 Value Entry","43 Cost Amount (Actual)","41 Source Type",$C$5,"5 Source no.",$C2914,"4 Item Ledger Entry Type",$C$4,"2 Item No.","@@"&amp;$F2914,"3 Posting Date",U$9)</t>
  </si>
  <si>
    <t>=U2914-W2914</t>
  </si>
  <si>
    <t>=IF(U2914&lt;&gt;0,X2914/U2914,"")</t>
  </si>
  <si>
    <t>=NL("Sum","5802 Value Entry","150 Sales Amount (Expected)","41 Source Type",$C$5,"5 Source No.",$C2914,"4 Item Ledger Entry Type",$C$4,"2 Item No.","@@"&amp;$F2914,"3 Posting Date",Z$9)+NL("Sum","5802 Value Entry","17 Sales Amount (Actual)","41 Source Type",$C$5,"5 Source no.",$C2914,"4 Item Ledger Entry Type",$C$4,"2 Item No.","@@"&amp;$F2914,"3 Posting Date",Z$9)</t>
  </si>
  <si>
    <t>=-NL("Sum","5802 Value Entry","151 Cost Amount (Expected)","41 Source Type",$C$5,"5 Source No.",$C2914,"4 Item Ledger Entry Type",$C$4,"2 Item No.","@@"&amp;$F2914,"3 Posting Date",Z$9)-NL("Sum","5802 Value Entry","43 Cost Amount (Actual)","41 Source Type",$C$5,"5 Source no.",$C2914,"4 Item Ledger Entry Type",$C$4,"2 Item No.","@@"&amp;$F2914,"3 Posting Date",Z$9)</t>
  </si>
  <si>
    <t>=Z2914-AB2914</t>
  </si>
  <si>
    <t>=IF(Z2914&lt;&gt;0,AC2914/Z2914,"")</t>
  </si>
  <si>
    <t>=C2914</t>
  </si>
  <si>
    <t>=NL("Sum","5802 Value Entry","150 Sales Amount (Expected)","41 Source Type",$C$5,"5 Source No.",$C2915,"4 Item Ledger Entry Type",$C$4,"2 Item No.","@@"&amp;$F2915,"3 Posting Date",J$9)+NL("Sum","5802 Value Entry","17 Sales Amount (Actual)","41 Source Type",$C$5,"5 Source no.",$C2915,"4 Item Ledger Entry Type",$C$4,"2 Item No.","@@"&amp;$F2915,"3 Posting Date",J$9)</t>
  </si>
  <si>
    <t>=-NL("Sum","5802 Value Entry","151 Cost Amount (Expected)","41 Source Type",$C$5,"5 Source No.",$C2915,"4 Item Ledger Entry Type",$C$4,"2 Item No.","@@"&amp;$F2915,"3 Posting Date",J$9)-NL("Sum","5802 Value Entry","43 Cost Amount (Actual)","41 Source Type",$C$5,"5 Source no.",$C2915,"4 Item Ledger Entry Type",$C$4,"2 Item No.","@@"&amp;$F2915,"3 Posting Date",J$9)</t>
  </si>
  <si>
    <t>=J2915-L2915</t>
  </si>
  <si>
    <t>=IF(J2915&lt;&gt;0,M2915/J2915,"")</t>
  </si>
  <si>
    <t>=NL("Sum","5802 Value Entry","150 Sales Amount (Expected)","41 Source Type",$C$5,"5 Source No.",$C2915,"4 Item Ledger Entry Type",$C$4,"2 Item No.","@@"&amp;$F2915,"3 Posting Date",O$9)+NL("Sum","5802 Value Entry","17 Sales Amount (Actual)","41 Source Type",$C$5,"5 Source no.",$C2915,"4 Item Ledger Entry Type",$C$4,"2 Item No.","@@"&amp;$F2915,"3 Posting Date",O$9)</t>
  </si>
  <si>
    <t>=-NL("Sum","5802 Value Entry","151 Cost Amount (Expected)","41 Source Type",$C$5,"5 Source No.",$C2915,"4 Item Ledger Entry Type",$C$4,"2 Item No.","@@"&amp;$F2915,"3 Posting Date",O$9)-NL("Sum","5802 Value Entry","43 Cost Amount (Actual)","41 Source Type",$C$5,"5 Source no.",$C2915,"4 Item Ledger Entry Type",$C$4,"2 Item No.","@@"&amp;$F2915,"3 Posting Date",O$9)</t>
  </si>
  <si>
    <t>=O2915-Q2915</t>
  </si>
  <si>
    <t>=IF(O2915&lt;&gt;0,R2915/O2915,"")</t>
  </si>
  <si>
    <t>=NL("Sum","5802 Value Entry","150 Sales Amount (Expected)","41 Source Type",$C$5,"5 Source No.",$C2915,"4 Item Ledger Entry Type",$C$4,"2 Item No.","@@"&amp;$F2915,"3 Posting Date",U$9)+NL("Sum","5802 Value Entry","17 Sales Amount (Actual)","41 Source Type",$C$5,"5 Source no.",$C2915,"4 Item Ledger Entry Type",$C$4,"2 Item No.","@@"&amp;$F2915,"3 Posting Date",U$9)</t>
  </si>
  <si>
    <t>=-NL("Sum","5802 Value Entry","151 Cost Amount (Expected)","41 Source Type",$C$5,"5 Source No.",$C2915,"4 Item Ledger Entry Type",$C$4,"2 Item No.","@@"&amp;$F2915,"3 Posting Date",U$9)-NL("Sum","5802 Value Entry","43 Cost Amount (Actual)","41 Source Type",$C$5,"5 Source no.",$C2915,"4 Item Ledger Entry Type",$C$4,"2 Item No.","@@"&amp;$F2915,"3 Posting Date",U$9)</t>
  </si>
  <si>
    <t>=U2915-W2915</t>
  </si>
  <si>
    <t>=IF(U2915&lt;&gt;0,X2915/U2915,"")</t>
  </si>
  <si>
    <t>=NL("Sum","5802 Value Entry","150 Sales Amount (Expected)","41 Source Type",$C$5,"5 Source No.",$C2915,"4 Item Ledger Entry Type",$C$4,"2 Item No.","@@"&amp;$F2915,"3 Posting Date",Z$9)+NL("Sum","5802 Value Entry","17 Sales Amount (Actual)","41 Source Type",$C$5,"5 Source no.",$C2915,"4 Item Ledger Entry Type",$C$4,"2 Item No.","@@"&amp;$F2915,"3 Posting Date",Z$9)</t>
  </si>
  <si>
    <t>=-NL("Sum","5802 Value Entry","151 Cost Amount (Expected)","41 Source Type",$C$5,"5 Source No.",$C2915,"4 Item Ledger Entry Type",$C$4,"2 Item No.","@@"&amp;$F2915,"3 Posting Date",Z$9)-NL("Sum","5802 Value Entry","43 Cost Amount (Actual)","41 Source Type",$C$5,"5 Source no.",$C2915,"4 Item Ledger Entry Type",$C$4,"2 Item No.","@@"&amp;$F2915,"3 Posting Date",Z$9)</t>
  </si>
  <si>
    <t>=Z2915-AB2915</t>
  </si>
  <si>
    <t>=IF(Z2915&lt;&gt;0,AC2915/Z2915,"")</t>
  </si>
  <si>
    <t>=C2915</t>
  </si>
  <si>
    <t>=NL("Sum","5802 Value Entry","150 Sales Amount (Expected)","41 Source Type",$C$5,"5 Source No.",$C2916,"4 Item Ledger Entry Type",$C$4,"2 Item No.","@@"&amp;$F2916,"3 Posting Date",J$9)+NL("Sum","5802 Value Entry","17 Sales Amount (Actual)","41 Source Type",$C$5,"5 Source no.",$C2916,"4 Item Ledger Entry Type",$C$4,"2 Item No.","@@"&amp;$F2916,"3 Posting Date",J$9)</t>
  </si>
  <si>
    <t>=-NL("Sum","5802 Value Entry","151 Cost Amount (Expected)","41 Source Type",$C$5,"5 Source No.",$C2916,"4 Item Ledger Entry Type",$C$4,"2 Item No.","@@"&amp;$F2916,"3 Posting Date",J$9)-NL("Sum","5802 Value Entry","43 Cost Amount (Actual)","41 Source Type",$C$5,"5 Source no.",$C2916,"4 Item Ledger Entry Type",$C$4,"2 Item No.","@@"&amp;$F2916,"3 Posting Date",J$9)</t>
  </si>
  <si>
    <t>=J2916-L2916</t>
  </si>
  <si>
    <t>=IF(J2916&lt;&gt;0,M2916/J2916,"")</t>
  </si>
  <si>
    <t>=NL("Sum","5802 Value Entry","150 Sales Amount (Expected)","41 Source Type",$C$5,"5 Source No.",$C2916,"4 Item Ledger Entry Type",$C$4,"2 Item No.","@@"&amp;$F2916,"3 Posting Date",O$9)+NL("Sum","5802 Value Entry","17 Sales Amount (Actual)","41 Source Type",$C$5,"5 Source no.",$C2916,"4 Item Ledger Entry Type",$C$4,"2 Item No.","@@"&amp;$F2916,"3 Posting Date",O$9)</t>
  </si>
  <si>
    <t>=-NL("Sum","5802 Value Entry","151 Cost Amount (Expected)","41 Source Type",$C$5,"5 Source No.",$C2916,"4 Item Ledger Entry Type",$C$4,"2 Item No.","@@"&amp;$F2916,"3 Posting Date",O$9)-NL("Sum","5802 Value Entry","43 Cost Amount (Actual)","41 Source Type",$C$5,"5 Source no.",$C2916,"4 Item Ledger Entry Type",$C$4,"2 Item No.","@@"&amp;$F2916,"3 Posting Date",O$9)</t>
  </si>
  <si>
    <t>=O2916-Q2916</t>
  </si>
  <si>
    <t>=IF(O2916&lt;&gt;0,R2916/O2916,"")</t>
  </si>
  <si>
    <t>=NL("Sum","5802 Value Entry","150 Sales Amount (Expected)","41 Source Type",$C$5,"5 Source No.",$C2916,"4 Item Ledger Entry Type",$C$4,"2 Item No.","@@"&amp;$F2916,"3 Posting Date",U$9)+NL("Sum","5802 Value Entry","17 Sales Amount (Actual)","41 Source Type",$C$5,"5 Source no.",$C2916,"4 Item Ledger Entry Type",$C$4,"2 Item No.","@@"&amp;$F2916,"3 Posting Date",U$9)</t>
  </si>
  <si>
    <t>=-NL("Sum","5802 Value Entry","151 Cost Amount (Expected)","41 Source Type",$C$5,"5 Source No.",$C2916,"4 Item Ledger Entry Type",$C$4,"2 Item No.","@@"&amp;$F2916,"3 Posting Date",U$9)-NL("Sum","5802 Value Entry","43 Cost Amount (Actual)","41 Source Type",$C$5,"5 Source no.",$C2916,"4 Item Ledger Entry Type",$C$4,"2 Item No.","@@"&amp;$F2916,"3 Posting Date",U$9)</t>
  </si>
  <si>
    <t>=U2916-W2916</t>
  </si>
  <si>
    <t>=IF(U2916&lt;&gt;0,X2916/U2916,"")</t>
  </si>
  <si>
    <t>=NL("Sum","5802 Value Entry","150 Sales Amount (Expected)","41 Source Type",$C$5,"5 Source No.",$C2916,"4 Item Ledger Entry Type",$C$4,"2 Item No.","@@"&amp;$F2916,"3 Posting Date",Z$9)+NL("Sum","5802 Value Entry","17 Sales Amount (Actual)","41 Source Type",$C$5,"5 Source no.",$C2916,"4 Item Ledger Entry Type",$C$4,"2 Item No.","@@"&amp;$F2916,"3 Posting Date",Z$9)</t>
  </si>
  <si>
    <t>=-NL("Sum","5802 Value Entry","151 Cost Amount (Expected)","41 Source Type",$C$5,"5 Source No.",$C2916,"4 Item Ledger Entry Type",$C$4,"2 Item No.","@@"&amp;$F2916,"3 Posting Date",Z$9)-NL("Sum","5802 Value Entry","43 Cost Amount (Actual)","41 Source Type",$C$5,"5 Source no.",$C2916,"4 Item Ledger Entry Type",$C$4,"2 Item No.","@@"&amp;$F2916,"3 Posting Date",Z$9)</t>
  </si>
  <si>
    <t>=Z2916-AB2916</t>
  </si>
  <si>
    <t>=IF(Z2916&lt;&gt;0,AC2916/Z2916,"")</t>
  </si>
  <si>
    <t>=C2916</t>
  </si>
  <si>
    <t>=NL("Sum","5802 Value Entry","150 Sales Amount (Expected)","41 Source Type",$C$5,"5 Source No.",$C2917,"4 Item Ledger Entry Type",$C$4,"2 Item No.","@@"&amp;$F2917,"3 Posting Date",J$9)+NL("Sum","5802 Value Entry","17 Sales Amount (Actual)","41 Source Type",$C$5,"5 Source no.",$C2917,"4 Item Ledger Entry Type",$C$4,"2 Item No.","@@"&amp;$F2917,"3 Posting Date",J$9)</t>
  </si>
  <si>
    <t>=-NL("Sum","5802 Value Entry","151 Cost Amount (Expected)","41 Source Type",$C$5,"5 Source No.",$C2917,"4 Item Ledger Entry Type",$C$4,"2 Item No.","@@"&amp;$F2917,"3 Posting Date",J$9)-NL("Sum","5802 Value Entry","43 Cost Amount (Actual)","41 Source Type",$C$5,"5 Source no.",$C2917,"4 Item Ledger Entry Type",$C$4,"2 Item No.","@@"&amp;$F2917,"3 Posting Date",J$9)</t>
  </si>
  <si>
    <t>=J2917-L2917</t>
  </si>
  <si>
    <t>=IF(J2917&lt;&gt;0,M2917/J2917,"")</t>
  </si>
  <si>
    <t>=NL("Sum","5802 Value Entry","150 Sales Amount (Expected)","41 Source Type",$C$5,"5 Source No.",$C2917,"4 Item Ledger Entry Type",$C$4,"2 Item No.","@@"&amp;$F2917,"3 Posting Date",O$9)+NL("Sum","5802 Value Entry","17 Sales Amount (Actual)","41 Source Type",$C$5,"5 Source no.",$C2917,"4 Item Ledger Entry Type",$C$4,"2 Item No.","@@"&amp;$F2917,"3 Posting Date",O$9)</t>
  </si>
  <si>
    <t>=-NL("Sum","5802 Value Entry","151 Cost Amount (Expected)","41 Source Type",$C$5,"5 Source No.",$C2917,"4 Item Ledger Entry Type",$C$4,"2 Item No.","@@"&amp;$F2917,"3 Posting Date",O$9)-NL("Sum","5802 Value Entry","43 Cost Amount (Actual)","41 Source Type",$C$5,"5 Source no.",$C2917,"4 Item Ledger Entry Type",$C$4,"2 Item No.","@@"&amp;$F2917,"3 Posting Date",O$9)</t>
  </si>
  <si>
    <t>=O2917-Q2917</t>
  </si>
  <si>
    <t>=IF(O2917&lt;&gt;0,R2917/O2917,"")</t>
  </si>
  <si>
    <t>=NL("Sum","5802 Value Entry","150 Sales Amount (Expected)","41 Source Type",$C$5,"5 Source No.",$C2917,"4 Item Ledger Entry Type",$C$4,"2 Item No.","@@"&amp;$F2917,"3 Posting Date",U$9)+NL("Sum","5802 Value Entry","17 Sales Amount (Actual)","41 Source Type",$C$5,"5 Source no.",$C2917,"4 Item Ledger Entry Type",$C$4,"2 Item No.","@@"&amp;$F2917,"3 Posting Date",U$9)</t>
  </si>
  <si>
    <t>=-NL("Sum","5802 Value Entry","151 Cost Amount (Expected)","41 Source Type",$C$5,"5 Source No.",$C2917,"4 Item Ledger Entry Type",$C$4,"2 Item No.","@@"&amp;$F2917,"3 Posting Date",U$9)-NL("Sum","5802 Value Entry","43 Cost Amount (Actual)","41 Source Type",$C$5,"5 Source no.",$C2917,"4 Item Ledger Entry Type",$C$4,"2 Item No.","@@"&amp;$F2917,"3 Posting Date",U$9)</t>
  </si>
  <si>
    <t>=U2917-W2917</t>
  </si>
  <si>
    <t>=IF(U2917&lt;&gt;0,X2917/U2917,"")</t>
  </si>
  <si>
    <t>=NL("Sum","5802 Value Entry","150 Sales Amount (Expected)","41 Source Type",$C$5,"5 Source No.",$C2917,"4 Item Ledger Entry Type",$C$4,"2 Item No.","@@"&amp;$F2917,"3 Posting Date",Z$9)+NL("Sum","5802 Value Entry","17 Sales Amount (Actual)","41 Source Type",$C$5,"5 Source no.",$C2917,"4 Item Ledger Entry Type",$C$4,"2 Item No.","@@"&amp;$F2917,"3 Posting Date",Z$9)</t>
  </si>
  <si>
    <t>=-NL("Sum","5802 Value Entry","151 Cost Amount (Expected)","41 Source Type",$C$5,"5 Source No.",$C2917,"4 Item Ledger Entry Type",$C$4,"2 Item No.","@@"&amp;$F2917,"3 Posting Date",Z$9)-NL("Sum","5802 Value Entry","43 Cost Amount (Actual)","41 Source Type",$C$5,"5 Source no.",$C2917,"4 Item Ledger Entry Type",$C$4,"2 Item No.","@@"&amp;$F2917,"3 Posting Date",Z$9)</t>
  </si>
  <si>
    <t>=Z2917-AB2917</t>
  </si>
  <si>
    <t>=IF(Z2917&lt;&gt;0,AC2917/Z2917,"")</t>
  </si>
  <si>
    <t>=C2917</t>
  </si>
  <si>
    <t>=NL("Sum","5802 Value Entry","150 Sales Amount (Expected)","41 Source Type",$C$5,"5 Source No.",$C2918,"4 Item Ledger Entry Type",$C$4,"2 Item No.","@@"&amp;$F2918,"3 Posting Date",J$9)+NL("Sum","5802 Value Entry","17 Sales Amount (Actual)","41 Source Type",$C$5,"5 Source no.",$C2918,"4 Item Ledger Entry Type",$C$4,"2 Item No.","@@"&amp;$F2918,"3 Posting Date",J$9)</t>
  </si>
  <si>
    <t>=-NL("Sum","5802 Value Entry","151 Cost Amount (Expected)","41 Source Type",$C$5,"5 Source No.",$C2918,"4 Item Ledger Entry Type",$C$4,"2 Item No.","@@"&amp;$F2918,"3 Posting Date",J$9)-NL("Sum","5802 Value Entry","43 Cost Amount (Actual)","41 Source Type",$C$5,"5 Source no.",$C2918,"4 Item Ledger Entry Type",$C$4,"2 Item No.","@@"&amp;$F2918,"3 Posting Date",J$9)</t>
  </si>
  <si>
    <t>=J2918-L2918</t>
  </si>
  <si>
    <t>=IF(J2918&lt;&gt;0,M2918/J2918,"")</t>
  </si>
  <si>
    <t>=NL("Sum","5802 Value Entry","150 Sales Amount (Expected)","41 Source Type",$C$5,"5 Source No.",$C2918,"4 Item Ledger Entry Type",$C$4,"2 Item No.","@@"&amp;$F2918,"3 Posting Date",O$9)+NL("Sum","5802 Value Entry","17 Sales Amount (Actual)","41 Source Type",$C$5,"5 Source no.",$C2918,"4 Item Ledger Entry Type",$C$4,"2 Item No.","@@"&amp;$F2918,"3 Posting Date",O$9)</t>
  </si>
  <si>
    <t>=-NL("Sum","5802 Value Entry","151 Cost Amount (Expected)","41 Source Type",$C$5,"5 Source No.",$C2918,"4 Item Ledger Entry Type",$C$4,"2 Item No.","@@"&amp;$F2918,"3 Posting Date",O$9)-NL("Sum","5802 Value Entry","43 Cost Amount (Actual)","41 Source Type",$C$5,"5 Source no.",$C2918,"4 Item Ledger Entry Type",$C$4,"2 Item No.","@@"&amp;$F2918,"3 Posting Date",O$9)</t>
  </si>
  <si>
    <t>=O2918-Q2918</t>
  </si>
  <si>
    <t>=IF(O2918&lt;&gt;0,R2918/O2918,"")</t>
  </si>
  <si>
    <t>=NL("Sum","5802 Value Entry","150 Sales Amount (Expected)","41 Source Type",$C$5,"5 Source No.",$C2918,"4 Item Ledger Entry Type",$C$4,"2 Item No.","@@"&amp;$F2918,"3 Posting Date",U$9)+NL("Sum","5802 Value Entry","17 Sales Amount (Actual)","41 Source Type",$C$5,"5 Source no.",$C2918,"4 Item Ledger Entry Type",$C$4,"2 Item No.","@@"&amp;$F2918,"3 Posting Date",U$9)</t>
  </si>
  <si>
    <t>=-NL("Sum","5802 Value Entry","151 Cost Amount (Expected)","41 Source Type",$C$5,"5 Source No.",$C2918,"4 Item Ledger Entry Type",$C$4,"2 Item No.","@@"&amp;$F2918,"3 Posting Date",U$9)-NL("Sum","5802 Value Entry","43 Cost Amount (Actual)","41 Source Type",$C$5,"5 Source no.",$C2918,"4 Item Ledger Entry Type",$C$4,"2 Item No.","@@"&amp;$F2918,"3 Posting Date",U$9)</t>
  </si>
  <si>
    <t>=U2918-W2918</t>
  </si>
  <si>
    <t>=IF(U2918&lt;&gt;0,X2918/U2918,"")</t>
  </si>
  <si>
    <t>=NL("Sum","5802 Value Entry","150 Sales Amount (Expected)","41 Source Type",$C$5,"5 Source No.",$C2918,"4 Item Ledger Entry Type",$C$4,"2 Item No.","@@"&amp;$F2918,"3 Posting Date",Z$9)+NL("Sum","5802 Value Entry","17 Sales Amount (Actual)","41 Source Type",$C$5,"5 Source no.",$C2918,"4 Item Ledger Entry Type",$C$4,"2 Item No.","@@"&amp;$F2918,"3 Posting Date",Z$9)</t>
  </si>
  <si>
    <t>=-NL("Sum","5802 Value Entry","151 Cost Amount (Expected)","41 Source Type",$C$5,"5 Source No.",$C2918,"4 Item Ledger Entry Type",$C$4,"2 Item No.","@@"&amp;$F2918,"3 Posting Date",Z$9)-NL("Sum","5802 Value Entry","43 Cost Amount (Actual)","41 Source Type",$C$5,"5 Source no.",$C2918,"4 Item Ledger Entry Type",$C$4,"2 Item No.","@@"&amp;$F2918,"3 Posting Date",Z$9)</t>
  </si>
  <si>
    <t>=Z2918-AB2918</t>
  </si>
  <si>
    <t>=IF(Z2918&lt;&gt;0,AC2918/Z2918,"")</t>
  </si>
  <si>
    <t>=C2919</t>
  </si>
  <si>
    <t>=J2920-L2920</t>
  </si>
  <si>
    <t>=IF(J2920&lt;&gt;0,M2920/J2920,"")</t>
  </si>
  <si>
    <t>=O2920-Q2920</t>
  </si>
  <si>
    <t>=IF(O2920&lt;&gt;0,R2920/O2920,"")</t>
  </si>
  <si>
    <t>=U2920-W2920</t>
  </si>
  <si>
    <t>=IF(U2920&lt;&gt;0,X2920/U2920,"")</t>
  </si>
  <si>
    <t>=Z2920-AB2920</t>
  </si>
  <si>
    <t>=IF(Z2920&lt;&gt;0,AC2920/Z2920,"")</t>
  </si>
  <si>
    <t>="C100124"</t>
  </si>
  <si>
    <t>=C2922</t>
  </si>
  <si>
    <t>=C2923</t>
  </si>
  <si>
    <t>=NL("Sum","5802 Value Entry","150 Sales Amount (Expected)","41 Source Type",$C$5,"5 Source No.",$C2924,"4 Item Ledger Entry Type",$C$4,"2 Item No.","@@"&amp;$F2924,"3 Posting Date",J$9)+NL("Sum","5802 Value Entry","17 Sales Amount (Actual)","41 Source Type",$C$5,"5 Source no.",$C2924,"4 Item Ledger Entry Type",$C$4,"2 Item No.","@@"&amp;$F2924,"3 Posting Date",J$9)</t>
  </si>
  <si>
    <t>=-NL("Sum","5802 Value Entry","151 Cost Amount (Expected)","41 Source Type",$C$5,"5 Source No.",$C2924,"4 Item Ledger Entry Type",$C$4,"2 Item No.","@@"&amp;$F2924,"3 Posting Date",J$9)-NL("Sum","5802 Value Entry","43 Cost Amount (Actual)","41 Source Type",$C$5,"5 Source no.",$C2924,"4 Item Ledger Entry Type",$C$4,"2 Item No.","@@"&amp;$F2924,"3 Posting Date",J$9)</t>
  </si>
  <si>
    <t>=J2924-L2924</t>
  </si>
  <si>
    <t>=IF(J2924&lt;&gt;0,M2924/J2924,"")</t>
  </si>
  <si>
    <t>=NL("Sum","5802 Value Entry","150 Sales Amount (Expected)","41 Source Type",$C$5,"5 Source No.",$C2924,"4 Item Ledger Entry Type",$C$4,"2 Item No.","@@"&amp;$F2924,"3 Posting Date",O$9)+NL("Sum","5802 Value Entry","17 Sales Amount (Actual)","41 Source Type",$C$5,"5 Source no.",$C2924,"4 Item Ledger Entry Type",$C$4,"2 Item No.","@@"&amp;$F2924,"3 Posting Date",O$9)</t>
  </si>
  <si>
    <t>=-NL("Sum","5802 Value Entry","151 Cost Amount (Expected)","41 Source Type",$C$5,"5 Source No.",$C2924,"4 Item Ledger Entry Type",$C$4,"2 Item No.","@@"&amp;$F2924,"3 Posting Date",O$9)-NL("Sum","5802 Value Entry","43 Cost Amount (Actual)","41 Source Type",$C$5,"5 Source no.",$C2924,"4 Item Ledger Entry Type",$C$4,"2 Item No.","@@"&amp;$F2924,"3 Posting Date",O$9)</t>
  </si>
  <si>
    <t>=O2924-Q2924</t>
  </si>
  <si>
    <t>=IF(O2924&lt;&gt;0,R2924/O2924,"")</t>
  </si>
  <si>
    <t>=NL("Sum","5802 Value Entry","150 Sales Amount (Expected)","41 Source Type",$C$5,"5 Source No.",$C2924,"4 Item Ledger Entry Type",$C$4,"2 Item No.","@@"&amp;$F2924,"3 Posting Date",U$9)+NL("Sum","5802 Value Entry","17 Sales Amount (Actual)","41 Source Type",$C$5,"5 Source no.",$C2924,"4 Item Ledger Entry Type",$C$4,"2 Item No.","@@"&amp;$F2924,"3 Posting Date",U$9)</t>
  </si>
  <si>
    <t>=-NL("Sum","5802 Value Entry","151 Cost Amount (Expected)","41 Source Type",$C$5,"5 Source No.",$C2924,"4 Item Ledger Entry Type",$C$4,"2 Item No.","@@"&amp;$F2924,"3 Posting Date",U$9)-NL("Sum","5802 Value Entry","43 Cost Amount (Actual)","41 Source Type",$C$5,"5 Source no.",$C2924,"4 Item Ledger Entry Type",$C$4,"2 Item No.","@@"&amp;$F2924,"3 Posting Date",U$9)</t>
  </si>
  <si>
    <t>=U2924-W2924</t>
  </si>
  <si>
    <t>=IF(U2924&lt;&gt;0,X2924/U2924,"")</t>
  </si>
  <si>
    <t>=NL("Sum","5802 Value Entry","150 Sales Amount (Expected)","41 Source Type",$C$5,"5 Source No.",$C2924,"4 Item Ledger Entry Type",$C$4,"2 Item No.","@@"&amp;$F2924,"3 Posting Date",Z$9)+NL("Sum","5802 Value Entry","17 Sales Amount (Actual)","41 Source Type",$C$5,"5 Source no.",$C2924,"4 Item Ledger Entry Type",$C$4,"2 Item No.","@@"&amp;$F2924,"3 Posting Date",Z$9)</t>
  </si>
  <si>
    <t>=-NL("Sum","5802 Value Entry","151 Cost Amount (Expected)","41 Source Type",$C$5,"5 Source No.",$C2924,"4 Item Ledger Entry Type",$C$4,"2 Item No.","@@"&amp;$F2924,"3 Posting Date",Z$9)-NL("Sum","5802 Value Entry","43 Cost Amount (Actual)","41 Source Type",$C$5,"5 Source no.",$C2924,"4 Item Ledger Entry Type",$C$4,"2 Item No.","@@"&amp;$F2924,"3 Posting Date",Z$9)</t>
  </si>
  <si>
    <t>=Z2924-AB2924</t>
  </si>
  <si>
    <t>=IF(Z2924&lt;&gt;0,AC2924/Z2924,"")</t>
  </si>
  <si>
    <t>=C2924</t>
  </si>
  <si>
    <t>=NL("Sum","5802 Value Entry","150 Sales Amount (Expected)","41 Source Type",$C$5,"5 Source No.",$C2925,"4 Item Ledger Entry Type",$C$4,"2 Item No.","@@"&amp;$F2925,"3 Posting Date",J$9)+NL("Sum","5802 Value Entry","17 Sales Amount (Actual)","41 Source Type",$C$5,"5 Source no.",$C2925,"4 Item Ledger Entry Type",$C$4,"2 Item No.","@@"&amp;$F2925,"3 Posting Date",J$9)</t>
  </si>
  <si>
    <t>=-NL("Sum","5802 Value Entry","151 Cost Amount (Expected)","41 Source Type",$C$5,"5 Source No.",$C2925,"4 Item Ledger Entry Type",$C$4,"2 Item No.","@@"&amp;$F2925,"3 Posting Date",J$9)-NL("Sum","5802 Value Entry","43 Cost Amount (Actual)","41 Source Type",$C$5,"5 Source no.",$C2925,"4 Item Ledger Entry Type",$C$4,"2 Item No.","@@"&amp;$F2925,"3 Posting Date",J$9)</t>
  </si>
  <si>
    <t>=J2925-L2925</t>
  </si>
  <si>
    <t>=IF(J2925&lt;&gt;0,M2925/J2925,"")</t>
  </si>
  <si>
    <t>=NL("Sum","5802 Value Entry","150 Sales Amount (Expected)","41 Source Type",$C$5,"5 Source No.",$C2925,"4 Item Ledger Entry Type",$C$4,"2 Item No.","@@"&amp;$F2925,"3 Posting Date",O$9)+NL("Sum","5802 Value Entry","17 Sales Amount (Actual)","41 Source Type",$C$5,"5 Source no.",$C2925,"4 Item Ledger Entry Type",$C$4,"2 Item No.","@@"&amp;$F2925,"3 Posting Date",O$9)</t>
  </si>
  <si>
    <t>=-NL("Sum","5802 Value Entry","151 Cost Amount (Expected)","41 Source Type",$C$5,"5 Source No.",$C2925,"4 Item Ledger Entry Type",$C$4,"2 Item No.","@@"&amp;$F2925,"3 Posting Date",O$9)-NL("Sum","5802 Value Entry","43 Cost Amount (Actual)","41 Source Type",$C$5,"5 Source no.",$C2925,"4 Item Ledger Entry Type",$C$4,"2 Item No.","@@"&amp;$F2925,"3 Posting Date",O$9)</t>
  </si>
  <si>
    <t>=O2925-Q2925</t>
  </si>
  <si>
    <t>=IF(O2925&lt;&gt;0,R2925/O2925,"")</t>
  </si>
  <si>
    <t>=NL("Sum","5802 Value Entry","150 Sales Amount (Expected)","41 Source Type",$C$5,"5 Source No.",$C2925,"4 Item Ledger Entry Type",$C$4,"2 Item No.","@@"&amp;$F2925,"3 Posting Date",U$9)+NL("Sum","5802 Value Entry","17 Sales Amount (Actual)","41 Source Type",$C$5,"5 Source no.",$C2925,"4 Item Ledger Entry Type",$C$4,"2 Item No.","@@"&amp;$F2925,"3 Posting Date",U$9)</t>
  </si>
  <si>
    <t>=-NL("Sum","5802 Value Entry","151 Cost Amount (Expected)","41 Source Type",$C$5,"5 Source No.",$C2925,"4 Item Ledger Entry Type",$C$4,"2 Item No.","@@"&amp;$F2925,"3 Posting Date",U$9)-NL("Sum","5802 Value Entry","43 Cost Amount (Actual)","41 Source Type",$C$5,"5 Source no.",$C2925,"4 Item Ledger Entry Type",$C$4,"2 Item No.","@@"&amp;$F2925,"3 Posting Date",U$9)</t>
  </si>
  <si>
    <t>=U2925-W2925</t>
  </si>
  <si>
    <t>=IF(U2925&lt;&gt;0,X2925/U2925,"")</t>
  </si>
  <si>
    <t>=NL("Sum","5802 Value Entry","150 Sales Amount (Expected)","41 Source Type",$C$5,"5 Source No.",$C2925,"4 Item Ledger Entry Type",$C$4,"2 Item No.","@@"&amp;$F2925,"3 Posting Date",Z$9)+NL("Sum","5802 Value Entry","17 Sales Amount (Actual)","41 Source Type",$C$5,"5 Source no.",$C2925,"4 Item Ledger Entry Type",$C$4,"2 Item No.","@@"&amp;$F2925,"3 Posting Date",Z$9)</t>
  </si>
  <si>
    <t>=-NL("Sum","5802 Value Entry","151 Cost Amount (Expected)","41 Source Type",$C$5,"5 Source No.",$C2925,"4 Item Ledger Entry Type",$C$4,"2 Item No.","@@"&amp;$F2925,"3 Posting Date",Z$9)-NL("Sum","5802 Value Entry","43 Cost Amount (Actual)","41 Source Type",$C$5,"5 Source no.",$C2925,"4 Item Ledger Entry Type",$C$4,"2 Item No.","@@"&amp;$F2925,"3 Posting Date",Z$9)</t>
  </si>
  <si>
    <t>=Z2925-AB2925</t>
  </si>
  <si>
    <t>=IF(Z2925&lt;&gt;0,AC2925/Z2925,"")</t>
  </si>
  <si>
    <t>=C2925</t>
  </si>
  <si>
    <t>=NL("Sum","5802 Value Entry","150 Sales Amount (Expected)","41 Source Type",$C$5,"5 Source No.",$C2926,"4 Item Ledger Entry Type",$C$4,"2 Item No.","@@"&amp;$F2926,"3 Posting Date",J$9)+NL("Sum","5802 Value Entry","17 Sales Amount (Actual)","41 Source Type",$C$5,"5 Source no.",$C2926,"4 Item Ledger Entry Type",$C$4,"2 Item No.","@@"&amp;$F2926,"3 Posting Date",J$9)</t>
  </si>
  <si>
    <t>=-NL("Sum","5802 Value Entry","151 Cost Amount (Expected)","41 Source Type",$C$5,"5 Source No.",$C2926,"4 Item Ledger Entry Type",$C$4,"2 Item No.","@@"&amp;$F2926,"3 Posting Date",J$9)-NL("Sum","5802 Value Entry","43 Cost Amount (Actual)","41 Source Type",$C$5,"5 Source no.",$C2926,"4 Item Ledger Entry Type",$C$4,"2 Item No.","@@"&amp;$F2926,"3 Posting Date",J$9)</t>
  </si>
  <si>
    <t>=J2926-L2926</t>
  </si>
  <si>
    <t>=IF(J2926&lt;&gt;0,M2926/J2926,"")</t>
  </si>
  <si>
    <t>=NL("Sum","5802 Value Entry","150 Sales Amount (Expected)","41 Source Type",$C$5,"5 Source No.",$C2926,"4 Item Ledger Entry Type",$C$4,"2 Item No.","@@"&amp;$F2926,"3 Posting Date",O$9)+NL("Sum","5802 Value Entry","17 Sales Amount (Actual)","41 Source Type",$C$5,"5 Source no.",$C2926,"4 Item Ledger Entry Type",$C$4,"2 Item No.","@@"&amp;$F2926,"3 Posting Date",O$9)</t>
  </si>
  <si>
    <t>=-NL("Sum","5802 Value Entry","151 Cost Amount (Expected)","41 Source Type",$C$5,"5 Source No.",$C2926,"4 Item Ledger Entry Type",$C$4,"2 Item No.","@@"&amp;$F2926,"3 Posting Date",O$9)-NL("Sum","5802 Value Entry","43 Cost Amount (Actual)","41 Source Type",$C$5,"5 Source no.",$C2926,"4 Item Ledger Entry Type",$C$4,"2 Item No.","@@"&amp;$F2926,"3 Posting Date",O$9)</t>
  </si>
  <si>
    <t>=O2926-Q2926</t>
  </si>
  <si>
    <t>=IF(O2926&lt;&gt;0,R2926/O2926,"")</t>
  </si>
  <si>
    <t>=NL("Sum","5802 Value Entry","150 Sales Amount (Expected)","41 Source Type",$C$5,"5 Source No.",$C2926,"4 Item Ledger Entry Type",$C$4,"2 Item No.","@@"&amp;$F2926,"3 Posting Date",U$9)+NL("Sum","5802 Value Entry","17 Sales Amount (Actual)","41 Source Type",$C$5,"5 Source no.",$C2926,"4 Item Ledger Entry Type",$C$4,"2 Item No.","@@"&amp;$F2926,"3 Posting Date",U$9)</t>
  </si>
  <si>
    <t>=-NL("Sum","5802 Value Entry","151 Cost Amount (Expected)","41 Source Type",$C$5,"5 Source No.",$C2926,"4 Item Ledger Entry Type",$C$4,"2 Item No.","@@"&amp;$F2926,"3 Posting Date",U$9)-NL("Sum","5802 Value Entry","43 Cost Amount (Actual)","41 Source Type",$C$5,"5 Source no.",$C2926,"4 Item Ledger Entry Type",$C$4,"2 Item No.","@@"&amp;$F2926,"3 Posting Date",U$9)</t>
  </si>
  <si>
    <t>=U2926-W2926</t>
  </si>
  <si>
    <t>=IF(U2926&lt;&gt;0,X2926/U2926,"")</t>
  </si>
  <si>
    <t>=NL("Sum","5802 Value Entry","150 Sales Amount (Expected)","41 Source Type",$C$5,"5 Source No.",$C2926,"4 Item Ledger Entry Type",$C$4,"2 Item No.","@@"&amp;$F2926,"3 Posting Date",Z$9)+NL("Sum","5802 Value Entry","17 Sales Amount (Actual)","41 Source Type",$C$5,"5 Source no.",$C2926,"4 Item Ledger Entry Type",$C$4,"2 Item No.","@@"&amp;$F2926,"3 Posting Date",Z$9)</t>
  </si>
  <si>
    <t>=-NL("Sum","5802 Value Entry","151 Cost Amount (Expected)","41 Source Type",$C$5,"5 Source No.",$C2926,"4 Item Ledger Entry Type",$C$4,"2 Item No.","@@"&amp;$F2926,"3 Posting Date",Z$9)-NL("Sum","5802 Value Entry","43 Cost Amount (Actual)","41 Source Type",$C$5,"5 Source no.",$C2926,"4 Item Ledger Entry Type",$C$4,"2 Item No.","@@"&amp;$F2926,"3 Posting Date",Z$9)</t>
  </si>
  <si>
    <t>=Z2926-AB2926</t>
  </si>
  <si>
    <t>=IF(Z2926&lt;&gt;0,AC2926/Z2926,"")</t>
  </si>
  <si>
    <t>=C2926</t>
  </si>
  <si>
    <t>=NL("Sum","5802 Value Entry","150 Sales Amount (Expected)","41 Source Type",$C$5,"5 Source No.",$C2927,"4 Item Ledger Entry Type",$C$4,"2 Item No.","@@"&amp;$F2927,"3 Posting Date",J$9)+NL("Sum","5802 Value Entry","17 Sales Amount (Actual)","41 Source Type",$C$5,"5 Source no.",$C2927,"4 Item Ledger Entry Type",$C$4,"2 Item No.","@@"&amp;$F2927,"3 Posting Date",J$9)</t>
  </si>
  <si>
    <t>=-NL("Sum","5802 Value Entry","151 Cost Amount (Expected)","41 Source Type",$C$5,"5 Source No.",$C2927,"4 Item Ledger Entry Type",$C$4,"2 Item No.","@@"&amp;$F2927,"3 Posting Date",J$9)-NL("Sum","5802 Value Entry","43 Cost Amount (Actual)","41 Source Type",$C$5,"5 Source no.",$C2927,"4 Item Ledger Entry Type",$C$4,"2 Item No.","@@"&amp;$F2927,"3 Posting Date",J$9)</t>
  </si>
  <si>
    <t>=J2927-L2927</t>
  </si>
  <si>
    <t>=IF(J2927&lt;&gt;0,M2927/J2927,"")</t>
  </si>
  <si>
    <t>=NL("Sum","5802 Value Entry","150 Sales Amount (Expected)","41 Source Type",$C$5,"5 Source No.",$C2927,"4 Item Ledger Entry Type",$C$4,"2 Item No.","@@"&amp;$F2927,"3 Posting Date",O$9)+NL("Sum","5802 Value Entry","17 Sales Amount (Actual)","41 Source Type",$C$5,"5 Source no.",$C2927,"4 Item Ledger Entry Type",$C$4,"2 Item No.","@@"&amp;$F2927,"3 Posting Date",O$9)</t>
  </si>
  <si>
    <t>=-NL("Sum","5802 Value Entry","151 Cost Amount (Expected)","41 Source Type",$C$5,"5 Source No.",$C2927,"4 Item Ledger Entry Type",$C$4,"2 Item No.","@@"&amp;$F2927,"3 Posting Date",O$9)-NL("Sum","5802 Value Entry","43 Cost Amount (Actual)","41 Source Type",$C$5,"5 Source no.",$C2927,"4 Item Ledger Entry Type",$C$4,"2 Item No.","@@"&amp;$F2927,"3 Posting Date",O$9)</t>
  </si>
  <si>
    <t>=O2927-Q2927</t>
  </si>
  <si>
    <t>=IF(O2927&lt;&gt;0,R2927/O2927,"")</t>
  </si>
  <si>
    <t>=NL("Sum","5802 Value Entry","150 Sales Amount (Expected)","41 Source Type",$C$5,"5 Source No.",$C2927,"4 Item Ledger Entry Type",$C$4,"2 Item No.","@@"&amp;$F2927,"3 Posting Date",U$9)+NL("Sum","5802 Value Entry","17 Sales Amount (Actual)","41 Source Type",$C$5,"5 Source no.",$C2927,"4 Item Ledger Entry Type",$C$4,"2 Item No.","@@"&amp;$F2927,"3 Posting Date",U$9)</t>
  </si>
  <si>
    <t>=-NL("Sum","5802 Value Entry","151 Cost Amount (Expected)","41 Source Type",$C$5,"5 Source No.",$C2927,"4 Item Ledger Entry Type",$C$4,"2 Item No.","@@"&amp;$F2927,"3 Posting Date",U$9)-NL("Sum","5802 Value Entry","43 Cost Amount (Actual)","41 Source Type",$C$5,"5 Source no.",$C2927,"4 Item Ledger Entry Type",$C$4,"2 Item No.","@@"&amp;$F2927,"3 Posting Date",U$9)</t>
  </si>
  <si>
    <t>=U2927-W2927</t>
  </si>
  <si>
    <t>=IF(U2927&lt;&gt;0,X2927/U2927,"")</t>
  </si>
  <si>
    <t>=NL("Sum","5802 Value Entry","150 Sales Amount (Expected)","41 Source Type",$C$5,"5 Source No.",$C2927,"4 Item Ledger Entry Type",$C$4,"2 Item No.","@@"&amp;$F2927,"3 Posting Date",Z$9)+NL("Sum","5802 Value Entry","17 Sales Amount (Actual)","41 Source Type",$C$5,"5 Source no.",$C2927,"4 Item Ledger Entry Type",$C$4,"2 Item No.","@@"&amp;$F2927,"3 Posting Date",Z$9)</t>
  </si>
  <si>
    <t>=-NL("Sum","5802 Value Entry","151 Cost Amount (Expected)","41 Source Type",$C$5,"5 Source No.",$C2927,"4 Item Ledger Entry Type",$C$4,"2 Item No.","@@"&amp;$F2927,"3 Posting Date",Z$9)-NL("Sum","5802 Value Entry","43 Cost Amount (Actual)","41 Source Type",$C$5,"5 Source no.",$C2927,"4 Item Ledger Entry Type",$C$4,"2 Item No.","@@"&amp;$F2927,"3 Posting Date",Z$9)</t>
  </si>
  <si>
    <t>=Z2927-AB2927</t>
  </si>
  <si>
    <t>=IF(Z2927&lt;&gt;0,AC2927/Z2927,"")</t>
  </si>
  <si>
    <t>=C2927</t>
  </si>
  <si>
    <t>=NL("Sum","5802 Value Entry","150 Sales Amount (Expected)","41 Source Type",$C$5,"5 Source No.",$C2928,"4 Item Ledger Entry Type",$C$4,"2 Item No.","@@"&amp;$F2928,"3 Posting Date",J$9)+NL("Sum","5802 Value Entry","17 Sales Amount (Actual)","41 Source Type",$C$5,"5 Source no.",$C2928,"4 Item Ledger Entry Type",$C$4,"2 Item No.","@@"&amp;$F2928,"3 Posting Date",J$9)</t>
  </si>
  <si>
    <t>=-NL("Sum","5802 Value Entry","151 Cost Amount (Expected)","41 Source Type",$C$5,"5 Source No.",$C2928,"4 Item Ledger Entry Type",$C$4,"2 Item No.","@@"&amp;$F2928,"3 Posting Date",J$9)-NL("Sum","5802 Value Entry","43 Cost Amount (Actual)","41 Source Type",$C$5,"5 Source no.",$C2928,"4 Item Ledger Entry Type",$C$4,"2 Item No.","@@"&amp;$F2928,"3 Posting Date",J$9)</t>
  </si>
  <si>
    <t>=J2928-L2928</t>
  </si>
  <si>
    <t>=IF(J2928&lt;&gt;0,M2928/J2928,"")</t>
  </si>
  <si>
    <t>=NL("Sum","5802 Value Entry","150 Sales Amount (Expected)","41 Source Type",$C$5,"5 Source No.",$C2928,"4 Item Ledger Entry Type",$C$4,"2 Item No.","@@"&amp;$F2928,"3 Posting Date",O$9)+NL("Sum","5802 Value Entry","17 Sales Amount (Actual)","41 Source Type",$C$5,"5 Source no.",$C2928,"4 Item Ledger Entry Type",$C$4,"2 Item No.","@@"&amp;$F2928,"3 Posting Date",O$9)</t>
  </si>
  <si>
    <t>=-NL("Sum","5802 Value Entry","151 Cost Amount (Expected)","41 Source Type",$C$5,"5 Source No.",$C2928,"4 Item Ledger Entry Type",$C$4,"2 Item No.","@@"&amp;$F2928,"3 Posting Date",O$9)-NL("Sum","5802 Value Entry","43 Cost Amount (Actual)","41 Source Type",$C$5,"5 Source no.",$C2928,"4 Item Ledger Entry Type",$C$4,"2 Item No.","@@"&amp;$F2928,"3 Posting Date",O$9)</t>
  </si>
  <si>
    <t>=O2928-Q2928</t>
  </si>
  <si>
    <t>=IF(O2928&lt;&gt;0,R2928/O2928,"")</t>
  </si>
  <si>
    <t>=NL("Sum","5802 Value Entry","150 Sales Amount (Expected)","41 Source Type",$C$5,"5 Source No.",$C2928,"4 Item Ledger Entry Type",$C$4,"2 Item No.","@@"&amp;$F2928,"3 Posting Date",U$9)+NL("Sum","5802 Value Entry","17 Sales Amount (Actual)","41 Source Type",$C$5,"5 Source no.",$C2928,"4 Item Ledger Entry Type",$C$4,"2 Item No.","@@"&amp;$F2928,"3 Posting Date",U$9)</t>
  </si>
  <si>
    <t>=-NL("Sum","5802 Value Entry","151 Cost Amount (Expected)","41 Source Type",$C$5,"5 Source No.",$C2928,"4 Item Ledger Entry Type",$C$4,"2 Item No.","@@"&amp;$F2928,"3 Posting Date",U$9)-NL("Sum","5802 Value Entry","43 Cost Amount (Actual)","41 Source Type",$C$5,"5 Source no.",$C2928,"4 Item Ledger Entry Type",$C$4,"2 Item No.","@@"&amp;$F2928,"3 Posting Date",U$9)</t>
  </si>
  <si>
    <t>=U2928-W2928</t>
  </si>
  <si>
    <t>=IF(U2928&lt;&gt;0,X2928/U2928,"")</t>
  </si>
  <si>
    <t>=NL("Sum","5802 Value Entry","150 Sales Amount (Expected)","41 Source Type",$C$5,"5 Source No.",$C2928,"4 Item Ledger Entry Type",$C$4,"2 Item No.","@@"&amp;$F2928,"3 Posting Date",Z$9)+NL("Sum","5802 Value Entry","17 Sales Amount (Actual)","41 Source Type",$C$5,"5 Source no.",$C2928,"4 Item Ledger Entry Type",$C$4,"2 Item No.","@@"&amp;$F2928,"3 Posting Date",Z$9)</t>
  </si>
  <si>
    <t>=-NL("Sum","5802 Value Entry","151 Cost Amount (Expected)","41 Source Type",$C$5,"5 Source No.",$C2928,"4 Item Ledger Entry Type",$C$4,"2 Item No.","@@"&amp;$F2928,"3 Posting Date",Z$9)-NL("Sum","5802 Value Entry","43 Cost Amount (Actual)","41 Source Type",$C$5,"5 Source no.",$C2928,"4 Item Ledger Entry Type",$C$4,"2 Item No.","@@"&amp;$F2928,"3 Posting Date",Z$9)</t>
  </si>
  <si>
    <t>=Z2928-AB2928</t>
  </si>
  <si>
    <t>=IF(Z2928&lt;&gt;0,AC2928/Z2928,"")</t>
  </si>
  <si>
    <t>=C2928</t>
  </si>
  <si>
    <t>=NL("Sum","5802 Value Entry","150 Sales Amount (Expected)","41 Source Type",$C$5,"5 Source No.",$C2929,"4 Item Ledger Entry Type",$C$4,"2 Item No.","@@"&amp;$F2929,"3 Posting Date",J$9)+NL("Sum","5802 Value Entry","17 Sales Amount (Actual)","41 Source Type",$C$5,"5 Source no.",$C2929,"4 Item Ledger Entry Type",$C$4,"2 Item No.","@@"&amp;$F2929,"3 Posting Date",J$9)</t>
  </si>
  <si>
    <t>=-NL("Sum","5802 Value Entry","151 Cost Amount (Expected)","41 Source Type",$C$5,"5 Source No.",$C2929,"4 Item Ledger Entry Type",$C$4,"2 Item No.","@@"&amp;$F2929,"3 Posting Date",J$9)-NL("Sum","5802 Value Entry","43 Cost Amount (Actual)","41 Source Type",$C$5,"5 Source no.",$C2929,"4 Item Ledger Entry Type",$C$4,"2 Item No.","@@"&amp;$F2929,"3 Posting Date",J$9)</t>
  </si>
  <si>
    <t>=J2929-L2929</t>
  </si>
  <si>
    <t>=IF(J2929&lt;&gt;0,M2929/J2929,"")</t>
  </si>
  <si>
    <t>=NL("Sum","5802 Value Entry","150 Sales Amount (Expected)","41 Source Type",$C$5,"5 Source No.",$C2929,"4 Item Ledger Entry Type",$C$4,"2 Item No.","@@"&amp;$F2929,"3 Posting Date",O$9)+NL("Sum","5802 Value Entry","17 Sales Amount (Actual)","41 Source Type",$C$5,"5 Source no.",$C2929,"4 Item Ledger Entry Type",$C$4,"2 Item No.","@@"&amp;$F2929,"3 Posting Date",O$9)</t>
  </si>
  <si>
    <t>=-NL("Sum","5802 Value Entry","151 Cost Amount (Expected)","41 Source Type",$C$5,"5 Source No.",$C2929,"4 Item Ledger Entry Type",$C$4,"2 Item No.","@@"&amp;$F2929,"3 Posting Date",O$9)-NL("Sum","5802 Value Entry","43 Cost Amount (Actual)","41 Source Type",$C$5,"5 Source no.",$C2929,"4 Item Ledger Entry Type",$C$4,"2 Item No.","@@"&amp;$F2929,"3 Posting Date",O$9)</t>
  </si>
  <si>
    <t>=O2929-Q2929</t>
  </si>
  <si>
    <t>=IF(O2929&lt;&gt;0,R2929/O2929,"")</t>
  </si>
  <si>
    <t>=NL("Sum","5802 Value Entry","150 Sales Amount (Expected)","41 Source Type",$C$5,"5 Source No.",$C2929,"4 Item Ledger Entry Type",$C$4,"2 Item No.","@@"&amp;$F2929,"3 Posting Date",U$9)+NL("Sum","5802 Value Entry","17 Sales Amount (Actual)","41 Source Type",$C$5,"5 Source no.",$C2929,"4 Item Ledger Entry Type",$C$4,"2 Item No.","@@"&amp;$F2929,"3 Posting Date",U$9)</t>
  </si>
  <si>
    <t>=-NL("Sum","5802 Value Entry","151 Cost Amount (Expected)","41 Source Type",$C$5,"5 Source No.",$C2929,"4 Item Ledger Entry Type",$C$4,"2 Item No.","@@"&amp;$F2929,"3 Posting Date",U$9)-NL("Sum","5802 Value Entry","43 Cost Amount (Actual)","41 Source Type",$C$5,"5 Source no.",$C2929,"4 Item Ledger Entry Type",$C$4,"2 Item No.","@@"&amp;$F2929,"3 Posting Date",U$9)</t>
  </si>
  <si>
    <t>=U2929-W2929</t>
  </si>
  <si>
    <t>=IF(U2929&lt;&gt;0,X2929/U2929,"")</t>
  </si>
  <si>
    <t>=NL("Sum","5802 Value Entry","150 Sales Amount (Expected)","41 Source Type",$C$5,"5 Source No.",$C2929,"4 Item Ledger Entry Type",$C$4,"2 Item No.","@@"&amp;$F2929,"3 Posting Date",Z$9)+NL("Sum","5802 Value Entry","17 Sales Amount (Actual)","41 Source Type",$C$5,"5 Source no.",$C2929,"4 Item Ledger Entry Type",$C$4,"2 Item No.","@@"&amp;$F2929,"3 Posting Date",Z$9)</t>
  </si>
  <si>
    <t>=-NL("Sum","5802 Value Entry","151 Cost Amount (Expected)","41 Source Type",$C$5,"5 Source No.",$C2929,"4 Item Ledger Entry Type",$C$4,"2 Item No.","@@"&amp;$F2929,"3 Posting Date",Z$9)-NL("Sum","5802 Value Entry","43 Cost Amount (Actual)","41 Source Type",$C$5,"5 Source no.",$C2929,"4 Item Ledger Entry Type",$C$4,"2 Item No.","@@"&amp;$F2929,"3 Posting Date",Z$9)</t>
  </si>
  <si>
    <t>=Z2929-AB2929</t>
  </si>
  <si>
    <t>=IF(Z2929&lt;&gt;0,AC2929/Z2929,"")</t>
  </si>
  <si>
    <t>=C2929</t>
  </si>
  <si>
    <t>=NL("Sum","5802 Value Entry","150 Sales Amount (Expected)","41 Source Type",$C$5,"5 Source No.",$C2930,"4 Item Ledger Entry Type",$C$4,"2 Item No.","@@"&amp;$F2930,"3 Posting Date",J$9)+NL("Sum","5802 Value Entry","17 Sales Amount (Actual)","41 Source Type",$C$5,"5 Source no.",$C2930,"4 Item Ledger Entry Type",$C$4,"2 Item No.","@@"&amp;$F2930,"3 Posting Date",J$9)</t>
  </si>
  <si>
    <t>=-NL("Sum","5802 Value Entry","151 Cost Amount (Expected)","41 Source Type",$C$5,"5 Source No.",$C2930,"4 Item Ledger Entry Type",$C$4,"2 Item No.","@@"&amp;$F2930,"3 Posting Date",J$9)-NL("Sum","5802 Value Entry","43 Cost Amount (Actual)","41 Source Type",$C$5,"5 Source no.",$C2930,"4 Item Ledger Entry Type",$C$4,"2 Item No.","@@"&amp;$F2930,"3 Posting Date",J$9)</t>
  </si>
  <si>
    <t>=J2930-L2930</t>
  </si>
  <si>
    <t>=IF(J2930&lt;&gt;0,M2930/J2930,"")</t>
  </si>
  <si>
    <t>=NL("Sum","5802 Value Entry","150 Sales Amount (Expected)","41 Source Type",$C$5,"5 Source No.",$C2930,"4 Item Ledger Entry Type",$C$4,"2 Item No.","@@"&amp;$F2930,"3 Posting Date",O$9)+NL("Sum","5802 Value Entry","17 Sales Amount (Actual)","41 Source Type",$C$5,"5 Source no.",$C2930,"4 Item Ledger Entry Type",$C$4,"2 Item No.","@@"&amp;$F2930,"3 Posting Date",O$9)</t>
  </si>
  <si>
    <t>=-NL("Sum","5802 Value Entry","151 Cost Amount (Expected)","41 Source Type",$C$5,"5 Source No.",$C2930,"4 Item Ledger Entry Type",$C$4,"2 Item No.","@@"&amp;$F2930,"3 Posting Date",O$9)-NL("Sum","5802 Value Entry","43 Cost Amount (Actual)","41 Source Type",$C$5,"5 Source no.",$C2930,"4 Item Ledger Entry Type",$C$4,"2 Item No.","@@"&amp;$F2930,"3 Posting Date",O$9)</t>
  </si>
  <si>
    <t>=O2930-Q2930</t>
  </si>
  <si>
    <t>=IF(O2930&lt;&gt;0,R2930/O2930,"")</t>
  </si>
  <si>
    <t>=NL("Sum","5802 Value Entry","150 Sales Amount (Expected)","41 Source Type",$C$5,"5 Source No.",$C2930,"4 Item Ledger Entry Type",$C$4,"2 Item No.","@@"&amp;$F2930,"3 Posting Date",U$9)+NL("Sum","5802 Value Entry","17 Sales Amount (Actual)","41 Source Type",$C$5,"5 Source no.",$C2930,"4 Item Ledger Entry Type",$C$4,"2 Item No.","@@"&amp;$F2930,"3 Posting Date",U$9)</t>
  </si>
  <si>
    <t>=-NL("Sum","5802 Value Entry","151 Cost Amount (Expected)","41 Source Type",$C$5,"5 Source No.",$C2930,"4 Item Ledger Entry Type",$C$4,"2 Item No.","@@"&amp;$F2930,"3 Posting Date",U$9)-NL("Sum","5802 Value Entry","43 Cost Amount (Actual)","41 Source Type",$C$5,"5 Source no.",$C2930,"4 Item Ledger Entry Type",$C$4,"2 Item No.","@@"&amp;$F2930,"3 Posting Date",U$9)</t>
  </si>
  <si>
    <t>=U2930-W2930</t>
  </si>
  <si>
    <t>=IF(U2930&lt;&gt;0,X2930/U2930,"")</t>
  </si>
  <si>
    <t>=NL("Sum","5802 Value Entry","150 Sales Amount (Expected)","41 Source Type",$C$5,"5 Source No.",$C2930,"4 Item Ledger Entry Type",$C$4,"2 Item No.","@@"&amp;$F2930,"3 Posting Date",Z$9)+NL("Sum","5802 Value Entry","17 Sales Amount (Actual)","41 Source Type",$C$5,"5 Source no.",$C2930,"4 Item Ledger Entry Type",$C$4,"2 Item No.","@@"&amp;$F2930,"3 Posting Date",Z$9)</t>
  </si>
  <si>
    <t>=-NL("Sum","5802 Value Entry","151 Cost Amount (Expected)","41 Source Type",$C$5,"5 Source No.",$C2930,"4 Item Ledger Entry Type",$C$4,"2 Item No.","@@"&amp;$F2930,"3 Posting Date",Z$9)-NL("Sum","5802 Value Entry","43 Cost Amount (Actual)","41 Source Type",$C$5,"5 Source no.",$C2930,"4 Item Ledger Entry Type",$C$4,"2 Item No.","@@"&amp;$F2930,"3 Posting Date",Z$9)</t>
  </si>
  <si>
    <t>=Z2930-AB2930</t>
  </si>
  <si>
    <t>=IF(Z2930&lt;&gt;0,AC2930/Z2930,"")</t>
  </si>
  <si>
    <t>=C2930</t>
  </si>
  <si>
    <t>=NL("Sum","5802 Value Entry","150 Sales Amount (Expected)","41 Source Type",$C$5,"5 Source No.",$C2931,"4 Item Ledger Entry Type",$C$4,"2 Item No.","@@"&amp;$F2931,"3 Posting Date",J$9)+NL("Sum","5802 Value Entry","17 Sales Amount (Actual)","41 Source Type",$C$5,"5 Source no.",$C2931,"4 Item Ledger Entry Type",$C$4,"2 Item No.","@@"&amp;$F2931,"3 Posting Date",J$9)</t>
  </si>
  <si>
    <t>=-NL("Sum","5802 Value Entry","151 Cost Amount (Expected)","41 Source Type",$C$5,"5 Source No.",$C2931,"4 Item Ledger Entry Type",$C$4,"2 Item No.","@@"&amp;$F2931,"3 Posting Date",J$9)-NL("Sum","5802 Value Entry","43 Cost Amount (Actual)","41 Source Type",$C$5,"5 Source no.",$C2931,"4 Item Ledger Entry Type",$C$4,"2 Item No.","@@"&amp;$F2931,"3 Posting Date",J$9)</t>
  </si>
  <si>
    <t>=J2931-L2931</t>
  </si>
  <si>
    <t>=IF(J2931&lt;&gt;0,M2931/J2931,"")</t>
  </si>
  <si>
    <t>=NL("Sum","5802 Value Entry","150 Sales Amount (Expected)","41 Source Type",$C$5,"5 Source No.",$C2931,"4 Item Ledger Entry Type",$C$4,"2 Item No.","@@"&amp;$F2931,"3 Posting Date",O$9)+NL("Sum","5802 Value Entry","17 Sales Amount (Actual)","41 Source Type",$C$5,"5 Source no.",$C2931,"4 Item Ledger Entry Type",$C$4,"2 Item No.","@@"&amp;$F2931,"3 Posting Date",O$9)</t>
  </si>
  <si>
    <t>=-NL("Sum","5802 Value Entry","151 Cost Amount (Expected)","41 Source Type",$C$5,"5 Source No.",$C2931,"4 Item Ledger Entry Type",$C$4,"2 Item No.","@@"&amp;$F2931,"3 Posting Date",O$9)-NL("Sum","5802 Value Entry","43 Cost Amount (Actual)","41 Source Type",$C$5,"5 Source no.",$C2931,"4 Item Ledger Entry Type",$C$4,"2 Item No.","@@"&amp;$F2931,"3 Posting Date",O$9)</t>
  </si>
  <si>
    <t>=O2931-Q2931</t>
  </si>
  <si>
    <t>=IF(O2931&lt;&gt;0,R2931/O2931,"")</t>
  </si>
  <si>
    <t>=NL("Sum","5802 Value Entry","150 Sales Amount (Expected)","41 Source Type",$C$5,"5 Source No.",$C2931,"4 Item Ledger Entry Type",$C$4,"2 Item No.","@@"&amp;$F2931,"3 Posting Date",U$9)+NL("Sum","5802 Value Entry","17 Sales Amount (Actual)","41 Source Type",$C$5,"5 Source no.",$C2931,"4 Item Ledger Entry Type",$C$4,"2 Item No.","@@"&amp;$F2931,"3 Posting Date",U$9)</t>
  </si>
  <si>
    <t>=-NL("Sum","5802 Value Entry","151 Cost Amount (Expected)","41 Source Type",$C$5,"5 Source No.",$C2931,"4 Item Ledger Entry Type",$C$4,"2 Item No.","@@"&amp;$F2931,"3 Posting Date",U$9)-NL("Sum","5802 Value Entry","43 Cost Amount (Actual)","41 Source Type",$C$5,"5 Source no.",$C2931,"4 Item Ledger Entry Type",$C$4,"2 Item No.","@@"&amp;$F2931,"3 Posting Date",U$9)</t>
  </si>
  <si>
    <t>=U2931-W2931</t>
  </si>
  <si>
    <t>=IF(U2931&lt;&gt;0,X2931/U2931,"")</t>
  </si>
  <si>
    <t>=NL("Sum","5802 Value Entry","150 Sales Amount (Expected)","41 Source Type",$C$5,"5 Source No.",$C2931,"4 Item Ledger Entry Type",$C$4,"2 Item No.","@@"&amp;$F2931,"3 Posting Date",Z$9)+NL("Sum","5802 Value Entry","17 Sales Amount (Actual)","41 Source Type",$C$5,"5 Source no.",$C2931,"4 Item Ledger Entry Type",$C$4,"2 Item No.","@@"&amp;$F2931,"3 Posting Date",Z$9)</t>
  </si>
  <si>
    <t>=-NL("Sum","5802 Value Entry","151 Cost Amount (Expected)","41 Source Type",$C$5,"5 Source No.",$C2931,"4 Item Ledger Entry Type",$C$4,"2 Item No.","@@"&amp;$F2931,"3 Posting Date",Z$9)-NL("Sum","5802 Value Entry","43 Cost Amount (Actual)","41 Source Type",$C$5,"5 Source no.",$C2931,"4 Item Ledger Entry Type",$C$4,"2 Item No.","@@"&amp;$F2931,"3 Posting Date",Z$9)</t>
  </si>
  <si>
    <t>=Z2931-AB2931</t>
  </si>
  <si>
    <t>=IF(Z2931&lt;&gt;0,AC2931/Z2931,"")</t>
  </si>
  <si>
    <t>=C2931</t>
  </si>
  <si>
    <t>=NL("Sum","5802 Value Entry","150 Sales Amount (Expected)","41 Source Type",$C$5,"5 Source No.",$C2932,"4 Item Ledger Entry Type",$C$4,"2 Item No.","@@"&amp;$F2932,"3 Posting Date",J$9)+NL("Sum","5802 Value Entry","17 Sales Amount (Actual)","41 Source Type",$C$5,"5 Source no.",$C2932,"4 Item Ledger Entry Type",$C$4,"2 Item No.","@@"&amp;$F2932,"3 Posting Date",J$9)</t>
  </si>
  <si>
    <t>=-NL("Sum","5802 Value Entry","151 Cost Amount (Expected)","41 Source Type",$C$5,"5 Source No.",$C2932,"4 Item Ledger Entry Type",$C$4,"2 Item No.","@@"&amp;$F2932,"3 Posting Date",J$9)-NL("Sum","5802 Value Entry","43 Cost Amount (Actual)","41 Source Type",$C$5,"5 Source no.",$C2932,"4 Item Ledger Entry Type",$C$4,"2 Item No.","@@"&amp;$F2932,"3 Posting Date",J$9)</t>
  </si>
  <si>
    <t>=J2932-L2932</t>
  </si>
  <si>
    <t>=IF(J2932&lt;&gt;0,M2932/J2932,"")</t>
  </si>
  <si>
    <t>=NL("Sum","5802 Value Entry","150 Sales Amount (Expected)","41 Source Type",$C$5,"5 Source No.",$C2932,"4 Item Ledger Entry Type",$C$4,"2 Item No.","@@"&amp;$F2932,"3 Posting Date",O$9)+NL("Sum","5802 Value Entry","17 Sales Amount (Actual)","41 Source Type",$C$5,"5 Source no.",$C2932,"4 Item Ledger Entry Type",$C$4,"2 Item No.","@@"&amp;$F2932,"3 Posting Date",O$9)</t>
  </si>
  <si>
    <t>=-NL("Sum","5802 Value Entry","151 Cost Amount (Expected)","41 Source Type",$C$5,"5 Source No.",$C2932,"4 Item Ledger Entry Type",$C$4,"2 Item No.","@@"&amp;$F2932,"3 Posting Date",O$9)-NL("Sum","5802 Value Entry","43 Cost Amount (Actual)","41 Source Type",$C$5,"5 Source no.",$C2932,"4 Item Ledger Entry Type",$C$4,"2 Item No.","@@"&amp;$F2932,"3 Posting Date",O$9)</t>
  </si>
  <si>
    <t>=O2932-Q2932</t>
  </si>
  <si>
    <t>=IF(O2932&lt;&gt;0,R2932/O2932,"")</t>
  </si>
  <si>
    <t>=NL("Sum","5802 Value Entry","150 Sales Amount (Expected)","41 Source Type",$C$5,"5 Source No.",$C2932,"4 Item Ledger Entry Type",$C$4,"2 Item No.","@@"&amp;$F2932,"3 Posting Date",U$9)+NL("Sum","5802 Value Entry","17 Sales Amount (Actual)","41 Source Type",$C$5,"5 Source no.",$C2932,"4 Item Ledger Entry Type",$C$4,"2 Item No.","@@"&amp;$F2932,"3 Posting Date",U$9)</t>
  </si>
  <si>
    <t>=-NL("Sum","5802 Value Entry","151 Cost Amount (Expected)","41 Source Type",$C$5,"5 Source No.",$C2932,"4 Item Ledger Entry Type",$C$4,"2 Item No.","@@"&amp;$F2932,"3 Posting Date",U$9)-NL("Sum","5802 Value Entry","43 Cost Amount (Actual)","41 Source Type",$C$5,"5 Source no.",$C2932,"4 Item Ledger Entry Type",$C$4,"2 Item No.","@@"&amp;$F2932,"3 Posting Date",U$9)</t>
  </si>
  <si>
    <t>=U2932-W2932</t>
  </si>
  <si>
    <t>=IF(U2932&lt;&gt;0,X2932/U2932,"")</t>
  </si>
  <si>
    <t>=NL("Sum","5802 Value Entry","150 Sales Amount (Expected)","41 Source Type",$C$5,"5 Source No.",$C2932,"4 Item Ledger Entry Type",$C$4,"2 Item No.","@@"&amp;$F2932,"3 Posting Date",Z$9)+NL("Sum","5802 Value Entry","17 Sales Amount (Actual)","41 Source Type",$C$5,"5 Source no.",$C2932,"4 Item Ledger Entry Type",$C$4,"2 Item No.","@@"&amp;$F2932,"3 Posting Date",Z$9)</t>
  </si>
  <si>
    <t>=-NL("Sum","5802 Value Entry","151 Cost Amount (Expected)","41 Source Type",$C$5,"5 Source No.",$C2932,"4 Item Ledger Entry Type",$C$4,"2 Item No.","@@"&amp;$F2932,"3 Posting Date",Z$9)-NL("Sum","5802 Value Entry","43 Cost Amount (Actual)","41 Source Type",$C$5,"5 Source no.",$C2932,"4 Item Ledger Entry Type",$C$4,"2 Item No.","@@"&amp;$F2932,"3 Posting Date",Z$9)</t>
  </si>
  <si>
    <t>=Z2932-AB2932</t>
  </si>
  <si>
    <t>=IF(Z2932&lt;&gt;0,AC2932/Z2932,"")</t>
  </si>
  <si>
    <t>=C2932</t>
  </si>
  <si>
    <t>=NL("Sum","5802 Value Entry","150 Sales Amount (Expected)","41 Source Type",$C$5,"5 Source No.",$C2933,"4 Item Ledger Entry Type",$C$4,"2 Item No.","@@"&amp;$F2933,"3 Posting Date",J$9)+NL("Sum","5802 Value Entry","17 Sales Amount (Actual)","41 Source Type",$C$5,"5 Source no.",$C2933,"4 Item Ledger Entry Type",$C$4,"2 Item No.","@@"&amp;$F2933,"3 Posting Date",J$9)</t>
  </si>
  <si>
    <t>=-NL("Sum","5802 Value Entry","151 Cost Amount (Expected)","41 Source Type",$C$5,"5 Source No.",$C2933,"4 Item Ledger Entry Type",$C$4,"2 Item No.","@@"&amp;$F2933,"3 Posting Date",J$9)-NL("Sum","5802 Value Entry","43 Cost Amount (Actual)","41 Source Type",$C$5,"5 Source no.",$C2933,"4 Item Ledger Entry Type",$C$4,"2 Item No.","@@"&amp;$F2933,"3 Posting Date",J$9)</t>
  </si>
  <si>
    <t>=J2933-L2933</t>
  </si>
  <si>
    <t>=IF(J2933&lt;&gt;0,M2933/J2933,"")</t>
  </si>
  <si>
    <t>=NL("Sum","5802 Value Entry","150 Sales Amount (Expected)","41 Source Type",$C$5,"5 Source No.",$C2933,"4 Item Ledger Entry Type",$C$4,"2 Item No.","@@"&amp;$F2933,"3 Posting Date",O$9)+NL("Sum","5802 Value Entry","17 Sales Amount (Actual)","41 Source Type",$C$5,"5 Source no.",$C2933,"4 Item Ledger Entry Type",$C$4,"2 Item No.","@@"&amp;$F2933,"3 Posting Date",O$9)</t>
  </si>
  <si>
    <t>=-NL("Sum","5802 Value Entry","151 Cost Amount (Expected)","41 Source Type",$C$5,"5 Source No.",$C2933,"4 Item Ledger Entry Type",$C$4,"2 Item No.","@@"&amp;$F2933,"3 Posting Date",O$9)-NL("Sum","5802 Value Entry","43 Cost Amount (Actual)","41 Source Type",$C$5,"5 Source no.",$C2933,"4 Item Ledger Entry Type",$C$4,"2 Item No.","@@"&amp;$F2933,"3 Posting Date",O$9)</t>
  </si>
  <si>
    <t>=O2933-Q2933</t>
  </si>
  <si>
    <t>=IF(O2933&lt;&gt;0,R2933/O2933,"")</t>
  </si>
  <si>
    <t>=NL("Sum","5802 Value Entry","150 Sales Amount (Expected)","41 Source Type",$C$5,"5 Source No.",$C2933,"4 Item Ledger Entry Type",$C$4,"2 Item No.","@@"&amp;$F2933,"3 Posting Date",U$9)+NL("Sum","5802 Value Entry","17 Sales Amount (Actual)","41 Source Type",$C$5,"5 Source no.",$C2933,"4 Item Ledger Entry Type",$C$4,"2 Item No.","@@"&amp;$F2933,"3 Posting Date",U$9)</t>
  </si>
  <si>
    <t>=-NL("Sum","5802 Value Entry","151 Cost Amount (Expected)","41 Source Type",$C$5,"5 Source No.",$C2933,"4 Item Ledger Entry Type",$C$4,"2 Item No.","@@"&amp;$F2933,"3 Posting Date",U$9)-NL("Sum","5802 Value Entry","43 Cost Amount (Actual)","41 Source Type",$C$5,"5 Source no.",$C2933,"4 Item Ledger Entry Type",$C$4,"2 Item No.","@@"&amp;$F2933,"3 Posting Date",U$9)</t>
  </si>
  <si>
    <t>=U2933-W2933</t>
  </si>
  <si>
    <t>=IF(U2933&lt;&gt;0,X2933/U2933,"")</t>
  </si>
  <si>
    <t>=NL("Sum","5802 Value Entry","150 Sales Amount (Expected)","41 Source Type",$C$5,"5 Source No.",$C2933,"4 Item Ledger Entry Type",$C$4,"2 Item No.","@@"&amp;$F2933,"3 Posting Date",Z$9)+NL("Sum","5802 Value Entry","17 Sales Amount (Actual)","41 Source Type",$C$5,"5 Source no.",$C2933,"4 Item Ledger Entry Type",$C$4,"2 Item No.","@@"&amp;$F2933,"3 Posting Date",Z$9)</t>
  </si>
  <si>
    <t>=-NL("Sum","5802 Value Entry","151 Cost Amount (Expected)","41 Source Type",$C$5,"5 Source No.",$C2933,"4 Item Ledger Entry Type",$C$4,"2 Item No.","@@"&amp;$F2933,"3 Posting Date",Z$9)-NL("Sum","5802 Value Entry","43 Cost Amount (Actual)","41 Source Type",$C$5,"5 Source no.",$C2933,"4 Item Ledger Entry Type",$C$4,"2 Item No.","@@"&amp;$F2933,"3 Posting Date",Z$9)</t>
  </si>
  <si>
    <t>=Z2933-AB2933</t>
  </si>
  <si>
    <t>=IF(Z2933&lt;&gt;0,AC2933/Z2933,"")</t>
  </si>
  <si>
    <t>=C2933</t>
  </si>
  <si>
    <t>=NL("Sum","5802 Value Entry","150 Sales Amount (Expected)","41 Source Type",$C$5,"5 Source No.",$C2934,"4 Item Ledger Entry Type",$C$4,"2 Item No.","@@"&amp;$F2934,"3 Posting Date",J$9)+NL("Sum","5802 Value Entry","17 Sales Amount (Actual)","41 Source Type",$C$5,"5 Source no.",$C2934,"4 Item Ledger Entry Type",$C$4,"2 Item No.","@@"&amp;$F2934,"3 Posting Date",J$9)</t>
  </si>
  <si>
    <t>=-NL("Sum","5802 Value Entry","151 Cost Amount (Expected)","41 Source Type",$C$5,"5 Source No.",$C2934,"4 Item Ledger Entry Type",$C$4,"2 Item No.","@@"&amp;$F2934,"3 Posting Date",J$9)-NL("Sum","5802 Value Entry","43 Cost Amount (Actual)","41 Source Type",$C$5,"5 Source no.",$C2934,"4 Item Ledger Entry Type",$C$4,"2 Item No.","@@"&amp;$F2934,"3 Posting Date",J$9)</t>
  </si>
  <si>
    <t>=J2934-L2934</t>
  </si>
  <si>
    <t>=IF(J2934&lt;&gt;0,M2934/J2934,"")</t>
  </si>
  <si>
    <t>=NL("Sum","5802 Value Entry","150 Sales Amount (Expected)","41 Source Type",$C$5,"5 Source No.",$C2934,"4 Item Ledger Entry Type",$C$4,"2 Item No.","@@"&amp;$F2934,"3 Posting Date",O$9)+NL("Sum","5802 Value Entry","17 Sales Amount (Actual)","41 Source Type",$C$5,"5 Source no.",$C2934,"4 Item Ledger Entry Type",$C$4,"2 Item No.","@@"&amp;$F2934,"3 Posting Date",O$9)</t>
  </si>
  <si>
    <t>=-NL("Sum","5802 Value Entry","151 Cost Amount (Expected)","41 Source Type",$C$5,"5 Source No.",$C2934,"4 Item Ledger Entry Type",$C$4,"2 Item No.","@@"&amp;$F2934,"3 Posting Date",O$9)-NL("Sum","5802 Value Entry","43 Cost Amount (Actual)","41 Source Type",$C$5,"5 Source no.",$C2934,"4 Item Ledger Entry Type",$C$4,"2 Item No.","@@"&amp;$F2934,"3 Posting Date",O$9)</t>
  </si>
  <si>
    <t>=O2934-Q2934</t>
  </si>
  <si>
    <t>=IF(O2934&lt;&gt;0,R2934/O2934,"")</t>
  </si>
  <si>
    <t>=NL("Sum","5802 Value Entry","150 Sales Amount (Expected)","41 Source Type",$C$5,"5 Source No.",$C2934,"4 Item Ledger Entry Type",$C$4,"2 Item No.","@@"&amp;$F2934,"3 Posting Date",U$9)+NL("Sum","5802 Value Entry","17 Sales Amount (Actual)","41 Source Type",$C$5,"5 Source no.",$C2934,"4 Item Ledger Entry Type",$C$4,"2 Item No.","@@"&amp;$F2934,"3 Posting Date",U$9)</t>
  </si>
  <si>
    <t>=-NL("Sum","5802 Value Entry","151 Cost Amount (Expected)","41 Source Type",$C$5,"5 Source No.",$C2934,"4 Item Ledger Entry Type",$C$4,"2 Item No.","@@"&amp;$F2934,"3 Posting Date",U$9)-NL("Sum","5802 Value Entry","43 Cost Amount (Actual)","41 Source Type",$C$5,"5 Source no.",$C2934,"4 Item Ledger Entry Type",$C$4,"2 Item No.","@@"&amp;$F2934,"3 Posting Date",U$9)</t>
  </si>
  <si>
    <t>=U2934-W2934</t>
  </si>
  <si>
    <t>=IF(U2934&lt;&gt;0,X2934/U2934,"")</t>
  </si>
  <si>
    <t>=NL("Sum","5802 Value Entry","150 Sales Amount (Expected)","41 Source Type",$C$5,"5 Source No.",$C2934,"4 Item Ledger Entry Type",$C$4,"2 Item No.","@@"&amp;$F2934,"3 Posting Date",Z$9)+NL("Sum","5802 Value Entry","17 Sales Amount (Actual)","41 Source Type",$C$5,"5 Source no.",$C2934,"4 Item Ledger Entry Type",$C$4,"2 Item No.","@@"&amp;$F2934,"3 Posting Date",Z$9)</t>
  </si>
  <si>
    <t>=-NL("Sum","5802 Value Entry","151 Cost Amount (Expected)","41 Source Type",$C$5,"5 Source No.",$C2934,"4 Item Ledger Entry Type",$C$4,"2 Item No.","@@"&amp;$F2934,"3 Posting Date",Z$9)-NL("Sum","5802 Value Entry","43 Cost Amount (Actual)","41 Source Type",$C$5,"5 Source no.",$C2934,"4 Item Ledger Entry Type",$C$4,"2 Item No.","@@"&amp;$F2934,"3 Posting Date",Z$9)</t>
  </si>
  <si>
    <t>=Z2934-AB2934</t>
  </si>
  <si>
    <t>=IF(Z2934&lt;&gt;0,AC2934/Z2934,"")</t>
  </si>
  <si>
    <t>=C2934</t>
  </si>
  <si>
    <t>=NL("Sum","5802 Value Entry","150 Sales Amount (Expected)","41 Source Type",$C$5,"5 Source No.",$C2935,"4 Item Ledger Entry Type",$C$4,"2 Item No.","@@"&amp;$F2935,"3 Posting Date",J$9)+NL("Sum","5802 Value Entry","17 Sales Amount (Actual)","41 Source Type",$C$5,"5 Source no.",$C2935,"4 Item Ledger Entry Type",$C$4,"2 Item No.","@@"&amp;$F2935,"3 Posting Date",J$9)</t>
  </si>
  <si>
    <t>=-NL("Sum","5802 Value Entry","151 Cost Amount (Expected)","41 Source Type",$C$5,"5 Source No.",$C2935,"4 Item Ledger Entry Type",$C$4,"2 Item No.","@@"&amp;$F2935,"3 Posting Date",J$9)-NL("Sum","5802 Value Entry","43 Cost Amount (Actual)","41 Source Type",$C$5,"5 Source no.",$C2935,"4 Item Ledger Entry Type",$C$4,"2 Item No.","@@"&amp;$F2935,"3 Posting Date",J$9)</t>
  </si>
  <si>
    <t>=J2935-L2935</t>
  </si>
  <si>
    <t>=IF(J2935&lt;&gt;0,M2935/J2935,"")</t>
  </si>
  <si>
    <t>=NL("Sum","5802 Value Entry","150 Sales Amount (Expected)","41 Source Type",$C$5,"5 Source No.",$C2935,"4 Item Ledger Entry Type",$C$4,"2 Item No.","@@"&amp;$F2935,"3 Posting Date",O$9)+NL("Sum","5802 Value Entry","17 Sales Amount (Actual)","41 Source Type",$C$5,"5 Source no.",$C2935,"4 Item Ledger Entry Type",$C$4,"2 Item No.","@@"&amp;$F2935,"3 Posting Date",O$9)</t>
  </si>
  <si>
    <t>=-NL("Sum","5802 Value Entry","151 Cost Amount (Expected)","41 Source Type",$C$5,"5 Source No.",$C2935,"4 Item Ledger Entry Type",$C$4,"2 Item No.","@@"&amp;$F2935,"3 Posting Date",O$9)-NL("Sum","5802 Value Entry","43 Cost Amount (Actual)","41 Source Type",$C$5,"5 Source no.",$C2935,"4 Item Ledger Entry Type",$C$4,"2 Item No.","@@"&amp;$F2935,"3 Posting Date",O$9)</t>
  </si>
  <si>
    <t>=O2935-Q2935</t>
  </si>
  <si>
    <t>=IF(O2935&lt;&gt;0,R2935/O2935,"")</t>
  </si>
  <si>
    <t>=NL("Sum","5802 Value Entry","150 Sales Amount (Expected)","41 Source Type",$C$5,"5 Source No.",$C2935,"4 Item Ledger Entry Type",$C$4,"2 Item No.","@@"&amp;$F2935,"3 Posting Date",U$9)+NL("Sum","5802 Value Entry","17 Sales Amount (Actual)","41 Source Type",$C$5,"5 Source no.",$C2935,"4 Item Ledger Entry Type",$C$4,"2 Item No.","@@"&amp;$F2935,"3 Posting Date",U$9)</t>
  </si>
  <si>
    <t>=-NL("Sum","5802 Value Entry","151 Cost Amount (Expected)","41 Source Type",$C$5,"5 Source No.",$C2935,"4 Item Ledger Entry Type",$C$4,"2 Item No.","@@"&amp;$F2935,"3 Posting Date",U$9)-NL("Sum","5802 Value Entry","43 Cost Amount (Actual)","41 Source Type",$C$5,"5 Source no.",$C2935,"4 Item Ledger Entry Type",$C$4,"2 Item No.","@@"&amp;$F2935,"3 Posting Date",U$9)</t>
  </si>
  <si>
    <t>=U2935-W2935</t>
  </si>
  <si>
    <t>=IF(U2935&lt;&gt;0,X2935/U2935,"")</t>
  </si>
  <si>
    <t>=NL("Sum","5802 Value Entry","150 Sales Amount (Expected)","41 Source Type",$C$5,"5 Source No.",$C2935,"4 Item Ledger Entry Type",$C$4,"2 Item No.","@@"&amp;$F2935,"3 Posting Date",Z$9)+NL("Sum","5802 Value Entry","17 Sales Amount (Actual)","41 Source Type",$C$5,"5 Source no.",$C2935,"4 Item Ledger Entry Type",$C$4,"2 Item No.","@@"&amp;$F2935,"3 Posting Date",Z$9)</t>
  </si>
  <si>
    <t>=-NL("Sum","5802 Value Entry","151 Cost Amount (Expected)","41 Source Type",$C$5,"5 Source No.",$C2935,"4 Item Ledger Entry Type",$C$4,"2 Item No.","@@"&amp;$F2935,"3 Posting Date",Z$9)-NL("Sum","5802 Value Entry","43 Cost Amount (Actual)","41 Source Type",$C$5,"5 Source no.",$C2935,"4 Item Ledger Entry Type",$C$4,"2 Item No.","@@"&amp;$F2935,"3 Posting Date",Z$9)</t>
  </si>
  <si>
    <t>=Z2935-AB2935</t>
  </si>
  <si>
    <t>=IF(Z2935&lt;&gt;0,AC2935/Z2935,"")</t>
  </si>
  <si>
    <t>=C2935</t>
  </si>
  <si>
    <t>=NL("Sum","5802 Value Entry","150 Sales Amount (Expected)","41 Source Type",$C$5,"5 Source No.",$C2936,"4 Item Ledger Entry Type",$C$4,"2 Item No.","@@"&amp;$F2936,"3 Posting Date",J$9)+NL("Sum","5802 Value Entry","17 Sales Amount (Actual)","41 Source Type",$C$5,"5 Source no.",$C2936,"4 Item Ledger Entry Type",$C$4,"2 Item No.","@@"&amp;$F2936,"3 Posting Date",J$9)</t>
  </si>
  <si>
    <t>=-NL("Sum","5802 Value Entry","151 Cost Amount (Expected)","41 Source Type",$C$5,"5 Source No.",$C2936,"4 Item Ledger Entry Type",$C$4,"2 Item No.","@@"&amp;$F2936,"3 Posting Date",J$9)-NL("Sum","5802 Value Entry","43 Cost Amount (Actual)","41 Source Type",$C$5,"5 Source no.",$C2936,"4 Item Ledger Entry Type",$C$4,"2 Item No.","@@"&amp;$F2936,"3 Posting Date",J$9)</t>
  </si>
  <si>
    <t>=J2936-L2936</t>
  </si>
  <si>
    <t>=IF(J2936&lt;&gt;0,M2936/J2936,"")</t>
  </si>
  <si>
    <t>=NL("Sum","5802 Value Entry","150 Sales Amount (Expected)","41 Source Type",$C$5,"5 Source No.",$C2936,"4 Item Ledger Entry Type",$C$4,"2 Item No.","@@"&amp;$F2936,"3 Posting Date",O$9)+NL("Sum","5802 Value Entry","17 Sales Amount (Actual)","41 Source Type",$C$5,"5 Source no.",$C2936,"4 Item Ledger Entry Type",$C$4,"2 Item No.","@@"&amp;$F2936,"3 Posting Date",O$9)</t>
  </si>
  <si>
    <t>=-NL("Sum","5802 Value Entry","151 Cost Amount (Expected)","41 Source Type",$C$5,"5 Source No.",$C2936,"4 Item Ledger Entry Type",$C$4,"2 Item No.","@@"&amp;$F2936,"3 Posting Date",O$9)-NL("Sum","5802 Value Entry","43 Cost Amount (Actual)","41 Source Type",$C$5,"5 Source no.",$C2936,"4 Item Ledger Entry Type",$C$4,"2 Item No.","@@"&amp;$F2936,"3 Posting Date",O$9)</t>
  </si>
  <si>
    <t>=O2936-Q2936</t>
  </si>
  <si>
    <t>=IF(O2936&lt;&gt;0,R2936/O2936,"")</t>
  </si>
  <si>
    <t>=NL("Sum","5802 Value Entry","150 Sales Amount (Expected)","41 Source Type",$C$5,"5 Source No.",$C2936,"4 Item Ledger Entry Type",$C$4,"2 Item No.","@@"&amp;$F2936,"3 Posting Date",U$9)+NL("Sum","5802 Value Entry","17 Sales Amount (Actual)","41 Source Type",$C$5,"5 Source no.",$C2936,"4 Item Ledger Entry Type",$C$4,"2 Item No.","@@"&amp;$F2936,"3 Posting Date",U$9)</t>
  </si>
  <si>
    <t>=-NL("Sum","5802 Value Entry","151 Cost Amount (Expected)","41 Source Type",$C$5,"5 Source No.",$C2936,"4 Item Ledger Entry Type",$C$4,"2 Item No.","@@"&amp;$F2936,"3 Posting Date",U$9)-NL("Sum","5802 Value Entry","43 Cost Amount (Actual)","41 Source Type",$C$5,"5 Source no.",$C2936,"4 Item Ledger Entry Type",$C$4,"2 Item No.","@@"&amp;$F2936,"3 Posting Date",U$9)</t>
  </si>
  <si>
    <t>=U2936-W2936</t>
  </si>
  <si>
    <t>=IF(U2936&lt;&gt;0,X2936/U2936,"")</t>
  </si>
  <si>
    <t>=NL("Sum","5802 Value Entry","150 Sales Amount (Expected)","41 Source Type",$C$5,"5 Source No.",$C2936,"4 Item Ledger Entry Type",$C$4,"2 Item No.","@@"&amp;$F2936,"3 Posting Date",Z$9)+NL("Sum","5802 Value Entry","17 Sales Amount (Actual)","41 Source Type",$C$5,"5 Source no.",$C2936,"4 Item Ledger Entry Type",$C$4,"2 Item No.","@@"&amp;$F2936,"3 Posting Date",Z$9)</t>
  </si>
  <si>
    <t>=-NL("Sum","5802 Value Entry","151 Cost Amount (Expected)","41 Source Type",$C$5,"5 Source No.",$C2936,"4 Item Ledger Entry Type",$C$4,"2 Item No.","@@"&amp;$F2936,"3 Posting Date",Z$9)-NL("Sum","5802 Value Entry","43 Cost Amount (Actual)","41 Source Type",$C$5,"5 Source no.",$C2936,"4 Item Ledger Entry Type",$C$4,"2 Item No.","@@"&amp;$F2936,"3 Posting Date",Z$9)</t>
  </si>
  <si>
    <t>=Z2936-AB2936</t>
  </si>
  <si>
    <t>=IF(Z2936&lt;&gt;0,AC2936/Z2936,"")</t>
  </si>
  <si>
    <t>=C2936</t>
  </si>
  <si>
    <t>=NL("Sum","5802 Value Entry","150 Sales Amount (Expected)","41 Source Type",$C$5,"5 Source No.",$C2937,"4 Item Ledger Entry Type",$C$4,"2 Item No.","@@"&amp;$F2937,"3 Posting Date",J$9)+NL("Sum","5802 Value Entry","17 Sales Amount (Actual)","41 Source Type",$C$5,"5 Source no.",$C2937,"4 Item Ledger Entry Type",$C$4,"2 Item No.","@@"&amp;$F2937,"3 Posting Date",J$9)</t>
  </si>
  <si>
    <t>=-NL("Sum","5802 Value Entry","151 Cost Amount (Expected)","41 Source Type",$C$5,"5 Source No.",$C2937,"4 Item Ledger Entry Type",$C$4,"2 Item No.","@@"&amp;$F2937,"3 Posting Date",J$9)-NL("Sum","5802 Value Entry","43 Cost Amount (Actual)","41 Source Type",$C$5,"5 Source no.",$C2937,"4 Item Ledger Entry Type",$C$4,"2 Item No.","@@"&amp;$F2937,"3 Posting Date",J$9)</t>
  </si>
  <si>
    <t>=J2937-L2937</t>
  </si>
  <si>
    <t>=IF(J2937&lt;&gt;0,M2937/J2937,"")</t>
  </si>
  <si>
    <t>=NL("Sum","5802 Value Entry","150 Sales Amount (Expected)","41 Source Type",$C$5,"5 Source No.",$C2937,"4 Item Ledger Entry Type",$C$4,"2 Item No.","@@"&amp;$F2937,"3 Posting Date",O$9)+NL("Sum","5802 Value Entry","17 Sales Amount (Actual)","41 Source Type",$C$5,"5 Source no.",$C2937,"4 Item Ledger Entry Type",$C$4,"2 Item No.","@@"&amp;$F2937,"3 Posting Date",O$9)</t>
  </si>
  <si>
    <t>=-NL("Sum","5802 Value Entry","151 Cost Amount (Expected)","41 Source Type",$C$5,"5 Source No.",$C2937,"4 Item Ledger Entry Type",$C$4,"2 Item No.","@@"&amp;$F2937,"3 Posting Date",O$9)-NL("Sum","5802 Value Entry","43 Cost Amount (Actual)","41 Source Type",$C$5,"5 Source no.",$C2937,"4 Item Ledger Entry Type",$C$4,"2 Item No.","@@"&amp;$F2937,"3 Posting Date",O$9)</t>
  </si>
  <si>
    <t>=O2937-Q2937</t>
  </si>
  <si>
    <t>=IF(O2937&lt;&gt;0,R2937/O2937,"")</t>
  </si>
  <si>
    <t>=NL("Sum","5802 Value Entry","150 Sales Amount (Expected)","41 Source Type",$C$5,"5 Source No.",$C2937,"4 Item Ledger Entry Type",$C$4,"2 Item No.","@@"&amp;$F2937,"3 Posting Date",U$9)+NL("Sum","5802 Value Entry","17 Sales Amount (Actual)","41 Source Type",$C$5,"5 Source no.",$C2937,"4 Item Ledger Entry Type",$C$4,"2 Item No.","@@"&amp;$F2937,"3 Posting Date",U$9)</t>
  </si>
  <si>
    <t>=-NL("Sum","5802 Value Entry","151 Cost Amount (Expected)","41 Source Type",$C$5,"5 Source No.",$C2937,"4 Item Ledger Entry Type",$C$4,"2 Item No.","@@"&amp;$F2937,"3 Posting Date",U$9)-NL("Sum","5802 Value Entry","43 Cost Amount (Actual)","41 Source Type",$C$5,"5 Source no.",$C2937,"4 Item Ledger Entry Type",$C$4,"2 Item No.","@@"&amp;$F2937,"3 Posting Date",U$9)</t>
  </si>
  <si>
    <t>=U2937-W2937</t>
  </si>
  <si>
    <t>=IF(U2937&lt;&gt;0,X2937/U2937,"")</t>
  </si>
  <si>
    <t>=NL("Sum","5802 Value Entry","150 Sales Amount (Expected)","41 Source Type",$C$5,"5 Source No.",$C2937,"4 Item Ledger Entry Type",$C$4,"2 Item No.","@@"&amp;$F2937,"3 Posting Date",Z$9)+NL("Sum","5802 Value Entry","17 Sales Amount (Actual)","41 Source Type",$C$5,"5 Source no.",$C2937,"4 Item Ledger Entry Type",$C$4,"2 Item No.","@@"&amp;$F2937,"3 Posting Date",Z$9)</t>
  </si>
  <si>
    <t>=-NL("Sum","5802 Value Entry","151 Cost Amount (Expected)","41 Source Type",$C$5,"5 Source No.",$C2937,"4 Item Ledger Entry Type",$C$4,"2 Item No.","@@"&amp;$F2937,"3 Posting Date",Z$9)-NL("Sum","5802 Value Entry","43 Cost Amount (Actual)","41 Source Type",$C$5,"5 Source no.",$C2937,"4 Item Ledger Entry Type",$C$4,"2 Item No.","@@"&amp;$F2937,"3 Posting Date",Z$9)</t>
  </si>
  <si>
    <t>=Z2937-AB2937</t>
  </si>
  <si>
    <t>=IF(Z2937&lt;&gt;0,AC2937/Z2937,"")</t>
  </si>
  <si>
    <t>=C2937</t>
  </si>
  <si>
    <t>=NL("Sum","5802 Value Entry","150 Sales Amount (Expected)","41 Source Type",$C$5,"5 Source No.",$C2938,"4 Item Ledger Entry Type",$C$4,"2 Item No.","@@"&amp;$F2938,"3 Posting Date",J$9)+NL("Sum","5802 Value Entry","17 Sales Amount (Actual)","41 Source Type",$C$5,"5 Source no.",$C2938,"4 Item Ledger Entry Type",$C$4,"2 Item No.","@@"&amp;$F2938,"3 Posting Date",J$9)</t>
  </si>
  <si>
    <t>=-NL("Sum","5802 Value Entry","151 Cost Amount (Expected)","41 Source Type",$C$5,"5 Source No.",$C2938,"4 Item Ledger Entry Type",$C$4,"2 Item No.","@@"&amp;$F2938,"3 Posting Date",J$9)-NL("Sum","5802 Value Entry","43 Cost Amount (Actual)","41 Source Type",$C$5,"5 Source no.",$C2938,"4 Item Ledger Entry Type",$C$4,"2 Item No.","@@"&amp;$F2938,"3 Posting Date",J$9)</t>
  </si>
  <si>
    <t>=J2938-L2938</t>
  </si>
  <si>
    <t>=IF(J2938&lt;&gt;0,M2938/J2938,"")</t>
  </si>
  <si>
    <t>=NL("Sum","5802 Value Entry","150 Sales Amount (Expected)","41 Source Type",$C$5,"5 Source No.",$C2938,"4 Item Ledger Entry Type",$C$4,"2 Item No.","@@"&amp;$F2938,"3 Posting Date",O$9)+NL("Sum","5802 Value Entry","17 Sales Amount (Actual)","41 Source Type",$C$5,"5 Source no.",$C2938,"4 Item Ledger Entry Type",$C$4,"2 Item No.","@@"&amp;$F2938,"3 Posting Date",O$9)</t>
  </si>
  <si>
    <t>=-NL("Sum","5802 Value Entry","151 Cost Amount (Expected)","41 Source Type",$C$5,"5 Source No.",$C2938,"4 Item Ledger Entry Type",$C$4,"2 Item No.","@@"&amp;$F2938,"3 Posting Date",O$9)-NL("Sum","5802 Value Entry","43 Cost Amount (Actual)","41 Source Type",$C$5,"5 Source no.",$C2938,"4 Item Ledger Entry Type",$C$4,"2 Item No.","@@"&amp;$F2938,"3 Posting Date",O$9)</t>
  </si>
  <si>
    <t>=O2938-Q2938</t>
  </si>
  <si>
    <t>=IF(O2938&lt;&gt;0,R2938/O2938,"")</t>
  </si>
  <si>
    <t>=NL("Sum","5802 Value Entry","150 Sales Amount (Expected)","41 Source Type",$C$5,"5 Source No.",$C2938,"4 Item Ledger Entry Type",$C$4,"2 Item No.","@@"&amp;$F2938,"3 Posting Date",U$9)+NL("Sum","5802 Value Entry","17 Sales Amount (Actual)","41 Source Type",$C$5,"5 Source no.",$C2938,"4 Item Ledger Entry Type",$C$4,"2 Item No.","@@"&amp;$F2938,"3 Posting Date",U$9)</t>
  </si>
  <si>
    <t>=-NL("Sum","5802 Value Entry","151 Cost Amount (Expected)","41 Source Type",$C$5,"5 Source No.",$C2938,"4 Item Ledger Entry Type",$C$4,"2 Item No.","@@"&amp;$F2938,"3 Posting Date",U$9)-NL("Sum","5802 Value Entry","43 Cost Amount (Actual)","41 Source Type",$C$5,"5 Source no.",$C2938,"4 Item Ledger Entry Type",$C$4,"2 Item No.","@@"&amp;$F2938,"3 Posting Date",U$9)</t>
  </si>
  <si>
    <t>=U2938-W2938</t>
  </si>
  <si>
    <t>=IF(U2938&lt;&gt;0,X2938/U2938,"")</t>
  </si>
  <si>
    <t>=NL("Sum","5802 Value Entry","150 Sales Amount (Expected)","41 Source Type",$C$5,"5 Source No.",$C2938,"4 Item Ledger Entry Type",$C$4,"2 Item No.","@@"&amp;$F2938,"3 Posting Date",Z$9)+NL("Sum","5802 Value Entry","17 Sales Amount (Actual)","41 Source Type",$C$5,"5 Source no.",$C2938,"4 Item Ledger Entry Type",$C$4,"2 Item No.","@@"&amp;$F2938,"3 Posting Date",Z$9)</t>
  </si>
  <si>
    <t>=-NL("Sum","5802 Value Entry","151 Cost Amount (Expected)","41 Source Type",$C$5,"5 Source No.",$C2938,"4 Item Ledger Entry Type",$C$4,"2 Item No.","@@"&amp;$F2938,"3 Posting Date",Z$9)-NL("Sum","5802 Value Entry","43 Cost Amount (Actual)","41 Source Type",$C$5,"5 Source no.",$C2938,"4 Item Ledger Entry Type",$C$4,"2 Item No.","@@"&amp;$F2938,"3 Posting Date",Z$9)</t>
  </si>
  <si>
    <t>=Z2938-AB2938</t>
  </si>
  <si>
    <t>=IF(Z2938&lt;&gt;0,AC2938/Z2938,"")</t>
  </si>
  <si>
    <t>=C2938</t>
  </si>
  <si>
    <t>=NL("Sum","5802 Value Entry","150 Sales Amount (Expected)","41 Source Type",$C$5,"5 Source No.",$C2939,"4 Item Ledger Entry Type",$C$4,"2 Item No.","@@"&amp;$F2939,"3 Posting Date",J$9)+NL("Sum","5802 Value Entry","17 Sales Amount (Actual)","41 Source Type",$C$5,"5 Source no.",$C2939,"4 Item Ledger Entry Type",$C$4,"2 Item No.","@@"&amp;$F2939,"3 Posting Date",J$9)</t>
  </si>
  <si>
    <t>=-NL("Sum","5802 Value Entry","151 Cost Amount (Expected)","41 Source Type",$C$5,"5 Source No.",$C2939,"4 Item Ledger Entry Type",$C$4,"2 Item No.","@@"&amp;$F2939,"3 Posting Date",J$9)-NL("Sum","5802 Value Entry","43 Cost Amount (Actual)","41 Source Type",$C$5,"5 Source no.",$C2939,"4 Item Ledger Entry Type",$C$4,"2 Item No.","@@"&amp;$F2939,"3 Posting Date",J$9)</t>
  </si>
  <si>
    <t>=J2939-L2939</t>
  </si>
  <si>
    <t>=IF(J2939&lt;&gt;0,M2939/J2939,"")</t>
  </si>
  <si>
    <t>=NL("Sum","5802 Value Entry","150 Sales Amount (Expected)","41 Source Type",$C$5,"5 Source No.",$C2939,"4 Item Ledger Entry Type",$C$4,"2 Item No.","@@"&amp;$F2939,"3 Posting Date",O$9)+NL("Sum","5802 Value Entry","17 Sales Amount (Actual)","41 Source Type",$C$5,"5 Source no.",$C2939,"4 Item Ledger Entry Type",$C$4,"2 Item No.","@@"&amp;$F2939,"3 Posting Date",O$9)</t>
  </si>
  <si>
    <t>=-NL("Sum","5802 Value Entry","151 Cost Amount (Expected)","41 Source Type",$C$5,"5 Source No.",$C2939,"4 Item Ledger Entry Type",$C$4,"2 Item No.","@@"&amp;$F2939,"3 Posting Date",O$9)-NL("Sum","5802 Value Entry","43 Cost Amount (Actual)","41 Source Type",$C$5,"5 Source no.",$C2939,"4 Item Ledger Entry Type",$C$4,"2 Item No.","@@"&amp;$F2939,"3 Posting Date",O$9)</t>
  </si>
  <si>
    <t>=O2939-Q2939</t>
  </si>
  <si>
    <t>=IF(O2939&lt;&gt;0,R2939/O2939,"")</t>
  </si>
  <si>
    <t>=NL("Sum","5802 Value Entry","150 Sales Amount (Expected)","41 Source Type",$C$5,"5 Source No.",$C2939,"4 Item Ledger Entry Type",$C$4,"2 Item No.","@@"&amp;$F2939,"3 Posting Date",U$9)+NL("Sum","5802 Value Entry","17 Sales Amount (Actual)","41 Source Type",$C$5,"5 Source no.",$C2939,"4 Item Ledger Entry Type",$C$4,"2 Item No.","@@"&amp;$F2939,"3 Posting Date",U$9)</t>
  </si>
  <si>
    <t>=-NL("Sum","5802 Value Entry","151 Cost Amount (Expected)","41 Source Type",$C$5,"5 Source No.",$C2939,"4 Item Ledger Entry Type",$C$4,"2 Item No.","@@"&amp;$F2939,"3 Posting Date",U$9)-NL("Sum","5802 Value Entry","43 Cost Amount (Actual)","41 Source Type",$C$5,"5 Source no.",$C2939,"4 Item Ledger Entry Type",$C$4,"2 Item No.","@@"&amp;$F2939,"3 Posting Date",U$9)</t>
  </si>
  <si>
    <t>=U2939-W2939</t>
  </si>
  <si>
    <t>=IF(U2939&lt;&gt;0,X2939/U2939,"")</t>
  </si>
  <si>
    <t>=NL("Sum","5802 Value Entry","150 Sales Amount (Expected)","41 Source Type",$C$5,"5 Source No.",$C2939,"4 Item Ledger Entry Type",$C$4,"2 Item No.","@@"&amp;$F2939,"3 Posting Date",Z$9)+NL("Sum","5802 Value Entry","17 Sales Amount (Actual)","41 Source Type",$C$5,"5 Source no.",$C2939,"4 Item Ledger Entry Type",$C$4,"2 Item No.","@@"&amp;$F2939,"3 Posting Date",Z$9)</t>
  </si>
  <si>
    <t>=-NL("Sum","5802 Value Entry","151 Cost Amount (Expected)","41 Source Type",$C$5,"5 Source No.",$C2939,"4 Item Ledger Entry Type",$C$4,"2 Item No.","@@"&amp;$F2939,"3 Posting Date",Z$9)-NL("Sum","5802 Value Entry","43 Cost Amount (Actual)","41 Source Type",$C$5,"5 Source no.",$C2939,"4 Item Ledger Entry Type",$C$4,"2 Item No.","@@"&amp;$F2939,"3 Posting Date",Z$9)</t>
  </si>
  <si>
    <t>=Z2939-AB2939</t>
  </si>
  <si>
    <t>=IF(Z2939&lt;&gt;0,AC2939/Z2939,"")</t>
  </si>
  <si>
    <t>=C2939</t>
  </si>
  <si>
    <t>=NL("Sum","5802 Value Entry","150 Sales Amount (Expected)","41 Source Type",$C$5,"5 Source No.",$C2940,"4 Item Ledger Entry Type",$C$4,"2 Item No.","@@"&amp;$F2940,"3 Posting Date",J$9)+NL("Sum","5802 Value Entry","17 Sales Amount (Actual)","41 Source Type",$C$5,"5 Source no.",$C2940,"4 Item Ledger Entry Type",$C$4,"2 Item No.","@@"&amp;$F2940,"3 Posting Date",J$9)</t>
  </si>
  <si>
    <t>=-NL("Sum","5802 Value Entry","151 Cost Amount (Expected)","41 Source Type",$C$5,"5 Source No.",$C2940,"4 Item Ledger Entry Type",$C$4,"2 Item No.","@@"&amp;$F2940,"3 Posting Date",J$9)-NL("Sum","5802 Value Entry","43 Cost Amount (Actual)","41 Source Type",$C$5,"5 Source no.",$C2940,"4 Item Ledger Entry Type",$C$4,"2 Item No.","@@"&amp;$F2940,"3 Posting Date",J$9)</t>
  </si>
  <si>
    <t>=J2940-L2940</t>
  </si>
  <si>
    <t>=IF(J2940&lt;&gt;0,M2940/J2940,"")</t>
  </si>
  <si>
    <t>=NL("Sum","5802 Value Entry","150 Sales Amount (Expected)","41 Source Type",$C$5,"5 Source No.",$C2940,"4 Item Ledger Entry Type",$C$4,"2 Item No.","@@"&amp;$F2940,"3 Posting Date",O$9)+NL("Sum","5802 Value Entry","17 Sales Amount (Actual)","41 Source Type",$C$5,"5 Source no.",$C2940,"4 Item Ledger Entry Type",$C$4,"2 Item No.","@@"&amp;$F2940,"3 Posting Date",O$9)</t>
  </si>
  <si>
    <t>=-NL("Sum","5802 Value Entry","151 Cost Amount (Expected)","41 Source Type",$C$5,"5 Source No.",$C2940,"4 Item Ledger Entry Type",$C$4,"2 Item No.","@@"&amp;$F2940,"3 Posting Date",O$9)-NL("Sum","5802 Value Entry","43 Cost Amount (Actual)","41 Source Type",$C$5,"5 Source no.",$C2940,"4 Item Ledger Entry Type",$C$4,"2 Item No.","@@"&amp;$F2940,"3 Posting Date",O$9)</t>
  </si>
  <si>
    <t>=O2940-Q2940</t>
  </si>
  <si>
    <t>=IF(O2940&lt;&gt;0,R2940/O2940,"")</t>
  </si>
  <si>
    <t>=NL("Sum","5802 Value Entry","150 Sales Amount (Expected)","41 Source Type",$C$5,"5 Source No.",$C2940,"4 Item Ledger Entry Type",$C$4,"2 Item No.","@@"&amp;$F2940,"3 Posting Date",U$9)+NL("Sum","5802 Value Entry","17 Sales Amount (Actual)","41 Source Type",$C$5,"5 Source no.",$C2940,"4 Item Ledger Entry Type",$C$4,"2 Item No.","@@"&amp;$F2940,"3 Posting Date",U$9)</t>
  </si>
  <si>
    <t>=-NL("Sum","5802 Value Entry","151 Cost Amount (Expected)","41 Source Type",$C$5,"5 Source No.",$C2940,"4 Item Ledger Entry Type",$C$4,"2 Item No.","@@"&amp;$F2940,"3 Posting Date",U$9)-NL("Sum","5802 Value Entry","43 Cost Amount (Actual)","41 Source Type",$C$5,"5 Source no.",$C2940,"4 Item Ledger Entry Type",$C$4,"2 Item No.","@@"&amp;$F2940,"3 Posting Date",U$9)</t>
  </si>
  <si>
    <t>=U2940-W2940</t>
  </si>
  <si>
    <t>=IF(U2940&lt;&gt;0,X2940/U2940,"")</t>
  </si>
  <si>
    <t>=NL("Sum","5802 Value Entry","150 Sales Amount (Expected)","41 Source Type",$C$5,"5 Source No.",$C2940,"4 Item Ledger Entry Type",$C$4,"2 Item No.","@@"&amp;$F2940,"3 Posting Date",Z$9)+NL("Sum","5802 Value Entry","17 Sales Amount (Actual)","41 Source Type",$C$5,"5 Source no.",$C2940,"4 Item Ledger Entry Type",$C$4,"2 Item No.","@@"&amp;$F2940,"3 Posting Date",Z$9)</t>
  </si>
  <si>
    <t>=-NL("Sum","5802 Value Entry","151 Cost Amount (Expected)","41 Source Type",$C$5,"5 Source No.",$C2940,"4 Item Ledger Entry Type",$C$4,"2 Item No.","@@"&amp;$F2940,"3 Posting Date",Z$9)-NL("Sum","5802 Value Entry","43 Cost Amount (Actual)","41 Source Type",$C$5,"5 Source no.",$C2940,"4 Item Ledger Entry Type",$C$4,"2 Item No.","@@"&amp;$F2940,"3 Posting Date",Z$9)</t>
  </si>
  <si>
    <t>=Z2940-AB2940</t>
  </si>
  <si>
    <t>=IF(Z2940&lt;&gt;0,AC2940/Z2940,"")</t>
  </si>
  <si>
    <t>=C2940</t>
  </si>
  <si>
    <t>=NL("Sum","5802 Value Entry","150 Sales Amount (Expected)","41 Source Type",$C$5,"5 Source No.",$C2941,"4 Item Ledger Entry Type",$C$4,"2 Item No.","@@"&amp;$F2941,"3 Posting Date",J$9)+NL("Sum","5802 Value Entry","17 Sales Amount (Actual)","41 Source Type",$C$5,"5 Source no.",$C2941,"4 Item Ledger Entry Type",$C$4,"2 Item No.","@@"&amp;$F2941,"3 Posting Date",J$9)</t>
  </si>
  <si>
    <t>=-NL("Sum","5802 Value Entry","151 Cost Amount (Expected)","41 Source Type",$C$5,"5 Source No.",$C2941,"4 Item Ledger Entry Type",$C$4,"2 Item No.","@@"&amp;$F2941,"3 Posting Date",J$9)-NL("Sum","5802 Value Entry","43 Cost Amount (Actual)","41 Source Type",$C$5,"5 Source no.",$C2941,"4 Item Ledger Entry Type",$C$4,"2 Item No.","@@"&amp;$F2941,"3 Posting Date",J$9)</t>
  </si>
  <si>
    <t>=J2941-L2941</t>
  </si>
  <si>
    <t>=IF(J2941&lt;&gt;0,M2941/J2941,"")</t>
  </si>
  <si>
    <t>=NL("Sum","5802 Value Entry","150 Sales Amount (Expected)","41 Source Type",$C$5,"5 Source No.",$C2941,"4 Item Ledger Entry Type",$C$4,"2 Item No.","@@"&amp;$F2941,"3 Posting Date",O$9)+NL("Sum","5802 Value Entry","17 Sales Amount (Actual)","41 Source Type",$C$5,"5 Source no.",$C2941,"4 Item Ledger Entry Type",$C$4,"2 Item No.","@@"&amp;$F2941,"3 Posting Date",O$9)</t>
  </si>
  <si>
    <t>=-NL("Sum","5802 Value Entry","151 Cost Amount (Expected)","41 Source Type",$C$5,"5 Source No.",$C2941,"4 Item Ledger Entry Type",$C$4,"2 Item No.","@@"&amp;$F2941,"3 Posting Date",O$9)-NL("Sum","5802 Value Entry","43 Cost Amount (Actual)","41 Source Type",$C$5,"5 Source no.",$C2941,"4 Item Ledger Entry Type",$C$4,"2 Item No.","@@"&amp;$F2941,"3 Posting Date",O$9)</t>
  </si>
  <si>
    <t>=O2941-Q2941</t>
  </si>
  <si>
    <t>=IF(O2941&lt;&gt;0,R2941/O2941,"")</t>
  </si>
  <si>
    <t>=NL("Sum","5802 Value Entry","150 Sales Amount (Expected)","41 Source Type",$C$5,"5 Source No.",$C2941,"4 Item Ledger Entry Type",$C$4,"2 Item No.","@@"&amp;$F2941,"3 Posting Date",U$9)+NL("Sum","5802 Value Entry","17 Sales Amount (Actual)","41 Source Type",$C$5,"5 Source no.",$C2941,"4 Item Ledger Entry Type",$C$4,"2 Item No.","@@"&amp;$F2941,"3 Posting Date",U$9)</t>
  </si>
  <si>
    <t>=-NL("Sum","5802 Value Entry","151 Cost Amount (Expected)","41 Source Type",$C$5,"5 Source No.",$C2941,"4 Item Ledger Entry Type",$C$4,"2 Item No.","@@"&amp;$F2941,"3 Posting Date",U$9)-NL("Sum","5802 Value Entry","43 Cost Amount (Actual)","41 Source Type",$C$5,"5 Source no.",$C2941,"4 Item Ledger Entry Type",$C$4,"2 Item No.","@@"&amp;$F2941,"3 Posting Date",U$9)</t>
  </si>
  <si>
    <t>=U2941-W2941</t>
  </si>
  <si>
    <t>=IF(U2941&lt;&gt;0,X2941/U2941,"")</t>
  </si>
  <si>
    <t>=NL("Sum","5802 Value Entry","150 Sales Amount (Expected)","41 Source Type",$C$5,"5 Source No.",$C2941,"4 Item Ledger Entry Type",$C$4,"2 Item No.","@@"&amp;$F2941,"3 Posting Date",Z$9)+NL("Sum","5802 Value Entry","17 Sales Amount (Actual)","41 Source Type",$C$5,"5 Source no.",$C2941,"4 Item Ledger Entry Type",$C$4,"2 Item No.","@@"&amp;$F2941,"3 Posting Date",Z$9)</t>
  </si>
  <si>
    <t>=-NL("Sum","5802 Value Entry","151 Cost Amount (Expected)","41 Source Type",$C$5,"5 Source No.",$C2941,"4 Item Ledger Entry Type",$C$4,"2 Item No.","@@"&amp;$F2941,"3 Posting Date",Z$9)-NL("Sum","5802 Value Entry","43 Cost Amount (Actual)","41 Source Type",$C$5,"5 Source no.",$C2941,"4 Item Ledger Entry Type",$C$4,"2 Item No.","@@"&amp;$F2941,"3 Posting Date",Z$9)</t>
  </si>
  <si>
    <t>=Z2941-AB2941</t>
  </si>
  <si>
    <t>=IF(Z2941&lt;&gt;0,AC2941/Z2941,"")</t>
  </si>
  <si>
    <t>=C2941</t>
  </si>
  <si>
    <t>=NL("Sum","5802 Value Entry","150 Sales Amount (Expected)","41 Source Type",$C$5,"5 Source No.",$C2942,"4 Item Ledger Entry Type",$C$4,"2 Item No.","@@"&amp;$F2942,"3 Posting Date",J$9)+NL("Sum","5802 Value Entry","17 Sales Amount (Actual)","41 Source Type",$C$5,"5 Source no.",$C2942,"4 Item Ledger Entry Type",$C$4,"2 Item No.","@@"&amp;$F2942,"3 Posting Date",J$9)</t>
  </si>
  <si>
    <t>=-NL("Sum","5802 Value Entry","151 Cost Amount (Expected)","41 Source Type",$C$5,"5 Source No.",$C2942,"4 Item Ledger Entry Type",$C$4,"2 Item No.","@@"&amp;$F2942,"3 Posting Date",J$9)-NL("Sum","5802 Value Entry","43 Cost Amount (Actual)","41 Source Type",$C$5,"5 Source no.",$C2942,"4 Item Ledger Entry Type",$C$4,"2 Item No.","@@"&amp;$F2942,"3 Posting Date",J$9)</t>
  </si>
  <si>
    <t>=J2942-L2942</t>
  </si>
  <si>
    <t>=IF(J2942&lt;&gt;0,M2942/J2942,"")</t>
  </si>
  <si>
    <t>=NL("Sum","5802 Value Entry","150 Sales Amount (Expected)","41 Source Type",$C$5,"5 Source No.",$C2942,"4 Item Ledger Entry Type",$C$4,"2 Item No.","@@"&amp;$F2942,"3 Posting Date",O$9)+NL("Sum","5802 Value Entry","17 Sales Amount (Actual)","41 Source Type",$C$5,"5 Source no.",$C2942,"4 Item Ledger Entry Type",$C$4,"2 Item No.","@@"&amp;$F2942,"3 Posting Date",O$9)</t>
  </si>
  <si>
    <t>=-NL("Sum","5802 Value Entry","151 Cost Amount (Expected)","41 Source Type",$C$5,"5 Source No.",$C2942,"4 Item Ledger Entry Type",$C$4,"2 Item No.","@@"&amp;$F2942,"3 Posting Date",O$9)-NL("Sum","5802 Value Entry","43 Cost Amount (Actual)","41 Source Type",$C$5,"5 Source no.",$C2942,"4 Item Ledger Entry Type",$C$4,"2 Item No.","@@"&amp;$F2942,"3 Posting Date",O$9)</t>
  </si>
  <si>
    <t>=O2942-Q2942</t>
  </si>
  <si>
    <t>=IF(O2942&lt;&gt;0,R2942/O2942,"")</t>
  </si>
  <si>
    <t>=NL("Sum","5802 Value Entry","150 Sales Amount (Expected)","41 Source Type",$C$5,"5 Source No.",$C2942,"4 Item Ledger Entry Type",$C$4,"2 Item No.","@@"&amp;$F2942,"3 Posting Date",U$9)+NL("Sum","5802 Value Entry","17 Sales Amount (Actual)","41 Source Type",$C$5,"5 Source no.",$C2942,"4 Item Ledger Entry Type",$C$4,"2 Item No.","@@"&amp;$F2942,"3 Posting Date",U$9)</t>
  </si>
  <si>
    <t>=-NL("Sum","5802 Value Entry","151 Cost Amount (Expected)","41 Source Type",$C$5,"5 Source No.",$C2942,"4 Item Ledger Entry Type",$C$4,"2 Item No.","@@"&amp;$F2942,"3 Posting Date",U$9)-NL("Sum","5802 Value Entry","43 Cost Amount (Actual)","41 Source Type",$C$5,"5 Source no.",$C2942,"4 Item Ledger Entry Type",$C$4,"2 Item No.","@@"&amp;$F2942,"3 Posting Date",U$9)</t>
  </si>
  <si>
    <t>=U2942-W2942</t>
  </si>
  <si>
    <t>=IF(U2942&lt;&gt;0,X2942/U2942,"")</t>
  </si>
  <si>
    <t>=NL("Sum","5802 Value Entry","150 Sales Amount (Expected)","41 Source Type",$C$5,"5 Source No.",$C2942,"4 Item Ledger Entry Type",$C$4,"2 Item No.","@@"&amp;$F2942,"3 Posting Date",Z$9)+NL("Sum","5802 Value Entry","17 Sales Amount (Actual)","41 Source Type",$C$5,"5 Source no.",$C2942,"4 Item Ledger Entry Type",$C$4,"2 Item No.","@@"&amp;$F2942,"3 Posting Date",Z$9)</t>
  </si>
  <si>
    <t>=-NL("Sum","5802 Value Entry","151 Cost Amount (Expected)","41 Source Type",$C$5,"5 Source No.",$C2942,"4 Item Ledger Entry Type",$C$4,"2 Item No.","@@"&amp;$F2942,"3 Posting Date",Z$9)-NL("Sum","5802 Value Entry","43 Cost Amount (Actual)","41 Source Type",$C$5,"5 Source no.",$C2942,"4 Item Ledger Entry Type",$C$4,"2 Item No.","@@"&amp;$F2942,"3 Posting Date",Z$9)</t>
  </si>
  <si>
    <t>=Z2942-AB2942</t>
  </si>
  <si>
    <t>=IF(Z2942&lt;&gt;0,AC2942/Z2942,"")</t>
  </si>
  <si>
    <t>=C2942</t>
  </si>
  <si>
    <t>=NL("Sum","5802 Value Entry","150 Sales Amount (Expected)","41 Source Type",$C$5,"5 Source No.",$C2943,"4 Item Ledger Entry Type",$C$4,"2 Item No.","@@"&amp;$F2943,"3 Posting Date",J$9)+NL("Sum","5802 Value Entry","17 Sales Amount (Actual)","41 Source Type",$C$5,"5 Source no.",$C2943,"4 Item Ledger Entry Type",$C$4,"2 Item No.","@@"&amp;$F2943,"3 Posting Date",J$9)</t>
  </si>
  <si>
    <t>=-NL("Sum","5802 Value Entry","151 Cost Amount (Expected)","41 Source Type",$C$5,"5 Source No.",$C2943,"4 Item Ledger Entry Type",$C$4,"2 Item No.","@@"&amp;$F2943,"3 Posting Date",J$9)-NL("Sum","5802 Value Entry","43 Cost Amount (Actual)","41 Source Type",$C$5,"5 Source no.",$C2943,"4 Item Ledger Entry Type",$C$4,"2 Item No.","@@"&amp;$F2943,"3 Posting Date",J$9)</t>
  </si>
  <si>
    <t>=J2943-L2943</t>
  </si>
  <si>
    <t>=IF(J2943&lt;&gt;0,M2943/J2943,"")</t>
  </si>
  <si>
    <t>=NL("Sum","5802 Value Entry","150 Sales Amount (Expected)","41 Source Type",$C$5,"5 Source No.",$C2943,"4 Item Ledger Entry Type",$C$4,"2 Item No.","@@"&amp;$F2943,"3 Posting Date",O$9)+NL("Sum","5802 Value Entry","17 Sales Amount (Actual)","41 Source Type",$C$5,"5 Source no.",$C2943,"4 Item Ledger Entry Type",$C$4,"2 Item No.","@@"&amp;$F2943,"3 Posting Date",O$9)</t>
  </si>
  <si>
    <t>=-NL("Sum","5802 Value Entry","151 Cost Amount (Expected)","41 Source Type",$C$5,"5 Source No.",$C2943,"4 Item Ledger Entry Type",$C$4,"2 Item No.","@@"&amp;$F2943,"3 Posting Date",O$9)-NL("Sum","5802 Value Entry","43 Cost Amount (Actual)","41 Source Type",$C$5,"5 Source no.",$C2943,"4 Item Ledger Entry Type",$C$4,"2 Item No.","@@"&amp;$F2943,"3 Posting Date",O$9)</t>
  </si>
  <si>
    <t>=O2943-Q2943</t>
  </si>
  <si>
    <t>=IF(O2943&lt;&gt;0,R2943/O2943,"")</t>
  </si>
  <si>
    <t>=NL("Sum","5802 Value Entry","150 Sales Amount (Expected)","41 Source Type",$C$5,"5 Source No.",$C2943,"4 Item Ledger Entry Type",$C$4,"2 Item No.","@@"&amp;$F2943,"3 Posting Date",U$9)+NL("Sum","5802 Value Entry","17 Sales Amount (Actual)","41 Source Type",$C$5,"5 Source no.",$C2943,"4 Item Ledger Entry Type",$C$4,"2 Item No.","@@"&amp;$F2943,"3 Posting Date",U$9)</t>
  </si>
  <si>
    <t>=-NL("Sum","5802 Value Entry","151 Cost Amount (Expected)","41 Source Type",$C$5,"5 Source No.",$C2943,"4 Item Ledger Entry Type",$C$4,"2 Item No.","@@"&amp;$F2943,"3 Posting Date",U$9)-NL("Sum","5802 Value Entry","43 Cost Amount (Actual)","41 Source Type",$C$5,"5 Source no.",$C2943,"4 Item Ledger Entry Type",$C$4,"2 Item No.","@@"&amp;$F2943,"3 Posting Date",U$9)</t>
  </si>
  <si>
    <t>=U2943-W2943</t>
  </si>
  <si>
    <t>=IF(U2943&lt;&gt;0,X2943/U2943,"")</t>
  </si>
  <si>
    <t>=NL("Sum","5802 Value Entry","150 Sales Amount (Expected)","41 Source Type",$C$5,"5 Source No.",$C2943,"4 Item Ledger Entry Type",$C$4,"2 Item No.","@@"&amp;$F2943,"3 Posting Date",Z$9)+NL("Sum","5802 Value Entry","17 Sales Amount (Actual)","41 Source Type",$C$5,"5 Source no.",$C2943,"4 Item Ledger Entry Type",$C$4,"2 Item No.","@@"&amp;$F2943,"3 Posting Date",Z$9)</t>
  </si>
  <si>
    <t>=-NL("Sum","5802 Value Entry","151 Cost Amount (Expected)","41 Source Type",$C$5,"5 Source No.",$C2943,"4 Item Ledger Entry Type",$C$4,"2 Item No.","@@"&amp;$F2943,"3 Posting Date",Z$9)-NL("Sum","5802 Value Entry","43 Cost Amount (Actual)","41 Source Type",$C$5,"5 Source no.",$C2943,"4 Item Ledger Entry Type",$C$4,"2 Item No.","@@"&amp;$F2943,"3 Posting Date",Z$9)</t>
  </si>
  <si>
    <t>=Z2943-AB2943</t>
  </si>
  <si>
    <t>=IF(Z2943&lt;&gt;0,AC2943/Z2943,"")</t>
  </si>
  <si>
    <t>=C2943</t>
  </si>
  <si>
    <t>=NL("Sum","5802 Value Entry","150 Sales Amount (Expected)","41 Source Type",$C$5,"5 Source No.",$C2944,"4 Item Ledger Entry Type",$C$4,"2 Item No.","@@"&amp;$F2944,"3 Posting Date",J$9)+NL("Sum","5802 Value Entry","17 Sales Amount (Actual)","41 Source Type",$C$5,"5 Source no.",$C2944,"4 Item Ledger Entry Type",$C$4,"2 Item No.","@@"&amp;$F2944,"3 Posting Date",J$9)</t>
  </si>
  <si>
    <t>=-NL("Sum","5802 Value Entry","151 Cost Amount (Expected)","41 Source Type",$C$5,"5 Source No.",$C2944,"4 Item Ledger Entry Type",$C$4,"2 Item No.","@@"&amp;$F2944,"3 Posting Date",J$9)-NL("Sum","5802 Value Entry","43 Cost Amount (Actual)","41 Source Type",$C$5,"5 Source no.",$C2944,"4 Item Ledger Entry Type",$C$4,"2 Item No.","@@"&amp;$F2944,"3 Posting Date",J$9)</t>
  </si>
  <si>
    <t>=J2944-L2944</t>
  </si>
  <si>
    <t>=IF(J2944&lt;&gt;0,M2944/J2944,"")</t>
  </si>
  <si>
    <t>=NL("Sum","5802 Value Entry","150 Sales Amount (Expected)","41 Source Type",$C$5,"5 Source No.",$C2944,"4 Item Ledger Entry Type",$C$4,"2 Item No.","@@"&amp;$F2944,"3 Posting Date",O$9)+NL("Sum","5802 Value Entry","17 Sales Amount (Actual)","41 Source Type",$C$5,"5 Source no.",$C2944,"4 Item Ledger Entry Type",$C$4,"2 Item No.","@@"&amp;$F2944,"3 Posting Date",O$9)</t>
  </si>
  <si>
    <t>=-NL("Sum","5802 Value Entry","151 Cost Amount (Expected)","41 Source Type",$C$5,"5 Source No.",$C2944,"4 Item Ledger Entry Type",$C$4,"2 Item No.","@@"&amp;$F2944,"3 Posting Date",O$9)-NL("Sum","5802 Value Entry","43 Cost Amount (Actual)","41 Source Type",$C$5,"5 Source no.",$C2944,"4 Item Ledger Entry Type",$C$4,"2 Item No.","@@"&amp;$F2944,"3 Posting Date",O$9)</t>
  </si>
  <si>
    <t>=O2944-Q2944</t>
  </si>
  <si>
    <t>=IF(O2944&lt;&gt;0,R2944/O2944,"")</t>
  </si>
  <si>
    <t>=NL("Sum","5802 Value Entry","150 Sales Amount (Expected)","41 Source Type",$C$5,"5 Source No.",$C2944,"4 Item Ledger Entry Type",$C$4,"2 Item No.","@@"&amp;$F2944,"3 Posting Date",U$9)+NL("Sum","5802 Value Entry","17 Sales Amount (Actual)","41 Source Type",$C$5,"5 Source no.",$C2944,"4 Item Ledger Entry Type",$C$4,"2 Item No.","@@"&amp;$F2944,"3 Posting Date",U$9)</t>
  </si>
  <si>
    <t>=-NL("Sum","5802 Value Entry","151 Cost Amount (Expected)","41 Source Type",$C$5,"5 Source No.",$C2944,"4 Item Ledger Entry Type",$C$4,"2 Item No.","@@"&amp;$F2944,"3 Posting Date",U$9)-NL("Sum","5802 Value Entry","43 Cost Amount (Actual)","41 Source Type",$C$5,"5 Source no.",$C2944,"4 Item Ledger Entry Type",$C$4,"2 Item No.","@@"&amp;$F2944,"3 Posting Date",U$9)</t>
  </si>
  <si>
    <t>=U2944-W2944</t>
  </si>
  <si>
    <t>=IF(U2944&lt;&gt;0,X2944/U2944,"")</t>
  </si>
  <si>
    <t>=NL("Sum","5802 Value Entry","150 Sales Amount (Expected)","41 Source Type",$C$5,"5 Source No.",$C2944,"4 Item Ledger Entry Type",$C$4,"2 Item No.","@@"&amp;$F2944,"3 Posting Date",Z$9)+NL("Sum","5802 Value Entry","17 Sales Amount (Actual)","41 Source Type",$C$5,"5 Source no.",$C2944,"4 Item Ledger Entry Type",$C$4,"2 Item No.","@@"&amp;$F2944,"3 Posting Date",Z$9)</t>
  </si>
  <si>
    <t>=-NL("Sum","5802 Value Entry","151 Cost Amount (Expected)","41 Source Type",$C$5,"5 Source No.",$C2944,"4 Item Ledger Entry Type",$C$4,"2 Item No.","@@"&amp;$F2944,"3 Posting Date",Z$9)-NL("Sum","5802 Value Entry","43 Cost Amount (Actual)","41 Source Type",$C$5,"5 Source no.",$C2944,"4 Item Ledger Entry Type",$C$4,"2 Item No.","@@"&amp;$F2944,"3 Posting Date",Z$9)</t>
  </si>
  <si>
    <t>=Z2944-AB2944</t>
  </si>
  <si>
    <t>=IF(Z2944&lt;&gt;0,AC2944/Z2944,"")</t>
  </si>
  <si>
    <t>=C2944</t>
  </si>
  <si>
    <t>=NL("Sum","5802 Value Entry","150 Sales Amount (Expected)","41 Source Type",$C$5,"5 Source No.",$C2945,"4 Item Ledger Entry Type",$C$4,"2 Item No.","@@"&amp;$F2945,"3 Posting Date",J$9)+NL("Sum","5802 Value Entry","17 Sales Amount (Actual)","41 Source Type",$C$5,"5 Source no.",$C2945,"4 Item Ledger Entry Type",$C$4,"2 Item No.","@@"&amp;$F2945,"3 Posting Date",J$9)</t>
  </si>
  <si>
    <t>=-NL("Sum","5802 Value Entry","151 Cost Amount (Expected)","41 Source Type",$C$5,"5 Source No.",$C2945,"4 Item Ledger Entry Type",$C$4,"2 Item No.","@@"&amp;$F2945,"3 Posting Date",J$9)-NL("Sum","5802 Value Entry","43 Cost Amount (Actual)","41 Source Type",$C$5,"5 Source no.",$C2945,"4 Item Ledger Entry Type",$C$4,"2 Item No.","@@"&amp;$F2945,"3 Posting Date",J$9)</t>
  </si>
  <si>
    <t>=J2945-L2945</t>
  </si>
  <si>
    <t>=IF(J2945&lt;&gt;0,M2945/J2945,"")</t>
  </si>
  <si>
    <t>=NL("Sum","5802 Value Entry","150 Sales Amount (Expected)","41 Source Type",$C$5,"5 Source No.",$C2945,"4 Item Ledger Entry Type",$C$4,"2 Item No.","@@"&amp;$F2945,"3 Posting Date",O$9)+NL("Sum","5802 Value Entry","17 Sales Amount (Actual)","41 Source Type",$C$5,"5 Source no.",$C2945,"4 Item Ledger Entry Type",$C$4,"2 Item No.","@@"&amp;$F2945,"3 Posting Date",O$9)</t>
  </si>
  <si>
    <t>=-NL("Sum","5802 Value Entry","151 Cost Amount (Expected)","41 Source Type",$C$5,"5 Source No.",$C2945,"4 Item Ledger Entry Type",$C$4,"2 Item No.","@@"&amp;$F2945,"3 Posting Date",O$9)-NL("Sum","5802 Value Entry","43 Cost Amount (Actual)","41 Source Type",$C$5,"5 Source no.",$C2945,"4 Item Ledger Entry Type",$C$4,"2 Item No.","@@"&amp;$F2945,"3 Posting Date",O$9)</t>
  </si>
  <si>
    <t>=O2945-Q2945</t>
  </si>
  <si>
    <t>=IF(O2945&lt;&gt;0,R2945/O2945,"")</t>
  </si>
  <si>
    <t>=NL("Sum","5802 Value Entry","150 Sales Amount (Expected)","41 Source Type",$C$5,"5 Source No.",$C2945,"4 Item Ledger Entry Type",$C$4,"2 Item No.","@@"&amp;$F2945,"3 Posting Date",U$9)+NL("Sum","5802 Value Entry","17 Sales Amount (Actual)","41 Source Type",$C$5,"5 Source no.",$C2945,"4 Item Ledger Entry Type",$C$4,"2 Item No.","@@"&amp;$F2945,"3 Posting Date",U$9)</t>
  </si>
  <si>
    <t>=-NL("Sum","5802 Value Entry","151 Cost Amount (Expected)","41 Source Type",$C$5,"5 Source No.",$C2945,"4 Item Ledger Entry Type",$C$4,"2 Item No.","@@"&amp;$F2945,"3 Posting Date",U$9)-NL("Sum","5802 Value Entry","43 Cost Amount (Actual)","41 Source Type",$C$5,"5 Source no.",$C2945,"4 Item Ledger Entry Type",$C$4,"2 Item No.","@@"&amp;$F2945,"3 Posting Date",U$9)</t>
  </si>
  <si>
    <t>=U2945-W2945</t>
  </si>
  <si>
    <t>=IF(U2945&lt;&gt;0,X2945/U2945,"")</t>
  </si>
  <si>
    <t>=NL("Sum","5802 Value Entry","150 Sales Amount (Expected)","41 Source Type",$C$5,"5 Source No.",$C2945,"4 Item Ledger Entry Type",$C$4,"2 Item No.","@@"&amp;$F2945,"3 Posting Date",Z$9)+NL("Sum","5802 Value Entry","17 Sales Amount (Actual)","41 Source Type",$C$5,"5 Source no.",$C2945,"4 Item Ledger Entry Type",$C$4,"2 Item No.","@@"&amp;$F2945,"3 Posting Date",Z$9)</t>
  </si>
  <si>
    <t>=-NL("Sum","5802 Value Entry","151 Cost Amount (Expected)","41 Source Type",$C$5,"5 Source No.",$C2945,"4 Item Ledger Entry Type",$C$4,"2 Item No.","@@"&amp;$F2945,"3 Posting Date",Z$9)-NL("Sum","5802 Value Entry","43 Cost Amount (Actual)","41 Source Type",$C$5,"5 Source no.",$C2945,"4 Item Ledger Entry Type",$C$4,"2 Item No.","@@"&amp;$F2945,"3 Posting Date",Z$9)</t>
  </si>
  <si>
    <t>=Z2945-AB2945</t>
  </si>
  <si>
    <t>=IF(Z2945&lt;&gt;0,AC2945/Z2945,"")</t>
  </si>
  <si>
    <t>=C2945</t>
  </si>
  <si>
    <t>=NL("Sum","5802 Value Entry","150 Sales Amount (Expected)","41 Source Type",$C$5,"5 Source No.",$C2946,"4 Item Ledger Entry Type",$C$4,"2 Item No.","@@"&amp;$F2946,"3 Posting Date",J$9)+NL("Sum","5802 Value Entry","17 Sales Amount (Actual)","41 Source Type",$C$5,"5 Source no.",$C2946,"4 Item Ledger Entry Type",$C$4,"2 Item No.","@@"&amp;$F2946,"3 Posting Date",J$9)</t>
  </si>
  <si>
    <t>=-NL("Sum","5802 Value Entry","151 Cost Amount (Expected)","41 Source Type",$C$5,"5 Source No.",$C2946,"4 Item Ledger Entry Type",$C$4,"2 Item No.","@@"&amp;$F2946,"3 Posting Date",J$9)-NL("Sum","5802 Value Entry","43 Cost Amount (Actual)","41 Source Type",$C$5,"5 Source no.",$C2946,"4 Item Ledger Entry Type",$C$4,"2 Item No.","@@"&amp;$F2946,"3 Posting Date",J$9)</t>
  </si>
  <si>
    <t>=J2946-L2946</t>
  </si>
  <si>
    <t>=IF(J2946&lt;&gt;0,M2946/J2946,"")</t>
  </si>
  <si>
    <t>=NL("Sum","5802 Value Entry","150 Sales Amount (Expected)","41 Source Type",$C$5,"5 Source No.",$C2946,"4 Item Ledger Entry Type",$C$4,"2 Item No.","@@"&amp;$F2946,"3 Posting Date",O$9)+NL("Sum","5802 Value Entry","17 Sales Amount (Actual)","41 Source Type",$C$5,"5 Source no.",$C2946,"4 Item Ledger Entry Type",$C$4,"2 Item No.","@@"&amp;$F2946,"3 Posting Date",O$9)</t>
  </si>
  <si>
    <t>=-NL("Sum","5802 Value Entry","151 Cost Amount (Expected)","41 Source Type",$C$5,"5 Source No.",$C2946,"4 Item Ledger Entry Type",$C$4,"2 Item No.","@@"&amp;$F2946,"3 Posting Date",O$9)-NL("Sum","5802 Value Entry","43 Cost Amount (Actual)","41 Source Type",$C$5,"5 Source no.",$C2946,"4 Item Ledger Entry Type",$C$4,"2 Item No.","@@"&amp;$F2946,"3 Posting Date",O$9)</t>
  </si>
  <si>
    <t>=O2946-Q2946</t>
  </si>
  <si>
    <t>=IF(O2946&lt;&gt;0,R2946/O2946,"")</t>
  </si>
  <si>
    <t>=NL("Sum","5802 Value Entry","150 Sales Amount (Expected)","41 Source Type",$C$5,"5 Source No.",$C2946,"4 Item Ledger Entry Type",$C$4,"2 Item No.","@@"&amp;$F2946,"3 Posting Date",U$9)+NL("Sum","5802 Value Entry","17 Sales Amount (Actual)","41 Source Type",$C$5,"5 Source no.",$C2946,"4 Item Ledger Entry Type",$C$4,"2 Item No.","@@"&amp;$F2946,"3 Posting Date",U$9)</t>
  </si>
  <si>
    <t>=-NL("Sum","5802 Value Entry","151 Cost Amount (Expected)","41 Source Type",$C$5,"5 Source No.",$C2946,"4 Item Ledger Entry Type",$C$4,"2 Item No.","@@"&amp;$F2946,"3 Posting Date",U$9)-NL("Sum","5802 Value Entry","43 Cost Amount (Actual)","41 Source Type",$C$5,"5 Source no.",$C2946,"4 Item Ledger Entry Type",$C$4,"2 Item No.","@@"&amp;$F2946,"3 Posting Date",U$9)</t>
  </si>
  <si>
    <t>=U2946-W2946</t>
  </si>
  <si>
    <t>=IF(U2946&lt;&gt;0,X2946/U2946,"")</t>
  </si>
  <si>
    <t>=NL("Sum","5802 Value Entry","150 Sales Amount (Expected)","41 Source Type",$C$5,"5 Source No.",$C2946,"4 Item Ledger Entry Type",$C$4,"2 Item No.","@@"&amp;$F2946,"3 Posting Date",Z$9)+NL("Sum","5802 Value Entry","17 Sales Amount (Actual)","41 Source Type",$C$5,"5 Source no.",$C2946,"4 Item Ledger Entry Type",$C$4,"2 Item No.","@@"&amp;$F2946,"3 Posting Date",Z$9)</t>
  </si>
  <si>
    <t>=-NL("Sum","5802 Value Entry","151 Cost Amount (Expected)","41 Source Type",$C$5,"5 Source No.",$C2946,"4 Item Ledger Entry Type",$C$4,"2 Item No.","@@"&amp;$F2946,"3 Posting Date",Z$9)-NL("Sum","5802 Value Entry","43 Cost Amount (Actual)","41 Source Type",$C$5,"5 Source no.",$C2946,"4 Item Ledger Entry Type",$C$4,"2 Item No.","@@"&amp;$F2946,"3 Posting Date",Z$9)</t>
  </si>
  <si>
    <t>=Z2946-AB2946</t>
  </si>
  <si>
    <t>=IF(Z2946&lt;&gt;0,AC2946/Z2946,"")</t>
  </si>
  <si>
    <t>=C2946</t>
  </si>
  <si>
    <t>=NL("Sum","5802 Value Entry","150 Sales Amount (Expected)","41 Source Type",$C$5,"5 Source No.",$C2947,"4 Item Ledger Entry Type",$C$4,"2 Item No.","@@"&amp;$F2947,"3 Posting Date",J$9)+NL("Sum","5802 Value Entry","17 Sales Amount (Actual)","41 Source Type",$C$5,"5 Source no.",$C2947,"4 Item Ledger Entry Type",$C$4,"2 Item No.","@@"&amp;$F2947,"3 Posting Date",J$9)</t>
  </si>
  <si>
    <t>=-NL("Sum","5802 Value Entry","151 Cost Amount (Expected)","41 Source Type",$C$5,"5 Source No.",$C2947,"4 Item Ledger Entry Type",$C$4,"2 Item No.","@@"&amp;$F2947,"3 Posting Date",J$9)-NL("Sum","5802 Value Entry","43 Cost Amount (Actual)","41 Source Type",$C$5,"5 Source no.",$C2947,"4 Item Ledger Entry Type",$C$4,"2 Item No.","@@"&amp;$F2947,"3 Posting Date",J$9)</t>
  </si>
  <si>
    <t>=J2947-L2947</t>
  </si>
  <si>
    <t>=IF(J2947&lt;&gt;0,M2947/J2947,"")</t>
  </si>
  <si>
    <t>=NL("Sum","5802 Value Entry","150 Sales Amount (Expected)","41 Source Type",$C$5,"5 Source No.",$C2947,"4 Item Ledger Entry Type",$C$4,"2 Item No.","@@"&amp;$F2947,"3 Posting Date",O$9)+NL("Sum","5802 Value Entry","17 Sales Amount (Actual)","41 Source Type",$C$5,"5 Source no.",$C2947,"4 Item Ledger Entry Type",$C$4,"2 Item No.","@@"&amp;$F2947,"3 Posting Date",O$9)</t>
  </si>
  <si>
    <t>=-NL("Sum","5802 Value Entry","151 Cost Amount (Expected)","41 Source Type",$C$5,"5 Source No.",$C2947,"4 Item Ledger Entry Type",$C$4,"2 Item No.","@@"&amp;$F2947,"3 Posting Date",O$9)-NL("Sum","5802 Value Entry","43 Cost Amount (Actual)","41 Source Type",$C$5,"5 Source no.",$C2947,"4 Item Ledger Entry Type",$C$4,"2 Item No.","@@"&amp;$F2947,"3 Posting Date",O$9)</t>
  </si>
  <si>
    <t>=O2947-Q2947</t>
  </si>
  <si>
    <t>=IF(O2947&lt;&gt;0,R2947/O2947,"")</t>
  </si>
  <si>
    <t>=NL("Sum","5802 Value Entry","150 Sales Amount (Expected)","41 Source Type",$C$5,"5 Source No.",$C2947,"4 Item Ledger Entry Type",$C$4,"2 Item No.","@@"&amp;$F2947,"3 Posting Date",U$9)+NL("Sum","5802 Value Entry","17 Sales Amount (Actual)","41 Source Type",$C$5,"5 Source no.",$C2947,"4 Item Ledger Entry Type",$C$4,"2 Item No.","@@"&amp;$F2947,"3 Posting Date",U$9)</t>
  </si>
  <si>
    <t>=-NL("Sum","5802 Value Entry","151 Cost Amount (Expected)","41 Source Type",$C$5,"5 Source No.",$C2947,"4 Item Ledger Entry Type",$C$4,"2 Item No.","@@"&amp;$F2947,"3 Posting Date",U$9)-NL("Sum","5802 Value Entry","43 Cost Amount (Actual)","41 Source Type",$C$5,"5 Source no.",$C2947,"4 Item Ledger Entry Type",$C$4,"2 Item No.","@@"&amp;$F2947,"3 Posting Date",U$9)</t>
  </si>
  <si>
    <t>=U2947-W2947</t>
  </si>
  <si>
    <t>=IF(U2947&lt;&gt;0,X2947/U2947,"")</t>
  </si>
  <si>
    <t>=NL("Sum","5802 Value Entry","150 Sales Amount (Expected)","41 Source Type",$C$5,"5 Source No.",$C2947,"4 Item Ledger Entry Type",$C$4,"2 Item No.","@@"&amp;$F2947,"3 Posting Date",Z$9)+NL("Sum","5802 Value Entry","17 Sales Amount (Actual)","41 Source Type",$C$5,"5 Source no.",$C2947,"4 Item Ledger Entry Type",$C$4,"2 Item No.","@@"&amp;$F2947,"3 Posting Date",Z$9)</t>
  </si>
  <si>
    <t>=-NL("Sum","5802 Value Entry","151 Cost Amount (Expected)","41 Source Type",$C$5,"5 Source No.",$C2947,"4 Item Ledger Entry Type",$C$4,"2 Item No.","@@"&amp;$F2947,"3 Posting Date",Z$9)-NL("Sum","5802 Value Entry","43 Cost Amount (Actual)","41 Source Type",$C$5,"5 Source no.",$C2947,"4 Item Ledger Entry Type",$C$4,"2 Item No.","@@"&amp;$F2947,"3 Posting Date",Z$9)</t>
  </si>
  <si>
    <t>=Z2947-AB2947</t>
  </si>
  <si>
    <t>=IF(Z2947&lt;&gt;0,AC2947/Z2947,"")</t>
  </si>
  <si>
    <t>=C2947</t>
  </si>
  <si>
    <t>=NL("Sum","5802 Value Entry","150 Sales Amount (Expected)","41 Source Type",$C$5,"5 Source No.",$C2948,"4 Item Ledger Entry Type",$C$4,"2 Item No.","@@"&amp;$F2948,"3 Posting Date",J$9)+NL("Sum","5802 Value Entry","17 Sales Amount (Actual)","41 Source Type",$C$5,"5 Source no.",$C2948,"4 Item Ledger Entry Type",$C$4,"2 Item No.","@@"&amp;$F2948,"3 Posting Date",J$9)</t>
  </si>
  <si>
    <t>=-NL("Sum","5802 Value Entry","151 Cost Amount (Expected)","41 Source Type",$C$5,"5 Source No.",$C2948,"4 Item Ledger Entry Type",$C$4,"2 Item No.","@@"&amp;$F2948,"3 Posting Date",J$9)-NL("Sum","5802 Value Entry","43 Cost Amount (Actual)","41 Source Type",$C$5,"5 Source no.",$C2948,"4 Item Ledger Entry Type",$C$4,"2 Item No.","@@"&amp;$F2948,"3 Posting Date",J$9)</t>
  </si>
  <si>
    <t>=J2948-L2948</t>
  </si>
  <si>
    <t>=IF(J2948&lt;&gt;0,M2948/J2948,"")</t>
  </si>
  <si>
    <t>=NL("Sum","5802 Value Entry","150 Sales Amount (Expected)","41 Source Type",$C$5,"5 Source No.",$C2948,"4 Item Ledger Entry Type",$C$4,"2 Item No.","@@"&amp;$F2948,"3 Posting Date",O$9)+NL("Sum","5802 Value Entry","17 Sales Amount (Actual)","41 Source Type",$C$5,"5 Source no.",$C2948,"4 Item Ledger Entry Type",$C$4,"2 Item No.","@@"&amp;$F2948,"3 Posting Date",O$9)</t>
  </si>
  <si>
    <t>=-NL("Sum","5802 Value Entry","151 Cost Amount (Expected)","41 Source Type",$C$5,"5 Source No.",$C2948,"4 Item Ledger Entry Type",$C$4,"2 Item No.","@@"&amp;$F2948,"3 Posting Date",O$9)-NL("Sum","5802 Value Entry","43 Cost Amount (Actual)","41 Source Type",$C$5,"5 Source no.",$C2948,"4 Item Ledger Entry Type",$C$4,"2 Item No.","@@"&amp;$F2948,"3 Posting Date",O$9)</t>
  </si>
  <si>
    <t>=O2948-Q2948</t>
  </si>
  <si>
    <t>=IF(O2948&lt;&gt;0,R2948/O2948,"")</t>
  </si>
  <si>
    <t>=NL("Sum","5802 Value Entry","150 Sales Amount (Expected)","41 Source Type",$C$5,"5 Source No.",$C2948,"4 Item Ledger Entry Type",$C$4,"2 Item No.","@@"&amp;$F2948,"3 Posting Date",U$9)+NL("Sum","5802 Value Entry","17 Sales Amount (Actual)","41 Source Type",$C$5,"5 Source no.",$C2948,"4 Item Ledger Entry Type",$C$4,"2 Item No.","@@"&amp;$F2948,"3 Posting Date",U$9)</t>
  </si>
  <si>
    <t>=-NL("Sum","5802 Value Entry","151 Cost Amount (Expected)","41 Source Type",$C$5,"5 Source No.",$C2948,"4 Item Ledger Entry Type",$C$4,"2 Item No.","@@"&amp;$F2948,"3 Posting Date",U$9)-NL("Sum","5802 Value Entry","43 Cost Amount (Actual)","41 Source Type",$C$5,"5 Source no.",$C2948,"4 Item Ledger Entry Type",$C$4,"2 Item No.","@@"&amp;$F2948,"3 Posting Date",U$9)</t>
  </si>
  <si>
    <t>=U2948-W2948</t>
  </si>
  <si>
    <t>=IF(U2948&lt;&gt;0,X2948/U2948,"")</t>
  </si>
  <si>
    <t>=NL("Sum","5802 Value Entry","150 Sales Amount (Expected)","41 Source Type",$C$5,"5 Source No.",$C2948,"4 Item Ledger Entry Type",$C$4,"2 Item No.","@@"&amp;$F2948,"3 Posting Date",Z$9)+NL("Sum","5802 Value Entry","17 Sales Amount (Actual)","41 Source Type",$C$5,"5 Source no.",$C2948,"4 Item Ledger Entry Type",$C$4,"2 Item No.","@@"&amp;$F2948,"3 Posting Date",Z$9)</t>
  </si>
  <si>
    <t>=-NL("Sum","5802 Value Entry","151 Cost Amount (Expected)","41 Source Type",$C$5,"5 Source No.",$C2948,"4 Item Ledger Entry Type",$C$4,"2 Item No.","@@"&amp;$F2948,"3 Posting Date",Z$9)-NL("Sum","5802 Value Entry","43 Cost Amount (Actual)","41 Source Type",$C$5,"5 Source no.",$C2948,"4 Item Ledger Entry Type",$C$4,"2 Item No.","@@"&amp;$F2948,"3 Posting Date",Z$9)</t>
  </si>
  <si>
    <t>=Z2948-AB2948</t>
  </si>
  <si>
    <t>=IF(Z2948&lt;&gt;0,AC2948/Z2948,"")</t>
  </si>
  <si>
    <t>=C2948</t>
  </si>
  <si>
    <t>=NL("Sum","5802 Value Entry","150 Sales Amount (Expected)","41 Source Type",$C$5,"5 Source No.",$C2949,"4 Item Ledger Entry Type",$C$4,"2 Item No.","@@"&amp;$F2949,"3 Posting Date",J$9)+NL("Sum","5802 Value Entry","17 Sales Amount (Actual)","41 Source Type",$C$5,"5 Source no.",$C2949,"4 Item Ledger Entry Type",$C$4,"2 Item No.","@@"&amp;$F2949,"3 Posting Date",J$9)</t>
  </si>
  <si>
    <t>=-NL("Sum","5802 Value Entry","151 Cost Amount (Expected)","41 Source Type",$C$5,"5 Source No.",$C2949,"4 Item Ledger Entry Type",$C$4,"2 Item No.","@@"&amp;$F2949,"3 Posting Date",J$9)-NL("Sum","5802 Value Entry","43 Cost Amount (Actual)","41 Source Type",$C$5,"5 Source no.",$C2949,"4 Item Ledger Entry Type",$C$4,"2 Item No.","@@"&amp;$F2949,"3 Posting Date",J$9)</t>
  </si>
  <si>
    <t>=J2949-L2949</t>
  </si>
  <si>
    <t>=IF(J2949&lt;&gt;0,M2949/J2949,"")</t>
  </si>
  <si>
    <t>=NL("Sum","5802 Value Entry","150 Sales Amount (Expected)","41 Source Type",$C$5,"5 Source No.",$C2949,"4 Item Ledger Entry Type",$C$4,"2 Item No.","@@"&amp;$F2949,"3 Posting Date",O$9)+NL("Sum","5802 Value Entry","17 Sales Amount (Actual)","41 Source Type",$C$5,"5 Source no.",$C2949,"4 Item Ledger Entry Type",$C$4,"2 Item No.","@@"&amp;$F2949,"3 Posting Date",O$9)</t>
  </si>
  <si>
    <t>=-NL("Sum","5802 Value Entry","151 Cost Amount (Expected)","41 Source Type",$C$5,"5 Source No.",$C2949,"4 Item Ledger Entry Type",$C$4,"2 Item No.","@@"&amp;$F2949,"3 Posting Date",O$9)-NL("Sum","5802 Value Entry","43 Cost Amount (Actual)","41 Source Type",$C$5,"5 Source no.",$C2949,"4 Item Ledger Entry Type",$C$4,"2 Item No.","@@"&amp;$F2949,"3 Posting Date",O$9)</t>
  </si>
  <si>
    <t>=O2949-Q2949</t>
  </si>
  <si>
    <t>=IF(O2949&lt;&gt;0,R2949/O2949,"")</t>
  </si>
  <si>
    <t>=NL("Sum","5802 Value Entry","150 Sales Amount (Expected)","41 Source Type",$C$5,"5 Source No.",$C2949,"4 Item Ledger Entry Type",$C$4,"2 Item No.","@@"&amp;$F2949,"3 Posting Date",U$9)+NL("Sum","5802 Value Entry","17 Sales Amount (Actual)","41 Source Type",$C$5,"5 Source no.",$C2949,"4 Item Ledger Entry Type",$C$4,"2 Item No.","@@"&amp;$F2949,"3 Posting Date",U$9)</t>
  </si>
  <si>
    <t>=-NL("Sum","5802 Value Entry","151 Cost Amount (Expected)","41 Source Type",$C$5,"5 Source No.",$C2949,"4 Item Ledger Entry Type",$C$4,"2 Item No.","@@"&amp;$F2949,"3 Posting Date",U$9)-NL("Sum","5802 Value Entry","43 Cost Amount (Actual)","41 Source Type",$C$5,"5 Source no.",$C2949,"4 Item Ledger Entry Type",$C$4,"2 Item No.","@@"&amp;$F2949,"3 Posting Date",U$9)</t>
  </si>
  <si>
    <t>=U2949-W2949</t>
  </si>
  <si>
    <t>=IF(U2949&lt;&gt;0,X2949/U2949,"")</t>
  </si>
  <si>
    <t>=NL("Sum","5802 Value Entry","150 Sales Amount (Expected)","41 Source Type",$C$5,"5 Source No.",$C2949,"4 Item Ledger Entry Type",$C$4,"2 Item No.","@@"&amp;$F2949,"3 Posting Date",Z$9)+NL("Sum","5802 Value Entry","17 Sales Amount (Actual)","41 Source Type",$C$5,"5 Source no.",$C2949,"4 Item Ledger Entry Type",$C$4,"2 Item No.","@@"&amp;$F2949,"3 Posting Date",Z$9)</t>
  </si>
  <si>
    <t>=-NL("Sum","5802 Value Entry","151 Cost Amount (Expected)","41 Source Type",$C$5,"5 Source No.",$C2949,"4 Item Ledger Entry Type",$C$4,"2 Item No.","@@"&amp;$F2949,"3 Posting Date",Z$9)-NL("Sum","5802 Value Entry","43 Cost Amount (Actual)","41 Source Type",$C$5,"5 Source no.",$C2949,"4 Item Ledger Entry Type",$C$4,"2 Item No.","@@"&amp;$F2949,"3 Posting Date",Z$9)</t>
  </si>
  <si>
    <t>=Z2949-AB2949</t>
  </si>
  <si>
    <t>=IF(Z2949&lt;&gt;0,AC2949/Z2949,"")</t>
  </si>
  <si>
    <t>=C2949</t>
  </si>
  <si>
    <t>=NL("Sum","5802 Value Entry","150 Sales Amount (Expected)","41 Source Type",$C$5,"5 Source No.",$C2950,"4 Item Ledger Entry Type",$C$4,"2 Item No.","@@"&amp;$F2950,"3 Posting Date",J$9)+NL("Sum","5802 Value Entry","17 Sales Amount (Actual)","41 Source Type",$C$5,"5 Source no.",$C2950,"4 Item Ledger Entry Type",$C$4,"2 Item No.","@@"&amp;$F2950,"3 Posting Date",J$9)</t>
  </si>
  <si>
    <t>=-NL("Sum","5802 Value Entry","151 Cost Amount (Expected)","41 Source Type",$C$5,"5 Source No.",$C2950,"4 Item Ledger Entry Type",$C$4,"2 Item No.","@@"&amp;$F2950,"3 Posting Date",J$9)-NL("Sum","5802 Value Entry","43 Cost Amount (Actual)","41 Source Type",$C$5,"5 Source no.",$C2950,"4 Item Ledger Entry Type",$C$4,"2 Item No.","@@"&amp;$F2950,"3 Posting Date",J$9)</t>
  </si>
  <si>
    <t>=J2950-L2950</t>
  </si>
  <si>
    <t>=IF(J2950&lt;&gt;0,M2950/J2950,"")</t>
  </si>
  <si>
    <t>=NL("Sum","5802 Value Entry","150 Sales Amount (Expected)","41 Source Type",$C$5,"5 Source No.",$C2950,"4 Item Ledger Entry Type",$C$4,"2 Item No.","@@"&amp;$F2950,"3 Posting Date",O$9)+NL("Sum","5802 Value Entry","17 Sales Amount (Actual)","41 Source Type",$C$5,"5 Source no.",$C2950,"4 Item Ledger Entry Type",$C$4,"2 Item No.","@@"&amp;$F2950,"3 Posting Date",O$9)</t>
  </si>
  <si>
    <t>=-NL("Sum","5802 Value Entry","151 Cost Amount (Expected)","41 Source Type",$C$5,"5 Source No.",$C2950,"4 Item Ledger Entry Type",$C$4,"2 Item No.","@@"&amp;$F2950,"3 Posting Date",O$9)-NL("Sum","5802 Value Entry","43 Cost Amount (Actual)","41 Source Type",$C$5,"5 Source no.",$C2950,"4 Item Ledger Entry Type",$C$4,"2 Item No.","@@"&amp;$F2950,"3 Posting Date",O$9)</t>
  </si>
  <si>
    <t>=O2950-Q2950</t>
  </si>
  <si>
    <t>=IF(O2950&lt;&gt;0,R2950/O2950,"")</t>
  </si>
  <si>
    <t>=NL("Sum","5802 Value Entry","150 Sales Amount (Expected)","41 Source Type",$C$5,"5 Source No.",$C2950,"4 Item Ledger Entry Type",$C$4,"2 Item No.","@@"&amp;$F2950,"3 Posting Date",U$9)+NL("Sum","5802 Value Entry","17 Sales Amount (Actual)","41 Source Type",$C$5,"5 Source no.",$C2950,"4 Item Ledger Entry Type",$C$4,"2 Item No.","@@"&amp;$F2950,"3 Posting Date",U$9)</t>
  </si>
  <si>
    <t>=-NL("Sum","5802 Value Entry","151 Cost Amount (Expected)","41 Source Type",$C$5,"5 Source No.",$C2950,"4 Item Ledger Entry Type",$C$4,"2 Item No.","@@"&amp;$F2950,"3 Posting Date",U$9)-NL("Sum","5802 Value Entry","43 Cost Amount (Actual)","41 Source Type",$C$5,"5 Source no.",$C2950,"4 Item Ledger Entry Type",$C$4,"2 Item No.","@@"&amp;$F2950,"3 Posting Date",U$9)</t>
  </si>
  <si>
    <t>=U2950-W2950</t>
  </si>
  <si>
    <t>=IF(U2950&lt;&gt;0,X2950/U2950,"")</t>
  </si>
  <si>
    <t>=NL("Sum","5802 Value Entry","150 Sales Amount (Expected)","41 Source Type",$C$5,"5 Source No.",$C2950,"4 Item Ledger Entry Type",$C$4,"2 Item No.","@@"&amp;$F2950,"3 Posting Date",Z$9)+NL("Sum","5802 Value Entry","17 Sales Amount (Actual)","41 Source Type",$C$5,"5 Source no.",$C2950,"4 Item Ledger Entry Type",$C$4,"2 Item No.","@@"&amp;$F2950,"3 Posting Date",Z$9)</t>
  </si>
  <si>
    <t>=-NL("Sum","5802 Value Entry","151 Cost Amount (Expected)","41 Source Type",$C$5,"5 Source No.",$C2950,"4 Item Ledger Entry Type",$C$4,"2 Item No.","@@"&amp;$F2950,"3 Posting Date",Z$9)-NL("Sum","5802 Value Entry","43 Cost Amount (Actual)","41 Source Type",$C$5,"5 Source no.",$C2950,"4 Item Ledger Entry Type",$C$4,"2 Item No.","@@"&amp;$F2950,"3 Posting Date",Z$9)</t>
  </si>
  <si>
    <t>=Z2950-AB2950</t>
  </si>
  <si>
    <t>=IF(Z2950&lt;&gt;0,AC2950/Z2950,"")</t>
  </si>
  <si>
    <t>=C2950</t>
  </si>
  <si>
    <t>=NL("Sum","5802 Value Entry","150 Sales Amount (Expected)","41 Source Type",$C$5,"5 Source No.",$C2951,"4 Item Ledger Entry Type",$C$4,"2 Item No.","@@"&amp;$F2951,"3 Posting Date",J$9)+NL("Sum","5802 Value Entry","17 Sales Amount (Actual)","41 Source Type",$C$5,"5 Source no.",$C2951,"4 Item Ledger Entry Type",$C$4,"2 Item No.","@@"&amp;$F2951,"3 Posting Date",J$9)</t>
  </si>
  <si>
    <t>=-NL("Sum","5802 Value Entry","151 Cost Amount (Expected)","41 Source Type",$C$5,"5 Source No.",$C2951,"4 Item Ledger Entry Type",$C$4,"2 Item No.","@@"&amp;$F2951,"3 Posting Date",J$9)-NL("Sum","5802 Value Entry","43 Cost Amount (Actual)","41 Source Type",$C$5,"5 Source no.",$C2951,"4 Item Ledger Entry Type",$C$4,"2 Item No.","@@"&amp;$F2951,"3 Posting Date",J$9)</t>
  </si>
  <si>
    <t>=J2951-L2951</t>
  </si>
  <si>
    <t>=IF(J2951&lt;&gt;0,M2951/J2951,"")</t>
  </si>
  <si>
    <t>=NL("Sum","5802 Value Entry","150 Sales Amount (Expected)","41 Source Type",$C$5,"5 Source No.",$C2951,"4 Item Ledger Entry Type",$C$4,"2 Item No.","@@"&amp;$F2951,"3 Posting Date",O$9)+NL("Sum","5802 Value Entry","17 Sales Amount (Actual)","41 Source Type",$C$5,"5 Source no.",$C2951,"4 Item Ledger Entry Type",$C$4,"2 Item No.","@@"&amp;$F2951,"3 Posting Date",O$9)</t>
  </si>
  <si>
    <t>=-NL("Sum","5802 Value Entry","151 Cost Amount (Expected)","41 Source Type",$C$5,"5 Source No.",$C2951,"4 Item Ledger Entry Type",$C$4,"2 Item No.","@@"&amp;$F2951,"3 Posting Date",O$9)-NL("Sum","5802 Value Entry","43 Cost Amount (Actual)","41 Source Type",$C$5,"5 Source no.",$C2951,"4 Item Ledger Entry Type",$C$4,"2 Item No.","@@"&amp;$F2951,"3 Posting Date",O$9)</t>
  </si>
  <si>
    <t>=O2951-Q2951</t>
  </si>
  <si>
    <t>=IF(O2951&lt;&gt;0,R2951/O2951,"")</t>
  </si>
  <si>
    <t>=NL("Sum","5802 Value Entry","150 Sales Amount (Expected)","41 Source Type",$C$5,"5 Source No.",$C2951,"4 Item Ledger Entry Type",$C$4,"2 Item No.","@@"&amp;$F2951,"3 Posting Date",U$9)+NL("Sum","5802 Value Entry","17 Sales Amount (Actual)","41 Source Type",$C$5,"5 Source no.",$C2951,"4 Item Ledger Entry Type",$C$4,"2 Item No.","@@"&amp;$F2951,"3 Posting Date",U$9)</t>
  </si>
  <si>
    <t>=-NL("Sum","5802 Value Entry","151 Cost Amount (Expected)","41 Source Type",$C$5,"5 Source No.",$C2951,"4 Item Ledger Entry Type",$C$4,"2 Item No.","@@"&amp;$F2951,"3 Posting Date",U$9)-NL("Sum","5802 Value Entry","43 Cost Amount (Actual)","41 Source Type",$C$5,"5 Source no.",$C2951,"4 Item Ledger Entry Type",$C$4,"2 Item No.","@@"&amp;$F2951,"3 Posting Date",U$9)</t>
  </si>
  <si>
    <t>=U2951-W2951</t>
  </si>
  <si>
    <t>=IF(U2951&lt;&gt;0,X2951/U2951,"")</t>
  </si>
  <si>
    <t>=NL("Sum","5802 Value Entry","150 Sales Amount (Expected)","41 Source Type",$C$5,"5 Source No.",$C2951,"4 Item Ledger Entry Type",$C$4,"2 Item No.","@@"&amp;$F2951,"3 Posting Date",Z$9)+NL("Sum","5802 Value Entry","17 Sales Amount (Actual)","41 Source Type",$C$5,"5 Source no.",$C2951,"4 Item Ledger Entry Type",$C$4,"2 Item No.","@@"&amp;$F2951,"3 Posting Date",Z$9)</t>
  </si>
  <si>
    <t>=-NL("Sum","5802 Value Entry","151 Cost Amount (Expected)","41 Source Type",$C$5,"5 Source No.",$C2951,"4 Item Ledger Entry Type",$C$4,"2 Item No.","@@"&amp;$F2951,"3 Posting Date",Z$9)-NL("Sum","5802 Value Entry","43 Cost Amount (Actual)","41 Source Type",$C$5,"5 Source no.",$C2951,"4 Item Ledger Entry Type",$C$4,"2 Item No.","@@"&amp;$F2951,"3 Posting Date",Z$9)</t>
  </si>
  <si>
    <t>=Z2951-AB2951</t>
  </si>
  <si>
    <t>=IF(Z2951&lt;&gt;0,AC2951/Z2951,"")</t>
  </si>
  <si>
    <t>=C2951</t>
  </si>
  <si>
    <t>=NL("Sum","5802 Value Entry","150 Sales Amount (Expected)","41 Source Type",$C$5,"5 Source No.",$C2952,"4 Item Ledger Entry Type",$C$4,"2 Item No.","@@"&amp;$F2952,"3 Posting Date",J$9)+NL("Sum","5802 Value Entry","17 Sales Amount (Actual)","41 Source Type",$C$5,"5 Source no.",$C2952,"4 Item Ledger Entry Type",$C$4,"2 Item No.","@@"&amp;$F2952,"3 Posting Date",J$9)</t>
  </si>
  <si>
    <t>=-NL("Sum","5802 Value Entry","151 Cost Amount (Expected)","41 Source Type",$C$5,"5 Source No.",$C2952,"4 Item Ledger Entry Type",$C$4,"2 Item No.","@@"&amp;$F2952,"3 Posting Date",J$9)-NL("Sum","5802 Value Entry","43 Cost Amount (Actual)","41 Source Type",$C$5,"5 Source no.",$C2952,"4 Item Ledger Entry Type",$C$4,"2 Item No.","@@"&amp;$F2952,"3 Posting Date",J$9)</t>
  </si>
  <si>
    <t>=J2952-L2952</t>
  </si>
  <si>
    <t>=IF(J2952&lt;&gt;0,M2952/J2952,"")</t>
  </si>
  <si>
    <t>=NL("Sum","5802 Value Entry","150 Sales Amount (Expected)","41 Source Type",$C$5,"5 Source No.",$C2952,"4 Item Ledger Entry Type",$C$4,"2 Item No.","@@"&amp;$F2952,"3 Posting Date",O$9)+NL("Sum","5802 Value Entry","17 Sales Amount (Actual)","41 Source Type",$C$5,"5 Source no.",$C2952,"4 Item Ledger Entry Type",$C$4,"2 Item No.","@@"&amp;$F2952,"3 Posting Date",O$9)</t>
  </si>
  <si>
    <t>=-NL("Sum","5802 Value Entry","151 Cost Amount (Expected)","41 Source Type",$C$5,"5 Source No.",$C2952,"4 Item Ledger Entry Type",$C$4,"2 Item No.","@@"&amp;$F2952,"3 Posting Date",O$9)-NL("Sum","5802 Value Entry","43 Cost Amount (Actual)","41 Source Type",$C$5,"5 Source no.",$C2952,"4 Item Ledger Entry Type",$C$4,"2 Item No.","@@"&amp;$F2952,"3 Posting Date",O$9)</t>
  </si>
  <si>
    <t>=O2952-Q2952</t>
  </si>
  <si>
    <t>=IF(O2952&lt;&gt;0,R2952/O2952,"")</t>
  </si>
  <si>
    <t>=NL("Sum","5802 Value Entry","150 Sales Amount (Expected)","41 Source Type",$C$5,"5 Source No.",$C2952,"4 Item Ledger Entry Type",$C$4,"2 Item No.","@@"&amp;$F2952,"3 Posting Date",U$9)+NL("Sum","5802 Value Entry","17 Sales Amount (Actual)","41 Source Type",$C$5,"5 Source no.",$C2952,"4 Item Ledger Entry Type",$C$4,"2 Item No.","@@"&amp;$F2952,"3 Posting Date",U$9)</t>
  </si>
  <si>
    <t>=-NL("Sum","5802 Value Entry","151 Cost Amount (Expected)","41 Source Type",$C$5,"5 Source No.",$C2952,"4 Item Ledger Entry Type",$C$4,"2 Item No.","@@"&amp;$F2952,"3 Posting Date",U$9)-NL("Sum","5802 Value Entry","43 Cost Amount (Actual)","41 Source Type",$C$5,"5 Source no.",$C2952,"4 Item Ledger Entry Type",$C$4,"2 Item No.","@@"&amp;$F2952,"3 Posting Date",U$9)</t>
  </si>
  <si>
    <t>=U2952-W2952</t>
  </si>
  <si>
    <t>=IF(U2952&lt;&gt;0,X2952/U2952,"")</t>
  </si>
  <si>
    <t>=NL("Sum","5802 Value Entry","150 Sales Amount (Expected)","41 Source Type",$C$5,"5 Source No.",$C2952,"4 Item Ledger Entry Type",$C$4,"2 Item No.","@@"&amp;$F2952,"3 Posting Date",Z$9)+NL("Sum","5802 Value Entry","17 Sales Amount (Actual)","41 Source Type",$C$5,"5 Source no.",$C2952,"4 Item Ledger Entry Type",$C$4,"2 Item No.","@@"&amp;$F2952,"3 Posting Date",Z$9)</t>
  </si>
  <si>
    <t>=-NL("Sum","5802 Value Entry","151 Cost Amount (Expected)","41 Source Type",$C$5,"5 Source No.",$C2952,"4 Item Ledger Entry Type",$C$4,"2 Item No.","@@"&amp;$F2952,"3 Posting Date",Z$9)-NL("Sum","5802 Value Entry","43 Cost Amount (Actual)","41 Source Type",$C$5,"5 Source no.",$C2952,"4 Item Ledger Entry Type",$C$4,"2 Item No.","@@"&amp;$F2952,"3 Posting Date",Z$9)</t>
  </si>
  <si>
    <t>=Z2952-AB2952</t>
  </si>
  <si>
    <t>=IF(Z2952&lt;&gt;0,AC2952/Z2952,"")</t>
  </si>
  <si>
    <t>=C2952</t>
  </si>
  <si>
    <t>=NL("Sum","5802 Value Entry","150 Sales Amount (Expected)","41 Source Type",$C$5,"5 Source No.",$C2953,"4 Item Ledger Entry Type",$C$4,"2 Item No.","@@"&amp;$F2953,"3 Posting Date",J$9)+NL("Sum","5802 Value Entry","17 Sales Amount (Actual)","41 Source Type",$C$5,"5 Source no.",$C2953,"4 Item Ledger Entry Type",$C$4,"2 Item No.","@@"&amp;$F2953,"3 Posting Date",J$9)</t>
  </si>
  <si>
    <t>=-NL("Sum","5802 Value Entry","151 Cost Amount (Expected)","41 Source Type",$C$5,"5 Source No.",$C2953,"4 Item Ledger Entry Type",$C$4,"2 Item No.","@@"&amp;$F2953,"3 Posting Date",J$9)-NL("Sum","5802 Value Entry","43 Cost Amount (Actual)","41 Source Type",$C$5,"5 Source no.",$C2953,"4 Item Ledger Entry Type",$C$4,"2 Item No.","@@"&amp;$F2953,"3 Posting Date",J$9)</t>
  </si>
  <si>
    <t>=J2953-L2953</t>
  </si>
  <si>
    <t>=IF(J2953&lt;&gt;0,M2953/J2953,"")</t>
  </si>
  <si>
    <t>=NL("Sum","5802 Value Entry","150 Sales Amount (Expected)","41 Source Type",$C$5,"5 Source No.",$C2953,"4 Item Ledger Entry Type",$C$4,"2 Item No.","@@"&amp;$F2953,"3 Posting Date",O$9)+NL("Sum","5802 Value Entry","17 Sales Amount (Actual)","41 Source Type",$C$5,"5 Source no.",$C2953,"4 Item Ledger Entry Type",$C$4,"2 Item No.","@@"&amp;$F2953,"3 Posting Date",O$9)</t>
  </si>
  <si>
    <t>=-NL("Sum","5802 Value Entry","151 Cost Amount (Expected)","41 Source Type",$C$5,"5 Source No.",$C2953,"4 Item Ledger Entry Type",$C$4,"2 Item No.","@@"&amp;$F2953,"3 Posting Date",O$9)-NL("Sum","5802 Value Entry","43 Cost Amount (Actual)","41 Source Type",$C$5,"5 Source no.",$C2953,"4 Item Ledger Entry Type",$C$4,"2 Item No.","@@"&amp;$F2953,"3 Posting Date",O$9)</t>
  </si>
  <si>
    <t>=O2953-Q2953</t>
  </si>
  <si>
    <t>=IF(O2953&lt;&gt;0,R2953/O2953,"")</t>
  </si>
  <si>
    <t>=NL("Sum","5802 Value Entry","150 Sales Amount (Expected)","41 Source Type",$C$5,"5 Source No.",$C2953,"4 Item Ledger Entry Type",$C$4,"2 Item No.","@@"&amp;$F2953,"3 Posting Date",U$9)+NL("Sum","5802 Value Entry","17 Sales Amount (Actual)","41 Source Type",$C$5,"5 Source no.",$C2953,"4 Item Ledger Entry Type",$C$4,"2 Item No.","@@"&amp;$F2953,"3 Posting Date",U$9)</t>
  </si>
  <si>
    <t>=-NL("Sum","5802 Value Entry","151 Cost Amount (Expected)","41 Source Type",$C$5,"5 Source No.",$C2953,"4 Item Ledger Entry Type",$C$4,"2 Item No.","@@"&amp;$F2953,"3 Posting Date",U$9)-NL("Sum","5802 Value Entry","43 Cost Amount (Actual)","41 Source Type",$C$5,"5 Source no.",$C2953,"4 Item Ledger Entry Type",$C$4,"2 Item No.","@@"&amp;$F2953,"3 Posting Date",U$9)</t>
  </si>
  <si>
    <t>=U2953-W2953</t>
  </si>
  <si>
    <t>=IF(U2953&lt;&gt;0,X2953/U2953,"")</t>
  </si>
  <si>
    <t>=NL("Sum","5802 Value Entry","150 Sales Amount (Expected)","41 Source Type",$C$5,"5 Source No.",$C2953,"4 Item Ledger Entry Type",$C$4,"2 Item No.","@@"&amp;$F2953,"3 Posting Date",Z$9)+NL("Sum","5802 Value Entry","17 Sales Amount (Actual)","41 Source Type",$C$5,"5 Source no.",$C2953,"4 Item Ledger Entry Type",$C$4,"2 Item No.","@@"&amp;$F2953,"3 Posting Date",Z$9)</t>
  </si>
  <si>
    <t>=-NL("Sum","5802 Value Entry","151 Cost Amount (Expected)","41 Source Type",$C$5,"5 Source No.",$C2953,"4 Item Ledger Entry Type",$C$4,"2 Item No.","@@"&amp;$F2953,"3 Posting Date",Z$9)-NL("Sum","5802 Value Entry","43 Cost Amount (Actual)","41 Source Type",$C$5,"5 Source no.",$C2953,"4 Item Ledger Entry Type",$C$4,"2 Item No.","@@"&amp;$F2953,"3 Posting Date",Z$9)</t>
  </si>
  <si>
    <t>=Z2953-AB2953</t>
  </si>
  <si>
    <t>=IF(Z2953&lt;&gt;0,AC2953/Z2953,"")</t>
  </si>
  <si>
    <t>=C2954</t>
  </si>
  <si>
    <t>=J2955-L2955</t>
  </si>
  <si>
    <t>=IF(J2955&lt;&gt;0,M2955/J2955,"")</t>
  </si>
  <si>
    <t>=O2955-Q2955</t>
  </si>
  <si>
    <t>=IF(O2955&lt;&gt;0,R2955/O2955,"")</t>
  </si>
  <si>
    <t>=U2955-W2955</t>
  </si>
  <si>
    <t>=IF(U2955&lt;&gt;0,X2955/U2955,"")</t>
  </si>
  <si>
    <t>=Z2955-AB2955</t>
  </si>
  <si>
    <t>=IF(Z2955&lt;&gt;0,AC2955/Z2955,"")</t>
  </si>
  <si>
    <t>=C2957</t>
  </si>
  <si>
    <t>=C2959</t>
  </si>
  <si>
    <t>=J2960-L2960</t>
  </si>
  <si>
    <t>=IF(J2960&lt;&gt;0,M2960/J2960,"")</t>
  </si>
  <si>
    <t>=O2960-Q2960</t>
  </si>
  <si>
    <t>=IF(O2960&lt;&gt;0,R2960/O2960,"")</t>
  </si>
  <si>
    <t>=U2960-W2960</t>
  </si>
  <si>
    <t>=IF(U2960&lt;&gt;0,X2960/U2960,"")</t>
  </si>
  <si>
    <t>=Z2960-AB2960</t>
  </si>
  <si>
    <t>=IF(Z2960&lt;&gt;0,AC2960/Z2960,"")</t>
  </si>
  <si>
    <t>=C2962</t>
  </si>
  <si>
    <t>=C2963</t>
  </si>
  <si>
    <t>=NL("Sum","5802 Value Entry","150 Sales Amount (Expected)","41 Source Type",$C$5,"5 Source No.",$C2964,"4 Item Ledger Entry Type",$C$4,"2 Item No.","@@"&amp;$F2964,"3 Posting Date",J$9)+NL("Sum","5802 Value Entry","17 Sales Amount (Actual)","41 Source Type",$C$5,"5 Source no.",$C2964,"4 Item Ledger Entry Type",$C$4,"2 Item No.","@@"&amp;$F2964,"3 Posting Date",J$9)</t>
  </si>
  <si>
    <t>=-NL("Sum","5802 Value Entry","151 Cost Amount (Expected)","41 Source Type",$C$5,"5 Source No.",$C2964,"4 Item Ledger Entry Type",$C$4,"2 Item No.","@@"&amp;$F2964,"3 Posting Date",J$9)-NL("Sum","5802 Value Entry","43 Cost Amount (Actual)","41 Source Type",$C$5,"5 Source no.",$C2964,"4 Item Ledger Entry Type",$C$4,"2 Item No.","@@"&amp;$F2964,"3 Posting Date",J$9)</t>
  </si>
  <si>
    <t>=J2964-L2964</t>
  </si>
  <si>
    <t>=IF(J2964&lt;&gt;0,M2964/J2964,"")</t>
  </si>
  <si>
    <t>=NL("Sum","5802 Value Entry","150 Sales Amount (Expected)","41 Source Type",$C$5,"5 Source No.",$C2964,"4 Item Ledger Entry Type",$C$4,"2 Item No.","@@"&amp;$F2964,"3 Posting Date",O$9)+NL("Sum","5802 Value Entry","17 Sales Amount (Actual)","41 Source Type",$C$5,"5 Source no.",$C2964,"4 Item Ledger Entry Type",$C$4,"2 Item No.","@@"&amp;$F2964,"3 Posting Date",O$9)</t>
  </si>
  <si>
    <t>=-NL("Sum","5802 Value Entry","151 Cost Amount (Expected)","41 Source Type",$C$5,"5 Source No.",$C2964,"4 Item Ledger Entry Type",$C$4,"2 Item No.","@@"&amp;$F2964,"3 Posting Date",O$9)-NL("Sum","5802 Value Entry","43 Cost Amount (Actual)","41 Source Type",$C$5,"5 Source no.",$C2964,"4 Item Ledger Entry Type",$C$4,"2 Item No.","@@"&amp;$F2964,"3 Posting Date",O$9)</t>
  </si>
  <si>
    <t>=O2964-Q2964</t>
  </si>
  <si>
    <t>=IF(O2964&lt;&gt;0,R2964/O2964,"")</t>
  </si>
  <si>
    <t>=NL("Sum","5802 Value Entry","150 Sales Amount (Expected)","41 Source Type",$C$5,"5 Source No.",$C2964,"4 Item Ledger Entry Type",$C$4,"2 Item No.","@@"&amp;$F2964,"3 Posting Date",U$9)+NL("Sum","5802 Value Entry","17 Sales Amount (Actual)","41 Source Type",$C$5,"5 Source no.",$C2964,"4 Item Ledger Entry Type",$C$4,"2 Item No.","@@"&amp;$F2964,"3 Posting Date",U$9)</t>
  </si>
  <si>
    <t>=-NL("Sum","5802 Value Entry","151 Cost Amount (Expected)","41 Source Type",$C$5,"5 Source No.",$C2964,"4 Item Ledger Entry Type",$C$4,"2 Item No.","@@"&amp;$F2964,"3 Posting Date",U$9)-NL("Sum","5802 Value Entry","43 Cost Amount (Actual)","41 Source Type",$C$5,"5 Source no.",$C2964,"4 Item Ledger Entry Type",$C$4,"2 Item No.","@@"&amp;$F2964,"3 Posting Date",U$9)</t>
  </si>
  <si>
    <t>=U2964-W2964</t>
  </si>
  <si>
    <t>=IF(U2964&lt;&gt;0,X2964/U2964,"")</t>
  </si>
  <si>
    <t>=NL("Sum","5802 Value Entry","150 Sales Amount (Expected)","41 Source Type",$C$5,"5 Source No.",$C2964,"4 Item Ledger Entry Type",$C$4,"2 Item No.","@@"&amp;$F2964,"3 Posting Date",Z$9)+NL("Sum","5802 Value Entry","17 Sales Amount (Actual)","41 Source Type",$C$5,"5 Source no.",$C2964,"4 Item Ledger Entry Type",$C$4,"2 Item No.","@@"&amp;$F2964,"3 Posting Date",Z$9)</t>
  </si>
  <si>
    <t>=-NL("Sum","5802 Value Entry","151 Cost Amount (Expected)","41 Source Type",$C$5,"5 Source No.",$C2964,"4 Item Ledger Entry Type",$C$4,"2 Item No.","@@"&amp;$F2964,"3 Posting Date",Z$9)-NL("Sum","5802 Value Entry","43 Cost Amount (Actual)","41 Source Type",$C$5,"5 Source no.",$C2964,"4 Item Ledger Entry Type",$C$4,"2 Item No.","@@"&amp;$F2964,"3 Posting Date",Z$9)</t>
  </si>
  <si>
    <t>=Z2964-AB2964</t>
  </si>
  <si>
    <t>=IF(Z2964&lt;&gt;0,AC2964/Z2964,"")</t>
  </si>
  <si>
    <t>=C2964</t>
  </si>
  <si>
    <t>=NL("Sum","5802 Value Entry","150 Sales Amount (Expected)","41 Source Type",$C$5,"5 Source No.",$C2965,"4 Item Ledger Entry Type",$C$4,"2 Item No.","@@"&amp;$F2965,"3 Posting Date",J$9)+NL("Sum","5802 Value Entry","17 Sales Amount (Actual)","41 Source Type",$C$5,"5 Source no.",$C2965,"4 Item Ledger Entry Type",$C$4,"2 Item No.","@@"&amp;$F2965,"3 Posting Date",J$9)</t>
  </si>
  <si>
    <t>=-NL("Sum","5802 Value Entry","151 Cost Amount (Expected)","41 Source Type",$C$5,"5 Source No.",$C2965,"4 Item Ledger Entry Type",$C$4,"2 Item No.","@@"&amp;$F2965,"3 Posting Date",J$9)-NL("Sum","5802 Value Entry","43 Cost Amount (Actual)","41 Source Type",$C$5,"5 Source no.",$C2965,"4 Item Ledger Entry Type",$C$4,"2 Item No.","@@"&amp;$F2965,"3 Posting Date",J$9)</t>
  </si>
  <si>
    <t>=J2965-L2965</t>
  </si>
  <si>
    <t>=IF(J2965&lt;&gt;0,M2965/J2965,"")</t>
  </si>
  <si>
    <t>=NL("Sum","5802 Value Entry","150 Sales Amount (Expected)","41 Source Type",$C$5,"5 Source No.",$C2965,"4 Item Ledger Entry Type",$C$4,"2 Item No.","@@"&amp;$F2965,"3 Posting Date",O$9)+NL("Sum","5802 Value Entry","17 Sales Amount (Actual)","41 Source Type",$C$5,"5 Source no.",$C2965,"4 Item Ledger Entry Type",$C$4,"2 Item No.","@@"&amp;$F2965,"3 Posting Date",O$9)</t>
  </si>
  <si>
    <t>=-NL("Sum","5802 Value Entry","151 Cost Amount (Expected)","41 Source Type",$C$5,"5 Source No.",$C2965,"4 Item Ledger Entry Type",$C$4,"2 Item No.","@@"&amp;$F2965,"3 Posting Date",O$9)-NL("Sum","5802 Value Entry","43 Cost Amount (Actual)","41 Source Type",$C$5,"5 Source no.",$C2965,"4 Item Ledger Entry Type",$C$4,"2 Item No.","@@"&amp;$F2965,"3 Posting Date",O$9)</t>
  </si>
  <si>
    <t>=O2965-Q2965</t>
  </si>
  <si>
    <t>=IF(O2965&lt;&gt;0,R2965/O2965,"")</t>
  </si>
  <si>
    <t>=NL("Sum","5802 Value Entry","150 Sales Amount (Expected)","41 Source Type",$C$5,"5 Source No.",$C2965,"4 Item Ledger Entry Type",$C$4,"2 Item No.","@@"&amp;$F2965,"3 Posting Date",U$9)+NL("Sum","5802 Value Entry","17 Sales Amount (Actual)","41 Source Type",$C$5,"5 Source no.",$C2965,"4 Item Ledger Entry Type",$C$4,"2 Item No.","@@"&amp;$F2965,"3 Posting Date",U$9)</t>
  </si>
  <si>
    <t>=-NL("Sum","5802 Value Entry","151 Cost Amount (Expected)","41 Source Type",$C$5,"5 Source No.",$C2965,"4 Item Ledger Entry Type",$C$4,"2 Item No.","@@"&amp;$F2965,"3 Posting Date",U$9)-NL("Sum","5802 Value Entry","43 Cost Amount (Actual)","41 Source Type",$C$5,"5 Source no.",$C2965,"4 Item Ledger Entry Type",$C$4,"2 Item No.","@@"&amp;$F2965,"3 Posting Date",U$9)</t>
  </si>
  <si>
    <t>=U2965-W2965</t>
  </si>
  <si>
    <t>=IF(U2965&lt;&gt;0,X2965/U2965,"")</t>
  </si>
  <si>
    <t>=NL("Sum","5802 Value Entry","150 Sales Amount (Expected)","41 Source Type",$C$5,"5 Source No.",$C2965,"4 Item Ledger Entry Type",$C$4,"2 Item No.","@@"&amp;$F2965,"3 Posting Date",Z$9)+NL("Sum","5802 Value Entry","17 Sales Amount (Actual)","41 Source Type",$C$5,"5 Source no.",$C2965,"4 Item Ledger Entry Type",$C$4,"2 Item No.","@@"&amp;$F2965,"3 Posting Date",Z$9)</t>
  </si>
  <si>
    <t>=-NL("Sum","5802 Value Entry","151 Cost Amount (Expected)","41 Source Type",$C$5,"5 Source No.",$C2965,"4 Item Ledger Entry Type",$C$4,"2 Item No.","@@"&amp;$F2965,"3 Posting Date",Z$9)-NL("Sum","5802 Value Entry","43 Cost Amount (Actual)","41 Source Type",$C$5,"5 Source no.",$C2965,"4 Item Ledger Entry Type",$C$4,"2 Item No.","@@"&amp;$F2965,"3 Posting Date",Z$9)</t>
  </si>
  <si>
    <t>=Z2965-AB2965</t>
  </si>
  <si>
    <t>=IF(Z2965&lt;&gt;0,AC2965/Z2965,"")</t>
  </si>
  <si>
    <t>=C2965</t>
  </si>
  <si>
    <t>=NL("Sum","5802 Value Entry","150 Sales Amount (Expected)","41 Source Type",$C$5,"5 Source No.",$C2966,"4 Item Ledger Entry Type",$C$4,"2 Item No.","@@"&amp;$F2966,"3 Posting Date",J$9)+NL("Sum","5802 Value Entry","17 Sales Amount (Actual)","41 Source Type",$C$5,"5 Source no.",$C2966,"4 Item Ledger Entry Type",$C$4,"2 Item No.","@@"&amp;$F2966,"3 Posting Date",J$9)</t>
  </si>
  <si>
    <t>=-NL("Sum","5802 Value Entry","151 Cost Amount (Expected)","41 Source Type",$C$5,"5 Source No.",$C2966,"4 Item Ledger Entry Type",$C$4,"2 Item No.","@@"&amp;$F2966,"3 Posting Date",J$9)-NL("Sum","5802 Value Entry","43 Cost Amount (Actual)","41 Source Type",$C$5,"5 Source no.",$C2966,"4 Item Ledger Entry Type",$C$4,"2 Item No.","@@"&amp;$F2966,"3 Posting Date",J$9)</t>
  </si>
  <si>
    <t>=J2966-L2966</t>
  </si>
  <si>
    <t>=IF(J2966&lt;&gt;0,M2966/J2966,"")</t>
  </si>
  <si>
    <t>=NL("Sum","5802 Value Entry","150 Sales Amount (Expected)","41 Source Type",$C$5,"5 Source No.",$C2966,"4 Item Ledger Entry Type",$C$4,"2 Item No.","@@"&amp;$F2966,"3 Posting Date",O$9)+NL("Sum","5802 Value Entry","17 Sales Amount (Actual)","41 Source Type",$C$5,"5 Source no.",$C2966,"4 Item Ledger Entry Type",$C$4,"2 Item No.","@@"&amp;$F2966,"3 Posting Date",O$9)</t>
  </si>
  <si>
    <t>=-NL("Sum","5802 Value Entry","151 Cost Amount (Expected)","41 Source Type",$C$5,"5 Source No.",$C2966,"4 Item Ledger Entry Type",$C$4,"2 Item No.","@@"&amp;$F2966,"3 Posting Date",O$9)-NL("Sum","5802 Value Entry","43 Cost Amount (Actual)","41 Source Type",$C$5,"5 Source no.",$C2966,"4 Item Ledger Entry Type",$C$4,"2 Item No.","@@"&amp;$F2966,"3 Posting Date",O$9)</t>
  </si>
  <si>
    <t>=O2966-Q2966</t>
  </si>
  <si>
    <t>=IF(O2966&lt;&gt;0,R2966/O2966,"")</t>
  </si>
  <si>
    <t>=NL("Sum","5802 Value Entry","150 Sales Amount (Expected)","41 Source Type",$C$5,"5 Source No.",$C2966,"4 Item Ledger Entry Type",$C$4,"2 Item No.","@@"&amp;$F2966,"3 Posting Date",U$9)+NL("Sum","5802 Value Entry","17 Sales Amount (Actual)","41 Source Type",$C$5,"5 Source no.",$C2966,"4 Item Ledger Entry Type",$C$4,"2 Item No.","@@"&amp;$F2966,"3 Posting Date",U$9)</t>
  </si>
  <si>
    <t>=-NL("Sum","5802 Value Entry","151 Cost Amount (Expected)","41 Source Type",$C$5,"5 Source No.",$C2966,"4 Item Ledger Entry Type",$C$4,"2 Item No.","@@"&amp;$F2966,"3 Posting Date",U$9)-NL("Sum","5802 Value Entry","43 Cost Amount (Actual)","41 Source Type",$C$5,"5 Source no.",$C2966,"4 Item Ledger Entry Type",$C$4,"2 Item No.","@@"&amp;$F2966,"3 Posting Date",U$9)</t>
  </si>
  <si>
    <t>=U2966-W2966</t>
  </si>
  <si>
    <t>=IF(U2966&lt;&gt;0,X2966/U2966,"")</t>
  </si>
  <si>
    <t>=NL("Sum","5802 Value Entry","150 Sales Amount (Expected)","41 Source Type",$C$5,"5 Source No.",$C2966,"4 Item Ledger Entry Type",$C$4,"2 Item No.","@@"&amp;$F2966,"3 Posting Date",Z$9)+NL("Sum","5802 Value Entry","17 Sales Amount (Actual)","41 Source Type",$C$5,"5 Source no.",$C2966,"4 Item Ledger Entry Type",$C$4,"2 Item No.","@@"&amp;$F2966,"3 Posting Date",Z$9)</t>
  </si>
  <si>
    <t>=-NL("Sum","5802 Value Entry","151 Cost Amount (Expected)","41 Source Type",$C$5,"5 Source No.",$C2966,"4 Item Ledger Entry Type",$C$4,"2 Item No.","@@"&amp;$F2966,"3 Posting Date",Z$9)-NL("Sum","5802 Value Entry","43 Cost Amount (Actual)","41 Source Type",$C$5,"5 Source no.",$C2966,"4 Item Ledger Entry Type",$C$4,"2 Item No.","@@"&amp;$F2966,"3 Posting Date",Z$9)</t>
  </si>
  <si>
    <t>=Z2966-AB2966</t>
  </si>
  <si>
    <t>=IF(Z2966&lt;&gt;0,AC2966/Z2966,"")</t>
  </si>
  <si>
    <t>=C2966</t>
  </si>
  <si>
    <t>=NL("Sum","5802 Value Entry","150 Sales Amount (Expected)","41 Source Type",$C$5,"5 Source No.",$C2967,"4 Item Ledger Entry Type",$C$4,"2 Item No.","@@"&amp;$F2967,"3 Posting Date",J$9)+NL("Sum","5802 Value Entry","17 Sales Amount (Actual)","41 Source Type",$C$5,"5 Source no.",$C2967,"4 Item Ledger Entry Type",$C$4,"2 Item No.","@@"&amp;$F2967,"3 Posting Date",J$9)</t>
  </si>
  <si>
    <t>=-NL("Sum","5802 Value Entry","151 Cost Amount (Expected)","41 Source Type",$C$5,"5 Source No.",$C2967,"4 Item Ledger Entry Type",$C$4,"2 Item No.","@@"&amp;$F2967,"3 Posting Date",J$9)-NL("Sum","5802 Value Entry","43 Cost Amount (Actual)","41 Source Type",$C$5,"5 Source no.",$C2967,"4 Item Ledger Entry Type",$C$4,"2 Item No.","@@"&amp;$F2967,"3 Posting Date",J$9)</t>
  </si>
  <si>
    <t>=J2967-L2967</t>
  </si>
  <si>
    <t>=IF(J2967&lt;&gt;0,M2967/J2967,"")</t>
  </si>
  <si>
    <t>=NL("Sum","5802 Value Entry","150 Sales Amount (Expected)","41 Source Type",$C$5,"5 Source No.",$C2967,"4 Item Ledger Entry Type",$C$4,"2 Item No.","@@"&amp;$F2967,"3 Posting Date",O$9)+NL("Sum","5802 Value Entry","17 Sales Amount (Actual)","41 Source Type",$C$5,"5 Source no.",$C2967,"4 Item Ledger Entry Type",$C$4,"2 Item No.","@@"&amp;$F2967,"3 Posting Date",O$9)</t>
  </si>
  <si>
    <t>=-NL("Sum","5802 Value Entry","151 Cost Amount (Expected)","41 Source Type",$C$5,"5 Source No.",$C2967,"4 Item Ledger Entry Type",$C$4,"2 Item No.","@@"&amp;$F2967,"3 Posting Date",O$9)-NL("Sum","5802 Value Entry","43 Cost Amount (Actual)","41 Source Type",$C$5,"5 Source no.",$C2967,"4 Item Ledger Entry Type",$C$4,"2 Item No.","@@"&amp;$F2967,"3 Posting Date",O$9)</t>
  </si>
  <si>
    <t>=O2967-Q2967</t>
  </si>
  <si>
    <t>=IF(O2967&lt;&gt;0,R2967/O2967,"")</t>
  </si>
  <si>
    <t>=NL("Sum","5802 Value Entry","150 Sales Amount (Expected)","41 Source Type",$C$5,"5 Source No.",$C2967,"4 Item Ledger Entry Type",$C$4,"2 Item No.","@@"&amp;$F2967,"3 Posting Date",U$9)+NL("Sum","5802 Value Entry","17 Sales Amount (Actual)","41 Source Type",$C$5,"5 Source no.",$C2967,"4 Item Ledger Entry Type",$C$4,"2 Item No.","@@"&amp;$F2967,"3 Posting Date",U$9)</t>
  </si>
  <si>
    <t>=-NL("Sum","5802 Value Entry","151 Cost Amount (Expected)","41 Source Type",$C$5,"5 Source No.",$C2967,"4 Item Ledger Entry Type",$C$4,"2 Item No.","@@"&amp;$F2967,"3 Posting Date",U$9)-NL("Sum","5802 Value Entry","43 Cost Amount (Actual)","41 Source Type",$C$5,"5 Source no.",$C2967,"4 Item Ledger Entry Type",$C$4,"2 Item No.","@@"&amp;$F2967,"3 Posting Date",U$9)</t>
  </si>
  <si>
    <t>=U2967-W2967</t>
  </si>
  <si>
    <t>=IF(U2967&lt;&gt;0,X2967/U2967,"")</t>
  </si>
  <si>
    <t>=NL("Sum","5802 Value Entry","150 Sales Amount (Expected)","41 Source Type",$C$5,"5 Source No.",$C2967,"4 Item Ledger Entry Type",$C$4,"2 Item No.","@@"&amp;$F2967,"3 Posting Date",Z$9)+NL("Sum","5802 Value Entry","17 Sales Amount (Actual)","41 Source Type",$C$5,"5 Source no.",$C2967,"4 Item Ledger Entry Type",$C$4,"2 Item No.","@@"&amp;$F2967,"3 Posting Date",Z$9)</t>
  </si>
  <si>
    <t>=-NL("Sum","5802 Value Entry","151 Cost Amount (Expected)","41 Source Type",$C$5,"5 Source No.",$C2967,"4 Item Ledger Entry Type",$C$4,"2 Item No.","@@"&amp;$F2967,"3 Posting Date",Z$9)-NL("Sum","5802 Value Entry","43 Cost Amount (Actual)","41 Source Type",$C$5,"5 Source no.",$C2967,"4 Item Ledger Entry Type",$C$4,"2 Item No.","@@"&amp;$F2967,"3 Posting Date",Z$9)</t>
  </si>
  <si>
    <t>=Z2967-AB2967</t>
  </si>
  <si>
    <t>=IF(Z2967&lt;&gt;0,AC2967/Z2967,"")</t>
  </si>
  <si>
    <t>=C2967</t>
  </si>
  <si>
    <t>=NL("Sum","5802 Value Entry","150 Sales Amount (Expected)","41 Source Type",$C$5,"5 Source No.",$C2968,"4 Item Ledger Entry Type",$C$4,"2 Item No.","@@"&amp;$F2968,"3 Posting Date",J$9)+NL("Sum","5802 Value Entry","17 Sales Amount (Actual)","41 Source Type",$C$5,"5 Source no.",$C2968,"4 Item Ledger Entry Type",$C$4,"2 Item No.","@@"&amp;$F2968,"3 Posting Date",J$9)</t>
  </si>
  <si>
    <t>=-NL("Sum","5802 Value Entry","151 Cost Amount (Expected)","41 Source Type",$C$5,"5 Source No.",$C2968,"4 Item Ledger Entry Type",$C$4,"2 Item No.","@@"&amp;$F2968,"3 Posting Date",J$9)-NL("Sum","5802 Value Entry","43 Cost Amount (Actual)","41 Source Type",$C$5,"5 Source no.",$C2968,"4 Item Ledger Entry Type",$C$4,"2 Item No.","@@"&amp;$F2968,"3 Posting Date",J$9)</t>
  </si>
  <si>
    <t>=J2968-L2968</t>
  </si>
  <si>
    <t>=IF(J2968&lt;&gt;0,M2968/J2968,"")</t>
  </si>
  <si>
    <t>=NL("Sum","5802 Value Entry","150 Sales Amount (Expected)","41 Source Type",$C$5,"5 Source No.",$C2968,"4 Item Ledger Entry Type",$C$4,"2 Item No.","@@"&amp;$F2968,"3 Posting Date",O$9)+NL("Sum","5802 Value Entry","17 Sales Amount (Actual)","41 Source Type",$C$5,"5 Source no.",$C2968,"4 Item Ledger Entry Type",$C$4,"2 Item No.","@@"&amp;$F2968,"3 Posting Date",O$9)</t>
  </si>
  <si>
    <t>=-NL("Sum","5802 Value Entry","151 Cost Amount (Expected)","41 Source Type",$C$5,"5 Source No.",$C2968,"4 Item Ledger Entry Type",$C$4,"2 Item No.","@@"&amp;$F2968,"3 Posting Date",O$9)-NL("Sum","5802 Value Entry","43 Cost Amount (Actual)","41 Source Type",$C$5,"5 Source no.",$C2968,"4 Item Ledger Entry Type",$C$4,"2 Item No.","@@"&amp;$F2968,"3 Posting Date",O$9)</t>
  </si>
  <si>
    <t>=O2968-Q2968</t>
  </si>
  <si>
    <t>=IF(O2968&lt;&gt;0,R2968/O2968,"")</t>
  </si>
  <si>
    <t>=NL("Sum","5802 Value Entry","150 Sales Amount (Expected)","41 Source Type",$C$5,"5 Source No.",$C2968,"4 Item Ledger Entry Type",$C$4,"2 Item No.","@@"&amp;$F2968,"3 Posting Date",U$9)+NL("Sum","5802 Value Entry","17 Sales Amount (Actual)","41 Source Type",$C$5,"5 Source no.",$C2968,"4 Item Ledger Entry Type",$C$4,"2 Item No.","@@"&amp;$F2968,"3 Posting Date",U$9)</t>
  </si>
  <si>
    <t>=-NL("Sum","5802 Value Entry","151 Cost Amount (Expected)","41 Source Type",$C$5,"5 Source No.",$C2968,"4 Item Ledger Entry Type",$C$4,"2 Item No.","@@"&amp;$F2968,"3 Posting Date",U$9)-NL("Sum","5802 Value Entry","43 Cost Amount (Actual)","41 Source Type",$C$5,"5 Source no.",$C2968,"4 Item Ledger Entry Type",$C$4,"2 Item No.","@@"&amp;$F2968,"3 Posting Date",U$9)</t>
  </si>
  <si>
    <t>=U2968-W2968</t>
  </si>
  <si>
    <t>=IF(U2968&lt;&gt;0,X2968/U2968,"")</t>
  </si>
  <si>
    <t>=NL("Sum","5802 Value Entry","150 Sales Amount (Expected)","41 Source Type",$C$5,"5 Source No.",$C2968,"4 Item Ledger Entry Type",$C$4,"2 Item No.","@@"&amp;$F2968,"3 Posting Date",Z$9)+NL("Sum","5802 Value Entry","17 Sales Amount (Actual)","41 Source Type",$C$5,"5 Source no.",$C2968,"4 Item Ledger Entry Type",$C$4,"2 Item No.","@@"&amp;$F2968,"3 Posting Date",Z$9)</t>
  </si>
  <si>
    <t>=-NL("Sum","5802 Value Entry","151 Cost Amount (Expected)","41 Source Type",$C$5,"5 Source No.",$C2968,"4 Item Ledger Entry Type",$C$4,"2 Item No.","@@"&amp;$F2968,"3 Posting Date",Z$9)-NL("Sum","5802 Value Entry","43 Cost Amount (Actual)","41 Source Type",$C$5,"5 Source no.",$C2968,"4 Item Ledger Entry Type",$C$4,"2 Item No.","@@"&amp;$F2968,"3 Posting Date",Z$9)</t>
  </si>
  <si>
    <t>=Z2968-AB2968</t>
  </si>
  <si>
    <t>=IF(Z2968&lt;&gt;0,AC2968/Z2968,"")</t>
  </si>
  <si>
    <t>=C2968</t>
  </si>
  <si>
    <t>=NL("Sum","5802 Value Entry","150 Sales Amount (Expected)","41 Source Type",$C$5,"5 Source No.",$C2969,"4 Item Ledger Entry Type",$C$4,"2 Item No.","@@"&amp;$F2969,"3 Posting Date",J$9)+NL("Sum","5802 Value Entry","17 Sales Amount (Actual)","41 Source Type",$C$5,"5 Source no.",$C2969,"4 Item Ledger Entry Type",$C$4,"2 Item No.","@@"&amp;$F2969,"3 Posting Date",J$9)</t>
  </si>
  <si>
    <t>=-NL("Sum","5802 Value Entry","151 Cost Amount (Expected)","41 Source Type",$C$5,"5 Source No.",$C2969,"4 Item Ledger Entry Type",$C$4,"2 Item No.","@@"&amp;$F2969,"3 Posting Date",J$9)-NL("Sum","5802 Value Entry","43 Cost Amount (Actual)","41 Source Type",$C$5,"5 Source no.",$C2969,"4 Item Ledger Entry Type",$C$4,"2 Item No.","@@"&amp;$F2969,"3 Posting Date",J$9)</t>
  </si>
  <si>
    <t>=J2969-L2969</t>
  </si>
  <si>
    <t>=IF(J2969&lt;&gt;0,M2969/J2969,"")</t>
  </si>
  <si>
    <t>=NL("Sum","5802 Value Entry","150 Sales Amount (Expected)","41 Source Type",$C$5,"5 Source No.",$C2969,"4 Item Ledger Entry Type",$C$4,"2 Item No.","@@"&amp;$F2969,"3 Posting Date",O$9)+NL("Sum","5802 Value Entry","17 Sales Amount (Actual)","41 Source Type",$C$5,"5 Source no.",$C2969,"4 Item Ledger Entry Type",$C$4,"2 Item No.","@@"&amp;$F2969,"3 Posting Date",O$9)</t>
  </si>
  <si>
    <t>=-NL("Sum","5802 Value Entry","151 Cost Amount (Expected)","41 Source Type",$C$5,"5 Source No.",$C2969,"4 Item Ledger Entry Type",$C$4,"2 Item No.","@@"&amp;$F2969,"3 Posting Date",O$9)-NL("Sum","5802 Value Entry","43 Cost Amount (Actual)","41 Source Type",$C$5,"5 Source no.",$C2969,"4 Item Ledger Entry Type",$C$4,"2 Item No.","@@"&amp;$F2969,"3 Posting Date",O$9)</t>
  </si>
  <si>
    <t>=O2969-Q2969</t>
  </si>
  <si>
    <t>=IF(O2969&lt;&gt;0,R2969/O2969,"")</t>
  </si>
  <si>
    <t>=NL("Sum","5802 Value Entry","150 Sales Amount (Expected)","41 Source Type",$C$5,"5 Source No.",$C2969,"4 Item Ledger Entry Type",$C$4,"2 Item No.","@@"&amp;$F2969,"3 Posting Date",U$9)+NL("Sum","5802 Value Entry","17 Sales Amount (Actual)","41 Source Type",$C$5,"5 Source no.",$C2969,"4 Item Ledger Entry Type",$C$4,"2 Item No.","@@"&amp;$F2969,"3 Posting Date",U$9)</t>
  </si>
  <si>
    <t>=-NL("Sum","5802 Value Entry","151 Cost Amount (Expected)","41 Source Type",$C$5,"5 Source No.",$C2969,"4 Item Ledger Entry Type",$C$4,"2 Item No.","@@"&amp;$F2969,"3 Posting Date",U$9)-NL("Sum","5802 Value Entry","43 Cost Amount (Actual)","41 Source Type",$C$5,"5 Source no.",$C2969,"4 Item Ledger Entry Type",$C$4,"2 Item No.","@@"&amp;$F2969,"3 Posting Date",U$9)</t>
  </si>
  <si>
    <t>=U2969-W2969</t>
  </si>
  <si>
    <t>=IF(U2969&lt;&gt;0,X2969/U2969,"")</t>
  </si>
  <si>
    <t>=NL("Sum","5802 Value Entry","150 Sales Amount (Expected)","41 Source Type",$C$5,"5 Source No.",$C2969,"4 Item Ledger Entry Type",$C$4,"2 Item No.","@@"&amp;$F2969,"3 Posting Date",Z$9)+NL("Sum","5802 Value Entry","17 Sales Amount (Actual)","41 Source Type",$C$5,"5 Source no.",$C2969,"4 Item Ledger Entry Type",$C$4,"2 Item No.","@@"&amp;$F2969,"3 Posting Date",Z$9)</t>
  </si>
  <si>
    <t>=-NL("Sum","5802 Value Entry","151 Cost Amount (Expected)","41 Source Type",$C$5,"5 Source No.",$C2969,"4 Item Ledger Entry Type",$C$4,"2 Item No.","@@"&amp;$F2969,"3 Posting Date",Z$9)-NL("Sum","5802 Value Entry","43 Cost Amount (Actual)","41 Source Type",$C$5,"5 Source no.",$C2969,"4 Item Ledger Entry Type",$C$4,"2 Item No.","@@"&amp;$F2969,"3 Posting Date",Z$9)</t>
  </si>
  <si>
    <t>=Z2969-AB2969</t>
  </si>
  <si>
    <t>=IF(Z2969&lt;&gt;0,AC2969/Z2969,"")</t>
  </si>
  <si>
    <t>=C2969</t>
  </si>
  <si>
    <t>=NL("Sum","5802 Value Entry","150 Sales Amount (Expected)","41 Source Type",$C$5,"5 Source No.",$C2970,"4 Item Ledger Entry Type",$C$4,"2 Item No.","@@"&amp;$F2970,"3 Posting Date",J$9)+NL("Sum","5802 Value Entry","17 Sales Amount (Actual)","41 Source Type",$C$5,"5 Source no.",$C2970,"4 Item Ledger Entry Type",$C$4,"2 Item No.","@@"&amp;$F2970,"3 Posting Date",J$9)</t>
  </si>
  <si>
    <t>=-NL("Sum","5802 Value Entry","151 Cost Amount (Expected)","41 Source Type",$C$5,"5 Source No.",$C2970,"4 Item Ledger Entry Type",$C$4,"2 Item No.","@@"&amp;$F2970,"3 Posting Date",J$9)-NL("Sum","5802 Value Entry","43 Cost Amount (Actual)","41 Source Type",$C$5,"5 Source no.",$C2970,"4 Item Ledger Entry Type",$C$4,"2 Item No.","@@"&amp;$F2970,"3 Posting Date",J$9)</t>
  </si>
  <si>
    <t>=J2970-L2970</t>
  </si>
  <si>
    <t>=IF(J2970&lt;&gt;0,M2970/J2970,"")</t>
  </si>
  <si>
    <t>=NL("Sum","5802 Value Entry","150 Sales Amount (Expected)","41 Source Type",$C$5,"5 Source No.",$C2970,"4 Item Ledger Entry Type",$C$4,"2 Item No.","@@"&amp;$F2970,"3 Posting Date",O$9)+NL("Sum","5802 Value Entry","17 Sales Amount (Actual)","41 Source Type",$C$5,"5 Source no.",$C2970,"4 Item Ledger Entry Type",$C$4,"2 Item No.","@@"&amp;$F2970,"3 Posting Date",O$9)</t>
  </si>
  <si>
    <t>=-NL("Sum","5802 Value Entry","151 Cost Amount (Expected)","41 Source Type",$C$5,"5 Source No.",$C2970,"4 Item Ledger Entry Type",$C$4,"2 Item No.","@@"&amp;$F2970,"3 Posting Date",O$9)-NL("Sum","5802 Value Entry","43 Cost Amount (Actual)","41 Source Type",$C$5,"5 Source no.",$C2970,"4 Item Ledger Entry Type",$C$4,"2 Item No.","@@"&amp;$F2970,"3 Posting Date",O$9)</t>
  </si>
  <si>
    <t>=O2970-Q2970</t>
  </si>
  <si>
    <t>=IF(O2970&lt;&gt;0,R2970/O2970,"")</t>
  </si>
  <si>
    <t>=NL("Sum","5802 Value Entry","150 Sales Amount (Expected)","41 Source Type",$C$5,"5 Source No.",$C2970,"4 Item Ledger Entry Type",$C$4,"2 Item No.","@@"&amp;$F2970,"3 Posting Date",U$9)+NL("Sum","5802 Value Entry","17 Sales Amount (Actual)","41 Source Type",$C$5,"5 Source no.",$C2970,"4 Item Ledger Entry Type",$C$4,"2 Item No.","@@"&amp;$F2970,"3 Posting Date",U$9)</t>
  </si>
  <si>
    <t>=-NL("Sum","5802 Value Entry","151 Cost Amount (Expected)","41 Source Type",$C$5,"5 Source No.",$C2970,"4 Item Ledger Entry Type",$C$4,"2 Item No.","@@"&amp;$F2970,"3 Posting Date",U$9)-NL("Sum","5802 Value Entry","43 Cost Amount (Actual)","41 Source Type",$C$5,"5 Source no.",$C2970,"4 Item Ledger Entry Type",$C$4,"2 Item No.","@@"&amp;$F2970,"3 Posting Date",U$9)</t>
  </si>
  <si>
    <t>=U2970-W2970</t>
  </si>
  <si>
    <t>=IF(U2970&lt;&gt;0,X2970/U2970,"")</t>
  </si>
  <si>
    <t>=NL("Sum","5802 Value Entry","150 Sales Amount (Expected)","41 Source Type",$C$5,"5 Source No.",$C2970,"4 Item Ledger Entry Type",$C$4,"2 Item No.","@@"&amp;$F2970,"3 Posting Date",Z$9)+NL("Sum","5802 Value Entry","17 Sales Amount (Actual)","41 Source Type",$C$5,"5 Source no.",$C2970,"4 Item Ledger Entry Type",$C$4,"2 Item No.","@@"&amp;$F2970,"3 Posting Date",Z$9)</t>
  </si>
  <si>
    <t>=-NL("Sum","5802 Value Entry","151 Cost Amount (Expected)","41 Source Type",$C$5,"5 Source No.",$C2970,"4 Item Ledger Entry Type",$C$4,"2 Item No.","@@"&amp;$F2970,"3 Posting Date",Z$9)-NL("Sum","5802 Value Entry","43 Cost Amount (Actual)","41 Source Type",$C$5,"5 Source no.",$C2970,"4 Item Ledger Entry Type",$C$4,"2 Item No.","@@"&amp;$F2970,"3 Posting Date",Z$9)</t>
  </si>
  <si>
    <t>=Z2970-AB2970</t>
  </si>
  <si>
    <t>=IF(Z2970&lt;&gt;0,AC2970/Z2970,"")</t>
  </si>
  <si>
    <t>=C2971</t>
  </si>
  <si>
    <t>=J2972-L2972</t>
  </si>
  <si>
    <t>=IF(J2972&lt;&gt;0,M2972/J2972,"")</t>
  </si>
  <si>
    <t>=O2972-Q2972</t>
  </si>
  <si>
    <t>=IF(O2972&lt;&gt;0,R2972/O2972,"")</t>
  </si>
  <si>
    <t>=U2972-W2972</t>
  </si>
  <si>
    <t>=IF(U2972&lt;&gt;0,X2972/U2972,"")</t>
  </si>
  <si>
    <t>=Z2972-AB2972</t>
  </si>
  <si>
    <t>=IF(Z2972&lt;&gt;0,AC2972/Z2972,"")</t>
  </si>
  <si>
    <t>="C100126"</t>
  </si>
  <si>
    <t>=C2974</t>
  </si>
  <si>
    <t>=C2975</t>
  </si>
  <si>
    <t>=NL("Sum","5802 Value Entry","150 Sales Amount (Expected)","41 Source Type",$C$5,"5 Source No.",$C2976,"4 Item Ledger Entry Type",$C$4,"2 Item No.","@@"&amp;$F2976,"3 Posting Date",J$9)+NL("Sum","5802 Value Entry","17 Sales Amount (Actual)","41 Source Type",$C$5,"5 Source no.",$C2976,"4 Item Ledger Entry Type",$C$4,"2 Item No.","@@"&amp;$F2976,"3 Posting Date",J$9)</t>
  </si>
  <si>
    <t>=-NL("Sum","5802 Value Entry","151 Cost Amount (Expected)","41 Source Type",$C$5,"5 Source No.",$C2976,"4 Item Ledger Entry Type",$C$4,"2 Item No.","@@"&amp;$F2976,"3 Posting Date",J$9)-NL("Sum","5802 Value Entry","43 Cost Amount (Actual)","41 Source Type",$C$5,"5 Source no.",$C2976,"4 Item Ledger Entry Type",$C$4,"2 Item No.","@@"&amp;$F2976,"3 Posting Date",J$9)</t>
  </si>
  <si>
    <t>=J2976-L2976</t>
  </si>
  <si>
    <t>=IF(J2976&lt;&gt;0,M2976/J2976,"")</t>
  </si>
  <si>
    <t>=NL("Sum","5802 Value Entry","150 Sales Amount (Expected)","41 Source Type",$C$5,"5 Source No.",$C2976,"4 Item Ledger Entry Type",$C$4,"2 Item No.","@@"&amp;$F2976,"3 Posting Date",O$9)+NL("Sum","5802 Value Entry","17 Sales Amount (Actual)","41 Source Type",$C$5,"5 Source no.",$C2976,"4 Item Ledger Entry Type",$C$4,"2 Item No.","@@"&amp;$F2976,"3 Posting Date",O$9)</t>
  </si>
  <si>
    <t>=-NL("Sum","5802 Value Entry","151 Cost Amount (Expected)","41 Source Type",$C$5,"5 Source No.",$C2976,"4 Item Ledger Entry Type",$C$4,"2 Item No.","@@"&amp;$F2976,"3 Posting Date",O$9)-NL("Sum","5802 Value Entry","43 Cost Amount (Actual)","41 Source Type",$C$5,"5 Source no.",$C2976,"4 Item Ledger Entry Type",$C$4,"2 Item No.","@@"&amp;$F2976,"3 Posting Date",O$9)</t>
  </si>
  <si>
    <t>=O2976-Q2976</t>
  </si>
  <si>
    <t>=IF(O2976&lt;&gt;0,R2976/O2976,"")</t>
  </si>
  <si>
    <t>=NL("Sum","5802 Value Entry","150 Sales Amount (Expected)","41 Source Type",$C$5,"5 Source No.",$C2976,"4 Item Ledger Entry Type",$C$4,"2 Item No.","@@"&amp;$F2976,"3 Posting Date",U$9)+NL("Sum","5802 Value Entry","17 Sales Amount (Actual)","41 Source Type",$C$5,"5 Source no.",$C2976,"4 Item Ledger Entry Type",$C$4,"2 Item No.","@@"&amp;$F2976,"3 Posting Date",U$9)</t>
  </si>
  <si>
    <t>=-NL("Sum","5802 Value Entry","151 Cost Amount (Expected)","41 Source Type",$C$5,"5 Source No.",$C2976,"4 Item Ledger Entry Type",$C$4,"2 Item No.","@@"&amp;$F2976,"3 Posting Date",U$9)-NL("Sum","5802 Value Entry","43 Cost Amount (Actual)","41 Source Type",$C$5,"5 Source no.",$C2976,"4 Item Ledger Entry Type",$C$4,"2 Item No.","@@"&amp;$F2976,"3 Posting Date",U$9)</t>
  </si>
  <si>
    <t>=U2976-W2976</t>
  </si>
  <si>
    <t>=IF(U2976&lt;&gt;0,X2976/U2976,"")</t>
  </si>
  <si>
    <t>=NL("Sum","5802 Value Entry","150 Sales Amount (Expected)","41 Source Type",$C$5,"5 Source No.",$C2976,"4 Item Ledger Entry Type",$C$4,"2 Item No.","@@"&amp;$F2976,"3 Posting Date",Z$9)+NL("Sum","5802 Value Entry","17 Sales Amount (Actual)","41 Source Type",$C$5,"5 Source no.",$C2976,"4 Item Ledger Entry Type",$C$4,"2 Item No.","@@"&amp;$F2976,"3 Posting Date",Z$9)</t>
  </si>
  <si>
    <t>=-NL("Sum","5802 Value Entry","151 Cost Amount (Expected)","41 Source Type",$C$5,"5 Source No.",$C2976,"4 Item Ledger Entry Type",$C$4,"2 Item No.","@@"&amp;$F2976,"3 Posting Date",Z$9)-NL("Sum","5802 Value Entry","43 Cost Amount (Actual)","41 Source Type",$C$5,"5 Source no.",$C2976,"4 Item Ledger Entry Type",$C$4,"2 Item No.","@@"&amp;$F2976,"3 Posting Date",Z$9)</t>
  </si>
  <si>
    <t>=Z2976-AB2976</t>
  </si>
  <si>
    <t>=IF(Z2976&lt;&gt;0,AC2976/Z2976,"")</t>
  </si>
  <si>
    <t>=C2976</t>
  </si>
  <si>
    <t>=NL("Sum","5802 Value Entry","150 Sales Amount (Expected)","41 Source Type",$C$5,"5 Source No.",$C2977,"4 Item Ledger Entry Type",$C$4,"2 Item No.","@@"&amp;$F2977,"3 Posting Date",J$9)+NL("Sum","5802 Value Entry","17 Sales Amount (Actual)","41 Source Type",$C$5,"5 Source no.",$C2977,"4 Item Ledger Entry Type",$C$4,"2 Item No.","@@"&amp;$F2977,"3 Posting Date",J$9)</t>
  </si>
  <si>
    <t>=-NL("Sum","5802 Value Entry","151 Cost Amount (Expected)","41 Source Type",$C$5,"5 Source No.",$C2977,"4 Item Ledger Entry Type",$C$4,"2 Item No.","@@"&amp;$F2977,"3 Posting Date",J$9)-NL("Sum","5802 Value Entry","43 Cost Amount (Actual)","41 Source Type",$C$5,"5 Source no.",$C2977,"4 Item Ledger Entry Type",$C$4,"2 Item No.","@@"&amp;$F2977,"3 Posting Date",J$9)</t>
  </si>
  <si>
    <t>=J2977-L2977</t>
  </si>
  <si>
    <t>=IF(J2977&lt;&gt;0,M2977/J2977,"")</t>
  </si>
  <si>
    <t>=NL("Sum","5802 Value Entry","150 Sales Amount (Expected)","41 Source Type",$C$5,"5 Source No.",$C2977,"4 Item Ledger Entry Type",$C$4,"2 Item No.","@@"&amp;$F2977,"3 Posting Date",O$9)+NL("Sum","5802 Value Entry","17 Sales Amount (Actual)","41 Source Type",$C$5,"5 Source no.",$C2977,"4 Item Ledger Entry Type",$C$4,"2 Item No.","@@"&amp;$F2977,"3 Posting Date",O$9)</t>
  </si>
  <si>
    <t>=-NL("Sum","5802 Value Entry","151 Cost Amount (Expected)","41 Source Type",$C$5,"5 Source No.",$C2977,"4 Item Ledger Entry Type",$C$4,"2 Item No.","@@"&amp;$F2977,"3 Posting Date",O$9)-NL("Sum","5802 Value Entry","43 Cost Amount (Actual)","41 Source Type",$C$5,"5 Source no.",$C2977,"4 Item Ledger Entry Type",$C$4,"2 Item No.","@@"&amp;$F2977,"3 Posting Date",O$9)</t>
  </si>
  <si>
    <t>=O2977-Q2977</t>
  </si>
  <si>
    <t>=IF(O2977&lt;&gt;0,R2977/O2977,"")</t>
  </si>
  <si>
    <t>=NL("Sum","5802 Value Entry","150 Sales Amount (Expected)","41 Source Type",$C$5,"5 Source No.",$C2977,"4 Item Ledger Entry Type",$C$4,"2 Item No.","@@"&amp;$F2977,"3 Posting Date",U$9)+NL("Sum","5802 Value Entry","17 Sales Amount (Actual)","41 Source Type",$C$5,"5 Source no.",$C2977,"4 Item Ledger Entry Type",$C$4,"2 Item No.","@@"&amp;$F2977,"3 Posting Date",U$9)</t>
  </si>
  <si>
    <t>=-NL("Sum","5802 Value Entry","151 Cost Amount (Expected)","41 Source Type",$C$5,"5 Source No.",$C2977,"4 Item Ledger Entry Type",$C$4,"2 Item No.","@@"&amp;$F2977,"3 Posting Date",U$9)-NL("Sum","5802 Value Entry","43 Cost Amount (Actual)","41 Source Type",$C$5,"5 Source no.",$C2977,"4 Item Ledger Entry Type",$C$4,"2 Item No.","@@"&amp;$F2977,"3 Posting Date",U$9)</t>
  </si>
  <si>
    <t>=U2977-W2977</t>
  </si>
  <si>
    <t>=IF(U2977&lt;&gt;0,X2977/U2977,"")</t>
  </si>
  <si>
    <t>=NL("Sum","5802 Value Entry","150 Sales Amount (Expected)","41 Source Type",$C$5,"5 Source No.",$C2977,"4 Item Ledger Entry Type",$C$4,"2 Item No.","@@"&amp;$F2977,"3 Posting Date",Z$9)+NL("Sum","5802 Value Entry","17 Sales Amount (Actual)","41 Source Type",$C$5,"5 Source no.",$C2977,"4 Item Ledger Entry Type",$C$4,"2 Item No.","@@"&amp;$F2977,"3 Posting Date",Z$9)</t>
  </si>
  <si>
    <t>=-NL("Sum","5802 Value Entry","151 Cost Amount (Expected)","41 Source Type",$C$5,"5 Source No.",$C2977,"4 Item Ledger Entry Type",$C$4,"2 Item No.","@@"&amp;$F2977,"3 Posting Date",Z$9)-NL("Sum","5802 Value Entry","43 Cost Amount (Actual)","41 Source Type",$C$5,"5 Source no.",$C2977,"4 Item Ledger Entry Type",$C$4,"2 Item No.","@@"&amp;$F2977,"3 Posting Date",Z$9)</t>
  </si>
  <si>
    <t>=Z2977-AB2977</t>
  </si>
  <si>
    <t>=IF(Z2977&lt;&gt;0,AC2977/Z2977,"")</t>
  </si>
  <si>
    <t>=C2977</t>
  </si>
  <si>
    <t>=NL("Sum","5802 Value Entry","150 Sales Amount (Expected)","41 Source Type",$C$5,"5 Source No.",$C2978,"4 Item Ledger Entry Type",$C$4,"2 Item No.","@@"&amp;$F2978,"3 Posting Date",J$9)+NL("Sum","5802 Value Entry","17 Sales Amount (Actual)","41 Source Type",$C$5,"5 Source no.",$C2978,"4 Item Ledger Entry Type",$C$4,"2 Item No.","@@"&amp;$F2978,"3 Posting Date",J$9)</t>
  </si>
  <si>
    <t>=-NL("Sum","5802 Value Entry","151 Cost Amount (Expected)","41 Source Type",$C$5,"5 Source No.",$C2978,"4 Item Ledger Entry Type",$C$4,"2 Item No.","@@"&amp;$F2978,"3 Posting Date",J$9)-NL("Sum","5802 Value Entry","43 Cost Amount (Actual)","41 Source Type",$C$5,"5 Source no.",$C2978,"4 Item Ledger Entry Type",$C$4,"2 Item No.","@@"&amp;$F2978,"3 Posting Date",J$9)</t>
  </si>
  <si>
    <t>=J2978-L2978</t>
  </si>
  <si>
    <t>=IF(J2978&lt;&gt;0,M2978/J2978,"")</t>
  </si>
  <si>
    <t>=NL("Sum","5802 Value Entry","150 Sales Amount (Expected)","41 Source Type",$C$5,"5 Source No.",$C2978,"4 Item Ledger Entry Type",$C$4,"2 Item No.","@@"&amp;$F2978,"3 Posting Date",O$9)+NL("Sum","5802 Value Entry","17 Sales Amount (Actual)","41 Source Type",$C$5,"5 Source no.",$C2978,"4 Item Ledger Entry Type",$C$4,"2 Item No.","@@"&amp;$F2978,"3 Posting Date",O$9)</t>
  </si>
  <si>
    <t>=-NL("Sum","5802 Value Entry","151 Cost Amount (Expected)","41 Source Type",$C$5,"5 Source No.",$C2978,"4 Item Ledger Entry Type",$C$4,"2 Item No.","@@"&amp;$F2978,"3 Posting Date",O$9)-NL("Sum","5802 Value Entry","43 Cost Amount (Actual)","41 Source Type",$C$5,"5 Source no.",$C2978,"4 Item Ledger Entry Type",$C$4,"2 Item No.","@@"&amp;$F2978,"3 Posting Date",O$9)</t>
  </si>
  <si>
    <t>=O2978-Q2978</t>
  </si>
  <si>
    <t>=IF(O2978&lt;&gt;0,R2978/O2978,"")</t>
  </si>
  <si>
    <t>=NL("Sum","5802 Value Entry","150 Sales Amount (Expected)","41 Source Type",$C$5,"5 Source No.",$C2978,"4 Item Ledger Entry Type",$C$4,"2 Item No.","@@"&amp;$F2978,"3 Posting Date",U$9)+NL("Sum","5802 Value Entry","17 Sales Amount (Actual)","41 Source Type",$C$5,"5 Source no.",$C2978,"4 Item Ledger Entry Type",$C$4,"2 Item No.","@@"&amp;$F2978,"3 Posting Date",U$9)</t>
  </si>
  <si>
    <t>=-NL("Sum","5802 Value Entry","151 Cost Amount (Expected)","41 Source Type",$C$5,"5 Source No.",$C2978,"4 Item Ledger Entry Type",$C$4,"2 Item No.","@@"&amp;$F2978,"3 Posting Date",U$9)-NL("Sum","5802 Value Entry","43 Cost Amount (Actual)","41 Source Type",$C$5,"5 Source no.",$C2978,"4 Item Ledger Entry Type",$C$4,"2 Item No.","@@"&amp;$F2978,"3 Posting Date",U$9)</t>
  </si>
  <si>
    <t>=U2978-W2978</t>
  </si>
  <si>
    <t>=IF(U2978&lt;&gt;0,X2978/U2978,"")</t>
  </si>
  <si>
    <t>=NL("Sum","5802 Value Entry","150 Sales Amount (Expected)","41 Source Type",$C$5,"5 Source No.",$C2978,"4 Item Ledger Entry Type",$C$4,"2 Item No.","@@"&amp;$F2978,"3 Posting Date",Z$9)+NL("Sum","5802 Value Entry","17 Sales Amount (Actual)","41 Source Type",$C$5,"5 Source no.",$C2978,"4 Item Ledger Entry Type",$C$4,"2 Item No.","@@"&amp;$F2978,"3 Posting Date",Z$9)</t>
  </si>
  <si>
    <t>=-NL("Sum","5802 Value Entry","151 Cost Amount (Expected)","41 Source Type",$C$5,"5 Source No.",$C2978,"4 Item Ledger Entry Type",$C$4,"2 Item No.","@@"&amp;$F2978,"3 Posting Date",Z$9)-NL("Sum","5802 Value Entry","43 Cost Amount (Actual)","41 Source Type",$C$5,"5 Source no.",$C2978,"4 Item Ledger Entry Type",$C$4,"2 Item No.","@@"&amp;$F2978,"3 Posting Date",Z$9)</t>
  </si>
  <si>
    <t>=Z2978-AB2978</t>
  </si>
  <si>
    <t>=IF(Z2978&lt;&gt;0,AC2978/Z2978,"")</t>
  </si>
  <si>
    <t>=C2978</t>
  </si>
  <si>
    <t>=NL("Sum","5802 Value Entry","150 Sales Amount (Expected)","41 Source Type",$C$5,"5 Source No.",$C2979,"4 Item Ledger Entry Type",$C$4,"2 Item No.","@@"&amp;$F2979,"3 Posting Date",J$9)+NL("Sum","5802 Value Entry","17 Sales Amount (Actual)","41 Source Type",$C$5,"5 Source no.",$C2979,"4 Item Ledger Entry Type",$C$4,"2 Item No.","@@"&amp;$F2979,"3 Posting Date",J$9)</t>
  </si>
  <si>
    <t>=-NL("Sum","5802 Value Entry","151 Cost Amount (Expected)","41 Source Type",$C$5,"5 Source No.",$C2979,"4 Item Ledger Entry Type",$C$4,"2 Item No.","@@"&amp;$F2979,"3 Posting Date",J$9)-NL("Sum","5802 Value Entry","43 Cost Amount (Actual)","41 Source Type",$C$5,"5 Source no.",$C2979,"4 Item Ledger Entry Type",$C$4,"2 Item No.","@@"&amp;$F2979,"3 Posting Date",J$9)</t>
  </si>
  <si>
    <t>=J2979-L2979</t>
  </si>
  <si>
    <t>=IF(J2979&lt;&gt;0,M2979/J2979,"")</t>
  </si>
  <si>
    <t>=NL("Sum","5802 Value Entry","150 Sales Amount (Expected)","41 Source Type",$C$5,"5 Source No.",$C2979,"4 Item Ledger Entry Type",$C$4,"2 Item No.","@@"&amp;$F2979,"3 Posting Date",O$9)+NL("Sum","5802 Value Entry","17 Sales Amount (Actual)","41 Source Type",$C$5,"5 Source no.",$C2979,"4 Item Ledger Entry Type",$C$4,"2 Item No.","@@"&amp;$F2979,"3 Posting Date",O$9)</t>
  </si>
  <si>
    <t>=-NL("Sum","5802 Value Entry","151 Cost Amount (Expected)","41 Source Type",$C$5,"5 Source No.",$C2979,"4 Item Ledger Entry Type",$C$4,"2 Item No.","@@"&amp;$F2979,"3 Posting Date",O$9)-NL("Sum","5802 Value Entry","43 Cost Amount (Actual)","41 Source Type",$C$5,"5 Source no.",$C2979,"4 Item Ledger Entry Type",$C$4,"2 Item No.","@@"&amp;$F2979,"3 Posting Date",O$9)</t>
  </si>
  <si>
    <t>=O2979-Q2979</t>
  </si>
  <si>
    <t>=IF(O2979&lt;&gt;0,R2979/O2979,"")</t>
  </si>
  <si>
    <t>=NL("Sum","5802 Value Entry","150 Sales Amount (Expected)","41 Source Type",$C$5,"5 Source No.",$C2979,"4 Item Ledger Entry Type",$C$4,"2 Item No.","@@"&amp;$F2979,"3 Posting Date",U$9)+NL("Sum","5802 Value Entry","17 Sales Amount (Actual)","41 Source Type",$C$5,"5 Source no.",$C2979,"4 Item Ledger Entry Type",$C$4,"2 Item No.","@@"&amp;$F2979,"3 Posting Date",U$9)</t>
  </si>
  <si>
    <t>=-NL("Sum","5802 Value Entry","151 Cost Amount (Expected)","41 Source Type",$C$5,"5 Source No.",$C2979,"4 Item Ledger Entry Type",$C$4,"2 Item No.","@@"&amp;$F2979,"3 Posting Date",U$9)-NL("Sum","5802 Value Entry","43 Cost Amount (Actual)","41 Source Type",$C$5,"5 Source no.",$C2979,"4 Item Ledger Entry Type",$C$4,"2 Item No.","@@"&amp;$F2979,"3 Posting Date",U$9)</t>
  </si>
  <si>
    <t>=U2979-W2979</t>
  </si>
  <si>
    <t>=IF(U2979&lt;&gt;0,X2979/U2979,"")</t>
  </si>
  <si>
    <t>=NL("Sum","5802 Value Entry","150 Sales Amount (Expected)","41 Source Type",$C$5,"5 Source No.",$C2979,"4 Item Ledger Entry Type",$C$4,"2 Item No.","@@"&amp;$F2979,"3 Posting Date",Z$9)+NL("Sum","5802 Value Entry","17 Sales Amount (Actual)","41 Source Type",$C$5,"5 Source no.",$C2979,"4 Item Ledger Entry Type",$C$4,"2 Item No.","@@"&amp;$F2979,"3 Posting Date",Z$9)</t>
  </si>
  <si>
    <t>=-NL("Sum","5802 Value Entry","151 Cost Amount (Expected)","41 Source Type",$C$5,"5 Source No.",$C2979,"4 Item Ledger Entry Type",$C$4,"2 Item No.","@@"&amp;$F2979,"3 Posting Date",Z$9)-NL("Sum","5802 Value Entry","43 Cost Amount (Actual)","41 Source Type",$C$5,"5 Source no.",$C2979,"4 Item Ledger Entry Type",$C$4,"2 Item No.","@@"&amp;$F2979,"3 Posting Date",Z$9)</t>
  </si>
  <si>
    <t>=Z2979-AB2979</t>
  </si>
  <si>
    <t>=IF(Z2979&lt;&gt;0,AC2979/Z2979,"")</t>
  </si>
  <si>
    <t>=C2979</t>
  </si>
  <si>
    <t>=NL("Sum","5802 Value Entry","150 Sales Amount (Expected)","41 Source Type",$C$5,"5 Source No.",$C2980,"4 Item Ledger Entry Type",$C$4,"2 Item No.","@@"&amp;$F2980,"3 Posting Date",J$9)+NL("Sum","5802 Value Entry","17 Sales Amount (Actual)","41 Source Type",$C$5,"5 Source no.",$C2980,"4 Item Ledger Entry Type",$C$4,"2 Item No.","@@"&amp;$F2980,"3 Posting Date",J$9)</t>
  </si>
  <si>
    <t>=-NL("Sum","5802 Value Entry","151 Cost Amount (Expected)","41 Source Type",$C$5,"5 Source No.",$C2980,"4 Item Ledger Entry Type",$C$4,"2 Item No.","@@"&amp;$F2980,"3 Posting Date",J$9)-NL("Sum","5802 Value Entry","43 Cost Amount (Actual)","41 Source Type",$C$5,"5 Source no.",$C2980,"4 Item Ledger Entry Type",$C$4,"2 Item No.","@@"&amp;$F2980,"3 Posting Date",J$9)</t>
  </si>
  <si>
    <t>=J2980-L2980</t>
  </si>
  <si>
    <t>=IF(J2980&lt;&gt;0,M2980/J2980,"")</t>
  </si>
  <si>
    <t>=NL("Sum","5802 Value Entry","150 Sales Amount (Expected)","41 Source Type",$C$5,"5 Source No.",$C2980,"4 Item Ledger Entry Type",$C$4,"2 Item No.","@@"&amp;$F2980,"3 Posting Date",O$9)+NL("Sum","5802 Value Entry","17 Sales Amount (Actual)","41 Source Type",$C$5,"5 Source no.",$C2980,"4 Item Ledger Entry Type",$C$4,"2 Item No.","@@"&amp;$F2980,"3 Posting Date",O$9)</t>
  </si>
  <si>
    <t>=-NL("Sum","5802 Value Entry","151 Cost Amount (Expected)","41 Source Type",$C$5,"5 Source No.",$C2980,"4 Item Ledger Entry Type",$C$4,"2 Item No.","@@"&amp;$F2980,"3 Posting Date",O$9)-NL("Sum","5802 Value Entry","43 Cost Amount (Actual)","41 Source Type",$C$5,"5 Source no.",$C2980,"4 Item Ledger Entry Type",$C$4,"2 Item No.","@@"&amp;$F2980,"3 Posting Date",O$9)</t>
  </si>
  <si>
    <t>=O2980-Q2980</t>
  </si>
  <si>
    <t>=IF(O2980&lt;&gt;0,R2980/O2980,"")</t>
  </si>
  <si>
    <t>=NL("Sum","5802 Value Entry","150 Sales Amount (Expected)","41 Source Type",$C$5,"5 Source No.",$C2980,"4 Item Ledger Entry Type",$C$4,"2 Item No.","@@"&amp;$F2980,"3 Posting Date",U$9)+NL("Sum","5802 Value Entry","17 Sales Amount (Actual)","41 Source Type",$C$5,"5 Source no.",$C2980,"4 Item Ledger Entry Type",$C$4,"2 Item No.","@@"&amp;$F2980,"3 Posting Date",U$9)</t>
  </si>
  <si>
    <t>=-NL("Sum","5802 Value Entry","151 Cost Amount (Expected)","41 Source Type",$C$5,"5 Source No.",$C2980,"4 Item Ledger Entry Type",$C$4,"2 Item No.","@@"&amp;$F2980,"3 Posting Date",U$9)-NL("Sum","5802 Value Entry","43 Cost Amount (Actual)","41 Source Type",$C$5,"5 Source no.",$C2980,"4 Item Ledger Entry Type",$C$4,"2 Item No.","@@"&amp;$F2980,"3 Posting Date",U$9)</t>
  </si>
  <si>
    <t>=U2980-W2980</t>
  </si>
  <si>
    <t>=IF(U2980&lt;&gt;0,X2980/U2980,"")</t>
  </si>
  <si>
    <t>=NL("Sum","5802 Value Entry","150 Sales Amount (Expected)","41 Source Type",$C$5,"5 Source No.",$C2980,"4 Item Ledger Entry Type",$C$4,"2 Item No.","@@"&amp;$F2980,"3 Posting Date",Z$9)+NL("Sum","5802 Value Entry","17 Sales Amount (Actual)","41 Source Type",$C$5,"5 Source no.",$C2980,"4 Item Ledger Entry Type",$C$4,"2 Item No.","@@"&amp;$F2980,"3 Posting Date",Z$9)</t>
  </si>
  <si>
    <t>=-NL("Sum","5802 Value Entry","151 Cost Amount (Expected)","41 Source Type",$C$5,"5 Source No.",$C2980,"4 Item Ledger Entry Type",$C$4,"2 Item No.","@@"&amp;$F2980,"3 Posting Date",Z$9)-NL("Sum","5802 Value Entry","43 Cost Amount (Actual)","41 Source Type",$C$5,"5 Source no.",$C2980,"4 Item Ledger Entry Type",$C$4,"2 Item No.","@@"&amp;$F2980,"3 Posting Date",Z$9)</t>
  </si>
  <si>
    <t>=Z2980-AB2980</t>
  </si>
  <si>
    <t>=IF(Z2980&lt;&gt;0,AC2980/Z2980,"")</t>
  </si>
  <si>
    <t>=C2980</t>
  </si>
  <si>
    <t>=NL("Sum","5802 Value Entry","150 Sales Amount (Expected)","41 Source Type",$C$5,"5 Source No.",$C2981,"4 Item Ledger Entry Type",$C$4,"2 Item No.","@@"&amp;$F2981,"3 Posting Date",J$9)+NL("Sum","5802 Value Entry","17 Sales Amount (Actual)","41 Source Type",$C$5,"5 Source no.",$C2981,"4 Item Ledger Entry Type",$C$4,"2 Item No.","@@"&amp;$F2981,"3 Posting Date",J$9)</t>
  </si>
  <si>
    <t>=-NL("Sum","5802 Value Entry","151 Cost Amount (Expected)","41 Source Type",$C$5,"5 Source No.",$C2981,"4 Item Ledger Entry Type",$C$4,"2 Item No.","@@"&amp;$F2981,"3 Posting Date",J$9)-NL("Sum","5802 Value Entry","43 Cost Amount (Actual)","41 Source Type",$C$5,"5 Source no.",$C2981,"4 Item Ledger Entry Type",$C$4,"2 Item No.","@@"&amp;$F2981,"3 Posting Date",J$9)</t>
  </si>
  <si>
    <t>=J2981-L2981</t>
  </si>
  <si>
    <t>=IF(J2981&lt;&gt;0,M2981/J2981,"")</t>
  </si>
  <si>
    <t>=NL("Sum","5802 Value Entry","150 Sales Amount (Expected)","41 Source Type",$C$5,"5 Source No.",$C2981,"4 Item Ledger Entry Type",$C$4,"2 Item No.","@@"&amp;$F2981,"3 Posting Date",O$9)+NL("Sum","5802 Value Entry","17 Sales Amount (Actual)","41 Source Type",$C$5,"5 Source no.",$C2981,"4 Item Ledger Entry Type",$C$4,"2 Item No.","@@"&amp;$F2981,"3 Posting Date",O$9)</t>
  </si>
  <si>
    <t>=-NL("Sum","5802 Value Entry","151 Cost Amount (Expected)","41 Source Type",$C$5,"5 Source No.",$C2981,"4 Item Ledger Entry Type",$C$4,"2 Item No.","@@"&amp;$F2981,"3 Posting Date",O$9)-NL("Sum","5802 Value Entry","43 Cost Amount (Actual)","41 Source Type",$C$5,"5 Source no.",$C2981,"4 Item Ledger Entry Type",$C$4,"2 Item No.","@@"&amp;$F2981,"3 Posting Date",O$9)</t>
  </si>
  <si>
    <t>=O2981-Q2981</t>
  </si>
  <si>
    <t>=IF(O2981&lt;&gt;0,R2981/O2981,"")</t>
  </si>
  <si>
    <t>=NL("Sum","5802 Value Entry","150 Sales Amount (Expected)","41 Source Type",$C$5,"5 Source No.",$C2981,"4 Item Ledger Entry Type",$C$4,"2 Item No.","@@"&amp;$F2981,"3 Posting Date",U$9)+NL("Sum","5802 Value Entry","17 Sales Amount (Actual)","41 Source Type",$C$5,"5 Source no.",$C2981,"4 Item Ledger Entry Type",$C$4,"2 Item No.","@@"&amp;$F2981,"3 Posting Date",U$9)</t>
  </si>
  <si>
    <t>=-NL("Sum","5802 Value Entry","151 Cost Amount (Expected)","41 Source Type",$C$5,"5 Source No.",$C2981,"4 Item Ledger Entry Type",$C$4,"2 Item No.","@@"&amp;$F2981,"3 Posting Date",U$9)-NL("Sum","5802 Value Entry","43 Cost Amount (Actual)","41 Source Type",$C$5,"5 Source no.",$C2981,"4 Item Ledger Entry Type",$C$4,"2 Item No.","@@"&amp;$F2981,"3 Posting Date",U$9)</t>
  </si>
  <si>
    <t>=U2981-W2981</t>
  </si>
  <si>
    <t>=IF(U2981&lt;&gt;0,X2981/U2981,"")</t>
  </si>
  <si>
    <t>=NL("Sum","5802 Value Entry","150 Sales Amount (Expected)","41 Source Type",$C$5,"5 Source No.",$C2981,"4 Item Ledger Entry Type",$C$4,"2 Item No.","@@"&amp;$F2981,"3 Posting Date",Z$9)+NL("Sum","5802 Value Entry","17 Sales Amount (Actual)","41 Source Type",$C$5,"5 Source no.",$C2981,"4 Item Ledger Entry Type",$C$4,"2 Item No.","@@"&amp;$F2981,"3 Posting Date",Z$9)</t>
  </si>
  <si>
    <t>=-NL("Sum","5802 Value Entry","151 Cost Amount (Expected)","41 Source Type",$C$5,"5 Source No.",$C2981,"4 Item Ledger Entry Type",$C$4,"2 Item No.","@@"&amp;$F2981,"3 Posting Date",Z$9)-NL("Sum","5802 Value Entry","43 Cost Amount (Actual)","41 Source Type",$C$5,"5 Source no.",$C2981,"4 Item Ledger Entry Type",$C$4,"2 Item No.","@@"&amp;$F2981,"3 Posting Date",Z$9)</t>
  </si>
  <si>
    <t>=Z2981-AB2981</t>
  </si>
  <si>
    <t>=IF(Z2981&lt;&gt;0,AC2981/Z2981,"")</t>
  </si>
  <si>
    <t>=C2981</t>
  </si>
  <si>
    <t>=NL("Sum","5802 Value Entry","150 Sales Amount (Expected)","41 Source Type",$C$5,"5 Source No.",$C2982,"4 Item Ledger Entry Type",$C$4,"2 Item No.","@@"&amp;$F2982,"3 Posting Date",J$9)+NL("Sum","5802 Value Entry","17 Sales Amount (Actual)","41 Source Type",$C$5,"5 Source no.",$C2982,"4 Item Ledger Entry Type",$C$4,"2 Item No.","@@"&amp;$F2982,"3 Posting Date",J$9)</t>
  </si>
  <si>
    <t>=-NL("Sum","5802 Value Entry","151 Cost Amount (Expected)","41 Source Type",$C$5,"5 Source No.",$C2982,"4 Item Ledger Entry Type",$C$4,"2 Item No.","@@"&amp;$F2982,"3 Posting Date",J$9)-NL("Sum","5802 Value Entry","43 Cost Amount (Actual)","41 Source Type",$C$5,"5 Source no.",$C2982,"4 Item Ledger Entry Type",$C$4,"2 Item No.","@@"&amp;$F2982,"3 Posting Date",J$9)</t>
  </si>
  <si>
    <t>=J2982-L2982</t>
  </si>
  <si>
    <t>=IF(J2982&lt;&gt;0,M2982/J2982,"")</t>
  </si>
  <si>
    <t>=NL("Sum","5802 Value Entry","150 Sales Amount (Expected)","41 Source Type",$C$5,"5 Source No.",$C2982,"4 Item Ledger Entry Type",$C$4,"2 Item No.","@@"&amp;$F2982,"3 Posting Date",O$9)+NL("Sum","5802 Value Entry","17 Sales Amount (Actual)","41 Source Type",$C$5,"5 Source no.",$C2982,"4 Item Ledger Entry Type",$C$4,"2 Item No.","@@"&amp;$F2982,"3 Posting Date",O$9)</t>
  </si>
  <si>
    <t>=-NL("Sum","5802 Value Entry","151 Cost Amount (Expected)","41 Source Type",$C$5,"5 Source No.",$C2982,"4 Item Ledger Entry Type",$C$4,"2 Item No.","@@"&amp;$F2982,"3 Posting Date",O$9)-NL("Sum","5802 Value Entry","43 Cost Amount (Actual)","41 Source Type",$C$5,"5 Source no.",$C2982,"4 Item Ledger Entry Type",$C$4,"2 Item No.","@@"&amp;$F2982,"3 Posting Date",O$9)</t>
  </si>
  <si>
    <t>=O2982-Q2982</t>
  </si>
  <si>
    <t>=IF(O2982&lt;&gt;0,R2982/O2982,"")</t>
  </si>
  <si>
    <t>=NL("Sum","5802 Value Entry","150 Sales Amount (Expected)","41 Source Type",$C$5,"5 Source No.",$C2982,"4 Item Ledger Entry Type",$C$4,"2 Item No.","@@"&amp;$F2982,"3 Posting Date",U$9)+NL("Sum","5802 Value Entry","17 Sales Amount (Actual)","41 Source Type",$C$5,"5 Source no.",$C2982,"4 Item Ledger Entry Type",$C$4,"2 Item No.","@@"&amp;$F2982,"3 Posting Date",U$9)</t>
  </si>
  <si>
    <t>=-NL("Sum","5802 Value Entry","151 Cost Amount (Expected)","41 Source Type",$C$5,"5 Source No.",$C2982,"4 Item Ledger Entry Type",$C$4,"2 Item No.","@@"&amp;$F2982,"3 Posting Date",U$9)-NL("Sum","5802 Value Entry","43 Cost Amount (Actual)","41 Source Type",$C$5,"5 Source no.",$C2982,"4 Item Ledger Entry Type",$C$4,"2 Item No.","@@"&amp;$F2982,"3 Posting Date",U$9)</t>
  </si>
  <si>
    <t>=U2982-W2982</t>
  </si>
  <si>
    <t>=IF(U2982&lt;&gt;0,X2982/U2982,"")</t>
  </si>
  <si>
    <t>=NL("Sum","5802 Value Entry","150 Sales Amount (Expected)","41 Source Type",$C$5,"5 Source No.",$C2982,"4 Item Ledger Entry Type",$C$4,"2 Item No.","@@"&amp;$F2982,"3 Posting Date",Z$9)+NL("Sum","5802 Value Entry","17 Sales Amount (Actual)","41 Source Type",$C$5,"5 Source no.",$C2982,"4 Item Ledger Entry Type",$C$4,"2 Item No.","@@"&amp;$F2982,"3 Posting Date",Z$9)</t>
  </si>
  <si>
    <t>=-NL("Sum","5802 Value Entry","151 Cost Amount (Expected)","41 Source Type",$C$5,"5 Source No.",$C2982,"4 Item Ledger Entry Type",$C$4,"2 Item No.","@@"&amp;$F2982,"3 Posting Date",Z$9)-NL("Sum","5802 Value Entry","43 Cost Amount (Actual)","41 Source Type",$C$5,"5 Source no.",$C2982,"4 Item Ledger Entry Type",$C$4,"2 Item No.","@@"&amp;$F2982,"3 Posting Date",Z$9)</t>
  </si>
  <si>
    <t>=Z2982-AB2982</t>
  </si>
  <si>
    <t>=IF(Z2982&lt;&gt;0,AC2982/Z2982,"")</t>
  </si>
  <si>
    <t>=C2982</t>
  </si>
  <si>
    <t>=NL("Sum","5802 Value Entry","150 Sales Amount (Expected)","41 Source Type",$C$5,"5 Source No.",$C2983,"4 Item Ledger Entry Type",$C$4,"2 Item No.","@@"&amp;$F2983,"3 Posting Date",J$9)+NL("Sum","5802 Value Entry","17 Sales Amount (Actual)","41 Source Type",$C$5,"5 Source no.",$C2983,"4 Item Ledger Entry Type",$C$4,"2 Item No.","@@"&amp;$F2983,"3 Posting Date",J$9)</t>
  </si>
  <si>
    <t>=-NL("Sum","5802 Value Entry","151 Cost Amount (Expected)","41 Source Type",$C$5,"5 Source No.",$C2983,"4 Item Ledger Entry Type",$C$4,"2 Item No.","@@"&amp;$F2983,"3 Posting Date",J$9)-NL("Sum","5802 Value Entry","43 Cost Amount (Actual)","41 Source Type",$C$5,"5 Source no.",$C2983,"4 Item Ledger Entry Type",$C$4,"2 Item No.","@@"&amp;$F2983,"3 Posting Date",J$9)</t>
  </si>
  <si>
    <t>=J2983-L2983</t>
  </si>
  <si>
    <t>=IF(J2983&lt;&gt;0,M2983/J2983,"")</t>
  </si>
  <si>
    <t>=NL("Sum","5802 Value Entry","150 Sales Amount (Expected)","41 Source Type",$C$5,"5 Source No.",$C2983,"4 Item Ledger Entry Type",$C$4,"2 Item No.","@@"&amp;$F2983,"3 Posting Date",O$9)+NL("Sum","5802 Value Entry","17 Sales Amount (Actual)","41 Source Type",$C$5,"5 Source no.",$C2983,"4 Item Ledger Entry Type",$C$4,"2 Item No.","@@"&amp;$F2983,"3 Posting Date",O$9)</t>
  </si>
  <si>
    <t>=-NL("Sum","5802 Value Entry","151 Cost Amount (Expected)","41 Source Type",$C$5,"5 Source No.",$C2983,"4 Item Ledger Entry Type",$C$4,"2 Item No.","@@"&amp;$F2983,"3 Posting Date",O$9)-NL("Sum","5802 Value Entry","43 Cost Amount (Actual)","41 Source Type",$C$5,"5 Source no.",$C2983,"4 Item Ledger Entry Type",$C$4,"2 Item No.","@@"&amp;$F2983,"3 Posting Date",O$9)</t>
  </si>
  <si>
    <t>=O2983-Q2983</t>
  </si>
  <si>
    <t>=IF(O2983&lt;&gt;0,R2983/O2983,"")</t>
  </si>
  <si>
    <t>=NL("Sum","5802 Value Entry","150 Sales Amount (Expected)","41 Source Type",$C$5,"5 Source No.",$C2983,"4 Item Ledger Entry Type",$C$4,"2 Item No.","@@"&amp;$F2983,"3 Posting Date",U$9)+NL("Sum","5802 Value Entry","17 Sales Amount (Actual)","41 Source Type",$C$5,"5 Source no.",$C2983,"4 Item Ledger Entry Type",$C$4,"2 Item No.","@@"&amp;$F2983,"3 Posting Date",U$9)</t>
  </si>
  <si>
    <t>=-NL("Sum","5802 Value Entry","151 Cost Amount (Expected)","41 Source Type",$C$5,"5 Source No.",$C2983,"4 Item Ledger Entry Type",$C$4,"2 Item No.","@@"&amp;$F2983,"3 Posting Date",U$9)-NL("Sum","5802 Value Entry","43 Cost Amount (Actual)","41 Source Type",$C$5,"5 Source no.",$C2983,"4 Item Ledger Entry Type",$C$4,"2 Item No.","@@"&amp;$F2983,"3 Posting Date",U$9)</t>
  </si>
  <si>
    <t>=U2983-W2983</t>
  </si>
  <si>
    <t>=IF(U2983&lt;&gt;0,X2983/U2983,"")</t>
  </si>
  <si>
    <t>=NL("Sum","5802 Value Entry","150 Sales Amount (Expected)","41 Source Type",$C$5,"5 Source No.",$C2983,"4 Item Ledger Entry Type",$C$4,"2 Item No.","@@"&amp;$F2983,"3 Posting Date",Z$9)+NL("Sum","5802 Value Entry","17 Sales Amount (Actual)","41 Source Type",$C$5,"5 Source no.",$C2983,"4 Item Ledger Entry Type",$C$4,"2 Item No.","@@"&amp;$F2983,"3 Posting Date",Z$9)</t>
  </si>
  <si>
    <t>=-NL("Sum","5802 Value Entry","151 Cost Amount (Expected)","41 Source Type",$C$5,"5 Source No.",$C2983,"4 Item Ledger Entry Type",$C$4,"2 Item No.","@@"&amp;$F2983,"3 Posting Date",Z$9)-NL("Sum","5802 Value Entry","43 Cost Amount (Actual)","41 Source Type",$C$5,"5 Source no.",$C2983,"4 Item Ledger Entry Type",$C$4,"2 Item No.","@@"&amp;$F2983,"3 Posting Date",Z$9)</t>
  </si>
  <si>
    <t>=Z2983-AB2983</t>
  </si>
  <si>
    <t>=IF(Z2983&lt;&gt;0,AC2983/Z2983,"")</t>
  </si>
  <si>
    <t>=C2983</t>
  </si>
  <si>
    <t>=NL("Sum","5802 Value Entry","150 Sales Amount (Expected)","41 Source Type",$C$5,"5 Source No.",$C2984,"4 Item Ledger Entry Type",$C$4,"2 Item No.","@@"&amp;$F2984,"3 Posting Date",J$9)+NL("Sum","5802 Value Entry","17 Sales Amount (Actual)","41 Source Type",$C$5,"5 Source no.",$C2984,"4 Item Ledger Entry Type",$C$4,"2 Item No.","@@"&amp;$F2984,"3 Posting Date",J$9)</t>
  </si>
  <si>
    <t>=-NL("Sum","5802 Value Entry","151 Cost Amount (Expected)","41 Source Type",$C$5,"5 Source No.",$C2984,"4 Item Ledger Entry Type",$C$4,"2 Item No.","@@"&amp;$F2984,"3 Posting Date",J$9)-NL("Sum","5802 Value Entry","43 Cost Amount (Actual)","41 Source Type",$C$5,"5 Source no.",$C2984,"4 Item Ledger Entry Type",$C$4,"2 Item No.","@@"&amp;$F2984,"3 Posting Date",J$9)</t>
  </si>
  <si>
    <t>=J2984-L2984</t>
  </si>
  <si>
    <t>=IF(J2984&lt;&gt;0,M2984/J2984,"")</t>
  </si>
  <si>
    <t>=NL("Sum","5802 Value Entry","150 Sales Amount (Expected)","41 Source Type",$C$5,"5 Source No.",$C2984,"4 Item Ledger Entry Type",$C$4,"2 Item No.","@@"&amp;$F2984,"3 Posting Date",O$9)+NL("Sum","5802 Value Entry","17 Sales Amount (Actual)","41 Source Type",$C$5,"5 Source no.",$C2984,"4 Item Ledger Entry Type",$C$4,"2 Item No.","@@"&amp;$F2984,"3 Posting Date",O$9)</t>
  </si>
  <si>
    <t>=-NL("Sum","5802 Value Entry","151 Cost Amount (Expected)","41 Source Type",$C$5,"5 Source No.",$C2984,"4 Item Ledger Entry Type",$C$4,"2 Item No.","@@"&amp;$F2984,"3 Posting Date",O$9)-NL("Sum","5802 Value Entry","43 Cost Amount (Actual)","41 Source Type",$C$5,"5 Source no.",$C2984,"4 Item Ledger Entry Type",$C$4,"2 Item No.","@@"&amp;$F2984,"3 Posting Date",O$9)</t>
  </si>
  <si>
    <t>=O2984-Q2984</t>
  </si>
  <si>
    <t>=IF(O2984&lt;&gt;0,R2984/O2984,"")</t>
  </si>
  <si>
    <t>=NL("Sum","5802 Value Entry","150 Sales Amount (Expected)","41 Source Type",$C$5,"5 Source No.",$C2984,"4 Item Ledger Entry Type",$C$4,"2 Item No.","@@"&amp;$F2984,"3 Posting Date",U$9)+NL("Sum","5802 Value Entry","17 Sales Amount (Actual)","41 Source Type",$C$5,"5 Source no.",$C2984,"4 Item Ledger Entry Type",$C$4,"2 Item No.","@@"&amp;$F2984,"3 Posting Date",U$9)</t>
  </si>
  <si>
    <t>=-NL("Sum","5802 Value Entry","151 Cost Amount (Expected)","41 Source Type",$C$5,"5 Source No.",$C2984,"4 Item Ledger Entry Type",$C$4,"2 Item No.","@@"&amp;$F2984,"3 Posting Date",U$9)-NL("Sum","5802 Value Entry","43 Cost Amount (Actual)","41 Source Type",$C$5,"5 Source no.",$C2984,"4 Item Ledger Entry Type",$C$4,"2 Item No.","@@"&amp;$F2984,"3 Posting Date",U$9)</t>
  </si>
  <si>
    <t>=U2984-W2984</t>
  </si>
  <si>
    <t>=IF(U2984&lt;&gt;0,X2984/U2984,"")</t>
  </si>
  <si>
    <t>=NL("Sum","5802 Value Entry","150 Sales Amount (Expected)","41 Source Type",$C$5,"5 Source No.",$C2984,"4 Item Ledger Entry Type",$C$4,"2 Item No.","@@"&amp;$F2984,"3 Posting Date",Z$9)+NL("Sum","5802 Value Entry","17 Sales Amount (Actual)","41 Source Type",$C$5,"5 Source no.",$C2984,"4 Item Ledger Entry Type",$C$4,"2 Item No.","@@"&amp;$F2984,"3 Posting Date",Z$9)</t>
  </si>
  <si>
    <t>=-NL("Sum","5802 Value Entry","151 Cost Amount (Expected)","41 Source Type",$C$5,"5 Source No.",$C2984,"4 Item Ledger Entry Type",$C$4,"2 Item No.","@@"&amp;$F2984,"3 Posting Date",Z$9)-NL("Sum","5802 Value Entry","43 Cost Amount (Actual)","41 Source Type",$C$5,"5 Source no.",$C2984,"4 Item Ledger Entry Type",$C$4,"2 Item No.","@@"&amp;$F2984,"3 Posting Date",Z$9)</t>
  </si>
  <si>
    <t>=Z2984-AB2984</t>
  </si>
  <si>
    <t>=IF(Z2984&lt;&gt;0,AC2984/Z2984,"")</t>
  </si>
  <si>
    <t>=C2984</t>
  </si>
  <si>
    <t>=NL("Sum","5802 Value Entry","150 Sales Amount (Expected)","41 Source Type",$C$5,"5 Source No.",$C2985,"4 Item Ledger Entry Type",$C$4,"2 Item No.","@@"&amp;$F2985,"3 Posting Date",J$9)+NL("Sum","5802 Value Entry","17 Sales Amount (Actual)","41 Source Type",$C$5,"5 Source no.",$C2985,"4 Item Ledger Entry Type",$C$4,"2 Item No.","@@"&amp;$F2985,"3 Posting Date",J$9)</t>
  </si>
  <si>
    <t>=-NL("Sum","5802 Value Entry","151 Cost Amount (Expected)","41 Source Type",$C$5,"5 Source No.",$C2985,"4 Item Ledger Entry Type",$C$4,"2 Item No.","@@"&amp;$F2985,"3 Posting Date",J$9)-NL("Sum","5802 Value Entry","43 Cost Amount (Actual)","41 Source Type",$C$5,"5 Source no.",$C2985,"4 Item Ledger Entry Type",$C$4,"2 Item No.","@@"&amp;$F2985,"3 Posting Date",J$9)</t>
  </si>
  <si>
    <t>=J2985-L2985</t>
  </si>
  <si>
    <t>=IF(J2985&lt;&gt;0,M2985/J2985,"")</t>
  </si>
  <si>
    <t>=NL("Sum","5802 Value Entry","150 Sales Amount (Expected)","41 Source Type",$C$5,"5 Source No.",$C2985,"4 Item Ledger Entry Type",$C$4,"2 Item No.","@@"&amp;$F2985,"3 Posting Date",O$9)+NL("Sum","5802 Value Entry","17 Sales Amount (Actual)","41 Source Type",$C$5,"5 Source no.",$C2985,"4 Item Ledger Entry Type",$C$4,"2 Item No.","@@"&amp;$F2985,"3 Posting Date",O$9)</t>
  </si>
  <si>
    <t>=-NL("Sum","5802 Value Entry","151 Cost Amount (Expected)","41 Source Type",$C$5,"5 Source No.",$C2985,"4 Item Ledger Entry Type",$C$4,"2 Item No.","@@"&amp;$F2985,"3 Posting Date",O$9)-NL("Sum","5802 Value Entry","43 Cost Amount (Actual)","41 Source Type",$C$5,"5 Source no.",$C2985,"4 Item Ledger Entry Type",$C$4,"2 Item No.","@@"&amp;$F2985,"3 Posting Date",O$9)</t>
  </si>
  <si>
    <t>=O2985-Q2985</t>
  </si>
  <si>
    <t>=IF(O2985&lt;&gt;0,R2985/O2985,"")</t>
  </si>
  <si>
    <t>=NL("Sum","5802 Value Entry","150 Sales Amount (Expected)","41 Source Type",$C$5,"5 Source No.",$C2985,"4 Item Ledger Entry Type",$C$4,"2 Item No.","@@"&amp;$F2985,"3 Posting Date",U$9)+NL("Sum","5802 Value Entry","17 Sales Amount (Actual)","41 Source Type",$C$5,"5 Source no.",$C2985,"4 Item Ledger Entry Type",$C$4,"2 Item No.","@@"&amp;$F2985,"3 Posting Date",U$9)</t>
  </si>
  <si>
    <t>=-NL("Sum","5802 Value Entry","151 Cost Amount (Expected)","41 Source Type",$C$5,"5 Source No.",$C2985,"4 Item Ledger Entry Type",$C$4,"2 Item No.","@@"&amp;$F2985,"3 Posting Date",U$9)-NL("Sum","5802 Value Entry","43 Cost Amount (Actual)","41 Source Type",$C$5,"5 Source no.",$C2985,"4 Item Ledger Entry Type",$C$4,"2 Item No.","@@"&amp;$F2985,"3 Posting Date",U$9)</t>
  </si>
  <si>
    <t>=U2985-W2985</t>
  </si>
  <si>
    <t>=IF(U2985&lt;&gt;0,X2985/U2985,"")</t>
  </si>
  <si>
    <t>=NL("Sum","5802 Value Entry","150 Sales Amount (Expected)","41 Source Type",$C$5,"5 Source No.",$C2985,"4 Item Ledger Entry Type",$C$4,"2 Item No.","@@"&amp;$F2985,"3 Posting Date",Z$9)+NL("Sum","5802 Value Entry","17 Sales Amount (Actual)","41 Source Type",$C$5,"5 Source no.",$C2985,"4 Item Ledger Entry Type",$C$4,"2 Item No.","@@"&amp;$F2985,"3 Posting Date",Z$9)</t>
  </si>
  <si>
    <t>=-NL("Sum","5802 Value Entry","151 Cost Amount (Expected)","41 Source Type",$C$5,"5 Source No.",$C2985,"4 Item Ledger Entry Type",$C$4,"2 Item No.","@@"&amp;$F2985,"3 Posting Date",Z$9)-NL("Sum","5802 Value Entry","43 Cost Amount (Actual)","41 Source Type",$C$5,"5 Source no.",$C2985,"4 Item Ledger Entry Type",$C$4,"2 Item No.","@@"&amp;$F2985,"3 Posting Date",Z$9)</t>
  </si>
  <si>
    <t>=Z2985-AB2985</t>
  </si>
  <si>
    <t>=IF(Z2985&lt;&gt;0,AC2985/Z2985,"")</t>
  </si>
  <si>
    <t>=C2985</t>
  </si>
  <si>
    <t>=NL("Sum","5802 Value Entry","150 Sales Amount (Expected)","41 Source Type",$C$5,"5 Source No.",$C2986,"4 Item Ledger Entry Type",$C$4,"2 Item No.","@@"&amp;$F2986,"3 Posting Date",J$9)+NL("Sum","5802 Value Entry","17 Sales Amount (Actual)","41 Source Type",$C$5,"5 Source no.",$C2986,"4 Item Ledger Entry Type",$C$4,"2 Item No.","@@"&amp;$F2986,"3 Posting Date",J$9)</t>
  </si>
  <si>
    <t>=-NL("Sum","5802 Value Entry","151 Cost Amount (Expected)","41 Source Type",$C$5,"5 Source No.",$C2986,"4 Item Ledger Entry Type",$C$4,"2 Item No.","@@"&amp;$F2986,"3 Posting Date",J$9)-NL("Sum","5802 Value Entry","43 Cost Amount (Actual)","41 Source Type",$C$5,"5 Source no.",$C2986,"4 Item Ledger Entry Type",$C$4,"2 Item No.","@@"&amp;$F2986,"3 Posting Date",J$9)</t>
  </si>
  <si>
    <t>=J2986-L2986</t>
  </si>
  <si>
    <t>=IF(J2986&lt;&gt;0,M2986/J2986,"")</t>
  </si>
  <si>
    <t>=NL("Sum","5802 Value Entry","150 Sales Amount (Expected)","41 Source Type",$C$5,"5 Source No.",$C2986,"4 Item Ledger Entry Type",$C$4,"2 Item No.","@@"&amp;$F2986,"3 Posting Date",O$9)+NL("Sum","5802 Value Entry","17 Sales Amount (Actual)","41 Source Type",$C$5,"5 Source no.",$C2986,"4 Item Ledger Entry Type",$C$4,"2 Item No.","@@"&amp;$F2986,"3 Posting Date",O$9)</t>
  </si>
  <si>
    <t>=-NL("Sum","5802 Value Entry","151 Cost Amount (Expected)","41 Source Type",$C$5,"5 Source No.",$C2986,"4 Item Ledger Entry Type",$C$4,"2 Item No.","@@"&amp;$F2986,"3 Posting Date",O$9)-NL("Sum","5802 Value Entry","43 Cost Amount (Actual)","41 Source Type",$C$5,"5 Source no.",$C2986,"4 Item Ledger Entry Type",$C$4,"2 Item No.","@@"&amp;$F2986,"3 Posting Date",O$9)</t>
  </si>
  <si>
    <t>=O2986-Q2986</t>
  </si>
  <si>
    <t>=IF(O2986&lt;&gt;0,R2986/O2986,"")</t>
  </si>
  <si>
    <t>=NL("Sum","5802 Value Entry","150 Sales Amount (Expected)","41 Source Type",$C$5,"5 Source No.",$C2986,"4 Item Ledger Entry Type",$C$4,"2 Item No.","@@"&amp;$F2986,"3 Posting Date",U$9)+NL("Sum","5802 Value Entry","17 Sales Amount (Actual)","41 Source Type",$C$5,"5 Source no.",$C2986,"4 Item Ledger Entry Type",$C$4,"2 Item No.","@@"&amp;$F2986,"3 Posting Date",U$9)</t>
  </si>
  <si>
    <t>=-NL("Sum","5802 Value Entry","151 Cost Amount (Expected)","41 Source Type",$C$5,"5 Source No.",$C2986,"4 Item Ledger Entry Type",$C$4,"2 Item No.","@@"&amp;$F2986,"3 Posting Date",U$9)-NL("Sum","5802 Value Entry","43 Cost Amount (Actual)","41 Source Type",$C$5,"5 Source no.",$C2986,"4 Item Ledger Entry Type",$C$4,"2 Item No.","@@"&amp;$F2986,"3 Posting Date",U$9)</t>
  </si>
  <si>
    <t>=U2986-W2986</t>
  </si>
  <si>
    <t>=IF(U2986&lt;&gt;0,X2986/U2986,"")</t>
  </si>
  <si>
    <t>=NL("Sum","5802 Value Entry","150 Sales Amount (Expected)","41 Source Type",$C$5,"5 Source No.",$C2986,"4 Item Ledger Entry Type",$C$4,"2 Item No.","@@"&amp;$F2986,"3 Posting Date",Z$9)+NL("Sum","5802 Value Entry","17 Sales Amount (Actual)","41 Source Type",$C$5,"5 Source no.",$C2986,"4 Item Ledger Entry Type",$C$4,"2 Item No.","@@"&amp;$F2986,"3 Posting Date",Z$9)</t>
  </si>
  <si>
    <t>=-NL("Sum","5802 Value Entry","151 Cost Amount (Expected)","41 Source Type",$C$5,"5 Source No.",$C2986,"4 Item Ledger Entry Type",$C$4,"2 Item No.","@@"&amp;$F2986,"3 Posting Date",Z$9)-NL("Sum","5802 Value Entry","43 Cost Amount (Actual)","41 Source Type",$C$5,"5 Source no.",$C2986,"4 Item Ledger Entry Type",$C$4,"2 Item No.","@@"&amp;$F2986,"3 Posting Date",Z$9)</t>
  </si>
  <si>
    <t>=Z2986-AB2986</t>
  </si>
  <si>
    <t>=IF(Z2986&lt;&gt;0,AC2986/Z2986,"")</t>
  </si>
  <si>
    <t>=C2986</t>
  </si>
  <si>
    <t>=NL("Sum","5802 Value Entry","150 Sales Amount (Expected)","41 Source Type",$C$5,"5 Source No.",$C2987,"4 Item Ledger Entry Type",$C$4,"2 Item No.","@@"&amp;$F2987,"3 Posting Date",J$9)+NL("Sum","5802 Value Entry","17 Sales Amount (Actual)","41 Source Type",$C$5,"5 Source no.",$C2987,"4 Item Ledger Entry Type",$C$4,"2 Item No.","@@"&amp;$F2987,"3 Posting Date",J$9)</t>
  </si>
  <si>
    <t>=-NL("Sum","5802 Value Entry","151 Cost Amount (Expected)","41 Source Type",$C$5,"5 Source No.",$C2987,"4 Item Ledger Entry Type",$C$4,"2 Item No.","@@"&amp;$F2987,"3 Posting Date",J$9)-NL("Sum","5802 Value Entry","43 Cost Amount (Actual)","41 Source Type",$C$5,"5 Source no.",$C2987,"4 Item Ledger Entry Type",$C$4,"2 Item No.","@@"&amp;$F2987,"3 Posting Date",J$9)</t>
  </si>
  <si>
    <t>=J2987-L2987</t>
  </si>
  <si>
    <t>=IF(J2987&lt;&gt;0,M2987/J2987,"")</t>
  </si>
  <si>
    <t>=NL("Sum","5802 Value Entry","150 Sales Amount (Expected)","41 Source Type",$C$5,"5 Source No.",$C2987,"4 Item Ledger Entry Type",$C$4,"2 Item No.","@@"&amp;$F2987,"3 Posting Date",O$9)+NL("Sum","5802 Value Entry","17 Sales Amount (Actual)","41 Source Type",$C$5,"5 Source no.",$C2987,"4 Item Ledger Entry Type",$C$4,"2 Item No.","@@"&amp;$F2987,"3 Posting Date",O$9)</t>
  </si>
  <si>
    <t>=-NL("Sum","5802 Value Entry","151 Cost Amount (Expected)","41 Source Type",$C$5,"5 Source No.",$C2987,"4 Item Ledger Entry Type",$C$4,"2 Item No.","@@"&amp;$F2987,"3 Posting Date",O$9)-NL("Sum","5802 Value Entry","43 Cost Amount (Actual)","41 Source Type",$C$5,"5 Source no.",$C2987,"4 Item Ledger Entry Type",$C$4,"2 Item No.","@@"&amp;$F2987,"3 Posting Date",O$9)</t>
  </si>
  <si>
    <t>=O2987-Q2987</t>
  </si>
  <si>
    <t>=IF(O2987&lt;&gt;0,R2987/O2987,"")</t>
  </si>
  <si>
    <t>=NL("Sum","5802 Value Entry","150 Sales Amount (Expected)","41 Source Type",$C$5,"5 Source No.",$C2987,"4 Item Ledger Entry Type",$C$4,"2 Item No.","@@"&amp;$F2987,"3 Posting Date",U$9)+NL("Sum","5802 Value Entry","17 Sales Amount (Actual)","41 Source Type",$C$5,"5 Source no.",$C2987,"4 Item Ledger Entry Type",$C$4,"2 Item No.","@@"&amp;$F2987,"3 Posting Date",U$9)</t>
  </si>
  <si>
    <t>=-NL("Sum","5802 Value Entry","151 Cost Amount (Expected)","41 Source Type",$C$5,"5 Source No.",$C2987,"4 Item Ledger Entry Type",$C$4,"2 Item No.","@@"&amp;$F2987,"3 Posting Date",U$9)-NL("Sum","5802 Value Entry","43 Cost Amount (Actual)","41 Source Type",$C$5,"5 Source no.",$C2987,"4 Item Ledger Entry Type",$C$4,"2 Item No.","@@"&amp;$F2987,"3 Posting Date",U$9)</t>
  </si>
  <si>
    <t>=U2987-W2987</t>
  </si>
  <si>
    <t>=IF(U2987&lt;&gt;0,X2987/U2987,"")</t>
  </si>
  <si>
    <t>=NL("Sum","5802 Value Entry","150 Sales Amount (Expected)","41 Source Type",$C$5,"5 Source No.",$C2987,"4 Item Ledger Entry Type",$C$4,"2 Item No.","@@"&amp;$F2987,"3 Posting Date",Z$9)+NL("Sum","5802 Value Entry","17 Sales Amount (Actual)","41 Source Type",$C$5,"5 Source no.",$C2987,"4 Item Ledger Entry Type",$C$4,"2 Item No.","@@"&amp;$F2987,"3 Posting Date",Z$9)</t>
  </si>
  <si>
    <t>=-NL("Sum","5802 Value Entry","151 Cost Amount (Expected)","41 Source Type",$C$5,"5 Source No.",$C2987,"4 Item Ledger Entry Type",$C$4,"2 Item No.","@@"&amp;$F2987,"3 Posting Date",Z$9)-NL("Sum","5802 Value Entry","43 Cost Amount (Actual)","41 Source Type",$C$5,"5 Source no.",$C2987,"4 Item Ledger Entry Type",$C$4,"2 Item No.","@@"&amp;$F2987,"3 Posting Date",Z$9)</t>
  </si>
  <si>
    <t>=Z2987-AB2987</t>
  </si>
  <si>
    <t>=IF(Z2987&lt;&gt;0,AC2987/Z2987,"")</t>
  </si>
  <si>
    <t>=C2987</t>
  </si>
  <si>
    <t>=NL("Sum","5802 Value Entry","150 Sales Amount (Expected)","41 Source Type",$C$5,"5 Source No.",$C2988,"4 Item Ledger Entry Type",$C$4,"2 Item No.","@@"&amp;$F2988,"3 Posting Date",J$9)+NL("Sum","5802 Value Entry","17 Sales Amount (Actual)","41 Source Type",$C$5,"5 Source no.",$C2988,"4 Item Ledger Entry Type",$C$4,"2 Item No.","@@"&amp;$F2988,"3 Posting Date",J$9)</t>
  </si>
  <si>
    <t>=-NL("Sum","5802 Value Entry","151 Cost Amount (Expected)","41 Source Type",$C$5,"5 Source No.",$C2988,"4 Item Ledger Entry Type",$C$4,"2 Item No.","@@"&amp;$F2988,"3 Posting Date",J$9)-NL("Sum","5802 Value Entry","43 Cost Amount (Actual)","41 Source Type",$C$5,"5 Source no.",$C2988,"4 Item Ledger Entry Type",$C$4,"2 Item No.","@@"&amp;$F2988,"3 Posting Date",J$9)</t>
  </si>
  <si>
    <t>=J2988-L2988</t>
  </si>
  <si>
    <t>=IF(J2988&lt;&gt;0,M2988/J2988,"")</t>
  </si>
  <si>
    <t>=NL("Sum","5802 Value Entry","150 Sales Amount (Expected)","41 Source Type",$C$5,"5 Source No.",$C2988,"4 Item Ledger Entry Type",$C$4,"2 Item No.","@@"&amp;$F2988,"3 Posting Date",O$9)+NL("Sum","5802 Value Entry","17 Sales Amount (Actual)","41 Source Type",$C$5,"5 Source no.",$C2988,"4 Item Ledger Entry Type",$C$4,"2 Item No.","@@"&amp;$F2988,"3 Posting Date",O$9)</t>
  </si>
  <si>
    <t>=-NL("Sum","5802 Value Entry","151 Cost Amount (Expected)","41 Source Type",$C$5,"5 Source No.",$C2988,"4 Item Ledger Entry Type",$C$4,"2 Item No.","@@"&amp;$F2988,"3 Posting Date",O$9)-NL("Sum","5802 Value Entry","43 Cost Amount (Actual)","41 Source Type",$C$5,"5 Source no.",$C2988,"4 Item Ledger Entry Type",$C$4,"2 Item No.","@@"&amp;$F2988,"3 Posting Date",O$9)</t>
  </si>
  <si>
    <t>=O2988-Q2988</t>
  </si>
  <si>
    <t>=IF(O2988&lt;&gt;0,R2988/O2988,"")</t>
  </si>
  <si>
    <t>=NL("Sum","5802 Value Entry","150 Sales Amount (Expected)","41 Source Type",$C$5,"5 Source No.",$C2988,"4 Item Ledger Entry Type",$C$4,"2 Item No.","@@"&amp;$F2988,"3 Posting Date",U$9)+NL("Sum","5802 Value Entry","17 Sales Amount (Actual)","41 Source Type",$C$5,"5 Source no.",$C2988,"4 Item Ledger Entry Type",$C$4,"2 Item No.","@@"&amp;$F2988,"3 Posting Date",U$9)</t>
  </si>
  <si>
    <t>=-NL("Sum","5802 Value Entry","151 Cost Amount (Expected)","41 Source Type",$C$5,"5 Source No.",$C2988,"4 Item Ledger Entry Type",$C$4,"2 Item No.","@@"&amp;$F2988,"3 Posting Date",U$9)-NL("Sum","5802 Value Entry","43 Cost Amount (Actual)","41 Source Type",$C$5,"5 Source no.",$C2988,"4 Item Ledger Entry Type",$C$4,"2 Item No.","@@"&amp;$F2988,"3 Posting Date",U$9)</t>
  </si>
  <si>
    <t>=U2988-W2988</t>
  </si>
  <si>
    <t>=IF(U2988&lt;&gt;0,X2988/U2988,"")</t>
  </si>
  <si>
    <t>=NL("Sum","5802 Value Entry","150 Sales Amount (Expected)","41 Source Type",$C$5,"5 Source No.",$C2988,"4 Item Ledger Entry Type",$C$4,"2 Item No.","@@"&amp;$F2988,"3 Posting Date",Z$9)+NL("Sum","5802 Value Entry","17 Sales Amount (Actual)","41 Source Type",$C$5,"5 Source no.",$C2988,"4 Item Ledger Entry Type",$C$4,"2 Item No.","@@"&amp;$F2988,"3 Posting Date",Z$9)</t>
  </si>
  <si>
    <t>=-NL("Sum","5802 Value Entry","151 Cost Amount (Expected)","41 Source Type",$C$5,"5 Source No.",$C2988,"4 Item Ledger Entry Type",$C$4,"2 Item No.","@@"&amp;$F2988,"3 Posting Date",Z$9)-NL("Sum","5802 Value Entry","43 Cost Amount (Actual)","41 Source Type",$C$5,"5 Source no.",$C2988,"4 Item Ledger Entry Type",$C$4,"2 Item No.","@@"&amp;$F2988,"3 Posting Date",Z$9)</t>
  </si>
  <si>
    <t>=Z2988-AB2988</t>
  </si>
  <si>
    <t>=IF(Z2988&lt;&gt;0,AC2988/Z2988,"")</t>
  </si>
  <si>
    <t>=C2988</t>
  </si>
  <si>
    <t>=NL("Sum","5802 Value Entry","150 Sales Amount (Expected)","41 Source Type",$C$5,"5 Source No.",$C2989,"4 Item Ledger Entry Type",$C$4,"2 Item No.","@@"&amp;$F2989,"3 Posting Date",J$9)+NL("Sum","5802 Value Entry","17 Sales Amount (Actual)","41 Source Type",$C$5,"5 Source no.",$C2989,"4 Item Ledger Entry Type",$C$4,"2 Item No.","@@"&amp;$F2989,"3 Posting Date",J$9)</t>
  </si>
  <si>
    <t>=-NL("Sum","5802 Value Entry","151 Cost Amount (Expected)","41 Source Type",$C$5,"5 Source No.",$C2989,"4 Item Ledger Entry Type",$C$4,"2 Item No.","@@"&amp;$F2989,"3 Posting Date",J$9)-NL("Sum","5802 Value Entry","43 Cost Amount (Actual)","41 Source Type",$C$5,"5 Source no.",$C2989,"4 Item Ledger Entry Type",$C$4,"2 Item No.","@@"&amp;$F2989,"3 Posting Date",J$9)</t>
  </si>
  <si>
    <t>=J2989-L2989</t>
  </si>
  <si>
    <t>=IF(J2989&lt;&gt;0,M2989/J2989,"")</t>
  </si>
  <si>
    <t>=NL("Sum","5802 Value Entry","150 Sales Amount (Expected)","41 Source Type",$C$5,"5 Source No.",$C2989,"4 Item Ledger Entry Type",$C$4,"2 Item No.","@@"&amp;$F2989,"3 Posting Date",O$9)+NL("Sum","5802 Value Entry","17 Sales Amount (Actual)","41 Source Type",$C$5,"5 Source no.",$C2989,"4 Item Ledger Entry Type",$C$4,"2 Item No.","@@"&amp;$F2989,"3 Posting Date",O$9)</t>
  </si>
  <si>
    <t>=-NL("Sum","5802 Value Entry","151 Cost Amount (Expected)","41 Source Type",$C$5,"5 Source No.",$C2989,"4 Item Ledger Entry Type",$C$4,"2 Item No.","@@"&amp;$F2989,"3 Posting Date",O$9)-NL("Sum","5802 Value Entry","43 Cost Amount (Actual)","41 Source Type",$C$5,"5 Source no.",$C2989,"4 Item Ledger Entry Type",$C$4,"2 Item No.","@@"&amp;$F2989,"3 Posting Date",O$9)</t>
  </si>
  <si>
    <t>=O2989-Q2989</t>
  </si>
  <si>
    <t>=IF(O2989&lt;&gt;0,R2989/O2989,"")</t>
  </si>
  <si>
    <t>=NL("Sum","5802 Value Entry","150 Sales Amount (Expected)","41 Source Type",$C$5,"5 Source No.",$C2989,"4 Item Ledger Entry Type",$C$4,"2 Item No.","@@"&amp;$F2989,"3 Posting Date",U$9)+NL("Sum","5802 Value Entry","17 Sales Amount (Actual)","41 Source Type",$C$5,"5 Source no.",$C2989,"4 Item Ledger Entry Type",$C$4,"2 Item No.","@@"&amp;$F2989,"3 Posting Date",U$9)</t>
  </si>
  <si>
    <t>=-NL("Sum","5802 Value Entry","151 Cost Amount (Expected)","41 Source Type",$C$5,"5 Source No.",$C2989,"4 Item Ledger Entry Type",$C$4,"2 Item No.","@@"&amp;$F2989,"3 Posting Date",U$9)-NL("Sum","5802 Value Entry","43 Cost Amount (Actual)","41 Source Type",$C$5,"5 Source no.",$C2989,"4 Item Ledger Entry Type",$C$4,"2 Item No.","@@"&amp;$F2989,"3 Posting Date",U$9)</t>
  </si>
  <si>
    <t>=U2989-W2989</t>
  </si>
  <si>
    <t>=IF(U2989&lt;&gt;0,X2989/U2989,"")</t>
  </si>
  <si>
    <t>=NL("Sum","5802 Value Entry","150 Sales Amount (Expected)","41 Source Type",$C$5,"5 Source No.",$C2989,"4 Item Ledger Entry Type",$C$4,"2 Item No.","@@"&amp;$F2989,"3 Posting Date",Z$9)+NL("Sum","5802 Value Entry","17 Sales Amount (Actual)","41 Source Type",$C$5,"5 Source no.",$C2989,"4 Item Ledger Entry Type",$C$4,"2 Item No.","@@"&amp;$F2989,"3 Posting Date",Z$9)</t>
  </si>
  <si>
    <t>=-NL("Sum","5802 Value Entry","151 Cost Amount (Expected)","41 Source Type",$C$5,"5 Source No.",$C2989,"4 Item Ledger Entry Type",$C$4,"2 Item No.","@@"&amp;$F2989,"3 Posting Date",Z$9)-NL("Sum","5802 Value Entry","43 Cost Amount (Actual)","41 Source Type",$C$5,"5 Source no.",$C2989,"4 Item Ledger Entry Type",$C$4,"2 Item No.","@@"&amp;$F2989,"3 Posting Date",Z$9)</t>
  </si>
  <si>
    <t>=Z2989-AB2989</t>
  </si>
  <si>
    <t>=IF(Z2989&lt;&gt;0,AC2989/Z2989,"")</t>
  </si>
  <si>
    <t>=C2989</t>
  </si>
  <si>
    <t>=NL("Sum","5802 Value Entry","150 Sales Amount (Expected)","41 Source Type",$C$5,"5 Source No.",$C2990,"4 Item Ledger Entry Type",$C$4,"2 Item No.","@@"&amp;$F2990,"3 Posting Date",J$9)+NL("Sum","5802 Value Entry","17 Sales Amount (Actual)","41 Source Type",$C$5,"5 Source no.",$C2990,"4 Item Ledger Entry Type",$C$4,"2 Item No.","@@"&amp;$F2990,"3 Posting Date",J$9)</t>
  </si>
  <si>
    <t>=-NL("Sum","5802 Value Entry","151 Cost Amount (Expected)","41 Source Type",$C$5,"5 Source No.",$C2990,"4 Item Ledger Entry Type",$C$4,"2 Item No.","@@"&amp;$F2990,"3 Posting Date",J$9)-NL("Sum","5802 Value Entry","43 Cost Amount (Actual)","41 Source Type",$C$5,"5 Source no.",$C2990,"4 Item Ledger Entry Type",$C$4,"2 Item No.","@@"&amp;$F2990,"3 Posting Date",J$9)</t>
  </si>
  <si>
    <t>=J2990-L2990</t>
  </si>
  <si>
    <t>=IF(J2990&lt;&gt;0,M2990/J2990,"")</t>
  </si>
  <si>
    <t>=NL("Sum","5802 Value Entry","150 Sales Amount (Expected)","41 Source Type",$C$5,"5 Source No.",$C2990,"4 Item Ledger Entry Type",$C$4,"2 Item No.","@@"&amp;$F2990,"3 Posting Date",O$9)+NL("Sum","5802 Value Entry","17 Sales Amount (Actual)","41 Source Type",$C$5,"5 Source no.",$C2990,"4 Item Ledger Entry Type",$C$4,"2 Item No.","@@"&amp;$F2990,"3 Posting Date",O$9)</t>
  </si>
  <si>
    <t>=-NL("Sum","5802 Value Entry","151 Cost Amount (Expected)","41 Source Type",$C$5,"5 Source No.",$C2990,"4 Item Ledger Entry Type",$C$4,"2 Item No.","@@"&amp;$F2990,"3 Posting Date",O$9)-NL("Sum","5802 Value Entry","43 Cost Amount (Actual)","41 Source Type",$C$5,"5 Source no.",$C2990,"4 Item Ledger Entry Type",$C$4,"2 Item No.","@@"&amp;$F2990,"3 Posting Date",O$9)</t>
  </si>
  <si>
    <t>=O2990-Q2990</t>
  </si>
  <si>
    <t>=IF(O2990&lt;&gt;0,R2990/O2990,"")</t>
  </si>
  <si>
    <t>=NL("Sum","5802 Value Entry","150 Sales Amount (Expected)","41 Source Type",$C$5,"5 Source No.",$C2990,"4 Item Ledger Entry Type",$C$4,"2 Item No.","@@"&amp;$F2990,"3 Posting Date",U$9)+NL("Sum","5802 Value Entry","17 Sales Amount (Actual)","41 Source Type",$C$5,"5 Source no.",$C2990,"4 Item Ledger Entry Type",$C$4,"2 Item No.","@@"&amp;$F2990,"3 Posting Date",U$9)</t>
  </si>
  <si>
    <t>=-NL("Sum","5802 Value Entry","151 Cost Amount (Expected)","41 Source Type",$C$5,"5 Source No.",$C2990,"4 Item Ledger Entry Type",$C$4,"2 Item No.","@@"&amp;$F2990,"3 Posting Date",U$9)-NL("Sum","5802 Value Entry","43 Cost Amount (Actual)","41 Source Type",$C$5,"5 Source no.",$C2990,"4 Item Ledger Entry Type",$C$4,"2 Item No.","@@"&amp;$F2990,"3 Posting Date",U$9)</t>
  </si>
  <si>
    <t>=U2990-W2990</t>
  </si>
  <si>
    <t>=IF(U2990&lt;&gt;0,X2990/U2990,"")</t>
  </si>
  <si>
    <t>=NL("Sum","5802 Value Entry","150 Sales Amount (Expected)","41 Source Type",$C$5,"5 Source No.",$C2990,"4 Item Ledger Entry Type",$C$4,"2 Item No.","@@"&amp;$F2990,"3 Posting Date",Z$9)+NL("Sum","5802 Value Entry","17 Sales Amount (Actual)","41 Source Type",$C$5,"5 Source no.",$C2990,"4 Item Ledger Entry Type",$C$4,"2 Item No.","@@"&amp;$F2990,"3 Posting Date",Z$9)</t>
  </si>
  <si>
    <t>=-NL("Sum","5802 Value Entry","151 Cost Amount (Expected)","41 Source Type",$C$5,"5 Source No.",$C2990,"4 Item Ledger Entry Type",$C$4,"2 Item No.","@@"&amp;$F2990,"3 Posting Date",Z$9)-NL("Sum","5802 Value Entry","43 Cost Amount (Actual)","41 Source Type",$C$5,"5 Source no.",$C2990,"4 Item Ledger Entry Type",$C$4,"2 Item No.","@@"&amp;$F2990,"3 Posting Date",Z$9)</t>
  </si>
  <si>
    <t>=Z2990-AB2990</t>
  </si>
  <si>
    <t>=IF(Z2990&lt;&gt;0,AC2990/Z2990,"")</t>
  </si>
  <si>
    <t>=C2990</t>
  </si>
  <si>
    <t>=NL("Sum","5802 Value Entry","150 Sales Amount (Expected)","41 Source Type",$C$5,"5 Source No.",$C2991,"4 Item Ledger Entry Type",$C$4,"2 Item No.","@@"&amp;$F2991,"3 Posting Date",J$9)+NL("Sum","5802 Value Entry","17 Sales Amount (Actual)","41 Source Type",$C$5,"5 Source no.",$C2991,"4 Item Ledger Entry Type",$C$4,"2 Item No.","@@"&amp;$F2991,"3 Posting Date",J$9)</t>
  </si>
  <si>
    <t>=-NL("Sum","5802 Value Entry","151 Cost Amount (Expected)","41 Source Type",$C$5,"5 Source No.",$C2991,"4 Item Ledger Entry Type",$C$4,"2 Item No.","@@"&amp;$F2991,"3 Posting Date",J$9)-NL("Sum","5802 Value Entry","43 Cost Amount (Actual)","41 Source Type",$C$5,"5 Source no.",$C2991,"4 Item Ledger Entry Type",$C$4,"2 Item No.","@@"&amp;$F2991,"3 Posting Date",J$9)</t>
  </si>
  <si>
    <t>=J2991-L2991</t>
  </si>
  <si>
    <t>=IF(J2991&lt;&gt;0,M2991/J2991,"")</t>
  </si>
  <si>
    <t>=NL("Sum","5802 Value Entry","150 Sales Amount (Expected)","41 Source Type",$C$5,"5 Source No.",$C2991,"4 Item Ledger Entry Type",$C$4,"2 Item No.","@@"&amp;$F2991,"3 Posting Date",O$9)+NL("Sum","5802 Value Entry","17 Sales Amount (Actual)","41 Source Type",$C$5,"5 Source no.",$C2991,"4 Item Ledger Entry Type",$C$4,"2 Item No.","@@"&amp;$F2991,"3 Posting Date",O$9)</t>
  </si>
  <si>
    <t>=-NL("Sum","5802 Value Entry","151 Cost Amount (Expected)","41 Source Type",$C$5,"5 Source No.",$C2991,"4 Item Ledger Entry Type",$C$4,"2 Item No.","@@"&amp;$F2991,"3 Posting Date",O$9)-NL("Sum","5802 Value Entry","43 Cost Amount (Actual)","41 Source Type",$C$5,"5 Source no.",$C2991,"4 Item Ledger Entry Type",$C$4,"2 Item No.","@@"&amp;$F2991,"3 Posting Date",O$9)</t>
  </si>
  <si>
    <t>=O2991-Q2991</t>
  </si>
  <si>
    <t>=IF(O2991&lt;&gt;0,R2991/O2991,"")</t>
  </si>
  <si>
    <t>=NL("Sum","5802 Value Entry","150 Sales Amount (Expected)","41 Source Type",$C$5,"5 Source No.",$C2991,"4 Item Ledger Entry Type",$C$4,"2 Item No.","@@"&amp;$F2991,"3 Posting Date",U$9)+NL("Sum","5802 Value Entry","17 Sales Amount (Actual)","41 Source Type",$C$5,"5 Source no.",$C2991,"4 Item Ledger Entry Type",$C$4,"2 Item No.","@@"&amp;$F2991,"3 Posting Date",U$9)</t>
  </si>
  <si>
    <t>=-NL("Sum","5802 Value Entry","151 Cost Amount (Expected)","41 Source Type",$C$5,"5 Source No.",$C2991,"4 Item Ledger Entry Type",$C$4,"2 Item No.","@@"&amp;$F2991,"3 Posting Date",U$9)-NL("Sum","5802 Value Entry","43 Cost Amount (Actual)","41 Source Type",$C$5,"5 Source no.",$C2991,"4 Item Ledger Entry Type",$C$4,"2 Item No.","@@"&amp;$F2991,"3 Posting Date",U$9)</t>
  </si>
  <si>
    <t>=U2991-W2991</t>
  </si>
  <si>
    <t>=IF(U2991&lt;&gt;0,X2991/U2991,"")</t>
  </si>
  <si>
    <t>=NL("Sum","5802 Value Entry","150 Sales Amount (Expected)","41 Source Type",$C$5,"5 Source No.",$C2991,"4 Item Ledger Entry Type",$C$4,"2 Item No.","@@"&amp;$F2991,"3 Posting Date",Z$9)+NL("Sum","5802 Value Entry","17 Sales Amount (Actual)","41 Source Type",$C$5,"5 Source no.",$C2991,"4 Item Ledger Entry Type",$C$4,"2 Item No.","@@"&amp;$F2991,"3 Posting Date",Z$9)</t>
  </si>
  <si>
    <t>=-NL("Sum","5802 Value Entry","151 Cost Amount (Expected)","41 Source Type",$C$5,"5 Source No.",$C2991,"4 Item Ledger Entry Type",$C$4,"2 Item No.","@@"&amp;$F2991,"3 Posting Date",Z$9)-NL("Sum","5802 Value Entry","43 Cost Amount (Actual)","41 Source Type",$C$5,"5 Source no.",$C2991,"4 Item Ledger Entry Type",$C$4,"2 Item No.","@@"&amp;$F2991,"3 Posting Date",Z$9)</t>
  </si>
  <si>
    <t>=Z2991-AB2991</t>
  </si>
  <si>
    <t>=IF(Z2991&lt;&gt;0,AC2991/Z2991,"")</t>
  </si>
  <si>
    <t>=C2991</t>
  </si>
  <si>
    <t>=NL("Sum","5802 Value Entry","150 Sales Amount (Expected)","41 Source Type",$C$5,"5 Source No.",$C2992,"4 Item Ledger Entry Type",$C$4,"2 Item No.","@@"&amp;$F2992,"3 Posting Date",J$9)+NL("Sum","5802 Value Entry","17 Sales Amount (Actual)","41 Source Type",$C$5,"5 Source no.",$C2992,"4 Item Ledger Entry Type",$C$4,"2 Item No.","@@"&amp;$F2992,"3 Posting Date",J$9)</t>
  </si>
  <si>
    <t>=-NL("Sum","5802 Value Entry","151 Cost Amount (Expected)","41 Source Type",$C$5,"5 Source No.",$C2992,"4 Item Ledger Entry Type",$C$4,"2 Item No.","@@"&amp;$F2992,"3 Posting Date",J$9)-NL("Sum","5802 Value Entry","43 Cost Amount (Actual)","41 Source Type",$C$5,"5 Source no.",$C2992,"4 Item Ledger Entry Type",$C$4,"2 Item No.","@@"&amp;$F2992,"3 Posting Date",J$9)</t>
  </si>
  <si>
    <t>=J2992-L2992</t>
  </si>
  <si>
    <t>=IF(J2992&lt;&gt;0,M2992/J2992,"")</t>
  </si>
  <si>
    <t>=NL("Sum","5802 Value Entry","150 Sales Amount (Expected)","41 Source Type",$C$5,"5 Source No.",$C2992,"4 Item Ledger Entry Type",$C$4,"2 Item No.","@@"&amp;$F2992,"3 Posting Date",O$9)+NL("Sum","5802 Value Entry","17 Sales Amount (Actual)","41 Source Type",$C$5,"5 Source no.",$C2992,"4 Item Ledger Entry Type",$C$4,"2 Item No.","@@"&amp;$F2992,"3 Posting Date",O$9)</t>
  </si>
  <si>
    <t>=-NL("Sum","5802 Value Entry","151 Cost Amount (Expected)","41 Source Type",$C$5,"5 Source No.",$C2992,"4 Item Ledger Entry Type",$C$4,"2 Item No.","@@"&amp;$F2992,"3 Posting Date",O$9)-NL("Sum","5802 Value Entry","43 Cost Amount (Actual)","41 Source Type",$C$5,"5 Source no.",$C2992,"4 Item Ledger Entry Type",$C$4,"2 Item No.","@@"&amp;$F2992,"3 Posting Date",O$9)</t>
  </si>
  <si>
    <t>=O2992-Q2992</t>
  </si>
  <si>
    <t>=IF(O2992&lt;&gt;0,R2992/O2992,"")</t>
  </si>
  <si>
    <t>=NL("Sum","5802 Value Entry","150 Sales Amount (Expected)","41 Source Type",$C$5,"5 Source No.",$C2992,"4 Item Ledger Entry Type",$C$4,"2 Item No.","@@"&amp;$F2992,"3 Posting Date",U$9)+NL("Sum","5802 Value Entry","17 Sales Amount (Actual)","41 Source Type",$C$5,"5 Source no.",$C2992,"4 Item Ledger Entry Type",$C$4,"2 Item No.","@@"&amp;$F2992,"3 Posting Date",U$9)</t>
  </si>
  <si>
    <t>=-NL("Sum","5802 Value Entry","151 Cost Amount (Expected)","41 Source Type",$C$5,"5 Source No.",$C2992,"4 Item Ledger Entry Type",$C$4,"2 Item No.","@@"&amp;$F2992,"3 Posting Date",U$9)-NL("Sum","5802 Value Entry","43 Cost Amount (Actual)","41 Source Type",$C$5,"5 Source no.",$C2992,"4 Item Ledger Entry Type",$C$4,"2 Item No.","@@"&amp;$F2992,"3 Posting Date",U$9)</t>
  </si>
  <si>
    <t>=U2992-W2992</t>
  </si>
  <si>
    <t>=IF(U2992&lt;&gt;0,X2992/U2992,"")</t>
  </si>
  <si>
    <t>=NL("Sum","5802 Value Entry","150 Sales Amount (Expected)","41 Source Type",$C$5,"5 Source No.",$C2992,"4 Item Ledger Entry Type",$C$4,"2 Item No.","@@"&amp;$F2992,"3 Posting Date",Z$9)+NL("Sum","5802 Value Entry","17 Sales Amount (Actual)","41 Source Type",$C$5,"5 Source no.",$C2992,"4 Item Ledger Entry Type",$C$4,"2 Item No.","@@"&amp;$F2992,"3 Posting Date",Z$9)</t>
  </si>
  <si>
    <t>=-NL("Sum","5802 Value Entry","151 Cost Amount (Expected)","41 Source Type",$C$5,"5 Source No.",$C2992,"4 Item Ledger Entry Type",$C$4,"2 Item No.","@@"&amp;$F2992,"3 Posting Date",Z$9)-NL("Sum","5802 Value Entry","43 Cost Amount (Actual)","41 Source Type",$C$5,"5 Source no.",$C2992,"4 Item Ledger Entry Type",$C$4,"2 Item No.","@@"&amp;$F2992,"3 Posting Date",Z$9)</t>
  </si>
  <si>
    <t>=Z2992-AB2992</t>
  </si>
  <si>
    <t>=IF(Z2992&lt;&gt;0,AC2992/Z2992,"")</t>
  </si>
  <si>
    <t>=C2992</t>
  </si>
  <si>
    <t>=NL("Sum","5802 Value Entry","150 Sales Amount (Expected)","41 Source Type",$C$5,"5 Source No.",$C2993,"4 Item Ledger Entry Type",$C$4,"2 Item No.","@@"&amp;$F2993,"3 Posting Date",J$9)+NL("Sum","5802 Value Entry","17 Sales Amount (Actual)","41 Source Type",$C$5,"5 Source no.",$C2993,"4 Item Ledger Entry Type",$C$4,"2 Item No.","@@"&amp;$F2993,"3 Posting Date",J$9)</t>
  </si>
  <si>
    <t>=-NL("Sum","5802 Value Entry","151 Cost Amount (Expected)","41 Source Type",$C$5,"5 Source No.",$C2993,"4 Item Ledger Entry Type",$C$4,"2 Item No.","@@"&amp;$F2993,"3 Posting Date",J$9)-NL("Sum","5802 Value Entry","43 Cost Amount (Actual)","41 Source Type",$C$5,"5 Source no.",$C2993,"4 Item Ledger Entry Type",$C$4,"2 Item No.","@@"&amp;$F2993,"3 Posting Date",J$9)</t>
  </si>
  <si>
    <t>=J2993-L2993</t>
  </si>
  <si>
    <t>=IF(J2993&lt;&gt;0,M2993/J2993,"")</t>
  </si>
  <si>
    <t>=NL("Sum","5802 Value Entry","150 Sales Amount (Expected)","41 Source Type",$C$5,"5 Source No.",$C2993,"4 Item Ledger Entry Type",$C$4,"2 Item No.","@@"&amp;$F2993,"3 Posting Date",O$9)+NL("Sum","5802 Value Entry","17 Sales Amount (Actual)","41 Source Type",$C$5,"5 Source no.",$C2993,"4 Item Ledger Entry Type",$C$4,"2 Item No.","@@"&amp;$F2993,"3 Posting Date",O$9)</t>
  </si>
  <si>
    <t>=-NL("Sum","5802 Value Entry","151 Cost Amount (Expected)","41 Source Type",$C$5,"5 Source No.",$C2993,"4 Item Ledger Entry Type",$C$4,"2 Item No.","@@"&amp;$F2993,"3 Posting Date",O$9)-NL("Sum","5802 Value Entry","43 Cost Amount (Actual)","41 Source Type",$C$5,"5 Source no.",$C2993,"4 Item Ledger Entry Type",$C$4,"2 Item No.","@@"&amp;$F2993,"3 Posting Date",O$9)</t>
  </si>
  <si>
    <t>=O2993-Q2993</t>
  </si>
  <si>
    <t>=IF(O2993&lt;&gt;0,R2993/O2993,"")</t>
  </si>
  <si>
    <t>=NL("Sum","5802 Value Entry","150 Sales Amount (Expected)","41 Source Type",$C$5,"5 Source No.",$C2993,"4 Item Ledger Entry Type",$C$4,"2 Item No.","@@"&amp;$F2993,"3 Posting Date",U$9)+NL("Sum","5802 Value Entry","17 Sales Amount (Actual)","41 Source Type",$C$5,"5 Source no.",$C2993,"4 Item Ledger Entry Type",$C$4,"2 Item No.","@@"&amp;$F2993,"3 Posting Date",U$9)</t>
  </si>
  <si>
    <t>=-NL("Sum","5802 Value Entry","151 Cost Amount (Expected)","41 Source Type",$C$5,"5 Source No.",$C2993,"4 Item Ledger Entry Type",$C$4,"2 Item No.","@@"&amp;$F2993,"3 Posting Date",U$9)-NL("Sum","5802 Value Entry","43 Cost Amount (Actual)","41 Source Type",$C$5,"5 Source no.",$C2993,"4 Item Ledger Entry Type",$C$4,"2 Item No.","@@"&amp;$F2993,"3 Posting Date",U$9)</t>
  </si>
  <si>
    <t>=U2993-W2993</t>
  </si>
  <si>
    <t>=IF(U2993&lt;&gt;0,X2993/U2993,"")</t>
  </si>
  <si>
    <t>=NL("Sum","5802 Value Entry","150 Sales Amount (Expected)","41 Source Type",$C$5,"5 Source No.",$C2993,"4 Item Ledger Entry Type",$C$4,"2 Item No.","@@"&amp;$F2993,"3 Posting Date",Z$9)+NL("Sum","5802 Value Entry","17 Sales Amount (Actual)","41 Source Type",$C$5,"5 Source no.",$C2993,"4 Item Ledger Entry Type",$C$4,"2 Item No.","@@"&amp;$F2993,"3 Posting Date",Z$9)</t>
  </si>
  <si>
    <t>=-NL("Sum","5802 Value Entry","151 Cost Amount (Expected)","41 Source Type",$C$5,"5 Source No.",$C2993,"4 Item Ledger Entry Type",$C$4,"2 Item No.","@@"&amp;$F2993,"3 Posting Date",Z$9)-NL("Sum","5802 Value Entry","43 Cost Amount (Actual)","41 Source Type",$C$5,"5 Source no.",$C2993,"4 Item Ledger Entry Type",$C$4,"2 Item No.","@@"&amp;$F2993,"3 Posting Date",Z$9)</t>
  </si>
  <si>
    <t>=Z2993-AB2993</t>
  </si>
  <si>
    <t>=IF(Z2993&lt;&gt;0,AC2993/Z2993,"")</t>
  </si>
  <si>
    <t>=C2993</t>
  </si>
  <si>
    <t>=NL("Sum","5802 Value Entry","150 Sales Amount (Expected)","41 Source Type",$C$5,"5 Source No.",$C2994,"4 Item Ledger Entry Type",$C$4,"2 Item No.","@@"&amp;$F2994,"3 Posting Date",J$9)+NL("Sum","5802 Value Entry","17 Sales Amount (Actual)","41 Source Type",$C$5,"5 Source no.",$C2994,"4 Item Ledger Entry Type",$C$4,"2 Item No.","@@"&amp;$F2994,"3 Posting Date",J$9)</t>
  </si>
  <si>
    <t>=-NL("Sum","5802 Value Entry","151 Cost Amount (Expected)","41 Source Type",$C$5,"5 Source No.",$C2994,"4 Item Ledger Entry Type",$C$4,"2 Item No.","@@"&amp;$F2994,"3 Posting Date",J$9)-NL("Sum","5802 Value Entry","43 Cost Amount (Actual)","41 Source Type",$C$5,"5 Source no.",$C2994,"4 Item Ledger Entry Type",$C$4,"2 Item No.","@@"&amp;$F2994,"3 Posting Date",J$9)</t>
  </si>
  <si>
    <t>=J2994-L2994</t>
  </si>
  <si>
    <t>=IF(J2994&lt;&gt;0,M2994/J2994,"")</t>
  </si>
  <si>
    <t>=NL("Sum","5802 Value Entry","150 Sales Amount (Expected)","41 Source Type",$C$5,"5 Source No.",$C2994,"4 Item Ledger Entry Type",$C$4,"2 Item No.","@@"&amp;$F2994,"3 Posting Date",O$9)+NL("Sum","5802 Value Entry","17 Sales Amount (Actual)","41 Source Type",$C$5,"5 Source no.",$C2994,"4 Item Ledger Entry Type",$C$4,"2 Item No.","@@"&amp;$F2994,"3 Posting Date",O$9)</t>
  </si>
  <si>
    <t>=-NL("Sum","5802 Value Entry","151 Cost Amount (Expected)","41 Source Type",$C$5,"5 Source No.",$C2994,"4 Item Ledger Entry Type",$C$4,"2 Item No.","@@"&amp;$F2994,"3 Posting Date",O$9)-NL("Sum","5802 Value Entry","43 Cost Amount (Actual)","41 Source Type",$C$5,"5 Source no.",$C2994,"4 Item Ledger Entry Type",$C$4,"2 Item No.","@@"&amp;$F2994,"3 Posting Date",O$9)</t>
  </si>
  <si>
    <t>=O2994-Q2994</t>
  </si>
  <si>
    <t>=IF(O2994&lt;&gt;0,R2994/O2994,"")</t>
  </si>
  <si>
    <t>=NL("Sum","5802 Value Entry","150 Sales Amount (Expected)","41 Source Type",$C$5,"5 Source No.",$C2994,"4 Item Ledger Entry Type",$C$4,"2 Item No.","@@"&amp;$F2994,"3 Posting Date",U$9)+NL("Sum","5802 Value Entry","17 Sales Amount (Actual)","41 Source Type",$C$5,"5 Source no.",$C2994,"4 Item Ledger Entry Type",$C$4,"2 Item No.","@@"&amp;$F2994,"3 Posting Date",U$9)</t>
  </si>
  <si>
    <t>=-NL("Sum","5802 Value Entry","151 Cost Amount (Expected)","41 Source Type",$C$5,"5 Source No.",$C2994,"4 Item Ledger Entry Type",$C$4,"2 Item No.","@@"&amp;$F2994,"3 Posting Date",U$9)-NL("Sum","5802 Value Entry","43 Cost Amount (Actual)","41 Source Type",$C$5,"5 Source no.",$C2994,"4 Item Ledger Entry Type",$C$4,"2 Item No.","@@"&amp;$F2994,"3 Posting Date",U$9)</t>
  </si>
  <si>
    <t>=U2994-W2994</t>
  </si>
  <si>
    <t>=IF(U2994&lt;&gt;0,X2994/U2994,"")</t>
  </si>
  <si>
    <t>=NL("Sum","5802 Value Entry","150 Sales Amount (Expected)","41 Source Type",$C$5,"5 Source No.",$C2994,"4 Item Ledger Entry Type",$C$4,"2 Item No.","@@"&amp;$F2994,"3 Posting Date",Z$9)+NL("Sum","5802 Value Entry","17 Sales Amount (Actual)","41 Source Type",$C$5,"5 Source no.",$C2994,"4 Item Ledger Entry Type",$C$4,"2 Item No.","@@"&amp;$F2994,"3 Posting Date",Z$9)</t>
  </si>
  <si>
    <t>=-NL("Sum","5802 Value Entry","151 Cost Amount (Expected)","41 Source Type",$C$5,"5 Source No.",$C2994,"4 Item Ledger Entry Type",$C$4,"2 Item No.","@@"&amp;$F2994,"3 Posting Date",Z$9)-NL("Sum","5802 Value Entry","43 Cost Amount (Actual)","41 Source Type",$C$5,"5 Source no.",$C2994,"4 Item Ledger Entry Type",$C$4,"2 Item No.","@@"&amp;$F2994,"3 Posting Date",Z$9)</t>
  </si>
  <si>
    <t>=Z2994-AB2994</t>
  </si>
  <si>
    <t>=IF(Z2994&lt;&gt;0,AC2994/Z2994,"")</t>
  </si>
  <si>
    <t>=C2994</t>
  </si>
  <si>
    <t>=NL("Sum","5802 Value Entry","150 Sales Amount (Expected)","41 Source Type",$C$5,"5 Source No.",$C2995,"4 Item Ledger Entry Type",$C$4,"2 Item No.","@@"&amp;$F2995,"3 Posting Date",J$9)+NL("Sum","5802 Value Entry","17 Sales Amount (Actual)","41 Source Type",$C$5,"5 Source no.",$C2995,"4 Item Ledger Entry Type",$C$4,"2 Item No.","@@"&amp;$F2995,"3 Posting Date",J$9)</t>
  </si>
  <si>
    <t>=-NL("Sum","5802 Value Entry","151 Cost Amount (Expected)","41 Source Type",$C$5,"5 Source No.",$C2995,"4 Item Ledger Entry Type",$C$4,"2 Item No.","@@"&amp;$F2995,"3 Posting Date",J$9)-NL("Sum","5802 Value Entry","43 Cost Amount (Actual)","41 Source Type",$C$5,"5 Source no.",$C2995,"4 Item Ledger Entry Type",$C$4,"2 Item No.","@@"&amp;$F2995,"3 Posting Date",J$9)</t>
  </si>
  <si>
    <t>=J2995-L2995</t>
  </si>
  <si>
    <t>=IF(J2995&lt;&gt;0,M2995/J2995,"")</t>
  </si>
  <si>
    <t>=NL("Sum","5802 Value Entry","150 Sales Amount (Expected)","41 Source Type",$C$5,"5 Source No.",$C2995,"4 Item Ledger Entry Type",$C$4,"2 Item No.","@@"&amp;$F2995,"3 Posting Date",O$9)+NL("Sum","5802 Value Entry","17 Sales Amount (Actual)","41 Source Type",$C$5,"5 Source no.",$C2995,"4 Item Ledger Entry Type",$C$4,"2 Item No.","@@"&amp;$F2995,"3 Posting Date",O$9)</t>
  </si>
  <si>
    <t>=-NL("Sum","5802 Value Entry","151 Cost Amount (Expected)","41 Source Type",$C$5,"5 Source No.",$C2995,"4 Item Ledger Entry Type",$C$4,"2 Item No.","@@"&amp;$F2995,"3 Posting Date",O$9)-NL("Sum","5802 Value Entry","43 Cost Amount (Actual)","41 Source Type",$C$5,"5 Source no.",$C2995,"4 Item Ledger Entry Type",$C$4,"2 Item No.","@@"&amp;$F2995,"3 Posting Date",O$9)</t>
  </si>
  <si>
    <t>=O2995-Q2995</t>
  </si>
  <si>
    <t>=IF(O2995&lt;&gt;0,R2995/O2995,"")</t>
  </si>
  <si>
    <t>=NL("Sum","5802 Value Entry","150 Sales Amount (Expected)","41 Source Type",$C$5,"5 Source No.",$C2995,"4 Item Ledger Entry Type",$C$4,"2 Item No.","@@"&amp;$F2995,"3 Posting Date",U$9)+NL("Sum","5802 Value Entry","17 Sales Amount (Actual)","41 Source Type",$C$5,"5 Source no.",$C2995,"4 Item Ledger Entry Type",$C$4,"2 Item No.","@@"&amp;$F2995,"3 Posting Date",U$9)</t>
  </si>
  <si>
    <t>=-NL("Sum","5802 Value Entry","151 Cost Amount (Expected)","41 Source Type",$C$5,"5 Source No.",$C2995,"4 Item Ledger Entry Type",$C$4,"2 Item No.","@@"&amp;$F2995,"3 Posting Date",U$9)-NL("Sum","5802 Value Entry","43 Cost Amount (Actual)","41 Source Type",$C$5,"5 Source no.",$C2995,"4 Item Ledger Entry Type",$C$4,"2 Item No.","@@"&amp;$F2995,"3 Posting Date",U$9)</t>
  </si>
  <si>
    <t>=U2995-W2995</t>
  </si>
  <si>
    <t>=IF(U2995&lt;&gt;0,X2995/U2995,"")</t>
  </si>
  <si>
    <t>=NL("Sum","5802 Value Entry","150 Sales Amount (Expected)","41 Source Type",$C$5,"5 Source No.",$C2995,"4 Item Ledger Entry Type",$C$4,"2 Item No.","@@"&amp;$F2995,"3 Posting Date",Z$9)+NL("Sum","5802 Value Entry","17 Sales Amount (Actual)","41 Source Type",$C$5,"5 Source no.",$C2995,"4 Item Ledger Entry Type",$C$4,"2 Item No.","@@"&amp;$F2995,"3 Posting Date",Z$9)</t>
  </si>
  <si>
    <t>=-NL("Sum","5802 Value Entry","151 Cost Amount (Expected)","41 Source Type",$C$5,"5 Source No.",$C2995,"4 Item Ledger Entry Type",$C$4,"2 Item No.","@@"&amp;$F2995,"3 Posting Date",Z$9)-NL("Sum","5802 Value Entry","43 Cost Amount (Actual)","41 Source Type",$C$5,"5 Source no.",$C2995,"4 Item Ledger Entry Type",$C$4,"2 Item No.","@@"&amp;$F2995,"3 Posting Date",Z$9)</t>
  </si>
  <si>
    <t>=Z2995-AB2995</t>
  </si>
  <si>
    <t>=IF(Z2995&lt;&gt;0,AC2995/Z2995,"")</t>
  </si>
  <si>
    <t>=C2995</t>
  </si>
  <si>
    <t>=NL("Sum","5802 Value Entry","150 Sales Amount (Expected)","41 Source Type",$C$5,"5 Source No.",$C2996,"4 Item Ledger Entry Type",$C$4,"2 Item No.","@@"&amp;$F2996,"3 Posting Date",J$9)+NL("Sum","5802 Value Entry","17 Sales Amount (Actual)","41 Source Type",$C$5,"5 Source no.",$C2996,"4 Item Ledger Entry Type",$C$4,"2 Item No.","@@"&amp;$F2996,"3 Posting Date",J$9)</t>
  </si>
  <si>
    <t>=-NL("Sum","5802 Value Entry","151 Cost Amount (Expected)","41 Source Type",$C$5,"5 Source No.",$C2996,"4 Item Ledger Entry Type",$C$4,"2 Item No.","@@"&amp;$F2996,"3 Posting Date",J$9)-NL("Sum","5802 Value Entry","43 Cost Amount (Actual)","41 Source Type",$C$5,"5 Source no.",$C2996,"4 Item Ledger Entry Type",$C$4,"2 Item No.","@@"&amp;$F2996,"3 Posting Date",J$9)</t>
  </si>
  <si>
    <t>=J2996-L2996</t>
  </si>
  <si>
    <t>=IF(J2996&lt;&gt;0,M2996/J2996,"")</t>
  </si>
  <si>
    <t>=NL("Sum","5802 Value Entry","150 Sales Amount (Expected)","41 Source Type",$C$5,"5 Source No.",$C2996,"4 Item Ledger Entry Type",$C$4,"2 Item No.","@@"&amp;$F2996,"3 Posting Date",O$9)+NL("Sum","5802 Value Entry","17 Sales Amount (Actual)","41 Source Type",$C$5,"5 Source no.",$C2996,"4 Item Ledger Entry Type",$C$4,"2 Item No.","@@"&amp;$F2996,"3 Posting Date",O$9)</t>
  </si>
  <si>
    <t>=-NL("Sum","5802 Value Entry","151 Cost Amount (Expected)","41 Source Type",$C$5,"5 Source No.",$C2996,"4 Item Ledger Entry Type",$C$4,"2 Item No.","@@"&amp;$F2996,"3 Posting Date",O$9)-NL("Sum","5802 Value Entry","43 Cost Amount (Actual)","41 Source Type",$C$5,"5 Source no.",$C2996,"4 Item Ledger Entry Type",$C$4,"2 Item No.","@@"&amp;$F2996,"3 Posting Date",O$9)</t>
  </si>
  <si>
    <t>=O2996-Q2996</t>
  </si>
  <si>
    <t>=IF(O2996&lt;&gt;0,R2996/O2996,"")</t>
  </si>
  <si>
    <t>=NL("Sum","5802 Value Entry","150 Sales Amount (Expected)","41 Source Type",$C$5,"5 Source No.",$C2996,"4 Item Ledger Entry Type",$C$4,"2 Item No.","@@"&amp;$F2996,"3 Posting Date",U$9)+NL("Sum","5802 Value Entry","17 Sales Amount (Actual)","41 Source Type",$C$5,"5 Source no.",$C2996,"4 Item Ledger Entry Type",$C$4,"2 Item No.","@@"&amp;$F2996,"3 Posting Date",U$9)</t>
  </si>
  <si>
    <t>=-NL("Sum","5802 Value Entry","151 Cost Amount (Expected)","41 Source Type",$C$5,"5 Source No.",$C2996,"4 Item Ledger Entry Type",$C$4,"2 Item No.","@@"&amp;$F2996,"3 Posting Date",U$9)-NL("Sum","5802 Value Entry","43 Cost Amount (Actual)","41 Source Type",$C$5,"5 Source no.",$C2996,"4 Item Ledger Entry Type",$C$4,"2 Item No.","@@"&amp;$F2996,"3 Posting Date",U$9)</t>
  </si>
  <si>
    <t>=U2996-W2996</t>
  </si>
  <si>
    <t>=IF(U2996&lt;&gt;0,X2996/U2996,"")</t>
  </si>
  <si>
    <t>=NL("Sum","5802 Value Entry","150 Sales Amount (Expected)","41 Source Type",$C$5,"5 Source No.",$C2996,"4 Item Ledger Entry Type",$C$4,"2 Item No.","@@"&amp;$F2996,"3 Posting Date",Z$9)+NL("Sum","5802 Value Entry","17 Sales Amount (Actual)","41 Source Type",$C$5,"5 Source no.",$C2996,"4 Item Ledger Entry Type",$C$4,"2 Item No.","@@"&amp;$F2996,"3 Posting Date",Z$9)</t>
  </si>
  <si>
    <t>=-NL("Sum","5802 Value Entry","151 Cost Amount (Expected)","41 Source Type",$C$5,"5 Source No.",$C2996,"4 Item Ledger Entry Type",$C$4,"2 Item No.","@@"&amp;$F2996,"3 Posting Date",Z$9)-NL("Sum","5802 Value Entry","43 Cost Amount (Actual)","41 Source Type",$C$5,"5 Source no.",$C2996,"4 Item Ledger Entry Type",$C$4,"2 Item No.","@@"&amp;$F2996,"3 Posting Date",Z$9)</t>
  </si>
  <si>
    <t>=Z2996-AB2996</t>
  </si>
  <si>
    <t>=IF(Z2996&lt;&gt;0,AC2996/Z2996,"")</t>
  </si>
  <si>
    <t>=C2996</t>
  </si>
  <si>
    <t>=NL("Sum","5802 Value Entry","150 Sales Amount (Expected)","41 Source Type",$C$5,"5 Source No.",$C2997,"4 Item Ledger Entry Type",$C$4,"2 Item No.","@@"&amp;$F2997,"3 Posting Date",J$9)+NL("Sum","5802 Value Entry","17 Sales Amount (Actual)","41 Source Type",$C$5,"5 Source no.",$C2997,"4 Item Ledger Entry Type",$C$4,"2 Item No.","@@"&amp;$F2997,"3 Posting Date",J$9)</t>
  </si>
  <si>
    <t>=-NL("Sum","5802 Value Entry","151 Cost Amount (Expected)","41 Source Type",$C$5,"5 Source No.",$C2997,"4 Item Ledger Entry Type",$C$4,"2 Item No.","@@"&amp;$F2997,"3 Posting Date",J$9)-NL("Sum","5802 Value Entry","43 Cost Amount (Actual)","41 Source Type",$C$5,"5 Source no.",$C2997,"4 Item Ledger Entry Type",$C$4,"2 Item No.","@@"&amp;$F2997,"3 Posting Date",J$9)</t>
  </si>
  <si>
    <t>=J2997-L2997</t>
  </si>
  <si>
    <t>=IF(J2997&lt;&gt;0,M2997/J2997,"")</t>
  </si>
  <si>
    <t>=NL("Sum","5802 Value Entry","150 Sales Amount (Expected)","41 Source Type",$C$5,"5 Source No.",$C2997,"4 Item Ledger Entry Type",$C$4,"2 Item No.","@@"&amp;$F2997,"3 Posting Date",O$9)+NL("Sum","5802 Value Entry","17 Sales Amount (Actual)","41 Source Type",$C$5,"5 Source no.",$C2997,"4 Item Ledger Entry Type",$C$4,"2 Item No.","@@"&amp;$F2997,"3 Posting Date",O$9)</t>
  </si>
  <si>
    <t>=-NL("Sum","5802 Value Entry","151 Cost Amount (Expected)","41 Source Type",$C$5,"5 Source No.",$C2997,"4 Item Ledger Entry Type",$C$4,"2 Item No.","@@"&amp;$F2997,"3 Posting Date",O$9)-NL("Sum","5802 Value Entry","43 Cost Amount (Actual)","41 Source Type",$C$5,"5 Source no.",$C2997,"4 Item Ledger Entry Type",$C$4,"2 Item No.","@@"&amp;$F2997,"3 Posting Date",O$9)</t>
  </si>
  <si>
    <t>=O2997-Q2997</t>
  </si>
  <si>
    <t>=IF(O2997&lt;&gt;0,R2997/O2997,"")</t>
  </si>
  <si>
    <t>=NL("Sum","5802 Value Entry","150 Sales Amount (Expected)","41 Source Type",$C$5,"5 Source No.",$C2997,"4 Item Ledger Entry Type",$C$4,"2 Item No.","@@"&amp;$F2997,"3 Posting Date",U$9)+NL("Sum","5802 Value Entry","17 Sales Amount (Actual)","41 Source Type",$C$5,"5 Source no.",$C2997,"4 Item Ledger Entry Type",$C$4,"2 Item No.","@@"&amp;$F2997,"3 Posting Date",U$9)</t>
  </si>
  <si>
    <t>=-NL("Sum","5802 Value Entry","151 Cost Amount (Expected)","41 Source Type",$C$5,"5 Source No.",$C2997,"4 Item Ledger Entry Type",$C$4,"2 Item No.","@@"&amp;$F2997,"3 Posting Date",U$9)-NL("Sum","5802 Value Entry","43 Cost Amount (Actual)","41 Source Type",$C$5,"5 Source no.",$C2997,"4 Item Ledger Entry Type",$C$4,"2 Item No.","@@"&amp;$F2997,"3 Posting Date",U$9)</t>
  </si>
  <si>
    <t>=U2997-W2997</t>
  </si>
  <si>
    <t>=IF(U2997&lt;&gt;0,X2997/U2997,"")</t>
  </si>
  <si>
    <t>=NL("Sum","5802 Value Entry","150 Sales Amount (Expected)","41 Source Type",$C$5,"5 Source No.",$C2997,"4 Item Ledger Entry Type",$C$4,"2 Item No.","@@"&amp;$F2997,"3 Posting Date",Z$9)+NL("Sum","5802 Value Entry","17 Sales Amount (Actual)","41 Source Type",$C$5,"5 Source no.",$C2997,"4 Item Ledger Entry Type",$C$4,"2 Item No.","@@"&amp;$F2997,"3 Posting Date",Z$9)</t>
  </si>
  <si>
    <t>=-NL("Sum","5802 Value Entry","151 Cost Amount (Expected)","41 Source Type",$C$5,"5 Source No.",$C2997,"4 Item Ledger Entry Type",$C$4,"2 Item No.","@@"&amp;$F2997,"3 Posting Date",Z$9)-NL("Sum","5802 Value Entry","43 Cost Amount (Actual)","41 Source Type",$C$5,"5 Source no.",$C2997,"4 Item Ledger Entry Type",$C$4,"2 Item No.","@@"&amp;$F2997,"3 Posting Date",Z$9)</t>
  </si>
  <si>
    <t>=Z2997-AB2997</t>
  </si>
  <si>
    <t>=IF(Z2997&lt;&gt;0,AC2997/Z2997,"")</t>
  </si>
  <si>
    <t>=C2997</t>
  </si>
  <si>
    <t>=NL("Sum","5802 Value Entry","150 Sales Amount (Expected)","41 Source Type",$C$5,"5 Source No.",$C2998,"4 Item Ledger Entry Type",$C$4,"2 Item No.","@@"&amp;$F2998,"3 Posting Date",J$9)+NL("Sum","5802 Value Entry","17 Sales Amount (Actual)","41 Source Type",$C$5,"5 Source no.",$C2998,"4 Item Ledger Entry Type",$C$4,"2 Item No.","@@"&amp;$F2998,"3 Posting Date",J$9)</t>
  </si>
  <si>
    <t>=-NL("Sum","5802 Value Entry","151 Cost Amount (Expected)","41 Source Type",$C$5,"5 Source No.",$C2998,"4 Item Ledger Entry Type",$C$4,"2 Item No.","@@"&amp;$F2998,"3 Posting Date",J$9)-NL("Sum","5802 Value Entry","43 Cost Amount (Actual)","41 Source Type",$C$5,"5 Source no.",$C2998,"4 Item Ledger Entry Type",$C$4,"2 Item No.","@@"&amp;$F2998,"3 Posting Date",J$9)</t>
  </si>
  <si>
    <t>=J2998-L2998</t>
  </si>
  <si>
    <t>=IF(J2998&lt;&gt;0,M2998/J2998,"")</t>
  </si>
  <si>
    <t>=NL("Sum","5802 Value Entry","150 Sales Amount (Expected)","41 Source Type",$C$5,"5 Source No.",$C2998,"4 Item Ledger Entry Type",$C$4,"2 Item No.","@@"&amp;$F2998,"3 Posting Date",O$9)+NL("Sum","5802 Value Entry","17 Sales Amount (Actual)","41 Source Type",$C$5,"5 Source no.",$C2998,"4 Item Ledger Entry Type",$C$4,"2 Item No.","@@"&amp;$F2998,"3 Posting Date",O$9)</t>
  </si>
  <si>
    <t>=-NL("Sum","5802 Value Entry","151 Cost Amount (Expected)","41 Source Type",$C$5,"5 Source No.",$C2998,"4 Item Ledger Entry Type",$C$4,"2 Item No.","@@"&amp;$F2998,"3 Posting Date",O$9)-NL("Sum","5802 Value Entry","43 Cost Amount (Actual)","41 Source Type",$C$5,"5 Source no.",$C2998,"4 Item Ledger Entry Type",$C$4,"2 Item No.","@@"&amp;$F2998,"3 Posting Date",O$9)</t>
  </si>
  <si>
    <t>=O2998-Q2998</t>
  </si>
  <si>
    <t>=IF(O2998&lt;&gt;0,R2998/O2998,"")</t>
  </si>
  <si>
    <t>=NL("Sum","5802 Value Entry","150 Sales Amount (Expected)","41 Source Type",$C$5,"5 Source No.",$C2998,"4 Item Ledger Entry Type",$C$4,"2 Item No.","@@"&amp;$F2998,"3 Posting Date",U$9)+NL("Sum","5802 Value Entry","17 Sales Amount (Actual)","41 Source Type",$C$5,"5 Source no.",$C2998,"4 Item Ledger Entry Type",$C$4,"2 Item No.","@@"&amp;$F2998,"3 Posting Date",U$9)</t>
  </si>
  <si>
    <t>=-NL("Sum","5802 Value Entry","151 Cost Amount (Expected)","41 Source Type",$C$5,"5 Source No.",$C2998,"4 Item Ledger Entry Type",$C$4,"2 Item No.","@@"&amp;$F2998,"3 Posting Date",U$9)-NL("Sum","5802 Value Entry","43 Cost Amount (Actual)","41 Source Type",$C$5,"5 Source no.",$C2998,"4 Item Ledger Entry Type",$C$4,"2 Item No.","@@"&amp;$F2998,"3 Posting Date",U$9)</t>
  </si>
  <si>
    <t>=U2998-W2998</t>
  </si>
  <si>
    <t>=IF(U2998&lt;&gt;0,X2998/U2998,"")</t>
  </si>
  <si>
    <t>=NL("Sum","5802 Value Entry","150 Sales Amount (Expected)","41 Source Type",$C$5,"5 Source No.",$C2998,"4 Item Ledger Entry Type",$C$4,"2 Item No.","@@"&amp;$F2998,"3 Posting Date",Z$9)+NL("Sum","5802 Value Entry","17 Sales Amount (Actual)","41 Source Type",$C$5,"5 Source no.",$C2998,"4 Item Ledger Entry Type",$C$4,"2 Item No.","@@"&amp;$F2998,"3 Posting Date",Z$9)</t>
  </si>
  <si>
    <t>=-NL("Sum","5802 Value Entry","151 Cost Amount (Expected)","41 Source Type",$C$5,"5 Source No.",$C2998,"4 Item Ledger Entry Type",$C$4,"2 Item No.","@@"&amp;$F2998,"3 Posting Date",Z$9)-NL("Sum","5802 Value Entry","43 Cost Amount (Actual)","41 Source Type",$C$5,"5 Source no.",$C2998,"4 Item Ledger Entry Type",$C$4,"2 Item No.","@@"&amp;$F2998,"3 Posting Date",Z$9)</t>
  </si>
  <si>
    <t>=Z2998-AB2998</t>
  </si>
  <si>
    <t>=IF(Z2998&lt;&gt;0,AC2998/Z2998,"")</t>
  </si>
  <si>
    <t>=C2999</t>
  </si>
  <si>
    <t>=J3000-L3000</t>
  </si>
  <si>
    <t>=IF(J3000&lt;&gt;0,M3000/J3000,"")</t>
  </si>
  <si>
    <t>=O3000-Q3000</t>
  </si>
  <si>
    <t>=IF(O3000&lt;&gt;0,R3000/O3000,"")</t>
  </si>
  <si>
    <t>=U3000-W3000</t>
  </si>
  <si>
    <t>=IF(U3000&lt;&gt;0,X3000/U3000,"")</t>
  </si>
  <si>
    <t>=Z3000-AB3000</t>
  </si>
  <si>
    <t>=IF(Z3000&lt;&gt;0,AC3000/Z3000,"")</t>
  </si>
  <si>
    <t>=C3002</t>
  </si>
  <si>
    <t>=C3003</t>
  </si>
  <si>
    <t>=NL("Sum","5802 Value Entry","150 Sales Amount (Expected)","41 Source Type",$C$5,"5 Source No.",$C3004,"4 Item Ledger Entry Type",$C$4,"2 Item No.","@@"&amp;$F3004,"3 Posting Date",J$9)+NL("Sum","5802 Value Entry","17 Sales Amount (Actual)","41 Source Type",$C$5,"5 Source no.",$C3004,"4 Item Ledger Entry Type",$C$4,"2 Item No.","@@"&amp;$F3004,"3 Posting Date",J$9)</t>
  </si>
  <si>
    <t>=-NL("Sum","5802 Value Entry","151 Cost Amount (Expected)","41 Source Type",$C$5,"5 Source No.",$C3004,"4 Item Ledger Entry Type",$C$4,"2 Item No.","@@"&amp;$F3004,"3 Posting Date",J$9)-NL("Sum","5802 Value Entry","43 Cost Amount (Actual)","41 Source Type",$C$5,"5 Source no.",$C3004,"4 Item Ledger Entry Type",$C$4,"2 Item No.","@@"&amp;$F3004,"3 Posting Date",J$9)</t>
  </si>
  <si>
    <t>=J3004-L3004</t>
  </si>
  <si>
    <t>=IF(J3004&lt;&gt;0,M3004/J3004,"")</t>
  </si>
  <si>
    <t>=NL("Sum","5802 Value Entry","150 Sales Amount (Expected)","41 Source Type",$C$5,"5 Source No.",$C3004,"4 Item Ledger Entry Type",$C$4,"2 Item No.","@@"&amp;$F3004,"3 Posting Date",O$9)+NL("Sum","5802 Value Entry","17 Sales Amount (Actual)","41 Source Type",$C$5,"5 Source no.",$C3004,"4 Item Ledger Entry Type",$C$4,"2 Item No.","@@"&amp;$F3004,"3 Posting Date",O$9)</t>
  </si>
  <si>
    <t>=-NL("Sum","5802 Value Entry","151 Cost Amount (Expected)","41 Source Type",$C$5,"5 Source No.",$C3004,"4 Item Ledger Entry Type",$C$4,"2 Item No.","@@"&amp;$F3004,"3 Posting Date",O$9)-NL("Sum","5802 Value Entry","43 Cost Amount (Actual)","41 Source Type",$C$5,"5 Source no.",$C3004,"4 Item Ledger Entry Type",$C$4,"2 Item No.","@@"&amp;$F3004,"3 Posting Date",O$9)</t>
  </si>
  <si>
    <t>=O3004-Q3004</t>
  </si>
  <si>
    <t>=IF(O3004&lt;&gt;0,R3004/O3004,"")</t>
  </si>
  <si>
    <t>=NL("Sum","5802 Value Entry","150 Sales Amount (Expected)","41 Source Type",$C$5,"5 Source No.",$C3004,"4 Item Ledger Entry Type",$C$4,"2 Item No.","@@"&amp;$F3004,"3 Posting Date",U$9)+NL("Sum","5802 Value Entry","17 Sales Amount (Actual)","41 Source Type",$C$5,"5 Source no.",$C3004,"4 Item Ledger Entry Type",$C$4,"2 Item No.","@@"&amp;$F3004,"3 Posting Date",U$9)</t>
  </si>
  <si>
    <t>=-NL("Sum","5802 Value Entry","151 Cost Amount (Expected)","41 Source Type",$C$5,"5 Source No.",$C3004,"4 Item Ledger Entry Type",$C$4,"2 Item No.","@@"&amp;$F3004,"3 Posting Date",U$9)-NL("Sum","5802 Value Entry","43 Cost Amount (Actual)","41 Source Type",$C$5,"5 Source no.",$C3004,"4 Item Ledger Entry Type",$C$4,"2 Item No.","@@"&amp;$F3004,"3 Posting Date",U$9)</t>
  </si>
  <si>
    <t>=U3004-W3004</t>
  </si>
  <si>
    <t>=IF(U3004&lt;&gt;0,X3004/U3004,"")</t>
  </si>
  <si>
    <t>=NL("Sum","5802 Value Entry","150 Sales Amount (Expected)","41 Source Type",$C$5,"5 Source No.",$C3004,"4 Item Ledger Entry Type",$C$4,"2 Item No.","@@"&amp;$F3004,"3 Posting Date",Z$9)+NL("Sum","5802 Value Entry","17 Sales Amount (Actual)","41 Source Type",$C$5,"5 Source no.",$C3004,"4 Item Ledger Entry Type",$C$4,"2 Item No.","@@"&amp;$F3004,"3 Posting Date",Z$9)</t>
  </si>
  <si>
    <t>=-NL("Sum","5802 Value Entry","151 Cost Amount (Expected)","41 Source Type",$C$5,"5 Source No.",$C3004,"4 Item Ledger Entry Type",$C$4,"2 Item No.","@@"&amp;$F3004,"3 Posting Date",Z$9)-NL("Sum","5802 Value Entry","43 Cost Amount (Actual)","41 Source Type",$C$5,"5 Source no.",$C3004,"4 Item Ledger Entry Type",$C$4,"2 Item No.","@@"&amp;$F3004,"3 Posting Date",Z$9)</t>
  </si>
  <si>
    <t>=Z3004-AB3004</t>
  </si>
  <si>
    <t>=IF(Z3004&lt;&gt;0,AC3004/Z3004,"")</t>
  </si>
  <si>
    <t>=C3004</t>
  </si>
  <si>
    <t>=NL("Sum","5802 Value Entry","150 Sales Amount (Expected)","41 Source Type",$C$5,"5 Source No.",$C3005,"4 Item Ledger Entry Type",$C$4,"2 Item No.","@@"&amp;$F3005,"3 Posting Date",J$9)+NL("Sum","5802 Value Entry","17 Sales Amount (Actual)","41 Source Type",$C$5,"5 Source no.",$C3005,"4 Item Ledger Entry Type",$C$4,"2 Item No.","@@"&amp;$F3005,"3 Posting Date",J$9)</t>
  </si>
  <si>
    <t>=-NL("Sum","5802 Value Entry","151 Cost Amount (Expected)","41 Source Type",$C$5,"5 Source No.",$C3005,"4 Item Ledger Entry Type",$C$4,"2 Item No.","@@"&amp;$F3005,"3 Posting Date",J$9)-NL("Sum","5802 Value Entry","43 Cost Amount (Actual)","41 Source Type",$C$5,"5 Source no.",$C3005,"4 Item Ledger Entry Type",$C$4,"2 Item No.","@@"&amp;$F3005,"3 Posting Date",J$9)</t>
  </si>
  <si>
    <t>=J3005-L3005</t>
  </si>
  <si>
    <t>=IF(J3005&lt;&gt;0,M3005/J3005,"")</t>
  </si>
  <si>
    <t>=NL("Sum","5802 Value Entry","150 Sales Amount (Expected)","41 Source Type",$C$5,"5 Source No.",$C3005,"4 Item Ledger Entry Type",$C$4,"2 Item No.","@@"&amp;$F3005,"3 Posting Date",O$9)+NL("Sum","5802 Value Entry","17 Sales Amount (Actual)","41 Source Type",$C$5,"5 Source no.",$C3005,"4 Item Ledger Entry Type",$C$4,"2 Item No.","@@"&amp;$F3005,"3 Posting Date",O$9)</t>
  </si>
  <si>
    <t>=-NL("Sum","5802 Value Entry","151 Cost Amount (Expected)","41 Source Type",$C$5,"5 Source No.",$C3005,"4 Item Ledger Entry Type",$C$4,"2 Item No.","@@"&amp;$F3005,"3 Posting Date",O$9)-NL("Sum","5802 Value Entry","43 Cost Amount (Actual)","41 Source Type",$C$5,"5 Source no.",$C3005,"4 Item Ledger Entry Type",$C$4,"2 Item No.","@@"&amp;$F3005,"3 Posting Date",O$9)</t>
  </si>
  <si>
    <t>=O3005-Q3005</t>
  </si>
  <si>
    <t>=IF(O3005&lt;&gt;0,R3005/O3005,"")</t>
  </si>
  <si>
    <t>=NL("Sum","5802 Value Entry","150 Sales Amount (Expected)","41 Source Type",$C$5,"5 Source No.",$C3005,"4 Item Ledger Entry Type",$C$4,"2 Item No.","@@"&amp;$F3005,"3 Posting Date",U$9)+NL("Sum","5802 Value Entry","17 Sales Amount (Actual)","41 Source Type",$C$5,"5 Source no.",$C3005,"4 Item Ledger Entry Type",$C$4,"2 Item No.","@@"&amp;$F3005,"3 Posting Date",U$9)</t>
  </si>
  <si>
    <t>=-NL("Sum","5802 Value Entry","151 Cost Amount (Expected)","41 Source Type",$C$5,"5 Source No.",$C3005,"4 Item Ledger Entry Type",$C$4,"2 Item No.","@@"&amp;$F3005,"3 Posting Date",U$9)-NL("Sum","5802 Value Entry","43 Cost Amount (Actual)","41 Source Type",$C$5,"5 Source no.",$C3005,"4 Item Ledger Entry Type",$C$4,"2 Item No.","@@"&amp;$F3005,"3 Posting Date",U$9)</t>
  </si>
  <si>
    <t>=U3005-W3005</t>
  </si>
  <si>
    <t>=IF(U3005&lt;&gt;0,X3005/U3005,"")</t>
  </si>
  <si>
    <t>=NL("Sum","5802 Value Entry","150 Sales Amount (Expected)","41 Source Type",$C$5,"5 Source No.",$C3005,"4 Item Ledger Entry Type",$C$4,"2 Item No.","@@"&amp;$F3005,"3 Posting Date",Z$9)+NL("Sum","5802 Value Entry","17 Sales Amount (Actual)","41 Source Type",$C$5,"5 Source no.",$C3005,"4 Item Ledger Entry Type",$C$4,"2 Item No.","@@"&amp;$F3005,"3 Posting Date",Z$9)</t>
  </si>
  <si>
    <t>=-NL("Sum","5802 Value Entry","151 Cost Amount (Expected)","41 Source Type",$C$5,"5 Source No.",$C3005,"4 Item Ledger Entry Type",$C$4,"2 Item No.","@@"&amp;$F3005,"3 Posting Date",Z$9)-NL("Sum","5802 Value Entry","43 Cost Amount (Actual)","41 Source Type",$C$5,"5 Source no.",$C3005,"4 Item Ledger Entry Type",$C$4,"2 Item No.","@@"&amp;$F3005,"3 Posting Date",Z$9)</t>
  </si>
  <si>
    <t>=Z3005-AB3005</t>
  </si>
  <si>
    <t>=IF(Z3005&lt;&gt;0,AC3005/Z3005,"")</t>
  </si>
  <si>
    <t>=C3005</t>
  </si>
  <si>
    <t>=NL("Sum","5802 Value Entry","150 Sales Amount (Expected)","41 Source Type",$C$5,"5 Source No.",$C3006,"4 Item Ledger Entry Type",$C$4,"2 Item No.","@@"&amp;$F3006,"3 Posting Date",J$9)+NL("Sum","5802 Value Entry","17 Sales Amount (Actual)","41 Source Type",$C$5,"5 Source no.",$C3006,"4 Item Ledger Entry Type",$C$4,"2 Item No.","@@"&amp;$F3006,"3 Posting Date",J$9)</t>
  </si>
  <si>
    <t>=-NL("Sum","5802 Value Entry","151 Cost Amount (Expected)","41 Source Type",$C$5,"5 Source No.",$C3006,"4 Item Ledger Entry Type",$C$4,"2 Item No.","@@"&amp;$F3006,"3 Posting Date",J$9)-NL("Sum","5802 Value Entry","43 Cost Amount (Actual)","41 Source Type",$C$5,"5 Source no.",$C3006,"4 Item Ledger Entry Type",$C$4,"2 Item No.","@@"&amp;$F3006,"3 Posting Date",J$9)</t>
  </si>
  <si>
    <t>=J3006-L3006</t>
  </si>
  <si>
    <t>=IF(J3006&lt;&gt;0,M3006/J3006,"")</t>
  </si>
  <si>
    <t>=NL("Sum","5802 Value Entry","150 Sales Amount (Expected)","41 Source Type",$C$5,"5 Source No.",$C3006,"4 Item Ledger Entry Type",$C$4,"2 Item No.","@@"&amp;$F3006,"3 Posting Date",O$9)+NL("Sum","5802 Value Entry","17 Sales Amount (Actual)","41 Source Type",$C$5,"5 Source no.",$C3006,"4 Item Ledger Entry Type",$C$4,"2 Item No.","@@"&amp;$F3006,"3 Posting Date",O$9)</t>
  </si>
  <si>
    <t>=-NL("Sum","5802 Value Entry","151 Cost Amount (Expected)","41 Source Type",$C$5,"5 Source No.",$C3006,"4 Item Ledger Entry Type",$C$4,"2 Item No.","@@"&amp;$F3006,"3 Posting Date",O$9)-NL("Sum","5802 Value Entry","43 Cost Amount (Actual)","41 Source Type",$C$5,"5 Source no.",$C3006,"4 Item Ledger Entry Type",$C$4,"2 Item No.","@@"&amp;$F3006,"3 Posting Date",O$9)</t>
  </si>
  <si>
    <t>=O3006-Q3006</t>
  </si>
  <si>
    <t>=IF(O3006&lt;&gt;0,R3006/O3006,"")</t>
  </si>
  <si>
    <t>=NL("Sum","5802 Value Entry","150 Sales Amount (Expected)","41 Source Type",$C$5,"5 Source No.",$C3006,"4 Item Ledger Entry Type",$C$4,"2 Item No.","@@"&amp;$F3006,"3 Posting Date",U$9)+NL("Sum","5802 Value Entry","17 Sales Amount (Actual)","41 Source Type",$C$5,"5 Source no.",$C3006,"4 Item Ledger Entry Type",$C$4,"2 Item No.","@@"&amp;$F3006,"3 Posting Date",U$9)</t>
  </si>
  <si>
    <t>=-NL("Sum","5802 Value Entry","151 Cost Amount (Expected)","41 Source Type",$C$5,"5 Source No.",$C3006,"4 Item Ledger Entry Type",$C$4,"2 Item No.","@@"&amp;$F3006,"3 Posting Date",U$9)-NL("Sum","5802 Value Entry","43 Cost Amount (Actual)","41 Source Type",$C$5,"5 Source no.",$C3006,"4 Item Ledger Entry Type",$C$4,"2 Item No.","@@"&amp;$F3006,"3 Posting Date",U$9)</t>
  </si>
  <si>
    <t>=U3006-W3006</t>
  </si>
  <si>
    <t>=IF(U3006&lt;&gt;0,X3006/U3006,"")</t>
  </si>
  <si>
    <t>=NL("Sum","5802 Value Entry","150 Sales Amount (Expected)","41 Source Type",$C$5,"5 Source No.",$C3006,"4 Item Ledger Entry Type",$C$4,"2 Item No.","@@"&amp;$F3006,"3 Posting Date",Z$9)+NL("Sum","5802 Value Entry","17 Sales Amount (Actual)","41 Source Type",$C$5,"5 Source no.",$C3006,"4 Item Ledger Entry Type",$C$4,"2 Item No.","@@"&amp;$F3006,"3 Posting Date",Z$9)</t>
  </si>
  <si>
    <t>=-NL("Sum","5802 Value Entry","151 Cost Amount (Expected)","41 Source Type",$C$5,"5 Source No.",$C3006,"4 Item Ledger Entry Type",$C$4,"2 Item No.","@@"&amp;$F3006,"3 Posting Date",Z$9)-NL("Sum","5802 Value Entry","43 Cost Amount (Actual)","41 Source Type",$C$5,"5 Source no.",$C3006,"4 Item Ledger Entry Type",$C$4,"2 Item No.","@@"&amp;$F3006,"3 Posting Date",Z$9)</t>
  </si>
  <si>
    <t>=Z3006-AB3006</t>
  </si>
  <si>
    <t>=IF(Z3006&lt;&gt;0,AC3006/Z3006,"")</t>
  </si>
  <si>
    <t>=C3006</t>
  </si>
  <si>
    <t>=NL("Sum","5802 Value Entry","150 Sales Amount (Expected)","41 Source Type",$C$5,"5 Source No.",$C3007,"4 Item Ledger Entry Type",$C$4,"2 Item No.","@@"&amp;$F3007,"3 Posting Date",J$9)+NL("Sum","5802 Value Entry","17 Sales Amount (Actual)","41 Source Type",$C$5,"5 Source no.",$C3007,"4 Item Ledger Entry Type",$C$4,"2 Item No.","@@"&amp;$F3007,"3 Posting Date",J$9)</t>
  </si>
  <si>
    <t>=-NL("Sum","5802 Value Entry","151 Cost Amount (Expected)","41 Source Type",$C$5,"5 Source No.",$C3007,"4 Item Ledger Entry Type",$C$4,"2 Item No.","@@"&amp;$F3007,"3 Posting Date",J$9)-NL("Sum","5802 Value Entry","43 Cost Amount (Actual)","41 Source Type",$C$5,"5 Source no.",$C3007,"4 Item Ledger Entry Type",$C$4,"2 Item No.","@@"&amp;$F3007,"3 Posting Date",J$9)</t>
  </si>
  <si>
    <t>=J3007-L3007</t>
  </si>
  <si>
    <t>=IF(J3007&lt;&gt;0,M3007/J3007,"")</t>
  </si>
  <si>
    <t>=NL("Sum","5802 Value Entry","150 Sales Amount (Expected)","41 Source Type",$C$5,"5 Source No.",$C3007,"4 Item Ledger Entry Type",$C$4,"2 Item No.","@@"&amp;$F3007,"3 Posting Date",O$9)+NL("Sum","5802 Value Entry","17 Sales Amount (Actual)","41 Source Type",$C$5,"5 Source no.",$C3007,"4 Item Ledger Entry Type",$C$4,"2 Item No.","@@"&amp;$F3007,"3 Posting Date",O$9)</t>
  </si>
  <si>
    <t>=-NL("Sum","5802 Value Entry","151 Cost Amount (Expected)","41 Source Type",$C$5,"5 Source No.",$C3007,"4 Item Ledger Entry Type",$C$4,"2 Item No.","@@"&amp;$F3007,"3 Posting Date",O$9)-NL("Sum","5802 Value Entry","43 Cost Amount (Actual)","41 Source Type",$C$5,"5 Source no.",$C3007,"4 Item Ledger Entry Type",$C$4,"2 Item No.","@@"&amp;$F3007,"3 Posting Date",O$9)</t>
  </si>
  <si>
    <t>=O3007-Q3007</t>
  </si>
  <si>
    <t>=IF(O3007&lt;&gt;0,R3007/O3007,"")</t>
  </si>
  <si>
    <t>=NL("Sum","5802 Value Entry","150 Sales Amount (Expected)","41 Source Type",$C$5,"5 Source No.",$C3007,"4 Item Ledger Entry Type",$C$4,"2 Item No.","@@"&amp;$F3007,"3 Posting Date",U$9)+NL("Sum","5802 Value Entry","17 Sales Amount (Actual)","41 Source Type",$C$5,"5 Source no.",$C3007,"4 Item Ledger Entry Type",$C$4,"2 Item No.","@@"&amp;$F3007,"3 Posting Date",U$9)</t>
  </si>
  <si>
    <t>=-NL("Sum","5802 Value Entry","151 Cost Amount (Expected)","41 Source Type",$C$5,"5 Source No.",$C3007,"4 Item Ledger Entry Type",$C$4,"2 Item No.","@@"&amp;$F3007,"3 Posting Date",U$9)-NL("Sum","5802 Value Entry","43 Cost Amount (Actual)","41 Source Type",$C$5,"5 Source no.",$C3007,"4 Item Ledger Entry Type",$C$4,"2 Item No.","@@"&amp;$F3007,"3 Posting Date",U$9)</t>
  </si>
  <si>
    <t>=U3007-W3007</t>
  </si>
  <si>
    <t>=IF(U3007&lt;&gt;0,X3007/U3007,"")</t>
  </si>
  <si>
    <t>=NL("Sum","5802 Value Entry","150 Sales Amount (Expected)","41 Source Type",$C$5,"5 Source No.",$C3007,"4 Item Ledger Entry Type",$C$4,"2 Item No.","@@"&amp;$F3007,"3 Posting Date",Z$9)+NL("Sum","5802 Value Entry","17 Sales Amount (Actual)","41 Source Type",$C$5,"5 Source no.",$C3007,"4 Item Ledger Entry Type",$C$4,"2 Item No.","@@"&amp;$F3007,"3 Posting Date",Z$9)</t>
  </si>
  <si>
    <t>=-NL("Sum","5802 Value Entry","151 Cost Amount (Expected)","41 Source Type",$C$5,"5 Source No.",$C3007,"4 Item Ledger Entry Type",$C$4,"2 Item No.","@@"&amp;$F3007,"3 Posting Date",Z$9)-NL("Sum","5802 Value Entry","43 Cost Amount (Actual)","41 Source Type",$C$5,"5 Source no.",$C3007,"4 Item Ledger Entry Type",$C$4,"2 Item No.","@@"&amp;$F3007,"3 Posting Date",Z$9)</t>
  </si>
  <si>
    <t>=Z3007-AB3007</t>
  </si>
  <si>
    <t>=IF(Z3007&lt;&gt;0,AC3007/Z3007,"")</t>
  </si>
  <si>
    <t>=C3007</t>
  </si>
  <si>
    <t>=NL("Sum","5802 Value Entry","150 Sales Amount (Expected)","41 Source Type",$C$5,"5 Source No.",$C3008,"4 Item Ledger Entry Type",$C$4,"2 Item No.","@@"&amp;$F3008,"3 Posting Date",J$9)+NL("Sum","5802 Value Entry","17 Sales Amount (Actual)","41 Source Type",$C$5,"5 Source no.",$C3008,"4 Item Ledger Entry Type",$C$4,"2 Item No.","@@"&amp;$F3008,"3 Posting Date",J$9)</t>
  </si>
  <si>
    <t>=-NL("Sum","5802 Value Entry","151 Cost Amount (Expected)","41 Source Type",$C$5,"5 Source No.",$C3008,"4 Item Ledger Entry Type",$C$4,"2 Item No.","@@"&amp;$F3008,"3 Posting Date",J$9)-NL("Sum","5802 Value Entry","43 Cost Amount (Actual)","41 Source Type",$C$5,"5 Source no.",$C3008,"4 Item Ledger Entry Type",$C$4,"2 Item No.","@@"&amp;$F3008,"3 Posting Date",J$9)</t>
  </si>
  <si>
    <t>=J3008-L3008</t>
  </si>
  <si>
    <t>=IF(J3008&lt;&gt;0,M3008/J3008,"")</t>
  </si>
  <si>
    <t>=NL("Sum","5802 Value Entry","150 Sales Amount (Expected)","41 Source Type",$C$5,"5 Source No.",$C3008,"4 Item Ledger Entry Type",$C$4,"2 Item No.","@@"&amp;$F3008,"3 Posting Date",O$9)+NL("Sum","5802 Value Entry","17 Sales Amount (Actual)","41 Source Type",$C$5,"5 Source no.",$C3008,"4 Item Ledger Entry Type",$C$4,"2 Item No.","@@"&amp;$F3008,"3 Posting Date",O$9)</t>
  </si>
  <si>
    <t>=-NL("Sum","5802 Value Entry","151 Cost Amount (Expected)","41 Source Type",$C$5,"5 Source No.",$C3008,"4 Item Ledger Entry Type",$C$4,"2 Item No.","@@"&amp;$F3008,"3 Posting Date",O$9)-NL("Sum","5802 Value Entry","43 Cost Amount (Actual)","41 Source Type",$C$5,"5 Source no.",$C3008,"4 Item Ledger Entry Type",$C$4,"2 Item No.","@@"&amp;$F3008,"3 Posting Date",O$9)</t>
  </si>
  <si>
    <t>=O3008-Q3008</t>
  </si>
  <si>
    <t>=IF(O3008&lt;&gt;0,R3008/O3008,"")</t>
  </si>
  <si>
    <t>=NL("Sum","5802 Value Entry","150 Sales Amount (Expected)","41 Source Type",$C$5,"5 Source No.",$C3008,"4 Item Ledger Entry Type",$C$4,"2 Item No.","@@"&amp;$F3008,"3 Posting Date",U$9)+NL("Sum","5802 Value Entry","17 Sales Amount (Actual)","41 Source Type",$C$5,"5 Source no.",$C3008,"4 Item Ledger Entry Type",$C$4,"2 Item No.","@@"&amp;$F3008,"3 Posting Date",U$9)</t>
  </si>
  <si>
    <t>=-NL("Sum","5802 Value Entry","151 Cost Amount (Expected)","41 Source Type",$C$5,"5 Source No.",$C3008,"4 Item Ledger Entry Type",$C$4,"2 Item No.","@@"&amp;$F3008,"3 Posting Date",U$9)-NL("Sum","5802 Value Entry","43 Cost Amount (Actual)","41 Source Type",$C$5,"5 Source no.",$C3008,"4 Item Ledger Entry Type",$C$4,"2 Item No.","@@"&amp;$F3008,"3 Posting Date",U$9)</t>
  </si>
  <si>
    <t>=U3008-W3008</t>
  </si>
  <si>
    <t>=IF(U3008&lt;&gt;0,X3008/U3008,"")</t>
  </si>
  <si>
    <t>=NL("Sum","5802 Value Entry","150 Sales Amount (Expected)","41 Source Type",$C$5,"5 Source No.",$C3008,"4 Item Ledger Entry Type",$C$4,"2 Item No.","@@"&amp;$F3008,"3 Posting Date",Z$9)+NL("Sum","5802 Value Entry","17 Sales Amount (Actual)","41 Source Type",$C$5,"5 Source no.",$C3008,"4 Item Ledger Entry Type",$C$4,"2 Item No.","@@"&amp;$F3008,"3 Posting Date",Z$9)</t>
  </si>
  <si>
    <t>=-NL("Sum","5802 Value Entry","151 Cost Amount (Expected)","41 Source Type",$C$5,"5 Source No.",$C3008,"4 Item Ledger Entry Type",$C$4,"2 Item No.","@@"&amp;$F3008,"3 Posting Date",Z$9)-NL("Sum","5802 Value Entry","43 Cost Amount (Actual)","41 Source Type",$C$5,"5 Source no.",$C3008,"4 Item Ledger Entry Type",$C$4,"2 Item No.","@@"&amp;$F3008,"3 Posting Date",Z$9)</t>
  </si>
  <si>
    <t>=Z3008-AB3008</t>
  </si>
  <si>
    <t>=IF(Z3008&lt;&gt;0,AC3008/Z3008,"")</t>
  </si>
  <si>
    <t>=C3008</t>
  </si>
  <si>
    <t>=NL("Sum","5802 Value Entry","150 Sales Amount (Expected)","41 Source Type",$C$5,"5 Source No.",$C3009,"4 Item Ledger Entry Type",$C$4,"2 Item No.","@@"&amp;$F3009,"3 Posting Date",J$9)+NL("Sum","5802 Value Entry","17 Sales Amount (Actual)","41 Source Type",$C$5,"5 Source no.",$C3009,"4 Item Ledger Entry Type",$C$4,"2 Item No.","@@"&amp;$F3009,"3 Posting Date",J$9)</t>
  </si>
  <si>
    <t>=-NL("Sum","5802 Value Entry","151 Cost Amount (Expected)","41 Source Type",$C$5,"5 Source No.",$C3009,"4 Item Ledger Entry Type",$C$4,"2 Item No.","@@"&amp;$F3009,"3 Posting Date",J$9)-NL("Sum","5802 Value Entry","43 Cost Amount (Actual)","41 Source Type",$C$5,"5 Source no.",$C3009,"4 Item Ledger Entry Type",$C$4,"2 Item No.","@@"&amp;$F3009,"3 Posting Date",J$9)</t>
  </si>
  <si>
    <t>=J3009-L3009</t>
  </si>
  <si>
    <t>=IF(J3009&lt;&gt;0,M3009/J3009,"")</t>
  </si>
  <si>
    <t>=NL("Sum","5802 Value Entry","150 Sales Amount (Expected)","41 Source Type",$C$5,"5 Source No.",$C3009,"4 Item Ledger Entry Type",$C$4,"2 Item No.","@@"&amp;$F3009,"3 Posting Date",O$9)+NL("Sum","5802 Value Entry","17 Sales Amount (Actual)","41 Source Type",$C$5,"5 Source no.",$C3009,"4 Item Ledger Entry Type",$C$4,"2 Item No.","@@"&amp;$F3009,"3 Posting Date",O$9)</t>
  </si>
  <si>
    <t>=-NL("Sum","5802 Value Entry","151 Cost Amount (Expected)","41 Source Type",$C$5,"5 Source No.",$C3009,"4 Item Ledger Entry Type",$C$4,"2 Item No.","@@"&amp;$F3009,"3 Posting Date",O$9)-NL("Sum","5802 Value Entry","43 Cost Amount (Actual)","41 Source Type",$C$5,"5 Source no.",$C3009,"4 Item Ledger Entry Type",$C$4,"2 Item No.","@@"&amp;$F3009,"3 Posting Date",O$9)</t>
  </si>
  <si>
    <t>=O3009-Q3009</t>
  </si>
  <si>
    <t>=IF(O3009&lt;&gt;0,R3009/O3009,"")</t>
  </si>
  <si>
    <t>=NL("Sum","5802 Value Entry","150 Sales Amount (Expected)","41 Source Type",$C$5,"5 Source No.",$C3009,"4 Item Ledger Entry Type",$C$4,"2 Item No.","@@"&amp;$F3009,"3 Posting Date",U$9)+NL("Sum","5802 Value Entry","17 Sales Amount (Actual)","41 Source Type",$C$5,"5 Source no.",$C3009,"4 Item Ledger Entry Type",$C$4,"2 Item No.","@@"&amp;$F3009,"3 Posting Date",U$9)</t>
  </si>
  <si>
    <t>=-NL("Sum","5802 Value Entry","151 Cost Amount (Expected)","41 Source Type",$C$5,"5 Source No.",$C3009,"4 Item Ledger Entry Type",$C$4,"2 Item No.","@@"&amp;$F3009,"3 Posting Date",U$9)-NL("Sum","5802 Value Entry","43 Cost Amount (Actual)","41 Source Type",$C$5,"5 Source no.",$C3009,"4 Item Ledger Entry Type",$C$4,"2 Item No.","@@"&amp;$F3009,"3 Posting Date",U$9)</t>
  </si>
  <si>
    <t>=U3009-W3009</t>
  </si>
  <si>
    <t>=IF(U3009&lt;&gt;0,X3009/U3009,"")</t>
  </si>
  <si>
    <t>=NL("Sum","5802 Value Entry","150 Sales Amount (Expected)","41 Source Type",$C$5,"5 Source No.",$C3009,"4 Item Ledger Entry Type",$C$4,"2 Item No.","@@"&amp;$F3009,"3 Posting Date",Z$9)+NL("Sum","5802 Value Entry","17 Sales Amount (Actual)","41 Source Type",$C$5,"5 Source no.",$C3009,"4 Item Ledger Entry Type",$C$4,"2 Item No.","@@"&amp;$F3009,"3 Posting Date",Z$9)</t>
  </si>
  <si>
    <t>=-NL("Sum","5802 Value Entry","151 Cost Amount (Expected)","41 Source Type",$C$5,"5 Source No.",$C3009,"4 Item Ledger Entry Type",$C$4,"2 Item No.","@@"&amp;$F3009,"3 Posting Date",Z$9)-NL("Sum","5802 Value Entry","43 Cost Amount (Actual)","41 Source Type",$C$5,"5 Source no.",$C3009,"4 Item Ledger Entry Type",$C$4,"2 Item No.","@@"&amp;$F3009,"3 Posting Date",Z$9)</t>
  </si>
  <si>
    <t>=Z3009-AB3009</t>
  </si>
  <si>
    <t>=IF(Z3009&lt;&gt;0,AC3009/Z3009,"")</t>
  </si>
  <si>
    <t>=C3009</t>
  </si>
  <si>
    <t>=NL("Sum","5802 Value Entry","150 Sales Amount (Expected)","41 Source Type",$C$5,"5 Source No.",$C3010,"4 Item Ledger Entry Type",$C$4,"2 Item No.","@@"&amp;$F3010,"3 Posting Date",J$9)+NL("Sum","5802 Value Entry","17 Sales Amount (Actual)","41 Source Type",$C$5,"5 Source no.",$C3010,"4 Item Ledger Entry Type",$C$4,"2 Item No.","@@"&amp;$F3010,"3 Posting Date",J$9)</t>
  </si>
  <si>
    <t>=-NL("Sum","5802 Value Entry","151 Cost Amount (Expected)","41 Source Type",$C$5,"5 Source No.",$C3010,"4 Item Ledger Entry Type",$C$4,"2 Item No.","@@"&amp;$F3010,"3 Posting Date",J$9)-NL("Sum","5802 Value Entry","43 Cost Amount (Actual)","41 Source Type",$C$5,"5 Source no.",$C3010,"4 Item Ledger Entry Type",$C$4,"2 Item No.","@@"&amp;$F3010,"3 Posting Date",J$9)</t>
  </si>
  <si>
    <t>=J3010-L3010</t>
  </si>
  <si>
    <t>=IF(J3010&lt;&gt;0,M3010/J3010,"")</t>
  </si>
  <si>
    <t>=NL("Sum","5802 Value Entry","150 Sales Amount (Expected)","41 Source Type",$C$5,"5 Source No.",$C3010,"4 Item Ledger Entry Type",$C$4,"2 Item No.","@@"&amp;$F3010,"3 Posting Date",O$9)+NL("Sum","5802 Value Entry","17 Sales Amount (Actual)","41 Source Type",$C$5,"5 Source no.",$C3010,"4 Item Ledger Entry Type",$C$4,"2 Item No.","@@"&amp;$F3010,"3 Posting Date",O$9)</t>
  </si>
  <si>
    <t>=-NL("Sum","5802 Value Entry","151 Cost Amount (Expected)","41 Source Type",$C$5,"5 Source No.",$C3010,"4 Item Ledger Entry Type",$C$4,"2 Item No.","@@"&amp;$F3010,"3 Posting Date",O$9)-NL("Sum","5802 Value Entry","43 Cost Amount (Actual)","41 Source Type",$C$5,"5 Source no.",$C3010,"4 Item Ledger Entry Type",$C$4,"2 Item No.","@@"&amp;$F3010,"3 Posting Date",O$9)</t>
  </si>
  <si>
    <t>=O3010-Q3010</t>
  </si>
  <si>
    <t>=IF(O3010&lt;&gt;0,R3010/O3010,"")</t>
  </si>
  <si>
    <t>=NL("Sum","5802 Value Entry","150 Sales Amount (Expected)","41 Source Type",$C$5,"5 Source No.",$C3010,"4 Item Ledger Entry Type",$C$4,"2 Item No.","@@"&amp;$F3010,"3 Posting Date",U$9)+NL("Sum","5802 Value Entry","17 Sales Amount (Actual)","41 Source Type",$C$5,"5 Source no.",$C3010,"4 Item Ledger Entry Type",$C$4,"2 Item No.","@@"&amp;$F3010,"3 Posting Date",U$9)</t>
  </si>
  <si>
    <t>=-NL("Sum","5802 Value Entry","151 Cost Amount (Expected)","41 Source Type",$C$5,"5 Source No.",$C3010,"4 Item Ledger Entry Type",$C$4,"2 Item No.","@@"&amp;$F3010,"3 Posting Date",U$9)-NL("Sum","5802 Value Entry","43 Cost Amount (Actual)","41 Source Type",$C$5,"5 Source no.",$C3010,"4 Item Ledger Entry Type",$C$4,"2 Item No.","@@"&amp;$F3010,"3 Posting Date",U$9)</t>
  </si>
  <si>
    <t>=U3010-W3010</t>
  </si>
  <si>
    <t>=IF(U3010&lt;&gt;0,X3010/U3010,"")</t>
  </si>
  <si>
    <t>=NL("Sum","5802 Value Entry","150 Sales Amount (Expected)","41 Source Type",$C$5,"5 Source No.",$C3010,"4 Item Ledger Entry Type",$C$4,"2 Item No.","@@"&amp;$F3010,"3 Posting Date",Z$9)+NL("Sum","5802 Value Entry","17 Sales Amount (Actual)","41 Source Type",$C$5,"5 Source no.",$C3010,"4 Item Ledger Entry Type",$C$4,"2 Item No.","@@"&amp;$F3010,"3 Posting Date",Z$9)</t>
  </si>
  <si>
    <t>=-NL("Sum","5802 Value Entry","151 Cost Amount (Expected)","41 Source Type",$C$5,"5 Source No.",$C3010,"4 Item Ledger Entry Type",$C$4,"2 Item No.","@@"&amp;$F3010,"3 Posting Date",Z$9)-NL("Sum","5802 Value Entry","43 Cost Amount (Actual)","41 Source Type",$C$5,"5 Source no.",$C3010,"4 Item Ledger Entry Type",$C$4,"2 Item No.","@@"&amp;$F3010,"3 Posting Date",Z$9)</t>
  </si>
  <si>
    <t>=Z3010-AB3010</t>
  </si>
  <si>
    <t>=IF(Z3010&lt;&gt;0,AC3010/Z3010,"")</t>
  </si>
  <si>
    <t>=C3010</t>
  </si>
  <si>
    <t>=NL("Sum","5802 Value Entry","150 Sales Amount (Expected)","41 Source Type",$C$5,"5 Source No.",$C3011,"4 Item Ledger Entry Type",$C$4,"2 Item No.","@@"&amp;$F3011,"3 Posting Date",J$9)+NL("Sum","5802 Value Entry","17 Sales Amount (Actual)","41 Source Type",$C$5,"5 Source no.",$C3011,"4 Item Ledger Entry Type",$C$4,"2 Item No.","@@"&amp;$F3011,"3 Posting Date",J$9)</t>
  </si>
  <si>
    <t>=-NL("Sum","5802 Value Entry","151 Cost Amount (Expected)","41 Source Type",$C$5,"5 Source No.",$C3011,"4 Item Ledger Entry Type",$C$4,"2 Item No.","@@"&amp;$F3011,"3 Posting Date",J$9)-NL("Sum","5802 Value Entry","43 Cost Amount (Actual)","41 Source Type",$C$5,"5 Source no.",$C3011,"4 Item Ledger Entry Type",$C$4,"2 Item No.","@@"&amp;$F3011,"3 Posting Date",J$9)</t>
  </si>
  <si>
    <t>=J3011-L3011</t>
  </si>
  <si>
    <t>=IF(J3011&lt;&gt;0,M3011/J3011,"")</t>
  </si>
  <si>
    <t>=NL("Sum","5802 Value Entry","150 Sales Amount (Expected)","41 Source Type",$C$5,"5 Source No.",$C3011,"4 Item Ledger Entry Type",$C$4,"2 Item No.","@@"&amp;$F3011,"3 Posting Date",O$9)+NL("Sum","5802 Value Entry","17 Sales Amount (Actual)","41 Source Type",$C$5,"5 Source no.",$C3011,"4 Item Ledger Entry Type",$C$4,"2 Item No.","@@"&amp;$F3011,"3 Posting Date",O$9)</t>
  </si>
  <si>
    <t>=-NL("Sum","5802 Value Entry","151 Cost Amount (Expected)","41 Source Type",$C$5,"5 Source No.",$C3011,"4 Item Ledger Entry Type",$C$4,"2 Item No.","@@"&amp;$F3011,"3 Posting Date",O$9)-NL("Sum","5802 Value Entry","43 Cost Amount (Actual)","41 Source Type",$C$5,"5 Source no.",$C3011,"4 Item Ledger Entry Type",$C$4,"2 Item No.","@@"&amp;$F3011,"3 Posting Date",O$9)</t>
  </si>
  <si>
    <t>=O3011-Q3011</t>
  </si>
  <si>
    <t>=IF(O3011&lt;&gt;0,R3011/O3011,"")</t>
  </si>
  <si>
    <t>=NL("Sum","5802 Value Entry","150 Sales Amount (Expected)","41 Source Type",$C$5,"5 Source No.",$C3011,"4 Item Ledger Entry Type",$C$4,"2 Item No.","@@"&amp;$F3011,"3 Posting Date",U$9)+NL("Sum","5802 Value Entry","17 Sales Amount (Actual)","41 Source Type",$C$5,"5 Source no.",$C3011,"4 Item Ledger Entry Type",$C$4,"2 Item No.","@@"&amp;$F3011,"3 Posting Date",U$9)</t>
  </si>
  <si>
    <t>=-NL("Sum","5802 Value Entry","151 Cost Amount (Expected)","41 Source Type",$C$5,"5 Source No.",$C3011,"4 Item Ledger Entry Type",$C$4,"2 Item No.","@@"&amp;$F3011,"3 Posting Date",U$9)-NL("Sum","5802 Value Entry","43 Cost Amount (Actual)","41 Source Type",$C$5,"5 Source no.",$C3011,"4 Item Ledger Entry Type",$C$4,"2 Item No.","@@"&amp;$F3011,"3 Posting Date",U$9)</t>
  </si>
  <si>
    <t>=U3011-W3011</t>
  </si>
  <si>
    <t>=IF(U3011&lt;&gt;0,X3011/U3011,"")</t>
  </si>
  <si>
    <t>=NL("Sum","5802 Value Entry","150 Sales Amount (Expected)","41 Source Type",$C$5,"5 Source No.",$C3011,"4 Item Ledger Entry Type",$C$4,"2 Item No.","@@"&amp;$F3011,"3 Posting Date",Z$9)+NL("Sum","5802 Value Entry","17 Sales Amount (Actual)","41 Source Type",$C$5,"5 Source no.",$C3011,"4 Item Ledger Entry Type",$C$4,"2 Item No.","@@"&amp;$F3011,"3 Posting Date",Z$9)</t>
  </si>
  <si>
    <t>=-NL("Sum","5802 Value Entry","151 Cost Amount (Expected)","41 Source Type",$C$5,"5 Source No.",$C3011,"4 Item Ledger Entry Type",$C$4,"2 Item No.","@@"&amp;$F3011,"3 Posting Date",Z$9)-NL("Sum","5802 Value Entry","43 Cost Amount (Actual)","41 Source Type",$C$5,"5 Source no.",$C3011,"4 Item Ledger Entry Type",$C$4,"2 Item No.","@@"&amp;$F3011,"3 Posting Date",Z$9)</t>
  </si>
  <si>
    <t>=Z3011-AB3011</t>
  </si>
  <si>
    <t>=IF(Z3011&lt;&gt;0,AC3011/Z3011,"")</t>
  </si>
  <si>
    <t>=C3011</t>
  </si>
  <si>
    <t>=NL("Sum","5802 Value Entry","150 Sales Amount (Expected)","41 Source Type",$C$5,"5 Source No.",$C3012,"4 Item Ledger Entry Type",$C$4,"2 Item No.","@@"&amp;$F3012,"3 Posting Date",J$9)+NL("Sum","5802 Value Entry","17 Sales Amount (Actual)","41 Source Type",$C$5,"5 Source no.",$C3012,"4 Item Ledger Entry Type",$C$4,"2 Item No.","@@"&amp;$F3012,"3 Posting Date",J$9)</t>
  </si>
  <si>
    <t>=-NL("Sum","5802 Value Entry","151 Cost Amount (Expected)","41 Source Type",$C$5,"5 Source No.",$C3012,"4 Item Ledger Entry Type",$C$4,"2 Item No.","@@"&amp;$F3012,"3 Posting Date",J$9)-NL("Sum","5802 Value Entry","43 Cost Amount (Actual)","41 Source Type",$C$5,"5 Source no.",$C3012,"4 Item Ledger Entry Type",$C$4,"2 Item No.","@@"&amp;$F3012,"3 Posting Date",J$9)</t>
  </si>
  <si>
    <t>=J3012-L3012</t>
  </si>
  <si>
    <t>=IF(J3012&lt;&gt;0,M3012/J3012,"")</t>
  </si>
  <si>
    <t>=NL("Sum","5802 Value Entry","150 Sales Amount (Expected)","41 Source Type",$C$5,"5 Source No.",$C3012,"4 Item Ledger Entry Type",$C$4,"2 Item No.","@@"&amp;$F3012,"3 Posting Date",O$9)+NL("Sum","5802 Value Entry","17 Sales Amount (Actual)","41 Source Type",$C$5,"5 Source no.",$C3012,"4 Item Ledger Entry Type",$C$4,"2 Item No.","@@"&amp;$F3012,"3 Posting Date",O$9)</t>
  </si>
  <si>
    <t>=-NL("Sum","5802 Value Entry","151 Cost Amount (Expected)","41 Source Type",$C$5,"5 Source No.",$C3012,"4 Item Ledger Entry Type",$C$4,"2 Item No.","@@"&amp;$F3012,"3 Posting Date",O$9)-NL("Sum","5802 Value Entry","43 Cost Amount (Actual)","41 Source Type",$C$5,"5 Source no.",$C3012,"4 Item Ledger Entry Type",$C$4,"2 Item No.","@@"&amp;$F3012,"3 Posting Date",O$9)</t>
  </si>
  <si>
    <t>=O3012-Q3012</t>
  </si>
  <si>
    <t>=IF(O3012&lt;&gt;0,R3012/O3012,"")</t>
  </si>
  <si>
    <t>=NL("Sum","5802 Value Entry","150 Sales Amount (Expected)","41 Source Type",$C$5,"5 Source No.",$C3012,"4 Item Ledger Entry Type",$C$4,"2 Item No.","@@"&amp;$F3012,"3 Posting Date",U$9)+NL("Sum","5802 Value Entry","17 Sales Amount (Actual)","41 Source Type",$C$5,"5 Source no.",$C3012,"4 Item Ledger Entry Type",$C$4,"2 Item No.","@@"&amp;$F3012,"3 Posting Date",U$9)</t>
  </si>
  <si>
    <t>=-NL("Sum","5802 Value Entry","151 Cost Amount (Expected)","41 Source Type",$C$5,"5 Source No.",$C3012,"4 Item Ledger Entry Type",$C$4,"2 Item No.","@@"&amp;$F3012,"3 Posting Date",U$9)-NL("Sum","5802 Value Entry","43 Cost Amount (Actual)","41 Source Type",$C$5,"5 Source no.",$C3012,"4 Item Ledger Entry Type",$C$4,"2 Item No.","@@"&amp;$F3012,"3 Posting Date",U$9)</t>
  </si>
  <si>
    <t>=U3012-W3012</t>
  </si>
  <si>
    <t>=IF(U3012&lt;&gt;0,X3012/U3012,"")</t>
  </si>
  <si>
    <t>=NL("Sum","5802 Value Entry","150 Sales Amount (Expected)","41 Source Type",$C$5,"5 Source No.",$C3012,"4 Item Ledger Entry Type",$C$4,"2 Item No.","@@"&amp;$F3012,"3 Posting Date",Z$9)+NL("Sum","5802 Value Entry","17 Sales Amount (Actual)","41 Source Type",$C$5,"5 Source no.",$C3012,"4 Item Ledger Entry Type",$C$4,"2 Item No.","@@"&amp;$F3012,"3 Posting Date",Z$9)</t>
  </si>
  <si>
    <t>=-NL("Sum","5802 Value Entry","151 Cost Amount (Expected)","41 Source Type",$C$5,"5 Source No.",$C3012,"4 Item Ledger Entry Type",$C$4,"2 Item No.","@@"&amp;$F3012,"3 Posting Date",Z$9)-NL("Sum","5802 Value Entry","43 Cost Amount (Actual)","41 Source Type",$C$5,"5 Source no.",$C3012,"4 Item Ledger Entry Type",$C$4,"2 Item No.","@@"&amp;$F3012,"3 Posting Date",Z$9)</t>
  </si>
  <si>
    <t>=Z3012-AB3012</t>
  </si>
  <si>
    <t>=IF(Z3012&lt;&gt;0,AC3012/Z3012,"")</t>
  </si>
  <si>
    <t>=C3012</t>
  </si>
  <si>
    <t>=NL("Sum","5802 Value Entry","150 Sales Amount (Expected)","41 Source Type",$C$5,"5 Source No.",$C3013,"4 Item Ledger Entry Type",$C$4,"2 Item No.","@@"&amp;$F3013,"3 Posting Date",J$9)+NL("Sum","5802 Value Entry","17 Sales Amount (Actual)","41 Source Type",$C$5,"5 Source no.",$C3013,"4 Item Ledger Entry Type",$C$4,"2 Item No.","@@"&amp;$F3013,"3 Posting Date",J$9)</t>
  </si>
  <si>
    <t>=-NL("Sum","5802 Value Entry","151 Cost Amount (Expected)","41 Source Type",$C$5,"5 Source No.",$C3013,"4 Item Ledger Entry Type",$C$4,"2 Item No.","@@"&amp;$F3013,"3 Posting Date",J$9)-NL("Sum","5802 Value Entry","43 Cost Amount (Actual)","41 Source Type",$C$5,"5 Source no.",$C3013,"4 Item Ledger Entry Type",$C$4,"2 Item No.","@@"&amp;$F3013,"3 Posting Date",J$9)</t>
  </si>
  <si>
    <t>=J3013-L3013</t>
  </si>
  <si>
    <t>=IF(J3013&lt;&gt;0,M3013/J3013,"")</t>
  </si>
  <si>
    <t>=NL("Sum","5802 Value Entry","150 Sales Amount (Expected)","41 Source Type",$C$5,"5 Source No.",$C3013,"4 Item Ledger Entry Type",$C$4,"2 Item No.","@@"&amp;$F3013,"3 Posting Date",O$9)+NL("Sum","5802 Value Entry","17 Sales Amount (Actual)","41 Source Type",$C$5,"5 Source no.",$C3013,"4 Item Ledger Entry Type",$C$4,"2 Item No.","@@"&amp;$F3013,"3 Posting Date",O$9)</t>
  </si>
  <si>
    <t>=-NL("Sum","5802 Value Entry","151 Cost Amount (Expected)","41 Source Type",$C$5,"5 Source No.",$C3013,"4 Item Ledger Entry Type",$C$4,"2 Item No.","@@"&amp;$F3013,"3 Posting Date",O$9)-NL("Sum","5802 Value Entry","43 Cost Amount (Actual)","41 Source Type",$C$5,"5 Source no.",$C3013,"4 Item Ledger Entry Type",$C$4,"2 Item No.","@@"&amp;$F3013,"3 Posting Date",O$9)</t>
  </si>
  <si>
    <t>=O3013-Q3013</t>
  </si>
  <si>
    <t>=IF(O3013&lt;&gt;0,R3013/O3013,"")</t>
  </si>
  <si>
    <t>=NL("Sum","5802 Value Entry","150 Sales Amount (Expected)","41 Source Type",$C$5,"5 Source No.",$C3013,"4 Item Ledger Entry Type",$C$4,"2 Item No.","@@"&amp;$F3013,"3 Posting Date",U$9)+NL("Sum","5802 Value Entry","17 Sales Amount (Actual)","41 Source Type",$C$5,"5 Source no.",$C3013,"4 Item Ledger Entry Type",$C$4,"2 Item No.","@@"&amp;$F3013,"3 Posting Date",U$9)</t>
  </si>
  <si>
    <t>=-NL("Sum","5802 Value Entry","151 Cost Amount (Expected)","41 Source Type",$C$5,"5 Source No.",$C3013,"4 Item Ledger Entry Type",$C$4,"2 Item No.","@@"&amp;$F3013,"3 Posting Date",U$9)-NL("Sum","5802 Value Entry","43 Cost Amount (Actual)","41 Source Type",$C$5,"5 Source no.",$C3013,"4 Item Ledger Entry Type",$C$4,"2 Item No.","@@"&amp;$F3013,"3 Posting Date",U$9)</t>
  </si>
  <si>
    <t>=U3013-W3013</t>
  </si>
  <si>
    <t>=IF(U3013&lt;&gt;0,X3013/U3013,"")</t>
  </si>
  <si>
    <t>=NL("Sum","5802 Value Entry","150 Sales Amount (Expected)","41 Source Type",$C$5,"5 Source No.",$C3013,"4 Item Ledger Entry Type",$C$4,"2 Item No.","@@"&amp;$F3013,"3 Posting Date",Z$9)+NL("Sum","5802 Value Entry","17 Sales Amount (Actual)","41 Source Type",$C$5,"5 Source no.",$C3013,"4 Item Ledger Entry Type",$C$4,"2 Item No.","@@"&amp;$F3013,"3 Posting Date",Z$9)</t>
  </si>
  <si>
    <t>=-NL("Sum","5802 Value Entry","151 Cost Amount (Expected)","41 Source Type",$C$5,"5 Source No.",$C3013,"4 Item Ledger Entry Type",$C$4,"2 Item No.","@@"&amp;$F3013,"3 Posting Date",Z$9)-NL("Sum","5802 Value Entry","43 Cost Amount (Actual)","41 Source Type",$C$5,"5 Source no.",$C3013,"4 Item Ledger Entry Type",$C$4,"2 Item No.","@@"&amp;$F3013,"3 Posting Date",Z$9)</t>
  </si>
  <si>
    <t>=Z3013-AB3013</t>
  </si>
  <si>
    <t>=IF(Z3013&lt;&gt;0,AC3013/Z3013,"")</t>
  </si>
  <si>
    <t>=C3014</t>
  </si>
  <si>
    <t>=J3015-L3015</t>
  </si>
  <si>
    <t>=IF(J3015&lt;&gt;0,M3015/J3015,"")</t>
  </si>
  <si>
    <t>=O3015-Q3015</t>
  </si>
  <si>
    <t>=IF(O3015&lt;&gt;0,R3015/O3015,"")</t>
  </si>
  <si>
    <t>=U3015-W3015</t>
  </si>
  <si>
    <t>=IF(U3015&lt;&gt;0,X3015/U3015,"")</t>
  </si>
  <si>
    <t>=Z3015-AB3015</t>
  </si>
  <si>
    <t>=IF(Z3015&lt;&gt;0,AC3015/Z3015,"")</t>
  </si>
  <si>
    <t>="C100127"</t>
  </si>
  <si>
    <t>=C3017</t>
  </si>
  <si>
    <t>=C3018</t>
  </si>
  <si>
    <t>=NL("Sum","5802 Value Entry","150 Sales Amount (Expected)","41 Source Type",$C$5,"5 Source No.",$C3019,"4 Item Ledger Entry Type",$C$4,"2 Item No.","@@"&amp;$F3019,"3 Posting Date",J$9)+NL("Sum","5802 Value Entry","17 Sales Amount (Actual)","41 Source Type",$C$5,"5 Source no.",$C3019,"4 Item Ledger Entry Type",$C$4,"2 Item No.","@@"&amp;$F3019,"3 Posting Date",J$9)</t>
  </si>
  <si>
    <t>=-NL("Sum","5802 Value Entry","151 Cost Amount (Expected)","41 Source Type",$C$5,"5 Source No.",$C3019,"4 Item Ledger Entry Type",$C$4,"2 Item No.","@@"&amp;$F3019,"3 Posting Date",J$9)-NL("Sum","5802 Value Entry","43 Cost Amount (Actual)","41 Source Type",$C$5,"5 Source no.",$C3019,"4 Item Ledger Entry Type",$C$4,"2 Item No.","@@"&amp;$F3019,"3 Posting Date",J$9)</t>
  </si>
  <si>
    <t>=J3019-L3019</t>
  </si>
  <si>
    <t>=IF(J3019&lt;&gt;0,M3019/J3019,"")</t>
  </si>
  <si>
    <t>=NL("Sum","5802 Value Entry","150 Sales Amount (Expected)","41 Source Type",$C$5,"5 Source No.",$C3019,"4 Item Ledger Entry Type",$C$4,"2 Item No.","@@"&amp;$F3019,"3 Posting Date",O$9)+NL("Sum","5802 Value Entry","17 Sales Amount (Actual)","41 Source Type",$C$5,"5 Source no.",$C3019,"4 Item Ledger Entry Type",$C$4,"2 Item No.","@@"&amp;$F3019,"3 Posting Date",O$9)</t>
  </si>
  <si>
    <t>=-NL("Sum","5802 Value Entry","151 Cost Amount (Expected)","41 Source Type",$C$5,"5 Source No.",$C3019,"4 Item Ledger Entry Type",$C$4,"2 Item No.","@@"&amp;$F3019,"3 Posting Date",O$9)-NL("Sum","5802 Value Entry","43 Cost Amount (Actual)","41 Source Type",$C$5,"5 Source no.",$C3019,"4 Item Ledger Entry Type",$C$4,"2 Item No.","@@"&amp;$F3019,"3 Posting Date",O$9)</t>
  </si>
  <si>
    <t>=O3019-Q3019</t>
  </si>
  <si>
    <t>=IF(O3019&lt;&gt;0,R3019/O3019,"")</t>
  </si>
  <si>
    <t>=NL("Sum","5802 Value Entry","150 Sales Amount (Expected)","41 Source Type",$C$5,"5 Source No.",$C3019,"4 Item Ledger Entry Type",$C$4,"2 Item No.","@@"&amp;$F3019,"3 Posting Date",U$9)+NL("Sum","5802 Value Entry","17 Sales Amount (Actual)","41 Source Type",$C$5,"5 Source no.",$C3019,"4 Item Ledger Entry Type",$C$4,"2 Item No.","@@"&amp;$F3019,"3 Posting Date",U$9)</t>
  </si>
  <si>
    <t>=-NL("Sum","5802 Value Entry","151 Cost Amount (Expected)","41 Source Type",$C$5,"5 Source No.",$C3019,"4 Item Ledger Entry Type",$C$4,"2 Item No.","@@"&amp;$F3019,"3 Posting Date",U$9)-NL("Sum","5802 Value Entry","43 Cost Amount (Actual)","41 Source Type",$C$5,"5 Source no.",$C3019,"4 Item Ledger Entry Type",$C$4,"2 Item No.","@@"&amp;$F3019,"3 Posting Date",U$9)</t>
  </si>
  <si>
    <t>=U3019-W3019</t>
  </si>
  <si>
    <t>=IF(U3019&lt;&gt;0,X3019/U3019,"")</t>
  </si>
  <si>
    <t>=NL("Sum","5802 Value Entry","150 Sales Amount (Expected)","41 Source Type",$C$5,"5 Source No.",$C3019,"4 Item Ledger Entry Type",$C$4,"2 Item No.","@@"&amp;$F3019,"3 Posting Date",Z$9)+NL("Sum","5802 Value Entry","17 Sales Amount (Actual)","41 Source Type",$C$5,"5 Source no.",$C3019,"4 Item Ledger Entry Type",$C$4,"2 Item No.","@@"&amp;$F3019,"3 Posting Date",Z$9)</t>
  </si>
  <si>
    <t>=-NL("Sum","5802 Value Entry","151 Cost Amount (Expected)","41 Source Type",$C$5,"5 Source No.",$C3019,"4 Item Ledger Entry Type",$C$4,"2 Item No.","@@"&amp;$F3019,"3 Posting Date",Z$9)-NL("Sum","5802 Value Entry","43 Cost Amount (Actual)","41 Source Type",$C$5,"5 Source no.",$C3019,"4 Item Ledger Entry Type",$C$4,"2 Item No.","@@"&amp;$F3019,"3 Posting Date",Z$9)</t>
  </si>
  <si>
    <t>=Z3019-AB3019</t>
  </si>
  <si>
    <t>=IF(Z3019&lt;&gt;0,AC3019/Z3019,"")</t>
  </si>
  <si>
    <t>=C3019</t>
  </si>
  <si>
    <t>=NL("Sum","5802 Value Entry","150 Sales Amount (Expected)","41 Source Type",$C$5,"5 Source No.",$C3020,"4 Item Ledger Entry Type",$C$4,"2 Item No.","@@"&amp;$F3020,"3 Posting Date",J$9)+NL("Sum","5802 Value Entry","17 Sales Amount (Actual)","41 Source Type",$C$5,"5 Source no.",$C3020,"4 Item Ledger Entry Type",$C$4,"2 Item No.","@@"&amp;$F3020,"3 Posting Date",J$9)</t>
  </si>
  <si>
    <t>=-NL("Sum","5802 Value Entry","151 Cost Amount (Expected)","41 Source Type",$C$5,"5 Source No.",$C3020,"4 Item Ledger Entry Type",$C$4,"2 Item No.","@@"&amp;$F3020,"3 Posting Date",J$9)-NL("Sum","5802 Value Entry","43 Cost Amount (Actual)","41 Source Type",$C$5,"5 Source no.",$C3020,"4 Item Ledger Entry Type",$C$4,"2 Item No.","@@"&amp;$F3020,"3 Posting Date",J$9)</t>
  </si>
  <si>
    <t>=J3020-L3020</t>
  </si>
  <si>
    <t>=IF(J3020&lt;&gt;0,M3020/J3020,"")</t>
  </si>
  <si>
    <t>=NL("Sum","5802 Value Entry","150 Sales Amount (Expected)","41 Source Type",$C$5,"5 Source No.",$C3020,"4 Item Ledger Entry Type",$C$4,"2 Item No.","@@"&amp;$F3020,"3 Posting Date",O$9)+NL("Sum","5802 Value Entry","17 Sales Amount (Actual)","41 Source Type",$C$5,"5 Source no.",$C3020,"4 Item Ledger Entry Type",$C$4,"2 Item No.","@@"&amp;$F3020,"3 Posting Date",O$9)</t>
  </si>
  <si>
    <t>=-NL("Sum","5802 Value Entry","151 Cost Amount (Expected)","41 Source Type",$C$5,"5 Source No.",$C3020,"4 Item Ledger Entry Type",$C$4,"2 Item No.","@@"&amp;$F3020,"3 Posting Date",O$9)-NL("Sum","5802 Value Entry","43 Cost Amount (Actual)","41 Source Type",$C$5,"5 Source no.",$C3020,"4 Item Ledger Entry Type",$C$4,"2 Item No.","@@"&amp;$F3020,"3 Posting Date",O$9)</t>
  </si>
  <si>
    <t>=O3020-Q3020</t>
  </si>
  <si>
    <t>=IF(O3020&lt;&gt;0,R3020/O3020,"")</t>
  </si>
  <si>
    <t>=NL("Sum","5802 Value Entry","150 Sales Amount (Expected)","41 Source Type",$C$5,"5 Source No.",$C3020,"4 Item Ledger Entry Type",$C$4,"2 Item No.","@@"&amp;$F3020,"3 Posting Date",U$9)+NL("Sum","5802 Value Entry","17 Sales Amount (Actual)","41 Source Type",$C$5,"5 Source no.",$C3020,"4 Item Ledger Entry Type",$C$4,"2 Item No.","@@"&amp;$F3020,"3 Posting Date",U$9)</t>
  </si>
  <si>
    <t>=-NL("Sum","5802 Value Entry","151 Cost Amount (Expected)","41 Source Type",$C$5,"5 Source No.",$C3020,"4 Item Ledger Entry Type",$C$4,"2 Item No.","@@"&amp;$F3020,"3 Posting Date",U$9)-NL("Sum","5802 Value Entry","43 Cost Amount (Actual)","41 Source Type",$C$5,"5 Source no.",$C3020,"4 Item Ledger Entry Type",$C$4,"2 Item No.","@@"&amp;$F3020,"3 Posting Date",U$9)</t>
  </si>
  <si>
    <t>=U3020-W3020</t>
  </si>
  <si>
    <t>=IF(U3020&lt;&gt;0,X3020/U3020,"")</t>
  </si>
  <si>
    <t>=NL("Sum","5802 Value Entry","150 Sales Amount (Expected)","41 Source Type",$C$5,"5 Source No.",$C3020,"4 Item Ledger Entry Type",$C$4,"2 Item No.","@@"&amp;$F3020,"3 Posting Date",Z$9)+NL("Sum","5802 Value Entry","17 Sales Amount (Actual)","41 Source Type",$C$5,"5 Source no.",$C3020,"4 Item Ledger Entry Type",$C$4,"2 Item No.","@@"&amp;$F3020,"3 Posting Date",Z$9)</t>
  </si>
  <si>
    <t>=-NL("Sum","5802 Value Entry","151 Cost Amount (Expected)","41 Source Type",$C$5,"5 Source No.",$C3020,"4 Item Ledger Entry Type",$C$4,"2 Item No.","@@"&amp;$F3020,"3 Posting Date",Z$9)-NL("Sum","5802 Value Entry","43 Cost Amount (Actual)","41 Source Type",$C$5,"5 Source no.",$C3020,"4 Item Ledger Entry Type",$C$4,"2 Item No.","@@"&amp;$F3020,"3 Posting Date",Z$9)</t>
  </si>
  <si>
    <t>=Z3020-AB3020</t>
  </si>
  <si>
    <t>=IF(Z3020&lt;&gt;0,AC3020/Z3020,"")</t>
  </si>
  <si>
    <t>=C3020</t>
  </si>
  <si>
    <t>=NL("Sum","5802 Value Entry","150 Sales Amount (Expected)","41 Source Type",$C$5,"5 Source No.",$C3021,"4 Item Ledger Entry Type",$C$4,"2 Item No.","@@"&amp;$F3021,"3 Posting Date",J$9)+NL("Sum","5802 Value Entry","17 Sales Amount (Actual)","41 Source Type",$C$5,"5 Source no.",$C3021,"4 Item Ledger Entry Type",$C$4,"2 Item No.","@@"&amp;$F3021,"3 Posting Date",J$9)</t>
  </si>
  <si>
    <t>=-NL("Sum","5802 Value Entry","151 Cost Amount (Expected)","41 Source Type",$C$5,"5 Source No.",$C3021,"4 Item Ledger Entry Type",$C$4,"2 Item No.","@@"&amp;$F3021,"3 Posting Date",J$9)-NL("Sum","5802 Value Entry","43 Cost Amount (Actual)","41 Source Type",$C$5,"5 Source no.",$C3021,"4 Item Ledger Entry Type",$C$4,"2 Item No.","@@"&amp;$F3021,"3 Posting Date",J$9)</t>
  </si>
  <si>
    <t>=J3021-L3021</t>
  </si>
  <si>
    <t>=IF(J3021&lt;&gt;0,M3021/J3021,"")</t>
  </si>
  <si>
    <t>=NL("Sum","5802 Value Entry","150 Sales Amount (Expected)","41 Source Type",$C$5,"5 Source No.",$C3021,"4 Item Ledger Entry Type",$C$4,"2 Item No.","@@"&amp;$F3021,"3 Posting Date",O$9)+NL("Sum","5802 Value Entry","17 Sales Amount (Actual)","41 Source Type",$C$5,"5 Source no.",$C3021,"4 Item Ledger Entry Type",$C$4,"2 Item No.","@@"&amp;$F3021,"3 Posting Date",O$9)</t>
  </si>
  <si>
    <t>=-NL("Sum","5802 Value Entry","151 Cost Amount (Expected)","41 Source Type",$C$5,"5 Source No.",$C3021,"4 Item Ledger Entry Type",$C$4,"2 Item No.","@@"&amp;$F3021,"3 Posting Date",O$9)-NL("Sum","5802 Value Entry","43 Cost Amount (Actual)","41 Source Type",$C$5,"5 Source no.",$C3021,"4 Item Ledger Entry Type",$C$4,"2 Item No.","@@"&amp;$F3021,"3 Posting Date",O$9)</t>
  </si>
  <si>
    <t>=O3021-Q3021</t>
  </si>
  <si>
    <t>=IF(O3021&lt;&gt;0,R3021/O3021,"")</t>
  </si>
  <si>
    <t>=NL("Sum","5802 Value Entry","150 Sales Amount (Expected)","41 Source Type",$C$5,"5 Source No.",$C3021,"4 Item Ledger Entry Type",$C$4,"2 Item No.","@@"&amp;$F3021,"3 Posting Date",U$9)+NL("Sum","5802 Value Entry","17 Sales Amount (Actual)","41 Source Type",$C$5,"5 Source no.",$C3021,"4 Item Ledger Entry Type",$C$4,"2 Item No.","@@"&amp;$F3021,"3 Posting Date",U$9)</t>
  </si>
  <si>
    <t>=-NL("Sum","5802 Value Entry","151 Cost Amount (Expected)","41 Source Type",$C$5,"5 Source No.",$C3021,"4 Item Ledger Entry Type",$C$4,"2 Item No.","@@"&amp;$F3021,"3 Posting Date",U$9)-NL("Sum","5802 Value Entry","43 Cost Amount (Actual)","41 Source Type",$C$5,"5 Source no.",$C3021,"4 Item Ledger Entry Type",$C$4,"2 Item No.","@@"&amp;$F3021,"3 Posting Date",U$9)</t>
  </si>
  <si>
    <t>=U3021-W3021</t>
  </si>
  <si>
    <t>=IF(U3021&lt;&gt;0,X3021/U3021,"")</t>
  </si>
  <si>
    <t>=NL("Sum","5802 Value Entry","150 Sales Amount (Expected)","41 Source Type",$C$5,"5 Source No.",$C3021,"4 Item Ledger Entry Type",$C$4,"2 Item No.","@@"&amp;$F3021,"3 Posting Date",Z$9)+NL("Sum","5802 Value Entry","17 Sales Amount (Actual)","41 Source Type",$C$5,"5 Source no.",$C3021,"4 Item Ledger Entry Type",$C$4,"2 Item No.","@@"&amp;$F3021,"3 Posting Date",Z$9)</t>
  </si>
  <si>
    <t>=-NL("Sum","5802 Value Entry","151 Cost Amount (Expected)","41 Source Type",$C$5,"5 Source No.",$C3021,"4 Item Ledger Entry Type",$C$4,"2 Item No.","@@"&amp;$F3021,"3 Posting Date",Z$9)-NL("Sum","5802 Value Entry","43 Cost Amount (Actual)","41 Source Type",$C$5,"5 Source no.",$C3021,"4 Item Ledger Entry Type",$C$4,"2 Item No.","@@"&amp;$F3021,"3 Posting Date",Z$9)</t>
  </si>
  <si>
    <t>=Z3021-AB3021</t>
  </si>
  <si>
    <t>=IF(Z3021&lt;&gt;0,AC3021/Z3021,"")</t>
  </si>
  <si>
    <t>=C3021</t>
  </si>
  <si>
    <t>=NL("Sum","5802 Value Entry","150 Sales Amount (Expected)","41 Source Type",$C$5,"5 Source No.",$C3022,"4 Item Ledger Entry Type",$C$4,"2 Item No.","@@"&amp;$F3022,"3 Posting Date",J$9)+NL("Sum","5802 Value Entry","17 Sales Amount (Actual)","41 Source Type",$C$5,"5 Source no.",$C3022,"4 Item Ledger Entry Type",$C$4,"2 Item No.","@@"&amp;$F3022,"3 Posting Date",J$9)</t>
  </si>
  <si>
    <t>=-NL("Sum","5802 Value Entry","151 Cost Amount (Expected)","41 Source Type",$C$5,"5 Source No.",$C3022,"4 Item Ledger Entry Type",$C$4,"2 Item No.","@@"&amp;$F3022,"3 Posting Date",J$9)-NL("Sum","5802 Value Entry","43 Cost Amount (Actual)","41 Source Type",$C$5,"5 Source no.",$C3022,"4 Item Ledger Entry Type",$C$4,"2 Item No.","@@"&amp;$F3022,"3 Posting Date",J$9)</t>
  </si>
  <si>
    <t>=J3022-L3022</t>
  </si>
  <si>
    <t>=IF(J3022&lt;&gt;0,M3022/J3022,"")</t>
  </si>
  <si>
    <t>=NL("Sum","5802 Value Entry","150 Sales Amount (Expected)","41 Source Type",$C$5,"5 Source No.",$C3022,"4 Item Ledger Entry Type",$C$4,"2 Item No.","@@"&amp;$F3022,"3 Posting Date",O$9)+NL("Sum","5802 Value Entry","17 Sales Amount (Actual)","41 Source Type",$C$5,"5 Source no.",$C3022,"4 Item Ledger Entry Type",$C$4,"2 Item No.","@@"&amp;$F3022,"3 Posting Date",O$9)</t>
  </si>
  <si>
    <t>=-NL("Sum","5802 Value Entry","151 Cost Amount (Expected)","41 Source Type",$C$5,"5 Source No.",$C3022,"4 Item Ledger Entry Type",$C$4,"2 Item No.","@@"&amp;$F3022,"3 Posting Date",O$9)-NL("Sum","5802 Value Entry","43 Cost Amount (Actual)","41 Source Type",$C$5,"5 Source no.",$C3022,"4 Item Ledger Entry Type",$C$4,"2 Item No.","@@"&amp;$F3022,"3 Posting Date",O$9)</t>
  </si>
  <si>
    <t>=O3022-Q3022</t>
  </si>
  <si>
    <t>=IF(O3022&lt;&gt;0,R3022/O3022,"")</t>
  </si>
  <si>
    <t>=NL("Sum","5802 Value Entry","150 Sales Amount (Expected)","41 Source Type",$C$5,"5 Source No.",$C3022,"4 Item Ledger Entry Type",$C$4,"2 Item No.","@@"&amp;$F3022,"3 Posting Date",U$9)+NL("Sum","5802 Value Entry","17 Sales Amount (Actual)","41 Source Type",$C$5,"5 Source no.",$C3022,"4 Item Ledger Entry Type",$C$4,"2 Item No.","@@"&amp;$F3022,"3 Posting Date",U$9)</t>
  </si>
  <si>
    <t>=-NL("Sum","5802 Value Entry","151 Cost Amount (Expected)","41 Source Type",$C$5,"5 Source No.",$C3022,"4 Item Ledger Entry Type",$C$4,"2 Item No.","@@"&amp;$F3022,"3 Posting Date",U$9)-NL("Sum","5802 Value Entry","43 Cost Amount (Actual)","41 Source Type",$C$5,"5 Source no.",$C3022,"4 Item Ledger Entry Type",$C$4,"2 Item No.","@@"&amp;$F3022,"3 Posting Date",U$9)</t>
  </si>
  <si>
    <t>=U3022-W3022</t>
  </si>
  <si>
    <t>=IF(U3022&lt;&gt;0,X3022/U3022,"")</t>
  </si>
  <si>
    <t>=NL("Sum","5802 Value Entry","150 Sales Amount (Expected)","41 Source Type",$C$5,"5 Source No.",$C3022,"4 Item Ledger Entry Type",$C$4,"2 Item No.","@@"&amp;$F3022,"3 Posting Date",Z$9)+NL("Sum","5802 Value Entry","17 Sales Amount (Actual)","41 Source Type",$C$5,"5 Source no.",$C3022,"4 Item Ledger Entry Type",$C$4,"2 Item No.","@@"&amp;$F3022,"3 Posting Date",Z$9)</t>
  </si>
  <si>
    <t>=-NL("Sum","5802 Value Entry","151 Cost Amount (Expected)","41 Source Type",$C$5,"5 Source No.",$C3022,"4 Item Ledger Entry Type",$C$4,"2 Item No.","@@"&amp;$F3022,"3 Posting Date",Z$9)-NL("Sum","5802 Value Entry","43 Cost Amount (Actual)","41 Source Type",$C$5,"5 Source no.",$C3022,"4 Item Ledger Entry Type",$C$4,"2 Item No.","@@"&amp;$F3022,"3 Posting Date",Z$9)</t>
  </si>
  <si>
    <t>=Z3022-AB3022</t>
  </si>
  <si>
    <t>=IF(Z3022&lt;&gt;0,AC3022/Z3022,"")</t>
  </si>
  <si>
    <t>=C3022</t>
  </si>
  <si>
    <t>=NL("Sum","5802 Value Entry","150 Sales Amount (Expected)","41 Source Type",$C$5,"5 Source No.",$C3023,"4 Item Ledger Entry Type",$C$4,"2 Item No.","@@"&amp;$F3023,"3 Posting Date",J$9)+NL("Sum","5802 Value Entry","17 Sales Amount (Actual)","41 Source Type",$C$5,"5 Source no.",$C3023,"4 Item Ledger Entry Type",$C$4,"2 Item No.","@@"&amp;$F3023,"3 Posting Date",J$9)</t>
  </si>
  <si>
    <t>=-NL("Sum","5802 Value Entry","151 Cost Amount (Expected)","41 Source Type",$C$5,"5 Source No.",$C3023,"4 Item Ledger Entry Type",$C$4,"2 Item No.","@@"&amp;$F3023,"3 Posting Date",J$9)-NL("Sum","5802 Value Entry","43 Cost Amount (Actual)","41 Source Type",$C$5,"5 Source no.",$C3023,"4 Item Ledger Entry Type",$C$4,"2 Item No.","@@"&amp;$F3023,"3 Posting Date",J$9)</t>
  </si>
  <si>
    <t>=J3023-L3023</t>
  </si>
  <si>
    <t>=IF(J3023&lt;&gt;0,M3023/J3023,"")</t>
  </si>
  <si>
    <t>=NL("Sum","5802 Value Entry","150 Sales Amount (Expected)","41 Source Type",$C$5,"5 Source No.",$C3023,"4 Item Ledger Entry Type",$C$4,"2 Item No.","@@"&amp;$F3023,"3 Posting Date",O$9)+NL("Sum","5802 Value Entry","17 Sales Amount (Actual)","41 Source Type",$C$5,"5 Source no.",$C3023,"4 Item Ledger Entry Type",$C$4,"2 Item No.","@@"&amp;$F3023,"3 Posting Date",O$9)</t>
  </si>
  <si>
    <t>=-NL("Sum","5802 Value Entry","151 Cost Amount (Expected)","41 Source Type",$C$5,"5 Source No.",$C3023,"4 Item Ledger Entry Type",$C$4,"2 Item No.","@@"&amp;$F3023,"3 Posting Date",O$9)-NL("Sum","5802 Value Entry","43 Cost Amount (Actual)","41 Source Type",$C$5,"5 Source no.",$C3023,"4 Item Ledger Entry Type",$C$4,"2 Item No.","@@"&amp;$F3023,"3 Posting Date",O$9)</t>
  </si>
  <si>
    <t>=O3023-Q3023</t>
  </si>
  <si>
    <t>=IF(O3023&lt;&gt;0,R3023/O3023,"")</t>
  </si>
  <si>
    <t>=NL("Sum","5802 Value Entry","150 Sales Amount (Expected)","41 Source Type",$C$5,"5 Source No.",$C3023,"4 Item Ledger Entry Type",$C$4,"2 Item No.","@@"&amp;$F3023,"3 Posting Date",U$9)+NL("Sum","5802 Value Entry","17 Sales Amount (Actual)","41 Source Type",$C$5,"5 Source no.",$C3023,"4 Item Ledger Entry Type",$C$4,"2 Item No.","@@"&amp;$F3023,"3 Posting Date",U$9)</t>
  </si>
  <si>
    <t>=-NL("Sum","5802 Value Entry","151 Cost Amount (Expected)","41 Source Type",$C$5,"5 Source No.",$C3023,"4 Item Ledger Entry Type",$C$4,"2 Item No.","@@"&amp;$F3023,"3 Posting Date",U$9)-NL("Sum","5802 Value Entry","43 Cost Amount (Actual)","41 Source Type",$C$5,"5 Source no.",$C3023,"4 Item Ledger Entry Type",$C$4,"2 Item No.","@@"&amp;$F3023,"3 Posting Date",U$9)</t>
  </si>
  <si>
    <t>=U3023-W3023</t>
  </si>
  <si>
    <t>=IF(U3023&lt;&gt;0,X3023/U3023,"")</t>
  </si>
  <si>
    <t>=NL("Sum","5802 Value Entry","150 Sales Amount (Expected)","41 Source Type",$C$5,"5 Source No.",$C3023,"4 Item Ledger Entry Type",$C$4,"2 Item No.","@@"&amp;$F3023,"3 Posting Date",Z$9)+NL("Sum","5802 Value Entry","17 Sales Amount (Actual)","41 Source Type",$C$5,"5 Source no.",$C3023,"4 Item Ledger Entry Type",$C$4,"2 Item No.","@@"&amp;$F3023,"3 Posting Date",Z$9)</t>
  </si>
  <si>
    <t>=-NL("Sum","5802 Value Entry","151 Cost Amount (Expected)","41 Source Type",$C$5,"5 Source No.",$C3023,"4 Item Ledger Entry Type",$C$4,"2 Item No.","@@"&amp;$F3023,"3 Posting Date",Z$9)-NL("Sum","5802 Value Entry","43 Cost Amount (Actual)","41 Source Type",$C$5,"5 Source no.",$C3023,"4 Item Ledger Entry Type",$C$4,"2 Item No.","@@"&amp;$F3023,"3 Posting Date",Z$9)</t>
  </si>
  <si>
    <t>=Z3023-AB3023</t>
  </si>
  <si>
    <t>=IF(Z3023&lt;&gt;0,AC3023/Z3023,"")</t>
  </si>
  <si>
    <t>=C3023</t>
  </si>
  <si>
    <t>=NL("Sum","5802 Value Entry","150 Sales Amount (Expected)","41 Source Type",$C$5,"5 Source No.",$C3024,"4 Item Ledger Entry Type",$C$4,"2 Item No.","@@"&amp;$F3024,"3 Posting Date",J$9)+NL("Sum","5802 Value Entry","17 Sales Amount (Actual)","41 Source Type",$C$5,"5 Source no.",$C3024,"4 Item Ledger Entry Type",$C$4,"2 Item No.","@@"&amp;$F3024,"3 Posting Date",J$9)</t>
  </si>
  <si>
    <t>=-NL("Sum","5802 Value Entry","151 Cost Amount (Expected)","41 Source Type",$C$5,"5 Source No.",$C3024,"4 Item Ledger Entry Type",$C$4,"2 Item No.","@@"&amp;$F3024,"3 Posting Date",J$9)-NL("Sum","5802 Value Entry","43 Cost Amount (Actual)","41 Source Type",$C$5,"5 Source no.",$C3024,"4 Item Ledger Entry Type",$C$4,"2 Item No.","@@"&amp;$F3024,"3 Posting Date",J$9)</t>
  </si>
  <si>
    <t>=J3024-L3024</t>
  </si>
  <si>
    <t>=IF(J3024&lt;&gt;0,M3024/J3024,"")</t>
  </si>
  <si>
    <t>=NL("Sum","5802 Value Entry","150 Sales Amount (Expected)","41 Source Type",$C$5,"5 Source No.",$C3024,"4 Item Ledger Entry Type",$C$4,"2 Item No.","@@"&amp;$F3024,"3 Posting Date",O$9)+NL("Sum","5802 Value Entry","17 Sales Amount (Actual)","41 Source Type",$C$5,"5 Source no.",$C3024,"4 Item Ledger Entry Type",$C$4,"2 Item No.","@@"&amp;$F3024,"3 Posting Date",O$9)</t>
  </si>
  <si>
    <t>=-NL("Sum","5802 Value Entry","151 Cost Amount (Expected)","41 Source Type",$C$5,"5 Source No.",$C3024,"4 Item Ledger Entry Type",$C$4,"2 Item No.","@@"&amp;$F3024,"3 Posting Date",O$9)-NL("Sum","5802 Value Entry","43 Cost Amount (Actual)","41 Source Type",$C$5,"5 Source no.",$C3024,"4 Item Ledger Entry Type",$C$4,"2 Item No.","@@"&amp;$F3024,"3 Posting Date",O$9)</t>
  </si>
  <si>
    <t>=O3024-Q3024</t>
  </si>
  <si>
    <t>=IF(O3024&lt;&gt;0,R3024/O3024,"")</t>
  </si>
  <si>
    <t>=NL("Sum","5802 Value Entry","150 Sales Amount (Expected)","41 Source Type",$C$5,"5 Source No.",$C3024,"4 Item Ledger Entry Type",$C$4,"2 Item No.","@@"&amp;$F3024,"3 Posting Date",U$9)+NL("Sum","5802 Value Entry","17 Sales Amount (Actual)","41 Source Type",$C$5,"5 Source no.",$C3024,"4 Item Ledger Entry Type",$C$4,"2 Item No.","@@"&amp;$F3024,"3 Posting Date",U$9)</t>
  </si>
  <si>
    <t>=-NL("Sum","5802 Value Entry","151 Cost Amount (Expected)","41 Source Type",$C$5,"5 Source No.",$C3024,"4 Item Ledger Entry Type",$C$4,"2 Item No.","@@"&amp;$F3024,"3 Posting Date",U$9)-NL("Sum","5802 Value Entry","43 Cost Amount (Actual)","41 Source Type",$C$5,"5 Source no.",$C3024,"4 Item Ledger Entry Type",$C$4,"2 Item No.","@@"&amp;$F3024,"3 Posting Date",U$9)</t>
  </si>
  <si>
    <t>=U3024-W3024</t>
  </si>
  <si>
    <t>=IF(U3024&lt;&gt;0,X3024/U3024,"")</t>
  </si>
  <si>
    <t>=NL("Sum","5802 Value Entry","150 Sales Amount (Expected)","41 Source Type",$C$5,"5 Source No.",$C3024,"4 Item Ledger Entry Type",$C$4,"2 Item No.","@@"&amp;$F3024,"3 Posting Date",Z$9)+NL("Sum","5802 Value Entry","17 Sales Amount (Actual)","41 Source Type",$C$5,"5 Source no.",$C3024,"4 Item Ledger Entry Type",$C$4,"2 Item No.","@@"&amp;$F3024,"3 Posting Date",Z$9)</t>
  </si>
  <si>
    <t>=-NL("Sum","5802 Value Entry","151 Cost Amount (Expected)","41 Source Type",$C$5,"5 Source No.",$C3024,"4 Item Ledger Entry Type",$C$4,"2 Item No.","@@"&amp;$F3024,"3 Posting Date",Z$9)-NL("Sum","5802 Value Entry","43 Cost Amount (Actual)","41 Source Type",$C$5,"5 Source no.",$C3024,"4 Item Ledger Entry Type",$C$4,"2 Item No.","@@"&amp;$F3024,"3 Posting Date",Z$9)</t>
  </si>
  <si>
    <t>=Z3024-AB3024</t>
  </si>
  <si>
    <t>=IF(Z3024&lt;&gt;0,AC3024/Z3024,"")</t>
  </si>
  <si>
    <t>=C3024</t>
  </si>
  <si>
    <t>=NL("Sum","5802 Value Entry","150 Sales Amount (Expected)","41 Source Type",$C$5,"5 Source No.",$C3025,"4 Item Ledger Entry Type",$C$4,"2 Item No.","@@"&amp;$F3025,"3 Posting Date",J$9)+NL("Sum","5802 Value Entry","17 Sales Amount (Actual)","41 Source Type",$C$5,"5 Source no.",$C3025,"4 Item Ledger Entry Type",$C$4,"2 Item No.","@@"&amp;$F3025,"3 Posting Date",J$9)</t>
  </si>
  <si>
    <t>=-NL("Sum","5802 Value Entry","151 Cost Amount (Expected)","41 Source Type",$C$5,"5 Source No.",$C3025,"4 Item Ledger Entry Type",$C$4,"2 Item No.","@@"&amp;$F3025,"3 Posting Date",J$9)-NL("Sum","5802 Value Entry","43 Cost Amount (Actual)","41 Source Type",$C$5,"5 Source no.",$C3025,"4 Item Ledger Entry Type",$C$4,"2 Item No.","@@"&amp;$F3025,"3 Posting Date",J$9)</t>
  </si>
  <si>
    <t>=J3025-L3025</t>
  </si>
  <si>
    <t>=IF(J3025&lt;&gt;0,M3025/J3025,"")</t>
  </si>
  <si>
    <t>=NL("Sum","5802 Value Entry","150 Sales Amount (Expected)","41 Source Type",$C$5,"5 Source No.",$C3025,"4 Item Ledger Entry Type",$C$4,"2 Item No.","@@"&amp;$F3025,"3 Posting Date",O$9)+NL("Sum","5802 Value Entry","17 Sales Amount (Actual)","41 Source Type",$C$5,"5 Source no.",$C3025,"4 Item Ledger Entry Type",$C$4,"2 Item No.","@@"&amp;$F3025,"3 Posting Date",O$9)</t>
  </si>
  <si>
    <t>=-NL("Sum","5802 Value Entry","151 Cost Amount (Expected)","41 Source Type",$C$5,"5 Source No.",$C3025,"4 Item Ledger Entry Type",$C$4,"2 Item No.","@@"&amp;$F3025,"3 Posting Date",O$9)-NL("Sum","5802 Value Entry","43 Cost Amount (Actual)","41 Source Type",$C$5,"5 Source no.",$C3025,"4 Item Ledger Entry Type",$C$4,"2 Item No.","@@"&amp;$F3025,"3 Posting Date",O$9)</t>
  </si>
  <si>
    <t>=O3025-Q3025</t>
  </si>
  <si>
    <t>=IF(O3025&lt;&gt;0,R3025/O3025,"")</t>
  </si>
  <si>
    <t>=NL("Sum","5802 Value Entry","150 Sales Amount (Expected)","41 Source Type",$C$5,"5 Source No.",$C3025,"4 Item Ledger Entry Type",$C$4,"2 Item No.","@@"&amp;$F3025,"3 Posting Date",U$9)+NL("Sum","5802 Value Entry","17 Sales Amount (Actual)","41 Source Type",$C$5,"5 Source no.",$C3025,"4 Item Ledger Entry Type",$C$4,"2 Item No.","@@"&amp;$F3025,"3 Posting Date",U$9)</t>
  </si>
  <si>
    <t>=-NL("Sum","5802 Value Entry","151 Cost Amount (Expected)","41 Source Type",$C$5,"5 Source No.",$C3025,"4 Item Ledger Entry Type",$C$4,"2 Item No.","@@"&amp;$F3025,"3 Posting Date",U$9)-NL("Sum","5802 Value Entry","43 Cost Amount (Actual)","41 Source Type",$C$5,"5 Source no.",$C3025,"4 Item Ledger Entry Type",$C$4,"2 Item No.","@@"&amp;$F3025,"3 Posting Date",U$9)</t>
  </si>
  <si>
    <t>=U3025-W3025</t>
  </si>
  <si>
    <t>=IF(U3025&lt;&gt;0,X3025/U3025,"")</t>
  </si>
  <si>
    <t>=NL("Sum","5802 Value Entry","150 Sales Amount (Expected)","41 Source Type",$C$5,"5 Source No.",$C3025,"4 Item Ledger Entry Type",$C$4,"2 Item No.","@@"&amp;$F3025,"3 Posting Date",Z$9)+NL("Sum","5802 Value Entry","17 Sales Amount (Actual)","41 Source Type",$C$5,"5 Source no.",$C3025,"4 Item Ledger Entry Type",$C$4,"2 Item No.","@@"&amp;$F3025,"3 Posting Date",Z$9)</t>
  </si>
  <si>
    <t>=-NL("Sum","5802 Value Entry","151 Cost Amount (Expected)","41 Source Type",$C$5,"5 Source No.",$C3025,"4 Item Ledger Entry Type",$C$4,"2 Item No.","@@"&amp;$F3025,"3 Posting Date",Z$9)-NL("Sum","5802 Value Entry","43 Cost Amount (Actual)","41 Source Type",$C$5,"5 Source no.",$C3025,"4 Item Ledger Entry Type",$C$4,"2 Item No.","@@"&amp;$F3025,"3 Posting Date",Z$9)</t>
  </si>
  <si>
    <t>=Z3025-AB3025</t>
  </si>
  <si>
    <t>=IF(Z3025&lt;&gt;0,AC3025/Z3025,"")</t>
  </si>
  <si>
    <t>=C3025</t>
  </si>
  <si>
    <t>=NL("Sum","5802 Value Entry","150 Sales Amount (Expected)","41 Source Type",$C$5,"5 Source No.",$C3026,"4 Item Ledger Entry Type",$C$4,"2 Item No.","@@"&amp;$F3026,"3 Posting Date",J$9)+NL("Sum","5802 Value Entry","17 Sales Amount (Actual)","41 Source Type",$C$5,"5 Source no.",$C3026,"4 Item Ledger Entry Type",$C$4,"2 Item No.","@@"&amp;$F3026,"3 Posting Date",J$9)</t>
  </si>
  <si>
    <t>=-NL("Sum","5802 Value Entry","151 Cost Amount (Expected)","41 Source Type",$C$5,"5 Source No.",$C3026,"4 Item Ledger Entry Type",$C$4,"2 Item No.","@@"&amp;$F3026,"3 Posting Date",J$9)-NL("Sum","5802 Value Entry","43 Cost Amount (Actual)","41 Source Type",$C$5,"5 Source no.",$C3026,"4 Item Ledger Entry Type",$C$4,"2 Item No.","@@"&amp;$F3026,"3 Posting Date",J$9)</t>
  </si>
  <si>
    <t>=J3026-L3026</t>
  </si>
  <si>
    <t>=IF(J3026&lt;&gt;0,M3026/J3026,"")</t>
  </si>
  <si>
    <t>=NL("Sum","5802 Value Entry","150 Sales Amount (Expected)","41 Source Type",$C$5,"5 Source No.",$C3026,"4 Item Ledger Entry Type",$C$4,"2 Item No.","@@"&amp;$F3026,"3 Posting Date",O$9)+NL("Sum","5802 Value Entry","17 Sales Amount (Actual)","41 Source Type",$C$5,"5 Source no.",$C3026,"4 Item Ledger Entry Type",$C$4,"2 Item No.","@@"&amp;$F3026,"3 Posting Date",O$9)</t>
  </si>
  <si>
    <t>=-NL("Sum","5802 Value Entry","151 Cost Amount (Expected)","41 Source Type",$C$5,"5 Source No.",$C3026,"4 Item Ledger Entry Type",$C$4,"2 Item No.","@@"&amp;$F3026,"3 Posting Date",O$9)-NL("Sum","5802 Value Entry","43 Cost Amount (Actual)","41 Source Type",$C$5,"5 Source no.",$C3026,"4 Item Ledger Entry Type",$C$4,"2 Item No.","@@"&amp;$F3026,"3 Posting Date",O$9)</t>
  </si>
  <si>
    <t>=O3026-Q3026</t>
  </si>
  <si>
    <t>=IF(O3026&lt;&gt;0,R3026/O3026,"")</t>
  </si>
  <si>
    <t>=NL("Sum","5802 Value Entry","150 Sales Amount (Expected)","41 Source Type",$C$5,"5 Source No.",$C3026,"4 Item Ledger Entry Type",$C$4,"2 Item No.","@@"&amp;$F3026,"3 Posting Date",U$9)+NL("Sum","5802 Value Entry","17 Sales Amount (Actual)","41 Source Type",$C$5,"5 Source no.",$C3026,"4 Item Ledger Entry Type",$C$4,"2 Item No.","@@"&amp;$F3026,"3 Posting Date",U$9)</t>
  </si>
  <si>
    <t>=-NL("Sum","5802 Value Entry","151 Cost Amount (Expected)","41 Source Type",$C$5,"5 Source No.",$C3026,"4 Item Ledger Entry Type",$C$4,"2 Item No.","@@"&amp;$F3026,"3 Posting Date",U$9)-NL("Sum","5802 Value Entry","43 Cost Amount (Actual)","41 Source Type",$C$5,"5 Source no.",$C3026,"4 Item Ledger Entry Type",$C$4,"2 Item No.","@@"&amp;$F3026,"3 Posting Date",U$9)</t>
  </si>
  <si>
    <t>=U3026-W3026</t>
  </si>
  <si>
    <t>=IF(U3026&lt;&gt;0,X3026/U3026,"")</t>
  </si>
  <si>
    <t>=NL("Sum","5802 Value Entry","150 Sales Amount (Expected)","41 Source Type",$C$5,"5 Source No.",$C3026,"4 Item Ledger Entry Type",$C$4,"2 Item No.","@@"&amp;$F3026,"3 Posting Date",Z$9)+NL("Sum","5802 Value Entry","17 Sales Amount (Actual)","41 Source Type",$C$5,"5 Source no.",$C3026,"4 Item Ledger Entry Type",$C$4,"2 Item No.","@@"&amp;$F3026,"3 Posting Date",Z$9)</t>
  </si>
  <si>
    <t>=-NL("Sum","5802 Value Entry","151 Cost Amount (Expected)","41 Source Type",$C$5,"5 Source No.",$C3026,"4 Item Ledger Entry Type",$C$4,"2 Item No.","@@"&amp;$F3026,"3 Posting Date",Z$9)-NL("Sum","5802 Value Entry","43 Cost Amount (Actual)","41 Source Type",$C$5,"5 Source no.",$C3026,"4 Item Ledger Entry Type",$C$4,"2 Item No.","@@"&amp;$F3026,"3 Posting Date",Z$9)</t>
  </si>
  <si>
    <t>=Z3026-AB3026</t>
  </si>
  <si>
    <t>=IF(Z3026&lt;&gt;0,AC3026/Z3026,"")</t>
  </si>
  <si>
    <t>=C3026</t>
  </si>
  <si>
    <t>=NL("Sum","5802 Value Entry","150 Sales Amount (Expected)","41 Source Type",$C$5,"5 Source No.",$C3027,"4 Item Ledger Entry Type",$C$4,"2 Item No.","@@"&amp;$F3027,"3 Posting Date",J$9)+NL("Sum","5802 Value Entry","17 Sales Amount (Actual)","41 Source Type",$C$5,"5 Source no.",$C3027,"4 Item Ledger Entry Type",$C$4,"2 Item No.","@@"&amp;$F3027,"3 Posting Date",J$9)</t>
  </si>
  <si>
    <t>=-NL("Sum","5802 Value Entry","151 Cost Amount (Expected)","41 Source Type",$C$5,"5 Source No.",$C3027,"4 Item Ledger Entry Type",$C$4,"2 Item No.","@@"&amp;$F3027,"3 Posting Date",J$9)-NL("Sum","5802 Value Entry","43 Cost Amount (Actual)","41 Source Type",$C$5,"5 Source no.",$C3027,"4 Item Ledger Entry Type",$C$4,"2 Item No.","@@"&amp;$F3027,"3 Posting Date",J$9)</t>
  </si>
  <si>
    <t>=J3027-L3027</t>
  </si>
  <si>
    <t>=IF(J3027&lt;&gt;0,M3027/J3027,"")</t>
  </si>
  <si>
    <t>=NL("Sum","5802 Value Entry","150 Sales Amount (Expected)","41 Source Type",$C$5,"5 Source No.",$C3027,"4 Item Ledger Entry Type",$C$4,"2 Item No.","@@"&amp;$F3027,"3 Posting Date",O$9)+NL("Sum","5802 Value Entry","17 Sales Amount (Actual)","41 Source Type",$C$5,"5 Source no.",$C3027,"4 Item Ledger Entry Type",$C$4,"2 Item No.","@@"&amp;$F3027,"3 Posting Date",O$9)</t>
  </si>
  <si>
    <t>=-NL("Sum","5802 Value Entry","151 Cost Amount (Expected)","41 Source Type",$C$5,"5 Source No.",$C3027,"4 Item Ledger Entry Type",$C$4,"2 Item No.","@@"&amp;$F3027,"3 Posting Date",O$9)-NL("Sum","5802 Value Entry","43 Cost Amount (Actual)","41 Source Type",$C$5,"5 Source no.",$C3027,"4 Item Ledger Entry Type",$C$4,"2 Item No.","@@"&amp;$F3027,"3 Posting Date",O$9)</t>
  </si>
  <si>
    <t>=O3027-Q3027</t>
  </si>
  <si>
    <t>=IF(O3027&lt;&gt;0,R3027/O3027,"")</t>
  </si>
  <si>
    <t>=NL("Sum","5802 Value Entry","150 Sales Amount (Expected)","41 Source Type",$C$5,"5 Source No.",$C3027,"4 Item Ledger Entry Type",$C$4,"2 Item No.","@@"&amp;$F3027,"3 Posting Date",U$9)+NL("Sum","5802 Value Entry","17 Sales Amount (Actual)","41 Source Type",$C$5,"5 Source no.",$C3027,"4 Item Ledger Entry Type",$C$4,"2 Item No.","@@"&amp;$F3027,"3 Posting Date",U$9)</t>
  </si>
  <si>
    <t>=-NL("Sum","5802 Value Entry","151 Cost Amount (Expected)","41 Source Type",$C$5,"5 Source No.",$C3027,"4 Item Ledger Entry Type",$C$4,"2 Item No.","@@"&amp;$F3027,"3 Posting Date",U$9)-NL("Sum","5802 Value Entry","43 Cost Amount (Actual)","41 Source Type",$C$5,"5 Source no.",$C3027,"4 Item Ledger Entry Type",$C$4,"2 Item No.","@@"&amp;$F3027,"3 Posting Date",U$9)</t>
  </si>
  <si>
    <t>=U3027-W3027</t>
  </si>
  <si>
    <t>=IF(U3027&lt;&gt;0,X3027/U3027,"")</t>
  </si>
  <si>
    <t>=NL("Sum","5802 Value Entry","150 Sales Amount (Expected)","41 Source Type",$C$5,"5 Source No.",$C3027,"4 Item Ledger Entry Type",$C$4,"2 Item No.","@@"&amp;$F3027,"3 Posting Date",Z$9)+NL("Sum","5802 Value Entry","17 Sales Amount (Actual)","41 Source Type",$C$5,"5 Source no.",$C3027,"4 Item Ledger Entry Type",$C$4,"2 Item No.","@@"&amp;$F3027,"3 Posting Date",Z$9)</t>
  </si>
  <si>
    <t>=-NL("Sum","5802 Value Entry","151 Cost Amount (Expected)","41 Source Type",$C$5,"5 Source No.",$C3027,"4 Item Ledger Entry Type",$C$4,"2 Item No.","@@"&amp;$F3027,"3 Posting Date",Z$9)-NL("Sum","5802 Value Entry","43 Cost Amount (Actual)","41 Source Type",$C$5,"5 Source no.",$C3027,"4 Item Ledger Entry Type",$C$4,"2 Item No.","@@"&amp;$F3027,"3 Posting Date",Z$9)</t>
  </si>
  <si>
    <t>=Z3027-AB3027</t>
  </si>
  <si>
    <t>=IF(Z3027&lt;&gt;0,AC3027/Z3027,"")</t>
  </si>
  <si>
    <t>=C3027</t>
  </si>
  <si>
    <t>=NL("Sum","5802 Value Entry","150 Sales Amount (Expected)","41 Source Type",$C$5,"5 Source No.",$C3028,"4 Item Ledger Entry Type",$C$4,"2 Item No.","@@"&amp;$F3028,"3 Posting Date",J$9)+NL("Sum","5802 Value Entry","17 Sales Amount (Actual)","41 Source Type",$C$5,"5 Source no.",$C3028,"4 Item Ledger Entry Type",$C$4,"2 Item No.","@@"&amp;$F3028,"3 Posting Date",J$9)</t>
  </si>
  <si>
    <t>=-NL("Sum","5802 Value Entry","151 Cost Amount (Expected)","41 Source Type",$C$5,"5 Source No.",$C3028,"4 Item Ledger Entry Type",$C$4,"2 Item No.","@@"&amp;$F3028,"3 Posting Date",J$9)-NL("Sum","5802 Value Entry","43 Cost Amount (Actual)","41 Source Type",$C$5,"5 Source no.",$C3028,"4 Item Ledger Entry Type",$C$4,"2 Item No.","@@"&amp;$F3028,"3 Posting Date",J$9)</t>
  </si>
  <si>
    <t>=J3028-L3028</t>
  </si>
  <si>
    <t>=IF(J3028&lt;&gt;0,M3028/J3028,"")</t>
  </si>
  <si>
    <t>=NL("Sum","5802 Value Entry","150 Sales Amount (Expected)","41 Source Type",$C$5,"5 Source No.",$C3028,"4 Item Ledger Entry Type",$C$4,"2 Item No.","@@"&amp;$F3028,"3 Posting Date",O$9)+NL("Sum","5802 Value Entry","17 Sales Amount (Actual)","41 Source Type",$C$5,"5 Source no.",$C3028,"4 Item Ledger Entry Type",$C$4,"2 Item No.","@@"&amp;$F3028,"3 Posting Date",O$9)</t>
  </si>
  <si>
    <t>=-NL("Sum","5802 Value Entry","151 Cost Amount (Expected)","41 Source Type",$C$5,"5 Source No.",$C3028,"4 Item Ledger Entry Type",$C$4,"2 Item No.","@@"&amp;$F3028,"3 Posting Date",O$9)-NL("Sum","5802 Value Entry","43 Cost Amount (Actual)","41 Source Type",$C$5,"5 Source no.",$C3028,"4 Item Ledger Entry Type",$C$4,"2 Item No.","@@"&amp;$F3028,"3 Posting Date",O$9)</t>
  </si>
  <si>
    <t>=O3028-Q3028</t>
  </si>
  <si>
    <t>=IF(O3028&lt;&gt;0,R3028/O3028,"")</t>
  </si>
  <si>
    <t>=NL("Sum","5802 Value Entry","150 Sales Amount (Expected)","41 Source Type",$C$5,"5 Source No.",$C3028,"4 Item Ledger Entry Type",$C$4,"2 Item No.","@@"&amp;$F3028,"3 Posting Date",U$9)+NL("Sum","5802 Value Entry","17 Sales Amount (Actual)","41 Source Type",$C$5,"5 Source no.",$C3028,"4 Item Ledger Entry Type",$C$4,"2 Item No.","@@"&amp;$F3028,"3 Posting Date",U$9)</t>
  </si>
  <si>
    <t>=-NL("Sum","5802 Value Entry","151 Cost Amount (Expected)","41 Source Type",$C$5,"5 Source No.",$C3028,"4 Item Ledger Entry Type",$C$4,"2 Item No.","@@"&amp;$F3028,"3 Posting Date",U$9)-NL("Sum","5802 Value Entry","43 Cost Amount (Actual)","41 Source Type",$C$5,"5 Source no.",$C3028,"4 Item Ledger Entry Type",$C$4,"2 Item No.","@@"&amp;$F3028,"3 Posting Date",U$9)</t>
  </si>
  <si>
    <t>=U3028-W3028</t>
  </si>
  <si>
    <t>=IF(U3028&lt;&gt;0,X3028/U3028,"")</t>
  </si>
  <si>
    <t>=NL("Sum","5802 Value Entry","150 Sales Amount (Expected)","41 Source Type",$C$5,"5 Source No.",$C3028,"4 Item Ledger Entry Type",$C$4,"2 Item No.","@@"&amp;$F3028,"3 Posting Date",Z$9)+NL("Sum","5802 Value Entry","17 Sales Amount (Actual)","41 Source Type",$C$5,"5 Source no.",$C3028,"4 Item Ledger Entry Type",$C$4,"2 Item No.","@@"&amp;$F3028,"3 Posting Date",Z$9)</t>
  </si>
  <si>
    <t>=-NL("Sum","5802 Value Entry","151 Cost Amount (Expected)","41 Source Type",$C$5,"5 Source No.",$C3028,"4 Item Ledger Entry Type",$C$4,"2 Item No.","@@"&amp;$F3028,"3 Posting Date",Z$9)-NL("Sum","5802 Value Entry","43 Cost Amount (Actual)","41 Source Type",$C$5,"5 Source no.",$C3028,"4 Item Ledger Entry Type",$C$4,"2 Item No.","@@"&amp;$F3028,"3 Posting Date",Z$9)</t>
  </si>
  <si>
    <t>=Z3028-AB3028</t>
  </si>
  <si>
    <t>=IF(Z3028&lt;&gt;0,AC3028/Z3028,"")</t>
  </si>
  <si>
    <t>=C3028</t>
  </si>
  <si>
    <t>=NL("Sum","5802 Value Entry","150 Sales Amount (Expected)","41 Source Type",$C$5,"5 Source No.",$C3029,"4 Item Ledger Entry Type",$C$4,"2 Item No.","@@"&amp;$F3029,"3 Posting Date",J$9)+NL("Sum","5802 Value Entry","17 Sales Amount (Actual)","41 Source Type",$C$5,"5 Source no.",$C3029,"4 Item Ledger Entry Type",$C$4,"2 Item No.","@@"&amp;$F3029,"3 Posting Date",J$9)</t>
  </si>
  <si>
    <t>=-NL("Sum","5802 Value Entry","151 Cost Amount (Expected)","41 Source Type",$C$5,"5 Source No.",$C3029,"4 Item Ledger Entry Type",$C$4,"2 Item No.","@@"&amp;$F3029,"3 Posting Date",J$9)-NL("Sum","5802 Value Entry","43 Cost Amount (Actual)","41 Source Type",$C$5,"5 Source no.",$C3029,"4 Item Ledger Entry Type",$C$4,"2 Item No.","@@"&amp;$F3029,"3 Posting Date",J$9)</t>
  </si>
  <si>
    <t>=J3029-L3029</t>
  </si>
  <si>
    <t>=IF(J3029&lt;&gt;0,M3029/J3029,"")</t>
  </si>
  <si>
    <t>=NL("Sum","5802 Value Entry","150 Sales Amount (Expected)","41 Source Type",$C$5,"5 Source No.",$C3029,"4 Item Ledger Entry Type",$C$4,"2 Item No.","@@"&amp;$F3029,"3 Posting Date",O$9)+NL("Sum","5802 Value Entry","17 Sales Amount (Actual)","41 Source Type",$C$5,"5 Source no.",$C3029,"4 Item Ledger Entry Type",$C$4,"2 Item No.","@@"&amp;$F3029,"3 Posting Date",O$9)</t>
  </si>
  <si>
    <t>=-NL("Sum","5802 Value Entry","151 Cost Amount (Expected)","41 Source Type",$C$5,"5 Source No.",$C3029,"4 Item Ledger Entry Type",$C$4,"2 Item No.","@@"&amp;$F3029,"3 Posting Date",O$9)-NL("Sum","5802 Value Entry","43 Cost Amount (Actual)","41 Source Type",$C$5,"5 Source no.",$C3029,"4 Item Ledger Entry Type",$C$4,"2 Item No.","@@"&amp;$F3029,"3 Posting Date",O$9)</t>
  </si>
  <si>
    <t>=O3029-Q3029</t>
  </si>
  <si>
    <t>=IF(O3029&lt;&gt;0,R3029/O3029,"")</t>
  </si>
  <si>
    <t>=NL("Sum","5802 Value Entry","150 Sales Amount (Expected)","41 Source Type",$C$5,"5 Source No.",$C3029,"4 Item Ledger Entry Type",$C$4,"2 Item No.","@@"&amp;$F3029,"3 Posting Date",U$9)+NL("Sum","5802 Value Entry","17 Sales Amount (Actual)","41 Source Type",$C$5,"5 Source no.",$C3029,"4 Item Ledger Entry Type",$C$4,"2 Item No.","@@"&amp;$F3029,"3 Posting Date",U$9)</t>
  </si>
  <si>
    <t>=-NL("Sum","5802 Value Entry","151 Cost Amount (Expected)","41 Source Type",$C$5,"5 Source No.",$C3029,"4 Item Ledger Entry Type",$C$4,"2 Item No.","@@"&amp;$F3029,"3 Posting Date",U$9)-NL("Sum","5802 Value Entry","43 Cost Amount (Actual)","41 Source Type",$C$5,"5 Source no.",$C3029,"4 Item Ledger Entry Type",$C$4,"2 Item No.","@@"&amp;$F3029,"3 Posting Date",U$9)</t>
  </si>
  <si>
    <t>=U3029-W3029</t>
  </si>
  <si>
    <t>=IF(U3029&lt;&gt;0,X3029/U3029,"")</t>
  </si>
  <si>
    <t>=NL("Sum","5802 Value Entry","150 Sales Amount (Expected)","41 Source Type",$C$5,"5 Source No.",$C3029,"4 Item Ledger Entry Type",$C$4,"2 Item No.","@@"&amp;$F3029,"3 Posting Date",Z$9)+NL("Sum","5802 Value Entry","17 Sales Amount (Actual)","41 Source Type",$C$5,"5 Source no.",$C3029,"4 Item Ledger Entry Type",$C$4,"2 Item No.","@@"&amp;$F3029,"3 Posting Date",Z$9)</t>
  </si>
  <si>
    <t>=-NL("Sum","5802 Value Entry","151 Cost Amount (Expected)","41 Source Type",$C$5,"5 Source No.",$C3029,"4 Item Ledger Entry Type",$C$4,"2 Item No.","@@"&amp;$F3029,"3 Posting Date",Z$9)-NL("Sum","5802 Value Entry","43 Cost Amount (Actual)","41 Source Type",$C$5,"5 Source no.",$C3029,"4 Item Ledger Entry Type",$C$4,"2 Item No.","@@"&amp;$F3029,"3 Posting Date",Z$9)</t>
  </si>
  <si>
    <t>=Z3029-AB3029</t>
  </si>
  <si>
    <t>=IF(Z3029&lt;&gt;0,AC3029/Z3029,"")</t>
  </si>
  <si>
    <t>=C3029</t>
  </si>
  <si>
    <t>=NL("Sum","5802 Value Entry","150 Sales Amount (Expected)","41 Source Type",$C$5,"5 Source No.",$C3030,"4 Item Ledger Entry Type",$C$4,"2 Item No.","@@"&amp;$F3030,"3 Posting Date",J$9)+NL("Sum","5802 Value Entry","17 Sales Amount (Actual)","41 Source Type",$C$5,"5 Source no.",$C3030,"4 Item Ledger Entry Type",$C$4,"2 Item No.","@@"&amp;$F3030,"3 Posting Date",J$9)</t>
  </si>
  <si>
    <t>=-NL("Sum","5802 Value Entry","151 Cost Amount (Expected)","41 Source Type",$C$5,"5 Source No.",$C3030,"4 Item Ledger Entry Type",$C$4,"2 Item No.","@@"&amp;$F3030,"3 Posting Date",J$9)-NL("Sum","5802 Value Entry","43 Cost Amount (Actual)","41 Source Type",$C$5,"5 Source no.",$C3030,"4 Item Ledger Entry Type",$C$4,"2 Item No.","@@"&amp;$F3030,"3 Posting Date",J$9)</t>
  </si>
  <si>
    <t>=J3030-L3030</t>
  </si>
  <si>
    <t>=IF(J3030&lt;&gt;0,M3030/J3030,"")</t>
  </si>
  <si>
    <t>=NL("Sum","5802 Value Entry","150 Sales Amount (Expected)","41 Source Type",$C$5,"5 Source No.",$C3030,"4 Item Ledger Entry Type",$C$4,"2 Item No.","@@"&amp;$F3030,"3 Posting Date",O$9)+NL("Sum","5802 Value Entry","17 Sales Amount (Actual)","41 Source Type",$C$5,"5 Source no.",$C3030,"4 Item Ledger Entry Type",$C$4,"2 Item No.","@@"&amp;$F3030,"3 Posting Date",O$9)</t>
  </si>
  <si>
    <t>=-NL("Sum","5802 Value Entry","151 Cost Amount (Expected)","41 Source Type",$C$5,"5 Source No.",$C3030,"4 Item Ledger Entry Type",$C$4,"2 Item No.","@@"&amp;$F3030,"3 Posting Date",O$9)-NL("Sum","5802 Value Entry","43 Cost Amount (Actual)","41 Source Type",$C$5,"5 Source no.",$C3030,"4 Item Ledger Entry Type",$C$4,"2 Item No.","@@"&amp;$F3030,"3 Posting Date",O$9)</t>
  </si>
  <si>
    <t>=O3030-Q3030</t>
  </si>
  <si>
    <t>=IF(O3030&lt;&gt;0,R3030/O3030,"")</t>
  </si>
  <si>
    <t>=NL("Sum","5802 Value Entry","150 Sales Amount (Expected)","41 Source Type",$C$5,"5 Source No.",$C3030,"4 Item Ledger Entry Type",$C$4,"2 Item No.","@@"&amp;$F3030,"3 Posting Date",U$9)+NL("Sum","5802 Value Entry","17 Sales Amount (Actual)","41 Source Type",$C$5,"5 Source no.",$C3030,"4 Item Ledger Entry Type",$C$4,"2 Item No.","@@"&amp;$F3030,"3 Posting Date",U$9)</t>
  </si>
  <si>
    <t>=-NL("Sum","5802 Value Entry","151 Cost Amount (Expected)","41 Source Type",$C$5,"5 Source No.",$C3030,"4 Item Ledger Entry Type",$C$4,"2 Item No.","@@"&amp;$F3030,"3 Posting Date",U$9)-NL("Sum","5802 Value Entry","43 Cost Amount (Actual)","41 Source Type",$C$5,"5 Source no.",$C3030,"4 Item Ledger Entry Type",$C$4,"2 Item No.","@@"&amp;$F3030,"3 Posting Date",U$9)</t>
  </si>
  <si>
    <t>=U3030-W3030</t>
  </si>
  <si>
    <t>=IF(U3030&lt;&gt;0,X3030/U3030,"")</t>
  </si>
  <si>
    <t>=NL("Sum","5802 Value Entry","150 Sales Amount (Expected)","41 Source Type",$C$5,"5 Source No.",$C3030,"4 Item Ledger Entry Type",$C$4,"2 Item No.","@@"&amp;$F3030,"3 Posting Date",Z$9)+NL("Sum","5802 Value Entry","17 Sales Amount (Actual)","41 Source Type",$C$5,"5 Source no.",$C3030,"4 Item Ledger Entry Type",$C$4,"2 Item No.","@@"&amp;$F3030,"3 Posting Date",Z$9)</t>
  </si>
  <si>
    <t>=-NL("Sum","5802 Value Entry","151 Cost Amount (Expected)","41 Source Type",$C$5,"5 Source No.",$C3030,"4 Item Ledger Entry Type",$C$4,"2 Item No.","@@"&amp;$F3030,"3 Posting Date",Z$9)-NL("Sum","5802 Value Entry","43 Cost Amount (Actual)","41 Source Type",$C$5,"5 Source no.",$C3030,"4 Item Ledger Entry Type",$C$4,"2 Item No.","@@"&amp;$F3030,"3 Posting Date",Z$9)</t>
  </si>
  <si>
    <t>=Z3030-AB3030</t>
  </si>
  <si>
    <t>=IF(Z3030&lt;&gt;0,AC3030/Z3030,"")</t>
  </si>
  <si>
    <t>=C3030</t>
  </si>
  <si>
    <t>=NL("Sum","5802 Value Entry","150 Sales Amount (Expected)","41 Source Type",$C$5,"5 Source No.",$C3031,"4 Item Ledger Entry Type",$C$4,"2 Item No.","@@"&amp;$F3031,"3 Posting Date",J$9)+NL("Sum","5802 Value Entry","17 Sales Amount (Actual)","41 Source Type",$C$5,"5 Source no.",$C3031,"4 Item Ledger Entry Type",$C$4,"2 Item No.","@@"&amp;$F3031,"3 Posting Date",J$9)</t>
  </si>
  <si>
    <t>=-NL("Sum","5802 Value Entry","151 Cost Amount (Expected)","41 Source Type",$C$5,"5 Source No.",$C3031,"4 Item Ledger Entry Type",$C$4,"2 Item No.","@@"&amp;$F3031,"3 Posting Date",J$9)-NL("Sum","5802 Value Entry","43 Cost Amount (Actual)","41 Source Type",$C$5,"5 Source no.",$C3031,"4 Item Ledger Entry Type",$C$4,"2 Item No.","@@"&amp;$F3031,"3 Posting Date",J$9)</t>
  </si>
  <si>
    <t>=J3031-L3031</t>
  </si>
  <si>
    <t>=IF(J3031&lt;&gt;0,M3031/J3031,"")</t>
  </si>
  <si>
    <t>=NL("Sum","5802 Value Entry","150 Sales Amount (Expected)","41 Source Type",$C$5,"5 Source No.",$C3031,"4 Item Ledger Entry Type",$C$4,"2 Item No.","@@"&amp;$F3031,"3 Posting Date",O$9)+NL("Sum","5802 Value Entry","17 Sales Amount (Actual)","41 Source Type",$C$5,"5 Source no.",$C3031,"4 Item Ledger Entry Type",$C$4,"2 Item No.","@@"&amp;$F3031,"3 Posting Date",O$9)</t>
  </si>
  <si>
    <t>=-NL("Sum","5802 Value Entry","151 Cost Amount (Expected)","41 Source Type",$C$5,"5 Source No.",$C3031,"4 Item Ledger Entry Type",$C$4,"2 Item No.","@@"&amp;$F3031,"3 Posting Date",O$9)-NL("Sum","5802 Value Entry","43 Cost Amount (Actual)","41 Source Type",$C$5,"5 Source no.",$C3031,"4 Item Ledger Entry Type",$C$4,"2 Item No.","@@"&amp;$F3031,"3 Posting Date",O$9)</t>
  </si>
  <si>
    <t>=O3031-Q3031</t>
  </si>
  <si>
    <t>=IF(O3031&lt;&gt;0,R3031/O3031,"")</t>
  </si>
  <si>
    <t>=NL("Sum","5802 Value Entry","150 Sales Amount (Expected)","41 Source Type",$C$5,"5 Source No.",$C3031,"4 Item Ledger Entry Type",$C$4,"2 Item No.","@@"&amp;$F3031,"3 Posting Date",U$9)+NL("Sum","5802 Value Entry","17 Sales Amount (Actual)","41 Source Type",$C$5,"5 Source no.",$C3031,"4 Item Ledger Entry Type",$C$4,"2 Item No.","@@"&amp;$F3031,"3 Posting Date",U$9)</t>
  </si>
  <si>
    <t>=-NL("Sum","5802 Value Entry","151 Cost Amount (Expected)","41 Source Type",$C$5,"5 Source No.",$C3031,"4 Item Ledger Entry Type",$C$4,"2 Item No.","@@"&amp;$F3031,"3 Posting Date",U$9)-NL("Sum","5802 Value Entry","43 Cost Amount (Actual)","41 Source Type",$C$5,"5 Source no.",$C3031,"4 Item Ledger Entry Type",$C$4,"2 Item No.","@@"&amp;$F3031,"3 Posting Date",U$9)</t>
  </si>
  <si>
    <t>=U3031-W3031</t>
  </si>
  <si>
    <t>=IF(U3031&lt;&gt;0,X3031/U3031,"")</t>
  </si>
  <si>
    <t>=NL("Sum","5802 Value Entry","150 Sales Amount (Expected)","41 Source Type",$C$5,"5 Source No.",$C3031,"4 Item Ledger Entry Type",$C$4,"2 Item No.","@@"&amp;$F3031,"3 Posting Date",Z$9)+NL("Sum","5802 Value Entry","17 Sales Amount (Actual)","41 Source Type",$C$5,"5 Source no.",$C3031,"4 Item Ledger Entry Type",$C$4,"2 Item No.","@@"&amp;$F3031,"3 Posting Date",Z$9)</t>
  </si>
  <si>
    <t>=-NL("Sum","5802 Value Entry","151 Cost Amount (Expected)","41 Source Type",$C$5,"5 Source No.",$C3031,"4 Item Ledger Entry Type",$C$4,"2 Item No.","@@"&amp;$F3031,"3 Posting Date",Z$9)-NL("Sum","5802 Value Entry","43 Cost Amount (Actual)","41 Source Type",$C$5,"5 Source no.",$C3031,"4 Item Ledger Entry Type",$C$4,"2 Item No.","@@"&amp;$F3031,"3 Posting Date",Z$9)</t>
  </si>
  <si>
    <t>=Z3031-AB3031</t>
  </si>
  <si>
    <t>=IF(Z3031&lt;&gt;0,AC3031/Z3031,"")</t>
  </si>
  <si>
    <t>=C3031</t>
  </si>
  <si>
    <t>=NL("Sum","5802 Value Entry","150 Sales Amount (Expected)","41 Source Type",$C$5,"5 Source No.",$C3032,"4 Item Ledger Entry Type",$C$4,"2 Item No.","@@"&amp;$F3032,"3 Posting Date",J$9)+NL("Sum","5802 Value Entry","17 Sales Amount (Actual)","41 Source Type",$C$5,"5 Source no.",$C3032,"4 Item Ledger Entry Type",$C$4,"2 Item No.","@@"&amp;$F3032,"3 Posting Date",J$9)</t>
  </si>
  <si>
    <t>=-NL("Sum","5802 Value Entry","151 Cost Amount (Expected)","41 Source Type",$C$5,"5 Source No.",$C3032,"4 Item Ledger Entry Type",$C$4,"2 Item No.","@@"&amp;$F3032,"3 Posting Date",J$9)-NL("Sum","5802 Value Entry","43 Cost Amount (Actual)","41 Source Type",$C$5,"5 Source no.",$C3032,"4 Item Ledger Entry Type",$C$4,"2 Item No.","@@"&amp;$F3032,"3 Posting Date",J$9)</t>
  </si>
  <si>
    <t>=J3032-L3032</t>
  </si>
  <si>
    <t>=IF(J3032&lt;&gt;0,M3032/J3032,"")</t>
  </si>
  <si>
    <t>=NL("Sum","5802 Value Entry","150 Sales Amount (Expected)","41 Source Type",$C$5,"5 Source No.",$C3032,"4 Item Ledger Entry Type",$C$4,"2 Item No.","@@"&amp;$F3032,"3 Posting Date",O$9)+NL("Sum","5802 Value Entry","17 Sales Amount (Actual)","41 Source Type",$C$5,"5 Source no.",$C3032,"4 Item Ledger Entry Type",$C$4,"2 Item No.","@@"&amp;$F3032,"3 Posting Date",O$9)</t>
  </si>
  <si>
    <t>=-NL("Sum","5802 Value Entry","151 Cost Amount (Expected)","41 Source Type",$C$5,"5 Source No.",$C3032,"4 Item Ledger Entry Type",$C$4,"2 Item No.","@@"&amp;$F3032,"3 Posting Date",O$9)-NL("Sum","5802 Value Entry","43 Cost Amount (Actual)","41 Source Type",$C$5,"5 Source no.",$C3032,"4 Item Ledger Entry Type",$C$4,"2 Item No.","@@"&amp;$F3032,"3 Posting Date",O$9)</t>
  </si>
  <si>
    <t>=O3032-Q3032</t>
  </si>
  <si>
    <t>=IF(O3032&lt;&gt;0,R3032/O3032,"")</t>
  </si>
  <si>
    <t>=NL("Sum","5802 Value Entry","150 Sales Amount (Expected)","41 Source Type",$C$5,"5 Source No.",$C3032,"4 Item Ledger Entry Type",$C$4,"2 Item No.","@@"&amp;$F3032,"3 Posting Date",U$9)+NL("Sum","5802 Value Entry","17 Sales Amount (Actual)","41 Source Type",$C$5,"5 Source no.",$C3032,"4 Item Ledger Entry Type",$C$4,"2 Item No.","@@"&amp;$F3032,"3 Posting Date",U$9)</t>
  </si>
  <si>
    <t>=-NL("Sum","5802 Value Entry","151 Cost Amount (Expected)","41 Source Type",$C$5,"5 Source No.",$C3032,"4 Item Ledger Entry Type",$C$4,"2 Item No.","@@"&amp;$F3032,"3 Posting Date",U$9)-NL("Sum","5802 Value Entry","43 Cost Amount (Actual)","41 Source Type",$C$5,"5 Source no.",$C3032,"4 Item Ledger Entry Type",$C$4,"2 Item No.","@@"&amp;$F3032,"3 Posting Date",U$9)</t>
  </si>
  <si>
    <t>=U3032-W3032</t>
  </si>
  <si>
    <t>=IF(U3032&lt;&gt;0,X3032/U3032,"")</t>
  </si>
  <si>
    <t>=NL("Sum","5802 Value Entry","150 Sales Amount (Expected)","41 Source Type",$C$5,"5 Source No.",$C3032,"4 Item Ledger Entry Type",$C$4,"2 Item No.","@@"&amp;$F3032,"3 Posting Date",Z$9)+NL("Sum","5802 Value Entry","17 Sales Amount (Actual)","41 Source Type",$C$5,"5 Source no.",$C3032,"4 Item Ledger Entry Type",$C$4,"2 Item No.","@@"&amp;$F3032,"3 Posting Date",Z$9)</t>
  </si>
  <si>
    <t>=-NL("Sum","5802 Value Entry","151 Cost Amount (Expected)","41 Source Type",$C$5,"5 Source No.",$C3032,"4 Item Ledger Entry Type",$C$4,"2 Item No.","@@"&amp;$F3032,"3 Posting Date",Z$9)-NL("Sum","5802 Value Entry","43 Cost Amount (Actual)","41 Source Type",$C$5,"5 Source no.",$C3032,"4 Item Ledger Entry Type",$C$4,"2 Item No.","@@"&amp;$F3032,"3 Posting Date",Z$9)</t>
  </si>
  <si>
    <t>=Z3032-AB3032</t>
  </si>
  <si>
    <t>=IF(Z3032&lt;&gt;0,AC3032/Z3032,"")</t>
  </si>
  <si>
    <t>=C3032</t>
  </si>
  <si>
    <t>=NL("Sum","5802 Value Entry","150 Sales Amount (Expected)","41 Source Type",$C$5,"5 Source No.",$C3033,"4 Item Ledger Entry Type",$C$4,"2 Item No.","@@"&amp;$F3033,"3 Posting Date",J$9)+NL("Sum","5802 Value Entry","17 Sales Amount (Actual)","41 Source Type",$C$5,"5 Source no.",$C3033,"4 Item Ledger Entry Type",$C$4,"2 Item No.","@@"&amp;$F3033,"3 Posting Date",J$9)</t>
  </si>
  <si>
    <t>=-NL("Sum","5802 Value Entry","151 Cost Amount (Expected)","41 Source Type",$C$5,"5 Source No.",$C3033,"4 Item Ledger Entry Type",$C$4,"2 Item No.","@@"&amp;$F3033,"3 Posting Date",J$9)-NL("Sum","5802 Value Entry","43 Cost Amount (Actual)","41 Source Type",$C$5,"5 Source no.",$C3033,"4 Item Ledger Entry Type",$C$4,"2 Item No.","@@"&amp;$F3033,"3 Posting Date",J$9)</t>
  </si>
  <si>
    <t>=J3033-L3033</t>
  </si>
  <si>
    <t>=IF(J3033&lt;&gt;0,M3033/J3033,"")</t>
  </si>
  <si>
    <t>=NL("Sum","5802 Value Entry","150 Sales Amount (Expected)","41 Source Type",$C$5,"5 Source No.",$C3033,"4 Item Ledger Entry Type",$C$4,"2 Item No.","@@"&amp;$F3033,"3 Posting Date",O$9)+NL("Sum","5802 Value Entry","17 Sales Amount (Actual)","41 Source Type",$C$5,"5 Source no.",$C3033,"4 Item Ledger Entry Type",$C$4,"2 Item No.","@@"&amp;$F3033,"3 Posting Date",O$9)</t>
  </si>
  <si>
    <t>=-NL("Sum","5802 Value Entry","151 Cost Amount (Expected)","41 Source Type",$C$5,"5 Source No.",$C3033,"4 Item Ledger Entry Type",$C$4,"2 Item No.","@@"&amp;$F3033,"3 Posting Date",O$9)-NL("Sum","5802 Value Entry","43 Cost Amount (Actual)","41 Source Type",$C$5,"5 Source no.",$C3033,"4 Item Ledger Entry Type",$C$4,"2 Item No.","@@"&amp;$F3033,"3 Posting Date",O$9)</t>
  </si>
  <si>
    <t>=O3033-Q3033</t>
  </si>
  <si>
    <t>=IF(O3033&lt;&gt;0,R3033/O3033,"")</t>
  </si>
  <si>
    <t>=NL("Sum","5802 Value Entry","150 Sales Amount (Expected)","41 Source Type",$C$5,"5 Source No.",$C3033,"4 Item Ledger Entry Type",$C$4,"2 Item No.","@@"&amp;$F3033,"3 Posting Date",U$9)+NL("Sum","5802 Value Entry","17 Sales Amount (Actual)","41 Source Type",$C$5,"5 Source no.",$C3033,"4 Item Ledger Entry Type",$C$4,"2 Item No.","@@"&amp;$F3033,"3 Posting Date",U$9)</t>
  </si>
  <si>
    <t>=-NL("Sum","5802 Value Entry","151 Cost Amount (Expected)","41 Source Type",$C$5,"5 Source No.",$C3033,"4 Item Ledger Entry Type",$C$4,"2 Item No.","@@"&amp;$F3033,"3 Posting Date",U$9)-NL("Sum","5802 Value Entry","43 Cost Amount (Actual)","41 Source Type",$C$5,"5 Source no.",$C3033,"4 Item Ledger Entry Type",$C$4,"2 Item No.","@@"&amp;$F3033,"3 Posting Date",U$9)</t>
  </si>
  <si>
    <t>=U3033-W3033</t>
  </si>
  <si>
    <t>=IF(U3033&lt;&gt;0,X3033/U3033,"")</t>
  </si>
  <si>
    <t>=NL("Sum","5802 Value Entry","150 Sales Amount (Expected)","41 Source Type",$C$5,"5 Source No.",$C3033,"4 Item Ledger Entry Type",$C$4,"2 Item No.","@@"&amp;$F3033,"3 Posting Date",Z$9)+NL("Sum","5802 Value Entry","17 Sales Amount (Actual)","41 Source Type",$C$5,"5 Source no.",$C3033,"4 Item Ledger Entry Type",$C$4,"2 Item No.","@@"&amp;$F3033,"3 Posting Date",Z$9)</t>
  </si>
  <si>
    <t>=-NL("Sum","5802 Value Entry","151 Cost Amount (Expected)","41 Source Type",$C$5,"5 Source No.",$C3033,"4 Item Ledger Entry Type",$C$4,"2 Item No.","@@"&amp;$F3033,"3 Posting Date",Z$9)-NL("Sum","5802 Value Entry","43 Cost Amount (Actual)","41 Source Type",$C$5,"5 Source no.",$C3033,"4 Item Ledger Entry Type",$C$4,"2 Item No.","@@"&amp;$F3033,"3 Posting Date",Z$9)</t>
  </si>
  <si>
    <t>=Z3033-AB3033</t>
  </si>
  <si>
    <t>=IF(Z3033&lt;&gt;0,AC3033/Z3033,"")</t>
  </si>
  <si>
    <t>=C3033</t>
  </si>
  <si>
    <t>=NL("Sum","5802 Value Entry","150 Sales Amount (Expected)","41 Source Type",$C$5,"5 Source No.",$C3034,"4 Item Ledger Entry Type",$C$4,"2 Item No.","@@"&amp;$F3034,"3 Posting Date",J$9)+NL("Sum","5802 Value Entry","17 Sales Amount (Actual)","41 Source Type",$C$5,"5 Source no.",$C3034,"4 Item Ledger Entry Type",$C$4,"2 Item No.","@@"&amp;$F3034,"3 Posting Date",J$9)</t>
  </si>
  <si>
    <t>=-NL("Sum","5802 Value Entry","151 Cost Amount (Expected)","41 Source Type",$C$5,"5 Source No.",$C3034,"4 Item Ledger Entry Type",$C$4,"2 Item No.","@@"&amp;$F3034,"3 Posting Date",J$9)-NL("Sum","5802 Value Entry","43 Cost Amount (Actual)","41 Source Type",$C$5,"5 Source no.",$C3034,"4 Item Ledger Entry Type",$C$4,"2 Item No.","@@"&amp;$F3034,"3 Posting Date",J$9)</t>
  </si>
  <si>
    <t>=J3034-L3034</t>
  </si>
  <si>
    <t>=IF(J3034&lt;&gt;0,M3034/J3034,"")</t>
  </si>
  <si>
    <t>=NL("Sum","5802 Value Entry","150 Sales Amount (Expected)","41 Source Type",$C$5,"5 Source No.",$C3034,"4 Item Ledger Entry Type",$C$4,"2 Item No.","@@"&amp;$F3034,"3 Posting Date",O$9)+NL("Sum","5802 Value Entry","17 Sales Amount (Actual)","41 Source Type",$C$5,"5 Source no.",$C3034,"4 Item Ledger Entry Type",$C$4,"2 Item No.","@@"&amp;$F3034,"3 Posting Date",O$9)</t>
  </si>
  <si>
    <t>=-NL("Sum","5802 Value Entry","151 Cost Amount (Expected)","41 Source Type",$C$5,"5 Source No.",$C3034,"4 Item Ledger Entry Type",$C$4,"2 Item No.","@@"&amp;$F3034,"3 Posting Date",O$9)-NL("Sum","5802 Value Entry","43 Cost Amount (Actual)","41 Source Type",$C$5,"5 Source no.",$C3034,"4 Item Ledger Entry Type",$C$4,"2 Item No.","@@"&amp;$F3034,"3 Posting Date",O$9)</t>
  </si>
  <si>
    <t>=O3034-Q3034</t>
  </si>
  <si>
    <t>=IF(O3034&lt;&gt;0,R3034/O3034,"")</t>
  </si>
  <si>
    <t>=NL("Sum","5802 Value Entry","150 Sales Amount (Expected)","41 Source Type",$C$5,"5 Source No.",$C3034,"4 Item Ledger Entry Type",$C$4,"2 Item No.","@@"&amp;$F3034,"3 Posting Date",U$9)+NL("Sum","5802 Value Entry","17 Sales Amount (Actual)","41 Source Type",$C$5,"5 Source no.",$C3034,"4 Item Ledger Entry Type",$C$4,"2 Item No.","@@"&amp;$F3034,"3 Posting Date",U$9)</t>
  </si>
  <si>
    <t>=-NL("Sum","5802 Value Entry","151 Cost Amount (Expected)","41 Source Type",$C$5,"5 Source No.",$C3034,"4 Item Ledger Entry Type",$C$4,"2 Item No.","@@"&amp;$F3034,"3 Posting Date",U$9)-NL("Sum","5802 Value Entry","43 Cost Amount (Actual)","41 Source Type",$C$5,"5 Source no.",$C3034,"4 Item Ledger Entry Type",$C$4,"2 Item No.","@@"&amp;$F3034,"3 Posting Date",U$9)</t>
  </si>
  <si>
    <t>=U3034-W3034</t>
  </si>
  <si>
    <t>=IF(U3034&lt;&gt;0,X3034/U3034,"")</t>
  </si>
  <si>
    <t>=NL("Sum","5802 Value Entry","150 Sales Amount (Expected)","41 Source Type",$C$5,"5 Source No.",$C3034,"4 Item Ledger Entry Type",$C$4,"2 Item No.","@@"&amp;$F3034,"3 Posting Date",Z$9)+NL("Sum","5802 Value Entry","17 Sales Amount (Actual)","41 Source Type",$C$5,"5 Source no.",$C3034,"4 Item Ledger Entry Type",$C$4,"2 Item No.","@@"&amp;$F3034,"3 Posting Date",Z$9)</t>
  </si>
  <si>
    <t>=-NL("Sum","5802 Value Entry","151 Cost Amount (Expected)","41 Source Type",$C$5,"5 Source No.",$C3034,"4 Item Ledger Entry Type",$C$4,"2 Item No.","@@"&amp;$F3034,"3 Posting Date",Z$9)-NL("Sum","5802 Value Entry","43 Cost Amount (Actual)","41 Source Type",$C$5,"5 Source no.",$C3034,"4 Item Ledger Entry Type",$C$4,"2 Item No.","@@"&amp;$F3034,"3 Posting Date",Z$9)</t>
  </si>
  <si>
    <t>=Z3034-AB3034</t>
  </si>
  <si>
    <t>=IF(Z3034&lt;&gt;0,AC3034/Z3034,"")</t>
  </si>
  <si>
    <t>=C3034</t>
  </si>
  <si>
    <t>=NL("Sum","5802 Value Entry","150 Sales Amount (Expected)","41 Source Type",$C$5,"5 Source No.",$C3035,"4 Item Ledger Entry Type",$C$4,"2 Item No.","@@"&amp;$F3035,"3 Posting Date",J$9)+NL("Sum","5802 Value Entry","17 Sales Amount (Actual)","41 Source Type",$C$5,"5 Source no.",$C3035,"4 Item Ledger Entry Type",$C$4,"2 Item No.","@@"&amp;$F3035,"3 Posting Date",J$9)</t>
  </si>
  <si>
    <t>=-NL("Sum","5802 Value Entry","151 Cost Amount (Expected)","41 Source Type",$C$5,"5 Source No.",$C3035,"4 Item Ledger Entry Type",$C$4,"2 Item No.","@@"&amp;$F3035,"3 Posting Date",J$9)-NL("Sum","5802 Value Entry","43 Cost Amount (Actual)","41 Source Type",$C$5,"5 Source no.",$C3035,"4 Item Ledger Entry Type",$C$4,"2 Item No.","@@"&amp;$F3035,"3 Posting Date",J$9)</t>
  </si>
  <si>
    <t>=J3035-L3035</t>
  </si>
  <si>
    <t>=IF(J3035&lt;&gt;0,M3035/J3035,"")</t>
  </si>
  <si>
    <t>=NL("Sum","5802 Value Entry","150 Sales Amount (Expected)","41 Source Type",$C$5,"5 Source No.",$C3035,"4 Item Ledger Entry Type",$C$4,"2 Item No.","@@"&amp;$F3035,"3 Posting Date",O$9)+NL("Sum","5802 Value Entry","17 Sales Amount (Actual)","41 Source Type",$C$5,"5 Source no.",$C3035,"4 Item Ledger Entry Type",$C$4,"2 Item No.","@@"&amp;$F3035,"3 Posting Date",O$9)</t>
  </si>
  <si>
    <t>=-NL("Sum","5802 Value Entry","151 Cost Amount (Expected)","41 Source Type",$C$5,"5 Source No.",$C3035,"4 Item Ledger Entry Type",$C$4,"2 Item No.","@@"&amp;$F3035,"3 Posting Date",O$9)-NL("Sum","5802 Value Entry","43 Cost Amount (Actual)","41 Source Type",$C$5,"5 Source no.",$C3035,"4 Item Ledger Entry Type",$C$4,"2 Item No.","@@"&amp;$F3035,"3 Posting Date",O$9)</t>
  </si>
  <si>
    <t>=O3035-Q3035</t>
  </si>
  <si>
    <t>=IF(O3035&lt;&gt;0,R3035/O3035,"")</t>
  </si>
  <si>
    <t>=NL("Sum","5802 Value Entry","150 Sales Amount (Expected)","41 Source Type",$C$5,"5 Source No.",$C3035,"4 Item Ledger Entry Type",$C$4,"2 Item No.","@@"&amp;$F3035,"3 Posting Date",U$9)+NL("Sum","5802 Value Entry","17 Sales Amount (Actual)","41 Source Type",$C$5,"5 Source no.",$C3035,"4 Item Ledger Entry Type",$C$4,"2 Item No.","@@"&amp;$F3035,"3 Posting Date",U$9)</t>
  </si>
  <si>
    <t>=-NL("Sum","5802 Value Entry","151 Cost Amount (Expected)","41 Source Type",$C$5,"5 Source No.",$C3035,"4 Item Ledger Entry Type",$C$4,"2 Item No.","@@"&amp;$F3035,"3 Posting Date",U$9)-NL("Sum","5802 Value Entry","43 Cost Amount (Actual)","41 Source Type",$C$5,"5 Source no.",$C3035,"4 Item Ledger Entry Type",$C$4,"2 Item No.","@@"&amp;$F3035,"3 Posting Date",U$9)</t>
  </si>
  <si>
    <t>=U3035-W3035</t>
  </si>
  <si>
    <t>=IF(U3035&lt;&gt;0,X3035/U3035,"")</t>
  </si>
  <si>
    <t>=NL("Sum","5802 Value Entry","150 Sales Amount (Expected)","41 Source Type",$C$5,"5 Source No.",$C3035,"4 Item Ledger Entry Type",$C$4,"2 Item No.","@@"&amp;$F3035,"3 Posting Date",Z$9)+NL("Sum","5802 Value Entry","17 Sales Amount (Actual)","41 Source Type",$C$5,"5 Source no.",$C3035,"4 Item Ledger Entry Type",$C$4,"2 Item No.","@@"&amp;$F3035,"3 Posting Date",Z$9)</t>
  </si>
  <si>
    <t>=-NL("Sum","5802 Value Entry","151 Cost Amount (Expected)","41 Source Type",$C$5,"5 Source No.",$C3035,"4 Item Ledger Entry Type",$C$4,"2 Item No.","@@"&amp;$F3035,"3 Posting Date",Z$9)-NL("Sum","5802 Value Entry","43 Cost Amount (Actual)","41 Source Type",$C$5,"5 Source no.",$C3035,"4 Item Ledger Entry Type",$C$4,"2 Item No.","@@"&amp;$F3035,"3 Posting Date",Z$9)</t>
  </si>
  <si>
    <t>=Z3035-AB3035</t>
  </si>
  <si>
    <t>=IF(Z3035&lt;&gt;0,AC3035/Z3035,"")</t>
  </si>
  <si>
    <t>=C3035</t>
  </si>
  <si>
    <t>=NL("Sum","5802 Value Entry","150 Sales Amount (Expected)","41 Source Type",$C$5,"5 Source No.",$C3036,"4 Item Ledger Entry Type",$C$4,"2 Item No.","@@"&amp;$F3036,"3 Posting Date",J$9)+NL("Sum","5802 Value Entry","17 Sales Amount (Actual)","41 Source Type",$C$5,"5 Source no.",$C3036,"4 Item Ledger Entry Type",$C$4,"2 Item No.","@@"&amp;$F3036,"3 Posting Date",J$9)</t>
  </si>
  <si>
    <t>=-NL("Sum","5802 Value Entry","151 Cost Amount (Expected)","41 Source Type",$C$5,"5 Source No.",$C3036,"4 Item Ledger Entry Type",$C$4,"2 Item No.","@@"&amp;$F3036,"3 Posting Date",J$9)-NL("Sum","5802 Value Entry","43 Cost Amount (Actual)","41 Source Type",$C$5,"5 Source no.",$C3036,"4 Item Ledger Entry Type",$C$4,"2 Item No.","@@"&amp;$F3036,"3 Posting Date",J$9)</t>
  </si>
  <si>
    <t>=J3036-L3036</t>
  </si>
  <si>
    <t>=IF(J3036&lt;&gt;0,M3036/J3036,"")</t>
  </si>
  <si>
    <t>=NL("Sum","5802 Value Entry","150 Sales Amount (Expected)","41 Source Type",$C$5,"5 Source No.",$C3036,"4 Item Ledger Entry Type",$C$4,"2 Item No.","@@"&amp;$F3036,"3 Posting Date",O$9)+NL("Sum","5802 Value Entry","17 Sales Amount (Actual)","41 Source Type",$C$5,"5 Source no.",$C3036,"4 Item Ledger Entry Type",$C$4,"2 Item No.","@@"&amp;$F3036,"3 Posting Date",O$9)</t>
  </si>
  <si>
    <t>=-NL("Sum","5802 Value Entry","151 Cost Amount (Expected)","41 Source Type",$C$5,"5 Source No.",$C3036,"4 Item Ledger Entry Type",$C$4,"2 Item No.","@@"&amp;$F3036,"3 Posting Date",O$9)-NL("Sum","5802 Value Entry","43 Cost Amount (Actual)","41 Source Type",$C$5,"5 Source no.",$C3036,"4 Item Ledger Entry Type",$C$4,"2 Item No.","@@"&amp;$F3036,"3 Posting Date",O$9)</t>
  </si>
  <si>
    <t>=O3036-Q3036</t>
  </si>
  <si>
    <t>=IF(O3036&lt;&gt;0,R3036/O3036,"")</t>
  </si>
  <si>
    <t>=NL("Sum","5802 Value Entry","150 Sales Amount (Expected)","41 Source Type",$C$5,"5 Source No.",$C3036,"4 Item Ledger Entry Type",$C$4,"2 Item No.","@@"&amp;$F3036,"3 Posting Date",U$9)+NL("Sum","5802 Value Entry","17 Sales Amount (Actual)","41 Source Type",$C$5,"5 Source no.",$C3036,"4 Item Ledger Entry Type",$C$4,"2 Item No.","@@"&amp;$F3036,"3 Posting Date",U$9)</t>
  </si>
  <si>
    <t>=-NL("Sum","5802 Value Entry","151 Cost Amount (Expected)","41 Source Type",$C$5,"5 Source No.",$C3036,"4 Item Ledger Entry Type",$C$4,"2 Item No.","@@"&amp;$F3036,"3 Posting Date",U$9)-NL("Sum","5802 Value Entry","43 Cost Amount (Actual)","41 Source Type",$C$5,"5 Source no.",$C3036,"4 Item Ledger Entry Type",$C$4,"2 Item No.","@@"&amp;$F3036,"3 Posting Date",U$9)</t>
  </si>
  <si>
    <t>=U3036-W3036</t>
  </si>
  <si>
    <t>=IF(U3036&lt;&gt;0,X3036/U3036,"")</t>
  </si>
  <si>
    <t>=NL("Sum","5802 Value Entry","150 Sales Amount (Expected)","41 Source Type",$C$5,"5 Source No.",$C3036,"4 Item Ledger Entry Type",$C$4,"2 Item No.","@@"&amp;$F3036,"3 Posting Date",Z$9)+NL("Sum","5802 Value Entry","17 Sales Amount (Actual)","41 Source Type",$C$5,"5 Source no.",$C3036,"4 Item Ledger Entry Type",$C$4,"2 Item No.","@@"&amp;$F3036,"3 Posting Date",Z$9)</t>
  </si>
  <si>
    <t>=-NL("Sum","5802 Value Entry","151 Cost Amount (Expected)","41 Source Type",$C$5,"5 Source No.",$C3036,"4 Item Ledger Entry Type",$C$4,"2 Item No.","@@"&amp;$F3036,"3 Posting Date",Z$9)-NL("Sum","5802 Value Entry","43 Cost Amount (Actual)","41 Source Type",$C$5,"5 Source no.",$C3036,"4 Item Ledger Entry Type",$C$4,"2 Item No.","@@"&amp;$F3036,"3 Posting Date",Z$9)</t>
  </si>
  <si>
    <t>=Z3036-AB3036</t>
  </si>
  <si>
    <t>=IF(Z3036&lt;&gt;0,AC3036/Z3036,"")</t>
  </si>
  <si>
    <t>=C3036</t>
  </si>
  <si>
    <t>=NL("Sum","5802 Value Entry","150 Sales Amount (Expected)","41 Source Type",$C$5,"5 Source No.",$C3037,"4 Item Ledger Entry Type",$C$4,"2 Item No.","@@"&amp;$F3037,"3 Posting Date",J$9)+NL("Sum","5802 Value Entry","17 Sales Amount (Actual)","41 Source Type",$C$5,"5 Source no.",$C3037,"4 Item Ledger Entry Type",$C$4,"2 Item No.","@@"&amp;$F3037,"3 Posting Date",J$9)</t>
  </si>
  <si>
    <t>=-NL("Sum","5802 Value Entry","151 Cost Amount (Expected)","41 Source Type",$C$5,"5 Source No.",$C3037,"4 Item Ledger Entry Type",$C$4,"2 Item No.","@@"&amp;$F3037,"3 Posting Date",J$9)-NL("Sum","5802 Value Entry","43 Cost Amount (Actual)","41 Source Type",$C$5,"5 Source no.",$C3037,"4 Item Ledger Entry Type",$C$4,"2 Item No.","@@"&amp;$F3037,"3 Posting Date",J$9)</t>
  </si>
  <si>
    <t>=J3037-L3037</t>
  </si>
  <si>
    <t>=IF(J3037&lt;&gt;0,M3037/J3037,"")</t>
  </si>
  <si>
    <t>=NL("Sum","5802 Value Entry","150 Sales Amount (Expected)","41 Source Type",$C$5,"5 Source No.",$C3037,"4 Item Ledger Entry Type",$C$4,"2 Item No.","@@"&amp;$F3037,"3 Posting Date",O$9)+NL("Sum","5802 Value Entry","17 Sales Amount (Actual)","41 Source Type",$C$5,"5 Source no.",$C3037,"4 Item Ledger Entry Type",$C$4,"2 Item No.","@@"&amp;$F3037,"3 Posting Date",O$9)</t>
  </si>
  <si>
    <t>=-NL("Sum","5802 Value Entry","151 Cost Amount (Expected)","41 Source Type",$C$5,"5 Source No.",$C3037,"4 Item Ledger Entry Type",$C$4,"2 Item No.","@@"&amp;$F3037,"3 Posting Date",O$9)-NL("Sum","5802 Value Entry","43 Cost Amount (Actual)","41 Source Type",$C$5,"5 Source no.",$C3037,"4 Item Ledger Entry Type",$C$4,"2 Item No.","@@"&amp;$F3037,"3 Posting Date",O$9)</t>
  </si>
  <si>
    <t>=O3037-Q3037</t>
  </si>
  <si>
    <t>=IF(O3037&lt;&gt;0,R3037/O3037,"")</t>
  </si>
  <si>
    <t>=NL("Sum","5802 Value Entry","150 Sales Amount (Expected)","41 Source Type",$C$5,"5 Source No.",$C3037,"4 Item Ledger Entry Type",$C$4,"2 Item No.","@@"&amp;$F3037,"3 Posting Date",U$9)+NL("Sum","5802 Value Entry","17 Sales Amount (Actual)","41 Source Type",$C$5,"5 Source no.",$C3037,"4 Item Ledger Entry Type",$C$4,"2 Item No.","@@"&amp;$F3037,"3 Posting Date",U$9)</t>
  </si>
  <si>
    <t>=-NL("Sum","5802 Value Entry","151 Cost Amount (Expected)","41 Source Type",$C$5,"5 Source No.",$C3037,"4 Item Ledger Entry Type",$C$4,"2 Item No.","@@"&amp;$F3037,"3 Posting Date",U$9)-NL("Sum","5802 Value Entry","43 Cost Amount (Actual)","41 Source Type",$C$5,"5 Source no.",$C3037,"4 Item Ledger Entry Type",$C$4,"2 Item No.","@@"&amp;$F3037,"3 Posting Date",U$9)</t>
  </si>
  <si>
    <t>=U3037-W3037</t>
  </si>
  <si>
    <t>=IF(U3037&lt;&gt;0,X3037/U3037,"")</t>
  </si>
  <si>
    <t>=NL("Sum","5802 Value Entry","150 Sales Amount (Expected)","41 Source Type",$C$5,"5 Source No.",$C3037,"4 Item Ledger Entry Type",$C$4,"2 Item No.","@@"&amp;$F3037,"3 Posting Date",Z$9)+NL("Sum","5802 Value Entry","17 Sales Amount (Actual)","41 Source Type",$C$5,"5 Source no.",$C3037,"4 Item Ledger Entry Type",$C$4,"2 Item No.","@@"&amp;$F3037,"3 Posting Date",Z$9)</t>
  </si>
  <si>
    <t>=-NL("Sum","5802 Value Entry","151 Cost Amount (Expected)","41 Source Type",$C$5,"5 Source No.",$C3037,"4 Item Ledger Entry Type",$C$4,"2 Item No.","@@"&amp;$F3037,"3 Posting Date",Z$9)-NL("Sum","5802 Value Entry","43 Cost Amount (Actual)","41 Source Type",$C$5,"5 Source no.",$C3037,"4 Item Ledger Entry Type",$C$4,"2 Item No.","@@"&amp;$F3037,"3 Posting Date",Z$9)</t>
  </si>
  <si>
    <t>=Z3037-AB3037</t>
  </si>
  <si>
    <t>=IF(Z3037&lt;&gt;0,AC3037/Z3037,"")</t>
  </si>
  <si>
    <t>=C3037</t>
  </si>
  <si>
    <t>=NL("Sum","5802 Value Entry","150 Sales Amount (Expected)","41 Source Type",$C$5,"5 Source No.",$C3038,"4 Item Ledger Entry Type",$C$4,"2 Item No.","@@"&amp;$F3038,"3 Posting Date",J$9)+NL("Sum","5802 Value Entry","17 Sales Amount (Actual)","41 Source Type",$C$5,"5 Source no.",$C3038,"4 Item Ledger Entry Type",$C$4,"2 Item No.","@@"&amp;$F3038,"3 Posting Date",J$9)</t>
  </si>
  <si>
    <t>=-NL("Sum","5802 Value Entry","151 Cost Amount (Expected)","41 Source Type",$C$5,"5 Source No.",$C3038,"4 Item Ledger Entry Type",$C$4,"2 Item No.","@@"&amp;$F3038,"3 Posting Date",J$9)-NL("Sum","5802 Value Entry","43 Cost Amount (Actual)","41 Source Type",$C$5,"5 Source no.",$C3038,"4 Item Ledger Entry Type",$C$4,"2 Item No.","@@"&amp;$F3038,"3 Posting Date",J$9)</t>
  </si>
  <si>
    <t>=J3038-L3038</t>
  </si>
  <si>
    <t>=IF(J3038&lt;&gt;0,M3038/J3038,"")</t>
  </si>
  <si>
    <t>=NL("Sum","5802 Value Entry","150 Sales Amount (Expected)","41 Source Type",$C$5,"5 Source No.",$C3038,"4 Item Ledger Entry Type",$C$4,"2 Item No.","@@"&amp;$F3038,"3 Posting Date",O$9)+NL("Sum","5802 Value Entry","17 Sales Amount (Actual)","41 Source Type",$C$5,"5 Source no.",$C3038,"4 Item Ledger Entry Type",$C$4,"2 Item No.","@@"&amp;$F3038,"3 Posting Date",O$9)</t>
  </si>
  <si>
    <t>=-NL("Sum","5802 Value Entry","151 Cost Amount (Expected)","41 Source Type",$C$5,"5 Source No.",$C3038,"4 Item Ledger Entry Type",$C$4,"2 Item No.","@@"&amp;$F3038,"3 Posting Date",O$9)-NL("Sum","5802 Value Entry","43 Cost Amount (Actual)","41 Source Type",$C$5,"5 Source no.",$C3038,"4 Item Ledger Entry Type",$C$4,"2 Item No.","@@"&amp;$F3038,"3 Posting Date",O$9)</t>
  </si>
  <si>
    <t>=O3038-Q3038</t>
  </si>
  <si>
    <t>=IF(O3038&lt;&gt;0,R3038/O3038,"")</t>
  </si>
  <si>
    <t>=NL("Sum","5802 Value Entry","150 Sales Amount (Expected)","41 Source Type",$C$5,"5 Source No.",$C3038,"4 Item Ledger Entry Type",$C$4,"2 Item No.","@@"&amp;$F3038,"3 Posting Date",U$9)+NL("Sum","5802 Value Entry","17 Sales Amount (Actual)","41 Source Type",$C$5,"5 Source no.",$C3038,"4 Item Ledger Entry Type",$C$4,"2 Item No.","@@"&amp;$F3038,"3 Posting Date",U$9)</t>
  </si>
  <si>
    <t>=-NL("Sum","5802 Value Entry","151 Cost Amount (Expected)","41 Source Type",$C$5,"5 Source No.",$C3038,"4 Item Ledger Entry Type",$C$4,"2 Item No.","@@"&amp;$F3038,"3 Posting Date",U$9)-NL("Sum","5802 Value Entry","43 Cost Amount (Actual)","41 Source Type",$C$5,"5 Source no.",$C3038,"4 Item Ledger Entry Type",$C$4,"2 Item No.","@@"&amp;$F3038,"3 Posting Date",U$9)</t>
  </si>
  <si>
    <t>=U3038-W3038</t>
  </si>
  <si>
    <t>=IF(U3038&lt;&gt;0,X3038/U3038,"")</t>
  </si>
  <si>
    <t>=NL("Sum","5802 Value Entry","150 Sales Amount (Expected)","41 Source Type",$C$5,"5 Source No.",$C3038,"4 Item Ledger Entry Type",$C$4,"2 Item No.","@@"&amp;$F3038,"3 Posting Date",Z$9)+NL("Sum","5802 Value Entry","17 Sales Amount (Actual)","41 Source Type",$C$5,"5 Source no.",$C3038,"4 Item Ledger Entry Type",$C$4,"2 Item No.","@@"&amp;$F3038,"3 Posting Date",Z$9)</t>
  </si>
  <si>
    <t>=-NL("Sum","5802 Value Entry","151 Cost Amount (Expected)","41 Source Type",$C$5,"5 Source No.",$C3038,"4 Item Ledger Entry Type",$C$4,"2 Item No.","@@"&amp;$F3038,"3 Posting Date",Z$9)-NL("Sum","5802 Value Entry","43 Cost Amount (Actual)","41 Source Type",$C$5,"5 Source no.",$C3038,"4 Item Ledger Entry Type",$C$4,"2 Item No.","@@"&amp;$F3038,"3 Posting Date",Z$9)</t>
  </si>
  <si>
    <t>=Z3038-AB3038</t>
  </si>
  <si>
    <t>=IF(Z3038&lt;&gt;0,AC3038/Z3038,"")</t>
  </si>
  <si>
    <t>=C3038</t>
  </si>
  <si>
    <t>=NL("Sum","5802 Value Entry","150 Sales Amount (Expected)","41 Source Type",$C$5,"5 Source No.",$C3039,"4 Item Ledger Entry Type",$C$4,"2 Item No.","@@"&amp;$F3039,"3 Posting Date",J$9)+NL("Sum","5802 Value Entry","17 Sales Amount (Actual)","41 Source Type",$C$5,"5 Source no.",$C3039,"4 Item Ledger Entry Type",$C$4,"2 Item No.","@@"&amp;$F3039,"3 Posting Date",J$9)</t>
  </si>
  <si>
    <t>=-NL("Sum","5802 Value Entry","151 Cost Amount (Expected)","41 Source Type",$C$5,"5 Source No.",$C3039,"4 Item Ledger Entry Type",$C$4,"2 Item No.","@@"&amp;$F3039,"3 Posting Date",J$9)-NL("Sum","5802 Value Entry","43 Cost Amount (Actual)","41 Source Type",$C$5,"5 Source no.",$C3039,"4 Item Ledger Entry Type",$C$4,"2 Item No.","@@"&amp;$F3039,"3 Posting Date",J$9)</t>
  </si>
  <si>
    <t>=J3039-L3039</t>
  </si>
  <si>
    <t>=IF(J3039&lt;&gt;0,M3039/J3039,"")</t>
  </si>
  <si>
    <t>=NL("Sum","5802 Value Entry","150 Sales Amount (Expected)","41 Source Type",$C$5,"5 Source No.",$C3039,"4 Item Ledger Entry Type",$C$4,"2 Item No.","@@"&amp;$F3039,"3 Posting Date",O$9)+NL("Sum","5802 Value Entry","17 Sales Amount (Actual)","41 Source Type",$C$5,"5 Source no.",$C3039,"4 Item Ledger Entry Type",$C$4,"2 Item No.","@@"&amp;$F3039,"3 Posting Date",O$9)</t>
  </si>
  <si>
    <t>=-NL("Sum","5802 Value Entry","151 Cost Amount (Expected)","41 Source Type",$C$5,"5 Source No.",$C3039,"4 Item Ledger Entry Type",$C$4,"2 Item No.","@@"&amp;$F3039,"3 Posting Date",O$9)-NL("Sum","5802 Value Entry","43 Cost Amount (Actual)","41 Source Type",$C$5,"5 Source no.",$C3039,"4 Item Ledger Entry Type",$C$4,"2 Item No.","@@"&amp;$F3039,"3 Posting Date",O$9)</t>
  </si>
  <si>
    <t>=O3039-Q3039</t>
  </si>
  <si>
    <t>=IF(O3039&lt;&gt;0,R3039/O3039,"")</t>
  </si>
  <si>
    <t>=NL("Sum","5802 Value Entry","150 Sales Amount (Expected)","41 Source Type",$C$5,"5 Source No.",$C3039,"4 Item Ledger Entry Type",$C$4,"2 Item No.","@@"&amp;$F3039,"3 Posting Date",U$9)+NL("Sum","5802 Value Entry","17 Sales Amount (Actual)","41 Source Type",$C$5,"5 Source no.",$C3039,"4 Item Ledger Entry Type",$C$4,"2 Item No.","@@"&amp;$F3039,"3 Posting Date",U$9)</t>
  </si>
  <si>
    <t>=-NL("Sum","5802 Value Entry","151 Cost Amount (Expected)","41 Source Type",$C$5,"5 Source No.",$C3039,"4 Item Ledger Entry Type",$C$4,"2 Item No.","@@"&amp;$F3039,"3 Posting Date",U$9)-NL("Sum","5802 Value Entry","43 Cost Amount (Actual)","41 Source Type",$C$5,"5 Source no.",$C3039,"4 Item Ledger Entry Type",$C$4,"2 Item No.","@@"&amp;$F3039,"3 Posting Date",U$9)</t>
  </si>
  <si>
    <t>=U3039-W3039</t>
  </si>
  <si>
    <t>=IF(U3039&lt;&gt;0,X3039/U3039,"")</t>
  </si>
  <si>
    <t>=NL("Sum","5802 Value Entry","150 Sales Amount (Expected)","41 Source Type",$C$5,"5 Source No.",$C3039,"4 Item Ledger Entry Type",$C$4,"2 Item No.","@@"&amp;$F3039,"3 Posting Date",Z$9)+NL("Sum","5802 Value Entry","17 Sales Amount (Actual)","41 Source Type",$C$5,"5 Source no.",$C3039,"4 Item Ledger Entry Type",$C$4,"2 Item No.","@@"&amp;$F3039,"3 Posting Date",Z$9)</t>
  </si>
  <si>
    <t>=-NL("Sum","5802 Value Entry","151 Cost Amount (Expected)","41 Source Type",$C$5,"5 Source No.",$C3039,"4 Item Ledger Entry Type",$C$4,"2 Item No.","@@"&amp;$F3039,"3 Posting Date",Z$9)-NL("Sum","5802 Value Entry","43 Cost Amount (Actual)","41 Source Type",$C$5,"5 Source no.",$C3039,"4 Item Ledger Entry Type",$C$4,"2 Item No.","@@"&amp;$F3039,"3 Posting Date",Z$9)</t>
  </si>
  <si>
    <t>=Z3039-AB3039</t>
  </si>
  <si>
    <t>=IF(Z3039&lt;&gt;0,AC3039/Z3039,"")</t>
  </si>
  <si>
    <t>=C3039</t>
  </si>
  <si>
    <t>=NL("Sum","5802 Value Entry","150 Sales Amount (Expected)","41 Source Type",$C$5,"5 Source No.",$C3040,"4 Item Ledger Entry Type",$C$4,"2 Item No.","@@"&amp;$F3040,"3 Posting Date",J$9)+NL("Sum","5802 Value Entry","17 Sales Amount (Actual)","41 Source Type",$C$5,"5 Source no.",$C3040,"4 Item Ledger Entry Type",$C$4,"2 Item No.","@@"&amp;$F3040,"3 Posting Date",J$9)</t>
  </si>
  <si>
    <t>=-NL("Sum","5802 Value Entry","151 Cost Amount (Expected)","41 Source Type",$C$5,"5 Source No.",$C3040,"4 Item Ledger Entry Type",$C$4,"2 Item No.","@@"&amp;$F3040,"3 Posting Date",J$9)-NL("Sum","5802 Value Entry","43 Cost Amount (Actual)","41 Source Type",$C$5,"5 Source no.",$C3040,"4 Item Ledger Entry Type",$C$4,"2 Item No.","@@"&amp;$F3040,"3 Posting Date",J$9)</t>
  </si>
  <si>
    <t>=J3040-L3040</t>
  </si>
  <si>
    <t>=IF(J3040&lt;&gt;0,M3040/J3040,"")</t>
  </si>
  <si>
    <t>=NL("Sum","5802 Value Entry","150 Sales Amount (Expected)","41 Source Type",$C$5,"5 Source No.",$C3040,"4 Item Ledger Entry Type",$C$4,"2 Item No.","@@"&amp;$F3040,"3 Posting Date",O$9)+NL("Sum","5802 Value Entry","17 Sales Amount (Actual)","41 Source Type",$C$5,"5 Source no.",$C3040,"4 Item Ledger Entry Type",$C$4,"2 Item No.","@@"&amp;$F3040,"3 Posting Date",O$9)</t>
  </si>
  <si>
    <t>=-NL("Sum","5802 Value Entry","151 Cost Amount (Expected)","41 Source Type",$C$5,"5 Source No.",$C3040,"4 Item Ledger Entry Type",$C$4,"2 Item No.","@@"&amp;$F3040,"3 Posting Date",O$9)-NL("Sum","5802 Value Entry","43 Cost Amount (Actual)","41 Source Type",$C$5,"5 Source no.",$C3040,"4 Item Ledger Entry Type",$C$4,"2 Item No.","@@"&amp;$F3040,"3 Posting Date",O$9)</t>
  </si>
  <si>
    <t>=O3040-Q3040</t>
  </si>
  <si>
    <t>=IF(O3040&lt;&gt;0,R3040/O3040,"")</t>
  </si>
  <si>
    <t>=NL("Sum","5802 Value Entry","150 Sales Amount (Expected)","41 Source Type",$C$5,"5 Source No.",$C3040,"4 Item Ledger Entry Type",$C$4,"2 Item No.","@@"&amp;$F3040,"3 Posting Date",U$9)+NL("Sum","5802 Value Entry","17 Sales Amount (Actual)","41 Source Type",$C$5,"5 Source no.",$C3040,"4 Item Ledger Entry Type",$C$4,"2 Item No.","@@"&amp;$F3040,"3 Posting Date",U$9)</t>
  </si>
  <si>
    <t>=-NL("Sum","5802 Value Entry","151 Cost Amount (Expected)","41 Source Type",$C$5,"5 Source No.",$C3040,"4 Item Ledger Entry Type",$C$4,"2 Item No.","@@"&amp;$F3040,"3 Posting Date",U$9)-NL("Sum","5802 Value Entry","43 Cost Amount (Actual)","41 Source Type",$C$5,"5 Source no.",$C3040,"4 Item Ledger Entry Type",$C$4,"2 Item No.","@@"&amp;$F3040,"3 Posting Date",U$9)</t>
  </si>
  <si>
    <t>=U3040-W3040</t>
  </si>
  <si>
    <t>=IF(U3040&lt;&gt;0,X3040/U3040,"")</t>
  </si>
  <si>
    <t>=NL("Sum","5802 Value Entry","150 Sales Amount (Expected)","41 Source Type",$C$5,"5 Source No.",$C3040,"4 Item Ledger Entry Type",$C$4,"2 Item No.","@@"&amp;$F3040,"3 Posting Date",Z$9)+NL("Sum","5802 Value Entry","17 Sales Amount (Actual)","41 Source Type",$C$5,"5 Source no.",$C3040,"4 Item Ledger Entry Type",$C$4,"2 Item No.","@@"&amp;$F3040,"3 Posting Date",Z$9)</t>
  </si>
  <si>
    <t>=-NL("Sum","5802 Value Entry","151 Cost Amount (Expected)","41 Source Type",$C$5,"5 Source No.",$C3040,"4 Item Ledger Entry Type",$C$4,"2 Item No.","@@"&amp;$F3040,"3 Posting Date",Z$9)-NL("Sum","5802 Value Entry","43 Cost Amount (Actual)","41 Source Type",$C$5,"5 Source no.",$C3040,"4 Item Ledger Entry Type",$C$4,"2 Item No.","@@"&amp;$F3040,"3 Posting Date",Z$9)</t>
  </si>
  <si>
    <t>=Z3040-AB3040</t>
  </si>
  <si>
    <t>=IF(Z3040&lt;&gt;0,AC3040/Z3040,"")</t>
  </si>
  <si>
    <t>=C3040</t>
  </si>
  <si>
    <t>=NL("Sum","5802 Value Entry","150 Sales Amount (Expected)","41 Source Type",$C$5,"5 Source No.",$C3041,"4 Item Ledger Entry Type",$C$4,"2 Item No.","@@"&amp;$F3041,"3 Posting Date",J$9)+NL("Sum","5802 Value Entry","17 Sales Amount (Actual)","41 Source Type",$C$5,"5 Source no.",$C3041,"4 Item Ledger Entry Type",$C$4,"2 Item No.","@@"&amp;$F3041,"3 Posting Date",J$9)</t>
  </si>
  <si>
    <t>=-NL("Sum","5802 Value Entry","151 Cost Amount (Expected)","41 Source Type",$C$5,"5 Source No.",$C3041,"4 Item Ledger Entry Type",$C$4,"2 Item No.","@@"&amp;$F3041,"3 Posting Date",J$9)-NL("Sum","5802 Value Entry","43 Cost Amount (Actual)","41 Source Type",$C$5,"5 Source no.",$C3041,"4 Item Ledger Entry Type",$C$4,"2 Item No.","@@"&amp;$F3041,"3 Posting Date",J$9)</t>
  </si>
  <si>
    <t>=J3041-L3041</t>
  </si>
  <si>
    <t>=IF(J3041&lt;&gt;0,M3041/J3041,"")</t>
  </si>
  <si>
    <t>=NL("Sum","5802 Value Entry","150 Sales Amount (Expected)","41 Source Type",$C$5,"5 Source No.",$C3041,"4 Item Ledger Entry Type",$C$4,"2 Item No.","@@"&amp;$F3041,"3 Posting Date",O$9)+NL("Sum","5802 Value Entry","17 Sales Amount (Actual)","41 Source Type",$C$5,"5 Source no.",$C3041,"4 Item Ledger Entry Type",$C$4,"2 Item No.","@@"&amp;$F3041,"3 Posting Date",O$9)</t>
  </si>
  <si>
    <t>=-NL("Sum","5802 Value Entry","151 Cost Amount (Expected)","41 Source Type",$C$5,"5 Source No.",$C3041,"4 Item Ledger Entry Type",$C$4,"2 Item No.","@@"&amp;$F3041,"3 Posting Date",O$9)-NL("Sum","5802 Value Entry","43 Cost Amount (Actual)","41 Source Type",$C$5,"5 Source no.",$C3041,"4 Item Ledger Entry Type",$C$4,"2 Item No.","@@"&amp;$F3041,"3 Posting Date",O$9)</t>
  </si>
  <si>
    <t>=O3041-Q3041</t>
  </si>
  <si>
    <t>=IF(O3041&lt;&gt;0,R3041/O3041,"")</t>
  </si>
  <si>
    <t>=NL("Sum","5802 Value Entry","150 Sales Amount (Expected)","41 Source Type",$C$5,"5 Source No.",$C3041,"4 Item Ledger Entry Type",$C$4,"2 Item No.","@@"&amp;$F3041,"3 Posting Date",U$9)+NL("Sum","5802 Value Entry","17 Sales Amount (Actual)","41 Source Type",$C$5,"5 Source no.",$C3041,"4 Item Ledger Entry Type",$C$4,"2 Item No.","@@"&amp;$F3041,"3 Posting Date",U$9)</t>
  </si>
  <si>
    <t>=-NL("Sum","5802 Value Entry","151 Cost Amount (Expected)","41 Source Type",$C$5,"5 Source No.",$C3041,"4 Item Ledger Entry Type",$C$4,"2 Item No.","@@"&amp;$F3041,"3 Posting Date",U$9)-NL("Sum","5802 Value Entry","43 Cost Amount (Actual)","41 Source Type",$C$5,"5 Source no.",$C3041,"4 Item Ledger Entry Type",$C$4,"2 Item No.","@@"&amp;$F3041,"3 Posting Date",U$9)</t>
  </si>
  <si>
    <t>=U3041-W3041</t>
  </si>
  <si>
    <t>=IF(U3041&lt;&gt;0,X3041/U3041,"")</t>
  </si>
  <si>
    <t>=NL("Sum","5802 Value Entry","150 Sales Amount (Expected)","41 Source Type",$C$5,"5 Source No.",$C3041,"4 Item Ledger Entry Type",$C$4,"2 Item No.","@@"&amp;$F3041,"3 Posting Date",Z$9)+NL("Sum","5802 Value Entry","17 Sales Amount (Actual)","41 Source Type",$C$5,"5 Source no.",$C3041,"4 Item Ledger Entry Type",$C$4,"2 Item No.","@@"&amp;$F3041,"3 Posting Date",Z$9)</t>
  </si>
  <si>
    <t>=-NL("Sum","5802 Value Entry","151 Cost Amount (Expected)","41 Source Type",$C$5,"5 Source No.",$C3041,"4 Item Ledger Entry Type",$C$4,"2 Item No.","@@"&amp;$F3041,"3 Posting Date",Z$9)-NL("Sum","5802 Value Entry","43 Cost Amount (Actual)","41 Source Type",$C$5,"5 Source no.",$C3041,"4 Item Ledger Entry Type",$C$4,"2 Item No.","@@"&amp;$F3041,"3 Posting Date",Z$9)</t>
  </si>
  <si>
    <t>=Z3041-AB3041</t>
  </si>
  <si>
    <t>=IF(Z3041&lt;&gt;0,AC3041/Z3041,"")</t>
  </si>
  <si>
    <t>=C3041</t>
  </si>
  <si>
    <t>=NL("Sum","5802 Value Entry","150 Sales Amount (Expected)","41 Source Type",$C$5,"5 Source No.",$C3042,"4 Item Ledger Entry Type",$C$4,"2 Item No.","@@"&amp;$F3042,"3 Posting Date",J$9)+NL("Sum","5802 Value Entry","17 Sales Amount (Actual)","41 Source Type",$C$5,"5 Source no.",$C3042,"4 Item Ledger Entry Type",$C$4,"2 Item No.","@@"&amp;$F3042,"3 Posting Date",J$9)</t>
  </si>
  <si>
    <t>=-NL("Sum","5802 Value Entry","151 Cost Amount (Expected)","41 Source Type",$C$5,"5 Source No.",$C3042,"4 Item Ledger Entry Type",$C$4,"2 Item No.","@@"&amp;$F3042,"3 Posting Date",J$9)-NL("Sum","5802 Value Entry","43 Cost Amount (Actual)","41 Source Type",$C$5,"5 Source no.",$C3042,"4 Item Ledger Entry Type",$C$4,"2 Item No.","@@"&amp;$F3042,"3 Posting Date",J$9)</t>
  </si>
  <si>
    <t>=J3042-L3042</t>
  </si>
  <si>
    <t>=IF(J3042&lt;&gt;0,M3042/J3042,"")</t>
  </si>
  <si>
    <t>=NL("Sum","5802 Value Entry","150 Sales Amount (Expected)","41 Source Type",$C$5,"5 Source No.",$C3042,"4 Item Ledger Entry Type",$C$4,"2 Item No.","@@"&amp;$F3042,"3 Posting Date",O$9)+NL("Sum","5802 Value Entry","17 Sales Amount (Actual)","41 Source Type",$C$5,"5 Source no.",$C3042,"4 Item Ledger Entry Type",$C$4,"2 Item No.","@@"&amp;$F3042,"3 Posting Date",O$9)</t>
  </si>
  <si>
    <t>=-NL("Sum","5802 Value Entry","151 Cost Amount (Expected)","41 Source Type",$C$5,"5 Source No.",$C3042,"4 Item Ledger Entry Type",$C$4,"2 Item No.","@@"&amp;$F3042,"3 Posting Date",O$9)-NL("Sum","5802 Value Entry","43 Cost Amount (Actual)","41 Source Type",$C$5,"5 Source no.",$C3042,"4 Item Ledger Entry Type",$C$4,"2 Item No.","@@"&amp;$F3042,"3 Posting Date",O$9)</t>
  </si>
  <si>
    <t>=O3042-Q3042</t>
  </si>
  <si>
    <t>=IF(O3042&lt;&gt;0,R3042/O3042,"")</t>
  </si>
  <si>
    <t>=NL("Sum","5802 Value Entry","150 Sales Amount (Expected)","41 Source Type",$C$5,"5 Source No.",$C3042,"4 Item Ledger Entry Type",$C$4,"2 Item No.","@@"&amp;$F3042,"3 Posting Date",U$9)+NL("Sum","5802 Value Entry","17 Sales Amount (Actual)","41 Source Type",$C$5,"5 Source no.",$C3042,"4 Item Ledger Entry Type",$C$4,"2 Item No.","@@"&amp;$F3042,"3 Posting Date",U$9)</t>
  </si>
  <si>
    <t>=-NL("Sum","5802 Value Entry","151 Cost Amount (Expected)","41 Source Type",$C$5,"5 Source No.",$C3042,"4 Item Ledger Entry Type",$C$4,"2 Item No.","@@"&amp;$F3042,"3 Posting Date",U$9)-NL("Sum","5802 Value Entry","43 Cost Amount (Actual)","41 Source Type",$C$5,"5 Source no.",$C3042,"4 Item Ledger Entry Type",$C$4,"2 Item No.","@@"&amp;$F3042,"3 Posting Date",U$9)</t>
  </si>
  <si>
    <t>=U3042-W3042</t>
  </si>
  <si>
    <t>=IF(U3042&lt;&gt;0,X3042/U3042,"")</t>
  </si>
  <si>
    <t>=NL("Sum","5802 Value Entry","150 Sales Amount (Expected)","41 Source Type",$C$5,"5 Source No.",$C3042,"4 Item Ledger Entry Type",$C$4,"2 Item No.","@@"&amp;$F3042,"3 Posting Date",Z$9)+NL("Sum","5802 Value Entry","17 Sales Amount (Actual)","41 Source Type",$C$5,"5 Source no.",$C3042,"4 Item Ledger Entry Type",$C$4,"2 Item No.","@@"&amp;$F3042,"3 Posting Date",Z$9)</t>
  </si>
  <si>
    <t>=-NL("Sum","5802 Value Entry","151 Cost Amount (Expected)","41 Source Type",$C$5,"5 Source No.",$C3042,"4 Item Ledger Entry Type",$C$4,"2 Item No.","@@"&amp;$F3042,"3 Posting Date",Z$9)-NL("Sum","5802 Value Entry","43 Cost Amount (Actual)","41 Source Type",$C$5,"5 Source no.",$C3042,"4 Item Ledger Entry Type",$C$4,"2 Item No.","@@"&amp;$F3042,"3 Posting Date",Z$9)</t>
  </si>
  <si>
    <t>=Z3042-AB3042</t>
  </si>
  <si>
    <t>=IF(Z3042&lt;&gt;0,AC3042/Z3042,"")</t>
  </si>
  <si>
    <t>=C3042</t>
  </si>
  <si>
    <t>=NL("Sum","5802 Value Entry","150 Sales Amount (Expected)","41 Source Type",$C$5,"5 Source No.",$C3043,"4 Item Ledger Entry Type",$C$4,"2 Item No.","@@"&amp;$F3043,"3 Posting Date",J$9)+NL("Sum","5802 Value Entry","17 Sales Amount (Actual)","41 Source Type",$C$5,"5 Source no.",$C3043,"4 Item Ledger Entry Type",$C$4,"2 Item No.","@@"&amp;$F3043,"3 Posting Date",J$9)</t>
  </si>
  <si>
    <t>=-NL("Sum","5802 Value Entry","151 Cost Amount (Expected)","41 Source Type",$C$5,"5 Source No.",$C3043,"4 Item Ledger Entry Type",$C$4,"2 Item No.","@@"&amp;$F3043,"3 Posting Date",J$9)-NL("Sum","5802 Value Entry","43 Cost Amount (Actual)","41 Source Type",$C$5,"5 Source no.",$C3043,"4 Item Ledger Entry Type",$C$4,"2 Item No.","@@"&amp;$F3043,"3 Posting Date",J$9)</t>
  </si>
  <si>
    <t>=J3043-L3043</t>
  </si>
  <si>
    <t>=IF(J3043&lt;&gt;0,M3043/J3043,"")</t>
  </si>
  <si>
    <t>=NL("Sum","5802 Value Entry","150 Sales Amount (Expected)","41 Source Type",$C$5,"5 Source No.",$C3043,"4 Item Ledger Entry Type",$C$4,"2 Item No.","@@"&amp;$F3043,"3 Posting Date",O$9)+NL("Sum","5802 Value Entry","17 Sales Amount (Actual)","41 Source Type",$C$5,"5 Source no.",$C3043,"4 Item Ledger Entry Type",$C$4,"2 Item No.","@@"&amp;$F3043,"3 Posting Date",O$9)</t>
  </si>
  <si>
    <t>=-NL("Sum","5802 Value Entry","151 Cost Amount (Expected)","41 Source Type",$C$5,"5 Source No.",$C3043,"4 Item Ledger Entry Type",$C$4,"2 Item No.","@@"&amp;$F3043,"3 Posting Date",O$9)-NL("Sum","5802 Value Entry","43 Cost Amount (Actual)","41 Source Type",$C$5,"5 Source no.",$C3043,"4 Item Ledger Entry Type",$C$4,"2 Item No.","@@"&amp;$F3043,"3 Posting Date",O$9)</t>
  </si>
  <si>
    <t>=O3043-Q3043</t>
  </si>
  <si>
    <t>=IF(O3043&lt;&gt;0,R3043/O3043,"")</t>
  </si>
  <si>
    <t>=NL("Sum","5802 Value Entry","150 Sales Amount (Expected)","41 Source Type",$C$5,"5 Source No.",$C3043,"4 Item Ledger Entry Type",$C$4,"2 Item No.","@@"&amp;$F3043,"3 Posting Date",U$9)+NL("Sum","5802 Value Entry","17 Sales Amount (Actual)","41 Source Type",$C$5,"5 Source no.",$C3043,"4 Item Ledger Entry Type",$C$4,"2 Item No.","@@"&amp;$F3043,"3 Posting Date",U$9)</t>
  </si>
  <si>
    <t>=-NL("Sum","5802 Value Entry","151 Cost Amount (Expected)","41 Source Type",$C$5,"5 Source No.",$C3043,"4 Item Ledger Entry Type",$C$4,"2 Item No.","@@"&amp;$F3043,"3 Posting Date",U$9)-NL("Sum","5802 Value Entry","43 Cost Amount (Actual)","41 Source Type",$C$5,"5 Source no.",$C3043,"4 Item Ledger Entry Type",$C$4,"2 Item No.","@@"&amp;$F3043,"3 Posting Date",U$9)</t>
  </si>
  <si>
    <t>=U3043-W3043</t>
  </si>
  <si>
    <t>=IF(U3043&lt;&gt;0,X3043/U3043,"")</t>
  </si>
  <si>
    <t>=NL("Sum","5802 Value Entry","150 Sales Amount (Expected)","41 Source Type",$C$5,"5 Source No.",$C3043,"4 Item Ledger Entry Type",$C$4,"2 Item No.","@@"&amp;$F3043,"3 Posting Date",Z$9)+NL("Sum","5802 Value Entry","17 Sales Amount (Actual)","41 Source Type",$C$5,"5 Source no.",$C3043,"4 Item Ledger Entry Type",$C$4,"2 Item No.","@@"&amp;$F3043,"3 Posting Date",Z$9)</t>
  </si>
  <si>
    <t>=-NL("Sum","5802 Value Entry","151 Cost Amount (Expected)","41 Source Type",$C$5,"5 Source No.",$C3043,"4 Item Ledger Entry Type",$C$4,"2 Item No.","@@"&amp;$F3043,"3 Posting Date",Z$9)-NL("Sum","5802 Value Entry","43 Cost Amount (Actual)","41 Source Type",$C$5,"5 Source no.",$C3043,"4 Item Ledger Entry Type",$C$4,"2 Item No.","@@"&amp;$F3043,"3 Posting Date",Z$9)</t>
  </si>
  <si>
    <t>=Z3043-AB3043</t>
  </si>
  <si>
    <t>=IF(Z3043&lt;&gt;0,AC3043/Z3043,"")</t>
  </si>
  <si>
    <t>=C3043</t>
  </si>
  <si>
    <t>=NL("Sum","5802 Value Entry","150 Sales Amount (Expected)","41 Source Type",$C$5,"5 Source No.",$C3044,"4 Item Ledger Entry Type",$C$4,"2 Item No.","@@"&amp;$F3044,"3 Posting Date",J$9)+NL("Sum","5802 Value Entry","17 Sales Amount (Actual)","41 Source Type",$C$5,"5 Source no.",$C3044,"4 Item Ledger Entry Type",$C$4,"2 Item No.","@@"&amp;$F3044,"3 Posting Date",J$9)</t>
  </si>
  <si>
    <t>=-NL("Sum","5802 Value Entry","151 Cost Amount (Expected)","41 Source Type",$C$5,"5 Source No.",$C3044,"4 Item Ledger Entry Type",$C$4,"2 Item No.","@@"&amp;$F3044,"3 Posting Date",J$9)-NL("Sum","5802 Value Entry","43 Cost Amount (Actual)","41 Source Type",$C$5,"5 Source no.",$C3044,"4 Item Ledger Entry Type",$C$4,"2 Item No.","@@"&amp;$F3044,"3 Posting Date",J$9)</t>
  </si>
  <si>
    <t>=J3044-L3044</t>
  </si>
  <si>
    <t>=IF(J3044&lt;&gt;0,M3044/J3044,"")</t>
  </si>
  <si>
    <t>=NL("Sum","5802 Value Entry","150 Sales Amount (Expected)","41 Source Type",$C$5,"5 Source No.",$C3044,"4 Item Ledger Entry Type",$C$4,"2 Item No.","@@"&amp;$F3044,"3 Posting Date",O$9)+NL("Sum","5802 Value Entry","17 Sales Amount (Actual)","41 Source Type",$C$5,"5 Source no.",$C3044,"4 Item Ledger Entry Type",$C$4,"2 Item No.","@@"&amp;$F3044,"3 Posting Date",O$9)</t>
  </si>
  <si>
    <t>=-NL("Sum","5802 Value Entry","151 Cost Amount (Expected)","41 Source Type",$C$5,"5 Source No.",$C3044,"4 Item Ledger Entry Type",$C$4,"2 Item No.","@@"&amp;$F3044,"3 Posting Date",O$9)-NL("Sum","5802 Value Entry","43 Cost Amount (Actual)","41 Source Type",$C$5,"5 Source no.",$C3044,"4 Item Ledger Entry Type",$C$4,"2 Item No.","@@"&amp;$F3044,"3 Posting Date",O$9)</t>
  </si>
  <si>
    <t>=O3044-Q3044</t>
  </si>
  <si>
    <t>=IF(O3044&lt;&gt;0,R3044/O3044,"")</t>
  </si>
  <si>
    <t>=NL("Sum","5802 Value Entry","150 Sales Amount (Expected)","41 Source Type",$C$5,"5 Source No.",$C3044,"4 Item Ledger Entry Type",$C$4,"2 Item No.","@@"&amp;$F3044,"3 Posting Date",U$9)+NL("Sum","5802 Value Entry","17 Sales Amount (Actual)","41 Source Type",$C$5,"5 Source no.",$C3044,"4 Item Ledger Entry Type",$C$4,"2 Item No.","@@"&amp;$F3044,"3 Posting Date",U$9)</t>
  </si>
  <si>
    <t>=-NL("Sum","5802 Value Entry","151 Cost Amount (Expected)","41 Source Type",$C$5,"5 Source No.",$C3044,"4 Item Ledger Entry Type",$C$4,"2 Item No.","@@"&amp;$F3044,"3 Posting Date",U$9)-NL("Sum","5802 Value Entry","43 Cost Amount (Actual)","41 Source Type",$C$5,"5 Source no.",$C3044,"4 Item Ledger Entry Type",$C$4,"2 Item No.","@@"&amp;$F3044,"3 Posting Date",U$9)</t>
  </si>
  <si>
    <t>=U3044-W3044</t>
  </si>
  <si>
    <t>=IF(U3044&lt;&gt;0,X3044/U3044,"")</t>
  </si>
  <si>
    <t>=NL("Sum","5802 Value Entry","150 Sales Amount (Expected)","41 Source Type",$C$5,"5 Source No.",$C3044,"4 Item Ledger Entry Type",$C$4,"2 Item No.","@@"&amp;$F3044,"3 Posting Date",Z$9)+NL("Sum","5802 Value Entry","17 Sales Amount (Actual)","41 Source Type",$C$5,"5 Source no.",$C3044,"4 Item Ledger Entry Type",$C$4,"2 Item No.","@@"&amp;$F3044,"3 Posting Date",Z$9)</t>
  </si>
  <si>
    <t>=-NL("Sum","5802 Value Entry","151 Cost Amount (Expected)","41 Source Type",$C$5,"5 Source No.",$C3044,"4 Item Ledger Entry Type",$C$4,"2 Item No.","@@"&amp;$F3044,"3 Posting Date",Z$9)-NL("Sum","5802 Value Entry","43 Cost Amount (Actual)","41 Source Type",$C$5,"5 Source no.",$C3044,"4 Item Ledger Entry Type",$C$4,"2 Item No.","@@"&amp;$F3044,"3 Posting Date",Z$9)</t>
  </si>
  <si>
    <t>=Z3044-AB3044</t>
  </si>
  <si>
    <t>=IF(Z3044&lt;&gt;0,AC3044/Z3044,"")</t>
  </si>
  <si>
    <t>=C3044</t>
  </si>
  <si>
    <t>=NL("Sum","5802 Value Entry","150 Sales Amount (Expected)","41 Source Type",$C$5,"5 Source No.",$C3045,"4 Item Ledger Entry Type",$C$4,"2 Item No.","@@"&amp;$F3045,"3 Posting Date",J$9)+NL("Sum","5802 Value Entry","17 Sales Amount (Actual)","41 Source Type",$C$5,"5 Source no.",$C3045,"4 Item Ledger Entry Type",$C$4,"2 Item No.","@@"&amp;$F3045,"3 Posting Date",J$9)</t>
  </si>
  <si>
    <t>=-NL("Sum","5802 Value Entry","151 Cost Amount (Expected)","41 Source Type",$C$5,"5 Source No.",$C3045,"4 Item Ledger Entry Type",$C$4,"2 Item No.","@@"&amp;$F3045,"3 Posting Date",J$9)-NL("Sum","5802 Value Entry","43 Cost Amount (Actual)","41 Source Type",$C$5,"5 Source no.",$C3045,"4 Item Ledger Entry Type",$C$4,"2 Item No.","@@"&amp;$F3045,"3 Posting Date",J$9)</t>
  </si>
  <si>
    <t>=J3045-L3045</t>
  </si>
  <si>
    <t>=IF(J3045&lt;&gt;0,M3045/J3045,"")</t>
  </si>
  <si>
    <t>=NL("Sum","5802 Value Entry","150 Sales Amount (Expected)","41 Source Type",$C$5,"5 Source No.",$C3045,"4 Item Ledger Entry Type",$C$4,"2 Item No.","@@"&amp;$F3045,"3 Posting Date",O$9)+NL("Sum","5802 Value Entry","17 Sales Amount (Actual)","41 Source Type",$C$5,"5 Source no.",$C3045,"4 Item Ledger Entry Type",$C$4,"2 Item No.","@@"&amp;$F3045,"3 Posting Date",O$9)</t>
  </si>
  <si>
    <t>=-NL("Sum","5802 Value Entry","151 Cost Amount (Expected)","41 Source Type",$C$5,"5 Source No.",$C3045,"4 Item Ledger Entry Type",$C$4,"2 Item No.","@@"&amp;$F3045,"3 Posting Date",O$9)-NL("Sum","5802 Value Entry","43 Cost Amount (Actual)","41 Source Type",$C$5,"5 Source no.",$C3045,"4 Item Ledger Entry Type",$C$4,"2 Item No.","@@"&amp;$F3045,"3 Posting Date",O$9)</t>
  </si>
  <si>
    <t>=O3045-Q3045</t>
  </si>
  <si>
    <t>=IF(O3045&lt;&gt;0,R3045/O3045,"")</t>
  </si>
  <si>
    <t>=NL("Sum","5802 Value Entry","150 Sales Amount (Expected)","41 Source Type",$C$5,"5 Source No.",$C3045,"4 Item Ledger Entry Type",$C$4,"2 Item No.","@@"&amp;$F3045,"3 Posting Date",U$9)+NL("Sum","5802 Value Entry","17 Sales Amount (Actual)","41 Source Type",$C$5,"5 Source no.",$C3045,"4 Item Ledger Entry Type",$C$4,"2 Item No.","@@"&amp;$F3045,"3 Posting Date",U$9)</t>
  </si>
  <si>
    <t>=-NL("Sum","5802 Value Entry","151 Cost Amount (Expected)","41 Source Type",$C$5,"5 Source No.",$C3045,"4 Item Ledger Entry Type",$C$4,"2 Item No.","@@"&amp;$F3045,"3 Posting Date",U$9)-NL("Sum","5802 Value Entry","43 Cost Amount (Actual)","41 Source Type",$C$5,"5 Source no.",$C3045,"4 Item Ledger Entry Type",$C$4,"2 Item No.","@@"&amp;$F3045,"3 Posting Date",U$9)</t>
  </si>
  <si>
    <t>=U3045-W3045</t>
  </si>
  <si>
    <t>=IF(U3045&lt;&gt;0,X3045/U3045,"")</t>
  </si>
  <si>
    <t>=NL("Sum","5802 Value Entry","150 Sales Amount (Expected)","41 Source Type",$C$5,"5 Source No.",$C3045,"4 Item Ledger Entry Type",$C$4,"2 Item No.","@@"&amp;$F3045,"3 Posting Date",Z$9)+NL("Sum","5802 Value Entry","17 Sales Amount (Actual)","41 Source Type",$C$5,"5 Source no.",$C3045,"4 Item Ledger Entry Type",$C$4,"2 Item No.","@@"&amp;$F3045,"3 Posting Date",Z$9)</t>
  </si>
  <si>
    <t>=-NL("Sum","5802 Value Entry","151 Cost Amount (Expected)","41 Source Type",$C$5,"5 Source No.",$C3045,"4 Item Ledger Entry Type",$C$4,"2 Item No.","@@"&amp;$F3045,"3 Posting Date",Z$9)-NL("Sum","5802 Value Entry","43 Cost Amount (Actual)","41 Source Type",$C$5,"5 Source no.",$C3045,"4 Item Ledger Entry Type",$C$4,"2 Item No.","@@"&amp;$F3045,"3 Posting Date",Z$9)</t>
  </si>
  <si>
    <t>=Z3045-AB3045</t>
  </si>
  <si>
    <t>=IF(Z3045&lt;&gt;0,AC3045/Z3045,"")</t>
  </si>
  <si>
    <t>=C3045</t>
  </si>
  <si>
    <t>=NL("Sum","5802 Value Entry","150 Sales Amount (Expected)","41 Source Type",$C$5,"5 Source No.",$C3046,"4 Item Ledger Entry Type",$C$4,"2 Item No.","@@"&amp;$F3046,"3 Posting Date",J$9)+NL("Sum","5802 Value Entry","17 Sales Amount (Actual)","41 Source Type",$C$5,"5 Source no.",$C3046,"4 Item Ledger Entry Type",$C$4,"2 Item No.","@@"&amp;$F3046,"3 Posting Date",J$9)</t>
  </si>
  <si>
    <t>=-NL("Sum","5802 Value Entry","151 Cost Amount (Expected)","41 Source Type",$C$5,"5 Source No.",$C3046,"4 Item Ledger Entry Type",$C$4,"2 Item No.","@@"&amp;$F3046,"3 Posting Date",J$9)-NL("Sum","5802 Value Entry","43 Cost Amount (Actual)","41 Source Type",$C$5,"5 Source no.",$C3046,"4 Item Ledger Entry Type",$C$4,"2 Item No.","@@"&amp;$F3046,"3 Posting Date",J$9)</t>
  </si>
  <si>
    <t>=J3046-L3046</t>
  </si>
  <si>
    <t>=IF(J3046&lt;&gt;0,M3046/J3046,"")</t>
  </si>
  <si>
    <t>=NL("Sum","5802 Value Entry","150 Sales Amount (Expected)","41 Source Type",$C$5,"5 Source No.",$C3046,"4 Item Ledger Entry Type",$C$4,"2 Item No.","@@"&amp;$F3046,"3 Posting Date",O$9)+NL("Sum","5802 Value Entry","17 Sales Amount (Actual)","41 Source Type",$C$5,"5 Source no.",$C3046,"4 Item Ledger Entry Type",$C$4,"2 Item No.","@@"&amp;$F3046,"3 Posting Date",O$9)</t>
  </si>
  <si>
    <t>=-NL("Sum","5802 Value Entry","151 Cost Amount (Expected)","41 Source Type",$C$5,"5 Source No.",$C3046,"4 Item Ledger Entry Type",$C$4,"2 Item No.","@@"&amp;$F3046,"3 Posting Date",O$9)-NL("Sum","5802 Value Entry","43 Cost Amount (Actual)","41 Source Type",$C$5,"5 Source no.",$C3046,"4 Item Ledger Entry Type",$C$4,"2 Item No.","@@"&amp;$F3046,"3 Posting Date",O$9)</t>
  </si>
  <si>
    <t>=O3046-Q3046</t>
  </si>
  <si>
    <t>=IF(O3046&lt;&gt;0,R3046/O3046,"")</t>
  </si>
  <si>
    <t>=NL("Sum","5802 Value Entry","150 Sales Amount (Expected)","41 Source Type",$C$5,"5 Source No.",$C3046,"4 Item Ledger Entry Type",$C$4,"2 Item No.","@@"&amp;$F3046,"3 Posting Date",U$9)+NL("Sum","5802 Value Entry","17 Sales Amount (Actual)","41 Source Type",$C$5,"5 Source no.",$C3046,"4 Item Ledger Entry Type",$C$4,"2 Item No.","@@"&amp;$F3046,"3 Posting Date",U$9)</t>
  </si>
  <si>
    <t>=-NL("Sum","5802 Value Entry","151 Cost Amount (Expected)","41 Source Type",$C$5,"5 Source No.",$C3046,"4 Item Ledger Entry Type",$C$4,"2 Item No.","@@"&amp;$F3046,"3 Posting Date",U$9)-NL("Sum","5802 Value Entry","43 Cost Amount (Actual)","41 Source Type",$C$5,"5 Source no.",$C3046,"4 Item Ledger Entry Type",$C$4,"2 Item No.","@@"&amp;$F3046,"3 Posting Date",U$9)</t>
  </si>
  <si>
    <t>=U3046-W3046</t>
  </si>
  <si>
    <t>=IF(U3046&lt;&gt;0,X3046/U3046,"")</t>
  </si>
  <si>
    <t>=NL("Sum","5802 Value Entry","150 Sales Amount (Expected)","41 Source Type",$C$5,"5 Source No.",$C3046,"4 Item Ledger Entry Type",$C$4,"2 Item No.","@@"&amp;$F3046,"3 Posting Date",Z$9)+NL("Sum","5802 Value Entry","17 Sales Amount (Actual)","41 Source Type",$C$5,"5 Source no.",$C3046,"4 Item Ledger Entry Type",$C$4,"2 Item No.","@@"&amp;$F3046,"3 Posting Date",Z$9)</t>
  </si>
  <si>
    <t>=-NL("Sum","5802 Value Entry","151 Cost Amount (Expected)","41 Source Type",$C$5,"5 Source No.",$C3046,"4 Item Ledger Entry Type",$C$4,"2 Item No.","@@"&amp;$F3046,"3 Posting Date",Z$9)-NL("Sum","5802 Value Entry","43 Cost Amount (Actual)","41 Source Type",$C$5,"5 Source no.",$C3046,"4 Item Ledger Entry Type",$C$4,"2 Item No.","@@"&amp;$F3046,"3 Posting Date",Z$9)</t>
  </si>
  <si>
    <t>=Z3046-AB3046</t>
  </si>
  <si>
    <t>=IF(Z3046&lt;&gt;0,AC3046/Z3046,"")</t>
  </si>
  <si>
    <t>=C3046</t>
  </si>
  <si>
    <t>=NL("Sum","5802 Value Entry","150 Sales Amount (Expected)","41 Source Type",$C$5,"5 Source No.",$C3047,"4 Item Ledger Entry Type",$C$4,"2 Item No.","@@"&amp;$F3047,"3 Posting Date",J$9)+NL("Sum","5802 Value Entry","17 Sales Amount (Actual)","41 Source Type",$C$5,"5 Source no.",$C3047,"4 Item Ledger Entry Type",$C$4,"2 Item No.","@@"&amp;$F3047,"3 Posting Date",J$9)</t>
  </si>
  <si>
    <t>=-NL("Sum","5802 Value Entry","151 Cost Amount (Expected)","41 Source Type",$C$5,"5 Source No.",$C3047,"4 Item Ledger Entry Type",$C$4,"2 Item No.","@@"&amp;$F3047,"3 Posting Date",J$9)-NL("Sum","5802 Value Entry","43 Cost Amount (Actual)","41 Source Type",$C$5,"5 Source no.",$C3047,"4 Item Ledger Entry Type",$C$4,"2 Item No.","@@"&amp;$F3047,"3 Posting Date",J$9)</t>
  </si>
  <si>
    <t>=J3047-L3047</t>
  </si>
  <si>
    <t>=IF(J3047&lt;&gt;0,M3047/J3047,"")</t>
  </si>
  <si>
    <t>=NL("Sum","5802 Value Entry","150 Sales Amount (Expected)","41 Source Type",$C$5,"5 Source No.",$C3047,"4 Item Ledger Entry Type",$C$4,"2 Item No.","@@"&amp;$F3047,"3 Posting Date",O$9)+NL("Sum","5802 Value Entry","17 Sales Amount (Actual)","41 Source Type",$C$5,"5 Source no.",$C3047,"4 Item Ledger Entry Type",$C$4,"2 Item No.","@@"&amp;$F3047,"3 Posting Date",O$9)</t>
  </si>
  <si>
    <t>=-NL("Sum","5802 Value Entry","151 Cost Amount (Expected)","41 Source Type",$C$5,"5 Source No.",$C3047,"4 Item Ledger Entry Type",$C$4,"2 Item No.","@@"&amp;$F3047,"3 Posting Date",O$9)-NL("Sum","5802 Value Entry","43 Cost Amount (Actual)","41 Source Type",$C$5,"5 Source no.",$C3047,"4 Item Ledger Entry Type",$C$4,"2 Item No.","@@"&amp;$F3047,"3 Posting Date",O$9)</t>
  </si>
  <si>
    <t>=O3047-Q3047</t>
  </si>
  <si>
    <t>=IF(O3047&lt;&gt;0,R3047/O3047,"")</t>
  </si>
  <si>
    <t>=NL("Sum","5802 Value Entry","150 Sales Amount (Expected)","41 Source Type",$C$5,"5 Source No.",$C3047,"4 Item Ledger Entry Type",$C$4,"2 Item No.","@@"&amp;$F3047,"3 Posting Date",U$9)+NL("Sum","5802 Value Entry","17 Sales Amount (Actual)","41 Source Type",$C$5,"5 Source no.",$C3047,"4 Item Ledger Entry Type",$C$4,"2 Item No.","@@"&amp;$F3047,"3 Posting Date",U$9)</t>
  </si>
  <si>
    <t>=-NL("Sum","5802 Value Entry","151 Cost Amount (Expected)","41 Source Type",$C$5,"5 Source No.",$C3047,"4 Item Ledger Entry Type",$C$4,"2 Item No.","@@"&amp;$F3047,"3 Posting Date",U$9)-NL("Sum","5802 Value Entry","43 Cost Amount (Actual)","41 Source Type",$C$5,"5 Source no.",$C3047,"4 Item Ledger Entry Type",$C$4,"2 Item No.","@@"&amp;$F3047,"3 Posting Date",U$9)</t>
  </si>
  <si>
    <t>=U3047-W3047</t>
  </si>
  <si>
    <t>=IF(U3047&lt;&gt;0,X3047/U3047,"")</t>
  </si>
  <si>
    <t>=NL("Sum","5802 Value Entry","150 Sales Amount (Expected)","41 Source Type",$C$5,"5 Source No.",$C3047,"4 Item Ledger Entry Type",$C$4,"2 Item No.","@@"&amp;$F3047,"3 Posting Date",Z$9)+NL("Sum","5802 Value Entry","17 Sales Amount (Actual)","41 Source Type",$C$5,"5 Source no.",$C3047,"4 Item Ledger Entry Type",$C$4,"2 Item No.","@@"&amp;$F3047,"3 Posting Date",Z$9)</t>
  </si>
  <si>
    <t>=-NL("Sum","5802 Value Entry","151 Cost Amount (Expected)","41 Source Type",$C$5,"5 Source No.",$C3047,"4 Item Ledger Entry Type",$C$4,"2 Item No.","@@"&amp;$F3047,"3 Posting Date",Z$9)-NL("Sum","5802 Value Entry","43 Cost Amount (Actual)","41 Source Type",$C$5,"5 Source no.",$C3047,"4 Item Ledger Entry Type",$C$4,"2 Item No.","@@"&amp;$F3047,"3 Posting Date",Z$9)</t>
  </si>
  <si>
    <t>=Z3047-AB3047</t>
  </si>
  <si>
    <t>=IF(Z3047&lt;&gt;0,AC3047/Z3047,"")</t>
  </si>
  <si>
    <t>=C3047</t>
  </si>
  <si>
    <t>=NL("Sum","5802 Value Entry","150 Sales Amount (Expected)","41 Source Type",$C$5,"5 Source No.",$C3048,"4 Item Ledger Entry Type",$C$4,"2 Item No.","@@"&amp;$F3048,"3 Posting Date",J$9)+NL("Sum","5802 Value Entry","17 Sales Amount (Actual)","41 Source Type",$C$5,"5 Source no.",$C3048,"4 Item Ledger Entry Type",$C$4,"2 Item No.","@@"&amp;$F3048,"3 Posting Date",J$9)</t>
  </si>
  <si>
    <t>=-NL("Sum","5802 Value Entry","151 Cost Amount (Expected)","41 Source Type",$C$5,"5 Source No.",$C3048,"4 Item Ledger Entry Type",$C$4,"2 Item No.","@@"&amp;$F3048,"3 Posting Date",J$9)-NL("Sum","5802 Value Entry","43 Cost Amount (Actual)","41 Source Type",$C$5,"5 Source no.",$C3048,"4 Item Ledger Entry Type",$C$4,"2 Item No.","@@"&amp;$F3048,"3 Posting Date",J$9)</t>
  </si>
  <si>
    <t>=J3048-L3048</t>
  </si>
  <si>
    <t>=IF(J3048&lt;&gt;0,M3048/J3048,"")</t>
  </si>
  <si>
    <t>=NL("Sum","5802 Value Entry","150 Sales Amount (Expected)","41 Source Type",$C$5,"5 Source No.",$C3048,"4 Item Ledger Entry Type",$C$4,"2 Item No.","@@"&amp;$F3048,"3 Posting Date",O$9)+NL("Sum","5802 Value Entry","17 Sales Amount (Actual)","41 Source Type",$C$5,"5 Source no.",$C3048,"4 Item Ledger Entry Type",$C$4,"2 Item No.","@@"&amp;$F3048,"3 Posting Date",O$9)</t>
  </si>
  <si>
    <t>=-NL("Sum","5802 Value Entry","151 Cost Amount (Expected)","41 Source Type",$C$5,"5 Source No.",$C3048,"4 Item Ledger Entry Type",$C$4,"2 Item No.","@@"&amp;$F3048,"3 Posting Date",O$9)-NL("Sum","5802 Value Entry","43 Cost Amount (Actual)","41 Source Type",$C$5,"5 Source no.",$C3048,"4 Item Ledger Entry Type",$C$4,"2 Item No.","@@"&amp;$F3048,"3 Posting Date",O$9)</t>
  </si>
  <si>
    <t>=O3048-Q3048</t>
  </si>
  <si>
    <t>=IF(O3048&lt;&gt;0,R3048/O3048,"")</t>
  </si>
  <si>
    <t>=NL("Sum","5802 Value Entry","150 Sales Amount (Expected)","41 Source Type",$C$5,"5 Source No.",$C3048,"4 Item Ledger Entry Type",$C$4,"2 Item No.","@@"&amp;$F3048,"3 Posting Date",U$9)+NL("Sum","5802 Value Entry","17 Sales Amount (Actual)","41 Source Type",$C$5,"5 Source no.",$C3048,"4 Item Ledger Entry Type",$C$4,"2 Item No.","@@"&amp;$F3048,"3 Posting Date",U$9)</t>
  </si>
  <si>
    <t>=-NL("Sum","5802 Value Entry","151 Cost Amount (Expected)","41 Source Type",$C$5,"5 Source No.",$C3048,"4 Item Ledger Entry Type",$C$4,"2 Item No.","@@"&amp;$F3048,"3 Posting Date",U$9)-NL("Sum","5802 Value Entry","43 Cost Amount (Actual)","41 Source Type",$C$5,"5 Source no.",$C3048,"4 Item Ledger Entry Type",$C$4,"2 Item No.","@@"&amp;$F3048,"3 Posting Date",U$9)</t>
  </si>
  <si>
    <t>=U3048-W3048</t>
  </si>
  <si>
    <t>=IF(U3048&lt;&gt;0,X3048/U3048,"")</t>
  </si>
  <si>
    <t>=NL("Sum","5802 Value Entry","150 Sales Amount (Expected)","41 Source Type",$C$5,"5 Source No.",$C3048,"4 Item Ledger Entry Type",$C$4,"2 Item No.","@@"&amp;$F3048,"3 Posting Date",Z$9)+NL("Sum","5802 Value Entry","17 Sales Amount (Actual)","41 Source Type",$C$5,"5 Source no.",$C3048,"4 Item Ledger Entry Type",$C$4,"2 Item No.","@@"&amp;$F3048,"3 Posting Date",Z$9)</t>
  </si>
  <si>
    <t>=-NL("Sum","5802 Value Entry","151 Cost Amount (Expected)","41 Source Type",$C$5,"5 Source No.",$C3048,"4 Item Ledger Entry Type",$C$4,"2 Item No.","@@"&amp;$F3048,"3 Posting Date",Z$9)-NL("Sum","5802 Value Entry","43 Cost Amount (Actual)","41 Source Type",$C$5,"5 Source no.",$C3048,"4 Item Ledger Entry Type",$C$4,"2 Item No.","@@"&amp;$F3048,"3 Posting Date",Z$9)</t>
  </si>
  <si>
    <t>=Z3048-AB3048</t>
  </si>
  <si>
    <t>=IF(Z3048&lt;&gt;0,AC3048/Z3048,"")</t>
  </si>
  <si>
    <t>=C3049</t>
  </si>
  <si>
    <t>=J3050-L3050</t>
  </si>
  <si>
    <t>=IF(J3050&lt;&gt;0,M3050/J3050,"")</t>
  </si>
  <si>
    <t>=O3050-Q3050</t>
  </si>
  <si>
    <t>=IF(O3050&lt;&gt;0,R3050/O3050,"")</t>
  </si>
  <si>
    <t>=U3050-W3050</t>
  </si>
  <si>
    <t>=IF(U3050&lt;&gt;0,X3050/U3050,"")</t>
  </si>
  <si>
    <t>=Z3050-AB3050</t>
  </si>
  <si>
    <t>=IF(Z3050&lt;&gt;0,AC3050/Z3050,"")</t>
  </si>
  <si>
    <t>=C3052</t>
  </si>
  <si>
    <t>=C3053</t>
  </si>
  <si>
    <t>=NL("Sum","5802 Value Entry","150 Sales Amount (Expected)","41 Source Type",$C$5,"5 Source No.",$C3054,"4 Item Ledger Entry Type",$C$4,"2 Item No.","@@"&amp;$F3054,"3 Posting Date",J$9)+NL("Sum","5802 Value Entry","17 Sales Amount (Actual)","41 Source Type",$C$5,"5 Source no.",$C3054,"4 Item Ledger Entry Type",$C$4,"2 Item No.","@@"&amp;$F3054,"3 Posting Date",J$9)</t>
  </si>
  <si>
    <t>=-NL("Sum","5802 Value Entry","151 Cost Amount (Expected)","41 Source Type",$C$5,"5 Source No.",$C3054,"4 Item Ledger Entry Type",$C$4,"2 Item No.","@@"&amp;$F3054,"3 Posting Date",J$9)-NL("Sum","5802 Value Entry","43 Cost Amount (Actual)","41 Source Type",$C$5,"5 Source no.",$C3054,"4 Item Ledger Entry Type",$C$4,"2 Item No.","@@"&amp;$F3054,"3 Posting Date",J$9)</t>
  </si>
  <si>
    <t>=J3054-L3054</t>
  </si>
  <si>
    <t>=IF(J3054&lt;&gt;0,M3054/J3054,"")</t>
  </si>
  <si>
    <t>=NL("Sum","5802 Value Entry","150 Sales Amount (Expected)","41 Source Type",$C$5,"5 Source No.",$C3054,"4 Item Ledger Entry Type",$C$4,"2 Item No.","@@"&amp;$F3054,"3 Posting Date",O$9)+NL("Sum","5802 Value Entry","17 Sales Amount (Actual)","41 Source Type",$C$5,"5 Source no.",$C3054,"4 Item Ledger Entry Type",$C$4,"2 Item No.","@@"&amp;$F3054,"3 Posting Date",O$9)</t>
  </si>
  <si>
    <t>=-NL("Sum","5802 Value Entry","151 Cost Amount (Expected)","41 Source Type",$C$5,"5 Source No.",$C3054,"4 Item Ledger Entry Type",$C$4,"2 Item No.","@@"&amp;$F3054,"3 Posting Date",O$9)-NL("Sum","5802 Value Entry","43 Cost Amount (Actual)","41 Source Type",$C$5,"5 Source no.",$C3054,"4 Item Ledger Entry Type",$C$4,"2 Item No.","@@"&amp;$F3054,"3 Posting Date",O$9)</t>
  </si>
  <si>
    <t>=O3054-Q3054</t>
  </si>
  <si>
    <t>=IF(O3054&lt;&gt;0,R3054/O3054,"")</t>
  </si>
  <si>
    <t>=NL("Sum","5802 Value Entry","150 Sales Amount (Expected)","41 Source Type",$C$5,"5 Source No.",$C3054,"4 Item Ledger Entry Type",$C$4,"2 Item No.","@@"&amp;$F3054,"3 Posting Date",U$9)+NL("Sum","5802 Value Entry","17 Sales Amount (Actual)","41 Source Type",$C$5,"5 Source no.",$C3054,"4 Item Ledger Entry Type",$C$4,"2 Item No.","@@"&amp;$F3054,"3 Posting Date",U$9)</t>
  </si>
  <si>
    <t>=-NL("Sum","5802 Value Entry","151 Cost Amount (Expected)","41 Source Type",$C$5,"5 Source No.",$C3054,"4 Item Ledger Entry Type",$C$4,"2 Item No.","@@"&amp;$F3054,"3 Posting Date",U$9)-NL("Sum","5802 Value Entry","43 Cost Amount (Actual)","41 Source Type",$C$5,"5 Source no.",$C3054,"4 Item Ledger Entry Type",$C$4,"2 Item No.","@@"&amp;$F3054,"3 Posting Date",U$9)</t>
  </si>
  <si>
    <t>=U3054-W3054</t>
  </si>
  <si>
    <t>=IF(U3054&lt;&gt;0,X3054/U3054,"")</t>
  </si>
  <si>
    <t>=NL("Sum","5802 Value Entry","150 Sales Amount (Expected)","41 Source Type",$C$5,"5 Source No.",$C3054,"4 Item Ledger Entry Type",$C$4,"2 Item No.","@@"&amp;$F3054,"3 Posting Date",Z$9)+NL("Sum","5802 Value Entry","17 Sales Amount (Actual)","41 Source Type",$C$5,"5 Source no.",$C3054,"4 Item Ledger Entry Type",$C$4,"2 Item No.","@@"&amp;$F3054,"3 Posting Date",Z$9)</t>
  </si>
  <si>
    <t>=-NL("Sum","5802 Value Entry","151 Cost Amount (Expected)","41 Source Type",$C$5,"5 Source No.",$C3054,"4 Item Ledger Entry Type",$C$4,"2 Item No.","@@"&amp;$F3054,"3 Posting Date",Z$9)-NL("Sum","5802 Value Entry","43 Cost Amount (Actual)","41 Source Type",$C$5,"5 Source no.",$C3054,"4 Item Ledger Entry Type",$C$4,"2 Item No.","@@"&amp;$F3054,"3 Posting Date",Z$9)</t>
  </si>
  <si>
    <t>=Z3054-AB3054</t>
  </si>
  <si>
    <t>=IF(Z3054&lt;&gt;0,AC3054/Z3054,"")</t>
  </si>
  <si>
    <t>=C3054</t>
  </si>
  <si>
    <t>=NL("Sum","5802 Value Entry","150 Sales Amount (Expected)","41 Source Type",$C$5,"5 Source No.",$C3055,"4 Item Ledger Entry Type",$C$4,"2 Item No.","@@"&amp;$F3055,"3 Posting Date",J$9)+NL("Sum","5802 Value Entry","17 Sales Amount (Actual)","41 Source Type",$C$5,"5 Source no.",$C3055,"4 Item Ledger Entry Type",$C$4,"2 Item No.","@@"&amp;$F3055,"3 Posting Date",J$9)</t>
  </si>
  <si>
    <t>=-NL("Sum","5802 Value Entry","151 Cost Amount (Expected)","41 Source Type",$C$5,"5 Source No.",$C3055,"4 Item Ledger Entry Type",$C$4,"2 Item No.","@@"&amp;$F3055,"3 Posting Date",J$9)-NL("Sum","5802 Value Entry","43 Cost Amount (Actual)","41 Source Type",$C$5,"5 Source no.",$C3055,"4 Item Ledger Entry Type",$C$4,"2 Item No.","@@"&amp;$F3055,"3 Posting Date",J$9)</t>
  </si>
  <si>
    <t>=J3055-L3055</t>
  </si>
  <si>
    <t>=IF(J3055&lt;&gt;0,M3055/J3055,"")</t>
  </si>
  <si>
    <t>=NL("Sum","5802 Value Entry","150 Sales Amount (Expected)","41 Source Type",$C$5,"5 Source No.",$C3055,"4 Item Ledger Entry Type",$C$4,"2 Item No.","@@"&amp;$F3055,"3 Posting Date",O$9)+NL("Sum","5802 Value Entry","17 Sales Amount (Actual)","41 Source Type",$C$5,"5 Source no.",$C3055,"4 Item Ledger Entry Type",$C$4,"2 Item No.","@@"&amp;$F3055,"3 Posting Date",O$9)</t>
  </si>
  <si>
    <t>=-NL("Sum","5802 Value Entry","151 Cost Amount (Expected)","41 Source Type",$C$5,"5 Source No.",$C3055,"4 Item Ledger Entry Type",$C$4,"2 Item No.","@@"&amp;$F3055,"3 Posting Date",O$9)-NL("Sum","5802 Value Entry","43 Cost Amount (Actual)","41 Source Type",$C$5,"5 Source no.",$C3055,"4 Item Ledger Entry Type",$C$4,"2 Item No.","@@"&amp;$F3055,"3 Posting Date",O$9)</t>
  </si>
  <si>
    <t>=O3055-Q3055</t>
  </si>
  <si>
    <t>=IF(O3055&lt;&gt;0,R3055/O3055,"")</t>
  </si>
  <si>
    <t>=NL("Sum","5802 Value Entry","150 Sales Amount (Expected)","41 Source Type",$C$5,"5 Source No.",$C3055,"4 Item Ledger Entry Type",$C$4,"2 Item No.","@@"&amp;$F3055,"3 Posting Date",U$9)+NL("Sum","5802 Value Entry","17 Sales Amount (Actual)","41 Source Type",$C$5,"5 Source no.",$C3055,"4 Item Ledger Entry Type",$C$4,"2 Item No.","@@"&amp;$F3055,"3 Posting Date",U$9)</t>
  </si>
  <si>
    <t>=-NL("Sum","5802 Value Entry","151 Cost Amount (Expected)","41 Source Type",$C$5,"5 Source No.",$C3055,"4 Item Ledger Entry Type",$C$4,"2 Item No.","@@"&amp;$F3055,"3 Posting Date",U$9)-NL("Sum","5802 Value Entry","43 Cost Amount (Actual)","41 Source Type",$C$5,"5 Source no.",$C3055,"4 Item Ledger Entry Type",$C$4,"2 Item No.","@@"&amp;$F3055,"3 Posting Date",U$9)</t>
  </si>
  <si>
    <t>=U3055-W3055</t>
  </si>
  <si>
    <t>=IF(U3055&lt;&gt;0,X3055/U3055,"")</t>
  </si>
  <si>
    <t>=NL("Sum","5802 Value Entry","150 Sales Amount (Expected)","41 Source Type",$C$5,"5 Source No.",$C3055,"4 Item Ledger Entry Type",$C$4,"2 Item No.","@@"&amp;$F3055,"3 Posting Date",Z$9)+NL("Sum","5802 Value Entry","17 Sales Amount (Actual)","41 Source Type",$C$5,"5 Source no.",$C3055,"4 Item Ledger Entry Type",$C$4,"2 Item No.","@@"&amp;$F3055,"3 Posting Date",Z$9)</t>
  </si>
  <si>
    <t>=-NL("Sum","5802 Value Entry","151 Cost Amount (Expected)","41 Source Type",$C$5,"5 Source No.",$C3055,"4 Item Ledger Entry Type",$C$4,"2 Item No.","@@"&amp;$F3055,"3 Posting Date",Z$9)-NL("Sum","5802 Value Entry","43 Cost Amount (Actual)","41 Source Type",$C$5,"5 Source no.",$C3055,"4 Item Ledger Entry Type",$C$4,"2 Item No.","@@"&amp;$F3055,"3 Posting Date",Z$9)</t>
  </si>
  <si>
    <t>=Z3055-AB3055</t>
  </si>
  <si>
    <t>=IF(Z3055&lt;&gt;0,AC3055/Z3055,"")</t>
  </si>
  <si>
    <t>=C3055</t>
  </si>
  <si>
    <t>=NL("Sum","5802 Value Entry","150 Sales Amount (Expected)","41 Source Type",$C$5,"5 Source No.",$C3056,"4 Item Ledger Entry Type",$C$4,"2 Item No.","@@"&amp;$F3056,"3 Posting Date",J$9)+NL("Sum","5802 Value Entry","17 Sales Amount (Actual)","41 Source Type",$C$5,"5 Source no.",$C3056,"4 Item Ledger Entry Type",$C$4,"2 Item No.","@@"&amp;$F3056,"3 Posting Date",J$9)</t>
  </si>
  <si>
    <t>=-NL("Sum","5802 Value Entry","151 Cost Amount (Expected)","41 Source Type",$C$5,"5 Source No.",$C3056,"4 Item Ledger Entry Type",$C$4,"2 Item No.","@@"&amp;$F3056,"3 Posting Date",J$9)-NL("Sum","5802 Value Entry","43 Cost Amount (Actual)","41 Source Type",$C$5,"5 Source no.",$C3056,"4 Item Ledger Entry Type",$C$4,"2 Item No.","@@"&amp;$F3056,"3 Posting Date",J$9)</t>
  </si>
  <si>
    <t>=J3056-L3056</t>
  </si>
  <si>
    <t>=IF(J3056&lt;&gt;0,M3056/J3056,"")</t>
  </si>
  <si>
    <t>=NL("Sum","5802 Value Entry","150 Sales Amount (Expected)","41 Source Type",$C$5,"5 Source No.",$C3056,"4 Item Ledger Entry Type",$C$4,"2 Item No.","@@"&amp;$F3056,"3 Posting Date",O$9)+NL("Sum","5802 Value Entry","17 Sales Amount (Actual)","41 Source Type",$C$5,"5 Source no.",$C3056,"4 Item Ledger Entry Type",$C$4,"2 Item No.","@@"&amp;$F3056,"3 Posting Date",O$9)</t>
  </si>
  <si>
    <t>=-NL("Sum","5802 Value Entry","151 Cost Amount (Expected)","41 Source Type",$C$5,"5 Source No.",$C3056,"4 Item Ledger Entry Type",$C$4,"2 Item No.","@@"&amp;$F3056,"3 Posting Date",O$9)-NL("Sum","5802 Value Entry","43 Cost Amount (Actual)","41 Source Type",$C$5,"5 Source no.",$C3056,"4 Item Ledger Entry Type",$C$4,"2 Item No.","@@"&amp;$F3056,"3 Posting Date",O$9)</t>
  </si>
  <si>
    <t>=O3056-Q3056</t>
  </si>
  <si>
    <t>=IF(O3056&lt;&gt;0,R3056/O3056,"")</t>
  </si>
  <si>
    <t>=NL("Sum","5802 Value Entry","150 Sales Amount (Expected)","41 Source Type",$C$5,"5 Source No.",$C3056,"4 Item Ledger Entry Type",$C$4,"2 Item No.","@@"&amp;$F3056,"3 Posting Date",U$9)+NL("Sum","5802 Value Entry","17 Sales Amount (Actual)","41 Source Type",$C$5,"5 Source no.",$C3056,"4 Item Ledger Entry Type",$C$4,"2 Item No.","@@"&amp;$F3056,"3 Posting Date",U$9)</t>
  </si>
  <si>
    <t>=-NL("Sum","5802 Value Entry","151 Cost Amount (Expected)","41 Source Type",$C$5,"5 Source No.",$C3056,"4 Item Ledger Entry Type",$C$4,"2 Item No.","@@"&amp;$F3056,"3 Posting Date",U$9)-NL("Sum","5802 Value Entry","43 Cost Amount (Actual)","41 Source Type",$C$5,"5 Source no.",$C3056,"4 Item Ledger Entry Type",$C$4,"2 Item No.","@@"&amp;$F3056,"3 Posting Date",U$9)</t>
  </si>
  <si>
    <t>=U3056-W3056</t>
  </si>
  <si>
    <t>=IF(U3056&lt;&gt;0,X3056/U3056,"")</t>
  </si>
  <si>
    <t>=NL("Sum","5802 Value Entry","150 Sales Amount (Expected)","41 Source Type",$C$5,"5 Source No.",$C3056,"4 Item Ledger Entry Type",$C$4,"2 Item No.","@@"&amp;$F3056,"3 Posting Date",Z$9)+NL("Sum","5802 Value Entry","17 Sales Amount (Actual)","41 Source Type",$C$5,"5 Source no.",$C3056,"4 Item Ledger Entry Type",$C$4,"2 Item No.","@@"&amp;$F3056,"3 Posting Date",Z$9)</t>
  </si>
  <si>
    <t>=-NL("Sum","5802 Value Entry","151 Cost Amount (Expected)","41 Source Type",$C$5,"5 Source No.",$C3056,"4 Item Ledger Entry Type",$C$4,"2 Item No.","@@"&amp;$F3056,"3 Posting Date",Z$9)-NL("Sum","5802 Value Entry","43 Cost Amount (Actual)","41 Source Type",$C$5,"5 Source no.",$C3056,"4 Item Ledger Entry Type",$C$4,"2 Item No.","@@"&amp;$F3056,"3 Posting Date",Z$9)</t>
  </si>
  <si>
    <t>=Z3056-AB3056</t>
  </si>
  <si>
    <t>=IF(Z3056&lt;&gt;0,AC3056/Z3056,"")</t>
  </si>
  <si>
    <t>=C3056</t>
  </si>
  <si>
    <t>=NL("Sum","5802 Value Entry","150 Sales Amount (Expected)","41 Source Type",$C$5,"5 Source No.",$C3057,"4 Item Ledger Entry Type",$C$4,"2 Item No.","@@"&amp;$F3057,"3 Posting Date",J$9)+NL("Sum","5802 Value Entry","17 Sales Amount (Actual)","41 Source Type",$C$5,"5 Source no.",$C3057,"4 Item Ledger Entry Type",$C$4,"2 Item No.","@@"&amp;$F3057,"3 Posting Date",J$9)</t>
  </si>
  <si>
    <t>=-NL("Sum","5802 Value Entry","151 Cost Amount (Expected)","41 Source Type",$C$5,"5 Source No.",$C3057,"4 Item Ledger Entry Type",$C$4,"2 Item No.","@@"&amp;$F3057,"3 Posting Date",J$9)-NL("Sum","5802 Value Entry","43 Cost Amount (Actual)","41 Source Type",$C$5,"5 Source no.",$C3057,"4 Item Ledger Entry Type",$C$4,"2 Item No.","@@"&amp;$F3057,"3 Posting Date",J$9)</t>
  </si>
  <si>
    <t>=J3057-L3057</t>
  </si>
  <si>
    <t>=IF(J3057&lt;&gt;0,M3057/J3057,"")</t>
  </si>
  <si>
    <t>=NL("Sum","5802 Value Entry","150 Sales Amount (Expected)","41 Source Type",$C$5,"5 Source No.",$C3057,"4 Item Ledger Entry Type",$C$4,"2 Item No.","@@"&amp;$F3057,"3 Posting Date",O$9)+NL("Sum","5802 Value Entry","17 Sales Amount (Actual)","41 Source Type",$C$5,"5 Source no.",$C3057,"4 Item Ledger Entry Type",$C$4,"2 Item No.","@@"&amp;$F3057,"3 Posting Date",O$9)</t>
  </si>
  <si>
    <t>=-NL("Sum","5802 Value Entry","151 Cost Amount (Expected)","41 Source Type",$C$5,"5 Source No.",$C3057,"4 Item Ledger Entry Type",$C$4,"2 Item No.","@@"&amp;$F3057,"3 Posting Date",O$9)-NL("Sum","5802 Value Entry","43 Cost Amount (Actual)","41 Source Type",$C$5,"5 Source no.",$C3057,"4 Item Ledger Entry Type",$C$4,"2 Item No.","@@"&amp;$F3057,"3 Posting Date",O$9)</t>
  </si>
  <si>
    <t>=O3057-Q3057</t>
  </si>
  <si>
    <t>=IF(O3057&lt;&gt;0,R3057/O3057,"")</t>
  </si>
  <si>
    <t>=NL("Sum","5802 Value Entry","150 Sales Amount (Expected)","41 Source Type",$C$5,"5 Source No.",$C3057,"4 Item Ledger Entry Type",$C$4,"2 Item No.","@@"&amp;$F3057,"3 Posting Date",U$9)+NL("Sum","5802 Value Entry","17 Sales Amount (Actual)","41 Source Type",$C$5,"5 Source no.",$C3057,"4 Item Ledger Entry Type",$C$4,"2 Item No.","@@"&amp;$F3057,"3 Posting Date",U$9)</t>
  </si>
  <si>
    <t>=-NL("Sum","5802 Value Entry","151 Cost Amount (Expected)","41 Source Type",$C$5,"5 Source No.",$C3057,"4 Item Ledger Entry Type",$C$4,"2 Item No.","@@"&amp;$F3057,"3 Posting Date",U$9)-NL("Sum","5802 Value Entry","43 Cost Amount (Actual)","41 Source Type",$C$5,"5 Source no.",$C3057,"4 Item Ledger Entry Type",$C$4,"2 Item No.","@@"&amp;$F3057,"3 Posting Date",U$9)</t>
  </si>
  <si>
    <t>=U3057-W3057</t>
  </si>
  <si>
    <t>=IF(U3057&lt;&gt;0,X3057/U3057,"")</t>
  </si>
  <si>
    <t>=NL("Sum","5802 Value Entry","150 Sales Amount (Expected)","41 Source Type",$C$5,"5 Source No.",$C3057,"4 Item Ledger Entry Type",$C$4,"2 Item No.","@@"&amp;$F3057,"3 Posting Date",Z$9)+NL("Sum","5802 Value Entry","17 Sales Amount (Actual)","41 Source Type",$C$5,"5 Source no.",$C3057,"4 Item Ledger Entry Type",$C$4,"2 Item No.","@@"&amp;$F3057,"3 Posting Date",Z$9)</t>
  </si>
  <si>
    <t>=-NL("Sum","5802 Value Entry","151 Cost Amount (Expected)","41 Source Type",$C$5,"5 Source No.",$C3057,"4 Item Ledger Entry Type",$C$4,"2 Item No.","@@"&amp;$F3057,"3 Posting Date",Z$9)-NL("Sum","5802 Value Entry","43 Cost Amount (Actual)","41 Source Type",$C$5,"5 Source no.",$C3057,"4 Item Ledger Entry Type",$C$4,"2 Item No.","@@"&amp;$F3057,"3 Posting Date",Z$9)</t>
  </si>
  <si>
    <t>=Z3057-AB3057</t>
  </si>
  <si>
    <t>=IF(Z3057&lt;&gt;0,AC3057/Z3057,"")</t>
  </si>
  <si>
    <t>=C3057</t>
  </si>
  <si>
    <t>=NL("Sum","5802 Value Entry","150 Sales Amount (Expected)","41 Source Type",$C$5,"5 Source No.",$C3058,"4 Item Ledger Entry Type",$C$4,"2 Item No.","@@"&amp;$F3058,"3 Posting Date",J$9)+NL("Sum","5802 Value Entry","17 Sales Amount (Actual)","41 Source Type",$C$5,"5 Source no.",$C3058,"4 Item Ledger Entry Type",$C$4,"2 Item No.","@@"&amp;$F3058,"3 Posting Date",J$9)</t>
  </si>
  <si>
    <t>=-NL("Sum","5802 Value Entry","151 Cost Amount (Expected)","41 Source Type",$C$5,"5 Source No.",$C3058,"4 Item Ledger Entry Type",$C$4,"2 Item No.","@@"&amp;$F3058,"3 Posting Date",J$9)-NL("Sum","5802 Value Entry","43 Cost Amount (Actual)","41 Source Type",$C$5,"5 Source no.",$C3058,"4 Item Ledger Entry Type",$C$4,"2 Item No.","@@"&amp;$F3058,"3 Posting Date",J$9)</t>
  </si>
  <si>
    <t>=J3058-L3058</t>
  </si>
  <si>
    <t>=IF(J3058&lt;&gt;0,M3058/J3058,"")</t>
  </si>
  <si>
    <t>=NL("Sum","5802 Value Entry","150 Sales Amount (Expected)","41 Source Type",$C$5,"5 Source No.",$C3058,"4 Item Ledger Entry Type",$C$4,"2 Item No.","@@"&amp;$F3058,"3 Posting Date",O$9)+NL("Sum","5802 Value Entry","17 Sales Amount (Actual)","41 Source Type",$C$5,"5 Source no.",$C3058,"4 Item Ledger Entry Type",$C$4,"2 Item No.","@@"&amp;$F3058,"3 Posting Date",O$9)</t>
  </si>
  <si>
    <t>=-NL("Sum","5802 Value Entry","151 Cost Amount (Expected)","41 Source Type",$C$5,"5 Source No.",$C3058,"4 Item Ledger Entry Type",$C$4,"2 Item No.","@@"&amp;$F3058,"3 Posting Date",O$9)-NL("Sum","5802 Value Entry","43 Cost Amount (Actual)","41 Source Type",$C$5,"5 Source no.",$C3058,"4 Item Ledger Entry Type",$C$4,"2 Item No.","@@"&amp;$F3058,"3 Posting Date",O$9)</t>
  </si>
  <si>
    <t>=O3058-Q3058</t>
  </si>
  <si>
    <t>=IF(O3058&lt;&gt;0,R3058/O3058,"")</t>
  </si>
  <si>
    <t>=NL("Sum","5802 Value Entry","150 Sales Amount (Expected)","41 Source Type",$C$5,"5 Source No.",$C3058,"4 Item Ledger Entry Type",$C$4,"2 Item No.","@@"&amp;$F3058,"3 Posting Date",U$9)+NL("Sum","5802 Value Entry","17 Sales Amount (Actual)","41 Source Type",$C$5,"5 Source no.",$C3058,"4 Item Ledger Entry Type",$C$4,"2 Item No.","@@"&amp;$F3058,"3 Posting Date",U$9)</t>
  </si>
  <si>
    <t>=-NL("Sum","5802 Value Entry","151 Cost Amount (Expected)","41 Source Type",$C$5,"5 Source No.",$C3058,"4 Item Ledger Entry Type",$C$4,"2 Item No.","@@"&amp;$F3058,"3 Posting Date",U$9)-NL("Sum","5802 Value Entry","43 Cost Amount (Actual)","41 Source Type",$C$5,"5 Source no.",$C3058,"4 Item Ledger Entry Type",$C$4,"2 Item No.","@@"&amp;$F3058,"3 Posting Date",U$9)</t>
  </si>
  <si>
    <t>=U3058-W3058</t>
  </si>
  <si>
    <t>=IF(U3058&lt;&gt;0,X3058/U3058,"")</t>
  </si>
  <si>
    <t>=NL("Sum","5802 Value Entry","150 Sales Amount (Expected)","41 Source Type",$C$5,"5 Source No.",$C3058,"4 Item Ledger Entry Type",$C$4,"2 Item No.","@@"&amp;$F3058,"3 Posting Date",Z$9)+NL("Sum","5802 Value Entry","17 Sales Amount (Actual)","41 Source Type",$C$5,"5 Source no.",$C3058,"4 Item Ledger Entry Type",$C$4,"2 Item No.","@@"&amp;$F3058,"3 Posting Date",Z$9)</t>
  </si>
  <si>
    <t>=-NL("Sum","5802 Value Entry","151 Cost Amount (Expected)","41 Source Type",$C$5,"5 Source No.",$C3058,"4 Item Ledger Entry Type",$C$4,"2 Item No.","@@"&amp;$F3058,"3 Posting Date",Z$9)-NL("Sum","5802 Value Entry","43 Cost Amount (Actual)","41 Source Type",$C$5,"5 Source no.",$C3058,"4 Item Ledger Entry Type",$C$4,"2 Item No.","@@"&amp;$F3058,"3 Posting Date",Z$9)</t>
  </si>
  <si>
    <t>=Z3058-AB3058</t>
  </si>
  <si>
    <t>=IF(Z3058&lt;&gt;0,AC3058/Z3058,"")</t>
  </si>
  <si>
    <t>=C3059</t>
  </si>
  <si>
    <t>=J3060-L3060</t>
  </si>
  <si>
    <t>=IF(J3060&lt;&gt;0,M3060/J3060,"")</t>
  </si>
  <si>
    <t>=O3060-Q3060</t>
  </si>
  <si>
    <t>=IF(O3060&lt;&gt;0,R3060/O3060,"")</t>
  </si>
  <si>
    <t>=U3060-W3060</t>
  </si>
  <si>
    <t>=IF(U3060&lt;&gt;0,X3060/U3060,"")</t>
  </si>
  <si>
    <t>=Z3060-AB3060</t>
  </si>
  <si>
    <t>=IF(Z3060&lt;&gt;0,AC3060/Z3060,"")</t>
  </si>
  <si>
    <t>=J3062-L3062</t>
  </si>
  <si>
    <t>=IF(J3062&lt;&gt;0,M3062/J3062,"")</t>
  </si>
  <si>
    <t>=O3062-Q3062</t>
  </si>
  <si>
    <t>=IF(O3062&lt;&gt;0,R3062/O3062,"")</t>
  </si>
  <si>
    <t>=U3062-W3062</t>
  </si>
  <si>
    <t>=IF(U3062&lt;&gt;0,X3062/U3062,"")</t>
  </si>
  <si>
    <t>=Z3062-AB3062</t>
  </si>
  <si>
    <t>=IF(Z3062&lt;&gt;0,AC3062/Z3062,"")</t>
  </si>
  <si>
    <t>="C100128"</t>
  </si>
  <si>
    <t>="C100129"</t>
  </si>
  <si>
    <t>="S200021"</t>
  </si>
  <si>
    <t>="C100133"</t>
  </si>
  <si>
    <t>="C100134"</t>
  </si>
  <si>
    <t>="C100135"</t>
  </si>
  <si>
    <t>="S200005"</t>
  </si>
  <si>
    <t>="C100136"</t>
  </si>
  <si>
    <t>="C100139"</t>
  </si>
  <si>
    <t>="C100140"</t>
  </si>
  <si>
    <t>="C100141"</t>
  </si>
  <si>
    <t>="C100142"</t>
  </si>
  <si>
    <t>="C100143"</t>
  </si>
  <si>
    <t>="C100144"</t>
  </si>
  <si>
    <t>="C100146"</t>
  </si>
  <si>
    <t>="2/1/2019"</t>
  </si>
  <si>
    <t>=C62&amp;" TOTAL:"</t>
  </si>
  <si>
    <t>=SUBTOTAL(9,J21:J61)</t>
  </si>
  <si>
    <t>=SUBTOTAL(9,K21:K61)</t>
  </si>
  <si>
    <t>=SUBTOTAL(9,L21:L61)</t>
  </si>
  <si>
    <t>=SUBTOTAL(9,O21:O61)</t>
  </si>
  <si>
    <t>=SUBTOTAL(9,P21:P61)</t>
  </si>
  <si>
    <t>=SUBTOTAL(9,Q21:Q61)</t>
  </si>
  <si>
    <t>=SUBTOTAL(9,U21:U61)</t>
  </si>
  <si>
    <t>=SUBTOTAL(9,V21:V61)</t>
  </si>
  <si>
    <t>=SUBTOTAL(9,W21:W61)</t>
  </si>
  <si>
    <t>=SUBTOTAL(9,Z21:Z61)</t>
  </si>
  <si>
    <t>=SUBTOTAL(9,AA21:AA61)</t>
  </si>
  <si>
    <t>=SUBTOTAL(9,AB21:AB61)</t>
  </si>
  <si>
    <t>=E64</t>
  </si>
  <si>
    <t>=NL(,"18 Customer","2 Name","1 No.",$E64)</t>
  </si>
  <si>
    <t>=NL("Rows","5802 Value Entry","2 Item No.","4 Item Ledger Entry Type",$C$4,"41 Source Type",$C$5,"5 Source No.",$C66,"Item No.",$C$7,"3 Posting Date",$C$10)</t>
  </si>
  <si>
    <t>=C67</t>
  </si>
  <si>
    <t>=NL("Sum","5802 Value Entry","150 Sales Amount (Expected)","41 Source Type",$C$5,"5 Source No.",$C68,"4 Item Ledger Entry Type",$C$4,"2 Item No.","@@"&amp;$F68,"3 Posting Date",J$9)+NL("Sum","5802 Value Entry","17 Sales Amount (Actual)","41 Source Type",$C$5,"5 Source no.",$C68,"4 Item Ledger Entry Type",$C$4,"2 Item No.","@@"&amp;$F68,"3 Posting Date",J$9)</t>
  </si>
  <si>
    <t>=-NL("Sum","5802 Value Entry","151 Cost Amount (Expected)","41 Source Type",$C$5,"5 Source No.",$C68,"4 Item Ledger Entry Type",$C$4,"2 Item No.","@@"&amp;$F68,"3 Posting Date",J$9)-NL("Sum","5802 Value Entry","43 Cost Amount (Actual)","41 Source Type",$C$5,"5 Source no.",$C68,"4 Item Ledger Entry Type",$C$4,"2 Item No.","@@"&amp;$F68,"3 Posting Date",J$9)</t>
  </si>
  <si>
    <t>=J68-L68</t>
  </si>
  <si>
    <t>=IF(J68&lt;&gt;0,M68/J68,"")</t>
  </si>
  <si>
    <t>=NL("Sum","5802 Value Entry","150 Sales Amount (Expected)","41 Source Type",$C$5,"5 Source No.",$C68,"4 Item Ledger Entry Type",$C$4,"2 Item No.","@@"&amp;$F68,"3 Posting Date",O$9)+NL("Sum","5802 Value Entry","17 Sales Amount (Actual)","41 Source Type",$C$5,"5 Source no.",$C68,"4 Item Ledger Entry Type",$C$4,"2 Item No.","@@"&amp;$F68,"3 Posting Date",O$9)</t>
  </si>
  <si>
    <t>=-NL("Sum","5802 Value Entry","151 Cost Amount (Expected)","41 Source Type",$C$5,"5 Source No.",$C68,"4 Item Ledger Entry Type",$C$4,"2 Item No.","@@"&amp;$F68,"3 Posting Date",O$9)-NL("Sum","5802 Value Entry","43 Cost Amount (Actual)","41 Source Type",$C$5,"5 Source no.",$C68,"4 Item Ledger Entry Type",$C$4,"2 Item No.","@@"&amp;$F68,"3 Posting Date",O$9)</t>
  </si>
  <si>
    <t>=O68-Q68</t>
  </si>
  <si>
    <t>=IF(O68&lt;&gt;0,R68/O68,"")</t>
  </si>
  <si>
    <t>=NL("Sum","5802 Value Entry","150 Sales Amount (Expected)","41 Source Type",$C$5,"5 Source No.",$C68,"4 Item Ledger Entry Type",$C$4,"2 Item No.","@@"&amp;$F68,"3 Posting Date",U$9)+NL("Sum","5802 Value Entry","17 Sales Amount (Actual)","41 Source Type",$C$5,"5 Source no.",$C68,"4 Item Ledger Entry Type",$C$4,"2 Item No.","@@"&amp;$F68,"3 Posting Date",U$9)</t>
  </si>
  <si>
    <t>=-NL("Sum","5802 Value Entry","151 Cost Amount (Expected)","41 Source Type",$C$5,"5 Source No.",$C68,"4 Item Ledger Entry Type",$C$4,"2 Item No.","@@"&amp;$F68,"3 Posting Date",U$9)-NL("Sum","5802 Value Entry","43 Cost Amount (Actual)","41 Source Type",$C$5,"5 Source no.",$C68,"4 Item Ledger Entry Type",$C$4,"2 Item No.","@@"&amp;$F68,"3 Posting Date",U$9)</t>
  </si>
  <si>
    <t>=U68-W68</t>
  </si>
  <si>
    <t>=IF(U68&lt;&gt;0,X68/U68,"")</t>
  </si>
  <si>
    <t>=NL("Sum","5802 Value Entry","150 Sales Amount (Expected)","41 Source Type",$C$5,"5 Source No.",$C68,"4 Item Ledger Entry Type",$C$4,"2 Item No.","@@"&amp;$F68,"3 Posting Date",Z$9)+NL("Sum","5802 Value Entry","17 Sales Amount (Actual)","41 Source Type",$C$5,"5 Source no.",$C68,"4 Item Ledger Entry Type",$C$4,"2 Item No.","@@"&amp;$F68,"3 Posting Date",Z$9)</t>
  </si>
  <si>
    <t>=-NL("Sum","5802 Value Entry","151 Cost Amount (Expected)","41 Source Type",$C$5,"5 Source No.",$C68,"4 Item Ledger Entry Type",$C$4,"2 Item No.","@@"&amp;$F68,"3 Posting Date",Z$9)-NL("Sum","5802 Value Entry","43 Cost Amount (Actual)","41 Source Type",$C$5,"5 Source no.",$C68,"4 Item Ledger Entry Type",$C$4,"2 Item No.","@@"&amp;$F68,"3 Posting Date",Z$9)</t>
  </si>
  <si>
    <t>=Z68-AB68</t>
  </si>
  <si>
    <t>=IF(Z68&lt;&gt;0,AC68/Z68,"")</t>
  </si>
  <si>
    <t>=NL("Sum","5802 Value Entry","150 Sales Amount (Expected)","41 Source Type",$C$5,"5 Source No.",$C69,"4 Item Ledger Entry Type",$C$4,"2 Item No.","@@"&amp;$F69,"3 Posting Date",J$9)+NL("Sum","5802 Value Entry","17 Sales Amount (Actual)","41 Source Type",$C$5,"5 Source no.",$C69,"4 Item Ledger Entry Type",$C$4,"2 Item No.","@@"&amp;$F69,"3 Posting Date",J$9)</t>
  </si>
  <si>
    <t>=-NL("Sum","5802 Value Entry","151 Cost Amount (Expected)","41 Source Type",$C$5,"5 Source No.",$C69,"4 Item Ledger Entry Type",$C$4,"2 Item No.","@@"&amp;$F69,"3 Posting Date",J$9)-NL("Sum","5802 Value Entry","43 Cost Amount (Actual)","41 Source Type",$C$5,"5 Source no.",$C69,"4 Item Ledger Entry Type",$C$4,"2 Item No.","@@"&amp;$F69,"3 Posting Date",J$9)</t>
  </si>
  <si>
    <t>=NL("Sum","5802 Value Entry","150 Sales Amount (Expected)","41 Source Type",$C$5,"5 Source No.",$C69,"4 Item Ledger Entry Type",$C$4,"2 Item No.","@@"&amp;$F69,"3 Posting Date",O$9)+NL("Sum","5802 Value Entry","17 Sales Amount (Actual)","41 Source Type",$C$5,"5 Source no.",$C69,"4 Item Ledger Entry Type",$C$4,"2 Item No.","@@"&amp;$F69,"3 Posting Date",O$9)</t>
  </si>
  <si>
    <t>=-NL("Sum","5802 Value Entry","151 Cost Amount (Expected)","41 Source Type",$C$5,"5 Source No.",$C69,"4 Item Ledger Entry Type",$C$4,"2 Item No.","@@"&amp;$F69,"3 Posting Date",O$9)-NL("Sum","5802 Value Entry","43 Cost Amount (Actual)","41 Source Type",$C$5,"5 Source no.",$C69,"4 Item Ledger Entry Type",$C$4,"2 Item No.","@@"&amp;$F69,"3 Posting Date",O$9)</t>
  </si>
  <si>
    <t>=NL("Sum","5802 Value Entry","150 Sales Amount (Expected)","41 Source Type",$C$5,"5 Source No.",$C69,"4 Item Ledger Entry Type",$C$4,"2 Item No.","@@"&amp;$F69,"3 Posting Date",U$9)+NL("Sum","5802 Value Entry","17 Sales Amount (Actual)","41 Source Type",$C$5,"5 Source no.",$C69,"4 Item Ledger Entry Type",$C$4,"2 Item No.","@@"&amp;$F69,"3 Posting Date",U$9)</t>
  </si>
  <si>
    <t>=-NL("Sum","5802 Value Entry","151 Cost Amount (Expected)","41 Source Type",$C$5,"5 Source No.",$C69,"4 Item Ledger Entry Type",$C$4,"2 Item No.","@@"&amp;$F69,"3 Posting Date",U$9)-NL("Sum","5802 Value Entry","43 Cost Amount (Actual)","41 Source Type",$C$5,"5 Source no.",$C69,"4 Item Ledger Entry Type",$C$4,"2 Item No.","@@"&amp;$F69,"3 Posting Date",U$9)</t>
  </si>
  <si>
    <t>=NL("Sum","5802 Value Entry","150 Sales Amount (Expected)","41 Source Type",$C$5,"5 Source No.",$C69,"4 Item Ledger Entry Type",$C$4,"2 Item No.","@@"&amp;$F69,"3 Posting Date",Z$9)+NL("Sum","5802 Value Entry","17 Sales Amount (Actual)","41 Source Type",$C$5,"5 Source no.",$C69,"4 Item Ledger Entry Type",$C$4,"2 Item No.","@@"&amp;$F69,"3 Posting Date",Z$9)</t>
  </si>
  <si>
    <t>=-NL("Sum","5802 Value Entry","151 Cost Amount (Expected)","41 Source Type",$C$5,"5 Source No.",$C69,"4 Item Ledger Entry Type",$C$4,"2 Item No.","@@"&amp;$F69,"3 Posting Date",Z$9)-NL("Sum","5802 Value Entry","43 Cost Amount (Actual)","41 Source Type",$C$5,"5 Source no.",$C69,"4 Item Ledger Entry Type",$C$4,"2 Item No.","@@"&amp;$F69,"3 Posting Date",Z$9)</t>
  </si>
  <si>
    <t>=C69</t>
  </si>
  <si>
    <t>=NL("Sum","5802 Value Entry","150 Sales Amount (Expected)","41 Source Type",$C$5,"5 Source No.",$C70,"4 Item Ledger Entry Type",$C$4,"2 Item No.","@@"&amp;$F70,"3 Posting Date",J$9)+NL("Sum","5802 Value Entry","17 Sales Amount (Actual)","41 Source Type",$C$5,"5 Source no.",$C70,"4 Item Ledger Entry Type",$C$4,"2 Item No.","@@"&amp;$F70,"3 Posting Date",J$9)</t>
  </si>
  <si>
    <t>=-NL("Sum","5802 Value Entry","151 Cost Amount (Expected)","41 Source Type",$C$5,"5 Source No.",$C70,"4 Item Ledger Entry Type",$C$4,"2 Item No.","@@"&amp;$F70,"3 Posting Date",J$9)-NL("Sum","5802 Value Entry","43 Cost Amount (Actual)","41 Source Type",$C$5,"5 Source no.",$C70,"4 Item Ledger Entry Type",$C$4,"2 Item No.","@@"&amp;$F70,"3 Posting Date",J$9)</t>
  </si>
  <si>
    <t>=J70-L70</t>
  </si>
  <si>
    <t>=IF(J70&lt;&gt;0,M70/J70,"")</t>
  </si>
  <si>
    <t>=NL("Sum","5802 Value Entry","150 Sales Amount (Expected)","41 Source Type",$C$5,"5 Source No.",$C70,"4 Item Ledger Entry Type",$C$4,"2 Item No.","@@"&amp;$F70,"3 Posting Date",O$9)+NL("Sum","5802 Value Entry","17 Sales Amount (Actual)","41 Source Type",$C$5,"5 Source no.",$C70,"4 Item Ledger Entry Type",$C$4,"2 Item No.","@@"&amp;$F70,"3 Posting Date",O$9)</t>
  </si>
  <si>
    <t>=-NL("Sum","5802 Value Entry","151 Cost Amount (Expected)","41 Source Type",$C$5,"5 Source No.",$C70,"4 Item Ledger Entry Type",$C$4,"2 Item No.","@@"&amp;$F70,"3 Posting Date",O$9)-NL("Sum","5802 Value Entry","43 Cost Amount (Actual)","41 Source Type",$C$5,"5 Source no.",$C70,"4 Item Ledger Entry Type",$C$4,"2 Item No.","@@"&amp;$F70,"3 Posting Date",O$9)</t>
  </si>
  <si>
    <t>=O70-Q70</t>
  </si>
  <si>
    <t>=IF(O70&lt;&gt;0,R70/O70,"")</t>
  </si>
  <si>
    <t>=NL("Sum","5802 Value Entry","150 Sales Amount (Expected)","41 Source Type",$C$5,"5 Source No.",$C70,"4 Item Ledger Entry Type",$C$4,"2 Item No.","@@"&amp;$F70,"3 Posting Date",U$9)+NL("Sum","5802 Value Entry","17 Sales Amount (Actual)","41 Source Type",$C$5,"5 Source no.",$C70,"4 Item Ledger Entry Type",$C$4,"2 Item No.","@@"&amp;$F70,"3 Posting Date",U$9)</t>
  </si>
  <si>
    <t>=-NL("Sum","5802 Value Entry","151 Cost Amount (Expected)","41 Source Type",$C$5,"5 Source No.",$C70,"4 Item Ledger Entry Type",$C$4,"2 Item No.","@@"&amp;$F70,"3 Posting Date",U$9)-NL("Sum","5802 Value Entry","43 Cost Amount (Actual)","41 Source Type",$C$5,"5 Source no.",$C70,"4 Item Ledger Entry Type",$C$4,"2 Item No.","@@"&amp;$F70,"3 Posting Date",U$9)</t>
  </si>
  <si>
    <t>=U70-W70</t>
  </si>
  <si>
    <t>=IF(U70&lt;&gt;0,X70/U70,"")</t>
  </si>
  <si>
    <t>=NL("Sum","5802 Value Entry","150 Sales Amount (Expected)","41 Source Type",$C$5,"5 Source No.",$C70,"4 Item Ledger Entry Type",$C$4,"2 Item No.","@@"&amp;$F70,"3 Posting Date",Z$9)+NL("Sum","5802 Value Entry","17 Sales Amount (Actual)","41 Source Type",$C$5,"5 Source no.",$C70,"4 Item Ledger Entry Type",$C$4,"2 Item No.","@@"&amp;$F70,"3 Posting Date",Z$9)</t>
  </si>
  <si>
    <t>=-NL("Sum","5802 Value Entry","151 Cost Amount (Expected)","41 Source Type",$C$5,"5 Source No.",$C70,"4 Item Ledger Entry Type",$C$4,"2 Item No.","@@"&amp;$F70,"3 Posting Date",Z$9)-NL("Sum","5802 Value Entry","43 Cost Amount (Actual)","41 Source Type",$C$5,"5 Source no.",$C70,"4 Item Ledger Entry Type",$C$4,"2 Item No.","@@"&amp;$F70,"3 Posting Date",Z$9)</t>
  </si>
  <si>
    <t>=Z70-AB70</t>
  </si>
  <si>
    <t>=IF(Z70&lt;&gt;0,AC70/Z70,"")</t>
  </si>
  <si>
    <t>=C70</t>
  </si>
  <si>
    <t>=NL("Sum","5802 Value Entry","150 Sales Amount (Expected)","41 Source Type",$C$5,"5 Source No.",$C71,"4 Item Ledger Entry Type",$C$4,"2 Item No.","@@"&amp;$F71,"3 Posting Date",J$9)+NL("Sum","5802 Value Entry","17 Sales Amount (Actual)","41 Source Type",$C$5,"5 Source no.",$C71,"4 Item Ledger Entry Type",$C$4,"2 Item No.","@@"&amp;$F71,"3 Posting Date",J$9)</t>
  </si>
  <si>
    <t>=-NL("Sum","5802 Value Entry","151 Cost Amount (Expected)","41 Source Type",$C$5,"5 Source No.",$C71,"4 Item Ledger Entry Type",$C$4,"2 Item No.","@@"&amp;$F71,"3 Posting Date",J$9)-NL("Sum","5802 Value Entry","43 Cost Amount (Actual)","41 Source Type",$C$5,"5 Source no.",$C71,"4 Item Ledger Entry Type",$C$4,"2 Item No.","@@"&amp;$F71,"3 Posting Date",J$9)</t>
  </si>
  <si>
    <t>=J71-L71</t>
  </si>
  <si>
    <t>=IF(J71&lt;&gt;0,M71/J71,"")</t>
  </si>
  <si>
    <t>=NL("Sum","5802 Value Entry","150 Sales Amount (Expected)","41 Source Type",$C$5,"5 Source No.",$C71,"4 Item Ledger Entry Type",$C$4,"2 Item No.","@@"&amp;$F71,"3 Posting Date",O$9)+NL("Sum","5802 Value Entry","17 Sales Amount (Actual)","41 Source Type",$C$5,"5 Source no.",$C71,"4 Item Ledger Entry Type",$C$4,"2 Item No.","@@"&amp;$F71,"3 Posting Date",O$9)</t>
  </si>
  <si>
    <t>=-NL("Sum","5802 Value Entry","151 Cost Amount (Expected)","41 Source Type",$C$5,"5 Source No.",$C71,"4 Item Ledger Entry Type",$C$4,"2 Item No.","@@"&amp;$F71,"3 Posting Date",O$9)-NL("Sum","5802 Value Entry","43 Cost Amount (Actual)","41 Source Type",$C$5,"5 Source no.",$C71,"4 Item Ledger Entry Type",$C$4,"2 Item No.","@@"&amp;$F71,"3 Posting Date",O$9)</t>
  </si>
  <si>
    <t>=O71-Q71</t>
  </si>
  <si>
    <t>=IF(O71&lt;&gt;0,R71/O71,"")</t>
  </si>
  <si>
    <t>=NL("Sum","5802 Value Entry","150 Sales Amount (Expected)","41 Source Type",$C$5,"5 Source No.",$C71,"4 Item Ledger Entry Type",$C$4,"2 Item No.","@@"&amp;$F71,"3 Posting Date",U$9)+NL("Sum","5802 Value Entry","17 Sales Amount (Actual)","41 Source Type",$C$5,"5 Source no.",$C71,"4 Item Ledger Entry Type",$C$4,"2 Item No.","@@"&amp;$F71,"3 Posting Date",U$9)</t>
  </si>
  <si>
    <t>=-NL("Sum","5802 Value Entry","151 Cost Amount (Expected)","41 Source Type",$C$5,"5 Source No.",$C71,"4 Item Ledger Entry Type",$C$4,"2 Item No.","@@"&amp;$F71,"3 Posting Date",U$9)-NL("Sum","5802 Value Entry","43 Cost Amount (Actual)","41 Source Type",$C$5,"5 Source no.",$C71,"4 Item Ledger Entry Type",$C$4,"2 Item No.","@@"&amp;$F71,"3 Posting Date",U$9)</t>
  </si>
  <si>
    <t>=U71-W71</t>
  </si>
  <si>
    <t>=IF(U71&lt;&gt;0,X71/U71,"")</t>
  </si>
  <si>
    <t>=NL("Sum","5802 Value Entry","150 Sales Amount (Expected)","41 Source Type",$C$5,"5 Source No.",$C71,"4 Item Ledger Entry Type",$C$4,"2 Item No.","@@"&amp;$F71,"3 Posting Date",Z$9)+NL("Sum","5802 Value Entry","17 Sales Amount (Actual)","41 Source Type",$C$5,"5 Source no.",$C71,"4 Item Ledger Entry Type",$C$4,"2 Item No.","@@"&amp;$F71,"3 Posting Date",Z$9)</t>
  </si>
  <si>
    <t>=-NL("Sum","5802 Value Entry","151 Cost Amount (Expected)","41 Source Type",$C$5,"5 Source No.",$C71,"4 Item Ledger Entry Type",$C$4,"2 Item No.","@@"&amp;$F71,"3 Posting Date",Z$9)-NL("Sum","5802 Value Entry","43 Cost Amount (Actual)","41 Source Type",$C$5,"5 Source no.",$C71,"4 Item Ledger Entry Type",$C$4,"2 Item No.","@@"&amp;$F71,"3 Posting Date",Z$9)</t>
  </si>
  <si>
    <t>=Z71-AB71</t>
  </si>
  <si>
    <t>=IF(Z71&lt;&gt;0,AC71/Z71,"")</t>
  </si>
  <si>
    <t>=NL("Sum","5802 Value Entry","150 Sales Amount (Expected)","41 Source Type",$C$5,"5 Source No.",$C72,"4 Item Ledger Entry Type",$C$4,"2 Item No.","@@"&amp;$F72,"3 Posting Date",J$9)+NL("Sum","5802 Value Entry","17 Sales Amount (Actual)","41 Source Type",$C$5,"5 Source no.",$C72,"4 Item Ledger Entry Type",$C$4,"2 Item No.","@@"&amp;$F72,"3 Posting Date",J$9)</t>
  </si>
  <si>
    <t>=-NL("Sum","5802 Value Entry","151 Cost Amount (Expected)","41 Source Type",$C$5,"5 Source No.",$C72,"4 Item Ledger Entry Type",$C$4,"2 Item No.","@@"&amp;$F72,"3 Posting Date",J$9)-NL("Sum","5802 Value Entry","43 Cost Amount (Actual)","41 Source Type",$C$5,"5 Source no.",$C72,"4 Item Ledger Entry Type",$C$4,"2 Item No.","@@"&amp;$F72,"3 Posting Date",J$9)</t>
  </si>
  <si>
    <t>=J72-L72</t>
  </si>
  <si>
    <t>=IF(J72&lt;&gt;0,M72/J72,"")</t>
  </si>
  <si>
    <t>=NL("Sum","5802 Value Entry","150 Sales Amount (Expected)","41 Source Type",$C$5,"5 Source No.",$C72,"4 Item Ledger Entry Type",$C$4,"2 Item No.","@@"&amp;$F72,"3 Posting Date",O$9)+NL("Sum","5802 Value Entry","17 Sales Amount (Actual)","41 Source Type",$C$5,"5 Source no.",$C72,"4 Item Ledger Entry Type",$C$4,"2 Item No.","@@"&amp;$F72,"3 Posting Date",O$9)</t>
  </si>
  <si>
    <t>=-NL("Sum","5802 Value Entry","151 Cost Amount (Expected)","41 Source Type",$C$5,"5 Source No.",$C72,"4 Item Ledger Entry Type",$C$4,"2 Item No.","@@"&amp;$F72,"3 Posting Date",O$9)-NL("Sum","5802 Value Entry","43 Cost Amount (Actual)","41 Source Type",$C$5,"5 Source no.",$C72,"4 Item Ledger Entry Type",$C$4,"2 Item No.","@@"&amp;$F72,"3 Posting Date",O$9)</t>
  </si>
  <si>
    <t>=O72-Q72</t>
  </si>
  <si>
    <t>=IF(O72&lt;&gt;0,R72/O72,"")</t>
  </si>
  <si>
    <t>=NL("Sum","5802 Value Entry","150 Sales Amount (Expected)","41 Source Type",$C$5,"5 Source No.",$C72,"4 Item Ledger Entry Type",$C$4,"2 Item No.","@@"&amp;$F72,"3 Posting Date",U$9)+NL("Sum","5802 Value Entry","17 Sales Amount (Actual)","41 Source Type",$C$5,"5 Source no.",$C72,"4 Item Ledger Entry Type",$C$4,"2 Item No.","@@"&amp;$F72,"3 Posting Date",U$9)</t>
  </si>
  <si>
    <t>=-NL("Sum","5802 Value Entry","151 Cost Amount (Expected)","41 Source Type",$C$5,"5 Source No.",$C72,"4 Item Ledger Entry Type",$C$4,"2 Item No.","@@"&amp;$F72,"3 Posting Date",U$9)-NL("Sum","5802 Value Entry","43 Cost Amount (Actual)","41 Source Type",$C$5,"5 Source no.",$C72,"4 Item Ledger Entry Type",$C$4,"2 Item No.","@@"&amp;$F72,"3 Posting Date",U$9)</t>
  </si>
  <si>
    <t>=U72-W72</t>
  </si>
  <si>
    <t>=IF(U72&lt;&gt;0,X72/U72,"")</t>
  </si>
  <si>
    <t>=NL("Sum","5802 Value Entry","150 Sales Amount (Expected)","41 Source Type",$C$5,"5 Source No.",$C72,"4 Item Ledger Entry Type",$C$4,"2 Item No.","@@"&amp;$F72,"3 Posting Date",Z$9)+NL("Sum","5802 Value Entry","17 Sales Amount (Actual)","41 Source Type",$C$5,"5 Source no.",$C72,"4 Item Ledger Entry Type",$C$4,"2 Item No.","@@"&amp;$F72,"3 Posting Date",Z$9)</t>
  </si>
  <si>
    <t>=-NL("Sum","5802 Value Entry","151 Cost Amount (Expected)","41 Source Type",$C$5,"5 Source No.",$C72,"4 Item Ledger Entry Type",$C$4,"2 Item No.","@@"&amp;$F72,"3 Posting Date",Z$9)-NL("Sum","5802 Value Entry","43 Cost Amount (Actual)","41 Source Type",$C$5,"5 Source no.",$C72,"4 Item Ledger Entry Type",$C$4,"2 Item No.","@@"&amp;$F72,"3 Posting Date",Z$9)</t>
  </si>
  <si>
    <t>=Z72-AB72</t>
  </si>
  <si>
    <t>=IF(Z72&lt;&gt;0,AC72/Z72,"")</t>
  </si>
  <si>
    <t>=C107&amp;" TOTAL:"</t>
  </si>
  <si>
    <t>=SUBTOTAL(9,J65:J106)</t>
  </si>
  <si>
    <t>=SUBTOTAL(9,K65:K106)</t>
  </si>
  <si>
    <t>=SUBTOTAL(9,L65:L106)</t>
  </si>
  <si>
    <t>=SUBTOTAL(9,O65:O106)</t>
  </si>
  <si>
    <t>=SUBTOTAL(9,P65:P106)</t>
  </si>
  <si>
    <t>=SUBTOTAL(9,Q65:Q106)</t>
  </si>
  <si>
    <t>=SUBTOTAL(9,U65:U106)</t>
  </si>
  <si>
    <t>=SUBTOTAL(9,V65:V106)</t>
  </si>
  <si>
    <t>=SUBTOTAL(9,W65:W106)</t>
  </si>
  <si>
    <t>=SUBTOTAL(9,Z65:Z106)</t>
  </si>
  <si>
    <t>=SUBTOTAL(9,AA65:AA106)</t>
  </si>
  <si>
    <t>=SUBTOTAL(9,AB65:AB106)</t>
  </si>
  <si>
    <t>=E109</t>
  </si>
  <si>
    <t>=NL(,"18 Customer","2 Name","1 No.",$E109)</t>
  </si>
  <si>
    <t>=NL("Rows","5802 Value Entry","2 Item No.","4 Item Ledger Entry Type",$C$4,"41 Source Type",$C$5,"5 Source No.",$C111,"Item No.",$C$7,"3 Posting Date",$C$10)</t>
  </si>
  <si>
    <t>=C112</t>
  </si>
  <si>
    <t>=NL("Sum","5802 Value Entry","150 Sales Amount (Expected)","41 Source Type",$C$5,"5 Source No.",$C113,"4 Item Ledger Entry Type",$C$4,"2 Item No.","@@"&amp;$F113,"3 Posting Date",J$9)+NL("Sum","5802 Value Entry","17 Sales Amount (Actual)","41 Source Type",$C$5,"5 Source no.",$C113,"4 Item Ledger Entry Type",$C$4,"2 Item No.","@@"&amp;$F113,"3 Posting Date",J$9)</t>
  </si>
  <si>
    <t>=-NL("Sum","5802 Value Entry","151 Cost Amount (Expected)","41 Source Type",$C$5,"5 Source No.",$C113,"4 Item Ledger Entry Type",$C$4,"2 Item No.","@@"&amp;$F113,"3 Posting Date",J$9)-NL("Sum","5802 Value Entry","43 Cost Amount (Actual)","41 Source Type",$C$5,"5 Source no.",$C113,"4 Item Ledger Entry Type",$C$4,"2 Item No.","@@"&amp;$F113,"3 Posting Date",J$9)</t>
  </si>
  <si>
    <t>=J113-L113</t>
  </si>
  <si>
    <t>=IF(J113&lt;&gt;0,M113/J113,"")</t>
  </si>
  <si>
    <t>=NL("Sum","5802 Value Entry","150 Sales Amount (Expected)","41 Source Type",$C$5,"5 Source No.",$C113,"4 Item Ledger Entry Type",$C$4,"2 Item No.","@@"&amp;$F113,"3 Posting Date",O$9)+NL("Sum","5802 Value Entry","17 Sales Amount (Actual)","41 Source Type",$C$5,"5 Source no.",$C113,"4 Item Ledger Entry Type",$C$4,"2 Item No.","@@"&amp;$F113,"3 Posting Date",O$9)</t>
  </si>
  <si>
    <t>=-NL("Sum","5802 Value Entry","151 Cost Amount (Expected)","41 Source Type",$C$5,"5 Source No.",$C113,"4 Item Ledger Entry Type",$C$4,"2 Item No.","@@"&amp;$F113,"3 Posting Date",O$9)-NL("Sum","5802 Value Entry","43 Cost Amount (Actual)","41 Source Type",$C$5,"5 Source no.",$C113,"4 Item Ledger Entry Type",$C$4,"2 Item No.","@@"&amp;$F113,"3 Posting Date",O$9)</t>
  </si>
  <si>
    <t>=O113-Q113</t>
  </si>
  <si>
    <t>=IF(O113&lt;&gt;0,R113/O113,"")</t>
  </si>
  <si>
    <t>=NL("Sum","5802 Value Entry","150 Sales Amount (Expected)","41 Source Type",$C$5,"5 Source No.",$C113,"4 Item Ledger Entry Type",$C$4,"2 Item No.","@@"&amp;$F113,"3 Posting Date",U$9)+NL("Sum","5802 Value Entry","17 Sales Amount (Actual)","41 Source Type",$C$5,"5 Source no.",$C113,"4 Item Ledger Entry Type",$C$4,"2 Item No.","@@"&amp;$F113,"3 Posting Date",U$9)</t>
  </si>
  <si>
    <t>=-NL("Sum","5802 Value Entry","151 Cost Amount (Expected)","41 Source Type",$C$5,"5 Source No.",$C113,"4 Item Ledger Entry Type",$C$4,"2 Item No.","@@"&amp;$F113,"3 Posting Date",U$9)-NL("Sum","5802 Value Entry","43 Cost Amount (Actual)","41 Source Type",$C$5,"5 Source no.",$C113,"4 Item Ledger Entry Type",$C$4,"2 Item No.","@@"&amp;$F113,"3 Posting Date",U$9)</t>
  </si>
  <si>
    <t>=U113-W113</t>
  </si>
  <si>
    <t>=IF(U113&lt;&gt;0,X113/U113,"")</t>
  </si>
  <si>
    <t>=NL("Sum","5802 Value Entry","150 Sales Amount (Expected)","41 Source Type",$C$5,"5 Source No.",$C113,"4 Item Ledger Entry Type",$C$4,"2 Item No.","@@"&amp;$F113,"3 Posting Date",Z$9)+NL("Sum","5802 Value Entry","17 Sales Amount (Actual)","41 Source Type",$C$5,"5 Source no.",$C113,"4 Item Ledger Entry Type",$C$4,"2 Item No.","@@"&amp;$F113,"3 Posting Date",Z$9)</t>
  </si>
  <si>
    <t>=-NL("Sum","5802 Value Entry","151 Cost Amount (Expected)","41 Source Type",$C$5,"5 Source No.",$C113,"4 Item Ledger Entry Type",$C$4,"2 Item No.","@@"&amp;$F113,"3 Posting Date",Z$9)-NL("Sum","5802 Value Entry","43 Cost Amount (Actual)","41 Source Type",$C$5,"5 Source no.",$C113,"4 Item Ledger Entry Type",$C$4,"2 Item No.","@@"&amp;$F113,"3 Posting Date",Z$9)</t>
  </si>
  <si>
    <t>=Z113-AB113</t>
  </si>
  <si>
    <t>=IF(Z113&lt;&gt;0,AC113/Z113,"")</t>
  </si>
  <si>
    <t>=NL("Sum","5802 Value Entry","150 Sales Amount (Expected)","41 Source Type",$C$5,"5 Source No.",$C114,"4 Item Ledger Entry Type",$C$4,"2 Item No.","@@"&amp;$F114,"3 Posting Date",J$9)+NL("Sum","5802 Value Entry","17 Sales Amount (Actual)","41 Source Type",$C$5,"5 Source no.",$C114,"4 Item Ledger Entry Type",$C$4,"2 Item No.","@@"&amp;$F114,"3 Posting Date",J$9)</t>
  </si>
  <si>
    <t>=-NL("Sum","5802 Value Entry","151 Cost Amount (Expected)","41 Source Type",$C$5,"5 Source No.",$C114,"4 Item Ledger Entry Type",$C$4,"2 Item No.","@@"&amp;$F114,"3 Posting Date",J$9)-NL("Sum","5802 Value Entry","43 Cost Amount (Actual)","41 Source Type",$C$5,"5 Source no.",$C114,"4 Item Ledger Entry Type",$C$4,"2 Item No.","@@"&amp;$F114,"3 Posting Date",J$9)</t>
  </si>
  <si>
    <t>=NL("Sum","5802 Value Entry","150 Sales Amount (Expected)","41 Source Type",$C$5,"5 Source No.",$C114,"4 Item Ledger Entry Type",$C$4,"2 Item No.","@@"&amp;$F114,"3 Posting Date",O$9)+NL("Sum","5802 Value Entry","17 Sales Amount (Actual)","41 Source Type",$C$5,"5 Source no.",$C114,"4 Item Ledger Entry Type",$C$4,"2 Item No.","@@"&amp;$F114,"3 Posting Date",O$9)</t>
  </si>
  <si>
    <t>=-NL("Sum","5802 Value Entry","151 Cost Amount (Expected)","41 Source Type",$C$5,"5 Source No.",$C114,"4 Item Ledger Entry Type",$C$4,"2 Item No.","@@"&amp;$F114,"3 Posting Date",O$9)-NL("Sum","5802 Value Entry","43 Cost Amount (Actual)","41 Source Type",$C$5,"5 Source no.",$C114,"4 Item Ledger Entry Type",$C$4,"2 Item No.","@@"&amp;$F114,"3 Posting Date",O$9)</t>
  </si>
  <si>
    <t>=NL("Sum","5802 Value Entry","150 Sales Amount (Expected)","41 Source Type",$C$5,"5 Source No.",$C114,"4 Item Ledger Entry Type",$C$4,"2 Item No.","@@"&amp;$F114,"3 Posting Date",U$9)+NL("Sum","5802 Value Entry","17 Sales Amount (Actual)","41 Source Type",$C$5,"5 Source no.",$C114,"4 Item Ledger Entry Type",$C$4,"2 Item No.","@@"&amp;$F114,"3 Posting Date",U$9)</t>
  </si>
  <si>
    <t>=-NL("Sum","5802 Value Entry","151 Cost Amount (Expected)","41 Source Type",$C$5,"5 Source No.",$C114,"4 Item Ledger Entry Type",$C$4,"2 Item No.","@@"&amp;$F114,"3 Posting Date",U$9)-NL("Sum","5802 Value Entry","43 Cost Amount (Actual)","41 Source Type",$C$5,"5 Source no.",$C114,"4 Item Ledger Entry Type",$C$4,"2 Item No.","@@"&amp;$F114,"3 Posting Date",U$9)</t>
  </si>
  <si>
    <t>=NL("Sum","5802 Value Entry","150 Sales Amount (Expected)","41 Source Type",$C$5,"5 Source No.",$C114,"4 Item Ledger Entry Type",$C$4,"2 Item No.","@@"&amp;$F114,"3 Posting Date",Z$9)+NL("Sum","5802 Value Entry","17 Sales Amount (Actual)","41 Source Type",$C$5,"5 Source no.",$C114,"4 Item Ledger Entry Type",$C$4,"2 Item No.","@@"&amp;$F114,"3 Posting Date",Z$9)</t>
  </si>
  <si>
    <t>=-NL("Sum","5802 Value Entry","151 Cost Amount (Expected)","41 Source Type",$C$5,"5 Source No.",$C114,"4 Item Ledger Entry Type",$C$4,"2 Item No.","@@"&amp;$F114,"3 Posting Date",Z$9)-NL("Sum","5802 Value Entry","43 Cost Amount (Actual)","41 Source Type",$C$5,"5 Source no.",$C114,"4 Item Ledger Entry Type",$C$4,"2 Item No.","@@"&amp;$F114,"3 Posting Date",Z$9)</t>
  </si>
  <si>
    <t>=C114</t>
  </si>
  <si>
    <t>=NL("Sum","5802 Value Entry","150 Sales Amount (Expected)","41 Source Type",$C$5,"5 Source No.",$C115,"4 Item Ledger Entry Type",$C$4,"2 Item No.","@@"&amp;$F115,"3 Posting Date",J$9)+NL("Sum","5802 Value Entry","17 Sales Amount (Actual)","41 Source Type",$C$5,"5 Source no.",$C115,"4 Item Ledger Entry Type",$C$4,"2 Item No.","@@"&amp;$F115,"3 Posting Date",J$9)</t>
  </si>
  <si>
    <t>=-NL("Sum","5802 Value Entry","151 Cost Amount (Expected)","41 Source Type",$C$5,"5 Source No.",$C115,"4 Item Ledger Entry Type",$C$4,"2 Item No.","@@"&amp;$F115,"3 Posting Date",J$9)-NL("Sum","5802 Value Entry","43 Cost Amount (Actual)","41 Source Type",$C$5,"5 Source no.",$C115,"4 Item Ledger Entry Type",$C$4,"2 Item No.","@@"&amp;$F115,"3 Posting Date",J$9)</t>
  </si>
  <si>
    <t>=J115-L115</t>
  </si>
  <si>
    <t>=IF(J115&lt;&gt;0,M115/J115,"")</t>
  </si>
  <si>
    <t>=NL("Sum","5802 Value Entry","150 Sales Amount (Expected)","41 Source Type",$C$5,"5 Source No.",$C115,"4 Item Ledger Entry Type",$C$4,"2 Item No.","@@"&amp;$F115,"3 Posting Date",O$9)+NL("Sum","5802 Value Entry","17 Sales Amount (Actual)","41 Source Type",$C$5,"5 Source no.",$C115,"4 Item Ledger Entry Type",$C$4,"2 Item No.","@@"&amp;$F115,"3 Posting Date",O$9)</t>
  </si>
  <si>
    <t>=-NL("Sum","5802 Value Entry","151 Cost Amount (Expected)","41 Source Type",$C$5,"5 Source No.",$C115,"4 Item Ledger Entry Type",$C$4,"2 Item No.","@@"&amp;$F115,"3 Posting Date",O$9)-NL("Sum","5802 Value Entry","43 Cost Amount (Actual)","41 Source Type",$C$5,"5 Source no.",$C115,"4 Item Ledger Entry Type",$C$4,"2 Item No.","@@"&amp;$F115,"3 Posting Date",O$9)</t>
  </si>
  <si>
    <t>=O115-Q115</t>
  </si>
  <si>
    <t>=IF(O115&lt;&gt;0,R115/O115,"")</t>
  </si>
  <si>
    <t>=NL("Sum","5802 Value Entry","150 Sales Amount (Expected)","41 Source Type",$C$5,"5 Source No.",$C115,"4 Item Ledger Entry Type",$C$4,"2 Item No.","@@"&amp;$F115,"3 Posting Date",U$9)+NL("Sum","5802 Value Entry","17 Sales Amount (Actual)","41 Source Type",$C$5,"5 Source no.",$C115,"4 Item Ledger Entry Type",$C$4,"2 Item No.","@@"&amp;$F115,"3 Posting Date",U$9)</t>
  </si>
  <si>
    <t>=-NL("Sum","5802 Value Entry","151 Cost Amount (Expected)","41 Source Type",$C$5,"5 Source No.",$C115,"4 Item Ledger Entry Type",$C$4,"2 Item No.","@@"&amp;$F115,"3 Posting Date",U$9)-NL("Sum","5802 Value Entry","43 Cost Amount (Actual)","41 Source Type",$C$5,"5 Source no.",$C115,"4 Item Ledger Entry Type",$C$4,"2 Item No.","@@"&amp;$F115,"3 Posting Date",U$9)</t>
  </si>
  <si>
    <t>=U115-W115</t>
  </si>
  <si>
    <t>=IF(U115&lt;&gt;0,X115/U115,"")</t>
  </si>
  <si>
    <t>=NL("Sum","5802 Value Entry","150 Sales Amount (Expected)","41 Source Type",$C$5,"5 Source No.",$C115,"4 Item Ledger Entry Type",$C$4,"2 Item No.","@@"&amp;$F115,"3 Posting Date",Z$9)+NL("Sum","5802 Value Entry","17 Sales Amount (Actual)","41 Source Type",$C$5,"5 Source no.",$C115,"4 Item Ledger Entry Type",$C$4,"2 Item No.","@@"&amp;$F115,"3 Posting Date",Z$9)</t>
  </si>
  <si>
    <t>=-NL("Sum","5802 Value Entry","151 Cost Amount (Expected)","41 Source Type",$C$5,"5 Source No.",$C115,"4 Item Ledger Entry Type",$C$4,"2 Item No.","@@"&amp;$F115,"3 Posting Date",Z$9)-NL("Sum","5802 Value Entry","43 Cost Amount (Actual)","41 Source Type",$C$5,"5 Source no.",$C115,"4 Item Ledger Entry Type",$C$4,"2 Item No.","@@"&amp;$F115,"3 Posting Date",Z$9)</t>
  </si>
  <si>
    <t>=Z115-AB115</t>
  </si>
  <si>
    <t>=IF(Z115&lt;&gt;0,AC115/Z115,"")</t>
  </si>
  <si>
    <t>=C115</t>
  </si>
  <si>
    <t>=NL("Sum","5802 Value Entry","150 Sales Amount (Expected)","41 Source Type",$C$5,"5 Source No.",$C116,"4 Item Ledger Entry Type",$C$4,"2 Item No.","@@"&amp;$F116,"3 Posting Date",J$9)+NL("Sum","5802 Value Entry","17 Sales Amount (Actual)","41 Source Type",$C$5,"5 Source no.",$C116,"4 Item Ledger Entry Type",$C$4,"2 Item No.","@@"&amp;$F116,"3 Posting Date",J$9)</t>
  </si>
  <si>
    <t>=-NL("Sum","5802 Value Entry","151 Cost Amount (Expected)","41 Source Type",$C$5,"5 Source No.",$C116,"4 Item Ledger Entry Type",$C$4,"2 Item No.","@@"&amp;$F116,"3 Posting Date",J$9)-NL("Sum","5802 Value Entry","43 Cost Amount (Actual)","41 Source Type",$C$5,"5 Source no.",$C116,"4 Item Ledger Entry Type",$C$4,"2 Item No.","@@"&amp;$F116,"3 Posting Date",J$9)</t>
  </si>
  <si>
    <t>=J116-L116</t>
  </si>
  <si>
    <t>=IF(J116&lt;&gt;0,M116/J116,"")</t>
  </si>
  <si>
    <t>=NL("Sum","5802 Value Entry","150 Sales Amount (Expected)","41 Source Type",$C$5,"5 Source No.",$C116,"4 Item Ledger Entry Type",$C$4,"2 Item No.","@@"&amp;$F116,"3 Posting Date",O$9)+NL("Sum","5802 Value Entry","17 Sales Amount (Actual)","41 Source Type",$C$5,"5 Source no.",$C116,"4 Item Ledger Entry Type",$C$4,"2 Item No.","@@"&amp;$F116,"3 Posting Date",O$9)</t>
  </si>
  <si>
    <t>=-NL("Sum","5802 Value Entry","151 Cost Amount (Expected)","41 Source Type",$C$5,"5 Source No.",$C116,"4 Item Ledger Entry Type",$C$4,"2 Item No.","@@"&amp;$F116,"3 Posting Date",O$9)-NL("Sum","5802 Value Entry","43 Cost Amount (Actual)","41 Source Type",$C$5,"5 Source no.",$C116,"4 Item Ledger Entry Type",$C$4,"2 Item No.","@@"&amp;$F116,"3 Posting Date",O$9)</t>
  </si>
  <si>
    <t>=O116-Q116</t>
  </si>
  <si>
    <t>=IF(O116&lt;&gt;0,R116/O116,"")</t>
  </si>
  <si>
    <t>=NL("Sum","5802 Value Entry","150 Sales Amount (Expected)","41 Source Type",$C$5,"5 Source No.",$C116,"4 Item Ledger Entry Type",$C$4,"2 Item No.","@@"&amp;$F116,"3 Posting Date",U$9)+NL("Sum","5802 Value Entry","17 Sales Amount (Actual)","41 Source Type",$C$5,"5 Source no.",$C116,"4 Item Ledger Entry Type",$C$4,"2 Item No.","@@"&amp;$F116,"3 Posting Date",U$9)</t>
  </si>
  <si>
    <t>=-NL("Sum","5802 Value Entry","151 Cost Amount (Expected)","41 Source Type",$C$5,"5 Source No.",$C116,"4 Item Ledger Entry Type",$C$4,"2 Item No.","@@"&amp;$F116,"3 Posting Date",U$9)-NL("Sum","5802 Value Entry","43 Cost Amount (Actual)","41 Source Type",$C$5,"5 Source no.",$C116,"4 Item Ledger Entry Type",$C$4,"2 Item No.","@@"&amp;$F116,"3 Posting Date",U$9)</t>
  </si>
  <si>
    <t>=U116-W116</t>
  </si>
  <si>
    <t>=IF(U116&lt;&gt;0,X116/U116,"")</t>
  </si>
  <si>
    <t>=NL("Sum","5802 Value Entry","150 Sales Amount (Expected)","41 Source Type",$C$5,"5 Source No.",$C116,"4 Item Ledger Entry Type",$C$4,"2 Item No.","@@"&amp;$F116,"3 Posting Date",Z$9)+NL("Sum","5802 Value Entry","17 Sales Amount (Actual)","41 Source Type",$C$5,"5 Source no.",$C116,"4 Item Ledger Entry Type",$C$4,"2 Item No.","@@"&amp;$F116,"3 Posting Date",Z$9)</t>
  </si>
  <si>
    <t>=-NL("Sum","5802 Value Entry","151 Cost Amount (Expected)","41 Source Type",$C$5,"5 Source No.",$C116,"4 Item Ledger Entry Type",$C$4,"2 Item No.","@@"&amp;$F116,"3 Posting Date",Z$9)-NL("Sum","5802 Value Entry","43 Cost Amount (Actual)","41 Source Type",$C$5,"5 Source no.",$C116,"4 Item Ledger Entry Type",$C$4,"2 Item No.","@@"&amp;$F116,"3 Posting Date",Z$9)</t>
  </si>
  <si>
    <t>=Z116-AB116</t>
  </si>
  <si>
    <t>=IF(Z116&lt;&gt;0,AC116/Z116,"")</t>
  </si>
  <si>
    <t>=NL("Sum","5802 Value Entry","150 Sales Amount (Expected)","41 Source Type",$C$5,"5 Source No.",$C117,"4 Item Ledger Entry Type",$C$4,"2 Item No.","@@"&amp;$F117,"3 Posting Date",J$9)+NL("Sum","5802 Value Entry","17 Sales Amount (Actual)","41 Source Type",$C$5,"5 Source no.",$C117,"4 Item Ledger Entry Type",$C$4,"2 Item No.","@@"&amp;$F117,"3 Posting Date",J$9)</t>
  </si>
  <si>
    <t>=-NL("Sum","5802 Value Entry","151 Cost Amount (Expected)","41 Source Type",$C$5,"5 Source No.",$C117,"4 Item Ledger Entry Type",$C$4,"2 Item No.","@@"&amp;$F117,"3 Posting Date",J$9)-NL("Sum","5802 Value Entry","43 Cost Amount (Actual)","41 Source Type",$C$5,"5 Source no.",$C117,"4 Item Ledger Entry Type",$C$4,"2 Item No.","@@"&amp;$F117,"3 Posting Date",J$9)</t>
  </si>
  <si>
    <t>=J117-L117</t>
  </si>
  <si>
    <t>=IF(J117&lt;&gt;0,M117/J117,"")</t>
  </si>
  <si>
    <t>=NL("Sum","5802 Value Entry","150 Sales Amount (Expected)","41 Source Type",$C$5,"5 Source No.",$C117,"4 Item Ledger Entry Type",$C$4,"2 Item No.","@@"&amp;$F117,"3 Posting Date",O$9)+NL("Sum","5802 Value Entry","17 Sales Amount (Actual)","41 Source Type",$C$5,"5 Source no.",$C117,"4 Item Ledger Entry Type",$C$4,"2 Item No.","@@"&amp;$F117,"3 Posting Date",O$9)</t>
  </si>
  <si>
    <t>=-NL("Sum","5802 Value Entry","151 Cost Amount (Expected)","41 Source Type",$C$5,"5 Source No.",$C117,"4 Item Ledger Entry Type",$C$4,"2 Item No.","@@"&amp;$F117,"3 Posting Date",O$9)-NL("Sum","5802 Value Entry","43 Cost Amount (Actual)","41 Source Type",$C$5,"5 Source no.",$C117,"4 Item Ledger Entry Type",$C$4,"2 Item No.","@@"&amp;$F117,"3 Posting Date",O$9)</t>
  </si>
  <si>
    <t>=O117-Q117</t>
  </si>
  <si>
    <t>=IF(O117&lt;&gt;0,R117/O117,"")</t>
  </si>
  <si>
    <t>=NL("Sum","5802 Value Entry","150 Sales Amount (Expected)","41 Source Type",$C$5,"5 Source No.",$C117,"4 Item Ledger Entry Type",$C$4,"2 Item No.","@@"&amp;$F117,"3 Posting Date",U$9)+NL("Sum","5802 Value Entry","17 Sales Amount (Actual)","41 Source Type",$C$5,"5 Source no.",$C117,"4 Item Ledger Entry Type",$C$4,"2 Item No.","@@"&amp;$F117,"3 Posting Date",U$9)</t>
  </si>
  <si>
    <t>=-NL("Sum","5802 Value Entry","151 Cost Amount (Expected)","41 Source Type",$C$5,"5 Source No.",$C117,"4 Item Ledger Entry Type",$C$4,"2 Item No.","@@"&amp;$F117,"3 Posting Date",U$9)-NL("Sum","5802 Value Entry","43 Cost Amount (Actual)","41 Source Type",$C$5,"5 Source no.",$C117,"4 Item Ledger Entry Type",$C$4,"2 Item No.","@@"&amp;$F117,"3 Posting Date",U$9)</t>
  </si>
  <si>
    <t>=U117-W117</t>
  </si>
  <si>
    <t>=IF(U117&lt;&gt;0,X117/U117,"")</t>
  </si>
  <si>
    <t>=NL("Sum","5802 Value Entry","150 Sales Amount (Expected)","41 Source Type",$C$5,"5 Source No.",$C117,"4 Item Ledger Entry Type",$C$4,"2 Item No.","@@"&amp;$F117,"3 Posting Date",Z$9)+NL("Sum","5802 Value Entry","17 Sales Amount (Actual)","41 Source Type",$C$5,"5 Source no.",$C117,"4 Item Ledger Entry Type",$C$4,"2 Item No.","@@"&amp;$F117,"3 Posting Date",Z$9)</t>
  </si>
  <si>
    <t>=-NL("Sum","5802 Value Entry","151 Cost Amount (Expected)","41 Source Type",$C$5,"5 Source No.",$C117,"4 Item Ledger Entry Type",$C$4,"2 Item No.","@@"&amp;$F117,"3 Posting Date",Z$9)-NL("Sum","5802 Value Entry","43 Cost Amount (Actual)","41 Source Type",$C$5,"5 Source no.",$C117,"4 Item Ledger Entry Type",$C$4,"2 Item No.","@@"&amp;$F117,"3 Posting Date",Z$9)</t>
  </si>
  <si>
    <t>=Z117-AB117</t>
  </si>
  <si>
    <t>=IF(Z117&lt;&gt;0,AC117/Z117,"")</t>
  </si>
  <si>
    <t>=C138&amp;" TOTAL:"</t>
  </si>
  <si>
    <t>=SUBTOTAL(9,J110:J137)</t>
  </si>
  <si>
    <t>=SUBTOTAL(9,K110:K137)</t>
  </si>
  <si>
    <t>=SUBTOTAL(9,L110:L137)</t>
  </si>
  <si>
    <t>=SUBTOTAL(9,O110:O137)</t>
  </si>
  <si>
    <t>=SUBTOTAL(9,P110:P137)</t>
  </si>
  <si>
    <t>=SUBTOTAL(9,Q110:Q137)</t>
  </si>
  <si>
    <t>=SUBTOTAL(9,U110:U137)</t>
  </si>
  <si>
    <t>=SUBTOTAL(9,V110:V137)</t>
  </si>
  <si>
    <t>=SUBTOTAL(9,W110:W137)</t>
  </si>
  <si>
    <t>=SUBTOTAL(9,Z110:Z137)</t>
  </si>
  <si>
    <t>=SUBTOTAL(9,AA110:AA137)</t>
  </si>
  <si>
    <t>=SUBTOTAL(9,AB110:AB137)</t>
  </si>
  <si>
    <t>=E140</t>
  </si>
  <si>
    <t>=NL(,"18 Customer","2 Name","1 No.",$E140)</t>
  </si>
  <si>
    <t>=NL("Rows","5802 Value Entry","2 Item No.","4 Item Ledger Entry Type",$C$4,"41 Source Type",$C$5,"5 Source No.",$C142,"Item No.",$C$7,"3 Posting Date",$C$10)</t>
  </si>
  <si>
    <t>=C143</t>
  </si>
  <si>
    <t>=NL("Sum","5802 Value Entry","150 Sales Amount (Expected)","41 Source Type",$C$5,"5 Source No.",$C144,"4 Item Ledger Entry Type",$C$4,"2 Item No.","@@"&amp;$F144,"3 Posting Date",J$9)+NL("Sum","5802 Value Entry","17 Sales Amount (Actual)","41 Source Type",$C$5,"5 Source no.",$C144,"4 Item Ledger Entry Type",$C$4,"2 Item No.","@@"&amp;$F144,"3 Posting Date",J$9)</t>
  </si>
  <si>
    <t>=-NL("Sum","5802 Value Entry","151 Cost Amount (Expected)","41 Source Type",$C$5,"5 Source No.",$C144,"4 Item Ledger Entry Type",$C$4,"2 Item No.","@@"&amp;$F144,"3 Posting Date",J$9)-NL("Sum","5802 Value Entry","43 Cost Amount (Actual)","41 Source Type",$C$5,"5 Source no.",$C144,"4 Item Ledger Entry Type",$C$4,"2 Item No.","@@"&amp;$F144,"3 Posting Date",J$9)</t>
  </si>
  <si>
    <t>=J144-L144</t>
  </si>
  <si>
    <t>=IF(J144&lt;&gt;0,M144/J144,"")</t>
  </si>
  <si>
    <t>=NL("Sum","5802 Value Entry","150 Sales Amount (Expected)","41 Source Type",$C$5,"5 Source No.",$C144,"4 Item Ledger Entry Type",$C$4,"2 Item No.","@@"&amp;$F144,"3 Posting Date",O$9)+NL("Sum","5802 Value Entry","17 Sales Amount (Actual)","41 Source Type",$C$5,"5 Source no.",$C144,"4 Item Ledger Entry Type",$C$4,"2 Item No.","@@"&amp;$F144,"3 Posting Date",O$9)</t>
  </si>
  <si>
    <t>=-NL("Sum","5802 Value Entry","151 Cost Amount (Expected)","41 Source Type",$C$5,"5 Source No.",$C144,"4 Item Ledger Entry Type",$C$4,"2 Item No.","@@"&amp;$F144,"3 Posting Date",O$9)-NL("Sum","5802 Value Entry","43 Cost Amount (Actual)","41 Source Type",$C$5,"5 Source no.",$C144,"4 Item Ledger Entry Type",$C$4,"2 Item No.","@@"&amp;$F144,"3 Posting Date",O$9)</t>
  </si>
  <si>
    <t>=O144-Q144</t>
  </si>
  <si>
    <t>=IF(O144&lt;&gt;0,R144/O144,"")</t>
  </si>
  <si>
    <t>=NL("Sum","5802 Value Entry","150 Sales Amount (Expected)","41 Source Type",$C$5,"5 Source No.",$C144,"4 Item Ledger Entry Type",$C$4,"2 Item No.","@@"&amp;$F144,"3 Posting Date",U$9)+NL("Sum","5802 Value Entry","17 Sales Amount (Actual)","41 Source Type",$C$5,"5 Source no.",$C144,"4 Item Ledger Entry Type",$C$4,"2 Item No.","@@"&amp;$F144,"3 Posting Date",U$9)</t>
  </si>
  <si>
    <t>=-NL("Sum","5802 Value Entry","151 Cost Amount (Expected)","41 Source Type",$C$5,"5 Source No.",$C144,"4 Item Ledger Entry Type",$C$4,"2 Item No.","@@"&amp;$F144,"3 Posting Date",U$9)-NL("Sum","5802 Value Entry","43 Cost Amount (Actual)","41 Source Type",$C$5,"5 Source no.",$C144,"4 Item Ledger Entry Type",$C$4,"2 Item No.","@@"&amp;$F144,"3 Posting Date",U$9)</t>
  </si>
  <si>
    <t>=U144-W144</t>
  </si>
  <si>
    <t>=IF(U144&lt;&gt;0,X144/U144,"")</t>
  </si>
  <si>
    <t>=NL("Sum","5802 Value Entry","150 Sales Amount (Expected)","41 Source Type",$C$5,"5 Source No.",$C144,"4 Item Ledger Entry Type",$C$4,"2 Item No.","@@"&amp;$F144,"3 Posting Date",Z$9)+NL("Sum","5802 Value Entry","17 Sales Amount (Actual)","41 Source Type",$C$5,"5 Source no.",$C144,"4 Item Ledger Entry Type",$C$4,"2 Item No.","@@"&amp;$F144,"3 Posting Date",Z$9)</t>
  </si>
  <si>
    <t>=-NL("Sum","5802 Value Entry","151 Cost Amount (Expected)","41 Source Type",$C$5,"5 Source No.",$C144,"4 Item Ledger Entry Type",$C$4,"2 Item No.","@@"&amp;$F144,"3 Posting Date",Z$9)-NL("Sum","5802 Value Entry","43 Cost Amount (Actual)","41 Source Type",$C$5,"5 Source no.",$C144,"4 Item Ledger Entry Type",$C$4,"2 Item No.","@@"&amp;$F144,"3 Posting Date",Z$9)</t>
  </si>
  <si>
    <t>=Z144-AB144</t>
  </si>
  <si>
    <t>=IF(Z144&lt;&gt;0,AC144/Z144,"")</t>
  </si>
  <si>
    <t>=NL("Sum","5802 Value Entry","150 Sales Amount (Expected)","41 Source Type",$C$5,"5 Source No.",$C145,"4 Item Ledger Entry Type",$C$4,"2 Item No.","@@"&amp;$F145,"3 Posting Date",J$9)+NL("Sum","5802 Value Entry","17 Sales Amount (Actual)","41 Source Type",$C$5,"5 Source no.",$C145,"4 Item Ledger Entry Type",$C$4,"2 Item No.","@@"&amp;$F145,"3 Posting Date",J$9)</t>
  </si>
  <si>
    <t>=-NL("Sum","5802 Value Entry","151 Cost Amount (Expected)","41 Source Type",$C$5,"5 Source No.",$C145,"4 Item Ledger Entry Type",$C$4,"2 Item No.","@@"&amp;$F145,"3 Posting Date",J$9)-NL("Sum","5802 Value Entry","43 Cost Amount (Actual)","41 Source Type",$C$5,"5 Source no.",$C145,"4 Item Ledger Entry Type",$C$4,"2 Item No.","@@"&amp;$F145,"3 Posting Date",J$9)</t>
  </si>
  <si>
    <t>=NL("Sum","5802 Value Entry","150 Sales Amount (Expected)","41 Source Type",$C$5,"5 Source No.",$C145,"4 Item Ledger Entry Type",$C$4,"2 Item No.","@@"&amp;$F145,"3 Posting Date",O$9)+NL("Sum","5802 Value Entry","17 Sales Amount (Actual)","41 Source Type",$C$5,"5 Source no.",$C145,"4 Item Ledger Entry Type",$C$4,"2 Item No.","@@"&amp;$F145,"3 Posting Date",O$9)</t>
  </si>
  <si>
    <t>=-NL("Sum","5802 Value Entry","151 Cost Amount (Expected)","41 Source Type",$C$5,"5 Source No.",$C145,"4 Item Ledger Entry Type",$C$4,"2 Item No.","@@"&amp;$F145,"3 Posting Date",O$9)-NL("Sum","5802 Value Entry","43 Cost Amount (Actual)","41 Source Type",$C$5,"5 Source no.",$C145,"4 Item Ledger Entry Type",$C$4,"2 Item No.","@@"&amp;$F145,"3 Posting Date",O$9)</t>
  </si>
  <si>
    <t>=NL("Sum","5802 Value Entry","150 Sales Amount (Expected)","41 Source Type",$C$5,"5 Source No.",$C145,"4 Item Ledger Entry Type",$C$4,"2 Item No.","@@"&amp;$F145,"3 Posting Date",U$9)+NL("Sum","5802 Value Entry","17 Sales Amount (Actual)","41 Source Type",$C$5,"5 Source no.",$C145,"4 Item Ledger Entry Type",$C$4,"2 Item No.","@@"&amp;$F145,"3 Posting Date",U$9)</t>
  </si>
  <si>
    <t>=-NL("Sum","5802 Value Entry","151 Cost Amount (Expected)","41 Source Type",$C$5,"5 Source No.",$C145,"4 Item Ledger Entry Type",$C$4,"2 Item No.","@@"&amp;$F145,"3 Posting Date",U$9)-NL("Sum","5802 Value Entry","43 Cost Amount (Actual)","41 Source Type",$C$5,"5 Source no.",$C145,"4 Item Ledger Entry Type",$C$4,"2 Item No.","@@"&amp;$F145,"3 Posting Date",U$9)</t>
  </si>
  <si>
    <t>=NL("Sum","5802 Value Entry","150 Sales Amount (Expected)","41 Source Type",$C$5,"5 Source No.",$C145,"4 Item Ledger Entry Type",$C$4,"2 Item No.","@@"&amp;$F145,"3 Posting Date",Z$9)+NL("Sum","5802 Value Entry","17 Sales Amount (Actual)","41 Source Type",$C$5,"5 Source no.",$C145,"4 Item Ledger Entry Type",$C$4,"2 Item No.","@@"&amp;$F145,"3 Posting Date",Z$9)</t>
  </si>
  <si>
    <t>=-NL("Sum","5802 Value Entry","151 Cost Amount (Expected)","41 Source Type",$C$5,"5 Source No.",$C145,"4 Item Ledger Entry Type",$C$4,"2 Item No.","@@"&amp;$F145,"3 Posting Date",Z$9)-NL("Sum","5802 Value Entry","43 Cost Amount (Actual)","41 Source Type",$C$5,"5 Source no.",$C145,"4 Item Ledger Entry Type",$C$4,"2 Item No.","@@"&amp;$F145,"3 Posting Date",Z$9)</t>
  </si>
  <si>
    <t>=C145</t>
  </si>
  <si>
    <t>=NL("Sum","5802 Value Entry","150 Sales Amount (Expected)","41 Source Type",$C$5,"5 Source No.",$C146,"4 Item Ledger Entry Type",$C$4,"2 Item No.","@@"&amp;$F146,"3 Posting Date",J$9)+NL("Sum","5802 Value Entry","17 Sales Amount (Actual)","41 Source Type",$C$5,"5 Source no.",$C146,"4 Item Ledger Entry Type",$C$4,"2 Item No.","@@"&amp;$F146,"3 Posting Date",J$9)</t>
  </si>
  <si>
    <t>=-NL("Sum","5802 Value Entry","151 Cost Amount (Expected)","41 Source Type",$C$5,"5 Source No.",$C146,"4 Item Ledger Entry Type",$C$4,"2 Item No.","@@"&amp;$F146,"3 Posting Date",J$9)-NL("Sum","5802 Value Entry","43 Cost Amount (Actual)","41 Source Type",$C$5,"5 Source no.",$C146,"4 Item Ledger Entry Type",$C$4,"2 Item No.","@@"&amp;$F146,"3 Posting Date",J$9)</t>
  </si>
  <si>
    <t>=J146-L146</t>
  </si>
  <si>
    <t>=IF(J146&lt;&gt;0,M146/J146,"")</t>
  </si>
  <si>
    <t>=NL("Sum","5802 Value Entry","150 Sales Amount (Expected)","41 Source Type",$C$5,"5 Source No.",$C146,"4 Item Ledger Entry Type",$C$4,"2 Item No.","@@"&amp;$F146,"3 Posting Date",O$9)+NL("Sum","5802 Value Entry","17 Sales Amount (Actual)","41 Source Type",$C$5,"5 Source no.",$C146,"4 Item Ledger Entry Type",$C$4,"2 Item No.","@@"&amp;$F146,"3 Posting Date",O$9)</t>
  </si>
  <si>
    <t>=-NL("Sum","5802 Value Entry","151 Cost Amount (Expected)","41 Source Type",$C$5,"5 Source No.",$C146,"4 Item Ledger Entry Type",$C$4,"2 Item No.","@@"&amp;$F146,"3 Posting Date",O$9)-NL("Sum","5802 Value Entry","43 Cost Amount (Actual)","41 Source Type",$C$5,"5 Source no.",$C146,"4 Item Ledger Entry Type",$C$4,"2 Item No.","@@"&amp;$F146,"3 Posting Date",O$9)</t>
  </si>
  <si>
    <t>=O146-Q146</t>
  </si>
  <si>
    <t>=IF(O146&lt;&gt;0,R146/O146,"")</t>
  </si>
  <si>
    <t>=NL("Sum","5802 Value Entry","150 Sales Amount (Expected)","41 Source Type",$C$5,"5 Source No.",$C146,"4 Item Ledger Entry Type",$C$4,"2 Item No.","@@"&amp;$F146,"3 Posting Date",U$9)+NL("Sum","5802 Value Entry","17 Sales Amount (Actual)","41 Source Type",$C$5,"5 Source no.",$C146,"4 Item Ledger Entry Type",$C$4,"2 Item No.","@@"&amp;$F146,"3 Posting Date",U$9)</t>
  </si>
  <si>
    <t>=-NL("Sum","5802 Value Entry","151 Cost Amount (Expected)","41 Source Type",$C$5,"5 Source No.",$C146,"4 Item Ledger Entry Type",$C$4,"2 Item No.","@@"&amp;$F146,"3 Posting Date",U$9)-NL("Sum","5802 Value Entry","43 Cost Amount (Actual)","41 Source Type",$C$5,"5 Source no.",$C146,"4 Item Ledger Entry Type",$C$4,"2 Item No.","@@"&amp;$F146,"3 Posting Date",U$9)</t>
  </si>
  <si>
    <t>=U146-W146</t>
  </si>
  <si>
    <t>=IF(U146&lt;&gt;0,X146/U146,"")</t>
  </si>
  <si>
    <t>=NL("Sum","5802 Value Entry","150 Sales Amount (Expected)","41 Source Type",$C$5,"5 Source No.",$C146,"4 Item Ledger Entry Type",$C$4,"2 Item No.","@@"&amp;$F146,"3 Posting Date",Z$9)+NL("Sum","5802 Value Entry","17 Sales Amount (Actual)","41 Source Type",$C$5,"5 Source no.",$C146,"4 Item Ledger Entry Type",$C$4,"2 Item No.","@@"&amp;$F146,"3 Posting Date",Z$9)</t>
  </si>
  <si>
    <t>=-NL("Sum","5802 Value Entry","151 Cost Amount (Expected)","41 Source Type",$C$5,"5 Source No.",$C146,"4 Item Ledger Entry Type",$C$4,"2 Item No.","@@"&amp;$F146,"3 Posting Date",Z$9)-NL("Sum","5802 Value Entry","43 Cost Amount (Actual)","41 Source Type",$C$5,"5 Source no.",$C146,"4 Item Ledger Entry Type",$C$4,"2 Item No.","@@"&amp;$F146,"3 Posting Date",Z$9)</t>
  </si>
  <si>
    <t>=Z146-AB146</t>
  </si>
  <si>
    <t>=IF(Z146&lt;&gt;0,AC146/Z146,"")</t>
  </si>
  <si>
    <t>=C146</t>
  </si>
  <si>
    <t>=NL("Sum","5802 Value Entry","150 Sales Amount (Expected)","41 Source Type",$C$5,"5 Source No.",$C147,"4 Item Ledger Entry Type",$C$4,"2 Item No.","@@"&amp;$F147,"3 Posting Date",J$9)+NL("Sum","5802 Value Entry","17 Sales Amount (Actual)","41 Source Type",$C$5,"5 Source no.",$C147,"4 Item Ledger Entry Type",$C$4,"2 Item No.","@@"&amp;$F147,"3 Posting Date",J$9)</t>
  </si>
  <si>
    <t>=-NL("Sum","5802 Value Entry","151 Cost Amount (Expected)","41 Source Type",$C$5,"5 Source No.",$C147,"4 Item Ledger Entry Type",$C$4,"2 Item No.","@@"&amp;$F147,"3 Posting Date",J$9)-NL("Sum","5802 Value Entry","43 Cost Amount (Actual)","41 Source Type",$C$5,"5 Source no.",$C147,"4 Item Ledger Entry Type",$C$4,"2 Item No.","@@"&amp;$F147,"3 Posting Date",J$9)</t>
  </si>
  <si>
    <t>=J147-L147</t>
  </si>
  <si>
    <t>=IF(J147&lt;&gt;0,M147/J147,"")</t>
  </si>
  <si>
    <t>=NL("Sum","5802 Value Entry","150 Sales Amount (Expected)","41 Source Type",$C$5,"5 Source No.",$C147,"4 Item Ledger Entry Type",$C$4,"2 Item No.","@@"&amp;$F147,"3 Posting Date",O$9)+NL("Sum","5802 Value Entry","17 Sales Amount (Actual)","41 Source Type",$C$5,"5 Source no.",$C147,"4 Item Ledger Entry Type",$C$4,"2 Item No.","@@"&amp;$F147,"3 Posting Date",O$9)</t>
  </si>
  <si>
    <t>=-NL("Sum","5802 Value Entry","151 Cost Amount (Expected)","41 Source Type",$C$5,"5 Source No.",$C147,"4 Item Ledger Entry Type",$C$4,"2 Item No.","@@"&amp;$F147,"3 Posting Date",O$9)-NL("Sum","5802 Value Entry","43 Cost Amount (Actual)","41 Source Type",$C$5,"5 Source no.",$C147,"4 Item Ledger Entry Type",$C$4,"2 Item No.","@@"&amp;$F147,"3 Posting Date",O$9)</t>
  </si>
  <si>
    <t>=O147-Q147</t>
  </si>
  <si>
    <t>=IF(O147&lt;&gt;0,R147/O147,"")</t>
  </si>
  <si>
    <t>=NL("Sum","5802 Value Entry","150 Sales Amount (Expected)","41 Source Type",$C$5,"5 Source No.",$C147,"4 Item Ledger Entry Type",$C$4,"2 Item No.","@@"&amp;$F147,"3 Posting Date",U$9)+NL("Sum","5802 Value Entry","17 Sales Amount (Actual)","41 Source Type",$C$5,"5 Source no.",$C147,"4 Item Ledger Entry Type",$C$4,"2 Item No.","@@"&amp;$F147,"3 Posting Date",U$9)</t>
  </si>
  <si>
    <t>=-NL("Sum","5802 Value Entry","151 Cost Amount (Expected)","41 Source Type",$C$5,"5 Source No.",$C147,"4 Item Ledger Entry Type",$C$4,"2 Item No.","@@"&amp;$F147,"3 Posting Date",U$9)-NL("Sum","5802 Value Entry","43 Cost Amount (Actual)","41 Source Type",$C$5,"5 Source no.",$C147,"4 Item Ledger Entry Type",$C$4,"2 Item No.","@@"&amp;$F147,"3 Posting Date",U$9)</t>
  </si>
  <si>
    <t>=U147-W147</t>
  </si>
  <si>
    <t>=IF(U147&lt;&gt;0,X147/U147,"")</t>
  </si>
  <si>
    <t>=NL("Sum","5802 Value Entry","150 Sales Amount (Expected)","41 Source Type",$C$5,"5 Source No.",$C147,"4 Item Ledger Entry Type",$C$4,"2 Item No.","@@"&amp;$F147,"3 Posting Date",Z$9)+NL("Sum","5802 Value Entry","17 Sales Amount (Actual)","41 Source Type",$C$5,"5 Source no.",$C147,"4 Item Ledger Entry Type",$C$4,"2 Item No.","@@"&amp;$F147,"3 Posting Date",Z$9)</t>
  </si>
  <si>
    <t>=-NL("Sum","5802 Value Entry","151 Cost Amount (Expected)","41 Source Type",$C$5,"5 Source No.",$C147,"4 Item Ledger Entry Type",$C$4,"2 Item No.","@@"&amp;$F147,"3 Posting Date",Z$9)-NL("Sum","5802 Value Entry","43 Cost Amount (Actual)","41 Source Type",$C$5,"5 Source no.",$C147,"4 Item Ledger Entry Type",$C$4,"2 Item No.","@@"&amp;$F147,"3 Posting Date",Z$9)</t>
  </si>
  <si>
    <t>=Z147-AB147</t>
  </si>
  <si>
    <t>=IF(Z147&lt;&gt;0,AC147/Z147,"")</t>
  </si>
  <si>
    <t>=NL("Sum","5802 Value Entry","150 Sales Amount (Expected)","41 Source Type",$C$5,"5 Source No.",$C148,"4 Item Ledger Entry Type",$C$4,"2 Item No.","@@"&amp;$F148,"3 Posting Date",J$9)+NL("Sum","5802 Value Entry","17 Sales Amount (Actual)","41 Source Type",$C$5,"5 Source no.",$C148,"4 Item Ledger Entry Type",$C$4,"2 Item No.","@@"&amp;$F148,"3 Posting Date",J$9)</t>
  </si>
  <si>
    <t>=-NL("Sum","5802 Value Entry","151 Cost Amount (Expected)","41 Source Type",$C$5,"5 Source No.",$C148,"4 Item Ledger Entry Type",$C$4,"2 Item No.","@@"&amp;$F148,"3 Posting Date",J$9)-NL("Sum","5802 Value Entry","43 Cost Amount (Actual)","41 Source Type",$C$5,"5 Source no.",$C148,"4 Item Ledger Entry Type",$C$4,"2 Item No.","@@"&amp;$F148,"3 Posting Date",J$9)</t>
  </si>
  <si>
    <t>=J148-L148</t>
  </si>
  <si>
    <t>=IF(J148&lt;&gt;0,M148/J148,"")</t>
  </si>
  <si>
    <t>=NL("Sum","5802 Value Entry","150 Sales Amount (Expected)","41 Source Type",$C$5,"5 Source No.",$C148,"4 Item Ledger Entry Type",$C$4,"2 Item No.","@@"&amp;$F148,"3 Posting Date",O$9)+NL("Sum","5802 Value Entry","17 Sales Amount (Actual)","41 Source Type",$C$5,"5 Source no.",$C148,"4 Item Ledger Entry Type",$C$4,"2 Item No.","@@"&amp;$F148,"3 Posting Date",O$9)</t>
  </si>
  <si>
    <t>=-NL("Sum","5802 Value Entry","151 Cost Amount (Expected)","41 Source Type",$C$5,"5 Source No.",$C148,"4 Item Ledger Entry Type",$C$4,"2 Item No.","@@"&amp;$F148,"3 Posting Date",O$9)-NL("Sum","5802 Value Entry","43 Cost Amount (Actual)","41 Source Type",$C$5,"5 Source no.",$C148,"4 Item Ledger Entry Type",$C$4,"2 Item No.","@@"&amp;$F148,"3 Posting Date",O$9)</t>
  </si>
  <si>
    <t>=O148-Q148</t>
  </si>
  <si>
    <t>=IF(O148&lt;&gt;0,R148/O148,"")</t>
  </si>
  <si>
    <t>=NL("Sum","5802 Value Entry","150 Sales Amount (Expected)","41 Source Type",$C$5,"5 Source No.",$C148,"4 Item Ledger Entry Type",$C$4,"2 Item No.","@@"&amp;$F148,"3 Posting Date",U$9)+NL("Sum","5802 Value Entry","17 Sales Amount (Actual)","41 Source Type",$C$5,"5 Source no.",$C148,"4 Item Ledger Entry Type",$C$4,"2 Item No.","@@"&amp;$F148,"3 Posting Date",U$9)</t>
  </si>
  <si>
    <t>=-NL("Sum","5802 Value Entry","151 Cost Amount (Expected)","41 Source Type",$C$5,"5 Source No.",$C148,"4 Item Ledger Entry Type",$C$4,"2 Item No.","@@"&amp;$F148,"3 Posting Date",U$9)-NL("Sum","5802 Value Entry","43 Cost Amount (Actual)","41 Source Type",$C$5,"5 Source no.",$C148,"4 Item Ledger Entry Type",$C$4,"2 Item No.","@@"&amp;$F148,"3 Posting Date",U$9)</t>
  </si>
  <si>
    <t>=U148-W148</t>
  </si>
  <si>
    <t>=IF(U148&lt;&gt;0,X148/U148,"")</t>
  </si>
  <si>
    <t>=NL("Sum","5802 Value Entry","150 Sales Amount (Expected)","41 Source Type",$C$5,"5 Source No.",$C148,"4 Item Ledger Entry Type",$C$4,"2 Item No.","@@"&amp;$F148,"3 Posting Date",Z$9)+NL("Sum","5802 Value Entry","17 Sales Amount (Actual)","41 Source Type",$C$5,"5 Source no.",$C148,"4 Item Ledger Entry Type",$C$4,"2 Item No.","@@"&amp;$F148,"3 Posting Date",Z$9)</t>
  </si>
  <si>
    <t>=-NL("Sum","5802 Value Entry","151 Cost Amount (Expected)","41 Source Type",$C$5,"5 Source No.",$C148,"4 Item Ledger Entry Type",$C$4,"2 Item No.","@@"&amp;$F148,"3 Posting Date",Z$9)-NL("Sum","5802 Value Entry","43 Cost Amount (Actual)","41 Source Type",$C$5,"5 Source no.",$C148,"4 Item Ledger Entry Type",$C$4,"2 Item No.","@@"&amp;$F148,"3 Posting Date",Z$9)</t>
  </si>
  <si>
    <t>=Z148-AB148</t>
  </si>
  <si>
    <t>=IF(Z148&lt;&gt;0,AC148/Z148,"")</t>
  </si>
  <si>
    <t>=C163&amp;" TOTAL:"</t>
  </si>
  <si>
    <t>=SUBTOTAL(9,J141:J162)</t>
  </si>
  <si>
    <t>=SUBTOTAL(9,K141:K162)</t>
  </si>
  <si>
    <t>=SUBTOTAL(9,L141:L162)</t>
  </si>
  <si>
    <t>=SUBTOTAL(9,O141:O162)</t>
  </si>
  <si>
    <t>=SUBTOTAL(9,P141:P162)</t>
  </si>
  <si>
    <t>=SUBTOTAL(9,Q141:Q162)</t>
  </si>
  <si>
    <t>=SUBTOTAL(9,U141:U162)</t>
  </si>
  <si>
    <t>=SUBTOTAL(9,V141:V162)</t>
  </si>
  <si>
    <t>=SUBTOTAL(9,W141:W162)</t>
  </si>
  <si>
    <t>=SUBTOTAL(9,Z141:Z162)</t>
  </si>
  <si>
    <t>=SUBTOTAL(9,AA141:AA162)</t>
  </si>
  <si>
    <t>=SUBTOTAL(9,AB141:AB162)</t>
  </si>
  <si>
    <t>=E165</t>
  </si>
  <si>
    <t>=NL(,"18 Customer","2 Name","1 No.",$E165)</t>
  </si>
  <si>
    <t>=NL("Rows","5802 Value Entry","2 Item No.","4 Item Ledger Entry Type",$C$4,"41 Source Type",$C$5,"5 Source No.",$C167,"Item No.",$C$7,"3 Posting Date",$C$10)</t>
  </si>
  <si>
    <t>=C171</t>
  </si>
  <si>
    <t>=NL("Sum","5802 Value Entry","150 Sales Amount (Expected)","41 Source Type",$C$5,"5 Source No.",$C172,"4 Item Ledger Entry Type",$C$4,"2 Item No.","@@"&amp;$F172,"3 Posting Date",J$9)+NL("Sum","5802 Value Entry","17 Sales Amount (Actual)","41 Source Type",$C$5,"5 Source no.",$C172,"4 Item Ledger Entry Type",$C$4,"2 Item No.","@@"&amp;$F172,"3 Posting Date",J$9)</t>
  </si>
  <si>
    <t>=-NL("Sum","5802 Value Entry","151 Cost Amount (Expected)","41 Source Type",$C$5,"5 Source No.",$C172,"4 Item Ledger Entry Type",$C$4,"2 Item No.","@@"&amp;$F172,"3 Posting Date",J$9)-NL("Sum","5802 Value Entry","43 Cost Amount (Actual)","41 Source Type",$C$5,"5 Source no.",$C172,"4 Item Ledger Entry Type",$C$4,"2 Item No.","@@"&amp;$F172,"3 Posting Date",J$9)</t>
  </si>
  <si>
    <t>=J172-L172</t>
  </si>
  <si>
    <t>=IF(J172&lt;&gt;0,M172/J172,"")</t>
  </si>
  <si>
    <t>=NL("Sum","5802 Value Entry","150 Sales Amount (Expected)","41 Source Type",$C$5,"5 Source No.",$C172,"4 Item Ledger Entry Type",$C$4,"2 Item No.","@@"&amp;$F172,"3 Posting Date",O$9)+NL("Sum","5802 Value Entry","17 Sales Amount (Actual)","41 Source Type",$C$5,"5 Source no.",$C172,"4 Item Ledger Entry Type",$C$4,"2 Item No.","@@"&amp;$F172,"3 Posting Date",O$9)</t>
  </si>
  <si>
    <t>=-NL("Sum","5802 Value Entry","151 Cost Amount (Expected)","41 Source Type",$C$5,"5 Source No.",$C172,"4 Item Ledger Entry Type",$C$4,"2 Item No.","@@"&amp;$F172,"3 Posting Date",O$9)-NL("Sum","5802 Value Entry","43 Cost Amount (Actual)","41 Source Type",$C$5,"5 Source no.",$C172,"4 Item Ledger Entry Type",$C$4,"2 Item No.","@@"&amp;$F172,"3 Posting Date",O$9)</t>
  </si>
  <si>
    <t>=O172-Q172</t>
  </si>
  <si>
    <t>=IF(O172&lt;&gt;0,R172/O172,"")</t>
  </si>
  <si>
    <t>=NL("Sum","5802 Value Entry","150 Sales Amount (Expected)","41 Source Type",$C$5,"5 Source No.",$C172,"4 Item Ledger Entry Type",$C$4,"2 Item No.","@@"&amp;$F172,"3 Posting Date",U$9)+NL("Sum","5802 Value Entry","17 Sales Amount (Actual)","41 Source Type",$C$5,"5 Source no.",$C172,"4 Item Ledger Entry Type",$C$4,"2 Item No.","@@"&amp;$F172,"3 Posting Date",U$9)</t>
  </si>
  <si>
    <t>=-NL("Sum","5802 Value Entry","151 Cost Amount (Expected)","41 Source Type",$C$5,"5 Source No.",$C172,"4 Item Ledger Entry Type",$C$4,"2 Item No.","@@"&amp;$F172,"3 Posting Date",U$9)-NL("Sum","5802 Value Entry","43 Cost Amount (Actual)","41 Source Type",$C$5,"5 Source no.",$C172,"4 Item Ledger Entry Type",$C$4,"2 Item No.","@@"&amp;$F172,"3 Posting Date",U$9)</t>
  </si>
  <si>
    <t>=U172-W172</t>
  </si>
  <si>
    <t>=IF(U172&lt;&gt;0,X172/U172,"")</t>
  </si>
  <si>
    <t>=NL("Sum","5802 Value Entry","150 Sales Amount (Expected)","41 Source Type",$C$5,"5 Source No.",$C172,"4 Item Ledger Entry Type",$C$4,"2 Item No.","@@"&amp;$F172,"3 Posting Date",Z$9)+NL("Sum","5802 Value Entry","17 Sales Amount (Actual)","41 Source Type",$C$5,"5 Source no.",$C172,"4 Item Ledger Entry Type",$C$4,"2 Item No.","@@"&amp;$F172,"3 Posting Date",Z$9)</t>
  </si>
  <si>
    <t>=-NL("Sum","5802 Value Entry","151 Cost Amount (Expected)","41 Source Type",$C$5,"5 Source No.",$C172,"4 Item Ledger Entry Type",$C$4,"2 Item No.","@@"&amp;$F172,"3 Posting Date",Z$9)-NL("Sum","5802 Value Entry","43 Cost Amount (Actual)","41 Source Type",$C$5,"5 Source no.",$C172,"4 Item Ledger Entry Type",$C$4,"2 Item No.","@@"&amp;$F172,"3 Posting Date",Z$9)</t>
  </si>
  <si>
    <t>=Z172-AB172</t>
  </si>
  <si>
    <t>=IF(Z172&lt;&gt;0,AC172/Z172,"")</t>
  </si>
  <si>
    <t>=NL("Sum","5802 Value Entry","150 Sales Amount (Expected)","41 Source Type",$C$5,"5 Source No.",$C173,"4 Item Ledger Entry Type",$C$4,"2 Item No.","@@"&amp;$F173,"3 Posting Date",J$9)+NL("Sum","5802 Value Entry","17 Sales Amount (Actual)","41 Source Type",$C$5,"5 Source no.",$C173,"4 Item Ledger Entry Type",$C$4,"2 Item No.","@@"&amp;$F173,"3 Posting Date",J$9)</t>
  </si>
  <si>
    <t>=-NL("Sum","5802 Value Entry","151 Cost Amount (Expected)","41 Source Type",$C$5,"5 Source No.",$C173,"4 Item Ledger Entry Type",$C$4,"2 Item No.","@@"&amp;$F173,"3 Posting Date",J$9)-NL("Sum","5802 Value Entry","43 Cost Amount (Actual)","41 Source Type",$C$5,"5 Source no.",$C173,"4 Item Ledger Entry Type",$C$4,"2 Item No.","@@"&amp;$F173,"3 Posting Date",J$9)</t>
  </si>
  <si>
    <t>=NL("Sum","5802 Value Entry","150 Sales Amount (Expected)","41 Source Type",$C$5,"5 Source No.",$C173,"4 Item Ledger Entry Type",$C$4,"2 Item No.","@@"&amp;$F173,"3 Posting Date",O$9)+NL("Sum","5802 Value Entry","17 Sales Amount (Actual)","41 Source Type",$C$5,"5 Source no.",$C173,"4 Item Ledger Entry Type",$C$4,"2 Item No.","@@"&amp;$F173,"3 Posting Date",O$9)</t>
  </si>
  <si>
    <t>=-NL("Sum","5802 Value Entry","151 Cost Amount (Expected)","41 Source Type",$C$5,"5 Source No.",$C173,"4 Item Ledger Entry Type",$C$4,"2 Item No.","@@"&amp;$F173,"3 Posting Date",O$9)-NL("Sum","5802 Value Entry","43 Cost Amount (Actual)","41 Source Type",$C$5,"5 Source no.",$C173,"4 Item Ledger Entry Type",$C$4,"2 Item No.","@@"&amp;$F173,"3 Posting Date",O$9)</t>
  </si>
  <si>
    <t>=NL("Sum","5802 Value Entry","150 Sales Amount (Expected)","41 Source Type",$C$5,"5 Source No.",$C173,"4 Item Ledger Entry Type",$C$4,"2 Item No.","@@"&amp;$F173,"3 Posting Date",U$9)+NL("Sum","5802 Value Entry","17 Sales Amount (Actual)","41 Source Type",$C$5,"5 Source no.",$C173,"4 Item Ledger Entry Type",$C$4,"2 Item No.","@@"&amp;$F173,"3 Posting Date",U$9)</t>
  </si>
  <si>
    <t>=-NL("Sum","5802 Value Entry","151 Cost Amount (Expected)","41 Source Type",$C$5,"5 Source No.",$C173,"4 Item Ledger Entry Type",$C$4,"2 Item No.","@@"&amp;$F173,"3 Posting Date",U$9)-NL("Sum","5802 Value Entry","43 Cost Amount (Actual)","41 Source Type",$C$5,"5 Source no.",$C173,"4 Item Ledger Entry Type",$C$4,"2 Item No.","@@"&amp;$F173,"3 Posting Date",U$9)</t>
  </si>
  <si>
    <t>=NL("Sum","5802 Value Entry","150 Sales Amount (Expected)","41 Source Type",$C$5,"5 Source No.",$C173,"4 Item Ledger Entry Type",$C$4,"2 Item No.","@@"&amp;$F173,"3 Posting Date",Z$9)+NL("Sum","5802 Value Entry","17 Sales Amount (Actual)","41 Source Type",$C$5,"5 Source no.",$C173,"4 Item Ledger Entry Type",$C$4,"2 Item No.","@@"&amp;$F173,"3 Posting Date",Z$9)</t>
  </si>
  <si>
    <t>=-NL("Sum","5802 Value Entry","151 Cost Amount (Expected)","41 Source Type",$C$5,"5 Source No.",$C173,"4 Item Ledger Entry Type",$C$4,"2 Item No.","@@"&amp;$F173,"3 Posting Date",Z$9)-NL("Sum","5802 Value Entry","43 Cost Amount (Actual)","41 Source Type",$C$5,"5 Source no.",$C173,"4 Item Ledger Entry Type",$C$4,"2 Item No.","@@"&amp;$F173,"3 Posting Date",Z$9)</t>
  </si>
  <si>
    <t>=C173</t>
  </si>
  <si>
    <t>=NL("Sum","5802 Value Entry","150 Sales Amount (Expected)","41 Source Type",$C$5,"5 Source No.",$C174,"4 Item Ledger Entry Type",$C$4,"2 Item No.","@@"&amp;$F174,"3 Posting Date",J$9)+NL("Sum","5802 Value Entry","17 Sales Amount (Actual)","41 Source Type",$C$5,"5 Source no.",$C174,"4 Item Ledger Entry Type",$C$4,"2 Item No.","@@"&amp;$F174,"3 Posting Date",J$9)</t>
  </si>
  <si>
    <t>=-NL("Sum","5802 Value Entry","151 Cost Amount (Expected)","41 Source Type",$C$5,"5 Source No.",$C174,"4 Item Ledger Entry Type",$C$4,"2 Item No.","@@"&amp;$F174,"3 Posting Date",J$9)-NL("Sum","5802 Value Entry","43 Cost Amount (Actual)","41 Source Type",$C$5,"5 Source no.",$C174,"4 Item Ledger Entry Type",$C$4,"2 Item No.","@@"&amp;$F174,"3 Posting Date",J$9)</t>
  </si>
  <si>
    <t>=J174-L174</t>
  </si>
  <si>
    <t>=IF(J174&lt;&gt;0,M174/J174,"")</t>
  </si>
  <si>
    <t>=NL("Sum","5802 Value Entry","150 Sales Amount (Expected)","41 Source Type",$C$5,"5 Source No.",$C174,"4 Item Ledger Entry Type",$C$4,"2 Item No.","@@"&amp;$F174,"3 Posting Date",O$9)+NL("Sum","5802 Value Entry","17 Sales Amount (Actual)","41 Source Type",$C$5,"5 Source no.",$C174,"4 Item Ledger Entry Type",$C$4,"2 Item No.","@@"&amp;$F174,"3 Posting Date",O$9)</t>
  </si>
  <si>
    <t>=-NL("Sum","5802 Value Entry","151 Cost Amount (Expected)","41 Source Type",$C$5,"5 Source No.",$C174,"4 Item Ledger Entry Type",$C$4,"2 Item No.","@@"&amp;$F174,"3 Posting Date",O$9)-NL("Sum","5802 Value Entry","43 Cost Amount (Actual)","41 Source Type",$C$5,"5 Source no.",$C174,"4 Item Ledger Entry Type",$C$4,"2 Item No.","@@"&amp;$F174,"3 Posting Date",O$9)</t>
  </si>
  <si>
    <t>=O174-Q174</t>
  </si>
  <si>
    <t>=IF(O174&lt;&gt;0,R174/O174,"")</t>
  </si>
  <si>
    <t>=NL("Sum","5802 Value Entry","150 Sales Amount (Expected)","41 Source Type",$C$5,"5 Source No.",$C174,"4 Item Ledger Entry Type",$C$4,"2 Item No.","@@"&amp;$F174,"3 Posting Date",U$9)+NL("Sum","5802 Value Entry","17 Sales Amount (Actual)","41 Source Type",$C$5,"5 Source no.",$C174,"4 Item Ledger Entry Type",$C$4,"2 Item No.","@@"&amp;$F174,"3 Posting Date",U$9)</t>
  </si>
  <si>
    <t>=-NL("Sum","5802 Value Entry","151 Cost Amount (Expected)","41 Source Type",$C$5,"5 Source No.",$C174,"4 Item Ledger Entry Type",$C$4,"2 Item No.","@@"&amp;$F174,"3 Posting Date",U$9)-NL("Sum","5802 Value Entry","43 Cost Amount (Actual)","41 Source Type",$C$5,"5 Source no.",$C174,"4 Item Ledger Entry Type",$C$4,"2 Item No.","@@"&amp;$F174,"3 Posting Date",U$9)</t>
  </si>
  <si>
    <t>=U174-W174</t>
  </si>
  <si>
    <t>=IF(U174&lt;&gt;0,X174/U174,"")</t>
  </si>
  <si>
    <t>=NL("Sum","5802 Value Entry","150 Sales Amount (Expected)","41 Source Type",$C$5,"5 Source No.",$C174,"4 Item Ledger Entry Type",$C$4,"2 Item No.","@@"&amp;$F174,"3 Posting Date",Z$9)+NL("Sum","5802 Value Entry","17 Sales Amount (Actual)","41 Source Type",$C$5,"5 Source no.",$C174,"4 Item Ledger Entry Type",$C$4,"2 Item No.","@@"&amp;$F174,"3 Posting Date",Z$9)</t>
  </si>
  <si>
    <t>=-NL("Sum","5802 Value Entry","151 Cost Amount (Expected)","41 Source Type",$C$5,"5 Source No.",$C174,"4 Item Ledger Entry Type",$C$4,"2 Item No.","@@"&amp;$F174,"3 Posting Date",Z$9)-NL("Sum","5802 Value Entry","43 Cost Amount (Actual)","41 Source Type",$C$5,"5 Source no.",$C174,"4 Item Ledger Entry Type",$C$4,"2 Item No.","@@"&amp;$F174,"3 Posting Date",Z$9)</t>
  </si>
  <si>
    <t>=Z174-AB174</t>
  </si>
  <si>
    <t>=IF(Z174&lt;&gt;0,AC174/Z174,"")</t>
  </si>
  <si>
    <t>=C174</t>
  </si>
  <si>
    <t>=NL("Sum","5802 Value Entry","150 Sales Amount (Expected)","41 Source Type",$C$5,"5 Source No.",$C175,"4 Item Ledger Entry Type",$C$4,"2 Item No.","@@"&amp;$F175,"3 Posting Date",J$9)+NL("Sum","5802 Value Entry","17 Sales Amount (Actual)","41 Source Type",$C$5,"5 Source no.",$C175,"4 Item Ledger Entry Type",$C$4,"2 Item No.","@@"&amp;$F175,"3 Posting Date",J$9)</t>
  </si>
  <si>
    <t>=-NL("Sum","5802 Value Entry","151 Cost Amount (Expected)","41 Source Type",$C$5,"5 Source No.",$C175,"4 Item Ledger Entry Type",$C$4,"2 Item No.","@@"&amp;$F175,"3 Posting Date",J$9)-NL("Sum","5802 Value Entry","43 Cost Amount (Actual)","41 Source Type",$C$5,"5 Source no.",$C175,"4 Item Ledger Entry Type",$C$4,"2 Item No.","@@"&amp;$F175,"3 Posting Date",J$9)</t>
  </si>
  <si>
    <t>=J175-L175</t>
  </si>
  <si>
    <t>=IF(J175&lt;&gt;0,M175/J175,"")</t>
  </si>
  <si>
    <t>=NL("Sum","5802 Value Entry","150 Sales Amount (Expected)","41 Source Type",$C$5,"5 Source No.",$C175,"4 Item Ledger Entry Type",$C$4,"2 Item No.","@@"&amp;$F175,"3 Posting Date",O$9)+NL("Sum","5802 Value Entry","17 Sales Amount (Actual)","41 Source Type",$C$5,"5 Source no.",$C175,"4 Item Ledger Entry Type",$C$4,"2 Item No.","@@"&amp;$F175,"3 Posting Date",O$9)</t>
  </si>
  <si>
    <t>=-NL("Sum","5802 Value Entry","151 Cost Amount (Expected)","41 Source Type",$C$5,"5 Source No.",$C175,"4 Item Ledger Entry Type",$C$4,"2 Item No.","@@"&amp;$F175,"3 Posting Date",O$9)-NL("Sum","5802 Value Entry","43 Cost Amount (Actual)","41 Source Type",$C$5,"5 Source no.",$C175,"4 Item Ledger Entry Type",$C$4,"2 Item No.","@@"&amp;$F175,"3 Posting Date",O$9)</t>
  </si>
  <si>
    <t>=O175-Q175</t>
  </si>
  <si>
    <t>=IF(O175&lt;&gt;0,R175/O175,"")</t>
  </si>
  <si>
    <t>=NL("Sum","5802 Value Entry","150 Sales Amount (Expected)","41 Source Type",$C$5,"5 Source No.",$C175,"4 Item Ledger Entry Type",$C$4,"2 Item No.","@@"&amp;$F175,"3 Posting Date",U$9)+NL("Sum","5802 Value Entry","17 Sales Amount (Actual)","41 Source Type",$C$5,"5 Source no.",$C175,"4 Item Ledger Entry Type",$C$4,"2 Item No.","@@"&amp;$F175,"3 Posting Date",U$9)</t>
  </si>
  <si>
    <t>=-NL("Sum","5802 Value Entry","151 Cost Amount (Expected)","41 Source Type",$C$5,"5 Source No.",$C175,"4 Item Ledger Entry Type",$C$4,"2 Item No.","@@"&amp;$F175,"3 Posting Date",U$9)-NL("Sum","5802 Value Entry","43 Cost Amount (Actual)","41 Source Type",$C$5,"5 Source no.",$C175,"4 Item Ledger Entry Type",$C$4,"2 Item No.","@@"&amp;$F175,"3 Posting Date",U$9)</t>
  </si>
  <si>
    <t>=U175-W175</t>
  </si>
  <si>
    <t>=IF(U175&lt;&gt;0,X175/U175,"")</t>
  </si>
  <si>
    <t>=NL("Sum","5802 Value Entry","150 Sales Amount (Expected)","41 Source Type",$C$5,"5 Source No.",$C175,"4 Item Ledger Entry Type",$C$4,"2 Item No.","@@"&amp;$F175,"3 Posting Date",Z$9)+NL("Sum","5802 Value Entry","17 Sales Amount (Actual)","41 Source Type",$C$5,"5 Source no.",$C175,"4 Item Ledger Entry Type",$C$4,"2 Item No.","@@"&amp;$F175,"3 Posting Date",Z$9)</t>
  </si>
  <si>
    <t>=-NL("Sum","5802 Value Entry","151 Cost Amount (Expected)","41 Source Type",$C$5,"5 Source No.",$C175,"4 Item Ledger Entry Type",$C$4,"2 Item No.","@@"&amp;$F175,"3 Posting Date",Z$9)-NL("Sum","5802 Value Entry","43 Cost Amount (Actual)","41 Source Type",$C$5,"5 Source no.",$C175,"4 Item Ledger Entry Type",$C$4,"2 Item No.","@@"&amp;$F175,"3 Posting Date",Z$9)</t>
  </si>
  <si>
    <t>=Z175-AB175</t>
  </si>
  <si>
    <t>=IF(Z175&lt;&gt;0,AC175/Z175,"")</t>
  </si>
  <si>
    <t>=C177&amp;" TOTAL:"</t>
  </si>
  <si>
    <t>=SUBTOTAL(9,J166:J176)</t>
  </si>
  <si>
    <t>=SUBTOTAL(9,K166:K176)</t>
  </si>
  <si>
    <t>=SUBTOTAL(9,L166:L176)</t>
  </si>
  <si>
    <t>=SUBTOTAL(9,O166:O176)</t>
  </si>
  <si>
    <t>=SUBTOTAL(9,P166:P176)</t>
  </si>
  <si>
    <t>=SUBTOTAL(9,Q166:Q176)</t>
  </si>
  <si>
    <t>=SUBTOTAL(9,U166:U176)</t>
  </si>
  <si>
    <t>=SUBTOTAL(9,V166:V176)</t>
  </si>
  <si>
    <t>=SUBTOTAL(9,W166:W176)</t>
  </si>
  <si>
    <t>=SUBTOTAL(9,Z166:Z176)</t>
  </si>
  <si>
    <t>=SUBTOTAL(9,AA166:AA176)</t>
  </si>
  <si>
    <t>=SUBTOTAL(9,AB166:AB176)</t>
  </si>
  <si>
    <t>=E179</t>
  </si>
  <si>
    <t>=NL(,"18 Customer","2 Name","1 No.",$E179)</t>
  </si>
  <si>
    <t>=NL("Rows","5802 Value Entry","2 Item No.","4 Item Ledger Entry Type",$C$4,"41 Source Type",$C$5,"5 Source No.",$C181,"Item No.",$C$7,"3 Posting Date",$C$10)</t>
  </si>
  <si>
    <t>=C189</t>
  </si>
  <si>
    <t>=NL("Sum","5802 Value Entry","150 Sales Amount (Expected)","41 Source Type",$C$5,"5 Source No.",$C190,"4 Item Ledger Entry Type",$C$4,"2 Item No.","@@"&amp;$F190,"3 Posting Date",J$9)+NL("Sum","5802 Value Entry","17 Sales Amount (Actual)","41 Source Type",$C$5,"5 Source no.",$C190,"4 Item Ledger Entry Type",$C$4,"2 Item No.","@@"&amp;$F190,"3 Posting Date",J$9)</t>
  </si>
  <si>
    <t>=-NL("Sum","5802 Value Entry","151 Cost Amount (Expected)","41 Source Type",$C$5,"5 Source No.",$C190,"4 Item Ledger Entry Type",$C$4,"2 Item No.","@@"&amp;$F190,"3 Posting Date",J$9)-NL("Sum","5802 Value Entry","43 Cost Amount (Actual)","41 Source Type",$C$5,"5 Source no.",$C190,"4 Item Ledger Entry Type",$C$4,"2 Item No.","@@"&amp;$F190,"3 Posting Date",J$9)</t>
  </si>
  <si>
    <t>=J190-L190</t>
  </si>
  <si>
    <t>=IF(J190&lt;&gt;0,M190/J190,"")</t>
  </si>
  <si>
    <t>=NL("Sum","5802 Value Entry","150 Sales Amount (Expected)","41 Source Type",$C$5,"5 Source No.",$C190,"4 Item Ledger Entry Type",$C$4,"2 Item No.","@@"&amp;$F190,"3 Posting Date",O$9)+NL("Sum","5802 Value Entry","17 Sales Amount (Actual)","41 Source Type",$C$5,"5 Source no.",$C190,"4 Item Ledger Entry Type",$C$4,"2 Item No.","@@"&amp;$F190,"3 Posting Date",O$9)</t>
  </si>
  <si>
    <t>=-NL("Sum","5802 Value Entry","151 Cost Amount (Expected)","41 Source Type",$C$5,"5 Source No.",$C190,"4 Item Ledger Entry Type",$C$4,"2 Item No.","@@"&amp;$F190,"3 Posting Date",O$9)-NL("Sum","5802 Value Entry","43 Cost Amount (Actual)","41 Source Type",$C$5,"5 Source no.",$C190,"4 Item Ledger Entry Type",$C$4,"2 Item No.","@@"&amp;$F190,"3 Posting Date",O$9)</t>
  </si>
  <si>
    <t>=O190-Q190</t>
  </si>
  <si>
    <t>=IF(O190&lt;&gt;0,R190/O190,"")</t>
  </si>
  <si>
    <t>=NL("Sum","5802 Value Entry","150 Sales Amount (Expected)","41 Source Type",$C$5,"5 Source No.",$C190,"4 Item Ledger Entry Type",$C$4,"2 Item No.","@@"&amp;$F190,"3 Posting Date",U$9)+NL("Sum","5802 Value Entry","17 Sales Amount (Actual)","41 Source Type",$C$5,"5 Source no.",$C190,"4 Item Ledger Entry Type",$C$4,"2 Item No.","@@"&amp;$F190,"3 Posting Date",U$9)</t>
  </si>
  <si>
    <t>=-NL("Sum","5802 Value Entry","151 Cost Amount (Expected)","41 Source Type",$C$5,"5 Source No.",$C190,"4 Item Ledger Entry Type",$C$4,"2 Item No.","@@"&amp;$F190,"3 Posting Date",U$9)-NL("Sum","5802 Value Entry","43 Cost Amount (Actual)","41 Source Type",$C$5,"5 Source no.",$C190,"4 Item Ledger Entry Type",$C$4,"2 Item No.","@@"&amp;$F190,"3 Posting Date",U$9)</t>
  </si>
  <si>
    <t>=U190-W190</t>
  </si>
  <si>
    <t>=IF(U190&lt;&gt;0,X190/U190,"")</t>
  </si>
  <si>
    <t>=NL("Sum","5802 Value Entry","150 Sales Amount (Expected)","41 Source Type",$C$5,"5 Source No.",$C190,"4 Item Ledger Entry Type",$C$4,"2 Item No.","@@"&amp;$F190,"3 Posting Date",Z$9)+NL("Sum","5802 Value Entry","17 Sales Amount (Actual)","41 Source Type",$C$5,"5 Source no.",$C190,"4 Item Ledger Entry Type",$C$4,"2 Item No.","@@"&amp;$F190,"3 Posting Date",Z$9)</t>
  </si>
  <si>
    <t>=-NL("Sum","5802 Value Entry","151 Cost Amount (Expected)","41 Source Type",$C$5,"5 Source No.",$C190,"4 Item Ledger Entry Type",$C$4,"2 Item No.","@@"&amp;$F190,"3 Posting Date",Z$9)-NL("Sum","5802 Value Entry","43 Cost Amount (Actual)","41 Source Type",$C$5,"5 Source no.",$C190,"4 Item Ledger Entry Type",$C$4,"2 Item No.","@@"&amp;$F190,"3 Posting Date",Z$9)</t>
  </si>
  <si>
    <t>=Z190-AB190</t>
  </si>
  <si>
    <t>=IF(Z190&lt;&gt;0,AC190/Z190,"")</t>
  </si>
  <si>
    <t>=NL("Sum","5802 Value Entry","150 Sales Amount (Expected)","41 Source Type",$C$5,"5 Source No.",$C191,"4 Item Ledger Entry Type",$C$4,"2 Item No.","@@"&amp;$F191,"3 Posting Date",J$9)+NL("Sum","5802 Value Entry","17 Sales Amount (Actual)","41 Source Type",$C$5,"5 Source no.",$C191,"4 Item Ledger Entry Type",$C$4,"2 Item No.","@@"&amp;$F191,"3 Posting Date",J$9)</t>
  </si>
  <si>
    <t>=-NL("Sum","5802 Value Entry","151 Cost Amount (Expected)","41 Source Type",$C$5,"5 Source No.",$C191,"4 Item Ledger Entry Type",$C$4,"2 Item No.","@@"&amp;$F191,"3 Posting Date",J$9)-NL("Sum","5802 Value Entry","43 Cost Amount (Actual)","41 Source Type",$C$5,"5 Source no.",$C191,"4 Item Ledger Entry Type",$C$4,"2 Item No.","@@"&amp;$F191,"3 Posting Date",J$9)</t>
  </si>
  <si>
    <t>=NL("Sum","5802 Value Entry","150 Sales Amount (Expected)","41 Source Type",$C$5,"5 Source No.",$C191,"4 Item Ledger Entry Type",$C$4,"2 Item No.","@@"&amp;$F191,"3 Posting Date",O$9)+NL("Sum","5802 Value Entry","17 Sales Amount (Actual)","41 Source Type",$C$5,"5 Source no.",$C191,"4 Item Ledger Entry Type",$C$4,"2 Item No.","@@"&amp;$F191,"3 Posting Date",O$9)</t>
  </si>
  <si>
    <t>=-NL("Sum","5802 Value Entry","151 Cost Amount (Expected)","41 Source Type",$C$5,"5 Source No.",$C191,"4 Item Ledger Entry Type",$C$4,"2 Item No.","@@"&amp;$F191,"3 Posting Date",O$9)-NL("Sum","5802 Value Entry","43 Cost Amount (Actual)","41 Source Type",$C$5,"5 Source no.",$C191,"4 Item Ledger Entry Type",$C$4,"2 Item No.","@@"&amp;$F191,"3 Posting Date",O$9)</t>
  </si>
  <si>
    <t>=NL("Sum","5802 Value Entry","150 Sales Amount (Expected)","41 Source Type",$C$5,"5 Source No.",$C191,"4 Item Ledger Entry Type",$C$4,"2 Item No.","@@"&amp;$F191,"3 Posting Date",U$9)+NL("Sum","5802 Value Entry","17 Sales Amount (Actual)","41 Source Type",$C$5,"5 Source no.",$C191,"4 Item Ledger Entry Type",$C$4,"2 Item No.","@@"&amp;$F191,"3 Posting Date",U$9)</t>
  </si>
  <si>
    <t>=-NL("Sum","5802 Value Entry","151 Cost Amount (Expected)","41 Source Type",$C$5,"5 Source No.",$C191,"4 Item Ledger Entry Type",$C$4,"2 Item No.","@@"&amp;$F191,"3 Posting Date",U$9)-NL("Sum","5802 Value Entry","43 Cost Amount (Actual)","41 Source Type",$C$5,"5 Source no.",$C191,"4 Item Ledger Entry Type",$C$4,"2 Item No.","@@"&amp;$F191,"3 Posting Date",U$9)</t>
  </si>
  <si>
    <t>=NL("Sum","5802 Value Entry","150 Sales Amount (Expected)","41 Source Type",$C$5,"5 Source No.",$C191,"4 Item Ledger Entry Type",$C$4,"2 Item No.","@@"&amp;$F191,"3 Posting Date",Z$9)+NL("Sum","5802 Value Entry","17 Sales Amount (Actual)","41 Source Type",$C$5,"5 Source no.",$C191,"4 Item Ledger Entry Type",$C$4,"2 Item No.","@@"&amp;$F191,"3 Posting Date",Z$9)</t>
  </si>
  <si>
    <t>=-NL("Sum","5802 Value Entry","151 Cost Amount (Expected)","41 Source Type",$C$5,"5 Source No.",$C191,"4 Item Ledger Entry Type",$C$4,"2 Item No.","@@"&amp;$F191,"3 Posting Date",Z$9)-NL("Sum","5802 Value Entry","43 Cost Amount (Actual)","41 Source Type",$C$5,"5 Source no.",$C191,"4 Item Ledger Entry Type",$C$4,"2 Item No.","@@"&amp;$F191,"3 Posting Date",Z$9)</t>
  </si>
  <si>
    <t>=C191</t>
  </si>
  <si>
    <t>=NL("Sum","5802 Value Entry","150 Sales Amount (Expected)","41 Source Type",$C$5,"5 Source No.",$C192,"4 Item Ledger Entry Type",$C$4,"2 Item No.","@@"&amp;$F192,"3 Posting Date",J$9)+NL("Sum","5802 Value Entry","17 Sales Amount (Actual)","41 Source Type",$C$5,"5 Source no.",$C192,"4 Item Ledger Entry Type",$C$4,"2 Item No.","@@"&amp;$F192,"3 Posting Date",J$9)</t>
  </si>
  <si>
    <t>=-NL("Sum","5802 Value Entry","151 Cost Amount (Expected)","41 Source Type",$C$5,"5 Source No.",$C192,"4 Item Ledger Entry Type",$C$4,"2 Item No.","@@"&amp;$F192,"3 Posting Date",J$9)-NL("Sum","5802 Value Entry","43 Cost Amount (Actual)","41 Source Type",$C$5,"5 Source no.",$C192,"4 Item Ledger Entry Type",$C$4,"2 Item No.","@@"&amp;$F192,"3 Posting Date",J$9)</t>
  </si>
  <si>
    <t>=J192-L192</t>
  </si>
  <si>
    <t>=IF(J192&lt;&gt;0,M192/J192,"")</t>
  </si>
  <si>
    <t>=NL("Sum","5802 Value Entry","150 Sales Amount (Expected)","41 Source Type",$C$5,"5 Source No.",$C192,"4 Item Ledger Entry Type",$C$4,"2 Item No.","@@"&amp;$F192,"3 Posting Date",O$9)+NL("Sum","5802 Value Entry","17 Sales Amount (Actual)","41 Source Type",$C$5,"5 Source no.",$C192,"4 Item Ledger Entry Type",$C$4,"2 Item No.","@@"&amp;$F192,"3 Posting Date",O$9)</t>
  </si>
  <si>
    <t>=-NL("Sum","5802 Value Entry","151 Cost Amount (Expected)","41 Source Type",$C$5,"5 Source No.",$C192,"4 Item Ledger Entry Type",$C$4,"2 Item No.","@@"&amp;$F192,"3 Posting Date",O$9)-NL("Sum","5802 Value Entry","43 Cost Amount (Actual)","41 Source Type",$C$5,"5 Source no.",$C192,"4 Item Ledger Entry Type",$C$4,"2 Item No.","@@"&amp;$F192,"3 Posting Date",O$9)</t>
  </si>
  <si>
    <t>=O192-Q192</t>
  </si>
  <si>
    <t>=IF(O192&lt;&gt;0,R192/O192,"")</t>
  </si>
  <si>
    <t>=NL("Sum","5802 Value Entry","150 Sales Amount (Expected)","41 Source Type",$C$5,"5 Source No.",$C192,"4 Item Ledger Entry Type",$C$4,"2 Item No.","@@"&amp;$F192,"3 Posting Date",U$9)+NL("Sum","5802 Value Entry","17 Sales Amount (Actual)","41 Source Type",$C$5,"5 Source no.",$C192,"4 Item Ledger Entry Type",$C$4,"2 Item No.","@@"&amp;$F192,"3 Posting Date",U$9)</t>
  </si>
  <si>
    <t>=-NL("Sum","5802 Value Entry","151 Cost Amount (Expected)","41 Source Type",$C$5,"5 Source No.",$C192,"4 Item Ledger Entry Type",$C$4,"2 Item No.","@@"&amp;$F192,"3 Posting Date",U$9)-NL("Sum","5802 Value Entry","43 Cost Amount (Actual)","41 Source Type",$C$5,"5 Source no.",$C192,"4 Item Ledger Entry Type",$C$4,"2 Item No.","@@"&amp;$F192,"3 Posting Date",U$9)</t>
  </si>
  <si>
    <t>=U192-W192</t>
  </si>
  <si>
    <t>=IF(U192&lt;&gt;0,X192/U192,"")</t>
  </si>
  <si>
    <t>=NL("Sum","5802 Value Entry","150 Sales Amount (Expected)","41 Source Type",$C$5,"5 Source No.",$C192,"4 Item Ledger Entry Type",$C$4,"2 Item No.","@@"&amp;$F192,"3 Posting Date",Z$9)+NL("Sum","5802 Value Entry","17 Sales Amount (Actual)","41 Source Type",$C$5,"5 Source no.",$C192,"4 Item Ledger Entry Type",$C$4,"2 Item No.","@@"&amp;$F192,"3 Posting Date",Z$9)</t>
  </si>
  <si>
    <t>=-NL("Sum","5802 Value Entry","151 Cost Amount (Expected)","41 Source Type",$C$5,"5 Source No.",$C192,"4 Item Ledger Entry Type",$C$4,"2 Item No.","@@"&amp;$F192,"3 Posting Date",Z$9)-NL("Sum","5802 Value Entry","43 Cost Amount (Actual)","41 Source Type",$C$5,"5 Source no.",$C192,"4 Item Ledger Entry Type",$C$4,"2 Item No.","@@"&amp;$F192,"3 Posting Date",Z$9)</t>
  </si>
  <si>
    <t>=Z192-AB192</t>
  </si>
  <si>
    <t>=IF(Z192&lt;&gt;0,AC192/Z192,"")</t>
  </si>
  <si>
    <t>=C192</t>
  </si>
  <si>
    <t>=NL("Sum","5802 Value Entry","150 Sales Amount (Expected)","41 Source Type",$C$5,"5 Source No.",$C193,"4 Item Ledger Entry Type",$C$4,"2 Item No.","@@"&amp;$F193,"3 Posting Date",J$9)+NL("Sum","5802 Value Entry","17 Sales Amount (Actual)","41 Source Type",$C$5,"5 Source no.",$C193,"4 Item Ledger Entry Type",$C$4,"2 Item No.","@@"&amp;$F193,"3 Posting Date",J$9)</t>
  </si>
  <si>
    <t>=-NL("Sum","5802 Value Entry","151 Cost Amount (Expected)","41 Source Type",$C$5,"5 Source No.",$C193,"4 Item Ledger Entry Type",$C$4,"2 Item No.","@@"&amp;$F193,"3 Posting Date",J$9)-NL("Sum","5802 Value Entry","43 Cost Amount (Actual)","41 Source Type",$C$5,"5 Source no.",$C193,"4 Item Ledger Entry Type",$C$4,"2 Item No.","@@"&amp;$F193,"3 Posting Date",J$9)</t>
  </si>
  <si>
    <t>=J193-L193</t>
  </si>
  <si>
    <t>=IF(J193&lt;&gt;0,M193/J193,"")</t>
  </si>
  <si>
    <t>=NL("Sum","5802 Value Entry","150 Sales Amount (Expected)","41 Source Type",$C$5,"5 Source No.",$C193,"4 Item Ledger Entry Type",$C$4,"2 Item No.","@@"&amp;$F193,"3 Posting Date",O$9)+NL("Sum","5802 Value Entry","17 Sales Amount (Actual)","41 Source Type",$C$5,"5 Source no.",$C193,"4 Item Ledger Entry Type",$C$4,"2 Item No.","@@"&amp;$F193,"3 Posting Date",O$9)</t>
  </si>
  <si>
    <t>=-NL("Sum","5802 Value Entry","151 Cost Amount (Expected)","41 Source Type",$C$5,"5 Source No.",$C193,"4 Item Ledger Entry Type",$C$4,"2 Item No.","@@"&amp;$F193,"3 Posting Date",O$9)-NL("Sum","5802 Value Entry","43 Cost Amount (Actual)","41 Source Type",$C$5,"5 Source no.",$C193,"4 Item Ledger Entry Type",$C$4,"2 Item No.","@@"&amp;$F193,"3 Posting Date",O$9)</t>
  </si>
  <si>
    <t>=O193-Q193</t>
  </si>
  <si>
    <t>=IF(O193&lt;&gt;0,R193/O193,"")</t>
  </si>
  <si>
    <t>=NL("Sum","5802 Value Entry","150 Sales Amount (Expected)","41 Source Type",$C$5,"5 Source No.",$C193,"4 Item Ledger Entry Type",$C$4,"2 Item No.","@@"&amp;$F193,"3 Posting Date",U$9)+NL("Sum","5802 Value Entry","17 Sales Amount (Actual)","41 Source Type",$C$5,"5 Source no.",$C193,"4 Item Ledger Entry Type",$C$4,"2 Item No.","@@"&amp;$F193,"3 Posting Date",U$9)</t>
  </si>
  <si>
    <t>=-NL("Sum","5802 Value Entry","151 Cost Amount (Expected)","41 Source Type",$C$5,"5 Source No.",$C193,"4 Item Ledger Entry Type",$C$4,"2 Item No.","@@"&amp;$F193,"3 Posting Date",U$9)-NL("Sum","5802 Value Entry","43 Cost Amount (Actual)","41 Source Type",$C$5,"5 Source no.",$C193,"4 Item Ledger Entry Type",$C$4,"2 Item No.","@@"&amp;$F193,"3 Posting Date",U$9)</t>
  </si>
  <si>
    <t>=U193-W193</t>
  </si>
  <si>
    <t>=IF(U193&lt;&gt;0,X193/U193,"")</t>
  </si>
  <si>
    <t>=NL("Sum","5802 Value Entry","150 Sales Amount (Expected)","41 Source Type",$C$5,"5 Source No.",$C193,"4 Item Ledger Entry Type",$C$4,"2 Item No.","@@"&amp;$F193,"3 Posting Date",Z$9)+NL("Sum","5802 Value Entry","17 Sales Amount (Actual)","41 Source Type",$C$5,"5 Source no.",$C193,"4 Item Ledger Entry Type",$C$4,"2 Item No.","@@"&amp;$F193,"3 Posting Date",Z$9)</t>
  </si>
  <si>
    <t>=-NL("Sum","5802 Value Entry","151 Cost Amount (Expected)","41 Source Type",$C$5,"5 Source No.",$C193,"4 Item Ledger Entry Type",$C$4,"2 Item No.","@@"&amp;$F193,"3 Posting Date",Z$9)-NL("Sum","5802 Value Entry","43 Cost Amount (Actual)","41 Source Type",$C$5,"5 Source no.",$C193,"4 Item Ledger Entry Type",$C$4,"2 Item No.","@@"&amp;$F193,"3 Posting Date",Z$9)</t>
  </si>
  <si>
    <t>=Z193-AB193</t>
  </si>
  <si>
    <t>=IF(Z193&lt;&gt;0,AC193/Z193,"")</t>
  </si>
  <si>
    <t>=NL("Sum","5802 Value Entry","150 Sales Amount (Expected)","41 Source Type",$C$5,"5 Source No.",$C194,"4 Item Ledger Entry Type",$C$4,"2 Item No.","@@"&amp;$F194,"3 Posting Date",J$9)+NL("Sum","5802 Value Entry","17 Sales Amount (Actual)","41 Source Type",$C$5,"5 Source no.",$C194,"4 Item Ledger Entry Type",$C$4,"2 Item No.","@@"&amp;$F194,"3 Posting Date",J$9)</t>
  </si>
  <si>
    <t>=-NL("Sum","5802 Value Entry","151 Cost Amount (Expected)","41 Source Type",$C$5,"5 Source No.",$C194,"4 Item Ledger Entry Type",$C$4,"2 Item No.","@@"&amp;$F194,"3 Posting Date",J$9)-NL("Sum","5802 Value Entry","43 Cost Amount (Actual)","41 Source Type",$C$5,"5 Source no.",$C194,"4 Item Ledger Entry Type",$C$4,"2 Item No.","@@"&amp;$F194,"3 Posting Date",J$9)</t>
  </si>
  <si>
    <t>=J194-L194</t>
  </si>
  <si>
    <t>=IF(J194&lt;&gt;0,M194/J194,"")</t>
  </si>
  <si>
    <t>=NL("Sum","5802 Value Entry","150 Sales Amount (Expected)","41 Source Type",$C$5,"5 Source No.",$C194,"4 Item Ledger Entry Type",$C$4,"2 Item No.","@@"&amp;$F194,"3 Posting Date",O$9)+NL("Sum","5802 Value Entry","17 Sales Amount (Actual)","41 Source Type",$C$5,"5 Source no.",$C194,"4 Item Ledger Entry Type",$C$4,"2 Item No.","@@"&amp;$F194,"3 Posting Date",O$9)</t>
  </si>
  <si>
    <t>=-NL("Sum","5802 Value Entry","151 Cost Amount (Expected)","41 Source Type",$C$5,"5 Source No.",$C194,"4 Item Ledger Entry Type",$C$4,"2 Item No.","@@"&amp;$F194,"3 Posting Date",O$9)-NL("Sum","5802 Value Entry","43 Cost Amount (Actual)","41 Source Type",$C$5,"5 Source no.",$C194,"4 Item Ledger Entry Type",$C$4,"2 Item No.","@@"&amp;$F194,"3 Posting Date",O$9)</t>
  </si>
  <si>
    <t>=O194-Q194</t>
  </si>
  <si>
    <t>=IF(O194&lt;&gt;0,R194/O194,"")</t>
  </si>
  <si>
    <t>=NL("Sum","5802 Value Entry","150 Sales Amount (Expected)","41 Source Type",$C$5,"5 Source No.",$C194,"4 Item Ledger Entry Type",$C$4,"2 Item No.","@@"&amp;$F194,"3 Posting Date",U$9)+NL("Sum","5802 Value Entry","17 Sales Amount (Actual)","41 Source Type",$C$5,"5 Source no.",$C194,"4 Item Ledger Entry Type",$C$4,"2 Item No.","@@"&amp;$F194,"3 Posting Date",U$9)</t>
  </si>
  <si>
    <t>=-NL("Sum","5802 Value Entry","151 Cost Amount (Expected)","41 Source Type",$C$5,"5 Source No.",$C194,"4 Item Ledger Entry Type",$C$4,"2 Item No.","@@"&amp;$F194,"3 Posting Date",U$9)-NL("Sum","5802 Value Entry","43 Cost Amount (Actual)","41 Source Type",$C$5,"5 Source no.",$C194,"4 Item Ledger Entry Type",$C$4,"2 Item No.","@@"&amp;$F194,"3 Posting Date",U$9)</t>
  </si>
  <si>
    <t>=U194-W194</t>
  </si>
  <si>
    <t>=IF(U194&lt;&gt;0,X194/U194,"")</t>
  </si>
  <si>
    <t>=NL("Sum","5802 Value Entry","150 Sales Amount (Expected)","41 Source Type",$C$5,"5 Source No.",$C194,"4 Item Ledger Entry Type",$C$4,"2 Item No.","@@"&amp;$F194,"3 Posting Date",Z$9)+NL("Sum","5802 Value Entry","17 Sales Amount (Actual)","41 Source Type",$C$5,"5 Source no.",$C194,"4 Item Ledger Entry Type",$C$4,"2 Item No.","@@"&amp;$F194,"3 Posting Date",Z$9)</t>
  </si>
  <si>
    <t>=-NL("Sum","5802 Value Entry","151 Cost Amount (Expected)","41 Source Type",$C$5,"5 Source No.",$C194,"4 Item Ledger Entry Type",$C$4,"2 Item No.","@@"&amp;$F194,"3 Posting Date",Z$9)-NL("Sum","5802 Value Entry","43 Cost Amount (Actual)","41 Source Type",$C$5,"5 Source no.",$C194,"4 Item Ledger Entry Type",$C$4,"2 Item No.","@@"&amp;$F194,"3 Posting Date",Z$9)</t>
  </si>
  <si>
    <t>=Z194-AB194</t>
  </si>
  <si>
    <t>=IF(Z194&lt;&gt;0,AC194/Z194,"")</t>
  </si>
  <si>
    <t>=C221&amp;" TOTAL:"</t>
  </si>
  <si>
    <t>=SUBTOTAL(9,J180:J220)</t>
  </si>
  <si>
    <t>=SUBTOTAL(9,K180:K220)</t>
  </si>
  <si>
    <t>=SUBTOTAL(9,L180:L220)</t>
  </si>
  <si>
    <t>=SUBTOTAL(9,O180:O220)</t>
  </si>
  <si>
    <t>=SUBTOTAL(9,P180:P220)</t>
  </si>
  <si>
    <t>=SUBTOTAL(9,Q180:Q220)</t>
  </si>
  <si>
    <t>=SUBTOTAL(9,U180:U220)</t>
  </si>
  <si>
    <t>=SUBTOTAL(9,V180:V220)</t>
  </si>
  <si>
    <t>=SUBTOTAL(9,W180:W220)</t>
  </si>
  <si>
    <t>=SUBTOTAL(9,Z180:Z220)</t>
  </si>
  <si>
    <t>=SUBTOTAL(9,AA180:AA220)</t>
  </si>
  <si>
    <t>=SUBTOTAL(9,AB180:AB220)</t>
  </si>
  <si>
    <t>=E223</t>
  </si>
  <si>
    <t>=NL(,"18 Customer","2 Name","1 No.",$E223)</t>
  </si>
  <si>
    <t>=NL("Rows","5802 Value Entry","2 Item No.","4 Item Ledger Entry Type",$C$4,"41 Source Type",$C$5,"5 Source No.",$C225,"Item No.",$C$7,"3 Posting Date",$C$10)</t>
  </si>
  <si>
    <t>=C232&amp;" TOTAL:"</t>
  </si>
  <si>
    <t>=SUBTOTAL(9,J224:J231)</t>
  </si>
  <si>
    <t>=SUBTOTAL(9,K224:K231)</t>
  </si>
  <si>
    <t>=SUBTOTAL(9,L224:L231)</t>
  </si>
  <si>
    <t>=SUBTOTAL(9,O224:O231)</t>
  </si>
  <si>
    <t>=SUBTOTAL(9,P224:P231)</t>
  </si>
  <si>
    <t>=SUBTOTAL(9,Q224:Q231)</t>
  </si>
  <si>
    <t>=SUBTOTAL(9,U224:U231)</t>
  </si>
  <si>
    <t>=SUBTOTAL(9,V224:V231)</t>
  </si>
  <si>
    <t>=SUBTOTAL(9,W224:W231)</t>
  </si>
  <si>
    <t>=SUBTOTAL(9,Z224:Z231)</t>
  </si>
  <si>
    <t>=SUBTOTAL(9,AA224:AA231)</t>
  </si>
  <si>
    <t>=SUBTOTAL(9,AB224:AB231)</t>
  </si>
  <si>
    <t>=E234</t>
  </si>
  <si>
    <t>=NL(,"18 Customer","2 Name","1 No.",$E234)</t>
  </si>
  <si>
    <t>=NL("Rows","5802 Value Entry","2 Item No.","4 Item Ledger Entry Type",$C$4,"41 Source Type",$C$5,"5 Source No.",$C236,"Item No.",$C$7,"3 Posting Date",$C$10)</t>
  </si>
  <si>
    <t>=C240</t>
  </si>
  <si>
    <t>=NL("Sum","5802 Value Entry","150 Sales Amount (Expected)","41 Source Type",$C$5,"5 Source No.",$C241,"4 Item Ledger Entry Type",$C$4,"2 Item No.","@@"&amp;$F241,"3 Posting Date",J$9)+NL("Sum","5802 Value Entry","17 Sales Amount (Actual)","41 Source Type",$C$5,"5 Source no.",$C241,"4 Item Ledger Entry Type",$C$4,"2 Item No.","@@"&amp;$F241,"3 Posting Date",J$9)</t>
  </si>
  <si>
    <t>=-NL("Sum","5802 Value Entry","151 Cost Amount (Expected)","41 Source Type",$C$5,"5 Source No.",$C241,"4 Item Ledger Entry Type",$C$4,"2 Item No.","@@"&amp;$F241,"3 Posting Date",J$9)-NL("Sum","5802 Value Entry","43 Cost Amount (Actual)","41 Source Type",$C$5,"5 Source no.",$C241,"4 Item Ledger Entry Type",$C$4,"2 Item No.","@@"&amp;$F241,"3 Posting Date",J$9)</t>
  </si>
  <si>
    <t>=J241-L241</t>
  </si>
  <si>
    <t>=IF(J241&lt;&gt;0,M241/J241,"")</t>
  </si>
  <si>
    <t>=NL("Sum","5802 Value Entry","150 Sales Amount (Expected)","41 Source Type",$C$5,"5 Source No.",$C241,"4 Item Ledger Entry Type",$C$4,"2 Item No.","@@"&amp;$F241,"3 Posting Date",O$9)+NL("Sum","5802 Value Entry","17 Sales Amount (Actual)","41 Source Type",$C$5,"5 Source no.",$C241,"4 Item Ledger Entry Type",$C$4,"2 Item No.","@@"&amp;$F241,"3 Posting Date",O$9)</t>
  </si>
  <si>
    <t>=-NL("Sum","5802 Value Entry","151 Cost Amount (Expected)","41 Source Type",$C$5,"5 Source No.",$C241,"4 Item Ledger Entry Type",$C$4,"2 Item No.","@@"&amp;$F241,"3 Posting Date",O$9)-NL("Sum","5802 Value Entry","43 Cost Amount (Actual)","41 Source Type",$C$5,"5 Source no.",$C241,"4 Item Ledger Entry Type",$C$4,"2 Item No.","@@"&amp;$F241,"3 Posting Date",O$9)</t>
  </si>
  <si>
    <t>=O241-Q241</t>
  </si>
  <si>
    <t>=IF(O241&lt;&gt;0,R241/O241,"")</t>
  </si>
  <si>
    <t>=NL("Sum","5802 Value Entry","150 Sales Amount (Expected)","41 Source Type",$C$5,"5 Source No.",$C241,"4 Item Ledger Entry Type",$C$4,"2 Item No.","@@"&amp;$F241,"3 Posting Date",U$9)+NL("Sum","5802 Value Entry","17 Sales Amount (Actual)","41 Source Type",$C$5,"5 Source no.",$C241,"4 Item Ledger Entry Type",$C$4,"2 Item No.","@@"&amp;$F241,"3 Posting Date",U$9)</t>
  </si>
  <si>
    <t>=-NL("Sum","5802 Value Entry","151 Cost Amount (Expected)","41 Source Type",$C$5,"5 Source No.",$C241,"4 Item Ledger Entry Type",$C$4,"2 Item No.","@@"&amp;$F241,"3 Posting Date",U$9)-NL("Sum","5802 Value Entry","43 Cost Amount (Actual)","41 Source Type",$C$5,"5 Source no.",$C241,"4 Item Ledger Entry Type",$C$4,"2 Item No.","@@"&amp;$F241,"3 Posting Date",U$9)</t>
  </si>
  <si>
    <t>=U241-W241</t>
  </si>
  <si>
    <t>=IF(U241&lt;&gt;0,X241/U241,"")</t>
  </si>
  <si>
    <t>=NL("Sum","5802 Value Entry","150 Sales Amount (Expected)","41 Source Type",$C$5,"5 Source No.",$C241,"4 Item Ledger Entry Type",$C$4,"2 Item No.","@@"&amp;$F241,"3 Posting Date",Z$9)+NL("Sum","5802 Value Entry","17 Sales Amount (Actual)","41 Source Type",$C$5,"5 Source no.",$C241,"4 Item Ledger Entry Type",$C$4,"2 Item No.","@@"&amp;$F241,"3 Posting Date",Z$9)</t>
  </si>
  <si>
    <t>=-NL("Sum","5802 Value Entry","151 Cost Amount (Expected)","41 Source Type",$C$5,"5 Source No.",$C241,"4 Item Ledger Entry Type",$C$4,"2 Item No.","@@"&amp;$F241,"3 Posting Date",Z$9)-NL("Sum","5802 Value Entry","43 Cost Amount (Actual)","41 Source Type",$C$5,"5 Source no.",$C241,"4 Item Ledger Entry Type",$C$4,"2 Item No.","@@"&amp;$F241,"3 Posting Date",Z$9)</t>
  </si>
  <si>
    <t>=Z241-AB241</t>
  </si>
  <si>
    <t>=IF(Z241&lt;&gt;0,AC241/Z241,"")</t>
  </si>
  <si>
    <t>=NL("Sum","5802 Value Entry","150 Sales Amount (Expected)","41 Source Type",$C$5,"5 Source No.",$C242,"4 Item Ledger Entry Type",$C$4,"2 Item No.","@@"&amp;$F242,"3 Posting Date",J$9)+NL("Sum","5802 Value Entry","17 Sales Amount (Actual)","41 Source Type",$C$5,"5 Source no.",$C242,"4 Item Ledger Entry Type",$C$4,"2 Item No.","@@"&amp;$F242,"3 Posting Date",J$9)</t>
  </si>
  <si>
    <t>=-NL("Sum","5802 Value Entry","151 Cost Amount (Expected)","41 Source Type",$C$5,"5 Source No.",$C242,"4 Item Ledger Entry Type",$C$4,"2 Item No.","@@"&amp;$F242,"3 Posting Date",J$9)-NL("Sum","5802 Value Entry","43 Cost Amount (Actual)","41 Source Type",$C$5,"5 Source no.",$C242,"4 Item Ledger Entry Type",$C$4,"2 Item No.","@@"&amp;$F242,"3 Posting Date",J$9)</t>
  </si>
  <si>
    <t>=NL("Sum","5802 Value Entry","150 Sales Amount (Expected)","41 Source Type",$C$5,"5 Source No.",$C242,"4 Item Ledger Entry Type",$C$4,"2 Item No.","@@"&amp;$F242,"3 Posting Date",O$9)+NL("Sum","5802 Value Entry","17 Sales Amount (Actual)","41 Source Type",$C$5,"5 Source no.",$C242,"4 Item Ledger Entry Type",$C$4,"2 Item No.","@@"&amp;$F242,"3 Posting Date",O$9)</t>
  </si>
  <si>
    <t>=-NL("Sum","5802 Value Entry","151 Cost Amount (Expected)","41 Source Type",$C$5,"5 Source No.",$C242,"4 Item Ledger Entry Type",$C$4,"2 Item No.","@@"&amp;$F242,"3 Posting Date",O$9)-NL("Sum","5802 Value Entry","43 Cost Amount (Actual)","41 Source Type",$C$5,"5 Source no.",$C242,"4 Item Ledger Entry Type",$C$4,"2 Item No.","@@"&amp;$F242,"3 Posting Date",O$9)</t>
  </si>
  <si>
    <t>=NL("Sum","5802 Value Entry","150 Sales Amount (Expected)","41 Source Type",$C$5,"5 Source No.",$C242,"4 Item Ledger Entry Type",$C$4,"2 Item No.","@@"&amp;$F242,"3 Posting Date",U$9)+NL("Sum","5802 Value Entry","17 Sales Amount (Actual)","41 Source Type",$C$5,"5 Source no.",$C242,"4 Item Ledger Entry Type",$C$4,"2 Item No.","@@"&amp;$F242,"3 Posting Date",U$9)</t>
  </si>
  <si>
    <t>=-NL("Sum","5802 Value Entry","151 Cost Amount (Expected)","41 Source Type",$C$5,"5 Source No.",$C242,"4 Item Ledger Entry Type",$C$4,"2 Item No.","@@"&amp;$F242,"3 Posting Date",U$9)-NL("Sum","5802 Value Entry","43 Cost Amount (Actual)","41 Source Type",$C$5,"5 Source no.",$C242,"4 Item Ledger Entry Type",$C$4,"2 Item No.","@@"&amp;$F242,"3 Posting Date",U$9)</t>
  </si>
  <si>
    <t>=NL("Sum","5802 Value Entry","150 Sales Amount (Expected)","41 Source Type",$C$5,"5 Source No.",$C242,"4 Item Ledger Entry Type",$C$4,"2 Item No.","@@"&amp;$F242,"3 Posting Date",Z$9)+NL("Sum","5802 Value Entry","17 Sales Amount (Actual)","41 Source Type",$C$5,"5 Source no.",$C242,"4 Item Ledger Entry Type",$C$4,"2 Item No.","@@"&amp;$F242,"3 Posting Date",Z$9)</t>
  </si>
  <si>
    <t>=-NL("Sum","5802 Value Entry","151 Cost Amount (Expected)","41 Source Type",$C$5,"5 Source No.",$C242,"4 Item Ledger Entry Type",$C$4,"2 Item No.","@@"&amp;$F242,"3 Posting Date",Z$9)-NL("Sum","5802 Value Entry","43 Cost Amount (Actual)","41 Source Type",$C$5,"5 Source no.",$C242,"4 Item Ledger Entry Type",$C$4,"2 Item No.","@@"&amp;$F242,"3 Posting Date",Z$9)</t>
  </si>
  <si>
    <t>=C242</t>
  </si>
  <si>
    <t>=NL("Sum","5802 Value Entry","150 Sales Amount (Expected)","41 Source Type",$C$5,"5 Source No.",$C243,"4 Item Ledger Entry Type",$C$4,"2 Item No.","@@"&amp;$F243,"3 Posting Date",J$9)+NL("Sum","5802 Value Entry","17 Sales Amount (Actual)","41 Source Type",$C$5,"5 Source no.",$C243,"4 Item Ledger Entry Type",$C$4,"2 Item No.","@@"&amp;$F243,"3 Posting Date",J$9)</t>
  </si>
  <si>
    <t>=-NL("Sum","5802 Value Entry","151 Cost Amount (Expected)","41 Source Type",$C$5,"5 Source No.",$C243,"4 Item Ledger Entry Type",$C$4,"2 Item No.","@@"&amp;$F243,"3 Posting Date",J$9)-NL("Sum","5802 Value Entry","43 Cost Amount (Actual)","41 Source Type",$C$5,"5 Source no.",$C243,"4 Item Ledger Entry Type",$C$4,"2 Item No.","@@"&amp;$F243,"3 Posting Date",J$9)</t>
  </si>
  <si>
    <t>=J243-L243</t>
  </si>
  <si>
    <t>=IF(J243&lt;&gt;0,M243/J243,"")</t>
  </si>
  <si>
    <t>=NL("Sum","5802 Value Entry","150 Sales Amount (Expected)","41 Source Type",$C$5,"5 Source No.",$C243,"4 Item Ledger Entry Type",$C$4,"2 Item No.","@@"&amp;$F243,"3 Posting Date",O$9)+NL("Sum","5802 Value Entry","17 Sales Amount (Actual)","41 Source Type",$C$5,"5 Source no.",$C243,"4 Item Ledger Entry Type",$C$4,"2 Item No.","@@"&amp;$F243,"3 Posting Date",O$9)</t>
  </si>
  <si>
    <t>=-NL("Sum","5802 Value Entry","151 Cost Amount (Expected)","41 Source Type",$C$5,"5 Source No.",$C243,"4 Item Ledger Entry Type",$C$4,"2 Item No.","@@"&amp;$F243,"3 Posting Date",O$9)-NL("Sum","5802 Value Entry","43 Cost Amount (Actual)","41 Source Type",$C$5,"5 Source no.",$C243,"4 Item Ledger Entry Type",$C$4,"2 Item No.","@@"&amp;$F243,"3 Posting Date",O$9)</t>
  </si>
  <si>
    <t>=O243-Q243</t>
  </si>
  <si>
    <t>=IF(O243&lt;&gt;0,R243/O243,"")</t>
  </si>
  <si>
    <t>=NL("Sum","5802 Value Entry","150 Sales Amount (Expected)","41 Source Type",$C$5,"5 Source No.",$C243,"4 Item Ledger Entry Type",$C$4,"2 Item No.","@@"&amp;$F243,"3 Posting Date",U$9)+NL("Sum","5802 Value Entry","17 Sales Amount (Actual)","41 Source Type",$C$5,"5 Source no.",$C243,"4 Item Ledger Entry Type",$C$4,"2 Item No.","@@"&amp;$F243,"3 Posting Date",U$9)</t>
  </si>
  <si>
    <t>=-NL("Sum","5802 Value Entry","151 Cost Amount (Expected)","41 Source Type",$C$5,"5 Source No.",$C243,"4 Item Ledger Entry Type",$C$4,"2 Item No.","@@"&amp;$F243,"3 Posting Date",U$9)-NL("Sum","5802 Value Entry","43 Cost Amount (Actual)","41 Source Type",$C$5,"5 Source no.",$C243,"4 Item Ledger Entry Type",$C$4,"2 Item No.","@@"&amp;$F243,"3 Posting Date",U$9)</t>
  </si>
  <si>
    <t>=U243-W243</t>
  </si>
  <si>
    <t>=IF(U243&lt;&gt;0,X243/U243,"")</t>
  </si>
  <si>
    <t>=NL("Sum","5802 Value Entry","150 Sales Amount (Expected)","41 Source Type",$C$5,"5 Source No.",$C243,"4 Item Ledger Entry Type",$C$4,"2 Item No.","@@"&amp;$F243,"3 Posting Date",Z$9)+NL("Sum","5802 Value Entry","17 Sales Amount (Actual)","41 Source Type",$C$5,"5 Source no.",$C243,"4 Item Ledger Entry Type",$C$4,"2 Item No.","@@"&amp;$F243,"3 Posting Date",Z$9)</t>
  </si>
  <si>
    <t>=-NL("Sum","5802 Value Entry","151 Cost Amount (Expected)","41 Source Type",$C$5,"5 Source No.",$C243,"4 Item Ledger Entry Type",$C$4,"2 Item No.","@@"&amp;$F243,"3 Posting Date",Z$9)-NL("Sum","5802 Value Entry","43 Cost Amount (Actual)","41 Source Type",$C$5,"5 Source no.",$C243,"4 Item Ledger Entry Type",$C$4,"2 Item No.","@@"&amp;$F243,"3 Posting Date",Z$9)</t>
  </si>
  <si>
    <t>=Z243-AB243</t>
  </si>
  <si>
    <t>=IF(Z243&lt;&gt;0,AC243/Z243,"")</t>
  </si>
  <si>
    <t>=C243</t>
  </si>
  <si>
    <t>=NL("Sum","5802 Value Entry","150 Sales Amount (Expected)","41 Source Type",$C$5,"5 Source No.",$C244,"4 Item Ledger Entry Type",$C$4,"2 Item No.","@@"&amp;$F244,"3 Posting Date",J$9)+NL("Sum","5802 Value Entry","17 Sales Amount (Actual)","41 Source Type",$C$5,"5 Source no.",$C244,"4 Item Ledger Entry Type",$C$4,"2 Item No.","@@"&amp;$F244,"3 Posting Date",J$9)</t>
  </si>
  <si>
    <t>=-NL("Sum","5802 Value Entry","151 Cost Amount (Expected)","41 Source Type",$C$5,"5 Source No.",$C244,"4 Item Ledger Entry Type",$C$4,"2 Item No.","@@"&amp;$F244,"3 Posting Date",J$9)-NL("Sum","5802 Value Entry","43 Cost Amount (Actual)","41 Source Type",$C$5,"5 Source no.",$C244,"4 Item Ledger Entry Type",$C$4,"2 Item No.","@@"&amp;$F244,"3 Posting Date",J$9)</t>
  </si>
  <si>
    <t>=J244-L244</t>
  </si>
  <si>
    <t>=IF(J244&lt;&gt;0,M244/J244,"")</t>
  </si>
  <si>
    <t>=NL("Sum","5802 Value Entry","150 Sales Amount (Expected)","41 Source Type",$C$5,"5 Source No.",$C244,"4 Item Ledger Entry Type",$C$4,"2 Item No.","@@"&amp;$F244,"3 Posting Date",O$9)+NL("Sum","5802 Value Entry","17 Sales Amount (Actual)","41 Source Type",$C$5,"5 Source no.",$C244,"4 Item Ledger Entry Type",$C$4,"2 Item No.","@@"&amp;$F244,"3 Posting Date",O$9)</t>
  </si>
  <si>
    <t>=-NL("Sum","5802 Value Entry","151 Cost Amount (Expected)","41 Source Type",$C$5,"5 Source No.",$C244,"4 Item Ledger Entry Type",$C$4,"2 Item No.","@@"&amp;$F244,"3 Posting Date",O$9)-NL("Sum","5802 Value Entry","43 Cost Amount (Actual)","41 Source Type",$C$5,"5 Source no.",$C244,"4 Item Ledger Entry Type",$C$4,"2 Item No.","@@"&amp;$F244,"3 Posting Date",O$9)</t>
  </si>
  <si>
    <t>=O244-Q244</t>
  </si>
  <si>
    <t>=IF(O244&lt;&gt;0,R244/O244,"")</t>
  </si>
  <si>
    <t>=NL("Sum","5802 Value Entry","150 Sales Amount (Expected)","41 Source Type",$C$5,"5 Source No.",$C244,"4 Item Ledger Entry Type",$C$4,"2 Item No.","@@"&amp;$F244,"3 Posting Date",U$9)+NL("Sum","5802 Value Entry","17 Sales Amount (Actual)","41 Source Type",$C$5,"5 Source no.",$C244,"4 Item Ledger Entry Type",$C$4,"2 Item No.","@@"&amp;$F244,"3 Posting Date",U$9)</t>
  </si>
  <si>
    <t>=-NL("Sum","5802 Value Entry","151 Cost Amount (Expected)","41 Source Type",$C$5,"5 Source No.",$C244,"4 Item Ledger Entry Type",$C$4,"2 Item No.","@@"&amp;$F244,"3 Posting Date",U$9)-NL("Sum","5802 Value Entry","43 Cost Amount (Actual)","41 Source Type",$C$5,"5 Source no.",$C244,"4 Item Ledger Entry Type",$C$4,"2 Item No.","@@"&amp;$F244,"3 Posting Date",U$9)</t>
  </si>
  <si>
    <t>=U244-W244</t>
  </si>
  <si>
    <t>=IF(U244&lt;&gt;0,X244/U244,"")</t>
  </si>
  <si>
    <t>=NL("Sum","5802 Value Entry","150 Sales Amount (Expected)","41 Source Type",$C$5,"5 Source No.",$C244,"4 Item Ledger Entry Type",$C$4,"2 Item No.","@@"&amp;$F244,"3 Posting Date",Z$9)+NL("Sum","5802 Value Entry","17 Sales Amount (Actual)","41 Source Type",$C$5,"5 Source no.",$C244,"4 Item Ledger Entry Type",$C$4,"2 Item No.","@@"&amp;$F244,"3 Posting Date",Z$9)</t>
  </si>
  <si>
    <t>=-NL("Sum","5802 Value Entry","151 Cost Amount (Expected)","41 Source Type",$C$5,"5 Source No.",$C244,"4 Item Ledger Entry Type",$C$4,"2 Item No.","@@"&amp;$F244,"3 Posting Date",Z$9)-NL("Sum","5802 Value Entry","43 Cost Amount (Actual)","41 Source Type",$C$5,"5 Source no.",$C244,"4 Item Ledger Entry Type",$C$4,"2 Item No.","@@"&amp;$F244,"3 Posting Date",Z$9)</t>
  </si>
  <si>
    <t>=Z244-AB244</t>
  </si>
  <si>
    <t>=IF(Z244&lt;&gt;0,AC244/Z244,"")</t>
  </si>
  <si>
    <t>=NL("Sum","5802 Value Entry","150 Sales Amount (Expected)","41 Source Type",$C$5,"5 Source No.",$C245,"4 Item Ledger Entry Type",$C$4,"2 Item No.","@@"&amp;$F245,"3 Posting Date",J$9)+NL("Sum","5802 Value Entry","17 Sales Amount (Actual)","41 Source Type",$C$5,"5 Source no.",$C245,"4 Item Ledger Entry Type",$C$4,"2 Item No.","@@"&amp;$F245,"3 Posting Date",J$9)</t>
  </si>
  <si>
    <t>=-NL("Sum","5802 Value Entry","151 Cost Amount (Expected)","41 Source Type",$C$5,"5 Source No.",$C245,"4 Item Ledger Entry Type",$C$4,"2 Item No.","@@"&amp;$F245,"3 Posting Date",J$9)-NL("Sum","5802 Value Entry","43 Cost Amount (Actual)","41 Source Type",$C$5,"5 Source no.",$C245,"4 Item Ledger Entry Type",$C$4,"2 Item No.","@@"&amp;$F245,"3 Posting Date",J$9)</t>
  </si>
  <si>
    <t>=J245-L245</t>
  </si>
  <si>
    <t>=IF(J245&lt;&gt;0,M245/J245,"")</t>
  </si>
  <si>
    <t>=NL("Sum","5802 Value Entry","150 Sales Amount (Expected)","41 Source Type",$C$5,"5 Source No.",$C245,"4 Item Ledger Entry Type",$C$4,"2 Item No.","@@"&amp;$F245,"3 Posting Date",O$9)+NL("Sum","5802 Value Entry","17 Sales Amount (Actual)","41 Source Type",$C$5,"5 Source no.",$C245,"4 Item Ledger Entry Type",$C$4,"2 Item No.","@@"&amp;$F245,"3 Posting Date",O$9)</t>
  </si>
  <si>
    <t>=-NL("Sum","5802 Value Entry","151 Cost Amount (Expected)","41 Source Type",$C$5,"5 Source No.",$C245,"4 Item Ledger Entry Type",$C$4,"2 Item No.","@@"&amp;$F245,"3 Posting Date",O$9)-NL("Sum","5802 Value Entry","43 Cost Amount (Actual)","41 Source Type",$C$5,"5 Source no.",$C245,"4 Item Ledger Entry Type",$C$4,"2 Item No.","@@"&amp;$F245,"3 Posting Date",O$9)</t>
  </si>
  <si>
    <t>=O245-Q245</t>
  </si>
  <si>
    <t>=IF(O245&lt;&gt;0,R245/O245,"")</t>
  </si>
  <si>
    <t>=NL("Sum","5802 Value Entry","150 Sales Amount (Expected)","41 Source Type",$C$5,"5 Source No.",$C245,"4 Item Ledger Entry Type",$C$4,"2 Item No.","@@"&amp;$F245,"3 Posting Date",U$9)+NL("Sum","5802 Value Entry","17 Sales Amount (Actual)","41 Source Type",$C$5,"5 Source no.",$C245,"4 Item Ledger Entry Type",$C$4,"2 Item No.","@@"&amp;$F245,"3 Posting Date",U$9)</t>
  </si>
  <si>
    <t>=-NL("Sum","5802 Value Entry","151 Cost Amount (Expected)","41 Source Type",$C$5,"5 Source No.",$C245,"4 Item Ledger Entry Type",$C$4,"2 Item No.","@@"&amp;$F245,"3 Posting Date",U$9)-NL("Sum","5802 Value Entry","43 Cost Amount (Actual)","41 Source Type",$C$5,"5 Source no.",$C245,"4 Item Ledger Entry Type",$C$4,"2 Item No.","@@"&amp;$F245,"3 Posting Date",U$9)</t>
  </si>
  <si>
    <t>=U245-W245</t>
  </si>
  <si>
    <t>=IF(U245&lt;&gt;0,X245/U245,"")</t>
  </si>
  <si>
    <t>=NL("Sum","5802 Value Entry","150 Sales Amount (Expected)","41 Source Type",$C$5,"5 Source No.",$C245,"4 Item Ledger Entry Type",$C$4,"2 Item No.","@@"&amp;$F245,"3 Posting Date",Z$9)+NL("Sum","5802 Value Entry","17 Sales Amount (Actual)","41 Source Type",$C$5,"5 Source no.",$C245,"4 Item Ledger Entry Type",$C$4,"2 Item No.","@@"&amp;$F245,"3 Posting Date",Z$9)</t>
  </si>
  <si>
    <t>=-NL("Sum","5802 Value Entry","151 Cost Amount (Expected)","41 Source Type",$C$5,"5 Source No.",$C245,"4 Item Ledger Entry Type",$C$4,"2 Item No.","@@"&amp;$F245,"3 Posting Date",Z$9)-NL("Sum","5802 Value Entry","43 Cost Amount (Actual)","41 Source Type",$C$5,"5 Source no.",$C245,"4 Item Ledger Entry Type",$C$4,"2 Item No.","@@"&amp;$F245,"3 Posting Date",Z$9)</t>
  </si>
  <si>
    <t>=Z245-AB245</t>
  </si>
  <si>
    <t>=IF(Z245&lt;&gt;0,AC245/Z245,"")</t>
  </si>
  <si>
    <t>=C253&amp;" TOTAL:"</t>
  </si>
  <si>
    <t>=SUBTOTAL(9,J235:J252)</t>
  </si>
  <si>
    <t>=SUBTOTAL(9,K235:K252)</t>
  </si>
  <si>
    <t>=SUBTOTAL(9,L235:L252)</t>
  </si>
  <si>
    <t>=SUBTOTAL(9,O235:O252)</t>
  </si>
  <si>
    <t>=SUBTOTAL(9,P235:P252)</t>
  </si>
  <si>
    <t>=SUBTOTAL(9,Q235:Q252)</t>
  </si>
  <si>
    <t>=SUBTOTAL(9,U235:U252)</t>
  </si>
  <si>
    <t>=SUBTOTAL(9,V235:V252)</t>
  </si>
  <si>
    <t>=SUBTOTAL(9,W235:W252)</t>
  </si>
  <si>
    <t>=SUBTOTAL(9,Z235:Z252)</t>
  </si>
  <si>
    <t>=SUBTOTAL(9,AA235:AA252)</t>
  </si>
  <si>
    <t>=SUBTOTAL(9,AB235:AB252)</t>
  </si>
  <si>
    <t>=E255</t>
  </si>
  <si>
    <t>=NL(,"18 Customer","2 Name","1 No.",$E255)</t>
  </si>
  <si>
    <t>=NL("Rows","5802 Value Entry","2 Item No.","4 Item Ledger Entry Type",$C$4,"41 Source Type",$C$5,"5 Source No.",$C257,"Item No.",$C$7,"3 Posting Date",$C$10)</t>
  </si>
  <si>
    <t>=C262</t>
  </si>
  <si>
    <t>=NL("Sum","5802 Value Entry","150 Sales Amount (Expected)","41 Source Type",$C$5,"5 Source No.",$C263,"4 Item Ledger Entry Type",$C$4,"2 Item No.","@@"&amp;$F263,"3 Posting Date",J$9)+NL("Sum","5802 Value Entry","17 Sales Amount (Actual)","41 Source Type",$C$5,"5 Source no.",$C263,"4 Item Ledger Entry Type",$C$4,"2 Item No.","@@"&amp;$F263,"3 Posting Date",J$9)</t>
  </si>
  <si>
    <t>=-NL("Sum","5802 Value Entry","151 Cost Amount (Expected)","41 Source Type",$C$5,"5 Source No.",$C263,"4 Item Ledger Entry Type",$C$4,"2 Item No.","@@"&amp;$F263,"3 Posting Date",J$9)-NL("Sum","5802 Value Entry","43 Cost Amount (Actual)","41 Source Type",$C$5,"5 Source no.",$C263,"4 Item Ledger Entry Type",$C$4,"2 Item No.","@@"&amp;$F263,"3 Posting Date",J$9)</t>
  </si>
  <si>
    <t>=J263-L263</t>
  </si>
  <si>
    <t>=IF(J263&lt;&gt;0,M263/J263,"")</t>
  </si>
  <si>
    <t>=NL("Sum","5802 Value Entry","150 Sales Amount (Expected)","41 Source Type",$C$5,"5 Source No.",$C263,"4 Item Ledger Entry Type",$C$4,"2 Item No.","@@"&amp;$F263,"3 Posting Date",O$9)+NL("Sum","5802 Value Entry","17 Sales Amount (Actual)","41 Source Type",$C$5,"5 Source no.",$C263,"4 Item Ledger Entry Type",$C$4,"2 Item No.","@@"&amp;$F263,"3 Posting Date",O$9)</t>
  </si>
  <si>
    <t>=-NL("Sum","5802 Value Entry","151 Cost Amount (Expected)","41 Source Type",$C$5,"5 Source No.",$C263,"4 Item Ledger Entry Type",$C$4,"2 Item No.","@@"&amp;$F263,"3 Posting Date",O$9)-NL("Sum","5802 Value Entry","43 Cost Amount (Actual)","41 Source Type",$C$5,"5 Source no.",$C263,"4 Item Ledger Entry Type",$C$4,"2 Item No.","@@"&amp;$F263,"3 Posting Date",O$9)</t>
  </si>
  <si>
    <t>=O263-Q263</t>
  </si>
  <si>
    <t>=IF(O263&lt;&gt;0,R263/O263,"")</t>
  </si>
  <si>
    <t>=NL("Sum","5802 Value Entry","150 Sales Amount (Expected)","41 Source Type",$C$5,"5 Source No.",$C263,"4 Item Ledger Entry Type",$C$4,"2 Item No.","@@"&amp;$F263,"3 Posting Date",U$9)+NL("Sum","5802 Value Entry","17 Sales Amount (Actual)","41 Source Type",$C$5,"5 Source no.",$C263,"4 Item Ledger Entry Type",$C$4,"2 Item No.","@@"&amp;$F263,"3 Posting Date",U$9)</t>
  </si>
  <si>
    <t>=-NL("Sum","5802 Value Entry","151 Cost Amount (Expected)","41 Source Type",$C$5,"5 Source No.",$C263,"4 Item Ledger Entry Type",$C$4,"2 Item No.","@@"&amp;$F263,"3 Posting Date",U$9)-NL("Sum","5802 Value Entry","43 Cost Amount (Actual)","41 Source Type",$C$5,"5 Source no.",$C263,"4 Item Ledger Entry Type",$C$4,"2 Item No.","@@"&amp;$F263,"3 Posting Date",U$9)</t>
  </si>
  <si>
    <t>=U263-W263</t>
  </si>
  <si>
    <t>=IF(U263&lt;&gt;0,X263/U263,"")</t>
  </si>
  <si>
    <t>=NL("Sum","5802 Value Entry","150 Sales Amount (Expected)","41 Source Type",$C$5,"5 Source No.",$C263,"4 Item Ledger Entry Type",$C$4,"2 Item No.","@@"&amp;$F263,"3 Posting Date",Z$9)+NL("Sum","5802 Value Entry","17 Sales Amount (Actual)","41 Source Type",$C$5,"5 Source no.",$C263,"4 Item Ledger Entry Type",$C$4,"2 Item No.","@@"&amp;$F263,"3 Posting Date",Z$9)</t>
  </si>
  <si>
    <t>=-NL("Sum","5802 Value Entry","151 Cost Amount (Expected)","41 Source Type",$C$5,"5 Source No.",$C263,"4 Item Ledger Entry Type",$C$4,"2 Item No.","@@"&amp;$F263,"3 Posting Date",Z$9)-NL("Sum","5802 Value Entry","43 Cost Amount (Actual)","41 Source Type",$C$5,"5 Source no.",$C263,"4 Item Ledger Entry Type",$C$4,"2 Item No.","@@"&amp;$F263,"3 Posting Date",Z$9)</t>
  </si>
  <si>
    <t>=Z263-AB263</t>
  </si>
  <si>
    <t>=IF(Z263&lt;&gt;0,AC263/Z263,"")</t>
  </si>
  <si>
    <t>=NL("Sum","5802 Value Entry","150 Sales Amount (Expected)","41 Source Type",$C$5,"5 Source No.",$C264,"4 Item Ledger Entry Type",$C$4,"2 Item No.","@@"&amp;$F264,"3 Posting Date",J$9)+NL("Sum","5802 Value Entry","17 Sales Amount (Actual)","41 Source Type",$C$5,"5 Source no.",$C264,"4 Item Ledger Entry Type",$C$4,"2 Item No.","@@"&amp;$F264,"3 Posting Date",J$9)</t>
  </si>
  <si>
    <t>=-NL("Sum","5802 Value Entry","151 Cost Amount (Expected)","41 Source Type",$C$5,"5 Source No.",$C264,"4 Item Ledger Entry Type",$C$4,"2 Item No.","@@"&amp;$F264,"3 Posting Date",J$9)-NL("Sum","5802 Value Entry","43 Cost Amount (Actual)","41 Source Type",$C$5,"5 Source no.",$C264,"4 Item Ledger Entry Type",$C$4,"2 Item No.","@@"&amp;$F264,"3 Posting Date",J$9)</t>
  </si>
  <si>
    <t>=NL("Sum","5802 Value Entry","150 Sales Amount (Expected)","41 Source Type",$C$5,"5 Source No.",$C264,"4 Item Ledger Entry Type",$C$4,"2 Item No.","@@"&amp;$F264,"3 Posting Date",O$9)+NL("Sum","5802 Value Entry","17 Sales Amount (Actual)","41 Source Type",$C$5,"5 Source no.",$C264,"4 Item Ledger Entry Type",$C$4,"2 Item No.","@@"&amp;$F264,"3 Posting Date",O$9)</t>
  </si>
  <si>
    <t>=-NL("Sum","5802 Value Entry","151 Cost Amount (Expected)","41 Source Type",$C$5,"5 Source No.",$C264,"4 Item Ledger Entry Type",$C$4,"2 Item No.","@@"&amp;$F264,"3 Posting Date",O$9)-NL("Sum","5802 Value Entry","43 Cost Amount (Actual)","41 Source Type",$C$5,"5 Source no.",$C264,"4 Item Ledger Entry Type",$C$4,"2 Item No.","@@"&amp;$F264,"3 Posting Date",O$9)</t>
  </si>
  <si>
    <t>=NL("Sum","5802 Value Entry","150 Sales Amount (Expected)","41 Source Type",$C$5,"5 Source No.",$C264,"4 Item Ledger Entry Type",$C$4,"2 Item No.","@@"&amp;$F264,"3 Posting Date",U$9)+NL("Sum","5802 Value Entry","17 Sales Amount (Actual)","41 Source Type",$C$5,"5 Source no.",$C264,"4 Item Ledger Entry Type",$C$4,"2 Item No.","@@"&amp;$F264,"3 Posting Date",U$9)</t>
  </si>
  <si>
    <t>=-NL("Sum","5802 Value Entry","151 Cost Amount (Expected)","41 Source Type",$C$5,"5 Source No.",$C264,"4 Item Ledger Entry Type",$C$4,"2 Item No.","@@"&amp;$F264,"3 Posting Date",U$9)-NL("Sum","5802 Value Entry","43 Cost Amount (Actual)","41 Source Type",$C$5,"5 Source no.",$C264,"4 Item Ledger Entry Type",$C$4,"2 Item No.","@@"&amp;$F264,"3 Posting Date",U$9)</t>
  </si>
  <si>
    <t>=NL("Sum","5802 Value Entry","150 Sales Amount (Expected)","41 Source Type",$C$5,"5 Source No.",$C264,"4 Item Ledger Entry Type",$C$4,"2 Item No.","@@"&amp;$F264,"3 Posting Date",Z$9)+NL("Sum","5802 Value Entry","17 Sales Amount (Actual)","41 Source Type",$C$5,"5 Source no.",$C264,"4 Item Ledger Entry Type",$C$4,"2 Item No.","@@"&amp;$F264,"3 Posting Date",Z$9)</t>
  </si>
  <si>
    <t>=-NL("Sum","5802 Value Entry","151 Cost Amount (Expected)","41 Source Type",$C$5,"5 Source No.",$C264,"4 Item Ledger Entry Type",$C$4,"2 Item No.","@@"&amp;$F264,"3 Posting Date",Z$9)-NL("Sum","5802 Value Entry","43 Cost Amount (Actual)","41 Source Type",$C$5,"5 Source no.",$C264,"4 Item Ledger Entry Type",$C$4,"2 Item No.","@@"&amp;$F264,"3 Posting Date",Z$9)</t>
  </si>
  <si>
    <t>=C264</t>
  </si>
  <si>
    <t>=NL("Sum","5802 Value Entry","150 Sales Amount (Expected)","41 Source Type",$C$5,"5 Source No.",$C265,"4 Item Ledger Entry Type",$C$4,"2 Item No.","@@"&amp;$F265,"3 Posting Date",J$9)+NL("Sum","5802 Value Entry","17 Sales Amount (Actual)","41 Source Type",$C$5,"5 Source no.",$C265,"4 Item Ledger Entry Type",$C$4,"2 Item No.","@@"&amp;$F265,"3 Posting Date",J$9)</t>
  </si>
  <si>
    <t>=-NL("Sum","5802 Value Entry","151 Cost Amount (Expected)","41 Source Type",$C$5,"5 Source No.",$C265,"4 Item Ledger Entry Type",$C$4,"2 Item No.","@@"&amp;$F265,"3 Posting Date",J$9)-NL("Sum","5802 Value Entry","43 Cost Amount (Actual)","41 Source Type",$C$5,"5 Source no.",$C265,"4 Item Ledger Entry Type",$C$4,"2 Item No.","@@"&amp;$F265,"3 Posting Date",J$9)</t>
  </si>
  <si>
    <t>=J265-L265</t>
  </si>
  <si>
    <t>=IF(J265&lt;&gt;0,M265/J265,"")</t>
  </si>
  <si>
    <t>=NL("Sum","5802 Value Entry","150 Sales Amount (Expected)","41 Source Type",$C$5,"5 Source No.",$C265,"4 Item Ledger Entry Type",$C$4,"2 Item No.","@@"&amp;$F265,"3 Posting Date",O$9)+NL("Sum","5802 Value Entry","17 Sales Amount (Actual)","41 Source Type",$C$5,"5 Source no.",$C265,"4 Item Ledger Entry Type",$C$4,"2 Item No.","@@"&amp;$F265,"3 Posting Date",O$9)</t>
  </si>
  <si>
    <t>=-NL("Sum","5802 Value Entry","151 Cost Amount (Expected)","41 Source Type",$C$5,"5 Source No.",$C265,"4 Item Ledger Entry Type",$C$4,"2 Item No.","@@"&amp;$F265,"3 Posting Date",O$9)-NL("Sum","5802 Value Entry","43 Cost Amount (Actual)","41 Source Type",$C$5,"5 Source no.",$C265,"4 Item Ledger Entry Type",$C$4,"2 Item No.","@@"&amp;$F265,"3 Posting Date",O$9)</t>
  </si>
  <si>
    <t>=O265-Q265</t>
  </si>
  <si>
    <t>=IF(O265&lt;&gt;0,R265/O265,"")</t>
  </si>
  <si>
    <t>=NL("Sum","5802 Value Entry","150 Sales Amount (Expected)","41 Source Type",$C$5,"5 Source No.",$C265,"4 Item Ledger Entry Type",$C$4,"2 Item No.","@@"&amp;$F265,"3 Posting Date",U$9)+NL("Sum","5802 Value Entry","17 Sales Amount (Actual)","41 Source Type",$C$5,"5 Source no.",$C265,"4 Item Ledger Entry Type",$C$4,"2 Item No.","@@"&amp;$F265,"3 Posting Date",U$9)</t>
  </si>
  <si>
    <t>=-NL("Sum","5802 Value Entry","151 Cost Amount (Expected)","41 Source Type",$C$5,"5 Source No.",$C265,"4 Item Ledger Entry Type",$C$4,"2 Item No.","@@"&amp;$F265,"3 Posting Date",U$9)-NL("Sum","5802 Value Entry","43 Cost Amount (Actual)","41 Source Type",$C$5,"5 Source no.",$C265,"4 Item Ledger Entry Type",$C$4,"2 Item No.","@@"&amp;$F265,"3 Posting Date",U$9)</t>
  </si>
  <si>
    <t>=U265-W265</t>
  </si>
  <si>
    <t>=IF(U265&lt;&gt;0,X265/U265,"")</t>
  </si>
  <si>
    <t>=NL("Sum","5802 Value Entry","150 Sales Amount (Expected)","41 Source Type",$C$5,"5 Source No.",$C265,"4 Item Ledger Entry Type",$C$4,"2 Item No.","@@"&amp;$F265,"3 Posting Date",Z$9)+NL("Sum","5802 Value Entry","17 Sales Amount (Actual)","41 Source Type",$C$5,"5 Source no.",$C265,"4 Item Ledger Entry Type",$C$4,"2 Item No.","@@"&amp;$F265,"3 Posting Date",Z$9)</t>
  </si>
  <si>
    <t>=-NL("Sum","5802 Value Entry","151 Cost Amount (Expected)","41 Source Type",$C$5,"5 Source No.",$C265,"4 Item Ledger Entry Type",$C$4,"2 Item No.","@@"&amp;$F265,"3 Posting Date",Z$9)-NL("Sum","5802 Value Entry","43 Cost Amount (Actual)","41 Source Type",$C$5,"5 Source no.",$C265,"4 Item Ledger Entry Type",$C$4,"2 Item No.","@@"&amp;$F265,"3 Posting Date",Z$9)</t>
  </si>
  <si>
    <t>=Z265-AB265</t>
  </si>
  <si>
    <t>=IF(Z265&lt;&gt;0,AC265/Z265,"")</t>
  </si>
  <si>
    <t>=C265</t>
  </si>
  <si>
    <t>=NL("Sum","5802 Value Entry","150 Sales Amount (Expected)","41 Source Type",$C$5,"5 Source No.",$C266,"4 Item Ledger Entry Type",$C$4,"2 Item No.","@@"&amp;$F266,"3 Posting Date",J$9)+NL("Sum","5802 Value Entry","17 Sales Amount (Actual)","41 Source Type",$C$5,"5 Source no.",$C266,"4 Item Ledger Entry Type",$C$4,"2 Item No.","@@"&amp;$F266,"3 Posting Date",J$9)</t>
  </si>
  <si>
    <t>=-NL("Sum","5802 Value Entry","151 Cost Amount (Expected)","41 Source Type",$C$5,"5 Source No.",$C266,"4 Item Ledger Entry Type",$C$4,"2 Item No.","@@"&amp;$F266,"3 Posting Date",J$9)-NL("Sum","5802 Value Entry","43 Cost Amount (Actual)","41 Source Type",$C$5,"5 Source no.",$C266,"4 Item Ledger Entry Type",$C$4,"2 Item No.","@@"&amp;$F266,"3 Posting Date",J$9)</t>
  </si>
  <si>
    <t>=J266-L266</t>
  </si>
  <si>
    <t>=IF(J266&lt;&gt;0,M266/J266,"")</t>
  </si>
  <si>
    <t>=NL("Sum","5802 Value Entry","150 Sales Amount (Expected)","41 Source Type",$C$5,"5 Source No.",$C266,"4 Item Ledger Entry Type",$C$4,"2 Item No.","@@"&amp;$F266,"3 Posting Date",O$9)+NL("Sum","5802 Value Entry","17 Sales Amount (Actual)","41 Source Type",$C$5,"5 Source no.",$C266,"4 Item Ledger Entry Type",$C$4,"2 Item No.","@@"&amp;$F266,"3 Posting Date",O$9)</t>
  </si>
  <si>
    <t>=-NL("Sum","5802 Value Entry","151 Cost Amount (Expected)","41 Source Type",$C$5,"5 Source No.",$C266,"4 Item Ledger Entry Type",$C$4,"2 Item No.","@@"&amp;$F266,"3 Posting Date",O$9)-NL("Sum","5802 Value Entry","43 Cost Amount (Actual)","41 Source Type",$C$5,"5 Source no.",$C266,"4 Item Ledger Entry Type",$C$4,"2 Item No.","@@"&amp;$F266,"3 Posting Date",O$9)</t>
  </si>
  <si>
    <t>=O266-Q266</t>
  </si>
  <si>
    <t>=IF(O266&lt;&gt;0,R266/O266,"")</t>
  </si>
  <si>
    <t>=NL("Sum","5802 Value Entry","150 Sales Amount (Expected)","41 Source Type",$C$5,"5 Source No.",$C266,"4 Item Ledger Entry Type",$C$4,"2 Item No.","@@"&amp;$F266,"3 Posting Date",U$9)+NL("Sum","5802 Value Entry","17 Sales Amount (Actual)","41 Source Type",$C$5,"5 Source no.",$C266,"4 Item Ledger Entry Type",$C$4,"2 Item No.","@@"&amp;$F266,"3 Posting Date",U$9)</t>
  </si>
  <si>
    <t>=-NL("Sum","5802 Value Entry","151 Cost Amount (Expected)","41 Source Type",$C$5,"5 Source No.",$C266,"4 Item Ledger Entry Type",$C$4,"2 Item No.","@@"&amp;$F266,"3 Posting Date",U$9)-NL("Sum","5802 Value Entry","43 Cost Amount (Actual)","41 Source Type",$C$5,"5 Source no.",$C266,"4 Item Ledger Entry Type",$C$4,"2 Item No.","@@"&amp;$F266,"3 Posting Date",U$9)</t>
  </si>
  <si>
    <t>=U266-W266</t>
  </si>
  <si>
    <t>=IF(U266&lt;&gt;0,X266/U266,"")</t>
  </si>
  <si>
    <t>=NL("Sum","5802 Value Entry","150 Sales Amount (Expected)","41 Source Type",$C$5,"5 Source No.",$C266,"4 Item Ledger Entry Type",$C$4,"2 Item No.","@@"&amp;$F266,"3 Posting Date",Z$9)+NL("Sum","5802 Value Entry","17 Sales Amount (Actual)","41 Source Type",$C$5,"5 Source no.",$C266,"4 Item Ledger Entry Type",$C$4,"2 Item No.","@@"&amp;$F266,"3 Posting Date",Z$9)</t>
  </si>
  <si>
    <t>=-NL("Sum","5802 Value Entry","151 Cost Amount (Expected)","41 Source Type",$C$5,"5 Source No.",$C266,"4 Item Ledger Entry Type",$C$4,"2 Item No.","@@"&amp;$F266,"3 Posting Date",Z$9)-NL("Sum","5802 Value Entry","43 Cost Amount (Actual)","41 Source Type",$C$5,"5 Source no.",$C266,"4 Item Ledger Entry Type",$C$4,"2 Item No.","@@"&amp;$F266,"3 Posting Date",Z$9)</t>
  </si>
  <si>
    <t>=Z266-AB266</t>
  </si>
  <si>
    <t>=IF(Z266&lt;&gt;0,AC266/Z266,"")</t>
  </si>
  <si>
    <t>=NL("Sum","5802 Value Entry","150 Sales Amount (Expected)","41 Source Type",$C$5,"5 Source No.",$C267,"4 Item Ledger Entry Type",$C$4,"2 Item No.","@@"&amp;$F267,"3 Posting Date",J$9)+NL("Sum","5802 Value Entry","17 Sales Amount (Actual)","41 Source Type",$C$5,"5 Source no.",$C267,"4 Item Ledger Entry Type",$C$4,"2 Item No.","@@"&amp;$F267,"3 Posting Date",J$9)</t>
  </si>
  <si>
    <t>=-NL("Sum","5802 Value Entry","151 Cost Amount (Expected)","41 Source Type",$C$5,"5 Source No.",$C267,"4 Item Ledger Entry Type",$C$4,"2 Item No.","@@"&amp;$F267,"3 Posting Date",J$9)-NL("Sum","5802 Value Entry","43 Cost Amount (Actual)","41 Source Type",$C$5,"5 Source no.",$C267,"4 Item Ledger Entry Type",$C$4,"2 Item No.","@@"&amp;$F267,"3 Posting Date",J$9)</t>
  </si>
  <si>
    <t>=J267-L267</t>
  </si>
  <si>
    <t>=IF(J267&lt;&gt;0,M267/J267,"")</t>
  </si>
  <si>
    <t>=NL("Sum","5802 Value Entry","150 Sales Amount (Expected)","41 Source Type",$C$5,"5 Source No.",$C267,"4 Item Ledger Entry Type",$C$4,"2 Item No.","@@"&amp;$F267,"3 Posting Date",O$9)+NL("Sum","5802 Value Entry","17 Sales Amount (Actual)","41 Source Type",$C$5,"5 Source no.",$C267,"4 Item Ledger Entry Type",$C$4,"2 Item No.","@@"&amp;$F267,"3 Posting Date",O$9)</t>
  </si>
  <si>
    <t>=-NL("Sum","5802 Value Entry","151 Cost Amount (Expected)","41 Source Type",$C$5,"5 Source No.",$C267,"4 Item Ledger Entry Type",$C$4,"2 Item No.","@@"&amp;$F267,"3 Posting Date",O$9)-NL("Sum","5802 Value Entry","43 Cost Amount (Actual)","41 Source Type",$C$5,"5 Source no.",$C267,"4 Item Ledger Entry Type",$C$4,"2 Item No.","@@"&amp;$F267,"3 Posting Date",O$9)</t>
  </si>
  <si>
    <t>=O267-Q267</t>
  </si>
  <si>
    <t>=IF(O267&lt;&gt;0,R267/O267,"")</t>
  </si>
  <si>
    <t>=NL("Sum","5802 Value Entry","150 Sales Amount (Expected)","41 Source Type",$C$5,"5 Source No.",$C267,"4 Item Ledger Entry Type",$C$4,"2 Item No.","@@"&amp;$F267,"3 Posting Date",U$9)+NL("Sum","5802 Value Entry","17 Sales Amount (Actual)","41 Source Type",$C$5,"5 Source no.",$C267,"4 Item Ledger Entry Type",$C$4,"2 Item No.","@@"&amp;$F267,"3 Posting Date",U$9)</t>
  </si>
  <si>
    <t>=-NL("Sum","5802 Value Entry","151 Cost Amount (Expected)","41 Source Type",$C$5,"5 Source No.",$C267,"4 Item Ledger Entry Type",$C$4,"2 Item No.","@@"&amp;$F267,"3 Posting Date",U$9)-NL("Sum","5802 Value Entry","43 Cost Amount (Actual)","41 Source Type",$C$5,"5 Source no.",$C267,"4 Item Ledger Entry Type",$C$4,"2 Item No.","@@"&amp;$F267,"3 Posting Date",U$9)</t>
  </si>
  <si>
    <t>=U267-W267</t>
  </si>
  <si>
    <t>=IF(U267&lt;&gt;0,X267/U267,"")</t>
  </si>
  <si>
    <t>=NL("Sum","5802 Value Entry","150 Sales Amount (Expected)","41 Source Type",$C$5,"5 Source No.",$C267,"4 Item Ledger Entry Type",$C$4,"2 Item No.","@@"&amp;$F267,"3 Posting Date",Z$9)+NL("Sum","5802 Value Entry","17 Sales Amount (Actual)","41 Source Type",$C$5,"5 Source no.",$C267,"4 Item Ledger Entry Type",$C$4,"2 Item No.","@@"&amp;$F267,"3 Posting Date",Z$9)</t>
  </si>
  <si>
    <t>=-NL("Sum","5802 Value Entry","151 Cost Amount (Expected)","41 Source Type",$C$5,"5 Source No.",$C267,"4 Item Ledger Entry Type",$C$4,"2 Item No.","@@"&amp;$F267,"3 Posting Date",Z$9)-NL("Sum","5802 Value Entry","43 Cost Amount (Actual)","41 Source Type",$C$5,"5 Source no.",$C267,"4 Item Ledger Entry Type",$C$4,"2 Item No.","@@"&amp;$F267,"3 Posting Date",Z$9)</t>
  </si>
  <si>
    <t>=Z267-AB267</t>
  </si>
  <si>
    <t>=IF(Z267&lt;&gt;0,AC267/Z267,"")</t>
  </si>
  <si>
    <t>=C271&amp;" TOTAL:"</t>
  </si>
  <si>
    <t>=SUBTOTAL(9,J256:J270)</t>
  </si>
  <si>
    <t>=SUBTOTAL(9,K256:K270)</t>
  </si>
  <si>
    <t>=SUBTOTAL(9,L256:L270)</t>
  </si>
  <si>
    <t>=SUBTOTAL(9,O256:O270)</t>
  </si>
  <si>
    <t>=SUBTOTAL(9,P256:P270)</t>
  </si>
  <si>
    <t>=SUBTOTAL(9,Q256:Q270)</t>
  </si>
  <si>
    <t>=SUBTOTAL(9,U256:U270)</t>
  </si>
  <si>
    <t>=SUBTOTAL(9,V256:V270)</t>
  </si>
  <si>
    <t>=SUBTOTAL(9,W256:W270)</t>
  </si>
  <si>
    <t>=SUBTOTAL(9,Z256:Z270)</t>
  </si>
  <si>
    <t>=SUBTOTAL(9,AA256:AA270)</t>
  </si>
  <si>
    <t>=SUBTOTAL(9,AB256:AB270)</t>
  </si>
  <si>
    <t>=E273</t>
  </si>
  <si>
    <t>=NL(,"18 Customer","2 Name","1 No.",$E273)</t>
  </si>
  <si>
    <t>=NL("Rows","5802 Value Entry","2 Item No.","4 Item Ledger Entry Type",$C$4,"41 Source Type",$C$5,"5 Source No.",$C275,"Item No.",$C$7,"3 Posting Date",$C$10)</t>
  </si>
  <si>
    <t>=SUBTOTAL(9,J274:J292)</t>
  </si>
  <si>
    <t>=SUBTOTAL(9,K274:K292)</t>
  </si>
  <si>
    <t>=SUBTOTAL(9,L274:L292)</t>
  </si>
  <si>
    <t>=SUBTOTAL(9,O274:O292)</t>
  </si>
  <si>
    <t>=SUBTOTAL(9,P274:P292)</t>
  </si>
  <si>
    <t>=SUBTOTAL(9,Q274:Q292)</t>
  </si>
  <si>
    <t>=SUBTOTAL(9,U274:U292)</t>
  </si>
  <si>
    <t>=SUBTOTAL(9,V274:V292)</t>
  </si>
  <si>
    <t>=SUBTOTAL(9,W274:W292)</t>
  </si>
  <si>
    <t>=SUBTOTAL(9,Z274:Z292)</t>
  </si>
  <si>
    <t>=SUBTOTAL(9,AA274:AA292)</t>
  </si>
  <si>
    <t>=SUBTOTAL(9,AB274:AB292)</t>
  </si>
  <si>
    <t>=C311&amp;" TOTAL:"</t>
  </si>
  <si>
    <t>=SUBTOTAL(9,J296:J310)</t>
  </si>
  <si>
    <t>=SUBTOTAL(9,K296:K310)</t>
  </si>
  <si>
    <t>=SUBTOTAL(9,L296:L310)</t>
  </si>
  <si>
    <t>=SUBTOTAL(9,O296:O310)</t>
  </si>
  <si>
    <t>=SUBTOTAL(9,P296:P310)</t>
  </si>
  <si>
    <t>=SUBTOTAL(9,Q296:Q310)</t>
  </si>
  <si>
    <t>=SUBTOTAL(9,U296:U310)</t>
  </si>
  <si>
    <t>=SUBTOTAL(9,V296:V310)</t>
  </si>
  <si>
    <t>=SUBTOTAL(9,W296:W310)</t>
  </si>
  <si>
    <t>=SUBTOTAL(9,Z296:Z310)</t>
  </si>
  <si>
    <t>=SUBTOTAL(9,AA296:AA310)</t>
  </si>
  <si>
    <t>=SUBTOTAL(9,AB296:AB310)</t>
  </si>
  <si>
    <t>=E313</t>
  </si>
  <si>
    <t>=NL(,"18 Customer","2 Name","1 No.",$E313)</t>
  </si>
  <si>
    <t>=C314</t>
  </si>
  <si>
    <t>=NL("Rows","5802 Value Entry","2 Item No.","4 Item Ledger Entry Type",$C$4,"41 Source Type",$C$5,"5 Source No.",$C315,"Item No.",$C$7,"3 Posting Date",$C$10)</t>
  </si>
  <si>
    <t>=NL("Sum","5802 Value Entry","150 Sales Amount (Expected)","41 Source Type",$C$5,"5 Source No.",$C315,"4 Item Ledger Entry Type",$C$4,"2 Item No.","@@"&amp;$F315,"3 Posting Date",J$9)+NL("Sum","5802 Value Entry","17 Sales Amount (Actual)","41 Source Type",$C$5,"5 Source no.",$C315,"4 Item Ledger Entry Type",$C$4,"2 Item No.","@@"&amp;$F315,"3 Posting Date",J$9)</t>
  </si>
  <si>
    <t>=-NL("Sum","5802 Value Entry","151 Cost Amount (Expected)","41 Source Type",$C$5,"5 Source No.",$C315,"4 Item Ledger Entry Type",$C$4,"2 Item No.","@@"&amp;$F315,"3 Posting Date",J$9)-NL("Sum","5802 Value Entry","43 Cost Amount (Actual)","41 Source Type",$C$5,"5 Source no.",$C315,"4 Item Ledger Entry Type",$C$4,"2 Item No.","@@"&amp;$F315,"3 Posting Date",J$9)</t>
  </si>
  <si>
    <t>=J315-L315</t>
  </si>
  <si>
    <t>=IF(J315&lt;&gt;0,M315/J315,"")</t>
  </si>
  <si>
    <t>=NL("Sum","5802 Value Entry","150 Sales Amount (Expected)","41 Source Type",$C$5,"5 Source No.",$C315,"4 Item Ledger Entry Type",$C$4,"2 Item No.","@@"&amp;$F315,"3 Posting Date",O$9)+NL("Sum","5802 Value Entry","17 Sales Amount (Actual)","41 Source Type",$C$5,"5 Source no.",$C315,"4 Item Ledger Entry Type",$C$4,"2 Item No.","@@"&amp;$F315,"3 Posting Date",O$9)</t>
  </si>
  <si>
    <t>=-NL("Sum","5802 Value Entry","151 Cost Amount (Expected)","41 Source Type",$C$5,"5 Source No.",$C315,"4 Item Ledger Entry Type",$C$4,"2 Item No.","@@"&amp;$F315,"3 Posting Date",O$9)-NL("Sum","5802 Value Entry","43 Cost Amount (Actual)","41 Source Type",$C$5,"5 Source no.",$C315,"4 Item Ledger Entry Type",$C$4,"2 Item No.","@@"&amp;$F315,"3 Posting Date",O$9)</t>
  </si>
  <si>
    <t>=O315-Q315</t>
  </si>
  <si>
    <t>=IF(O315&lt;&gt;0,R315/O315,"")</t>
  </si>
  <si>
    <t>=NL("Sum","5802 Value Entry","150 Sales Amount (Expected)","41 Source Type",$C$5,"5 Source No.",$C315,"4 Item Ledger Entry Type",$C$4,"2 Item No.","@@"&amp;$F315,"3 Posting Date",U$9)+NL("Sum","5802 Value Entry","17 Sales Amount (Actual)","41 Source Type",$C$5,"5 Source no.",$C315,"4 Item Ledger Entry Type",$C$4,"2 Item No.","@@"&amp;$F315,"3 Posting Date",U$9)</t>
  </si>
  <si>
    <t>=-NL("Sum","5802 Value Entry","151 Cost Amount (Expected)","41 Source Type",$C$5,"5 Source No.",$C315,"4 Item Ledger Entry Type",$C$4,"2 Item No.","@@"&amp;$F315,"3 Posting Date",U$9)-NL("Sum","5802 Value Entry","43 Cost Amount (Actual)","41 Source Type",$C$5,"5 Source no.",$C315,"4 Item Ledger Entry Type",$C$4,"2 Item No.","@@"&amp;$F315,"3 Posting Date",U$9)</t>
  </si>
  <si>
    <t>=U315-W315</t>
  </si>
  <si>
    <t>=IF(U315&lt;&gt;0,X315/U315,"")</t>
  </si>
  <si>
    <t>=NL("Sum","5802 Value Entry","150 Sales Amount (Expected)","41 Source Type",$C$5,"5 Source No.",$C315,"4 Item Ledger Entry Type",$C$4,"2 Item No.","@@"&amp;$F315,"3 Posting Date",Z$9)+NL("Sum","5802 Value Entry","17 Sales Amount (Actual)","41 Source Type",$C$5,"5 Source no.",$C315,"4 Item Ledger Entry Type",$C$4,"2 Item No.","@@"&amp;$F315,"3 Posting Date",Z$9)</t>
  </si>
  <si>
    <t>=-NL("Sum","5802 Value Entry","151 Cost Amount (Expected)","41 Source Type",$C$5,"5 Source No.",$C315,"4 Item Ledger Entry Type",$C$4,"2 Item No.","@@"&amp;$F315,"3 Posting Date",Z$9)-NL("Sum","5802 Value Entry","43 Cost Amount (Actual)","41 Source Type",$C$5,"5 Source no.",$C315,"4 Item Ledger Entry Type",$C$4,"2 Item No.","@@"&amp;$F315,"3 Posting Date",Z$9)</t>
  </si>
  <si>
    <t>=Z315-AB315</t>
  </si>
  <si>
    <t>=IF(Z315&lt;&gt;0,AC315/Z315,"")</t>
  </si>
  <si>
    <t>=C315</t>
  </si>
  <si>
    <t>=NL("Sum","5802 Value Entry","150 Sales Amount (Expected)","41 Source Type",$C$5,"5 Source No.",$C316,"4 Item Ledger Entry Type",$C$4,"2 Item No.","@@"&amp;$F316,"3 Posting Date",J$9)+NL("Sum","5802 Value Entry","17 Sales Amount (Actual)","41 Source Type",$C$5,"5 Source no.",$C316,"4 Item Ledger Entry Type",$C$4,"2 Item No.","@@"&amp;$F316,"3 Posting Date",J$9)</t>
  </si>
  <si>
    <t>=-NL("Sum","5802 Value Entry","151 Cost Amount (Expected)","41 Source Type",$C$5,"5 Source No.",$C316,"4 Item Ledger Entry Type",$C$4,"2 Item No.","@@"&amp;$F316,"3 Posting Date",J$9)-NL("Sum","5802 Value Entry","43 Cost Amount (Actual)","41 Source Type",$C$5,"5 Source no.",$C316,"4 Item Ledger Entry Type",$C$4,"2 Item No.","@@"&amp;$F316,"3 Posting Date",J$9)</t>
  </si>
  <si>
    <t>=J316-L316</t>
  </si>
  <si>
    <t>=IF(J316&lt;&gt;0,M316/J316,"")</t>
  </si>
  <si>
    <t>=NL("Sum","5802 Value Entry","150 Sales Amount (Expected)","41 Source Type",$C$5,"5 Source No.",$C316,"4 Item Ledger Entry Type",$C$4,"2 Item No.","@@"&amp;$F316,"3 Posting Date",O$9)+NL("Sum","5802 Value Entry","17 Sales Amount (Actual)","41 Source Type",$C$5,"5 Source no.",$C316,"4 Item Ledger Entry Type",$C$4,"2 Item No.","@@"&amp;$F316,"3 Posting Date",O$9)</t>
  </si>
  <si>
    <t>=-NL("Sum","5802 Value Entry","151 Cost Amount (Expected)","41 Source Type",$C$5,"5 Source No.",$C316,"4 Item Ledger Entry Type",$C$4,"2 Item No.","@@"&amp;$F316,"3 Posting Date",O$9)-NL("Sum","5802 Value Entry","43 Cost Amount (Actual)","41 Source Type",$C$5,"5 Source no.",$C316,"4 Item Ledger Entry Type",$C$4,"2 Item No.","@@"&amp;$F316,"3 Posting Date",O$9)</t>
  </si>
  <si>
    <t>=O316-Q316</t>
  </si>
  <si>
    <t>=IF(O316&lt;&gt;0,R316/O316,"")</t>
  </si>
  <si>
    <t>=NL("Sum","5802 Value Entry","150 Sales Amount (Expected)","41 Source Type",$C$5,"5 Source No.",$C316,"4 Item Ledger Entry Type",$C$4,"2 Item No.","@@"&amp;$F316,"3 Posting Date",U$9)+NL("Sum","5802 Value Entry","17 Sales Amount (Actual)","41 Source Type",$C$5,"5 Source no.",$C316,"4 Item Ledger Entry Type",$C$4,"2 Item No.","@@"&amp;$F316,"3 Posting Date",U$9)</t>
  </si>
  <si>
    <t>=-NL("Sum","5802 Value Entry","151 Cost Amount (Expected)","41 Source Type",$C$5,"5 Source No.",$C316,"4 Item Ledger Entry Type",$C$4,"2 Item No.","@@"&amp;$F316,"3 Posting Date",U$9)-NL("Sum","5802 Value Entry","43 Cost Amount (Actual)","41 Source Type",$C$5,"5 Source no.",$C316,"4 Item Ledger Entry Type",$C$4,"2 Item No.","@@"&amp;$F316,"3 Posting Date",U$9)</t>
  </si>
  <si>
    <t>=U316-W316</t>
  </si>
  <si>
    <t>=IF(U316&lt;&gt;0,X316/U316,"")</t>
  </si>
  <si>
    <t>=NL("Sum","5802 Value Entry","150 Sales Amount (Expected)","41 Source Type",$C$5,"5 Source No.",$C316,"4 Item Ledger Entry Type",$C$4,"2 Item No.","@@"&amp;$F316,"3 Posting Date",Z$9)+NL("Sum","5802 Value Entry","17 Sales Amount (Actual)","41 Source Type",$C$5,"5 Source no.",$C316,"4 Item Ledger Entry Type",$C$4,"2 Item No.","@@"&amp;$F316,"3 Posting Date",Z$9)</t>
  </si>
  <si>
    <t>=-NL("Sum","5802 Value Entry","151 Cost Amount (Expected)","41 Source Type",$C$5,"5 Source No.",$C316,"4 Item Ledger Entry Type",$C$4,"2 Item No.","@@"&amp;$F316,"3 Posting Date",Z$9)-NL("Sum","5802 Value Entry","43 Cost Amount (Actual)","41 Source Type",$C$5,"5 Source no.",$C316,"4 Item Ledger Entry Type",$C$4,"2 Item No.","@@"&amp;$F316,"3 Posting Date",Z$9)</t>
  </si>
  <si>
    <t>=Z316-AB316</t>
  </si>
  <si>
    <t>=IF(Z316&lt;&gt;0,AC316/Z316,"")</t>
  </si>
  <si>
    <t>=NL("Sum","5802 Value Entry","150 Sales Amount (Expected)","41 Source Type",$C$5,"5 Source No.",$C317,"4 Item Ledger Entry Type",$C$4,"2 Item No.","@@"&amp;$F317,"3 Posting Date",J$9)+NL("Sum","5802 Value Entry","17 Sales Amount (Actual)","41 Source Type",$C$5,"5 Source no.",$C317,"4 Item Ledger Entry Type",$C$4,"2 Item No.","@@"&amp;$F317,"3 Posting Date",J$9)</t>
  </si>
  <si>
    <t>=-NL("Sum","5802 Value Entry","151 Cost Amount (Expected)","41 Source Type",$C$5,"5 Source No.",$C317,"4 Item Ledger Entry Type",$C$4,"2 Item No.","@@"&amp;$F317,"3 Posting Date",J$9)-NL("Sum","5802 Value Entry","43 Cost Amount (Actual)","41 Source Type",$C$5,"5 Source no.",$C317,"4 Item Ledger Entry Type",$C$4,"2 Item No.","@@"&amp;$F317,"3 Posting Date",J$9)</t>
  </si>
  <si>
    <t>=J317-L317</t>
  </si>
  <si>
    <t>=IF(J317&lt;&gt;0,M317/J317,"")</t>
  </si>
  <si>
    <t>=NL("Sum","5802 Value Entry","150 Sales Amount (Expected)","41 Source Type",$C$5,"5 Source No.",$C317,"4 Item Ledger Entry Type",$C$4,"2 Item No.","@@"&amp;$F317,"3 Posting Date",O$9)+NL("Sum","5802 Value Entry","17 Sales Amount (Actual)","41 Source Type",$C$5,"5 Source no.",$C317,"4 Item Ledger Entry Type",$C$4,"2 Item No.","@@"&amp;$F317,"3 Posting Date",O$9)</t>
  </si>
  <si>
    <t>=-NL("Sum","5802 Value Entry","151 Cost Amount (Expected)","41 Source Type",$C$5,"5 Source No.",$C317,"4 Item Ledger Entry Type",$C$4,"2 Item No.","@@"&amp;$F317,"3 Posting Date",O$9)-NL("Sum","5802 Value Entry","43 Cost Amount (Actual)","41 Source Type",$C$5,"5 Source no.",$C317,"4 Item Ledger Entry Type",$C$4,"2 Item No.","@@"&amp;$F317,"3 Posting Date",O$9)</t>
  </si>
  <si>
    <t>=O317-Q317</t>
  </si>
  <si>
    <t>=IF(O317&lt;&gt;0,R317/O317,"")</t>
  </si>
  <si>
    <t>=NL("Sum","5802 Value Entry","150 Sales Amount (Expected)","41 Source Type",$C$5,"5 Source No.",$C317,"4 Item Ledger Entry Type",$C$4,"2 Item No.","@@"&amp;$F317,"3 Posting Date",U$9)+NL("Sum","5802 Value Entry","17 Sales Amount (Actual)","41 Source Type",$C$5,"5 Source no.",$C317,"4 Item Ledger Entry Type",$C$4,"2 Item No.","@@"&amp;$F317,"3 Posting Date",U$9)</t>
  </si>
  <si>
    <t>=-NL("Sum","5802 Value Entry","151 Cost Amount (Expected)","41 Source Type",$C$5,"5 Source No.",$C317,"4 Item Ledger Entry Type",$C$4,"2 Item No.","@@"&amp;$F317,"3 Posting Date",U$9)-NL("Sum","5802 Value Entry","43 Cost Amount (Actual)","41 Source Type",$C$5,"5 Source no.",$C317,"4 Item Ledger Entry Type",$C$4,"2 Item No.","@@"&amp;$F317,"3 Posting Date",U$9)</t>
  </si>
  <si>
    <t>=U317-W317</t>
  </si>
  <si>
    <t>=IF(U317&lt;&gt;0,X317/U317,"")</t>
  </si>
  <si>
    <t>=NL("Sum","5802 Value Entry","150 Sales Amount (Expected)","41 Source Type",$C$5,"5 Source No.",$C317,"4 Item Ledger Entry Type",$C$4,"2 Item No.","@@"&amp;$F317,"3 Posting Date",Z$9)+NL("Sum","5802 Value Entry","17 Sales Amount (Actual)","41 Source Type",$C$5,"5 Source no.",$C317,"4 Item Ledger Entry Type",$C$4,"2 Item No.","@@"&amp;$F317,"3 Posting Date",Z$9)</t>
  </si>
  <si>
    <t>=-NL("Sum","5802 Value Entry","151 Cost Amount (Expected)","41 Source Type",$C$5,"5 Source No.",$C317,"4 Item Ledger Entry Type",$C$4,"2 Item No.","@@"&amp;$F317,"3 Posting Date",Z$9)-NL("Sum","5802 Value Entry","43 Cost Amount (Actual)","41 Source Type",$C$5,"5 Source no.",$C317,"4 Item Ledger Entry Type",$C$4,"2 Item No.","@@"&amp;$F317,"3 Posting Date",Z$9)</t>
  </si>
  <si>
    <t>=Z317-AB317</t>
  </si>
  <si>
    <t>=IF(Z317&lt;&gt;0,AC317/Z317,"")</t>
  </si>
  <si>
    <t>=C334</t>
  </si>
  <si>
    <t>=NL("Sum","5802 Value Entry","150 Sales Amount (Expected)","41 Source Type",$C$5,"5 Source No.",$C335,"4 Item Ledger Entry Type",$C$4,"2 Item No.","@@"&amp;$F335,"3 Posting Date",J$9)+NL("Sum","5802 Value Entry","17 Sales Amount (Actual)","41 Source Type",$C$5,"5 Source no.",$C335,"4 Item Ledger Entry Type",$C$4,"2 Item No.","@@"&amp;$F335,"3 Posting Date",J$9)</t>
  </si>
  <si>
    <t>=-NL("Sum","5802 Value Entry","151 Cost Amount (Expected)","41 Source Type",$C$5,"5 Source No.",$C335,"4 Item Ledger Entry Type",$C$4,"2 Item No.","@@"&amp;$F335,"3 Posting Date",J$9)-NL("Sum","5802 Value Entry","43 Cost Amount (Actual)","41 Source Type",$C$5,"5 Source no.",$C335,"4 Item Ledger Entry Type",$C$4,"2 Item No.","@@"&amp;$F335,"3 Posting Date",J$9)</t>
  </si>
  <si>
    <t>=J335-L335</t>
  </si>
  <si>
    <t>=IF(J335&lt;&gt;0,M335/J335,"")</t>
  </si>
  <si>
    <t>=NL("Sum","5802 Value Entry","150 Sales Amount (Expected)","41 Source Type",$C$5,"5 Source No.",$C335,"4 Item Ledger Entry Type",$C$4,"2 Item No.","@@"&amp;$F335,"3 Posting Date",O$9)+NL("Sum","5802 Value Entry","17 Sales Amount (Actual)","41 Source Type",$C$5,"5 Source no.",$C335,"4 Item Ledger Entry Type",$C$4,"2 Item No.","@@"&amp;$F335,"3 Posting Date",O$9)</t>
  </si>
  <si>
    <t>=-NL("Sum","5802 Value Entry","151 Cost Amount (Expected)","41 Source Type",$C$5,"5 Source No.",$C335,"4 Item Ledger Entry Type",$C$4,"2 Item No.","@@"&amp;$F335,"3 Posting Date",O$9)-NL("Sum","5802 Value Entry","43 Cost Amount (Actual)","41 Source Type",$C$5,"5 Source no.",$C335,"4 Item Ledger Entry Type",$C$4,"2 Item No.","@@"&amp;$F335,"3 Posting Date",O$9)</t>
  </si>
  <si>
    <t>=O335-Q335</t>
  </si>
  <si>
    <t>=IF(O335&lt;&gt;0,R335/O335,"")</t>
  </si>
  <si>
    <t>=NL("Sum","5802 Value Entry","150 Sales Amount (Expected)","41 Source Type",$C$5,"5 Source No.",$C335,"4 Item Ledger Entry Type",$C$4,"2 Item No.","@@"&amp;$F335,"3 Posting Date",U$9)+NL("Sum","5802 Value Entry","17 Sales Amount (Actual)","41 Source Type",$C$5,"5 Source no.",$C335,"4 Item Ledger Entry Type",$C$4,"2 Item No.","@@"&amp;$F335,"3 Posting Date",U$9)</t>
  </si>
  <si>
    <t>=-NL("Sum","5802 Value Entry","151 Cost Amount (Expected)","41 Source Type",$C$5,"5 Source No.",$C335,"4 Item Ledger Entry Type",$C$4,"2 Item No.","@@"&amp;$F335,"3 Posting Date",U$9)-NL("Sum","5802 Value Entry","43 Cost Amount (Actual)","41 Source Type",$C$5,"5 Source no.",$C335,"4 Item Ledger Entry Type",$C$4,"2 Item No.","@@"&amp;$F335,"3 Posting Date",U$9)</t>
  </si>
  <si>
    <t>=U335-W335</t>
  </si>
  <si>
    <t>=IF(U335&lt;&gt;0,X335/U335,"")</t>
  </si>
  <si>
    <t>=NL("Sum","5802 Value Entry","150 Sales Amount (Expected)","41 Source Type",$C$5,"5 Source No.",$C335,"4 Item Ledger Entry Type",$C$4,"2 Item No.","@@"&amp;$F335,"3 Posting Date",Z$9)+NL("Sum","5802 Value Entry","17 Sales Amount (Actual)","41 Source Type",$C$5,"5 Source no.",$C335,"4 Item Ledger Entry Type",$C$4,"2 Item No.","@@"&amp;$F335,"3 Posting Date",Z$9)</t>
  </si>
  <si>
    <t>=-NL("Sum","5802 Value Entry","151 Cost Amount (Expected)","41 Source Type",$C$5,"5 Source No.",$C335,"4 Item Ledger Entry Type",$C$4,"2 Item No.","@@"&amp;$F335,"3 Posting Date",Z$9)-NL("Sum","5802 Value Entry","43 Cost Amount (Actual)","41 Source Type",$C$5,"5 Source no.",$C335,"4 Item Ledger Entry Type",$C$4,"2 Item No.","@@"&amp;$F335,"3 Posting Date",Z$9)</t>
  </si>
  <si>
    <t>=Z335-AB335</t>
  </si>
  <si>
    <t>=IF(Z335&lt;&gt;0,AC335/Z335,"")</t>
  </si>
  <si>
    <t>=NL("Sum","5802 Value Entry","150 Sales Amount (Expected)","41 Source Type",$C$5,"5 Source No.",$C336,"4 Item Ledger Entry Type",$C$4,"2 Item No.","@@"&amp;$F336,"3 Posting Date",J$9)+NL("Sum","5802 Value Entry","17 Sales Amount (Actual)","41 Source Type",$C$5,"5 Source no.",$C336,"4 Item Ledger Entry Type",$C$4,"2 Item No.","@@"&amp;$F336,"3 Posting Date",J$9)</t>
  </si>
  <si>
    <t>=-NL("Sum","5802 Value Entry","151 Cost Amount (Expected)","41 Source Type",$C$5,"5 Source No.",$C336,"4 Item Ledger Entry Type",$C$4,"2 Item No.","@@"&amp;$F336,"3 Posting Date",J$9)-NL("Sum","5802 Value Entry","43 Cost Amount (Actual)","41 Source Type",$C$5,"5 Source no.",$C336,"4 Item Ledger Entry Type",$C$4,"2 Item No.","@@"&amp;$F336,"3 Posting Date",J$9)</t>
  </si>
  <si>
    <t>=NL("Sum","5802 Value Entry","150 Sales Amount (Expected)","41 Source Type",$C$5,"5 Source No.",$C336,"4 Item Ledger Entry Type",$C$4,"2 Item No.","@@"&amp;$F336,"3 Posting Date",O$9)+NL("Sum","5802 Value Entry","17 Sales Amount (Actual)","41 Source Type",$C$5,"5 Source no.",$C336,"4 Item Ledger Entry Type",$C$4,"2 Item No.","@@"&amp;$F336,"3 Posting Date",O$9)</t>
  </si>
  <si>
    <t>=-NL("Sum","5802 Value Entry","151 Cost Amount (Expected)","41 Source Type",$C$5,"5 Source No.",$C336,"4 Item Ledger Entry Type",$C$4,"2 Item No.","@@"&amp;$F336,"3 Posting Date",O$9)-NL("Sum","5802 Value Entry","43 Cost Amount (Actual)","41 Source Type",$C$5,"5 Source no.",$C336,"4 Item Ledger Entry Type",$C$4,"2 Item No.","@@"&amp;$F336,"3 Posting Date",O$9)</t>
  </si>
  <si>
    <t>=NL("Sum","5802 Value Entry","150 Sales Amount (Expected)","41 Source Type",$C$5,"5 Source No.",$C336,"4 Item Ledger Entry Type",$C$4,"2 Item No.","@@"&amp;$F336,"3 Posting Date",U$9)+NL("Sum","5802 Value Entry","17 Sales Amount (Actual)","41 Source Type",$C$5,"5 Source no.",$C336,"4 Item Ledger Entry Type",$C$4,"2 Item No.","@@"&amp;$F336,"3 Posting Date",U$9)</t>
  </si>
  <si>
    <t>=-NL("Sum","5802 Value Entry","151 Cost Amount (Expected)","41 Source Type",$C$5,"5 Source No.",$C336,"4 Item Ledger Entry Type",$C$4,"2 Item No.","@@"&amp;$F336,"3 Posting Date",U$9)-NL("Sum","5802 Value Entry","43 Cost Amount (Actual)","41 Source Type",$C$5,"5 Source no.",$C336,"4 Item Ledger Entry Type",$C$4,"2 Item No.","@@"&amp;$F336,"3 Posting Date",U$9)</t>
  </si>
  <si>
    <t>=NL("Sum","5802 Value Entry","150 Sales Amount (Expected)","41 Source Type",$C$5,"5 Source No.",$C336,"4 Item Ledger Entry Type",$C$4,"2 Item No.","@@"&amp;$F336,"3 Posting Date",Z$9)+NL("Sum","5802 Value Entry","17 Sales Amount (Actual)","41 Source Type",$C$5,"5 Source no.",$C336,"4 Item Ledger Entry Type",$C$4,"2 Item No.","@@"&amp;$F336,"3 Posting Date",Z$9)</t>
  </si>
  <si>
    <t>=-NL("Sum","5802 Value Entry","151 Cost Amount (Expected)","41 Source Type",$C$5,"5 Source No.",$C336,"4 Item Ledger Entry Type",$C$4,"2 Item No.","@@"&amp;$F336,"3 Posting Date",Z$9)-NL("Sum","5802 Value Entry","43 Cost Amount (Actual)","41 Source Type",$C$5,"5 Source no.",$C336,"4 Item Ledger Entry Type",$C$4,"2 Item No.","@@"&amp;$F336,"3 Posting Date",Z$9)</t>
  </si>
  <si>
    <t>=C336</t>
  </si>
  <si>
    <t>=NL("Sum","5802 Value Entry","150 Sales Amount (Expected)","41 Source Type",$C$5,"5 Source No.",$C337,"4 Item Ledger Entry Type",$C$4,"2 Item No.","@@"&amp;$F337,"3 Posting Date",J$9)+NL("Sum","5802 Value Entry","17 Sales Amount (Actual)","41 Source Type",$C$5,"5 Source no.",$C337,"4 Item Ledger Entry Type",$C$4,"2 Item No.","@@"&amp;$F337,"3 Posting Date",J$9)</t>
  </si>
  <si>
    <t>=-NL("Sum","5802 Value Entry","151 Cost Amount (Expected)","41 Source Type",$C$5,"5 Source No.",$C337,"4 Item Ledger Entry Type",$C$4,"2 Item No.","@@"&amp;$F337,"3 Posting Date",J$9)-NL("Sum","5802 Value Entry","43 Cost Amount (Actual)","41 Source Type",$C$5,"5 Source no.",$C337,"4 Item Ledger Entry Type",$C$4,"2 Item No.","@@"&amp;$F337,"3 Posting Date",J$9)</t>
  </si>
  <si>
    <t>=J337-L337</t>
  </si>
  <si>
    <t>=IF(J337&lt;&gt;0,M337/J337,"")</t>
  </si>
  <si>
    <t>=NL("Sum","5802 Value Entry","150 Sales Amount (Expected)","41 Source Type",$C$5,"5 Source No.",$C337,"4 Item Ledger Entry Type",$C$4,"2 Item No.","@@"&amp;$F337,"3 Posting Date",O$9)+NL("Sum","5802 Value Entry","17 Sales Amount (Actual)","41 Source Type",$C$5,"5 Source no.",$C337,"4 Item Ledger Entry Type",$C$4,"2 Item No.","@@"&amp;$F337,"3 Posting Date",O$9)</t>
  </si>
  <si>
    <t>=-NL("Sum","5802 Value Entry","151 Cost Amount (Expected)","41 Source Type",$C$5,"5 Source No.",$C337,"4 Item Ledger Entry Type",$C$4,"2 Item No.","@@"&amp;$F337,"3 Posting Date",O$9)-NL("Sum","5802 Value Entry","43 Cost Amount (Actual)","41 Source Type",$C$5,"5 Source no.",$C337,"4 Item Ledger Entry Type",$C$4,"2 Item No.","@@"&amp;$F337,"3 Posting Date",O$9)</t>
  </si>
  <si>
    <t>=O337-Q337</t>
  </si>
  <si>
    <t>=IF(O337&lt;&gt;0,R337/O337,"")</t>
  </si>
  <si>
    <t>=NL("Sum","5802 Value Entry","150 Sales Amount (Expected)","41 Source Type",$C$5,"5 Source No.",$C337,"4 Item Ledger Entry Type",$C$4,"2 Item No.","@@"&amp;$F337,"3 Posting Date",U$9)+NL("Sum","5802 Value Entry","17 Sales Amount (Actual)","41 Source Type",$C$5,"5 Source no.",$C337,"4 Item Ledger Entry Type",$C$4,"2 Item No.","@@"&amp;$F337,"3 Posting Date",U$9)</t>
  </si>
  <si>
    <t>=-NL("Sum","5802 Value Entry","151 Cost Amount (Expected)","41 Source Type",$C$5,"5 Source No.",$C337,"4 Item Ledger Entry Type",$C$4,"2 Item No.","@@"&amp;$F337,"3 Posting Date",U$9)-NL("Sum","5802 Value Entry","43 Cost Amount (Actual)","41 Source Type",$C$5,"5 Source no.",$C337,"4 Item Ledger Entry Type",$C$4,"2 Item No.","@@"&amp;$F337,"3 Posting Date",U$9)</t>
  </si>
  <si>
    <t>=U337-W337</t>
  </si>
  <si>
    <t>=IF(U337&lt;&gt;0,X337/U337,"")</t>
  </si>
  <si>
    <t>=NL("Sum","5802 Value Entry","150 Sales Amount (Expected)","41 Source Type",$C$5,"5 Source No.",$C337,"4 Item Ledger Entry Type",$C$4,"2 Item No.","@@"&amp;$F337,"3 Posting Date",Z$9)+NL("Sum","5802 Value Entry","17 Sales Amount (Actual)","41 Source Type",$C$5,"5 Source no.",$C337,"4 Item Ledger Entry Type",$C$4,"2 Item No.","@@"&amp;$F337,"3 Posting Date",Z$9)</t>
  </si>
  <si>
    <t>=-NL("Sum","5802 Value Entry","151 Cost Amount (Expected)","41 Source Type",$C$5,"5 Source No.",$C337,"4 Item Ledger Entry Type",$C$4,"2 Item No.","@@"&amp;$F337,"3 Posting Date",Z$9)-NL("Sum","5802 Value Entry","43 Cost Amount (Actual)","41 Source Type",$C$5,"5 Source no.",$C337,"4 Item Ledger Entry Type",$C$4,"2 Item No.","@@"&amp;$F337,"3 Posting Date",Z$9)</t>
  </si>
  <si>
    <t>=Z337-AB337</t>
  </si>
  <si>
    <t>=IF(Z337&lt;&gt;0,AC337/Z337,"")</t>
  </si>
  <si>
    <t>=C337</t>
  </si>
  <si>
    <t>=NL("Sum","5802 Value Entry","150 Sales Amount (Expected)","41 Source Type",$C$5,"5 Source No.",$C338,"4 Item Ledger Entry Type",$C$4,"2 Item No.","@@"&amp;$F338,"3 Posting Date",J$9)+NL("Sum","5802 Value Entry","17 Sales Amount (Actual)","41 Source Type",$C$5,"5 Source no.",$C338,"4 Item Ledger Entry Type",$C$4,"2 Item No.","@@"&amp;$F338,"3 Posting Date",J$9)</t>
  </si>
  <si>
    <t>=-NL("Sum","5802 Value Entry","151 Cost Amount (Expected)","41 Source Type",$C$5,"5 Source No.",$C338,"4 Item Ledger Entry Type",$C$4,"2 Item No.","@@"&amp;$F338,"3 Posting Date",J$9)-NL("Sum","5802 Value Entry","43 Cost Amount (Actual)","41 Source Type",$C$5,"5 Source no.",$C338,"4 Item Ledger Entry Type",$C$4,"2 Item No.","@@"&amp;$F338,"3 Posting Date",J$9)</t>
  </si>
  <si>
    <t>=J338-L338</t>
  </si>
  <si>
    <t>=IF(J338&lt;&gt;0,M338/J338,"")</t>
  </si>
  <si>
    <t>=NL("Sum","5802 Value Entry","150 Sales Amount (Expected)","41 Source Type",$C$5,"5 Source No.",$C338,"4 Item Ledger Entry Type",$C$4,"2 Item No.","@@"&amp;$F338,"3 Posting Date",O$9)+NL("Sum","5802 Value Entry","17 Sales Amount (Actual)","41 Source Type",$C$5,"5 Source no.",$C338,"4 Item Ledger Entry Type",$C$4,"2 Item No.","@@"&amp;$F338,"3 Posting Date",O$9)</t>
  </si>
  <si>
    <t>=-NL("Sum","5802 Value Entry","151 Cost Amount (Expected)","41 Source Type",$C$5,"5 Source No.",$C338,"4 Item Ledger Entry Type",$C$4,"2 Item No.","@@"&amp;$F338,"3 Posting Date",O$9)-NL("Sum","5802 Value Entry","43 Cost Amount (Actual)","41 Source Type",$C$5,"5 Source no.",$C338,"4 Item Ledger Entry Type",$C$4,"2 Item No.","@@"&amp;$F338,"3 Posting Date",O$9)</t>
  </si>
  <si>
    <t>=O338-Q338</t>
  </si>
  <si>
    <t>=IF(O338&lt;&gt;0,R338/O338,"")</t>
  </si>
  <si>
    <t>=NL("Sum","5802 Value Entry","150 Sales Amount (Expected)","41 Source Type",$C$5,"5 Source No.",$C338,"4 Item Ledger Entry Type",$C$4,"2 Item No.","@@"&amp;$F338,"3 Posting Date",U$9)+NL("Sum","5802 Value Entry","17 Sales Amount (Actual)","41 Source Type",$C$5,"5 Source no.",$C338,"4 Item Ledger Entry Type",$C$4,"2 Item No.","@@"&amp;$F338,"3 Posting Date",U$9)</t>
  </si>
  <si>
    <t>=-NL("Sum","5802 Value Entry","151 Cost Amount (Expected)","41 Source Type",$C$5,"5 Source No.",$C338,"4 Item Ledger Entry Type",$C$4,"2 Item No.","@@"&amp;$F338,"3 Posting Date",U$9)-NL("Sum","5802 Value Entry","43 Cost Amount (Actual)","41 Source Type",$C$5,"5 Source no.",$C338,"4 Item Ledger Entry Type",$C$4,"2 Item No.","@@"&amp;$F338,"3 Posting Date",U$9)</t>
  </si>
  <si>
    <t>=U338-W338</t>
  </si>
  <si>
    <t>=IF(U338&lt;&gt;0,X338/U338,"")</t>
  </si>
  <si>
    <t>=NL("Sum","5802 Value Entry","150 Sales Amount (Expected)","41 Source Type",$C$5,"5 Source No.",$C338,"4 Item Ledger Entry Type",$C$4,"2 Item No.","@@"&amp;$F338,"3 Posting Date",Z$9)+NL("Sum","5802 Value Entry","17 Sales Amount (Actual)","41 Source Type",$C$5,"5 Source no.",$C338,"4 Item Ledger Entry Type",$C$4,"2 Item No.","@@"&amp;$F338,"3 Posting Date",Z$9)</t>
  </si>
  <si>
    <t>=-NL("Sum","5802 Value Entry","151 Cost Amount (Expected)","41 Source Type",$C$5,"5 Source No.",$C338,"4 Item Ledger Entry Type",$C$4,"2 Item No.","@@"&amp;$F338,"3 Posting Date",Z$9)-NL("Sum","5802 Value Entry","43 Cost Amount (Actual)","41 Source Type",$C$5,"5 Source no.",$C338,"4 Item Ledger Entry Type",$C$4,"2 Item No.","@@"&amp;$F338,"3 Posting Date",Z$9)</t>
  </si>
  <si>
    <t>=Z338-AB338</t>
  </si>
  <si>
    <t>=IF(Z338&lt;&gt;0,AC338/Z338,"")</t>
  </si>
  <si>
    <t>=NL("Sum","5802 Value Entry","150 Sales Amount (Expected)","41 Source Type",$C$5,"5 Source No.",$C339,"4 Item Ledger Entry Type",$C$4,"2 Item No.","@@"&amp;$F339,"3 Posting Date",J$9)+NL("Sum","5802 Value Entry","17 Sales Amount (Actual)","41 Source Type",$C$5,"5 Source no.",$C339,"4 Item Ledger Entry Type",$C$4,"2 Item No.","@@"&amp;$F339,"3 Posting Date",J$9)</t>
  </si>
  <si>
    <t>=-NL("Sum","5802 Value Entry","151 Cost Amount (Expected)","41 Source Type",$C$5,"5 Source No.",$C339,"4 Item Ledger Entry Type",$C$4,"2 Item No.","@@"&amp;$F339,"3 Posting Date",J$9)-NL("Sum","5802 Value Entry","43 Cost Amount (Actual)","41 Source Type",$C$5,"5 Source no.",$C339,"4 Item Ledger Entry Type",$C$4,"2 Item No.","@@"&amp;$F339,"3 Posting Date",J$9)</t>
  </si>
  <si>
    <t>=J339-L339</t>
  </si>
  <si>
    <t>=IF(J339&lt;&gt;0,M339/J339,"")</t>
  </si>
  <si>
    <t>=NL("Sum","5802 Value Entry","150 Sales Amount (Expected)","41 Source Type",$C$5,"5 Source No.",$C339,"4 Item Ledger Entry Type",$C$4,"2 Item No.","@@"&amp;$F339,"3 Posting Date",O$9)+NL("Sum","5802 Value Entry","17 Sales Amount (Actual)","41 Source Type",$C$5,"5 Source no.",$C339,"4 Item Ledger Entry Type",$C$4,"2 Item No.","@@"&amp;$F339,"3 Posting Date",O$9)</t>
  </si>
  <si>
    <t>=-NL("Sum","5802 Value Entry","151 Cost Amount (Expected)","41 Source Type",$C$5,"5 Source No.",$C339,"4 Item Ledger Entry Type",$C$4,"2 Item No.","@@"&amp;$F339,"3 Posting Date",O$9)-NL("Sum","5802 Value Entry","43 Cost Amount (Actual)","41 Source Type",$C$5,"5 Source no.",$C339,"4 Item Ledger Entry Type",$C$4,"2 Item No.","@@"&amp;$F339,"3 Posting Date",O$9)</t>
  </si>
  <si>
    <t>=O339-Q339</t>
  </si>
  <si>
    <t>=IF(O339&lt;&gt;0,R339/O339,"")</t>
  </si>
  <si>
    <t>=NL("Sum","5802 Value Entry","150 Sales Amount (Expected)","41 Source Type",$C$5,"5 Source No.",$C339,"4 Item Ledger Entry Type",$C$4,"2 Item No.","@@"&amp;$F339,"3 Posting Date",U$9)+NL("Sum","5802 Value Entry","17 Sales Amount (Actual)","41 Source Type",$C$5,"5 Source no.",$C339,"4 Item Ledger Entry Type",$C$4,"2 Item No.","@@"&amp;$F339,"3 Posting Date",U$9)</t>
  </si>
  <si>
    <t>=-NL("Sum","5802 Value Entry","151 Cost Amount (Expected)","41 Source Type",$C$5,"5 Source No.",$C339,"4 Item Ledger Entry Type",$C$4,"2 Item No.","@@"&amp;$F339,"3 Posting Date",U$9)-NL("Sum","5802 Value Entry","43 Cost Amount (Actual)","41 Source Type",$C$5,"5 Source no.",$C339,"4 Item Ledger Entry Type",$C$4,"2 Item No.","@@"&amp;$F339,"3 Posting Date",U$9)</t>
  </si>
  <si>
    <t>=U339-W339</t>
  </si>
  <si>
    <t>=IF(U339&lt;&gt;0,X339/U339,"")</t>
  </si>
  <si>
    <t>=NL("Sum","5802 Value Entry","150 Sales Amount (Expected)","41 Source Type",$C$5,"5 Source No.",$C339,"4 Item Ledger Entry Type",$C$4,"2 Item No.","@@"&amp;$F339,"3 Posting Date",Z$9)+NL("Sum","5802 Value Entry","17 Sales Amount (Actual)","41 Source Type",$C$5,"5 Source no.",$C339,"4 Item Ledger Entry Type",$C$4,"2 Item No.","@@"&amp;$F339,"3 Posting Date",Z$9)</t>
  </si>
  <si>
    <t>=-NL("Sum","5802 Value Entry","151 Cost Amount (Expected)","41 Source Type",$C$5,"5 Source No.",$C339,"4 Item Ledger Entry Type",$C$4,"2 Item No.","@@"&amp;$F339,"3 Posting Date",Z$9)-NL("Sum","5802 Value Entry","43 Cost Amount (Actual)","41 Source Type",$C$5,"5 Source no.",$C339,"4 Item Ledger Entry Type",$C$4,"2 Item No.","@@"&amp;$F339,"3 Posting Date",Z$9)</t>
  </si>
  <si>
    <t>=Z339-AB339</t>
  </si>
  <si>
    <t>=IF(Z339&lt;&gt;0,AC339/Z339,"")</t>
  </si>
  <si>
    <t>=C346&amp;" TOTAL:"</t>
  </si>
  <si>
    <t>=SUBTOTAL(9,J314:J345)</t>
  </si>
  <si>
    <t>=SUBTOTAL(9,K314:K345)</t>
  </si>
  <si>
    <t>=SUBTOTAL(9,L314:L345)</t>
  </si>
  <si>
    <t>=SUBTOTAL(9,O314:O345)</t>
  </si>
  <si>
    <t>=SUBTOTAL(9,P314:P345)</t>
  </si>
  <si>
    <t>=SUBTOTAL(9,Q314:Q345)</t>
  </si>
  <si>
    <t>=SUBTOTAL(9,U314:U345)</t>
  </si>
  <si>
    <t>=SUBTOTAL(9,V314:V345)</t>
  </si>
  <si>
    <t>=SUBTOTAL(9,W314:W345)</t>
  </si>
  <si>
    <t>=SUBTOTAL(9,Z314:Z345)</t>
  </si>
  <si>
    <t>=SUBTOTAL(9,AA314:AA345)</t>
  </si>
  <si>
    <t>=SUBTOTAL(9,AB314:AB345)</t>
  </si>
  <si>
    <t>=E348</t>
  </si>
  <si>
    <t>=NL(,"18 Customer","2 Name","1 No.",$E348)</t>
  </si>
  <si>
    <t>=NL("Rows","5802 Value Entry","2 Item No.","4 Item Ledger Entry Type",$C$4,"41 Source Type",$C$5,"5 Source No.",$C350,"Item No.",$C$7,"3 Posting Date",$C$10)</t>
  </si>
  <si>
    <t>=C352</t>
  </si>
  <si>
    <t>=NL("Sum","5802 Value Entry","150 Sales Amount (Expected)","41 Source Type",$C$5,"5 Source No.",$C353,"4 Item Ledger Entry Type",$C$4,"2 Item No.","@@"&amp;$F353,"3 Posting Date",J$9)+NL("Sum","5802 Value Entry","17 Sales Amount (Actual)","41 Source Type",$C$5,"5 Source no.",$C353,"4 Item Ledger Entry Type",$C$4,"2 Item No.","@@"&amp;$F353,"3 Posting Date",J$9)</t>
  </si>
  <si>
    <t>=-NL("Sum","5802 Value Entry","151 Cost Amount (Expected)","41 Source Type",$C$5,"5 Source No.",$C353,"4 Item Ledger Entry Type",$C$4,"2 Item No.","@@"&amp;$F353,"3 Posting Date",J$9)-NL("Sum","5802 Value Entry","43 Cost Amount (Actual)","41 Source Type",$C$5,"5 Source no.",$C353,"4 Item Ledger Entry Type",$C$4,"2 Item No.","@@"&amp;$F353,"3 Posting Date",J$9)</t>
  </si>
  <si>
    <t>=J353-L353</t>
  </si>
  <si>
    <t>=IF(J353&lt;&gt;0,M353/J353,"")</t>
  </si>
  <si>
    <t>=NL("Sum","5802 Value Entry","150 Sales Amount (Expected)","41 Source Type",$C$5,"5 Source No.",$C353,"4 Item Ledger Entry Type",$C$4,"2 Item No.","@@"&amp;$F353,"3 Posting Date",O$9)+NL("Sum","5802 Value Entry","17 Sales Amount (Actual)","41 Source Type",$C$5,"5 Source no.",$C353,"4 Item Ledger Entry Type",$C$4,"2 Item No.","@@"&amp;$F353,"3 Posting Date",O$9)</t>
  </si>
  <si>
    <t>=-NL("Sum","5802 Value Entry","151 Cost Amount (Expected)","41 Source Type",$C$5,"5 Source No.",$C353,"4 Item Ledger Entry Type",$C$4,"2 Item No.","@@"&amp;$F353,"3 Posting Date",O$9)-NL("Sum","5802 Value Entry","43 Cost Amount (Actual)","41 Source Type",$C$5,"5 Source no.",$C353,"4 Item Ledger Entry Type",$C$4,"2 Item No.","@@"&amp;$F353,"3 Posting Date",O$9)</t>
  </si>
  <si>
    <t>=O353-Q353</t>
  </si>
  <si>
    <t>=IF(O353&lt;&gt;0,R353/O353,"")</t>
  </si>
  <si>
    <t>=NL("Sum","5802 Value Entry","150 Sales Amount (Expected)","41 Source Type",$C$5,"5 Source No.",$C353,"4 Item Ledger Entry Type",$C$4,"2 Item No.","@@"&amp;$F353,"3 Posting Date",U$9)+NL("Sum","5802 Value Entry","17 Sales Amount (Actual)","41 Source Type",$C$5,"5 Source no.",$C353,"4 Item Ledger Entry Type",$C$4,"2 Item No.","@@"&amp;$F353,"3 Posting Date",U$9)</t>
  </si>
  <si>
    <t>=-NL("Sum","5802 Value Entry","151 Cost Amount (Expected)","41 Source Type",$C$5,"5 Source No.",$C353,"4 Item Ledger Entry Type",$C$4,"2 Item No.","@@"&amp;$F353,"3 Posting Date",U$9)-NL("Sum","5802 Value Entry","43 Cost Amount (Actual)","41 Source Type",$C$5,"5 Source no.",$C353,"4 Item Ledger Entry Type",$C$4,"2 Item No.","@@"&amp;$F353,"3 Posting Date",U$9)</t>
  </si>
  <si>
    <t>=U353-W353</t>
  </si>
  <si>
    <t>=IF(U353&lt;&gt;0,X353/U353,"")</t>
  </si>
  <si>
    <t>=NL("Sum","5802 Value Entry","150 Sales Amount (Expected)","41 Source Type",$C$5,"5 Source No.",$C353,"4 Item Ledger Entry Type",$C$4,"2 Item No.","@@"&amp;$F353,"3 Posting Date",Z$9)+NL("Sum","5802 Value Entry","17 Sales Amount (Actual)","41 Source Type",$C$5,"5 Source no.",$C353,"4 Item Ledger Entry Type",$C$4,"2 Item No.","@@"&amp;$F353,"3 Posting Date",Z$9)</t>
  </si>
  <si>
    <t>=-NL("Sum","5802 Value Entry","151 Cost Amount (Expected)","41 Source Type",$C$5,"5 Source No.",$C353,"4 Item Ledger Entry Type",$C$4,"2 Item No.","@@"&amp;$F353,"3 Posting Date",Z$9)-NL("Sum","5802 Value Entry","43 Cost Amount (Actual)","41 Source Type",$C$5,"5 Source no.",$C353,"4 Item Ledger Entry Type",$C$4,"2 Item No.","@@"&amp;$F353,"3 Posting Date",Z$9)</t>
  </si>
  <si>
    <t>=Z353-AB353</t>
  </si>
  <si>
    <t>=IF(Z353&lt;&gt;0,AC353/Z353,"")</t>
  </si>
  <si>
    <t>=NL("Sum","5802 Value Entry","150 Sales Amount (Expected)","41 Source Type",$C$5,"5 Source No.",$C354,"4 Item Ledger Entry Type",$C$4,"2 Item No.","@@"&amp;$F354,"3 Posting Date",J$9)+NL("Sum","5802 Value Entry","17 Sales Amount (Actual)","41 Source Type",$C$5,"5 Source no.",$C354,"4 Item Ledger Entry Type",$C$4,"2 Item No.","@@"&amp;$F354,"3 Posting Date",J$9)</t>
  </si>
  <si>
    <t>=-NL("Sum","5802 Value Entry","151 Cost Amount (Expected)","41 Source Type",$C$5,"5 Source No.",$C354,"4 Item Ledger Entry Type",$C$4,"2 Item No.","@@"&amp;$F354,"3 Posting Date",J$9)-NL("Sum","5802 Value Entry","43 Cost Amount (Actual)","41 Source Type",$C$5,"5 Source no.",$C354,"4 Item Ledger Entry Type",$C$4,"2 Item No.","@@"&amp;$F354,"3 Posting Date",J$9)</t>
  </si>
  <si>
    <t>=NL("Sum","5802 Value Entry","150 Sales Amount (Expected)","41 Source Type",$C$5,"5 Source No.",$C354,"4 Item Ledger Entry Type",$C$4,"2 Item No.","@@"&amp;$F354,"3 Posting Date",O$9)+NL("Sum","5802 Value Entry","17 Sales Amount (Actual)","41 Source Type",$C$5,"5 Source no.",$C354,"4 Item Ledger Entry Type",$C$4,"2 Item No.","@@"&amp;$F354,"3 Posting Date",O$9)</t>
  </si>
  <si>
    <t>=-NL("Sum","5802 Value Entry","151 Cost Amount (Expected)","41 Source Type",$C$5,"5 Source No.",$C354,"4 Item Ledger Entry Type",$C$4,"2 Item No.","@@"&amp;$F354,"3 Posting Date",O$9)-NL("Sum","5802 Value Entry","43 Cost Amount (Actual)","41 Source Type",$C$5,"5 Source no.",$C354,"4 Item Ledger Entry Type",$C$4,"2 Item No.","@@"&amp;$F354,"3 Posting Date",O$9)</t>
  </si>
  <si>
    <t>=NL("Sum","5802 Value Entry","150 Sales Amount (Expected)","41 Source Type",$C$5,"5 Source No.",$C354,"4 Item Ledger Entry Type",$C$4,"2 Item No.","@@"&amp;$F354,"3 Posting Date",U$9)+NL("Sum","5802 Value Entry","17 Sales Amount (Actual)","41 Source Type",$C$5,"5 Source no.",$C354,"4 Item Ledger Entry Type",$C$4,"2 Item No.","@@"&amp;$F354,"3 Posting Date",U$9)</t>
  </si>
  <si>
    <t>=-NL("Sum","5802 Value Entry","151 Cost Amount (Expected)","41 Source Type",$C$5,"5 Source No.",$C354,"4 Item Ledger Entry Type",$C$4,"2 Item No.","@@"&amp;$F354,"3 Posting Date",U$9)-NL("Sum","5802 Value Entry","43 Cost Amount (Actual)","41 Source Type",$C$5,"5 Source no.",$C354,"4 Item Ledger Entry Type",$C$4,"2 Item No.","@@"&amp;$F354,"3 Posting Date",U$9)</t>
  </si>
  <si>
    <t>=NL("Sum","5802 Value Entry","150 Sales Amount (Expected)","41 Source Type",$C$5,"5 Source No.",$C354,"4 Item Ledger Entry Type",$C$4,"2 Item No.","@@"&amp;$F354,"3 Posting Date",Z$9)+NL("Sum","5802 Value Entry","17 Sales Amount (Actual)","41 Source Type",$C$5,"5 Source no.",$C354,"4 Item Ledger Entry Type",$C$4,"2 Item No.","@@"&amp;$F354,"3 Posting Date",Z$9)</t>
  </si>
  <si>
    <t>=-NL("Sum","5802 Value Entry","151 Cost Amount (Expected)","41 Source Type",$C$5,"5 Source No.",$C354,"4 Item Ledger Entry Type",$C$4,"2 Item No.","@@"&amp;$F354,"3 Posting Date",Z$9)-NL("Sum","5802 Value Entry","43 Cost Amount (Actual)","41 Source Type",$C$5,"5 Source no.",$C354,"4 Item Ledger Entry Type",$C$4,"2 Item No.","@@"&amp;$F354,"3 Posting Date",Z$9)</t>
  </si>
  <si>
    <t>=C354</t>
  </si>
  <si>
    <t>=NL("Sum","5802 Value Entry","150 Sales Amount (Expected)","41 Source Type",$C$5,"5 Source No.",$C355,"4 Item Ledger Entry Type",$C$4,"2 Item No.","@@"&amp;$F355,"3 Posting Date",J$9)+NL("Sum","5802 Value Entry","17 Sales Amount (Actual)","41 Source Type",$C$5,"5 Source no.",$C355,"4 Item Ledger Entry Type",$C$4,"2 Item No.","@@"&amp;$F355,"3 Posting Date",J$9)</t>
  </si>
  <si>
    <t>=-NL("Sum","5802 Value Entry","151 Cost Amount (Expected)","41 Source Type",$C$5,"5 Source No.",$C355,"4 Item Ledger Entry Type",$C$4,"2 Item No.","@@"&amp;$F355,"3 Posting Date",J$9)-NL("Sum","5802 Value Entry","43 Cost Amount (Actual)","41 Source Type",$C$5,"5 Source no.",$C355,"4 Item Ledger Entry Type",$C$4,"2 Item No.","@@"&amp;$F355,"3 Posting Date",J$9)</t>
  </si>
  <si>
    <t>=J355-L355</t>
  </si>
  <si>
    <t>=IF(J355&lt;&gt;0,M355/J355,"")</t>
  </si>
  <si>
    <t>=NL("Sum","5802 Value Entry","150 Sales Amount (Expected)","41 Source Type",$C$5,"5 Source No.",$C355,"4 Item Ledger Entry Type",$C$4,"2 Item No.","@@"&amp;$F355,"3 Posting Date",O$9)+NL("Sum","5802 Value Entry","17 Sales Amount (Actual)","41 Source Type",$C$5,"5 Source no.",$C355,"4 Item Ledger Entry Type",$C$4,"2 Item No.","@@"&amp;$F355,"3 Posting Date",O$9)</t>
  </si>
  <si>
    <t>=-NL("Sum","5802 Value Entry","151 Cost Amount (Expected)","41 Source Type",$C$5,"5 Source No.",$C355,"4 Item Ledger Entry Type",$C$4,"2 Item No.","@@"&amp;$F355,"3 Posting Date",O$9)-NL("Sum","5802 Value Entry","43 Cost Amount (Actual)","41 Source Type",$C$5,"5 Source no.",$C355,"4 Item Ledger Entry Type",$C$4,"2 Item No.","@@"&amp;$F355,"3 Posting Date",O$9)</t>
  </si>
  <si>
    <t>=O355-Q355</t>
  </si>
  <si>
    <t>=IF(O355&lt;&gt;0,R355/O355,"")</t>
  </si>
  <si>
    <t>=NL("Sum","5802 Value Entry","150 Sales Amount (Expected)","41 Source Type",$C$5,"5 Source No.",$C355,"4 Item Ledger Entry Type",$C$4,"2 Item No.","@@"&amp;$F355,"3 Posting Date",U$9)+NL("Sum","5802 Value Entry","17 Sales Amount (Actual)","41 Source Type",$C$5,"5 Source no.",$C355,"4 Item Ledger Entry Type",$C$4,"2 Item No.","@@"&amp;$F355,"3 Posting Date",U$9)</t>
  </si>
  <si>
    <t>=-NL("Sum","5802 Value Entry","151 Cost Amount (Expected)","41 Source Type",$C$5,"5 Source No.",$C355,"4 Item Ledger Entry Type",$C$4,"2 Item No.","@@"&amp;$F355,"3 Posting Date",U$9)-NL("Sum","5802 Value Entry","43 Cost Amount (Actual)","41 Source Type",$C$5,"5 Source no.",$C355,"4 Item Ledger Entry Type",$C$4,"2 Item No.","@@"&amp;$F355,"3 Posting Date",U$9)</t>
  </si>
  <si>
    <t>=U355-W355</t>
  </si>
  <si>
    <t>=IF(U355&lt;&gt;0,X355/U355,"")</t>
  </si>
  <si>
    <t>=NL("Sum","5802 Value Entry","150 Sales Amount (Expected)","41 Source Type",$C$5,"5 Source No.",$C355,"4 Item Ledger Entry Type",$C$4,"2 Item No.","@@"&amp;$F355,"3 Posting Date",Z$9)+NL("Sum","5802 Value Entry","17 Sales Amount (Actual)","41 Source Type",$C$5,"5 Source no.",$C355,"4 Item Ledger Entry Type",$C$4,"2 Item No.","@@"&amp;$F355,"3 Posting Date",Z$9)</t>
  </si>
  <si>
    <t>=-NL("Sum","5802 Value Entry","151 Cost Amount (Expected)","41 Source Type",$C$5,"5 Source No.",$C355,"4 Item Ledger Entry Type",$C$4,"2 Item No.","@@"&amp;$F355,"3 Posting Date",Z$9)-NL("Sum","5802 Value Entry","43 Cost Amount (Actual)","41 Source Type",$C$5,"5 Source no.",$C355,"4 Item Ledger Entry Type",$C$4,"2 Item No.","@@"&amp;$F355,"3 Posting Date",Z$9)</t>
  </si>
  <si>
    <t>=Z355-AB355</t>
  </si>
  <si>
    <t>=IF(Z355&lt;&gt;0,AC355/Z355,"")</t>
  </si>
  <si>
    <t>=C355</t>
  </si>
  <si>
    <t>=NL("Sum","5802 Value Entry","150 Sales Amount (Expected)","41 Source Type",$C$5,"5 Source No.",$C356,"4 Item Ledger Entry Type",$C$4,"2 Item No.","@@"&amp;$F356,"3 Posting Date",J$9)+NL("Sum","5802 Value Entry","17 Sales Amount (Actual)","41 Source Type",$C$5,"5 Source no.",$C356,"4 Item Ledger Entry Type",$C$4,"2 Item No.","@@"&amp;$F356,"3 Posting Date",J$9)</t>
  </si>
  <si>
    <t>=-NL("Sum","5802 Value Entry","151 Cost Amount (Expected)","41 Source Type",$C$5,"5 Source No.",$C356,"4 Item Ledger Entry Type",$C$4,"2 Item No.","@@"&amp;$F356,"3 Posting Date",J$9)-NL("Sum","5802 Value Entry","43 Cost Amount (Actual)","41 Source Type",$C$5,"5 Source no.",$C356,"4 Item Ledger Entry Type",$C$4,"2 Item No.","@@"&amp;$F356,"3 Posting Date",J$9)</t>
  </si>
  <si>
    <t>=J356-L356</t>
  </si>
  <si>
    <t>=IF(J356&lt;&gt;0,M356/J356,"")</t>
  </si>
  <si>
    <t>=NL("Sum","5802 Value Entry","150 Sales Amount (Expected)","41 Source Type",$C$5,"5 Source No.",$C356,"4 Item Ledger Entry Type",$C$4,"2 Item No.","@@"&amp;$F356,"3 Posting Date",O$9)+NL("Sum","5802 Value Entry","17 Sales Amount (Actual)","41 Source Type",$C$5,"5 Source no.",$C356,"4 Item Ledger Entry Type",$C$4,"2 Item No.","@@"&amp;$F356,"3 Posting Date",O$9)</t>
  </si>
  <si>
    <t>=-NL("Sum","5802 Value Entry","151 Cost Amount (Expected)","41 Source Type",$C$5,"5 Source No.",$C356,"4 Item Ledger Entry Type",$C$4,"2 Item No.","@@"&amp;$F356,"3 Posting Date",O$9)-NL("Sum","5802 Value Entry","43 Cost Amount (Actual)","41 Source Type",$C$5,"5 Source no.",$C356,"4 Item Ledger Entry Type",$C$4,"2 Item No.","@@"&amp;$F356,"3 Posting Date",O$9)</t>
  </si>
  <si>
    <t>=O356-Q356</t>
  </si>
  <si>
    <t>=IF(O356&lt;&gt;0,R356/O356,"")</t>
  </si>
  <si>
    <t>=NL("Sum","5802 Value Entry","150 Sales Amount (Expected)","41 Source Type",$C$5,"5 Source No.",$C356,"4 Item Ledger Entry Type",$C$4,"2 Item No.","@@"&amp;$F356,"3 Posting Date",U$9)+NL("Sum","5802 Value Entry","17 Sales Amount (Actual)","41 Source Type",$C$5,"5 Source no.",$C356,"4 Item Ledger Entry Type",$C$4,"2 Item No.","@@"&amp;$F356,"3 Posting Date",U$9)</t>
  </si>
  <si>
    <t>=-NL("Sum","5802 Value Entry","151 Cost Amount (Expected)","41 Source Type",$C$5,"5 Source No.",$C356,"4 Item Ledger Entry Type",$C$4,"2 Item No.","@@"&amp;$F356,"3 Posting Date",U$9)-NL("Sum","5802 Value Entry","43 Cost Amount (Actual)","41 Source Type",$C$5,"5 Source no.",$C356,"4 Item Ledger Entry Type",$C$4,"2 Item No.","@@"&amp;$F356,"3 Posting Date",U$9)</t>
  </si>
  <si>
    <t>=U356-W356</t>
  </si>
  <si>
    <t>=IF(U356&lt;&gt;0,X356/U356,"")</t>
  </si>
  <si>
    <t>=NL("Sum","5802 Value Entry","150 Sales Amount (Expected)","41 Source Type",$C$5,"5 Source No.",$C356,"4 Item Ledger Entry Type",$C$4,"2 Item No.","@@"&amp;$F356,"3 Posting Date",Z$9)+NL("Sum","5802 Value Entry","17 Sales Amount (Actual)","41 Source Type",$C$5,"5 Source no.",$C356,"4 Item Ledger Entry Type",$C$4,"2 Item No.","@@"&amp;$F356,"3 Posting Date",Z$9)</t>
  </si>
  <si>
    <t>=-NL("Sum","5802 Value Entry","151 Cost Amount (Expected)","41 Source Type",$C$5,"5 Source No.",$C356,"4 Item Ledger Entry Type",$C$4,"2 Item No.","@@"&amp;$F356,"3 Posting Date",Z$9)-NL("Sum","5802 Value Entry","43 Cost Amount (Actual)","41 Source Type",$C$5,"5 Source no.",$C356,"4 Item Ledger Entry Type",$C$4,"2 Item No.","@@"&amp;$F356,"3 Posting Date",Z$9)</t>
  </si>
  <si>
    <t>=Z356-AB356</t>
  </si>
  <si>
    <t>=IF(Z356&lt;&gt;0,AC356/Z356,"")</t>
  </si>
  <si>
    <t>=NL("Sum","5802 Value Entry","150 Sales Amount (Expected)","41 Source Type",$C$5,"5 Source No.",$C357,"4 Item Ledger Entry Type",$C$4,"2 Item No.","@@"&amp;$F357,"3 Posting Date",J$9)+NL("Sum","5802 Value Entry","17 Sales Amount (Actual)","41 Source Type",$C$5,"5 Source no.",$C357,"4 Item Ledger Entry Type",$C$4,"2 Item No.","@@"&amp;$F357,"3 Posting Date",J$9)</t>
  </si>
  <si>
    <t>=-NL("Sum","5802 Value Entry","151 Cost Amount (Expected)","41 Source Type",$C$5,"5 Source No.",$C357,"4 Item Ledger Entry Type",$C$4,"2 Item No.","@@"&amp;$F357,"3 Posting Date",J$9)-NL("Sum","5802 Value Entry","43 Cost Amount (Actual)","41 Source Type",$C$5,"5 Source no.",$C357,"4 Item Ledger Entry Type",$C$4,"2 Item No.","@@"&amp;$F357,"3 Posting Date",J$9)</t>
  </si>
  <si>
    <t>=J357-L357</t>
  </si>
  <si>
    <t>=IF(J357&lt;&gt;0,M357/J357,"")</t>
  </si>
  <si>
    <t>=NL("Sum","5802 Value Entry","150 Sales Amount (Expected)","41 Source Type",$C$5,"5 Source No.",$C357,"4 Item Ledger Entry Type",$C$4,"2 Item No.","@@"&amp;$F357,"3 Posting Date",O$9)+NL("Sum","5802 Value Entry","17 Sales Amount (Actual)","41 Source Type",$C$5,"5 Source no.",$C357,"4 Item Ledger Entry Type",$C$4,"2 Item No.","@@"&amp;$F357,"3 Posting Date",O$9)</t>
  </si>
  <si>
    <t>=-NL("Sum","5802 Value Entry","151 Cost Amount (Expected)","41 Source Type",$C$5,"5 Source No.",$C357,"4 Item Ledger Entry Type",$C$4,"2 Item No.","@@"&amp;$F357,"3 Posting Date",O$9)-NL("Sum","5802 Value Entry","43 Cost Amount (Actual)","41 Source Type",$C$5,"5 Source no.",$C357,"4 Item Ledger Entry Type",$C$4,"2 Item No.","@@"&amp;$F357,"3 Posting Date",O$9)</t>
  </si>
  <si>
    <t>=O357-Q357</t>
  </si>
  <si>
    <t>=IF(O357&lt;&gt;0,R357/O357,"")</t>
  </si>
  <si>
    <t>=NL("Sum","5802 Value Entry","150 Sales Amount (Expected)","41 Source Type",$C$5,"5 Source No.",$C357,"4 Item Ledger Entry Type",$C$4,"2 Item No.","@@"&amp;$F357,"3 Posting Date",U$9)+NL("Sum","5802 Value Entry","17 Sales Amount (Actual)","41 Source Type",$C$5,"5 Source no.",$C357,"4 Item Ledger Entry Type",$C$4,"2 Item No.","@@"&amp;$F357,"3 Posting Date",U$9)</t>
  </si>
  <si>
    <t>=-NL("Sum","5802 Value Entry","151 Cost Amount (Expected)","41 Source Type",$C$5,"5 Source No.",$C357,"4 Item Ledger Entry Type",$C$4,"2 Item No.","@@"&amp;$F357,"3 Posting Date",U$9)-NL("Sum","5802 Value Entry","43 Cost Amount (Actual)","41 Source Type",$C$5,"5 Source no.",$C357,"4 Item Ledger Entry Type",$C$4,"2 Item No.","@@"&amp;$F357,"3 Posting Date",U$9)</t>
  </si>
  <si>
    <t>=U357-W357</t>
  </si>
  <si>
    <t>=IF(U357&lt;&gt;0,X357/U357,"")</t>
  </si>
  <si>
    <t>=NL("Sum","5802 Value Entry","150 Sales Amount (Expected)","41 Source Type",$C$5,"5 Source No.",$C357,"4 Item Ledger Entry Type",$C$4,"2 Item No.","@@"&amp;$F357,"3 Posting Date",Z$9)+NL("Sum","5802 Value Entry","17 Sales Amount (Actual)","41 Source Type",$C$5,"5 Source no.",$C357,"4 Item Ledger Entry Type",$C$4,"2 Item No.","@@"&amp;$F357,"3 Posting Date",Z$9)</t>
  </si>
  <si>
    <t>=-NL("Sum","5802 Value Entry","151 Cost Amount (Expected)","41 Source Type",$C$5,"5 Source No.",$C357,"4 Item Ledger Entry Type",$C$4,"2 Item No.","@@"&amp;$F357,"3 Posting Date",Z$9)-NL("Sum","5802 Value Entry","43 Cost Amount (Actual)","41 Source Type",$C$5,"5 Source no.",$C357,"4 Item Ledger Entry Type",$C$4,"2 Item No.","@@"&amp;$F357,"3 Posting Date",Z$9)</t>
  </si>
  <si>
    <t>=Z357-AB357</t>
  </si>
  <si>
    <t>=IF(Z357&lt;&gt;0,AC357/Z357,"")</t>
  </si>
  <si>
    <t>=C363&amp;" TOTAL:"</t>
  </si>
  <si>
    <t>=SUBTOTAL(9,J349:J362)</t>
  </si>
  <si>
    <t>=SUBTOTAL(9,K349:K362)</t>
  </si>
  <si>
    <t>=SUBTOTAL(9,L349:L362)</t>
  </si>
  <si>
    <t>=SUBTOTAL(9,O349:O362)</t>
  </si>
  <si>
    <t>=SUBTOTAL(9,P349:P362)</t>
  </si>
  <si>
    <t>=SUBTOTAL(9,Q349:Q362)</t>
  </si>
  <si>
    <t>=SUBTOTAL(9,U349:U362)</t>
  </si>
  <si>
    <t>=SUBTOTAL(9,V349:V362)</t>
  </si>
  <si>
    <t>=SUBTOTAL(9,W349:W362)</t>
  </si>
  <si>
    <t>=SUBTOTAL(9,Z349:Z362)</t>
  </si>
  <si>
    <t>=SUBTOTAL(9,AA349:AA362)</t>
  </si>
  <si>
    <t>=SUBTOTAL(9,AB349:AB362)</t>
  </si>
  <si>
    <t>=E365</t>
  </si>
  <si>
    <t>=NL(,"18 Customer","2 Name","1 No.",$E365)</t>
  </si>
  <si>
    <t>=NL("Rows","5802 Value Entry","2 Item No.","4 Item Ledger Entry Type",$C$4,"41 Source Type",$C$5,"5 Source No.",$C367,"Item No.",$C$7,"3 Posting Date",$C$10)</t>
  </si>
  <si>
    <t>=C379</t>
  </si>
  <si>
    <t>=NL("Sum","5802 Value Entry","150 Sales Amount (Expected)","41 Source Type",$C$5,"5 Source No.",$C380,"4 Item Ledger Entry Type",$C$4,"2 Item No.","@@"&amp;$F380,"3 Posting Date",J$9)+NL("Sum","5802 Value Entry","17 Sales Amount (Actual)","41 Source Type",$C$5,"5 Source no.",$C380,"4 Item Ledger Entry Type",$C$4,"2 Item No.","@@"&amp;$F380,"3 Posting Date",J$9)</t>
  </si>
  <si>
    <t>=-NL("Sum","5802 Value Entry","151 Cost Amount (Expected)","41 Source Type",$C$5,"5 Source No.",$C380,"4 Item Ledger Entry Type",$C$4,"2 Item No.","@@"&amp;$F380,"3 Posting Date",J$9)-NL("Sum","5802 Value Entry","43 Cost Amount (Actual)","41 Source Type",$C$5,"5 Source no.",$C380,"4 Item Ledger Entry Type",$C$4,"2 Item No.","@@"&amp;$F380,"3 Posting Date",J$9)</t>
  </si>
  <si>
    <t>=J380-L380</t>
  </si>
  <si>
    <t>=IF(J380&lt;&gt;0,M380/J380,"")</t>
  </si>
  <si>
    <t>=NL("Sum","5802 Value Entry","150 Sales Amount (Expected)","41 Source Type",$C$5,"5 Source No.",$C380,"4 Item Ledger Entry Type",$C$4,"2 Item No.","@@"&amp;$F380,"3 Posting Date",O$9)+NL("Sum","5802 Value Entry","17 Sales Amount (Actual)","41 Source Type",$C$5,"5 Source no.",$C380,"4 Item Ledger Entry Type",$C$4,"2 Item No.","@@"&amp;$F380,"3 Posting Date",O$9)</t>
  </si>
  <si>
    <t>=-NL("Sum","5802 Value Entry","151 Cost Amount (Expected)","41 Source Type",$C$5,"5 Source No.",$C380,"4 Item Ledger Entry Type",$C$4,"2 Item No.","@@"&amp;$F380,"3 Posting Date",O$9)-NL("Sum","5802 Value Entry","43 Cost Amount (Actual)","41 Source Type",$C$5,"5 Source no.",$C380,"4 Item Ledger Entry Type",$C$4,"2 Item No.","@@"&amp;$F380,"3 Posting Date",O$9)</t>
  </si>
  <si>
    <t>=O380-Q380</t>
  </si>
  <si>
    <t>=IF(O380&lt;&gt;0,R380/O380,"")</t>
  </si>
  <si>
    <t>=NL("Sum","5802 Value Entry","150 Sales Amount (Expected)","41 Source Type",$C$5,"5 Source No.",$C380,"4 Item Ledger Entry Type",$C$4,"2 Item No.","@@"&amp;$F380,"3 Posting Date",U$9)+NL("Sum","5802 Value Entry","17 Sales Amount (Actual)","41 Source Type",$C$5,"5 Source no.",$C380,"4 Item Ledger Entry Type",$C$4,"2 Item No.","@@"&amp;$F380,"3 Posting Date",U$9)</t>
  </si>
  <si>
    <t>=-NL("Sum","5802 Value Entry","151 Cost Amount (Expected)","41 Source Type",$C$5,"5 Source No.",$C380,"4 Item Ledger Entry Type",$C$4,"2 Item No.","@@"&amp;$F380,"3 Posting Date",U$9)-NL("Sum","5802 Value Entry","43 Cost Amount (Actual)","41 Source Type",$C$5,"5 Source no.",$C380,"4 Item Ledger Entry Type",$C$4,"2 Item No.","@@"&amp;$F380,"3 Posting Date",U$9)</t>
  </si>
  <si>
    <t>=U380-W380</t>
  </si>
  <si>
    <t>=IF(U380&lt;&gt;0,X380/U380,"")</t>
  </si>
  <si>
    <t>=NL("Sum","5802 Value Entry","150 Sales Amount (Expected)","41 Source Type",$C$5,"5 Source No.",$C380,"4 Item Ledger Entry Type",$C$4,"2 Item No.","@@"&amp;$F380,"3 Posting Date",Z$9)+NL("Sum","5802 Value Entry","17 Sales Amount (Actual)","41 Source Type",$C$5,"5 Source no.",$C380,"4 Item Ledger Entry Type",$C$4,"2 Item No.","@@"&amp;$F380,"3 Posting Date",Z$9)</t>
  </si>
  <si>
    <t>=-NL("Sum","5802 Value Entry","151 Cost Amount (Expected)","41 Source Type",$C$5,"5 Source No.",$C380,"4 Item Ledger Entry Type",$C$4,"2 Item No.","@@"&amp;$F380,"3 Posting Date",Z$9)-NL("Sum","5802 Value Entry","43 Cost Amount (Actual)","41 Source Type",$C$5,"5 Source no.",$C380,"4 Item Ledger Entry Type",$C$4,"2 Item No.","@@"&amp;$F380,"3 Posting Date",Z$9)</t>
  </si>
  <si>
    <t>=Z380-AB380</t>
  </si>
  <si>
    <t>=IF(Z380&lt;&gt;0,AC380/Z380,"")</t>
  </si>
  <si>
    <t>=NL("Sum","5802 Value Entry","150 Sales Amount (Expected)","41 Source Type",$C$5,"5 Source No.",$C381,"4 Item Ledger Entry Type",$C$4,"2 Item No.","@@"&amp;$F381,"3 Posting Date",J$9)+NL("Sum","5802 Value Entry","17 Sales Amount (Actual)","41 Source Type",$C$5,"5 Source no.",$C381,"4 Item Ledger Entry Type",$C$4,"2 Item No.","@@"&amp;$F381,"3 Posting Date",J$9)</t>
  </si>
  <si>
    <t>=-NL("Sum","5802 Value Entry","151 Cost Amount (Expected)","41 Source Type",$C$5,"5 Source No.",$C381,"4 Item Ledger Entry Type",$C$4,"2 Item No.","@@"&amp;$F381,"3 Posting Date",J$9)-NL("Sum","5802 Value Entry","43 Cost Amount (Actual)","41 Source Type",$C$5,"5 Source no.",$C381,"4 Item Ledger Entry Type",$C$4,"2 Item No.","@@"&amp;$F381,"3 Posting Date",J$9)</t>
  </si>
  <si>
    <t>=NL("Sum","5802 Value Entry","150 Sales Amount (Expected)","41 Source Type",$C$5,"5 Source No.",$C381,"4 Item Ledger Entry Type",$C$4,"2 Item No.","@@"&amp;$F381,"3 Posting Date",O$9)+NL("Sum","5802 Value Entry","17 Sales Amount (Actual)","41 Source Type",$C$5,"5 Source no.",$C381,"4 Item Ledger Entry Type",$C$4,"2 Item No.","@@"&amp;$F381,"3 Posting Date",O$9)</t>
  </si>
  <si>
    <t>=-NL("Sum","5802 Value Entry","151 Cost Amount (Expected)","41 Source Type",$C$5,"5 Source No.",$C381,"4 Item Ledger Entry Type",$C$4,"2 Item No.","@@"&amp;$F381,"3 Posting Date",O$9)-NL("Sum","5802 Value Entry","43 Cost Amount (Actual)","41 Source Type",$C$5,"5 Source no.",$C381,"4 Item Ledger Entry Type",$C$4,"2 Item No.","@@"&amp;$F381,"3 Posting Date",O$9)</t>
  </si>
  <si>
    <t>=NL("Sum","5802 Value Entry","150 Sales Amount (Expected)","41 Source Type",$C$5,"5 Source No.",$C381,"4 Item Ledger Entry Type",$C$4,"2 Item No.","@@"&amp;$F381,"3 Posting Date",U$9)+NL("Sum","5802 Value Entry","17 Sales Amount (Actual)","41 Source Type",$C$5,"5 Source no.",$C381,"4 Item Ledger Entry Type",$C$4,"2 Item No.","@@"&amp;$F381,"3 Posting Date",U$9)</t>
  </si>
  <si>
    <t>=-NL("Sum","5802 Value Entry","151 Cost Amount (Expected)","41 Source Type",$C$5,"5 Source No.",$C381,"4 Item Ledger Entry Type",$C$4,"2 Item No.","@@"&amp;$F381,"3 Posting Date",U$9)-NL("Sum","5802 Value Entry","43 Cost Amount (Actual)","41 Source Type",$C$5,"5 Source no.",$C381,"4 Item Ledger Entry Type",$C$4,"2 Item No.","@@"&amp;$F381,"3 Posting Date",U$9)</t>
  </si>
  <si>
    <t>=NL("Sum","5802 Value Entry","150 Sales Amount (Expected)","41 Source Type",$C$5,"5 Source No.",$C381,"4 Item Ledger Entry Type",$C$4,"2 Item No.","@@"&amp;$F381,"3 Posting Date",Z$9)+NL("Sum","5802 Value Entry","17 Sales Amount (Actual)","41 Source Type",$C$5,"5 Source no.",$C381,"4 Item Ledger Entry Type",$C$4,"2 Item No.","@@"&amp;$F381,"3 Posting Date",Z$9)</t>
  </si>
  <si>
    <t>=-NL("Sum","5802 Value Entry","151 Cost Amount (Expected)","41 Source Type",$C$5,"5 Source No.",$C381,"4 Item Ledger Entry Type",$C$4,"2 Item No.","@@"&amp;$F381,"3 Posting Date",Z$9)-NL("Sum","5802 Value Entry","43 Cost Amount (Actual)","41 Source Type",$C$5,"5 Source no.",$C381,"4 Item Ledger Entry Type",$C$4,"2 Item No.","@@"&amp;$F381,"3 Posting Date",Z$9)</t>
  </si>
  <si>
    <t>=C381</t>
  </si>
  <si>
    <t>=NL("Sum","5802 Value Entry","150 Sales Amount (Expected)","41 Source Type",$C$5,"5 Source No.",$C382,"4 Item Ledger Entry Type",$C$4,"2 Item No.","@@"&amp;$F382,"3 Posting Date",J$9)+NL("Sum","5802 Value Entry","17 Sales Amount (Actual)","41 Source Type",$C$5,"5 Source no.",$C382,"4 Item Ledger Entry Type",$C$4,"2 Item No.","@@"&amp;$F382,"3 Posting Date",J$9)</t>
  </si>
  <si>
    <t>=-NL("Sum","5802 Value Entry","151 Cost Amount (Expected)","41 Source Type",$C$5,"5 Source No.",$C382,"4 Item Ledger Entry Type",$C$4,"2 Item No.","@@"&amp;$F382,"3 Posting Date",J$9)-NL("Sum","5802 Value Entry","43 Cost Amount (Actual)","41 Source Type",$C$5,"5 Source no.",$C382,"4 Item Ledger Entry Type",$C$4,"2 Item No.","@@"&amp;$F382,"3 Posting Date",J$9)</t>
  </si>
  <si>
    <t>=J382-L382</t>
  </si>
  <si>
    <t>=IF(J382&lt;&gt;0,M382/J382,"")</t>
  </si>
  <si>
    <t>=NL("Sum","5802 Value Entry","150 Sales Amount (Expected)","41 Source Type",$C$5,"5 Source No.",$C382,"4 Item Ledger Entry Type",$C$4,"2 Item No.","@@"&amp;$F382,"3 Posting Date",O$9)+NL("Sum","5802 Value Entry","17 Sales Amount (Actual)","41 Source Type",$C$5,"5 Source no.",$C382,"4 Item Ledger Entry Type",$C$4,"2 Item No.","@@"&amp;$F382,"3 Posting Date",O$9)</t>
  </si>
  <si>
    <t>=-NL("Sum","5802 Value Entry","151 Cost Amount (Expected)","41 Source Type",$C$5,"5 Source No.",$C382,"4 Item Ledger Entry Type",$C$4,"2 Item No.","@@"&amp;$F382,"3 Posting Date",O$9)-NL("Sum","5802 Value Entry","43 Cost Amount (Actual)","41 Source Type",$C$5,"5 Source no.",$C382,"4 Item Ledger Entry Type",$C$4,"2 Item No.","@@"&amp;$F382,"3 Posting Date",O$9)</t>
  </si>
  <si>
    <t>=O382-Q382</t>
  </si>
  <si>
    <t>=IF(O382&lt;&gt;0,R382/O382,"")</t>
  </si>
  <si>
    <t>=NL("Sum","5802 Value Entry","150 Sales Amount (Expected)","41 Source Type",$C$5,"5 Source No.",$C382,"4 Item Ledger Entry Type",$C$4,"2 Item No.","@@"&amp;$F382,"3 Posting Date",U$9)+NL("Sum","5802 Value Entry","17 Sales Amount (Actual)","41 Source Type",$C$5,"5 Source no.",$C382,"4 Item Ledger Entry Type",$C$4,"2 Item No.","@@"&amp;$F382,"3 Posting Date",U$9)</t>
  </si>
  <si>
    <t>=-NL("Sum","5802 Value Entry","151 Cost Amount (Expected)","41 Source Type",$C$5,"5 Source No.",$C382,"4 Item Ledger Entry Type",$C$4,"2 Item No.","@@"&amp;$F382,"3 Posting Date",U$9)-NL("Sum","5802 Value Entry","43 Cost Amount (Actual)","41 Source Type",$C$5,"5 Source no.",$C382,"4 Item Ledger Entry Type",$C$4,"2 Item No.","@@"&amp;$F382,"3 Posting Date",U$9)</t>
  </si>
  <si>
    <t>=U382-W382</t>
  </si>
  <si>
    <t>=IF(U382&lt;&gt;0,X382/U382,"")</t>
  </si>
  <si>
    <t>=NL("Sum","5802 Value Entry","150 Sales Amount (Expected)","41 Source Type",$C$5,"5 Source No.",$C382,"4 Item Ledger Entry Type",$C$4,"2 Item No.","@@"&amp;$F382,"3 Posting Date",Z$9)+NL("Sum","5802 Value Entry","17 Sales Amount (Actual)","41 Source Type",$C$5,"5 Source no.",$C382,"4 Item Ledger Entry Type",$C$4,"2 Item No.","@@"&amp;$F382,"3 Posting Date",Z$9)</t>
  </si>
  <si>
    <t>=-NL("Sum","5802 Value Entry","151 Cost Amount (Expected)","41 Source Type",$C$5,"5 Source No.",$C382,"4 Item Ledger Entry Type",$C$4,"2 Item No.","@@"&amp;$F382,"3 Posting Date",Z$9)-NL("Sum","5802 Value Entry","43 Cost Amount (Actual)","41 Source Type",$C$5,"5 Source no.",$C382,"4 Item Ledger Entry Type",$C$4,"2 Item No.","@@"&amp;$F382,"3 Posting Date",Z$9)</t>
  </si>
  <si>
    <t>=Z382-AB382</t>
  </si>
  <si>
    <t>=IF(Z382&lt;&gt;0,AC382/Z382,"")</t>
  </si>
  <si>
    <t>=C382</t>
  </si>
  <si>
    <t>=NL("Sum","5802 Value Entry","150 Sales Amount (Expected)","41 Source Type",$C$5,"5 Source No.",$C383,"4 Item Ledger Entry Type",$C$4,"2 Item No.","@@"&amp;$F383,"3 Posting Date",J$9)+NL("Sum","5802 Value Entry","17 Sales Amount (Actual)","41 Source Type",$C$5,"5 Source no.",$C383,"4 Item Ledger Entry Type",$C$4,"2 Item No.","@@"&amp;$F383,"3 Posting Date",J$9)</t>
  </si>
  <si>
    <t>=-NL("Sum","5802 Value Entry","151 Cost Amount (Expected)","41 Source Type",$C$5,"5 Source No.",$C383,"4 Item Ledger Entry Type",$C$4,"2 Item No.","@@"&amp;$F383,"3 Posting Date",J$9)-NL("Sum","5802 Value Entry","43 Cost Amount (Actual)","41 Source Type",$C$5,"5 Source no.",$C383,"4 Item Ledger Entry Type",$C$4,"2 Item No.","@@"&amp;$F383,"3 Posting Date",J$9)</t>
  </si>
  <si>
    <t>=J383-L383</t>
  </si>
  <si>
    <t>=IF(J383&lt;&gt;0,M383/J383,"")</t>
  </si>
  <si>
    <t>=NL("Sum","5802 Value Entry","150 Sales Amount (Expected)","41 Source Type",$C$5,"5 Source No.",$C383,"4 Item Ledger Entry Type",$C$4,"2 Item No.","@@"&amp;$F383,"3 Posting Date",O$9)+NL("Sum","5802 Value Entry","17 Sales Amount (Actual)","41 Source Type",$C$5,"5 Source no.",$C383,"4 Item Ledger Entry Type",$C$4,"2 Item No.","@@"&amp;$F383,"3 Posting Date",O$9)</t>
  </si>
  <si>
    <t>=-NL("Sum","5802 Value Entry","151 Cost Amount (Expected)","41 Source Type",$C$5,"5 Source No.",$C383,"4 Item Ledger Entry Type",$C$4,"2 Item No.","@@"&amp;$F383,"3 Posting Date",O$9)-NL("Sum","5802 Value Entry","43 Cost Amount (Actual)","41 Source Type",$C$5,"5 Source no.",$C383,"4 Item Ledger Entry Type",$C$4,"2 Item No.","@@"&amp;$F383,"3 Posting Date",O$9)</t>
  </si>
  <si>
    <t>=O383-Q383</t>
  </si>
  <si>
    <t>=IF(O383&lt;&gt;0,R383/O383,"")</t>
  </si>
  <si>
    <t>=NL("Sum","5802 Value Entry","150 Sales Amount (Expected)","41 Source Type",$C$5,"5 Source No.",$C383,"4 Item Ledger Entry Type",$C$4,"2 Item No.","@@"&amp;$F383,"3 Posting Date",U$9)+NL("Sum","5802 Value Entry","17 Sales Amount (Actual)","41 Source Type",$C$5,"5 Source no.",$C383,"4 Item Ledger Entry Type",$C$4,"2 Item No.","@@"&amp;$F383,"3 Posting Date",U$9)</t>
  </si>
  <si>
    <t>=-NL("Sum","5802 Value Entry","151 Cost Amount (Expected)","41 Source Type",$C$5,"5 Source No.",$C383,"4 Item Ledger Entry Type",$C$4,"2 Item No.","@@"&amp;$F383,"3 Posting Date",U$9)-NL("Sum","5802 Value Entry","43 Cost Amount (Actual)","41 Source Type",$C$5,"5 Source no.",$C383,"4 Item Ledger Entry Type",$C$4,"2 Item No.","@@"&amp;$F383,"3 Posting Date",U$9)</t>
  </si>
  <si>
    <t>=U383-W383</t>
  </si>
  <si>
    <t>=IF(U383&lt;&gt;0,X383/U383,"")</t>
  </si>
  <si>
    <t>=NL("Sum","5802 Value Entry","150 Sales Amount (Expected)","41 Source Type",$C$5,"5 Source No.",$C383,"4 Item Ledger Entry Type",$C$4,"2 Item No.","@@"&amp;$F383,"3 Posting Date",Z$9)+NL("Sum","5802 Value Entry","17 Sales Amount (Actual)","41 Source Type",$C$5,"5 Source no.",$C383,"4 Item Ledger Entry Type",$C$4,"2 Item No.","@@"&amp;$F383,"3 Posting Date",Z$9)</t>
  </si>
  <si>
    <t>=-NL("Sum","5802 Value Entry","151 Cost Amount (Expected)","41 Source Type",$C$5,"5 Source No.",$C383,"4 Item Ledger Entry Type",$C$4,"2 Item No.","@@"&amp;$F383,"3 Posting Date",Z$9)-NL("Sum","5802 Value Entry","43 Cost Amount (Actual)","41 Source Type",$C$5,"5 Source no.",$C383,"4 Item Ledger Entry Type",$C$4,"2 Item No.","@@"&amp;$F383,"3 Posting Date",Z$9)</t>
  </si>
  <si>
    <t>=Z383-AB383</t>
  </si>
  <si>
    <t>=IF(Z383&lt;&gt;0,AC383/Z383,"")</t>
  </si>
  <si>
    <t>=NL("Sum","5802 Value Entry","150 Sales Amount (Expected)","41 Source Type",$C$5,"5 Source No.",$C384,"4 Item Ledger Entry Type",$C$4,"2 Item No.","@@"&amp;$F384,"3 Posting Date",J$9)+NL("Sum","5802 Value Entry","17 Sales Amount (Actual)","41 Source Type",$C$5,"5 Source no.",$C384,"4 Item Ledger Entry Type",$C$4,"2 Item No.","@@"&amp;$F384,"3 Posting Date",J$9)</t>
  </si>
  <si>
    <t>=-NL("Sum","5802 Value Entry","151 Cost Amount (Expected)","41 Source Type",$C$5,"5 Source No.",$C384,"4 Item Ledger Entry Type",$C$4,"2 Item No.","@@"&amp;$F384,"3 Posting Date",J$9)-NL("Sum","5802 Value Entry","43 Cost Amount (Actual)","41 Source Type",$C$5,"5 Source no.",$C384,"4 Item Ledger Entry Type",$C$4,"2 Item No.","@@"&amp;$F384,"3 Posting Date",J$9)</t>
  </si>
  <si>
    <t>=J384-L384</t>
  </si>
  <si>
    <t>=IF(J384&lt;&gt;0,M384/J384,"")</t>
  </si>
  <si>
    <t>=NL("Sum","5802 Value Entry","150 Sales Amount (Expected)","41 Source Type",$C$5,"5 Source No.",$C384,"4 Item Ledger Entry Type",$C$4,"2 Item No.","@@"&amp;$F384,"3 Posting Date",O$9)+NL("Sum","5802 Value Entry","17 Sales Amount (Actual)","41 Source Type",$C$5,"5 Source no.",$C384,"4 Item Ledger Entry Type",$C$4,"2 Item No.","@@"&amp;$F384,"3 Posting Date",O$9)</t>
  </si>
  <si>
    <t>=-NL("Sum","5802 Value Entry","151 Cost Amount (Expected)","41 Source Type",$C$5,"5 Source No.",$C384,"4 Item Ledger Entry Type",$C$4,"2 Item No.","@@"&amp;$F384,"3 Posting Date",O$9)-NL("Sum","5802 Value Entry","43 Cost Amount (Actual)","41 Source Type",$C$5,"5 Source no.",$C384,"4 Item Ledger Entry Type",$C$4,"2 Item No.","@@"&amp;$F384,"3 Posting Date",O$9)</t>
  </si>
  <si>
    <t>=O384-Q384</t>
  </si>
  <si>
    <t>=IF(O384&lt;&gt;0,R384/O384,"")</t>
  </si>
  <si>
    <t>=NL("Sum","5802 Value Entry","150 Sales Amount (Expected)","41 Source Type",$C$5,"5 Source No.",$C384,"4 Item Ledger Entry Type",$C$4,"2 Item No.","@@"&amp;$F384,"3 Posting Date",U$9)+NL("Sum","5802 Value Entry","17 Sales Amount (Actual)","41 Source Type",$C$5,"5 Source no.",$C384,"4 Item Ledger Entry Type",$C$4,"2 Item No.","@@"&amp;$F384,"3 Posting Date",U$9)</t>
  </si>
  <si>
    <t>=-NL("Sum","5802 Value Entry","151 Cost Amount (Expected)","41 Source Type",$C$5,"5 Source No.",$C384,"4 Item Ledger Entry Type",$C$4,"2 Item No.","@@"&amp;$F384,"3 Posting Date",U$9)-NL("Sum","5802 Value Entry","43 Cost Amount (Actual)","41 Source Type",$C$5,"5 Source no.",$C384,"4 Item Ledger Entry Type",$C$4,"2 Item No.","@@"&amp;$F384,"3 Posting Date",U$9)</t>
  </si>
  <si>
    <t>=U384-W384</t>
  </si>
  <si>
    <t>=IF(U384&lt;&gt;0,X384/U384,"")</t>
  </si>
  <si>
    <t>=NL("Sum","5802 Value Entry","150 Sales Amount (Expected)","41 Source Type",$C$5,"5 Source No.",$C384,"4 Item Ledger Entry Type",$C$4,"2 Item No.","@@"&amp;$F384,"3 Posting Date",Z$9)+NL("Sum","5802 Value Entry","17 Sales Amount (Actual)","41 Source Type",$C$5,"5 Source no.",$C384,"4 Item Ledger Entry Type",$C$4,"2 Item No.","@@"&amp;$F384,"3 Posting Date",Z$9)</t>
  </si>
  <si>
    <t>=-NL("Sum","5802 Value Entry","151 Cost Amount (Expected)","41 Source Type",$C$5,"5 Source No.",$C384,"4 Item Ledger Entry Type",$C$4,"2 Item No.","@@"&amp;$F384,"3 Posting Date",Z$9)-NL("Sum","5802 Value Entry","43 Cost Amount (Actual)","41 Source Type",$C$5,"5 Source no.",$C384,"4 Item Ledger Entry Type",$C$4,"2 Item No.","@@"&amp;$F384,"3 Posting Date",Z$9)</t>
  </si>
  <si>
    <t>=Z384-AB384</t>
  </si>
  <si>
    <t>=IF(Z384&lt;&gt;0,AC384/Z384,"")</t>
  </si>
  <si>
    <t>=C389&amp;" TOTAL:"</t>
  </si>
  <si>
    <t>=SUBTOTAL(9,J366:J388)</t>
  </si>
  <si>
    <t>=SUBTOTAL(9,K366:K388)</t>
  </si>
  <si>
    <t>=SUBTOTAL(9,L366:L388)</t>
  </si>
  <si>
    <t>=SUBTOTAL(9,O366:O388)</t>
  </si>
  <si>
    <t>=SUBTOTAL(9,P366:P388)</t>
  </si>
  <si>
    <t>=SUBTOTAL(9,Q366:Q388)</t>
  </si>
  <si>
    <t>=SUBTOTAL(9,U366:U388)</t>
  </si>
  <si>
    <t>=SUBTOTAL(9,V366:V388)</t>
  </si>
  <si>
    <t>=SUBTOTAL(9,W366:W388)</t>
  </si>
  <si>
    <t>=SUBTOTAL(9,Z366:Z388)</t>
  </si>
  <si>
    <t>=SUBTOTAL(9,AA366:AA388)</t>
  </si>
  <si>
    <t>=SUBTOTAL(9,AB366:AB388)</t>
  </si>
  <si>
    <t>=E391</t>
  </si>
  <si>
    <t>=NL(,"18 Customer","2 Name","1 No.",$E391)</t>
  </si>
  <si>
    <t>=NL("Rows","5802 Value Entry","2 Item No.","4 Item Ledger Entry Type",$C$4,"41 Source Type",$C$5,"5 Source No.",$C393,"Item No.",$C$7,"3 Posting Date",$C$10)</t>
  </si>
  <si>
    <t>=C418</t>
  </si>
  <si>
    <t>=NL("Sum","5802 Value Entry","150 Sales Amount (Expected)","41 Source Type",$C$5,"5 Source No.",$C419,"4 Item Ledger Entry Type",$C$4,"2 Item No.","@@"&amp;$F419,"3 Posting Date",J$9)+NL("Sum","5802 Value Entry","17 Sales Amount (Actual)","41 Source Type",$C$5,"5 Source no.",$C419,"4 Item Ledger Entry Type",$C$4,"2 Item No.","@@"&amp;$F419,"3 Posting Date",J$9)</t>
  </si>
  <si>
    <t>=-NL("Sum","5802 Value Entry","151 Cost Amount (Expected)","41 Source Type",$C$5,"5 Source No.",$C419,"4 Item Ledger Entry Type",$C$4,"2 Item No.","@@"&amp;$F419,"3 Posting Date",J$9)-NL("Sum","5802 Value Entry","43 Cost Amount (Actual)","41 Source Type",$C$5,"5 Source no.",$C419,"4 Item Ledger Entry Type",$C$4,"2 Item No.","@@"&amp;$F419,"3 Posting Date",J$9)</t>
  </si>
  <si>
    <t>=J419-L419</t>
  </si>
  <si>
    <t>=IF(J419&lt;&gt;0,M419/J419,"")</t>
  </si>
  <si>
    <t>=NL("Sum","5802 Value Entry","150 Sales Amount (Expected)","41 Source Type",$C$5,"5 Source No.",$C419,"4 Item Ledger Entry Type",$C$4,"2 Item No.","@@"&amp;$F419,"3 Posting Date",O$9)+NL("Sum","5802 Value Entry","17 Sales Amount (Actual)","41 Source Type",$C$5,"5 Source no.",$C419,"4 Item Ledger Entry Type",$C$4,"2 Item No.","@@"&amp;$F419,"3 Posting Date",O$9)</t>
  </si>
  <si>
    <t>=-NL("Sum","5802 Value Entry","151 Cost Amount (Expected)","41 Source Type",$C$5,"5 Source No.",$C419,"4 Item Ledger Entry Type",$C$4,"2 Item No.","@@"&amp;$F419,"3 Posting Date",O$9)-NL("Sum","5802 Value Entry","43 Cost Amount (Actual)","41 Source Type",$C$5,"5 Source no.",$C419,"4 Item Ledger Entry Type",$C$4,"2 Item No.","@@"&amp;$F419,"3 Posting Date",O$9)</t>
  </si>
  <si>
    <t>=O419-Q419</t>
  </si>
  <si>
    <t>=IF(O419&lt;&gt;0,R419/O419,"")</t>
  </si>
  <si>
    <t>=NL("Sum","5802 Value Entry","150 Sales Amount (Expected)","41 Source Type",$C$5,"5 Source No.",$C419,"4 Item Ledger Entry Type",$C$4,"2 Item No.","@@"&amp;$F419,"3 Posting Date",U$9)+NL("Sum","5802 Value Entry","17 Sales Amount (Actual)","41 Source Type",$C$5,"5 Source no.",$C419,"4 Item Ledger Entry Type",$C$4,"2 Item No.","@@"&amp;$F419,"3 Posting Date",U$9)</t>
  </si>
  <si>
    <t>=-NL("Sum","5802 Value Entry","151 Cost Amount (Expected)","41 Source Type",$C$5,"5 Source No.",$C419,"4 Item Ledger Entry Type",$C$4,"2 Item No.","@@"&amp;$F419,"3 Posting Date",U$9)-NL("Sum","5802 Value Entry","43 Cost Amount (Actual)","41 Source Type",$C$5,"5 Source no.",$C419,"4 Item Ledger Entry Type",$C$4,"2 Item No.","@@"&amp;$F419,"3 Posting Date",U$9)</t>
  </si>
  <si>
    <t>=U419-W419</t>
  </si>
  <si>
    <t>=IF(U419&lt;&gt;0,X419/U419,"")</t>
  </si>
  <si>
    <t>=NL("Sum","5802 Value Entry","150 Sales Amount (Expected)","41 Source Type",$C$5,"5 Source No.",$C419,"4 Item Ledger Entry Type",$C$4,"2 Item No.","@@"&amp;$F419,"3 Posting Date",Z$9)+NL("Sum","5802 Value Entry","17 Sales Amount (Actual)","41 Source Type",$C$5,"5 Source no.",$C419,"4 Item Ledger Entry Type",$C$4,"2 Item No.","@@"&amp;$F419,"3 Posting Date",Z$9)</t>
  </si>
  <si>
    <t>=-NL("Sum","5802 Value Entry","151 Cost Amount (Expected)","41 Source Type",$C$5,"5 Source No.",$C419,"4 Item Ledger Entry Type",$C$4,"2 Item No.","@@"&amp;$F419,"3 Posting Date",Z$9)-NL("Sum","5802 Value Entry","43 Cost Amount (Actual)","41 Source Type",$C$5,"5 Source no.",$C419,"4 Item Ledger Entry Type",$C$4,"2 Item No.","@@"&amp;$F419,"3 Posting Date",Z$9)</t>
  </si>
  <si>
    <t>=Z419-AB419</t>
  </si>
  <si>
    <t>=IF(Z419&lt;&gt;0,AC419/Z419,"")</t>
  </si>
  <si>
    <t>=NL("Sum","5802 Value Entry","150 Sales Amount (Expected)","41 Source Type",$C$5,"5 Source No.",$C420,"4 Item Ledger Entry Type",$C$4,"2 Item No.","@@"&amp;$F420,"3 Posting Date",J$9)+NL("Sum","5802 Value Entry","17 Sales Amount (Actual)","41 Source Type",$C$5,"5 Source no.",$C420,"4 Item Ledger Entry Type",$C$4,"2 Item No.","@@"&amp;$F420,"3 Posting Date",J$9)</t>
  </si>
  <si>
    <t>=-NL("Sum","5802 Value Entry","151 Cost Amount (Expected)","41 Source Type",$C$5,"5 Source No.",$C420,"4 Item Ledger Entry Type",$C$4,"2 Item No.","@@"&amp;$F420,"3 Posting Date",J$9)-NL("Sum","5802 Value Entry","43 Cost Amount (Actual)","41 Source Type",$C$5,"5 Source no.",$C420,"4 Item Ledger Entry Type",$C$4,"2 Item No.","@@"&amp;$F420,"3 Posting Date",J$9)</t>
  </si>
  <si>
    <t>=NL("Sum","5802 Value Entry","150 Sales Amount (Expected)","41 Source Type",$C$5,"5 Source No.",$C420,"4 Item Ledger Entry Type",$C$4,"2 Item No.","@@"&amp;$F420,"3 Posting Date",O$9)+NL("Sum","5802 Value Entry","17 Sales Amount (Actual)","41 Source Type",$C$5,"5 Source no.",$C420,"4 Item Ledger Entry Type",$C$4,"2 Item No.","@@"&amp;$F420,"3 Posting Date",O$9)</t>
  </si>
  <si>
    <t>=-NL("Sum","5802 Value Entry","151 Cost Amount (Expected)","41 Source Type",$C$5,"5 Source No.",$C420,"4 Item Ledger Entry Type",$C$4,"2 Item No.","@@"&amp;$F420,"3 Posting Date",O$9)-NL("Sum","5802 Value Entry","43 Cost Amount (Actual)","41 Source Type",$C$5,"5 Source no.",$C420,"4 Item Ledger Entry Type",$C$4,"2 Item No.","@@"&amp;$F420,"3 Posting Date",O$9)</t>
  </si>
  <si>
    <t>=NL("Sum","5802 Value Entry","150 Sales Amount (Expected)","41 Source Type",$C$5,"5 Source No.",$C420,"4 Item Ledger Entry Type",$C$4,"2 Item No.","@@"&amp;$F420,"3 Posting Date",U$9)+NL("Sum","5802 Value Entry","17 Sales Amount (Actual)","41 Source Type",$C$5,"5 Source no.",$C420,"4 Item Ledger Entry Type",$C$4,"2 Item No.","@@"&amp;$F420,"3 Posting Date",U$9)</t>
  </si>
  <si>
    <t>=-NL("Sum","5802 Value Entry","151 Cost Amount (Expected)","41 Source Type",$C$5,"5 Source No.",$C420,"4 Item Ledger Entry Type",$C$4,"2 Item No.","@@"&amp;$F420,"3 Posting Date",U$9)-NL("Sum","5802 Value Entry","43 Cost Amount (Actual)","41 Source Type",$C$5,"5 Source no.",$C420,"4 Item Ledger Entry Type",$C$4,"2 Item No.","@@"&amp;$F420,"3 Posting Date",U$9)</t>
  </si>
  <si>
    <t>=NL("Sum","5802 Value Entry","150 Sales Amount (Expected)","41 Source Type",$C$5,"5 Source No.",$C420,"4 Item Ledger Entry Type",$C$4,"2 Item No.","@@"&amp;$F420,"3 Posting Date",Z$9)+NL("Sum","5802 Value Entry","17 Sales Amount (Actual)","41 Source Type",$C$5,"5 Source no.",$C420,"4 Item Ledger Entry Type",$C$4,"2 Item No.","@@"&amp;$F420,"3 Posting Date",Z$9)</t>
  </si>
  <si>
    <t>=-NL("Sum","5802 Value Entry","151 Cost Amount (Expected)","41 Source Type",$C$5,"5 Source No.",$C420,"4 Item Ledger Entry Type",$C$4,"2 Item No.","@@"&amp;$F420,"3 Posting Date",Z$9)-NL("Sum","5802 Value Entry","43 Cost Amount (Actual)","41 Source Type",$C$5,"5 Source no.",$C420,"4 Item Ledger Entry Type",$C$4,"2 Item No.","@@"&amp;$F420,"3 Posting Date",Z$9)</t>
  </si>
  <si>
    <t>=C420</t>
  </si>
  <si>
    <t>=NL("Sum","5802 Value Entry","150 Sales Amount (Expected)","41 Source Type",$C$5,"5 Source No.",$C421,"4 Item Ledger Entry Type",$C$4,"2 Item No.","@@"&amp;$F421,"3 Posting Date",J$9)+NL("Sum","5802 Value Entry","17 Sales Amount (Actual)","41 Source Type",$C$5,"5 Source no.",$C421,"4 Item Ledger Entry Type",$C$4,"2 Item No.","@@"&amp;$F421,"3 Posting Date",J$9)</t>
  </si>
  <si>
    <t>=-NL("Sum","5802 Value Entry","151 Cost Amount (Expected)","41 Source Type",$C$5,"5 Source No.",$C421,"4 Item Ledger Entry Type",$C$4,"2 Item No.","@@"&amp;$F421,"3 Posting Date",J$9)-NL("Sum","5802 Value Entry","43 Cost Amount (Actual)","41 Source Type",$C$5,"5 Source no.",$C421,"4 Item Ledger Entry Type",$C$4,"2 Item No.","@@"&amp;$F421,"3 Posting Date",J$9)</t>
  </si>
  <si>
    <t>=J421-L421</t>
  </si>
  <si>
    <t>=IF(J421&lt;&gt;0,M421/J421,"")</t>
  </si>
  <si>
    <t>=NL("Sum","5802 Value Entry","150 Sales Amount (Expected)","41 Source Type",$C$5,"5 Source No.",$C421,"4 Item Ledger Entry Type",$C$4,"2 Item No.","@@"&amp;$F421,"3 Posting Date",O$9)+NL("Sum","5802 Value Entry","17 Sales Amount (Actual)","41 Source Type",$C$5,"5 Source no.",$C421,"4 Item Ledger Entry Type",$C$4,"2 Item No.","@@"&amp;$F421,"3 Posting Date",O$9)</t>
  </si>
  <si>
    <t>=-NL("Sum","5802 Value Entry","151 Cost Amount (Expected)","41 Source Type",$C$5,"5 Source No.",$C421,"4 Item Ledger Entry Type",$C$4,"2 Item No.","@@"&amp;$F421,"3 Posting Date",O$9)-NL("Sum","5802 Value Entry","43 Cost Amount (Actual)","41 Source Type",$C$5,"5 Source no.",$C421,"4 Item Ledger Entry Type",$C$4,"2 Item No.","@@"&amp;$F421,"3 Posting Date",O$9)</t>
  </si>
  <si>
    <t>=O421-Q421</t>
  </si>
  <si>
    <t>=IF(O421&lt;&gt;0,R421/O421,"")</t>
  </si>
  <si>
    <t>=NL("Sum","5802 Value Entry","150 Sales Amount (Expected)","41 Source Type",$C$5,"5 Source No.",$C421,"4 Item Ledger Entry Type",$C$4,"2 Item No.","@@"&amp;$F421,"3 Posting Date",U$9)+NL("Sum","5802 Value Entry","17 Sales Amount (Actual)","41 Source Type",$C$5,"5 Source no.",$C421,"4 Item Ledger Entry Type",$C$4,"2 Item No.","@@"&amp;$F421,"3 Posting Date",U$9)</t>
  </si>
  <si>
    <t>=-NL("Sum","5802 Value Entry","151 Cost Amount (Expected)","41 Source Type",$C$5,"5 Source No.",$C421,"4 Item Ledger Entry Type",$C$4,"2 Item No.","@@"&amp;$F421,"3 Posting Date",U$9)-NL("Sum","5802 Value Entry","43 Cost Amount (Actual)","41 Source Type",$C$5,"5 Source no.",$C421,"4 Item Ledger Entry Type",$C$4,"2 Item No.","@@"&amp;$F421,"3 Posting Date",U$9)</t>
  </si>
  <si>
    <t>=U421-W421</t>
  </si>
  <si>
    <t>=IF(U421&lt;&gt;0,X421/U421,"")</t>
  </si>
  <si>
    <t>=NL("Sum","5802 Value Entry","150 Sales Amount (Expected)","41 Source Type",$C$5,"5 Source No.",$C421,"4 Item Ledger Entry Type",$C$4,"2 Item No.","@@"&amp;$F421,"3 Posting Date",Z$9)+NL("Sum","5802 Value Entry","17 Sales Amount (Actual)","41 Source Type",$C$5,"5 Source no.",$C421,"4 Item Ledger Entry Type",$C$4,"2 Item No.","@@"&amp;$F421,"3 Posting Date",Z$9)</t>
  </si>
  <si>
    <t>=-NL("Sum","5802 Value Entry","151 Cost Amount (Expected)","41 Source Type",$C$5,"5 Source No.",$C421,"4 Item Ledger Entry Type",$C$4,"2 Item No.","@@"&amp;$F421,"3 Posting Date",Z$9)-NL("Sum","5802 Value Entry","43 Cost Amount (Actual)","41 Source Type",$C$5,"5 Source no.",$C421,"4 Item Ledger Entry Type",$C$4,"2 Item No.","@@"&amp;$F421,"3 Posting Date",Z$9)</t>
  </si>
  <si>
    <t>=Z421-AB421</t>
  </si>
  <si>
    <t>=IF(Z421&lt;&gt;0,AC421/Z421,"")</t>
  </si>
  <si>
    <t>=C421</t>
  </si>
  <si>
    <t>=NL("Sum","5802 Value Entry","150 Sales Amount (Expected)","41 Source Type",$C$5,"5 Source No.",$C422,"4 Item Ledger Entry Type",$C$4,"2 Item No.","@@"&amp;$F422,"3 Posting Date",J$9)+NL("Sum","5802 Value Entry","17 Sales Amount (Actual)","41 Source Type",$C$5,"5 Source no.",$C422,"4 Item Ledger Entry Type",$C$4,"2 Item No.","@@"&amp;$F422,"3 Posting Date",J$9)</t>
  </si>
  <si>
    <t>=-NL("Sum","5802 Value Entry","151 Cost Amount (Expected)","41 Source Type",$C$5,"5 Source No.",$C422,"4 Item Ledger Entry Type",$C$4,"2 Item No.","@@"&amp;$F422,"3 Posting Date",J$9)-NL("Sum","5802 Value Entry","43 Cost Amount (Actual)","41 Source Type",$C$5,"5 Source no.",$C422,"4 Item Ledger Entry Type",$C$4,"2 Item No.","@@"&amp;$F422,"3 Posting Date",J$9)</t>
  </si>
  <si>
    <t>=J422-L422</t>
  </si>
  <si>
    <t>=IF(J422&lt;&gt;0,M422/J422,"")</t>
  </si>
  <si>
    <t>=NL("Sum","5802 Value Entry","150 Sales Amount (Expected)","41 Source Type",$C$5,"5 Source No.",$C422,"4 Item Ledger Entry Type",$C$4,"2 Item No.","@@"&amp;$F422,"3 Posting Date",O$9)+NL("Sum","5802 Value Entry","17 Sales Amount (Actual)","41 Source Type",$C$5,"5 Source no.",$C422,"4 Item Ledger Entry Type",$C$4,"2 Item No.","@@"&amp;$F422,"3 Posting Date",O$9)</t>
  </si>
  <si>
    <t>=-NL("Sum","5802 Value Entry","151 Cost Amount (Expected)","41 Source Type",$C$5,"5 Source No.",$C422,"4 Item Ledger Entry Type",$C$4,"2 Item No.","@@"&amp;$F422,"3 Posting Date",O$9)-NL("Sum","5802 Value Entry","43 Cost Amount (Actual)","41 Source Type",$C$5,"5 Source no.",$C422,"4 Item Ledger Entry Type",$C$4,"2 Item No.","@@"&amp;$F422,"3 Posting Date",O$9)</t>
  </si>
  <si>
    <t>=O422-Q422</t>
  </si>
  <si>
    <t>=IF(O422&lt;&gt;0,R422/O422,"")</t>
  </si>
  <si>
    <t>=NL("Sum","5802 Value Entry","150 Sales Amount (Expected)","41 Source Type",$C$5,"5 Source No.",$C422,"4 Item Ledger Entry Type",$C$4,"2 Item No.","@@"&amp;$F422,"3 Posting Date",U$9)+NL("Sum","5802 Value Entry","17 Sales Amount (Actual)","41 Source Type",$C$5,"5 Source no.",$C422,"4 Item Ledger Entry Type",$C$4,"2 Item No.","@@"&amp;$F422,"3 Posting Date",U$9)</t>
  </si>
  <si>
    <t>=-NL("Sum","5802 Value Entry","151 Cost Amount (Expected)","41 Source Type",$C$5,"5 Source No.",$C422,"4 Item Ledger Entry Type",$C$4,"2 Item No.","@@"&amp;$F422,"3 Posting Date",U$9)-NL("Sum","5802 Value Entry","43 Cost Amount (Actual)","41 Source Type",$C$5,"5 Source no.",$C422,"4 Item Ledger Entry Type",$C$4,"2 Item No.","@@"&amp;$F422,"3 Posting Date",U$9)</t>
  </si>
  <si>
    <t>=U422-W422</t>
  </si>
  <si>
    <t>=IF(U422&lt;&gt;0,X422/U422,"")</t>
  </si>
  <si>
    <t>=NL("Sum","5802 Value Entry","150 Sales Amount (Expected)","41 Source Type",$C$5,"5 Source No.",$C422,"4 Item Ledger Entry Type",$C$4,"2 Item No.","@@"&amp;$F422,"3 Posting Date",Z$9)+NL("Sum","5802 Value Entry","17 Sales Amount (Actual)","41 Source Type",$C$5,"5 Source no.",$C422,"4 Item Ledger Entry Type",$C$4,"2 Item No.","@@"&amp;$F422,"3 Posting Date",Z$9)</t>
  </si>
  <si>
    <t>=-NL("Sum","5802 Value Entry","151 Cost Amount (Expected)","41 Source Type",$C$5,"5 Source No.",$C422,"4 Item Ledger Entry Type",$C$4,"2 Item No.","@@"&amp;$F422,"3 Posting Date",Z$9)-NL("Sum","5802 Value Entry","43 Cost Amount (Actual)","41 Source Type",$C$5,"5 Source no.",$C422,"4 Item Ledger Entry Type",$C$4,"2 Item No.","@@"&amp;$F422,"3 Posting Date",Z$9)</t>
  </si>
  <si>
    <t>=Z422-AB422</t>
  </si>
  <si>
    <t>=IF(Z422&lt;&gt;0,AC422/Z422,"")</t>
  </si>
  <si>
    <t>=NL("Sum","5802 Value Entry","150 Sales Amount (Expected)","41 Source Type",$C$5,"5 Source No.",$C423,"4 Item Ledger Entry Type",$C$4,"2 Item No.","@@"&amp;$F423,"3 Posting Date",J$9)+NL("Sum","5802 Value Entry","17 Sales Amount (Actual)","41 Source Type",$C$5,"5 Source no.",$C423,"4 Item Ledger Entry Type",$C$4,"2 Item No.","@@"&amp;$F423,"3 Posting Date",J$9)</t>
  </si>
  <si>
    <t>=-NL("Sum","5802 Value Entry","151 Cost Amount (Expected)","41 Source Type",$C$5,"5 Source No.",$C423,"4 Item Ledger Entry Type",$C$4,"2 Item No.","@@"&amp;$F423,"3 Posting Date",J$9)-NL("Sum","5802 Value Entry","43 Cost Amount (Actual)","41 Source Type",$C$5,"5 Source no.",$C423,"4 Item Ledger Entry Type",$C$4,"2 Item No.","@@"&amp;$F423,"3 Posting Date",J$9)</t>
  </si>
  <si>
    <t>=J423-L423</t>
  </si>
  <si>
    <t>=IF(J423&lt;&gt;0,M423/J423,"")</t>
  </si>
  <si>
    <t>=NL("Sum","5802 Value Entry","150 Sales Amount (Expected)","41 Source Type",$C$5,"5 Source No.",$C423,"4 Item Ledger Entry Type",$C$4,"2 Item No.","@@"&amp;$F423,"3 Posting Date",O$9)+NL("Sum","5802 Value Entry","17 Sales Amount (Actual)","41 Source Type",$C$5,"5 Source no.",$C423,"4 Item Ledger Entry Type",$C$4,"2 Item No.","@@"&amp;$F423,"3 Posting Date",O$9)</t>
  </si>
  <si>
    <t>=-NL("Sum","5802 Value Entry","151 Cost Amount (Expected)","41 Source Type",$C$5,"5 Source No.",$C423,"4 Item Ledger Entry Type",$C$4,"2 Item No.","@@"&amp;$F423,"3 Posting Date",O$9)-NL("Sum","5802 Value Entry","43 Cost Amount (Actual)","41 Source Type",$C$5,"5 Source no.",$C423,"4 Item Ledger Entry Type",$C$4,"2 Item No.","@@"&amp;$F423,"3 Posting Date",O$9)</t>
  </si>
  <si>
    <t>=O423-Q423</t>
  </si>
  <si>
    <t>=IF(O423&lt;&gt;0,R423/O423,"")</t>
  </si>
  <si>
    <t>=NL("Sum","5802 Value Entry","150 Sales Amount (Expected)","41 Source Type",$C$5,"5 Source No.",$C423,"4 Item Ledger Entry Type",$C$4,"2 Item No.","@@"&amp;$F423,"3 Posting Date",U$9)+NL("Sum","5802 Value Entry","17 Sales Amount (Actual)","41 Source Type",$C$5,"5 Source no.",$C423,"4 Item Ledger Entry Type",$C$4,"2 Item No.","@@"&amp;$F423,"3 Posting Date",U$9)</t>
  </si>
  <si>
    <t>=-NL("Sum","5802 Value Entry","151 Cost Amount (Expected)","41 Source Type",$C$5,"5 Source No.",$C423,"4 Item Ledger Entry Type",$C$4,"2 Item No.","@@"&amp;$F423,"3 Posting Date",U$9)-NL("Sum","5802 Value Entry","43 Cost Amount (Actual)","41 Source Type",$C$5,"5 Source no.",$C423,"4 Item Ledger Entry Type",$C$4,"2 Item No.","@@"&amp;$F423,"3 Posting Date",U$9)</t>
  </si>
  <si>
    <t>=U423-W423</t>
  </si>
  <si>
    <t>=IF(U423&lt;&gt;0,X423/U423,"")</t>
  </si>
  <si>
    <t>=NL("Sum","5802 Value Entry","150 Sales Amount (Expected)","41 Source Type",$C$5,"5 Source No.",$C423,"4 Item Ledger Entry Type",$C$4,"2 Item No.","@@"&amp;$F423,"3 Posting Date",Z$9)+NL("Sum","5802 Value Entry","17 Sales Amount (Actual)","41 Source Type",$C$5,"5 Source no.",$C423,"4 Item Ledger Entry Type",$C$4,"2 Item No.","@@"&amp;$F423,"3 Posting Date",Z$9)</t>
  </si>
  <si>
    <t>=-NL("Sum","5802 Value Entry","151 Cost Amount (Expected)","41 Source Type",$C$5,"5 Source No.",$C423,"4 Item Ledger Entry Type",$C$4,"2 Item No.","@@"&amp;$F423,"3 Posting Date",Z$9)-NL("Sum","5802 Value Entry","43 Cost Amount (Actual)","41 Source Type",$C$5,"5 Source no.",$C423,"4 Item Ledger Entry Type",$C$4,"2 Item No.","@@"&amp;$F423,"3 Posting Date",Z$9)</t>
  </si>
  <si>
    <t>=Z423-AB423</t>
  </si>
  <si>
    <t>=IF(Z423&lt;&gt;0,AC423/Z423,"")</t>
  </si>
  <si>
    <t>=C437&amp;" TOTAL:"</t>
  </si>
  <si>
    <t>=SUBTOTAL(9,J392:J436)</t>
  </si>
  <si>
    <t>=SUBTOTAL(9,K392:K436)</t>
  </si>
  <si>
    <t>=SUBTOTAL(9,L392:L436)</t>
  </si>
  <si>
    <t>=SUBTOTAL(9,O392:O436)</t>
  </si>
  <si>
    <t>=SUBTOTAL(9,P392:P436)</t>
  </si>
  <si>
    <t>=SUBTOTAL(9,Q392:Q436)</t>
  </si>
  <si>
    <t>=SUBTOTAL(9,U392:U436)</t>
  </si>
  <si>
    <t>=SUBTOTAL(9,V392:V436)</t>
  </si>
  <si>
    <t>=SUBTOTAL(9,W392:W436)</t>
  </si>
  <si>
    <t>=SUBTOTAL(9,Z392:Z436)</t>
  </si>
  <si>
    <t>=SUBTOTAL(9,AA392:AA436)</t>
  </si>
  <si>
    <t>=SUBTOTAL(9,AB392:AB436)</t>
  </si>
  <si>
    <t>=E439</t>
  </si>
  <si>
    <t>=NL(,"18 Customer","2 Name","1 No.",$E439)</t>
  </si>
  <si>
    <t>=NL("Rows","5802 Value Entry","2 Item No.","4 Item Ledger Entry Type",$C$4,"41 Source Type",$C$5,"5 Source No.",$C441,"Item No.",$C$7,"3 Posting Date",$C$10)</t>
  </si>
  <si>
    <t>=C449</t>
  </si>
  <si>
    <t>=NL("Sum","5802 Value Entry","150 Sales Amount (Expected)","41 Source Type",$C$5,"5 Source No.",$C450,"4 Item Ledger Entry Type",$C$4,"2 Item No.","@@"&amp;$F450,"3 Posting Date",J$9)+NL("Sum","5802 Value Entry","17 Sales Amount (Actual)","41 Source Type",$C$5,"5 Source no.",$C450,"4 Item Ledger Entry Type",$C$4,"2 Item No.","@@"&amp;$F450,"3 Posting Date",J$9)</t>
  </si>
  <si>
    <t>=-NL("Sum","5802 Value Entry","151 Cost Amount (Expected)","41 Source Type",$C$5,"5 Source No.",$C450,"4 Item Ledger Entry Type",$C$4,"2 Item No.","@@"&amp;$F450,"3 Posting Date",J$9)-NL("Sum","5802 Value Entry","43 Cost Amount (Actual)","41 Source Type",$C$5,"5 Source no.",$C450,"4 Item Ledger Entry Type",$C$4,"2 Item No.","@@"&amp;$F450,"3 Posting Date",J$9)</t>
  </si>
  <si>
    <t>=J450-L450</t>
  </si>
  <si>
    <t>=IF(J450&lt;&gt;0,M450/J450,"")</t>
  </si>
  <si>
    <t>=NL("Sum","5802 Value Entry","150 Sales Amount (Expected)","41 Source Type",$C$5,"5 Source No.",$C450,"4 Item Ledger Entry Type",$C$4,"2 Item No.","@@"&amp;$F450,"3 Posting Date",O$9)+NL("Sum","5802 Value Entry","17 Sales Amount (Actual)","41 Source Type",$C$5,"5 Source no.",$C450,"4 Item Ledger Entry Type",$C$4,"2 Item No.","@@"&amp;$F450,"3 Posting Date",O$9)</t>
  </si>
  <si>
    <t>=-NL("Sum","5802 Value Entry","151 Cost Amount (Expected)","41 Source Type",$C$5,"5 Source No.",$C450,"4 Item Ledger Entry Type",$C$4,"2 Item No.","@@"&amp;$F450,"3 Posting Date",O$9)-NL("Sum","5802 Value Entry","43 Cost Amount (Actual)","41 Source Type",$C$5,"5 Source no.",$C450,"4 Item Ledger Entry Type",$C$4,"2 Item No.","@@"&amp;$F450,"3 Posting Date",O$9)</t>
  </si>
  <si>
    <t>=O450-Q450</t>
  </si>
  <si>
    <t>=IF(O450&lt;&gt;0,R450/O450,"")</t>
  </si>
  <si>
    <t>=NL("Sum","5802 Value Entry","150 Sales Amount (Expected)","41 Source Type",$C$5,"5 Source No.",$C450,"4 Item Ledger Entry Type",$C$4,"2 Item No.","@@"&amp;$F450,"3 Posting Date",U$9)+NL("Sum","5802 Value Entry","17 Sales Amount (Actual)","41 Source Type",$C$5,"5 Source no.",$C450,"4 Item Ledger Entry Type",$C$4,"2 Item No.","@@"&amp;$F450,"3 Posting Date",U$9)</t>
  </si>
  <si>
    <t>=-NL("Sum","5802 Value Entry","151 Cost Amount (Expected)","41 Source Type",$C$5,"5 Source No.",$C450,"4 Item Ledger Entry Type",$C$4,"2 Item No.","@@"&amp;$F450,"3 Posting Date",U$9)-NL("Sum","5802 Value Entry","43 Cost Amount (Actual)","41 Source Type",$C$5,"5 Source no.",$C450,"4 Item Ledger Entry Type",$C$4,"2 Item No.","@@"&amp;$F450,"3 Posting Date",U$9)</t>
  </si>
  <si>
    <t>=U450-W450</t>
  </si>
  <si>
    <t>=IF(U450&lt;&gt;0,X450/U450,"")</t>
  </si>
  <si>
    <t>=NL("Sum","5802 Value Entry","150 Sales Amount (Expected)","41 Source Type",$C$5,"5 Source No.",$C450,"4 Item Ledger Entry Type",$C$4,"2 Item No.","@@"&amp;$F450,"3 Posting Date",Z$9)+NL("Sum","5802 Value Entry","17 Sales Amount (Actual)","41 Source Type",$C$5,"5 Source no.",$C450,"4 Item Ledger Entry Type",$C$4,"2 Item No.","@@"&amp;$F450,"3 Posting Date",Z$9)</t>
  </si>
  <si>
    <t>=-NL("Sum","5802 Value Entry","151 Cost Amount (Expected)","41 Source Type",$C$5,"5 Source No.",$C450,"4 Item Ledger Entry Type",$C$4,"2 Item No.","@@"&amp;$F450,"3 Posting Date",Z$9)-NL("Sum","5802 Value Entry","43 Cost Amount (Actual)","41 Source Type",$C$5,"5 Source no.",$C450,"4 Item Ledger Entry Type",$C$4,"2 Item No.","@@"&amp;$F450,"3 Posting Date",Z$9)</t>
  </si>
  <si>
    <t>=Z450-AB450</t>
  </si>
  <si>
    <t>=IF(Z450&lt;&gt;0,AC450/Z450,"")</t>
  </si>
  <si>
    <t>=NL("Sum","5802 Value Entry","150 Sales Amount (Expected)","41 Source Type",$C$5,"5 Source No.",$C451,"4 Item Ledger Entry Type",$C$4,"2 Item No.","@@"&amp;$F451,"3 Posting Date",J$9)+NL("Sum","5802 Value Entry","17 Sales Amount (Actual)","41 Source Type",$C$5,"5 Source no.",$C451,"4 Item Ledger Entry Type",$C$4,"2 Item No.","@@"&amp;$F451,"3 Posting Date",J$9)</t>
  </si>
  <si>
    <t>=-NL("Sum","5802 Value Entry","151 Cost Amount (Expected)","41 Source Type",$C$5,"5 Source No.",$C451,"4 Item Ledger Entry Type",$C$4,"2 Item No.","@@"&amp;$F451,"3 Posting Date",J$9)-NL("Sum","5802 Value Entry","43 Cost Amount (Actual)","41 Source Type",$C$5,"5 Source no.",$C451,"4 Item Ledger Entry Type",$C$4,"2 Item No.","@@"&amp;$F451,"3 Posting Date",J$9)</t>
  </si>
  <si>
    <t>=NL("Sum","5802 Value Entry","150 Sales Amount (Expected)","41 Source Type",$C$5,"5 Source No.",$C451,"4 Item Ledger Entry Type",$C$4,"2 Item No.","@@"&amp;$F451,"3 Posting Date",O$9)+NL("Sum","5802 Value Entry","17 Sales Amount (Actual)","41 Source Type",$C$5,"5 Source no.",$C451,"4 Item Ledger Entry Type",$C$4,"2 Item No.","@@"&amp;$F451,"3 Posting Date",O$9)</t>
  </si>
  <si>
    <t>=-NL("Sum","5802 Value Entry","151 Cost Amount (Expected)","41 Source Type",$C$5,"5 Source No.",$C451,"4 Item Ledger Entry Type",$C$4,"2 Item No.","@@"&amp;$F451,"3 Posting Date",O$9)-NL("Sum","5802 Value Entry","43 Cost Amount (Actual)","41 Source Type",$C$5,"5 Source no.",$C451,"4 Item Ledger Entry Type",$C$4,"2 Item No.","@@"&amp;$F451,"3 Posting Date",O$9)</t>
  </si>
  <si>
    <t>=NL("Sum","5802 Value Entry","150 Sales Amount (Expected)","41 Source Type",$C$5,"5 Source No.",$C451,"4 Item Ledger Entry Type",$C$4,"2 Item No.","@@"&amp;$F451,"3 Posting Date",U$9)+NL("Sum","5802 Value Entry","17 Sales Amount (Actual)","41 Source Type",$C$5,"5 Source no.",$C451,"4 Item Ledger Entry Type",$C$4,"2 Item No.","@@"&amp;$F451,"3 Posting Date",U$9)</t>
  </si>
  <si>
    <t>=-NL("Sum","5802 Value Entry","151 Cost Amount (Expected)","41 Source Type",$C$5,"5 Source No.",$C451,"4 Item Ledger Entry Type",$C$4,"2 Item No.","@@"&amp;$F451,"3 Posting Date",U$9)-NL("Sum","5802 Value Entry","43 Cost Amount (Actual)","41 Source Type",$C$5,"5 Source no.",$C451,"4 Item Ledger Entry Type",$C$4,"2 Item No.","@@"&amp;$F451,"3 Posting Date",U$9)</t>
  </si>
  <si>
    <t>=NL("Sum","5802 Value Entry","150 Sales Amount (Expected)","41 Source Type",$C$5,"5 Source No.",$C451,"4 Item Ledger Entry Type",$C$4,"2 Item No.","@@"&amp;$F451,"3 Posting Date",Z$9)+NL("Sum","5802 Value Entry","17 Sales Amount (Actual)","41 Source Type",$C$5,"5 Source no.",$C451,"4 Item Ledger Entry Type",$C$4,"2 Item No.","@@"&amp;$F451,"3 Posting Date",Z$9)</t>
  </si>
  <si>
    <t>=-NL("Sum","5802 Value Entry","151 Cost Amount (Expected)","41 Source Type",$C$5,"5 Source No.",$C451,"4 Item Ledger Entry Type",$C$4,"2 Item No.","@@"&amp;$F451,"3 Posting Date",Z$9)-NL("Sum","5802 Value Entry","43 Cost Amount (Actual)","41 Source Type",$C$5,"5 Source no.",$C451,"4 Item Ledger Entry Type",$C$4,"2 Item No.","@@"&amp;$F451,"3 Posting Date",Z$9)</t>
  </si>
  <si>
    <t>=C451</t>
  </si>
  <si>
    <t>=NL("Sum","5802 Value Entry","150 Sales Amount (Expected)","41 Source Type",$C$5,"5 Source No.",$C452,"4 Item Ledger Entry Type",$C$4,"2 Item No.","@@"&amp;$F452,"3 Posting Date",J$9)+NL("Sum","5802 Value Entry","17 Sales Amount (Actual)","41 Source Type",$C$5,"5 Source no.",$C452,"4 Item Ledger Entry Type",$C$4,"2 Item No.","@@"&amp;$F452,"3 Posting Date",J$9)</t>
  </si>
  <si>
    <t>=-NL("Sum","5802 Value Entry","151 Cost Amount (Expected)","41 Source Type",$C$5,"5 Source No.",$C452,"4 Item Ledger Entry Type",$C$4,"2 Item No.","@@"&amp;$F452,"3 Posting Date",J$9)-NL("Sum","5802 Value Entry","43 Cost Amount (Actual)","41 Source Type",$C$5,"5 Source no.",$C452,"4 Item Ledger Entry Type",$C$4,"2 Item No.","@@"&amp;$F452,"3 Posting Date",J$9)</t>
  </si>
  <si>
    <t>=J452-L452</t>
  </si>
  <si>
    <t>=IF(J452&lt;&gt;0,M452/J452,"")</t>
  </si>
  <si>
    <t>=NL("Sum","5802 Value Entry","150 Sales Amount (Expected)","41 Source Type",$C$5,"5 Source No.",$C452,"4 Item Ledger Entry Type",$C$4,"2 Item No.","@@"&amp;$F452,"3 Posting Date",O$9)+NL("Sum","5802 Value Entry","17 Sales Amount (Actual)","41 Source Type",$C$5,"5 Source no.",$C452,"4 Item Ledger Entry Type",$C$4,"2 Item No.","@@"&amp;$F452,"3 Posting Date",O$9)</t>
  </si>
  <si>
    <t>=-NL("Sum","5802 Value Entry","151 Cost Amount (Expected)","41 Source Type",$C$5,"5 Source No.",$C452,"4 Item Ledger Entry Type",$C$4,"2 Item No.","@@"&amp;$F452,"3 Posting Date",O$9)-NL("Sum","5802 Value Entry","43 Cost Amount (Actual)","41 Source Type",$C$5,"5 Source no.",$C452,"4 Item Ledger Entry Type",$C$4,"2 Item No.","@@"&amp;$F452,"3 Posting Date",O$9)</t>
  </si>
  <si>
    <t>=O452-Q452</t>
  </si>
  <si>
    <t>=IF(O452&lt;&gt;0,R452/O452,"")</t>
  </si>
  <si>
    <t>=NL("Sum","5802 Value Entry","150 Sales Amount (Expected)","41 Source Type",$C$5,"5 Source No.",$C452,"4 Item Ledger Entry Type",$C$4,"2 Item No.","@@"&amp;$F452,"3 Posting Date",U$9)+NL("Sum","5802 Value Entry","17 Sales Amount (Actual)","41 Source Type",$C$5,"5 Source no.",$C452,"4 Item Ledger Entry Type",$C$4,"2 Item No.","@@"&amp;$F452,"3 Posting Date",U$9)</t>
  </si>
  <si>
    <t>=-NL("Sum","5802 Value Entry","151 Cost Amount (Expected)","41 Source Type",$C$5,"5 Source No.",$C452,"4 Item Ledger Entry Type",$C$4,"2 Item No.","@@"&amp;$F452,"3 Posting Date",U$9)-NL("Sum","5802 Value Entry","43 Cost Amount (Actual)","41 Source Type",$C$5,"5 Source no.",$C452,"4 Item Ledger Entry Type",$C$4,"2 Item No.","@@"&amp;$F452,"3 Posting Date",U$9)</t>
  </si>
  <si>
    <t>=U452-W452</t>
  </si>
  <si>
    <t>=IF(U452&lt;&gt;0,X452/U452,"")</t>
  </si>
  <si>
    <t>=NL("Sum","5802 Value Entry","150 Sales Amount (Expected)","41 Source Type",$C$5,"5 Source No.",$C452,"4 Item Ledger Entry Type",$C$4,"2 Item No.","@@"&amp;$F452,"3 Posting Date",Z$9)+NL("Sum","5802 Value Entry","17 Sales Amount (Actual)","41 Source Type",$C$5,"5 Source no.",$C452,"4 Item Ledger Entry Type",$C$4,"2 Item No.","@@"&amp;$F452,"3 Posting Date",Z$9)</t>
  </si>
  <si>
    <t>=-NL("Sum","5802 Value Entry","151 Cost Amount (Expected)","41 Source Type",$C$5,"5 Source No.",$C452,"4 Item Ledger Entry Type",$C$4,"2 Item No.","@@"&amp;$F452,"3 Posting Date",Z$9)-NL("Sum","5802 Value Entry","43 Cost Amount (Actual)","41 Source Type",$C$5,"5 Source no.",$C452,"4 Item Ledger Entry Type",$C$4,"2 Item No.","@@"&amp;$F452,"3 Posting Date",Z$9)</t>
  </si>
  <si>
    <t>=Z452-AB452</t>
  </si>
  <si>
    <t>=IF(Z452&lt;&gt;0,AC452/Z452,"")</t>
  </si>
  <si>
    <t>=C452</t>
  </si>
  <si>
    <t>=NL("Sum","5802 Value Entry","150 Sales Amount (Expected)","41 Source Type",$C$5,"5 Source No.",$C453,"4 Item Ledger Entry Type",$C$4,"2 Item No.","@@"&amp;$F453,"3 Posting Date",J$9)+NL("Sum","5802 Value Entry","17 Sales Amount (Actual)","41 Source Type",$C$5,"5 Source no.",$C453,"4 Item Ledger Entry Type",$C$4,"2 Item No.","@@"&amp;$F453,"3 Posting Date",J$9)</t>
  </si>
  <si>
    <t>=-NL("Sum","5802 Value Entry","151 Cost Amount (Expected)","41 Source Type",$C$5,"5 Source No.",$C453,"4 Item Ledger Entry Type",$C$4,"2 Item No.","@@"&amp;$F453,"3 Posting Date",J$9)-NL("Sum","5802 Value Entry","43 Cost Amount (Actual)","41 Source Type",$C$5,"5 Source no.",$C453,"4 Item Ledger Entry Type",$C$4,"2 Item No.","@@"&amp;$F453,"3 Posting Date",J$9)</t>
  </si>
  <si>
    <t>=J453-L453</t>
  </si>
  <si>
    <t>=IF(J453&lt;&gt;0,M453/J453,"")</t>
  </si>
  <si>
    <t>=NL("Sum","5802 Value Entry","150 Sales Amount (Expected)","41 Source Type",$C$5,"5 Source No.",$C453,"4 Item Ledger Entry Type",$C$4,"2 Item No.","@@"&amp;$F453,"3 Posting Date",O$9)+NL("Sum","5802 Value Entry","17 Sales Amount (Actual)","41 Source Type",$C$5,"5 Source no.",$C453,"4 Item Ledger Entry Type",$C$4,"2 Item No.","@@"&amp;$F453,"3 Posting Date",O$9)</t>
  </si>
  <si>
    <t>=-NL("Sum","5802 Value Entry","151 Cost Amount (Expected)","41 Source Type",$C$5,"5 Source No.",$C453,"4 Item Ledger Entry Type",$C$4,"2 Item No.","@@"&amp;$F453,"3 Posting Date",O$9)-NL("Sum","5802 Value Entry","43 Cost Amount (Actual)","41 Source Type",$C$5,"5 Source no.",$C453,"4 Item Ledger Entry Type",$C$4,"2 Item No.","@@"&amp;$F453,"3 Posting Date",O$9)</t>
  </si>
  <si>
    <t>=O453-Q453</t>
  </si>
  <si>
    <t>=IF(O453&lt;&gt;0,R453/O453,"")</t>
  </si>
  <si>
    <t>=NL("Sum","5802 Value Entry","150 Sales Amount (Expected)","41 Source Type",$C$5,"5 Source No.",$C453,"4 Item Ledger Entry Type",$C$4,"2 Item No.","@@"&amp;$F453,"3 Posting Date",U$9)+NL("Sum","5802 Value Entry","17 Sales Amount (Actual)","41 Source Type",$C$5,"5 Source no.",$C453,"4 Item Ledger Entry Type",$C$4,"2 Item No.","@@"&amp;$F453,"3 Posting Date",U$9)</t>
  </si>
  <si>
    <t>=-NL("Sum","5802 Value Entry","151 Cost Amount (Expected)","41 Source Type",$C$5,"5 Source No.",$C453,"4 Item Ledger Entry Type",$C$4,"2 Item No.","@@"&amp;$F453,"3 Posting Date",U$9)-NL("Sum","5802 Value Entry","43 Cost Amount (Actual)","41 Source Type",$C$5,"5 Source no.",$C453,"4 Item Ledger Entry Type",$C$4,"2 Item No.","@@"&amp;$F453,"3 Posting Date",U$9)</t>
  </si>
  <si>
    <t>=U453-W453</t>
  </si>
  <si>
    <t>=IF(U453&lt;&gt;0,X453/U453,"")</t>
  </si>
  <si>
    <t>=NL("Sum","5802 Value Entry","150 Sales Amount (Expected)","41 Source Type",$C$5,"5 Source No.",$C453,"4 Item Ledger Entry Type",$C$4,"2 Item No.","@@"&amp;$F453,"3 Posting Date",Z$9)+NL("Sum","5802 Value Entry","17 Sales Amount (Actual)","41 Source Type",$C$5,"5 Source no.",$C453,"4 Item Ledger Entry Type",$C$4,"2 Item No.","@@"&amp;$F453,"3 Posting Date",Z$9)</t>
  </si>
  <si>
    <t>=-NL("Sum","5802 Value Entry","151 Cost Amount (Expected)","41 Source Type",$C$5,"5 Source No.",$C453,"4 Item Ledger Entry Type",$C$4,"2 Item No.","@@"&amp;$F453,"3 Posting Date",Z$9)-NL("Sum","5802 Value Entry","43 Cost Amount (Actual)","41 Source Type",$C$5,"5 Source no.",$C453,"4 Item Ledger Entry Type",$C$4,"2 Item No.","@@"&amp;$F453,"3 Posting Date",Z$9)</t>
  </si>
  <si>
    <t>=Z453-AB453</t>
  </si>
  <si>
    <t>=IF(Z453&lt;&gt;0,AC453/Z453,"")</t>
  </si>
  <si>
    <t>=NL("Sum","5802 Value Entry","150 Sales Amount (Expected)","41 Source Type",$C$5,"5 Source No.",$C454,"4 Item Ledger Entry Type",$C$4,"2 Item No.","@@"&amp;$F454,"3 Posting Date",J$9)+NL("Sum","5802 Value Entry","17 Sales Amount (Actual)","41 Source Type",$C$5,"5 Source no.",$C454,"4 Item Ledger Entry Type",$C$4,"2 Item No.","@@"&amp;$F454,"3 Posting Date",J$9)</t>
  </si>
  <si>
    <t>=-NL("Sum","5802 Value Entry","151 Cost Amount (Expected)","41 Source Type",$C$5,"5 Source No.",$C454,"4 Item Ledger Entry Type",$C$4,"2 Item No.","@@"&amp;$F454,"3 Posting Date",J$9)-NL("Sum","5802 Value Entry","43 Cost Amount (Actual)","41 Source Type",$C$5,"5 Source no.",$C454,"4 Item Ledger Entry Type",$C$4,"2 Item No.","@@"&amp;$F454,"3 Posting Date",J$9)</t>
  </si>
  <si>
    <t>=J454-L454</t>
  </si>
  <si>
    <t>=IF(J454&lt;&gt;0,M454/J454,"")</t>
  </si>
  <si>
    <t>=NL("Sum","5802 Value Entry","150 Sales Amount (Expected)","41 Source Type",$C$5,"5 Source No.",$C454,"4 Item Ledger Entry Type",$C$4,"2 Item No.","@@"&amp;$F454,"3 Posting Date",O$9)+NL("Sum","5802 Value Entry","17 Sales Amount (Actual)","41 Source Type",$C$5,"5 Source no.",$C454,"4 Item Ledger Entry Type",$C$4,"2 Item No.","@@"&amp;$F454,"3 Posting Date",O$9)</t>
  </si>
  <si>
    <t>=-NL("Sum","5802 Value Entry","151 Cost Amount (Expected)","41 Source Type",$C$5,"5 Source No.",$C454,"4 Item Ledger Entry Type",$C$4,"2 Item No.","@@"&amp;$F454,"3 Posting Date",O$9)-NL("Sum","5802 Value Entry","43 Cost Amount (Actual)","41 Source Type",$C$5,"5 Source no.",$C454,"4 Item Ledger Entry Type",$C$4,"2 Item No.","@@"&amp;$F454,"3 Posting Date",O$9)</t>
  </si>
  <si>
    <t>=O454-Q454</t>
  </si>
  <si>
    <t>=IF(O454&lt;&gt;0,R454/O454,"")</t>
  </si>
  <si>
    <t>=NL("Sum","5802 Value Entry","150 Sales Amount (Expected)","41 Source Type",$C$5,"5 Source No.",$C454,"4 Item Ledger Entry Type",$C$4,"2 Item No.","@@"&amp;$F454,"3 Posting Date",U$9)+NL("Sum","5802 Value Entry","17 Sales Amount (Actual)","41 Source Type",$C$5,"5 Source no.",$C454,"4 Item Ledger Entry Type",$C$4,"2 Item No.","@@"&amp;$F454,"3 Posting Date",U$9)</t>
  </si>
  <si>
    <t>=-NL("Sum","5802 Value Entry","151 Cost Amount (Expected)","41 Source Type",$C$5,"5 Source No.",$C454,"4 Item Ledger Entry Type",$C$4,"2 Item No.","@@"&amp;$F454,"3 Posting Date",U$9)-NL("Sum","5802 Value Entry","43 Cost Amount (Actual)","41 Source Type",$C$5,"5 Source no.",$C454,"4 Item Ledger Entry Type",$C$4,"2 Item No.","@@"&amp;$F454,"3 Posting Date",U$9)</t>
  </si>
  <si>
    <t>=U454-W454</t>
  </si>
  <si>
    <t>=IF(U454&lt;&gt;0,X454/U454,"")</t>
  </si>
  <si>
    <t>=NL("Sum","5802 Value Entry","150 Sales Amount (Expected)","41 Source Type",$C$5,"5 Source No.",$C454,"4 Item Ledger Entry Type",$C$4,"2 Item No.","@@"&amp;$F454,"3 Posting Date",Z$9)+NL("Sum","5802 Value Entry","17 Sales Amount (Actual)","41 Source Type",$C$5,"5 Source no.",$C454,"4 Item Ledger Entry Type",$C$4,"2 Item No.","@@"&amp;$F454,"3 Posting Date",Z$9)</t>
  </si>
  <si>
    <t>=-NL("Sum","5802 Value Entry","151 Cost Amount (Expected)","41 Source Type",$C$5,"5 Source No.",$C454,"4 Item Ledger Entry Type",$C$4,"2 Item No.","@@"&amp;$F454,"3 Posting Date",Z$9)-NL("Sum","5802 Value Entry","43 Cost Amount (Actual)","41 Source Type",$C$5,"5 Source no.",$C454,"4 Item Ledger Entry Type",$C$4,"2 Item No.","@@"&amp;$F454,"3 Posting Date",Z$9)</t>
  </si>
  <si>
    <t>=Z454-AB454</t>
  </si>
  <si>
    <t>=IF(Z454&lt;&gt;0,AC454/Z454,"")</t>
  </si>
  <si>
    <t>=C459&amp;" TOTAL:"</t>
  </si>
  <si>
    <t>=SUBTOTAL(9,J440:J458)</t>
  </si>
  <si>
    <t>=SUBTOTAL(9,K440:K458)</t>
  </si>
  <si>
    <t>=SUBTOTAL(9,L440:L458)</t>
  </si>
  <si>
    <t>=SUBTOTAL(9,O440:O458)</t>
  </si>
  <si>
    <t>=SUBTOTAL(9,P440:P458)</t>
  </si>
  <si>
    <t>=SUBTOTAL(9,Q440:Q458)</t>
  </si>
  <si>
    <t>=SUBTOTAL(9,U440:U458)</t>
  </si>
  <si>
    <t>=SUBTOTAL(9,V440:V458)</t>
  </si>
  <si>
    <t>=SUBTOTAL(9,W440:W458)</t>
  </si>
  <si>
    <t>=SUBTOTAL(9,Z440:Z458)</t>
  </si>
  <si>
    <t>=SUBTOTAL(9,AA440:AA458)</t>
  </si>
  <si>
    <t>=SUBTOTAL(9,AB440:AB458)</t>
  </si>
  <si>
    <t>=E461</t>
  </si>
  <si>
    <t>=NL(,"18 Customer","2 Name","1 No.",$E461)</t>
  </si>
  <si>
    <t>=NL("Rows","5802 Value Entry","2 Item No.","4 Item Ledger Entry Type",$C$4,"41 Source Type",$C$5,"5 Source No.",$C463,"Item No.",$C$7,"3 Posting Date",$C$10)</t>
  </si>
  <si>
    <t>=C476</t>
  </si>
  <si>
    <t>=NL("Sum","5802 Value Entry","150 Sales Amount (Expected)","41 Source Type",$C$5,"5 Source No.",$C477,"4 Item Ledger Entry Type",$C$4,"2 Item No.","@@"&amp;$F477,"3 Posting Date",J$9)+NL("Sum","5802 Value Entry","17 Sales Amount (Actual)","41 Source Type",$C$5,"5 Source no.",$C477,"4 Item Ledger Entry Type",$C$4,"2 Item No.","@@"&amp;$F477,"3 Posting Date",J$9)</t>
  </si>
  <si>
    <t>=-NL("Sum","5802 Value Entry","151 Cost Amount (Expected)","41 Source Type",$C$5,"5 Source No.",$C477,"4 Item Ledger Entry Type",$C$4,"2 Item No.","@@"&amp;$F477,"3 Posting Date",J$9)-NL("Sum","5802 Value Entry","43 Cost Amount (Actual)","41 Source Type",$C$5,"5 Source no.",$C477,"4 Item Ledger Entry Type",$C$4,"2 Item No.","@@"&amp;$F477,"3 Posting Date",J$9)</t>
  </si>
  <si>
    <t>=J477-L477</t>
  </si>
  <si>
    <t>=IF(J477&lt;&gt;0,M477/J477,"")</t>
  </si>
  <si>
    <t>=NL("Sum","5802 Value Entry","150 Sales Amount (Expected)","41 Source Type",$C$5,"5 Source No.",$C477,"4 Item Ledger Entry Type",$C$4,"2 Item No.","@@"&amp;$F477,"3 Posting Date",O$9)+NL("Sum","5802 Value Entry","17 Sales Amount (Actual)","41 Source Type",$C$5,"5 Source no.",$C477,"4 Item Ledger Entry Type",$C$4,"2 Item No.","@@"&amp;$F477,"3 Posting Date",O$9)</t>
  </si>
  <si>
    <t>=-NL("Sum","5802 Value Entry","151 Cost Amount (Expected)","41 Source Type",$C$5,"5 Source No.",$C477,"4 Item Ledger Entry Type",$C$4,"2 Item No.","@@"&amp;$F477,"3 Posting Date",O$9)-NL("Sum","5802 Value Entry","43 Cost Amount (Actual)","41 Source Type",$C$5,"5 Source no.",$C477,"4 Item Ledger Entry Type",$C$4,"2 Item No.","@@"&amp;$F477,"3 Posting Date",O$9)</t>
  </si>
  <si>
    <t>=O477-Q477</t>
  </si>
  <si>
    <t>=IF(O477&lt;&gt;0,R477/O477,"")</t>
  </si>
  <si>
    <t>=NL("Sum","5802 Value Entry","150 Sales Amount (Expected)","41 Source Type",$C$5,"5 Source No.",$C477,"4 Item Ledger Entry Type",$C$4,"2 Item No.","@@"&amp;$F477,"3 Posting Date",U$9)+NL("Sum","5802 Value Entry","17 Sales Amount (Actual)","41 Source Type",$C$5,"5 Source no.",$C477,"4 Item Ledger Entry Type",$C$4,"2 Item No.","@@"&amp;$F477,"3 Posting Date",U$9)</t>
  </si>
  <si>
    <t>=-NL("Sum","5802 Value Entry","151 Cost Amount (Expected)","41 Source Type",$C$5,"5 Source No.",$C477,"4 Item Ledger Entry Type",$C$4,"2 Item No.","@@"&amp;$F477,"3 Posting Date",U$9)-NL("Sum","5802 Value Entry","43 Cost Amount (Actual)","41 Source Type",$C$5,"5 Source no.",$C477,"4 Item Ledger Entry Type",$C$4,"2 Item No.","@@"&amp;$F477,"3 Posting Date",U$9)</t>
  </si>
  <si>
    <t>=U477-W477</t>
  </si>
  <si>
    <t>=IF(U477&lt;&gt;0,X477/U477,"")</t>
  </si>
  <si>
    <t>=NL("Sum","5802 Value Entry","150 Sales Amount (Expected)","41 Source Type",$C$5,"5 Source No.",$C477,"4 Item Ledger Entry Type",$C$4,"2 Item No.","@@"&amp;$F477,"3 Posting Date",Z$9)+NL("Sum","5802 Value Entry","17 Sales Amount (Actual)","41 Source Type",$C$5,"5 Source no.",$C477,"4 Item Ledger Entry Type",$C$4,"2 Item No.","@@"&amp;$F477,"3 Posting Date",Z$9)</t>
  </si>
  <si>
    <t>=-NL("Sum","5802 Value Entry","151 Cost Amount (Expected)","41 Source Type",$C$5,"5 Source No.",$C477,"4 Item Ledger Entry Type",$C$4,"2 Item No.","@@"&amp;$F477,"3 Posting Date",Z$9)-NL("Sum","5802 Value Entry","43 Cost Amount (Actual)","41 Source Type",$C$5,"5 Source no.",$C477,"4 Item Ledger Entry Type",$C$4,"2 Item No.","@@"&amp;$F477,"3 Posting Date",Z$9)</t>
  </si>
  <si>
    <t>=Z477-AB477</t>
  </si>
  <si>
    <t>=IF(Z477&lt;&gt;0,AC477/Z477,"")</t>
  </si>
  <si>
    <t>=NL("Sum","5802 Value Entry","150 Sales Amount (Expected)","41 Source Type",$C$5,"5 Source No.",$C478,"4 Item Ledger Entry Type",$C$4,"2 Item No.","@@"&amp;$F478,"3 Posting Date",J$9)+NL("Sum","5802 Value Entry","17 Sales Amount (Actual)","41 Source Type",$C$5,"5 Source no.",$C478,"4 Item Ledger Entry Type",$C$4,"2 Item No.","@@"&amp;$F478,"3 Posting Date",J$9)</t>
  </si>
  <si>
    <t>=-NL("Sum","5802 Value Entry","151 Cost Amount (Expected)","41 Source Type",$C$5,"5 Source No.",$C478,"4 Item Ledger Entry Type",$C$4,"2 Item No.","@@"&amp;$F478,"3 Posting Date",J$9)-NL("Sum","5802 Value Entry","43 Cost Amount (Actual)","41 Source Type",$C$5,"5 Source no.",$C478,"4 Item Ledger Entry Type",$C$4,"2 Item No.","@@"&amp;$F478,"3 Posting Date",J$9)</t>
  </si>
  <si>
    <t>=NL("Sum","5802 Value Entry","150 Sales Amount (Expected)","41 Source Type",$C$5,"5 Source No.",$C478,"4 Item Ledger Entry Type",$C$4,"2 Item No.","@@"&amp;$F478,"3 Posting Date",O$9)+NL("Sum","5802 Value Entry","17 Sales Amount (Actual)","41 Source Type",$C$5,"5 Source no.",$C478,"4 Item Ledger Entry Type",$C$4,"2 Item No.","@@"&amp;$F478,"3 Posting Date",O$9)</t>
  </si>
  <si>
    <t>=-NL("Sum","5802 Value Entry","151 Cost Amount (Expected)","41 Source Type",$C$5,"5 Source No.",$C478,"4 Item Ledger Entry Type",$C$4,"2 Item No.","@@"&amp;$F478,"3 Posting Date",O$9)-NL("Sum","5802 Value Entry","43 Cost Amount (Actual)","41 Source Type",$C$5,"5 Source no.",$C478,"4 Item Ledger Entry Type",$C$4,"2 Item No.","@@"&amp;$F478,"3 Posting Date",O$9)</t>
  </si>
  <si>
    <t>=NL("Sum","5802 Value Entry","150 Sales Amount (Expected)","41 Source Type",$C$5,"5 Source No.",$C478,"4 Item Ledger Entry Type",$C$4,"2 Item No.","@@"&amp;$F478,"3 Posting Date",U$9)+NL("Sum","5802 Value Entry","17 Sales Amount (Actual)","41 Source Type",$C$5,"5 Source no.",$C478,"4 Item Ledger Entry Type",$C$4,"2 Item No.","@@"&amp;$F478,"3 Posting Date",U$9)</t>
  </si>
  <si>
    <t>=-NL("Sum","5802 Value Entry","151 Cost Amount (Expected)","41 Source Type",$C$5,"5 Source No.",$C478,"4 Item Ledger Entry Type",$C$4,"2 Item No.","@@"&amp;$F478,"3 Posting Date",U$9)-NL("Sum","5802 Value Entry","43 Cost Amount (Actual)","41 Source Type",$C$5,"5 Source no.",$C478,"4 Item Ledger Entry Type",$C$4,"2 Item No.","@@"&amp;$F478,"3 Posting Date",U$9)</t>
  </si>
  <si>
    <t>=NL("Sum","5802 Value Entry","150 Sales Amount (Expected)","41 Source Type",$C$5,"5 Source No.",$C478,"4 Item Ledger Entry Type",$C$4,"2 Item No.","@@"&amp;$F478,"3 Posting Date",Z$9)+NL("Sum","5802 Value Entry","17 Sales Amount (Actual)","41 Source Type",$C$5,"5 Source no.",$C478,"4 Item Ledger Entry Type",$C$4,"2 Item No.","@@"&amp;$F478,"3 Posting Date",Z$9)</t>
  </si>
  <si>
    <t>=-NL("Sum","5802 Value Entry","151 Cost Amount (Expected)","41 Source Type",$C$5,"5 Source No.",$C478,"4 Item Ledger Entry Type",$C$4,"2 Item No.","@@"&amp;$F478,"3 Posting Date",Z$9)-NL("Sum","5802 Value Entry","43 Cost Amount (Actual)","41 Source Type",$C$5,"5 Source no.",$C478,"4 Item Ledger Entry Type",$C$4,"2 Item No.","@@"&amp;$F478,"3 Posting Date",Z$9)</t>
  </si>
  <si>
    <t>=C478</t>
  </si>
  <si>
    <t>=NL("Sum","5802 Value Entry","150 Sales Amount (Expected)","41 Source Type",$C$5,"5 Source No.",$C479,"4 Item Ledger Entry Type",$C$4,"2 Item No.","@@"&amp;$F479,"3 Posting Date",J$9)+NL("Sum","5802 Value Entry","17 Sales Amount (Actual)","41 Source Type",$C$5,"5 Source no.",$C479,"4 Item Ledger Entry Type",$C$4,"2 Item No.","@@"&amp;$F479,"3 Posting Date",J$9)</t>
  </si>
  <si>
    <t>=-NL("Sum","5802 Value Entry","151 Cost Amount (Expected)","41 Source Type",$C$5,"5 Source No.",$C479,"4 Item Ledger Entry Type",$C$4,"2 Item No.","@@"&amp;$F479,"3 Posting Date",J$9)-NL("Sum","5802 Value Entry","43 Cost Amount (Actual)","41 Source Type",$C$5,"5 Source no.",$C479,"4 Item Ledger Entry Type",$C$4,"2 Item No.","@@"&amp;$F479,"3 Posting Date",J$9)</t>
  </si>
  <si>
    <t>=J479-L479</t>
  </si>
  <si>
    <t>=IF(J479&lt;&gt;0,M479/J479,"")</t>
  </si>
  <si>
    <t>=NL("Sum","5802 Value Entry","150 Sales Amount (Expected)","41 Source Type",$C$5,"5 Source No.",$C479,"4 Item Ledger Entry Type",$C$4,"2 Item No.","@@"&amp;$F479,"3 Posting Date",O$9)+NL("Sum","5802 Value Entry","17 Sales Amount (Actual)","41 Source Type",$C$5,"5 Source no.",$C479,"4 Item Ledger Entry Type",$C$4,"2 Item No.","@@"&amp;$F479,"3 Posting Date",O$9)</t>
  </si>
  <si>
    <t>=-NL("Sum","5802 Value Entry","151 Cost Amount (Expected)","41 Source Type",$C$5,"5 Source No.",$C479,"4 Item Ledger Entry Type",$C$4,"2 Item No.","@@"&amp;$F479,"3 Posting Date",O$9)-NL("Sum","5802 Value Entry","43 Cost Amount (Actual)","41 Source Type",$C$5,"5 Source no.",$C479,"4 Item Ledger Entry Type",$C$4,"2 Item No.","@@"&amp;$F479,"3 Posting Date",O$9)</t>
  </si>
  <si>
    <t>=O479-Q479</t>
  </si>
  <si>
    <t>=IF(O479&lt;&gt;0,R479/O479,"")</t>
  </si>
  <si>
    <t>=NL("Sum","5802 Value Entry","150 Sales Amount (Expected)","41 Source Type",$C$5,"5 Source No.",$C479,"4 Item Ledger Entry Type",$C$4,"2 Item No.","@@"&amp;$F479,"3 Posting Date",U$9)+NL("Sum","5802 Value Entry","17 Sales Amount (Actual)","41 Source Type",$C$5,"5 Source no.",$C479,"4 Item Ledger Entry Type",$C$4,"2 Item No.","@@"&amp;$F479,"3 Posting Date",U$9)</t>
  </si>
  <si>
    <t>=-NL("Sum","5802 Value Entry","151 Cost Amount (Expected)","41 Source Type",$C$5,"5 Source No.",$C479,"4 Item Ledger Entry Type",$C$4,"2 Item No.","@@"&amp;$F479,"3 Posting Date",U$9)-NL("Sum","5802 Value Entry","43 Cost Amount (Actual)","41 Source Type",$C$5,"5 Source no.",$C479,"4 Item Ledger Entry Type",$C$4,"2 Item No.","@@"&amp;$F479,"3 Posting Date",U$9)</t>
  </si>
  <si>
    <t>=U479-W479</t>
  </si>
  <si>
    <t>=IF(U479&lt;&gt;0,X479/U479,"")</t>
  </si>
  <si>
    <t>=NL("Sum","5802 Value Entry","150 Sales Amount (Expected)","41 Source Type",$C$5,"5 Source No.",$C479,"4 Item Ledger Entry Type",$C$4,"2 Item No.","@@"&amp;$F479,"3 Posting Date",Z$9)+NL("Sum","5802 Value Entry","17 Sales Amount (Actual)","41 Source Type",$C$5,"5 Source no.",$C479,"4 Item Ledger Entry Type",$C$4,"2 Item No.","@@"&amp;$F479,"3 Posting Date",Z$9)</t>
  </si>
  <si>
    <t>=-NL("Sum","5802 Value Entry","151 Cost Amount (Expected)","41 Source Type",$C$5,"5 Source No.",$C479,"4 Item Ledger Entry Type",$C$4,"2 Item No.","@@"&amp;$F479,"3 Posting Date",Z$9)-NL("Sum","5802 Value Entry","43 Cost Amount (Actual)","41 Source Type",$C$5,"5 Source no.",$C479,"4 Item Ledger Entry Type",$C$4,"2 Item No.","@@"&amp;$F479,"3 Posting Date",Z$9)</t>
  </si>
  <si>
    <t>=Z479-AB479</t>
  </si>
  <si>
    <t>=IF(Z479&lt;&gt;0,AC479/Z479,"")</t>
  </si>
  <si>
    <t>=C479</t>
  </si>
  <si>
    <t>=NL("Sum","5802 Value Entry","150 Sales Amount (Expected)","41 Source Type",$C$5,"5 Source No.",$C480,"4 Item Ledger Entry Type",$C$4,"2 Item No.","@@"&amp;$F480,"3 Posting Date",J$9)+NL("Sum","5802 Value Entry","17 Sales Amount (Actual)","41 Source Type",$C$5,"5 Source no.",$C480,"4 Item Ledger Entry Type",$C$4,"2 Item No.","@@"&amp;$F480,"3 Posting Date",J$9)</t>
  </si>
  <si>
    <t>=-NL("Sum","5802 Value Entry","151 Cost Amount (Expected)","41 Source Type",$C$5,"5 Source No.",$C480,"4 Item Ledger Entry Type",$C$4,"2 Item No.","@@"&amp;$F480,"3 Posting Date",J$9)-NL("Sum","5802 Value Entry","43 Cost Amount (Actual)","41 Source Type",$C$5,"5 Source no.",$C480,"4 Item Ledger Entry Type",$C$4,"2 Item No.","@@"&amp;$F480,"3 Posting Date",J$9)</t>
  </si>
  <si>
    <t>=J480-L480</t>
  </si>
  <si>
    <t>=IF(J480&lt;&gt;0,M480/J480,"")</t>
  </si>
  <si>
    <t>=NL("Sum","5802 Value Entry","150 Sales Amount (Expected)","41 Source Type",$C$5,"5 Source No.",$C480,"4 Item Ledger Entry Type",$C$4,"2 Item No.","@@"&amp;$F480,"3 Posting Date",O$9)+NL("Sum","5802 Value Entry","17 Sales Amount (Actual)","41 Source Type",$C$5,"5 Source no.",$C480,"4 Item Ledger Entry Type",$C$4,"2 Item No.","@@"&amp;$F480,"3 Posting Date",O$9)</t>
  </si>
  <si>
    <t>=-NL("Sum","5802 Value Entry","151 Cost Amount (Expected)","41 Source Type",$C$5,"5 Source No.",$C480,"4 Item Ledger Entry Type",$C$4,"2 Item No.","@@"&amp;$F480,"3 Posting Date",O$9)-NL("Sum","5802 Value Entry","43 Cost Amount (Actual)","41 Source Type",$C$5,"5 Source no.",$C480,"4 Item Ledger Entry Type",$C$4,"2 Item No.","@@"&amp;$F480,"3 Posting Date",O$9)</t>
  </si>
  <si>
    <t>=O480-Q480</t>
  </si>
  <si>
    <t>=IF(O480&lt;&gt;0,R480/O480,"")</t>
  </si>
  <si>
    <t>=NL("Sum","5802 Value Entry","150 Sales Amount (Expected)","41 Source Type",$C$5,"5 Source No.",$C480,"4 Item Ledger Entry Type",$C$4,"2 Item No.","@@"&amp;$F480,"3 Posting Date",U$9)+NL("Sum","5802 Value Entry","17 Sales Amount (Actual)","41 Source Type",$C$5,"5 Source no.",$C480,"4 Item Ledger Entry Type",$C$4,"2 Item No.","@@"&amp;$F480,"3 Posting Date",U$9)</t>
  </si>
  <si>
    <t>=-NL("Sum","5802 Value Entry","151 Cost Amount (Expected)","41 Source Type",$C$5,"5 Source No.",$C480,"4 Item Ledger Entry Type",$C$4,"2 Item No.","@@"&amp;$F480,"3 Posting Date",U$9)-NL("Sum","5802 Value Entry","43 Cost Amount (Actual)","41 Source Type",$C$5,"5 Source no.",$C480,"4 Item Ledger Entry Type",$C$4,"2 Item No.","@@"&amp;$F480,"3 Posting Date",U$9)</t>
  </si>
  <si>
    <t>=U480-W480</t>
  </si>
  <si>
    <t>=IF(U480&lt;&gt;0,X480/U480,"")</t>
  </si>
  <si>
    <t>=NL("Sum","5802 Value Entry","150 Sales Amount (Expected)","41 Source Type",$C$5,"5 Source No.",$C480,"4 Item Ledger Entry Type",$C$4,"2 Item No.","@@"&amp;$F480,"3 Posting Date",Z$9)+NL("Sum","5802 Value Entry","17 Sales Amount (Actual)","41 Source Type",$C$5,"5 Source no.",$C480,"4 Item Ledger Entry Type",$C$4,"2 Item No.","@@"&amp;$F480,"3 Posting Date",Z$9)</t>
  </si>
  <si>
    <t>=-NL("Sum","5802 Value Entry","151 Cost Amount (Expected)","41 Source Type",$C$5,"5 Source No.",$C480,"4 Item Ledger Entry Type",$C$4,"2 Item No.","@@"&amp;$F480,"3 Posting Date",Z$9)-NL("Sum","5802 Value Entry","43 Cost Amount (Actual)","41 Source Type",$C$5,"5 Source no.",$C480,"4 Item Ledger Entry Type",$C$4,"2 Item No.","@@"&amp;$F480,"3 Posting Date",Z$9)</t>
  </si>
  <si>
    <t>=Z480-AB480</t>
  </si>
  <si>
    <t>=IF(Z480&lt;&gt;0,AC480/Z480,"")</t>
  </si>
  <si>
    <t>=NL("Sum","5802 Value Entry","150 Sales Amount (Expected)","41 Source Type",$C$5,"5 Source No.",$C481,"4 Item Ledger Entry Type",$C$4,"2 Item No.","@@"&amp;$F481,"3 Posting Date",J$9)+NL("Sum","5802 Value Entry","17 Sales Amount (Actual)","41 Source Type",$C$5,"5 Source no.",$C481,"4 Item Ledger Entry Type",$C$4,"2 Item No.","@@"&amp;$F481,"3 Posting Date",J$9)</t>
  </si>
  <si>
    <t>=-NL("Sum","5802 Value Entry","151 Cost Amount (Expected)","41 Source Type",$C$5,"5 Source No.",$C481,"4 Item Ledger Entry Type",$C$4,"2 Item No.","@@"&amp;$F481,"3 Posting Date",J$9)-NL("Sum","5802 Value Entry","43 Cost Amount (Actual)","41 Source Type",$C$5,"5 Source no.",$C481,"4 Item Ledger Entry Type",$C$4,"2 Item No.","@@"&amp;$F481,"3 Posting Date",J$9)</t>
  </si>
  <si>
    <t>=J481-L481</t>
  </si>
  <si>
    <t>=IF(J481&lt;&gt;0,M481/J481,"")</t>
  </si>
  <si>
    <t>=NL("Sum","5802 Value Entry","150 Sales Amount (Expected)","41 Source Type",$C$5,"5 Source No.",$C481,"4 Item Ledger Entry Type",$C$4,"2 Item No.","@@"&amp;$F481,"3 Posting Date",O$9)+NL("Sum","5802 Value Entry","17 Sales Amount (Actual)","41 Source Type",$C$5,"5 Source no.",$C481,"4 Item Ledger Entry Type",$C$4,"2 Item No.","@@"&amp;$F481,"3 Posting Date",O$9)</t>
  </si>
  <si>
    <t>=-NL("Sum","5802 Value Entry","151 Cost Amount (Expected)","41 Source Type",$C$5,"5 Source No.",$C481,"4 Item Ledger Entry Type",$C$4,"2 Item No.","@@"&amp;$F481,"3 Posting Date",O$9)-NL("Sum","5802 Value Entry","43 Cost Amount (Actual)","41 Source Type",$C$5,"5 Source no.",$C481,"4 Item Ledger Entry Type",$C$4,"2 Item No.","@@"&amp;$F481,"3 Posting Date",O$9)</t>
  </si>
  <si>
    <t>=O481-Q481</t>
  </si>
  <si>
    <t>=IF(O481&lt;&gt;0,R481/O481,"")</t>
  </si>
  <si>
    <t>=NL("Sum","5802 Value Entry","150 Sales Amount (Expected)","41 Source Type",$C$5,"5 Source No.",$C481,"4 Item Ledger Entry Type",$C$4,"2 Item No.","@@"&amp;$F481,"3 Posting Date",U$9)+NL("Sum","5802 Value Entry","17 Sales Amount (Actual)","41 Source Type",$C$5,"5 Source no.",$C481,"4 Item Ledger Entry Type",$C$4,"2 Item No.","@@"&amp;$F481,"3 Posting Date",U$9)</t>
  </si>
  <si>
    <t>=-NL("Sum","5802 Value Entry","151 Cost Amount (Expected)","41 Source Type",$C$5,"5 Source No.",$C481,"4 Item Ledger Entry Type",$C$4,"2 Item No.","@@"&amp;$F481,"3 Posting Date",U$9)-NL("Sum","5802 Value Entry","43 Cost Amount (Actual)","41 Source Type",$C$5,"5 Source no.",$C481,"4 Item Ledger Entry Type",$C$4,"2 Item No.","@@"&amp;$F481,"3 Posting Date",U$9)</t>
  </si>
  <si>
    <t>=U481-W481</t>
  </si>
  <si>
    <t>=IF(U481&lt;&gt;0,X481/U481,"")</t>
  </si>
  <si>
    <t>=NL("Sum","5802 Value Entry","150 Sales Amount (Expected)","41 Source Type",$C$5,"5 Source No.",$C481,"4 Item Ledger Entry Type",$C$4,"2 Item No.","@@"&amp;$F481,"3 Posting Date",Z$9)+NL("Sum","5802 Value Entry","17 Sales Amount (Actual)","41 Source Type",$C$5,"5 Source no.",$C481,"4 Item Ledger Entry Type",$C$4,"2 Item No.","@@"&amp;$F481,"3 Posting Date",Z$9)</t>
  </si>
  <si>
    <t>=-NL("Sum","5802 Value Entry","151 Cost Amount (Expected)","41 Source Type",$C$5,"5 Source No.",$C481,"4 Item Ledger Entry Type",$C$4,"2 Item No.","@@"&amp;$F481,"3 Posting Date",Z$9)-NL("Sum","5802 Value Entry","43 Cost Amount (Actual)","41 Source Type",$C$5,"5 Source no.",$C481,"4 Item Ledger Entry Type",$C$4,"2 Item No.","@@"&amp;$F481,"3 Posting Date",Z$9)</t>
  </si>
  <si>
    <t>=Z481-AB481</t>
  </si>
  <si>
    <t>=IF(Z481&lt;&gt;0,AC481/Z481,"")</t>
  </si>
  <si>
    <t>=C494&amp;" TOTAL:"</t>
  </si>
  <si>
    <t>=SUBTOTAL(9,J462:J493)</t>
  </si>
  <si>
    <t>=SUBTOTAL(9,K462:K493)</t>
  </si>
  <si>
    <t>=SUBTOTAL(9,L462:L493)</t>
  </si>
  <si>
    <t>=SUBTOTAL(9,O462:O493)</t>
  </si>
  <si>
    <t>=SUBTOTAL(9,P462:P493)</t>
  </si>
  <si>
    <t>=SUBTOTAL(9,Q462:Q493)</t>
  </si>
  <si>
    <t>=SUBTOTAL(9,U462:U493)</t>
  </si>
  <si>
    <t>=SUBTOTAL(9,V462:V493)</t>
  </si>
  <si>
    <t>=SUBTOTAL(9,W462:W493)</t>
  </si>
  <si>
    <t>=SUBTOTAL(9,Z462:Z493)</t>
  </si>
  <si>
    <t>=SUBTOTAL(9,AA462:AA493)</t>
  </si>
  <si>
    <t>=SUBTOTAL(9,AB462:AB493)</t>
  </si>
  <si>
    <t>=E496</t>
  </si>
  <si>
    <t>=NL(,"18 Customer","2 Name","1 No.",$E496)</t>
  </si>
  <si>
    <t>=NL("Rows","5802 Value Entry","2 Item No.","4 Item Ledger Entry Type",$C$4,"41 Source Type",$C$5,"5 Source No.",$C498,"Item No.",$C$7,"3 Posting Date",$C$10)</t>
  </si>
  <si>
    <t>=C511</t>
  </si>
  <si>
    <t>=NL("Sum","5802 Value Entry","150 Sales Amount (Expected)","41 Source Type",$C$5,"5 Source No.",$C512,"4 Item Ledger Entry Type",$C$4,"2 Item No.","@@"&amp;$F512,"3 Posting Date",J$9)+NL("Sum","5802 Value Entry","17 Sales Amount (Actual)","41 Source Type",$C$5,"5 Source no.",$C512,"4 Item Ledger Entry Type",$C$4,"2 Item No.","@@"&amp;$F512,"3 Posting Date",J$9)</t>
  </si>
  <si>
    <t>=-NL("Sum","5802 Value Entry","151 Cost Amount (Expected)","41 Source Type",$C$5,"5 Source No.",$C512,"4 Item Ledger Entry Type",$C$4,"2 Item No.","@@"&amp;$F512,"3 Posting Date",J$9)-NL("Sum","5802 Value Entry","43 Cost Amount (Actual)","41 Source Type",$C$5,"5 Source no.",$C512,"4 Item Ledger Entry Type",$C$4,"2 Item No.","@@"&amp;$F512,"3 Posting Date",J$9)</t>
  </si>
  <si>
    <t>=J512-L512</t>
  </si>
  <si>
    <t>=IF(J512&lt;&gt;0,M512/J512,"")</t>
  </si>
  <si>
    <t>=NL("Sum","5802 Value Entry","150 Sales Amount (Expected)","41 Source Type",$C$5,"5 Source No.",$C512,"4 Item Ledger Entry Type",$C$4,"2 Item No.","@@"&amp;$F512,"3 Posting Date",O$9)+NL("Sum","5802 Value Entry","17 Sales Amount (Actual)","41 Source Type",$C$5,"5 Source no.",$C512,"4 Item Ledger Entry Type",$C$4,"2 Item No.","@@"&amp;$F512,"3 Posting Date",O$9)</t>
  </si>
  <si>
    <t>=-NL("Sum","5802 Value Entry","151 Cost Amount (Expected)","41 Source Type",$C$5,"5 Source No.",$C512,"4 Item Ledger Entry Type",$C$4,"2 Item No.","@@"&amp;$F512,"3 Posting Date",O$9)-NL("Sum","5802 Value Entry","43 Cost Amount (Actual)","41 Source Type",$C$5,"5 Source no.",$C512,"4 Item Ledger Entry Type",$C$4,"2 Item No.","@@"&amp;$F512,"3 Posting Date",O$9)</t>
  </si>
  <si>
    <t>=O512-Q512</t>
  </si>
  <si>
    <t>=IF(O512&lt;&gt;0,R512/O512,"")</t>
  </si>
  <si>
    <t>=NL("Sum","5802 Value Entry","150 Sales Amount (Expected)","41 Source Type",$C$5,"5 Source No.",$C512,"4 Item Ledger Entry Type",$C$4,"2 Item No.","@@"&amp;$F512,"3 Posting Date",U$9)+NL("Sum","5802 Value Entry","17 Sales Amount (Actual)","41 Source Type",$C$5,"5 Source no.",$C512,"4 Item Ledger Entry Type",$C$4,"2 Item No.","@@"&amp;$F512,"3 Posting Date",U$9)</t>
  </si>
  <si>
    <t>=-NL("Sum","5802 Value Entry","151 Cost Amount (Expected)","41 Source Type",$C$5,"5 Source No.",$C512,"4 Item Ledger Entry Type",$C$4,"2 Item No.","@@"&amp;$F512,"3 Posting Date",U$9)-NL("Sum","5802 Value Entry","43 Cost Amount (Actual)","41 Source Type",$C$5,"5 Source no.",$C512,"4 Item Ledger Entry Type",$C$4,"2 Item No.","@@"&amp;$F512,"3 Posting Date",U$9)</t>
  </si>
  <si>
    <t>=U512-W512</t>
  </si>
  <si>
    <t>=IF(U512&lt;&gt;0,X512/U512,"")</t>
  </si>
  <si>
    <t>=NL("Sum","5802 Value Entry","150 Sales Amount (Expected)","41 Source Type",$C$5,"5 Source No.",$C512,"4 Item Ledger Entry Type",$C$4,"2 Item No.","@@"&amp;$F512,"3 Posting Date",Z$9)+NL("Sum","5802 Value Entry","17 Sales Amount (Actual)","41 Source Type",$C$5,"5 Source no.",$C512,"4 Item Ledger Entry Type",$C$4,"2 Item No.","@@"&amp;$F512,"3 Posting Date",Z$9)</t>
  </si>
  <si>
    <t>=-NL("Sum","5802 Value Entry","151 Cost Amount (Expected)","41 Source Type",$C$5,"5 Source No.",$C512,"4 Item Ledger Entry Type",$C$4,"2 Item No.","@@"&amp;$F512,"3 Posting Date",Z$9)-NL("Sum","5802 Value Entry","43 Cost Amount (Actual)","41 Source Type",$C$5,"5 Source no.",$C512,"4 Item Ledger Entry Type",$C$4,"2 Item No.","@@"&amp;$F512,"3 Posting Date",Z$9)</t>
  </si>
  <si>
    <t>=Z512-AB512</t>
  </si>
  <si>
    <t>=IF(Z512&lt;&gt;0,AC512/Z512,"")</t>
  </si>
  <si>
    <t>=NL("Sum","5802 Value Entry","150 Sales Amount (Expected)","41 Source Type",$C$5,"5 Source No.",$C513,"4 Item Ledger Entry Type",$C$4,"2 Item No.","@@"&amp;$F513,"3 Posting Date",J$9)+NL("Sum","5802 Value Entry","17 Sales Amount (Actual)","41 Source Type",$C$5,"5 Source no.",$C513,"4 Item Ledger Entry Type",$C$4,"2 Item No.","@@"&amp;$F513,"3 Posting Date",J$9)</t>
  </si>
  <si>
    <t>=-NL("Sum","5802 Value Entry","151 Cost Amount (Expected)","41 Source Type",$C$5,"5 Source No.",$C513,"4 Item Ledger Entry Type",$C$4,"2 Item No.","@@"&amp;$F513,"3 Posting Date",J$9)-NL("Sum","5802 Value Entry","43 Cost Amount (Actual)","41 Source Type",$C$5,"5 Source no.",$C513,"4 Item Ledger Entry Type",$C$4,"2 Item No.","@@"&amp;$F513,"3 Posting Date",J$9)</t>
  </si>
  <si>
    <t>=NL("Sum","5802 Value Entry","150 Sales Amount (Expected)","41 Source Type",$C$5,"5 Source No.",$C513,"4 Item Ledger Entry Type",$C$4,"2 Item No.","@@"&amp;$F513,"3 Posting Date",O$9)+NL("Sum","5802 Value Entry","17 Sales Amount (Actual)","41 Source Type",$C$5,"5 Source no.",$C513,"4 Item Ledger Entry Type",$C$4,"2 Item No.","@@"&amp;$F513,"3 Posting Date",O$9)</t>
  </si>
  <si>
    <t>=-NL("Sum","5802 Value Entry","151 Cost Amount (Expected)","41 Source Type",$C$5,"5 Source No.",$C513,"4 Item Ledger Entry Type",$C$4,"2 Item No.","@@"&amp;$F513,"3 Posting Date",O$9)-NL("Sum","5802 Value Entry","43 Cost Amount (Actual)","41 Source Type",$C$5,"5 Source no.",$C513,"4 Item Ledger Entry Type",$C$4,"2 Item No.","@@"&amp;$F513,"3 Posting Date",O$9)</t>
  </si>
  <si>
    <t>=NL("Sum","5802 Value Entry","150 Sales Amount (Expected)","41 Source Type",$C$5,"5 Source No.",$C513,"4 Item Ledger Entry Type",$C$4,"2 Item No.","@@"&amp;$F513,"3 Posting Date",U$9)+NL("Sum","5802 Value Entry","17 Sales Amount (Actual)","41 Source Type",$C$5,"5 Source no.",$C513,"4 Item Ledger Entry Type",$C$4,"2 Item No.","@@"&amp;$F513,"3 Posting Date",U$9)</t>
  </si>
  <si>
    <t>=-NL("Sum","5802 Value Entry","151 Cost Amount (Expected)","41 Source Type",$C$5,"5 Source No.",$C513,"4 Item Ledger Entry Type",$C$4,"2 Item No.","@@"&amp;$F513,"3 Posting Date",U$9)-NL("Sum","5802 Value Entry","43 Cost Amount (Actual)","41 Source Type",$C$5,"5 Source no.",$C513,"4 Item Ledger Entry Type",$C$4,"2 Item No.","@@"&amp;$F513,"3 Posting Date",U$9)</t>
  </si>
  <si>
    <t>=NL("Sum","5802 Value Entry","150 Sales Amount (Expected)","41 Source Type",$C$5,"5 Source No.",$C513,"4 Item Ledger Entry Type",$C$4,"2 Item No.","@@"&amp;$F513,"3 Posting Date",Z$9)+NL("Sum","5802 Value Entry","17 Sales Amount (Actual)","41 Source Type",$C$5,"5 Source no.",$C513,"4 Item Ledger Entry Type",$C$4,"2 Item No.","@@"&amp;$F513,"3 Posting Date",Z$9)</t>
  </si>
  <si>
    <t>=-NL("Sum","5802 Value Entry","151 Cost Amount (Expected)","41 Source Type",$C$5,"5 Source No.",$C513,"4 Item Ledger Entry Type",$C$4,"2 Item No.","@@"&amp;$F513,"3 Posting Date",Z$9)-NL("Sum","5802 Value Entry","43 Cost Amount (Actual)","41 Source Type",$C$5,"5 Source no.",$C513,"4 Item Ledger Entry Type",$C$4,"2 Item No.","@@"&amp;$F513,"3 Posting Date",Z$9)</t>
  </si>
  <si>
    <t>=C513</t>
  </si>
  <si>
    <t>=NL("Sum","5802 Value Entry","150 Sales Amount (Expected)","41 Source Type",$C$5,"5 Source No.",$C514,"4 Item Ledger Entry Type",$C$4,"2 Item No.","@@"&amp;$F514,"3 Posting Date",J$9)+NL("Sum","5802 Value Entry","17 Sales Amount (Actual)","41 Source Type",$C$5,"5 Source no.",$C514,"4 Item Ledger Entry Type",$C$4,"2 Item No.","@@"&amp;$F514,"3 Posting Date",J$9)</t>
  </si>
  <si>
    <t>=-NL("Sum","5802 Value Entry","151 Cost Amount (Expected)","41 Source Type",$C$5,"5 Source No.",$C514,"4 Item Ledger Entry Type",$C$4,"2 Item No.","@@"&amp;$F514,"3 Posting Date",J$9)-NL("Sum","5802 Value Entry","43 Cost Amount (Actual)","41 Source Type",$C$5,"5 Source no.",$C514,"4 Item Ledger Entry Type",$C$4,"2 Item No.","@@"&amp;$F514,"3 Posting Date",J$9)</t>
  </si>
  <si>
    <t>=J514-L514</t>
  </si>
  <si>
    <t>=IF(J514&lt;&gt;0,M514/J514,"")</t>
  </si>
  <si>
    <t>=NL("Sum","5802 Value Entry","150 Sales Amount (Expected)","41 Source Type",$C$5,"5 Source No.",$C514,"4 Item Ledger Entry Type",$C$4,"2 Item No.","@@"&amp;$F514,"3 Posting Date",O$9)+NL("Sum","5802 Value Entry","17 Sales Amount (Actual)","41 Source Type",$C$5,"5 Source no.",$C514,"4 Item Ledger Entry Type",$C$4,"2 Item No.","@@"&amp;$F514,"3 Posting Date",O$9)</t>
  </si>
  <si>
    <t>=-NL("Sum","5802 Value Entry","151 Cost Amount (Expected)","41 Source Type",$C$5,"5 Source No.",$C514,"4 Item Ledger Entry Type",$C$4,"2 Item No.","@@"&amp;$F514,"3 Posting Date",O$9)-NL("Sum","5802 Value Entry","43 Cost Amount (Actual)","41 Source Type",$C$5,"5 Source no.",$C514,"4 Item Ledger Entry Type",$C$4,"2 Item No.","@@"&amp;$F514,"3 Posting Date",O$9)</t>
  </si>
  <si>
    <t>=O514-Q514</t>
  </si>
  <si>
    <t>=IF(O514&lt;&gt;0,R514/O514,"")</t>
  </si>
  <si>
    <t>=NL("Sum","5802 Value Entry","150 Sales Amount (Expected)","41 Source Type",$C$5,"5 Source No.",$C514,"4 Item Ledger Entry Type",$C$4,"2 Item No.","@@"&amp;$F514,"3 Posting Date",U$9)+NL("Sum","5802 Value Entry","17 Sales Amount (Actual)","41 Source Type",$C$5,"5 Source no.",$C514,"4 Item Ledger Entry Type",$C$4,"2 Item No.","@@"&amp;$F514,"3 Posting Date",U$9)</t>
  </si>
  <si>
    <t>=-NL("Sum","5802 Value Entry","151 Cost Amount (Expected)","41 Source Type",$C$5,"5 Source No.",$C514,"4 Item Ledger Entry Type",$C$4,"2 Item No.","@@"&amp;$F514,"3 Posting Date",U$9)-NL("Sum","5802 Value Entry","43 Cost Amount (Actual)","41 Source Type",$C$5,"5 Source no.",$C514,"4 Item Ledger Entry Type",$C$4,"2 Item No.","@@"&amp;$F514,"3 Posting Date",U$9)</t>
  </si>
  <si>
    <t>=U514-W514</t>
  </si>
  <si>
    <t>=IF(U514&lt;&gt;0,X514/U514,"")</t>
  </si>
  <si>
    <t>=NL("Sum","5802 Value Entry","150 Sales Amount (Expected)","41 Source Type",$C$5,"5 Source No.",$C514,"4 Item Ledger Entry Type",$C$4,"2 Item No.","@@"&amp;$F514,"3 Posting Date",Z$9)+NL("Sum","5802 Value Entry","17 Sales Amount (Actual)","41 Source Type",$C$5,"5 Source no.",$C514,"4 Item Ledger Entry Type",$C$4,"2 Item No.","@@"&amp;$F514,"3 Posting Date",Z$9)</t>
  </si>
  <si>
    <t>=-NL("Sum","5802 Value Entry","151 Cost Amount (Expected)","41 Source Type",$C$5,"5 Source No.",$C514,"4 Item Ledger Entry Type",$C$4,"2 Item No.","@@"&amp;$F514,"3 Posting Date",Z$9)-NL("Sum","5802 Value Entry","43 Cost Amount (Actual)","41 Source Type",$C$5,"5 Source no.",$C514,"4 Item Ledger Entry Type",$C$4,"2 Item No.","@@"&amp;$F514,"3 Posting Date",Z$9)</t>
  </si>
  <si>
    <t>=Z514-AB514</t>
  </si>
  <si>
    <t>=IF(Z514&lt;&gt;0,AC514/Z514,"")</t>
  </si>
  <si>
    <t>=C514</t>
  </si>
  <si>
    <t>=NL("Sum","5802 Value Entry","150 Sales Amount (Expected)","41 Source Type",$C$5,"5 Source No.",$C515,"4 Item Ledger Entry Type",$C$4,"2 Item No.","@@"&amp;$F515,"3 Posting Date",J$9)+NL("Sum","5802 Value Entry","17 Sales Amount (Actual)","41 Source Type",$C$5,"5 Source no.",$C515,"4 Item Ledger Entry Type",$C$4,"2 Item No.","@@"&amp;$F515,"3 Posting Date",J$9)</t>
  </si>
  <si>
    <t>=-NL("Sum","5802 Value Entry","151 Cost Amount (Expected)","41 Source Type",$C$5,"5 Source No.",$C515,"4 Item Ledger Entry Type",$C$4,"2 Item No.","@@"&amp;$F515,"3 Posting Date",J$9)-NL("Sum","5802 Value Entry","43 Cost Amount (Actual)","41 Source Type",$C$5,"5 Source no.",$C515,"4 Item Ledger Entry Type",$C$4,"2 Item No.","@@"&amp;$F515,"3 Posting Date",J$9)</t>
  </si>
  <si>
    <t>=J515-L515</t>
  </si>
  <si>
    <t>=IF(J515&lt;&gt;0,M515/J515,"")</t>
  </si>
  <si>
    <t>=NL("Sum","5802 Value Entry","150 Sales Amount (Expected)","41 Source Type",$C$5,"5 Source No.",$C515,"4 Item Ledger Entry Type",$C$4,"2 Item No.","@@"&amp;$F515,"3 Posting Date",O$9)+NL("Sum","5802 Value Entry","17 Sales Amount (Actual)","41 Source Type",$C$5,"5 Source no.",$C515,"4 Item Ledger Entry Type",$C$4,"2 Item No.","@@"&amp;$F515,"3 Posting Date",O$9)</t>
  </si>
  <si>
    <t>=-NL("Sum","5802 Value Entry","151 Cost Amount (Expected)","41 Source Type",$C$5,"5 Source No.",$C515,"4 Item Ledger Entry Type",$C$4,"2 Item No.","@@"&amp;$F515,"3 Posting Date",O$9)-NL("Sum","5802 Value Entry","43 Cost Amount (Actual)","41 Source Type",$C$5,"5 Source no.",$C515,"4 Item Ledger Entry Type",$C$4,"2 Item No.","@@"&amp;$F515,"3 Posting Date",O$9)</t>
  </si>
  <si>
    <t>=O515-Q515</t>
  </si>
  <si>
    <t>=IF(O515&lt;&gt;0,R515/O515,"")</t>
  </si>
  <si>
    <t>=NL("Sum","5802 Value Entry","150 Sales Amount (Expected)","41 Source Type",$C$5,"5 Source No.",$C515,"4 Item Ledger Entry Type",$C$4,"2 Item No.","@@"&amp;$F515,"3 Posting Date",U$9)+NL("Sum","5802 Value Entry","17 Sales Amount (Actual)","41 Source Type",$C$5,"5 Source no.",$C515,"4 Item Ledger Entry Type",$C$4,"2 Item No.","@@"&amp;$F515,"3 Posting Date",U$9)</t>
  </si>
  <si>
    <t>=-NL("Sum","5802 Value Entry","151 Cost Amount (Expected)","41 Source Type",$C$5,"5 Source No.",$C515,"4 Item Ledger Entry Type",$C$4,"2 Item No.","@@"&amp;$F515,"3 Posting Date",U$9)-NL("Sum","5802 Value Entry","43 Cost Amount (Actual)","41 Source Type",$C$5,"5 Source no.",$C515,"4 Item Ledger Entry Type",$C$4,"2 Item No.","@@"&amp;$F515,"3 Posting Date",U$9)</t>
  </si>
  <si>
    <t>=U515-W515</t>
  </si>
  <si>
    <t>=IF(U515&lt;&gt;0,X515/U515,"")</t>
  </si>
  <si>
    <t>=NL("Sum","5802 Value Entry","150 Sales Amount (Expected)","41 Source Type",$C$5,"5 Source No.",$C515,"4 Item Ledger Entry Type",$C$4,"2 Item No.","@@"&amp;$F515,"3 Posting Date",Z$9)+NL("Sum","5802 Value Entry","17 Sales Amount (Actual)","41 Source Type",$C$5,"5 Source no.",$C515,"4 Item Ledger Entry Type",$C$4,"2 Item No.","@@"&amp;$F515,"3 Posting Date",Z$9)</t>
  </si>
  <si>
    <t>=-NL("Sum","5802 Value Entry","151 Cost Amount (Expected)","41 Source Type",$C$5,"5 Source No.",$C515,"4 Item Ledger Entry Type",$C$4,"2 Item No.","@@"&amp;$F515,"3 Posting Date",Z$9)-NL("Sum","5802 Value Entry","43 Cost Amount (Actual)","41 Source Type",$C$5,"5 Source no.",$C515,"4 Item Ledger Entry Type",$C$4,"2 Item No.","@@"&amp;$F515,"3 Posting Date",Z$9)</t>
  </si>
  <si>
    <t>=Z515-AB515</t>
  </si>
  <si>
    <t>=IF(Z515&lt;&gt;0,AC515/Z515,"")</t>
  </si>
  <si>
    <t>=NL("Sum","5802 Value Entry","150 Sales Amount (Expected)","41 Source Type",$C$5,"5 Source No.",$C516,"4 Item Ledger Entry Type",$C$4,"2 Item No.","@@"&amp;$F516,"3 Posting Date",J$9)+NL("Sum","5802 Value Entry","17 Sales Amount (Actual)","41 Source Type",$C$5,"5 Source no.",$C516,"4 Item Ledger Entry Type",$C$4,"2 Item No.","@@"&amp;$F516,"3 Posting Date",J$9)</t>
  </si>
  <si>
    <t>=-NL("Sum","5802 Value Entry","151 Cost Amount (Expected)","41 Source Type",$C$5,"5 Source No.",$C516,"4 Item Ledger Entry Type",$C$4,"2 Item No.","@@"&amp;$F516,"3 Posting Date",J$9)-NL("Sum","5802 Value Entry","43 Cost Amount (Actual)","41 Source Type",$C$5,"5 Source no.",$C516,"4 Item Ledger Entry Type",$C$4,"2 Item No.","@@"&amp;$F516,"3 Posting Date",J$9)</t>
  </si>
  <si>
    <t>=J516-L516</t>
  </si>
  <si>
    <t>=IF(J516&lt;&gt;0,M516/J516,"")</t>
  </si>
  <si>
    <t>=NL("Sum","5802 Value Entry","150 Sales Amount (Expected)","41 Source Type",$C$5,"5 Source No.",$C516,"4 Item Ledger Entry Type",$C$4,"2 Item No.","@@"&amp;$F516,"3 Posting Date",O$9)+NL("Sum","5802 Value Entry","17 Sales Amount (Actual)","41 Source Type",$C$5,"5 Source no.",$C516,"4 Item Ledger Entry Type",$C$4,"2 Item No.","@@"&amp;$F516,"3 Posting Date",O$9)</t>
  </si>
  <si>
    <t>=-NL("Sum","5802 Value Entry","151 Cost Amount (Expected)","41 Source Type",$C$5,"5 Source No.",$C516,"4 Item Ledger Entry Type",$C$4,"2 Item No.","@@"&amp;$F516,"3 Posting Date",O$9)-NL("Sum","5802 Value Entry","43 Cost Amount (Actual)","41 Source Type",$C$5,"5 Source no.",$C516,"4 Item Ledger Entry Type",$C$4,"2 Item No.","@@"&amp;$F516,"3 Posting Date",O$9)</t>
  </si>
  <si>
    <t>=O516-Q516</t>
  </si>
  <si>
    <t>=IF(O516&lt;&gt;0,R516/O516,"")</t>
  </si>
  <si>
    <t>=NL("Sum","5802 Value Entry","150 Sales Amount (Expected)","41 Source Type",$C$5,"5 Source No.",$C516,"4 Item Ledger Entry Type",$C$4,"2 Item No.","@@"&amp;$F516,"3 Posting Date",U$9)+NL("Sum","5802 Value Entry","17 Sales Amount (Actual)","41 Source Type",$C$5,"5 Source no.",$C516,"4 Item Ledger Entry Type",$C$4,"2 Item No.","@@"&amp;$F516,"3 Posting Date",U$9)</t>
  </si>
  <si>
    <t>=-NL("Sum","5802 Value Entry","151 Cost Amount (Expected)","41 Source Type",$C$5,"5 Source No.",$C516,"4 Item Ledger Entry Type",$C$4,"2 Item No.","@@"&amp;$F516,"3 Posting Date",U$9)-NL("Sum","5802 Value Entry","43 Cost Amount (Actual)","41 Source Type",$C$5,"5 Source no.",$C516,"4 Item Ledger Entry Type",$C$4,"2 Item No.","@@"&amp;$F516,"3 Posting Date",U$9)</t>
  </si>
  <si>
    <t>=U516-W516</t>
  </si>
  <si>
    <t>=IF(U516&lt;&gt;0,X516/U516,"")</t>
  </si>
  <si>
    <t>=NL("Sum","5802 Value Entry","150 Sales Amount (Expected)","41 Source Type",$C$5,"5 Source No.",$C516,"4 Item Ledger Entry Type",$C$4,"2 Item No.","@@"&amp;$F516,"3 Posting Date",Z$9)+NL("Sum","5802 Value Entry","17 Sales Amount (Actual)","41 Source Type",$C$5,"5 Source no.",$C516,"4 Item Ledger Entry Type",$C$4,"2 Item No.","@@"&amp;$F516,"3 Posting Date",Z$9)</t>
  </si>
  <si>
    <t>=-NL("Sum","5802 Value Entry","151 Cost Amount (Expected)","41 Source Type",$C$5,"5 Source No.",$C516,"4 Item Ledger Entry Type",$C$4,"2 Item No.","@@"&amp;$F516,"3 Posting Date",Z$9)-NL("Sum","5802 Value Entry","43 Cost Amount (Actual)","41 Source Type",$C$5,"5 Source no.",$C516,"4 Item Ledger Entry Type",$C$4,"2 Item No.","@@"&amp;$F516,"3 Posting Date",Z$9)</t>
  </si>
  <si>
    <t>=Z516-AB516</t>
  </si>
  <si>
    <t>=IF(Z516&lt;&gt;0,AC516/Z516,"")</t>
  </si>
  <si>
    <t>=C519&amp;" TOTAL:"</t>
  </si>
  <si>
    <t>=SUBTOTAL(9,J497:J518)</t>
  </si>
  <si>
    <t>=SUBTOTAL(9,K497:K518)</t>
  </si>
  <si>
    <t>=SUBTOTAL(9,L497:L518)</t>
  </si>
  <si>
    <t>=SUBTOTAL(9,O497:O518)</t>
  </si>
  <si>
    <t>=SUBTOTAL(9,P497:P518)</t>
  </si>
  <si>
    <t>=SUBTOTAL(9,Q497:Q518)</t>
  </si>
  <si>
    <t>=SUBTOTAL(9,U497:U518)</t>
  </si>
  <si>
    <t>=SUBTOTAL(9,V497:V518)</t>
  </si>
  <si>
    <t>=SUBTOTAL(9,W497:W518)</t>
  </si>
  <si>
    <t>=SUBTOTAL(9,Z497:Z518)</t>
  </si>
  <si>
    <t>=SUBTOTAL(9,AA497:AA518)</t>
  </si>
  <si>
    <t>=SUBTOTAL(9,AB497:AB518)</t>
  </si>
  <si>
    <t>=E521</t>
  </si>
  <si>
    <t>=NL(,"18 Customer","2 Name","1 No.",$E521)</t>
  </si>
  <si>
    <t>=NL("Rows","5802 Value Entry","2 Item No.","4 Item Ledger Entry Type",$C$4,"41 Source Type",$C$5,"5 Source No.",$C523,"Item No.",$C$7,"3 Posting Date",$C$10)</t>
  </si>
  <si>
    <t>=C545&amp;" TOTAL:"</t>
  </si>
  <si>
    <t>=SUBTOTAL(9,J522:J544)</t>
  </si>
  <si>
    <t>=SUBTOTAL(9,K522:K544)</t>
  </si>
  <si>
    <t>=SUBTOTAL(9,L522:L544)</t>
  </si>
  <si>
    <t>=SUBTOTAL(9,O522:O544)</t>
  </si>
  <si>
    <t>=SUBTOTAL(9,P522:P544)</t>
  </si>
  <si>
    <t>=SUBTOTAL(9,Q522:Q544)</t>
  </si>
  <si>
    <t>=SUBTOTAL(9,U522:U544)</t>
  </si>
  <si>
    <t>=SUBTOTAL(9,V522:V544)</t>
  </si>
  <si>
    <t>=SUBTOTAL(9,W522:W544)</t>
  </si>
  <si>
    <t>=SUBTOTAL(9,Z522:Z544)</t>
  </si>
  <si>
    <t>=SUBTOTAL(9,AA522:AA544)</t>
  </si>
  <si>
    <t>=SUBTOTAL(9,AB522:AB544)</t>
  </si>
  <si>
    <t>=E547</t>
  </si>
  <si>
    <t>=NL(,"18 Customer","2 Name","1 No.",$E547)</t>
  </si>
  <si>
    <t>=NL("Rows","5802 Value Entry","2 Item No.","4 Item Ledger Entry Type",$C$4,"41 Source Type",$C$5,"5 Source No.",$C549,"Item No.",$C$7,"3 Posting Date",$C$10)</t>
  </si>
  <si>
    <t>=C561</t>
  </si>
  <si>
    <t>=NL("Sum","5802 Value Entry","150 Sales Amount (Expected)","41 Source Type",$C$5,"5 Source No.",$C562,"4 Item Ledger Entry Type",$C$4,"2 Item No.","@@"&amp;$F562,"3 Posting Date",J$9)+NL("Sum","5802 Value Entry","17 Sales Amount (Actual)","41 Source Type",$C$5,"5 Source no.",$C562,"4 Item Ledger Entry Type",$C$4,"2 Item No.","@@"&amp;$F562,"3 Posting Date",J$9)</t>
  </si>
  <si>
    <t>=-NL("Sum","5802 Value Entry","151 Cost Amount (Expected)","41 Source Type",$C$5,"5 Source No.",$C562,"4 Item Ledger Entry Type",$C$4,"2 Item No.","@@"&amp;$F562,"3 Posting Date",J$9)-NL("Sum","5802 Value Entry","43 Cost Amount (Actual)","41 Source Type",$C$5,"5 Source no.",$C562,"4 Item Ledger Entry Type",$C$4,"2 Item No.","@@"&amp;$F562,"3 Posting Date",J$9)</t>
  </si>
  <si>
    <t>=J562-L562</t>
  </si>
  <si>
    <t>=IF(J562&lt;&gt;0,M562/J562,"")</t>
  </si>
  <si>
    <t>=NL("Sum","5802 Value Entry","150 Sales Amount (Expected)","41 Source Type",$C$5,"5 Source No.",$C562,"4 Item Ledger Entry Type",$C$4,"2 Item No.","@@"&amp;$F562,"3 Posting Date",O$9)+NL("Sum","5802 Value Entry","17 Sales Amount (Actual)","41 Source Type",$C$5,"5 Source no.",$C562,"4 Item Ledger Entry Type",$C$4,"2 Item No.","@@"&amp;$F562,"3 Posting Date",O$9)</t>
  </si>
  <si>
    <t>=-NL("Sum","5802 Value Entry","151 Cost Amount (Expected)","41 Source Type",$C$5,"5 Source No.",$C562,"4 Item Ledger Entry Type",$C$4,"2 Item No.","@@"&amp;$F562,"3 Posting Date",O$9)-NL("Sum","5802 Value Entry","43 Cost Amount (Actual)","41 Source Type",$C$5,"5 Source no.",$C562,"4 Item Ledger Entry Type",$C$4,"2 Item No.","@@"&amp;$F562,"3 Posting Date",O$9)</t>
  </si>
  <si>
    <t>=O562-Q562</t>
  </si>
  <si>
    <t>=IF(O562&lt;&gt;0,R562/O562,"")</t>
  </si>
  <si>
    <t>=NL("Sum","5802 Value Entry","150 Sales Amount (Expected)","41 Source Type",$C$5,"5 Source No.",$C562,"4 Item Ledger Entry Type",$C$4,"2 Item No.","@@"&amp;$F562,"3 Posting Date",U$9)+NL("Sum","5802 Value Entry","17 Sales Amount (Actual)","41 Source Type",$C$5,"5 Source no.",$C562,"4 Item Ledger Entry Type",$C$4,"2 Item No.","@@"&amp;$F562,"3 Posting Date",U$9)</t>
  </si>
  <si>
    <t>=-NL("Sum","5802 Value Entry","151 Cost Amount (Expected)","41 Source Type",$C$5,"5 Source No.",$C562,"4 Item Ledger Entry Type",$C$4,"2 Item No.","@@"&amp;$F562,"3 Posting Date",U$9)-NL("Sum","5802 Value Entry","43 Cost Amount (Actual)","41 Source Type",$C$5,"5 Source no.",$C562,"4 Item Ledger Entry Type",$C$4,"2 Item No.","@@"&amp;$F562,"3 Posting Date",U$9)</t>
  </si>
  <si>
    <t>=U562-W562</t>
  </si>
  <si>
    <t>=IF(U562&lt;&gt;0,X562/U562,"")</t>
  </si>
  <si>
    <t>=NL("Sum","5802 Value Entry","150 Sales Amount (Expected)","41 Source Type",$C$5,"5 Source No.",$C562,"4 Item Ledger Entry Type",$C$4,"2 Item No.","@@"&amp;$F562,"3 Posting Date",Z$9)+NL("Sum","5802 Value Entry","17 Sales Amount (Actual)","41 Source Type",$C$5,"5 Source no.",$C562,"4 Item Ledger Entry Type",$C$4,"2 Item No.","@@"&amp;$F562,"3 Posting Date",Z$9)</t>
  </si>
  <si>
    <t>=-NL("Sum","5802 Value Entry","151 Cost Amount (Expected)","41 Source Type",$C$5,"5 Source No.",$C562,"4 Item Ledger Entry Type",$C$4,"2 Item No.","@@"&amp;$F562,"3 Posting Date",Z$9)-NL("Sum","5802 Value Entry","43 Cost Amount (Actual)","41 Source Type",$C$5,"5 Source no.",$C562,"4 Item Ledger Entry Type",$C$4,"2 Item No.","@@"&amp;$F562,"3 Posting Date",Z$9)</t>
  </si>
  <si>
    <t>=Z562-AB562</t>
  </si>
  <si>
    <t>=IF(Z562&lt;&gt;0,AC562/Z562,"")</t>
  </si>
  <si>
    <t>=NL("Sum","5802 Value Entry","150 Sales Amount (Expected)","41 Source Type",$C$5,"5 Source No.",$C563,"4 Item Ledger Entry Type",$C$4,"2 Item No.","@@"&amp;$F563,"3 Posting Date",J$9)+NL("Sum","5802 Value Entry","17 Sales Amount (Actual)","41 Source Type",$C$5,"5 Source no.",$C563,"4 Item Ledger Entry Type",$C$4,"2 Item No.","@@"&amp;$F563,"3 Posting Date",J$9)</t>
  </si>
  <si>
    <t>=-NL("Sum","5802 Value Entry","151 Cost Amount (Expected)","41 Source Type",$C$5,"5 Source No.",$C563,"4 Item Ledger Entry Type",$C$4,"2 Item No.","@@"&amp;$F563,"3 Posting Date",J$9)-NL("Sum","5802 Value Entry","43 Cost Amount (Actual)","41 Source Type",$C$5,"5 Source no.",$C563,"4 Item Ledger Entry Type",$C$4,"2 Item No.","@@"&amp;$F563,"3 Posting Date",J$9)</t>
  </si>
  <si>
    <t>=NL("Sum","5802 Value Entry","150 Sales Amount (Expected)","41 Source Type",$C$5,"5 Source No.",$C563,"4 Item Ledger Entry Type",$C$4,"2 Item No.","@@"&amp;$F563,"3 Posting Date",O$9)+NL("Sum","5802 Value Entry","17 Sales Amount (Actual)","41 Source Type",$C$5,"5 Source no.",$C563,"4 Item Ledger Entry Type",$C$4,"2 Item No.","@@"&amp;$F563,"3 Posting Date",O$9)</t>
  </si>
  <si>
    <t>=-NL("Sum","5802 Value Entry","151 Cost Amount (Expected)","41 Source Type",$C$5,"5 Source No.",$C563,"4 Item Ledger Entry Type",$C$4,"2 Item No.","@@"&amp;$F563,"3 Posting Date",O$9)-NL("Sum","5802 Value Entry","43 Cost Amount (Actual)","41 Source Type",$C$5,"5 Source no.",$C563,"4 Item Ledger Entry Type",$C$4,"2 Item No.","@@"&amp;$F563,"3 Posting Date",O$9)</t>
  </si>
  <si>
    <t>=NL("Sum","5802 Value Entry","150 Sales Amount (Expected)","41 Source Type",$C$5,"5 Source No.",$C563,"4 Item Ledger Entry Type",$C$4,"2 Item No.","@@"&amp;$F563,"3 Posting Date",U$9)+NL("Sum","5802 Value Entry","17 Sales Amount (Actual)","41 Source Type",$C$5,"5 Source no.",$C563,"4 Item Ledger Entry Type",$C$4,"2 Item No.","@@"&amp;$F563,"3 Posting Date",U$9)</t>
  </si>
  <si>
    <t>=-NL("Sum","5802 Value Entry","151 Cost Amount (Expected)","41 Source Type",$C$5,"5 Source No.",$C563,"4 Item Ledger Entry Type",$C$4,"2 Item No.","@@"&amp;$F563,"3 Posting Date",U$9)-NL("Sum","5802 Value Entry","43 Cost Amount (Actual)","41 Source Type",$C$5,"5 Source no.",$C563,"4 Item Ledger Entry Type",$C$4,"2 Item No.","@@"&amp;$F563,"3 Posting Date",U$9)</t>
  </si>
  <si>
    <t>=NL("Sum","5802 Value Entry","150 Sales Amount (Expected)","41 Source Type",$C$5,"5 Source No.",$C563,"4 Item Ledger Entry Type",$C$4,"2 Item No.","@@"&amp;$F563,"3 Posting Date",Z$9)+NL("Sum","5802 Value Entry","17 Sales Amount (Actual)","41 Source Type",$C$5,"5 Source no.",$C563,"4 Item Ledger Entry Type",$C$4,"2 Item No.","@@"&amp;$F563,"3 Posting Date",Z$9)</t>
  </si>
  <si>
    <t>=-NL("Sum","5802 Value Entry","151 Cost Amount (Expected)","41 Source Type",$C$5,"5 Source No.",$C563,"4 Item Ledger Entry Type",$C$4,"2 Item No.","@@"&amp;$F563,"3 Posting Date",Z$9)-NL("Sum","5802 Value Entry","43 Cost Amount (Actual)","41 Source Type",$C$5,"5 Source no.",$C563,"4 Item Ledger Entry Type",$C$4,"2 Item No.","@@"&amp;$F563,"3 Posting Date",Z$9)</t>
  </si>
  <si>
    <t>=C563</t>
  </si>
  <si>
    <t>=NL("Sum","5802 Value Entry","150 Sales Amount (Expected)","41 Source Type",$C$5,"5 Source No.",$C564,"4 Item Ledger Entry Type",$C$4,"2 Item No.","@@"&amp;$F564,"3 Posting Date",J$9)+NL("Sum","5802 Value Entry","17 Sales Amount (Actual)","41 Source Type",$C$5,"5 Source no.",$C564,"4 Item Ledger Entry Type",$C$4,"2 Item No.","@@"&amp;$F564,"3 Posting Date",J$9)</t>
  </si>
  <si>
    <t>=-NL("Sum","5802 Value Entry","151 Cost Amount (Expected)","41 Source Type",$C$5,"5 Source No.",$C564,"4 Item Ledger Entry Type",$C$4,"2 Item No.","@@"&amp;$F564,"3 Posting Date",J$9)-NL("Sum","5802 Value Entry","43 Cost Amount (Actual)","41 Source Type",$C$5,"5 Source no.",$C564,"4 Item Ledger Entry Type",$C$4,"2 Item No.","@@"&amp;$F564,"3 Posting Date",J$9)</t>
  </si>
  <si>
    <t>=J564-L564</t>
  </si>
  <si>
    <t>=IF(J564&lt;&gt;0,M564/J564,"")</t>
  </si>
  <si>
    <t>=NL("Sum","5802 Value Entry","150 Sales Amount (Expected)","41 Source Type",$C$5,"5 Source No.",$C564,"4 Item Ledger Entry Type",$C$4,"2 Item No.","@@"&amp;$F564,"3 Posting Date",O$9)+NL("Sum","5802 Value Entry","17 Sales Amount (Actual)","41 Source Type",$C$5,"5 Source no.",$C564,"4 Item Ledger Entry Type",$C$4,"2 Item No.","@@"&amp;$F564,"3 Posting Date",O$9)</t>
  </si>
  <si>
    <t>=-NL("Sum","5802 Value Entry","151 Cost Amount (Expected)","41 Source Type",$C$5,"5 Source No.",$C564,"4 Item Ledger Entry Type",$C$4,"2 Item No.","@@"&amp;$F564,"3 Posting Date",O$9)-NL("Sum","5802 Value Entry","43 Cost Amount (Actual)","41 Source Type",$C$5,"5 Source no.",$C564,"4 Item Ledger Entry Type",$C$4,"2 Item No.","@@"&amp;$F564,"3 Posting Date",O$9)</t>
  </si>
  <si>
    <t>=O564-Q564</t>
  </si>
  <si>
    <t>=IF(O564&lt;&gt;0,R564/O564,"")</t>
  </si>
  <si>
    <t>=NL("Sum","5802 Value Entry","150 Sales Amount (Expected)","41 Source Type",$C$5,"5 Source No.",$C564,"4 Item Ledger Entry Type",$C$4,"2 Item No.","@@"&amp;$F564,"3 Posting Date",U$9)+NL("Sum","5802 Value Entry","17 Sales Amount (Actual)","41 Source Type",$C$5,"5 Source no.",$C564,"4 Item Ledger Entry Type",$C$4,"2 Item No.","@@"&amp;$F564,"3 Posting Date",U$9)</t>
  </si>
  <si>
    <t>=-NL("Sum","5802 Value Entry","151 Cost Amount (Expected)","41 Source Type",$C$5,"5 Source No.",$C564,"4 Item Ledger Entry Type",$C$4,"2 Item No.","@@"&amp;$F564,"3 Posting Date",U$9)-NL("Sum","5802 Value Entry","43 Cost Amount (Actual)","41 Source Type",$C$5,"5 Source no.",$C564,"4 Item Ledger Entry Type",$C$4,"2 Item No.","@@"&amp;$F564,"3 Posting Date",U$9)</t>
  </si>
  <si>
    <t>=U564-W564</t>
  </si>
  <si>
    <t>=IF(U564&lt;&gt;0,X564/U564,"")</t>
  </si>
  <si>
    <t>=NL("Sum","5802 Value Entry","150 Sales Amount (Expected)","41 Source Type",$C$5,"5 Source No.",$C564,"4 Item Ledger Entry Type",$C$4,"2 Item No.","@@"&amp;$F564,"3 Posting Date",Z$9)+NL("Sum","5802 Value Entry","17 Sales Amount (Actual)","41 Source Type",$C$5,"5 Source no.",$C564,"4 Item Ledger Entry Type",$C$4,"2 Item No.","@@"&amp;$F564,"3 Posting Date",Z$9)</t>
  </si>
  <si>
    <t>=-NL("Sum","5802 Value Entry","151 Cost Amount (Expected)","41 Source Type",$C$5,"5 Source No.",$C564,"4 Item Ledger Entry Type",$C$4,"2 Item No.","@@"&amp;$F564,"3 Posting Date",Z$9)-NL("Sum","5802 Value Entry","43 Cost Amount (Actual)","41 Source Type",$C$5,"5 Source no.",$C564,"4 Item Ledger Entry Type",$C$4,"2 Item No.","@@"&amp;$F564,"3 Posting Date",Z$9)</t>
  </si>
  <si>
    <t>=Z564-AB564</t>
  </si>
  <si>
    <t>=IF(Z564&lt;&gt;0,AC564/Z564,"")</t>
  </si>
  <si>
    <t>=C564</t>
  </si>
  <si>
    <t>=NL("Sum","5802 Value Entry","150 Sales Amount (Expected)","41 Source Type",$C$5,"5 Source No.",$C565,"4 Item Ledger Entry Type",$C$4,"2 Item No.","@@"&amp;$F565,"3 Posting Date",J$9)+NL("Sum","5802 Value Entry","17 Sales Amount (Actual)","41 Source Type",$C$5,"5 Source no.",$C565,"4 Item Ledger Entry Type",$C$4,"2 Item No.","@@"&amp;$F565,"3 Posting Date",J$9)</t>
  </si>
  <si>
    <t>=-NL("Sum","5802 Value Entry","151 Cost Amount (Expected)","41 Source Type",$C$5,"5 Source No.",$C565,"4 Item Ledger Entry Type",$C$4,"2 Item No.","@@"&amp;$F565,"3 Posting Date",J$9)-NL("Sum","5802 Value Entry","43 Cost Amount (Actual)","41 Source Type",$C$5,"5 Source no.",$C565,"4 Item Ledger Entry Type",$C$4,"2 Item No.","@@"&amp;$F565,"3 Posting Date",J$9)</t>
  </si>
  <si>
    <t>=J565-L565</t>
  </si>
  <si>
    <t>=IF(J565&lt;&gt;0,M565/J565,"")</t>
  </si>
  <si>
    <t>=NL("Sum","5802 Value Entry","150 Sales Amount (Expected)","41 Source Type",$C$5,"5 Source No.",$C565,"4 Item Ledger Entry Type",$C$4,"2 Item No.","@@"&amp;$F565,"3 Posting Date",O$9)+NL("Sum","5802 Value Entry","17 Sales Amount (Actual)","41 Source Type",$C$5,"5 Source no.",$C565,"4 Item Ledger Entry Type",$C$4,"2 Item No.","@@"&amp;$F565,"3 Posting Date",O$9)</t>
  </si>
  <si>
    <t>=-NL("Sum","5802 Value Entry","151 Cost Amount (Expected)","41 Source Type",$C$5,"5 Source No.",$C565,"4 Item Ledger Entry Type",$C$4,"2 Item No.","@@"&amp;$F565,"3 Posting Date",O$9)-NL("Sum","5802 Value Entry","43 Cost Amount (Actual)","41 Source Type",$C$5,"5 Source no.",$C565,"4 Item Ledger Entry Type",$C$4,"2 Item No.","@@"&amp;$F565,"3 Posting Date",O$9)</t>
  </si>
  <si>
    <t>=O565-Q565</t>
  </si>
  <si>
    <t>=IF(O565&lt;&gt;0,R565/O565,"")</t>
  </si>
  <si>
    <t>=NL("Sum","5802 Value Entry","150 Sales Amount (Expected)","41 Source Type",$C$5,"5 Source No.",$C565,"4 Item Ledger Entry Type",$C$4,"2 Item No.","@@"&amp;$F565,"3 Posting Date",U$9)+NL("Sum","5802 Value Entry","17 Sales Amount (Actual)","41 Source Type",$C$5,"5 Source no.",$C565,"4 Item Ledger Entry Type",$C$4,"2 Item No.","@@"&amp;$F565,"3 Posting Date",U$9)</t>
  </si>
  <si>
    <t>=-NL("Sum","5802 Value Entry","151 Cost Amount (Expected)","41 Source Type",$C$5,"5 Source No.",$C565,"4 Item Ledger Entry Type",$C$4,"2 Item No.","@@"&amp;$F565,"3 Posting Date",U$9)-NL("Sum","5802 Value Entry","43 Cost Amount (Actual)","41 Source Type",$C$5,"5 Source no.",$C565,"4 Item Ledger Entry Type",$C$4,"2 Item No.","@@"&amp;$F565,"3 Posting Date",U$9)</t>
  </si>
  <si>
    <t>=U565-W565</t>
  </si>
  <si>
    <t>=IF(U565&lt;&gt;0,X565/U565,"")</t>
  </si>
  <si>
    <t>=NL("Sum","5802 Value Entry","150 Sales Amount (Expected)","41 Source Type",$C$5,"5 Source No.",$C565,"4 Item Ledger Entry Type",$C$4,"2 Item No.","@@"&amp;$F565,"3 Posting Date",Z$9)+NL("Sum","5802 Value Entry","17 Sales Amount (Actual)","41 Source Type",$C$5,"5 Source no.",$C565,"4 Item Ledger Entry Type",$C$4,"2 Item No.","@@"&amp;$F565,"3 Posting Date",Z$9)</t>
  </si>
  <si>
    <t>=-NL("Sum","5802 Value Entry","151 Cost Amount (Expected)","41 Source Type",$C$5,"5 Source No.",$C565,"4 Item Ledger Entry Type",$C$4,"2 Item No.","@@"&amp;$F565,"3 Posting Date",Z$9)-NL("Sum","5802 Value Entry","43 Cost Amount (Actual)","41 Source Type",$C$5,"5 Source no.",$C565,"4 Item Ledger Entry Type",$C$4,"2 Item No.","@@"&amp;$F565,"3 Posting Date",Z$9)</t>
  </si>
  <si>
    <t>=Z565-AB565</t>
  </si>
  <si>
    <t>=IF(Z565&lt;&gt;0,AC565/Z565,"")</t>
  </si>
  <si>
    <t>=NL("Sum","5802 Value Entry","150 Sales Amount (Expected)","41 Source Type",$C$5,"5 Source No.",$C566,"4 Item Ledger Entry Type",$C$4,"2 Item No.","@@"&amp;$F566,"3 Posting Date",J$9)+NL("Sum","5802 Value Entry","17 Sales Amount (Actual)","41 Source Type",$C$5,"5 Source no.",$C566,"4 Item Ledger Entry Type",$C$4,"2 Item No.","@@"&amp;$F566,"3 Posting Date",J$9)</t>
  </si>
  <si>
    <t>=-NL("Sum","5802 Value Entry","151 Cost Amount (Expected)","41 Source Type",$C$5,"5 Source No.",$C566,"4 Item Ledger Entry Type",$C$4,"2 Item No.","@@"&amp;$F566,"3 Posting Date",J$9)-NL("Sum","5802 Value Entry","43 Cost Amount (Actual)","41 Source Type",$C$5,"5 Source no.",$C566,"4 Item Ledger Entry Type",$C$4,"2 Item No.","@@"&amp;$F566,"3 Posting Date",J$9)</t>
  </si>
  <si>
    <t>=J566-L566</t>
  </si>
  <si>
    <t>=IF(J566&lt;&gt;0,M566/J566,"")</t>
  </si>
  <si>
    <t>=NL("Sum","5802 Value Entry","150 Sales Amount (Expected)","41 Source Type",$C$5,"5 Source No.",$C566,"4 Item Ledger Entry Type",$C$4,"2 Item No.","@@"&amp;$F566,"3 Posting Date",O$9)+NL("Sum","5802 Value Entry","17 Sales Amount (Actual)","41 Source Type",$C$5,"5 Source no.",$C566,"4 Item Ledger Entry Type",$C$4,"2 Item No.","@@"&amp;$F566,"3 Posting Date",O$9)</t>
  </si>
  <si>
    <t>=-NL("Sum","5802 Value Entry","151 Cost Amount (Expected)","41 Source Type",$C$5,"5 Source No.",$C566,"4 Item Ledger Entry Type",$C$4,"2 Item No.","@@"&amp;$F566,"3 Posting Date",O$9)-NL("Sum","5802 Value Entry","43 Cost Amount (Actual)","41 Source Type",$C$5,"5 Source no.",$C566,"4 Item Ledger Entry Type",$C$4,"2 Item No.","@@"&amp;$F566,"3 Posting Date",O$9)</t>
  </si>
  <si>
    <t>=O566-Q566</t>
  </si>
  <si>
    <t>=IF(O566&lt;&gt;0,R566/O566,"")</t>
  </si>
  <si>
    <t>=NL("Sum","5802 Value Entry","150 Sales Amount (Expected)","41 Source Type",$C$5,"5 Source No.",$C566,"4 Item Ledger Entry Type",$C$4,"2 Item No.","@@"&amp;$F566,"3 Posting Date",U$9)+NL("Sum","5802 Value Entry","17 Sales Amount (Actual)","41 Source Type",$C$5,"5 Source no.",$C566,"4 Item Ledger Entry Type",$C$4,"2 Item No.","@@"&amp;$F566,"3 Posting Date",U$9)</t>
  </si>
  <si>
    <t>=-NL("Sum","5802 Value Entry","151 Cost Amount (Expected)","41 Source Type",$C$5,"5 Source No.",$C566,"4 Item Ledger Entry Type",$C$4,"2 Item No.","@@"&amp;$F566,"3 Posting Date",U$9)-NL("Sum","5802 Value Entry","43 Cost Amount (Actual)","41 Source Type",$C$5,"5 Source no.",$C566,"4 Item Ledger Entry Type",$C$4,"2 Item No.","@@"&amp;$F566,"3 Posting Date",U$9)</t>
  </si>
  <si>
    <t>=U566-W566</t>
  </si>
  <si>
    <t>=IF(U566&lt;&gt;0,X566/U566,"")</t>
  </si>
  <si>
    <t>=NL("Sum","5802 Value Entry","150 Sales Amount (Expected)","41 Source Type",$C$5,"5 Source No.",$C566,"4 Item Ledger Entry Type",$C$4,"2 Item No.","@@"&amp;$F566,"3 Posting Date",Z$9)+NL("Sum","5802 Value Entry","17 Sales Amount (Actual)","41 Source Type",$C$5,"5 Source no.",$C566,"4 Item Ledger Entry Type",$C$4,"2 Item No.","@@"&amp;$F566,"3 Posting Date",Z$9)</t>
  </si>
  <si>
    <t>=-NL("Sum","5802 Value Entry","151 Cost Amount (Expected)","41 Source Type",$C$5,"5 Source No.",$C566,"4 Item Ledger Entry Type",$C$4,"2 Item No.","@@"&amp;$F566,"3 Posting Date",Z$9)-NL("Sum","5802 Value Entry","43 Cost Amount (Actual)","41 Source Type",$C$5,"5 Source no.",$C566,"4 Item Ledger Entry Type",$C$4,"2 Item No.","@@"&amp;$F566,"3 Posting Date",Z$9)</t>
  </si>
  <si>
    <t>=Z566-AB566</t>
  </si>
  <si>
    <t>=IF(Z566&lt;&gt;0,AC566/Z566,"")</t>
  </si>
  <si>
    <t>=SUBTOTAL(9,J548:J584)</t>
  </si>
  <si>
    <t>=SUBTOTAL(9,K548:K584)</t>
  </si>
  <si>
    <t>=SUBTOTAL(9,L548:L584)</t>
  </si>
  <si>
    <t>=SUBTOTAL(9,O548:O584)</t>
  </si>
  <si>
    <t>=SUBTOTAL(9,P548:P584)</t>
  </si>
  <si>
    <t>=SUBTOTAL(9,Q548:Q584)</t>
  </si>
  <si>
    <t>=SUBTOTAL(9,U548:U584)</t>
  </si>
  <si>
    <t>=SUBTOTAL(9,V548:V584)</t>
  </si>
  <si>
    <t>=SUBTOTAL(9,W548:W584)</t>
  </si>
  <si>
    <t>=SUBTOTAL(9,Z548:Z584)</t>
  </si>
  <si>
    <t>=SUBTOTAL(9,AA548:AA584)</t>
  </si>
  <si>
    <t>=SUBTOTAL(9,AB548:AB584)</t>
  </si>
  <si>
    <t>=C591&amp;" TOTAL:"</t>
  </si>
  <si>
    <t>=SUBTOTAL(9,J588:J590)</t>
  </si>
  <si>
    <t>=SUBTOTAL(9,K588:K590)</t>
  </si>
  <si>
    <t>=SUBTOTAL(9,L588:L590)</t>
  </si>
  <si>
    <t>=SUBTOTAL(9,O588:O590)</t>
  </si>
  <si>
    <t>=SUBTOTAL(9,P588:P590)</t>
  </si>
  <si>
    <t>=SUBTOTAL(9,Q588:Q590)</t>
  </si>
  <si>
    <t>=SUBTOTAL(9,U588:U590)</t>
  </si>
  <si>
    <t>=SUBTOTAL(9,V588:V590)</t>
  </si>
  <si>
    <t>=SUBTOTAL(9,W588:W590)</t>
  </si>
  <si>
    <t>=SUBTOTAL(9,Z588:Z590)</t>
  </si>
  <si>
    <t>=SUBTOTAL(9,AA588:AA590)</t>
  </si>
  <si>
    <t>=SUBTOTAL(9,AB588:AB590)</t>
  </si>
  <si>
    <t>=E593</t>
  </si>
  <si>
    <t>=NL(,"18 Customer","2 Name","1 No.",$E593)</t>
  </si>
  <si>
    <t>=NL("Rows","5802 Value Entry","2 Item No.","4 Item Ledger Entry Type",$C$4,"41 Source Type",$C$5,"5 Source No.",$C595,"Item No.",$C$7,"3 Posting Date",$C$10)</t>
  </si>
  <si>
    <t>=C614&amp;" TOTAL:"</t>
  </si>
  <si>
    <t>=SUBTOTAL(9,J594:J613)</t>
  </si>
  <si>
    <t>=SUBTOTAL(9,K594:K613)</t>
  </si>
  <si>
    <t>=SUBTOTAL(9,L594:L613)</t>
  </si>
  <si>
    <t>=SUBTOTAL(9,O594:O613)</t>
  </si>
  <si>
    <t>=SUBTOTAL(9,P594:P613)</t>
  </si>
  <si>
    <t>=SUBTOTAL(9,Q594:Q613)</t>
  </si>
  <si>
    <t>=SUBTOTAL(9,U594:U613)</t>
  </si>
  <si>
    <t>=SUBTOTAL(9,V594:V613)</t>
  </si>
  <si>
    <t>=SUBTOTAL(9,W594:W613)</t>
  </si>
  <si>
    <t>=SUBTOTAL(9,Z594:Z613)</t>
  </si>
  <si>
    <t>=SUBTOTAL(9,AA594:AA613)</t>
  </si>
  <si>
    <t>=SUBTOTAL(9,AB594:AB613)</t>
  </si>
  <si>
    <t>=E616</t>
  </si>
  <si>
    <t>=NL(,"18 Customer","2 Name","1 No.",$E616)</t>
  </si>
  <si>
    <t>=NL("Rows","5802 Value Entry","2 Item No.","4 Item Ledger Entry Type",$C$4,"41 Source Type",$C$5,"5 Source No.",$C618,"Item No.",$C$7,"3 Posting Date",$C$10)</t>
  </si>
  <si>
    <t>=C624</t>
  </si>
  <si>
    <t>=NL("Sum","5802 Value Entry","150 Sales Amount (Expected)","41 Source Type",$C$5,"5 Source No.",$C625,"4 Item Ledger Entry Type",$C$4,"2 Item No.","@@"&amp;$F625,"3 Posting Date",J$9)+NL("Sum","5802 Value Entry","17 Sales Amount (Actual)","41 Source Type",$C$5,"5 Source no.",$C625,"4 Item Ledger Entry Type",$C$4,"2 Item No.","@@"&amp;$F625,"3 Posting Date",J$9)</t>
  </si>
  <si>
    <t>=-NL("Sum","5802 Value Entry","151 Cost Amount (Expected)","41 Source Type",$C$5,"5 Source No.",$C625,"4 Item Ledger Entry Type",$C$4,"2 Item No.","@@"&amp;$F625,"3 Posting Date",J$9)-NL("Sum","5802 Value Entry","43 Cost Amount (Actual)","41 Source Type",$C$5,"5 Source no.",$C625,"4 Item Ledger Entry Type",$C$4,"2 Item No.","@@"&amp;$F625,"3 Posting Date",J$9)</t>
  </si>
  <si>
    <t>=J625-L625</t>
  </si>
  <si>
    <t>=IF(J625&lt;&gt;0,M625/J625,"")</t>
  </si>
  <si>
    <t>=NL("Sum","5802 Value Entry","150 Sales Amount (Expected)","41 Source Type",$C$5,"5 Source No.",$C625,"4 Item Ledger Entry Type",$C$4,"2 Item No.","@@"&amp;$F625,"3 Posting Date",O$9)+NL("Sum","5802 Value Entry","17 Sales Amount (Actual)","41 Source Type",$C$5,"5 Source no.",$C625,"4 Item Ledger Entry Type",$C$4,"2 Item No.","@@"&amp;$F625,"3 Posting Date",O$9)</t>
  </si>
  <si>
    <t>=-NL("Sum","5802 Value Entry","151 Cost Amount (Expected)","41 Source Type",$C$5,"5 Source No.",$C625,"4 Item Ledger Entry Type",$C$4,"2 Item No.","@@"&amp;$F625,"3 Posting Date",O$9)-NL("Sum","5802 Value Entry","43 Cost Amount (Actual)","41 Source Type",$C$5,"5 Source no.",$C625,"4 Item Ledger Entry Type",$C$4,"2 Item No.","@@"&amp;$F625,"3 Posting Date",O$9)</t>
  </si>
  <si>
    <t>=O625-Q625</t>
  </si>
  <si>
    <t>=IF(O625&lt;&gt;0,R625/O625,"")</t>
  </si>
  <si>
    <t>=NL("Sum","5802 Value Entry","150 Sales Amount (Expected)","41 Source Type",$C$5,"5 Source No.",$C625,"4 Item Ledger Entry Type",$C$4,"2 Item No.","@@"&amp;$F625,"3 Posting Date",U$9)+NL("Sum","5802 Value Entry","17 Sales Amount (Actual)","41 Source Type",$C$5,"5 Source no.",$C625,"4 Item Ledger Entry Type",$C$4,"2 Item No.","@@"&amp;$F625,"3 Posting Date",U$9)</t>
  </si>
  <si>
    <t>=-NL("Sum","5802 Value Entry","151 Cost Amount (Expected)","41 Source Type",$C$5,"5 Source No.",$C625,"4 Item Ledger Entry Type",$C$4,"2 Item No.","@@"&amp;$F625,"3 Posting Date",U$9)-NL("Sum","5802 Value Entry","43 Cost Amount (Actual)","41 Source Type",$C$5,"5 Source no.",$C625,"4 Item Ledger Entry Type",$C$4,"2 Item No.","@@"&amp;$F625,"3 Posting Date",U$9)</t>
  </si>
  <si>
    <t>=U625-W625</t>
  </si>
  <si>
    <t>=IF(U625&lt;&gt;0,X625/U625,"")</t>
  </si>
  <si>
    <t>=NL("Sum","5802 Value Entry","150 Sales Amount (Expected)","41 Source Type",$C$5,"5 Source No.",$C625,"4 Item Ledger Entry Type",$C$4,"2 Item No.","@@"&amp;$F625,"3 Posting Date",Z$9)+NL("Sum","5802 Value Entry","17 Sales Amount (Actual)","41 Source Type",$C$5,"5 Source no.",$C625,"4 Item Ledger Entry Type",$C$4,"2 Item No.","@@"&amp;$F625,"3 Posting Date",Z$9)</t>
  </si>
  <si>
    <t>=-NL("Sum","5802 Value Entry","151 Cost Amount (Expected)","41 Source Type",$C$5,"5 Source No.",$C625,"4 Item Ledger Entry Type",$C$4,"2 Item No.","@@"&amp;$F625,"3 Posting Date",Z$9)-NL("Sum","5802 Value Entry","43 Cost Amount (Actual)","41 Source Type",$C$5,"5 Source no.",$C625,"4 Item Ledger Entry Type",$C$4,"2 Item No.","@@"&amp;$F625,"3 Posting Date",Z$9)</t>
  </si>
  <si>
    <t>=Z625-AB625</t>
  </si>
  <si>
    <t>=IF(Z625&lt;&gt;0,AC625/Z625,"")</t>
  </si>
  <si>
    <t>=NL("Sum","5802 Value Entry","150 Sales Amount (Expected)","41 Source Type",$C$5,"5 Source No.",$C626,"4 Item Ledger Entry Type",$C$4,"2 Item No.","@@"&amp;$F626,"3 Posting Date",J$9)+NL("Sum","5802 Value Entry","17 Sales Amount (Actual)","41 Source Type",$C$5,"5 Source no.",$C626,"4 Item Ledger Entry Type",$C$4,"2 Item No.","@@"&amp;$F626,"3 Posting Date",J$9)</t>
  </si>
  <si>
    <t>=-NL("Sum","5802 Value Entry","151 Cost Amount (Expected)","41 Source Type",$C$5,"5 Source No.",$C626,"4 Item Ledger Entry Type",$C$4,"2 Item No.","@@"&amp;$F626,"3 Posting Date",J$9)-NL("Sum","5802 Value Entry","43 Cost Amount (Actual)","41 Source Type",$C$5,"5 Source no.",$C626,"4 Item Ledger Entry Type",$C$4,"2 Item No.","@@"&amp;$F626,"3 Posting Date",J$9)</t>
  </si>
  <si>
    <t>=NL("Sum","5802 Value Entry","150 Sales Amount (Expected)","41 Source Type",$C$5,"5 Source No.",$C626,"4 Item Ledger Entry Type",$C$4,"2 Item No.","@@"&amp;$F626,"3 Posting Date",O$9)+NL("Sum","5802 Value Entry","17 Sales Amount (Actual)","41 Source Type",$C$5,"5 Source no.",$C626,"4 Item Ledger Entry Type",$C$4,"2 Item No.","@@"&amp;$F626,"3 Posting Date",O$9)</t>
  </si>
  <si>
    <t>=-NL("Sum","5802 Value Entry","151 Cost Amount (Expected)","41 Source Type",$C$5,"5 Source No.",$C626,"4 Item Ledger Entry Type",$C$4,"2 Item No.","@@"&amp;$F626,"3 Posting Date",O$9)-NL("Sum","5802 Value Entry","43 Cost Amount (Actual)","41 Source Type",$C$5,"5 Source no.",$C626,"4 Item Ledger Entry Type",$C$4,"2 Item No.","@@"&amp;$F626,"3 Posting Date",O$9)</t>
  </si>
  <si>
    <t>=NL("Sum","5802 Value Entry","150 Sales Amount (Expected)","41 Source Type",$C$5,"5 Source No.",$C626,"4 Item Ledger Entry Type",$C$4,"2 Item No.","@@"&amp;$F626,"3 Posting Date",U$9)+NL("Sum","5802 Value Entry","17 Sales Amount (Actual)","41 Source Type",$C$5,"5 Source no.",$C626,"4 Item Ledger Entry Type",$C$4,"2 Item No.","@@"&amp;$F626,"3 Posting Date",U$9)</t>
  </si>
  <si>
    <t>=-NL("Sum","5802 Value Entry","151 Cost Amount (Expected)","41 Source Type",$C$5,"5 Source No.",$C626,"4 Item Ledger Entry Type",$C$4,"2 Item No.","@@"&amp;$F626,"3 Posting Date",U$9)-NL("Sum","5802 Value Entry","43 Cost Amount (Actual)","41 Source Type",$C$5,"5 Source no.",$C626,"4 Item Ledger Entry Type",$C$4,"2 Item No.","@@"&amp;$F626,"3 Posting Date",U$9)</t>
  </si>
  <si>
    <t>=NL("Sum","5802 Value Entry","150 Sales Amount (Expected)","41 Source Type",$C$5,"5 Source No.",$C626,"4 Item Ledger Entry Type",$C$4,"2 Item No.","@@"&amp;$F626,"3 Posting Date",Z$9)+NL("Sum","5802 Value Entry","17 Sales Amount (Actual)","41 Source Type",$C$5,"5 Source no.",$C626,"4 Item Ledger Entry Type",$C$4,"2 Item No.","@@"&amp;$F626,"3 Posting Date",Z$9)</t>
  </si>
  <si>
    <t>=-NL("Sum","5802 Value Entry","151 Cost Amount (Expected)","41 Source Type",$C$5,"5 Source No.",$C626,"4 Item Ledger Entry Type",$C$4,"2 Item No.","@@"&amp;$F626,"3 Posting Date",Z$9)-NL("Sum","5802 Value Entry","43 Cost Amount (Actual)","41 Source Type",$C$5,"5 Source no.",$C626,"4 Item Ledger Entry Type",$C$4,"2 Item No.","@@"&amp;$F626,"3 Posting Date",Z$9)</t>
  </si>
  <si>
    <t>=C626</t>
  </si>
  <si>
    <t>=NL("Sum","5802 Value Entry","150 Sales Amount (Expected)","41 Source Type",$C$5,"5 Source No.",$C627,"4 Item Ledger Entry Type",$C$4,"2 Item No.","@@"&amp;$F627,"3 Posting Date",J$9)+NL("Sum","5802 Value Entry","17 Sales Amount (Actual)","41 Source Type",$C$5,"5 Source no.",$C627,"4 Item Ledger Entry Type",$C$4,"2 Item No.","@@"&amp;$F627,"3 Posting Date",J$9)</t>
  </si>
  <si>
    <t>=-NL("Sum","5802 Value Entry","151 Cost Amount (Expected)","41 Source Type",$C$5,"5 Source No.",$C627,"4 Item Ledger Entry Type",$C$4,"2 Item No.","@@"&amp;$F627,"3 Posting Date",J$9)-NL("Sum","5802 Value Entry","43 Cost Amount (Actual)","41 Source Type",$C$5,"5 Source no.",$C627,"4 Item Ledger Entry Type",$C$4,"2 Item No.","@@"&amp;$F627,"3 Posting Date",J$9)</t>
  </si>
  <si>
    <t>=J627-L627</t>
  </si>
  <si>
    <t>=IF(J627&lt;&gt;0,M627/J627,"")</t>
  </si>
  <si>
    <t>=NL("Sum","5802 Value Entry","150 Sales Amount (Expected)","41 Source Type",$C$5,"5 Source No.",$C627,"4 Item Ledger Entry Type",$C$4,"2 Item No.","@@"&amp;$F627,"3 Posting Date",O$9)+NL("Sum","5802 Value Entry","17 Sales Amount (Actual)","41 Source Type",$C$5,"5 Source no.",$C627,"4 Item Ledger Entry Type",$C$4,"2 Item No.","@@"&amp;$F627,"3 Posting Date",O$9)</t>
  </si>
  <si>
    <t>=-NL("Sum","5802 Value Entry","151 Cost Amount (Expected)","41 Source Type",$C$5,"5 Source No.",$C627,"4 Item Ledger Entry Type",$C$4,"2 Item No.","@@"&amp;$F627,"3 Posting Date",O$9)-NL("Sum","5802 Value Entry","43 Cost Amount (Actual)","41 Source Type",$C$5,"5 Source no.",$C627,"4 Item Ledger Entry Type",$C$4,"2 Item No.","@@"&amp;$F627,"3 Posting Date",O$9)</t>
  </si>
  <si>
    <t>=O627-Q627</t>
  </si>
  <si>
    <t>=IF(O627&lt;&gt;0,R627/O627,"")</t>
  </si>
  <si>
    <t>=NL("Sum","5802 Value Entry","150 Sales Amount (Expected)","41 Source Type",$C$5,"5 Source No.",$C627,"4 Item Ledger Entry Type",$C$4,"2 Item No.","@@"&amp;$F627,"3 Posting Date",U$9)+NL("Sum","5802 Value Entry","17 Sales Amount (Actual)","41 Source Type",$C$5,"5 Source no.",$C627,"4 Item Ledger Entry Type",$C$4,"2 Item No.","@@"&amp;$F627,"3 Posting Date",U$9)</t>
  </si>
  <si>
    <t>=-NL("Sum","5802 Value Entry","151 Cost Amount (Expected)","41 Source Type",$C$5,"5 Source No.",$C627,"4 Item Ledger Entry Type",$C$4,"2 Item No.","@@"&amp;$F627,"3 Posting Date",U$9)-NL("Sum","5802 Value Entry","43 Cost Amount (Actual)","41 Source Type",$C$5,"5 Source no.",$C627,"4 Item Ledger Entry Type",$C$4,"2 Item No.","@@"&amp;$F627,"3 Posting Date",U$9)</t>
  </si>
  <si>
    <t>=U627-W627</t>
  </si>
  <si>
    <t>=IF(U627&lt;&gt;0,X627/U627,"")</t>
  </si>
  <si>
    <t>=NL("Sum","5802 Value Entry","150 Sales Amount (Expected)","41 Source Type",$C$5,"5 Source No.",$C627,"4 Item Ledger Entry Type",$C$4,"2 Item No.","@@"&amp;$F627,"3 Posting Date",Z$9)+NL("Sum","5802 Value Entry","17 Sales Amount (Actual)","41 Source Type",$C$5,"5 Source no.",$C627,"4 Item Ledger Entry Type",$C$4,"2 Item No.","@@"&amp;$F627,"3 Posting Date",Z$9)</t>
  </si>
  <si>
    <t>=-NL("Sum","5802 Value Entry","151 Cost Amount (Expected)","41 Source Type",$C$5,"5 Source No.",$C627,"4 Item Ledger Entry Type",$C$4,"2 Item No.","@@"&amp;$F627,"3 Posting Date",Z$9)-NL("Sum","5802 Value Entry","43 Cost Amount (Actual)","41 Source Type",$C$5,"5 Source no.",$C627,"4 Item Ledger Entry Type",$C$4,"2 Item No.","@@"&amp;$F627,"3 Posting Date",Z$9)</t>
  </si>
  <si>
    <t>=Z627-AB627</t>
  </si>
  <si>
    <t>=IF(Z627&lt;&gt;0,AC627/Z627,"")</t>
  </si>
  <si>
    <t>=C629&amp;" TOTAL:"</t>
  </si>
  <si>
    <t>=SUBTOTAL(9,J617:J628)</t>
  </si>
  <si>
    <t>=SUBTOTAL(9,K617:K628)</t>
  </si>
  <si>
    <t>=SUBTOTAL(9,L617:L628)</t>
  </si>
  <si>
    <t>=J629-L629</t>
  </si>
  <si>
    <t>=IF(J629&lt;&gt;0,M629/J629,"")</t>
  </si>
  <si>
    <t>=SUBTOTAL(9,O617:O628)</t>
  </si>
  <si>
    <t>=SUBTOTAL(9,P617:P628)</t>
  </si>
  <si>
    <t>=SUBTOTAL(9,Q617:Q628)</t>
  </si>
  <si>
    <t>=O629-Q629</t>
  </si>
  <si>
    <t>=IF(O629&lt;&gt;0,R629/O629,"")</t>
  </si>
  <si>
    <t>=SUBTOTAL(9,U617:U628)</t>
  </si>
  <si>
    <t>=SUBTOTAL(9,V617:V628)</t>
  </si>
  <si>
    <t>=SUBTOTAL(9,W617:W628)</t>
  </si>
  <si>
    <t>=U629-W629</t>
  </si>
  <si>
    <t>=IF(U629&lt;&gt;0,X629/U629,"")</t>
  </si>
  <si>
    <t>=SUBTOTAL(9,Z617:Z628)</t>
  </si>
  <si>
    <t>=SUBTOTAL(9,AA617:AA628)</t>
  </si>
  <si>
    <t>=SUBTOTAL(9,AB617:AB628)</t>
  </si>
  <si>
    <t>=Z629-AB629</t>
  </si>
  <si>
    <t>=IF(Z629&lt;&gt;0,AC629/Z629,"")</t>
  </si>
  <si>
    <t>=E631</t>
  </si>
  <si>
    <t>=NL(,"18 Customer","2 Name","1 No.",$E631)</t>
  </si>
  <si>
    <t>=NL("Rows","5802 Value Entry","2 Item No.","4 Item Ledger Entry Type",$C$4,"41 Source Type",$C$5,"5 Source No.",$C633,"Item No.",$C$7,"3 Posting Date",$C$10)</t>
  </si>
  <si>
    <t>=C660</t>
  </si>
  <si>
    <t>=NL("Sum","5802 Value Entry","150 Sales Amount (Expected)","41 Source Type",$C$5,"5 Source No.",$C661,"4 Item Ledger Entry Type",$C$4,"2 Item No.","@@"&amp;$F661,"3 Posting Date",J$9)+NL("Sum","5802 Value Entry","17 Sales Amount (Actual)","41 Source Type",$C$5,"5 Source no.",$C661,"4 Item Ledger Entry Type",$C$4,"2 Item No.","@@"&amp;$F661,"3 Posting Date",J$9)</t>
  </si>
  <si>
    <t>=-NL("Sum","5802 Value Entry","151 Cost Amount (Expected)","41 Source Type",$C$5,"5 Source No.",$C661,"4 Item Ledger Entry Type",$C$4,"2 Item No.","@@"&amp;$F661,"3 Posting Date",J$9)-NL("Sum","5802 Value Entry","43 Cost Amount (Actual)","41 Source Type",$C$5,"5 Source no.",$C661,"4 Item Ledger Entry Type",$C$4,"2 Item No.","@@"&amp;$F661,"3 Posting Date",J$9)</t>
  </si>
  <si>
    <t>=J661-L661</t>
  </si>
  <si>
    <t>=IF(J661&lt;&gt;0,M661/J661,"")</t>
  </si>
  <si>
    <t>=NL("Sum","5802 Value Entry","150 Sales Amount (Expected)","41 Source Type",$C$5,"5 Source No.",$C661,"4 Item Ledger Entry Type",$C$4,"2 Item No.","@@"&amp;$F661,"3 Posting Date",O$9)+NL("Sum","5802 Value Entry","17 Sales Amount (Actual)","41 Source Type",$C$5,"5 Source no.",$C661,"4 Item Ledger Entry Type",$C$4,"2 Item No.","@@"&amp;$F661,"3 Posting Date",O$9)</t>
  </si>
  <si>
    <t>=-NL("Sum","5802 Value Entry","151 Cost Amount (Expected)","41 Source Type",$C$5,"5 Source No.",$C661,"4 Item Ledger Entry Type",$C$4,"2 Item No.","@@"&amp;$F661,"3 Posting Date",O$9)-NL("Sum","5802 Value Entry","43 Cost Amount (Actual)","41 Source Type",$C$5,"5 Source no.",$C661,"4 Item Ledger Entry Type",$C$4,"2 Item No.","@@"&amp;$F661,"3 Posting Date",O$9)</t>
  </si>
  <si>
    <t>=O661-Q661</t>
  </si>
  <si>
    <t>=IF(O661&lt;&gt;0,R661/O661,"")</t>
  </si>
  <si>
    <t>=NL("Sum","5802 Value Entry","150 Sales Amount (Expected)","41 Source Type",$C$5,"5 Source No.",$C661,"4 Item Ledger Entry Type",$C$4,"2 Item No.","@@"&amp;$F661,"3 Posting Date",U$9)+NL("Sum","5802 Value Entry","17 Sales Amount (Actual)","41 Source Type",$C$5,"5 Source no.",$C661,"4 Item Ledger Entry Type",$C$4,"2 Item No.","@@"&amp;$F661,"3 Posting Date",U$9)</t>
  </si>
  <si>
    <t>=-NL("Sum","5802 Value Entry","151 Cost Amount (Expected)","41 Source Type",$C$5,"5 Source No.",$C661,"4 Item Ledger Entry Type",$C$4,"2 Item No.","@@"&amp;$F661,"3 Posting Date",U$9)-NL("Sum","5802 Value Entry","43 Cost Amount (Actual)","41 Source Type",$C$5,"5 Source no.",$C661,"4 Item Ledger Entry Type",$C$4,"2 Item No.","@@"&amp;$F661,"3 Posting Date",U$9)</t>
  </si>
  <si>
    <t>=U661-W661</t>
  </si>
  <si>
    <t>=IF(U661&lt;&gt;0,X661/U661,"")</t>
  </si>
  <si>
    <t>=NL("Sum","5802 Value Entry","150 Sales Amount (Expected)","41 Source Type",$C$5,"5 Source No.",$C661,"4 Item Ledger Entry Type",$C$4,"2 Item No.","@@"&amp;$F661,"3 Posting Date",Z$9)+NL("Sum","5802 Value Entry","17 Sales Amount (Actual)","41 Source Type",$C$5,"5 Source no.",$C661,"4 Item Ledger Entry Type",$C$4,"2 Item No.","@@"&amp;$F661,"3 Posting Date",Z$9)</t>
  </si>
  <si>
    <t>=-NL("Sum","5802 Value Entry","151 Cost Amount (Expected)","41 Source Type",$C$5,"5 Source No.",$C661,"4 Item Ledger Entry Type",$C$4,"2 Item No.","@@"&amp;$F661,"3 Posting Date",Z$9)-NL("Sum","5802 Value Entry","43 Cost Amount (Actual)","41 Source Type",$C$5,"5 Source no.",$C661,"4 Item Ledger Entry Type",$C$4,"2 Item No.","@@"&amp;$F661,"3 Posting Date",Z$9)</t>
  </si>
  <si>
    <t>=Z661-AB661</t>
  </si>
  <si>
    <t>=IF(Z661&lt;&gt;0,AC661/Z661,"")</t>
  </si>
  <si>
    <t>=NL("Sum","5802 Value Entry","150 Sales Amount (Expected)","41 Source Type",$C$5,"5 Source No.",$C662,"4 Item Ledger Entry Type",$C$4,"2 Item No.","@@"&amp;$F662,"3 Posting Date",J$9)+NL("Sum","5802 Value Entry","17 Sales Amount (Actual)","41 Source Type",$C$5,"5 Source no.",$C662,"4 Item Ledger Entry Type",$C$4,"2 Item No.","@@"&amp;$F662,"3 Posting Date",J$9)</t>
  </si>
  <si>
    <t>=-NL("Sum","5802 Value Entry","151 Cost Amount (Expected)","41 Source Type",$C$5,"5 Source No.",$C662,"4 Item Ledger Entry Type",$C$4,"2 Item No.","@@"&amp;$F662,"3 Posting Date",J$9)-NL("Sum","5802 Value Entry","43 Cost Amount (Actual)","41 Source Type",$C$5,"5 Source no.",$C662,"4 Item Ledger Entry Type",$C$4,"2 Item No.","@@"&amp;$F662,"3 Posting Date",J$9)</t>
  </si>
  <si>
    <t>=NL("Sum","5802 Value Entry","150 Sales Amount (Expected)","41 Source Type",$C$5,"5 Source No.",$C662,"4 Item Ledger Entry Type",$C$4,"2 Item No.","@@"&amp;$F662,"3 Posting Date",O$9)+NL("Sum","5802 Value Entry","17 Sales Amount (Actual)","41 Source Type",$C$5,"5 Source no.",$C662,"4 Item Ledger Entry Type",$C$4,"2 Item No.","@@"&amp;$F662,"3 Posting Date",O$9)</t>
  </si>
  <si>
    <t>=-NL("Sum","5802 Value Entry","151 Cost Amount (Expected)","41 Source Type",$C$5,"5 Source No.",$C662,"4 Item Ledger Entry Type",$C$4,"2 Item No.","@@"&amp;$F662,"3 Posting Date",O$9)-NL("Sum","5802 Value Entry","43 Cost Amount (Actual)","41 Source Type",$C$5,"5 Source no.",$C662,"4 Item Ledger Entry Type",$C$4,"2 Item No.","@@"&amp;$F662,"3 Posting Date",O$9)</t>
  </si>
  <si>
    <t>=NL("Sum","5802 Value Entry","150 Sales Amount (Expected)","41 Source Type",$C$5,"5 Source No.",$C662,"4 Item Ledger Entry Type",$C$4,"2 Item No.","@@"&amp;$F662,"3 Posting Date",U$9)+NL("Sum","5802 Value Entry","17 Sales Amount (Actual)","41 Source Type",$C$5,"5 Source no.",$C662,"4 Item Ledger Entry Type",$C$4,"2 Item No.","@@"&amp;$F662,"3 Posting Date",U$9)</t>
  </si>
  <si>
    <t>=-NL("Sum","5802 Value Entry","151 Cost Amount (Expected)","41 Source Type",$C$5,"5 Source No.",$C662,"4 Item Ledger Entry Type",$C$4,"2 Item No.","@@"&amp;$F662,"3 Posting Date",U$9)-NL("Sum","5802 Value Entry","43 Cost Amount (Actual)","41 Source Type",$C$5,"5 Source no.",$C662,"4 Item Ledger Entry Type",$C$4,"2 Item No.","@@"&amp;$F662,"3 Posting Date",U$9)</t>
  </si>
  <si>
    <t>=NL("Sum","5802 Value Entry","150 Sales Amount (Expected)","41 Source Type",$C$5,"5 Source No.",$C662,"4 Item Ledger Entry Type",$C$4,"2 Item No.","@@"&amp;$F662,"3 Posting Date",Z$9)+NL("Sum","5802 Value Entry","17 Sales Amount (Actual)","41 Source Type",$C$5,"5 Source no.",$C662,"4 Item Ledger Entry Type",$C$4,"2 Item No.","@@"&amp;$F662,"3 Posting Date",Z$9)</t>
  </si>
  <si>
    <t>=-NL("Sum","5802 Value Entry","151 Cost Amount (Expected)","41 Source Type",$C$5,"5 Source No.",$C662,"4 Item Ledger Entry Type",$C$4,"2 Item No.","@@"&amp;$F662,"3 Posting Date",Z$9)-NL("Sum","5802 Value Entry","43 Cost Amount (Actual)","41 Source Type",$C$5,"5 Source no.",$C662,"4 Item Ledger Entry Type",$C$4,"2 Item No.","@@"&amp;$F662,"3 Posting Date",Z$9)</t>
  </si>
  <si>
    <t>=C662</t>
  </si>
  <si>
    <t>=NL("Sum","5802 Value Entry","150 Sales Amount (Expected)","41 Source Type",$C$5,"5 Source No.",$C663,"4 Item Ledger Entry Type",$C$4,"2 Item No.","@@"&amp;$F663,"3 Posting Date",J$9)+NL("Sum","5802 Value Entry","17 Sales Amount (Actual)","41 Source Type",$C$5,"5 Source no.",$C663,"4 Item Ledger Entry Type",$C$4,"2 Item No.","@@"&amp;$F663,"3 Posting Date",J$9)</t>
  </si>
  <si>
    <t>=-NL("Sum","5802 Value Entry","151 Cost Amount (Expected)","41 Source Type",$C$5,"5 Source No.",$C663,"4 Item Ledger Entry Type",$C$4,"2 Item No.","@@"&amp;$F663,"3 Posting Date",J$9)-NL("Sum","5802 Value Entry","43 Cost Amount (Actual)","41 Source Type",$C$5,"5 Source no.",$C663,"4 Item Ledger Entry Type",$C$4,"2 Item No.","@@"&amp;$F663,"3 Posting Date",J$9)</t>
  </si>
  <si>
    <t>=J663-L663</t>
  </si>
  <si>
    <t>=IF(J663&lt;&gt;0,M663/J663,"")</t>
  </si>
  <si>
    <t>=NL("Sum","5802 Value Entry","150 Sales Amount (Expected)","41 Source Type",$C$5,"5 Source No.",$C663,"4 Item Ledger Entry Type",$C$4,"2 Item No.","@@"&amp;$F663,"3 Posting Date",O$9)+NL("Sum","5802 Value Entry","17 Sales Amount (Actual)","41 Source Type",$C$5,"5 Source no.",$C663,"4 Item Ledger Entry Type",$C$4,"2 Item No.","@@"&amp;$F663,"3 Posting Date",O$9)</t>
  </si>
  <si>
    <t>=-NL("Sum","5802 Value Entry","151 Cost Amount (Expected)","41 Source Type",$C$5,"5 Source No.",$C663,"4 Item Ledger Entry Type",$C$4,"2 Item No.","@@"&amp;$F663,"3 Posting Date",O$9)-NL("Sum","5802 Value Entry","43 Cost Amount (Actual)","41 Source Type",$C$5,"5 Source no.",$C663,"4 Item Ledger Entry Type",$C$4,"2 Item No.","@@"&amp;$F663,"3 Posting Date",O$9)</t>
  </si>
  <si>
    <t>=O663-Q663</t>
  </si>
  <si>
    <t>=IF(O663&lt;&gt;0,R663/O663,"")</t>
  </si>
  <si>
    <t>=NL("Sum","5802 Value Entry","150 Sales Amount (Expected)","41 Source Type",$C$5,"5 Source No.",$C663,"4 Item Ledger Entry Type",$C$4,"2 Item No.","@@"&amp;$F663,"3 Posting Date",U$9)+NL("Sum","5802 Value Entry","17 Sales Amount (Actual)","41 Source Type",$C$5,"5 Source no.",$C663,"4 Item Ledger Entry Type",$C$4,"2 Item No.","@@"&amp;$F663,"3 Posting Date",U$9)</t>
  </si>
  <si>
    <t>=-NL("Sum","5802 Value Entry","151 Cost Amount (Expected)","41 Source Type",$C$5,"5 Source No.",$C663,"4 Item Ledger Entry Type",$C$4,"2 Item No.","@@"&amp;$F663,"3 Posting Date",U$9)-NL("Sum","5802 Value Entry","43 Cost Amount (Actual)","41 Source Type",$C$5,"5 Source no.",$C663,"4 Item Ledger Entry Type",$C$4,"2 Item No.","@@"&amp;$F663,"3 Posting Date",U$9)</t>
  </si>
  <si>
    <t>=U663-W663</t>
  </si>
  <si>
    <t>=IF(U663&lt;&gt;0,X663/U663,"")</t>
  </si>
  <si>
    <t>=NL("Sum","5802 Value Entry","150 Sales Amount (Expected)","41 Source Type",$C$5,"5 Source No.",$C663,"4 Item Ledger Entry Type",$C$4,"2 Item No.","@@"&amp;$F663,"3 Posting Date",Z$9)+NL("Sum","5802 Value Entry","17 Sales Amount (Actual)","41 Source Type",$C$5,"5 Source no.",$C663,"4 Item Ledger Entry Type",$C$4,"2 Item No.","@@"&amp;$F663,"3 Posting Date",Z$9)</t>
  </si>
  <si>
    <t>=-NL("Sum","5802 Value Entry","151 Cost Amount (Expected)","41 Source Type",$C$5,"5 Source No.",$C663,"4 Item Ledger Entry Type",$C$4,"2 Item No.","@@"&amp;$F663,"3 Posting Date",Z$9)-NL("Sum","5802 Value Entry","43 Cost Amount (Actual)","41 Source Type",$C$5,"5 Source no.",$C663,"4 Item Ledger Entry Type",$C$4,"2 Item No.","@@"&amp;$F663,"3 Posting Date",Z$9)</t>
  </si>
  <si>
    <t>=Z663-AB663</t>
  </si>
  <si>
    <t>=IF(Z663&lt;&gt;0,AC663/Z663,"")</t>
  </si>
  <si>
    <t>=C663</t>
  </si>
  <si>
    <t>=NL("Sum","5802 Value Entry","150 Sales Amount (Expected)","41 Source Type",$C$5,"5 Source No.",$C664,"4 Item Ledger Entry Type",$C$4,"2 Item No.","@@"&amp;$F664,"3 Posting Date",J$9)+NL("Sum","5802 Value Entry","17 Sales Amount (Actual)","41 Source Type",$C$5,"5 Source no.",$C664,"4 Item Ledger Entry Type",$C$4,"2 Item No.","@@"&amp;$F664,"3 Posting Date",J$9)</t>
  </si>
  <si>
    <t>=-NL("Sum","5802 Value Entry","151 Cost Amount (Expected)","41 Source Type",$C$5,"5 Source No.",$C664,"4 Item Ledger Entry Type",$C$4,"2 Item No.","@@"&amp;$F664,"3 Posting Date",J$9)-NL("Sum","5802 Value Entry","43 Cost Amount (Actual)","41 Source Type",$C$5,"5 Source no.",$C664,"4 Item Ledger Entry Type",$C$4,"2 Item No.","@@"&amp;$F664,"3 Posting Date",J$9)</t>
  </si>
  <si>
    <t>=J664-L664</t>
  </si>
  <si>
    <t>=IF(J664&lt;&gt;0,M664/J664,"")</t>
  </si>
  <si>
    <t>=NL("Sum","5802 Value Entry","150 Sales Amount (Expected)","41 Source Type",$C$5,"5 Source No.",$C664,"4 Item Ledger Entry Type",$C$4,"2 Item No.","@@"&amp;$F664,"3 Posting Date",O$9)+NL("Sum","5802 Value Entry","17 Sales Amount (Actual)","41 Source Type",$C$5,"5 Source no.",$C664,"4 Item Ledger Entry Type",$C$4,"2 Item No.","@@"&amp;$F664,"3 Posting Date",O$9)</t>
  </si>
  <si>
    <t>=-NL("Sum","5802 Value Entry","151 Cost Amount (Expected)","41 Source Type",$C$5,"5 Source No.",$C664,"4 Item Ledger Entry Type",$C$4,"2 Item No.","@@"&amp;$F664,"3 Posting Date",O$9)-NL("Sum","5802 Value Entry","43 Cost Amount (Actual)","41 Source Type",$C$5,"5 Source no.",$C664,"4 Item Ledger Entry Type",$C$4,"2 Item No.","@@"&amp;$F664,"3 Posting Date",O$9)</t>
  </si>
  <si>
    <t>=O664-Q664</t>
  </si>
  <si>
    <t>=IF(O664&lt;&gt;0,R664/O664,"")</t>
  </si>
  <si>
    <t>=NL("Sum","5802 Value Entry","150 Sales Amount (Expected)","41 Source Type",$C$5,"5 Source No.",$C664,"4 Item Ledger Entry Type",$C$4,"2 Item No.","@@"&amp;$F664,"3 Posting Date",U$9)+NL("Sum","5802 Value Entry","17 Sales Amount (Actual)","41 Source Type",$C$5,"5 Source no.",$C664,"4 Item Ledger Entry Type",$C$4,"2 Item No.","@@"&amp;$F664,"3 Posting Date",U$9)</t>
  </si>
  <si>
    <t>=-NL("Sum","5802 Value Entry","151 Cost Amount (Expected)","41 Source Type",$C$5,"5 Source No.",$C664,"4 Item Ledger Entry Type",$C$4,"2 Item No.","@@"&amp;$F664,"3 Posting Date",U$9)-NL("Sum","5802 Value Entry","43 Cost Amount (Actual)","41 Source Type",$C$5,"5 Source no.",$C664,"4 Item Ledger Entry Type",$C$4,"2 Item No.","@@"&amp;$F664,"3 Posting Date",U$9)</t>
  </si>
  <si>
    <t>=U664-W664</t>
  </si>
  <si>
    <t>=IF(U664&lt;&gt;0,X664/U664,"")</t>
  </si>
  <si>
    <t>=NL("Sum","5802 Value Entry","150 Sales Amount (Expected)","41 Source Type",$C$5,"5 Source No.",$C664,"4 Item Ledger Entry Type",$C$4,"2 Item No.","@@"&amp;$F664,"3 Posting Date",Z$9)+NL("Sum","5802 Value Entry","17 Sales Amount (Actual)","41 Source Type",$C$5,"5 Source no.",$C664,"4 Item Ledger Entry Type",$C$4,"2 Item No.","@@"&amp;$F664,"3 Posting Date",Z$9)</t>
  </si>
  <si>
    <t>=-NL("Sum","5802 Value Entry","151 Cost Amount (Expected)","41 Source Type",$C$5,"5 Source No.",$C664,"4 Item Ledger Entry Type",$C$4,"2 Item No.","@@"&amp;$F664,"3 Posting Date",Z$9)-NL("Sum","5802 Value Entry","43 Cost Amount (Actual)","41 Source Type",$C$5,"5 Source no.",$C664,"4 Item Ledger Entry Type",$C$4,"2 Item No.","@@"&amp;$F664,"3 Posting Date",Z$9)</t>
  </si>
  <si>
    <t>=Z664-AB664</t>
  </si>
  <si>
    <t>=IF(Z664&lt;&gt;0,AC664/Z664,"")</t>
  </si>
  <si>
    <t>=NL("Sum","5802 Value Entry","150 Sales Amount (Expected)","41 Source Type",$C$5,"5 Source No.",$C665,"4 Item Ledger Entry Type",$C$4,"2 Item No.","@@"&amp;$F665,"3 Posting Date",J$9)+NL("Sum","5802 Value Entry","17 Sales Amount (Actual)","41 Source Type",$C$5,"5 Source no.",$C665,"4 Item Ledger Entry Type",$C$4,"2 Item No.","@@"&amp;$F665,"3 Posting Date",J$9)</t>
  </si>
  <si>
    <t>=-NL("Sum","5802 Value Entry","151 Cost Amount (Expected)","41 Source Type",$C$5,"5 Source No.",$C665,"4 Item Ledger Entry Type",$C$4,"2 Item No.","@@"&amp;$F665,"3 Posting Date",J$9)-NL("Sum","5802 Value Entry","43 Cost Amount (Actual)","41 Source Type",$C$5,"5 Source no.",$C665,"4 Item Ledger Entry Type",$C$4,"2 Item No.","@@"&amp;$F665,"3 Posting Date",J$9)</t>
  </si>
  <si>
    <t>=J665-L665</t>
  </si>
  <si>
    <t>=IF(J665&lt;&gt;0,M665/J665,"")</t>
  </si>
  <si>
    <t>=NL("Sum","5802 Value Entry","150 Sales Amount (Expected)","41 Source Type",$C$5,"5 Source No.",$C665,"4 Item Ledger Entry Type",$C$4,"2 Item No.","@@"&amp;$F665,"3 Posting Date",O$9)+NL("Sum","5802 Value Entry","17 Sales Amount (Actual)","41 Source Type",$C$5,"5 Source no.",$C665,"4 Item Ledger Entry Type",$C$4,"2 Item No.","@@"&amp;$F665,"3 Posting Date",O$9)</t>
  </si>
  <si>
    <t>=-NL("Sum","5802 Value Entry","151 Cost Amount (Expected)","41 Source Type",$C$5,"5 Source No.",$C665,"4 Item Ledger Entry Type",$C$4,"2 Item No.","@@"&amp;$F665,"3 Posting Date",O$9)-NL("Sum","5802 Value Entry","43 Cost Amount (Actual)","41 Source Type",$C$5,"5 Source no.",$C665,"4 Item Ledger Entry Type",$C$4,"2 Item No.","@@"&amp;$F665,"3 Posting Date",O$9)</t>
  </si>
  <si>
    <t>=O665-Q665</t>
  </si>
  <si>
    <t>=IF(O665&lt;&gt;0,R665/O665,"")</t>
  </si>
  <si>
    <t>=NL("Sum","5802 Value Entry","150 Sales Amount (Expected)","41 Source Type",$C$5,"5 Source No.",$C665,"4 Item Ledger Entry Type",$C$4,"2 Item No.","@@"&amp;$F665,"3 Posting Date",U$9)+NL("Sum","5802 Value Entry","17 Sales Amount (Actual)","41 Source Type",$C$5,"5 Source no.",$C665,"4 Item Ledger Entry Type",$C$4,"2 Item No.","@@"&amp;$F665,"3 Posting Date",U$9)</t>
  </si>
  <si>
    <t>=-NL("Sum","5802 Value Entry","151 Cost Amount (Expected)","41 Source Type",$C$5,"5 Source No.",$C665,"4 Item Ledger Entry Type",$C$4,"2 Item No.","@@"&amp;$F665,"3 Posting Date",U$9)-NL("Sum","5802 Value Entry","43 Cost Amount (Actual)","41 Source Type",$C$5,"5 Source no.",$C665,"4 Item Ledger Entry Type",$C$4,"2 Item No.","@@"&amp;$F665,"3 Posting Date",U$9)</t>
  </si>
  <si>
    <t>=U665-W665</t>
  </si>
  <si>
    <t>=IF(U665&lt;&gt;0,X665/U665,"")</t>
  </si>
  <si>
    <t>=NL("Sum","5802 Value Entry","150 Sales Amount (Expected)","41 Source Type",$C$5,"5 Source No.",$C665,"4 Item Ledger Entry Type",$C$4,"2 Item No.","@@"&amp;$F665,"3 Posting Date",Z$9)+NL("Sum","5802 Value Entry","17 Sales Amount (Actual)","41 Source Type",$C$5,"5 Source no.",$C665,"4 Item Ledger Entry Type",$C$4,"2 Item No.","@@"&amp;$F665,"3 Posting Date",Z$9)</t>
  </si>
  <si>
    <t>=-NL("Sum","5802 Value Entry","151 Cost Amount (Expected)","41 Source Type",$C$5,"5 Source No.",$C665,"4 Item Ledger Entry Type",$C$4,"2 Item No.","@@"&amp;$F665,"3 Posting Date",Z$9)-NL("Sum","5802 Value Entry","43 Cost Amount (Actual)","41 Source Type",$C$5,"5 Source no.",$C665,"4 Item Ledger Entry Type",$C$4,"2 Item No.","@@"&amp;$F665,"3 Posting Date",Z$9)</t>
  </si>
  <si>
    <t>=Z665-AB665</t>
  </si>
  <si>
    <t>=IF(Z665&lt;&gt;0,AC665/Z665,"")</t>
  </si>
  <si>
    <t>=C686&amp;" TOTAL:"</t>
  </si>
  <si>
    <t>=SUBTOTAL(9,J632:J685)</t>
  </si>
  <si>
    <t>=SUBTOTAL(9,K632:K685)</t>
  </si>
  <si>
    <t>=SUBTOTAL(9,L632:L685)</t>
  </si>
  <si>
    <t>=SUBTOTAL(9,O632:O685)</t>
  </si>
  <si>
    <t>=SUBTOTAL(9,P632:P685)</t>
  </si>
  <si>
    <t>=SUBTOTAL(9,Q632:Q685)</t>
  </si>
  <si>
    <t>=SUBTOTAL(9,U632:U685)</t>
  </si>
  <si>
    <t>=SUBTOTAL(9,V632:V685)</t>
  </si>
  <si>
    <t>=SUBTOTAL(9,W632:W685)</t>
  </si>
  <si>
    <t>=SUBTOTAL(9,Z632:Z685)</t>
  </si>
  <si>
    <t>=SUBTOTAL(9,AA632:AA685)</t>
  </si>
  <si>
    <t>=SUBTOTAL(9,AB632:AB685)</t>
  </si>
  <si>
    <t>=E688</t>
  </si>
  <si>
    <t>=NL(,"18 Customer","2 Name","1 No.",$E688)</t>
  </si>
  <si>
    <t>=NL("Rows","5802 Value Entry","2 Item No.","4 Item Ledger Entry Type",$C$4,"41 Source Type",$C$5,"5 Source No.",$C690,"Item No.",$C$7,"3 Posting Date",$C$10)</t>
  </si>
  <si>
    <t>=C704&amp;" TOTAL:"</t>
  </si>
  <si>
    <t>=SUBTOTAL(9,J689:J703)</t>
  </si>
  <si>
    <t>=SUBTOTAL(9,K689:K703)</t>
  </si>
  <si>
    <t>=SUBTOTAL(9,L689:L703)</t>
  </si>
  <si>
    <t>=SUBTOTAL(9,O689:O703)</t>
  </si>
  <si>
    <t>=SUBTOTAL(9,P689:P703)</t>
  </si>
  <si>
    <t>=SUBTOTAL(9,Q689:Q703)</t>
  </si>
  <si>
    <t>=SUBTOTAL(9,U689:U703)</t>
  </si>
  <si>
    <t>=SUBTOTAL(9,V689:V703)</t>
  </si>
  <si>
    <t>=SUBTOTAL(9,W689:W703)</t>
  </si>
  <si>
    <t>=SUBTOTAL(9,Z689:Z703)</t>
  </si>
  <si>
    <t>=SUBTOTAL(9,AA689:AA703)</t>
  </si>
  <si>
    <t>=SUBTOTAL(9,AB689:AB703)</t>
  </si>
  <si>
    <t>=E706</t>
  </si>
  <si>
    <t>=NL(,"18 Customer","2 Name","1 No.",$E706)</t>
  </si>
  <si>
    <t>=C707</t>
  </si>
  <si>
    <t>=NL("Rows","5802 Value Entry","2 Item No.","4 Item Ledger Entry Type",$C$4,"41 Source Type",$C$5,"5 Source No.",$C708,"Item No.",$C$7,"3 Posting Date",$C$10)</t>
  </si>
  <si>
    <t>=NL("Sum","5802 Value Entry","150 Sales Amount (Expected)","41 Source Type",$C$5,"5 Source No.",$C708,"4 Item Ledger Entry Type",$C$4,"2 Item No.","@@"&amp;$F708,"3 Posting Date",J$9)+NL("Sum","5802 Value Entry","17 Sales Amount (Actual)","41 Source Type",$C$5,"5 Source no.",$C708,"4 Item Ledger Entry Type",$C$4,"2 Item No.","@@"&amp;$F708,"3 Posting Date",J$9)</t>
  </si>
  <si>
    <t>=-NL("Sum","5802 Value Entry","151 Cost Amount (Expected)","41 Source Type",$C$5,"5 Source No.",$C708,"4 Item Ledger Entry Type",$C$4,"2 Item No.","@@"&amp;$F708,"3 Posting Date",J$9)-NL("Sum","5802 Value Entry","43 Cost Amount (Actual)","41 Source Type",$C$5,"5 Source no.",$C708,"4 Item Ledger Entry Type",$C$4,"2 Item No.","@@"&amp;$F708,"3 Posting Date",J$9)</t>
  </si>
  <si>
    <t>=J708-L708</t>
  </si>
  <si>
    <t>=IF(J708&lt;&gt;0,M708/J708,"")</t>
  </si>
  <si>
    <t>=NL("Sum","5802 Value Entry","150 Sales Amount (Expected)","41 Source Type",$C$5,"5 Source No.",$C708,"4 Item Ledger Entry Type",$C$4,"2 Item No.","@@"&amp;$F708,"3 Posting Date",O$9)+NL("Sum","5802 Value Entry","17 Sales Amount (Actual)","41 Source Type",$C$5,"5 Source no.",$C708,"4 Item Ledger Entry Type",$C$4,"2 Item No.","@@"&amp;$F708,"3 Posting Date",O$9)</t>
  </si>
  <si>
    <t>=-NL("Sum","5802 Value Entry","151 Cost Amount (Expected)","41 Source Type",$C$5,"5 Source No.",$C708,"4 Item Ledger Entry Type",$C$4,"2 Item No.","@@"&amp;$F708,"3 Posting Date",O$9)-NL("Sum","5802 Value Entry","43 Cost Amount (Actual)","41 Source Type",$C$5,"5 Source no.",$C708,"4 Item Ledger Entry Type",$C$4,"2 Item No.","@@"&amp;$F708,"3 Posting Date",O$9)</t>
  </si>
  <si>
    <t>=O708-Q708</t>
  </si>
  <si>
    <t>=IF(O708&lt;&gt;0,R708/O708,"")</t>
  </si>
  <si>
    <t>=NL("Sum","5802 Value Entry","150 Sales Amount (Expected)","41 Source Type",$C$5,"5 Source No.",$C708,"4 Item Ledger Entry Type",$C$4,"2 Item No.","@@"&amp;$F708,"3 Posting Date",U$9)+NL("Sum","5802 Value Entry","17 Sales Amount (Actual)","41 Source Type",$C$5,"5 Source no.",$C708,"4 Item Ledger Entry Type",$C$4,"2 Item No.","@@"&amp;$F708,"3 Posting Date",U$9)</t>
  </si>
  <si>
    <t>=-NL("Sum","5802 Value Entry","151 Cost Amount (Expected)","41 Source Type",$C$5,"5 Source No.",$C708,"4 Item Ledger Entry Type",$C$4,"2 Item No.","@@"&amp;$F708,"3 Posting Date",U$9)-NL("Sum","5802 Value Entry","43 Cost Amount (Actual)","41 Source Type",$C$5,"5 Source no.",$C708,"4 Item Ledger Entry Type",$C$4,"2 Item No.","@@"&amp;$F708,"3 Posting Date",U$9)</t>
  </si>
  <si>
    <t>=U708-W708</t>
  </si>
  <si>
    <t>=IF(U708&lt;&gt;0,X708/U708,"")</t>
  </si>
  <si>
    <t>=NL("Sum","5802 Value Entry","150 Sales Amount (Expected)","41 Source Type",$C$5,"5 Source No.",$C708,"4 Item Ledger Entry Type",$C$4,"2 Item No.","@@"&amp;$F708,"3 Posting Date",Z$9)+NL("Sum","5802 Value Entry","17 Sales Amount (Actual)","41 Source Type",$C$5,"5 Source no.",$C708,"4 Item Ledger Entry Type",$C$4,"2 Item No.","@@"&amp;$F708,"3 Posting Date",Z$9)</t>
  </si>
  <si>
    <t>=-NL("Sum","5802 Value Entry","151 Cost Amount (Expected)","41 Source Type",$C$5,"5 Source No.",$C708,"4 Item Ledger Entry Type",$C$4,"2 Item No.","@@"&amp;$F708,"3 Posting Date",Z$9)-NL("Sum","5802 Value Entry","43 Cost Amount (Actual)","41 Source Type",$C$5,"5 Source no.",$C708,"4 Item Ledger Entry Type",$C$4,"2 Item No.","@@"&amp;$F708,"3 Posting Date",Z$9)</t>
  </si>
  <si>
    <t>=Z708-AB708</t>
  </si>
  <si>
    <t>=IF(Z708&lt;&gt;0,AC708/Z708,"")</t>
  </si>
  <si>
    <t>=NL("Sum","5802 Value Entry","150 Sales Amount (Expected)","41 Source Type",$C$5,"5 Source No.",$C709,"4 Item Ledger Entry Type",$C$4,"2 Item No.","@@"&amp;$F709,"3 Posting Date",J$9)+NL("Sum","5802 Value Entry","17 Sales Amount (Actual)","41 Source Type",$C$5,"5 Source no.",$C709,"4 Item Ledger Entry Type",$C$4,"2 Item No.","@@"&amp;$F709,"3 Posting Date",J$9)</t>
  </si>
  <si>
    <t>=-NL("Sum","5802 Value Entry","151 Cost Amount (Expected)","41 Source Type",$C$5,"5 Source No.",$C709,"4 Item Ledger Entry Type",$C$4,"2 Item No.","@@"&amp;$F709,"3 Posting Date",J$9)-NL("Sum","5802 Value Entry","43 Cost Amount (Actual)","41 Source Type",$C$5,"5 Source no.",$C709,"4 Item Ledger Entry Type",$C$4,"2 Item No.","@@"&amp;$F709,"3 Posting Date",J$9)</t>
  </si>
  <si>
    <t>=NL("Sum","5802 Value Entry","150 Sales Amount (Expected)","41 Source Type",$C$5,"5 Source No.",$C709,"4 Item Ledger Entry Type",$C$4,"2 Item No.","@@"&amp;$F709,"3 Posting Date",O$9)+NL("Sum","5802 Value Entry","17 Sales Amount (Actual)","41 Source Type",$C$5,"5 Source no.",$C709,"4 Item Ledger Entry Type",$C$4,"2 Item No.","@@"&amp;$F709,"3 Posting Date",O$9)</t>
  </si>
  <si>
    <t>=-NL("Sum","5802 Value Entry","151 Cost Amount (Expected)","41 Source Type",$C$5,"5 Source No.",$C709,"4 Item Ledger Entry Type",$C$4,"2 Item No.","@@"&amp;$F709,"3 Posting Date",O$9)-NL("Sum","5802 Value Entry","43 Cost Amount (Actual)","41 Source Type",$C$5,"5 Source no.",$C709,"4 Item Ledger Entry Type",$C$4,"2 Item No.","@@"&amp;$F709,"3 Posting Date",O$9)</t>
  </si>
  <si>
    <t>=NL("Sum","5802 Value Entry","150 Sales Amount (Expected)","41 Source Type",$C$5,"5 Source No.",$C709,"4 Item Ledger Entry Type",$C$4,"2 Item No.","@@"&amp;$F709,"3 Posting Date",U$9)+NL("Sum","5802 Value Entry","17 Sales Amount (Actual)","41 Source Type",$C$5,"5 Source no.",$C709,"4 Item Ledger Entry Type",$C$4,"2 Item No.","@@"&amp;$F709,"3 Posting Date",U$9)</t>
  </si>
  <si>
    <t>=-NL("Sum","5802 Value Entry","151 Cost Amount (Expected)","41 Source Type",$C$5,"5 Source No.",$C709,"4 Item Ledger Entry Type",$C$4,"2 Item No.","@@"&amp;$F709,"3 Posting Date",U$9)-NL("Sum","5802 Value Entry","43 Cost Amount (Actual)","41 Source Type",$C$5,"5 Source no.",$C709,"4 Item Ledger Entry Type",$C$4,"2 Item No.","@@"&amp;$F709,"3 Posting Date",U$9)</t>
  </si>
  <si>
    <t>=NL("Sum","5802 Value Entry","150 Sales Amount (Expected)","41 Source Type",$C$5,"5 Source No.",$C709,"4 Item Ledger Entry Type",$C$4,"2 Item No.","@@"&amp;$F709,"3 Posting Date",Z$9)+NL("Sum","5802 Value Entry","17 Sales Amount (Actual)","41 Source Type",$C$5,"5 Source no.",$C709,"4 Item Ledger Entry Type",$C$4,"2 Item No.","@@"&amp;$F709,"3 Posting Date",Z$9)</t>
  </si>
  <si>
    <t>=-NL("Sum","5802 Value Entry","151 Cost Amount (Expected)","41 Source Type",$C$5,"5 Source No.",$C709,"4 Item Ledger Entry Type",$C$4,"2 Item No.","@@"&amp;$F709,"3 Posting Date",Z$9)-NL("Sum","5802 Value Entry","43 Cost Amount (Actual)","41 Source Type",$C$5,"5 Source no.",$C709,"4 Item Ledger Entry Type",$C$4,"2 Item No.","@@"&amp;$F709,"3 Posting Date",Z$9)</t>
  </si>
  <si>
    <t>=C709</t>
  </si>
  <si>
    <t>=NL("Sum","5802 Value Entry","150 Sales Amount (Expected)","41 Source Type",$C$5,"5 Source No.",$C710,"4 Item Ledger Entry Type",$C$4,"2 Item No.","@@"&amp;$F710,"3 Posting Date",J$9)+NL("Sum","5802 Value Entry","17 Sales Amount (Actual)","41 Source Type",$C$5,"5 Source no.",$C710,"4 Item Ledger Entry Type",$C$4,"2 Item No.","@@"&amp;$F710,"3 Posting Date",J$9)</t>
  </si>
  <si>
    <t>=-NL("Sum","5802 Value Entry","151 Cost Amount (Expected)","41 Source Type",$C$5,"5 Source No.",$C710,"4 Item Ledger Entry Type",$C$4,"2 Item No.","@@"&amp;$F710,"3 Posting Date",J$9)-NL("Sum","5802 Value Entry","43 Cost Amount (Actual)","41 Source Type",$C$5,"5 Source no.",$C710,"4 Item Ledger Entry Type",$C$4,"2 Item No.","@@"&amp;$F710,"3 Posting Date",J$9)</t>
  </si>
  <si>
    <t>=J710-L710</t>
  </si>
  <si>
    <t>=IF(J710&lt;&gt;0,M710/J710,"")</t>
  </si>
  <si>
    <t>=NL("Sum","5802 Value Entry","150 Sales Amount (Expected)","41 Source Type",$C$5,"5 Source No.",$C710,"4 Item Ledger Entry Type",$C$4,"2 Item No.","@@"&amp;$F710,"3 Posting Date",O$9)+NL("Sum","5802 Value Entry","17 Sales Amount (Actual)","41 Source Type",$C$5,"5 Source no.",$C710,"4 Item Ledger Entry Type",$C$4,"2 Item No.","@@"&amp;$F710,"3 Posting Date",O$9)</t>
  </si>
  <si>
    <t>=-NL("Sum","5802 Value Entry","151 Cost Amount (Expected)","41 Source Type",$C$5,"5 Source No.",$C710,"4 Item Ledger Entry Type",$C$4,"2 Item No.","@@"&amp;$F710,"3 Posting Date",O$9)-NL("Sum","5802 Value Entry","43 Cost Amount (Actual)","41 Source Type",$C$5,"5 Source no.",$C710,"4 Item Ledger Entry Type",$C$4,"2 Item No.","@@"&amp;$F710,"3 Posting Date",O$9)</t>
  </si>
  <si>
    <t>=O710-Q710</t>
  </si>
  <si>
    <t>=IF(O710&lt;&gt;0,R710/O710,"")</t>
  </si>
  <si>
    <t>=NL("Sum","5802 Value Entry","150 Sales Amount (Expected)","41 Source Type",$C$5,"5 Source No.",$C710,"4 Item Ledger Entry Type",$C$4,"2 Item No.","@@"&amp;$F710,"3 Posting Date",U$9)+NL("Sum","5802 Value Entry","17 Sales Amount (Actual)","41 Source Type",$C$5,"5 Source no.",$C710,"4 Item Ledger Entry Type",$C$4,"2 Item No.","@@"&amp;$F710,"3 Posting Date",U$9)</t>
  </si>
  <si>
    <t>=-NL("Sum","5802 Value Entry","151 Cost Amount (Expected)","41 Source Type",$C$5,"5 Source No.",$C710,"4 Item Ledger Entry Type",$C$4,"2 Item No.","@@"&amp;$F710,"3 Posting Date",U$9)-NL("Sum","5802 Value Entry","43 Cost Amount (Actual)","41 Source Type",$C$5,"5 Source no.",$C710,"4 Item Ledger Entry Type",$C$4,"2 Item No.","@@"&amp;$F710,"3 Posting Date",U$9)</t>
  </si>
  <si>
    <t>=U710-W710</t>
  </si>
  <si>
    <t>=IF(U710&lt;&gt;0,X710/U710,"")</t>
  </si>
  <si>
    <t>=NL("Sum","5802 Value Entry","150 Sales Amount (Expected)","41 Source Type",$C$5,"5 Source No.",$C710,"4 Item Ledger Entry Type",$C$4,"2 Item No.","@@"&amp;$F710,"3 Posting Date",Z$9)+NL("Sum","5802 Value Entry","17 Sales Amount (Actual)","41 Source Type",$C$5,"5 Source no.",$C710,"4 Item Ledger Entry Type",$C$4,"2 Item No.","@@"&amp;$F710,"3 Posting Date",Z$9)</t>
  </si>
  <si>
    <t>=-NL("Sum","5802 Value Entry","151 Cost Amount (Expected)","41 Source Type",$C$5,"5 Source No.",$C710,"4 Item Ledger Entry Type",$C$4,"2 Item No.","@@"&amp;$F710,"3 Posting Date",Z$9)-NL("Sum","5802 Value Entry","43 Cost Amount (Actual)","41 Source Type",$C$5,"5 Source no.",$C710,"4 Item Ledger Entry Type",$C$4,"2 Item No.","@@"&amp;$F710,"3 Posting Date",Z$9)</t>
  </si>
  <si>
    <t>=Z710-AB710</t>
  </si>
  <si>
    <t>=IF(Z710&lt;&gt;0,AC710/Z710,"")</t>
  </si>
  <si>
    <t>=C710</t>
  </si>
  <si>
    <t>=NL("Sum","5802 Value Entry","150 Sales Amount (Expected)","41 Source Type",$C$5,"5 Source No.",$C711,"4 Item Ledger Entry Type",$C$4,"2 Item No.","@@"&amp;$F711,"3 Posting Date",J$9)+NL("Sum","5802 Value Entry","17 Sales Amount (Actual)","41 Source Type",$C$5,"5 Source no.",$C711,"4 Item Ledger Entry Type",$C$4,"2 Item No.","@@"&amp;$F711,"3 Posting Date",J$9)</t>
  </si>
  <si>
    <t>=-NL("Sum","5802 Value Entry","151 Cost Amount (Expected)","41 Source Type",$C$5,"5 Source No.",$C711,"4 Item Ledger Entry Type",$C$4,"2 Item No.","@@"&amp;$F711,"3 Posting Date",J$9)-NL("Sum","5802 Value Entry","43 Cost Amount (Actual)","41 Source Type",$C$5,"5 Source no.",$C711,"4 Item Ledger Entry Type",$C$4,"2 Item No.","@@"&amp;$F711,"3 Posting Date",J$9)</t>
  </si>
  <si>
    <t>=J711-L711</t>
  </si>
  <si>
    <t>=IF(J711&lt;&gt;0,M711/J711,"")</t>
  </si>
  <si>
    <t>=NL("Sum","5802 Value Entry","150 Sales Amount (Expected)","41 Source Type",$C$5,"5 Source No.",$C711,"4 Item Ledger Entry Type",$C$4,"2 Item No.","@@"&amp;$F711,"3 Posting Date",O$9)+NL("Sum","5802 Value Entry","17 Sales Amount (Actual)","41 Source Type",$C$5,"5 Source no.",$C711,"4 Item Ledger Entry Type",$C$4,"2 Item No.","@@"&amp;$F711,"3 Posting Date",O$9)</t>
  </si>
  <si>
    <t>=-NL("Sum","5802 Value Entry","151 Cost Amount (Expected)","41 Source Type",$C$5,"5 Source No.",$C711,"4 Item Ledger Entry Type",$C$4,"2 Item No.","@@"&amp;$F711,"3 Posting Date",O$9)-NL("Sum","5802 Value Entry","43 Cost Amount (Actual)","41 Source Type",$C$5,"5 Source no.",$C711,"4 Item Ledger Entry Type",$C$4,"2 Item No.","@@"&amp;$F711,"3 Posting Date",O$9)</t>
  </si>
  <si>
    <t>=O711-Q711</t>
  </si>
  <si>
    <t>=IF(O711&lt;&gt;0,R711/O711,"")</t>
  </si>
  <si>
    <t>=NL("Sum","5802 Value Entry","150 Sales Amount (Expected)","41 Source Type",$C$5,"5 Source No.",$C711,"4 Item Ledger Entry Type",$C$4,"2 Item No.","@@"&amp;$F711,"3 Posting Date",U$9)+NL("Sum","5802 Value Entry","17 Sales Amount (Actual)","41 Source Type",$C$5,"5 Source no.",$C711,"4 Item Ledger Entry Type",$C$4,"2 Item No.","@@"&amp;$F711,"3 Posting Date",U$9)</t>
  </si>
  <si>
    <t>=-NL("Sum","5802 Value Entry","151 Cost Amount (Expected)","41 Source Type",$C$5,"5 Source No.",$C711,"4 Item Ledger Entry Type",$C$4,"2 Item No.","@@"&amp;$F711,"3 Posting Date",U$9)-NL("Sum","5802 Value Entry","43 Cost Amount (Actual)","41 Source Type",$C$5,"5 Source no.",$C711,"4 Item Ledger Entry Type",$C$4,"2 Item No.","@@"&amp;$F711,"3 Posting Date",U$9)</t>
  </si>
  <si>
    <t>=U711-W711</t>
  </si>
  <si>
    <t>=IF(U711&lt;&gt;0,X711/U711,"")</t>
  </si>
  <si>
    <t>=NL("Sum","5802 Value Entry","150 Sales Amount (Expected)","41 Source Type",$C$5,"5 Source No.",$C711,"4 Item Ledger Entry Type",$C$4,"2 Item No.","@@"&amp;$F711,"3 Posting Date",Z$9)+NL("Sum","5802 Value Entry","17 Sales Amount (Actual)","41 Source Type",$C$5,"5 Source no.",$C711,"4 Item Ledger Entry Type",$C$4,"2 Item No.","@@"&amp;$F711,"3 Posting Date",Z$9)</t>
  </si>
  <si>
    <t>=-NL("Sum","5802 Value Entry","151 Cost Amount (Expected)","41 Source Type",$C$5,"5 Source No.",$C711,"4 Item Ledger Entry Type",$C$4,"2 Item No.","@@"&amp;$F711,"3 Posting Date",Z$9)-NL("Sum","5802 Value Entry","43 Cost Amount (Actual)","41 Source Type",$C$5,"5 Source no.",$C711,"4 Item Ledger Entry Type",$C$4,"2 Item No.","@@"&amp;$F711,"3 Posting Date",Z$9)</t>
  </si>
  <si>
    <t>=Z711-AB711</t>
  </si>
  <si>
    <t>=IF(Z711&lt;&gt;0,AC711/Z711,"")</t>
  </si>
  <si>
    <t>=NL("Sum","5802 Value Entry","150 Sales Amount (Expected)","41 Source Type",$C$5,"5 Source No.",$C712,"4 Item Ledger Entry Type",$C$4,"2 Item No.","@@"&amp;$F712,"3 Posting Date",J$9)+NL("Sum","5802 Value Entry","17 Sales Amount (Actual)","41 Source Type",$C$5,"5 Source no.",$C712,"4 Item Ledger Entry Type",$C$4,"2 Item No.","@@"&amp;$F712,"3 Posting Date",J$9)</t>
  </si>
  <si>
    <t>=-NL("Sum","5802 Value Entry","151 Cost Amount (Expected)","41 Source Type",$C$5,"5 Source No.",$C712,"4 Item Ledger Entry Type",$C$4,"2 Item No.","@@"&amp;$F712,"3 Posting Date",J$9)-NL("Sum","5802 Value Entry","43 Cost Amount (Actual)","41 Source Type",$C$5,"5 Source no.",$C712,"4 Item Ledger Entry Type",$C$4,"2 Item No.","@@"&amp;$F712,"3 Posting Date",J$9)</t>
  </si>
  <si>
    <t>=J712-L712</t>
  </si>
  <si>
    <t>=IF(J712&lt;&gt;0,M712/J712,"")</t>
  </si>
  <si>
    <t>=NL("Sum","5802 Value Entry","150 Sales Amount (Expected)","41 Source Type",$C$5,"5 Source No.",$C712,"4 Item Ledger Entry Type",$C$4,"2 Item No.","@@"&amp;$F712,"3 Posting Date",O$9)+NL("Sum","5802 Value Entry","17 Sales Amount (Actual)","41 Source Type",$C$5,"5 Source no.",$C712,"4 Item Ledger Entry Type",$C$4,"2 Item No.","@@"&amp;$F712,"3 Posting Date",O$9)</t>
  </si>
  <si>
    <t>=-NL("Sum","5802 Value Entry","151 Cost Amount (Expected)","41 Source Type",$C$5,"5 Source No.",$C712,"4 Item Ledger Entry Type",$C$4,"2 Item No.","@@"&amp;$F712,"3 Posting Date",O$9)-NL("Sum","5802 Value Entry","43 Cost Amount (Actual)","41 Source Type",$C$5,"5 Source no.",$C712,"4 Item Ledger Entry Type",$C$4,"2 Item No.","@@"&amp;$F712,"3 Posting Date",O$9)</t>
  </si>
  <si>
    <t>=O712-Q712</t>
  </si>
  <si>
    <t>=IF(O712&lt;&gt;0,R712/O712,"")</t>
  </si>
  <si>
    <t>=NL("Sum","5802 Value Entry","150 Sales Amount (Expected)","41 Source Type",$C$5,"5 Source No.",$C712,"4 Item Ledger Entry Type",$C$4,"2 Item No.","@@"&amp;$F712,"3 Posting Date",U$9)+NL("Sum","5802 Value Entry","17 Sales Amount (Actual)","41 Source Type",$C$5,"5 Source no.",$C712,"4 Item Ledger Entry Type",$C$4,"2 Item No.","@@"&amp;$F712,"3 Posting Date",U$9)</t>
  </si>
  <si>
    <t>=-NL("Sum","5802 Value Entry","151 Cost Amount (Expected)","41 Source Type",$C$5,"5 Source No.",$C712,"4 Item Ledger Entry Type",$C$4,"2 Item No.","@@"&amp;$F712,"3 Posting Date",U$9)-NL("Sum","5802 Value Entry","43 Cost Amount (Actual)","41 Source Type",$C$5,"5 Source no.",$C712,"4 Item Ledger Entry Type",$C$4,"2 Item No.","@@"&amp;$F712,"3 Posting Date",U$9)</t>
  </si>
  <si>
    <t>=U712-W712</t>
  </si>
  <si>
    <t>=IF(U712&lt;&gt;0,X712/U712,"")</t>
  </si>
  <si>
    <t>=NL("Sum","5802 Value Entry","150 Sales Amount (Expected)","41 Source Type",$C$5,"5 Source No.",$C712,"4 Item Ledger Entry Type",$C$4,"2 Item No.","@@"&amp;$F712,"3 Posting Date",Z$9)+NL("Sum","5802 Value Entry","17 Sales Amount (Actual)","41 Source Type",$C$5,"5 Source no.",$C712,"4 Item Ledger Entry Type",$C$4,"2 Item No.","@@"&amp;$F712,"3 Posting Date",Z$9)</t>
  </si>
  <si>
    <t>=-NL("Sum","5802 Value Entry","151 Cost Amount (Expected)","41 Source Type",$C$5,"5 Source No.",$C712,"4 Item Ledger Entry Type",$C$4,"2 Item No.","@@"&amp;$F712,"3 Posting Date",Z$9)-NL("Sum","5802 Value Entry","43 Cost Amount (Actual)","41 Source Type",$C$5,"5 Source no.",$C712,"4 Item Ledger Entry Type",$C$4,"2 Item No.","@@"&amp;$F712,"3 Posting Date",Z$9)</t>
  </si>
  <si>
    <t>=Z712-AB712</t>
  </si>
  <si>
    <t>=IF(Z712&lt;&gt;0,AC712/Z712,"")</t>
  </si>
  <si>
    <t>=C741&amp;" TOTAL:"</t>
  </si>
  <si>
    <t>=SUBTOTAL(9,J707:J740)</t>
  </si>
  <si>
    <t>=SUBTOTAL(9,K707:K740)</t>
  </si>
  <si>
    <t>=SUBTOTAL(9,L707:L740)</t>
  </si>
  <si>
    <t>=SUBTOTAL(9,O707:O740)</t>
  </si>
  <si>
    <t>=SUBTOTAL(9,P707:P740)</t>
  </si>
  <si>
    <t>=SUBTOTAL(9,Q707:Q740)</t>
  </si>
  <si>
    <t>=SUBTOTAL(9,U707:U740)</t>
  </si>
  <si>
    <t>=SUBTOTAL(9,V707:V740)</t>
  </si>
  <si>
    <t>=SUBTOTAL(9,W707:W740)</t>
  </si>
  <si>
    <t>=SUBTOTAL(9,Z707:Z740)</t>
  </si>
  <si>
    <t>=SUBTOTAL(9,AA707:AA740)</t>
  </si>
  <si>
    <t>=SUBTOTAL(9,AB707:AB740)</t>
  </si>
  <si>
    <t>=E743</t>
  </si>
  <si>
    <t>=NL(,"18 Customer","2 Name","1 No.",$E743)</t>
  </si>
  <si>
    <t>=NL("Rows","5802 Value Entry","2 Item No.","4 Item Ledger Entry Type",$C$4,"41 Source Type",$C$5,"5 Source No.",$C745,"Item No.",$C$7,"3 Posting Date",$C$10)</t>
  </si>
  <si>
    <t>=C760</t>
  </si>
  <si>
    <t>=NL("Sum","5802 Value Entry","150 Sales Amount (Expected)","41 Source Type",$C$5,"5 Source No.",$C761,"4 Item Ledger Entry Type",$C$4,"2 Item No.","@@"&amp;$F761,"3 Posting Date",J$9)+NL("Sum","5802 Value Entry","17 Sales Amount (Actual)","41 Source Type",$C$5,"5 Source no.",$C761,"4 Item Ledger Entry Type",$C$4,"2 Item No.","@@"&amp;$F761,"3 Posting Date",J$9)</t>
  </si>
  <si>
    <t>=-NL("Sum","5802 Value Entry","151 Cost Amount (Expected)","41 Source Type",$C$5,"5 Source No.",$C761,"4 Item Ledger Entry Type",$C$4,"2 Item No.","@@"&amp;$F761,"3 Posting Date",J$9)-NL("Sum","5802 Value Entry","43 Cost Amount (Actual)","41 Source Type",$C$5,"5 Source no.",$C761,"4 Item Ledger Entry Type",$C$4,"2 Item No.","@@"&amp;$F761,"3 Posting Date",J$9)</t>
  </si>
  <si>
    <t>=J761-L761</t>
  </si>
  <si>
    <t>=IF(J761&lt;&gt;0,M761/J761,"")</t>
  </si>
  <si>
    <t>=NL("Sum","5802 Value Entry","150 Sales Amount (Expected)","41 Source Type",$C$5,"5 Source No.",$C761,"4 Item Ledger Entry Type",$C$4,"2 Item No.","@@"&amp;$F761,"3 Posting Date",O$9)+NL("Sum","5802 Value Entry","17 Sales Amount (Actual)","41 Source Type",$C$5,"5 Source no.",$C761,"4 Item Ledger Entry Type",$C$4,"2 Item No.","@@"&amp;$F761,"3 Posting Date",O$9)</t>
  </si>
  <si>
    <t>=-NL("Sum","5802 Value Entry","151 Cost Amount (Expected)","41 Source Type",$C$5,"5 Source No.",$C761,"4 Item Ledger Entry Type",$C$4,"2 Item No.","@@"&amp;$F761,"3 Posting Date",O$9)-NL("Sum","5802 Value Entry","43 Cost Amount (Actual)","41 Source Type",$C$5,"5 Source no.",$C761,"4 Item Ledger Entry Type",$C$4,"2 Item No.","@@"&amp;$F761,"3 Posting Date",O$9)</t>
  </si>
  <si>
    <t>=O761-Q761</t>
  </si>
  <si>
    <t>=IF(O761&lt;&gt;0,R761/O761,"")</t>
  </si>
  <si>
    <t>=NL("Sum","5802 Value Entry","150 Sales Amount (Expected)","41 Source Type",$C$5,"5 Source No.",$C761,"4 Item Ledger Entry Type",$C$4,"2 Item No.","@@"&amp;$F761,"3 Posting Date",U$9)+NL("Sum","5802 Value Entry","17 Sales Amount (Actual)","41 Source Type",$C$5,"5 Source no.",$C761,"4 Item Ledger Entry Type",$C$4,"2 Item No.","@@"&amp;$F761,"3 Posting Date",U$9)</t>
  </si>
  <si>
    <t>=-NL("Sum","5802 Value Entry","151 Cost Amount (Expected)","41 Source Type",$C$5,"5 Source No.",$C761,"4 Item Ledger Entry Type",$C$4,"2 Item No.","@@"&amp;$F761,"3 Posting Date",U$9)-NL("Sum","5802 Value Entry","43 Cost Amount (Actual)","41 Source Type",$C$5,"5 Source no.",$C761,"4 Item Ledger Entry Type",$C$4,"2 Item No.","@@"&amp;$F761,"3 Posting Date",U$9)</t>
  </si>
  <si>
    <t>=U761-W761</t>
  </si>
  <si>
    <t>=IF(U761&lt;&gt;0,X761/U761,"")</t>
  </si>
  <si>
    <t>=NL("Sum","5802 Value Entry","150 Sales Amount (Expected)","41 Source Type",$C$5,"5 Source No.",$C761,"4 Item Ledger Entry Type",$C$4,"2 Item No.","@@"&amp;$F761,"3 Posting Date",Z$9)+NL("Sum","5802 Value Entry","17 Sales Amount (Actual)","41 Source Type",$C$5,"5 Source no.",$C761,"4 Item Ledger Entry Type",$C$4,"2 Item No.","@@"&amp;$F761,"3 Posting Date",Z$9)</t>
  </si>
  <si>
    <t>=-NL("Sum","5802 Value Entry","151 Cost Amount (Expected)","41 Source Type",$C$5,"5 Source No.",$C761,"4 Item Ledger Entry Type",$C$4,"2 Item No.","@@"&amp;$F761,"3 Posting Date",Z$9)-NL("Sum","5802 Value Entry","43 Cost Amount (Actual)","41 Source Type",$C$5,"5 Source no.",$C761,"4 Item Ledger Entry Type",$C$4,"2 Item No.","@@"&amp;$F761,"3 Posting Date",Z$9)</t>
  </si>
  <si>
    <t>=Z761-AB761</t>
  </si>
  <si>
    <t>=IF(Z761&lt;&gt;0,AC761/Z761,"")</t>
  </si>
  <si>
    <t>=NL("Sum","5802 Value Entry","150 Sales Amount (Expected)","41 Source Type",$C$5,"5 Source No.",$C762,"4 Item Ledger Entry Type",$C$4,"2 Item No.","@@"&amp;$F762,"3 Posting Date",J$9)+NL("Sum","5802 Value Entry","17 Sales Amount (Actual)","41 Source Type",$C$5,"5 Source no.",$C762,"4 Item Ledger Entry Type",$C$4,"2 Item No.","@@"&amp;$F762,"3 Posting Date",J$9)</t>
  </si>
  <si>
    <t>=-NL("Sum","5802 Value Entry","151 Cost Amount (Expected)","41 Source Type",$C$5,"5 Source No.",$C762,"4 Item Ledger Entry Type",$C$4,"2 Item No.","@@"&amp;$F762,"3 Posting Date",J$9)-NL("Sum","5802 Value Entry","43 Cost Amount (Actual)","41 Source Type",$C$5,"5 Source no.",$C762,"4 Item Ledger Entry Type",$C$4,"2 Item No.","@@"&amp;$F762,"3 Posting Date",J$9)</t>
  </si>
  <si>
    <t>=NL("Sum","5802 Value Entry","150 Sales Amount (Expected)","41 Source Type",$C$5,"5 Source No.",$C762,"4 Item Ledger Entry Type",$C$4,"2 Item No.","@@"&amp;$F762,"3 Posting Date",O$9)+NL("Sum","5802 Value Entry","17 Sales Amount (Actual)","41 Source Type",$C$5,"5 Source no.",$C762,"4 Item Ledger Entry Type",$C$4,"2 Item No.","@@"&amp;$F762,"3 Posting Date",O$9)</t>
  </si>
  <si>
    <t>=-NL("Sum","5802 Value Entry","151 Cost Amount (Expected)","41 Source Type",$C$5,"5 Source No.",$C762,"4 Item Ledger Entry Type",$C$4,"2 Item No.","@@"&amp;$F762,"3 Posting Date",O$9)-NL("Sum","5802 Value Entry","43 Cost Amount (Actual)","41 Source Type",$C$5,"5 Source no.",$C762,"4 Item Ledger Entry Type",$C$4,"2 Item No.","@@"&amp;$F762,"3 Posting Date",O$9)</t>
  </si>
  <si>
    <t>=NL("Sum","5802 Value Entry","150 Sales Amount (Expected)","41 Source Type",$C$5,"5 Source No.",$C762,"4 Item Ledger Entry Type",$C$4,"2 Item No.","@@"&amp;$F762,"3 Posting Date",U$9)+NL("Sum","5802 Value Entry","17 Sales Amount (Actual)","41 Source Type",$C$5,"5 Source no.",$C762,"4 Item Ledger Entry Type",$C$4,"2 Item No.","@@"&amp;$F762,"3 Posting Date",U$9)</t>
  </si>
  <si>
    <t>=-NL("Sum","5802 Value Entry","151 Cost Amount (Expected)","41 Source Type",$C$5,"5 Source No.",$C762,"4 Item Ledger Entry Type",$C$4,"2 Item No.","@@"&amp;$F762,"3 Posting Date",U$9)-NL("Sum","5802 Value Entry","43 Cost Amount (Actual)","41 Source Type",$C$5,"5 Source no.",$C762,"4 Item Ledger Entry Type",$C$4,"2 Item No.","@@"&amp;$F762,"3 Posting Date",U$9)</t>
  </si>
  <si>
    <t>=NL("Sum","5802 Value Entry","150 Sales Amount (Expected)","41 Source Type",$C$5,"5 Source No.",$C762,"4 Item Ledger Entry Type",$C$4,"2 Item No.","@@"&amp;$F762,"3 Posting Date",Z$9)+NL("Sum","5802 Value Entry","17 Sales Amount (Actual)","41 Source Type",$C$5,"5 Source no.",$C762,"4 Item Ledger Entry Type",$C$4,"2 Item No.","@@"&amp;$F762,"3 Posting Date",Z$9)</t>
  </si>
  <si>
    <t>=-NL("Sum","5802 Value Entry","151 Cost Amount (Expected)","41 Source Type",$C$5,"5 Source No.",$C762,"4 Item Ledger Entry Type",$C$4,"2 Item No.","@@"&amp;$F762,"3 Posting Date",Z$9)-NL("Sum","5802 Value Entry","43 Cost Amount (Actual)","41 Source Type",$C$5,"5 Source no.",$C762,"4 Item Ledger Entry Type",$C$4,"2 Item No.","@@"&amp;$F762,"3 Posting Date",Z$9)</t>
  </si>
  <si>
    <t>=C762</t>
  </si>
  <si>
    <t>=NL("Sum","5802 Value Entry","150 Sales Amount (Expected)","41 Source Type",$C$5,"5 Source No.",$C763,"4 Item Ledger Entry Type",$C$4,"2 Item No.","@@"&amp;$F763,"3 Posting Date",J$9)+NL("Sum","5802 Value Entry","17 Sales Amount (Actual)","41 Source Type",$C$5,"5 Source no.",$C763,"4 Item Ledger Entry Type",$C$4,"2 Item No.","@@"&amp;$F763,"3 Posting Date",J$9)</t>
  </si>
  <si>
    <t>=-NL("Sum","5802 Value Entry","151 Cost Amount (Expected)","41 Source Type",$C$5,"5 Source No.",$C763,"4 Item Ledger Entry Type",$C$4,"2 Item No.","@@"&amp;$F763,"3 Posting Date",J$9)-NL("Sum","5802 Value Entry","43 Cost Amount (Actual)","41 Source Type",$C$5,"5 Source no.",$C763,"4 Item Ledger Entry Type",$C$4,"2 Item No.","@@"&amp;$F763,"3 Posting Date",J$9)</t>
  </si>
  <si>
    <t>=J763-L763</t>
  </si>
  <si>
    <t>=IF(J763&lt;&gt;0,M763/J763,"")</t>
  </si>
  <si>
    <t>=NL("Sum","5802 Value Entry","150 Sales Amount (Expected)","41 Source Type",$C$5,"5 Source No.",$C763,"4 Item Ledger Entry Type",$C$4,"2 Item No.","@@"&amp;$F763,"3 Posting Date",O$9)+NL("Sum","5802 Value Entry","17 Sales Amount (Actual)","41 Source Type",$C$5,"5 Source no.",$C763,"4 Item Ledger Entry Type",$C$4,"2 Item No.","@@"&amp;$F763,"3 Posting Date",O$9)</t>
  </si>
  <si>
    <t>=-NL("Sum","5802 Value Entry","151 Cost Amount (Expected)","41 Source Type",$C$5,"5 Source No.",$C763,"4 Item Ledger Entry Type",$C$4,"2 Item No.","@@"&amp;$F763,"3 Posting Date",O$9)-NL("Sum","5802 Value Entry","43 Cost Amount (Actual)","41 Source Type",$C$5,"5 Source no.",$C763,"4 Item Ledger Entry Type",$C$4,"2 Item No.","@@"&amp;$F763,"3 Posting Date",O$9)</t>
  </si>
  <si>
    <t>=O763-Q763</t>
  </si>
  <si>
    <t>=IF(O763&lt;&gt;0,R763/O763,"")</t>
  </si>
  <si>
    <t>=NL("Sum","5802 Value Entry","150 Sales Amount (Expected)","41 Source Type",$C$5,"5 Source No.",$C763,"4 Item Ledger Entry Type",$C$4,"2 Item No.","@@"&amp;$F763,"3 Posting Date",U$9)+NL("Sum","5802 Value Entry","17 Sales Amount (Actual)","41 Source Type",$C$5,"5 Source no.",$C763,"4 Item Ledger Entry Type",$C$4,"2 Item No.","@@"&amp;$F763,"3 Posting Date",U$9)</t>
  </si>
  <si>
    <t>=-NL("Sum","5802 Value Entry","151 Cost Amount (Expected)","41 Source Type",$C$5,"5 Source No.",$C763,"4 Item Ledger Entry Type",$C$4,"2 Item No.","@@"&amp;$F763,"3 Posting Date",U$9)-NL("Sum","5802 Value Entry","43 Cost Amount (Actual)","41 Source Type",$C$5,"5 Source no.",$C763,"4 Item Ledger Entry Type",$C$4,"2 Item No.","@@"&amp;$F763,"3 Posting Date",U$9)</t>
  </si>
  <si>
    <t>=U763-W763</t>
  </si>
  <si>
    <t>=IF(U763&lt;&gt;0,X763/U763,"")</t>
  </si>
  <si>
    <t>=NL("Sum","5802 Value Entry","150 Sales Amount (Expected)","41 Source Type",$C$5,"5 Source No.",$C763,"4 Item Ledger Entry Type",$C$4,"2 Item No.","@@"&amp;$F763,"3 Posting Date",Z$9)+NL("Sum","5802 Value Entry","17 Sales Amount (Actual)","41 Source Type",$C$5,"5 Source no.",$C763,"4 Item Ledger Entry Type",$C$4,"2 Item No.","@@"&amp;$F763,"3 Posting Date",Z$9)</t>
  </si>
  <si>
    <t>=-NL("Sum","5802 Value Entry","151 Cost Amount (Expected)","41 Source Type",$C$5,"5 Source No.",$C763,"4 Item Ledger Entry Type",$C$4,"2 Item No.","@@"&amp;$F763,"3 Posting Date",Z$9)-NL("Sum","5802 Value Entry","43 Cost Amount (Actual)","41 Source Type",$C$5,"5 Source no.",$C763,"4 Item Ledger Entry Type",$C$4,"2 Item No.","@@"&amp;$F763,"3 Posting Date",Z$9)</t>
  </si>
  <si>
    <t>=Z763-AB763</t>
  </si>
  <si>
    <t>=IF(Z763&lt;&gt;0,AC763/Z763,"")</t>
  </si>
  <si>
    <t>=C763</t>
  </si>
  <si>
    <t>=NL("Sum","5802 Value Entry","150 Sales Amount (Expected)","41 Source Type",$C$5,"5 Source No.",$C764,"4 Item Ledger Entry Type",$C$4,"2 Item No.","@@"&amp;$F764,"3 Posting Date",J$9)+NL("Sum","5802 Value Entry","17 Sales Amount (Actual)","41 Source Type",$C$5,"5 Source no.",$C764,"4 Item Ledger Entry Type",$C$4,"2 Item No.","@@"&amp;$F764,"3 Posting Date",J$9)</t>
  </si>
  <si>
    <t>=-NL("Sum","5802 Value Entry","151 Cost Amount (Expected)","41 Source Type",$C$5,"5 Source No.",$C764,"4 Item Ledger Entry Type",$C$4,"2 Item No.","@@"&amp;$F764,"3 Posting Date",J$9)-NL("Sum","5802 Value Entry","43 Cost Amount (Actual)","41 Source Type",$C$5,"5 Source no.",$C764,"4 Item Ledger Entry Type",$C$4,"2 Item No.","@@"&amp;$F764,"3 Posting Date",J$9)</t>
  </si>
  <si>
    <t>=J764-L764</t>
  </si>
  <si>
    <t>=IF(J764&lt;&gt;0,M764/J764,"")</t>
  </si>
  <si>
    <t>=NL("Sum","5802 Value Entry","150 Sales Amount (Expected)","41 Source Type",$C$5,"5 Source No.",$C764,"4 Item Ledger Entry Type",$C$4,"2 Item No.","@@"&amp;$F764,"3 Posting Date",O$9)+NL("Sum","5802 Value Entry","17 Sales Amount (Actual)","41 Source Type",$C$5,"5 Source no.",$C764,"4 Item Ledger Entry Type",$C$4,"2 Item No.","@@"&amp;$F764,"3 Posting Date",O$9)</t>
  </si>
  <si>
    <t>=-NL("Sum","5802 Value Entry","151 Cost Amount (Expected)","41 Source Type",$C$5,"5 Source No.",$C764,"4 Item Ledger Entry Type",$C$4,"2 Item No.","@@"&amp;$F764,"3 Posting Date",O$9)-NL("Sum","5802 Value Entry","43 Cost Amount (Actual)","41 Source Type",$C$5,"5 Source no.",$C764,"4 Item Ledger Entry Type",$C$4,"2 Item No.","@@"&amp;$F764,"3 Posting Date",O$9)</t>
  </si>
  <si>
    <t>=O764-Q764</t>
  </si>
  <si>
    <t>=IF(O764&lt;&gt;0,R764/O764,"")</t>
  </si>
  <si>
    <t>=NL("Sum","5802 Value Entry","150 Sales Amount (Expected)","41 Source Type",$C$5,"5 Source No.",$C764,"4 Item Ledger Entry Type",$C$4,"2 Item No.","@@"&amp;$F764,"3 Posting Date",U$9)+NL("Sum","5802 Value Entry","17 Sales Amount (Actual)","41 Source Type",$C$5,"5 Source no.",$C764,"4 Item Ledger Entry Type",$C$4,"2 Item No.","@@"&amp;$F764,"3 Posting Date",U$9)</t>
  </si>
  <si>
    <t>=-NL("Sum","5802 Value Entry","151 Cost Amount (Expected)","41 Source Type",$C$5,"5 Source No.",$C764,"4 Item Ledger Entry Type",$C$4,"2 Item No.","@@"&amp;$F764,"3 Posting Date",U$9)-NL("Sum","5802 Value Entry","43 Cost Amount (Actual)","41 Source Type",$C$5,"5 Source no.",$C764,"4 Item Ledger Entry Type",$C$4,"2 Item No.","@@"&amp;$F764,"3 Posting Date",U$9)</t>
  </si>
  <si>
    <t>=U764-W764</t>
  </si>
  <si>
    <t>=IF(U764&lt;&gt;0,X764/U764,"")</t>
  </si>
  <si>
    <t>=NL("Sum","5802 Value Entry","150 Sales Amount (Expected)","41 Source Type",$C$5,"5 Source No.",$C764,"4 Item Ledger Entry Type",$C$4,"2 Item No.","@@"&amp;$F764,"3 Posting Date",Z$9)+NL("Sum","5802 Value Entry","17 Sales Amount (Actual)","41 Source Type",$C$5,"5 Source no.",$C764,"4 Item Ledger Entry Type",$C$4,"2 Item No.","@@"&amp;$F764,"3 Posting Date",Z$9)</t>
  </si>
  <si>
    <t>=-NL("Sum","5802 Value Entry","151 Cost Amount (Expected)","41 Source Type",$C$5,"5 Source No.",$C764,"4 Item Ledger Entry Type",$C$4,"2 Item No.","@@"&amp;$F764,"3 Posting Date",Z$9)-NL("Sum","5802 Value Entry","43 Cost Amount (Actual)","41 Source Type",$C$5,"5 Source no.",$C764,"4 Item Ledger Entry Type",$C$4,"2 Item No.","@@"&amp;$F764,"3 Posting Date",Z$9)</t>
  </si>
  <si>
    <t>=Z764-AB764</t>
  </si>
  <si>
    <t>=IF(Z764&lt;&gt;0,AC764/Z764,"")</t>
  </si>
  <si>
    <t>=NL("Sum","5802 Value Entry","150 Sales Amount (Expected)","41 Source Type",$C$5,"5 Source No.",$C765,"4 Item Ledger Entry Type",$C$4,"2 Item No.","@@"&amp;$F765,"3 Posting Date",J$9)+NL("Sum","5802 Value Entry","17 Sales Amount (Actual)","41 Source Type",$C$5,"5 Source no.",$C765,"4 Item Ledger Entry Type",$C$4,"2 Item No.","@@"&amp;$F765,"3 Posting Date",J$9)</t>
  </si>
  <si>
    <t>=-NL("Sum","5802 Value Entry","151 Cost Amount (Expected)","41 Source Type",$C$5,"5 Source No.",$C765,"4 Item Ledger Entry Type",$C$4,"2 Item No.","@@"&amp;$F765,"3 Posting Date",J$9)-NL("Sum","5802 Value Entry","43 Cost Amount (Actual)","41 Source Type",$C$5,"5 Source no.",$C765,"4 Item Ledger Entry Type",$C$4,"2 Item No.","@@"&amp;$F765,"3 Posting Date",J$9)</t>
  </si>
  <si>
    <t>=J765-L765</t>
  </si>
  <si>
    <t>=IF(J765&lt;&gt;0,M765/J765,"")</t>
  </si>
  <si>
    <t>=NL("Sum","5802 Value Entry","150 Sales Amount (Expected)","41 Source Type",$C$5,"5 Source No.",$C765,"4 Item Ledger Entry Type",$C$4,"2 Item No.","@@"&amp;$F765,"3 Posting Date",O$9)+NL("Sum","5802 Value Entry","17 Sales Amount (Actual)","41 Source Type",$C$5,"5 Source no.",$C765,"4 Item Ledger Entry Type",$C$4,"2 Item No.","@@"&amp;$F765,"3 Posting Date",O$9)</t>
  </si>
  <si>
    <t>=-NL("Sum","5802 Value Entry","151 Cost Amount (Expected)","41 Source Type",$C$5,"5 Source No.",$C765,"4 Item Ledger Entry Type",$C$4,"2 Item No.","@@"&amp;$F765,"3 Posting Date",O$9)-NL("Sum","5802 Value Entry","43 Cost Amount (Actual)","41 Source Type",$C$5,"5 Source no.",$C765,"4 Item Ledger Entry Type",$C$4,"2 Item No.","@@"&amp;$F765,"3 Posting Date",O$9)</t>
  </si>
  <si>
    <t>=O765-Q765</t>
  </si>
  <si>
    <t>=IF(O765&lt;&gt;0,R765/O765,"")</t>
  </si>
  <si>
    <t>=NL("Sum","5802 Value Entry","150 Sales Amount (Expected)","41 Source Type",$C$5,"5 Source No.",$C765,"4 Item Ledger Entry Type",$C$4,"2 Item No.","@@"&amp;$F765,"3 Posting Date",U$9)+NL("Sum","5802 Value Entry","17 Sales Amount (Actual)","41 Source Type",$C$5,"5 Source no.",$C765,"4 Item Ledger Entry Type",$C$4,"2 Item No.","@@"&amp;$F765,"3 Posting Date",U$9)</t>
  </si>
  <si>
    <t>=-NL("Sum","5802 Value Entry","151 Cost Amount (Expected)","41 Source Type",$C$5,"5 Source No.",$C765,"4 Item Ledger Entry Type",$C$4,"2 Item No.","@@"&amp;$F765,"3 Posting Date",U$9)-NL("Sum","5802 Value Entry","43 Cost Amount (Actual)","41 Source Type",$C$5,"5 Source no.",$C765,"4 Item Ledger Entry Type",$C$4,"2 Item No.","@@"&amp;$F765,"3 Posting Date",U$9)</t>
  </si>
  <si>
    <t>=U765-W765</t>
  </si>
  <si>
    <t>=IF(U765&lt;&gt;0,X765/U765,"")</t>
  </si>
  <si>
    <t>=NL("Sum","5802 Value Entry","150 Sales Amount (Expected)","41 Source Type",$C$5,"5 Source No.",$C765,"4 Item Ledger Entry Type",$C$4,"2 Item No.","@@"&amp;$F765,"3 Posting Date",Z$9)+NL("Sum","5802 Value Entry","17 Sales Amount (Actual)","41 Source Type",$C$5,"5 Source no.",$C765,"4 Item Ledger Entry Type",$C$4,"2 Item No.","@@"&amp;$F765,"3 Posting Date",Z$9)</t>
  </si>
  <si>
    <t>=-NL("Sum","5802 Value Entry","151 Cost Amount (Expected)","41 Source Type",$C$5,"5 Source No.",$C765,"4 Item Ledger Entry Type",$C$4,"2 Item No.","@@"&amp;$F765,"3 Posting Date",Z$9)-NL("Sum","5802 Value Entry","43 Cost Amount (Actual)","41 Source Type",$C$5,"5 Source no.",$C765,"4 Item Ledger Entry Type",$C$4,"2 Item No.","@@"&amp;$F765,"3 Posting Date",Z$9)</t>
  </si>
  <si>
    <t>=Z765-AB765</t>
  </si>
  <si>
    <t>=IF(Z765&lt;&gt;0,AC765/Z765,"")</t>
  </si>
  <si>
    <t>=SUBTOTAL(9,J744:J767)</t>
  </si>
  <si>
    <t>=SUBTOTAL(9,K744:K767)</t>
  </si>
  <si>
    <t>=SUBTOTAL(9,L744:L767)</t>
  </si>
  <si>
    <t>=SUBTOTAL(9,O744:O767)</t>
  </si>
  <si>
    <t>=SUBTOTAL(9,P744:P767)</t>
  </si>
  <si>
    <t>=SUBTOTAL(9,Q744:Q767)</t>
  </si>
  <si>
    <t>=SUBTOTAL(9,U744:U767)</t>
  </si>
  <si>
    <t>=SUBTOTAL(9,V744:V767)</t>
  </si>
  <si>
    <t>=SUBTOTAL(9,W744:W767)</t>
  </si>
  <si>
    <t>=SUBTOTAL(9,Z744:Z767)</t>
  </si>
  <si>
    <t>=SUBTOTAL(9,AA744:AA767)</t>
  </si>
  <si>
    <t>=SUBTOTAL(9,AB744:AB767)</t>
  </si>
  <si>
    <t>=C810</t>
  </si>
  <si>
    <t>=NL("Sum","5802 Value Entry","150 Sales Amount (Expected)","41 Source Type",$C$5,"5 Source No.",$C811,"4 Item Ledger Entry Type",$C$4,"2 Item No.","@@"&amp;$F811,"3 Posting Date",J$9)+NL("Sum","5802 Value Entry","17 Sales Amount (Actual)","41 Source Type",$C$5,"5 Source no.",$C811,"4 Item Ledger Entry Type",$C$4,"2 Item No.","@@"&amp;$F811,"3 Posting Date",J$9)</t>
  </si>
  <si>
    <t>=-NL("Sum","5802 Value Entry","151 Cost Amount (Expected)","41 Source Type",$C$5,"5 Source No.",$C811,"4 Item Ledger Entry Type",$C$4,"2 Item No.","@@"&amp;$F811,"3 Posting Date",J$9)-NL("Sum","5802 Value Entry","43 Cost Amount (Actual)","41 Source Type",$C$5,"5 Source no.",$C811,"4 Item Ledger Entry Type",$C$4,"2 Item No.","@@"&amp;$F811,"3 Posting Date",J$9)</t>
  </si>
  <si>
    <t>=J811-L811</t>
  </si>
  <si>
    <t>=IF(J811&lt;&gt;0,M811/J811,"")</t>
  </si>
  <si>
    <t>=NL("Sum","5802 Value Entry","150 Sales Amount (Expected)","41 Source Type",$C$5,"5 Source No.",$C811,"4 Item Ledger Entry Type",$C$4,"2 Item No.","@@"&amp;$F811,"3 Posting Date",O$9)+NL("Sum","5802 Value Entry","17 Sales Amount (Actual)","41 Source Type",$C$5,"5 Source no.",$C811,"4 Item Ledger Entry Type",$C$4,"2 Item No.","@@"&amp;$F811,"3 Posting Date",O$9)</t>
  </si>
  <si>
    <t>=-NL("Sum","5802 Value Entry","151 Cost Amount (Expected)","41 Source Type",$C$5,"5 Source No.",$C811,"4 Item Ledger Entry Type",$C$4,"2 Item No.","@@"&amp;$F811,"3 Posting Date",O$9)-NL("Sum","5802 Value Entry","43 Cost Amount (Actual)","41 Source Type",$C$5,"5 Source no.",$C811,"4 Item Ledger Entry Type",$C$4,"2 Item No.","@@"&amp;$F811,"3 Posting Date",O$9)</t>
  </si>
  <si>
    <t>=O811-Q811</t>
  </si>
  <si>
    <t>=IF(O811&lt;&gt;0,R811/O811,"")</t>
  </si>
  <si>
    <t>=NL("Sum","5802 Value Entry","150 Sales Amount (Expected)","41 Source Type",$C$5,"5 Source No.",$C811,"4 Item Ledger Entry Type",$C$4,"2 Item No.","@@"&amp;$F811,"3 Posting Date",U$9)+NL("Sum","5802 Value Entry","17 Sales Amount (Actual)","41 Source Type",$C$5,"5 Source no.",$C811,"4 Item Ledger Entry Type",$C$4,"2 Item No.","@@"&amp;$F811,"3 Posting Date",U$9)</t>
  </si>
  <si>
    <t>=-NL("Sum","5802 Value Entry","151 Cost Amount (Expected)","41 Source Type",$C$5,"5 Source No.",$C811,"4 Item Ledger Entry Type",$C$4,"2 Item No.","@@"&amp;$F811,"3 Posting Date",U$9)-NL("Sum","5802 Value Entry","43 Cost Amount (Actual)","41 Source Type",$C$5,"5 Source no.",$C811,"4 Item Ledger Entry Type",$C$4,"2 Item No.","@@"&amp;$F811,"3 Posting Date",U$9)</t>
  </si>
  <si>
    <t>=U811-W811</t>
  </si>
  <si>
    <t>=IF(U811&lt;&gt;0,X811/U811,"")</t>
  </si>
  <si>
    <t>=NL("Sum","5802 Value Entry","150 Sales Amount (Expected)","41 Source Type",$C$5,"5 Source No.",$C811,"4 Item Ledger Entry Type",$C$4,"2 Item No.","@@"&amp;$F811,"3 Posting Date",Z$9)+NL("Sum","5802 Value Entry","17 Sales Amount (Actual)","41 Source Type",$C$5,"5 Source no.",$C811,"4 Item Ledger Entry Type",$C$4,"2 Item No.","@@"&amp;$F811,"3 Posting Date",Z$9)</t>
  </si>
  <si>
    <t>=-NL("Sum","5802 Value Entry","151 Cost Amount (Expected)","41 Source Type",$C$5,"5 Source No.",$C811,"4 Item Ledger Entry Type",$C$4,"2 Item No.","@@"&amp;$F811,"3 Posting Date",Z$9)-NL("Sum","5802 Value Entry","43 Cost Amount (Actual)","41 Source Type",$C$5,"5 Source no.",$C811,"4 Item Ledger Entry Type",$C$4,"2 Item No.","@@"&amp;$F811,"3 Posting Date",Z$9)</t>
  </si>
  <si>
    <t>=Z811-AB811</t>
  </si>
  <si>
    <t>=IF(Z811&lt;&gt;0,AC811/Z811,"")</t>
  </si>
  <si>
    <t>=NL("Sum","5802 Value Entry","150 Sales Amount (Expected)","41 Source Type",$C$5,"5 Source No.",$C812,"4 Item Ledger Entry Type",$C$4,"2 Item No.","@@"&amp;$F812,"3 Posting Date",J$9)+NL("Sum","5802 Value Entry","17 Sales Amount (Actual)","41 Source Type",$C$5,"5 Source no.",$C812,"4 Item Ledger Entry Type",$C$4,"2 Item No.","@@"&amp;$F812,"3 Posting Date",J$9)</t>
  </si>
  <si>
    <t>=-NL("Sum","5802 Value Entry","151 Cost Amount (Expected)","41 Source Type",$C$5,"5 Source No.",$C812,"4 Item Ledger Entry Type",$C$4,"2 Item No.","@@"&amp;$F812,"3 Posting Date",J$9)-NL("Sum","5802 Value Entry","43 Cost Amount (Actual)","41 Source Type",$C$5,"5 Source no.",$C812,"4 Item Ledger Entry Type",$C$4,"2 Item No.","@@"&amp;$F812,"3 Posting Date",J$9)</t>
  </si>
  <si>
    <t>=NL("Sum","5802 Value Entry","150 Sales Amount (Expected)","41 Source Type",$C$5,"5 Source No.",$C812,"4 Item Ledger Entry Type",$C$4,"2 Item No.","@@"&amp;$F812,"3 Posting Date",O$9)+NL("Sum","5802 Value Entry","17 Sales Amount (Actual)","41 Source Type",$C$5,"5 Source no.",$C812,"4 Item Ledger Entry Type",$C$4,"2 Item No.","@@"&amp;$F812,"3 Posting Date",O$9)</t>
  </si>
  <si>
    <t>=-NL("Sum","5802 Value Entry","151 Cost Amount (Expected)","41 Source Type",$C$5,"5 Source No.",$C812,"4 Item Ledger Entry Type",$C$4,"2 Item No.","@@"&amp;$F812,"3 Posting Date",O$9)-NL("Sum","5802 Value Entry","43 Cost Amount (Actual)","41 Source Type",$C$5,"5 Source no.",$C812,"4 Item Ledger Entry Type",$C$4,"2 Item No.","@@"&amp;$F812,"3 Posting Date",O$9)</t>
  </si>
  <si>
    <t>=NL("Sum","5802 Value Entry","150 Sales Amount (Expected)","41 Source Type",$C$5,"5 Source No.",$C812,"4 Item Ledger Entry Type",$C$4,"2 Item No.","@@"&amp;$F812,"3 Posting Date",U$9)+NL("Sum","5802 Value Entry","17 Sales Amount (Actual)","41 Source Type",$C$5,"5 Source no.",$C812,"4 Item Ledger Entry Type",$C$4,"2 Item No.","@@"&amp;$F812,"3 Posting Date",U$9)</t>
  </si>
  <si>
    <t>=-NL("Sum","5802 Value Entry","151 Cost Amount (Expected)","41 Source Type",$C$5,"5 Source No.",$C812,"4 Item Ledger Entry Type",$C$4,"2 Item No.","@@"&amp;$F812,"3 Posting Date",U$9)-NL("Sum","5802 Value Entry","43 Cost Amount (Actual)","41 Source Type",$C$5,"5 Source no.",$C812,"4 Item Ledger Entry Type",$C$4,"2 Item No.","@@"&amp;$F812,"3 Posting Date",U$9)</t>
  </si>
  <si>
    <t>=NL("Sum","5802 Value Entry","150 Sales Amount (Expected)","41 Source Type",$C$5,"5 Source No.",$C812,"4 Item Ledger Entry Type",$C$4,"2 Item No.","@@"&amp;$F812,"3 Posting Date",Z$9)+NL("Sum","5802 Value Entry","17 Sales Amount (Actual)","41 Source Type",$C$5,"5 Source no.",$C812,"4 Item Ledger Entry Type",$C$4,"2 Item No.","@@"&amp;$F812,"3 Posting Date",Z$9)</t>
  </si>
  <si>
    <t>=-NL("Sum","5802 Value Entry","151 Cost Amount (Expected)","41 Source Type",$C$5,"5 Source No.",$C812,"4 Item Ledger Entry Type",$C$4,"2 Item No.","@@"&amp;$F812,"3 Posting Date",Z$9)-NL("Sum","5802 Value Entry","43 Cost Amount (Actual)","41 Source Type",$C$5,"5 Source no.",$C812,"4 Item Ledger Entry Type",$C$4,"2 Item No.","@@"&amp;$F812,"3 Posting Date",Z$9)</t>
  </si>
  <si>
    <t>=C812</t>
  </si>
  <si>
    <t>=NL("Sum","5802 Value Entry","150 Sales Amount (Expected)","41 Source Type",$C$5,"5 Source No.",$C813,"4 Item Ledger Entry Type",$C$4,"2 Item No.","@@"&amp;$F813,"3 Posting Date",J$9)+NL("Sum","5802 Value Entry","17 Sales Amount (Actual)","41 Source Type",$C$5,"5 Source no.",$C813,"4 Item Ledger Entry Type",$C$4,"2 Item No.","@@"&amp;$F813,"3 Posting Date",J$9)</t>
  </si>
  <si>
    <t>=-NL("Sum","5802 Value Entry","151 Cost Amount (Expected)","41 Source Type",$C$5,"5 Source No.",$C813,"4 Item Ledger Entry Type",$C$4,"2 Item No.","@@"&amp;$F813,"3 Posting Date",J$9)-NL("Sum","5802 Value Entry","43 Cost Amount (Actual)","41 Source Type",$C$5,"5 Source no.",$C813,"4 Item Ledger Entry Type",$C$4,"2 Item No.","@@"&amp;$F813,"3 Posting Date",J$9)</t>
  </si>
  <si>
    <t>=J813-L813</t>
  </si>
  <si>
    <t>=IF(J813&lt;&gt;0,M813/J813,"")</t>
  </si>
  <si>
    <t>=NL("Sum","5802 Value Entry","150 Sales Amount (Expected)","41 Source Type",$C$5,"5 Source No.",$C813,"4 Item Ledger Entry Type",$C$4,"2 Item No.","@@"&amp;$F813,"3 Posting Date",O$9)+NL("Sum","5802 Value Entry","17 Sales Amount (Actual)","41 Source Type",$C$5,"5 Source no.",$C813,"4 Item Ledger Entry Type",$C$4,"2 Item No.","@@"&amp;$F813,"3 Posting Date",O$9)</t>
  </si>
  <si>
    <t>=-NL("Sum","5802 Value Entry","151 Cost Amount (Expected)","41 Source Type",$C$5,"5 Source No.",$C813,"4 Item Ledger Entry Type",$C$4,"2 Item No.","@@"&amp;$F813,"3 Posting Date",O$9)-NL("Sum","5802 Value Entry","43 Cost Amount (Actual)","41 Source Type",$C$5,"5 Source no.",$C813,"4 Item Ledger Entry Type",$C$4,"2 Item No.","@@"&amp;$F813,"3 Posting Date",O$9)</t>
  </si>
  <si>
    <t>=O813-Q813</t>
  </si>
  <si>
    <t>=IF(O813&lt;&gt;0,R813/O813,"")</t>
  </si>
  <si>
    <t>=NL("Sum","5802 Value Entry","150 Sales Amount (Expected)","41 Source Type",$C$5,"5 Source No.",$C813,"4 Item Ledger Entry Type",$C$4,"2 Item No.","@@"&amp;$F813,"3 Posting Date",U$9)+NL("Sum","5802 Value Entry","17 Sales Amount (Actual)","41 Source Type",$C$5,"5 Source no.",$C813,"4 Item Ledger Entry Type",$C$4,"2 Item No.","@@"&amp;$F813,"3 Posting Date",U$9)</t>
  </si>
  <si>
    <t>=-NL("Sum","5802 Value Entry","151 Cost Amount (Expected)","41 Source Type",$C$5,"5 Source No.",$C813,"4 Item Ledger Entry Type",$C$4,"2 Item No.","@@"&amp;$F813,"3 Posting Date",U$9)-NL("Sum","5802 Value Entry","43 Cost Amount (Actual)","41 Source Type",$C$5,"5 Source no.",$C813,"4 Item Ledger Entry Type",$C$4,"2 Item No.","@@"&amp;$F813,"3 Posting Date",U$9)</t>
  </si>
  <si>
    <t>=U813-W813</t>
  </si>
  <si>
    <t>=IF(U813&lt;&gt;0,X813/U813,"")</t>
  </si>
  <si>
    <t>=NL("Sum","5802 Value Entry","150 Sales Amount (Expected)","41 Source Type",$C$5,"5 Source No.",$C813,"4 Item Ledger Entry Type",$C$4,"2 Item No.","@@"&amp;$F813,"3 Posting Date",Z$9)+NL("Sum","5802 Value Entry","17 Sales Amount (Actual)","41 Source Type",$C$5,"5 Source no.",$C813,"4 Item Ledger Entry Type",$C$4,"2 Item No.","@@"&amp;$F813,"3 Posting Date",Z$9)</t>
  </si>
  <si>
    <t>=-NL("Sum","5802 Value Entry","151 Cost Amount (Expected)","41 Source Type",$C$5,"5 Source No.",$C813,"4 Item Ledger Entry Type",$C$4,"2 Item No.","@@"&amp;$F813,"3 Posting Date",Z$9)-NL("Sum","5802 Value Entry","43 Cost Amount (Actual)","41 Source Type",$C$5,"5 Source no.",$C813,"4 Item Ledger Entry Type",$C$4,"2 Item No.","@@"&amp;$F813,"3 Posting Date",Z$9)</t>
  </si>
  <si>
    <t>=Z813-AB813</t>
  </si>
  <si>
    <t>=IF(Z813&lt;&gt;0,AC813/Z813,"")</t>
  </si>
  <si>
    <t>=C813</t>
  </si>
  <si>
    <t>=NL("Sum","5802 Value Entry","150 Sales Amount (Expected)","41 Source Type",$C$5,"5 Source No.",$C814,"4 Item Ledger Entry Type",$C$4,"2 Item No.","@@"&amp;$F814,"3 Posting Date",J$9)+NL("Sum","5802 Value Entry","17 Sales Amount (Actual)","41 Source Type",$C$5,"5 Source no.",$C814,"4 Item Ledger Entry Type",$C$4,"2 Item No.","@@"&amp;$F814,"3 Posting Date",J$9)</t>
  </si>
  <si>
    <t>=-NL("Sum","5802 Value Entry","151 Cost Amount (Expected)","41 Source Type",$C$5,"5 Source No.",$C814,"4 Item Ledger Entry Type",$C$4,"2 Item No.","@@"&amp;$F814,"3 Posting Date",J$9)-NL("Sum","5802 Value Entry","43 Cost Amount (Actual)","41 Source Type",$C$5,"5 Source no.",$C814,"4 Item Ledger Entry Type",$C$4,"2 Item No.","@@"&amp;$F814,"3 Posting Date",J$9)</t>
  </si>
  <si>
    <t>=J814-L814</t>
  </si>
  <si>
    <t>=IF(J814&lt;&gt;0,M814/J814,"")</t>
  </si>
  <si>
    <t>=NL("Sum","5802 Value Entry","150 Sales Amount (Expected)","41 Source Type",$C$5,"5 Source No.",$C814,"4 Item Ledger Entry Type",$C$4,"2 Item No.","@@"&amp;$F814,"3 Posting Date",O$9)+NL("Sum","5802 Value Entry","17 Sales Amount (Actual)","41 Source Type",$C$5,"5 Source no.",$C814,"4 Item Ledger Entry Type",$C$4,"2 Item No.","@@"&amp;$F814,"3 Posting Date",O$9)</t>
  </si>
  <si>
    <t>=-NL("Sum","5802 Value Entry","151 Cost Amount (Expected)","41 Source Type",$C$5,"5 Source No.",$C814,"4 Item Ledger Entry Type",$C$4,"2 Item No.","@@"&amp;$F814,"3 Posting Date",O$9)-NL("Sum","5802 Value Entry","43 Cost Amount (Actual)","41 Source Type",$C$5,"5 Source no.",$C814,"4 Item Ledger Entry Type",$C$4,"2 Item No.","@@"&amp;$F814,"3 Posting Date",O$9)</t>
  </si>
  <si>
    <t>=O814-Q814</t>
  </si>
  <si>
    <t>=IF(O814&lt;&gt;0,R814/O814,"")</t>
  </si>
  <si>
    <t>=NL("Sum","5802 Value Entry","150 Sales Amount (Expected)","41 Source Type",$C$5,"5 Source No.",$C814,"4 Item Ledger Entry Type",$C$4,"2 Item No.","@@"&amp;$F814,"3 Posting Date",U$9)+NL("Sum","5802 Value Entry","17 Sales Amount (Actual)","41 Source Type",$C$5,"5 Source no.",$C814,"4 Item Ledger Entry Type",$C$4,"2 Item No.","@@"&amp;$F814,"3 Posting Date",U$9)</t>
  </si>
  <si>
    <t>=-NL("Sum","5802 Value Entry","151 Cost Amount (Expected)","41 Source Type",$C$5,"5 Source No.",$C814,"4 Item Ledger Entry Type",$C$4,"2 Item No.","@@"&amp;$F814,"3 Posting Date",U$9)-NL("Sum","5802 Value Entry","43 Cost Amount (Actual)","41 Source Type",$C$5,"5 Source no.",$C814,"4 Item Ledger Entry Type",$C$4,"2 Item No.","@@"&amp;$F814,"3 Posting Date",U$9)</t>
  </si>
  <si>
    <t>=U814-W814</t>
  </si>
  <si>
    <t>=IF(U814&lt;&gt;0,X814/U814,"")</t>
  </si>
  <si>
    <t>=NL("Sum","5802 Value Entry","150 Sales Amount (Expected)","41 Source Type",$C$5,"5 Source No.",$C814,"4 Item Ledger Entry Type",$C$4,"2 Item No.","@@"&amp;$F814,"3 Posting Date",Z$9)+NL("Sum","5802 Value Entry","17 Sales Amount (Actual)","41 Source Type",$C$5,"5 Source no.",$C814,"4 Item Ledger Entry Type",$C$4,"2 Item No.","@@"&amp;$F814,"3 Posting Date",Z$9)</t>
  </si>
  <si>
    <t>=-NL("Sum","5802 Value Entry","151 Cost Amount (Expected)","41 Source Type",$C$5,"5 Source No.",$C814,"4 Item Ledger Entry Type",$C$4,"2 Item No.","@@"&amp;$F814,"3 Posting Date",Z$9)-NL("Sum","5802 Value Entry","43 Cost Amount (Actual)","41 Source Type",$C$5,"5 Source no.",$C814,"4 Item Ledger Entry Type",$C$4,"2 Item No.","@@"&amp;$F814,"3 Posting Date",Z$9)</t>
  </si>
  <si>
    <t>=Z814-AB814</t>
  </si>
  <si>
    <t>=IF(Z814&lt;&gt;0,AC814/Z814,"")</t>
  </si>
  <si>
    <t>=NL("Sum","5802 Value Entry","150 Sales Amount (Expected)","41 Source Type",$C$5,"5 Source No.",$C815,"4 Item Ledger Entry Type",$C$4,"2 Item No.","@@"&amp;$F815,"3 Posting Date",J$9)+NL("Sum","5802 Value Entry","17 Sales Amount (Actual)","41 Source Type",$C$5,"5 Source no.",$C815,"4 Item Ledger Entry Type",$C$4,"2 Item No.","@@"&amp;$F815,"3 Posting Date",J$9)</t>
  </si>
  <si>
    <t>=-NL("Sum","5802 Value Entry","151 Cost Amount (Expected)","41 Source Type",$C$5,"5 Source No.",$C815,"4 Item Ledger Entry Type",$C$4,"2 Item No.","@@"&amp;$F815,"3 Posting Date",J$9)-NL("Sum","5802 Value Entry","43 Cost Amount (Actual)","41 Source Type",$C$5,"5 Source no.",$C815,"4 Item Ledger Entry Type",$C$4,"2 Item No.","@@"&amp;$F815,"3 Posting Date",J$9)</t>
  </si>
  <si>
    <t>=J815-L815</t>
  </si>
  <si>
    <t>=IF(J815&lt;&gt;0,M815/J815,"")</t>
  </si>
  <si>
    <t>=NL("Sum","5802 Value Entry","150 Sales Amount (Expected)","41 Source Type",$C$5,"5 Source No.",$C815,"4 Item Ledger Entry Type",$C$4,"2 Item No.","@@"&amp;$F815,"3 Posting Date",O$9)+NL("Sum","5802 Value Entry","17 Sales Amount (Actual)","41 Source Type",$C$5,"5 Source no.",$C815,"4 Item Ledger Entry Type",$C$4,"2 Item No.","@@"&amp;$F815,"3 Posting Date",O$9)</t>
  </si>
  <si>
    <t>=-NL("Sum","5802 Value Entry","151 Cost Amount (Expected)","41 Source Type",$C$5,"5 Source No.",$C815,"4 Item Ledger Entry Type",$C$4,"2 Item No.","@@"&amp;$F815,"3 Posting Date",O$9)-NL("Sum","5802 Value Entry","43 Cost Amount (Actual)","41 Source Type",$C$5,"5 Source no.",$C815,"4 Item Ledger Entry Type",$C$4,"2 Item No.","@@"&amp;$F815,"3 Posting Date",O$9)</t>
  </si>
  <si>
    <t>=O815-Q815</t>
  </si>
  <si>
    <t>=IF(O815&lt;&gt;0,R815/O815,"")</t>
  </si>
  <si>
    <t>=NL("Sum","5802 Value Entry","150 Sales Amount (Expected)","41 Source Type",$C$5,"5 Source No.",$C815,"4 Item Ledger Entry Type",$C$4,"2 Item No.","@@"&amp;$F815,"3 Posting Date",U$9)+NL("Sum","5802 Value Entry","17 Sales Amount (Actual)","41 Source Type",$C$5,"5 Source no.",$C815,"4 Item Ledger Entry Type",$C$4,"2 Item No.","@@"&amp;$F815,"3 Posting Date",U$9)</t>
  </si>
  <si>
    <t>=-NL("Sum","5802 Value Entry","151 Cost Amount (Expected)","41 Source Type",$C$5,"5 Source No.",$C815,"4 Item Ledger Entry Type",$C$4,"2 Item No.","@@"&amp;$F815,"3 Posting Date",U$9)-NL("Sum","5802 Value Entry","43 Cost Amount (Actual)","41 Source Type",$C$5,"5 Source no.",$C815,"4 Item Ledger Entry Type",$C$4,"2 Item No.","@@"&amp;$F815,"3 Posting Date",U$9)</t>
  </si>
  <si>
    <t>=U815-W815</t>
  </si>
  <si>
    <t>=IF(U815&lt;&gt;0,X815/U815,"")</t>
  </si>
  <si>
    <t>=NL("Sum","5802 Value Entry","150 Sales Amount (Expected)","41 Source Type",$C$5,"5 Source No.",$C815,"4 Item Ledger Entry Type",$C$4,"2 Item No.","@@"&amp;$F815,"3 Posting Date",Z$9)+NL("Sum","5802 Value Entry","17 Sales Amount (Actual)","41 Source Type",$C$5,"5 Source no.",$C815,"4 Item Ledger Entry Type",$C$4,"2 Item No.","@@"&amp;$F815,"3 Posting Date",Z$9)</t>
  </si>
  <si>
    <t>=-NL("Sum","5802 Value Entry","151 Cost Amount (Expected)","41 Source Type",$C$5,"5 Source No.",$C815,"4 Item Ledger Entry Type",$C$4,"2 Item No.","@@"&amp;$F815,"3 Posting Date",Z$9)-NL("Sum","5802 Value Entry","43 Cost Amount (Actual)","41 Source Type",$C$5,"5 Source no.",$C815,"4 Item Ledger Entry Type",$C$4,"2 Item No.","@@"&amp;$F815,"3 Posting Date",Z$9)</t>
  </si>
  <si>
    <t>=Z815-AB815</t>
  </si>
  <si>
    <t>=IF(Z815&lt;&gt;0,AC815/Z815,"")</t>
  </si>
  <si>
    <t>=C825&amp;" TOTAL:"</t>
  </si>
  <si>
    <t>=SUBTOTAL(9,J794:J824)</t>
  </si>
  <si>
    <t>=SUBTOTAL(9,K794:K824)</t>
  </si>
  <si>
    <t>=SUBTOTAL(9,L794:L824)</t>
  </si>
  <si>
    <t>=SUBTOTAL(9,O794:O824)</t>
  </si>
  <si>
    <t>=SUBTOTAL(9,P794:P824)</t>
  </si>
  <si>
    <t>=SUBTOTAL(9,Q794:Q824)</t>
  </si>
  <si>
    <t>=SUBTOTAL(9,U794:U824)</t>
  </si>
  <si>
    <t>=SUBTOTAL(9,V794:V824)</t>
  </si>
  <si>
    <t>=SUBTOTAL(9,W794:W824)</t>
  </si>
  <si>
    <t>=SUBTOTAL(9,Z794:Z824)</t>
  </si>
  <si>
    <t>=SUBTOTAL(9,AA794:AA824)</t>
  </si>
  <si>
    <t>=SUBTOTAL(9,AB794:AB824)</t>
  </si>
  <si>
    <t>=E827</t>
  </si>
  <si>
    <t>=NL(,"18 Customer","2 Name","1 No.",$E827)</t>
  </si>
  <si>
    <t>=NL("Rows","5802 Value Entry","2 Item No.","4 Item Ledger Entry Type",$C$4,"41 Source Type",$C$5,"5 Source No.",$C829,"Item No.",$C$7,"3 Posting Date",$C$10)</t>
  </si>
  <si>
    <t>=C865&amp;" TOTAL:"</t>
  </si>
  <si>
    <t>=SUBTOTAL(9,J828:J864)</t>
  </si>
  <si>
    <t>=SUBTOTAL(9,K828:K864)</t>
  </si>
  <si>
    <t>=SUBTOTAL(9,L828:L864)</t>
  </si>
  <si>
    <t>=SUBTOTAL(9,O828:O864)</t>
  </si>
  <si>
    <t>=SUBTOTAL(9,P828:P864)</t>
  </si>
  <si>
    <t>=SUBTOTAL(9,Q828:Q864)</t>
  </si>
  <si>
    <t>=SUBTOTAL(9,U828:U864)</t>
  </si>
  <si>
    <t>=SUBTOTAL(9,V828:V864)</t>
  </si>
  <si>
    <t>=SUBTOTAL(9,W828:W864)</t>
  </si>
  <si>
    <t>=SUBTOTAL(9,Z828:Z864)</t>
  </si>
  <si>
    <t>=SUBTOTAL(9,AA828:AA864)</t>
  </si>
  <si>
    <t>=SUBTOTAL(9,AB828:AB864)</t>
  </si>
  <si>
    <t>=E867</t>
  </si>
  <si>
    <t>=NL(,"18 Customer","2 Name","1 No.",$E867)</t>
  </si>
  <si>
    <t>=NL("Rows","5802 Value Entry","2 Item No.","4 Item Ledger Entry Type",$C$4,"41 Source Type",$C$5,"5 Source No.",$C869,"Item No.",$C$7,"3 Posting Date",$C$10)</t>
  </si>
  <si>
    <t>=C871&amp;" TOTAL:"</t>
  </si>
  <si>
    <t>=SUBTOTAL(9,J868:J870)</t>
  </si>
  <si>
    <t>=SUBTOTAL(9,K868:K870)</t>
  </si>
  <si>
    <t>=SUBTOTAL(9,L868:L870)</t>
  </si>
  <si>
    <t>=SUBTOTAL(9,O868:O870)</t>
  </si>
  <si>
    <t>=SUBTOTAL(9,P868:P870)</t>
  </si>
  <si>
    <t>=SUBTOTAL(9,Q868:Q870)</t>
  </si>
  <si>
    <t>=SUBTOTAL(9,U868:U870)</t>
  </si>
  <si>
    <t>=SUBTOTAL(9,V868:V870)</t>
  </si>
  <si>
    <t>=SUBTOTAL(9,W868:W870)</t>
  </si>
  <si>
    <t>=SUBTOTAL(9,Z868:Z870)</t>
  </si>
  <si>
    <t>=SUBTOTAL(9,AA868:AA870)</t>
  </si>
  <si>
    <t>=SUBTOTAL(9,AB868:AB870)</t>
  </si>
  <si>
    <t>=E873</t>
  </si>
  <si>
    <t>=NL(,"18 Customer","2 Name","1 No.",$E873)</t>
  </si>
  <si>
    <t>=NL("Rows","5802 Value Entry","2 Item No.","4 Item Ledger Entry Type",$C$4,"41 Source Type",$C$5,"5 Source No.",$C875,"Item No.",$C$7,"3 Posting Date",$C$10)</t>
  </si>
  <si>
    <t>=C876</t>
  </si>
  <si>
    <t>=NL("Sum","5802 Value Entry","150 Sales Amount (Expected)","41 Source Type",$C$5,"5 Source No.",$C877,"4 Item Ledger Entry Type",$C$4,"2 Item No.","@@"&amp;$F877,"3 Posting Date",J$9)+NL("Sum","5802 Value Entry","17 Sales Amount (Actual)","41 Source Type",$C$5,"5 Source no.",$C877,"4 Item Ledger Entry Type",$C$4,"2 Item No.","@@"&amp;$F877,"3 Posting Date",J$9)</t>
  </si>
  <si>
    <t>=-NL("Sum","5802 Value Entry","151 Cost Amount (Expected)","41 Source Type",$C$5,"5 Source No.",$C877,"4 Item Ledger Entry Type",$C$4,"2 Item No.","@@"&amp;$F877,"3 Posting Date",J$9)-NL("Sum","5802 Value Entry","43 Cost Amount (Actual)","41 Source Type",$C$5,"5 Source no.",$C877,"4 Item Ledger Entry Type",$C$4,"2 Item No.","@@"&amp;$F877,"3 Posting Date",J$9)</t>
  </si>
  <si>
    <t>=J877-L877</t>
  </si>
  <si>
    <t>=IF(J877&lt;&gt;0,M877/J877,"")</t>
  </si>
  <si>
    <t>=NL("Sum","5802 Value Entry","150 Sales Amount (Expected)","41 Source Type",$C$5,"5 Source No.",$C877,"4 Item Ledger Entry Type",$C$4,"2 Item No.","@@"&amp;$F877,"3 Posting Date",O$9)+NL("Sum","5802 Value Entry","17 Sales Amount (Actual)","41 Source Type",$C$5,"5 Source no.",$C877,"4 Item Ledger Entry Type",$C$4,"2 Item No.","@@"&amp;$F877,"3 Posting Date",O$9)</t>
  </si>
  <si>
    <t>=-NL("Sum","5802 Value Entry","151 Cost Amount (Expected)","41 Source Type",$C$5,"5 Source No.",$C877,"4 Item Ledger Entry Type",$C$4,"2 Item No.","@@"&amp;$F877,"3 Posting Date",O$9)-NL("Sum","5802 Value Entry","43 Cost Amount (Actual)","41 Source Type",$C$5,"5 Source no.",$C877,"4 Item Ledger Entry Type",$C$4,"2 Item No.","@@"&amp;$F877,"3 Posting Date",O$9)</t>
  </si>
  <si>
    <t>=O877-Q877</t>
  </si>
  <si>
    <t>=IF(O877&lt;&gt;0,R877/O877,"")</t>
  </si>
  <si>
    <t>=NL("Sum","5802 Value Entry","150 Sales Amount (Expected)","41 Source Type",$C$5,"5 Source No.",$C877,"4 Item Ledger Entry Type",$C$4,"2 Item No.","@@"&amp;$F877,"3 Posting Date",U$9)+NL("Sum","5802 Value Entry","17 Sales Amount (Actual)","41 Source Type",$C$5,"5 Source no.",$C877,"4 Item Ledger Entry Type",$C$4,"2 Item No.","@@"&amp;$F877,"3 Posting Date",U$9)</t>
  </si>
  <si>
    <t>=-NL("Sum","5802 Value Entry","151 Cost Amount (Expected)","41 Source Type",$C$5,"5 Source No.",$C877,"4 Item Ledger Entry Type",$C$4,"2 Item No.","@@"&amp;$F877,"3 Posting Date",U$9)-NL("Sum","5802 Value Entry","43 Cost Amount (Actual)","41 Source Type",$C$5,"5 Source no.",$C877,"4 Item Ledger Entry Type",$C$4,"2 Item No.","@@"&amp;$F877,"3 Posting Date",U$9)</t>
  </si>
  <si>
    <t>=U877-W877</t>
  </si>
  <si>
    <t>=IF(U877&lt;&gt;0,X877/U877,"")</t>
  </si>
  <si>
    <t>=NL("Sum","5802 Value Entry","150 Sales Amount (Expected)","41 Source Type",$C$5,"5 Source No.",$C877,"4 Item Ledger Entry Type",$C$4,"2 Item No.","@@"&amp;$F877,"3 Posting Date",Z$9)+NL("Sum","5802 Value Entry","17 Sales Amount (Actual)","41 Source Type",$C$5,"5 Source no.",$C877,"4 Item Ledger Entry Type",$C$4,"2 Item No.","@@"&amp;$F877,"3 Posting Date",Z$9)</t>
  </si>
  <si>
    <t>=-NL("Sum","5802 Value Entry","151 Cost Amount (Expected)","41 Source Type",$C$5,"5 Source No.",$C877,"4 Item Ledger Entry Type",$C$4,"2 Item No.","@@"&amp;$F877,"3 Posting Date",Z$9)-NL("Sum","5802 Value Entry","43 Cost Amount (Actual)","41 Source Type",$C$5,"5 Source no.",$C877,"4 Item Ledger Entry Type",$C$4,"2 Item No.","@@"&amp;$F877,"3 Posting Date",Z$9)</t>
  </si>
  <si>
    <t>=Z877-AB877</t>
  </si>
  <si>
    <t>=IF(Z877&lt;&gt;0,AC877/Z877,"")</t>
  </si>
  <si>
    <t>=NL("Sum","5802 Value Entry","150 Sales Amount (Expected)","41 Source Type",$C$5,"5 Source No.",$C878,"4 Item Ledger Entry Type",$C$4,"2 Item No.","@@"&amp;$F878,"3 Posting Date",J$9)+NL("Sum","5802 Value Entry","17 Sales Amount (Actual)","41 Source Type",$C$5,"5 Source no.",$C878,"4 Item Ledger Entry Type",$C$4,"2 Item No.","@@"&amp;$F878,"3 Posting Date",J$9)</t>
  </si>
  <si>
    <t>=-NL("Sum","5802 Value Entry","151 Cost Amount (Expected)","41 Source Type",$C$5,"5 Source No.",$C878,"4 Item Ledger Entry Type",$C$4,"2 Item No.","@@"&amp;$F878,"3 Posting Date",J$9)-NL("Sum","5802 Value Entry","43 Cost Amount (Actual)","41 Source Type",$C$5,"5 Source no.",$C878,"4 Item Ledger Entry Type",$C$4,"2 Item No.","@@"&amp;$F878,"3 Posting Date",J$9)</t>
  </si>
  <si>
    <t>=NL("Sum","5802 Value Entry","150 Sales Amount (Expected)","41 Source Type",$C$5,"5 Source No.",$C878,"4 Item Ledger Entry Type",$C$4,"2 Item No.","@@"&amp;$F878,"3 Posting Date",O$9)+NL("Sum","5802 Value Entry","17 Sales Amount (Actual)","41 Source Type",$C$5,"5 Source no.",$C878,"4 Item Ledger Entry Type",$C$4,"2 Item No.","@@"&amp;$F878,"3 Posting Date",O$9)</t>
  </si>
  <si>
    <t>=-NL("Sum","5802 Value Entry","151 Cost Amount (Expected)","41 Source Type",$C$5,"5 Source No.",$C878,"4 Item Ledger Entry Type",$C$4,"2 Item No.","@@"&amp;$F878,"3 Posting Date",O$9)-NL("Sum","5802 Value Entry","43 Cost Amount (Actual)","41 Source Type",$C$5,"5 Source no.",$C878,"4 Item Ledger Entry Type",$C$4,"2 Item No.","@@"&amp;$F878,"3 Posting Date",O$9)</t>
  </si>
  <si>
    <t>=NL("Sum","5802 Value Entry","150 Sales Amount (Expected)","41 Source Type",$C$5,"5 Source No.",$C878,"4 Item Ledger Entry Type",$C$4,"2 Item No.","@@"&amp;$F878,"3 Posting Date",U$9)+NL("Sum","5802 Value Entry","17 Sales Amount (Actual)","41 Source Type",$C$5,"5 Source no.",$C878,"4 Item Ledger Entry Type",$C$4,"2 Item No.","@@"&amp;$F878,"3 Posting Date",U$9)</t>
  </si>
  <si>
    <t>=-NL("Sum","5802 Value Entry","151 Cost Amount (Expected)","41 Source Type",$C$5,"5 Source No.",$C878,"4 Item Ledger Entry Type",$C$4,"2 Item No.","@@"&amp;$F878,"3 Posting Date",U$9)-NL("Sum","5802 Value Entry","43 Cost Amount (Actual)","41 Source Type",$C$5,"5 Source no.",$C878,"4 Item Ledger Entry Type",$C$4,"2 Item No.","@@"&amp;$F878,"3 Posting Date",U$9)</t>
  </si>
  <si>
    <t>=NL("Sum","5802 Value Entry","150 Sales Amount (Expected)","41 Source Type",$C$5,"5 Source No.",$C878,"4 Item Ledger Entry Type",$C$4,"2 Item No.","@@"&amp;$F878,"3 Posting Date",Z$9)+NL("Sum","5802 Value Entry","17 Sales Amount (Actual)","41 Source Type",$C$5,"5 Source no.",$C878,"4 Item Ledger Entry Type",$C$4,"2 Item No.","@@"&amp;$F878,"3 Posting Date",Z$9)</t>
  </si>
  <si>
    <t>=-NL("Sum","5802 Value Entry","151 Cost Amount (Expected)","41 Source Type",$C$5,"5 Source No.",$C878,"4 Item Ledger Entry Type",$C$4,"2 Item No.","@@"&amp;$F878,"3 Posting Date",Z$9)-NL("Sum","5802 Value Entry","43 Cost Amount (Actual)","41 Source Type",$C$5,"5 Source no.",$C878,"4 Item Ledger Entry Type",$C$4,"2 Item No.","@@"&amp;$F878,"3 Posting Date",Z$9)</t>
  </si>
  <si>
    <t>=C878</t>
  </si>
  <si>
    <t>=NL("Sum","5802 Value Entry","150 Sales Amount (Expected)","41 Source Type",$C$5,"5 Source No.",$C879,"4 Item Ledger Entry Type",$C$4,"2 Item No.","@@"&amp;$F879,"3 Posting Date",J$9)+NL("Sum","5802 Value Entry","17 Sales Amount (Actual)","41 Source Type",$C$5,"5 Source no.",$C879,"4 Item Ledger Entry Type",$C$4,"2 Item No.","@@"&amp;$F879,"3 Posting Date",J$9)</t>
  </si>
  <si>
    <t>=-NL("Sum","5802 Value Entry","151 Cost Amount (Expected)","41 Source Type",$C$5,"5 Source No.",$C879,"4 Item Ledger Entry Type",$C$4,"2 Item No.","@@"&amp;$F879,"3 Posting Date",J$9)-NL("Sum","5802 Value Entry","43 Cost Amount (Actual)","41 Source Type",$C$5,"5 Source no.",$C879,"4 Item Ledger Entry Type",$C$4,"2 Item No.","@@"&amp;$F879,"3 Posting Date",J$9)</t>
  </si>
  <si>
    <t>=J879-L879</t>
  </si>
  <si>
    <t>=IF(J879&lt;&gt;0,M879/J879,"")</t>
  </si>
  <si>
    <t>=NL("Sum","5802 Value Entry","150 Sales Amount (Expected)","41 Source Type",$C$5,"5 Source No.",$C879,"4 Item Ledger Entry Type",$C$4,"2 Item No.","@@"&amp;$F879,"3 Posting Date",O$9)+NL("Sum","5802 Value Entry","17 Sales Amount (Actual)","41 Source Type",$C$5,"5 Source no.",$C879,"4 Item Ledger Entry Type",$C$4,"2 Item No.","@@"&amp;$F879,"3 Posting Date",O$9)</t>
  </si>
  <si>
    <t>=-NL("Sum","5802 Value Entry","151 Cost Amount (Expected)","41 Source Type",$C$5,"5 Source No.",$C879,"4 Item Ledger Entry Type",$C$4,"2 Item No.","@@"&amp;$F879,"3 Posting Date",O$9)-NL("Sum","5802 Value Entry","43 Cost Amount (Actual)","41 Source Type",$C$5,"5 Source no.",$C879,"4 Item Ledger Entry Type",$C$4,"2 Item No.","@@"&amp;$F879,"3 Posting Date",O$9)</t>
  </si>
  <si>
    <t>=O879-Q879</t>
  </si>
  <si>
    <t>=IF(O879&lt;&gt;0,R879/O879,"")</t>
  </si>
  <si>
    <t>=NL("Sum","5802 Value Entry","150 Sales Amount (Expected)","41 Source Type",$C$5,"5 Source No.",$C879,"4 Item Ledger Entry Type",$C$4,"2 Item No.","@@"&amp;$F879,"3 Posting Date",U$9)+NL("Sum","5802 Value Entry","17 Sales Amount (Actual)","41 Source Type",$C$5,"5 Source no.",$C879,"4 Item Ledger Entry Type",$C$4,"2 Item No.","@@"&amp;$F879,"3 Posting Date",U$9)</t>
  </si>
  <si>
    <t>=-NL("Sum","5802 Value Entry","151 Cost Amount (Expected)","41 Source Type",$C$5,"5 Source No.",$C879,"4 Item Ledger Entry Type",$C$4,"2 Item No.","@@"&amp;$F879,"3 Posting Date",U$9)-NL("Sum","5802 Value Entry","43 Cost Amount (Actual)","41 Source Type",$C$5,"5 Source no.",$C879,"4 Item Ledger Entry Type",$C$4,"2 Item No.","@@"&amp;$F879,"3 Posting Date",U$9)</t>
  </si>
  <si>
    <t>=U879-W879</t>
  </si>
  <si>
    <t>=IF(U879&lt;&gt;0,X879/U879,"")</t>
  </si>
  <si>
    <t>=NL("Sum","5802 Value Entry","150 Sales Amount (Expected)","41 Source Type",$C$5,"5 Source No.",$C879,"4 Item Ledger Entry Type",$C$4,"2 Item No.","@@"&amp;$F879,"3 Posting Date",Z$9)+NL("Sum","5802 Value Entry","17 Sales Amount (Actual)","41 Source Type",$C$5,"5 Source no.",$C879,"4 Item Ledger Entry Type",$C$4,"2 Item No.","@@"&amp;$F879,"3 Posting Date",Z$9)</t>
  </si>
  <si>
    <t>=-NL("Sum","5802 Value Entry","151 Cost Amount (Expected)","41 Source Type",$C$5,"5 Source No.",$C879,"4 Item Ledger Entry Type",$C$4,"2 Item No.","@@"&amp;$F879,"3 Posting Date",Z$9)-NL("Sum","5802 Value Entry","43 Cost Amount (Actual)","41 Source Type",$C$5,"5 Source no.",$C879,"4 Item Ledger Entry Type",$C$4,"2 Item No.","@@"&amp;$F879,"3 Posting Date",Z$9)</t>
  </si>
  <si>
    <t>=Z879-AB879</t>
  </si>
  <si>
    <t>=IF(Z879&lt;&gt;0,AC879/Z879,"")</t>
  </si>
  <si>
    <t>=C879</t>
  </si>
  <si>
    <t>=NL("Sum","5802 Value Entry","150 Sales Amount (Expected)","41 Source Type",$C$5,"5 Source No.",$C880,"4 Item Ledger Entry Type",$C$4,"2 Item No.","@@"&amp;$F880,"3 Posting Date",J$9)+NL("Sum","5802 Value Entry","17 Sales Amount (Actual)","41 Source Type",$C$5,"5 Source no.",$C880,"4 Item Ledger Entry Type",$C$4,"2 Item No.","@@"&amp;$F880,"3 Posting Date",J$9)</t>
  </si>
  <si>
    <t>=-NL("Sum","5802 Value Entry","151 Cost Amount (Expected)","41 Source Type",$C$5,"5 Source No.",$C880,"4 Item Ledger Entry Type",$C$4,"2 Item No.","@@"&amp;$F880,"3 Posting Date",J$9)-NL("Sum","5802 Value Entry","43 Cost Amount (Actual)","41 Source Type",$C$5,"5 Source no.",$C880,"4 Item Ledger Entry Type",$C$4,"2 Item No.","@@"&amp;$F880,"3 Posting Date",J$9)</t>
  </si>
  <si>
    <t>=J880-L880</t>
  </si>
  <si>
    <t>=IF(J880&lt;&gt;0,M880/J880,"")</t>
  </si>
  <si>
    <t>=NL("Sum","5802 Value Entry","150 Sales Amount (Expected)","41 Source Type",$C$5,"5 Source No.",$C880,"4 Item Ledger Entry Type",$C$4,"2 Item No.","@@"&amp;$F880,"3 Posting Date",O$9)+NL("Sum","5802 Value Entry","17 Sales Amount (Actual)","41 Source Type",$C$5,"5 Source no.",$C880,"4 Item Ledger Entry Type",$C$4,"2 Item No.","@@"&amp;$F880,"3 Posting Date",O$9)</t>
  </si>
  <si>
    <t>=-NL("Sum","5802 Value Entry","151 Cost Amount (Expected)","41 Source Type",$C$5,"5 Source No.",$C880,"4 Item Ledger Entry Type",$C$4,"2 Item No.","@@"&amp;$F880,"3 Posting Date",O$9)-NL("Sum","5802 Value Entry","43 Cost Amount (Actual)","41 Source Type",$C$5,"5 Source no.",$C880,"4 Item Ledger Entry Type",$C$4,"2 Item No.","@@"&amp;$F880,"3 Posting Date",O$9)</t>
  </si>
  <si>
    <t>=O880-Q880</t>
  </si>
  <si>
    <t>=IF(O880&lt;&gt;0,R880/O880,"")</t>
  </si>
  <si>
    <t>=NL("Sum","5802 Value Entry","150 Sales Amount (Expected)","41 Source Type",$C$5,"5 Source No.",$C880,"4 Item Ledger Entry Type",$C$4,"2 Item No.","@@"&amp;$F880,"3 Posting Date",U$9)+NL("Sum","5802 Value Entry","17 Sales Amount (Actual)","41 Source Type",$C$5,"5 Source no.",$C880,"4 Item Ledger Entry Type",$C$4,"2 Item No.","@@"&amp;$F880,"3 Posting Date",U$9)</t>
  </si>
  <si>
    <t>=-NL("Sum","5802 Value Entry","151 Cost Amount (Expected)","41 Source Type",$C$5,"5 Source No.",$C880,"4 Item Ledger Entry Type",$C$4,"2 Item No.","@@"&amp;$F880,"3 Posting Date",U$9)-NL("Sum","5802 Value Entry","43 Cost Amount (Actual)","41 Source Type",$C$5,"5 Source no.",$C880,"4 Item Ledger Entry Type",$C$4,"2 Item No.","@@"&amp;$F880,"3 Posting Date",U$9)</t>
  </si>
  <si>
    <t>=U880-W880</t>
  </si>
  <si>
    <t>=IF(U880&lt;&gt;0,X880/U880,"")</t>
  </si>
  <si>
    <t>=NL("Sum","5802 Value Entry","150 Sales Amount (Expected)","41 Source Type",$C$5,"5 Source No.",$C880,"4 Item Ledger Entry Type",$C$4,"2 Item No.","@@"&amp;$F880,"3 Posting Date",Z$9)+NL("Sum","5802 Value Entry","17 Sales Amount (Actual)","41 Source Type",$C$5,"5 Source no.",$C880,"4 Item Ledger Entry Type",$C$4,"2 Item No.","@@"&amp;$F880,"3 Posting Date",Z$9)</t>
  </si>
  <si>
    <t>=-NL("Sum","5802 Value Entry","151 Cost Amount (Expected)","41 Source Type",$C$5,"5 Source No.",$C880,"4 Item Ledger Entry Type",$C$4,"2 Item No.","@@"&amp;$F880,"3 Posting Date",Z$9)-NL("Sum","5802 Value Entry","43 Cost Amount (Actual)","41 Source Type",$C$5,"5 Source no.",$C880,"4 Item Ledger Entry Type",$C$4,"2 Item No.","@@"&amp;$F880,"3 Posting Date",Z$9)</t>
  </si>
  <si>
    <t>=Z880-AB880</t>
  </si>
  <si>
    <t>=IF(Z880&lt;&gt;0,AC880/Z880,"")</t>
  </si>
  <si>
    <t>=NL("Sum","5802 Value Entry","150 Sales Amount (Expected)","41 Source Type",$C$5,"5 Source No.",$C881,"4 Item Ledger Entry Type",$C$4,"2 Item No.","@@"&amp;$F881,"3 Posting Date",J$9)+NL("Sum","5802 Value Entry","17 Sales Amount (Actual)","41 Source Type",$C$5,"5 Source no.",$C881,"4 Item Ledger Entry Type",$C$4,"2 Item No.","@@"&amp;$F881,"3 Posting Date",J$9)</t>
  </si>
  <si>
    <t>=-NL("Sum","5802 Value Entry","151 Cost Amount (Expected)","41 Source Type",$C$5,"5 Source No.",$C881,"4 Item Ledger Entry Type",$C$4,"2 Item No.","@@"&amp;$F881,"3 Posting Date",J$9)-NL("Sum","5802 Value Entry","43 Cost Amount (Actual)","41 Source Type",$C$5,"5 Source no.",$C881,"4 Item Ledger Entry Type",$C$4,"2 Item No.","@@"&amp;$F881,"3 Posting Date",J$9)</t>
  </si>
  <si>
    <t>=J881-L881</t>
  </si>
  <si>
    <t>=IF(J881&lt;&gt;0,M881/J881,"")</t>
  </si>
  <si>
    <t>=NL("Sum","5802 Value Entry","150 Sales Amount (Expected)","41 Source Type",$C$5,"5 Source No.",$C881,"4 Item Ledger Entry Type",$C$4,"2 Item No.","@@"&amp;$F881,"3 Posting Date",O$9)+NL("Sum","5802 Value Entry","17 Sales Amount (Actual)","41 Source Type",$C$5,"5 Source no.",$C881,"4 Item Ledger Entry Type",$C$4,"2 Item No.","@@"&amp;$F881,"3 Posting Date",O$9)</t>
  </si>
  <si>
    <t>=-NL("Sum","5802 Value Entry","151 Cost Amount (Expected)","41 Source Type",$C$5,"5 Source No.",$C881,"4 Item Ledger Entry Type",$C$4,"2 Item No.","@@"&amp;$F881,"3 Posting Date",O$9)-NL("Sum","5802 Value Entry","43 Cost Amount (Actual)","41 Source Type",$C$5,"5 Source no.",$C881,"4 Item Ledger Entry Type",$C$4,"2 Item No.","@@"&amp;$F881,"3 Posting Date",O$9)</t>
  </si>
  <si>
    <t>=O881-Q881</t>
  </si>
  <si>
    <t>=IF(O881&lt;&gt;0,R881/O881,"")</t>
  </si>
  <si>
    <t>=NL("Sum","5802 Value Entry","150 Sales Amount (Expected)","41 Source Type",$C$5,"5 Source No.",$C881,"4 Item Ledger Entry Type",$C$4,"2 Item No.","@@"&amp;$F881,"3 Posting Date",U$9)+NL("Sum","5802 Value Entry","17 Sales Amount (Actual)","41 Source Type",$C$5,"5 Source no.",$C881,"4 Item Ledger Entry Type",$C$4,"2 Item No.","@@"&amp;$F881,"3 Posting Date",U$9)</t>
  </si>
  <si>
    <t>=-NL("Sum","5802 Value Entry","151 Cost Amount (Expected)","41 Source Type",$C$5,"5 Source No.",$C881,"4 Item Ledger Entry Type",$C$4,"2 Item No.","@@"&amp;$F881,"3 Posting Date",U$9)-NL("Sum","5802 Value Entry","43 Cost Amount (Actual)","41 Source Type",$C$5,"5 Source no.",$C881,"4 Item Ledger Entry Type",$C$4,"2 Item No.","@@"&amp;$F881,"3 Posting Date",U$9)</t>
  </si>
  <si>
    <t>=U881-W881</t>
  </si>
  <si>
    <t>=IF(U881&lt;&gt;0,X881/U881,"")</t>
  </si>
  <si>
    <t>=NL("Sum","5802 Value Entry","150 Sales Amount (Expected)","41 Source Type",$C$5,"5 Source No.",$C881,"4 Item Ledger Entry Type",$C$4,"2 Item No.","@@"&amp;$F881,"3 Posting Date",Z$9)+NL("Sum","5802 Value Entry","17 Sales Amount (Actual)","41 Source Type",$C$5,"5 Source no.",$C881,"4 Item Ledger Entry Type",$C$4,"2 Item No.","@@"&amp;$F881,"3 Posting Date",Z$9)</t>
  </si>
  <si>
    <t>=-NL("Sum","5802 Value Entry","151 Cost Amount (Expected)","41 Source Type",$C$5,"5 Source No.",$C881,"4 Item Ledger Entry Type",$C$4,"2 Item No.","@@"&amp;$F881,"3 Posting Date",Z$9)-NL("Sum","5802 Value Entry","43 Cost Amount (Actual)","41 Source Type",$C$5,"5 Source no.",$C881,"4 Item Ledger Entry Type",$C$4,"2 Item No.","@@"&amp;$F881,"3 Posting Date",Z$9)</t>
  </si>
  <si>
    <t>=Z881-AB881</t>
  </si>
  <si>
    <t>=IF(Z881&lt;&gt;0,AC881/Z881,"")</t>
  </si>
  <si>
    <t>=C897&amp;" TOTAL:"</t>
  </si>
  <si>
    <t>=SUBTOTAL(9,J874:J896)</t>
  </si>
  <si>
    <t>=SUBTOTAL(9,K874:K896)</t>
  </si>
  <si>
    <t>=SUBTOTAL(9,L874:L896)</t>
  </si>
  <si>
    <t>=SUBTOTAL(9,O874:O896)</t>
  </si>
  <si>
    <t>=SUBTOTAL(9,P874:P896)</t>
  </si>
  <si>
    <t>=SUBTOTAL(9,Q874:Q896)</t>
  </si>
  <si>
    <t>=SUBTOTAL(9,U874:U896)</t>
  </si>
  <si>
    <t>=SUBTOTAL(9,V874:V896)</t>
  </si>
  <si>
    <t>=SUBTOTAL(9,W874:W896)</t>
  </si>
  <si>
    <t>=SUBTOTAL(9,Z874:Z896)</t>
  </si>
  <si>
    <t>=SUBTOTAL(9,AA874:AA896)</t>
  </si>
  <si>
    <t>=SUBTOTAL(9,AB874:AB896)</t>
  </si>
  <si>
    <t>=E899</t>
  </si>
  <si>
    <t>=NL(,"18 Customer","2 Name","1 No.",$E899)</t>
  </si>
  <si>
    <t>=C900</t>
  </si>
  <si>
    <t>=NL("Rows","5802 Value Entry","2 Item No.","4 Item Ledger Entry Type",$C$4,"41 Source Type",$C$5,"5 Source No.",$C901,"Item No.",$C$7,"3 Posting Date",$C$10)</t>
  </si>
  <si>
    <t>=NL("Sum","5802 Value Entry","150 Sales Amount (Expected)","41 Source Type",$C$5,"5 Source No.",$C901,"4 Item Ledger Entry Type",$C$4,"2 Item No.","@@"&amp;$F901,"3 Posting Date",J$9)+NL("Sum","5802 Value Entry","17 Sales Amount (Actual)","41 Source Type",$C$5,"5 Source no.",$C901,"4 Item Ledger Entry Type",$C$4,"2 Item No.","@@"&amp;$F901,"3 Posting Date",J$9)</t>
  </si>
  <si>
    <t>=-NL("Sum","5802 Value Entry","151 Cost Amount (Expected)","41 Source Type",$C$5,"5 Source No.",$C901,"4 Item Ledger Entry Type",$C$4,"2 Item No.","@@"&amp;$F901,"3 Posting Date",J$9)-NL("Sum","5802 Value Entry","43 Cost Amount (Actual)","41 Source Type",$C$5,"5 Source no.",$C901,"4 Item Ledger Entry Type",$C$4,"2 Item No.","@@"&amp;$F901,"3 Posting Date",J$9)</t>
  </si>
  <si>
    <t>=J901-L901</t>
  </si>
  <si>
    <t>=IF(J901&lt;&gt;0,M901/J901,"")</t>
  </si>
  <si>
    <t>=NL("Sum","5802 Value Entry","150 Sales Amount (Expected)","41 Source Type",$C$5,"5 Source No.",$C901,"4 Item Ledger Entry Type",$C$4,"2 Item No.","@@"&amp;$F901,"3 Posting Date",O$9)+NL("Sum","5802 Value Entry","17 Sales Amount (Actual)","41 Source Type",$C$5,"5 Source no.",$C901,"4 Item Ledger Entry Type",$C$4,"2 Item No.","@@"&amp;$F901,"3 Posting Date",O$9)</t>
  </si>
  <si>
    <t>=-NL("Sum","5802 Value Entry","151 Cost Amount (Expected)","41 Source Type",$C$5,"5 Source No.",$C901,"4 Item Ledger Entry Type",$C$4,"2 Item No.","@@"&amp;$F901,"3 Posting Date",O$9)-NL("Sum","5802 Value Entry","43 Cost Amount (Actual)","41 Source Type",$C$5,"5 Source no.",$C901,"4 Item Ledger Entry Type",$C$4,"2 Item No.","@@"&amp;$F901,"3 Posting Date",O$9)</t>
  </si>
  <si>
    <t>=O901-Q901</t>
  </si>
  <si>
    <t>=IF(O901&lt;&gt;0,R901/O901,"")</t>
  </si>
  <si>
    <t>=NL("Sum","5802 Value Entry","150 Sales Amount (Expected)","41 Source Type",$C$5,"5 Source No.",$C901,"4 Item Ledger Entry Type",$C$4,"2 Item No.","@@"&amp;$F901,"3 Posting Date",U$9)+NL("Sum","5802 Value Entry","17 Sales Amount (Actual)","41 Source Type",$C$5,"5 Source no.",$C901,"4 Item Ledger Entry Type",$C$4,"2 Item No.","@@"&amp;$F901,"3 Posting Date",U$9)</t>
  </si>
  <si>
    <t>=-NL("Sum","5802 Value Entry","151 Cost Amount (Expected)","41 Source Type",$C$5,"5 Source No.",$C901,"4 Item Ledger Entry Type",$C$4,"2 Item No.","@@"&amp;$F901,"3 Posting Date",U$9)-NL("Sum","5802 Value Entry","43 Cost Amount (Actual)","41 Source Type",$C$5,"5 Source no.",$C901,"4 Item Ledger Entry Type",$C$4,"2 Item No.","@@"&amp;$F901,"3 Posting Date",U$9)</t>
  </si>
  <si>
    <t>=U901-W901</t>
  </si>
  <si>
    <t>=IF(U901&lt;&gt;0,X901/U901,"")</t>
  </si>
  <si>
    <t>=NL("Sum","5802 Value Entry","150 Sales Amount (Expected)","41 Source Type",$C$5,"5 Source No.",$C901,"4 Item Ledger Entry Type",$C$4,"2 Item No.","@@"&amp;$F901,"3 Posting Date",Z$9)+NL("Sum","5802 Value Entry","17 Sales Amount (Actual)","41 Source Type",$C$5,"5 Source no.",$C901,"4 Item Ledger Entry Type",$C$4,"2 Item No.","@@"&amp;$F901,"3 Posting Date",Z$9)</t>
  </si>
  <si>
    <t>=-NL("Sum","5802 Value Entry","151 Cost Amount (Expected)","41 Source Type",$C$5,"5 Source No.",$C901,"4 Item Ledger Entry Type",$C$4,"2 Item No.","@@"&amp;$F901,"3 Posting Date",Z$9)-NL("Sum","5802 Value Entry","43 Cost Amount (Actual)","41 Source Type",$C$5,"5 Source no.",$C901,"4 Item Ledger Entry Type",$C$4,"2 Item No.","@@"&amp;$F901,"3 Posting Date",Z$9)</t>
  </si>
  <si>
    <t>=Z901-AB901</t>
  </si>
  <si>
    <t>=IF(Z901&lt;&gt;0,AC901/Z901,"")</t>
  </si>
  <si>
    <t>=C901</t>
  </si>
  <si>
    <t>=C903&amp;" TOTAL:"</t>
  </si>
  <si>
    <t>=SUBTOTAL(9,J900:J902)</t>
  </si>
  <si>
    <t>=SUBTOTAL(9,K900:K902)</t>
  </si>
  <si>
    <t>=SUBTOTAL(9,L900:L902)</t>
  </si>
  <si>
    <t>=J903-L903</t>
  </si>
  <si>
    <t>=IF(J903&lt;&gt;0,M903/J903,"")</t>
  </si>
  <si>
    <t>=SUBTOTAL(9,O900:O902)</t>
  </si>
  <si>
    <t>=SUBTOTAL(9,P900:P902)</t>
  </si>
  <si>
    <t>=SUBTOTAL(9,Q900:Q902)</t>
  </si>
  <si>
    <t>=O903-Q903</t>
  </si>
  <si>
    <t>=IF(O903&lt;&gt;0,R903/O903,"")</t>
  </si>
  <si>
    <t>=SUBTOTAL(9,U900:U902)</t>
  </si>
  <si>
    <t>=SUBTOTAL(9,V900:V902)</t>
  </si>
  <si>
    <t>=SUBTOTAL(9,W900:W902)</t>
  </si>
  <si>
    <t>=U903-W903</t>
  </si>
  <si>
    <t>=IF(U903&lt;&gt;0,X903/U903,"")</t>
  </si>
  <si>
    <t>=SUBTOTAL(9,Z900:Z902)</t>
  </si>
  <si>
    <t>=SUBTOTAL(9,AA900:AA902)</t>
  </si>
  <si>
    <t>=SUBTOTAL(9,AB900:AB902)</t>
  </si>
  <si>
    <t>=Z903-AB903</t>
  </si>
  <si>
    <t>=IF(Z903&lt;&gt;0,AC903/Z903,"")</t>
  </si>
  <si>
    <t>=E905</t>
  </si>
  <si>
    <t>=NL(,"18 Customer","2 Name","1 No.",$E905)</t>
  </si>
  <si>
    <t>=NL("Rows","5802 Value Entry","2 Item No.","4 Item Ledger Entry Type",$C$4,"41 Source Type",$C$5,"5 Source No.",$C907,"Item No.",$C$7,"3 Posting Date",$C$10)</t>
  </si>
  <si>
    <t>=C935</t>
  </si>
  <si>
    <t>=NL("Sum","5802 Value Entry","150 Sales Amount (Expected)","41 Source Type",$C$5,"5 Source No.",$C936,"4 Item Ledger Entry Type",$C$4,"2 Item No.","@@"&amp;$F936,"3 Posting Date",J$9)+NL("Sum","5802 Value Entry","17 Sales Amount (Actual)","41 Source Type",$C$5,"5 Source no.",$C936,"4 Item Ledger Entry Type",$C$4,"2 Item No.","@@"&amp;$F936,"3 Posting Date",J$9)</t>
  </si>
  <si>
    <t>=-NL("Sum","5802 Value Entry","151 Cost Amount (Expected)","41 Source Type",$C$5,"5 Source No.",$C936,"4 Item Ledger Entry Type",$C$4,"2 Item No.","@@"&amp;$F936,"3 Posting Date",J$9)-NL("Sum","5802 Value Entry","43 Cost Amount (Actual)","41 Source Type",$C$5,"5 Source no.",$C936,"4 Item Ledger Entry Type",$C$4,"2 Item No.","@@"&amp;$F936,"3 Posting Date",J$9)</t>
  </si>
  <si>
    <t>=J936-L936</t>
  </si>
  <si>
    <t>=IF(J936&lt;&gt;0,M936/J936,"")</t>
  </si>
  <si>
    <t>=NL("Sum","5802 Value Entry","150 Sales Amount (Expected)","41 Source Type",$C$5,"5 Source No.",$C936,"4 Item Ledger Entry Type",$C$4,"2 Item No.","@@"&amp;$F936,"3 Posting Date",O$9)+NL("Sum","5802 Value Entry","17 Sales Amount (Actual)","41 Source Type",$C$5,"5 Source no.",$C936,"4 Item Ledger Entry Type",$C$4,"2 Item No.","@@"&amp;$F936,"3 Posting Date",O$9)</t>
  </si>
  <si>
    <t>=-NL("Sum","5802 Value Entry","151 Cost Amount (Expected)","41 Source Type",$C$5,"5 Source No.",$C936,"4 Item Ledger Entry Type",$C$4,"2 Item No.","@@"&amp;$F936,"3 Posting Date",O$9)-NL("Sum","5802 Value Entry","43 Cost Amount (Actual)","41 Source Type",$C$5,"5 Source no.",$C936,"4 Item Ledger Entry Type",$C$4,"2 Item No.","@@"&amp;$F936,"3 Posting Date",O$9)</t>
  </si>
  <si>
    <t>=O936-Q936</t>
  </si>
  <si>
    <t>=IF(O936&lt;&gt;0,R936/O936,"")</t>
  </si>
  <si>
    <t>=NL("Sum","5802 Value Entry","150 Sales Amount (Expected)","41 Source Type",$C$5,"5 Source No.",$C936,"4 Item Ledger Entry Type",$C$4,"2 Item No.","@@"&amp;$F936,"3 Posting Date",U$9)+NL("Sum","5802 Value Entry","17 Sales Amount (Actual)","41 Source Type",$C$5,"5 Source no.",$C936,"4 Item Ledger Entry Type",$C$4,"2 Item No.","@@"&amp;$F936,"3 Posting Date",U$9)</t>
  </si>
  <si>
    <t>=-NL("Sum","5802 Value Entry","151 Cost Amount (Expected)","41 Source Type",$C$5,"5 Source No.",$C936,"4 Item Ledger Entry Type",$C$4,"2 Item No.","@@"&amp;$F936,"3 Posting Date",U$9)-NL("Sum","5802 Value Entry","43 Cost Amount (Actual)","41 Source Type",$C$5,"5 Source no.",$C936,"4 Item Ledger Entry Type",$C$4,"2 Item No.","@@"&amp;$F936,"3 Posting Date",U$9)</t>
  </si>
  <si>
    <t>=U936-W936</t>
  </si>
  <si>
    <t>=IF(U936&lt;&gt;0,X936/U936,"")</t>
  </si>
  <si>
    <t>=NL("Sum","5802 Value Entry","150 Sales Amount (Expected)","41 Source Type",$C$5,"5 Source No.",$C936,"4 Item Ledger Entry Type",$C$4,"2 Item No.","@@"&amp;$F936,"3 Posting Date",Z$9)+NL("Sum","5802 Value Entry","17 Sales Amount (Actual)","41 Source Type",$C$5,"5 Source no.",$C936,"4 Item Ledger Entry Type",$C$4,"2 Item No.","@@"&amp;$F936,"3 Posting Date",Z$9)</t>
  </si>
  <si>
    <t>=-NL("Sum","5802 Value Entry","151 Cost Amount (Expected)","41 Source Type",$C$5,"5 Source No.",$C936,"4 Item Ledger Entry Type",$C$4,"2 Item No.","@@"&amp;$F936,"3 Posting Date",Z$9)-NL("Sum","5802 Value Entry","43 Cost Amount (Actual)","41 Source Type",$C$5,"5 Source no.",$C936,"4 Item Ledger Entry Type",$C$4,"2 Item No.","@@"&amp;$F936,"3 Posting Date",Z$9)</t>
  </si>
  <si>
    <t>=Z936-AB936</t>
  </si>
  <si>
    <t>=IF(Z936&lt;&gt;0,AC936/Z936,"")</t>
  </si>
  <si>
    <t>=NL("Sum","5802 Value Entry","150 Sales Amount (Expected)","41 Source Type",$C$5,"5 Source No.",$C937,"4 Item Ledger Entry Type",$C$4,"2 Item No.","@@"&amp;$F937,"3 Posting Date",J$9)+NL("Sum","5802 Value Entry","17 Sales Amount (Actual)","41 Source Type",$C$5,"5 Source no.",$C937,"4 Item Ledger Entry Type",$C$4,"2 Item No.","@@"&amp;$F937,"3 Posting Date",J$9)</t>
  </si>
  <si>
    <t>=-NL("Sum","5802 Value Entry","151 Cost Amount (Expected)","41 Source Type",$C$5,"5 Source No.",$C937,"4 Item Ledger Entry Type",$C$4,"2 Item No.","@@"&amp;$F937,"3 Posting Date",J$9)-NL("Sum","5802 Value Entry","43 Cost Amount (Actual)","41 Source Type",$C$5,"5 Source no.",$C937,"4 Item Ledger Entry Type",$C$4,"2 Item No.","@@"&amp;$F937,"3 Posting Date",J$9)</t>
  </si>
  <si>
    <t>=NL("Sum","5802 Value Entry","150 Sales Amount (Expected)","41 Source Type",$C$5,"5 Source No.",$C937,"4 Item Ledger Entry Type",$C$4,"2 Item No.","@@"&amp;$F937,"3 Posting Date",O$9)+NL("Sum","5802 Value Entry","17 Sales Amount (Actual)","41 Source Type",$C$5,"5 Source no.",$C937,"4 Item Ledger Entry Type",$C$4,"2 Item No.","@@"&amp;$F937,"3 Posting Date",O$9)</t>
  </si>
  <si>
    <t>=-NL("Sum","5802 Value Entry","151 Cost Amount (Expected)","41 Source Type",$C$5,"5 Source No.",$C937,"4 Item Ledger Entry Type",$C$4,"2 Item No.","@@"&amp;$F937,"3 Posting Date",O$9)-NL("Sum","5802 Value Entry","43 Cost Amount (Actual)","41 Source Type",$C$5,"5 Source no.",$C937,"4 Item Ledger Entry Type",$C$4,"2 Item No.","@@"&amp;$F937,"3 Posting Date",O$9)</t>
  </si>
  <si>
    <t>=NL("Sum","5802 Value Entry","150 Sales Amount (Expected)","41 Source Type",$C$5,"5 Source No.",$C937,"4 Item Ledger Entry Type",$C$4,"2 Item No.","@@"&amp;$F937,"3 Posting Date",U$9)+NL("Sum","5802 Value Entry","17 Sales Amount (Actual)","41 Source Type",$C$5,"5 Source no.",$C937,"4 Item Ledger Entry Type",$C$4,"2 Item No.","@@"&amp;$F937,"3 Posting Date",U$9)</t>
  </si>
  <si>
    <t>=-NL("Sum","5802 Value Entry","151 Cost Amount (Expected)","41 Source Type",$C$5,"5 Source No.",$C937,"4 Item Ledger Entry Type",$C$4,"2 Item No.","@@"&amp;$F937,"3 Posting Date",U$9)-NL("Sum","5802 Value Entry","43 Cost Amount (Actual)","41 Source Type",$C$5,"5 Source no.",$C937,"4 Item Ledger Entry Type",$C$4,"2 Item No.","@@"&amp;$F937,"3 Posting Date",U$9)</t>
  </si>
  <si>
    <t>=NL("Sum","5802 Value Entry","150 Sales Amount (Expected)","41 Source Type",$C$5,"5 Source No.",$C937,"4 Item Ledger Entry Type",$C$4,"2 Item No.","@@"&amp;$F937,"3 Posting Date",Z$9)+NL("Sum","5802 Value Entry","17 Sales Amount (Actual)","41 Source Type",$C$5,"5 Source no.",$C937,"4 Item Ledger Entry Type",$C$4,"2 Item No.","@@"&amp;$F937,"3 Posting Date",Z$9)</t>
  </si>
  <si>
    <t>=-NL("Sum","5802 Value Entry","151 Cost Amount (Expected)","41 Source Type",$C$5,"5 Source No.",$C937,"4 Item Ledger Entry Type",$C$4,"2 Item No.","@@"&amp;$F937,"3 Posting Date",Z$9)-NL("Sum","5802 Value Entry","43 Cost Amount (Actual)","41 Source Type",$C$5,"5 Source no.",$C937,"4 Item Ledger Entry Type",$C$4,"2 Item No.","@@"&amp;$F937,"3 Posting Date",Z$9)</t>
  </si>
  <si>
    <t>=C938</t>
  </si>
  <si>
    <t>=C939&amp;" TOTAL:"</t>
  </si>
  <si>
    <t>=SUBTOTAL(9,J906:J938)</t>
  </si>
  <si>
    <t>=SUBTOTAL(9,K906:K938)</t>
  </si>
  <si>
    <t>=SUBTOTAL(9,L906:L938)</t>
  </si>
  <si>
    <t>=J939-L939</t>
  </si>
  <si>
    <t>=IF(J939&lt;&gt;0,M939/J939,"")</t>
  </si>
  <si>
    <t>=SUBTOTAL(9,O906:O938)</t>
  </si>
  <si>
    <t>=SUBTOTAL(9,P906:P938)</t>
  </si>
  <si>
    <t>=SUBTOTAL(9,Q906:Q938)</t>
  </si>
  <si>
    <t>=O939-Q939</t>
  </si>
  <si>
    <t>=IF(O939&lt;&gt;0,R939/O939,"")</t>
  </si>
  <si>
    <t>=SUBTOTAL(9,U906:U938)</t>
  </si>
  <si>
    <t>=SUBTOTAL(9,V906:V938)</t>
  </si>
  <si>
    <t>=SUBTOTAL(9,W906:W938)</t>
  </si>
  <si>
    <t>=U939-W939</t>
  </si>
  <si>
    <t>=IF(U939&lt;&gt;0,X939/U939,"")</t>
  </si>
  <si>
    <t>=SUBTOTAL(9,Z906:Z938)</t>
  </si>
  <si>
    <t>=SUBTOTAL(9,AA906:AA938)</t>
  </si>
  <si>
    <t>=SUBTOTAL(9,AB906:AB938)</t>
  </si>
  <si>
    <t>=Z939-AB939</t>
  </si>
  <si>
    <t>=IF(Z939&lt;&gt;0,AC939/Z939,"")</t>
  </si>
  <si>
    <t>=E941</t>
  </si>
  <si>
    <t>=NL(,"18 Customer","2 Name","1 No.",$E941)</t>
  </si>
  <si>
    <t>=NL("Rows","5802 Value Entry","2 Item No.","4 Item Ledger Entry Type",$C$4,"41 Source Type",$C$5,"5 Source No.",$C943,"Item No.",$C$7,"3 Posting Date",$C$10)</t>
  </si>
  <si>
    <t>=C946</t>
  </si>
  <si>
    <t>=NL("Sum","5802 Value Entry","150 Sales Amount (Expected)","41 Source Type",$C$5,"5 Source No.",$C947,"4 Item Ledger Entry Type",$C$4,"2 Item No.","@@"&amp;$F947,"3 Posting Date",J$9)+NL("Sum","5802 Value Entry","17 Sales Amount (Actual)","41 Source Type",$C$5,"5 Source no.",$C947,"4 Item Ledger Entry Type",$C$4,"2 Item No.","@@"&amp;$F947,"3 Posting Date",J$9)</t>
  </si>
  <si>
    <t>=-NL("Sum","5802 Value Entry","151 Cost Amount (Expected)","41 Source Type",$C$5,"5 Source No.",$C947,"4 Item Ledger Entry Type",$C$4,"2 Item No.","@@"&amp;$F947,"3 Posting Date",J$9)-NL("Sum","5802 Value Entry","43 Cost Amount (Actual)","41 Source Type",$C$5,"5 Source no.",$C947,"4 Item Ledger Entry Type",$C$4,"2 Item No.","@@"&amp;$F947,"3 Posting Date",J$9)</t>
  </si>
  <si>
    <t>=J947-L947</t>
  </si>
  <si>
    <t>=IF(J947&lt;&gt;0,M947/J947,"")</t>
  </si>
  <si>
    <t>=NL("Sum","5802 Value Entry","150 Sales Amount (Expected)","41 Source Type",$C$5,"5 Source No.",$C947,"4 Item Ledger Entry Type",$C$4,"2 Item No.","@@"&amp;$F947,"3 Posting Date",O$9)+NL("Sum","5802 Value Entry","17 Sales Amount (Actual)","41 Source Type",$C$5,"5 Source no.",$C947,"4 Item Ledger Entry Type",$C$4,"2 Item No.","@@"&amp;$F947,"3 Posting Date",O$9)</t>
  </si>
  <si>
    <t>=-NL("Sum","5802 Value Entry","151 Cost Amount (Expected)","41 Source Type",$C$5,"5 Source No.",$C947,"4 Item Ledger Entry Type",$C$4,"2 Item No.","@@"&amp;$F947,"3 Posting Date",O$9)-NL("Sum","5802 Value Entry","43 Cost Amount (Actual)","41 Source Type",$C$5,"5 Source no.",$C947,"4 Item Ledger Entry Type",$C$4,"2 Item No.","@@"&amp;$F947,"3 Posting Date",O$9)</t>
  </si>
  <si>
    <t>=O947-Q947</t>
  </si>
  <si>
    <t>=IF(O947&lt;&gt;0,R947/O947,"")</t>
  </si>
  <si>
    <t>=NL("Sum","5802 Value Entry","150 Sales Amount (Expected)","41 Source Type",$C$5,"5 Source No.",$C947,"4 Item Ledger Entry Type",$C$4,"2 Item No.","@@"&amp;$F947,"3 Posting Date",U$9)+NL("Sum","5802 Value Entry","17 Sales Amount (Actual)","41 Source Type",$C$5,"5 Source no.",$C947,"4 Item Ledger Entry Type",$C$4,"2 Item No.","@@"&amp;$F947,"3 Posting Date",U$9)</t>
  </si>
  <si>
    <t>=-NL("Sum","5802 Value Entry","151 Cost Amount (Expected)","41 Source Type",$C$5,"5 Source No.",$C947,"4 Item Ledger Entry Type",$C$4,"2 Item No.","@@"&amp;$F947,"3 Posting Date",U$9)-NL("Sum","5802 Value Entry","43 Cost Amount (Actual)","41 Source Type",$C$5,"5 Source no.",$C947,"4 Item Ledger Entry Type",$C$4,"2 Item No.","@@"&amp;$F947,"3 Posting Date",U$9)</t>
  </si>
  <si>
    <t>=U947-W947</t>
  </si>
  <si>
    <t>=IF(U947&lt;&gt;0,X947/U947,"")</t>
  </si>
  <si>
    <t>=NL("Sum","5802 Value Entry","150 Sales Amount (Expected)","41 Source Type",$C$5,"5 Source No.",$C947,"4 Item Ledger Entry Type",$C$4,"2 Item No.","@@"&amp;$F947,"3 Posting Date",Z$9)+NL("Sum","5802 Value Entry","17 Sales Amount (Actual)","41 Source Type",$C$5,"5 Source no.",$C947,"4 Item Ledger Entry Type",$C$4,"2 Item No.","@@"&amp;$F947,"3 Posting Date",Z$9)</t>
  </si>
  <si>
    <t>=-NL("Sum","5802 Value Entry","151 Cost Amount (Expected)","41 Source Type",$C$5,"5 Source No.",$C947,"4 Item Ledger Entry Type",$C$4,"2 Item No.","@@"&amp;$F947,"3 Posting Date",Z$9)-NL("Sum","5802 Value Entry","43 Cost Amount (Actual)","41 Source Type",$C$5,"5 Source no.",$C947,"4 Item Ledger Entry Type",$C$4,"2 Item No.","@@"&amp;$F947,"3 Posting Date",Z$9)</t>
  </si>
  <si>
    <t>=Z947-AB947</t>
  </si>
  <si>
    <t>=IF(Z947&lt;&gt;0,AC947/Z947,"")</t>
  </si>
  <si>
    <t>=NL("Sum","5802 Value Entry","150 Sales Amount (Expected)","41 Source Type",$C$5,"5 Source No.",$C948,"4 Item Ledger Entry Type",$C$4,"2 Item No.","@@"&amp;$F948,"3 Posting Date",J$9)+NL("Sum","5802 Value Entry","17 Sales Amount (Actual)","41 Source Type",$C$5,"5 Source no.",$C948,"4 Item Ledger Entry Type",$C$4,"2 Item No.","@@"&amp;$F948,"3 Posting Date",J$9)</t>
  </si>
  <si>
    <t>=-NL("Sum","5802 Value Entry","151 Cost Amount (Expected)","41 Source Type",$C$5,"5 Source No.",$C948,"4 Item Ledger Entry Type",$C$4,"2 Item No.","@@"&amp;$F948,"3 Posting Date",J$9)-NL("Sum","5802 Value Entry","43 Cost Amount (Actual)","41 Source Type",$C$5,"5 Source no.",$C948,"4 Item Ledger Entry Type",$C$4,"2 Item No.","@@"&amp;$F948,"3 Posting Date",J$9)</t>
  </si>
  <si>
    <t>=NL("Sum","5802 Value Entry","150 Sales Amount (Expected)","41 Source Type",$C$5,"5 Source No.",$C948,"4 Item Ledger Entry Type",$C$4,"2 Item No.","@@"&amp;$F948,"3 Posting Date",O$9)+NL("Sum","5802 Value Entry","17 Sales Amount (Actual)","41 Source Type",$C$5,"5 Source no.",$C948,"4 Item Ledger Entry Type",$C$4,"2 Item No.","@@"&amp;$F948,"3 Posting Date",O$9)</t>
  </si>
  <si>
    <t>=-NL("Sum","5802 Value Entry","151 Cost Amount (Expected)","41 Source Type",$C$5,"5 Source No.",$C948,"4 Item Ledger Entry Type",$C$4,"2 Item No.","@@"&amp;$F948,"3 Posting Date",O$9)-NL("Sum","5802 Value Entry","43 Cost Amount (Actual)","41 Source Type",$C$5,"5 Source no.",$C948,"4 Item Ledger Entry Type",$C$4,"2 Item No.","@@"&amp;$F948,"3 Posting Date",O$9)</t>
  </si>
  <si>
    <t>=NL("Sum","5802 Value Entry","150 Sales Amount (Expected)","41 Source Type",$C$5,"5 Source No.",$C948,"4 Item Ledger Entry Type",$C$4,"2 Item No.","@@"&amp;$F948,"3 Posting Date",U$9)+NL("Sum","5802 Value Entry","17 Sales Amount (Actual)","41 Source Type",$C$5,"5 Source no.",$C948,"4 Item Ledger Entry Type",$C$4,"2 Item No.","@@"&amp;$F948,"3 Posting Date",U$9)</t>
  </si>
  <si>
    <t>=-NL("Sum","5802 Value Entry","151 Cost Amount (Expected)","41 Source Type",$C$5,"5 Source No.",$C948,"4 Item Ledger Entry Type",$C$4,"2 Item No.","@@"&amp;$F948,"3 Posting Date",U$9)-NL("Sum","5802 Value Entry","43 Cost Amount (Actual)","41 Source Type",$C$5,"5 Source no.",$C948,"4 Item Ledger Entry Type",$C$4,"2 Item No.","@@"&amp;$F948,"3 Posting Date",U$9)</t>
  </si>
  <si>
    <t>=NL("Sum","5802 Value Entry","150 Sales Amount (Expected)","41 Source Type",$C$5,"5 Source No.",$C948,"4 Item Ledger Entry Type",$C$4,"2 Item No.","@@"&amp;$F948,"3 Posting Date",Z$9)+NL("Sum","5802 Value Entry","17 Sales Amount (Actual)","41 Source Type",$C$5,"5 Source no.",$C948,"4 Item Ledger Entry Type",$C$4,"2 Item No.","@@"&amp;$F948,"3 Posting Date",Z$9)</t>
  </si>
  <si>
    <t>=-NL("Sum","5802 Value Entry","151 Cost Amount (Expected)","41 Source Type",$C$5,"5 Source No.",$C948,"4 Item Ledger Entry Type",$C$4,"2 Item No.","@@"&amp;$F948,"3 Posting Date",Z$9)-NL("Sum","5802 Value Entry","43 Cost Amount (Actual)","41 Source Type",$C$5,"5 Source no.",$C948,"4 Item Ledger Entry Type",$C$4,"2 Item No.","@@"&amp;$F948,"3 Posting Date",Z$9)</t>
  </si>
  <si>
    <t>=C948</t>
  </si>
  <si>
    <t>=NL("Sum","5802 Value Entry","150 Sales Amount (Expected)","41 Source Type",$C$5,"5 Source No.",$C949,"4 Item Ledger Entry Type",$C$4,"2 Item No.","@@"&amp;$F949,"3 Posting Date",J$9)+NL("Sum","5802 Value Entry","17 Sales Amount (Actual)","41 Source Type",$C$5,"5 Source no.",$C949,"4 Item Ledger Entry Type",$C$4,"2 Item No.","@@"&amp;$F949,"3 Posting Date",J$9)</t>
  </si>
  <si>
    <t>=-NL("Sum","5802 Value Entry","151 Cost Amount (Expected)","41 Source Type",$C$5,"5 Source No.",$C949,"4 Item Ledger Entry Type",$C$4,"2 Item No.","@@"&amp;$F949,"3 Posting Date",J$9)-NL("Sum","5802 Value Entry","43 Cost Amount (Actual)","41 Source Type",$C$5,"5 Source no.",$C949,"4 Item Ledger Entry Type",$C$4,"2 Item No.","@@"&amp;$F949,"3 Posting Date",J$9)</t>
  </si>
  <si>
    <t>=J949-L949</t>
  </si>
  <si>
    <t>=IF(J949&lt;&gt;0,M949/J949,"")</t>
  </si>
  <si>
    <t>=NL("Sum","5802 Value Entry","150 Sales Amount (Expected)","41 Source Type",$C$5,"5 Source No.",$C949,"4 Item Ledger Entry Type",$C$4,"2 Item No.","@@"&amp;$F949,"3 Posting Date",O$9)+NL("Sum","5802 Value Entry","17 Sales Amount (Actual)","41 Source Type",$C$5,"5 Source no.",$C949,"4 Item Ledger Entry Type",$C$4,"2 Item No.","@@"&amp;$F949,"3 Posting Date",O$9)</t>
  </si>
  <si>
    <t>=-NL("Sum","5802 Value Entry","151 Cost Amount (Expected)","41 Source Type",$C$5,"5 Source No.",$C949,"4 Item Ledger Entry Type",$C$4,"2 Item No.","@@"&amp;$F949,"3 Posting Date",O$9)-NL("Sum","5802 Value Entry","43 Cost Amount (Actual)","41 Source Type",$C$5,"5 Source no.",$C949,"4 Item Ledger Entry Type",$C$4,"2 Item No.","@@"&amp;$F949,"3 Posting Date",O$9)</t>
  </si>
  <si>
    <t>=O949-Q949</t>
  </si>
  <si>
    <t>=IF(O949&lt;&gt;0,R949/O949,"")</t>
  </si>
  <si>
    <t>=NL("Sum","5802 Value Entry","150 Sales Amount (Expected)","41 Source Type",$C$5,"5 Source No.",$C949,"4 Item Ledger Entry Type",$C$4,"2 Item No.","@@"&amp;$F949,"3 Posting Date",U$9)+NL("Sum","5802 Value Entry","17 Sales Amount (Actual)","41 Source Type",$C$5,"5 Source no.",$C949,"4 Item Ledger Entry Type",$C$4,"2 Item No.","@@"&amp;$F949,"3 Posting Date",U$9)</t>
  </si>
  <si>
    <t>=-NL("Sum","5802 Value Entry","151 Cost Amount (Expected)","41 Source Type",$C$5,"5 Source No.",$C949,"4 Item Ledger Entry Type",$C$4,"2 Item No.","@@"&amp;$F949,"3 Posting Date",U$9)-NL("Sum","5802 Value Entry","43 Cost Amount (Actual)","41 Source Type",$C$5,"5 Source no.",$C949,"4 Item Ledger Entry Type",$C$4,"2 Item No.","@@"&amp;$F949,"3 Posting Date",U$9)</t>
  </si>
  <si>
    <t>=U949-W949</t>
  </si>
  <si>
    <t>=IF(U949&lt;&gt;0,X949/U949,"")</t>
  </si>
  <si>
    <t>=NL("Sum","5802 Value Entry","150 Sales Amount (Expected)","41 Source Type",$C$5,"5 Source No.",$C949,"4 Item Ledger Entry Type",$C$4,"2 Item No.","@@"&amp;$F949,"3 Posting Date",Z$9)+NL("Sum","5802 Value Entry","17 Sales Amount (Actual)","41 Source Type",$C$5,"5 Source no.",$C949,"4 Item Ledger Entry Type",$C$4,"2 Item No.","@@"&amp;$F949,"3 Posting Date",Z$9)</t>
  </si>
  <si>
    <t>=-NL("Sum","5802 Value Entry","151 Cost Amount (Expected)","41 Source Type",$C$5,"5 Source No.",$C949,"4 Item Ledger Entry Type",$C$4,"2 Item No.","@@"&amp;$F949,"3 Posting Date",Z$9)-NL("Sum","5802 Value Entry","43 Cost Amount (Actual)","41 Source Type",$C$5,"5 Source no.",$C949,"4 Item Ledger Entry Type",$C$4,"2 Item No.","@@"&amp;$F949,"3 Posting Date",Z$9)</t>
  </si>
  <si>
    <t>=Z949-AB949</t>
  </si>
  <si>
    <t>=IF(Z949&lt;&gt;0,AC949/Z949,"")</t>
  </si>
  <si>
    <t>=C949</t>
  </si>
  <si>
    <t>=NL("Sum","5802 Value Entry","150 Sales Amount (Expected)","41 Source Type",$C$5,"5 Source No.",$C950,"4 Item Ledger Entry Type",$C$4,"2 Item No.","@@"&amp;$F950,"3 Posting Date",J$9)+NL("Sum","5802 Value Entry","17 Sales Amount (Actual)","41 Source Type",$C$5,"5 Source no.",$C950,"4 Item Ledger Entry Type",$C$4,"2 Item No.","@@"&amp;$F950,"3 Posting Date",J$9)</t>
  </si>
  <si>
    <t>=-NL("Sum","5802 Value Entry","151 Cost Amount (Expected)","41 Source Type",$C$5,"5 Source No.",$C950,"4 Item Ledger Entry Type",$C$4,"2 Item No.","@@"&amp;$F950,"3 Posting Date",J$9)-NL("Sum","5802 Value Entry","43 Cost Amount (Actual)","41 Source Type",$C$5,"5 Source no.",$C950,"4 Item Ledger Entry Type",$C$4,"2 Item No.","@@"&amp;$F950,"3 Posting Date",J$9)</t>
  </si>
  <si>
    <t>=J950-L950</t>
  </si>
  <si>
    <t>=IF(J950&lt;&gt;0,M950/J950,"")</t>
  </si>
  <si>
    <t>=NL("Sum","5802 Value Entry","150 Sales Amount (Expected)","41 Source Type",$C$5,"5 Source No.",$C950,"4 Item Ledger Entry Type",$C$4,"2 Item No.","@@"&amp;$F950,"3 Posting Date",O$9)+NL("Sum","5802 Value Entry","17 Sales Amount (Actual)","41 Source Type",$C$5,"5 Source no.",$C950,"4 Item Ledger Entry Type",$C$4,"2 Item No.","@@"&amp;$F950,"3 Posting Date",O$9)</t>
  </si>
  <si>
    <t>=-NL("Sum","5802 Value Entry","151 Cost Amount (Expected)","41 Source Type",$C$5,"5 Source No.",$C950,"4 Item Ledger Entry Type",$C$4,"2 Item No.","@@"&amp;$F950,"3 Posting Date",O$9)-NL("Sum","5802 Value Entry","43 Cost Amount (Actual)","41 Source Type",$C$5,"5 Source no.",$C950,"4 Item Ledger Entry Type",$C$4,"2 Item No.","@@"&amp;$F950,"3 Posting Date",O$9)</t>
  </si>
  <si>
    <t>=O950-Q950</t>
  </si>
  <si>
    <t>=IF(O950&lt;&gt;0,R950/O950,"")</t>
  </si>
  <si>
    <t>=NL("Sum","5802 Value Entry","150 Sales Amount (Expected)","41 Source Type",$C$5,"5 Source No.",$C950,"4 Item Ledger Entry Type",$C$4,"2 Item No.","@@"&amp;$F950,"3 Posting Date",U$9)+NL("Sum","5802 Value Entry","17 Sales Amount (Actual)","41 Source Type",$C$5,"5 Source no.",$C950,"4 Item Ledger Entry Type",$C$4,"2 Item No.","@@"&amp;$F950,"3 Posting Date",U$9)</t>
  </si>
  <si>
    <t>=-NL("Sum","5802 Value Entry","151 Cost Amount (Expected)","41 Source Type",$C$5,"5 Source No.",$C950,"4 Item Ledger Entry Type",$C$4,"2 Item No.","@@"&amp;$F950,"3 Posting Date",U$9)-NL("Sum","5802 Value Entry","43 Cost Amount (Actual)","41 Source Type",$C$5,"5 Source no.",$C950,"4 Item Ledger Entry Type",$C$4,"2 Item No.","@@"&amp;$F950,"3 Posting Date",U$9)</t>
  </si>
  <si>
    <t>=U950-W950</t>
  </si>
  <si>
    <t>=IF(U950&lt;&gt;0,X950/U950,"")</t>
  </si>
  <si>
    <t>=NL("Sum","5802 Value Entry","150 Sales Amount (Expected)","41 Source Type",$C$5,"5 Source No.",$C950,"4 Item Ledger Entry Type",$C$4,"2 Item No.","@@"&amp;$F950,"3 Posting Date",Z$9)+NL("Sum","5802 Value Entry","17 Sales Amount (Actual)","41 Source Type",$C$5,"5 Source no.",$C950,"4 Item Ledger Entry Type",$C$4,"2 Item No.","@@"&amp;$F950,"3 Posting Date",Z$9)</t>
  </si>
  <si>
    <t>=-NL("Sum","5802 Value Entry","151 Cost Amount (Expected)","41 Source Type",$C$5,"5 Source No.",$C950,"4 Item Ledger Entry Type",$C$4,"2 Item No.","@@"&amp;$F950,"3 Posting Date",Z$9)-NL("Sum","5802 Value Entry","43 Cost Amount (Actual)","41 Source Type",$C$5,"5 Source no.",$C950,"4 Item Ledger Entry Type",$C$4,"2 Item No.","@@"&amp;$F950,"3 Posting Date",Z$9)</t>
  </si>
  <si>
    <t>=Z950-AB950</t>
  </si>
  <si>
    <t>=IF(Z950&lt;&gt;0,AC950/Z950,"")</t>
  </si>
  <si>
    <t>=NL("Sum","5802 Value Entry","150 Sales Amount (Expected)","41 Source Type",$C$5,"5 Source No.",$C951,"4 Item Ledger Entry Type",$C$4,"2 Item No.","@@"&amp;$F951,"3 Posting Date",J$9)+NL("Sum","5802 Value Entry","17 Sales Amount (Actual)","41 Source Type",$C$5,"5 Source no.",$C951,"4 Item Ledger Entry Type",$C$4,"2 Item No.","@@"&amp;$F951,"3 Posting Date",J$9)</t>
  </si>
  <si>
    <t>=-NL("Sum","5802 Value Entry","151 Cost Amount (Expected)","41 Source Type",$C$5,"5 Source No.",$C951,"4 Item Ledger Entry Type",$C$4,"2 Item No.","@@"&amp;$F951,"3 Posting Date",J$9)-NL("Sum","5802 Value Entry","43 Cost Amount (Actual)","41 Source Type",$C$5,"5 Source no.",$C951,"4 Item Ledger Entry Type",$C$4,"2 Item No.","@@"&amp;$F951,"3 Posting Date",J$9)</t>
  </si>
  <si>
    <t>=J951-L951</t>
  </si>
  <si>
    <t>=IF(J951&lt;&gt;0,M951/J951,"")</t>
  </si>
  <si>
    <t>=NL("Sum","5802 Value Entry","150 Sales Amount (Expected)","41 Source Type",$C$5,"5 Source No.",$C951,"4 Item Ledger Entry Type",$C$4,"2 Item No.","@@"&amp;$F951,"3 Posting Date",O$9)+NL("Sum","5802 Value Entry","17 Sales Amount (Actual)","41 Source Type",$C$5,"5 Source no.",$C951,"4 Item Ledger Entry Type",$C$4,"2 Item No.","@@"&amp;$F951,"3 Posting Date",O$9)</t>
  </si>
  <si>
    <t>=-NL("Sum","5802 Value Entry","151 Cost Amount (Expected)","41 Source Type",$C$5,"5 Source No.",$C951,"4 Item Ledger Entry Type",$C$4,"2 Item No.","@@"&amp;$F951,"3 Posting Date",O$9)-NL("Sum","5802 Value Entry","43 Cost Amount (Actual)","41 Source Type",$C$5,"5 Source no.",$C951,"4 Item Ledger Entry Type",$C$4,"2 Item No.","@@"&amp;$F951,"3 Posting Date",O$9)</t>
  </si>
  <si>
    <t>=O951-Q951</t>
  </si>
  <si>
    <t>=IF(O951&lt;&gt;0,R951/O951,"")</t>
  </si>
  <si>
    <t>=NL("Sum","5802 Value Entry","150 Sales Amount (Expected)","41 Source Type",$C$5,"5 Source No.",$C951,"4 Item Ledger Entry Type",$C$4,"2 Item No.","@@"&amp;$F951,"3 Posting Date",U$9)+NL("Sum","5802 Value Entry","17 Sales Amount (Actual)","41 Source Type",$C$5,"5 Source no.",$C951,"4 Item Ledger Entry Type",$C$4,"2 Item No.","@@"&amp;$F951,"3 Posting Date",U$9)</t>
  </si>
  <si>
    <t>=-NL("Sum","5802 Value Entry","151 Cost Amount (Expected)","41 Source Type",$C$5,"5 Source No.",$C951,"4 Item Ledger Entry Type",$C$4,"2 Item No.","@@"&amp;$F951,"3 Posting Date",U$9)-NL("Sum","5802 Value Entry","43 Cost Amount (Actual)","41 Source Type",$C$5,"5 Source no.",$C951,"4 Item Ledger Entry Type",$C$4,"2 Item No.","@@"&amp;$F951,"3 Posting Date",U$9)</t>
  </si>
  <si>
    <t>=U951-W951</t>
  </si>
  <si>
    <t>=IF(U951&lt;&gt;0,X951/U951,"")</t>
  </si>
  <si>
    <t>=NL("Sum","5802 Value Entry","150 Sales Amount (Expected)","41 Source Type",$C$5,"5 Source No.",$C951,"4 Item Ledger Entry Type",$C$4,"2 Item No.","@@"&amp;$F951,"3 Posting Date",Z$9)+NL("Sum","5802 Value Entry","17 Sales Amount (Actual)","41 Source Type",$C$5,"5 Source no.",$C951,"4 Item Ledger Entry Type",$C$4,"2 Item No.","@@"&amp;$F951,"3 Posting Date",Z$9)</t>
  </si>
  <si>
    <t>=-NL("Sum","5802 Value Entry","151 Cost Amount (Expected)","41 Source Type",$C$5,"5 Source No.",$C951,"4 Item Ledger Entry Type",$C$4,"2 Item No.","@@"&amp;$F951,"3 Posting Date",Z$9)-NL("Sum","5802 Value Entry","43 Cost Amount (Actual)","41 Source Type",$C$5,"5 Source no.",$C951,"4 Item Ledger Entry Type",$C$4,"2 Item No.","@@"&amp;$F951,"3 Posting Date",Z$9)</t>
  </si>
  <si>
    <t>=Z951-AB951</t>
  </si>
  <si>
    <t>=IF(Z951&lt;&gt;0,AC951/Z951,"")</t>
  </si>
  <si>
    <t>=C973&amp;" TOTAL:"</t>
  </si>
  <si>
    <t>=SUBTOTAL(9,J942:J972)</t>
  </si>
  <si>
    <t>=SUBTOTAL(9,K942:K972)</t>
  </si>
  <si>
    <t>=SUBTOTAL(9,L942:L972)</t>
  </si>
  <si>
    <t>=SUBTOTAL(9,O942:O972)</t>
  </si>
  <si>
    <t>=SUBTOTAL(9,P942:P972)</t>
  </si>
  <si>
    <t>=SUBTOTAL(9,Q942:Q972)</t>
  </si>
  <si>
    <t>=SUBTOTAL(9,U942:U972)</t>
  </si>
  <si>
    <t>=SUBTOTAL(9,V942:V972)</t>
  </si>
  <si>
    <t>=SUBTOTAL(9,W942:W972)</t>
  </si>
  <si>
    <t>=SUBTOTAL(9,Z942:Z972)</t>
  </si>
  <si>
    <t>=SUBTOTAL(9,AA942:AA972)</t>
  </si>
  <si>
    <t>=SUBTOTAL(9,AB942:AB972)</t>
  </si>
  <si>
    <t>=E975</t>
  </si>
  <si>
    <t>=NL(,"18 Customer","2 Name","1 No.",$E975)</t>
  </si>
  <si>
    <t>=C975</t>
  </si>
  <si>
    <t>=C976</t>
  </si>
  <si>
    <t>=NL("Rows","5802 Value Entry","2 Item No.","4 Item Ledger Entry Type",$C$4,"41 Source Type",$C$5,"5 Source No.",$C977,"Item No.",$C$7,"3 Posting Date",$C$10)</t>
  </si>
  <si>
    <t>=NL("Sum","5802 Value Entry","150 Sales Amount (Expected)","41 Source Type",$C$5,"5 Source No.",$C977,"4 Item Ledger Entry Type",$C$4,"2 Item No.","@@"&amp;$F977,"3 Posting Date",J$9)+NL("Sum","5802 Value Entry","17 Sales Amount (Actual)","41 Source Type",$C$5,"5 Source no.",$C977,"4 Item Ledger Entry Type",$C$4,"2 Item No.","@@"&amp;$F977,"3 Posting Date",J$9)</t>
  </si>
  <si>
    <t>=-NL("Sum","5802 Value Entry","151 Cost Amount (Expected)","41 Source Type",$C$5,"5 Source No.",$C977,"4 Item Ledger Entry Type",$C$4,"2 Item No.","@@"&amp;$F977,"3 Posting Date",J$9)-NL("Sum","5802 Value Entry","43 Cost Amount (Actual)","41 Source Type",$C$5,"5 Source no.",$C977,"4 Item Ledger Entry Type",$C$4,"2 Item No.","@@"&amp;$F977,"3 Posting Date",J$9)</t>
  </si>
  <si>
    <t>=J977-L977</t>
  </si>
  <si>
    <t>=IF(J977&lt;&gt;0,M977/J977,"")</t>
  </si>
  <si>
    <t>=NL("Sum","5802 Value Entry","150 Sales Amount (Expected)","41 Source Type",$C$5,"5 Source No.",$C977,"4 Item Ledger Entry Type",$C$4,"2 Item No.","@@"&amp;$F977,"3 Posting Date",O$9)+NL("Sum","5802 Value Entry","17 Sales Amount (Actual)","41 Source Type",$C$5,"5 Source no.",$C977,"4 Item Ledger Entry Type",$C$4,"2 Item No.","@@"&amp;$F977,"3 Posting Date",O$9)</t>
  </si>
  <si>
    <t>=-NL("Sum","5802 Value Entry","151 Cost Amount (Expected)","41 Source Type",$C$5,"5 Source No.",$C977,"4 Item Ledger Entry Type",$C$4,"2 Item No.","@@"&amp;$F977,"3 Posting Date",O$9)-NL("Sum","5802 Value Entry","43 Cost Amount (Actual)","41 Source Type",$C$5,"5 Source no.",$C977,"4 Item Ledger Entry Type",$C$4,"2 Item No.","@@"&amp;$F977,"3 Posting Date",O$9)</t>
  </si>
  <si>
    <t>=O977-Q977</t>
  </si>
  <si>
    <t>=IF(O977&lt;&gt;0,R977/O977,"")</t>
  </si>
  <si>
    <t>=NL("Sum","5802 Value Entry","150 Sales Amount (Expected)","41 Source Type",$C$5,"5 Source No.",$C977,"4 Item Ledger Entry Type",$C$4,"2 Item No.","@@"&amp;$F977,"3 Posting Date",U$9)+NL("Sum","5802 Value Entry","17 Sales Amount (Actual)","41 Source Type",$C$5,"5 Source no.",$C977,"4 Item Ledger Entry Type",$C$4,"2 Item No.","@@"&amp;$F977,"3 Posting Date",U$9)</t>
  </si>
  <si>
    <t>=-NL("Sum","5802 Value Entry","151 Cost Amount (Expected)","41 Source Type",$C$5,"5 Source No.",$C977,"4 Item Ledger Entry Type",$C$4,"2 Item No.","@@"&amp;$F977,"3 Posting Date",U$9)-NL("Sum","5802 Value Entry","43 Cost Amount (Actual)","41 Source Type",$C$5,"5 Source no.",$C977,"4 Item Ledger Entry Type",$C$4,"2 Item No.","@@"&amp;$F977,"3 Posting Date",U$9)</t>
  </si>
  <si>
    <t>=U977-W977</t>
  </si>
  <si>
    <t>=IF(U977&lt;&gt;0,X977/U977,"")</t>
  </si>
  <si>
    <t>=NL("Sum","5802 Value Entry","150 Sales Amount (Expected)","41 Source Type",$C$5,"5 Source No.",$C977,"4 Item Ledger Entry Type",$C$4,"2 Item No.","@@"&amp;$F977,"3 Posting Date",Z$9)+NL("Sum","5802 Value Entry","17 Sales Amount (Actual)","41 Source Type",$C$5,"5 Source no.",$C977,"4 Item Ledger Entry Type",$C$4,"2 Item No.","@@"&amp;$F977,"3 Posting Date",Z$9)</t>
  </si>
  <si>
    <t>=-NL("Sum","5802 Value Entry","151 Cost Amount (Expected)","41 Source Type",$C$5,"5 Source No.",$C977,"4 Item Ledger Entry Type",$C$4,"2 Item No.","@@"&amp;$F977,"3 Posting Date",Z$9)-NL("Sum","5802 Value Entry","43 Cost Amount (Actual)","41 Source Type",$C$5,"5 Source no.",$C977,"4 Item Ledger Entry Type",$C$4,"2 Item No.","@@"&amp;$F977,"3 Posting Date",Z$9)</t>
  </si>
  <si>
    <t>=Z977-AB977</t>
  </si>
  <si>
    <t>=IF(Z977&lt;&gt;0,AC977/Z977,"")</t>
  </si>
  <si>
    <t>=NL("Sum","5802 Value Entry","150 Sales Amount (Expected)","41 Source Type",$C$5,"5 Source No.",$C978,"4 Item Ledger Entry Type",$C$4,"2 Item No.","@@"&amp;$F978,"3 Posting Date",J$9)+NL("Sum","5802 Value Entry","17 Sales Amount (Actual)","41 Source Type",$C$5,"5 Source no.",$C978,"4 Item Ledger Entry Type",$C$4,"2 Item No.","@@"&amp;$F978,"3 Posting Date",J$9)</t>
  </si>
  <si>
    <t>=-NL("Sum","5802 Value Entry","151 Cost Amount (Expected)","41 Source Type",$C$5,"5 Source No.",$C978,"4 Item Ledger Entry Type",$C$4,"2 Item No.","@@"&amp;$F978,"3 Posting Date",J$9)-NL("Sum","5802 Value Entry","43 Cost Amount (Actual)","41 Source Type",$C$5,"5 Source no.",$C978,"4 Item Ledger Entry Type",$C$4,"2 Item No.","@@"&amp;$F978,"3 Posting Date",J$9)</t>
  </si>
  <si>
    <t>=J978-L978</t>
  </si>
  <si>
    <t>=IF(J978&lt;&gt;0,M978/J978,"")</t>
  </si>
  <si>
    <t>=NL("Sum","5802 Value Entry","150 Sales Amount (Expected)","41 Source Type",$C$5,"5 Source No.",$C978,"4 Item Ledger Entry Type",$C$4,"2 Item No.","@@"&amp;$F978,"3 Posting Date",O$9)+NL("Sum","5802 Value Entry","17 Sales Amount (Actual)","41 Source Type",$C$5,"5 Source no.",$C978,"4 Item Ledger Entry Type",$C$4,"2 Item No.","@@"&amp;$F978,"3 Posting Date",O$9)</t>
  </si>
  <si>
    <t>=-NL("Sum","5802 Value Entry","151 Cost Amount (Expected)","41 Source Type",$C$5,"5 Source No.",$C978,"4 Item Ledger Entry Type",$C$4,"2 Item No.","@@"&amp;$F978,"3 Posting Date",O$9)-NL("Sum","5802 Value Entry","43 Cost Amount (Actual)","41 Source Type",$C$5,"5 Source no.",$C978,"4 Item Ledger Entry Type",$C$4,"2 Item No.","@@"&amp;$F978,"3 Posting Date",O$9)</t>
  </si>
  <si>
    <t>=O978-Q978</t>
  </si>
  <si>
    <t>=IF(O978&lt;&gt;0,R978/O978,"")</t>
  </si>
  <si>
    <t>=NL("Sum","5802 Value Entry","150 Sales Amount (Expected)","41 Source Type",$C$5,"5 Source No.",$C978,"4 Item Ledger Entry Type",$C$4,"2 Item No.","@@"&amp;$F978,"3 Posting Date",U$9)+NL("Sum","5802 Value Entry","17 Sales Amount (Actual)","41 Source Type",$C$5,"5 Source no.",$C978,"4 Item Ledger Entry Type",$C$4,"2 Item No.","@@"&amp;$F978,"3 Posting Date",U$9)</t>
  </si>
  <si>
    <t>=-NL("Sum","5802 Value Entry","151 Cost Amount (Expected)","41 Source Type",$C$5,"5 Source No.",$C978,"4 Item Ledger Entry Type",$C$4,"2 Item No.","@@"&amp;$F978,"3 Posting Date",U$9)-NL("Sum","5802 Value Entry","43 Cost Amount (Actual)","41 Source Type",$C$5,"5 Source no.",$C978,"4 Item Ledger Entry Type",$C$4,"2 Item No.","@@"&amp;$F978,"3 Posting Date",U$9)</t>
  </si>
  <si>
    <t>=U978-W978</t>
  </si>
  <si>
    <t>=IF(U978&lt;&gt;0,X978/U978,"")</t>
  </si>
  <si>
    <t>=NL("Sum","5802 Value Entry","150 Sales Amount (Expected)","41 Source Type",$C$5,"5 Source No.",$C978,"4 Item Ledger Entry Type",$C$4,"2 Item No.","@@"&amp;$F978,"3 Posting Date",Z$9)+NL("Sum","5802 Value Entry","17 Sales Amount (Actual)","41 Source Type",$C$5,"5 Source no.",$C978,"4 Item Ledger Entry Type",$C$4,"2 Item No.","@@"&amp;$F978,"3 Posting Date",Z$9)</t>
  </si>
  <si>
    <t>=-NL("Sum","5802 Value Entry","151 Cost Amount (Expected)","41 Source Type",$C$5,"5 Source No.",$C978,"4 Item Ledger Entry Type",$C$4,"2 Item No.","@@"&amp;$F978,"3 Posting Date",Z$9)-NL("Sum","5802 Value Entry","43 Cost Amount (Actual)","41 Source Type",$C$5,"5 Source no.",$C978,"4 Item Ledger Entry Type",$C$4,"2 Item No.","@@"&amp;$F978,"3 Posting Date",Z$9)</t>
  </si>
  <si>
    <t>=Z978-AB978</t>
  </si>
  <si>
    <t>=IF(Z978&lt;&gt;0,AC978/Z978,"")</t>
  </si>
  <si>
    <t>=C988&amp;" TOTAL:"</t>
  </si>
  <si>
    <t>=SUBTOTAL(9,J976:J987)</t>
  </si>
  <si>
    <t>=SUBTOTAL(9,K976:K987)</t>
  </si>
  <si>
    <t>=SUBTOTAL(9,L976:L987)</t>
  </si>
  <si>
    <t>=SUBTOTAL(9,O976:O987)</t>
  </si>
  <si>
    <t>=SUBTOTAL(9,P976:P987)</t>
  </si>
  <si>
    <t>=SUBTOTAL(9,Q976:Q987)</t>
  </si>
  <si>
    <t>=SUBTOTAL(9,U976:U987)</t>
  </si>
  <si>
    <t>=SUBTOTAL(9,V976:V987)</t>
  </si>
  <si>
    <t>=SUBTOTAL(9,W976:W987)</t>
  </si>
  <si>
    <t>=SUBTOTAL(9,Z976:Z987)</t>
  </si>
  <si>
    <t>=SUBTOTAL(9,AA976:AA987)</t>
  </si>
  <si>
    <t>=SUBTOTAL(9,AB976:AB987)</t>
  </si>
  <si>
    <t>=E990</t>
  </si>
  <si>
    <t>=NL(,"18 Customer","2 Name","1 No.",$E990)</t>
  </si>
  <si>
    <t>=NL("Rows","5802 Value Entry","2 Item No.","4 Item Ledger Entry Type",$C$4,"41 Source Type",$C$5,"5 Source No.",$C992,"Item No.",$C$7,"3 Posting Date",$C$10)</t>
  </si>
  <si>
    <t>=C1004</t>
  </si>
  <si>
    <t>=NL("Sum","5802 Value Entry","150 Sales Amount (Expected)","41 Source Type",$C$5,"5 Source No.",$C1005,"4 Item Ledger Entry Type",$C$4,"2 Item No.","@@"&amp;$F1005,"3 Posting Date",J$9)+NL("Sum","5802 Value Entry","17 Sales Amount (Actual)","41 Source Type",$C$5,"5 Source no.",$C1005,"4 Item Ledger Entry Type",$C$4,"2 Item No.","@@"&amp;$F1005,"3 Posting Date",J$9)</t>
  </si>
  <si>
    <t>=-NL("Sum","5802 Value Entry","151 Cost Amount (Expected)","41 Source Type",$C$5,"5 Source No.",$C1005,"4 Item Ledger Entry Type",$C$4,"2 Item No.","@@"&amp;$F1005,"3 Posting Date",J$9)-NL("Sum","5802 Value Entry","43 Cost Amount (Actual)","41 Source Type",$C$5,"5 Source no.",$C1005,"4 Item Ledger Entry Type",$C$4,"2 Item No.","@@"&amp;$F1005,"3 Posting Date",J$9)</t>
  </si>
  <si>
    <t>=J1005-L1005</t>
  </si>
  <si>
    <t>=IF(J1005&lt;&gt;0,M1005/J1005,"")</t>
  </si>
  <si>
    <t>=NL("Sum","5802 Value Entry","150 Sales Amount (Expected)","41 Source Type",$C$5,"5 Source No.",$C1005,"4 Item Ledger Entry Type",$C$4,"2 Item No.","@@"&amp;$F1005,"3 Posting Date",O$9)+NL("Sum","5802 Value Entry","17 Sales Amount (Actual)","41 Source Type",$C$5,"5 Source no.",$C1005,"4 Item Ledger Entry Type",$C$4,"2 Item No.","@@"&amp;$F1005,"3 Posting Date",O$9)</t>
  </si>
  <si>
    <t>=-NL("Sum","5802 Value Entry","151 Cost Amount (Expected)","41 Source Type",$C$5,"5 Source No.",$C1005,"4 Item Ledger Entry Type",$C$4,"2 Item No.","@@"&amp;$F1005,"3 Posting Date",O$9)-NL("Sum","5802 Value Entry","43 Cost Amount (Actual)","41 Source Type",$C$5,"5 Source no.",$C1005,"4 Item Ledger Entry Type",$C$4,"2 Item No.","@@"&amp;$F1005,"3 Posting Date",O$9)</t>
  </si>
  <si>
    <t>=O1005-Q1005</t>
  </si>
  <si>
    <t>=IF(O1005&lt;&gt;0,R1005/O1005,"")</t>
  </si>
  <si>
    <t>=NL("Sum","5802 Value Entry","150 Sales Amount (Expected)","41 Source Type",$C$5,"5 Source No.",$C1005,"4 Item Ledger Entry Type",$C$4,"2 Item No.","@@"&amp;$F1005,"3 Posting Date",U$9)+NL("Sum","5802 Value Entry","17 Sales Amount (Actual)","41 Source Type",$C$5,"5 Source no.",$C1005,"4 Item Ledger Entry Type",$C$4,"2 Item No.","@@"&amp;$F1005,"3 Posting Date",U$9)</t>
  </si>
  <si>
    <t>=-NL("Sum","5802 Value Entry","151 Cost Amount (Expected)","41 Source Type",$C$5,"5 Source No.",$C1005,"4 Item Ledger Entry Type",$C$4,"2 Item No.","@@"&amp;$F1005,"3 Posting Date",U$9)-NL("Sum","5802 Value Entry","43 Cost Amount (Actual)","41 Source Type",$C$5,"5 Source no.",$C1005,"4 Item Ledger Entry Type",$C$4,"2 Item No.","@@"&amp;$F1005,"3 Posting Date",U$9)</t>
  </si>
  <si>
    <t>=U1005-W1005</t>
  </si>
  <si>
    <t>=IF(U1005&lt;&gt;0,X1005/U1005,"")</t>
  </si>
  <si>
    <t>=NL("Sum","5802 Value Entry","150 Sales Amount (Expected)","41 Source Type",$C$5,"5 Source No.",$C1005,"4 Item Ledger Entry Type",$C$4,"2 Item No.","@@"&amp;$F1005,"3 Posting Date",Z$9)+NL("Sum","5802 Value Entry","17 Sales Amount (Actual)","41 Source Type",$C$5,"5 Source no.",$C1005,"4 Item Ledger Entry Type",$C$4,"2 Item No.","@@"&amp;$F1005,"3 Posting Date",Z$9)</t>
  </si>
  <si>
    <t>=-NL("Sum","5802 Value Entry","151 Cost Amount (Expected)","41 Source Type",$C$5,"5 Source No.",$C1005,"4 Item Ledger Entry Type",$C$4,"2 Item No.","@@"&amp;$F1005,"3 Posting Date",Z$9)-NL("Sum","5802 Value Entry","43 Cost Amount (Actual)","41 Source Type",$C$5,"5 Source no.",$C1005,"4 Item Ledger Entry Type",$C$4,"2 Item No.","@@"&amp;$F1005,"3 Posting Date",Z$9)</t>
  </si>
  <si>
    <t>=Z1005-AB1005</t>
  </si>
  <si>
    <t>=IF(Z1005&lt;&gt;0,AC1005/Z1005,"")</t>
  </si>
  <si>
    <t>=NL("Sum","5802 Value Entry","150 Sales Amount (Expected)","41 Source Type",$C$5,"5 Source No.",$C1006,"4 Item Ledger Entry Type",$C$4,"2 Item No.","@@"&amp;$F1006,"3 Posting Date",J$9)+NL("Sum","5802 Value Entry","17 Sales Amount (Actual)","41 Source Type",$C$5,"5 Source no.",$C1006,"4 Item Ledger Entry Type",$C$4,"2 Item No.","@@"&amp;$F1006,"3 Posting Date",J$9)</t>
  </si>
  <si>
    <t>=-NL("Sum","5802 Value Entry","151 Cost Amount (Expected)","41 Source Type",$C$5,"5 Source No.",$C1006,"4 Item Ledger Entry Type",$C$4,"2 Item No.","@@"&amp;$F1006,"3 Posting Date",J$9)-NL("Sum","5802 Value Entry","43 Cost Amount (Actual)","41 Source Type",$C$5,"5 Source no.",$C1006,"4 Item Ledger Entry Type",$C$4,"2 Item No.","@@"&amp;$F1006,"3 Posting Date",J$9)</t>
  </si>
  <si>
    <t>=NL("Sum","5802 Value Entry","150 Sales Amount (Expected)","41 Source Type",$C$5,"5 Source No.",$C1006,"4 Item Ledger Entry Type",$C$4,"2 Item No.","@@"&amp;$F1006,"3 Posting Date",O$9)+NL("Sum","5802 Value Entry","17 Sales Amount (Actual)","41 Source Type",$C$5,"5 Source no.",$C1006,"4 Item Ledger Entry Type",$C$4,"2 Item No.","@@"&amp;$F1006,"3 Posting Date",O$9)</t>
  </si>
  <si>
    <t>=-NL("Sum","5802 Value Entry","151 Cost Amount (Expected)","41 Source Type",$C$5,"5 Source No.",$C1006,"4 Item Ledger Entry Type",$C$4,"2 Item No.","@@"&amp;$F1006,"3 Posting Date",O$9)-NL("Sum","5802 Value Entry","43 Cost Amount (Actual)","41 Source Type",$C$5,"5 Source no.",$C1006,"4 Item Ledger Entry Type",$C$4,"2 Item No.","@@"&amp;$F1006,"3 Posting Date",O$9)</t>
  </si>
  <si>
    <t>=NL("Sum","5802 Value Entry","150 Sales Amount (Expected)","41 Source Type",$C$5,"5 Source No.",$C1006,"4 Item Ledger Entry Type",$C$4,"2 Item No.","@@"&amp;$F1006,"3 Posting Date",U$9)+NL("Sum","5802 Value Entry","17 Sales Amount (Actual)","41 Source Type",$C$5,"5 Source no.",$C1006,"4 Item Ledger Entry Type",$C$4,"2 Item No.","@@"&amp;$F1006,"3 Posting Date",U$9)</t>
  </si>
  <si>
    <t>=-NL("Sum","5802 Value Entry","151 Cost Amount (Expected)","41 Source Type",$C$5,"5 Source No.",$C1006,"4 Item Ledger Entry Type",$C$4,"2 Item No.","@@"&amp;$F1006,"3 Posting Date",U$9)-NL("Sum","5802 Value Entry","43 Cost Amount (Actual)","41 Source Type",$C$5,"5 Source no.",$C1006,"4 Item Ledger Entry Type",$C$4,"2 Item No.","@@"&amp;$F1006,"3 Posting Date",U$9)</t>
  </si>
  <si>
    <t>=NL("Sum","5802 Value Entry","150 Sales Amount (Expected)","41 Source Type",$C$5,"5 Source No.",$C1006,"4 Item Ledger Entry Type",$C$4,"2 Item No.","@@"&amp;$F1006,"3 Posting Date",Z$9)+NL("Sum","5802 Value Entry","17 Sales Amount (Actual)","41 Source Type",$C$5,"5 Source no.",$C1006,"4 Item Ledger Entry Type",$C$4,"2 Item No.","@@"&amp;$F1006,"3 Posting Date",Z$9)</t>
  </si>
  <si>
    <t>=-NL("Sum","5802 Value Entry","151 Cost Amount (Expected)","41 Source Type",$C$5,"5 Source No.",$C1006,"4 Item Ledger Entry Type",$C$4,"2 Item No.","@@"&amp;$F1006,"3 Posting Date",Z$9)-NL("Sum","5802 Value Entry","43 Cost Amount (Actual)","41 Source Type",$C$5,"5 Source no.",$C1006,"4 Item Ledger Entry Type",$C$4,"2 Item No.","@@"&amp;$F1006,"3 Posting Date",Z$9)</t>
  </si>
  <si>
    <t>=C1006</t>
  </si>
  <si>
    <t>=NL("Sum","5802 Value Entry","150 Sales Amount (Expected)","41 Source Type",$C$5,"5 Source No.",$C1007,"4 Item Ledger Entry Type",$C$4,"2 Item No.","@@"&amp;$F1007,"3 Posting Date",J$9)+NL("Sum","5802 Value Entry","17 Sales Amount (Actual)","41 Source Type",$C$5,"5 Source no.",$C1007,"4 Item Ledger Entry Type",$C$4,"2 Item No.","@@"&amp;$F1007,"3 Posting Date",J$9)</t>
  </si>
  <si>
    <t>=-NL("Sum","5802 Value Entry","151 Cost Amount (Expected)","41 Source Type",$C$5,"5 Source No.",$C1007,"4 Item Ledger Entry Type",$C$4,"2 Item No.","@@"&amp;$F1007,"3 Posting Date",J$9)-NL("Sum","5802 Value Entry","43 Cost Amount (Actual)","41 Source Type",$C$5,"5 Source no.",$C1007,"4 Item Ledger Entry Type",$C$4,"2 Item No.","@@"&amp;$F1007,"3 Posting Date",J$9)</t>
  </si>
  <si>
    <t>=J1007-L1007</t>
  </si>
  <si>
    <t>=IF(J1007&lt;&gt;0,M1007/J1007,"")</t>
  </si>
  <si>
    <t>=NL("Sum","5802 Value Entry","150 Sales Amount (Expected)","41 Source Type",$C$5,"5 Source No.",$C1007,"4 Item Ledger Entry Type",$C$4,"2 Item No.","@@"&amp;$F1007,"3 Posting Date",O$9)+NL("Sum","5802 Value Entry","17 Sales Amount (Actual)","41 Source Type",$C$5,"5 Source no.",$C1007,"4 Item Ledger Entry Type",$C$4,"2 Item No.","@@"&amp;$F1007,"3 Posting Date",O$9)</t>
  </si>
  <si>
    <t>=-NL("Sum","5802 Value Entry","151 Cost Amount (Expected)","41 Source Type",$C$5,"5 Source No.",$C1007,"4 Item Ledger Entry Type",$C$4,"2 Item No.","@@"&amp;$F1007,"3 Posting Date",O$9)-NL("Sum","5802 Value Entry","43 Cost Amount (Actual)","41 Source Type",$C$5,"5 Source no.",$C1007,"4 Item Ledger Entry Type",$C$4,"2 Item No.","@@"&amp;$F1007,"3 Posting Date",O$9)</t>
  </si>
  <si>
    <t>=O1007-Q1007</t>
  </si>
  <si>
    <t>=IF(O1007&lt;&gt;0,R1007/O1007,"")</t>
  </si>
  <si>
    <t>=NL("Sum","5802 Value Entry","150 Sales Amount (Expected)","41 Source Type",$C$5,"5 Source No.",$C1007,"4 Item Ledger Entry Type",$C$4,"2 Item No.","@@"&amp;$F1007,"3 Posting Date",U$9)+NL("Sum","5802 Value Entry","17 Sales Amount (Actual)","41 Source Type",$C$5,"5 Source no.",$C1007,"4 Item Ledger Entry Type",$C$4,"2 Item No.","@@"&amp;$F1007,"3 Posting Date",U$9)</t>
  </si>
  <si>
    <t>=-NL("Sum","5802 Value Entry","151 Cost Amount (Expected)","41 Source Type",$C$5,"5 Source No.",$C1007,"4 Item Ledger Entry Type",$C$4,"2 Item No.","@@"&amp;$F1007,"3 Posting Date",U$9)-NL("Sum","5802 Value Entry","43 Cost Amount (Actual)","41 Source Type",$C$5,"5 Source no.",$C1007,"4 Item Ledger Entry Type",$C$4,"2 Item No.","@@"&amp;$F1007,"3 Posting Date",U$9)</t>
  </si>
  <si>
    <t>=U1007-W1007</t>
  </si>
  <si>
    <t>=IF(U1007&lt;&gt;0,X1007/U1007,"")</t>
  </si>
  <si>
    <t>=NL("Sum","5802 Value Entry","150 Sales Amount (Expected)","41 Source Type",$C$5,"5 Source No.",$C1007,"4 Item Ledger Entry Type",$C$4,"2 Item No.","@@"&amp;$F1007,"3 Posting Date",Z$9)+NL("Sum","5802 Value Entry","17 Sales Amount (Actual)","41 Source Type",$C$5,"5 Source no.",$C1007,"4 Item Ledger Entry Type",$C$4,"2 Item No.","@@"&amp;$F1007,"3 Posting Date",Z$9)</t>
  </si>
  <si>
    <t>=-NL("Sum","5802 Value Entry","151 Cost Amount (Expected)","41 Source Type",$C$5,"5 Source No.",$C1007,"4 Item Ledger Entry Type",$C$4,"2 Item No.","@@"&amp;$F1007,"3 Posting Date",Z$9)-NL("Sum","5802 Value Entry","43 Cost Amount (Actual)","41 Source Type",$C$5,"5 Source no.",$C1007,"4 Item Ledger Entry Type",$C$4,"2 Item No.","@@"&amp;$F1007,"3 Posting Date",Z$9)</t>
  </si>
  <si>
    <t>=Z1007-AB1007</t>
  </si>
  <si>
    <t>=IF(Z1007&lt;&gt;0,AC1007/Z1007,"")</t>
  </si>
  <si>
    <t>=C1007</t>
  </si>
  <si>
    <t>=NL("Sum","5802 Value Entry","150 Sales Amount (Expected)","41 Source Type",$C$5,"5 Source No.",$C1008,"4 Item Ledger Entry Type",$C$4,"2 Item No.","@@"&amp;$F1008,"3 Posting Date",J$9)+NL("Sum","5802 Value Entry","17 Sales Amount (Actual)","41 Source Type",$C$5,"5 Source no.",$C1008,"4 Item Ledger Entry Type",$C$4,"2 Item No.","@@"&amp;$F1008,"3 Posting Date",J$9)</t>
  </si>
  <si>
    <t>=-NL("Sum","5802 Value Entry","151 Cost Amount (Expected)","41 Source Type",$C$5,"5 Source No.",$C1008,"4 Item Ledger Entry Type",$C$4,"2 Item No.","@@"&amp;$F1008,"3 Posting Date",J$9)-NL("Sum","5802 Value Entry","43 Cost Amount (Actual)","41 Source Type",$C$5,"5 Source no.",$C1008,"4 Item Ledger Entry Type",$C$4,"2 Item No.","@@"&amp;$F1008,"3 Posting Date",J$9)</t>
  </si>
  <si>
    <t>=J1008-L1008</t>
  </si>
  <si>
    <t>=IF(J1008&lt;&gt;0,M1008/J1008,"")</t>
  </si>
  <si>
    <t>=NL("Sum","5802 Value Entry","150 Sales Amount (Expected)","41 Source Type",$C$5,"5 Source No.",$C1008,"4 Item Ledger Entry Type",$C$4,"2 Item No.","@@"&amp;$F1008,"3 Posting Date",O$9)+NL("Sum","5802 Value Entry","17 Sales Amount (Actual)","41 Source Type",$C$5,"5 Source no.",$C1008,"4 Item Ledger Entry Type",$C$4,"2 Item No.","@@"&amp;$F1008,"3 Posting Date",O$9)</t>
  </si>
  <si>
    <t>=-NL("Sum","5802 Value Entry","151 Cost Amount (Expected)","41 Source Type",$C$5,"5 Source No.",$C1008,"4 Item Ledger Entry Type",$C$4,"2 Item No.","@@"&amp;$F1008,"3 Posting Date",O$9)-NL("Sum","5802 Value Entry","43 Cost Amount (Actual)","41 Source Type",$C$5,"5 Source no.",$C1008,"4 Item Ledger Entry Type",$C$4,"2 Item No.","@@"&amp;$F1008,"3 Posting Date",O$9)</t>
  </si>
  <si>
    <t>=O1008-Q1008</t>
  </si>
  <si>
    <t>=IF(O1008&lt;&gt;0,R1008/O1008,"")</t>
  </si>
  <si>
    <t>=NL("Sum","5802 Value Entry","150 Sales Amount (Expected)","41 Source Type",$C$5,"5 Source No.",$C1008,"4 Item Ledger Entry Type",$C$4,"2 Item No.","@@"&amp;$F1008,"3 Posting Date",U$9)+NL("Sum","5802 Value Entry","17 Sales Amount (Actual)","41 Source Type",$C$5,"5 Source no.",$C1008,"4 Item Ledger Entry Type",$C$4,"2 Item No.","@@"&amp;$F1008,"3 Posting Date",U$9)</t>
  </si>
  <si>
    <t>=-NL("Sum","5802 Value Entry","151 Cost Amount (Expected)","41 Source Type",$C$5,"5 Source No.",$C1008,"4 Item Ledger Entry Type",$C$4,"2 Item No.","@@"&amp;$F1008,"3 Posting Date",U$9)-NL("Sum","5802 Value Entry","43 Cost Amount (Actual)","41 Source Type",$C$5,"5 Source no.",$C1008,"4 Item Ledger Entry Type",$C$4,"2 Item No.","@@"&amp;$F1008,"3 Posting Date",U$9)</t>
  </si>
  <si>
    <t>=U1008-W1008</t>
  </si>
  <si>
    <t>=IF(U1008&lt;&gt;0,X1008/U1008,"")</t>
  </si>
  <si>
    <t>=NL("Sum","5802 Value Entry","150 Sales Amount (Expected)","41 Source Type",$C$5,"5 Source No.",$C1008,"4 Item Ledger Entry Type",$C$4,"2 Item No.","@@"&amp;$F1008,"3 Posting Date",Z$9)+NL("Sum","5802 Value Entry","17 Sales Amount (Actual)","41 Source Type",$C$5,"5 Source no.",$C1008,"4 Item Ledger Entry Type",$C$4,"2 Item No.","@@"&amp;$F1008,"3 Posting Date",Z$9)</t>
  </si>
  <si>
    <t>=-NL("Sum","5802 Value Entry","151 Cost Amount (Expected)","41 Source Type",$C$5,"5 Source No.",$C1008,"4 Item Ledger Entry Type",$C$4,"2 Item No.","@@"&amp;$F1008,"3 Posting Date",Z$9)-NL("Sum","5802 Value Entry","43 Cost Amount (Actual)","41 Source Type",$C$5,"5 Source no.",$C1008,"4 Item Ledger Entry Type",$C$4,"2 Item No.","@@"&amp;$F1008,"3 Posting Date",Z$9)</t>
  </si>
  <si>
    <t>=Z1008-AB1008</t>
  </si>
  <si>
    <t>=IF(Z1008&lt;&gt;0,AC1008/Z1008,"")</t>
  </si>
  <si>
    <t>=NL("Sum","5802 Value Entry","150 Sales Amount (Expected)","41 Source Type",$C$5,"5 Source No.",$C1009,"4 Item Ledger Entry Type",$C$4,"2 Item No.","@@"&amp;$F1009,"3 Posting Date",J$9)+NL("Sum","5802 Value Entry","17 Sales Amount (Actual)","41 Source Type",$C$5,"5 Source no.",$C1009,"4 Item Ledger Entry Type",$C$4,"2 Item No.","@@"&amp;$F1009,"3 Posting Date",J$9)</t>
  </si>
  <si>
    <t>=-NL("Sum","5802 Value Entry","151 Cost Amount (Expected)","41 Source Type",$C$5,"5 Source No.",$C1009,"4 Item Ledger Entry Type",$C$4,"2 Item No.","@@"&amp;$F1009,"3 Posting Date",J$9)-NL("Sum","5802 Value Entry","43 Cost Amount (Actual)","41 Source Type",$C$5,"5 Source no.",$C1009,"4 Item Ledger Entry Type",$C$4,"2 Item No.","@@"&amp;$F1009,"3 Posting Date",J$9)</t>
  </si>
  <si>
    <t>=J1009-L1009</t>
  </si>
  <si>
    <t>=IF(J1009&lt;&gt;0,M1009/J1009,"")</t>
  </si>
  <si>
    <t>=NL("Sum","5802 Value Entry","150 Sales Amount (Expected)","41 Source Type",$C$5,"5 Source No.",$C1009,"4 Item Ledger Entry Type",$C$4,"2 Item No.","@@"&amp;$F1009,"3 Posting Date",O$9)+NL("Sum","5802 Value Entry","17 Sales Amount (Actual)","41 Source Type",$C$5,"5 Source no.",$C1009,"4 Item Ledger Entry Type",$C$4,"2 Item No.","@@"&amp;$F1009,"3 Posting Date",O$9)</t>
  </si>
  <si>
    <t>=-NL("Sum","5802 Value Entry","151 Cost Amount (Expected)","41 Source Type",$C$5,"5 Source No.",$C1009,"4 Item Ledger Entry Type",$C$4,"2 Item No.","@@"&amp;$F1009,"3 Posting Date",O$9)-NL("Sum","5802 Value Entry","43 Cost Amount (Actual)","41 Source Type",$C$5,"5 Source no.",$C1009,"4 Item Ledger Entry Type",$C$4,"2 Item No.","@@"&amp;$F1009,"3 Posting Date",O$9)</t>
  </si>
  <si>
    <t>=O1009-Q1009</t>
  </si>
  <si>
    <t>=IF(O1009&lt;&gt;0,R1009/O1009,"")</t>
  </si>
  <si>
    <t>=NL("Sum","5802 Value Entry","150 Sales Amount (Expected)","41 Source Type",$C$5,"5 Source No.",$C1009,"4 Item Ledger Entry Type",$C$4,"2 Item No.","@@"&amp;$F1009,"3 Posting Date",U$9)+NL("Sum","5802 Value Entry","17 Sales Amount (Actual)","41 Source Type",$C$5,"5 Source no.",$C1009,"4 Item Ledger Entry Type",$C$4,"2 Item No.","@@"&amp;$F1009,"3 Posting Date",U$9)</t>
  </si>
  <si>
    <t>=-NL("Sum","5802 Value Entry","151 Cost Amount (Expected)","41 Source Type",$C$5,"5 Source No.",$C1009,"4 Item Ledger Entry Type",$C$4,"2 Item No.","@@"&amp;$F1009,"3 Posting Date",U$9)-NL("Sum","5802 Value Entry","43 Cost Amount (Actual)","41 Source Type",$C$5,"5 Source no.",$C1009,"4 Item Ledger Entry Type",$C$4,"2 Item No.","@@"&amp;$F1009,"3 Posting Date",U$9)</t>
  </si>
  <si>
    <t>=U1009-W1009</t>
  </si>
  <si>
    <t>=IF(U1009&lt;&gt;0,X1009/U1009,"")</t>
  </si>
  <si>
    <t>=NL("Sum","5802 Value Entry","150 Sales Amount (Expected)","41 Source Type",$C$5,"5 Source No.",$C1009,"4 Item Ledger Entry Type",$C$4,"2 Item No.","@@"&amp;$F1009,"3 Posting Date",Z$9)+NL("Sum","5802 Value Entry","17 Sales Amount (Actual)","41 Source Type",$C$5,"5 Source no.",$C1009,"4 Item Ledger Entry Type",$C$4,"2 Item No.","@@"&amp;$F1009,"3 Posting Date",Z$9)</t>
  </si>
  <si>
    <t>=-NL("Sum","5802 Value Entry","151 Cost Amount (Expected)","41 Source Type",$C$5,"5 Source No.",$C1009,"4 Item Ledger Entry Type",$C$4,"2 Item No.","@@"&amp;$F1009,"3 Posting Date",Z$9)-NL("Sum","5802 Value Entry","43 Cost Amount (Actual)","41 Source Type",$C$5,"5 Source no.",$C1009,"4 Item Ledger Entry Type",$C$4,"2 Item No.","@@"&amp;$F1009,"3 Posting Date",Z$9)</t>
  </si>
  <si>
    <t>=Z1009-AB1009</t>
  </si>
  <si>
    <t>=IF(Z1009&lt;&gt;0,AC1009/Z1009,"")</t>
  </si>
  <si>
    <t>=C1014&amp;" TOTAL:"</t>
  </si>
  <si>
    <t>=SUBTOTAL(9,J991:J1013)</t>
  </si>
  <si>
    <t>=SUBTOTAL(9,K991:K1013)</t>
  </si>
  <si>
    <t>=SUBTOTAL(9,L991:L1013)</t>
  </si>
  <si>
    <t>=SUBTOTAL(9,O991:O1013)</t>
  </si>
  <si>
    <t>=SUBTOTAL(9,P991:P1013)</t>
  </si>
  <si>
    <t>=SUBTOTAL(9,Q991:Q1013)</t>
  </si>
  <si>
    <t>=SUBTOTAL(9,U991:U1013)</t>
  </si>
  <si>
    <t>=SUBTOTAL(9,V991:V1013)</t>
  </si>
  <si>
    <t>=SUBTOTAL(9,W991:W1013)</t>
  </si>
  <si>
    <t>=SUBTOTAL(9,Z991:Z1013)</t>
  </si>
  <si>
    <t>=SUBTOTAL(9,AA991:AA1013)</t>
  </si>
  <si>
    <t>=SUBTOTAL(9,AB991:AB1013)</t>
  </si>
  <si>
    <t>=E1016</t>
  </si>
  <si>
    <t>=NL(,"18 Customer","2 Name","1 No.",$E1016)</t>
  </si>
  <si>
    <t>=NL("Rows","5802 Value Entry","2 Item No.","4 Item Ledger Entry Type",$C$4,"41 Source Type",$C$5,"5 Source No.",$C1018,"Item No.",$C$7,"3 Posting Date",$C$10)</t>
  </si>
  <si>
    <t>=C1021</t>
  </si>
  <si>
    <t>=NL("Sum","5802 Value Entry","150 Sales Amount (Expected)","41 Source Type",$C$5,"5 Source No.",$C1022,"4 Item Ledger Entry Type",$C$4,"2 Item No.","@@"&amp;$F1022,"3 Posting Date",J$9)+NL("Sum","5802 Value Entry","17 Sales Amount (Actual)","41 Source Type",$C$5,"5 Source no.",$C1022,"4 Item Ledger Entry Type",$C$4,"2 Item No.","@@"&amp;$F1022,"3 Posting Date",J$9)</t>
  </si>
  <si>
    <t>=-NL("Sum","5802 Value Entry","151 Cost Amount (Expected)","41 Source Type",$C$5,"5 Source No.",$C1022,"4 Item Ledger Entry Type",$C$4,"2 Item No.","@@"&amp;$F1022,"3 Posting Date",J$9)-NL("Sum","5802 Value Entry","43 Cost Amount (Actual)","41 Source Type",$C$5,"5 Source no.",$C1022,"4 Item Ledger Entry Type",$C$4,"2 Item No.","@@"&amp;$F1022,"3 Posting Date",J$9)</t>
  </si>
  <si>
    <t>=J1022-L1022</t>
  </si>
  <si>
    <t>=IF(J1022&lt;&gt;0,M1022/J1022,"")</t>
  </si>
  <si>
    <t>=NL("Sum","5802 Value Entry","150 Sales Amount (Expected)","41 Source Type",$C$5,"5 Source No.",$C1022,"4 Item Ledger Entry Type",$C$4,"2 Item No.","@@"&amp;$F1022,"3 Posting Date",O$9)+NL("Sum","5802 Value Entry","17 Sales Amount (Actual)","41 Source Type",$C$5,"5 Source no.",$C1022,"4 Item Ledger Entry Type",$C$4,"2 Item No.","@@"&amp;$F1022,"3 Posting Date",O$9)</t>
  </si>
  <si>
    <t>=-NL("Sum","5802 Value Entry","151 Cost Amount (Expected)","41 Source Type",$C$5,"5 Source No.",$C1022,"4 Item Ledger Entry Type",$C$4,"2 Item No.","@@"&amp;$F1022,"3 Posting Date",O$9)-NL("Sum","5802 Value Entry","43 Cost Amount (Actual)","41 Source Type",$C$5,"5 Source no.",$C1022,"4 Item Ledger Entry Type",$C$4,"2 Item No.","@@"&amp;$F1022,"3 Posting Date",O$9)</t>
  </si>
  <si>
    <t>=O1022-Q1022</t>
  </si>
  <si>
    <t>=IF(O1022&lt;&gt;0,R1022/O1022,"")</t>
  </si>
  <si>
    <t>=NL("Sum","5802 Value Entry","150 Sales Amount (Expected)","41 Source Type",$C$5,"5 Source No.",$C1022,"4 Item Ledger Entry Type",$C$4,"2 Item No.","@@"&amp;$F1022,"3 Posting Date",U$9)+NL("Sum","5802 Value Entry","17 Sales Amount (Actual)","41 Source Type",$C$5,"5 Source no.",$C1022,"4 Item Ledger Entry Type",$C$4,"2 Item No.","@@"&amp;$F1022,"3 Posting Date",U$9)</t>
  </si>
  <si>
    <t>=-NL("Sum","5802 Value Entry","151 Cost Amount (Expected)","41 Source Type",$C$5,"5 Source No.",$C1022,"4 Item Ledger Entry Type",$C$4,"2 Item No.","@@"&amp;$F1022,"3 Posting Date",U$9)-NL("Sum","5802 Value Entry","43 Cost Amount (Actual)","41 Source Type",$C$5,"5 Source no.",$C1022,"4 Item Ledger Entry Type",$C$4,"2 Item No.","@@"&amp;$F1022,"3 Posting Date",U$9)</t>
  </si>
  <si>
    <t>=U1022-W1022</t>
  </si>
  <si>
    <t>=IF(U1022&lt;&gt;0,X1022/U1022,"")</t>
  </si>
  <si>
    <t>=NL("Sum","5802 Value Entry","150 Sales Amount (Expected)","41 Source Type",$C$5,"5 Source No.",$C1022,"4 Item Ledger Entry Type",$C$4,"2 Item No.","@@"&amp;$F1022,"3 Posting Date",Z$9)+NL("Sum","5802 Value Entry","17 Sales Amount (Actual)","41 Source Type",$C$5,"5 Source no.",$C1022,"4 Item Ledger Entry Type",$C$4,"2 Item No.","@@"&amp;$F1022,"3 Posting Date",Z$9)</t>
  </si>
  <si>
    <t>=-NL("Sum","5802 Value Entry","151 Cost Amount (Expected)","41 Source Type",$C$5,"5 Source No.",$C1022,"4 Item Ledger Entry Type",$C$4,"2 Item No.","@@"&amp;$F1022,"3 Posting Date",Z$9)-NL("Sum","5802 Value Entry","43 Cost Amount (Actual)","41 Source Type",$C$5,"5 Source no.",$C1022,"4 Item Ledger Entry Type",$C$4,"2 Item No.","@@"&amp;$F1022,"3 Posting Date",Z$9)</t>
  </si>
  <si>
    <t>=Z1022-AB1022</t>
  </si>
  <si>
    <t>=IF(Z1022&lt;&gt;0,AC1022/Z1022,"")</t>
  </si>
  <si>
    <t>=NL("Sum","5802 Value Entry","150 Sales Amount (Expected)","41 Source Type",$C$5,"5 Source No.",$C1023,"4 Item Ledger Entry Type",$C$4,"2 Item No.","@@"&amp;$F1023,"3 Posting Date",J$9)+NL("Sum","5802 Value Entry","17 Sales Amount (Actual)","41 Source Type",$C$5,"5 Source no.",$C1023,"4 Item Ledger Entry Type",$C$4,"2 Item No.","@@"&amp;$F1023,"3 Posting Date",J$9)</t>
  </si>
  <si>
    <t>=-NL("Sum","5802 Value Entry","151 Cost Amount (Expected)","41 Source Type",$C$5,"5 Source No.",$C1023,"4 Item Ledger Entry Type",$C$4,"2 Item No.","@@"&amp;$F1023,"3 Posting Date",J$9)-NL("Sum","5802 Value Entry","43 Cost Amount (Actual)","41 Source Type",$C$5,"5 Source no.",$C1023,"4 Item Ledger Entry Type",$C$4,"2 Item No.","@@"&amp;$F1023,"3 Posting Date",J$9)</t>
  </si>
  <si>
    <t>=NL("Sum","5802 Value Entry","150 Sales Amount (Expected)","41 Source Type",$C$5,"5 Source No.",$C1023,"4 Item Ledger Entry Type",$C$4,"2 Item No.","@@"&amp;$F1023,"3 Posting Date",O$9)+NL("Sum","5802 Value Entry","17 Sales Amount (Actual)","41 Source Type",$C$5,"5 Source no.",$C1023,"4 Item Ledger Entry Type",$C$4,"2 Item No.","@@"&amp;$F1023,"3 Posting Date",O$9)</t>
  </si>
  <si>
    <t>=-NL("Sum","5802 Value Entry","151 Cost Amount (Expected)","41 Source Type",$C$5,"5 Source No.",$C1023,"4 Item Ledger Entry Type",$C$4,"2 Item No.","@@"&amp;$F1023,"3 Posting Date",O$9)-NL("Sum","5802 Value Entry","43 Cost Amount (Actual)","41 Source Type",$C$5,"5 Source no.",$C1023,"4 Item Ledger Entry Type",$C$4,"2 Item No.","@@"&amp;$F1023,"3 Posting Date",O$9)</t>
  </si>
  <si>
    <t>=NL("Sum","5802 Value Entry","150 Sales Amount (Expected)","41 Source Type",$C$5,"5 Source No.",$C1023,"4 Item Ledger Entry Type",$C$4,"2 Item No.","@@"&amp;$F1023,"3 Posting Date",U$9)+NL("Sum","5802 Value Entry","17 Sales Amount (Actual)","41 Source Type",$C$5,"5 Source no.",$C1023,"4 Item Ledger Entry Type",$C$4,"2 Item No.","@@"&amp;$F1023,"3 Posting Date",U$9)</t>
  </si>
  <si>
    <t>=-NL("Sum","5802 Value Entry","151 Cost Amount (Expected)","41 Source Type",$C$5,"5 Source No.",$C1023,"4 Item Ledger Entry Type",$C$4,"2 Item No.","@@"&amp;$F1023,"3 Posting Date",U$9)-NL("Sum","5802 Value Entry","43 Cost Amount (Actual)","41 Source Type",$C$5,"5 Source no.",$C1023,"4 Item Ledger Entry Type",$C$4,"2 Item No.","@@"&amp;$F1023,"3 Posting Date",U$9)</t>
  </si>
  <si>
    <t>=NL("Sum","5802 Value Entry","150 Sales Amount (Expected)","41 Source Type",$C$5,"5 Source No.",$C1023,"4 Item Ledger Entry Type",$C$4,"2 Item No.","@@"&amp;$F1023,"3 Posting Date",Z$9)+NL("Sum","5802 Value Entry","17 Sales Amount (Actual)","41 Source Type",$C$5,"5 Source no.",$C1023,"4 Item Ledger Entry Type",$C$4,"2 Item No.","@@"&amp;$F1023,"3 Posting Date",Z$9)</t>
  </si>
  <si>
    <t>=-NL("Sum","5802 Value Entry","151 Cost Amount (Expected)","41 Source Type",$C$5,"5 Source No.",$C1023,"4 Item Ledger Entry Type",$C$4,"2 Item No.","@@"&amp;$F1023,"3 Posting Date",Z$9)-NL("Sum","5802 Value Entry","43 Cost Amount (Actual)","41 Source Type",$C$5,"5 Source no.",$C1023,"4 Item Ledger Entry Type",$C$4,"2 Item No.","@@"&amp;$F1023,"3 Posting Date",Z$9)</t>
  </si>
  <si>
    <t>=C1023</t>
  </si>
  <si>
    <t>=NL("Sum","5802 Value Entry","150 Sales Amount (Expected)","41 Source Type",$C$5,"5 Source No.",$C1024,"4 Item Ledger Entry Type",$C$4,"2 Item No.","@@"&amp;$F1024,"3 Posting Date",J$9)+NL("Sum","5802 Value Entry","17 Sales Amount (Actual)","41 Source Type",$C$5,"5 Source no.",$C1024,"4 Item Ledger Entry Type",$C$4,"2 Item No.","@@"&amp;$F1024,"3 Posting Date",J$9)</t>
  </si>
  <si>
    <t>=-NL("Sum","5802 Value Entry","151 Cost Amount (Expected)","41 Source Type",$C$5,"5 Source No.",$C1024,"4 Item Ledger Entry Type",$C$4,"2 Item No.","@@"&amp;$F1024,"3 Posting Date",J$9)-NL("Sum","5802 Value Entry","43 Cost Amount (Actual)","41 Source Type",$C$5,"5 Source no.",$C1024,"4 Item Ledger Entry Type",$C$4,"2 Item No.","@@"&amp;$F1024,"3 Posting Date",J$9)</t>
  </si>
  <si>
    <t>=J1024-L1024</t>
  </si>
  <si>
    <t>=IF(J1024&lt;&gt;0,M1024/J1024,"")</t>
  </si>
  <si>
    <t>=NL("Sum","5802 Value Entry","150 Sales Amount (Expected)","41 Source Type",$C$5,"5 Source No.",$C1024,"4 Item Ledger Entry Type",$C$4,"2 Item No.","@@"&amp;$F1024,"3 Posting Date",O$9)+NL("Sum","5802 Value Entry","17 Sales Amount (Actual)","41 Source Type",$C$5,"5 Source no.",$C1024,"4 Item Ledger Entry Type",$C$4,"2 Item No.","@@"&amp;$F1024,"3 Posting Date",O$9)</t>
  </si>
  <si>
    <t>=-NL("Sum","5802 Value Entry","151 Cost Amount (Expected)","41 Source Type",$C$5,"5 Source No.",$C1024,"4 Item Ledger Entry Type",$C$4,"2 Item No.","@@"&amp;$F1024,"3 Posting Date",O$9)-NL("Sum","5802 Value Entry","43 Cost Amount (Actual)","41 Source Type",$C$5,"5 Source no.",$C1024,"4 Item Ledger Entry Type",$C$4,"2 Item No.","@@"&amp;$F1024,"3 Posting Date",O$9)</t>
  </si>
  <si>
    <t>=O1024-Q1024</t>
  </si>
  <si>
    <t>=IF(O1024&lt;&gt;0,R1024/O1024,"")</t>
  </si>
  <si>
    <t>=NL("Sum","5802 Value Entry","150 Sales Amount (Expected)","41 Source Type",$C$5,"5 Source No.",$C1024,"4 Item Ledger Entry Type",$C$4,"2 Item No.","@@"&amp;$F1024,"3 Posting Date",U$9)+NL("Sum","5802 Value Entry","17 Sales Amount (Actual)","41 Source Type",$C$5,"5 Source no.",$C1024,"4 Item Ledger Entry Type",$C$4,"2 Item No.","@@"&amp;$F1024,"3 Posting Date",U$9)</t>
  </si>
  <si>
    <t>=-NL("Sum","5802 Value Entry","151 Cost Amount (Expected)","41 Source Type",$C$5,"5 Source No.",$C1024,"4 Item Ledger Entry Type",$C$4,"2 Item No.","@@"&amp;$F1024,"3 Posting Date",U$9)-NL("Sum","5802 Value Entry","43 Cost Amount (Actual)","41 Source Type",$C$5,"5 Source no.",$C1024,"4 Item Ledger Entry Type",$C$4,"2 Item No.","@@"&amp;$F1024,"3 Posting Date",U$9)</t>
  </si>
  <si>
    <t>=U1024-W1024</t>
  </si>
  <si>
    <t>=IF(U1024&lt;&gt;0,X1024/U1024,"")</t>
  </si>
  <si>
    <t>=NL("Sum","5802 Value Entry","150 Sales Amount (Expected)","41 Source Type",$C$5,"5 Source No.",$C1024,"4 Item Ledger Entry Type",$C$4,"2 Item No.","@@"&amp;$F1024,"3 Posting Date",Z$9)+NL("Sum","5802 Value Entry","17 Sales Amount (Actual)","41 Source Type",$C$5,"5 Source no.",$C1024,"4 Item Ledger Entry Type",$C$4,"2 Item No.","@@"&amp;$F1024,"3 Posting Date",Z$9)</t>
  </si>
  <si>
    <t>=-NL("Sum","5802 Value Entry","151 Cost Amount (Expected)","41 Source Type",$C$5,"5 Source No.",$C1024,"4 Item Ledger Entry Type",$C$4,"2 Item No.","@@"&amp;$F1024,"3 Posting Date",Z$9)-NL("Sum","5802 Value Entry","43 Cost Amount (Actual)","41 Source Type",$C$5,"5 Source no.",$C1024,"4 Item Ledger Entry Type",$C$4,"2 Item No.","@@"&amp;$F1024,"3 Posting Date",Z$9)</t>
  </si>
  <si>
    <t>=Z1024-AB1024</t>
  </si>
  <si>
    <t>=IF(Z1024&lt;&gt;0,AC1024/Z1024,"")</t>
  </si>
  <si>
    <t>=C1024</t>
  </si>
  <si>
    <t>=NL("Sum","5802 Value Entry","150 Sales Amount (Expected)","41 Source Type",$C$5,"5 Source No.",$C1025,"4 Item Ledger Entry Type",$C$4,"2 Item No.","@@"&amp;$F1025,"3 Posting Date",J$9)+NL("Sum","5802 Value Entry","17 Sales Amount (Actual)","41 Source Type",$C$5,"5 Source no.",$C1025,"4 Item Ledger Entry Type",$C$4,"2 Item No.","@@"&amp;$F1025,"3 Posting Date",J$9)</t>
  </si>
  <si>
    <t>=-NL("Sum","5802 Value Entry","151 Cost Amount (Expected)","41 Source Type",$C$5,"5 Source No.",$C1025,"4 Item Ledger Entry Type",$C$4,"2 Item No.","@@"&amp;$F1025,"3 Posting Date",J$9)-NL("Sum","5802 Value Entry","43 Cost Amount (Actual)","41 Source Type",$C$5,"5 Source no.",$C1025,"4 Item Ledger Entry Type",$C$4,"2 Item No.","@@"&amp;$F1025,"3 Posting Date",J$9)</t>
  </si>
  <si>
    <t>=J1025-L1025</t>
  </si>
  <si>
    <t>=IF(J1025&lt;&gt;0,M1025/J1025,"")</t>
  </si>
  <si>
    <t>=NL("Sum","5802 Value Entry","150 Sales Amount (Expected)","41 Source Type",$C$5,"5 Source No.",$C1025,"4 Item Ledger Entry Type",$C$4,"2 Item No.","@@"&amp;$F1025,"3 Posting Date",O$9)+NL("Sum","5802 Value Entry","17 Sales Amount (Actual)","41 Source Type",$C$5,"5 Source no.",$C1025,"4 Item Ledger Entry Type",$C$4,"2 Item No.","@@"&amp;$F1025,"3 Posting Date",O$9)</t>
  </si>
  <si>
    <t>=-NL("Sum","5802 Value Entry","151 Cost Amount (Expected)","41 Source Type",$C$5,"5 Source No.",$C1025,"4 Item Ledger Entry Type",$C$4,"2 Item No.","@@"&amp;$F1025,"3 Posting Date",O$9)-NL("Sum","5802 Value Entry","43 Cost Amount (Actual)","41 Source Type",$C$5,"5 Source no.",$C1025,"4 Item Ledger Entry Type",$C$4,"2 Item No.","@@"&amp;$F1025,"3 Posting Date",O$9)</t>
  </si>
  <si>
    <t>=O1025-Q1025</t>
  </si>
  <si>
    <t>=IF(O1025&lt;&gt;0,R1025/O1025,"")</t>
  </si>
  <si>
    <t>=NL("Sum","5802 Value Entry","150 Sales Amount (Expected)","41 Source Type",$C$5,"5 Source No.",$C1025,"4 Item Ledger Entry Type",$C$4,"2 Item No.","@@"&amp;$F1025,"3 Posting Date",U$9)+NL("Sum","5802 Value Entry","17 Sales Amount (Actual)","41 Source Type",$C$5,"5 Source no.",$C1025,"4 Item Ledger Entry Type",$C$4,"2 Item No.","@@"&amp;$F1025,"3 Posting Date",U$9)</t>
  </si>
  <si>
    <t>=-NL("Sum","5802 Value Entry","151 Cost Amount (Expected)","41 Source Type",$C$5,"5 Source No.",$C1025,"4 Item Ledger Entry Type",$C$4,"2 Item No.","@@"&amp;$F1025,"3 Posting Date",U$9)-NL("Sum","5802 Value Entry","43 Cost Amount (Actual)","41 Source Type",$C$5,"5 Source no.",$C1025,"4 Item Ledger Entry Type",$C$4,"2 Item No.","@@"&amp;$F1025,"3 Posting Date",U$9)</t>
  </si>
  <si>
    <t>=U1025-W1025</t>
  </si>
  <si>
    <t>=IF(U1025&lt;&gt;0,X1025/U1025,"")</t>
  </si>
  <si>
    <t>=NL("Sum","5802 Value Entry","150 Sales Amount (Expected)","41 Source Type",$C$5,"5 Source No.",$C1025,"4 Item Ledger Entry Type",$C$4,"2 Item No.","@@"&amp;$F1025,"3 Posting Date",Z$9)+NL("Sum","5802 Value Entry","17 Sales Amount (Actual)","41 Source Type",$C$5,"5 Source no.",$C1025,"4 Item Ledger Entry Type",$C$4,"2 Item No.","@@"&amp;$F1025,"3 Posting Date",Z$9)</t>
  </si>
  <si>
    <t>=-NL("Sum","5802 Value Entry","151 Cost Amount (Expected)","41 Source Type",$C$5,"5 Source No.",$C1025,"4 Item Ledger Entry Type",$C$4,"2 Item No.","@@"&amp;$F1025,"3 Posting Date",Z$9)-NL("Sum","5802 Value Entry","43 Cost Amount (Actual)","41 Source Type",$C$5,"5 Source no.",$C1025,"4 Item Ledger Entry Type",$C$4,"2 Item No.","@@"&amp;$F1025,"3 Posting Date",Z$9)</t>
  </si>
  <si>
    <t>=Z1025-AB1025</t>
  </si>
  <si>
    <t>=IF(Z1025&lt;&gt;0,AC1025/Z1025,"")</t>
  </si>
  <si>
    <t>=NL("Sum","5802 Value Entry","150 Sales Amount (Expected)","41 Source Type",$C$5,"5 Source No.",$C1026,"4 Item Ledger Entry Type",$C$4,"2 Item No.","@@"&amp;$F1026,"3 Posting Date",J$9)+NL("Sum","5802 Value Entry","17 Sales Amount (Actual)","41 Source Type",$C$5,"5 Source no.",$C1026,"4 Item Ledger Entry Type",$C$4,"2 Item No.","@@"&amp;$F1026,"3 Posting Date",J$9)</t>
  </si>
  <si>
    <t>=-NL("Sum","5802 Value Entry","151 Cost Amount (Expected)","41 Source Type",$C$5,"5 Source No.",$C1026,"4 Item Ledger Entry Type",$C$4,"2 Item No.","@@"&amp;$F1026,"3 Posting Date",J$9)-NL("Sum","5802 Value Entry","43 Cost Amount (Actual)","41 Source Type",$C$5,"5 Source no.",$C1026,"4 Item Ledger Entry Type",$C$4,"2 Item No.","@@"&amp;$F1026,"3 Posting Date",J$9)</t>
  </si>
  <si>
    <t>=J1026-L1026</t>
  </si>
  <si>
    <t>=IF(J1026&lt;&gt;0,M1026/J1026,"")</t>
  </si>
  <si>
    <t>=NL("Sum","5802 Value Entry","150 Sales Amount (Expected)","41 Source Type",$C$5,"5 Source No.",$C1026,"4 Item Ledger Entry Type",$C$4,"2 Item No.","@@"&amp;$F1026,"3 Posting Date",O$9)+NL("Sum","5802 Value Entry","17 Sales Amount (Actual)","41 Source Type",$C$5,"5 Source no.",$C1026,"4 Item Ledger Entry Type",$C$4,"2 Item No.","@@"&amp;$F1026,"3 Posting Date",O$9)</t>
  </si>
  <si>
    <t>=-NL("Sum","5802 Value Entry","151 Cost Amount (Expected)","41 Source Type",$C$5,"5 Source No.",$C1026,"4 Item Ledger Entry Type",$C$4,"2 Item No.","@@"&amp;$F1026,"3 Posting Date",O$9)-NL("Sum","5802 Value Entry","43 Cost Amount (Actual)","41 Source Type",$C$5,"5 Source no.",$C1026,"4 Item Ledger Entry Type",$C$4,"2 Item No.","@@"&amp;$F1026,"3 Posting Date",O$9)</t>
  </si>
  <si>
    <t>=O1026-Q1026</t>
  </si>
  <si>
    <t>=IF(O1026&lt;&gt;0,R1026/O1026,"")</t>
  </si>
  <si>
    <t>=NL("Sum","5802 Value Entry","150 Sales Amount (Expected)","41 Source Type",$C$5,"5 Source No.",$C1026,"4 Item Ledger Entry Type",$C$4,"2 Item No.","@@"&amp;$F1026,"3 Posting Date",U$9)+NL("Sum","5802 Value Entry","17 Sales Amount (Actual)","41 Source Type",$C$5,"5 Source no.",$C1026,"4 Item Ledger Entry Type",$C$4,"2 Item No.","@@"&amp;$F1026,"3 Posting Date",U$9)</t>
  </si>
  <si>
    <t>=-NL("Sum","5802 Value Entry","151 Cost Amount (Expected)","41 Source Type",$C$5,"5 Source No.",$C1026,"4 Item Ledger Entry Type",$C$4,"2 Item No.","@@"&amp;$F1026,"3 Posting Date",U$9)-NL("Sum","5802 Value Entry","43 Cost Amount (Actual)","41 Source Type",$C$5,"5 Source no.",$C1026,"4 Item Ledger Entry Type",$C$4,"2 Item No.","@@"&amp;$F1026,"3 Posting Date",U$9)</t>
  </si>
  <si>
    <t>=U1026-W1026</t>
  </si>
  <si>
    <t>=IF(U1026&lt;&gt;0,X1026/U1026,"")</t>
  </si>
  <si>
    <t>=NL("Sum","5802 Value Entry","150 Sales Amount (Expected)","41 Source Type",$C$5,"5 Source No.",$C1026,"4 Item Ledger Entry Type",$C$4,"2 Item No.","@@"&amp;$F1026,"3 Posting Date",Z$9)+NL("Sum","5802 Value Entry","17 Sales Amount (Actual)","41 Source Type",$C$5,"5 Source no.",$C1026,"4 Item Ledger Entry Type",$C$4,"2 Item No.","@@"&amp;$F1026,"3 Posting Date",Z$9)</t>
  </si>
  <si>
    <t>=-NL("Sum","5802 Value Entry","151 Cost Amount (Expected)","41 Source Type",$C$5,"5 Source No.",$C1026,"4 Item Ledger Entry Type",$C$4,"2 Item No.","@@"&amp;$F1026,"3 Posting Date",Z$9)-NL("Sum","5802 Value Entry","43 Cost Amount (Actual)","41 Source Type",$C$5,"5 Source no.",$C1026,"4 Item Ledger Entry Type",$C$4,"2 Item No.","@@"&amp;$F1026,"3 Posting Date",Z$9)</t>
  </si>
  <si>
    <t>=Z1026-AB1026</t>
  </si>
  <si>
    <t>=IF(Z1026&lt;&gt;0,AC1026/Z1026,"")</t>
  </si>
  <si>
    <t>=C1059&amp;" TOTAL:"</t>
  </si>
  <si>
    <t>=SUBTOTAL(9,J1017:J1058)</t>
  </si>
  <si>
    <t>=SUBTOTAL(9,K1017:K1058)</t>
  </si>
  <si>
    <t>=SUBTOTAL(9,L1017:L1058)</t>
  </si>
  <si>
    <t>=SUBTOTAL(9,O1017:O1058)</t>
  </si>
  <si>
    <t>=SUBTOTAL(9,P1017:P1058)</t>
  </si>
  <si>
    <t>=SUBTOTAL(9,Q1017:Q1058)</t>
  </si>
  <si>
    <t>=SUBTOTAL(9,U1017:U1058)</t>
  </si>
  <si>
    <t>=SUBTOTAL(9,V1017:V1058)</t>
  </si>
  <si>
    <t>=SUBTOTAL(9,W1017:W1058)</t>
  </si>
  <si>
    <t>=SUBTOTAL(9,Z1017:Z1058)</t>
  </si>
  <si>
    <t>=SUBTOTAL(9,AA1017:AA1058)</t>
  </si>
  <si>
    <t>=SUBTOTAL(9,AB1017:AB1058)</t>
  </si>
  <si>
    <t>=E1061</t>
  </si>
  <si>
    <t>=NL(,"18 Customer","2 Name","1 No.",$E1061)</t>
  </si>
  <si>
    <t>=NL("Rows","5802 Value Entry","2 Item No.","4 Item Ledger Entry Type",$C$4,"41 Source Type",$C$5,"5 Source No.",$C1063,"Item No.",$C$7,"3 Posting Date",$C$10)</t>
  </si>
  <si>
    <t>=C1066</t>
  </si>
  <si>
    <t>=NL("Sum","5802 Value Entry","150 Sales Amount (Expected)","41 Source Type",$C$5,"5 Source No.",$C1067,"4 Item Ledger Entry Type",$C$4,"2 Item No.","@@"&amp;$F1067,"3 Posting Date",J$9)+NL("Sum","5802 Value Entry","17 Sales Amount (Actual)","41 Source Type",$C$5,"5 Source no.",$C1067,"4 Item Ledger Entry Type",$C$4,"2 Item No.","@@"&amp;$F1067,"3 Posting Date",J$9)</t>
  </si>
  <si>
    <t>=-NL("Sum","5802 Value Entry","151 Cost Amount (Expected)","41 Source Type",$C$5,"5 Source No.",$C1067,"4 Item Ledger Entry Type",$C$4,"2 Item No.","@@"&amp;$F1067,"3 Posting Date",J$9)-NL("Sum","5802 Value Entry","43 Cost Amount (Actual)","41 Source Type",$C$5,"5 Source no.",$C1067,"4 Item Ledger Entry Type",$C$4,"2 Item No.","@@"&amp;$F1067,"3 Posting Date",J$9)</t>
  </si>
  <si>
    <t>=J1067-L1067</t>
  </si>
  <si>
    <t>=IF(J1067&lt;&gt;0,M1067/J1067,"")</t>
  </si>
  <si>
    <t>=NL("Sum","5802 Value Entry","150 Sales Amount (Expected)","41 Source Type",$C$5,"5 Source No.",$C1067,"4 Item Ledger Entry Type",$C$4,"2 Item No.","@@"&amp;$F1067,"3 Posting Date",O$9)+NL("Sum","5802 Value Entry","17 Sales Amount (Actual)","41 Source Type",$C$5,"5 Source no.",$C1067,"4 Item Ledger Entry Type",$C$4,"2 Item No.","@@"&amp;$F1067,"3 Posting Date",O$9)</t>
  </si>
  <si>
    <t>=-NL("Sum","5802 Value Entry","151 Cost Amount (Expected)","41 Source Type",$C$5,"5 Source No.",$C1067,"4 Item Ledger Entry Type",$C$4,"2 Item No.","@@"&amp;$F1067,"3 Posting Date",O$9)-NL("Sum","5802 Value Entry","43 Cost Amount (Actual)","41 Source Type",$C$5,"5 Source no.",$C1067,"4 Item Ledger Entry Type",$C$4,"2 Item No.","@@"&amp;$F1067,"3 Posting Date",O$9)</t>
  </si>
  <si>
    <t>=O1067-Q1067</t>
  </si>
  <si>
    <t>=IF(O1067&lt;&gt;0,R1067/O1067,"")</t>
  </si>
  <si>
    <t>=NL("Sum","5802 Value Entry","150 Sales Amount (Expected)","41 Source Type",$C$5,"5 Source No.",$C1067,"4 Item Ledger Entry Type",$C$4,"2 Item No.","@@"&amp;$F1067,"3 Posting Date",U$9)+NL("Sum","5802 Value Entry","17 Sales Amount (Actual)","41 Source Type",$C$5,"5 Source no.",$C1067,"4 Item Ledger Entry Type",$C$4,"2 Item No.","@@"&amp;$F1067,"3 Posting Date",U$9)</t>
  </si>
  <si>
    <t>=-NL("Sum","5802 Value Entry","151 Cost Amount (Expected)","41 Source Type",$C$5,"5 Source No.",$C1067,"4 Item Ledger Entry Type",$C$4,"2 Item No.","@@"&amp;$F1067,"3 Posting Date",U$9)-NL("Sum","5802 Value Entry","43 Cost Amount (Actual)","41 Source Type",$C$5,"5 Source no.",$C1067,"4 Item Ledger Entry Type",$C$4,"2 Item No.","@@"&amp;$F1067,"3 Posting Date",U$9)</t>
  </si>
  <si>
    <t>=U1067-W1067</t>
  </si>
  <si>
    <t>=IF(U1067&lt;&gt;0,X1067/U1067,"")</t>
  </si>
  <si>
    <t>=NL("Sum","5802 Value Entry","150 Sales Amount (Expected)","41 Source Type",$C$5,"5 Source No.",$C1067,"4 Item Ledger Entry Type",$C$4,"2 Item No.","@@"&amp;$F1067,"3 Posting Date",Z$9)+NL("Sum","5802 Value Entry","17 Sales Amount (Actual)","41 Source Type",$C$5,"5 Source no.",$C1067,"4 Item Ledger Entry Type",$C$4,"2 Item No.","@@"&amp;$F1067,"3 Posting Date",Z$9)</t>
  </si>
  <si>
    <t>=-NL("Sum","5802 Value Entry","151 Cost Amount (Expected)","41 Source Type",$C$5,"5 Source No.",$C1067,"4 Item Ledger Entry Type",$C$4,"2 Item No.","@@"&amp;$F1067,"3 Posting Date",Z$9)-NL("Sum","5802 Value Entry","43 Cost Amount (Actual)","41 Source Type",$C$5,"5 Source no.",$C1067,"4 Item Ledger Entry Type",$C$4,"2 Item No.","@@"&amp;$F1067,"3 Posting Date",Z$9)</t>
  </si>
  <si>
    <t>=Z1067-AB1067</t>
  </si>
  <si>
    <t>=IF(Z1067&lt;&gt;0,AC1067/Z1067,"")</t>
  </si>
  <si>
    <t>=NL("Sum","5802 Value Entry","150 Sales Amount (Expected)","41 Source Type",$C$5,"5 Source No.",$C1068,"4 Item Ledger Entry Type",$C$4,"2 Item No.","@@"&amp;$F1068,"3 Posting Date",J$9)+NL("Sum","5802 Value Entry","17 Sales Amount (Actual)","41 Source Type",$C$5,"5 Source no.",$C1068,"4 Item Ledger Entry Type",$C$4,"2 Item No.","@@"&amp;$F1068,"3 Posting Date",J$9)</t>
  </si>
  <si>
    <t>=-NL("Sum","5802 Value Entry","151 Cost Amount (Expected)","41 Source Type",$C$5,"5 Source No.",$C1068,"4 Item Ledger Entry Type",$C$4,"2 Item No.","@@"&amp;$F1068,"3 Posting Date",J$9)-NL("Sum","5802 Value Entry","43 Cost Amount (Actual)","41 Source Type",$C$5,"5 Source no.",$C1068,"4 Item Ledger Entry Type",$C$4,"2 Item No.","@@"&amp;$F1068,"3 Posting Date",J$9)</t>
  </si>
  <si>
    <t>=NL("Sum","5802 Value Entry","150 Sales Amount (Expected)","41 Source Type",$C$5,"5 Source No.",$C1068,"4 Item Ledger Entry Type",$C$4,"2 Item No.","@@"&amp;$F1068,"3 Posting Date",O$9)+NL("Sum","5802 Value Entry","17 Sales Amount (Actual)","41 Source Type",$C$5,"5 Source no.",$C1068,"4 Item Ledger Entry Type",$C$4,"2 Item No.","@@"&amp;$F1068,"3 Posting Date",O$9)</t>
  </si>
  <si>
    <t>=-NL("Sum","5802 Value Entry","151 Cost Amount (Expected)","41 Source Type",$C$5,"5 Source No.",$C1068,"4 Item Ledger Entry Type",$C$4,"2 Item No.","@@"&amp;$F1068,"3 Posting Date",O$9)-NL("Sum","5802 Value Entry","43 Cost Amount (Actual)","41 Source Type",$C$5,"5 Source no.",$C1068,"4 Item Ledger Entry Type",$C$4,"2 Item No.","@@"&amp;$F1068,"3 Posting Date",O$9)</t>
  </si>
  <si>
    <t>=NL("Sum","5802 Value Entry","150 Sales Amount (Expected)","41 Source Type",$C$5,"5 Source No.",$C1068,"4 Item Ledger Entry Type",$C$4,"2 Item No.","@@"&amp;$F1068,"3 Posting Date",U$9)+NL("Sum","5802 Value Entry","17 Sales Amount (Actual)","41 Source Type",$C$5,"5 Source no.",$C1068,"4 Item Ledger Entry Type",$C$4,"2 Item No.","@@"&amp;$F1068,"3 Posting Date",U$9)</t>
  </si>
  <si>
    <t>=-NL("Sum","5802 Value Entry","151 Cost Amount (Expected)","41 Source Type",$C$5,"5 Source No.",$C1068,"4 Item Ledger Entry Type",$C$4,"2 Item No.","@@"&amp;$F1068,"3 Posting Date",U$9)-NL("Sum","5802 Value Entry","43 Cost Amount (Actual)","41 Source Type",$C$5,"5 Source no.",$C1068,"4 Item Ledger Entry Type",$C$4,"2 Item No.","@@"&amp;$F1068,"3 Posting Date",U$9)</t>
  </si>
  <si>
    <t>=NL("Sum","5802 Value Entry","150 Sales Amount (Expected)","41 Source Type",$C$5,"5 Source No.",$C1068,"4 Item Ledger Entry Type",$C$4,"2 Item No.","@@"&amp;$F1068,"3 Posting Date",Z$9)+NL("Sum","5802 Value Entry","17 Sales Amount (Actual)","41 Source Type",$C$5,"5 Source no.",$C1068,"4 Item Ledger Entry Type",$C$4,"2 Item No.","@@"&amp;$F1068,"3 Posting Date",Z$9)</t>
  </si>
  <si>
    <t>=-NL("Sum","5802 Value Entry","151 Cost Amount (Expected)","41 Source Type",$C$5,"5 Source No.",$C1068,"4 Item Ledger Entry Type",$C$4,"2 Item No.","@@"&amp;$F1068,"3 Posting Date",Z$9)-NL("Sum","5802 Value Entry","43 Cost Amount (Actual)","41 Source Type",$C$5,"5 Source no.",$C1068,"4 Item Ledger Entry Type",$C$4,"2 Item No.","@@"&amp;$F1068,"3 Posting Date",Z$9)</t>
  </si>
  <si>
    <t>=C1068</t>
  </si>
  <si>
    <t>=NL("Sum","5802 Value Entry","150 Sales Amount (Expected)","41 Source Type",$C$5,"5 Source No.",$C1069,"4 Item Ledger Entry Type",$C$4,"2 Item No.","@@"&amp;$F1069,"3 Posting Date",J$9)+NL("Sum","5802 Value Entry","17 Sales Amount (Actual)","41 Source Type",$C$5,"5 Source no.",$C1069,"4 Item Ledger Entry Type",$C$4,"2 Item No.","@@"&amp;$F1069,"3 Posting Date",J$9)</t>
  </si>
  <si>
    <t>=-NL("Sum","5802 Value Entry","151 Cost Amount (Expected)","41 Source Type",$C$5,"5 Source No.",$C1069,"4 Item Ledger Entry Type",$C$4,"2 Item No.","@@"&amp;$F1069,"3 Posting Date",J$9)-NL("Sum","5802 Value Entry","43 Cost Amount (Actual)","41 Source Type",$C$5,"5 Source no.",$C1069,"4 Item Ledger Entry Type",$C$4,"2 Item No.","@@"&amp;$F1069,"3 Posting Date",J$9)</t>
  </si>
  <si>
    <t>=J1069-L1069</t>
  </si>
  <si>
    <t>=IF(J1069&lt;&gt;0,M1069/J1069,"")</t>
  </si>
  <si>
    <t>=NL("Sum","5802 Value Entry","150 Sales Amount (Expected)","41 Source Type",$C$5,"5 Source No.",$C1069,"4 Item Ledger Entry Type",$C$4,"2 Item No.","@@"&amp;$F1069,"3 Posting Date",O$9)+NL("Sum","5802 Value Entry","17 Sales Amount (Actual)","41 Source Type",$C$5,"5 Source no.",$C1069,"4 Item Ledger Entry Type",$C$4,"2 Item No.","@@"&amp;$F1069,"3 Posting Date",O$9)</t>
  </si>
  <si>
    <t>=-NL("Sum","5802 Value Entry","151 Cost Amount (Expected)","41 Source Type",$C$5,"5 Source No.",$C1069,"4 Item Ledger Entry Type",$C$4,"2 Item No.","@@"&amp;$F1069,"3 Posting Date",O$9)-NL("Sum","5802 Value Entry","43 Cost Amount (Actual)","41 Source Type",$C$5,"5 Source no.",$C1069,"4 Item Ledger Entry Type",$C$4,"2 Item No.","@@"&amp;$F1069,"3 Posting Date",O$9)</t>
  </si>
  <si>
    <t>=O1069-Q1069</t>
  </si>
  <si>
    <t>=IF(O1069&lt;&gt;0,R1069/O1069,"")</t>
  </si>
  <si>
    <t>=NL("Sum","5802 Value Entry","150 Sales Amount (Expected)","41 Source Type",$C$5,"5 Source No.",$C1069,"4 Item Ledger Entry Type",$C$4,"2 Item No.","@@"&amp;$F1069,"3 Posting Date",U$9)+NL("Sum","5802 Value Entry","17 Sales Amount (Actual)","41 Source Type",$C$5,"5 Source no.",$C1069,"4 Item Ledger Entry Type",$C$4,"2 Item No.","@@"&amp;$F1069,"3 Posting Date",U$9)</t>
  </si>
  <si>
    <t>=-NL("Sum","5802 Value Entry","151 Cost Amount (Expected)","41 Source Type",$C$5,"5 Source No.",$C1069,"4 Item Ledger Entry Type",$C$4,"2 Item No.","@@"&amp;$F1069,"3 Posting Date",U$9)-NL("Sum","5802 Value Entry","43 Cost Amount (Actual)","41 Source Type",$C$5,"5 Source no.",$C1069,"4 Item Ledger Entry Type",$C$4,"2 Item No.","@@"&amp;$F1069,"3 Posting Date",U$9)</t>
  </si>
  <si>
    <t>=U1069-W1069</t>
  </si>
  <si>
    <t>=IF(U1069&lt;&gt;0,X1069/U1069,"")</t>
  </si>
  <si>
    <t>=NL("Sum","5802 Value Entry","150 Sales Amount (Expected)","41 Source Type",$C$5,"5 Source No.",$C1069,"4 Item Ledger Entry Type",$C$4,"2 Item No.","@@"&amp;$F1069,"3 Posting Date",Z$9)+NL("Sum","5802 Value Entry","17 Sales Amount (Actual)","41 Source Type",$C$5,"5 Source no.",$C1069,"4 Item Ledger Entry Type",$C$4,"2 Item No.","@@"&amp;$F1069,"3 Posting Date",Z$9)</t>
  </si>
  <si>
    <t>=-NL("Sum","5802 Value Entry","151 Cost Amount (Expected)","41 Source Type",$C$5,"5 Source No.",$C1069,"4 Item Ledger Entry Type",$C$4,"2 Item No.","@@"&amp;$F1069,"3 Posting Date",Z$9)-NL("Sum","5802 Value Entry","43 Cost Amount (Actual)","41 Source Type",$C$5,"5 Source no.",$C1069,"4 Item Ledger Entry Type",$C$4,"2 Item No.","@@"&amp;$F1069,"3 Posting Date",Z$9)</t>
  </si>
  <si>
    <t>=Z1069-AB1069</t>
  </si>
  <si>
    <t>=IF(Z1069&lt;&gt;0,AC1069/Z1069,"")</t>
  </si>
  <si>
    <t>=C1069</t>
  </si>
  <si>
    <t>=NL("Sum","5802 Value Entry","150 Sales Amount (Expected)","41 Source Type",$C$5,"5 Source No.",$C1070,"4 Item Ledger Entry Type",$C$4,"2 Item No.","@@"&amp;$F1070,"3 Posting Date",J$9)+NL("Sum","5802 Value Entry","17 Sales Amount (Actual)","41 Source Type",$C$5,"5 Source no.",$C1070,"4 Item Ledger Entry Type",$C$4,"2 Item No.","@@"&amp;$F1070,"3 Posting Date",J$9)</t>
  </si>
  <si>
    <t>=-NL("Sum","5802 Value Entry","151 Cost Amount (Expected)","41 Source Type",$C$5,"5 Source No.",$C1070,"4 Item Ledger Entry Type",$C$4,"2 Item No.","@@"&amp;$F1070,"3 Posting Date",J$9)-NL("Sum","5802 Value Entry","43 Cost Amount (Actual)","41 Source Type",$C$5,"5 Source no.",$C1070,"4 Item Ledger Entry Type",$C$4,"2 Item No.","@@"&amp;$F1070,"3 Posting Date",J$9)</t>
  </si>
  <si>
    <t>=J1070-L1070</t>
  </si>
  <si>
    <t>=IF(J1070&lt;&gt;0,M1070/J1070,"")</t>
  </si>
  <si>
    <t>=NL("Sum","5802 Value Entry","150 Sales Amount (Expected)","41 Source Type",$C$5,"5 Source No.",$C1070,"4 Item Ledger Entry Type",$C$4,"2 Item No.","@@"&amp;$F1070,"3 Posting Date",O$9)+NL("Sum","5802 Value Entry","17 Sales Amount (Actual)","41 Source Type",$C$5,"5 Source no.",$C1070,"4 Item Ledger Entry Type",$C$4,"2 Item No.","@@"&amp;$F1070,"3 Posting Date",O$9)</t>
  </si>
  <si>
    <t>=-NL("Sum","5802 Value Entry","151 Cost Amount (Expected)","41 Source Type",$C$5,"5 Source No.",$C1070,"4 Item Ledger Entry Type",$C$4,"2 Item No.","@@"&amp;$F1070,"3 Posting Date",O$9)-NL("Sum","5802 Value Entry","43 Cost Amount (Actual)","41 Source Type",$C$5,"5 Source no.",$C1070,"4 Item Ledger Entry Type",$C$4,"2 Item No.","@@"&amp;$F1070,"3 Posting Date",O$9)</t>
  </si>
  <si>
    <t>=O1070-Q1070</t>
  </si>
  <si>
    <t>=IF(O1070&lt;&gt;0,R1070/O1070,"")</t>
  </si>
  <si>
    <t>=NL("Sum","5802 Value Entry","150 Sales Amount (Expected)","41 Source Type",$C$5,"5 Source No.",$C1070,"4 Item Ledger Entry Type",$C$4,"2 Item No.","@@"&amp;$F1070,"3 Posting Date",U$9)+NL("Sum","5802 Value Entry","17 Sales Amount (Actual)","41 Source Type",$C$5,"5 Source no.",$C1070,"4 Item Ledger Entry Type",$C$4,"2 Item No.","@@"&amp;$F1070,"3 Posting Date",U$9)</t>
  </si>
  <si>
    <t>=-NL("Sum","5802 Value Entry","151 Cost Amount (Expected)","41 Source Type",$C$5,"5 Source No.",$C1070,"4 Item Ledger Entry Type",$C$4,"2 Item No.","@@"&amp;$F1070,"3 Posting Date",U$9)-NL("Sum","5802 Value Entry","43 Cost Amount (Actual)","41 Source Type",$C$5,"5 Source no.",$C1070,"4 Item Ledger Entry Type",$C$4,"2 Item No.","@@"&amp;$F1070,"3 Posting Date",U$9)</t>
  </si>
  <si>
    <t>=U1070-W1070</t>
  </si>
  <si>
    <t>=IF(U1070&lt;&gt;0,X1070/U1070,"")</t>
  </si>
  <si>
    <t>=NL("Sum","5802 Value Entry","150 Sales Amount (Expected)","41 Source Type",$C$5,"5 Source No.",$C1070,"4 Item Ledger Entry Type",$C$4,"2 Item No.","@@"&amp;$F1070,"3 Posting Date",Z$9)+NL("Sum","5802 Value Entry","17 Sales Amount (Actual)","41 Source Type",$C$5,"5 Source no.",$C1070,"4 Item Ledger Entry Type",$C$4,"2 Item No.","@@"&amp;$F1070,"3 Posting Date",Z$9)</t>
  </si>
  <si>
    <t>=-NL("Sum","5802 Value Entry","151 Cost Amount (Expected)","41 Source Type",$C$5,"5 Source No.",$C1070,"4 Item Ledger Entry Type",$C$4,"2 Item No.","@@"&amp;$F1070,"3 Posting Date",Z$9)-NL("Sum","5802 Value Entry","43 Cost Amount (Actual)","41 Source Type",$C$5,"5 Source no.",$C1070,"4 Item Ledger Entry Type",$C$4,"2 Item No.","@@"&amp;$F1070,"3 Posting Date",Z$9)</t>
  </si>
  <si>
    <t>=Z1070-AB1070</t>
  </si>
  <si>
    <t>=IF(Z1070&lt;&gt;0,AC1070/Z1070,"")</t>
  </si>
  <si>
    <t>=NL("Sum","5802 Value Entry","150 Sales Amount (Expected)","41 Source Type",$C$5,"5 Source No.",$C1071,"4 Item Ledger Entry Type",$C$4,"2 Item No.","@@"&amp;$F1071,"3 Posting Date",J$9)+NL("Sum","5802 Value Entry","17 Sales Amount (Actual)","41 Source Type",$C$5,"5 Source no.",$C1071,"4 Item Ledger Entry Type",$C$4,"2 Item No.","@@"&amp;$F1071,"3 Posting Date",J$9)</t>
  </si>
  <si>
    <t>=-NL("Sum","5802 Value Entry","151 Cost Amount (Expected)","41 Source Type",$C$5,"5 Source No.",$C1071,"4 Item Ledger Entry Type",$C$4,"2 Item No.","@@"&amp;$F1071,"3 Posting Date",J$9)-NL("Sum","5802 Value Entry","43 Cost Amount (Actual)","41 Source Type",$C$5,"5 Source no.",$C1071,"4 Item Ledger Entry Type",$C$4,"2 Item No.","@@"&amp;$F1071,"3 Posting Date",J$9)</t>
  </si>
  <si>
    <t>=J1071-L1071</t>
  </si>
  <si>
    <t>=IF(J1071&lt;&gt;0,M1071/J1071,"")</t>
  </si>
  <si>
    <t>=NL("Sum","5802 Value Entry","150 Sales Amount (Expected)","41 Source Type",$C$5,"5 Source No.",$C1071,"4 Item Ledger Entry Type",$C$4,"2 Item No.","@@"&amp;$F1071,"3 Posting Date",O$9)+NL("Sum","5802 Value Entry","17 Sales Amount (Actual)","41 Source Type",$C$5,"5 Source no.",$C1071,"4 Item Ledger Entry Type",$C$4,"2 Item No.","@@"&amp;$F1071,"3 Posting Date",O$9)</t>
  </si>
  <si>
    <t>=-NL("Sum","5802 Value Entry","151 Cost Amount (Expected)","41 Source Type",$C$5,"5 Source No.",$C1071,"4 Item Ledger Entry Type",$C$4,"2 Item No.","@@"&amp;$F1071,"3 Posting Date",O$9)-NL("Sum","5802 Value Entry","43 Cost Amount (Actual)","41 Source Type",$C$5,"5 Source no.",$C1071,"4 Item Ledger Entry Type",$C$4,"2 Item No.","@@"&amp;$F1071,"3 Posting Date",O$9)</t>
  </si>
  <si>
    <t>=O1071-Q1071</t>
  </si>
  <si>
    <t>=IF(O1071&lt;&gt;0,R1071/O1071,"")</t>
  </si>
  <si>
    <t>=NL("Sum","5802 Value Entry","150 Sales Amount (Expected)","41 Source Type",$C$5,"5 Source No.",$C1071,"4 Item Ledger Entry Type",$C$4,"2 Item No.","@@"&amp;$F1071,"3 Posting Date",U$9)+NL("Sum","5802 Value Entry","17 Sales Amount (Actual)","41 Source Type",$C$5,"5 Source no.",$C1071,"4 Item Ledger Entry Type",$C$4,"2 Item No.","@@"&amp;$F1071,"3 Posting Date",U$9)</t>
  </si>
  <si>
    <t>=-NL("Sum","5802 Value Entry","151 Cost Amount (Expected)","41 Source Type",$C$5,"5 Source No.",$C1071,"4 Item Ledger Entry Type",$C$4,"2 Item No.","@@"&amp;$F1071,"3 Posting Date",U$9)-NL("Sum","5802 Value Entry","43 Cost Amount (Actual)","41 Source Type",$C$5,"5 Source no.",$C1071,"4 Item Ledger Entry Type",$C$4,"2 Item No.","@@"&amp;$F1071,"3 Posting Date",U$9)</t>
  </si>
  <si>
    <t>=U1071-W1071</t>
  </si>
  <si>
    <t>=IF(U1071&lt;&gt;0,X1071/U1071,"")</t>
  </si>
  <si>
    <t>=NL("Sum","5802 Value Entry","150 Sales Amount (Expected)","41 Source Type",$C$5,"5 Source No.",$C1071,"4 Item Ledger Entry Type",$C$4,"2 Item No.","@@"&amp;$F1071,"3 Posting Date",Z$9)+NL("Sum","5802 Value Entry","17 Sales Amount (Actual)","41 Source Type",$C$5,"5 Source no.",$C1071,"4 Item Ledger Entry Type",$C$4,"2 Item No.","@@"&amp;$F1071,"3 Posting Date",Z$9)</t>
  </si>
  <si>
    <t>=-NL("Sum","5802 Value Entry","151 Cost Amount (Expected)","41 Source Type",$C$5,"5 Source No.",$C1071,"4 Item Ledger Entry Type",$C$4,"2 Item No.","@@"&amp;$F1071,"3 Posting Date",Z$9)-NL("Sum","5802 Value Entry","43 Cost Amount (Actual)","41 Source Type",$C$5,"5 Source no.",$C1071,"4 Item Ledger Entry Type",$C$4,"2 Item No.","@@"&amp;$F1071,"3 Posting Date",Z$9)</t>
  </si>
  <si>
    <t>=Z1071-AB1071</t>
  </si>
  <si>
    <t>=IF(Z1071&lt;&gt;0,AC1071/Z1071,"")</t>
  </si>
  <si>
    <t>=C1080&amp;" TOTAL:"</t>
  </si>
  <si>
    <t>=SUBTOTAL(9,J1062:J1079)</t>
  </si>
  <si>
    <t>=SUBTOTAL(9,K1062:K1079)</t>
  </si>
  <si>
    <t>=SUBTOTAL(9,L1062:L1079)</t>
  </si>
  <si>
    <t>=SUBTOTAL(9,O1062:O1079)</t>
  </si>
  <si>
    <t>=SUBTOTAL(9,P1062:P1079)</t>
  </si>
  <si>
    <t>=SUBTOTAL(9,Q1062:Q1079)</t>
  </si>
  <si>
    <t>=SUBTOTAL(9,U1062:U1079)</t>
  </si>
  <si>
    <t>=SUBTOTAL(9,V1062:V1079)</t>
  </si>
  <si>
    <t>=SUBTOTAL(9,W1062:W1079)</t>
  </si>
  <si>
    <t>=SUBTOTAL(9,Z1062:Z1079)</t>
  </si>
  <si>
    <t>=SUBTOTAL(9,AA1062:AA1079)</t>
  </si>
  <si>
    <t>=SUBTOTAL(9,AB1062:AB1079)</t>
  </si>
  <si>
    <t>=E1082</t>
  </si>
  <si>
    <t>=NL(,"18 Customer","2 Name","1 No.",$E1082)</t>
  </si>
  <si>
    <t>=NL("Rows","5802 Value Entry","2 Item No.","4 Item Ledger Entry Type",$C$4,"41 Source Type",$C$5,"5 Source No.",$C1084,"Item No.",$C$7,"3 Posting Date",$C$10)</t>
  </si>
  <si>
    <t>=C1111&amp;" TOTAL:"</t>
  </si>
  <si>
    <t>=SUBTOTAL(9,J1083:J1110)</t>
  </si>
  <si>
    <t>=SUBTOTAL(9,K1083:K1110)</t>
  </si>
  <si>
    <t>=SUBTOTAL(9,L1083:L1110)</t>
  </si>
  <si>
    <t>=SUBTOTAL(9,O1083:O1110)</t>
  </si>
  <si>
    <t>=SUBTOTAL(9,P1083:P1110)</t>
  </si>
  <si>
    <t>=SUBTOTAL(9,Q1083:Q1110)</t>
  </si>
  <si>
    <t>=SUBTOTAL(9,U1083:U1110)</t>
  </si>
  <si>
    <t>=SUBTOTAL(9,V1083:V1110)</t>
  </si>
  <si>
    <t>=SUBTOTAL(9,W1083:W1110)</t>
  </si>
  <si>
    <t>=SUBTOTAL(9,Z1083:Z1110)</t>
  </si>
  <si>
    <t>=SUBTOTAL(9,AA1083:AA1110)</t>
  </si>
  <si>
    <t>=SUBTOTAL(9,AB1083:AB1110)</t>
  </si>
  <si>
    <t>=E1113</t>
  </si>
  <si>
    <t>=NL(,"18 Customer","2 Name","1 No.",$E1113)</t>
  </si>
  <si>
    <t>=C1114</t>
  </si>
  <si>
    <t>=NL("Rows","5802 Value Entry","2 Item No.","4 Item Ledger Entry Type",$C$4,"41 Source Type",$C$5,"5 Source No.",$C1115,"Item No.",$C$7,"3 Posting Date",$C$10)</t>
  </si>
  <si>
    <t>=NL("Sum","5802 Value Entry","150 Sales Amount (Expected)","41 Source Type",$C$5,"5 Source No.",$C1115,"4 Item Ledger Entry Type",$C$4,"2 Item No.","@@"&amp;$F1115,"3 Posting Date",J$9)+NL("Sum","5802 Value Entry","17 Sales Amount (Actual)","41 Source Type",$C$5,"5 Source no.",$C1115,"4 Item Ledger Entry Type",$C$4,"2 Item No.","@@"&amp;$F1115,"3 Posting Date",J$9)</t>
  </si>
  <si>
    <t>=-NL("Sum","5802 Value Entry","151 Cost Amount (Expected)","41 Source Type",$C$5,"5 Source No.",$C1115,"4 Item Ledger Entry Type",$C$4,"2 Item No.","@@"&amp;$F1115,"3 Posting Date",J$9)-NL("Sum","5802 Value Entry","43 Cost Amount (Actual)","41 Source Type",$C$5,"5 Source no.",$C1115,"4 Item Ledger Entry Type",$C$4,"2 Item No.","@@"&amp;$F1115,"3 Posting Date",J$9)</t>
  </si>
  <si>
    <t>=J1115-L1115</t>
  </si>
  <si>
    <t>=IF(J1115&lt;&gt;0,M1115/J1115,"")</t>
  </si>
  <si>
    <t>=NL("Sum","5802 Value Entry","150 Sales Amount (Expected)","41 Source Type",$C$5,"5 Source No.",$C1115,"4 Item Ledger Entry Type",$C$4,"2 Item No.","@@"&amp;$F1115,"3 Posting Date",O$9)+NL("Sum","5802 Value Entry","17 Sales Amount (Actual)","41 Source Type",$C$5,"5 Source no.",$C1115,"4 Item Ledger Entry Type",$C$4,"2 Item No.","@@"&amp;$F1115,"3 Posting Date",O$9)</t>
  </si>
  <si>
    <t>=-NL("Sum","5802 Value Entry","151 Cost Amount (Expected)","41 Source Type",$C$5,"5 Source No.",$C1115,"4 Item Ledger Entry Type",$C$4,"2 Item No.","@@"&amp;$F1115,"3 Posting Date",O$9)-NL("Sum","5802 Value Entry","43 Cost Amount (Actual)","41 Source Type",$C$5,"5 Source no.",$C1115,"4 Item Ledger Entry Type",$C$4,"2 Item No.","@@"&amp;$F1115,"3 Posting Date",O$9)</t>
  </si>
  <si>
    <t>=O1115-Q1115</t>
  </si>
  <si>
    <t>=IF(O1115&lt;&gt;0,R1115/O1115,"")</t>
  </si>
  <si>
    <t>=NL("Sum","5802 Value Entry","150 Sales Amount (Expected)","41 Source Type",$C$5,"5 Source No.",$C1115,"4 Item Ledger Entry Type",$C$4,"2 Item No.","@@"&amp;$F1115,"3 Posting Date",U$9)+NL("Sum","5802 Value Entry","17 Sales Amount (Actual)","41 Source Type",$C$5,"5 Source no.",$C1115,"4 Item Ledger Entry Type",$C$4,"2 Item No.","@@"&amp;$F1115,"3 Posting Date",U$9)</t>
  </si>
  <si>
    <t>=-NL("Sum","5802 Value Entry","151 Cost Amount (Expected)","41 Source Type",$C$5,"5 Source No.",$C1115,"4 Item Ledger Entry Type",$C$4,"2 Item No.","@@"&amp;$F1115,"3 Posting Date",U$9)-NL("Sum","5802 Value Entry","43 Cost Amount (Actual)","41 Source Type",$C$5,"5 Source no.",$C1115,"4 Item Ledger Entry Type",$C$4,"2 Item No.","@@"&amp;$F1115,"3 Posting Date",U$9)</t>
  </si>
  <si>
    <t>=U1115-W1115</t>
  </si>
  <si>
    <t>=IF(U1115&lt;&gt;0,X1115/U1115,"")</t>
  </si>
  <si>
    <t>=NL("Sum","5802 Value Entry","150 Sales Amount (Expected)","41 Source Type",$C$5,"5 Source No.",$C1115,"4 Item Ledger Entry Type",$C$4,"2 Item No.","@@"&amp;$F1115,"3 Posting Date",Z$9)+NL("Sum","5802 Value Entry","17 Sales Amount (Actual)","41 Source Type",$C$5,"5 Source no.",$C1115,"4 Item Ledger Entry Type",$C$4,"2 Item No.","@@"&amp;$F1115,"3 Posting Date",Z$9)</t>
  </si>
  <si>
    <t>=-NL("Sum","5802 Value Entry","151 Cost Amount (Expected)","41 Source Type",$C$5,"5 Source No.",$C1115,"4 Item Ledger Entry Type",$C$4,"2 Item No.","@@"&amp;$F1115,"3 Posting Date",Z$9)-NL("Sum","5802 Value Entry","43 Cost Amount (Actual)","41 Source Type",$C$5,"5 Source no.",$C1115,"4 Item Ledger Entry Type",$C$4,"2 Item No.","@@"&amp;$F1115,"3 Posting Date",Z$9)</t>
  </si>
  <si>
    <t>=Z1115-AB1115</t>
  </si>
  <si>
    <t>=IF(Z1115&lt;&gt;0,AC1115/Z1115,"")</t>
  </si>
  <si>
    <t>=NL("Sum","5802 Value Entry","150 Sales Amount (Expected)","41 Source Type",$C$5,"5 Source No.",$C1116,"4 Item Ledger Entry Type",$C$4,"2 Item No.","@@"&amp;$F1116,"3 Posting Date",J$9)+NL("Sum","5802 Value Entry","17 Sales Amount (Actual)","41 Source Type",$C$5,"5 Source no.",$C1116,"4 Item Ledger Entry Type",$C$4,"2 Item No.","@@"&amp;$F1116,"3 Posting Date",J$9)</t>
  </si>
  <si>
    <t>=-NL("Sum","5802 Value Entry","151 Cost Amount (Expected)","41 Source Type",$C$5,"5 Source No.",$C1116,"4 Item Ledger Entry Type",$C$4,"2 Item No.","@@"&amp;$F1116,"3 Posting Date",J$9)-NL("Sum","5802 Value Entry","43 Cost Amount (Actual)","41 Source Type",$C$5,"5 Source no.",$C1116,"4 Item Ledger Entry Type",$C$4,"2 Item No.","@@"&amp;$F1116,"3 Posting Date",J$9)</t>
  </si>
  <si>
    <t>=NL("Sum","5802 Value Entry","150 Sales Amount (Expected)","41 Source Type",$C$5,"5 Source No.",$C1116,"4 Item Ledger Entry Type",$C$4,"2 Item No.","@@"&amp;$F1116,"3 Posting Date",O$9)+NL("Sum","5802 Value Entry","17 Sales Amount (Actual)","41 Source Type",$C$5,"5 Source no.",$C1116,"4 Item Ledger Entry Type",$C$4,"2 Item No.","@@"&amp;$F1116,"3 Posting Date",O$9)</t>
  </si>
  <si>
    <t>=-NL("Sum","5802 Value Entry","151 Cost Amount (Expected)","41 Source Type",$C$5,"5 Source No.",$C1116,"4 Item Ledger Entry Type",$C$4,"2 Item No.","@@"&amp;$F1116,"3 Posting Date",O$9)-NL("Sum","5802 Value Entry","43 Cost Amount (Actual)","41 Source Type",$C$5,"5 Source no.",$C1116,"4 Item Ledger Entry Type",$C$4,"2 Item No.","@@"&amp;$F1116,"3 Posting Date",O$9)</t>
  </si>
  <si>
    <t>=NL("Sum","5802 Value Entry","150 Sales Amount (Expected)","41 Source Type",$C$5,"5 Source No.",$C1116,"4 Item Ledger Entry Type",$C$4,"2 Item No.","@@"&amp;$F1116,"3 Posting Date",U$9)+NL("Sum","5802 Value Entry","17 Sales Amount (Actual)","41 Source Type",$C$5,"5 Source no.",$C1116,"4 Item Ledger Entry Type",$C$4,"2 Item No.","@@"&amp;$F1116,"3 Posting Date",U$9)</t>
  </si>
  <si>
    <t>=-NL("Sum","5802 Value Entry","151 Cost Amount (Expected)","41 Source Type",$C$5,"5 Source No.",$C1116,"4 Item Ledger Entry Type",$C$4,"2 Item No.","@@"&amp;$F1116,"3 Posting Date",U$9)-NL("Sum","5802 Value Entry","43 Cost Amount (Actual)","41 Source Type",$C$5,"5 Source no.",$C1116,"4 Item Ledger Entry Type",$C$4,"2 Item No.","@@"&amp;$F1116,"3 Posting Date",U$9)</t>
  </si>
  <si>
    <t>=NL("Sum","5802 Value Entry","150 Sales Amount (Expected)","41 Source Type",$C$5,"5 Source No.",$C1116,"4 Item Ledger Entry Type",$C$4,"2 Item No.","@@"&amp;$F1116,"3 Posting Date",Z$9)+NL("Sum","5802 Value Entry","17 Sales Amount (Actual)","41 Source Type",$C$5,"5 Source no.",$C1116,"4 Item Ledger Entry Type",$C$4,"2 Item No.","@@"&amp;$F1116,"3 Posting Date",Z$9)</t>
  </si>
  <si>
    <t>=-NL("Sum","5802 Value Entry","151 Cost Amount (Expected)","41 Source Type",$C$5,"5 Source No.",$C1116,"4 Item Ledger Entry Type",$C$4,"2 Item No.","@@"&amp;$F1116,"3 Posting Date",Z$9)-NL("Sum","5802 Value Entry","43 Cost Amount (Actual)","41 Source Type",$C$5,"5 Source no.",$C1116,"4 Item Ledger Entry Type",$C$4,"2 Item No.","@@"&amp;$F1116,"3 Posting Date",Z$9)</t>
  </si>
  <si>
    <t>=C1116</t>
  </si>
  <si>
    <t>=NL("Sum","5802 Value Entry","150 Sales Amount (Expected)","41 Source Type",$C$5,"5 Source No.",$C1117,"4 Item Ledger Entry Type",$C$4,"2 Item No.","@@"&amp;$F1117,"3 Posting Date",J$9)+NL("Sum","5802 Value Entry","17 Sales Amount (Actual)","41 Source Type",$C$5,"5 Source no.",$C1117,"4 Item Ledger Entry Type",$C$4,"2 Item No.","@@"&amp;$F1117,"3 Posting Date",J$9)</t>
  </si>
  <si>
    <t>=-NL("Sum","5802 Value Entry","151 Cost Amount (Expected)","41 Source Type",$C$5,"5 Source No.",$C1117,"4 Item Ledger Entry Type",$C$4,"2 Item No.","@@"&amp;$F1117,"3 Posting Date",J$9)-NL("Sum","5802 Value Entry","43 Cost Amount (Actual)","41 Source Type",$C$5,"5 Source no.",$C1117,"4 Item Ledger Entry Type",$C$4,"2 Item No.","@@"&amp;$F1117,"3 Posting Date",J$9)</t>
  </si>
  <si>
    <t>=J1117-L1117</t>
  </si>
  <si>
    <t>=IF(J1117&lt;&gt;0,M1117/J1117,"")</t>
  </si>
  <si>
    <t>=NL("Sum","5802 Value Entry","150 Sales Amount (Expected)","41 Source Type",$C$5,"5 Source No.",$C1117,"4 Item Ledger Entry Type",$C$4,"2 Item No.","@@"&amp;$F1117,"3 Posting Date",O$9)+NL("Sum","5802 Value Entry","17 Sales Amount (Actual)","41 Source Type",$C$5,"5 Source no.",$C1117,"4 Item Ledger Entry Type",$C$4,"2 Item No.","@@"&amp;$F1117,"3 Posting Date",O$9)</t>
  </si>
  <si>
    <t>=-NL("Sum","5802 Value Entry","151 Cost Amount (Expected)","41 Source Type",$C$5,"5 Source No.",$C1117,"4 Item Ledger Entry Type",$C$4,"2 Item No.","@@"&amp;$F1117,"3 Posting Date",O$9)-NL("Sum","5802 Value Entry","43 Cost Amount (Actual)","41 Source Type",$C$5,"5 Source no.",$C1117,"4 Item Ledger Entry Type",$C$4,"2 Item No.","@@"&amp;$F1117,"3 Posting Date",O$9)</t>
  </si>
  <si>
    <t>=O1117-Q1117</t>
  </si>
  <si>
    <t>=IF(O1117&lt;&gt;0,R1117/O1117,"")</t>
  </si>
  <si>
    <t>=NL("Sum","5802 Value Entry","150 Sales Amount (Expected)","41 Source Type",$C$5,"5 Source No.",$C1117,"4 Item Ledger Entry Type",$C$4,"2 Item No.","@@"&amp;$F1117,"3 Posting Date",U$9)+NL("Sum","5802 Value Entry","17 Sales Amount (Actual)","41 Source Type",$C$5,"5 Source no.",$C1117,"4 Item Ledger Entry Type",$C$4,"2 Item No.","@@"&amp;$F1117,"3 Posting Date",U$9)</t>
  </si>
  <si>
    <t>=-NL("Sum","5802 Value Entry","151 Cost Amount (Expected)","41 Source Type",$C$5,"5 Source No.",$C1117,"4 Item Ledger Entry Type",$C$4,"2 Item No.","@@"&amp;$F1117,"3 Posting Date",U$9)-NL("Sum","5802 Value Entry","43 Cost Amount (Actual)","41 Source Type",$C$5,"5 Source no.",$C1117,"4 Item Ledger Entry Type",$C$4,"2 Item No.","@@"&amp;$F1117,"3 Posting Date",U$9)</t>
  </si>
  <si>
    <t>=U1117-W1117</t>
  </si>
  <si>
    <t>=IF(U1117&lt;&gt;0,X1117/U1117,"")</t>
  </si>
  <si>
    <t>=NL("Sum","5802 Value Entry","150 Sales Amount (Expected)","41 Source Type",$C$5,"5 Source No.",$C1117,"4 Item Ledger Entry Type",$C$4,"2 Item No.","@@"&amp;$F1117,"3 Posting Date",Z$9)+NL("Sum","5802 Value Entry","17 Sales Amount (Actual)","41 Source Type",$C$5,"5 Source no.",$C1117,"4 Item Ledger Entry Type",$C$4,"2 Item No.","@@"&amp;$F1117,"3 Posting Date",Z$9)</t>
  </si>
  <si>
    <t>=-NL("Sum","5802 Value Entry","151 Cost Amount (Expected)","41 Source Type",$C$5,"5 Source No.",$C1117,"4 Item Ledger Entry Type",$C$4,"2 Item No.","@@"&amp;$F1117,"3 Posting Date",Z$9)-NL("Sum","5802 Value Entry","43 Cost Amount (Actual)","41 Source Type",$C$5,"5 Source no.",$C1117,"4 Item Ledger Entry Type",$C$4,"2 Item No.","@@"&amp;$F1117,"3 Posting Date",Z$9)</t>
  </si>
  <si>
    <t>=Z1117-AB1117</t>
  </si>
  <si>
    <t>=IF(Z1117&lt;&gt;0,AC1117/Z1117,"")</t>
  </si>
  <si>
    <t>=C1117</t>
  </si>
  <si>
    <t>=NL("Sum","5802 Value Entry","150 Sales Amount (Expected)","41 Source Type",$C$5,"5 Source No.",$C1118,"4 Item Ledger Entry Type",$C$4,"2 Item No.","@@"&amp;$F1118,"3 Posting Date",J$9)+NL("Sum","5802 Value Entry","17 Sales Amount (Actual)","41 Source Type",$C$5,"5 Source no.",$C1118,"4 Item Ledger Entry Type",$C$4,"2 Item No.","@@"&amp;$F1118,"3 Posting Date",J$9)</t>
  </si>
  <si>
    <t>=-NL("Sum","5802 Value Entry","151 Cost Amount (Expected)","41 Source Type",$C$5,"5 Source No.",$C1118,"4 Item Ledger Entry Type",$C$4,"2 Item No.","@@"&amp;$F1118,"3 Posting Date",J$9)-NL("Sum","5802 Value Entry","43 Cost Amount (Actual)","41 Source Type",$C$5,"5 Source no.",$C1118,"4 Item Ledger Entry Type",$C$4,"2 Item No.","@@"&amp;$F1118,"3 Posting Date",J$9)</t>
  </si>
  <si>
    <t>=J1118-L1118</t>
  </si>
  <si>
    <t>=IF(J1118&lt;&gt;0,M1118/J1118,"")</t>
  </si>
  <si>
    <t>=NL("Sum","5802 Value Entry","150 Sales Amount (Expected)","41 Source Type",$C$5,"5 Source No.",$C1118,"4 Item Ledger Entry Type",$C$4,"2 Item No.","@@"&amp;$F1118,"3 Posting Date",O$9)+NL("Sum","5802 Value Entry","17 Sales Amount (Actual)","41 Source Type",$C$5,"5 Source no.",$C1118,"4 Item Ledger Entry Type",$C$4,"2 Item No.","@@"&amp;$F1118,"3 Posting Date",O$9)</t>
  </si>
  <si>
    <t>=-NL("Sum","5802 Value Entry","151 Cost Amount (Expected)","41 Source Type",$C$5,"5 Source No.",$C1118,"4 Item Ledger Entry Type",$C$4,"2 Item No.","@@"&amp;$F1118,"3 Posting Date",O$9)-NL("Sum","5802 Value Entry","43 Cost Amount (Actual)","41 Source Type",$C$5,"5 Source no.",$C1118,"4 Item Ledger Entry Type",$C$4,"2 Item No.","@@"&amp;$F1118,"3 Posting Date",O$9)</t>
  </si>
  <si>
    <t>=O1118-Q1118</t>
  </si>
  <si>
    <t>=IF(O1118&lt;&gt;0,R1118/O1118,"")</t>
  </si>
  <si>
    <t>=NL("Sum","5802 Value Entry","150 Sales Amount (Expected)","41 Source Type",$C$5,"5 Source No.",$C1118,"4 Item Ledger Entry Type",$C$4,"2 Item No.","@@"&amp;$F1118,"3 Posting Date",U$9)+NL("Sum","5802 Value Entry","17 Sales Amount (Actual)","41 Source Type",$C$5,"5 Source no.",$C1118,"4 Item Ledger Entry Type",$C$4,"2 Item No.","@@"&amp;$F1118,"3 Posting Date",U$9)</t>
  </si>
  <si>
    <t>=-NL("Sum","5802 Value Entry","151 Cost Amount (Expected)","41 Source Type",$C$5,"5 Source No.",$C1118,"4 Item Ledger Entry Type",$C$4,"2 Item No.","@@"&amp;$F1118,"3 Posting Date",U$9)-NL("Sum","5802 Value Entry","43 Cost Amount (Actual)","41 Source Type",$C$5,"5 Source no.",$C1118,"4 Item Ledger Entry Type",$C$4,"2 Item No.","@@"&amp;$F1118,"3 Posting Date",U$9)</t>
  </si>
  <si>
    <t>=U1118-W1118</t>
  </si>
  <si>
    <t>=IF(U1118&lt;&gt;0,X1118/U1118,"")</t>
  </si>
  <si>
    <t>=NL("Sum","5802 Value Entry","150 Sales Amount (Expected)","41 Source Type",$C$5,"5 Source No.",$C1118,"4 Item Ledger Entry Type",$C$4,"2 Item No.","@@"&amp;$F1118,"3 Posting Date",Z$9)+NL("Sum","5802 Value Entry","17 Sales Amount (Actual)","41 Source Type",$C$5,"5 Source no.",$C1118,"4 Item Ledger Entry Type",$C$4,"2 Item No.","@@"&amp;$F1118,"3 Posting Date",Z$9)</t>
  </si>
  <si>
    <t>=-NL("Sum","5802 Value Entry","151 Cost Amount (Expected)","41 Source Type",$C$5,"5 Source No.",$C1118,"4 Item Ledger Entry Type",$C$4,"2 Item No.","@@"&amp;$F1118,"3 Posting Date",Z$9)-NL("Sum","5802 Value Entry","43 Cost Amount (Actual)","41 Source Type",$C$5,"5 Source no.",$C1118,"4 Item Ledger Entry Type",$C$4,"2 Item No.","@@"&amp;$F1118,"3 Posting Date",Z$9)</t>
  </si>
  <si>
    <t>=Z1118-AB1118</t>
  </si>
  <si>
    <t>=IF(Z1118&lt;&gt;0,AC1118/Z1118,"")</t>
  </si>
  <si>
    <t>=NL("Sum","5802 Value Entry","150 Sales Amount (Expected)","41 Source Type",$C$5,"5 Source No.",$C1119,"4 Item Ledger Entry Type",$C$4,"2 Item No.","@@"&amp;$F1119,"3 Posting Date",J$9)+NL("Sum","5802 Value Entry","17 Sales Amount (Actual)","41 Source Type",$C$5,"5 Source no.",$C1119,"4 Item Ledger Entry Type",$C$4,"2 Item No.","@@"&amp;$F1119,"3 Posting Date",J$9)</t>
  </si>
  <si>
    <t>=-NL("Sum","5802 Value Entry","151 Cost Amount (Expected)","41 Source Type",$C$5,"5 Source No.",$C1119,"4 Item Ledger Entry Type",$C$4,"2 Item No.","@@"&amp;$F1119,"3 Posting Date",J$9)-NL("Sum","5802 Value Entry","43 Cost Amount (Actual)","41 Source Type",$C$5,"5 Source no.",$C1119,"4 Item Ledger Entry Type",$C$4,"2 Item No.","@@"&amp;$F1119,"3 Posting Date",J$9)</t>
  </si>
  <si>
    <t>=J1119-L1119</t>
  </si>
  <si>
    <t>=IF(J1119&lt;&gt;0,M1119/J1119,"")</t>
  </si>
  <si>
    <t>=NL("Sum","5802 Value Entry","150 Sales Amount (Expected)","41 Source Type",$C$5,"5 Source No.",$C1119,"4 Item Ledger Entry Type",$C$4,"2 Item No.","@@"&amp;$F1119,"3 Posting Date",O$9)+NL("Sum","5802 Value Entry","17 Sales Amount (Actual)","41 Source Type",$C$5,"5 Source no.",$C1119,"4 Item Ledger Entry Type",$C$4,"2 Item No.","@@"&amp;$F1119,"3 Posting Date",O$9)</t>
  </si>
  <si>
    <t>=-NL("Sum","5802 Value Entry","151 Cost Amount (Expected)","41 Source Type",$C$5,"5 Source No.",$C1119,"4 Item Ledger Entry Type",$C$4,"2 Item No.","@@"&amp;$F1119,"3 Posting Date",O$9)-NL("Sum","5802 Value Entry","43 Cost Amount (Actual)","41 Source Type",$C$5,"5 Source no.",$C1119,"4 Item Ledger Entry Type",$C$4,"2 Item No.","@@"&amp;$F1119,"3 Posting Date",O$9)</t>
  </si>
  <si>
    <t>=O1119-Q1119</t>
  </si>
  <si>
    <t>=IF(O1119&lt;&gt;0,R1119/O1119,"")</t>
  </si>
  <si>
    <t>=NL("Sum","5802 Value Entry","150 Sales Amount (Expected)","41 Source Type",$C$5,"5 Source No.",$C1119,"4 Item Ledger Entry Type",$C$4,"2 Item No.","@@"&amp;$F1119,"3 Posting Date",U$9)+NL("Sum","5802 Value Entry","17 Sales Amount (Actual)","41 Source Type",$C$5,"5 Source no.",$C1119,"4 Item Ledger Entry Type",$C$4,"2 Item No.","@@"&amp;$F1119,"3 Posting Date",U$9)</t>
  </si>
  <si>
    <t>=-NL("Sum","5802 Value Entry","151 Cost Amount (Expected)","41 Source Type",$C$5,"5 Source No.",$C1119,"4 Item Ledger Entry Type",$C$4,"2 Item No.","@@"&amp;$F1119,"3 Posting Date",U$9)-NL("Sum","5802 Value Entry","43 Cost Amount (Actual)","41 Source Type",$C$5,"5 Source no.",$C1119,"4 Item Ledger Entry Type",$C$4,"2 Item No.","@@"&amp;$F1119,"3 Posting Date",U$9)</t>
  </si>
  <si>
    <t>=U1119-W1119</t>
  </si>
  <si>
    <t>=IF(U1119&lt;&gt;0,X1119/U1119,"")</t>
  </si>
  <si>
    <t>=NL("Sum","5802 Value Entry","150 Sales Amount (Expected)","41 Source Type",$C$5,"5 Source No.",$C1119,"4 Item Ledger Entry Type",$C$4,"2 Item No.","@@"&amp;$F1119,"3 Posting Date",Z$9)+NL("Sum","5802 Value Entry","17 Sales Amount (Actual)","41 Source Type",$C$5,"5 Source no.",$C1119,"4 Item Ledger Entry Type",$C$4,"2 Item No.","@@"&amp;$F1119,"3 Posting Date",Z$9)</t>
  </si>
  <si>
    <t>=-NL("Sum","5802 Value Entry","151 Cost Amount (Expected)","41 Source Type",$C$5,"5 Source No.",$C1119,"4 Item Ledger Entry Type",$C$4,"2 Item No.","@@"&amp;$F1119,"3 Posting Date",Z$9)-NL("Sum","5802 Value Entry","43 Cost Amount (Actual)","41 Source Type",$C$5,"5 Source no.",$C1119,"4 Item Ledger Entry Type",$C$4,"2 Item No.","@@"&amp;$F1119,"3 Posting Date",Z$9)</t>
  </si>
  <si>
    <t>=Z1119-AB1119</t>
  </si>
  <si>
    <t>=IF(Z1119&lt;&gt;0,AC1119/Z1119,"")</t>
  </si>
  <si>
    <t>=NL("Sum","5802 Value Entry","150 Sales Amount (Expected)","41 Source Type",$C$5,"5 Source No.",$C1121,"4 Item Ledger Entry Type",$C$4,"2 Item No.","@@"&amp;$F1121,"3 Posting Date",J$9)+NL("Sum","5802 Value Entry","17 Sales Amount (Actual)","41 Source Type",$C$5,"5 Source no.",$C1121,"4 Item Ledger Entry Type",$C$4,"2 Item No.","@@"&amp;$F1121,"3 Posting Date",J$9)</t>
  </si>
  <si>
    <t>=-NL("Sum","5802 Value Entry","151 Cost Amount (Expected)","41 Source Type",$C$5,"5 Source No.",$C1121,"4 Item Ledger Entry Type",$C$4,"2 Item No.","@@"&amp;$F1121,"3 Posting Date",J$9)-NL("Sum","5802 Value Entry","43 Cost Amount (Actual)","41 Source Type",$C$5,"5 Source no.",$C1121,"4 Item Ledger Entry Type",$C$4,"2 Item No.","@@"&amp;$F1121,"3 Posting Date",J$9)</t>
  </si>
  <si>
    <t>=J1121-L1121</t>
  </si>
  <si>
    <t>=IF(J1121&lt;&gt;0,M1121/J1121,"")</t>
  </si>
  <si>
    <t>=NL("Sum","5802 Value Entry","150 Sales Amount (Expected)","41 Source Type",$C$5,"5 Source No.",$C1121,"4 Item Ledger Entry Type",$C$4,"2 Item No.","@@"&amp;$F1121,"3 Posting Date",O$9)+NL("Sum","5802 Value Entry","17 Sales Amount (Actual)","41 Source Type",$C$5,"5 Source no.",$C1121,"4 Item Ledger Entry Type",$C$4,"2 Item No.","@@"&amp;$F1121,"3 Posting Date",O$9)</t>
  </si>
  <si>
    <t>=-NL("Sum","5802 Value Entry","151 Cost Amount (Expected)","41 Source Type",$C$5,"5 Source No.",$C1121,"4 Item Ledger Entry Type",$C$4,"2 Item No.","@@"&amp;$F1121,"3 Posting Date",O$9)-NL("Sum","5802 Value Entry","43 Cost Amount (Actual)","41 Source Type",$C$5,"5 Source no.",$C1121,"4 Item Ledger Entry Type",$C$4,"2 Item No.","@@"&amp;$F1121,"3 Posting Date",O$9)</t>
  </si>
  <si>
    <t>=O1121-Q1121</t>
  </si>
  <si>
    <t>=IF(O1121&lt;&gt;0,R1121/O1121,"")</t>
  </si>
  <si>
    <t>=NL("Sum","5802 Value Entry","150 Sales Amount (Expected)","41 Source Type",$C$5,"5 Source No.",$C1121,"4 Item Ledger Entry Type",$C$4,"2 Item No.","@@"&amp;$F1121,"3 Posting Date",U$9)+NL("Sum","5802 Value Entry","17 Sales Amount (Actual)","41 Source Type",$C$5,"5 Source no.",$C1121,"4 Item Ledger Entry Type",$C$4,"2 Item No.","@@"&amp;$F1121,"3 Posting Date",U$9)</t>
  </si>
  <si>
    <t>=-NL("Sum","5802 Value Entry","151 Cost Amount (Expected)","41 Source Type",$C$5,"5 Source No.",$C1121,"4 Item Ledger Entry Type",$C$4,"2 Item No.","@@"&amp;$F1121,"3 Posting Date",U$9)-NL("Sum","5802 Value Entry","43 Cost Amount (Actual)","41 Source Type",$C$5,"5 Source no.",$C1121,"4 Item Ledger Entry Type",$C$4,"2 Item No.","@@"&amp;$F1121,"3 Posting Date",U$9)</t>
  </si>
  <si>
    <t>=U1121-W1121</t>
  </si>
  <si>
    <t>=IF(U1121&lt;&gt;0,X1121/U1121,"")</t>
  </si>
  <si>
    <t>=NL("Sum","5802 Value Entry","150 Sales Amount (Expected)","41 Source Type",$C$5,"5 Source No.",$C1121,"4 Item Ledger Entry Type",$C$4,"2 Item No.","@@"&amp;$F1121,"3 Posting Date",Z$9)+NL("Sum","5802 Value Entry","17 Sales Amount (Actual)","41 Source Type",$C$5,"5 Source no.",$C1121,"4 Item Ledger Entry Type",$C$4,"2 Item No.","@@"&amp;$F1121,"3 Posting Date",Z$9)</t>
  </si>
  <si>
    <t>=-NL("Sum","5802 Value Entry","151 Cost Amount (Expected)","41 Source Type",$C$5,"5 Source No.",$C1121,"4 Item Ledger Entry Type",$C$4,"2 Item No.","@@"&amp;$F1121,"3 Posting Date",Z$9)-NL("Sum","5802 Value Entry","43 Cost Amount (Actual)","41 Source Type",$C$5,"5 Source no.",$C1121,"4 Item Ledger Entry Type",$C$4,"2 Item No.","@@"&amp;$F1121,"3 Posting Date",Z$9)</t>
  </si>
  <si>
    <t>=Z1121-AB1121</t>
  </si>
  <si>
    <t>=IF(Z1121&lt;&gt;0,AC1121/Z1121,"")</t>
  </si>
  <si>
    <t>=NL("Sum","5802 Value Entry","150 Sales Amount (Expected)","41 Source Type",$C$5,"5 Source No.",$C1122,"4 Item Ledger Entry Type",$C$4,"2 Item No.","@@"&amp;$F1122,"3 Posting Date",J$9)+NL("Sum","5802 Value Entry","17 Sales Amount (Actual)","41 Source Type",$C$5,"5 Source no.",$C1122,"4 Item Ledger Entry Type",$C$4,"2 Item No.","@@"&amp;$F1122,"3 Posting Date",J$9)</t>
  </si>
  <si>
    <t>=-NL("Sum","5802 Value Entry","151 Cost Amount (Expected)","41 Source Type",$C$5,"5 Source No.",$C1122,"4 Item Ledger Entry Type",$C$4,"2 Item No.","@@"&amp;$F1122,"3 Posting Date",J$9)-NL("Sum","5802 Value Entry","43 Cost Amount (Actual)","41 Source Type",$C$5,"5 Source no.",$C1122,"4 Item Ledger Entry Type",$C$4,"2 Item No.","@@"&amp;$F1122,"3 Posting Date",J$9)</t>
  </si>
  <si>
    <t>=NL("Sum","5802 Value Entry","150 Sales Amount (Expected)","41 Source Type",$C$5,"5 Source No.",$C1122,"4 Item Ledger Entry Type",$C$4,"2 Item No.","@@"&amp;$F1122,"3 Posting Date",O$9)+NL("Sum","5802 Value Entry","17 Sales Amount (Actual)","41 Source Type",$C$5,"5 Source no.",$C1122,"4 Item Ledger Entry Type",$C$4,"2 Item No.","@@"&amp;$F1122,"3 Posting Date",O$9)</t>
  </si>
  <si>
    <t>=-NL("Sum","5802 Value Entry","151 Cost Amount (Expected)","41 Source Type",$C$5,"5 Source No.",$C1122,"4 Item Ledger Entry Type",$C$4,"2 Item No.","@@"&amp;$F1122,"3 Posting Date",O$9)-NL("Sum","5802 Value Entry","43 Cost Amount (Actual)","41 Source Type",$C$5,"5 Source no.",$C1122,"4 Item Ledger Entry Type",$C$4,"2 Item No.","@@"&amp;$F1122,"3 Posting Date",O$9)</t>
  </si>
  <si>
    <t>=NL("Sum","5802 Value Entry","150 Sales Amount (Expected)","41 Source Type",$C$5,"5 Source No.",$C1122,"4 Item Ledger Entry Type",$C$4,"2 Item No.","@@"&amp;$F1122,"3 Posting Date",U$9)+NL("Sum","5802 Value Entry","17 Sales Amount (Actual)","41 Source Type",$C$5,"5 Source no.",$C1122,"4 Item Ledger Entry Type",$C$4,"2 Item No.","@@"&amp;$F1122,"3 Posting Date",U$9)</t>
  </si>
  <si>
    <t>=-NL("Sum","5802 Value Entry","151 Cost Amount (Expected)","41 Source Type",$C$5,"5 Source No.",$C1122,"4 Item Ledger Entry Type",$C$4,"2 Item No.","@@"&amp;$F1122,"3 Posting Date",U$9)-NL("Sum","5802 Value Entry","43 Cost Amount (Actual)","41 Source Type",$C$5,"5 Source no.",$C1122,"4 Item Ledger Entry Type",$C$4,"2 Item No.","@@"&amp;$F1122,"3 Posting Date",U$9)</t>
  </si>
  <si>
    <t>=NL("Sum","5802 Value Entry","150 Sales Amount (Expected)","41 Source Type",$C$5,"5 Source No.",$C1122,"4 Item Ledger Entry Type",$C$4,"2 Item No.","@@"&amp;$F1122,"3 Posting Date",Z$9)+NL("Sum","5802 Value Entry","17 Sales Amount (Actual)","41 Source Type",$C$5,"5 Source no.",$C1122,"4 Item Ledger Entry Type",$C$4,"2 Item No.","@@"&amp;$F1122,"3 Posting Date",Z$9)</t>
  </si>
  <si>
    <t>=-NL("Sum","5802 Value Entry","151 Cost Amount (Expected)","41 Source Type",$C$5,"5 Source No.",$C1122,"4 Item Ledger Entry Type",$C$4,"2 Item No.","@@"&amp;$F1122,"3 Posting Date",Z$9)-NL("Sum","5802 Value Entry","43 Cost Amount (Actual)","41 Source Type",$C$5,"5 Source no.",$C1122,"4 Item Ledger Entry Type",$C$4,"2 Item No.","@@"&amp;$F1122,"3 Posting Date",Z$9)</t>
  </si>
  <si>
    <t>=C1122</t>
  </si>
  <si>
    <t>=NL("Sum","5802 Value Entry","150 Sales Amount (Expected)","41 Source Type",$C$5,"5 Source No.",$C1123,"4 Item Ledger Entry Type",$C$4,"2 Item No.","@@"&amp;$F1123,"3 Posting Date",J$9)+NL("Sum","5802 Value Entry","17 Sales Amount (Actual)","41 Source Type",$C$5,"5 Source no.",$C1123,"4 Item Ledger Entry Type",$C$4,"2 Item No.","@@"&amp;$F1123,"3 Posting Date",J$9)</t>
  </si>
  <si>
    <t>=-NL("Sum","5802 Value Entry","151 Cost Amount (Expected)","41 Source Type",$C$5,"5 Source No.",$C1123,"4 Item Ledger Entry Type",$C$4,"2 Item No.","@@"&amp;$F1123,"3 Posting Date",J$9)-NL("Sum","5802 Value Entry","43 Cost Amount (Actual)","41 Source Type",$C$5,"5 Source no.",$C1123,"4 Item Ledger Entry Type",$C$4,"2 Item No.","@@"&amp;$F1123,"3 Posting Date",J$9)</t>
  </si>
  <si>
    <t>=J1123-L1123</t>
  </si>
  <si>
    <t>=IF(J1123&lt;&gt;0,M1123/J1123,"")</t>
  </si>
  <si>
    <t>=NL("Sum","5802 Value Entry","150 Sales Amount (Expected)","41 Source Type",$C$5,"5 Source No.",$C1123,"4 Item Ledger Entry Type",$C$4,"2 Item No.","@@"&amp;$F1123,"3 Posting Date",O$9)+NL("Sum","5802 Value Entry","17 Sales Amount (Actual)","41 Source Type",$C$5,"5 Source no.",$C1123,"4 Item Ledger Entry Type",$C$4,"2 Item No.","@@"&amp;$F1123,"3 Posting Date",O$9)</t>
  </si>
  <si>
    <t>=-NL("Sum","5802 Value Entry","151 Cost Amount (Expected)","41 Source Type",$C$5,"5 Source No.",$C1123,"4 Item Ledger Entry Type",$C$4,"2 Item No.","@@"&amp;$F1123,"3 Posting Date",O$9)-NL("Sum","5802 Value Entry","43 Cost Amount (Actual)","41 Source Type",$C$5,"5 Source no.",$C1123,"4 Item Ledger Entry Type",$C$4,"2 Item No.","@@"&amp;$F1123,"3 Posting Date",O$9)</t>
  </si>
  <si>
    <t>=O1123-Q1123</t>
  </si>
  <si>
    <t>=IF(O1123&lt;&gt;0,R1123/O1123,"")</t>
  </si>
  <si>
    <t>=NL("Sum","5802 Value Entry","150 Sales Amount (Expected)","41 Source Type",$C$5,"5 Source No.",$C1123,"4 Item Ledger Entry Type",$C$4,"2 Item No.","@@"&amp;$F1123,"3 Posting Date",U$9)+NL("Sum","5802 Value Entry","17 Sales Amount (Actual)","41 Source Type",$C$5,"5 Source no.",$C1123,"4 Item Ledger Entry Type",$C$4,"2 Item No.","@@"&amp;$F1123,"3 Posting Date",U$9)</t>
  </si>
  <si>
    <t>=-NL("Sum","5802 Value Entry","151 Cost Amount (Expected)","41 Source Type",$C$5,"5 Source No.",$C1123,"4 Item Ledger Entry Type",$C$4,"2 Item No.","@@"&amp;$F1123,"3 Posting Date",U$9)-NL("Sum","5802 Value Entry","43 Cost Amount (Actual)","41 Source Type",$C$5,"5 Source no.",$C1123,"4 Item Ledger Entry Type",$C$4,"2 Item No.","@@"&amp;$F1123,"3 Posting Date",U$9)</t>
  </si>
  <si>
    <t>=U1123-W1123</t>
  </si>
  <si>
    <t>=IF(U1123&lt;&gt;0,X1123/U1123,"")</t>
  </si>
  <si>
    <t>=NL("Sum","5802 Value Entry","150 Sales Amount (Expected)","41 Source Type",$C$5,"5 Source No.",$C1123,"4 Item Ledger Entry Type",$C$4,"2 Item No.","@@"&amp;$F1123,"3 Posting Date",Z$9)+NL("Sum","5802 Value Entry","17 Sales Amount (Actual)","41 Source Type",$C$5,"5 Source no.",$C1123,"4 Item Ledger Entry Type",$C$4,"2 Item No.","@@"&amp;$F1123,"3 Posting Date",Z$9)</t>
  </si>
  <si>
    <t>=-NL("Sum","5802 Value Entry","151 Cost Amount (Expected)","41 Source Type",$C$5,"5 Source No.",$C1123,"4 Item Ledger Entry Type",$C$4,"2 Item No.","@@"&amp;$F1123,"3 Posting Date",Z$9)-NL("Sum","5802 Value Entry","43 Cost Amount (Actual)","41 Source Type",$C$5,"5 Source no.",$C1123,"4 Item Ledger Entry Type",$C$4,"2 Item No.","@@"&amp;$F1123,"3 Posting Date",Z$9)</t>
  </si>
  <si>
    <t>=Z1123-AB1123</t>
  </si>
  <si>
    <t>=IF(Z1123&lt;&gt;0,AC1123/Z1123,"")</t>
  </si>
  <si>
    <t>=C1123</t>
  </si>
  <si>
    <t>=NL("Sum","5802 Value Entry","150 Sales Amount (Expected)","41 Source Type",$C$5,"5 Source No.",$C1124,"4 Item Ledger Entry Type",$C$4,"2 Item No.","@@"&amp;$F1124,"3 Posting Date",J$9)+NL("Sum","5802 Value Entry","17 Sales Amount (Actual)","41 Source Type",$C$5,"5 Source no.",$C1124,"4 Item Ledger Entry Type",$C$4,"2 Item No.","@@"&amp;$F1124,"3 Posting Date",J$9)</t>
  </si>
  <si>
    <t>=-NL("Sum","5802 Value Entry","151 Cost Amount (Expected)","41 Source Type",$C$5,"5 Source No.",$C1124,"4 Item Ledger Entry Type",$C$4,"2 Item No.","@@"&amp;$F1124,"3 Posting Date",J$9)-NL("Sum","5802 Value Entry","43 Cost Amount (Actual)","41 Source Type",$C$5,"5 Source no.",$C1124,"4 Item Ledger Entry Type",$C$4,"2 Item No.","@@"&amp;$F1124,"3 Posting Date",J$9)</t>
  </si>
  <si>
    <t>=J1124-L1124</t>
  </si>
  <si>
    <t>=IF(J1124&lt;&gt;0,M1124/J1124,"")</t>
  </si>
  <si>
    <t>=NL("Sum","5802 Value Entry","150 Sales Amount (Expected)","41 Source Type",$C$5,"5 Source No.",$C1124,"4 Item Ledger Entry Type",$C$4,"2 Item No.","@@"&amp;$F1124,"3 Posting Date",O$9)+NL("Sum","5802 Value Entry","17 Sales Amount (Actual)","41 Source Type",$C$5,"5 Source no.",$C1124,"4 Item Ledger Entry Type",$C$4,"2 Item No.","@@"&amp;$F1124,"3 Posting Date",O$9)</t>
  </si>
  <si>
    <t>=-NL("Sum","5802 Value Entry","151 Cost Amount (Expected)","41 Source Type",$C$5,"5 Source No.",$C1124,"4 Item Ledger Entry Type",$C$4,"2 Item No.","@@"&amp;$F1124,"3 Posting Date",O$9)-NL("Sum","5802 Value Entry","43 Cost Amount (Actual)","41 Source Type",$C$5,"5 Source no.",$C1124,"4 Item Ledger Entry Type",$C$4,"2 Item No.","@@"&amp;$F1124,"3 Posting Date",O$9)</t>
  </si>
  <si>
    <t>=O1124-Q1124</t>
  </si>
  <si>
    <t>=IF(O1124&lt;&gt;0,R1124/O1124,"")</t>
  </si>
  <si>
    <t>=NL("Sum","5802 Value Entry","150 Sales Amount (Expected)","41 Source Type",$C$5,"5 Source No.",$C1124,"4 Item Ledger Entry Type",$C$4,"2 Item No.","@@"&amp;$F1124,"3 Posting Date",U$9)+NL("Sum","5802 Value Entry","17 Sales Amount (Actual)","41 Source Type",$C$5,"5 Source no.",$C1124,"4 Item Ledger Entry Type",$C$4,"2 Item No.","@@"&amp;$F1124,"3 Posting Date",U$9)</t>
  </si>
  <si>
    <t>=-NL("Sum","5802 Value Entry","151 Cost Amount (Expected)","41 Source Type",$C$5,"5 Source No.",$C1124,"4 Item Ledger Entry Type",$C$4,"2 Item No.","@@"&amp;$F1124,"3 Posting Date",U$9)-NL("Sum","5802 Value Entry","43 Cost Amount (Actual)","41 Source Type",$C$5,"5 Source no.",$C1124,"4 Item Ledger Entry Type",$C$4,"2 Item No.","@@"&amp;$F1124,"3 Posting Date",U$9)</t>
  </si>
  <si>
    <t>=U1124-W1124</t>
  </si>
  <si>
    <t>=IF(U1124&lt;&gt;0,X1124/U1124,"")</t>
  </si>
  <si>
    <t>=NL("Sum","5802 Value Entry","150 Sales Amount (Expected)","41 Source Type",$C$5,"5 Source No.",$C1124,"4 Item Ledger Entry Type",$C$4,"2 Item No.","@@"&amp;$F1124,"3 Posting Date",Z$9)+NL("Sum","5802 Value Entry","17 Sales Amount (Actual)","41 Source Type",$C$5,"5 Source no.",$C1124,"4 Item Ledger Entry Type",$C$4,"2 Item No.","@@"&amp;$F1124,"3 Posting Date",Z$9)</t>
  </si>
  <si>
    <t>=-NL("Sum","5802 Value Entry","151 Cost Amount (Expected)","41 Source Type",$C$5,"5 Source No.",$C1124,"4 Item Ledger Entry Type",$C$4,"2 Item No.","@@"&amp;$F1124,"3 Posting Date",Z$9)-NL("Sum","5802 Value Entry","43 Cost Amount (Actual)","41 Source Type",$C$5,"5 Source no.",$C1124,"4 Item Ledger Entry Type",$C$4,"2 Item No.","@@"&amp;$F1124,"3 Posting Date",Z$9)</t>
  </si>
  <si>
    <t>=Z1124-AB1124</t>
  </si>
  <si>
    <t>=IF(Z1124&lt;&gt;0,AC1124/Z1124,"")</t>
  </si>
  <si>
    <t>=NL("Sum","5802 Value Entry","150 Sales Amount (Expected)","41 Source Type",$C$5,"5 Source No.",$C1125,"4 Item Ledger Entry Type",$C$4,"2 Item No.","@@"&amp;$F1125,"3 Posting Date",J$9)+NL("Sum","5802 Value Entry","17 Sales Amount (Actual)","41 Source Type",$C$5,"5 Source no.",$C1125,"4 Item Ledger Entry Type",$C$4,"2 Item No.","@@"&amp;$F1125,"3 Posting Date",J$9)</t>
  </si>
  <si>
    <t>=-NL("Sum","5802 Value Entry","151 Cost Amount (Expected)","41 Source Type",$C$5,"5 Source No.",$C1125,"4 Item Ledger Entry Type",$C$4,"2 Item No.","@@"&amp;$F1125,"3 Posting Date",J$9)-NL("Sum","5802 Value Entry","43 Cost Amount (Actual)","41 Source Type",$C$5,"5 Source no.",$C1125,"4 Item Ledger Entry Type",$C$4,"2 Item No.","@@"&amp;$F1125,"3 Posting Date",J$9)</t>
  </si>
  <si>
    <t>=J1125-L1125</t>
  </si>
  <si>
    <t>=IF(J1125&lt;&gt;0,M1125/J1125,"")</t>
  </si>
  <si>
    <t>=NL("Sum","5802 Value Entry","150 Sales Amount (Expected)","41 Source Type",$C$5,"5 Source No.",$C1125,"4 Item Ledger Entry Type",$C$4,"2 Item No.","@@"&amp;$F1125,"3 Posting Date",O$9)+NL("Sum","5802 Value Entry","17 Sales Amount (Actual)","41 Source Type",$C$5,"5 Source no.",$C1125,"4 Item Ledger Entry Type",$C$4,"2 Item No.","@@"&amp;$F1125,"3 Posting Date",O$9)</t>
  </si>
  <si>
    <t>=-NL("Sum","5802 Value Entry","151 Cost Amount (Expected)","41 Source Type",$C$5,"5 Source No.",$C1125,"4 Item Ledger Entry Type",$C$4,"2 Item No.","@@"&amp;$F1125,"3 Posting Date",O$9)-NL("Sum","5802 Value Entry","43 Cost Amount (Actual)","41 Source Type",$C$5,"5 Source no.",$C1125,"4 Item Ledger Entry Type",$C$4,"2 Item No.","@@"&amp;$F1125,"3 Posting Date",O$9)</t>
  </si>
  <si>
    <t>=O1125-Q1125</t>
  </si>
  <si>
    <t>=IF(O1125&lt;&gt;0,R1125/O1125,"")</t>
  </si>
  <si>
    <t>=NL("Sum","5802 Value Entry","150 Sales Amount (Expected)","41 Source Type",$C$5,"5 Source No.",$C1125,"4 Item Ledger Entry Type",$C$4,"2 Item No.","@@"&amp;$F1125,"3 Posting Date",U$9)+NL("Sum","5802 Value Entry","17 Sales Amount (Actual)","41 Source Type",$C$5,"5 Source no.",$C1125,"4 Item Ledger Entry Type",$C$4,"2 Item No.","@@"&amp;$F1125,"3 Posting Date",U$9)</t>
  </si>
  <si>
    <t>=-NL("Sum","5802 Value Entry","151 Cost Amount (Expected)","41 Source Type",$C$5,"5 Source No.",$C1125,"4 Item Ledger Entry Type",$C$4,"2 Item No.","@@"&amp;$F1125,"3 Posting Date",U$9)-NL("Sum","5802 Value Entry","43 Cost Amount (Actual)","41 Source Type",$C$5,"5 Source no.",$C1125,"4 Item Ledger Entry Type",$C$4,"2 Item No.","@@"&amp;$F1125,"3 Posting Date",U$9)</t>
  </si>
  <si>
    <t>=U1125-W1125</t>
  </si>
  <si>
    <t>=IF(U1125&lt;&gt;0,X1125/U1125,"")</t>
  </si>
  <si>
    <t>=NL("Sum","5802 Value Entry","150 Sales Amount (Expected)","41 Source Type",$C$5,"5 Source No.",$C1125,"4 Item Ledger Entry Type",$C$4,"2 Item No.","@@"&amp;$F1125,"3 Posting Date",Z$9)+NL("Sum","5802 Value Entry","17 Sales Amount (Actual)","41 Source Type",$C$5,"5 Source no.",$C1125,"4 Item Ledger Entry Type",$C$4,"2 Item No.","@@"&amp;$F1125,"3 Posting Date",Z$9)</t>
  </si>
  <si>
    <t>=-NL("Sum","5802 Value Entry","151 Cost Amount (Expected)","41 Source Type",$C$5,"5 Source No.",$C1125,"4 Item Ledger Entry Type",$C$4,"2 Item No.","@@"&amp;$F1125,"3 Posting Date",Z$9)-NL("Sum","5802 Value Entry","43 Cost Amount (Actual)","41 Source Type",$C$5,"5 Source no.",$C1125,"4 Item Ledger Entry Type",$C$4,"2 Item No.","@@"&amp;$F1125,"3 Posting Date",Z$9)</t>
  </si>
  <si>
    <t>=Z1125-AB1125</t>
  </si>
  <si>
    <t>=IF(Z1125&lt;&gt;0,AC1125/Z1125,"")</t>
  </si>
  <si>
    <t>=C1137&amp;" TOTAL:"</t>
  </si>
  <si>
    <t>=SUBTOTAL(9,J1114:J1136)</t>
  </si>
  <si>
    <t>=SUBTOTAL(9,K1114:K1136)</t>
  </si>
  <si>
    <t>=SUBTOTAL(9,L1114:L1136)</t>
  </si>
  <si>
    <t>=SUBTOTAL(9,O1114:O1136)</t>
  </si>
  <si>
    <t>=SUBTOTAL(9,P1114:P1136)</t>
  </si>
  <si>
    <t>=SUBTOTAL(9,Q1114:Q1136)</t>
  </si>
  <si>
    <t>=SUBTOTAL(9,U1114:U1136)</t>
  </si>
  <si>
    <t>=SUBTOTAL(9,V1114:V1136)</t>
  </si>
  <si>
    <t>=SUBTOTAL(9,W1114:W1136)</t>
  </si>
  <si>
    <t>=SUBTOTAL(9,Z1114:Z1136)</t>
  </si>
  <si>
    <t>=SUBTOTAL(9,AA1114:AA1136)</t>
  </si>
  <si>
    <t>=SUBTOTAL(9,AB1114:AB1136)</t>
  </si>
  <si>
    <t>=E1139</t>
  </si>
  <si>
    <t>=NL(,"18 Customer","2 Name","1 No.",$E1139)</t>
  </si>
  <si>
    <t>=NL("Rows","5802 Value Entry","2 Item No.","4 Item Ledger Entry Type",$C$4,"41 Source Type",$C$5,"5 Source No.",$C1141,"Item No.",$C$7,"3 Posting Date",$C$10)</t>
  </si>
  <si>
    <t>=C1151&amp;" TOTAL:"</t>
  </si>
  <si>
    <t>=SUBTOTAL(9,J1140:J1150)</t>
  </si>
  <si>
    <t>=SUBTOTAL(9,K1140:K1150)</t>
  </si>
  <si>
    <t>=SUBTOTAL(9,L1140:L1150)</t>
  </si>
  <si>
    <t>=SUBTOTAL(9,O1140:O1150)</t>
  </si>
  <si>
    <t>=SUBTOTAL(9,P1140:P1150)</t>
  </si>
  <si>
    <t>=SUBTOTAL(9,Q1140:Q1150)</t>
  </si>
  <si>
    <t>=SUBTOTAL(9,U1140:U1150)</t>
  </si>
  <si>
    <t>=SUBTOTAL(9,V1140:V1150)</t>
  </si>
  <si>
    <t>=SUBTOTAL(9,W1140:W1150)</t>
  </si>
  <si>
    <t>=SUBTOTAL(9,Z1140:Z1150)</t>
  </si>
  <si>
    <t>=SUBTOTAL(9,AA1140:AA1150)</t>
  </si>
  <si>
    <t>=SUBTOTAL(9,AB1140:AB1150)</t>
  </si>
  <si>
    <t>=E1153</t>
  </si>
  <si>
    <t>=NL(,"18 Customer","2 Name","1 No.",$E1153)</t>
  </si>
  <si>
    <t>=NL("Rows","5802 Value Entry","2 Item No.","4 Item Ledger Entry Type",$C$4,"41 Source Type",$C$5,"5 Source No.",$C1155,"Item No.",$C$7,"3 Posting Date",$C$10)</t>
  </si>
  <si>
    <t>=C1155</t>
  </si>
  <si>
    <t>=NL("Sum","5802 Value Entry","150 Sales Amount (Expected)","41 Source Type",$C$5,"5 Source No.",$C1156,"4 Item Ledger Entry Type",$C$4,"2 Item No.","@@"&amp;$F1156,"3 Posting Date",J$9)+NL("Sum","5802 Value Entry","17 Sales Amount (Actual)","41 Source Type",$C$5,"5 Source no.",$C1156,"4 Item Ledger Entry Type",$C$4,"2 Item No.","@@"&amp;$F1156,"3 Posting Date",J$9)</t>
  </si>
  <si>
    <t>=-NL("Sum","5802 Value Entry","151 Cost Amount (Expected)","41 Source Type",$C$5,"5 Source No.",$C1156,"4 Item Ledger Entry Type",$C$4,"2 Item No.","@@"&amp;$F1156,"3 Posting Date",J$9)-NL("Sum","5802 Value Entry","43 Cost Amount (Actual)","41 Source Type",$C$5,"5 Source no.",$C1156,"4 Item Ledger Entry Type",$C$4,"2 Item No.","@@"&amp;$F1156,"3 Posting Date",J$9)</t>
  </si>
  <si>
    <t>=J1156-L1156</t>
  </si>
  <si>
    <t>=IF(J1156&lt;&gt;0,M1156/J1156,"")</t>
  </si>
  <si>
    <t>=NL("Sum","5802 Value Entry","150 Sales Amount (Expected)","41 Source Type",$C$5,"5 Source No.",$C1156,"4 Item Ledger Entry Type",$C$4,"2 Item No.","@@"&amp;$F1156,"3 Posting Date",O$9)+NL("Sum","5802 Value Entry","17 Sales Amount (Actual)","41 Source Type",$C$5,"5 Source no.",$C1156,"4 Item Ledger Entry Type",$C$4,"2 Item No.","@@"&amp;$F1156,"3 Posting Date",O$9)</t>
  </si>
  <si>
    <t>=-NL("Sum","5802 Value Entry","151 Cost Amount (Expected)","41 Source Type",$C$5,"5 Source No.",$C1156,"4 Item Ledger Entry Type",$C$4,"2 Item No.","@@"&amp;$F1156,"3 Posting Date",O$9)-NL("Sum","5802 Value Entry","43 Cost Amount (Actual)","41 Source Type",$C$5,"5 Source no.",$C1156,"4 Item Ledger Entry Type",$C$4,"2 Item No.","@@"&amp;$F1156,"3 Posting Date",O$9)</t>
  </si>
  <si>
    <t>=O1156-Q1156</t>
  </si>
  <si>
    <t>=IF(O1156&lt;&gt;0,R1156/O1156,"")</t>
  </si>
  <si>
    <t>=NL("Sum","5802 Value Entry","150 Sales Amount (Expected)","41 Source Type",$C$5,"5 Source No.",$C1156,"4 Item Ledger Entry Type",$C$4,"2 Item No.","@@"&amp;$F1156,"3 Posting Date",U$9)+NL("Sum","5802 Value Entry","17 Sales Amount (Actual)","41 Source Type",$C$5,"5 Source no.",$C1156,"4 Item Ledger Entry Type",$C$4,"2 Item No.","@@"&amp;$F1156,"3 Posting Date",U$9)</t>
  </si>
  <si>
    <t>=-NL("Sum","5802 Value Entry","151 Cost Amount (Expected)","41 Source Type",$C$5,"5 Source No.",$C1156,"4 Item Ledger Entry Type",$C$4,"2 Item No.","@@"&amp;$F1156,"3 Posting Date",U$9)-NL("Sum","5802 Value Entry","43 Cost Amount (Actual)","41 Source Type",$C$5,"5 Source no.",$C1156,"4 Item Ledger Entry Type",$C$4,"2 Item No.","@@"&amp;$F1156,"3 Posting Date",U$9)</t>
  </si>
  <si>
    <t>=U1156-W1156</t>
  </si>
  <si>
    <t>=IF(U1156&lt;&gt;0,X1156/U1156,"")</t>
  </si>
  <si>
    <t>=NL("Sum","5802 Value Entry","150 Sales Amount (Expected)","41 Source Type",$C$5,"5 Source No.",$C1156,"4 Item Ledger Entry Type",$C$4,"2 Item No.","@@"&amp;$F1156,"3 Posting Date",Z$9)+NL("Sum","5802 Value Entry","17 Sales Amount (Actual)","41 Source Type",$C$5,"5 Source no.",$C1156,"4 Item Ledger Entry Type",$C$4,"2 Item No.","@@"&amp;$F1156,"3 Posting Date",Z$9)</t>
  </si>
  <si>
    <t>=-NL("Sum","5802 Value Entry","151 Cost Amount (Expected)","41 Source Type",$C$5,"5 Source No.",$C1156,"4 Item Ledger Entry Type",$C$4,"2 Item No.","@@"&amp;$F1156,"3 Posting Date",Z$9)-NL("Sum","5802 Value Entry","43 Cost Amount (Actual)","41 Source Type",$C$5,"5 Source no.",$C1156,"4 Item Ledger Entry Type",$C$4,"2 Item No.","@@"&amp;$F1156,"3 Posting Date",Z$9)</t>
  </si>
  <si>
    <t>=Z1156-AB1156</t>
  </si>
  <si>
    <t>=IF(Z1156&lt;&gt;0,AC1156/Z1156,"")</t>
  </si>
  <si>
    <t>=NL("Sum","5802 Value Entry","150 Sales Amount (Expected)","41 Source Type",$C$5,"5 Source No.",$C1157,"4 Item Ledger Entry Type",$C$4,"2 Item No.","@@"&amp;$F1157,"3 Posting Date",J$9)+NL("Sum","5802 Value Entry","17 Sales Amount (Actual)","41 Source Type",$C$5,"5 Source no.",$C1157,"4 Item Ledger Entry Type",$C$4,"2 Item No.","@@"&amp;$F1157,"3 Posting Date",J$9)</t>
  </si>
  <si>
    <t>=-NL("Sum","5802 Value Entry","151 Cost Amount (Expected)","41 Source Type",$C$5,"5 Source No.",$C1157,"4 Item Ledger Entry Type",$C$4,"2 Item No.","@@"&amp;$F1157,"3 Posting Date",J$9)-NL("Sum","5802 Value Entry","43 Cost Amount (Actual)","41 Source Type",$C$5,"5 Source no.",$C1157,"4 Item Ledger Entry Type",$C$4,"2 Item No.","@@"&amp;$F1157,"3 Posting Date",J$9)</t>
  </si>
  <si>
    <t>=NL("Sum","5802 Value Entry","150 Sales Amount (Expected)","41 Source Type",$C$5,"5 Source No.",$C1157,"4 Item Ledger Entry Type",$C$4,"2 Item No.","@@"&amp;$F1157,"3 Posting Date",O$9)+NL("Sum","5802 Value Entry","17 Sales Amount (Actual)","41 Source Type",$C$5,"5 Source no.",$C1157,"4 Item Ledger Entry Type",$C$4,"2 Item No.","@@"&amp;$F1157,"3 Posting Date",O$9)</t>
  </si>
  <si>
    <t>=-NL("Sum","5802 Value Entry","151 Cost Amount (Expected)","41 Source Type",$C$5,"5 Source No.",$C1157,"4 Item Ledger Entry Type",$C$4,"2 Item No.","@@"&amp;$F1157,"3 Posting Date",O$9)-NL("Sum","5802 Value Entry","43 Cost Amount (Actual)","41 Source Type",$C$5,"5 Source no.",$C1157,"4 Item Ledger Entry Type",$C$4,"2 Item No.","@@"&amp;$F1157,"3 Posting Date",O$9)</t>
  </si>
  <si>
    <t>=NL("Sum","5802 Value Entry","150 Sales Amount (Expected)","41 Source Type",$C$5,"5 Source No.",$C1157,"4 Item Ledger Entry Type",$C$4,"2 Item No.","@@"&amp;$F1157,"3 Posting Date",U$9)+NL("Sum","5802 Value Entry","17 Sales Amount (Actual)","41 Source Type",$C$5,"5 Source no.",$C1157,"4 Item Ledger Entry Type",$C$4,"2 Item No.","@@"&amp;$F1157,"3 Posting Date",U$9)</t>
  </si>
  <si>
    <t>=-NL("Sum","5802 Value Entry","151 Cost Amount (Expected)","41 Source Type",$C$5,"5 Source No.",$C1157,"4 Item Ledger Entry Type",$C$4,"2 Item No.","@@"&amp;$F1157,"3 Posting Date",U$9)-NL("Sum","5802 Value Entry","43 Cost Amount (Actual)","41 Source Type",$C$5,"5 Source no.",$C1157,"4 Item Ledger Entry Type",$C$4,"2 Item No.","@@"&amp;$F1157,"3 Posting Date",U$9)</t>
  </si>
  <si>
    <t>=NL("Sum","5802 Value Entry","150 Sales Amount (Expected)","41 Source Type",$C$5,"5 Source No.",$C1157,"4 Item Ledger Entry Type",$C$4,"2 Item No.","@@"&amp;$F1157,"3 Posting Date",Z$9)+NL("Sum","5802 Value Entry","17 Sales Amount (Actual)","41 Source Type",$C$5,"5 Source no.",$C1157,"4 Item Ledger Entry Type",$C$4,"2 Item No.","@@"&amp;$F1157,"3 Posting Date",Z$9)</t>
  </si>
  <si>
    <t>=-NL("Sum","5802 Value Entry","151 Cost Amount (Expected)","41 Source Type",$C$5,"5 Source No.",$C1157,"4 Item Ledger Entry Type",$C$4,"2 Item No.","@@"&amp;$F1157,"3 Posting Date",Z$9)-NL("Sum","5802 Value Entry","43 Cost Amount (Actual)","41 Source Type",$C$5,"5 Source no.",$C1157,"4 Item Ledger Entry Type",$C$4,"2 Item No.","@@"&amp;$F1157,"3 Posting Date",Z$9)</t>
  </si>
  <si>
    <t>=C1157</t>
  </si>
  <si>
    <t>=NL("Sum","5802 Value Entry","150 Sales Amount (Expected)","41 Source Type",$C$5,"5 Source No.",$C1158,"4 Item Ledger Entry Type",$C$4,"2 Item No.","@@"&amp;$F1158,"3 Posting Date",J$9)+NL("Sum","5802 Value Entry","17 Sales Amount (Actual)","41 Source Type",$C$5,"5 Source no.",$C1158,"4 Item Ledger Entry Type",$C$4,"2 Item No.","@@"&amp;$F1158,"3 Posting Date",J$9)</t>
  </si>
  <si>
    <t>=-NL("Sum","5802 Value Entry","151 Cost Amount (Expected)","41 Source Type",$C$5,"5 Source No.",$C1158,"4 Item Ledger Entry Type",$C$4,"2 Item No.","@@"&amp;$F1158,"3 Posting Date",J$9)-NL("Sum","5802 Value Entry","43 Cost Amount (Actual)","41 Source Type",$C$5,"5 Source no.",$C1158,"4 Item Ledger Entry Type",$C$4,"2 Item No.","@@"&amp;$F1158,"3 Posting Date",J$9)</t>
  </si>
  <si>
    <t>=J1158-L1158</t>
  </si>
  <si>
    <t>=IF(J1158&lt;&gt;0,M1158/J1158,"")</t>
  </si>
  <si>
    <t>=NL("Sum","5802 Value Entry","150 Sales Amount (Expected)","41 Source Type",$C$5,"5 Source No.",$C1158,"4 Item Ledger Entry Type",$C$4,"2 Item No.","@@"&amp;$F1158,"3 Posting Date",O$9)+NL("Sum","5802 Value Entry","17 Sales Amount (Actual)","41 Source Type",$C$5,"5 Source no.",$C1158,"4 Item Ledger Entry Type",$C$4,"2 Item No.","@@"&amp;$F1158,"3 Posting Date",O$9)</t>
  </si>
  <si>
    <t>=-NL("Sum","5802 Value Entry","151 Cost Amount (Expected)","41 Source Type",$C$5,"5 Source No.",$C1158,"4 Item Ledger Entry Type",$C$4,"2 Item No.","@@"&amp;$F1158,"3 Posting Date",O$9)-NL("Sum","5802 Value Entry","43 Cost Amount (Actual)","41 Source Type",$C$5,"5 Source no.",$C1158,"4 Item Ledger Entry Type",$C$4,"2 Item No.","@@"&amp;$F1158,"3 Posting Date",O$9)</t>
  </si>
  <si>
    <t>=O1158-Q1158</t>
  </si>
  <si>
    <t>=IF(O1158&lt;&gt;0,R1158/O1158,"")</t>
  </si>
  <si>
    <t>=NL("Sum","5802 Value Entry","150 Sales Amount (Expected)","41 Source Type",$C$5,"5 Source No.",$C1158,"4 Item Ledger Entry Type",$C$4,"2 Item No.","@@"&amp;$F1158,"3 Posting Date",U$9)+NL("Sum","5802 Value Entry","17 Sales Amount (Actual)","41 Source Type",$C$5,"5 Source no.",$C1158,"4 Item Ledger Entry Type",$C$4,"2 Item No.","@@"&amp;$F1158,"3 Posting Date",U$9)</t>
  </si>
  <si>
    <t>=-NL("Sum","5802 Value Entry","151 Cost Amount (Expected)","41 Source Type",$C$5,"5 Source No.",$C1158,"4 Item Ledger Entry Type",$C$4,"2 Item No.","@@"&amp;$F1158,"3 Posting Date",U$9)-NL("Sum","5802 Value Entry","43 Cost Amount (Actual)","41 Source Type",$C$5,"5 Source no.",$C1158,"4 Item Ledger Entry Type",$C$4,"2 Item No.","@@"&amp;$F1158,"3 Posting Date",U$9)</t>
  </si>
  <si>
    <t>=U1158-W1158</t>
  </si>
  <si>
    <t>=IF(U1158&lt;&gt;0,X1158/U1158,"")</t>
  </si>
  <si>
    <t>=NL("Sum","5802 Value Entry","150 Sales Amount (Expected)","41 Source Type",$C$5,"5 Source No.",$C1158,"4 Item Ledger Entry Type",$C$4,"2 Item No.","@@"&amp;$F1158,"3 Posting Date",Z$9)+NL("Sum","5802 Value Entry","17 Sales Amount (Actual)","41 Source Type",$C$5,"5 Source no.",$C1158,"4 Item Ledger Entry Type",$C$4,"2 Item No.","@@"&amp;$F1158,"3 Posting Date",Z$9)</t>
  </si>
  <si>
    <t>=-NL("Sum","5802 Value Entry","151 Cost Amount (Expected)","41 Source Type",$C$5,"5 Source No.",$C1158,"4 Item Ledger Entry Type",$C$4,"2 Item No.","@@"&amp;$F1158,"3 Posting Date",Z$9)-NL("Sum","5802 Value Entry","43 Cost Amount (Actual)","41 Source Type",$C$5,"5 Source no.",$C1158,"4 Item Ledger Entry Type",$C$4,"2 Item No.","@@"&amp;$F1158,"3 Posting Date",Z$9)</t>
  </si>
  <si>
    <t>=Z1158-AB1158</t>
  </si>
  <si>
    <t>=IF(Z1158&lt;&gt;0,AC1158/Z1158,"")</t>
  </si>
  <si>
    <t>=C1158</t>
  </si>
  <si>
    <t>=NL("Sum","5802 Value Entry","150 Sales Amount (Expected)","41 Source Type",$C$5,"5 Source No.",$C1159,"4 Item Ledger Entry Type",$C$4,"2 Item No.","@@"&amp;$F1159,"3 Posting Date",J$9)+NL("Sum","5802 Value Entry","17 Sales Amount (Actual)","41 Source Type",$C$5,"5 Source no.",$C1159,"4 Item Ledger Entry Type",$C$4,"2 Item No.","@@"&amp;$F1159,"3 Posting Date",J$9)</t>
  </si>
  <si>
    <t>=-NL("Sum","5802 Value Entry","151 Cost Amount (Expected)","41 Source Type",$C$5,"5 Source No.",$C1159,"4 Item Ledger Entry Type",$C$4,"2 Item No.","@@"&amp;$F1159,"3 Posting Date",J$9)-NL("Sum","5802 Value Entry","43 Cost Amount (Actual)","41 Source Type",$C$5,"5 Source no.",$C1159,"4 Item Ledger Entry Type",$C$4,"2 Item No.","@@"&amp;$F1159,"3 Posting Date",J$9)</t>
  </si>
  <si>
    <t>=J1159-L1159</t>
  </si>
  <si>
    <t>=IF(J1159&lt;&gt;0,M1159/J1159,"")</t>
  </si>
  <si>
    <t>=NL("Sum","5802 Value Entry","150 Sales Amount (Expected)","41 Source Type",$C$5,"5 Source No.",$C1159,"4 Item Ledger Entry Type",$C$4,"2 Item No.","@@"&amp;$F1159,"3 Posting Date",O$9)+NL("Sum","5802 Value Entry","17 Sales Amount (Actual)","41 Source Type",$C$5,"5 Source no.",$C1159,"4 Item Ledger Entry Type",$C$4,"2 Item No.","@@"&amp;$F1159,"3 Posting Date",O$9)</t>
  </si>
  <si>
    <t>=-NL("Sum","5802 Value Entry","151 Cost Amount (Expected)","41 Source Type",$C$5,"5 Source No.",$C1159,"4 Item Ledger Entry Type",$C$4,"2 Item No.","@@"&amp;$F1159,"3 Posting Date",O$9)-NL("Sum","5802 Value Entry","43 Cost Amount (Actual)","41 Source Type",$C$5,"5 Source no.",$C1159,"4 Item Ledger Entry Type",$C$4,"2 Item No.","@@"&amp;$F1159,"3 Posting Date",O$9)</t>
  </si>
  <si>
    <t>=O1159-Q1159</t>
  </si>
  <si>
    <t>=IF(O1159&lt;&gt;0,R1159/O1159,"")</t>
  </si>
  <si>
    <t>=NL("Sum","5802 Value Entry","150 Sales Amount (Expected)","41 Source Type",$C$5,"5 Source No.",$C1159,"4 Item Ledger Entry Type",$C$4,"2 Item No.","@@"&amp;$F1159,"3 Posting Date",U$9)+NL("Sum","5802 Value Entry","17 Sales Amount (Actual)","41 Source Type",$C$5,"5 Source no.",$C1159,"4 Item Ledger Entry Type",$C$4,"2 Item No.","@@"&amp;$F1159,"3 Posting Date",U$9)</t>
  </si>
  <si>
    <t>=-NL("Sum","5802 Value Entry","151 Cost Amount (Expected)","41 Source Type",$C$5,"5 Source No.",$C1159,"4 Item Ledger Entry Type",$C$4,"2 Item No.","@@"&amp;$F1159,"3 Posting Date",U$9)-NL("Sum","5802 Value Entry","43 Cost Amount (Actual)","41 Source Type",$C$5,"5 Source no.",$C1159,"4 Item Ledger Entry Type",$C$4,"2 Item No.","@@"&amp;$F1159,"3 Posting Date",U$9)</t>
  </si>
  <si>
    <t>=U1159-W1159</t>
  </si>
  <si>
    <t>=IF(U1159&lt;&gt;0,X1159/U1159,"")</t>
  </si>
  <si>
    <t>=NL("Sum","5802 Value Entry","150 Sales Amount (Expected)","41 Source Type",$C$5,"5 Source No.",$C1159,"4 Item Ledger Entry Type",$C$4,"2 Item No.","@@"&amp;$F1159,"3 Posting Date",Z$9)+NL("Sum","5802 Value Entry","17 Sales Amount (Actual)","41 Source Type",$C$5,"5 Source no.",$C1159,"4 Item Ledger Entry Type",$C$4,"2 Item No.","@@"&amp;$F1159,"3 Posting Date",Z$9)</t>
  </si>
  <si>
    <t>=-NL("Sum","5802 Value Entry","151 Cost Amount (Expected)","41 Source Type",$C$5,"5 Source No.",$C1159,"4 Item Ledger Entry Type",$C$4,"2 Item No.","@@"&amp;$F1159,"3 Posting Date",Z$9)-NL("Sum","5802 Value Entry","43 Cost Amount (Actual)","41 Source Type",$C$5,"5 Source no.",$C1159,"4 Item Ledger Entry Type",$C$4,"2 Item No.","@@"&amp;$F1159,"3 Posting Date",Z$9)</t>
  </si>
  <si>
    <t>=Z1159-AB1159</t>
  </si>
  <si>
    <t>=IF(Z1159&lt;&gt;0,AC1159/Z1159,"")</t>
  </si>
  <si>
    <t>=NL("Sum","5802 Value Entry","150 Sales Amount (Expected)","41 Source Type",$C$5,"5 Source No.",$C1160,"4 Item Ledger Entry Type",$C$4,"2 Item No.","@@"&amp;$F1160,"3 Posting Date",J$9)+NL("Sum","5802 Value Entry","17 Sales Amount (Actual)","41 Source Type",$C$5,"5 Source no.",$C1160,"4 Item Ledger Entry Type",$C$4,"2 Item No.","@@"&amp;$F1160,"3 Posting Date",J$9)</t>
  </si>
  <si>
    <t>=-NL("Sum","5802 Value Entry","151 Cost Amount (Expected)","41 Source Type",$C$5,"5 Source No.",$C1160,"4 Item Ledger Entry Type",$C$4,"2 Item No.","@@"&amp;$F1160,"3 Posting Date",J$9)-NL("Sum","5802 Value Entry","43 Cost Amount (Actual)","41 Source Type",$C$5,"5 Source no.",$C1160,"4 Item Ledger Entry Type",$C$4,"2 Item No.","@@"&amp;$F1160,"3 Posting Date",J$9)</t>
  </si>
  <si>
    <t>=J1160-L1160</t>
  </si>
  <si>
    <t>=IF(J1160&lt;&gt;0,M1160/J1160,"")</t>
  </si>
  <si>
    <t>=NL("Sum","5802 Value Entry","150 Sales Amount (Expected)","41 Source Type",$C$5,"5 Source No.",$C1160,"4 Item Ledger Entry Type",$C$4,"2 Item No.","@@"&amp;$F1160,"3 Posting Date",O$9)+NL("Sum","5802 Value Entry","17 Sales Amount (Actual)","41 Source Type",$C$5,"5 Source no.",$C1160,"4 Item Ledger Entry Type",$C$4,"2 Item No.","@@"&amp;$F1160,"3 Posting Date",O$9)</t>
  </si>
  <si>
    <t>=-NL("Sum","5802 Value Entry","151 Cost Amount (Expected)","41 Source Type",$C$5,"5 Source No.",$C1160,"4 Item Ledger Entry Type",$C$4,"2 Item No.","@@"&amp;$F1160,"3 Posting Date",O$9)-NL("Sum","5802 Value Entry","43 Cost Amount (Actual)","41 Source Type",$C$5,"5 Source no.",$C1160,"4 Item Ledger Entry Type",$C$4,"2 Item No.","@@"&amp;$F1160,"3 Posting Date",O$9)</t>
  </si>
  <si>
    <t>=O1160-Q1160</t>
  </si>
  <si>
    <t>=IF(O1160&lt;&gt;0,R1160/O1160,"")</t>
  </si>
  <si>
    <t>=NL("Sum","5802 Value Entry","150 Sales Amount (Expected)","41 Source Type",$C$5,"5 Source No.",$C1160,"4 Item Ledger Entry Type",$C$4,"2 Item No.","@@"&amp;$F1160,"3 Posting Date",U$9)+NL("Sum","5802 Value Entry","17 Sales Amount (Actual)","41 Source Type",$C$5,"5 Source no.",$C1160,"4 Item Ledger Entry Type",$C$4,"2 Item No.","@@"&amp;$F1160,"3 Posting Date",U$9)</t>
  </si>
  <si>
    <t>=-NL("Sum","5802 Value Entry","151 Cost Amount (Expected)","41 Source Type",$C$5,"5 Source No.",$C1160,"4 Item Ledger Entry Type",$C$4,"2 Item No.","@@"&amp;$F1160,"3 Posting Date",U$9)-NL("Sum","5802 Value Entry","43 Cost Amount (Actual)","41 Source Type",$C$5,"5 Source no.",$C1160,"4 Item Ledger Entry Type",$C$4,"2 Item No.","@@"&amp;$F1160,"3 Posting Date",U$9)</t>
  </si>
  <si>
    <t>=U1160-W1160</t>
  </si>
  <si>
    <t>=IF(U1160&lt;&gt;0,X1160/U1160,"")</t>
  </si>
  <si>
    <t>=NL("Sum","5802 Value Entry","150 Sales Amount (Expected)","41 Source Type",$C$5,"5 Source No.",$C1160,"4 Item Ledger Entry Type",$C$4,"2 Item No.","@@"&amp;$F1160,"3 Posting Date",Z$9)+NL("Sum","5802 Value Entry","17 Sales Amount (Actual)","41 Source Type",$C$5,"5 Source no.",$C1160,"4 Item Ledger Entry Type",$C$4,"2 Item No.","@@"&amp;$F1160,"3 Posting Date",Z$9)</t>
  </si>
  <si>
    <t>=-NL("Sum","5802 Value Entry","151 Cost Amount (Expected)","41 Source Type",$C$5,"5 Source No.",$C1160,"4 Item Ledger Entry Type",$C$4,"2 Item No.","@@"&amp;$F1160,"3 Posting Date",Z$9)-NL("Sum","5802 Value Entry","43 Cost Amount (Actual)","41 Source Type",$C$5,"5 Source no.",$C1160,"4 Item Ledger Entry Type",$C$4,"2 Item No.","@@"&amp;$F1160,"3 Posting Date",Z$9)</t>
  </si>
  <si>
    <t>=Z1160-AB1160</t>
  </si>
  <si>
    <t>=IF(Z1160&lt;&gt;0,AC1160/Z1160,"")</t>
  </si>
  <si>
    <t>=NL("Sum","5802 Value Entry","150 Sales Amount (Expected)","41 Source Type",$C$5,"5 Source No.",$C1162,"4 Item Ledger Entry Type",$C$4,"2 Item No.","@@"&amp;$F1162,"3 Posting Date",J$9)+NL("Sum","5802 Value Entry","17 Sales Amount (Actual)","41 Source Type",$C$5,"5 Source no.",$C1162,"4 Item Ledger Entry Type",$C$4,"2 Item No.","@@"&amp;$F1162,"3 Posting Date",J$9)</t>
  </si>
  <si>
    <t>=-NL("Sum","5802 Value Entry","151 Cost Amount (Expected)","41 Source Type",$C$5,"5 Source No.",$C1162,"4 Item Ledger Entry Type",$C$4,"2 Item No.","@@"&amp;$F1162,"3 Posting Date",J$9)-NL("Sum","5802 Value Entry","43 Cost Amount (Actual)","41 Source Type",$C$5,"5 Source no.",$C1162,"4 Item Ledger Entry Type",$C$4,"2 Item No.","@@"&amp;$F1162,"3 Posting Date",J$9)</t>
  </si>
  <si>
    <t>=J1162-L1162</t>
  </si>
  <si>
    <t>=IF(J1162&lt;&gt;0,M1162/J1162,"")</t>
  </si>
  <si>
    <t>=NL("Sum","5802 Value Entry","150 Sales Amount (Expected)","41 Source Type",$C$5,"5 Source No.",$C1162,"4 Item Ledger Entry Type",$C$4,"2 Item No.","@@"&amp;$F1162,"3 Posting Date",O$9)+NL("Sum","5802 Value Entry","17 Sales Amount (Actual)","41 Source Type",$C$5,"5 Source no.",$C1162,"4 Item Ledger Entry Type",$C$4,"2 Item No.","@@"&amp;$F1162,"3 Posting Date",O$9)</t>
  </si>
  <si>
    <t>=-NL("Sum","5802 Value Entry","151 Cost Amount (Expected)","41 Source Type",$C$5,"5 Source No.",$C1162,"4 Item Ledger Entry Type",$C$4,"2 Item No.","@@"&amp;$F1162,"3 Posting Date",O$9)-NL("Sum","5802 Value Entry","43 Cost Amount (Actual)","41 Source Type",$C$5,"5 Source no.",$C1162,"4 Item Ledger Entry Type",$C$4,"2 Item No.","@@"&amp;$F1162,"3 Posting Date",O$9)</t>
  </si>
  <si>
    <t>=O1162-Q1162</t>
  </si>
  <si>
    <t>=IF(O1162&lt;&gt;0,R1162/O1162,"")</t>
  </si>
  <si>
    <t>=NL("Sum","5802 Value Entry","150 Sales Amount (Expected)","41 Source Type",$C$5,"5 Source No.",$C1162,"4 Item Ledger Entry Type",$C$4,"2 Item No.","@@"&amp;$F1162,"3 Posting Date",U$9)+NL("Sum","5802 Value Entry","17 Sales Amount (Actual)","41 Source Type",$C$5,"5 Source no.",$C1162,"4 Item Ledger Entry Type",$C$4,"2 Item No.","@@"&amp;$F1162,"3 Posting Date",U$9)</t>
  </si>
  <si>
    <t>=-NL("Sum","5802 Value Entry","151 Cost Amount (Expected)","41 Source Type",$C$5,"5 Source No.",$C1162,"4 Item Ledger Entry Type",$C$4,"2 Item No.","@@"&amp;$F1162,"3 Posting Date",U$9)-NL("Sum","5802 Value Entry","43 Cost Amount (Actual)","41 Source Type",$C$5,"5 Source no.",$C1162,"4 Item Ledger Entry Type",$C$4,"2 Item No.","@@"&amp;$F1162,"3 Posting Date",U$9)</t>
  </si>
  <si>
    <t>=U1162-W1162</t>
  </si>
  <si>
    <t>=IF(U1162&lt;&gt;0,X1162/U1162,"")</t>
  </si>
  <si>
    <t>=NL("Sum","5802 Value Entry","150 Sales Amount (Expected)","41 Source Type",$C$5,"5 Source No.",$C1162,"4 Item Ledger Entry Type",$C$4,"2 Item No.","@@"&amp;$F1162,"3 Posting Date",Z$9)+NL("Sum","5802 Value Entry","17 Sales Amount (Actual)","41 Source Type",$C$5,"5 Source no.",$C1162,"4 Item Ledger Entry Type",$C$4,"2 Item No.","@@"&amp;$F1162,"3 Posting Date",Z$9)</t>
  </si>
  <si>
    <t>=-NL("Sum","5802 Value Entry","151 Cost Amount (Expected)","41 Source Type",$C$5,"5 Source No.",$C1162,"4 Item Ledger Entry Type",$C$4,"2 Item No.","@@"&amp;$F1162,"3 Posting Date",Z$9)-NL("Sum","5802 Value Entry","43 Cost Amount (Actual)","41 Source Type",$C$5,"5 Source no.",$C1162,"4 Item Ledger Entry Type",$C$4,"2 Item No.","@@"&amp;$F1162,"3 Posting Date",Z$9)</t>
  </si>
  <si>
    <t>=Z1162-AB1162</t>
  </si>
  <si>
    <t>=IF(Z1162&lt;&gt;0,AC1162/Z1162,"")</t>
  </si>
  <si>
    <t>=NL("Sum","5802 Value Entry","150 Sales Amount (Expected)","41 Source Type",$C$5,"5 Source No.",$C1163,"4 Item Ledger Entry Type",$C$4,"2 Item No.","@@"&amp;$F1163,"3 Posting Date",J$9)+NL("Sum","5802 Value Entry","17 Sales Amount (Actual)","41 Source Type",$C$5,"5 Source no.",$C1163,"4 Item Ledger Entry Type",$C$4,"2 Item No.","@@"&amp;$F1163,"3 Posting Date",J$9)</t>
  </si>
  <si>
    <t>=-NL("Sum","5802 Value Entry","151 Cost Amount (Expected)","41 Source Type",$C$5,"5 Source No.",$C1163,"4 Item Ledger Entry Type",$C$4,"2 Item No.","@@"&amp;$F1163,"3 Posting Date",J$9)-NL("Sum","5802 Value Entry","43 Cost Amount (Actual)","41 Source Type",$C$5,"5 Source no.",$C1163,"4 Item Ledger Entry Type",$C$4,"2 Item No.","@@"&amp;$F1163,"3 Posting Date",J$9)</t>
  </si>
  <si>
    <t>=NL("Sum","5802 Value Entry","150 Sales Amount (Expected)","41 Source Type",$C$5,"5 Source No.",$C1163,"4 Item Ledger Entry Type",$C$4,"2 Item No.","@@"&amp;$F1163,"3 Posting Date",O$9)+NL("Sum","5802 Value Entry","17 Sales Amount (Actual)","41 Source Type",$C$5,"5 Source no.",$C1163,"4 Item Ledger Entry Type",$C$4,"2 Item No.","@@"&amp;$F1163,"3 Posting Date",O$9)</t>
  </si>
  <si>
    <t>=-NL("Sum","5802 Value Entry","151 Cost Amount (Expected)","41 Source Type",$C$5,"5 Source No.",$C1163,"4 Item Ledger Entry Type",$C$4,"2 Item No.","@@"&amp;$F1163,"3 Posting Date",O$9)-NL("Sum","5802 Value Entry","43 Cost Amount (Actual)","41 Source Type",$C$5,"5 Source no.",$C1163,"4 Item Ledger Entry Type",$C$4,"2 Item No.","@@"&amp;$F1163,"3 Posting Date",O$9)</t>
  </si>
  <si>
    <t>=NL("Sum","5802 Value Entry","150 Sales Amount (Expected)","41 Source Type",$C$5,"5 Source No.",$C1163,"4 Item Ledger Entry Type",$C$4,"2 Item No.","@@"&amp;$F1163,"3 Posting Date",U$9)+NL("Sum","5802 Value Entry","17 Sales Amount (Actual)","41 Source Type",$C$5,"5 Source no.",$C1163,"4 Item Ledger Entry Type",$C$4,"2 Item No.","@@"&amp;$F1163,"3 Posting Date",U$9)</t>
  </si>
  <si>
    <t>=-NL("Sum","5802 Value Entry","151 Cost Amount (Expected)","41 Source Type",$C$5,"5 Source No.",$C1163,"4 Item Ledger Entry Type",$C$4,"2 Item No.","@@"&amp;$F1163,"3 Posting Date",U$9)-NL("Sum","5802 Value Entry","43 Cost Amount (Actual)","41 Source Type",$C$5,"5 Source no.",$C1163,"4 Item Ledger Entry Type",$C$4,"2 Item No.","@@"&amp;$F1163,"3 Posting Date",U$9)</t>
  </si>
  <si>
    <t>=NL("Sum","5802 Value Entry","150 Sales Amount (Expected)","41 Source Type",$C$5,"5 Source No.",$C1163,"4 Item Ledger Entry Type",$C$4,"2 Item No.","@@"&amp;$F1163,"3 Posting Date",Z$9)+NL("Sum","5802 Value Entry","17 Sales Amount (Actual)","41 Source Type",$C$5,"5 Source no.",$C1163,"4 Item Ledger Entry Type",$C$4,"2 Item No.","@@"&amp;$F1163,"3 Posting Date",Z$9)</t>
  </si>
  <si>
    <t>=-NL("Sum","5802 Value Entry","151 Cost Amount (Expected)","41 Source Type",$C$5,"5 Source No.",$C1163,"4 Item Ledger Entry Type",$C$4,"2 Item No.","@@"&amp;$F1163,"3 Posting Date",Z$9)-NL("Sum","5802 Value Entry","43 Cost Amount (Actual)","41 Source Type",$C$5,"5 Source no.",$C1163,"4 Item Ledger Entry Type",$C$4,"2 Item No.","@@"&amp;$F1163,"3 Posting Date",Z$9)</t>
  </si>
  <si>
    <t>=C1163</t>
  </si>
  <si>
    <t>=NL("Sum","5802 Value Entry","150 Sales Amount (Expected)","41 Source Type",$C$5,"5 Source No.",$C1164,"4 Item Ledger Entry Type",$C$4,"2 Item No.","@@"&amp;$F1164,"3 Posting Date",J$9)+NL("Sum","5802 Value Entry","17 Sales Amount (Actual)","41 Source Type",$C$5,"5 Source no.",$C1164,"4 Item Ledger Entry Type",$C$4,"2 Item No.","@@"&amp;$F1164,"3 Posting Date",J$9)</t>
  </si>
  <si>
    <t>=-NL("Sum","5802 Value Entry","151 Cost Amount (Expected)","41 Source Type",$C$5,"5 Source No.",$C1164,"4 Item Ledger Entry Type",$C$4,"2 Item No.","@@"&amp;$F1164,"3 Posting Date",J$9)-NL("Sum","5802 Value Entry","43 Cost Amount (Actual)","41 Source Type",$C$5,"5 Source no.",$C1164,"4 Item Ledger Entry Type",$C$4,"2 Item No.","@@"&amp;$F1164,"3 Posting Date",J$9)</t>
  </si>
  <si>
    <t>=J1164-L1164</t>
  </si>
  <si>
    <t>=IF(J1164&lt;&gt;0,M1164/J1164,"")</t>
  </si>
  <si>
    <t>=NL("Sum","5802 Value Entry","150 Sales Amount (Expected)","41 Source Type",$C$5,"5 Source No.",$C1164,"4 Item Ledger Entry Type",$C$4,"2 Item No.","@@"&amp;$F1164,"3 Posting Date",O$9)+NL("Sum","5802 Value Entry","17 Sales Amount (Actual)","41 Source Type",$C$5,"5 Source no.",$C1164,"4 Item Ledger Entry Type",$C$4,"2 Item No.","@@"&amp;$F1164,"3 Posting Date",O$9)</t>
  </si>
  <si>
    <t>=-NL("Sum","5802 Value Entry","151 Cost Amount (Expected)","41 Source Type",$C$5,"5 Source No.",$C1164,"4 Item Ledger Entry Type",$C$4,"2 Item No.","@@"&amp;$F1164,"3 Posting Date",O$9)-NL("Sum","5802 Value Entry","43 Cost Amount (Actual)","41 Source Type",$C$5,"5 Source no.",$C1164,"4 Item Ledger Entry Type",$C$4,"2 Item No.","@@"&amp;$F1164,"3 Posting Date",O$9)</t>
  </si>
  <si>
    <t>=O1164-Q1164</t>
  </si>
  <si>
    <t>=IF(O1164&lt;&gt;0,R1164/O1164,"")</t>
  </si>
  <si>
    <t>=NL("Sum","5802 Value Entry","150 Sales Amount (Expected)","41 Source Type",$C$5,"5 Source No.",$C1164,"4 Item Ledger Entry Type",$C$4,"2 Item No.","@@"&amp;$F1164,"3 Posting Date",U$9)+NL("Sum","5802 Value Entry","17 Sales Amount (Actual)","41 Source Type",$C$5,"5 Source no.",$C1164,"4 Item Ledger Entry Type",$C$4,"2 Item No.","@@"&amp;$F1164,"3 Posting Date",U$9)</t>
  </si>
  <si>
    <t>=-NL("Sum","5802 Value Entry","151 Cost Amount (Expected)","41 Source Type",$C$5,"5 Source No.",$C1164,"4 Item Ledger Entry Type",$C$4,"2 Item No.","@@"&amp;$F1164,"3 Posting Date",U$9)-NL("Sum","5802 Value Entry","43 Cost Amount (Actual)","41 Source Type",$C$5,"5 Source no.",$C1164,"4 Item Ledger Entry Type",$C$4,"2 Item No.","@@"&amp;$F1164,"3 Posting Date",U$9)</t>
  </si>
  <si>
    <t>=U1164-W1164</t>
  </si>
  <si>
    <t>=IF(U1164&lt;&gt;0,X1164/U1164,"")</t>
  </si>
  <si>
    <t>=NL("Sum","5802 Value Entry","150 Sales Amount (Expected)","41 Source Type",$C$5,"5 Source No.",$C1164,"4 Item Ledger Entry Type",$C$4,"2 Item No.","@@"&amp;$F1164,"3 Posting Date",Z$9)+NL("Sum","5802 Value Entry","17 Sales Amount (Actual)","41 Source Type",$C$5,"5 Source no.",$C1164,"4 Item Ledger Entry Type",$C$4,"2 Item No.","@@"&amp;$F1164,"3 Posting Date",Z$9)</t>
  </si>
  <si>
    <t>=-NL("Sum","5802 Value Entry","151 Cost Amount (Expected)","41 Source Type",$C$5,"5 Source No.",$C1164,"4 Item Ledger Entry Type",$C$4,"2 Item No.","@@"&amp;$F1164,"3 Posting Date",Z$9)-NL("Sum","5802 Value Entry","43 Cost Amount (Actual)","41 Source Type",$C$5,"5 Source no.",$C1164,"4 Item Ledger Entry Type",$C$4,"2 Item No.","@@"&amp;$F1164,"3 Posting Date",Z$9)</t>
  </si>
  <si>
    <t>=Z1164-AB1164</t>
  </si>
  <si>
    <t>=IF(Z1164&lt;&gt;0,AC1164/Z1164,"")</t>
  </si>
  <si>
    <t>=C1164</t>
  </si>
  <si>
    <t>=NL("Sum","5802 Value Entry","150 Sales Amount (Expected)","41 Source Type",$C$5,"5 Source No.",$C1165,"4 Item Ledger Entry Type",$C$4,"2 Item No.","@@"&amp;$F1165,"3 Posting Date",J$9)+NL("Sum","5802 Value Entry","17 Sales Amount (Actual)","41 Source Type",$C$5,"5 Source no.",$C1165,"4 Item Ledger Entry Type",$C$4,"2 Item No.","@@"&amp;$F1165,"3 Posting Date",J$9)</t>
  </si>
  <si>
    <t>=-NL("Sum","5802 Value Entry","151 Cost Amount (Expected)","41 Source Type",$C$5,"5 Source No.",$C1165,"4 Item Ledger Entry Type",$C$4,"2 Item No.","@@"&amp;$F1165,"3 Posting Date",J$9)-NL("Sum","5802 Value Entry","43 Cost Amount (Actual)","41 Source Type",$C$5,"5 Source no.",$C1165,"4 Item Ledger Entry Type",$C$4,"2 Item No.","@@"&amp;$F1165,"3 Posting Date",J$9)</t>
  </si>
  <si>
    <t>=J1165-L1165</t>
  </si>
  <si>
    <t>=IF(J1165&lt;&gt;0,M1165/J1165,"")</t>
  </si>
  <si>
    <t>=NL("Sum","5802 Value Entry","150 Sales Amount (Expected)","41 Source Type",$C$5,"5 Source No.",$C1165,"4 Item Ledger Entry Type",$C$4,"2 Item No.","@@"&amp;$F1165,"3 Posting Date",O$9)+NL("Sum","5802 Value Entry","17 Sales Amount (Actual)","41 Source Type",$C$5,"5 Source no.",$C1165,"4 Item Ledger Entry Type",$C$4,"2 Item No.","@@"&amp;$F1165,"3 Posting Date",O$9)</t>
  </si>
  <si>
    <t>=-NL("Sum","5802 Value Entry","151 Cost Amount (Expected)","41 Source Type",$C$5,"5 Source No.",$C1165,"4 Item Ledger Entry Type",$C$4,"2 Item No.","@@"&amp;$F1165,"3 Posting Date",O$9)-NL("Sum","5802 Value Entry","43 Cost Amount (Actual)","41 Source Type",$C$5,"5 Source no.",$C1165,"4 Item Ledger Entry Type",$C$4,"2 Item No.","@@"&amp;$F1165,"3 Posting Date",O$9)</t>
  </si>
  <si>
    <t>=O1165-Q1165</t>
  </si>
  <si>
    <t>=IF(O1165&lt;&gt;0,R1165/O1165,"")</t>
  </si>
  <si>
    <t>=NL("Sum","5802 Value Entry","150 Sales Amount (Expected)","41 Source Type",$C$5,"5 Source No.",$C1165,"4 Item Ledger Entry Type",$C$4,"2 Item No.","@@"&amp;$F1165,"3 Posting Date",U$9)+NL("Sum","5802 Value Entry","17 Sales Amount (Actual)","41 Source Type",$C$5,"5 Source no.",$C1165,"4 Item Ledger Entry Type",$C$4,"2 Item No.","@@"&amp;$F1165,"3 Posting Date",U$9)</t>
  </si>
  <si>
    <t>=-NL("Sum","5802 Value Entry","151 Cost Amount (Expected)","41 Source Type",$C$5,"5 Source No.",$C1165,"4 Item Ledger Entry Type",$C$4,"2 Item No.","@@"&amp;$F1165,"3 Posting Date",U$9)-NL("Sum","5802 Value Entry","43 Cost Amount (Actual)","41 Source Type",$C$5,"5 Source no.",$C1165,"4 Item Ledger Entry Type",$C$4,"2 Item No.","@@"&amp;$F1165,"3 Posting Date",U$9)</t>
  </si>
  <si>
    <t>=U1165-W1165</t>
  </si>
  <si>
    <t>=IF(U1165&lt;&gt;0,X1165/U1165,"")</t>
  </si>
  <si>
    <t>=NL("Sum","5802 Value Entry","150 Sales Amount (Expected)","41 Source Type",$C$5,"5 Source No.",$C1165,"4 Item Ledger Entry Type",$C$4,"2 Item No.","@@"&amp;$F1165,"3 Posting Date",Z$9)+NL("Sum","5802 Value Entry","17 Sales Amount (Actual)","41 Source Type",$C$5,"5 Source no.",$C1165,"4 Item Ledger Entry Type",$C$4,"2 Item No.","@@"&amp;$F1165,"3 Posting Date",Z$9)</t>
  </si>
  <si>
    <t>=-NL("Sum","5802 Value Entry","151 Cost Amount (Expected)","41 Source Type",$C$5,"5 Source No.",$C1165,"4 Item Ledger Entry Type",$C$4,"2 Item No.","@@"&amp;$F1165,"3 Posting Date",Z$9)-NL("Sum","5802 Value Entry","43 Cost Amount (Actual)","41 Source Type",$C$5,"5 Source no.",$C1165,"4 Item Ledger Entry Type",$C$4,"2 Item No.","@@"&amp;$F1165,"3 Posting Date",Z$9)</t>
  </si>
  <si>
    <t>=Z1165-AB1165</t>
  </si>
  <si>
    <t>=IF(Z1165&lt;&gt;0,AC1165/Z1165,"")</t>
  </si>
  <si>
    <t>=NL("Sum","5802 Value Entry","150 Sales Amount (Expected)","41 Source Type",$C$5,"5 Source No.",$C1166,"4 Item Ledger Entry Type",$C$4,"2 Item No.","@@"&amp;$F1166,"3 Posting Date",J$9)+NL("Sum","5802 Value Entry","17 Sales Amount (Actual)","41 Source Type",$C$5,"5 Source no.",$C1166,"4 Item Ledger Entry Type",$C$4,"2 Item No.","@@"&amp;$F1166,"3 Posting Date",J$9)</t>
  </si>
  <si>
    <t>=-NL("Sum","5802 Value Entry","151 Cost Amount (Expected)","41 Source Type",$C$5,"5 Source No.",$C1166,"4 Item Ledger Entry Type",$C$4,"2 Item No.","@@"&amp;$F1166,"3 Posting Date",J$9)-NL("Sum","5802 Value Entry","43 Cost Amount (Actual)","41 Source Type",$C$5,"5 Source no.",$C1166,"4 Item Ledger Entry Type",$C$4,"2 Item No.","@@"&amp;$F1166,"3 Posting Date",J$9)</t>
  </si>
  <si>
    <t>=J1166-L1166</t>
  </si>
  <si>
    <t>=IF(J1166&lt;&gt;0,M1166/J1166,"")</t>
  </si>
  <si>
    <t>=NL("Sum","5802 Value Entry","150 Sales Amount (Expected)","41 Source Type",$C$5,"5 Source No.",$C1166,"4 Item Ledger Entry Type",$C$4,"2 Item No.","@@"&amp;$F1166,"3 Posting Date",O$9)+NL("Sum","5802 Value Entry","17 Sales Amount (Actual)","41 Source Type",$C$5,"5 Source no.",$C1166,"4 Item Ledger Entry Type",$C$4,"2 Item No.","@@"&amp;$F1166,"3 Posting Date",O$9)</t>
  </si>
  <si>
    <t>=-NL("Sum","5802 Value Entry","151 Cost Amount (Expected)","41 Source Type",$C$5,"5 Source No.",$C1166,"4 Item Ledger Entry Type",$C$4,"2 Item No.","@@"&amp;$F1166,"3 Posting Date",O$9)-NL("Sum","5802 Value Entry","43 Cost Amount (Actual)","41 Source Type",$C$5,"5 Source no.",$C1166,"4 Item Ledger Entry Type",$C$4,"2 Item No.","@@"&amp;$F1166,"3 Posting Date",O$9)</t>
  </si>
  <si>
    <t>=O1166-Q1166</t>
  </si>
  <si>
    <t>=IF(O1166&lt;&gt;0,R1166/O1166,"")</t>
  </si>
  <si>
    <t>=NL("Sum","5802 Value Entry","150 Sales Amount (Expected)","41 Source Type",$C$5,"5 Source No.",$C1166,"4 Item Ledger Entry Type",$C$4,"2 Item No.","@@"&amp;$F1166,"3 Posting Date",U$9)+NL("Sum","5802 Value Entry","17 Sales Amount (Actual)","41 Source Type",$C$5,"5 Source no.",$C1166,"4 Item Ledger Entry Type",$C$4,"2 Item No.","@@"&amp;$F1166,"3 Posting Date",U$9)</t>
  </si>
  <si>
    <t>=-NL("Sum","5802 Value Entry","151 Cost Amount (Expected)","41 Source Type",$C$5,"5 Source No.",$C1166,"4 Item Ledger Entry Type",$C$4,"2 Item No.","@@"&amp;$F1166,"3 Posting Date",U$9)-NL("Sum","5802 Value Entry","43 Cost Amount (Actual)","41 Source Type",$C$5,"5 Source no.",$C1166,"4 Item Ledger Entry Type",$C$4,"2 Item No.","@@"&amp;$F1166,"3 Posting Date",U$9)</t>
  </si>
  <si>
    <t>=U1166-W1166</t>
  </si>
  <si>
    <t>=IF(U1166&lt;&gt;0,X1166/U1166,"")</t>
  </si>
  <si>
    <t>=NL("Sum","5802 Value Entry","150 Sales Amount (Expected)","41 Source Type",$C$5,"5 Source No.",$C1166,"4 Item Ledger Entry Type",$C$4,"2 Item No.","@@"&amp;$F1166,"3 Posting Date",Z$9)+NL("Sum","5802 Value Entry","17 Sales Amount (Actual)","41 Source Type",$C$5,"5 Source no.",$C1166,"4 Item Ledger Entry Type",$C$4,"2 Item No.","@@"&amp;$F1166,"3 Posting Date",Z$9)</t>
  </si>
  <si>
    <t>=-NL("Sum","5802 Value Entry","151 Cost Amount (Expected)","41 Source Type",$C$5,"5 Source No.",$C1166,"4 Item Ledger Entry Type",$C$4,"2 Item No.","@@"&amp;$F1166,"3 Posting Date",Z$9)-NL("Sum","5802 Value Entry","43 Cost Amount (Actual)","41 Source Type",$C$5,"5 Source no.",$C1166,"4 Item Ledger Entry Type",$C$4,"2 Item No.","@@"&amp;$F1166,"3 Posting Date",Z$9)</t>
  </si>
  <si>
    <t>=Z1166-AB1166</t>
  </si>
  <si>
    <t>=IF(Z1166&lt;&gt;0,AC1166/Z1166,"")</t>
  </si>
  <si>
    <t>=C1192&amp;" TOTAL:"</t>
  </si>
  <si>
    <t>=SUBTOTAL(9,J1154:J1191)</t>
  </si>
  <si>
    <t>=SUBTOTAL(9,K1154:K1191)</t>
  </si>
  <si>
    <t>=SUBTOTAL(9,L1154:L1191)</t>
  </si>
  <si>
    <t>=SUBTOTAL(9,O1154:O1191)</t>
  </si>
  <si>
    <t>=SUBTOTAL(9,P1154:P1191)</t>
  </si>
  <si>
    <t>=SUBTOTAL(9,Q1154:Q1191)</t>
  </si>
  <si>
    <t>=SUBTOTAL(9,U1154:U1191)</t>
  </si>
  <si>
    <t>=SUBTOTAL(9,V1154:V1191)</t>
  </si>
  <si>
    <t>=SUBTOTAL(9,W1154:W1191)</t>
  </si>
  <si>
    <t>=SUBTOTAL(9,Z1154:Z1191)</t>
  </si>
  <si>
    <t>=SUBTOTAL(9,AA1154:AA1191)</t>
  </si>
  <si>
    <t>=SUBTOTAL(9,AB1154:AB1191)</t>
  </si>
  <si>
    <t>=E1194</t>
  </si>
  <si>
    <t>=NL(,"18 Customer","2 Name","1 No.",$E1194)</t>
  </si>
  <si>
    <t>=NL("Rows","5802 Value Entry","2 Item No.","4 Item Ledger Entry Type",$C$4,"41 Source Type",$C$5,"5 Source No.",$C1196,"Item No.",$C$7,"3 Posting Date",$C$10)</t>
  </si>
  <si>
    <t>=C1199</t>
  </si>
  <si>
    <t>=NL("Sum","5802 Value Entry","150 Sales Amount (Expected)","41 Source Type",$C$5,"5 Source No.",$C1200,"4 Item Ledger Entry Type",$C$4,"2 Item No.","@@"&amp;$F1200,"3 Posting Date",J$9)+NL("Sum","5802 Value Entry","17 Sales Amount (Actual)","41 Source Type",$C$5,"5 Source no.",$C1200,"4 Item Ledger Entry Type",$C$4,"2 Item No.","@@"&amp;$F1200,"3 Posting Date",J$9)</t>
  </si>
  <si>
    <t>=-NL("Sum","5802 Value Entry","151 Cost Amount (Expected)","41 Source Type",$C$5,"5 Source No.",$C1200,"4 Item Ledger Entry Type",$C$4,"2 Item No.","@@"&amp;$F1200,"3 Posting Date",J$9)-NL("Sum","5802 Value Entry","43 Cost Amount (Actual)","41 Source Type",$C$5,"5 Source no.",$C1200,"4 Item Ledger Entry Type",$C$4,"2 Item No.","@@"&amp;$F1200,"3 Posting Date",J$9)</t>
  </si>
  <si>
    <t>=J1200-L1200</t>
  </si>
  <si>
    <t>=IF(J1200&lt;&gt;0,M1200/J1200,"")</t>
  </si>
  <si>
    <t>=NL("Sum","5802 Value Entry","150 Sales Amount (Expected)","41 Source Type",$C$5,"5 Source No.",$C1200,"4 Item Ledger Entry Type",$C$4,"2 Item No.","@@"&amp;$F1200,"3 Posting Date",O$9)+NL("Sum","5802 Value Entry","17 Sales Amount (Actual)","41 Source Type",$C$5,"5 Source no.",$C1200,"4 Item Ledger Entry Type",$C$4,"2 Item No.","@@"&amp;$F1200,"3 Posting Date",O$9)</t>
  </si>
  <si>
    <t>=-NL("Sum","5802 Value Entry","151 Cost Amount (Expected)","41 Source Type",$C$5,"5 Source No.",$C1200,"4 Item Ledger Entry Type",$C$4,"2 Item No.","@@"&amp;$F1200,"3 Posting Date",O$9)-NL("Sum","5802 Value Entry","43 Cost Amount (Actual)","41 Source Type",$C$5,"5 Source no.",$C1200,"4 Item Ledger Entry Type",$C$4,"2 Item No.","@@"&amp;$F1200,"3 Posting Date",O$9)</t>
  </si>
  <si>
    <t>=O1200-Q1200</t>
  </si>
  <si>
    <t>=IF(O1200&lt;&gt;0,R1200/O1200,"")</t>
  </si>
  <si>
    <t>=NL("Sum","5802 Value Entry","150 Sales Amount (Expected)","41 Source Type",$C$5,"5 Source No.",$C1200,"4 Item Ledger Entry Type",$C$4,"2 Item No.","@@"&amp;$F1200,"3 Posting Date",U$9)+NL("Sum","5802 Value Entry","17 Sales Amount (Actual)","41 Source Type",$C$5,"5 Source no.",$C1200,"4 Item Ledger Entry Type",$C$4,"2 Item No.","@@"&amp;$F1200,"3 Posting Date",U$9)</t>
  </si>
  <si>
    <t>=-NL("Sum","5802 Value Entry","151 Cost Amount (Expected)","41 Source Type",$C$5,"5 Source No.",$C1200,"4 Item Ledger Entry Type",$C$4,"2 Item No.","@@"&amp;$F1200,"3 Posting Date",U$9)-NL("Sum","5802 Value Entry","43 Cost Amount (Actual)","41 Source Type",$C$5,"5 Source no.",$C1200,"4 Item Ledger Entry Type",$C$4,"2 Item No.","@@"&amp;$F1200,"3 Posting Date",U$9)</t>
  </si>
  <si>
    <t>=U1200-W1200</t>
  </si>
  <si>
    <t>=IF(U1200&lt;&gt;0,X1200/U1200,"")</t>
  </si>
  <si>
    <t>=NL("Sum","5802 Value Entry","150 Sales Amount (Expected)","41 Source Type",$C$5,"5 Source No.",$C1200,"4 Item Ledger Entry Type",$C$4,"2 Item No.","@@"&amp;$F1200,"3 Posting Date",Z$9)+NL("Sum","5802 Value Entry","17 Sales Amount (Actual)","41 Source Type",$C$5,"5 Source no.",$C1200,"4 Item Ledger Entry Type",$C$4,"2 Item No.","@@"&amp;$F1200,"3 Posting Date",Z$9)</t>
  </si>
  <si>
    <t>=-NL("Sum","5802 Value Entry","151 Cost Amount (Expected)","41 Source Type",$C$5,"5 Source No.",$C1200,"4 Item Ledger Entry Type",$C$4,"2 Item No.","@@"&amp;$F1200,"3 Posting Date",Z$9)-NL("Sum","5802 Value Entry","43 Cost Amount (Actual)","41 Source Type",$C$5,"5 Source no.",$C1200,"4 Item Ledger Entry Type",$C$4,"2 Item No.","@@"&amp;$F1200,"3 Posting Date",Z$9)</t>
  </si>
  <si>
    <t>=Z1200-AB1200</t>
  </si>
  <si>
    <t>=IF(Z1200&lt;&gt;0,AC1200/Z1200,"")</t>
  </si>
  <si>
    <t>=NL("Sum","5802 Value Entry","150 Sales Amount (Expected)","41 Source Type",$C$5,"5 Source No.",$C1201,"4 Item Ledger Entry Type",$C$4,"2 Item No.","@@"&amp;$F1201,"3 Posting Date",J$9)+NL("Sum","5802 Value Entry","17 Sales Amount (Actual)","41 Source Type",$C$5,"5 Source no.",$C1201,"4 Item Ledger Entry Type",$C$4,"2 Item No.","@@"&amp;$F1201,"3 Posting Date",J$9)</t>
  </si>
  <si>
    <t>=-NL("Sum","5802 Value Entry","151 Cost Amount (Expected)","41 Source Type",$C$5,"5 Source No.",$C1201,"4 Item Ledger Entry Type",$C$4,"2 Item No.","@@"&amp;$F1201,"3 Posting Date",J$9)-NL("Sum","5802 Value Entry","43 Cost Amount (Actual)","41 Source Type",$C$5,"5 Source no.",$C1201,"4 Item Ledger Entry Type",$C$4,"2 Item No.","@@"&amp;$F1201,"3 Posting Date",J$9)</t>
  </si>
  <si>
    <t>=NL("Sum","5802 Value Entry","150 Sales Amount (Expected)","41 Source Type",$C$5,"5 Source No.",$C1201,"4 Item Ledger Entry Type",$C$4,"2 Item No.","@@"&amp;$F1201,"3 Posting Date",O$9)+NL("Sum","5802 Value Entry","17 Sales Amount (Actual)","41 Source Type",$C$5,"5 Source no.",$C1201,"4 Item Ledger Entry Type",$C$4,"2 Item No.","@@"&amp;$F1201,"3 Posting Date",O$9)</t>
  </si>
  <si>
    <t>=-NL("Sum","5802 Value Entry","151 Cost Amount (Expected)","41 Source Type",$C$5,"5 Source No.",$C1201,"4 Item Ledger Entry Type",$C$4,"2 Item No.","@@"&amp;$F1201,"3 Posting Date",O$9)-NL("Sum","5802 Value Entry","43 Cost Amount (Actual)","41 Source Type",$C$5,"5 Source no.",$C1201,"4 Item Ledger Entry Type",$C$4,"2 Item No.","@@"&amp;$F1201,"3 Posting Date",O$9)</t>
  </si>
  <si>
    <t>=NL("Sum","5802 Value Entry","150 Sales Amount (Expected)","41 Source Type",$C$5,"5 Source No.",$C1201,"4 Item Ledger Entry Type",$C$4,"2 Item No.","@@"&amp;$F1201,"3 Posting Date",U$9)+NL("Sum","5802 Value Entry","17 Sales Amount (Actual)","41 Source Type",$C$5,"5 Source no.",$C1201,"4 Item Ledger Entry Type",$C$4,"2 Item No.","@@"&amp;$F1201,"3 Posting Date",U$9)</t>
  </si>
  <si>
    <t>=-NL("Sum","5802 Value Entry","151 Cost Amount (Expected)","41 Source Type",$C$5,"5 Source No.",$C1201,"4 Item Ledger Entry Type",$C$4,"2 Item No.","@@"&amp;$F1201,"3 Posting Date",U$9)-NL("Sum","5802 Value Entry","43 Cost Amount (Actual)","41 Source Type",$C$5,"5 Source no.",$C1201,"4 Item Ledger Entry Type",$C$4,"2 Item No.","@@"&amp;$F1201,"3 Posting Date",U$9)</t>
  </si>
  <si>
    <t>=NL("Sum","5802 Value Entry","150 Sales Amount (Expected)","41 Source Type",$C$5,"5 Source No.",$C1201,"4 Item Ledger Entry Type",$C$4,"2 Item No.","@@"&amp;$F1201,"3 Posting Date",Z$9)+NL("Sum","5802 Value Entry","17 Sales Amount (Actual)","41 Source Type",$C$5,"5 Source no.",$C1201,"4 Item Ledger Entry Type",$C$4,"2 Item No.","@@"&amp;$F1201,"3 Posting Date",Z$9)</t>
  </si>
  <si>
    <t>=-NL("Sum","5802 Value Entry","151 Cost Amount (Expected)","41 Source Type",$C$5,"5 Source No.",$C1201,"4 Item Ledger Entry Type",$C$4,"2 Item No.","@@"&amp;$F1201,"3 Posting Date",Z$9)-NL("Sum","5802 Value Entry","43 Cost Amount (Actual)","41 Source Type",$C$5,"5 Source no.",$C1201,"4 Item Ledger Entry Type",$C$4,"2 Item No.","@@"&amp;$F1201,"3 Posting Date",Z$9)</t>
  </si>
  <si>
    <t>=C1201</t>
  </si>
  <si>
    <t>=NL("Sum","5802 Value Entry","150 Sales Amount (Expected)","41 Source Type",$C$5,"5 Source No.",$C1202,"4 Item Ledger Entry Type",$C$4,"2 Item No.","@@"&amp;$F1202,"3 Posting Date",J$9)+NL("Sum","5802 Value Entry","17 Sales Amount (Actual)","41 Source Type",$C$5,"5 Source no.",$C1202,"4 Item Ledger Entry Type",$C$4,"2 Item No.","@@"&amp;$F1202,"3 Posting Date",J$9)</t>
  </si>
  <si>
    <t>=-NL("Sum","5802 Value Entry","151 Cost Amount (Expected)","41 Source Type",$C$5,"5 Source No.",$C1202,"4 Item Ledger Entry Type",$C$4,"2 Item No.","@@"&amp;$F1202,"3 Posting Date",J$9)-NL("Sum","5802 Value Entry","43 Cost Amount (Actual)","41 Source Type",$C$5,"5 Source no.",$C1202,"4 Item Ledger Entry Type",$C$4,"2 Item No.","@@"&amp;$F1202,"3 Posting Date",J$9)</t>
  </si>
  <si>
    <t>=J1202-L1202</t>
  </si>
  <si>
    <t>=IF(J1202&lt;&gt;0,M1202/J1202,"")</t>
  </si>
  <si>
    <t>=NL("Sum","5802 Value Entry","150 Sales Amount (Expected)","41 Source Type",$C$5,"5 Source No.",$C1202,"4 Item Ledger Entry Type",$C$4,"2 Item No.","@@"&amp;$F1202,"3 Posting Date",O$9)+NL("Sum","5802 Value Entry","17 Sales Amount (Actual)","41 Source Type",$C$5,"5 Source no.",$C1202,"4 Item Ledger Entry Type",$C$4,"2 Item No.","@@"&amp;$F1202,"3 Posting Date",O$9)</t>
  </si>
  <si>
    <t>=-NL("Sum","5802 Value Entry","151 Cost Amount (Expected)","41 Source Type",$C$5,"5 Source No.",$C1202,"4 Item Ledger Entry Type",$C$4,"2 Item No.","@@"&amp;$F1202,"3 Posting Date",O$9)-NL("Sum","5802 Value Entry","43 Cost Amount (Actual)","41 Source Type",$C$5,"5 Source no.",$C1202,"4 Item Ledger Entry Type",$C$4,"2 Item No.","@@"&amp;$F1202,"3 Posting Date",O$9)</t>
  </si>
  <si>
    <t>=O1202-Q1202</t>
  </si>
  <si>
    <t>=IF(O1202&lt;&gt;0,R1202/O1202,"")</t>
  </si>
  <si>
    <t>=NL("Sum","5802 Value Entry","150 Sales Amount (Expected)","41 Source Type",$C$5,"5 Source No.",$C1202,"4 Item Ledger Entry Type",$C$4,"2 Item No.","@@"&amp;$F1202,"3 Posting Date",U$9)+NL("Sum","5802 Value Entry","17 Sales Amount (Actual)","41 Source Type",$C$5,"5 Source no.",$C1202,"4 Item Ledger Entry Type",$C$4,"2 Item No.","@@"&amp;$F1202,"3 Posting Date",U$9)</t>
  </si>
  <si>
    <t>=-NL("Sum","5802 Value Entry","151 Cost Amount (Expected)","41 Source Type",$C$5,"5 Source No.",$C1202,"4 Item Ledger Entry Type",$C$4,"2 Item No.","@@"&amp;$F1202,"3 Posting Date",U$9)-NL("Sum","5802 Value Entry","43 Cost Amount (Actual)","41 Source Type",$C$5,"5 Source no.",$C1202,"4 Item Ledger Entry Type",$C$4,"2 Item No.","@@"&amp;$F1202,"3 Posting Date",U$9)</t>
  </si>
  <si>
    <t>=U1202-W1202</t>
  </si>
  <si>
    <t>=IF(U1202&lt;&gt;0,X1202/U1202,"")</t>
  </si>
  <si>
    <t>=NL("Sum","5802 Value Entry","150 Sales Amount (Expected)","41 Source Type",$C$5,"5 Source No.",$C1202,"4 Item Ledger Entry Type",$C$4,"2 Item No.","@@"&amp;$F1202,"3 Posting Date",Z$9)+NL("Sum","5802 Value Entry","17 Sales Amount (Actual)","41 Source Type",$C$5,"5 Source no.",$C1202,"4 Item Ledger Entry Type",$C$4,"2 Item No.","@@"&amp;$F1202,"3 Posting Date",Z$9)</t>
  </si>
  <si>
    <t>=-NL("Sum","5802 Value Entry","151 Cost Amount (Expected)","41 Source Type",$C$5,"5 Source No.",$C1202,"4 Item Ledger Entry Type",$C$4,"2 Item No.","@@"&amp;$F1202,"3 Posting Date",Z$9)-NL("Sum","5802 Value Entry","43 Cost Amount (Actual)","41 Source Type",$C$5,"5 Source no.",$C1202,"4 Item Ledger Entry Type",$C$4,"2 Item No.","@@"&amp;$F1202,"3 Posting Date",Z$9)</t>
  </si>
  <si>
    <t>=Z1202-AB1202</t>
  </si>
  <si>
    <t>=IF(Z1202&lt;&gt;0,AC1202/Z1202,"")</t>
  </si>
  <si>
    <t>=C1202</t>
  </si>
  <si>
    <t>=NL("Sum","5802 Value Entry","150 Sales Amount (Expected)","41 Source Type",$C$5,"5 Source No.",$C1203,"4 Item Ledger Entry Type",$C$4,"2 Item No.","@@"&amp;$F1203,"3 Posting Date",J$9)+NL("Sum","5802 Value Entry","17 Sales Amount (Actual)","41 Source Type",$C$5,"5 Source no.",$C1203,"4 Item Ledger Entry Type",$C$4,"2 Item No.","@@"&amp;$F1203,"3 Posting Date",J$9)</t>
  </si>
  <si>
    <t>=-NL("Sum","5802 Value Entry","151 Cost Amount (Expected)","41 Source Type",$C$5,"5 Source No.",$C1203,"4 Item Ledger Entry Type",$C$4,"2 Item No.","@@"&amp;$F1203,"3 Posting Date",J$9)-NL("Sum","5802 Value Entry","43 Cost Amount (Actual)","41 Source Type",$C$5,"5 Source no.",$C1203,"4 Item Ledger Entry Type",$C$4,"2 Item No.","@@"&amp;$F1203,"3 Posting Date",J$9)</t>
  </si>
  <si>
    <t>=J1203-L1203</t>
  </si>
  <si>
    <t>=IF(J1203&lt;&gt;0,M1203/J1203,"")</t>
  </si>
  <si>
    <t>=NL("Sum","5802 Value Entry","150 Sales Amount (Expected)","41 Source Type",$C$5,"5 Source No.",$C1203,"4 Item Ledger Entry Type",$C$4,"2 Item No.","@@"&amp;$F1203,"3 Posting Date",O$9)+NL("Sum","5802 Value Entry","17 Sales Amount (Actual)","41 Source Type",$C$5,"5 Source no.",$C1203,"4 Item Ledger Entry Type",$C$4,"2 Item No.","@@"&amp;$F1203,"3 Posting Date",O$9)</t>
  </si>
  <si>
    <t>=-NL("Sum","5802 Value Entry","151 Cost Amount (Expected)","41 Source Type",$C$5,"5 Source No.",$C1203,"4 Item Ledger Entry Type",$C$4,"2 Item No.","@@"&amp;$F1203,"3 Posting Date",O$9)-NL("Sum","5802 Value Entry","43 Cost Amount (Actual)","41 Source Type",$C$5,"5 Source no.",$C1203,"4 Item Ledger Entry Type",$C$4,"2 Item No.","@@"&amp;$F1203,"3 Posting Date",O$9)</t>
  </si>
  <si>
    <t>=O1203-Q1203</t>
  </si>
  <si>
    <t>=IF(O1203&lt;&gt;0,R1203/O1203,"")</t>
  </si>
  <si>
    <t>=NL("Sum","5802 Value Entry","150 Sales Amount (Expected)","41 Source Type",$C$5,"5 Source No.",$C1203,"4 Item Ledger Entry Type",$C$4,"2 Item No.","@@"&amp;$F1203,"3 Posting Date",U$9)+NL("Sum","5802 Value Entry","17 Sales Amount (Actual)","41 Source Type",$C$5,"5 Source no.",$C1203,"4 Item Ledger Entry Type",$C$4,"2 Item No.","@@"&amp;$F1203,"3 Posting Date",U$9)</t>
  </si>
  <si>
    <t>=-NL("Sum","5802 Value Entry","151 Cost Amount (Expected)","41 Source Type",$C$5,"5 Source No.",$C1203,"4 Item Ledger Entry Type",$C$4,"2 Item No.","@@"&amp;$F1203,"3 Posting Date",U$9)-NL("Sum","5802 Value Entry","43 Cost Amount (Actual)","41 Source Type",$C$5,"5 Source no.",$C1203,"4 Item Ledger Entry Type",$C$4,"2 Item No.","@@"&amp;$F1203,"3 Posting Date",U$9)</t>
  </si>
  <si>
    <t>=U1203-W1203</t>
  </si>
  <si>
    <t>=IF(U1203&lt;&gt;0,X1203/U1203,"")</t>
  </si>
  <si>
    <t>=NL("Sum","5802 Value Entry","150 Sales Amount (Expected)","41 Source Type",$C$5,"5 Source No.",$C1203,"4 Item Ledger Entry Type",$C$4,"2 Item No.","@@"&amp;$F1203,"3 Posting Date",Z$9)+NL("Sum","5802 Value Entry","17 Sales Amount (Actual)","41 Source Type",$C$5,"5 Source no.",$C1203,"4 Item Ledger Entry Type",$C$4,"2 Item No.","@@"&amp;$F1203,"3 Posting Date",Z$9)</t>
  </si>
  <si>
    <t>=-NL("Sum","5802 Value Entry","151 Cost Amount (Expected)","41 Source Type",$C$5,"5 Source No.",$C1203,"4 Item Ledger Entry Type",$C$4,"2 Item No.","@@"&amp;$F1203,"3 Posting Date",Z$9)-NL("Sum","5802 Value Entry","43 Cost Amount (Actual)","41 Source Type",$C$5,"5 Source no.",$C1203,"4 Item Ledger Entry Type",$C$4,"2 Item No.","@@"&amp;$F1203,"3 Posting Date",Z$9)</t>
  </si>
  <si>
    <t>=Z1203-AB1203</t>
  </si>
  <si>
    <t>=IF(Z1203&lt;&gt;0,AC1203/Z1203,"")</t>
  </si>
  <si>
    <t>=NL("Sum","5802 Value Entry","150 Sales Amount (Expected)","41 Source Type",$C$5,"5 Source No.",$C1204,"4 Item Ledger Entry Type",$C$4,"2 Item No.","@@"&amp;$F1204,"3 Posting Date",J$9)+NL("Sum","5802 Value Entry","17 Sales Amount (Actual)","41 Source Type",$C$5,"5 Source no.",$C1204,"4 Item Ledger Entry Type",$C$4,"2 Item No.","@@"&amp;$F1204,"3 Posting Date",J$9)</t>
  </si>
  <si>
    <t>=-NL("Sum","5802 Value Entry","151 Cost Amount (Expected)","41 Source Type",$C$5,"5 Source No.",$C1204,"4 Item Ledger Entry Type",$C$4,"2 Item No.","@@"&amp;$F1204,"3 Posting Date",J$9)-NL("Sum","5802 Value Entry","43 Cost Amount (Actual)","41 Source Type",$C$5,"5 Source no.",$C1204,"4 Item Ledger Entry Type",$C$4,"2 Item No.","@@"&amp;$F1204,"3 Posting Date",J$9)</t>
  </si>
  <si>
    <t>=J1204-L1204</t>
  </si>
  <si>
    <t>=IF(J1204&lt;&gt;0,M1204/J1204,"")</t>
  </si>
  <si>
    <t>=NL("Sum","5802 Value Entry","150 Sales Amount (Expected)","41 Source Type",$C$5,"5 Source No.",$C1204,"4 Item Ledger Entry Type",$C$4,"2 Item No.","@@"&amp;$F1204,"3 Posting Date",O$9)+NL("Sum","5802 Value Entry","17 Sales Amount (Actual)","41 Source Type",$C$5,"5 Source no.",$C1204,"4 Item Ledger Entry Type",$C$4,"2 Item No.","@@"&amp;$F1204,"3 Posting Date",O$9)</t>
  </si>
  <si>
    <t>=-NL("Sum","5802 Value Entry","151 Cost Amount (Expected)","41 Source Type",$C$5,"5 Source No.",$C1204,"4 Item Ledger Entry Type",$C$4,"2 Item No.","@@"&amp;$F1204,"3 Posting Date",O$9)-NL("Sum","5802 Value Entry","43 Cost Amount (Actual)","41 Source Type",$C$5,"5 Source no.",$C1204,"4 Item Ledger Entry Type",$C$4,"2 Item No.","@@"&amp;$F1204,"3 Posting Date",O$9)</t>
  </si>
  <si>
    <t>=O1204-Q1204</t>
  </si>
  <si>
    <t>=IF(O1204&lt;&gt;0,R1204/O1204,"")</t>
  </si>
  <si>
    <t>=NL("Sum","5802 Value Entry","150 Sales Amount (Expected)","41 Source Type",$C$5,"5 Source No.",$C1204,"4 Item Ledger Entry Type",$C$4,"2 Item No.","@@"&amp;$F1204,"3 Posting Date",U$9)+NL("Sum","5802 Value Entry","17 Sales Amount (Actual)","41 Source Type",$C$5,"5 Source no.",$C1204,"4 Item Ledger Entry Type",$C$4,"2 Item No.","@@"&amp;$F1204,"3 Posting Date",U$9)</t>
  </si>
  <si>
    <t>=-NL("Sum","5802 Value Entry","151 Cost Amount (Expected)","41 Source Type",$C$5,"5 Source No.",$C1204,"4 Item Ledger Entry Type",$C$4,"2 Item No.","@@"&amp;$F1204,"3 Posting Date",U$9)-NL("Sum","5802 Value Entry","43 Cost Amount (Actual)","41 Source Type",$C$5,"5 Source no.",$C1204,"4 Item Ledger Entry Type",$C$4,"2 Item No.","@@"&amp;$F1204,"3 Posting Date",U$9)</t>
  </si>
  <si>
    <t>=U1204-W1204</t>
  </si>
  <si>
    <t>=IF(U1204&lt;&gt;0,X1204/U1204,"")</t>
  </si>
  <si>
    <t>=NL("Sum","5802 Value Entry","150 Sales Amount (Expected)","41 Source Type",$C$5,"5 Source No.",$C1204,"4 Item Ledger Entry Type",$C$4,"2 Item No.","@@"&amp;$F1204,"3 Posting Date",Z$9)+NL("Sum","5802 Value Entry","17 Sales Amount (Actual)","41 Source Type",$C$5,"5 Source no.",$C1204,"4 Item Ledger Entry Type",$C$4,"2 Item No.","@@"&amp;$F1204,"3 Posting Date",Z$9)</t>
  </si>
  <si>
    <t>=-NL("Sum","5802 Value Entry","151 Cost Amount (Expected)","41 Source Type",$C$5,"5 Source No.",$C1204,"4 Item Ledger Entry Type",$C$4,"2 Item No.","@@"&amp;$F1204,"3 Posting Date",Z$9)-NL("Sum","5802 Value Entry","43 Cost Amount (Actual)","41 Source Type",$C$5,"5 Source no.",$C1204,"4 Item Ledger Entry Type",$C$4,"2 Item No.","@@"&amp;$F1204,"3 Posting Date",Z$9)</t>
  </si>
  <si>
    <t>=Z1204-AB1204</t>
  </si>
  <si>
    <t>=IF(Z1204&lt;&gt;0,AC1204/Z1204,"")</t>
  </si>
  <si>
    <t>=C1228&amp;" TOTAL:"</t>
  </si>
  <si>
    <t>=SUBTOTAL(9,J1195:J1227)</t>
  </si>
  <si>
    <t>=SUBTOTAL(9,K1195:K1227)</t>
  </si>
  <si>
    <t>=SUBTOTAL(9,L1195:L1227)</t>
  </si>
  <si>
    <t>=SUBTOTAL(9,O1195:O1227)</t>
  </si>
  <si>
    <t>=SUBTOTAL(9,P1195:P1227)</t>
  </si>
  <si>
    <t>=SUBTOTAL(9,Q1195:Q1227)</t>
  </si>
  <si>
    <t>=SUBTOTAL(9,U1195:U1227)</t>
  </si>
  <si>
    <t>=SUBTOTAL(9,V1195:V1227)</t>
  </si>
  <si>
    <t>=SUBTOTAL(9,W1195:W1227)</t>
  </si>
  <si>
    <t>=SUBTOTAL(9,Z1195:Z1227)</t>
  </si>
  <si>
    <t>=SUBTOTAL(9,AA1195:AA1227)</t>
  </si>
  <si>
    <t>=SUBTOTAL(9,AB1195:AB1227)</t>
  </si>
  <si>
    <t>=E1230</t>
  </si>
  <si>
    <t>=NL(,"18 Customer","2 Name","1 No.",$E1230)</t>
  </si>
  <si>
    <t>=NL("Rows","5802 Value Entry","2 Item No.","4 Item Ledger Entry Type",$C$4,"41 Source Type",$C$5,"5 Source No.",$C1232,"Item No.",$C$7,"3 Posting Date",$C$10)</t>
  </si>
  <si>
    <t>=C1233</t>
  </si>
  <si>
    <t>=NL("Sum","5802 Value Entry","150 Sales Amount (Expected)","41 Source Type",$C$5,"5 Source No.",$C1234,"4 Item Ledger Entry Type",$C$4,"2 Item No.","@@"&amp;$F1234,"3 Posting Date",J$9)+NL("Sum","5802 Value Entry","17 Sales Amount (Actual)","41 Source Type",$C$5,"5 Source no.",$C1234,"4 Item Ledger Entry Type",$C$4,"2 Item No.","@@"&amp;$F1234,"3 Posting Date",J$9)</t>
  </si>
  <si>
    <t>=-NL("Sum","5802 Value Entry","151 Cost Amount (Expected)","41 Source Type",$C$5,"5 Source No.",$C1234,"4 Item Ledger Entry Type",$C$4,"2 Item No.","@@"&amp;$F1234,"3 Posting Date",J$9)-NL("Sum","5802 Value Entry","43 Cost Amount (Actual)","41 Source Type",$C$5,"5 Source no.",$C1234,"4 Item Ledger Entry Type",$C$4,"2 Item No.","@@"&amp;$F1234,"3 Posting Date",J$9)</t>
  </si>
  <si>
    <t>=J1234-L1234</t>
  </si>
  <si>
    <t>=IF(J1234&lt;&gt;0,M1234/J1234,"")</t>
  </si>
  <si>
    <t>=NL("Sum","5802 Value Entry","150 Sales Amount (Expected)","41 Source Type",$C$5,"5 Source No.",$C1234,"4 Item Ledger Entry Type",$C$4,"2 Item No.","@@"&amp;$F1234,"3 Posting Date",O$9)+NL("Sum","5802 Value Entry","17 Sales Amount (Actual)","41 Source Type",$C$5,"5 Source no.",$C1234,"4 Item Ledger Entry Type",$C$4,"2 Item No.","@@"&amp;$F1234,"3 Posting Date",O$9)</t>
  </si>
  <si>
    <t>=-NL("Sum","5802 Value Entry","151 Cost Amount (Expected)","41 Source Type",$C$5,"5 Source No.",$C1234,"4 Item Ledger Entry Type",$C$4,"2 Item No.","@@"&amp;$F1234,"3 Posting Date",O$9)-NL("Sum","5802 Value Entry","43 Cost Amount (Actual)","41 Source Type",$C$5,"5 Source no.",$C1234,"4 Item Ledger Entry Type",$C$4,"2 Item No.","@@"&amp;$F1234,"3 Posting Date",O$9)</t>
  </si>
  <si>
    <t>=O1234-Q1234</t>
  </si>
  <si>
    <t>=IF(O1234&lt;&gt;0,R1234/O1234,"")</t>
  </si>
  <si>
    <t>=NL("Sum","5802 Value Entry","150 Sales Amount (Expected)","41 Source Type",$C$5,"5 Source No.",$C1234,"4 Item Ledger Entry Type",$C$4,"2 Item No.","@@"&amp;$F1234,"3 Posting Date",U$9)+NL("Sum","5802 Value Entry","17 Sales Amount (Actual)","41 Source Type",$C$5,"5 Source no.",$C1234,"4 Item Ledger Entry Type",$C$4,"2 Item No.","@@"&amp;$F1234,"3 Posting Date",U$9)</t>
  </si>
  <si>
    <t>=-NL("Sum","5802 Value Entry","151 Cost Amount (Expected)","41 Source Type",$C$5,"5 Source No.",$C1234,"4 Item Ledger Entry Type",$C$4,"2 Item No.","@@"&amp;$F1234,"3 Posting Date",U$9)-NL("Sum","5802 Value Entry","43 Cost Amount (Actual)","41 Source Type",$C$5,"5 Source no.",$C1234,"4 Item Ledger Entry Type",$C$4,"2 Item No.","@@"&amp;$F1234,"3 Posting Date",U$9)</t>
  </si>
  <si>
    <t>=U1234-W1234</t>
  </si>
  <si>
    <t>=IF(U1234&lt;&gt;0,X1234/U1234,"")</t>
  </si>
  <si>
    <t>=NL("Sum","5802 Value Entry","150 Sales Amount (Expected)","41 Source Type",$C$5,"5 Source No.",$C1234,"4 Item Ledger Entry Type",$C$4,"2 Item No.","@@"&amp;$F1234,"3 Posting Date",Z$9)+NL("Sum","5802 Value Entry","17 Sales Amount (Actual)","41 Source Type",$C$5,"5 Source no.",$C1234,"4 Item Ledger Entry Type",$C$4,"2 Item No.","@@"&amp;$F1234,"3 Posting Date",Z$9)</t>
  </si>
  <si>
    <t>=-NL("Sum","5802 Value Entry","151 Cost Amount (Expected)","41 Source Type",$C$5,"5 Source No.",$C1234,"4 Item Ledger Entry Type",$C$4,"2 Item No.","@@"&amp;$F1234,"3 Posting Date",Z$9)-NL("Sum","5802 Value Entry","43 Cost Amount (Actual)","41 Source Type",$C$5,"5 Source no.",$C1234,"4 Item Ledger Entry Type",$C$4,"2 Item No.","@@"&amp;$F1234,"3 Posting Date",Z$9)</t>
  </si>
  <si>
    <t>=Z1234-AB1234</t>
  </si>
  <si>
    <t>=IF(Z1234&lt;&gt;0,AC1234/Z1234,"")</t>
  </si>
  <si>
    <t>=NL("Sum","5802 Value Entry","150 Sales Amount (Expected)","41 Source Type",$C$5,"5 Source No.",$C1235,"4 Item Ledger Entry Type",$C$4,"2 Item No.","@@"&amp;$F1235,"3 Posting Date",J$9)+NL("Sum","5802 Value Entry","17 Sales Amount (Actual)","41 Source Type",$C$5,"5 Source no.",$C1235,"4 Item Ledger Entry Type",$C$4,"2 Item No.","@@"&amp;$F1235,"3 Posting Date",J$9)</t>
  </si>
  <si>
    <t>=-NL("Sum","5802 Value Entry","151 Cost Amount (Expected)","41 Source Type",$C$5,"5 Source No.",$C1235,"4 Item Ledger Entry Type",$C$4,"2 Item No.","@@"&amp;$F1235,"3 Posting Date",J$9)-NL("Sum","5802 Value Entry","43 Cost Amount (Actual)","41 Source Type",$C$5,"5 Source no.",$C1235,"4 Item Ledger Entry Type",$C$4,"2 Item No.","@@"&amp;$F1235,"3 Posting Date",J$9)</t>
  </si>
  <si>
    <t>=NL("Sum","5802 Value Entry","150 Sales Amount (Expected)","41 Source Type",$C$5,"5 Source No.",$C1235,"4 Item Ledger Entry Type",$C$4,"2 Item No.","@@"&amp;$F1235,"3 Posting Date",O$9)+NL("Sum","5802 Value Entry","17 Sales Amount (Actual)","41 Source Type",$C$5,"5 Source no.",$C1235,"4 Item Ledger Entry Type",$C$4,"2 Item No.","@@"&amp;$F1235,"3 Posting Date",O$9)</t>
  </si>
  <si>
    <t>=-NL("Sum","5802 Value Entry","151 Cost Amount (Expected)","41 Source Type",$C$5,"5 Source No.",$C1235,"4 Item Ledger Entry Type",$C$4,"2 Item No.","@@"&amp;$F1235,"3 Posting Date",O$9)-NL("Sum","5802 Value Entry","43 Cost Amount (Actual)","41 Source Type",$C$5,"5 Source no.",$C1235,"4 Item Ledger Entry Type",$C$4,"2 Item No.","@@"&amp;$F1235,"3 Posting Date",O$9)</t>
  </si>
  <si>
    <t>=NL("Sum","5802 Value Entry","150 Sales Amount (Expected)","41 Source Type",$C$5,"5 Source No.",$C1235,"4 Item Ledger Entry Type",$C$4,"2 Item No.","@@"&amp;$F1235,"3 Posting Date",U$9)+NL("Sum","5802 Value Entry","17 Sales Amount (Actual)","41 Source Type",$C$5,"5 Source no.",$C1235,"4 Item Ledger Entry Type",$C$4,"2 Item No.","@@"&amp;$F1235,"3 Posting Date",U$9)</t>
  </si>
  <si>
    <t>=-NL("Sum","5802 Value Entry","151 Cost Amount (Expected)","41 Source Type",$C$5,"5 Source No.",$C1235,"4 Item Ledger Entry Type",$C$4,"2 Item No.","@@"&amp;$F1235,"3 Posting Date",U$9)-NL("Sum","5802 Value Entry","43 Cost Amount (Actual)","41 Source Type",$C$5,"5 Source no.",$C1235,"4 Item Ledger Entry Type",$C$4,"2 Item No.","@@"&amp;$F1235,"3 Posting Date",U$9)</t>
  </si>
  <si>
    <t>=NL("Sum","5802 Value Entry","150 Sales Amount (Expected)","41 Source Type",$C$5,"5 Source No.",$C1235,"4 Item Ledger Entry Type",$C$4,"2 Item No.","@@"&amp;$F1235,"3 Posting Date",Z$9)+NL("Sum","5802 Value Entry","17 Sales Amount (Actual)","41 Source Type",$C$5,"5 Source no.",$C1235,"4 Item Ledger Entry Type",$C$4,"2 Item No.","@@"&amp;$F1235,"3 Posting Date",Z$9)</t>
  </si>
  <si>
    <t>=-NL("Sum","5802 Value Entry","151 Cost Amount (Expected)","41 Source Type",$C$5,"5 Source No.",$C1235,"4 Item Ledger Entry Type",$C$4,"2 Item No.","@@"&amp;$F1235,"3 Posting Date",Z$9)-NL("Sum","5802 Value Entry","43 Cost Amount (Actual)","41 Source Type",$C$5,"5 Source no.",$C1235,"4 Item Ledger Entry Type",$C$4,"2 Item No.","@@"&amp;$F1235,"3 Posting Date",Z$9)</t>
  </si>
  <si>
    <t>=C1235</t>
  </si>
  <si>
    <t>=NL("Sum","5802 Value Entry","150 Sales Amount (Expected)","41 Source Type",$C$5,"5 Source No.",$C1236,"4 Item Ledger Entry Type",$C$4,"2 Item No.","@@"&amp;$F1236,"3 Posting Date",J$9)+NL("Sum","5802 Value Entry","17 Sales Amount (Actual)","41 Source Type",$C$5,"5 Source no.",$C1236,"4 Item Ledger Entry Type",$C$4,"2 Item No.","@@"&amp;$F1236,"3 Posting Date",J$9)</t>
  </si>
  <si>
    <t>=-NL("Sum","5802 Value Entry","151 Cost Amount (Expected)","41 Source Type",$C$5,"5 Source No.",$C1236,"4 Item Ledger Entry Type",$C$4,"2 Item No.","@@"&amp;$F1236,"3 Posting Date",J$9)-NL("Sum","5802 Value Entry","43 Cost Amount (Actual)","41 Source Type",$C$5,"5 Source no.",$C1236,"4 Item Ledger Entry Type",$C$4,"2 Item No.","@@"&amp;$F1236,"3 Posting Date",J$9)</t>
  </si>
  <si>
    <t>=J1236-L1236</t>
  </si>
  <si>
    <t>=IF(J1236&lt;&gt;0,M1236/J1236,"")</t>
  </si>
  <si>
    <t>=NL("Sum","5802 Value Entry","150 Sales Amount (Expected)","41 Source Type",$C$5,"5 Source No.",$C1236,"4 Item Ledger Entry Type",$C$4,"2 Item No.","@@"&amp;$F1236,"3 Posting Date",O$9)+NL("Sum","5802 Value Entry","17 Sales Amount (Actual)","41 Source Type",$C$5,"5 Source no.",$C1236,"4 Item Ledger Entry Type",$C$4,"2 Item No.","@@"&amp;$F1236,"3 Posting Date",O$9)</t>
  </si>
  <si>
    <t>=-NL("Sum","5802 Value Entry","151 Cost Amount (Expected)","41 Source Type",$C$5,"5 Source No.",$C1236,"4 Item Ledger Entry Type",$C$4,"2 Item No.","@@"&amp;$F1236,"3 Posting Date",O$9)-NL("Sum","5802 Value Entry","43 Cost Amount (Actual)","41 Source Type",$C$5,"5 Source no.",$C1236,"4 Item Ledger Entry Type",$C$4,"2 Item No.","@@"&amp;$F1236,"3 Posting Date",O$9)</t>
  </si>
  <si>
    <t>=O1236-Q1236</t>
  </si>
  <si>
    <t>=IF(O1236&lt;&gt;0,R1236/O1236,"")</t>
  </si>
  <si>
    <t>=NL("Sum","5802 Value Entry","150 Sales Amount (Expected)","41 Source Type",$C$5,"5 Source No.",$C1236,"4 Item Ledger Entry Type",$C$4,"2 Item No.","@@"&amp;$F1236,"3 Posting Date",U$9)+NL("Sum","5802 Value Entry","17 Sales Amount (Actual)","41 Source Type",$C$5,"5 Source no.",$C1236,"4 Item Ledger Entry Type",$C$4,"2 Item No.","@@"&amp;$F1236,"3 Posting Date",U$9)</t>
  </si>
  <si>
    <t>=-NL("Sum","5802 Value Entry","151 Cost Amount (Expected)","41 Source Type",$C$5,"5 Source No.",$C1236,"4 Item Ledger Entry Type",$C$4,"2 Item No.","@@"&amp;$F1236,"3 Posting Date",U$9)-NL("Sum","5802 Value Entry","43 Cost Amount (Actual)","41 Source Type",$C$5,"5 Source no.",$C1236,"4 Item Ledger Entry Type",$C$4,"2 Item No.","@@"&amp;$F1236,"3 Posting Date",U$9)</t>
  </si>
  <si>
    <t>=U1236-W1236</t>
  </si>
  <si>
    <t>=IF(U1236&lt;&gt;0,X1236/U1236,"")</t>
  </si>
  <si>
    <t>=NL("Sum","5802 Value Entry","150 Sales Amount (Expected)","41 Source Type",$C$5,"5 Source No.",$C1236,"4 Item Ledger Entry Type",$C$4,"2 Item No.","@@"&amp;$F1236,"3 Posting Date",Z$9)+NL("Sum","5802 Value Entry","17 Sales Amount (Actual)","41 Source Type",$C$5,"5 Source no.",$C1236,"4 Item Ledger Entry Type",$C$4,"2 Item No.","@@"&amp;$F1236,"3 Posting Date",Z$9)</t>
  </si>
  <si>
    <t>=-NL("Sum","5802 Value Entry","151 Cost Amount (Expected)","41 Source Type",$C$5,"5 Source No.",$C1236,"4 Item Ledger Entry Type",$C$4,"2 Item No.","@@"&amp;$F1236,"3 Posting Date",Z$9)-NL("Sum","5802 Value Entry","43 Cost Amount (Actual)","41 Source Type",$C$5,"5 Source no.",$C1236,"4 Item Ledger Entry Type",$C$4,"2 Item No.","@@"&amp;$F1236,"3 Posting Date",Z$9)</t>
  </si>
  <si>
    <t>=Z1236-AB1236</t>
  </si>
  <si>
    <t>=IF(Z1236&lt;&gt;0,AC1236/Z1236,"")</t>
  </si>
  <si>
    <t>=C1236</t>
  </si>
  <si>
    <t>=NL("Sum","5802 Value Entry","150 Sales Amount (Expected)","41 Source Type",$C$5,"5 Source No.",$C1237,"4 Item Ledger Entry Type",$C$4,"2 Item No.","@@"&amp;$F1237,"3 Posting Date",J$9)+NL("Sum","5802 Value Entry","17 Sales Amount (Actual)","41 Source Type",$C$5,"5 Source no.",$C1237,"4 Item Ledger Entry Type",$C$4,"2 Item No.","@@"&amp;$F1237,"3 Posting Date",J$9)</t>
  </si>
  <si>
    <t>=-NL("Sum","5802 Value Entry","151 Cost Amount (Expected)","41 Source Type",$C$5,"5 Source No.",$C1237,"4 Item Ledger Entry Type",$C$4,"2 Item No.","@@"&amp;$F1237,"3 Posting Date",J$9)-NL("Sum","5802 Value Entry","43 Cost Amount (Actual)","41 Source Type",$C$5,"5 Source no.",$C1237,"4 Item Ledger Entry Type",$C$4,"2 Item No.","@@"&amp;$F1237,"3 Posting Date",J$9)</t>
  </si>
  <si>
    <t>=J1237-L1237</t>
  </si>
  <si>
    <t>=IF(J1237&lt;&gt;0,M1237/J1237,"")</t>
  </si>
  <si>
    <t>=NL("Sum","5802 Value Entry","150 Sales Amount (Expected)","41 Source Type",$C$5,"5 Source No.",$C1237,"4 Item Ledger Entry Type",$C$4,"2 Item No.","@@"&amp;$F1237,"3 Posting Date",O$9)+NL("Sum","5802 Value Entry","17 Sales Amount (Actual)","41 Source Type",$C$5,"5 Source no.",$C1237,"4 Item Ledger Entry Type",$C$4,"2 Item No.","@@"&amp;$F1237,"3 Posting Date",O$9)</t>
  </si>
  <si>
    <t>=-NL("Sum","5802 Value Entry","151 Cost Amount (Expected)","41 Source Type",$C$5,"5 Source No.",$C1237,"4 Item Ledger Entry Type",$C$4,"2 Item No.","@@"&amp;$F1237,"3 Posting Date",O$9)-NL("Sum","5802 Value Entry","43 Cost Amount (Actual)","41 Source Type",$C$5,"5 Source no.",$C1237,"4 Item Ledger Entry Type",$C$4,"2 Item No.","@@"&amp;$F1237,"3 Posting Date",O$9)</t>
  </si>
  <si>
    <t>=O1237-Q1237</t>
  </si>
  <si>
    <t>=IF(O1237&lt;&gt;0,R1237/O1237,"")</t>
  </si>
  <si>
    <t>=NL("Sum","5802 Value Entry","150 Sales Amount (Expected)","41 Source Type",$C$5,"5 Source No.",$C1237,"4 Item Ledger Entry Type",$C$4,"2 Item No.","@@"&amp;$F1237,"3 Posting Date",U$9)+NL("Sum","5802 Value Entry","17 Sales Amount (Actual)","41 Source Type",$C$5,"5 Source no.",$C1237,"4 Item Ledger Entry Type",$C$4,"2 Item No.","@@"&amp;$F1237,"3 Posting Date",U$9)</t>
  </si>
  <si>
    <t>=-NL("Sum","5802 Value Entry","151 Cost Amount (Expected)","41 Source Type",$C$5,"5 Source No.",$C1237,"4 Item Ledger Entry Type",$C$4,"2 Item No.","@@"&amp;$F1237,"3 Posting Date",U$9)-NL("Sum","5802 Value Entry","43 Cost Amount (Actual)","41 Source Type",$C$5,"5 Source no.",$C1237,"4 Item Ledger Entry Type",$C$4,"2 Item No.","@@"&amp;$F1237,"3 Posting Date",U$9)</t>
  </si>
  <si>
    <t>=U1237-W1237</t>
  </si>
  <si>
    <t>=IF(U1237&lt;&gt;0,X1237/U1237,"")</t>
  </si>
  <si>
    <t>=NL("Sum","5802 Value Entry","150 Sales Amount (Expected)","41 Source Type",$C$5,"5 Source No.",$C1237,"4 Item Ledger Entry Type",$C$4,"2 Item No.","@@"&amp;$F1237,"3 Posting Date",Z$9)+NL("Sum","5802 Value Entry","17 Sales Amount (Actual)","41 Source Type",$C$5,"5 Source no.",$C1237,"4 Item Ledger Entry Type",$C$4,"2 Item No.","@@"&amp;$F1237,"3 Posting Date",Z$9)</t>
  </si>
  <si>
    <t>=-NL("Sum","5802 Value Entry","151 Cost Amount (Expected)","41 Source Type",$C$5,"5 Source No.",$C1237,"4 Item Ledger Entry Type",$C$4,"2 Item No.","@@"&amp;$F1237,"3 Posting Date",Z$9)-NL("Sum","5802 Value Entry","43 Cost Amount (Actual)","41 Source Type",$C$5,"5 Source no.",$C1237,"4 Item Ledger Entry Type",$C$4,"2 Item No.","@@"&amp;$F1237,"3 Posting Date",Z$9)</t>
  </si>
  <si>
    <t>=Z1237-AB1237</t>
  </si>
  <si>
    <t>=IF(Z1237&lt;&gt;0,AC1237/Z1237,"")</t>
  </si>
  <si>
    <t>=NL("Sum","5802 Value Entry","150 Sales Amount (Expected)","41 Source Type",$C$5,"5 Source No.",$C1238,"4 Item Ledger Entry Type",$C$4,"2 Item No.","@@"&amp;$F1238,"3 Posting Date",J$9)+NL("Sum","5802 Value Entry","17 Sales Amount (Actual)","41 Source Type",$C$5,"5 Source no.",$C1238,"4 Item Ledger Entry Type",$C$4,"2 Item No.","@@"&amp;$F1238,"3 Posting Date",J$9)</t>
  </si>
  <si>
    <t>=-NL("Sum","5802 Value Entry","151 Cost Amount (Expected)","41 Source Type",$C$5,"5 Source No.",$C1238,"4 Item Ledger Entry Type",$C$4,"2 Item No.","@@"&amp;$F1238,"3 Posting Date",J$9)-NL("Sum","5802 Value Entry","43 Cost Amount (Actual)","41 Source Type",$C$5,"5 Source no.",$C1238,"4 Item Ledger Entry Type",$C$4,"2 Item No.","@@"&amp;$F1238,"3 Posting Date",J$9)</t>
  </si>
  <si>
    <t>=J1238-L1238</t>
  </si>
  <si>
    <t>=IF(J1238&lt;&gt;0,M1238/J1238,"")</t>
  </si>
  <si>
    <t>=NL("Sum","5802 Value Entry","150 Sales Amount (Expected)","41 Source Type",$C$5,"5 Source No.",$C1238,"4 Item Ledger Entry Type",$C$4,"2 Item No.","@@"&amp;$F1238,"3 Posting Date",O$9)+NL("Sum","5802 Value Entry","17 Sales Amount (Actual)","41 Source Type",$C$5,"5 Source no.",$C1238,"4 Item Ledger Entry Type",$C$4,"2 Item No.","@@"&amp;$F1238,"3 Posting Date",O$9)</t>
  </si>
  <si>
    <t>=-NL("Sum","5802 Value Entry","151 Cost Amount (Expected)","41 Source Type",$C$5,"5 Source No.",$C1238,"4 Item Ledger Entry Type",$C$4,"2 Item No.","@@"&amp;$F1238,"3 Posting Date",O$9)-NL("Sum","5802 Value Entry","43 Cost Amount (Actual)","41 Source Type",$C$5,"5 Source no.",$C1238,"4 Item Ledger Entry Type",$C$4,"2 Item No.","@@"&amp;$F1238,"3 Posting Date",O$9)</t>
  </si>
  <si>
    <t>=O1238-Q1238</t>
  </si>
  <si>
    <t>=IF(O1238&lt;&gt;0,R1238/O1238,"")</t>
  </si>
  <si>
    <t>=NL("Sum","5802 Value Entry","150 Sales Amount (Expected)","41 Source Type",$C$5,"5 Source No.",$C1238,"4 Item Ledger Entry Type",$C$4,"2 Item No.","@@"&amp;$F1238,"3 Posting Date",U$9)+NL("Sum","5802 Value Entry","17 Sales Amount (Actual)","41 Source Type",$C$5,"5 Source no.",$C1238,"4 Item Ledger Entry Type",$C$4,"2 Item No.","@@"&amp;$F1238,"3 Posting Date",U$9)</t>
  </si>
  <si>
    <t>=-NL("Sum","5802 Value Entry","151 Cost Amount (Expected)","41 Source Type",$C$5,"5 Source No.",$C1238,"4 Item Ledger Entry Type",$C$4,"2 Item No.","@@"&amp;$F1238,"3 Posting Date",U$9)-NL("Sum","5802 Value Entry","43 Cost Amount (Actual)","41 Source Type",$C$5,"5 Source no.",$C1238,"4 Item Ledger Entry Type",$C$4,"2 Item No.","@@"&amp;$F1238,"3 Posting Date",U$9)</t>
  </si>
  <si>
    <t>=U1238-W1238</t>
  </si>
  <si>
    <t>=IF(U1238&lt;&gt;0,X1238/U1238,"")</t>
  </si>
  <si>
    <t>=NL("Sum","5802 Value Entry","150 Sales Amount (Expected)","41 Source Type",$C$5,"5 Source No.",$C1238,"4 Item Ledger Entry Type",$C$4,"2 Item No.","@@"&amp;$F1238,"3 Posting Date",Z$9)+NL("Sum","5802 Value Entry","17 Sales Amount (Actual)","41 Source Type",$C$5,"5 Source no.",$C1238,"4 Item Ledger Entry Type",$C$4,"2 Item No.","@@"&amp;$F1238,"3 Posting Date",Z$9)</t>
  </si>
  <si>
    <t>=-NL("Sum","5802 Value Entry","151 Cost Amount (Expected)","41 Source Type",$C$5,"5 Source No.",$C1238,"4 Item Ledger Entry Type",$C$4,"2 Item No.","@@"&amp;$F1238,"3 Posting Date",Z$9)-NL("Sum","5802 Value Entry","43 Cost Amount (Actual)","41 Source Type",$C$5,"5 Source no.",$C1238,"4 Item Ledger Entry Type",$C$4,"2 Item No.","@@"&amp;$F1238,"3 Posting Date",Z$9)</t>
  </si>
  <si>
    <t>=Z1238-AB1238</t>
  </si>
  <si>
    <t>=IF(Z1238&lt;&gt;0,AC1238/Z1238,"")</t>
  </si>
  <si>
    <t>=C1248</t>
  </si>
  <si>
    <t>=NL("Sum","5802 Value Entry","150 Sales Amount (Expected)","41 Source Type",$C$5,"5 Source No.",$C1249,"4 Item Ledger Entry Type",$C$4,"2 Item No.","@@"&amp;$F1249,"3 Posting Date",J$9)+NL("Sum","5802 Value Entry","17 Sales Amount (Actual)","41 Source Type",$C$5,"5 Source no.",$C1249,"4 Item Ledger Entry Type",$C$4,"2 Item No.","@@"&amp;$F1249,"3 Posting Date",J$9)</t>
  </si>
  <si>
    <t>=-NL("Sum","5802 Value Entry","151 Cost Amount (Expected)","41 Source Type",$C$5,"5 Source No.",$C1249,"4 Item Ledger Entry Type",$C$4,"2 Item No.","@@"&amp;$F1249,"3 Posting Date",J$9)-NL("Sum","5802 Value Entry","43 Cost Amount (Actual)","41 Source Type",$C$5,"5 Source no.",$C1249,"4 Item Ledger Entry Type",$C$4,"2 Item No.","@@"&amp;$F1249,"3 Posting Date",J$9)</t>
  </si>
  <si>
    <t>=J1249-L1249</t>
  </si>
  <si>
    <t>=IF(J1249&lt;&gt;0,M1249/J1249,"")</t>
  </si>
  <si>
    <t>=NL("Sum","5802 Value Entry","150 Sales Amount (Expected)","41 Source Type",$C$5,"5 Source No.",$C1249,"4 Item Ledger Entry Type",$C$4,"2 Item No.","@@"&amp;$F1249,"3 Posting Date",O$9)+NL("Sum","5802 Value Entry","17 Sales Amount (Actual)","41 Source Type",$C$5,"5 Source no.",$C1249,"4 Item Ledger Entry Type",$C$4,"2 Item No.","@@"&amp;$F1249,"3 Posting Date",O$9)</t>
  </si>
  <si>
    <t>=-NL("Sum","5802 Value Entry","151 Cost Amount (Expected)","41 Source Type",$C$5,"5 Source No.",$C1249,"4 Item Ledger Entry Type",$C$4,"2 Item No.","@@"&amp;$F1249,"3 Posting Date",O$9)-NL("Sum","5802 Value Entry","43 Cost Amount (Actual)","41 Source Type",$C$5,"5 Source no.",$C1249,"4 Item Ledger Entry Type",$C$4,"2 Item No.","@@"&amp;$F1249,"3 Posting Date",O$9)</t>
  </si>
  <si>
    <t>=O1249-Q1249</t>
  </si>
  <si>
    <t>=IF(O1249&lt;&gt;0,R1249/O1249,"")</t>
  </si>
  <si>
    <t>=NL("Sum","5802 Value Entry","150 Sales Amount (Expected)","41 Source Type",$C$5,"5 Source No.",$C1249,"4 Item Ledger Entry Type",$C$4,"2 Item No.","@@"&amp;$F1249,"3 Posting Date",U$9)+NL("Sum","5802 Value Entry","17 Sales Amount (Actual)","41 Source Type",$C$5,"5 Source no.",$C1249,"4 Item Ledger Entry Type",$C$4,"2 Item No.","@@"&amp;$F1249,"3 Posting Date",U$9)</t>
  </si>
  <si>
    <t>=-NL("Sum","5802 Value Entry","151 Cost Amount (Expected)","41 Source Type",$C$5,"5 Source No.",$C1249,"4 Item Ledger Entry Type",$C$4,"2 Item No.","@@"&amp;$F1249,"3 Posting Date",U$9)-NL("Sum","5802 Value Entry","43 Cost Amount (Actual)","41 Source Type",$C$5,"5 Source no.",$C1249,"4 Item Ledger Entry Type",$C$4,"2 Item No.","@@"&amp;$F1249,"3 Posting Date",U$9)</t>
  </si>
  <si>
    <t>=U1249-W1249</t>
  </si>
  <si>
    <t>=IF(U1249&lt;&gt;0,X1249/U1249,"")</t>
  </si>
  <si>
    <t>=NL("Sum","5802 Value Entry","150 Sales Amount (Expected)","41 Source Type",$C$5,"5 Source No.",$C1249,"4 Item Ledger Entry Type",$C$4,"2 Item No.","@@"&amp;$F1249,"3 Posting Date",Z$9)+NL("Sum","5802 Value Entry","17 Sales Amount (Actual)","41 Source Type",$C$5,"5 Source no.",$C1249,"4 Item Ledger Entry Type",$C$4,"2 Item No.","@@"&amp;$F1249,"3 Posting Date",Z$9)</t>
  </si>
  <si>
    <t>=-NL("Sum","5802 Value Entry","151 Cost Amount (Expected)","41 Source Type",$C$5,"5 Source No.",$C1249,"4 Item Ledger Entry Type",$C$4,"2 Item No.","@@"&amp;$F1249,"3 Posting Date",Z$9)-NL("Sum","5802 Value Entry","43 Cost Amount (Actual)","41 Source Type",$C$5,"5 Source no.",$C1249,"4 Item Ledger Entry Type",$C$4,"2 Item No.","@@"&amp;$F1249,"3 Posting Date",Z$9)</t>
  </si>
  <si>
    <t>=Z1249-AB1249</t>
  </si>
  <si>
    <t>=IF(Z1249&lt;&gt;0,AC1249/Z1249,"")</t>
  </si>
  <si>
    <t>=NL("Sum","5802 Value Entry","150 Sales Amount (Expected)","41 Source Type",$C$5,"5 Source No.",$C1250,"4 Item Ledger Entry Type",$C$4,"2 Item No.","@@"&amp;$F1250,"3 Posting Date",J$9)+NL("Sum","5802 Value Entry","17 Sales Amount (Actual)","41 Source Type",$C$5,"5 Source no.",$C1250,"4 Item Ledger Entry Type",$C$4,"2 Item No.","@@"&amp;$F1250,"3 Posting Date",J$9)</t>
  </si>
  <si>
    <t>=-NL("Sum","5802 Value Entry","151 Cost Amount (Expected)","41 Source Type",$C$5,"5 Source No.",$C1250,"4 Item Ledger Entry Type",$C$4,"2 Item No.","@@"&amp;$F1250,"3 Posting Date",J$9)-NL("Sum","5802 Value Entry","43 Cost Amount (Actual)","41 Source Type",$C$5,"5 Source no.",$C1250,"4 Item Ledger Entry Type",$C$4,"2 Item No.","@@"&amp;$F1250,"3 Posting Date",J$9)</t>
  </si>
  <si>
    <t>=NL("Sum","5802 Value Entry","150 Sales Amount (Expected)","41 Source Type",$C$5,"5 Source No.",$C1250,"4 Item Ledger Entry Type",$C$4,"2 Item No.","@@"&amp;$F1250,"3 Posting Date",O$9)+NL("Sum","5802 Value Entry","17 Sales Amount (Actual)","41 Source Type",$C$5,"5 Source no.",$C1250,"4 Item Ledger Entry Type",$C$4,"2 Item No.","@@"&amp;$F1250,"3 Posting Date",O$9)</t>
  </si>
  <si>
    <t>=-NL("Sum","5802 Value Entry","151 Cost Amount (Expected)","41 Source Type",$C$5,"5 Source No.",$C1250,"4 Item Ledger Entry Type",$C$4,"2 Item No.","@@"&amp;$F1250,"3 Posting Date",O$9)-NL("Sum","5802 Value Entry","43 Cost Amount (Actual)","41 Source Type",$C$5,"5 Source no.",$C1250,"4 Item Ledger Entry Type",$C$4,"2 Item No.","@@"&amp;$F1250,"3 Posting Date",O$9)</t>
  </si>
  <si>
    <t>=NL("Sum","5802 Value Entry","150 Sales Amount (Expected)","41 Source Type",$C$5,"5 Source No.",$C1250,"4 Item Ledger Entry Type",$C$4,"2 Item No.","@@"&amp;$F1250,"3 Posting Date",U$9)+NL("Sum","5802 Value Entry","17 Sales Amount (Actual)","41 Source Type",$C$5,"5 Source no.",$C1250,"4 Item Ledger Entry Type",$C$4,"2 Item No.","@@"&amp;$F1250,"3 Posting Date",U$9)</t>
  </si>
  <si>
    <t>=-NL("Sum","5802 Value Entry","151 Cost Amount (Expected)","41 Source Type",$C$5,"5 Source No.",$C1250,"4 Item Ledger Entry Type",$C$4,"2 Item No.","@@"&amp;$F1250,"3 Posting Date",U$9)-NL("Sum","5802 Value Entry","43 Cost Amount (Actual)","41 Source Type",$C$5,"5 Source no.",$C1250,"4 Item Ledger Entry Type",$C$4,"2 Item No.","@@"&amp;$F1250,"3 Posting Date",U$9)</t>
  </si>
  <si>
    <t>=NL("Sum","5802 Value Entry","150 Sales Amount (Expected)","41 Source Type",$C$5,"5 Source No.",$C1250,"4 Item Ledger Entry Type",$C$4,"2 Item No.","@@"&amp;$F1250,"3 Posting Date",Z$9)+NL("Sum","5802 Value Entry","17 Sales Amount (Actual)","41 Source Type",$C$5,"5 Source no.",$C1250,"4 Item Ledger Entry Type",$C$4,"2 Item No.","@@"&amp;$F1250,"3 Posting Date",Z$9)</t>
  </si>
  <si>
    <t>=-NL("Sum","5802 Value Entry","151 Cost Amount (Expected)","41 Source Type",$C$5,"5 Source No.",$C1250,"4 Item Ledger Entry Type",$C$4,"2 Item No.","@@"&amp;$F1250,"3 Posting Date",Z$9)-NL("Sum","5802 Value Entry","43 Cost Amount (Actual)","41 Source Type",$C$5,"5 Source no.",$C1250,"4 Item Ledger Entry Type",$C$4,"2 Item No.","@@"&amp;$F1250,"3 Posting Date",Z$9)</t>
  </si>
  <si>
    <t>=C1250</t>
  </si>
  <si>
    <t>=NL("Sum","5802 Value Entry","150 Sales Amount (Expected)","41 Source Type",$C$5,"5 Source No.",$C1251,"4 Item Ledger Entry Type",$C$4,"2 Item No.","@@"&amp;$F1251,"3 Posting Date",J$9)+NL("Sum","5802 Value Entry","17 Sales Amount (Actual)","41 Source Type",$C$5,"5 Source no.",$C1251,"4 Item Ledger Entry Type",$C$4,"2 Item No.","@@"&amp;$F1251,"3 Posting Date",J$9)</t>
  </si>
  <si>
    <t>=-NL("Sum","5802 Value Entry","151 Cost Amount (Expected)","41 Source Type",$C$5,"5 Source No.",$C1251,"4 Item Ledger Entry Type",$C$4,"2 Item No.","@@"&amp;$F1251,"3 Posting Date",J$9)-NL("Sum","5802 Value Entry","43 Cost Amount (Actual)","41 Source Type",$C$5,"5 Source no.",$C1251,"4 Item Ledger Entry Type",$C$4,"2 Item No.","@@"&amp;$F1251,"3 Posting Date",J$9)</t>
  </si>
  <si>
    <t>=J1251-L1251</t>
  </si>
  <si>
    <t>=IF(J1251&lt;&gt;0,M1251/J1251,"")</t>
  </si>
  <si>
    <t>=NL("Sum","5802 Value Entry","150 Sales Amount (Expected)","41 Source Type",$C$5,"5 Source No.",$C1251,"4 Item Ledger Entry Type",$C$4,"2 Item No.","@@"&amp;$F1251,"3 Posting Date",O$9)+NL("Sum","5802 Value Entry","17 Sales Amount (Actual)","41 Source Type",$C$5,"5 Source no.",$C1251,"4 Item Ledger Entry Type",$C$4,"2 Item No.","@@"&amp;$F1251,"3 Posting Date",O$9)</t>
  </si>
  <si>
    <t>=-NL("Sum","5802 Value Entry","151 Cost Amount (Expected)","41 Source Type",$C$5,"5 Source No.",$C1251,"4 Item Ledger Entry Type",$C$4,"2 Item No.","@@"&amp;$F1251,"3 Posting Date",O$9)-NL("Sum","5802 Value Entry","43 Cost Amount (Actual)","41 Source Type",$C$5,"5 Source no.",$C1251,"4 Item Ledger Entry Type",$C$4,"2 Item No.","@@"&amp;$F1251,"3 Posting Date",O$9)</t>
  </si>
  <si>
    <t>=O1251-Q1251</t>
  </si>
  <si>
    <t>=IF(O1251&lt;&gt;0,R1251/O1251,"")</t>
  </si>
  <si>
    <t>=NL("Sum","5802 Value Entry","150 Sales Amount (Expected)","41 Source Type",$C$5,"5 Source No.",$C1251,"4 Item Ledger Entry Type",$C$4,"2 Item No.","@@"&amp;$F1251,"3 Posting Date",U$9)+NL("Sum","5802 Value Entry","17 Sales Amount (Actual)","41 Source Type",$C$5,"5 Source no.",$C1251,"4 Item Ledger Entry Type",$C$4,"2 Item No.","@@"&amp;$F1251,"3 Posting Date",U$9)</t>
  </si>
  <si>
    <t>=-NL("Sum","5802 Value Entry","151 Cost Amount (Expected)","41 Source Type",$C$5,"5 Source No.",$C1251,"4 Item Ledger Entry Type",$C$4,"2 Item No.","@@"&amp;$F1251,"3 Posting Date",U$9)-NL("Sum","5802 Value Entry","43 Cost Amount (Actual)","41 Source Type",$C$5,"5 Source no.",$C1251,"4 Item Ledger Entry Type",$C$4,"2 Item No.","@@"&amp;$F1251,"3 Posting Date",U$9)</t>
  </si>
  <si>
    <t>=U1251-W1251</t>
  </si>
  <si>
    <t>=IF(U1251&lt;&gt;0,X1251/U1251,"")</t>
  </si>
  <si>
    <t>=NL("Sum","5802 Value Entry","150 Sales Amount (Expected)","41 Source Type",$C$5,"5 Source No.",$C1251,"4 Item Ledger Entry Type",$C$4,"2 Item No.","@@"&amp;$F1251,"3 Posting Date",Z$9)+NL("Sum","5802 Value Entry","17 Sales Amount (Actual)","41 Source Type",$C$5,"5 Source no.",$C1251,"4 Item Ledger Entry Type",$C$4,"2 Item No.","@@"&amp;$F1251,"3 Posting Date",Z$9)</t>
  </si>
  <si>
    <t>=-NL("Sum","5802 Value Entry","151 Cost Amount (Expected)","41 Source Type",$C$5,"5 Source No.",$C1251,"4 Item Ledger Entry Type",$C$4,"2 Item No.","@@"&amp;$F1251,"3 Posting Date",Z$9)-NL("Sum","5802 Value Entry","43 Cost Amount (Actual)","41 Source Type",$C$5,"5 Source no.",$C1251,"4 Item Ledger Entry Type",$C$4,"2 Item No.","@@"&amp;$F1251,"3 Posting Date",Z$9)</t>
  </si>
  <si>
    <t>=Z1251-AB1251</t>
  </si>
  <si>
    <t>=IF(Z1251&lt;&gt;0,AC1251/Z1251,"")</t>
  </si>
  <si>
    <t>=C1251</t>
  </si>
  <si>
    <t>=NL("Sum","5802 Value Entry","150 Sales Amount (Expected)","41 Source Type",$C$5,"5 Source No.",$C1252,"4 Item Ledger Entry Type",$C$4,"2 Item No.","@@"&amp;$F1252,"3 Posting Date",J$9)+NL("Sum","5802 Value Entry","17 Sales Amount (Actual)","41 Source Type",$C$5,"5 Source no.",$C1252,"4 Item Ledger Entry Type",$C$4,"2 Item No.","@@"&amp;$F1252,"3 Posting Date",J$9)</t>
  </si>
  <si>
    <t>=-NL("Sum","5802 Value Entry","151 Cost Amount (Expected)","41 Source Type",$C$5,"5 Source No.",$C1252,"4 Item Ledger Entry Type",$C$4,"2 Item No.","@@"&amp;$F1252,"3 Posting Date",J$9)-NL("Sum","5802 Value Entry","43 Cost Amount (Actual)","41 Source Type",$C$5,"5 Source no.",$C1252,"4 Item Ledger Entry Type",$C$4,"2 Item No.","@@"&amp;$F1252,"3 Posting Date",J$9)</t>
  </si>
  <si>
    <t>=J1252-L1252</t>
  </si>
  <si>
    <t>=IF(J1252&lt;&gt;0,M1252/J1252,"")</t>
  </si>
  <si>
    <t>=NL("Sum","5802 Value Entry","150 Sales Amount (Expected)","41 Source Type",$C$5,"5 Source No.",$C1252,"4 Item Ledger Entry Type",$C$4,"2 Item No.","@@"&amp;$F1252,"3 Posting Date",O$9)+NL("Sum","5802 Value Entry","17 Sales Amount (Actual)","41 Source Type",$C$5,"5 Source no.",$C1252,"4 Item Ledger Entry Type",$C$4,"2 Item No.","@@"&amp;$F1252,"3 Posting Date",O$9)</t>
  </si>
  <si>
    <t>=-NL("Sum","5802 Value Entry","151 Cost Amount (Expected)","41 Source Type",$C$5,"5 Source No.",$C1252,"4 Item Ledger Entry Type",$C$4,"2 Item No.","@@"&amp;$F1252,"3 Posting Date",O$9)-NL("Sum","5802 Value Entry","43 Cost Amount (Actual)","41 Source Type",$C$5,"5 Source no.",$C1252,"4 Item Ledger Entry Type",$C$4,"2 Item No.","@@"&amp;$F1252,"3 Posting Date",O$9)</t>
  </si>
  <si>
    <t>=O1252-Q1252</t>
  </si>
  <si>
    <t>=IF(O1252&lt;&gt;0,R1252/O1252,"")</t>
  </si>
  <si>
    <t>=NL("Sum","5802 Value Entry","150 Sales Amount (Expected)","41 Source Type",$C$5,"5 Source No.",$C1252,"4 Item Ledger Entry Type",$C$4,"2 Item No.","@@"&amp;$F1252,"3 Posting Date",U$9)+NL("Sum","5802 Value Entry","17 Sales Amount (Actual)","41 Source Type",$C$5,"5 Source no.",$C1252,"4 Item Ledger Entry Type",$C$4,"2 Item No.","@@"&amp;$F1252,"3 Posting Date",U$9)</t>
  </si>
  <si>
    <t>=-NL("Sum","5802 Value Entry","151 Cost Amount (Expected)","41 Source Type",$C$5,"5 Source No.",$C1252,"4 Item Ledger Entry Type",$C$4,"2 Item No.","@@"&amp;$F1252,"3 Posting Date",U$9)-NL("Sum","5802 Value Entry","43 Cost Amount (Actual)","41 Source Type",$C$5,"5 Source no.",$C1252,"4 Item Ledger Entry Type",$C$4,"2 Item No.","@@"&amp;$F1252,"3 Posting Date",U$9)</t>
  </si>
  <si>
    <t>=U1252-W1252</t>
  </si>
  <si>
    <t>=IF(U1252&lt;&gt;0,X1252/U1252,"")</t>
  </si>
  <si>
    <t>=NL("Sum","5802 Value Entry","150 Sales Amount (Expected)","41 Source Type",$C$5,"5 Source No.",$C1252,"4 Item Ledger Entry Type",$C$4,"2 Item No.","@@"&amp;$F1252,"3 Posting Date",Z$9)+NL("Sum","5802 Value Entry","17 Sales Amount (Actual)","41 Source Type",$C$5,"5 Source no.",$C1252,"4 Item Ledger Entry Type",$C$4,"2 Item No.","@@"&amp;$F1252,"3 Posting Date",Z$9)</t>
  </si>
  <si>
    <t>=-NL("Sum","5802 Value Entry","151 Cost Amount (Expected)","41 Source Type",$C$5,"5 Source No.",$C1252,"4 Item Ledger Entry Type",$C$4,"2 Item No.","@@"&amp;$F1252,"3 Posting Date",Z$9)-NL("Sum","5802 Value Entry","43 Cost Amount (Actual)","41 Source Type",$C$5,"5 Source no.",$C1252,"4 Item Ledger Entry Type",$C$4,"2 Item No.","@@"&amp;$F1252,"3 Posting Date",Z$9)</t>
  </si>
  <si>
    <t>=Z1252-AB1252</t>
  </si>
  <si>
    <t>=IF(Z1252&lt;&gt;0,AC1252/Z1252,"")</t>
  </si>
  <si>
    <t>=NL("Sum","5802 Value Entry","150 Sales Amount (Expected)","41 Source Type",$C$5,"5 Source No.",$C1253,"4 Item Ledger Entry Type",$C$4,"2 Item No.","@@"&amp;$F1253,"3 Posting Date",J$9)+NL("Sum","5802 Value Entry","17 Sales Amount (Actual)","41 Source Type",$C$5,"5 Source no.",$C1253,"4 Item Ledger Entry Type",$C$4,"2 Item No.","@@"&amp;$F1253,"3 Posting Date",J$9)</t>
  </si>
  <si>
    <t>=-NL("Sum","5802 Value Entry","151 Cost Amount (Expected)","41 Source Type",$C$5,"5 Source No.",$C1253,"4 Item Ledger Entry Type",$C$4,"2 Item No.","@@"&amp;$F1253,"3 Posting Date",J$9)-NL("Sum","5802 Value Entry","43 Cost Amount (Actual)","41 Source Type",$C$5,"5 Source no.",$C1253,"4 Item Ledger Entry Type",$C$4,"2 Item No.","@@"&amp;$F1253,"3 Posting Date",J$9)</t>
  </si>
  <si>
    <t>=J1253-L1253</t>
  </si>
  <si>
    <t>=IF(J1253&lt;&gt;0,M1253/J1253,"")</t>
  </si>
  <si>
    <t>=NL("Sum","5802 Value Entry","150 Sales Amount (Expected)","41 Source Type",$C$5,"5 Source No.",$C1253,"4 Item Ledger Entry Type",$C$4,"2 Item No.","@@"&amp;$F1253,"3 Posting Date",O$9)+NL("Sum","5802 Value Entry","17 Sales Amount (Actual)","41 Source Type",$C$5,"5 Source no.",$C1253,"4 Item Ledger Entry Type",$C$4,"2 Item No.","@@"&amp;$F1253,"3 Posting Date",O$9)</t>
  </si>
  <si>
    <t>=-NL("Sum","5802 Value Entry","151 Cost Amount (Expected)","41 Source Type",$C$5,"5 Source No.",$C1253,"4 Item Ledger Entry Type",$C$4,"2 Item No.","@@"&amp;$F1253,"3 Posting Date",O$9)-NL("Sum","5802 Value Entry","43 Cost Amount (Actual)","41 Source Type",$C$5,"5 Source no.",$C1253,"4 Item Ledger Entry Type",$C$4,"2 Item No.","@@"&amp;$F1253,"3 Posting Date",O$9)</t>
  </si>
  <si>
    <t>=O1253-Q1253</t>
  </si>
  <si>
    <t>=IF(O1253&lt;&gt;0,R1253/O1253,"")</t>
  </si>
  <si>
    <t>=NL("Sum","5802 Value Entry","150 Sales Amount (Expected)","41 Source Type",$C$5,"5 Source No.",$C1253,"4 Item Ledger Entry Type",$C$4,"2 Item No.","@@"&amp;$F1253,"3 Posting Date",U$9)+NL("Sum","5802 Value Entry","17 Sales Amount (Actual)","41 Source Type",$C$5,"5 Source no.",$C1253,"4 Item Ledger Entry Type",$C$4,"2 Item No.","@@"&amp;$F1253,"3 Posting Date",U$9)</t>
  </si>
  <si>
    <t>=-NL("Sum","5802 Value Entry","151 Cost Amount (Expected)","41 Source Type",$C$5,"5 Source No.",$C1253,"4 Item Ledger Entry Type",$C$4,"2 Item No.","@@"&amp;$F1253,"3 Posting Date",U$9)-NL("Sum","5802 Value Entry","43 Cost Amount (Actual)","41 Source Type",$C$5,"5 Source no.",$C1253,"4 Item Ledger Entry Type",$C$4,"2 Item No.","@@"&amp;$F1253,"3 Posting Date",U$9)</t>
  </si>
  <si>
    <t>=U1253-W1253</t>
  </si>
  <si>
    <t>=IF(U1253&lt;&gt;0,X1253/U1253,"")</t>
  </si>
  <si>
    <t>=NL("Sum","5802 Value Entry","150 Sales Amount (Expected)","41 Source Type",$C$5,"5 Source No.",$C1253,"4 Item Ledger Entry Type",$C$4,"2 Item No.","@@"&amp;$F1253,"3 Posting Date",Z$9)+NL("Sum","5802 Value Entry","17 Sales Amount (Actual)","41 Source Type",$C$5,"5 Source no.",$C1253,"4 Item Ledger Entry Type",$C$4,"2 Item No.","@@"&amp;$F1253,"3 Posting Date",Z$9)</t>
  </si>
  <si>
    <t>=-NL("Sum","5802 Value Entry","151 Cost Amount (Expected)","41 Source Type",$C$5,"5 Source No.",$C1253,"4 Item Ledger Entry Type",$C$4,"2 Item No.","@@"&amp;$F1253,"3 Posting Date",Z$9)-NL("Sum","5802 Value Entry","43 Cost Amount (Actual)","41 Source Type",$C$5,"5 Source no.",$C1253,"4 Item Ledger Entry Type",$C$4,"2 Item No.","@@"&amp;$F1253,"3 Posting Date",Z$9)</t>
  </si>
  <si>
    <t>=Z1253-AB1253</t>
  </si>
  <si>
    <t>=IF(Z1253&lt;&gt;0,AC1253/Z1253,"")</t>
  </si>
  <si>
    <t>=C1262&amp;" TOTAL:"</t>
  </si>
  <si>
    <t>=SUBTOTAL(9,J1231:J1261)</t>
  </si>
  <si>
    <t>=SUBTOTAL(9,K1231:K1261)</t>
  </si>
  <si>
    <t>=SUBTOTAL(9,L1231:L1261)</t>
  </si>
  <si>
    <t>=SUBTOTAL(9,O1231:O1261)</t>
  </si>
  <si>
    <t>=SUBTOTAL(9,P1231:P1261)</t>
  </si>
  <si>
    <t>=SUBTOTAL(9,Q1231:Q1261)</t>
  </si>
  <si>
    <t>=SUBTOTAL(9,U1231:U1261)</t>
  </si>
  <si>
    <t>=SUBTOTAL(9,V1231:V1261)</t>
  </si>
  <si>
    <t>=SUBTOTAL(9,W1231:W1261)</t>
  </si>
  <si>
    <t>=SUBTOTAL(9,Z1231:Z1261)</t>
  </si>
  <si>
    <t>=SUBTOTAL(9,AA1231:AA1261)</t>
  </si>
  <si>
    <t>=SUBTOTAL(9,AB1231:AB1261)</t>
  </si>
  <si>
    <t>=E1264</t>
  </si>
  <si>
    <t>=NL(,"18 Customer","2 Name","1 No.",$E1264)</t>
  </si>
  <si>
    <t>=NL("Rows","5802 Value Entry","2 Item No.","4 Item Ledger Entry Type",$C$4,"41 Source Type",$C$5,"5 Source No.",$C1266,"Item No.",$C$7,"3 Posting Date",$C$10)</t>
  </si>
  <si>
    <t>=C1274</t>
  </si>
  <si>
    <t>=NL("Sum","5802 Value Entry","150 Sales Amount (Expected)","41 Source Type",$C$5,"5 Source No.",$C1275,"4 Item Ledger Entry Type",$C$4,"2 Item No.","@@"&amp;$F1275,"3 Posting Date",J$9)+NL("Sum","5802 Value Entry","17 Sales Amount (Actual)","41 Source Type",$C$5,"5 Source no.",$C1275,"4 Item Ledger Entry Type",$C$4,"2 Item No.","@@"&amp;$F1275,"3 Posting Date",J$9)</t>
  </si>
  <si>
    <t>=-NL("Sum","5802 Value Entry","151 Cost Amount (Expected)","41 Source Type",$C$5,"5 Source No.",$C1275,"4 Item Ledger Entry Type",$C$4,"2 Item No.","@@"&amp;$F1275,"3 Posting Date",J$9)-NL("Sum","5802 Value Entry","43 Cost Amount (Actual)","41 Source Type",$C$5,"5 Source no.",$C1275,"4 Item Ledger Entry Type",$C$4,"2 Item No.","@@"&amp;$F1275,"3 Posting Date",J$9)</t>
  </si>
  <si>
    <t>=J1275-L1275</t>
  </si>
  <si>
    <t>=IF(J1275&lt;&gt;0,M1275/J1275,"")</t>
  </si>
  <si>
    <t>=NL("Sum","5802 Value Entry","150 Sales Amount (Expected)","41 Source Type",$C$5,"5 Source No.",$C1275,"4 Item Ledger Entry Type",$C$4,"2 Item No.","@@"&amp;$F1275,"3 Posting Date",O$9)+NL("Sum","5802 Value Entry","17 Sales Amount (Actual)","41 Source Type",$C$5,"5 Source no.",$C1275,"4 Item Ledger Entry Type",$C$4,"2 Item No.","@@"&amp;$F1275,"3 Posting Date",O$9)</t>
  </si>
  <si>
    <t>=-NL("Sum","5802 Value Entry","151 Cost Amount (Expected)","41 Source Type",$C$5,"5 Source No.",$C1275,"4 Item Ledger Entry Type",$C$4,"2 Item No.","@@"&amp;$F1275,"3 Posting Date",O$9)-NL("Sum","5802 Value Entry","43 Cost Amount (Actual)","41 Source Type",$C$5,"5 Source no.",$C1275,"4 Item Ledger Entry Type",$C$4,"2 Item No.","@@"&amp;$F1275,"3 Posting Date",O$9)</t>
  </si>
  <si>
    <t>=O1275-Q1275</t>
  </si>
  <si>
    <t>=IF(O1275&lt;&gt;0,R1275/O1275,"")</t>
  </si>
  <si>
    <t>=NL("Sum","5802 Value Entry","150 Sales Amount (Expected)","41 Source Type",$C$5,"5 Source No.",$C1275,"4 Item Ledger Entry Type",$C$4,"2 Item No.","@@"&amp;$F1275,"3 Posting Date",U$9)+NL("Sum","5802 Value Entry","17 Sales Amount (Actual)","41 Source Type",$C$5,"5 Source no.",$C1275,"4 Item Ledger Entry Type",$C$4,"2 Item No.","@@"&amp;$F1275,"3 Posting Date",U$9)</t>
  </si>
  <si>
    <t>=-NL("Sum","5802 Value Entry","151 Cost Amount (Expected)","41 Source Type",$C$5,"5 Source No.",$C1275,"4 Item Ledger Entry Type",$C$4,"2 Item No.","@@"&amp;$F1275,"3 Posting Date",U$9)-NL("Sum","5802 Value Entry","43 Cost Amount (Actual)","41 Source Type",$C$5,"5 Source no.",$C1275,"4 Item Ledger Entry Type",$C$4,"2 Item No.","@@"&amp;$F1275,"3 Posting Date",U$9)</t>
  </si>
  <si>
    <t>=U1275-W1275</t>
  </si>
  <si>
    <t>=IF(U1275&lt;&gt;0,X1275/U1275,"")</t>
  </si>
  <si>
    <t>=NL("Sum","5802 Value Entry","150 Sales Amount (Expected)","41 Source Type",$C$5,"5 Source No.",$C1275,"4 Item Ledger Entry Type",$C$4,"2 Item No.","@@"&amp;$F1275,"3 Posting Date",Z$9)+NL("Sum","5802 Value Entry","17 Sales Amount (Actual)","41 Source Type",$C$5,"5 Source no.",$C1275,"4 Item Ledger Entry Type",$C$4,"2 Item No.","@@"&amp;$F1275,"3 Posting Date",Z$9)</t>
  </si>
  <si>
    <t>=-NL("Sum","5802 Value Entry","151 Cost Amount (Expected)","41 Source Type",$C$5,"5 Source No.",$C1275,"4 Item Ledger Entry Type",$C$4,"2 Item No.","@@"&amp;$F1275,"3 Posting Date",Z$9)-NL("Sum","5802 Value Entry","43 Cost Amount (Actual)","41 Source Type",$C$5,"5 Source no.",$C1275,"4 Item Ledger Entry Type",$C$4,"2 Item No.","@@"&amp;$F1275,"3 Posting Date",Z$9)</t>
  </si>
  <si>
    <t>=Z1275-AB1275</t>
  </si>
  <si>
    <t>=IF(Z1275&lt;&gt;0,AC1275/Z1275,"")</t>
  </si>
  <si>
    <t>=NL("Sum","5802 Value Entry","150 Sales Amount (Expected)","41 Source Type",$C$5,"5 Source No.",$C1276,"4 Item Ledger Entry Type",$C$4,"2 Item No.","@@"&amp;$F1276,"3 Posting Date",J$9)+NL("Sum","5802 Value Entry","17 Sales Amount (Actual)","41 Source Type",$C$5,"5 Source no.",$C1276,"4 Item Ledger Entry Type",$C$4,"2 Item No.","@@"&amp;$F1276,"3 Posting Date",J$9)</t>
  </si>
  <si>
    <t>=-NL("Sum","5802 Value Entry","151 Cost Amount (Expected)","41 Source Type",$C$5,"5 Source No.",$C1276,"4 Item Ledger Entry Type",$C$4,"2 Item No.","@@"&amp;$F1276,"3 Posting Date",J$9)-NL("Sum","5802 Value Entry","43 Cost Amount (Actual)","41 Source Type",$C$5,"5 Source no.",$C1276,"4 Item Ledger Entry Type",$C$4,"2 Item No.","@@"&amp;$F1276,"3 Posting Date",J$9)</t>
  </si>
  <si>
    <t>=NL("Sum","5802 Value Entry","150 Sales Amount (Expected)","41 Source Type",$C$5,"5 Source No.",$C1276,"4 Item Ledger Entry Type",$C$4,"2 Item No.","@@"&amp;$F1276,"3 Posting Date",O$9)+NL("Sum","5802 Value Entry","17 Sales Amount (Actual)","41 Source Type",$C$5,"5 Source no.",$C1276,"4 Item Ledger Entry Type",$C$4,"2 Item No.","@@"&amp;$F1276,"3 Posting Date",O$9)</t>
  </si>
  <si>
    <t>=-NL("Sum","5802 Value Entry","151 Cost Amount (Expected)","41 Source Type",$C$5,"5 Source No.",$C1276,"4 Item Ledger Entry Type",$C$4,"2 Item No.","@@"&amp;$F1276,"3 Posting Date",O$9)-NL("Sum","5802 Value Entry","43 Cost Amount (Actual)","41 Source Type",$C$5,"5 Source no.",$C1276,"4 Item Ledger Entry Type",$C$4,"2 Item No.","@@"&amp;$F1276,"3 Posting Date",O$9)</t>
  </si>
  <si>
    <t>=NL("Sum","5802 Value Entry","150 Sales Amount (Expected)","41 Source Type",$C$5,"5 Source No.",$C1276,"4 Item Ledger Entry Type",$C$4,"2 Item No.","@@"&amp;$F1276,"3 Posting Date",U$9)+NL("Sum","5802 Value Entry","17 Sales Amount (Actual)","41 Source Type",$C$5,"5 Source no.",$C1276,"4 Item Ledger Entry Type",$C$4,"2 Item No.","@@"&amp;$F1276,"3 Posting Date",U$9)</t>
  </si>
  <si>
    <t>=-NL("Sum","5802 Value Entry","151 Cost Amount (Expected)","41 Source Type",$C$5,"5 Source No.",$C1276,"4 Item Ledger Entry Type",$C$4,"2 Item No.","@@"&amp;$F1276,"3 Posting Date",U$9)-NL("Sum","5802 Value Entry","43 Cost Amount (Actual)","41 Source Type",$C$5,"5 Source no.",$C1276,"4 Item Ledger Entry Type",$C$4,"2 Item No.","@@"&amp;$F1276,"3 Posting Date",U$9)</t>
  </si>
  <si>
    <t>=NL("Sum","5802 Value Entry","150 Sales Amount (Expected)","41 Source Type",$C$5,"5 Source No.",$C1276,"4 Item Ledger Entry Type",$C$4,"2 Item No.","@@"&amp;$F1276,"3 Posting Date",Z$9)+NL("Sum","5802 Value Entry","17 Sales Amount (Actual)","41 Source Type",$C$5,"5 Source no.",$C1276,"4 Item Ledger Entry Type",$C$4,"2 Item No.","@@"&amp;$F1276,"3 Posting Date",Z$9)</t>
  </si>
  <si>
    <t>=-NL("Sum","5802 Value Entry","151 Cost Amount (Expected)","41 Source Type",$C$5,"5 Source No.",$C1276,"4 Item Ledger Entry Type",$C$4,"2 Item No.","@@"&amp;$F1276,"3 Posting Date",Z$9)-NL("Sum","5802 Value Entry","43 Cost Amount (Actual)","41 Source Type",$C$5,"5 Source no.",$C1276,"4 Item Ledger Entry Type",$C$4,"2 Item No.","@@"&amp;$F1276,"3 Posting Date",Z$9)</t>
  </si>
  <si>
    <t>=C1276</t>
  </si>
  <si>
    <t>=NL("Sum","5802 Value Entry","150 Sales Amount (Expected)","41 Source Type",$C$5,"5 Source No.",$C1277,"4 Item Ledger Entry Type",$C$4,"2 Item No.","@@"&amp;$F1277,"3 Posting Date",J$9)+NL("Sum","5802 Value Entry","17 Sales Amount (Actual)","41 Source Type",$C$5,"5 Source no.",$C1277,"4 Item Ledger Entry Type",$C$4,"2 Item No.","@@"&amp;$F1277,"3 Posting Date",J$9)</t>
  </si>
  <si>
    <t>=-NL("Sum","5802 Value Entry","151 Cost Amount (Expected)","41 Source Type",$C$5,"5 Source No.",$C1277,"4 Item Ledger Entry Type",$C$4,"2 Item No.","@@"&amp;$F1277,"3 Posting Date",J$9)-NL("Sum","5802 Value Entry","43 Cost Amount (Actual)","41 Source Type",$C$5,"5 Source no.",$C1277,"4 Item Ledger Entry Type",$C$4,"2 Item No.","@@"&amp;$F1277,"3 Posting Date",J$9)</t>
  </si>
  <si>
    <t>=J1277-L1277</t>
  </si>
  <si>
    <t>=IF(J1277&lt;&gt;0,M1277/J1277,"")</t>
  </si>
  <si>
    <t>=NL("Sum","5802 Value Entry","150 Sales Amount (Expected)","41 Source Type",$C$5,"5 Source No.",$C1277,"4 Item Ledger Entry Type",$C$4,"2 Item No.","@@"&amp;$F1277,"3 Posting Date",O$9)+NL("Sum","5802 Value Entry","17 Sales Amount (Actual)","41 Source Type",$C$5,"5 Source no.",$C1277,"4 Item Ledger Entry Type",$C$4,"2 Item No.","@@"&amp;$F1277,"3 Posting Date",O$9)</t>
  </si>
  <si>
    <t>=-NL("Sum","5802 Value Entry","151 Cost Amount (Expected)","41 Source Type",$C$5,"5 Source No.",$C1277,"4 Item Ledger Entry Type",$C$4,"2 Item No.","@@"&amp;$F1277,"3 Posting Date",O$9)-NL("Sum","5802 Value Entry","43 Cost Amount (Actual)","41 Source Type",$C$5,"5 Source no.",$C1277,"4 Item Ledger Entry Type",$C$4,"2 Item No.","@@"&amp;$F1277,"3 Posting Date",O$9)</t>
  </si>
  <si>
    <t>=O1277-Q1277</t>
  </si>
  <si>
    <t>=IF(O1277&lt;&gt;0,R1277/O1277,"")</t>
  </si>
  <si>
    <t>=NL("Sum","5802 Value Entry","150 Sales Amount (Expected)","41 Source Type",$C$5,"5 Source No.",$C1277,"4 Item Ledger Entry Type",$C$4,"2 Item No.","@@"&amp;$F1277,"3 Posting Date",U$9)+NL("Sum","5802 Value Entry","17 Sales Amount (Actual)","41 Source Type",$C$5,"5 Source no.",$C1277,"4 Item Ledger Entry Type",$C$4,"2 Item No.","@@"&amp;$F1277,"3 Posting Date",U$9)</t>
  </si>
  <si>
    <t>=-NL("Sum","5802 Value Entry","151 Cost Amount (Expected)","41 Source Type",$C$5,"5 Source No.",$C1277,"4 Item Ledger Entry Type",$C$4,"2 Item No.","@@"&amp;$F1277,"3 Posting Date",U$9)-NL("Sum","5802 Value Entry","43 Cost Amount (Actual)","41 Source Type",$C$5,"5 Source no.",$C1277,"4 Item Ledger Entry Type",$C$4,"2 Item No.","@@"&amp;$F1277,"3 Posting Date",U$9)</t>
  </si>
  <si>
    <t>=U1277-W1277</t>
  </si>
  <si>
    <t>=IF(U1277&lt;&gt;0,X1277/U1277,"")</t>
  </si>
  <si>
    <t>=NL("Sum","5802 Value Entry","150 Sales Amount (Expected)","41 Source Type",$C$5,"5 Source No.",$C1277,"4 Item Ledger Entry Type",$C$4,"2 Item No.","@@"&amp;$F1277,"3 Posting Date",Z$9)+NL("Sum","5802 Value Entry","17 Sales Amount (Actual)","41 Source Type",$C$5,"5 Source no.",$C1277,"4 Item Ledger Entry Type",$C$4,"2 Item No.","@@"&amp;$F1277,"3 Posting Date",Z$9)</t>
  </si>
  <si>
    <t>=-NL("Sum","5802 Value Entry","151 Cost Amount (Expected)","41 Source Type",$C$5,"5 Source No.",$C1277,"4 Item Ledger Entry Type",$C$4,"2 Item No.","@@"&amp;$F1277,"3 Posting Date",Z$9)-NL("Sum","5802 Value Entry","43 Cost Amount (Actual)","41 Source Type",$C$5,"5 Source no.",$C1277,"4 Item Ledger Entry Type",$C$4,"2 Item No.","@@"&amp;$F1277,"3 Posting Date",Z$9)</t>
  </si>
  <si>
    <t>=Z1277-AB1277</t>
  </si>
  <si>
    <t>=IF(Z1277&lt;&gt;0,AC1277/Z1277,"")</t>
  </si>
  <si>
    <t>=C1277</t>
  </si>
  <si>
    <t>=NL("Sum","5802 Value Entry","150 Sales Amount (Expected)","41 Source Type",$C$5,"5 Source No.",$C1278,"4 Item Ledger Entry Type",$C$4,"2 Item No.","@@"&amp;$F1278,"3 Posting Date",J$9)+NL("Sum","5802 Value Entry","17 Sales Amount (Actual)","41 Source Type",$C$5,"5 Source no.",$C1278,"4 Item Ledger Entry Type",$C$4,"2 Item No.","@@"&amp;$F1278,"3 Posting Date",J$9)</t>
  </si>
  <si>
    <t>=-NL("Sum","5802 Value Entry","151 Cost Amount (Expected)","41 Source Type",$C$5,"5 Source No.",$C1278,"4 Item Ledger Entry Type",$C$4,"2 Item No.","@@"&amp;$F1278,"3 Posting Date",J$9)-NL("Sum","5802 Value Entry","43 Cost Amount (Actual)","41 Source Type",$C$5,"5 Source no.",$C1278,"4 Item Ledger Entry Type",$C$4,"2 Item No.","@@"&amp;$F1278,"3 Posting Date",J$9)</t>
  </si>
  <si>
    <t>=J1278-L1278</t>
  </si>
  <si>
    <t>=IF(J1278&lt;&gt;0,M1278/J1278,"")</t>
  </si>
  <si>
    <t>=NL("Sum","5802 Value Entry","150 Sales Amount (Expected)","41 Source Type",$C$5,"5 Source No.",$C1278,"4 Item Ledger Entry Type",$C$4,"2 Item No.","@@"&amp;$F1278,"3 Posting Date",O$9)+NL("Sum","5802 Value Entry","17 Sales Amount (Actual)","41 Source Type",$C$5,"5 Source no.",$C1278,"4 Item Ledger Entry Type",$C$4,"2 Item No.","@@"&amp;$F1278,"3 Posting Date",O$9)</t>
  </si>
  <si>
    <t>=-NL("Sum","5802 Value Entry","151 Cost Amount (Expected)","41 Source Type",$C$5,"5 Source No.",$C1278,"4 Item Ledger Entry Type",$C$4,"2 Item No.","@@"&amp;$F1278,"3 Posting Date",O$9)-NL("Sum","5802 Value Entry","43 Cost Amount (Actual)","41 Source Type",$C$5,"5 Source no.",$C1278,"4 Item Ledger Entry Type",$C$4,"2 Item No.","@@"&amp;$F1278,"3 Posting Date",O$9)</t>
  </si>
  <si>
    <t>=O1278-Q1278</t>
  </si>
  <si>
    <t>=IF(O1278&lt;&gt;0,R1278/O1278,"")</t>
  </si>
  <si>
    <t>=NL("Sum","5802 Value Entry","150 Sales Amount (Expected)","41 Source Type",$C$5,"5 Source No.",$C1278,"4 Item Ledger Entry Type",$C$4,"2 Item No.","@@"&amp;$F1278,"3 Posting Date",U$9)+NL("Sum","5802 Value Entry","17 Sales Amount (Actual)","41 Source Type",$C$5,"5 Source no.",$C1278,"4 Item Ledger Entry Type",$C$4,"2 Item No.","@@"&amp;$F1278,"3 Posting Date",U$9)</t>
  </si>
  <si>
    <t>=-NL("Sum","5802 Value Entry","151 Cost Amount (Expected)","41 Source Type",$C$5,"5 Source No.",$C1278,"4 Item Ledger Entry Type",$C$4,"2 Item No.","@@"&amp;$F1278,"3 Posting Date",U$9)-NL("Sum","5802 Value Entry","43 Cost Amount (Actual)","41 Source Type",$C$5,"5 Source no.",$C1278,"4 Item Ledger Entry Type",$C$4,"2 Item No.","@@"&amp;$F1278,"3 Posting Date",U$9)</t>
  </si>
  <si>
    <t>=U1278-W1278</t>
  </si>
  <si>
    <t>=IF(U1278&lt;&gt;0,X1278/U1278,"")</t>
  </si>
  <si>
    <t>=NL("Sum","5802 Value Entry","150 Sales Amount (Expected)","41 Source Type",$C$5,"5 Source No.",$C1278,"4 Item Ledger Entry Type",$C$4,"2 Item No.","@@"&amp;$F1278,"3 Posting Date",Z$9)+NL("Sum","5802 Value Entry","17 Sales Amount (Actual)","41 Source Type",$C$5,"5 Source no.",$C1278,"4 Item Ledger Entry Type",$C$4,"2 Item No.","@@"&amp;$F1278,"3 Posting Date",Z$9)</t>
  </si>
  <si>
    <t>=-NL("Sum","5802 Value Entry","151 Cost Amount (Expected)","41 Source Type",$C$5,"5 Source No.",$C1278,"4 Item Ledger Entry Type",$C$4,"2 Item No.","@@"&amp;$F1278,"3 Posting Date",Z$9)-NL("Sum","5802 Value Entry","43 Cost Amount (Actual)","41 Source Type",$C$5,"5 Source no.",$C1278,"4 Item Ledger Entry Type",$C$4,"2 Item No.","@@"&amp;$F1278,"3 Posting Date",Z$9)</t>
  </si>
  <si>
    <t>=Z1278-AB1278</t>
  </si>
  <si>
    <t>=IF(Z1278&lt;&gt;0,AC1278/Z1278,"")</t>
  </si>
  <si>
    <t>=NL("Sum","5802 Value Entry","150 Sales Amount (Expected)","41 Source Type",$C$5,"5 Source No.",$C1279,"4 Item Ledger Entry Type",$C$4,"2 Item No.","@@"&amp;$F1279,"3 Posting Date",J$9)+NL("Sum","5802 Value Entry","17 Sales Amount (Actual)","41 Source Type",$C$5,"5 Source no.",$C1279,"4 Item Ledger Entry Type",$C$4,"2 Item No.","@@"&amp;$F1279,"3 Posting Date",J$9)</t>
  </si>
  <si>
    <t>=-NL("Sum","5802 Value Entry","151 Cost Amount (Expected)","41 Source Type",$C$5,"5 Source No.",$C1279,"4 Item Ledger Entry Type",$C$4,"2 Item No.","@@"&amp;$F1279,"3 Posting Date",J$9)-NL("Sum","5802 Value Entry","43 Cost Amount (Actual)","41 Source Type",$C$5,"5 Source no.",$C1279,"4 Item Ledger Entry Type",$C$4,"2 Item No.","@@"&amp;$F1279,"3 Posting Date",J$9)</t>
  </si>
  <si>
    <t>=J1279-L1279</t>
  </si>
  <si>
    <t>=IF(J1279&lt;&gt;0,M1279/J1279,"")</t>
  </si>
  <si>
    <t>=NL("Sum","5802 Value Entry","150 Sales Amount (Expected)","41 Source Type",$C$5,"5 Source No.",$C1279,"4 Item Ledger Entry Type",$C$4,"2 Item No.","@@"&amp;$F1279,"3 Posting Date",O$9)+NL("Sum","5802 Value Entry","17 Sales Amount (Actual)","41 Source Type",$C$5,"5 Source no.",$C1279,"4 Item Ledger Entry Type",$C$4,"2 Item No.","@@"&amp;$F1279,"3 Posting Date",O$9)</t>
  </si>
  <si>
    <t>=-NL("Sum","5802 Value Entry","151 Cost Amount (Expected)","41 Source Type",$C$5,"5 Source No.",$C1279,"4 Item Ledger Entry Type",$C$4,"2 Item No.","@@"&amp;$F1279,"3 Posting Date",O$9)-NL("Sum","5802 Value Entry","43 Cost Amount (Actual)","41 Source Type",$C$5,"5 Source no.",$C1279,"4 Item Ledger Entry Type",$C$4,"2 Item No.","@@"&amp;$F1279,"3 Posting Date",O$9)</t>
  </si>
  <si>
    <t>=O1279-Q1279</t>
  </si>
  <si>
    <t>=IF(O1279&lt;&gt;0,R1279/O1279,"")</t>
  </si>
  <si>
    <t>=NL("Sum","5802 Value Entry","150 Sales Amount (Expected)","41 Source Type",$C$5,"5 Source No.",$C1279,"4 Item Ledger Entry Type",$C$4,"2 Item No.","@@"&amp;$F1279,"3 Posting Date",U$9)+NL("Sum","5802 Value Entry","17 Sales Amount (Actual)","41 Source Type",$C$5,"5 Source no.",$C1279,"4 Item Ledger Entry Type",$C$4,"2 Item No.","@@"&amp;$F1279,"3 Posting Date",U$9)</t>
  </si>
  <si>
    <t>=-NL("Sum","5802 Value Entry","151 Cost Amount (Expected)","41 Source Type",$C$5,"5 Source No.",$C1279,"4 Item Ledger Entry Type",$C$4,"2 Item No.","@@"&amp;$F1279,"3 Posting Date",U$9)-NL("Sum","5802 Value Entry","43 Cost Amount (Actual)","41 Source Type",$C$5,"5 Source no.",$C1279,"4 Item Ledger Entry Type",$C$4,"2 Item No.","@@"&amp;$F1279,"3 Posting Date",U$9)</t>
  </si>
  <si>
    <t>=U1279-W1279</t>
  </si>
  <si>
    <t>=IF(U1279&lt;&gt;0,X1279/U1279,"")</t>
  </si>
  <si>
    <t>=NL("Sum","5802 Value Entry","150 Sales Amount (Expected)","41 Source Type",$C$5,"5 Source No.",$C1279,"4 Item Ledger Entry Type",$C$4,"2 Item No.","@@"&amp;$F1279,"3 Posting Date",Z$9)+NL("Sum","5802 Value Entry","17 Sales Amount (Actual)","41 Source Type",$C$5,"5 Source no.",$C1279,"4 Item Ledger Entry Type",$C$4,"2 Item No.","@@"&amp;$F1279,"3 Posting Date",Z$9)</t>
  </si>
  <si>
    <t>=-NL("Sum","5802 Value Entry","151 Cost Amount (Expected)","41 Source Type",$C$5,"5 Source No.",$C1279,"4 Item Ledger Entry Type",$C$4,"2 Item No.","@@"&amp;$F1279,"3 Posting Date",Z$9)-NL("Sum","5802 Value Entry","43 Cost Amount (Actual)","41 Source Type",$C$5,"5 Source no.",$C1279,"4 Item Ledger Entry Type",$C$4,"2 Item No.","@@"&amp;$F1279,"3 Posting Date",Z$9)</t>
  </si>
  <si>
    <t>=Z1279-AB1279</t>
  </si>
  <si>
    <t>=IF(Z1279&lt;&gt;0,AC1279/Z1279,"")</t>
  </si>
  <si>
    <t>=C1296&amp;" TOTAL:"</t>
  </si>
  <si>
    <t>=SUBTOTAL(9,J1265:J1295)</t>
  </si>
  <si>
    <t>=SUBTOTAL(9,K1265:K1295)</t>
  </si>
  <si>
    <t>=SUBTOTAL(9,L1265:L1295)</t>
  </si>
  <si>
    <t>=SUBTOTAL(9,O1265:O1295)</t>
  </si>
  <si>
    <t>=SUBTOTAL(9,P1265:P1295)</t>
  </si>
  <si>
    <t>=SUBTOTAL(9,Q1265:Q1295)</t>
  </si>
  <si>
    <t>=SUBTOTAL(9,U1265:U1295)</t>
  </si>
  <si>
    <t>=SUBTOTAL(9,V1265:V1295)</t>
  </si>
  <si>
    <t>=SUBTOTAL(9,W1265:W1295)</t>
  </si>
  <si>
    <t>=SUBTOTAL(9,Z1265:Z1295)</t>
  </si>
  <si>
    <t>=SUBTOTAL(9,AA1265:AA1295)</t>
  </si>
  <si>
    <t>=SUBTOTAL(9,AB1265:AB1295)</t>
  </si>
  <si>
    <t>=E1298</t>
  </si>
  <si>
    <t>=NL(,"18 Customer","2 Name","1 No.",$E1298)</t>
  </si>
  <si>
    <t>=NL("Rows","5802 Value Entry","2 Item No.","4 Item Ledger Entry Type",$C$4,"41 Source Type",$C$5,"5 Source No.",$C1300,"Item No.",$C$7,"3 Posting Date",$C$10)</t>
  </si>
  <si>
    <t>=C1321</t>
  </si>
  <si>
    <t>=NL("Sum","5802 Value Entry","150 Sales Amount (Expected)","41 Source Type",$C$5,"5 Source No.",$C1322,"4 Item Ledger Entry Type",$C$4,"2 Item No.","@@"&amp;$F1322,"3 Posting Date",J$9)+NL("Sum","5802 Value Entry","17 Sales Amount (Actual)","41 Source Type",$C$5,"5 Source no.",$C1322,"4 Item Ledger Entry Type",$C$4,"2 Item No.","@@"&amp;$F1322,"3 Posting Date",J$9)</t>
  </si>
  <si>
    <t>=-NL("Sum","5802 Value Entry","151 Cost Amount (Expected)","41 Source Type",$C$5,"5 Source No.",$C1322,"4 Item Ledger Entry Type",$C$4,"2 Item No.","@@"&amp;$F1322,"3 Posting Date",J$9)-NL("Sum","5802 Value Entry","43 Cost Amount (Actual)","41 Source Type",$C$5,"5 Source no.",$C1322,"4 Item Ledger Entry Type",$C$4,"2 Item No.","@@"&amp;$F1322,"3 Posting Date",J$9)</t>
  </si>
  <si>
    <t>=J1322-L1322</t>
  </si>
  <si>
    <t>=IF(J1322&lt;&gt;0,M1322/J1322,"")</t>
  </si>
  <si>
    <t>=NL("Sum","5802 Value Entry","150 Sales Amount (Expected)","41 Source Type",$C$5,"5 Source No.",$C1322,"4 Item Ledger Entry Type",$C$4,"2 Item No.","@@"&amp;$F1322,"3 Posting Date",O$9)+NL("Sum","5802 Value Entry","17 Sales Amount (Actual)","41 Source Type",$C$5,"5 Source no.",$C1322,"4 Item Ledger Entry Type",$C$4,"2 Item No.","@@"&amp;$F1322,"3 Posting Date",O$9)</t>
  </si>
  <si>
    <t>=-NL("Sum","5802 Value Entry","151 Cost Amount (Expected)","41 Source Type",$C$5,"5 Source No.",$C1322,"4 Item Ledger Entry Type",$C$4,"2 Item No.","@@"&amp;$F1322,"3 Posting Date",O$9)-NL("Sum","5802 Value Entry","43 Cost Amount (Actual)","41 Source Type",$C$5,"5 Source no.",$C1322,"4 Item Ledger Entry Type",$C$4,"2 Item No.","@@"&amp;$F1322,"3 Posting Date",O$9)</t>
  </si>
  <si>
    <t>=O1322-Q1322</t>
  </si>
  <si>
    <t>=IF(O1322&lt;&gt;0,R1322/O1322,"")</t>
  </si>
  <si>
    <t>=NL("Sum","5802 Value Entry","150 Sales Amount (Expected)","41 Source Type",$C$5,"5 Source No.",$C1322,"4 Item Ledger Entry Type",$C$4,"2 Item No.","@@"&amp;$F1322,"3 Posting Date",U$9)+NL("Sum","5802 Value Entry","17 Sales Amount (Actual)","41 Source Type",$C$5,"5 Source no.",$C1322,"4 Item Ledger Entry Type",$C$4,"2 Item No.","@@"&amp;$F1322,"3 Posting Date",U$9)</t>
  </si>
  <si>
    <t>=-NL("Sum","5802 Value Entry","151 Cost Amount (Expected)","41 Source Type",$C$5,"5 Source No.",$C1322,"4 Item Ledger Entry Type",$C$4,"2 Item No.","@@"&amp;$F1322,"3 Posting Date",U$9)-NL("Sum","5802 Value Entry","43 Cost Amount (Actual)","41 Source Type",$C$5,"5 Source no.",$C1322,"4 Item Ledger Entry Type",$C$4,"2 Item No.","@@"&amp;$F1322,"3 Posting Date",U$9)</t>
  </si>
  <si>
    <t>=U1322-W1322</t>
  </si>
  <si>
    <t>=IF(U1322&lt;&gt;0,X1322/U1322,"")</t>
  </si>
  <si>
    <t>=NL("Sum","5802 Value Entry","150 Sales Amount (Expected)","41 Source Type",$C$5,"5 Source No.",$C1322,"4 Item Ledger Entry Type",$C$4,"2 Item No.","@@"&amp;$F1322,"3 Posting Date",Z$9)+NL("Sum","5802 Value Entry","17 Sales Amount (Actual)","41 Source Type",$C$5,"5 Source no.",$C1322,"4 Item Ledger Entry Type",$C$4,"2 Item No.","@@"&amp;$F1322,"3 Posting Date",Z$9)</t>
  </si>
  <si>
    <t>=-NL("Sum","5802 Value Entry","151 Cost Amount (Expected)","41 Source Type",$C$5,"5 Source No.",$C1322,"4 Item Ledger Entry Type",$C$4,"2 Item No.","@@"&amp;$F1322,"3 Posting Date",Z$9)-NL("Sum","5802 Value Entry","43 Cost Amount (Actual)","41 Source Type",$C$5,"5 Source no.",$C1322,"4 Item Ledger Entry Type",$C$4,"2 Item No.","@@"&amp;$F1322,"3 Posting Date",Z$9)</t>
  </si>
  <si>
    <t>=Z1322-AB1322</t>
  </si>
  <si>
    <t>=IF(Z1322&lt;&gt;0,AC1322/Z1322,"")</t>
  </si>
  <si>
    <t>=NL("Sum","5802 Value Entry","150 Sales Amount (Expected)","41 Source Type",$C$5,"5 Source No.",$C1323,"4 Item Ledger Entry Type",$C$4,"2 Item No.","@@"&amp;$F1323,"3 Posting Date",J$9)+NL("Sum","5802 Value Entry","17 Sales Amount (Actual)","41 Source Type",$C$5,"5 Source no.",$C1323,"4 Item Ledger Entry Type",$C$4,"2 Item No.","@@"&amp;$F1323,"3 Posting Date",J$9)</t>
  </si>
  <si>
    <t>=-NL("Sum","5802 Value Entry","151 Cost Amount (Expected)","41 Source Type",$C$5,"5 Source No.",$C1323,"4 Item Ledger Entry Type",$C$4,"2 Item No.","@@"&amp;$F1323,"3 Posting Date",J$9)-NL("Sum","5802 Value Entry","43 Cost Amount (Actual)","41 Source Type",$C$5,"5 Source no.",$C1323,"4 Item Ledger Entry Type",$C$4,"2 Item No.","@@"&amp;$F1323,"3 Posting Date",J$9)</t>
  </si>
  <si>
    <t>=NL("Sum","5802 Value Entry","150 Sales Amount (Expected)","41 Source Type",$C$5,"5 Source No.",$C1323,"4 Item Ledger Entry Type",$C$4,"2 Item No.","@@"&amp;$F1323,"3 Posting Date",O$9)+NL("Sum","5802 Value Entry","17 Sales Amount (Actual)","41 Source Type",$C$5,"5 Source no.",$C1323,"4 Item Ledger Entry Type",$C$4,"2 Item No.","@@"&amp;$F1323,"3 Posting Date",O$9)</t>
  </si>
  <si>
    <t>=-NL("Sum","5802 Value Entry","151 Cost Amount (Expected)","41 Source Type",$C$5,"5 Source No.",$C1323,"4 Item Ledger Entry Type",$C$4,"2 Item No.","@@"&amp;$F1323,"3 Posting Date",O$9)-NL("Sum","5802 Value Entry","43 Cost Amount (Actual)","41 Source Type",$C$5,"5 Source no.",$C1323,"4 Item Ledger Entry Type",$C$4,"2 Item No.","@@"&amp;$F1323,"3 Posting Date",O$9)</t>
  </si>
  <si>
    <t>=NL("Sum","5802 Value Entry","150 Sales Amount (Expected)","41 Source Type",$C$5,"5 Source No.",$C1323,"4 Item Ledger Entry Type",$C$4,"2 Item No.","@@"&amp;$F1323,"3 Posting Date",U$9)+NL("Sum","5802 Value Entry","17 Sales Amount (Actual)","41 Source Type",$C$5,"5 Source no.",$C1323,"4 Item Ledger Entry Type",$C$4,"2 Item No.","@@"&amp;$F1323,"3 Posting Date",U$9)</t>
  </si>
  <si>
    <t>=-NL("Sum","5802 Value Entry","151 Cost Amount (Expected)","41 Source Type",$C$5,"5 Source No.",$C1323,"4 Item Ledger Entry Type",$C$4,"2 Item No.","@@"&amp;$F1323,"3 Posting Date",U$9)-NL("Sum","5802 Value Entry","43 Cost Amount (Actual)","41 Source Type",$C$5,"5 Source no.",$C1323,"4 Item Ledger Entry Type",$C$4,"2 Item No.","@@"&amp;$F1323,"3 Posting Date",U$9)</t>
  </si>
  <si>
    <t>=NL("Sum","5802 Value Entry","150 Sales Amount (Expected)","41 Source Type",$C$5,"5 Source No.",$C1323,"4 Item Ledger Entry Type",$C$4,"2 Item No.","@@"&amp;$F1323,"3 Posting Date",Z$9)+NL("Sum","5802 Value Entry","17 Sales Amount (Actual)","41 Source Type",$C$5,"5 Source no.",$C1323,"4 Item Ledger Entry Type",$C$4,"2 Item No.","@@"&amp;$F1323,"3 Posting Date",Z$9)</t>
  </si>
  <si>
    <t>=-NL("Sum","5802 Value Entry","151 Cost Amount (Expected)","41 Source Type",$C$5,"5 Source No.",$C1323,"4 Item Ledger Entry Type",$C$4,"2 Item No.","@@"&amp;$F1323,"3 Posting Date",Z$9)-NL("Sum","5802 Value Entry","43 Cost Amount (Actual)","41 Source Type",$C$5,"5 Source no.",$C1323,"4 Item Ledger Entry Type",$C$4,"2 Item No.","@@"&amp;$F1323,"3 Posting Date",Z$9)</t>
  </si>
  <si>
    <t>=C1323</t>
  </si>
  <si>
    <t>=NL("Sum","5802 Value Entry","150 Sales Amount (Expected)","41 Source Type",$C$5,"5 Source No.",$C1324,"4 Item Ledger Entry Type",$C$4,"2 Item No.","@@"&amp;$F1324,"3 Posting Date",J$9)+NL("Sum","5802 Value Entry","17 Sales Amount (Actual)","41 Source Type",$C$5,"5 Source no.",$C1324,"4 Item Ledger Entry Type",$C$4,"2 Item No.","@@"&amp;$F1324,"3 Posting Date",J$9)</t>
  </si>
  <si>
    <t>=-NL("Sum","5802 Value Entry","151 Cost Amount (Expected)","41 Source Type",$C$5,"5 Source No.",$C1324,"4 Item Ledger Entry Type",$C$4,"2 Item No.","@@"&amp;$F1324,"3 Posting Date",J$9)-NL("Sum","5802 Value Entry","43 Cost Amount (Actual)","41 Source Type",$C$5,"5 Source no.",$C1324,"4 Item Ledger Entry Type",$C$4,"2 Item No.","@@"&amp;$F1324,"3 Posting Date",J$9)</t>
  </si>
  <si>
    <t>=J1324-L1324</t>
  </si>
  <si>
    <t>=IF(J1324&lt;&gt;0,M1324/J1324,"")</t>
  </si>
  <si>
    <t>=NL("Sum","5802 Value Entry","150 Sales Amount (Expected)","41 Source Type",$C$5,"5 Source No.",$C1324,"4 Item Ledger Entry Type",$C$4,"2 Item No.","@@"&amp;$F1324,"3 Posting Date",O$9)+NL("Sum","5802 Value Entry","17 Sales Amount (Actual)","41 Source Type",$C$5,"5 Source no.",$C1324,"4 Item Ledger Entry Type",$C$4,"2 Item No.","@@"&amp;$F1324,"3 Posting Date",O$9)</t>
  </si>
  <si>
    <t>=-NL("Sum","5802 Value Entry","151 Cost Amount (Expected)","41 Source Type",$C$5,"5 Source No.",$C1324,"4 Item Ledger Entry Type",$C$4,"2 Item No.","@@"&amp;$F1324,"3 Posting Date",O$9)-NL("Sum","5802 Value Entry","43 Cost Amount (Actual)","41 Source Type",$C$5,"5 Source no.",$C1324,"4 Item Ledger Entry Type",$C$4,"2 Item No.","@@"&amp;$F1324,"3 Posting Date",O$9)</t>
  </si>
  <si>
    <t>=O1324-Q1324</t>
  </si>
  <si>
    <t>=IF(O1324&lt;&gt;0,R1324/O1324,"")</t>
  </si>
  <si>
    <t>=NL("Sum","5802 Value Entry","150 Sales Amount (Expected)","41 Source Type",$C$5,"5 Source No.",$C1324,"4 Item Ledger Entry Type",$C$4,"2 Item No.","@@"&amp;$F1324,"3 Posting Date",U$9)+NL("Sum","5802 Value Entry","17 Sales Amount (Actual)","41 Source Type",$C$5,"5 Source no.",$C1324,"4 Item Ledger Entry Type",$C$4,"2 Item No.","@@"&amp;$F1324,"3 Posting Date",U$9)</t>
  </si>
  <si>
    <t>=-NL("Sum","5802 Value Entry","151 Cost Amount (Expected)","41 Source Type",$C$5,"5 Source No.",$C1324,"4 Item Ledger Entry Type",$C$4,"2 Item No.","@@"&amp;$F1324,"3 Posting Date",U$9)-NL("Sum","5802 Value Entry","43 Cost Amount (Actual)","41 Source Type",$C$5,"5 Source no.",$C1324,"4 Item Ledger Entry Type",$C$4,"2 Item No.","@@"&amp;$F1324,"3 Posting Date",U$9)</t>
  </si>
  <si>
    <t>=U1324-W1324</t>
  </si>
  <si>
    <t>=IF(U1324&lt;&gt;0,X1324/U1324,"")</t>
  </si>
  <si>
    <t>=NL("Sum","5802 Value Entry","150 Sales Amount (Expected)","41 Source Type",$C$5,"5 Source No.",$C1324,"4 Item Ledger Entry Type",$C$4,"2 Item No.","@@"&amp;$F1324,"3 Posting Date",Z$9)+NL("Sum","5802 Value Entry","17 Sales Amount (Actual)","41 Source Type",$C$5,"5 Source no.",$C1324,"4 Item Ledger Entry Type",$C$4,"2 Item No.","@@"&amp;$F1324,"3 Posting Date",Z$9)</t>
  </si>
  <si>
    <t>=-NL("Sum","5802 Value Entry","151 Cost Amount (Expected)","41 Source Type",$C$5,"5 Source No.",$C1324,"4 Item Ledger Entry Type",$C$4,"2 Item No.","@@"&amp;$F1324,"3 Posting Date",Z$9)-NL("Sum","5802 Value Entry","43 Cost Amount (Actual)","41 Source Type",$C$5,"5 Source no.",$C1324,"4 Item Ledger Entry Type",$C$4,"2 Item No.","@@"&amp;$F1324,"3 Posting Date",Z$9)</t>
  </si>
  <si>
    <t>=Z1324-AB1324</t>
  </si>
  <si>
    <t>=IF(Z1324&lt;&gt;0,AC1324/Z1324,"")</t>
  </si>
  <si>
    <t>=C1324</t>
  </si>
  <si>
    <t>=NL("Sum","5802 Value Entry","150 Sales Amount (Expected)","41 Source Type",$C$5,"5 Source No.",$C1325,"4 Item Ledger Entry Type",$C$4,"2 Item No.","@@"&amp;$F1325,"3 Posting Date",J$9)+NL("Sum","5802 Value Entry","17 Sales Amount (Actual)","41 Source Type",$C$5,"5 Source no.",$C1325,"4 Item Ledger Entry Type",$C$4,"2 Item No.","@@"&amp;$F1325,"3 Posting Date",J$9)</t>
  </si>
  <si>
    <t>=-NL("Sum","5802 Value Entry","151 Cost Amount (Expected)","41 Source Type",$C$5,"5 Source No.",$C1325,"4 Item Ledger Entry Type",$C$4,"2 Item No.","@@"&amp;$F1325,"3 Posting Date",J$9)-NL("Sum","5802 Value Entry","43 Cost Amount (Actual)","41 Source Type",$C$5,"5 Source no.",$C1325,"4 Item Ledger Entry Type",$C$4,"2 Item No.","@@"&amp;$F1325,"3 Posting Date",J$9)</t>
  </si>
  <si>
    <t>=J1325-L1325</t>
  </si>
  <si>
    <t>=IF(J1325&lt;&gt;0,M1325/J1325,"")</t>
  </si>
  <si>
    <t>=NL("Sum","5802 Value Entry","150 Sales Amount (Expected)","41 Source Type",$C$5,"5 Source No.",$C1325,"4 Item Ledger Entry Type",$C$4,"2 Item No.","@@"&amp;$F1325,"3 Posting Date",O$9)+NL("Sum","5802 Value Entry","17 Sales Amount (Actual)","41 Source Type",$C$5,"5 Source no.",$C1325,"4 Item Ledger Entry Type",$C$4,"2 Item No.","@@"&amp;$F1325,"3 Posting Date",O$9)</t>
  </si>
  <si>
    <t>=-NL("Sum","5802 Value Entry","151 Cost Amount (Expected)","41 Source Type",$C$5,"5 Source No.",$C1325,"4 Item Ledger Entry Type",$C$4,"2 Item No.","@@"&amp;$F1325,"3 Posting Date",O$9)-NL("Sum","5802 Value Entry","43 Cost Amount (Actual)","41 Source Type",$C$5,"5 Source no.",$C1325,"4 Item Ledger Entry Type",$C$4,"2 Item No.","@@"&amp;$F1325,"3 Posting Date",O$9)</t>
  </si>
  <si>
    <t>=O1325-Q1325</t>
  </si>
  <si>
    <t>=IF(O1325&lt;&gt;0,R1325/O1325,"")</t>
  </si>
  <si>
    <t>=NL("Sum","5802 Value Entry","150 Sales Amount (Expected)","41 Source Type",$C$5,"5 Source No.",$C1325,"4 Item Ledger Entry Type",$C$4,"2 Item No.","@@"&amp;$F1325,"3 Posting Date",U$9)+NL("Sum","5802 Value Entry","17 Sales Amount (Actual)","41 Source Type",$C$5,"5 Source no.",$C1325,"4 Item Ledger Entry Type",$C$4,"2 Item No.","@@"&amp;$F1325,"3 Posting Date",U$9)</t>
  </si>
  <si>
    <t>=-NL("Sum","5802 Value Entry","151 Cost Amount (Expected)","41 Source Type",$C$5,"5 Source No.",$C1325,"4 Item Ledger Entry Type",$C$4,"2 Item No.","@@"&amp;$F1325,"3 Posting Date",U$9)-NL("Sum","5802 Value Entry","43 Cost Amount (Actual)","41 Source Type",$C$5,"5 Source no.",$C1325,"4 Item Ledger Entry Type",$C$4,"2 Item No.","@@"&amp;$F1325,"3 Posting Date",U$9)</t>
  </si>
  <si>
    <t>=U1325-W1325</t>
  </si>
  <si>
    <t>=IF(U1325&lt;&gt;0,X1325/U1325,"")</t>
  </si>
  <si>
    <t>=NL("Sum","5802 Value Entry","150 Sales Amount (Expected)","41 Source Type",$C$5,"5 Source No.",$C1325,"4 Item Ledger Entry Type",$C$4,"2 Item No.","@@"&amp;$F1325,"3 Posting Date",Z$9)+NL("Sum","5802 Value Entry","17 Sales Amount (Actual)","41 Source Type",$C$5,"5 Source no.",$C1325,"4 Item Ledger Entry Type",$C$4,"2 Item No.","@@"&amp;$F1325,"3 Posting Date",Z$9)</t>
  </si>
  <si>
    <t>=-NL("Sum","5802 Value Entry","151 Cost Amount (Expected)","41 Source Type",$C$5,"5 Source No.",$C1325,"4 Item Ledger Entry Type",$C$4,"2 Item No.","@@"&amp;$F1325,"3 Posting Date",Z$9)-NL("Sum","5802 Value Entry","43 Cost Amount (Actual)","41 Source Type",$C$5,"5 Source no.",$C1325,"4 Item Ledger Entry Type",$C$4,"2 Item No.","@@"&amp;$F1325,"3 Posting Date",Z$9)</t>
  </si>
  <si>
    <t>=Z1325-AB1325</t>
  </si>
  <si>
    <t>=IF(Z1325&lt;&gt;0,AC1325/Z1325,"")</t>
  </si>
  <si>
    <t>=NL("Sum","5802 Value Entry","150 Sales Amount (Expected)","41 Source Type",$C$5,"5 Source No.",$C1326,"4 Item Ledger Entry Type",$C$4,"2 Item No.","@@"&amp;$F1326,"3 Posting Date",J$9)+NL("Sum","5802 Value Entry","17 Sales Amount (Actual)","41 Source Type",$C$5,"5 Source no.",$C1326,"4 Item Ledger Entry Type",$C$4,"2 Item No.","@@"&amp;$F1326,"3 Posting Date",J$9)</t>
  </si>
  <si>
    <t>=-NL("Sum","5802 Value Entry","151 Cost Amount (Expected)","41 Source Type",$C$5,"5 Source No.",$C1326,"4 Item Ledger Entry Type",$C$4,"2 Item No.","@@"&amp;$F1326,"3 Posting Date",J$9)-NL("Sum","5802 Value Entry","43 Cost Amount (Actual)","41 Source Type",$C$5,"5 Source no.",$C1326,"4 Item Ledger Entry Type",$C$4,"2 Item No.","@@"&amp;$F1326,"3 Posting Date",J$9)</t>
  </si>
  <si>
    <t>=J1326-L1326</t>
  </si>
  <si>
    <t>=IF(J1326&lt;&gt;0,M1326/J1326,"")</t>
  </si>
  <si>
    <t>=NL("Sum","5802 Value Entry","150 Sales Amount (Expected)","41 Source Type",$C$5,"5 Source No.",$C1326,"4 Item Ledger Entry Type",$C$4,"2 Item No.","@@"&amp;$F1326,"3 Posting Date",O$9)+NL("Sum","5802 Value Entry","17 Sales Amount (Actual)","41 Source Type",$C$5,"5 Source no.",$C1326,"4 Item Ledger Entry Type",$C$4,"2 Item No.","@@"&amp;$F1326,"3 Posting Date",O$9)</t>
  </si>
  <si>
    <t>=-NL("Sum","5802 Value Entry","151 Cost Amount (Expected)","41 Source Type",$C$5,"5 Source No.",$C1326,"4 Item Ledger Entry Type",$C$4,"2 Item No.","@@"&amp;$F1326,"3 Posting Date",O$9)-NL("Sum","5802 Value Entry","43 Cost Amount (Actual)","41 Source Type",$C$5,"5 Source no.",$C1326,"4 Item Ledger Entry Type",$C$4,"2 Item No.","@@"&amp;$F1326,"3 Posting Date",O$9)</t>
  </si>
  <si>
    <t>=O1326-Q1326</t>
  </si>
  <si>
    <t>=IF(O1326&lt;&gt;0,R1326/O1326,"")</t>
  </si>
  <si>
    <t>=NL("Sum","5802 Value Entry","150 Sales Amount (Expected)","41 Source Type",$C$5,"5 Source No.",$C1326,"4 Item Ledger Entry Type",$C$4,"2 Item No.","@@"&amp;$F1326,"3 Posting Date",U$9)+NL("Sum","5802 Value Entry","17 Sales Amount (Actual)","41 Source Type",$C$5,"5 Source no.",$C1326,"4 Item Ledger Entry Type",$C$4,"2 Item No.","@@"&amp;$F1326,"3 Posting Date",U$9)</t>
  </si>
  <si>
    <t>=-NL("Sum","5802 Value Entry","151 Cost Amount (Expected)","41 Source Type",$C$5,"5 Source No.",$C1326,"4 Item Ledger Entry Type",$C$4,"2 Item No.","@@"&amp;$F1326,"3 Posting Date",U$9)-NL("Sum","5802 Value Entry","43 Cost Amount (Actual)","41 Source Type",$C$5,"5 Source no.",$C1326,"4 Item Ledger Entry Type",$C$4,"2 Item No.","@@"&amp;$F1326,"3 Posting Date",U$9)</t>
  </si>
  <si>
    <t>=U1326-W1326</t>
  </si>
  <si>
    <t>=IF(U1326&lt;&gt;0,X1326/U1326,"")</t>
  </si>
  <si>
    <t>=NL("Sum","5802 Value Entry","150 Sales Amount (Expected)","41 Source Type",$C$5,"5 Source No.",$C1326,"4 Item Ledger Entry Type",$C$4,"2 Item No.","@@"&amp;$F1326,"3 Posting Date",Z$9)+NL("Sum","5802 Value Entry","17 Sales Amount (Actual)","41 Source Type",$C$5,"5 Source no.",$C1326,"4 Item Ledger Entry Type",$C$4,"2 Item No.","@@"&amp;$F1326,"3 Posting Date",Z$9)</t>
  </si>
  <si>
    <t>=-NL("Sum","5802 Value Entry","151 Cost Amount (Expected)","41 Source Type",$C$5,"5 Source No.",$C1326,"4 Item Ledger Entry Type",$C$4,"2 Item No.","@@"&amp;$F1326,"3 Posting Date",Z$9)-NL("Sum","5802 Value Entry","43 Cost Amount (Actual)","41 Source Type",$C$5,"5 Source no.",$C1326,"4 Item Ledger Entry Type",$C$4,"2 Item No.","@@"&amp;$F1326,"3 Posting Date",Z$9)</t>
  </si>
  <si>
    <t>=Z1326-AB1326</t>
  </si>
  <si>
    <t>=IF(Z1326&lt;&gt;0,AC1326/Z1326,"")</t>
  </si>
  <si>
    <t>=SUBTOTAL(9,J1299:J1343)</t>
  </si>
  <si>
    <t>=SUBTOTAL(9,K1299:K1343)</t>
  </si>
  <si>
    <t>=SUBTOTAL(9,L1299:L1343)</t>
  </si>
  <si>
    <t>=SUBTOTAL(9,O1299:O1343)</t>
  </si>
  <si>
    <t>=SUBTOTAL(9,P1299:P1343)</t>
  </si>
  <si>
    <t>=SUBTOTAL(9,Q1299:Q1343)</t>
  </si>
  <si>
    <t>=SUBTOTAL(9,U1299:U1343)</t>
  </si>
  <si>
    <t>=SUBTOTAL(9,V1299:V1343)</t>
  </si>
  <si>
    <t>=SUBTOTAL(9,W1299:W1343)</t>
  </si>
  <si>
    <t>=SUBTOTAL(9,Z1299:Z1343)</t>
  </si>
  <si>
    <t>=SUBTOTAL(9,AA1299:AA1343)</t>
  </si>
  <si>
    <t>=SUBTOTAL(9,AB1299:AB1343)</t>
  </si>
  <si>
    <t>=C1358&amp;" TOTAL:"</t>
  </si>
  <si>
    <t>=SUBTOTAL(9,J1347:J1357)</t>
  </si>
  <si>
    <t>=SUBTOTAL(9,K1347:K1357)</t>
  </si>
  <si>
    <t>=SUBTOTAL(9,L1347:L1357)</t>
  </si>
  <si>
    <t>=SUBTOTAL(9,O1347:O1357)</t>
  </si>
  <si>
    <t>=SUBTOTAL(9,P1347:P1357)</t>
  </si>
  <si>
    <t>=SUBTOTAL(9,Q1347:Q1357)</t>
  </si>
  <si>
    <t>=SUBTOTAL(9,U1347:U1357)</t>
  </si>
  <si>
    <t>=SUBTOTAL(9,V1347:V1357)</t>
  </si>
  <si>
    <t>=SUBTOTAL(9,W1347:W1357)</t>
  </si>
  <si>
    <t>=SUBTOTAL(9,Z1347:Z1357)</t>
  </si>
  <si>
    <t>=SUBTOTAL(9,AA1347:AA1357)</t>
  </si>
  <si>
    <t>=SUBTOTAL(9,AB1347:AB1357)</t>
  </si>
  <si>
    <t>=E1360</t>
  </si>
  <si>
    <t>=NL(,"18 Customer","2 Name","1 No.",$E1360)</t>
  </si>
  <si>
    <t>=NL("Rows","5802 Value Entry","2 Item No.","4 Item Ledger Entry Type",$C$4,"41 Source Type",$C$5,"5 Source No.",$C1362,"Item No.",$C$7,"3 Posting Date",$C$10)</t>
  </si>
  <si>
    <t>=C1381</t>
  </si>
  <si>
    <t>=NL("Sum","5802 Value Entry","150 Sales Amount (Expected)","41 Source Type",$C$5,"5 Source No.",$C1382,"4 Item Ledger Entry Type",$C$4,"2 Item No.","@@"&amp;$F1382,"3 Posting Date",J$9)+NL("Sum","5802 Value Entry","17 Sales Amount (Actual)","41 Source Type",$C$5,"5 Source no.",$C1382,"4 Item Ledger Entry Type",$C$4,"2 Item No.","@@"&amp;$F1382,"3 Posting Date",J$9)</t>
  </si>
  <si>
    <t>=-NL("Sum","5802 Value Entry","151 Cost Amount (Expected)","41 Source Type",$C$5,"5 Source No.",$C1382,"4 Item Ledger Entry Type",$C$4,"2 Item No.","@@"&amp;$F1382,"3 Posting Date",J$9)-NL("Sum","5802 Value Entry","43 Cost Amount (Actual)","41 Source Type",$C$5,"5 Source no.",$C1382,"4 Item Ledger Entry Type",$C$4,"2 Item No.","@@"&amp;$F1382,"3 Posting Date",J$9)</t>
  </si>
  <si>
    <t>=J1382-L1382</t>
  </si>
  <si>
    <t>=IF(J1382&lt;&gt;0,M1382/J1382,"")</t>
  </si>
  <si>
    <t>=NL("Sum","5802 Value Entry","150 Sales Amount (Expected)","41 Source Type",$C$5,"5 Source No.",$C1382,"4 Item Ledger Entry Type",$C$4,"2 Item No.","@@"&amp;$F1382,"3 Posting Date",O$9)+NL("Sum","5802 Value Entry","17 Sales Amount (Actual)","41 Source Type",$C$5,"5 Source no.",$C1382,"4 Item Ledger Entry Type",$C$4,"2 Item No.","@@"&amp;$F1382,"3 Posting Date",O$9)</t>
  </si>
  <si>
    <t>=-NL("Sum","5802 Value Entry","151 Cost Amount (Expected)","41 Source Type",$C$5,"5 Source No.",$C1382,"4 Item Ledger Entry Type",$C$4,"2 Item No.","@@"&amp;$F1382,"3 Posting Date",O$9)-NL("Sum","5802 Value Entry","43 Cost Amount (Actual)","41 Source Type",$C$5,"5 Source no.",$C1382,"4 Item Ledger Entry Type",$C$4,"2 Item No.","@@"&amp;$F1382,"3 Posting Date",O$9)</t>
  </si>
  <si>
    <t>=O1382-Q1382</t>
  </si>
  <si>
    <t>=IF(O1382&lt;&gt;0,R1382/O1382,"")</t>
  </si>
  <si>
    <t>=NL("Sum","5802 Value Entry","150 Sales Amount (Expected)","41 Source Type",$C$5,"5 Source No.",$C1382,"4 Item Ledger Entry Type",$C$4,"2 Item No.","@@"&amp;$F1382,"3 Posting Date",U$9)+NL("Sum","5802 Value Entry","17 Sales Amount (Actual)","41 Source Type",$C$5,"5 Source no.",$C1382,"4 Item Ledger Entry Type",$C$4,"2 Item No.","@@"&amp;$F1382,"3 Posting Date",U$9)</t>
  </si>
  <si>
    <t>=-NL("Sum","5802 Value Entry","151 Cost Amount (Expected)","41 Source Type",$C$5,"5 Source No.",$C1382,"4 Item Ledger Entry Type",$C$4,"2 Item No.","@@"&amp;$F1382,"3 Posting Date",U$9)-NL("Sum","5802 Value Entry","43 Cost Amount (Actual)","41 Source Type",$C$5,"5 Source no.",$C1382,"4 Item Ledger Entry Type",$C$4,"2 Item No.","@@"&amp;$F1382,"3 Posting Date",U$9)</t>
  </si>
  <si>
    <t>=U1382-W1382</t>
  </si>
  <si>
    <t>=IF(U1382&lt;&gt;0,X1382/U1382,"")</t>
  </si>
  <si>
    <t>=NL("Sum","5802 Value Entry","150 Sales Amount (Expected)","41 Source Type",$C$5,"5 Source No.",$C1382,"4 Item Ledger Entry Type",$C$4,"2 Item No.","@@"&amp;$F1382,"3 Posting Date",Z$9)+NL("Sum","5802 Value Entry","17 Sales Amount (Actual)","41 Source Type",$C$5,"5 Source no.",$C1382,"4 Item Ledger Entry Type",$C$4,"2 Item No.","@@"&amp;$F1382,"3 Posting Date",Z$9)</t>
  </si>
  <si>
    <t>=-NL("Sum","5802 Value Entry","151 Cost Amount (Expected)","41 Source Type",$C$5,"5 Source No.",$C1382,"4 Item Ledger Entry Type",$C$4,"2 Item No.","@@"&amp;$F1382,"3 Posting Date",Z$9)-NL("Sum","5802 Value Entry","43 Cost Amount (Actual)","41 Source Type",$C$5,"5 Source no.",$C1382,"4 Item Ledger Entry Type",$C$4,"2 Item No.","@@"&amp;$F1382,"3 Posting Date",Z$9)</t>
  </si>
  <si>
    <t>=Z1382-AB1382</t>
  </si>
  <si>
    <t>=IF(Z1382&lt;&gt;0,AC1382/Z1382,"")</t>
  </si>
  <si>
    <t>=NL("Sum","5802 Value Entry","150 Sales Amount (Expected)","41 Source Type",$C$5,"5 Source No.",$C1383,"4 Item Ledger Entry Type",$C$4,"2 Item No.","@@"&amp;$F1383,"3 Posting Date",J$9)+NL("Sum","5802 Value Entry","17 Sales Amount (Actual)","41 Source Type",$C$5,"5 Source no.",$C1383,"4 Item Ledger Entry Type",$C$4,"2 Item No.","@@"&amp;$F1383,"3 Posting Date",J$9)</t>
  </si>
  <si>
    <t>=-NL("Sum","5802 Value Entry","151 Cost Amount (Expected)","41 Source Type",$C$5,"5 Source No.",$C1383,"4 Item Ledger Entry Type",$C$4,"2 Item No.","@@"&amp;$F1383,"3 Posting Date",J$9)-NL("Sum","5802 Value Entry","43 Cost Amount (Actual)","41 Source Type",$C$5,"5 Source no.",$C1383,"4 Item Ledger Entry Type",$C$4,"2 Item No.","@@"&amp;$F1383,"3 Posting Date",J$9)</t>
  </si>
  <si>
    <t>=NL("Sum","5802 Value Entry","150 Sales Amount (Expected)","41 Source Type",$C$5,"5 Source No.",$C1383,"4 Item Ledger Entry Type",$C$4,"2 Item No.","@@"&amp;$F1383,"3 Posting Date",O$9)+NL("Sum","5802 Value Entry","17 Sales Amount (Actual)","41 Source Type",$C$5,"5 Source no.",$C1383,"4 Item Ledger Entry Type",$C$4,"2 Item No.","@@"&amp;$F1383,"3 Posting Date",O$9)</t>
  </si>
  <si>
    <t>=-NL("Sum","5802 Value Entry","151 Cost Amount (Expected)","41 Source Type",$C$5,"5 Source No.",$C1383,"4 Item Ledger Entry Type",$C$4,"2 Item No.","@@"&amp;$F1383,"3 Posting Date",O$9)-NL("Sum","5802 Value Entry","43 Cost Amount (Actual)","41 Source Type",$C$5,"5 Source no.",$C1383,"4 Item Ledger Entry Type",$C$4,"2 Item No.","@@"&amp;$F1383,"3 Posting Date",O$9)</t>
  </si>
  <si>
    <t>=NL("Sum","5802 Value Entry","150 Sales Amount (Expected)","41 Source Type",$C$5,"5 Source No.",$C1383,"4 Item Ledger Entry Type",$C$4,"2 Item No.","@@"&amp;$F1383,"3 Posting Date",U$9)+NL("Sum","5802 Value Entry","17 Sales Amount (Actual)","41 Source Type",$C$5,"5 Source no.",$C1383,"4 Item Ledger Entry Type",$C$4,"2 Item No.","@@"&amp;$F1383,"3 Posting Date",U$9)</t>
  </si>
  <si>
    <t>=-NL("Sum","5802 Value Entry","151 Cost Amount (Expected)","41 Source Type",$C$5,"5 Source No.",$C1383,"4 Item Ledger Entry Type",$C$4,"2 Item No.","@@"&amp;$F1383,"3 Posting Date",U$9)-NL("Sum","5802 Value Entry","43 Cost Amount (Actual)","41 Source Type",$C$5,"5 Source no.",$C1383,"4 Item Ledger Entry Type",$C$4,"2 Item No.","@@"&amp;$F1383,"3 Posting Date",U$9)</t>
  </si>
  <si>
    <t>=NL("Sum","5802 Value Entry","150 Sales Amount (Expected)","41 Source Type",$C$5,"5 Source No.",$C1383,"4 Item Ledger Entry Type",$C$4,"2 Item No.","@@"&amp;$F1383,"3 Posting Date",Z$9)+NL("Sum","5802 Value Entry","17 Sales Amount (Actual)","41 Source Type",$C$5,"5 Source no.",$C1383,"4 Item Ledger Entry Type",$C$4,"2 Item No.","@@"&amp;$F1383,"3 Posting Date",Z$9)</t>
  </si>
  <si>
    <t>=-NL("Sum","5802 Value Entry","151 Cost Amount (Expected)","41 Source Type",$C$5,"5 Source No.",$C1383,"4 Item Ledger Entry Type",$C$4,"2 Item No.","@@"&amp;$F1383,"3 Posting Date",Z$9)-NL("Sum","5802 Value Entry","43 Cost Amount (Actual)","41 Source Type",$C$5,"5 Source no.",$C1383,"4 Item Ledger Entry Type",$C$4,"2 Item No.","@@"&amp;$F1383,"3 Posting Date",Z$9)</t>
  </si>
  <si>
    <t>=C1383</t>
  </si>
  <si>
    <t>=NL("Sum","5802 Value Entry","150 Sales Amount (Expected)","41 Source Type",$C$5,"5 Source No.",$C1384,"4 Item Ledger Entry Type",$C$4,"2 Item No.","@@"&amp;$F1384,"3 Posting Date",J$9)+NL("Sum","5802 Value Entry","17 Sales Amount (Actual)","41 Source Type",$C$5,"5 Source no.",$C1384,"4 Item Ledger Entry Type",$C$4,"2 Item No.","@@"&amp;$F1384,"3 Posting Date",J$9)</t>
  </si>
  <si>
    <t>=-NL("Sum","5802 Value Entry","151 Cost Amount (Expected)","41 Source Type",$C$5,"5 Source No.",$C1384,"4 Item Ledger Entry Type",$C$4,"2 Item No.","@@"&amp;$F1384,"3 Posting Date",J$9)-NL("Sum","5802 Value Entry","43 Cost Amount (Actual)","41 Source Type",$C$5,"5 Source no.",$C1384,"4 Item Ledger Entry Type",$C$4,"2 Item No.","@@"&amp;$F1384,"3 Posting Date",J$9)</t>
  </si>
  <si>
    <t>=J1384-L1384</t>
  </si>
  <si>
    <t>=IF(J1384&lt;&gt;0,M1384/J1384,"")</t>
  </si>
  <si>
    <t>=NL("Sum","5802 Value Entry","150 Sales Amount (Expected)","41 Source Type",$C$5,"5 Source No.",$C1384,"4 Item Ledger Entry Type",$C$4,"2 Item No.","@@"&amp;$F1384,"3 Posting Date",O$9)+NL("Sum","5802 Value Entry","17 Sales Amount (Actual)","41 Source Type",$C$5,"5 Source no.",$C1384,"4 Item Ledger Entry Type",$C$4,"2 Item No.","@@"&amp;$F1384,"3 Posting Date",O$9)</t>
  </si>
  <si>
    <t>=-NL("Sum","5802 Value Entry","151 Cost Amount (Expected)","41 Source Type",$C$5,"5 Source No.",$C1384,"4 Item Ledger Entry Type",$C$4,"2 Item No.","@@"&amp;$F1384,"3 Posting Date",O$9)-NL("Sum","5802 Value Entry","43 Cost Amount (Actual)","41 Source Type",$C$5,"5 Source no.",$C1384,"4 Item Ledger Entry Type",$C$4,"2 Item No.","@@"&amp;$F1384,"3 Posting Date",O$9)</t>
  </si>
  <si>
    <t>=O1384-Q1384</t>
  </si>
  <si>
    <t>=IF(O1384&lt;&gt;0,R1384/O1384,"")</t>
  </si>
  <si>
    <t>=NL("Sum","5802 Value Entry","150 Sales Amount (Expected)","41 Source Type",$C$5,"5 Source No.",$C1384,"4 Item Ledger Entry Type",$C$4,"2 Item No.","@@"&amp;$F1384,"3 Posting Date",U$9)+NL("Sum","5802 Value Entry","17 Sales Amount (Actual)","41 Source Type",$C$5,"5 Source no.",$C1384,"4 Item Ledger Entry Type",$C$4,"2 Item No.","@@"&amp;$F1384,"3 Posting Date",U$9)</t>
  </si>
  <si>
    <t>=-NL("Sum","5802 Value Entry","151 Cost Amount (Expected)","41 Source Type",$C$5,"5 Source No.",$C1384,"4 Item Ledger Entry Type",$C$4,"2 Item No.","@@"&amp;$F1384,"3 Posting Date",U$9)-NL("Sum","5802 Value Entry","43 Cost Amount (Actual)","41 Source Type",$C$5,"5 Source no.",$C1384,"4 Item Ledger Entry Type",$C$4,"2 Item No.","@@"&amp;$F1384,"3 Posting Date",U$9)</t>
  </si>
  <si>
    <t>=U1384-W1384</t>
  </si>
  <si>
    <t>=IF(U1384&lt;&gt;0,X1384/U1384,"")</t>
  </si>
  <si>
    <t>=NL("Sum","5802 Value Entry","150 Sales Amount (Expected)","41 Source Type",$C$5,"5 Source No.",$C1384,"4 Item Ledger Entry Type",$C$4,"2 Item No.","@@"&amp;$F1384,"3 Posting Date",Z$9)+NL("Sum","5802 Value Entry","17 Sales Amount (Actual)","41 Source Type",$C$5,"5 Source no.",$C1384,"4 Item Ledger Entry Type",$C$4,"2 Item No.","@@"&amp;$F1384,"3 Posting Date",Z$9)</t>
  </si>
  <si>
    <t>=-NL("Sum","5802 Value Entry","151 Cost Amount (Expected)","41 Source Type",$C$5,"5 Source No.",$C1384,"4 Item Ledger Entry Type",$C$4,"2 Item No.","@@"&amp;$F1384,"3 Posting Date",Z$9)-NL("Sum","5802 Value Entry","43 Cost Amount (Actual)","41 Source Type",$C$5,"5 Source no.",$C1384,"4 Item Ledger Entry Type",$C$4,"2 Item No.","@@"&amp;$F1384,"3 Posting Date",Z$9)</t>
  </si>
  <si>
    <t>=Z1384-AB1384</t>
  </si>
  <si>
    <t>=IF(Z1384&lt;&gt;0,AC1384/Z1384,"")</t>
  </si>
  <si>
    <t>=C1384</t>
  </si>
  <si>
    <t>=NL("Sum","5802 Value Entry","150 Sales Amount (Expected)","41 Source Type",$C$5,"5 Source No.",$C1385,"4 Item Ledger Entry Type",$C$4,"2 Item No.","@@"&amp;$F1385,"3 Posting Date",J$9)+NL("Sum","5802 Value Entry","17 Sales Amount (Actual)","41 Source Type",$C$5,"5 Source no.",$C1385,"4 Item Ledger Entry Type",$C$4,"2 Item No.","@@"&amp;$F1385,"3 Posting Date",J$9)</t>
  </si>
  <si>
    <t>=-NL("Sum","5802 Value Entry","151 Cost Amount (Expected)","41 Source Type",$C$5,"5 Source No.",$C1385,"4 Item Ledger Entry Type",$C$4,"2 Item No.","@@"&amp;$F1385,"3 Posting Date",J$9)-NL("Sum","5802 Value Entry","43 Cost Amount (Actual)","41 Source Type",$C$5,"5 Source no.",$C1385,"4 Item Ledger Entry Type",$C$4,"2 Item No.","@@"&amp;$F1385,"3 Posting Date",J$9)</t>
  </si>
  <si>
    <t>=J1385-L1385</t>
  </si>
  <si>
    <t>=IF(J1385&lt;&gt;0,M1385/J1385,"")</t>
  </si>
  <si>
    <t>=NL("Sum","5802 Value Entry","150 Sales Amount (Expected)","41 Source Type",$C$5,"5 Source No.",$C1385,"4 Item Ledger Entry Type",$C$4,"2 Item No.","@@"&amp;$F1385,"3 Posting Date",O$9)+NL("Sum","5802 Value Entry","17 Sales Amount (Actual)","41 Source Type",$C$5,"5 Source no.",$C1385,"4 Item Ledger Entry Type",$C$4,"2 Item No.","@@"&amp;$F1385,"3 Posting Date",O$9)</t>
  </si>
  <si>
    <t>=-NL("Sum","5802 Value Entry","151 Cost Amount (Expected)","41 Source Type",$C$5,"5 Source No.",$C1385,"4 Item Ledger Entry Type",$C$4,"2 Item No.","@@"&amp;$F1385,"3 Posting Date",O$9)-NL("Sum","5802 Value Entry","43 Cost Amount (Actual)","41 Source Type",$C$5,"5 Source no.",$C1385,"4 Item Ledger Entry Type",$C$4,"2 Item No.","@@"&amp;$F1385,"3 Posting Date",O$9)</t>
  </si>
  <si>
    <t>=O1385-Q1385</t>
  </si>
  <si>
    <t>=IF(O1385&lt;&gt;0,R1385/O1385,"")</t>
  </si>
  <si>
    <t>=NL("Sum","5802 Value Entry","150 Sales Amount (Expected)","41 Source Type",$C$5,"5 Source No.",$C1385,"4 Item Ledger Entry Type",$C$4,"2 Item No.","@@"&amp;$F1385,"3 Posting Date",U$9)+NL("Sum","5802 Value Entry","17 Sales Amount (Actual)","41 Source Type",$C$5,"5 Source no.",$C1385,"4 Item Ledger Entry Type",$C$4,"2 Item No.","@@"&amp;$F1385,"3 Posting Date",U$9)</t>
  </si>
  <si>
    <t>=-NL("Sum","5802 Value Entry","151 Cost Amount (Expected)","41 Source Type",$C$5,"5 Source No.",$C1385,"4 Item Ledger Entry Type",$C$4,"2 Item No.","@@"&amp;$F1385,"3 Posting Date",U$9)-NL("Sum","5802 Value Entry","43 Cost Amount (Actual)","41 Source Type",$C$5,"5 Source no.",$C1385,"4 Item Ledger Entry Type",$C$4,"2 Item No.","@@"&amp;$F1385,"3 Posting Date",U$9)</t>
  </si>
  <si>
    <t>=U1385-W1385</t>
  </si>
  <si>
    <t>=IF(U1385&lt;&gt;0,X1385/U1385,"")</t>
  </si>
  <si>
    <t>=NL("Sum","5802 Value Entry","150 Sales Amount (Expected)","41 Source Type",$C$5,"5 Source No.",$C1385,"4 Item Ledger Entry Type",$C$4,"2 Item No.","@@"&amp;$F1385,"3 Posting Date",Z$9)+NL("Sum","5802 Value Entry","17 Sales Amount (Actual)","41 Source Type",$C$5,"5 Source no.",$C1385,"4 Item Ledger Entry Type",$C$4,"2 Item No.","@@"&amp;$F1385,"3 Posting Date",Z$9)</t>
  </si>
  <si>
    <t>=-NL("Sum","5802 Value Entry","151 Cost Amount (Expected)","41 Source Type",$C$5,"5 Source No.",$C1385,"4 Item Ledger Entry Type",$C$4,"2 Item No.","@@"&amp;$F1385,"3 Posting Date",Z$9)-NL("Sum","5802 Value Entry","43 Cost Amount (Actual)","41 Source Type",$C$5,"5 Source no.",$C1385,"4 Item Ledger Entry Type",$C$4,"2 Item No.","@@"&amp;$F1385,"3 Posting Date",Z$9)</t>
  </si>
  <si>
    <t>=Z1385-AB1385</t>
  </si>
  <si>
    <t>=IF(Z1385&lt;&gt;0,AC1385/Z1385,"")</t>
  </si>
  <si>
    <t>=NL("Sum","5802 Value Entry","150 Sales Amount (Expected)","41 Source Type",$C$5,"5 Source No.",$C1386,"4 Item Ledger Entry Type",$C$4,"2 Item No.","@@"&amp;$F1386,"3 Posting Date",J$9)+NL("Sum","5802 Value Entry","17 Sales Amount (Actual)","41 Source Type",$C$5,"5 Source no.",$C1386,"4 Item Ledger Entry Type",$C$4,"2 Item No.","@@"&amp;$F1386,"3 Posting Date",J$9)</t>
  </si>
  <si>
    <t>=-NL("Sum","5802 Value Entry","151 Cost Amount (Expected)","41 Source Type",$C$5,"5 Source No.",$C1386,"4 Item Ledger Entry Type",$C$4,"2 Item No.","@@"&amp;$F1386,"3 Posting Date",J$9)-NL("Sum","5802 Value Entry","43 Cost Amount (Actual)","41 Source Type",$C$5,"5 Source no.",$C1386,"4 Item Ledger Entry Type",$C$4,"2 Item No.","@@"&amp;$F1386,"3 Posting Date",J$9)</t>
  </si>
  <si>
    <t>=J1386-L1386</t>
  </si>
  <si>
    <t>=IF(J1386&lt;&gt;0,M1386/J1386,"")</t>
  </si>
  <si>
    <t>=NL("Sum","5802 Value Entry","150 Sales Amount (Expected)","41 Source Type",$C$5,"5 Source No.",$C1386,"4 Item Ledger Entry Type",$C$4,"2 Item No.","@@"&amp;$F1386,"3 Posting Date",O$9)+NL("Sum","5802 Value Entry","17 Sales Amount (Actual)","41 Source Type",$C$5,"5 Source no.",$C1386,"4 Item Ledger Entry Type",$C$4,"2 Item No.","@@"&amp;$F1386,"3 Posting Date",O$9)</t>
  </si>
  <si>
    <t>=-NL("Sum","5802 Value Entry","151 Cost Amount (Expected)","41 Source Type",$C$5,"5 Source No.",$C1386,"4 Item Ledger Entry Type",$C$4,"2 Item No.","@@"&amp;$F1386,"3 Posting Date",O$9)-NL("Sum","5802 Value Entry","43 Cost Amount (Actual)","41 Source Type",$C$5,"5 Source no.",$C1386,"4 Item Ledger Entry Type",$C$4,"2 Item No.","@@"&amp;$F1386,"3 Posting Date",O$9)</t>
  </si>
  <si>
    <t>=O1386-Q1386</t>
  </si>
  <si>
    <t>=IF(O1386&lt;&gt;0,R1386/O1386,"")</t>
  </si>
  <si>
    <t>=NL("Sum","5802 Value Entry","150 Sales Amount (Expected)","41 Source Type",$C$5,"5 Source No.",$C1386,"4 Item Ledger Entry Type",$C$4,"2 Item No.","@@"&amp;$F1386,"3 Posting Date",U$9)+NL("Sum","5802 Value Entry","17 Sales Amount (Actual)","41 Source Type",$C$5,"5 Source no.",$C1386,"4 Item Ledger Entry Type",$C$4,"2 Item No.","@@"&amp;$F1386,"3 Posting Date",U$9)</t>
  </si>
  <si>
    <t>=-NL("Sum","5802 Value Entry","151 Cost Amount (Expected)","41 Source Type",$C$5,"5 Source No.",$C1386,"4 Item Ledger Entry Type",$C$4,"2 Item No.","@@"&amp;$F1386,"3 Posting Date",U$9)-NL("Sum","5802 Value Entry","43 Cost Amount (Actual)","41 Source Type",$C$5,"5 Source no.",$C1386,"4 Item Ledger Entry Type",$C$4,"2 Item No.","@@"&amp;$F1386,"3 Posting Date",U$9)</t>
  </si>
  <si>
    <t>=U1386-W1386</t>
  </si>
  <si>
    <t>=IF(U1386&lt;&gt;0,X1386/U1386,"")</t>
  </si>
  <si>
    <t>=NL("Sum","5802 Value Entry","150 Sales Amount (Expected)","41 Source Type",$C$5,"5 Source No.",$C1386,"4 Item Ledger Entry Type",$C$4,"2 Item No.","@@"&amp;$F1386,"3 Posting Date",Z$9)+NL("Sum","5802 Value Entry","17 Sales Amount (Actual)","41 Source Type",$C$5,"5 Source no.",$C1386,"4 Item Ledger Entry Type",$C$4,"2 Item No.","@@"&amp;$F1386,"3 Posting Date",Z$9)</t>
  </si>
  <si>
    <t>=-NL("Sum","5802 Value Entry","151 Cost Amount (Expected)","41 Source Type",$C$5,"5 Source No.",$C1386,"4 Item Ledger Entry Type",$C$4,"2 Item No.","@@"&amp;$F1386,"3 Posting Date",Z$9)-NL("Sum","5802 Value Entry","43 Cost Amount (Actual)","41 Source Type",$C$5,"5 Source no.",$C1386,"4 Item Ledger Entry Type",$C$4,"2 Item No.","@@"&amp;$F1386,"3 Posting Date",Z$9)</t>
  </si>
  <si>
    <t>=Z1386-AB1386</t>
  </si>
  <si>
    <t>=IF(Z1386&lt;&gt;0,AC1386/Z1386,"")</t>
  </si>
  <si>
    <t>=C1391&amp;" TOTAL:"</t>
  </si>
  <si>
    <t>=SUBTOTAL(9,J1361:J1390)</t>
  </si>
  <si>
    <t>=SUBTOTAL(9,K1361:K1390)</t>
  </si>
  <si>
    <t>=SUBTOTAL(9,L1361:L1390)</t>
  </si>
  <si>
    <t>=SUBTOTAL(9,O1361:O1390)</t>
  </si>
  <si>
    <t>=SUBTOTAL(9,P1361:P1390)</t>
  </si>
  <si>
    <t>=SUBTOTAL(9,Q1361:Q1390)</t>
  </si>
  <si>
    <t>=SUBTOTAL(9,U1361:U1390)</t>
  </si>
  <si>
    <t>=SUBTOTAL(9,V1361:V1390)</t>
  </si>
  <si>
    <t>=SUBTOTAL(9,W1361:W1390)</t>
  </si>
  <si>
    <t>=SUBTOTAL(9,Z1361:Z1390)</t>
  </si>
  <si>
    <t>=SUBTOTAL(9,AA1361:AA1390)</t>
  </si>
  <si>
    <t>=SUBTOTAL(9,AB1361:AB1390)</t>
  </si>
  <si>
    <t>=E1393</t>
  </si>
  <si>
    <t>=NL(,"18 Customer","2 Name","1 No.",$E1393)</t>
  </si>
  <si>
    <t>=NL("Rows","5802 Value Entry","2 Item No.","4 Item Ledger Entry Type",$C$4,"41 Source Type",$C$5,"5 Source No.",$C1395,"Item No.",$C$7,"3 Posting Date",$C$10)</t>
  </si>
  <si>
    <t>=C1405&amp;" TOTAL:"</t>
  </si>
  <si>
    <t>=SUBTOTAL(9,J1394:J1404)</t>
  </si>
  <si>
    <t>=SUBTOTAL(9,K1394:K1404)</t>
  </si>
  <si>
    <t>=SUBTOTAL(9,L1394:L1404)</t>
  </si>
  <si>
    <t>=SUBTOTAL(9,O1394:O1404)</t>
  </si>
  <si>
    <t>=SUBTOTAL(9,P1394:P1404)</t>
  </si>
  <si>
    <t>=SUBTOTAL(9,Q1394:Q1404)</t>
  </si>
  <si>
    <t>=SUBTOTAL(9,U1394:U1404)</t>
  </si>
  <si>
    <t>=SUBTOTAL(9,V1394:V1404)</t>
  </si>
  <si>
    <t>=SUBTOTAL(9,W1394:W1404)</t>
  </si>
  <si>
    <t>=SUBTOTAL(9,Z1394:Z1404)</t>
  </si>
  <si>
    <t>=SUBTOTAL(9,AA1394:AA1404)</t>
  </si>
  <si>
    <t>=SUBTOTAL(9,AB1394:AB1404)</t>
  </si>
  <si>
    <t>=E1407</t>
  </si>
  <si>
    <t>=NL(,"18 Customer","2 Name","1 No.",$E1407)</t>
  </si>
  <si>
    <t>=NL("Rows","5802 Value Entry","2 Item No.","4 Item Ledger Entry Type",$C$4,"41 Source Type",$C$5,"5 Source No.",$C1409,"Item No.",$C$7,"3 Posting Date",$C$10)</t>
  </si>
  <si>
    <t>=C1412</t>
  </si>
  <si>
    <t>=NL("Sum","5802 Value Entry","150 Sales Amount (Expected)","41 Source Type",$C$5,"5 Source No.",$C1413,"4 Item Ledger Entry Type",$C$4,"2 Item No.","@@"&amp;$F1413,"3 Posting Date",J$9)+NL("Sum","5802 Value Entry","17 Sales Amount (Actual)","41 Source Type",$C$5,"5 Source no.",$C1413,"4 Item Ledger Entry Type",$C$4,"2 Item No.","@@"&amp;$F1413,"3 Posting Date",J$9)</t>
  </si>
  <si>
    <t>=-NL("Sum","5802 Value Entry","151 Cost Amount (Expected)","41 Source Type",$C$5,"5 Source No.",$C1413,"4 Item Ledger Entry Type",$C$4,"2 Item No.","@@"&amp;$F1413,"3 Posting Date",J$9)-NL("Sum","5802 Value Entry","43 Cost Amount (Actual)","41 Source Type",$C$5,"5 Source no.",$C1413,"4 Item Ledger Entry Type",$C$4,"2 Item No.","@@"&amp;$F1413,"3 Posting Date",J$9)</t>
  </si>
  <si>
    <t>=J1413-L1413</t>
  </si>
  <si>
    <t>=IF(J1413&lt;&gt;0,M1413/J1413,"")</t>
  </si>
  <si>
    <t>=NL("Sum","5802 Value Entry","150 Sales Amount (Expected)","41 Source Type",$C$5,"5 Source No.",$C1413,"4 Item Ledger Entry Type",$C$4,"2 Item No.","@@"&amp;$F1413,"3 Posting Date",O$9)+NL("Sum","5802 Value Entry","17 Sales Amount (Actual)","41 Source Type",$C$5,"5 Source no.",$C1413,"4 Item Ledger Entry Type",$C$4,"2 Item No.","@@"&amp;$F1413,"3 Posting Date",O$9)</t>
  </si>
  <si>
    <t>=-NL("Sum","5802 Value Entry","151 Cost Amount (Expected)","41 Source Type",$C$5,"5 Source No.",$C1413,"4 Item Ledger Entry Type",$C$4,"2 Item No.","@@"&amp;$F1413,"3 Posting Date",O$9)-NL("Sum","5802 Value Entry","43 Cost Amount (Actual)","41 Source Type",$C$5,"5 Source no.",$C1413,"4 Item Ledger Entry Type",$C$4,"2 Item No.","@@"&amp;$F1413,"3 Posting Date",O$9)</t>
  </si>
  <si>
    <t>=O1413-Q1413</t>
  </si>
  <si>
    <t>=IF(O1413&lt;&gt;0,R1413/O1413,"")</t>
  </si>
  <si>
    <t>=NL("Sum","5802 Value Entry","150 Sales Amount (Expected)","41 Source Type",$C$5,"5 Source No.",$C1413,"4 Item Ledger Entry Type",$C$4,"2 Item No.","@@"&amp;$F1413,"3 Posting Date",U$9)+NL("Sum","5802 Value Entry","17 Sales Amount (Actual)","41 Source Type",$C$5,"5 Source no.",$C1413,"4 Item Ledger Entry Type",$C$4,"2 Item No.","@@"&amp;$F1413,"3 Posting Date",U$9)</t>
  </si>
  <si>
    <t>=-NL("Sum","5802 Value Entry","151 Cost Amount (Expected)","41 Source Type",$C$5,"5 Source No.",$C1413,"4 Item Ledger Entry Type",$C$4,"2 Item No.","@@"&amp;$F1413,"3 Posting Date",U$9)-NL("Sum","5802 Value Entry","43 Cost Amount (Actual)","41 Source Type",$C$5,"5 Source no.",$C1413,"4 Item Ledger Entry Type",$C$4,"2 Item No.","@@"&amp;$F1413,"3 Posting Date",U$9)</t>
  </si>
  <si>
    <t>=U1413-W1413</t>
  </si>
  <si>
    <t>=IF(U1413&lt;&gt;0,X1413/U1413,"")</t>
  </si>
  <si>
    <t>=NL("Sum","5802 Value Entry","150 Sales Amount (Expected)","41 Source Type",$C$5,"5 Source No.",$C1413,"4 Item Ledger Entry Type",$C$4,"2 Item No.","@@"&amp;$F1413,"3 Posting Date",Z$9)+NL("Sum","5802 Value Entry","17 Sales Amount (Actual)","41 Source Type",$C$5,"5 Source no.",$C1413,"4 Item Ledger Entry Type",$C$4,"2 Item No.","@@"&amp;$F1413,"3 Posting Date",Z$9)</t>
  </si>
  <si>
    <t>=-NL("Sum","5802 Value Entry","151 Cost Amount (Expected)","41 Source Type",$C$5,"5 Source No.",$C1413,"4 Item Ledger Entry Type",$C$4,"2 Item No.","@@"&amp;$F1413,"3 Posting Date",Z$9)-NL("Sum","5802 Value Entry","43 Cost Amount (Actual)","41 Source Type",$C$5,"5 Source no.",$C1413,"4 Item Ledger Entry Type",$C$4,"2 Item No.","@@"&amp;$F1413,"3 Posting Date",Z$9)</t>
  </si>
  <si>
    <t>=Z1413-AB1413</t>
  </si>
  <si>
    <t>=IF(Z1413&lt;&gt;0,AC1413/Z1413,"")</t>
  </si>
  <si>
    <t>=NL("Sum","5802 Value Entry","150 Sales Amount (Expected)","41 Source Type",$C$5,"5 Source No.",$C1414,"4 Item Ledger Entry Type",$C$4,"2 Item No.","@@"&amp;$F1414,"3 Posting Date",J$9)+NL("Sum","5802 Value Entry","17 Sales Amount (Actual)","41 Source Type",$C$5,"5 Source no.",$C1414,"4 Item Ledger Entry Type",$C$4,"2 Item No.","@@"&amp;$F1414,"3 Posting Date",J$9)</t>
  </si>
  <si>
    <t>=-NL("Sum","5802 Value Entry","151 Cost Amount (Expected)","41 Source Type",$C$5,"5 Source No.",$C1414,"4 Item Ledger Entry Type",$C$4,"2 Item No.","@@"&amp;$F1414,"3 Posting Date",J$9)-NL("Sum","5802 Value Entry","43 Cost Amount (Actual)","41 Source Type",$C$5,"5 Source no.",$C1414,"4 Item Ledger Entry Type",$C$4,"2 Item No.","@@"&amp;$F1414,"3 Posting Date",J$9)</t>
  </si>
  <si>
    <t>=NL("Sum","5802 Value Entry","150 Sales Amount (Expected)","41 Source Type",$C$5,"5 Source No.",$C1414,"4 Item Ledger Entry Type",$C$4,"2 Item No.","@@"&amp;$F1414,"3 Posting Date",O$9)+NL("Sum","5802 Value Entry","17 Sales Amount (Actual)","41 Source Type",$C$5,"5 Source no.",$C1414,"4 Item Ledger Entry Type",$C$4,"2 Item No.","@@"&amp;$F1414,"3 Posting Date",O$9)</t>
  </si>
  <si>
    <t>=-NL("Sum","5802 Value Entry","151 Cost Amount (Expected)","41 Source Type",$C$5,"5 Source No.",$C1414,"4 Item Ledger Entry Type",$C$4,"2 Item No.","@@"&amp;$F1414,"3 Posting Date",O$9)-NL("Sum","5802 Value Entry","43 Cost Amount (Actual)","41 Source Type",$C$5,"5 Source no.",$C1414,"4 Item Ledger Entry Type",$C$4,"2 Item No.","@@"&amp;$F1414,"3 Posting Date",O$9)</t>
  </si>
  <si>
    <t>=NL("Sum","5802 Value Entry","150 Sales Amount (Expected)","41 Source Type",$C$5,"5 Source No.",$C1414,"4 Item Ledger Entry Type",$C$4,"2 Item No.","@@"&amp;$F1414,"3 Posting Date",U$9)+NL("Sum","5802 Value Entry","17 Sales Amount (Actual)","41 Source Type",$C$5,"5 Source no.",$C1414,"4 Item Ledger Entry Type",$C$4,"2 Item No.","@@"&amp;$F1414,"3 Posting Date",U$9)</t>
  </si>
  <si>
    <t>=-NL("Sum","5802 Value Entry","151 Cost Amount (Expected)","41 Source Type",$C$5,"5 Source No.",$C1414,"4 Item Ledger Entry Type",$C$4,"2 Item No.","@@"&amp;$F1414,"3 Posting Date",U$9)-NL("Sum","5802 Value Entry","43 Cost Amount (Actual)","41 Source Type",$C$5,"5 Source no.",$C1414,"4 Item Ledger Entry Type",$C$4,"2 Item No.","@@"&amp;$F1414,"3 Posting Date",U$9)</t>
  </si>
  <si>
    <t>=NL("Sum","5802 Value Entry","150 Sales Amount (Expected)","41 Source Type",$C$5,"5 Source No.",$C1414,"4 Item Ledger Entry Type",$C$4,"2 Item No.","@@"&amp;$F1414,"3 Posting Date",Z$9)+NL("Sum","5802 Value Entry","17 Sales Amount (Actual)","41 Source Type",$C$5,"5 Source no.",$C1414,"4 Item Ledger Entry Type",$C$4,"2 Item No.","@@"&amp;$F1414,"3 Posting Date",Z$9)</t>
  </si>
  <si>
    <t>=-NL("Sum","5802 Value Entry","151 Cost Amount (Expected)","41 Source Type",$C$5,"5 Source No.",$C1414,"4 Item Ledger Entry Type",$C$4,"2 Item No.","@@"&amp;$F1414,"3 Posting Date",Z$9)-NL("Sum","5802 Value Entry","43 Cost Amount (Actual)","41 Source Type",$C$5,"5 Source no.",$C1414,"4 Item Ledger Entry Type",$C$4,"2 Item No.","@@"&amp;$F1414,"3 Posting Date",Z$9)</t>
  </si>
  <si>
    <t>=C1414</t>
  </si>
  <si>
    <t>=NL("Sum","5802 Value Entry","150 Sales Amount (Expected)","41 Source Type",$C$5,"5 Source No.",$C1415,"4 Item Ledger Entry Type",$C$4,"2 Item No.","@@"&amp;$F1415,"3 Posting Date",J$9)+NL("Sum","5802 Value Entry","17 Sales Amount (Actual)","41 Source Type",$C$5,"5 Source no.",$C1415,"4 Item Ledger Entry Type",$C$4,"2 Item No.","@@"&amp;$F1415,"3 Posting Date",J$9)</t>
  </si>
  <si>
    <t>=-NL("Sum","5802 Value Entry","151 Cost Amount (Expected)","41 Source Type",$C$5,"5 Source No.",$C1415,"4 Item Ledger Entry Type",$C$4,"2 Item No.","@@"&amp;$F1415,"3 Posting Date",J$9)-NL("Sum","5802 Value Entry","43 Cost Amount (Actual)","41 Source Type",$C$5,"5 Source no.",$C1415,"4 Item Ledger Entry Type",$C$4,"2 Item No.","@@"&amp;$F1415,"3 Posting Date",J$9)</t>
  </si>
  <si>
    <t>=J1415-L1415</t>
  </si>
  <si>
    <t>=IF(J1415&lt;&gt;0,M1415/J1415,"")</t>
  </si>
  <si>
    <t>=NL("Sum","5802 Value Entry","150 Sales Amount (Expected)","41 Source Type",$C$5,"5 Source No.",$C1415,"4 Item Ledger Entry Type",$C$4,"2 Item No.","@@"&amp;$F1415,"3 Posting Date",O$9)+NL("Sum","5802 Value Entry","17 Sales Amount (Actual)","41 Source Type",$C$5,"5 Source no.",$C1415,"4 Item Ledger Entry Type",$C$4,"2 Item No.","@@"&amp;$F1415,"3 Posting Date",O$9)</t>
  </si>
  <si>
    <t>=-NL("Sum","5802 Value Entry","151 Cost Amount (Expected)","41 Source Type",$C$5,"5 Source No.",$C1415,"4 Item Ledger Entry Type",$C$4,"2 Item No.","@@"&amp;$F1415,"3 Posting Date",O$9)-NL("Sum","5802 Value Entry","43 Cost Amount (Actual)","41 Source Type",$C$5,"5 Source no.",$C1415,"4 Item Ledger Entry Type",$C$4,"2 Item No.","@@"&amp;$F1415,"3 Posting Date",O$9)</t>
  </si>
  <si>
    <t>=O1415-Q1415</t>
  </si>
  <si>
    <t>=IF(O1415&lt;&gt;0,R1415/O1415,"")</t>
  </si>
  <si>
    <t>=NL("Sum","5802 Value Entry","150 Sales Amount (Expected)","41 Source Type",$C$5,"5 Source No.",$C1415,"4 Item Ledger Entry Type",$C$4,"2 Item No.","@@"&amp;$F1415,"3 Posting Date",U$9)+NL("Sum","5802 Value Entry","17 Sales Amount (Actual)","41 Source Type",$C$5,"5 Source no.",$C1415,"4 Item Ledger Entry Type",$C$4,"2 Item No.","@@"&amp;$F1415,"3 Posting Date",U$9)</t>
  </si>
  <si>
    <t>=-NL("Sum","5802 Value Entry","151 Cost Amount (Expected)","41 Source Type",$C$5,"5 Source No.",$C1415,"4 Item Ledger Entry Type",$C$4,"2 Item No.","@@"&amp;$F1415,"3 Posting Date",U$9)-NL("Sum","5802 Value Entry","43 Cost Amount (Actual)","41 Source Type",$C$5,"5 Source no.",$C1415,"4 Item Ledger Entry Type",$C$4,"2 Item No.","@@"&amp;$F1415,"3 Posting Date",U$9)</t>
  </si>
  <si>
    <t>=U1415-W1415</t>
  </si>
  <si>
    <t>=IF(U1415&lt;&gt;0,X1415/U1415,"")</t>
  </si>
  <si>
    <t>=NL("Sum","5802 Value Entry","150 Sales Amount (Expected)","41 Source Type",$C$5,"5 Source No.",$C1415,"4 Item Ledger Entry Type",$C$4,"2 Item No.","@@"&amp;$F1415,"3 Posting Date",Z$9)+NL("Sum","5802 Value Entry","17 Sales Amount (Actual)","41 Source Type",$C$5,"5 Source no.",$C1415,"4 Item Ledger Entry Type",$C$4,"2 Item No.","@@"&amp;$F1415,"3 Posting Date",Z$9)</t>
  </si>
  <si>
    <t>=-NL("Sum","5802 Value Entry","151 Cost Amount (Expected)","41 Source Type",$C$5,"5 Source No.",$C1415,"4 Item Ledger Entry Type",$C$4,"2 Item No.","@@"&amp;$F1415,"3 Posting Date",Z$9)-NL("Sum","5802 Value Entry","43 Cost Amount (Actual)","41 Source Type",$C$5,"5 Source no.",$C1415,"4 Item Ledger Entry Type",$C$4,"2 Item No.","@@"&amp;$F1415,"3 Posting Date",Z$9)</t>
  </si>
  <si>
    <t>=Z1415-AB1415</t>
  </si>
  <si>
    <t>=IF(Z1415&lt;&gt;0,AC1415/Z1415,"")</t>
  </si>
  <si>
    <t>=C1415</t>
  </si>
  <si>
    <t>=NL("Sum","5802 Value Entry","150 Sales Amount (Expected)","41 Source Type",$C$5,"5 Source No.",$C1416,"4 Item Ledger Entry Type",$C$4,"2 Item No.","@@"&amp;$F1416,"3 Posting Date",J$9)+NL("Sum","5802 Value Entry","17 Sales Amount (Actual)","41 Source Type",$C$5,"5 Source no.",$C1416,"4 Item Ledger Entry Type",$C$4,"2 Item No.","@@"&amp;$F1416,"3 Posting Date",J$9)</t>
  </si>
  <si>
    <t>=-NL("Sum","5802 Value Entry","151 Cost Amount (Expected)","41 Source Type",$C$5,"5 Source No.",$C1416,"4 Item Ledger Entry Type",$C$4,"2 Item No.","@@"&amp;$F1416,"3 Posting Date",J$9)-NL("Sum","5802 Value Entry","43 Cost Amount (Actual)","41 Source Type",$C$5,"5 Source no.",$C1416,"4 Item Ledger Entry Type",$C$4,"2 Item No.","@@"&amp;$F1416,"3 Posting Date",J$9)</t>
  </si>
  <si>
    <t>=J1416-L1416</t>
  </si>
  <si>
    <t>=IF(J1416&lt;&gt;0,M1416/J1416,"")</t>
  </si>
  <si>
    <t>=NL("Sum","5802 Value Entry","150 Sales Amount (Expected)","41 Source Type",$C$5,"5 Source No.",$C1416,"4 Item Ledger Entry Type",$C$4,"2 Item No.","@@"&amp;$F1416,"3 Posting Date",O$9)+NL("Sum","5802 Value Entry","17 Sales Amount (Actual)","41 Source Type",$C$5,"5 Source no.",$C1416,"4 Item Ledger Entry Type",$C$4,"2 Item No.","@@"&amp;$F1416,"3 Posting Date",O$9)</t>
  </si>
  <si>
    <t>=-NL("Sum","5802 Value Entry","151 Cost Amount (Expected)","41 Source Type",$C$5,"5 Source No.",$C1416,"4 Item Ledger Entry Type",$C$4,"2 Item No.","@@"&amp;$F1416,"3 Posting Date",O$9)-NL("Sum","5802 Value Entry","43 Cost Amount (Actual)","41 Source Type",$C$5,"5 Source no.",$C1416,"4 Item Ledger Entry Type",$C$4,"2 Item No.","@@"&amp;$F1416,"3 Posting Date",O$9)</t>
  </si>
  <si>
    <t>=O1416-Q1416</t>
  </si>
  <si>
    <t>=IF(O1416&lt;&gt;0,R1416/O1416,"")</t>
  </si>
  <si>
    <t>=NL("Sum","5802 Value Entry","150 Sales Amount (Expected)","41 Source Type",$C$5,"5 Source No.",$C1416,"4 Item Ledger Entry Type",$C$4,"2 Item No.","@@"&amp;$F1416,"3 Posting Date",U$9)+NL("Sum","5802 Value Entry","17 Sales Amount (Actual)","41 Source Type",$C$5,"5 Source no.",$C1416,"4 Item Ledger Entry Type",$C$4,"2 Item No.","@@"&amp;$F1416,"3 Posting Date",U$9)</t>
  </si>
  <si>
    <t>=-NL("Sum","5802 Value Entry","151 Cost Amount (Expected)","41 Source Type",$C$5,"5 Source No.",$C1416,"4 Item Ledger Entry Type",$C$4,"2 Item No.","@@"&amp;$F1416,"3 Posting Date",U$9)-NL("Sum","5802 Value Entry","43 Cost Amount (Actual)","41 Source Type",$C$5,"5 Source no.",$C1416,"4 Item Ledger Entry Type",$C$4,"2 Item No.","@@"&amp;$F1416,"3 Posting Date",U$9)</t>
  </si>
  <si>
    <t>=U1416-W1416</t>
  </si>
  <si>
    <t>=IF(U1416&lt;&gt;0,X1416/U1416,"")</t>
  </si>
  <si>
    <t>=NL("Sum","5802 Value Entry","150 Sales Amount (Expected)","41 Source Type",$C$5,"5 Source No.",$C1416,"4 Item Ledger Entry Type",$C$4,"2 Item No.","@@"&amp;$F1416,"3 Posting Date",Z$9)+NL("Sum","5802 Value Entry","17 Sales Amount (Actual)","41 Source Type",$C$5,"5 Source no.",$C1416,"4 Item Ledger Entry Type",$C$4,"2 Item No.","@@"&amp;$F1416,"3 Posting Date",Z$9)</t>
  </si>
  <si>
    <t>=-NL("Sum","5802 Value Entry","151 Cost Amount (Expected)","41 Source Type",$C$5,"5 Source No.",$C1416,"4 Item Ledger Entry Type",$C$4,"2 Item No.","@@"&amp;$F1416,"3 Posting Date",Z$9)-NL("Sum","5802 Value Entry","43 Cost Amount (Actual)","41 Source Type",$C$5,"5 Source no.",$C1416,"4 Item Ledger Entry Type",$C$4,"2 Item No.","@@"&amp;$F1416,"3 Posting Date",Z$9)</t>
  </si>
  <si>
    <t>=Z1416-AB1416</t>
  </si>
  <si>
    <t>=IF(Z1416&lt;&gt;0,AC1416/Z1416,"")</t>
  </si>
  <si>
    <t>=NL("Sum","5802 Value Entry","150 Sales Amount (Expected)","41 Source Type",$C$5,"5 Source No.",$C1417,"4 Item Ledger Entry Type",$C$4,"2 Item No.","@@"&amp;$F1417,"3 Posting Date",J$9)+NL("Sum","5802 Value Entry","17 Sales Amount (Actual)","41 Source Type",$C$5,"5 Source no.",$C1417,"4 Item Ledger Entry Type",$C$4,"2 Item No.","@@"&amp;$F1417,"3 Posting Date",J$9)</t>
  </si>
  <si>
    <t>=-NL("Sum","5802 Value Entry","151 Cost Amount (Expected)","41 Source Type",$C$5,"5 Source No.",$C1417,"4 Item Ledger Entry Type",$C$4,"2 Item No.","@@"&amp;$F1417,"3 Posting Date",J$9)-NL("Sum","5802 Value Entry","43 Cost Amount (Actual)","41 Source Type",$C$5,"5 Source no.",$C1417,"4 Item Ledger Entry Type",$C$4,"2 Item No.","@@"&amp;$F1417,"3 Posting Date",J$9)</t>
  </si>
  <si>
    <t>=J1417-L1417</t>
  </si>
  <si>
    <t>=IF(J1417&lt;&gt;0,M1417/J1417,"")</t>
  </si>
  <si>
    <t>=NL("Sum","5802 Value Entry","150 Sales Amount (Expected)","41 Source Type",$C$5,"5 Source No.",$C1417,"4 Item Ledger Entry Type",$C$4,"2 Item No.","@@"&amp;$F1417,"3 Posting Date",O$9)+NL("Sum","5802 Value Entry","17 Sales Amount (Actual)","41 Source Type",$C$5,"5 Source no.",$C1417,"4 Item Ledger Entry Type",$C$4,"2 Item No.","@@"&amp;$F1417,"3 Posting Date",O$9)</t>
  </si>
  <si>
    <t>=-NL("Sum","5802 Value Entry","151 Cost Amount (Expected)","41 Source Type",$C$5,"5 Source No.",$C1417,"4 Item Ledger Entry Type",$C$4,"2 Item No.","@@"&amp;$F1417,"3 Posting Date",O$9)-NL("Sum","5802 Value Entry","43 Cost Amount (Actual)","41 Source Type",$C$5,"5 Source no.",$C1417,"4 Item Ledger Entry Type",$C$4,"2 Item No.","@@"&amp;$F1417,"3 Posting Date",O$9)</t>
  </si>
  <si>
    <t>=O1417-Q1417</t>
  </si>
  <si>
    <t>=IF(O1417&lt;&gt;0,R1417/O1417,"")</t>
  </si>
  <si>
    <t>=NL("Sum","5802 Value Entry","150 Sales Amount (Expected)","41 Source Type",$C$5,"5 Source No.",$C1417,"4 Item Ledger Entry Type",$C$4,"2 Item No.","@@"&amp;$F1417,"3 Posting Date",U$9)+NL("Sum","5802 Value Entry","17 Sales Amount (Actual)","41 Source Type",$C$5,"5 Source no.",$C1417,"4 Item Ledger Entry Type",$C$4,"2 Item No.","@@"&amp;$F1417,"3 Posting Date",U$9)</t>
  </si>
  <si>
    <t>=-NL("Sum","5802 Value Entry","151 Cost Amount (Expected)","41 Source Type",$C$5,"5 Source No.",$C1417,"4 Item Ledger Entry Type",$C$4,"2 Item No.","@@"&amp;$F1417,"3 Posting Date",U$9)-NL("Sum","5802 Value Entry","43 Cost Amount (Actual)","41 Source Type",$C$5,"5 Source no.",$C1417,"4 Item Ledger Entry Type",$C$4,"2 Item No.","@@"&amp;$F1417,"3 Posting Date",U$9)</t>
  </si>
  <si>
    <t>=U1417-W1417</t>
  </si>
  <si>
    <t>=IF(U1417&lt;&gt;0,X1417/U1417,"")</t>
  </si>
  <si>
    <t>=NL("Sum","5802 Value Entry","150 Sales Amount (Expected)","41 Source Type",$C$5,"5 Source No.",$C1417,"4 Item Ledger Entry Type",$C$4,"2 Item No.","@@"&amp;$F1417,"3 Posting Date",Z$9)+NL("Sum","5802 Value Entry","17 Sales Amount (Actual)","41 Source Type",$C$5,"5 Source no.",$C1417,"4 Item Ledger Entry Type",$C$4,"2 Item No.","@@"&amp;$F1417,"3 Posting Date",Z$9)</t>
  </si>
  <si>
    <t>=-NL("Sum","5802 Value Entry","151 Cost Amount (Expected)","41 Source Type",$C$5,"5 Source No.",$C1417,"4 Item Ledger Entry Type",$C$4,"2 Item No.","@@"&amp;$F1417,"3 Posting Date",Z$9)-NL("Sum","5802 Value Entry","43 Cost Amount (Actual)","41 Source Type",$C$5,"5 Source no.",$C1417,"4 Item Ledger Entry Type",$C$4,"2 Item No.","@@"&amp;$F1417,"3 Posting Date",Z$9)</t>
  </si>
  <si>
    <t>=Z1417-AB1417</t>
  </si>
  <si>
    <t>=IF(Z1417&lt;&gt;0,AC1417/Z1417,"")</t>
  </si>
  <si>
    <t>=C1428&amp;" TOTAL:"</t>
  </si>
  <si>
    <t>=SUBTOTAL(9,J1408:J1427)</t>
  </si>
  <si>
    <t>=SUBTOTAL(9,K1408:K1427)</t>
  </si>
  <si>
    <t>=SUBTOTAL(9,L1408:L1427)</t>
  </si>
  <si>
    <t>=SUBTOTAL(9,O1408:O1427)</t>
  </si>
  <si>
    <t>=SUBTOTAL(9,P1408:P1427)</t>
  </si>
  <si>
    <t>=SUBTOTAL(9,Q1408:Q1427)</t>
  </si>
  <si>
    <t>=SUBTOTAL(9,U1408:U1427)</t>
  </si>
  <si>
    <t>=SUBTOTAL(9,V1408:V1427)</t>
  </si>
  <si>
    <t>=SUBTOTAL(9,W1408:W1427)</t>
  </si>
  <si>
    <t>=SUBTOTAL(9,Z1408:Z1427)</t>
  </si>
  <si>
    <t>=SUBTOTAL(9,AA1408:AA1427)</t>
  </si>
  <si>
    <t>=SUBTOTAL(9,AB1408:AB1427)</t>
  </si>
  <si>
    <t>=E1430</t>
  </si>
  <si>
    <t>=NL(,"18 Customer","2 Name","1 No.",$E1430)</t>
  </si>
  <si>
    <t>=NL("Rows","5802 Value Entry","2 Item No.","4 Item Ledger Entry Type",$C$4,"41 Source Type",$C$5,"5 Source No.",$C1432,"Item No.",$C$7,"3 Posting Date",$C$10)</t>
  </si>
  <si>
    <t>=C1436</t>
  </si>
  <si>
    <t>=NL("Sum","5802 Value Entry","150 Sales Amount (Expected)","41 Source Type",$C$5,"5 Source No.",$C1437,"4 Item Ledger Entry Type",$C$4,"2 Item No.","@@"&amp;$F1437,"3 Posting Date",J$9)+NL("Sum","5802 Value Entry","17 Sales Amount (Actual)","41 Source Type",$C$5,"5 Source no.",$C1437,"4 Item Ledger Entry Type",$C$4,"2 Item No.","@@"&amp;$F1437,"3 Posting Date",J$9)</t>
  </si>
  <si>
    <t>=-NL("Sum","5802 Value Entry","151 Cost Amount (Expected)","41 Source Type",$C$5,"5 Source No.",$C1437,"4 Item Ledger Entry Type",$C$4,"2 Item No.","@@"&amp;$F1437,"3 Posting Date",J$9)-NL("Sum","5802 Value Entry","43 Cost Amount (Actual)","41 Source Type",$C$5,"5 Source no.",$C1437,"4 Item Ledger Entry Type",$C$4,"2 Item No.","@@"&amp;$F1437,"3 Posting Date",J$9)</t>
  </si>
  <si>
    <t>=J1437-L1437</t>
  </si>
  <si>
    <t>=IF(J1437&lt;&gt;0,M1437/J1437,"")</t>
  </si>
  <si>
    <t>=NL("Sum","5802 Value Entry","150 Sales Amount (Expected)","41 Source Type",$C$5,"5 Source No.",$C1437,"4 Item Ledger Entry Type",$C$4,"2 Item No.","@@"&amp;$F1437,"3 Posting Date",O$9)+NL("Sum","5802 Value Entry","17 Sales Amount (Actual)","41 Source Type",$C$5,"5 Source no.",$C1437,"4 Item Ledger Entry Type",$C$4,"2 Item No.","@@"&amp;$F1437,"3 Posting Date",O$9)</t>
  </si>
  <si>
    <t>=-NL("Sum","5802 Value Entry","151 Cost Amount (Expected)","41 Source Type",$C$5,"5 Source No.",$C1437,"4 Item Ledger Entry Type",$C$4,"2 Item No.","@@"&amp;$F1437,"3 Posting Date",O$9)-NL("Sum","5802 Value Entry","43 Cost Amount (Actual)","41 Source Type",$C$5,"5 Source no.",$C1437,"4 Item Ledger Entry Type",$C$4,"2 Item No.","@@"&amp;$F1437,"3 Posting Date",O$9)</t>
  </si>
  <si>
    <t>=O1437-Q1437</t>
  </si>
  <si>
    <t>=IF(O1437&lt;&gt;0,R1437/O1437,"")</t>
  </si>
  <si>
    <t>=NL("Sum","5802 Value Entry","150 Sales Amount (Expected)","41 Source Type",$C$5,"5 Source No.",$C1437,"4 Item Ledger Entry Type",$C$4,"2 Item No.","@@"&amp;$F1437,"3 Posting Date",U$9)+NL("Sum","5802 Value Entry","17 Sales Amount (Actual)","41 Source Type",$C$5,"5 Source no.",$C1437,"4 Item Ledger Entry Type",$C$4,"2 Item No.","@@"&amp;$F1437,"3 Posting Date",U$9)</t>
  </si>
  <si>
    <t>=-NL("Sum","5802 Value Entry","151 Cost Amount (Expected)","41 Source Type",$C$5,"5 Source No.",$C1437,"4 Item Ledger Entry Type",$C$4,"2 Item No.","@@"&amp;$F1437,"3 Posting Date",U$9)-NL("Sum","5802 Value Entry","43 Cost Amount (Actual)","41 Source Type",$C$5,"5 Source no.",$C1437,"4 Item Ledger Entry Type",$C$4,"2 Item No.","@@"&amp;$F1437,"3 Posting Date",U$9)</t>
  </si>
  <si>
    <t>=U1437-W1437</t>
  </si>
  <si>
    <t>=IF(U1437&lt;&gt;0,X1437/U1437,"")</t>
  </si>
  <si>
    <t>=NL("Sum","5802 Value Entry","150 Sales Amount (Expected)","41 Source Type",$C$5,"5 Source No.",$C1437,"4 Item Ledger Entry Type",$C$4,"2 Item No.","@@"&amp;$F1437,"3 Posting Date",Z$9)+NL("Sum","5802 Value Entry","17 Sales Amount (Actual)","41 Source Type",$C$5,"5 Source no.",$C1437,"4 Item Ledger Entry Type",$C$4,"2 Item No.","@@"&amp;$F1437,"3 Posting Date",Z$9)</t>
  </si>
  <si>
    <t>=-NL("Sum","5802 Value Entry","151 Cost Amount (Expected)","41 Source Type",$C$5,"5 Source No.",$C1437,"4 Item Ledger Entry Type",$C$4,"2 Item No.","@@"&amp;$F1437,"3 Posting Date",Z$9)-NL("Sum","5802 Value Entry","43 Cost Amount (Actual)","41 Source Type",$C$5,"5 Source no.",$C1437,"4 Item Ledger Entry Type",$C$4,"2 Item No.","@@"&amp;$F1437,"3 Posting Date",Z$9)</t>
  </si>
  <si>
    <t>=Z1437-AB1437</t>
  </si>
  <si>
    <t>=IF(Z1437&lt;&gt;0,AC1437/Z1437,"")</t>
  </si>
  <si>
    <t>=NL("Sum","5802 Value Entry","150 Sales Amount (Expected)","41 Source Type",$C$5,"5 Source No.",$C1438,"4 Item Ledger Entry Type",$C$4,"2 Item No.","@@"&amp;$F1438,"3 Posting Date",J$9)+NL("Sum","5802 Value Entry","17 Sales Amount (Actual)","41 Source Type",$C$5,"5 Source no.",$C1438,"4 Item Ledger Entry Type",$C$4,"2 Item No.","@@"&amp;$F1438,"3 Posting Date",J$9)</t>
  </si>
  <si>
    <t>=-NL("Sum","5802 Value Entry","151 Cost Amount (Expected)","41 Source Type",$C$5,"5 Source No.",$C1438,"4 Item Ledger Entry Type",$C$4,"2 Item No.","@@"&amp;$F1438,"3 Posting Date",J$9)-NL("Sum","5802 Value Entry","43 Cost Amount (Actual)","41 Source Type",$C$5,"5 Source no.",$C1438,"4 Item Ledger Entry Type",$C$4,"2 Item No.","@@"&amp;$F1438,"3 Posting Date",J$9)</t>
  </si>
  <si>
    <t>=NL("Sum","5802 Value Entry","150 Sales Amount (Expected)","41 Source Type",$C$5,"5 Source No.",$C1438,"4 Item Ledger Entry Type",$C$4,"2 Item No.","@@"&amp;$F1438,"3 Posting Date",O$9)+NL("Sum","5802 Value Entry","17 Sales Amount (Actual)","41 Source Type",$C$5,"5 Source no.",$C1438,"4 Item Ledger Entry Type",$C$4,"2 Item No.","@@"&amp;$F1438,"3 Posting Date",O$9)</t>
  </si>
  <si>
    <t>=-NL("Sum","5802 Value Entry","151 Cost Amount (Expected)","41 Source Type",$C$5,"5 Source No.",$C1438,"4 Item Ledger Entry Type",$C$4,"2 Item No.","@@"&amp;$F1438,"3 Posting Date",O$9)-NL("Sum","5802 Value Entry","43 Cost Amount (Actual)","41 Source Type",$C$5,"5 Source no.",$C1438,"4 Item Ledger Entry Type",$C$4,"2 Item No.","@@"&amp;$F1438,"3 Posting Date",O$9)</t>
  </si>
  <si>
    <t>=NL("Sum","5802 Value Entry","150 Sales Amount (Expected)","41 Source Type",$C$5,"5 Source No.",$C1438,"4 Item Ledger Entry Type",$C$4,"2 Item No.","@@"&amp;$F1438,"3 Posting Date",U$9)+NL("Sum","5802 Value Entry","17 Sales Amount (Actual)","41 Source Type",$C$5,"5 Source no.",$C1438,"4 Item Ledger Entry Type",$C$4,"2 Item No.","@@"&amp;$F1438,"3 Posting Date",U$9)</t>
  </si>
  <si>
    <t>=-NL("Sum","5802 Value Entry","151 Cost Amount (Expected)","41 Source Type",$C$5,"5 Source No.",$C1438,"4 Item Ledger Entry Type",$C$4,"2 Item No.","@@"&amp;$F1438,"3 Posting Date",U$9)-NL("Sum","5802 Value Entry","43 Cost Amount (Actual)","41 Source Type",$C$5,"5 Source no.",$C1438,"4 Item Ledger Entry Type",$C$4,"2 Item No.","@@"&amp;$F1438,"3 Posting Date",U$9)</t>
  </si>
  <si>
    <t>=NL("Sum","5802 Value Entry","150 Sales Amount (Expected)","41 Source Type",$C$5,"5 Source No.",$C1438,"4 Item Ledger Entry Type",$C$4,"2 Item No.","@@"&amp;$F1438,"3 Posting Date",Z$9)+NL("Sum","5802 Value Entry","17 Sales Amount (Actual)","41 Source Type",$C$5,"5 Source no.",$C1438,"4 Item Ledger Entry Type",$C$4,"2 Item No.","@@"&amp;$F1438,"3 Posting Date",Z$9)</t>
  </si>
  <si>
    <t>=-NL("Sum","5802 Value Entry","151 Cost Amount (Expected)","41 Source Type",$C$5,"5 Source No.",$C1438,"4 Item Ledger Entry Type",$C$4,"2 Item No.","@@"&amp;$F1438,"3 Posting Date",Z$9)-NL("Sum","5802 Value Entry","43 Cost Amount (Actual)","41 Source Type",$C$5,"5 Source no.",$C1438,"4 Item Ledger Entry Type",$C$4,"2 Item No.","@@"&amp;$F1438,"3 Posting Date",Z$9)</t>
  </si>
  <si>
    <t>=C1438</t>
  </si>
  <si>
    <t>=NL("Sum","5802 Value Entry","150 Sales Amount (Expected)","41 Source Type",$C$5,"5 Source No.",$C1439,"4 Item Ledger Entry Type",$C$4,"2 Item No.","@@"&amp;$F1439,"3 Posting Date",J$9)+NL("Sum","5802 Value Entry","17 Sales Amount (Actual)","41 Source Type",$C$5,"5 Source no.",$C1439,"4 Item Ledger Entry Type",$C$4,"2 Item No.","@@"&amp;$F1439,"3 Posting Date",J$9)</t>
  </si>
  <si>
    <t>=-NL("Sum","5802 Value Entry","151 Cost Amount (Expected)","41 Source Type",$C$5,"5 Source No.",$C1439,"4 Item Ledger Entry Type",$C$4,"2 Item No.","@@"&amp;$F1439,"3 Posting Date",J$9)-NL("Sum","5802 Value Entry","43 Cost Amount (Actual)","41 Source Type",$C$5,"5 Source no.",$C1439,"4 Item Ledger Entry Type",$C$4,"2 Item No.","@@"&amp;$F1439,"3 Posting Date",J$9)</t>
  </si>
  <si>
    <t>=J1439-L1439</t>
  </si>
  <si>
    <t>=IF(J1439&lt;&gt;0,M1439/J1439,"")</t>
  </si>
  <si>
    <t>=NL("Sum","5802 Value Entry","150 Sales Amount (Expected)","41 Source Type",$C$5,"5 Source No.",$C1439,"4 Item Ledger Entry Type",$C$4,"2 Item No.","@@"&amp;$F1439,"3 Posting Date",O$9)+NL("Sum","5802 Value Entry","17 Sales Amount (Actual)","41 Source Type",$C$5,"5 Source no.",$C1439,"4 Item Ledger Entry Type",$C$4,"2 Item No.","@@"&amp;$F1439,"3 Posting Date",O$9)</t>
  </si>
  <si>
    <t>=-NL("Sum","5802 Value Entry","151 Cost Amount (Expected)","41 Source Type",$C$5,"5 Source No.",$C1439,"4 Item Ledger Entry Type",$C$4,"2 Item No.","@@"&amp;$F1439,"3 Posting Date",O$9)-NL("Sum","5802 Value Entry","43 Cost Amount (Actual)","41 Source Type",$C$5,"5 Source no.",$C1439,"4 Item Ledger Entry Type",$C$4,"2 Item No.","@@"&amp;$F1439,"3 Posting Date",O$9)</t>
  </si>
  <si>
    <t>=O1439-Q1439</t>
  </si>
  <si>
    <t>=IF(O1439&lt;&gt;0,R1439/O1439,"")</t>
  </si>
  <si>
    <t>=NL("Sum","5802 Value Entry","150 Sales Amount (Expected)","41 Source Type",$C$5,"5 Source No.",$C1439,"4 Item Ledger Entry Type",$C$4,"2 Item No.","@@"&amp;$F1439,"3 Posting Date",U$9)+NL("Sum","5802 Value Entry","17 Sales Amount (Actual)","41 Source Type",$C$5,"5 Source no.",$C1439,"4 Item Ledger Entry Type",$C$4,"2 Item No.","@@"&amp;$F1439,"3 Posting Date",U$9)</t>
  </si>
  <si>
    <t>=-NL("Sum","5802 Value Entry","151 Cost Amount (Expected)","41 Source Type",$C$5,"5 Source No.",$C1439,"4 Item Ledger Entry Type",$C$4,"2 Item No.","@@"&amp;$F1439,"3 Posting Date",U$9)-NL("Sum","5802 Value Entry","43 Cost Amount (Actual)","41 Source Type",$C$5,"5 Source no.",$C1439,"4 Item Ledger Entry Type",$C$4,"2 Item No.","@@"&amp;$F1439,"3 Posting Date",U$9)</t>
  </si>
  <si>
    <t>=U1439-W1439</t>
  </si>
  <si>
    <t>=IF(U1439&lt;&gt;0,X1439/U1439,"")</t>
  </si>
  <si>
    <t>=NL("Sum","5802 Value Entry","150 Sales Amount (Expected)","41 Source Type",$C$5,"5 Source No.",$C1439,"4 Item Ledger Entry Type",$C$4,"2 Item No.","@@"&amp;$F1439,"3 Posting Date",Z$9)+NL("Sum","5802 Value Entry","17 Sales Amount (Actual)","41 Source Type",$C$5,"5 Source no.",$C1439,"4 Item Ledger Entry Type",$C$4,"2 Item No.","@@"&amp;$F1439,"3 Posting Date",Z$9)</t>
  </si>
  <si>
    <t>=-NL("Sum","5802 Value Entry","151 Cost Amount (Expected)","41 Source Type",$C$5,"5 Source No.",$C1439,"4 Item Ledger Entry Type",$C$4,"2 Item No.","@@"&amp;$F1439,"3 Posting Date",Z$9)-NL("Sum","5802 Value Entry","43 Cost Amount (Actual)","41 Source Type",$C$5,"5 Source no.",$C1439,"4 Item Ledger Entry Type",$C$4,"2 Item No.","@@"&amp;$F1439,"3 Posting Date",Z$9)</t>
  </si>
  <si>
    <t>=Z1439-AB1439</t>
  </si>
  <si>
    <t>=IF(Z1439&lt;&gt;0,AC1439/Z1439,"")</t>
  </si>
  <si>
    <t>=C1439</t>
  </si>
  <si>
    <t>=NL("Sum","5802 Value Entry","150 Sales Amount (Expected)","41 Source Type",$C$5,"5 Source No.",$C1440,"4 Item Ledger Entry Type",$C$4,"2 Item No.","@@"&amp;$F1440,"3 Posting Date",J$9)+NL("Sum","5802 Value Entry","17 Sales Amount (Actual)","41 Source Type",$C$5,"5 Source no.",$C1440,"4 Item Ledger Entry Type",$C$4,"2 Item No.","@@"&amp;$F1440,"3 Posting Date",J$9)</t>
  </si>
  <si>
    <t>=-NL("Sum","5802 Value Entry","151 Cost Amount (Expected)","41 Source Type",$C$5,"5 Source No.",$C1440,"4 Item Ledger Entry Type",$C$4,"2 Item No.","@@"&amp;$F1440,"3 Posting Date",J$9)-NL("Sum","5802 Value Entry","43 Cost Amount (Actual)","41 Source Type",$C$5,"5 Source no.",$C1440,"4 Item Ledger Entry Type",$C$4,"2 Item No.","@@"&amp;$F1440,"3 Posting Date",J$9)</t>
  </si>
  <si>
    <t>=J1440-L1440</t>
  </si>
  <si>
    <t>=IF(J1440&lt;&gt;0,M1440/J1440,"")</t>
  </si>
  <si>
    <t>=NL("Sum","5802 Value Entry","150 Sales Amount (Expected)","41 Source Type",$C$5,"5 Source No.",$C1440,"4 Item Ledger Entry Type",$C$4,"2 Item No.","@@"&amp;$F1440,"3 Posting Date",O$9)+NL("Sum","5802 Value Entry","17 Sales Amount (Actual)","41 Source Type",$C$5,"5 Source no.",$C1440,"4 Item Ledger Entry Type",$C$4,"2 Item No.","@@"&amp;$F1440,"3 Posting Date",O$9)</t>
  </si>
  <si>
    <t>=-NL("Sum","5802 Value Entry","151 Cost Amount (Expected)","41 Source Type",$C$5,"5 Source No.",$C1440,"4 Item Ledger Entry Type",$C$4,"2 Item No.","@@"&amp;$F1440,"3 Posting Date",O$9)-NL("Sum","5802 Value Entry","43 Cost Amount (Actual)","41 Source Type",$C$5,"5 Source no.",$C1440,"4 Item Ledger Entry Type",$C$4,"2 Item No.","@@"&amp;$F1440,"3 Posting Date",O$9)</t>
  </si>
  <si>
    <t>=O1440-Q1440</t>
  </si>
  <si>
    <t>=IF(O1440&lt;&gt;0,R1440/O1440,"")</t>
  </si>
  <si>
    <t>=NL("Sum","5802 Value Entry","150 Sales Amount (Expected)","41 Source Type",$C$5,"5 Source No.",$C1440,"4 Item Ledger Entry Type",$C$4,"2 Item No.","@@"&amp;$F1440,"3 Posting Date",U$9)+NL("Sum","5802 Value Entry","17 Sales Amount (Actual)","41 Source Type",$C$5,"5 Source no.",$C1440,"4 Item Ledger Entry Type",$C$4,"2 Item No.","@@"&amp;$F1440,"3 Posting Date",U$9)</t>
  </si>
  <si>
    <t>=-NL("Sum","5802 Value Entry","151 Cost Amount (Expected)","41 Source Type",$C$5,"5 Source No.",$C1440,"4 Item Ledger Entry Type",$C$4,"2 Item No.","@@"&amp;$F1440,"3 Posting Date",U$9)-NL("Sum","5802 Value Entry","43 Cost Amount (Actual)","41 Source Type",$C$5,"5 Source no.",$C1440,"4 Item Ledger Entry Type",$C$4,"2 Item No.","@@"&amp;$F1440,"3 Posting Date",U$9)</t>
  </si>
  <si>
    <t>=U1440-W1440</t>
  </si>
  <si>
    <t>=IF(U1440&lt;&gt;0,X1440/U1440,"")</t>
  </si>
  <si>
    <t>=NL("Sum","5802 Value Entry","150 Sales Amount (Expected)","41 Source Type",$C$5,"5 Source No.",$C1440,"4 Item Ledger Entry Type",$C$4,"2 Item No.","@@"&amp;$F1440,"3 Posting Date",Z$9)+NL("Sum","5802 Value Entry","17 Sales Amount (Actual)","41 Source Type",$C$5,"5 Source no.",$C1440,"4 Item Ledger Entry Type",$C$4,"2 Item No.","@@"&amp;$F1440,"3 Posting Date",Z$9)</t>
  </si>
  <si>
    <t>=-NL("Sum","5802 Value Entry","151 Cost Amount (Expected)","41 Source Type",$C$5,"5 Source No.",$C1440,"4 Item Ledger Entry Type",$C$4,"2 Item No.","@@"&amp;$F1440,"3 Posting Date",Z$9)-NL("Sum","5802 Value Entry","43 Cost Amount (Actual)","41 Source Type",$C$5,"5 Source no.",$C1440,"4 Item Ledger Entry Type",$C$4,"2 Item No.","@@"&amp;$F1440,"3 Posting Date",Z$9)</t>
  </si>
  <si>
    <t>=Z1440-AB1440</t>
  </si>
  <si>
    <t>=IF(Z1440&lt;&gt;0,AC1440/Z1440,"")</t>
  </si>
  <si>
    <t>=NL("Sum","5802 Value Entry","150 Sales Amount (Expected)","41 Source Type",$C$5,"5 Source No.",$C1441,"4 Item Ledger Entry Type",$C$4,"2 Item No.","@@"&amp;$F1441,"3 Posting Date",J$9)+NL("Sum","5802 Value Entry","17 Sales Amount (Actual)","41 Source Type",$C$5,"5 Source no.",$C1441,"4 Item Ledger Entry Type",$C$4,"2 Item No.","@@"&amp;$F1441,"3 Posting Date",J$9)</t>
  </si>
  <si>
    <t>=-NL("Sum","5802 Value Entry","151 Cost Amount (Expected)","41 Source Type",$C$5,"5 Source No.",$C1441,"4 Item Ledger Entry Type",$C$4,"2 Item No.","@@"&amp;$F1441,"3 Posting Date",J$9)-NL("Sum","5802 Value Entry","43 Cost Amount (Actual)","41 Source Type",$C$5,"5 Source no.",$C1441,"4 Item Ledger Entry Type",$C$4,"2 Item No.","@@"&amp;$F1441,"3 Posting Date",J$9)</t>
  </si>
  <si>
    <t>=J1441-L1441</t>
  </si>
  <si>
    <t>=IF(J1441&lt;&gt;0,M1441/J1441,"")</t>
  </si>
  <si>
    <t>=NL("Sum","5802 Value Entry","150 Sales Amount (Expected)","41 Source Type",$C$5,"5 Source No.",$C1441,"4 Item Ledger Entry Type",$C$4,"2 Item No.","@@"&amp;$F1441,"3 Posting Date",O$9)+NL("Sum","5802 Value Entry","17 Sales Amount (Actual)","41 Source Type",$C$5,"5 Source no.",$C1441,"4 Item Ledger Entry Type",$C$4,"2 Item No.","@@"&amp;$F1441,"3 Posting Date",O$9)</t>
  </si>
  <si>
    <t>=-NL("Sum","5802 Value Entry","151 Cost Amount (Expected)","41 Source Type",$C$5,"5 Source No.",$C1441,"4 Item Ledger Entry Type",$C$4,"2 Item No.","@@"&amp;$F1441,"3 Posting Date",O$9)-NL("Sum","5802 Value Entry","43 Cost Amount (Actual)","41 Source Type",$C$5,"5 Source no.",$C1441,"4 Item Ledger Entry Type",$C$4,"2 Item No.","@@"&amp;$F1441,"3 Posting Date",O$9)</t>
  </si>
  <si>
    <t>=O1441-Q1441</t>
  </si>
  <si>
    <t>=IF(O1441&lt;&gt;0,R1441/O1441,"")</t>
  </si>
  <si>
    <t>=NL("Sum","5802 Value Entry","150 Sales Amount (Expected)","41 Source Type",$C$5,"5 Source No.",$C1441,"4 Item Ledger Entry Type",$C$4,"2 Item No.","@@"&amp;$F1441,"3 Posting Date",U$9)+NL("Sum","5802 Value Entry","17 Sales Amount (Actual)","41 Source Type",$C$5,"5 Source no.",$C1441,"4 Item Ledger Entry Type",$C$4,"2 Item No.","@@"&amp;$F1441,"3 Posting Date",U$9)</t>
  </si>
  <si>
    <t>=-NL("Sum","5802 Value Entry","151 Cost Amount (Expected)","41 Source Type",$C$5,"5 Source No.",$C1441,"4 Item Ledger Entry Type",$C$4,"2 Item No.","@@"&amp;$F1441,"3 Posting Date",U$9)-NL("Sum","5802 Value Entry","43 Cost Amount (Actual)","41 Source Type",$C$5,"5 Source no.",$C1441,"4 Item Ledger Entry Type",$C$4,"2 Item No.","@@"&amp;$F1441,"3 Posting Date",U$9)</t>
  </si>
  <si>
    <t>=U1441-W1441</t>
  </si>
  <si>
    <t>=IF(U1441&lt;&gt;0,X1441/U1441,"")</t>
  </si>
  <si>
    <t>=NL("Sum","5802 Value Entry","150 Sales Amount (Expected)","41 Source Type",$C$5,"5 Source No.",$C1441,"4 Item Ledger Entry Type",$C$4,"2 Item No.","@@"&amp;$F1441,"3 Posting Date",Z$9)+NL("Sum","5802 Value Entry","17 Sales Amount (Actual)","41 Source Type",$C$5,"5 Source no.",$C1441,"4 Item Ledger Entry Type",$C$4,"2 Item No.","@@"&amp;$F1441,"3 Posting Date",Z$9)</t>
  </si>
  <si>
    <t>=-NL("Sum","5802 Value Entry","151 Cost Amount (Expected)","41 Source Type",$C$5,"5 Source No.",$C1441,"4 Item Ledger Entry Type",$C$4,"2 Item No.","@@"&amp;$F1441,"3 Posting Date",Z$9)-NL("Sum","5802 Value Entry","43 Cost Amount (Actual)","41 Source Type",$C$5,"5 Source no.",$C1441,"4 Item Ledger Entry Type",$C$4,"2 Item No.","@@"&amp;$F1441,"3 Posting Date",Z$9)</t>
  </si>
  <si>
    <t>=Z1441-AB1441</t>
  </si>
  <si>
    <t>=IF(Z1441&lt;&gt;0,AC1441/Z1441,"")</t>
  </si>
  <si>
    <t>=C1456&amp;" TOTAL:"</t>
  </si>
  <si>
    <t>=SUBTOTAL(9,J1431:J1455)</t>
  </si>
  <si>
    <t>=SUBTOTAL(9,K1431:K1455)</t>
  </si>
  <si>
    <t>=SUBTOTAL(9,L1431:L1455)</t>
  </si>
  <si>
    <t>=SUBTOTAL(9,O1431:O1455)</t>
  </si>
  <si>
    <t>=SUBTOTAL(9,P1431:P1455)</t>
  </si>
  <si>
    <t>=SUBTOTAL(9,Q1431:Q1455)</t>
  </si>
  <si>
    <t>=SUBTOTAL(9,U1431:U1455)</t>
  </si>
  <si>
    <t>=SUBTOTAL(9,V1431:V1455)</t>
  </si>
  <si>
    <t>=SUBTOTAL(9,W1431:W1455)</t>
  </si>
  <si>
    <t>=SUBTOTAL(9,Z1431:Z1455)</t>
  </si>
  <si>
    <t>=SUBTOTAL(9,AA1431:AA1455)</t>
  </si>
  <si>
    <t>=SUBTOTAL(9,AB1431:AB1455)</t>
  </si>
  <si>
    <t>=E1458</t>
  </si>
  <si>
    <t>=NL(,"18 Customer","2 Name","1 No.",$E1458)</t>
  </si>
  <si>
    <t>=NL("Rows","5802 Value Entry","2 Item No.","4 Item Ledger Entry Type",$C$4,"41 Source Type",$C$5,"5 Source No.",$C1460,"Item No.",$C$7,"3 Posting Date",$C$10)</t>
  </si>
  <si>
    <t>=C1489</t>
  </si>
  <si>
    <t>=NL("Sum","5802 Value Entry","150 Sales Amount (Expected)","41 Source Type",$C$5,"5 Source No.",$C1490,"4 Item Ledger Entry Type",$C$4,"2 Item No.","@@"&amp;$F1490,"3 Posting Date",J$9)+NL("Sum","5802 Value Entry","17 Sales Amount (Actual)","41 Source Type",$C$5,"5 Source no.",$C1490,"4 Item Ledger Entry Type",$C$4,"2 Item No.","@@"&amp;$F1490,"3 Posting Date",J$9)</t>
  </si>
  <si>
    <t>=-NL("Sum","5802 Value Entry","151 Cost Amount (Expected)","41 Source Type",$C$5,"5 Source No.",$C1490,"4 Item Ledger Entry Type",$C$4,"2 Item No.","@@"&amp;$F1490,"3 Posting Date",J$9)-NL("Sum","5802 Value Entry","43 Cost Amount (Actual)","41 Source Type",$C$5,"5 Source no.",$C1490,"4 Item Ledger Entry Type",$C$4,"2 Item No.","@@"&amp;$F1490,"3 Posting Date",J$9)</t>
  </si>
  <si>
    <t>=J1490-L1490</t>
  </si>
  <si>
    <t>=IF(J1490&lt;&gt;0,M1490/J1490,"")</t>
  </si>
  <si>
    <t>=NL("Sum","5802 Value Entry","150 Sales Amount (Expected)","41 Source Type",$C$5,"5 Source No.",$C1490,"4 Item Ledger Entry Type",$C$4,"2 Item No.","@@"&amp;$F1490,"3 Posting Date",O$9)+NL("Sum","5802 Value Entry","17 Sales Amount (Actual)","41 Source Type",$C$5,"5 Source no.",$C1490,"4 Item Ledger Entry Type",$C$4,"2 Item No.","@@"&amp;$F1490,"3 Posting Date",O$9)</t>
  </si>
  <si>
    <t>=-NL("Sum","5802 Value Entry","151 Cost Amount (Expected)","41 Source Type",$C$5,"5 Source No.",$C1490,"4 Item Ledger Entry Type",$C$4,"2 Item No.","@@"&amp;$F1490,"3 Posting Date",O$9)-NL("Sum","5802 Value Entry","43 Cost Amount (Actual)","41 Source Type",$C$5,"5 Source no.",$C1490,"4 Item Ledger Entry Type",$C$4,"2 Item No.","@@"&amp;$F1490,"3 Posting Date",O$9)</t>
  </si>
  <si>
    <t>=O1490-Q1490</t>
  </si>
  <si>
    <t>=IF(O1490&lt;&gt;0,R1490/O1490,"")</t>
  </si>
  <si>
    <t>=NL("Sum","5802 Value Entry","150 Sales Amount (Expected)","41 Source Type",$C$5,"5 Source No.",$C1490,"4 Item Ledger Entry Type",$C$4,"2 Item No.","@@"&amp;$F1490,"3 Posting Date",U$9)+NL("Sum","5802 Value Entry","17 Sales Amount (Actual)","41 Source Type",$C$5,"5 Source no.",$C1490,"4 Item Ledger Entry Type",$C$4,"2 Item No.","@@"&amp;$F1490,"3 Posting Date",U$9)</t>
  </si>
  <si>
    <t>=-NL("Sum","5802 Value Entry","151 Cost Amount (Expected)","41 Source Type",$C$5,"5 Source No.",$C1490,"4 Item Ledger Entry Type",$C$4,"2 Item No.","@@"&amp;$F1490,"3 Posting Date",U$9)-NL("Sum","5802 Value Entry","43 Cost Amount (Actual)","41 Source Type",$C$5,"5 Source no.",$C1490,"4 Item Ledger Entry Type",$C$4,"2 Item No.","@@"&amp;$F1490,"3 Posting Date",U$9)</t>
  </si>
  <si>
    <t>=U1490-W1490</t>
  </si>
  <si>
    <t>=IF(U1490&lt;&gt;0,X1490/U1490,"")</t>
  </si>
  <si>
    <t>=NL("Sum","5802 Value Entry","150 Sales Amount (Expected)","41 Source Type",$C$5,"5 Source No.",$C1490,"4 Item Ledger Entry Type",$C$4,"2 Item No.","@@"&amp;$F1490,"3 Posting Date",Z$9)+NL("Sum","5802 Value Entry","17 Sales Amount (Actual)","41 Source Type",$C$5,"5 Source no.",$C1490,"4 Item Ledger Entry Type",$C$4,"2 Item No.","@@"&amp;$F1490,"3 Posting Date",Z$9)</t>
  </si>
  <si>
    <t>=-NL("Sum","5802 Value Entry","151 Cost Amount (Expected)","41 Source Type",$C$5,"5 Source No.",$C1490,"4 Item Ledger Entry Type",$C$4,"2 Item No.","@@"&amp;$F1490,"3 Posting Date",Z$9)-NL("Sum","5802 Value Entry","43 Cost Amount (Actual)","41 Source Type",$C$5,"5 Source no.",$C1490,"4 Item Ledger Entry Type",$C$4,"2 Item No.","@@"&amp;$F1490,"3 Posting Date",Z$9)</t>
  </si>
  <si>
    <t>=Z1490-AB1490</t>
  </si>
  <si>
    <t>=IF(Z1490&lt;&gt;0,AC1490/Z1490,"")</t>
  </si>
  <si>
    <t>=NL("Sum","5802 Value Entry","150 Sales Amount (Expected)","41 Source Type",$C$5,"5 Source No.",$C1491,"4 Item Ledger Entry Type",$C$4,"2 Item No.","@@"&amp;$F1491,"3 Posting Date",J$9)+NL("Sum","5802 Value Entry","17 Sales Amount (Actual)","41 Source Type",$C$5,"5 Source no.",$C1491,"4 Item Ledger Entry Type",$C$4,"2 Item No.","@@"&amp;$F1491,"3 Posting Date",J$9)</t>
  </si>
  <si>
    <t>=-NL("Sum","5802 Value Entry","151 Cost Amount (Expected)","41 Source Type",$C$5,"5 Source No.",$C1491,"4 Item Ledger Entry Type",$C$4,"2 Item No.","@@"&amp;$F1491,"3 Posting Date",J$9)-NL("Sum","5802 Value Entry","43 Cost Amount (Actual)","41 Source Type",$C$5,"5 Source no.",$C1491,"4 Item Ledger Entry Type",$C$4,"2 Item No.","@@"&amp;$F1491,"3 Posting Date",J$9)</t>
  </si>
  <si>
    <t>=NL("Sum","5802 Value Entry","150 Sales Amount (Expected)","41 Source Type",$C$5,"5 Source No.",$C1491,"4 Item Ledger Entry Type",$C$4,"2 Item No.","@@"&amp;$F1491,"3 Posting Date",O$9)+NL("Sum","5802 Value Entry","17 Sales Amount (Actual)","41 Source Type",$C$5,"5 Source no.",$C1491,"4 Item Ledger Entry Type",$C$4,"2 Item No.","@@"&amp;$F1491,"3 Posting Date",O$9)</t>
  </si>
  <si>
    <t>=-NL("Sum","5802 Value Entry","151 Cost Amount (Expected)","41 Source Type",$C$5,"5 Source No.",$C1491,"4 Item Ledger Entry Type",$C$4,"2 Item No.","@@"&amp;$F1491,"3 Posting Date",O$9)-NL("Sum","5802 Value Entry","43 Cost Amount (Actual)","41 Source Type",$C$5,"5 Source no.",$C1491,"4 Item Ledger Entry Type",$C$4,"2 Item No.","@@"&amp;$F1491,"3 Posting Date",O$9)</t>
  </si>
  <si>
    <t>=NL("Sum","5802 Value Entry","150 Sales Amount (Expected)","41 Source Type",$C$5,"5 Source No.",$C1491,"4 Item Ledger Entry Type",$C$4,"2 Item No.","@@"&amp;$F1491,"3 Posting Date",U$9)+NL("Sum","5802 Value Entry","17 Sales Amount (Actual)","41 Source Type",$C$5,"5 Source no.",$C1491,"4 Item Ledger Entry Type",$C$4,"2 Item No.","@@"&amp;$F1491,"3 Posting Date",U$9)</t>
  </si>
  <si>
    <t>=-NL("Sum","5802 Value Entry","151 Cost Amount (Expected)","41 Source Type",$C$5,"5 Source No.",$C1491,"4 Item Ledger Entry Type",$C$4,"2 Item No.","@@"&amp;$F1491,"3 Posting Date",U$9)-NL("Sum","5802 Value Entry","43 Cost Amount (Actual)","41 Source Type",$C$5,"5 Source no.",$C1491,"4 Item Ledger Entry Type",$C$4,"2 Item No.","@@"&amp;$F1491,"3 Posting Date",U$9)</t>
  </si>
  <si>
    <t>=NL("Sum","5802 Value Entry","150 Sales Amount (Expected)","41 Source Type",$C$5,"5 Source No.",$C1491,"4 Item Ledger Entry Type",$C$4,"2 Item No.","@@"&amp;$F1491,"3 Posting Date",Z$9)+NL("Sum","5802 Value Entry","17 Sales Amount (Actual)","41 Source Type",$C$5,"5 Source no.",$C1491,"4 Item Ledger Entry Type",$C$4,"2 Item No.","@@"&amp;$F1491,"3 Posting Date",Z$9)</t>
  </si>
  <si>
    <t>=-NL("Sum","5802 Value Entry","151 Cost Amount (Expected)","41 Source Type",$C$5,"5 Source No.",$C1491,"4 Item Ledger Entry Type",$C$4,"2 Item No.","@@"&amp;$F1491,"3 Posting Date",Z$9)-NL("Sum","5802 Value Entry","43 Cost Amount (Actual)","41 Source Type",$C$5,"5 Source no.",$C1491,"4 Item Ledger Entry Type",$C$4,"2 Item No.","@@"&amp;$F1491,"3 Posting Date",Z$9)</t>
  </si>
  <si>
    <t>=C1491</t>
  </si>
  <si>
    <t>=NL("Sum","5802 Value Entry","150 Sales Amount (Expected)","41 Source Type",$C$5,"5 Source No.",$C1492,"4 Item Ledger Entry Type",$C$4,"2 Item No.","@@"&amp;$F1492,"3 Posting Date",J$9)+NL("Sum","5802 Value Entry","17 Sales Amount (Actual)","41 Source Type",$C$5,"5 Source no.",$C1492,"4 Item Ledger Entry Type",$C$4,"2 Item No.","@@"&amp;$F1492,"3 Posting Date",J$9)</t>
  </si>
  <si>
    <t>=-NL("Sum","5802 Value Entry","151 Cost Amount (Expected)","41 Source Type",$C$5,"5 Source No.",$C1492,"4 Item Ledger Entry Type",$C$4,"2 Item No.","@@"&amp;$F1492,"3 Posting Date",J$9)-NL("Sum","5802 Value Entry","43 Cost Amount (Actual)","41 Source Type",$C$5,"5 Source no.",$C1492,"4 Item Ledger Entry Type",$C$4,"2 Item No.","@@"&amp;$F1492,"3 Posting Date",J$9)</t>
  </si>
  <si>
    <t>=J1492-L1492</t>
  </si>
  <si>
    <t>=IF(J1492&lt;&gt;0,M1492/J1492,"")</t>
  </si>
  <si>
    <t>=NL("Sum","5802 Value Entry","150 Sales Amount (Expected)","41 Source Type",$C$5,"5 Source No.",$C1492,"4 Item Ledger Entry Type",$C$4,"2 Item No.","@@"&amp;$F1492,"3 Posting Date",O$9)+NL("Sum","5802 Value Entry","17 Sales Amount (Actual)","41 Source Type",$C$5,"5 Source no.",$C1492,"4 Item Ledger Entry Type",$C$4,"2 Item No.","@@"&amp;$F1492,"3 Posting Date",O$9)</t>
  </si>
  <si>
    <t>=-NL("Sum","5802 Value Entry","151 Cost Amount (Expected)","41 Source Type",$C$5,"5 Source No.",$C1492,"4 Item Ledger Entry Type",$C$4,"2 Item No.","@@"&amp;$F1492,"3 Posting Date",O$9)-NL("Sum","5802 Value Entry","43 Cost Amount (Actual)","41 Source Type",$C$5,"5 Source no.",$C1492,"4 Item Ledger Entry Type",$C$4,"2 Item No.","@@"&amp;$F1492,"3 Posting Date",O$9)</t>
  </si>
  <si>
    <t>=O1492-Q1492</t>
  </si>
  <si>
    <t>=IF(O1492&lt;&gt;0,R1492/O1492,"")</t>
  </si>
  <si>
    <t>=NL("Sum","5802 Value Entry","150 Sales Amount (Expected)","41 Source Type",$C$5,"5 Source No.",$C1492,"4 Item Ledger Entry Type",$C$4,"2 Item No.","@@"&amp;$F1492,"3 Posting Date",U$9)+NL("Sum","5802 Value Entry","17 Sales Amount (Actual)","41 Source Type",$C$5,"5 Source no.",$C1492,"4 Item Ledger Entry Type",$C$4,"2 Item No.","@@"&amp;$F1492,"3 Posting Date",U$9)</t>
  </si>
  <si>
    <t>=-NL("Sum","5802 Value Entry","151 Cost Amount (Expected)","41 Source Type",$C$5,"5 Source No.",$C1492,"4 Item Ledger Entry Type",$C$4,"2 Item No.","@@"&amp;$F1492,"3 Posting Date",U$9)-NL("Sum","5802 Value Entry","43 Cost Amount (Actual)","41 Source Type",$C$5,"5 Source no.",$C1492,"4 Item Ledger Entry Type",$C$4,"2 Item No.","@@"&amp;$F1492,"3 Posting Date",U$9)</t>
  </si>
  <si>
    <t>=U1492-W1492</t>
  </si>
  <si>
    <t>=IF(U1492&lt;&gt;0,X1492/U1492,"")</t>
  </si>
  <si>
    <t>=NL("Sum","5802 Value Entry","150 Sales Amount (Expected)","41 Source Type",$C$5,"5 Source No.",$C1492,"4 Item Ledger Entry Type",$C$4,"2 Item No.","@@"&amp;$F1492,"3 Posting Date",Z$9)+NL("Sum","5802 Value Entry","17 Sales Amount (Actual)","41 Source Type",$C$5,"5 Source no.",$C1492,"4 Item Ledger Entry Type",$C$4,"2 Item No.","@@"&amp;$F1492,"3 Posting Date",Z$9)</t>
  </si>
  <si>
    <t>=-NL("Sum","5802 Value Entry","151 Cost Amount (Expected)","41 Source Type",$C$5,"5 Source No.",$C1492,"4 Item Ledger Entry Type",$C$4,"2 Item No.","@@"&amp;$F1492,"3 Posting Date",Z$9)-NL("Sum","5802 Value Entry","43 Cost Amount (Actual)","41 Source Type",$C$5,"5 Source no.",$C1492,"4 Item Ledger Entry Type",$C$4,"2 Item No.","@@"&amp;$F1492,"3 Posting Date",Z$9)</t>
  </si>
  <si>
    <t>=Z1492-AB1492</t>
  </si>
  <si>
    <t>=IF(Z1492&lt;&gt;0,AC1492/Z1492,"")</t>
  </si>
  <si>
    <t>=C1492</t>
  </si>
  <si>
    <t>=NL("Sum","5802 Value Entry","150 Sales Amount (Expected)","41 Source Type",$C$5,"5 Source No.",$C1493,"4 Item Ledger Entry Type",$C$4,"2 Item No.","@@"&amp;$F1493,"3 Posting Date",J$9)+NL("Sum","5802 Value Entry","17 Sales Amount (Actual)","41 Source Type",$C$5,"5 Source no.",$C1493,"4 Item Ledger Entry Type",$C$4,"2 Item No.","@@"&amp;$F1493,"3 Posting Date",J$9)</t>
  </si>
  <si>
    <t>=-NL("Sum","5802 Value Entry","151 Cost Amount (Expected)","41 Source Type",$C$5,"5 Source No.",$C1493,"4 Item Ledger Entry Type",$C$4,"2 Item No.","@@"&amp;$F1493,"3 Posting Date",J$9)-NL("Sum","5802 Value Entry","43 Cost Amount (Actual)","41 Source Type",$C$5,"5 Source no.",$C1493,"4 Item Ledger Entry Type",$C$4,"2 Item No.","@@"&amp;$F1493,"3 Posting Date",J$9)</t>
  </si>
  <si>
    <t>=J1493-L1493</t>
  </si>
  <si>
    <t>=IF(J1493&lt;&gt;0,M1493/J1493,"")</t>
  </si>
  <si>
    <t>=NL("Sum","5802 Value Entry","150 Sales Amount (Expected)","41 Source Type",$C$5,"5 Source No.",$C1493,"4 Item Ledger Entry Type",$C$4,"2 Item No.","@@"&amp;$F1493,"3 Posting Date",O$9)+NL("Sum","5802 Value Entry","17 Sales Amount (Actual)","41 Source Type",$C$5,"5 Source no.",$C1493,"4 Item Ledger Entry Type",$C$4,"2 Item No.","@@"&amp;$F1493,"3 Posting Date",O$9)</t>
  </si>
  <si>
    <t>=-NL("Sum","5802 Value Entry","151 Cost Amount (Expected)","41 Source Type",$C$5,"5 Source No.",$C1493,"4 Item Ledger Entry Type",$C$4,"2 Item No.","@@"&amp;$F1493,"3 Posting Date",O$9)-NL("Sum","5802 Value Entry","43 Cost Amount (Actual)","41 Source Type",$C$5,"5 Source no.",$C1493,"4 Item Ledger Entry Type",$C$4,"2 Item No.","@@"&amp;$F1493,"3 Posting Date",O$9)</t>
  </si>
  <si>
    <t>=O1493-Q1493</t>
  </si>
  <si>
    <t>=IF(O1493&lt;&gt;0,R1493/O1493,"")</t>
  </si>
  <si>
    <t>=NL("Sum","5802 Value Entry","150 Sales Amount (Expected)","41 Source Type",$C$5,"5 Source No.",$C1493,"4 Item Ledger Entry Type",$C$4,"2 Item No.","@@"&amp;$F1493,"3 Posting Date",U$9)+NL("Sum","5802 Value Entry","17 Sales Amount (Actual)","41 Source Type",$C$5,"5 Source no.",$C1493,"4 Item Ledger Entry Type",$C$4,"2 Item No.","@@"&amp;$F1493,"3 Posting Date",U$9)</t>
  </si>
  <si>
    <t>=-NL("Sum","5802 Value Entry","151 Cost Amount (Expected)","41 Source Type",$C$5,"5 Source No.",$C1493,"4 Item Ledger Entry Type",$C$4,"2 Item No.","@@"&amp;$F1493,"3 Posting Date",U$9)-NL("Sum","5802 Value Entry","43 Cost Amount (Actual)","41 Source Type",$C$5,"5 Source no.",$C1493,"4 Item Ledger Entry Type",$C$4,"2 Item No.","@@"&amp;$F1493,"3 Posting Date",U$9)</t>
  </si>
  <si>
    <t>=U1493-W1493</t>
  </si>
  <si>
    <t>=IF(U1493&lt;&gt;0,X1493/U1493,"")</t>
  </si>
  <si>
    <t>=NL("Sum","5802 Value Entry","150 Sales Amount (Expected)","41 Source Type",$C$5,"5 Source No.",$C1493,"4 Item Ledger Entry Type",$C$4,"2 Item No.","@@"&amp;$F1493,"3 Posting Date",Z$9)+NL("Sum","5802 Value Entry","17 Sales Amount (Actual)","41 Source Type",$C$5,"5 Source no.",$C1493,"4 Item Ledger Entry Type",$C$4,"2 Item No.","@@"&amp;$F1493,"3 Posting Date",Z$9)</t>
  </si>
  <si>
    <t>=-NL("Sum","5802 Value Entry","151 Cost Amount (Expected)","41 Source Type",$C$5,"5 Source No.",$C1493,"4 Item Ledger Entry Type",$C$4,"2 Item No.","@@"&amp;$F1493,"3 Posting Date",Z$9)-NL("Sum","5802 Value Entry","43 Cost Amount (Actual)","41 Source Type",$C$5,"5 Source no.",$C1493,"4 Item Ledger Entry Type",$C$4,"2 Item No.","@@"&amp;$F1493,"3 Posting Date",Z$9)</t>
  </si>
  <si>
    <t>=Z1493-AB1493</t>
  </si>
  <si>
    <t>=IF(Z1493&lt;&gt;0,AC1493/Z1493,"")</t>
  </si>
  <si>
    <t>=NL("Sum","5802 Value Entry","150 Sales Amount (Expected)","41 Source Type",$C$5,"5 Source No.",$C1494,"4 Item Ledger Entry Type",$C$4,"2 Item No.","@@"&amp;$F1494,"3 Posting Date",J$9)+NL("Sum","5802 Value Entry","17 Sales Amount (Actual)","41 Source Type",$C$5,"5 Source no.",$C1494,"4 Item Ledger Entry Type",$C$4,"2 Item No.","@@"&amp;$F1494,"3 Posting Date",J$9)</t>
  </si>
  <si>
    <t>=-NL("Sum","5802 Value Entry","151 Cost Amount (Expected)","41 Source Type",$C$5,"5 Source No.",$C1494,"4 Item Ledger Entry Type",$C$4,"2 Item No.","@@"&amp;$F1494,"3 Posting Date",J$9)-NL("Sum","5802 Value Entry","43 Cost Amount (Actual)","41 Source Type",$C$5,"5 Source no.",$C1494,"4 Item Ledger Entry Type",$C$4,"2 Item No.","@@"&amp;$F1494,"3 Posting Date",J$9)</t>
  </si>
  <si>
    <t>=J1494-L1494</t>
  </si>
  <si>
    <t>=IF(J1494&lt;&gt;0,M1494/J1494,"")</t>
  </si>
  <si>
    <t>=NL("Sum","5802 Value Entry","150 Sales Amount (Expected)","41 Source Type",$C$5,"5 Source No.",$C1494,"4 Item Ledger Entry Type",$C$4,"2 Item No.","@@"&amp;$F1494,"3 Posting Date",O$9)+NL("Sum","5802 Value Entry","17 Sales Amount (Actual)","41 Source Type",$C$5,"5 Source no.",$C1494,"4 Item Ledger Entry Type",$C$4,"2 Item No.","@@"&amp;$F1494,"3 Posting Date",O$9)</t>
  </si>
  <si>
    <t>=-NL("Sum","5802 Value Entry","151 Cost Amount (Expected)","41 Source Type",$C$5,"5 Source No.",$C1494,"4 Item Ledger Entry Type",$C$4,"2 Item No.","@@"&amp;$F1494,"3 Posting Date",O$9)-NL("Sum","5802 Value Entry","43 Cost Amount (Actual)","41 Source Type",$C$5,"5 Source no.",$C1494,"4 Item Ledger Entry Type",$C$4,"2 Item No.","@@"&amp;$F1494,"3 Posting Date",O$9)</t>
  </si>
  <si>
    <t>=O1494-Q1494</t>
  </si>
  <si>
    <t>=IF(O1494&lt;&gt;0,R1494/O1494,"")</t>
  </si>
  <si>
    <t>=NL("Sum","5802 Value Entry","150 Sales Amount (Expected)","41 Source Type",$C$5,"5 Source No.",$C1494,"4 Item Ledger Entry Type",$C$4,"2 Item No.","@@"&amp;$F1494,"3 Posting Date",U$9)+NL("Sum","5802 Value Entry","17 Sales Amount (Actual)","41 Source Type",$C$5,"5 Source no.",$C1494,"4 Item Ledger Entry Type",$C$4,"2 Item No.","@@"&amp;$F1494,"3 Posting Date",U$9)</t>
  </si>
  <si>
    <t>=-NL("Sum","5802 Value Entry","151 Cost Amount (Expected)","41 Source Type",$C$5,"5 Source No.",$C1494,"4 Item Ledger Entry Type",$C$4,"2 Item No.","@@"&amp;$F1494,"3 Posting Date",U$9)-NL("Sum","5802 Value Entry","43 Cost Amount (Actual)","41 Source Type",$C$5,"5 Source no.",$C1494,"4 Item Ledger Entry Type",$C$4,"2 Item No.","@@"&amp;$F1494,"3 Posting Date",U$9)</t>
  </si>
  <si>
    <t>=U1494-W1494</t>
  </si>
  <si>
    <t>=IF(U1494&lt;&gt;0,X1494/U1494,"")</t>
  </si>
  <si>
    <t>=NL("Sum","5802 Value Entry","150 Sales Amount (Expected)","41 Source Type",$C$5,"5 Source No.",$C1494,"4 Item Ledger Entry Type",$C$4,"2 Item No.","@@"&amp;$F1494,"3 Posting Date",Z$9)+NL("Sum","5802 Value Entry","17 Sales Amount (Actual)","41 Source Type",$C$5,"5 Source no.",$C1494,"4 Item Ledger Entry Type",$C$4,"2 Item No.","@@"&amp;$F1494,"3 Posting Date",Z$9)</t>
  </si>
  <si>
    <t>=-NL("Sum","5802 Value Entry","151 Cost Amount (Expected)","41 Source Type",$C$5,"5 Source No.",$C1494,"4 Item Ledger Entry Type",$C$4,"2 Item No.","@@"&amp;$F1494,"3 Posting Date",Z$9)-NL("Sum","5802 Value Entry","43 Cost Amount (Actual)","41 Source Type",$C$5,"5 Source no.",$C1494,"4 Item Ledger Entry Type",$C$4,"2 Item No.","@@"&amp;$F1494,"3 Posting Date",Z$9)</t>
  </si>
  <si>
    <t>=Z1494-AB1494</t>
  </si>
  <si>
    <t>=IF(Z1494&lt;&gt;0,AC1494/Z1494,"")</t>
  </si>
  <si>
    <t>=C1510&amp;" TOTAL:"</t>
  </si>
  <si>
    <t>=SUBTOTAL(9,J1459:J1509)</t>
  </si>
  <si>
    <t>=SUBTOTAL(9,K1459:K1509)</t>
  </si>
  <si>
    <t>=SUBTOTAL(9,L1459:L1509)</t>
  </si>
  <si>
    <t>=SUBTOTAL(9,O1459:O1509)</t>
  </si>
  <si>
    <t>=SUBTOTAL(9,P1459:P1509)</t>
  </si>
  <si>
    <t>=SUBTOTAL(9,Q1459:Q1509)</t>
  </si>
  <si>
    <t>=SUBTOTAL(9,U1459:U1509)</t>
  </si>
  <si>
    <t>=SUBTOTAL(9,V1459:V1509)</t>
  </si>
  <si>
    <t>=SUBTOTAL(9,W1459:W1509)</t>
  </si>
  <si>
    <t>=SUBTOTAL(9,Z1459:Z1509)</t>
  </si>
  <si>
    <t>=SUBTOTAL(9,AA1459:AA1509)</t>
  </si>
  <si>
    <t>=SUBTOTAL(9,AB1459:AB1509)</t>
  </si>
  <si>
    <t>=E1512</t>
  </si>
  <si>
    <t>=NL(,"18 Customer","2 Name","1 No.",$E1512)</t>
  </si>
  <si>
    <t>=NL("Rows","5802 Value Entry","2 Item No.","4 Item Ledger Entry Type",$C$4,"41 Source Type",$C$5,"5 Source No.",$C1514,"Item No.",$C$7,"3 Posting Date",$C$10)</t>
  </si>
  <si>
    <t>=C1531</t>
  </si>
  <si>
    <t>=NL("Sum","5802 Value Entry","150 Sales Amount (Expected)","41 Source Type",$C$5,"5 Source No.",$C1532,"4 Item Ledger Entry Type",$C$4,"2 Item No.","@@"&amp;$F1532,"3 Posting Date",J$9)+NL("Sum","5802 Value Entry","17 Sales Amount (Actual)","41 Source Type",$C$5,"5 Source no.",$C1532,"4 Item Ledger Entry Type",$C$4,"2 Item No.","@@"&amp;$F1532,"3 Posting Date",J$9)</t>
  </si>
  <si>
    <t>=-NL("Sum","5802 Value Entry","151 Cost Amount (Expected)","41 Source Type",$C$5,"5 Source No.",$C1532,"4 Item Ledger Entry Type",$C$4,"2 Item No.","@@"&amp;$F1532,"3 Posting Date",J$9)-NL("Sum","5802 Value Entry","43 Cost Amount (Actual)","41 Source Type",$C$5,"5 Source no.",$C1532,"4 Item Ledger Entry Type",$C$4,"2 Item No.","@@"&amp;$F1532,"3 Posting Date",J$9)</t>
  </si>
  <si>
    <t>=J1532-L1532</t>
  </si>
  <si>
    <t>=IF(J1532&lt;&gt;0,M1532/J1532,"")</t>
  </si>
  <si>
    <t>=NL("Sum","5802 Value Entry","150 Sales Amount (Expected)","41 Source Type",$C$5,"5 Source No.",$C1532,"4 Item Ledger Entry Type",$C$4,"2 Item No.","@@"&amp;$F1532,"3 Posting Date",O$9)+NL("Sum","5802 Value Entry","17 Sales Amount (Actual)","41 Source Type",$C$5,"5 Source no.",$C1532,"4 Item Ledger Entry Type",$C$4,"2 Item No.","@@"&amp;$F1532,"3 Posting Date",O$9)</t>
  </si>
  <si>
    <t>=-NL("Sum","5802 Value Entry","151 Cost Amount (Expected)","41 Source Type",$C$5,"5 Source No.",$C1532,"4 Item Ledger Entry Type",$C$4,"2 Item No.","@@"&amp;$F1532,"3 Posting Date",O$9)-NL("Sum","5802 Value Entry","43 Cost Amount (Actual)","41 Source Type",$C$5,"5 Source no.",$C1532,"4 Item Ledger Entry Type",$C$4,"2 Item No.","@@"&amp;$F1532,"3 Posting Date",O$9)</t>
  </si>
  <si>
    <t>=O1532-Q1532</t>
  </si>
  <si>
    <t>=IF(O1532&lt;&gt;0,R1532/O1532,"")</t>
  </si>
  <si>
    <t>=NL("Sum","5802 Value Entry","150 Sales Amount (Expected)","41 Source Type",$C$5,"5 Source No.",$C1532,"4 Item Ledger Entry Type",$C$4,"2 Item No.","@@"&amp;$F1532,"3 Posting Date",U$9)+NL("Sum","5802 Value Entry","17 Sales Amount (Actual)","41 Source Type",$C$5,"5 Source no.",$C1532,"4 Item Ledger Entry Type",$C$4,"2 Item No.","@@"&amp;$F1532,"3 Posting Date",U$9)</t>
  </si>
  <si>
    <t>=-NL("Sum","5802 Value Entry","151 Cost Amount (Expected)","41 Source Type",$C$5,"5 Source No.",$C1532,"4 Item Ledger Entry Type",$C$4,"2 Item No.","@@"&amp;$F1532,"3 Posting Date",U$9)-NL("Sum","5802 Value Entry","43 Cost Amount (Actual)","41 Source Type",$C$5,"5 Source no.",$C1532,"4 Item Ledger Entry Type",$C$4,"2 Item No.","@@"&amp;$F1532,"3 Posting Date",U$9)</t>
  </si>
  <si>
    <t>=U1532-W1532</t>
  </si>
  <si>
    <t>=IF(U1532&lt;&gt;0,X1532/U1532,"")</t>
  </si>
  <si>
    <t>=NL("Sum","5802 Value Entry","150 Sales Amount (Expected)","41 Source Type",$C$5,"5 Source No.",$C1532,"4 Item Ledger Entry Type",$C$4,"2 Item No.","@@"&amp;$F1532,"3 Posting Date",Z$9)+NL("Sum","5802 Value Entry","17 Sales Amount (Actual)","41 Source Type",$C$5,"5 Source no.",$C1532,"4 Item Ledger Entry Type",$C$4,"2 Item No.","@@"&amp;$F1532,"3 Posting Date",Z$9)</t>
  </si>
  <si>
    <t>=-NL("Sum","5802 Value Entry","151 Cost Amount (Expected)","41 Source Type",$C$5,"5 Source No.",$C1532,"4 Item Ledger Entry Type",$C$4,"2 Item No.","@@"&amp;$F1532,"3 Posting Date",Z$9)-NL("Sum","5802 Value Entry","43 Cost Amount (Actual)","41 Source Type",$C$5,"5 Source no.",$C1532,"4 Item Ledger Entry Type",$C$4,"2 Item No.","@@"&amp;$F1532,"3 Posting Date",Z$9)</t>
  </si>
  <si>
    <t>=Z1532-AB1532</t>
  </si>
  <si>
    <t>=IF(Z1532&lt;&gt;0,AC1532/Z1532,"")</t>
  </si>
  <si>
    <t>=NL("Sum","5802 Value Entry","150 Sales Amount (Expected)","41 Source Type",$C$5,"5 Source No.",$C1533,"4 Item Ledger Entry Type",$C$4,"2 Item No.","@@"&amp;$F1533,"3 Posting Date",J$9)+NL("Sum","5802 Value Entry","17 Sales Amount (Actual)","41 Source Type",$C$5,"5 Source no.",$C1533,"4 Item Ledger Entry Type",$C$4,"2 Item No.","@@"&amp;$F1533,"3 Posting Date",J$9)</t>
  </si>
  <si>
    <t>=-NL("Sum","5802 Value Entry","151 Cost Amount (Expected)","41 Source Type",$C$5,"5 Source No.",$C1533,"4 Item Ledger Entry Type",$C$4,"2 Item No.","@@"&amp;$F1533,"3 Posting Date",J$9)-NL("Sum","5802 Value Entry","43 Cost Amount (Actual)","41 Source Type",$C$5,"5 Source no.",$C1533,"4 Item Ledger Entry Type",$C$4,"2 Item No.","@@"&amp;$F1533,"3 Posting Date",J$9)</t>
  </si>
  <si>
    <t>=NL("Sum","5802 Value Entry","150 Sales Amount (Expected)","41 Source Type",$C$5,"5 Source No.",$C1533,"4 Item Ledger Entry Type",$C$4,"2 Item No.","@@"&amp;$F1533,"3 Posting Date",O$9)+NL("Sum","5802 Value Entry","17 Sales Amount (Actual)","41 Source Type",$C$5,"5 Source no.",$C1533,"4 Item Ledger Entry Type",$C$4,"2 Item No.","@@"&amp;$F1533,"3 Posting Date",O$9)</t>
  </si>
  <si>
    <t>=-NL("Sum","5802 Value Entry","151 Cost Amount (Expected)","41 Source Type",$C$5,"5 Source No.",$C1533,"4 Item Ledger Entry Type",$C$4,"2 Item No.","@@"&amp;$F1533,"3 Posting Date",O$9)-NL("Sum","5802 Value Entry","43 Cost Amount (Actual)","41 Source Type",$C$5,"5 Source no.",$C1533,"4 Item Ledger Entry Type",$C$4,"2 Item No.","@@"&amp;$F1533,"3 Posting Date",O$9)</t>
  </si>
  <si>
    <t>=NL("Sum","5802 Value Entry","150 Sales Amount (Expected)","41 Source Type",$C$5,"5 Source No.",$C1533,"4 Item Ledger Entry Type",$C$4,"2 Item No.","@@"&amp;$F1533,"3 Posting Date",U$9)+NL("Sum","5802 Value Entry","17 Sales Amount (Actual)","41 Source Type",$C$5,"5 Source no.",$C1533,"4 Item Ledger Entry Type",$C$4,"2 Item No.","@@"&amp;$F1533,"3 Posting Date",U$9)</t>
  </si>
  <si>
    <t>=-NL("Sum","5802 Value Entry","151 Cost Amount (Expected)","41 Source Type",$C$5,"5 Source No.",$C1533,"4 Item Ledger Entry Type",$C$4,"2 Item No.","@@"&amp;$F1533,"3 Posting Date",U$9)-NL("Sum","5802 Value Entry","43 Cost Amount (Actual)","41 Source Type",$C$5,"5 Source no.",$C1533,"4 Item Ledger Entry Type",$C$4,"2 Item No.","@@"&amp;$F1533,"3 Posting Date",U$9)</t>
  </si>
  <si>
    <t>=NL("Sum","5802 Value Entry","150 Sales Amount (Expected)","41 Source Type",$C$5,"5 Source No.",$C1533,"4 Item Ledger Entry Type",$C$4,"2 Item No.","@@"&amp;$F1533,"3 Posting Date",Z$9)+NL("Sum","5802 Value Entry","17 Sales Amount (Actual)","41 Source Type",$C$5,"5 Source no.",$C1533,"4 Item Ledger Entry Type",$C$4,"2 Item No.","@@"&amp;$F1533,"3 Posting Date",Z$9)</t>
  </si>
  <si>
    <t>=-NL("Sum","5802 Value Entry","151 Cost Amount (Expected)","41 Source Type",$C$5,"5 Source No.",$C1533,"4 Item Ledger Entry Type",$C$4,"2 Item No.","@@"&amp;$F1533,"3 Posting Date",Z$9)-NL("Sum","5802 Value Entry","43 Cost Amount (Actual)","41 Source Type",$C$5,"5 Source no.",$C1533,"4 Item Ledger Entry Type",$C$4,"2 Item No.","@@"&amp;$F1533,"3 Posting Date",Z$9)</t>
  </si>
  <si>
    <t>=C1533</t>
  </si>
  <si>
    <t>=NL("Sum","5802 Value Entry","150 Sales Amount (Expected)","41 Source Type",$C$5,"5 Source No.",$C1534,"4 Item Ledger Entry Type",$C$4,"2 Item No.","@@"&amp;$F1534,"3 Posting Date",J$9)+NL("Sum","5802 Value Entry","17 Sales Amount (Actual)","41 Source Type",$C$5,"5 Source no.",$C1534,"4 Item Ledger Entry Type",$C$4,"2 Item No.","@@"&amp;$F1534,"3 Posting Date",J$9)</t>
  </si>
  <si>
    <t>=-NL("Sum","5802 Value Entry","151 Cost Amount (Expected)","41 Source Type",$C$5,"5 Source No.",$C1534,"4 Item Ledger Entry Type",$C$4,"2 Item No.","@@"&amp;$F1534,"3 Posting Date",J$9)-NL("Sum","5802 Value Entry","43 Cost Amount (Actual)","41 Source Type",$C$5,"5 Source no.",$C1534,"4 Item Ledger Entry Type",$C$4,"2 Item No.","@@"&amp;$F1534,"3 Posting Date",J$9)</t>
  </si>
  <si>
    <t>=J1534-L1534</t>
  </si>
  <si>
    <t>=IF(J1534&lt;&gt;0,M1534/J1534,"")</t>
  </si>
  <si>
    <t>=NL("Sum","5802 Value Entry","150 Sales Amount (Expected)","41 Source Type",$C$5,"5 Source No.",$C1534,"4 Item Ledger Entry Type",$C$4,"2 Item No.","@@"&amp;$F1534,"3 Posting Date",O$9)+NL("Sum","5802 Value Entry","17 Sales Amount (Actual)","41 Source Type",$C$5,"5 Source no.",$C1534,"4 Item Ledger Entry Type",$C$4,"2 Item No.","@@"&amp;$F1534,"3 Posting Date",O$9)</t>
  </si>
  <si>
    <t>=-NL("Sum","5802 Value Entry","151 Cost Amount (Expected)","41 Source Type",$C$5,"5 Source No.",$C1534,"4 Item Ledger Entry Type",$C$4,"2 Item No.","@@"&amp;$F1534,"3 Posting Date",O$9)-NL("Sum","5802 Value Entry","43 Cost Amount (Actual)","41 Source Type",$C$5,"5 Source no.",$C1534,"4 Item Ledger Entry Type",$C$4,"2 Item No.","@@"&amp;$F1534,"3 Posting Date",O$9)</t>
  </si>
  <si>
    <t>=O1534-Q1534</t>
  </si>
  <si>
    <t>=IF(O1534&lt;&gt;0,R1534/O1534,"")</t>
  </si>
  <si>
    <t>=NL("Sum","5802 Value Entry","150 Sales Amount (Expected)","41 Source Type",$C$5,"5 Source No.",$C1534,"4 Item Ledger Entry Type",$C$4,"2 Item No.","@@"&amp;$F1534,"3 Posting Date",U$9)+NL("Sum","5802 Value Entry","17 Sales Amount (Actual)","41 Source Type",$C$5,"5 Source no.",$C1534,"4 Item Ledger Entry Type",$C$4,"2 Item No.","@@"&amp;$F1534,"3 Posting Date",U$9)</t>
  </si>
  <si>
    <t>=-NL("Sum","5802 Value Entry","151 Cost Amount (Expected)","41 Source Type",$C$5,"5 Source No.",$C1534,"4 Item Ledger Entry Type",$C$4,"2 Item No.","@@"&amp;$F1534,"3 Posting Date",U$9)-NL("Sum","5802 Value Entry","43 Cost Amount (Actual)","41 Source Type",$C$5,"5 Source no.",$C1534,"4 Item Ledger Entry Type",$C$4,"2 Item No.","@@"&amp;$F1534,"3 Posting Date",U$9)</t>
  </si>
  <si>
    <t>=U1534-W1534</t>
  </si>
  <si>
    <t>=IF(U1534&lt;&gt;0,X1534/U1534,"")</t>
  </si>
  <si>
    <t>=NL("Sum","5802 Value Entry","150 Sales Amount (Expected)","41 Source Type",$C$5,"5 Source No.",$C1534,"4 Item Ledger Entry Type",$C$4,"2 Item No.","@@"&amp;$F1534,"3 Posting Date",Z$9)+NL("Sum","5802 Value Entry","17 Sales Amount (Actual)","41 Source Type",$C$5,"5 Source no.",$C1534,"4 Item Ledger Entry Type",$C$4,"2 Item No.","@@"&amp;$F1534,"3 Posting Date",Z$9)</t>
  </si>
  <si>
    <t>=-NL("Sum","5802 Value Entry","151 Cost Amount (Expected)","41 Source Type",$C$5,"5 Source No.",$C1534,"4 Item Ledger Entry Type",$C$4,"2 Item No.","@@"&amp;$F1534,"3 Posting Date",Z$9)-NL("Sum","5802 Value Entry","43 Cost Amount (Actual)","41 Source Type",$C$5,"5 Source no.",$C1534,"4 Item Ledger Entry Type",$C$4,"2 Item No.","@@"&amp;$F1534,"3 Posting Date",Z$9)</t>
  </si>
  <si>
    <t>=Z1534-AB1534</t>
  </si>
  <si>
    <t>=IF(Z1534&lt;&gt;0,AC1534/Z1534,"")</t>
  </si>
  <si>
    <t>=C1534</t>
  </si>
  <si>
    <t>=NL("Sum","5802 Value Entry","150 Sales Amount (Expected)","41 Source Type",$C$5,"5 Source No.",$C1535,"4 Item Ledger Entry Type",$C$4,"2 Item No.","@@"&amp;$F1535,"3 Posting Date",J$9)+NL("Sum","5802 Value Entry","17 Sales Amount (Actual)","41 Source Type",$C$5,"5 Source no.",$C1535,"4 Item Ledger Entry Type",$C$4,"2 Item No.","@@"&amp;$F1535,"3 Posting Date",J$9)</t>
  </si>
  <si>
    <t>=-NL("Sum","5802 Value Entry","151 Cost Amount (Expected)","41 Source Type",$C$5,"5 Source No.",$C1535,"4 Item Ledger Entry Type",$C$4,"2 Item No.","@@"&amp;$F1535,"3 Posting Date",J$9)-NL("Sum","5802 Value Entry","43 Cost Amount (Actual)","41 Source Type",$C$5,"5 Source no.",$C1535,"4 Item Ledger Entry Type",$C$4,"2 Item No.","@@"&amp;$F1535,"3 Posting Date",J$9)</t>
  </si>
  <si>
    <t>=J1535-L1535</t>
  </si>
  <si>
    <t>=IF(J1535&lt;&gt;0,M1535/J1535,"")</t>
  </si>
  <si>
    <t>=NL("Sum","5802 Value Entry","150 Sales Amount (Expected)","41 Source Type",$C$5,"5 Source No.",$C1535,"4 Item Ledger Entry Type",$C$4,"2 Item No.","@@"&amp;$F1535,"3 Posting Date",O$9)+NL("Sum","5802 Value Entry","17 Sales Amount (Actual)","41 Source Type",$C$5,"5 Source no.",$C1535,"4 Item Ledger Entry Type",$C$4,"2 Item No.","@@"&amp;$F1535,"3 Posting Date",O$9)</t>
  </si>
  <si>
    <t>=-NL("Sum","5802 Value Entry","151 Cost Amount (Expected)","41 Source Type",$C$5,"5 Source No.",$C1535,"4 Item Ledger Entry Type",$C$4,"2 Item No.","@@"&amp;$F1535,"3 Posting Date",O$9)-NL("Sum","5802 Value Entry","43 Cost Amount (Actual)","41 Source Type",$C$5,"5 Source no.",$C1535,"4 Item Ledger Entry Type",$C$4,"2 Item No.","@@"&amp;$F1535,"3 Posting Date",O$9)</t>
  </si>
  <si>
    <t>=O1535-Q1535</t>
  </si>
  <si>
    <t>=IF(O1535&lt;&gt;0,R1535/O1535,"")</t>
  </si>
  <si>
    <t>=NL("Sum","5802 Value Entry","150 Sales Amount (Expected)","41 Source Type",$C$5,"5 Source No.",$C1535,"4 Item Ledger Entry Type",$C$4,"2 Item No.","@@"&amp;$F1535,"3 Posting Date",U$9)+NL("Sum","5802 Value Entry","17 Sales Amount (Actual)","41 Source Type",$C$5,"5 Source no.",$C1535,"4 Item Ledger Entry Type",$C$4,"2 Item No.","@@"&amp;$F1535,"3 Posting Date",U$9)</t>
  </si>
  <si>
    <t>=-NL("Sum","5802 Value Entry","151 Cost Amount (Expected)","41 Source Type",$C$5,"5 Source No.",$C1535,"4 Item Ledger Entry Type",$C$4,"2 Item No.","@@"&amp;$F1535,"3 Posting Date",U$9)-NL("Sum","5802 Value Entry","43 Cost Amount (Actual)","41 Source Type",$C$5,"5 Source no.",$C1535,"4 Item Ledger Entry Type",$C$4,"2 Item No.","@@"&amp;$F1535,"3 Posting Date",U$9)</t>
  </si>
  <si>
    <t>=U1535-W1535</t>
  </si>
  <si>
    <t>=IF(U1535&lt;&gt;0,X1535/U1535,"")</t>
  </si>
  <si>
    <t>=NL("Sum","5802 Value Entry","150 Sales Amount (Expected)","41 Source Type",$C$5,"5 Source No.",$C1535,"4 Item Ledger Entry Type",$C$4,"2 Item No.","@@"&amp;$F1535,"3 Posting Date",Z$9)+NL("Sum","5802 Value Entry","17 Sales Amount (Actual)","41 Source Type",$C$5,"5 Source no.",$C1535,"4 Item Ledger Entry Type",$C$4,"2 Item No.","@@"&amp;$F1535,"3 Posting Date",Z$9)</t>
  </si>
  <si>
    <t>=-NL("Sum","5802 Value Entry","151 Cost Amount (Expected)","41 Source Type",$C$5,"5 Source No.",$C1535,"4 Item Ledger Entry Type",$C$4,"2 Item No.","@@"&amp;$F1535,"3 Posting Date",Z$9)-NL("Sum","5802 Value Entry","43 Cost Amount (Actual)","41 Source Type",$C$5,"5 Source no.",$C1535,"4 Item Ledger Entry Type",$C$4,"2 Item No.","@@"&amp;$F1535,"3 Posting Date",Z$9)</t>
  </si>
  <si>
    <t>=Z1535-AB1535</t>
  </si>
  <si>
    <t>=IF(Z1535&lt;&gt;0,AC1535/Z1535,"")</t>
  </si>
  <si>
    <t>=NL("Sum","5802 Value Entry","150 Sales Amount (Expected)","41 Source Type",$C$5,"5 Source No.",$C1536,"4 Item Ledger Entry Type",$C$4,"2 Item No.","@@"&amp;$F1536,"3 Posting Date",J$9)+NL("Sum","5802 Value Entry","17 Sales Amount (Actual)","41 Source Type",$C$5,"5 Source no.",$C1536,"4 Item Ledger Entry Type",$C$4,"2 Item No.","@@"&amp;$F1536,"3 Posting Date",J$9)</t>
  </si>
  <si>
    <t>=-NL("Sum","5802 Value Entry","151 Cost Amount (Expected)","41 Source Type",$C$5,"5 Source No.",$C1536,"4 Item Ledger Entry Type",$C$4,"2 Item No.","@@"&amp;$F1536,"3 Posting Date",J$9)-NL("Sum","5802 Value Entry","43 Cost Amount (Actual)","41 Source Type",$C$5,"5 Source no.",$C1536,"4 Item Ledger Entry Type",$C$4,"2 Item No.","@@"&amp;$F1536,"3 Posting Date",J$9)</t>
  </si>
  <si>
    <t>=J1536-L1536</t>
  </si>
  <si>
    <t>=IF(J1536&lt;&gt;0,M1536/J1536,"")</t>
  </si>
  <si>
    <t>=NL("Sum","5802 Value Entry","150 Sales Amount (Expected)","41 Source Type",$C$5,"5 Source No.",$C1536,"4 Item Ledger Entry Type",$C$4,"2 Item No.","@@"&amp;$F1536,"3 Posting Date",O$9)+NL("Sum","5802 Value Entry","17 Sales Amount (Actual)","41 Source Type",$C$5,"5 Source no.",$C1536,"4 Item Ledger Entry Type",$C$4,"2 Item No.","@@"&amp;$F1536,"3 Posting Date",O$9)</t>
  </si>
  <si>
    <t>=-NL("Sum","5802 Value Entry","151 Cost Amount (Expected)","41 Source Type",$C$5,"5 Source No.",$C1536,"4 Item Ledger Entry Type",$C$4,"2 Item No.","@@"&amp;$F1536,"3 Posting Date",O$9)-NL("Sum","5802 Value Entry","43 Cost Amount (Actual)","41 Source Type",$C$5,"5 Source no.",$C1536,"4 Item Ledger Entry Type",$C$4,"2 Item No.","@@"&amp;$F1536,"3 Posting Date",O$9)</t>
  </si>
  <si>
    <t>=O1536-Q1536</t>
  </si>
  <si>
    <t>=IF(O1536&lt;&gt;0,R1536/O1536,"")</t>
  </si>
  <si>
    <t>=NL("Sum","5802 Value Entry","150 Sales Amount (Expected)","41 Source Type",$C$5,"5 Source No.",$C1536,"4 Item Ledger Entry Type",$C$4,"2 Item No.","@@"&amp;$F1536,"3 Posting Date",U$9)+NL("Sum","5802 Value Entry","17 Sales Amount (Actual)","41 Source Type",$C$5,"5 Source no.",$C1536,"4 Item Ledger Entry Type",$C$4,"2 Item No.","@@"&amp;$F1536,"3 Posting Date",U$9)</t>
  </si>
  <si>
    <t>=-NL("Sum","5802 Value Entry","151 Cost Amount (Expected)","41 Source Type",$C$5,"5 Source No.",$C1536,"4 Item Ledger Entry Type",$C$4,"2 Item No.","@@"&amp;$F1536,"3 Posting Date",U$9)-NL("Sum","5802 Value Entry","43 Cost Amount (Actual)","41 Source Type",$C$5,"5 Source no.",$C1536,"4 Item Ledger Entry Type",$C$4,"2 Item No.","@@"&amp;$F1536,"3 Posting Date",U$9)</t>
  </si>
  <si>
    <t>=U1536-W1536</t>
  </si>
  <si>
    <t>=IF(U1536&lt;&gt;0,X1536/U1536,"")</t>
  </si>
  <si>
    <t>=NL("Sum","5802 Value Entry","150 Sales Amount (Expected)","41 Source Type",$C$5,"5 Source No.",$C1536,"4 Item Ledger Entry Type",$C$4,"2 Item No.","@@"&amp;$F1536,"3 Posting Date",Z$9)+NL("Sum","5802 Value Entry","17 Sales Amount (Actual)","41 Source Type",$C$5,"5 Source no.",$C1536,"4 Item Ledger Entry Type",$C$4,"2 Item No.","@@"&amp;$F1536,"3 Posting Date",Z$9)</t>
  </si>
  <si>
    <t>=-NL("Sum","5802 Value Entry","151 Cost Amount (Expected)","41 Source Type",$C$5,"5 Source No.",$C1536,"4 Item Ledger Entry Type",$C$4,"2 Item No.","@@"&amp;$F1536,"3 Posting Date",Z$9)-NL("Sum","5802 Value Entry","43 Cost Amount (Actual)","41 Source Type",$C$5,"5 Source no.",$C1536,"4 Item Ledger Entry Type",$C$4,"2 Item No.","@@"&amp;$F1536,"3 Posting Date",Z$9)</t>
  </si>
  <si>
    <t>=Z1536-AB1536</t>
  </si>
  <si>
    <t>=IF(Z1536&lt;&gt;0,AC1536/Z1536,"")</t>
  </si>
  <si>
    <t>=C1562&amp;" TOTAL:"</t>
  </si>
  <si>
    <t>=SUBTOTAL(9,J1513:J1561)</t>
  </si>
  <si>
    <t>=SUBTOTAL(9,K1513:K1561)</t>
  </si>
  <si>
    <t>=SUBTOTAL(9,L1513:L1561)</t>
  </si>
  <si>
    <t>=SUBTOTAL(9,O1513:O1561)</t>
  </si>
  <si>
    <t>=SUBTOTAL(9,P1513:P1561)</t>
  </si>
  <si>
    <t>=SUBTOTAL(9,Q1513:Q1561)</t>
  </si>
  <si>
    <t>=SUBTOTAL(9,U1513:U1561)</t>
  </si>
  <si>
    <t>=SUBTOTAL(9,V1513:V1561)</t>
  </si>
  <si>
    <t>=SUBTOTAL(9,W1513:W1561)</t>
  </si>
  <si>
    <t>=SUBTOTAL(9,Z1513:Z1561)</t>
  </si>
  <si>
    <t>=SUBTOTAL(9,AA1513:AA1561)</t>
  </si>
  <si>
    <t>=SUBTOTAL(9,AB1513:AB1561)</t>
  </si>
  <si>
    <t>=E1564</t>
  </si>
  <si>
    <t>=NL(,"18 Customer","2 Name","1 No.",$E1564)</t>
  </si>
  <si>
    <t>=NL("Rows","5802 Value Entry","2 Item No.","4 Item Ledger Entry Type",$C$4,"41 Source Type",$C$5,"5 Source No.",$C1566,"Item No.",$C$7,"3 Posting Date",$C$10)</t>
  </si>
  <si>
    <t>=C1582</t>
  </si>
  <si>
    <t>=NL("Sum","5802 Value Entry","150 Sales Amount (Expected)","41 Source Type",$C$5,"5 Source No.",$C1583,"4 Item Ledger Entry Type",$C$4,"2 Item No.","@@"&amp;$F1583,"3 Posting Date",J$9)+NL("Sum","5802 Value Entry","17 Sales Amount (Actual)","41 Source Type",$C$5,"5 Source no.",$C1583,"4 Item Ledger Entry Type",$C$4,"2 Item No.","@@"&amp;$F1583,"3 Posting Date",J$9)</t>
  </si>
  <si>
    <t>=-NL("Sum","5802 Value Entry","151 Cost Amount (Expected)","41 Source Type",$C$5,"5 Source No.",$C1583,"4 Item Ledger Entry Type",$C$4,"2 Item No.","@@"&amp;$F1583,"3 Posting Date",J$9)-NL("Sum","5802 Value Entry","43 Cost Amount (Actual)","41 Source Type",$C$5,"5 Source no.",$C1583,"4 Item Ledger Entry Type",$C$4,"2 Item No.","@@"&amp;$F1583,"3 Posting Date",J$9)</t>
  </si>
  <si>
    <t>=J1583-L1583</t>
  </si>
  <si>
    <t>=IF(J1583&lt;&gt;0,M1583/J1583,"")</t>
  </si>
  <si>
    <t>=NL("Sum","5802 Value Entry","150 Sales Amount (Expected)","41 Source Type",$C$5,"5 Source No.",$C1583,"4 Item Ledger Entry Type",$C$4,"2 Item No.","@@"&amp;$F1583,"3 Posting Date",O$9)+NL("Sum","5802 Value Entry","17 Sales Amount (Actual)","41 Source Type",$C$5,"5 Source no.",$C1583,"4 Item Ledger Entry Type",$C$4,"2 Item No.","@@"&amp;$F1583,"3 Posting Date",O$9)</t>
  </si>
  <si>
    <t>=-NL("Sum","5802 Value Entry","151 Cost Amount (Expected)","41 Source Type",$C$5,"5 Source No.",$C1583,"4 Item Ledger Entry Type",$C$4,"2 Item No.","@@"&amp;$F1583,"3 Posting Date",O$9)-NL("Sum","5802 Value Entry","43 Cost Amount (Actual)","41 Source Type",$C$5,"5 Source no.",$C1583,"4 Item Ledger Entry Type",$C$4,"2 Item No.","@@"&amp;$F1583,"3 Posting Date",O$9)</t>
  </si>
  <si>
    <t>=O1583-Q1583</t>
  </si>
  <si>
    <t>=IF(O1583&lt;&gt;0,R1583/O1583,"")</t>
  </si>
  <si>
    <t>=NL("Sum","5802 Value Entry","150 Sales Amount (Expected)","41 Source Type",$C$5,"5 Source No.",$C1583,"4 Item Ledger Entry Type",$C$4,"2 Item No.","@@"&amp;$F1583,"3 Posting Date",U$9)+NL("Sum","5802 Value Entry","17 Sales Amount (Actual)","41 Source Type",$C$5,"5 Source no.",$C1583,"4 Item Ledger Entry Type",$C$4,"2 Item No.","@@"&amp;$F1583,"3 Posting Date",U$9)</t>
  </si>
  <si>
    <t>=-NL("Sum","5802 Value Entry","151 Cost Amount (Expected)","41 Source Type",$C$5,"5 Source No.",$C1583,"4 Item Ledger Entry Type",$C$4,"2 Item No.","@@"&amp;$F1583,"3 Posting Date",U$9)-NL("Sum","5802 Value Entry","43 Cost Amount (Actual)","41 Source Type",$C$5,"5 Source no.",$C1583,"4 Item Ledger Entry Type",$C$4,"2 Item No.","@@"&amp;$F1583,"3 Posting Date",U$9)</t>
  </si>
  <si>
    <t>=U1583-W1583</t>
  </si>
  <si>
    <t>=IF(U1583&lt;&gt;0,X1583/U1583,"")</t>
  </si>
  <si>
    <t>=NL("Sum","5802 Value Entry","150 Sales Amount (Expected)","41 Source Type",$C$5,"5 Source No.",$C1583,"4 Item Ledger Entry Type",$C$4,"2 Item No.","@@"&amp;$F1583,"3 Posting Date",Z$9)+NL("Sum","5802 Value Entry","17 Sales Amount (Actual)","41 Source Type",$C$5,"5 Source no.",$C1583,"4 Item Ledger Entry Type",$C$4,"2 Item No.","@@"&amp;$F1583,"3 Posting Date",Z$9)</t>
  </si>
  <si>
    <t>=-NL("Sum","5802 Value Entry","151 Cost Amount (Expected)","41 Source Type",$C$5,"5 Source No.",$C1583,"4 Item Ledger Entry Type",$C$4,"2 Item No.","@@"&amp;$F1583,"3 Posting Date",Z$9)-NL("Sum","5802 Value Entry","43 Cost Amount (Actual)","41 Source Type",$C$5,"5 Source no.",$C1583,"4 Item Ledger Entry Type",$C$4,"2 Item No.","@@"&amp;$F1583,"3 Posting Date",Z$9)</t>
  </si>
  <si>
    <t>=Z1583-AB1583</t>
  </si>
  <si>
    <t>=IF(Z1583&lt;&gt;0,AC1583/Z1583,"")</t>
  </si>
  <si>
    <t>=NL("Sum","5802 Value Entry","150 Sales Amount (Expected)","41 Source Type",$C$5,"5 Source No.",$C1584,"4 Item Ledger Entry Type",$C$4,"2 Item No.","@@"&amp;$F1584,"3 Posting Date",J$9)+NL("Sum","5802 Value Entry","17 Sales Amount (Actual)","41 Source Type",$C$5,"5 Source no.",$C1584,"4 Item Ledger Entry Type",$C$4,"2 Item No.","@@"&amp;$F1584,"3 Posting Date",J$9)</t>
  </si>
  <si>
    <t>=-NL("Sum","5802 Value Entry","151 Cost Amount (Expected)","41 Source Type",$C$5,"5 Source No.",$C1584,"4 Item Ledger Entry Type",$C$4,"2 Item No.","@@"&amp;$F1584,"3 Posting Date",J$9)-NL("Sum","5802 Value Entry","43 Cost Amount (Actual)","41 Source Type",$C$5,"5 Source no.",$C1584,"4 Item Ledger Entry Type",$C$4,"2 Item No.","@@"&amp;$F1584,"3 Posting Date",J$9)</t>
  </si>
  <si>
    <t>=NL("Sum","5802 Value Entry","150 Sales Amount (Expected)","41 Source Type",$C$5,"5 Source No.",$C1584,"4 Item Ledger Entry Type",$C$4,"2 Item No.","@@"&amp;$F1584,"3 Posting Date",O$9)+NL("Sum","5802 Value Entry","17 Sales Amount (Actual)","41 Source Type",$C$5,"5 Source no.",$C1584,"4 Item Ledger Entry Type",$C$4,"2 Item No.","@@"&amp;$F1584,"3 Posting Date",O$9)</t>
  </si>
  <si>
    <t>=-NL("Sum","5802 Value Entry","151 Cost Amount (Expected)","41 Source Type",$C$5,"5 Source No.",$C1584,"4 Item Ledger Entry Type",$C$4,"2 Item No.","@@"&amp;$F1584,"3 Posting Date",O$9)-NL("Sum","5802 Value Entry","43 Cost Amount (Actual)","41 Source Type",$C$5,"5 Source no.",$C1584,"4 Item Ledger Entry Type",$C$4,"2 Item No.","@@"&amp;$F1584,"3 Posting Date",O$9)</t>
  </si>
  <si>
    <t>=NL("Sum","5802 Value Entry","150 Sales Amount (Expected)","41 Source Type",$C$5,"5 Source No.",$C1584,"4 Item Ledger Entry Type",$C$4,"2 Item No.","@@"&amp;$F1584,"3 Posting Date",U$9)+NL("Sum","5802 Value Entry","17 Sales Amount (Actual)","41 Source Type",$C$5,"5 Source no.",$C1584,"4 Item Ledger Entry Type",$C$4,"2 Item No.","@@"&amp;$F1584,"3 Posting Date",U$9)</t>
  </si>
  <si>
    <t>=-NL("Sum","5802 Value Entry","151 Cost Amount (Expected)","41 Source Type",$C$5,"5 Source No.",$C1584,"4 Item Ledger Entry Type",$C$4,"2 Item No.","@@"&amp;$F1584,"3 Posting Date",U$9)-NL("Sum","5802 Value Entry","43 Cost Amount (Actual)","41 Source Type",$C$5,"5 Source no.",$C1584,"4 Item Ledger Entry Type",$C$4,"2 Item No.","@@"&amp;$F1584,"3 Posting Date",U$9)</t>
  </si>
  <si>
    <t>=NL("Sum","5802 Value Entry","150 Sales Amount (Expected)","41 Source Type",$C$5,"5 Source No.",$C1584,"4 Item Ledger Entry Type",$C$4,"2 Item No.","@@"&amp;$F1584,"3 Posting Date",Z$9)+NL("Sum","5802 Value Entry","17 Sales Amount (Actual)","41 Source Type",$C$5,"5 Source no.",$C1584,"4 Item Ledger Entry Type",$C$4,"2 Item No.","@@"&amp;$F1584,"3 Posting Date",Z$9)</t>
  </si>
  <si>
    <t>=-NL("Sum","5802 Value Entry","151 Cost Amount (Expected)","41 Source Type",$C$5,"5 Source No.",$C1584,"4 Item Ledger Entry Type",$C$4,"2 Item No.","@@"&amp;$F1584,"3 Posting Date",Z$9)-NL("Sum","5802 Value Entry","43 Cost Amount (Actual)","41 Source Type",$C$5,"5 Source no.",$C1584,"4 Item Ledger Entry Type",$C$4,"2 Item No.","@@"&amp;$F1584,"3 Posting Date",Z$9)</t>
  </si>
  <si>
    <t>=C1584</t>
  </si>
  <si>
    <t>=NL("Sum","5802 Value Entry","150 Sales Amount (Expected)","41 Source Type",$C$5,"5 Source No.",$C1585,"4 Item Ledger Entry Type",$C$4,"2 Item No.","@@"&amp;$F1585,"3 Posting Date",J$9)+NL("Sum","5802 Value Entry","17 Sales Amount (Actual)","41 Source Type",$C$5,"5 Source no.",$C1585,"4 Item Ledger Entry Type",$C$4,"2 Item No.","@@"&amp;$F1585,"3 Posting Date",J$9)</t>
  </si>
  <si>
    <t>=-NL("Sum","5802 Value Entry","151 Cost Amount (Expected)","41 Source Type",$C$5,"5 Source No.",$C1585,"4 Item Ledger Entry Type",$C$4,"2 Item No.","@@"&amp;$F1585,"3 Posting Date",J$9)-NL("Sum","5802 Value Entry","43 Cost Amount (Actual)","41 Source Type",$C$5,"5 Source no.",$C1585,"4 Item Ledger Entry Type",$C$4,"2 Item No.","@@"&amp;$F1585,"3 Posting Date",J$9)</t>
  </si>
  <si>
    <t>=J1585-L1585</t>
  </si>
  <si>
    <t>=IF(J1585&lt;&gt;0,M1585/J1585,"")</t>
  </si>
  <si>
    <t>=NL("Sum","5802 Value Entry","150 Sales Amount (Expected)","41 Source Type",$C$5,"5 Source No.",$C1585,"4 Item Ledger Entry Type",$C$4,"2 Item No.","@@"&amp;$F1585,"3 Posting Date",O$9)+NL("Sum","5802 Value Entry","17 Sales Amount (Actual)","41 Source Type",$C$5,"5 Source no.",$C1585,"4 Item Ledger Entry Type",$C$4,"2 Item No.","@@"&amp;$F1585,"3 Posting Date",O$9)</t>
  </si>
  <si>
    <t>=-NL("Sum","5802 Value Entry","151 Cost Amount (Expected)","41 Source Type",$C$5,"5 Source No.",$C1585,"4 Item Ledger Entry Type",$C$4,"2 Item No.","@@"&amp;$F1585,"3 Posting Date",O$9)-NL("Sum","5802 Value Entry","43 Cost Amount (Actual)","41 Source Type",$C$5,"5 Source no.",$C1585,"4 Item Ledger Entry Type",$C$4,"2 Item No.","@@"&amp;$F1585,"3 Posting Date",O$9)</t>
  </si>
  <si>
    <t>=O1585-Q1585</t>
  </si>
  <si>
    <t>=IF(O1585&lt;&gt;0,R1585/O1585,"")</t>
  </si>
  <si>
    <t>=NL("Sum","5802 Value Entry","150 Sales Amount (Expected)","41 Source Type",$C$5,"5 Source No.",$C1585,"4 Item Ledger Entry Type",$C$4,"2 Item No.","@@"&amp;$F1585,"3 Posting Date",U$9)+NL("Sum","5802 Value Entry","17 Sales Amount (Actual)","41 Source Type",$C$5,"5 Source no.",$C1585,"4 Item Ledger Entry Type",$C$4,"2 Item No.","@@"&amp;$F1585,"3 Posting Date",U$9)</t>
  </si>
  <si>
    <t>=-NL("Sum","5802 Value Entry","151 Cost Amount (Expected)","41 Source Type",$C$5,"5 Source No.",$C1585,"4 Item Ledger Entry Type",$C$4,"2 Item No.","@@"&amp;$F1585,"3 Posting Date",U$9)-NL("Sum","5802 Value Entry","43 Cost Amount (Actual)","41 Source Type",$C$5,"5 Source no.",$C1585,"4 Item Ledger Entry Type",$C$4,"2 Item No.","@@"&amp;$F1585,"3 Posting Date",U$9)</t>
  </si>
  <si>
    <t>=U1585-W1585</t>
  </si>
  <si>
    <t>=IF(U1585&lt;&gt;0,X1585/U1585,"")</t>
  </si>
  <si>
    <t>=NL("Sum","5802 Value Entry","150 Sales Amount (Expected)","41 Source Type",$C$5,"5 Source No.",$C1585,"4 Item Ledger Entry Type",$C$4,"2 Item No.","@@"&amp;$F1585,"3 Posting Date",Z$9)+NL("Sum","5802 Value Entry","17 Sales Amount (Actual)","41 Source Type",$C$5,"5 Source no.",$C1585,"4 Item Ledger Entry Type",$C$4,"2 Item No.","@@"&amp;$F1585,"3 Posting Date",Z$9)</t>
  </si>
  <si>
    <t>=-NL("Sum","5802 Value Entry","151 Cost Amount (Expected)","41 Source Type",$C$5,"5 Source No.",$C1585,"4 Item Ledger Entry Type",$C$4,"2 Item No.","@@"&amp;$F1585,"3 Posting Date",Z$9)-NL("Sum","5802 Value Entry","43 Cost Amount (Actual)","41 Source Type",$C$5,"5 Source no.",$C1585,"4 Item Ledger Entry Type",$C$4,"2 Item No.","@@"&amp;$F1585,"3 Posting Date",Z$9)</t>
  </si>
  <si>
    <t>=Z1585-AB1585</t>
  </si>
  <si>
    <t>=IF(Z1585&lt;&gt;0,AC1585/Z1585,"")</t>
  </si>
  <si>
    <t>=C1585</t>
  </si>
  <si>
    <t>=NL("Sum","5802 Value Entry","150 Sales Amount (Expected)","41 Source Type",$C$5,"5 Source No.",$C1586,"4 Item Ledger Entry Type",$C$4,"2 Item No.","@@"&amp;$F1586,"3 Posting Date",J$9)+NL("Sum","5802 Value Entry","17 Sales Amount (Actual)","41 Source Type",$C$5,"5 Source no.",$C1586,"4 Item Ledger Entry Type",$C$4,"2 Item No.","@@"&amp;$F1586,"3 Posting Date",J$9)</t>
  </si>
  <si>
    <t>=-NL("Sum","5802 Value Entry","151 Cost Amount (Expected)","41 Source Type",$C$5,"5 Source No.",$C1586,"4 Item Ledger Entry Type",$C$4,"2 Item No.","@@"&amp;$F1586,"3 Posting Date",J$9)-NL("Sum","5802 Value Entry","43 Cost Amount (Actual)","41 Source Type",$C$5,"5 Source no.",$C1586,"4 Item Ledger Entry Type",$C$4,"2 Item No.","@@"&amp;$F1586,"3 Posting Date",J$9)</t>
  </si>
  <si>
    <t>=J1586-L1586</t>
  </si>
  <si>
    <t>=IF(J1586&lt;&gt;0,M1586/J1586,"")</t>
  </si>
  <si>
    <t>=NL("Sum","5802 Value Entry","150 Sales Amount (Expected)","41 Source Type",$C$5,"5 Source No.",$C1586,"4 Item Ledger Entry Type",$C$4,"2 Item No.","@@"&amp;$F1586,"3 Posting Date",O$9)+NL("Sum","5802 Value Entry","17 Sales Amount (Actual)","41 Source Type",$C$5,"5 Source no.",$C1586,"4 Item Ledger Entry Type",$C$4,"2 Item No.","@@"&amp;$F1586,"3 Posting Date",O$9)</t>
  </si>
  <si>
    <t>=-NL("Sum","5802 Value Entry","151 Cost Amount (Expected)","41 Source Type",$C$5,"5 Source No.",$C1586,"4 Item Ledger Entry Type",$C$4,"2 Item No.","@@"&amp;$F1586,"3 Posting Date",O$9)-NL("Sum","5802 Value Entry","43 Cost Amount (Actual)","41 Source Type",$C$5,"5 Source no.",$C1586,"4 Item Ledger Entry Type",$C$4,"2 Item No.","@@"&amp;$F1586,"3 Posting Date",O$9)</t>
  </si>
  <si>
    <t>=O1586-Q1586</t>
  </si>
  <si>
    <t>=IF(O1586&lt;&gt;0,R1586/O1586,"")</t>
  </si>
  <si>
    <t>=NL("Sum","5802 Value Entry","150 Sales Amount (Expected)","41 Source Type",$C$5,"5 Source No.",$C1586,"4 Item Ledger Entry Type",$C$4,"2 Item No.","@@"&amp;$F1586,"3 Posting Date",U$9)+NL("Sum","5802 Value Entry","17 Sales Amount (Actual)","41 Source Type",$C$5,"5 Source no.",$C1586,"4 Item Ledger Entry Type",$C$4,"2 Item No.","@@"&amp;$F1586,"3 Posting Date",U$9)</t>
  </si>
  <si>
    <t>=-NL("Sum","5802 Value Entry","151 Cost Amount (Expected)","41 Source Type",$C$5,"5 Source No.",$C1586,"4 Item Ledger Entry Type",$C$4,"2 Item No.","@@"&amp;$F1586,"3 Posting Date",U$9)-NL("Sum","5802 Value Entry","43 Cost Amount (Actual)","41 Source Type",$C$5,"5 Source no.",$C1586,"4 Item Ledger Entry Type",$C$4,"2 Item No.","@@"&amp;$F1586,"3 Posting Date",U$9)</t>
  </si>
  <si>
    <t>=U1586-W1586</t>
  </si>
  <si>
    <t>=IF(U1586&lt;&gt;0,X1586/U1586,"")</t>
  </si>
  <si>
    <t>=NL("Sum","5802 Value Entry","150 Sales Amount (Expected)","41 Source Type",$C$5,"5 Source No.",$C1586,"4 Item Ledger Entry Type",$C$4,"2 Item No.","@@"&amp;$F1586,"3 Posting Date",Z$9)+NL("Sum","5802 Value Entry","17 Sales Amount (Actual)","41 Source Type",$C$5,"5 Source no.",$C1586,"4 Item Ledger Entry Type",$C$4,"2 Item No.","@@"&amp;$F1586,"3 Posting Date",Z$9)</t>
  </si>
  <si>
    <t>=-NL("Sum","5802 Value Entry","151 Cost Amount (Expected)","41 Source Type",$C$5,"5 Source No.",$C1586,"4 Item Ledger Entry Type",$C$4,"2 Item No.","@@"&amp;$F1586,"3 Posting Date",Z$9)-NL("Sum","5802 Value Entry","43 Cost Amount (Actual)","41 Source Type",$C$5,"5 Source no.",$C1586,"4 Item Ledger Entry Type",$C$4,"2 Item No.","@@"&amp;$F1586,"3 Posting Date",Z$9)</t>
  </si>
  <si>
    <t>=Z1586-AB1586</t>
  </si>
  <si>
    <t>=IF(Z1586&lt;&gt;0,AC1586/Z1586,"")</t>
  </si>
  <si>
    <t>=NL("Sum","5802 Value Entry","150 Sales Amount (Expected)","41 Source Type",$C$5,"5 Source No.",$C1587,"4 Item Ledger Entry Type",$C$4,"2 Item No.","@@"&amp;$F1587,"3 Posting Date",J$9)+NL("Sum","5802 Value Entry","17 Sales Amount (Actual)","41 Source Type",$C$5,"5 Source no.",$C1587,"4 Item Ledger Entry Type",$C$4,"2 Item No.","@@"&amp;$F1587,"3 Posting Date",J$9)</t>
  </si>
  <si>
    <t>=-NL("Sum","5802 Value Entry","151 Cost Amount (Expected)","41 Source Type",$C$5,"5 Source No.",$C1587,"4 Item Ledger Entry Type",$C$4,"2 Item No.","@@"&amp;$F1587,"3 Posting Date",J$9)-NL("Sum","5802 Value Entry","43 Cost Amount (Actual)","41 Source Type",$C$5,"5 Source no.",$C1587,"4 Item Ledger Entry Type",$C$4,"2 Item No.","@@"&amp;$F1587,"3 Posting Date",J$9)</t>
  </si>
  <si>
    <t>=J1587-L1587</t>
  </si>
  <si>
    <t>=IF(J1587&lt;&gt;0,M1587/J1587,"")</t>
  </si>
  <si>
    <t>=NL("Sum","5802 Value Entry","150 Sales Amount (Expected)","41 Source Type",$C$5,"5 Source No.",$C1587,"4 Item Ledger Entry Type",$C$4,"2 Item No.","@@"&amp;$F1587,"3 Posting Date",O$9)+NL("Sum","5802 Value Entry","17 Sales Amount (Actual)","41 Source Type",$C$5,"5 Source no.",$C1587,"4 Item Ledger Entry Type",$C$4,"2 Item No.","@@"&amp;$F1587,"3 Posting Date",O$9)</t>
  </si>
  <si>
    <t>=-NL("Sum","5802 Value Entry","151 Cost Amount (Expected)","41 Source Type",$C$5,"5 Source No.",$C1587,"4 Item Ledger Entry Type",$C$4,"2 Item No.","@@"&amp;$F1587,"3 Posting Date",O$9)-NL("Sum","5802 Value Entry","43 Cost Amount (Actual)","41 Source Type",$C$5,"5 Source no.",$C1587,"4 Item Ledger Entry Type",$C$4,"2 Item No.","@@"&amp;$F1587,"3 Posting Date",O$9)</t>
  </si>
  <si>
    <t>=O1587-Q1587</t>
  </si>
  <si>
    <t>=IF(O1587&lt;&gt;0,R1587/O1587,"")</t>
  </si>
  <si>
    <t>=NL("Sum","5802 Value Entry","150 Sales Amount (Expected)","41 Source Type",$C$5,"5 Source No.",$C1587,"4 Item Ledger Entry Type",$C$4,"2 Item No.","@@"&amp;$F1587,"3 Posting Date",U$9)+NL("Sum","5802 Value Entry","17 Sales Amount (Actual)","41 Source Type",$C$5,"5 Source no.",$C1587,"4 Item Ledger Entry Type",$C$4,"2 Item No.","@@"&amp;$F1587,"3 Posting Date",U$9)</t>
  </si>
  <si>
    <t>=-NL("Sum","5802 Value Entry","151 Cost Amount (Expected)","41 Source Type",$C$5,"5 Source No.",$C1587,"4 Item Ledger Entry Type",$C$4,"2 Item No.","@@"&amp;$F1587,"3 Posting Date",U$9)-NL("Sum","5802 Value Entry","43 Cost Amount (Actual)","41 Source Type",$C$5,"5 Source no.",$C1587,"4 Item Ledger Entry Type",$C$4,"2 Item No.","@@"&amp;$F1587,"3 Posting Date",U$9)</t>
  </si>
  <si>
    <t>=U1587-W1587</t>
  </si>
  <si>
    <t>=IF(U1587&lt;&gt;0,X1587/U1587,"")</t>
  </si>
  <si>
    <t>=NL("Sum","5802 Value Entry","150 Sales Amount (Expected)","41 Source Type",$C$5,"5 Source No.",$C1587,"4 Item Ledger Entry Type",$C$4,"2 Item No.","@@"&amp;$F1587,"3 Posting Date",Z$9)+NL("Sum","5802 Value Entry","17 Sales Amount (Actual)","41 Source Type",$C$5,"5 Source no.",$C1587,"4 Item Ledger Entry Type",$C$4,"2 Item No.","@@"&amp;$F1587,"3 Posting Date",Z$9)</t>
  </si>
  <si>
    <t>=-NL("Sum","5802 Value Entry","151 Cost Amount (Expected)","41 Source Type",$C$5,"5 Source No.",$C1587,"4 Item Ledger Entry Type",$C$4,"2 Item No.","@@"&amp;$F1587,"3 Posting Date",Z$9)-NL("Sum","5802 Value Entry","43 Cost Amount (Actual)","41 Source Type",$C$5,"5 Source no.",$C1587,"4 Item Ledger Entry Type",$C$4,"2 Item No.","@@"&amp;$F1587,"3 Posting Date",Z$9)</t>
  </si>
  <si>
    <t>=Z1587-AB1587</t>
  </si>
  <si>
    <t>=IF(Z1587&lt;&gt;0,AC1587/Z1587,"")</t>
  </si>
  <si>
    <t>=C1593&amp;" TOTAL:"</t>
  </si>
  <si>
    <t>=SUBTOTAL(9,J1565:J1592)</t>
  </si>
  <si>
    <t>=SUBTOTAL(9,K1565:K1592)</t>
  </si>
  <si>
    <t>=SUBTOTAL(9,L1565:L1592)</t>
  </si>
  <si>
    <t>=SUBTOTAL(9,O1565:O1592)</t>
  </si>
  <si>
    <t>=SUBTOTAL(9,P1565:P1592)</t>
  </si>
  <si>
    <t>=SUBTOTAL(9,Q1565:Q1592)</t>
  </si>
  <si>
    <t>=SUBTOTAL(9,U1565:U1592)</t>
  </si>
  <si>
    <t>=SUBTOTAL(9,V1565:V1592)</t>
  </si>
  <si>
    <t>=SUBTOTAL(9,W1565:W1592)</t>
  </si>
  <si>
    <t>=SUBTOTAL(9,Z1565:Z1592)</t>
  </si>
  <si>
    <t>=SUBTOTAL(9,AA1565:AA1592)</t>
  </si>
  <si>
    <t>=SUBTOTAL(9,AB1565:AB1592)</t>
  </si>
  <si>
    <t>=E1595</t>
  </si>
  <si>
    <t>=NL(,"18 Customer","2 Name","1 No.",$E1595)</t>
  </si>
  <si>
    <t>=NL("Rows","5802 Value Entry","2 Item No.","4 Item Ledger Entry Type",$C$4,"41 Source Type",$C$5,"5 Source No.",$C1597,"Item No.",$C$7,"3 Posting Date",$C$10)</t>
  </si>
  <si>
    <t>=C1632</t>
  </si>
  <si>
    <t>=NL("Sum","5802 Value Entry","150 Sales Amount (Expected)","41 Source Type",$C$5,"5 Source No.",$C1633,"4 Item Ledger Entry Type",$C$4,"2 Item No.","@@"&amp;$F1633,"3 Posting Date",J$9)+NL("Sum","5802 Value Entry","17 Sales Amount (Actual)","41 Source Type",$C$5,"5 Source no.",$C1633,"4 Item Ledger Entry Type",$C$4,"2 Item No.","@@"&amp;$F1633,"3 Posting Date",J$9)</t>
  </si>
  <si>
    <t>=-NL("Sum","5802 Value Entry","151 Cost Amount (Expected)","41 Source Type",$C$5,"5 Source No.",$C1633,"4 Item Ledger Entry Type",$C$4,"2 Item No.","@@"&amp;$F1633,"3 Posting Date",J$9)-NL("Sum","5802 Value Entry","43 Cost Amount (Actual)","41 Source Type",$C$5,"5 Source no.",$C1633,"4 Item Ledger Entry Type",$C$4,"2 Item No.","@@"&amp;$F1633,"3 Posting Date",J$9)</t>
  </si>
  <si>
    <t>=J1633-L1633</t>
  </si>
  <si>
    <t>=IF(J1633&lt;&gt;0,M1633/J1633,"")</t>
  </si>
  <si>
    <t>=NL("Sum","5802 Value Entry","150 Sales Amount (Expected)","41 Source Type",$C$5,"5 Source No.",$C1633,"4 Item Ledger Entry Type",$C$4,"2 Item No.","@@"&amp;$F1633,"3 Posting Date",O$9)+NL("Sum","5802 Value Entry","17 Sales Amount (Actual)","41 Source Type",$C$5,"5 Source no.",$C1633,"4 Item Ledger Entry Type",$C$4,"2 Item No.","@@"&amp;$F1633,"3 Posting Date",O$9)</t>
  </si>
  <si>
    <t>=-NL("Sum","5802 Value Entry","151 Cost Amount (Expected)","41 Source Type",$C$5,"5 Source No.",$C1633,"4 Item Ledger Entry Type",$C$4,"2 Item No.","@@"&amp;$F1633,"3 Posting Date",O$9)-NL("Sum","5802 Value Entry","43 Cost Amount (Actual)","41 Source Type",$C$5,"5 Source no.",$C1633,"4 Item Ledger Entry Type",$C$4,"2 Item No.","@@"&amp;$F1633,"3 Posting Date",O$9)</t>
  </si>
  <si>
    <t>=O1633-Q1633</t>
  </si>
  <si>
    <t>=IF(O1633&lt;&gt;0,R1633/O1633,"")</t>
  </si>
  <si>
    <t>=NL("Sum","5802 Value Entry","150 Sales Amount (Expected)","41 Source Type",$C$5,"5 Source No.",$C1633,"4 Item Ledger Entry Type",$C$4,"2 Item No.","@@"&amp;$F1633,"3 Posting Date",U$9)+NL("Sum","5802 Value Entry","17 Sales Amount (Actual)","41 Source Type",$C$5,"5 Source no.",$C1633,"4 Item Ledger Entry Type",$C$4,"2 Item No.","@@"&amp;$F1633,"3 Posting Date",U$9)</t>
  </si>
  <si>
    <t>=-NL("Sum","5802 Value Entry","151 Cost Amount (Expected)","41 Source Type",$C$5,"5 Source No.",$C1633,"4 Item Ledger Entry Type",$C$4,"2 Item No.","@@"&amp;$F1633,"3 Posting Date",U$9)-NL("Sum","5802 Value Entry","43 Cost Amount (Actual)","41 Source Type",$C$5,"5 Source no.",$C1633,"4 Item Ledger Entry Type",$C$4,"2 Item No.","@@"&amp;$F1633,"3 Posting Date",U$9)</t>
  </si>
  <si>
    <t>=U1633-W1633</t>
  </si>
  <si>
    <t>=IF(U1633&lt;&gt;0,X1633/U1633,"")</t>
  </si>
  <si>
    <t>=NL("Sum","5802 Value Entry","150 Sales Amount (Expected)","41 Source Type",$C$5,"5 Source No.",$C1633,"4 Item Ledger Entry Type",$C$4,"2 Item No.","@@"&amp;$F1633,"3 Posting Date",Z$9)+NL("Sum","5802 Value Entry","17 Sales Amount (Actual)","41 Source Type",$C$5,"5 Source no.",$C1633,"4 Item Ledger Entry Type",$C$4,"2 Item No.","@@"&amp;$F1633,"3 Posting Date",Z$9)</t>
  </si>
  <si>
    <t>=-NL("Sum","5802 Value Entry","151 Cost Amount (Expected)","41 Source Type",$C$5,"5 Source No.",$C1633,"4 Item Ledger Entry Type",$C$4,"2 Item No.","@@"&amp;$F1633,"3 Posting Date",Z$9)-NL("Sum","5802 Value Entry","43 Cost Amount (Actual)","41 Source Type",$C$5,"5 Source no.",$C1633,"4 Item Ledger Entry Type",$C$4,"2 Item No.","@@"&amp;$F1633,"3 Posting Date",Z$9)</t>
  </si>
  <si>
    <t>=Z1633-AB1633</t>
  </si>
  <si>
    <t>=IF(Z1633&lt;&gt;0,AC1633/Z1633,"")</t>
  </si>
  <si>
    <t>=NL("Sum","5802 Value Entry","150 Sales Amount (Expected)","41 Source Type",$C$5,"5 Source No.",$C1634,"4 Item Ledger Entry Type",$C$4,"2 Item No.","@@"&amp;$F1634,"3 Posting Date",J$9)+NL("Sum","5802 Value Entry","17 Sales Amount (Actual)","41 Source Type",$C$5,"5 Source no.",$C1634,"4 Item Ledger Entry Type",$C$4,"2 Item No.","@@"&amp;$F1634,"3 Posting Date",J$9)</t>
  </si>
  <si>
    <t>=-NL("Sum","5802 Value Entry","151 Cost Amount (Expected)","41 Source Type",$C$5,"5 Source No.",$C1634,"4 Item Ledger Entry Type",$C$4,"2 Item No.","@@"&amp;$F1634,"3 Posting Date",J$9)-NL("Sum","5802 Value Entry","43 Cost Amount (Actual)","41 Source Type",$C$5,"5 Source no.",$C1634,"4 Item Ledger Entry Type",$C$4,"2 Item No.","@@"&amp;$F1634,"3 Posting Date",J$9)</t>
  </si>
  <si>
    <t>=NL("Sum","5802 Value Entry","150 Sales Amount (Expected)","41 Source Type",$C$5,"5 Source No.",$C1634,"4 Item Ledger Entry Type",$C$4,"2 Item No.","@@"&amp;$F1634,"3 Posting Date",O$9)+NL("Sum","5802 Value Entry","17 Sales Amount (Actual)","41 Source Type",$C$5,"5 Source no.",$C1634,"4 Item Ledger Entry Type",$C$4,"2 Item No.","@@"&amp;$F1634,"3 Posting Date",O$9)</t>
  </si>
  <si>
    <t>=-NL("Sum","5802 Value Entry","151 Cost Amount (Expected)","41 Source Type",$C$5,"5 Source No.",$C1634,"4 Item Ledger Entry Type",$C$4,"2 Item No.","@@"&amp;$F1634,"3 Posting Date",O$9)-NL("Sum","5802 Value Entry","43 Cost Amount (Actual)","41 Source Type",$C$5,"5 Source no.",$C1634,"4 Item Ledger Entry Type",$C$4,"2 Item No.","@@"&amp;$F1634,"3 Posting Date",O$9)</t>
  </si>
  <si>
    <t>=NL("Sum","5802 Value Entry","150 Sales Amount (Expected)","41 Source Type",$C$5,"5 Source No.",$C1634,"4 Item Ledger Entry Type",$C$4,"2 Item No.","@@"&amp;$F1634,"3 Posting Date",U$9)+NL("Sum","5802 Value Entry","17 Sales Amount (Actual)","41 Source Type",$C$5,"5 Source no.",$C1634,"4 Item Ledger Entry Type",$C$4,"2 Item No.","@@"&amp;$F1634,"3 Posting Date",U$9)</t>
  </si>
  <si>
    <t>=-NL("Sum","5802 Value Entry","151 Cost Amount (Expected)","41 Source Type",$C$5,"5 Source No.",$C1634,"4 Item Ledger Entry Type",$C$4,"2 Item No.","@@"&amp;$F1634,"3 Posting Date",U$9)-NL("Sum","5802 Value Entry","43 Cost Amount (Actual)","41 Source Type",$C$5,"5 Source no.",$C1634,"4 Item Ledger Entry Type",$C$4,"2 Item No.","@@"&amp;$F1634,"3 Posting Date",U$9)</t>
  </si>
  <si>
    <t>=NL("Sum","5802 Value Entry","150 Sales Amount (Expected)","41 Source Type",$C$5,"5 Source No.",$C1634,"4 Item Ledger Entry Type",$C$4,"2 Item No.","@@"&amp;$F1634,"3 Posting Date",Z$9)+NL("Sum","5802 Value Entry","17 Sales Amount (Actual)","41 Source Type",$C$5,"5 Source no.",$C1634,"4 Item Ledger Entry Type",$C$4,"2 Item No.","@@"&amp;$F1634,"3 Posting Date",Z$9)</t>
  </si>
  <si>
    <t>=-NL("Sum","5802 Value Entry","151 Cost Amount (Expected)","41 Source Type",$C$5,"5 Source No.",$C1634,"4 Item Ledger Entry Type",$C$4,"2 Item No.","@@"&amp;$F1634,"3 Posting Date",Z$9)-NL("Sum","5802 Value Entry","43 Cost Amount (Actual)","41 Source Type",$C$5,"5 Source no.",$C1634,"4 Item Ledger Entry Type",$C$4,"2 Item No.","@@"&amp;$F1634,"3 Posting Date",Z$9)</t>
  </si>
  <si>
    <t>=C1635</t>
  </si>
  <si>
    <t>=C1636&amp;" TOTAL:"</t>
  </si>
  <si>
    <t>=SUBTOTAL(9,J1596:J1635)</t>
  </si>
  <si>
    <t>=SUBTOTAL(9,K1596:K1635)</t>
  </si>
  <si>
    <t>=SUBTOTAL(9,L1596:L1635)</t>
  </si>
  <si>
    <t>=J1636-L1636</t>
  </si>
  <si>
    <t>=IF(J1636&lt;&gt;0,M1636/J1636,"")</t>
  </si>
  <si>
    <t>=SUBTOTAL(9,O1596:O1635)</t>
  </si>
  <si>
    <t>=SUBTOTAL(9,P1596:P1635)</t>
  </si>
  <si>
    <t>=SUBTOTAL(9,Q1596:Q1635)</t>
  </si>
  <si>
    <t>=O1636-Q1636</t>
  </si>
  <si>
    <t>=IF(O1636&lt;&gt;0,R1636/O1636,"")</t>
  </si>
  <si>
    <t>=SUBTOTAL(9,U1596:U1635)</t>
  </si>
  <si>
    <t>=SUBTOTAL(9,V1596:V1635)</t>
  </si>
  <si>
    <t>=SUBTOTAL(9,W1596:W1635)</t>
  </si>
  <si>
    <t>=U1636-W1636</t>
  </si>
  <si>
    <t>=IF(U1636&lt;&gt;0,X1636/U1636,"")</t>
  </si>
  <si>
    <t>=SUBTOTAL(9,Z1596:Z1635)</t>
  </si>
  <si>
    <t>=SUBTOTAL(9,AA1596:AA1635)</t>
  </si>
  <si>
    <t>=SUBTOTAL(9,AB1596:AB1635)</t>
  </si>
  <si>
    <t>=Z1636-AB1636</t>
  </si>
  <si>
    <t>=IF(Z1636&lt;&gt;0,AC1636/Z1636,"")</t>
  </si>
  <si>
    <t>=E1638</t>
  </si>
  <si>
    <t>=NL(,"18 Customer","2 Name","1 No.",$E1638)</t>
  </si>
  <si>
    <t>=NL("Rows","5802 Value Entry","2 Item No.","4 Item Ledger Entry Type",$C$4,"41 Source Type",$C$5,"5 Source No.",$C1640,"Item No.",$C$7,"3 Posting Date",$C$10)</t>
  </si>
  <si>
    <t>=C1684</t>
  </si>
  <si>
    <t>=NL("Sum","5802 Value Entry","150 Sales Amount (Expected)","41 Source Type",$C$5,"5 Source No.",$C1685,"4 Item Ledger Entry Type",$C$4,"2 Item No.","@@"&amp;$F1685,"3 Posting Date",J$9)+NL("Sum","5802 Value Entry","17 Sales Amount (Actual)","41 Source Type",$C$5,"5 Source no.",$C1685,"4 Item Ledger Entry Type",$C$4,"2 Item No.","@@"&amp;$F1685,"3 Posting Date",J$9)</t>
  </si>
  <si>
    <t>=-NL("Sum","5802 Value Entry","151 Cost Amount (Expected)","41 Source Type",$C$5,"5 Source No.",$C1685,"4 Item Ledger Entry Type",$C$4,"2 Item No.","@@"&amp;$F1685,"3 Posting Date",J$9)-NL("Sum","5802 Value Entry","43 Cost Amount (Actual)","41 Source Type",$C$5,"5 Source no.",$C1685,"4 Item Ledger Entry Type",$C$4,"2 Item No.","@@"&amp;$F1685,"3 Posting Date",J$9)</t>
  </si>
  <si>
    <t>=J1685-L1685</t>
  </si>
  <si>
    <t>=IF(J1685&lt;&gt;0,M1685/J1685,"")</t>
  </si>
  <si>
    <t>=NL("Sum","5802 Value Entry","150 Sales Amount (Expected)","41 Source Type",$C$5,"5 Source No.",$C1685,"4 Item Ledger Entry Type",$C$4,"2 Item No.","@@"&amp;$F1685,"3 Posting Date",O$9)+NL("Sum","5802 Value Entry","17 Sales Amount (Actual)","41 Source Type",$C$5,"5 Source no.",$C1685,"4 Item Ledger Entry Type",$C$4,"2 Item No.","@@"&amp;$F1685,"3 Posting Date",O$9)</t>
  </si>
  <si>
    <t>=-NL("Sum","5802 Value Entry","151 Cost Amount (Expected)","41 Source Type",$C$5,"5 Source No.",$C1685,"4 Item Ledger Entry Type",$C$4,"2 Item No.","@@"&amp;$F1685,"3 Posting Date",O$9)-NL("Sum","5802 Value Entry","43 Cost Amount (Actual)","41 Source Type",$C$5,"5 Source no.",$C1685,"4 Item Ledger Entry Type",$C$4,"2 Item No.","@@"&amp;$F1685,"3 Posting Date",O$9)</t>
  </si>
  <si>
    <t>=O1685-Q1685</t>
  </si>
  <si>
    <t>=IF(O1685&lt;&gt;0,R1685/O1685,"")</t>
  </si>
  <si>
    <t>=NL("Sum","5802 Value Entry","150 Sales Amount (Expected)","41 Source Type",$C$5,"5 Source No.",$C1685,"4 Item Ledger Entry Type",$C$4,"2 Item No.","@@"&amp;$F1685,"3 Posting Date",U$9)+NL("Sum","5802 Value Entry","17 Sales Amount (Actual)","41 Source Type",$C$5,"5 Source no.",$C1685,"4 Item Ledger Entry Type",$C$4,"2 Item No.","@@"&amp;$F1685,"3 Posting Date",U$9)</t>
  </si>
  <si>
    <t>=-NL("Sum","5802 Value Entry","151 Cost Amount (Expected)","41 Source Type",$C$5,"5 Source No.",$C1685,"4 Item Ledger Entry Type",$C$4,"2 Item No.","@@"&amp;$F1685,"3 Posting Date",U$9)-NL("Sum","5802 Value Entry","43 Cost Amount (Actual)","41 Source Type",$C$5,"5 Source no.",$C1685,"4 Item Ledger Entry Type",$C$4,"2 Item No.","@@"&amp;$F1685,"3 Posting Date",U$9)</t>
  </si>
  <si>
    <t>=U1685-W1685</t>
  </si>
  <si>
    <t>=IF(U1685&lt;&gt;0,X1685/U1685,"")</t>
  </si>
  <si>
    <t>=NL("Sum","5802 Value Entry","150 Sales Amount (Expected)","41 Source Type",$C$5,"5 Source No.",$C1685,"4 Item Ledger Entry Type",$C$4,"2 Item No.","@@"&amp;$F1685,"3 Posting Date",Z$9)+NL("Sum","5802 Value Entry","17 Sales Amount (Actual)","41 Source Type",$C$5,"5 Source no.",$C1685,"4 Item Ledger Entry Type",$C$4,"2 Item No.","@@"&amp;$F1685,"3 Posting Date",Z$9)</t>
  </si>
  <si>
    <t>=-NL("Sum","5802 Value Entry","151 Cost Amount (Expected)","41 Source Type",$C$5,"5 Source No.",$C1685,"4 Item Ledger Entry Type",$C$4,"2 Item No.","@@"&amp;$F1685,"3 Posting Date",Z$9)-NL("Sum","5802 Value Entry","43 Cost Amount (Actual)","41 Source Type",$C$5,"5 Source no.",$C1685,"4 Item Ledger Entry Type",$C$4,"2 Item No.","@@"&amp;$F1685,"3 Posting Date",Z$9)</t>
  </si>
  <si>
    <t>=Z1685-AB1685</t>
  </si>
  <si>
    <t>=IF(Z1685&lt;&gt;0,AC1685/Z1685,"")</t>
  </si>
  <si>
    <t>=NL("Sum","5802 Value Entry","150 Sales Amount (Expected)","41 Source Type",$C$5,"5 Source No.",$C1686,"4 Item Ledger Entry Type",$C$4,"2 Item No.","@@"&amp;$F1686,"3 Posting Date",J$9)+NL("Sum","5802 Value Entry","17 Sales Amount (Actual)","41 Source Type",$C$5,"5 Source no.",$C1686,"4 Item Ledger Entry Type",$C$4,"2 Item No.","@@"&amp;$F1686,"3 Posting Date",J$9)</t>
  </si>
  <si>
    <t>=-NL("Sum","5802 Value Entry","151 Cost Amount (Expected)","41 Source Type",$C$5,"5 Source No.",$C1686,"4 Item Ledger Entry Type",$C$4,"2 Item No.","@@"&amp;$F1686,"3 Posting Date",J$9)-NL("Sum","5802 Value Entry","43 Cost Amount (Actual)","41 Source Type",$C$5,"5 Source no.",$C1686,"4 Item Ledger Entry Type",$C$4,"2 Item No.","@@"&amp;$F1686,"3 Posting Date",J$9)</t>
  </si>
  <si>
    <t>=NL("Sum","5802 Value Entry","150 Sales Amount (Expected)","41 Source Type",$C$5,"5 Source No.",$C1686,"4 Item Ledger Entry Type",$C$4,"2 Item No.","@@"&amp;$F1686,"3 Posting Date",O$9)+NL("Sum","5802 Value Entry","17 Sales Amount (Actual)","41 Source Type",$C$5,"5 Source no.",$C1686,"4 Item Ledger Entry Type",$C$4,"2 Item No.","@@"&amp;$F1686,"3 Posting Date",O$9)</t>
  </si>
  <si>
    <t>=-NL("Sum","5802 Value Entry","151 Cost Amount (Expected)","41 Source Type",$C$5,"5 Source No.",$C1686,"4 Item Ledger Entry Type",$C$4,"2 Item No.","@@"&amp;$F1686,"3 Posting Date",O$9)-NL("Sum","5802 Value Entry","43 Cost Amount (Actual)","41 Source Type",$C$5,"5 Source no.",$C1686,"4 Item Ledger Entry Type",$C$4,"2 Item No.","@@"&amp;$F1686,"3 Posting Date",O$9)</t>
  </si>
  <si>
    <t>=NL("Sum","5802 Value Entry","150 Sales Amount (Expected)","41 Source Type",$C$5,"5 Source No.",$C1686,"4 Item Ledger Entry Type",$C$4,"2 Item No.","@@"&amp;$F1686,"3 Posting Date",U$9)+NL("Sum","5802 Value Entry","17 Sales Amount (Actual)","41 Source Type",$C$5,"5 Source no.",$C1686,"4 Item Ledger Entry Type",$C$4,"2 Item No.","@@"&amp;$F1686,"3 Posting Date",U$9)</t>
  </si>
  <si>
    <t>=-NL("Sum","5802 Value Entry","151 Cost Amount (Expected)","41 Source Type",$C$5,"5 Source No.",$C1686,"4 Item Ledger Entry Type",$C$4,"2 Item No.","@@"&amp;$F1686,"3 Posting Date",U$9)-NL("Sum","5802 Value Entry","43 Cost Amount (Actual)","41 Source Type",$C$5,"5 Source no.",$C1686,"4 Item Ledger Entry Type",$C$4,"2 Item No.","@@"&amp;$F1686,"3 Posting Date",U$9)</t>
  </si>
  <si>
    <t>=NL("Sum","5802 Value Entry","150 Sales Amount (Expected)","41 Source Type",$C$5,"5 Source No.",$C1686,"4 Item Ledger Entry Type",$C$4,"2 Item No.","@@"&amp;$F1686,"3 Posting Date",Z$9)+NL("Sum","5802 Value Entry","17 Sales Amount (Actual)","41 Source Type",$C$5,"5 Source no.",$C1686,"4 Item Ledger Entry Type",$C$4,"2 Item No.","@@"&amp;$F1686,"3 Posting Date",Z$9)</t>
  </si>
  <si>
    <t>=-NL("Sum","5802 Value Entry","151 Cost Amount (Expected)","41 Source Type",$C$5,"5 Source No.",$C1686,"4 Item Ledger Entry Type",$C$4,"2 Item No.","@@"&amp;$F1686,"3 Posting Date",Z$9)-NL("Sum","5802 Value Entry","43 Cost Amount (Actual)","41 Source Type",$C$5,"5 Source no.",$C1686,"4 Item Ledger Entry Type",$C$4,"2 Item No.","@@"&amp;$F1686,"3 Posting Date",Z$9)</t>
  </si>
  <si>
    <t>=C1686</t>
  </si>
  <si>
    <t>=NL("Sum","5802 Value Entry","150 Sales Amount (Expected)","41 Source Type",$C$5,"5 Source No.",$C1687,"4 Item Ledger Entry Type",$C$4,"2 Item No.","@@"&amp;$F1687,"3 Posting Date",J$9)+NL("Sum","5802 Value Entry","17 Sales Amount (Actual)","41 Source Type",$C$5,"5 Source no.",$C1687,"4 Item Ledger Entry Type",$C$4,"2 Item No.","@@"&amp;$F1687,"3 Posting Date",J$9)</t>
  </si>
  <si>
    <t>=-NL("Sum","5802 Value Entry","151 Cost Amount (Expected)","41 Source Type",$C$5,"5 Source No.",$C1687,"4 Item Ledger Entry Type",$C$4,"2 Item No.","@@"&amp;$F1687,"3 Posting Date",J$9)-NL("Sum","5802 Value Entry","43 Cost Amount (Actual)","41 Source Type",$C$5,"5 Source no.",$C1687,"4 Item Ledger Entry Type",$C$4,"2 Item No.","@@"&amp;$F1687,"3 Posting Date",J$9)</t>
  </si>
  <si>
    <t>=J1687-L1687</t>
  </si>
  <si>
    <t>=IF(J1687&lt;&gt;0,M1687/J1687,"")</t>
  </si>
  <si>
    <t>=NL("Sum","5802 Value Entry","150 Sales Amount (Expected)","41 Source Type",$C$5,"5 Source No.",$C1687,"4 Item Ledger Entry Type",$C$4,"2 Item No.","@@"&amp;$F1687,"3 Posting Date",O$9)+NL("Sum","5802 Value Entry","17 Sales Amount (Actual)","41 Source Type",$C$5,"5 Source no.",$C1687,"4 Item Ledger Entry Type",$C$4,"2 Item No.","@@"&amp;$F1687,"3 Posting Date",O$9)</t>
  </si>
  <si>
    <t>=-NL("Sum","5802 Value Entry","151 Cost Amount (Expected)","41 Source Type",$C$5,"5 Source No.",$C1687,"4 Item Ledger Entry Type",$C$4,"2 Item No.","@@"&amp;$F1687,"3 Posting Date",O$9)-NL("Sum","5802 Value Entry","43 Cost Amount (Actual)","41 Source Type",$C$5,"5 Source no.",$C1687,"4 Item Ledger Entry Type",$C$4,"2 Item No.","@@"&amp;$F1687,"3 Posting Date",O$9)</t>
  </si>
  <si>
    <t>=O1687-Q1687</t>
  </si>
  <si>
    <t>=IF(O1687&lt;&gt;0,R1687/O1687,"")</t>
  </si>
  <si>
    <t>=NL("Sum","5802 Value Entry","150 Sales Amount (Expected)","41 Source Type",$C$5,"5 Source No.",$C1687,"4 Item Ledger Entry Type",$C$4,"2 Item No.","@@"&amp;$F1687,"3 Posting Date",U$9)+NL("Sum","5802 Value Entry","17 Sales Amount (Actual)","41 Source Type",$C$5,"5 Source no.",$C1687,"4 Item Ledger Entry Type",$C$4,"2 Item No.","@@"&amp;$F1687,"3 Posting Date",U$9)</t>
  </si>
  <si>
    <t>=-NL("Sum","5802 Value Entry","151 Cost Amount (Expected)","41 Source Type",$C$5,"5 Source No.",$C1687,"4 Item Ledger Entry Type",$C$4,"2 Item No.","@@"&amp;$F1687,"3 Posting Date",U$9)-NL("Sum","5802 Value Entry","43 Cost Amount (Actual)","41 Source Type",$C$5,"5 Source no.",$C1687,"4 Item Ledger Entry Type",$C$4,"2 Item No.","@@"&amp;$F1687,"3 Posting Date",U$9)</t>
  </si>
  <si>
    <t>=U1687-W1687</t>
  </si>
  <si>
    <t>=IF(U1687&lt;&gt;0,X1687/U1687,"")</t>
  </si>
  <si>
    <t>=NL("Sum","5802 Value Entry","150 Sales Amount (Expected)","41 Source Type",$C$5,"5 Source No.",$C1687,"4 Item Ledger Entry Type",$C$4,"2 Item No.","@@"&amp;$F1687,"3 Posting Date",Z$9)+NL("Sum","5802 Value Entry","17 Sales Amount (Actual)","41 Source Type",$C$5,"5 Source no.",$C1687,"4 Item Ledger Entry Type",$C$4,"2 Item No.","@@"&amp;$F1687,"3 Posting Date",Z$9)</t>
  </si>
  <si>
    <t>=-NL("Sum","5802 Value Entry","151 Cost Amount (Expected)","41 Source Type",$C$5,"5 Source No.",$C1687,"4 Item Ledger Entry Type",$C$4,"2 Item No.","@@"&amp;$F1687,"3 Posting Date",Z$9)-NL("Sum","5802 Value Entry","43 Cost Amount (Actual)","41 Source Type",$C$5,"5 Source no.",$C1687,"4 Item Ledger Entry Type",$C$4,"2 Item No.","@@"&amp;$F1687,"3 Posting Date",Z$9)</t>
  </si>
  <si>
    <t>=Z1687-AB1687</t>
  </si>
  <si>
    <t>=IF(Z1687&lt;&gt;0,AC1687/Z1687,"")</t>
  </si>
  <si>
    <t>=C1689&amp;" TOTAL:"</t>
  </si>
  <si>
    <t>=SUBTOTAL(9,J1639:J1688)</t>
  </si>
  <si>
    <t>=SUBTOTAL(9,K1639:K1688)</t>
  </si>
  <si>
    <t>=SUBTOTAL(9,L1639:L1688)</t>
  </si>
  <si>
    <t>=J1689-L1689</t>
  </si>
  <si>
    <t>=IF(J1689&lt;&gt;0,M1689/J1689,"")</t>
  </si>
  <si>
    <t>=SUBTOTAL(9,O1639:O1688)</t>
  </si>
  <si>
    <t>=SUBTOTAL(9,P1639:P1688)</t>
  </si>
  <si>
    <t>=SUBTOTAL(9,Q1639:Q1688)</t>
  </si>
  <si>
    <t>=O1689-Q1689</t>
  </si>
  <si>
    <t>=IF(O1689&lt;&gt;0,R1689/O1689,"")</t>
  </si>
  <si>
    <t>=SUBTOTAL(9,U1639:U1688)</t>
  </si>
  <si>
    <t>=SUBTOTAL(9,V1639:V1688)</t>
  </si>
  <si>
    <t>=SUBTOTAL(9,W1639:W1688)</t>
  </si>
  <si>
    <t>=U1689-W1689</t>
  </si>
  <si>
    <t>=IF(U1689&lt;&gt;0,X1689/U1689,"")</t>
  </si>
  <si>
    <t>=SUBTOTAL(9,Z1639:Z1688)</t>
  </si>
  <si>
    <t>=SUBTOTAL(9,AA1639:AA1688)</t>
  </si>
  <si>
    <t>=SUBTOTAL(9,AB1639:AB1688)</t>
  </si>
  <si>
    <t>=Z1689-AB1689</t>
  </si>
  <si>
    <t>=IF(Z1689&lt;&gt;0,AC1689/Z1689,"")</t>
  </si>
  <si>
    <t>=E1691</t>
  </si>
  <si>
    <t>=NL(,"18 Customer","2 Name","1 No.",$E1691)</t>
  </si>
  <si>
    <t>=NL("Rows","5802 Value Entry","2 Item No.","4 Item Ledger Entry Type",$C$4,"41 Source Type",$C$5,"5 Source No.",$C1693,"Item No.",$C$7,"3 Posting Date",$C$10)</t>
  </si>
  <si>
    <t>=C1711</t>
  </si>
  <si>
    <t>=NL("Sum","5802 Value Entry","150 Sales Amount (Expected)","41 Source Type",$C$5,"5 Source No.",$C1712,"4 Item Ledger Entry Type",$C$4,"2 Item No.","@@"&amp;$F1712,"3 Posting Date",J$9)+NL("Sum","5802 Value Entry","17 Sales Amount (Actual)","41 Source Type",$C$5,"5 Source no.",$C1712,"4 Item Ledger Entry Type",$C$4,"2 Item No.","@@"&amp;$F1712,"3 Posting Date",J$9)</t>
  </si>
  <si>
    <t>=-NL("Sum","5802 Value Entry","151 Cost Amount (Expected)","41 Source Type",$C$5,"5 Source No.",$C1712,"4 Item Ledger Entry Type",$C$4,"2 Item No.","@@"&amp;$F1712,"3 Posting Date",J$9)-NL("Sum","5802 Value Entry","43 Cost Amount (Actual)","41 Source Type",$C$5,"5 Source no.",$C1712,"4 Item Ledger Entry Type",$C$4,"2 Item No.","@@"&amp;$F1712,"3 Posting Date",J$9)</t>
  </si>
  <si>
    <t>=J1712-L1712</t>
  </si>
  <si>
    <t>=IF(J1712&lt;&gt;0,M1712/J1712,"")</t>
  </si>
  <si>
    <t>=NL("Sum","5802 Value Entry","150 Sales Amount (Expected)","41 Source Type",$C$5,"5 Source No.",$C1712,"4 Item Ledger Entry Type",$C$4,"2 Item No.","@@"&amp;$F1712,"3 Posting Date",O$9)+NL("Sum","5802 Value Entry","17 Sales Amount (Actual)","41 Source Type",$C$5,"5 Source no.",$C1712,"4 Item Ledger Entry Type",$C$4,"2 Item No.","@@"&amp;$F1712,"3 Posting Date",O$9)</t>
  </si>
  <si>
    <t>=-NL("Sum","5802 Value Entry","151 Cost Amount (Expected)","41 Source Type",$C$5,"5 Source No.",$C1712,"4 Item Ledger Entry Type",$C$4,"2 Item No.","@@"&amp;$F1712,"3 Posting Date",O$9)-NL("Sum","5802 Value Entry","43 Cost Amount (Actual)","41 Source Type",$C$5,"5 Source no.",$C1712,"4 Item Ledger Entry Type",$C$4,"2 Item No.","@@"&amp;$F1712,"3 Posting Date",O$9)</t>
  </si>
  <si>
    <t>=O1712-Q1712</t>
  </si>
  <si>
    <t>=IF(O1712&lt;&gt;0,R1712/O1712,"")</t>
  </si>
  <si>
    <t>=NL("Sum","5802 Value Entry","150 Sales Amount (Expected)","41 Source Type",$C$5,"5 Source No.",$C1712,"4 Item Ledger Entry Type",$C$4,"2 Item No.","@@"&amp;$F1712,"3 Posting Date",U$9)+NL("Sum","5802 Value Entry","17 Sales Amount (Actual)","41 Source Type",$C$5,"5 Source no.",$C1712,"4 Item Ledger Entry Type",$C$4,"2 Item No.","@@"&amp;$F1712,"3 Posting Date",U$9)</t>
  </si>
  <si>
    <t>=-NL("Sum","5802 Value Entry","151 Cost Amount (Expected)","41 Source Type",$C$5,"5 Source No.",$C1712,"4 Item Ledger Entry Type",$C$4,"2 Item No.","@@"&amp;$F1712,"3 Posting Date",U$9)-NL("Sum","5802 Value Entry","43 Cost Amount (Actual)","41 Source Type",$C$5,"5 Source no.",$C1712,"4 Item Ledger Entry Type",$C$4,"2 Item No.","@@"&amp;$F1712,"3 Posting Date",U$9)</t>
  </si>
  <si>
    <t>=U1712-W1712</t>
  </si>
  <si>
    <t>=IF(U1712&lt;&gt;0,X1712/U1712,"")</t>
  </si>
  <si>
    <t>=NL("Sum","5802 Value Entry","150 Sales Amount (Expected)","41 Source Type",$C$5,"5 Source No.",$C1712,"4 Item Ledger Entry Type",$C$4,"2 Item No.","@@"&amp;$F1712,"3 Posting Date",Z$9)+NL("Sum","5802 Value Entry","17 Sales Amount (Actual)","41 Source Type",$C$5,"5 Source no.",$C1712,"4 Item Ledger Entry Type",$C$4,"2 Item No.","@@"&amp;$F1712,"3 Posting Date",Z$9)</t>
  </si>
  <si>
    <t>=-NL("Sum","5802 Value Entry","151 Cost Amount (Expected)","41 Source Type",$C$5,"5 Source No.",$C1712,"4 Item Ledger Entry Type",$C$4,"2 Item No.","@@"&amp;$F1712,"3 Posting Date",Z$9)-NL("Sum","5802 Value Entry","43 Cost Amount (Actual)","41 Source Type",$C$5,"5 Source no.",$C1712,"4 Item Ledger Entry Type",$C$4,"2 Item No.","@@"&amp;$F1712,"3 Posting Date",Z$9)</t>
  </si>
  <si>
    <t>=Z1712-AB1712</t>
  </si>
  <si>
    <t>=IF(Z1712&lt;&gt;0,AC1712/Z1712,"")</t>
  </si>
  <si>
    <t>=NL("Sum","5802 Value Entry","150 Sales Amount (Expected)","41 Source Type",$C$5,"5 Source No.",$C1713,"4 Item Ledger Entry Type",$C$4,"2 Item No.","@@"&amp;$F1713,"3 Posting Date",J$9)+NL("Sum","5802 Value Entry","17 Sales Amount (Actual)","41 Source Type",$C$5,"5 Source no.",$C1713,"4 Item Ledger Entry Type",$C$4,"2 Item No.","@@"&amp;$F1713,"3 Posting Date",J$9)</t>
  </si>
  <si>
    <t>=-NL("Sum","5802 Value Entry","151 Cost Amount (Expected)","41 Source Type",$C$5,"5 Source No.",$C1713,"4 Item Ledger Entry Type",$C$4,"2 Item No.","@@"&amp;$F1713,"3 Posting Date",J$9)-NL("Sum","5802 Value Entry","43 Cost Amount (Actual)","41 Source Type",$C$5,"5 Source no.",$C1713,"4 Item Ledger Entry Type",$C$4,"2 Item No.","@@"&amp;$F1713,"3 Posting Date",J$9)</t>
  </si>
  <si>
    <t>=NL("Sum","5802 Value Entry","150 Sales Amount (Expected)","41 Source Type",$C$5,"5 Source No.",$C1713,"4 Item Ledger Entry Type",$C$4,"2 Item No.","@@"&amp;$F1713,"3 Posting Date",O$9)+NL("Sum","5802 Value Entry","17 Sales Amount (Actual)","41 Source Type",$C$5,"5 Source no.",$C1713,"4 Item Ledger Entry Type",$C$4,"2 Item No.","@@"&amp;$F1713,"3 Posting Date",O$9)</t>
  </si>
  <si>
    <t>=-NL("Sum","5802 Value Entry","151 Cost Amount (Expected)","41 Source Type",$C$5,"5 Source No.",$C1713,"4 Item Ledger Entry Type",$C$4,"2 Item No.","@@"&amp;$F1713,"3 Posting Date",O$9)-NL("Sum","5802 Value Entry","43 Cost Amount (Actual)","41 Source Type",$C$5,"5 Source no.",$C1713,"4 Item Ledger Entry Type",$C$4,"2 Item No.","@@"&amp;$F1713,"3 Posting Date",O$9)</t>
  </si>
  <si>
    <t>=NL("Sum","5802 Value Entry","150 Sales Amount (Expected)","41 Source Type",$C$5,"5 Source No.",$C1713,"4 Item Ledger Entry Type",$C$4,"2 Item No.","@@"&amp;$F1713,"3 Posting Date",U$9)+NL("Sum","5802 Value Entry","17 Sales Amount (Actual)","41 Source Type",$C$5,"5 Source no.",$C1713,"4 Item Ledger Entry Type",$C$4,"2 Item No.","@@"&amp;$F1713,"3 Posting Date",U$9)</t>
  </si>
  <si>
    <t>=-NL("Sum","5802 Value Entry","151 Cost Amount (Expected)","41 Source Type",$C$5,"5 Source No.",$C1713,"4 Item Ledger Entry Type",$C$4,"2 Item No.","@@"&amp;$F1713,"3 Posting Date",U$9)-NL("Sum","5802 Value Entry","43 Cost Amount (Actual)","41 Source Type",$C$5,"5 Source no.",$C1713,"4 Item Ledger Entry Type",$C$4,"2 Item No.","@@"&amp;$F1713,"3 Posting Date",U$9)</t>
  </si>
  <si>
    <t>=NL("Sum","5802 Value Entry","150 Sales Amount (Expected)","41 Source Type",$C$5,"5 Source No.",$C1713,"4 Item Ledger Entry Type",$C$4,"2 Item No.","@@"&amp;$F1713,"3 Posting Date",Z$9)+NL("Sum","5802 Value Entry","17 Sales Amount (Actual)","41 Source Type",$C$5,"5 Source no.",$C1713,"4 Item Ledger Entry Type",$C$4,"2 Item No.","@@"&amp;$F1713,"3 Posting Date",Z$9)</t>
  </si>
  <si>
    <t>=-NL("Sum","5802 Value Entry","151 Cost Amount (Expected)","41 Source Type",$C$5,"5 Source No.",$C1713,"4 Item Ledger Entry Type",$C$4,"2 Item No.","@@"&amp;$F1713,"3 Posting Date",Z$9)-NL("Sum","5802 Value Entry","43 Cost Amount (Actual)","41 Source Type",$C$5,"5 Source no.",$C1713,"4 Item Ledger Entry Type",$C$4,"2 Item No.","@@"&amp;$F1713,"3 Posting Date",Z$9)</t>
  </si>
  <si>
    <t>=C1713</t>
  </si>
  <si>
    <t>=NL("Sum","5802 Value Entry","150 Sales Amount (Expected)","41 Source Type",$C$5,"5 Source No.",$C1714,"4 Item Ledger Entry Type",$C$4,"2 Item No.","@@"&amp;$F1714,"3 Posting Date",J$9)+NL("Sum","5802 Value Entry","17 Sales Amount (Actual)","41 Source Type",$C$5,"5 Source no.",$C1714,"4 Item Ledger Entry Type",$C$4,"2 Item No.","@@"&amp;$F1714,"3 Posting Date",J$9)</t>
  </si>
  <si>
    <t>=-NL("Sum","5802 Value Entry","151 Cost Amount (Expected)","41 Source Type",$C$5,"5 Source No.",$C1714,"4 Item Ledger Entry Type",$C$4,"2 Item No.","@@"&amp;$F1714,"3 Posting Date",J$9)-NL("Sum","5802 Value Entry","43 Cost Amount (Actual)","41 Source Type",$C$5,"5 Source no.",$C1714,"4 Item Ledger Entry Type",$C$4,"2 Item No.","@@"&amp;$F1714,"3 Posting Date",J$9)</t>
  </si>
  <si>
    <t>=J1714-L1714</t>
  </si>
  <si>
    <t>=IF(J1714&lt;&gt;0,M1714/J1714,"")</t>
  </si>
  <si>
    <t>=NL("Sum","5802 Value Entry","150 Sales Amount (Expected)","41 Source Type",$C$5,"5 Source No.",$C1714,"4 Item Ledger Entry Type",$C$4,"2 Item No.","@@"&amp;$F1714,"3 Posting Date",O$9)+NL("Sum","5802 Value Entry","17 Sales Amount (Actual)","41 Source Type",$C$5,"5 Source no.",$C1714,"4 Item Ledger Entry Type",$C$4,"2 Item No.","@@"&amp;$F1714,"3 Posting Date",O$9)</t>
  </si>
  <si>
    <t>=-NL("Sum","5802 Value Entry","151 Cost Amount (Expected)","41 Source Type",$C$5,"5 Source No.",$C1714,"4 Item Ledger Entry Type",$C$4,"2 Item No.","@@"&amp;$F1714,"3 Posting Date",O$9)-NL("Sum","5802 Value Entry","43 Cost Amount (Actual)","41 Source Type",$C$5,"5 Source no.",$C1714,"4 Item Ledger Entry Type",$C$4,"2 Item No.","@@"&amp;$F1714,"3 Posting Date",O$9)</t>
  </si>
  <si>
    <t>=O1714-Q1714</t>
  </si>
  <si>
    <t>=IF(O1714&lt;&gt;0,R1714/O1714,"")</t>
  </si>
  <si>
    <t>=NL("Sum","5802 Value Entry","150 Sales Amount (Expected)","41 Source Type",$C$5,"5 Source No.",$C1714,"4 Item Ledger Entry Type",$C$4,"2 Item No.","@@"&amp;$F1714,"3 Posting Date",U$9)+NL("Sum","5802 Value Entry","17 Sales Amount (Actual)","41 Source Type",$C$5,"5 Source no.",$C1714,"4 Item Ledger Entry Type",$C$4,"2 Item No.","@@"&amp;$F1714,"3 Posting Date",U$9)</t>
  </si>
  <si>
    <t>=-NL("Sum","5802 Value Entry","151 Cost Amount (Expected)","41 Source Type",$C$5,"5 Source No.",$C1714,"4 Item Ledger Entry Type",$C$4,"2 Item No.","@@"&amp;$F1714,"3 Posting Date",U$9)-NL("Sum","5802 Value Entry","43 Cost Amount (Actual)","41 Source Type",$C$5,"5 Source no.",$C1714,"4 Item Ledger Entry Type",$C$4,"2 Item No.","@@"&amp;$F1714,"3 Posting Date",U$9)</t>
  </si>
  <si>
    <t>=U1714-W1714</t>
  </si>
  <si>
    <t>=IF(U1714&lt;&gt;0,X1714/U1714,"")</t>
  </si>
  <si>
    <t>=NL("Sum","5802 Value Entry","150 Sales Amount (Expected)","41 Source Type",$C$5,"5 Source No.",$C1714,"4 Item Ledger Entry Type",$C$4,"2 Item No.","@@"&amp;$F1714,"3 Posting Date",Z$9)+NL("Sum","5802 Value Entry","17 Sales Amount (Actual)","41 Source Type",$C$5,"5 Source no.",$C1714,"4 Item Ledger Entry Type",$C$4,"2 Item No.","@@"&amp;$F1714,"3 Posting Date",Z$9)</t>
  </si>
  <si>
    <t>=-NL("Sum","5802 Value Entry","151 Cost Amount (Expected)","41 Source Type",$C$5,"5 Source No.",$C1714,"4 Item Ledger Entry Type",$C$4,"2 Item No.","@@"&amp;$F1714,"3 Posting Date",Z$9)-NL("Sum","5802 Value Entry","43 Cost Amount (Actual)","41 Source Type",$C$5,"5 Source no.",$C1714,"4 Item Ledger Entry Type",$C$4,"2 Item No.","@@"&amp;$F1714,"3 Posting Date",Z$9)</t>
  </si>
  <si>
    <t>=Z1714-AB1714</t>
  </si>
  <si>
    <t>=IF(Z1714&lt;&gt;0,AC1714/Z1714,"")</t>
  </si>
  <si>
    <t>=C1714</t>
  </si>
  <si>
    <t>=NL("Sum","5802 Value Entry","150 Sales Amount (Expected)","41 Source Type",$C$5,"5 Source No.",$C1715,"4 Item Ledger Entry Type",$C$4,"2 Item No.","@@"&amp;$F1715,"3 Posting Date",J$9)+NL("Sum","5802 Value Entry","17 Sales Amount (Actual)","41 Source Type",$C$5,"5 Source no.",$C1715,"4 Item Ledger Entry Type",$C$4,"2 Item No.","@@"&amp;$F1715,"3 Posting Date",J$9)</t>
  </si>
  <si>
    <t>=-NL("Sum","5802 Value Entry","151 Cost Amount (Expected)","41 Source Type",$C$5,"5 Source No.",$C1715,"4 Item Ledger Entry Type",$C$4,"2 Item No.","@@"&amp;$F1715,"3 Posting Date",J$9)-NL("Sum","5802 Value Entry","43 Cost Amount (Actual)","41 Source Type",$C$5,"5 Source no.",$C1715,"4 Item Ledger Entry Type",$C$4,"2 Item No.","@@"&amp;$F1715,"3 Posting Date",J$9)</t>
  </si>
  <si>
    <t>=J1715-L1715</t>
  </si>
  <si>
    <t>=IF(J1715&lt;&gt;0,M1715/J1715,"")</t>
  </si>
  <si>
    <t>=NL("Sum","5802 Value Entry","150 Sales Amount (Expected)","41 Source Type",$C$5,"5 Source No.",$C1715,"4 Item Ledger Entry Type",$C$4,"2 Item No.","@@"&amp;$F1715,"3 Posting Date",O$9)+NL("Sum","5802 Value Entry","17 Sales Amount (Actual)","41 Source Type",$C$5,"5 Source no.",$C1715,"4 Item Ledger Entry Type",$C$4,"2 Item No.","@@"&amp;$F1715,"3 Posting Date",O$9)</t>
  </si>
  <si>
    <t>=-NL("Sum","5802 Value Entry","151 Cost Amount (Expected)","41 Source Type",$C$5,"5 Source No.",$C1715,"4 Item Ledger Entry Type",$C$4,"2 Item No.","@@"&amp;$F1715,"3 Posting Date",O$9)-NL("Sum","5802 Value Entry","43 Cost Amount (Actual)","41 Source Type",$C$5,"5 Source no.",$C1715,"4 Item Ledger Entry Type",$C$4,"2 Item No.","@@"&amp;$F1715,"3 Posting Date",O$9)</t>
  </si>
  <si>
    <t>=O1715-Q1715</t>
  </si>
  <si>
    <t>=IF(O1715&lt;&gt;0,R1715/O1715,"")</t>
  </si>
  <si>
    <t>=NL("Sum","5802 Value Entry","150 Sales Amount (Expected)","41 Source Type",$C$5,"5 Source No.",$C1715,"4 Item Ledger Entry Type",$C$4,"2 Item No.","@@"&amp;$F1715,"3 Posting Date",U$9)+NL("Sum","5802 Value Entry","17 Sales Amount (Actual)","41 Source Type",$C$5,"5 Source no.",$C1715,"4 Item Ledger Entry Type",$C$4,"2 Item No.","@@"&amp;$F1715,"3 Posting Date",U$9)</t>
  </si>
  <si>
    <t>=-NL("Sum","5802 Value Entry","151 Cost Amount (Expected)","41 Source Type",$C$5,"5 Source No.",$C1715,"4 Item Ledger Entry Type",$C$4,"2 Item No.","@@"&amp;$F1715,"3 Posting Date",U$9)-NL("Sum","5802 Value Entry","43 Cost Amount (Actual)","41 Source Type",$C$5,"5 Source no.",$C1715,"4 Item Ledger Entry Type",$C$4,"2 Item No.","@@"&amp;$F1715,"3 Posting Date",U$9)</t>
  </si>
  <si>
    <t>=U1715-W1715</t>
  </si>
  <si>
    <t>=IF(U1715&lt;&gt;0,X1715/U1715,"")</t>
  </si>
  <si>
    <t>=NL("Sum","5802 Value Entry","150 Sales Amount (Expected)","41 Source Type",$C$5,"5 Source No.",$C1715,"4 Item Ledger Entry Type",$C$4,"2 Item No.","@@"&amp;$F1715,"3 Posting Date",Z$9)+NL("Sum","5802 Value Entry","17 Sales Amount (Actual)","41 Source Type",$C$5,"5 Source no.",$C1715,"4 Item Ledger Entry Type",$C$4,"2 Item No.","@@"&amp;$F1715,"3 Posting Date",Z$9)</t>
  </si>
  <si>
    <t>=-NL("Sum","5802 Value Entry","151 Cost Amount (Expected)","41 Source Type",$C$5,"5 Source No.",$C1715,"4 Item Ledger Entry Type",$C$4,"2 Item No.","@@"&amp;$F1715,"3 Posting Date",Z$9)-NL("Sum","5802 Value Entry","43 Cost Amount (Actual)","41 Source Type",$C$5,"5 Source no.",$C1715,"4 Item Ledger Entry Type",$C$4,"2 Item No.","@@"&amp;$F1715,"3 Posting Date",Z$9)</t>
  </si>
  <si>
    <t>=Z1715-AB1715</t>
  </si>
  <si>
    <t>=IF(Z1715&lt;&gt;0,AC1715/Z1715,"")</t>
  </si>
  <si>
    <t>=NL("Sum","5802 Value Entry","150 Sales Amount (Expected)","41 Source Type",$C$5,"5 Source No.",$C1716,"4 Item Ledger Entry Type",$C$4,"2 Item No.","@@"&amp;$F1716,"3 Posting Date",J$9)+NL("Sum","5802 Value Entry","17 Sales Amount (Actual)","41 Source Type",$C$5,"5 Source no.",$C1716,"4 Item Ledger Entry Type",$C$4,"2 Item No.","@@"&amp;$F1716,"3 Posting Date",J$9)</t>
  </si>
  <si>
    <t>=-NL("Sum","5802 Value Entry","151 Cost Amount (Expected)","41 Source Type",$C$5,"5 Source No.",$C1716,"4 Item Ledger Entry Type",$C$4,"2 Item No.","@@"&amp;$F1716,"3 Posting Date",J$9)-NL("Sum","5802 Value Entry","43 Cost Amount (Actual)","41 Source Type",$C$5,"5 Source no.",$C1716,"4 Item Ledger Entry Type",$C$4,"2 Item No.","@@"&amp;$F1716,"3 Posting Date",J$9)</t>
  </si>
  <si>
    <t>=J1716-L1716</t>
  </si>
  <si>
    <t>=IF(J1716&lt;&gt;0,M1716/J1716,"")</t>
  </si>
  <si>
    <t>=NL("Sum","5802 Value Entry","150 Sales Amount (Expected)","41 Source Type",$C$5,"5 Source No.",$C1716,"4 Item Ledger Entry Type",$C$4,"2 Item No.","@@"&amp;$F1716,"3 Posting Date",O$9)+NL("Sum","5802 Value Entry","17 Sales Amount (Actual)","41 Source Type",$C$5,"5 Source no.",$C1716,"4 Item Ledger Entry Type",$C$4,"2 Item No.","@@"&amp;$F1716,"3 Posting Date",O$9)</t>
  </si>
  <si>
    <t>=-NL("Sum","5802 Value Entry","151 Cost Amount (Expected)","41 Source Type",$C$5,"5 Source No.",$C1716,"4 Item Ledger Entry Type",$C$4,"2 Item No.","@@"&amp;$F1716,"3 Posting Date",O$9)-NL("Sum","5802 Value Entry","43 Cost Amount (Actual)","41 Source Type",$C$5,"5 Source no.",$C1716,"4 Item Ledger Entry Type",$C$4,"2 Item No.","@@"&amp;$F1716,"3 Posting Date",O$9)</t>
  </si>
  <si>
    <t>=O1716-Q1716</t>
  </si>
  <si>
    <t>=IF(O1716&lt;&gt;0,R1716/O1716,"")</t>
  </si>
  <si>
    <t>=NL("Sum","5802 Value Entry","150 Sales Amount (Expected)","41 Source Type",$C$5,"5 Source No.",$C1716,"4 Item Ledger Entry Type",$C$4,"2 Item No.","@@"&amp;$F1716,"3 Posting Date",U$9)+NL("Sum","5802 Value Entry","17 Sales Amount (Actual)","41 Source Type",$C$5,"5 Source no.",$C1716,"4 Item Ledger Entry Type",$C$4,"2 Item No.","@@"&amp;$F1716,"3 Posting Date",U$9)</t>
  </si>
  <si>
    <t>=-NL("Sum","5802 Value Entry","151 Cost Amount (Expected)","41 Source Type",$C$5,"5 Source No.",$C1716,"4 Item Ledger Entry Type",$C$4,"2 Item No.","@@"&amp;$F1716,"3 Posting Date",U$9)-NL("Sum","5802 Value Entry","43 Cost Amount (Actual)","41 Source Type",$C$5,"5 Source no.",$C1716,"4 Item Ledger Entry Type",$C$4,"2 Item No.","@@"&amp;$F1716,"3 Posting Date",U$9)</t>
  </si>
  <si>
    <t>=U1716-W1716</t>
  </si>
  <si>
    <t>=IF(U1716&lt;&gt;0,X1716/U1716,"")</t>
  </si>
  <si>
    <t>=NL("Sum","5802 Value Entry","150 Sales Amount (Expected)","41 Source Type",$C$5,"5 Source No.",$C1716,"4 Item Ledger Entry Type",$C$4,"2 Item No.","@@"&amp;$F1716,"3 Posting Date",Z$9)+NL("Sum","5802 Value Entry","17 Sales Amount (Actual)","41 Source Type",$C$5,"5 Source no.",$C1716,"4 Item Ledger Entry Type",$C$4,"2 Item No.","@@"&amp;$F1716,"3 Posting Date",Z$9)</t>
  </si>
  <si>
    <t>=-NL("Sum","5802 Value Entry","151 Cost Amount (Expected)","41 Source Type",$C$5,"5 Source No.",$C1716,"4 Item Ledger Entry Type",$C$4,"2 Item No.","@@"&amp;$F1716,"3 Posting Date",Z$9)-NL("Sum","5802 Value Entry","43 Cost Amount (Actual)","41 Source Type",$C$5,"5 Source no.",$C1716,"4 Item Ledger Entry Type",$C$4,"2 Item No.","@@"&amp;$F1716,"3 Posting Date",Z$9)</t>
  </si>
  <si>
    <t>=Z1716-AB1716</t>
  </si>
  <si>
    <t>=IF(Z1716&lt;&gt;0,AC1716/Z1716,"")</t>
  </si>
  <si>
    <t>=C1724&amp;" TOTAL:"</t>
  </si>
  <si>
    <t>=SUBTOTAL(9,J1692:J1723)</t>
  </si>
  <si>
    <t>=SUBTOTAL(9,K1692:K1723)</t>
  </si>
  <si>
    <t>=SUBTOTAL(9,L1692:L1723)</t>
  </si>
  <si>
    <t>=SUBTOTAL(9,O1692:O1723)</t>
  </si>
  <si>
    <t>=SUBTOTAL(9,P1692:P1723)</t>
  </si>
  <si>
    <t>=SUBTOTAL(9,Q1692:Q1723)</t>
  </si>
  <si>
    <t>=SUBTOTAL(9,U1692:U1723)</t>
  </si>
  <si>
    <t>=SUBTOTAL(9,V1692:V1723)</t>
  </si>
  <si>
    <t>=SUBTOTAL(9,W1692:W1723)</t>
  </si>
  <si>
    <t>=SUBTOTAL(9,Z1692:Z1723)</t>
  </si>
  <si>
    <t>=SUBTOTAL(9,AA1692:AA1723)</t>
  </si>
  <si>
    <t>=SUBTOTAL(9,AB1692:AB1723)</t>
  </si>
  <si>
    <t>=E1726</t>
  </si>
  <si>
    <t>=NL(,"18 Customer","2 Name","1 No.",$E1726)</t>
  </si>
  <si>
    <t>=NL("Rows","5802 Value Entry","2 Item No.","4 Item Ledger Entry Type",$C$4,"41 Source Type",$C$5,"5 Source No.",$C1728,"Item No.",$C$7,"3 Posting Date",$C$10)</t>
  </si>
  <si>
    <t>=C1758&amp;" TOTAL:"</t>
  </si>
  <si>
    <t>=SUBTOTAL(9,J1727:J1757)</t>
  </si>
  <si>
    <t>=SUBTOTAL(9,K1727:K1757)</t>
  </si>
  <si>
    <t>=SUBTOTAL(9,L1727:L1757)</t>
  </si>
  <si>
    <t>=SUBTOTAL(9,O1727:O1757)</t>
  </si>
  <si>
    <t>=SUBTOTAL(9,P1727:P1757)</t>
  </si>
  <si>
    <t>=SUBTOTAL(9,Q1727:Q1757)</t>
  </si>
  <si>
    <t>=SUBTOTAL(9,U1727:U1757)</t>
  </si>
  <si>
    <t>=SUBTOTAL(9,V1727:V1757)</t>
  </si>
  <si>
    <t>=SUBTOTAL(9,W1727:W1757)</t>
  </si>
  <si>
    <t>=SUBTOTAL(9,Z1727:Z1757)</t>
  </si>
  <si>
    <t>=SUBTOTAL(9,AA1727:AA1757)</t>
  </si>
  <si>
    <t>=SUBTOTAL(9,AB1727:AB1757)</t>
  </si>
  <si>
    <t>=E1760</t>
  </si>
  <si>
    <t>=NL(,"18 Customer","2 Name","1 No.",$E1760)</t>
  </si>
  <si>
    <t>=NL("Rows","5802 Value Entry","2 Item No.","4 Item Ledger Entry Type",$C$4,"41 Source Type",$C$5,"5 Source No.",$C1762,"Item No.",$C$7,"3 Posting Date",$C$10)</t>
  </si>
  <si>
    <t>=C1773</t>
  </si>
  <si>
    <t>=NL("Sum","5802 Value Entry","150 Sales Amount (Expected)","41 Source Type",$C$5,"5 Source No.",$C1774,"4 Item Ledger Entry Type",$C$4,"2 Item No.","@@"&amp;$F1774,"3 Posting Date",J$9)+NL("Sum","5802 Value Entry","17 Sales Amount (Actual)","41 Source Type",$C$5,"5 Source no.",$C1774,"4 Item Ledger Entry Type",$C$4,"2 Item No.","@@"&amp;$F1774,"3 Posting Date",J$9)</t>
  </si>
  <si>
    <t>=-NL("Sum","5802 Value Entry","151 Cost Amount (Expected)","41 Source Type",$C$5,"5 Source No.",$C1774,"4 Item Ledger Entry Type",$C$4,"2 Item No.","@@"&amp;$F1774,"3 Posting Date",J$9)-NL("Sum","5802 Value Entry","43 Cost Amount (Actual)","41 Source Type",$C$5,"5 Source no.",$C1774,"4 Item Ledger Entry Type",$C$4,"2 Item No.","@@"&amp;$F1774,"3 Posting Date",J$9)</t>
  </si>
  <si>
    <t>=J1774-L1774</t>
  </si>
  <si>
    <t>=IF(J1774&lt;&gt;0,M1774/J1774,"")</t>
  </si>
  <si>
    <t>=NL("Sum","5802 Value Entry","150 Sales Amount (Expected)","41 Source Type",$C$5,"5 Source No.",$C1774,"4 Item Ledger Entry Type",$C$4,"2 Item No.","@@"&amp;$F1774,"3 Posting Date",O$9)+NL("Sum","5802 Value Entry","17 Sales Amount (Actual)","41 Source Type",$C$5,"5 Source no.",$C1774,"4 Item Ledger Entry Type",$C$4,"2 Item No.","@@"&amp;$F1774,"3 Posting Date",O$9)</t>
  </si>
  <si>
    <t>=-NL("Sum","5802 Value Entry","151 Cost Amount (Expected)","41 Source Type",$C$5,"5 Source No.",$C1774,"4 Item Ledger Entry Type",$C$4,"2 Item No.","@@"&amp;$F1774,"3 Posting Date",O$9)-NL("Sum","5802 Value Entry","43 Cost Amount (Actual)","41 Source Type",$C$5,"5 Source no.",$C1774,"4 Item Ledger Entry Type",$C$4,"2 Item No.","@@"&amp;$F1774,"3 Posting Date",O$9)</t>
  </si>
  <si>
    <t>=O1774-Q1774</t>
  </si>
  <si>
    <t>=IF(O1774&lt;&gt;0,R1774/O1774,"")</t>
  </si>
  <si>
    <t>=NL("Sum","5802 Value Entry","150 Sales Amount (Expected)","41 Source Type",$C$5,"5 Source No.",$C1774,"4 Item Ledger Entry Type",$C$4,"2 Item No.","@@"&amp;$F1774,"3 Posting Date",U$9)+NL("Sum","5802 Value Entry","17 Sales Amount (Actual)","41 Source Type",$C$5,"5 Source no.",$C1774,"4 Item Ledger Entry Type",$C$4,"2 Item No.","@@"&amp;$F1774,"3 Posting Date",U$9)</t>
  </si>
  <si>
    <t>=-NL("Sum","5802 Value Entry","151 Cost Amount (Expected)","41 Source Type",$C$5,"5 Source No.",$C1774,"4 Item Ledger Entry Type",$C$4,"2 Item No.","@@"&amp;$F1774,"3 Posting Date",U$9)-NL("Sum","5802 Value Entry","43 Cost Amount (Actual)","41 Source Type",$C$5,"5 Source no.",$C1774,"4 Item Ledger Entry Type",$C$4,"2 Item No.","@@"&amp;$F1774,"3 Posting Date",U$9)</t>
  </si>
  <si>
    <t>=U1774-W1774</t>
  </si>
  <si>
    <t>=IF(U1774&lt;&gt;0,X1774/U1774,"")</t>
  </si>
  <si>
    <t>=NL("Sum","5802 Value Entry","150 Sales Amount (Expected)","41 Source Type",$C$5,"5 Source No.",$C1774,"4 Item Ledger Entry Type",$C$4,"2 Item No.","@@"&amp;$F1774,"3 Posting Date",Z$9)+NL("Sum","5802 Value Entry","17 Sales Amount (Actual)","41 Source Type",$C$5,"5 Source no.",$C1774,"4 Item Ledger Entry Type",$C$4,"2 Item No.","@@"&amp;$F1774,"3 Posting Date",Z$9)</t>
  </si>
  <si>
    <t>=-NL("Sum","5802 Value Entry","151 Cost Amount (Expected)","41 Source Type",$C$5,"5 Source No.",$C1774,"4 Item Ledger Entry Type",$C$4,"2 Item No.","@@"&amp;$F1774,"3 Posting Date",Z$9)-NL("Sum","5802 Value Entry","43 Cost Amount (Actual)","41 Source Type",$C$5,"5 Source no.",$C1774,"4 Item Ledger Entry Type",$C$4,"2 Item No.","@@"&amp;$F1774,"3 Posting Date",Z$9)</t>
  </si>
  <si>
    <t>=Z1774-AB1774</t>
  </si>
  <si>
    <t>=IF(Z1774&lt;&gt;0,AC1774/Z1774,"")</t>
  </si>
  <si>
    <t>=NL("Sum","5802 Value Entry","150 Sales Amount (Expected)","41 Source Type",$C$5,"5 Source No.",$C1775,"4 Item Ledger Entry Type",$C$4,"2 Item No.","@@"&amp;$F1775,"3 Posting Date",J$9)+NL("Sum","5802 Value Entry","17 Sales Amount (Actual)","41 Source Type",$C$5,"5 Source no.",$C1775,"4 Item Ledger Entry Type",$C$4,"2 Item No.","@@"&amp;$F1775,"3 Posting Date",J$9)</t>
  </si>
  <si>
    <t>=-NL("Sum","5802 Value Entry","151 Cost Amount (Expected)","41 Source Type",$C$5,"5 Source No.",$C1775,"4 Item Ledger Entry Type",$C$4,"2 Item No.","@@"&amp;$F1775,"3 Posting Date",J$9)-NL("Sum","5802 Value Entry","43 Cost Amount (Actual)","41 Source Type",$C$5,"5 Source no.",$C1775,"4 Item Ledger Entry Type",$C$4,"2 Item No.","@@"&amp;$F1775,"3 Posting Date",J$9)</t>
  </si>
  <si>
    <t>=NL("Sum","5802 Value Entry","150 Sales Amount (Expected)","41 Source Type",$C$5,"5 Source No.",$C1775,"4 Item Ledger Entry Type",$C$4,"2 Item No.","@@"&amp;$F1775,"3 Posting Date",O$9)+NL("Sum","5802 Value Entry","17 Sales Amount (Actual)","41 Source Type",$C$5,"5 Source no.",$C1775,"4 Item Ledger Entry Type",$C$4,"2 Item No.","@@"&amp;$F1775,"3 Posting Date",O$9)</t>
  </si>
  <si>
    <t>=-NL("Sum","5802 Value Entry","151 Cost Amount (Expected)","41 Source Type",$C$5,"5 Source No.",$C1775,"4 Item Ledger Entry Type",$C$4,"2 Item No.","@@"&amp;$F1775,"3 Posting Date",O$9)-NL("Sum","5802 Value Entry","43 Cost Amount (Actual)","41 Source Type",$C$5,"5 Source no.",$C1775,"4 Item Ledger Entry Type",$C$4,"2 Item No.","@@"&amp;$F1775,"3 Posting Date",O$9)</t>
  </si>
  <si>
    <t>=NL("Sum","5802 Value Entry","150 Sales Amount (Expected)","41 Source Type",$C$5,"5 Source No.",$C1775,"4 Item Ledger Entry Type",$C$4,"2 Item No.","@@"&amp;$F1775,"3 Posting Date",U$9)+NL("Sum","5802 Value Entry","17 Sales Amount (Actual)","41 Source Type",$C$5,"5 Source no.",$C1775,"4 Item Ledger Entry Type",$C$4,"2 Item No.","@@"&amp;$F1775,"3 Posting Date",U$9)</t>
  </si>
  <si>
    <t>=-NL("Sum","5802 Value Entry","151 Cost Amount (Expected)","41 Source Type",$C$5,"5 Source No.",$C1775,"4 Item Ledger Entry Type",$C$4,"2 Item No.","@@"&amp;$F1775,"3 Posting Date",U$9)-NL("Sum","5802 Value Entry","43 Cost Amount (Actual)","41 Source Type",$C$5,"5 Source no.",$C1775,"4 Item Ledger Entry Type",$C$4,"2 Item No.","@@"&amp;$F1775,"3 Posting Date",U$9)</t>
  </si>
  <si>
    <t>=NL("Sum","5802 Value Entry","150 Sales Amount (Expected)","41 Source Type",$C$5,"5 Source No.",$C1775,"4 Item Ledger Entry Type",$C$4,"2 Item No.","@@"&amp;$F1775,"3 Posting Date",Z$9)+NL("Sum","5802 Value Entry","17 Sales Amount (Actual)","41 Source Type",$C$5,"5 Source no.",$C1775,"4 Item Ledger Entry Type",$C$4,"2 Item No.","@@"&amp;$F1775,"3 Posting Date",Z$9)</t>
  </si>
  <si>
    <t>=-NL("Sum","5802 Value Entry","151 Cost Amount (Expected)","41 Source Type",$C$5,"5 Source No.",$C1775,"4 Item Ledger Entry Type",$C$4,"2 Item No.","@@"&amp;$F1775,"3 Posting Date",Z$9)-NL("Sum","5802 Value Entry","43 Cost Amount (Actual)","41 Source Type",$C$5,"5 Source no.",$C1775,"4 Item Ledger Entry Type",$C$4,"2 Item No.","@@"&amp;$F1775,"3 Posting Date",Z$9)</t>
  </si>
  <si>
    <t>=C1775</t>
  </si>
  <si>
    <t>=NL("Sum","5802 Value Entry","150 Sales Amount (Expected)","41 Source Type",$C$5,"5 Source No.",$C1776,"4 Item Ledger Entry Type",$C$4,"2 Item No.","@@"&amp;$F1776,"3 Posting Date",J$9)+NL("Sum","5802 Value Entry","17 Sales Amount (Actual)","41 Source Type",$C$5,"5 Source no.",$C1776,"4 Item Ledger Entry Type",$C$4,"2 Item No.","@@"&amp;$F1776,"3 Posting Date",J$9)</t>
  </si>
  <si>
    <t>=-NL("Sum","5802 Value Entry","151 Cost Amount (Expected)","41 Source Type",$C$5,"5 Source No.",$C1776,"4 Item Ledger Entry Type",$C$4,"2 Item No.","@@"&amp;$F1776,"3 Posting Date",J$9)-NL("Sum","5802 Value Entry","43 Cost Amount (Actual)","41 Source Type",$C$5,"5 Source no.",$C1776,"4 Item Ledger Entry Type",$C$4,"2 Item No.","@@"&amp;$F1776,"3 Posting Date",J$9)</t>
  </si>
  <si>
    <t>=J1776-L1776</t>
  </si>
  <si>
    <t>=IF(J1776&lt;&gt;0,M1776/J1776,"")</t>
  </si>
  <si>
    <t>=NL("Sum","5802 Value Entry","150 Sales Amount (Expected)","41 Source Type",$C$5,"5 Source No.",$C1776,"4 Item Ledger Entry Type",$C$4,"2 Item No.","@@"&amp;$F1776,"3 Posting Date",O$9)+NL("Sum","5802 Value Entry","17 Sales Amount (Actual)","41 Source Type",$C$5,"5 Source no.",$C1776,"4 Item Ledger Entry Type",$C$4,"2 Item No.","@@"&amp;$F1776,"3 Posting Date",O$9)</t>
  </si>
  <si>
    <t>=-NL("Sum","5802 Value Entry","151 Cost Amount (Expected)","41 Source Type",$C$5,"5 Source No.",$C1776,"4 Item Ledger Entry Type",$C$4,"2 Item No.","@@"&amp;$F1776,"3 Posting Date",O$9)-NL("Sum","5802 Value Entry","43 Cost Amount (Actual)","41 Source Type",$C$5,"5 Source no.",$C1776,"4 Item Ledger Entry Type",$C$4,"2 Item No.","@@"&amp;$F1776,"3 Posting Date",O$9)</t>
  </si>
  <si>
    <t>=O1776-Q1776</t>
  </si>
  <si>
    <t>=IF(O1776&lt;&gt;0,R1776/O1776,"")</t>
  </si>
  <si>
    <t>=NL("Sum","5802 Value Entry","150 Sales Amount (Expected)","41 Source Type",$C$5,"5 Source No.",$C1776,"4 Item Ledger Entry Type",$C$4,"2 Item No.","@@"&amp;$F1776,"3 Posting Date",U$9)+NL("Sum","5802 Value Entry","17 Sales Amount (Actual)","41 Source Type",$C$5,"5 Source no.",$C1776,"4 Item Ledger Entry Type",$C$4,"2 Item No.","@@"&amp;$F1776,"3 Posting Date",U$9)</t>
  </si>
  <si>
    <t>=-NL("Sum","5802 Value Entry","151 Cost Amount (Expected)","41 Source Type",$C$5,"5 Source No.",$C1776,"4 Item Ledger Entry Type",$C$4,"2 Item No.","@@"&amp;$F1776,"3 Posting Date",U$9)-NL("Sum","5802 Value Entry","43 Cost Amount (Actual)","41 Source Type",$C$5,"5 Source no.",$C1776,"4 Item Ledger Entry Type",$C$4,"2 Item No.","@@"&amp;$F1776,"3 Posting Date",U$9)</t>
  </si>
  <si>
    <t>=U1776-W1776</t>
  </si>
  <si>
    <t>=IF(U1776&lt;&gt;0,X1776/U1776,"")</t>
  </si>
  <si>
    <t>=NL("Sum","5802 Value Entry","150 Sales Amount (Expected)","41 Source Type",$C$5,"5 Source No.",$C1776,"4 Item Ledger Entry Type",$C$4,"2 Item No.","@@"&amp;$F1776,"3 Posting Date",Z$9)+NL("Sum","5802 Value Entry","17 Sales Amount (Actual)","41 Source Type",$C$5,"5 Source no.",$C1776,"4 Item Ledger Entry Type",$C$4,"2 Item No.","@@"&amp;$F1776,"3 Posting Date",Z$9)</t>
  </si>
  <si>
    <t>=-NL("Sum","5802 Value Entry","151 Cost Amount (Expected)","41 Source Type",$C$5,"5 Source No.",$C1776,"4 Item Ledger Entry Type",$C$4,"2 Item No.","@@"&amp;$F1776,"3 Posting Date",Z$9)-NL("Sum","5802 Value Entry","43 Cost Amount (Actual)","41 Source Type",$C$5,"5 Source no.",$C1776,"4 Item Ledger Entry Type",$C$4,"2 Item No.","@@"&amp;$F1776,"3 Posting Date",Z$9)</t>
  </si>
  <si>
    <t>=Z1776-AB1776</t>
  </si>
  <si>
    <t>=IF(Z1776&lt;&gt;0,AC1776/Z1776,"")</t>
  </si>
  <si>
    <t>=C1776</t>
  </si>
  <si>
    <t>=NL("Sum","5802 Value Entry","150 Sales Amount (Expected)","41 Source Type",$C$5,"5 Source No.",$C1777,"4 Item Ledger Entry Type",$C$4,"2 Item No.","@@"&amp;$F1777,"3 Posting Date",J$9)+NL("Sum","5802 Value Entry","17 Sales Amount (Actual)","41 Source Type",$C$5,"5 Source no.",$C1777,"4 Item Ledger Entry Type",$C$4,"2 Item No.","@@"&amp;$F1777,"3 Posting Date",J$9)</t>
  </si>
  <si>
    <t>=-NL("Sum","5802 Value Entry","151 Cost Amount (Expected)","41 Source Type",$C$5,"5 Source No.",$C1777,"4 Item Ledger Entry Type",$C$4,"2 Item No.","@@"&amp;$F1777,"3 Posting Date",J$9)-NL("Sum","5802 Value Entry","43 Cost Amount (Actual)","41 Source Type",$C$5,"5 Source no.",$C1777,"4 Item Ledger Entry Type",$C$4,"2 Item No.","@@"&amp;$F1777,"3 Posting Date",J$9)</t>
  </si>
  <si>
    <t>=J1777-L1777</t>
  </si>
  <si>
    <t>=IF(J1777&lt;&gt;0,M1777/J1777,"")</t>
  </si>
  <si>
    <t>=NL("Sum","5802 Value Entry","150 Sales Amount (Expected)","41 Source Type",$C$5,"5 Source No.",$C1777,"4 Item Ledger Entry Type",$C$4,"2 Item No.","@@"&amp;$F1777,"3 Posting Date",O$9)+NL("Sum","5802 Value Entry","17 Sales Amount (Actual)","41 Source Type",$C$5,"5 Source no.",$C1777,"4 Item Ledger Entry Type",$C$4,"2 Item No.","@@"&amp;$F1777,"3 Posting Date",O$9)</t>
  </si>
  <si>
    <t>=-NL("Sum","5802 Value Entry","151 Cost Amount (Expected)","41 Source Type",$C$5,"5 Source No.",$C1777,"4 Item Ledger Entry Type",$C$4,"2 Item No.","@@"&amp;$F1777,"3 Posting Date",O$9)-NL("Sum","5802 Value Entry","43 Cost Amount (Actual)","41 Source Type",$C$5,"5 Source no.",$C1777,"4 Item Ledger Entry Type",$C$4,"2 Item No.","@@"&amp;$F1777,"3 Posting Date",O$9)</t>
  </si>
  <si>
    <t>=O1777-Q1777</t>
  </si>
  <si>
    <t>=IF(O1777&lt;&gt;0,R1777/O1777,"")</t>
  </si>
  <si>
    <t>=NL("Sum","5802 Value Entry","150 Sales Amount (Expected)","41 Source Type",$C$5,"5 Source No.",$C1777,"4 Item Ledger Entry Type",$C$4,"2 Item No.","@@"&amp;$F1777,"3 Posting Date",U$9)+NL("Sum","5802 Value Entry","17 Sales Amount (Actual)","41 Source Type",$C$5,"5 Source no.",$C1777,"4 Item Ledger Entry Type",$C$4,"2 Item No.","@@"&amp;$F1777,"3 Posting Date",U$9)</t>
  </si>
  <si>
    <t>=-NL("Sum","5802 Value Entry","151 Cost Amount (Expected)","41 Source Type",$C$5,"5 Source No.",$C1777,"4 Item Ledger Entry Type",$C$4,"2 Item No.","@@"&amp;$F1777,"3 Posting Date",U$9)-NL("Sum","5802 Value Entry","43 Cost Amount (Actual)","41 Source Type",$C$5,"5 Source no.",$C1777,"4 Item Ledger Entry Type",$C$4,"2 Item No.","@@"&amp;$F1777,"3 Posting Date",U$9)</t>
  </si>
  <si>
    <t>=U1777-W1777</t>
  </si>
  <si>
    <t>=IF(U1777&lt;&gt;0,X1777/U1777,"")</t>
  </si>
  <si>
    <t>=NL("Sum","5802 Value Entry","150 Sales Amount (Expected)","41 Source Type",$C$5,"5 Source No.",$C1777,"4 Item Ledger Entry Type",$C$4,"2 Item No.","@@"&amp;$F1777,"3 Posting Date",Z$9)+NL("Sum","5802 Value Entry","17 Sales Amount (Actual)","41 Source Type",$C$5,"5 Source no.",$C1777,"4 Item Ledger Entry Type",$C$4,"2 Item No.","@@"&amp;$F1777,"3 Posting Date",Z$9)</t>
  </si>
  <si>
    <t>=-NL("Sum","5802 Value Entry","151 Cost Amount (Expected)","41 Source Type",$C$5,"5 Source No.",$C1777,"4 Item Ledger Entry Type",$C$4,"2 Item No.","@@"&amp;$F1777,"3 Posting Date",Z$9)-NL("Sum","5802 Value Entry","43 Cost Amount (Actual)","41 Source Type",$C$5,"5 Source no.",$C1777,"4 Item Ledger Entry Type",$C$4,"2 Item No.","@@"&amp;$F1777,"3 Posting Date",Z$9)</t>
  </si>
  <si>
    <t>=Z1777-AB1777</t>
  </si>
  <si>
    <t>=IF(Z1777&lt;&gt;0,AC1777/Z1777,"")</t>
  </si>
  <si>
    <t>=NL("Sum","5802 Value Entry","150 Sales Amount (Expected)","41 Source Type",$C$5,"5 Source No.",$C1778,"4 Item Ledger Entry Type",$C$4,"2 Item No.","@@"&amp;$F1778,"3 Posting Date",J$9)+NL("Sum","5802 Value Entry","17 Sales Amount (Actual)","41 Source Type",$C$5,"5 Source no.",$C1778,"4 Item Ledger Entry Type",$C$4,"2 Item No.","@@"&amp;$F1778,"3 Posting Date",J$9)</t>
  </si>
  <si>
    <t>=-NL("Sum","5802 Value Entry","151 Cost Amount (Expected)","41 Source Type",$C$5,"5 Source No.",$C1778,"4 Item Ledger Entry Type",$C$4,"2 Item No.","@@"&amp;$F1778,"3 Posting Date",J$9)-NL("Sum","5802 Value Entry","43 Cost Amount (Actual)","41 Source Type",$C$5,"5 Source no.",$C1778,"4 Item Ledger Entry Type",$C$4,"2 Item No.","@@"&amp;$F1778,"3 Posting Date",J$9)</t>
  </si>
  <si>
    <t>=J1778-L1778</t>
  </si>
  <si>
    <t>=IF(J1778&lt;&gt;0,M1778/J1778,"")</t>
  </si>
  <si>
    <t>=NL("Sum","5802 Value Entry","150 Sales Amount (Expected)","41 Source Type",$C$5,"5 Source No.",$C1778,"4 Item Ledger Entry Type",$C$4,"2 Item No.","@@"&amp;$F1778,"3 Posting Date",O$9)+NL("Sum","5802 Value Entry","17 Sales Amount (Actual)","41 Source Type",$C$5,"5 Source no.",$C1778,"4 Item Ledger Entry Type",$C$4,"2 Item No.","@@"&amp;$F1778,"3 Posting Date",O$9)</t>
  </si>
  <si>
    <t>=-NL("Sum","5802 Value Entry","151 Cost Amount (Expected)","41 Source Type",$C$5,"5 Source No.",$C1778,"4 Item Ledger Entry Type",$C$4,"2 Item No.","@@"&amp;$F1778,"3 Posting Date",O$9)-NL("Sum","5802 Value Entry","43 Cost Amount (Actual)","41 Source Type",$C$5,"5 Source no.",$C1778,"4 Item Ledger Entry Type",$C$4,"2 Item No.","@@"&amp;$F1778,"3 Posting Date",O$9)</t>
  </si>
  <si>
    <t>=O1778-Q1778</t>
  </si>
  <si>
    <t>=IF(O1778&lt;&gt;0,R1778/O1778,"")</t>
  </si>
  <si>
    <t>=NL("Sum","5802 Value Entry","150 Sales Amount (Expected)","41 Source Type",$C$5,"5 Source No.",$C1778,"4 Item Ledger Entry Type",$C$4,"2 Item No.","@@"&amp;$F1778,"3 Posting Date",U$9)+NL("Sum","5802 Value Entry","17 Sales Amount (Actual)","41 Source Type",$C$5,"5 Source no.",$C1778,"4 Item Ledger Entry Type",$C$4,"2 Item No.","@@"&amp;$F1778,"3 Posting Date",U$9)</t>
  </si>
  <si>
    <t>=-NL("Sum","5802 Value Entry","151 Cost Amount (Expected)","41 Source Type",$C$5,"5 Source No.",$C1778,"4 Item Ledger Entry Type",$C$4,"2 Item No.","@@"&amp;$F1778,"3 Posting Date",U$9)-NL("Sum","5802 Value Entry","43 Cost Amount (Actual)","41 Source Type",$C$5,"5 Source no.",$C1778,"4 Item Ledger Entry Type",$C$4,"2 Item No.","@@"&amp;$F1778,"3 Posting Date",U$9)</t>
  </si>
  <si>
    <t>=U1778-W1778</t>
  </si>
  <si>
    <t>=IF(U1778&lt;&gt;0,X1778/U1778,"")</t>
  </si>
  <si>
    <t>=NL("Sum","5802 Value Entry","150 Sales Amount (Expected)","41 Source Type",$C$5,"5 Source No.",$C1778,"4 Item Ledger Entry Type",$C$4,"2 Item No.","@@"&amp;$F1778,"3 Posting Date",Z$9)+NL("Sum","5802 Value Entry","17 Sales Amount (Actual)","41 Source Type",$C$5,"5 Source no.",$C1778,"4 Item Ledger Entry Type",$C$4,"2 Item No.","@@"&amp;$F1778,"3 Posting Date",Z$9)</t>
  </si>
  <si>
    <t>=-NL("Sum","5802 Value Entry","151 Cost Amount (Expected)","41 Source Type",$C$5,"5 Source No.",$C1778,"4 Item Ledger Entry Type",$C$4,"2 Item No.","@@"&amp;$F1778,"3 Posting Date",Z$9)-NL("Sum","5802 Value Entry","43 Cost Amount (Actual)","41 Source Type",$C$5,"5 Source no.",$C1778,"4 Item Ledger Entry Type",$C$4,"2 Item No.","@@"&amp;$F1778,"3 Posting Date",Z$9)</t>
  </si>
  <si>
    <t>=Z1778-AB1778</t>
  </si>
  <si>
    <t>=IF(Z1778&lt;&gt;0,AC1778/Z1778,"")</t>
  </si>
  <si>
    <t>=C1787</t>
  </si>
  <si>
    <t>=NL("Sum","5802 Value Entry","150 Sales Amount (Expected)","41 Source Type",$C$5,"5 Source No.",$C1788,"4 Item Ledger Entry Type",$C$4,"2 Item No.","@@"&amp;$F1788,"3 Posting Date",J$9)+NL("Sum","5802 Value Entry","17 Sales Amount (Actual)","41 Source Type",$C$5,"5 Source no.",$C1788,"4 Item Ledger Entry Type",$C$4,"2 Item No.","@@"&amp;$F1788,"3 Posting Date",J$9)</t>
  </si>
  <si>
    <t>=-NL("Sum","5802 Value Entry","151 Cost Amount (Expected)","41 Source Type",$C$5,"5 Source No.",$C1788,"4 Item Ledger Entry Type",$C$4,"2 Item No.","@@"&amp;$F1788,"3 Posting Date",J$9)-NL("Sum","5802 Value Entry","43 Cost Amount (Actual)","41 Source Type",$C$5,"5 Source no.",$C1788,"4 Item Ledger Entry Type",$C$4,"2 Item No.","@@"&amp;$F1788,"3 Posting Date",J$9)</t>
  </si>
  <si>
    <t>=J1788-L1788</t>
  </si>
  <si>
    <t>=IF(J1788&lt;&gt;0,M1788/J1788,"")</t>
  </si>
  <si>
    <t>=NL("Sum","5802 Value Entry","150 Sales Amount (Expected)","41 Source Type",$C$5,"5 Source No.",$C1788,"4 Item Ledger Entry Type",$C$4,"2 Item No.","@@"&amp;$F1788,"3 Posting Date",O$9)+NL("Sum","5802 Value Entry","17 Sales Amount (Actual)","41 Source Type",$C$5,"5 Source no.",$C1788,"4 Item Ledger Entry Type",$C$4,"2 Item No.","@@"&amp;$F1788,"3 Posting Date",O$9)</t>
  </si>
  <si>
    <t>=-NL("Sum","5802 Value Entry","151 Cost Amount (Expected)","41 Source Type",$C$5,"5 Source No.",$C1788,"4 Item Ledger Entry Type",$C$4,"2 Item No.","@@"&amp;$F1788,"3 Posting Date",O$9)-NL("Sum","5802 Value Entry","43 Cost Amount (Actual)","41 Source Type",$C$5,"5 Source no.",$C1788,"4 Item Ledger Entry Type",$C$4,"2 Item No.","@@"&amp;$F1788,"3 Posting Date",O$9)</t>
  </si>
  <si>
    <t>=O1788-Q1788</t>
  </si>
  <si>
    <t>=IF(O1788&lt;&gt;0,R1788/O1788,"")</t>
  </si>
  <si>
    <t>=NL("Sum","5802 Value Entry","150 Sales Amount (Expected)","41 Source Type",$C$5,"5 Source No.",$C1788,"4 Item Ledger Entry Type",$C$4,"2 Item No.","@@"&amp;$F1788,"3 Posting Date",U$9)+NL("Sum","5802 Value Entry","17 Sales Amount (Actual)","41 Source Type",$C$5,"5 Source no.",$C1788,"4 Item Ledger Entry Type",$C$4,"2 Item No.","@@"&amp;$F1788,"3 Posting Date",U$9)</t>
  </si>
  <si>
    <t>=-NL("Sum","5802 Value Entry","151 Cost Amount (Expected)","41 Source Type",$C$5,"5 Source No.",$C1788,"4 Item Ledger Entry Type",$C$4,"2 Item No.","@@"&amp;$F1788,"3 Posting Date",U$9)-NL("Sum","5802 Value Entry","43 Cost Amount (Actual)","41 Source Type",$C$5,"5 Source no.",$C1788,"4 Item Ledger Entry Type",$C$4,"2 Item No.","@@"&amp;$F1788,"3 Posting Date",U$9)</t>
  </si>
  <si>
    <t>=U1788-W1788</t>
  </si>
  <si>
    <t>=IF(U1788&lt;&gt;0,X1788/U1788,"")</t>
  </si>
  <si>
    <t>=NL("Sum","5802 Value Entry","150 Sales Amount (Expected)","41 Source Type",$C$5,"5 Source No.",$C1788,"4 Item Ledger Entry Type",$C$4,"2 Item No.","@@"&amp;$F1788,"3 Posting Date",Z$9)+NL("Sum","5802 Value Entry","17 Sales Amount (Actual)","41 Source Type",$C$5,"5 Source no.",$C1788,"4 Item Ledger Entry Type",$C$4,"2 Item No.","@@"&amp;$F1788,"3 Posting Date",Z$9)</t>
  </si>
  <si>
    <t>=-NL("Sum","5802 Value Entry","151 Cost Amount (Expected)","41 Source Type",$C$5,"5 Source No.",$C1788,"4 Item Ledger Entry Type",$C$4,"2 Item No.","@@"&amp;$F1788,"3 Posting Date",Z$9)-NL("Sum","5802 Value Entry","43 Cost Amount (Actual)","41 Source Type",$C$5,"5 Source no.",$C1788,"4 Item Ledger Entry Type",$C$4,"2 Item No.","@@"&amp;$F1788,"3 Posting Date",Z$9)</t>
  </si>
  <si>
    <t>=Z1788-AB1788</t>
  </si>
  <si>
    <t>=IF(Z1788&lt;&gt;0,AC1788/Z1788,"")</t>
  </si>
  <si>
    <t>=NL("Sum","5802 Value Entry","150 Sales Amount (Expected)","41 Source Type",$C$5,"5 Source No.",$C1789,"4 Item Ledger Entry Type",$C$4,"2 Item No.","@@"&amp;$F1789,"3 Posting Date",J$9)+NL("Sum","5802 Value Entry","17 Sales Amount (Actual)","41 Source Type",$C$5,"5 Source no.",$C1789,"4 Item Ledger Entry Type",$C$4,"2 Item No.","@@"&amp;$F1789,"3 Posting Date",J$9)</t>
  </si>
  <si>
    <t>=-NL("Sum","5802 Value Entry","151 Cost Amount (Expected)","41 Source Type",$C$5,"5 Source No.",$C1789,"4 Item Ledger Entry Type",$C$4,"2 Item No.","@@"&amp;$F1789,"3 Posting Date",J$9)-NL("Sum","5802 Value Entry","43 Cost Amount (Actual)","41 Source Type",$C$5,"5 Source no.",$C1789,"4 Item Ledger Entry Type",$C$4,"2 Item No.","@@"&amp;$F1789,"3 Posting Date",J$9)</t>
  </si>
  <si>
    <t>=NL("Sum","5802 Value Entry","150 Sales Amount (Expected)","41 Source Type",$C$5,"5 Source No.",$C1789,"4 Item Ledger Entry Type",$C$4,"2 Item No.","@@"&amp;$F1789,"3 Posting Date",O$9)+NL("Sum","5802 Value Entry","17 Sales Amount (Actual)","41 Source Type",$C$5,"5 Source no.",$C1789,"4 Item Ledger Entry Type",$C$4,"2 Item No.","@@"&amp;$F1789,"3 Posting Date",O$9)</t>
  </si>
  <si>
    <t>=-NL("Sum","5802 Value Entry","151 Cost Amount (Expected)","41 Source Type",$C$5,"5 Source No.",$C1789,"4 Item Ledger Entry Type",$C$4,"2 Item No.","@@"&amp;$F1789,"3 Posting Date",O$9)-NL("Sum","5802 Value Entry","43 Cost Amount (Actual)","41 Source Type",$C$5,"5 Source no.",$C1789,"4 Item Ledger Entry Type",$C$4,"2 Item No.","@@"&amp;$F1789,"3 Posting Date",O$9)</t>
  </si>
  <si>
    <t>=NL("Sum","5802 Value Entry","150 Sales Amount (Expected)","41 Source Type",$C$5,"5 Source No.",$C1789,"4 Item Ledger Entry Type",$C$4,"2 Item No.","@@"&amp;$F1789,"3 Posting Date",U$9)+NL("Sum","5802 Value Entry","17 Sales Amount (Actual)","41 Source Type",$C$5,"5 Source no.",$C1789,"4 Item Ledger Entry Type",$C$4,"2 Item No.","@@"&amp;$F1789,"3 Posting Date",U$9)</t>
  </si>
  <si>
    <t>=-NL("Sum","5802 Value Entry","151 Cost Amount (Expected)","41 Source Type",$C$5,"5 Source No.",$C1789,"4 Item Ledger Entry Type",$C$4,"2 Item No.","@@"&amp;$F1789,"3 Posting Date",U$9)-NL("Sum","5802 Value Entry","43 Cost Amount (Actual)","41 Source Type",$C$5,"5 Source no.",$C1789,"4 Item Ledger Entry Type",$C$4,"2 Item No.","@@"&amp;$F1789,"3 Posting Date",U$9)</t>
  </si>
  <si>
    <t>=NL("Sum","5802 Value Entry","150 Sales Amount (Expected)","41 Source Type",$C$5,"5 Source No.",$C1789,"4 Item Ledger Entry Type",$C$4,"2 Item No.","@@"&amp;$F1789,"3 Posting Date",Z$9)+NL("Sum","5802 Value Entry","17 Sales Amount (Actual)","41 Source Type",$C$5,"5 Source no.",$C1789,"4 Item Ledger Entry Type",$C$4,"2 Item No.","@@"&amp;$F1789,"3 Posting Date",Z$9)</t>
  </si>
  <si>
    <t>=-NL("Sum","5802 Value Entry","151 Cost Amount (Expected)","41 Source Type",$C$5,"5 Source No.",$C1789,"4 Item Ledger Entry Type",$C$4,"2 Item No.","@@"&amp;$F1789,"3 Posting Date",Z$9)-NL("Sum","5802 Value Entry","43 Cost Amount (Actual)","41 Source Type",$C$5,"5 Source no.",$C1789,"4 Item Ledger Entry Type",$C$4,"2 Item No.","@@"&amp;$F1789,"3 Posting Date",Z$9)</t>
  </si>
  <si>
    <t>=C1789</t>
  </si>
  <si>
    <t>=NL("Sum","5802 Value Entry","150 Sales Amount (Expected)","41 Source Type",$C$5,"5 Source No.",$C1790,"4 Item Ledger Entry Type",$C$4,"2 Item No.","@@"&amp;$F1790,"3 Posting Date",J$9)+NL("Sum","5802 Value Entry","17 Sales Amount (Actual)","41 Source Type",$C$5,"5 Source no.",$C1790,"4 Item Ledger Entry Type",$C$4,"2 Item No.","@@"&amp;$F1790,"3 Posting Date",J$9)</t>
  </si>
  <si>
    <t>=-NL("Sum","5802 Value Entry","151 Cost Amount (Expected)","41 Source Type",$C$5,"5 Source No.",$C1790,"4 Item Ledger Entry Type",$C$4,"2 Item No.","@@"&amp;$F1790,"3 Posting Date",J$9)-NL("Sum","5802 Value Entry","43 Cost Amount (Actual)","41 Source Type",$C$5,"5 Source no.",$C1790,"4 Item Ledger Entry Type",$C$4,"2 Item No.","@@"&amp;$F1790,"3 Posting Date",J$9)</t>
  </si>
  <si>
    <t>=J1790-L1790</t>
  </si>
  <si>
    <t>=IF(J1790&lt;&gt;0,M1790/J1790,"")</t>
  </si>
  <si>
    <t>=NL("Sum","5802 Value Entry","150 Sales Amount (Expected)","41 Source Type",$C$5,"5 Source No.",$C1790,"4 Item Ledger Entry Type",$C$4,"2 Item No.","@@"&amp;$F1790,"3 Posting Date",O$9)+NL("Sum","5802 Value Entry","17 Sales Amount (Actual)","41 Source Type",$C$5,"5 Source no.",$C1790,"4 Item Ledger Entry Type",$C$4,"2 Item No.","@@"&amp;$F1790,"3 Posting Date",O$9)</t>
  </si>
  <si>
    <t>=-NL("Sum","5802 Value Entry","151 Cost Amount (Expected)","41 Source Type",$C$5,"5 Source No.",$C1790,"4 Item Ledger Entry Type",$C$4,"2 Item No.","@@"&amp;$F1790,"3 Posting Date",O$9)-NL("Sum","5802 Value Entry","43 Cost Amount (Actual)","41 Source Type",$C$5,"5 Source no.",$C1790,"4 Item Ledger Entry Type",$C$4,"2 Item No.","@@"&amp;$F1790,"3 Posting Date",O$9)</t>
  </si>
  <si>
    <t>=O1790-Q1790</t>
  </si>
  <si>
    <t>=IF(O1790&lt;&gt;0,R1790/O1790,"")</t>
  </si>
  <si>
    <t>=NL("Sum","5802 Value Entry","150 Sales Amount (Expected)","41 Source Type",$C$5,"5 Source No.",$C1790,"4 Item Ledger Entry Type",$C$4,"2 Item No.","@@"&amp;$F1790,"3 Posting Date",U$9)+NL("Sum","5802 Value Entry","17 Sales Amount (Actual)","41 Source Type",$C$5,"5 Source no.",$C1790,"4 Item Ledger Entry Type",$C$4,"2 Item No.","@@"&amp;$F1790,"3 Posting Date",U$9)</t>
  </si>
  <si>
    <t>=-NL("Sum","5802 Value Entry","151 Cost Amount (Expected)","41 Source Type",$C$5,"5 Source No.",$C1790,"4 Item Ledger Entry Type",$C$4,"2 Item No.","@@"&amp;$F1790,"3 Posting Date",U$9)-NL("Sum","5802 Value Entry","43 Cost Amount (Actual)","41 Source Type",$C$5,"5 Source no.",$C1790,"4 Item Ledger Entry Type",$C$4,"2 Item No.","@@"&amp;$F1790,"3 Posting Date",U$9)</t>
  </si>
  <si>
    <t>=U1790-W1790</t>
  </si>
  <si>
    <t>=IF(U1790&lt;&gt;0,X1790/U1790,"")</t>
  </si>
  <si>
    <t>=NL("Sum","5802 Value Entry","150 Sales Amount (Expected)","41 Source Type",$C$5,"5 Source No.",$C1790,"4 Item Ledger Entry Type",$C$4,"2 Item No.","@@"&amp;$F1790,"3 Posting Date",Z$9)+NL("Sum","5802 Value Entry","17 Sales Amount (Actual)","41 Source Type",$C$5,"5 Source no.",$C1790,"4 Item Ledger Entry Type",$C$4,"2 Item No.","@@"&amp;$F1790,"3 Posting Date",Z$9)</t>
  </si>
  <si>
    <t>=-NL("Sum","5802 Value Entry","151 Cost Amount (Expected)","41 Source Type",$C$5,"5 Source No.",$C1790,"4 Item Ledger Entry Type",$C$4,"2 Item No.","@@"&amp;$F1790,"3 Posting Date",Z$9)-NL("Sum","5802 Value Entry","43 Cost Amount (Actual)","41 Source Type",$C$5,"5 Source no.",$C1790,"4 Item Ledger Entry Type",$C$4,"2 Item No.","@@"&amp;$F1790,"3 Posting Date",Z$9)</t>
  </si>
  <si>
    <t>=Z1790-AB1790</t>
  </si>
  <si>
    <t>=IF(Z1790&lt;&gt;0,AC1790/Z1790,"")</t>
  </si>
  <si>
    <t>=C1790</t>
  </si>
  <si>
    <t>=NL("Sum","5802 Value Entry","150 Sales Amount (Expected)","41 Source Type",$C$5,"5 Source No.",$C1791,"4 Item Ledger Entry Type",$C$4,"2 Item No.","@@"&amp;$F1791,"3 Posting Date",J$9)+NL("Sum","5802 Value Entry","17 Sales Amount (Actual)","41 Source Type",$C$5,"5 Source no.",$C1791,"4 Item Ledger Entry Type",$C$4,"2 Item No.","@@"&amp;$F1791,"3 Posting Date",J$9)</t>
  </si>
  <si>
    <t>=-NL("Sum","5802 Value Entry","151 Cost Amount (Expected)","41 Source Type",$C$5,"5 Source No.",$C1791,"4 Item Ledger Entry Type",$C$4,"2 Item No.","@@"&amp;$F1791,"3 Posting Date",J$9)-NL("Sum","5802 Value Entry","43 Cost Amount (Actual)","41 Source Type",$C$5,"5 Source no.",$C1791,"4 Item Ledger Entry Type",$C$4,"2 Item No.","@@"&amp;$F1791,"3 Posting Date",J$9)</t>
  </si>
  <si>
    <t>=J1791-L1791</t>
  </si>
  <si>
    <t>=IF(J1791&lt;&gt;0,M1791/J1791,"")</t>
  </si>
  <si>
    <t>=NL("Sum","5802 Value Entry","150 Sales Amount (Expected)","41 Source Type",$C$5,"5 Source No.",$C1791,"4 Item Ledger Entry Type",$C$4,"2 Item No.","@@"&amp;$F1791,"3 Posting Date",O$9)+NL("Sum","5802 Value Entry","17 Sales Amount (Actual)","41 Source Type",$C$5,"5 Source no.",$C1791,"4 Item Ledger Entry Type",$C$4,"2 Item No.","@@"&amp;$F1791,"3 Posting Date",O$9)</t>
  </si>
  <si>
    <t>=-NL("Sum","5802 Value Entry","151 Cost Amount (Expected)","41 Source Type",$C$5,"5 Source No.",$C1791,"4 Item Ledger Entry Type",$C$4,"2 Item No.","@@"&amp;$F1791,"3 Posting Date",O$9)-NL("Sum","5802 Value Entry","43 Cost Amount (Actual)","41 Source Type",$C$5,"5 Source no.",$C1791,"4 Item Ledger Entry Type",$C$4,"2 Item No.","@@"&amp;$F1791,"3 Posting Date",O$9)</t>
  </si>
  <si>
    <t>=O1791-Q1791</t>
  </si>
  <si>
    <t>=IF(O1791&lt;&gt;0,R1791/O1791,"")</t>
  </si>
  <si>
    <t>=NL("Sum","5802 Value Entry","150 Sales Amount (Expected)","41 Source Type",$C$5,"5 Source No.",$C1791,"4 Item Ledger Entry Type",$C$4,"2 Item No.","@@"&amp;$F1791,"3 Posting Date",U$9)+NL("Sum","5802 Value Entry","17 Sales Amount (Actual)","41 Source Type",$C$5,"5 Source no.",$C1791,"4 Item Ledger Entry Type",$C$4,"2 Item No.","@@"&amp;$F1791,"3 Posting Date",U$9)</t>
  </si>
  <si>
    <t>=-NL("Sum","5802 Value Entry","151 Cost Amount (Expected)","41 Source Type",$C$5,"5 Source No.",$C1791,"4 Item Ledger Entry Type",$C$4,"2 Item No.","@@"&amp;$F1791,"3 Posting Date",U$9)-NL("Sum","5802 Value Entry","43 Cost Amount (Actual)","41 Source Type",$C$5,"5 Source no.",$C1791,"4 Item Ledger Entry Type",$C$4,"2 Item No.","@@"&amp;$F1791,"3 Posting Date",U$9)</t>
  </si>
  <si>
    <t>=U1791-W1791</t>
  </si>
  <si>
    <t>=IF(U1791&lt;&gt;0,X1791/U1791,"")</t>
  </si>
  <si>
    <t>=NL("Sum","5802 Value Entry","150 Sales Amount (Expected)","41 Source Type",$C$5,"5 Source No.",$C1791,"4 Item Ledger Entry Type",$C$4,"2 Item No.","@@"&amp;$F1791,"3 Posting Date",Z$9)+NL("Sum","5802 Value Entry","17 Sales Amount (Actual)","41 Source Type",$C$5,"5 Source no.",$C1791,"4 Item Ledger Entry Type",$C$4,"2 Item No.","@@"&amp;$F1791,"3 Posting Date",Z$9)</t>
  </si>
  <si>
    <t>=-NL("Sum","5802 Value Entry","151 Cost Amount (Expected)","41 Source Type",$C$5,"5 Source No.",$C1791,"4 Item Ledger Entry Type",$C$4,"2 Item No.","@@"&amp;$F1791,"3 Posting Date",Z$9)-NL("Sum","5802 Value Entry","43 Cost Amount (Actual)","41 Source Type",$C$5,"5 Source no.",$C1791,"4 Item Ledger Entry Type",$C$4,"2 Item No.","@@"&amp;$F1791,"3 Posting Date",Z$9)</t>
  </si>
  <si>
    <t>=Z1791-AB1791</t>
  </si>
  <si>
    <t>=IF(Z1791&lt;&gt;0,AC1791/Z1791,"")</t>
  </si>
  <si>
    <t>=NL("Sum","5802 Value Entry","150 Sales Amount (Expected)","41 Source Type",$C$5,"5 Source No.",$C1792,"4 Item Ledger Entry Type",$C$4,"2 Item No.","@@"&amp;$F1792,"3 Posting Date",J$9)+NL("Sum","5802 Value Entry","17 Sales Amount (Actual)","41 Source Type",$C$5,"5 Source no.",$C1792,"4 Item Ledger Entry Type",$C$4,"2 Item No.","@@"&amp;$F1792,"3 Posting Date",J$9)</t>
  </si>
  <si>
    <t>=-NL("Sum","5802 Value Entry","151 Cost Amount (Expected)","41 Source Type",$C$5,"5 Source No.",$C1792,"4 Item Ledger Entry Type",$C$4,"2 Item No.","@@"&amp;$F1792,"3 Posting Date",J$9)-NL("Sum","5802 Value Entry","43 Cost Amount (Actual)","41 Source Type",$C$5,"5 Source no.",$C1792,"4 Item Ledger Entry Type",$C$4,"2 Item No.","@@"&amp;$F1792,"3 Posting Date",J$9)</t>
  </si>
  <si>
    <t>=J1792-L1792</t>
  </si>
  <si>
    <t>=IF(J1792&lt;&gt;0,M1792/J1792,"")</t>
  </si>
  <si>
    <t>=NL("Sum","5802 Value Entry","150 Sales Amount (Expected)","41 Source Type",$C$5,"5 Source No.",$C1792,"4 Item Ledger Entry Type",$C$4,"2 Item No.","@@"&amp;$F1792,"3 Posting Date",O$9)+NL("Sum","5802 Value Entry","17 Sales Amount (Actual)","41 Source Type",$C$5,"5 Source no.",$C1792,"4 Item Ledger Entry Type",$C$4,"2 Item No.","@@"&amp;$F1792,"3 Posting Date",O$9)</t>
  </si>
  <si>
    <t>=-NL("Sum","5802 Value Entry","151 Cost Amount (Expected)","41 Source Type",$C$5,"5 Source No.",$C1792,"4 Item Ledger Entry Type",$C$4,"2 Item No.","@@"&amp;$F1792,"3 Posting Date",O$9)-NL("Sum","5802 Value Entry","43 Cost Amount (Actual)","41 Source Type",$C$5,"5 Source no.",$C1792,"4 Item Ledger Entry Type",$C$4,"2 Item No.","@@"&amp;$F1792,"3 Posting Date",O$9)</t>
  </si>
  <si>
    <t>=O1792-Q1792</t>
  </si>
  <si>
    <t>=IF(O1792&lt;&gt;0,R1792/O1792,"")</t>
  </si>
  <si>
    <t>=NL("Sum","5802 Value Entry","150 Sales Amount (Expected)","41 Source Type",$C$5,"5 Source No.",$C1792,"4 Item Ledger Entry Type",$C$4,"2 Item No.","@@"&amp;$F1792,"3 Posting Date",U$9)+NL("Sum","5802 Value Entry","17 Sales Amount (Actual)","41 Source Type",$C$5,"5 Source no.",$C1792,"4 Item Ledger Entry Type",$C$4,"2 Item No.","@@"&amp;$F1792,"3 Posting Date",U$9)</t>
  </si>
  <si>
    <t>=-NL("Sum","5802 Value Entry","151 Cost Amount (Expected)","41 Source Type",$C$5,"5 Source No.",$C1792,"4 Item Ledger Entry Type",$C$4,"2 Item No.","@@"&amp;$F1792,"3 Posting Date",U$9)-NL("Sum","5802 Value Entry","43 Cost Amount (Actual)","41 Source Type",$C$5,"5 Source no.",$C1792,"4 Item Ledger Entry Type",$C$4,"2 Item No.","@@"&amp;$F1792,"3 Posting Date",U$9)</t>
  </si>
  <si>
    <t>=U1792-W1792</t>
  </si>
  <si>
    <t>=IF(U1792&lt;&gt;0,X1792/U1792,"")</t>
  </si>
  <si>
    <t>=NL("Sum","5802 Value Entry","150 Sales Amount (Expected)","41 Source Type",$C$5,"5 Source No.",$C1792,"4 Item Ledger Entry Type",$C$4,"2 Item No.","@@"&amp;$F1792,"3 Posting Date",Z$9)+NL("Sum","5802 Value Entry","17 Sales Amount (Actual)","41 Source Type",$C$5,"5 Source no.",$C1792,"4 Item Ledger Entry Type",$C$4,"2 Item No.","@@"&amp;$F1792,"3 Posting Date",Z$9)</t>
  </si>
  <si>
    <t>=-NL("Sum","5802 Value Entry","151 Cost Amount (Expected)","41 Source Type",$C$5,"5 Source No.",$C1792,"4 Item Ledger Entry Type",$C$4,"2 Item No.","@@"&amp;$F1792,"3 Posting Date",Z$9)-NL("Sum","5802 Value Entry","43 Cost Amount (Actual)","41 Source Type",$C$5,"5 Source no.",$C1792,"4 Item Ledger Entry Type",$C$4,"2 Item No.","@@"&amp;$F1792,"3 Posting Date",Z$9)</t>
  </si>
  <si>
    <t>=Z1792-AB1792</t>
  </si>
  <si>
    <t>=IF(Z1792&lt;&gt;0,AC1792/Z1792,"")</t>
  </si>
  <si>
    <t>=C1798&amp;" TOTAL:"</t>
  </si>
  <si>
    <t>=SUBTOTAL(9,J1761:J1797)</t>
  </si>
  <si>
    <t>=SUBTOTAL(9,K1761:K1797)</t>
  </si>
  <si>
    <t>=SUBTOTAL(9,L1761:L1797)</t>
  </si>
  <si>
    <t>=SUBTOTAL(9,O1761:O1797)</t>
  </si>
  <si>
    <t>=SUBTOTAL(9,P1761:P1797)</t>
  </si>
  <si>
    <t>=SUBTOTAL(9,Q1761:Q1797)</t>
  </si>
  <si>
    <t>=SUBTOTAL(9,U1761:U1797)</t>
  </si>
  <si>
    <t>=SUBTOTAL(9,V1761:V1797)</t>
  </si>
  <si>
    <t>=SUBTOTAL(9,W1761:W1797)</t>
  </si>
  <si>
    <t>=SUBTOTAL(9,Z1761:Z1797)</t>
  </si>
  <si>
    <t>=SUBTOTAL(9,AA1761:AA1797)</t>
  </si>
  <si>
    <t>=SUBTOTAL(9,AB1761:AB1797)</t>
  </si>
  <si>
    <t>=E1800</t>
  </si>
  <si>
    <t>=NL(,"18 Customer","2 Name","1 No.",$E1800)</t>
  </si>
  <si>
    <t>=NL("Rows","5802 Value Entry","2 Item No.","4 Item Ledger Entry Type",$C$4,"41 Source Type",$C$5,"5 Source No.",$C1802,"Item No.",$C$7,"3 Posting Date",$C$10)</t>
  </si>
  <si>
    <t>=C1810</t>
  </si>
  <si>
    <t>=NL("Sum","5802 Value Entry","150 Sales Amount (Expected)","41 Source Type",$C$5,"5 Source No.",$C1811,"4 Item Ledger Entry Type",$C$4,"2 Item No.","@@"&amp;$F1811,"3 Posting Date",J$9)+NL("Sum","5802 Value Entry","17 Sales Amount (Actual)","41 Source Type",$C$5,"5 Source no.",$C1811,"4 Item Ledger Entry Type",$C$4,"2 Item No.","@@"&amp;$F1811,"3 Posting Date",J$9)</t>
  </si>
  <si>
    <t>=-NL("Sum","5802 Value Entry","151 Cost Amount (Expected)","41 Source Type",$C$5,"5 Source No.",$C1811,"4 Item Ledger Entry Type",$C$4,"2 Item No.","@@"&amp;$F1811,"3 Posting Date",J$9)-NL("Sum","5802 Value Entry","43 Cost Amount (Actual)","41 Source Type",$C$5,"5 Source no.",$C1811,"4 Item Ledger Entry Type",$C$4,"2 Item No.","@@"&amp;$F1811,"3 Posting Date",J$9)</t>
  </si>
  <si>
    <t>=J1811-L1811</t>
  </si>
  <si>
    <t>=IF(J1811&lt;&gt;0,M1811/J1811,"")</t>
  </si>
  <si>
    <t>=NL("Sum","5802 Value Entry","150 Sales Amount (Expected)","41 Source Type",$C$5,"5 Source No.",$C1811,"4 Item Ledger Entry Type",$C$4,"2 Item No.","@@"&amp;$F1811,"3 Posting Date",O$9)+NL("Sum","5802 Value Entry","17 Sales Amount (Actual)","41 Source Type",$C$5,"5 Source no.",$C1811,"4 Item Ledger Entry Type",$C$4,"2 Item No.","@@"&amp;$F1811,"3 Posting Date",O$9)</t>
  </si>
  <si>
    <t>=-NL("Sum","5802 Value Entry","151 Cost Amount (Expected)","41 Source Type",$C$5,"5 Source No.",$C1811,"4 Item Ledger Entry Type",$C$4,"2 Item No.","@@"&amp;$F1811,"3 Posting Date",O$9)-NL("Sum","5802 Value Entry","43 Cost Amount (Actual)","41 Source Type",$C$5,"5 Source no.",$C1811,"4 Item Ledger Entry Type",$C$4,"2 Item No.","@@"&amp;$F1811,"3 Posting Date",O$9)</t>
  </si>
  <si>
    <t>=O1811-Q1811</t>
  </si>
  <si>
    <t>=IF(O1811&lt;&gt;0,R1811/O1811,"")</t>
  </si>
  <si>
    <t>=NL("Sum","5802 Value Entry","150 Sales Amount (Expected)","41 Source Type",$C$5,"5 Source No.",$C1811,"4 Item Ledger Entry Type",$C$4,"2 Item No.","@@"&amp;$F1811,"3 Posting Date",U$9)+NL("Sum","5802 Value Entry","17 Sales Amount (Actual)","41 Source Type",$C$5,"5 Source no.",$C1811,"4 Item Ledger Entry Type",$C$4,"2 Item No.","@@"&amp;$F1811,"3 Posting Date",U$9)</t>
  </si>
  <si>
    <t>=-NL("Sum","5802 Value Entry","151 Cost Amount (Expected)","41 Source Type",$C$5,"5 Source No.",$C1811,"4 Item Ledger Entry Type",$C$4,"2 Item No.","@@"&amp;$F1811,"3 Posting Date",U$9)-NL("Sum","5802 Value Entry","43 Cost Amount (Actual)","41 Source Type",$C$5,"5 Source no.",$C1811,"4 Item Ledger Entry Type",$C$4,"2 Item No.","@@"&amp;$F1811,"3 Posting Date",U$9)</t>
  </si>
  <si>
    <t>=U1811-W1811</t>
  </si>
  <si>
    <t>=IF(U1811&lt;&gt;0,X1811/U1811,"")</t>
  </si>
  <si>
    <t>=NL("Sum","5802 Value Entry","150 Sales Amount (Expected)","41 Source Type",$C$5,"5 Source No.",$C1811,"4 Item Ledger Entry Type",$C$4,"2 Item No.","@@"&amp;$F1811,"3 Posting Date",Z$9)+NL("Sum","5802 Value Entry","17 Sales Amount (Actual)","41 Source Type",$C$5,"5 Source no.",$C1811,"4 Item Ledger Entry Type",$C$4,"2 Item No.","@@"&amp;$F1811,"3 Posting Date",Z$9)</t>
  </si>
  <si>
    <t>=-NL("Sum","5802 Value Entry","151 Cost Amount (Expected)","41 Source Type",$C$5,"5 Source No.",$C1811,"4 Item Ledger Entry Type",$C$4,"2 Item No.","@@"&amp;$F1811,"3 Posting Date",Z$9)-NL("Sum","5802 Value Entry","43 Cost Amount (Actual)","41 Source Type",$C$5,"5 Source no.",$C1811,"4 Item Ledger Entry Type",$C$4,"2 Item No.","@@"&amp;$F1811,"3 Posting Date",Z$9)</t>
  </si>
  <si>
    <t>=Z1811-AB1811</t>
  </si>
  <si>
    <t>=IF(Z1811&lt;&gt;0,AC1811/Z1811,"")</t>
  </si>
  <si>
    <t>=NL("Sum","5802 Value Entry","150 Sales Amount (Expected)","41 Source Type",$C$5,"5 Source No.",$C1812,"4 Item Ledger Entry Type",$C$4,"2 Item No.","@@"&amp;$F1812,"3 Posting Date",J$9)+NL("Sum","5802 Value Entry","17 Sales Amount (Actual)","41 Source Type",$C$5,"5 Source no.",$C1812,"4 Item Ledger Entry Type",$C$4,"2 Item No.","@@"&amp;$F1812,"3 Posting Date",J$9)</t>
  </si>
  <si>
    <t>=-NL("Sum","5802 Value Entry","151 Cost Amount (Expected)","41 Source Type",$C$5,"5 Source No.",$C1812,"4 Item Ledger Entry Type",$C$4,"2 Item No.","@@"&amp;$F1812,"3 Posting Date",J$9)-NL("Sum","5802 Value Entry","43 Cost Amount (Actual)","41 Source Type",$C$5,"5 Source no.",$C1812,"4 Item Ledger Entry Type",$C$4,"2 Item No.","@@"&amp;$F1812,"3 Posting Date",J$9)</t>
  </si>
  <si>
    <t>=NL("Sum","5802 Value Entry","150 Sales Amount (Expected)","41 Source Type",$C$5,"5 Source No.",$C1812,"4 Item Ledger Entry Type",$C$4,"2 Item No.","@@"&amp;$F1812,"3 Posting Date",O$9)+NL("Sum","5802 Value Entry","17 Sales Amount (Actual)","41 Source Type",$C$5,"5 Source no.",$C1812,"4 Item Ledger Entry Type",$C$4,"2 Item No.","@@"&amp;$F1812,"3 Posting Date",O$9)</t>
  </si>
  <si>
    <t>=-NL("Sum","5802 Value Entry","151 Cost Amount (Expected)","41 Source Type",$C$5,"5 Source No.",$C1812,"4 Item Ledger Entry Type",$C$4,"2 Item No.","@@"&amp;$F1812,"3 Posting Date",O$9)-NL("Sum","5802 Value Entry","43 Cost Amount (Actual)","41 Source Type",$C$5,"5 Source no.",$C1812,"4 Item Ledger Entry Type",$C$4,"2 Item No.","@@"&amp;$F1812,"3 Posting Date",O$9)</t>
  </si>
  <si>
    <t>=NL("Sum","5802 Value Entry","150 Sales Amount (Expected)","41 Source Type",$C$5,"5 Source No.",$C1812,"4 Item Ledger Entry Type",$C$4,"2 Item No.","@@"&amp;$F1812,"3 Posting Date",U$9)+NL("Sum","5802 Value Entry","17 Sales Amount (Actual)","41 Source Type",$C$5,"5 Source no.",$C1812,"4 Item Ledger Entry Type",$C$4,"2 Item No.","@@"&amp;$F1812,"3 Posting Date",U$9)</t>
  </si>
  <si>
    <t>=-NL("Sum","5802 Value Entry","151 Cost Amount (Expected)","41 Source Type",$C$5,"5 Source No.",$C1812,"4 Item Ledger Entry Type",$C$4,"2 Item No.","@@"&amp;$F1812,"3 Posting Date",U$9)-NL("Sum","5802 Value Entry","43 Cost Amount (Actual)","41 Source Type",$C$5,"5 Source no.",$C1812,"4 Item Ledger Entry Type",$C$4,"2 Item No.","@@"&amp;$F1812,"3 Posting Date",U$9)</t>
  </si>
  <si>
    <t>=NL("Sum","5802 Value Entry","150 Sales Amount (Expected)","41 Source Type",$C$5,"5 Source No.",$C1812,"4 Item Ledger Entry Type",$C$4,"2 Item No.","@@"&amp;$F1812,"3 Posting Date",Z$9)+NL("Sum","5802 Value Entry","17 Sales Amount (Actual)","41 Source Type",$C$5,"5 Source no.",$C1812,"4 Item Ledger Entry Type",$C$4,"2 Item No.","@@"&amp;$F1812,"3 Posting Date",Z$9)</t>
  </si>
  <si>
    <t>=-NL("Sum","5802 Value Entry","151 Cost Amount (Expected)","41 Source Type",$C$5,"5 Source No.",$C1812,"4 Item Ledger Entry Type",$C$4,"2 Item No.","@@"&amp;$F1812,"3 Posting Date",Z$9)-NL("Sum","5802 Value Entry","43 Cost Amount (Actual)","41 Source Type",$C$5,"5 Source no.",$C1812,"4 Item Ledger Entry Type",$C$4,"2 Item No.","@@"&amp;$F1812,"3 Posting Date",Z$9)</t>
  </si>
  <si>
    <t>=C1812</t>
  </si>
  <si>
    <t>=NL("Sum","5802 Value Entry","150 Sales Amount (Expected)","41 Source Type",$C$5,"5 Source No.",$C1813,"4 Item Ledger Entry Type",$C$4,"2 Item No.","@@"&amp;$F1813,"3 Posting Date",J$9)+NL("Sum","5802 Value Entry","17 Sales Amount (Actual)","41 Source Type",$C$5,"5 Source no.",$C1813,"4 Item Ledger Entry Type",$C$4,"2 Item No.","@@"&amp;$F1813,"3 Posting Date",J$9)</t>
  </si>
  <si>
    <t>=-NL("Sum","5802 Value Entry","151 Cost Amount (Expected)","41 Source Type",$C$5,"5 Source No.",$C1813,"4 Item Ledger Entry Type",$C$4,"2 Item No.","@@"&amp;$F1813,"3 Posting Date",J$9)-NL("Sum","5802 Value Entry","43 Cost Amount (Actual)","41 Source Type",$C$5,"5 Source no.",$C1813,"4 Item Ledger Entry Type",$C$4,"2 Item No.","@@"&amp;$F1813,"3 Posting Date",J$9)</t>
  </si>
  <si>
    <t>=J1813-L1813</t>
  </si>
  <si>
    <t>=IF(J1813&lt;&gt;0,M1813/J1813,"")</t>
  </si>
  <si>
    <t>=NL("Sum","5802 Value Entry","150 Sales Amount (Expected)","41 Source Type",$C$5,"5 Source No.",$C1813,"4 Item Ledger Entry Type",$C$4,"2 Item No.","@@"&amp;$F1813,"3 Posting Date",O$9)+NL("Sum","5802 Value Entry","17 Sales Amount (Actual)","41 Source Type",$C$5,"5 Source no.",$C1813,"4 Item Ledger Entry Type",$C$4,"2 Item No.","@@"&amp;$F1813,"3 Posting Date",O$9)</t>
  </si>
  <si>
    <t>=-NL("Sum","5802 Value Entry","151 Cost Amount (Expected)","41 Source Type",$C$5,"5 Source No.",$C1813,"4 Item Ledger Entry Type",$C$4,"2 Item No.","@@"&amp;$F1813,"3 Posting Date",O$9)-NL("Sum","5802 Value Entry","43 Cost Amount (Actual)","41 Source Type",$C$5,"5 Source no.",$C1813,"4 Item Ledger Entry Type",$C$4,"2 Item No.","@@"&amp;$F1813,"3 Posting Date",O$9)</t>
  </si>
  <si>
    <t>=O1813-Q1813</t>
  </si>
  <si>
    <t>=IF(O1813&lt;&gt;0,R1813/O1813,"")</t>
  </si>
  <si>
    <t>=NL("Sum","5802 Value Entry","150 Sales Amount (Expected)","41 Source Type",$C$5,"5 Source No.",$C1813,"4 Item Ledger Entry Type",$C$4,"2 Item No.","@@"&amp;$F1813,"3 Posting Date",U$9)+NL("Sum","5802 Value Entry","17 Sales Amount (Actual)","41 Source Type",$C$5,"5 Source no.",$C1813,"4 Item Ledger Entry Type",$C$4,"2 Item No.","@@"&amp;$F1813,"3 Posting Date",U$9)</t>
  </si>
  <si>
    <t>=-NL("Sum","5802 Value Entry","151 Cost Amount (Expected)","41 Source Type",$C$5,"5 Source No.",$C1813,"4 Item Ledger Entry Type",$C$4,"2 Item No.","@@"&amp;$F1813,"3 Posting Date",U$9)-NL("Sum","5802 Value Entry","43 Cost Amount (Actual)","41 Source Type",$C$5,"5 Source no.",$C1813,"4 Item Ledger Entry Type",$C$4,"2 Item No.","@@"&amp;$F1813,"3 Posting Date",U$9)</t>
  </si>
  <si>
    <t>=U1813-W1813</t>
  </si>
  <si>
    <t>=IF(U1813&lt;&gt;0,X1813/U1813,"")</t>
  </si>
  <si>
    <t>=NL("Sum","5802 Value Entry","150 Sales Amount (Expected)","41 Source Type",$C$5,"5 Source No.",$C1813,"4 Item Ledger Entry Type",$C$4,"2 Item No.","@@"&amp;$F1813,"3 Posting Date",Z$9)+NL("Sum","5802 Value Entry","17 Sales Amount (Actual)","41 Source Type",$C$5,"5 Source no.",$C1813,"4 Item Ledger Entry Type",$C$4,"2 Item No.","@@"&amp;$F1813,"3 Posting Date",Z$9)</t>
  </si>
  <si>
    <t>=-NL("Sum","5802 Value Entry","151 Cost Amount (Expected)","41 Source Type",$C$5,"5 Source No.",$C1813,"4 Item Ledger Entry Type",$C$4,"2 Item No.","@@"&amp;$F1813,"3 Posting Date",Z$9)-NL("Sum","5802 Value Entry","43 Cost Amount (Actual)","41 Source Type",$C$5,"5 Source no.",$C1813,"4 Item Ledger Entry Type",$C$4,"2 Item No.","@@"&amp;$F1813,"3 Posting Date",Z$9)</t>
  </si>
  <si>
    <t>=Z1813-AB1813</t>
  </si>
  <si>
    <t>=IF(Z1813&lt;&gt;0,AC1813/Z1813,"")</t>
  </si>
  <si>
    <t>=C1813</t>
  </si>
  <si>
    <t>=NL("Sum","5802 Value Entry","150 Sales Amount (Expected)","41 Source Type",$C$5,"5 Source No.",$C1814,"4 Item Ledger Entry Type",$C$4,"2 Item No.","@@"&amp;$F1814,"3 Posting Date",J$9)+NL("Sum","5802 Value Entry","17 Sales Amount (Actual)","41 Source Type",$C$5,"5 Source no.",$C1814,"4 Item Ledger Entry Type",$C$4,"2 Item No.","@@"&amp;$F1814,"3 Posting Date",J$9)</t>
  </si>
  <si>
    <t>=-NL("Sum","5802 Value Entry","151 Cost Amount (Expected)","41 Source Type",$C$5,"5 Source No.",$C1814,"4 Item Ledger Entry Type",$C$4,"2 Item No.","@@"&amp;$F1814,"3 Posting Date",J$9)-NL("Sum","5802 Value Entry","43 Cost Amount (Actual)","41 Source Type",$C$5,"5 Source no.",$C1814,"4 Item Ledger Entry Type",$C$4,"2 Item No.","@@"&amp;$F1814,"3 Posting Date",J$9)</t>
  </si>
  <si>
    <t>=J1814-L1814</t>
  </si>
  <si>
    <t>=IF(J1814&lt;&gt;0,M1814/J1814,"")</t>
  </si>
  <si>
    <t>=NL("Sum","5802 Value Entry","150 Sales Amount (Expected)","41 Source Type",$C$5,"5 Source No.",$C1814,"4 Item Ledger Entry Type",$C$4,"2 Item No.","@@"&amp;$F1814,"3 Posting Date",O$9)+NL("Sum","5802 Value Entry","17 Sales Amount (Actual)","41 Source Type",$C$5,"5 Source no.",$C1814,"4 Item Ledger Entry Type",$C$4,"2 Item No.","@@"&amp;$F1814,"3 Posting Date",O$9)</t>
  </si>
  <si>
    <t>=-NL("Sum","5802 Value Entry","151 Cost Amount (Expected)","41 Source Type",$C$5,"5 Source No.",$C1814,"4 Item Ledger Entry Type",$C$4,"2 Item No.","@@"&amp;$F1814,"3 Posting Date",O$9)-NL("Sum","5802 Value Entry","43 Cost Amount (Actual)","41 Source Type",$C$5,"5 Source no.",$C1814,"4 Item Ledger Entry Type",$C$4,"2 Item No.","@@"&amp;$F1814,"3 Posting Date",O$9)</t>
  </si>
  <si>
    <t>=O1814-Q1814</t>
  </si>
  <si>
    <t>=IF(O1814&lt;&gt;0,R1814/O1814,"")</t>
  </si>
  <si>
    <t>=NL("Sum","5802 Value Entry","150 Sales Amount (Expected)","41 Source Type",$C$5,"5 Source No.",$C1814,"4 Item Ledger Entry Type",$C$4,"2 Item No.","@@"&amp;$F1814,"3 Posting Date",U$9)+NL("Sum","5802 Value Entry","17 Sales Amount (Actual)","41 Source Type",$C$5,"5 Source no.",$C1814,"4 Item Ledger Entry Type",$C$4,"2 Item No.","@@"&amp;$F1814,"3 Posting Date",U$9)</t>
  </si>
  <si>
    <t>=-NL("Sum","5802 Value Entry","151 Cost Amount (Expected)","41 Source Type",$C$5,"5 Source No.",$C1814,"4 Item Ledger Entry Type",$C$4,"2 Item No.","@@"&amp;$F1814,"3 Posting Date",U$9)-NL("Sum","5802 Value Entry","43 Cost Amount (Actual)","41 Source Type",$C$5,"5 Source no.",$C1814,"4 Item Ledger Entry Type",$C$4,"2 Item No.","@@"&amp;$F1814,"3 Posting Date",U$9)</t>
  </si>
  <si>
    <t>=U1814-W1814</t>
  </si>
  <si>
    <t>=IF(U1814&lt;&gt;0,X1814/U1814,"")</t>
  </si>
  <si>
    <t>=NL("Sum","5802 Value Entry","150 Sales Amount (Expected)","41 Source Type",$C$5,"5 Source No.",$C1814,"4 Item Ledger Entry Type",$C$4,"2 Item No.","@@"&amp;$F1814,"3 Posting Date",Z$9)+NL("Sum","5802 Value Entry","17 Sales Amount (Actual)","41 Source Type",$C$5,"5 Source no.",$C1814,"4 Item Ledger Entry Type",$C$4,"2 Item No.","@@"&amp;$F1814,"3 Posting Date",Z$9)</t>
  </si>
  <si>
    <t>=-NL("Sum","5802 Value Entry","151 Cost Amount (Expected)","41 Source Type",$C$5,"5 Source No.",$C1814,"4 Item Ledger Entry Type",$C$4,"2 Item No.","@@"&amp;$F1814,"3 Posting Date",Z$9)-NL("Sum","5802 Value Entry","43 Cost Amount (Actual)","41 Source Type",$C$5,"5 Source no.",$C1814,"4 Item Ledger Entry Type",$C$4,"2 Item No.","@@"&amp;$F1814,"3 Posting Date",Z$9)</t>
  </si>
  <si>
    <t>=Z1814-AB1814</t>
  </si>
  <si>
    <t>=IF(Z1814&lt;&gt;0,AC1814/Z1814,"")</t>
  </si>
  <si>
    <t>=NL("Sum","5802 Value Entry","150 Sales Amount (Expected)","41 Source Type",$C$5,"5 Source No.",$C1815,"4 Item Ledger Entry Type",$C$4,"2 Item No.","@@"&amp;$F1815,"3 Posting Date",J$9)+NL("Sum","5802 Value Entry","17 Sales Amount (Actual)","41 Source Type",$C$5,"5 Source no.",$C1815,"4 Item Ledger Entry Type",$C$4,"2 Item No.","@@"&amp;$F1815,"3 Posting Date",J$9)</t>
  </si>
  <si>
    <t>=-NL("Sum","5802 Value Entry","151 Cost Amount (Expected)","41 Source Type",$C$5,"5 Source No.",$C1815,"4 Item Ledger Entry Type",$C$4,"2 Item No.","@@"&amp;$F1815,"3 Posting Date",J$9)-NL("Sum","5802 Value Entry","43 Cost Amount (Actual)","41 Source Type",$C$5,"5 Source no.",$C1815,"4 Item Ledger Entry Type",$C$4,"2 Item No.","@@"&amp;$F1815,"3 Posting Date",J$9)</t>
  </si>
  <si>
    <t>=J1815-L1815</t>
  </si>
  <si>
    <t>=IF(J1815&lt;&gt;0,M1815/J1815,"")</t>
  </si>
  <si>
    <t>=NL("Sum","5802 Value Entry","150 Sales Amount (Expected)","41 Source Type",$C$5,"5 Source No.",$C1815,"4 Item Ledger Entry Type",$C$4,"2 Item No.","@@"&amp;$F1815,"3 Posting Date",O$9)+NL("Sum","5802 Value Entry","17 Sales Amount (Actual)","41 Source Type",$C$5,"5 Source no.",$C1815,"4 Item Ledger Entry Type",$C$4,"2 Item No.","@@"&amp;$F1815,"3 Posting Date",O$9)</t>
  </si>
  <si>
    <t>=-NL("Sum","5802 Value Entry","151 Cost Amount (Expected)","41 Source Type",$C$5,"5 Source No.",$C1815,"4 Item Ledger Entry Type",$C$4,"2 Item No.","@@"&amp;$F1815,"3 Posting Date",O$9)-NL("Sum","5802 Value Entry","43 Cost Amount (Actual)","41 Source Type",$C$5,"5 Source no.",$C1815,"4 Item Ledger Entry Type",$C$4,"2 Item No.","@@"&amp;$F1815,"3 Posting Date",O$9)</t>
  </si>
  <si>
    <t>=O1815-Q1815</t>
  </si>
  <si>
    <t>=IF(O1815&lt;&gt;0,R1815/O1815,"")</t>
  </si>
  <si>
    <t>=NL("Sum","5802 Value Entry","150 Sales Amount (Expected)","41 Source Type",$C$5,"5 Source No.",$C1815,"4 Item Ledger Entry Type",$C$4,"2 Item No.","@@"&amp;$F1815,"3 Posting Date",U$9)+NL("Sum","5802 Value Entry","17 Sales Amount (Actual)","41 Source Type",$C$5,"5 Source no.",$C1815,"4 Item Ledger Entry Type",$C$4,"2 Item No.","@@"&amp;$F1815,"3 Posting Date",U$9)</t>
  </si>
  <si>
    <t>=-NL("Sum","5802 Value Entry","151 Cost Amount (Expected)","41 Source Type",$C$5,"5 Source No.",$C1815,"4 Item Ledger Entry Type",$C$4,"2 Item No.","@@"&amp;$F1815,"3 Posting Date",U$9)-NL("Sum","5802 Value Entry","43 Cost Amount (Actual)","41 Source Type",$C$5,"5 Source no.",$C1815,"4 Item Ledger Entry Type",$C$4,"2 Item No.","@@"&amp;$F1815,"3 Posting Date",U$9)</t>
  </si>
  <si>
    <t>=U1815-W1815</t>
  </si>
  <si>
    <t>=IF(U1815&lt;&gt;0,X1815/U1815,"")</t>
  </si>
  <si>
    <t>=NL("Sum","5802 Value Entry","150 Sales Amount (Expected)","41 Source Type",$C$5,"5 Source No.",$C1815,"4 Item Ledger Entry Type",$C$4,"2 Item No.","@@"&amp;$F1815,"3 Posting Date",Z$9)+NL("Sum","5802 Value Entry","17 Sales Amount (Actual)","41 Source Type",$C$5,"5 Source no.",$C1815,"4 Item Ledger Entry Type",$C$4,"2 Item No.","@@"&amp;$F1815,"3 Posting Date",Z$9)</t>
  </si>
  <si>
    <t>=-NL("Sum","5802 Value Entry","151 Cost Amount (Expected)","41 Source Type",$C$5,"5 Source No.",$C1815,"4 Item Ledger Entry Type",$C$4,"2 Item No.","@@"&amp;$F1815,"3 Posting Date",Z$9)-NL("Sum","5802 Value Entry","43 Cost Amount (Actual)","41 Source Type",$C$5,"5 Source no.",$C1815,"4 Item Ledger Entry Type",$C$4,"2 Item No.","@@"&amp;$F1815,"3 Posting Date",Z$9)</t>
  </si>
  <si>
    <t>=Z1815-AB1815</t>
  </si>
  <si>
    <t>=IF(Z1815&lt;&gt;0,AC1815/Z1815,"")</t>
  </si>
  <si>
    <t>=C1835&amp;" TOTAL:"</t>
  </si>
  <si>
    <t>=SUBTOTAL(9,J1801:J1834)</t>
  </si>
  <si>
    <t>=SUBTOTAL(9,K1801:K1834)</t>
  </si>
  <si>
    <t>=SUBTOTAL(9,L1801:L1834)</t>
  </si>
  <si>
    <t>=SUBTOTAL(9,O1801:O1834)</t>
  </si>
  <si>
    <t>=SUBTOTAL(9,P1801:P1834)</t>
  </si>
  <si>
    <t>=SUBTOTAL(9,Q1801:Q1834)</t>
  </si>
  <si>
    <t>=SUBTOTAL(9,U1801:U1834)</t>
  </si>
  <si>
    <t>=SUBTOTAL(9,V1801:V1834)</t>
  </si>
  <si>
    <t>=SUBTOTAL(9,W1801:W1834)</t>
  </si>
  <si>
    <t>=SUBTOTAL(9,Z1801:Z1834)</t>
  </si>
  <si>
    <t>=SUBTOTAL(9,AA1801:AA1834)</t>
  </si>
  <si>
    <t>=SUBTOTAL(9,AB1801:AB1834)</t>
  </si>
  <si>
    <t>=E1837</t>
  </si>
  <si>
    <t>=NL(,"18 Customer","2 Name","1 No.",$E1837)</t>
  </si>
  <si>
    <t>=NL("Rows","5802 Value Entry","2 Item No.","4 Item Ledger Entry Type",$C$4,"41 Source Type",$C$5,"5 Source No.",$C1839,"Item No.",$C$7,"3 Posting Date",$C$10)</t>
  </si>
  <si>
    <t>=C1839</t>
  </si>
  <si>
    <t>=NL("Sum","5802 Value Entry","150 Sales Amount (Expected)","41 Source Type",$C$5,"5 Source No.",$C1840,"4 Item Ledger Entry Type",$C$4,"2 Item No.","@@"&amp;$F1840,"3 Posting Date",J$9)+NL("Sum","5802 Value Entry","17 Sales Amount (Actual)","41 Source Type",$C$5,"5 Source no.",$C1840,"4 Item Ledger Entry Type",$C$4,"2 Item No.","@@"&amp;$F1840,"3 Posting Date",J$9)</t>
  </si>
  <si>
    <t>=-NL("Sum","5802 Value Entry","151 Cost Amount (Expected)","41 Source Type",$C$5,"5 Source No.",$C1840,"4 Item Ledger Entry Type",$C$4,"2 Item No.","@@"&amp;$F1840,"3 Posting Date",J$9)-NL("Sum","5802 Value Entry","43 Cost Amount (Actual)","41 Source Type",$C$5,"5 Source no.",$C1840,"4 Item Ledger Entry Type",$C$4,"2 Item No.","@@"&amp;$F1840,"3 Posting Date",J$9)</t>
  </si>
  <si>
    <t>=J1840-L1840</t>
  </si>
  <si>
    <t>=IF(J1840&lt;&gt;0,M1840/J1840,"")</t>
  </si>
  <si>
    <t>=NL("Sum","5802 Value Entry","150 Sales Amount (Expected)","41 Source Type",$C$5,"5 Source No.",$C1840,"4 Item Ledger Entry Type",$C$4,"2 Item No.","@@"&amp;$F1840,"3 Posting Date",O$9)+NL("Sum","5802 Value Entry","17 Sales Amount (Actual)","41 Source Type",$C$5,"5 Source no.",$C1840,"4 Item Ledger Entry Type",$C$4,"2 Item No.","@@"&amp;$F1840,"3 Posting Date",O$9)</t>
  </si>
  <si>
    <t>=-NL("Sum","5802 Value Entry","151 Cost Amount (Expected)","41 Source Type",$C$5,"5 Source No.",$C1840,"4 Item Ledger Entry Type",$C$4,"2 Item No.","@@"&amp;$F1840,"3 Posting Date",O$9)-NL("Sum","5802 Value Entry","43 Cost Amount (Actual)","41 Source Type",$C$5,"5 Source no.",$C1840,"4 Item Ledger Entry Type",$C$4,"2 Item No.","@@"&amp;$F1840,"3 Posting Date",O$9)</t>
  </si>
  <si>
    <t>=O1840-Q1840</t>
  </si>
  <si>
    <t>=IF(O1840&lt;&gt;0,R1840/O1840,"")</t>
  </si>
  <si>
    <t>=NL("Sum","5802 Value Entry","150 Sales Amount (Expected)","41 Source Type",$C$5,"5 Source No.",$C1840,"4 Item Ledger Entry Type",$C$4,"2 Item No.","@@"&amp;$F1840,"3 Posting Date",U$9)+NL("Sum","5802 Value Entry","17 Sales Amount (Actual)","41 Source Type",$C$5,"5 Source no.",$C1840,"4 Item Ledger Entry Type",$C$4,"2 Item No.","@@"&amp;$F1840,"3 Posting Date",U$9)</t>
  </si>
  <si>
    <t>=-NL("Sum","5802 Value Entry","151 Cost Amount (Expected)","41 Source Type",$C$5,"5 Source No.",$C1840,"4 Item Ledger Entry Type",$C$4,"2 Item No.","@@"&amp;$F1840,"3 Posting Date",U$9)-NL("Sum","5802 Value Entry","43 Cost Amount (Actual)","41 Source Type",$C$5,"5 Source no.",$C1840,"4 Item Ledger Entry Type",$C$4,"2 Item No.","@@"&amp;$F1840,"3 Posting Date",U$9)</t>
  </si>
  <si>
    <t>=U1840-W1840</t>
  </si>
  <si>
    <t>=IF(U1840&lt;&gt;0,X1840/U1840,"")</t>
  </si>
  <si>
    <t>=NL("Sum","5802 Value Entry","150 Sales Amount (Expected)","41 Source Type",$C$5,"5 Source No.",$C1840,"4 Item Ledger Entry Type",$C$4,"2 Item No.","@@"&amp;$F1840,"3 Posting Date",Z$9)+NL("Sum","5802 Value Entry","17 Sales Amount (Actual)","41 Source Type",$C$5,"5 Source no.",$C1840,"4 Item Ledger Entry Type",$C$4,"2 Item No.","@@"&amp;$F1840,"3 Posting Date",Z$9)</t>
  </si>
  <si>
    <t>=-NL("Sum","5802 Value Entry","151 Cost Amount (Expected)","41 Source Type",$C$5,"5 Source No.",$C1840,"4 Item Ledger Entry Type",$C$4,"2 Item No.","@@"&amp;$F1840,"3 Posting Date",Z$9)-NL("Sum","5802 Value Entry","43 Cost Amount (Actual)","41 Source Type",$C$5,"5 Source no.",$C1840,"4 Item Ledger Entry Type",$C$4,"2 Item No.","@@"&amp;$F1840,"3 Posting Date",Z$9)</t>
  </si>
  <si>
    <t>=Z1840-AB1840</t>
  </si>
  <si>
    <t>=IF(Z1840&lt;&gt;0,AC1840/Z1840,"")</t>
  </si>
  <si>
    <t>=NL("Sum","5802 Value Entry","150 Sales Amount (Expected)","41 Source Type",$C$5,"5 Source No.",$C1841,"4 Item Ledger Entry Type",$C$4,"2 Item No.","@@"&amp;$F1841,"3 Posting Date",J$9)+NL("Sum","5802 Value Entry","17 Sales Amount (Actual)","41 Source Type",$C$5,"5 Source no.",$C1841,"4 Item Ledger Entry Type",$C$4,"2 Item No.","@@"&amp;$F1841,"3 Posting Date",J$9)</t>
  </si>
  <si>
    <t>=-NL("Sum","5802 Value Entry","151 Cost Amount (Expected)","41 Source Type",$C$5,"5 Source No.",$C1841,"4 Item Ledger Entry Type",$C$4,"2 Item No.","@@"&amp;$F1841,"3 Posting Date",J$9)-NL("Sum","5802 Value Entry","43 Cost Amount (Actual)","41 Source Type",$C$5,"5 Source no.",$C1841,"4 Item Ledger Entry Type",$C$4,"2 Item No.","@@"&amp;$F1841,"3 Posting Date",J$9)</t>
  </si>
  <si>
    <t>=NL("Sum","5802 Value Entry","150 Sales Amount (Expected)","41 Source Type",$C$5,"5 Source No.",$C1841,"4 Item Ledger Entry Type",$C$4,"2 Item No.","@@"&amp;$F1841,"3 Posting Date",O$9)+NL("Sum","5802 Value Entry","17 Sales Amount (Actual)","41 Source Type",$C$5,"5 Source no.",$C1841,"4 Item Ledger Entry Type",$C$4,"2 Item No.","@@"&amp;$F1841,"3 Posting Date",O$9)</t>
  </si>
  <si>
    <t>=-NL("Sum","5802 Value Entry","151 Cost Amount (Expected)","41 Source Type",$C$5,"5 Source No.",$C1841,"4 Item Ledger Entry Type",$C$4,"2 Item No.","@@"&amp;$F1841,"3 Posting Date",O$9)-NL("Sum","5802 Value Entry","43 Cost Amount (Actual)","41 Source Type",$C$5,"5 Source no.",$C1841,"4 Item Ledger Entry Type",$C$4,"2 Item No.","@@"&amp;$F1841,"3 Posting Date",O$9)</t>
  </si>
  <si>
    <t>=NL("Sum","5802 Value Entry","150 Sales Amount (Expected)","41 Source Type",$C$5,"5 Source No.",$C1841,"4 Item Ledger Entry Type",$C$4,"2 Item No.","@@"&amp;$F1841,"3 Posting Date",U$9)+NL("Sum","5802 Value Entry","17 Sales Amount (Actual)","41 Source Type",$C$5,"5 Source no.",$C1841,"4 Item Ledger Entry Type",$C$4,"2 Item No.","@@"&amp;$F1841,"3 Posting Date",U$9)</t>
  </si>
  <si>
    <t>=-NL("Sum","5802 Value Entry","151 Cost Amount (Expected)","41 Source Type",$C$5,"5 Source No.",$C1841,"4 Item Ledger Entry Type",$C$4,"2 Item No.","@@"&amp;$F1841,"3 Posting Date",U$9)-NL("Sum","5802 Value Entry","43 Cost Amount (Actual)","41 Source Type",$C$5,"5 Source no.",$C1841,"4 Item Ledger Entry Type",$C$4,"2 Item No.","@@"&amp;$F1841,"3 Posting Date",U$9)</t>
  </si>
  <si>
    <t>=NL("Sum","5802 Value Entry","150 Sales Amount (Expected)","41 Source Type",$C$5,"5 Source No.",$C1841,"4 Item Ledger Entry Type",$C$4,"2 Item No.","@@"&amp;$F1841,"3 Posting Date",Z$9)+NL("Sum","5802 Value Entry","17 Sales Amount (Actual)","41 Source Type",$C$5,"5 Source no.",$C1841,"4 Item Ledger Entry Type",$C$4,"2 Item No.","@@"&amp;$F1841,"3 Posting Date",Z$9)</t>
  </si>
  <si>
    <t>=-NL("Sum","5802 Value Entry","151 Cost Amount (Expected)","41 Source Type",$C$5,"5 Source No.",$C1841,"4 Item Ledger Entry Type",$C$4,"2 Item No.","@@"&amp;$F1841,"3 Posting Date",Z$9)-NL("Sum","5802 Value Entry","43 Cost Amount (Actual)","41 Source Type",$C$5,"5 Source no.",$C1841,"4 Item Ledger Entry Type",$C$4,"2 Item No.","@@"&amp;$F1841,"3 Posting Date",Z$9)</t>
  </si>
  <si>
    <t>=C1841</t>
  </si>
  <si>
    <t>=NL("Sum","5802 Value Entry","150 Sales Amount (Expected)","41 Source Type",$C$5,"5 Source No.",$C1842,"4 Item Ledger Entry Type",$C$4,"2 Item No.","@@"&amp;$F1842,"3 Posting Date",J$9)+NL("Sum","5802 Value Entry","17 Sales Amount (Actual)","41 Source Type",$C$5,"5 Source no.",$C1842,"4 Item Ledger Entry Type",$C$4,"2 Item No.","@@"&amp;$F1842,"3 Posting Date",J$9)</t>
  </si>
  <si>
    <t>=-NL("Sum","5802 Value Entry","151 Cost Amount (Expected)","41 Source Type",$C$5,"5 Source No.",$C1842,"4 Item Ledger Entry Type",$C$4,"2 Item No.","@@"&amp;$F1842,"3 Posting Date",J$9)-NL("Sum","5802 Value Entry","43 Cost Amount (Actual)","41 Source Type",$C$5,"5 Source no.",$C1842,"4 Item Ledger Entry Type",$C$4,"2 Item No.","@@"&amp;$F1842,"3 Posting Date",J$9)</t>
  </si>
  <si>
    <t>=J1842-L1842</t>
  </si>
  <si>
    <t>=IF(J1842&lt;&gt;0,M1842/J1842,"")</t>
  </si>
  <si>
    <t>=NL("Sum","5802 Value Entry","150 Sales Amount (Expected)","41 Source Type",$C$5,"5 Source No.",$C1842,"4 Item Ledger Entry Type",$C$4,"2 Item No.","@@"&amp;$F1842,"3 Posting Date",O$9)+NL("Sum","5802 Value Entry","17 Sales Amount (Actual)","41 Source Type",$C$5,"5 Source no.",$C1842,"4 Item Ledger Entry Type",$C$4,"2 Item No.","@@"&amp;$F1842,"3 Posting Date",O$9)</t>
  </si>
  <si>
    <t>=-NL("Sum","5802 Value Entry","151 Cost Amount (Expected)","41 Source Type",$C$5,"5 Source No.",$C1842,"4 Item Ledger Entry Type",$C$4,"2 Item No.","@@"&amp;$F1842,"3 Posting Date",O$9)-NL("Sum","5802 Value Entry","43 Cost Amount (Actual)","41 Source Type",$C$5,"5 Source no.",$C1842,"4 Item Ledger Entry Type",$C$4,"2 Item No.","@@"&amp;$F1842,"3 Posting Date",O$9)</t>
  </si>
  <si>
    <t>=O1842-Q1842</t>
  </si>
  <si>
    <t>=IF(O1842&lt;&gt;0,R1842/O1842,"")</t>
  </si>
  <si>
    <t>=NL("Sum","5802 Value Entry","150 Sales Amount (Expected)","41 Source Type",$C$5,"5 Source No.",$C1842,"4 Item Ledger Entry Type",$C$4,"2 Item No.","@@"&amp;$F1842,"3 Posting Date",U$9)+NL("Sum","5802 Value Entry","17 Sales Amount (Actual)","41 Source Type",$C$5,"5 Source no.",$C1842,"4 Item Ledger Entry Type",$C$4,"2 Item No.","@@"&amp;$F1842,"3 Posting Date",U$9)</t>
  </si>
  <si>
    <t>=-NL("Sum","5802 Value Entry","151 Cost Amount (Expected)","41 Source Type",$C$5,"5 Source No.",$C1842,"4 Item Ledger Entry Type",$C$4,"2 Item No.","@@"&amp;$F1842,"3 Posting Date",U$9)-NL("Sum","5802 Value Entry","43 Cost Amount (Actual)","41 Source Type",$C$5,"5 Source no.",$C1842,"4 Item Ledger Entry Type",$C$4,"2 Item No.","@@"&amp;$F1842,"3 Posting Date",U$9)</t>
  </si>
  <si>
    <t>=U1842-W1842</t>
  </si>
  <si>
    <t>=IF(U1842&lt;&gt;0,X1842/U1842,"")</t>
  </si>
  <si>
    <t>=NL("Sum","5802 Value Entry","150 Sales Amount (Expected)","41 Source Type",$C$5,"5 Source No.",$C1842,"4 Item Ledger Entry Type",$C$4,"2 Item No.","@@"&amp;$F1842,"3 Posting Date",Z$9)+NL("Sum","5802 Value Entry","17 Sales Amount (Actual)","41 Source Type",$C$5,"5 Source no.",$C1842,"4 Item Ledger Entry Type",$C$4,"2 Item No.","@@"&amp;$F1842,"3 Posting Date",Z$9)</t>
  </si>
  <si>
    <t>=-NL("Sum","5802 Value Entry","151 Cost Amount (Expected)","41 Source Type",$C$5,"5 Source No.",$C1842,"4 Item Ledger Entry Type",$C$4,"2 Item No.","@@"&amp;$F1842,"3 Posting Date",Z$9)-NL("Sum","5802 Value Entry","43 Cost Amount (Actual)","41 Source Type",$C$5,"5 Source no.",$C1842,"4 Item Ledger Entry Type",$C$4,"2 Item No.","@@"&amp;$F1842,"3 Posting Date",Z$9)</t>
  </si>
  <si>
    <t>=Z1842-AB1842</t>
  </si>
  <si>
    <t>=IF(Z1842&lt;&gt;0,AC1842/Z1842,"")</t>
  </si>
  <si>
    <t>=C1842</t>
  </si>
  <si>
    <t>=NL("Sum","5802 Value Entry","150 Sales Amount (Expected)","41 Source Type",$C$5,"5 Source No.",$C1843,"4 Item Ledger Entry Type",$C$4,"2 Item No.","@@"&amp;$F1843,"3 Posting Date",J$9)+NL("Sum","5802 Value Entry","17 Sales Amount (Actual)","41 Source Type",$C$5,"5 Source no.",$C1843,"4 Item Ledger Entry Type",$C$4,"2 Item No.","@@"&amp;$F1843,"3 Posting Date",J$9)</t>
  </si>
  <si>
    <t>=-NL("Sum","5802 Value Entry","151 Cost Amount (Expected)","41 Source Type",$C$5,"5 Source No.",$C1843,"4 Item Ledger Entry Type",$C$4,"2 Item No.","@@"&amp;$F1843,"3 Posting Date",J$9)-NL("Sum","5802 Value Entry","43 Cost Amount (Actual)","41 Source Type",$C$5,"5 Source no.",$C1843,"4 Item Ledger Entry Type",$C$4,"2 Item No.","@@"&amp;$F1843,"3 Posting Date",J$9)</t>
  </si>
  <si>
    <t>=J1843-L1843</t>
  </si>
  <si>
    <t>=IF(J1843&lt;&gt;0,M1843/J1843,"")</t>
  </si>
  <si>
    <t>=NL("Sum","5802 Value Entry","150 Sales Amount (Expected)","41 Source Type",$C$5,"5 Source No.",$C1843,"4 Item Ledger Entry Type",$C$4,"2 Item No.","@@"&amp;$F1843,"3 Posting Date",O$9)+NL("Sum","5802 Value Entry","17 Sales Amount (Actual)","41 Source Type",$C$5,"5 Source no.",$C1843,"4 Item Ledger Entry Type",$C$4,"2 Item No.","@@"&amp;$F1843,"3 Posting Date",O$9)</t>
  </si>
  <si>
    <t>=-NL("Sum","5802 Value Entry","151 Cost Amount (Expected)","41 Source Type",$C$5,"5 Source No.",$C1843,"4 Item Ledger Entry Type",$C$4,"2 Item No.","@@"&amp;$F1843,"3 Posting Date",O$9)-NL("Sum","5802 Value Entry","43 Cost Amount (Actual)","41 Source Type",$C$5,"5 Source no.",$C1843,"4 Item Ledger Entry Type",$C$4,"2 Item No.","@@"&amp;$F1843,"3 Posting Date",O$9)</t>
  </si>
  <si>
    <t>=O1843-Q1843</t>
  </si>
  <si>
    <t>=IF(O1843&lt;&gt;0,R1843/O1843,"")</t>
  </si>
  <si>
    <t>=NL("Sum","5802 Value Entry","150 Sales Amount (Expected)","41 Source Type",$C$5,"5 Source No.",$C1843,"4 Item Ledger Entry Type",$C$4,"2 Item No.","@@"&amp;$F1843,"3 Posting Date",U$9)+NL("Sum","5802 Value Entry","17 Sales Amount (Actual)","41 Source Type",$C$5,"5 Source no.",$C1843,"4 Item Ledger Entry Type",$C$4,"2 Item No.","@@"&amp;$F1843,"3 Posting Date",U$9)</t>
  </si>
  <si>
    <t>=-NL("Sum","5802 Value Entry","151 Cost Amount (Expected)","41 Source Type",$C$5,"5 Source No.",$C1843,"4 Item Ledger Entry Type",$C$4,"2 Item No.","@@"&amp;$F1843,"3 Posting Date",U$9)-NL("Sum","5802 Value Entry","43 Cost Amount (Actual)","41 Source Type",$C$5,"5 Source no.",$C1843,"4 Item Ledger Entry Type",$C$4,"2 Item No.","@@"&amp;$F1843,"3 Posting Date",U$9)</t>
  </si>
  <si>
    <t>=U1843-W1843</t>
  </si>
  <si>
    <t>=IF(U1843&lt;&gt;0,X1843/U1843,"")</t>
  </si>
  <si>
    <t>=NL("Sum","5802 Value Entry","150 Sales Amount (Expected)","41 Source Type",$C$5,"5 Source No.",$C1843,"4 Item Ledger Entry Type",$C$4,"2 Item No.","@@"&amp;$F1843,"3 Posting Date",Z$9)+NL("Sum","5802 Value Entry","17 Sales Amount (Actual)","41 Source Type",$C$5,"5 Source no.",$C1843,"4 Item Ledger Entry Type",$C$4,"2 Item No.","@@"&amp;$F1843,"3 Posting Date",Z$9)</t>
  </si>
  <si>
    <t>=-NL("Sum","5802 Value Entry","151 Cost Amount (Expected)","41 Source Type",$C$5,"5 Source No.",$C1843,"4 Item Ledger Entry Type",$C$4,"2 Item No.","@@"&amp;$F1843,"3 Posting Date",Z$9)-NL("Sum","5802 Value Entry","43 Cost Amount (Actual)","41 Source Type",$C$5,"5 Source no.",$C1843,"4 Item Ledger Entry Type",$C$4,"2 Item No.","@@"&amp;$F1843,"3 Posting Date",Z$9)</t>
  </si>
  <si>
    <t>=Z1843-AB1843</t>
  </si>
  <si>
    <t>=IF(Z1843&lt;&gt;0,AC1843/Z1843,"")</t>
  </si>
  <si>
    <t>=NL("Sum","5802 Value Entry","150 Sales Amount (Expected)","41 Source Type",$C$5,"5 Source No.",$C1844,"4 Item Ledger Entry Type",$C$4,"2 Item No.","@@"&amp;$F1844,"3 Posting Date",J$9)+NL("Sum","5802 Value Entry","17 Sales Amount (Actual)","41 Source Type",$C$5,"5 Source no.",$C1844,"4 Item Ledger Entry Type",$C$4,"2 Item No.","@@"&amp;$F1844,"3 Posting Date",J$9)</t>
  </si>
  <si>
    <t>=-NL("Sum","5802 Value Entry","151 Cost Amount (Expected)","41 Source Type",$C$5,"5 Source No.",$C1844,"4 Item Ledger Entry Type",$C$4,"2 Item No.","@@"&amp;$F1844,"3 Posting Date",J$9)-NL("Sum","5802 Value Entry","43 Cost Amount (Actual)","41 Source Type",$C$5,"5 Source no.",$C1844,"4 Item Ledger Entry Type",$C$4,"2 Item No.","@@"&amp;$F1844,"3 Posting Date",J$9)</t>
  </si>
  <si>
    <t>=J1844-L1844</t>
  </si>
  <si>
    <t>=IF(J1844&lt;&gt;0,M1844/J1844,"")</t>
  </si>
  <si>
    <t>=NL("Sum","5802 Value Entry","150 Sales Amount (Expected)","41 Source Type",$C$5,"5 Source No.",$C1844,"4 Item Ledger Entry Type",$C$4,"2 Item No.","@@"&amp;$F1844,"3 Posting Date",O$9)+NL("Sum","5802 Value Entry","17 Sales Amount (Actual)","41 Source Type",$C$5,"5 Source no.",$C1844,"4 Item Ledger Entry Type",$C$4,"2 Item No.","@@"&amp;$F1844,"3 Posting Date",O$9)</t>
  </si>
  <si>
    <t>=-NL("Sum","5802 Value Entry","151 Cost Amount (Expected)","41 Source Type",$C$5,"5 Source No.",$C1844,"4 Item Ledger Entry Type",$C$4,"2 Item No.","@@"&amp;$F1844,"3 Posting Date",O$9)-NL("Sum","5802 Value Entry","43 Cost Amount (Actual)","41 Source Type",$C$5,"5 Source no.",$C1844,"4 Item Ledger Entry Type",$C$4,"2 Item No.","@@"&amp;$F1844,"3 Posting Date",O$9)</t>
  </si>
  <si>
    <t>=O1844-Q1844</t>
  </si>
  <si>
    <t>=IF(O1844&lt;&gt;0,R1844/O1844,"")</t>
  </si>
  <si>
    <t>=NL("Sum","5802 Value Entry","150 Sales Amount (Expected)","41 Source Type",$C$5,"5 Source No.",$C1844,"4 Item Ledger Entry Type",$C$4,"2 Item No.","@@"&amp;$F1844,"3 Posting Date",U$9)+NL("Sum","5802 Value Entry","17 Sales Amount (Actual)","41 Source Type",$C$5,"5 Source no.",$C1844,"4 Item Ledger Entry Type",$C$4,"2 Item No.","@@"&amp;$F1844,"3 Posting Date",U$9)</t>
  </si>
  <si>
    <t>=-NL("Sum","5802 Value Entry","151 Cost Amount (Expected)","41 Source Type",$C$5,"5 Source No.",$C1844,"4 Item Ledger Entry Type",$C$4,"2 Item No.","@@"&amp;$F1844,"3 Posting Date",U$9)-NL("Sum","5802 Value Entry","43 Cost Amount (Actual)","41 Source Type",$C$5,"5 Source no.",$C1844,"4 Item Ledger Entry Type",$C$4,"2 Item No.","@@"&amp;$F1844,"3 Posting Date",U$9)</t>
  </si>
  <si>
    <t>=U1844-W1844</t>
  </si>
  <si>
    <t>=IF(U1844&lt;&gt;0,X1844/U1844,"")</t>
  </si>
  <si>
    <t>=NL("Sum","5802 Value Entry","150 Sales Amount (Expected)","41 Source Type",$C$5,"5 Source No.",$C1844,"4 Item Ledger Entry Type",$C$4,"2 Item No.","@@"&amp;$F1844,"3 Posting Date",Z$9)+NL("Sum","5802 Value Entry","17 Sales Amount (Actual)","41 Source Type",$C$5,"5 Source no.",$C1844,"4 Item Ledger Entry Type",$C$4,"2 Item No.","@@"&amp;$F1844,"3 Posting Date",Z$9)</t>
  </si>
  <si>
    <t>=-NL("Sum","5802 Value Entry","151 Cost Amount (Expected)","41 Source Type",$C$5,"5 Source No.",$C1844,"4 Item Ledger Entry Type",$C$4,"2 Item No.","@@"&amp;$F1844,"3 Posting Date",Z$9)-NL("Sum","5802 Value Entry","43 Cost Amount (Actual)","41 Source Type",$C$5,"5 Source no.",$C1844,"4 Item Ledger Entry Type",$C$4,"2 Item No.","@@"&amp;$F1844,"3 Posting Date",Z$9)</t>
  </si>
  <si>
    <t>=Z1844-AB1844</t>
  </si>
  <si>
    <t>=IF(Z1844&lt;&gt;0,AC1844/Z1844,"")</t>
  </si>
  <si>
    <t>=C1851&amp;" TOTAL:"</t>
  </si>
  <si>
    <t>=SUBTOTAL(9,J1838:J1850)</t>
  </si>
  <si>
    <t>=SUBTOTAL(9,K1838:K1850)</t>
  </si>
  <si>
    <t>=SUBTOTAL(9,L1838:L1850)</t>
  </si>
  <si>
    <t>=SUBTOTAL(9,O1838:O1850)</t>
  </si>
  <si>
    <t>=SUBTOTAL(9,P1838:P1850)</t>
  </si>
  <si>
    <t>=SUBTOTAL(9,Q1838:Q1850)</t>
  </si>
  <si>
    <t>=SUBTOTAL(9,U1838:U1850)</t>
  </si>
  <si>
    <t>=SUBTOTAL(9,V1838:V1850)</t>
  </si>
  <si>
    <t>=SUBTOTAL(9,W1838:W1850)</t>
  </si>
  <si>
    <t>=SUBTOTAL(9,Z1838:Z1850)</t>
  </si>
  <si>
    <t>=SUBTOTAL(9,AA1838:AA1850)</t>
  </si>
  <si>
    <t>=SUBTOTAL(9,AB1838:AB1850)</t>
  </si>
  <si>
    <t>=E1853</t>
  </si>
  <si>
    <t>=NL(,"18 Customer","2 Name","1 No.",$E1853)</t>
  </si>
  <si>
    <t>=NL("Rows","5802 Value Entry","2 Item No.","4 Item Ledger Entry Type",$C$4,"41 Source Type",$C$5,"5 Source No.",$C1855,"Item No.",$C$7,"3 Posting Date",$C$10)</t>
  </si>
  <si>
    <t>=C1901</t>
  </si>
  <si>
    <t>=NL("Sum","5802 Value Entry","150 Sales Amount (Expected)","41 Source Type",$C$5,"5 Source No.",$C1902,"4 Item Ledger Entry Type",$C$4,"2 Item No.","@@"&amp;$F1902,"3 Posting Date",J$9)+NL("Sum","5802 Value Entry","17 Sales Amount (Actual)","41 Source Type",$C$5,"5 Source no.",$C1902,"4 Item Ledger Entry Type",$C$4,"2 Item No.","@@"&amp;$F1902,"3 Posting Date",J$9)</t>
  </si>
  <si>
    <t>=-NL("Sum","5802 Value Entry","151 Cost Amount (Expected)","41 Source Type",$C$5,"5 Source No.",$C1902,"4 Item Ledger Entry Type",$C$4,"2 Item No.","@@"&amp;$F1902,"3 Posting Date",J$9)-NL("Sum","5802 Value Entry","43 Cost Amount (Actual)","41 Source Type",$C$5,"5 Source no.",$C1902,"4 Item Ledger Entry Type",$C$4,"2 Item No.","@@"&amp;$F1902,"3 Posting Date",J$9)</t>
  </si>
  <si>
    <t>=J1902-L1902</t>
  </si>
  <si>
    <t>=IF(J1902&lt;&gt;0,M1902/J1902,"")</t>
  </si>
  <si>
    <t>=NL("Sum","5802 Value Entry","150 Sales Amount (Expected)","41 Source Type",$C$5,"5 Source No.",$C1902,"4 Item Ledger Entry Type",$C$4,"2 Item No.","@@"&amp;$F1902,"3 Posting Date",O$9)+NL("Sum","5802 Value Entry","17 Sales Amount (Actual)","41 Source Type",$C$5,"5 Source no.",$C1902,"4 Item Ledger Entry Type",$C$4,"2 Item No.","@@"&amp;$F1902,"3 Posting Date",O$9)</t>
  </si>
  <si>
    <t>=-NL("Sum","5802 Value Entry","151 Cost Amount (Expected)","41 Source Type",$C$5,"5 Source No.",$C1902,"4 Item Ledger Entry Type",$C$4,"2 Item No.","@@"&amp;$F1902,"3 Posting Date",O$9)-NL("Sum","5802 Value Entry","43 Cost Amount (Actual)","41 Source Type",$C$5,"5 Source no.",$C1902,"4 Item Ledger Entry Type",$C$4,"2 Item No.","@@"&amp;$F1902,"3 Posting Date",O$9)</t>
  </si>
  <si>
    <t>=O1902-Q1902</t>
  </si>
  <si>
    <t>=IF(O1902&lt;&gt;0,R1902/O1902,"")</t>
  </si>
  <si>
    <t>=NL("Sum","5802 Value Entry","150 Sales Amount (Expected)","41 Source Type",$C$5,"5 Source No.",$C1902,"4 Item Ledger Entry Type",$C$4,"2 Item No.","@@"&amp;$F1902,"3 Posting Date",U$9)+NL("Sum","5802 Value Entry","17 Sales Amount (Actual)","41 Source Type",$C$5,"5 Source no.",$C1902,"4 Item Ledger Entry Type",$C$4,"2 Item No.","@@"&amp;$F1902,"3 Posting Date",U$9)</t>
  </si>
  <si>
    <t>=-NL("Sum","5802 Value Entry","151 Cost Amount (Expected)","41 Source Type",$C$5,"5 Source No.",$C1902,"4 Item Ledger Entry Type",$C$4,"2 Item No.","@@"&amp;$F1902,"3 Posting Date",U$9)-NL("Sum","5802 Value Entry","43 Cost Amount (Actual)","41 Source Type",$C$5,"5 Source no.",$C1902,"4 Item Ledger Entry Type",$C$4,"2 Item No.","@@"&amp;$F1902,"3 Posting Date",U$9)</t>
  </si>
  <si>
    <t>=U1902-W1902</t>
  </si>
  <si>
    <t>=IF(U1902&lt;&gt;0,X1902/U1902,"")</t>
  </si>
  <si>
    <t>=NL("Sum","5802 Value Entry","150 Sales Amount (Expected)","41 Source Type",$C$5,"5 Source No.",$C1902,"4 Item Ledger Entry Type",$C$4,"2 Item No.","@@"&amp;$F1902,"3 Posting Date",Z$9)+NL("Sum","5802 Value Entry","17 Sales Amount (Actual)","41 Source Type",$C$5,"5 Source no.",$C1902,"4 Item Ledger Entry Type",$C$4,"2 Item No.","@@"&amp;$F1902,"3 Posting Date",Z$9)</t>
  </si>
  <si>
    <t>=-NL("Sum","5802 Value Entry","151 Cost Amount (Expected)","41 Source Type",$C$5,"5 Source No.",$C1902,"4 Item Ledger Entry Type",$C$4,"2 Item No.","@@"&amp;$F1902,"3 Posting Date",Z$9)-NL("Sum","5802 Value Entry","43 Cost Amount (Actual)","41 Source Type",$C$5,"5 Source no.",$C1902,"4 Item Ledger Entry Type",$C$4,"2 Item No.","@@"&amp;$F1902,"3 Posting Date",Z$9)</t>
  </si>
  <si>
    <t>=Z1902-AB1902</t>
  </si>
  <si>
    <t>=IF(Z1902&lt;&gt;0,AC1902/Z1902,"")</t>
  </si>
  <si>
    <t>=NL("Sum","5802 Value Entry","150 Sales Amount (Expected)","41 Source Type",$C$5,"5 Source No.",$C1903,"4 Item Ledger Entry Type",$C$4,"2 Item No.","@@"&amp;$F1903,"3 Posting Date",J$9)+NL("Sum","5802 Value Entry","17 Sales Amount (Actual)","41 Source Type",$C$5,"5 Source no.",$C1903,"4 Item Ledger Entry Type",$C$4,"2 Item No.","@@"&amp;$F1903,"3 Posting Date",J$9)</t>
  </si>
  <si>
    <t>=-NL("Sum","5802 Value Entry","151 Cost Amount (Expected)","41 Source Type",$C$5,"5 Source No.",$C1903,"4 Item Ledger Entry Type",$C$4,"2 Item No.","@@"&amp;$F1903,"3 Posting Date",J$9)-NL("Sum","5802 Value Entry","43 Cost Amount (Actual)","41 Source Type",$C$5,"5 Source no.",$C1903,"4 Item Ledger Entry Type",$C$4,"2 Item No.","@@"&amp;$F1903,"3 Posting Date",J$9)</t>
  </si>
  <si>
    <t>=NL("Sum","5802 Value Entry","150 Sales Amount (Expected)","41 Source Type",$C$5,"5 Source No.",$C1903,"4 Item Ledger Entry Type",$C$4,"2 Item No.","@@"&amp;$F1903,"3 Posting Date",O$9)+NL("Sum","5802 Value Entry","17 Sales Amount (Actual)","41 Source Type",$C$5,"5 Source no.",$C1903,"4 Item Ledger Entry Type",$C$4,"2 Item No.","@@"&amp;$F1903,"3 Posting Date",O$9)</t>
  </si>
  <si>
    <t>=-NL("Sum","5802 Value Entry","151 Cost Amount (Expected)","41 Source Type",$C$5,"5 Source No.",$C1903,"4 Item Ledger Entry Type",$C$4,"2 Item No.","@@"&amp;$F1903,"3 Posting Date",O$9)-NL("Sum","5802 Value Entry","43 Cost Amount (Actual)","41 Source Type",$C$5,"5 Source no.",$C1903,"4 Item Ledger Entry Type",$C$4,"2 Item No.","@@"&amp;$F1903,"3 Posting Date",O$9)</t>
  </si>
  <si>
    <t>=NL("Sum","5802 Value Entry","150 Sales Amount (Expected)","41 Source Type",$C$5,"5 Source No.",$C1903,"4 Item Ledger Entry Type",$C$4,"2 Item No.","@@"&amp;$F1903,"3 Posting Date",U$9)+NL("Sum","5802 Value Entry","17 Sales Amount (Actual)","41 Source Type",$C$5,"5 Source no.",$C1903,"4 Item Ledger Entry Type",$C$4,"2 Item No.","@@"&amp;$F1903,"3 Posting Date",U$9)</t>
  </si>
  <si>
    <t>=-NL("Sum","5802 Value Entry","151 Cost Amount (Expected)","41 Source Type",$C$5,"5 Source No.",$C1903,"4 Item Ledger Entry Type",$C$4,"2 Item No.","@@"&amp;$F1903,"3 Posting Date",U$9)-NL("Sum","5802 Value Entry","43 Cost Amount (Actual)","41 Source Type",$C$5,"5 Source no.",$C1903,"4 Item Ledger Entry Type",$C$4,"2 Item No.","@@"&amp;$F1903,"3 Posting Date",U$9)</t>
  </si>
  <si>
    <t>=NL("Sum","5802 Value Entry","150 Sales Amount (Expected)","41 Source Type",$C$5,"5 Source No.",$C1903,"4 Item Ledger Entry Type",$C$4,"2 Item No.","@@"&amp;$F1903,"3 Posting Date",Z$9)+NL("Sum","5802 Value Entry","17 Sales Amount (Actual)","41 Source Type",$C$5,"5 Source no.",$C1903,"4 Item Ledger Entry Type",$C$4,"2 Item No.","@@"&amp;$F1903,"3 Posting Date",Z$9)</t>
  </si>
  <si>
    <t>=-NL("Sum","5802 Value Entry","151 Cost Amount (Expected)","41 Source Type",$C$5,"5 Source No.",$C1903,"4 Item Ledger Entry Type",$C$4,"2 Item No.","@@"&amp;$F1903,"3 Posting Date",Z$9)-NL("Sum","5802 Value Entry","43 Cost Amount (Actual)","41 Source Type",$C$5,"5 Source no.",$C1903,"4 Item Ledger Entry Type",$C$4,"2 Item No.","@@"&amp;$F1903,"3 Posting Date",Z$9)</t>
  </si>
  <si>
    <t>=C1903</t>
  </si>
  <si>
    <t>=NL("Sum","5802 Value Entry","150 Sales Amount (Expected)","41 Source Type",$C$5,"5 Source No.",$C1904,"4 Item Ledger Entry Type",$C$4,"2 Item No.","@@"&amp;$F1904,"3 Posting Date",J$9)+NL("Sum","5802 Value Entry","17 Sales Amount (Actual)","41 Source Type",$C$5,"5 Source no.",$C1904,"4 Item Ledger Entry Type",$C$4,"2 Item No.","@@"&amp;$F1904,"3 Posting Date",J$9)</t>
  </si>
  <si>
    <t>=-NL("Sum","5802 Value Entry","151 Cost Amount (Expected)","41 Source Type",$C$5,"5 Source No.",$C1904,"4 Item Ledger Entry Type",$C$4,"2 Item No.","@@"&amp;$F1904,"3 Posting Date",J$9)-NL("Sum","5802 Value Entry","43 Cost Amount (Actual)","41 Source Type",$C$5,"5 Source no.",$C1904,"4 Item Ledger Entry Type",$C$4,"2 Item No.","@@"&amp;$F1904,"3 Posting Date",J$9)</t>
  </si>
  <si>
    <t>=J1904-L1904</t>
  </si>
  <si>
    <t>=IF(J1904&lt;&gt;0,M1904/J1904,"")</t>
  </si>
  <si>
    <t>=NL("Sum","5802 Value Entry","150 Sales Amount (Expected)","41 Source Type",$C$5,"5 Source No.",$C1904,"4 Item Ledger Entry Type",$C$4,"2 Item No.","@@"&amp;$F1904,"3 Posting Date",O$9)+NL("Sum","5802 Value Entry","17 Sales Amount (Actual)","41 Source Type",$C$5,"5 Source no.",$C1904,"4 Item Ledger Entry Type",$C$4,"2 Item No.","@@"&amp;$F1904,"3 Posting Date",O$9)</t>
  </si>
  <si>
    <t>=-NL("Sum","5802 Value Entry","151 Cost Amount (Expected)","41 Source Type",$C$5,"5 Source No.",$C1904,"4 Item Ledger Entry Type",$C$4,"2 Item No.","@@"&amp;$F1904,"3 Posting Date",O$9)-NL("Sum","5802 Value Entry","43 Cost Amount (Actual)","41 Source Type",$C$5,"5 Source no.",$C1904,"4 Item Ledger Entry Type",$C$4,"2 Item No.","@@"&amp;$F1904,"3 Posting Date",O$9)</t>
  </si>
  <si>
    <t>=O1904-Q1904</t>
  </si>
  <si>
    <t>=IF(O1904&lt;&gt;0,R1904/O1904,"")</t>
  </si>
  <si>
    <t>=NL("Sum","5802 Value Entry","150 Sales Amount (Expected)","41 Source Type",$C$5,"5 Source No.",$C1904,"4 Item Ledger Entry Type",$C$4,"2 Item No.","@@"&amp;$F1904,"3 Posting Date",U$9)+NL("Sum","5802 Value Entry","17 Sales Amount (Actual)","41 Source Type",$C$5,"5 Source no.",$C1904,"4 Item Ledger Entry Type",$C$4,"2 Item No.","@@"&amp;$F1904,"3 Posting Date",U$9)</t>
  </si>
  <si>
    <t>=-NL("Sum","5802 Value Entry","151 Cost Amount (Expected)","41 Source Type",$C$5,"5 Source No.",$C1904,"4 Item Ledger Entry Type",$C$4,"2 Item No.","@@"&amp;$F1904,"3 Posting Date",U$9)-NL("Sum","5802 Value Entry","43 Cost Amount (Actual)","41 Source Type",$C$5,"5 Source no.",$C1904,"4 Item Ledger Entry Type",$C$4,"2 Item No.","@@"&amp;$F1904,"3 Posting Date",U$9)</t>
  </si>
  <si>
    <t>=U1904-W1904</t>
  </si>
  <si>
    <t>=IF(U1904&lt;&gt;0,X1904/U1904,"")</t>
  </si>
  <si>
    <t>=NL("Sum","5802 Value Entry","150 Sales Amount (Expected)","41 Source Type",$C$5,"5 Source No.",$C1904,"4 Item Ledger Entry Type",$C$4,"2 Item No.","@@"&amp;$F1904,"3 Posting Date",Z$9)+NL("Sum","5802 Value Entry","17 Sales Amount (Actual)","41 Source Type",$C$5,"5 Source no.",$C1904,"4 Item Ledger Entry Type",$C$4,"2 Item No.","@@"&amp;$F1904,"3 Posting Date",Z$9)</t>
  </si>
  <si>
    <t>=-NL("Sum","5802 Value Entry","151 Cost Amount (Expected)","41 Source Type",$C$5,"5 Source No.",$C1904,"4 Item Ledger Entry Type",$C$4,"2 Item No.","@@"&amp;$F1904,"3 Posting Date",Z$9)-NL("Sum","5802 Value Entry","43 Cost Amount (Actual)","41 Source Type",$C$5,"5 Source no.",$C1904,"4 Item Ledger Entry Type",$C$4,"2 Item No.","@@"&amp;$F1904,"3 Posting Date",Z$9)</t>
  </si>
  <si>
    <t>=Z1904-AB1904</t>
  </si>
  <si>
    <t>=IF(Z1904&lt;&gt;0,AC1904/Z1904,"")</t>
  </si>
  <si>
    <t>=C1904</t>
  </si>
  <si>
    <t>=NL("Sum","5802 Value Entry","150 Sales Amount (Expected)","41 Source Type",$C$5,"5 Source No.",$C1905,"4 Item Ledger Entry Type",$C$4,"2 Item No.","@@"&amp;$F1905,"3 Posting Date",J$9)+NL("Sum","5802 Value Entry","17 Sales Amount (Actual)","41 Source Type",$C$5,"5 Source no.",$C1905,"4 Item Ledger Entry Type",$C$4,"2 Item No.","@@"&amp;$F1905,"3 Posting Date",J$9)</t>
  </si>
  <si>
    <t>=-NL("Sum","5802 Value Entry","151 Cost Amount (Expected)","41 Source Type",$C$5,"5 Source No.",$C1905,"4 Item Ledger Entry Type",$C$4,"2 Item No.","@@"&amp;$F1905,"3 Posting Date",J$9)-NL("Sum","5802 Value Entry","43 Cost Amount (Actual)","41 Source Type",$C$5,"5 Source no.",$C1905,"4 Item Ledger Entry Type",$C$4,"2 Item No.","@@"&amp;$F1905,"3 Posting Date",J$9)</t>
  </si>
  <si>
    <t>=J1905-L1905</t>
  </si>
  <si>
    <t>=IF(J1905&lt;&gt;0,M1905/J1905,"")</t>
  </si>
  <si>
    <t>=NL("Sum","5802 Value Entry","150 Sales Amount (Expected)","41 Source Type",$C$5,"5 Source No.",$C1905,"4 Item Ledger Entry Type",$C$4,"2 Item No.","@@"&amp;$F1905,"3 Posting Date",O$9)+NL("Sum","5802 Value Entry","17 Sales Amount (Actual)","41 Source Type",$C$5,"5 Source no.",$C1905,"4 Item Ledger Entry Type",$C$4,"2 Item No.","@@"&amp;$F1905,"3 Posting Date",O$9)</t>
  </si>
  <si>
    <t>=-NL("Sum","5802 Value Entry","151 Cost Amount (Expected)","41 Source Type",$C$5,"5 Source No.",$C1905,"4 Item Ledger Entry Type",$C$4,"2 Item No.","@@"&amp;$F1905,"3 Posting Date",O$9)-NL("Sum","5802 Value Entry","43 Cost Amount (Actual)","41 Source Type",$C$5,"5 Source no.",$C1905,"4 Item Ledger Entry Type",$C$4,"2 Item No.","@@"&amp;$F1905,"3 Posting Date",O$9)</t>
  </si>
  <si>
    <t>=O1905-Q1905</t>
  </si>
  <si>
    <t>=IF(O1905&lt;&gt;0,R1905/O1905,"")</t>
  </si>
  <si>
    <t>=NL("Sum","5802 Value Entry","150 Sales Amount (Expected)","41 Source Type",$C$5,"5 Source No.",$C1905,"4 Item Ledger Entry Type",$C$4,"2 Item No.","@@"&amp;$F1905,"3 Posting Date",U$9)+NL("Sum","5802 Value Entry","17 Sales Amount (Actual)","41 Source Type",$C$5,"5 Source no.",$C1905,"4 Item Ledger Entry Type",$C$4,"2 Item No.","@@"&amp;$F1905,"3 Posting Date",U$9)</t>
  </si>
  <si>
    <t>=-NL("Sum","5802 Value Entry","151 Cost Amount (Expected)","41 Source Type",$C$5,"5 Source No.",$C1905,"4 Item Ledger Entry Type",$C$4,"2 Item No.","@@"&amp;$F1905,"3 Posting Date",U$9)-NL("Sum","5802 Value Entry","43 Cost Amount (Actual)","41 Source Type",$C$5,"5 Source no.",$C1905,"4 Item Ledger Entry Type",$C$4,"2 Item No.","@@"&amp;$F1905,"3 Posting Date",U$9)</t>
  </si>
  <si>
    <t>=U1905-W1905</t>
  </si>
  <si>
    <t>=IF(U1905&lt;&gt;0,X1905/U1905,"")</t>
  </si>
  <si>
    <t>=NL("Sum","5802 Value Entry","150 Sales Amount (Expected)","41 Source Type",$C$5,"5 Source No.",$C1905,"4 Item Ledger Entry Type",$C$4,"2 Item No.","@@"&amp;$F1905,"3 Posting Date",Z$9)+NL("Sum","5802 Value Entry","17 Sales Amount (Actual)","41 Source Type",$C$5,"5 Source no.",$C1905,"4 Item Ledger Entry Type",$C$4,"2 Item No.","@@"&amp;$F1905,"3 Posting Date",Z$9)</t>
  </si>
  <si>
    <t>=-NL("Sum","5802 Value Entry","151 Cost Amount (Expected)","41 Source Type",$C$5,"5 Source No.",$C1905,"4 Item Ledger Entry Type",$C$4,"2 Item No.","@@"&amp;$F1905,"3 Posting Date",Z$9)-NL("Sum","5802 Value Entry","43 Cost Amount (Actual)","41 Source Type",$C$5,"5 Source no.",$C1905,"4 Item Ledger Entry Type",$C$4,"2 Item No.","@@"&amp;$F1905,"3 Posting Date",Z$9)</t>
  </si>
  <si>
    <t>=Z1905-AB1905</t>
  </si>
  <si>
    <t>=IF(Z1905&lt;&gt;0,AC1905/Z1905,"")</t>
  </si>
  <si>
    <t>=NL("Sum","5802 Value Entry","150 Sales Amount (Expected)","41 Source Type",$C$5,"5 Source No.",$C1906,"4 Item Ledger Entry Type",$C$4,"2 Item No.","@@"&amp;$F1906,"3 Posting Date",J$9)+NL("Sum","5802 Value Entry","17 Sales Amount (Actual)","41 Source Type",$C$5,"5 Source no.",$C1906,"4 Item Ledger Entry Type",$C$4,"2 Item No.","@@"&amp;$F1906,"3 Posting Date",J$9)</t>
  </si>
  <si>
    <t>=-NL("Sum","5802 Value Entry","151 Cost Amount (Expected)","41 Source Type",$C$5,"5 Source No.",$C1906,"4 Item Ledger Entry Type",$C$4,"2 Item No.","@@"&amp;$F1906,"3 Posting Date",J$9)-NL("Sum","5802 Value Entry","43 Cost Amount (Actual)","41 Source Type",$C$5,"5 Source no.",$C1906,"4 Item Ledger Entry Type",$C$4,"2 Item No.","@@"&amp;$F1906,"3 Posting Date",J$9)</t>
  </si>
  <si>
    <t>=J1906-L1906</t>
  </si>
  <si>
    <t>=IF(J1906&lt;&gt;0,M1906/J1906,"")</t>
  </si>
  <si>
    <t>=NL("Sum","5802 Value Entry","150 Sales Amount (Expected)","41 Source Type",$C$5,"5 Source No.",$C1906,"4 Item Ledger Entry Type",$C$4,"2 Item No.","@@"&amp;$F1906,"3 Posting Date",O$9)+NL("Sum","5802 Value Entry","17 Sales Amount (Actual)","41 Source Type",$C$5,"5 Source no.",$C1906,"4 Item Ledger Entry Type",$C$4,"2 Item No.","@@"&amp;$F1906,"3 Posting Date",O$9)</t>
  </si>
  <si>
    <t>=-NL("Sum","5802 Value Entry","151 Cost Amount (Expected)","41 Source Type",$C$5,"5 Source No.",$C1906,"4 Item Ledger Entry Type",$C$4,"2 Item No.","@@"&amp;$F1906,"3 Posting Date",O$9)-NL("Sum","5802 Value Entry","43 Cost Amount (Actual)","41 Source Type",$C$5,"5 Source no.",$C1906,"4 Item Ledger Entry Type",$C$4,"2 Item No.","@@"&amp;$F1906,"3 Posting Date",O$9)</t>
  </si>
  <si>
    <t>=O1906-Q1906</t>
  </si>
  <si>
    <t>=IF(O1906&lt;&gt;0,R1906/O1906,"")</t>
  </si>
  <si>
    <t>=NL("Sum","5802 Value Entry","150 Sales Amount (Expected)","41 Source Type",$C$5,"5 Source No.",$C1906,"4 Item Ledger Entry Type",$C$4,"2 Item No.","@@"&amp;$F1906,"3 Posting Date",U$9)+NL("Sum","5802 Value Entry","17 Sales Amount (Actual)","41 Source Type",$C$5,"5 Source no.",$C1906,"4 Item Ledger Entry Type",$C$4,"2 Item No.","@@"&amp;$F1906,"3 Posting Date",U$9)</t>
  </si>
  <si>
    <t>=-NL("Sum","5802 Value Entry","151 Cost Amount (Expected)","41 Source Type",$C$5,"5 Source No.",$C1906,"4 Item Ledger Entry Type",$C$4,"2 Item No.","@@"&amp;$F1906,"3 Posting Date",U$9)-NL("Sum","5802 Value Entry","43 Cost Amount (Actual)","41 Source Type",$C$5,"5 Source no.",$C1906,"4 Item Ledger Entry Type",$C$4,"2 Item No.","@@"&amp;$F1906,"3 Posting Date",U$9)</t>
  </si>
  <si>
    <t>=U1906-W1906</t>
  </si>
  <si>
    <t>=IF(U1906&lt;&gt;0,X1906/U1906,"")</t>
  </si>
  <si>
    <t>=NL("Sum","5802 Value Entry","150 Sales Amount (Expected)","41 Source Type",$C$5,"5 Source No.",$C1906,"4 Item Ledger Entry Type",$C$4,"2 Item No.","@@"&amp;$F1906,"3 Posting Date",Z$9)+NL("Sum","5802 Value Entry","17 Sales Amount (Actual)","41 Source Type",$C$5,"5 Source no.",$C1906,"4 Item Ledger Entry Type",$C$4,"2 Item No.","@@"&amp;$F1906,"3 Posting Date",Z$9)</t>
  </si>
  <si>
    <t>=-NL("Sum","5802 Value Entry","151 Cost Amount (Expected)","41 Source Type",$C$5,"5 Source No.",$C1906,"4 Item Ledger Entry Type",$C$4,"2 Item No.","@@"&amp;$F1906,"3 Posting Date",Z$9)-NL("Sum","5802 Value Entry","43 Cost Amount (Actual)","41 Source Type",$C$5,"5 Source no.",$C1906,"4 Item Ledger Entry Type",$C$4,"2 Item No.","@@"&amp;$F1906,"3 Posting Date",Z$9)</t>
  </si>
  <si>
    <t>=Z1906-AB1906</t>
  </si>
  <si>
    <t>=IF(Z1906&lt;&gt;0,AC1906/Z1906,"")</t>
  </si>
  <si>
    <t>=C1917&amp;" TOTAL:"</t>
  </si>
  <si>
    <t>=SUBTOTAL(9,J1854:J1916)</t>
  </si>
  <si>
    <t>=SUBTOTAL(9,K1854:K1916)</t>
  </si>
  <si>
    <t>=SUBTOTAL(9,L1854:L1916)</t>
  </si>
  <si>
    <t>=SUBTOTAL(9,O1854:O1916)</t>
  </si>
  <si>
    <t>=SUBTOTAL(9,P1854:P1916)</t>
  </si>
  <si>
    <t>=SUBTOTAL(9,Q1854:Q1916)</t>
  </si>
  <si>
    <t>=SUBTOTAL(9,U1854:U1916)</t>
  </si>
  <si>
    <t>=SUBTOTAL(9,V1854:V1916)</t>
  </si>
  <si>
    <t>=SUBTOTAL(9,W1854:W1916)</t>
  </si>
  <si>
    <t>=SUBTOTAL(9,Z1854:Z1916)</t>
  </si>
  <si>
    <t>=SUBTOTAL(9,AA1854:AA1916)</t>
  </si>
  <si>
    <t>=SUBTOTAL(9,AB1854:AB1916)</t>
  </si>
  <si>
    <t>=E1919</t>
  </si>
  <si>
    <t>=NL(,"18 Customer","2 Name","1 No.",$E1919)</t>
  </si>
  <si>
    <t>=NL("Rows","5802 Value Entry","2 Item No.","4 Item Ledger Entry Type",$C$4,"41 Source Type",$C$5,"5 Source No.",$C1921,"Item No.",$C$7,"3 Posting Date",$C$10)</t>
  </si>
  <si>
    <t>=C1953&amp;" TOTAL:"</t>
  </si>
  <si>
    <t>=SUBTOTAL(9,J1920:J1952)</t>
  </si>
  <si>
    <t>=SUBTOTAL(9,K1920:K1952)</t>
  </si>
  <si>
    <t>=SUBTOTAL(9,L1920:L1952)</t>
  </si>
  <si>
    <t>=SUBTOTAL(9,O1920:O1952)</t>
  </si>
  <si>
    <t>=SUBTOTAL(9,P1920:P1952)</t>
  </si>
  <si>
    <t>=SUBTOTAL(9,Q1920:Q1952)</t>
  </si>
  <si>
    <t>=SUBTOTAL(9,U1920:U1952)</t>
  </si>
  <si>
    <t>=SUBTOTAL(9,V1920:V1952)</t>
  </si>
  <si>
    <t>=SUBTOTAL(9,W1920:W1952)</t>
  </si>
  <si>
    <t>=SUBTOTAL(9,Z1920:Z1952)</t>
  </si>
  <si>
    <t>=SUBTOTAL(9,AA1920:AA1952)</t>
  </si>
  <si>
    <t>=SUBTOTAL(9,AB1920:AB1952)</t>
  </si>
  <si>
    <t>=E1955</t>
  </si>
  <si>
    <t>=NL(,"18 Customer","2 Name","1 No.",$E1955)</t>
  </si>
  <si>
    <t>=C1955</t>
  </si>
  <si>
    <t>=NL("Rows","5802 Value Entry","2 Item No.","4 Item Ledger Entry Type",$C$4,"41 Source Type",$C$5,"5 Source No.",$C1957,"Item No.",$C$7,"3 Posting Date",$C$10)</t>
  </si>
  <si>
    <t>=NL("Sum","5802 Value Entry","150 Sales Amount (Expected)","41 Source Type",$C$5,"5 Source No.",$C1957,"4 Item Ledger Entry Type",$C$4,"2 Item No.","@@"&amp;$F1957,"3 Posting Date",J$9)+NL("Sum","5802 Value Entry","17 Sales Amount (Actual)","41 Source Type",$C$5,"5 Source no.",$C1957,"4 Item Ledger Entry Type",$C$4,"2 Item No.","@@"&amp;$F1957,"3 Posting Date",J$9)</t>
  </si>
  <si>
    <t>=-NL("Sum","5802 Value Entry","151 Cost Amount (Expected)","41 Source Type",$C$5,"5 Source No.",$C1957,"4 Item Ledger Entry Type",$C$4,"2 Item No.","@@"&amp;$F1957,"3 Posting Date",J$9)-NL("Sum","5802 Value Entry","43 Cost Amount (Actual)","41 Source Type",$C$5,"5 Source no.",$C1957,"4 Item Ledger Entry Type",$C$4,"2 Item No.","@@"&amp;$F1957,"3 Posting Date",J$9)</t>
  </si>
  <si>
    <t>=NL("Sum","5802 Value Entry","150 Sales Amount (Expected)","41 Source Type",$C$5,"5 Source No.",$C1957,"4 Item Ledger Entry Type",$C$4,"2 Item No.","@@"&amp;$F1957,"3 Posting Date",O$9)+NL("Sum","5802 Value Entry","17 Sales Amount (Actual)","41 Source Type",$C$5,"5 Source no.",$C1957,"4 Item Ledger Entry Type",$C$4,"2 Item No.","@@"&amp;$F1957,"3 Posting Date",O$9)</t>
  </si>
  <si>
    <t>=-NL("Sum","5802 Value Entry","151 Cost Amount (Expected)","41 Source Type",$C$5,"5 Source No.",$C1957,"4 Item Ledger Entry Type",$C$4,"2 Item No.","@@"&amp;$F1957,"3 Posting Date",O$9)-NL("Sum","5802 Value Entry","43 Cost Amount (Actual)","41 Source Type",$C$5,"5 Source no.",$C1957,"4 Item Ledger Entry Type",$C$4,"2 Item No.","@@"&amp;$F1957,"3 Posting Date",O$9)</t>
  </si>
  <si>
    <t>=NL("Sum","5802 Value Entry","150 Sales Amount (Expected)","41 Source Type",$C$5,"5 Source No.",$C1957,"4 Item Ledger Entry Type",$C$4,"2 Item No.","@@"&amp;$F1957,"3 Posting Date",U$9)+NL("Sum","5802 Value Entry","17 Sales Amount (Actual)","41 Source Type",$C$5,"5 Source no.",$C1957,"4 Item Ledger Entry Type",$C$4,"2 Item No.","@@"&amp;$F1957,"3 Posting Date",U$9)</t>
  </si>
  <si>
    <t>=-NL("Sum","5802 Value Entry","151 Cost Amount (Expected)","41 Source Type",$C$5,"5 Source No.",$C1957,"4 Item Ledger Entry Type",$C$4,"2 Item No.","@@"&amp;$F1957,"3 Posting Date",U$9)-NL("Sum","5802 Value Entry","43 Cost Amount (Actual)","41 Source Type",$C$5,"5 Source no.",$C1957,"4 Item Ledger Entry Type",$C$4,"2 Item No.","@@"&amp;$F1957,"3 Posting Date",U$9)</t>
  </si>
  <si>
    <t>=NL("Sum","5802 Value Entry","150 Sales Amount (Expected)","41 Source Type",$C$5,"5 Source No.",$C1957,"4 Item Ledger Entry Type",$C$4,"2 Item No.","@@"&amp;$F1957,"3 Posting Date",Z$9)+NL("Sum","5802 Value Entry","17 Sales Amount (Actual)","41 Source Type",$C$5,"5 Source no.",$C1957,"4 Item Ledger Entry Type",$C$4,"2 Item No.","@@"&amp;$F1957,"3 Posting Date",Z$9)</t>
  </si>
  <si>
    <t>=-NL("Sum","5802 Value Entry","151 Cost Amount (Expected)","41 Source Type",$C$5,"5 Source No.",$C1957,"4 Item Ledger Entry Type",$C$4,"2 Item No.","@@"&amp;$F1957,"3 Posting Date",Z$9)-NL("Sum","5802 Value Entry","43 Cost Amount (Actual)","41 Source Type",$C$5,"5 Source no.",$C1957,"4 Item Ledger Entry Type",$C$4,"2 Item No.","@@"&amp;$F1957,"3 Posting Date",Z$9)</t>
  </si>
  <si>
    <t>=C1957</t>
  </si>
  <si>
    <t>=NL("Sum","5802 Value Entry","150 Sales Amount (Expected)","41 Source Type",$C$5,"5 Source No.",$C1958,"4 Item Ledger Entry Type",$C$4,"2 Item No.","@@"&amp;$F1958,"3 Posting Date",J$9)+NL("Sum","5802 Value Entry","17 Sales Amount (Actual)","41 Source Type",$C$5,"5 Source no.",$C1958,"4 Item Ledger Entry Type",$C$4,"2 Item No.","@@"&amp;$F1958,"3 Posting Date",J$9)</t>
  </si>
  <si>
    <t>=-NL("Sum","5802 Value Entry","151 Cost Amount (Expected)","41 Source Type",$C$5,"5 Source No.",$C1958,"4 Item Ledger Entry Type",$C$4,"2 Item No.","@@"&amp;$F1958,"3 Posting Date",J$9)-NL("Sum","5802 Value Entry","43 Cost Amount (Actual)","41 Source Type",$C$5,"5 Source no.",$C1958,"4 Item Ledger Entry Type",$C$4,"2 Item No.","@@"&amp;$F1958,"3 Posting Date",J$9)</t>
  </si>
  <si>
    <t>=J1958-L1958</t>
  </si>
  <si>
    <t>=IF(J1958&lt;&gt;0,M1958/J1958,"")</t>
  </si>
  <si>
    <t>=NL("Sum","5802 Value Entry","150 Sales Amount (Expected)","41 Source Type",$C$5,"5 Source No.",$C1958,"4 Item Ledger Entry Type",$C$4,"2 Item No.","@@"&amp;$F1958,"3 Posting Date",O$9)+NL("Sum","5802 Value Entry","17 Sales Amount (Actual)","41 Source Type",$C$5,"5 Source no.",$C1958,"4 Item Ledger Entry Type",$C$4,"2 Item No.","@@"&amp;$F1958,"3 Posting Date",O$9)</t>
  </si>
  <si>
    <t>=-NL("Sum","5802 Value Entry","151 Cost Amount (Expected)","41 Source Type",$C$5,"5 Source No.",$C1958,"4 Item Ledger Entry Type",$C$4,"2 Item No.","@@"&amp;$F1958,"3 Posting Date",O$9)-NL("Sum","5802 Value Entry","43 Cost Amount (Actual)","41 Source Type",$C$5,"5 Source no.",$C1958,"4 Item Ledger Entry Type",$C$4,"2 Item No.","@@"&amp;$F1958,"3 Posting Date",O$9)</t>
  </si>
  <si>
    <t>=O1958-Q1958</t>
  </si>
  <si>
    <t>=IF(O1958&lt;&gt;0,R1958/O1958,"")</t>
  </si>
  <si>
    <t>=NL("Sum","5802 Value Entry","150 Sales Amount (Expected)","41 Source Type",$C$5,"5 Source No.",$C1958,"4 Item Ledger Entry Type",$C$4,"2 Item No.","@@"&amp;$F1958,"3 Posting Date",U$9)+NL("Sum","5802 Value Entry","17 Sales Amount (Actual)","41 Source Type",$C$5,"5 Source no.",$C1958,"4 Item Ledger Entry Type",$C$4,"2 Item No.","@@"&amp;$F1958,"3 Posting Date",U$9)</t>
  </si>
  <si>
    <t>=-NL("Sum","5802 Value Entry","151 Cost Amount (Expected)","41 Source Type",$C$5,"5 Source No.",$C1958,"4 Item Ledger Entry Type",$C$4,"2 Item No.","@@"&amp;$F1958,"3 Posting Date",U$9)-NL("Sum","5802 Value Entry","43 Cost Amount (Actual)","41 Source Type",$C$5,"5 Source no.",$C1958,"4 Item Ledger Entry Type",$C$4,"2 Item No.","@@"&amp;$F1958,"3 Posting Date",U$9)</t>
  </si>
  <si>
    <t>=U1958-W1958</t>
  </si>
  <si>
    <t>=IF(U1958&lt;&gt;0,X1958/U1958,"")</t>
  </si>
  <si>
    <t>=NL("Sum","5802 Value Entry","150 Sales Amount (Expected)","41 Source Type",$C$5,"5 Source No.",$C1958,"4 Item Ledger Entry Type",$C$4,"2 Item No.","@@"&amp;$F1958,"3 Posting Date",Z$9)+NL("Sum","5802 Value Entry","17 Sales Amount (Actual)","41 Source Type",$C$5,"5 Source no.",$C1958,"4 Item Ledger Entry Type",$C$4,"2 Item No.","@@"&amp;$F1958,"3 Posting Date",Z$9)</t>
  </si>
  <si>
    <t>=-NL("Sum","5802 Value Entry","151 Cost Amount (Expected)","41 Source Type",$C$5,"5 Source No.",$C1958,"4 Item Ledger Entry Type",$C$4,"2 Item No.","@@"&amp;$F1958,"3 Posting Date",Z$9)-NL("Sum","5802 Value Entry","43 Cost Amount (Actual)","41 Source Type",$C$5,"5 Source no.",$C1958,"4 Item Ledger Entry Type",$C$4,"2 Item No.","@@"&amp;$F1958,"3 Posting Date",Z$9)</t>
  </si>
  <si>
    <t>=Z1958-AB1958</t>
  </si>
  <si>
    <t>=IF(Z1958&lt;&gt;0,AC1958/Z1958,"")</t>
  </si>
  <si>
    <t>=C1958</t>
  </si>
  <si>
    <t>=NL("Sum","5802 Value Entry","150 Sales Amount (Expected)","41 Source Type",$C$5,"5 Source No.",$C1959,"4 Item Ledger Entry Type",$C$4,"2 Item No.","@@"&amp;$F1959,"3 Posting Date",J$9)+NL("Sum","5802 Value Entry","17 Sales Amount (Actual)","41 Source Type",$C$5,"5 Source no.",$C1959,"4 Item Ledger Entry Type",$C$4,"2 Item No.","@@"&amp;$F1959,"3 Posting Date",J$9)</t>
  </si>
  <si>
    <t>=-NL("Sum","5802 Value Entry","151 Cost Amount (Expected)","41 Source Type",$C$5,"5 Source No.",$C1959,"4 Item Ledger Entry Type",$C$4,"2 Item No.","@@"&amp;$F1959,"3 Posting Date",J$9)-NL("Sum","5802 Value Entry","43 Cost Amount (Actual)","41 Source Type",$C$5,"5 Source no.",$C1959,"4 Item Ledger Entry Type",$C$4,"2 Item No.","@@"&amp;$F1959,"3 Posting Date",J$9)</t>
  </si>
  <si>
    <t>=J1959-L1959</t>
  </si>
  <si>
    <t>=IF(J1959&lt;&gt;0,M1959/J1959,"")</t>
  </si>
  <si>
    <t>=NL("Sum","5802 Value Entry","150 Sales Amount (Expected)","41 Source Type",$C$5,"5 Source No.",$C1959,"4 Item Ledger Entry Type",$C$4,"2 Item No.","@@"&amp;$F1959,"3 Posting Date",O$9)+NL("Sum","5802 Value Entry","17 Sales Amount (Actual)","41 Source Type",$C$5,"5 Source no.",$C1959,"4 Item Ledger Entry Type",$C$4,"2 Item No.","@@"&amp;$F1959,"3 Posting Date",O$9)</t>
  </si>
  <si>
    <t>=-NL("Sum","5802 Value Entry","151 Cost Amount (Expected)","41 Source Type",$C$5,"5 Source No.",$C1959,"4 Item Ledger Entry Type",$C$4,"2 Item No.","@@"&amp;$F1959,"3 Posting Date",O$9)-NL("Sum","5802 Value Entry","43 Cost Amount (Actual)","41 Source Type",$C$5,"5 Source no.",$C1959,"4 Item Ledger Entry Type",$C$4,"2 Item No.","@@"&amp;$F1959,"3 Posting Date",O$9)</t>
  </si>
  <si>
    <t>=O1959-Q1959</t>
  </si>
  <si>
    <t>=IF(O1959&lt;&gt;0,R1959/O1959,"")</t>
  </si>
  <si>
    <t>=NL("Sum","5802 Value Entry","150 Sales Amount (Expected)","41 Source Type",$C$5,"5 Source No.",$C1959,"4 Item Ledger Entry Type",$C$4,"2 Item No.","@@"&amp;$F1959,"3 Posting Date",U$9)+NL("Sum","5802 Value Entry","17 Sales Amount (Actual)","41 Source Type",$C$5,"5 Source no.",$C1959,"4 Item Ledger Entry Type",$C$4,"2 Item No.","@@"&amp;$F1959,"3 Posting Date",U$9)</t>
  </si>
  <si>
    <t>=-NL("Sum","5802 Value Entry","151 Cost Amount (Expected)","41 Source Type",$C$5,"5 Source No.",$C1959,"4 Item Ledger Entry Type",$C$4,"2 Item No.","@@"&amp;$F1959,"3 Posting Date",U$9)-NL("Sum","5802 Value Entry","43 Cost Amount (Actual)","41 Source Type",$C$5,"5 Source no.",$C1959,"4 Item Ledger Entry Type",$C$4,"2 Item No.","@@"&amp;$F1959,"3 Posting Date",U$9)</t>
  </si>
  <si>
    <t>=U1959-W1959</t>
  </si>
  <si>
    <t>=IF(U1959&lt;&gt;0,X1959/U1959,"")</t>
  </si>
  <si>
    <t>=NL("Sum","5802 Value Entry","150 Sales Amount (Expected)","41 Source Type",$C$5,"5 Source No.",$C1959,"4 Item Ledger Entry Type",$C$4,"2 Item No.","@@"&amp;$F1959,"3 Posting Date",Z$9)+NL("Sum","5802 Value Entry","17 Sales Amount (Actual)","41 Source Type",$C$5,"5 Source no.",$C1959,"4 Item Ledger Entry Type",$C$4,"2 Item No.","@@"&amp;$F1959,"3 Posting Date",Z$9)</t>
  </si>
  <si>
    <t>=-NL("Sum","5802 Value Entry","151 Cost Amount (Expected)","41 Source Type",$C$5,"5 Source No.",$C1959,"4 Item Ledger Entry Type",$C$4,"2 Item No.","@@"&amp;$F1959,"3 Posting Date",Z$9)-NL("Sum","5802 Value Entry","43 Cost Amount (Actual)","41 Source Type",$C$5,"5 Source no.",$C1959,"4 Item Ledger Entry Type",$C$4,"2 Item No.","@@"&amp;$F1959,"3 Posting Date",Z$9)</t>
  </si>
  <si>
    <t>=Z1959-AB1959</t>
  </si>
  <si>
    <t>=IF(Z1959&lt;&gt;0,AC1959/Z1959,"")</t>
  </si>
  <si>
    <t>=NL("Sum","5802 Value Entry","150 Sales Amount (Expected)","41 Source Type",$C$5,"5 Source No.",$C1960,"4 Item Ledger Entry Type",$C$4,"2 Item No.","@@"&amp;$F1960,"3 Posting Date",J$9)+NL("Sum","5802 Value Entry","17 Sales Amount (Actual)","41 Source Type",$C$5,"5 Source no.",$C1960,"4 Item Ledger Entry Type",$C$4,"2 Item No.","@@"&amp;$F1960,"3 Posting Date",J$9)</t>
  </si>
  <si>
    <t>=-NL("Sum","5802 Value Entry","151 Cost Amount (Expected)","41 Source Type",$C$5,"5 Source No.",$C1960,"4 Item Ledger Entry Type",$C$4,"2 Item No.","@@"&amp;$F1960,"3 Posting Date",J$9)-NL("Sum","5802 Value Entry","43 Cost Amount (Actual)","41 Source Type",$C$5,"5 Source no.",$C1960,"4 Item Ledger Entry Type",$C$4,"2 Item No.","@@"&amp;$F1960,"3 Posting Date",J$9)</t>
  </si>
  <si>
    <t>=J1960-L1960</t>
  </si>
  <si>
    <t>=IF(J1960&lt;&gt;0,M1960/J1960,"")</t>
  </si>
  <si>
    <t>=NL("Sum","5802 Value Entry","150 Sales Amount (Expected)","41 Source Type",$C$5,"5 Source No.",$C1960,"4 Item Ledger Entry Type",$C$4,"2 Item No.","@@"&amp;$F1960,"3 Posting Date",O$9)+NL("Sum","5802 Value Entry","17 Sales Amount (Actual)","41 Source Type",$C$5,"5 Source no.",$C1960,"4 Item Ledger Entry Type",$C$4,"2 Item No.","@@"&amp;$F1960,"3 Posting Date",O$9)</t>
  </si>
  <si>
    <t>=-NL("Sum","5802 Value Entry","151 Cost Amount (Expected)","41 Source Type",$C$5,"5 Source No.",$C1960,"4 Item Ledger Entry Type",$C$4,"2 Item No.","@@"&amp;$F1960,"3 Posting Date",O$9)-NL("Sum","5802 Value Entry","43 Cost Amount (Actual)","41 Source Type",$C$5,"5 Source no.",$C1960,"4 Item Ledger Entry Type",$C$4,"2 Item No.","@@"&amp;$F1960,"3 Posting Date",O$9)</t>
  </si>
  <si>
    <t>=O1960-Q1960</t>
  </si>
  <si>
    <t>=IF(O1960&lt;&gt;0,R1960/O1960,"")</t>
  </si>
  <si>
    <t>=NL("Sum","5802 Value Entry","150 Sales Amount (Expected)","41 Source Type",$C$5,"5 Source No.",$C1960,"4 Item Ledger Entry Type",$C$4,"2 Item No.","@@"&amp;$F1960,"3 Posting Date",U$9)+NL("Sum","5802 Value Entry","17 Sales Amount (Actual)","41 Source Type",$C$5,"5 Source no.",$C1960,"4 Item Ledger Entry Type",$C$4,"2 Item No.","@@"&amp;$F1960,"3 Posting Date",U$9)</t>
  </si>
  <si>
    <t>=-NL("Sum","5802 Value Entry","151 Cost Amount (Expected)","41 Source Type",$C$5,"5 Source No.",$C1960,"4 Item Ledger Entry Type",$C$4,"2 Item No.","@@"&amp;$F1960,"3 Posting Date",U$9)-NL("Sum","5802 Value Entry","43 Cost Amount (Actual)","41 Source Type",$C$5,"5 Source no.",$C1960,"4 Item Ledger Entry Type",$C$4,"2 Item No.","@@"&amp;$F1960,"3 Posting Date",U$9)</t>
  </si>
  <si>
    <t>=U1960-W1960</t>
  </si>
  <si>
    <t>=IF(U1960&lt;&gt;0,X1960/U1960,"")</t>
  </si>
  <si>
    <t>=NL("Sum","5802 Value Entry","150 Sales Amount (Expected)","41 Source Type",$C$5,"5 Source No.",$C1960,"4 Item Ledger Entry Type",$C$4,"2 Item No.","@@"&amp;$F1960,"3 Posting Date",Z$9)+NL("Sum","5802 Value Entry","17 Sales Amount (Actual)","41 Source Type",$C$5,"5 Source no.",$C1960,"4 Item Ledger Entry Type",$C$4,"2 Item No.","@@"&amp;$F1960,"3 Posting Date",Z$9)</t>
  </si>
  <si>
    <t>=-NL("Sum","5802 Value Entry","151 Cost Amount (Expected)","41 Source Type",$C$5,"5 Source No.",$C1960,"4 Item Ledger Entry Type",$C$4,"2 Item No.","@@"&amp;$F1960,"3 Posting Date",Z$9)-NL("Sum","5802 Value Entry","43 Cost Amount (Actual)","41 Source Type",$C$5,"5 Source no.",$C1960,"4 Item Ledger Entry Type",$C$4,"2 Item No.","@@"&amp;$F1960,"3 Posting Date",Z$9)</t>
  </si>
  <si>
    <t>=Z1960-AB1960</t>
  </si>
  <si>
    <t>=IF(Z1960&lt;&gt;0,AC1960/Z1960,"")</t>
  </si>
  <si>
    <t>=C1989&amp;" TOTAL:"</t>
  </si>
  <si>
    <t>=SUBTOTAL(9,J1956:J1988)</t>
  </si>
  <si>
    <t>=SUBTOTAL(9,K1956:K1988)</t>
  </si>
  <si>
    <t>=SUBTOTAL(9,L1956:L1988)</t>
  </si>
  <si>
    <t>=SUBTOTAL(9,O1956:O1988)</t>
  </si>
  <si>
    <t>=SUBTOTAL(9,P1956:P1988)</t>
  </si>
  <si>
    <t>=SUBTOTAL(9,Q1956:Q1988)</t>
  </si>
  <si>
    <t>=SUBTOTAL(9,U1956:U1988)</t>
  </si>
  <si>
    <t>=SUBTOTAL(9,V1956:V1988)</t>
  </si>
  <si>
    <t>=SUBTOTAL(9,W1956:W1988)</t>
  </si>
  <si>
    <t>=SUBTOTAL(9,Z1956:Z1988)</t>
  </si>
  <si>
    <t>=SUBTOTAL(9,AA1956:AA1988)</t>
  </si>
  <si>
    <t>=SUBTOTAL(9,AB1956:AB1988)</t>
  </si>
  <si>
    <t>=E1991</t>
  </si>
  <si>
    <t>=NL(,"18 Customer","2 Name","1 No.",$E1991)</t>
  </si>
  <si>
    <t>=NL("Rows","5802 Value Entry","2 Item No.","4 Item Ledger Entry Type",$C$4,"41 Source Type",$C$5,"5 Source No.",$C1993,"Item No.",$C$7,"3 Posting Date",$C$10)</t>
  </si>
  <si>
    <t>=C1997</t>
  </si>
  <si>
    <t>=NL("Sum","5802 Value Entry","150 Sales Amount (Expected)","41 Source Type",$C$5,"5 Source No.",$C1998,"4 Item Ledger Entry Type",$C$4,"2 Item No.","@@"&amp;$F1998,"3 Posting Date",J$9)+NL("Sum","5802 Value Entry","17 Sales Amount (Actual)","41 Source Type",$C$5,"5 Source no.",$C1998,"4 Item Ledger Entry Type",$C$4,"2 Item No.","@@"&amp;$F1998,"3 Posting Date",J$9)</t>
  </si>
  <si>
    <t>=-NL("Sum","5802 Value Entry","151 Cost Amount (Expected)","41 Source Type",$C$5,"5 Source No.",$C1998,"4 Item Ledger Entry Type",$C$4,"2 Item No.","@@"&amp;$F1998,"3 Posting Date",J$9)-NL("Sum","5802 Value Entry","43 Cost Amount (Actual)","41 Source Type",$C$5,"5 Source no.",$C1998,"4 Item Ledger Entry Type",$C$4,"2 Item No.","@@"&amp;$F1998,"3 Posting Date",J$9)</t>
  </si>
  <si>
    <t>=J1998-L1998</t>
  </si>
  <si>
    <t>=IF(J1998&lt;&gt;0,M1998/J1998,"")</t>
  </si>
  <si>
    <t>=NL("Sum","5802 Value Entry","150 Sales Amount (Expected)","41 Source Type",$C$5,"5 Source No.",$C1998,"4 Item Ledger Entry Type",$C$4,"2 Item No.","@@"&amp;$F1998,"3 Posting Date",O$9)+NL("Sum","5802 Value Entry","17 Sales Amount (Actual)","41 Source Type",$C$5,"5 Source no.",$C1998,"4 Item Ledger Entry Type",$C$4,"2 Item No.","@@"&amp;$F1998,"3 Posting Date",O$9)</t>
  </si>
  <si>
    <t>=-NL("Sum","5802 Value Entry","151 Cost Amount (Expected)","41 Source Type",$C$5,"5 Source No.",$C1998,"4 Item Ledger Entry Type",$C$4,"2 Item No.","@@"&amp;$F1998,"3 Posting Date",O$9)-NL("Sum","5802 Value Entry","43 Cost Amount (Actual)","41 Source Type",$C$5,"5 Source no.",$C1998,"4 Item Ledger Entry Type",$C$4,"2 Item No.","@@"&amp;$F1998,"3 Posting Date",O$9)</t>
  </si>
  <si>
    <t>=O1998-Q1998</t>
  </si>
  <si>
    <t>=IF(O1998&lt;&gt;0,R1998/O1998,"")</t>
  </si>
  <si>
    <t>=NL("Sum","5802 Value Entry","150 Sales Amount (Expected)","41 Source Type",$C$5,"5 Source No.",$C1998,"4 Item Ledger Entry Type",$C$4,"2 Item No.","@@"&amp;$F1998,"3 Posting Date",U$9)+NL("Sum","5802 Value Entry","17 Sales Amount (Actual)","41 Source Type",$C$5,"5 Source no.",$C1998,"4 Item Ledger Entry Type",$C$4,"2 Item No.","@@"&amp;$F1998,"3 Posting Date",U$9)</t>
  </si>
  <si>
    <t>=-NL("Sum","5802 Value Entry","151 Cost Amount (Expected)","41 Source Type",$C$5,"5 Source No.",$C1998,"4 Item Ledger Entry Type",$C$4,"2 Item No.","@@"&amp;$F1998,"3 Posting Date",U$9)-NL("Sum","5802 Value Entry","43 Cost Amount (Actual)","41 Source Type",$C$5,"5 Source no.",$C1998,"4 Item Ledger Entry Type",$C$4,"2 Item No.","@@"&amp;$F1998,"3 Posting Date",U$9)</t>
  </si>
  <si>
    <t>=U1998-W1998</t>
  </si>
  <si>
    <t>=IF(U1998&lt;&gt;0,X1998/U1998,"")</t>
  </si>
  <si>
    <t>=NL("Sum","5802 Value Entry","150 Sales Amount (Expected)","41 Source Type",$C$5,"5 Source No.",$C1998,"4 Item Ledger Entry Type",$C$4,"2 Item No.","@@"&amp;$F1998,"3 Posting Date",Z$9)+NL("Sum","5802 Value Entry","17 Sales Amount (Actual)","41 Source Type",$C$5,"5 Source no.",$C1998,"4 Item Ledger Entry Type",$C$4,"2 Item No.","@@"&amp;$F1998,"3 Posting Date",Z$9)</t>
  </si>
  <si>
    <t>=-NL("Sum","5802 Value Entry","151 Cost Amount (Expected)","41 Source Type",$C$5,"5 Source No.",$C1998,"4 Item Ledger Entry Type",$C$4,"2 Item No.","@@"&amp;$F1998,"3 Posting Date",Z$9)-NL("Sum","5802 Value Entry","43 Cost Amount (Actual)","41 Source Type",$C$5,"5 Source no.",$C1998,"4 Item Ledger Entry Type",$C$4,"2 Item No.","@@"&amp;$F1998,"3 Posting Date",Z$9)</t>
  </si>
  <si>
    <t>=Z1998-AB1998</t>
  </si>
  <si>
    <t>=IF(Z1998&lt;&gt;0,AC1998/Z1998,"")</t>
  </si>
  <si>
    <t>=NL("Sum","5802 Value Entry","150 Sales Amount (Expected)","41 Source Type",$C$5,"5 Source No.",$C1999,"4 Item Ledger Entry Type",$C$4,"2 Item No.","@@"&amp;$F1999,"3 Posting Date",J$9)+NL("Sum","5802 Value Entry","17 Sales Amount (Actual)","41 Source Type",$C$5,"5 Source no.",$C1999,"4 Item Ledger Entry Type",$C$4,"2 Item No.","@@"&amp;$F1999,"3 Posting Date",J$9)</t>
  </si>
  <si>
    <t>=-NL("Sum","5802 Value Entry","151 Cost Amount (Expected)","41 Source Type",$C$5,"5 Source No.",$C1999,"4 Item Ledger Entry Type",$C$4,"2 Item No.","@@"&amp;$F1999,"3 Posting Date",J$9)-NL("Sum","5802 Value Entry","43 Cost Amount (Actual)","41 Source Type",$C$5,"5 Source no.",$C1999,"4 Item Ledger Entry Type",$C$4,"2 Item No.","@@"&amp;$F1999,"3 Posting Date",J$9)</t>
  </si>
  <si>
    <t>=NL("Sum","5802 Value Entry","150 Sales Amount (Expected)","41 Source Type",$C$5,"5 Source No.",$C1999,"4 Item Ledger Entry Type",$C$4,"2 Item No.","@@"&amp;$F1999,"3 Posting Date",O$9)+NL("Sum","5802 Value Entry","17 Sales Amount (Actual)","41 Source Type",$C$5,"5 Source no.",$C1999,"4 Item Ledger Entry Type",$C$4,"2 Item No.","@@"&amp;$F1999,"3 Posting Date",O$9)</t>
  </si>
  <si>
    <t>=-NL("Sum","5802 Value Entry","151 Cost Amount (Expected)","41 Source Type",$C$5,"5 Source No.",$C1999,"4 Item Ledger Entry Type",$C$4,"2 Item No.","@@"&amp;$F1999,"3 Posting Date",O$9)-NL("Sum","5802 Value Entry","43 Cost Amount (Actual)","41 Source Type",$C$5,"5 Source no.",$C1999,"4 Item Ledger Entry Type",$C$4,"2 Item No.","@@"&amp;$F1999,"3 Posting Date",O$9)</t>
  </si>
  <si>
    <t>=NL("Sum","5802 Value Entry","150 Sales Amount (Expected)","41 Source Type",$C$5,"5 Source No.",$C1999,"4 Item Ledger Entry Type",$C$4,"2 Item No.","@@"&amp;$F1999,"3 Posting Date",U$9)+NL("Sum","5802 Value Entry","17 Sales Amount (Actual)","41 Source Type",$C$5,"5 Source no.",$C1999,"4 Item Ledger Entry Type",$C$4,"2 Item No.","@@"&amp;$F1999,"3 Posting Date",U$9)</t>
  </si>
  <si>
    <t>=-NL("Sum","5802 Value Entry","151 Cost Amount (Expected)","41 Source Type",$C$5,"5 Source No.",$C1999,"4 Item Ledger Entry Type",$C$4,"2 Item No.","@@"&amp;$F1999,"3 Posting Date",U$9)-NL("Sum","5802 Value Entry","43 Cost Amount (Actual)","41 Source Type",$C$5,"5 Source no.",$C1999,"4 Item Ledger Entry Type",$C$4,"2 Item No.","@@"&amp;$F1999,"3 Posting Date",U$9)</t>
  </si>
  <si>
    <t>=NL("Sum","5802 Value Entry","150 Sales Amount (Expected)","41 Source Type",$C$5,"5 Source No.",$C1999,"4 Item Ledger Entry Type",$C$4,"2 Item No.","@@"&amp;$F1999,"3 Posting Date",Z$9)+NL("Sum","5802 Value Entry","17 Sales Amount (Actual)","41 Source Type",$C$5,"5 Source no.",$C1999,"4 Item Ledger Entry Type",$C$4,"2 Item No.","@@"&amp;$F1999,"3 Posting Date",Z$9)</t>
  </si>
  <si>
    <t>=-NL("Sum","5802 Value Entry","151 Cost Amount (Expected)","41 Source Type",$C$5,"5 Source No.",$C1999,"4 Item Ledger Entry Type",$C$4,"2 Item No.","@@"&amp;$F1999,"3 Posting Date",Z$9)-NL("Sum","5802 Value Entry","43 Cost Amount (Actual)","41 Source Type",$C$5,"5 Source no.",$C1999,"4 Item Ledger Entry Type",$C$4,"2 Item No.","@@"&amp;$F1999,"3 Posting Date",Z$9)</t>
  </si>
  <si>
    <t>=C1999</t>
  </si>
  <si>
    <t>=NL("Sum","5802 Value Entry","150 Sales Amount (Expected)","41 Source Type",$C$5,"5 Source No.",$C2000,"4 Item Ledger Entry Type",$C$4,"2 Item No.","@@"&amp;$F2000,"3 Posting Date",J$9)+NL("Sum","5802 Value Entry","17 Sales Amount (Actual)","41 Source Type",$C$5,"5 Source no.",$C2000,"4 Item Ledger Entry Type",$C$4,"2 Item No.","@@"&amp;$F2000,"3 Posting Date",J$9)</t>
  </si>
  <si>
    <t>=-NL("Sum","5802 Value Entry","151 Cost Amount (Expected)","41 Source Type",$C$5,"5 Source No.",$C2000,"4 Item Ledger Entry Type",$C$4,"2 Item No.","@@"&amp;$F2000,"3 Posting Date",J$9)-NL("Sum","5802 Value Entry","43 Cost Amount (Actual)","41 Source Type",$C$5,"5 Source no.",$C2000,"4 Item Ledger Entry Type",$C$4,"2 Item No.","@@"&amp;$F2000,"3 Posting Date",J$9)</t>
  </si>
  <si>
    <t>=J2000-L2000</t>
  </si>
  <si>
    <t>=IF(J2000&lt;&gt;0,M2000/J2000,"")</t>
  </si>
  <si>
    <t>=NL("Sum","5802 Value Entry","150 Sales Amount (Expected)","41 Source Type",$C$5,"5 Source No.",$C2000,"4 Item Ledger Entry Type",$C$4,"2 Item No.","@@"&amp;$F2000,"3 Posting Date",O$9)+NL("Sum","5802 Value Entry","17 Sales Amount (Actual)","41 Source Type",$C$5,"5 Source no.",$C2000,"4 Item Ledger Entry Type",$C$4,"2 Item No.","@@"&amp;$F2000,"3 Posting Date",O$9)</t>
  </si>
  <si>
    <t>=-NL("Sum","5802 Value Entry","151 Cost Amount (Expected)","41 Source Type",$C$5,"5 Source No.",$C2000,"4 Item Ledger Entry Type",$C$4,"2 Item No.","@@"&amp;$F2000,"3 Posting Date",O$9)-NL("Sum","5802 Value Entry","43 Cost Amount (Actual)","41 Source Type",$C$5,"5 Source no.",$C2000,"4 Item Ledger Entry Type",$C$4,"2 Item No.","@@"&amp;$F2000,"3 Posting Date",O$9)</t>
  </si>
  <si>
    <t>=O2000-Q2000</t>
  </si>
  <si>
    <t>=IF(O2000&lt;&gt;0,R2000/O2000,"")</t>
  </si>
  <si>
    <t>=NL("Sum","5802 Value Entry","150 Sales Amount (Expected)","41 Source Type",$C$5,"5 Source No.",$C2000,"4 Item Ledger Entry Type",$C$4,"2 Item No.","@@"&amp;$F2000,"3 Posting Date",U$9)+NL("Sum","5802 Value Entry","17 Sales Amount (Actual)","41 Source Type",$C$5,"5 Source no.",$C2000,"4 Item Ledger Entry Type",$C$4,"2 Item No.","@@"&amp;$F2000,"3 Posting Date",U$9)</t>
  </si>
  <si>
    <t>=-NL("Sum","5802 Value Entry","151 Cost Amount (Expected)","41 Source Type",$C$5,"5 Source No.",$C2000,"4 Item Ledger Entry Type",$C$4,"2 Item No.","@@"&amp;$F2000,"3 Posting Date",U$9)-NL("Sum","5802 Value Entry","43 Cost Amount (Actual)","41 Source Type",$C$5,"5 Source no.",$C2000,"4 Item Ledger Entry Type",$C$4,"2 Item No.","@@"&amp;$F2000,"3 Posting Date",U$9)</t>
  </si>
  <si>
    <t>=U2000-W2000</t>
  </si>
  <si>
    <t>=IF(U2000&lt;&gt;0,X2000/U2000,"")</t>
  </si>
  <si>
    <t>=NL("Sum","5802 Value Entry","150 Sales Amount (Expected)","41 Source Type",$C$5,"5 Source No.",$C2000,"4 Item Ledger Entry Type",$C$4,"2 Item No.","@@"&amp;$F2000,"3 Posting Date",Z$9)+NL("Sum","5802 Value Entry","17 Sales Amount (Actual)","41 Source Type",$C$5,"5 Source no.",$C2000,"4 Item Ledger Entry Type",$C$4,"2 Item No.","@@"&amp;$F2000,"3 Posting Date",Z$9)</t>
  </si>
  <si>
    <t>=-NL("Sum","5802 Value Entry","151 Cost Amount (Expected)","41 Source Type",$C$5,"5 Source No.",$C2000,"4 Item Ledger Entry Type",$C$4,"2 Item No.","@@"&amp;$F2000,"3 Posting Date",Z$9)-NL("Sum","5802 Value Entry","43 Cost Amount (Actual)","41 Source Type",$C$5,"5 Source no.",$C2000,"4 Item Ledger Entry Type",$C$4,"2 Item No.","@@"&amp;$F2000,"3 Posting Date",Z$9)</t>
  </si>
  <si>
    <t>=Z2000-AB2000</t>
  </si>
  <si>
    <t>=IF(Z2000&lt;&gt;0,AC2000/Z2000,"")</t>
  </si>
  <si>
    <t>=C2000</t>
  </si>
  <si>
    <t>=NL("Sum","5802 Value Entry","150 Sales Amount (Expected)","41 Source Type",$C$5,"5 Source No.",$C2001,"4 Item Ledger Entry Type",$C$4,"2 Item No.","@@"&amp;$F2001,"3 Posting Date",J$9)+NL("Sum","5802 Value Entry","17 Sales Amount (Actual)","41 Source Type",$C$5,"5 Source no.",$C2001,"4 Item Ledger Entry Type",$C$4,"2 Item No.","@@"&amp;$F2001,"3 Posting Date",J$9)</t>
  </si>
  <si>
    <t>=-NL("Sum","5802 Value Entry","151 Cost Amount (Expected)","41 Source Type",$C$5,"5 Source No.",$C2001,"4 Item Ledger Entry Type",$C$4,"2 Item No.","@@"&amp;$F2001,"3 Posting Date",J$9)-NL("Sum","5802 Value Entry","43 Cost Amount (Actual)","41 Source Type",$C$5,"5 Source no.",$C2001,"4 Item Ledger Entry Type",$C$4,"2 Item No.","@@"&amp;$F2001,"3 Posting Date",J$9)</t>
  </si>
  <si>
    <t>=J2001-L2001</t>
  </si>
  <si>
    <t>=IF(J2001&lt;&gt;0,M2001/J2001,"")</t>
  </si>
  <si>
    <t>=NL("Sum","5802 Value Entry","150 Sales Amount (Expected)","41 Source Type",$C$5,"5 Source No.",$C2001,"4 Item Ledger Entry Type",$C$4,"2 Item No.","@@"&amp;$F2001,"3 Posting Date",O$9)+NL("Sum","5802 Value Entry","17 Sales Amount (Actual)","41 Source Type",$C$5,"5 Source no.",$C2001,"4 Item Ledger Entry Type",$C$4,"2 Item No.","@@"&amp;$F2001,"3 Posting Date",O$9)</t>
  </si>
  <si>
    <t>=-NL("Sum","5802 Value Entry","151 Cost Amount (Expected)","41 Source Type",$C$5,"5 Source No.",$C2001,"4 Item Ledger Entry Type",$C$4,"2 Item No.","@@"&amp;$F2001,"3 Posting Date",O$9)-NL("Sum","5802 Value Entry","43 Cost Amount (Actual)","41 Source Type",$C$5,"5 Source no.",$C2001,"4 Item Ledger Entry Type",$C$4,"2 Item No.","@@"&amp;$F2001,"3 Posting Date",O$9)</t>
  </si>
  <si>
    <t>=O2001-Q2001</t>
  </si>
  <si>
    <t>=IF(O2001&lt;&gt;0,R2001/O2001,"")</t>
  </si>
  <si>
    <t>=NL("Sum","5802 Value Entry","150 Sales Amount (Expected)","41 Source Type",$C$5,"5 Source No.",$C2001,"4 Item Ledger Entry Type",$C$4,"2 Item No.","@@"&amp;$F2001,"3 Posting Date",U$9)+NL("Sum","5802 Value Entry","17 Sales Amount (Actual)","41 Source Type",$C$5,"5 Source no.",$C2001,"4 Item Ledger Entry Type",$C$4,"2 Item No.","@@"&amp;$F2001,"3 Posting Date",U$9)</t>
  </si>
  <si>
    <t>=-NL("Sum","5802 Value Entry","151 Cost Amount (Expected)","41 Source Type",$C$5,"5 Source No.",$C2001,"4 Item Ledger Entry Type",$C$4,"2 Item No.","@@"&amp;$F2001,"3 Posting Date",U$9)-NL("Sum","5802 Value Entry","43 Cost Amount (Actual)","41 Source Type",$C$5,"5 Source no.",$C2001,"4 Item Ledger Entry Type",$C$4,"2 Item No.","@@"&amp;$F2001,"3 Posting Date",U$9)</t>
  </si>
  <si>
    <t>=U2001-W2001</t>
  </si>
  <si>
    <t>=IF(U2001&lt;&gt;0,X2001/U2001,"")</t>
  </si>
  <si>
    <t>=NL("Sum","5802 Value Entry","150 Sales Amount (Expected)","41 Source Type",$C$5,"5 Source No.",$C2001,"4 Item Ledger Entry Type",$C$4,"2 Item No.","@@"&amp;$F2001,"3 Posting Date",Z$9)+NL("Sum","5802 Value Entry","17 Sales Amount (Actual)","41 Source Type",$C$5,"5 Source no.",$C2001,"4 Item Ledger Entry Type",$C$4,"2 Item No.","@@"&amp;$F2001,"3 Posting Date",Z$9)</t>
  </si>
  <si>
    <t>=-NL("Sum","5802 Value Entry","151 Cost Amount (Expected)","41 Source Type",$C$5,"5 Source No.",$C2001,"4 Item Ledger Entry Type",$C$4,"2 Item No.","@@"&amp;$F2001,"3 Posting Date",Z$9)-NL("Sum","5802 Value Entry","43 Cost Amount (Actual)","41 Source Type",$C$5,"5 Source no.",$C2001,"4 Item Ledger Entry Type",$C$4,"2 Item No.","@@"&amp;$F2001,"3 Posting Date",Z$9)</t>
  </si>
  <si>
    <t>=Z2001-AB2001</t>
  </si>
  <si>
    <t>=IF(Z2001&lt;&gt;0,AC2001/Z2001,"")</t>
  </si>
  <si>
    <t>=NL("Sum","5802 Value Entry","150 Sales Amount (Expected)","41 Source Type",$C$5,"5 Source No.",$C2002,"4 Item Ledger Entry Type",$C$4,"2 Item No.","@@"&amp;$F2002,"3 Posting Date",J$9)+NL("Sum","5802 Value Entry","17 Sales Amount (Actual)","41 Source Type",$C$5,"5 Source no.",$C2002,"4 Item Ledger Entry Type",$C$4,"2 Item No.","@@"&amp;$F2002,"3 Posting Date",J$9)</t>
  </si>
  <si>
    <t>=-NL("Sum","5802 Value Entry","151 Cost Amount (Expected)","41 Source Type",$C$5,"5 Source No.",$C2002,"4 Item Ledger Entry Type",$C$4,"2 Item No.","@@"&amp;$F2002,"3 Posting Date",J$9)-NL("Sum","5802 Value Entry","43 Cost Amount (Actual)","41 Source Type",$C$5,"5 Source no.",$C2002,"4 Item Ledger Entry Type",$C$4,"2 Item No.","@@"&amp;$F2002,"3 Posting Date",J$9)</t>
  </si>
  <si>
    <t>=J2002-L2002</t>
  </si>
  <si>
    <t>=IF(J2002&lt;&gt;0,M2002/J2002,"")</t>
  </si>
  <si>
    <t>=NL("Sum","5802 Value Entry","150 Sales Amount (Expected)","41 Source Type",$C$5,"5 Source No.",$C2002,"4 Item Ledger Entry Type",$C$4,"2 Item No.","@@"&amp;$F2002,"3 Posting Date",O$9)+NL("Sum","5802 Value Entry","17 Sales Amount (Actual)","41 Source Type",$C$5,"5 Source no.",$C2002,"4 Item Ledger Entry Type",$C$4,"2 Item No.","@@"&amp;$F2002,"3 Posting Date",O$9)</t>
  </si>
  <si>
    <t>=-NL("Sum","5802 Value Entry","151 Cost Amount (Expected)","41 Source Type",$C$5,"5 Source No.",$C2002,"4 Item Ledger Entry Type",$C$4,"2 Item No.","@@"&amp;$F2002,"3 Posting Date",O$9)-NL("Sum","5802 Value Entry","43 Cost Amount (Actual)","41 Source Type",$C$5,"5 Source no.",$C2002,"4 Item Ledger Entry Type",$C$4,"2 Item No.","@@"&amp;$F2002,"3 Posting Date",O$9)</t>
  </si>
  <si>
    <t>=O2002-Q2002</t>
  </si>
  <si>
    <t>=IF(O2002&lt;&gt;0,R2002/O2002,"")</t>
  </si>
  <si>
    <t>=NL("Sum","5802 Value Entry","150 Sales Amount (Expected)","41 Source Type",$C$5,"5 Source No.",$C2002,"4 Item Ledger Entry Type",$C$4,"2 Item No.","@@"&amp;$F2002,"3 Posting Date",U$9)+NL("Sum","5802 Value Entry","17 Sales Amount (Actual)","41 Source Type",$C$5,"5 Source no.",$C2002,"4 Item Ledger Entry Type",$C$4,"2 Item No.","@@"&amp;$F2002,"3 Posting Date",U$9)</t>
  </si>
  <si>
    <t>=-NL("Sum","5802 Value Entry","151 Cost Amount (Expected)","41 Source Type",$C$5,"5 Source No.",$C2002,"4 Item Ledger Entry Type",$C$4,"2 Item No.","@@"&amp;$F2002,"3 Posting Date",U$9)-NL("Sum","5802 Value Entry","43 Cost Amount (Actual)","41 Source Type",$C$5,"5 Source no.",$C2002,"4 Item Ledger Entry Type",$C$4,"2 Item No.","@@"&amp;$F2002,"3 Posting Date",U$9)</t>
  </si>
  <si>
    <t>=U2002-W2002</t>
  </si>
  <si>
    <t>=IF(U2002&lt;&gt;0,X2002/U2002,"")</t>
  </si>
  <si>
    <t>=NL("Sum","5802 Value Entry","150 Sales Amount (Expected)","41 Source Type",$C$5,"5 Source No.",$C2002,"4 Item Ledger Entry Type",$C$4,"2 Item No.","@@"&amp;$F2002,"3 Posting Date",Z$9)+NL("Sum","5802 Value Entry","17 Sales Amount (Actual)","41 Source Type",$C$5,"5 Source no.",$C2002,"4 Item Ledger Entry Type",$C$4,"2 Item No.","@@"&amp;$F2002,"3 Posting Date",Z$9)</t>
  </si>
  <si>
    <t>=-NL("Sum","5802 Value Entry","151 Cost Amount (Expected)","41 Source Type",$C$5,"5 Source No.",$C2002,"4 Item Ledger Entry Type",$C$4,"2 Item No.","@@"&amp;$F2002,"3 Posting Date",Z$9)-NL("Sum","5802 Value Entry","43 Cost Amount (Actual)","41 Source Type",$C$5,"5 Source no.",$C2002,"4 Item Ledger Entry Type",$C$4,"2 Item No.","@@"&amp;$F2002,"3 Posting Date",Z$9)</t>
  </si>
  <si>
    <t>=Z2002-AB2002</t>
  </si>
  <si>
    <t>=IF(Z2002&lt;&gt;0,AC2002/Z2002,"")</t>
  </si>
  <si>
    <t>=C2035&amp;" TOTAL:"</t>
  </si>
  <si>
    <t>=SUBTOTAL(9,J1992:J2034)</t>
  </si>
  <si>
    <t>=SUBTOTAL(9,K1992:K2034)</t>
  </si>
  <si>
    <t>=SUBTOTAL(9,L1992:L2034)</t>
  </si>
  <si>
    <t>=SUBTOTAL(9,O1992:O2034)</t>
  </si>
  <si>
    <t>=SUBTOTAL(9,P1992:P2034)</t>
  </si>
  <si>
    <t>=SUBTOTAL(9,Q1992:Q2034)</t>
  </si>
  <si>
    <t>=SUBTOTAL(9,U1992:U2034)</t>
  </si>
  <si>
    <t>=SUBTOTAL(9,V1992:V2034)</t>
  </si>
  <si>
    <t>=SUBTOTAL(9,W1992:W2034)</t>
  </si>
  <si>
    <t>=SUBTOTAL(9,Z1992:Z2034)</t>
  </si>
  <si>
    <t>=SUBTOTAL(9,AA1992:AA2034)</t>
  </si>
  <si>
    <t>=SUBTOTAL(9,AB1992:AB2034)</t>
  </si>
  <si>
    <t>=E2037</t>
  </si>
  <si>
    <t>=NL(,"18 Customer","2 Name","1 No.",$E2037)</t>
  </si>
  <si>
    <t>=NL("Rows","5802 Value Entry","2 Item No.","4 Item Ledger Entry Type",$C$4,"41 Source Type",$C$5,"5 Source No.",$C2039,"Item No.",$C$7,"3 Posting Date",$C$10)</t>
  </si>
  <si>
    <t>=C2041</t>
  </si>
  <si>
    <t>=NL("Sum","5802 Value Entry","150 Sales Amount (Expected)","41 Source Type",$C$5,"5 Source No.",$C2042,"4 Item Ledger Entry Type",$C$4,"2 Item No.","@@"&amp;$F2042,"3 Posting Date",J$9)+NL("Sum","5802 Value Entry","17 Sales Amount (Actual)","41 Source Type",$C$5,"5 Source no.",$C2042,"4 Item Ledger Entry Type",$C$4,"2 Item No.","@@"&amp;$F2042,"3 Posting Date",J$9)</t>
  </si>
  <si>
    <t>=-NL("Sum","5802 Value Entry","151 Cost Amount (Expected)","41 Source Type",$C$5,"5 Source No.",$C2042,"4 Item Ledger Entry Type",$C$4,"2 Item No.","@@"&amp;$F2042,"3 Posting Date",J$9)-NL("Sum","5802 Value Entry","43 Cost Amount (Actual)","41 Source Type",$C$5,"5 Source no.",$C2042,"4 Item Ledger Entry Type",$C$4,"2 Item No.","@@"&amp;$F2042,"3 Posting Date",J$9)</t>
  </si>
  <si>
    <t>=J2042-L2042</t>
  </si>
  <si>
    <t>=IF(J2042&lt;&gt;0,M2042/J2042,"")</t>
  </si>
  <si>
    <t>=NL("Sum","5802 Value Entry","150 Sales Amount (Expected)","41 Source Type",$C$5,"5 Source No.",$C2042,"4 Item Ledger Entry Type",$C$4,"2 Item No.","@@"&amp;$F2042,"3 Posting Date",O$9)+NL("Sum","5802 Value Entry","17 Sales Amount (Actual)","41 Source Type",$C$5,"5 Source no.",$C2042,"4 Item Ledger Entry Type",$C$4,"2 Item No.","@@"&amp;$F2042,"3 Posting Date",O$9)</t>
  </si>
  <si>
    <t>=-NL("Sum","5802 Value Entry","151 Cost Amount (Expected)","41 Source Type",$C$5,"5 Source No.",$C2042,"4 Item Ledger Entry Type",$C$4,"2 Item No.","@@"&amp;$F2042,"3 Posting Date",O$9)-NL("Sum","5802 Value Entry","43 Cost Amount (Actual)","41 Source Type",$C$5,"5 Source no.",$C2042,"4 Item Ledger Entry Type",$C$4,"2 Item No.","@@"&amp;$F2042,"3 Posting Date",O$9)</t>
  </si>
  <si>
    <t>=O2042-Q2042</t>
  </si>
  <si>
    <t>=IF(O2042&lt;&gt;0,R2042/O2042,"")</t>
  </si>
  <si>
    <t>=NL("Sum","5802 Value Entry","150 Sales Amount (Expected)","41 Source Type",$C$5,"5 Source No.",$C2042,"4 Item Ledger Entry Type",$C$4,"2 Item No.","@@"&amp;$F2042,"3 Posting Date",U$9)+NL("Sum","5802 Value Entry","17 Sales Amount (Actual)","41 Source Type",$C$5,"5 Source no.",$C2042,"4 Item Ledger Entry Type",$C$4,"2 Item No.","@@"&amp;$F2042,"3 Posting Date",U$9)</t>
  </si>
  <si>
    <t>=-NL("Sum","5802 Value Entry","151 Cost Amount (Expected)","41 Source Type",$C$5,"5 Source No.",$C2042,"4 Item Ledger Entry Type",$C$4,"2 Item No.","@@"&amp;$F2042,"3 Posting Date",U$9)-NL("Sum","5802 Value Entry","43 Cost Amount (Actual)","41 Source Type",$C$5,"5 Source no.",$C2042,"4 Item Ledger Entry Type",$C$4,"2 Item No.","@@"&amp;$F2042,"3 Posting Date",U$9)</t>
  </si>
  <si>
    <t>=U2042-W2042</t>
  </si>
  <si>
    <t>=IF(U2042&lt;&gt;0,X2042/U2042,"")</t>
  </si>
  <si>
    <t>=NL("Sum","5802 Value Entry","150 Sales Amount (Expected)","41 Source Type",$C$5,"5 Source No.",$C2042,"4 Item Ledger Entry Type",$C$4,"2 Item No.","@@"&amp;$F2042,"3 Posting Date",Z$9)+NL("Sum","5802 Value Entry","17 Sales Amount (Actual)","41 Source Type",$C$5,"5 Source no.",$C2042,"4 Item Ledger Entry Type",$C$4,"2 Item No.","@@"&amp;$F2042,"3 Posting Date",Z$9)</t>
  </si>
  <si>
    <t>=-NL("Sum","5802 Value Entry","151 Cost Amount (Expected)","41 Source Type",$C$5,"5 Source No.",$C2042,"4 Item Ledger Entry Type",$C$4,"2 Item No.","@@"&amp;$F2042,"3 Posting Date",Z$9)-NL("Sum","5802 Value Entry","43 Cost Amount (Actual)","41 Source Type",$C$5,"5 Source no.",$C2042,"4 Item Ledger Entry Type",$C$4,"2 Item No.","@@"&amp;$F2042,"3 Posting Date",Z$9)</t>
  </si>
  <si>
    <t>=Z2042-AB2042</t>
  </si>
  <si>
    <t>=IF(Z2042&lt;&gt;0,AC2042/Z2042,"")</t>
  </si>
  <si>
    <t>=NL("Sum","5802 Value Entry","150 Sales Amount (Expected)","41 Source Type",$C$5,"5 Source No.",$C2043,"4 Item Ledger Entry Type",$C$4,"2 Item No.","@@"&amp;$F2043,"3 Posting Date",J$9)+NL("Sum","5802 Value Entry","17 Sales Amount (Actual)","41 Source Type",$C$5,"5 Source no.",$C2043,"4 Item Ledger Entry Type",$C$4,"2 Item No.","@@"&amp;$F2043,"3 Posting Date",J$9)</t>
  </si>
  <si>
    <t>=-NL("Sum","5802 Value Entry","151 Cost Amount (Expected)","41 Source Type",$C$5,"5 Source No.",$C2043,"4 Item Ledger Entry Type",$C$4,"2 Item No.","@@"&amp;$F2043,"3 Posting Date",J$9)-NL("Sum","5802 Value Entry","43 Cost Amount (Actual)","41 Source Type",$C$5,"5 Source no.",$C2043,"4 Item Ledger Entry Type",$C$4,"2 Item No.","@@"&amp;$F2043,"3 Posting Date",J$9)</t>
  </si>
  <si>
    <t>=NL("Sum","5802 Value Entry","150 Sales Amount (Expected)","41 Source Type",$C$5,"5 Source No.",$C2043,"4 Item Ledger Entry Type",$C$4,"2 Item No.","@@"&amp;$F2043,"3 Posting Date",O$9)+NL("Sum","5802 Value Entry","17 Sales Amount (Actual)","41 Source Type",$C$5,"5 Source no.",$C2043,"4 Item Ledger Entry Type",$C$4,"2 Item No.","@@"&amp;$F2043,"3 Posting Date",O$9)</t>
  </si>
  <si>
    <t>=-NL("Sum","5802 Value Entry","151 Cost Amount (Expected)","41 Source Type",$C$5,"5 Source No.",$C2043,"4 Item Ledger Entry Type",$C$4,"2 Item No.","@@"&amp;$F2043,"3 Posting Date",O$9)-NL("Sum","5802 Value Entry","43 Cost Amount (Actual)","41 Source Type",$C$5,"5 Source no.",$C2043,"4 Item Ledger Entry Type",$C$4,"2 Item No.","@@"&amp;$F2043,"3 Posting Date",O$9)</t>
  </si>
  <si>
    <t>=NL("Sum","5802 Value Entry","150 Sales Amount (Expected)","41 Source Type",$C$5,"5 Source No.",$C2043,"4 Item Ledger Entry Type",$C$4,"2 Item No.","@@"&amp;$F2043,"3 Posting Date",U$9)+NL("Sum","5802 Value Entry","17 Sales Amount (Actual)","41 Source Type",$C$5,"5 Source no.",$C2043,"4 Item Ledger Entry Type",$C$4,"2 Item No.","@@"&amp;$F2043,"3 Posting Date",U$9)</t>
  </si>
  <si>
    <t>=-NL("Sum","5802 Value Entry","151 Cost Amount (Expected)","41 Source Type",$C$5,"5 Source No.",$C2043,"4 Item Ledger Entry Type",$C$4,"2 Item No.","@@"&amp;$F2043,"3 Posting Date",U$9)-NL("Sum","5802 Value Entry","43 Cost Amount (Actual)","41 Source Type",$C$5,"5 Source no.",$C2043,"4 Item Ledger Entry Type",$C$4,"2 Item No.","@@"&amp;$F2043,"3 Posting Date",U$9)</t>
  </si>
  <si>
    <t>=NL("Sum","5802 Value Entry","150 Sales Amount (Expected)","41 Source Type",$C$5,"5 Source No.",$C2043,"4 Item Ledger Entry Type",$C$4,"2 Item No.","@@"&amp;$F2043,"3 Posting Date",Z$9)+NL("Sum","5802 Value Entry","17 Sales Amount (Actual)","41 Source Type",$C$5,"5 Source no.",$C2043,"4 Item Ledger Entry Type",$C$4,"2 Item No.","@@"&amp;$F2043,"3 Posting Date",Z$9)</t>
  </si>
  <si>
    <t>=-NL("Sum","5802 Value Entry","151 Cost Amount (Expected)","41 Source Type",$C$5,"5 Source No.",$C2043,"4 Item Ledger Entry Type",$C$4,"2 Item No.","@@"&amp;$F2043,"3 Posting Date",Z$9)-NL("Sum","5802 Value Entry","43 Cost Amount (Actual)","41 Source Type",$C$5,"5 Source no.",$C2043,"4 Item Ledger Entry Type",$C$4,"2 Item No.","@@"&amp;$F2043,"3 Posting Date",Z$9)</t>
  </si>
  <si>
    <t>=C2043</t>
  </si>
  <si>
    <t>=NL("Sum","5802 Value Entry","150 Sales Amount (Expected)","41 Source Type",$C$5,"5 Source No.",$C2044,"4 Item Ledger Entry Type",$C$4,"2 Item No.","@@"&amp;$F2044,"3 Posting Date",J$9)+NL("Sum","5802 Value Entry","17 Sales Amount (Actual)","41 Source Type",$C$5,"5 Source no.",$C2044,"4 Item Ledger Entry Type",$C$4,"2 Item No.","@@"&amp;$F2044,"3 Posting Date",J$9)</t>
  </si>
  <si>
    <t>=-NL("Sum","5802 Value Entry","151 Cost Amount (Expected)","41 Source Type",$C$5,"5 Source No.",$C2044,"4 Item Ledger Entry Type",$C$4,"2 Item No.","@@"&amp;$F2044,"3 Posting Date",J$9)-NL("Sum","5802 Value Entry","43 Cost Amount (Actual)","41 Source Type",$C$5,"5 Source no.",$C2044,"4 Item Ledger Entry Type",$C$4,"2 Item No.","@@"&amp;$F2044,"3 Posting Date",J$9)</t>
  </si>
  <si>
    <t>=J2044-L2044</t>
  </si>
  <si>
    <t>=IF(J2044&lt;&gt;0,M2044/J2044,"")</t>
  </si>
  <si>
    <t>=NL("Sum","5802 Value Entry","150 Sales Amount (Expected)","41 Source Type",$C$5,"5 Source No.",$C2044,"4 Item Ledger Entry Type",$C$4,"2 Item No.","@@"&amp;$F2044,"3 Posting Date",O$9)+NL("Sum","5802 Value Entry","17 Sales Amount (Actual)","41 Source Type",$C$5,"5 Source no.",$C2044,"4 Item Ledger Entry Type",$C$4,"2 Item No.","@@"&amp;$F2044,"3 Posting Date",O$9)</t>
  </si>
  <si>
    <t>=-NL("Sum","5802 Value Entry","151 Cost Amount (Expected)","41 Source Type",$C$5,"5 Source No.",$C2044,"4 Item Ledger Entry Type",$C$4,"2 Item No.","@@"&amp;$F2044,"3 Posting Date",O$9)-NL("Sum","5802 Value Entry","43 Cost Amount (Actual)","41 Source Type",$C$5,"5 Source no.",$C2044,"4 Item Ledger Entry Type",$C$4,"2 Item No.","@@"&amp;$F2044,"3 Posting Date",O$9)</t>
  </si>
  <si>
    <t>=O2044-Q2044</t>
  </si>
  <si>
    <t>=IF(O2044&lt;&gt;0,R2044/O2044,"")</t>
  </si>
  <si>
    <t>=NL("Sum","5802 Value Entry","150 Sales Amount (Expected)","41 Source Type",$C$5,"5 Source No.",$C2044,"4 Item Ledger Entry Type",$C$4,"2 Item No.","@@"&amp;$F2044,"3 Posting Date",U$9)+NL("Sum","5802 Value Entry","17 Sales Amount (Actual)","41 Source Type",$C$5,"5 Source no.",$C2044,"4 Item Ledger Entry Type",$C$4,"2 Item No.","@@"&amp;$F2044,"3 Posting Date",U$9)</t>
  </si>
  <si>
    <t>=-NL("Sum","5802 Value Entry","151 Cost Amount (Expected)","41 Source Type",$C$5,"5 Source No.",$C2044,"4 Item Ledger Entry Type",$C$4,"2 Item No.","@@"&amp;$F2044,"3 Posting Date",U$9)-NL("Sum","5802 Value Entry","43 Cost Amount (Actual)","41 Source Type",$C$5,"5 Source no.",$C2044,"4 Item Ledger Entry Type",$C$4,"2 Item No.","@@"&amp;$F2044,"3 Posting Date",U$9)</t>
  </si>
  <si>
    <t>=U2044-W2044</t>
  </si>
  <si>
    <t>=IF(U2044&lt;&gt;0,X2044/U2044,"")</t>
  </si>
  <si>
    <t>=NL("Sum","5802 Value Entry","150 Sales Amount (Expected)","41 Source Type",$C$5,"5 Source No.",$C2044,"4 Item Ledger Entry Type",$C$4,"2 Item No.","@@"&amp;$F2044,"3 Posting Date",Z$9)+NL("Sum","5802 Value Entry","17 Sales Amount (Actual)","41 Source Type",$C$5,"5 Source no.",$C2044,"4 Item Ledger Entry Type",$C$4,"2 Item No.","@@"&amp;$F2044,"3 Posting Date",Z$9)</t>
  </si>
  <si>
    <t>=-NL("Sum","5802 Value Entry","151 Cost Amount (Expected)","41 Source Type",$C$5,"5 Source No.",$C2044,"4 Item Ledger Entry Type",$C$4,"2 Item No.","@@"&amp;$F2044,"3 Posting Date",Z$9)-NL("Sum","5802 Value Entry","43 Cost Amount (Actual)","41 Source Type",$C$5,"5 Source no.",$C2044,"4 Item Ledger Entry Type",$C$4,"2 Item No.","@@"&amp;$F2044,"3 Posting Date",Z$9)</t>
  </si>
  <si>
    <t>=Z2044-AB2044</t>
  </si>
  <si>
    <t>=IF(Z2044&lt;&gt;0,AC2044/Z2044,"")</t>
  </si>
  <si>
    <t>=C2044</t>
  </si>
  <si>
    <t>=NL("Sum","5802 Value Entry","150 Sales Amount (Expected)","41 Source Type",$C$5,"5 Source No.",$C2045,"4 Item Ledger Entry Type",$C$4,"2 Item No.","@@"&amp;$F2045,"3 Posting Date",J$9)+NL("Sum","5802 Value Entry","17 Sales Amount (Actual)","41 Source Type",$C$5,"5 Source no.",$C2045,"4 Item Ledger Entry Type",$C$4,"2 Item No.","@@"&amp;$F2045,"3 Posting Date",J$9)</t>
  </si>
  <si>
    <t>=-NL("Sum","5802 Value Entry","151 Cost Amount (Expected)","41 Source Type",$C$5,"5 Source No.",$C2045,"4 Item Ledger Entry Type",$C$4,"2 Item No.","@@"&amp;$F2045,"3 Posting Date",J$9)-NL("Sum","5802 Value Entry","43 Cost Amount (Actual)","41 Source Type",$C$5,"5 Source no.",$C2045,"4 Item Ledger Entry Type",$C$4,"2 Item No.","@@"&amp;$F2045,"3 Posting Date",J$9)</t>
  </si>
  <si>
    <t>=J2045-L2045</t>
  </si>
  <si>
    <t>=IF(J2045&lt;&gt;0,M2045/J2045,"")</t>
  </si>
  <si>
    <t>=NL("Sum","5802 Value Entry","150 Sales Amount (Expected)","41 Source Type",$C$5,"5 Source No.",$C2045,"4 Item Ledger Entry Type",$C$4,"2 Item No.","@@"&amp;$F2045,"3 Posting Date",O$9)+NL("Sum","5802 Value Entry","17 Sales Amount (Actual)","41 Source Type",$C$5,"5 Source no.",$C2045,"4 Item Ledger Entry Type",$C$4,"2 Item No.","@@"&amp;$F2045,"3 Posting Date",O$9)</t>
  </si>
  <si>
    <t>=-NL("Sum","5802 Value Entry","151 Cost Amount (Expected)","41 Source Type",$C$5,"5 Source No.",$C2045,"4 Item Ledger Entry Type",$C$4,"2 Item No.","@@"&amp;$F2045,"3 Posting Date",O$9)-NL("Sum","5802 Value Entry","43 Cost Amount (Actual)","41 Source Type",$C$5,"5 Source no.",$C2045,"4 Item Ledger Entry Type",$C$4,"2 Item No.","@@"&amp;$F2045,"3 Posting Date",O$9)</t>
  </si>
  <si>
    <t>=O2045-Q2045</t>
  </si>
  <si>
    <t>=IF(O2045&lt;&gt;0,R2045/O2045,"")</t>
  </si>
  <si>
    <t>=NL("Sum","5802 Value Entry","150 Sales Amount (Expected)","41 Source Type",$C$5,"5 Source No.",$C2045,"4 Item Ledger Entry Type",$C$4,"2 Item No.","@@"&amp;$F2045,"3 Posting Date",U$9)+NL("Sum","5802 Value Entry","17 Sales Amount (Actual)","41 Source Type",$C$5,"5 Source no.",$C2045,"4 Item Ledger Entry Type",$C$4,"2 Item No.","@@"&amp;$F2045,"3 Posting Date",U$9)</t>
  </si>
  <si>
    <t>=-NL("Sum","5802 Value Entry","151 Cost Amount (Expected)","41 Source Type",$C$5,"5 Source No.",$C2045,"4 Item Ledger Entry Type",$C$4,"2 Item No.","@@"&amp;$F2045,"3 Posting Date",U$9)-NL("Sum","5802 Value Entry","43 Cost Amount (Actual)","41 Source Type",$C$5,"5 Source no.",$C2045,"4 Item Ledger Entry Type",$C$4,"2 Item No.","@@"&amp;$F2045,"3 Posting Date",U$9)</t>
  </si>
  <si>
    <t>=U2045-W2045</t>
  </si>
  <si>
    <t>=IF(U2045&lt;&gt;0,X2045/U2045,"")</t>
  </si>
  <si>
    <t>=NL("Sum","5802 Value Entry","150 Sales Amount (Expected)","41 Source Type",$C$5,"5 Source No.",$C2045,"4 Item Ledger Entry Type",$C$4,"2 Item No.","@@"&amp;$F2045,"3 Posting Date",Z$9)+NL("Sum","5802 Value Entry","17 Sales Amount (Actual)","41 Source Type",$C$5,"5 Source no.",$C2045,"4 Item Ledger Entry Type",$C$4,"2 Item No.","@@"&amp;$F2045,"3 Posting Date",Z$9)</t>
  </si>
  <si>
    <t>=-NL("Sum","5802 Value Entry","151 Cost Amount (Expected)","41 Source Type",$C$5,"5 Source No.",$C2045,"4 Item Ledger Entry Type",$C$4,"2 Item No.","@@"&amp;$F2045,"3 Posting Date",Z$9)-NL("Sum","5802 Value Entry","43 Cost Amount (Actual)","41 Source Type",$C$5,"5 Source no.",$C2045,"4 Item Ledger Entry Type",$C$4,"2 Item No.","@@"&amp;$F2045,"3 Posting Date",Z$9)</t>
  </si>
  <si>
    <t>=Z2045-AB2045</t>
  </si>
  <si>
    <t>=IF(Z2045&lt;&gt;0,AC2045/Z2045,"")</t>
  </si>
  <si>
    <t>=NL("Sum","5802 Value Entry","150 Sales Amount (Expected)","41 Source Type",$C$5,"5 Source No.",$C2046,"4 Item Ledger Entry Type",$C$4,"2 Item No.","@@"&amp;$F2046,"3 Posting Date",J$9)+NL("Sum","5802 Value Entry","17 Sales Amount (Actual)","41 Source Type",$C$5,"5 Source no.",$C2046,"4 Item Ledger Entry Type",$C$4,"2 Item No.","@@"&amp;$F2046,"3 Posting Date",J$9)</t>
  </si>
  <si>
    <t>=-NL("Sum","5802 Value Entry","151 Cost Amount (Expected)","41 Source Type",$C$5,"5 Source No.",$C2046,"4 Item Ledger Entry Type",$C$4,"2 Item No.","@@"&amp;$F2046,"3 Posting Date",J$9)-NL("Sum","5802 Value Entry","43 Cost Amount (Actual)","41 Source Type",$C$5,"5 Source no.",$C2046,"4 Item Ledger Entry Type",$C$4,"2 Item No.","@@"&amp;$F2046,"3 Posting Date",J$9)</t>
  </si>
  <si>
    <t>=J2046-L2046</t>
  </si>
  <si>
    <t>=IF(J2046&lt;&gt;0,M2046/J2046,"")</t>
  </si>
  <si>
    <t>=NL("Sum","5802 Value Entry","150 Sales Amount (Expected)","41 Source Type",$C$5,"5 Source No.",$C2046,"4 Item Ledger Entry Type",$C$4,"2 Item No.","@@"&amp;$F2046,"3 Posting Date",O$9)+NL("Sum","5802 Value Entry","17 Sales Amount (Actual)","41 Source Type",$C$5,"5 Source no.",$C2046,"4 Item Ledger Entry Type",$C$4,"2 Item No.","@@"&amp;$F2046,"3 Posting Date",O$9)</t>
  </si>
  <si>
    <t>=-NL("Sum","5802 Value Entry","151 Cost Amount (Expected)","41 Source Type",$C$5,"5 Source No.",$C2046,"4 Item Ledger Entry Type",$C$4,"2 Item No.","@@"&amp;$F2046,"3 Posting Date",O$9)-NL("Sum","5802 Value Entry","43 Cost Amount (Actual)","41 Source Type",$C$5,"5 Source no.",$C2046,"4 Item Ledger Entry Type",$C$4,"2 Item No.","@@"&amp;$F2046,"3 Posting Date",O$9)</t>
  </si>
  <si>
    <t>=O2046-Q2046</t>
  </si>
  <si>
    <t>=IF(O2046&lt;&gt;0,R2046/O2046,"")</t>
  </si>
  <si>
    <t>=NL("Sum","5802 Value Entry","150 Sales Amount (Expected)","41 Source Type",$C$5,"5 Source No.",$C2046,"4 Item Ledger Entry Type",$C$4,"2 Item No.","@@"&amp;$F2046,"3 Posting Date",U$9)+NL("Sum","5802 Value Entry","17 Sales Amount (Actual)","41 Source Type",$C$5,"5 Source no.",$C2046,"4 Item Ledger Entry Type",$C$4,"2 Item No.","@@"&amp;$F2046,"3 Posting Date",U$9)</t>
  </si>
  <si>
    <t>=-NL("Sum","5802 Value Entry","151 Cost Amount (Expected)","41 Source Type",$C$5,"5 Source No.",$C2046,"4 Item Ledger Entry Type",$C$4,"2 Item No.","@@"&amp;$F2046,"3 Posting Date",U$9)-NL("Sum","5802 Value Entry","43 Cost Amount (Actual)","41 Source Type",$C$5,"5 Source no.",$C2046,"4 Item Ledger Entry Type",$C$4,"2 Item No.","@@"&amp;$F2046,"3 Posting Date",U$9)</t>
  </si>
  <si>
    <t>=U2046-W2046</t>
  </si>
  <si>
    <t>=IF(U2046&lt;&gt;0,X2046/U2046,"")</t>
  </si>
  <si>
    <t>=NL("Sum","5802 Value Entry","150 Sales Amount (Expected)","41 Source Type",$C$5,"5 Source No.",$C2046,"4 Item Ledger Entry Type",$C$4,"2 Item No.","@@"&amp;$F2046,"3 Posting Date",Z$9)+NL("Sum","5802 Value Entry","17 Sales Amount (Actual)","41 Source Type",$C$5,"5 Source no.",$C2046,"4 Item Ledger Entry Type",$C$4,"2 Item No.","@@"&amp;$F2046,"3 Posting Date",Z$9)</t>
  </si>
  <si>
    <t>=-NL("Sum","5802 Value Entry","151 Cost Amount (Expected)","41 Source Type",$C$5,"5 Source No.",$C2046,"4 Item Ledger Entry Type",$C$4,"2 Item No.","@@"&amp;$F2046,"3 Posting Date",Z$9)-NL("Sum","5802 Value Entry","43 Cost Amount (Actual)","41 Source Type",$C$5,"5 Source no.",$C2046,"4 Item Ledger Entry Type",$C$4,"2 Item No.","@@"&amp;$F2046,"3 Posting Date",Z$9)</t>
  </si>
  <si>
    <t>=Z2046-AB2046</t>
  </si>
  <si>
    <t>=IF(Z2046&lt;&gt;0,AC2046/Z2046,"")</t>
  </si>
  <si>
    <t>=C2093&amp;" TOTAL:"</t>
  </si>
  <si>
    <t>=SUBTOTAL(9,J2038:J2092)</t>
  </si>
  <si>
    <t>=SUBTOTAL(9,K2038:K2092)</t>
  </si>
  <si>
    <t>=SUBTOTAL(9,L2038:L2092)</t>
  </si>
  <si>
    <t>=SUBTOTAL(9,O2038:O2092)</t>
  </si>
  <si>
    <t>=SUBTOTAL(9,P2038:P2092)</t>
  </si>
  <si>
    <t>=SUBTOTAL(9,Q2038:Q2092)</t>
  </si>
  <si>
    <t>=SUBTOTAL(9,U2038:U2092)</t>
  </si>
  <si>
    <t>=SUBTOTAL(9,V2038:V2092)</t>
  </si>
  <si>
    <t>=SUBTOTAL(9,W2038:W2092)</t>
  </si>
  <si>
    <t>=SUBTOTAL(9,Z2038:Z2092)</t>
  </si>
  <si>
    <t>=SUBTOTAL(9,AA2038:AA2092)</t>
  </si>
  <si>
    <t>=SUBTOTAL(9,AB2038:AB2092)</t>
  </si>
  <si>
    <t>=E2095</t>
  </si>
  <si>
    <t>=NL(,"18 Customer","2 Name","1 No.",$E2095)</t>
  </si>
  <si>
    <t>=C2096</t>
  </si>
  <si>
    <t>=NL("Rows","5802 Value Entry","2 Item No.","4 Item Ledger Entry Type",$C$4,"41 Source Type",$C$5,"5 Source No.",$C2097,"Item No.",$C$7,"3 Posting Date",$C$10)</t>
  </si>
  <si>
    <t>=NL("Sum","5802 Value Entry","150 Sales Amount (Expected)","41 Source Type",$C$5,"5 Source No.",$C2097,"4 Item Ledger Entry Type",$C$4,"2 Item No.","@@"&amp;$F2097,"3 Posting Date",J$9)+NL("Sum","5802 Value Entry","17 Sales Amount (Actual)","41 Source Type",$C$5,"5 Source no.",$C2097,"4 Item Ledger Entry Type",$C$4,"2 Item No.","@@"&amp;$F2097,"3 Posting Date",J$9)</t>
  </si>
  <si>
    <t>=-NL("Sum","5802 Value Entry","151 Cost Amount (Expected)","41 Source Type",$C$5,"5 Source No.",$C2097,"4 Item Ledger Entry Type",$C$4,"2 Item No.","@@"&amp;$F2097,"3 Posting Date",J$9)-NL("Sum","5802 Value Entry","43 Cost Amount (Actual)","41 Source Type",$C$5,"5 Source no.",$C2097,"4 Item Ledger Entry Type",$C$4,"2 Item No.","@@"&amp;$F2097,"3 Posting Date",J$9)</t>
  </si>
  <si>
    <t>=J2097-L2097</t>
  </si>
  <si>
    <t>=IF(J2097&lt;&gt;0,M2097/J2097,"")</t>
  </si>
  <si>
    <t>=NL("Sum","5802 Value Entry","150 Sales Amount (Expected)","41 Source Type",$C$5,"5 Source No.",$C2097,"4 Item Ledger Entry Type",$C$4,"2 Item No.","@@"&amp;$F2097,"3 Posting Date",O$9)+NL("Sum","5802 Value Entry","17 Sales Amount (Actual)","41 Source Type",$C$5,"5 Source no.",$C2097,"4 Item Ledger Entry Type",$C$4,"2 Item No.","@@"&amp;$F2097,"3 Posting Date",O$9)</t>
  </si>
  <si>
    <t>=-NL("Sum","5802 Value Entry","151 Cost Amount (Expected)","41 Source Type",$C$5,"5 Source No.",$C2097,"4 Item Ledger Entry Type",$C$4,"2 Item No.","@@"&amp;$F2097,"3 Posting Date",O$9)-NL("Sum","5802 Value Entry","43 Cost Amount (Actual)","41 Source Type",$C$5,"5 Source no.",$C2097,"4 Item Ledger Entry Type",$C$4,"2 Item No.","@@"&amp;$F2097,"3 Posting Date",O$9)</t>
  </si>
  <si>
    <t>=O2097-Q2097</t>
  </si>
  <si>
    <t>=IF(O2097&lt;&gt;0,R2097/O2097,"")</t>
  </si>
  <si>
    <t>=NL("Sum","5802 Value Entry","150 Sales Amount (Expected)","41 Source Type",$C$5,"5 Source No.",$C2097,"4 Item Ledger Entry Type",$C$4,"2 Item No.","@@"&amp;$F2097,"3 Posting Date",U$9)+NL("Sum","5802 Value Entry","17 Sales Amount (Actual)","41 Source Type",$C$5,"5 Source no.",$C2097,"4 Item Ledger Entry Type",$C$4,"2 Item No.","@@"&amp;$F2097,"3 Posting Date",U$9)</t>
  </si>
  <si>
    <t>=-NL("Sum","5802 Value Entry","151 Cost Amount (Expected)","41 Source Type",$C$5,"5 Source No.",$C2097,"4 Item Ledger Entry Type",$C$4,"2 Item No.","@@"&amp;$F2097,"3 Posting Date",U$9)-NL("Sum","5802 Value Entry","43 Cost Amount (Actual)","41 Source Type",$C$5,"5 Source no.",$C2097,"4 Item Ledger Entry Type",$C$4,"2 Item No.","@@"&amp;$F2097,"3 Posting Date",U$9)</t>
  </si>
  <si>
    <t>=U2097-W2097</t>
  </si>
  <si>
    <t>=IF(U2097&lt;&gt;0,X2097/U2097,"")</t>
  </si>
  <si>
    <t>=NL("Sum","5802 Value Entry","150 Sales Amount (Expected)","41 Source Type",$C$5,"5 Source No.",$C2097,"4 Item Ledger Entry Type",$C$4,"2 Item No.","@@"&amp;$F2097,"3 Posting Date",Z$9)+NL("Sum","5802 Value Entry","17 Sales Amount (Actual)","41 Source Type",$C$5,"5 Source no.",$C2097,"4 Item Ledger Entry Type",$C$4,"2 Item No.","@@"&amp;$F2097,"3 Posting Date",Z$9)</t>
  </si>
  <si>
    <t>=-NL("Sum","5802 Value Entry","151 Cost Amount (Expected)","41 Source Type",$C$5,"5 Source No.",$C2097,"4 Item Ledger Entry Type",$C$4,"2 Item No.","@@"&amp;$F2097,"3 Posting Date",Z$9)-NL("Sum","5802 Value Entry","43 Cost Amount (Actual)","41 Source Type",$C$5,"5 Source no.",$C2097,"4 Item Ledger Entry Type",$C$4,"2 Item No.","@@"&amp;$F2097,"3 Posting Date",Z$9)</t>
  </si>
  <si>
    <t>=Z2097-AB2097</t>
  </si>
  <si>
    <t>=IF(Z2097&lt;&gt;0,AC2097/Z2097,"")</t>
  </si>
  <si>
    <t>=C2097</t>
  </si>
  <si>
    <t>=NL("Sum","5802 Value Entry","150 Sales Amount (Expected)","41 Source Type",$C$5,"5 Source No.",$C2098,"4 Item Ledger Entry Type",$C$4,"2 Item No.","@@"&amp;$F2098,"3 Posting Date",J$9)+NL("Sum","5802 Value Entry","17 Sales Amount (Actual)","41 Source Type",$C$5,"5 Source no.",$C2098,"4 Item Ledger Entry Type",$C$4,"2 Item No.","@@"&amp;$F2098,"3 Posting Date",J$9)</t>
  </si>
  <si>
    <t>=-NL("Sum","5802 Value Entry","151 Cost Amount (Expected)","41 Source Type",$C$5,"5 Source No.",$C2098,"4 Item Ledger Entry Type",$C$4,"2 Item No.","@@"&amp;$F2098,"3 Posting Date",J$9)-NL("Sum","5802 Value Entry","43 Cost Amount (Actual)","41 Source Type",$C$5,"5 Source no.",$C2098,"4 Item Ledger Entry Type",$C$4,"2 Item No.","@@"&amp;$F2098,"3 Posting Date",J$9)</t>
  </si>
  <si>
    <t>=J2098-L2098</t>
  </si>
  <si>
    <t>=IF(J2098&lt;&gt;0,M2098/J2098,"")</t>
  </si>
  <si>
    <t>=NL("Sum","5802 Value Entry","150 Sales Amount (Expected)","41 Source Type",$C$5,"5 Source No.",$C2098,"4 Item Ledger Entry Type",$C$4,"2 Item No.","@@"&amp;$F2098,"3 Posting Date",O$9)+NL("Sum","5802 Value Entry","17 Sales Amount (Actual)","41 Source Type",$C$5,"5 Source no.",$C2098,"4 Item Ledger Entry Type",$C$4,"2 Item No.","@@"&amp;$F2098,"3 Posting Date",O$9)</t>
  </si>
  <si>
    <t>=-NL("Sum","5802 Value Entry","151 Cost Amount (Expected)","41 Source Type",$C$5,"5 Source No.",$C2098,"4 Item Ledger Entry Type",$C$4,"2 Item No.","@@"&amp;$F2098,"3 Posting Date",O$9)-NL("Sum","5802 Value Entry","43 Cost Amount (Actual)","41 Source Type",$C$5,"5 Source no.",$C2098,"4 Item Ledger Entry Type",$C$4,"2 Item No.","@@"&amp;$F2098,"3 Posting Date",O$9)</t>
  </si>
  <si>
    <t>=O2098-Q2098</t>
  </si>
  <si>
    <t>=IF(O2098&lt;&gt;0,R2098/O2098,"")</t>
  </si>
  <si>
    <t>=NL("Sum","5802 Value Entry","150 Sales Amount (Expected)","41 Source Type",$C$5,"5 Source No.",$C2098,"4 Item Ledger Entry Type",$C$4,"2 Item No.","@@"&amp;$F2098,"3 Posting Date",U$9)+NL("Sum","5802 Value Entry","17 Sales Amount (Actual)","41 Source Type",$C$5,"5 Source no.",$C2098,"4 Item Ledger Entry Type",$C$4,"2 Item No.","@@"&amp;$F2098,"3 Posting Date",U$9)</t>
  </si>
  <si>
    <t>=-NL("Sum","5802 Value Entry","151 Cost Amount (Expected)","41 Source Type",$C$5,"5 Source No.",$C2098,"4 Item Ledger Entry Type",$C$4,"2 Item No.","@@"&amp;$F2098,"3 Posting Date",U$9)-NL("Sum","5802 Value Entry","43 Cost Amount (Actual)","41 Source Type",$C$5,"5 Source no.",$C2098,"4 Item Ledger Entry Type",$C$4,"2 Item No.","@@"&amp;$F2098,"3 Posting Date",U$9)</t>
  </si>
  <si>
    <t>=U2098-W2098</t>
  </si>
  <si>
    <t>=IF(U2098&lt;&gt;0,X2098/U2098,"")</t>
  </si>
  <si>
    <t>=NL("Sum","5802 Value Entry","150 Sales Amount (Expected)","41 Source Type",$C$5,"5 Source No.",$C2098,"4 Item Ledger Entry Type",$C$4,"2 Item No.","@@"&amp;$F2098,"3 Posting Date",Z$9)+NL("Sum","5802 Value Entry","17 Sales Amount (Actual)","41 Source Type",$C$5,"5 Source no.",$C2098,"4 Item Ledger Entry Type",$C$4,"2 Item No.","@@"&amp;$F2098,"3 Posting Date",Z$9)</t>
  </si>
  <si>
    <t>=-NL("Sum","5802 Value Entry","151 Cost Amount (Expected)","41 Source Type",$C$5,"5 Source No.",$C2098,"4 Item Ledger Entry Type",$C$4,"2 Item No.","@@"&amp;$F2098,"3 Posting Date",Z$9)-NL("Sum","5802 Value Entry","43 Cost Amount (Actual)","41 Source Type",$C$5,"5 Source no.",$C2098,"4 Item Ledger Entry Type",$C$4,"2 Item No.","@@"&amp;$F2098,"3 Posting Date",Z$9)</t>
  </si>
  <si>
    <t>=Z2098-AB2098</t>
  </si>
  <si>
    <t>=IF(Z2098&lt;&gt;0,AC2098/Z2098,"")</t>
  </si>
  <si>
    <t>=NL("Sum","5802 Value Entry","150 Sales Amount (Expected)","41 Source Type",$C$5,"5 Source No.",$C2099,"4 Item Ledger Entry Type",$C$4,"2 Item No.","@@"&amp;$F2099,"3 Posting Date",J$9)+NL("Sum","5802 Value Entry","17 Sales Amount (Actual)","41 Source Type",$C$5,"5 Source no.",$C2099,"4 Item Ledger Entry Type",$C$4,"2 Item No.","@@"&amp;$F2099,"3 Posting Date",J$9)</t>
  </si>
  <si>
    <t>=-NL("Sum","5802 Value Entry","151 Cost Amount (Expected)","41 Source Type",$C$5,"5 Source No.",$C2099,"4 Item Ledger Entry Type",$C$4,"2 Item No.","@@"&amp;$F2099,"3 Posting Date",J$9)-NL("Sum","5802 Value Entry","43 Cost Amount (Actual)","41 Source Type",$C$5,"5 Source no.",$C2099,"4 Item Ledger Entry Type",$C$4,"2 Item No.","@@"&amp;$F2099,"3 Posting Date",J$9)</t>
  </si>
  <si>
    <t>=J2099-L2099</t>
  </si>
  <si>
    <t>=IF(J2099&lt;&gt;0,M2099/J2099,"")</t>
  </si>
  <si>
    <t>=NL("Sum","5802 Value Entry","150 Sales Amount (Expected)","41 Source Type",$C$5,"5 Source No.",$C2099,"4 Item Ledger Entry Type",$C$4,"2 Item No.","@@"&amp;$F2099,"3 Posting Date",O$9)+NL("Sum","5802 Value Entry","17 Sales Amount (Actual)","41 Source Type",$C$5,"5 Source no.",$C2099,"4 Item Ledger Entry Type",$C$4,"2 Item No.","@@"&amp;$F2099,"3 Posting Date",O$9)</t>
  </si>
  <si>
    <t>=-NL("Sum","5802 Value Entry","151 Cost Amount (Expected)","41 Source Type",$C$5,"5 Source No.",$C2099,"4 Item Ledger Entry Type",$C$4,"2 Item No.","@@"&amp;$F2099,"3 Posting Date",O$9)-NL("Sum","5802 Value Entry","43 Cost Amount (Actual)","41 Source Type",$C$5,"5 Source no.",$C2099,"4 Item Ledger Entry Type",$C$4,"2 Item No.","@@"&amp;$F2099,"3 Posting Date",O$9)</t>
  </si>
  <si>
    <t>=O2099-Q2099</t>
  </si>
  <si>
    <t>=IF(O2099&lt;&gt;0,R2099/O2099,"")</t>
  </si>
  <si>
    <t>=NL("Sum","5802 Value Entry","150 Sales Amount (Expected)","41 Source Type",$C$5,"5 Source No.",$C2099,"4 Item Ledger Entry Type",$C$4,"2 Item No.","@@"&amp;$F2099,"3 Posting Date",U$9)+NL("Sum","5802 Value Entry","17 Sales Amount (Actual)","41 Source Type",$C$5,"5 Source no.",$C2099,"4 Item Ledger Entry Type",$C$4,"2 Item No.","@@"&amp;$F2099,"3 Posting Date",U$9)</t>
  </si>
  <si>
    <t>=-NL("Sum","5802 Value Entry","151 Cost Amount (Expected)","41 Source Type",$C$5,"5 Source No.",$C2099,"4 Item Ledger Entry Type",$C$4,"2 Item No.","@@"&amp;$F2099,"3 Posting Date",U$9)-NL("Sum","5802 Value Entry","43 Cost Amount (Actual)","41 Source Type",$C$5,"5 Source no.",$C2099,"4 Item Ledger Entry Type",$C$4,"2 Item No.","@@"&amp;$F2099,"3 Posting Date",U$9)</t>
  </si>
  <si>
    <t>=U2099-W2099</t>
  </si>
  <si>
    <t>=IF(U2099&lt;&gt;0,X2099/U2099,"")</t>
  </si>
  <si>
    <t>=NL("Sum","5802 Value Entry","150 Sales Amount (Expected)","41 Source Type",$C$5,"5 Source No.",$C2099,"4 Item Ledger Entry Type",$C$4,"2 Item No.","@@"&amp;$F2099,"3 Posting Date",Z$9)+NL("Sum","5802 Value Entry","17 Sales Amount (Actual)","41 Source Type",$C$5,"5 Source no.",$C2099,"4 Item Ledger Entry Type",$C$4,"2 Item No.","@@"&amp;$F2099,"3 Posting Date",Z$9)</t>
  </si>
  <si>
    <t>=-NL("Sum","5802 Value Entry","151 Cost Amount (Expected)","41 Source Type",$C$5,"5 Source No.",$C2099,"4 Item Ledger Entry Type",$C$4,"2 Item No.","@@"&amp;$F2099,"3 Posting Date",Z$9)-NL("Sum","5802 Value Entry","43 Cost Amount (Actual)","41 Source Type",$C$5,"5 Source no.",$C2099,"4 Item Ledger Entry Type",$C$4,"2 Item No.","@@"&amp;$F2099,"3 Posting Date",Z$9)</t>
  </si>
  <si>
    <t>=Z2099-AB2099</t>
  </si>
  <si>
    <t>=IF(Z2099&lt;&gt;0,AC2099/Z2099,"")</t>
  </si>
  <si>
    <t>=C2131&amp;" TOTAL:"</t>
  </si>
  <si>
    <t>=SUBTOTAL(9,J2096:J2130)</t>
  </si>
  <si>
    <t>=SUBTOTAL(9,K2096:K2130)</t>
  </si>
  <si>
    <t>=SUBTOTAL(9,L2096:L2130)</t>
  </si>
  <si>
    <t>=SUBTOTAL(9,O2096:O2130)</t>
  </si>
  <si>
    <t>=SUBTOTAL(9,P2096:P2130)</t>
  </si>
  <si>
    <t>=SUBTOTAL(9,Q2096:Q2130)</t>
  </si>
  <si>
    <t>=SUBTOTAL(9,U2096:U2130)</t>
  </si>
  <si>
    <t>=SUBTOTAL(9,V2096:V2130)</t>
  </si>
  <si>
    <t>=SUBTOTAL(9,W2096:W2130)</t>
  </si>
  <si>
    <t>=SUBTOTAL(9,Z2096:Z2130)</t>
  </si>
  <si>
    <t>=SUBTOTAL(9,AA2096:AA2130)</t>
  </si>
  <si>
    <t>=SUBTOTAL(9,AB2096:AB2130)</t>
  </si>
  <si>
    <t>=E2133</t>
  </si>
  <si>
    <t>=NL(,"18 Customer","2 Name","1 No.",$E2133)</t>
  </si>
  <si>
    <t>=NL("Rows","5802 Value Entry","2 Item No.","4 Item Ledger Entry Type",$C$4,"41 Source Type",$C$5,"5 Source No.",$C2135,"Item No.",$C$7,"3 Posting Date",$C$10)</t>
  </si>
  <si>
    <t>=C2148</t>
  </si>
  <si>
    <t>=NL("Sum","5802 Value Entry","150 Sales Amount (Expected)","41 Source Type",$C$5,"5 Source No.",$C2149,"4 Item Ledger Entry Type",$C$4,"2 Item No.","@@"&amp;$F2149,"3 Posting Date",J$9)+NL("Sum","5802 Value Entry","17 Sales Amount (Actual)","41 Source Type",$C$5,"5 Source no.",$C2149,"4 Item Ledger Entry Type",$C$4,"2 Item No.","@@"&amp;$F2149,"3 Posting Date",J$9)</t>
  </si>
  <si>
    <t>=-NL("Sum","5802 Value Entry","151 Cost Amount (Expected)","41 Source Type",$C$5,"5 Source No.",$C2149,"4 Item Ledger Entry Type",$C$4,"2 Item No.","@@"&amp;$F2149,"3 Posting Date",J$9)-NL("Sum","5802 Value Entry","43 Cost Amount (Actual)","41 Source Type",$C$5,"5 Source no.",$C2149,"4 Item Ledger Entry Type",$C$4,"2 Item No.","@@"&amp;$F2149,"3 Posting Date",J$9)</t>
  </si>
  <si>
    <t>=J2149-L2149</t>
  </si>
  <si>
    <t>=IF(J2149&lt;&gt;0,M2149/J2149,"")</t>
  </si>
  <si>
    <t>=NL("Sum","5802 Value Entry","150 Sales Amount (Expected)","41 Source Type",$C$5,"5 Source No.",$C2149,"4 Item Ledger Entry Type",$C$4,"2 Item No.","@@"&amp;$F2149,"3 Posting Date",O$9)+NL("Sum","5802 Value Entry","17 Sales Amount (Actual)","41 Source Type",$C$5,"5 Source no.",$C2149,"4 Item Ledger Entry Type",$C$4,"2 Item No.","@@"&amp;$F2149,"3 Posting Date",O$9)</t>
  </si>
  <si>
    <t>=-NL("Sum","5802 Value Entry","151 Cost Amount (Expected)","41 Source Type",$C$5,"5 Source No.",$C2149,"4 Item Ledger Entry Type",$C$4,"2 Item No.","@@"&amp;$F2149,"3 Posting Date",O$9)-NL("Sum","5802 Value Entry","43 Cost Amount (Actual)","41 Source Type",$C$5,"5 Source no.",$C2149,"4 Item Ledger Entry Type",$C$4,"2 Item No.","@@"&amp;$F2149,"3 Posting Date",O$9)</t>
  </si>
  <si>
    <t>=O2149-Q2149</t>
  </si>
  <si>
    <t>=IF(O2149&lt;&gt;0,R2149/O2149,"")</t>
  </si>
  <si>
    <t>=NL("Sum","5802 Value Entry","150 Sales Amount (Expected)","41 Source Type",$C$5,"5 Source No.",$C2149,"4 Item Ledger Entry Type",$C$4,"2 Item No.","@@"&amp;$F2149,"3 Posting Date",U$9)+NL("Sum","5802 Value Entry","17 Sales Amount (Actual)","41 Source Type",$C$5,"5 Source no.",$C2149,"4 Item Ledger Entry Type",$C$4,"2 Item No.","@@"&amp;$F2149,"3 Posting Date",U$9)</t>
  </si>
  <si>
    <t>=-NL("Sum","5802 Value Entry","151 Cost Amount (Expected)","41 Source Type",$C$5,"5 Source No.",$C2149,"4 Item Ledger Entry Type",$C$4,"2 Item No.","@@"&amp;$F2149,"3 Posting Date",U$9)-NL("Sum","5802 Value Entry","43 Cost Amount (Actual)","41 Source Type",$C$5,"5 Source no.",$C2149,"4 Item Ledger Entry Type",$C$4,"2 Item No.","@@"&amp;$F2149,"3 Posting Date",U$9)</t>
  </si>
  <si>
    <t>=U2149-W2149</t>
  </si>
  <si>
    <t>=IF(U2149&lt;&gt;0,X2149/U2149,"")</t>
  </si>
  <si>
    <t>=NL("Sum","5802 Value Entry","150 Sales Amount (Expected)","41 Source Type",$C$5,"5 Source No.",$C2149,"4 Item Ledger Entry Type",$C$4,"2 Item No.","@@"&amp;$F2149,"3 Posting Date",Z$9)+NL("Sum","5802 Value Entry","17 Sales Amount (Actual)","41 Source Type",$C$5,"5 Source no.",$C2149,"4 Item Ledger Entry Type",$C$4,"2 Item No.","@@"&amp;$F2149,"3 Posting Date",Z$9)</t>
  </si>
  <si>
    <t>=-NL("Sum","5802 Value Entry","151 Cost Amount (Expected)","41 Source Type",$C$5,"5 Source No.",$C2149,"4 Item Ledger Entry Type",$C$4,"2 Item No.","@@"&amp;$F2149,"3 Posting Date",Z$9)-NL("Sum","5802 Value Entry","43 Cost Amount (Actual)","41 Source Type",$C$5,"5 Source no.",$C2149,"4 Item Ledger Entry Type",$C$4,"2 Item No.","@@"&amp;$F2149,"3 Posting Date",Z$9)</t>
  </si>
  <si>
    <t>=Z2149-AB2149</t>
  </si>
  <si>
    <t>=IF(Z2149&lt;&gt;0,AC2149/Z2149,"")</t>
  </si>
  <si>
    <t>=NL("Sum","5802 Value Entry","150 Sales Amount (Expected)","41 Source Type",$C$5,"5 Source No.",$C2150,"4 Item Ledger Entry Type",$C$4,"2 Item No.","@@"&amp;$F2150,"3 Posting Date",J$9)+NL("Sum","5802 Value Entry","17 Sales Amount (Actual)","41 Source Type",$C$5,"5 Source no.",$C2150,"4 Item Ledger Entry Type",$C$4,"2 Item No.","@@"&amp;$F2150,"3 Posting Date",J$9)</t>
  </si>
  <si>
    <t>=-NL("Sum","5802 Value Entry","151 Cost Amount (Expected)","41 Source Type",$C$5,"5 Source No.",$C2150,"4 Item Ledger Entry Type",$C$4,"2 Item No.","@@"&amp;$F2150,"3 Posting Date",J$9)-NL("Sum","5802 Value Entry","43 Cost Amount (Actual)","41 Source Type",$C$5,"5 Source no.",$C2150,"4 Item Ledger Entry Type",$C$4,"2 Item No.","@@"&amp;$F2150,"3 Posting Date",J$9)</t>
  </si>
  <si>
    <t>=NL("Sum","5802 Value Entry","150 Sales Amount (Expected)","41 Source Type",$C$5,"5 Source No.",$C2150,"4 Item Ledger Entry Type",$C$4,"2 Item No.","@@"&amp;$F2150,"3 Posting Date",O$9)+NL("Sum","5802 Value Entry","17 Sales Amount (Actual)","41 Source Type",$C$5,"5 Source no.",$C2150,"4 Item Ledger Entry Type",$C$4,"2 Item No.","@@"&amp;$F2150,"3 Posting Date",O$9)</t>
  </si>
  <si>
    <t>=-NL("Sum","5802 Value Entry","151 Cost Amount (Expected)","41 Source Type",$C$5,"5 Source No.",$C2150,"4 Item Ledger Entry Type",$C$4,"2 Item No.","@@"&amp;$F2150,"3 Posting Date",O$9)-NL("Sum","5802 Value Entry","43 Cost Amount (Actual)","41 Source Type",$C$5,"5 Source no.",$C2150,"4 Item Ledger Entry Type",$C$4,"2 Item No.","@@"&amp;$F2150,"3 Posting Date",O$9)</t>
  </si>
  <si>
    <t>=NL("Sum","5802 Value Entry","150 Sales Amount (Expected)","41 Source Type",$C$5,"5 Source No.",$C2150,"4 Item Ledger Entry Type",$C$4,"2 Item No.","@@"&amp;$F2150,"3 Posting Date",U$9)+NL("Sum","5802 Value Entry","17 Sales Amount (Actual)","41 Source Type",$C$5,"5 Source no.",$C2150,"4 Item Ledger Entry Type",$C$4,"2 Item No.","@@"&amp;$F2150,"3 Posting Date",U$9)</t>
  </si>
  <si>
    <t>=-NL("Sum","5802 Value Entry","151 Cost Amount (Expected)","41 Source Type",$C$5,"5 Source No.",$C2150,"4 Item Ledger Entry Type",$C$4,"2 Item No.","@@"&amp;$F2150,"3 Posting Date",U$9)-NL("Sum","5802 Value Entry","43 Cost Amount (Actual)","41 Source Type",$C$5,"5 Source no.",$C2150,"4 Item Ledger Entry Type",$C$4,"2 Item No.","@@"&amp;$F2150,"3 Posting Date",U$9)</t>
  </si>
  <si>
    <t>=NL("Sum","5802 Value Entry","150 Sales Amount (Expected)","41 Source Type",$C$5,"5 Source No.",$C2150,"4 Item Ledger Entry Type",$C$4,"2 Item No.","@@"&amp;$F2150,"3 Posting Date",Z$9)+NL("Sum","5802 Value Entry","17 Sales Amount (Actual)","41 Source Type",$C$5,"5 Source no.",$C2150,"4 Item Ledger Entry Type",$C$4,"2 Item No.","@@"&amp;$F2150,"3 Posting Date",Z$9)</t>
  </si>
  <si>
    <t>=-NL("Sum","5802 Value Entry","151 Cost Amount (Expected)","41 Source Type",$C$5,"5 Source No.",$C2150,"4 Item Ledger Entry Type",$C$4,"2 Item No.","@@"&amp;$F2150,"3 Posting Date",Z$9)-NL("Sum","5802 Value Entry","43 Cost Amount (Actual)","41 Source Type",$C$5,"5 Source no.",$C2150,"4 Item Ledger Entry Type",$C$4,"2 Item No.","@@"&amp;$F2150,"3 Posting Date",Z$9)</t>
  </si>
  <si>
    <t>=C2150</t>
  </si>
  <si>
    <t>=NL("Sum","5802 Value Entry","150 Sales Amount (Expected)","41 Source Type",$C$5,"5 Source No.",$C2151,"4 Item Ledger Entry Type",$C$4,"2 Item No.","@@"&amp;$F2151,"3 Posting Date",J$9)+NL("Sum","5802 Value Entry","17 Sales Amount (Actual)","41 Source Type",$C$5,"5 Source no.",$C2151,"4 Item Ledger Entry Type",$C$4,"2 Item No.","@@"&amp;$F2151,"3 Posting Date",J$9)</t>
  </si>
  <si>
    <t>=-NL("Sum","5802 Value Entry","151 Cost Amount (Expected)","41 Source Type",$C$5,"5 Source No.",$C2151,"4 Item Ledger Entry Type",$C$4,"2 Item No.","@@"&amp;$F2151,"3 Posting Date",J$9)-NL("Sum","5802 Value Entry","43 Cost Amount (Actual)","41 Source Type",$C$5,"5 Source no.",$C2151,"4 Item Ledger Entry Type",$C$4,"2 Item No.","@@"&amp;$F2151,"3 Posting Date",J$9)</t>
  </si>
  <si>
    <t>=J2151-L2151</t>
  </si>
  <si>
    <t>=IF(J2151&lt;&gt;0,M2151/J2151,"")</t>
  </si>
  <si>
    <t>=NL("Sum","5802 Value Entry","150 Sales Amount (Expected)","41 Source Type",$C$5,"5 Source No.",$C2151,"4 Item Ledger Entry Type",$C$4,"2 Item No.","@@"&amp;$F2151,"3 Posting Date",O$9)+NL("Sum","5802 Value Entry","17 Sales Amount (Actual)","41 Source Type",$C$5,"5 Source no.",$C2151,"4 Item Ledger Entry Type",$C$4,"2 Item No.","@@"&amp;$F2151,"3 Posting Date",O$9)</t>
  </si>
  <si>
    <t>=-NL("Sum","5802 Value Entry","151 Cost Amount (Expected)","41 Source Type",$C$5,"5 Source No.",$C2151,"4 Item Ledger Entry Type",$C$4,"2 Item No.","@@"&amp;$F2151,"3 Posting Date",O$9)-NL("Sum","5802 Value Entry","43 Cost Amount (Actual)","41 Source Type",$C$5,"5 Source no.",$C2151,"4 Item Ledger Entry Type",$C$4,"2 Item No.","@@"&amp;$F2151,"3 Posting Date",O$9)</t>
  </si>
  <si>
    <t>=O2151-Q2151</t>
  </si>
  <si>
    <t>=IF(O2151&lt;&gt;0,R2151/O2151,"")</t>
  </si>
  <si>
    <t>=NL("Sum","5802 Value Entry","150 Sales Amount (Expected)","41 Source Type",$C$5,"5 Source No.",$C2151,"4 Item Ledger Entry Type",$C$4,"2 Item No.","@@"&amp;$F2151,"3 Posting Date",U$9)+NL("Sum","5802 Value Entry","17 Sales Amount (Actual)","41 Source Type",$C$5,"5 Source no.",$C2151,"4 Item Ledger Entry Type",$C$4,"2 Item No.","@@"&amp;$F2151,"3 Posting Date",U$9)</t>
  </si>
  <si>
    <t>=-NL("Sum","5802 Value Entry","151 Cost Amount (Expected)","41 Source Type",$C$5,"5 Source No.",$C2151,"4 Item Ledger Entry Type",$C$4,"2 Item No.","@@"&amp;$F2151,"3 Posting Date",U$9)-NL("Sum","5802 Value Entry","43 Cost Amount (Actual)","41 Source Type",$C$5,"5 Source no.",$C2151,"4 Item Ledger Entry Type",$C$4,"2 Item No.","@@"&amp;$F2151,"3 Posting Date",U$9)</t>
  </si>
  <si>
    <t>=U2151-W2151</t>
  </si>
  <si>
    <t>=IF(U2151&lt;&gt;0,X2151/U2151,"")</t>
  </si>
  <si>
    <t>=NL("Sum","5802 Value Entry","150 Sales Amount (Expected)","41 Source Type",$C$5,"5 Source No.",$C2151,"4 Item Ledger Entry Type",$C$4,"2 Item No.","@@"&amp;$F2151,"3 Posting Date",Z$9)+NL("Sum","5802 Value Entry","17 Sales Amount (Actual)","41 Source Type",$C$5,"5 Source no.",$C2151,"4 Item Ledger Entry Type",$C$4,"2 Item No.","@@"&amp;$F2151,"3 Posting Date",Z$9)</t>
  </si>
  <si>
    <t>=-NL("Sum","5802 Value Entry","151 Cost Amount (Expected)","41 Source Type",$C$5,"5 Source No.",$C2151,"4 Item Ledger Entry Type",$C$4,"2 Item No.","@@"&amp;$F2151,"3 Posting Date",Z$9)-NL("Sum","5802 Value Entry","43 Cost Amount (Actual)","41 Source Type",$C$5,"5 Source no.",$C2151,"4 Item Ledger Entry Type",$C$4,"2 Item No.","@@"&amp;$F2151,"3 Posting Date",Z$9)</t>
  </si>
  <si>
    <t>=Z2151-AB2151</t>
  </si>
  <si>
    <t>=IF(Z2151&lt;&gt;0,AC2151/Z2151,"")</t>
  </si>
  <si>
    <t>=C2151</t>
  </si>
  <si>
    <t>=NL("Sum","5802 Value Entry","150 Sales Amount (Expected)","41 Source Type",$C$5,"5 Source No.",$C2152,"4 Item Ledger Entry Type",$C$4,"2 Item No.","@@"&amp;$F2152,"3 Posting Date",J$9)+NL("Sum","5802 Value Entry","17 Sales Amount (Actual)","41 Source Type",$C$5,"5 Source no.",$C2152,"4 Item Ledger Entry Type",$C$4,"2 Item No.","@@"&amp;$F2152,"3 Posting Date",J$9)</t>
  </si>
  <si>
    <t>=-NL("Sum","5802 Value Entry","151 Cost Amount (Expected)","41 Source Type",$C$5,"5 Source No.",$C2152,"4 Item Ledger Entry Type",$C$4,"2 Item No.","@@"&amp;$F2152,"3 Posting Date",J$9)-NL("Sum","5802 Value Entry","43 Cost Amount (Actual)","41 Source Type",$C$5,"5 Source no.",$C2152,"4 Item Ledger Entry Type",$C$4,"2 Item No.","@@"&amp;$F2152,"3 Posting Date",J$9)</t>
  </si>
  <si>
    <t>=J2152-L2152</t>
  </si>
  <si>
    <t>=IF(J2152&lt;&gt;0,M2152/J2152,"")</t>
  </si>
  <si>
    <t>=NL("Sum","5802 Value Entry","150 Sales Amount (Expected)","41 Source Type",$C$5,"5 Source No.",$C2152,"4 Item Ledger Entry Type",$C$4,"2 Item No.","@@"&amp;$F2152,"3 Posting Date",O$9)+NL("Sum","5802 Value Entry","17 Sales Amount (Actual)","41 Source Type",$C$5,"5 Source no.",$C2152,"4 Item Ledger Entry Type",$C$4,"2 Item No.","@@"&amp;$F2152,"3 Posting Date",O$9)</t>
  </si>
  <si>
    <t>=-NL("Sum","5802 Value Entry","151 Cost Amount (Expected)","41 Source Type",$C$5,"5 Source No.",$C2152,"4 Item Ledger Entry Type",$C$4,"2 Item No.","@@"&amp;$F2152,"3 Posting Date",O$9)-NL("Sum","5802 Value Entry","43 Cost Amount (Actual)","41 Source Type",$C$5,"5 Source no.",$C2152,"4 Item Ledger Entry Type",$C$4,"2 Item No.","@@"&amp;$F2152,"3 Posting Date",O$9)</t>
  </si>
  <si>
    <t>=O2152-Q2152</t>
  </si>
  <si>
    <t>=IF(O2152&lt;&gt;0,R2152/O2152,"")</t>
  </si>
  <si>
    <t>=NL("Sum","5802 Value Entry","150 Sales Amount (Expected)","41 Source Type",$C$5,"5 Source No.",$C2152,"4 Item Ledger Entry Type",$C$4,"2 Item No.","@@"&amp;$F2152,"3 Posting Date",U$9)+NL("Sum","5802 Value Entry","17 Sales Amount (Actual)","41 Source Type",$C$5,"5 Source no.",$C2152,"4 Item Ledger Entry Type",$C$4,"2 Item No.","@@"&amp;$F2152,"3 Posting Date",U$9)</t>
  </si>
  <si>
    <t>=-NL("Sum","5802 Value Entry","151 Cost Amount (Expected)","41 Source Type",$C$5,"5 Source No.",$C2152,"4 Item Ledger Entry Type",$C$4,"2 Item No.","@@"&amp;$F2152,"3 Posting Date",U$9)-NL("Sum","5802 Value Entry","43 Cost Amount (Actual)","41 Source Type",$C$5,"5 Source no.",$C2152,"4 Item Ledger Entry Type",$C$4,"2 Item No.","@@"&amp;$F2152,"3 Posting Date",U$9)</t>
  </si>
  <si>
    <t>=U2152-W2152</t>
  </si>
  <si>
    <t>=IF(U2152&lt;&gt;0,X2152/U2152,"")</t>
  </si>
  <si>
    <t>=NL("Sum","5802 Value Entry","150 Sales Amount (Expected)","41 Source Type",$C$5,"5 Source No.",$C2152,"4 Item Ledger Entry Type",$C$4,"2 Item No.","@@"&amp;$F2152,"3 Posting Date",Z$9)+NL("Sum","5802 Value Entry","17 Sales Amount (Actual)","41 Source Type",$C$5,"5 Source no.",$C2152,"4 Item Ledger Entry Type",$C$4,"2 Item No.","@@"&amp;$F2152,"3 Posting Date",Z$9)</t>
  </si>
  <si>
    <t>=-NL("Sum","5802 Value Entry","151 Cost Amount (Expected)","41 Source Type",$C$5,"5 Source No.",$C2152,"4 Item Ledger Entry Type",$C$4,"2 Item No.","@@"&amp;$F2152,"3 Posting Date",Z$9)-NL("Sum","5802 Value Entry","43 Cost Amount (Actual)","41 Source Type",$C$5,"5 Source no.",$C2152,"4 Item Ledger Entry Type",$C$4,"2 Item No.","@@"&amp;$F2152,"3 Posting Date",Z$9)</t>
  </si>
  <si>
    <t>=Z2152-AB2152</t>
  </si>
  <si>
    <t>=IF(Z2152&lt;&gt;0,AC2152/Z2152,"")</t>
  </si>
  <si>
    <t>=NL("Sum","5802 Value Entry","150 Sales Amount (Expected)","41 Source Type",$C$5,"5 Source No.",$C2153,"4 Item Ledger Entry Type",$C$4,"2 Item No.","@@"&amp;$F2153,"3 Posting Date",J$9)+NL("Sum","5802 Value Entry","17 Sales Amount (Actual)","41 Source Type",$C$5,"5 Source no.",$C2153,"4 Item Ledger Entry Type",$C$4,"2 Item No.","@@"&amp;$F2153,"3 Posting Date",J$9)</t>
  </si>
  <si>
    <t>=-NL("Sum","5802 Value Entry","151 Cost Amount (Expected)","41 Source Type",$C$5,"5 Source No.",$C2153,"4 Item Ledger Entry Type",$C$4,"2 Item No.","@@"&amp;$F2153,"3 Posting Date",J$9)-NL("Sum","5802 Value Entry","43 Cost Amount (Actual)","41 Source Type",$C$5,"5 Source no.",$C2153,"4 Item Ledger Entry Type",$C$4,"2 Item No.","@@"&amp;$F2153,"3 Posting Date",J$9)</t>
  </si>
  <si>
    <t>=J2153-L2153</t>
  </si>
  <si>
    <t>=IF(J2153&lt;&gt;0,M2153/J2153,"")</t>
  </si>
  <si>
    <t>=NL("Sum","5802 Value Entry","150 Sales Amount (Expected)","41 Source Type",$C$5,"5 Source No.",$C2153,"4 Item Ledger Entry Type",$C$4,"2 Item No.","@@"&amp;$F2153,"3 Posting Date",O$9)+NL("Sum","5802 Value Entry","17 Sales Amount (Actual)","41 Source Type",$C$5,"5 Source no.",$C2153,"4 Item Ledger Entry Type",$C$4,"2 Item No.","@@"&amp;$F2153,"3 Posting Date",O$9)</t>
  </si>
  <si>
    <t>=-NL("Sum","5802 Value Entry","151 Cost Amount (Expected)","41 Source Type",$C$5,"5 Source No.",$C2153,"4 Item Ledger Entry Type",$C$4,"2 Item No.","@@"&amp;$F2153,"3 Posting Date",O$9)-NL("Sum","5802 Value Entry","43 Cost Amount (Actual)","41 Source Type",$C$5,"5 Source no.",$C2153,"4 Item Ledger Entry Type",$C$4,"2 Item No.","@@"&amp;$F2153,"3 Posting Date",O$9)</t>
  </si>
  <si>
    <t>=O2153-Q2153</t>
  </si>
  <si>
    <t>=IF(O2153&lt;&gt;0,R2153/O2153,"")</t>
  </si>
  <si>
    <t>=NL("Sum","5802 Value Entry","150 Sales Amount (Expected)","41 Source Type",$C$5,"5 Source No.",$C2153,"4 Item Ledger Entry Type",$C$4,"2 Item No.","@@"&amp;$F2153,"3 Posting Date",U$9)+NL("Sum","5802 Value Entry","17 Sales Amount (Actual)","41 Source Type",$C$5,"5 Source no.",$C2153,"4 Item Ledger Entry Type",$C$4,"2 Item No.","@@"&amp;$F2153,"3 Posting Date",U$9)</t>
  </si>
  <si>
    <t>=-NL("Sum","5802 Value Entry","151 Cost Amount (Expected)","41 Source Type",$C$5,"5 Source No.",$C2153,"4 Item Ledger Entry Type",$C$4,"2 Item No.","@@"&amp;$F2153,"3 Posting Date",U$9)-NL("Sum","5802 Value Entry","43 Cost Amount (Actual)","41 Source Type",$C$5,"5 Source no.",$C2153,"4 Item Ledger Entry Type",$C$4,"2 Item No.","@@"&amp;$F2153,"3 Posting Date",U$9)</t>
  </si>
  <si>
    <t>=U2153-W2153</t>
  </si>
  <si>
    <t>=IF(U2153&lt;&gt;0,X2153/U2153,"")</t>
  </si>
  <si>
    <t>=NL("Sum","5802 Value Entry","150 Sales Amount (Expected)","41 Source Type",$C$5,"5 Source No.",$C2153,"4 Item Ledger Entry Type",$C$4,"2 Item No.","@@"&amp;$F2153,"3 Posting Date",Z$9)+NL("Sum","5802 Value Entry","17 Sales Amount (Actual)","41 Source Type",$C$5,"5 Source no.",$C2153,"4 Item Ledger Entry Type",$C$4,"2 Item No.","@@"&amp;$F2153,"3 Posting Date",Z$9)</t>
  </si>
  <si>
    <t>=-NL("Sum","5802 Value Entry","151 Cost Amount (Expected)","41 Source Type",$C$5,"5 Source No.",$C2153,"4 Item Ledger Entry Type",$C$4,"2 Item No.","@@"&amp;$F2153,"3 Posting Date",Z$9)-NL("Sum","5802 Value Entry","43 Cost Amount (Actual)","41 Source Type",$C$5,"5 Source no.",$C2153,"4 Item Ledger Entry Type",$C$4,"2 Item No.","@@"&amp;$F2153,"3 Posting Date",Z$9)</t>
  </si>
  <si>
    <t>=Z2153-AB2153</t>
  </si>
  <si>
    <t>=IF(Z2153&lt;&gt;0,AC2153/Z2153,"")</t>
  </si>
  <si>
    <t>=C2168&amp;" TOTAL:"</t>
  </si>
  <si>
    <t>=SUBTOTAL(9,J2134:J2167)</t>
  </si>
  <si>
    <t>=SUBTOTAL(9,K2134:K2167)</t>
  </si>
  <si>
    <t>=SUBTOTAL(9,L2134:L2167)</t>
  </si>
  <si>
    <t>=SUBTOTAL(9,O2134:O2167)</t>
  </si>
  <si>
    <t>=SUBTOTAL(9,P2134:P2167)</t>
  </si>
  <si>
    <t>=SUBTOTAL(9,Q2134:Q2167)</t>
  </si>
  <si>
    <t>=SUBTOTAL(9,U2134:U2167)</t>
  </si>
  <si>
    <t>=SUBTOTAL(9,V2134:V2167)</t>
  </si>
  <si>
    <t>=SUBTOTAL(9,W2134:W2167)</t>
  </si>
  <si>
    <t>=SUBTOTAL(9,Z2134:Z2167)</t>
  </si>
  <si>
    <t>=SUBTOTAL(9,AA2134:AA2167)</t>
  </si>
  <si>
    <t>=SUBTOTAL(9,AB2134:AB2167)</t>
  </si>
  <si>
    <t>=E2170</t>
  </si>
  <si>
    <t>=NL(,"18 Customer","2 Name","1 No.",$E2170)</t>
  </si>
  <si>
    <t>=NL("Rows","5802 Value Entry","2 Item No.","4 Item Ledger Entry Type",$C$4,"41 Source Type",$C$5,"5 Source No.",$C2172,"Item No.",$C$7,"3 Posting Date",$C$10)</t>
  </si>
  <si>
    <t>=C2180&amp;" TOTAL:"</t>
  </si>
  <si>
    <t>=SUBTOTAL(9,J2171:J2179)</t>
  </si>
  <si>
    <t>=SUBTOTAL(9,K2171:K2179)</t>
  </si>
  <si>
    <t>=SUBTOTAL(9,L2171:L2179)</t>
  </si>
  <si>
    <t>=SUBTOTAL(9,O2171:O2179)</t>
  </si>
  <si>
    <t>=SUBTOTAL(9,P2171:P2179)</t>
  </si>
  <si>
    <t>=SUBTOTAL(9,Q2171:Q2179)</t>
  </si>
  <si>
    <t>=SUBTOTAL(9,U2171:U2179)</t>
  </si>
  <si>
    <t>=SUBTOTAL(9,V2171:V2179)</t>
  </si>
  <si>
    <t>=SUBTOTAL(9,W2171:W2179)</t>
  </si>
  <si>
    <t>=SUBTOTAL(9,Z2171:Z2179)</t>
  </si>
  <si>
    <t>=SUBTOTAL(9,AA2171:AA2179)</t>
  </si>
  <si>
    <t>=SUBTOTAL(9,AB2171:AB2179)</t>
  </si>
  <si>
    <t>=E2182</t>
  </si>
  <si>
    <t>=NL(,"18 Customer","2 Name","1 No.",$E2182)</t>
  </si>
  <si>
    <t>=NL("Rows","5802 Value Entry","2 Item No.","4 Item Ledger Entry Type",$C$4,"41 Source Type",$C$5,"5 Source No.",$C2184,"Item No.",$C$7,"3 Posting Date",$C$10)</t>
  </si>
  <si>
    <t>=C2199</t>
  </si>
  <si>
    <t>=NL("Sum","5802 Value Entry","150 Sales Amount (Expected)","41 Source Type",$C$5,"5 Source No.",$C2200,"4 Item Ledger Entry Type",$C$4,"2 Item No.","@@"&amp;$F2200,"3 Posting Date",J$9)+NL("Sum","5802 Value Entry","17 Sales Amount (Actual)","41 Source Type",$C$5,"5 Source no.",$C2200,"4 Item Ledger Entry Type",$C$4,"2 Item No.","@@"&amp;$F2200,"3 Posting Date",J$9)</t>
  </si>
  <si>
    <t>=-NL("Sum","5802 Value Entry","151 Cost Amount (Expected)","41 Source Type",$C$5,"5 Source No.",$C2200,"4 Item Ledger Entry Type",$C$4,"2 Item No.","@@"&amp;$F2200,"3 Posting Date",J$9)-NL("Sum","5802 Value Entry","43 Cost Amount (Actual)","41 Source Type",$C$5,"5 Source no.",$C2200,"4 Item Ledger Entry Type",$C$4,"2 Item No.","@@"&amp;$F2200,"3 Posting Date",J$9)</t>
  </si>
  <si>
    <t>=J2200-L2200</t>
  </si>
  <si>
    <t>=IF(J2200&lt;&gt;0,M2200/J2200,"")</t>
  </si>
  <si>
    <t>=NL("Sum","5802 Value Entry","150 Sales Amount (Expected)","41 Source Type",$C$5,"5 Source No.",$C2200,"4 Item Ledger Entry Type",$C$4,"2 Item No.","@@"&amp;$F2200,"3 Posting Date",O$9)+NL("Sum","5802 Value Entry","17 Sales Amount (Actual)","41 Source Type",$C$5,"5 Source no.",$C2200,"4 Item Ledger Entry Type",$C$4,"2 Item No.","@@"&amp;$F2200,"3 Posting Date",O$9)</t>
  </si>
  <si>
    <t>=-NL("Sum","5802 Value Entry","151 Cost Amount (Expected)","41 Source Type",$C$5,"5 Source No.",$C2200,"4 Item Ledger Entry Type",$C$4,"2 Item No.","@@"&amp;$F2200,"3 Posting Date",O$9)-NL("Sum","5802 Value Entry","43 Cost Amount (Actual)","41 Source Type",$C$5,"5 Source no.",$C2200,"4 Item Ledger Entry Type",$C$4,"2 Item No.","@@"&amp;$F2200,"3 Posting Date",O$9)</t>
  </si>
  <si>
    <t>=O2200-Q2200</t>
  </si>
  <si>
    <t>=IF(O2200&lt;&gt;0,R2200/O2200,"")</t>
  </si>
  <si>
    <t>=NL("Sum","5802 Value Entry","150 Sales Amount (Expected)","41 Source Type",$C$5,"5 Source No.",$C2200,"4 Item Ledger Entry Type",$C$4,"2 Item No.","@@"&amp;$F2200,"3 Posting Date",U$9)+NL("Sum","5802 Value Entry","17 Sales Amount (Actual)","41 Source Type",$C$5,"5 Source no.",$C2200,"4 Item Ledger Entry Type",$C$4,"2 Item No.","@@"&amp;$F2200,"3 Posting Date",U$9)</t>
  </si>
  <si>
    <t>=-NL("Sum","5802 Value Entry","151 Cost Amount (Expected)","41 Source Type",$C$5,"5 Source No.",$C2200,"4 Item Ledger Entry Type",$C$4,"2 Item No.","@@"&amp;$F2200,"3 Posting Date",U$9)-NL("Sum","5802 Value Entry","43 Cost Amount (Actual)","41 Source Type",$C$5,"5 Source no.",$C2200,"4 Item Ledger Entry Type",$C$4,"2 Item No.","@@"&amp;$F2200,"3 Posting Date",U$9)</t>
  </si>
  <si>
    <t>=U2200-W2200</t>
  </si>
  <si>
    <t>=IF(U2200&lt;&gt;0,X2200/U2200,"")</t>
  </si>
  <si>
    <t>=NL("Sum","5802 Value Entry","150 Sales Amount (Expected)","41 Source Type",$C$5,"5 Source No.",$C2200,"4 Item Ledger Entry Type",$C$4,"2 Item No.","@@"&amp;$F2200,"3 Posting Date",Z$9)+NL("Sum","5802 Value Entry","17 Sales Amount (Actual)","41 Source Type",$C$5,"5 Source no.",$C2200,"4 Item Ledger Entry Type",$C$4,"2 Item No.","@@"&amp;$F2200,"3 Posting Date",Z$9)</t>
  </si>
  <si>
    <t>=-NL("Sum","5802 Value Entry","151 Cost Amount (Expected)","41 Source Type",$C$5,"5 Source No.",$C2200,"4 Item Ledger Entry Type",$C$4,"2 Item No.","@@"&amp;$F2200,"3 Posting Date",Z$9)-NL("Sum","5802 Value Entry","43 Cost Amount (Actual)","41 Source Type",$C$5,"5 Source no.",$C2200,"4 Item Ledger Entry Type",$C$4,"2 Item No.","@@"&amp;$F2200,"3 Posting Date",Z$9)</t>
  </si>
  <si>
    <t>=Z2200-AB2200</t>
  </si>
  <si>
    <t>=IF(Z2200&lt;&gt;0,AC2200/Z2200,"")</t>
  </si>
  <si>
    <t>=NL("Sum","5802 Value Entry","150 Sales Amount (Expected)","41 Source Type",$C$5,"5 Source No.",$C2201,"4 Item Ledger Entry Type",$C$4,"2 Item No.","@@"&amp;$F2201,"3 Posting Date",J$9)+NL("Sum","5802 Value Entry","17 Sales Amount (Actual)","41 Source Type",$C$5,"5 Source no.",$C2201,"4 Item Ledger Entry Type",$C$4,"2 Item No.","@@"&amp;$F2201,"3 Posting Date",J$9)</t>
  </si>
  <si>
    <t>=-NL("Sum","5802 Value Entry","151 Cost Amount (Expected)","41 Source Type",$C$5,"5 Source No.",$C2201,"4 Item Ledger Entry Type",$C$4,"2 Item No.","@@"&amp;$F2201,"3 Posting Date",J$9)-NL("Sum","5802 Value Entry","43 Cost Amount (Actual)","41 Source Type",$C$5,"5 Source no.",$C2201,"4 Item Ledger Entry Type",$C$4,"2 Item No.","@@"&amp;$F2201,"3 Posting Date",J$9)</t>
  </si>
  <si>
    <t>=NL("Sum","5802 Value Entry","150 Sales Amount (Expected)","41 Source Type",$C$5,"5 Source No.",$C2201,"4 Item Ledger Entry Type",$C$4,"2 Item No.","@@"&amp;$F2201,"3 Posting Date",O$9)+NL("Sum","5802 Value Entry","17 Sales Amount (Actual)","41 Source Type",$C$5,"5 Source no.",$C2201,"4 Item Ledger Entry Type",$C$4,"2 Item No.","@@"&amp;$F2201,"3 Posting Date",O$9)</t>
  </si>
  <si>
    <t>=-NL("Sum","5802 Value Entry","151 Cost Amount (Expected)","41 Source Type",$C$5,"5 Source No.",$C2201,"4 Item Ledger Entry Type",$C$4,"2 Item No.","@@"&amp;$F2201,"3 Posting Date",O$9)-NL("Sum","5802 Value Entry","43 Cost Amount (Actual)","41 Source Type",$C$5,"5 Source no.",$C2201,"4 Item Ledger Entry Type",$C$4,"2 Item No.","@@"&amp;$F2201,"3 Posting Date",O$9)</t>
  </si>
  <si>
    <t>=NL("Sum","5802 Value Entry","150 Sales Amount (Expected)","41 Source Type",$C$5,"5 Source No.",$C2201,"4 Item Ledger Entry Type",$C$4,"2 Item No.","@@"&amp;$F2201,"3 Posting Date",U$9)+NL("Sum","5802 Value Entry","17 Sales Amount (Actual)","41 Source Type",$C$5,"5 Source no.",$C2201,"4 Item Ledger Entry Type",$C$4,"2 Item No.","@@"&amp;$F2201,"3 Posting Date",U$9)</t>
  </si>
  <si>
    <t>=-NL("Sum","5802 Value Entry","151 Cost Amount (Expected)","41 Source Type",$C$5,"5 Source No.",$C2201,"4 Item Ledger Entry Type",$C$4,"2 Item No.","@@"&amp;$F2201,"3 Posting Date",U$9)-NL("Sum","5802 Value Entry","43 Cost Amount (Actual)","41 Source Type",$C$5,"5 Source no.",$C2201,"4 Item Ledger Entry Type",$C$4,"2 Item No.","@@"&amp;$F2201,"3 Posting Date",U$9)</t>
  </si>
  <si>
    <t>=NL("Sum","5802 Value Entry","150 Sales Amount (Expected)","41 Source Type",$C$5,"5 Source No.",$C2201,"4 Item Ledger Entry Type",$C$4,"2 Item No.","@@"&amp;$F2201,"3 Posting Date",Z$9)+NL("Sum","5802 Value Entry","17 Sales Amount (Actual)","41 Source Type",$C$5,"5 Source no.",$C2201,"4 Item Ledger Entry Type",$C$4,"2 Item No.","@@"&amp;$F2201,"3 Posting Date",Z$9)</t>
  </si>
  <si>
    <t>=-NL("Sum","5802 Value Entry","151 Cost Amount (Expected)","41 Source Type",$C$5,"5 Source No.",$C2201,"4 Item Ledger Entry Type",$C$4,"2 Item No.","@@"&amp;$F2201,"3 Posting Date",Z$9)-NL("Sum","5802 Value Entry","43 Cost Amount (Actual)","41 Source Type",$C$5,"5 Source no.",$C2201,"4 Item Ledger Entry Type",$C$4,"2 Item No.","@@"&amp;$F2201,"3 Posting Date",Z$9)</t>
  </si>
  <si>
    <t>=C2201</t>
  </si>
  <si>
    <t>=NL("Sum","5802 Value Entry","150 Sales Amount (Expected)","41 Source Type",$C$5,"5 Source No.",$C2202,"4 Item Ledger Entry Type",$C$4,"2 Item No.","@@"&amp;$F2202,"3 Posting Date",J$9)+NL("Sum","5802 Value Entry","17 Sales Amount (Actual)","41 Source Type",$C$5,"5 Source no.",$C2202,"4 Item Ledger Entry Type",$C$4,"2 Item No.","@@"&amp;$F2202,"3 Posting Date",J$9)</t>
  </si>
  <si>
    <t>=-NL("Sum","5802 Value Entry","151 Cost Amount (Expected)","41 Source Type",$C$5,"5 Source No.",$C2202,"4 Item Ledger Entry Type",$C$4,"2 Item No.","@@"&amp;$F2202,"3 Posting Date",J$9)-NL("Sum","5802 Value Entry","43 Cost Amount (Actual)","41 Source Type",$C$5,"5 Source no.",$C2202,"4 Item Ledger Entry Type",$C$4,"2 Item No.","@@"&amp;$F2202,"3 Posting Date",J$9)</t>
  </si>
  <si>
    <t>=J2202-L2202</t>
  </si>
  <si>
    <t>=IF(J2202&lt;&gt;0,M2202/J2202,"")</t>
  </si>
  <si>
    <t>=NL("Sum","5802 Value Entry","150 Sales Amount (Expected)","41 Source Type",$C$5,"5 Source No.",$C2202,"4 Item Ledger Entry Type",$C$4,"2 Item No.","@@"&amp;$F2202,"3 Posting Date",O$9)+NL("Sum","5802 Value Entry","17 Sales Amount (Actual)","41 Source Type",$C$5,"5 Source no.",$C2202,"4 Item Ledger Entry Type",$C$4,"2 Item No.","@@"&amp;$F2202,"3 Posting Date",O$9)</t>
  </si>
  <si>
    <t>=-NL("Sum","5802 Value Entry","151 Cost Amount (Expected)","41 Source Type",$C$5,"5 Source No.",$C2202,"4 Item Ledger Entry Type",$C$4,"2 Item No.","@@"&amp;$F2202,"3 Posting Date",O$9)-NL("Sum","5802 Value Entry","43 Cost Amount (Actual)","41 Source Type",$C$5,"5 Source no.",$C2202,"4 Item Ledger Entry Type",$C$4,"2 Item No.","@@"&amp;$F2202,"3 Posting Date",O$9)</t>
  </si>
  <si>
    <t>=O2202-Q2202</t>
  </si>
  <si>
    <t>=IF(O2202&lt;&gt;0,R2202/O2202,"")</t>
  </si>
  <si>
    <t>=NL("Sum","5802 Value Entry","150 Sales Amount (Expected)","41 Source Type",$C$5,"5 Source No.",$C2202,"4 Item Ledger Entry Type",$C$4,"2 Item No.","@@"&amp;$F2202,"3 Posting Date",U$9)+NL("Sum","5802 Value Entry","17 Sales Amount (Actual)","41 Source Type",$C$5,"5 Source no.",$C2202,"4 Item Ledger Entry Type",$C$4,"2 Item No.","@@"&amp;$F2202,"3 Posting Date",U$9)</t>
  </si>
  <si>
    <t>=-NL("Sum","5802 Value Entry","151 Cost Amount (Expected)","41 Source Type",$C$5,"5 Source No.",$C2202,"4 Item Ledger Entry Type",$C$4,"2 Item No.","@@"&amp;$F2202,"3 Posting Date",U$9)-NL("Sum","5802 Value Entry","43 Cost Amount (Actual)","41 Source Type",$C$5,"5 Source no.",$C2202,"4 Item Ledger Entry Type",$C$4,"2 Item No.","@@"&amp;$F2202,"3 Posting Date",U$9)</t>
  </si>
  <si>
    <t>=U2202-W2202</t>
  </si>
  <si>
    <t>=IF(U2202&lt;&gt;0,X2202/U2202,"")</t>
  </si>
  <si>
    <t>=NL("Sum","5802 Value Entry","150 Sales Amount (Expected)","41 Source Type",$C$5,"5 Source No.",$C2202,"4 Item Ledger Entry Type",$C$4,"2 Item No.","@@"&amp;$F2202,"3 Posting Date",Z$9)+NL("Sum","5802 Value Entry","17 Sales Amount (Actual)","41 Source Type",$C$5,"5 Source no.",$C2202,"4 Item Ledger Entry Type",$C$4,"2 Item No.","@@"&amp;$F2202,"3 Posting Date",Z$9)</t>
  </si>
  <si>
    <t>=-NL("Sum","5802 Value Entry","151 Cost Amount (Expected)","41 Source Type",$C$5,"5 Source No.",$C2202,"4 Item Ledger Entry Type",$C$4,"2 Item No.","@@"&amp;$F2202,"3 Posting Date",Z$9)-NL("Sum","5802 Value Entry","43 Cost Amount (Actual)","41 Source Type",$C$5,"5 Source no.",$C2202,"4 Item Ledger Entry Type",$C$4,"2 Item No.","@@"&amp;$F2202,"3 Posting Date",Z$9)</t>
  </si>
  <si>
    <t>=Z2202-AB2202</t>
  </si>
  <si>
    <t>=IF(Z2202&lt;&gt;0,AC2202/Z2202,"")</t>
  </si>
  <si>
    <t>=C2202</t>
  </si>
  <si>
    <t>=NL("Sum","5802 Value Entry","150 Sales Amount (Expected)","41 Source Type",$C$5,"5 Source No.",$C2203,"4 Item Ledger Entry Type",$C$4,"2 Item No.","@@"&amp;$F2203,"3 Posting Date",J$9)+NL("Sum","5802 Value Entry","17 Sales Amount (Actual)","41 Source Type",$C$5,"5 Source no.",$C2203,"4 Item Ledger Entry Type",$C$4,"2 Item No.","@@"&amp;$F2203,"3 Posting Date",J$9)</t>
  </si>
  <si>
    <t>=-NL("Sum","5802 Value Entry","151 Cost Amount (Expected)","41 Source Type",$C$5,"5 Source No.",$C2203,"4 Item Ledger Entry Type",$C$4,"2 Item No.","@@"&amp;$F2203,"3 Posting Date",J$9)-NL("Sum","5802 Value Entry","43 Cost Amount (Actual)","41 Source Type",$C$5,"5 Source no.",$C2203,"4 Item Ledger Entry Type",$C$4,"2 Item No.","@@"&amp;$F2203,"3 Posting Date",J$9)</t>
  </si>
  <si>
    <t>=J2203-L2203</t>
  </si>
  <si>
    <t>=IF(J2203&lt;&gt;0,M2203/J2203,"")</t>
  </si>
  <si>
    <t>=NL("Sum","5802 Value Entry","150 Sales Amount (Expected)","41 Source Type",$C$5,"5 Source No.",$C2203,"4 Item Ledger Entry Type",$C$4,"2 Item No.","@@"&amp;$F2203,"3 Posting Date",O$9)+NL("Sum","5802 Value Entry","17 Sales Amount (Actual)","41 Source Type",$C$5,"5 Source no.",$C2203,"4 Item Ledger Entry Type",$C$4,"2 Item No.","@@"&amp;$F2203,"3 Posting Date",O$9)</t>
  </si>
  <si>
    <t>=-NL("Sum","5802 Value Entry","151 Cost Amount (Expected)","41 Source Type",$C$5,"5 Source No.",$C2203,"4 Item Ledger Entry Type",$C$4,"2 Item No.","@@"&amp;$F2203,"3 Posting Date",O$9)-NL("Sum","5802 Value Entry","43 Cost Amount (Actual)","41 Source Type",$C$5,"5 Source no.",$C2203,"4 Item Ledger Entry Type",$C$4,"2 Item No.","@@"&amp;$F2203,"3 Posting Date",O$9)</t>
  </si>
  <si>
    <t>=O2203-Q2203</t>
  </si>
  <si>
    <t>=IF(O2203&lt;&gt;0,R2203/O2203,"")</t>
  </si>
  <si>
    <t>=NL("Sum","5802 Value Entry","150 Sales Amount (Expected)","41 Source Type",$C$5,"5 Source No.",$C2203,"4 Item Ledger Entry Type",$C$4,"2 Item No.","@@"&amp;$F2203,"3 Posting Date",U$9)+NL("Sum","5802 Value Entry","17 Sales Amount (Actual)","41 Source Type",$C$5,"5 Source no.",$C2203,"4 Item Ledger Entry Type",$C$4,"2 Item No.","@@"&amp;$F2203,"3 Posting Date",U$9)</t>
  </si>
  <si>
    <t>=-NL("Sum","5802 Value Entry","151 Cost Amount (Expected)","41 Source Type",$C$5,"5 Source No.",$C2203,"4 Item Ledger Entry Type",$C$4,"2 Item No.","@@"&amp;$F2203,"3 Posting Date",U$9)-NL("Sum","5802 Value Entry","43 Cost Amount (Actual)","41 Source Type",$C$5,"5 Source no.",$C2203,"4 Item Ledger Entry Type",$C$4,"2 Item No.","@@"&amp;$F2203,"3 Posting Date",U$9)</t>
  </si>
  <si>
    <t>=U2203-W2203</t>
  </si>
  <si>
    <t>=IF(U2203&lt;&gt;0,X2203/U2203,"")</t>
  </si>
  <si>
    <t>=NL("Sum","5802 Value Entry","150 Sales Amount (Expected)","41 Source Type",$C$5,"5 Source No.",$C2203,"4 Item Ledger Entry Type",$C$4,"2 Item No.","@@"&amp;$F2203,"3 Posting Date",Z$9)+NL("Sum","5802 Value Entry","17 Sales Amount (Actual)","41 Source Type",$C$5,"5 Source no.",$C2203,"4 Item Ledger Entry Type",$C$4,"2 Item No.","@@"&amp;$F2203,"3 Posting Date",Z$9)</t>
  </si>
  <si>
    <t>=-NL("Sum","5802 Value Entry","151 Cost Amount (Expected)","41 Source Type",$C$5,"5 Source No.",$C2203,"4 Item Ledger Entry Type",$C$4,"2 Item No.","@@"&amp;$F2203,"3 Posting Date",Z$9)-NL("Sum","5802 Value Entry","43 Cost Amount (Actual)","41 Source Type",$C$5,"5 Source no.",$C2203,"4 Item Ledger Entry Type",$C$4,"2 Item No.","@@"&amp;$F2203,"3 Posting Date",Z$9)</t>
  </si>
  <si>
    <t>=Z2203-AB2203</t>
  </si>
  <si>
    <t>=IF(Z2203&lt;&gt;0,AC2203/Z2203,"")</t>
  </si>
  <si>
    <t>=NL("Sum","5802 Value Entry","150 Sales Amount (Expected)","41 Source Type",$C$5,"5 Source No.",$C2204,"4 Item Ledger Entry Type",$C$4,"2 Item No.","@@"&amp;$F2204,"3 Posting Date",J$9)+NL("Sum","5802 Value Entry","17 Sales Amount (Actual)","41 Source Type",$C$5,"5 Source no.",$C2204,"4 Item Ledger Entry Type",$C$4,"2 Item No.","@@"&amp;$F2204,"3 Posting Date",J$9)</t>
  </si>
  <si>
    <t>=-NL("Sum","5802 Value Entry","151 Cost Amount (Expected)","41 Source Type",$C$5,"5 Source No.",$C2204,"4 Item Ledger Entry Type",$C$4,"2 Item No.","@@"&amp;$F2204,"3 Posting Date",J$9)-NL("Sum","5802 Value Entry","43 Cost Amount (Actual)","41 Source Type",$C$5,"5 Source no.",$C2204,"4 Item Ledger Entry Type",$C$4,"2 Item No.","@@"&amp;$F2204,"3 Posting Date",J$9)</t>
  </si>
  <si>
    <t>=J2204-L2204</t>
  </si>
  <si>
    <t>=IF(J2204&lt;&gt;0,M2204/J2204,"")</t>
  </si>
  <si>
    <t>=NL("Sum","5802 Value Entry","150 Sales Amount (Expected)","41 Source Type",$C$5,"5 Source No.",$C2204,"4 Item Ledger Entry Type",$C$4,"2 Item No.","@@"&amp;$F2204,"3 Posting Date",O$9)+NL("Sum","5802 Value Entry","17 Sales Amount (Actual)","41 Source Type",$C$5,"5 Source no.",$C2204,"4 Item Ledger Entry Type",$C$4,"2 Item No.","@@"&amp;$F2204,"3 Posting Date",O$9)</t>
  </si>
  <si>
    <t>=-NL("Sum","5802 Value Entry","151 Cost Amount (Expected)","41 Source Type",$C$5,"5 Source No.",$C2204,"4 Item Ledger Entry Type",$C$4,"2 Item No.","@@"&amp;$F2204,"3 Posting Date",O$9)-NL("Sum","5802 Value Entry","43 Cost Amount (Actual)","41 Source Type",$C$5,"5 Source no.",$C2204,"4 Item Ledger Entry Type",$C$4,"2 Item No.","@@"&amp;$F2204,"3 Posting Date",O$9)</t>
  </si>
  <si>
    <t>=O2204-Q2204</t>
  </si>
  <si>
    <t>=IF(O2204&lt;&gt;0,R2204/O2204,"")</t>
  </si>
  <si>
    <t>=NL("Sum","5802 Value Entry","150 Sales Amount (Expected)","41 Source Type",$C$5,"5 Source No.",$C2204,"4 Item Ledger Entry Type",$C$4,"2 Item No.","@@"&amp;$F2204,"3 Posting Date",U$9)+NL("Sum","5802 Value Entry","17 Sales Amount (Actual)","41 Source Type",$C$5,"5 Source no.",$C2204,"4 Item Ledger Entry Type",$C$4,"2 Item No.","@@"&amp;$F2204,"3 Posting Date",U$9)</t>
  </si>
  <si>
    <t>=-NL("Sum","5802 Value Entry","151 Cost Amount (Expected)","41 Source Type",$C$5,"5 Source No.",$C2204,"4 Item Ledger Entry Type",$C$4,"2 Item No.","@@"&amp;$F2204,"3 Posting Date",U$9)-NL("Sum","5802 Value Entry","43 Cost Amount (Actual)","41 Source Type",$C$5,"5 Source no.",$C2204,"4 Item Ledger Entry Type",$C$4,"2 Item No.","@@"&amp;$F2204,"3 Posting Date",U$9)</t>
  </si>
  <si>
    <t>=U2204-W2204</t>
  </si>
  <si>
    <t>=IF(U2204&lt;&gt;0,X2204/U2204,"")</t>
  </si>
  <si>
    <t>=NL("Sum","5802 Value Entry","150 Sales Amount (Expected)","41 Source Type",$C$5,"5 Source No.",$C2204,"4 Item Ledger Entry Type",$C$4,"2 Item No.","@@"&amp;$F2204,"3 Posting Date",Z$9)+NL("Sum","5802 Value Entry","17 Sales Amount (Actual)","41 Source Type",$C$5,"5 Source no.",$C2204,"4 Item Ledger Entry Type",$C$4,"2 Item No.","@@"&amp;$F2204,"3 Posting Date",Z$9)</t>
  </si>
  <si>
    <t>=-NL("Sum","5802 Value Entry","151 Cost Amount (Expected)","41 Source Type",$C$5,"5 Source No.",$C2204,"4 Item Ledger Entry Type",$C$4,"2 Item No.","@@"&amp;$F2204,"3 Posting Date",Z$9)-NL("Sum","5802 Value Entry","43 Cost Amount (Actual)","41 Source Type",$C$5,"5 Source no.",$C2204,"4 Item Ledger Entry Type",$C$4,"2 Item No.","@@"&amp;$F2204,"3 Posting Date",Z$9)</t>
  </si>
  <si>
    <t>=Z2204-AB2204</t>
  </si>
  <si>
    <t>=IF(Z2204&lt;&gt;0,AC2204/Z2204,"")</t>
  </si>
  <si>
    <t>=C2208&amp;" TOTAL:"</t>
  </si>
  <si>
    <t>=SUBTOTAL(9,J2183:J2207)</t>
  </si>
  <si>
    <t>=SUBTOTAL(9,K2183:K2207)</t>
  </si>
  <si>
    <t>=SUBTOTAL(9,L2183:L2207)</t>
  </si>
  <si>
    <t>=SUBTOTAL(9,O2183:O2207)</t>
  </si>
  <si>
    <t>=SUBTOTAL(9,P2183:P2207)</t>
  </si>
  <si>
    <t>=SUBTOTAL(9,Q2183:Q2207)</t>
  </si>
  <si>
    <t>=SUBTOTAL(9,U2183:U2207)</t>
  </si>
  <si>
    <t>=SUBTOTAL(9,V2183:V2207)</t>
  </si>
  <si>
    <t>=SUBTOTAL(9,W2183:W2207)</t>
  </si>
  <si>
    <t>=SUBTOTAL(9,Z2183:Z2207)</t>
  </si>
  <si>
    <t>=SUBTOTAL(9,AA2183:AA2207)</t>
  </si>
  <si>
    <t>=SUBTOTAL(9,AB2183:AB2207)</t>
  </si>
  <si>
    <t>=E2210</t>
  </si>
  <si>
    <t>=NL(,"18 Customer","2 Name","1 No.",$E2210)</t>
  </si>
  <si>
    <t>=NL("Rows","5802 Value Entry","2 Item No.","4 Item Ledger Entry Type",$C$4,"41 Source Type",$C$5,"5 Source No.",$C2212,"Item No.",$C$7,"3 Posting Date",$C$10)</t>
  </si>
  <si>
    <t>=C2227&amp;" TOTAL:"</t>
  </si>
  <si>
    <t>=SUBTOTAL(9,J2211:J2226)</t>
  </si>
  <si>
    <t>=SUBTOTAL(9,K2211:K2226)</t>
  </si>
  <si>
    <t>=SUBTOTAL(9,L2211:L2226)</t>
  </si>
  <si>
    <t>=SUBTOTAL(9,O2211:O2226)</t>
  </si>
  <si>
    <t>=SUBTOTAL(9,P2211:P2226)</t>
  </si>
  <si>
    <t>=SUBTOTAL(9,Q2211:Q2226)</t>
  </si>
  <si>
    <t>=SUBTOTAL(9,U2211:U2226)</t>
  </si>
  <si>
    <t>=SUBTOTAL(9,V2211:V2226)</t>
  </si>
  <si>
    <t>=SUBTOTAL(9,W2211:W2226)</t>
  </si>
  <si>
    <t>=SUBTOTAL(9,Z2211:Z2226)</t>
  </si>
  <si>
    <t>=SUBTOTAL(9,AA2211:AA2226)</t>
  </si>
  <si>
    <t>=SUBTOTAL(9,AB2211:AB2226)</t>
  </si>
  <si>
    <t>=E2229</t>
  </si>
  <si>
    <t>=NL(,"18 Customer","2 Name","1 No.",$E2229)</t>
  </si>
  <si>
    <t>=NL("Rows","5802 Value Entry","2 Item No.","4 Item Ledger Entry Type",$C$4,"41 Source Type",$C$5,"5 Source No.",$C2231,"Item No.",$C$7,"3 Posting Date",$C$10)</t>
  </si>
  <si>
    <t>=C2241</t>
  </si>
  <si>
    <t>=NL("Sum","5802 Value Entry","150 Sales Amount (Expected)","41 Source Type",$C$5,"5 Source No.",$C2242,"4 Item Ledger Entry Type",$C$4,"2 Item No.","@@"&amp;$F2242,"3 Posting Date",J$9)+NL("Sum","5802 Value Entry","17 Sales Amount (Actual)","41 Source Type",$C$5,"5 Source no.",$C2242,"4 Item Ledger Entry Type",$C$4,"2 Item No.","@@"&amp;$F2242,"3 Posting Date",J$9)</t>
  </si>
  <si>
    <t>=-NL("Sum","5802 Value Entry","151 Cost Amount (Expected)","41 Source Type",$C$5,"5 Source No.",$C2242,"4 Item Ledger Entry Type",$C$4,"2 Item No.","@@"&amp;$F2242,"3 Posting Date",J$9)-NL("Sum","5802 Value Entry","43 Cost Amount (Actual)","41 Source Type",$C$5,"5 Source no.",$C2242,"4 Item Ledger Entry Type",$C$4,"2 Item No.","@@"&amp;$F2242,"3 Posting Date",J$9)</t>
  </si>
  <si>
    <t>=J2242-L2242</t>
  </si>
  <si>
    <t>=IF(J2242&lt;&gt;0,M2242/J2242,"")</t>
  </si>
  <si>
    <t>=NL("Sum","5802 Value Entry","150 Sales Amount (Expected)","41 Source Type",$C$5,"5 Source No.",$C2242,"4 Item Ledger Entry Type",$C$4,"2 Item No.","@@"&amp;$F2242,"3 Posting Date",O$9)+NL("Sum","5802 Value Entry","17 Sales Amount (Actual)","41 Source Type",$C$5,"5 Source no.",$C2242,"4 Item Ledger Entry Type",$C$4,"2 Item No.","@@"&amp;$F2242,"3 Posting Date",O$9)</t>
  </si>
  <si>
    <t>=-NL("Sum","5802 Value Entry","151 Cost Amount (Expected)","41 Source Type",$C$5,"5 Source No.",$C2242,"4 Item Ledger Entry Type",$C$4,"2 Item No.","@@"&amp;$F2242,"3 Posting Date",O$9)-NL("Sum","5802 Value Entry","43 Cost Amount (Actual)","41 Source Type",$C$5,"5 Source no.",$C2242,"4 Item Ledger Entry Type",$C$4,"2 Item No.","@@"&amp;$F2242,"3 Posting Date",O$9)</t>
  </si>
  <si>
    <t>=O2242-Q2242</t>
  </si>
  <si>
    <t>=IF(O2242&lt;&gt;0,R2242/O2242,"")</t>
  </si>
  <si>
    <t>=NL("Sum","5802 Value Entry","150 Sales Amount (Expected)","41 Source Type",$C$5,"5 Source No.",$C2242,"4 Item Ledger Entry Type",$C$4,"2 Item No.","@@"&amp;$F2242,"3 Posting Date",U$9)+NL("Sum","5802 Value Entry","17 Sales Amount (Actual)","41 Source Type",$C$5,"5 Source no.",$C2242,"4 Item Ledger Entry Type",$C$4,"2 Item No.","@@"&amp;$F2242,"3 Posting Date",U$9)</t>
  </si>
  <si>
    <t>=-NL("Sum","5802 Value Entry","151 Cost Amount (Expected)","41 Source Type",$C$5,"5 Source No.",$C2242,"4 Item Ledger Entry Type",$C$4,"2 Item No.","@@"&amp;$F2242,"3 Posting Date",U$9)-NL("Sum","5802 Value Entry","43 Cost Amount (Actual)","41 Source Type",$C$5,"5 Source no.",$C2242,"4 Item Ledger Entry Type",$C$4,"2 Item No.","@@"&amp;$F2242,"3 Posting Date",U$9)</t>
  </si>
  <si>
    <t>=U2242-W2242</t>
  </si>
  <si>
    <t>=IF(U2242&lt;&gt;0,X2242/U2242,"")</t>
  </si>
  <si>
    <t>=NL("Sum","5802 Value Entry","150 Sales Amount (Expected)","41 Source Type",$C$5,"5 Source No.",$C2242,"4 Item Ledger Entry Type",$C$4,"2 Item No.","@@"&amp;$F2242,"3 Posting Date",Z$9)+NL("Sum","5802 Value Entry","17 Sales Amount (Actual)","41 Source Type",$C$5,"5 Source no.",$C2242,"4 Item Ledger Entry Type",$C$4,"2 Item No.","@@"&amp;$F2242,"3 Posting Date",Z$9)</t>
  </si>
  <si>
    <t>=-NL("Sum","5802 Value Entry","151 Cost Amount (Expected)","41 Source Type",$C$5,"5 Source No.",$C2242,"4 Item Ledger Entry Type",$C$4,"2 Item No.","@@"&amp;$F2242,"3 Posting Date",Z$9)-NL("Sum","5802 Value Entry","43 Cost Amount (Actual)","41 Source Type",$C$5,"5 Source no.",$C2242,"4 Item Ledger Entry Type",$C$4,"2 Item No.","@@"&amp;$F2242,"3 Posting Date",Z$9)</t>
  </si>
  <si>
    <t>=Z2242-AB2242</t>
  </si>
  <si>
    <t>=IF(Z2242&lt;&gt;0,AC2242/Z2242,"")</t>
  </si>
  <si>
    <t>=NL("Sum","5802 Value Entry","150 Sales Amount (Expected)","41 Source Type",$C$5,"5 Source No.",$C2243,"4 Item Ledger Entry Type",$C$4,"2 Item No.","@@"&amp;$F2243,"3 Posting Date",J$9)+NL("Sum","5802 Value Entry","17 Sales Amount (Actual)","41 Source Type",$C$5,"5 Source no.",$C2243,"4 Item Ledger Entry Type",$C$4,"2 Item No.","@@"&amp;$F2243,"3 Posting Date",J$9)</t>
  </si>
  <si>
    <t>=-NL("Sum","5802 Value Entry","151 Cost Amount (Expected)","41 Source Type",$C$5,"5 Source No.",$C2243,"4 Item Ledger Entry Type",$C$4,"2 Item No.","@@"&amp;$F2243,"3 Posting Date",J$9)-NL("Sum","5802 Value Entry","43 Cost Amount (Actual)","41 Source Type",$C$5,"5 Source no.",$C2243,"4 Item Ledger Entry Type",$C$4,"2 Item No.","@@"&amp;$F2243,"3 Posting Date",J$9)</t>
  </si>
  <si>
    <t>=NL("Sum","5802 Value Entry","150 Sales Amount (Expected)","41 Source Type",$C$5,"5 Source No.",$C2243,"4 Item Ledger Entry Type",$C$4,"2 Item No.","@@"&amp;$F2243,"3 Posting Date",O$9)+NL("Sum","5802 Value Entry","17 Sales Amount (Actual)","41 Source Type",$C$5,"5 Source no.",$C2243,"4 Item Ledger Entry Type",$C$4,"2 Item No.","@@"&amp;$F2243,"3 Posting Date",O$9)</t>
  </si>
  <si>
    <t>=-NL("Sum","5802 Value Entry","151 Cost Amount (Expected)","41 Source Type",$C$5,"5 Source No.",$C2243,"4 Item Ledger Entry Type",$C$4,"2 Item No.","@@"&amp;$F2243,"3 Posting Date",O$9)-NL("Sum","5802 Value Entry","43 Cost Amount (Actual)","41 Source Type",$C$5,"5 Source no.",$C2243,"4 Item Ledger Entry Type",$C$4,"2 Item No.","@@"&amp;$F2243,"3 Posting Date",O$9)</t>
  </si>
  <si>
    <t>=NL("Sum","5802 Value Entry","150 Sales Amount (Expected)","41 Source Type",$C$5,"5 Source No.",$C2243,"4 Item Ledger Entry Type",$C$4,"2 Item No.","@@"&amp;$F2243,"3 Posting Date",U$9)+NL("Sum","5802 Value Entry","17 Sales Amount (Actual)","41 Source Type",$C$5,"5 Source no.",$C2243,"4 Item Ledger Entry Type",$C$4,"2 Item No.","@@"&amp;$F2243,"3 Posting Date",U$9)</t>
  </si>
  <si>
    <t>=-NL("Sum","5802 Value Entry","151 Cost Amount (Expected)","41 Source Type",$C$5,"5 Source No.",$C2243,"4 Item Ledger Entry Type",$C$4,"2 Item No.","@@"&amp;$F2243,"3 Posting Date",U$9)-NL("Sum","5802 Value Entry","43 Cost Amount (Actual)","41 Source Type",$C$5,"5 Source no.",$C2243,"4 Item Ledger Entry Type",$C$4,"2 Item No.","@@"&amp;$F2243,"3 Posting Date",U$9)</t>
  </si>
  <si>
    <t>=NL("Sum","5802 Value Entry","150 Sales Amount (Expected)","41 Source Type",$C$5,"5 Source No.",$C2243,"4 Item Ledger Entry Type",$C$4,"2 Item No.","@@"&amp;$F2243,"3 Posting Date",Z$9)+NL("Sum","5802 Value Entry","17 Sales Amount (Actual)","41 Source Type",$C$5,"5 Source no.",$C2243,"4 Item Ledger Entry Type",$C$4,"2 Item No.","@@"&amp;$F2243,"3 Posting Date",Z$9)</t>
  </si>
  <si>
    <t>=-NL("Sum","5802 Value Entry","151 Cost Amount (Expected)","41 Source Type",$C$5,"5 Source No.",$C2243,"4 Item Ledger Entry Type",$C$4,"2 Item No.","@@"&amp;$F2243,"3 Posting Date",Z$9)-NL("Sum","5802 Value Entry","43 Cost Amount (Actual)","41 Source Type",$C$5,"5 Source no.",$C2243,"4 Item Ledger Entry Type",$C$4,"2 Item No.","@@"&amp;$F2243,"3 Posting Date",Z$9)</t>
  </si>
  <si>
    <t>=C2243</t>
  </si>
  <si>
    <t>=NL("Sum","5802 Value Entry","150 Sales Amount (Expected)","41 Source Type",$C$5,"5 Source No.",$C2244,"4 Item Ledger Entry Type",$C$4,"2 Item No.","@@"&amp;$F2244,"3 Posting Date",J$9)+NL("Sum","5802 Value Entry","17 Sales Amount (Actual)","41 Source Type",$C$5,"5 Source no.",$C2244,"4 Item Ledger Entry Type",$C$4,"2 Item No.","@@"&amp;$F2244,"3 Posting Date",J$9)</t>
  </si>
  <si>
    <t>=-NL("Sum","5802 Value Entry","151 Cost Amount (Expected)","41 Source Type",$C$5,"5 Source No.",$C2244,"4 Item Ledger Entry Type",$C$4,"2 Item No.","@@"&amp;$F2244,"3 Posting Date",J$9)-NL("Sum","5802 Value Entry","43 Cost Amount (Actual)","41 Source Type",$C$5,"5 Source no.",$C2244,"4 Item Ledger Entry Type",$C$4,"2 Item No.","@@"&amp;$F2244,"3 Posting Date",J$9)</t>
  </si>
  <si>
    <t>=J2244-L2244</t>
  </si>
  <si>
    <t>=IF(J2244&lt;&gt;0,M2244/J2244,"")</t>
  </si>
  <si>
    <t>=NL("Sum","5802 Value Entry","150 Sales Amount (Expected)","41 Source Type",$C$5,"5 Source No.",$C2244,"4 Item Ledger Entry Type",$C$4,"2 Item No.","@@"&amp;$F2244,"3 Posting Date",O$9)+NL("Sum","5802 Value Entry","17 Sales Amount (Actual)","41 Source Type",$C$5,"5 Source no.",$C2244,"4 Item Ledger Entry Type",$C$4,"2 Item No.","@@"&amp;$F2244,"3 Posting Date",O$9)</t>
  </si>
  <si>
    <t>=-NL("Sum","5802 Value Entry","151 Cost Amount (Expected)","41 Source Type",$C$5,"5 Source No.",$C2244,"4 Item Ledger Entry Type",$C$4,"2 Item No.","@@"&amp;$F2244,"3 Posting Date",O$9)-NL("Sum","5802 Value Entry","43 Cost Amount (Actual)","41 Source Type",$C$5,"5 Source no.",$C2244,"4 Item Ledger Entry Type",$C$4,"2 Item No.","@@"&amp;$F2244,"3 Posting Date",O$9)</t>
  </si>
  <si>
    <t>=O2244-Q2244</t>
  </si>
  <si>
    <t>=IF(O2244&lt;&gt;0,R2244/O2244,"")</t>
  </si>
  <si>
    <t>=NL("Sum","5802 Value Entry","150 Sales Amount (Expected)","41 Source Type",$C$5,"5 Source No.",$C2244,"4 Item Ledger Entry Type",$C$4,"2 Item No.","@@"&amp;$F2244,"3 Posting Date",U$9)+NL("Sum","5802 Value Entry","17 Sales Amount (Actual)","41 Source Type",$C$5,"5 Source no.",$C2244,"4 Item Ledger Entry Type",$C$4,"2 Item No.","@@"&amp;$F2244,"3 Posting Date",U$9)</t>
  </si>
  <si>
    <t>=-NL("Sum","5802 Value Entry","151 Cost Amount (Expected)","41 Source Type",$C$5,"5 Source No.",$C2244,"4 Item Ledger Entry Type",$C$4,"2 Item No.","@@"&amp;$F2244,"3 Posting Date",U$9)-NL("Sum","5802 Value Entry","43 Cost Amount (Actual)","41 Source Type",$C$5,"5 Source no.",$C2244,"4 Item Ledger Entry Type",$C$4,"2 Item No.","@@"&amp;$F2244,"3 Posting Date",U$9)</t>
  </si>
  <si>
    <t>=U2244-W2244</t>
  </si>
  <si>
    <t>=IF(U2244&lt;&gt;0,X2244/U2244,"")</t>
  </si>
  <si>
    <t>=NL("Sum","5802 Value Entry","150 Sales Amount (Expected)","41 Source Type",$C$5,"5 Source No.",$C2244,"4 Item Ledger Entry Type",$C$4,"2 Item No.","@@"&amp;$F2244,"3 Posting Date",Z$9)+NL("Sum","5802 Value Entry","17 Sales Amount (Actual)","41 Source Type",$C$5,"5 Source no.",$C2244,"4 Item Ledger Entry Type",$C$4,"2 Item No.","@@"&amp;$F2244,"3 Posting Date",Z$9)</t>
  </si>
  <si>
    <t>=-NL("Sum","5802 Value Entry","151 Cost Amount (Expected)","41 Source Type",$C$5,"5 Source No.",$C2244,"4 Item Ledger Entry Type",$C$4,"2 Item No.","@@"&amp;$F2244,"3 Posting Date",Z$9)-NL("Sum","5802 Value Entry","43 Cost Amount (Actual)","41 Source Type",$C$5,"5 Source no.",$C2244,"4 Item Ledger Entry Type",$C$4,"2 Item No.","@@"&amp;$F2244,"3 Posting Date",Z$9)</t>
  </si>
  <si>
    <t>=Z2244-AB2244</t>
  </si>
  <si>
    <t>=IF(Z2244&lt;&gt;0,AC2244/Z2244,"")</t>
  </si>
  <si>
    <t>=C2244</t>
  </si>
  <si>
    <t>=NL("Sum","5802 Value Entry","150 Sales Amount (Expected)","41 Source Type",$C$5,"5 Source No.",$C2245,"4 Item Ledger Entry Type",$C$4,"2 Item No.","@@"&amp;$F2245,"3 Posting Date",J$9)+NL("Sum","5802 Value Entry","17 Sales Amount (Actual)","41 Source Type",$C$5,"5 Source no.",$C2245,"4 Item Ledger Entry Type",$C$4,"2 Item No.","@@"&amp;$F2245,"3 Posting Date",J$9)</t>
  </si>
  <si>
    <t>=-NL("Sum","5802 Value Entry","151 Cost Amount (Expected)","41 Source Type",$C$5,"5 Source No.",$C2245,"4 Item Ledger Entry Type",$C$4,"2 Item No.","@@"&amp;$F2245,"3 Posting Date",J$9)-NL("Sum","5802 Value Entry","43 Cost Amount (Actual)","41 Source Type",$C$5,"5 Source no.",$C2245,"4 Item Ledger Entry Type",$C$4,"2 Item No.","@@"&amp;$F2245,"3 Posting Date",J$9)</t>
  </si>
  <si>
    <t>=J2245-L2245</t>
  </si>
  <si>
    <t>=IF(J2245&lt;&gt;0,M2245/J2245,"")</t>
  </si>
  <si>
    <t>=NL("Sum","5802 Value Entry","150 Sales Amount (Expected)","41 Source Type",$C$5,"5 Source No.",$C2245,"4 Item Ledger Entry Type",$C$4,"2 Item No.","@@"&amp;$F2245,"3 Posting Date",O$9)+NL("Sum","5802 Value Entry","17 Sales Amount (Actual)","41 Source Type",$C$5,"5 Source no.",$C2245,"4 Item Ledger Entry Type",$C$4,"2 Item No.","@@"&amp;$F2245,"3 Posting Date",O$9)</t>
  </si>
  <si>
    <t>=-NL("Sum","5802 Value Entry","151 Cost Amount (Expected)","41 Source Type",$C$5,"5 Source No.",$C2245,"4 Item Ledger Entry Type",$C$4,"2 Item No.","@@"&amp;$F2245,"3 Posting Date",O$9)-NL("Sum","5802 Value Entry","43 Cost Amount (Actual)","41 Source Type",$C$5,"5 Source no.",$C2245,"4 Item Ledger Entry Type",$C$4,"2 Item No.","@@"&amp;$F2245,"3 Posting Date",O$9)</t>
  </si>
  <si>
    <t>=O2245-Q2245</t>
  </si>
  <si>
    <t>=IF(O2245&lt;&gt;0,R2245/O2245,"")</t>
  </si>
  <si>
    <t>=NL("Sum","5802 Value Entry","150 Sales Amount (Expected)","41 Source Type",$C$5,"5 Source No.",$C2245,"4 Item Ledger Entry Type",$C$4,"2 Item No.","@@"&amp;$F2245,"3 Posting Date",U$9)+NL("Sum","5802 Value Entry","17 Sales Amount (Actual)","41 Source Type",$C$5,"5 Source no.",$C2245,"4 Item Ledger Entry Type",$C$4,"2 Item No.","@@"&amp;$F2245,"3 Posting Date",U$9)</t>
  </si>
  <si>
    <t>=-NL("Sum","5802 Value Entry","151 Cost Amount (Expected)","41 Source Type",$C$5,"5 Source No.",$C2245,"4 Item Ledger Entry Type",$C$4,"2 Item No.","@@"&amp;$F2245,"3 Posting Date",U$9)-NL("Sum","5802 Value Entry","43 Cost Amount (Actual)","41 Source Type",$C$5,"5 Source no.",$C2245,"4 Item Ledger Entry Type",$C$4,"2 Item No.","@@"&amp;$F2245,"3 Posting Date",U$9)</t>
  </si>
  <si>
    <t>=U2245-W2245</t>
  </si>
  <si>
    <t>=IF(U2245&lt;&gt;0,X2245/U2245,"")</t>
  </si>
  <si>
    <t>=NL("Sum","5802 Value Entry","150 Sales Amount (Expected)","41 Source Type",$C$5,"5 Source No.",$C2245,"4 Item Ledger Entry Type",$C$4,"2 Item No.","@@"&amp;$F2245,"3 Posting Date",Z$9)+NL("Sum","5802 Value Entry","17 Sales Amount (Actual)","41 Source Type",$C$5,"5 Source no.",$C2245,"4 Item Ledger Entry Type",$C$4,"2 Item No.","@@"&amp;$F2245,"3 Posting Date",Z$9)</t>
  </si>
  <si>
    <t>=-NL("Sum","5802 Value Entry","151 Cost Amount (Expected)","41 Source Type",$C$5,"5 Source No.",$C2245,"4 Item Ledger Entry Type",$C$4,"2 Item No.","@@"&amp;$F2245,"3 Posting Date",Z$9)-NL("Sum","5802 Value Entry","43 Cost Amount (Actual)","41 Source Type",$C$5,"5 Source no.",$C2245,"4 Item Ledger Entry Type",$C$4,"2 Item No.","@@"&amp;$F2245,"3 Posting Date",Z$9)</t>
  </si>
  <si>
    <t>=Z2245-AB2245</t>
  </si>
  <si>
    <t>=IF(Z2245&lt;&gt;0,AC2245/Z2245,"")</t>
  </si>
  <si>
    <t>=NL("Sum","5802 Value Entry","150 Sales Amount (Expected)","41 Source Type",$C$5,"5 Source No.",$C2246,"4 Item Ledger Entry Type",$C$4,"2 Item No.","@@"&amp;$F2246,"3 Posting Date",J$9)+NL("Sum","5802 Value Entry","17 Sales Amount (Actual)","41 Source Type",$C$5,"5 Source no.",$C2246,"4 Item Ledger Entry Type",$C$4,"2 Item No.","@@"&amp;$F2246,"3 Posting Date",J$9)</t>
  </si>
  <si>
    <t>=-NL("Sum","5802 Value Entry","151 Cost Amount (Expected)","41 Source Type",$C$5,"5 Source No.",$C2246,"4 Item Ledger Entry Type",$C$4,"2 Item No.","@@"&amp;$F2246,"3 Posting Date",J$9)-NL("Sum","5802 Value Entry","43 Cost Amount (Actual)","41 Source Type",$C$5,"5 Source no.",$C2246,"4 Item Ledger Entry Type",$C$4,"2 Item No.","@@"&amp;$F2246,"3 Posting Date",J$9)</t>
  </si>
  <si>
    <t>=J2246-L2246</t>
  </si>
  <si>
    <t>=IF(J2246&lt;&gt;0,M2246/J2246,"")</t>
  </si>
  <si>
    <t>=NL("Sum","5802 Value Entry","150 Sales Amount (Expected)","41 Source Type",$C$5,"5 Source No.",$C2246,"4 Item Ledger Entry Type",$C$4,"2 Item No.","@@"&amp;$F2246,"3 Posting Date",O$9)+NL("Sum","5802 Value Entry","17 Sales Amount (Actual)","41 Source Type",$C$5,"5 Source no.",$C2246,"4 Item Ledger Entry Type",$C$4,"2 Item No.","@@"&amp;$F2246,"3 Posting Date",O$9)</t>
  </si>
  <si>
    <t>=-NL("Sum","5802 Value Entry","151 Cost Amount (Expected)","41 Source Type",$C$5,"5 Source No.",$C2246,"4 Item Ledger Entry Type",$C$4,"2 Item No.","@@"&amp;$F2246,"3 Posting Date",O$9)-NL("Sum","5802 Value Entry","43 Cost Amount (Actual)","41 Source Type",$C$5,"5 Source no.",$C2246,"4 Item Ledger Entry Type",$C$4,"2 Item No.","@@"&amp;$F2246,"3 Posting Date",O$9)</t>
  </si>
  <si>
    <t>=O2246-Q2246</t>
  </si>
  <si>
    <t>=IF(O2246&lt;&gt;0,R2246/O2246,"")</t>
  </si>
  <si>
    <t>=NL("Sum","5802 Value Entry","150 Sales Amount (Expected)","41 Source Type",$C$5,"5 Source No.",$C2246,"4 Item Ledger Entry Type",$C$4,"2 Item No.","@@"&amp;$F2246,"3 Posting Date",U$9)+NL("Sum","5802 Value Entry","17 Sales Amount (Actual)","41 Source Type",$C$5,"5 Source no.",$C2246,"4 Item Ledger Entry Type",$C$4,"2 Item No.","@@"&amp;$F2246,"3 Posting Date",U$9)</t>
  </si>
  <si>
    <t>=-NL("Sum","5802 Value Entry","151 Cost Amount (Expected)","41 Source Type",$C$5,"5 Source No.",$C2246,"4 Item Ledger Entry Type",$C$4,"2 Item No.","@@"&amp;$F2246,"3 Posting Date",U$9)-NL("Sum","5802 Value Entry","43 Cost Amount (Actual)","41 Source Type",$C$5,"5 Source no.",$C2246,"4 Item Ledger Entry Type",$C$4,"2 Item No.","@@"&amp;$F2246,"3 Posting Date",U$9)</t>
  </si>
  <si>
    <t>=U2246-W2246</t>
  </si>
  <si>
    <t>=IF(U2246&lt;&gt;0,X2246/U2246,"")</t>
  </si>
  <si>
    <t>=NL("Sum","5802 Value Entry","150 Sales Amount (Expected)","41 Source Type",$C$5,"5 Source No.",$C2246,"4 Item Ledger Entry Type",$C$4,"2 Item No.","@@"&amp;$F2246,"3 Posting Date",Z$9)+NL("Sum","5802 Value Entry","17 Sales Amount (Actual)","41 Source Type",$C$5,"5 Source no.",$C2246,"4 Item Ledger Entry Type",$C$4,"2 Item No.","@@"&amp;$F2246,"3 Posting Date",Z$9)</t>
  </si>
  <si>
    <t>=-NL("Sum","5802 Value Entry","151 Cost Amount (Expected)","41 Source Type",$C$5,"5 Source No.",$C2246,"4 Item Ledger Entry Type",$C$4,"2 Item No.","@@"&amp;$F2246,"3 Posting Date",Z$9)-NL("Sum","5802 Value Entry","43 Cost Amount (Actual)","41 Source Type",$C$5,"5 Source no.",$C2246,"4 Item Ledger Entry Type",$C$4,"2 Item No.","@@"&amp;$F2246,"3 Posting Date",Z$9)</t>
  </si>
  <si>
    <t>=Z2246-AB2246</t>
  </si>
  <si>
    <t>=IF(Z2246&lt;&gt;0,AC2246/Z2246,"")</t>
  </si>
  <si>
    <t>=C2264&amp;" TOTAL:"</t>
  </si>
  <si>
    <t>=SUBTOTAL(9,J2230:J2263)</t>
  </si>
  <si>
    <t>=SUBTOTAL(9,K2230:K2263)</t>
  </si>
  <si>
    <t>=SUBTOTAL(9,L2230:L2263)</t>
  </si>
  <si>
    <t>=SUBTOTAL(9,O2230:O2263)</t>
  </si>
  <si>
    <t>=SUBTOTAL(9,P2230:P2263)</t>
  </si>
  <si>
    <t>=SUBTOTAL(9,Q2230:Q2263)</t>
  </si>
  <si>
    <t>=SUBTOTAL(9,U2230:U2263)</t>
  </si>
  <si>
    <t>=SUBTOTAL(9,V2230:V2263)</t>
  </si>
  <si>
    <t>=SUBTOTAL(9,W2230:W2263)</t>
  </si>
  <si>
    <t>=SUBTOTAL(9,Z2230:Z2263)</t>
  </si>
  <si>
    <t>=SUBTOTAL(9,AA2230:AA2263)</t>
  </si>
  <si>
    <t>=SUBTOTAL(9,AB2230:AB2263)</t>
  </si>
  <si>
    <t>=E2266</t>
  </si>
  <si>
    <t>=NL(,"18 Customer","2 Name","1 No.",$E2266)</t>
  </si>
  <si>
    <t>=NL("Rows","5802 Value Entry","2 Item No.","4 Item Ledger Entry Type",$C$4,"41 Source Type",$C$5,"5 Source No.",$C2268,"Item No.",$C$7,"3 Posting Date",$C$10)</t>
  </si>
  <si>
    <t>=C2286</t>
  </si>
  <si>
    <t>=NL("Sum","5802 Value Entry","150 Sales Amount (Expected)","41 Source Type",$C$5,"5 Source No.",$C2287,"4 Item Ledger Entry Type",$C$4,"2 Item No.","@@"&amp;$F2287,"3 Posting Date",J$9)+NL("Sum","5802 Value Entry","17 Sales Amount (Actual)","41 Source Type",$C$5,"5 Source no.",$C2287,"4 Item Ledger Entry Type",$C$4,"2 Item No.","@@"&amp;$F2287,"3 Posting Date",J$9)</t>
  </si>
  <si>
    <t>=-NL("Sum","5802 Value Entry","151 Cost Amount (Expected)","41 Source Type",$C$5,"5 Source No.",$C2287,"4 Item Ledger Entry Type",$C$4,"2 Item No.","@@"&amp;$F2287,"3 Posting Date",J$9)-NL("Sum","5802 Value Entry","43 Cost Amount (Actual)","41 Source Type",$C$5,"5 Source no.",$C2287,"4 Item Ledger Entry Type",$C$4,"2 Item No.","@@"&amp;$F2287,"3 Posting Date",J$9)</t>
  </si>
  <si>
    <t>=J2287-L2287</t>
  </si>
  <si>
    <t>=IF(J2287&lt;&gt;0,M2287/J2287,"")</t>
  </si>
  <si>
    <t>=NL("Sum","5802 Value Entry","150 Sales Amount (Expected)","41 Source Type",$C$5,"5 Source No.",$C2287,"4 Item Ledger Entry Type",$C$4,"2 Item No.","@@"&amp;$F2287,"3 Posting Date",O$9)+NL("Sum","5802 Value Entry","17 Sales Amount (Actual)","41 Source Type",$C$5,"5 Source no.",$C2287,"4 Item Ledger Entry Type",$C$4,"2 Item No.","@@"&amp;$F2287,"3 Posting Date",O$9)</t>
  </si>
  <si>
    <t>=-NL("Sum","5802 Value Entry","151 Cost Amount (Expected)","41 Source Type",$C$5,"5 Source No.",$C2287,"4 Item Ledger Entry Type",$C$4,"2 Item No.","@@"&amp;$F2287,"3 Posting Date",O$9)-NL("Sum","5802 Value Entry","43 Cost Amount (Actual)","41 Source Type",$C$5,"5 Source no.",$C2287,"4 Item Ledger Entry Type",$C$4,"2 Item No.","@@"&amp;$F2287,"3 Posting Date",O$9)</t>
  </si>
  <si>
    <t>=O2287-Q2287</t>
  </si>
  <si>
    <t>=IF(O2287&lt;&gt;0,R2287/O2287,"")</t>
  </si>
  <si>
    <t>=NL("Sum","5802 Value Entry","150 Sales Amount (Expected)","41 Source Type",$C$5,"5 Source No.",$C2287,"4 Item Ledger Entry Type",$C$4,"2 Item No.","@@"&amp;$F2287,"3 Posting Date",U$9)+NL("Sum","5802 Value Entry","17 Sales Amount (Actual)","41 Source Type",$C$5,"5 Source no.",$C2287,"4 Item Ledger Entry Type",$C$4,"2 Item No.","@@"&amp;$F2287,"3 Posting Date",U$9)</t>
  </si>
  <si>
    <t>=-NL("Sum","5802 Value Entry","151 Cost Amount (Expected)","41 Source Type",$C$5,"5 Source No.",$C2287,"4 Item Ledger Entry Type",$C$4,"2 Item No.","@@"&amp;$F2287,"3 Posting Date",U$9)-NL("Sum","5802 Value Entry","43 Cost Amount (Actual)","41 Source Type",$C$5,"5 Source no.",$C2287,"4 Item Ledger Entry Type",$C$4,"2 Item No.","@@"&amp;$F2287,"3 Posting Date",U$9)</t>
  </si>
  <si>
    <t>=U2287-W2287</t>
  </si>
  <si>
    <t>=IF(U2287&lt;&gt;0,X2287/U2287,"")</t>
  </si>
  <si>
    <t>=NL("Sum","5802 Value Entry","150 Sales Amount (Expected)","41 Source Type",$C$5,"5 Source No.",$C2287,"4 Item Ledger Entry Type",$C$4,"2 Item No.","@@"&amp;$F2287,"3 Posting Date",Z$9)+NL("Sum","5802 Value Entry","17 Sales Amount (Actual)","41 Source Type",$C$5,"5 Source no.",$C2287,"4 Item Ledger Entry Type",$C$4,"2 Item No.","@@"&amp;$F2287,"3 Posting Date",Z$9)</t>
  </si>
  <si>
    <t>=-NL("Sum","5802 Value Entry","151 Cost Amount (Expected)","41 Source Type",$C$5,"5 Source No.",$C2287,"4 Item Ledger Entry Type",$C$4,"2 Item No.","@@"&amp;$F2287,"3 Posting Date",Z$9)-NL("Sum","5802 Value Entry","43 Cost Amount (Actual)","41 Source Type",$C$5,"5 Source no.",$C2287,"4 Item Ledger Entry Type",$C$4,"2 Item No.","@@"&amp;$F2287,"3 Posting Date",Z$9)</t>
  </si>
  <si>
    <t>=Z2287-AB2287</t>
  </si>
  <si>
    <t>=IF(Z2287&lt;&gt;0,AC2287/Z2287,"")</t>
  </si>
  <si>
    <t>=NL("Sum","5802 Value Entry","150 Sales Amount (Expected)","41 Source Type",$C$5,"5 Source No.",$C2288,"4 Item Ledger Entry Type",$C$4,"2 Item No.","@@"&amp;$F2288,"3 Posting Date",J$9)+NL("Sum","5802 Value Entry","17 Sales Amount (Actual)","41 Source Type",$C$5,"5 Source no.",$C2288,"4 Item Ledger Entry Type",$C$4,"2 Item No.","@@"&amp;$F2288,"3 Posting Date",J$9)</t>
  </si>
  <si>
    <t>=-NL("Sum","5802 Value Entry","151 Cost Amount (Expected)","41 Source Type",$C$5,"5 Source No.",$C2288,"4 Item Ledger Entry Type",$C$4,"2 Item No.","@@"&amp;$F2288,"3 Posting Date",J$9)-NL("Sum","5802 Value Entry","43 Cost Amount (Actual)","41 Source Type",$C$5,"5 Source no.",$C2288,"4 Item Ledger Entry Type",$C$4,"2 Item No.","@@"&amp;$F2288,"3 Posting Date",J$9)</t>
  </si>
  <si>
    <t>=NL("Sum","5802 Value Entry","150 Sales Amount (Expected)","41 Source Type",$C$5,"5 Source No.",$C2288,"4 Item Ledger Entry Type",$C$4,"2 Item No.","@@"&amp;$F2288,"3 Posting Date",O$9)+NL("Sum","5802 Value Entry","17 Sales Amount (Actual)","41 Source Type",$C$5,"5 Source no.",$C2288,"4 Item Ledger Entry Type",$C$4,"2 Item No.","@@"&amp;$F2288,"3 Posting Date",O$9)</t>
  </si>
  <si>
    <t>=-NL("Sum","5802 Value Entry","151 Cost Amount (Expected)","41 Source Type",$C$5,"5 Source No.",$C2288,"4 Item Ledger Entry Type",$C$4,"2 Item No.","@@"&amp;$F2288,"3 Posting Date",O$9)-NL("Sum","5802 Value Entry","43 Cost Amount (Actual)","41 Source Type",$C$5,"5 Source no.",$C2288,"4 Item Ledger Entry Type",$C$4,"2 Item No.","@@"&amp;$F2288,"3 Posting Date",O$9)</t>
  </si>
  <si>
    <t>=NL("Sum","5802 Value Entry","150 Sales Amount (Expected)","41 Source Type",$C$5,"5 Source No.",$C2288,"4 Item Ledger Entry Type",$C$4,"2 Item No.","@@"&amp;$F2288,"3 Posting Date",U$9)+NL("Sum","5802 Value Entry","17 Sales Amount (Actual)","41 Source Type",$C$5,"5 Source no.",$C2288,"4 Item Ledger Entry Type",$C$4,"2 Item No.","@@"&amp;$F2288,"3 Posting Date",U$9)</t>
  </si>
  <si>
    <t>=-NL("Sum","5802 Value Entry","151 Cost Amount (Expected)","41 Source Type",$C$5,"5 Source No.",$C2288,"4 Item Ledger Entry Type",$C$4,"2 Item No.","@@"&amp;$F2288,"3 Posting Date",U$9)-NL("Sum","5802 Value Entry","43 Cost Amount (Actual)","41 Source Type",$C$5,"5 Source no.",$C2288,"4 Item Ledger Entry Type",$C$4,"2 Item No.","@@"&amp;$F2288,"3 Posting Date",U$9)</t>
  </si>
  <si>
    <t>=NL("Sum","5802 Value Entry","150 Sales Amount (Expected)","41 Source Type",$C$5,"5 Source No.",$C2288,"4 Item Ledger Entry Type",$C$4,"2 Item No.","@@"&amp;$F2288,"3 Posting Date",Z$9)+NL("Sum","5802 Value Entry","17 Sales Amount (Actual)","41 Source Type",$C$5,"5 Source no.",$C2288,"4 Item Ledger Entry Type",$C$4,"2 Item No.","@@"&amp;$F2288,"3 Posting Date",Z$9)</t>
  </si>
  <si>
    <t>=-NL("Sum","5802 Value Entry","151 Cost Amount (Expected)","41 Source Type",$C$5,"5 Source No.",$C2288,"4 Item Ledger Entry Type",$C$4,"2 Item No.","@@"&amp;$F2288,"3 Posting Date",Z$9)-NL("Sum","5802 Value Entry","43 Cost Amount (Actual)","41 Source Type",$C$5,"5 Source no.",$C2288,"4 Item Ledger Entry Type",$C$4,"2 Item No.","@@"&amp;$F2288,"3 Posting Date",Z$9)</t>
  </si>
  <si>
    <t>=C2288</t>
  </si>
  <si>
    <t>=NL("Sum","5802 Value Entry","150 Sales Amount (Expected)","41 Source Type",$C$5,"5 Source No.",$C2289,"4 Item Ledger Entry Type",$C$4,"2 Item No.","@@"&amp;$F2289,"3 Posting Date",J$9)+NL("Sum","5802 Value Entry","17 Sales Amount (Actual)","41 Source Type",$C$5,"5 Source no.",$C2289,"4 Item Ledger Entry Type",$C$4,"2 Item No.","@@"&amp;$F2289,"3 Posting Date",J$9)</t>
  </si>
  <si>
    <t>=-NL("Sum","5802 Value Entry","151 Cost Amount (Expected)","41 Source Type",$C$5,"5 Source No.",$C2289,"4 Item Ledger Entry Type",$C$4,"2 Item No.","@@"&amp;$F2289,"3 Posting Date",J$9)-NL("Sum","5802 Value Entry","43 Cost Amount (Actual)","41 Source Type",$C$5,"5 Source no.",$C2289,"4 Item Ledger Entry Type",$C$4,"2 Item No.","@@"&amp;$F2289,"3 Posting Date",J$9)</t>
  </si>
  <si>
    <t>=J2289-L2289</t>
  </si>
  <si>
    <t>=IF(J2289&lt;&gt;0,M2289/J2289,"")</t>
  </si>
  <si>
    <t>=NL("Sum","5802 Value Entry","150 Sales Amount (Expected)","41 Source Type",$C$5,"5 Source No.",$C2289,"4 Item Ledger Entry Type",$C$4,"2 Item No.","@@"&amp;$F2289,"3 Posting Date",O$9)+NL("Sum","5802 Value Entry","17 Sales Amount (Actual)","41 Source Type",$C$5,"5 Source no.",$C2289,"4 Item Ledger Entry Type",$C$4,"2 Item No.","@@"&amp;$F2289,"3 Posting Date",O$9)</t>
  </si>
  <si>
    <t>=-NL("Sum","5802 Value Entry","151 Cost Amount (Expected)","41 Source Type",$C$5,"5 Source No.",$C2289,"4 Item Ledger Entry Type",$C$4,"2 Item No.","@@"&amp;$F2289,"3 Posting Date",O$9)-NL("Sum","5802 Value Entry","43 Cost Amount (Actual)","41 Source Type",$C$5,"5 Source no.",$C2289,"4 Item Ledger Entry Type",$C$4,"2 Item No.","@@"&amp;$F2289,"3 Posting Date",O$9)</t>
  </si>
  <si>
    <t>=O2289-Q2289</t>
  </si>
  <si>
    <t>=IF(O2289&lt;&gt;0,R2289/O2289,"")</t>
  </si>
  <si>
    <t>=NL("Sum","5802 Value Entry","150 Sales Amount (Expected)","41 Source Type",$C$5,"5 Source No.",$C2289,"4 Item Ledger Entry Type",$C$4,"2 Item No.","@@"&amp;$F2289,"3 Posting Date",U$9)+NL("Sum","5802 Value Entry","17 Sales Amount (Actual)","41 Source Type",$C$5,"5 Source no.",$C2289,"4 Item Ledger Entry Type",$C$4,"2 Item No.","@@"&amp;$F2289,"3 Posting Date",U$9)</t>
  </si>
  <si>
    <t>=-NL("Sum","5802 Value Entry","151 Cost Amount (Expected)","41 Source Type",$C$5,"5 Source No.",$C2289,"4 Item Ledger Entry Type",$C$4,"2 Item No.","@@"&amp;$F2289,"3 Posting Date",U$9)-NL("Sum","5802 Value Entry","43 Cost Amount (Actual)","41 Source Type",$C$5,"5 Source no.",$C2289,"4 Item Ledger Entry Type",$C$4,"2 Item No.","@@"&amp;$F2289,"3 Posting Date",U$9)</t>
  </si>
  <si>
    <t>=U2289-W2289</t>
  </si>
  <si>
    <t>=IF(U2289&lt;&gt;0,X2289/U2289,"")</t>
  </si>
  <si>
    <t>=NL("Sum","5802 Value Entry","150 Sales Amount (Expected)","41 Source Type",$C$5,"5 Source No.",$C2289,"4 Item Ledger Entry Type",$C$4,"2 Item No.","@@"&amp;$F2289,"3 Posting Date",Z$9)+NL("Sum","5802 Value Entry","17 Sales Amount (Actual)","41 Source Type",$C$5,"5 Source no.",$C2289,"4 Item Ledger Entry Type",$C$4,"2 Item No.","@@"&amp;$F2289,"3 Posting Date",Z$9)</t>
  </si>
  <si>
    <t>=-NL("Sum","5802 Value Entry","151 Cost Amount (Expected)","41 Source Type",$C$5,"5 Source No.",$C2289,"4 Item Ledger Entry Type",$C$4,"2 Item No.","@@"&amp;$F2289,"3 Posting Date",Z$9)-NL("Sum","5802 Value Entry","43 Cost Amount (Actual)","41 Source Type",$C$5,"5 Source no.",$C2289,"4 Item Ledger Entry Type",$C$4,"2 Item No.","@@"&amp;$F2289,"3 Posting Date",Z$9)</t>
  </si>
  <si>
    <t>=Z2289-AB2289</t>
  </si>
  <si>
    <t>=IF(Z2289&lt;&gt;0,AC2289/Z2289,"")</t>
  </si>
  <si>
    <t>=C2289</t>
  </si>
  <si>
    <t>=NL("Sum","5802 Value Entry","150 Sales Amount (Expected)","41 Source Type",$C$5,"5 Source No.",$C2290,"4 Item Ledger Entry Type",$C$4,"2 Item No.","@@"&amp;$F2290,"3 Posting Date",J$9)+NL("Sum","5802 Value Entry","17 Sales Amount (Actual)","41 Source Type",$C$5,"5 Source no.",$C2290,"4 Item Ledger Entry Type",$C$4,"2 Item No.","@@"&amp;$F2290,"3 Posting Date",J$9)</t>
  </si>
  <si>
    <t>=-NL("Sum","5802 Value Entry","151 Cost Amount (Expected)","41 Source Type",$C$5,"5 Source No.",$C2290,"4 Item Ledger Entry Type",$C$4,"2 Item No.","@@"&amp;$F2290,"3 Posting Date",J$9)-NL("Sum","5802 Value Entry","43 Cost Amount (Actual)","41 Source Type",$C$5,"5 Source no.",$C2290,"4 Item Ledger Entry Type",$C$4,"2 Item No.","@@"&amp;$F2290,"3 Posting Date",J$9)</t>
  </si>
  <si>
    <t>=J2290-L2290</t>
  </si>
  <si>
    <t>=IF(J2290&lt;&gt;0,M2290/J2290,"")</t>
  </si>
  <si>
    <t>=NL("Sum","5802 Value Entry","150 Sales Amount (Expected)","41 Source Type",$C$5,"5 Source No.",$C2290,"4 Item Ledger Entry Type",$C$4,"2 Item No.","@@"&amp;$F2290,"3 Posting Date",O$9)+NL("Sum","5802 Value Entry","17 Sales Amount (Actual)","41 Source Type",$C$5,"5 Source no.",$C2290,"4 Item Ledger Entry Type",$C$4,"2 Item No.","@@"&amp;$F2290,"3 Posting Date",O$9)</t>
  </si>
  <si>
    <t>=-NL("Sum","5802 Value Entry","151 Cost Amount (Expected)","41 Source Type",$C$5,"5 Source No.",$C2290,"4 Item Ledger Entry Type",$C$4,"2 Item No.","@@"&amp;$F2290,"3 Posting Date",O$9)-NL("Sum","5802 Value Entry","43 Cost Amount (Actual)","41 Source Type",$C$5,"5 Source no.",$C2290,"4 Item Ledger Entry Type",$C$4,"2 Item No.","@@"&amp;$F2290,"3 Posting Date",O$9)</t>
  </si>
  <si>
    <t>=O2290-Q2290</t>
  </si>
  <si>
    <t>=IF(O2290&lt;&gt;0,R2290/O2290,"")</t>
  </si>
  <si>
    <t>=NL("Sum","5802 Value Entry","150 Sales Amount (Expected)","41 Source Type",$C$5,"5 Source No.",$C2290,"4 Item Ledger Entry Type",$C$4,"2 Item No.","@@"&amp;$F2290,"3 Posting Date",U$9)+NL("Sum","5802 Value Entry","17 Sales Amount (Actual)","41 Source Type",$C$5,"5 Source no.",$C2290,"4 Item Ledger Entry Type",$C$4,"2 Item No.","@@"&amp;$F2290,"3 Posting Date",U$9)</t>
  </si>
  <si>
    <t>=-NL("Sum","5802 Value Entry","151 Cost Amount (Expected)","41 Source Type",$C$5,"5 Source No.",$C2290,"4 Item Ledger Entry Type",$C$4,"2 Item No.","@@"&amp;$F2290,"3 Posting Date",U$9)-NL("Sum","5802 Value Entry","43 Cost Amount (Actual)","41 Source Type",$C$5,"5 Source no.",$C2290,"4 Item Ledger Entry Type",$C$4,"2 Item No.","@@"&amp;$F2290,"3 Posting Date",U$9)</t>
  </si>
  <si>
    <t>=U2290-W2290</t>
  </si>
  <si>
    <t>=IF(U2290&lt;&gt;0,X2290/U2290,"")</t>
  </si>
  <si>
    <t>=NL("Sum","5802 Value Entry","150 Sales Amount (Expected)","41 Source Type",$C$5,"5 Source No.",$C2290,"4 Item Ledger Entry Type",$C$4,"2 Item No.","@@"&amp;$F2290,"3 Posting Date",Z$9)+NL("Sum","5802 Value Entry","17 Sales Amount (Actual)","41 Source Type",$C$5,"5 Source no.",$C2290,"4 Item Ledger Entry Type",$C$4,"2 Item No.","@@"&amp;$F2290,"3 Posting Date",Z$9)</t>
  </si>
  <si>
    <t>=-NL("Sum","5802 Value Entry","151 Cost Amount (Expected)","41 Source Type",$C$5,"5 Source No.",$C2290,"4 Item Ledger Entry Type",$C$4,"2 Item No.","@@"&amp;$F2290,"3 Posting Date",Z$9)-NL("Sum","5802 Value Entry","43 Cost Amount (Actual)","41 Source Type",$C$5,"5 Source no.",$C2290,"4 Item Ledger Entry Type",$C$4,"2 Item No.","@@"&amp;$F2290,"3 Posting Date",Z$9)</t>
  </si>
  <si>
    <t>=Z2290-AB2290</t>
  </si>
  <si>
    <t>=IF(Z2290&lt;&gt;0,AC2290/Z2290,"")</t>
  </si>
  <si>
    <t>=NL("Sum","5802 Value Entry","150 Sales Amount (Expected)","41 Source Type",$C$5,"5 Source No.",$C2291,"4 Item Ledger Entry Type",$C$4,"2 Item No.","@@"&amp;$F2291,"3 Posting Date",J$9)+NL("Sum","5802 Value Entry","17 Sales Amount (Actual)","41 Source Type",$C$5,"5 Source no.",$C2291,"4 Item Ledger Entry Type",$C$4,"2 Item No.","@@"&amp;$F2291,"3 Posting Date",J$9)</t>
  </si>
  <si>
    <t>=-NL("Sum","5802 Value Entry","151 Cost Amount (Expected)","41 Source Type",$C$5,"5 Source No.",$C2291,"4 Item Ledger Entry Type",$C$4,"2 Item No.","@@"&amp;$F2291,"3 Posting Date",J$9)-NL("Sum","5802 Value Entry","43 Cost Amount (Actual)","41 Source Type",$C$5,"5 Source no.",$C2291,"4 Item Ledger Entry Type",$C$4,"2 Item No.","@@"&amp;$F2291,"3 Posting Date",J$9)</t>
  </si>
  <si>
    <t>=J2291-L2291</t>
  </si>
  <si>
    <t>=IF(J2291&lt;&gt;0,M2291/J2291,"")</t>
  </si>
  <si>
    <t>=NL("Sum","5802 Value Entry","150 Sales Amount (Expected)","41 Source Type",$C$5,"5 Source No.",$C2291,"4 Item Ledger Entry Type",$C$4,"2 Item No.","@@"&amp;$F2291,"3 Posting Date",O$9)+NL("Sum","5802 Value Entry","17 Sales Amount (Actual)","41 Source Type",$C$5,"5 Source no.",$C2291,"4 Item Ledger Entry Type",$C$4,"2 Item No.","@@"&amp;$F2291,"3 Posting Date",O$9)</t>
  </si>
  <si>
    <t>=-NL("Sum","5802 Value Entry","151 Cost Amount (Expected)","41 Source Type",$C$5,"5 Source No.",$C2291,"4 Item Ledger Entry Type",$C$4,"2 Item No.","@@"&amp;$F2291,"3 Posting Date",O$9)-NL("Sum","5802 Value Entry","43 Cost Amount (Actual)","41 Source Type",$C$5,"5 Source no.",$C2291,"4 Item Ledger Entry Type",$C$4,"2 Item No.","@@"&amp;$F2291,"3 Posting Date",O$9)</t>
  </si>
  <si>
    <t>=O2291-Q2291</t>
  </si>
  <si>
    <t>=IF(O2291&lt;&gt;0,R2291/O2291,"")</t>
  </si>
  <si>
    <t>=NL("Sum","5802 Value Entry","150 Sales Amount (Expected)","41 Source Type",$C$5,"5 Source No.",$C2291,"4 Item Ledger Entry Type",$C$4,"2 Item No.","@@"&amp;$F2291,"3 Posting Date",U$9)+NL("Sum","5802 Value Entry","17 Sales Amount (Actual)","41 Source Type",$C$5,"5 Source no.",$C2291,"4 Item Ledger Entry Type",$C$4,"2 Item No.","@@"&amp;$F2291,"3 Posting Date",U$9)</t>
  </si>
  <si>
    <t>=-NL("Sum","5802 Value Entry","151 Cost Amount (Expected)","41 Source Type",$C$5,"5 Source No.",$C2291,"4 Item Ledger Entry Type",$C$4,"2 Item No.","@@"&amp;$F2291,"3 Posting Date",U$9)-NL("Sum","5802 Value Entry","43 Cost Amount (Actual)","41 Source Type",$C$5,"5 Source no.",$C2291,"4 Item Ledger Entry Type",$C$4,"2 Item No.","@@"&amp;$F2291,"3 Posting Date",U$9)</t>
  </si>
  <si>
    <t>=U2291-W2291</t>
  </si>
  <si>
    <t>=IF(U2291&lt;&gt;0,X2291/U2291,"")</t>
  </si>
  <si>
    <t>=NL("Sum","5802 Value Entry","150 Sales Amount (Expected)","41 Source Type",$C$5,"5 Source No.",$C2291,"4 Item Ledger Entry Type",$C$4,"2 Item No.","@@"&amp;$F2291,"3 Posting Date",Z$9)+NL("Sum","5802 Value Entry","17 Sales Amount (Actual)","41 Source Type",$C$5,"5 Source no.",$C2291,"4 Item Ledger Entry Type",$C$4,"2 Item No.","@@"&amp;$F2291,"3 Posting Date",Z$9)</t>
  </si>
  <si>
    <t>=-NL("Sum","5802 Value Entry","151 Cost Amount (Expected)","41 Source Type",$C$5,"5 Source No.",$C2291,"4 Item Ledger Entry Type",$C$4,"2 Item No.","@@"&amp;$F2291,"3 Posting Date",Z$9)-NL("Sum","5802 Value Entry","43 Cost Amount (Actual)","41 Source Type",$C$5,"5 Source no.",$C2291,"4 Item Ledger Entry Type",$C$4,"2 Item No.","@@"&amp;$F2291,"3 Posting Date",Z$9)</t>
  </si>
  <si>
    <t>=Z2291-AB2291</t>
  </si>
  <si>
    <t>=IF(Z2291&lt;&gt;0,AC2291/Z2291,"")</t>
  </si>
  <si>
    <t>=C2302</t>
  </si>
  <si>
    <t>=NL("Sum","5802 Value Entry","150 Sales Amount (Expected)","41 Source Type",$C$5,"5 Source No.",$C2303,"4 Item Ledger Entry Type",$C$4,"2 Item No.","@@"&amp;$F2303,"3 Posting Date",J$9)+NL("Sum","5802 Value Entry","17 Sales Amount (Actual)","41 Source Type",$C$5,"5 Source no.",$C2303,"4 Item Ledger Entry Type",$C$4,"2 Item No.","@@"&amp;$F2303,"3 Posting Date",J$9)</t>
  </si>
  <si>
    <t>=-NL("Sum","5802 Value Entry","151 Cost Amount (Expected)","41 Source Type",$C$5,"5 Source No.",$C2303,"4 Item Ledger Entry Type",$C$4,"2 Item No.","@@"&amp;$F2303,"3 Posting Date",J$9)-NL("Sum","5802 Value Entry","43 Cost Amount (Actual)","41 Source Type",$C$5,"5 Source no.",$C2303,"4 Item Ledger Entry Type",$C$4,"2 Item No.","@@"&amp;$F2303,"3 Posting Date",J$9)</t>
  </si>
  <si>
    <t>=J2303-L2303</t>
  </si>
  <si>
    <t>=IF(J2303&lt;&gt;0,M2303/J2303,"")</t>
  </si>
  <si>
    <t>=NL("Sum","5802 Value Entry","150 Sales Amount (Expected)","41 Source Type",$C$5,"5 Source No.",$C2303,"4 Item Ledger Entry Type",$C$4,"2 Item No.","@@"&amp;$F2303,"3 Posting Date",O$9)+NL("Sum","5802 Value Entry","17 Sales Amount (Actual)","41 Source Type",$C$5,"5 Source no.",$C2303,"4 Item Ledger Entry Type",$C$4,"2 Item No.","@@"&amp;$F2303,"3 Posting Date",O$9)</t>
  </si>
  <si>
    <t>=-NL("Sum","5802 Value Entry","151 Cost Amount (Expected)","41 Source Type",$C$5,"5 Source No.",$C2303,"4 Item Ledger Entry Type",$C$4,"2 Item No.","@@"&amp;$F2303,"3 Posting Date",O$9)-NL("Sum","5802 Value Entry","43 Cost Amount (Actual)","41 Source Type",$C$5,"5 Source no.",$C2303,"4 Item Ledger Entry Type",$C$4,"2 Item No.","@@"&amp;$F2303,"3 Posting Date",O$9)</t>
  </si>
  <si>
    <t>=O2303-Q2303</t>
  </si>
  <si>
    <t>=IF(O2303&lt;&gt;0,R2303/O2303,"")</t>
  </si>
  <si>
    <t>=NL("Sum","5802 Value Entry","150 Sales Amount (Expected)","41 Source Type",$C$5,"5 Source No.",$C2303,"4 Item Ledger Entry Type",$C$4,"2 Item No.","@@"&amp;$F2303,"3 Posting Date",U$9)+NL("Sum","5802 Value Entry","17 Sales Amount (Actual)","41 Source Type",$C$5,"5 Source no.",$C2303,"4 Item Ledger Entry Type",$C$4,"2 Item No.","@@"&amp;$F2303,"3 Posting Date",U$9)</t>
  </si>
  <si>
    <t>=-NL("Sum","5802 Value Entry","151 Cost Amount (Expected)","41 Source Type",$C$5,"5 Source No.",$C2303,"4 Item Ledger Entry Type",$C$4,"2 Item No.","@@"&amp;$F2303,"3 Posting Date",U$9)-NL("Sum","5802 Value Entry","43 Cost Amount (Actual)","41 Source Type",$C$5,"5 Source no.",$C2303,"4 Item Ledger Entry Type",$C$4,"2 Item No.","@@"&amp;$F2303,"3 Posting Date",U$9)</t>
  </si>
  <si>
    <t>=U2303-W2303</t>
  </si>
  <si>
    <t>=IF(U2303&lt;&gt;0,X2303/U2303,"")</t>
  </si>
  <si>
    <t>=NL("Sum","5802 Value Entry","150 Sales Amount (Expected)","41 Source Type",$C$5,"5 Source No.",$C2303,"4 Item Ledger Entry Type",$C$4,"2 Item No.","@@"&amp;$F2303,"3 Posting Date",Z$9)+NL("Sum","5802 Value Entry","17 Sales Amount (Actual)","41 Source Type",$C$5,"5 Source no.",$C2303,"4 Item Ledger Entry Type",$C$4,"2 Item No.","@@"&amp;$F2303,"3 Posting Date",Z$9)</t>
  </si>
  <si>
    <t>=-NL("Sum","5802 Value Entry","151 Cost Amount (Expected)","41 Source Type",$C$5,"5 Source No.",$C2303,"4 Item Ledger Entry Type",$C$4,"2 Item No.","@@"&amp;$F2303,"3 Posting Date",Z$9)-NL("Sum","5802 Value Entry","43 Cost Amount (Actual)","41 Source Type",$C$5,"5 Source no.",$C2303,"4 Item Ledger Entry Type",$C$4,"2 Item No.","@@"&amp;$F2303,"3 Posting Date",Z$9)</t>
  </si>
  <si>
    <t>=Z2303-AB2303</t>
  </si>
  <si>
    <t>=IF(Z2303&lt;&gt;0,AC2303/Z2303,"")</t>
  </si>
  <si>
    <t>=C2304</t>
  </si>
  <si>
    <t>=C2305&amp;" TOTAL:"</t>
  </si>
  <si>
    <t>=SUBTOTAL(9,J2267:J2304)</t>
  </si>
  <si>
    <t>=SUBTOTAL(9,K2267:K2304)</t>
  </si>
  <si>
    <t>=SUBTOTAL(9,L2267:L2304)</t>
  </si>
  <si>
    <t>=J2305-L2305</t>
  </si>
  <si>
    <t>=IF(J2305&lt;&gt;0,M2305/J2305,"")</t>
  </si>
  <si>
    <t>=SUBTOTAL(9,O2267:O2304)</t>
  </si>
  <si>
    <t>=SUBTOTAL(9,P2267:P2304)</t>
  </si>
  <si>
    <t>=SUBTOTAL(9,Q2267:Q2304)</t>
  </si>
  <si>
    <t>=O2305-Q2305</t>
  </si>
  <si>
    <t>=IF(O2305&lt;&gt;0,R2305/O2305,"")</t>
  </si>
  <si>
    <t>=SUBTOTAL(9,U2267:U2304)</t>
  </si>
  <si>
    <t>=SUBTOTAL(9,V2267:V2304)</t>
  </si>
  <si>
    <t>=SUBTOTAL(9,W2267:W2304)</t>
  </si>
  <si>
    <t>=U2305-W2305</t>
  </si>
  <si>
    <t>=IF(U2305&lt;&gt;0,X2305/U2305,"")</t>
  </si>
  <si>
    <t>=SUBTOTAL(9,Z2267:Z2304)</t>
  </si>
  <si>
    <t>=SUBTOTAL(9,AA2267:AA2304)</t>
  </si>
  <si>
    <t>=SUBTOTAL(9,AB2267:AB2304)</t>
  </si>
  <si>
    <t>=Z2305-AB2305</t>
  </si>
  <si>
    <t>=IF(Z2305&lt;&gt;0,AC2305/Z2305,"")</t>
  </si>
  <si>
    <t>=E2307</t>
  </si>
  <si>
    <t>=NL(,"18 Customer","2 Name","1 No.",$E2307)</t>
  </si>
  <si>
    <t>=NL("Rows","5802 Value Entry","2 Item No.","4 Item Ledger Entry Type",$C$4,"41 Source Type",$C$5,"5 Source No.",$C2309,"Item No.",$C$7,"3 Posting Date",$C$10)</t>
  </si>
  <si>
    <t>=C2340&amp;" TOTAL:"</t>
  </si>
  <si>
    <t>=SUBTOTAL(9,J2308:J2339)</t>
  </si>
  <si>
    <t>=SUBTOTAL(9,K2308:K2339)</t>
  </si>
  <si>
    <t>=SUBTOTAL(9,L2308:L2339)</t>
  </si>
  <si>
    <t>=SUBTOTAL(9,O2308:O2339)</t>
  </si>
  <si>
    <t>=SUBTOTAL(9,P2308:P2339)</t>
  </si>
  <si>
    <t>=SUBTOTAL(9,Q2308:Q2339)</t>
  </si>
  <si>
    <t>=SUBTOTAL(9,U2308:U2339)</t>
  </si>
  <si>
    <t>=SUBTOTAL(9,V2308:V2339)</t>
  </si>
  <si>
    <t>=SUBTOTAL(9,W2308:W2339)</t>
  </si>
  <si>
    <t>=SUBTOTAL(9,Z2308:Z2339)</t>
  </si>
  <si>
    <t>=SUBTOTAL(9,AA2308:AA2339)</t>
  </si>
  <si>
    <t>=SUBTOTAL(9,AB2308:AB2339)</t>
  </si>
  <si>
    <t>=E2342</t>
  </si>
  <si>
    <t>=NL(,"18 Customer","2 Name","1 No.",$E2342)</t>
  </si>
  <si>
    <t>=NL("Rows","5802 Value Entry","2 Item No.","4 Item Ledger Entry Type",$C$4,"41 Source Type",$C$5,"5 Source No.",$C2344,"Item No.",$C$7,"3 Posting Date",$C$10)</t>
  </si>
  <si>
    <t>=C2350&amp;" TOTAL:"</t>
  </si>
  <si>
    <t>=SUBTOTAL(9,J2343:J2349)</t>
  </si>
  <si>
    <t>=SUBTOTAL(9,K2343:K2349)</t>
  </si>
  <si>
    <t>=SUBTOTAL(9,L2343:L2349)</t>
  </si>
  <si>
    <t>=SUBTOTAL(9,O2343:O2349)</t>
  </si>
  <si>
    <t>=SUBTOTAL(9,P2343:P2349)</t>
  </si>
  <si>
    <t>=SUBTOTAL(9,Q2343:Q2349)</t>
  </si>
  <si>
    <t>=SUBTOTAL(9,U2343:U2349)</t>
  </si>
  <si>
    <t>=SUBTOTAL(9,V2343:V2349)</t>
  </si>
  <si>
    <t>=SUBTOTAL(9,W2343:W2349)</t>
  </si>
  <si>
    <t>=SUBTOTAL(9,Z2343:Z2349)</t>
  </si>
  <si>
    <t>=SUBTOTAL(9,AA2343:AA2349)</t>
  </si>
  <si>
    <t>=SUBTOTAL(9,AB2343:AB2349)</t>
  </si>
  <si>
    <t>=E2352</t>
  </si>
  <si>
    <t>=NL(,"18 Customer","2 Name","1 No.",$E2352)</t>
  </si>
  <si>
    <t>=NL("Rows","5802 Value Entry","2 Item No.","4 Item Ledger Entry Type",$C$4,"41 Source Type",$C$5,"5 Source No.",$C2354,"Item No.",$C$7,"3 Posting Date",$C$10)</t>
  </si>
  <si>
    <t>=C2372</t>
  </si>
  <si>
    <t>=NL("Sum","5802 Value Entry","150 Sales Amount (Expected)","41 Source Type",$C$5,"5 Source No.",$C2373,"4 Item Ledger Entry Type",$C$4,"2 Item No.","@@"&amp;$F2373,"3 Posting Date",J$9)+NL("Sum","5802 Value Entry","17 Sales Amount (Actual)","41 Source Type",$C$5,"5 Source no.",$C2373,"4 Item Ledger Entry Type",$C$4,"2 Item No.","@@"&amp;$F2373,"3 Posting Date",J$9)</t>
  </si>
  <si>
    <t>=-NL("Sum","5802 Value Entry","151 Cost Amount (Expected)","41 Source Type",$C$5,"5 Source No.",$C2373,"4 Item Ledger Entry Type",$C$4,"2 Item No.","@@"&amp;$F2373,"3 Posting Date",J$9)-NL("Sum","5802 Value Entry","43 Cost Amount (Actual)","41 Source Type",$C$5,"5 Source no.",$C2373,"4 Item Ledger Entry Type",$C$4,"2 Item No.","@@"&amp;$F2373,"3 Posting Date",J$9)</t>
  </si>
  <si>
    <t>=J2373-L2373</t>
  </si>
  <si>
    <t>=IF(J2373&lt;&gt;0,M2373/J2373,"")</t>
  </si>
  <si>
    <t>=NL("Sum","5802 Value Entry","150 Sales Amount (Expected)","41 Source Type",$C$5,"5 Source No.",$C2373,"4 Item Ledger Entry Type",$C$4,"2 Item No.","@@"&amp;$F2373,"3 Posting Date",O$9)+NL("Sum","5802 Value Entry","17 Sales Amount (Actual)","41 Source Type",$C$5,"5 Source no.",$C2373,"4 Item Ledger Entry Type",$C$4,"2 Item No.","@@"&amp;$F2373,"3 Posting Date",O$9)</t>
  </si>
  <si>
    <t>=-NL("Sum","5802 Value Entry","151 Cost Amount (Expected)","41 Source Type",$C$5,"5 Source No.",$C2373,"4 Item Ledger Entry Type",$C$4,"2 Item No.","@@"&amp;$F2373,"3 Posting Date",O$9)-NL("Sum","5802 Value Entry","43 Cost Amount (Actual)","41 Source Type",$C$5,"5 Source no.",$C2373,"4 Item Ledger Entry Type",$C$4,"2 Item No.","@@"&amp;$F2373,"3 Posting Date",O$9)</t>
  </si>
  <si>
    <t>=O2373-Q2373</t>
  </si>
  <si>
    <t>=IF(O2373&lt;&gt;0,R2373/O2373,"")</t>
  </si>
  <si>
    <t>=NL("Sum","5802 Value Entry","150 Sales Amount (Expected)","41 Source Type",$C$5,"5 Source No.",$C2373,"4 Item Ledger Entry Type",$C$4,"2 Item No.","@@"&amp;$F2373,"3 Posting Date",U$9)+NL("Sum","5802 Value Entry","17 Sales Amount (Actual)","41 Source Type",$C$5,"5 Source no.",$C2373,"4 Item Ledger Entry Type",$C$4,"2 Item No.","@@"&amp;$F2373,"3 Posting Date",U$9)</t>
  </si>
  <si>
    <t>=-NL("Sum","5802 Value Entry","151 Cost Amount (Expected)","41 Source Type",$C$5,"5 Source No.",$C2373,"4 Item Ledger Entry Type",$C$4,"2 Item No.","@@"&amp;$F2373,"3 Posting Date",U$9)-NL("Sum","5802 Value Entry","43 Cost Amount (Actual)","41 Source Type",$C$5,"5 Source no.",$C2373,"4 Item Ledger Entry Type",$C$4,"2 Item No.","@@"&amp;$F2373,"3 Posting Date",U$9)</t>
  </si>
  <si>
    <t>=U2373-W2373</t>
  </si>
  <si>
    <t>=IF(U2373&lt;&gt;0,X2373/U2373,"")</t>
  </si>
  <si>
    <t>=NL("Sum","5802 Value Entry","150 Sales Amount (Expected)","41 Source Type",$C$5,"5 Source No.",$C2373,"4 Item Ledger Entry Type",$C$4,"2 Item No.","@@"&amp;$F2373,"3 Posting Date",Z$9)+NL("Sum","5802 Value Entry","17 Sales Amount (Actual)","41 Source Type",$C$5,"5 Source no.",$C2373,"4 Item Ledger Entry Type",$C$4,"2 Item No.","@@"&amp;$F2373,"3 Posting Date",Z$9)</t>
  </si>
  <si>
    <t>=-NL("Sum","5802 Value Entry","151 Cost Amount (Expected)","41 Source Type",$C$5,"5 Source No.",$C2373,"4 Item Ledger Entry Type",$C$4,"2 Item No.","@@"&amp;$F2373,"3 Posting Date",Z$9)-NL("Sum","5802 Value Entry","43 Cost Amount (Actual)","41 Source Type",$C$5,"5 Source no.",$C2373,"4 Item Ledger Entry Type",$C$4,"2 Item No.","@@"&amp;$F2373,"3 Posting Date",Z$9)</t>
  </si>
  <si>
    <t>=Z2373-AB2373</t>
  </si>
  <si>
    <t>=IF(Z2373&lt;&gt;0,AC2373/Z2373,"")</t>
  </si>
  <si>
    <t>=NL("Sum","5802 Value Entry","150 Sales Amount (Expected)","41 Source Type",$C$5,"5 Source No.",$C2374,"4 Item Ledger Entry Type",$C$4,"2 Item No.","@@"&amp;$F2374,"3 Posting Date",J$9)+NL("Sum","5802 Value Entry","17 Sales Amount (Actual)","41 Source Type",$C$5,"5 Source no.",$C2374,"4 Item Ledger Entry Type",$C$4,"2 Item No.","@@"&amp;$F2374,"3 Posting Date",J$9)</t>
  </si>
  <si>
    <t>=-NL("Sum","5802 Value Entry","151 Cost Amount (Expected)","41 Source Type",$C$5,"5 Source No.",$C2374,"4 Item Ledger Entry Type",$C$4,"2 Item No.","@@"&amp;$F2374,"3 Posting Date",J$9)-NL("Sum","5802 Value Entry","43 Cost Amount (Actual)","41 Source Type",$C$5,"5 Source no.",$C2374,"4 Item Ledger Entry Type",$C$4,"2 Item No.","@@"&amp;$F2374,"3 Posting Date",J$9)</t>
  </si>
  <si>
    <t>=NL("Sum","5802 Value Entry","150 Sales Amount (Expected)","41 Source Type",$C$5,"5 Source No.",$C2374,"4 Item Ledger Entry Type",$C$4,"2 Item No.","@@"&amp;$F2374,"3 Posting Date",O$9)+NL("Sum","5802 Value Entry","17 Sales Amount (Actual)","41 Source Type",$C$5,"5 Source no.",$C2374,"4 Item Ledger Entry Type",$C$4,"2 Item No.","@@"&amp;$F2374,"3 Posting Date",O$9)</t>
  </si>
  <si>
    <t>=-NL("Sum","5802 Value Entry","151 Cost Amount (Expected)","41 Source Type",$C$5,"5 Source No.",$C2374,"4 Item Ledger Entry Type",$C$4,"2 Item No.","@@"&amp;$F2374,"3 Posting Date",O$9)-NL("Sum","5802 Value Entry","43 Cost Amount (Actual)","41 Source Type",$C$5,"5 Source no.",$C2374,"4 Item Ledger Entry Type",$C$4,"2 Item No.","@@"&amp;$F2374,"3 Posting Date",O$9)</t>
  </si>
  <si>
    <t>=NL("Sum","5802 Value Entry","150 Sales Amount (Expected)","41 Source Type",$C$5,"5 Source No.",$C2374,"4 Item Ledger Entry Type",$C$4,"2 Item No.","@@"&amp;$F2374,"3 Posting Date",U$9)+NL("Sum","5802 Value Entry","17 Sales Amount (Actual)","41 Source Type",$C$5,"5 Source no.",$C2374,"4 Item Ledger Entry Type",$C$4,"2 Item No.","@@"&amp;$F2374,"3 Posting Date",U$9)</t>
  </si>
  <si>
    <t>=-NL("Sum","5802 Value Entry","151 Cost Amount (Expected)","41 Source Type",$C$5,"5 Source No.",$C2374,"4 Item Ledger Entry Type",$C$4,"2 Item No.","@@"&amp;$F2374,"3 Posting Date",U$9)-NL("Sum","5802 Value Entry","43 Cost Amount (Actual)","41 Source Type",$C$5,"5 Source no.",$C2374,"4 Item Ledger Entry Type",$C$4,"2 Item No.","@@"&amp;$F2374,"3 Posting Date",U$9)</t>
  </si>
  <si>
    <t>=NL("Sum","5802 Value Entry","150 Sales Amount (Expected)","41 Source Type",$C$5,"5 Source No.",$C2374,"4 Item Ledger Entry Type",$C$4,"2 Item No.","@@"&amp;$F2374,"3 Posting Date",Z$9)+NL("Sum","5802 Value Entry","17 Sales Amount (Actual)","41 Source Type",$C$5,"5 Source no.",$C2374,"4 Item Ledger Entry Type",$C$4,"2 Item No.","@@"&amp;$F2374,"3 Posting Date",Z$9)</t>
  </si>
  <si>
    <t>=-NL("Sum","5802 Value Entry","151 Cost Amount (Expected)","41 Source Type",$C$5,"5 Source No.",$C2374,"4 Item Ledger Entry Type",$C$4,"2 Item No.","@@"&amp;$F2374,"3 Posting Date",Z$9)-NL("Sum","5802 Value Entry","43 Cost Amount (Actual)","41 Source Type",$C$5,"5 Source no.",$C2374,"4 Item Ledger Entry Type",$C$4,"2 Item No.","@@"&amp;$F2374,"3 Posting Date",Z$9)</t>
  </si>
  <si>
    <t>=C2374</t>
  </si>
  <si>
    <t>=NL("Sum","5802 Value Entry","150 Sales Amount (Expected)","41 Source Type",$C$5,"5 Source No.",$C2375,"4 Item Ledger Entry Type",$C$4,"2 Item No.","@@"&amp;$F2375,"3 Posting Date",J$9)+NL("Sum","5802 Value Entry","17 Sales Amount (Actual)","41 Source Type",$C$5,"5 Source no.",$C2375,"4 Item Ledger Entry Type",$C$4,"2 Item No.","@@"&amp;$F2375,"3 Posting Date",J$9)</t>
  </si>
  <si>
    <t>=-NL("Sum","5802 Value Entry","151 Cost Amount (Expected)","41 Source Type",$C$5,"5 Source No.",$C2375,"4 Item Ledger Entry Type",$C$4,"2 Item No.","@@"&amp;$F2375,"3 Posting Date",J$9)-NL("Sum","5802 Value Entry","43 Cost Amount (Actual)","41 Source Type",$C$5,"5 Source no.",$C2375,"4 Item Ledger Entry Type",$C$4,"2 Item No.","@@"&amp;$F2375,"3 Posting Date",J$9)</t>
  </si>
  <si>
    <t>=J2375-L2375</t>
  </si>
  <si>
    <t>=IF(J2375&lt;&gt;0,M2375/J2375,"")</t>
  </si>
  <si>
    <t>=NL("Sum","5802 Value Entry","150 Sales Amount (Expected)","41 Source Type",$C$5,"5 Source No.",$C2375,"4 Item Ledger Entry Type",$C$4,"2 Item No.","@@"&amp;$F2375,"3 Posting Date",O$9)+NL("Sum","5802 Value Entry","17 Sales Amount (Actual)","41 Source Type",$C$5,"5 Source no.",$C2375,"4 Item Ledger Entry Type",$C$4,"2 Item No.","@@"&amp;$F2375,"3 Posting Date",O$9)</t>
  </si>
  <si>
    <t>=-NL("Sum","5802 Value Entry","151 Cost Amount (Expected)","41 Source Type",$C$5,"5 Source No.",$C2375,"4 Item Ledger Entry Type",$C$4,"2 Item No.","@@"&amp;$F2375,"3 Posting Date",O$9)-NL("Sum","5802 Value Entry","43 Cost Amount (Actual)","41 Source Type",$C$5,"5 Source no.",$C2375,"4 Item Ledger Entry Type",$C$4,"2 Item No.","@@"&amp;$F2375,"3 Posting Date",O$9)</t>
  </si>
  <si>
    <t>=O2375-Q2375</t>
  </si>
  <si>
    <t>=IF(O2375&lt;&gt;0,R2375/O2375,"")</t>
  </si>
  <si>
    <t>=NL("Sum","5802 Value Entry","150 Sales Amount (Expected)","41 Source Type",$C$5,"5 Source No.",$C2375,"4 Item Ledger Entry Type",$C$4,"2 Item No.","@@"&amp;$F2375,"3 Posting Date",U$9)+NL("Sum","5802 Value Entry","17 Sales Amount (Actual)","41 Source Type",$C$5,"5 Source no.",$C2375,"4 Item Ledger Entry Type",$C$4,"2 Item No.","@@"&amp;$F2375,"3 Posting Date",U$9)</t>
  </si>
  <si>
    <t>=-NL("Sum","5802 Value Entry","151 Cost Amount (Expected)","41 Source Type",$C$5,"5 Source No.",$C2375,"4 Item Ledger Entry Type",$C$4,"2 Item No.","@@"&amp;$F2375,"3 Posting Date",U$9)-NL("Sum","5802 Value Entry","43 Cost Amount (Actual)","41 Source Type",$C$5,"5 Source no.",$C2375,"4 Item Ledger Entry Type",$C$4,"2 Item No.","@@"&amp;$F2375,"3 Posting Date",U$9)</t>
  </si>
  <si>
    <t>=U2375-W2375</t>
  </si>
  <si>
    <t>=IF(U2375&lt;&gt;0,X2375/U2375,"")</t>
  </si>
  <si>
    <t>=NL("Sum","5802 Value Entry","150 Sales Amount (Expected)","41 Source Type",$C$5,"5 Source No.",$C2375,"4 Item Ledger Entry Type",$C$4,"2 Item No.","@@"&amp;$F2375,"3 Posting Date",Z$9)+NL("Sum","5802 Value Entry","17 Sales Amount (Actual)","41 Source Type",$C$5,"5 Source no.",$C2375,"4 Item Ledger Entry Type",$C$4,"2 Item No.","@@"&amp;$F2375,"3 Posting Date",Z$9)</t>
  </si>
  <si>
    <t>=-NL("Sum","5802 Value Entry","151 Cost Amount (Expected)","41 Source Type",$C$5,"5 Source No.",$C2375,"4 Item Ledger Entry Type",$C$4,"2 Item No.","@@"&amp;$F2375,"3 Posting Date",Z$9)-NL("Sum","5802 Value Entry","43 Cost Amount (Actual)","41 Source Type",$C$5,"5 Source no.",$C2375,"4 Item Ledger Entry Type",$C$4,"2 Item No.","@@"&amp;$F2375,"3 Posting Date",Z$9)</t>
  </si>
  <si>
    <t>=Z2375-AB2375</t>
  </si>
  <si>
    <t>=IF(Z2375&lt;&gt;0,AC2375/Z2375,"")</t>
  </si>
  <si>
    <t>=C2377&amp;" TOTAL:"</t>
  </si>
  <si>
    <t>=SUBTOTAL(9,J2353:J2376)</t>
  </si>
  <si>
    <t>=SUBTOTAL(9,K2353:K2376)</t>
  </si>
  <si>
    <t>=SUBTOTAL(9,L2353:L2376)</t>
  </si>
  <si>
    <t>=J2377-L2377</t>
  </si>
  <si>
    <t>=IF(J2377&lt;&gt;0,M2377/J2377,"")</t>
  </si>
  <si>
    <t>=SUBTOTAL(9,O2353:O2376)</t>
  </si>
  <si>
    <t>=SUBTOTAL(9,P2353:P2376)</t>
  </si>
  <si>
    <t>=SUBTOTAL(9,Q2353:Q2376)</t>
  </si>
  <si>
    <t>=O2377-Q2377</t>
  </si>
  <si>
    <t>=IF(O2377&lt;&gt;0,R2377/O2377,"")</t>
  </si>
  <si>
    <t>=SUBTOTAL(9,U2353:U2376)</t>
  </si>
  <si>
    <t>=SUBTOTAL(9,V2353:V2376)</t>
  </si>
  <si>
    <t>=SUBTOTAL(9,W2353:W2376)</t>
  </si>
  <si>
    <t>=U2377-W2377</t>
  </si>
  <si>
    <t>=IF(U2377&lt;&gt;0,X2377/U2377,"")</t>
  </si>
  <si>
    <t>=SUBTOTAL(9,Z2353:Z2376)</t>
  </si>
  <si>
    <t>=SUBTOTAL(9,AA2353:AA2376)</t>
  </si>
  <si>
    <t>=SUBTOTAL(9,AB2353:AB2376)</t>
  </si>
  <si>
    <t>=Z2377-AB2377</t>
  </si>
  <si>
    <t>=IF(Z2377&lt;&gt;0,AC2377/Z2377,"")</t>
  </si>
  <si>
    <t>=E2379</t>
  </si>
  <si>
    <t>=NL(,"18 Customer","2 Name","1 No.",$E2379)</t>
  </si>
  <si>
    <t>=NL("Rows","5802 Value Entry","2 Item No.","4 Item Ledger Entry Type",$C$4,"41 Source Type",$C$5,"5 Source No.",$C2381,"Item No.",$C$7,"3 Posting Date",$C$10)</t>
  </si>
  <si>
    <t>=C2405&amp;" TOTAL:"</t>
  </si>
  <si>
    <t>=SUBTOTAL(9,J2380:J2404)</t>
  </si>
  <si>
    <t>=SUBTOTAL(9,K2380:K2404)</t>
  </si>
  <si>
    <t>=SUBTOTAL(9,L2380:L2404)</t>
  </si>
  <si>
    <t>=SUBTOTAL(9,O2380:O2404)</t>
  </si>
  <si>
    <t>=SUBTOTAL(9,P2380:P2404)</t>
  </si>
  <si>
    <t>=SUBTOTAL(9,Q2380:Q2404)</t>
  </si>
  <si>
    <t>=SUBTOTAL(9,U2380:U2404)</t>
  </si>
  <si>
    <t>=SUBTOTAL(9,V2380:V2404)</t>
  </si>
  <si>
    <t>=SUBTOTAL(9,W2380:W2404)</t>
  </si>
  <si>
    <t>=SUBTOTAL(9,Z2380:Z2404)</t>
  </si>
  <si>
    <t>=SUBTOTAL(9,AA2380:AA2404)</t>
  </si>
  <si>
    <t>=SUBTOTAL(9,AB2380:AB2404)</t>
  </si>
  <si>
    <t>=E2407</t>
  </si>
  <si>
    <t>=NL(,"18 Customer","2 Name","1 No.",$E2407)</t>
  </si>
  <si>
    <t>=NL("Rows","5802 Value Entry","2 Item No.","4 Item Ledger Entry Type",$C$4,"41 Source Type",$C$5,"5 Source No.",$C2409,"Item No.",$C$7,"3 Posting Date",$C$10)</t>
  </si>
  <si>
    <t>=C2427&amp;" TOTAL:"</t>
  </si>
  <si>
    <t>=SUBTOTAL(9,J2408:J2426)</t>
  </si>
  <si>
    <t>=SUBTOTAL(9,K2408:K2426)</t>
  </si>
  <si>
    <t>=SUBTOTAL(9,L2408:L2426)</t>
  </si>
  <si>
    <t>=SUBTOTAL(9,O2408:O2426)</t>
  </si>
  <si>
    <t>=SUBTOTAL(9,P2408:P2426)</t>
  </si>
  <si>
    <t>=SUBTOTAL(9,Q2408:Q2426)</t>
  </si>
  <si>
    <t>=SUBTOTAL(9,U2408:U2426)</t>
  </si>
  <si>
    <t>=SUBTOTAL(9,V2408:V2426)</t>
  </si>
  <si>
    <t>=SUBTOTAL(9,W2408:W2426)</t>
  </si>
  <si>
    <t>=SUBTOTAL(9,Z2408:Z2426)</t>
  </si>
  <si>
    <t>=SUBTOTAL(9,AA2408:AA2426)</t>
  </si>
  <si>
    <t>=SUBTOTAL(9,AB2408:AB2426)</t>
  </si>
  <si>
    <t>=E2429</t>
  </si>
  <si>
    <t>=NL(,"18 Customer","2 Name","1 No.",$E2429)</t>
  </si>
  <si>
    <t>=C2430</t>
  </si>
  <si>
    <t>=NL("Rows","5802 Value Entry","2 Item No.","4 Item Ledger Entry Type",$C$4,"41 Source Type",$C$5,"5 Source No.",$C2431,"Item No.",$C$7,"3 Posting Date",$C$10)</t>
  </si>
  <si>
    <t>=NL("Sum","5802 Value Entry","150 Sales Amount (Expected)","41 Source Type",$C$5,"5 Source No.",$C2431,"4 Item Ledger Entry Type",$C$4,"2 Item No.","@@"&amp;$F2431,"3 Posting Date",J$9)+NL("Sum","5802 Value Entry","17 Sales Amount (Actual)","41 Source Type",$C$5,"5 Source no.",$C2431,"4 Item Ledger Entry Type",$C$4,"2 Item No.","@@"&amp;$F2431,"3 Posting Date",J$9)</t>
  </si>
  <si>
    <t>=-NL("Sum","5802 Value Entry","151 Cost Amount (Expected)","41 Source Type",$C$5,"5 Source No.",$C2431,"4 Item Ledger Entry Type",$C$4,"2 Item No.","@@"&amp;$F2431,"3 Posting Date",J$9)-NL("Sum","5802 Value Entry","43 Cost Amount (Actual)","41 Source Type",$C$5,"5 Source no.",$C2431,"4 Item Ledger Entry Type",$C$4,"2 Item No.","@@"&amp;$F2431,"3 Posting Date",J$9)</t>
  </si>
  <si>
    <t>=J2431-L2431</t>
  </si>
  <si>
    <t>=IF(J2431&lt;&gt;0,M2431/J2431,"")</t>
  </si>
  <si>
    <t>=NL("Sum","5802 Value Entry","150 Sales Amount (Expected)","41 Source Type",$C$5,"5 Source No.",$C2431,"4 Item Ledger Entry Type",$C$4,"2 Item No.","@@"&amp;$F2431,"3 Posting Date",O$9)+NL("Sum","5802 Value Entry","17 Sales Amount (Actual)","41 Source Type",$C$5,"5 Source no.",$C2431,"4 Item Ledger Entry Type",$C$4,"2 Item No.","@@"&amp;$F2431,"3 Posting Date",O$9)</t>
  </si>
  <si>
    <t>=-NL("Sum","5802 Value Entry","151 Cost Amount (Expected)","41 Source Type",$C$5,"5 Source No.",$C2431,"4 Item Ledger Entry Type",$C$4,"2 Item No.","@@"&amp;$F2431,"3 Posting Date",O$9)-NL("Sum","5802 Value Entry","43 Cost Amount (Actual)","41 Source Type",$C$5,"5 Source no.",$C2431,"4 Item Ledger Entry Type",$C$4,"2 Item No.","@@"&amp;$F2431,"3 Posting Date",O$9)</t>
  </si>
  <si>
    <t>=O2431-Q2431</t>
  </si>
  <si>
    <t>=IF(O2431&lt;&gt;0,R2431/O2431,"")</t>
  </si>
  <si>
    <t>=NL("Sum","5802 Value Entry","150 Sales Amount (Expected)","41 Source Type",$C$5,"5 Source No.",$C2431,"4 Item Ledger Entry Type",$C$4,"2 Item No.","@@"&amp;$F2431,"3 Posting Date",U$9)+NL("Sum","5802 Value Entry","17 Sales Amount (Actual)","41 Source Type",$C$5,"5 Source no.",$C2431,"4 Item Ledger Entry Type",$C$4,"2 Item No.","@@"&amp;$F2431,"3 Posting Date",U$9)</t>
  </si>
  <si>
    <t>=-NL("Sum","5802 Value Entry","151 Cost Amount (Expected)","41 Source Type",$C$5,"5 Source No.",$C2431,"4 Item Ledger Entry Type",$C$4,"2 Item No.","@@"&amp;$F2431,"3 Posting Date",U$9)-NL("Sum","5802 Value Entry","43 Cost Amount (Actual)","41 Source Type",$C$5,"5 Source no.",$C2431,"4 Item Ledger Entry Type",$C$4,"2 Item No.","@@"&amp;$F2431,"3 Posting Date",U$9)</t>
  </si>
  <si>
    <t>=U2431-W2431</t>
  </si>
  <si>
    <t>=IF(U2431&lt;&gt;0,X2431/U2431,"")</t>
  </si>
  <si>
    <t>=NL("Sum","5802 Value Entry","150 Sales Amount (Expected)","41 Source Type",$C$5,"5 Source No.",$C2431,"4 Item Ledger Entry Type",$C$4,"2 Item No.","@@"&amp;$F2431,"3 Posting Date",Z$9)+NL("Sum","5802 Value Entry","17 Sales Amount (Actual)","41 Source Type",$C$5,"5 Source no.",$C2431,"4 Item Ledger Entry Type",$C$4,"2 Item No.","@@"&amp;$F2431,"3 Posting Date",Z$9)</t>
  </si>
  <si>
    <t>=-NL("Sum","5802 Value Entry","151 Cost Amount (Expected)","41 Source Type",$C$5,"5 Source No.",$C2431,"4 Item Ledger Entry Type",$C$4,"2 Item No.","@@"&amp;$F2431,"3 Posting Date",Z$9)-NL("Sum","5802 Value Entry","43 Cost Amount (Actual)","41 Source Type",$C$5,"5 Source no.",$C2431,"4 Item Ledger Entry Type",$C$4,"2 Item No.","@@"&amp;$F2431,"3 Posting Date",Z$9)</t>
  </si>
  <si>
    <t>=Z2431-AB2431</t>
  </si>
  <si>
    <t>=IF(Z2431&lt;&gt;0,AC2431/Z2431,"")</t>
  </si>
  <si>
    <t>=NL("Sum","5802 Value Entry","150 Sales Amount (Expected)","41 Source Type",$C$5,"5 Source No.",$C2432,"4 Item Ledger Entry Type",$C$4,"2 Item No.","@@"&amp;$F2432,"3 Posting Date",J$9)+NL("Sum","5802 Value Entry","17 Sales Amount (Actual)","41 Source Type",$C$5,"5 Source no.",$C2432,"4 Item Ledger Entry Type",$C$4,"2 Item No.","@@"&amp;$F2432,"3 Posting Date",J$9)</t>
  </si>
  <si>
    <t>=-NL("Sum","5802 Value Entry","151 Cost Amount (Expected)","41 Source Type",$C$5,"5 Source No.",$C2432,"4 Item Ledger Entry Type",$C$4,"2 Item No.","@@"&amp;$F2432,"3 Posting Date",J$9)-NL("Sum","5802 Value Entry","43 Cost Amount (Actual)","41 Source Type",$C$5,"5 Source no.",$C2432,"4 Item Ledger Entry Type",$C$4,"2 Item No.","@@"&amp;$F2432,"3 Posting Date",J$9)</t>
  </si>
  <si>
    <t>=NL("Sum","5802 Value Entry","150 Sales Amount (Expected)","41 Source Type",$C$5,"5 Source No.",$C2432,"4 Item Ledger Entry Type",$C$4,"2 Item No.","@@"&amp;$F2432,"3 Posting Date",O$9)+NL("Sum","5802 Value Entry","17 Sales Amount (Actual)","41 Source Type",$C$5,"5 Source no.",$C2432,"4 Item Ledger Entry Type",$C$4,"2 Item No.","@@"&amp;$F2432,"3 Posting Date",O$9)</t>
  </si>
  <si>
    <t>=-NL("Sum","5802 Value Entry","151 Cost Amount (Expected)","41 Source Type",$C$5,"5 Source No.",$C2432,"4 Item Ledger Entry Type",$C$4,"2 Item No.","@@"&amp;$F2432,"3 Posting Date",O$9)-NL("Sum","5802 Value Entry","43 Cost Amount (Actual)","41 Source Type",$C$5,"5 Source no.",$C2432,"4 Item Ledger Entry Type",$C$4,"2 Item No.","@@"&amp;$F2432,"3 Posting Date",O$9)</t>
  </si>
  <si>
    <t>=NL("Sum","5802 Value Entry","150 Sales Amount (Expected)","41 Source Type",$C$5,"5 Source No.",$C2432,"4 Item Ledger Entry Type",$C$4,"2 Item No.","@@"&amp;$F2432,"3 Posting Date",U$9)+NL("Sum","5802 Value Entry","17 Sales Amount (Actual)","41 Source Type",$C$5,"5 Source no.",$C2432,"4 Item Ledger Entry Type",$C$4,"2 Item No.","@@"&amp;$F2432,"3 Posting Date",U$9)</t>
  </si>
  <si>
    <t>=-NL("Sum","5802 Value Entry","151 Cost Amount (Expected)","41 Source Type",$C$5,"5 Source No.",$C2432,"4 Item Ledger Entry Type",$C$4,"2 Item No.","@@"&amp;$F2432,"3 Posting Date",U$9)-NL("Sum","5802 Value Entry","43 Cost Amount (Actual)","41 Source Type",$C$5,"5 Source no.",$C2432,"4 Item Ledger Entry Type",$C$4,"2 Item No.","@@"&amp;$F2432,"3 Posting Date",U$9)</t>
  </si>
  <si>
    <t>=NL("Sum","5802 Value Entry","150 Sales Amount (Expected)","41 Source Type",$C$5,"5 Source No.",$C2432,"4 Item Ledger Entry Type",$C$4,"2 Item No.","@@"&amp;$F2432,"3 Posting Date",Z$9)+NL("Sum","5802 Value Entry","17 Sales Amount (Actual)","41 Source Type",$C$5,"5 Source no.",$C2432,"4 Item Ledger Entry Type",$C$4,"2 Item No.","@@"&amp;$F2432,"3 Posting Date",Z$9)</t>
  </si>
  <si>
    <t>=-NL("Sum","5802 Value Entry","151 Cost Amount (Expected)","41 Source Type",$C$5,"5 Source No.",$C2432,"4 Item Ledger Entry Type",$C$4,"2 Item No.","@@"&amp;$F2432,"3 Posting Date",Z$9)-NL("Sum","5802 Value Entry","43 Cost Amount (Actual)","41 Source Type",$C$5,"5 Source no.",$C2432,"4 Item Ledger Entry Type",$C$4,"2 Item No.","@@"&amp;$F2432,"3 Posting Date",Z$9)</t>
  </si>
  <si>
    <t>=C2432</t>
  </si>
  <si>
    <t>=NL("Sum","5802 Value Entry","150 Sales Amount (Expected)","41 Source Type",$C$5,"5 Source No.",$C2433,"4 Item Ledger Entry Type",$C$4,"2 Item No.","@@"&amp;$F2433,"3 Posting Date",J$9)+NL("Sum","5802 Value Entry","17 Sales Amount (Actual)","41 Source Type",$C$5,"5 Source no.",$C2433,"4 Item Ledger Entry Type",$C$4,"2 Item No.","@@"&amp;$F2433,"3 Posting Date",J$9)</t>
  </si>
  <si>
    <t>=-NL("Sum","5802 Value Entry","151 Cost Amount (Expected)","41 Source Type",$C$5,"5 Source No.",$C2433,"4 Item Ledger Entry Type",$C$4,"2 Item No.","@@"&amp;$F2433,"3 Posting Date",J$9)-NL("Sum","5802 Value Entry","43 Cost Amount (Actual)","41 Source Type",$C$5,"5 Source no.",$C2433,"4 Item Ledger Entry Type",$C$4,"2 Item No.","@@"&amp;$F2433,"3 Posting Date",J$9)</t>
  </si>
  <si>
    <t>=J2433-L2433</t>
  </si>
  <si>
    <t>=IF(J2433&lt;&gt;0,M2433/J2433,"")</t>
  </si>
  <si>
    <t>=NL("Sum","5802 Value Entry","150 Sales Amount (Expected)","41 Source Type",$C$5,"5 Source No.",$C2433,"4 Item Ledger Entry Type",$C$4,"2 Item No.","@@"&amp;$F2433,"3 Posting Date",O$9)+NL("Sum","5802 Value Entry","17 Sales Amount (Actual)","41 Source Type",$C$5,"5 Source no.",$C2433,"4 Item Ledger Entry Type",$C$4,"2 Item No.","@@"&amp;$F2433,"3 Posting Date",O$9)</t>
  </si>
  <si>
    <t>=-NL("Sum","5802 Value Entry","151 Cost Amount (Expected)","41 Source Type",$C$5,"5 Source No.",$C2433,"4 Item Ledger Entry Type",$C$4,"2 Item No.","@@"&amp;$F2433,"3 Posting Date",O$9)-NL("Sum","5802 Value Entry","43 Cost Amount (Actual)","41 Source Type",$C$5,"5 Source no.",$C2433,"4 Item Ledger Entry Type",$C$4,"2 Item No.","@@"&amp;$F2433,"3 Posting Date",O$9)</t>
  </si>
  <si>
    <t>=O2433-Q2433</t>
  </si>
  <si>
    <t>=IF(O2433&lt;&gt;0,R2433/O2433,"")</t>
  </si>
  <si>
    <t>=NL("Sum","5802 Value Entry","150 Sales Amount (Expected)","41 Source Type",$C$5,"5 Source No.",$C2433,"4 Item Ledger Entry Type",$C$4,"2 Item No.","@@"&amp;$F2433,"3 Posting Date",U$9)+NL("Sum","5802 Value Entry","17 Sales Amount (Actual)","41 Source Type",$C$5,"5 Source no.",$C2433,"4 Item Ledger Entry Type",$C$4,"2 Item No.","@@"&amp;$F2433,"3 Posting Date",U$9)</t>
  </si>
  <si>
    <t>=-NL("Sum","5802 Value Entry","151 Cost Amount (Expected)","41 Source Type",$C$5,"5 Source No.",$C2433,"4 Item Ledger Entry Type",$C$4,"2 Item No.","@@"&amp;$F2433,"3 Posting Date",U$9)-NL("Sum","5802 Value Entry","43 Cost Amount (Actual)","41 Source Type",$C$5,"5 Source no.",$C2433,"4 Item Ledger Entry Type",$C$4,"2 Item No.","@@"&amp;$F2433,"3 Posting Date",U$9)</t>
  </si>
  <si>
    <t>=U2433-W2433</t>
  </si>
  <si>
    <t>=IF(U2433&lt;&gt;0,X2433/U2433,"")</t>
  </si>
  <si>
    <t>=NL("Sum","5802 Value Entry","150 Sales Amount (Expected)","41 Source Type",$C$5,"5 Source No.",$C2433,"4 Item Ledger Entry Type",$C$4,"2 Item No.","@@"&amp;$F2433,"3 Posting Date",Z$9)+NL("Sum","5802 Value Entry","17 Sales Amount (Actual)","41 Source Type",$C$5,"5 Source no.",$C2433,"4 Item Ledger Entry Type",$C$4,"2 Item No.","@@"&amp;$F2433,"3 Posting Date",Z$9)</t>
  </si>
  <si>
    <t>=-NL("Sum","5802 Value Entry","151 Cost Amount (Expected)","41 Source Type",$C$5,"5 Source No.",$C2433,"4 Item Ledger Entry Type",$C$4,"2 Item No.","@@"&amp;$F2433,"3 Posting Date",Z$9)-NL("Sum","5802 Value Entry","43 Cost Amount (Actual)","41 Source Type",$C$5,"5 Source no.",$C2433,"4 Item Ledger Entry Type",$C$4,"2 Item No.","@@"&amp;$F2433,"3 Posting Date",Z$9)</t>
  </si>
  <si>
    <t>=Z2433-AB2433</t>
  </si>
  <si>
    <t>=IF(Z2433&lt;&gt;0,AC2433/Z2433,"")</t>
  </si>
  <si>
    <t>=C2433</t>
  </si>
  <si>
    <t>=NL("Sum","5802 Value Entry","150 Sales Amount (Expected)","41 Source Type",$C$5,"5 Source No.",$C2434,"4 Item Ledger Entry Type",$C$4,"2 Item No.","@@"&amp;$F2434,"3 Posting Date",J$9)+NL("Sum","5802 Value Entry","17 Sales Amount (Actual)","41 Source Type",$C$5,"5 Source no.",$C2434,"4 Item Ledger Entry Type",$C$4,"2 Item No.","@@"&amp;$F2434,"3 Posting Date",J$9)</t>
  </si>
  <si>
    <t>=-NL("Sum","5802 Value Entry","151 Cost Amount (Expected)","41 Source Type",$C$5,"5 Source No.",$C2434,"4 Item Ledger Entry Type",$C$4,"2 Item No.","@@"&amp;$F2434,"3 Posting Date",J$9)-NL("Sum","5802 Value Entry","43 Cost Amount (Actual)","41 Source Type",$C$5,"5 Source no.",$C2434,"4 Item Ledger Entry Type",$C$4,"2 Item No.","@@"&amp;$F2434,"3 Posting Date",J$9)</t>
  </si>
  <si>
    <t>=J2434-L2434</t>
  </si>
  <si>
    <t>=IF(J2434&lt;&gt;0,M2434/J2434,"")</t>
  </si>
  <si>
    <t>=NL("Sum","5802 Value Entry","150 Sales Amount (Expected)","41 Source Type",$C$5,"5 Source No.",$C2434,"4 Item Ledger Entry Type",$C$4,"2 Item No.","@@"&amp;$F2434,"3 Posting Date",O$9)+NL("Sum","5802 Value Entry","17 Sales Amount (Actual)","41 Source Type",$C$5,"5 Source no.",$C2434,"4 Item Ledger Entry Type",$C$4,"2 Item No.","@@"&amp;$F2434,"3 Posting Date",O$9)</t>
  </si>
  <si>
    <t>=-NL("Sum","5802 Value Entry","151 Cost Amount (Expected)","41 Source Type",$C$5,"5 Source No.",$C2434,"4 Item Ledger Entry Type",$C$4,"2 Item No.","@@"&amp;$F2434,"3 Posting Date",O$9)-NL("Sum","5802 Value Entry","43 Cost Amount (Actual)","41 Source Type",$C$5,"5 Source no.",$C2434,"4 Item Ledger Entry Type",$C$4,"2 Item No.","@@"&amp;$F2434,"3 Posting Date",O$9)</t>
  </si>
  <si>
    <t>=O2434-Q2434</t>
  </si>
  <si>
    <t>=IF(O2434&lt;&gt;0,R2434/O2434,"")</t>
  </si>
  <si>
    <t>=NL("Sum","5802 Value Entry","150 Sales Amount (Expected)","41 Source Type",$C$5,"5 Source No.",$C2434,"4 Item Ledger Entry Type",$C$4,"2 Item No.","@@"&amp;$F2434,"3 Posting Date",U$9)+NL("Sum","5802 Value Entry","17 Sales Amount (Actual)","41 Source Type",$C$5,"5 Source no.",$C2434,"4 Item Ledger Entry Type",$C$4,"2 Item No.","@@"&amp;$F2434,"3 Posting Date",U$9)</t>
  </si>
  <si>
    <t>=-NL("Sum","5802 Value Entry","151 Cost Amount (Expected)","41 Source Type",$C$5,"5 Source No.",$C2434,"4 Item Ledger Entry Type",$C$4,"2 Item No.","@@"&amp;$F2434,"3 Posting Date",U$9)-NL("Sum","5802 Value Entry","43 Cost Amount (Actual)","41 Source Type",$C$5,"5 Source no.",$C2434,"4 Item Ledger Entry Type",$C$4,"2 Item No.","@@"&amp;$F2434,"3 Posting Date",U$9)</t>
  </si>
  <si>
    <t>=U2434-W2434</t>
  </si>
  <si>
    <t>=IF(U2434&lt;&gt;0,X2434/U2434,"")</t>
  </si>
  <si>
    <t>=NL("Sum","5802 Value Entry","150 Sales Amount (Expected)","41 Source Type",$C$5,"5 Source No.",$C2434,"4 Item Ledger Entry Type",$C$4,"2 Item No.","@@"&amp;$F2434,"3 Posting Date",Z$9)+NL("Sum","5802 Value Entry","17 Sales Amount (Actual)","41 Source Type",$C$5,"5 Source no.",$C2434,"4 Item Ledger Entry Type",$C$4,"2 Item No.","@@"&amp;$F2434,"3 Posting Date",Z$9)</t>
  </si>
  <si>
    <t>=-NL("Sum","5802 Value Entry","151 Cost Amount (Expected)","41 Source Type",$C$5,"5 Source No.",$C2434,"4 Item Ledger Entry Type",$C$4,"2 Item No.","@@"&amp;$F2434,"3 Posting Date",Z$9)-NL("Sum","5802 Value Entry","43 Cost Amount (Actual)","41 Source Type",$C$5,"5 Source no.",$C2434,"4 Item Ledger Entry Type",$C$4,"2 Item No.","@@"&amp;$F2434,"3 Posting Date",Z$9)</t>
  </si>
  <si>
    <t>=Z2434-AB2434</t>
  </si>
  <si>
    <t>=IF(Z2434&lt;&gt;0,AC2434/Z2434,"")</t>
  </si>
  <si>
    <t>=NL("Sum","5802 Value Entry","150 Sales Amount (Expected)","41 Source Type",$C$5,"5 Source No.",$C2435,"4 Item Ledger Entry Type",$C$4,"2 Item No.","@@"&amp;$F2435,"3 Posting Date",J$9)+NL("Sum","5802 Value Entry","17 Sales Amount (Actual)","41 Source Type",$C$5,"5 Source no.",$C2435,"4 Item Ledger Entry Type",$C$4,"2 Item No.","@@"&amp;$F2435,"3 Posting Date",J$9)</t>
  </si>
  <si>
    <t>=-NL("Sum","5802 Value Entry","151 Cost Amount (Expected)","41 Source Type",$C$5,"5 Source No.",$C2435,"4 Item Ledger Entry Type",$C$4,"2 Item No.","@@"&amp;$F2435,"3 Posting Date",J$9)-NL("Sum","5802 Value Entry","43 Cost Amount (Actual)","41 Source Type",$C$5,"5 Source no.",$C2435,"4 Item Ledger Entry Type",$C$4,"2 Item No.","@@"&amp;$F2435,"3 Posting Date",J$9)</t>
  </si>
  <si>
    <t>=J2435-L2435</t>
  </si>
  <si>
    <t>=IF(J2435&lt;&gt;0,M2435/J2435,"")</t>
  </si>
  <si>
    <t>=NL("Sum","5802 Value Entry","150 Sales Amount (Expected)","41 Source Type",$C$5,"5 Source No.",$C2435,"4 Item Ledger Entry Type",$C$4,"2 Item No.","@@"&amp;$F2435,"3 Posting Date",O$9)+NL("Sum","5802 Value Entry","17 Sales Amount (Actual)","41 Source Type",$C$5,"5 Source no.",$C2435,"4 Item Ledger Entry Type",$C$4,"2 Item No.","@@"&amp;$F2435,"3 Posting Date",O$9)</t>
  </si>
  <si>
    <t>=-NL("Sum","5802 Value Entry","151 Cost Amount (Expected)","41 Source Type",$C$5,"5 Source No.",$C2435,"4 Item Ledger Entry Type",$C$4,"2 Item No.","@@"&amp;$F2435,"3 Posting Date",O$9)-NL("Sum","5802 Value Entry","43 Cost Amount (Actual)","41 Source Type",$C$5,"5 Source no.",$C2435,"4 Item Ledger Entry Type",$C$4,"2 Item No.","@@"&amp;$F2435,"3 Posting Date",O$9)</t>
  </si>
  <si>
    <t>=O2435-Q2435</t>
  </si>
  <si>
    <t>=IF(O2435&lt;&gt;0,R2435/O2435,"")</t>
  </si>
  <si>
    <t>=NL("Sum","5802 Value Entry","150 Sales Amount (Expected)","41 Source Type",$C$5,"5 Source No.",$C2435,"4 Item Ledger Entry Type",$C$4,"2 Item No.","@@"&amp;$F2435,"3 Posting Date",U$9)+NL("Sum","5802 Value Entry","17 Sales Amount (Actual)","41 Source Type",$C$5,"5 Source no.",$C2435,"4 Item Ledger Entry Type",$C$4,"2 Item No.","@@"&amp;$F2435,"3 Posting Date",U$9)</t>
  </si>
  <si>
    <t>=-NL("Sum","5802 Value Entry","151 Cost Amount (Expected)","41 Source Type",$C$5,"5 Source No.",$C2435,"4 Item Ledger Entry Type",$C$4,"2 Item No.","@@"&amp;$F2435,"3 Posting Date",U$9)-NL("Sum","5802 Value Entry","43 Cost Amount (Actual)","41 Source Type",$C$5,"5 Source no.",$C2435,"4 Item Ledger Entry Type",$C$4,"2 Item No.","@@"&amp;$F2435,"3 Posting Date",U$9)</t>
  </si>
  <si>
    <t>=U2435-W2435</t>
  </si>
  <si>
    <t>=IF(U2435&lt;&gt;0,X2435/U2435,"")</t>
  </si>
  <si>
    <t>=NL("Sum","5802 Value Entry","150 Sales Amount (Expected)","41 Source Type",$C$5,"5 Source No.",$C2435,"4 Item Ledger Entry Type",$C$4,"2 Item No.","@@"&amp;$F2435,"3 Posting Date",Z$9)+NL("Sum","5802 Value Entry","17 Sales Amount (Actual)","41 Source Type",$C$5,"5 Source no.",$C2435,"4 Item Ledger Entry Type",$C$4,"2 Item No.","@@"&amp;$F2435,"3 Posting Date",Z$9)</t>
  </si>
  <si>
    <t>=-NL("Sum","5802 Value Entry","151 Cost Amount (Expected)","41 Source Type",$C$5,"5 Source No.",$C2435,"4 Item Ledger Entry Type",$C$4,"2 Item No.","@@"&amp;$F2435,"3 Posting Date",Z$9)-NL("Sum","5802 Value Entry","43 Cost Amount (Actual)","41 Source Type",$C$5,"5 Source no.",$C2435,"4 Item Ledger Entry Type",$C$4,"2 Item No.","@@"&amp;$F2435,"3 Posting Date",Z$9)</t>
  </si>
  <si>
    <t>=Z2435-AB2435</t>
  </si>
  <si>
    <t>=IF(Z2435&lt;&gt;0,AC2435/Z2435,"")</t>
  </si>
  <si>
    <t>=C2450</t>
  </si>
  <si>
    <t>=NL("Sum","5802 Value Entry","150 Sales Amount (Expected)","41 Source Type",$C$5,"5 Source No.",$C2451,"4 Item Ledger Entry Type",$C$4,"2 Item No.","@@"&amp;$F2451,"3 Posting Date",J$9)+NL("Sum","5802 Value Entry","17 Sales Amount (Actual)","41 Source Type",$C$5,"5 Source no.",$C2451,"4 Item Ledger Entry Type",$C$4,"2 Item No.","@@"&amp;$F2451,"3 Posting Date",J$9)</t>
  </si>
  <si>
    <t>=-NL("Sum","5802 Value Entry","151 Cost Amount (Expected)","41 Source Type",$C$5,"5 Source No.",$C2451,"4 Item Ledger Entry Type",$C$4,"2 Item No.","@@"&amp;$F2451,"3 Posting Date",J$9)-NL("Sum","5802 Value Entry","43 Cost Amount (Actual)","41 Source Type",$C$5,"5 Source no.",$C2451,"4 Item Ledger Entry Type",$C$4,"2 Item No.","@@"&amp;$F2451,"3 Posting Date",J$9)</t>
  </si>
  <si>
    <t>=J2451-L2451</t>
  </si>
  <si>
    <t>=IF(J2451&lt;&gt;0,M2451/J2451,"")</t>
  </si>
  <si>
    <t>=NL("Sum","5802 Value Entry","150 Sales Amount (Expected)","41 Source Type",$C$5,"5 Source No.",$C2451,"4 Item Ledger Entry Type",$C$4,"2 Item No.","@@"&amp;$F2451,"3 Posting Date",O$9)+NL("Sum","5802 Value Entry","17 Sales Amount (Actual)","41 Source Type",$C$5,"5 Source no.",$C2451,"4 Item Ledger Entry Type",$C$4,"2 Item No.","@@"&amp;$F2451,"3 Posting Date",O$9)</t>
  </si>
  <si>
    <t>=-NL("Sum","5802 Value Entry","151 Cost Amount (Expected)","41 Source Type",$C$5,"5 Source No.",$C2451,"4 Item Ledger Entry Type",$C$4,"2 Item No.","@@"&amp;$F2451,"3 Posting Date",O$9)-NL("Sum","5802 Value Entry","43 Cost Amount (Actual)","41 Source Type",$C$5,"5 Source no.",$C2451,"4 Item Ledger Entry Type",$C$4,"2 Item No.","@@"&amp;$F2451,"3 Posting Date",O$9)</t>
  </si>
  <si>
    <t>=O2451-Q2451</t>
  </si>
  <si>
    <t>=IF(O2451&lt;&gt;0,R2451/O2451,"")</t>
  </si>
  <si>
    <t>=NL("Sum","5802 Value Entry","150 Sales Amount (Expected)","41 Source Type",$C$5,"5 Source No.",$C2451,"4 Item Ledger Entry Type",$C$4,"2 Item No.","@@"&amp;$F2451,"3 Posting Date",U$9)+NL("Sum","5802 Value Entry","17 Sales Amount (Actual)","41 Source Type",$C$5,"5 Source no.",$C2451,"4 Item Ledger Entry Type",$C$4,"2 Item No.","@@"&amp;$F2451,"3 Posting Date",U$9)</t>
  </si>
  <si>
    <t>=-NL("Sum","5802 Value Entry","151 Cost Amount (Expected)","41 Source Type",$C$5,"5 Source No.",$C2451,"4 Item Ledger Entry Type",$C$4,"2 Item No.","@@"&amp;$F2451,"3 Posting Date",U$9)-NL("Sum","5802 Value Entry","43 Cost Amount (Actual)","41 Source Type",$C$5,"5 Source no.",$C2451,"4 Item Ledger Entry Type",$C$4,"2 Item No.","@@"&amp;$F2451,"3 Posting Date",U$9)</t>
  </si>
  <si>
    <t>=U2451-W2451</t>
  </si>
  <si>
    <t>=IF(U2451&lt;&gt;0,X2451/U2451,"")</t>
  </si>
  <si>
    <t>=NL("Sum","5802 Value Entry","150 Sales Amount (Expected)","41 Source Type",$C$5,"5 Source No.",$C2451,"4 Item Ledger Entry Type",$C$4,"2 Item No.","@@"&amp;$F2451,"3 Posting Date",Z$9)+NL("Sum","5802 Value Entry","17 Sales Amount (Actual)","41 Source Type",$C$5,"5 Source no.",$C2451,"4 Item Ledger Entry Type",$C$4,"2 Item No.","@@"&amp;$F2451,"3 Posting Date",Z$9)</t>
  </si>
  <si>
    <t>=-NL("Sum","5802 Value Entry","151 Cost Amount (Expected)","41 Source Type",$C$5,"5 Source No.",$C2451,"4 Item Ledger Entry Type",$C$4,"2 Item No.","@@"&amp;$F2451,"3 Posting Date",Z$9)-NL("Sum","5802 Value Entry","43 Cost Amount (Actual)","41 Source Type",$C$5,"5 Source no.",$C2451,"4 Item Ledger Entry Type",$C$4,"2 Item No.","@@"&amp;$F2451,"3 Posting Date",Z$9)</t>
  </si>
  <si>
    <t>=Z2451-AB2451</t>
  </si>
  <si>
    <t>=IF(Z2451&lt;&gt;0,AC2451/Z2451,"")</t>
  </si>
  <si>
    <t>=NL("Sum","5802 Value Entry","150 Sales Amount (Expected)","41 Source Type",$C$5,"5 Source No.",$C2452,"4 Item Ledger Entry Type",$C$4,"2 Item No.","@@"&amp;$F2452,"3 Posting Date",J$9)+NL("Sum","5802 Value Entry","17 Sales Amount (Actual)","41 Source Type",$C$5,"5 Source no.",$C2452,"4 Item Ledger Entry Type",$C$4,"2 Item No.","@@"&amp;$F2452,"3 Posting Date",J$9)</t>
  </si>
  <si>
    <t>=-NL("Sum","5802 Value Entry","151 Cost Amount (Expected)","41 Source Type",$C$5,"5 Source No.",$C2452,"4 Item Ledger Entry Type",$C$4,"2 Item No.","@@"&amp;$F2452,"3 Posting Date",J$9)-NL("Sum","5802 Value Entry","43 Cost Amount (Actual)","41 Source Type",$C$5,"5 Source no.",$C2452,"4 Item Ledger Entry Type",$C$4,"2 Item No.","@@"&amp;$F2452,"3 Posting Date",J$9)</t>
  </si>
  <si>
    <t>=NL("Sum","5802 Value Entry","150 Sales Amount (Expected)","41 Source Type",$C$5,"5 Source No.",$C2452,"4 Item Ledger Entry Type",$C$4,"2 Item No.","@@"&amp;$F2452,"3 Posting Date",O$9)+NL("Sum","5802 Value Entry","17 Sales Amount (Actual)","41 Source Type",$C$5,"5 Source no.",$C2452,"4 Item Ledger Entry Type",$C$4,"2 Item No.","@@"&amp;$F2452,"3 Posting Date",O$9)</t>
  </si>
  <si>
    <t>=-NL("Sum","5802 Value Entry","151 Cost Amount (Expected)","41 Source Type",$C$5,"5 Source No.",$C2452,"4 Item Ledger Entry Type",$C$4,"2 Item No.","@@"&amp;$F2452,"3 Posting Date",O$9)-NL("Sum","5802 Value Entry","43 Cost Amount (Actual)","41 Source Type",$C$5,"5 Source no.",$C2452,"4 Item Ledger Entry Type",$C$4,"2 Item No.","@@"&amp;$F2452,"3 Posting Date",O$9)</t>
  </si>
  <si>
    <t>=NL("Sum","5802 Value Entry","150 Sales Amount (Expected)","41 Source Type",$C$5,"5 Source No.",$C2452,"4 Item Ledger Entry Type",$C$4,"2 Item No.","@@"&amp;$F2452,"3 Posting Date",U$9)+NL("Sum","5802 Value Entry","17 Sales Amount (Actual)","41 Source Type",$C$5,"5 Source no.",$C2452,"4 Item Ledger Entry Type",$C$4,"2 Item No.","@@"&amp;$F2452,"3 Posting Date",U$9)</t>
  </si>
  <si>
    <t>=-NL("Sum","5802 Value Entry","151 Cost Amount (Expected)","41 Source Type",$C$5,"5 Source No.",$C2452,"4 Item Ledger Entry Type",$C$4,"2 Item No.","@@"&amp;$F2452,"3 Posting Date",U$9)-NL("Sum","5802 Value Entry","43 Cost Amount (Actual)","41 Source Type",$C$5,"5 Source no.",$C2452,"4 Item Ledger Entry Type",$C$4,"2 Item No.","@@"&amp;$F2452,"3 Posting Date",U$9)</t>
  </si>
  <si>
    <t>=NL("Sum","5802 Value Entry","150 Sales Amount (Expected)","41 Source Type",$C$5,"5 Source No.",$C2452,"4 Item Ledger Entry Type",$C$4,"2 Item No.","@@"&amp;$F2452,"3 Posting Date",Z$9)+NL("Sum","5802 Value Entry","17 Sales Amount (Actual)","41 Source Type",$C$5,"5 Source no.",$C2452,"4 Item Ledger Entry Type",$C$4,"2 Item No.","@@"&amp;$F2452,"3 Posting Date",Z$9)</t>
  </si>
  <si>
    <t>=-NL("Sum","5802 Value Entry","151 Cost Amount (Expected)","41 Source Type",$C$5,"5 Source No.",$C2452,"4 Item Ledger Entry Type",$C$4,"2 Item No.","@@"&amp;$F2452,"3 Posting Date",Z$9)-NL("Sum","5802 Value Entry","43 Cost Amount (Actual)","41 Source Type",$C$5,"5 Source no.",$C2452,"4 Item Ledger Entry Type",$C$4,"2 Item No.","@@"&amp;$F2452,"3 Posting Date",Z$9)</t>
  </si>
  <si>
    <t>=C2452</t>
  </si>
  <si>
    <t>=NL("Sum","5802 Value Entry","150 Sales Amount (Expected)","41 Source Type",$C$5,"5 Source No.",$C2453,"4 Item Ledger Entry Type",$C$4,"2 Item No.","@@"&amp;$F2453,"3 Posting Date",J$9)+NL("Sum","5802 Value Entry","17 Sales Amount (Actual)","41 Source Type",$C$5,"5 Source no.",$C2453,"4 Item Ledger Entry Type",$C$4,"2 Item No.","@@"&amp;$F2453,"3 Posting Date",J$9)</t>
  </si>
  <si>
    <t>=-NL("Sum","5802 Value Entry","151 Cost Amount (Expected)","41 Source Type",$C$5,"5 Source No.",$C2453,"4 Item Ledger Entry Type",$C$4,"2 Item No.","@@"&amp;$F2453,"3 Posting Date",J$9)-NL("Sum","5802 Value Entry","43 Cost Amount (Actual)","41 Source Type",$C$5,"5 Source no.",$C2453,"4 Item Ledger Entry Type",$C$4,"2 Item No.","@@"&amp;$F2453,"3 Posting Date",J$9)</t>
  </si>
  <si>
    <t>=J2453-L2453</t>
  </si>
  <si>
    <t>=IF(J2453&lt;&gt;0,M2453/J2453,"")</t>
  </si>
  <si>
    <t>=NL("Sum","5802 Value Entry","150 Sales Amount (Expected)","41 Source Type",$C$5,"5 Source No.",$C2453,"4 Item Ledger Entry Type",$C$4,"2 Item No.","@@"&amp;$F2453,"3 Posting Date",O$9)+NL("Sum","5802 Value Entry","17 Sales Amount (Actual)","41 Source Type",$C$5,"5 Source no.",$C2453,"4 Item Ledger Entry Type",$C$4,"2 Item No.","@@"&amp;$F2453,"3 Posting Date",O$9)</t>
  </si>
  <si>
    <t>=-NL("Sum","5802 Value Entry","151 Cost Amount (Expected)","41 Source Type",$C$5,"5 Source No.",$C2453,"4 Item Ledger Entry Type",$C$4,"2 Item No.","@@"&amp;$F2453,"3 Posting Date",O$9)-NL("Sum","5802 Value Entry","43 Cost Amount (Actual)","41 Source Type",$C$5,"5 Source no.",$C2453,"4 Item Ledger Entry Type",$C$4,"2 Item No.","@@"&amp;$F2453,"3 Posting Date",O$9)</t>
  </si>
  <si>
    <t>=O2453-Q2453</t>
  </si>
  <si>
    <t>=IF(O2453&lt;&gt;0,R2453/O2453,"")</t>
  </si>
  <si>
    <t>=NL("Sum","5802 Value Entry","150 Sales Amount (Expected)","41 Source Type",$C$5,"5 Source No.",$C2453,"4 Item Ledger Entry Type",$C$4,"2 Item No.","@@"&amp;$F2453,"3 Posting Date",U$9)+NL("Sum","5802 Value Entry","17 Sales Amount (Actual)","41 Source Type",$C$5,"5 Source no.",$C2453,"4 Item Ledger Entry Type",$C$4,"2 Item No.","@@"&amp;$F2453,"3 Posting Date",U$9)</t>
  </si>
  <si>
    <t>=-NL("Sum","5802 Value Entry","151 Cost Amount (Expected)","41 Source Type",$C$5,"5 Source No.",$C2453,"4 Item Ledger Entry Type",$C$4,"2 Item No.","@@"&amp;$F2453,"3 Posting Date",U$9)-NL("Sum","5802 Value Entry","43 Cost Amount (Actual)","41 Source Type",$C$5,"5 Source no.",$C2453,"4 Item Ledger Entry Type",$C$4,"2 Item No.","@@"&amp;$F2453,"3 Posting Date",U$9)</t>
  </si>
  <si>
    <t>=U2453-W2453</t>
  </si>
  <si>
    <t>=IF(U2453&lt;&gt;0,X2453/U2453,"")</t>
  </si>
  <si>
    <t>=NL("Sum","5802 Value Entry","150 Sales Amount (Expected)","41 Source Type",$C$5,"5 Source No.",$C2453,"4 Item Ledger Entry Type",$C$4,"2 Item No.","@@"&amp;$F2453,"3 Posting Date",Z$9)+NL("Sum","5802 Value Entry","17 Sales Amount (Actual)","41 Source Type",$C$5,"5 Source no.",$C2453,"4 Item Ledger Entry Type",$C$4,"2 Item No.","@@"&amp;$F2453,"3 Posting Date",Z$9)</t>
  </si>
  <si>
    <t>=-NL("Sum","5802 Value Entry","151 Cost Amount (Expected)","41 Source Type",$C$5,"5 Source No.",$C2453,"4 Item Ledger Entry Type",$C$4,"2 Item No.","@@"&amp;$F2453,"3 Posting Date",Z$9)-NL("Sum","5802 Value Entry","43 Cost Amount (Actual)","41 Source Type",$C$5,"5 Source no.",$C2453,"4 Item Ledger Entry Type",$C$4,"2 Item No.","@@"&amp;$F2453,"3 Posting Date",Z$9)</t>
  </si>
  <si>
    <t>=Z2453-AB2453</t>
  </si>
  <si>
    <t>=IF(Z2453&lt;&gt;0,AC2453/Z2453,"")</t>
  </si>
  <si>
    <t>=C2453</t>
  </si>
  <si>
    <t>=NL("Sum","5802 Value Entry","150 Sales Amount (Expected)","41 Source Type",$C$5,"5 Source No.",$C2454,"4 Item Ledger Entry Type",$C$4,"2 Item No.","@@"&amp;$F2454,"3 Posting Date",J$9)+NL("Sum","5802 Value Entry","17 Sales Amount (Actual)","41 Source Type",$C$5,"5 Source no.",$C2454,"4 Item Ledger Entry Type",$C$4,"2 Item No.","@@"&amp;$F2454,"3 Posting Date",J$9)</t>
  </si>
  <si>
    <t>=-NL("Sum","5802 Value Entry","151 Cost Amount (Expected)","41 Source Type",$C$5,"5 Source No.",$C2454,"4 Item Ledger Entry Type",$C$4,"2 Item No.","@@"&amp;$F2454,"3 Posting Date",J$9)-NL("Sum","5802 Value Entry","43 Cost Amount (Actual)","41 Source Type",$C$5,"5 Source no.",$C2454,"4 Item Ledger Entry Type",$C$4,"2 Item No.","@@"&amp;$F2454,"3 Posting Date",J$9)</t>
  </si>
  <si>
    <t>=J2454-L2454</t>
  </si>
  <si>
    <t>=IF(J2454&lt;&gt;0,M2454/J2454,"")</t>
  </si>
  <si>
    <t>=NL("Sum","5802 Value Entry","150 Sales Amount (Expected)","41 Source Type",$C$5,"5 Source No.",$C2454,"4 Item Ledger Entry Type",$C$4,"2 Item No.","@@"&amp;$F2454,"3 Posting Date",O$9)+NL("Sum","5802 Value Entry","17 Sales Amount (Actual)","41 Source Type",$C$5,"5 Source no.",$C2454,"4 Item Ledger Entry Type",$C$4,"2 Item No.","@@"&amp;$F2454,"3 Posting Date",O$9)</t>
  </si>
  <si>
    <t>=-NL("Sum","5802 Value Entry","151 Cost Amount (Expected)","41 Source Type",$C$5,"5 Source No.",$C2454,"4 Item Ledger Entry Type",$C$4,"2 Item No.","@@"&amp;$F2454,"3 Posting Date",O$9)-NL("Sum","5802 Value Entry","43 Cost Amount (Actual)","41 Source Type",$C$5,"5 Source no.",$C2454,"4 Item Ledger Entry Type",$C$4,"2 Item No.","@@"&amp;$F2454,"3 Posting Date",O$9)</t>
  </si>
  <si>
    <t>=O2454-Q2454</t>
  </si>
  <si>
    <t>=IF(O2454&lt;&gt;0,R2454/O2454,"")</t>
  </si>
  <si>
    <t>=NL("Sum","5802 Value Entry","150 Sales Amount (Expected)","41 Source Type",$C$5,"5 Source No.",$C2454,"4 Item Ledger Entry Type",$C$4,"2 Item No.","@@"&amp;$F2454,"3 Posting Date",U$9)+NL("Sum","5802 Value Entry","17 Sales Amount (Actual)","41 Source Type",$C$5,"5 Source no.",$C2454,"4 Item Ledger Entry Type",$C$4,"2 Item No.","@@"&amp;$F2454,"3 Posting Date",U$9)</t>
  </si>
  <si>
    <t>=-NL("Sum","5802 Value Entry","151 Cost Amount (Expected)","41 Source Type",$C$5,"5 Source No.",$C2454,"4 Item Ledger Entry Type",$C$4,"2 Item No.","@@"&amp;$F2454,"3 Posting Date",U$9)-NL("Sum","5802 Value Entry","43 Cost Amount (Actual)","41 Source Type",$C$5,"5 Source no.",$C2454,"4 Item Ledger Entry Type",$C$4,"2 Item No.","@@"&amp;$F2454,"3 Posting Date",U$9)</t>
  </si>
  <si>
    <t>=U2454-W2454</t>
  </si>
  <si>
    <t>=IF(U2454&lt;&gt;0,X2454/U2454,"")</t>
  </si>
  <si>
    <t>=NL("Sum","5802 Value Entry","150 Sales Amount (Expected)","41 Source Type",$C$5,"5 Source No.",$C2454,"4 Item Ledger Entry Type",$C$4,"2 Item No.","@@"&amp;$F2454,"3 Posting Date",Z$9)+NL("Sum","5802 Value Entry","17 Sales Amount (Actual)","41 Source Type",$C$5,"5 Source no.",$C2454,"4 Item Ledger Entry Type",$C$4,"2 Item No.","@@"&amp;$F2454,"3 Posting Date",Z$9)</t>
  </si>
  <si>
    <t>=-NL("Sum","5802 Value Entry","151 Cost Amount (Expected)","41 Source Type",$C$5,"5 Source No.",$C2454,"4 Item Ledger Entry Type",$C$4,"2 Item No.","@@"&amp;$F2454,"3 Posting Date",Z$9)-NL("Sum","5802 Value Entry","43 Cost Amount (Actual)","41 Source Type",$C$5,"5 Source no.",$C2454,"4 Item Ledger Entry Type",$C$4,"2 Item No.","@@"&amp;$F2454,"3 Posting Date",Z$9)</t>
  </si>
  <si>
    <t>=Z2454-AB2454</t>
  </si>
  <si>
    <t>=IF(Z2454&lt;&gt;0,AC2454/Z2454,"")</t>
  </si>
  <si>
    <t>=NL("Sum","5802 Value Entry","150 Sales Amount (Expected)","41 Source Type",$C$5,"5 Source No.",$C2455,"4 Item Ledger Entry Type",$C$4,"2 Item No.","@@"&amp;$F2455,"3 Posting Date",J$9)+NL("Sum","5802 Value Entry","17 Sales Amount (Actual)","41 Source Type",$C$5,"5 Source no.",$C2455,"4 Item Ledger Entry Type",$C$4,"2 Item No.","@@"&amp;$F2455,"3 Posting Date",J$9)</t>
  </si>
  <si>
    <t>=-NL("Sum","5802 Value Entry","151 Cost Amount (Expected)","41 Source Type",$C$5,"5 Source No.",$C2455,"4 Item Ledger Entry Type",$C$4,"2 Item No.","@@"&amp;$F2455,"3 Posting Date",J$9)-NL("Sum","5802 Value Entry","43 Cost Amount (Actual)","41 Source Type",$C$5,"5 Source no.",$C2455,"4 Item Ledger Entry Type",$C$4,"2 Item No.","@@"&amp;$F2455,"3 Posting Date",J$9)</t>
  </si>
  <si>
    <t>=J2455-L2455</t>
  </si>
  <si>
    <t>=IF(J2455&lt;&gt;0,M2455/J2455,"")</t>
  </si>
  <si>
    <t>=NL("Sum","5802 Value Entry","150 Sales Amount (Expected)","41 Source Type",$C$5,"5 Source No.",$C2455,"4 Item Ledger Entry Type",$C$4,"2 Item No.","@@"&amp;$F2455,"3 Posting Date",O$9)+NL("Sum","5802 Value Entry","17 Sales Amount (Actual)","41 Source Type",$C$5,"5 Source no.",$C2455,"4 Item Ledger Entry Type",$C$4,"2 Item No.","@@"&amp;$F2455,"3 Posting Date",O$9)</t>
  </si>
  <si>
    <t>=-NL("Sum","5802 Value Entry","151 Cost Amount (Expected)","41 Source Type",$C$5,"5 Source No.",$C2455,"4 Item Ledger Entry Type",$C$4,"2 Item No.","@@"&amp;$F2455,"3 Posting Date",O$9)-NL("Sum","5802 Value Entry","43 Cost Amount (Actual)","41 Source Type",$C$5,"5 Source no.",$C2455,"4 Item Ledger Entry Type",$C$4,"2 Item No.","@@"&amp;$F2455,"3 Posting Date",O$9)</t>
  </si>
  <si>
    <t>=O2455-Q2455</t>
  </si>
  <si>
    <t>=IF(O2455&lt;&gt;0,R2455/O2455,"")</t>
  </si>
  <si>
    <t>=NL("Sum","5802 Value Entry","150 Sales Amount (Expected)","41 Source Type",$C$5,"5 Source No.",$C2455,"4 Item Ledger Entry Type",$C$4,"2 Item No.","@@"&amp;$F2455,"3 Posting Date",U$9)+NL("Sum","5802 Value Entry","17 Sales Amount (Actual)","41 Source Type",$C$5,"5 Source no.",$C2455,"4 Item Ledger Entry Type",$C$4,"2 Item No.","@@"&amp;$F2455,"3 Posting Date",U$9)</t>
  </si>
  <si>
    <t>=-NL("Sum","5802 Value Entry","151 Cost Amount (Expected)","41 Source Type",$C$5,"5 Source No.",$C2455,"4 Item Ledger Entry Type",$C$4,"2 Item No.","@@"&amp;$F2455,"3 Posting Date",U$9)-NL("Sum","5802 Value Entry","43 Cost Amount (Actual)","41 Source Type",$C$5,"5 Source no.",$C2455,"4 Item Ledger Entry Type",$C$4,"2 Item No.","@@"&amp;$F2455,"3 Posting Date",U$9)</t>
  </si>
  <si>
    <t>=U2455-W2455</t>
  </si>
  <si>
    <t>=IF(U2455&lt;&gt;0,X2455/U2455,"")</t>
  </si>
  <si>
    <t>=NL("Sum","5802 Value Entry","150 Sales Amount (Expected)","41 Source Type",$C$5,"5 Source No.",$C2455,"4 Item Ledger Entry Type",$C$4,"2 Item No.","@@"&amp;$F2455,"3 Posting Date",Z$9)+NL("Sum","5802 Value Entry","17 Sales Amount (Actual)","41 Source Type",$C$5,"5 Source no.",$C2455,"4 Item Ledger Entry Type",$C$4,"2 Item No.","@@"&amp;$F2455,"3 Posting Date",Z$9)</t>
  </si>
  <si>
    <t>=-NL("Sum","5802 Value Entry","151 Cost Amount (Expected)","41 Source Type",$C$5,"5 Source No.",$C2455,"4 Item Ledger Entry Type",$C$4,"2 Item No.","@@"&amp;$F2455,"3 Posting Date",Z$9)-NL("Sum","5802 Value Entry","43 Cost Amount (Actual)","41 Source Type",$C$5,"5 Source no.",$C2455,"4 Item Ledger Entry Type",$C$4,"2 Item No.","@@"&amp;$F2455,"3 Posting Date",Z$9)</t>
  </si>
  <si>
    <t>=Z2455-AB2455</t>
  </si>
  <si>
    <t>=IF(Z2455&lt;&gt;0,AC2455/Z2455,"")</t>
  </si>
  <si>
    <t>=C2464&amp;" TOTAL:"</t>
  </si>
  <si>
    <t>=SUBTOTAL(9,J2430:J2463)</t>
  </si>
  <si>
    <t>=SUBTOTAL(9,K2430:K2463)</t>
  </si>
  <si>
    <t>=SUBTOTAL(9,L2430:L2463)</t>
  </si>
  <si>
    <t>=SUBTOTAL(9,O2430:O2463)</t>
  </si>
  <si>
    <t>=SUBTOTAL(9,P2430:P2463)</t>
  </si>
  <si>
    <t>=SUBTOTAL(9,Q2430:Q2463)</t>
  </si>
  <si>
    <t>=SUBTOTAL(9,U2430:U2463)</t>
  </si>
  <si>
    <t>=SUBTOTAL(9,V2430:V2463)</t>
  </si>
  <si>
    <t>=SUBTOTAL(9,W2430:W2463)</t>
  </si>
  <si>
    <t>=SUBTOTAL(9,Z2430:Z2463)</t>
  </si>
  <si>
    <t>=SUBTOTAL(9,AA2430:AA2463)</t>
  </si>
  <si>
    <t>=SUBTOTAL(9,AB2430:AB2463)</t>
  </si>
  <si>
    <t>=E2466</t>
  </si>
  <si>
    <t>=NL(,"18 Customer","2 Name","1 No.",$E2466)</t>
  </si>
  <si>
    <t>=NL("Rows","5802 Value Entry","2 Item No.","4 Item Ledger Entry Type",$C$4,"41 Source Type",$C$5,"5 Source No.",$C2468,"Item No.",$C$7,"3 Posting Date",$C$10)</t>
  </si>
  <si>
    <t>=C2493&amp;" TOTAL:"</t>
  </si>
  <si>
    <t>=SUBTOTAL(9,J2467:J2492)</t>
  </si>
  <si>
    <t>=SUBTOTAL(9,K2467:K2492)</t>
  </si>
  <si>
    <t>=SUBTOTAL(9,L2467:L2492)</t>
  </si>
  <si>
    <t>=SUBTOTAL(9,O2467:O2492)</t>
  </si>
  <si>
    <t>=SUBTOTAL(9,P2467:P2492)</t>
  </si>
  <si>
    <t>=SUBTOTAL(9,Q2467:Q2492)</t>
  </si>
  <si>
    <t>=SUBTOTAL(9,U2467:U2492)</t>
  </si>
  <si>
    <t>=SUBTOTAL(9,V2467:V2492)</t>
  </si>
  <si>
    <t>=SUBTOTAL(9,W2467:W2492)</t>
  </si>
  <si>
    <t>=SUBTOTAL(9,Z2467:Z2492)</t>
  </si>
  <si>
    <t>=SUBTOTAL(9,AA2467:AA2492)</t>
  </si>
  <si>
    <t>=SUBTOTAL(9,AB2467:AB2492)</t>
  </si>
  <si>
    <t>=E2495</t>
  </si>
  <si>
    <t>=NL(,"18 Customer","2 Name","1 No.",$E2495)</t>
  </si>
  <si>
    <t>=NL("Rows","5802 Value Entry","2 Item No.","4 Item Ledger Entry Type",$C$4,"41 Source Type",$C$5,"5 Source No.",$C2497,"Item No.",$C$7,"3 Posting Date",$C$10)</t>
  </si>
  <si>
    <t>=C2501</t>
  </si>
  <si>
    <t>=NL("Sum","5802 Value Entry","150 Sales Amount (Expected)","41 Source Type",$C$5,"5 Source No.",$C2502,"4 Item Ledger Entry Type",$C$4,"2 Item No.","@@"&amp;$F2502,"3 Posting Date",J$9)+NL("Sum","5802 Value Entry","17 Sales Amount (Actual)","41 Source Type",$C$5,"5 Source no.",$C2502,"4 Item Ledger Entry Type",$C$4,"2 Item No.","@@"&amp;$F2502,"3 Posting Date",J$9)</t>
  </si>
  <si>
    <t>=-NL("Sum","5802 Value Entry","151 Cost Amount (Expected)","41 Source Type",$C$5,"5 Source No.",$C2502,"4 Item Ledger Entry Type",$C$4,"2 Item No.","@@"&amp;$F2502,"3 Posting Date",J$9)-NL("Sum","5802 Value Entry","43 Cost Amount (Actual)","41 Source Type",$C$5,"5 Source no.",$C2502,"4 Item Ledger Entry Type",$C$4,"2 Item No.","@@"&amp;$F2502,"3 Posting Date",J$9)</t>
  </si>
  <si>
    <t>=J2502-L2502</t>
  </si>
  <si>
    <t>=IF(J2502&lt;&gt;0,M2502/J2502,"")</t>
  </si>
  <si>
    <t>=NL("Sum","5802 Value Entry","150 Sales Amount (Expected)","41 Source Type",$C$5,"5 Source No.",$C2502,"4 Item Ledger Entry Type",$C$4,"2 Item No.","@@"&amp;$F2502,"3 Posting Date",O$9)+NL("Sum","5802 Value Entry","17 Sales Amount (Actual)","41 Source Type",$C$5,"5 Source no.",$C2502,"4 Item Ledger Entry Type",$C$4,"2 Item No.","@@"&amp;$F2502,"3 Posting Date",O$9)</t>
  </si>
  <si>
    <t>=-NL("Sum","5802 Value Entry","151 Cost Amount (Expected)","41 Source Type",$C$5,"5 Source No.",$C2502,"4 Item Ledger Entry Type",$C$4,"2 Item No.","@@"&amp;$F2502,"3 Posting Date",O$9)-NL("Sum","5802 Value Entry","43 Cost Amount (Actual)","41 Source Type",$C$5,"5 Source no.",$C2502,"4 Item Ledger Entry Type",$C$4,"2 Item No.","@@"&amp;$F2502,"3 Posting Date",O$9)</t>
  </si>
  <si>
    <t>=O2502-Q2502</t>
  </si>
  <si>
    <t>=IF(O2502&lt;&gt;0,R2502/O2502,"")</t>
  </si>
  <si>
    <t>=NL("Sum","5802 Value Entry","150 Sales Amount (Expected)","41 Source Type",$C$5,"5 Source No.",$C2502,"4 Item Ledger Entry Type",$C$4,"2 Item No.","@@"&amp;$F2502,"3 Posting Date",U$9)+NL("Sum","5802 Value Entry","17 Sales Amount (Actual)","41 Source Type",$C$5,"5 Source no.",$C2502,"4 Item Ledger Entry Type",$C$4,"2 Item No.","@@"&amp;$F2502,"3 Posting Date",U$9)</t>
  </si>
  <si>
    <t>=-NL("Sum","5802 Value Entry","151 Cost Amount (Expected)","41 Source Type",$C$5,"5 Source No.",$C2502,"4 Item Ledger Entry Type",$C$4,"2 Item No.","@@"&amp;$F2502,"3 Posting Date",U$9)-NL("Sum","5802 Value Entry","43 Cost Amount (Actual)","41 Source Type",$C$5,"5 Source no.",$C2502,"4 Item Ledger Entry Type",$C$4,"2 Item No.","@@"&amp;$F2502,"3 Posting Date",U$9)</t>
  </si>
  <si>
    <t>=U2502-W2502</t>
  </si>
  <si>
    <t>=IF(U2502&lt;&gt;0,X2502/U2502,"")</t>
  </si>
  <si>
    <t>=NL("Sum","5802 Value Entry","150 Sales Amount (Expected)","41 Source Type",$C$5,"5 Source No.",$C2502,"4 Item Ledger Entry Type",$C$4,"2 Item No.","@@"&amp;$F2502,"3 Posting Date",Z$9)+NL("Sum","5802 Value Entry","17 Sales Amount (Actual)","41 Source Type",$C$5,"5 Source no.",$C2502,"4 Item Ledger Entry Type",$C$4,"2 Item No.","@@"&amp;$F2502,"3 Posting Date",Z$9)</t>
  </si>
  <si>
    <t>=-NL("Sum","5802 Value Entry","151 Cost Amount (Expected)","41 Source Type",$C$5,"5 Source No.",$C2502,"4 Item Ledger Entry Type",$C$4,"2 Item No.","@@"&amp;$F2502,"3 Posting Date",Z$9)-NL("Sum","5802 Value Entry","43 Cost Amount (Actual)","41 Source Type",$C$5,"5 Source no.",$C2502,"4 Item Ledger Entry Type",$C$4,"2 Item No.","@@"&amp;$F2502,"3 Posting Date",Z$9)</t>
  </si>
  <si>
    <t>=Z2502-AB2502</t>
  </si>
  <si>
    <t>=IF(Z2502&lt;&gt;0,AC2502/Z2502,"")</t>
  </si>
  <si>
    <t>=NL("Sum","5802 Value Entry","150 Sales Amount (Expected)","41 Source Type",$C$5,"5 Source No.",$C2503,"4 Item Ledger Entry Type",$C$4,"2 Item No.","@@"&amp;$F2503,"3 Posting Date",J$9)+NL("Sum","5802 Value Entry","17 Sales Amount (Actual)","41 Source Type",$C$5,"5 Source no.",$C2503,"4 Item Ledger Entry Type",$C$4,"2 Item No.","@@"&amp;$F2503,"3 Posting Date",J$9)</t>
  </si>
  <si>
    <t>=-NL("Sum","5802 Value Entry","151 Cost Amount (Expected)","41 Source Type",$C$5,"5 Source No.",$C2503,"4 Item Ledger Entry Type",$C$4,"2 Item No.","@@"&amp;$F2503,"3 Posting Date",J$9)-NL("Sum","5802 Value Entry","43 Cost Amount (Actual)","41 Source Type",$C$5,"5 Source no.",$C2503,"4 Item Ledger Entry Type",$C$4,"2 Item No.","@@"&amp;$F2503,"3 Posting Date",J$9)</t>
  </si>
  <si>
    <t>=NL("Sum","5802 Value Entry","150 Sales Amount (Expected)","41 Source Type",$C$5,"5 Source No.",$C2503,"4 Item Ledger Entry Type",$C$4,"2 Item No.","@@"&amp;$F2503,"3 Posting Date",O$9)+NL("Sum","5802 Value Entry","17 Sales Amount (Actual)","41 Source Type",$C$5,"5 Source no.",$C2503,"4 Item Ledger Entry Type",$C$4,"2 Item No.","@@"&amp;$F2503,"3 Posting Date",O$9)</t>
  </si>
  <si>
    <t>=-NL("Sum","5802 Value Entry","151 Cost Amount (Expected)","41 Source Type",$C$5,"5 Source No.",$C2503,"4 Item Ledger Entry Type",$C$4,"2 Item No.","@@"&amp;$F2503,"3 Posting Date",O$9)-NL("Sum","5802 Value Entry","43 Cost Amount (Actual)","41 Source Type",$C$5,"5 Source no.",$C2503,"4 Item Ledger Entry Type",$C$4,"2 Item No.","@@"&amp;$F2503,"3 Posting Date",O$9)</t>
  </si>
  <si>
    <t>=NL("Sum","5802 Value Entry","150 Sales Amount (Expected)","41 Source Type",$C$5,"5 Source No.",$C2503,"4 Item Ledger Entry Type",$C$4,"2 Item No.","@@"&amp;$F2503,"3 Posting Date",U$9)+NL("Sum","5802 Value Entry","17 Sales Amount (Actual)","41 Source Type",$C$5,"5 Source no.",$C2503,"4 Item Ledger Entry Type",$C$4,"2 Item No.","@@"&amp;$F2503,"3 Posting Date",U$9)</t>
  </si>
  <si>
    <t>=-NL("Sum","5802 Value Entry","151 Cost Amount (Expected)","41 Source Type",$C$5,"5 Source No.",$C2503,"4 Item Ledger Entry Type",$C$4,"2 Item No.","@@"&amp;$F2503,"3 Posting Date",U$9)-NL("Sum","5802 Value Entry","43 Cost Amount (Actual)","41 Source Type",$C$5,"5 Source no.",$C2503,"4 Item Ledger Entry Type",$C$4,"2 Item No.","@@"&amp;$F2503,"3 Posting Date",U$9)</t>
  </si>
  <si>
    <t>=NL("Sum","5802 Value Entry","150 Sales Amount (Expected)","41 Source Type",$C$5,"5 Source No.",$C2503,"4 Item Ledger Entry Type",$C$4,"2 Item No.","@@"&amp;$F2503,"3 Posting Date",Z$9)+NL("Sum","5802 Value Entry","17 Sales Amount (Actual)","41 Source Type",$C$5,"5 Source no.",$C2503,"4 Item Ledger Entry Type",$C$4,"2 Item No.","@@"&amp;$F2503,"3 Posting Date",Z$9)</t>
  </si>
  <si>
    <t>=-NL("Sum","5802 Value Entry","151 Cost Amount (Expected)","41 Source Type",$C$5,"5 Source No.",$C2503,"4 Item Ledger Entry Type",$C$4,"2 Item No.","@@"&amp;$F2503,"3 Posting Date",Z$9)-NL("Sum","5802 Value Entry","43 Cost Amount (Actual)","41 Source Type",$C$5,"5 Source no.",$C2503,"4 Item Ledger Entry Type",$C$4,"2 Item No.","@@"&amp;$F2503,"3 Posting Date",Z$9)</t>
  </si>
  <si>
    <t>=C2503</t>
  </si>
  <si>
    <t>=NL("Sum","5802 Value Entry","150 Sales Amount (Expected)","41 Source Type",$C$5,"5 Source No.",$C2504,"4 Item Ledger Entry Type",$C$4,"2 Item No.","@@"&amp;$F2504,"3 Posting Date",J$9)+NL("Sum","5802 Value Entry","17 Sales Amount (Actual)","41 Source Type",$C$5,"5 Source no.",$C2504,"4 Item Ledger Entry Type",$C$4,"2 Item No.","@@"&amp;$F2504,"3 Posting Date",J$9)</t>
  </si>
  <si>
    <t>=-NL("Sum","5802 Value Entry","151 Cost Amount (Expected)","41 Source Type",$C$5,"5 Source No.",$C2504,"4 Item Ledger Entry Type",$C$4,"2 Item No.","@@"&amp;$F2504,"3 Posting Date",J$9)-NL("Sum","5802 Value Entry","43 Cost Amount (Actual)","41 Source Type",$C$5,"5 Source no.",$C2504,"4 Item Ledger Entry Type",$C$4,"2 Item No.","@@"&amp;$F2504,"3 Posting Date",J$9)</t>
  </si>
  <si>
    <t>=J2504-L2504</t>
  </si>
  <si>
    <t>=IF(J2504&lt;&gt;0,M2504/J2504,"")</t>
  </si>
  <si>
    <t>=NL("Sum","5802 Value Entry","150 Sales Amount (Expected)","41 Source Type",$C$5,"5 Source No.",$C2504,"4 Item Ledger Entry Type",$C$4,"2 Item No.","@@"&amp;$F2504,"3 Posting Date",O$9)+NL("Sum","5802 Value Entry","17 Sales Amount (Actual)","41 Source Type",$C$5,"5 Source no.",$C2504,"4 Item Ledger Entry Type",$C$4,"2 Item No.","@@"&amp;$F2504,"3 Posting Date",O$9)</t>
  </si>
  <si>
    <t>=-NL("Sum","5802 Value Entry","151 Cost Amount (Expected)","41 Source Type",$C$5,"5 Source No.",$C2504,"4 Item Ledger Entry Type",$C$4,"2 Item No.","@@"&amp;$F2504,"3 Posting Date",O$9)-NL("Sum","5802 Value Entry","43 Cost Amount (Actual)","41 Source Type",$C$5,"5 Source no.",$C2504,"4 Item Ledger Entry Type",$C$4,"2 Item No.","@@"&amp;$F2504,"3 Posting Date",O$9)</t>
  </si>
  <si>
    <t>=O2504-Q2504</t>
  </si>
  <si>
    <t>=IF(O2504&lt;&gt;0,R2504/O2504,"")</t>
  </si>
  <si>
    <t>=NL("Sum","5802 Value Entry","150 Sales Amount (Expected)","41 Source Type",$C$5,"5 Source No.",$C2504,"4 Item Ledger Entry Type",$C$4,"2 Item No.","@@"&amp;$F2504,"3 Posting Date",U$9)+NL("Sum","5802 Value Entry","17 Sales Amount (Actual)","41 Source Type",$C$5,"5 Source no.",$C2504,"4 Item Ledger Entry Type",$C$4,"2 Item No.","@@"&amp;$F2504,"3 Posting Date",U$9)</t>
  </si>
  <si>
    <t>=-NL("Sum","5802 Value Entry","151 Cost Amount (Expected)","41 Source Type",$C$5,"5 Source No.",$C2504,"4 Item Ledger Entry Type",$C$4,"2 Item No.","@@"&amp;$F2504,"3 Posting Date",U$9)-NL("Sum","5802 Value Entry","43 Cost Amount (Actual)","41 Source Type",$C$5,"5 Source no.",$C2504,"4 Item Ledger Entry Type",$C$4,"2 Item No.","@@"&amp;$F2504,"3 Posting Date",U$9)</t>
  </si>
  <si>
    <t>=U2504-W2504</t>
  </si>
  <si>
    <t>=IF(U2504&lt;&gt;0,X2504/U2504,"")</t>
  </si>
  <si>
    <t>=NL("Sum","5802 Value Entry","150 Sales Amount (Expected)","41 Source Type",$C$5,"5 Source No.",$C2504,"4 Item Ledger Entry Type",$C$4,"2 Item No.","@@"&amp;$F2504,"3 Posting Date",Z$9)+NL("Sum","5802 Value Entry","17 Sales Amount (Actual)","41 Source Type",$C$5,"5 Source no.",$C2504,"4 Item Ledger Entry Type",$C$4,"2 Item No.","@@"&amp;$F2504,"3 Posting Date",Z$9)</t>
  </si>
  <si>
    <t>=-NL("Sum","5802 Value Entry","151 Cost Amount (Expected)","41 Source Type",$C$5,"5 Source No.",$C2504,"4 Item Ledger Entry Type",$C$4,"2 Item No.","@@"&amp;$F2504,"3 Posting Date",Z$9)-NL("Sum","5802 Value Entry","43 Cost Amount (Actual)","41 Source Type",$C$5,"5 Source no.",$C2504,"4 Item Ledger Entry Type",$C$4,"2 Item No.","@@"&amp;$F2504,"3 Posting Date",Z$9)</t>
  </si>
  <si>
    <t>=Z2504-AB2504</t>
  </si>
  <si>
    <t>=IF(Z2504&lt;&gt;0,AC2504/Z2504,"")</t>
  </si>
  <si>
    <t>=C2504</t>
  </si>
  <si>
    <t>=NL("Sum","5802 Value Entry","150 Sales Amount (Expected)","41 Source Type",$C$5,"5 Source No.",$C2505,"4 Item Ledger Entry Type",$C$4,"2 Item No.","@@"&amp;$F2505,"3 Posting Date",J$9)+NL("Sum","5802 Value Entry","17 Sales Amount (Actual)","41 Source Type",$C$5,"5 Source no.",$C2505,"4 Item Ledger Entry Type",$C$4,"2 Item No.","@@"&amp;$F2505,"3 Posting Date",J$9)</t>
  </si>
  <si>
    <t>=-NL("Sum","5802 Value Entry","151 Cost Amount (Expected)","41 Source Type",$C$5,"5 Source No.",$C2505,"4 Item Ledger Entry Type",$C$4,"2 Item No.","@@"&amp;$F2505,"3 Posting Date",J$9)-NL("Sum","5802 Value Entry","43 Cost Amount (Actual)","41 Source Type",$C$5,"5 Source no.",$C2505,"4 Item Ledger Entry Type",$C$4,"2 Item No.","@@"&amp;$F2505,"3 Posting Date",J$9)</t>
  </si>
  <si>
    <t>=J2505-L2505</t>
  </si>
  <si>
    <t>=IF(J2505&lt;&gt;0,M2505/J2505,"")</t>
  </si>
  <si>
    <t>=NL("Sum","5802 Value Entry","150 Sales Amount (Expected)","41 Source Type",$C$5,"5 Source No.",$C2505,"4 Item Ledger Entry Type",$C$4,"2 Item No.","@@"&amp;$F2505,"3 Posting Date",O$9)+NL("Sum","5802 Value Entry","17 Sales Amount (Actual)","41 Source Type",$C$5,"5 Source no.",$C2505,"4 Item Ledger Entry Type",$C$4,"2 Item No.","@@"&amp;$F2505,"3 Posting Date",O$9)</t>
  </si>
  <si>
    <t>=-NL("Sum","5802 Value Entry","151 Cost Amount (Expected)","41 Source Type",$C$5,"5 Source No.",$C2505,"4 Item Ledger Entry Type",$C$4,"2 Item No.","@@"&amp;$F2505,"3 Posting Date",O$9)-NL("Sum","5802 Value Entry","43 Cost Amount (Actual)","41 Source Type",$C$5,"5 Source no.",$C2505,"4 Item Ledger Entry Type",$C$4,"2 Item No.","@@"&amp;$F2505,"3 Posting Date",O$9)</t>
  </si>
  <si>
    <t>=O2505-Q2505</t>
  </si>
  <si>
    <t>=IF(O2505&lt;&gt;0,R2505/O2505,"")</t>
  </si>
  <si>
    <t>=NL("Sum","5802 Value Entry","150 Sales Amount (Expected)","41 Source Type",$C$5,"5 Source No.",$C2505,"4 Item Ledger Entry Type",$C$4,"2 Item No.","@@"&amp;$F2505,"3 Posting Date",U$9)+NL("Sum","5802 Value Entry","17 Sales Amount (Actual)","41 Source Type",$C$5,"5 Source no.",$C2505,"4 Item Ledger Entry Type",$C$4,"2 Item No.","@@"&amp;$F2505,"3 Posting Date",U$9)</t>
  </si>
  <si>
    <t>=-NL("Sum","5802 Value Entry","151 Cost Amount (Expected)","41 Source Type",$C$5,"5 Source No.",$C2505,"4 Item Ledger Entry Type",$C$4,"2 Item No.","@@"&amp;$F2505,"3 Posting Date",U$9)-NL("Sum","5802 Value Entry","43 Cost Amount (Actual)","41 Source Type",$C$5,"5 Source no.",$C2505,"4 Item Ledger Entry Type",$C$4,"2 Item No.","@@"&amp;$F2505,"3 Posting Date",U$9)</t>
  </si>
  <si>
    <t>=U2505-W2505</t>
  </si>
  <si>
    <t>=IF(U2505&lt;&gt;0,X2505/U2505,"")</t>
  </si>
  <si>
    <t>=NL("Sum","5802 Value Entry","150 Sales Amount (Expected)","41 Source Type",$C$5,"5 Source No.",$C2505,"4 Item Ledger Entry Type",$C$4,"2 Item No.","@@"&amp;$F2505,"3 Posting Date",Z$9)+NL("Sum","5802 Value Entry","17 Sales Amount (Actual)","41 Source Type",$C$5,"5 Source no.",$C2505,"4 Item Ledger Entry Type",$C$4,"2 Item No.","@@"&amp;$F2505,"3 Posting Date",Z$9)</t>
  </si>
  <si>
    <t>=-NL("Sum","5802 Value Entry","151 Cost Amount (Expected)","41 Source Type",$C$5,"5 Source No.",$C2505,"4 Item Ledger Entry Type",$C$4,"2 Item No.","@@"&amp;$F2505,"3 Posting Date",Z$9)-NL("Sum","5802 Value Entry","43 Cost Amount (Actual)","41 Source Type",$C$5,"5 Source no.",$C2505,"4 Item Ledger Entry Type",$C$4,"2 Item No.","@@"&amp;$F2505,"3 Posting Date",Z$9)</t>
  </si>
  <si>
    <t>=Z2505-AB2505</t>
  </si>
  <si>
    <t>=IF(Z2505&lt;&gt;0,AC2505/Z2505,"")</t>
  </si>
  <si>
    <t>=NL("Sum","5802 Value Entry","150 Sales Amount (Expected)","41 Source Type",$C$5,"5 Source No.",$C2506,"4 Item Ledger Entry Type",$C$4,"2 Item No.","@@"&amp;$F2506,"3 Posting Date",J$9)+NL("Sum","5802 Value Entry","17 Sales Amount (Actual)","41 Source Type",$C$5,"5 Source no.",$C2506,"4 Item Ledger Entry Type",$C$4,"2 Item No.","@@"&amp;$F2506,"3 Posting Date",J$9)</t>
  </si>
  <si>
    <t>=-NL("Sum","5802 Value Entry","151 Cost Amount (Expected)","41 Source Type",$C$5,"5 Source No.",$C2506,"4 Item Ledger Entry Type",$C$4,"2 Item No.","@@"&amp;$F2506,"3 Posting Date",J$9)-NL("Sum","5802 Value Entry","43 Cost Amount (Actual)","41 Source Type",$C$5,"5 Source no.",$C2506,"4 Item Ledger Entry Type",$C$4,"2 Item No.","@@"&amp;$F2506,"3 Posting Date",J$9)</t>
  </si>
  <si>
    <t>=J2506-L2506</t>
  </si>
  <si>
    <t>=IF(J2506&lt;&gt;0,M2506/J2506,"")</t>
  </si>
  <si>
    <t>=NL("Sum","5802 Value Entry","150 Sales Amount (Expected)","41 Source Type",$C$5,"5 Source No.",$C2506,"4 Item Ledger Entry Type",$C$4,"2 Item No.","@@"&amp;$F2506,"3 Posting Date",O$9)+NL("Sum","5802 Value Entry","17 Sales Amount (Actual)","41 Source Type",$C$5,"5 Source no.",$C2506,"4 Item Ledger Entry Type",$C$4,"2 Item No.","@@"&amp;$F2506,"3 Posting Date",O$9)</t>
  </si>
  <si>
    <t>=-NL("Sum","5802 Value Entry","151 Cost Amount (Expected)","41 Source Type",$C$5,"5 Source No.",$C2506,"4 Item Ledger Entry Type",$C$4,"2 Item No.","@@"&amp;$F2506,"3 Posting Date",O$9)-NL("Sum","5802 Value Entry","43 Cost Amount (Actual)","41 Source Type",$C$5,"5 Source no.",$C2506,"4 Item Ledger Entry Type",$C$4,"2 Item No.","@@"&amp;$F2506,"3 Posting Date",O$9)</t>
  </si>
  <si>
    <t>=O2506-Q2506</t>
  </si>
  <si>
    <t>=IF(O2506&lt;&gt;0,R2506/O2506,"")</t>
  </si>
  <si>
    <t>=NL("Sum","5802 Value Entry","150 Sales Amount (Expected)","41 Source Type",$C$5,"5 Source No.",$C2506,"4 Item Ledger Entry Type",$C$4,"2 Item No.","@@"&amp;$F2506,"3 Posting Date",U$9)+NL("Sum","5802 Value Entry","17 Sales Amount (Actual)","41 Source Type",$C$5,"5 Source no.",$C2506,"4 Item Ledger Entry Type",$C$4,"2 Item No.","@@"&amp;$F2506,"3 Posting Date",U$9)</t>
  </si>
  <si>
    <t>=-NL("Sum","5802 Value Entry","151 Cost Amount (Expected)","41 Source Type",$C$5,"5 Source No.",$C2506,"4 Item Ledger Entry Type",$C$4,"2 Item No.","@@"&amp;$F2506,"3 Posting Date",U$9)-NL("Sum","5802 Value Entry","43 Cost Amount (Actual)","41 Source Type",$C$5,"5 Source no.",$C2506,"4 Item Ledger Entry Type",$C$4,"2 Item No.","@@"&amp;$F2506,"3 Posting Date",U$9)</t>
  </si>
  <si>
    <t>=U2506-W2506</t>
  </si>
  <si>
    <t>=IF(U2506&lt;&gt;0,X2506/U2506,"")</t>
  </si>
  <si>
    <t>=NL("Sum","5802 Value Entry","150 Sales Amount (Expected)","41 Source Type",$C$5,"5 Source No.",$C2506,"4 Item Ledger Entry Type",$C$4,"2 Item No.","@@"&amp;$F2506,"3 Posting Date",Z$9)+NL("Sum","5802 Value Entry","17 Sales Amount (Actual)","41 Source Type",$C$5,"5 Source no.",$C2506,"4 Item Ledger Entry Type",$C$4,"2 Item No.","@@"&amp;$F2506,"3 Posting Date",Z$9)</t>
  </si>
  <si>
    <t>=-NL("Sum","5802 Value Entry","151 Cost Amount (Expected)","41 Source Type",$C$5,"5 Source No.",$C2506,"4 Item Ledger Entry Type",$C$4,"2 Item No.","@@"&amp;$F2506,"3 Posting Date",Z$9)-NL("Sum","5802 Value Entry","43 Cost Amount (Actual)","41 Source Type",$C$5,"5 Source no.",$C2506,"4 Item Ledger Entry Type",$C$4,"2 Item No.","@@"&amp;$F2506,"3 Posting Date",Z$9)</t>
  </si>
  <si>
    <t>=Z2506-AB2506</t>
  </si>
  <si>
    <t>=IF(Z2506&lt;&gt;0,AC2506/Z2506,"")</t>
  </si>
  <si>
    <t>=C2522&amp;" TOTAL:"</t>
  </si>
  <si>
    <t>=SUBTOTAL(9,J2496:J2521)</t>
  </si>
  <si>
    <t>=SUBTOTAL(9,K2496:K2521)</t>
  </si>
  <si>
    <t>=SUBTOTAL(9,L2496:L2521)</t>
  </si>
  <si>
    <t>=SUBTOTAL(9,O2496:O2521)</t>
  </si>
  <si>
    <t>=SUBTOTAL(9,P2496:P2521)</t>
  </si>
  <si>
    <t>=SUBTOTAL(9,Q2496:Q2521)</t>
  </si>
  <si>
    <t>=SUBTOTAL(9,U2496:U2521)</t>
  </si>
  <si>
    <t>=SUBTOTAL(9,V2496:V2521)</t>
  </si>
  <si>
    <t>=SUBTOTAL(9,W2496:W2521)</t>
  </si>
  <si>
    <t>=SUBTOTAL(9,Z2496:Z2521)</t>
  </si>
  <si>
    <t>=SUBTOTAL(9,AA2496:AA2521)</t>
  </si>
  <si>
    <t>=SUBTOTAL(9,AB2496:AB2521)</t>
  </si>
  <si>
    <t>=E2524</t>
  </si>
  <si>
    <t>=NL(,"18 Customer","2 Name","1 No.",$E2524)</t>
  </si>
  <si>
    <t>=NL("Rows","5802 Value Entry","2 Item No.","4 Item Ledger Entry Type",$C$4,"41 Source Type",$C$5,"5 Source No.",$C2526,"Item No.",$C$7,"3 Posting Date",$C$10)</t>
  </si>
  <si>
    <t>=C2547</t>
  </si>
  <si>
    <t>=NL("Sum","5802 Value Entry","150 Sales Amount (Expected)","41 Source Type",$C$5,"5 Source No.",$C2548,"4 Item Ledger Entry Type",$C$4,"2 Item No.","@@"&amp;$F2548,"3 Posting Date",J$9)+NL("Sum","5802 Value Entry","17 Sales Amount (Actual)","41 Source Type",$C$5,"5 Source no.",$C2548,"4 Item Ledger Entry Type",$C$4,"2 Item No.","@@"&amp;$F2548,"3 Posting Date",J$9)</t>
  </si>
  <si>
    <t>=-NL("Sum","5802 Value Entry","151 Cost Amount (Expected)","41 Source Type",$C$5,"5 Source No.",$C2548,"4 Item Ledger Entry Type",$C$4,"2 Item No.","@@"&amp;$F2548,"3 Posting Date",J$9)-NL("Sum","5802 Value Entry","43 Cost Amount (Actual)","41 Source Type",$C$5,"5 Source no.",$C2548,"4 Item Ledger Entry Type",$C$4,"2 Item No.","@@"&amp;$F2548,"3 Posting Date",J$9)</t>
  </si>
  <si>
    <t>=J2548-L2548</t>
  </si>
  <si>
    <t>=IF(J2548&lt;&gt;0,M2548/J2548,"")</t>
  </si>
  <si>
    <t>=NL("Sum","5802 Value Entry","150 Sales Amount (Expected)","41 Source Type",$C$5,"5 Source No.",$C2548,"4 Item Ledger Entry Type",$C$4,"2 Item No.","@@"&amp;$F2548,"3 Posting Date",O$9)+NL("Sum","5802 Value Entry","17 Sales Amount (Actual)","41 Source Type",$C$5,"5 Source no.",$C2548,"4 Item Ledger Entry Type",$C$4,"2 Item No.","@@"&amp;$F2548,"3 Posting Date",O$9)</t>
  </si>
  <si>
    <t>=-NL("Sum","5802 Value Entry","151 Cost Amount (Expected)","41 Source Type",$C$5,"5 Source No.",$C2548,"4 Item Ledger Entry Type",$C$4,"2 Item No.","@@"&amp;$F2548,"3 Posting Date",O$9)-NL("Sum","5802 Value Entry","43 Cost Amount (Actual)","41 Source Type",$C$5,"5 Source no.",$C2548,"4 Item Ledger Entry Type",$C$4,"2 Item No.","@@"&amp;$F2548,"3 Posting Date",O$9)</t>
  </si>
  <si>
    <t>=O2548-Q2548</t>
  </si>
  <si>
    <t>=IF(O2548&lt;&gt;0,R2548/O2548,"")</t>
  </si>
  <si>
    <t>=NL("Sum","5802 Value Entry","150 Sales Amount (Expected)","41 Source Type",$C$5,"5 Source No.",$C2548,"4 Item Ledger Entry Type",$C$4,"2 Item No.","@@"&amp;$F2548,"3 Posting Date",U$9)+NL("Sum","5802 Value Entry","17 Sales Amount (Actual)","41 Source Type",$C$5,"5 Source no.",$C2548,"4 Item Ledger Entry Type",$C$4,"2 Item No.","@@"&amp;$F2548,"3 Posting Date",U$9)</t>
  </si>
  <si>
    <t>=-NL("Sum","5802 Value Entry","151 Cost Amount (Expected)","41 Source Type",$C$5,"5 Source No.",$C2548,"4 Item Ledger Entry Type",$C$4,"2 Item No.","@@"&amp;$F2548,"3 Posting Date",U$9)-NL("Sum","5802 Value Entry","43 Cost Amount (Actual)","41 Source Type",$C$5,"5 Source no.",$C2548,"4 Item Ledger Entry Type",$C$4,"2 Item No.","@@"&amp;$F2548,"3 Posting Date",U$9)</t>
  </si>
  <si>
    <t>=U2548-W2548</t>
  </si>
  <si>
    <t>=IF(U2548&lt;&gt;0,X2548/U2548,"")</t>
  </si>
  <si>
    <t>=NL("Sum","5802 Value Entry","150 Sales Amount (Expected)","41 Source Type",$C$5,"5 Source No.",$C2548,"4 Item Ledger Entry Type",$C$4,"2 Item No.","@@"&amp;$F2548,"3 Posting Date",Z$9)+NL("Sum","5802 Value Entry","17 Sales Amount (Actual)","41 Source Type",$C$5,"5 Source no.",$C2548,"4 Item Ledger Entry Type",$C$4,"2 Item No.","@@"&amp;$F2548,"3 Posting Date",Z$9)</t>
  </si>
  <si>
    <t>=-NL("Sum","5802 Value Entry","151 Cost Amount (Expected)","41 Source Type",$C$5,"5 Source No.",$C2548,"4 Item Ledger Entry Type",$C$4,"2 Item No.","@@"&amp;$F2548,"3 Posting Date",Z$9)-NL("Sum","5802 Value Entry","43 Cost Amount (Actual)","41 Source Type",$C$5,"5 Source no.",$C2548,"4 Item Ledger Entry Type",$C$4,"2 Item No.","@@"&amp;$F2548,"3 Posting Date",Z$9)</t>
  </si>
  <si>
    <t>=Z2548-AB2548</t>
  </si>
  <si>
    <t>=IF(Z2548&lt;&gt;0,AC2548/Z2548,"")</t>
  </si>
  <si>
    <t>=NL("Sum","5802 Value Entry","150 Sales Amount (Expected)","41 Source Type",$C$5,"5 Source No.",$C2549,"4 Item Ledger Entry Type",$C$4,"2 Item No.","@@"&amp;$F2549,"3 Posting Date",J$9)+NL("Sum","5802 Value Entry","17 Sales Amount (Actual)","41 Source Type",$C$5,"5 Source no.",$C2549,"4 Item Ledger Entry Type",$C$4,"2 Item No.","@@"&amp;$F2549,"3 Posting Date",J$9)</t>
  </si>
  <si>
    <t>=-NL("Sum","5802 Value Entry","151 Cost Amount (Expected)","41 Source Type",$C$5,"5 Source No.",$C2549,"4 Item Ledger Entry Type",$C$4,"2 Item No.","@@"&amp;$F2549,"3 Posting Date",J$9)-NL("Sum","5802 Value Entry","43 Cost Amount (Actual)","41 Source Type",$C$5,"5 Source no.",$C2549,"4 Item Ledger Entry Type",$C$4,"2 Item No.","@@"&amp;$F2549,"3 Posting Date",J$9)</t>
  </si>
  <si>
    <t>=NL("Sum","5802 Value Entry","150 Sales Amount (Expected)","41 Source Type",$C$5,"5 Source No.",$C2549,"4 Item Ledger Entry Type",$C$4,"2 Item No.","@@"&amp;$F2549,"3 Posting Date",O$9)+NL("Sum","5802 Value Entry","17 Sales Amount (Actual)","41 Source Type",$C$5,"5 Source no.",$C2549,"4 Item Ledger Entry Type",$C$4,"2 Item No.","@@"&amp;$F2549,"3 Posting Date",O$9)</t>
  </si>
  <si>
    <t>=-NL("Sum","5802 Value Entry","151 Cost Amount (Expected)","41 Source Type",$C$5,"5 Source No.",$C2549,"4 Item Ledger Entry Type",$C$4,"2 Item No.","@@"&amp;$F2549,"3 Posting Date",O$9)-NL("Sum","5802 Value Entry","43 Cost Amount (Actual)","41 Source Type",$C$5,"5 Source no.",$C2549,"4 Item Ledger Entry Type",$C$4,"2 Item No.","@@"&amp;$F2549,"3 Posting Date",O$9)</t>
  </si>
  <si>
    <t>=NL("Sum","5802 Value Entry","150 Sales Amount (Expected)","41 Source Type",$C$5,"5 Source No.",$C2549,"4 Item Ledger Entry Type",$C$4,"2 Item No.","@@"&amp;$F2549,"3 Posting Date",U$9)+NL("Sum","5802 Value Entry","17 Sales Amount (Actual)","41 Source Type",$C$5,"5 Source no.",$C2549,"4 Item Ledger Entry Type",$C$4,"2 Item No.","@@"&amp;$F2549,"3 Posting Date",U$9)</t>
  </si>
  <si>
    <t>=-NL("Sum","5802 Value Entry","151 Cost Amount (Expected)","41 Source Type",$C$5,"5 Source No.",$C2549,"4 Item Ledger Entry Type",$C$4,"2 Item No.","@@"&amp;$F2549,"3 Posting Date",U$9)-NL("Sum","5802 Value Entry","43 Cost Amount (Actual)","41 Source Type",$C$5,"5 Source no.",$C2549,"4 Item Ledger Entry Type",$C$4,"2 Item No.","@@"&amp;$F2549,"3 Posting Date",U$9)</t>
  </si>
  <si>
    <t>=NL("Sum","5802 Value Entry","150 Sales Amount (Expected)","41 Source Type",$C$5,"5 Source No.",$C2549,"4 Item Ledger Entry Type",$C$4,"2 Item No.","@@"&amp;$F2549,"3 Posting Date",Z$9)+NL("Sum","5802 Value Entry","17 Sales Amount (Actual)","41 Source Type",$C$5,"5 Source no.",$C2549,"4 Item Ledger Entry Type",$C$4,"2 Item No.","@@"&amp;$F2549,"3 Posting Date",Z$9)</t>
  </si>
  <si>
    <t>=-NL("Sum","5802 Value Entry","151 Cost Amount (Expected)","41 Source Type",$C$5,"5 Source No.",$C2549,"4 Item Ledger Entry Type",$C$4,"2 Item No.","@@"&amp;$F2549,"3 Posting Date",Z$9)-NL("Sum","5802 Value Entry","43 Cost Amount (Actual)","41 Source Type",$C$5,"5 Source no.",$C2549,"4 Item Ledger Entry Type",$C$4,"2 Item No.","@@"&amp;$F2549,"3 Posting Date",Z$9)</t>
  </si>
  <si>
    <t>=C2549</t>
  </si>
  <si>
    <t>=NL("Sum","5802 Value Entry","150 Sales Amount (Expected)","41 Source Type",$C$5,"5 Source No.",$C2550,"4 Item Ledger Entry Type",$C$4,"2 Item No.","@@"&amp;$F2550,"3 Posting Date",J$9)+NL("Sum","5802 Value Entry","17 Sales Amount (Actual)","41 Source Type",$C$5,"5 Source no.",$C2550,"4 Item Ledger Entry Type",$C$4,"2 Item No.","@@"&amp;$F2550,"3 Posting Date",J$9)</t>
  </si>
  <si>
    <t>=-NL("Sum","5802 Value Entry","151 Cost Amount (Expected)","41 Source Type",$C$5,"5 Source No.",$C2550,"4 Item Ledger Entry Type",$C$4,"2 Item No.","@@"&amp;$F2550,"3 Posting Date",J$9)-NL("Sum","5802 Value Entry","43 Cost Amount (Actual)","41 Source Type",$C$5,"5 Source no.",$C2550,"4 Item Ledger Entry Type",$C$4,"2 Item No.","@@"&amp;$F2550,"3 Posting Date",J$9)</t>
  </si>
  <si>
    <t>=J2550-L2550</t>
  </si>
  <si>
    <t>=IF(J2550&lt;&gt;0,M2550/J2550,"")</t>
  </si>
  <si>
    <t>=NL("Sum","5802 Value Entry","150 Sales Amount (Expected)","41 Source Type",$C$5,"5 Source No.",$C2550,"4 Item Ledger Entry Type",$C$4,"2 Item No.","@@"&amp;$F2550,"3 Posting Date",O$9)+NL("Sum","5802 Value Entry","17 Sales Amount (Actual)","41 Source Type",$C$5,"5 Source no.",$C2550,"4 Item Ledger Entry Type",$C$4,"2 Item No.","@@"&amp;$F2550,"3 Posting Date",O$9)</t>
  </si>
  <si>
    <t>=-NL("Sum","5802 Value Entry","151 Cost Amount (Expected)","41 Source Type",$C$5,"5 Source No.",$C2550,"4 Item Ledger Entry Type",$C$4,"2 Item No.","@@"&amp;$F2550,"3 Posting Date",O$9)-NL("Sum","5802 Value Entry","43 Cost Amount (Actual)","41 Source Type",$C$5,"5 Source no.",$C2550,"4 Item Ledger Entry Type",$C$4,"2 Item No.","@@"&amp;$F2550,"3 Posting Date",O$9)</t>
  </si>
  <si>
    <t>=O2550-Q2550</t>
  </si>
  <si>
    <t>=IF(O2550&lt;&gt;0,R2550/O2550,"")</t>
  </si>
  <si>
    <t>=NL("Sum","5802 Value Entry","150 Sales Amount (Expected)","41 Source Type",$C$5,"5 Source No.",$C2550,"4 Item Ledger Entry Type",$C$4,"2 Item No.","@@"&amp;$F2550,"3 Posting Date",U$9)+NL("Sum","5802 Value Entry","17 Sales Amount (Actual)","41 Source Type",$C$5,"5 Source no.",$C2550,"4 Item Ledger Entry Type",$C$4,"2 Item No.","@@"&amp;$F2550,"3 Posting Date",U$9)</t>
  </si>
  <si>
    <t>=-NL("Sum","5802 Value Entry","151 Cost Amount (Expected)","41 Source Type",$C$5,"5 Source No.",$C2550,"4 Item Ledger Entry Type",$C$4,"2 Item No.","@@"&amp;$F2550,"3 Posting Date",U$9)-NL("Sum","5802 Value Entry","43 Cost Amount (Actual)","41 Source Type",$C$5,"5 Source no.",$C2550,"4 Item Ledger Entry Type",$C$4,"2 Item No.","@@"&amp;$F2550,"3 Posting Date",U$9)</t>
  </si>
  <si>
    <t>=U2550-W2550</t>
  </si>
  <si>
    <t>=IF(U2550&lt;&gt;0,X2550/U2550,"")</t>
  </si>
  <si>
    <t>=NL("Sum","5802 Value Entry","150 Sales Amount (Expected)","41 Source Type",$C$5,"5 Source No.",$C2550,"4 Item Ledger Entry Type",$C$4,"2 Item No.","@@"&amp;$F2550,"3 Posting Date",Z$9)+NL("Sum","5802 Value Entry","17 Sales Amount (Actual)","41 Source Type",$C$5,"5 Source no.",$C2550,"4 Item Ledger Entry Type",$C$4,"2 Item No.","@@"&amp;$F2550,"3 Posting Date",Z$9)</t>
  </si>
  <si>
    <t>=-NL("Sum","5802 Value Entry","151 Cost Amount (Expected)","41 Source Type",$C$5,"5 Source No.",$C2550,"4 Item Ledger Entry Type",$C$4,"2 Item No.","@@"&amp;$F2550,"3 Posting Date",Z$9)-NL("Sum","5802 Value Entry","43 Cost Amount (Actual)","41 Source Type",$C$5,"5 Source no.",$C2550,"4 Item Ledger Entry Type",$C$4,"2 Item No.","@@"&amp;$F2550,"3 Posting Date",Z$9)</t>
  </si>
  <si>
    <t>=Z2550-AB2550</t>
  </si>
  <si>
    <t>=IF(Z2550&lt;&gt;0,AC2550/Z2550,"")</t>
  </si>
  <si>
    <t>=C2550</t>
  </si>
  <si>
    <t>=NL("Sum","5802 Value Entry","150 Sales Amount (Expected)","41 Source Type",$C$5,"5 Source No.",$C2551,"4 Item Ledger Entry Type",$C$4,"2 Item No.","@@"&amp;$F2551,"3 Posting Date",J$9)+NL("Sum","5802 Value Entry","17 Sales Amount (Actual)","41 Source Type",$C$5,"5 Source no.",$C2551,"4 Item Ledger Entry Type",$C$4,"2 Item No.","@@"&amp;$F2551,"3 Posting Date",J$9)</t>
  </si>
  <si>
    <t>=-NL("Sum","5802 Value Entry","151 Cost Amount (Expected)","41 Source Type",$C$5,"5 Source No.",$C2551,"4 Item Ledger Entry Type",$C$4,"2 Item No.","@@"&amp;$F2551,"3 Posting Date",J$9)-NL("Sum","5802 Value Entry","43 Cost Amount (Actual)","41 Source Type",$C$5,"5 Source no.",$C2551,"4 Item Ledger Entry Type",$C$4,"2 Item No.","@@"&amp;$F2551,"3 Posting Date",J$9)</t>
  </si>
  <si>
    <t>=J2551-L2551</t>
  </si>
  <si>
    <t>=IF(J2551&lt;&gt;0,M2551/J2551,"")</t>
  </si>
  <si>
    <t>=NL("Sum","5802 Value Entry","150 Sales Amount (Expected)","41 Source Type",$C$5,"5 Source No.",$C2551,"4 Item Ledger Entry Type",$C$4,"2 Item No.","@@"&amp;$F2551,"3 Posting Date",O$9)+NL("Sum","5802 Value Entry","17 Sales Amount (Actual)","41 Source Type",$C$5,"5 Source no.",$C2551,"4 Item Ledger Entry Type",$C$4,"2 Item No.","@@"&amp;$F2551,"3 Posting Date",O$9)</t>
  </si>
  <si>
    <t>=-NL("Sum","5802 Value Entry","151 Cost Amount (Expected)","41 Source Type",$C$5,"5 Source No.",$C2551,"4 Item Ledger Entry Type",$C$4,"2 Item No.","@@"&amp;$F2551,"3 Posting Date",O$9)-NL("Sum","5802 Value Entry","43 Cost Amount (Actual)","41 Source Type",$C$5,"5 Source no.",$C2551,"4 Item Ledger Entry Type",$C$4,"2 Item No.","@@"&amp;$F2551,"3 Posting Date",O$9)</t>
  </si>
  <si>
    <t>=O2551-Q2551</t>
  </si>
  <si>
    <t>=IF(O2551&lt;&gt;0,R2551/O2551,"")</t>
  </si>
  <si>
    <t>=NL("Sum","5802 Value Entry","150 Sales Amount (Expected)","41 Source Type",$C$5,"5 Source No.",$C2551,"4 Item Ledger Entry Type",$C$4,"2 Item No.","@@"&amp;$F2551,"3 Posting Date",U$9)+NL("Sum","5802 Value Entry","17 Sales Amount (Actual)","41 Source Type",$C$5,"5 Source no.",$C2551,"4 Item Ledger Entry Type",$C$4,"2 Item No.","@@"&amp;$F2551,"3 Posting Date",U$9)</t>
  </si>
  <si>
    <t>=-NL("Sum","5802 Value Entry","151 Cost Amount (Expected)","41 Source Type",$C$5,"5 Source No.",$C2551,"4 Item Ledger Entry Type",$C$4,"2 Item No.","@@"&amp;$F2551,"3 Posting Date",U$9)-NL("Sum","5802 Value Entry","43 Cost Amount (Actual)","41 Source Type",$C$5,"5 Source no.",$C2551,"4 Item Ledger Entry Type",$C$4,"2 Item No.","@@"&amp;$F2551,"3 Posting Date",U$9)</t>
  </si>
  <si>
    <t>=U2551-W2551</t>
  </si>
  <si>
    <t>=IF(U2551&lt;&gt;0,X2551/U2551,"")</t>
  </si>
  <si>
    <t>=NL("Sum","5802 Value Entry","150 Sales Amount (Expected)","41 Source Type",$C$5,"5 Source No.",$C2551,"4 Item Ledger Entry Type",$C$4,"2 Item No.","@@"&amp;$F2551,"3 Posting Date",Z$9)+NL("Sum","5802 Value Entry","17 Sales Amount (Actual)","41 Source Type",$C$5,"5 Source no.",$C2551,"4 Item Ledger Entry Type",$C$4,"2 Item No.","@@"&amp;$F2551,"3 Posting Date",Z$9)</t>
  </si>
  <si>
    <t>=-NL("Sum","5802 Value Entry","151 Cost Amount (Expected)","41 Source Type",$C$5,"5 Source No.",$C2551,"4 Item Ledger Entry Type",$C$4,"2 Item No.","@@"&amp;$F2551,"3 Posting Date",Z$9)-NL("Sum","5802 Value Entry","43 Cost Amount (Actual)","41 Source Type",$C$5,"5 Source no.",$C2551,"4 Item Ledger Entry Type",$C$4,"2 Item No.","@@"&amp;$F2551,"3 Posting Date",Z$9)</t>
  </si>
  <si>
    <t>=Z2551-AB2551</t>
  </si>
  <si>
    <t>=IF(Z2551&lt;&gt;0,AC2551/Z2551,"")</t>
  </si>
  <si>
    <t>=NL("Sum","5802 Value Entry","150 Sales Amount (Expected)","41 Source Type",$C$5,"5 Source No.",$C2552,"4 Item Ledger Entry Type",$C$4,"2 Item No.","@@"&amp;$F2552,"3 Posting Date",J$9)+NL("Sum","5802 Value Entry","17 Sales Amount (Actual)","41 Source Type",$C$5,"5 Source no.",$C2552,"4 Item Ledger Entry Type",$C$4,"2 Item No.","@@"&amp;$F2552,"3 Posting Date",J$9)</t>
  </si>
  <si>
    <t>=-NL("Sum","5802 Value Entry","151 Cost Amount (Expected)","41 Source Type",$C$5,"5 Source No.",$C2552,"4 Item Ledger Entry Type",$C$4,"2 Item No.","@@"&amp;$F2552,"3 Posting Date",J$9)-NL("Sum","5802 Value Entry","43 Cost Amount (Actual)","41 Source Type",$C$5,"5 Source no.",$C2552,"4 Item Ledger Entry Type",$C$4,"2 Item No.","@@"&amp;$F2552,"3 Posting Date",J$9)</t>
  </si>
  <si>
    <t>=J2552-L2552</t>
  </si>
  <si>
    <t>=IF(J2552&lt;&gt;0,M2552/J2552,"")</t>
  </si>
  <si>
    <t>=NL("Sum","5802 Value Entry","150 Sales Amount (Expected)","41 Source Type",$C$5,"5 Source No.",$C2552,"4 Item Ledger Entry Type",$C$4,"2 Item No.","@@"&amp;$F2552,"3 Posting Date",O$9)+NL("Sum","5802 Value Entry","17 Sales Amount (Actual)","41 Source Type",$C$5,"5 Source no.",$C2552,"4 Item Ledger Entry Type",$C$4,"2 Item No.","@@"&amp;$F2552,"3 Posting Date",O$9)</t>
  </si>
  <si>
    <t>=-NL("Sum","5802 Value Entry","151 Cost Amount (Expected)","41 Source Type",$C$5,"5 Source No.",$C2552,"4 Item Ledger Entry Type",$C$4,"2 Item No.","@@"&amp;$F2552,"3 Posting Date",O$9)-NL("Sum","5802 Value Entry","43 Cost Amount (Actual)","41 Source Type",$C$5,"5 Source no.",$C2552,"4 Item Ledger Entry Type",$C$4,"2 Item No.","@@"&amp;$F2552,"3 Posting Date",O$9)</t>
  </si>
  <si>
    <t>=O2552-Q2552</t>
  </si>
  <si>
    <t>=IF(O2552&lt;&gt;0,R2552/O2552,"")</t>
  </si>
  <si>
    <t>=NL("Sum","5802 Value Entry","150 Sales Amount (Expected)","41 Source Type",$C$5,"5 Source No.",$C2552,"4 Item Ledger Entry Type",$C$4,"2 Item No.","@@"&amp;$F2552,"3 Posting Date",U$9)+NL("Sum","5802 Value Entry","17 Sales Amount (Actual)","41 Source Type",$C$5,"5 Source no.",$C2552,"4 Item Ledger Entry Type",$C$4,"2 Item No.","@@"&amp;$F2552,"3 Posting Date",U$9)</t>
  </si>
  <si>
    <t>=-NL("Sum","5802 Value Entry","151 Cost Amount (Expected)","41 Source Type",$C$5,"5 Source No.",$C2552,"4 Item Ledger Entry Type",$C$4,"2 Item No.","@@"&amp;$F2552,"3 Posting Date",U$9)-NL("Sum","5802 Value Entry","43 Cost Amount (Actual)","41 Source Type",$C$5,"5 Source no.",$C2552,"4 Item Ledger Entry Type",$C$4,"2 Item No.","@@"&amp;$F2552,"3 Posting Date",U$9)</t>
  </si>
  <si>
    <t>=U2552-W2552</t>
  </si>
  <si>
    <t>=IF(U2552&lt;&gt;0,X2552/U2552,"")</t>
  </si>
  <si>
    <t>=NL("Sum","5802 Value Entry","150 Sales Amount (Expected)","41 Source Type",$C$5,"5 Source No.",$C2552,"4 Item Ledger Entry Type",$C$4,"2 Item No.","@@"&amp;$F2552,"3 Posting Date",Z$9)+NL("Sum","5802 Value Entry","17 Sales Amount (Actual)","41 Source Type",$C$5,"5 Source no.",$C2552,"4 Item Ledger Entry Type",$C$4,"2 Item No.","@@"&amp;$F2552,"3 Posting Date",Z$9)</t>
  </si>
  <si>
    <t>=-NL("Sum","5802 Value Entry","151 Cost Amount (Expected)","41 Source Type",$C$5,"5 Source No.",$C2552,"4 Item Ledger Entry Type",$C$4,"2 Item No.","@@"&amp;$F2552,"3 Posting Date",Z$9)-NL("Sum","5802 Value Entry","43 Cost Amount (Actual)","41 Source Type",$C$5,"5 Source no.",$C2552,"4 Item Ledger Entry Type",$C$4,"2 Item No.","@@"&amp;$F2552,"3 Posting Date",Z$9)</t>
  </si>
  <si>
    <t>=Z2552-AB2552</t>
  </si>
  <si>
    <t>=IF(Z2552&lt;&gt;0,AC2552/Z2552,"")</t>
  </si>
  <si>
    <t>=C2578&amp;" TOTAL:"</t>
  </si>
  <si>
    <t>=SUBTOTAL(9,J2525:J2577)</t>
  </si>
  <si>
    <t>=SUBTOTAL(9,K2525:K2577)</t>
  </si>
  <si>
    <t>=SUBTOTAL(9,L2525:L2577)</t>
  </si>
  <si>
    <t>=SUBTOTAL(9,O2525:O2577)</t>
  </si>
  <si>
    <t>=SUBTOTAL(9,P2525:P2577)</t>
  </si>
  <si>
    <t>=SUBTOTAL(9,Q2525:Q2577)</t>
  </si>
  <si>
    <t>=SUBTOTAL(9,U2525:U2577)</t>
  </si>
  <si>
    <t>=SUBTOTAL(9,V2525:V2577)</t>
  </si>
  <si>
    <t>=SUBTOTAL(9,W2525:W2577)</t>
  </si>
  <si>
    <t>=SUBTOTAL(9,Z2525:Z2577)</t>
  </si>
  <si>
    <t>=SUBTOTAL(9,AA2525:AA2577)</t>
  </si>
  <si>
    <t>=SUBTOTAL(9,AB2525:AB2577)</t>
  </si>
  <si>
    <t>=E2580</t>
  </si>
  <si>
    <t>=NL(,"18 Customer","2 Name","1 No.",$E2580)</t>
  </si>
  <si>
    <t>=NL("Rows","5802 Value Entry","2 Item No.","4 Item Ledger Entry Type",$C$4,"41 Source Type",$C$5,"5 Source No.",$C2582,"Item No.",$C$7,"3 Posting Date",$C$10)</t>
  </si>
  <si>
    <t>=C2612</t>
  </si>
  <si>
    <t>=NL("Sum","5802 Value Entry","150 Sales Amount (Expected)","41 Source Type",$C$5,"5 Source No.",$C2613,"4 Item Ledger Entry Type",$C$4,"2 Item No.","@@"&amp;$F2613,"3 Posting Date",J$9)+NL("Sum","5802 Value Entry","17 Sales Amount (Actual)","41 Source Type",$C$5,"5 Source no.",$C2613,"4 Item Ledger Entry Type",$C$4,"2 Item No.","@@"&amp;$F2613,"3 Posting Date",J$9)</t>
  </si>
  <si>
    <t>=-NL("Sum","5802 Value Entry","151 Cost Amount (Expected)","41 Source Type",$C$5,"5 Source No.",$C2613,"4 Item Ledger Entry Type",$C$4,"2 Item No.","@@"&amp;$F2613,"3 Posting Date",J$9)-NL("Sum","5802 Value Entry","43 Cost Amount (Actual)","41 Source Type",$C$5,"5 Source no.",$C2613,"4 Item Ledger Entry Type",$C$4,"2 Item No.","@@"&amp;$F2613,"3 Posting Date",J$9)</t>
  </si>
  <si>
    <t>=J2613-L2613</t>
  </si>
  <si>
    <t>=IF(J2613&lt;&gt;0,M2613/J2613,"")</t>
  </si>
  <si>
    <t>=NL("Sum","5802 Value Entry","150 Sales Amount (Expected)","41 Source Type",$C$5,"5 Source No.",$C2613,"4 Item Ledger Entry Type",$C$4,"2 Item No.","@@"&amp;$F2613,"3 Posting Date",O$9)+NL("Sum","5802 Value Entry","17 Sales Amount (Actual)","41 Source Type",$C$5,"5 Source no.",$C2613,"4 Item Ledger Entry Type",$C$4,"2 Item No.","@@"&amp;$F2613,"3 Posting Date",O$9)</t>
  </si>
  <si>
    <t>=-NL("Sum","5802 Value Entry","151 Cost Amount (Expected)","41 Source Type",$C$5,"5 Source No.",$C2613,"4 Item Ledger Entry Type",$C$4,"2 Item No.","@@"&amp;$F2613,"3 Posting Date",O$9)-NL("Sum","5802 Value Entry","43 Cost Amount (Actual)","41 Source Type",$C$5,"5 Source no.",$C2613,"4 Item Ledger Entry Type",$C$4,"2 Item No.","@@"&amp;$F2613,"3 Posting Date",O$9)</t>
  </si>
  <si>
    <t>=O2613-Q2613</t>
  </si>
  <si>
    <t>=IF(O2613&lt;&gt;0,R2613/O2613,"")</t>
  </si>
  <si>
    <t>=NL("Sum","5802 Value Entry","150 Sales Amount (Expected)","41 Source Type",$C$5,"5 Source No.",$C2613,"4 Item Ledger Entry Type",$C$4,"2 Item No.","@@"&amp;$F2613,"3 Posting Date",U$9)+NL("Sum","5802 Value Entry","17 Sales Amount (Actual)","41 Source Type",$C$5,"5 Source no.",$C2613,"4 Item Ledger Entry Type",$C$4,"2 Item No.","@@"&amp;$F2613,"3 Posting Date",U$9)</t>
  </si>
  <si>
    <t>=-NL("Sum","5802 Value Entry","151 Cost Amount (Expected)","41 Source Type",$C$5,"5 Source No.",$C2613,"4 Item Ledger Entry Type",$C$4,"2 Item No.","@@"&amp;$F2613,"3 Posting Date",U$9)-NL("Sum","5802 Value Entry","43 Cost Amount (Actual)","41 Source Type",$C$5,"5 Source no.",$C2613,"4 Item Ledger Entry Type",$C$4,"2 Item No.","@@"&amp;$F2613,"3 Posting Date",U$9)</t>
  </si>
  <si>
    <t>=U2613-W2613</t>
  </si>
  <si>
    <t>=IF(U2613&lt;&gt;0,X2613/U2613,"")</t>
  </si>
  <si>
    <t>=NL("Sum","5802 Value Entry","150 Sales Amount (Expected)","41 Source Type",$C$5,"5 Source No.",$C2613,"4 Item Ledger Entry Type",$C$4,"2 Item No.","@@"&amp;$F2613,"3 Posting Date",Z$9)+NL("Sum","5802 Value Entry","17 Sales Amount (Actual)","41 Source Type",$C$5,"5 Source no.",$C2613,"4 Item Ledger Entry Type",$C$4,"2 Item No.","@@"&amp;$F2613,"3 Posting Date",Z$9)</t>
  </si>
  <si>
    <t>=-NL("Sum","5802 Value Entry","151 Cost Amount (Expected)","41 Source Type",$C$5,"5 Source No.",$C2613,"4 Item Ledger Entry Type",$C$4,"2 Item No.","@@"&amp;$F2613,"3 Posting Date",Z$9)-NL("Sum","5802 Value Entry","43 Cost Amount (Actual)","41 Source Type",$C$5,"5 Source no.",$C2613,"4 Item Ledger Entry Type",$C$4,"2 Item No.","@@"&amp;$F2613,"3 Posting Date",Z$9)</t>
  </si>
  <si>
    <t>=Z2613-AB2613</t>
  </si>
  <si>
    <t>=IF(Z2613&lt;&gt;0,AC2613/Z2613,"")</t>
  </si>
  <si>
    <t>=NL("Sum","5802 Value Entry","150 Sales Amount (Expected)","41 Source Type",$C$5,"5 Source No.",$C2614,"4 Item Ledger Entry Type",$C$4,"2 Item No.","@@"&amp;$F2614,"3 Posting Date",J$9)+NL("Sum","5802 Value Entry","17 Sales Amount (Actual)","41 Source Type",$C$5,"5 Source no.",$C2614,"4 Item Ledger Entry Type",$C$4,"2 Item No.","@@"&amp;$F2614,"3 Posting Date",J$9)</t>
  </si>
  <si>
    <t>=-NL("Sum","5802 Value Entry","151 Cost Amount (Expected)","41 Source Type",$C$5,"5 Source No.",$C2614,"4 Item Ledger Entry Type",$C$4,"2 Item No.","@@"&amp;$F2614,"3 Posting Date",J$9)-NL("Sum","5802 Value Entry","43 Cost Amount (Actual)","41 Source Type",$C$5,"5 Source no.",$C2614,"4 Item Ledger Entry Type",$C$4,"2 Item No.","@@"&amp;$F2614,"3 Posting Date",J$9)</t>
  </si>
  <si>
    <t>=NL("Sum","5802 Value Entry","150 Sales Amount (Expected)","41 Source Type",$C$5,"5 Source No.",$C2614,"4 Item Ledger Entry Type",$C$4,"2 Item No.","@@"&amp;$F2614,"3 Posting Date",O$9)+NL("Sum","5802 Value Entry","17 Sales Amount (Actual)","41 Source Type",$C$5,"5 Source no.",$C2614,"4 Item Ledger Entry Type",$C$4,"2 Item No.","@@"&amp;$F2614,"3 Posting Date",O$9)</t>
  </si>
  <si>
    <t>=-NL("Sum","5802 Value Entry","151 Cost Amount (Expected)","41 Source Type",$C$5,"5 Source No.",$C2614,"4 Item Ledger Entry Type",$C$4,"2 Item No.","@@"&amp;$F2614,"3 Posting Date",O$9)-NL("Sum","5802 Value Entry","43 Cost Amount (Actual)","41 Source Type",$C$5,"5 Source no.",$C2614,"4 Item Ledger Entry Type",$C$4,"2 Item No.","@@"&amp;$F2614,"3 Posting Date",O$9)</t>
  </si>
  <si>
    <t>=NL("Sum","5802 Value Entry","150 Sales Amount (Expected)","41 Source Type",$C$5,"5 Source No.",$C2614,"4 Item Ledger Entry Type",$C$4,"2 Item No.","@@"&amp;$F2614,"3 Posting Date",U$9)+NL("Sum","5802 Value Entry","17 Sales Amount (Actual)","41 Source Type",$C$5,"5 Source no.",$C2614,"4 Item Ledger Entry Type",$C$4,"2 Item No.","@@"&amp;$F2614,"3 Posting Date",U$9)</t>
  </si>
  <si>
    <t>=-NL("Sum","5802 Value Entry","151 Cost Amount (Expected)","41 Source Type",$C$5,"5 Source No.",$C2614,"4 Item Ledger Entry Type",$C$4,"2 Item No.","@@"&amp;$F2614,"3 Posting Date",U$9)-NL("Sum","5802 Value Entry","43 Cost Amount (Actual)","41 Source Type",$C$5,"5 Source no.",$C2614,"4 Item Ledger Entry Type",$C$4,"2 Item No.","@@"&amp;$F2614,"3 Posting Date",U$9)</t>
  </si>
  <si>
    <t>=NL("Sum","5802 Value Entry","150 Sales Amount (Expected)","41 Source Type",$C$5,"5 Source No.",$C2614,"4 Item Ledger Entry Type",$C$4,"2 Item No.","@@"&amp;$F2614,"3 Posting Date",Z$9)+NL("Sum","5802 Value Entry","17 Sales Amount (Actual)","41 Source Type",$C$5,"5 Source no.",$C2614,"4 Item Ledger Entry Type",$C$4,"2 Item No.","@@"&amp;$F2614,"3 Posting Date",Z$9)</t>
  </si>
  <si>
    <t>=-NL("Sum","5802 Value Entry","151 Cost Amount (Expected)","41 Source Type",$C$5,"5 Source No.",$C2614,"4 Item Ledger Entry Type",$C$4,"2 Item No.","@@"&amp;$F2614,"3 Posting Date",Z$9)-NL("Sum","5802 Value Entry","43 Cost Amount (Actual)","41 Source Type",$C$5,"5 Source no.",$C2614,"4 Item Ledger Entry Type",$C$4,"2 Item No.","@@"&amp;$F2614,"3 Posting Date",Z$9)</t>
  </si>
  <si>
    <t>=C2614</t>
  </si>
  <si>
    <t>=NL("Sum","5802 Value Entry","150 Sales Amount (Expected)","41 Source Type",$C$5,"5 Source No.",$C2615,"4 Item Ledger Entry Type",$C$4,"2 Item No.","@@"&amp;$F2615,"3 Posting Date",J$9)+NL("Sum","5802 Value Entry","17 Sales Amount (Actual)","41 Source Type",$C$5,"5 Source no.",$C2615,"4 Item Ledger Entry Type",$C$4,"2 Item No.","@@"&amp;$F2615,"3 Posting Date",J$9)</t>
  </si>
  <si>
    <t>=-NL("Sum","5802 Value Entry","151 Cost Amount (Expected)","41 Source Type",$C$5,"5 Source No.",$C2615,"4 Item Ledger Entry Type",$C$4,"2 Item No.","@@"&amp;$F2615,"3 Posting Date",J$9)-NL("Sum","5802 Value Entry","43 Cost Amount (Actual)","41 Source Type",$C$5,"5 Source no.",$C2615,"4 Item Ledger Entry Type",$C$4,"2 Item No.","@@"&amp;$F2615,"3 Posting Date",J$9)</t>
  </si>
  <si>
    <t>=J2615-L2615</t>
  </si>
  <si>
    <t>=IF(J2615&lt;&gt;0,M2615/J2615,"")</t>
  </si>
  <si>
    <t>=NL("Sum","5802 Value Entry","150 Sales Amount (Expected)","41 Source Type",$C$5,"5 Source No.",$C2615,"4 Item Ledger Entry Type",$C$4,"2 Item No.","@@"&amp;$F2615,"3 Posting Date",O$9)+NL("Sum","5802 Value Entry","17 Sales Amount (Actual)","41 Source Type",$C$5,"5 Source no.",$C2615,"4 Item Ledger Entry Type",$C$4,"2 Item No.","@@"&amp;$F2615,"3 Posting Date",O$9)</t>
  </si>
  <si>
    <t>=-NL("Sum","5802 Value Entry","151 Cost Amount (Expected)","41 Source Type",$C$5,"5 Source No.",$C2615,"4 Item Ledger Entry Type",$C$4,"2 Item No.","@@"&amp;$F2615,"3 Posting Date",O$9)-NL("Sum","5802 Value Entry","43 Cost Amount (Actual)","41 Source Type",$C$5,"5 Source no.",$C2615,"4 Item Ledger Entry Type",$C$4,"2 Item No.","@@"&amp;$F2615,"3 Posting Date",O$9)</t>
  </si>
  <si>
    <t>=O2615-Q2615</t>
  </si>
  <si>
    <t>=IF(O2615&lt;&gt;0,R2615/O2615,"")</t>
  </si>
  <si>
    <t>=NL("Sum","5802 Value Entry","150 Sales Amount (Expected)","41 Source Type",$C$5,"5 Source No.",$C2615,"4 Item Ledger Entry Type",$C$4,"2 Item No.","@@"&amp;$F2615,"3 Posting Date",U$9)+NL("Sum","5802 Value Entry","17 Sales Amount (Actual)","41 Source Type",$C$5,"5 Source no.",$C2615,"4 Item Ledger Entry Type",$C$4,"2 Item No.","@@"&amp;$F2615,"3 Posting Date",U$9)</t>
  </si>
  <si>
    <t>=-NL("Sum","5802 Value Entry","151 Cost Amount (Expected)","41 Source Type",$C$5,"5 Source No.",$C2615,"4 Item Ledger Entry Type",$C$4,"2 Item No.","@@"&amp;$F2615,"3 Posting Date",U$9)-NL("Sum","5802 Value Entry","43 Cost Amount (Actual)","41 Source Type",$C$5,"5 Source no.",$C2615,"4 Item Ledger Entry Type",$C$4,"2 Item No.","@@"&amp;$F2615,"3 Posting Date",U$9)</t>
  </si>
  <si>
    <t>=U2615-W2615</t>
  </si>
  <si>
    <t>=IF(U2615&lt;&gt;0,X2615/U2615,"")</t>
  </si>
  <si>
    <t>=NL("Sum","5802 Value Entry","150 Sales Amount (Expected)","41 Source Type",$C$5,"5 Source No.",$C2615,"4 Item Ledger Entry Type",$C$4,"2 Item No.","@@"&amp;$F2615,"3 Posting Date",Z$9)+NL("Sum","5802 Value Entry","17 Sales Amount (Actual)","41 Source Type",$C$5,"5 Source no.",$C2615,"4 Item Ledger Entry Type",$C$4,"2 Item No.","@@"&amp;$F2615,"3 Posting Date",Z$9)</t>
  </si>
  <si>
    <t>=-NL("Sum","5802 Value Entry","151 Cost Amount (Expected)","41 Source Type",$C$5,"5 Source No.",$C2615,"4 Item Ledger Entry Type",$C$4,"2 Item No.","@@"&amp;$F2615,"3 Posting Date",Z$9)-NL("Sum","5802 Value Entry","43 Cost Amount (Actual)","41 Source Type",$C$5,"5 Source no.",$C2615,"4 Item Ledger Entry Type",$C$4,"2 Item No.","@@"&amp;$F2615,"3 Posting Date",Z$9)</t>
  </si>
  <si>
    <t>=Z2615-AB2615</t>
  </si>
  <si>
    <t>=IF(Z2615&lt;&gt;0,AC2615/Z2615,"")</t>
  </si>
  <si>
    <t>=C2615</t>
  </si>
  <si>
    <t>=NL("Sum","5802 Value Entry","150 Sales Amount (Expected)","41 Source Type",$C$5,"5 Source No.",$C2616,"4 Item Ledger Entry Type",$C$4,"2 Item No.","@@"&amp;$F2616,"3 Posting Date",J$9)+NL("Sum","5802 Value Entry","17 Sales Amount (Actual)","41 Source Type",$C$5,"5 Source no.",$C2616,"4 Item Ledger Entry Type",$C$4,"2 Item No.","@@"&amp;$F2616,"3 Posting Date",J$9)</t>
  </si>
  <si>
    <t>=-NL("Sum","5802 Value Entry","151 Cost Amount (Expected)","41 Source Type",$C$5,"5 Source No.",$C2616,"4 Item Ledger Entry Type",$C$4,"2 Item No.","@@"&amp;$F2616,"3 Posting Date",J$9)-NL("Sum","5802 Value Entry","43 Cost Amount (Actual)","41 Source Type",$C$5,"5 Source no.",$C2616,"4 Item Ledger Entry Type",$C$4,"2 Item No.","@@"&amp;$F2616,"3 Posting Date",J$9)</t>
  </si>
  <si>
    <t>=J2616-L2616</t>
  </si>
  <si>
    <t>=IF(J2616&lt;&gt;0,M2616/J2616,"")</t>
  </si>
  <si>
    <t>=NL("Sum","5802 Value Entry","150 Sales Amount (Expected)","41 Source Type",$C$5,"5 Source No.",$C2616,"4 Item Ledger Entry Type",$C$4,"2 Item No.","@@"&amp;$F2616,"3 Posting Date",O$9)+NL("Sum","5802 Value Entry","17 Sales Amount (Actual)","41 Source Type",$C$5,"5 Source no.",$C2616,"4 Item Ledger Entry Type",$C$4,"2 Item No.","@@"&amp;$F2616,"3 Posting Date",O$9)</t>
  </si>
  <si>
    <t>=-NL("Sum","5802 Value Entry","151 Cost Amount (Expected)","41 Source Type",$C$5,"5 Source No.",$C2616,"4 Item Ledger Entry Type",$C$4,"2 Item No.","@@"&amp;$F2616,"3 Posting Date",O$9)-NL("Sum","5802 Value Entry","43 Cost Amount (Actual)","41 Source Type",$C$5,"5 Source no.",$C2616,"4 Item Ledger Entry Type",$C$4,"2 Item No.","@@"&amp;$F2616,"3 Posting Date",O$9)</t>
  </si>
  <si>
    <t>=O2616-Q2616</t>
  </si>
  <si>
    <t>=IF(O2616&lt;&gt;0,R2616/O2616,"")</t>
  </si>
  <si>
    <t>=NL("Sum","5802 Value Entry","150 Sales Amount (Expected)","41 Source Type",$C$5,"5 Source No.",$C2616,"4 Item Ledger Entry Type",$C$4,"2 Item No.","@@"&amp;$F2616,"3 Posting Date",U$9)+NL("Sum","5802 Value Entry","17 Sales Amount (Actual)","41 Source Type",$C$5,"5 Source no.",$C2616,"4 Item Ledger Entry Type",$C$4,"2 Item No.","@@"&amp;$F2616,"3 Posting Date",U$9)</t>
  </si>
  <si>
    <t>=-NL("Sum","5802 Value Entry","151 Cost Amount (Expected)","41 Source Type",$C$5,"5 Source No.",$C2616,"4 Item Ledger Entry Type",$C$4,"2 Item No.","@@"&amp;$F2616,"3 Posting Date",U$9)-NL("Sum","5802 Value Entry","43 Cost Amount (Actual)","41 Source Type",$C$5,"5 Source no.",$C2616,"4 Item Ledger Entry Type",$C$4,"2 Item No.","@@"&amp;$F2616,"3 Posting Date",U$9)</t>
  </si>
  <si>
    <t>=U2616-W2616</t>
  </si>
  <si>
    <t>=IF(U2616&lt;&gt;0,X2616/U2616,"")</t>
  </si>
  <si>
    <t>=NL("Sum","5802 Value Entry","150 Sales Amount (Expected)","41 Source Type",$C$5,"5 Source No.",$C2616,"4 Item Ledger Entry Type",$C$4,"2 Item No.","@@"&amp;$F2616,"3 Posting Date",Z$9)+NL("Sum","5802 Value Entry","17 Sales Amount (Actual)","41 Source Type",$C$5,"5 Source no.",$C2616,"4 Item Ledger Entry Type",$C$4,"2 Item No.","@@"&amp;$F2616,"3 Posting Date",Z$9)</t>
  </si>
  <si>
    <t>=-NL("Sum","5802 Value Entry","151 Cost Amount (Expected)","41 Source Type",$C$5,"5 Source No.",$C2616,"4 Item Ledger Entry Type",$C$4,"2 Item No.","@@"&amp;$F2616,"3 Posting Date",Z$9)-NL("Sum","5802 Value Entry","43 Cost Amount (Actual)","41 Source Type",$C$5,"5 Source no.",$C2616,"4 Item Ledger Entry Type",$C$4,"2 Item No.","@@"&amp;$F2616,"3 Posting Date",Z$9)</t>
  </si>
  <si>
    <t>=Z2616-AB2616</t>
  </si>
  <si>
    <t>=IF(Z2616&lt;&gt;0,AC2616/Z2616,"")</t>
  </si>
  <si>
    <t>=NL("Sum","5802 Value Entry","150 Sales Amount (Expected)","41 Source Type",$C$5,"5 Source No.",$C2617,"4 Item Ledger Entry Type",$C$4,"2 Item No.","@@"&amp;$F2617,"3 Posting Date",J$9)+NL("Sum","5802 Value Entry","17 Sales Amount (Actual)","41 Source Type",$C$5,"5 Source no.",$C2617,"4 Item Ledger Entry Type",$C$4,"2 Item No.","@@"&amp;$F2617,"3 Posting Date",J$9)</t>
  </si>
  <si>
    <t>=-NL("Sum","5802 Value Entry","151 Cost Amount (Expected)","41 Source Type",$C$5,"5 Source No.",$C2617,"4 Item Ledger Entry Type",$C$4,"2 Item No.","@@"&amp;$F2617,"3 Posting Date",J$9)-NL("Sum","5802 Value Entry","43 Cost Amount (Actual)","41 Source Type",$C$5,"5 Source no.",$C2617,"4 Item Ledger Entry Type",$C$4,"2 Item No.","@@"&amp;$F2617,"3 Posting Date",J$9)</t>
  </si>
  <si>
    <t>=J2617-L2617</t>
  </si>
  <si>
    <t>=IF(J2617&lt;&gt;0,M2617/J2617,"")</t>
  </si>
  <si>
    <t>=NL("Sum","5802 Value Entry","150 Sales Amount (Expected)","41 Source Type",$C$5,"5 Source No.",$C2617,"4 Item Ledger Entry Type",$C$4,"2 Item No.","@@"&amp;$F2617,"3 Posting Date",O$9)+NL("Sum","5802 Value Entry","17 Sales Amount (Actual)","41 Source Type",$C$5,"5 Source no.",$C2617,"4 Item Ledger Entry Type",$C$4,"2 Item No.","@@"&amp;$F2617,"3 Posting Date",O$9)</t>
  </si>
  <si>
    <t>=-NL("Sum","5802 Value Entry","151 Cost Amount (Expected)","41 Source Type",$C$5,"5 Source No.",$C2617,"4 Item Ledger Entry Type",$C$4,"2 Item No.","@@"&amp;$F2617,"3 Posting Date",O$9)-NL("Sum","5802 Value Entry","43 Cost Amount (Actual)","41 Source Type",$C$5,"5 Source no.",$C2617,"4 Item Ledger Entry Type",$C$4,"2 Item No.","@@"&amp;$F2617,"3 Posting Date",O$9)</t>
  </si>
  <si>
    <t>=O2617-Q2617</t>
  </si>
  <si>
    <t>=IF(O2617&lt;&gt;0,R2617/O2617,"")</t>
  </si>
  <si>
    <t>=NL("Sum","5802 Value Entry","150 Sales Amount (Expected)","41 Source Type",$C$5,"5 Source No.",$C2617,"4 Item Ledger Entry Type",$C$4,"2 Item No.","@@"&amp;$F2617,"3 Posting Date",U$9)+NL("Sum","5802 Value Entry","17 Sales Amount (Actual)","41 Source Type",$C$5,"5 Source no.",$C2617,"4 Item Ledger Entry Type",$C$4,"2 Item No.","@@"&amp;$F2617,"3 Posting Date",U$9)</t>
  </si>
  <si>
    <t>=-NL("Sum","5802 Value Entry","151 Cost Amount (Expected)","41 Source Type",$C$5,"5 Source No.",$C2617,"4 Item Ledger Entry Type",$C$4,"2 Item No.","@@"&amp;$F2617,"3 Posting Date",U$9)-NL("Sum","5802 Value Entry","43 Cost Amount (Actual)","41 Source Type",$C$5,"5 Source no.",$C2617,"4 Item Ledger Entry Type",$C$4,"2 Item No.","@@"&amp;$F2617,"3 Posting Date",U$9)</t>
  </si>
  <si>
    <t>=U2617-W2617</t>
  </si>
  <si>
    <t>=IF(U2617&lt;&gt;0,X2617/U2617,"")</t>
  </si>
  <si>
    <t>=NL("Sum","5802 Value Entry","150 Sales Amount (Expected)","41 Source Type",$C$5,"5 Source No.",$C2617,"4 Item Ledger Entry Type",$C$4,"2 Item No.","@@"&amp;$F2617,"3 Posting Date",Z$9)+NL("Sum","5802 Value Entry","17 Sales Amount (Actual)","41 Source Type",$C$5,"5 Source no.",$C2617,"4 Item Ledger Entry Type",$C$4,"2 Item No.","@@"&amp;$F2617,"3 Posting Date",Z$9)</t>
  </si>
  <si>
    <t>=-NL("Sum","5802 Value Entry","151 Cost Amount (Expected)","41 Source Type",$C$5,"5 Source No.",$C2617,"4 Item Ledger Entry Type",$C$4,"2 Item No.","@@"&amp;$F2617,"3 Posting Date",Z$9)-NL("Sum","5802 Value Entry","43 Cost Amount (Actual)","41 Source Type",$C$5,"5 Source no.",$C2617,"4 Item Ledger Entry Type",$C$4,"2 Item No.","@@"&amp;$F2617,"3 Posting Date",Z$9)</t>
  </si>
  <si>
    <t>=Z2617-AB2617</t>
  </si>
  <si>
    <t>=IF(Z2617&lt;&gt;0,AC2617/Z2617,"")</t>
  </si>
  <si>
    <t>=C2636&amp;" TOTAL:"</t>
  </si>
  <si>
    <t>=SUBTOTAL(9,J2581:J2635)</t>
  </si>
  <si>
    <t>=SUBTOTAL(9,K2581:K2635)</t>
  </si>
  <si>
    <t>=SUBTOTAL(9,L2581:L2635)</t>
  </si>
  <si>
    <t>=SUBTOTAL(9,O2581:O2635)</t>
  </si>
  <si>
    <t>=SUBTOTAL(9,P2581:P2635)</t>
  </si>
  <si>
    <t>=SUBTOTAL(9,Q2581:Q2635)</t>
  </si>
  <si>
    <t>=SUBTOTAL(9,U2581:U2635)</t>
  </si>
  <si>
    <t>=SUBTOTAL(9,V2581:V2635)</t>
  </si>
  <si>
    <t>=SUBTOTAL(9,W2581:W2635)</t>
  </si>
  <si>
    <t>=SUBTOTAL(9,Z2581:Z2635)</t>
  </si>
  <si>
    <t>=SUBTOTAL(9,AA2581:AA2635)</t>
  </si>
  <si>
    <t>=SUBTOTAL(9,AB2581:AB2635)</t>
  </si>
  <si>
    <t>=E2638</t>
  </si>
  <si>
    <t>=NL(,"18 Customer","2 Name","1 No.",$E2638)</t>
  </si>
  <si>
    <t>=NL("Rows","5802 Value Entry","2 Item No.","4 Item Ledger Entry Type",$C$4,"41 Source Type",$C$5,"5 Source No.",$C2640,"Item No.",$C$7,"3 Posting Date",$C$10)</t>
  </si>
  <si>
    <t>=C2660</t>
  </si>
  <si>
    <t>=NL("Sum","5802 Value Entry","150 Sales Amount (Expected)","41 Source Type",$C$5,"5 Source No.",$C2661,"4 Item Ledger Entry Type",$C$4,"2 Item No.","@@"&amp;$F2661,"3 Posting Date",J$9)+NL("Sum","5802 Value Entry","17 Sales Amount (Actual)","41 Source Type",$C$5,"5 Source no.",$C2661,"4 Item Ledger Entry Type",$C$4,"2 Item No.","@@"&amp;$F2661,"3 Posting Date",J$9)</t>
  </si>
  <si>
    <t>=-NL("Sum","5802 Value Entry","151 Cost Amount (Expected)","41 Source Type",$C$5,"5 Source No.",$C2661,"4 Item Ledger Entry Type",$C$4,"2 Item No.","@@"&amp;$F2661,"3 Posting Date",J$9)-NL("Sum","5802 Value Entry","43 Cost Amount (Actual)","41 Source Type",$C$5,"5 Source no.",$C2661,"4 Item Ledger Entry Type",$C$4,"2 Item No.","@@"&amp;$F2661,"3 Posting Date",J$9)</t>
  </si>
  <si>
    <t>=J2661-L2661</t>
  </si>
  <si>
    <t>=IF(J2661&lt;&gt;0,M2661/J2661,"")</t>
  </si>
  <si>
    <t>=NL("Sum","5802 Value Entry","150 Sales Amount (Expected)","41 Source Type",$C$5,"5 Source No.",$C2661,"4 Item Ledger Entry Type",$C$4,"2 Item No.","@@"&amp;$F2661,"3 Posting Date",O$9)+NL("Sum","5802 Value Entry","17 Sales Amount (Actual)","41 Source Type",$C$5,"5 Source no.",$C2661,"4 Item Ledger Entry Type",$C$4,"2 Item No.","@@"&amp;$F2661,"3 Posting Date",O$9)</t>
  </si>
  <si>
    <t>=-NL("Sum","5802 Value Entry","151 Cost Amount (Expected)","41 Source Type",$C$5,"5 Source No.",$C2661,"4 Item Ledger Entry Type",$C$4,"2 Item No.","@@"&amp;$F2661,"3 Posting Date",O$9)-NL("Sum","5802 Value Entry","43 Cost Amount (Actual)","41 Source Type",$C$5,"5 Source no.",$C2661,"4 Item Ledger Entry Type",$C$4,"2 Item No.","@@"&amp;$F2661,"3 Posting Date",O$9)</t>
  </si>
  <si>
    <t>=O2661-Q2661</t>
  </si>
  <si>
    <t>=IF(O2661&lt;&gt;0,R2661/O2661,"")</t>
  </si>
  <si>
    <t>=NL("Sum","5802 Value Entry","150 Sales Amount (Expected)","41 Source Type",$C$5,"5 Source No.",$C2661,"4 Item Ledger Entry Type",$C$4,"2 Item No.","@@"&amp;$F2661,"3 Posting Date",U$9)+NL("Sum","5802 Value Entry","17 Sales Amount (Actual)","41 Source Type",$C$5,"5 Source no.",$C2661,"4 Item Ledger Entry Type",$C$4,"2 Item No.","@@"&amp;$F2661,"3 Posting Date",U$9)</t>
  </si>
  <si>
    <t>=-NL("Sum","5802 Value Entry","151 Cost Amount (Expected)","41 Source Type",$C$5,"5 Source No.",$C2661,"4 Item Ledger Entry Type",$C$4,"2 Item No.","@@"&amp;$F2661,"3 Posting Date",U$9)-NL("Sum","5802 Value Entry","43 Cost Amount (Actual)","41 Source Type",$C$5,"5 Source no.",$C2661,"4 Item Ledger Entry Type",$C$4,"2 Item No.","@@"&amp;$F2661,"3 Posting Date",U$9)</t>
  </si>
  <si>
    <t>=U2661-W2661</t>
  </si>
  <si>
    <t>=IF(U2661&lt;&gt;0,X2661/U2661,"")</t>
  </si>
  <si>
    <t>=NL("Sum","5802 Value Entry","150 Sales Amount (Expected)","41 Source Type",$C$5,"5 Source No.",$C2661,"4 Item Ledger Entry Type",$C$4,"2 Item No.","@@"&amp;$F2661,"3 Posting Date",Z$9)+NL("Sum","5802 Value Entry","17 Sales Amount (Actual)","41 Source Type",$C$5,"5 Source no.",$C2661,"4 Item Ledger Entry Type",$C$4,"2 Item No.","@@"&amp;$F2661,"3 Posting Date",Z$9)</t>
  </si>
  <si>
    <t>=-NL("Sum","5802 Value Entry","151 Cost Amount (Expected)","41 Source Type",$C$5,"5 Source No.",$C2661,"4 Item Ledger Entry Type",$C$4,"2 Item No.","@@"&amp;$F2661,"3 Posting Date",Z$9)-NL("Sum","5802 Value Entry","43 Cost Amount (Actual)","41 Source Type",$C$5,"5 Source no.",$C2661,"4 Item Ledger Entry Type",$C$4,"2 Item No.","@@"&amp;$F2661,"3 Posting Date",Z$9)</t>
  </si>
  <si>
    <t>=Z2661-AB2661</t>
  </si>
  <si>
    <t>=IF(Z2661&lt;&gt;0,AC2661/Z2661,"")</t>
  </si>
  <si>
    <t>=NL("Sum","5802 Value Entry","150 Sales Amount (Expected)","41 Source Type",$C$5,"5 Source No.",$C2662,"4 Item Ledger Entry Type",$C$4,"2 Item No.","@@"&amp;$F2662,"3 Posting Date",J$9)+NL("Sum","5802 Value Entry","17 Sales Amount (Actual)","41 Source Type",$C$5,"5 Source no.",$C2662,"4 Item Ledger Entry Type",$C$4,"2 Item No.","@@"&amp;$F2662,"3 Posting Date",J$9)</t>
  </si>
  <si>
    <t>=-NL("Sum","5802 Value Entry","151 Cost Amount (Expected)","41 Source Type",$C$5,"5 Source No.",$C2662,"4 Item Ledger Entry Type",$C$4,"2 Item No.","@@"&amp;$F2662,"3 Posting Date",J$9)-NL("Sum","5802 Value Entry","43 Cost Amount (Actual)","41 Source Type",$C$5,"5 Source no.",$C2662,"4 Item Ledger Entry Type",$C$4,"2 Item No.","@@"&amp;$F2662,"3 Posting Date",J$9)</t>
  </si>
  <si>
    <t>=NL("Sum","5802 Value Entry","150 Sales Amount (Expected)","41 Source Type",$C$5,"5 Source No.",$C2662,"4 Item Ledger Entry Type",$C$4,"2 Item No.","@@"&amp;$F2662,"3 Posting Date",O$9)+NL("Sum","5802 Value Entry","17 Sales Amount (Actual)","41 Source Type",$C$5,"5 Source no.",$C2662,"4 Item Ledger Entry Type",$C$4,"2 Item No.","@@"&amp;$F2662,"3 Posting Date",O$9)</t>
  </si>
  <si>
    <t>=-NL("Sum","5802 Value Entry","151 Cost Amount (Expected)","41 Source Type",$C$5,"5 Source No.",$C2662,"4 Item Ledger Entry Type",$C$4,"2 Item No.","@@"&amp;$F2662,"3 Posting Date",O$9)-NL("Sum","5802 Value Entry","43 Cost Amount (Actual)","41 Source Type",$C$5,"5 Source no.",$C2662,"4 Item Ledger Entry Type",$C$4,"2 Item No.","@@"&amp;$F2662,"3 Posting Date",O$9)</t>
  </si>
  <si>
    <t>=NL("Sum","5802 Value Entry","150 Sales Amount (Expected)","41 Source Type",$C$5,"5 Source No.",$C2662,"4 Item Ledger Entry Type",$C$4,"2 Item No.","@@"&amp;$F2662,"3 Posting Date",U$9)+NL("Sum","5802 Value Entry","17 Sales Amount (Actual)","41 Source Type",$C$5,"5 Source no.",$C2662,"4 Item Ledger Entry Type",$C$4,"2 Item No.","@@"&amp;$F2662,"3 Posting Date",U$9)</t>
  </si>
  <si>
    <t>=-NL("Sum","5802 Value Entry","151 Cost Amount (Expected)","41 Source Type",$C$5,"5 Source No.",$C2662,"4 Item Ledger Entry Type",$C$4,"2 Item No.","@@"&amp;$F2662,"3 Posting Date",U$9)-NL("Sum","5802 Value Entry","43 Cost Amount (Actual)","41 Source Type",$C$5,"5 Source no.",$C2662,"4 Item Ledger Entry Type",$C$4,"2 Item No.","@@"&amp;$F2662,"3 Posting Date",U$9)</t>
  </si>
  <si>
    <t>=NL("Sum","5802 Value Entry","150 Sales Amount (Expected)","41 Source Type",$C$5,"5 Source No.",$C2662,"4 Item Ledger Entry Type",$C$4,"2 Item No.","@@"&amp;$F2662,"3 Posting Date",Z$9)+NL("Sum","5802 Value Entry","17 Sales Amount (Actual)","41 Source Type",$C$5,"5 Source no.",$C2662,"4 Item Ledger Entry Type",$C$4,"2 Item No.","@@"&amp;$F2662,"3 Posting Date",Z$9)</t>
  </si>
  <si>
    <t>=-NL("Sum","5802 Value Entry","151 Cost Amount (Expected)","41 Source Type",$C$5,"5 Source No.",$C2662,"4 Item Ledger Entry Type",$C$4,"2 Item No.","@@"&amp;$F2662,"3 Posting Date",Z$9)-NL("Sum","5802 Value Entry","43 Cost Amount (Actual)","41 Source Type",$C$5,"5 Source no.",$C2662,"4 Item Ledger Entry Type",$C$4,"2 Item No.","@@"&amp;$F2662,"3 Posting Date",Z$9)</t>
  </si>
  <si>
    <t>=C2662</t>
  </si>
  <si>
    <t>=NL("Sum","5802 Value Entry","150 Sales Amount (Expected)","41 Source Type",$C$5,"5 Source No.",$C2663,"4 Item Ledger Entry Type",$C$4,"2 Item No.","@@"&amp;$F2663,"3 Posting Date",J$9)+NL("Sum","5802 Value Entry","17 Sales Amount (Actual)","41 Source Type",$C$5,"5 Source no.",$C2663,"4 Item Ledger Entry Type",$C$4,"2 Item No.","@@"&amp;$F2663,"3 Posting Date",J$9)</t>
  </si>
  <si>
    <t>=-NL("Sum","5802 Value Entry","151 Cost Amount (Expected)","41 Source Type",$C$5,"5 Source No.",$C2663,"4 Item Ledger Entry Type",$C$4,"2 Item No.","@@"&amp;$F2663,"3 Posting Date",J$9)-NL("Sum","5802 Value Entry","43 Cost Amount (Actual)","41 Source Type",$C$5,"5 Source no.",$C2663,"4 Item Ledger Entry Type",$C$4,"2 Item No.","@@"&amp;$F2663,"3 Posting Date",J$9)</t>
  </si>
  <si>
    <t>=J2663-L2663</t>
  </si>
  <si>
    <t>=IF(J2663&lt;&gt;0,M2663/J2663,"")</t>
  </si>
  <si>
    <t>=NL("Sum","5802 Value Entry","150 Sales Amount (Expected)","41 Source Type",$C$5,"5 Source No.",$C2663,"4 Item Ledger Entry Type",$C$4,"2 Item No.","@@"&amp;$F2663,"3 Posting Date",O$9)+NL("Sum","5802 Value Entry","17 Sales Amount (Actual)","41 Source Type",$C$5,"5 Source no.",$C2663,"4 Item Ledger Entry Type",$C$4,"2 Item No.","@@"&amp;$F2663,"3 Posting Date",O$9)</t>
  </si>
  <si>
    <t>=-NL("Sum","5802 Value Entry","151 Cost Amount (Expected)","41 Source Type",$C$5,"5 Source No.",$C2663,"4 Item Ledger Entry Type",$C$4,"2 Item No.","@@"&amp;$F2663,"3 Posting Date",O$9)-NL("Sum","5802 Value Entry","43 Cost Amount (Actual)","41 Source Type",$C$5,"5 Source no.",$C2663,"4 Item Ledger Entry Type",$C$4,"2 Item No.","@@"&amp;$F2663,"3 Posting Date",O$9)</t>
  </si>
  <si>
    <t>=O2663-Q2663</t>
  </si>
  <si>
    <t>=IF(O2663&lt;&gt;0,R2663/O2663,"")</t>
  </si>
  <si>
    <t>=NL("Sum","5802 Value Entry","150 Sales Amount (Expected)","41 Source Type",$C$5,"5 Source No.",$C2663,"4 Item Ledger Entry Type",$C$4,"2 Item No.","@@"&amp;$F2663,"3 Posting Date",U$9)+NL("Sum","5802 Value Entry","17 Sales Amount (Actual)","41 Source Type",$C$5,"5 Source no.",$C2663,"4 Item Ledger Entry Type",$C$4,"2 Item No.","@@"&amp;$F2663,"3 Posting Date",U$9)</t>
  </si>
  <si>
    <t>=-NL("Sum","5802 Value Entry","151 Cost Amount (Expected)","41 Source Type",$C$5,"5 Source No.",$C2663,"4 Item Ledger Entry Type",$C$4,"2 Item No.","@@"&amp;$F2663,"3 Posting Date",U$9)-NL("Sum","5802 Value Entry","43 Cost Amount (Actual)","41 Source Type",$C$5,"5 Source no.",$C2663,"4 Item Ledger Entry Type",$C$4,"2 Item No.","@@"&amp;$F2663,"3 Posting Date",U$9)</t>
  </si>
  <si>
    <t>=U2663-W2663</t>
  </si>
  <si>
    <t>=IF(U2663&lt;&gt;0,X2663/U2663,"")</t>
  </si>
  <si>
    <t>=NL("Sum","5802 Value Entry","150 Sales Amount (Expected)","41 Source Type",$C$5,"5 Source No.",$C2663,"4 Item Ledger Entry Type",$C$4,"2 Item No.","@@"&amp;$F2663,"3 Posting Date",Z$9)+NL("Sum","5802 Value Entry","17 Sales Amount (Actual)","41 Source Type",$C$5,"5 Source no.",$C2663,"4 Item Ledger Entry Type",$C$4,"2 Item No.","@@"&amp;$F2663,"3 Posting Date",Z$9)</t>
  </si>
  <si>
    <t>=-NL("Sum","5802 Value Entry","151 Cost Amount (Expected)","41 Source Type",$C$5,"5 Source No.",$C2663,"4 Item Ledger Entry Type",$C$4,"2 Item No.","@@"&amp;$F2663,"3 Posting Date",Z$9)-NL("Sum","5802 Value Entry","43 Cost Amount (Actual)","41 Source Type",$C$5,"5 Source no.",$C2663,"4 Item Ledger Entry Type",$C$4,"2 Item No.","@@"&amp;$F2663,"3 Posting Date",Z$9)</t>
  </si>
  <si>
    <t>=Z2663-AB2663</t>
  </si>
  <si>
    <t>=IF(Z2663&lt;&gt;0,AC2663/Z2663,"")</t>
  </si>
  <si>
    <t>=C2663</t>
  </si>
  <si>
    <t>=NL("Sum","5802 Value Entry","150 Sales Amount (Expected)","41 Source Type",$C$5,"5 Source No.",$C2664,"4 Item Ledger Entry Type",$C$4,"2 Item No.","@@"&amp;$F2664,"3 Posting Date",J$9)+NL("Sum","5802 Value Entry","17 Sales Amount (Actual)","41 Source Type",$C$5,"5 Source no.",$C2664,"4 Item Ledger Entry Type",$C$4,"2 Item No.","@@"&amp;$F2664,"3 Posting Date",J$9)</t>
  </si>
  <si>
    <t>=-NL("Sum","5802 Value Entry","151 Cost Amount (Expected)","41 Source Type",$C$5,"5 Source No.",$C2664,"4 Item Ledger Entry Type",$C$4,"2 Item No.","@@"&amp;$F2664,"3 Posting Date",J$9)-NL("Sum","5802 Value Entry","43 Cost Amount (Actual)","41 Source Type",$C$5,"5 Source no.",$C2664,"4 Item Ledger Entry Type",$C$4,"2 Item No.","@@"&amp;$F2664,"3 Posting Date",J$9)</t>
  </si>
  <si>
    <t>=J2664-L2664</t>
  </si>
  <si>
    <t>=IF(J2664&lt;&gt;0,M2664/J2664,"")</t>
  </si>
  <si>
    <t>=NL("Sum","5802 Value Entry","150 Sales Amount (Expected)","41 Source Type",$C$5,"5 Source No.",$C2664,"4 Item Ledger Entry Type",$C$4,"2 Item No.","@@"&amp;$F2664,"3 Posting Date",O$9)+NL("Sum","5802 Value Entry","17 Sales Amount (Actual)","41 Source Type",$C$5,"5 Source no.",$C2664,"4 Item Ledger Entry Type",$C$4,"2 Item No.","@@"&amp;$F2664,"3 Posting Date",O$9)</t>
  </si>
  <si>
    <t>=-NL("Sum","5802 Value Entry","151 Cost Amount (Expected)","41 Source Type",$C$5,"5 Source No.",$C2664,"4 Item Ledger Entry Type",$C$4,"2 Item No.","@@"&amp;$F2664,"3 Posting Date",O$9)-NL("Sum","5802 Value Entry","43 Cost Amount (Actual)","41 Source Type",$C$5,"5 Source no.",$C2664,"4 Item Ledger Entry Type",$C$4,"2 Item No.","@@"&amp;$F2664,"3 Posting Date",O$9)</t>
  </si>
  <si>
    <t>=O2664-Q2664</t>
  </si>
  <si>
    <t>=IF(O2664&lt;&gt;0,R2664/O2664,"")</t>
  </si>
  <si>
    <t>=NL("Sum","5802 Value Entry","150 Sales Amount (Expected)","41 Source Type",$C$5,"5 Source No.",$C2664,"4 Item Ledger Entry Type",$C$4,"2 Item No.","@@"&amp;$F2664,"3 Posting Date",U$9)+NL("Sum","5802 Value Entry","17 Sales Amount (Actual)","41 Source Type",$C$5,"5 Source no.",$C2664,"4 Item Ledger Entry Type",$C$4,"2 Item No.","@@"&amp;$F2664,"3 Posting Date",U$9)</t>
  </si>
  <si>
    <t>=-NL("Sum","5802 Value Entry","151 Cost Amount (Expected)","41 Source Type",$C$5,"5 Source No.",$C2664,"4 Item Ledger Entry Type",$C$4,"2 Item No.","@@"&amp;$F2664,"3 Posting Date",U$9)-NL("Sum","5802 Value Entry","43 Cost Amount (Actual)","41 Source Type",$C$5,"5 Source no.",$C2664,"4 Item Ledger Entry Type",$C$4,"2 Item No.","@@"&amp;$F2664,"3 Posting Date",U$9)</t>
  </si>
  <si>
    <t>=U2664-W2664</t>
  </si>
  <si>
    <t>=IF(U2664&lt;&gt;0,X2664/U2664,"")</t>
  </si>
  <si>
    <t>=NL("Sum","5802 Value Entry","150 Sales Amount (Expected)","41 Source Type",$C$5,"5 Source No.",$C2664,"4 Item Ledger Entry Type",$C$4,"2 Item No.","@@"&amp;$F2664,"3 Posting Date",Z$9)+NL("Sum","5802 Value Entry","17 Sales Amount (Actual)","41 Source Type",$C$5,"5 Source no.",$C2664,"4 Item Ledger Entry Type",$C$4,"2 Item No.","@@"&amp;$F2664,"3 Posting Date",Z$9)</t>
  </si>
  <si>
    <t>=-NL("Sum","5802 Value Entry","151 Cost Amount (Expected)","41 Source Type",$C$5,"5 Source No.",$C2664,"4 Item Ledger Entry Type",$C$4,"2 Item No.","@@"&amp;$F2664,"3 Posting Date",Z$9)-NL("Sum","5802 Value Entry","43 Cost Amount (Actual)","41 Source Type",$C$5,"5 Source no.",$C2664,"4 Item Ledger Entry Type",$C$4,"2 Item No.","@@"&amp;$F2664,"3 Posting Date",Z$9)</t>
  </si>
  <si>
    <t>=Z2664-AB2664</t>
  </si>
  <si>
    <t>=IF(Z2664&lt;&gt;0,AC2664/Z2664,"")</t>
  </si>
  <si>
    <t>=NL("Sum","5802 Value Entry","150 Sales Amount (Expected)","41 Source Type",$C$5,"5 Source No.",$C2665,"4 Item Ledger Entry Type",$C$4,"2 Item No.","@@"&amp;$F2665,"3 Posting Date",J$9)+NL("Sum","5802 Value Entry","17 Sales Amount (Actual)","41 Source Type",$C$5,"5 Source no.",$C2665,"4 Item Ledger Entry Type",$C$4,"2 Item No.","@@"&amp;$F2665,"3 Posting Date",J$9)</t>
  </si>
  <si>
    <t>=-NL("Sum","5802 Value Entry","151 Cost Amount (Expected)","41 Source Type",$C$5,"5 Source No.",$C2665,"4 Item Ledger Entry Type",$C$4,"2 Item No.","@@"&amp;$F2665,"3 Posting Date",J$9)-NL("Sum","5802 Value Entry","43 Cost Amount (Actual)","41 Source Type",$C$5,"5 Source no.",$C2665,"4 Item Ledger Entry Type",$C$4,"2 Item No.","@@"&amp;$F2665,"3 Posting Date",J$9)</t>
  </si>
  <si>
    <t>=J2665-L2665</t>
  </si>
  <si>
    <t>=IF(J2665&lt;&gt;0,M2665/J2665,"")</t>
  </si>
  <si>
    <t>=NL("Sum","5802 Value Entry","150 Sales Amount (Expected)","41 Source Type",$C$5,"5 Source No.",$C2665,"4 Item Ledger Entry Type",$C$4,"2 Item No.","@@"&amp;$F2665,"3 Posting Date",O$9)+NL("Sum","5802 Value Entry","17 Sales Amount (Actual)","41 Source Type",$C$5,"5 Source no.",$C2665,"4 Item Ledger Entry Type",$C$4,"2 Item No.","@@"&amp;$F2665,"3 Posting Date",O$9)</t>
  </si>
  <si>
    <t>=-NL("Sum","5802 Value Entry","151 Cost Amount (Expected)","41 Source Type",$C$5,"5 Source No.",$C2665,"4 Item Ledger Entry Type",$C$4,"2 Item No.","@@"&amp;$F2665,"3 Posting Date",O$9)-NL("Sum","5802 Value Entry","43 Cost Amount (Actual)","41 Source Type",$C$5,"5 Source no.",$C2665,"4 Item Ledger Entry Type",$C$4,"2 Item No.","@@"&amp;$F2665,"3 Posting Date",O$9)</t>
  </si>
  <si>
    <t>=O2665-Q2665</t>
  </si>
  <si>
    <t>=IF(O2665&lt;&gt;0,R2665/O2665,"")</t>
  </si>
  <si>
    <t>=NL("Sum","5802 Value Entry","150 Sales Amount (Expected)","41 Source Type",$C$5,"5 Source No.",$C2665,"4 Item Ledger Entry Type",$C$4,"2 Item No.","@@"&amp;$F2665,"3 Posting Date",U$9)+NL("Sum","5802 Value Entry","17 Sales Amount (Actual)","41 Source Type",$C$5,"5 Source no.",$C2665,"4 Item Ledger Entry Type",$C$4,"2 Item No.","@@"&amp;$F2665,"3 Posting Date",U$9)</t>
  </si>
  <si>
    <t>=-NL("Sum","5802 Value Entry","151 Cost Amount (Expected)","41 Source Type",$C$5,"5 Source No.",$C2665,"4 Item Ledger Entry Type",$C$4,"2 Item No.","@@"&amp;$F2665,"3 Posting Date",U$9)-NL("Sum","5802 Value Entry","43 Cost Amount (Actual)","41 Source Type",$C$5,"5 Source no.",$C2665,"4 Item Ledger Entry Type",$C$4,"2 Item No.","@@"&amp;$F2665,"3 Posting Date",U$9)</t>
  </si>
  <si>
    <t>=U2665-W2665</t>
  </si>
  <si>
    <t>=IF(U2665&lt;&gt;0,X2665/U2665,"")</t>
  </si>
  <si>
    <t>=NL("Sum","5802 Value Entry","150 Sales Amount (Expected)","41 Source Type",$C$5,"5 Source No.",$C2665,"4 Item Ledger Entry Type",$C$4,"2 Item No.","@@"&amp;$F2665,"3 Posting Date",Z$9)+NL("Sum","5802 Value Entry","17 Sales Amount (Actual)","41 Source Type",$C$5,"5 Source no.",$C2665,"4 Item Ledger Entry Type",$C$4,"2 Item No.","@@"&amp;$F2665,"3 Posting Date",Z$9)</t>
  </si>
  <si>
    <t>=-NL("Sum","5802 Value Entry","151 Cost Amount (Expected)","41 Source Type",$C$5,"5 Source No.",$C2665,"4 Item Ledger Entry Type",$C$4,"2 Item No.","@@"&amp;$F2665,"3 Posting Date",Z$9)-NL("Sum","5802 Value Entry","43 Cost Amount (Actual)","41 Source Type",$C$5,"5 Source no.",$C2665,"4 Item Ledger Entry Type",$C$4,"2 Item No.","@@"&amp;$F2665,"3 Posting Date",Z$9)</t>
  </si>
  <si>
    <t>=Z2665-AB2665</t>
  </si>
  <si>
    <t>=IF(Z2665&lt;&gt;0,AC2665/Z2665,"")</t>
  </si>
  <si>
    <t>=C2679&amp;" TOTAL:"</t>
  </si>
  <si>
    <t>=SUBTOTAL(9,J2639:J2678)</t>
  </si>
  <si>
    <t>=SUBTOTAL(9,K2639:K2678)</t>
  </si>
  <si>
    <t>=SUBTOTAL(9,L2639:L2678)</t>
  </si>
  <si>
    <t>=SUBTOTAL(9,O2639:O2678)</t>
  </si>
  <si>
    <t>=SUBTOTAL(9,P2639:P2678)</t>
  </si>
  <si>
    <t>=SUBTOTAL(9,Q2639:Q2678)</t>
  </si>
  <si>
    <t>=SUBTOTAL(9,U2639:U2678)</t>
  </si>
  <si>
    <t>=SUBTOTAL(9,V2639:V2678)</t>
  </si>
  <si>
    <t>=SUBTOTAL(9,W2639:W2678)</t>
  </si>
  <si>
    <t>=SUBTOTAL(9,Z2639:Z2678)</t>
  </si>
  <si>
    <t>=SUBTOTAL(9,AA2639:AA2678)</t>
  </si>
  <si>
    <t>=SUBTOTAL(9,AB2639:AB2678)</t>
  </si>
  <si>
    <t>=E2681</t>
  </si>
  <si>
    <t>=NL(,"18 Customer","2 Name","1 No.",$E2681)</t>
  </si>
  <si>
    <t>=NL("Rows","5802 Value Entry","2 Item No.","4 Item Ledger Entry Type",$C$4,"41 Source Type",$C$5,"5 Source No.",$C2683,"Item No.",$C$7,"3 Posting Date",$C$10)</t>
  </si>
  <si>
    <t>=C2712</t>
  </si>
  <si>
    <t>=NL("Sum","5802 Value Entry","150 Sales Amount (Expected)","41 Source Type",$C$5,"5 Source No.",$C2713,"4 Item Ledger Entry Type",$C$4,"2 Item No.","@@"&amp;$F2713,"3 Posting Date",J$9)+NL("Sum","5802 Value Entry","17 Sales Amount (Actual)","41 Source Type",$C$5,"5 Source no.",$C2713,"4 Item Ledger Entry Type",$C$4,"2 Item No.","@@"&amp;$F2713,"3 Posting Date",J$9)</t>
  </si>
  <si>
    <t>=-NL("Sum","5802 Value Entry","151 Cost Amount (Expected)","41 Source Type",$C$5,"5 Source No.",$C2713,"4 Item Ledger Entry Type",$C$4,"2 Item No.","@@"&amp;$F2713,"3 Posting Date",J$9)-NL("Sum","5802 Value Entry","43 Cost Amount (Actual)","41 Source Type",$C$5,"5 Source no.",$C2713,"4 Item Ledger Entry Type",$C$4,"2 Item No.","@@"&amp;$F2713,"3 Posting Date",J$9)</t>
  </si>
  <si>
    <t>=J2713-L2713</t>
  </si>
  <si>
    <t>=IF(J2713&lt;&gt;0,M2713/J2713,"")</t>
  </si>
  <si>
    <t>=NL("Sum","5802 Value Entry","150 Sales Amount (Expected)","41 Source Type",$C$5,"5 Source No.",$C2713,"4 Item Ledger Entry Type",$C$4,"2 Item No.","@@"&amp;$F2713,"3 Posting Date",O$9)+NL("Sum","5802 Value Entry","17 Sales Amount (Actual)","41 Source Type",$C$5,"5 Source no.",$C2713,"4 Item Ledger Entry Type",$C$4,"2 Item No.","@@"&amp;$F2713,"3 Posting Date",O$9)</t>
  </si>
  <si>
    <t>=-NL("Sum","5802 Value Entry","151 Cost Amount (Expected)","41 Source Type",$C$5,"5 Source No.",$C2713,"4 Item Ledger Entry Type",$C$4,"2 Item No.","@@"&amp;$F2713,"3 Posting Date",O$9)-NL("Sum","5802 Value Entry","43 Cost Amount (Actual)","41 Source Type",$C$5,"5 Source no.",$C2713,"4 Item Ledger Entry Type",$C$4,"2 Item No.","@@"&amp;$F2713,"3 Posting Date",O$9)</t>
  </si>
  <si>
    <t>=O2713-Q2713</t>
  </si>
  <si>
    <t>=IF(O2713&lt;&gt;0,R2713/O2713,"")</t>
  </si>
  <si>
    <t>=NL("Sum","5802 Value Entry","150 Sales Amount (Expected)","41 Source Type",$C$5,"5 Source No.",$C2713,"4 Item Ledger Entry Type",$C$4,"2 Item No.","@@"&amp;$F2713,"3 Posting Date",U$9)+NL("Sum","5802 Value Entry","17 Sales Amount (Actual)","41 Source Type",$C$5,"5 Source no.",$C2713,"4 Item Ledger Entry Type",$C$4,"2 Item No.","@@"&amp;$F2713,"3 Posting Date",U$9)</t>
  </si>
  <si>
    <t>=-NL("Sum","5802 Value Entry","151 Cost Amount (Expected)","41 Source Type",$C$5,"5 Source No.",$C2713,"4 Item Ledger Entry Type",$C$4,"2 Item No.","@@"&amp;$F2713,"3 Posting Date",U$9)-NL("Sum","5802 Value Entry","43 Cost Amount (Actual)","41 Source Type",$C$5,"5 Source no.",$C2713,"4 Item Ledger Entry Type",$C$4,"2 Item No.","@@"&amp;$F2713,"3 Posting Date",U$9)</t>
  </si>
  <si>
    <t>=U2713-W2713</t>
  </si>
  <si>
    <t>=IF(U2713&lt;&gt;0,X2713/U2713,"")</t>
  </si>
  <si>
    <t>=NL("Sum","5802 Value Entry","150 Sales Amount (Expected)","41 Source Type",$C$5,"5 Source No.",$C2713,"4 Item Ledger Entry Type",$C$4,"2 Item No.","@@"&amp;$F2713,"3 Posting Date",Z$9)+NL("Sum","5802 Value Entry","17 Sales Amount (Actual)","41 Source Type",$C$5,"5 Source no.",$C2713,"4 Item Ledger Entry Type",$C$4,"2 Item No.","@@"&amp;$F2713,"3 Posting Date",Z$9)</t>
  </si>
  <si>
    <t>=-NL("Sum","5802 Value Entry","151 Cost Amount (Expected)","41 Source Type",$C$5,"5 Source No.",$C2713,"4 Item Ledger Entry Type",$C$4,"2 Item No.","@@"&amp;$F2713,"3 Posting Date",Z$9)-NL("Sum","5802 Value Entry","43 Cost Amount (Actual)","41 Source Type",$C$5,"5 Source no.",$C2713,"4 Item Ledger Entry Type",$C$4,"2 Item No.","@@"&amp;$F2713,"3 Posting Date",Z$9)</t>
  </si>
  <si>
    <t>=Z2713-AB2713</t>
  </si>
  <si>
    <t>=IF(Z2713&lt;&gt;0,AC2713/Z2713,"")</t>
  </si>
  <si>
    <t>=NL("Sum","5802 Value Entry","150 Sales Amount (Expected)","41 Source Type",$C$5,"5 Source No.",$C2714,"4 Item Ledger Entry Type",$C$4,"2 Item No.","@@"&amp;$F2714,"3 Posting Date",J$9)+NL("Sum","5802 Value Entry","17 Sales Amount (Actual)","41 Source Type",$C$5,"5 Source no.",$C2714,"4 Item Ledger Entry Type",$C$4,"2 Item No.","@@"&amp;$F2714,"3 Posting Date",J$9)</t>
  </si>
  <si>
    <t>=-NL("Sum","5802 Value Entry","151 Cost Amount (Expected)","41 Source Type",$C$5,"5 Source No.",$C2714,"4 Item Ledger Entry Type",$C$4,"2 Item No.","@@"&amp;$F2714,"3 Posting Date",J$9)-NL("Sum","5802 Value Entry","43 Cost Amount (Actual)","41 Source Type",$C$5,"5 Source no.",$C2714,"4 Item Ledger Entry Type",$C$4,"2 Item No.","@@"&amp;$F2714,"3 Posting Date",J$9)</t>
  </si>
  <si>
    <t>=NL("Sum","5802 Value Entry","150 Sales Amount (Expected)","41 Source Type",$C$5,"5 Source No.",$C2714,"4 Item Ledger Entry Type",$C$4,"2 Item No.","@@"&amp;$F2714,"3 Posting Date",O$9)+NL("Sum","5802 Value Entry","17 Sales Amount (Actual)","41 Source Type",$C$5,"5 Source no.",$C2714,"4 Item Ledger Entry Type",$C$4,"2 Item No.","@@"&amp;$F2714,"3 Posting Date",O$9)</t>
  </si>
  <si>
    <t>=-NL("Sum","5802 Value Entry","151 Cost Amount (Expected)","41 Source Type",$C$5,"5 Source No.",$C2714,"4 Item Ledger Entry Type",$C$4,"2 Item No.","@@"&amp;$F2714,"3 Posting Date",O$9)-NL("Sum","5802 Value Entry","43 Cost Amount (Actual)","41 Source Type",$C$5,"5 Source no.",$C2714,"4 Item Ledger Entry Type",$C$4,"2 Item No.","@@"&amp;$F2714,"3 Posting Date",O$9)</t>
  </si>
  <si>
    <t>=NL("Sum","5802 Value Entry","150 Sales Amount (Expected)","41 Source Type",$C$5,"5 Source No.",$C2714,"4 Item Ledger Entry Type",$C$4,"2 Item No.","@@"&amp;$F2714,"3 Posting Date",U$9)+NL("Sum","5802 Value Entry","17 Sales Amount (Actual)","41 Source Type",$C$5,"5 Source no.",$C2714,"4 Item Ledger Entry Type",$C$4,"2 Item No.","@@"&amp;$F2714,"3 Posting Date",U$9)</t>
  </si>
  <si>
    <t>=-NL("Sum","5802 Value Entry","151 Cost Amount (Expected)","41 Source Type",$C$5,"5 Source No.",$C2714,"4 Item Ledger Entry Type",$C$4,"2 Item No.","@@"&amp;$F2714,"3 Posting Date",U$9)-NL("Sum","5802 Value Entry","43 Cost Amount (Actual)","41 Source Type",$C$5,"5 Source no.",$C2714,"4 Item Ledger Entry Type",$C$4,"2 Item No.","@@"&amp;$F2714,"3 Posting Date",U$9)</t>
  </si>
  <si>
    <t>=NL("Sum","5802 Value Entry","150 Sales Amount (Expected)","41 Source Type",$C$5,"5 Source No.",$C2714,"4 Item Ledger Entry Type",$C$4,"2 Item No.","@@"&amp;$F2714,"3 Posting Date",Z$9)+NL("Sum","5802 Value Entry","17 Sales Amount (Actual)","41 Source Type",$C$5,"5 Source no.",$C2714,"4 Item Ledger Entry Type",$C$4,"2 Item No.","@@"&amp;$F2714,"3 Posting Date",Z$9)</t>
  </si>
  <si>
    <t>=-NL("Sum","5802 Value Entry","151 Cost Amount (Expected)","41 Source Type",$C$5,"5 Source No.",$C2714,"4 Item Ledger Entry Type",$C$4,"2 Item No.","@@"&amp;$F2714,"3 Posting Date",Z$9)-NL("Sum","5802 Value Entry","43 Cost Amount (Actual)","41 Source Type",$C$5,"5 Source no.",$C2714,"4 Item Ledger Entry Type",$C$4,"2 Item No.","@@"&amp;$F2714,"3 Posting Date",Z$9)</t>
  </si>
  <si>
    <t>=C2714</t>
  </si>
  <si>
    <t>=NL("Sum","5802 Value Entry","150 Sales Amount (Expected)","41 Source Type",$C$5,"5 Source No.",$C2715,"4 Item Ledger Entry Type",$C$4,"2 Item No.","@@"&amp;$F2715,"3 Posting Date",J$9)+NL("Sum","5802 Value Entry","17 Sales Amount (Actual)","41 Source Type",$C$5,"5 Source no.",$C2715,"4 Item Ledger Entry Type",$C$4,"2 Item No.","@@"&amp;$F2715,"3 Posting Date",J$9)</t>
  </si>
  <si>
    <t>=-NL("Sum","5802 Value Entry","151 Cost Amount (Expected)","41 Source Type",$C$5,"5 Source No.",$C2715,"4 Item Ledger Entry Type",$C$4,"2 Item No.","@@"&amp;$F2715,"3 Posting Date",J$9)-NL("Sum","5802 Value Entry","43 Cost Amount (Actual)","41 Source Type",$C$5,"5 Source no.",$C2715,"4 Item Ledger Entry Type",$C$4,"2 Item No.","@@"&amp;$F2715,"3 Posting Date",J$9)</t>
  </si>
  <si>
    <t>=J2715-L2715</t>
  </si>
  <si>
    <t>=IF(J2715&lt;&gt;0,M2715/J2715,"")</t>
  </si>
  <si>
    <t>=NL("Sum","5802 Value Entry","150 Sales Amount (Expected)","41 Source Type",$C$5,"5 Source No.",$C2715,"4 Item Ledger Entry Type",$C$4,"2 Item No.","@@"&amp;$F2715,"3 Posting Date",O$9)+NL("Sum","5802 Value Entry","17 Sales Amount (Actual)","41 Source Type",$C$5,"5 Source no.",$C2715,"4 Item Ledger Entry Type",$C$4,"2 Item No.","@@"&amp;$F2715,"3 Posting Date",O$9)</t>
  </si>
  <si>
    <t>=-NL("Sum","5802 Value Entry","151 Cost Amount (Expected)","41 Source Type",$C$5,"5 Source No.",$C2715,"4 Item Ledger Entry Type",$C$4,"2 Item No.","@@"&amp;$F2715,"3 Posting Date",O$9)-NL("Sum","5802 Value Entry","43 Cost Amount (Actual)","41 Source Type",$C$5,"5 Source no.",$C2715,"4 Item Ledger Entry Type",$C$4,"2 Item No.","@@"&amp;$F2715,"3 Posting Date",O$9)</t>
  </si>
  <si>
    <t>=O2715-Q2715</t>
  </si>
  <si>
    <t>=IF(O2715&lt;&gt;0,R2715/O2715,"")</t>
  </si>
  <si>
    <t>=NL("Sum","5802 Value Entry","150 Sales Amount (Expected)","41 Source Type",$C$5,"5 Source No.",$C2715,"4 Item Ledger Entry Type",$C$4,"2 Item No.","@@"&amp;$F2715,"3 Posting Date",U$9)+NL("Sum","5802 Value Entry","17 Sales Amount (Actual)","41 Source Type",$C$5,"5 Source no.",$C2715,"4 Item Ledger Entry Type",$C$4,"2 Item No.","@@"&amp;$F2715,"3 Posting Date",U$9)</t>
  </si>
  <si>
    <t>=-NL("Sum","5802 Value Entry","151 Cost Amount (Expected)","41 Source Type",$C$5,"5 Source No.",$C2715,"4 Item Ledger Entry Type",$C$4,"2 Item No.","@@"&amp;$F2715,"3 Posting Date",U$9)-NL("Sum","5802 Value Entry","43 Cost Amount (Actual)","41 Source Type",$C$5,"5 Source no.",$C2715,"4 Item Ledger Entry Type",$C$4,"2 Item No.","@@"&amp;$F2715,"3 Posting Date",U$9)</t>
  </si>
  <si>
    <t>=U2715-W2715</t>
  </si>
  <si>
    <t>=IF(U2715&lt;&gt;0,X2715/U2715,"")</t>
  </si>
  <si>
    <t>=NL("Sum","5802 Value Entry","150 Sales Amount (Expected)","41 Source Type",$C$5,"5 Source No.",$C2715,"4 Item Ledger Entry Type",$C$4,"2 Item No.","@@"&amp;$F2715,"3 Posting Date",Z$9)+NL("Sum","5802 Value Entry","17 Sales Amount (Actual)","41 Source Type",$C$5,"5 Source no.",$C2715,"4 Item Ledger Entry Type",$C$4,"2 Item No.","@@"&amp;$F2715,"3 Posting Date",Z$9)</t>
  </si>
  <si>
    <t>=-NL("Sum","5802 Value Entry","151 Cost Amount (Expected)","41 Source Type",$C$5,"5 Source No.",$C2715,"4 Item Ledger Entry Type",$C$4,"2 Item No.","@@"&amp;$F2715,"3 Posting Date",Z$9)-NL("Sum","5802 Value Entry","43 Cost Amount (Actual)","41 Source Type",$C$5,"5 Source no.",$C2715,"4 Item Ledger Entry Type",$C$4,"2 Item No.","@@"&amp;$F2715,"3 Posting Date",Z$9)</t>
  </si>
  <si>
    <t>=Z2715-AB2715</t>
  </si>
  <si>
    <t>=IF(Z2715&lt;&gt;0,AC2715/Z2715,"")</t>
  </si>
  <si>
    <t>=C2715</t>
  </si>
  <si>
    <t>=NL("Sum","5802 Value Entry","150 Sales Amount (Expected)","41 Source Type",$C$5,"5 Source No.",$C2716,"4 Item Ledger Entry Type",$C$4,"2 Item No.","@@"&amp;$F2716,"3 Posting Date",J$9)+NL("Sum","5802 Value Entry","17 Sales Amount (Actual)","41 Source Type",$C$5,"5 Source no.",$C2716,"4 Item Ledger Entry Type",$C$4,"2 Item No.","@@"&amp;$F2716,"3 Posting Date",J$9)</t>
  </si>
  <si>
    <t>=-NL("Sum","5802 Value Entry","151 Cost Amount (Expected)","41 Source Type",$C$5,"5 Source No.",$C2716,"4 Item Ledger Entry Type",$C$4,"2 Item No.","@@"&amp;$F2716,"3 Posting Date",J$9)-NL("Sum","5802 Value Entry","43 Cost Amount (Actual)","41 Source Type",$C$5,"5 Source no.",$C2716,"4 Item Ledger Entry Type",$C$4,"2 Item No.","@@"&amp;$F2716,"3 Posting Date",J$9)</t>
  </si>
  <si>
    <t>=J2716-L2716</t>
  </si>
  <si>
    <t>=IF(J2716&lt;&gt;0,M2716/J2716,"")</t>
  </si>
  <si>
    <t>=NL("Sum","5802 Value Entry","150 Sales Amount (Expected)","41 Source Type",$C$5,"5 Source No.",$C2716,"4 Item Ledger Entry Type",$C$4,"2 Item No.","@@"&amp;$F2716,"3 Posting Date",O$9)+NL("Sum","5802 Value Entry","17 Sales Amount (Actual)","41 Source Type",$C$5,"5 Source no.",$C2716,"4 Item Ledger Entry Type",$C$4,"2 Item No.","@@"&amp;$F2716,"3 Posting Date",O$9)</t>
  </si>
  <si>
    <t>=-NL("Sum","5802 Value Entry","151 Cost Amount (Expected)","41 Source Type",$C$5,"5 Source No.",$C2716,"4 Item Ledger Entry Type",$C$4,"2 Item No.","@@"&amp;$F2716,"3 Posting Date",O$9)-NL("Sum","5802 Value Entry","43 Cost Amount (Actual)","41 Source Type",$C$5,"5 Source no.",$C2716,"4 Item Ledger Entry Type",$C$4,"2 Item No.","@@"&amp;$F2716,"3 Posting Date",O$9)</t>
  </si>
  <si>
    <t>=O2716-Q2716</t>
  </si>
  <si>
    <t>=IF(O2716&lt;&gt;0,R2716/O2716,"")</t>
  </si>
  <si>
    <t>=NL("Sum","5802 Value Entry","150 Sales Amount (Expected)","41 Source Type",$C$5,"5 Source No.",$C2716,"4 Item Ledger Entry Type",$C$4,"2 Item No.","@@"&amp;$F2716,"3 Posting Date",U$9)+NL("Sum","5802 Value Entry","17 Sales Amount (Actual)","41 Source Type",$C$5,"5 Source no.",$C2716,"4 Item Ledger Entry Type",$C$4,"2 Item No.","@@"&amp;$F2716,"3 Posting Date",U$9)</t>
  </si>
  <si>
    <t>=-NL("Sum","5802 Value Entry","151 Cost Amount (Expected)","41 Source Type",$C$5,"5 Source No.",$C2716,"4 Item Ledger Entry Type",$C$4,"2 Item No.","@@"&amp;$F2716,"3 Posting Date",U$9)-NL("Sum","5802 Value Entry","43 Cost Amount (Actual)","41 Source Type",$C$5,"5 Source no.",$C2716,"4 Item Ledger Entry Type",$C$4,"2 Item No.","@@"&amp;$F2716,"3 Posting Date",U$9)</t>
  </si>
  <si>
    <t>=U2716-W2716</t>
  </si>
  <si>
    <t>=IF(U2716&lt;&gt;0,X2716/U2716,"")</t>
  </si>
  <si>
    <t>=NL("Sum","5802 Value Entry","150 Sales Amount (Expected)","41 Source Type",$C$5,"5 Source No.",$C2716,"4 Item Ledger Entry Type",$C$4,"2 Item No.","@@"&amp;$F2716,"3 Posting Date",Z$9)+NL("Sum","5802 Value Entry","17 Sales Amount (Actual)","41 Source Type",$C$5,"5 Source no.",$C2716,"4 Item Ledger Entry Type",$C$4,"2 Item No.","@@"&amp;$F2716,"3 Posting Date",Z$9)</t>
  </si>
  <si>
    <t>=-NL("Sum","5802 Value Entry","151 Cost Amount (Expected)","41 Source Type",$C$5,"5 Source No.",$C2716,"4 Item Ledger Entry Type",$C$4,"2 Item No.","@@"&amp;$F2716,"3 Posting Date",Z$9)-NL("Sum","5802 Value Entry","43 Cost Amount (Actual)","41 Source Type",$C$5,"5 Source no.",$C2716,"4 Item Ledger Entry Type",$C$4,"2 Item No.","@@"&amp;$F2716,"3 Posting Date",Z$9)</t>
  </si>
  <si>
    <t>=Z2716-AB2716</t>
  </si>
  <si>
    <t>=IF(Z2716&lt;&gt;0,AC2716/Z2716,"")</t>
  </si>
  <si>
    <t>=NL("Sum","5802 Value Entry","150 Sales Amount (Expected)","41 Source Type",$C$5,"5 Source No.",$C2717,"4 Item Ledger Entry Type",$C$4,"2 Item No.","@@"&amp;$F2717,"3 Posting Date",J$9)+NL("Sum","5802 Value Entry","17 Sales Amount (Actual)","41 Source Type",$C$5,"5 Source no.",$C2717,"4 Item Ledger Entry Type",$C$4,"2 Item No.","@@"&amp;$F2717,"3 Posting Date",J$9)</t>
  </si>
  <si>
    <t>=-NL("Sum","5802 Value Entry","151 Cost Amount (Expected)","41 Source Type",$C$5,"5 Source No.",$C2717,"4 Item Ledger Entry Type",$C$4,"2 Item No.","@@"&amp;$F2717,"3 Posting Date",J$9)-NL("Sum","5802 Value Entry","43 Cost Amount (Actual)","41 Source Type",$C$5,"5 Source no.",$C2717,"4 Item Ledger Entry Type",$C$4,"2 Item No.","@@"&amp;$F2717,"3 Posting Date",J$9)</t>
  </si>
  <si>
    <t>=J2717-L2717</t>
  </si>
  <si>
    <t>=IF(J2717&lt;&gt;0,M2717/J2717,"")</t>
  </si>
  <si>
    <t>=NL("Sum","5802 Value Entry","150 Sales Amount (Expected)","41 Source Type",$C$5,"5 Source No.",$C2717,"4 Item Ledger Entry Type",$C$4,"2 Item No.","@@"&amp;$F2717,"3 Posting Date",O$9)+NL("Sum","5802 Value Entry","17 Sales Amount (Actual)","41 Source Type",$C$5,"5 Source no.",$C2717,"4 Item Ledger Entry Type",$C$4,"2 Item No.","@@"&amp;$F2717,"3 Posting Date",O$9)</t>
  </si>
  <si>
    <t>=-NL("Sum","5802 Value Entry","151 Cost Amount (Expected)","41 Source Type",$C$5,"5 Source No.",$C2717,"4 Item Ledger Entry Type",$C$4,"2 Item No.","@@"&amp;$F2717,"3 Posting Date",O$9)-NL("Sum","5802 Value Entry","43 Cost Amount (Actual)","41 Source Type",$C$5,"5 Source no.",$C2717,"4 Item Ledger Entry Type",$C$4,"2 Item No.","@@"&amp;$F2717,"3 Posting Date",O$9)</t>
  </si>
  <si>
    <t>=O2717-Q2717</t>
  </si>
  <si>
    <t>=IF(O2717&lt;&gt;0,R2717/O2717,"")</t>
  </si>
  <si>
    <t>=NL("Sum","5802 Value Entry","150 Sales Amount (Expected)","41 Source Type",$C$5,"5 Source No.",$C2717,"4 Item Ledger Entry Type",$C$4,"2 Item No.","@@"&amp;$F2717,"3 Posting Date",U$9)+NL("Sum","5802 Value Entry","17 Sales Amount (Actual)","41 Source Type",$C$5,"5 Source no.",$C2717,"4 Item Ledger Entry Type",$C$4,"2 Item No.","@@"&amp;$F2717,"3 Posting Date",U$9)</t>
  </si>
  <si>
    <t>=-NL("Sum","5802 Value Entry","151 Cost Amount (Expected)","41 Source Type",$C$5,"5 Source No.",$C2717,"4 Item Ledger Entry Type",$C$4,"2 Item No.","@@"&amp;$F2717,"3 Posting Date",U$9)-NL("Sum","5802 Value Entry","43 Cost Amount (Actual)","41 Source Type",$C$5,"5 Source no.",$C2717,"4 Item Ledger Entry Type",$C$4,"2 Item No.","@@"&amp;$F2717,"3 Posting Date",U$9)</t>
  </si>
  <si>
    <t>=U2717-W2717</t>
  </si>
  <si>
    <t>=IF(U2717&lt;&gt;0,X2717/U2717,"")</t>
  </si>
  <si>
    <t>=NL("Sum","5802 Value Entry","150 Sales Amount (Expected)","41 Source Type",$C$5,"5 Source No.",$C2717,"4 Item Ledger Entry Type",$C$4,"2 Item No.","@@"&amp;$F2717,"3 Posting Date",Z$9)+NL("Sum","5802 Value Entry","17 Sales Amount (Actual)","41 Source Type",$C$5,"5 Source no.",$C2717,"4 Item Ledger Entry Type",$C$4,"2 Item No.","@@"&amp;$F2717,"3 Posting Date",Z$9)</t>
  </si>
  <si>
    <t>=-NL("Sum","5802 Value Entry","151 Cost Amount (Expected)","41 Source Type",$C$5,"5 Source No.",$C2717,"4 Item Ledger Entry Type",$C$4,"2 Item No.","@@"&amp;$F2717,"3 Posting Date",Z$9)-NL("Sum","5802 Value Entry","43 Cost Amount (Actual)","41 Source Type",$C$5,"5 Source no.",$C2717,"4 Item Ledger Entry Type",$C$4,"2 Item No.","@@"&amp;$F2717,"3 Posting Date",Z$9)</t>
  </si>
  <si>
    <t>=Z2717-AB2717</t>
  </si>
  <si>
    <t>=IF(Z2717&lt;&gt;0,AC2717/Z2717,"")</t>
  </si>
  <si>
    <t>=C2724</t>
  </si>
  <si>
    <t>=NL("Sum","5802 Value Entry","150 Sales Amount (Expected)","41 Source Type",$C$5,"5 Source No.",$C2725,"4 Item Ledger Entry Type",$C$4,"2 Item No.","@@"&amp;$F2725,"3 Posting Date",J$9)+NL("Sum","5802 Value Entry","17 Sales Amount (Actual)","41 Source Type",$C$5,"5 Source no.",$C2725,"4 Item Ledger Entry Type",$C$4,"2 Item No.","@@"&amp;$F2725,"3 Posting Date",J$9)</t>
  </si>
  <si>
    <t>=-NL("Sum","5802 Value Entry","151 Cost Amount (Expected)","41 Source Type",$C$5,"5 Source No.",$C2725,"4 Item Ledger Entry Type",$C$4,"2 Item No.","@@"&amp;$F2725,"3 Posting Date",J$9)-NL("Sum","5802 Value Entry","43 Cost Amount (Actual)","41 Source Type",$C$5,"5 Source no.",$C2725,"4 Item Ledger Entry Type",$C$4,"2 Item No.","@@"&amp;$F2725,"3 Posting Date",J$9)</t>
  </si>
  <si>
    <t>=J2725-L2725</t>
  </si>
  <si>
    <t>=IF(J2725&lt;&gt;0,M2725/J2725,"")</t>
  </si>
  <si>
    <t>=NL("Sum","5802 Value Entry","150 Sales Amount (Expected)","41 Source Type",$C$5,"5 Source No.",$C2725,"4 Item Ledger Entry Type",$C$4,"2 Item No.","@@"&amp;$F2725,"3 Posting Date",O$9)+NL("Sum","5802 Value Entry","17 Sales Amount (Actual)","41 Source Type",$C$5,"5 Source no.",$C2725,"4 Item Ledger Entry Type",$C$4,"2 Item No.","@@"&amp;$F2725,"3 Posting Date",O$9)</t>
  </si>
  <si>
    <t>=-NL("Sum","5802 Value Entry","151 Cost Amount (Expected)","41 Source Type",$C$5,"5 Source No.",$C2725,"4 Item Ledger Entry Type",$C$4,"2 Item No.","@@"&amp;$F2725,"3 Posting Date",O$9)-NL("Sum","5802 Value Entry","43 Cost Amount (Actual)","41 Source Type",$C$5,"5 Source no.",$C2725,"4 Item Ledger Entry Type",$C$4,"2 Item No.","@@"&amp;$F2725,"3 Posting Date",O$9)</t>
  </si>
  <si>
    <t>=O2725-Q2725</t>
  </si>
  <si>
    <t>=IF(O2725&lt;&gt;0,R2725/O2725,"")</t>
  </si>
  <si>
    <t>=NL("Sum","5802 Value Entry","150 Sales Amount (Expected)","41 Source Type",$C$5,"5 Source No.",$C2725,"4 Item Ledger Entry Type",$C$4,"2 Item No.","@@"&amp;$F2725,"3 Posting Date",U$9)+NL("Sum","5802 Value Entry","17 Sales Amount (Actual)","41 Source Type",$C$5,"5 Source no.",$C2725,"4 Item Ledger Entry Type",$C$4,"2 Item No.","@@"&amp;$F2725,"3 Posting Date",U$9)</t>
  </si>
  <si>
    <t>=-NL("Sum","5802 Value Entry","151 Cost Amount (Expected)","41 Source Type",$C$5,"5 Source No.",$C2725,"4 Item Ledger Entry Type",$C$4,"2 Item No.","@@"&amp;$F2725,"3 Posting Date",U$9)-NL("Sum","5802 Value Entry","43 Cost Amount (Actual)","41 Source Type",$C$5,"5 Source no.",$C2725,"4 Item Ledger Entry Type",$C$4,"2 Item No.","@@"&amp;$F2725,"3 Posting Date",U$9)</t>
  </si>
  <si>
    <t>=U2725-W2725</t>
  </si>
  <si>
    <t>=IF(U2725&lt;&gt;0,X2725/U2725,"")</t>
  </si>
  <si>
    <t>=NL("Sum","5802 Value Entry","150 Sales Amount (Expected)","41 Source Type",$C$5,"5 Source No.",$C2725,"4 Item Ledger Entry Type",$C$4,"2 Item No.","@@"&amp;$F2725,"3 Posting Date",Z$9)+NL("Sum","5802 Value Entry","17 Sales Amount (Actual)","41 Source Type",$C$5,"5 Source no.",$C2725,"4 Item Ledger Entry Type",$C$4,"2 Item No.","@@"&amp;$F2725,"3 Posting Date",Z$9)</t>
  </si>
  <si>
    <t>=-NL("Sum","5802 Value Entry","151 Cost Amount (Expected)","41 Source Type",$C$5,"5 Source No.",$C2725,"4 Item Ledger Entry Type",$C$4,"2 Item No.","@@"&amp;$F2725,"3 Posting Date",Z$9)-NL("Sum","5802 Value Entry","43 Cost Amount (Actual)","41 Source Type",$C$5,"5 Source no.",$C2725,"4 Item Ledger Entry Type",$C$4,"2 Item No.","@@"&amp;$F2725,"3 Posting Date",Z$9)</t>
  </si>
  <si>
    <t>=Z2725-AB2725</t>
  </si>
  <si>
    <t>=IF(Z2725&lt;&gt;0,AC2725/Z2725,"")</t>
  </si>
  <si>
    <t>=NL("Sum","5802 Value Entry","150 Sales Amount (Expected)","41 Source Type",$C$5,"5 Source No.",$C2726,"4 Item Ledger Entry Type",$C$4,"2 Item No.","@@"&amp;$F2726,"3 Posting Date",J$9)+NL("Sum","5802 Value Entry","17 Sales Amount (Actual)","41 Source Type",$C$5,"5 Source no.",$C2726,"4 Item Ledger Entry Type",$C$4,"2 Item No.","@@"&amp;$F2726,"3 Posting Date",J$9)</t>
  </si>
  <si>
    <t>=-NL("Sum","5802 Value Entry","151 Cost Amount (Expected)","41 Source Type",$C$5,"5 Source No.",$C2726,"4 Item Ledger Entry Type",$C$4,"2 Item No.","@@"&amp;$F2726,"3 Posting Date",J$9)-NL("Sum","5802 Value Entry","43 Cost Amount (Actual)","41 Source Type",$C$5,"5 Source no.",$C2726,"4 Item Ledger Entry Type",$C$4,"2 Item No.","@@"&amp;$F2726,"3 Posting Date",J$9)</t>
  </si>
  <si>
    <t>=NL("Sum","5802 Value Entry","150 Sales Amount (Expected)","41 Source Type",$C$5,"5 Source No.",$C2726,"4 Item Ledger Entry Type",$C$4,"2 Item No.","@@"&amp;$F2726,"3 Posting Date",O$9)+NL("Sum","5802 Value Entry","17 Sales Amount (Actual)","41 Source Type",$C$5,"5 Source no.",$C2726,"4 Item Ledger Entry Type",$C$4,"2 Item No.","@@"&amp;$F2726,"3 Posting Date",O$9)</t>
  </si>
  <si>
    <t>=-NL("Sum","5802 Value Entry","151 Cost Amount (Expected)","41 Source Type",$C$5,"5 Source No.",$C2726,"4 Item Ledger Entry Type",$C$4,"2 Item No.","@@"&amp;$F2726,"3 Posting Date",O$9)-NL("Sum","5802 Value Entry","43 Cost Amount (Actual)","41 Source Type",$C$5,"5 Source no.",$C2726,"4 Item Ledger Entry Type",$C$4,"2 Item No.","@@"&amp;$F2726,"3 Posting Date",O$9)</t>
  </si>
  <si>
    <t>=NL("Sum","5802 Value Entry","150 Sales Amount (Expected)","41 Source Type",$C$5,"5 Source No.",$C2726,"4 Item Ledger Entry Type",$C$4,"2 Item No.","@@"&amp;$F2726,"3 Posting Date",U$9)+NL("Sum","5802 Value Entry","17 Sales Amount (Actual)","41 Source Type",$C$5,"5 Source no.",$C2726,"4 Item Ledger Entry Type",$C$4,"2 Item No.","@@"&amp;$F2726,"3 Posting Date",U$9)</t>
  </si>
  <si>
    <t>=-NL("Sum","5802 Value Entry","151 Cost Amount (Expected)","41 Source Type",$C$5,"5 Source No.",$C2726,"4 Item Ledger Entry Type",$C$4,"2 Item No.","@@"&amp;$F2726,"3 Posting Date",U$9)-NL("Sum","5802 Value Entry","43 Cost Amount (Actual)","41 Source Type",$C$5,"5 Source no.",$C2726,"4 Item Ledger Entry Type",$C$4,"2 Item No.","@@"&amp;$F2726,"3 Posting Date",U$9)</t>
  </si>
  <si>
    <t>=NL("Sum","5802 Value Entry","150 Sales Amount (Expected)","41 Source Type",$C$5,"5 Source No.",$C2726,"4 Item Ledger Entry Type",$C$4,"2 Item No.","@@"&amp;$F2726,"3 Posting Date",Z$9)+NL("Sum","5802 Value Entry","17 Sales Amount (Actual)","41 Source Type",$C$5,"5 Source no.",$C2726,"4 Item Ledger Entry Type",$C$4,"2 Item No.","@@"&amp;$F2726,"3 Posting Date",Z$9)</t>
  </si>
  <si>
    <t>=-NL("Sum","5802 Value Entry","151 Cost Amount (Expected)","41 Source Type",$C$5,"5 Source No.",$C2726,"4 Item Ledger Entry Type",$C$4,"2 Item No.","@@"&amp;$F2726,"3 Posting Date",Z$9)-NL("Sum","5802 Value Entry","43 Cost Amount (Actual)","41 Source Type",$C$5,"5 Source no.",$C2726,"4 Item Ledger Entry Type",$C$4,"2 Item No.","@@"&amp;$F2726,"3 Posting Date",Z$9)</t>
  </si>
  <si>
    <t>=C2726</t>
  </si>
  <si>
    <t>=NL("Sum","5802 Value Entry","150 Sales Amount (Expected)","41 Source Type",$C$5,"5 Source No.",$C2727,"4 Item Ledger Entry Type",$C$4,"2 Item No.","@@"&amp;$F2727,"3 Posting Date",J$9)+NL("Sum","5802 Value Entry","17 Sales Amount (Actual)","41 Source Type",$C$5,"5 Source no.",$C2727,"4 Item Ledger Entry Type",$C$4,"2 Item No.","@@"&amp;$F2727,"3 Posting Date",J$9)</t>
  </si>
  <si>
    <t>=-NL("Sum","5802 Value Entry","151 Cost Amount (Expected)","41 Source Type",$C$5,"5 Source No.",$C2727,"4 Item Ledger Entry Type",$C$4,"2 Item No.","@@"&amp;$F2727,"3 Posting Date",J$9)-NL("Sum","5802 Value Entry","43 Cost Amount (Actual)","41 Source Type",$C$5,"5 Source no.",$C2727,"4 Item Ledger Entry Type",$C$4,"2 Item No.","@@"&amp;$F2727,"3 Posting Date",J$9)</t>
  </si>
  <si>
    <t>=J2727-L2727</t>
  </si>
  <si>
    <t>=IF(J2727&lt;&gt;0,M2727/J2727,"")</t>
  </si>
  <si>
    <t>=NL("Sum","5802 Value Entry","150 Sales Amount (Expected)","41 Source Type",$C$5,"5 Source No.",$C2727,"4 Item Ledger Entry Type",$C$4,"2 Item No.","@@"&amp;$F2727,"3 Posting Date",O$9)+NL("Sum","5802 Value Entry","17 Sales Amount (Actual)","41 Source Type",$C$5,"5 Source no.",$C2727,"4 Item Ledger Entry Type",$C$4,"2 Item No.","@@"&amp;$F2727,"3 Posting Date",O$9)</t>
  </si>
  <si>
    <t>=-NL("Sum","5802 Value Entry","151 Cost Amount (Expected)","41 Source Type",$C$5,"5 Source No.",$C2727,"4 Item Ledger Entry Type",$C$4,"2 Item No.","@@"&amp;$F2727,"3 Posting Date",O$9)-NL("Sum","5802 Value Entry","43 Cost Amount (Actual)","41 Source Type",$C$5,"5 Source no.",$C2727,"4 Item Ledger Entry Type",$C$4,"2 Item No.","@@"&amp;$F2727,"3 Posting Date",O$9)</t>
  </si>
  <si>
    <t>=O2727-Q2727</t>
  </si>
  <si>
    <t>=IF(O2727&lt;&gt;0,R2727/O2727,"")</t>
  </si>
  <si>
    <t>=NL("Sum","5802 Value Entry","150 Sales Amount (Expected)","41 Source Type",$C$5,"5 Source No.",$C2727,"4 Item Ledger Entry Type",$C$4,"2 Item No.","@@"&amp;$F2727,"3 Posting Date",U$9)+NL("Sum","5802 Value Entry","17 Sales Amount (Actual)","41 Source Type",$C$5,"5 Source no.",$C2727,"4 Item Ledger Entry Type",$C$4,"2 Item No.","@@"&amp;$F2727,"3 Posting Date",U$9)</t>
  </si>
  <si>
    <t>=-NL("Sum","5802 Value Entry","151 Cost Amount (Expected)","41 Source Type",$C$5,"5 Source No.",$C2727,"4 Item Ledger Entry Type",$C$4,"2 Item No.","@@"&amp;$F2727,"3 Posting Date",U$9)-NL("Sum","5802 Value Entry","43 Cost Amount (Actual)","41 Source Type",$C$5,"5 Source no.",$C2727,"4 Item Ledger Entry Type",$C$4,"2 Item No.","@@"&amp;$F2727,"3 Posting Date",U$9)</t>
  </si>
  <si>
    <t>=U2727-W2727</t>
  </si>
  <si>
    <t>=IF(U2727&lt;&gt;0,X2727/U2727,"")</t>
  </si>
  <si>
    <t>=NL("Sum","5802 Value Entry","150 Sales Amount (Expected)","41 Source Type",$C$5,"5 Source No.",$C2727,"4 Item Ledger Entry Type",$C$4,"2 Item No.","@@"&amp;$F2727,"3 Posting Date",Z$9)+NL("Sum","5802 Value Entry","17 Sales Amount (Actual)","41 Source Type",$C$5,"5 Source no.",$C2727,"4 Item Ledger Entry Type",$C$4,"2 Item No.","@@"&amp;$F2727,"3 Posting Date",Z$9)</t>
  </si>
  <si>
    <t>=-NL("Sum","5802 Value Entry","151 Cost Amount (Expected)","41 Source Type",$C$5,"5 Source No.",$C2727,"4 Item Ledger Entry Type",$C$4,"2 Item No.","@@"&amp;$F2727,"3 Posting Date",Z$9)-NL("Sum","5802 Value Entry","43 Cost Amount (Actual)","41 Source Type",$C$5,"5 Source no.",$C2727,"4 Item Ledger Entry Type",$C$4,"2 Item No.","@@"&amp;$F2727,"3 Posting Date",Z$9)</t>
  </si>
  <si>
    <t>=Z2727-AB2727</t>
  </si>
  <si>
    <t>=IF(Z2727&lt;&gt;0,AC2727/Z2727,"")</t>
  </si>
  <si>
    <t>=C2727</t>
  </si>
  <si>
    <t>=NL("Sum","5802 Value Entry","150 Sales Amount (Expected)","41 Source Type",$C$5,"5 Source No.",$C2728,"4 Item Ledger Entry Type",$C$4,"2 Item No.","@@"&amp;$F2728,"3 Posting Date",J$9)+NL("Sum","5802 Value Entry","17 Sales Amount (Actual)","41 Source Type",$C$5,"5 Source no.",$C2728,"4 Item Ledger Entry Type",$C$4,"2 Item No.","@@"&amp;$F2728,"3 Posting Date",J$9)</t>
  </si>
  <si>
    <t>=-NL("Sum","5802 Value Entry","151 Cost Amount (Expected)","41 Source Type",$C$5,"5 Source No.",$C2728,"4 Item Ledger Entry Type",$C$4,"2 Item No.","@@"&amp;$F2728,"3 Posting Date",J$9)-NL("Sum","5802 Value Entry","43 Cost Amount (Actual)","41 Source Type",$C$5,"5 Source no.",$C2728,"4 Item Ledger Entry Type",$C$4,"2 Item No.","@@"&amp;$F2728,"3 Posting Date",J$9)</t>
  </si>
  <si>
    <t>=J2728-L2728</t>
  </si>
  <si>
    <t>=IF(J2728&lt;&gt;0,M2728/J2728,"")</t>
  </si>
  <si>
    <t>=NL("Sum","5802 Value Entry","150 Sales Amount (Expected)","41 Source Type",$C$5,"5 Source No.",$C2728,"4 Item Ledger Entry Type",$C$4,"2 Item No.","@@"&amp;$F2728,"3 Posting Date",O$9)+NL("Sum","5802 Value Entry","17 Sales Amount (Actual)","41 Source Type",$C$5,"5 Source no.",$C2728,"4 Item Ledger Entry Type",$C$4,"2 Item No.","@@"&amp;$F2728,"3 Posting Date",O$9)</t>
  </si>
  <si>
    <t>=-NL("Sum","5802 Value Entry","151 Cost Amount (Expected)","41 Source Type",$C$5,"5 Source No.",$C2728,"4 Item Ledger Entry Type",$C$4,"2 Item No.","@@"&amp;$F2728,"3 Posting Date",O$9)-NL("Sum","5802 Value Entry","43 Cost Amount (Actual)","41 Source Type",$C$5,"5 Source no.",$C2728,"4 Item Ledger Entry Type",$C$4,"2 Item No.","@@"&amp;$F2728,"3 Posting Date",O$9)</t>
  </si>
  <si>
    <t>=O2728-Q2728</t>
  </si>
  <si>
    <t>=IF(O2728&lt;&gt;0,R2728/O2728,"")</t>
  </si>
  <si>
    <t>=NL("Sum","5802 Value Entry","150 Sales Amount (Expected)","41 Source Type",$C$5,"5 Source No.",$C2728,"4 Item Ledger Entry Type",$C$4,"2 Item No.","@@"&amp;$F2728,"3 Posting Date",U$9)+NL("Sum","5802 Value Entry","17 Sales Amount (Actual)","41 Source Type",$C$5,"5 Source no.",$C2728,"4 Item Ledger Entry Type",$C$4,"2 Item No.","@@"&amp;$F2728,"3 Posting Date",U$9)</t>
  </si>
  <si>
    <t>=-NL("Sum","5802 Value Entry","151 Cost Amount (Expected)","41 Source Type",$C$5,"5 Source No.",$C2728,"4 Item Ledger Entry Type",$C$4,"2 Item No.","@@"&amp;$F2728,"3 Posting Date",U$9)-NL("Sum","5802 Value Entry","43 Cost Amount (Actual)","41 Source Type",$C$5,"5 Source no.",$C2728,"4 Item Ledger Entry Type",$C$4,"2 Item No.","@@"&amp;$F2728,"3 Posting Date",U$9)</t>
  </si>
  <si>
    <t>=U2728-W2728</t>
  </si>
  <si>
    <t>=IF(U2728&lt;&gt;0,X2728/U2728,"")</t>
  </si>
  <si>
    <t>=NL("Sum","5802 Value Entry","150 Sales Amount (Expected)","41 Source Type",$C$5,"5 Source No.",$C2728,"4 Item Ledger Entry Type",$C$4,"2 Item No.","@@"&amp;$F2728,"3 Posting Date",Z$9)+NL("Sum","5802 Value Entry","17 Sales Amount (Actual)","41 Source Type",$C$5,"5 Source no.",$C2728,"4 Item Ledger Entry Type",$C$4,"2 Item No.","@@"&amp;$F2728,"3 Posting Date",Z$9)</t>
  </si>
  <si>
    <t>=-NL("Sum","5802 Value Entry","151 Cost Amount (Expected)","41 Source Type",$C$5,"5 Source No.",$C2728,"4 Item Ledger Entry Type",$C$4,"2 Item No.","@@"&amp;$F2728,"3 Posting Date",Z$9)-NL("Sum","5802 Value Entry","43 Cost Amount (Actual)","41 Source Type",$C$5,"5 Source no.",$C2728,"4 Item Ledger Entry Type",$C$4,"2 Item No.","@@"&amp;$F2728,"3 Posting Date",Z$9)</t>
  </si>
  <si>
    <t>=Z2728-AB2728</t>
  </si>
  <si>
    <t>=IF(Z2728&lt;&gt;0,AC2728/Z2728,"")</t>
  </si>
  <si>
    <t>=NL("Sum","5802 Value Entry","150 Sales Amount (Expected)","41 Source Type",$C$5,"5 Source No.",$C2729,"4 Item Ledger Entry Type",$C$4,"2 Item No.","@@"&amp;$F2729,"3 Posting Date",J$9)+NL("Sum","5802 Value Entry","17 Sales Amount (Actual)","41 Source Type",$C$5,"5 Source no.",$C2729,"4 Item Ledger Entry Type",$C$4,"2 Item No.","@@"&amp;$F2729,"3 Posting Date",J$9)</t>
  </si>
  <si>
    <t>=-NL("Sum","5802 Value Entry","151 Cost Amount (Expected)","41 Source Type",$C$5,"5 Source No.",$C2729,"4 Item Ledger Entry Type",$C$4,"2 Item No.","@@"&amp;$F2729,"3 Posting Date",J$9)-NL("Sum","5802 Value Entry","43 Cost Amount (Actual)","41 Source Type",$C$5,"5 Source no.",$C2729,"4 Item Ledger Entry Type",$C$4,"2 Item No.","@@"&amp;$F2729,"3 Posting Date",J$9)</t>
  </si>
  <si>
    <t>=J2729-L2729</t>
  </si>
  <si>
    <t>=IF(J2729&lt;&gt;0,M2729/J2729,"")</t>
  </si>
  <si>
    <t>=NL("Sum","5802 Value Entry","150 Sales Amount (Expected)","41 Source Type",$C$5,"5 Source No.",$C2729,"4 Item Ledger Entry Type",$C$4,"2 Item No.","@@"&amp;$F2729,"3 Posting Date",O$9)+NL("Sum","5802 Value Entry","17 Sales Amount (Actual)","41 Source Type",$C$5,"5 Source no.",$C2729,"4 Item Ledger Entry Type",$C$4,"2 Item No.","@@"&amp;$F2729,"3 Posting Date",O$9)</t>
  </si>
  <si>
    <t>=-NL("Sum","5802 Value Entry","151 Cost Amount (Expected)","41 Source Type",$C$5,"5 Source No.",$C2729,"4 Item Ledger Entry Type",$C$4,"2 Item No.","@@"&amp;$F2729,"3 Posting Date",O$9)-NL("Sum","5802 Value Entry","43 Cost Amount (Actual)","41 Source Type",$C$5,"5 Source no.",$C2729,"4 Item Ledger Entry Type",$C$4,"2 Item No.","@@"&amp;$F2729,"3 Posting Date",O$9)</t>
  </si>
  <si>
    <t>=O2729-Q2729</t>
  </si>
  <si>
    <t>=IF(O2729&lt;&gt;0,R2729/O2729,"")</t>
  </si>
  <si>
    <t>=NL("Sum","5802 Value Entry","150 Sales Amount (Expected)","41 Source Type",$C$5,"5 Source No.",$C2729,"4 Item Ledger Entry Type",$C$4,"2 Item No.","@@"&amp;$F2729,"3 Posting Date",U$9)+NL("Sum","5802 Value Entry","17 Sales Amount (Actual)","41 Source Type",$C$5,"5 Source no.",$C2729,"4 Item Ledger Entry Type",$C$4,"2 Item No.","@@"&amp;$F2729,"3 Posting Date",U$9)</t>
  </si>
  <si>
    <t>=-NL("Sum","5802 Value Entry","151 Cost Amount (Expected)","41 Source Type",$C$5,"5 Source No.",$C2729,"4 Item Ledger Entry Type",$C$4,"2 Item No.","@@"&amp;$F2729,"3 Posting Date",U$9)-NL("Sum","5802 Value Entry","43 Cost Amount (Actual)","41 Source Type",$C$5,"5 Source no.",$C2729,"4 Item Ledger Entry Type",$C$4,"2 Item No.","@@"&amp;$F2729,"3 Posting Date",U$9)</t>
  </si>
  <si>
    <t>=U2729-W2729</t>
  </si>
  <si>
    <t>=IF(U2729&lt;&gt;0,X2729/U2729,"")</t>
  </si>
  <si>
    <t>=NL("Sum","5802 Value Entry","150 Sales Amount (Expected)","41 Source Type",$C$5,"5 Source No.",$C2729,"4 Item Ledger Entry Type",$C$4,"2 Item No.","@@"&amp;$F2729,"3 Posting Date",Z$9)+NL("Sum","5802 Value Entry","17 Sales Amount (Actual)","41 Source Type",$C$5,"5 Source no.",$C2729,"4 Item Ledger Entry Type",$C$4,"2 Item No.","@@"&amp;$F2729,"3 Posting Date",Z$9)</t>
  </si>
  <si>
    <t>=-NL("Sum","5802 Value Entry","151 Cost Amount (Expected)","41 Source Type",$C$5,"5 Source No.",$C2729,"4 Item Ledger Entry Type",$C$4,"2 Item No.","@@"&amp;$F2729,"3 Posting Date",Z$9)-NL("Sum","5802 Value Entry","43 Cost Amount (Actual)","41 Source Type",$C$5,"5 Source no.",$C2729,"4 Item Ledger Entry Type",$C$4,"2 Item No.","@@"&amp;$F2729,"3 Posting Date",Z$9)</t>
  </si>
  <si>
    <t>=Z2729-AB2729</t>
  </si>
  <si>
    <t>=IF(Z2729&lt;&gt;0,AC2729/Z2729,"")</t>
  </si>
  <si>
    <t>=C2731&amp;" TOTAL:"</t>
  </si>
  <si>
    <t>=SUBTOTAL(9,J2682:J2730)</t>
  </si>
  <si>
    <t>=SUBTOTAL(9,K2682:K2730)</t>
  </si>
  <si>
    <t>=SUBTOTAL(9,L2682:L2730)</t>
  </si>
  <si>
    <t>=SUBTOTAL(9,O2682:O2730)</t>
  </si>
  <si>
    <t>=SUBTOTAL(9,P2682:P2730)</t>
  </si>
  <si>
    <t>=SUBTOTAL(9,Q2682:Q2730)</t>
  </si>
  <si>
    <t>=SUBTOTAL(9,U2682:U2730)</t>
  </si>
  <si>
    <t>=SUBTOTAL(9,V2682:V2730)</t>
  </si>
  <si>
    <t>=SUBTOTAL(9,W2682:W2730)</t>
  </si>
  <si>
    <t>=SUBTOTAL(9,Z2682:Z2730)</t>
  </si>
  <si>
    <t>=SUBTOTAL(9,AA2682:AA2730)</t>
  </si>
  <si>
    <t>=SUBTOTAL(9,AB2682:AB2730)</t>
  </si>
  <si>
    <t>=E2733</t>
  </si>
  <si>
    <t>=NL(,"18 Customer","2 Name","1 No.",$E2733)</t>
  </si>
  <si>
    <t>=NL("Rows","5802 Value Entry","2 Item No.","4 Item Ledger Entry Type",$C$4,"41 Source Type",$C$5,"5 Source No.",$C2735,"Item No.",$C$7,"3 Posting Date",$C$10)</t>
  </si>
  <si>
    <t>=C2770</t>
  </si>
  <si>
    <t>=C2771&amp;" TOTAL:"</t>
  </si>
  <si>
    <t>=SUBTOTAL(9,J2734:J2770)</t>
  </si>
  <si>
    <t>=SUBTOTAL(9,K2734:K2770)</t>
  </si>
  <si>
    <t>=SUBTOTAL(9,L2734:L2770)</t>
  </si>
  <si>
    <t>=J2771-L2771</t>
  </si>
  <si>
    <t>=IF(J2771&lt;&gt;0,M2771/J2771,"")</t>
  </si>
  <si>
    <t>=SUBTOTAL(9,O2734:O2770)</t>
  </si>
  <si>
    <t>=SUBTOTAL(9,P2734:P2770)</t>
  </si>
  <si>
    <t>=SUBTOTAL(9,Q2734:Q2770)</t>
  </si>
  <si>
    <t>=O2771-Q2771</t>
  </si>
  <si>
    <t>=IF(O2771&lt;&gt;0,R2771/O2771,"")</t>
  </si>
  <si>
    <t>=SUBTOTAL(9,U2734:U2770)</t>
  </si>
  <si>
    <t>=SUBTOTAL(9,V2734:V2770)</t>
  </si>
  <si>
    <t>=SUBTOTAL(9,W2734:W2770)</t>
  </si>
  <si>
    <t>=U2771-W2771</t>
  </si>
  <si>
    <t>=IF(U2771&lt;&gt;0,X2771/U2771,"")</t>
  </si>
  <si>
    <t>=SUBTOTAL(9,Z2734:Z2770)</t>
  </si>
  <si>
    <t>=SUBTOTAL(9,AA2734:AA2770)</t>
  </si>
  <si>
    <t>=SUBTOTAL(9,AB2734:AB2770)</t>
  </si>
  <si>
    <t>=Z2771-AB2771</t>
  </si>
  <si>
    <t>=IF(Z2771&lt;&gt;0,AC2771/Z2771,"")</t>
  </si>
  <si>
    <t>=E2773</t>
  </si>
  <si>
    <t>=NL(,"18 Customer","2 Name","1 No.",$E2773)</t>
  </si>
  <si>
    <t>=C2773</t>
  </si>
  <si>
    <t>=NL("Rows","5802 Value Entry","2 Item No.","4 Item Ledger Entry Type",$C$4,"41 Source Type",$C$5,"5 Source No.",$C2775,"Item No.",$C$7,"3 Posting Date",$C$10)</t>
  </si>
  <si>
    <t>=NL("Sum","5802 Value Entry","150 Sales Amount (Expected)","41 Source Type",$C$5,"5 Source No.",$C2775,"4 Item Ledger Entry Type",$C$4,"2 Item No.","@@"&amp;$F2775,"3 Posting Date",J$9)+NL("Sum","5802 Value Entry","17 Sales Amount (Actual)","41 Source Type",$C$5,"5 Source no.",$C2775,"4 Item Ledger Entry Type",$C$4,"2 Item No.","@@"&amp;$F2775,"3 Posting Date",J$9)</t>
  </si>
  <si>
    <t>=-NL("Sum","5802 Value Entry","151 Cost Amount (Expected)","41 Source Type",$C$5,"5 Source No.",$C2775,"4 Item Ledger Entry Type",$C$4,"2 Item No.","@@"&amp;$F2775,"3 Posting Date",J$9)-NL("Sum","5802 Value Entry","43 Cost Amount (Actual)","41 Source Type",$C$5,"5 Source no.",$C2775,"4 Item Ledger Entry Type",$C$4,"2 Item No.","@@"&amp;$F2775,"3 Posting Date",J$9)</t>
  </si>
  <si>
    <t>=J2775-L2775</t>
  </si>
  <si>
    <t>=IF(J2775&lt;&gt;0,M2775/J2775,"")</t>
  </si>
  <si>
    <t>=NL("Sum","5802 Value Entry","150 Sales Amount (Expected)","41 Source Type",$C$5,"5 Source No.",$C2775,"4 Item Ledger Entry Type",$C$4,"2 Item No.","@@"&amp;$F2775,"3 Posting Date",O$9)+NL("Sum","5802 Value Entry","17 Sales Amount (Actual)","41 Source Type",$C$5,"5 Source no.",$C2775,"4 Item Ledger Entry Type",$C$4,"2 Item No.","@@"&amp;$F2775,"3 Posting Date",O$9)</t>
  </si>
  <si>
    <t>=-NL("Sum","5802 Value Entry","151 Cost Amount (Expected)","41 Source Type",$C$5,"5 Source No.",$C2775,"4 Item Ledger Entry Type",$C$4,"2 Item No.","@@"&amp;$F2775,"3 Posting Date",O$9)-NL("Sum","5802 Value Entry","43 Cost Amount (Actual)","41 Source Type",$C$5,"5 Source no.",$C2775,"4 Item Ledger Entry Type",$C$4,"2 Item No.","@@"&amp;$F2775,"3 Posting Date",O$9)</t>
  </si>
  <si>
    <t>=O2775-Q2775</t>
  </si>
  <si>
    <t>=IF(O2775&lt;&gt;0,R2775/O2775,"")</t>
  </si>
  <si>
    <t>=NL("Sum","5802 Value Entry","150 Sales Amount (Expected)","41 Source Type",$C$5,"5 Source No.",$C2775,"4 Item Ledger Entry Type",$C$4,"2 Item No.","@@"&amp;$F2775,"3 Posting Date",U$9)+NL("Sum","5802 Value Entry","17 Sales Amount (Actual)","41 Source Type",$C$5,"5 Source no.",$C2775,"4 Item Ledger Entry Type",$C$4,"2 Item No.","@@"&amp;$F2775,"3 Posting Date",U$9)</t>
  </si>
  <si>
    <t>=-NL("Sum","5802 Value Entry","151 Cost Amount (Expected)","41 Source Type",$C$5,"5 Source No.",$C2775,"4 Item Ledger Entry Type",$C$4,"2 Item No.","@@"&amp;$F2775,"3 Posting Date",U$9)-NL("Sum","5802 Value Entry","43 Cost Amount (Actual)","41 Source Type",$C$5,"5 Source no.",$C2775,"4 Item Ledger Entry Type",$C$4,"2 Item No.","@@"&amp;$F2775,"3 Posting Date",U$9)</t>
  </si>
  <si>
    <t>=U2775-W2775</t>
  </si>
  <si>
    <t>=IF(U2775&lt;&gt;0,X2775/U2775,"")</t>
  </si>
  <si>
    <t>=NL("Sum","5802 Value Entry","150 Sales Amount (Expected)","41 Source Type",$C$5,"5 Source No.",$C2775,"4 Item Ledger Entry Type",$C$4,"2 Item No.","@@"&amp;$F2775,"3 Posting Date",Z$9)+NL("Sum","5802 Value Entry","17 Sales Amount (Actual)","41 Source Type",$C$5,"5 Source no.",$C2775,"4 Item Ledger Entry Type",$C$4,"2 Item No.","@@"&amp;$F2775,"3 Posting Date",Z$9)</t>
  </si>
  <si>
    <t>=-NL("Sum","5802 Value Entry","151 Cost Amount (Expected)","41 Source Type",$C$5,"5 Source No.",$C2775,"4 Item Ledger Entry Type",$C$4,"2 Item No.","@@"&amp;$F2775,"3 Posting Date",Z$9)-NL("Sum","5802 Value Entry","43 Cost Amount (Actual)","41 Source Type",$C$5,"5 Source no.",$C2775,"4 Item Ledger Entry Type",$C$4,"2 Item No.","@@"&amp;$F2775,"3 Posting Date",Z$9)</t>
  </si>
  <si>
    <t>=Z2775-AB2775</t>
  </si>
  <si>
    <t>=IF(Z2775&lt;&gt;0,AC2775/Z2775,"")</t>
  </si>
  <si>
    <t>=C2840</t>
  </si>
  <si>
    <t>=NL("Sum","5802 Value Entry","150 Sales Amount (Expected)","41 Source Type",$C$5,"5 Source No.",$C2841,"4 Item Ledger Entry Type",$C$4,"2 Item No.","@@"&amp;$F2841,"3 Posting Date",J$9)+NL("Sum","5802 Value Entry","17 Sales Amount (Actual)","41 Source Type",$C$5,"5 Source no.",$C2841,"4 Item Ledger Entry Type",$C$4,"2 Item No.","@@"&amp;$F2841,"3 Posting Date",J$9)</t>
  </si>
  <si>
    <t>=-NL("Sum","5802 Value Entry","151 Cost Amount (Expected)","41 Source Type",$C$5,"5 Source No.",$C2841,"4 Item Ledger Entry Type",$C$4,"2 Item No.","@@"&amp;$F2841,"3 Posting Date",J$9)-NL("Sum","5802 Value Entry","43 Cost Amount (Actual)","41 Source Type",$C$5,"5 Source no.",$C2841,"4 Item Ledger Entry Type",$C$4,"2 Item No.","@@"&amp;$F2841,"3 Posting Date",J$9)</t>
  </si>
  <si>
    <t>=J2841-L2841</t>
  </si>
  <si>
    <t>=IF(J2841&lt;&gt;0,M2841/J2841,"")</t>
  </si>
  <si>
    <t>=NL("Sum","5802 Value Entry","150 Sales Amount (Expected)","41 Source Type",$C$5,"5 Source No.",$C2841,"4 Item Ledger Entry Type",$C$4,"2 Item No.","@@"&amp;$F2841,"3 Posting Date",O$9)+NL("Sum","5802 Value Entry","17 Sales Amount (Actual)","41 Source Type",$C$5,"5 Source no.",$C2841,"4 Item Ledger Entry Type",$C$4,"2 Item No.","@@"&amp;$F2841,"3 Posting Date",O$9)</t>
  </si>
  <si>
    <t>=-NL("Sum","5802 Value Entry","151 Cost Amount (Expected)","41 Source Type",$C$5,"5 Source No.",$C2841,"4 Item Ledger Entry Type",$C$4,"2 Item No.","@@"&amp;$F2841,"3 Posting Date",O$9)-NL("Sum","5802 Value Entry","43 Cost Amount (Actual)","41 Source Type",$C$5,"5 Source no.",$C2841,"4 Item Ledger Entry Type",$C$4,"2 Item No.","@@"&amp;$F2841,"3 Posting Date",O$9)</t>
  </si>
  <si>
    <t>=O2841-Q2841</t>
  </si>
  <si>
    <t>=IF(O2841&lt;&gt;0,R2841/O2841,"")</t>
  </si>
  <si>
    <t>=NL("Sum","5802 Value Entry","150 Sales Amount (Expected)","41 Source Type",$C$5,"5 Source No.",$C2841,"4 Item Ledger Entry Type",$C$4,"2 Item No.","@@"&amp;$F2841,"3 Posting Date",U$9)+NL("Sum","5802 Value Entry","17 Sales Amount (Actual)","41 Source Type",$C$5,"5 Source no.",$C2841,"4 Item Ledger Entry Type",$C$4,"2 Item No.","@@"&amp;$F2841,"3 Posting Date",U$9)</t>
  </si>
  <si>
    <t>=-NL("Sum","5802 Value Entry","151 Cost Amount (Expected)","41 Source Type",$C$5,"5 Source No.",$C2841,"4 Item Ledger Entry Type",$C$4,"2 Item No.","@@"&amp;$F2841,"3 Posting Date",U$9)-NL("Sum","5802 Value Entry","43 Cost Amount (Actual)","41 Source Type",$C$5,"5 Source no.",$C2841,"4 Item Ledger Entry Type",$C$4,"2 Item No.","@@"&amp;$F2841,"3 Posting Date",U$9)</t>
  </si>
  <si>
    <t>=U2841-W2841</t>
  </si>
  <si>
    <t>=IF(U2841&lt;&gt;0,X2841/U2841,"")</t>
  </si>
  <si>
    <t>=NL("Sum","5802 Value Entry","150 Sales Amount (Expected)","41 Source Type",$C$5,"5 Source No.",$C2841,"4 Item Ledger Entry Type",$C$4,"2 Item No.","@@"&amp;$F2841,"3 Posting Date",Z$9)+NL("Sum","5802 Value Entry","17 Sales Amount (Actual)","41 Source Type",$C$5,"5 Source no.",$C2841,"4 Item Ledger Entry Type",$C$4,"2 Item No.","@@"&amp;$F2841,"3 Posting Date",Z$9)</t>
  </si>
  <si>
    <t>=-NL("Sum","5802 Value Entry","151 Cost Amount (Expected)","41 Source Type",$C$5,"5 Source No.",$C2841,"4 Item Ledger Entry Type",$C$4,"2 Item No.","@@"&amp;$F2841,"3 Posting Date",Z$9)-NL("Sum","5802 Value Entry","43 Cost Amount (Actual)","41 Source Type",$C$5,"5 Source no.",$C2841,"4 Item Ledger Entry Type",$C$4,"2 Item No.","@@"&amp;$F2841,"3 Posting Date",Z$9)</t>
  </si>
  <si>
    <t>=Z2841-AB2841</t>
  </si>
  <si>
    <t>=IF(Z2841&lt;&gt;0,AC2841/Z2841,"")</t>
  </si>
  <si>
    <t>=NL("Sum","5802 Value Entry","150 Sales Amount (Expected)","41 Source Type",$C$5,"5 Source No.",$C2842,"4 Item Ledger Entry Type",$C$4,"2 Item No.","@@"&amp;$F2842,"3 Posting Date",J$9)+NL("Sum","5802 Value Entry","17 Sales Amount (Actual)","41 Source Type",$C$5,"5 Source no.",$C2842,"4 Item Ledger Entry Type",$C$4,"2 Item No.","@@"&amp;$F2842,"3 Posting Date",J$9)</t>
  </si>
  <si>
    <t>=-NL("Sum","5802 Value Entry","151 Cost Amount (Expected)","41 Source Type",$C$5,"5 Source No.",$C2842,"4 Item Ledger Entry Type",$C$4,"2 Item No.","@@"&amp;$F2842,"3 Posting Date",J$9)-NL("Sum","5802 Value Entry","43 Cost Amount (Actual)","41 Source Type",$C$5,"5 Source no.",$C2842,"4 Item Ledger Entry Type",$C$4,"2 Item No.","@@"&amp;$F2842,"3 Posting Date",J$9)</t>
  </si>
  <si>
    <t>=NL("Sum","5802 Value Entry","150 Sales Amount (Expected)","41 Source Type",$C$5,"5 Source No.",$C2842,"4 Item Ledger Entry Type",$C$4,"2 Item No.","@@"&amp;$F2842,"3 Posting Date",O$9)+NL("Sum","5802 Value Entry","17 Sales Amount (Actual)","41 Source Type",$C$5,"5 Source no.",$C2842,"4 Item Ledger Entry Type",$C$4,"2 Item No.","@@"&amp;$F2842,"3 Posting Date",O$9)</t>
  </si>
  <si>
    <t>=-NL("Sum","5802 Value Entry","151 Cost Amount (Expected)","41 Source Type",$C$5,"5 Source No.",$C2842,"4 Item Ledger Entry Type",$C$4,"2 Item No.","@@"&amp;$F2842,"3 Posting Date",O$9)-NL("Sum","5802 Value Entry","43 Cost Amount (Actual)","41 Source Type",$C$5,"5 Source no.",$C2842,"4 Item Ledger Entry Type",$C$4,"2 Item No.","@@"&amp;$F2842,"3 Posting Date",O$9)</t>
  </si>
  <si>
    <t>=NL("Sum","5802 Value Entry","150 Sales Amount (Expected)","41 Source Type",$C$5,"5 Source No.",$C2842,"4 Item Ledger Entry Type",$C$4,"2 Item No.","@@"&amp;$F2842,"3 Posting Date",U$9)+NL("Sum","5802 Value Entry","17 Sales Amount (Actual)","41 Source Type",$C$5,"5 Source no.",$C2842,"4 Item Ledger Entry Type",$C$4,"2 Item No.","@@"&amp;$F2842,"3 Posting Date",U$9)</t>
  </si>
  <si>
    <t>=-NL("Sum","5802 Value Entry","151 Cost Amount (Expected)","41 Source Type",$C$5,"5 Source No.",$C2842,"4 Item Ledger Entry Type",$C$4,"2 Item No.","@@"&amp;$F2842,"3 Posting Date",U$9)-NL("Sum","5802 Value Entry","43 Cost Amount (Actual)","41 Source Type",$C$5,"5 Source no.",$C2842,"4 Item Ledger Entry Type",$C$4,"2 Item No.","@@"&amp;$F2842,"3 Posting Date",U$9)</t>
  </si>
  <si>
    <t>=NL("Sum","5802 Value Entry","150 Sales Amount (Expected)","41 Source Type",$C$5,"5 Source No.",$C2842,"4 Item Ledger Entry Type",$C$4,"2 Item No.","@@"&amp;$F2842,"3 Posting Date",Z$9)+NL("Sum","5802 Value Entry","17 Sales Amount (Actual)","41 Source Type",$C$5,"5 Source no.",$C2842,"4 Item Ledger Entry Type",$C$4,"2 Item No.","@@"&amp;$F2842,"3 Posting Date",Z$9)</t>
  </si>
  <si>
    <t>=-NL("Sum","5802 Value Entry","151 Cost Amount (Expected)","41 Source Type",$C$5,"5 Source No.",$C2842,"4 Item Ledger Entry Type",$C$4,"2 Item No.","@@"&amp;$F2842,"3 Posting Date",Z$9)-NL("Sum","5802 Value Entry","43 Cost Amount (Actual)","41 Source Type",$C$5,"5 Source no.",$C2842,"4 Item Ledger Entry Type",$C$4,"2 Item No.","@@"&amp;$F2842,"3 Posting Date",Z$9)</t>
  </si>
  <si>
    <t>=C2842</t>
  </si>
  <si>
    <t>=NL("Sum","5802 Value Entry","150 Sales Amount (Expected)","41 Source Type",$C$5,"5 Source No.",$C2843,"4 Item Ledger Entry Type",$C$4,"2 Item No.","@@"&amp;$F2843,"3 Posting Date",J$9)+NL("Sum","5802 Value Entry","17 Sales Amount (Actual)","41 Source Type",$C$5,"5 Source no.",$C2843,"4 Item Ledger Entry Type",$C$4,"2 Item No.","@@"&amp;$F2843,"3 Posting Date",J$9)</t>
  </si>
  <si>
    <t>=-NL("Sum","5802 Value Entry","151 Cost Amount (Expected)","41 Source Type",$C$5,"5 Source No.",$C2843,"4 Item Ledger Entry Type",$C$4,"2 Item No.","@@"&amp;$F2843,"3 Posting Date",J$9)-NL("Sum","5802 Value Entry","43 Cost Amount (Actual)","41 Source Type",$C$5,"5 Source no.",$C2843,"4 Item Ledger Entry Type",$C$4,"2 Item No.","@@"&amp;$F2843,"3 Posting Date",J$9)</t>
  </si>
  <si>
    <t>=J2843-L2843</t>
  </si>
  <si>
    <t>=IF(J2843&lt;&gt;0,M2843/J2843,"")</t>
  </si>
  <si>
    <t>=NL("Sum","5802 Value Entry","150 Sales Amount (Expected)","41 Source Type",$C$5,"5 Source No.",$C2843,"4 Item Ledger Entry Type",$C$4,"2 Item No.","@@"&amp;$F2843,"3 Posting Date",O$9)+NL("Sum","5802 Value Entry","17 Sales Amount (Actual)","41 Source Type",$C$5,"5 Source no.",$C2843,"4 Item Ledger Entry Type",$C$4,"2 Item No.","@@"&amp;$F2843,"3 Posting Date",O$9)</t>
  </si>
  <si>
    <t>=-NL("Sum","5802 Value Entry","151 Cost Amount (Expected)","41 Source Type",$C$5,"5 Source No.",$C2843,"4 Item Ledger Entry Type",$C$4,"2 Item No.","@@"&amp;$F2843,"3 Posting Date",O$9)-NL("Sum","5802 Value Entry","43 Cost Amount (Actual)","41 Source Type",$C$5,"5 Source no.",$C2843,"4 Item Ledger Entry Type",$C$4,"2 Item No.","@@"&amp;$F2843,"3 Posting Date",O$9)</t>
  </si>
  <si>
    <t>=O2843-Q2843</t>
  </si>
  <si>
    <t>=IF(O2843&lt;&gt;0,R2843/O2843,"")</t>
  </si>
  <si>
    <t>=NL("Sum","5802 Value Entry","150 Sales Amount (Expected)","41 Source Type",$C$5,"5 Source No.",$C2843,"4 Item Ledger Entry Type",$C$4,"2 Item No.","@@"&amp;$F2843,"3 Posting Date",U$9)+NL("Sum","5802 Value Entry","17 Sales Amount (Actual)","41 Source Type",$C$5,"5 Source no.",$C2843,"4 Item Ledger Entry Type",$C$4,"2 Item No.","@@"&amp;$F2843,"3 Posting Date",U$9)</t>
  </si>
  <si>
    <t>=-NL("Sum","5802 Value Entry","151 Cost Amount (Expected)","41 Source Type",$C$5,"5 Source No.",$C2843,"4 Item Ledger Entry Type",$C$4,"2 Item No.","@@"&amp;$F2843,"3 Posting Date",U$9)-NL("Sum","5802 Value Entry","43 Cost Amount (Actual)","41 Source Type",$C$5,"5 Source no.",$C2843,"4 Item Ledger Entry Type",$C$4,"2 Item No.","@@"&amp;$F2843,"3 Posting Date",U$9)</t>
  </si>
  <si>
    <t>=U2843-W2843</t>
  </si>
  <si>
    <t>=IF(U2843&lt;&gt;0,X2843/U2843,"")</t>
  </si>
  <si>
    <t>=NL("Sum","5802 Value Entry","150 Sales Amount (Expected)","41 Source Type",$C$5,"5 Source No.",$C2843,"4 Item Ledger Entry Type",$C$4,"2 Item No.","@@"&amp;$F2843,"3 Posting Date",Z$9)+NL("Sum","5802 Value Entry","17 Sales Amount (Actual)","41 Source Type",$C$5,"5 Source no.",$C2843,"4 Item Ledger Entry Type",$C$4,"2 Item No.","@@"&amp;$F2843,"3 Posting Date",Z$9)</t>
  </si>
  <si>
    <t>=-NL("Sum","5802 Value Entry","151 Cost Amount (Expected)","41 Source Type",$C$5,"5 Source No.",$C2843,"4 Item Ledger Entry Type",$C$4,"2 Item No.","@@"&amp;$F2843,"3 Posting Date",Z$9)-NL("Sum","5802 Value Entry","43 Cost Amount (Actual)","41 Source Type",$C$5,"5 Source no.",$C2843,"4 Item Ledger Entry Type",$C$4,"2 Item No.","@@"&amp;$F2843,"3 Posting Date",Z$9)</t>
  </si>
  <si>
    <t>=Z2843-AB2843</t>
  </si>
  <si>
    <t>=IF(Z2843&lt;&gt;0,AC2843/Z2843,"")</t>
  </si>
  <si>
    <t>=C2843</t>
  </si>
  <si>
    <t>=NL("Sum","5802 Value Entry","150 Sales Amount (Expected)","41 Source Type",$C$5,"5 Source No.",$C2844,"4 Item Ledger Entry Type",$C$4,"2 Item No.","@@"&amp;$F2844,"3 Posting Date",J$9)+NL("Sum","5802 Value Entry","17 Sales Amount (Actual)","41 Source Type",$C$5,"5 Source no.",$C2844,"4 Item Ledger Entry Type",$C$4,"2 Item No.","@@"&amp;$F2844,"3 Posting Date",J$9)</t>
  </si>
  <si>
    <t>=-NL("Sum","5802 Value Entry","151 Cost Amount (Expected)","41 Source Type",$C$5,"5 Source No.",$C2844,"4 Item Ledger Entry Type",$C$4,"2 Item No.","@@"&amp;$F2844,"3 Posting Date",J$9)-NL("Sum","5802 Value Entry","43 Cost Amount (Actual)","41 Source Type",$C$5,"5 Source no.",$C2844,"4 Item Ledger Entry Type",$C$4,"2 Item No.","@@"&amp;$F2844,"3 Posting Date",J$9)</t>
  </si>
  <si>
    <t>=J2844-L2844</t>
  </si>
  <si>
    <t>=IF(J2844&lt;&gt;0,M2844/J2844,"")</t>
  </si>
  <si>
    <t>=NL("Sum","5802 Value Entry","150 Sales Amount (Expected)","41 Source Type",$C$5,"5 Source No.",$C2844,"4 Item Ledger Entry Type",$C$4,"2 Item No.","@@"&amp;$F2844,"3 Posting Date",O$9)+NL("Sum","5802 Value Entry","17 Sales Amount (Actual)","41 Source Type",$C$5,"5 Source no.",$C2844,"4 Item Ledger Entry Type",$C$4,"2 Item No.","@@"&amp;$F2844,"3 Posting Date",O$9)</t>
  </si>
  <si>
    <t>=-NL("Sum","5802 Value Entry","151 Cost Amount (Expected)","41 Source Type",$C$5,"5 Source No.",$C2844,"4 Item Ledger Entry Type",$C$4,"2 Item No.","@@"&amp;$F2844,"3 Posting Date",O$9)-NL("Sum","5802 Value Entry","43 Cost Amount (Actual)","41 Source Type",$C$5,"5 Source no.",$C2844,"4 Item Ledger Entry Type",$C$4,"2 Item No.","@@"&amp;$F2844,"3 Posting Date",O$9)</t>
  </si>
  <si>
    <t>=O2844-Q2844</t>
  </si>
  <si>
    <t>=IF(O2844&lt;&gt;0,R2844/O2844,"")</t>
  </si>
  <si>
    <t>=NL("Sum","5802 Value Entry","150 Sales Amount (Expected)","41 Source Type",$C$5,"5 Source No.",$C2844,"4 Item Ledger Entry Type",$C$4,"2 Item No.","@@"&amp;$F2844,"3 Posting Date",U$9)+NL("Sum","5802 Value Entry","17 Sales Amount (Actual)","41 Source Type",$C$5,"5 Source no.",$C2844,"4 Item Ledger Entry Type",$C$4,"2 Item No.","@@"&amp;$F2844,"3 Posting Date",U$9)</t>
  </si>
  <si>
    <t>=-NL("Sum","5802 Value Entry","151 Cost Amount (Expected)","41 Source Type",$C$5,"5 Source No.",$C2844,"4 Item Ledger Entry Type",$C$4,"2 Item No.","@@"&amp;$F2844,"3 Posting Date",U$9)-NL("Sum","5802 Value Entry","43 Cost Amount (Actual)","41 Source Type",$C$5,"5 Source no.",$C2844,"4 Item Ledger Entry Type",$C$4,"2 Item No.","@@"&amp;$F2844,"3 Posting Date",U$9)</t>
  </si>
  <si>
    <t>=U2844-W2844</t>
  </si>
  <si>
    <t>=IF(U2844&lt;&gt;0,X2844/U2844,"")</t>
  </si>
  <si>
    <t>=NL("Sum","5802 Value Entry","150 Sales Amount (Expected)","41 Source Type",$C$5,"5 Source No.",$C2844,"4 Item Ledger Entry Type",$C$4,"2 Item No.","@@"&amp;$F2844,"3 Posting Date",Z$9)+NL("Sum","5802 Value Entry","17 Sales Amount (Actual)","41 Source Type",$C$5,"5 Source no.",$C2844,"4 Item Ledger Entry Type",$C$4,"2 Item No.","@@"&amp;$F2844,"3 Posting Date",Z$9)</t>
  </si>
  <si>
    <t>=-NL("Sum","5802 Value Entry","151 Cost Amount (Expected)","41 Source Type",$C$5,"5 Source No.",$C2844,"4 Item Ledger Entry Type",$C$4,"2 Item No.","@@"&amp;$F2844,"3 Posting Date",Z$9)-NL("Sum","5802 Value Entry","43 Cost Amount (Actual)","41 Source Type",$C$5,"5 Source no.",$C2844,"4 Item Ledger Entry Type",$C$4,"2 Item No.","@@"&amp;$F2844,"3 Posting Date",Z$9)</t>
  </si>
  <si>
    <t>=Z2844-AB2844</t>
  </si>
  <si>
    <t>=IF(Z2844&lt;&gt;0,AC2844/Z2844,"")</t>
  </si>
  <si>
    <t>=NL("Sum","5802 Value Entry","150 Sales Amount (Expected)","41 Source Type",$C$5,"5 Source No.",$C2845,"4 Item Ledger Entry Type",$C$4,"2 Item No.","@@"&amp;$F2845,"3 Posting Date",J$9)+NL("Sum","5802 Value Entry","17 Sales Amount (Actual)","41 Source Type",$C$5,"5 Source no.",$C2845,"4 Item Ledger Entry Type",$C$4,"2 Item No.","@@"&amp;$F2845,"3 Posting Date",J$9)</t>
  </si>
  <si>
    <t>=-NL("Sum","5802 Value Entry","151 Cost Amount (Expected)","41 Source Type",$C$5,"5 Source No.",$C2845,"4 Item Ledger Entry Type",$C$4,"2 Item No.","@@"&amp;$F2845,"3 Posting Date",J$9)-NL("Sum","5802 Value Entry","43 Cost Amount (Actual)","41 Source Type",$C$5,"5 Source no.",$C2845,"4 Item Ledger Entry Type",$C$4,"2 Item No.","@@"&amp;$F2845,"3 Posting Date",J$9)</t>
  </si>
  <si>
    <t>=J2845-L2845</t>
  </si>
  <si>
    <t>=IF(J2845&lt;&gt;0,M2845/J2845,"")</t>
  </si>
  <si>
    <t>=NL("Sum","5802 Value Entry","150 Sales Amount (Expected)","41 Source Type",$C$5,"5 Source No.",$C2845,"4 Item Ledger Entry Type",$C$4,"2 Item No.","@@"&amp;$F2845,"3 Posting Date",O$9)+NL("Sum","5802 Value Entry","17 Sales Amount (Actual)","41 Source Type",$C$5,"5 Source no.",$C2845,"4 Item Ledger Entry Type",$C$4,"2 Item No.","@@"&amp;$F2845,"3 Posting Date",O$9)</t>
  </si>
  <si>
    <t>=-NL("Sum","5802 Value Entry","151 Cost Amount (Expected)","41 Source Type",$C$5,"5 Source No.",$C2845,"4 Item Ledger Entry Type",$C$4,"2 Item No.","@@"&amp;$F2845,"3 Posting Date",O$9)-NL("Sum","5802 Value Entry","43 Cost Amount (Actual)","41 Source Type",$C$5,"5 Source no.",$C2845,"4 Item Ledger Entry Type",$C$4,"2 Item No.","@@"&amp;$F2845,"3 Posting Date",O$9)</t>
  </si>
  <si>
    <t>=O2845-Q2845</t>
  </si>
  <si>
    <t>=IF(O2845&lt;&gt;0,R2845/O2845,"")</t>
  </si>
  <si>
    <t>=NL("Sum","5802 Value Entry","150 Sales Amount (Expected)","41 Source Type",$C$5,"5 Source No.",$C2845,"4 Item Ledger Entry Type",$C$4,"2 Item No.","@@"&amp;$F2845,"3 Posting Date",U$9)+NL("Sum","5802 Value Entry","17 Sales Amount (Actual)","41 Source Type",$C$5,"5 Source no.",$C2845,"4 Item Ledger Entry Type",$C$4,"2 Item No.","@@"&amp;$F2845,"3 Posting Date",U$9)</t>
  </si>
  <si>
    <t>=-NL("Sum","5802 Value Entry","151 Cost Amount (Expected)","41 Source Type",$C$5,"5 Source No.",$C2845,"4 Item Ledger Entry Type",$C$4,"2 Item No.","@@"&amp;$F2845,"3 Posting Date",U$9)-NL("Sum","5802 Value Entry","43 Cost Amount (Actual)","41 Source Type",$C$5,"5 Source no.",$C2845,"4 Item Ledger Entry Type",$C$4,"2 Item No.","@@"&amp;$F2845,"3 Posting Date",U$9)</t>
  </si>
  <si>
    <t>=U2845-W2845</t>
  </si>
  <si>
    <t>=IF(U2845&lt;&gt;0,X2845/U2845,"")</t>
  </si>
  <si>
    <t>=NL("Sum","5802 Value Entry","150 Sales Amount (Expected)","41 Source Type",$C$5,"5 Source No.",$C2845,"4 Item Ledger Entry Type",$C$4,"2 Item No.","@@"&amp;$F2845,"3 Posting Date",Z$9)+NL("Sum","5802 Value Entry","17 Sales Amount (Actual)","41 Source Type",$C$5,"5 Source no.",$C2845,"4 Item Ledger Entry Type",$C$4,"2 Item No.","@@"&amp;$F2845,"3 Posting Date",Z$9)</t>
  </si>
  <si>
    <t>=-NL("Sum","5802 Value Entry","151 Cost Amount (Expected)","41 Source Type",$C$5,"5 Source No.",$C2845,"4 Item Ledger Entry Type",$C$4,"2 Item No.","@@"&amp;$F2845,"3 Posting Date",Z$9)-NL("Sum","5802 Value Entry","43 Cost Amount (Actual)","41 Source Type",$C$5,"5 Source no.",$C2845,"4 Item Ledger Entry Type",$C$4,"2 Item No.","@@"&amp;$F2845,"3 Posting Date",Z$9)</t>
  </si>
  <si>
    <t>=Z2845-AB2845</t>
  </si>
  <si>
    <t>=IF(Z2845&lt;&gt;0,AC2845/Z2845,"")</t>
  </si>
  <si>
    <t>=C2847&amp;" TOTAL:"</t>
  </si>
  <si>
    <t>=SUBTOTAL(9,J2774:J2846)</t>
  </si>
  <si>
    <t>=SUBTOTAL(9,K2774:K2846)</t>
  </si>
  <si>
    <t>=SUBTOTAL(9,L2774:L2846)</t>
  </si>
  <si>
    <t>=SUBTOTAL(9,O2774:O2846)</t>
  </si>
  <si>
    <t>=SUBTOTAL(9,P2774:P2846)</t>
  </si>
  <si>
    <t>=SUBTOTAL(9,Q2774:Q2846)</t>
  </si>
  <si>
    <t>=SUBTOTAL(9,U2774:U2846)</t>
  </si>
  <si>
    <t>=SUBTOTAL(9,V2774:V2846)</t>
  </si>
  <si>
    <t>=SUBTOTAL(9,W2774:W2846)</t>
  </si>
  <si>
    <t>=SUBTOTAL(9,Z2774:Z2846)</t>
  </si>
  <si>
    <t>=SUBTOTAL(9,AA2774:AA2846)</t>
  </si>
  <si>
    <t>=SUBTOTAL(9,AB2774:AB2846)</t>
  </si>
  <si>
    <t>=E2849</t>
  </si>
  <si>
    <t>=NL(,"18 Customer","2 Name","1 No.",$E2849)</t>
  </si>
  <si>
    <t>=NL("Rows","5802 Value Entry","2 Item No.","4 Item Ledger Entry Type",$C$4,"41 Source Type",$C$5,"5 Source No.",$C2851,"Item No.",$C$7,"3 Posting Date",$C$10)</t>
  </si>
  <si>
    <t>=C2877</t>
  </si>
  <si>
    <t>=NL("Sum","5802 Value Entry","150 Sales Amount (Expected)","41 Source Type",$C$5,"5 Source No.",$C2878,"4 Item Ledger Entry Type",$C$4,"2 Item No.","@@"&amp;$F2878,"3 Posting Date",J$9)+NL("Sum","5802 Value Entry","17 Sales Amount (Actual)","41 Source Type",$C$5,"5 Source no.",$C2878,"4 Item Ledger Entry Type",$C$4,"2 Item No.","@@"&amp;$F2878,"3 Posting Date",J$9)</t>
  </si>
  <si>
    <t>=-NL("Sum","5802 Value Entry","151 Cost Amount (Expected)","41 Source Type",$C$5,"5 Source No.",$C2878,"4 Item Ledger Entry Type",$C$4,"2 Item No.","@@"&amp;$F2878,"3 Posting Date",J$9)-NL("Sum","5802 Value Entry","43 Cost Amount (Actual)","41 Source Type",$C$5,"5 Source no.",$C2878,"4 Item Ledger Entry Type",$C$4,"2 Item No.","@@"&amp;$F2878,"3 Posting Date",J$9)</t>
  </si>
  <si>
    <t>=J2878-L2878</t>
  </si>
  <si>
    <t>=IF(J2878&lt;&gt;0,M2878/J2878,"")</t>
  </si>
  <si>
    <t>=NL("Sum","5802 Value Entry","150 Sales Amount (Expected)","41 Source Type",$C$5,"5 Source No.",$C2878,"4 Item Ledger Entry Type",$C$4,"2 Item No.","@@"&amp;$F2878,"3 Posting Date",O$9)+NL("Sum","5802 Value Entry","17 Sales Amount (Actual)","41 Source Type",$C$5,"5 Source no.",$C2878,"4 Item Ledger Entry Type",$C$4,"2 Item No.","@@"&amp;$F2878,"3 Posting Date",O$9)</t>
  </si>
  <si>
    <t>=-NL("Sum","5802 Value Entry","151 Cost Amount (Expected)","41 Source Type",$C$5,"5 Source No.",$C2878,"4 Item Ledger Entry Type",$C$4,"2 Item No.","@@"&amp;$F2878,"3 Posting Date",O$9)-NL("Sum","5802 Value Entry","43 Cost Amount (Actual)","41 Source Type",$C$5,"5 Source no.",$C2878,"4 Item Ledger Entry Type",$C$4,"2 Item No.","@@"&amp;$F2878,"3 Posting Date",O$9)</t>
  </si>
  <si>
    <t>=O2878-Q2878</t>
  </si>
  <si>
    <t>=IF(O2878&lt;&gt;0,R2878/O2878,"")</t>
  </si>
  <si>
    <t>=NL("Sum","5802 Value Entry","150 Sales Amount (Expected)","41 Source Type",$C$5,"5 Source No.",$C2878,"4 Item Ledger Entry Type",$C$4,"2 Item No.","@@"&amp;$F2878,"3 Posting Date",U$9)+NL("Sum","5802 Value Entry","17 Sales Amount (Actual)","41 Source Type",$C$5,"5 Source no.",$C2878,"4 Item Ledger Entry Type",$C$4,"2 Item No.","@@"&amp;$F2878,"3 Posting Date",U$9)</t>
  </si>
  <si>
    <t>=-NL("Sum","5802 Value Entry","151 Cost Amount (Expected)","41 Source Type",$C$5,"5 Source No.",$C2878,"4 Item Ledger Entry Type",$C$4,"2 Item No.","@@"&amp;$F2878,"3 Posting Date",U$9)-NL("Sum","5802 Value Entry","43 Cost Amount (Actual)","41 Source Type",$C$5,"5 Source no.",$C2878,"4 Item Ledger Entry Type",$C$4,"2 Item No.","@@"&amp;$F2878,"3 Posting Date",U$9)</t>
  </si>
  <si>
    <t>=U2878-W2878</t>
  </si>
  <si>
    <t>=IF(U2878&lt;&gt;0,X2878/U2878,"")</t>
  </si>
  <si>
    <t>=NL("Sum","5802 Value Entry","150 Sales Amount (Expected)","41 Source Type",$C$5,"5 Source No.",$C2878,"4 Item Ledger Entry Type",$C$4,"2 Item No.","@@"&amp;$F2878,"3 Posting Date",Z$9)+NL("Sum","5802 Value Entry","17 Sales Amount (Actual)","41 Source Type",$C$5,"5 Source no.",$C2878,"4 Item Ledger Entry Type",$C$4,"2 Item No.","@@"&amp;$F2878,"3 Posting Date",Z$9)</t>
  </si>
  <si>
    <t>=-NL("Sum","5802 Value Entry","151 Cost Amount (Expected)","41 Source Type",$C$5,"5 Source No.",$C2878,"4 Item Ledger Entry Type",$C$4,"2 Item No.","@@"&amp;$F2878,"3 Posting Date",Z$9)-NL("Sum","5802 Value Entry","43 Cost Amount (Actual)","41 Source Type",$C$5,"5 Source no.",$C2878,"4 Item Ledger Entry Type",$C$4,"2 Item No.","@@"&amp;$F2878,"3 Posting Date",Z$9)</t>
  </si>
  <si>
    <t>=Z2878-AB2878</t>
  </si>
  <si>
    <t>=IF(Z2878&lt;&gt;0,AC2878/Z2878,"")</t>
  </si>
  <si>
    <t>=NL("Sum","5802 Value Entry","150 Sales Amount (Expected)","41 Source Type",$C$5,"5 Source No.",$C2879,"4 Item Ledger Entry Type",$C$4,"2 Item No.","@@"&amp;$F2879,"3 Posting Date",J$9)+NL("Sum","5802 Value Entry","17 Sales Amount (Actual)","41 Source Type",$C$5,"5 Source no.",$C2879,"4 Item Ledger Entry Type",$C$4,"2 Item No.","@@"&amp;$F2879,"3 Posting Date",J$9)</t>
  </si>
  <si>
    <t>=-NL("Sum","5802 Value Entry","151 Cost Amount (Expected)","41 Source Type",$C$5,"5 Source No.",$C2879,"4 Item Ledger Entry Type",$C$4,"2 Item No.","@@"&amp;$F2879,"3 Posting Date",J$9)-NL("Sum","5802 Value Entry","43 Cost Amount (Actual)","41 Source Type",$C$5,"5 Source no.",$C2879,"4 Item Ledger Entry Type",$C$4,"2 Item No.","@@"&amp;$F2879,"3 Posting Date",J$9)</t>
  </si>
  <si>
    <t>=NL("Sum","5802 Value Entry","150 Sales Amount (Expected)","41 Source Type",$C$5,"5 Source No.",$C2879,"4 Item Ledger Entry Type",$C$4,"2 Item No.","@@"&amp;$F2879,"3 Posting Date",O$9)+NL("Sum","5802 Value Entry","17 Sales Amount (Actual)","41 Source Type",$C$5,"5 Source no.",$C2879,"4 Item Ledger Entry Type",$C$4,"2 Item No.","@@"&amp;$F2879,"3 Posting Date",O$9)</t>
  </si>
  <si>
    <t>=-NL("Sum","5802 Value Entry","151 Cost Amount (Expected)","41 Source Type",$C$5,"5 Source No.",$C2879,"4 Item Ledger Entry Type",$C$4,"2 Item No.","@@"&amp;$F2879,"3 Posting Date",O$9)-NL("Sum","5802 Value Entry","43 Cost Amount (Actual)","41 Source Type",$C$5,"5 Source no.",$C2879,"4 Item Ledger Entry Type",$C$4,"2 Item No.","@@"&amp;$F2879,"3 Posting Date",O$9)</t>
  </si>
  <si>
    <t>=NL("Sum","5802 Value Entry","150 Sales Amount (Expected)","41 Source Type",$C$5,"5 Source No.",$C2879,"4 Item Ledger Entry Type",$C$4,"2 Item No.","@@"&amp;$F2879,"3 Posting Date",U$9)+NL("Sum","5802 Value Entry","17 Sales Amount (Actual)","41 Source Type",$C$5,"5 Source no.",$C2879,"4 Item Ledger Entry Type",$C$4,"2 Item No.","@@"&amp;$F2879,"3 Posting Date",U$9)</t>
  </si>
  <si>
    <t>=-NL("Sum","5802 Value Entry","151 Cost Amount (Expected)","41 Source Type",$C$5,"5 Source No.",$C2879,"4 Item Ledger Entry Type",$C$4,"2 Item No.","@@"&amp;$F2879,"3 Posting Date",U$9)-NL("Sum","5802 Value Entry","43 Cost Amount (Actual)","41 Source Type",$C$5,"5 Source no.",$C2879,"4 Item Ledger Entry Type",$C$4,"2 Item No.","@@"&amp;$F2879,"3 Posting Date",U$9)</t>
  </si>
  <si>
    <t>=NL("Sum","5802 Value Entry","150 Sales Amount (Expected)","41 Source Type",$C$5,"5 Source No.",$C2879,"4 Item Ledger Entry Type",$C$4,"2 Item No.","@@"&amp;$F2879,"3 Posting Date",Z$9)+NL("Sum","5802 Value Entry","17 Sales Amount (Actual)","41 Source Type",$C$5,"5 Source no.",$C2879,"4 Item Ledger Entry Type",$C$4,"2 Item No.","@@"&amp;$F2879,"3 Posting Date",Z$9)</t>
  </si>
  <si>
    <t>=-NL("Sum","5802 Value Entry","151 Cost Amount (Expected)","41 Source Type",$C$5,"5 Source No.",$C2879,"4 Item Ledger Entry Type",$C$4,"2 Item No.","@@"&amp;$F2879,"3 Posting Date",Z$9)-NL("Sum","5802 Value Entry","43 Cost Amount (Actual)","41 Source Type",$C$5,"5 Source no.",$C2879,"4 Item Ledger Entry Type",$C$4,"2 Item No.","@@"&amp;$F2879,"3 Posting Date",Z$9)</t>
  </si>
  <si>
    <t>=C2879</t>
  </si>
  <si>
    <t>=NL("Sum","5802 Value Entry","150 Sales Amount (Expected)","41 Source Type",$C$5,"5 Source No.",$C2880,"4 Item Ledger Entry Type",$C$4,"2 Item No.","@@"&amp;$F2880,"3 Posting Date",J$9)+NL("Sum","5802 Value Entry","17 Sales Amount (Actual)","41 Source Type",$C$5,"5 Source no.",$C2880,"4 Item Ledger Entry Type",$C$4,"2 Item No.","@@"&amp;$F2880,"3 Posting Date",J$9)</t>
  </si>
  <si>
    <t>=-NL("Sum","5802 Value Entry","151 Cost Amount (Expected)","41 Source Type",$C$5,"5 Source No.",$C2880,"4 Item Ledger Entry Type",$C$4,"2 Item No.","@@"&amp;$F2880,"3 Posting Date",J$9)-NL("Sum","5802 Value Entry","43 Cost Amount (Actual)","41 Source Type",$C$5,"5 Source no.",$C2880,"4 Item Ledger Entry Type",$C$4,"2 Item No.","@@"&amp;$F2880,"3 Posting Date",J$9)</t>
  </si>
  <si>
    <t>=J2880-L2880</t>
  </si>
  <si>
    <t>=IF(J2880&lt;&gt;0,M2880/J2880,"")</t>
  </si>
  <si>
    <t>=NL("Sum","5802 Value Entry","150 Sales Amount (Expected)","41 Source Type",$C$5,"5 Source No.",$C2880,"4 Item Ledger Entry Type",$C$4,"2 Item No.","@@"&amp;$F2880,"3 Posting Date",O$9)+NL("Sum","5802 Value Entry","17 Sales Amount (Actual)","41 Source Type",$C$5,"5 Source no.",$C2880,"4 Item Ledger Entry Type",$C$4,"2 Item No.","@@"&amp;$F2880,"3 Posting Date",O$9)</t>
  </si>
  <si>
    <t>=-NL("Sum","5802 Value Entry","151 Cost Amount (Expected)","41 Source Type",$C$5,"5 Source No.",$C2880,"4 Item Ledger Entry Type",$C$4,"2 Item No.","@@"&amp;$F2880,"3 Posting Date",O$9)-NL("Sum","5802 Value Entry","43 Cost Amount (Actual)","41 Source Type",$C$5,"5 Source no.",$C2880,"4 Item Ledger Entry Type",$C$4,"2 Item No.","@@"&amp;$F2880,"3 Posting Date",O$9)</t>
  </si>
  <si>
    <t>=O2880-Q2880</t>
  </si>
  <si>
    <t>=IF(O2880&lt;&gt;0,R2880/O2880,"")</t>
  </si>
  <si>
    <t>=NL("Sum","5802 Value Entry","150 Sales Amount (Expected)","41 Source Type",$C$5,"5 Source No.",$C2880,"4 Item Ledger Entry Type",$C$4,"2 Item No.","@@"&amp;$F2880,"3 Posting Date",U$9)+NL("Sum","5802 Value Entry","17 Sales Amount (Actual)","41 Source Type",$C$5,"5 Source no.",$C2880,"4 Item Ledger Entry Type",$C$4,"2 Item No.","@@"&amp;$F2880,"3 Posting Date",U$9)</t>
  </si>
  <si>
    <t>=-NL("Sum","5802 Value Entry","151 Cost Amount (Expected)","41 Source Type",$C$5,"5 Source No.",$C2880,"4 Item Ledger Entry Type",$C$4,"2 Item No.","@@"&amp;$F2880,"3 Posting Date",U$9)-NL("Sum","5802 Value Entry","43 Cost Amount (Actual)","41 Source Type",$C$5,"5 Source no.",$C2880,"4 Item Ledger Entry Type",$C$4,"2 Item No.","@@"&amp;$F2880,"3 Posting Date",U$9)</t>
  </si>
  <si>
    <t>=U2880-W2880</t>
  </si>
  <si>
    <t>=IF(U2880&lt;&gt;0,X2880/U2880,"")</t>
  </si>
  <si>
    <t>=NL("Sum","5802 Value Entry","150 Sales Amount (Expected)","41 Source Type",$C$5,"5 Source No.",$C2880,"4 Item Ledger Entry Type",$C$4,"2 Item No.","@@"&amp;$F2880,"3 Posting Date",Z$9)+NL("Sum","5802 Value Entry","17 Sales Amount (Actual)","41 Source Type",$C$5,"5 Source no.",$C2880,"4 Item Ledger Entry Type",$C$4,"2 Item No.","@@"&amp;$F2880,"3 Posting Date",Z$9)</t>
  </si>
  <si>
    <t>=-NL("Sum","5802 Value Entry","151 Cost Amount (Expected)","41 Source Type",$C$5,"5 Source No.",$C2880,"4 Item Ledger Entry Type",$C$4,"2 Item No.","@@"&amp;$F2880,"3 Posting Date",Z$9)-NL("Sum","5802 Value Entry","43 Cost Amount (Actual)","41 Source Type",$C$5,"5 Source no.",$C2880,"4 Item Ledger Entry Type",$C$4,"2 Item No.","@@"&amp;$F2880,"3 Posting Date",Z$9)</t>
  </si>
  <si>
    <t>=Z2880-AB2880</t>
  </si>
  <si>
    <t>=IF(Z2880&lt;&gt;0,AC2880/Z2880,"")</t>
  </si>
  <si>
    <t>=C2880</t>
  </si>
  <si>
    <t>=NL("Sum","5802 Value Entry","150 Sales Amount (Expected)","41 Source Type",$C$5,"5 Source No.",$C2881,"4 Item Ledger Entry Type",$C$4,"2 Item No.","@@"&amp;$F2881,"3 Posting Date",J$9)+NL("Sum","5802 Value Entry","17 Sales Amount (Actual)","41 Source Type",$C$5,"5 Source no.",$C2881,"4 Item Ledger Entry Type",$C$4,"2 Item No.","@@"&amp;$F2881,"3 Posting Date",J$9)</t>
  </si>
  <si>
    <t>=-NL("Sum","5802 Value Entry","151 Cost Amount (Expected)","41 Source Type",$C$5,"5 Source No.",$C2881,"4 Item Ledger Entry Type",$C$4,"2 Item No.","@@"&amp;$F2881,"3 Posting Date",J$9)-NL("Sum","5802 Value Entry","43 Cost Amount (Actual)","41 Source Type",$C$5,"5 Source no.",$C2881,"4 Item Ledger Entry Type",$C$4,"2 Item No.","@@"&amp;$F2881,"3 Posting Date",J$9)</t>
  </si>
  <si>
    <t>=J2881-L2881</t>
  </si>
  <si>
    <t>=IF(J2881&lt;&gt;0,M2881/J2881,"")</t>
  </si>
  <si>
    <t>=NL("Sum","5802 Value Entry","150 Sales Amount (Expected)","41 Source Type",$C$5,"5 Source No.",$C2881,"4 Item Ledger Entry Type",$C$4,"2 Item No.","@@"&amp;$F2881,"3 Posting Date",O$9)+NL("Sum","5802 Value Entry","17 Sales Amount (Actual)","41 Source Type",$C$5,"5 Source no.",$C2881,"4 Item Ledger Entry Type",$C$4,"2 Item No.","@@"&amp;$F2881,"3 Posting Date",O$9)</t>
  </si>
  <si>
    <t>=-NL("Sum","5802 Value Entry","151 Cost Amount (Expected)","41 Source Type",$C$5,"5 Source No.",$C2881,"4 Item Ledger Entry Type",$C$4,"2 Item No.","@@"&amp;$F2881,"3 Posting Date",O$9)-NL("Sum","5802 Value Entry","43 Cost Amount (Actual)","41 Source Type",$C$5,"5 Source no.",$C2881,"4 Item Ledger Entry Type",$C$4,"2 Item No.","@@"&amp;$F2881,"3 Posting Date",O$9)</t>
  </si>
  <si>
    <t>=O2881-Q2881</t>
  </si>
  <si>
    <t>=IF(O2881&lt;&gt;0,R2881/O2881,"")</t>
  </si>
  <si>
    <t>=NL("Sum","5802 Value Entry","150 Sales Amount (Expected)","41 Source Type",$C$5,"5 Source No.",$C2881,"4 Item Ledger Entry Type",$C$4,"2 Item No.","@@"&amp;$F2881,"3 Posting Date",U$9)+NL("Sum","5802 Value Entry","17 Sales Amount (Actual)","41 Source Type",$C$5,"5 Source no.",$C2881,"4 Item Ledger Entry Type",$C$4,"2 Item No.","@@"&amp;$F2881,"3 Posting Date",U$9)</t>
  </si>
  <si>
    <t>=-NL("Sum","5802 Value Entry","151 Cost Amount (Expected)","41 Source Type",$C$5,"5 Source No.",$C2881,"4 Item Ledger Entry Type",$C$4,"2 Item No.","@@"&amp;$F2881,"3 Posting Date",U$9)-NL("Sum","5802 Value Entry","43 Cost Amount (Actual)","41 Source Type",$C$5,"5 Source no.",$C2881,"4 Item Ledger Entry Type",$C$4,"2 Item No.","@@"&amp;$F2881,"3 Posting Date",U$9)</t>
  </si>
  <si>
    <t>=U2881-W2881</t>
  </si>
  <si>
    <t>=IF(U2881&lt;&gt;0,X2881/U2881,"")</t>
  </si>
  <si>
    <t>=NL("Sum","5802 Value Entry","150 Sales Amount (Expected)","41 Source Type",$C$5,"5 Source No.",$C2881,"4 Item Ledger Entry Type",$C$4,"2 Item No.","@@"&amp;$F2881,"3 Posting Date",Z$9)+NL("Sum","5802 Value Entry","17 Sales Amount (Actual)","41 Source Type",$C$5,"5 Source no.",$C2881,"4 Item Ledger Entry Type",$C$4,"2 Item No.","@@"&amp;$F2881,"3 Posting Date",Z$9)</t>
  </si>
  <si>
    <t>=-NL("Sum","5802 Value Entry","151 Cost Amount (Expected)","41 Source Type",$C$5,"5 Source No.",$C2881,"4 Item Ledger Entry Type",$C$4,"2 Item No.","@@"&amp;$F2881,"3 Posting Date",Z$9)-NL("Sum","5802 Value Entry","43 Cost Amount (Actual)","41 Source Type",$C$5,"5 Source no.",$C2881,"4 Item Ledger Entry Type",$C$4,"2 Item No.","@@"&amp;$F2881,"3 Posting Date",Z$9)</t>
  </si>
  <si>
    <t>=Z2881-AB2881</t>
  </si>
  <si>
    <t>=IF(Z2881&lt;&gt;0,AC2881/Z2881,"")</t>
  </si>
  <si>
    <t>=NL("Sum","5802 Value Entry","150 Sales Amount (Expected)","41 Source Type",$C$5,"5 Source No.",$C2882,"4 Item Ledger Entry Type",$C$4,"2 Item No.","@@"&amp;$F2882,"3 Posting Date",J$9)+NL("Sum","5802 Value Entry","17 Sales Amount (Actual)","41 Source Type",$C$5,"5 Source no.",$C2882,"4 Item Ledger Entry Type",$C$4,"2 Item No.","@@"&amp;$F2882,"3 Posting Date",J$9)</t>
  </si>
  <si>
    <t>=-NL("Sum","5802 Value Entry","151 Cost Amount (Expected)","41 Source Type",$C$5,"5 Source No.",$C2882,"4 Item Ledger Entry Type",$C$4,"2 Item No.","@@"&amp;$F2882,"3 Posting Date",J$9)-NL("Sum","5802 Value Entry","43 Cost Amount (Actual)","41 Source Type",$C$5,"5 Source no.",$C2882,"4 Item Ledger Entry Type",$C$4,"2 Item No.","@@"&amp;$F2882,"3 Posting Date",J$9)</t>
  </si>
  <si>
    <t>=J2882-L2882</t>
  </si>
  <si>
    <t>=IF(J2882&lt;&gt;0,M2882/J2882,"")</t>
  </si>
  <si>
    <t>=NL("Sum","5802 Value Entry","150 Sales Amount (Expected)","41 Source Type",$C$5,"5 Source No.",$C2882,"4 Item Ledger Entry Type",$C$4,"2 Item No.","@@"&amp;$F2882,"3 Posting Date",O$9)+NL("Sum","5802 Value Entry","17 Sales Amount (Actual)","41 Source Type",$C$5,"5 Source no.",$C2882,"4 Item Ledger Entry Type",$C$4,"2 Item No.","@@"&amp;$F2882,"3 Posting Date",O$9)</t>
  </si>
  <si>
    <t>=-NL("Sum","5802 Value Entry","151 Cost Amount (Expected)","41 Source Type",$C$5,"5 Source No.",$C2882,"4 Item Ledger Entry Type",$C$4,"2 Item No.","@@"&amp;$F2882,"3 Posting Date",O$9)-NL("Sum","5802 Value Entry","43 Cost Amount (Actual)","41 Source Type",$C$5,"5 Source no.",$C2882,"4 Item Ledger Entry Type",$C$4,"2 Item No.","@@"&amp;$F2882,"3 Posting Date",O$9)</t>
  </si>
  <si>
    <t>=O2882-Q2882</t>
  </si>
  <si>
    <t>=IF(O2882&lt;&gt;0,R2882/O2882,"")</t>
  </si>
  <si>
    <t>=NL("Sum","5802 Value Entry","150 Sales Amount (Expected)","41 Source Type",$C$5,"5 Source No.",$C2882,"4 Item Ledger Entry Type",$C$4,"2 Item No.","@@"&amp;$F2882,"3 Posting Date",U$9)+NL("Sum","5802 Value Entry","17 Sales Amount (Actual)","41 Source Type",$C$5,"5 Source no.",$C2882,"4 Item Ledger Entry Type",$C$4,"2 Item No.","@@"&amp;$F2882,"3 Posting Date",U$9)</t>
  </si>
  <si>
    <t>=-NL("Sum","5802 Value Entry","151 Cost Amount (Expected)","41 Source Type",$C$5,"5 Source No.",$C2882,"4 Item Ledger Entry Type",$C$4,"2 Item No.","@@"&amp;$F2882,"3 Posting Date",U$9)-NL("Sum","5802 Value Entry","43 Cost Amount (Actual)","41 Source Type",$C$5,"5 Source no.",$C2882,"4 Item Ledger Entry Type",$C$4,"2 Item No.","@@"&amp;$F2882,"3 Posting Date",U$9)</t>
  </si>
  <si>
    <t>=U2882-W2882</t>
  </si>
  <si>
    <t>=IF(U2882&lt;&gt;0,X2882/U2882,"")</t>
  </si>
  <si>
    <t>=NL("Sum","5802 Value Entry","150 Sales Amount (Expected)","41 Source Type",$C$5,"5 Source No.",$C2882,"4 Item Ledger Entry Type",$C$4,"2 Item No.","@@"&amp;$F2882,"3 Posting Date",Z$9)+NL("Sum","5802 Value Entry","17 Sales Amount (Actual)","41 Source Type",$C$5,"5 Source no.",$C2882,"4 Item Ledger Entry Type",$C$4,"2 Item No.","@@"&amp;$F2882,"3 Posting Date",Z$9)</t>
  </si>
  <si>
    <t>=-NL("Sum","5802 Value Entry","151 Cost Amount (Expected)","41 Source Type",$C$5,"5 Source No.",$C2882,"4 Item Ledger Entry Type",$C$4,"2 Item No.","@@"&amp;$F2882,"3 Posting Date",Z$9)-NL("Sum","5802 Value Entry","43 Cost Amount (Actual)","41 Source Type",$C$5,"5 Source no.",$C2882,"4 Item Ledger Entry Type",$C$4,"2 Item No.","@@"&amp;$F2882,"3 Posting Date",Z$9)</t>
  </si>
  <si>
    <t>=Z2882-AB2882</t>
  </si>
  <si>
    <t>=IF(Z2882&lt;&gt;0,AC2882/Z2882,"")</t>
  </si>
  <si>
    <t>=C2901&amp;" TOTAL:"</t>
  </si>
  <si>
    <t>=SUBTOTAL(9,J2850:J2900)</t>
  </si>
  <si>
    <t>=SUBTOTAL(9,K2850:K2900)</t>
  </si>
  <si>
    <t>=SUBTOTAL(9,L2850:L2900)</t>
  </si>
  <si>
    <t>=SUBTOTAL(9,O2850:O2900)</t>
  </si>
  <si>
    <t>=SUBTOTAL(9,P2850:P2900)</t>
  </si>
  <si>
    <t>=SUBTOTAL(9,Q2850:Q2900)</t>
  </si>
  <si>
    <t>=SUBTOTAL(9,U2850:U2900)</t>
  </si>
  <si>
    <t>=SUBTOTAL(9,V2850:V2900)</t>
  </si>
  <si>
    <t>=SUBTOTAL(9,W2850:W2900)</t>
  </si>
  <si>
    <t>=SUBTOTAL(9,Z2850:Z2900)</t>
  </si>
  <si>
    <t>=SUBTOTAL(9,AA2850:AA2900)</t>
  </si>
  <si>
    <t>=SUBTOTAL(9,AB2850:AB2900)</t>
  </si>
  <si>
    <t>=E2903</t>
  </si>
  <si>
    <t>=NL(,"18 Customer","2 Name","1 No.",$E2903)</t>
  </si>
  <si>
    <t>=NL("Rows","5802 Value Entry","2 Item No.","4 Item Ledger Entry Type",$C$4,"41 Source Type",$C$5,"5 Source No.",$C2905,"Item No.",$C$7,"3 Posting Date",$C$10)</t>
  </si>
  <si>
    <t>=C2909&amp;" TOTAL:"</t>
  </si>
  <si>
    <t>=SUBTOTAL(9,J2904:J2908)</t>
  </si>
  <si>
    <t>=SUBTOTAL(9,K2904:K2908)</t>
  </si>
  <si>
    <t>=SUBTOTAL(9,L2904:L2908)</t>
  </si>
  <si>
    <t>=SUBTOTAL(9,O2904:O2908)</t>
  </si>
  <si>
    <t>=SUBTOTAL(9,P2904:P2908)</t>
  </si>
  <si>
    <t>=SUBTOTAL(9,Q2904:Q2908)</t>
  </si>
  <si>
    <t>=SUBTOTAL(9,U2904:U2908)</t>
  </si>
  <si>
    <t>=SUBTOTAL(9,V2904:V2908)</t>
  </si>
  <si>
    <t>=SUBTOTAL(9,W2904:W2908)</t>
  </si>
  <si>
    <t>=SUBTOTAL(9,Z2904:Z2908)</t>
  </si>
  <si>
    <t>=SUBTOTAL(9,AA2904:AA2908)</t>
  </si>
  <si>
    <t>=SUBTOTAL(9,AB2904:AB2908)</t>
  </si>
  <si>
    <t>=E2911</t>
  </si>
  <si>
    <t>=NL(,"18 Customer","2 Name","1 No.",$E2911)</t>
  </si>
  <si>
    <t>=NL("Rows","5802 Value Entry","2 Item No.","4 Item Ledger Entry Type",$C$4,"41 Source Type",$C$5,"5 Source No.",$C2913,"Item No.",$C$7,"3 Posting Date",$C$10)</t>
  </si>
  <si>
    <t>=C2918</t>
  </si>
  <si>
    <t>=NL("Sum","5802 Value Entry","150 Sales Amount (Expected)","41 Source Type",$C$5,"5 Source No.",$C2919,"4 Item Ledger Entry Type",$C$4,"2 Item No.","@@"&amp;$F2919,"3 Posting Date",J$9)+NL("Sum","5802 Value Entry","17 Sales Amount (Actual)","41 Source Type",$C$5,"5 Source no.",$C2919,"4 Item Ledger Entry Type",$C$4,"2 Item No.","@@"&amp;$F2919,"3 Posting Date",J$9)</t>
  </si>
  <si>
    <t>=-NL("Sum","5802 Value Entry","151 Cost Amount (Expected)","41 Source Type",$C$5,"5 Source No.",$C2919,"4 Item Ledger Entry Type",$C$4,"2 Item No.","@@"&amp;$F2919,"3 Posting Date",J$9)-NL("Sum","5802 Value Entry","43 Cost Amount (Actual)","41 Source Type",$C$5,"5 Source no.",$C2919,"4 Item Ledger Entry Type",$C$4,"2 Item No.","@@"&amp;$F2919,"3 Posting Date",J$9)</t>
  </si>
  <si>
    <t>=J2919-L2919</t>
  </si>
  <si>
    <t>=IF(J2919&lt;&gt;0,M2919/J2919,"")</t>
  </si>
  <si>
    <t>=NL("Sum","5802 Value Entry","150 Sales Amount (Expected)","41 Source Type",$C$5,"5 Source No.",$C2919,"4 Item Ledger Entry Type",$C$4,"2 Item No.","@@"&amp;$F2919,"3 Posting Date",O$9)+NL("Sum","5802 Value Entry","17 Sales Amount (Actual)","41 Source Type",$C$5,"5 Source no.",$C2919,"4 Item Ledger Entry Type",$C$4,"2 Item No.","@@"&amp;$F2919,"3 Posting Date",O$9)</t>
  </si>
  <si>
    <t>=-NL("Sum","5802 Value Entry","151 Cost Amount (Expected)","41 Source Type",$C$5,"5 Source No.",$C2919,"4 Item Ledger Entry Type",$C$4,"2 Item No.","@@"&amp;$F2919,"3 Posting Date",O$9)-NL("Sum","5802 Value Entry","43 Cost Amount (Actual)","41 Source Type",$C$5,"5 Source no.",$C2919,"4 Item Ledger Entry Type",$C$4,"2 Item No.","@@"&amp;$F2919,"3 Posting Date",O$9)</t>
  </si>
  <si>
    <t>=O2919-Q2919</t>
  </si>
  <si>
    <t>=IF(O2919&lt;&gt;0,R2919/O2919,"")</t>
  </si>
  <si>
    <t>=NL("Sum","5802 Value Entry","150 Sales Amount (Expected)","41 Source Type",$C$5,"5 Source No.",$C2919,"4 Item Ledger Entry Type",$C$4,"2 Item No.","@@"&amp;$F2919,"3 Posting Date",U$9)+NL("Sum","5802 Value Entry","17 Sales Amount (Actual)","41 Source Type",$C$5,"5 Source no.",$C2919,"4 Item Ledger Entry Type",$C$4,"2 Item No.","@@"&amp;$F2919,"3 Posting Date",U$9)</t>
  </si>
  <si>
    <t>=-NL("Sum","5802 Value Entry","151 Cost Amount (Expected)","41 Source Type",$C$5,"5 Source No.",$C2919,"4 Item Ledger Entry Type",$C$4,"2 Item No.","@@"&amp;$F2919,"3 Posting Date",U$9)-NL("Sum","5802 Value Entry","43 Cost Amount (Actual)","41 Source Type",$C$5,"5 Source no.",$C2919,"4 Item Ledger Entry Type",$C$4,"2 Item No.","@@"&amp;$F2919,"3 Posting Date",U$9)</t>
  </si>
  <si>
    <t>=U2919-W2919</t>
  </si>
  <si>
    <t>=IF(U2919&lt;&gt;0,X2919/U2919,"")</t>
  </si>
  <si>
    <t>=NL("Sum","5802 Value Entry","150 Sales Amount (Expected)","41 Source Type",$C$5,"5 Source No.",$C2919,"4 Item Ledger Entry Type",$C$4,"2 Item No.","@@"&amp;$F2919,"3 Posting Date",Z$9)+NL("Sum","5802 Value Entry","17 Sales Amount (Actual)","41 Source Type",$C$5,"5 Source no.",$C2919,"4 Item Ledger Entry Type",$C$4,"2 Item No.","@@"&amp;$F2919,"3 Posting Date",Z$9)</t>
  </si>
  <si>
    <t>=-NL("Sum","5802 Value Entry","151 Cost Amount (Expected)","41 Source Type",$C$5,"5 Source No.",$C2919,"4 Item Ledger Entry Type",$C$4,"2 Item No.","@@"&amp;$F2919,"3 Posting Date",Z$9)-NL("Sum","5802 Value Entry","43 Cost Amount (Actual)","41 Source Type",$C$5,"5 Source no.",$C2919,"4 Item Ledger Entry Type",$C$4,"2 Item No.","@@"&amp;$F2919,"3 Posting Date",Z$9)</t>
  </si>
  <si>
    <t>=Z2919-AB2919</t>
  </si>
  <si>
    <t>=IF(Z2919&lt;&gt;0,AC2919/Z2919,"")</t>
  </si>
  <si>
    <t>=NL("Sum","5802 Value Entry","150 Sales Amount (Expected)","41 Source Type",$C$5,"5 Source No.",$C2920,"4 Item Ledger Entry Type",$C$4,"2 Item No.","@@"&amp;$F2920,"3 Posting Date",J$9)+NL("Sum","5802 Value Entry","17 Sales Amount (Actual)","41 Source Type",$C$5,"5 Source no.",$C2920,"4 Item Ledger Entry Type",$C$4,"2 Item No.","@@"&amp;$F2920,"3 Posting Date",J$9)</t>
  </si>
  <si>
    <t>=-NL("Sum","5802 Value Entry","151 Cost Amount (Expected)","41 Source Type",$C$5,"5 Source No.",$C2920,"4 Item Ledger Entry Type",$C$4,"2 Item No.","@@"&amp;$F2920,"3 Posting Date",J$9)-NL("Sum","5802 Value Entry","43 Cost Amount (Actual)","41 Source Type",$C$5,"5 Source no.",$C2920,"4 Item Ledger Entry Type",$C$4,"2 Item No.","@@"&amp;$F2920,"3 Posting Date",J$9)</t>
  </si>
  <si>
    <t>=NL("Sum","5802 Value Entry","150 Sales Amount (Expected)","41 Source Type",$C$5,"5 Source No.",$C2920,"4 Item Ledger Entry Type",$C$4,"2 Item No.","@@"&amp;$F2920,"3 Posting Date",O$9)+NL("Sum","5802 Value Entry","17 Sales Amount (Actual)","41 Source Type",$C$5,"5 Source no.",$C2920,"4 Item Ledger Entry Type",$C$4,"2 Item No.","@@"&amp;$F2920,"3 Posting Date",O$9)</t>
  </si>
  <si>
    <t>=-NL("Sum","5802 Value Entry","151 Cost Amount (Expected)","41 Source Type",$C$5,"5 Source No.",$C2920,"4 Item Ledger Entry Type",$C$4,"2 Item No.","@@"&amp;$F2920,"3 Posting Date",O$9)-NL("Sum","5802 Value Entry","43 Cost Amount (Actual)","41 Source Type",$C$5,"5 Source no.",$C2920,"4 Item Ledger Entry Type",$C$4,"2 Item No.","@@"&amp;$F2920,"3 Posting Date",O$9)</t>
  </si>
  <si>
    <t>=NL("Sum","5802 Value Entry","150 Sales Amount (Expected)","41 Source Type",$C$5,"5 Source No.",$C2920,"4 Item Ledger Entry Type",$C$4,"2 Item No.","@@"&amp;$F2920,"3 Posting Date",U$9)+NL("Sum","5802 Value Entry","17 Sales Amount (Actual)","41 Source Type",$C$5,"5 Source no.",$C2920,"4 Item Ledger Entry Type",$C$4,"2 Item No.","@@"&amp;$F2920,"3 Posting Date",U$9)</t>
  </si>
  <si>
    <t>=-NL("Sum","5802 Value Entry","151 Cost Amount (Expected)","41 Source Type",$C$5,"5 Source No.",$C2920,"4 Item Ledger Entry Type",$C$4,"2 Item No.","@@"&amp;$F2920,"3 Posting Date",U$9)-NL("Sum","5802 Value Entry","43 Cost Amount (Actual)","41 Source Type",$C$5,"5 Source no.",$C2920,"4 Item Ledger Entry Type",$C$4,"2 Item No.","@@"&amp;$F2920,"3 Posting Date",U$9)</t>
  </si>
  <si>
    <t>=NL("Sum","5802 Value Entry","150 Sales Amount (Expected)","41 Source Type",$C$5,"5 Source No.",$C2920,"4 Item Ledger Entry Type",$C$4,"2 Item No.","@@"&amp;$F2920,"3 Posting Date",Z$9)+NL("Sum","5802 Value Entry","17 Sales Amount (Actual)","41 Source Type",$C$5,"5 Source no.",$C2920,"4 Item Ledger Entry Type",$C$4,"2 Item No.","@@"&amp;$F2920,"3 Posting Date",Z$9)</t>
  </si>
  <si>
    <t>=-NL("Sum","5802 Value Entry","151 Cost Amount (Expected)","41 Source Type",$C$5,"5 Source No.",$C2920,"4 Item Ledger Entry Type",$C$4,"2 Item No.","@@"&amp;$F2920,"3 Posting Date",Z$9)-NL("Sum","5802 Value Entry","43 Cost Amount (Actual)","41 Source Type",$C$5,"5 Source no.",$C2920,"4 Item Ledger Entry Type",$C$4,"2 Item No.","@@"&amp;$F2920,"3 Posting Date",Z$9)</t>
  </si>
  <si>
    <t>=C2920</t>
  </si>
  <si>
    <t>=NL("Sum","5802 Value Entry","150 Sales Amount (Expected)","41 Source Type",$C$5,"5 Source No.",$C2921,"4 Item Ledger Entry Type",$C$4,"2 Item No.","@@"&amp;$F2921,"3 Posting Date",J$9)+NL("Sum","5802 Value Entry","17 Sales Amount (Actual)","41 Source Type",$C$5,"5 Source no.",$C2921,"4 Item Ledger Entry Type",$C$4,"2 Item No.","@@"&amp;$F2921,"3 Posting Date",J$9)</t>
  </si>
  <si>
    <t>=-NL("Sum","5802 Value Entry","151 Cost Amount (Expected)","41 Source Type",$C$5,"5 Source No.",$C2921,"4 Item Ledger Entry Type",$C$4,"2 Item No.","@@"&amp;$F2921,"3 Posting Date",J$9)-NL("Sum","5802 Value Entry","43 Cost Amount (Actual)","41 Source Type",$C$5,"5 Source no.",$C2921,"4 Item Ledger Entry Type",$C$4,"2 Item No.","@@"&amp;$F2921,"3 Posting Date",J$9)</t>
  </si>
  <si>
    <t>=J2921-L2921</t>
  </si>
  <si>
    <t>=IF(J2921&lt;&gt;0,M2921/J2921,"")</t>
  </si>
  <si>
    <t>=NL("Sum","5802 Value Entry","150 Sales Amount (Expected)","41 Source Type",$C$5,"5 Source No.",$C2921,"4 Item Ledger Entry Type",$C$4,"2 Item No.","@@"&amp;$F2921,"3 Posting Date",O$9)+NL("Sum","5802 Value Entry","17 Sales Amount (Actual)","41 Source Type",$C$5,"5 Source no.",$C2921,"4 Item Ledger Entry Type",$C$4,"2 Item No.","@@"&amp;$F2921,"3 Posting Date",O$9)</t>
  </si>
  <si>
    <t>=-NL("Sum","5802 Value Entry","151 Cost Amount (Expected)","41 Source Type",$C$5,"5 Source No.",$C2921,"4 Item Ledger Entry Type",$C$4,"2 Item No.","@@"&amp;$F2921,"3 Posting Date",O$9)-NL("Sum","5802 Value Entry","43 Cost Amount (Actual)","41 Source Type",$C$5,"5 Source no.",$C2921,"4 Item Ledger Entry Type",$C$4,"2 Item No.","@@"&amp;$F2921,"3 Posting Date",O$9)</t>
  </si>
  <si>
    <t>=O2921-Q2921</t>
  </si>
  <si>
    <t>=IF(O2921&lt;&gt;0,R2921/O2921,"")</t>
  </si>
  <si>
    <t>=NL("Sum","5802 Value Entry","150 Sales Amount (Expected)","41 Source Type",$C$5,"5 Source No.",$C2921,"4 Item Ledger Entry Type",$C$4,"2 Item No.","@@"&amp;$F2921,"3 Posting Date",U$9)+NL("Sum","5802 Value Entry","17 Sales Amount (Actual)","41 Source Type",$C$5,"5 Source no.",$C2921,"4 Item Ledger Entry Type",$C$4,"2 Item No.","@@"&amp;$F2921,"3 Posting Date",U$9)</t>
  </si>
  <si>
    <t>=-NL("Sum","5802 Value Entry","151 Cost Amount (Expected)","41 Source Type",$C$5,"5 Source No.",$C2921,"4 Item Ledger Entry Type",$C$4,"2 Item No.","@@"&amp;$F2921,"3 Posting Date",U$9)-NL("Sum","5802 Value Entry","43 Cost Amount (Actual)","41 Source Type",$C$5,"5 Source no.",$C2921,"4 Item Ledger Entry Type",$C$4,"2 Item No.","@@"&amp;$F2921,"3 Posting Date",U$9)</t>
  </si>
  <si>
    <t>=U2921-W2921</t>
  </si>
  <si>
    <t>=IF(U2921&lt;&gt;0,X2921/U2921,"")</t>
  </si>
  <si>
    <t>=NL("Sum","5802 Value Entry","150 Sales Amount (Expected)","41 Source Type",$C$5,"5 Source No.",$C2921,"4 Item Ledger Entry Type",$C$4,"2 Item No.","@@"&amp;$F2921,"3 Posting Date",Z$9)+NL("Sum","5802 Value Entry","17 Sales Amount (Actual)","41 Source Type",$C$5,"5 Source no.",$C2921,"4 Item Ledger Entry Type",$C$4,"2 Item No.","@@"&amp;$F2921,"3 Posting Date",Z$9)</t>
  </si>
  <si>
    <t>=-NL("Sum","5802 Value Entry","151 Cost Amount (Expected)","41 Source Type",$C$5,"5 Source No.",$C2921,"4 Item Ledger Entry Type",$C$4,"2 Item No.","@@"&amp;$F2921,"3 Posting Date",Z$9)-NL("Sum","5802 Value Entry","43 Cost Amount (Actual)","41 Source Type",$C$5,"5 Source no.",$C2921,"4 Item Ledger Entry Type",$C$4,"2 Item No.","@@"&amp;$F2921,"3 Posting Date",Z$9)</t>
  </si>
  <si>
    <t>=Z2921-AB2921</t>
  </si>
  <si>
    <t>=IF(Z2921&lt;&gt;0,AC2921/Z2921,"")</t>
  </si>
  <si>
    <t>=C2921</t>
  </si>
  <si>
    <t>=NL("Sum","5802 Value Entry","150 Sales Amount (Expected)","41 Source Type",$C$5,"5 Source No.",$C2922,"4 Item Ledger Entry Type",$C$4,"2 Item No.","@@"&amp;$F2922,"3 Posting Date",J$9)+NL("Sum","5802 Value Entry","17 Sales Amount (Actual)","41 Source Type",$C$5,"5 Source no.",$C2922,"4 Item Ledger Entry Type",$C$4,"2 Item No.","@@"&amp;$F2922,"3 Posting Date",J$9)</t>
  </si>
  <si>
    <t>=-NL("Sum","5802 Value Entry","151 Cost Amount (Expected)","41 Source Type",$C$5,"5 Source No.",$C2922,"4 Item Ledger Entry Type",$C$4,"2 Item No.","@@"&amp;$F2922,"3 Posting Date",J$9)-NL("Sum","5802 Value Entry","43 Cost Amount (Actual)","41 Source Type",$C$5,"5 Source no.",$C2922,"4 Item Ledger Entry Type",$C$4,"2 Item No.","@@"&amp;$F2922,"3 Posting Date",J$9)</t>
  </si>
  <si>
    <t>=J2922-L2922</t>
  </si>
  <si>
    <t>=IF(J2922&lt;&gt;0,M2922/J2922,"")</t>
  </si>
  <si>
    <t>=NL("Sum","5802 Value Entry","150 Sales Amount (Expected)","41 Source Type",$C$5,"5 Source No.",$C2922,"4 Item Ledger Entry Type",$C$4,"2 Item No.","@@"&amp;$F2922,"3 Posting Date",O$9)+NL("Sum","5802 Value Entry","17 Sales Amount (Actual)","41 Source Type",$C$5,"5 Source no.",$C2922,"4 Item Ledger Entry Type",$C$4,"2 Item No.","@@"&amp;$F2922,"3 Posting Date",O$9)</t>
  </si>
  <si>
    <t>=-NL("Sum","5802 Value Entry","151 Cost Amount (Expected)","41 Source Type",$C$5,"5 Source No.",$C2922,"4 Item Ledger Entry Type",$C$4,"2 Item No.","@@"&amp;$F2922,"3 Posting Date",O$9)-NL("Sum","5802 Value Entry","43 Cost Amount (Actual)","41 Source Type",$C$5,"5 Source no.",$C2922,"4 Item Ledger Entry Type",$C$4,"2 Item No.","@@"&amp;$F2922,"3 Posting Date",O$9)</t>
  </si>
  <si>
    <t>=O2922-Q2922</t>
  </si>
  <si>
    <t>=IF(O2922&lt;&gt;0,R2922/O2922,"")</t>
  </si>
  <si>
    <t>=NL("Sum","5802 Value Entry","150 Sales Amount (Expected)","41 Source Type",$C$5,"5 Source No.",$C2922,"4 Item Ledger Entry Type",$C$4,"2 Item No.","@@"&amp;$F2922,"3 Posting Date",U$9)+NL("Sum","5802 Value Entry","17 Sales Amount (Actual)","41 Source Type",$C$5,"5 Source no.",$C2922,"4 Item Ledger Entry Type",$C$4,"2 Item No.","@@"&amp;$F2922,"3 Posting Date",U$9)</t>
  </si>
  <si>
    <t>=-NL("Sum","5802 Value Entry","151 Cost Amount (Expected)","41 Source Type",$C$5,"5 Source No.",$C2922,"4 Item Ledger Entry Type",$C$4,"2 Item No.","@@"&amp;$F2922,"3 Posting Date",U$9)-NL("Sum","5802 Value Entry","43 Cost Amount (Actual)","41 Source Type",$C$5,"5 Source no.",$C2922,"4 Item Ledger Entry Type",$C$4,"2 Item No.","@@"&amp;$F2922,"3 Posting Date",U$9)</t>
  </si>
  <si>
    <t>=U2922-W2922</t>
  </si>
  <si>
    <t>=IF(U2922&lt;&gt;0,X2922/U2922,"")</t>
  </si>
  <si>
    <t>=NL("Sum","5802 Value Entry","150 Sales Amount (Expected)","41 Source Type",$C$5,"5 Source No.",$C2922,"4 Item Ledger Entry Type",$C$4,"2 Item No.","@@"&amp;$F2922,"3 Posting Date",Z$9)+NL("Sum","5802 Value Entry","17 Sales Amount (Actual)","41 Source Type",$C$5,"5 Source no.",$C2922,"4 Item Ledger Entry Type",$C$4,"2 Item No.","@@"&amp;$F2922,"3 Posting Date",Z$9)</t>
  </si>
  <si>
    <t>=-NL("Sum","5802 Value Entry","151 Cost Amount (Expected)","41 Source Type",$C$5,"5 Source No.",$C2922,"4 Item Ledger Entry Type",$C$4,"2 Item No.","@@"&amp;$F2922,"3 Posting Date",Z$9)-NL("Sum","5802 Value Entry","43 Cost Amount (Actual)","41 Source Type",$C$5,"5 Source no.",$C2922,"4 Item Ledger Entry Type",$C$4,"2 Item No.","@@"&amp;$F2922,"3 Posting Date",Z$9)</t>
  </si>
  <si>
    <t>=Z2922-AB2922</t>
  </si>
  <si>
    <t>=IF(Z2922&lt;&gt;0,AC2922/Z2922,"")</t>
  </si>
  <si>
    <t>=NL("Sum","5802 Value Entry","150 Sales Amount (Expected)","41 Source Type",$C$5,"5 Source No.",$C2923,"4 Item Ledger Entry Type",$C$4,"2 Item No.","@@"&amp;$F2923,"3 Posting Date",J$9)+NL("Sum","5802 Value Entry","17 Sales Amount (Actual)","41 Source Type",$C$5,"5 Source no.",$C2923,"4 Item Ledger Entry Type",$C$4,"2 Item No.","@@"&amp;$F2923,"3 Posting Date",J$9)</t>
  </si>
  <si>
    <t>=-NL("Sum","5802 Value Entry","151 Cost Amount (Expected)","41 Source Type",$C$5,"5 Source No.",$C2923,"4 Item Ledger Entry Type",$C$4,"2 Item No.","@@"&amp;$F2923,"3 Posting Date",J$9)-NL("Sum","5802 Value Entry","43 Cost Amount (Actual)","41 Source Type",$C$5,"5 Source no.",$C2923,"4 Item Ledger Entry Type",$C$4,"2 Item No.","@@"&amp;$F2923,"3 Posting Date",J$9)</t>
  </si>
  <si>
    <t>=J2923-L2923</t>
  </si>
  <si>
    <t>=IF(J2923&lt;&gt;0,M2923/J2923,"")</t>
  </si>
  <si>
    <t>=NL("Sum","5802 Value Entry","150 Sales Amount (Expected)","41 Source Type",$C$5,"5 Source No.",$C2923,"4 Item Ledger Entry Type",$C$4,"2 Item No.","@@"&amp;$F2923,"3 Posting Date",O$9)+NL("Sum","5802 Value Entry","17 Sales Amount (Actual)","41 Source Type",$C$5,"5 Source no.",$C2923,"4 Item Ledger Entry Type",$C$4,"2 Item No.","@@"&amp;$F2923,"3 Posting Date",O$9)</t>
  </si>
  <si>
    <t>=-NL("Sum","5802 Value Entry","151 Cost Amount (Expected)","41 Source Type",$C$5,"5 Source No.",$C2923,"4 Item Ledger Entry Type",$C$4,"2 Item No.","@@"&amp;$F2923,"3 Posting Date",O$9)-NL("Sum","5802 Value Entry","43 Cost Amount (Actual)","41 Source Type",$C$5,"5 Source no.",$C2923,"4 Item Ledger Entry Type",$C$4,"2 Item No.","@@"&amp;$F2923,"3 Posting Date",O$9)</t>
  </si>
  <si>
    <t>=O2923-Q2923</t>
  </si>
  <si>
    <t>=IF(O2923&lt;&gt;0,R2923/O2923,"")</t>
  </si>
  <si>
    <t>=NL("Sum","5802 Value Entry","150 Sales Amount (Expected)","41 Source Type",$C$5,"5 Source No.",$C2923,"4 Item Ledger Entry Type",$C$4,"2 Item No.","@@"&amp;$F2923,"3 Posting Date",U$9)+NL("Sum","5802 Value Entry","17 Sales Amount (Actual)","41 Source Type",$C$5,"5 Source no.",$C2923,"4 Item Ledger Entry Type",$C$4,"2 Item No.","@@"&amp;$F2923,"3 Posting Date",U$9)</t>
  </si>
  <si>
    <t>=-NL("Sum","5802 Value Entry","151 Cost Amount (Expected)","41 Source Type",$C$5,"5 Source No.",$C2923,"4 Item Ledger Entry Type",$C$4,"2 Item No.","@@"&amp;$F2923,"3 Posting Date",U$9)-NL("Sum","5802 Value Entry","43 Cost Amount (Actual)","41 Source Type",$C$5,"5 Source no.",$C2923,"4 Item Ledger Entry Type",$C$4,"2 Item No.","@@"&amp;$F2923,"3 Posting Date",U$9)</t>
  </si>
  <si>
    <t>=U2923-W2923</t>
  </si>
  <si>
    <t>=IF(U2923&lt;&gt;0,X2923/U2923,"")</t>
  </si>
  <si>
    <t>=NL("Sum","5802 Value Entry","150 Sales Amount (Expected)","41 Source Type",$C$5,"5 Source No.",$C2923,"4 Item Ledger Entry Type",$C$4,"2 Item No.","@@"&amp;$F2923,"3 Posting Date",Z$9)+NL("Sum","5802 Value Entry","17 Sales Amount (Actual)","41 Source Type",$C$5,"5 Source no.",$C2923,"4 Item Ledger Entry Type",$C$4,"2 Item No.","@@"&amp;$F2923,"3 Posting Date",Z$9)</t>
  </si>
  <si>
    <t>=-NL("Sum","5802 Value Entry","151 Cost Amount (Expected)","41 Source Type",$C$5,"5 Source No.",$C2923,"4 Item Ledger Entry Type",$C$4,"2 Item No.","@@"&amp;$F2923,"3 Posting Date",Z$9)-NL("Sum","5802 Value Entry","43 Cost Amount (Actual)","41 Source Type",$C$5,"5 Source no.",$C2923,"4 Item Ledger Entry Type",$C$4,"2 Item No.","@@"&amp;$F2923,"3 Posting Date",Z$9)</t>
  </si>
  <si>
    <t>=Z2923-AB2923</t>
  </si>
  <si>
    <t>=IF(Z2923&lt;&gt;0,AC2923/Z2923,"")</t>
  </si>
  <si>
    <t>=C2953</t>
  </si>
  <si>
    <t>=NL("Sum","5802 Value Entry","150 Sales Amount (Expected)","41 Source Type",$C$5,"5 Source No.",$C2954,"4 Item Ledger Entry Type",$C$4,"2 Item No.","@@"&amp;$F2954,"3 Posting Date",J$9)+NL("Sum","5802 Value Entry","17 Sales Amount (Actual)","41 Source Type",$C$5,"5 Source no.",$C2954,"4 Item Ledger Entry Type",$C$4,"2 Item No.","@@"&amp;$F2954,"3 Posting Date",J$9)</t>
  </si>
  <si>
    <t>=-NL("Sum","5802 Value Entry","151 Cost Amount (Expected)","41 Source Type",$C$5,"5 Source No.",$C2954,"4 Item Ledger Entry Type",$C$4,"2 Item No.","@@"&amp;$F2954,"3 Posting Date",J$9)-NL("Sum","5802 Value Entry","43 Cost Amount (Actual)","41 Source Type",$C$5,"5 Source no.",$C2954,"4 Item Ledger Entry Type",$C$4,"2 Item No.","@@"&amp;$F2954,"3 Posting Date",J$9)</t>
  </si>
  <si>
    <t>=J2954-L2954</t>
  </si>
  <si>
    <t>=IF(J2954&lt;&gt;0,M2954/J2954,"")</t>
  </si>
  <si>
    <t>=NL("Sum","5802 Value Entry","150 Sales Amount (Expected)","41 Source Type",$C$5,"5 Source No.",$C2954,"4 Item Ledger Entry Type",$C$4,"2 Item No.","@@"&amp;$F2954,"3 Posting Date",O$9)+NL("Sum","5802 Value Entry","17 Sales Amount (Actual)","41 Source Type",$C$5,"5 Source no.",$C2954,"4 Item Ledger Entry Type",$C$4,"2 Item No.","@@"&amp;$F2954,"3 Posting Date",O$9)</t>
  </si>
  <si>
    <t>=-NL("Sum","5802 Value Entry","151 Cost Amount (Expected)","41 Source Type",$C$5,"5 Source No.",$C2954,"4 Item Ledger Entry Type",$C$4,"2 Item No.","@@"&amp;$F2954,"3 Posting Date",O$9)-NL("Sum","5802 Value Entry","43 Cost Amount (Actual)","41 Source Type",$C$5,"5 Source no.",$C2954,"4 Item Ledger Entry Type",$C$4,"2 Item No.","@@"&amp;$F2954,"3 Posting Date",O$9)</t>
  </si>
  <si>
    <t>=O2954-Q2954</t>
  </si>
  <si>
    <t>=IF(O2954&lt;&gt;0,R2954/O2954,"")</t>
  </si>
  <si>
    <t>=NL("Sum","5802 Value Entry","150 Sales Amount (Expected)","41 Source Type",$C$5,"5 Source No.",$C2954,"4 Item Ledger Entry Type",$C$4,"2 Item No.","@@"&amp;$F2954,"3 Posting Date",U$9)+NL("Sum","5802 Value Entry","17 Sales Amount (Actual)","41 Source Type",$C$5,"5 Source no.",$C2954,"4 Item Ledger Entry Type",$C$4,"2 Item No.","@@"&amp;$F2954,"3 Posting Date",U$9)</t>
  </si>
  <si>
    <t>=-NL("Sum","5802 Value Entry","151 Cost Amount (Expected)","41 Source Type",$C$5,"5 Source No.",$C2954,"4 Item Ledger Entry Type",$C$4,"2 Item No.","@@"&amp;$F2954,"3 Posting Date",U$9)-NL("Sum","5802 Value Entry","43 Cost Amount (Actual)","41 Source Type",$C$5,"5 Source no.",$C2954,"4 Item Ledger Entry Type",$C$4,"2 Item No.","@@"&amp;$F2954,"3 Posting Date",U$9)</t>
  </si>
  <si>
    <t>=U2954-W2954</t>
  </si>
  <si>
    <t>=IF(U2954&lt;&gt;0,X2954/U2954,"")</t>
  </si>
  <si>
    <t>=NL("Sum","5802 Value Entry","150 Sales Amount (Expected)","41 Source Type",$C$5,"5 Source No.",$C2954,"4 Item Ledger Entry Type",$C$4,"2 Item No.","@@"&amp;$F2954,"3 Posting Date",Z$9)+NL("Sum","5802 Value Entry","17 Sales Amount (Actual)","41 Source Type",$C$5,"5 Source no.",$C2954,"4 Item Ledger Entry Type",$C$4,"2 Item No.","@@"&amp;$F2954,"3 Posting Date",Z$9)</t>
  </si>
  <si>
    <t>=-NL("Sum","5802 Value Entry","151 Cost Amount (Expected)","41 Source Type",$C$5,"5 Source No.",$C2954,"4 Item Ledger Entry Type",$C$4,"2 Item No.","@@"&amp;$F2954,"3 Posting Date",Z$9)-NL("Sum","5802 Value Entry","43 Cost Amount (Actual)","41 Source Type",$C$5,"5 Source no.",$C2954,"4 Item Ledger Entry Type",$C$4,"2 Item No.","@@"&amp;$F2954,"3 Posting Date",Z$9)</t>
  </si>
  <si>
    <t>=Z2954-AB2954</t>
  </si>
  <si>
    <t>=IF(Z2954&lt;&gt;0,AC2954/Z2954,"")</t>
  </si>
  <si>
    <t>=NL("Sum","5802 Value Entry","150 Sales Amount (Expected)","41 Source Type",$C$5,"5 Source No.",$C2955,"4 Item Ledger Entry Type",$C$4,"2 Item No.","@@"&amp;$F2955,"3 Posting Date",J$9)+NL("Sum","5802 Value Entry","17 Sales Amount (Actual)","41 Source Type",$C$5,"5 Source no.",$C2955,"4 Item Ledger Entry Type",$C$4,"2 Item No.","@@"&amp;$F2955,"3 Posting Date",J$9)</t>
  </si>
  <si>
    <t>=-NL("Sum","5802 Value Entry","151 Cost Amount (Expected)","41 Source Type",$C$5,"5 Source No.",$C2955,"4 Item Ledger Entry Type",$C$4,"2 Item No.","@@"&amp;$F2955,"3 Posting Date",J$9)-NL("Sum","5802 Value Entry","43 Cost Amount (Actual)","41 Source Type",$C$5,"5 Source no.",$C2955,"4 Item Ledger Entry Type",$C$4,"2 Item No.","@@"&amp;$F2955,"3 Posting Date",J$9)</t>
  </si>
  <si>
    <t>=NL("Sum","5802 Value Entry","150 Sales Amount (Expected)","41 Source Type",$C$5,"5 Source No.",$C2955,"4 Item Ledger Entry Type",$C$4,"2 Item No.","@@"&amp;$F2955,"3 Posting Date",O$9)+NL("Sum","5802 Value Entry","17 Sales Amount (Actual)","41 Source Type",$C$5,"5 Source no.",$C2955,"4 Item Ledger Entry Type",$C$4,"2 Item No.","@@"&amp;$F2955,"3 Posting Date",O$9)</t>
  </si>
  <si>
    <t>=-NL("Sum","5802 Value Entry","151 Cost Amount (Expected)","41 Source Type",$C$5,"5 Source No.",$C2955,"4 Item Ledger Entry Type",$C$4,"2 Item No.","@@"&amp;$F2955,"3 Posting Date",O$9)-NL("Sum","5802 Value Entry","43 Cost Amount (Actual)","41 Source Type",$C$5,"5 Source no.",$C2955,"4 Item Ledger Entry Type",$C$4,"2 Item No.","@@"&amp;$F2955,"3 Posting Date",O$9)</t>
  </si>
  <si>
    <t>=NL("Sum","5802 Value Entry","150 Sales Amount (Expected)","41 Source Type",$C$5,"5 Source No.",$C2955,"4 Item Ledger Entry Type",$C$4,"2 Item No.","@@"&amp;$F2955,"3 Posting Date",U$9)+NL("Sum","5802 Value Entry","17 Sales Amount (Actual)","41 Source Type",$C$5,"5 Source no.",$C2955,"4 Item Ledger Entry Type",$C$4,"2 Item No.","@@"&amp;$F2955,"3 Posting Date",U$9)</t>
  </si>
  <si>
    <t>=-NL("Sum","5802 Value Entry","151 Cost Amount (Expected)","41 Source Type",$C$5,"5 Source No.",$C2955,"4 Item Ledger Entry Type",$C$4,"2 Item No.","@@"&amp;$F2955,"3 Posting Date",U$9)-NL("Sum","5802 Value Entry","43 Cost Amount (Actual)","41 Source Type",$C$5,"5 Source no.",$C2955,"4 Item Ledger Entry Type",$C$4,"2 Item No.","@@"&amp;$F2955,"3 Posting Date",U$9)</t>
  </si>
  <si>
    <t>=NL("Sum","5802 Value Entry","150 Sales Amount (Expected)","41 Source Type",$C$5,"5 Source No.",$C2955,"4 Item Ledger Entry Type",$C$4,"2 Item No.","@@"&amp;$F2955,"3 Posting Date",Z$9)+NL("Sum","5802 Value Entry","17 Sales Amount (Actual)","41 Source Type",$C$5,"5 Source no.",$C2955,"4 Item Ledger Entry Type",$C$4,"2 Item No.","@@"&amp;$F2955,"3 Posting Date",Z$9)</t>
  </si>
  <si>
    <t>=-NL("Sum","5802 Value Entry","151 Cost Amount (Expected)","41 Source Type",$C$5,"5 Source No.",$C2955,"4 Item Ledger Entry Type",$C$4,"2 Item No.","@@"&amp;$F2955,"3 Posting Date",Z$9)-NL("Sum","5802 Value Entry","43 Cost Amount (Actual)","41 Source Type",$C$5,"5 Source no.",$C2955,"4 Item Ledger Entry Type",$C$4,"2 Item No.","@@"&amp;$F2955,"3 Posting Date",Z$9)</t>
  </si>
  <si>
    <t>=C2955</t>
  </si>
  <si>
    <t>=NL("Sum","5802 Value Entry","150 Sales Amount (Expected)","41 Source Type",$C$5,"5 Source No.",$C2956,"4 Item Ledger Entry Type",$C$4,"2 Item No.","@@"&amp;$F2956,"3 Posting Date",J$9)+NL("Sum","5802 Value Entry","17 Sales Amount (Actual)","41 Source Type",$C$5,"5 Source no.",$C2956,"4 Item Ledger Entry Type",$C$4,"2 Item No.","@@"&amp;$F2956,"3 Posting Date",J$9)</t>
  </si>
  <si>
    <t>=-NL("Sum","5802 Value Entry","151 Cost Amount (Expected)","41 Source Type",$C$5,"5 Source No.",$C2956,"4 Item Ledger Entry Type",$C$4,"2 Item No.","@@"&amp;$F2956,"3 Posting Date",J$9)-NL("Sum","5802 Value Entry","43 Cost Amount (Actual)","41 Source Type",$C$5,"5 Source no.",$C2956,"4 Item Ledger Entry Type",$C$4,"2 Item No.","@@"&amp;$F2956,"3 Posting Date",J$9)</t>
  </si>
  <si>
    <t>=J2956-L2956</t>
  </si>
  <si>
    <t>=IF(J2956&lt;&gt;0,M2956/J2956,"")</t>
  </si>
  <si>
    <t>=NL("Sum","5802 Value Entry","150 Sales Amount (Expected)","41 Source Type",$C$5,"5 Source No.",$C2956,"4 Item Ledger Entry Type",$C$4,"2 Item No.","@@"&amp;$F2956,"3 Posting Date",O$9)+NL("Sum","5802 Value Entry","17 Sales Amount (Actual)","41 Source Type",$C$5,"5 Source no.",$C2956,"4 Item Ledger Entry Type",$C$4,"2 Item No.","@@"&amp;$F2956,"3 Posting Date",O$9)</t>
  </si>
  <si>
    <t>=-NL("Sum","5802 Value Entry","151 Cost Amount (Expected)","41 Source Type",$C$5,"5 Source No.",$C2956,"4 Item Ledger Entry Type",$C$4,"2 Item No.","@@"&amp;$F2956,"3 Posting Date",O$9)-NL("Sum","5802 Value Entry","43 Cost Amount (Actual)","41 Source Type",$C$5,"5 Source no.",$C2956,"4 Item Ledger Entry Type",$C$4,"2 Item No.","@@"&amp;$F2956,"3 Posting Date",O$9)</t>
  </si>
  <si>
    <t>=O2956-Q2956</t>
  </si>
  <si>
    <t>=IF(O2956&lt;&gt;0,R2956/O2956,"")</t>
  </si>
  <si>
    <t>=NL("Sum","5802 Value Entry","150 Sales Amount (Expected)","41 Source Type",$C$5,"5 Source No.",$C2956,"4 Item Ledger Entry Type",$C$4,"2 Item No.","@@"&amp;$F2956,"3 Posting Date",U$9)+NL("Sum","5802 Value Entry","17 Sales Amount (Actual)","41 Source Type",$C$5,"5 Source no.",$C2956,"4 Item Ledger Entry Type",$C$4,"2 Item No.","@@"&amp;$F2956,"3 Posting Date",U$9)</t>
  </si>
  <si>
    <t>=-NL("Sum","5802 Value Entry","151 Cost Amount (Expected)","41 Source Type",$C$5,"5 Source No.",$C2956,"4 Item Ledger Entry Type",$C$4,"2 Item No.","@@"&amp;$F2956,"3 Posting Date",U$9)-NL("Sum","5802 Value Entry","43 Cost Amount (Actual)","41 Source Type",$C$5,"5 Source no.",$C2956,"4 Item Ledger Entry Type",$C$4,"2 Item No.","@@"&amp;$F2956,"3 Posting Date",U$9)</t>
  </si>
  <si>
    <t>=U2956-W2956</t>
  </si>
  <si>
    <t>=IF(U2956&lt;&gt;0,X2956/U2956,"")</t>
  </si>
  <si>
    <t>=NL("Sum","5802 Value Entry","150 Sales Amount (Expected)","41 Source Type",$C$5,"5 Source No.",$C2956,"4 Item Ledger Entry Type",$C$4,"2 Item No.","@@"&amp;$F2956,"3 Posting Date",Z$9)+NL("Sum","5802 Value Entry","17 Sales Amount (Actual)","41 Source Type",$C$5,"5 Source no.",$C2956,"4 Item Ledger Entry Type",$C$4,"2 Item No.","@@"&amp;$F2956,"3 Posting Date",Z$9)</t>
  </si>
  <si>
    <t>=-NL("Sum","5802 Value Entry","151 Cost Amount (Expected)","41 Source Type",$C$5,"5 Source No.",$C2956,"4 Item Ledger Entry Type",$C$4,"2 Item No.","@@"&amp;$F2956,"3 Posting Date",Z$9)-NL("Sum","5802 Value Entry","43 Cost Amount (Actual)","41 Source Type",$C$5,"5 Source no.",$C2956,"4 Item Ledger Entry Type",$C$4,"2 Item No.","@@"&amp;$F2956,"3 Posting Date",Z$9)</t>
  </si>
  <si>
    <t>=Z2956-AB2956</t>
  </si>
  <si>
    <t>=IF(Z2956&lt;&gt;0,AC2956/Z2956,"")</t>
  </si>
  <si>
    <t>=C2956</t>
  </si>
  <si>
    <t>=NL("Sum","5802 Value Entry","150 Sales Amount (Expected)","41 Source Type",$C$5,"5 Source No.",$C2957,"4 Item Ledger Entry Type",$C$4,"2 Item No.","@@"&amp;$F2957,"3 Posting Date",J$9)+NL("Sum","5802 Value Entry","17 Sales Amount (Actual)","41 Source Type",$C$5,"5 Source no.",$C2957,"4 Item Ledger Entry Type",$C$4,"2 Item No.","@@"&amp;$F2957,"3 Posting Date",J$9)</t>
  </si>
  <si>
    <t>=-NL("Sum","5802 Value Entry","151 Cost Amount (Expected)","41 Source Type",$C$5,"5 Source No.",$C2957,"4 Item Ledger Entry Type",$C$4,"2 Item No.","@@"&amp;$F2957,"3 Posting Date",J$9)-NL("Sum","5802 Value Entry","43 Cost Amount (Actual)","41 Source Type",$C$5,"5 Source no.",$C2957,"4 Item Ledger Entry Type",$C$4,"2 Item No.","@@"&amp;$F2957,"3 Posting Date",J$9)</t>
  </si>
  <si>
    <t>=J2957-L2957</t>
  </si>
  <si>
    <t>=IF(J2957&lt;&gt;0,M2957/J2957,"")</t>
  </si>
  <si>
    <t>=NL("Sum","5802 Value Entry","150 Sales Amount (Expected)","41 Source Type",$C$5,"5 Source No.",$C2957,"4 Item Ledger Entry Type",$C$4,"2 Item No.","@@"&amp;$F2957,"3 Posting Date",O$9)+NL("Sum","5802 Value Entry","17 Sales Amount (Actual)","41 Source Type",$C$5,"5 Source no.",$C2957,"4 Item Ledger Entry Type",$C$4,"2 Item No.","@@"&amp;$F2957,"3 Posting Date",O$9)</t>
  </si>
  <si>
    <t>=-NL("Sum","5802 Value Entry","151 Cost Amount (Expected)","41 Source Type",$C$5,"5 Source No.",$C2957,"4 Item Ledger Entry Type",$C$4,"2 Item No.","@@"&amp;$F2957,"3 Posting Date",O$9)-NL("Sum","5802 Value Entry","43 Cost Amount (Actual)","41 Source Type",$C$5,"5 Source no.",$C2957,"4 Item Ledger Entry Type",$C$4,"2 Item No.","@@"&amp;$F2957,"3 Posting Date",O$9)</t>
  </si>
  <si>
    <t>=O2957-Q2957</t>
  </si>
  <si>
    <t>=IF(O2957&lt;&gt;0,R2957/O2957,"")</t>
  </si>
  <si>
    <t>=NL("Sum","5802 Value Entry","150 Sales Amount (Expected)","41 Source Type",$C$5,"5 Source No.",$C2957,"4 Item Ledger Entry Type",$C$4,"2 Item No.","@@"&amp;$F2957,"3 Posting Date",U$9)+NL("Sum","5802 Value Entry","17 Sales Amount (Actual)","41 Source Type",$C$5,"5 Source no.",$C2957,"4 Item Ledger Entry Type",$C$4,"2 Item No.","@@"&amp;$F2957,"3 Posting Date",U$9)</t>
  </si>
  <si>
    <t>=-NL("Sum","5802 Value Entry","151 Cost Amount (Expected)","41 Source Type",$C$5,"5 Source No.",$C2957,"4 Item Ledger Entry Type",$C$4,"2 Item No.","@@"&amp;$F2957,"3 Posting Date",U$9)-NL("Sum","5802 Value Entry","43 Cost Amount (Actual)","41 Source Type",$C$5,"5 Source no.",$C2957,"4 Item Ledger Entry Type",$C$4,"2 Item No.","@@"&amp;$F2957,"3 Posting Date",U$9)</t>
  </si>
  <si>
    <t>=U2957-W2957</t>
  </si>
  <si>
    <t>=IF(U2957&lt;&gt;0,X2957/U2957,"")</t>
  </si>
  <si>
    <t>=NL("Sum","5802 Value Entry","150 Sales Amount (Expected)","41 Source Type",$C$5,"5 Source No.",$C2957,"4 Item Ledger Entry Type",$C$4,"2 Item No.","@@"&amp;$F2957,"3 Posting Date",Z$9)+NL("Sum","5802 Value Entry","17 Sales Amount (Actual)","41 Source Type",$C$5,"5 Source no.",$C2957,"4 Item Ledger Entry Type",$C$4,"2 Item No.","@@"&amp;$F2957,"3 Posting Date",Z$9)</t>
  </si>
  <si>
    <t>=-NL("Sum","5802 Value Entry","151 Cost Amount (Expected)","41 Source Type",$C$5,"5 Source No.",$C2957,"4 Item Ledger Entry Type",$C$4,"2 Item No.","@@"&amp;$F2957,"3 Posting Date",Z$9)-NL("Sum","5802 Value Entry","43 Cost Amount (Actual)","41 Source Type",$C$5,"5 Source no.",$C2957,"4 Item Ledger Entry Type",$C$4,"2 Item No.","@@"&amp;$F2957,"3 Posting Date",Z$9)</t>
  </si>
  <si>
    <t>=Z2957-AB2957</t>
  </si>
  <si>
    <t>=IF(Z2957&lt;&gt;0,AC2957/Z2957,"")</t>
  </si>
  <si>
    <t>=NL("Sum","5802 Value Entry","150 Sales Amount (Expected)","41 Source Type",$C$5,"5 Source No.",$C2958,"4 Item Ledger Entry Type",$C$4,"2 Item No.","@@"&amp;$F2958,"3 Posting Date",J$9)+NL("Sum","5802 Value Entry","17 Sales Amount (Actual)","41 Source Type",$C$5,"5 Source no.",$C2958,"4 Item Ledger Entry Type",$C$4,"2 Item No.","@@"&amp;$F2958,"3 Posting Date",J$9)</t>
  </si>
  <si>
    <t>=-NL("Sum","5802 Value Entry","151 Cost Amount (Expected)","41 Source Type",$C$5,"5 Source No.",$C2958,"4 Item Ledger Entry Type",$C$4,"2 Item No.","@@"&amp;$F2958,"3 Posting Date",J$9)-NL("Sum","5802 Value Entry","43 Cost Amount (Actual)","41 Source Type",$C$5,"5 Source no.",$C2958,"4 Item Ledger Entry Type",$C$4,"2 Item No.","@@"&amp;$F2958,"3 Posting Date",J$9)</t>
  </si>
  <si>
    <t>=J2958-L2958</t>
  </si>
  <si>
    <t>=IF(J2958&lt;&gt;0,M2958/J2958,"")</t>
  </si>
  <si>
    <t>=NL("Sum","5802 Value Entry","150 Sales Amount (Expected)","41 Source Type",$C$5,"5 Source No.",$C2958,"4 Item Ledger Entry Type",$C$4,"2 Item No.","@@"&amp;$F2958,"3 Posting Date",O$9)+NL("Sum","5802 Value Entry","17 Sales Amount (Actual)","41 Source Type",$C$5,"5 Source no.",$C2958,"4 Item Ledger Entry Type",$C$4,"2 Item No.","@@"&amp;$F2958,"3 Posting Date",O$9)</t>
  </si>
  <si>
    <t>=-NL("Sum","5802 Value Entry","151 Cost Amount (Expected)","41 Source Type",$C$5,"5 Source No.",$C2958,"4 Item Ledger Entry Type",$C$4,"2 Item No.","@@"&amp;$F2958,"3 Posting Date",O$9)-NL("Sum","5802 Value Entry","43 Cost Amount (Actual)","41 Source Type",$C$5,"5 Source no.",$C2958,"4 Item Ledger Entry Type",$C$4,"2 Item No.","@@"&amp;$F2958,"3 Posting Date",O$9)</t>
  </si>
  <si>
    <t>=O2958-Q2958</t>
  </si>
  <si>
    <t>=IF(O2958&lt;&gt;0,R2958/O2958,"")</t>
  </si>
  <si>
    <t>=NL("Sum","5802 Value Entry","150 Sales Amount (Expected)","41 Source Type",$C$5,"5 Source No.",$C2958,"4 Item Ledger Entry Type",$C$4,"2 Item No.","@@"&amp;$F2958,"3 Posting Date",U$9)+NL("Sum","5802 Value Entry","17 Sales Amount (Actual)","41 Source Type",$C$5,"5 Source no.",$C2958,"4 Item Ledger Entry Type",$C$4,"2 Item No.","@@"&amp;$F2958,"3 Posting Date",U$9)</t>
  </si>
  <si>
    <t>=-NL("Sum","5802 Value Entry","151 Cost Amount (Expected)","41 Source Type",$C$5,"5 Source No.",$C2958,"4 Item Ledger Entry Type",$C$4,"2 Item No.","@@"&amp;$F2958,"3 Posting Date",U$9)-NL("Sum","5802 Value Entry","43 Cost Amount (Actual)","41 Source Type",$C$5,"5 Source no.",$C2958,"4 Item Ledger Entry Type",$C$4,"2 Item No.","@@"&amp;$F2958,"3 Posting Date",U$9)</t>
  </si>
  <si>
    <t>=U2958-W2958</t>
  </si>
  <si>
    <t>=IF(U2958&lt;&gt;0,X2958/U2958,"")</t>
  </si>
  <si>
    <t>=NL("Sum","5802 Value Entry","150 Sales Amount (Expected)","41 Source Type",$C$5,"5 Source No.",$C2958,"4 Item Ledger Entry Type",$C$4,"2 Item No.","@@"&amp;$F2958,"3 Posting Date",Z$9)+NL("Sum","5802 Value Entry","17 Sales Amount (Actual)","41 Source Type",$C$5,"5 Source no.",$C2958,"4 Item Ledger Entry Type",$C$4,"2 Item No.","@@"&amp;$F2958,"3 Posting Date",Z$9)</t>
  </si>
  <si>
    <t>=-NL("Sum","5802 Value Entry","151 Cost Amount (Expected)","41 Source Type",$C$5,"5 Source No.",$C2958,"4 Item Ledger Entry Type",$C$4,"2 Item No.","@@"&amp;$F2958,"3 Posting Date",Z$9)-NL("Sum","5802 Value Entry","43 Cost Amount (Actual)","41 Source Type",$C$5,"5 Source no.",$C2958,"4 Item Ledger Entry Type",$C$4,"2 Item No.","@@"&amp;$F2958,"3 Posting Date",Z$9)</t>
  </si>
  <si>
    <t>=Z2958-AB2958</t>
  </si>
  <si>
    <t>=IF(Z2958&lt;&gt;0,AC2958/Z2958,"")</t>
  </si>
  <si>
    <t>=C2960&amp;" TOTAL:"</t>
  </si>
  <si>
    <t>=SUBTOTAL(9,J2912:J2959)</t>
  </si>
  <si>
    <t>=SUBTOTAL(9,K2912:K2959)</t>
  </si>
  <si>
    <t>=SUBTOTAL(9,L2912:L2959)</t>
  </si>
  <si>
    <t>=SUBTOTAL(9,O2912:O2959)</t>
  </si>
  <si>
    <t>=SUBTOTAL(9,P2912:P2959)</t>
  </si>
  <si>
    <t>=SUBTOTAL(9,Q2912:Q2959)</t>
  </si>
  <si>
    <t>=SUBTOTAL(9,U2912:U2959)</t>
  </si>
  <si>
    <t>=SUBTOTAL(9,V2912:V2959)</t>
  </si>
  <si>
    <t>=SUBTOTAL(9,W2912:W2959)</t>
  </si>
  <si>
    <t>=SUBTOTAL(9,Z2912:Z2959)</t>
  </si>
  <si>
    <t>=SUBTOTAL(9,AA2912:AA2959)</t>
  </si>
  <si>
    <t>=SUBTOTAL(9,AB2912:AB2959)</t>
  </si>
  <si>
    <t>=E2962</t>
  </si>
  <si>
    <t>=NL(,"18 Customer","2 Name","1 No.",$E2962)</t>
  </si>
  <si>
    <t>=NL("Rows","5802 Value Entry","2 Item No.","4 Item Ledger Entry Type",$C$4,"41 Source Type",$C$5,"5 Source No.",$C2964,"Item No.",$C$7,"3 Posting Date",$C$10)</t>
  </si>
  <si>
    <t>=C2970</t>
  </si>
  <si>
    <t>=NL("Sum","5802 Value Entry","150 Sales Amount (Expected)","41 Source Type",$C$5,"5 Source No.",$C2971,"4 Item Ledger Entry Type",$C$4,"2 Item No.","@@"&amp;$F2971,"3 Posting Date",J$9)+NL("Sum","5802 Value Entry","17 Sales Amount (Actual)","41 Source Type",$C$5,"5 Source no.",$C2971,"4 Item Ledger Entry Type",$C$4,"2 Item No.","@@"&amp;$F2971,"3 Posting Date",J$9)</t>
  </si>
  <si>
    <t>=-NL("Sum","5802 Value Entry","151 Cost Amount (Expected)","41 Source Type",$C$5,"5 Source No.",$C2971,"4 Item Ledger Entry Type",$C$4,"2 Item No.","@@"&amp;$F2971,"3 Posting Date",J$9)-NL("Sum","5802 Value Entry","43 Cost Amount (Actual)","41 Source Type",$C$5,"5 Source no.",$C2971,"4 Item Ledger Entry Type",$C$4,"2 Item No.","@@"&amp;$F2971,"3 Posting Date",J$9)</t>
  </si>
  <si>
    <t>=J2971-L2971</t>
  </si>
  <si>
    <t>=IF(J2971&lt;&gt;0,M2971/J2971,"")</t>
  </si>
  <si>
    <t>=NL("Sum","5802 Value Entry","150 Sales Amount (Expected)","41 Source Type",$C$5,"5 Source No.",$C2971,"4 Item Ledger Entry Type",$C$4,"2 Item No.","@@"&amp;$F2971,"3 Posting Date",O$9)+NL("Sum","5802 Value Entry","17 Sales Amount (Actual)","41 Source Type",$C$5,"5 Source no.",$C2971,"4 Item Ledger Entry Type",$C$4,"2 Item No.","@@"&amp;$F2971,"3 Posting Date",O$9)</t>
  </si>
  <si>
    <t>=-NL("Sum","5802 Value Entry","151 Cost Amount (Expected)","41 Source Type",$C$5,"5 Source No.",$C2971,"4 Item Ledger Entry Type",$C$4,"2 Item No.","@@"&amp;$F2971,"3 Posting Date",O$9)-NL("Sum","5802 Value Entry","43 Cost Amount (Actual)","41 Source Type",$C$5,"5 Source no.",$C2971,"4 Item Ledger Entry Type",$C$4,"2 Item No.","@@"&amp;$F2971,"3 Posting Date",O$9)</t>
  </si>
  <si>
    <t>=O2971-Q2971</t>
  </si>
  <si>
    <t>=IF(O2971&lt;&gt;0,R2971/O2971,"")</t>
  </si>
  <si>
    <t>=NL("Sum","5802 Value Entry","150 Sales Amount (Expected)","41 Source Type",$C$5,"5 Source No.",$C2971,"4 Item Ledger Entry Type",$C$4,"2 Item No.","@@"&amp;$F2971,"3 Posting Date",U$9)+NL("Sum","5802 Value Entry","17 Sales Amount (Actual)","41 Source Type",$C$5,"5 Source no.",$C2971,"4 Item Ledger Entry Type",$C$4,"2 Item No.","@@"&amp;$F2971,"3 Posting Date",U$9)</t>
  </si>
  <si>
    <t>=-NL("Sum","5802 Value Entry","151 Cost Amount (Expected)","41 Source Type",$C$5,"5 Source No.",$C2971,"4 Item Ledger Entry Type",$C$4,"2 Item No.","@@"&amp;$F2971,"3 Posting Date",U$9)-NL("Sum","5802 Value Entry","43 Cost Amount (Actual)","41 Source Type",$C$5,"5 Source no.",$C2971,"4 Item Ledger Entry Type",$C$4,"2 Item No.","@@"&amp;$F2971,"3 Posting Date",U$9)</t>
  </si>
  <si>
    <t>=U2971-W2971</t>
  </si>
  <si>
    <t>=IF(U2971&lt;&gt;0,X2971/U2971,"")</t>
  </si>
  <si>
    <t>=NL("Sum","5802 Value Entry","150 Sales Amount (Expected)","41 Source Type",$C$5,"5 Source No.",$C2971,"4 Item Ledger Entry Type",$C$4,"2 Item No.","@@"&amp;$F2971,"3 Posting Date",Z$9)+NL("Sum","5802 Value Entry","17 Sales Amount (Actual)","41 Source Type",$C$5,"5 Source no.",$C2971,"4 Item Ledger Entry Type",$C$4,"2 Item No.","@@"&amp;$F2971,"3 Posting Date",Z$9)</t>
  </si>
  <si>
    <t>=-NL("Sum","5802 Value Entry","151 Cost Amount (Expected)","41 Source Type",$C$5,"5 Source No.",$C2971,"4 Item Ledger Entry Type",$C$4,"2 Item No.","@@"&amp;$F2971,"3 Posting Date",Z$9)-NL("Sum","5802 Value Entry","43 Cost Amount (Actual)","41 Source Type",$C$5,"5 Source no.",$C2971,"4 Item Ledger Entry Type",$C$4,"2 Item No.","@@"&amp;$F2971,"3 Posting Date",Z$9)</t>
  </si>
  <si>
    <t>=Z2971-AB2971</t>
  </si>
  <si>
    <t>=IF(Z2971&lt;&gt;0,AC2971/Z2971,"")</t>
  </si>
  <si>
    <t>=NL("Sum","5802 Value Entry","150 Sales Amount (Expected)","41 Source Type",$C$5,"5 Source No.",$C2972,"4 Item Ledger Entry Type",$C$4,"2 Item No.","@@"&amp;$F2972,"3 Posting Date",J$9)+NL("Sum","5802 Value Entry","17 Sales Amount (Actual)","41 Source Type",$C$5,"5 Source no.",$C2972,"4 Item Ledger Entry Type",$C$4,"2 Item No.","@@"&amp;$F2972,"3 Posting Date",J$9)</t>
  </si>
  <si>
    <t>=-NL("Sum","5802 Value Entry","151 Cost Amount (Expected)","41 Source Type",$C$5,"5 Source No.",$C2972,"4 Item Ledger Entry Type",$C$4,"2 Item No.","@@"&amp;$F2972,"3 Posting Date",J$9)-NL("Sum","5802 Value Entry","43 Cost Amount (Actual)","41 Source Type",$C$5,"5 Source no.",$C2972,"4 Item Ledger Entry Type",$C$4,"2 Item No.","@@"&amp;$F2972,"3 Posting Date",J$9)</t>
  </si>
  <si>
    <t>=NL("Sum","5802 Value Entry","150 Sales Amount (Expected)","41 Source Type",$C$5,"5 Source No.",$C2972,"4 Item Ledger Entry Type",$C$4,"2 Item No.","@@"&amp;$F2972,"3 Posting Date",O$9)+NL("Sum","5802 Value Entry","17 Sales Amount (Actual)","41 Source Type",$C$5,"5 Source no.",$C2972,"4 Item Ledger Entry Type",$C$4,"2 Item No.","@@"&amp;$F2972,"3 Posting Date",O$9)</t>
  </si>
  <si>
    <t>=-NL("Sum","5802 Value Entry","151 Cost Amount (Expected)","41 Source Type",$C$5,"5 Source No.",$C2972,"4 Item Ledger Entry Type",$C$4,"2 Item No.","@@"&amp;$F2972,"3 Posting Date",O$9)-NL("Sum","5802 Value Entry","43 Cost Amount (Actual)","41 Source Type",$C$5,"5 Source no.",$C2972,"4 Item Ledger Entry Type",$C$4,"2 Item No.","@@"&amp;$F2972,"3 Posting Date",O$9)</t>
  </si>
  <si>
    <t>=NL("Sum","5802 Value Entry","150 Sales Amount (Expected)","41 Source Type",$C$5,"5 Source No.",$C2972,"4 Item Ledger Entry Type",$C$4,"2 Item No.","@@"&amp;$F2972,"3 Posting Date",U$9)+NL("Sum","5802 Value Entry","17 Sales Amount (Actual)","41 Source Type",$C$5,"5 Source no.",$C2972,"4 Item Ledger Entry Type",$C$4,"2 Item No.","@@"&amp;$F2972,"3 Posting Date",U$9)</t>
  </si>
  <si>
    <t>=-NL("Sum","5802 Value Entry","151 Cost Amount (Expected)","41 Source Type",$C$5,"5 Source No.",$C2972,"4 Item Ledger Entry Type",$C$4,"2 Item No.","@@"&amp;$F2972,"3 Posting Date",U$9)-NL("Sum","5802 Value Entry","43 Cost Amount (Actual)","41 Source Type",$C$5,"5 Source no.",$C2972,"4 Item Ledger Entry Type",$C$4,"2 Item No.","@@"&amp;$F2972,"3 Posting Date",U$9)</t>
  </si>
  <si>
    <t>=NL("Sum","5802 Value Entry","150 Sales Amount (Expected)","41 Source Type",$C$5,"5 Source No.",$C2972,"4 Item Ledger Entry Type",$C$4,"2 Item No.","@@"&amp;$F2972,"3 Posting Date",Z$9)+NL("Sum","5802 Value Entry","17 Sales Amount (Actual)","41 Source Type",$C$5,"5 Source no.",$C2972,"4 Item Ledger Entry Type",$C$4,"2 Item No.","@@"&amp;$F2972,"3 Posting Date",Z$9)</t>
  </si>
  <si>
    <t>=-NL("Sum","5802 Value Entry","151 Cost Amount (Expected)","41 Source Type",$C$5,"5 Source No.",$C2972,"4 Item Ledger Entry Type",$C$4,"2 Item No.","@@"&amp;$F2972,"3 Posting Date",Z$9)-NL("Sum","5802 Value Entry","43 Cost Amount (Actual)","41 Source Type",$C$5,"5 Source no.",$C2972,"4 Item Ledger Entry Type",$C$4,"2 Item No.","@@"&amp;$F2972,"3 Posting Date",Z$9)</t>
  </si>
  <si>
    <t>=C2972</t>
  </si>
  <si>
    <t>=NL("Sum","5802 Value Entry","150 Sales Amount (Expected)","41 Source Type",$C$5,"5 Source No.",$C2973,"4 Item Ledger Entry Type",$C$4,"2 Item No.","@@"&amp;$F2973,"3 Posting Date",J$9)+NL("Sum","5802 Value Entry","17 Sales Amount (Actual)","41 Source Type",$C$5,"5 Source no.",$C2973,"4 Item Ledger Entry Type",$C$4,"2 Item No.","@@"&amp;$F2973,"3 Posting Date",J$9)</t>
  </si>
  <si>
    <t>=-NL("Sum","5802 Value Entry","151 Cost Amount (Expected)","41 Source Type",$C$5,"5 Source No.",$C2973,"4 Item Ledger Entry Type",$C$4,"2 Item No.","@@"&amp;$F2973,"3 Posting Date",J$9)-NL("Sum","5802 Value Entry","43 Cost Amount (Actual)","41 Source Type",$C$5,"5 Source no.",$C2973,"4 Item Ledger Entry Type",$C$4,"2 Item No.","@@"&amp;$F2973,"3 Posting Date",J$9)</t>
  </si>
  <si>
    <t>=J2973-L2973</t>
  </si>
  <si>
    <t>=IF(J2973&lt;&gt;0,M2973/J2973,"")</t>
  </si>
  <si>
    <t>=NL("Sum","5802 Value Entry","150 Sales Amount (Expected)","41 Source Type",$C$5,"5 Source No.",$C2973,"4 Item Ledger Entry Type",$C$4,"2 Item No.","@@"&amp;$F2973,"3 Posting Date",O$9)+NL("Sum","5802 Value Entry","17 Sales Amount (Actual)","41 Source Type",$C$5,"5 Source no.",$C2973,"4 Item Ledger Entry Type",$C$4,"2 Item No.","@@"&amp;$F2973,"3 Posting Date",O$9)</t>
  </si>
  <si>
    <t>=-NL("Sum","5802 Value Entry","151 Cost Amount (Expected)","41 Source Type",$C$5,"5 Source No.",$C2973,"4 Item Ledger Entry Type",$C$4,"2 Item No.","@@"&amp;$F2973,"3 Posting Date",O$9)-NL("Sum","5802 Value Entry","43 Cost Amount (Actual)","41 Source Type",$C$5,"5 Source no.",$C2973,"4 Item Ledger Entry Type",$C$4,"2 Item No.","@@"&amp;$F2973,"3 Posting Date",O$9)</t>
  </si>
  <si>
    <t>=O2973-Q2973</t>
  </si>
  <si>
    <t>=IF(O2973&lt;&gt;0,R2973/O2973,"")</t>
  </si>
  <si>
    <t>=NL("Sum","5802 Value Entry","150 Sales Amount (Expected)","41 Source Type",$C$5,"5 Source No.",$C2973,"4 Item Ledger Entry Type",$C$4,"2 Item No.","@@"&amp;$F2973,"3 Posting Date",U$9)+NL("Sum","5802 Value Entry","17 Sales Amount (Actual)","41 Source Type",$C$5,"5 Source no.",$C2973,"4 Item Ledger Entry Type",$C$4,"2 Item No.","@@"&amp;$F2973,"3 Posting Date",U$9)</t>
  </si>
  <si>
    <t>=-NL("Sum","5802 Value Entry","151 Cost Amount (Expected)","41 Source Type",$C$5,"5 Source No.",$C2973,"4 Item Ledger Entry Type",$C$4,"2 Item No.","@@"&amp;$F2973,"3 Posting Date",U$9)-NL("Sum","5802 Value Entry","43 Cost Amount (Actual)","41 Source Type",$C$5,"5 Source no.",$C2973,"4 Item Ledger Entry Type",$C$4,"2 Item No.","@@"&amp;$F2973,"3 Posting Date",U$9)</t>
  </si>
  <si>
    <t>=U2973-W2973</t>
  </si>
  <si>
    <t>=IF(U2973&lt;&gt;0,X2973/U2973,"")</t>
  </si>
  <si>
    <t>=NL("Sum","5802 Value Entry","150 Sales Amount (Expected)","41 Source Type",$C$5,"5 Source No.",$C2973,"4 Item Ledger Entry Type",$C$4,"2 Item No.","@@"&amp;$F2973,"3 Posting Date",Z$9)+NL("Sum","5802 Value Entry","17 Sales Amount (Actual)","41 Source Type",$C$5,"5 Source no.",$C2973,"4 Item Ledger Entry Type",$C$4,"2 Item No.","@@"&amp;$F2973,"3 Posting Date",Z$9)</t>
  </si>
  <si>
    <t>=-NL("Sum","5802 Value Entry","151 Cost Amount (Expected)","41 Source Type",$C$5,"5 Source No.",$C2973,"4 Item Ledger Entry Type",$C$4,"2 Item No.","@@"&amp;$F2973,"3 Posting Date",Z$9)-NL("Sum","5802 Value Entry","43 Cost Amount (Actual)","41 Source Type",$C$5,"5 Source no.",$C2973,"4 Item Ledger Entry Type",$C$4,"2 Item No.","@@"&amp;$F2973,"3 Posting Date",Z$9)</t>
  </si>
  <si>
    <t>=Z2973-AB2973</t>
  </si>
  <si>
    <t>=IF(Z2973&lt;&gt;0,AC2973/Z2973,"")</t>
  </si>
  <si>
    <t>=C2973</t>
  </si>
  <si>
    <t>=NL("Sum","5802 Value Entry","150 Sales Amount (Expected)","41 Source Type",$C$5,"5 Source No.",$C2974,"4 Item Ledger Entry Type",$C$4,"2 Item No.","@@"&amp;$F2974,"3 Posting Date",J$9)+NL("Sum","5802 Value Entry","17 Sales Amount (Actual)","41 Source Type",$C$5,"5 Source no.",$C2974,"4 Item Ledger Entry Type",$C$4,"2 Item No.","@@"&amp;$F2974,"3 Posting Date",J$9)</t>
  </si>
  <si>
    <t>=-NL("Sum","5802 Value Entry","151 Cost Amount (Expected)","41 Source Type",$C$5,"5 Source No.",$C2974,"4 Item Ledger Entry Type",$C$4,"2 Item No.","@@"&amp;$F2974,"3 Posting Date",J$9)-NL("Sum","5802 Value Entry","43 Cost Amount (Actual)","41 Source Type",$C$5,"5 Source no.",$C2974,"4 Item Ledger Entry Type",$C$4,"2 Item No.","@@"&amp;$F2974,"3 Posting Date",J$9)</t>
  </si>
  <si>
    <t>=J2974-L2974</t>
  </si>
  <si>
    <t>=IF(J2974&lt;&gt;0,M2974/J2974,"")</t>
  </si>
  <si>
    <t>=NL("Sum","5802 Value Entry","150 Sales Amount (Expected)","41 Source Type",$C$5,"5 Source No.",$C2974,"4 Item Ledger Entry Type",$C$4,"2 Item No.","@@"&amp;$F2974,"3 Posting Date",O$9)+NL("Sum","5802 Value Entry","17 Sales Amount (Actual)","41 Source Type",$C$5,"5 Source no.",$C2974,"4 Item Ledger Entry Type",$C$4,"2 Item No.","@@"&amp;$F2974,"3 Posting Date",O$9)</t>
  </si>
  <si>
    <t>=-NL("Sum","5802 Value Entry","151 Cost Amount (Expected)","41 Source Type",$C$5,"5 Source No.",$C2974,"4 Item Ledger Entry Type",$C$4,"2 Item No.","@@"&amp;$F2974,"3 Posting Date",O$9)-NL("Sum","5802 Value Entry","43 Cost Amount (Actual)","41 Source Type",$C$5,"5 Source no.",$C2974,"4 Item Ledger Entry Type",$C$4,"2 Item No.","@@"&amp;$F2974,"3 Posting Date",O$9)</t>
  </si>
  <si>
    <t>=O2974-Q2974</t>
  </si>
  <si>
    <t>=IF(O2974&lt;&gt;0,R2974/O2974,"")</t>
  </si>
  <si>
    <t>=NL("Sum","5802 Value Entry","150 Sales Amount (Expected)","41 Source Type",$C$5,"5 Source No.",$C2974,"4 Item Ledger Entry Type",$C$4,"2 Item No.","@@"&amp;$F2974,"3 Posting Date",U$9)+NL("Sum","5802 Value Entry","17 Sales Amount (Actual)","41 Source Type",$C$5,"5 Source no.",$C2974,"4 Item Ledger Entry Type",$C$4,"2 Item No.","@@"&amp;$F2974,"3 Posting Date",U$9)</t>
  </si>
  <si>
    <t>=-NL("Sum","5802 Value Entry","151 Cost Amount (Expected)","41 Source Type",$C$5,"5 Source No.",$C2974,"4 Item Ledger Entry Type",$C$4,"2 Item No.","@@"&amp;$F2974,"3 Posting Date",U$9)-NL("Sum","5802 Value Entry","43 Cost Amount (Actual)","41 Source Type",$C$5,"5 Source no.",$C2974,"4 Item Ledger Entry Type",$C$4,"2 Item No.","@@"&amp;$F2974,"3 Posting Date",U$9)</t>
  </si>
  <si>
    <t>=U2974-W2974</t>
  </si>
  <si>
    <t>=IF(U2974&lt;&gt;0,X2974/U2974,"")</t>
  </si>
  <si>
    <t>=NL("Sum","5802 Value Entry","150 Sales Amount (Expected)","41 Source Type",$C$5,"5 Source No.",$C2974,"4 Item Ledger Entry Type",$C$4,"2 Item No.","@@"&amp;$F2974,"3 Posting Date",Z$9)+NL("Sum","5802 Value Entry","17 Sales Amount (Actual)","41 Source Type",$C$5,"5 Source no.",$C2974,"4 Item Ledger Entry Type",$C$4,"2 Item No.","@@"&amp;$F2974,"3 Posting Date",Z$9)</t>
  </si>
  <si>
    <t>=-NL("Sum","5802 Value Entry","151 Cost Amount (Expected)","41 Source Type",$C$5,"5 Source No.",$C2974,"4 Item Ledger Entry Type",$C$4,"2 Item No.","@@"&amp;$F2974,"3 Posting Date",Z$9)-NL("Sum","5802 Value Entry","43 Cost Amount (Actual)","41 Source Type",$C$5,"5 Source no.",$C2974,"4 Item Ledger Entry Type",$C$4,"2 Item No.","@@"&amp;$F2974,"3 Posting Date",Z$9)</t>
  </si>
  <si>
    <t>=Z2974-AB2974</t>
  </si>
  <si>
    <t>=IF(Z2974&lt;&gt;0,AC2974/Z2974,"")</t>
  </si>
  <si>
    <t>=NL("Sum","5802 Value Entry","150 Sales Amount (Expected)","41 Source Type",$C$5,"5 Source No.",$C2975,"4 Item Ledger Entry Type",$C$4,"2 Item No.","@@"&amp;$F2975,"3 Posting Date",J$9)+NL("Sum","5802 Value Entry","17 Sales Amount (Actual)","41 Source Type",$C$5,"5 Source no.",$C2975,"4 Item Ledger Entry Type",$C$4,"2 Item No.","@@"&amp;$F2975,"3 Posting Date",J$9)</t>
  </si>
  <si>
    <t>=-NL("Sum","5802 Value Entry","151 Cost Amount (Expected)","41 Source Type",$C$5,"5 Source No.",$C2975,"4 Item Ledger Entry Type",$C$4,"2 Item No.","@@"&amp;$F2975,"3 Posting Date",J$9)-NL("Sum","5802 Value Entry","43 Cost Amount (Actual)","41 Source Type",$C$5,"5 Source no.",$C2975,"4 Item Ledger Entry Type",$C$4,"2 Item No.","@@"&amp;$F2975,"3 Posting Date",J$9)</t>
  </si>
  <si>
    <t>=J2975-L2975</t>
  </si>
  <si>
    <t>=IF(J2975&lt;&gt;0,M2975/J2975,"")</t>
  </si>
  <si>
    <t>=NL("Sum","5802 Value Entry","150 Sales Amount (Expected)","41 Source Type",$C$5,"5 Source No.",$C2975,"4 Item Ledger Entry Type",$C$4,"2 Item No.","@@"&amp;$F2975,"3 Posting Date",O$9)+NL("Sum","5802 Value Entry","17 Sales Amount (Actual)","41 Source Type",$C$5,"5 Source no.",$C2975,"4 Item Ledger Entry Type",$C$4,"2 Item No.","@@"&amp;$F2975,"3 Posting Date",O$9)</t>
  </si>
  <si>
    <t>=-NL("Sum","5802 Value Entry","151 Cost Amount (Expected)","41 Source Type",$C$5,"5 Source No.",$C2975,"4 Item Ledger Entry Type",$C$4,"2 Item No.","@@"&amp;$F2975,"3 Posting Date",O$9)-NL("Sum","5802 Value Entry","43 Cost Amount (Actual)","41 Source Type",$C$5,"5 Source no.",$C2975,"4 Item Ledger Entry Type",$C$4,"2 Item No.","@@"&amp;$F2975,"3 Posting Date",O$9)</t>
  </si>
  <si>
    <t>=O2975-Q2975</t>
  </si>
  <si>
    <t>=IF(O2975&lt;&gt;0,R2975/O2975,"")</t>
  </si>
  <si>
    <t>=NL("Sum","5802 Value Entry","150 Sales Amount (Expected)","41 Source Type",$C$5,"5 Source No.",$C2975,"4 Item Ledger Entry Type",$C$4,"2 Item No.","@@"&amp;$F2975,"3 Posting Date",U$9)+NL("Sum","5802 Value Entry","17 Sales Amount (Actual)","41 Source Type",$C$5,"5 Source no.",$C2975,"4 Item Ledger Entry Type",$C$4,"2 Item No.","@@"&amp;$F2975,"3 Posting Date",U$9)</t>
  </si>
  <si>
    <t>=-NL("Sum","5802 Value Entry","151 Cost Amount (Expected)","41 Source Type",$C$5,"5 Source No.",$C2975,"4 Item Ledger Entry Type",$C$4,"2 Item No.","@@"&amp;$F2975,"3 Posting Date",U$9)-NL("Sum","5802 Value Entry","43 Cost Amount (Actual)","41 Source Type",$C$5,"5 Source no.",$C2975,"4 Item Ledger Entry Type",$C$4,"2 Item No.","@@"&amp;$F2975,"3 Posting Date",U$9)</t>
  </si>
  <si>
    <t>=U2975-W2975</t>
  </si>
  <si>
    <t>=IF(U2975&lt;&gt;0,X2975/U2975,"")</t>
  </si>
  <si>
    <t>=NL("Sum","5802 Value Entry","150 Sales Amount (Expected)","41 Source Type",$C$5,"5 Source No.",$C2975,"4 Item Ledger Entry Type",$C$4,"2 Item No.","@@"&amp;$F2975,"3 Posting Date",Z$9)+NL("Sum","5802 Value Entry","17 Sales Amount (Actual)","41 Source Type",$C$5,"5 Source no.",$C2975,"4 Item Ledger Entry Type",$C$4,"2 Item No.","@@"&amp;$F2975,"3 Posting Date",Z$9)</t>
  </si>
  <si>
    <t>=-NL("Sum","5802 Value Entry","151 Cost Amount (Expected)","41 Source Type",$C$5,"5 Source No.",$C2975,"4 Item Ledger Entry Type",$C$4,"2 Item No.","@@"&amp;$F2975,"3 Posting Date",Z$9)-NL("Sum","5802 Value Entry","43 Cost Amount (Actual)","41 Source Type",$C$5,"5 Source no.",$C2975,"4 Item Ledger Entry Type",$C$4,"2 Item No.","@@"&amp;$F2975,"3 Posting Date",Z$9)</t>
  </si>
  <si>
    <t>=Z2975-AB2975</t>
  </si>
  <si>
    <t>=IF(Z2975&lt;&gt;0,AC2975/Z2975,"")</t>
  </si>
  <si>
    <t>=C3000&amp;" TOTAL:"</t>
  </si>
  <si>
    <t>=SUBTOTAL(9,J2963:J2999)</t>
  </si>
  <si>
    <t>=SUBTOTAL(9,K2963:K2999)</t>
  </si>
  <si>
    <t>=SUBTOTAL(9,L2963:L2999)</t>
  </si>
  <si>
    <t>=SUBTOTAL(9,O2963:O2999)</t>
  </si>
  <si>
    <t>=SUBTOTAL(9,P2963:P2999)</t>
  </si>
  <si>
    <t>=SUBTOTAL(9,Q2963:Q2999)</t>
  </si>
  <si>
    <t>=SUBTOTAL(9,U2963:U2999)</t>
  </si>
  <si>
    <t>=SUBTOTAL(9,V2963:V2999)</t>
  </si>
  <si>
    <t>=SUBTOTAL(9,W2963:W2999)</t>
  </si>
  <si>
    <t>=SUBTOTAL(9,Z2963:Z2999)</t>
  </si>
  <si>
    <t>=SUBTOTAL(9,AA2963:AA2999)</t>
  </si>
  <si>
    <t>=SUBTOTAL(9,AB2963:AB2999)</t>
  </si>
  <si>
    <t>=E3002</t>
  </si>
  <si>
    <t>=NL(,"18 Customer","2 Name","1 No.",$E3002)</t>
  </si>
  <si>
    <t>=NL("Rows","5802 Value Entry","2 Item No.","4 Item Ledger Entry Type",$C$4,"41 Source Type",$C$5,"5 Source No.",$C3004,"Item No.",$C$7,"3 Posting Date",$C$10)</t>
  </si>
  <si>
    <t>=C3013</t>
  </si>
  <si>
    <t>=NL("Sum","5802 Value Entry","150 Sales Amount (Expected)","41 Source Type",$C$5,"5 Source No.",$C3014,"4 Item Ledger Entry Type",$C$4,"2 Item No.","@@"&amp;$F3014,"3 Posting Date",J$9)+NL("Sum","5802 Value Entry","17 Sales Amount (Actual)","41 Source Type",$C$5,"5 Source no.",$C3014,"4 Item Ledger Entry Type",$C$4,"2 Item No.","@@"&amp;$F3014,"3 Posting Date",J$9)</t>
  </si>
  <si>
    <t>=-NL("Sum","5802 Value Entry","151 Cost Amount (Expected)","41 Source Type",$C$5,"5 Source No.",$C3014,"4 Item Ledger Entry Type",$C$4,"2 Item No.","@@"&amp;$F3014,"3 Posting Date",J$9)-NL("Sum","5802 Value Entry","43 Cost Amount (Actual)","41 Source Type",$C$5,"5 Source no.",$C3014,"4 Item Ledger Entry Type",$C$4,"2 Item No.","@@"&amp;$F3014,"3 Posting Date",J$9)</t>
  </si>
  <si>
    <t>=J3014-L3014</t>
  </si>
  <si>
    <t>=IF(J3014&lt;&gt;0,M3014/J3014,"")</t>
  </si>
  <si>
    <t>=NL("Sum","5802 Value Entry","150 Sales Amount (Expected)","41 Source Type",$C$5,"5 Source No.",$C3014,"4 Item Ledger Entry Type",$C$4,"2 Item No.","@@"&amp;$F3014,"3 Posting Date",O$9)+NL("Sum","5802 Value Entry","17 Sales Amount (Actual)","41 Source Type",$C$5,"5 Source no.",$C3014,"4 Item Ledger Entry Type",$C$4,"2 Item No.","@@"&amp;$F3014,"3 Posting Date",O$9)</t>
  </si>
  <si>
    <t>=-NL("Sum","5802 Value Entry","151 Cost Amount (Expected)","41 Source Type",$C$5,"5 Source No.",$C3014,"4 Item Ledger Entry Type",$C$4,"2 Item No.","@@"&amp;$F3014,"3 Posting Date",O$9)-NL("Sum","5802 Value Entry","43 Cost Amount (Actual)","41 Source Type",$C$5,"5 Source no.",$C3014,"4 Item Ledger Entry Type",$C$4,"2 Item No.","@@"&amp;$F3014,"3 Posting Date",O$9)</t>
  </si>
  <si>
    <t>=O3014-Q3014</t>
  </si>
  <si>
    <t>=IF(O3014&lt;&gt;0,R3014/O3014,"")</t>
  </si>
  <si>
    <t>=NL("Sum","5802 Value Entry","150 Sales Amount (Expected)","41 Source Type",$C$5,"5 Source No.",$C3014,"4 Item Ledger Entry Type",$C$4,"2 Item No.","@@"&amp;$F3014,"3 Posting Date",U$9)+NL("Sum","5802 Value Entry","17 Sales Amount (Actual)","41 Source Type",$C$5,"5 Source no.",$C3014,"4 Item Ledger Entry Type",$C$4,"2 Item No.","@@"&amp;$F3014,"3 Posting Date",U$9)</t>
  </si>
  <si>
    <t>=-NL("Sum","5802 Value Entry","151 Cost Amount (Expected)","41 Source Type",$C$5,"5 Source No.",$C3014,"4 Item Ledger Entry Type",$C$4,"2 Item No.","@@"&amp;$F3014,"3 Posting Date",U$9)-NL("Sum","5802 Value Entry","43 Cost Amount (Actual)","41 Source Type",$C$5,"5 Source no.",$C3014,"4 Item Ledger Entry Type",$C$4,"2 Item No.","@@"&amp;$F3014,"3 Posting Date",U$9)</t>
  </si>
  <si>
    <t>=U3014-W3014</t>
  </si>
  <si>
    <t>=IF(U3014&lt;&gt;0,X3014/U3014,"")</t>
  </si>
  <si>
    <t>=NL("Sum","5802 Value Entry","150 Sales Amount (Expected)","41 Source Type",$C$5,"5 Source No.",$C3014,"4 Item Ledger Entry Type",$C$4,"2 Item No.","@@"&amp;$F3014,"3 Posting Date",Z$9)+NL("Sum","5802 Value Entry","17 Sales Amount (Actual)","41 Source Type",$C$5,"5 Source no.",$C3014,"4 Item Ledger Entry Type",$C$4,"2 Item No.","@@"&amp;$F3014,"3 Posting Date",Z$9)</t>
  </si>
  <si>
    <t>=-NL("Sum","5802 Value Entry","151 Cost Amount (Expected)","41 Source Type",$C$5,"5 Source No.",$C3014,"4 Item Ledger Entry Type",$C$4,"2 Item No.","@@"&amp;$F3014,"3 Posting Date",Z$9)-NL("Sum","5802 Value Entry","43 Cost Amount (Actual)","41 Source Type",$C$5,"5 Source no.",$C3014,"4 Item Ledger Entry Type",$C$4,"2 Item No.","@@"&amp;$F3014,"3 Posting Date",Z$9)</t>
  </si>
  <si>
    <t>=Z3014-AB3014</t>
  </si>
  <si>
    <t>=IF(Z3014&lt;&gt;0,AC3014/Z3014,"")</t>
  </si>
  <si>
    <t>=NL("Sum","5802 Value Entry","150 Sales Amount (Expected)","41 Source Type",$C$5,"5 Source No.",$C3015,"4 Item Ledger Entry Type",$C$4,"2 Item No.","@@"&amp;$F3015,"3 Posting Date",J$9)+NL("Sum","5802 Value Entry","17 Sales Amount (Actual)","41 Source Type",$C$5,"5 Source no.",$C3015,"4 Item Ledger Entry Type",$C$4,"2 Item No.","@@"&amp;$F3015,"3 Posting Date",J$9)</t>
  </si>
  <si>
    <t>=-NL("Sum","5802 Value Entry","151 Cost Amount (Expected)","41 Source Type",$C$5,"5 Source No.",$C3015,"4 Item Ledger Entry Type",$C$4,"2 Item No.","@@"&amp;$F3015,"3 Posting Date",J$9)-NL("Sum","5802 Value Entry","43 Cost Amount (Actual)","41 Source Type",$C$5,"5 Source no.",$C3015,"4 Item Ledger Entry Type",$C$4,"2 Item No.","@@"&amp;$F3015,"3 Posting Date",J$9)</t>
  </si>
  <si>
    <t>=NL("Sum","5802 Value Entry","150 Sales Amount (Expected)","41 Source Type",$C$5,"5 Source No.",$C3015,"4 Item Ledger Entry Type",$C$4,"2 Item No.","@@"&amp;$F3015,"3 Posting Date",O$9)+NL("Sum","5802 Value Entry","17 Sales Amount (Actual)","41 Source Type",$C$5,"5 Source no.",$C3015,"4 Item Ledger Entry Type",$C$4,"2 Item No.","@@"&amp;$F3015,"3 Posting Date",O$9)</t>
  </si>
  <si>
    <t>=-NL("Sum","5802 Value Entry","151 Cost Amount (Expected)","41 Source Type",$C$5,"5 Source No.",$C3015,"4 Item Ledger Entry Type",$C$4,"2 Item No.","@@"&amp;$F3015,"3 Posting Date",O$9)-NL("Sum","5802 Value Entry","43 Cost Amount (Actual)","41 Source Type",$C$5,"5 Source no.",$C3015,"4 Item Ledger Entry Type",$C$4,"2 Item No.","@@"&amp;$F3015,"3 Posting Date",O$9)</t>
  </si>
  <si>
    <t>=NL("Sum","5802 Value Entry","150 Sales Amount (Expected)","41 Source Type",$C$5,"5 Source No.",$C3015,"4 Item Ledger Entry Type",$C$4,"2 Item No.","@@"&amp;$F3015,"3 Posting Date",U$9)+NL("Sum","5802 Value Entry","17 Sales Amount (Actual)","41 Source Type",$C$5,"5 Source no.",$C3015,"4 Item Ledger Entry Type",$C$4,"2 Item No.","@@"&amp;$F3015,"3 Posting Date",U$9)</t>
  </si>
  <si>
    <t>=-NL("Sum","5802 Value Entry","151 Cost Amount (Expected)","41 Source Type",$C$5,"5 Source No.",$C3015,"4 Item Ledger Entry Type",$C$4,"2 Item No.","@@"&amp;$F3015,"3 Posting Date",U$9)-NL("Sum","5802 Value Entry","43 Cost Amount (Actual)","41 Source Type",$C$5,"5 Source no.",$C3015,"4 Item Ledger Entry Type",$C$4,"2 Item No.","@@"&amp;$F3015,"3 Posting Date",U$9)</t>
  </si>
  <si>
    <t>=NL("Sum","5802 Value Entry","150 Sales Amount (Expected)","41 Source Type",$C$5,"5 Source No.",$C3015,"4 Item Ledger Entry Type",$C$4,"2 Item No.","@@"&amp;$F3015,"3 Posting Date",Z$9)+NL("Sum","5802 Value Entry","17 Sales Amount (Actual)","41 Source Type",$C$5,"5 Source no.",$C3015,"4 Item Ledger Entry Type",$C$4,"2 Item No.","@@"&amp;$F3015,"3 Posting Date",Z$9)</t>
  </si>
  <si>
    <t>=-NL("Sum","5802 Value Entry","151 Cost Amount (Expected)","41 Source Type",$C$5,"5 Source No.",$C3015,"4 Item Ledger Entry Type",$C$4,"2 Item No.","@@"&amp;$F3015,"3 Posting Date",Z$9)-NL("Sum","5802 Value Entry","43 Cost Amount (Actual)","41 Source Type",$C$5,"5 Source no.",$C3015,"4 Item Ledger Entry Type",$C$4,"2 Item No.","@@"&amp;$F3015,"3 Posting Date",Z$9)</t>
  </si>
  <si>
    <t>=C3015</t>
  </si>
  <si>
    <t>=NL("Sum","5802 Value Entry","150 Sales Amount (Expected)","41 Source Type",$C$5,"5 Source No.",$C3016,"4 Item Ledger Entry Type",$C$4,"2 Item No.","@@"&amp;$F3016,"3 Posting Date",J$9)+NL("Sum","5802 Value Entry","17 Sales Amount (Actual)","41 Source Type",$C$5,"5 Source no.",$C3016,"4 Item Ledger Entry Type",$C$4,"2 Item No.","@@"&amp;$F3016,"3 Posting Date",J$9)</t>
  </si>
  <si>
    <t>=-NL("Sum","5802 Value Entry","151 Cost Amount (Expected)","41 Source Type",$C$5,"5 Source No.",$C3016,"4 Item Ledger Entry Type",$C$4,"2 Item No.","@@"&amp;$F3016,"3 Posting Date",J$9)-NL("Sum","5802 Value Entry","43 Cost Amount (Actual)","41 Source Type",$C$5,"5 Source no.",$C3016,"4 Item Ledger Entry Type",$C$4,"2 Item No.","@@"&amp;$F3016,"3 Posting Date",J$9)</t>
  </si>
  <si>
    <t>=J3016-L3016</t>
  </si>
  <si>
    <t>=IF(J3016&lt;&gt;0,M3016/J3016,"")</t>
  </si>
  <si>
    <t>=NL("Sum","5802 Value Entry","150 Sales Amount (Expected)","41 Source Type",$C$5,"5 Source No.",$C3016,"4 Item Ledger Entry Type",$C$4,"2 Item No.","@@"&amp;$F3016,"3 Posting Date",O$9)+NL("Sum","5802 Value Entry","17 Sales Amount (Actual)","41 Source Type",$C$5,"5 Source no.",$C3016,"4 Item Ledger Entry Type",$C$4,"2 Item No.","@@"&amp;$F3016,"3 Posting Date",O$9)</t>
  </si>
  <si>
    <t>=-NL("Sum","5802 Value Entry","151 Cost Amount (Expected)","41 Source Type",$C$5,"5 Source No.",$C3016,"4 Item Ledger Entry Type",$C$4,"2 Item No.","@@"&amp;$F3016,"3 Posting Date",O$9)-NL("Sum","5802 Value Entry","43 Cost Amount (Actual)","41 Source Type",$C$5,"5 Source no.",$C3016,"4 Item Ledger Entry Type",$C$4,"2 Item No.","@@"&amp;$F3016,"3 Posting Date",O$9)</t>
  </si>
  <si>
    <t>=O3016-Q3016</t>
  </si>
  <si>
    <t>=IF(O3016&lt;&gt;0,R3016/O3016,"")</t>
  </si>
  <si>
    <t>=NL("Sum","5802 Value Entry","150 Sales Amount (Expected)","41 Source Type",$C$5,"5 Source No.",$C3016,"4 Item Ledger Entry Type",$C$4,"2 Item No.","@@"&amp;$F3016,"3 Posting Date",U$9)+NL("Sum","5802 Value Entry","17 Sales Amount (Actual)","41 Source Type",$C$5,"5 Source no.",$C3016,"4 Item Ledger Entry Type",$C$4,"2 Item No.","@@"&amp;$F3016,"3 Posting Date",U$9)</t>
  </si>
  <si>
    <t>=-NL("Sum","5802 Value Entry","151 Cost Amount (Expected)","41 Source Type",$C$5,"5 Source No.",$C3016,"4 Item Ledger Entry Type",$C$4,"2 Item No.","@@"&amp;$F3016,"3 Posting Date",U$9)-NL("Sum","5802 Value Entry","43 Cost Amount (Actual)","41 Source Type",$C$5,"5 Source no.",$C3016,"4 Item Ledger Entry Type",$C$4,"2 Item No.","@@"&amp;$F3016,"3 Posting Date",U$9)</t>
  </si>
  <si>
    <t>=U3016-W3016</t>
  </si>
  <si>
    <t>=IF(U3016&lt;&gt;0,X3016/U3016,"")</t>
  </si>
  <si>
    <t>=NL("Sum","5802 Value Entry","150 Sales Amount (Expected)","41 Source Type",$C$5,"5 Source No.",$C3016,"4 Item Ledger Entry Type",$C$4,"2 Item No.","@@"&amp;$F3016,"3 Posting Date",Z$9)+NL("Sum","5802 Value Entry","17 Sales Amount (Actual)","41 Source Type",$C$5,"5 Source no.",$C3016,"4 Item Ledger Entry Type",$C$4,"2 Item No.","@@"&amp;$F3016,"3 Posting Date",Z$9)</t>
  </si>
  <si>
    <t>=-NL("Sum","5802 Value Entry","151 Cost Amount (Expected)","41 Source Type",$C$5,"5 Source No.",$C3016,"4 Item Ledger Entry Type",$C$4,"2 Item No.","@@"&amp;$F3016,"3 Posting Date",Z$9)-NL("Sum","5802 Value Entry","43 Cost Amount (Actual)","41 Source Type",$C$5,"5 Source no.",$C3016,"4 Item Ledger Entry Type",$C$4,"2 Item No.","@@"&amp;$F3016,"3 Posting Date",Z$9)</t>
  </si>
  <si>
    <t>=Z3016-AB3016</t>
  </si>
  <si>
    <t>=IF(Z3016&lt;&gt;0,AC3016/Z3016,"")</t>
  </si>
  <si>
    <t>=C3016</t>
  </si>
  <si>
    <t>=NL("Sum","5802 Value Entry","150 Sales Amount (Expected)","41 Source Type",$C$5,"5 Source No.",$C3017,"4 Item Ledger Entry Type",$C$4,"2 Item No.","@@"&amp;$F3017,"3 Posting Date",J$9)+NL("Sum","5802 Value Entry","17 Sales Amount (Actual)","41 Source Type",$C$5,"5 Source no.",$C3017,"4 Item Ledger Entry Type",$C$4,"2 Item No.","@@"&amp;$F3017,"3 Posting Date",J$9)</t>
  </si>
  <si>
    <t>=-NL("Sum","5802 Value Entry","151 Cost Amount (Expected)","41 Source Type",$C$5,"5 Source No.",$C3017,"4 Item Ledger Entry Type",$C$4,"2 Item No.","@@"&amp;$F3017,"3 Posting Date",J$9)-NL("Sum","5802 Value Entry","43 Cost Amount (Actual)","41 Source Type",$C$5,"5 Source no.",$C3017,"4 Item Ledger Entry Type",$C$4,"2 Item No.","@@"&amp;$F3017,"3 Posting Date",J$9)</t>
  </si>
  <si>
    <t>=J3017-L3017</t>
  </si>
  <si>
    <t>=IF(J3017&lt;&gt;0,M3017/J3017,"")</t>
  </si>
  <si>
    <t>=NL("Sum","5802 Value Entry","150 Sales Amount (Expected)","41 Source Type",$C$5,"5 Source No.",$C3017,"4 Item Ledger Entry Type",$C$4,"2 Item No.","@@"&amp;$F3017,"3 Posting Date",O$9)+NL("Sum","5802 Value Entry","17 Sales Amount (Actual)","41 Source Type",$C$5,"5 Source no.",$C3017,"4 Item Ledger Entry Type",$C$4,"2 Item No.","@@"&amp;$F3017,"3 Posting Date",O$9)</t>
  </si>
  <si>
    <t>=-NL("Sum","5802 Value Entry","151 Cost Amount (Expected)","41 Source Type",$C$5,"5 Source No.",$C3017,"4 Item Ledger Entry Type",$C$4,"2 Item No.","@@"&amp;$F3017,"3 Posting Date",O$9)-NL("Sum","5802 Value Entry","43 Cost Amount (Actual)","41 Source Type",$C$5,"5 Source no.",$C3017,"4 Item Ledger Entry Type",$C$4,"2 Item No.","@@"&amp;$F3017,"3 Posting Date",O$9)</t>
  </si>
  <si>
    <t>=O3017-Q3017</t>
  </si>
  <si>
    <t>=IF(O3017&lt;&gt;0,R3017/O3017,"")</t>
  </si>
  <si>
    <t>=NL("Sum","5802 Value Entry","150 Sales Amount (Expected)","41 Source Type",$C$5,"5 Source No.",$C3017,"4 Item Ledger Entry Type",$C$4,"2 Item No.","@@"&amp;$F3017,"3 Posting Date",U$9)+NL("Sum","5802 Value Entry","17 Sales Amount (Actual)","41 Source Type",$C$5,"5 Source no.",$C3017,"4 Item Ledger Entry Type",$C$4,"2 Item No.","@@"&amp;$F3017,"3 Posting Date",U$9)</t>
  </si>
  <si>
    <t>=-NL("Sum","5802 Value Entry","151 Cost Amount (Expected)","41 Source Type",$C$5,"5 Source No.",$C3017,"4 Item Ledger Entry Type",$C$4,"2 Item No.","@@"&amp;$F3017,"3 Posting Date",U$9)-NL("Sum","5802 Value Entry","43 Cost Amount (Actual)","41 Source Type",$C$5,"5 Source no.",$C3017,"4 Item Ledger Entry Type",$C$4,"2 Item No.","@@"&amp;$F3017,"3 Posting Date",U$9)</t>
  </si>
  <si>
    <t>=U3017-W3017</t>
  </si>
  <si>
    <t>=IF(U3017&lt;&gt;0,X3017/U3017,"")</t>
  </si>
  <si>
    <t>=NL("Sum","5802 Value Entry","150 Sales Amount (Expected)","41 Source Type",$C$5,"5 Source No.",$C3017,"4 Item Ledger Entry Type",$C$4,"2 Item No.","@@"&amp;$F3017,"3 Posting Date",Z$9)+NL("Sum","5802 Value Entry","17 Sales Amount (Actual)","41 Source Type",$C$5,"5 Source no.",$C3017,"4 Item Ledger Entry Type",$C$4,"2 Item No.","@@"&amp;$F3017,"3 Posting Date",Z$9)</t>
  </si>
  <si>
    <t>=-NL("Sum","5802 Value Entry","151 Cost Amount (Expected)","41 Source Type",$C$5,"5 Source No.",$C3017,"4 Item Ledger Entry Type",$C$4,"2 Item No.","@@"&amp;$F3017,"3 Posting Date",Z$9)-NL("Sum","5802 Value Entry","43 Cost Amount (Actual)","41 Source Type",$C$5,"5 Source no.",$C3017,"4 Item Ledger Entry Type",$C$4,"2 Item No.","@@"&amp;$F3017,"3 Posting Date",Z$9)</t>
  </si>
  <si>
    <t>=Z3017-AB3017</t>
  </si>
  <si>
    <t>=IF(Z3017&lt;&gt;0,AC3017/Z3017,"")</t>
  </si>
  <si>
    <t>=NL("Sum","5802 Value Entry","150 Sales Amount (Expected)","41 Source Type",$C$5,"5 Source No.",$C3018,"4 Item Ledger Entry Type",$C$4,"2 Item No.","@@"&amp;$F3018,"3 Posting Date",J$9)+NL("Sum","5802 Value Entry","17 Sales Amount (Actual)","41 Source Type",$C$5,"5 Source no.",$C3018,"4 Item Ledger Entry Type",$C$4,"2 Item No.","@@"&amp;$F3018,"3 Posting Date",J$9)</t>
  </si>
  <si>
    <t>=-NL("Sum","5802 Value Entry","151 Cost Amount (Expected)","41 Source Type",$C$5,"5 Source No.",$C3018,"4 Item Ledger Entry Type",$C$4,"2 Item No.","@@"&amp;$F3018,"3 Posting Date",J$9)-NL("Sum","5802 Value Entry","43 Cost Amount (Actual)","41 Source Type",$C$5,"5 Source no.",$C3018,"4 Item Ledger Entry Type",$C$4,"2 Item No.","@@"&amp;$F3018,"3 Posting Date",J$9)</t>
  </si>
  <si>
    <t>=J3018-L3018</t>
  </si>
  <si>
    <t>=IF(J3018&lt;&gt;0,M3018/J3018,"")</t>
  </si>
  <si>
    <t>=NL("Sum","5802 Value Entry","150 Sales Amount (Expected)","41 Source Type",$C$5,"5 Source No.",$C3018,"4 Item Ledger Entry Type",$C$4,"2 Item No.","@@"&amp;$F3018,"3 Posting Date",O$9)+NL("Sum","5802 Value Entry","17 Sales Amount (Actual)","41 Source Type",$C$5,"5 Source no.",$C3018,"4 Item Ledger Entry Type",$C$4,"2 Item No.","@@"&amp;$F3018,"3 Posting Date",O$9)</t>
  </si>
  <si>
    <t>=-NL("Sum","5802 Value Entry","151 Cost Amount (Expected)","41 Source Type",$C$5,"5 Source No.",$C3018,"4 Item Ledger Entry Type",$C$4,"2 Item No.","@@"&amp;$F3018,"3 Posting Date",O$9)-NL("Sum","5802 Value Entry","43 Cost Amount (Actual)","41 Source Type",$C$5,"5 Source no.",$C3018,"4 Item Ledger Entry Type",$C$4,"2 Item No.","@@"&amp;$F3018,"3 Posting Date",O$9)</t>
  </si>
  <si>
    <t>=O3018-Q3018</t>
  </si>
  <si>
    <t>=IF(O3018&lt;&gt;0,R3018/O3018,"")</t>
  </si>
  <si>
    <t>=NL("Sum","5802 Value Entry","150 Sales Amount (Expected)","41 Source Type",$C$5,"5 Source No.",$C3018,"4 Item Ledger Entry Type",$C$4,"2 Item No.","@@"&amp;$F3018,"3 Posting Date",U$9)+NL("Sum","5802 Value Entry","17 Sales Amount (Actual)","41 Source Type",$C$5,"5 Source no.",$C3018,"4 Item Ledger Entry Type",$C$4,"2 Item No.","@@"&amp;$F3018,"3 Posting Date",U$9)</t>
  </si>
  <si>
    <t>=-NL("Sum","5802 Value Entry","151 Cost Amount (Expected)","41 Source Type",$C$5,"5 Source No.",$C3018,"4 Item Ledger Entry Type",$C$4,"2 Item No.","@@"&amp;$F3018,"3 Posting Date",U$9)-NL("Sum","5802 Value Entry","43 Cost Amount (Actual)","41 Source Type",$C$5,"5 Source no.",$C3018,"4 Item Ledger Entry Type",$C$4,"2 Item No.","@@"&amp;$F3018,"3 Posting Date",U$9)</t>
  </si>
  <si>
    <t>=U3018-W3018</t>
  </si>
  <si>
    <t>=IF(U3018&lt;&gt;0,X3018/U3018,"")</t>
  </si>
  <si>
    <t>=NL("Sum","5802 Value Entry","150 Sales Amount (Expected)","41 Source Type",$C$5,"5 Source No.",$C3018,"4 Item Ledger Entry Type",$C$4,"2 Item No.","@@"&amp;$F3018,"3 Posting Date",Z$9)+NL("Sum","5802 Value Entry","17 Sales Amount (Actual)","41 Source Type",$C$5,"5 Source no.",$C3018,"4 Item Ledger Entry Type",$C$4,"2 Item No.","@@"&amp;$F3018,"3 Posting Date",Z$9)</t>
  </si>
  <si>
    <t>=-NL("Sum","5802 Value Entry","151 Cost Amount (Expected)","41 Source Type",$C$5,"5 Source No.",$C3018,"4 Item Ledger Entry Type",$C$4,"2 Item No.","@@"&amp;$F3018,"3 Posting Date",Z$9)-NL("Sum","5802 Value Entry","43 Cost Amount (Actual)","41 Source Type",$C$5,"5 Source no.",$C3018,"4 Item Ledger Entry Type",$C$4,"2 Item No.","@@"&amp;$F3018,"3 Posting Date",Z$9)</t>
  </si>
  <si>
    <t>=Z3018-AB3018</t>
  </si>
  <si>
    <t>=IF(Z3018&lt;&gt;0,AC3018/Z3018,"")</t>
  </si>
  <si>
    <t>=C3050&amp;" TOTAL:"</t>
  </si>
  <si>
    <t>=SUBTOTAL(9,J3003:J3049)</t>
  </si>
  <si>
    <t>=SUBTOTAL(9,K3003:K3049)</t>
  </si>
  <si>
    <t>=SUBTOTAL(9,L3003:L3049)</t>
  </si>
  <si>
    <t>=SUBTOTAL(9,O3003:O3049)</t>
  </si>
  <si>
    <t>=SUBTOTAL(9,P3003:P3049)</t>
  </si>
  <si>
    <t>=SUBTOTAL(9,Q3003:Q3049)</t>
  </si>
  <si>
    <t>=SUBTOTAL(9,U3003:U3049)</t>
  </si>
  <si>
    <t>=SUBTOTAL(9,V3003:V3049)</t>
  </si>
  <si>
    <t>=SUBTOTAL(9,W3003:W3049)</t>
  </si>
  <si>
    <t>=SUBTOTAL(9,Z3003:Z3049)</t>
  </si>
  <si>
    <t>=SUBTOTAL(9,AA3003:AA3049)</t>
  </si>
  <si>
    <t>=SUBTOTAL(9,AB3003:AB3049)</t>
  </si>
  <si>
    <t>=E3052</t>
  </si>
  <si>
    <t>=NL(,"18 Customer","2 Name","1 No.",$E3052)</t>
  </si>
  <si>
    <t>=NL("Rows","5802 Value Entry","2 Item No.","4 Item Ledger Entry Type",$C$4,"41 Source Type",$C$5,"5 Source No.",$C3054,"Item No.",$C$7,"3 Posting Date",$C$10)</t>
  </si>
  <si>
    <t>=C3060&amp;" TOTAL:"</t>
  </si>
  <si>
    <t>=SUBTOTAL(9,J3053:J3059)</t>
  </si>
  <si>
    <t>=SUBTOTAL(9,K3053:K3059)</t>
  </si>
  <si>
    <t>=SUBTOTAL(9,L3053:L3059)</t>
  </si>
  <si>
    <t>=SUBTOTAL(9,O3053:O3059)</t>
  </si>
  <si>
    <t>=SUBTOTAL(9,P3053:P3059)</t>
  </si>
  <si>
    <t>=SUBTOTAL(9,Q3053:Q3059)</t>
  </si>
  <si>
    <t>=SUBTOTAL(9,U3053:U3059)</t>
  </si>
  <si>
    <t>=SUBTOTAL(9,V3053:V3059)</t>
  </si>
  <si>
    <t>=SUBTOTAL(9,W3053:W3059)</t>
  </si>
  <si>
    <t>=SUBTOTAL(9,Z3053:Z3059)</t>
  </si>
  <si>
    <t>=SUBTOTAL(9,AA3053:AA3059)</t>
  </si>
  <si>
    <t>=SUBTOTAL(9,AB3053:AB3059)</t>
  </si>
  <si>
    <t>=SUBTOTAL(9,J20:J63)</t>
  </si>
  <si>
    <t>=SUBTOTAL(9,L20:L63)</t>
  </si>
  <si>
    <t>=SUBTOTAL(9,O20:O63)</t>
  </si>
  <si>
    <t>=SUBTOTAL(9,Q20:Q63)</t>
  </si>
  <si>
    <t>=SUBTOTAL(9,U20:U63)</t>
  </si>
  <si>
    <t>=SUBTOTAL(9,W20:W63)</t>
  </si>
  <si>
    <t>=SUBTOTAL(9,Z20:Z63)</t>
  </si>
  <si>
    <t>=SUBTOTAL(9,AB20:AB63)</t>
  </si>
  <si>
    <t>=NL(,"27 Item","3 Description","1 No.","@@"&amp;F589)</t>
  </si>
  <si>
    <t>=-NL("Sum","32 Item Ledger Entry","12 Quantity","5 Source no.",$C589,"3 Posting Date",J$9,"4 Entry Type",$C$4,"2 Item No.","@@"&amp;$F589)</t>
  </si>
  <si>
    <t>=-NL("Sum","32 Item Ledger Entry","12 Quantity","5 Source no.",$C589,"3 Posting Date",O$9,"4 Entry Type",$C$4,"2 Item No.","@@"&amp;$F589)</t>
  </si>
  <si>
    <t>=-NL("Sum","32 Item Ledger Entry","12 Quantity","5 Source no.",$C589,"3 Posting Date",U$9,"4 Entry Type",$C$4,"2 Item No.","@@"&amp;$F589)</t>
  </si>
  <si>
    <t>=-NL("Sum","32 Item Ledger Entry","12 Quantity","5 Source no.",$C589,"3 Posting Date",Z$9,"4 Entry Type",$C$4,"2 Item No.","@@"&amp;$F589)</t>
  </si>
  <si>
    <t>=NL(,"27 Item","3 Description","1 No.","@@"&amp;F869)</t>
  </si>
  <si>
    <t>=-NL("Sum","32 Item Ledger Entry","12 Quantity","5 Source no.",$C869,"3 Posting Date",J$9,"4 Entry Type",$C$4,"2 Item No.","@@"&amp;$F869)</t>
  </si>
  <si>
    <t>=-NL("Sum","32 Item Ledger Entry","12 Quantity","5 Source no.",$C869,"3 Posting Date",O$9,"4 Entry Type",$C$4,"2 Item No.","@@"&amp;$F869)</t>
  </si>
  <si>
    <t>=-NL("Sum","32 Item Ledger Entry","12 Quantity","5 Source no.",$C869,"3 Posting Date",U$9,"4 Entry Type",$C$4,"2 Item No.","@@"&amp;$F869)</t>
  </si>
  <si>
    <t>=-NL("Sum","32 Item Ledger Entry","12 Quantity","5 Source no.",$C869,"3 Posting Date",Z$9,"4 Entry Type",$C$4,"2 Item No.","@@"&amp;$F869)</t>
  </si>
  <si>
    <t>=NL(,"27 Item","3 Description","1 No.","@@"&amp;F901)</t>
  </si>
  <si>
    <t>=-NL("Sum","32 Item Ledger Entry","12 Quantity","5 Source no.",$C901,"3 Posting Date",J$9,"4 Entry Type",$C$4,"2 Item No.","@@"&amp;$F901)</t>
  </si>
  <si>
    <t>=-NL("Sum","32 Item Ledger Entry","12 Quantity","5 Source no.",$C901,"3 Posting Date",O$9,"4 Entry Type",$C$4,"2 Item No.","@@"&amp;$F901)</t>
  </si>
  <si>
    <t>=-NL("Sum","32 Item Ledger Entry","12 Quantity","5 Source no.",$C901,"3 Posting Date",U$9,"4 Entry Type",$C$4,"2 Item No.","@@"&amp;$F901)</t>
  </si>
  <si>
    <t>=-NL("Sum","32 Item Ledger Entry","12 Quantity","5 Source no.",$C901,"3 Posting Date",Z$9,"4 Entry Type",$C$4,"2 Item No.","@@"&amp;$F901)</t>
  </si>
  <si>
    <t>=NL(,"27 Item","3 Description","1 No.","@@"&amp;F23)</t>
  </si>
  <si>
    <t>=NL(,"27 Item","3 Description","1 No.","@@"&amp;F24)</t>
  </si>
  <si>
    <t>=NL(,"27 Item","3 Description","1 No.","@@"&amp;F25)</t>
  </si>
  <si>
    <t>=NL(,"27 Item","3 Description","1 No.","@@"&amp;F26)</t>
  </si>
  <si>
    <t>=NL(,"27 Item","3 Description","1 No.","@@"&amp;F27)</t>
  </si>
  <si>
    <t>=NL(,"27 Item","3 Description","1 No.","@@"&amp;F28)</t>
  </si>
  <si>
    <t>=NL(,"27 Item","3 Description","1 No.","@@"&amp;F29)</t>
  </si>
  <si>
    <t>=NL(,"27 Item","3 Description","1 No.","@@"&amp;F30)</t>
  </si>
  <si>
    <t>=NL(,"27 Item","3 Description","1 No.","@@"&amp;F31)</t>
  </si>
  <si>
    <t>=NL(,"27 Item","3 Description","1 No.","@@"&amp;F32)</t>
  </si>
  <si>
    <t>=NL(,"27 Item","3 Description","1 No.","@@"&amp;F33)</t>
  </si>
  <si>
    <t>=NL(,"27 Item","3 Description","1 No.","@@"&amp;F34)</t>
  </si>
  <si>
    <t>=NL(,"27 Item","3 Description","1 No.","@@"&amp;F35)</t>
  </si>
  <si>
    <t>=NL(,"27 Item","3 Description","1 No.","@@"&amp;F36)</t>
  </si>
  <si>
    <t>=NL(,"27 Item","3 Description","1 No.","@@"&amp;F37)</t>
  </si>
  <si>
    <t>=NL(,"27 Item","3 Description","1 No.","@@"&amp;F38)</t>
  </si>
  <si>
    <t>=NL(,"27 Item","3 Description","1 No.","@@"&amp;F39)</t>
  </si>
  <si>
    <t>=NL(,"27 Item","3 Description","1 No.","@@"&amp;F40)</t>
  </si>
  <si>
    <t>=NL(,"27 Item","3 Description","1 No.","@@"&amp;F41)</t>
  </si>
  <si>
    <t>=NL(,"27 Item","3 Description","1 No.","@@"&amp;F42)</t>
  </si>
  <si>
    <t>=NL(,"27 Item","3 Description","1 No.","@@"&amp;F43)</t>
  </si>
  <si>
    <t>=NL(,"27 Item","3 Description","1 No.","@@"&amp;F44)</t>
  </si>
  <si>
    <t>=NL(,"27 Item","3 Description","1 No.","@@"&amp;F45)</t>
  </si>
  <si>
    <t>=NL(,"27 Item","3 Description","1 No.","@@"&amp;F46)</t>
  </si>
  <si>
    <t>=NL(,"27 Item","3 Description","1 No.","@@"&amp;F47)</t>
  </si>
  <si>
    <t>=NL(,"27 Item","3 Description","1 No.","@@"&amp;F48)</t>
  </si>
  <si>
    <t>=NL(,"27 Item","3 Description","1 No.","@@"&amp;F49)</t>
  </si>
  <si>
    <t>=NL(,"27 Item","3 Description","1 No.","@@"&amp;F50)</t>
  </si>
  <si>
    <t>=NL(,"27 Item","3 Description","1 No.","@@"&amp;F51)</t>
  </si>
  <si>
    <t>=NL(,"27 Item","3 Description","1 No.","@@"&amp;F52)</t>
  </si>
  <si>
    <t>=NL(,"27 Item","3 Description","1 No.","@@"&amp;F53)</t>
  </si>
  <si>
    <t>=NL(,"27 Item","3 Description","1 No.","@@"&amp;F54)</t>
  </si>
  <si>
    <t>=NL(,"27 Item","3 Description","1 No.","@@"&amp;F55)</t>
  </si>
  <si>
    <t>=NL(,"27 Item","3 Description","1 No.","@@"&amp;F56)</t>
  </si>
  <si>
    <t>=NL(,"27 Item","3 Description","1 No.","@@"&amp;F57)</t>
  </si>
  <si>
    <t>=NL(,"27 Item","3 Description","1 No.","@@"&amp;F58)</t>
  </si>
  <si>
    <t>=NL(,"27 Item","3 Description","1 No.","@@"&amp;F59)</t>
  </si>
  <si>
    <t>=NL(,"27 Item","3 Description","1 No.","@@"&amp;F60)</t>
  </si>
  <si>
    <t>=-NL("Sum","32 Item Ledger Entry","12 Quantity","5 Source no.",$C23,"3 Posting Date",J$9,"4 Entry Type",$C$4,"2 Item No.","@@"&amp;$F23)</t>
  </si>
  <si>
    <t>=-NL("Sum","32 Item Ledger Entry","12 Quantity","5 Source no.",$C24,"3 Posting Date",J$9,"4 Entry Type",$C$4,"2 Item No.","@@"&amp;$F24)</t>
  </si>
  <si>
    <t>=-NL("Sum","32 Item Ledger Entry","12 Quantity","5 Source no.",$C25,"3 Posting Date",J$9,"4 Entry Type",$C$4,"2 Item No.","@@"&amp;$F25)</t>
  </si>
  <si>
    <t>=-NL("Sum","32 Item Ledger Entry","12 Quantity","5 Source no.",$C26,"3 Posting Date",J$9,"4 Entry Type",$C$4,"2 Item No.","@@"&amp;$F26)</t>
  </si>
  <si>
    <t>=-NL("Sum","32 Item Ledger Entry","12 Quantity","5 Source no.",$C27,"3 Posting Date",J$9,"4 Entry Type",$C$4,"2 Item No.","@@"&amp;$F27)</t>
  </si>
  <si>
    <t>=-NL("Sum","32 Item Ledger Entry","12 Quantity","5 Source no.",$C28,"3 Posting Date",J$9,"4 Entry Type",$C$4,"2 Item No.","@@"&amp;$F28)</t>
  </si>
  <si>
    <t>=-NL("Sum","32 Item Ledger Entry","12 Quantity","5 Source no.",$C29,"3 Posting Date",J$9,"4 Entry Type",$C$4,"2 Item No.","@@"&amp;$F29)</t>
  </si>
  <si>
    <t>=-NL("Sum","32 Item Ledger Entry","12 Quantity","5 Source no.",$C30,"3 Posting Date",J$9,"4 Entry Type",$C$4,"2 Item No.","@@"&amp;$F30)</t>
  </si>
  <si>
    <t>=-NL("Sum","32 Item Ledger Entry","12 Quantity","5 Source no.",$C31,"3 Posting Date",J$9,"4 Entry Type",$C$4,"2 Item No.","@@"&amp;$F31)</t>
  </si>
  <si>
    <t>=-NL("Sum","32 Item Ledger Entry","12 Quantity","5 Source no.",$C32,"3 Posting Date",J$9,"4 Entry Type",$C$4,"2 Item No.","@@"&amp;$F32)</t>
  </si>
  <si>
    <t>=-NL("Sum","32 Item Ledger Entry","12 Quantity","5 Source no.",$C33,"3 Posting Date",J$9,"4 Entry Type",$C$4,"2 Item No.","@@"&amp;$F33)</t>
  </si>
  <si>
    <t>=-NL("Sum","32 Item Ledger Entry","12 Quantity","5 Source no.",$C34,"3 Posting Date",J$9,"4 Entry Type",$C$4,"2 Item No.","@@"&amp;$F34)</t>
  </si>
  <si>
    <t>=-NL("Sum","32 Item Ledger Entry","12 Quantity","5 Source no.",$C35,"3 Posting Date",J$9,"4 Entry Type",$C$4,"2 Item No.","@@"&amp;$F35)</t>
  </si>
  <si>
    <t>=-NL("Sum","32 Item Ledger Entry","12 Quantity","5 Source no.",$C36,"3 Posting Date",J$9,"4 Entry Type",$C$4,"2 Item No.","@@"&amp;$F36)</t>
  </si>
  <si>
    <t>=-NL("Sum","32 Item Ledger Entry","12 Quantity","5 Source no.",$C37,"3 Posting Date",J$9,"4 Entry Type",$C$4,"2 Item No.","@@"&amp;$F37)</t>
  </si>
  <si>
    <t>=-NL("Sum","32 Item Ledger Entry","12 Quantity","5 Source no.",$C38,"3 Posting Date",J$9,"4 Entry Type",$C$4,"2 Item No.","@@"&amp;$F38)</t>
  </si>
  <si>
    <t>=-NL("Sum","32 Item Ledger Entry","12 Quantity","5 Source no.",$C39,"3 Posting Date",J$9,"4 Entry Type",$C$4,"2 Item No.","@@"&amp;$F39)</t>
  </si>
  <si>
    <t>=-NL("Sum","32 Item Ledger Entry","12 Quantity","5 Source no.",$C40,"3 Posting Date",J$9,"4 Entry Type",$C$4,"2 Item No.","@@"&amp;$F40)</t>
  </si>
  <si>
    <t>=-NL("Sum","32 Item Ledger Entry","12 Quantity","5 Source no.",$C41,"3 Posting Date",J$9,"4 Entry Type",$C$4,"2 Item No.","@@"&amp;$F41)</t>
  </si>
  <si>
    <t>=-NL("Sum","32 Item Ledger Entry","12 Quantity","5 Source no.",$C42,"3 Posting Date",J$9,"4 Entry Type",$C$4,"2 Item No.","@@"&amp;$F42)</t>
  </si>
  <si>
    <t>=-NL("Sum","32 Item Ledger Entry","12 Quantity","5 Source no.",$C43,"3 Posting Date",J$9,"4 Entry Type",$C$4,"2 Item No.","@@"&amp;$F43)</t>
  </si>
  <si>
    <t>=-NL("Sum","32 Item Ledger Entry","12 Quantity","5 Source no.",$C44,"3 Posting Date",J$9,"4 Entry Type",$C$4,"2 Item No.","@@"&amp;$F44)</t>
  </si>
  <si>
    <t>=-NL("Sum","32 Item Ledger Entry","12 Quantity","5 Source no.",$C45,"3 Posting Date",J$9,"4 Entry Type",$C$4,"2 Item No.","@@"&amp;$F45)</t>
  </si>
  <si>
    <t>=-NL("Sum","32 Item Ledger Entry","12 Quantity","5 Source no.",$C46,"3 Posting Date",J$9,"4 Entry Type",$C$4,"2 Item No.","@@"&amp;$F46)</t>
  </si>
  <si>
    <t>=-NL("Sum","32 Item Ledger Entry","12 Quantity","5 Source no.",$C47,"3 Posting Date",J$9,"4 Entry Type",$C$4,"2 Item No.","@@"&amp;$F47)</t>
  </si>
  <si>
    <t>=-NL("Sum","32 Item Ledger Entry","12 Quantity","5 Source no.",$C48,"3 Posting Date",J$9,"4 Entry Type",$C$4,"2 Item No.","@@"&amp;$F48)</t>
  </si>
  <si>
    <t>=-NL("Sum","32 Item Ledger Entry","12 Quantity","5 Source no.",$C49,"3 Posting Date",J$9,"4 Entry Type",$C$4,"2 Item No.","@@"&amp;$F49)</t>
  </si>
  <si>
    <t>=-NL("Sum","32 Item Ledger Entry","12 Quantity","5 Source no.",$C50,"3 Posting Date",J$9,"4 Entry Type",$C$4,"2 Item No.","@@"&amp;$F50)</t>
  </si>
  <si>
    <t>=-NL("Sum","32 Item Ledger Entry","12 Quantity","5 Source no.",$C51,"3 Posting Date",J$9,"4 Entry Type",$C$4,"2 Item No.","@@"&amp;$F51)</t>
  </si>
  <si>
    <t>=-NL("Sum","32 Item Ledger Entry","12 Quantity","5 Source no.",$C52,"3 Posting Date",J$9,"4 Entry Type",$C$4,"2 Item No.","@@"&amp;$F52)</t>
  </si>
  <si>
    <t>=-NL("Sum","32 Item Ledger Entry","12 Quantity","5 Source no.",$C53,"3 Posting Date",J$9,"4 Entry Type",$C$4,"2 Item No.","@@"&amp;$F53)</t>
  </si>
  <si>
    <t>=-NL("Sum","32 Item Ledger Entry","12 Quantity","5 Source no.",$C54,"3 Posting Date",J$9,"4 Entry Type",$C$4,"2 Item No.","@@"&amp;$F54)</t>
  </si>
  <si>
    <t>=-NL("Sum","32 Item Ledger Entry","12 Quantity","5 Source no.",$C55,"3 Posting Date",J$9,"4 Entry Type",$C$4,"2 Item No.","@@"&amp;$F55)</t>
  </si>
  <si>
    <t>=-NL("Sum","32 Item Ledger Entry","12 Quantity","5 Source no.",$C56,"3 Posting Date",J$9,"4 Entry Type",$C$4,"2 Item No.","@@"&amp;$F56)</t>
  </si>
  <si>
    <t>=-NL("Sum","32 Item Ledger Entry","12 Quantity","5 Source no.",$C57,"3 Posting Date",J$9,"4 Entry Type",$C$4,"2 Item No.","@@"&amp;$F57)</t>
  </si>
  <si>
    <t>=-NL("Sum","32 Item Ledger Entry","12 Quantity","5 Source no.",$C58,"3 Posting Date",J$9,"4 Entry Type",$C$4,"2 Item No.","@@"&amp;$F58)</t>
  </si>
  <si>
    <t>=-NL("Sum","32 Item Ledger Entry","12 Quantity","5 Source no.",$C59,"3 Posting Date",J$9,"4 Entry Type",$C$4,"2 Item No.","@@"&amp;$F59)</t>
  </si>
  <si>
    <t>=-NL("Sum","32 Item Ledger Entry","12 Quantity","5 Source no.",$C60,"3 Posting Date",J$9,"4 Entry Type",$C$4,"2 Item No.","@@"&amp;$F60)</t>
  </si>
  <si>
    <t>=-NL("Sum","32 Item Ledger Entry","12 Quantity","5 Source no.",$C23,"3 Posting Date",O$9,"4 Entry Type",$C$4,"2 Item No.","@@"&amp;$F23)</t>
  </si>
  <si>
    <t>=-NL("Sum","32 Item Ledger Entry","12 Quantity","5 Source no.",$C24,"3 Posting Date",O$9,"4 Entry Type",$C$4,"2 Item No.","@@"&amp;$F24)</t>
  </si>
  <si>
    <t>=-NL("Sum","32 Item Ledger Entry","12 Quantity","5 Source no.",$C25,"3 Posting Date",O$9,"4 Entry Type",$C$4,"2 Item No.","@@"&amp;$F25)</t>
  </si>
  <si>
    <t>=-NL("Sum","32 Item Ledger Entry","12 Quantity","5 Source no.",$C26,"3 Posting Date",O$9,"4 Entry Type",$C$4,"2 Item No.","@@"&amp;$F26)</t>
  </si>
  <si>
    <t>=-NL("Sum","32 Item Ledger Entry","12 Quantity","5 Source no.",$C27,"3 Posting Date",O$9,"4 Entry Type",$C$4,"2 Item No.","@@"&amp;$F27)</t>
  </si>
  <si>
    <t>=-NL("Sum","32 Item Ledger Entry","12 Quantity","5 Source no.",$C28,"3 Posting Date",O$9,"4 Entry Type",$C$4,"2 Item No.","@@"&amp;$F28)</t>
  </si>
  <si>
    <t>=-NL("Sum","32 Item Ledger Entry","12 Quantity","5 Source no.",$C29,"3 Posting Date",O$9,"4 Entry Type",$C$4,"2 Item No.","@@"&amp;$F29)</t>
  </si>
  <si>
    <t>=-NL("Sum","32 Item Ledger Entry","12 Quantity","5 Source no.",$C30,"3 Posting Date",O$9,"4 Entry Type",$C$4,"2 Item No.","@@"&amp;$F30)</t>
  </si>
  <si>
    <t>=-NL("Sum","32 Item Ledger Entry","12 Quantity","5 Source no.",$C31,"3 Posting Date",O$9,"4 Entry Type",$C$4,"2 Item No.","@@"&amp;$F31)</t>
  </si>
  <si>
    <t>=-NL("Sum","32 Item Ledger Entry","12 Quantity","5 Source no.",$C32,"3 Posting Date",O$9,"4 Entry Type",$C$4,"2 Item No.","@@"&amp;$F32)</t>
  </si>
  <si>
    <t>=-NL("Sum","32 Item Ledger Entry","12 Quantity","5 Source no.",$C33,"3 Posting Date",O$9,"4 Entry Type",$C$4,"2 Item No.","@@"&amp;$F33)</t>
  </si>
  <si>
    <t>=-NL("Sum","32 Item Ledger Entry","12 Quantity","5 Source no.",$C34,"3 Posting Date",O$9,"4 Entry Type",$C$4,"2 Item No.","@@"&amp;$F34)</t>
  </si>
  <si>
    <t>=-NL("Sum","32 Item Ledger Entry","12 Quantity","5 Source no.",$C35,"3 Posting Date",O$9,"4 Entry Type",$C$4,"2 Item No.","@@"&amp;$F35)</t>
  </si>
  <si>
    <t>=-NL("Sum","32 Item Ledger Entry","12 Quantity","5 Source no.",$C36,"3 Posting Date",O$9,"4 Entry Type",$C$4,"2 Item No.","@@"&amp;$F36)</t>
  </si>
  <si>
    <t>=-NL("Sum","32 Item Ledger Entry","12 Quantity","5 Source no.",$C37,"3 Posting Date",O$9,"4 Entry Type",$C$4,"2 Item No.","@@"&amp;$F37)</t>
  </si>
  <si>
    <t>=-NL("Sum","32 Item Ledger Entry","12 Quantity","5 Source no.",$C38,"3 Posting Date",O$9,"4 Entry Type",$C$4,"2 Item No.","@@"&amp;$F38)</t>
  </si>
  <si>
    <t>=-NL("Sum","32 Item Ledger Entry","12 Quantity","5 Source no.",$C39,"3 Posting Date",O$9,"4 Entry Type",$C$4,"2 Item No.","@@"&amp;$F39)</t>
  </si>
  <si>
    <t>=-NL("Sum","32 Item Ledger Entry","12 Quantity","5 Source no.",$C40,"3 Posting Date",O$9,"4 Entry Type",$C$4,"2 Item No.","@@"&amp;$F40)</t>
  </si>
  <si>
    <t>=-NL("Sum","32 Item Ledger Entry","12 Quantity","5 Source no.",$C41,"3 Posting Date",O$9,"4 Entry Type",$C$4,"2 Item No.","@@"&amp;$F41)</t>
  </si>
  <si>
    <t>=-NL("Sum","32 Item Ledger Entry","12 Quantity","5 Source no.",$C42,"3 Posting Date",O$9,"4 Entry Type",$C$4,"2 Item No.","@@"&amp;$F42)</t>
  </si>
  <si>
    <t>=-NL("Sum","32 Item Ledger Entry","12 Quantity","5 Source no.",$C43,"3 Posting Date",O$9,"4 Entry Type",$C$4,"2 Item No.","@@"&amp;$F43)</t>
  </si>
  <si>
    <t>=-NL("Sum","32 Item Ledger Entry","12 Quantity","5 Source no.",$C44,"3 Posting Date",O$9,"4 Entry Type",$C$4,"2 Item No.","@@"&amp;$F44)</t>
  </si>
  <si>
    <t>=-NL("Sum","32 Item Ledger Entry","12 Quantity","5 Source no.",$C45,"3 Posting Date",O$9,"4 Entry Type",$C$4,"2 Item No.","@@"&amp;$F45)</t>
  </si>
  <si>
    <t>=-NL("Sum","32 Item Ledger Entry","12 Quantity","5 Source no.",$C46,"3 Posting Date",O$9,"4 Entry Type",$C$4,"2 Item No.","@@"&amp;$F46)</t>
  </si>
  <si>
    <t>=-NL("Sum","32 Item Ledger Entry","12 Quantity","5 Source no.",$C47,"3 Posting Date",O$9,"4 Entry Type",$C$4,"2 Item No.","@@"&amp;$F47)</t>
  </si>
  <si>
    <t>=-NL("Sum","32 Item Ledger Entry","12 Quantity","5 Source no.",$C48,"3 Posting Date",O$9,"4 Entry Type",$C$4,"2 Item No.","@@"&amp;$F48)</t>
  </si>
  <si>
    <t>=-NL("Sum","32 Item Ledger Entry","12 Quantity","5 Source no.",$C49,"3 Posting Date",O$9,"4 Entry Type",$C$4,"2 Item No.","@@"&amp;$F49)</t>
  </si>
  <si>
    <t>=-NL("Sum","32 Item Ledger Entry","12 Quantity","5 Source no.",$C50,"3 Posting Date",O$9,"4 Entry Type",$C$4,"2 Item No.","@@"&amp;$F50)</t>
  </si>
  <si>
    <t>=-NL("Sum","32 Item Ledger Entry","12 Quantity","5 Source no.",$C51,"3 Posting Date",O$9,"4 Entry Type",$C$4,"2 Item No.","@@"&amp;$F51)</t>
  </si>
  <si>
    <t>=-NL("Sum","32 Item Ledger Entry","12 Quantity","5 Source no.",$C52,"3 Posting Date",O$9,"4 Entry Type",$C$4,"2 Item No.","@@"&amp;$F52)</t>
  </si>
  <si>
    <t>=-NL("Sum","32 Item Ledger Entry","12 Quantity","5 Source no.",$C53,"3 Posting Date",O$9,"4 Entry Type",$C$4,"2 Item No.","@@"&amp;$F53)</t>
  </si>
  <si>
    <t>=-NL("Sum","32 Item Ledger Entry","12 Quantity","5 Source no.",$C54,"3 Posting Date",O$9,"4 Entry Type",$C$4,"2 Item No.","@@"&amp;$F54)</t>
  </si>
  <si>
    <t>=-NL("Sum","32 Item Ledger Entry","12 Quantity","5 Source no.",$C55,"3 Posting Date",O$9,"4 Entry Type",$C$4,"2 Item No.","@@"&amp;$F55)</t>
  </si>
  <si>
    <t>=-NL("Sum","32 Item Ledger Entry","12 Quantity","5 Source no.",$C56,"3 Posting Date",O$9,"4 Entry Type",$C$4,"2 Item No.","@@"&amp;$F56)</t>
  </si>
  <si>
    <t>=-NL("Sum","32 Item Ledger Entry","12 Quantity","5 Source no.",$C57,"3 Posting Date",O$9,"4 Entry Type",$C$4,"2 Item No.","@@"&amp;$F57)</t>
  </si>
  <si>
    <t>=-NL("Sum","32 Item Ledger Entry","12 Quantity","5 Source no.",$C58,"3 Posting Date",O$9,"4 Entry Type",$C$4,"2 Item No.","@@"&amp;$F58)</t>
  </si>
  <si>
    <t>=-NL("Sum","32 Item Ledger Entry","12 Quantity","5 Source no.",$C59,"3 Posting Date",O$9,"4 Entry Type",$C$4,"2 Item No.","@@"&amp;$F59)</t>
  </si>
  <si>
    <t>=-NL("Sum","32 Item Ledger Entry","12 Quantity","5 Source no.",$C60,"3 Posting Date",O$9,"4 Entry Type",$C$4,"2 Item No.","@@"&amp;$F60)</t>
  </si>
  <si>
    <t>=-NL("Sum","32 Item Ledger Entry","12 Quantity","5 Source no.",$C22,"3 Posting Date",U$9,"4 Entry Type",$C$4,"2 Item No.","@@"&amp;$F22)</t>
  </si>
  <si>
    <t>=-NL("Sum","32 Item Ledger Entry","12 Quantity","5 Source no.",$C23,"3 Posting Date",U$9,"4 Entry Type",$C$4,"2 Item No.","@@"&amp;$F23)</t>
  </si>
  <si>
    <t>=-NL("Sum","32 Item Ledger Entry","12 Quantity","5 Source no.",$C24,"3 Posting Date",U$9,"4 Entry Type",$C$4,"2 Item No.","@@"&amp;$F24)</t>
  </si>
  <si>
    <t>=-NL("Sum","32 Item Ledger Entry","12 Quantity","5 Source no.",$C25,"3 Posting Date",U$9,"4 Entry Type",$C$4,"2 Item No.","@@"&amp;$F25)</t>
  </si>
  <si>
    <t>=-NL("Sum","32 Item Ledger Entry","12 Quantity","5 Source no.",$C26,"3 Posting Date",U$9,"4 Entry Type",$C$4,"2 Item No.","@@"&amp;$F26)</t>
  </si>
  <si>
    <t>=-NL("Sum","32 Item Ledger Entry","12 Quantity","5 Source no.",$C27,"3 Posting Date",U$9,"4 Entry Type",$C$4,"2 Item No.","@@"&amp;$F27)</t>
  </si>
  <si>
    <t>=-NL("Sum","32 Item Ledger Entry","12 Quantity","5 Source no.",$C28,"3 Posting Date",U$9,"4 Entry Type",$C$4,"2 Item No.","@@"&amp;$F28)</t>
  </si>
  <si>
    <t>=-NL("Sum","32 Item Ledger Entry","12 Quantity","5 Source no.",$C29,"3 Posting Date",U$9,"4 Entry Type",$C$4,"2 Item No.","@@"&amp;$F29)</t>
  </si>
  <si>
    <t>=-NL("Sum","32 Item Ledger Entry","12 Quantity","5 Source no.",$C30,"3 Posting Date",U$9,"4 Entry Type",$C$4,"2 Item No.","@@"&amp;$F30)</t>
  </si>
  <si>
    <t>=-NL("Sum","32 Item Ledger Entry","12 Quantity","5 Source no.",$C31,"3 Posting Date",U$9,"4 Entry Type",$C$4,"2 Item No.","@@"&amp;$F31)</t>
  </si>
  <si>
    <t>=-NL("Sum","32 Item Ledger Entry","12 Quantity","5 Source no.",$C32,"3 Posting Date",U$9,"4 Entry Type",$C$4,"2 Item No.","@@"&amp;$F32)</t>
  </si>
  <si>
    <t>=-NL("Sum","32 Item Ledger Entry","12 Quantity","5 Source no.",$C33,"3 Posting Date",U$9,"4 Entry Type",$C$4,"2 Item No.","@@"&amp;$F33)</t>
  </si>
  <si>
    <t>=-NL("Sum","32 Item Ledger Entry","12 Quantity","5 Source no.",$C34,"3 Posting Date",U$9,"4 Entry Type",$C$4,"2 Item No.","@@"&amp;$F34)</t>
  </si>
  <si>
    <t>=-NL("Sum","32 Item Ledger Entry","12 Quantity","5 Source no.",$C35,"3 Posting Date",U$9,"4 Entry Type",$C$4,"2 Item No.","@@"&amp;$F35)</t>
  </si>
  <si>
    <t>=-NL("Sum","32 Item Ledger Entry","12 Quantity","5 Source no.",$C36,"3 Posting Date",U$9,"4 Entry Type",$C$4,"2 Item No.","@@"&amp;$F36)</t>
  </si>
  <si>
    <t>=-NL("Sum","32 Item Ledger Entry","12 Quantity","5 Source no.",$C37,"3 Posting Date",U$9,"4 Entry Type",$C$4,"2 Item No.","@@"&amp;$F37)</t>
  </si>
  <si>
    <t>=-NL("Sum","32 Item Ledger Entry","12 Quantity","5 Source no.",$C38,"3 Posting Date",U$9,"4 Entry Type",$C$4,"2 Item No.","@@"&amp;$F38)</t>
  </si>
  <si>
    <t>=-NL("Sum","32 Item Ledger Entry","12 Quantity","5 Source no.",$C39,"3 Posting Date",U$9,"4 Entry Type",$C$4,"2 Item No.","@@"&amp;$F39)</t>
  </si>
  <si>
    <t>=-NL("Sum","32 Item Ledger Entry","12 Quantity","5 Source no.",$C40,"3 Posting Date",U$9,"4 Entry Type",$C$4,"2 Item No.","@@"&amp;$F40)</t>
  </si>
  <si>
    <t>=-NL("Sum","32 Item Ledger Entry","12 Quantity","5 Source no.",$C41,"3 Posting Date",U$9,"4 Entry Type",$C$4,"2 Item No.","@@"&amp;$F41)</t>
  </si>
  <si>
    <t>=-NL("Sum","32 Item Ledger Entry","12 Quantity","5 Source no.",$C42,"3 Posting Date",U$9,"4 Entry Type",$C$4,"2 Item No.","@@"&amp;$F42)</t>
  </si>
  <si>
    <t>=-NL("Sum","32 Item Ledger Entry","12 Quantity","5 Source no.",$C43,"3 Posting Date",U$9,"4 Entry Type",$C$4,"2 Item No.","@@"&amp;$F43)</t>
  </si>
  <si>
    <t>=-NL("Sum","32 Item Ledger Entry","12 Quantity","5 Source no.",$C44,"3 Posting Date",U$9,"4 Entry Type",$C$4,"2 Item No.","@@"&amp;$F44)</t>
  </si>
  <si>
    <t>=-NL("Sum","32 Item Ledger Entry","12 Quantity","5 Source no.",$C45,"3 Posting Date",U$9,"4 Entry Type",$C$4,"2 Item No.","@@"&amp;$F45)</t>
  </si>
  <si>
    <t>=-NL("Sum","32 Item Ledger Entry","12 Quantity","5 Source no.",$C46,"3 Posting Date",U$9,"4 Entry Type",$C$4,"2 Item No.","@@"&amp;$F46)</t>
  </si>
  <si>
    <t>=-NL("Sum","32 Item Ledger Entry","12 Quantity","5 Source no.",$C47,"3 Posting Date",U$9,"4 Entry Type",$C$4,"2 Item No.","@@"&amp;$F47)</t>
  </si>
  <si>
    <t>=-NL("Sum","32 Item Ledger Entry","12 Quantity","5 Source no.",$C48,"3 Posting Date",U$9,"4 Entry Type",$C$4,"2 Item No.","@@"&amp;$F48)</t>
  </si>
  <si>
    <t>=-NL("Sum","32 Item Ledger Entry","12 Quantity","5 Source no.",$C49,"3 Posting Date",U$9,"4 Entry Type",$C$4,"2 Item No.","@@"&amp;$F49)</t>
  </si>
  <si>
    <t>=-NL("Sum","32 Item Ledger Entry","12 Quantity","5 Source no.",$C50,"3 Posting Date",U$9,"4 Entry Type",$C$4,"2 Item No.","@@"&amp;$F50)</t>
  </si>
  <si>
    <t>=-NL("Sum","32 Item Ledger Entry","12 Quantity","5 Source no.",$C51,"3 Posting Date",U$9,"4 Entry Type",$C$4,"2 Item No.","@@"&amp;$F51)</t>
  </si>
  <si>
    <t>=-NL("Sum","32 Item Ledger Entry","12 Quantity","5 Source no.",$C52,"3 Posting Date",U$9,"4 Entry Type",$C$4,"2 Item No.","@@"&amp;$F52)</t>
  </si>
  <si>
    <t>=-NL("Sum","32 Item Ledger Entry","12 Quantity","5 Source no.",$C53,"3 Posting Date",U$9,"4 Entry Type",$C$4,"2 Item No.","@@"&amp;$F53)</t>
  </si>
  <si>
    <t>=-NL("Sum","32 Item Ledger Entry","12 Quantity","5 Source no.",$C54,"3 Posting Date",U$9,"4 Entry Type",$C$4,"2 Item No.","@@"&amp;$F54)</t>
  </si>
  <si>
    <t>=-NL("Sum","32 Item Ledger Entry","12 Quantity","5 Source no.",$C55,"3 Posting Date",U$9,"4 Entry Type",$C$4,"2 Item No.","@@"&amp;$F55)</t>
  </si>
  <si>
    <t>=-NL("Sum","32 Item Ledger Entry","12 Quantity","5 Source no.",$C56,"3 Posting Date",U$9,"4 Entry Type",$C$4,"2 Item No.","@@"&amp;$F56)</t>
  </si>
  <si>
    <t>=-NL("Sum","32 Item Ledger Entry","12 Quantity","5 Source no.",$C57,"3 Posting Date",U$9,"4 Entry Type",$C$4,"2 Item No.","@@"&amp;$F57)</t>
  </si>
  <si>
    <t>=-NL("Sum","32 Item Ledger Entry","12 Quantity","5 Source no.",$C58,"3 Posting Date",U$9,"4 Entry Type",$C$4,"2 Item No.","@@"&amp;$F58)</t>
  </si>
  <si>
    <t>=-NL("Sum","32 Item Ledger Entry","12 Quantity","5 Source no.",$C59,"3 Posting Date",U$9,"4 Entry Type",$C$4,"2 Item No.","@@"&amp;$F59)</t>
  </si>
  <si>
    <t>=-NL("Sum","32 Item Ledger Entry","12 Quantity","5 Source no.",$C60,"3 Posting Date",U$9,"4 Entry Type",$C$4,"2 Item No.","@@"&amp;$F60)</t>
  </si>
  <si>
    <t>=-NL("Sum","32 Item Ledger Entry","12 Quantity","5 Source no.",$C22,"3 Posting Date",Z$9,"4 Entry Type",$C$4,"2 Item No.","@@"&amp;$F22)</t>
  </si>
  <si>
    <t>=-NL("Sum","32 Item Ledger Entry","12 Quantity","5 Source no.",$C23,"3 Posting Date",Z$9,"4 Entry Type",$C$4,"2 Item No.","@@"&amp;$F23)</t>
  </si>
  <si>
    <t>=-NL("Sum","32 Item Ledger Entry","12 Quantity","5 Source no.",$C24,"3 Posting Date",Z$9,"4 Entry Type",$C$4,"2 Item No.","@@"&amp;$F24)</t>
  </si>
  <si>
    <t>=-NL("Sum","32 Item Ledger Entry","12 Quantity","5 Source no.",$C25,"3 Posting Date",Z$9,"4 Entry Type",$C$4,"2 Item No.","@@"&amp;$F25)</t>
  </si>
  <si>
    <t>=-NL("Sum","32 Item Ledger Entry","12 Quantity","5 Source no.",$C26,"3 Posting Date",Z$9,"4 Entry Type",$C$4,"2 Item No.","@@"&amp;$F26)</t>
  </si>
  <si>
    <t>=-NL("Sum","32 Item Ledger Entry","12 Quantity","5 Source no.",$C27,"3 Posting Date",Z$9,"4 Entry Type",$C$4,"2 Item No.","@@"&amp;$F27)</t>
  </si>
  <si>
    <t>=-NL("Sum","32 Item Ledger Entry","12 Quantity","5 Source no.",$C28,"3 Posting Date",Z$9,"4 Entry Type",$C$4,"2 Item No.","@@"&amp;$F28)</t>
  </si>
  <si>
    <t>=-NL("Sum","32 Item Ledger Entry","12 Quantity","5 Source no.",$C29,"3 Posting Date",Z$9,"4 Entry Type",$C$4,"2 Item No.","@@"&amp;$F29)</t>
  </si>
  <si>
    <t>=-NL("Sum","32 Item Ledger Entry","12 Quantity","5 Source no.",$C30,"3 Posting Date",Z$9,"4 Entry Type",$C$4,"2 Item No.","@@"&amp;$F30)</t>
  </si>
  <si>
    <t>=-NL("Sum","32 Item Ledger Entry","12 Quantity","5 Source no.",$C31,"3 Posting Date",Z$9,"4 Entry Type",$C$4,"2 Item No.","@@"&amp;$F31)</t>
  </si>
  <si>
    <t>=-NL("Sum","32 Item Ledger Entry","12 Quantity","5 Source no.",$C32,"3 Posting Date",Z$9,"4 Entry Type",$C$4,"2 Item No.","@@"&amp;$F32)</t>
  </si>
  <si>
    <t>=-NL("Sum","32 Item Ledger Entry","12 Quantity","5 Source no.",$C33,"3 Posting Date",Z$9,"4 Entry Type",$C$4,"2 Item No.","@@"&amp;$F33)</t>
  </si>
  <si>
    <t>=-NL("Sum","32 Item Ledger Entry","12 Quantity","5 Source no.",$C34,"3 Posting Date",Z$9,"4 Entry Type",$C$4,"2 Item No.","@@"&amp;$F34)</t>
  </si>
  <si>
    <t>=-NL("Sum","32 Item Ledger Entry","12 Quantity","5 Source no.",$C35,"3 Posting Date",Z$9,"4 Entry Type",$C$4,"2 Item No.","@@"&amp;$F35)</t>
  </si>
  <si>
    <t>=-NL("Sum","32 Item Ledger Entry","12 Quantity","5 Source no.",$C36,"3 Posting Date",Z$9,"4 Entry Type",$C$4,"2 Item No.","@@"&amp;$F36)</t>
  </si>
  <si>
    <t>=-NL("Sum","32 Item Ledger Entry","12 Quantity","5 Source no.",$C37,"3 Posting Date",Z$9,"4 Entry Type",$C$4,"2 Item No.","@@"&amp;$F37)</t>
  </si>
  <si>
    <t>=-NL("Sum","32 Item Ledger Entry","12 Quantity","5 Source no.",$C38,"3 Posting Date",Z$9,"4 Entry Type",$C$4,"2 Item No.","@@"&amp;$F38)</t>
  </si>
  <si>
    <t>=-NL("Sum","32 Item Ledger Entry","12 Quantity","5 Source no.",$C39,"3 Posting Date",Z$9,"4 Entry Type",$C$4,"2 Item No.","@@"&amp;$F39)</t>
  </si>
  <si>
    <t>=-NL("Sum","32 Item Ledger Entry","12 Quantity","5 Source no.",$C40,"3 Posting Date",Z$9,"4 Entry Type",$C$4,"2 Item No.","@@"&amp;$F40)</t>
  </si>
  <si>
    <t>=-NL("Sum","32 Item Ledger Entry","12 Quantity","5 Source no.",$C41,"3 Posting Date",Z$9,"4 Entry Type",$C$4,"2 Item No.","@@"&amp;$F41)</t>
  </si>
  <si>
    <t>=-NL("Sum","32 Item Ledger Entry","12 Quantity","5 Source no.",$C42,"3 Posting Date",Z$9,"4 Entry Type",$C$4,"2 Item No.","@@"&amp;$F42)</t>
  </si>
  <si>
    <t>=-NL("Sum","32 Item Ledger Entry","12 Quantity","5 Source no.",$C43,"3 Posting Date",Z$9,"4 Entry Type",$C$4,"2 Item No.","@@"&amp;$F43)</t>
  </si>
  <si>
    <t>=-NL("Sum","32 Item Ledger Entry","12 Quantity","5 Source no.",$C44,"3 Posting Date",Z$9,"4 Entry Type",$C$4,"2 Item No.","@@"&amp;$F44)</t>
  </si>
  <si>
    <t>=-NL("Sum","32 Item Ledger Entry","12 Quantity","5 Source no.",$C45,"3 Posting Date",Z$9,"4 Entry Type",$C$4,"2 Item No.","@@"&amp;$F45)</t>
  </si>
  <si>
    <t>=-NL("Sum","32 Item Ledger Entry","12 Quantity","5 Source no.",$C46,"3 Posting Date",Z$9,"4 Entry Type",$C$4,"2 Item No.","@@"&amp;$F46)</t>
  </si>
  <si>
    <t>=-NL("Sum","32 Item Ledger Entry","12 Quantity","5 Source no.",$C47,"3 Posting Date",Z$9,"4 Entry Type",$C$4,"2 Item No.","@@"&amp;$F47)</t>
  </si>
  <si>
    <t>=-NL("Sum","32 Item Ledger Entry","12 Quantity","5 Source no.",$C48,"3 Posting Date",Z$9,"4 Entry Type",$C$4,"2 Item No.","@@"&amp;$F48)</t>
  </si>
  <si>
    <t>=-NL("Sum","32 Item Ledger Entry","12 Quantity","5 Source no.",$C49,"3 Posting Date",Z$9,"4 Entry Type",$C$4,"2 Item No.","@@"&amp;$F49)</t>
  </si>
  <si>
    <t>=-NL("Sum","32 Item Ledger Entry","12 Quantity","5 Source no.",$C50,"3 Posting Date",Z$9,"4 Entry Type",$C$4,"2 Item No.","@@"&amp;$F50)</t>
  </si>
  <si>
    <t>=-NL("Sum","32 Item Ledger Entry","12 Quantity","5 Source no.",$C51,"3 Posting Date",Z$9,"4 Entry Type",$C$4,"2 Item No.","@@"&amp;$F51)</t>
  </si>
  <si>
    <t>=-NL("Sum","32 Item Ledger Entry","12 Quantity","5 Source no.",$C52,"3 Posting Date",Z$9,"4 Entry Type",$C$4,"2 Item No.","@@"&amp;$F52)</t>
  </si>
  <si>
    <t>=-NL("Sum","32 Item Ledger Entry","12 Quantity","5 Source no.",$C53,"3 Posting Date",Z$9,"4 Entry Type",$C$4,"2 Item No.","@@"&amp;$F53)</t>
  </si>
  <si>
    <t>=-NL("Sum","32 Item Ledger Entry","12 Quantity","5 Source no.",$C54,"3 Posting Date",Z$9,"4 Entry Type",$C$4,"2 Item No.","@@"&amp;$F54)</t>
  </si>
  <si>
    <t>=-NL("Sum","32 Item Ledger Entry","12 Quantity","5 Source no.",$C55,"3 Posting Date",Z$9,"4 Entry Type",$C$4,"2 Item No.","@@"&amp;$F55)</t>
  </si>
  <si>
    <t>=-NL("Sum","32 Item Ledger Entry","12 Quantity","5 Source no.",$C56,"3 Posting Date",Z$9,"4 Entry Type",$C$4,"2 Item No.","@@"&amp;$F56)</t>
  </si>
  <si>
    <t>=-NL("Sum","32 Item Ledger Entry","12 Quantity","5 Source no.",$C57,"3 Posting Date",Z$9,"4 Entry Type",$C$4,"2 Item No.","@@"&amp;$F57)</t>
  </si>
  <si>
    <t>=-NL("Sum","32 Item Ledger Entry","12 Quantity","5 Source no.",$C58,"3 Posting Date",Z$9,"4 Entry Type",$C$4,"2 Item No.","@@"&amp;$F58)</t>
  </si>
  <si>
    <t>=-NL("Sum","32 Item Ledger Entry","12 Quantity","5 Source no.",$C59,"3 Posting Date",Z$9,"4 Entry Type",$C$4,"2 Item No.","@@"&amp;$F59)</t>
  </si>
  <si>
    <t>=-NL("Sum","32 Item Ledger Entry","12 Quantity","5 Source no.",$C60,"3 Posting Date",Z$9,"4 Entry Type",$C$4,"2 Item No.","@@"&amp;$F60)</t>
  </si>
  <si>
    <t>=NL(,"27 Item","3 Description","1 No.","@@"&amp;F3054)</t>
  </si>
  <si>
    <t>=NL(,"27 Item","3 Description","1 No.","@@"&amp;F3055)</t>
  </si>
  <si>
    <t>=NL(,"27 Item","3 Description","1 No.","@@"&amp;F3056)</t>
  </si>
  <si>
    <t>=NL(,"27 Item","3 Description","1 No.","@@"&amp;F3057)</t>
  </si>
  <si>
    <t>=NL(,"27 Item","3 Description","1 No.","@@"&amp;F3058)</t>
  </si>
  <si>
    <t>=-NL("Sum","32 Item Ledger Entry","12 Quantity","5 Source no.",$C3054,"3 Posting Date",J$9,"4 Entry Type",$C$4,"2 Item No.","@@"&amp;$F3054)</t>
  </si>
  <si>
    <t>=-NL("Sum","32 Item Ledger Entry","12 Quantity","5 Source no.",$C3055,"3 Posting Date",J$9,"4 Entry Type",$C$4,"2 Item No.","@@"&amp;$F3055)</t>
  </si>
  <si>
    <t>=-NL("Sum","32 Item Ledger Entry","12 Quantity","5 Source no.",$C3056,"3 Posting Date",J$9,"4 Entry Type",$C$4,"2 Item No.","@@"&amp;$F3056)</t>
  </si>
  <si>
    <t>=-NL("Sum","32 Item Ledger Entry","12 Quantity","5 Source no.",$C3057,"3 Posting Date",J$9,"4 Entry Type",$C$4,"2 Item No.","@@"&amp;$F3057)</t>
  </si>
  <si>
    <t>=-NL("Sum","32 Item Ledger Entry","12 Quantity","5 Source no.",$C3058,"3 Posting Date",J$9,"4 Entry Type",$C$4,"2 Item No.","@@"&amp;$F3058)</t>
  </si>
  <si>
    <t>=-NL("Sum","32 Item Ledger Entry","12 Quantity","5 Source no.",$C3054,"3 Posting Date",O$9,"4 Entry Type",$C$4,"2 Item No.","@@"&amp;$F3054)</t>
  </si>
  <si>
    <t>=-NL("Sum","32 Item Ledger Entry","12 Quantity","5 Source no.",$C3055,"3 Posting Date",O$9,"4 Entry Type",$C$4,"2 Item No.","@@"&amp;$F3055)</t>
  </si>
  <si>
    <t>=-NL("Sum","32 Item Ledger Entry","12 Quantity","5 Source no.",$C3056,"3 Posting Date",O$9,"4 Entry Type",$C$4,"2 Item No.","@@"&amp;$F3056)</t>
  </si>
  <si>
    <t>=-NL("Sum","32 Item Ledger Entry","12 Quantity","5 Source no.",$C3057,"3 Posting Date",O$9,"4 Entry Type",$C$4,"2 Item No.","@@"&amp;$F3057)</t>
  </si>
  <si>
    <t>=-NL("Sum","32 Item Ledger Entry","12 Quantity","5 Source no.",$C3058,"3 Posting Date",O$9,"4 Entry Type",$C$4,"2 Item No.","@@"&amp;$F3058)</t>
  </si>
  <si>
    <t>=-NL("Sum","32 Item Ledger Entry","12 Quantity","5 Source no.",$C3054,"3 Posting Date",U$9,"4 Entry Type",$C$4,"2 Item No.","@@"&amp;$F3054)</t>
  </si>
  <si>
    <t>=-NL("Sum","32 Item Ledger Entry","12 Quantity","5 Source no.",$C3055,"3 Posting Date",U$9,"4 Entry Type",$C$4,"2 Item No.","@@"&amp;$F3055)</t>
  </si>
  <si>
    <t>=-NL("Sum","32 Item Ledger Entry","12 Quantity","5 Source no.",$C3056,"3 Posting Date",U$9,"4 Entry Type",$C$4,"2 Item No.","@@"&amp;$F3056)</t>
  </si>
  <si>
    <t>=-NL("Sum","32 Item Ledger Entry","12 Quantity","5 Source no.",$C3057,"3 Posting Date",U$9,"4 Entry Type",$C$4,"2 Item No.","@@"&amp;$F3057)</t>
  </si>
  <si>
    <t>=-NL("Sum","32 Item Ledger Entry","12 Quantity","5 Source no.",$C3058,"3 Posting Date",U$9,"4 Entry Type",$C$4,"2 Item No.","@@"&amp;$F3058)</t>
  </si>
  <si>
    <t>=-NL("Sum","32 Item Ledger Entry","12 Quantity","5 Source no.",$C3054,"3 Posting Date",Z$9,"4 Entry Type",$C$4,"2 Item No.","@@"&amp;$F3054)</t>
  </si>
  <si>
    <t>=-NL("Sum","32 Item Ledger Entry","12 Quantity","5 Source no.",$C3055,"3 Posting Date",Z$9,"4 Entry Type",$C$4,"2 Item No.","@@"&amp;$F3055)</t>
  </si>
  <si>
    <t>=-NL("Sum","32 Item Ledger Entry","12 Quantity","5 Source no.",$C3056,"3 Posting Date",Z$9,"4 Entry Type",$C$4,"2 Item No.","@@"&amp;$F3056)</t>
  </si>
  <si>
    <t>=-NL("Sum","32 Item Ledger Entry","12 Quantity","5 Source no.",$C3057,"3 Posting Date",Z$9,"4 Entry Type",$C$4,"2 Item No.","@@"&amp;$F3057)</t>
  </si>
  <si>
    <t>=-NL("Sum","32 Item Ledger Entry","12 Quantity","5 Source no.",$C3058,"3 Posting Date",Z$9,"4 Entry Type",$C$4,"2 Item No.","@@"&amp;$F3058)</t>
  </si>
  <si>
    <t>=NL(,"27 Item","3 Description","1 No.","@@"&amp;F3004)</t>
  </si>
  <si>
    <t>=NL(,"27 Item","3 Description","1 No.","@@"&amp;F3005)</t>
  </si>
  <si>
    <t>=NL(,"27 Item","3 Description","1 No.","@@"&amp;F3006)</t>
  </si>
  <si>
    <t>=NL(,"27 Item","3 Description","1 No.","@@"&amp;F3007)</t>
  </si>
  <si>
    <t>=NL(,"27 Item","3 Description","1 No.","@@"&amp;F3008)</t>
  </si>
  <si>
    <t>=NL(,"27 Item","3 Description","1 No.","@@"&amp;F3009)</t>
  </si>
  <si>
    <t>=NL(,"27 Item","3 Description","1 No.","@@"&amp;F3010)</t>
  </si>
  <si>
    <t>=NL(,"27 Item","3 Description","1 No.","@@"&amp;F3011)</t>
  </si>
  <si>
    <t>=NL(,"27 Item","3 Description","1 No.","@@"&amp;F3012)</t>
  </si>
  <si>
    <t>=NL(,"27 Item","3 Description","1 No.","@@"&amp;F3013)</t>
  </si>
  <si>
    <t>=NL(,"27 Item","3 Description","1 No.","@@"&amp;F3014)</t>
  </si>
  <si>
    <t>=NL(,"27 Item","3 Description","1 No.","@@"&amp;F3015)</t>
  </si>
  <si>
    <t>=NL(,"27 Item","3 Description","1 No.","@@"&amp;F3016)</t>
  </si>
  <si>
    <t>=NL(,"27 Item","3 Description","1 No.","@@"&amp;F3017)</t>
  </si>
  <si>
    <t>=NL(,"27 Item","3 Description","1 No.","@@"&amp;F3018)</t>
  </si>
  <si>
    <t>=NL(,"27 Item","3 Description","1 No.","@@"&amp;F3019)</t>
  </si>
  <si>
    <t>=NL(,"27 Item","3 Description","1 No.","@@"&amp;F3020)</t>
  </si>
  <si>
    <t>=NL(,"27 Item","3 Description","1 No.","@@"&amp;F3021)</t>
  </si>
  <si>
    <t>=NL(,"27 Item","3 Description","1 No.","@@"&amp;F3022)</t>
  </si>
  <si>
    <t>=NL(,"27 Item","3 Description","1 No.","@@"&amp;F3023)</t>
  </si>
  <si>
    <t>=NL(,"27 Item","3 Description","1 No.","@@"&amp;F3024)</t>
  </si>
  <si>
    <t>=NL(,"27 Item","3 Description","1 No.","@@"&amp;F3025)</t>
  </si>
  <si>
    <t>=NL(,"27 Item","3 Description","1 No.","@@"&amp;F3026)</t>
  </si>
  <si>
    <t>=NL(,"27 Item","3 Description","1 No.","@@"&amp;F3027)</t>
  </si>
  <si>
    <t>=NL(,"27 Item","3 Description","1 No.","@@"&amp;F3028)</t>
  </si>
  <si>
    <t>=NL(,"27 Item","3 Description","1 No.","@@"&amp;F3029)</t>
  </si>
  <si>
    <t>=NL(,"27 Item","3 Description","1 No.","@@"&amp;F3030)</t>
  </si>
  <si>
    <t>=NL(,"27 Item","3 Description","1 No.","@@"&amp;F3031)</t>
  </si>
  <si>
    <t>=NL(,"27 Item","3 Description","1 No.","@@"&amp;F3032)</t>
  </si>
  <si>
    <t>=NL(,"27 Item","3 Description","1 No.","@@"&amp;F3033)</t>
  </si>
  <si>
    <t>=NL(,"27 Item","3 Description","1 No.","@@"&amp;F3034)</t>
  </si>
  <si>
    <t>=NL(,"27 Item","3 Description","1 No.","@@"&amp;F3035)</t>
  </si>
  <si>
    <t>=NL(,"27 Item","3 Description","1 No.","@@"&amp;F3036)</t>
  </si>
  <si>
    <t>=NL(,"27 Item","3 Description","1 No.","@@"&amp;F3037)</t>
  </si>
  <si>
    <t>=NL(,"27 Item","3 Description","1 No.","@@"&amp;F3038)</t>
  </si>
  <si>
    <t>=NL(,"27 Item","3 Description","1 No.","@@"&amp;F3039)</t>
  </si>
  <si>
    <t>=NL(,"27 Item","3 Description","1 No.","@@"&amp;F3040)</t>
  </si>
  <si>
    <t>=NL(,"27 Item","3 Description","1 No.","@@"&amp;F3041)</t>
  </si>
  <si>
    <t>=NL(,"27 Item","3 Description","1 No.","@@"&amp;F3042)</t>
  </si>
  <si>
    <t>=NL(,"27 Item","3 Description","1 No.","@@"&amp;F3043)</t>
  </si>
  <si>
    <t>=NL(,"27 Item","3 Description","1 No.","@@"&amp;F3044)</t>
  </si>
  <si>
    <t>=NL(,"27 Item","3 Description","1 No.","@@"&amp;F3045)</t>
  </si>
  <si>
    <t>=NL(,"27 Item","3 Description","1 No.","@@"&amp;F3046)</t>
  </si>
  <si>
    <t>=NL(,"27 Item","3 Description","1 No.","@@"&amp;F3047)</t>
  </si>
  <si>
    <t>=NL(,"27 Item","3 Description","1 No.","@@"&amp;F3048)</t>
  </si>
  <si>
    <t>=-NL("Sum","32 Item Ledger Entry","12 Quantity","5 Source no.",$C3004,"3 Posting Date",J$9,"4 Entry Type",$C$4,"2 Item No.","@@"&amp;$F3004)</t>
  </si>
  <si>
    <t>=-NL("Sum","32 Item Ledger Entry","12 Quantity","5 Source no.",$C3005,"3 Posting Date",J$9,"4 Entry Type",$C$4,"2 Item No.","@@"&amp;$F3005)</t>
  </si>
  <si>
    <t>=-NL("Sum","32 Item Ledger Entry","12 Quantity","5 Source no.",$C3006,"3 Posting Date",J$9,"4 Entry Type",$C$4,"2 Item No.","@@"&amp;$F3006)</t>
  </si>
  <si>
    <t>=-NL("Sum","32 Item Ledger Entry","12 Quantity","5 Source no.",$C3007,"3 Posting Date",J$9,"4 Entry Type",$C$4,"2 Item No.","@@"&amp;$F3007)</t>
  </si>
  <si>
    <t>=-NL("Sum","32 Item Ledger Entry","12 Quantity","5 Source no.",$C3008,"3 Posting Date",J$9,"4 Entry Type",$C$4,"2 Item No.","@@"&amp;$F3008)</t>
  </si>
  <si>
    <t>=-NL("Sum","32 Item Ledger Entry","12 Quantity","5 Source no.",$C3009,"3 Posting Date",J$9,"4 Entry Type",$C$4,"2 Item No.","@@"&amp;$F3009)</t>
  </si>
  <si>
    <t>=-NL("Sum","32 Item Ledger Entry","12 Quantity","5 Source no.",$C3010,"3 Posting Date",J$9,"4 Entry Type",$C$4,"2 Item No.","@@"&amp;$F3010)</t>
  </si>
  <si>
    <t>=-NL("Sum","32 Item Ledger Entry","12 Quantity","5 Source no.",$C3011,"3 Posting Date",J$9,"4 Entry Type",$C$4,"2 Item No.","@@"&amp;$F3011)</t>
  </si>
  <si>
    <t>=-NL("Sum","32 Item Ledger Entry","12 Quantity","5 Source no.",$C3012,"3 Posting Date",J$9,"4 Entry Type",$C$4,"2 Item No.","@@"&amp;$F3012)</t>
  </si>
  <si>
    <t>=-NL("Sum","32 Item Ledger Entry","12 Quantity","5 Source no.",$C3013,"3 Posting Date",J$9,"4 Entry Type",$C$4,"2 Item No.","@@"&amp;$F3013)</t>
  </si>
  <si>
    <t>=-NL("Sum","32 Item Ledger Entry","12 Quantity","5 Source no.",$C3014,"3 Posting Date",J$9,"4 Entry Type",$C$4,"2 Item No.","@@"&amp;$F3014)</t>
  </si>
  <si>
    <t>=-NL("Sum","32 Item Ledger Entry","12 Quantity","5 Source no.",$C3015,"3 Posting Date",J$9,"4 Entry Type",$C$4,"2 Item No.","@@"&amp;$F3015)</t>
  </si>
  <si>
    <t>=-NL("Sum","32 Item Ledger Entry","12 Quantity","5 Source no.",$C3016,"3 Posting Date",J$9,"4 Entry Type",$C$4,"2 Item No.","@@"&amp;$F3016)</t>
  </si>
  <si>
    <t>=-NL("Sum","32 Item Ledger Entry","12 Quantity","5 Source no.",$C3017,"3 Posting Date",J$9,"4 Entry Type",$C$4,"2 Item No.","@@"&amp;$F3017)</t>
  </si>
  <si>
    <t>=-NL("Sum","32 Item Ledger Entry","12 Quantity","5 Source no.",$C3018,"3 Posting Date",J$9,"4 Entry Type",$C$4,"2 Item No.","@@"&amp;$F3018)</t>
  </si>
  <si>
    <t>=-NL("Sum","32 Item Ledger Entry","12 Quantity","5 Source no.",$C3019,"3 Posting Date",J$9,"4 Entry Type",$C$4,"2 Item No.","@@"&amp;$F3019)</t>
  </si>
  <si>
    <t>=-NL("Sum","32 Item Ledger Entry","12 Quantity","5 Source no.",$C3020,"3 Posting Date",J$9,"4 Entry Type",$C$4,"2 Item No.","@@"&amp;$F3020)</t>
  </si>
  <si>
    <t>=-NL("Sum","32 Item Ledger Entry","12 Quantity","5 Source no.",$C3021,"3 Posting Date",J$9,"4 Entry Type",$C$4,"2 Item No.","@@"&amp;$F3021)</t>
  </si>
  <si>
    <t>=-NL("Sum","32 Item Ledger Entry","12 Quantity","5 Source no.",$C3022,"3 Posting Date",J$9,"4 Entry Type",$C$4,"2 Item No.","@@"&amp;$F3022)</t>
  </si>
  <si>
    <t>=-NL("Sum","32 Item Ledger Entry","12 Quantity","5 Source no.",$C3023,"3 Posting Date",J$9,"4 Entry Type",$C$4,"2 Item No.","@@"&amp;$F3023)</t>
  </si>
  <si>
    <t>=-NL("Sum","32 Item Ledger Entry","12 Quantity","5 Source no.",$C3024,"3 Posting Date",J$9,"4 Entry Type",$C$4,"2 Item No.","@@"&amp;$F3024)</t>
  </si>
  <si>
    <t>=-NL("Sum","32 Item Ledger Entry","12 Quantity","5 Source no.",$C3025,"3 Posting Date",J$9,"4 Entry Type",$C$4,"2 Item No.","@@"&amp;$F3025)</t>
  </si>
  <si>
    <t>=-NL("Sum","32 Item Ledger Entry","12 Quantity","5 Source no.",$C3026,"3 Posting Date",J$9,"4 Entry Type",$C$4,"2 Item No.","@@"&amp;$F3026)</t>
  </si>
  <si>
    <t>=-NL("Sum","32 Item Ledger Entry","12 Quantity","5 Source no.",$C3027,"3 Posting Date",J$9,"4 Entry Type",$C$4,"2 Item No.","@@"&amp;$F3027)</t>
  </si>
  <si>
    <t>=-NL("Sum","32 Item Ledger Entry","12 Quantity","5 Source no.",$C3028,"3 Posting Date",J$9,"4 Entry Type",$C$4,"2 Item No.","@@"&amp;$F3028)</t>
  </si>
  <si>
    <t>=-NL("Sum","32 Item Ledger Entry","12 Quantity","5 Source no.",$C3029,"3 Posting Date",J$9,"4 Entry Type",$C$4,"2 Item No.","@@"&amp;$F3029)</t>
  </si>
  <si>
    <t>=-NL("Sum","32 Item Ledger Entry","12 Quantity","5 Source no.",$C3030,"3 Posting Date",J$9,"4 Entry Type",$C$4,"2 Item No.","@@"&amp;$F3030)</t>
  </si>
  <si>
    <t>=-NL("Sum","32 Item Ledger Entry","12 Quantity","5 Source no.",$C3031,"3 Posting Date",J$9,"4 Entry Type",$C$4,"2 Item No.","@@"&amp;$F3031)</t>
  </si>
  <si>
    <t>=-NL("Sum","32 Item Ledger Entry","12 Quantity","5 Source no.",$C3032,"3 Posting Date",J$9,"4 Entry Type",$C$4,"2 Item No.","@@"&amp;$F3032)</t>
  </si>
  <si>
    <t>=-NL("Sum","32 Item Ledger Entry","12 Quantity","5 Source no.",$C3033,"3 Posting Date",J$9,"4 Entry Type",$C$4,"2 Item No.","@@"&amp;$F3033)</t>
  </si>
  <si>
    <t>=-NL("Sum","32 Item Ledger Entry","12 Quantity","5 Source no.",$C3034,"3 Posting Date",J$9,"4 Entry Type",$C$4,"2 Item No.","@@"&amp;$F3034)</t>
  </si>
  <si>
    <t>=-NL("Sum","32 Item Ledger Entry","12 Quantity","5 Source no.",$C3035,"3 Posting Date",J$9,"4 Entry Type",$C$4,"2 Item No.","@@"&amp;$F3035)</t>
  </si>
  <si>
    <t>=-NL("Sum","32 Item Ledger Entry","12 Quantity","5 Source no.",$C3036,"3 Posting Date",J$9,"4 Entry Type",$C$4,"2 Item No.","@@"&amp;$F3036)</t>
  </si>
  <si>
    <t>=-NL("Sum","32 Item Ledger Entry","12 Quantity","5 Source no.",$C3037,"3 Posting Date",J$9,"4 Entry Type",$C$4,"2 Item No.","@@"&amp;$F3037)</t>
  </si>
  <si>
    <t>=-NL("Sum","32 Item Ledger Entry","12 Quantity","5 Source no.",$C3038,"3 Posting Date",J$9,"4 Entry Type",$C$4,"2 Item No.","@@"&amp;$F3038)</t>
  </si>
  <si>
    <t>=-NL("Sum","32 Item Ledger Entry","12 Quantity","5 Source no.",$C3039,"3 Posting Date",J$9,"4 Entry Type",$C$4,"2 Item No.","@@"&amp;$F3039)</t>
  </si>
  <si>
    <t>=-NL("Sum","32 Item Ledger Entry","12 Quantity","5 Source no.",$C3040,"3 Posting Date",J$9,"4 Entry Type",$C$4,"2 Item No.","@@"&amp;$F3040)</t>
  </si>
  <si>
    <t>=-NL("Sum","32 Item Ledger Entry","12 Quantity","5 Source no.",$C3041,"3 Posting Date",J$9,"4 Entry Type",$C$4,"2 Item No.","@@"&amp;$F3041)</t>
  </si>
  <si>
    <t>=-NL("Sum","32 Item Ledger Entry","12 Quantity","5 Source no.",$C3042,"3 Posting Date",J$9,"4 Entry Type",$C$4,"2 Item No.","@@"&amp;$F3042)</t>
  </si>
  <si>
    <t>=-NL("Sum","32 Item Ledger Entry","12 Quantity","5 Source no.",$C3043,"3 Posting Date",J$9,"4 Entry Type",$C$4,"2 Item No.","@@"&amp;$F3043)</t>
  </si>
  <si>
    <t>=-NL("Sum","32 Item Ledger Entry","12 Quantity","5 Source no.",$C3044,"3 Posting Date",J$9,"4 Entry Type",$C$4,"2 Item No.","@@"&amp;$F3044)</t>
  </si>
  <si>
    <t>=-NL("Sum","32 Item Ledger Entry","12 Quantity","5 Source no.",$C3045,"3 Posting Date",J$9,"4 Entry Type",$C$4,"2 Item No.","@@"&amp;$F3045)</t>
  </si>
  <si>
    <t>=-NL("Sum","32 Item Ledger Entry","12 Quantity","5 Source no.",$C3046,"3 Posting Date",J$9,"4 Entry Type",$C$4,"2 Item No.","@@"&amp;$F3046)</t>
  </si>
  <si>
    <t>=-NL("Sum","32 Item Ledger Entry","12 Quantity","5 Source no.",$C3047,"3 Posting Date",J$9,"4 Entry Type",$C$4,"2 Item No.","@@"&amp;$F3047)</t>
  </si>
  <si>
    <t>=-NL("Sum","32 Item Ledger Entry","12 Quantity","5 Source no.",$C3048,"3 Posting Date",J$9,"4 Entry Type",$C$4,"2 Item No.","@@"&amp;$F3048)</t>
  </si>
  <si>
    <t>=-NL("Sum","32 Item Ledger Entry","12 Quantity","5 Source no.",$C3004,"3 Posting Date",O$9,"4 Entry Type",$C$4,"2 Item No.","@@"&amp;$F3004)</t>
  </si>
  <si>
    <t>=-NL("Sum","32 Item Ledger Entry","12 Quantity","5 Source no.",$C3005,"3 Posting Date",O$9,"4 Entry Type",$C$4,"2 Item No.","@@"&amp;$F3005)</t>
  </si>
  <si>
    <t>=-NL("Sum","32 Item Ledger Entry","12 Quantity","5 Source no.",$C3006,"3 Posting Date",O$9,"4 Entry Type",$C$4,"2 Item No.","@@"&amp;$F3006)</t>
  </si>
  <si>
    <t>=-NL("Sum","32 Item Ledger Entry","12 Quantity","5 Source no.",$C3007,"3 Posting Date",O$9,"4 Entry Type",$C$4,"2 Item No.","@@"&amp;$F3007)</t>
  </si>
  <si>
    <t>=-NL("Sum","32 Item Ledger Entry","12 Quantity","5 Source no.",$C3008,"3 Posting Date",O$9,"4 Entry Type",$C$4,"2 Item No.","@@"&amp;$F3008)</t>
  </si>
  <si>
    <t>=-NL("Sum","32 Item Ledger Entry","12 Quantity","5 Source no.",$C3009,"3 Posting Date",O$9,"4 Entry Type",$C$4,"2 Item No.","@@"&amp;$F3009)</t>
  </si>
  <si>
    <t>=-NL("Sum","32 Item Ledger Entry","12 Quantity","5 Source no.",$C3010,"3 Posting Date",O$9,"4 Entry Type",$C$4,"2 Item No.","@@"&amp;$F3010)</t>
  </si>
  <si>
    <t>=-NL("Sum","32 Item Ledger Entry","12 Quantity","5 Source no.",$C3011,"3 Posting Date",O$9,"4 Entry Type",$C$4,"2 Item No.","@@"&amp;$F3011)</t>
  </si>
  <si>
    <t>=-NL("Sum","32 Item Ledger Entry","12 Quantity","5 Source no.",$C3012,"3 Posting Date",O$9,"4 Entry Type",$C$4,"2 Item No.","@@"&amp;$F3012)</t>
  </si>
  <si>
    <t>=-NL("Sum","32 Item Ledger Entry","12 Quantity","5 Source no.",$C3013,"3 Posting Date",O$9,"4 Entry Type",$C$4,"2 Item No.","@@"&amp;$F3013)</t>
  </si>
  <si>
    <t>=-NL("Sum","32 Item Ledger Entry","12 Quantity","5 Source no.",$C3014,"3 Posting Date",O$9,"4 Entry Type",$C$4,"2 Item No.","@@"&amp;$F3014)</t>
  </si>
  <si>
    <t>=-NL("Sum","32 Item Ledger Entry","12 Quantity","5 Source no.",$C3015,"3 Posting Date",O$9,"4 Entry Type",$C$4,"2 Item No.","@@"&amp;$F3015)</t>
  </si>
  <si>
    <t>=-NL("Sum","32 Item Ledger Entry","12 Quantity","5 Source no.",$C3016,"3 Posting Date",O$9,"4 Entry Type",$C$4,"2 Item No.","@@"&amp;$F3016)</t>
  </si>
  <si>
    <t>=-NL("Sum","32 Item Ledger Entry","12 Quantity","5 Source no.",$C3017,"3 Posting Date",O$9,"4 Entry Type",$C$4,"2 Item No.","@@"&amp;$F3017)</t>
  </si>
  <si>
    <t>=-NL("Sum","32 Item Ledger Entry","12 Quantity","5 Source no.",$C3018,"3 Posting Date",O$9,"4 Entry Type",$C$4,"2 Item No.","@@"&amp;$F3018)</t>
  </si>
  <si>
    <t>=-NL("Sum","32 Item Ledger Entry","12 Quantity","5 Source no.",$C3019,"3 Posting Date",O$9,"4 Entry Type",$C$4,"2 Item No.","@@"&amp;$F3019)</t>
  </si>
  <si>
    <t>=-NL("Sum","32 Item Ledger Entry","12 Quantity","5 Source no.",$C3020,"3 Posting Date",O$9,"4 Entry Type",$C$4,"2 Item No.","@@"&amp;$F3020)</t>
  </si>
  <si>
    <t>=-NL("Sum","32 Item Ledger Entry","12 Quantity","5 Source no.",$C3021,"3 Posting Date",O$9,"4 Entry Type",$C$4,"2 Item No.","@@"&amp;$F3021)</t>
  </si>
  <si>
    <t>=-NL("Sum","32 Item Ledger Entry","12 Quantity","5 Source no.",$C3022,"3 Posting Date",O$9,"4 Entry Type",$C$4,"2 Item No.","@@"&amp;$F3022)</t>
  </si>
  <si>
    <t>=-NL("Sum","32 Item Ledger Entry","12 Quantity","5 Source no.",$C3023,"3 Posting Date",O$9,"4 Entry Type",$C$4,"2 Item No.","@@"&amp;$F3023)</t>
  </si>
  <si>
    <t>=-NL("Sum","32 Item Ledger Entry","12 Quantity","5 Source no.",$C3024,"3 Posting Date",O$9,"4 Entry Type",$C$4,"2 Item No.","@@"&amp;$F3024)</t>
  </si>
  <si>
    <t>=-NL("Sum","32 Item Ledger Entry","12 Quantity","5 Source no.",$C3025,"3 Posting Date",O$9,"4 Entry Type",$C$4,"2 Item No.","@@"&amp;$F3025)</t>
  </si>
  <si>
    <t>=-NL("Sum","32 Item Ledger Entry","12 Quantity","5 Source no.",$C3026,"3 Posting Date",O$9,"4 Entry Type",$C$4,"2 Item No.","@@"&amp;$F3026)</t>
  </si>
  <si>
    <t>=-NL("Sum","32 Item Ledger Entry","12 Quantity","5 Source no.",$C3027,"3 Posting Date",O$9,"4 Entry Type",$C$4,"2 Item No.","@@"&amp;$F3027)</t>
  </si>
  <si>
    <t>=-NL("Sum","32 Item Ledger Entry","12 Quantity","5 Source no.",$C3028,"3 Posting Date",O$9,"4 Entry Type",$C$4,"2 Item No.","@@"&amp;$F3028)</t>
  </si>
  <si>
    <t>=-NL("Sum","32 Item Ledger Entry","12 Quantity","5 Source no.",$C3029,"3 Posting Date",O$9,"4 Entry Type",$C$4,"2 Item No.","@@"&amp;$F3029)</t>
  </si>
  <si>
    <t>=-NL("Sum","32 Item Ledger Entry","12 Quantity","5 Source no.",$C3030,"3 Posting Date",O$9,"4 Entry Type",$C$4,"2 Item No.","@@"&amp;$F3030)</t>
  </si>
  <si>
    <t>=-NL("Sum","32 Item Ledger Entry","12 Quantity","5 Source no.",$C3031,"3 Posting Date",O$9,"4 Entry Type",$C$4,"2 Item No.","@@"&amp;$F3031)</t>
  </si>
  <si>
    <t>=-NL("Sum","32 Item Ledger Entry","12 Quantity","5 Source no.",$C3032,"3 Posting Date",O$9,"4 Entry Type",$C$4,"2 Item No.","@@"&amp;$F3032)</t>
  </si>
  <si>
    <t>=-NL("Sum","32 Item Ledger Entry","12 Quantity","5 Source no.",$C3033,"3 Posting Date",O$9,"4 Entry Type",$C$4,"2 Item No.","@@"&amp;$F3033)</t>
  </si>
  <si>
    <t>=-NL("Sum","32 Item Ledger Entry","12 Quantity","5 Source no.",$C3034,"3 Posting Date",O$9,"4 Entry Type",$C$4,"2 Item No.","@@"&amp;$F3034)</t>
  </si>
  <si>
    <t>=-NL("Sum","32 Item Ledger Entry","12 Quantity","5 Source no.",$C3035,"3 Posting Date",O$9,"4 Entry Type",$C$4,"2 Item No.","@@"&amp;$F3035)</t>
  </si>
  <si>
    <t>=-NL("Sum","32 Item Ledger Entry","12 Quantity","5 Source no.",$C3036,"3 Posting Date",O$9,"4 Entry Type",$C$4,"2 Item No.","@@"&amp;$F3036)</t>
  </si>
  <si>
    <t>=-NL("Sum","32 Item Ledger Entry","12 Quantity","5 Source no.",$C3037,"3 Posting Date",O$9,"4 Entry Type",$C$4,"2 Item No.","@@"&amp;$F3037)</t>
  </si>
  <si>
    <t>=-NL("Sum","32 Item Ledger Entry","12 Quantity","5 Source no.",$C3038,"3 Posting Date",O$9,"4 Entry Type",$C$4,"2 Item No.","@@"&amp;$F3038)</t>
  </si>
  <si>
    <t>=-NL("Sum","32 Item Ledger Entry","12 Quantity","5 Source no.",$C3039,"3 Posting Date",O$9,"4 Entry Type",$C$4,"2 Item No.","@@"&amp;$F3039)</t>
  </si>
  <si>
    <t>=-NL("Sum","32 Item Ledger Entry","12 Quantity","5 Source no.",$C3040,"3 Posting Date",O$9,"4 Entry Type",$C$4,"2 Item No.","@@"&amp;$F3040)</t>
  </si>
  <si>
    <t>=-NL("Sum","32 Item Ledger Entry","12 Quantity","5 Source no.",$C3041,"3 Posting Date",O$9,"4 Entry Type",$C$4,"2 Item No.","@@"&amp;$F3041)</t>
  </si>
  <si>
    <t>=-NL("Sum","32 Item Ledger Entry","12 Quantity","5 Source no.",$C3042,"3 Posting Date",O$9,"4 Entry Type",$C$4,"2 Item No.","@@"&amp;$F3042)</t>
  </si>
  <si>
    <t>=-NL("Sum","32 Item Ledger Entry","12 Quantity","5 Source no.",$C3043,"3 Posting Date",O$9,"4 Entry Type",$C$4,"2 Item No.","@@"&amp;$F3043)</t>
  </si>
  <si>
    <t>=-NL("Sum","32 Item Ledger Entry","12 Quantity","5 Source no.",$C3044,"3 Posting Date",O$9,"4 Entry Type",$C$4,"2 Item No.","@@"&amp;$F3044)</t>
  </si>
  <si>
    <t>=-NL("Sum","32 Item Ledger Entry","12 Quantity","5 Source no.",$C3045,"3 Posting Date",O$9,"4 Entry Type",$C$4,"2 Item No.","@@"&amp;$F3045)</t>
  </si>
  <si>
    <t>=-NL("Sum","32 Item Ledger Entry","12 Quantity","5 Source no.",$C3046,"3 Posting Date",O$9,"4 Entry Type",$C$4,"2 Item No.","@@"&amp;$F3046)</t>
  </si>
  <si>
    <t>=-NL("Sum","32 Item Ledger Entry","12 Quantity","5 Source no.",$C3047,"3 Posting Date",O$9,"4 Entry Type",$C$4,"2 Item No.","@@"&amp;$F3047)</t>
  </si>
  <si>
    <t>=-NL("Sum","32 Item Ledger Entry","12 Quantity","5 Source no.",$C3048,"3 Posting Date",O$9,"4 Entry Type",$C$4,"2 Item No.","@@"&amp;$F3048)</t>
  </si>
  <si>
    <t>=-NL("Sum","32 Item Ledger Entry","12 Quantity","5 Source no.",$C3004,"3 Posting Date",U$9,"4 Entry Type",$C$4,"2 Item No.","@@"&amp;$F3004)</t>
  </si>
  <si>
    <t>=-NL("Sum","32 Item Ledger Entry","12 Quantity","5 Source no.",$C3005,"3 Posting Date",U$9,"4 Entry Type",$C$4,"2 Item No.","@@"&amp;$F3005)</t>
  </si>
  <si>
    <t>=-NL("Sum","32 Item Ledger Entry","12 Quantity","5 Source no.",$C3006,"3 Posting Date",U$9,"4 Entry Type",$C$4,"2 Item No.","@@"&amp;$F3006)</t>
  </si>
  <si>
    <t>=-NL("Sum","32 Item Ledger Entry","12 Quantity","5 Source no.",$C3007,"3 Posting Date",U$9,"4 Entry Type",$C$4,"2 Item No.","@@"&amp;$F3007)</t>
  </si>
  <si>
    <t>=-NL("Sum","32 Item Ledger Entry","12 Quantity","5 Source no.",$C3008,"3 Posting Date",U$9,"4 Entry Type",$C$4,"2 Item No.","@@"&amp;$F3008)</t>
  </si>
  <si>
    <t>=-NL("Sum","32 Item Ledger Entry","12 Quantity","5 Source no.",$C3009,"3 Posting Date",U$9,"4 Entry Type",$C$4,"2 Item No.","@@"&amp;$F3009)</t>
  </si>
  <si>
    <t>=-NL("Sum","32 Item Ledger Entry","12 Quantity","5 Source no.",$C3010,"3 Posting Date",U$9,"4 Entry Type",$C$4,"2 Item No.","@@"&amp;$F3010)</t>
  </si>
  <si>
    <t>=-NL("Sum","32 Item Ledger Entry","12 Quantity","5 Source no.",$C3011,"3 Posting Date",U$9,"4 Entry Type",$C$4,"2 Item No.","@@"&amp;$F3011)</t>
  </si>
  <si>
    <t>=-NL("Sum","32 Item Ledger Entry","12 Quantity","5 Source no.",$C3012,"3 Posting Date",U$9,"4 Entry Type",$C$4,"2 Item No.","@@"&amp;$F3012)</t>
  </si>
  <si>
    <t>=-NL("Sum","32 Item Ledger Entry","12 Quantity","5 Source no.",$C3013,"3 Posting Date",U$9,"4 Entry Type",$C$4,"2 Item No.","@@"&amp;$F3013)</t>
  </si>
  <si>
    <t>=-NL("Sum","32 Item Ledger Entry","12 Quantity","5 Source no.",$C3014,"3 Posting Date",U$9,"4 Entry Type",$C$4,"2 Item No.","@@"&amp;$F3014)</t>
  </si>
  <si>
    <t>=-NL("Sum","32 Item Ledger Entry","12 Quantity","5 Source no.",$C3015,"3 Posting Date",U$9,"4 Entry Type",$C$4,"2 Item No.","@@"&amp;$F3015)</t>
  </si>
  <si>
    <t>=-NL("Sum","32 Item Ledger Entry","12 Quantity","5 Source no.",$C3016,"3 Posting Date",U$9,"4 Entry Type",$C$4,"2 Item No.","@@"&amp;$F3016)</t>
  </si>
  <si>
    <t>=-NL("Sum","32 Item Ledger Entry","12 Quantity","5 Source no.",$C3017,"3 Posting Date",U$9,"4 Entry Type",$C$4,"2 Item No.","@@"&amp;$F3017)</t>
  </si>
  <si>
    <t>=-NL("Sum","32 Item Ledger Entry","12 Quantity","5 Source no.",$C3018,"3 Posting Date",U$9,"4 Entry Type",$C$4,"2 Item No.","@@"&amp;$F3018)</t>
  </si>
  <si>
    <t>=-NL("Sum","32 Item Ledger Entry","12 Quantity","5 Source no.",$C3019,"3 Posting Date",U$9,"4 Entry Type",$C$4,"2 Item No.","@@"&amp;$F3019)</t>
  </si>
  <si>
    <t>=-NL("Sum","32 Item Ledger Entry","12 Quantity","5 Source no.",$C3020,"3 Posting Date",U$9,"4 Entry Type",$C$4,"2 Item No.","@@"&amp;$F3020)</t>
  </si>
  <si>
    <t>=-NL("Sum","32 Item Ledger Entry","12 Quantity","5 Source no.",$C3021,"3 Posting Date",U$9,"4 Entry Type",$C$4,"2 Item No.","@@"&amp;$F3021)</t>
  </si>
  <si>
    <t>=-NL("Sum","32 Item Ledger Entry","12 Quantity","5 Source no.",$C3022,"3 Posting Date",U$9,"4 Entry Type",$C$4,"2 Item No.","@@"&amp;$F3022)</t>
  </si>
  <si>
    <t>=-NL("Sum","32 Item Ledger Entry","12 Quantity","5 Source no.",$C3023,"3 Posting Date",U$9,"4 Entry Type",$C$4,"2 Item No.","@@"&amp;$F3023)</t>
  </si>
  <si>
    <t>=-NL("Sum","32 Item Ledger Entry","12 Quantity","5 Source no.",$C3024,"3 Posting Date",U$9,"4 Entry Type",$C$4,"2 Item No.","@@"&amp;$F3024)</t>
  </si>
  <si>
    <t>=-NL("Sum","32 Item Ledger Entry","12 Quantity","5 Source no.",$C3025,"3 Posting Date",U$9,"4 Entry Type",$C$4,"2 Item No.","@@"&amp;$F3025)</t>
  </si>
  <si>
    <t>=-NL("Sum","32 Item Ledger Entry","12 Quantity","5 Source no.",$C3026,"3 Posting Date",U$9,"4 Entry Type",$C$4,"2 Item No.","@@"&amp;$F3026)</t>
  </si>
  <si>
    <t>=-NL("Sum","32 Item Ledger Entry","12 Quantity","5 Source no.",$C3027,"3 Posting Date",U$9,"4 Entry Type",$C$4,"2 Item No.","@@"&amp;$F3027)</t>
  </si>
  <si>
    <t>=-NL("Sum","32 Item Ledger Entry","12 Quantity","5 Source no.",$C3028,"3 Posting Date",U$9,"4 Entry Type",$C$4,"2 Item No.","@@"&amp;$F3028)</t>
  </si>
  <si>
    <t>=-NL("Sum","32 Item Ledger Entry","12 Quantity","5 Source no.",$C3029,"3 Posting Date",U$9,"4 Entry Type",$C$4,"2 Item No.","@@"&amp;$F3029)</t>
  </si>
  <si>
    <t>=-NL("Sum","32 Item Ledger Entry","12 Quantity","5 Source no.",$C3030,"3 Posting Date",U$9,"4 Entry Type",$C$4,"2 Item No.","@@"&amp;$F3030)</t>
  </si>
  <si>
    <t>=-NL("Sum","32 Item Ledger Entry","12 Quantity","5 Source no.",$C3031,"3 Posting Date",U$9,"4 Entry Type",$C$4,"2 Item No.","@@"&amp;$F3031)</t>
  </si>
  <si>
    <t>=-NL("Sum","32 Item Ledger Entry","12 Quantity","5 Source no.",$C3032,"3 Posting Date",U$9,"4 Entry Type",$C$4,"2 Item No.","@@"&amp;$F3032)</t>
  </si>
  <si>
    <t>=-NL("Sum","32 Item Ledger Entry","12 Quantity","5 Source no.",$C3033,"3 Posting Date",U$9,"4 Entry Type",$C$4,"2 Item No.","@@"&amp;$F3033)</t>
  </si>
  <si>
    <t>=-NL("Sum","32 Item Ledger Entry","12 Quantity","5 Source no.",$C3034,"3 Posting Date",U$9,"4 Entry Type",$C$4,"2 Item No.","@@"&amp;$F3034)</t>
  </si>
  <si>
    <t>=-NL("Sum","32 Item Ledger Entry","12 Quantity","5 Source no.",$C3035,"3 Posting Date",U$9,"4 Entry Type",$C$4,"2 Item No.","@@"&amp;$F3035)</t>
  </si>
  <si>
    <t>=-NL("Sum","32 Item Ledger Entry","12 Quantity","5 Source no.",$C3036,"3 Posting Date",U$9,"4 Entry Type",$C$4,"2 Item No.","@@"&amp;$F3036)</t>
  </si>
  <si>
    <t>=-NL("Sum","32 Item Ledger Entry","12 Quantity","5 Source no.",$C3037,"3 Posting Date",U$9,"4 Entry Type",$C$4,"2 Item No.","@@"&amp;$F3037)</t>
  </si>
  <si>
    <t>=-NL("Sum","32 Item Ledger Entry","12 Quantity","5 Source no.",$C3038,"3 Posting Date",U$9,"4 Entry Type",$C$4,"2 Item No.","@@"&amp;$F3038)</t>
  </si>
  <si>
    <t>=-NL("Sum","32 Item Ledger Entry","12 Quantity","5 Source no.",$C3039,"3 Posting Date",U$9,"4 Entry Type",$C$4,"2 Item No.","@@"&amp;$F3039)</t>
  </si>
  <si>
    <t>=-NL("Sum","32 Item Ledger Entry","12 Quantity","5 Source no.",$C3040,"3 Posting Date",U$9,"4 Entry Type",$C$4,"2 Item No.","@@"&amp;$F3040)</t>
  </si>
  <si>
    <t>=-NL("Sum","32 Item Ledger Entry","12 Quantity","5 Source no.",$C3041,"3 Posting Date",U$9,"4 Entry Type",$C$4,"2 Item No.","@@"&amp;$F3041)</t>
  </si>
  <si>
    <t>=-NL("Sum","32 Item Ledger Entry","12 Quantity","5 Source no.",$C3042,"3 Posting Date",U$9,"4 Entry Type",$C$4,"2 Item No.","@@"&amp;$F3042)</t>
  </si>
  <si>
    <t>=-NL("Sum","32 Item Ledger Entry","12 Quantity","5 Source no.",$C3043,"3 Posting Date",U$9,"4 Entry Type",$C$4,"2 Item No.","@@"&amp;$F3043)</t>
  </si>
  <si>
    <t>=-NL("Sum","32 Item Ledger Entry","12 Quantity","5 Source no.",$C3044,"3 Posting Date",U$9,"4 Entry Type",$C$4,"2 Item No.","@@"&amp;$F3044)</t>
  </si>
  <si>
    <t>=-NL("Sum","32 Item Ledger Entry","12 Quantity","5 Source no.",$C3045,"3 Posting Date",U$9,"4 Entry Type",$C$4,"2 Item No.","@@"&amp;$F3045)</t>
  </si>
  <si>
    <t>=-NL("Sum","32 Item Ledger Entry","12 Quantity","5 Source no.",$C3046,"3 Posting Date",U$9,"4 Entry Type",$C$4,"2 Item No.","@@"&amp;$F3046)</t>
  </si>
  <si>
    <t>=-NL("Sum","32 Item Ledger Entry","12 Quantity","5 Source no.",$C3047,"3 Posting Date",U$9,"4 Entry Type",$C$4,"2 Item No.","@@"&amp;$F3047)</t>
  </si>
  <si>
    <t>=-NL("Sum","32 Item Ledger Entry","12 Quantity","5 Source no.",$C3048,"3 Posting Date",U$9,"4 Entry Type",$C$4,"2 Item No.","@@"&amp;$F3048)</t>
  </si>
  <si>
    <t>=-NL("Sum","32 Item Ledger Entry","12 Quantity","5 Source no.",$C3004,"3 Posting Date",Z$9,"4 Entry Type",$C$4,"2 Item No.","@@"&amp;$F3004)</t>
  </si>
  <si>
    <t>=-NL("Sum","32 Item Ledger Entry","12 Quantity","5 Source no.",$C3005,"3 Posting Date",Z$9,"4 Entry Type",$C$4,"2 Item No.","@@"&amp;$F3005)</t>
  </si>
  <si>
    <t>=-NL("Sum","32 Item Ledger Entry","12 Quantity","5 Source no.",$C3006,"3 Posting Date",Z$9,"4 Entry Type",$C$4,"2 Item No.","@@"&amp;$F3006)</t>
  </si>
  <si>
    <t>=-NL("Sum","32 Item Ledger Entry","12 Quantity","5 Source no.",$C3007,"3 Posting Date",Z$9,"4 Entry Type",$C$4,"2 Item No.","@@"&amp;$F3007)</t>
  </si>
  <si>
    <t>=-NL("Sum","32 Item Ledger Entry","12 Quantity","5 Source no.",$C3008,"3 Posting Date",Z$9,"4 Entry Type",$C$4,"2 Item No.","@@"&amp;$F3008)</t>
  </si>
  <si>
    <t>=-NL("Sum","32 Item Ledger Entry","12 Quantity","5 Source no.",$C3009,"3 Posting Date",Z$9,"4 Entry Type",$C$4,"2 Item No.","@@"&amp;$F3009)</t>
  </si>
  <si>
    <t>=-NL("Sum","32 Item Ledger Entry","12 Quantity","5 Source no.",$C3010,"3 Posting Date",Z$9,"4 Entry Type",$C$4,"2 Item No.","@@"&amp;$F3010)</t>
  </si>
  <si>
    <t>=-NL("Sum","32 Item Ledger Entry","12 Quantity","5 Source no.",$C3011,"3 Posting Date",Z$9,"4 Entry Type",$C$4,"2 Item No.","@@"&amp;$F3011)</t>
  </si>
  <si>
    <t>=-NL("Sum","32 Item Ledger Entry","12 Quantity","5 Source no.",$C3012,"3 Posting Date",Z$9,"4 Entry Type",$C$4,"2 Item No.","@@"&amp;$F3012)</t>
  </si>
  <si>
    <t>=-NL("Sum","32 Item Ledger Entry","12 Quantity","5 Source no.",$C3013,"3 Posting Date",Z$9,"4 Entry Type",$C$4,"2 Item No.","@@"&amp;$F3013)</t>
  </si>
  <si>
    <t>=-NL("Sum","32 Item Ledger Entry","12 Quantity","5 Source no.",$C3014,"3 Posting Date",Z$9,"4 Entry Type",$C$4,"2 Item No.","@@"&amp;$F3014)</t>
  </si>
  <si>
    <t>=-NL("Sum","32 Item Ledger Entry","12 Quantity","5 Source no.",$C3015,"3 Posting Date",Z$9,"4 Entry Type",$C$4,"2 Item No.","@@"&amp;$F3015)</t>
  </si>
  <si>
    <t>=-NL("Sum","32 Item Ledger Entry","12 Quantity","5 Source no.",$C3016,"3 Posting Date",Z$9,"4 Entry Type",$C$4,"2 Item No.","@@"&amp;$F3016)</t>
  </si>
  <si>
    <t>=-NL("Sum","32 Item Ledger Entry","12 Quantity","5 Source no.",$C3017,"3 Posting Date",Z$9,"4 Entry Type",$C$4,"2 Item No.","@@"&amp;$F3017)</t>
  </si>
  <si>
    <t>=-NL("Sum","32 Item Ledger Entry","12 Quantity","5 Source no.",$C3018,"3 Posting Date",Z$9,"4 Entry Type",$C$4,"2 Item No.","@@"&amp;$F3018)</t>
  </si>
  <si>
    <t>=-NL("Sum","32 Item Ledger Entry","12 Quantity","5 Source no.",$C3019,"3 Posting Date",Z$9,"4 Entry Type",$C$4,"2 Item No.","@@"&amp;$F3019)</t>
  </si>
  <si>
    <t>=-NL("Sum","32 Item Ledger Entry","12 Quantity","5 Source no.",$C3020,"3 Posting Date",Z$9,"4 Entry Type",$C$4,"2 Item No.","@@"&amp;$F3020)</t>
  </si>
  <si>
    <t>=-NL("Sum","32 Item Ledger Entry","12 Quantity","5 Source no.",$C3021,"3 Posting Date",Z$9,"4 Entry Type",$C$4,"2 Item No.","@@"&amp;$F3021)</t>
  </si>
  <si>
    <t>=-NL("Sum","32 Item Ledger Entry","12 Quantity","5 Source no.",$C3022,"3 Posting Date",Z$9,"4 Entry Type",$C$4,"2 Item No.","@@"&amp;$F3022)</t>
  </si>
  <si>
    <t>=-NL("Sum","32 Item Ledger Entry","12 Quantity","5 Source no.",$C3023,"3 Posting Date",Z$9,"4 Entry Type",$C$4,"2 Item No.","@@"&amp;$F3023)</t>
  </si>
  <si>
    <t>=-NL("Sum","32 Item Ledger Entry","12 Quantity","5 Source no.",$C3024,"3 Posting Date",Z$9,"4 Entry Type",$C$4,"2 Item No.","@@"&amp;$F3024)</t>
  </si>
  <si>
    <t>=-NL("Sum","32 Item Ledger Entry","12 Quantity","5 Source no.",$C3025,"3 Posting Date",Z$9,"4 Entry Type",$C$4,"2 Item No.","@@"&amp;$F3025)</t>
  </si>
  <si>
    <t>=-NL("Sum","32 Item Ledger Entry","12 Quantity","5 Source no.",$C3026,"3 Posting Date",Z$9,"4 Entry Type",$C$4,"2 Item No.","@@"&amp;$F3026)</t>
  </si>
  <si>
    <t>=-NL("Sum","32 Item Ledger Entry","12 Quantity","5 Source no.",$C3027,"3 Posting Date",Z$9,"4 Entry Type",$C$4,"2 Item No.","@@"&amp;$F3027)</t>
  </si>
  <si>
    <t>=-NL("Sum","32 Item Ledger Entry","12 Quantity","5 Source no.",$C3028,"3 Posting Date",Z$9,"4 Entry Type",$C$4,"2 Item No.","@@"&amp;$F3028)</t>
  </si>
  <si>
    <t>=-NL("Sum","32 Item Ledger Entry","12 Quantity","5 Source no.",$C3029,"3 Posting Date",Z$9,"4 Entry Type",$C$4,"2 Item No.","@@"&amp;$F3029)</t>
  </si>
  <si>
    <t>=-NL("Sum","32 Item Ledger Entry","12 Quantity","5 Source no.",$C3030,"3 Posting Date",Z$9,"4 Entry Type",$C$4,"2 Item No.","@@"&amp;$F3030)</t>
  </si>
  <si>
    <t>=-NL("Sum","32 Item Ledger Entry","12 Quantity","5 Source no.",$C3031,"3 Posting Date",Z$9,"4 Entry Type",$C$4,"2 Item No.","@@"&amp;$F3031)</t>
  </si>
  <si>
    <t>=-NL("Sum","32 Item Ledger Entry","12 Quantity","5 Source no.",$C3032,"3 Posting Date",Z$9,"4 Entry Type",$C$4,"2 Item No.","@@"&amp;$F3032)</t>
  </si>
  <si>
    <t>=-NL("Sum","32 Item Ledger Entry","12 Quantity","5 Source no.",$C3033,"3 Posting Date",Z$9,"4 Entry Type",$C$4,"2 Item No.","@@"&amp;$F3033)</t>
  </si>
  <si>
    <t>=-NL("Sum","32 Item Ledger Entry","12 Quantity","5 Source no.",$C3034,"3 Posting Date",Z$9,"4 Entry Type",$C$4,"2 Item No.","@@"&amp;$F3034)</t>
  </si>
  <si>
    <t>=-NL("Sum","32 Item Ledger Entry","12 Quantity","5 Source no.",$C3035,"3 Posting Date",Z$9,"4 Entry Type",$C$4,"2 Item No.","@@"&amp;$F3035)</t>
  </si>
  <si>
    <t>=-NL("Sum","32 Item Ledger Entry","12 Quantity","5 Source no.",$C3036,"3 Posting Date",Z$9,"4 Entry Type",$C$4,"2 Item No.","@@"&amp;$F3036)</t>
  </si>
  <si>
    <t>=-NL("Sum","32 Item Ledger Entry","12 Quantity","5 Source no.",$C3037,"3 Posting Date",Z$9,"4 Entry Type",$C$4,"2 Item No.","@@"&amp;$F3037)</t>
  </si>
  <si>
    <t>=-NL("Sum","32 Item Ledger Entry","12 Quantity","5 Source no.",$C3038,"3 Posting Date",Z$9,"4 Entry Type",$C$4,"2 Item No.","@@"&amp;$F3038)</t>
  </si>
  <si>
    <t>=-NL("Sum","32 Item Ledger Entry","12 Quantity","5 Source no.",$C3039,"3 Posting Date",Z$9,"4 Entry Type",$C$4,"2 Item No.","@@"&amp;$F3039)</t>
  </si>
  <si>
    <t>=-NL("Sum","32 Item Ledger Entry","12 Quantity","5 Source no.",$C3040,"3 Posting Date",Z$9,"4 Entry Type",$C$4,"2 Item No.","@@"&amp;$F3040)</t>
  </si>
  <si>
    <t>=-NL("Sum","32 Item Ledger Entry","12 Quantity","5 Source no.",$C3041,"3 Posting Date",Z$9,"4 Entry Type",$C$4,"2 Item No.","@@"&amp;$F3041)</t>
  </si>
  <si>
    <t>=-NL("Sum","32 Item Ledger Entry","12 Quantity","5 Source no.",$C3042,"3 Posting Date",Z$9,"4 Entry Type",$C$4,"2 Item No.","@@"&amp;$F3042)</t>
  </si>
  <si>
    <t>=-NL("Sum","32 Item Ledger Entry","12 Quantity","5 Source no.",$C3043,"3 Posting Date",Z$9,"4 Entry Type",$C$4,"2 Item No.","@@"&amp;$F3043)</t>
  </si>
  <si>
    <t>=-NL("Sum","32 Item Ledger Entry","12 Quantity","5 Source no.",$C3044,"3 Posting Date",Z$9,"4 Entry Type",$C$4,"2 Item No.","@@"&amp;$F3044)</t>
  </si>
  <si>
    <t>=-NL("Sum","32 Item Ledger Entry","12 Quantity","5 Source no.",$C3045,"3 Posting Date",Z$9,"4 Entry Type",$C$4,"2 Item No.","@@"&amp;$F3045)</t>
  </si>
  <si>
    <t>=-NL("Sum","32 Item Ledger Entry","12 Quantity","5 Source no.",$C3046,"3 Posting Date",Z$9,"4 Entry Type",$C$4,"2 Item No.","@@"&amp;$F3046)</t>
  </si>
  <si>
    <t>=-NL("Sum","32 Item Ledger Entry","12 Quantity","5 Source no.",$C3047,"3 Posting Date",Z$9,"4 Entry Type",$C$4,"2 Item No.","@@"&amp;$F3047)</t>
  </si>
  <si>
    <t>=-NL("Sum","32 Item Ledger Entry","12 Quantity","5 Source no.",$C3048,"3 Posting Date",Z$9,"4 Entry Type",$C$4,"2 Item No.","@@"&amp;$F3048)</t>
  </si>
  <si>
    <t>=NL(,"27 Item","3 Description","1 No.","@@"&amp;F2964)</t>
  </si>
  <si>
    <t>=NL(,"27 Item","3 Description","1 No.","@@"&amp;F2965)</t>
  </si>
  <si>
    <t>=NL(,"27 Item","3 Description","1 No.","@@"&amp;F2966)</t>
  </si>
  <si>
    <t>=NL(,"27 Item","3 Description","1 No.","@@"&amp;F2967)</t>
  </si>
  <si>
    <t>=NL(,"27 Item","3 Description","1 No.","@@"&amp;F2968)</t>
  </si>
  <si>
    <t>=NL(,"27 Item","3 Description","1 No.","@@"&amp;F2969)</t>
  </si>
  <si>
    <t>=NL(,"27 Item","3 Description","1 No.","@@"&amp;F2970)</t>
  </si>
  <si>
    <t>=NL(,"27 Item","3 Description","1 No.","@@"&amp;F2971)</t>
  </si>
  <si>
    <t>=NL(,"27 Item","3 Description","1 No.","@@"&amp;F2972)</t>
  </si>
  <si>
    <t>=NL(,"27 Item","3 Description","1 No.","@@"&amp;F2973)</t>
  </si>
  <si>
    <t>=NL(,"27 Item","3 Description","1 No.","@@"&amp;F2974)</t>
  </si>
  <si>
    <t>=NL(,"27 Item","3 Description","1 No.","@@"&amp;F2975)</t>
  </si>
  <si>
    <t>=NL(,"27 Item","3 Description","1 No.","@@"&amp;F2976)</t>
  </si>
  <si>
    <t>=NL(,"27 Item","3 Description","1 No.","@@"&amp;F2977)</t>
  </si>
  <si>
    <t>=NL(,"27 Item","3 Description","1 No.","@@"&amp;F2978)</t>
  </si>
  <si>
    <t>=NL(,"27 Item","3 Description","1 No.","@@"&amp;F2979)</t>
  </si>
  <si>
    <t>=NL(,"27 Item","3 Description","1 No.","@@"&amp;F2980)</t>
  </si>
  <si>
    <t>=NL(,"27 Item","3 Description","1 No.","@@"&amp;F2981)</t>
  </si>
  <si>
    <t>=NL(,"27 Item","3 Description","1 No.","@@"&amp;F2982)</t>
  </si>
  <si>
    <t>=NL(,"27 Item","3 Description","1 No.","@@"&amp;F2983)</t>
  </si>
  <si>
    <t>=NL(,"27 Item","3 Description","1 No.","@@"&amp;F2984)</t>
  </si>
  <si>
    <t>=NL(,"27 Item","3 Description","1 No.","@@"&amp;F2985)</t>
  </si>
  <si>
    <t>=NL(,"27 Item","3 Description","1 No.","@@"&amp;F2986)</t>
  </si>
  <si>
    <t>=NL(,"27 Item","3 Description","1 No.","@@"&amp;F2987)</t>
  </si>
  <si>
    <t>=NL(,"27 Item","3 Description","1 No.","@@"&amp;F2988)</t>
  </si>
  <si>
    <t>=NL(,"27 Item","3 Description","1 No.","@@"&amp;F2989)</t>
  </si>
  <si>
    <t>=NL(,"27 Item","3 Description","1 No.","@@"&amp;F2990)</t>
  </si>
  <si>
    <t>=NL(,"27 Item","3 Description","1 No.","@@"&amp;F2991)</t>
  </si>
  <si>
    <t>=NL(,"27 Item","3 Description","1 No.","@@"&amp;F2992)</t>
  </si>
  <si>
    <t>=NL(,"27 Item","3 Description","1 No.","@@"&amp;F2993)</t>
  </si>
  <si>
    <t>=NL(,"27 Item","3 Description","1 No.","@@"&amp;F2994)</t>
  </si>
  <si>
    <t>=NL(,"27 Item","3 Description","1 No.","@@"&amp;F2995)</t>
  </si>
  <si>
    <t>=NL(,"27 Item","3 Description","1 No.","@@"&amp;F2996)</t>
  </si>
  <si>
    <t>=NL(,"27 Item","3 Description","1 No.","@@"&amp;F2997)</t>
  </si>
  <si>
    <t>=NL(,"27 Item","3 Description","1 No.","@@"&amp;F2998)</t>
  </si>
  <si>
    <t>=-NL("Sum","32 Item Ledger Entry","12 Quantity","5 Source no.",$C2964,"3 Posting Date",J$9,"4 Entry Type",$C$4,"2 Item No.","@@"&amp;$F2964)</t>
  </si>
  <si>
    <t>=-NL("Sum","32 Item Ledger Entry","12 Quantity","5 Source no.",$C2965,"3 Posting Date",J$9,"4 Entry Type",$C$4,"2 Item No.","@@"&amp;$F2965)</t>
  </si>
  <si>
    <t>=-NL("Sum","32 Item Ledger Entry","12 Quantity","5 Source no.",$C2966,"3 Posting Date",J$9,"4 Entry Type",$C$4,"2 Item No.","@@"&amp;$F2966)</t>
  </si>
  <si>
    <t>=-NL("Sum","32 Item Ledger Entry","12 Quantity","5 Source no.",$C2967,"3 Posting Date",J$9,"4 Entry Type",$C$4,"2 Item No.","@@"&amp;$F2967)</t>
  </si>
  <si>
    <t>=-NL("Sum","32 Item Ledger Entry","12 Quantity","5 Source no.",$C2968,"3 Posting Date",J$9,"4 Entry Type",$C$4,"2 Item No.","@@"&amp;$F2968)</t>
  </si>
  <si>
    <t>=-NL("Sum","32 Item Ledger Entry","12 Quantity","5 Source no.",$C2969,"3 Posting Date",J$9,"4 Entry Type",$C$4,"2 Item No.","@@"&amp;$F2969)</t>
  </si>
  <si>
    <t>=-NL("Sum","32 Item Ledger Entry","12 Quantity","5 Source no.",$C2970,"3 Posting Date",J$9,"4 Entry Type",$C$4,"2 Item No.","@@"&amp;$F2970)</t>
  </si>
  <si>
    <t>=-NL("Sum","32 Item Ledger Entry","12 Quantity","5 Source no.",$C2971,"3 Posting Date",J$9,"4 Entry Type",$C$4,"2 Item No.","@@"&amp;$F2971)</t>
  </si>
  <si>
    <t>=-NL("Sum","32 Item Ledger Entry","12 Quantity","5 Source no.",$C2972,"3 Posting Date",J$9,"4 Entry Type",$C$4,"2 Item No.","@@"&amp;$F2972)</t>
  </si>
  <si>
    <t>=-NL("Sum","32 Item Ledger Entry","12 Quantity","5 Source no.",$C2973,"3 Posting Date",J$9,"4 Entry Type",$C$4,"2 Item No.","@@"&amp;$F2973)</t>
  </si>
  <si>
    <t>=-NL("Sum","32 Item Ledger Entry","12 Quantity","5 Source no.",$C2974,"3 Posting Date",J$9,"4 Entry Type",$C$4,"2 Item No.","@@"&amp;$F2974)</t>
  </si>
  <si>
    <t>=-NL("Sum","32 Item Ledger Entry","12 Quantity","5 Source no.",$C2975,"3 Posting Date",J$9,"4 Entry Type",$C$4,"2 Item No.","@@"&amp;$F2975)</t>
  </si>
  <si>
    <t>=-NL("Sum","32 Item Ledger Entry","12 Quantity","5 Source no.",$C2976,"3 Posting Date",J$9,"4 Entry Type",$C$4,"2 Item No.","@@"&amp;$F2976)</t>
  </si>
  <si>
    <t>=-NL("Sum","32 Item Ledger Entry","12 Quantity","5 Source no.",$C2977,"3 Posting Date",J$9,"4 Entry Type",$C$4,"2 Item No.","@@"&amp;$F2977)</t>
  </si>
  <si>
    <t>=-NL("Sum","32 Item Ledger Entry","12 Quantity","5 Source no.",$C2978,"3 Posting Date",J$9,"4 Entry Type",$C$4,"2 Item No.","@@"&amp;$F2978)</t>
  </si>
  <si>
    <t>=-NL("Sum","32 Item Ledger Entry","12 Quantity","5 Source no.",$C2979,"3 Posting Date",J$9,"4 Entry Type",$C$4,"2 Item No.","@@"&amp;$F2979)</t>
  </si>
  <si>
    <t>=-NL("Sum","32 Item Ledger Entry","12 Quantity","5 Source no.",$C2980,"3 Posting Date",J$9,"4 Entry Type",$C$4,"2 Item No.","@@"&amp;$F2980)</t>
  </si>
  <si>
    <t>=-NL("Sum","32 Item Ledger Entry","12 Quantity","5 Source no.",$C2981,"3 Posting Date",J$9,"4 Entry Type",$C$4,"2 Item No.","@@"&amp;$F2981)</t>
  </si>
  <si>
    <t>=-NL("Sum","32 Item Ledger Entry","12 Quantity","5 Source no.",$C2982,"3 Posting Date",J$9,"4 Entry Type",$C$4,"2 Item No.","@@"&amp;$F2982)</t>
  </si>
  <si>
    <t>=-NL("Sum","32 Item Ledger Entry","12 Quantity","5 Source no.",$C2983,"3 Posting Date",J$9,"4 Entry Type",$C$4,"2 Item No.","@@"&amp;$F2983)</t>
  </si>
  <si>
    <t>=-NL("Sum","32 Item Ledger Entry","12 Quantity","5 Source no.",$C2984,"3 Posting Date",J$9,"4 Entry Type",$C$4,"2 Item No.","@@"&amp;$F2984)</t>
  </si>
  <si>
    <t>=-NL("Sum","32 Item Ledger Entry","12 Quantity","5 Source no.",$C2985,"3 Posting Date",J$9,"4 Entry Type",$C$4,"2 Item No.","@@"&amp;$F2985)</t>
  </si>
  <si>
    <t>=-NL("Sum","32 Item Ledger Entry","12 Quantity","5 Source no.",$C2986,"3 Posting Date",J$9,"4 Entry Type",$C$4,"2 Item No.","@@"&amp;$F2986)</t>
  </si>
  <si>
    <t>=-NL("Sum","32 Item Ledger Entry","12 Quantity","5 Source no.",$C2987,"3 Posting Date",J$9,"4 Entry Type",$C$4,"2 Item No.","@@"&amp;$F2987)</t>
  </si>
  <si>
    <t>=-NL("Sum","32 Item Ledger Entry","12 Quantity","5 Source no.",$C2988,"3 Posting Date",J$9,"4 Entry Type",$C$4,"2 Item No.","@@"&amp;$F2988)</t>
  </si>
  <si>
    <t>=-NL("Sum","32 Item Ledger Entry","12 Quantity","5 Source no.",$C2989,"3 Posting Date",J$9,"4 Entry Type",$C$4,"2 Item No.","@@"&amp;$F2989)</t>
  </si>
  <si>
    <t>=-NL("Sum","32 Item Ledger Entry","12 Quantity","5 Source no.",$C2990,"3 Posting Date",J$9,"4 Entry Type",$C$4,"2 Item No.","@@"&amp;$F2990)</t>
  </si>
  <si>
    <t>=-NL("Sum","32 Item Ledger Entry","12 Quantity","5 Source no.",$C2991,"3 Posting Date",J$9,"4 Entry Type",$C$4,"2 Item No.","@@"&amp;$F2991)</t>
  </si>
  <si>
    <t>=-NL("Sum","32 Item Ledger Entry","12 Quantity","5 Source no.",$C2992,"3 Posting Date",J$9,"4 Entry Type",$C$4,"2 Item No.","@@"&amp;$F2992)</t>
  </si>
  <si>
    <t>=-NL("Sum","32 Item Ledger Entry","12 Quantity","5 Source no.",$C2993,"3 Posting Date",J$9,"4 Entry Type",$C$4,"2 Item No.","@@"&amp;$F2993)</t>
  </si>
  <si>
    <t>=-NL("Sum","32 Item Ledger Entry","12 Quantity","5 Source no.",$C2994,"3 Posting Date",J$9,"4 Entry Type",$C$4,"2 Item No.","@@"&amp;$F2994)</t>
  </si>
  <si>
    <t>=-NL("Sum","32 Item Ledger Entry","12 Quantity","5 Source no.",$C2995,"3 Posting Date",J$9,"4 Entry Type",$C$4,"2 Item No.","@@"&amp;$F2995)</t>
  </si>
  <si>
    <t>=-NL("Sum","32 Item Ledger Entry","12 Quantity","5 Source no.",$C2996,"3 Posting Date",J$9,"4 Entry Type",$C$4,"2 Item No.","@@"&amp;$F2996)</t>
  </si>
  <si>
    <t>=-NL("Sum","32 Item Ledger Entry","12 Quantity","5 Source no.",$C2997,"3 Posting Date",J$9,"4 Entry Type",$C$4,"2 Item No.","@@"&amp;$F2997)</t>
  </si>
  <si>
    <t>=-NL("Sum","32 Item Ledger Entry","12 Quantity","5 Source no.",$C2998,"3 Posting Date",J$9,"4 Entry Type",$C$4,"2 Item No.","@@"&amp;$F2998)</t>
  </si>
  <si>
    <t>=-NL("Sum","32 Item Ledger Entry","12 Quantity","5 Source no.",$C2964,"3 Posting Date",O$9,"4 Entry Type",$C$4,"2 Item No.","@@"&amp;$F2964)</t>
  </si>
  <si>
    <t>=-NL("Sum","32 Item Ledger Entry","12 Quantity","5 Source no.",$C2965,"3 Posting Date",O$9,"4 Entry Type",$C$4,"2 Item No.","@@"&amp;$F2965)</t>
  </si>
  <si>
    <t>=-NL("Sum","32 Item Ledger Entry","12 Quantity","5 Source no.",$C2966,"3 Posting Date",O$9,"4 Entry Type",$C$4,"2 Item No.","@@"&amp;$F2966)</t>
  </si>
  <si>
    <t>=-NL("Sum","32 Item Ledger Entry","12 Quantity","5 Source no.",$C2967,"3 Posting Date",O$9,"4 Entry Type",$C$4,"2 Item No.","@@"&amp;$F2967)</t>
  </si>
  <si>
    <t>=-NL("Sum","32 Item Ledger Entry","12 Quantity","5 Source no.",$C2968,"3 Posting Date",O$9,"4 Entry Type",$C$4,"2 Item No.","@@"&amp;$F2968)</t>
  </si>
  <si>
    <t>=-NL("Sum","32 Item Ledger Entry","12 Quantity","5 Source no.",$C2969,"3 Posting Date",O$9,"4 Entry Type",$C$4,"2 Item No.","@@"&amp;$F2969)</t>
  </si>
  <si>
    <t>=-NL("Sum","32 Item Ledger Entry","12 Quantity","5 Source no.",$C2970,"3 Posting Date",O$9,"4 Entry Type",$C$4,"2 Item No.","@@"&amp;$F2970)</t>
  </si>
  <si>
    <t>=-NL("Sum","32 Item Ledger Entry","12 Quantity","5 Source no.",$C2971,"3 Posting Date",O$9,"4 Entry Type",$C$4,"2 Item No.","@@"&amp;$F2971)</t>
  </si>
  <si>
    <t>=-NL("Sum","32 Item Ledger Entry","12 Quantity","5 Source no.",$C2972,"3 Posting Date",O$9,"4 Entry Type",$C$4,"2 Item No.","@@"&amp;$F2972)</t>
  </si>
  <si>
    <t>=-NL("Sum","32 Item Ledger Entry","12 Quantity","5 Source no.",$C2973,"3 Posting Date",O$9,"4 Entry Type",$C$4,"2 Item No.","@@"&amp;$F2973)</t>
  </si>
  <si>
    <t>=-NL("Sum","32 Item Ledger Entry","12 Quantity","5 Source no.",$C2974,"3 Posting Date",O$9,"4 Entry Type",$C$4,"2 Item No.","@@"&amp;$F2974)</t>
  </si>
  <si>
    <t>=-NL("Sum","32 Item Ledger Entry","12 Quantity","5 Source no.",$C2975,"3 Posting Date",O$9,"4 Entry Type",$C$4,"2 Item No.","@@"&amp;$F2975)</t>
  </si>
  <si>
    <t>=-NL("Sum","32 Item Ledger Entry","12 Quantity","5 Source no.",$C2976,"3 Posting Date",O$9,"4 Entry Type",$C$4,"2 Item No.","@@"&amp;$F2976)</t>
  </si>
  <si>
    <t>=-NL("Sum","32 Item Ledger Entry","12 Quantity","5 Source no.",$C2977,"3 Posting Date",O$9,"4 Entry Type",$C$4,"2 Item No.","@@"&amp;$F2977)</t>
  </si>
  <si>
    <t>=-NL("Sum","32 Item Ledger Entry","12 Quantity","5 Source no.",$C2978,"3 Posting Date",O$9,"4 Entry Type",$C$4,"2 Item No.","@@"&amp;$F2978)</t>
  </si>
  <si>
    <t>=-NL("Sum","32 Item Ledger Entry","12 Quantity","5 Source no.",$C2979,"3 Posting Date",O$9,"4 Entry Type",$C$4,"2 Item No.","@@"&amp;$F2979)</t>
  </si>
  <si>
    <t>=-NL("Sum","32 Item Ledger Entry","12 Quantity","5 Source no.",$C2980,"3 Posting Date",O$9,"4 Entry Type",$C$4,"2 Item No.","@@"&amp;$F2980)</t>
  </si>
  <si>
    <t>=-NL("Sum","32 Item Ledger Entry","12 Quantity","5 Source no.",$C2981,"3 Posting Date",O$9,"4 Entry Type",$C$4,"2 Item No.","@@"&amp;$F2981)</t>
  </si>
  <si>
    <t>=-NL("Sum","32 Item Ledger Entry","12 Quantity","5 Source no.",$C2982,"3 Posting Date",O$9,"4 Entry Type",$C$4,"2 Item No.","@@"&amp;$F2982)</t>
  </si>
  <si>
    <t>=-NL("Sum","32 Item Ledger Entry","12 Quantity","5 Source no.",$C2983,"3 Posting Date",O$9,"4 Entry Type",$C$4,"2 Item No.","@@"&amp;$F2983)</t>
  </si>
  <si>
    <t>=-NL("Sum","32 Item Ledger Entry","12 Quantity","5 Source no.",$C2984,"3 Posting Date",O$9,"4 Entry Type",$C$4,"2 Item No.","@@"&amp;$F2984)</t>
  </si>
  <si>
    <t>=-NL("Sum","32 Item Ledger Entry","12 Quantity","5 Source no.",$C2985,"3 Posting Date",O$9,"4 Entry Type",$C$4,"2 Item No.","@@"&amp;$F2985)</t>
  </si>
  <si>
    <t>=-NL("Sum","32 Item Ledger Entry","12 Quantity","5 Source no.",$C2986,"3 Posting Date",O$9,"4 Entry Type",$C$4,"2 Item No.","@@"&amp;$F2986)</t>
  </si>
  <si>
    <t>=-NL("Sum","32 Item Ledger Entry","12 Quantity","5 Source no.",$C2987,"3 Posting Date",O$9,"4 Entry Type",$C$4,"2 Item No.","@@"&amp;$F2987)</t>
  </si>
  <si>
    <t>=-NL("Sum","32 Item Ledger Entry","12 Quantity","5 Source no.",$C2988,"3 Posting Date",O$9,"4 Entry Type",$C$4,"2 Item No.","@@"&amp;$F2988)</t>
  </si>
  <si>
    <t>=-NL("Sum","32 Item Ledger Entry","12 Quantity","5 Source no.",$C2989,"3 Posting Date",O$9,"4 Entry Type",$C$4,"2 Item No.","@@"&amp;$F2989)</t>
  </si>
  <si>
    <t>=-NL("Sum","32 Item Ledger Entry","12 Quantity","5 Source no.",$C2990,"3 Posting Date",O$9,"4 Entry Type",$C$4,"2 Item No.","@@"&amp;$F2990)</t>
  </si>
  <si>
    <t>=-NL("Sum","32 Item Ledger Entry","12 Quantity","5 Source no.",$C2991,"3 Posting Date",O$9,"4 Entry Type",$C$4,"2 Item No.","@@"&amp;$F2991)</t>
  </si>
  <si>
    <t>=-NL("Sum","32 Item Ledger Entry","12 Quantity","5 Source no.",$C2992,"3 Posting Date",O$9,"4 Entry Type",$C$4,"2 Item No.","@@"&amp;$F2992)</t>
  </si>
  <si>
    <t>=-NL("Sum","32 Item Ledger Entry","12 Quantity","5 Source no.",$C2993,"3 Posting Date",O$9,"4 Entry Type",$C$4,"2 Item No.","@@"&amp;$F2993)</t>
  </si>
  <si>
    <t>=-NL("Sum","32 Item Ledger Entry","12 Quantity","5 Source no.",$C2994,"3 Posting Date",O$9,"4 Entry Type",$C$4,"2 Item No.","@@"&amp;$F2994)</t>
  </si>
  <si>
    <t>=-NL("Sum","32 Item Ledger Entry","12 Quantity","5 Source no.",$C2995,"3 Posting Date",O$9,"4 Entry Type",$C$4,"2 Item No.","@@"&amp;$F2995)</t>
  </si>
  <si>
    <t>=-NL("Sum","32 Item Ledger Entry","12 Quantity","5 Source no.",$C2996,"3 Posting Date",O$9,"4 Entry Type",$C$4,"2 Item No.","@@"&amp;$F2996)</t>
  </si>
  <si>
    <t>=-NL("Sum","32 Item Ledger Entry","12 Quantity","5 Source no.",$C2997,"3 Posting Date",O$9,"4 Entry Type",$C$4,"2 Item No.","@@"&amp;$F2997)</t>
  </si>
  <si>
    <t>=-NL("Sum","32 Item Ledger Entry","12 Quantity","5 Source no.",$C2998,"3 Posting Date",O$9,"4 Entry Type",$C$4,"2 Item No.","@@"&amp;$F2998)</t>
  </si>
  <si>
    <t>=-NL("Sum","32 Item Ledger Entry","12 Quantity","5 Source no.",$C2964,"3 Posting Date",U$9,"4 Entry Type",$C$4,"2 Item No.","@@"&amp;$F2964)</t>
  </si>
  <si>
    <t>=-NL("Sum","32 Item Ledger Entry","12 Quantity","5 Source no.",$C2965,"3 Posting Date",U$9,"4 Entry Type",$C$4,"2 Item No.","@@"&amp;$F2965)</t>
  </si>
  <si>
    <t>=-NL("Sum","32 Item Ledger Entry","12 Quantity","5 Source no.",$C2966,"3 Posting Date",U$9,"4 Entry Type",$C$4,"2 Item No.","@@"&amp;$F2966)</t>
  </si>
  <si>
    <t>=-NL("Sum","32 Item Ledger Entry","12 Quantity","5 Source no.",$C2967,"3 Posting Date",U$9,"4 Entry Type",$C$4,"2 Item No.","@@"&amp;$F2967)</t>
  </si>
  <si>
    <t>=-NL("Sum","32 Item Ledger Entry","12 Quantity","5 Source no.",$C2968,"3 Posting Date",U$9,"4 Entry Type",$C$4,"2 Item No.","@@"&amp;$F2968)</t>
  </si>
  <si>
    <t>=-NL("Sum","32 Item Ledger Entry","12 Quantity","5 Source no.",$C2969,"3 Posting Date",U$9,"4 Entry Type",$C$4,"2 Item No.","@@"&amp;$F2969)</t>
  </si>
  <si>
    <t>=-NL("Sum","32 Item Ledger Entry","12 Quantity","5 Source no.",$C2970,"3 Posting Date",U$9,"4 Entry Type",$C$4,"2 Item No.","@@"&amp;$F2970)</t>
  </si>
  <si>
    <t>=-NL("Sum","32 Item Ledger Entry","12 Quantity","5 Source no.",$C2971,"3 Posting Date",U$9,"4 Entry Type",$C$4,"2 Item No.","@@"&amp;$F2971)</t>
  </si>
  <si>
    <t>=-NL("Sum","32 Item Ledger Entry","12 Quantity","5 Source no.",$C2972,"3 Posting Date",U$9,"4 Entry Type",$C$4,"2 Item No.","@@"&amp;$F2972)</t>
  </si>
  <si>
    <t>=-NL("Sum","32 Item Ledger Entry","12 Quantity","5 Source no.",$C2973,"3 Posting Date",U$9,"4 Entry Type",$C$4,"2 Item No.","@@"&amp;$F2973)</t>
  </si>
  <si>
    <t>=-NL("Sum","32 Item Ledger Entry","12 Quantity","5 Source no.",$C2974,"3 Posting Date",U$9,"4 Entry Type",$C$4,"2 Item No.","@@"&amp;$F2974)</t>
  </si>
  <si>
    <t>=-NL("Sum","32 Item Ledger Entry","12 Quantity","5 Source no.",$C2975,"3 Posting Date",U$9,"4 Entry Type",$C$4,"2 Item No.","@@"&amp;$F2975)</t>
  </si>
  <si>
    <t>=-NL("Sum","32 Item Ledger Entry","12 Quantity","5 Source no.",$C2976,"3 Posting Date",U$9,"4 Entry Type",$C$4,"2 Item No.","@@"&amp;$F2976)</t>
  </si>
  <si>
    <t>=-NL("Sum","32 Item Ledger Entry","12 Quantity","5 Source no.",$C2977,"3 Posting Date",U$9,"4 Entry Type",$C$4,"2 Item No.","@@"&amp;$F2977)</t>
  </si>
  <si>
    <t>=-NL("Sum","32 Item Ledger Entry","12 Quantity","5 Source no.",$C2978,"3 Posting Date",U$9,"4 Entry Type",$C$4,"2 Item No.","@@"&amp;$F2978)</t>
  </si>
  <si>
    <t>=-NL("Sum","32 Item Ledger Entry","12 Quantity","5 Source no.",$C2979,"3 Posting Date",U$9,"4 Entry Type",$C$4,"2 Item No.","@@"&amp;$F2979)</t>
  </si>
  <si>
    <t>=-NL("Sum","32 Item Ledger Entry","12 Quantity","5 Source no.",$C2980,"3 Posting Date",U$9,"4 Entry Type",$C$4,"2 Item No.","@@"&amp;$F2980)</t>
  </si>
  <si>
    <t>=-NL("Sum","32 Item Ledger Entry","12 Quantity","5 Source no.",$C2981,"3 Posting Date",U$9,"4 Entry Type",$C$4,"2 Item No.","@@"&amp;$F2981)</t>
  </si>
  <si>
    <t>=-NL("Sum","32 Item Ledger Entry","12 Quantity","5 Source no.",$C2982,"3 Posting Date",U$9,"4 Entry Type",$C$4,"2 Item No.","@@"&amp;$F2982)</t>
  </si>
  <si>
    <t>=-NL("Sum","32 Item Ledger Entry","12 Quantity","5 Source no.",$C2983,"3 Posting Date",U$9,"4 Entry Type",$C$4,"2 Item No.","@@"&amp;$F2983)</t>
  </si>
  <si>
    <t>=-NL("Sum","32 Item Ledger Entry","12 Quantity","5 Source no.",$C2984,"3 Posting Date",U$9,"4 Entry Type",$C$4,"2 Item No.","@@"&amp;$F2984)</t>
  </si>
  <si>
    <t>=-NL("Sum","32 Item Ledger Entry","12 Quantity","5 Source no.",$C2985,"3 Posting Date",U$9,"4 Entry Type",$C$4,"2 Item No.","@@"&amp;$F2985)</t>
  </si>
  <si>
    <t>=-NL("Sum","32 Item Ledger Entry","12 Quantity","5 Source no.",$C2986,"3 Posting Date",U$9,"4 Entry Type",$C$4,"2 Item No.","@@"&amp;$F2986)</t>
  </si>
  <si>
    <t>=-NL("Sum","32 Item Ledger Entry","12 Quantity","5 Source no.",$C2987,"3 Posting Date",U$9,"4 Entry Type",$C$4,"2 Item No.","@@"&amp;$F2987)</t>
  </si>
  <si>
    <t>=-NL("Sum","32 Item Ledger Entry","12 Quantity","5 Source no.",$C2988,"3 Posting Date",U$9,"4 Entry Type",$C$4,"2 Item No.","@@"&amp;$F2988)</t>
  </si>
  <si>
    <t>=-NL("Sum","32 Item Ledger Entry","12 Quantity","5 Source no.",$C2989,"3 Posting Date",U$9,"4 Entry Type",$C$4,"2 Item No.","@@"&amp;$F2989)</t>
  </si>
  <si>
    <t>=-NL("Sum","32 Item Ledger Entry","12 Quantity","5 Source no.",$C2990,"3 Posting Date",U$9,"4 Entry Type",$C$4,"2 Item No.","@@"&amp;$F2990)</t>
  </si>
  <si>
    <t>=-NL("Sum","32 Item Ledger Entry","12 Quantity","5 Source no.",$C2991,"3 Posting Date",U$9,"4 Entry Type",$C$4,"2 Item No.","@@"&amp;$F2991)</t>
  </si>
  <si>
    <t>=-NL("Sum","32 Item Ledger Entry","12 Quantity","5 Source no.",$C2992,"3 Posting Date",U$9,"4 Entry Type",$C$4,"2 Item No.","@@"&amp;$F2992)</t>
  </si>
  <si>
    <t>=-NL("Sum","32 Item Ledger Entry","12 Quantity","5 Source no.",$C2993,"3 Posting Date",U$9,"4 Entry Type",$C$4,"2 Item No.","@@"&amp;$F2993)</t>
  </si>
  <si>
    <t>=-NL("Sum","32 Item Ledger Entry","12 Quantity","5 Source no.",$C2994,"3 Posting Date",U$9,"4 Entry Type",$C$4,"2 Item No.","@@"&amp;$F2994)</t>
  </si>
  <si>
    <t>=-NL("Sum","32 Item Ledger Entry","12 Quantity","5 Source no.",$C2995,"3 Posting Date",U$9,"4 Entry Type",$C$4,"2 Item No.","@@"&amp;$F2995)</t>
  </si>
  <si>
    <t>=-NL("Sum","32 Item Ledger Entry","12 Quantity","5 Source no.",$C2996,"3 Posting Date",U$9,"4 Entry Type",$C$4,"2 Item No.","@@"&amp;$F2996)</t>
  </si>
  <si>
    <t>=-NL("Sum","32 Item Ledger Entry","12 Quantity","5 Source no.",$C2997,"3 Posting Date",U$9,"4 Entry Type",$C$4,"2 Item No.","@@"&amp;$F2997)</t>
  </si>
  <si>
    <t>=-NL("Sum","32 Item Ledger Entry","12 Quantity","5 Source no.",$C2998,"3 Posting Date",U$9,"4 Entry Type",$C$4,"2 Item No.","@@"&amp;$F2998)</t>
  </si>
  <si>
    <t>=-NL("Sum","32 Item Ledger Entry","12 Quantity","5 Source no.",$C2964,"3 Posting Date",Z$9,"4 Entry Type",$C$4,"2 Item No.","@@"&amp;$F2964)</t>
  </si>
  <si>
    <t>=-NL("Sum","32 Item Ledger Entry","12 Quantity","5 Source no.",$C2965,"3 Posting Date",Z$9,"4 Entry Type",$C$4,"2 Item No.","@@"&amp;$F2965)</t>
  </si>
  <si>
    <t>=-NL("Sum","32 Item Ledger Entry","12 Quantity","5 Source no.",$C2966,"3 Posting Date",Z$9,"4 Entry Type",$C$4,"2 Item No.","@@"&amp;$F2966)</t>
  </si>
  <si>
    <t>=-NL("Sum","32 Item Ledger Entry","12 Quantity","5 Source no.",$C2967,"3 Posting Date",Z$9,"4 Entry Type",$C$4,"2 Item No.","@@"&amp;$F2967)</t>
  </si>
  <si>
    <t>=-NL("Sum","32 Item Ledger Entry","12 Quantity","5 Source no.",$C2968,"3 Posting Date",Z$9,"4 Entry Type",$C$4,"2 Item No.","@@"&amp;$F2968)</t>
  </si>
  <si>
    <t>=-NL("Sum","32 Item Ledger Entry","12 Quantity","5 Source no.",$C2969,"3 Posting Date",Z$9,"4 Entry Type",$C$4,"2 Item No.","@@"&amp;$F2969)</t>
  </si>
  <si>
    <t>=-NL("Sum","32 Item Ledger Entry","12 Quantity","5 Source no.",$C2970,"3 Posting Date",Z$9,"4 Entry Type",$C$4,"2 Item No.","@@"&amp;$F2970)</t>
  </si>
  <si>
    <t>=-NL("Sum","32 Item Ledger Entry","12 Quantity","5 Source no.",$C2971,"3 Posting Date",Z$9,"4 Entry Type",$C$4,"2 Item No.","@@"&amp;$F2971)</t>
  </si>
  <si>
    <t>=-NL("Sum","32 Item Ledger Entry","12 Quantity","5 Source no.",$C2972,"3 Posting Date",Z$9,"4 Entry Type",$C$4,"2 Item No.","@@"&amp;$F2972)</t>
  </si>
  <si>
    <t>=-NL("Sum","32 Item Ledger Entry","12 Quantity","5 Source no.",$C2973,"3 Posting Date",Z$9,"4 Entry Type",$C$4,"2 Item No.","@@"&amp;$F2973)</t>
  </si>
  <si>
    <t>=-NL("Sum","32 Item Ledger Entry","12 Quantity","5 Source no.",$C2974,"3 Posting Date",Z$9,"4 Entry Type",$C$4,"2 Item No.","@@"&amp;$F2974)</t>
  </si>
  <si>
    <t>=-NL("Sum","32 Item Ledger Entry","12 Quantity","5 Source no.",$C2975,"3 Posting Date",Z$9,"4 Entry Type",$C$4,"2 Item No.","@@"&amp;$F2975)</t>
  </si>
  <si>
    <t>=-NL("Sum","32 Item Ledger Entry","12 Quantity","5 Source no.",$C2976,"3 Posting Date",Z$9,"4 Entry Type",$C$4,"2 Item No.","@@"&amp;$F2976)</t>
  </si>
  <si>
    <t>=-NL("Sum","32 Item Ledger Entry","12 Quantity","5 Source no.",$C2977,"3 Posting Date",Z$9,"4 Entry Type",$C$4,"2 Item No.","@@"&amp;$F2977)</t>
  </si>
  <si>
    <t>=-NL("Sum","32 Item Ledger Entry","12 Quantity","5 Source no.",$C2978,"3 Posting Date",Z$9,"4 Entry Type",$C$4,"2 Item No.","@@"&amp;$F2978)</t>
  </si>
  <si>
    <t>=-NL("Sum","32 Item Ledger Entry","12 Quantity","5 Source no.",$C2979,"3 Posting Date",Z$9,"4 Entry Type",$C$4,"2 Item No.","@@"&amp;$F2979)</t>
  </si>
  <si>
    <t>=-NL("Sum","32 Item Ledger Entry","12 Quantity","5 Source no.",$C2980,"3 Posting Date",Z$9,"4 Entry Type",$C$4,"2 Item No.","@@"&amp;$F2980)</t>
  </si>
  <si>
    <t>=-NL("Sum","32 Item Ledger Entry","12 Quantity","5 Source no.",$C2981,"3 Posting Date",Z$9,"4 Entry Type",$C$4,"2 Item No.","@@"&amp;$F2981)</t>
  </si>
  <si>
    <t>=-NL("Sum","32 Item Ledger Entry","12 Quantity","5 Source no.",$C2982,"3 Posting Date",Z$9,"4 Entry Type",$C$4,"2 Item No.","@@"&amp;$F2982)</t>
  </si>
  <si>
    <t>=-NL("Sum","32 Item Ledger Entry","12 Quantity","5 Source no.",$C2983,"3 Posting Date",Z$9,"4 Entry Type",$C$4,"2 Item No.","@@"&amp;$F2983)</t>
  </si>
  <si>
    <t>=-NL("Sum","32 Item Ledger Entry","12 Quantity","5 Source no.",$C2984,"3 Posting Date",Z$9,"4 Entry Type",$C$4,"2 Item No.","@@"&amp;$F2984)</t>
  </si>
  <si>
    <t>=-NL("Sum","32 Item Ledger Entry","12 Quantity","5 Source no.",$C2985,"3 Posting Date",Z$9,"4 Entry Type",$C$4,"2 Item No.","@@"&amp;$F2985)</t>
  </si>
  <si>
    <t>=-NL("Sum","32 Item Ledger Entry","12 Quantity","5 Source no.",$C2986,"3 Posting Date",Z$9,"4 Entry Type",$C$4,"2 Item No.","@@"&amp;$F2986)</t>
  </si>
  <si>
    <t>=-NL("Sum","32 Item Ledger Entry","12 Quantity","5 Source no.",$C2987,"3 Posting Date",Z$9,"4 Entry Type",$C$4,"2 Item No.","@@"&amp;$F2987)</t>
  </si>
  <si>
    <t>=-NL("Sum","32 Item Ledger Entry","12 Quantity","5 Source no.",$C2988,"3 Posting Date",Z$9,"4 Entry Type",$C$4,"2 Item No.","@@"&amp;$F2988)</t>
  </si>
  <si>
    <t>=-NL("Sum","32 Item Ledger Entry","12 Quantity","5 Source no.",$C2989,"3 Posting Date",Z$9,"4 Entry Type",$C$4,"2 Item No.","@@"&amp;$F2989)</t>
  </si>
  <si>
    <t>=-NL("Sum","32 Item Ledger Entry","12 Quantity","5 Source no.",$C2990,"3 Posting Date",Z$9,"4 Entry Type",$C$4,"2 Item No.","@@"&amp;$F2990)</t>
  </si>
  <si>
    <t>=-NL("Sum","32 Item Ledger Entry","12 Quantity","5 Source no.",$C2991,"3 Posting Date",Z$9,"4 Entry Type",$C$4,"2 Item No.","@@"&amp;$F2991)</t>
  </si>
  <si>
    <t>=-NL("Sum","32 Item Ledger Entry","12 Quantity","5 Source no.",$C2992,"3 Posting Date",Z$9,"4 Entry Type",$C$4,"2 Item No.","@@"&amp;$F2992)</t>
  </si>
  <si>
    <t>=-NL("Sum","32 Item Ledger Entry","12 Quantity","5 Source no.",$C2993,"3 Posting Date",Z$9,"4 Entry Type",$C$4,"2 Item No.","@@"&amp;$F2993)</t>
  </si>
  <si>
    <t>=-NL("Sum","32 Item Ledger Entry","12 Quantity","5 Source no.",$C2994,"3 Posting Date",Z$9,"4 Entry Type",$C$4,"2 Item No.","@@"&amp;$F2994)</t>
  </si>
  <si>
    <t>=-NL("Sum","32 Item Ledger Entry","12 Quantity","5 Source no.",$C2995,"3 Posting Date",Z$9,"4 Entry Type",$C$4,"2 Item No.","@@"&amp;$F2995)</t>
  </si>
  <si>
    <t>=-NL("Sum","32 Item Ledger Entry","12 Quantity","5 Source no.",$C2996,"3 Posting Date",Z$9,"4 Entry Type",$C$4,"2 Item No.","@@"&amp;$F2996)</t>
  </si>
  <si>
    <t>=-NL("Sum","32 Item Ledger Entry","12 Quantity","5 Source no.",$C2997,"3 Posting Date",Z$9,"4 Entry Type",$C$4,"2 Item No.","@@"&amp;$F2997)</t>
  </si>
  <si>
    <t>=-NL("Sum","32 Item Ledger Entry","12 Quantity","5 Source no.",$C2998,"3 Posting Date",Z$9,"4 Entry Type",$C$4,"2 Item No.","@@"&amp;$F2998)</t>
  </si>
  <si>
    <t>=NL(,"27 Item","3 Description","1 No.","@@"&amp;F2913)</t>
  </si>
  <si>
    <t>=NL(,"27 Item","3 Description","1 No.","@@"&amp;F2914)</t>
  </si>
  <si>
    <t>=NL(,"27 Item","3 Description","1 No.","@@"&amp;F2915)</t>
  </si>
  <si>
    <t>=NL(,"27 Item","3 Description","1 No.","@@"&amp;F2916)</t>
  </si>
  <si>
    <t>=NL(,"27 Item","3 Description","1 No.","@@"&amp;F2917)</t>
  </si>
  <si>
    <t>=NL(,"27 Item","3 Description","1 No.","@@"&amp;F2918)</t>
  </si>
  <si>
    <t>=NL(,"27 Item","3 Description","1 No.","@@"&amp;F2919)</t>
  </si>
  <si>
    <t>=NL(,"27 Item","3 Description","1 No.","@@"&amp;F2920)</t>
  </si>
  <si>
    <t>=NL(,"27 Item","3 Description","1 No.","@@"&amp;F2921)</t>
  </si>
  <si>
    <t>=NL(,"27 Item","3 Description","1 No.","@@"&amp;F2922)</t>
  </si>
  <si>
    <t>=NL(,"27 Item","3 Description","1 No.","@@"&amp;F2923)</t>
  </si>
  <si>
    <t>=NL(,"27 Item","3 Description","1 No.","@@"&amp;F2924)</t>
  </si>
  <si>
    <t>=NL(,"27 Item","3 Description","1 No.","@@"&amp;F2925)</t>
  </si>
  <si>
    <t>=NL(,"27 Item","3 Description","1 No.","@@"&amp;F2926)</t>
  </si>
  <si>
    <t>=NL(,"27 Item","3 Description","1 No.","@@"&amp;F2927)</t>
  </si>
  <si>
    <t>=NL(,"27 Item","3 Description","1 No.","@@"&amp;F2928)</t>
  </si>
  <si>
    <t>=NL(,"27 Item","3 Description","1 No.","@@"&amp;F2929)</t>
  </si>
  <si>
    <t>=NL(,"27 Item","3 Description","1 No.","@@"&amp;F2930)</t>
  </si>
  <si>
    <t>=NL(,"27 Item","3 Description","1 No.","@@"&amp;F2931)</t>
  </si>
  <si>
    <t>=NL(,"27 Item","3 Description","1 No.","@@"&amp;F2932)</t>
  </si>
  <si>
    <t>=NL(,"27 Item","3 Description","1 No.","@@"&amp;F2933)</t>
  </si>
  <si>
    <t>=NL(,"27 Item","3 Description","1 No.","@@"&amp;F2934)</t>
  </si>
  <si>
    <t>=NL(,"27 Item","3 Description","1 No.","@@"&amp;F2935)</t>
  </si>
  <si>
    <t>=NL(,"27 Item","3 Description","1 No.","@@"&amp;F2936)</t>
  </si>
  <si>
    <t>=NL(,"27 Item","3 Description","1 No.","@@"&amp;F2937)</t>
  </si>
  <si>
    <t>=NL(,"27 Item","3 Description","1 No.","@@"&amp;F2938)</t>
  </si>
  <si>
    <t>=NL(,"27 Item","3 Description","1 No.","@@"&amp;F2939)</t>
  </si>
  <si>
    <t>=NL(,"27 Item","3 Description","1 No.","@@"&amp;F2940)</t>
  </si>
  <si>
    <t>=NL(,"27 Item","3 Description","1 No.","@@"&amp;F2941)</t>
  </si>
  <si>
    <t>=NL(,"27 Item","3 Description","1 No.","@@"&amp;F2942)</t>
  </si>
  <si>
    <t>=NL(,"27 Item","3 Description","1 No.","@@"&amp;F2943)</t>
  </si>
  <si>
    <t>=NL(,"27 Item","3 Description","1 No.","@@"&amp;F2944)</t>
  </si>
  <si>
    <t>=NL(,"27 Item","3 Description","1 No.","@@"&amp;F2945)</t>
  </si>
  <si>
    <t>=NL(,"27 Item","3 Description","1 No.","@@"&amp;F2946)</t>
  </si>
  <si>
    <t>=NL(,"27 Item","3 Description","1 No.","@@"&amp;F2947)</t>
  </si>
  <si>
    <t>=NL(,"27 Item","3 Description","1 No.","@@"&amp;F2948)</t>
  </si>
  <si>
    <t>=NL(,"27 Item","3 Description","1 No.","@@"&amp;F2949)</t>
  </si>
  <si>
    <t>=NL(,"27 Item","3 Description","1 No.","@@"&amp;F2950)</t>
  </si>
  <si>
    <t>=NL(,"27 Item","3 Description","1 No.","@@"&amp;F2951)</t>
  </si>
  <si>
    <t>=NL(,"27 Item","3 Description","1 No.","@@"&amp;F2952)</t>
  </si>
  <si>
    <t>=NL(,"27 Item","3 Description","1 No.","@@"&amp;F2953)</t>
  </si>
  <si>
    <t>=NL(,"27 Item","3 Description","1 No.","@@"&amp;F2954)</t>
  </si>
  <si>
    <t>=NL(,"27 Item","3 Description","1 No.","@@"&amp;F2955)</t>
  </si>
  <si>
    <t>=NL(,"27 Item","3 Description","1 No.","@@"&amp;F2956)</t>
  </si>
  <si>
    <t>=NL(,"27 Item","3 Description","1 No.","@@"&amp;F2957)</t>
  </si>
  <si>
    <t>=NL(,"27 Item","3 Description","1 No.","@@"&amp;F2958)</t>
  </si>
  <si>
    <t>=-NL("Sum","32 Item Ledger Entry","12 Quantity","5 Source no.",$C2913,"3 Posting Date",J$9,"4 Entry Type",$C$4,"2 Item No.","@@"&amp;$F2913)</t>
  </si>
  <si>
    <t>=-NL("Sum","32 Item Ledger Entry","12 Quantity","5 Source no.",$C2914,"3 Posting Date",J$9,"4 Entry Type",$C$4,"2 Item No.","@@"&amp;$F2914)</t>
  </si>
  <si>
    <t>=-NL("Sum","32 Item Ledger Entry","12 Quantity","5 Source no.",$C2915,"3 Posting Date",J$9,"4 Entry Type",$C$4,"2 Item No.","@@"&amp;$F2915)</t>
  </si>
  <si>
    <t>=-NL("Sum","32 Item Ledger Entry","12 Quantity","5 Source no.",$C2916,"3 Posting Date",J$9,"4 Entry Type",$C$4,"2 Item No.","@@"&amp;$F2916)</t>
  </si>
  <si>
    <t>=-NL("Sum","32 Item Ledger Entry","12 Quantity","5 Source no.",$C2917,"3 Posting Date",J$9,"4 Entry Type",$C$4,"2 Item No.","@@"&amp;$F2917)</t>
  </si>
  <si>
    <t>=-NL("Sum","32 Item Ledger Entry","12 Quantity","5 Source no.",$C2918,"3 Posting Date",J$9,"4 Entry Type",$C$4,"2 Item No.","@@"&amp;$F2918)</t>
  </si>
  <si>
    <t>=-NL("Sum","32 Item Ledger Entry","12 Quantity","5 Source no.",$C2919,"3 Posting Date",J$9,"4 Entry Type",$C$4,"2 Item No.","@@"&amp;$F2919)</t>
  </si>
  <si>
    <t>=-NL("Sum","32 Item Ledger Entry","12 Quantity","5 Source no.",$C2920,"3 Posting Date",J$9,"4 Entry Type",$C$4,"2 Item No.","@@"&amp;$F2920)</t>
  </si>
  <si>
    <t>=-NL("Sum","32 Item Ledger Entry","12 Quantity","5 Source no.",$C2921,"3 Posting Date",J$9,"4 Entry Type",$C$4,"2 Item No.","@@"&amp;$F2921)</t>
  </si>
  <si>
    <t>=-NL("Sum","32 Item Ledger Entry","12 Quantity","5 Source no.",$C2922,"3 Posting Date",J$9,"4 Entry Type",$C$4,"2 Item No.","@@"&amp;$F2922)</t>
  </si>
  <si>
    <t>=-NL("Sum","32 Item Ledger Entry","12 Quantity","5 Source no.",$C2923,"3 Posting Date",J$9,"4 Entry Type",$C$4,"2 Item No.","@@"&amp;$F2923)</t>
  </si>
  <si>
    <t>=-NL("Sum","32 Item Ledger Entry","12 Quantity","5 Source no.",$C2924,"3 Posting Date",J$9,"4 Entry Type",$C$4,"2 Item No.","@@"&amp;$F2924)</t>
  </si>
  <si>
    <t>=-NL("Sum","32 Item Ledger Entry","12 Quantity","5 Source no.",$C2925,"3 Posting Date",J$9,"4 Entry Type",$C$4,"2 Item No.","@@"&amp;$F2925)</t>
  </si>
  <si>
    <t>=-NL("Sum","32 Item Ledger Entry","12 Quantity","5 Source no.",$C2926,"3 Posting Date",J$9,"4 Entry Type",$C$4,"2 Item No.","@@"&amp;$F2926)</t>
  </si>
  <si>
    <t>=-NL("Sum","32 Item Ledger Entry","12 Quantity","5 Source no.",$C2927,"3 Posting Date",J$9,"4 Entry Type",$C$4,"2 Item No.","@@"&amp;$F2927)</t>
  </si>
  <si>
    <t>=-NL("Sum","32 Item Ledger Entry","12 Quantity","5 Source no.",$C2928,"3 Posting Date",J$9,"4 Entry Type",$C$4,"2 Item No.","@@"&amp;$F2928)</t>
  </si>
  <si>
    <t>=-NL("Sum","32 Item Ledger Entry","12 Quantity","5 Source no.",$C2929,"3 Posting Date",J$9,"4 Entry Type",$C$4,"2 Item No.","@@"&amp;$F2929)</t>
  </si>
  <si>
    <t>=-NL("Sum","32 Item Ledger Entry","12 Quantity","5 Source no.",$C2930,"3 Posting Date",J$9,"4 Entry Type",$C$4,"2 Item No.","@@"&amp;$F2930)</t>
  </si>
  <si>
    <t>=-NL("Sum","32 Item Ledger Entry","12 Quantity","5 Source no.",$C2931,"3 Posting Date",J$9,"4 Entry Type",$C$4,"2 Item No.","@@"&amp;$F2931)</t>
  </si>
  <si>
    <t>=-NL("Sum","32 Item Ledger Entry","12 Quantity","5 Source no.",$C2932,"3 Posting Date",J$9,"4 Entry Type",$C$4,"2 Item No.","@@"&amp;$F2932)</t>
  </si>
  <si>
    <t>=-NL("Sum","32 Item Ledger Entry","12 Quantity","5 Source no.",$C2933,"3 Posting Date",J$9,"4 Entry Type",$C$4,"2 Item No.","@@"&amp;$F2933)</t>
  </si>
  <si>
    <t>=-NL("Sum","32 Item Ledger Entry","12 Quantity","5 Source no.",$C2934,"3 Posting Date",J$9,"4 Entry Type",$C$4,"2 Item No.","@@"&amp;$F2934)</t>
  </si>
  <si>
    <t>=-NL("Sum","32 Item Ledger Entry","12 Quantity","5 Source no.",$C2935,"3 Posting Date",J$9,"4 Entry Type",$C$4,"2 Item No.","@@"&amp;$F2935)</t>
  </si>
  <si>
    <t>=-NL("Sum","32 Item Ledger Entry","12 Quantity","5 Source no.",$C2936,"3 Posting Date",J$9,"4 Entry Type",$C$4,"2 Item No.","@@"&amp;$F2936)</t>
  </si>
  <si>
    <t>=-NL("Sum","32 Item Ledger Entry","12 Quantity","5 Source no.",$C2937,"3 Posting Date",J$9,"4 Entry Type",$C$4,"2 Item No.","@@"&amp;$F2937)</t>
  </si>
  <si>
    <t>=-NL("Sum","32 Item Ledger Entry","12 Quantity","5 Source no.",$C2938,"3 Posting Date",J$9,"4 Entry Type",$C$4,"2 Item No.","@@"&amp;$F2938)</t>
  </si>
  <si>
    <t>=-NL("Sum","32 Item Ledger Entry","12 Quantity","5 Source no.",$C2939,"3 Posting Date",J$9,"4 Entry Type",$C$4,"2 Item No.","@@"&amp;$F2939)</t>
  </si>
  <si>
    <t>=-NL("Sum","32 Item Ledger Entry","12 Quantity","5 Source no.",$C2940,"3 Posting Date",J$9,"4 Entry Type",$C$4,"2 Item No.","@@"&amp;$F2940)</t>
  </si>
  <si>
    <t>=-NL("Sum","32 Item Ledger Entry","12 Quantity","5 Source no.",$C2941,"3 Posting Date",J$9,"4 Entry Type",$C$4,"2 Item No.","@@"&amp;$F2941)</t>
  </si>
  <si>
    <t>=-NL("Sum","32 Item Ledger Entry","12 Quantity","5 Source no.",$C2942,"3 Posting Date",J$9,"4 Entry Type",$C$4,"2 Item No.","@@"&amp;$F2942)</t>
  </si>
  <si>
    <t>=-NL("Sum","32 Item Ledger Entry","12 Quantity","5 Source no.",$C2943,"3 Posting Date",J$9,"4 Entry Type",$C$4,"2 Item No.","@@"&amp;$F2943)</t>
  </si>
  <si>
    <t>=-NL("Sum","32 Item Ledger Entry","12 Quantity","5 Source no.",$C2944,"3 Posting Date",J$9,"4 Entry Type",$C$4,"2 Item No.","@@"&amp;$F2944)</t>
  </si>
  <si>
    <t>=-NL("Sum","32 Item Ledger Entry","12 Quantity","5 Source no.",$C2945,"3 Posting Date",J$9,"4 Entry Type",$C$4,"2 Item No.","@@"&amp;$F2945)</t>
  </si>
  <si>
    <t>=-NL("Sum","32 Item Ledger Entry","12 Quantity","5 Source no.",$C2946,"3 Posting Date",J$9,"4 Entry Type",$C$4,"2 Item No.","@@"&amp;$F2946)</t>
  </si>
  <si>
    <t>=-NL("Sum","32 Item Ledger Entry","12 Quantity","5 Source no.",$C2947,"3 Posting Date",J$9,"4 Entry Type",$C$4,"2 Item No.","@@"&amp;$F2947)</t>
  </si>
  <si>
    <t>=-NL("Sum","32 Item Ledger Entry","12 Quantity","5 Source no.",$C2948,"3 Posting Date",J$9,"4 Entry Type",$C$4,"2 Item No.","@@"&amp;$F2948)</t>
  </si>
  <si>
    <t>=-NL("Sum","32 Item Ledger Entry","12 Quantity","5 Source no.",$C2949,"3 Posting Date",J$9,"4 Entry Type",$C$4,"2 Item No.","@@"&amp;$F2949)</t>
  </si>
  <si>
    <t>=-NL("Sum","32 Item Ledger Entry","12 Quantity","5 Source no.",$C2950,"3 Posting Date",J$9,"4 Entry Type",$C$4,"2 Item No.","@@"&amp;$F2950)</t>
  </si>
  <si>
    <t>=-NL("Sum","32 Item Ledger Entry","12 Quantity","5 Source no.",$C2951,"3 Posting Date",J$9,"4 Entry Type",$C$4,"2 Item No.","@@"&amp;$F2951)</t>
  </si>
  <si>
    <t>=-NL("Sum","32 Item Ledger Entry","12 Quantity","5 Source no.",$C2952,"3 Posting Date",J$9,"4 Entry Type",$C$4,"2 Item No.","@@"&amp;$F2952)</t>
  </si>
  <si>
    <t>=-NL("Sum","32 Item Ledger Entry","12 Quantity","5 Source no.",$C2953,"3 Posting Date",J$9,"4 Entry Type",$C$4,"2 Item No.","@@"&amp;$F2953)</t>
  </si>
  <si>
    <t>=-NL("Sum","32 Item Ledger Entry","12 Quantity","5 Source no.",$C2954,"3 Posting Date",J$9,"4 Entry Type",$C$4,"2 Item No.","@@"&amp;$F2954)</t>
  </si>
  <si>
    <t>=-NL("Sum","32 Item Ledger Entry","12 Quantity","5 Source no.",$C2955,"3 Posting Date",J$9,"4 Entry Type",$C$4,"2 Item No.","@@"&amp;$F2955)</t>
  </si>
  <si>
    <t>=-NL("Sum","32 Item Ledger Entry","12 Quantity","5 Source no.",$C2956,"3 Posting Date",J$9,"4 Entry Type",$C$4,"2 Item No.","@@"&amp;$F2956)</t>
  </si>
  <si>
    <t>=-NL("Sum","32 Item Ledger Entry","12 Quantity","5 Source no.",$C2957,"3 Posting Date",J$9,"4 Entry Type",$C$4,"2 Item No.","@@"&amp;$F2957)</t>
  </si>
  <si>
    <t>=-NL("Sum","32 Item Ledger Entry","12 Quantity","5 Source no.",$C2958,"3 Posting Date",J$9,"4 Entry Type",$C$4,"2 Item No.","@@"&amp;$F2958)</t>
  </si>
  <si>
    <t>=-NL("Sum","32 Item Ledger Entry","12 Quantity","5 Source no.",$C2913,"3 Posting Date",O$9,"4 Entry Type",$C$4,"2 Item No.","@@"&amp;$F2913)</t>
  </si>
  <si>
    <t>=-NL("Sum","32 Item Ledger Entry","12 Quantity","5 Source no.",$C2914,"3 Posting Date",O$9,"4 Entry Type",$C$4,"2 Item No.","@@"&amp;$F2914)</t>
  </si>
  <si>
    <t>=-NL("Sum","32 Item Ledger Entry","12 Quantity","5 Source no.",$C2915,"3 Posting Date",O$9,"4 Entry Type",$C$4,"2 Item No.","@@"&amp;$F2915)</t>
  </si>
  <si>
    <t>=-NL("Sum","32 Item Ledger Entry","12 Quantity","5 Source no.",$C2916,"3 Posting Date",O$9,"4 Entry Type",$C$4,"2 Item No.","@@"&amp;$F2916)</t>
  </si>
  <si>
    <t>=-NL("Sum","32 Item Ledger Entry","12 Quantity","5 Source no.",$C2917,"3 Posting Date",O$9,"4 Entry Type",$C$4,"2 Item No.","@@"&amp;$F2917)</t>
  </si>
  <si>
    <t>=-NL("Sum","32 Item Ledger Entry","12 Quantity","5 Source no.",$C2918,"3 Posting Date",O$9,"4 Entry Type",$C$4,"2 Item No.","@@"&amp;$F2918)</t>
  </si>
  <si>
    <t>=-NL("Sum","32 Item Ledger Entry","12 Quantity","5 Source no.",$C2919,"3 Posting Date",O$9,"4 Entry Type",$C$4,"2 Item No.","@@"&amp;$F2919)</t>
  </si>
  <si>
    <t>=-NL("Sum","32 Item Ledger Entry","12 Quantity","5 Source no.",$C2920,"3 Posting Date",O$9,"4 Entry Type",$C$4,"2 Item No.","@@"&amp;$F2920)</t>
  </si>
  <si>
    <t>=-NL("Sum","32 Item Ledger Entry","12 Quantity","5 Source no.",$C2921,"3 Posting Date",O$9,"4 Entry Type",$C$4,"2 Item No.","@@"&amp;$F2921)</t>
  </si>
  <si>
    <t>=-NL("Sum","32 Item Ledger Entry","12 Quantity","5 Source no.",$C2922,"3 Posting Date",O$9,"4 Entry Type",$C$4,"2 Item No.","@@"&amp;$F2922)</t>
  </si>
  <si>
    <t>=-NL("Sum","32 Item Ledger Entry","12 Quantity","5 Source no.",$C2923,"3 Posting Date",O$9,"4 Entry Type",$C$4,"2 Item No.","@@"&amp;$F2923)</t>
  </si>
  <si>
    <t>=-NL("Sum","32 Item Ledger Entry","12 Quantity","5 Source no.",$C2924,"3 Posting Date",O$9,"4 Entry Type",$C$4,"2 Item No.","@@"&amp;$F2924)</t>
  </si>
  <si>
    <t>=-NL("Sum","32 Item Ledger Entry","12 Quantity","5 Source no.",$C2925,"3 Posting Date",O$9,"4 Entry Type",$C$4,"2 Item No.","@@"&amp;$F2925)</t>
  </si>
  <si>
    <t>=-NL("Sum","32 Item Ledger Entry","12 Quantity","5 Source no.",$C2926,"3 Posting Date",O$9,"4 Entry Type",$C$4,"2 Item No.","@@"&amp;$F2926)</t>
  </si>
  <si>
    <t>=-NL("Sum","32 Item Ledger Entry","12 Quantity","5 Source no.",$C2927,"3 Posting Date",O$9,"4 Entry Type",$C$4,"2 Item No.","@@"&amp;$F2927)</t>
  </si>
  <si>
    <t>=-NL("Sum","32 Item Ledger Entry","12 Quantity","5 Source no.",$C2928,"3 Posting Date",O$9,"4 Entry Type",$C$4,"2 Item No.","@@"&amp;$F2928)</t>
  </si>
  <si>
    <t>=-NL("Sum","32 Item Ledger Entry","12 Quantity","5 Source no.",$C2929,"3 Posting Date",O$9,"4 Entry Type",$C$4,"2 Item No.","@@"&amp;$F2929)</t>
  </si>
  <si>
    <t>=-NL("Sum","32 Item Ledger Entry","12 Quantity","5 Source no.",$C2930,"3 Posting Date",O$9,"4 Entry Type",$C$4,"2 Item No.","@@"&amp;$F2930)</t>
  </si>
  <si>
    <t>=-NL("Sum","32 Item Ledger Entry","12 Quantity","5 Source no.",$C2931,"3 Posting Date",O$9,"4 Entry Type",$C$4,"2 Item No.","@@"&amp;$F2931)</t>
  </si>
  <si>
    <t>=-NL("Sum","32 Item Ledger Entry","12 Quantity","5 Source no.",$C2932,"3 Posting Date",O$9,"4 Entry Type",$C$4,"2 Item No.","@@"&amp;$F2932)</t>
  </si>
  <si>
    <t>=-NL("Sum","32 Item Ledger Entry","12 Quantity","5 Source no.",$C2933,"3 Posting Date",O$9,"4 Entry Type",$C$4,"2 Item No.","@@"&amp;$F2933)</t>
  </si>
  <si>
    <t>=-NL("Sum","32 Item Ledger Entry","12 Quantity","5 Source no.",$C2934,"3 Posting Date",O$9,"4 Entry Type",$C$4,"2 Item No.","@@"&amp;$F2934)</t>
  </si>
  <si>
    <t>=-NL("Sum","32 Item Ledger Entry","12 Quantity","5 Source no.",$C2935,"3 Posting Date",O$9,"4 Entry Type",$C$4,"2 Item No.","@@"&amp;$F2935)</t>
  </si>
  <si>
    <t>=-NL("Sum","32 Item Ledger Entry","12 Quantity","5 Source no.",$C2936,"3 Posting Date",O$9,"4 Entry Type",$C$4,"2 Item No.","@@"&amp;$F2936)</t>
  </si>
  <si>
    <t>=-NL("Sum","32 Item Ledger Entry","12 Quantity","5 Source no.",$C2937,"3 Posting Date",O$9,"4 Entry Type",$C$4,"2 Item No.","@@"&amp;$F2937)</t>
  </si>
  <si>
    <t>=-NL("Sum","32 Item Ledger Entry","12 Quantity","5 Source no.",$C2938,"3 Posting Date",O$9,"4 Entry Type",$C$4,"2 Item No.","@@"&amp;$F2938)</t>
  </si>
  <si>
    <t>=-NL("Sum","32 Item Ledger Entry","12 Quantity","5 Source no.",$C2939,"3 Posting Date",O$9,"4 Entry Type",$C$4,"2 Item No.","@@"&amp;$F2939)</t>
  </si>
  <si>
    <t>=-NL("Sum","32 Item Ledger Entry","12 Quantity","5 Source no.",$C2940,"3 Posting Date",O$9,"4 Entry Type",$C$4,"2 Item No.","@@"&amp;$F2940)</t>
  </si>
  <si>
    <t>=-NL("Sum","32 Item Ledger Entry","12 Quantity","5 Source no.",$C2941,"3 Posting Date",O$9,"4 Entry Type",$C$4,"2 Item No.","@@"&amp;$F2941)</t>
  </si>
  <si>
    <t>=-NL("Sum","32 Item Ledger Entry","12 Quantity","5 Source no.",$C2942,"3 Posting Date",O$9,"4 Entry Type",$C$4,"2 Item No.","@@"&amp;$F2942)</t>
  </si>
  <si>
    <t>=-NL("Sum","32 Item Ledger Entry","12 Quantity","5 Source no.",$C2943,"3 Posting Date",O$9,"4 Entry Type",$C$4,"2 Item No.","@@"&amp;$F2943)</t>
  </si>
  <si>
    <t>=-NL("Sum","32 Item Ledger Entry","12 Quantity","5 Source no.",$C2944,"3 Posting Date",O$9,"4 Entry Type",$C$4,"2 Item No.","@@"&amp;$F2944)</t>
  </si>
  <si>
    <t>=-NL("Sum","32 Item Ledger Entry","12 Quantity","5 Source no.",$C2945,"3 Posting Date",O$9,"4 Entry Type",$C$4,"2 Item No.","@@"&amp;$F2945)</t>
  </si>
  <si>
    <t>=-NL("Sum","32 Item Ledger Entry","12 Quantity","5 Source no.",$C2946,"3 Posting Date",O$9,"4 Entry Type",$C$4,"2 Item No.","@@"&amp;$F2946)</t>
  </si>
  <si>
    <t>=-NL("Sum","32 Item Ledger Entry","12 Quantity","5 Source no.",$C2947,"3 Posting Date",O$9,"4 Entry Type",$C$4,"2 Item No.","@@"&amp;$F2947)</t>
  </si>
  <si>
    <t>=-NL("Sum","32 Item Ledger Entry","12 Quantity","5 Source no.",$C2948,"3 Posting Date",O$9,"4 Entry Type",$C$4,"2 Item No.","@@"&amp;$F2948)</t>
  </si>
  <si>
    <t>=-NL("Sum","32 Item Ledger Entry","12 Quantity","5 Source no.",$C2949,"3 Posting Date",O$9,"4 Entry Type",$C$4,"2 Item No.","@@"&amp;$F2949)</t>
  </si>
  <si>
    <t>=-NL("Sum","32 Item Ledger Entry","12 Quantity","5 Source no.",$C2950,"3 Posting Date",O$9,"4 Entry Type",$C$4,"2 Item No.","@@"&amp;$F2950)</t>
  </si>
  <si>
    <t>=-NL("Sum","32 Item Ledger Entry","12 Quantity","5 Source no.",$C2951,"3 Posting Date",O$9,"4 Entry Type",$C$4,"2 Item No.","@@"&amp;$F2951)</t>
  </si>
  <si>
    <t>=-NL("Sum","32 Item Ledger Entry","12 Quantity","5 Source no.",$C2952,"3 Posting Date",O$9,"4 Entry Type",$C$4,"2 Item No.","@@"&amp;$F2952)</t>
  </si>
  <si>
    <t>=-NL("Sum","32 Item Ledger Entry","12 Quantity","5 Source no.",$C2953,"3 Posting Date",O$9,"4 Entry Type",$C$4,"2 Item No.","@@"&amp;$F2953)</t>
  </si>
  <si>
    <t>=-NL("Sum","32 Item Ledger Entry","12 Quantity","5 Source no.",$C2954,"3 Posting Date",O$9,"4 Entry Type",$C$4,"2 Item No.","@@"&amp;$F2954)</t>
  </si>
  <si>
    <t>=-NL("Sum","32 Item Ledger Entry","12 Quantity","5 Source no.",$C2955,"3 Posting Date",O$9,"4 Entry Type",$C$4,"2 Item No.","@@"&amp;$F2955)</t>
  </si>
  <si>
    <t>=-NL("Sum","32 Item Ledger Entry","12 Quantity","5 Source no.",$C2956,"3 Posting Date",O$9,"4 Entry Type",$C$4,"2 Item No.","@@"&amp;$F2956)</t>
  </si>
  <si>
    <t>=-NL("Sum","32 Item Ledger Entry","12 Quantity","5 Source no.",$C2957,"3 Posting Date",O$9,"4 Entry Type",$C$4,"2 Item No.","@@"&amp;$F2957)</t>
  </si>
  <si>
    <t>=-NL("Sum","32 Item Ledger Entry","12 Quantity","5 Source no.",$C2958,"3 Posting Date",O$9,"4 Entry Type",$C$4,"2 Item No.","@@"&amp;$F2958)</t>
  </si>
  <si>
    <t>=-NL("Sum","32 Item Ledger Entry","12 Quantity","5 Source no.",$C2913,"3 Posting Date",U$9,"4 Entry Type",$C$4,"2 Item No.","@@"&amp;$F2913)</t>
  </si>
  <si>
    <t>=-NL("Sum","32 Item Ledger Entry","12 Quantity","5 Source no.",$C2914,"3 Posting Date",U$9,"4 Entry Type",$C$4,"2 Item No.","@@"&amp;$F2914)</t>
  </si>
  <si>
    <t>=-NL("Sum","32 Item Ledger Entry","12 Quantity","5 Source no.",$C2915,"3 Posting Date",U$9,"4 Entry Type",$C$4,"2 Item No.","@@"&amp;$F2915)</t>
  </si>
  <si>
    <t>=-NL("Sum","32 Item Ledger Entry","12 Quantity","5 Source no.",$C2916,"3 Posting Date",U$9,"4 Entry Type",$C$4,"2 Item No.","@@"&amp;$F2916)</t>
  </si>
  <si>
    <t>=-NL("Sum","32 Item Ledger Entry","12 Quantity","5 Source no.",$C2917,"3 Posting Date",U$9,"4 Entry Type",$C$4,"2 Item No.","@@"&amp;$F2917)</t>
  </si>
  <si>
    <t>=-NL("Sum","32 Item Ledger Entry","12 Quantity","5 Source no.",$C2918,"3 Posting Date",U$9,"4 Entry Type",$C$4,"2 Item No.","@@"&amp;$F2918)</t>
  </si>
  <si>
    <t>=-NL("Sum","32 Item Ledger Entry","12 Quantity","5 Source no.",$C2919,"3 Posting Date",U$9,"4 Entry Type",$C$4,"2 Item No.","@@"&amp;$F2919)</t>
  </si>
  <si>
    <t>=-NL("Sum","32 Item Ledger Entry","12 Quantity","5 Source no.",$C2920,"3 Posting Date",U$9,"4 Entry Type",$C$4,"2 Item No.","@@"&amp;$F2920)</t>
  </si>
  <si>
    <t>=-NL("Sum","32 Item Ledger Entry","12 Quantity","5 Source no.",$C2921,"3 Posting Date",U$9,"4 Entry Type",$C$4,"2 Item No.","@@"&amp;$F2921)</t>
  </si>
  <si>
    <t>=-NL("Sum","32 Item Ledger Entry","12 Quantity","5 Source no.",$C2922,"3 Posting Date",U$9,"4 Entry Type",$C$4,"2 Item No.","@@"&amp;$F2922)</t>
  </si>
  <si>
    <t>=-NL("Sum","32 Item Ledger Entry","12 Quantity","5 Source no.",$C2923,"3 Posting Date",U$9,"4 Entry Type",$C$4,"2 Item No.","@@"&amp;$F2923)</t>
  </si>
  <si>
    <t>=-NL("Sum","32 Item Ledger Entry","12 Quantity","5 Source no.",$C2924,"3 Posting Date",U$9,"4 Entry Type",$C$4,"2 Item No.","@@"&amp;$F2924)</t>
  </si>
  <si>
    <t>=-NL("Sum","32 Item Ledger Entry","12 Quantity","5 Source no.",$C2925,"3 Posting Date",U$9,"4 Entry Type",$C$4,"2 Item No.","@@"&amp;$F2925)</t>
  </si>
  <si>
    <t>=-NL("Sum","32 Item Ledger Entry","12 Quantity","5 Source no.",$C2926,"3 Posting Date",U$9,"4 Entry Type",$C$4,"2 Item No.","@@"&amp;$F2926)</t>
  </si>
  <si>
    <t>=-NL("Sum","32 Item Ledger Entry","12 Quantity","5 Source no.",$C2927,"3 Posting Date",U$9,"4 Entry Type",$C$4,"2 Item No.","@@"&amp;$F2927)</t>
  </si>
  <si>
    <t>=-NL("Sum","32 Item Ledger Entry","12 Quantity","5 Source no.",$C2928,"3 Posting Date",U$9,"4 Entry Type",$C$4,"2 Item No.","@@"&amp;$F2928)</t>
  </si>
  <si>
    <t>=-NL("Sum","32 Item Ledger Entry","12 Quantity","5 Source no.",$C2929,"3 Posting Date",U$9,"4 Entry Type",$C$4,"2 Item No.","@@"&amp;$F2929)</t>
  </si>
  <si>
    <t>=-NL("Sum","32 Item Ledger Entry","12 Quantity","5 Source no.",$C2930,"3 Posting Date",U$9,"4 Entry Type",$C$4,"2 Item No.","@@"&amp;$F2930)</t>
  </si>
  <si>
    <t>=-NL("Sum","32 Item Ledger Entry","12 Quantity","5 Source no.",$C2931,"3 Posting Date",U$9,"4 Entry Type",$C$4,"2 Item No.","@@"&amp;$F2931)</t>
  </si>
  <si>
    <t>=-NL("Sum","32 Item Ledger Entry","12 Quantity","5 Source no.",$C2932,"3 Posting Date",U$9,"4 Entry Type",$C$4,"2 Item No.","@@"&amp;$F2932)</t>
  </si>
  <si>
    <t>=-NL("Sum","32 Item Ledger Entry","12 Quantity","5 Source no.",$C2933,"3 Posting Date",U$9,"4 Entry Type",$C$4,"2 Item No.","@@"&amp;$F2933)</t>
  </si>
  <si>
    <t>=-NL("Sum","32 Item Ledger Entry","12 Quantity","5 Source no.",$C2934,"3 Posting Date",U$9,"4 Entry Type",$C$4,"2 Item No.","@@"&amp;$F2934)</t>
  </si>
  <si>
    <t>=-NL("Sum","32 Item Ledger Entry","12 Quantity","5 Source no.",$C2935,"3 Posting Date",U$9,"4 Entry Type",$C$4,"2 Item No.","@@"&amp;$F2935)</t>
  </si>
  <si>
    <t>=-NL("Sum","32 Item Ledger Entry","12 Quantity","5 Source no.",$C2936,"3 Posting Date",U$9,"4 Entry Type",$C$4,"2 Item No.","@@"&amp;$F2936)</t>
  </si>
  <si>
    <t>=-NL("Sum","32 Item Ledger Entry","12 Quantity","5 Source no.",$C2937,"3 Posting Date",U$9,"4 Entry Type",$C$4,"2 Item No.","@@"&amp;$F2937)</t>
  </si>
  <si>
    <t>=-NL("Sum","32 Item Ledger Entry","12 Quantity","5 Source no.",$C2938,"3 Posting Date",U$9,"4 Entry Type",$C$4,"2 Item No.","@@"&amp;$F2938)</t>
  </si>
  <si>
    <t>=-NL("Sum","32 Item Ledger Entry","12 Quantity","5 Source no.",$C2939,"3 Posting Date",U$9,"4 Entry Type",$C$4,"2 Item No.","@@"&amp;$F2939)</t>
  </si>
  <si>
    <t>=-NL("Sum","32 Item Ledger Entry","12 Quantity","5 Source no.",$C2940,"3 Posting Date",U$9,"4 Entry Type",$C$4,"2 Item No.","@@"&amp;$F2940)</t>
  </si>
  <si>
    <t>=-NL("Sum","32 Item Ledger Entry","12 Quantity","5 Source no.",$C2941,"3 Posting Date",U$9,"4 Entry Type",$C$4,"2 Item No.","@@"&amp;$F2941)</t>
  </si>
  <si>
    <t>=-NL("Sum","32 Item Ledger Entry","12 Quantity","5 Source no.",$C2942,"3 Posting Date",U$9,"4 Entry Type",$C$4,"2 Item No.","@@"&amp;$F2942)</t>
  </si>
  <si>
    <t>=-NL("Sum","32 Item Ledger Entry","12 Quantity","5 Source no.",$C2943,"3 Posting Date",U$9,"4 Entry Type",$C$4,"2 Item No.","@@"&amp;$F2943)</t>
  </si>
  <si>
    <t>=-NL("Sum","32 Item Ledger Entry","12 Quantity","5 Source no.",$C2944,"3 Posting Date",U$9,"4 Entry Type",$C$4,"2 Item No.","@@"&amp;$F2944)</t>
  </si>
  <si>
    <t>=-NL("Sum","32 Item Ledger Entry","12 Quantity","5 Source no.",$C2945,"3 Posting Date",U$9,"4 Entry Type",$C$4,"2 Item No.","@@"&amp;$F2945)</t>
  </si>
  <si>
    <t>=-NL("Sum","32 Item Ledger Entry","12 Quantity","5 Source no.",$C2946,"3 Posting Date",U$9,"4 Entry Type",$C$4,"2 Item No.","@@"&amp;$F2946)</t>
  </si>
  <si>
    <t>=-NL("Sum","32 Item Ledger Entry","12 Quantity","5 Source no.",$C2947,"3 Posting Date",U$9,"4 Entry Type",$C$4,"2 Item No.","@@"&amp;$F2947)</t>
  </si>
  <si>
    <t>=-NL("Sum","32 Item Ledger Entry","12 Quantity","5 Source no.",$C2948,"3 Posting Date",U$9,"4 Entry Type",$C$4,"2 Item No.","@@"&amp;$F2948)</t>
  </si>
  <si>
    <t>=-NL("Sum","32 Item Ledger Entry","12 Quantity","5 Source no.",$C2949,"3 Posting Date",U$9,"4 Entry Type",$C$4,"2 Item No.","@@"&amp;$F2949)</t>
  </si>
  <si>
    <t>=-NL("Sum","32 Item Ledger Entry","12 Quantity","5 Source no.",$C2950,"3 Posting Date",U$9,"4 Entry Type",$C$4,"2 Item No.","@@"&amp;$F2950)</t>
  </si>
  <si>
    <t>=-NL("Sum","32 Item Ledger Entry","12 Quantity","5 Source no.",$C2951,"3 Posting Date",U$9,"4 Entry Type",$C$4,"2 Item No.","@@"&amp;$F2951)</t>
  </si>
  <si>
    <t>=-NL("Sum","32 Item Ledger Entry","12 Quantity","5 Source no.",$C2952,"3 Posting Date",U$9,"4 Entry Type",$C$4,"2 Item No.","@@"&amp;$F2952)</t>
  </si>
  <si>
    <t>=-NL("Sum","32 Item Ledger Entry","12 Quantity","5 Source no.",$C2953,"3 Posting Date",U$9,"4 Entry Type",$C$4,"2 Item No.","@@"&amp;$F2953)</t>
  </si>
  <si>
    <t>=-NL("Sum","32 Item Ledger Entry","12 Quantity","5 Source no.",$C2954,"3 Posting Date",U$9,"4 Entry Type",$C$4,"2 Item No.","@@"&amp;$F2954)</t>
  </si>
  <si>
    <t>=-NL("Sum","32 Item Ledger Entry","12 Quantity","5 Source no.",$C2955,"3 Posting Date",U$9,"4 Entry Type",$C$4,"2 Item No.","@@"&amp;$F2955)</t>
  </si>
  <si>
    <t>=-NL("Sum","32 Item Ledger Entry","12 Quantity","5 Source no.",$C2956,"3 Posting Date",U$9,"4 Entry Type",$C$4,"2 Item No.","@@"&amp;$F2956)</t>
  </si>
  <si>
    <t>=-NL("Sum","32 Item Ledger Entry","12 Quantity","5 Source no.",$C2957,"3 Posting Date",U$9,"4 Entry Type",$C$4,"2 Item No.","@@"&amp;$F2957)</t>
  </si>
  <si>
    <t>=-NL("Sum","32 Item Ledger Entry","12 Quantity","5 Source no.",$C2958,"3 Posting Date",U$9,"4 Entry Type",$C$4,"2 Item No.","@@"&amp;$F2958)</t>
  </si>
  <si>
    <t>=-NL("Sum","32 Item Ledger Entry","12 Quantity","5 Source no.",$C2913,"3 Posting Date",Z$9,"4 Entry Type",$C$4,"2 Item No.","@@"&amp;$F2913)</t>
  </si>
  <si>
    <t>=-NL("Sum","32 Item Ledger Entry","12 Quantity","5 Source no.",$C2914,"3 Posting Date",Z$9,"4 Entry Type",$C$4,"2 Item No.","@@"&amp;$F2914)</t>
  </si>
  <si>
    <t>=-NL("Sum","32 Item Ledger Entry","12 Quantity","5 Source no.",$C2915,"3 Posting Date",Z$9,"4 Entry Type",$C$4,"2 Item No.","@@"&amp;$F2915)</t>
  </si>
  <si>
    <t>=-NL("Sum","32 Item Ledger Entry","12 Quantity","5 Source no.",$C2916,"3 Posting Date",Z$9,"4 Entry Type",$C$4,"2 Item No.","@@"&amp;$F2916)</t>
  </si>
  <si>
    <t>=-NL("Sum","32 Item Ledger Entry","12 Quantity","5 Source no.",$C2917,"3 Posting Date",Z$9,"4 Entry Type",$C$4,"2 Item No.","@@"&amp;$F2917)</t>
  </si>
  <si>
    <t>=-NL("Sum","32 Item Ledger Entry","12 Quantity","5 Source no.",$C2918,"3 Posting Date",Z$9,"4 Entry Type",$C$4,"2 Item No.","@@"&amp;$F2918)</t>
  </si>
  <si>
    <t>=-NL("Sum","32 Item Ledger Entry","12 Quantity","5 Source no.",$C2919,"3 Posting Date",Z$9,"4 Entry Type",$C$4,"2 Item No.","@@"&amp;$F2919)</t>
  </si>
  <si>
    <t>=-NL("Sum","32 Item Ledger Entry","12 Quantity","5 Source no.",$C2920,"3 Posting Date",Z$9,"4 Entry Type",$C$4,"2 Item No.","@@"&amp;$F2920)</t>
  </si>
  <si>
    <t>=-NL("Sum","32 Item Ledger Entry","12 Quantity","5 Source no.",$C2921,"3 Posting Date",Z$9,"4 Entry Type",$C$4,"2 Item No.","@@"&amp;$F2921)</t>
  </si>
  <si>
    <t>=-NL("Sum","32 Item Ledger Entry","12 Quantity","5 Source no.",$C2922,"3 Posting Date",Z$9,"4 Entry Type",$C$4,"2 Item No.","@@"&amp;$F2922)</t>
  </si>
  <si>
    <t>=-NL("Sum","32 Item Ledger Entry","12 Quantity","5 Source no.",$C2923,"3 Posting Date",Z$9,"4 Entry Type",$C$4,"2 Item No.","@@"&amp;$F2923)</t>
  </si>
  <si>
    <t>=-NL("Sum","32 Item Ledger Entry","12 Quantity","5 Source no.",$C2924,"3 Posting Date",Z$9,"4 Entry Type",$C$4,"2 Item No.","@@"&amp;$F2924)</t>
  </si>
  <si>
    <t>=-NL("Sum","32 Item Ledger Entry","12 Quantity","5 Source no.",$C2925,"3 Posting Date",Z$9,"4 Entry Type",$C$4,"2 Item No.","@@"&amp;$F2925)</t>
  </si>
  <si>
    <t>=-NL("Sum","32 Item Ledger Entry","12 Quantity","5 Source no.",$C2926,"3 Posting Date",Z$9,"4 Entry Type",$C$4,"2 Item No.","@@"&amp;$F2926)</t>
  </si>
  <si>
    <t>=-NL("Sum","32 Item Ledger Entry","12 Quantity","5 Source no.",$C2927,"3 Posting Date",Z$9,"4 Entry Type",$C$4,"2 Item No.","@@"&amp;$F2927)</t>
  </si>
  <si>
    <t>=-NL("Sum","32 Item Ledger Entry","12 Quantity","5 Source no.",$C2928,"3 Posting Date",Z$9,"4 Entry Type",$C$4,"2 Item No.","@@"&amp;$F2928)</t>
  </si>
  <si>
    <t>=-NL("Sum","32 Item Ledger Entry","12 Quantity","5 Source no.",$C2929,"3 Posting Date",Z$9,"4 Entry Type",$C$4,"2 Item No.","@@"&amp;$F2929)</t>
  </si>
  <si>
    <t>=-NL("Sum","32 Item Ledger Entry","12 Quantity","5 Source no.",$C2930,"3 Posting Date",Z$9,"4 Entry Type",$C$4,"2 Item No.","@@"&amp;$F2930)</t>
  </si>
  <si>
    <t>=-NL("Sum","32 Item Ledger Entry","12 Quantity","5 Source no.",$C2931,"3 Posting Date",Z$9,"4 Entry Type",$C$4,"2 Item No.","@@"&amp;$F2931)</t>
  </si>
  <si>
    <t>=-NL("Sum","32 Item Ledger Entry","12 Quantity","5 Source no.",$C2932,"3 Posting Date",Z$9,"4 Entry Type",$C$4,"2 Item No.","@@"&amp;$F2932)</t>
  </si>
  <si>
    <t>=-NL("Sum","32 Item Ledger Entry","12 Quantity","5 Source no.",$C2933,"3 Posting Date",Z$9,"4 Entry Type",$C$4,"2 Item No.","@@"&amp;$F2933)</t>
  </si>
  <si>
    <t>=-NL("Sum","32 Item Ledger Entry","12 Quantity","5 Source no.",$C2934,"3 Posting Date",Z$9,"4 Entry Type",$C$4,"2 Item No.","@@"&amp;$F2934)</t>
  </si>
  <si>
    <t>=-NL("Sum","32 Item Ledger Entry","12 Quantity","5 Source no.",$C2935,"3 Posting Date",Z$9,"4 Entry Type",$C$4,"2 Item No.","@@"&amp;$F2935)</t>
  </si>
  <si>
    <t>=-NL("Sum","32 Item Ledger Entry","12 Quantity","5 Source no.",$C2936,"3 Posting Date",Z$9,"4 Entry Type",$C$4,"2 Item No.","@@"&amp;$F2936)</t>
  </si>
  <si>
    <t>=-NL("Sum","32 Item Ledger Entry","12 Quantity","5 Source no.",$C2937,"3 Posting Date",Z$9,"4 Entry Type",$C$4,"2 Item No.","@@"&amp;$F2937)</t>
  </si>
  <si>
    <t>=-NL("Sum","32 Item Ledger Entry","12 Quantity","5 Source no.",$C2938,"3 Posting Date",Z$9,"4 Entry Type",$C$4,"2 Item No.","@@"&amp;$F2938)</t>
  </si>
  <si>
    <t>=-NL("Sum","32 Item Ledger Entry","12 Quantity","5 Source no.",$C2939,"3 Posting Date",Z$9,"4 Entry Type",$C$4,"2 Item No.","@@"&amp;$F2939)</t>
  </si>
  <si>
    <t>=-NL("Sum","32 Item Ledger Entry","12 Quantity","5 Source no.",$C2940,"3 Posting Date",Z$9,"4 Entry Type",$C$4,"2 Item No.","@@"&amp;$F2940)</t>
  </si>
  <si>
    <t>=-NL("Sum","32 Item Ledger Entry","12 Quantity","5 Source no.",$C2941,"3 Posting Date",Z$9,"4 Entry Type",$C$4,"2 Item No.","@@"&amp;$F2941)</t>
  </si>
  <si>
    <t>=-NL("Sum","32 Item Ledger Entry","12 Quantity","5 Source no.",$C2942,"3 Posting Date",Z$9,"4 Entry Type",$C$4,"2 Item No.","@@"&amp;$F2942)</t>
  </si>
  <si>
    <t>=-NL("Sum","32 Item Ledger Entry","12 Quantity","5 Source no.",$C2943,"3 Posting Date",Z$9,"4 Entry Type",$C$4,"2 Item No.","@@"&amp;$F2943)</t>
  </si>
  <si>
    <t>=-NL("Sum","32 Item Ledger Entry","12 Quantity","5 Source no.",$C2944,"3 Posting Date",Z$9,"4 Entry Type",$C$4,"2 Item No.","@@"&amp;$F2944)</t>
  </si>
  <si>
    <t>=-NL("Sum","32 Item Ledger Entry","12 Quantity","5 Source no.",$C2945,"3 Posting Date",Z$9,"4 Entry Type",$C$4,"2 Item No.","@@"&amp;$F2945)</t>
  </si>
  <si>
    <t>=-NL("Sum","32 Item Ledger Entry","12 Quantity","5 Source no.",$C2946,"3 Posting Date",Z$9,"4 Entry Type",$C$4,"2 Item No.","@@"&amp;$F2946)</t>
  </si>
  <si>
    <t>=-NL("Sum","32 Item Ledger Entry","12 Quantity","5 Source no.",$C2947,"3 Posting Date",Z$9,"4 Entry Type",$C$4,"2 Item No.","@@"&amp;$F2947)</t>
  </si>
  <si>
    <t>=-NL("Sum","32 Item Ledger Entry","12 Quantity","5 Source no.",$C2948,"3 Posting Date",Z$9,"4 Entry Type",$C$4,"2 Item No.","@@"&amp;$F2948)</t>
  </si>
  <si>
    <t>=-NL("Sum","32 Item Ledger Entry","12 Quantity","5 Source no.",$C2949,"3 Posting Date",Z$9,"4 Entry Type",$C$4,"2 Item No.","@@"&amp;$F2949)</t>
  </si>
  <si>
    <t>=-NL("Sum","32 Item Ledger Entry","12 Quantity","5 Source no.",$C2950,"3 Posting Date",Z$9,"4 Entry Type",$C$4,"2 Item No.","@@"&amp;$F2950)</t>
  </si>
  <si>
    <t>=-NL("Sum","32 Item Ledger Entry","12 Quantity","5 Source no.",$C2951,"3 Posting Date",Z$9,"4 Entry Type",$C$4,"2 Item No.","@@"&amp;$F2951)</t>
  </si>
  <si>
    <t>=-NL("Sum","32 Item Ledger Entry","12 Quantity","5 Source no.",$C2952,"3 Posting Date",Z$9,"4 Entry Type",$C$4,"2 Item No.","@@"&amp;$F2952)</t>
  </si>
  <si>
    <t>=-NL("Sum","32 Item Ledger Entry","12 Quantity","5 Source no.",$C2953,"3 Posting Date",Z$9,"4 Entry Type",$C$4,"2 Item No.","@@"&amp;$F2953)</t>
  </si>
  <si>
    <t>=-NL("Sum","32 Item Ledger Entry","12 Quantity","5 Source no.",$C2954,"3 Posting Date",Z$9,"4 Entry Type",$C$4,"2 Item No.","@@"&amp;$F2954)</t>
  </si>
  <si>
    <t>=-NL("Sum","32 Item Ledger Entry","12 Quantity","5 Source no.",$C2955,"3 Posting Date",Z$9,"4 Entry Type",$C$4,"2 Item No.","@@"&amp;$F2955)</t>
  </si>
  <si>
    <t>=-NL("Sum","32 Item Ledger Entry","12 Quantity","5 Source no.",$C2956,"3 Posting Date",Z$9,"4 Entry Type",$C$4,"2 Item No.","@@"&amp;$F2956)</t>
  </si>
  <si>
    <t>=-NL("Sum","32 Item Ledger Entry","12 Quantity","5 Source no.",$C2957,"3 Posting Date",Z$9,"4 Entry Type",$C$4,"2 Item No.","@@"&amp;$F2957)</t>
  </si>
  <si>
    <t>=-NL("Sum","32 Item Ledger Entry","12 Quantity","5 Source no.",$C2958,"3 Posting Date",Z$9,"4 Entry Type",$C$4,"2 Item No.","@@"&amp;$F2958)</t>
  </si>
  <si>
    <t>=NL(,"27 Item","3 Description","1 No.","@@"&amp;F2905)</t>
  </si>
  <si>
    <t>=NL(,"27 Item","3 Description","1 No.","@@"&amp;F2906)</t>
  </si>
  <si>
    <t>=NL(,"27 Item","3 Description","1 No.","@@"&amp;F2907)</t>
  </si>
  <si>
    <t>=-NL("Sum","32 Item Ledger Entry","12 Quantity","5 Source no.",$C2905,"3 Posting Date",J$9,"4 Entry Type",$C$4,"2 Item No.","@@"&amp;$F2905)</t>
  </si>
  <si>
    <t>=-NL("Sum","32 Item Ledger Entry","12 Quantity","5 Source no.",$C2906,"3 Posting Date",J$9,"4 Entry Type",$C$4,"2 Item No.","@@"&amp;$F2906)</t>
  </si>
  <si>
    <t>=-NL("Sum","32 Item Ledger Entry","12 Quantity","5 Source no.",$C2907,"3 Posting Date",J$9,"4 Entry Type",$C$4,"2 Item No.","@@"&amp;$F2907)</t>
  </si>
  <si>
    <t>=-NL("Sum","32 Item Ledger Entry","12 Quantity","5 Source no.",$C2905,"3 Posting Date",O$9,"4 Entry Type",$C$4,"2 Item No.","@@"&amp;$F2905)</t>
  </si>
  <si>
    <t>=-NL("Sum","32 Item Ledger Entry","12 Quantity","5 Source no.",$C2906,"3 Posting Date",O$9,"4 Entry Type",$C$4,"2 Item No.","@@"&amp;$F2906)</t>
  </si>
  <si>
    <t>=-NL("Sum","32 Item Ledger Entry","12 Quantity","5 Source no.",$C2907,"3 Posting Date",O$9,"4 Entry Type",$C$4,"2 Item No.","@@"&amp;$F2907)</t>
  </si>
  <si>
    <t>=-NL("Sum","32 Item Ledger Entry","12 Quantity","5 Source no.",$C2905,"3 Posting Date",U$9,"4 Entry Type",$C$4,"2 Item No.","@@"&amp;$F2905)</t>
  </si>
  <si>
    <t>=-NL("Sum","32 Item Ledger Entry","12 Quantity","5 Source no.",$C2906,"3 Posting Date",U$9,"4 Entry Type",$C$4,"2 Item No.","@@"&amp;$F2906)</t>
  </si>
  <si>
    <t>=-NL("Sum","32 Item Ledger Entry","12 Quantity","5 Source no.",$C2907,"3 Posting Date",U$9,"4 Entry Type",$C$4,"2 Item No.","@@"&amp;$F2907)</t>
  </si>
  <si>
    <t>=-NL("Sum","32 Item Ledger Entry","12 Quantity","5 Source no.",$C2905,"3 Posting Date",Z$9,"4 Entry Type",$C$4,"2 Item No.","@@"&amp;$F2905)</t>
  </si>
  <si>
    <t>=-NL("Sum","32 Item Ledger Entry","12 Quantity","5 Source no.",$C2906,"3 Posting Date",Z$9,"4 Entry Type",$C$4,"2 Item No.","@@"&amp;$F2906)</t>
  </si>
  <si>
    <t>=-NL("Sum","32 Item Ledger Entry","12 Quantity","5 Source no.",$C2907,"3 Posting Date",Z$9,"4 Entry Type",$C$4,"2 Item No.","@@"&amp;$F2907)</t>
  </si>
  <si>
    <t>=NL(,"27 Item","3 Description","1 No.","@@"&amp;F2851)</t>
  </si>
  <si>
    <t>=NL(,"27 Item","3 Description","1 No.","@@"&amp;F2852)</t>
  </si>
  <si>
    <t>=NL(,"27 Item","3 Description","1 No.","@@"&amp;F2853)</t>
  </si>
  <si>
    <t>=NL(,"27 Item","3 Description","1 No.","@@"&amp;F2854)</t>
  </si>
  <si>
    <t>=NL(,"27 Item","3 Description","1 No.","@@"&amp;F2855)</t>
  </si>
  <si>
    <t>=NL(,"27 Item","3 Description","1 No.","@@"&amp;F2856)</t>
  </si>
  <si>
    <t>=NL(,"27 Item","3 Description","1 No.","@@"&amp;F2857)</t>
  </si>
  <si>
    <t>=NL(,"27 Item","3 Description","1 No.","@@"&amp;F2858)</t>
  </si>
  <si>
    <t>=NL(,"27 Item","3 Description","1 No.","@@"&amp;F2859)</t>
  </si>
  <si>
    <t>=NL(,"27 Item","3 Description","1 No.","@@"&amp;F2860)</t>
  </si>
  <si>
    <t>=NL(,"27 Item","3 Description","1 No.","@@"&amp;F2861)</t>
  </si>
  <si>
    <t>=NL(,"27 Item","3 Description","1 No.","@@"&amp;F2862)</t>
  </si>
  <si>
    <t>=NL(,"27 Item","3 Description","1 No.","@@"&amp;F2863)</t>
  </si>
  <si>
    <t>=NL(,"27 Item","3 Description","1 No.","@@"&amp;F2864)</t>
  </si>
  <si>
    <t>=NL(,"27 Item","3 Description","1 No.","@@"&amp;F2865)</t>
  </si>
  <si>
    <t>=NL(,"27 Item","3 Description","1 No.","@@"&amp;F2866)</t>
  </si>
  <si>
    <t>=NL(,"27 Item","3 Description","1 No.","@@"&amp;F2867)</t>
  </si>
  <si>
    <t>=NL(,"27 Item","3 Description","1 No.","@@"&amp;F2868)</t>
  </si>
  <si>
    <t>=NL(,"27 Item","3 Description","1 No.","@@"&amp;F2869)</t>
  </si>
  <si>
    <t>=NL(,"27 Item","3 Description","1 No.","@@"&amp;F2870)</t>
  </si>
  <si>
    <t>=NL(,"27 Item","3 Description","1 No.","@@"&amp;F2871)</t>
  </si>
  <si>
    <t>=NL(,"27 Item","3 Description","1 No.","@@"&amp;F2872)</t>
  </si>
  <si>
    <t>=NL(,"27 Item","3 Description","1 No.","@@"&amp;F2873)</t>
  </si>
  <si>
    <t>=NL(,"27 Item","3 Description","1 No.","@@"&amp;F2874)</t>
  </si>
  <si>
    <t>=NL(,"27 Item","3 Description","1 No.","@@"&amp;F2875)</t>
  </si>
  <si>
    <t>=NL(,"27 Item","3 Description","1 No.","@@"&amp;F2876)</t>
  </si>
  <si>
    <t>=NL(,"27 Item","3 Description","1 No.","@@"&amp;F2877)</t>
  </si>
  <si>
    <t>=NL(,"27 Item","3 Description","1 No.","@@"&amp;F2878)</t>
  </si>
  <si>
    <t>=NL(,"27 Item","3 Description","1 No.","@@"&amp;F2879)</t>
  </si>
  <si>
    <t>=NL(,"27 Item","3 Description","1 No.","@@"&amp;F2880)</t>
  </si>
  <si>
    <t>=NL(,"27 Item","3 Description","1 No.","@@"&amp;F2881)</t>
  </si>
  <si>
    <t>=NL(,"27 Item","3 Description","1 No.","@@"&amp;F2882)</t>
  </si>
  <si>
    <t>=NL(,"27 Item","3 Description","1 No.","@@"&amp;F2883)</t>
  </si>
  <si>
    <t>=NL(,"27 Item","3 Description","1 No.","@@"&amp;F2884)</t>
  </si>
  <si>
    <t>=NL(,"27 Item","3 Description","1 No.","@@"&amp;F2885)</t>
  </si>
  <si>
    <t>=NL(,"27 Item","3 Description","1 No.","@@"&amp;F2886)</t>
  </si>
  <si>
    <t>=NL(,"27 Item","3 Description","1 No.","@@"&amp;F2887)</t>
  </si>
  <si>
    <t>=NL(,"27 Item","3 Description","1 No.","@@"&amp;F2888)</t>
  </si>
  <si>
    <t>=NL(,"27 Item","3 Description","1 No.","@@"&amp;F2889)</t>
  </si>
  <si>
    <t>=NL(,"27 Item","3 Description","1 No.","@@"&amp;F2890)</t>
  </si>
  <si>
    <t>=NL(,"27 Item","3 Description","1 No.","@@"&amp;F2891)</t>
  </si>
  <si>
    <t>=NL(,"27 Item","3 Description","1 No.","@@"&amp;F2892)</t>
  </si>
  <si>
    <t>=NL(,"27 Item","3 Description","1 No.","@@"&amp;F2893)</t>
  </si>
  <si>
    <t>=NL(,"27 Item","3 Description","1 No.","@@"&amp;F2894)</t>
  </si>
  <si>
    <t>=NL(,"27 Item","3 Description","1 No.","@@"&amp;F2895)</t>
  </si>
  <si>
    <t>=NL(,"27 Item","3 Description","1 No.","@@"&amp;F2896)</t>
  </si>
  <si>
    <t>=NL(,"27 Item","3 Description","1 No.","@@"&amp;F2897)</t>
  </si>
  <si>
    <t>=NL(,"27 Item","3 Description","1 No.","@@"&amp;F2898)</t>
  </si>
  <si>
    <t>=NL(,"27 Item","3 Description","1 No.","@@"&amp;F2899)</t>
  </si>
  <si>
    <t>=-NL("Sum","32 Item Ledger Entry","12 Quantity","5 Source no.",$C2851,"3 Posting Date",J$9,"4 Entry Type",$C$4,"2 Item No.","@@"&amp;$F2851)</t>
  </si>
  <si>
    <t>=-NL("Sum","32 Item Ledger Entry","12 Quantity","5 Source no.",$C2852,"3 Posting Date",J$9,"4 Entry Type",$C$4,"2 Item No.","@@"&amp;$F2852)</t>
  </si>
  <si>
    <t>=-NL("Sum","32 Item Ledger Entry","12 Quantity","5 Source no.",$C2853,"3 Posting Date",J$9,"4 Entry Type",$C$4,"2 Item No.","@@"&amp;$F2853)</t>
  </si>
  <si>
    <t>=-NL("Sum","32 Item Ledger Entry","12 Quantity","5 Source no.",$C2854,"3 Posting Date",J$9,"4 Entry Type",$C$4,"2 Item No.","@@"&amp;$F2854)</t>
  </si>
  <si>
    <t>=-NL("Sum","32 Item Ledger Entry","12 Quantity","5 Source no.",$C2855,"3 Posting Date",J$9,"4 Entry Type",$C$4,"2 Item No.","@@"&amp;$F2855)</t>
  </si>
  <si>
    <t>=-NL("Sum","32 Item Ledger Entry","12 Quantity","5 Source no.",$C2856,"3 Posting Date",J$9,"4 Entry Type",$C$4,"2 Item No.","@@"&amp;$F2856)</t>
  </si>
  <si>
    <t>=-NL("Sum","32 Item Ledger Entry","12 Quantity","5 Source no.",$C2857,"3 Posting Date",J$9,"4 Entry Type",$C$4,"2 Item No.","@@"&amp;$F2857)</t>
  </si>
  <si>
    <t>=-NL("Sum","32 Item Ledger Entry","12 Quantity","5 Source no.",$C2858,"3 Posting Date",J$9,"4 Entry Type",$C$4,"2 Item No.","@@"&amp;$F2858)</t>
  </si>
  <si>
    <t>=-NL("Sum","32 Item Ledger Entry","12 Quantity","5 Source no.",$C2859,"3 Posting Date",J$9,"4 Entry Type",$C$4,"2 Item No.","@@"&amp;$F2859)</t>
  </si>
  <si>
    <t>=-NL("Sum","32 Item Ledger Entry","12 Quantity","5 Source no.",$C2860,"3 Posting Date",J$9,"4 Entry Type",$C$4,"2 Item No.","@@"&amp;$F2860)</t>
  </si>
  <si>
    <t>=-NL("Sum","32 Item Ledger Entry","12 Quantity","5 Source no.",$C2861,"3 Posting Date",J$9,"4 Entry Type",$C$4,"2 Item No.","@@"&amp;$F2861)</t>
  </si>
  <si>
    <t>=-NL("Sum","32 Item Ledger Entry","12 Quantity","5 Source no.",$C2862,"3 Posting Date",J$9,"4 Entry Type",$C$4,"2 Item No.","@@"&amp;$F2862)</t>
  </si>
  <si>
    <t>=-NL("Sum","32 Item Ledger Entry","12 Quantity","5 Source no.",$C2863,"3 Posting Date",J$9,"4 Entry Type",$C$4,"2 Item No.","@@"&amp;$F2863)</t>
  </si>
  <si>
    <t>=-NL("Sum","32 Item Ledger Entry","12 Quantity","5 Source no.",$C2864,"3 Posting Date",J$9,"4 Entry Type",$C$4,"2 Item No.","@@"&amp;$F2864)</t>
  </si>
  <si>
    <t>=-NL("Sum","32 Item Ledger Entry","12 Quantity","5 Source no.",$C2865,"3 Posting Date",J$9,"4 Entry Type",$C$4,"2 Item No.","@@"&amp;$F2865)</t>
  </si>
  <si>
    <t>=-NL("Sum","32 Item Ledger Entry","12 Quantity","5 Source no.",$C2866,"3 Posting Date",J$9,"4 Entry Type",$C$4,"2 Item No.","@@"&amp;$F2866)</t>
  </si>
  <si>
    <t>=-NL("Sum","32 Item Ledger Entry","12 Quantity","5 Source no.",$C2867,"3 Posting Date",J$9,"4 Entry Type",$C$4,"2 Item No.","@@"&amp;$F2867)</t>
  </si>
  <si>
    <t>=-NL("Sum","32 Item Ledger Entry","12 Quantity","5 Source no.",$C2868,"3 Posting Date",J$9,"4 Entry Type",$C$4,"2 Item No.","@@"&amp;$F2868)</t>
  </si>
  <si>
    <t>=-NL("Sum","32 Item Ledger Entry","12 Quantity","5 Source no.",$C2869,"3 Posting Date",J$9,"4 Entry Type",$C$4,"2 Item No.","@@"&amp;$F2869)</t>
  </si>
  <si>
    <t>=-NL("Sum","32 Item Ledger Entry","12 Quantity","5 Source no.",$C2870,"3 Posting Date",J$9,"4 Entry Type",$C$4,"2 Item No.","@@"&amp;$F2870)</t>
  </si>
  <si>
    <t>=-NL("Sum","32 Item Ledger Entry","12 Quantity","5 Source no.",$C2871,"3 Posting Date",J$9,"4 Entry Type",$C$4,"2 Item No.","@@"&amp;$F2871)</t>
  </si>
  <si>
    <t>=-NL("Sum","32 Item Ledger Entry","12 Quantity","5 Source no.",$C2872,"3 Posting Date",J$9,"4 Entry Type",$C$4,"2 Item No.","@@"&amp;$F2872)</t>
  </si>
  <si>
    <t>=-NL("Sum","32 Item Ledger Entry","12 Quantity","5 Source no.",$C2873,"3 Posting Date",J$9,"4 Entry Type",$C$4,"2 Item No.","@@"&amp;$F2873)</t>
  </si>
  <si>
    <t>=-NL("Sum","32 Item Ledger Entry","12 Quantity","5 Source no.",$C2874,"3 Posting Date",J$9,"4 Entry Type",$C$4,"2 Item No.","@@"&amp;$F2874)</t>
  </si>
  <si>
    <t>=-NL("Sum","32 Item Ledger Entry","12 Quantity","5 Source no.",$C2875,"3 Posting Date",J$9,"4 Entry Type",$C$4,"2 Item No.","@@"&amp;$F2875)</t>
  </si>
  <si>
    <t>=-NL("Sum","32 Item Ledger Entry","12 Quantity","5 Source no.",$C2876,"3 Posting Date",J$9,"4 Entry Type",$C$4,"2 Item No.","@@"&amp;$F2876)</t>
  </si>
  <si>
    <t>=-NL("Sum","32 Item Ledger Entry","12 Quantity","5 Source no.",$C2877,"3 Posting Date",J$9,"4 Entry Type",$C$4,"2 Item No.","@@"&amp;$F2877)</t>
  </si>
  <si>
    <t>=-NL("Sum","32 Item Ledger Entry","12 Quantity","5 Source no.",$C2878,"3 Posting Date",J$9,"4 Entry Type",$C$4,"2 Item No.","@@"&amp;$F2878)</t>
  </si>
  <si>
    <t>=-NL("Sum","32 Item Ledger Entry","12 Quantity","5 Source no.",$C2879,"3 Posting Date",J$9,"4 Entry Type",$C$4,"2 Item No.","@@"&amp;$F2879)</t>
  </si>
  <si>
    <t>=-NL("Sum","32 Item Ledger Entry","12 Quantity","5 Source no.",$C2880,"3 Posting Date",J$9,"4 Entry Type",$C$4,"2 Item No.","@@"&amp;$F2880)</t>
  </si>
  <si>
    <t>=-NL("Sum","32 Item Ledger Entry","12 Quantity","5 Source no.",$C2881,"3 Posting Date",J$9,"4 Entry Type",$C$4,"2 Item No.","@@"&amp;$F2881)</t>
  </si>
  <si>
    <t>=-NL("Sum","32 Item Ledger Entry","12 Quantity","5 Source no.",$C2882,"3 Posting Date",J$9,"4 Entry Type",$C$4,"2 Item No.","@@"&amp;$F2882)</t>
  </si>
  <si>
    <t>=-NL("Sum","32 Item Ledger Entry","12 Quantity","5 Source no.",$C2883,"3 Posting Date",J$9,"4 Entry Type",$C$4,"2 Item No.","@@"&amp;$F2883)</t>
  </si>
  <si>
    <t>=-NL("Sum","32 Item Ledger Entry","12 Quantity","5 Source no.",$C2884,"3 Posting Date",J$9,"4 Entry Type",$C$4,"2 Item No.","@@"&amp;$F2884)</t>
  </si>
  <si>
    <t>=-NL("Sum","32 Item Ledger Entry","12 Quantity","5 Source no.",$C2885,"3 Posting Date",J$9,"4 Entry Type",$C$4,"2 Item No.","@@"&amp;$F2885)</t>
  </si>
  <si>
    <t>=-NL("Sum","32 Item Ledger Entry","12 Quantity","5 Source no.",$C2886,"3 Posting Date",J$9,"4 Entry Type",$C$4,"2 Item No.","@@"&amp;$F2886)</t>
  </si>
  <si>
    <t>=-NL("Sum","32 Item Ledger Entry","12 Quantity","5 Source no.",$C2887,"3 Posting Date",J$9,"4 Entry Type",$C$4,"2 Item No.","@@"&amp;$F2887)</t>
  </si>
  <si>
    <t>=-NL("Sum","32 Item Ledger Entry","12 Quantity","5 Source no.",$C2888,"3 Posting Date",J$9,"4 Entry Type",$C$4,"2 Item No.","@@"&amp;$F2888)</t>
  </si>
  <si>
    <t>=-NL("Sum","32 Item Ledger Entry","12 Quantity","5 Source no.",$C2889,"3 Posting Date",J$9,"4 Entry Type",$C$4,"2 Item No.","@@"&amp;$F2889)</t>
  </si>
  <si>
    <t>=-NL("Sum","32 Item Ledger Entry","12 Quantity","5 Source no.",$C2890,"3 Posting Date",J$9,"4 Entry Type",$C$4,"2 Item No.","@@"&amp;$F2890)</t>
  </si>
  <si>
    <t>=-NL("Sum","32 Item Ledger Entry","12 Quantity","5 Source no.",$C2891,"3 Posting Date",J$9,"4 Entry Type",$C$4,"2 Item No.","@@"&amp;$F2891)</t>
  </si>
  <si>
    <t>=-NL("Sum","32 Item Ledger Entry","12 Quantity","5 Source no.",$C2892,"3 Posting Date",J$9,"4 Entry Type",$C$4,"2 Item No.","@@"&amp;$F2892)</t>
  </si>
  <si>
    <t>=-NL("Sum","32 Item Ledger Entry","12 Quantity","5 Source no.",$C2893,"3 Posting Date",J$9,"4 Entry Type",$C$4,"2 Item No.","@@"&amp;$F2893)</t>
  </si>
  <si>
    <t>=-NL("Sum","32 Item Ledger Entry","12 Quantity","5 Source no.",$C2894,"3 Posting Date",J$9,"4 Entry Type",$C$4,"2 Item No.","@@"&amp;$F2894)</t>
  </si>
  <si>
    <t>=-NL("Sum","32 Item Ledger Entry","12 Quantity","5 Source no.",$C2895,"3 Posting Date",J$9,"4 Entry Type",$C$4,"2 Item No.","@@"&amp;$F2895)</t>
  </si>
  <si>
    <t>=-NL("Sum","32 Item Ledger Entry","12 Quantity","5 Source no.",$C2896,"3 Posting Date",J$9,"4 Entry Type",$C$4,"2 Item No.","@@"&amp;$F2896)</t>
  </si>
  <si>
    <t>=-NL("Sum","32 Item Ledger Entry","12 Quantity","5 Source no.",$C2897,"3 Posting Date",J$9,"4 Entry Type",$C$4,"2 Item No.","@@"&amp;$F2897)</t>
  </si>
  <si>
    <t>=-NL("Sum","32 Item Ledger Entry","12 Quantity","5 Source no.",$C2898,"3 Posting Date",J$9,"4 Entry Type",$C$4,"2 Item No.","@@"&amp;$F2898)</t>
  </si>
  <si>
    <t>=-NL("Sum","32 Item Ledger Entry","12 Quantity","5 Source no.",$C2899,"3 Posting Date",J$9,"4 Entry Type",$C$4,"2 Item No.","@@"&amp;$F2899)</t>
  </si>
  <si>
    <t>=-NL("Sum","32 Item Ledger Entry","12 Quantity","5 Source no.",$C2851,"3 Posting Date",O$9,"4 Entry Type",$C$4,"2 Item No.","@@"&amp;$F2851)</t>
  </si>
  <si>
    <t>=-NL("Sum","32 Item Ledger Entry","12 Quantity","5 Source no.",$C2852,"3 Posting Date",O$9,"4 Entry Type",$C$4,"2 Item No.","@@"&amp;$F2852)</t>
  </si>
  <si>
    <t>=-NL("Sum","32 Item Ledger Entry","12 Quantity","5 Source no.",$C2853,"3 Posting Date",O$9,"4 Entry Type",$C$4,"2 Item No.","@@"&amp;$F2853)</t>
  </si>
  <si>
    <t>=-NL("Sum","32 Item Ledger Entry","12 Quantity","5 Source no.",$C2854,"3 Posting Date",O$9,"4 Entry Type",$C$4,"2 Item No.","@@"&amp;$F2854)</t>
  </si>
  <si>
    <t>=-NL("Sum","32 Item Ledger Entry","12 Quantity","5 Source no.",$C2855,"3 Posting Date",O$9,"4 Entry Type",$C$4,"2 Item No.","@@"&amp;$F2855)</t>
  </si>
  <si>
    <t>=-NL("Sum","32 Item Ledger Entry","12 Quantity","5 Source no.",$C2856,"3 Posting Date",O$9,"4 Entry Type",$C$4,"2 Item No.","@@"&amp;$F2856)</t>
  </si>
  <si>
    <t>=-NL("Sum","32 Item Ledger Entry","12 Quantity","5 Source no.",$C2857,"3 Posting Date",O$9,"4 Entry Type",$C$4,"2 Item No.","@@"&amp;$F2857)</t>
  </si>
  <si>
    <t>=-NL("Sum","32 Item Ledger Entry","12 Quantity","5 Source no.",$C2858,"3 Posting Date",O$9,"4 Entry Type",$C$4,"2 Item No.","@@"&amp;$F2858)</t>
  </si>
  <si>
    <t>=-NL("Sum","32 Item Ledger Entry","12 Quantity","5 Source no.",$C2859,"3 Posting Date",O$9,"4 Entry Type",$C$4,"2 Item No.","@@"&amp;$F2859)</t>
  </si>
  <si>
    <t>=-NL("Sum","32 Item Ledger Entry","12 Quantity","5 Source no.",$C2860,"3 Posting Date",O$9,"4 Entry Type",$C$4,"2 Item No.","@@"&amp;$F2860)</t>
  </si>
  <si>
    <t>=-NL("Sum","32 Item Ledger Entry","12 Quantity","5 Source no.",$C2861,"3 Posting Date",O$9,"4 Entry Type",$C$4,"2 Item No.","@@"&amp;$F2861)</t>
  </si>
  <si>
    <t>=-NL("Sum","32 Item Ledger Entry","12 Quantity","5 Source no.",$C2862,"3 Posting Date",O$9,"4 Entry Type",$C$4,"2 Item No.","@@"&amp;$F2862)</t>
  </si>
  <si>
    <t>=-NL("Sum","32 Item Ledger Entry","12 Quantity","5 Source no.",$C2863,"3 Posting Date",O$9,"4 Entry Type",$C$4,"2 Item No.","@@"&amp;$F2863)</t>
  </si>
  <si>
    <t>=-NL("Sum","32 Item Ledger Entry","12 Quantity","5 Source no.",$C2864,"3 Posting Date",O$9,"4 Entry Type",$C$4,"2 Item No.","@@"&amp;$F2864)</t>
  </si>
  <si>
    <t>=-NL("Sum","32 Item Ledger Entry","12 Quantity","5 Source no.",$C2865,"3 Posting Date",O$9,"4 Entry Type",$C$4,"2 Item No.","@@"&amp;$F2865)</t>
  </si>
  <si>
    <t>=-NL("Sum","32 Item Ledger Entry","12 Quantity","5 Source no.",$C2866,"3 Posting Date",O$9,"4 Entry Type",$C$4,"2 Item No.","@@"&amp;$F2866)</t>
  </si>
  <si>
    <t>=-NL("Sum","32 Item Ledger Entry","12 Quantity","5 Source no.",$C2867,"3 Posting Date",O$9,"4 Entry Type",$C$4,"2 Item No.","@@"&amp;$F2867)</t>
  </si>
  <si>
    <t>=-NL("Sum","32 Item Ledger Entry","12 Quantity","5 Source no.",$C2868,"3 Posting Date",O$9,"4 Entry Type",$C$4,"2 Item No.","@@"&amp;$F2868)</t>
  </si>
  <si>
    <t>=-NL("Sum","32 Item Ledger Entry","12 Quantity","5 Source no.",$C2869,"3 Posting Date",O$9,"4 Entry Type",$C$4,"2 Item No.","@@"&amp;$F2869)</t>
  </si>
  <si>
    <t>=-NL("Sum","32 Item Ledger Entry","12 Quantity","5 Source no.",$C2870,"3 Posting Date",O$9,"4 Entry Type",$C$4,"2 Item No.","@@"&amp;$F2870)</t>
  </si>
  <si>
    <t>=-NL("Sum","32 Item Ledger Entry","12 Quantity","5 Source no.",$C2871,"3 Posting Date",O$9,"4 Entry Type",$C$4,"2 Item No.","@@"&amp;$F2871)</t>
  </si>
  <si>
    <t>=-NL("Sum","32 Item Ledger Entry","12 Quantity","5 Source no.",$C2872,"3 Posting Date",O$9,"4 Entry Type",$C$4,"2 Item No.","@@"&amp;$F2872)</t>
  </si>
  <si>
    <t>=-NL("Sum","32 Item Ledger Entry","12 Quantity","5 Source no.",$C2873,"3 Posting Date",O$9,"4 Entry Type",$C$4,"2 Item No.","@@"&amp;$F2873)</t>
  </si>
  <si>
    <t>=-NL("Sum","32 Item Ledger Entry","12 Quantity","5 Source no.",$C2874,"3 Posting Date",O$9,"4 Entry Type",$C$4,"2 Item No.","@@"&amp;$F2874)</t>
  </si>
  <si>
    <t>=-NL("Sum","32 Item Ledger Entry","12 Quantity","5 Source no.",$C2875,"3 Posting Date",O$9,"4 Entry Type",$C$4,"2 Item No.","@@"&amp;$F2875)</t>
  </si>
  <si>
    <t>=-NL("Sum","32 Item Ledger Entry","12 Quantity","5 Source no.",$C2876,"3 Posting Date",O$9,"4 Entry Type",$C$4,"2 Item No.","@@"&amp;$F2876)</t>
  </si>
  <si>
    <t>=-NL("Sum","32 Item Ledger Entry","12 Quantity","5 Source no.",$C2877,"3 Posting Date",O$9,"4 Entry Type",$C$4,"2 Item No.","@@"&amp;$F2877)</t>
  </si>
  <si>
    <t>=-NL("Sum","32 Item Ledger Entry","12 Quantity","5 Source no.",$C2878,"3 Posting Date",O$9,"4 Entry Type",$C$4,"2 Item No.","@@"&amp;$F2878)</t>
  </si>
  <si>
    <t>=-NL("Sum","32 Item Ledger Entry","12 Quantity","5 Source no.",$C2879,"3 Posting Date",O$9,"4 Entry Type",$C$4,"2 Item No.","@@"&amp;$F2879)</t>
  </si>
  <si>
    <t>=-NL("Sum","32 Item Ledger Entry","12 Quantity","5 Source no.",$C2880,"3 Posting Date",O$9,"4 Entry Type",$C$4,"2 Item No.","@@"&amp;$F2880)</t>
  </si>
  <si>
    <t>=-NL("Sum","32 Item Ledger Entry","12 Quantity","5 Source no.",$C2881,"3 Posting Date",O$9,"4 Entry Type",$C$4,"2 Item No.","@@"&amp;$F2881)</t>
  </si>
  <si>
    <t>=-NL("Sum","32 Item Ledger Entry","12 Quantity","5 Source no.",$C2882,"3 Posting Date",O$9,"4 Entry Type",$C$4,"2 Item No.","@@"&amp;$F2882)</t>
  </si>
  <si>
    <t>=-NL("Sum","32 Item Ledger Entry","12 Quantity","5 Source no.",$C2883,"3 Posting Date",O$9,"4 Entry Type",$C$4,"2 Item No.","@@"&amp;$F2883)</t>
  </si>
  <si>
    <t>=-NL("Sum","32 Item Ledger Entry","12 Quantity","5 Source no.",$C2884,"3 Posting Date",O$9,"4 Entry Type",$C$4,"2 Item No.","@@"&amp;$F2884)</t>
  </si>
  <si>
    <t>=-NL("Sum","32 Item Ledger Entry","12 Quantity","5 Source no.",$C2885,"3 Posting Date",O$9,"4 Entry Type",$C$4,"2 Item No.","@@"&amp;$F2885)</t>
  </si>
  <si>
    <t>=-NL("Sum","32 Item Ledger Entry","12 Quantity","5 Source no.",$C2886,"3 Posting Date",O$9,"4 Entry Type",$C$4,"2 Item No.","@@"&amp;$F2886)</t>
  </si>
  <si>
    <t>=-NL("Sum","32 Item Ledger Entry","12 Quantity","5 Source no.",$C2887,"3 Posting Date",O$9,"4 Entry Type",$C$4,"2 Item No.","@@"&amp;$F2887)</t>
  </si>
  <si>
    <t>=-NL("Sum","32 Item Ledger Entry","12 Quantity","5 Source no.",$C2888,"3 Posting Date",O$9,"4 Entry Type",$C$4,"2 Item No.","@@"&amp;$F2888)</t>
  </si>
  <si>
    <t>=-NL("Sum","32 Item Ledger Entry","12 Quantity","5 Source no.",$C2889,"3 Posting Date",O$9,"4 Entry Type",$C$4,"2 Item No.","@@"&amp;$F2889)</t>
  </si>
  <si>
    <t>=-NL("Sum","32 Item Ledger Entry","12 Quantity","5 Source no.",$C2890,"3 Posting Date",O$9,"4 Entry Type",$C$4,"2 Item No.","@@"&amp;$F2890)</t>
  </si>
  <si>
    <t>=-NL("Sum","32 Item Ledger Entry","12 Quantity","5 Source no.",$C2891,"3 Posting Date",O$9,"4 Entry Type",$C$4,"2 Item No.","@@"&amp;$F2891)</t>
  </si>
  <si>
    <t>=-NL("Sum","32 Item Ledger Entry","12 Quantity","5 Source no.",$C2892,"3 Posting Date",O$9,"4 Entry Type",$C$4,"2 Item No.","@@"&amp;$F2892)</t>
  </si>
  <si>
    <t>=-NL("Sum","32 Item Ledger Entry","12 Quantity","5 Source no.",$C2893,"3 Posting Date",O$9,"4 Entry Type",$C$4,"2 Item No.","@@"&amp;$F2893)</t>
  </si>
  <si>
    <t>=-NL("Sum","32 Item Ledger Entry","12 Quantity","5 Source no.",$C2894,"3 Posting Date",O$9,"4 Entry Type",$C$4,"2 Item No.","@@"&amp;$F2894)</t>
  </si>
  <si>
    <t>=-NL("Sum","32 Item Ledger Entry","12 Quantity","5 Source no.",$C2895,"3 Posting Date",O$9,"4 Entry Type",$C$4,"2 Item No.","@@"&amp;$F2895)</t>
  </si>
  <si>
    <t>=-NL("Sum","32 Item Ledger Entry","12 Quantity","5 Source no.",$C2896,"3 Posting Date",O$9,"4 Entry Type",$C$4,"2 Item No.","@@"&amp;$F2896)</t>
  </si>
  <si>
    <t>=-NL("Sum","32 Item Ledger Entry","12 Quantity","5 Source no.",$C2897,"3 Posting Date",O$9,"4 Entry Type",$C$4,"2 Item No.","@@"&amp;$F2897)</t>
  </si>
  <si>
    <t>=-NL("Sum","32 Item Ledger Entry","12 Quantity","5 Source no.",$C2898,"3 Posting Date",O$9,"4 Entry Type",$C$4,"2 Item No.","@@"&amp;$F2898)</t>
  </si>
  <si>
    <t>=-NL("Sum","32 Item Ledger Entry","12 Quantity","5 Source no.",$C2899,"3 Posting Date",O$9,"4 Entry Type",$C$4,"2 Item No.","@@"&amp;$F2899)</t>
  </si>
  <si>
    <t>=-NL("Sum","32 Item Ledger Entry","12 Quantity","5 Source no.",$C2851,"3 Posting Date",U$9,"4 Entry Type",$C$4,"2 Item No.","@@"&amp;$F2851)</t>
  </si>
  <si>
    <t>=-NL("Sum","32 Item Ledger Entry","12 Quantity","5 Source no.",$C2852,"3 Posting Date",U$9,"4 Entry Type",$C$4,"2 Item No.","@@"&amp;$F2852)</t>
  </si>
  <si>
    <t>=-NL("Sum","32 Item Ledger Entry","12 Quantity","5 Source no.",$C2853,"3 Posting Date",U$9,"4 Entry Type",$C$4,"2 Item No.","@@"&amp;$F2853)</t>
  </si>
  <si>
    <t>=-NL("Sum","32 Item Ledger Entry","12 Quantity","5 Source no.",$C2854,"3 Posting Date",U$9,"4 Entry Type",$C$4,"2 Item No.","@@"&amp;$F2854)</t>
  </si>
  <si>
    <t>=-NL("Sum","32 Item Ledger Entry","12 Quantity","5 Source no.",$C2855,"3 Posting Date",U$9,"4 Entry Type",$C$4,"2 Item No.","@@"&amp;$F2855)</t>
  </si>
  <si>
    <t>=-NL("Sum","32 Item Ledger Entry","12 Quantity","5 Source no.",$C2856,"3 Posting Date",U$9,"4 Entry Type",$C$4,"2 Item No.","@@"&amp;$F2856)</t>
  </si>
  <si>
    <t>=-NL("Sum","32 Item Ledger Entry","12 Quantity","5 Source no.",$C2857,"3 Posting Date",U$9,"4 Entry Type",$C$4,"2 Item No.","@@"&amp;$F2857)</t>
  </si>
  <si>
    <t>=-NL("Sum","32 Item Ledger Entry","12 Quantity","5 Source no.",$C2858,"3 Posting Date",U$9,"4 Entry Type",$C$4,"2 Item No.","@@"&amp;$F2858)</t>
  </si>
  <si>
    <t>=-NL("Sum","32 Item Ledger Entry","12 Quantity","5 Source no.",$C2859,"3 Posting Date",U$9,"4 Entry Type",$C$4,"2 Item No.","@@"&amp;$F2859)</t>
  </si>
  <si>
    <t>=-NL("Sum","32 Item Ledger Entry","12 Quantity","5 Source no.",$C2860,"3 Posting Date",U$9,"4 Entry Type",$C$4,"2 Item No.","@@"&amp;$F2860)</t>
  </si>
  <si>
    <t>=-NL("Sum","32 Item Ledger Entry","12 Quantity","5 Source no.",$C2861,"3 Posting Date",U$9,"4 Entry Type",$C$4,"2 Item No.","@@"&amp;$F2861)</t>
  </si>
  <si>
    <t>=-NL("Sum","32 Item Ledger Entry","12 Quantity","5 Source no.",$C2862,"3 Posting Date",U$9,"4 Entry Type",$C$4,"2 Item No.","@@"&amp;$F2862)</t>
  </si>
  <si>
    <t>=-NL("Sum","32 Item Ledger Entry","12 Quantity","5 Source no.",$C2863,"3 Posting Date",U$9,"4 Entry Type",$C$4,"2 Item No.","@@"&amp;$F2863)</t>
  </si>
  <si>
    <t>=-NL("Sum","32 Item Ledger Entry","12 Quantity","5 Source no.",$C2864,"3 Posting Date",U$9,"4 Entry Type",$C$4,"2 Item No.","@@"&amp;$F2864)</t>
  </si>
  <si>
    <t>=-NL("Sum","32 Item Ledger Entry","12 Quantity","5 Source no.",$C2865,"3 Posting Date",U$9,"4 Entry Type",$C$4,"2 Item No.","@@"&amp;$F2865)</t>
  </si>
  <si>
    <t>=-NL("Sum","32 Item Ledger Entry","12 Quantity","5 Source no.",$C2866,"3 Posting Date",U$9,"4 Entry Type",$C$4,"2 Item No.","@@"&amp;$F2866)</t>
  </si>
  <si>
    <t>=-NL("Sum","32 Item Ledger Entry","12 Quantity","5 Source no.",$C2867,"3 Posting Date",U$9,"4 Entry Type",$C$4,"2 Item No.","@@"&amp;$F2867)</t>
  </si>
  <si>
    <t>=-NL("Sum","32 Item Ledger Entry","12 Quantity","5 Source no.",$C2868,"3 Posting Date",U$9,"4 Entry Type",$C$4,"2 Item No.","@@"&amp;$F2868)</t>
  </si>
  <si>
    <t>=-NL("Sum","32 Item Ledger Entry","12 Quantity","5 Source no.",$C2869,"3 Posting Date",U$9,"4 Entry Type",$C$4,"2 Item No.","@@"&amp;$F2869)</t>
  </si>
  <si>
    <t>=-NL("Sum","32 Item Ledger Entry","12 Quantity","5 Source no.",$C2870,"3 Posting Date",U$9,"4 Entry Type",$C$4,"2 Item No.","@@"&amp;$F2870)</t>
  </si>
  <si>
    <t>=-NL("Sum","32 Item Ledger Entry","12 Quantity","5 Source no.",$C2871,"3 Posting Date",U$9,"4 Entry Type",$C$4,"2 Item No.","@@"&amp;$F2871)</t>
  </si>
  <si>
    <t>=-NL("Sum","32 Item Ledger Entry","12 Quantity","5 Source no.",$C2872,"3 Posting Date",U$9,"4 Entry Type",$C$4,"2 Item No.","@@"&amp;$F2872)</t>
  </si>
  <si>
    <t>=-NL("Sum","32 Item Ledger Entry","12 Quantity","5 Source no.",$C2873,"3 Posting Date",U$9,"4 Entry Type",$C$4,"2 Item No.","@@"&amp;$F2873)</t>
  </si>
  <si>
    <t>=-NL("Sum","32 Item Ledger Entry","12 Quantity","5 Source no.",$C2874,"3 Posting Date",U$9,"4 Entry Type",$C$4,"2 Item No.","@@"&amp;$F2874)</t>
  </si>
  <si>
    <t>=-NL("Sum","32 Item Ledger Entry","12 Quantity","5 Source no.",$C2875,"3 Posting Date",U$9,"4 Entry Type",$C$4,"2 Item No.","@@"&amp;$F2875)</t>
  </si>
  <si>
    <t>=-NL("Sum","32 Item Ledger Entry","12 Quantity","5 Source no.",$C2876,"3 Posting Date",U$9,"4 Entry Type",$C$4,"2 Item No.","@@"&amp;$F2876)</t>
  </si>
  <si>
    <t>=-NL("Sum","32 Item Ledger Entry","12 Quantity","5 Source no.",$C2877,"3 Posting Date",U$9,"4 Entry Type",$C$4,"2 Item No.","@@"&amp;$F2877)</t>
  </si>
  <si>
    <t>=-NL("Sum","32 Item Ledger Entry","12 Quantity","5 Source no.",$C2878,"3 Posting Date",U$9,"4 Entry Type",$C$4,"2 Item No.","@@"&amp;$F2878)</t>
  </si>
  <si>
    <t>=-NL("Sum","32 Item Ledger Entry","12 Quantity","5 Source no.",$C2879,"3 Posting Date",U$9,"4 Entry Type",$C$4,"2 Item No.","@@"&amp;$F2879)</t>
  </si>
  <si>
    <t>=-NL("Sum","32 Item Ledger Entry","12 Quantity","5 Source no.",$C2880,"3 Posting Date",U$9,"4 Entry Type",$C$4,"2 Item No.","@@"&amp;$F2880)</t>
  </si>
  <si>
    <t>=-NL("Sum","32 Item Ledger Entry","12 Quantity","5 Source no.",$C2881,"3 Posting Date",U$9,"4 Entry Type",$C$4,"2 Item No.","@@"&amp;$F2881)</t>
  </si>
  <si>
    <t>=-NL("Sum","32 Item Ledger Entry","12 Quantity","5 Source no.",$C2882,"3 Posting Date",U$9,"4 Entry Type",$C$4,"2 Item No.","@@"&amp;$F2882)</t>
  </si>
  <si>
    <t>=-NL("Sum","32 Item Ledger Entry","12 Quantity","5 Source no.",$C2883,"3 Posting Date",U$9,"4 Entry Type",$C$4,"2 Item No.","@@"&amp;$F2883)</t>
  </si>
  <si>
    <t>=-NL("Sum","32 Item Ledger Entry","12 Quantity","5 Source no.",$C2884,"3 Posting Date",U$9,"4 Entry Type",$C$4,"2 Item No.","@@"&amp;$F2884)</t>
  </si>
  <si>
    <t>=-NL("Sum","32 Item Ledger Entry","12 Quantity","5 Source no.",$C2885,"3 Posting Date",U$9,"4 Entry Type",$C$4,"2 Item No.","@@"&amp;$F2885)</t>
  </si>
  <si>
    <t>=-NL("Sum","32 Item Ledger Entry","12 Quantity","5 Source no.",$C2886,"3 Posting Date",U$9,"4 Entry Type",$C$4,"2 Item No.","@@"&amp;$F2886)</t>
  </si>
  <si>
    <t>=-NL("Sum","32 Item Ledger Entry","12 Quantity","5 Source no.",$C2887,"3 Posting Date",U$9,"4 Entry Type",$C$4,"2 Item No.","@@"&amp;$F2887)</t>
  </si>
  <si>
    <t>=-NL("Sum","32 Item Ledger Entry","12 Quantity","5 Source no.",$C2888,"3 Posting Date",U$9,"4 Entry Type",$C$4,"2 Item No.","@@"&amp;$F2888)</t>
  </si>
  <si>
    <t>=-NL("Sum","32 Item Ledger Entry","12 Quantity","5 Source no.",$C2889,"3 Posting Date",U$9,"4 Entry Type",$C$4,"2 Item No.","@@"&amp;$F2889)</t>
  </si>
  <si>
    <t>=-NL("Sum","32 Item Ledger Entry","12 Quantity","5 Source no.",$C2890,"3 Posting Date",U$9,"4 Entry Type",$C$4,"2 Item No.","@@"&amp;$F2890)</t>
  </si>
  <si>
    <t>=-NL("Sum","32 Item Ledger Entry","12 Quantity","5 Source no.",$C2891,"3 Posting Date",U$9,"4 Entry Type",$C$4,"2 Item No.","@@"&amp;$F2891)</t>
  </si>
  <si>
    <t>=-NL("Sum","32 Item Ledger Entry","12 Quantity","5 Source no.",$C2892,"3 Posting Date",U$9,"4 Entry Type",$C$4,"2 Item No.","@@"&amp;$F2892)</t>
  </si>
  <si>
    <t>=-NL("Sum","32 Item Ledger Entry","12 Quantity","5 Source no.",$C2893,"3 Posting Date",U$9,"4 Entry Type",$C$4,"2 Item No.","@@"&amp;$F2893)</t>
  </si>
  <si>
    <t>=-NL("Sum","32 Item Ledger Entry","12 Quantity","5 Source no.",$C2894,"3 Posting Date",U$9,"4 Entry Type",$C$4,"2 Item No.","@@"&amp;$F2894)</t>
  </si>
  <si>
    <t>=-NL("Sum","32 Item Ledger Entry","12 Quantity","5 Source no.",$C2895,"3 Posting Date",U$9,"4 Entry Type",$C$4,"2 Item No.","@@"&amp;$F2895)</t>
  </si>
  <si>
    <t>=-NL("Sum","32 Item Ledger Entry","12 Quantity","5 Source no.",$C2896,"3 Posting Date",U$9,"4 Entry Type",$C$4,"2 Item No.","@@"&amp;$F2896)</t>
  </si>
  <si>
    <t>=-NL("Sum","32 Item Ledger Entry","12 Quantity","5 Source no.",$C2897,"3 Posting Date",U$9,"4 Entry Type",$C$4,"2 Item No.","@@"&amp;$F2897)</t>
  </si>
  <si>
    <t>=-NL("Sum","32 Item Ledger Entry","12 Quantity","5 Source no.",$C2898,"3 Posting Date",U$9,"4 Entry Type",$C$4,"2 Item No.","@@"&amp;$F2898)</t>
  </si>
  <si>
    <t>=-NL("Sum","32 Item Ledger Entry","12 Quantity","5 Source no.",$C2899,"3 Posting Date",U$9,"4 Entry Type",$C$4,"2 Item No.","@@"&amp;$F2899)</t>
  </si>
  <si>
    <t>=-NL("Sum","32 Item Ledger Entry","12 Quantity","5 Source no.",$C2851,"3 Posting Date",Z$9,"4 Entry Type",$C$4,"2 Item No.","@@"&amp;$F2851)</t>
  </si>
  <si>
    <t>=-NL("Sum","32 Item Ledger Entry","12 Quantity","5 Source no.",$C2852,"3 Posting Date",Z$9,"4 Entry Type",$C$4,"2 Item No.","@@"&amp;$F2852)</t>
  </si>
  <si>
    <t>=-NL("Sum","32 Item Ledger Entry","12 Quantity","5 Source no.",$C2853,"3 Posting Date",Z$9,"4 Entry Type",$C$4,"2 Item No.","@@"&amp;$F2853)</t>
  </si>
  <si>
    <t>=-NL("Sum","32 Item Ledger Entry","12 Quantity","5 Source no.",$C2854,"3 Posting Date",Z$9,"4 Entry Type",$C$4,"2 Item No.","@@"&amp;$F2854)</t>
  </si>
  <si>
    <t>=-NL("Sum","32 Item Ledger Entry","12 Quantity","5 Source no.",$C2855,"3 Posting Date",Z$9,"4 Entry Type",$C$4,"2 Item No.","@@"&amp;$F2855)</t>
  </si>
  <si>
    <t>=-NL("Sum","32 Item Ledger Entry","12 Quantity","5 Source no.",$C2856,"3 Posting Date",Z$9,"4 Entry Type",$C$4,"2 Item No.","@@"&amp;$F2856)</t>
  </si>
  <si>
    <t>=-NL("Sum","32 Item Ledger Entry","12 Quantity","5 Source no.",$C2857,"3 Posting Date",Z$9,"4 Entry Type",$C$4,"2 Item No.","@@"&amp;$F2857)</t>
  </si>
  <si>
    <t>=-NL("Sum","32 Item Ledger Entry","12 Quantity","5 Source no.",$C2858,"3 Posting Date",Z$9,"4 Entry Type",$C$4,"2 Item No.","@@"&amp;$F2858)</t>
  </si>
  <si>
    <t>=-NL("Sum","32 Item Ledger Entry","12 Quantity","5 Source no.",$C2859,"3 Posting Date",Z$9,"4 Entry Type",$C$4,"2 Item No.","@@"&amp;$F2859)</t>
  </si>
  <si>
    <t>=-NL("Sum","32 Item Ledger Entry","12 Quantity","5 Source no.",$C2860,"3 Posting Date",Z$9,"4 Entry Type",$C$4,"2 Item No.","@@"&amp;$F2860)</t>
  </si>
  <si>
    <t>=-NL("Sum","32 Item Ledger Entry","12 Quantity","5 Source no.",$C2861,"3 Posting Date",Z$9,"4 Entry Type",$C$4,"2 Item No.","@@"&amp;$F2861)</t>
  </si>
  <si>
    <t>=-NL("Sum","32 Item Ledger Entry","12 Quantity","5 Source no.",$C2862,"3 Posting Date",Z$9,"4 Entry Type",$C$4,"2 Item No.","@@"&amp;$F2862)</t>
  </si>
  <si>
    <t>=-NL("Sum","32 Item Ledger Entry","12 Quantity","5 Source no.",$C2863,"3 Posting Date",Z$9,"4 Entry Type",$C$4,"2 Item No.","@@"&amp;$F2863)</t>
  </si>
  <si>
    <t>=-NL("Sum","32 Item Ledger Entry","12 Quantity","5 Source no.",$C2864,"3 Posting Date",Z$9,"4 Entry Type",$C$4,"2 Item No.","@@"&amp;$F2864)</t>
  </si>
  <si>
    <t>=-NL("Sum","32 Item Ledger Entry","12 Quantity","5 Source no.",$C2865,"3 Posting Date",Z$9,"4 Entry Type",$C$4,"2 Item No.","@@"&amp;$F2865)</t>
  </si>
  <si>
    <t>=-NL("Sum","32 Item Ledger Entry","12 Quantity","5 Source no.",$C2866,"3 Posting Date",Z$9,"4 Entry Type",$C$4,"2 Item No.","@@"&amp;$F2866)</t>
  </si>
  <si>
    <t>=-NL("Sum","32 Item Ledger Entry","12 Quantity","5 Source no.",$C2867,"3 Posting Date",Z$9,"4 Entry Type",$C$4,"2 Item No.","@@"&amp;$F2867)</t>
  </si>
  <si>
    <t>=-NL("Sum","32 Item Ledger Entry","12 Quantity","5 Source no.",$C2868,"3 Posting Date",Z$9,"4 Entry Type",$C$4,"2 Item No.","@@"&amp;$F2868)</t>
  </si>
  <si>
    <t>=-NL("Sum","32 Item Ledger Entry","12 Quantity","5 Source no.",$C2869,"3 Posting Date",Z$9,"4 Entry Type",$C$4,"2 Item No.","@@"&amp;$F2869)</t>
  </si>
  <si>
    <t>=-NL("Sum","32 Item Ledger Entry","12 Quantity","5 Source no.",$C2870,"3 Posting Date",Z$9,"4 Entry Type",$C$4,"2 Item No.","@@"&amp;$F2870)</t>
  </si>
  <si>
    <t>=-NL("Sum","32 Item Ledger Entry","12 Quantity","5 Source no.",$C2871,"3 Posting Date",Z$9,"4 Entry Type",$C$4,"2 Item No.","@@"&amp;$F2871)</t>
  </si>
  <si>
    <t>=-NL("Sum","32 Item Ledger Entry","12 Quantity","5 Source no.",$C2872,"3 Posting Date",Z$9,"4 Entry Type",$C$4,"2 Item No.","@@"&amp;$F2872)</t>
  </si>
  <si>
    <t>=-NL("Sum","32 Item Ledger Entry","12 Quantity","5 Source no.",$C2873,"3 Posting Date",Z$9,"4 Entry Type",$C$4,"2 Item No.","@@"&amp;$F2873)</t>
  </si>
  <si>
    <t>=-NL("Sum","32 Item Ledger Entry","12 Quantity","5 Source no.",$C2874,"3 Posting Date",Z$9,"4 Entry Type",$C$4,"2 Item No.","@@"&amp;$F2874)</t>
  </si>
  <si>
    <t>=-NL("Sum","32 Item Ledger Entry","12 Quantity","5 Source no.",$C2875,"3 Posting Date",Z$9,"4 Entry Type",$C$4,"2 Item No.","@@"&amp;$F2875)</t>
  </si>
  <si>
    <t>=-NL("Sum","32 Item Ledger Entry","12 Quantity","5 Source no.",$C2876,"3 Posting Date",Z$9,"4 Entry Type",$C$4,"2 Item No.","@@"&amp;$F2876)</t>
  </si>
  <si>
    <t>=-NL("Sum","32 Item Ledger Entry","12 Quantity","5 Source no.",$C2877,"3 Posting Date",Z$9,"4 Entry Type",$C$4,"2 Item No.","@@"&amp;$F2877)</t>
  </si>
  <si>
    <t>=-NL("Sum","32 Item Ledger Entry","12 Quantity","5 Source no.",$C2878,"3 Posting Date",Z$9,"4 Entry Type",$C$4,"2 Item No.","@@"&amp;$F2878)</t>
  </si>
  <si>
    <t>=-NL("Sum","32 Item Ledger Entry","12 Quantity","5 Source no.",$C2879,"3 Posting Date",Z$9,"4 Entry Type",$C$4,"2 Item No.","@@"&amp;$F2879)</t>
  </si>
  <si>
    <t>=-NL("Sum","32 Item Ledger Entry","12 Quantity","5 Source no.",$C2880,"3 Posting Date",Z$9,"4 Entry Type",$C$4,"2 Item No.","@@"&amp;$F2880)</t>
  </si>
  <si>
    <t>=-NL("Sum","32 Item Ledger Entry","12 Quantity","5 Source no.",$C2881,"3 Posting Date",Z$9,"4 Entry Type",$C$4,"2 Item No.","@@"&amp;$F2881)</t>
  </si>
  <si>
    <t>=-NL("Sum","32 Item Ledger Entry","12 Quantity","5 Source no.",$C2882,"3 Posting Date",Z$9,"4 Entry Type",$C$4,"2 Item No.","@@"&amp;$F2882)</t>
  </si>
  <si>
    <t>=-NL("Sum","32 Item Ledger Entry","12 Quantity","5 Source no.",$C2883,"3 Posting Date",Z$9,"4 Entry Type",$C$4,"2 Item No.","@@"&amp;$F2883)</t>
  </si>
  <si>
    <t>=-NL("Sum","32 Item Ledger Entry","12 Quantity","5 Source no.",$C2884,"3 Posting Date",Z$9,"4 Entry Type",$C$4,"2 Item No.","@@"&amp;$F2884)</t>
  </si>
  <si>
    <t>=-NL("Sum","32 Item Ledger Entry","12 Quantity","5 Source no.",$C2885,"3 Posting Date",Z$9,"4 Entry Type",$C$4,"2 Item No.","@@"&amp;$F2885)</t>
  </si>
  <si>
    <t>=-NL("Sum","32 Item Ledger Entry","12 Quantity","5 Source no.",$C2886,"3 Posting Date",Z$9,"4 Entry Type",$C$4,"2 Item No.","@@"&amp;$F2886)</t>
  </si>
  <si>
    <t>=-NL("Sum","32 Item Ledger Entry","12 Quantity","5 Source no.",$C2887,"3 Posting Date",Z$9,"4 Entry Type",$C$4,"2 Item No.","@@"&amp;$F2887)</t>
  </si>
  <si>
    <t>=-NL("Sum","32 Item Ledger Entry","12 Quantity","5 Source no.",$C2888,"3 Posting Date",Z$9,"4 Entry Type",$C$4,"2 Item No.","@@"&amp;$F2888)</t>
  </si>
  <si>
    <t>=-NL("Sum","32 Item Ledger Entry","12 Quantity","5 Source no.",$C2889,"3 Posting Date",Z$9,"4 Entry Type",$C$4,"2 Item No.","@@"&amp;$F2889)</t>
  </si>
  <si>
    <t>=-NL("Sum","32 Item Ledger Entry","12 Quantity","5 Source no.",$C2890,"3 Posting Date",Z$9,"4 Entry Type",$C$4,"2 Item No.","@@"&amp;$F2890)</t>
  </si>
  <si>
    <t>=-NL("Sum","32 Item Ledger Entry","12 Quantity","5 Source no.",$C2891,"3 Posting Date",Z$9,"4 Entry Type",$C$4,"2 Item No.","@@"&amp;$F2891)</t>
  </si>
  <si>
    <t>=-NL("Sum","32 Item Ledger Entry","12 Quantity","5 Source no.",$C2892,"3 Posting Date",Z$9,"4 Entry Type",$C$4,"2 Item No.","@@"&amp;$F2892)</t>
  </si>
  <si>
    <t>=-NL("Sum","32 Item Ledger Entry","12 Quantity","5 Source no.",$C2893,"3 Posting Date",Z$9,"4 Entry Type",$C$4,"2 Item No.","@@"&amp;$F2893)</t>
  </si>
  <si>
    <t>=-NL("Sum","32 Item Ledger Entry","12 Quantity","5 Source no.",$C2894,"3 Posting Date",Z$9,"4 Entry Type",$C$4,"2 Item No.","@@"&amp;$F2894)</t>
  </si>
  <si>
    <t>=-NL("Sum","32 Item Ledger Entry","12 Quantity","5 Source no.",$C2895,"3 Posting Date",Z$9,"4 Entry Type",$C$4,"2 Item No.","@@"&amp;$F2895)</t>
  </si>
  <si>
    <t>=-NL("Sum","32 Item Ledger Entry","12 Quantity","5 Source no.",$C2896,"3 Posting Date",Z$9,"4 Entry Type",$C$4,"2 Item No.","@@"&amp;$F2896)</t>
  </si>
  <si>
    <t>=-NL("Sum","32 Item Ledger Entry","12 Quantity","5 Source no.",$C2897,"3 Posting Date",Z$9,"4 Entry Type",$C$4,"2 Item No.","@@"&amp;$F2897)</t>
  </si>
  <si>
    <t>=-NL("Sum","32 Item Ledger Entry","12 Quantity","5 Source no.",$C2898,"3 Posting Date",Z$9,"4 Entry Type",$C$4,"2 Item No.","@@"&amp;$F2898)</t>
  </si>
  <si>
    <t>=-NL("Sum","32 Item Ledger Entry","12 Quantity","5 Source no.",$C2899,"3 Posting Date",Z$9,"4 Entry Type",$C$4,"2 Item No.","@@"&amp;$F2899)</t>
  </si>
  <si>
    <t>=NL(,"27 Item","3 Description","1 No.","@@"&amp;F2775)</t>
  </si>
  <si>
    <t>=NL(,"27 Item","3 Description","1 No.","@@"&amp;F2776)</t>
  </si>
  <si>
    <t>=NL(,"27 Item","3 Description","1 No.","@@"&amp;F2777)</t>
  </si>
  <si>
    <t>=NL(,"27 Item","3 Description","1 No.","@@"&amp;F2778)</t>
  </si>
  <si>
    <t>=NL(,"27 Item","3 Description","1 No.","@@"&amp;F2779)</t>
  </si>
  <si>
    <t>=NL(,"27 Item","3 Description","1 No.","@@"&amp;F2780)</t>
  </si>
  <si>
    <t>=NL(,"27 Item","3 Description","1 No.","@@"&amp;F2781)</t>
  </si>
  <si>
    <t>=NL(,"27 Item","3 Description","1 No.","@@"&amp;F2782)</t>
  </si>
  <si>
    <t>=NL(,"27 Item","3 Description","1 No.","@@"&amp;F2783)</t>
  </si>
  <si>
    <t>=NL(,"27 Item","3 Description","1 No.","@@"&amp;F2784)</t>
  </si>
  <si>
    <t>=NL(,"27 Item","3 Description","1 No.","@@"&amp;F2785)</t>
  </si>
  <si>
    <t>=NL(,"27 Item","3 Description","1 No.","@@"&amp;F2786)</t>
  </si>
  <si>
    <t>=NL(,"27 Item","3 Description","1 No.","@@"&amp;F2787)</t>
  </si>
  <si>
    <t>=NL(,"27 Item","3 Description","1 No.","@@"&amp;F2788)</t>
  </si>
  <si>
    <t>=NL(,"27 Item","3 Description","1 No.","@@"&amp;F2789)</t>
  </si>
  <si>
    <t>=NL(,"27 Item","3 Description","1 No.","@@"&amp;F2790)</t>
  </si>
  <si>
    <t>=NL(,"27 Item","3 Description","1 No.","@@"&amp;F2791)</t>
  </si>
  <si>
    <t>=NL(,"27 Item","3 Description","1 No.","@@"&amp;F2792)</t>
  </si>
  <si>
    <t>=NL(,"27 Item","3 Description","1 No.","@@"&amp;F2793)</t>
  </si>
  <si>
    <t>=NL(,"27 Item","3 Description","1 No.","@@"&amp;F2794)</t>
  </si>
  <si>
    <t>=NL(,"27 Item","3 Description","1 No.","@@"&amp;F2795)</t>
  </si>
  <si>
    <t>=NL(,"27 Item","3 Description","1 No.","@@"&amp;F2796)</t>
  </si>
  <si>
    <t>=NL(,"27 Item","3 Description","1 No.","@@"&amp;F2797)</t>
  </si>
  <si>
    <t>=NL(,"27 Item","3 Description","1 No.","@@"&amp;F2798)</t>
  </si>
  <si>
    <t>=NL(,"27 Item","3 Description","1 No.","@@"&amp;F2799)</t>
  </si>
  <si>
    <t>=NL(,"27 Item","3 Description","1 No.","@@"&amp;F2800)</t>
  </si>
  <si>
    <t>=NL(,"27 Item","3 Description","1 No.","@@"&amp;F2801)</t>
  </si>
  <si>
    <t>=NL(,"27 Item","3 Description","1 No.","@@"&amp;F2802)</t>
  </si>
  <si>
    <t>=NL(,"27 Item","3 Description","1 No.","@@"&amp;F2803)</t>
  </si>
  <si>
    <t>=NL(,"27 Item","3 Description","1 No.","@@"&amp;F2804)</t>
  </si>
  <si>
    <t>=NL(,"27 Item","3 Description","1 No.","@@"&amp;F2805)</t>
  </si>
  <si>
    <t>=NL(,"27 Item","3 Description","1 No.","@@"&amp;F2806)</t>
  </si>
  <si>
    <t>=NL(,"27 Item","3 Description","1 No.","@@"&amp;F2807)</t>
  </si>
  <si>
    <t>=NL(,"27 Item","3 Description","1 No.","@@"&amp;F2808)</t>
  </si>
  <si>
    <t>=NL(,"27 Item","3 Description","1 No.","@@"&amp;F2809)</t>
  </si>
  <si>
    <t>=NL(,"27 Item","3 Description","1 No.","@@"&amp;F2810)</t>
  </si>
  <si>
    <t>=NL(,"27 Item","3 Description","1 No.","@@"&amp;F2811)</t>
  </si>
  <si>
    <t>=NL(,"27 Item","3 Description","1 No.","@@"&amp;F2812)</t>
  </si>
  <si>
    <t>=NL(,"27 Item","3 Description","1 No.","@@"&amp;F2813)</t>
  </si>
  <si>
    <t>=NL(,"27 Item","3 Description","1 No.","@@"&amp;F2814)</t>
  </si>
  <si>
    <t>=NL(,"27 Item","3 Description","1 No.","@@"&amp;F2815)</t>
  </si>
  <si>
    <t>=NL(,"27 Item","3 Description","1 No.","@@"&amp;F2816)</t>
  </si>
  <si>
    <t>=NL(,"27 Item","3 Description","1 No.","@@"&amp;F2817)</t>
  </si>
  <si>
    <t>=NL(,"27 Item","3 Description","1 No.","@@"&amp;F2818)</t>
  </si>
  <si>
    <t>=NL(,"27 Item","3 Description","1 No.","@@"&amp;F2819)</t>
  </si>
  <si>
    <t>=NL(,"27 Item","3 Description","1 No.","@@"&amp;F2820)</t>
  </si>
  <si>
    <t>=NL(,"27 Item","3 Description","1 No.","@@"&amp;F2821)</t>
  </si>
  <si>
    <t>=NL(,"27 Item","3 Description","1 No.","@@"&amp;F2822)</t>
  </si>
  <si>
    <t>=NL(,"27 Item","3 Description","1 No.","@@"&amp;F2823)</t>
  </si>
  <si>
    <t>=NL(,"27 Item","3 Description","1 No.","@@"&amp;F2824)</t>
  </si>
  <si>
    <t>=NL(,"27 Item","3 Description","1 No.","@@"&amp;F2825)</t>
  </si>
  <si>
    <t>=NL(,"27 Item","3 Description","1 No.","@@"&amp;F2826)</t>
  </si>
  <si>
    <t>=NL(,"27 Item","3 Description","1 No.","@@"&amp;F2827)</t>
  </si>
  <si>
    <t>=NL(,"27 Item","3 Description","1 No.","@@"&amp;F2828)</t>
  </si>
  <si>
    <t>=NL(,"27 Item","3 Description","1 No.","@@"&amp;F2829)</t>
  </si>
  <si>
    <t>=NL(,"27 Item","3 Description","1 No.","@@"&amp;F2830)</t>
  </si>
  <si>
    <t>=NL(,"27 Item","3 Description","1 No.","@@"&amp;F2831)</t>
  </si>
  <si>
    <t>=NL(,"27 Item","3 Description","1 No.","@@"&amp;F2832)</t>
  </si>
  <si>
    <t>=NL(,"27 Item","3 Description","1 No.","@@"&amp;F2833)</t>
  </si>
  <si>
    <t>=NL(,"27 Item","3 Description","1 No.","@@"&amp;F2834)</t>
  </si>
  <si>
    <t>=NL(,"27 Item","3 Description","1 No.","@@"&amp;F2835)</t>
  </si>
  <si>
    <t>=NL(,"27 Item","3 Description","1 No.","@@"&amp;F2836)</t>
  </si>
  <si>
    <t>=NL(,"27 Item","3 Description","1 No.","@@"&amp;F2837)</t>
  </si>
  <si>
    <t>=NL(,"27 Item","3 Description","1 No.","@@"&amp;F2838)</t>
  </si>
  <si>
    <t>=NL(,"27 Item","3 Description","1 No.","@@"&amp;F2839)</t>
  </si>
  <si>
    <t>=NL(,"27 Item","3 Description","1 No.","@@"&amp;F2840)</t>
  </si>
  <si>
    <t>=NL(,"27 Item","3 Description","1 No.","@@"&amp;F2841)</t>
  </si>
  <si>
    <t>=NL(,"27 Item","3 Description","1 No.","@@"&amp;F2842)</t>
  </si>
  <si>
    <t>=NL(,"27 Item","3 Description","1 No.","@@"&amp;F2843)</t>
  </si>
  <si>
    <t>=NL(,"27 Item","3 Description","1 No.","@@"&amp;F2844)</t>
  </si>
  <si>
    <t>=NL(,"27 Item","3 Description","1 No.","@@"&amp;F2845)</t>
  </si>
  <si>
    <t>=-NL("Sum","32 Item Ledger Entry","12 Quantity","5 Source no.",$C2775,"3 Posting Date",J$9,"4 Entry Type",$C$4,"2 Item No.","@@"&amp;$F2775)</t>
  </si>
  <si>
    <t>=-NL("Sum","32 Item Ledger Entry","12 Quantity","5 Source no.",$C2776,"3 Posting Date",J$9,"4 Entry Type",$C$4,"2 Item No.","@@"&amp;$F2776)</t>
  </si>
  <si>
    <t>=-NL("Sum","32 Item Ledger Entry","12 Quantity","5 Source no.",$C2777,"3 Posting Date",J$9,"4 Entry Type",$C$4,"2 Item No.","@@"&amp;$F2777)</t>
  </si>
  <si>
    <t>=-NL("Sum","32 Item Ledger Entry","12 Quantity","5 Source no.",$C2778,"3 Posting Date",J$9,"4 Entry Type",$C$4,"2 Item No.","@@"&amp;$F2778)</t>
  </si>
  <si>
    <t>=-NL("Sum","32 Item Ledger Entry","12 Quantity","5 Source no.",$C2779,"3 Posting Date",J$9,"4 Entry Type",$C$4,"2 Item No.","@@"&amp;$F2779)</t>
  </si>
  <si>
    <t>=-NL("Sum","32 Item Ledger Entry","12 Quantity","5 Source no.",$C2780,"3 Posting Date",J$9,"4 Entry Type",$C$4,"2 Item No.","@@"&amp;$F2780)</t>
  </si>
  <si>
    <t>=-NL("Sum","32 Item Ledger Entry","12 Quantity","5 Source no.",$C2781,"3 Posting Date",J$9,"4 Entry Type",$C$4,"2 Item No.","@@"&amp;$F2781)</t>
  </si>
  <si>
    <t>=-NL("Sum","32 Item Ledger Entry","12 Quantity","5 Source no.",$C2782,"3 Posting Date",J$9,"4 Entry Type",$C$4,"2 Item No.","@@"&amp;$F2782)</t>
  </si>
  <si>
    <t>=-NL("Sum","32 Item Ledger Entry","12 Quantity","5 Source no.",$C2783,"3 Posting Date",J$9,"4 Entry Type",$C$4,"2 Item No.","@@"&amp;$F2783)</t>
  </si>
  <si>
    <t>=-NL("Sum","32 Item Ledger Entry","12 Quantity","5 Source no.",$C2784,"3 Posting Date",J$9,"4 Entry Type",$C$4,"2 Item No.","@@"&amp;$F2784)</t>
  </si>
  <si>
    <t>=-NL("Sum","32 Item Ledger Entry","12 Quantity","5 Source no.",$C2785,"3 Posting Date",J$9,"4 Entry Type",$C$4,"2 Item No.","@@"&amp;$F2785)</t>
  </si>
  <si>
    <t>=-NL("Sum","32 Item Ledger Entry","12 Quantity","5 Source no.",$C2786,"3 Posting Date",J$9,"4 Entry Type",$C$4,"2 Item No.","@@"&amp;$F2786)</t>
  </si>
  <si>
    <t>=-NL("Sum","32 Item Ledger Entry","12 Quantity","5 Source no.",$C2787,"3 Posting Date",J$9,"4 Entry Type",$C$4,"2 Item No.","@@"&amp;$F2787)</t>
  </si>
  <si>
    <t>=-NL("Sum","32 Item Ledger Entry","12 Quantity","5 Source no.",$C2788,"3 Posting Date",J$9,"4 Entry Type",$C$4,"2 Item No.","@@"&amp;$F2788)</t>
  </si>
  <si>
    <t>=-NL("Sum","32 Item Ledger Entry","12 Quantity","5 Source no.",$C2789,"3 Posting Date",J$9,"4 Entry Type",$C$4,"2 Item No.","@@"&amp;$F2789)</t>
  </si>
  <si>
    <t>=-NL("Sum","32 Item Ledger Entry","12 Quantity","5 Source no.",$C2790,"3 Posting Date",J$9,"4 Entry Type",$C$4,"2 Item No.","@@"&amp;$F2790)</t>
  </si>
  <si>
    <t>=-NL("Sum","32 Item Ledger Entry","12 Quantity","5 Source no.",$C2791,"3 Posting Date",J$9,"4 Entry Type",$C$4,"2 Item No.","@@"&amp;$F2791)</t>
  </si>
  <si>
    <t>=-NL("Sum","32 Item Ledger Entry","12 Quantity","5 Source no.",$C2792,"3 Posting Date",J$9,"4 Entry Type",$C$4,"2 Item No.","@@"&amp;$F2792)</t>
  </si>
  <si>
    <t>=-NL("Sum","32 Item Ledger Entry","12 Quantity","5 Source no.",$C2793,"3 Posting Date",J$9,"4 Entry Type",$C$4,"2 Item No.","@@"&amp;$F2793)</t>
  </si>
  <si>
    <t>=-NL("Sum","32 Item Ledger Entry","12 Quantity","5 Source no.",$C2794,"3 Posting Date",J$9,"4 Entry Type",$C$4,"2 Item No.","@@"&amp;$F2794)</t>
  </si>
  <si>
    <t>=-NL("Sum","32 Item Ledger Entry","12 Quantity","5 Source no.",$C2795,"3 Posting Date",J$9,"4 Entry Type",$C$4,"2 Item No.","@@"&amp;$F2795)</t>
  </si>
  <si>
    <t>=-NL("Sum","32 Item Ledger Entry","12 Quantity","5 Source no.",$C2796,"3 Posting Date",J$9,"4 Entry Type",$C$4,"2 Item No.","@@"&amp;$F2796)</t>
  </si>
  <si>
    <t>=-NL("Sum","32 Item Ledger Entry","12 Quantity","5 Source no.",$C2797,"3 Posting Date",J$9,"4 Entry Type",$C$4,"2 Item No.","@@"&amp;$F2797)</t>
  </si>
  <si>
    <t>=-NL("Sum","32 Item Ledger Entry","12 Quantity","5 Source no.",$C2798,"3 Posting Date",J$9,"4 Entry Type",$C$4,"2 Item No.","@@"&amp;$F2798)</t>
  </si>
  <si>
    <t>=-NL("Sum","32 Item Ledger Entry","12 Quantity","5 Source no.",$C2799,"3 Posting Date",J$9,"4 Entry Type",$C$4,"2 Item No.","@@"&amp;$F2799)</t>
  </si>
  <si>
    <t>=-NL("Sum","32 Item Ledger Entry","12 Quantity","5 Source no.",$C2800,"3 Posting Date",J$9,"4 Entry Type",$C$4,"2 Item No.","@@"&amp;$F2800)</t>
  </si>
  <si>
    <t>=-NL("Sum","32 Item Ledger Entry","12 Quantity","5 Source no.",$C2801,"3 Posting Date",J$9,"4 Entry Type",$C$4,"2 Item No.","@@"&amp;$F2801)</t>
  </si>
  <si>
    <t>=-NL("Sum","32 Item Ledger Entry","12 Quantity","5 Source no.",$C2802,"3 Posting Date",J$9,"4 Entry Type",$C$4,"2 Item No.","@@"&amp;$F2802)</t>
  </si>
  <si>
    <t>=-NL("Sum","32 Item Ledger Entry","12 Quantity","5 Source no.",$C2803,"3 Posting Date",J$9,"4 Entry Type",$C$4,"2 Item No.","@@"&amp;$F2803)</t>
  </si>
  <si>
    <t>=-NL("Sum","32 Item Ledger Entry","12 Quantity","5 Source no.",$C2804,"3 Posting Date",J$9,"4 Entry Type",$C$4,"2 Item No.","@@"&amp;$F2804)</t>
  </si>
  <si>
    <t>=-NL("Sum","32 Item Ledger Entry","12 Quantity","5 Source no.",$C2805,"3 Posting Date",J$9,"4 Entry Type",$C$4,"2 Item No.","@@"&amp;$F2805)</t>
  </si>
  <si>
    <t>=-NL("Sum","32 Item Ledger Entry","12 Quantity","5 Source no.",$C2806,"3 Posting Date",J$9,"4 Entry Type",$C$4,"2 Item No.","@@"&amp;$F2806)</t>
  </si>
  <si>
    <t>=-NL("Sum","32 Item Ledger Entry","12 Quantity","5 Source no.",$C2807,"3 Posting Date",J$9,"4 Entry Type",$C$4,"2 Item No.","@@"&amp;$F2807)</t>
  </si>
  <si>
    <t>=-NL("Sum","32 Item Ledger Entry","12 Quantity","5 Source no.",$C2808,"3 Posting Date",J$9,"4 Entry Type",$C$4,"2 Item No.","@@"&amp;$F2808)</t>
  </si>
  <si>
    <t>=-NL("Sum","32 Item Ledger Entry","12 Quantity","5 Source no.",$C2809,"3 Posting Date",J$9,"4 Entry Type",$C$4,"2 Item No.","@@"&amp;$F2809)</t>
  </si>
  <si>
    <t>=-NL("Sum","32 Item Ledger Entry","12 Quantity","5 Source no.",$C2810,"3 Posting Date",J$9,"4 Entry Type",$C$4,"2 Item No.","@@"&amp;$F2810)</t>
  </si>
  <si>
    <t>=-NL("Sum","32 Item Ledger Entry","12 Quantity","5 Source no.",$C2811,"3 Posting Date",J$9,"4 Entry Type",$C$4,"2 Item No.","@@"&amp;$F2811)</t>
  </si>
  <si>
    <t>=-NL("Sum","32 Item Ledger Entry","12 Quantity","5 Source no.",$C2812,"3 Posting Date",J$9,"4 Entry Type",$C$4,"2 Item No.","@@"&amp;$F2812)</t>
  </si>
  <si>
    <t>=-NL("Sum","32 Item Ledger Entry","12 Quantity","5 Source no.",$C2813,"3 Posting Date",J$9,"4 Entry Type",$C$4,"2 Item No.","@@"&amp;$F2813)</t>
  </si>
  <si>
    <t>=-NL("Sum","32 Item Ledger Entry","12 Quantity","5 Source no.",$C2814,"3 Posting Date",J$9,"4 Entry Type",$C$4,"2 Item No.","@@"&amp;$F2814)</t>
  </si>
  <si>
    <t>=-NL("Sum","32 Item Ledger Entry","12 Quantity","5 Source no.",$C2815,"3 Posting Date",J$9,"4 Entry Type",$C$4,"2 Item No.","@@"&amp;$F2815)</t>
  </si>
  <si>
    <t>=-NL("Sum","32 Item Ledger Entry","12 Quantity","5 Source no.",$C2816,"3 Posting Date",J$9,"4 Entry Type",$C$4,"2 Item No.","@@"&amp;$F2816)</t>
  </si>
  <si>
    <t>=-NL("Sum","32 Item Ledger Entry","12 Quantity","5 Source no.",$C2817,"3 Posting Date",J$9,"4 Entry Type",$C$4,"2 Item No.","@@"&amp;$F2817)</t>
  </si>
  <si>
    <t>=-NL("Sum","32 Item Ledger Entry","12 Quantity","5 Source no.",$C2818,"3 Posting Date",J$9,"4 Entry Type",$C$4,"2 Item No.","@@"&amp;$F2818)</t>
  </si>
  <si>
    <t>=-NL("Sum","32 Item Ledger Entry","12 Quantity","5 Source no.",$C2819,"3 Posting Date",J$9,"4 Entry Type",$C$4,"2 Item No.","@@"&amp;$F2819)</t>
  </si>
  <si>
    <t>=-NL("Sum","32 Item Ledger Entry","12 Quantity","5 Source no.",$C2820,"3 Posting Date",J$9,"4 Entry Type",$C$4,"2 Item No.","@@"&amp;$F2820)</t>
  </si>
  <si>
    <t>=-NL("Sum","32 Item Ledger Entry","12 Quantity","5 Source no.",$C2821,"3 Posting Date",J$9,"4 Entry Type",$C$4,"2 Item No.","@@"&amp;$F2821)</t>
  </si>
  <si>
    <t>=-NL("Sum","32 Item Ledger Entry","12 Quantity","5 Source no.",$C2822,"3 Posting Date",J$9,"4 Entry Type",$C$4,"2 Item No.","@@"&amp;$F2822)</t>
  </si>
  <si>
    <t>=-NL("Sum","32 Item Ledger Entry","12 Quantity","5 Source no.",$C2823,"3 Posting Date",J$9,"4 Entry Type",$C$4,"2 Item No.","@@"&amp;$F2823)</t>
  </si>
  <si>
    <t>=-NL("Sum","32 Item Ledger Entry","12 Quantity","5 Source no.",$C2824,"3 Posting Date",J$9,"4 Entry Type",$C$4,"2 Item No.","@@"&amp;$F2824)</t>
  </si>
  <si>
    <t>=-NL("Sum","32 Item Ledger Entry","12 Quantity","5 Source no.",$C2825,"3 Posting Date",J$9,"4 Entry Type",$C$4,"2 Item No.","@@"&amp;$F2825)</t>
  </si>
  <si>
    <t>=-NL("Sum","32 Item Ledger Entry","12 Quantity","5 Source no.",$C2826,"3 Posting Date",J$9,"4 Entry Type",$C$4,"2 Item No.","@@"&amp;$F2826)</t>
  </si>
  <si>
    <t>=-NL("Sum","32 Item Ledger Entry","12 Quantity","5 Source no.",$C2827,"3 Posting Date",J$9,"4 Entry Type",$C$4,"2 Item No.","@@"&amp;$F2827)</t>
  </si>
  <si>
    <t>=-NL("Sum","32 Item Ledger Entry","12 Quantity","5 Source no.",$C2828,"3 Posting Date",J$9,"4 Entry Type",$C$4,"2 Item No.","@@"&amp;$F2828)</t>
  </si>
  <si>
    <t>=-NL("Sum","32 Item Ledger Entry","12 Quantity","5 Source no.",$C2829,"3 Posting Date",J$9,"4 Entry Type",$C$4,"2 Item No.","@@"&amp;$F2829)</t>
  </si>
  <si>
    <t>=-NL("Sum","32 Item Ledger Entry","12 Quantity","5 Source no.",$C2830,"3 Posting Date",J$9,"4 Entry Type",$C$4,"2 Item No.","@@"&amp;$F2830)</t>
  </si>
  <si>
    <t>=-NL("Sum","32 Item Ledger Entry","12 Quantity","5 Source no.",$C2831,"3 Posting Date",J$9,"4 Entry Type",$C$4,"2 Item No.","@@"&amp;$F2831)</t>
  </si>
  <si>
    <t>=-NL("Sum","32 Item Ledger Entry","12 Quantity","5 Source no.",$C2832,"3 Posting Date",J$9,"4 Entry Type",$C$4,"2 Item No.","@@"&amp;$F2832)</t>
  </si>
  <si>
    <t>=-NL("Sum","32 Item Ledger Entry","12 Quantity","5 Source no.",$C2833,"3 Posting Date",J$9,"4 Entry Type",$C$4,"2 Item No.","@@"&amp;$F2833)</t>
  </si>
  <si>
    <t>=-NL("Sum","32 Item Ledger Entry","12 Quantity","5 Source no.",$C2834,"3 Posting Date",J$9,"4 Entry Type",$C$4,"2 Item No.","@@"&amp;$F2834)</t>
  </si>
  <si>
    <t>=-NL("Sum","32 Item Ledger Entry","12 Quantity","5 Source no.",$C2835,"3 Posting Date",J$9,"4 Entry Type",$C$4,"2 Item No.","@@"&amp;$F2835)</t>
  </si>
  <si>
    <t>=-NL("Sum","32 Item Ledger Entry","12 Quantity","5 Source no.",$C2836,"3 Posting Date",J$9,"4 Entry Type",$C$4,"2 Item No.","@@"&amp;$F2836)</t>
  </si>
  <si>
    <t>=-NL("Sum","32 Item Ledger Entry","12 Quantity","5 Source no.",$C2837,"3 Posting Date",J$9,"4 Entry Type",$C$4,"2 Item No.","@@"&amp;$F2837)</t>
  </si>
  <si>
    <t>=-NL("Sum","32 Item Ledger Entry","12 Quantity","5 Source no.",$C2838,"3 Posting Date",J$9,"4 Entry Type",$C$4,"2 Item No.","@@"&amp;$F2838)</t>
  </si>
  <si>
    <t>=-NL("Sum","32 Item Ledger Entry","12 Quantity","5 Source no.",$C2839,"3 Posting Date",J$9,"4 Entry Type",$C$4,"2 Item No.","@@"&amp;$F2839)</t>
  </si>
  <si>
    <t>=-NL("Sum","32 Item Ledger Entry","12 Quantity","5 Source no.",$C2840,"3 Posting Date",J$9,"4 Entry Type",$C$4,"2 Item No.","@@"&amp;$F2840)</t>
  </si>
  <si>
    <t>=-NL("Sum","32 Item Ledger Entry","12 Quantity","5 Source no.",$C2841,"3 Posting Date",J$9,"4 Entry Type",$C$4,"2 Item No.","@@"&amp;$F2841)</t>
  </si>
  <si>
    <t>=-NL("Sum","32 Item Ledger Entry","12 Quantity","5 Source no.",$C2842,"3 Posting Date",J$9,"4 Entry Type",$C$4,"2 Item No.","@@"&amp;$F2842)</t>
  </si>
  <si>
    <t>=-NL("Sum","32 Item Ledger Entry","12 Quantity","5 Source no.",$C2843,"3 Posting Date",J$9,"4 Entry Type",$C$4,"2 Item No.","@@"&amp;$F2843)</t>
  </si>
  <si>
    <t>=-NL("Sum","32 Item Ledger Entry","12 Quantity","5 Source no.",$C2844,"3 Posting Date",J$9,"4 Entry Type",$C$4,"2 Item No.","@@"&amp;$F2844)</t>
  </si>
  <si>
    <t>=-NL("Sum","32 Item Ledger Entry","12 Quantity","5 Source no.",$C2845,"3 Posting Date",J$9,"4 Entry Type",$C$4,"2 Item No.","@@"&amp;$F2845)</t>
  </si>
  <si>
    <t>=-NL("Sum","32 Item Ledger Entry","12 Quantity","5 Source no.",$C2775,"3 Posting Date",O$9,"4 Entry Type",$C$4,"2 Item No.","@@"&amp;$F2775)</t>
  </si>
  <si>
    <t>=-NL("Sum","32 Item Ledger Entry","12 Quantity","5 Source no.",$C2776,"3 Posting Date",O$9,"4 Entry Type",$C$4,"2 Item No.","@@"&amp;$F2776)</t>
  </si>
  <si>
    <t>=-NL("Sum","32 Item Ledger Entry","12 Quantity","5 Source no.",$C2777,"3 Posting Date",O$9,"4 Entry Type",$C$4,"2 Item No.","@@"&amp;$F2777)</t>
  </si>
  <si>
    <t>=-NL("Sum","32 Item Ledger Entry","12 Quantity","5 Source no.",$C2778,"3 Posting Date",O$9,"4 Entry Type",$C$4,"2 Item No.","@@"&amp;$F2778)</t>
  </si>
  <si>
    <t>=-NL("Sum","32 Item Ledger Entry","12 Quantity","5 Source no.",$C2779,"3 Posting Date",O$9,"4 Entry Type",$C$4,"2 Item No.","@@"&amp;$F2779)</t>
  </si>
  <si>
    <t>=-NL("Sum","32 Item Ledger Entry","12 Quantity","5 Source no.",$C2780,"3 Posting Date",O$9,"4 Entry Type",$C$4,"2 Item No.","@@"&amp;$F2780)</t>
  </si>
  <si>
    <t>=-NL("Sum","32 Item Ledger Entry","12 Quantity","5 Source no.",$C2781,"3 Posting Date",O$9,"4 Entry Type",$C$4,"2 Item No.","@@"&amp;$F2781)</t>
  </si>
  <si>
    <t>=-NL("Sum","32 Item Ledger Entry","12 Quantity","5 Source no.",$C2782,"3 Posting Date",O$9,"4 Entry Type",$C$4,"2 Item No.","@@"&amp;$F2782)</t>
  </si>
  <si>
    <t>=-NL("Sum","32 Item Ledger Entry","12 Quantity","5 Source no.",$C2783,"3 Posting Date",O$9,"4 Entry Type",$C$4,"2 Item No.","@@"&amp;$F2783)</t>
  </si>
  <si>
    <t>=-NL("Sum","32 Item Ledger Entry","12 Quantity","5 Source no.",$C2784,"3 Posting Date",O$9,"4 Entry Type",$C$4,"2 Item No.","@@"&amp;$F2784)</t>
  </si>
  <si>
    <t>=-NL("Sum","32 Item Ledger Entry","12 Quantity","5 Source no.",$C2785,"3 Posting Date",O$9,"4 Entry Type",$C$4,"2 Item No.","@@"&amp;$F2785)</t>
  </si>
  <si>
    <t>=-NL("Sum","32 Item Ledger Entry","12 Quantity","5 Source no.",$C2786,"3 Posting Date",O$9,"4 Entry Type",$C$4,"2 Item No.","@@"&amp;$F2786)</t>
  </si>
  <si>
    <t>=-NL("Sum","32 Item Ledger Entry","12 Quantity","5 Source no.",$C2787,"3 Posting Date",O$9,"4 Entry Type",$C$4,"2 Item No.","@@"&amp;$F2787)</t>
  </si>
  <si>
    <t>=-NL("Sum","32 Item Ledger Entry","12 Quantity","5 Source no.",$C2788,"3 Posting Date",O$9,"4 Entry Type",$C$4,"2 Item No.","@@"&amp;$F2788)</t>
  </si>
  <si>
    <t>=-NL("Sum","32 Item Ledger Entry","12 Quantity","5 Source no.",$C2789,"3 Posting Date",O$9,"4 Entry Type",$C$4,"2 Item No.","@@"&amp;$F2789)</t>
  </si>
  <si>
    <t>=-NL("Sum","32 Item Ledger Entry","12 Quantity","5 Source no.",$C2790,"3 Posting Date",O$9,"4 Entry Type",$C$4,"2 Item No.","@@"&amp;$F2790)</t>
  </si>
  <si>
    <t>=-NL("Sum","32 Item Ledger Entry","12 Quantity","5 Source no.",$C2791,"3 Posting Date",O$9,"4 Entry Type",$C$4,"2 Item No.","@@"&amp;$F2791)</t>
  </si>
  <si>
    <t>=-NL("Sum","32 Item Ledger Entry","12 Quantity","5 Source no.",$C2792,"3 Posting Date",O$9,"4 Entry Type",$C$4,"2 Item No.","@@"&amp;$F2792)</t>
  </si>
  <si>
    <t>=-NL("Sum","32 Item Ledger Entry","12 Quantity","5 Source no.",$C2793,"3 Posting Date",O$9,"4 Entry Type",$C$4,"2 Item No.","@@"&amp;$F2793)</t>
  </si>
  <si>
    <t>=-NL("Sum","32 Item Ledger Entry","12 Quantity","5 Source no.",$C2794,"3 Posting Date",O$9,"4 Entry Type",$C$4,"2 Item No.","@@"&amp;$F2794)</t>
  </si>
  <si>
    <t>=-NL("Sum","32 Item Ledger Entry","12 Quantity","5 Source no.",$C2795,"3 Posting Date",O$9,"4 Entry Type",$C$4,"2 Item No.","@@"&amp;$F2795)</t>
  </si>
  <si>
    <t>=-NL("Sum","32 Item Ledger Entry","12 Quantity","5 Source no.",$C2796,"3 Posting Date",O$9,"4 Entry Type",$C$4,"2 Item No.","@@"&amp;$F2796)</t>
  </si>
  <si>
    <t>=-NL("Sum","32 Item Ledger Entry","12 Quantity","5 Source no.",$C2797,"3 Posting Date",O$9,"4 Entry Type",$C$4,"2 Item No.","@@"&amp;$F2797)</t>
  </si>
  <si>
    <t>=-NL("Sum","32 Item Ledger Entry","12 Quantity","5 Source no.",$C2798,"3 Posting Date",O$9,"4 Entry Type",$C$4,"2 Item No.","@@"&amp;$F2798)</t>
  </si>
  <si>
    <t>=-NL("Sum","32 Item Ledger Entry","12 Quantity","5 Source no.",$C2799,"3 Posting Date",O$9,"4 Entry Type",$C$4,"2 Item No.","@@"&amp;$F2799)</t>
  </si>
  <si>
    <t>=-NL("Sum","32 Item Ledger Entry","12 Quantity","5 Source no.",$C2800,"3 Posting Date",O$9,"4 Entry Type",$C$4,"2 Item No.","@@"&amp;$F2800)</t>
  </si>
  <si>
    <t>=-NL("Sum","32 Item Ledger Entry","12 Quantity","5 Source no.",$C2801,"3 Posting Date",O$9,"4 Entry Type",$C$4,"2 Item No.","@@"&amp;$F2801)</t>
  </si>
  <si>
    <t>=-NL("Sum","32 Item Ledger Entry","12 Quantity","5 Source no.",$C2802,"3 Posting Date",O$9,"4 Entry Type",$C$4,"2 Item No.","@@"&amp;$F2802)</t>
  </si>
  <si>
    <t>=-NL("Sum","32 Item Ledger Entry","12 Quantity","5 Source no.",$C2803,"3 Posting Date",O$9,"4 Entry Type",$C$4,"2 Item No.","@@"&amp;$F2803)</t>
  </si>
  <si>
    <t>=-NL("Sum","32 Item Ledger Entry","12 Quantity","5 Source no.",$C2804,"3 Posting Date",O$9,"4 Entry Type",$C$4,"2 Item No.","@@"&amp;$F2804)</t>
  </si>
  <si>
    <t>=-NL("Sum","32 Item Ledger Entry","12 Quantity","5 Source no.",$C2805,"3 Posting Date",O$9,"4 Entry Type",$C$4,"2 Item No.","@@"&amp;$F2805)</t>
  </si>
  <si>
    <t>=-NL("Sum","32 Item Ledger Entry","12 Quantity","5 Source no.",$C2806,"3 Posting Date",O$9,"4 Entry Type",$C$4,"2 Item No.","@@"&amp;$F2806)</t>
  </si>
  <si>
    <t>=-NL("Sum","32 Item Ledger Entry","12 Quantity","5 Source no.",$C2807,"3 Posting Date",O$9,"4 Entry Type",$C$4,"2 Item No.","@@"&amp;$F2807)</t>
  </si>
  <si>
    <t>=-NL("Sum","32 Item Ledger Entry","12 Quantity","5 Source no.",$C2808,"3 Posting Date",O$9,"4 Entry Type",$C$4,"2 Item No.","@@"&amp;$F2808)</t>
  </si>
  <si>
    <t>=-NL("Sum","32 Item Ledger Entry","12 Quantity","5 Source no.",$C2809,"3 Posting Date",O$9,"4 Entry Type",$C$4,"2 Item No.","@@"&amp;$F2809)</t>
  </si>
  <si>
    <t>=-NL("Sum","32 Item Ledger Entry","12 Quantity","5 Source no.",$C2810,"3 Posting Date",O$9,"4 Entry Type",$C$4,"2 Item No.","@@"&amp;$F2810)</t>
  </si>
  <si>
    <t>=-NL("Sum","32 Item Ledger Entry","12 Quantity","5 Source no.",$C2811,"3 Posting Date",O$9,"4 Entry Type",$C$4,"2 Item No.","@@"&amp;$F2811)</t>
  </si>
  <si>
    <t>=-NL("Sum","32 Item Ledger Entry","12 Quantity","5 Source no.",$C2812,"3 Posting Date",O$9,"4 Entry Type",$C$4,"2 Item No.","@@"&amp;$F2812)</t>
  </si>
  <si>
    <t>=-NL("Sum","32 Item Ledger Entry","12 Quantity","5 Source no.",$C2813,"3 Posting Date",O$9,"4 Entry Type",$C$4,"2 Item No.","@@"&amp;$F2813)</t>
  </si>
  <si>
    <t>=-NL("Sum","32 Item Ledger Entry","12 Quantity","5 Source no.",$C2814,"3 Posting Date",O$9,"4 Entry Type",$C$4,"2 Item No.","@@"&amp;$F2814)</t>
  </si>
  <si>
    <t>=-NL("Sum","32 Item Ledger Entry","12 Quantity","5 Source no.",$C2815,"3 Posting Date",O$9,"4 Entry Type",$C$4,"2 Item No.","@@"&amp;$F2815)</t>
  </si>
  <si>
    <t>=-NL("Sum","32 Item Ledger Entry","12 Quantity","5 Source no.",$C2816,"3 Posting Date",O$9,"4 Entry Type",$C$4,"2 Item No.","@@"&amp;$F2816)</t>
  </si>
  <si>
    <t>=-NL("Sum","32 Item Ledger Entry","12 Quantity","5 Source no.",$C2817,"3 Posting Date",O$9,"4 Entry Type",$C$4,"2 Item No.","@@"&amp;$F2817)</t>
  </si>
  <si>
    <t>=-NL("Sum","32 Item Ledger Entry","12 Quantity","5 Source no.",$C2818,"3 Posting Date",O$9,"4 Entry Type",$C$4,"2 Item No.","@@"&amp;$F2818)</t>
  </si>
  <si>
    <t>=-NL("Sum","32 Item Ledger Entry","12 Quantity","5 Source no.",$C2819,"3 Posting Date",O$9,"4 Entry Type",$C$4,"2 Item No.","@@"&amp;$F2819)</t>
  </si>
  <si>
    <t>=-NL("Sum","32 Item Ledger Entry","12 Quantity","5 Source no.",$C2820,"3 Posting Date",O$9,"4 Entry Type",$C$4,"2 Item No.","@@"&amp;$F2820)</t>
  </si>
  <si>
    <t>=-NL("Sum","32 Item Ledger Entry","12 Quantity","5 Source no.",$C2821,"3 Posting Date",O$9,"4 Entry Type",$C$4,"2 Item No.","@@"&amp;$F2821)</t>
  </si>
  <si>
    <t>=-NL("Sum","32 Item Ledger Entry","12 Quantity","5 Source no.",$C2822,"3 Posting Date",O$9,"4 Entry Type",$C$4,"2 Item No.","@@"&amp;$F2822)</t>
  </si>
  <si>
    <t>=-NL("Sum","32 Item Ledger Entry","12 Quantity","5 Source no.",$C2823,"3 Posting Date",O$9,"4 Entry Type",$C$4,"2 Item No.","@@"&amp;$F2823)</t>
  </si>
  <si>
    <t>=-NL("Sum","32 Item Ledger Entry","12 Quantity","5 Source no.",$C2824,"3 Posting Date",O$9,"4 Entry Type",$C$4,"2 Item No.","@@"&amp;$F2824)</t>
  </si>
  <si>
    <t>=-NL("Sum","32 Item Ledger Entry","12 Quantity","5 Source no.",$C2825,"3 Posting Date",O$9,"4 Entry Type",$C$4,"2 Item No.","@@"&amp;$F2825)</t>
  </si>
  <si>
    <t>=-NL("Sum","32 Item Ledger Entry","12 Quantity","5 Source no.",$C2826,"3 Posting Date",O$9,"4 Entry Type",$C$4,"2 Item No.","@@"&amp;$F2826)</t>
  </si>
  <si>
    <t>=-NL("Sum","32 Item Ledger Entry","12 Quantity","5 Source no.",$C2827,"3 Posting Date",O$9,"4 Entry Type",$C$4,"2 Item No.","@@"&amp;$F2827)</t>
  </si>
  <si>
    <t>=-NL("Sum","32 Item Ledger Entry","12 Quantity","5 Source no.",$C2828,"3 Posting Date",O$9,"4 Entry Type",$C$4,"2 Item No.","@@"&amp;$F2828)</t>
  </si>
  <si>
    <t>=-NL("Sum","32 Item Ledger Entry","12 Quantity","5 Source no.",$C2829,"3 Posting Date",O$9,"4 Entry Type",$C$4,"2 Item No.","@@"&amp;$F2829)</t>
  </si>
  <si>
    <t>=-NL("Sum","32 Item Ledger Entry","12 Quantity","5 Source no.",$C2830,"3 Posting Date",O$9,"4 Entry Type",$C$4,"2 Item No.","@@"&amp;$F2830)</t>
  </si>
  <si>
    <t>=-NL("Sum","32 Item Ledger Entry","12 Quantity","5 Source no.",$C2831,"3 Posting Date",O$9,"4 Entry Type",$C$4,"2 Item No.","@@"&amp;$F2831)</t>
  </si>
  <si>
    <t>=-NL("Sum","32 Item Ledger Entry","12 Quantity","5 Source no.",$C2832,"3 Posting Date",O$9,"4 Entry Type",$C$4,"2 Item No.","@@"&amp;$F2832)</t>
  </si>
  <si>
    <t>=-NL("Sum","32 Item Ledger Entry","12 Quantity","5 Source no.",$C2833,"3 Posting Date",O$9,"4 Entry Type",$C$4,"2 Item No.","@@"&amp;$F2833)</t>
  </si>
  <si>
    <t>=-NL("Sum","32 Item Ledger Entry","12 Quantity","5 Source no.",$C2834,"3 Posting Date",O$9,"4 Entry Type",$C$4,"2 Item No.","@@"&amp;$F2834)</t>
  </si>
  <si>
    <t>=-NL("Sum","32 Item Ledger Entry","12 Quantity","5 Source no.",$C2835,"3 Posting Date",O$9,"4 Entry Type",$C$4,"2 Item No.","@@"&amp;$F2835)</t>
  </si>
  <si>
    <t>=-NL("Sum","32 Item Ledger Entry","12 Quantity","5 Source no.",$C2836,"3 Posting Date",O$9,"4 Entry Type",$C$4,"2 Item No.","@@"&amp;$F2836)</t>
  </si>
  <si>
    <t>=-NL("Sum","32 Item Ledger Entry","12 Quantity","5 Source no.",$C2837,"3 Posting Date",O$9,"4 Entry Type",$C$4,"2 Item No.","@@"&amp;$F2837)</t>
  </si>
  <si>
    <t>=-NL("Sum","32 Item Ledger Entry","12 Quantity","5 Source no.",$C2838,"3 Posting Date",O$9,"4 Entry Type",$C$4,"2 Item No.","@@"&amp;$F2838)</t>
  </si>
  <si>
    <t>=-NL("Sum","32 Item Ledger Entry","12 Quantity","5 Source no.",$C2839,"3 Posting Date",O$9,"4 Entry Type",$C$4,"2 Item No.","@@"&amp;$F2839)</t>
  </si>
  <si>
    <t>=-NL("Sum","32 Item Ledger Entry","12 Quantity","5 Source no.",$C2840,"3 Posting Date",O$9,"4 Entry Type",$C$4,"2 Item No.","@@"&amp;$F2840)</t>
  </si>
  <si>
    <t>=-NL("Sum","32 Item Ledger Entry","12 Quantity","5 Source no.",$C2841,"3 Posting Date",O$9,"4 Entry Type",$C$4,"2 Item No.","@@"&amp;$F2841)</t>
  </si>
  <si>
    <t>=-NL("Sum","32 Item Ledger Entry","12 Quantity","5 Source no.",$C2842,"3 Posting Date",O$9,"4 Entry Type",$C$4,"2 Item No.","@@"&amp;$F2842)</t>
  </si>
  <si>
    <t>=-NL("Sum","32 Item Ledger Entry","12 Quantity","5 Source no.",$C2843,"3 Posting Date",O$9,"4 Entry Type",$C$4,"2 Item No.","@@"&amp;$F2843)</t>
  </si>
  <si>
    <t>=-NL("Sum","32 Item Ledger Entry","12 Quantity","5 Source no.",$C2844,"3 Posting Date",O$9,"4 Entry Type",$C$4,"2 Item No.","@@"&amp;$F2844)</t>
  </si>
  <si>
    <t>=-NL("Sum","32 Item Ledger Entry","12 Quantity","5 Source no.",$C2845,"3 Posting Date",O$9,"4 Entry Type",$C$4,"2 Item No.","@@"&amp;$F2845)</t>
  </si>
  <si>
    <t>=-NL("Sum","32 Item Ledger Entry","12 Quantity","5 Source no.",$C2775,"3 Posting Date",U$9,"4 Entry Type",$C$4,"2 Item No.","@@"&amp;$F2775)</t>
  </si>
  <si>
    <t>=-NL("Sum","32 Item Ledger Entry","12 Quantity","5 Source no.",$C2776,"3 Posting Date",U$9,"4 Entry Type",$C$4,"2 Item No.","@@"&amp;$F2776)</t>
  </si>
  <si>
    <t>=-NL("Sum","32 Item Ledger Entry","12 Quantity","5 Source no.",$C2777,"3 Posting Date",U$9,"4 Entry Type",$C$4,"2 Item No.","@@"&amp;$F2777)</t>
  </si>
  <si>
    <t>=-NL("Sum","32 Item Ledger Entry","12 Quantity","5 Source no.",$C2778,"3 Posting Date",U$9,"4 Entry Type",$C$4,"2 Item No.","@@"&amp;$F2778)</t>
  </si>
  <si>
    <t>=-NL("Sum","32 Item Ledger Entry","12 Quantity","5 Source no.",$C2779,"3 Posting Date",U$9,"4 Entry Type",$C$4,"2 Item No.","@@"&amp;$F2779)</t>
  </si>
  <si>
    <t>=-NL("Sum","32 Item Ledger Entry","12 Quantity","5 Source no.",$C2780,"3 Posting Date",U$9,"4 Entry Type",$C$4,"2 Item No.","@@"&amp;$F2780)</t>
  </si>
  <si>
    <t>=-NL("Sum","32 Item Ledger Entry","12 Quantity","5 Source no.",$C2781,"3 Posting Date",U$9,"4 Entry Type",$C$4,"2 Item No.","@@"&amp;$F2781)</t>
  </si>
  <si>
    <t>=-NL("Sum","32 Item Ledger Entry","12 Quantity","5 Source no.",$C2782,"3 Posting Date",U$9,"4 Entry Type",$C$4,"2 Item No.","@@"&amp;$F2782)</t>
  </si>
  <si>
    <t>=-NL("Sum","32 Item Ledger Entry","12 Quantity","5 Source no.",$C2783,"3 Posting Date",U$9,"4 Entry Type",$C$4,"2 Item No.","@@"&amp;$F2783)</t>
  </si>
  <si>
    <t>=-NL("Sum","32 Item Ledger Entry","12 Quantity","5 Source no.",$C2784,"3 Posting Date",U$9,"4 Entry Type",$C$4,"2 Item No.","@@"&amp;$F2784)</t>
  </si>
  <si>
    <t>=-NL("Sum","32 Item Ledger Entry","12 Quantity","5 Source no.",$C2785,"3 Posting Date",U$9,"4 Entry Type",$C$4,"2 Item No.","@@"&amp;$F2785)</t>
  </si>
  <si>
    <t>=-NL("Sum","32 Item Ledger Entry","12 Quantity","5 Source no.",$C2786,"3 Posting Date",U$9,"4 Entry Type",$C$4,"2 Item No.","@@"&amp;$F2786)</t>
  </si>
  <si>
    <t>=-NL("Sum","32 Item Ledger Entry","12 Quantity","5 Source no.",$C2787,"3 Posting Date",U$9,"4 Entry Type",$C$4,"2 Item No.","@@"&amp;$F2787)</t>
  </si>
  <si>
    <t>=-NL("Sum","32 Item Ledger Entry","12 Quantity","5 Source no.",$C2788,"3 Posting Date",U$9,"4 Entry Type",$C$4,"2 Item No.","@@"&amp;$F2788)</t>
  </si>
  <si>
    <t>=-NL("Sum","32 Item Ledger Entry","12 Quantity","5 Source no.",$C2789,"3 Posting Date",U$9,"4 Entry Type",$C$4,"2 Item No.","@@"&amp;$F2789)</t>
  </si>
  <si>
    <t>=-NL("Sum","32 Item Ledger Entry","12 Quantity","5 Source no.",$C2790,"3 Posting Date",U$9,"4 Entry Type",$C$4,"2 Item No.","@@"&amp;$F2790)</t>
  </si>
  <si>
    <t>=-NL("Sum","32 Item Ledger Entry","12 Quantity","5 Source no.",$C2791,"3 Posting Date",U$9,"4 Entry Type",$C$4,"2 Item No.","@@"&amp;$F2791)</t>
  </si>
  <si>
    <t>=-NL("Sum","32 Item Ledger Entry","12 Quantity","5 Source no.",$C2792,"3 Posting Date",U$9,"4 Entry Type",$C$4,"2 Item No.","@@"&amp;$F2792)</t>
  </si>
  <si>
    <t>=-NL("Sum","32 Item Ledger Entry","12 Quantity","5 Source no.",$C2793,"3 Posting Date",U$9,"4 Entry Type",$C$4,"2 Item No.","@@"&amp;$F2793)</t>
  </si>
  <si>
    <t>=-NL("Sum","32 Item Ledger Entry","12 Quantity","5 Source no.",$C2794,"3 Posting Date",U$9,"4 Entry Type",$C$4,"2 Item No.","@@"&amp;$F2794)</t>
  </si>
  <si>
    <t>=-NL("Sum","32 Item Ledger Entry","12 Quantity","5 Source no.",$C2795,"3 Posting Date",U$9,"4 Entry Type",$C$4,"2 Item No.","@@"&amp;$F2795)</t>
  </si>
  <si>
    <t>=-NL("Sum","32 Item Ledger Entry","12 Quantity","5 Source no.",$C2796,"3 Posting Date",U$9,"4 Entry Type",$C$4,"2 Item No.","@@"&amp;$F2796)</t>
  </si>
  <si>
    <t>=-NL("Sum","32 Item Ledger Entry","12 Quantity","5 Source no.",$C2797,"3 Posting Date",U$9,"4 Entry Type",$C$4,"2 Item No.","@@"&amp;$F2797)</t>
  </si>
  <si>
    <t>=-NL("Sum","32 Item Ledger Entry","12 Quantity","5 Source no.",$C2798,"3 Posting Date",U$9,"4 Entry Type",$C$4,"2 Item No.","@@"&amp;$F2798)</t>
  </si>
  <si>
    <t>=-NL("Sum","32 Item Ledger Entry","12 Quantity","5 Source no.",$C2799,"3 Posting Date",U$9,"4 Entry Type",$C$4,"2 Item No.","@@"&amp;$F2799)</t>
  </si>
  <si>
    <t>=-NL("Sum","32 Item Ledger Entry","12 Quantity","5 Source no.",$C2800,"3 Posting Date",U$9,"4 Entry Type",$C$4,"2 Item No.","@@"&amp;$F2800)</t>
  </si>
  <si>
    <t>=-NL("Sum","32 Item Ledger Entry","12 Quantity","5 Source no.",$C2801,"3 Posting Date",U$9,"4 Entry Type",$C$4,"2 Item No.","@@"&amp;$F2801)</t>
  </si>
  <si>
    <t>=-NL("Sum","32 Item Ledger Entry","12 Quantity","5 Source no.",$C2802,"3 Posting Date",U$9,"4 Entry Type",$C$4,"2 Item No.","@@"&amp;$F2802)</t>
  </si>
  <si>
    <t>=-NL("Sum","32 Item Ledger Entry","12 Quantity","5 Source no.",$C2803,"3 Posting Date",U$9,"4 Entry Type",$C$4,"2 Item No.","@@"&amp;$F2803)</t>
  </si>
  <si>
    <t>=-NL("Sum","32 Item Ledger Entry","12 Quantity","5 Source no.",$C2804,"3 Posting Date",U$9,"4 Entry Type",$C$4,"2 Item No.","@@"&amp;$F2804)</t>
  </si>
  <si>
    <t>=-NL("Sum","32 Item Ledger Entry","12 Quantity","5 Source no.",$C2805,"3 Posting Date",U$9,"4 Entry Type",$C$4,"2 Item No.","@@"&amp;$F2805)</t>
  </si>
  <si>
    <t>=-NL("Sum","32 Item Ledger Entry","12 Quantity","5 Source no.",$C2806,"3 Posting Date",U$9,"4 Entry Type",$C$4,"2 Item No.","@@"&amp;$F2806)</t>
  </si>
  <si>
    <t>=-NL("Sum","32 Item Ledger Entry","12 Quantity","5 Source no.",$C2807,"3 Posting Date",U$9,"4 Entry Type",$C$4,"2 Item No.","@@"&amp;$F2807)</t>
  </si>
  <si>
    <t>=-NL("Sum","32 Item Ledger Entry","12 Quantity","5 Source no.",$C2808,"3 Posting Date",U$9,"4 Entry Type",$C$4,"2 Item No.","@@"&amp;$F2808)</t>
  </si>
  <si>
    <t>=-NL("Sum","32 Item Ledger Entry","12 Quantity","5 Source no.",$C2809,"3 Posting Date",U$9,"4 Entry Type",$C$4,"2 Item No.","@@"&amp;$F2809)</t>
  </si>
  <si>
    <t>=-NL("Sum","32 Item Ledger Entry","12 Quantity","5 Source no.",$C2810,"3 Posting Date",U$9,"4 Entry Type",$C$4,"2 Item No.","@@"&amp;$F2810)</t>
  </si>
  <si>
    <t>=-NL("Sum","32 Item Ledger Entry","12 Quantity","5 Source no.",$C2811,"3 Posting Date",U$9,"4 Entry Type",$C$4,"2 Item No.","@@"&amp;$F2811)</t>
  </si>
  <si>
    <t>=-NL("Sum","32 Item Ledger Entry","12 Quantity","5 Source no.",$C2812,"3 Posting Date",U$9,"4 Entry Type",$C$4,"2 Item No.","@@"&amp;$F2812)</t>
  </si>
  <si>
    <t>=-NL("Sum","32 Item Ledger Entry","12 Quantity","5 Source no.",$C2813,"3 Posting Date",U$9,"4 Entry Type",$C$4,"2 Item No.","@@"&amp;$F2813)</t>
  </si>
  <si>
    <t>=-NL("Sum","32 Item Ledger Entry","12 Quantity","5 Source no.",$C2814,"3 Posting Date",U$9,"4 Entry Type",$C$4,"2 Item No.","@@"&amp;$F2814)</t>
  </si>
  <si>
    <t>=-NL("Sum","32 Item Ledger Entry","12 Quantity","5 Source no.",$C2815,"3 Posting Date",U$9,"4 Entry Type",$C$4,"2 Item No.","@@"&amp;$F2815)</t>
  </si>
  <si>
    <t>=-NL("Sum","32 Item Ledger Entry","12 Quantity","5 Source no.",$C2816,"3 Posting Date",U$9,"4 Entry Type",$C$4,"2 Item No.","@@"&amp;$F2816)</t>
  </si>
  <si>
    <t>=-NL("Sum","32 Item Ledger Entry","12 Quantity","5 Source no.",$C2817,"3 Posting Date",U$9,"4 Entry Type",$C$4,"2 Item No.","@@"&amp;$F2817)</t>
  </si>
  <si>
    <t>=-NL("Sum","32 Item Ledger Entry","12 Quantity","5 Source no.",$C2818,"3 Posting Date",U$9,"4 Entry Type",$C$4,"2 Item No.","@@"&amp;$F2818)</t>
  </si>
  <si>
    <t>=-NL("Sum","32 Item Ledger Entry","12 Quantity","5 Source no.",$C2819,"3 Posting Date",U$9,"4 Entry Type",$C$4,"2 Item No.","@@"&amp;$F2819)</t>
  </si>
  <si>
    <t>=-NL("Sum","32 Item Ledger Entry","12 Quantity","5 Source no.",$C2820,"3 Posting Date",U$9,"4 Entry Type",$C$4,"2 Item No.","@@"&amp;$F2820)</t>
  </si>
  <si>
    <t>=-NL("Sum","32 Item Ledger Entry","12 Quantity","5 Source no.",$C2821,"3 Posting Date",U$9,"4 Entry Type",$C$4,"2 Item No.","@@"&amp;$F2821)</t>
  </si>
  <si>
    <t>=-NL("Sum","32 Item Ledger Entry","12 Quantity","5 Source no.",$C2822,"3 Posting Date",U$9,"4 Entry Type",$C$4,"2 Item No.","@@"&amp;$F2822)</t>
  </si>
  <si>
    <t>=-NL("Sum","32 Item Ledger Entry","12 Quantity","5 Source no.",$C2823,"3 Posting Date",U$9,"4 Entry Type",$C$4,"2 Item No.","@@"&amp;$F2823)</t>
  </si>
  <si>
    <t>=-NL("Sum","32 Item Ledger Entry","12 Quantity","5 Source no.",$C2824,"3 Posting Date",U$9,"4 Entry Type",$C$4,"2 Item No.","@@"&amp;$F2824)</t>
  </si>
  <si>
    <t>=-NL("Sum","32 Item Ledger Entry","12 Quantity","5 Source no.",$C2825,"3 Posting Date",U$9,"4 Entry Type",$C$4,"2 Item No.","@@"&amp;$F2825)</t>
  </si>
  <si>
    <t>=-NL("Sum","32 Item Ledger Entry","12 Quantity","5 Source no.",$C2826,"3 Posting Date",U$9,"4 Entry Type",$C$4,"2 Item No.","@@"&amp;$F2826)</t>
  </si>
  <si>
    <t>=-NL("Sum","32 Item Ledger Entry","12 Quantity","5 Source no.",$C2827,"3 Posting Date",U$9,"4 Entry Type",$C$4,"2 Item No.","@@"&amp;$F2827)</t>
  </si>
  <si>
    <t>=-NL("Sum","32 Item Ledger Entry","12 Quantity","5 Source no.",$C2828,"3 Posting Date",U$9,"4 Entry Type",$C$4,"2 Item No.","@@"&amp;$F2828)</t>
  </si>
  <si>
    <t>=-NL("Sum","32 Item Ledger Entry","12 Quantity","5 Source no.",$C2829,"3 Posting Date",U$9,"4 Entry Type",$C$4,"2 Item No.","@@"&amp;$F2829)</t>
  </si>
  <si>
    <t>=-NL("Sum","32 Item Ledger Entry","12 Quantity","5 Source no.",$C2830,"3 Posting Date",U$9,"4 Entry Type",$C$4,"2 Item No.","@@"&amp;$F2830)</t>
  </si>
  <si>
    <t>=-NL("Sum","32 Item Ledger Entry","12 Quantity","5 Source no.",$C2831,"3 Posting Date",U$9,"4 Entry Type",$C$4,"2 Item No.","@@"&amp;$F2831)</t>
  </si>
  <si>
    <t>=-NL("Sum","32 Item Ledger Entry","12 Quantity","5 Source no.",$C2832,"3 Posting Date",U$9,"4 Entry Type",$C$4,"2 Item No.","@@"&amp;$F2832)</t>
  </si>
  <si>
    <t>=-NL("Sum","32 Item Ledger Entry","12 Quantity","5 Source no.",$C2833,"3 Posting Date",U$9,"4 Entry Type",$C$4,"2 Item No.","@@"&amp;$F2833)</t>
  </si>
  <si>
    <t>=-NL("Sum","32 Item Ledger Entry","12 Quantity","5 Source no.",$C2834,"3 Posting Date",U$9,"4 Entry Type",$C$4,"2 Item No.","@@"&amp;$F2834)</t>
  </si>
  <si>
    <t>=-NL("Sum","32 Item Ledger Entry","12 Quantity","5 Source no.",$C2835,"3 Posting Date",U$9,"4 Entry Type",$C$4,"2 Item No.","@@"&amp;$F2835)</t>
  </si>
  <si>
    <t>=-NL("Sum","32 Item Ledger Entry","12 Quantity","5 Source no.",$C2836,"3 Posting Date",U$9,"4 Entry Type",$C$4,"2 Item No.","@@"&amp;$F2836)</t>
  </si>
  <si>
    <t>=-NL("Sum","32 Item Ledger Entry","12 Quantity","5 Source no.",$C2837,"3 Posting Date",U$9,"4 Entry Type",$C$4,"2 Item No.","@@"&amp;$F2837)</t>
  </si>
  <si>
    <t>=-NL("Sum","32 Item Ledger Entry","12 Quantity","5 Source no.",$C2838,"3 Posting Date",U$9,"4 Entry Type",$C$4,"2 Item No.","@@"&amp;$F2838)</t>
  </si>
  <si>
    <t>=-NL("Sum","32 Item Ledger Entry","12 Quantity","5 Source no.",$C2839,"3 Posting Date",U$9,"4 Entry Type",$C$4,"2 Item No.","@@"&amp;$F2839)</t>
  </si>
  <si>
    <t>=-NL("Sum","32 Item Ledger Entry","12 Quantity","5 Source no.",$C2840,"3 Posting Date",U$9,"4 Entry Type",$C$4,"2 Item No.","@@"&amp;$F2840)</t>
  </si>
  <si>
    <t>=-NL("Sum","32 Item Ledger Entry","12 Quantity","5 Source no.",$C2841,"3 Posting Date",U$9,"4 Entry Type",$C$4,"2 Item No.","@@"&amp;$F2841)</t>
  </si>
  <si>
    <t>=-NL("Sum","32 Item Ledger Entry","12 Quantity","5 Source no.",$C2842,"3 Posting Date",U$9,"4 Entry Type",$C$4,"2 Item No.","@@"&amp;$F2842)</t>
  </si>
  <si>
    <t>=-NL("Sum","32 Item Ledger Entry","12 Quantity","5 Source no.",$C2843,"3 Posting Date",U$9,"4 Entry Type",$C$4,"2 Item No.","@@"&amp;$F2843)</t>
  </si>
  <si>
    <t>=-NL("Sum","32 Item Ledger Entry","12 Quantity","5 Source no.",$C2844,"3 Posting Date",U$9,"4 Entry Type",$C$4,"2 Item No.","@@"&amp;$F2844)</t>
  </si>
  <si>
    <t>=-NL("Sum","32 Item Ledger Entry","12 Quantity","5 Source no.",$C2845,"3 Posting Date",U$9,"4 Entry Type",$C$4,"2 Item No.","@@"&amp;$F2845)</t>
  </si>
  <si>
    <t>=-NL("Sum","32 Item Ledger Entry","12 Quantity","5 Source no.",$C2775,"3 Posting Date",Z$9,"4 Entry Type",$C$4,"2 Item No.","@@"&amp;$F2775)</t>
  </si>
  <si>
    <t>=-NL("Sum","32 Item Ledger Entry","12 Quantity","5 Source no.",$C2776,"3 Posting Date",Z$9,"4 Entry Type",$C$4,"2 Item No.","@@"&amp;$F2776)</t>
  </si>
  <si>
    <t>=-NL("Sum","32 Item Ledger Entry","12 Quantity","5 Source no.",$C2777,"3 Posting Date",Z$9,"4 Entry Type",$C$4,"2 Item No.","@@"&amp;$F2777)</t>
  </si>
  <si>
    <t>=-NL("Sum","32 Item Ledger Entry","12 Quantity","5 Source no.",$C2778,"3 Posting Date",Z$9,"4 Entry Type",$C$4,"2 Item No.","@@"&amp;$F2778)</t>
  </si>
  <si>
    <t>=-NL("Sum","32 Item Ledger Entry","12 Quantity","5 Source no.",$C2779,"3 Posting Date",Z$9,"4 Entry Type",$C$4,"2 Item No.","@@"&amp;$F2779)</t>
  </si>
  <si>
    <t>=-NL("Sum","32 Item Ledger Entry","12 Quantity","5 Source no.",$C2780,"3 Posting Date",Z$9,"4 Entry Type",$C$4,"2 Item No.","@@"&amp;$F2780)</t>
  </si>
  <si>
    <t>=-NL("Sum","32 Item Ledger Entry","12 Quantity","5 Source no.",$C2781,"3 Posting Date",Z$9,"4 Entry Type",$C$4,"2 Item No.","@@"&amp;$F2781)</t>
  </si>
  <si>
    <t>=-NL("Sum","32 Item Ledger Entry","12 Quantity","5 Source no.",$C2782,"3 Posting Date",Z$9,"4 Entry Type",$C$4,"2 Item No.","@@"&amp;$F2782)</t>
  </si>
  <si>
    <t>=-NL("Sum","32 Item Ledger Entry","12 Quantity","5 Source no.",$C2783,"3 Posting Date",Z$9,"4 Entry Type",$C$4,"2 Item No.","@@"&amp;$F2783)</t>
  </si>
  <si>
    <t>=-NL("Sum","32 Item Ledger Entry","12 Quantity","5 Source no.",$C2784,"3 Posting Date",Z$9,"4 Entry Type",$C$4,"2 Item No.","@@"&amp;$F2784)</t>
  </si>
  <si>
    <t>=-NL("Sum","32 Item Ledger Entry","12 Quantity","5 Source no.",$C2785,"3 Posting Date",Z$9,"4 Entry Type",$C$4,"2 Item No.","@@"&amp;$F2785)</t>
  </si>
  <si>
    <t>=-NL("Sum","32 Item Ledger Entry","12 Quantity","5 Source no.",$C2786,"3 Posting Date",Z$9,"4 Entry Type",$C$4,"2 Item No.","@@"&amp;$F2786)</t>
  </si>
  <si>
    <t>=-NL("Sum","32 Item Ledger Entry","12 Quantity","5 Source no.",$C2787,"3 Posting Date",Z$9,"4 Entry Type",$C$4,"2 Item No.","@@"&amp;$F2787)</t>
  </si>
  <si>
    <t>=-NL("Sum","32 Item Ledger Entry","12 Quantity","5 Source no.",$C2788,"3 Posting Date",Z$9,"4 Entry Type",$C$4,"2 Item No.","@@"&amp;$F2788)</t>
  </si>
  <si>
    <t>=-NL("Sum","32 Item Ledger Entry","12 Quantity","5 Source no.",$C2789,"3 Posting Date",Z$9,"4 Entry Type",$C$4,"2 Item No.","@@"&amp;$F2789)</t>
  </si>
  <si>
    <t>=-NL("Sum","32 Item Ledger Entry","12 Quantity","5 Source no.",$C2790,"3 Posting Date",Z$9,"4 Entry Type",$C$4,"2 Item No.","@@"&amp;$F2790)</t>
  </si>
  <si>
    <t>=-NL("Sum","32 Item Ledger Entry","12 Quantity","5 Source no.",$C2791,"3 Posting Date",Z$9,"4 Entry Type",$C$4,"2 Item No.","@@"&amp;$F2791)</t>
  </si>
  <si>
    <t>=-NL("Sum","32 Item Ledger Entry","12 Quantity","5 Source no.",$C2792,"3 Posting Date",Z$9,"4 Entry Type",$C$4,"2 Item No.","@@"&amp;$F2792)</t>
  </si>
  <si>
    <t>=-NL("Sum","32 Item Ledger Entry","12 Quantity","5 Source no.",$C2793,"3 Posting Date",Z$9,"4 Entry Type",$C$4,"2 Item No.","@@"&amp;$F2793)</t>
  </si>
  <si>
    <t>=-NL("Sum","32 Item Ledger Entry","12 Quantity","5 Source no.",$C2794,"3 Posting Date",Z$9,"4 Entry Type",$C$4,"2 Item No.","@@"&amp;$F2794)</t>
  </si>
  <si>
    <t>=-NL("Sum","32 Item Ledger Entry","12 Quantity","5 Source no.",$C2795,"3 Posting Date",Z$9,"4 Entry Type",$C$4,"2 Item No.","@@"&amp;$F2795)</t>
  </si>
  <si>
    <t>=-NL("Sum","32 Item Ledger Entry","12 Quantity","5 Source no.",$C2796,"3 Posting Date",Z$9,"4 Entry Type",$C$4,"2 Item No.","@@"&amp;$F2796)</t>
  </si>
  <si>
    <t>=-NL("Sum","32 Item Ledger Entry","12 Quantity","5 Source no.",$C2797,"3 Posting Date",Z$9,"4 Entry Type",$C$4,"2 Item No.","@@"&amp;$F2797)</t>
  </si>
  <si>
    <t>=-NL("Sum","32 Item Ledger Entry","12 Quantity","5 Source no.",$C2798,"3 Posting Date",Z$9,"4 Entry Type",$C$4,"2 Item No.","@@"&amp;$F2798)</t>
  </si>
  <si>
    <t>=-NL("Sum","32 Item Ledger Entry","12 Quantity","5 Source no.",$C2799,"3 Posting Date",Z$9,"4 Entry Type",$C$4,"2 Item No.","@@"&amp;$F2799)</t>
  </si>
  <si>
    <t>=-NL("Sum","32 Item Ledger Entry","12 Quantity","5 Source no.",$C2800,"3 Posting Date",Z$9,"4 Entry Type",$C$4,"2 Item No.","@@"&amp;$F2800)</t>
  </si>
  <si>
    <t>=-NL("Sum","32 Item Ledger Entry","12 Quantity","5 Source no.",$C2801,"3 Posting Date",Z$9,"4 Entry Type",$C$4,"2 Item No.","@@"&amp;$F2801)</t>
  </si>
  <si>
    <t>=-NL("Sum","32 Item Ledger Entry","12 Quantity","5 Source no.",$C2802,"3 Posting Date",Z$9,"4 Entry Type",$C$4,"2 Item No.","@@"&amp;$F2802)</t>
  </si>
  <si>
    <t>=-NL("Sum","32 Item Ledger Entry","12 Quantity","5 Source no.",$C2803,"3 Posting Date",Z$9,"4 Entry Type",$C$4,"2 Item No.","@@"&amp;$F2803)</t>
  </si>
  <si>
    <t>=-NL("Sum","32 Item Ledger Entry","12 Quantity","5 Source no.",$C2804,"3 Posting Date",Z$9,"4 Entry Type",$C$4,"2 Item No.","@@"&amp;$F2804)</t>
  </si>
  <si>
    <t>=-NL("Sum","32 Item Ledger Entry","12 Quantity","5 Source no.",$C2805,"3 Posting Date",Z$9,"4 Entry Type",$C$4,"2 Item No.","@@"&amp;$F2805)</t>
  </si>
  <si>
    <t>=-NL("Sum","32 Item Ledger Entry","12 Quantity","5 Source no.",$C2806,"3 Posting Date",Z$9,"4 Entry Type",$C$4,"2 Item No.","@@"&amp;$F2806)</t>
  </si>
  <si>
    <t>=-NL("Sum","32 Item Ledger Entry","12 Quantity","5 Source no.",$C2807,"3 Posting Date",Z$9,"4 Entry Type",$C$4,"2 Item No.","@@"&amp;$F2807)</t>
  </si>
  <si>
    <t>=-NL("Sum","32 Item Ledger Entry","12 Quantity","5 Source no.",$C2808,"3 Posting Date",Z$9,"4 Entry Type",$C$4,"2 Item No.","@@"&amp;$F2808)</t>
  </si>
  <si>
    <t>=-NL("Sum","32 Item Ledger Entry","12 Quantity","5 Source no.",$C2809,"3 Posting Date",Z$9,"4 Entry Type",$C$4,"2 Item No.","@@"&amp;$F2809)</t>
  </si>
  <si>
    <t>=-NL("Sum","32 Item Ledger Entry","12 Quantity","5 Source no.",$C2810,"3 Posting Date",Z$9,"4 Entry Type",$C$4,"2 Item No.","@@"&amp;$F2810)</t>
  </si>
  <si>
    <t>=-NL("Sum","32 Item Ledger Entry","12 Quantity","5 Source no.",$C2811,"3 Posting Date",Z$9,"4 Entry Type",$C$4,"2 Item No.","@@"&amp;$F2811)</t>
  </si>
  <si>
    <t>=-NL("Sum","32 Item Ledger Entry","12 Quantity","5 Source no.",$C2812,"3 Posting Date",Z$9,"4 Entry Type",$C$4,"2 Item No.","@@"&amp;$F2812)</t>
  </si>
  <si>
    <t>=-NL("Sum","32 Item Ledger Entry","12 Quantity","5 Source no.",$C2813,"3 Posting Date",Z$9,"4 Entry Type",$C$4,"2 Item No.","@@"&amp;$F2813)</t>
  </si>
  <si>
    <t>=-NL("Sum","32 Item Ledger Entry","12 Quantity","5 Source no.",$C2814,"3 Posting Date",Z$9,"4 Entry Type",$C$4,"2 Item No.","@@"&amp;$F2814)</t>
  </si>
  <si>
    <t>=-NL("Sum","32 Item Ledger Entry","12 Quantity","5 Source no.",$C2815,"3 Posting Date",Z$9,"4 Entry Type",$C$4,"2 Item No.","@@"&amp;$F2815)</t>
  </si>
  <si>
    <t>=-NL("Sum","32 Item Ledger Entry","12 Quantity","5 Source no.",$C2816,"3 Posting Date",Z$9,"4 Entry Type",$C$4,"2 Item No.","@@"&amp;$F2816)</t>
  </si>
  <si>
    <t>=-NL("Sum","32 Item Ledger Entry","12 Quantity","5 Source no.",$C2817,"3 Posting Date",Z$9,"4 Entry Type",$C$4,"2 Item No.","@@"&amp;$F2817)</t>
  </si>
  <si>
    <t>=-NL("Sum","32 Item Ledger Entry","12 Quantity","5 Source no.",$C2818,"3 Posting Date",Z$9,"4 Entry Type",$C$4,"2 Item No.","@@"&amp;$F2818)</t>
  </si>
  <si>
    <t>=-NL("Sum","32 Item Ledger Entry","12 Quantity","5 Source no.",$C2819,"3 Posting Date",Z$9,"4 Entry Type",$C$4,"2 Item No.","@@"&amp;$F2819)</t>
  </si>
  <si>
    <t>=-NL("Sum","32 Item Ledger Entry","12 Quantity","5 Source no.",$C2820,"3 Posting Date",Z$9,"4 Entry Type",$C$4,"2 Item No.","@@"&amp;$F2820)</t>
  </si>
  <si>
    <t>=-NL("Sum","32 Item Ledger Entry","12 Quantity","5 Source no.",$C2821,"3 Posting Date",Z$9,"4 Entry Type",$C$4,"2 Item No.","@@"&amp;$F2821)</t>
  </si>
  <si>
    <t>=-NL("Sum","32 Item Ledger Entry","12 Quantity","5 Source no.",$C2822,"3 Posting Date",Z$9,"4 Entry Type",$C$4,"2 Item No.","@@"&amp;$F2822)</t>
  </si>
  <si>
    <t>=-NL("Sum","32 Item Ledger Entry","12 Quantity","5 Source no.",$C2823,"3 Posting Date",Z$9,"4 Entry Type",$C$4,"2 Item No.","@@"&amp;$F2823)</t>
  </si>
  <si>
    <t>=-NL("Sum","32 Item Ledger Entry","12 Quantity","5 Source no.",$C2824,"3 Posting Date",Z$9,"4 Entry Type",$C$4,"2 Item No.","@@"&amp;$F2824)</t>
  </si>
  <si>
    <t>=-NL("Sum","32 Item Ledger Entry","12 Quantity","5 Source no.",$C2825,"3 Posting Date",Z$9,"4 Entry Type",$C$4,"2 Item No.","@@"&amp;$F2825)</t>
  </si>
  <si>
    <t>=-NL("Sum","32 Item Ledger Entry","12 Quantity","5 Source no.",$C2826,"3 Posting Date",Z$9,"4 Entry Type",$C$4,"2 Item No.","@@"&amp;$F2826)</t>
  </si>
  <si>
    <t>=-NL("Sum","32 Item Ledger Entry","12 Quantity","5 Source no.",$C2827,"3 Posting Date",Z$9,"4 Entry Type",$C$4,"2 Item No.","@@"&amp;$F2827)</t>
  </si>
  <si>
    <t>=-NL("Sum","32 Item Ledger Entry","12 Quantity","5 Source no.",$C2828,"3 Posting Date",Z$9,"4 Entry Type",$C$4,"2 Item No.","@@"&amp;$F2828)</t>
  </si>
  <si>
    <t>=-NL("Sum","32 Item Ledger Entry","12 Quantity","5 Source no.",$C2829,"3 Posting Date",Z$9,"4 Entry Type",$C$4,"2 Item No.","@@"&amp;$F2829)</t>
  </si>
  <si>
    <t>=-NL("Sum","32 Item Ledger Entry","12 Quantity","5 Source no.",$C2830,"3 Posting Date",Z$9,"4 Entry Type",$C$4,"2 Item No.","@@"&amp;$F2830)</t>
  </si>
  <si>
    <t>=-NL("Sum","32 Item Ledger Entry","12 Quantity","5 Source no.",$C2831,"3 Posting Date",Z$9,"4 Entry Type",$C$4,"2 Item No.","@@"&amp;$F2831)</t>
  </si>
  <si>
    <t>=-NL("Sum","32 Item Ledger Entry","12 Quantity","5 Source no.",$C2832,"3 Posting Date",Z$9,"4 Entry Type",$C$4,"2 Item No.","@@"&amp;$F2832)</t>
  </si>
  <si>
    <t>=-NL("Sum","32 Item Ledger Entry","12 Quantity","5 Source no.",$C2833,"3 Posting Date",Z$9,"4 Entry Type",$C$4,"2 Item No.","@@"&amp;$F2833)</t>
  </si>
  <si>
    <t>=-NL("Sum","32 Item Ledger Entry","12 Quantity","5 Source no.",$C2834,"3 Posting Date",Z$9,"4 Entry Type",$C$4,"2 Item No.","@@"&amp;$F2834)</t>
  </si>
  <si>
    <t>=-NL("Sum","32 Item Ledger Entry","12 Quantity","5 Source no.",$C2835,"3 Posting Date",Z$9,"4 Entry Type",$C$4,"2 Item No.","@@"&amp;$F2835)</t>
  </si>
  <si>
    <t>=-NL("Sum","32 Item Ledger Entry","12 Quantity","5 Source no.",$C2836,"3 Posting Date",Z$9,"4 Entry Type",$C$4,"2 Item No.","@@"&amp;$F2836)</t>
  </si>
  <si>
    <t>=-NL("Sum","32 Item Ledger Entry","12 Quantity","5 Source no.",$C2837,"3 Posting Date",Z$9,"4 Entry Type",$C$4,"2 Item No.","@@"&amp;$F2837)</t>
  </si>
  <si>
    <t>=-NL("Sum","32 Item Ledger Entry","12 Quantity","5 Source no.",$C2838,"3 Posting Date",Z$9,"4 Entry Type",$C$4,"2 Item No.","@@"&amp;$F2838)</t>
  </si>
  <si>
    <t>=-NL("Sum","32 Item Ledger Entry","12 Quantity","5 Source no.",$C2839,"3 Posting Date",Z$9,"4 Entry Type",$C$4,"2 Item No.","@@"&amp;$F2839)</t>
  </si>
  <si>
    <t>=-NL("Sum","32 Item Ledger Entry","12 Quantity","5 Source no.",$C2840,"3 Posting Date",Z$9,"4 Entry Type",$C$4,"2 Item No.","@@"&amp;$F2840)</t>
  </si>
  <si>
    <t>=-NL("Sum","32 Item Ledger Entry","12 Quantity","5 Source no.",$C2841,"3 Posting Date",Z$9,"4 Entry Type",$C$4,"2 Item No.","@@"&amp;$F2841)</t>
  </si>
  <si>
    <t>=-NL("Sum","32 Item Ledger Entry","12 Quantity","5 Source no.",$C2842,"3 Posting Date",Z$9,"4 Entry Type",$C$4,"2 Item No.","@@"&amp;$F2842)</t>
  </si>
  <si>
    <t>=-NL("Sum","32 Item Ledger Entry","12 Quantity","5 Source no.",$C2843,"3 Posting Date",Z$9,"4 Entry Type",$C$4,"2 Item No.","@@"&amp;$F2843)</t>
  </si>
  <si>
    <t>=-NL("Sum","32 Item Ledger Entry","12 Quantity","5 Source no.",$C2844,"3 Posting Date",Z$9,"4 Entry Type",$C$4,"2 Item No.","@@"&amp;$F2844)</t>
  </si>
  <si>
    <t>=-NL("Sum","32 Item Ledger Entry","12 Quantity","5 Source no.",$C2845,"3 Posting Date",Z$9,"4 Entry Type",$C$4,"2 Item No.","@@"&amp;$F2845)</t>
  </si>
  <si>
    <t>=NL(,"27 Item","3 Description","1 No.","@@"&amp;F2735)</t>
  </si>
  <si>
    <t>=NL(,"27 Item","3 Description","1 No.","@@"&amp;F2736)</t>
  </si>
  <si>
    <t>=NL(,"27 Item","3 Description","1 No.","@@"&amp;F2737)</t>
  </si>
  <si>
    <t>=NL(,"27 Item","3 Description","1 No.","@@"&amp;F2738)</t>
  </si>
  <si>
    <t>=NL(,"27 Item","3 Description","1 No.","@@"&amp;F2739)</t>
  </si>
  <si>
    <t>=NL(,"27 Item","3 Description","1 No.","@@"&amp;F2740)</t>
  </si>
  <si>
    <t>=NL(,"27 Item","3 Description","1 No.","@@"&amp;F2741)</t>
  </si>
  <si>
    <t>=NL(,"27 Item","3 Description","1 No.","@@"&amp;F2742)</t>
  </si>
  <si>
    <t>=NL(,"27 Item","3 Description","1 No.","@@"&amp;F2743)</t>
  </si>
  <si>
    <t>=NL(,"27 Item","3 Description","1 No.","@@"&amp;F2744)</t>
  </si>
  <si>
    <t>=NL(,"27 Item","3 Description","1 No.","@@"&amp;F2745)</t>
  </si>
  <si>
    <t>=NL(,"27 Item","3 Description","1 No.","@@"&amp;F2746)</t>
  </si>
  <si>
    <t>=NL(,"27 Item","3 Description","1 No.","@@"&amp;F2747)</t>
  </si>
  <si>
    <t>=NL(,"27 Item","3 Description","1 No.","@@"&amp;F2748)</t>
  </si>
  <si>
    <t>=NL(,"27 Item","3 Description","1 No.","@@"&amp;F2749)</t>
  </si>
  <si>
    <t>=NL(,"27 Item","3 Description","1 No.","@@"&amp;F2750)</t>
  </si>
  <si>
    <t>=NL(,"27 Item","3 Description","1 No.","@@"&amp;F2751)</t>
  </si>
  <si>
    <t>=NL(,"27 Item","3 Description","1 No.","@@"&amp;F2752)</t>
  </si>
  <si>
    <t>=NL(,"27 Item","3 Description","1 No.","@@"&amp;F2753)</t>
  </si>
  <si>
    <t>=NL(,"27 Item","3 Description","1 No.","@@"&amp;F2754)</t>
  </si>
  <si>
    <t>=NL(,"27 Item","3 Description","1 No.","@@"&amp;F2755)</t>
  </si>
  <si>
    <t>=NL(,"27 Item","3 Description","1 No.","@@"&amp;F2756)</t>
  </si>
  <si>
    <t>=NL(,"27 Item","3 Description","1 No.","@@"&amp;F2757)</t>
  </si>
  <si>
    <t>=NL(,"27 Item","3 Description","1 No.","@@"&amp;F2758)</t>
  </si>
  <si>
    <t>=NL(,"27 Item","3 Description","1 No.","@@"&amp;F2759)</t>
  </si>
  <si>
    <t>=NL(,"27 Item","3 Description","1 No.","@@"&amp;F2760)</t>
  </si>
  <si>
    <t>=NL(,"27 Item","3 Description","1 No.","@@"&amp;F2761)</t>
  </si>
  <si>
    <t>=NL(,"27 Item","3 Description","1 No.","@@"&amp;F2762)</t>
  </si>
  <si>
    <t>=NL(,"27 Item","3 Description","1 No.","@@"&amp;F2763)</t>
  </si>
  <si>
    <t>=NL(,"27 Item","3 Description","1 No.","@@"&amp;F2764)</t>
  </si>
  <si>
    <t>=NL(,"27 Item","3 Description","1 No.","@@"&amp;F2765)</t>
  </si>
  <si>
    <t>=NL(,"27 Item","3 Description","1 No.","@@"&amp;F2766)</t>
  </si>
  <si>
    <t>=NL(,"27 Item","3 Description","1 No.","@@"&amp;F2767)</t>
  </si>
  <si>
    <t>=NL(,"27 Item","3 Description","1 No.","@@"&amp;F2768)</t>
  </si>
  <si>
    <t>=NL(,"27 Item","3 Description","1 No.","@@"&amp;F2769)</t>
  </si>
  <si>
    <t>=-NL("Sum","32 Item Ledger Entry","12 Quantity","5 Source no.",$C2735,"3 Posting Date",J$9,"4 Entry Type",$C$4,"2 Item No.","@@"&amp;$F2735)</t>
  </si>
  <si>
    <t>=-NL("Sum","32 Item Ledger Entry","12 Quantity","5 Source no.",$C2736,"3 Posting Date",J$9,"4 Entry Type",$C$4,"2 Item No.","@@"&amp;$F2736)</t>
  </si>
  <si>
    <t>=-NL("Sum","32 Item Ledger Entry","12 Quantity","5 Source no.",$C2737,"3 Posting Date",J$9,"4 Entry Type",$C$4,"2 Item No.","@@"&amp;$F2737)</t>
  </si>
  <si>
    <t>=-NL("Sum","32 Item Ledger Entry","12 Quantity","5 Source no.",$C2738,"3 Posting Date",J$9,"4 Entry Type",$C$4,"2 Item No.","@@"&amp;$F2738)</t>
  </si>
  <si>
    <t>=-NL("Sum","32 Item Ledger Entry","12 Quantity","5 Source no.",$C2739,"3 Posting Date",J$9,"4 Entry Type",$C$4,"2 Item No.","@@"&amp;$F2739)</t>
  </si>
  <si>
    <t>=-NL("Sum","32 Item Ledger Entry","12 Quantity","5 Source no.",$C2740,"3 Posting Date",J$9,"4 Entry Type",$C$4,"2 Item No.","@@"&amp;$F2740)</t>
  </si>
  <si>
    <t>=-NL("Sum","32 Item Ledger Entry","12 Quantity","5 Source no.",$C2741,"3 Posting Date",J$9,"4 Entry Type",$C$4,"2 Item No.","@@"&amp;$F2741)</t>
  </si>
  <si>
    <t>=-NL("Sum","32 Item Ledger Entry","12 Quantity","5 Source no.",$C2742,"3 Posting Date",J$9,"4 Entry Type",$C$4,"2 Item No.","@@"&amp;$F2742)</t>
  </si>
  <si>
    <t>=-NL("Sum","32 Item Ledger Entry","12 Quantity","5 Source no.",$C2743,"3 Posting Date",J$9,"4 Entry Type",$C$4,"2 Item No.","@@"&amp;$F2743)</t>
  </si>
  <si>
    <t>=-NL("Sum","32 Item Ledger Entry","12 Quantity","5 Source no.",$C2744,"3 Posting Date",J$9,"4 Entry Type",$C$4,"2 Item No.","@@"&amp;$F2744)</t>
  </si>
  <si>
    <t>=-NL("Sum","32 Item Ledger Entry","12 Quantity","5 Source no.",$C2745,"3 Posting Date",J$9,"4 Entry Type",$C$4,"2 Item No.","@@"&amp;$F2745)</t>
  </si>
  <si>
    <t>=-NL("Sum","32 Item Ledger Entry","12 Quantity","5 Source no.",$C2746,"3 Posting Date",J$9,"4 Entry Type",$C$4,"2 Item No.","@@"&amp;$F2746)</t>
  </si>
  <si>
    <t>=-NL("Sum","32 Item Ledger Entry","12 Quantity","5 Source no.",$C2747,"3 Posting Date",J$9,"4 Entry Type",$C$4,"2 Item No.","@@"&amp;$F2747)</t>
  </si>
  <si>
    <t>=-NL("Sum","32 Item Ledger Entry","12 Quantity","5 Source no.",$C2748,"3 Posting Date",J$9,"4 Entry Type",$C$4,"2 Item No.","@@"&amp;$F2748)</t>
  </si>
  <si>
    <t>=-NL("Sum","32 Item Ledger Entry","12 Quantity","5 Source no.",$C2749,"3 Posting Date",J$9,"4 Entry Type",$C$4,"2 Item No.","@@"&amp;$F2749)</t>
  </si>
  <si>
    <t>=-NL("Sum","32 Item Ledger Entry","12 Quantity","5 Source no.",$C2750,"3 Posting Date",J$9,"4 Entry Type",$C$4,"2 Item No.","@@"&amp;$F2750)</t>
  </si>
  <si>
    <t>=-NL("Sum","32 Item Ledger Entry","12 Quantity","5 Source no.",$C2751,"3 Posting Date",J$9,"4 Entry Type",$C$4,"2 Item No.","@@"&amp;$F2751)</t>
  </si>
  <si>
    <t>=-NL("Sum","32 Item Ledger Entry","12 Quantity","5 Source no.",$C2752,"3 Posting Date",J$9,"4 Entry Type",$C$4,"2 Item No.","@@"&amp;$F2752)</t>
  </si>
  <si>
    <t>=-NL("Sum","32 Item Ledger Entry","12 Quantity","5 Source no.",$C2753,"3 Posting Date",J$9,"4 Entry Type",$C$4,"2 Item No.","@@"&amp;$F2753)</t>
  </si>
  <si>
    <t>=-NL("Sum","32 Item Ledger Entry","12 Quantity","5 Source no.",$C2754,"3 Posting Date",J$9,"4 Entry Type",$C$4,"2 Item No.","@@"&amp;$F2754)</t>
  </si>
  <si>
    <t>=-NL("Sum","32 Item Ledger Entry","12 Quantity","5 Source no.",$C2755,"3 Posting Date",J$9,"4 Entry Type",$C$4,"2 Item No.","@@"&amp;$F2755)</t>
  </si>
  <si>
    <t>=-NL("Sum","32 Item Ledger Entry","12 Quantity","5 Source no.",$C2756,"3 Posting Date",J$9,"4 Entry Type",$C$4,"2 Item No.","@@"&amp;$F2756)</t>
  </si>
  <si>
    <t>=-NL("Sum","32 Item Ledger Entry","12 Quantity","5 Source no.",$C2757,"3 Posting Date",J$9,"4 Entry Type",$C$4,"2 Item No.","@@"&amp;$F2757)</t>
  </si>
  <si>
    <t>=-NL("Sum","32 Item Ledger Entry","12 Quantity","5 Source no.",$C2758,"3 Posting Date",J$9,"4 Entry Type",$C$4,"2 Item No.","@@"&amp;$F2758)</t>
  </si>
  <si>
    <t>=-NL("Sum","32 Item Ledger Entry","12 Quantity","5 Source no.",$C2759,"3 Posting Date",J$9,"4 Entry Type",$C$4,"2 Item No.","@@"&amp;$F2759)</t>
  </si>
  <si>
    <t>=-NL("Sum","32 Item Ledger Entry","12 Quantity","5 Source no.",$C2760,"3 Posting Date",J$9,"4 Entry Type",$C$4,"2 Item No.","@@"&amp;$F2760)</t>
  </si>
  <si>
    <t>=-NL("Sum","32 Item Ledger Entry","12 Quantity","5 Source no.",$C2761,"3 Posting Date",J$9,"4 Entry Type",$C$4,"2 Item No.","@@"&amp;$F2761)</t>
  </si>
  <si>
    <t>=-NL("Sum","32 Item Ledger Entry","12 Quantity","5 Source no.",$C2762,"3 Posting Date",J$9,"4 Entry Type",$C$4,"2 Item No.","@@"&amp;$F2762)</t>
  </si>
  <si>
    <t>=-NL("Sum","32 Item Ledger Entry","12 Quantity","5 Source no.",$C2763,"3 Posting Date",J$9,"4 Entry Type",$C$4,"2 Item No.","@@"&amp;$F2763)</t>
  </si>
  <si>
    <t>=-NL("Sum","32 Item Ledger Entry","12 Quantity","5 Source no.",$C2764,"3 Posting Date",J$9,"4 Entry Type",$C$4,"2 Item No.","@@"&amp;$F2764)</t>
  </si>
  <si>
    <t>=-NL("Sum","32 Item Ledger Entry","12 Quantity","5 Source no.",$C2765,"3 Posting Date",J$9,"4 Entry Type",$C$4,"2 Item No.","@@"&amp;$F2765)</t>
  </si>
  <si>
    <t>=-NL("Sum","32 Item Ledger Entry","12 Quantity","5 Source no.",$C2766,"3 Posting Date",J$9,"4 Entry Type",$C$4,"2 Item No.","@@"&amp;$F2766)</t>
  </si>
  <si>
    <t>=-NL("Sum","32 Item Ledger Entry","12 Quantity","5 Source no.",$C2767,"3 Posting Date",J$9,"4 Entry Type",$C$4,"2 Item No.","@@"&amp;$F2767)</t>
  </si>
  <si>
    <t>=-NL("Sum","32 Item Ledger Entry","12 Quantity","5 Source no.",$C2768,"3 Posting Date",J$9,"4 Entry Type",$C$4,"2 Item No.","@@"&amp;$F2768)</t>
  </si>
  <si>
    <t>=-NL("Sum","32 Item Ledger Entry","12 Quantity","5 Source no.",$C2769,"3 Posting Date",J$9,"4 Entry Type",$C$4,"2 Item No.","@@"&amp;$F2769)</t>
  </si>
  <si>
    <t>=-NL("Sum","32 Item Ledger Entry","12 Quantity","5 Source no.",$C2735,"3 Posting Date",O$9,"4 Entry Type",$C$4,"2 Item No.","@@"&amp;$F2735)</t>
  </si>
  <si>
    <t>=-NL("Sum","32 Item Ledger Entry","12 Quantity","5 Source no.",$C2736,"3 Posting Date",O$9,"4 Entry Type",$C$4,"2 Item No.","@@"&amp;$F2736)</t>
  </si>
  <si>
    <t>=-NL("Sum","32 Item Ledger Entry","12 Quantity","5 Source no.",$C2737,"3 Posting Date",O$9,"4 Entry Type",$C$4,"2 Item No.","@@"&amp;$F2737)</t>
  </si>
  <si>
    <t>=-NL("Sum","32 Item Ledger Entry","12 Quantity","5 Source no.",$C2738,"3 Posting Date",O$9,"4 Entry Type",$C$4,"2 Item No.","@@"&amp;$F2738)</t>
  </si>
  <si>
    <t>=-NL("Sum","32 Item Ledger Entry","12 Quantity","5 Source no.",$C2739,"3 Posting Date",O$9,"4 Entry Type",$C$4,"2 Item No.","@@"&amp;$F2739)</t>
  </si>
  <si>
    <t>=-NL("Sum","32 Item Ledger Entry","12 Quantity","5 Source no.",$C2740,"3 Posting Date",O$9,"4 Entry Type",$C$4,"2 Item No.","@@"&amp;$F2740)</t>
  </si>
  <si>
    <t>=-NL("Sum","32 Item Ledger Entry","12 Quantity","5 Source no.",$C2741,"3 Posting Date",O$9,"4 Entry Type",$C$4,"2 Item No.","@@"&amp;$F2741)</t>
  </si>
  <si>
    <t>=-NL("Sum","32 Item Ledger Entry","12 Quantity","5 Source no.",$C2742,"3 Posting Date",O$9,"4 Entry Type",$C$4,"2 Item No.","@@"&amp;$F2742)</t>
  </si>
  <si>
    <t>=-NL("Sum","32 Item Ledger Entry","12 Quantity","5 Source no.",$C2743,"3 Posting Date",O$9,"4 Entry Type",$C$4,"2 Item No.","@@"&amp;$F2743)</t>
  </si>
  <si>
    <t>=-NL("Sum","32 Item Ledger Entry","12 Quantity","5 Source no.",$C2744,"3 Posting Date",O$9,"4 Entry Type",$C$4,"2 Item No.","@@"&amp;$F2744)</t>
  </si>
  <si>
    <t>=-NL("Sum","32 Item Ledger Entry","12 Quantity","5 Source no.",$C2745,"3 Posting Date",O$9,"4 Entry Type",$C$4,"2 Item No.","@@"&amp;$F2745)</t>
  </si>
  <si>
    <t>=-NL("Sum","32 Item Ledger Entry","12 Quantity","5 Source no.",$C2746,"3 Posting Date",O$9,"4 Entry Type",$C$4,"2 Item No.","@@"&amp;$F2746)</t>
  </si>
  <si>
    <t>=-NL("Sum","32 Item Ledger Entry","12 Quantity","5 Source no.",$C2747,"3 Posting Date",O$9,"4 Entry Type",$C$4,"2 Item No.","@@"&amp;$F2747)</t>
  </si>
  <si>
    <t>=-NL("Sum","32 Item Ledger Entry","12 Quantity","5 Source no.",$C2748,"3 Posting Date",O$9,"4 Entry Type",$C$4,"2 Item No.","@@"&amp;$F2748)</t>
  </si>
  <si>
    <t>=-NL("Sum","32 Item Ledger Entry","12 Quantity","5 Source no.",$C2749,"3 Posting Date",O$9,"4 Entry Type",$C$4,"2 Item No.","@@"&amp;$F2749)</t>
  </si>
  <si>
    <t>=-NL("Sum","32 Item Ledger Entry","12 Quantity","5 Source no.",$C2750,"3 Posting Date",O$9,"4 Entry Type",$C$4,"2 Item No.","@@"&amp;$F2750)</t>
  </si>
  <si>
    <t>=-NL("Sum","32 Item Ledger Entry","12 Quantity","5 Source no.",$C2751,"3 Posting Date",O$9,"4 Entry Type",$C$4,"2 Item No.","@@"&amp;$F2751)</t>
  </si>
  <si>
    <t>=-NL("Sum","32 Item Ledger Entry","12 Quantity","5 Source no.",$C2752,"3 Posting Date",O$9,"4 Entry Type",$C$4,"2 Item No.","@@"&amp;$F2752)</t>
  </si>
  <si>
    <t>=-NL("Sum","32 Item Ledger Entry","12 Quantity","5 Source no.",$C2753,"3 Posting Date",O$9,"4 Entry Type",$C$4,"2 Item No.","@@"&amp;$F2753)</t>
  </si>
  <si>
    <t>=-NL("Sum","32 Item Ledger Entry","12 Quantity","5 Source no.",$C2754,"3 Posting Date",O$9,"4 Entry Type",$C$4,"2 Item No.","@@"&amp;$F2754)</t>
  </si>
  <si>
    <t>=-NL("Sum","32 Item Ledger Entry","12 Quantity","5 Source no.",$C2755,"3 Posting Date",O$9,"4 Entry Type",$C$4,"2 Item No.","@@"&amp;$F2755)</t>
  </si>
  <si>
    <t>=-NL("Sum","32 Item Ledger Entry","12 Quantity","5 Source no.",$C2756,"3 Posting Date",O$9,"4 Entry Type",$C$4,"2 Item No.","@@"&amp;$F2756)</t>
  </si>
  <si>
    <t>=-NL("Sum","32 Item Ledger Entry","12 Quantity","5 Source no.",$C2757,"3 Posting Date",O$9,"4 Entry Type",$C$4,"2 Item No.","@@"&amp;$F2757)</t>
  </si>
  <si>
    <t>=-NL("Sum","32 Item Ledger Entry","12 Quantity","5 Source no.",$C2758,"3 Posting Date",O$9,"4 Entry Type",$C$4,"2 Item No.","@@"&amp;$F2758)</t>
  </si>
  <si>
    <t>=-NL("Sum","32 Item Ledger Entry","12 Quantity","5 Source no.",$C2759,"3 Posting Date",O$9,"4 Entry Type",$C$4,"2 Item No.","@@"&amp;$F2759)</t>
  </si>
  <si>
    <t>=-NL("Sum","32 Item Ledger Entry","12 Quantity","5 Source no.",$C2760,"3 Posting Date",O$9,"4 Entry Type",$C$4,"2 Item No.","@@"&amp;$F2760)</t>
  </si>
  <si>
    <t>=-NL("Sum","32 Item Ledger Entry","12 Quantity","5 Source no.",$C2761,"3 Posting Date",O$9,"4 Entry Type",$C$4,"2 Item No.","@@"&amp;$F2761)</t>
  </si>
  <si>
    <t>=-NL("Sum","32 Item Ledger Entry","12 Quantity","5 Source no.",$C2762,"3 Posting Date",O$9,"4 Entry Type",$C$4,"2 Item No.","@@"&amp;$F2762)</t>
  </si>
  <si>
    <t>=-NL("Sum","32 Item Ledger Entry","12 Quantity","5 Source no.",$C2763,"3 Posting Date",O$9,"4 Entry Type",$C$4,"2 Item No.","@@"&amp;$F2763)</t>
  </si>
  <si>
    <t>=-NL("Sum","32 Item Ledger Entry","12 Quantity","5 Source no.",$C2764,"3 Posting Date",O$9,"4 Entry Type",$C$4,"2 Item No.","@@"&amp;$F2764)</t>
  </si>
  <si>
    <t>=-NL("Sum","32 Item Ledger Entry","12 Quantity","5 Source no.",$C2765,"3 Posting Date",O$9,"4 Entry Type",$C$4,"2 Item No.","@@"&amp;$F2765)</t>
  </si>
  <si>
    <t>=-NL("Sum","32 Item Ledger Entry","12 Quantity","5 Source no.",$C2766,"3 Posting Date",O$9,"4 Entry Type",$C$4,"2 Item No.","@@"&amp;$F2766)</t>
  </si>
  <si>
    <t>=-NL("Sum","32 Item Ledger Entry","12 Quantity","5 Source no.",$C2767,"3 Posting Date",O$9,"4 Entry Type",$C$4,"2 Item No.","@@"&amp;$F2767)</t>
  </si>
  <si>
    <t>=-NL("Sum","32 Item Ledger Entry","12 Quantity","5 Source no.",$C2768,"3 Posting Date",O$9,"4 Entry Type",$C$4,"2 Item No.","@@"&amp;$F2768)</t>
  </si>
  <si>
    <t>=-NL("Sum","32 Item Ledger Entry","12 Quantity","5 Source no.",$C2769,"3 Posting Date",O$9,"4 Entry Type",$C$4,"2 Item No.","@@"&amp;$F2769)</t>
  </si>
  <si>
    <t>=-NL("Sum","32 Item Ledger Entry","12 Quantity","5 Source no.",$C2735,"3 Posting Date",U$9,"4 Entry Type",$C$4,"2 Item No.","@@"&amp;$F2735)</t>
  </si>
  <si>
    <t>=-NL("Sum","32 Item Ledger Entry","12 Quantity","5 Source no.",$C2736,"3 Posting Date",U$9,"4 Entry Type",$C$4,"2 Item No.","@@"&amp;$F2736)</t>
  </si>
  <si>
    <t>=-NL("Sum","32 Item Ledger Entry","12 Quantity","5 Source no.",$C2737,"3 Posting Date",U$9,"4 Entry Type",$C$4,"2 Item No.","@@"&amp;$F2737)</t>
  </si>
  <si>
    <t>=-NL("Sum","32 Item Ledger Entry","12 Quantity","5 Source no.",$C2738,"3 Posting Date",U$9,"4 Entry Type",$C$4,"2 Item No.","@@"&amp;$F2738)</t>
  </si>
  <si>
    <t>=-NL("Sum","32 Item Ledger Entry","12 Quantity","5 Source no.",$C2739,"3 Posting Date",U$9,"4 Entry Type",$C$4,"2 Item No.","@@"&amp;$F2739)</t>
  </si>
  <si>
    <t>=-NL("Sum","32 Item Ledger Entry","12 Quantity","5 Source no.",$C2740,"3 Posting Date",U$9,"4 Entry Type",$C$4,"2 Item No.","@@"&amp;$F2740)</t>
  </si>
  <si>
    <t>=-NL("Sum","32 Item Ledger Entry","12 Quantity","5 Source no.",$C2741,"3 Posting Date",U$9,"4 Entry Type",$C$4,"2 Item No.","@@"&amp;$F2741)</t>
  </si>
  <si>
    <t>=-NL("Sum","32 Item Ledger Entry","12 Quantity","5 Source no.",$C2742,"3 Posting Date",U$9,"4 Entry Type",$C$4,"2 Item No.","@@"&amp;$F2742)</t>
  </si>
  <si>
    <t>=-NL("Sum","32 Item Ledger Entry","12 Quantity","5 Source no.",$C2743,"3 Posting Date",U$9,"4 Entry Type",$C$4,"2 Item No.","@@"&amp;$F2743)</t>
  </si>
  <si>
    <t>=-NL("Sum","32 Item Ledger Entry","12 Quantity","5 Source no.",$C2744,"3 Posting Date",U$9,"4 Entry Type",$C$4,"2 Item No.","@@"&amp;$F2744)</t>
  </si>
  <si>
    <t>=-NL("Sum","32 Item Ledger Entry","12 Quantity","5 Source no.",$C2745,"3 Posting Date",U$9,"4 Entry Type",$C$4,"2 Item No.","@@"&amp;$F2745)</t>
  </si>
  <si>
    <t>=-NL("Sum","32 Item Ledger Entry","12 Quantity","5 Source no.",$C2746,"3 Posting Date",U$9,"4 Entry Type",$C$4,"2 Item No.","@@"&amp;$F2746)</t>
  </si>
  <si>
    <t>=-NL("Sum","32 Item Ledger Entry","12 Quantity","5 Source no.",$C2747,"3 Posting Date",U$9,"4 Entry Type",$C$4,"2 Item No.","@@"&amp;$F2747)</t>
  </si>
  <si>
    <t>=-NL("Sum","32 Item Ledger Entry","12 Quantity","5 Source no.",$C2748,"3 Posting Date",U$9,"4 Entry Type",$C$4,"2 Item No.","@@"&amp;$F2748)</t>
  </si>
  <si>
    <t>=-NL("Sum","32 Item Ledger Entry","12 Quantity","5 Source no.",$C2749,"3 Posting Date",U$9,"4 Entry Type",$C$4,"2 Item No.","@@"&amp;$F2749)</t>
  </si>
  <si>
    <t>=-NL("Sum","32 Item Ledger Entry","12 Quantity","5 Source no.",$C2750,"3 Posting Date",U$9,"4 Entry Type",$C$4,"2 Item No.","@@"&amp;$F2750)</t>
  </si>
  <si>
    <t>=-NL("Sum","32 Item Ledger Entry","12 Quantity","5 Source no.",$C2751,"3 Posting Date",U$9,"4 Entry Type",$C$4,"2 Item No.","@@"&amp;$F2751)</t>
  </si>
  <si>
    <t>=-NL("Sum","32 Item Ledger Entry","12 Quantity","5 Source no.",$C2752,"3 Posting Date",U$9,"4 Entry Type",$C$4,"2 Item No.","@@"&amp;$F2752)</t>
  </si>
  <si>
    <t>=-NL("Sum","32 Item Ledger Entry","12 Quantity","5 Source no.",$C2753,"3 Posting Date",U$9,"4 Entry Type",$C$4,"2 Item No.","@@"&amp;$F2753)</t>
  </si>
  <si>
    <t>=-NL("Sum","32 Item Ledger Entry","12 Quantity","5 Source no.",$C2754,"3 Posting Date",U$9,"4 Entry Type",$C$4,"2 Item No.","@@"&amp;$F2754)</t>
  </si>
  <si>
    <t>=-NL("Sum","32 Item Ledger Entry","12 Quantity","5 Source no.",$C2755,"3 Posting Date",U$9,"4 Entry Type",$C$4,"2 Item No.","@@"&amp;$F2755)</t>
  </si>
  <si>
    <t>=-NL("Sum","32 Item Ledger Entry","12 Quantity","5 Source no.",$C2756,"3 Posting Date",U$9,"4 Entry Type",$C$4,"2 Item No.","@@"&amp;$F2756)</t>
  </si>
  <si>
    <t>=-NL("Sum","32 Item Ledger Entry","12 Quantity","5 Source no.",$C2757,"3 Posting Date",U$9,"4 Entry Type",$C$4,"2 Item No.","@@"&amp;$F2757)</t>
  </si>
  <si>
    <t>=-NL("Sum","32 Item Ledger Entry","12 Quantity","5 Source no.",$C2758,"3 Posting Date",U$9,"4 Entry Type",$C$4,"2 Item No.","@@"&amp;$F2758)</t>
  </si>
  <si>
    <t>=-NL("Sum","32 Item Ledger Entry","12 Quantity","5 Source no.",$C2759,"3 Posting Date",U$9,"4 Entry Type",$C$4,"2 Item No.","@@"&amp;$F2759)</t>
  </si>
  <si>
    <t>=-NL("Sum","32 Item Ledger Entry","12 Quantity","5 Source no.",$C2760,"3 Posting Date",U$9,"4 Entry Type",$C$4,"2 Item No.","@@"&amp;$F2760)</t>
  </si>
  <si>
    <t>=-NL("Sum","32 Item Ledger Entry","12 Quantity","5 Source no.",$C2761,"3 Posting Date",U$9,"4 Entry Type",$C$4,"2 Item No.","@@"&amp;$F2761)</t>
  </si>
  <si>
    <t>=-NL("Sum","32 Item Ledger Entry","12 Quantity","5 Source no.",$C2762,"3 Posting Date",U$9,"4 Entry Type",$C$4,"2 Item No.","@@"&amp;$F2762)</t>
  </si>
  <si>
    <t>=-NL("Sum","32 Item Ledger Entry","12 Quantity","5 Source no.",$C2763,"3 Posting Date",U$9,"4 Entry Type",$C$4,"2 Item No.","@@"&amp;$F2763)</t>
  </si>
  <si>
    <t>=-NL("Sum","32 Item Ledger Entry","12 Quantity","5 Source no.",$C2764,"3 Posting Date",U$9,"4 Entry Type",$C$4,"2 Item No.","@@"&amp;$F2764)</t>
  </si>
  <si>
    <t>=-NL("Sum","32 Item Ledger Entry","12 Quantity","5 Source no.",$C2765,"3 Posting Date",U$9,"4 Entry Type",$C$4,"2 Item No.","@@"&amp;$F2765)</t>
  </si>
  <si>
    <t>=-NL("Sum","32 Item Ledger Entry","12 Quantity","5 Source no.",$C2766,"3 Posting Date",U$9,"4 Entry Type",$C$4,"2 Item No.","@@"&amp;$F2766)</t>
  </si>
  <si>
    <t>=-NL("Sum","32 Item Ledger Entry","12 Quantity","5 Source no.",$C2767,"3 Posting Date",U$9,"4 Entry Type",$C$4,"2 Item No.","@@"&amp;$F2767)</t>
  </si>
  <si>
    <t>=-NL("Sum","32 Item Ledger Entry","12 Quantity","5 Source no.",$C2768,"3 Posting Date",U$9,"4 Entry Type",$C$4,"2 Item No.","@@"&amp;$F2768)</t>
  </si>
  <si>
    <t>=-NL("Sum","32 Item Ledger Entry","12 Quantity","5 Source no.",$C2769,"3 Posting Date",U$9,"4 Entry Type",$C$4,"2 Item No.","@@"&amp;$F2769)</t>
  </si>
  <si>
    <t>=-NL("Sum","32 Item Ledger Entry","12 Quantity","5 Source no.",$C2735,"3 Posting Date",Z$9,"4 Entry Type",$C$4,"2 Item No.","@@"&amp;$F2735)</t>
  </si>
  <si>
    <t>=-NL("Sum","32 Item Ledger Entry","12 Quantity","5 Source no.",$C2736,"3 Posting Date",Z$9,"4 Entry Type",$C$4,"2 Item No.","@@"&amp;$F2736)</t>
  </si>
  <si>
    <t>=-NL("Sum","32 Item Ledger Entry","12 Quantity","5 Source no.",$C2737,"3 Posting Date",Z$9,"4 Entry Type",$C$4,"2 Item No.","@@"&amp;$F2737)</t>
  </si>
  <si>
    <t>=-NL("Sum","32 Item Ledger Entry","12 Quantity","5 Source no.",$C2738,"3 Posting Date",Z$9,"4 Entry Type",$C$4,"2 Item No.","@@"&amp;$F2738)</t>
  </si>
  <si>
    <t>=-NL("Sum","32 Item Ledger Entry","12 Quantity","5 Source no.",$C2739,"3 Posting Date",Z$9,"4 Entry Type",$C$4,"2 Item No.","@@"&amp;$F2739)</t>
  </si>
  <si>
    <t>=-NL("Sum","32 Item Ledger Entry","12 Quantity","5 Source no.",$C2740,"3 Posting Date",Z$9,"4 Entry Type",$C$4,"2 Item No.","@@"&amp;$F2740)</t>
  </si>
  <si>
    <t>=-NL("Sum","32 Item Ledger Entry","12 Quantity","5 Source no.",$C2741,"3 Posting Date",Z$9,"4 Entry Type",$C$4,"2 Item No.","@@"&amp;$F2741)</t>
  </si>
  <si>
    <t>=-NL("Sum","32 Item Ledger Entry","12 Quantity","5 Source no.",$C2742,"3 Posting Date",Z$9,"4 Entry Type",$C$4,"2 Item No.","@@"&amp;$F2742)</t>
  </si>
  <si>
    <t>=-NL("Sum","32 Item Ledger Entry","12 Quantity","5 Source no.",$C2743,"3 Posting Date",Z$9,"4 Entry Type",$C$4,"2 Item No.","@@"&amp;$F2743)</t>
  </si>
  <si>
    <t>=-NL("Sum","32 Item Ledger Entry","12 Quantity","5 Source no.",$C2744,"3 Posting Date",Z$9,"4 Entry Type",$C$4,"2 Item No.","@@"&amp;$F2744)</t>
  </si>
  <si>
    <t>=-NL("Sum","32 Item Ledger Entry","12 Quantity","5 Source no.",$C2745,"3 Posting Date",Z$9,"4 Entry Type",$C$4,"2 Item No.","@@"&amp;$F2745)</t>
  </si>
  <si>
    <t>=-NL("Sum","32 Item Ledger Entry","12 Quantity","5 Source no.",$C2746,"3 Posting Date",Z$9,"4 Entry Type",$C$4,"2 Item No.","@@"&amp;$F2746)</t>
  </si>
  <si>
    <t>=-NL("Sum","32 Item Ledger Entry","12 Quantity","5 Source no.",$C2747,"3 Posting Date",Z$9,"4 Entry Type",$C$4,"2 Item No.","@@"&amp;$F2747)</t>
  </si>
  <si>
    <t>=-NL("Sum","32 Item Ledger Entry","12 Quantity","5 Source no.",$C2748,"3 Posting Date",Z$9,"4 Entry Type",$C$4,"2 Item No.","@@"&amp;$F2748)</t>
  </si>
  <si>
    <t>=-NL("Sum","32 Item Ledger Entry","12 Quantity","5 Source no.",$C2749,"3 Posting Date",Z$9,"4 Entry Type",$C$4,"2 Item No.","@@"&amp;$F2749)</t>
  </si>
  <si>
    <t>=-NL("Sum","32 Item Ledger Entry","12 Quantity","5 Source no.",$C2750,"3 Posting Date",Z$9,"4 Entry Type",$C$4,"2 Item No.","@@"&amp;$F2750)</t>
  </si>
  <si>
    <t>=-NL("Sum","32 Item Ledger Entry","12 Quantity","5 Source no.",$C2751,"3 Posting Date",Z$9,"4 Entry Type",$C$4,"2 Item No.","@@"&amp;$F2751)</t>
  </si>
  <si>
    <t>=-NL("Sum","32 Item Ledger Entry","12 Quantity","5 Source no.",$C2752,"3 Posting Date",Z$9,"4 Entry Type",$C$4,"2 Item No.","@@"&amp;$F2752)</t>
  </si>
  <si>
    <t>=-NL("Sum","32 Item Ledger Entry","12 Quantity","5 Source no.",$C2753,"3 Posting Date",Z$9,"4 Entry Type",$C$4,"2 Item No.","@@"&amp;$F2753)</t>
  </si>
  <si>
    <t>=-NL("Sum","32 Item Ledger Entry","12 Quantity","5 Source no.",$C2754,"3 Posting Date",Z$9,"4 Entry Type",$C$4,"2 Item No.","@@"&amp;$F2754)</t>
  </si>
  <si>
    <t>=-NL("Sum","32 Item Ledger Entry","12 Quantity","5 Source no.",$C2755,"3 Posting Date",Z$9,"4 Entry Type",$C$4,"2 Item No.","@@"&amp;$F2755)</t>
  </si>
  <si>
    <t>=-NL("Sum","32 Item Ledger Entry","12 Quantity","5 Source no.",$C2756,"3 Posting Date",Z$9,"4 Entry Type",$C$4,"2 Item No.","@@"&amp;$F2756)</t>
  </si>
  <si>
    <t>=-NL("Sum","32 Item Ledger Entry","12 Quantity","5 Source no.",$C2757,"3 Posting Date",Z$9,"4 Entry Type",$C$4,"2 Item No.","@@"&amp;$F2757)</t>
  </si>
  <si>
    <t>=-NL("Sum","32 Item Ledger Entry","12 Quantity","5 Source no.",$C2758,"3 Posting Date",Z$9,"4 Entry Type",$C$4,"2 Item No.","@@"&amp;$F2758)</t>
  </si>
  <si>
    <t>=-NL("Sum","32 Item Ledger Entry","12 Quantity","5 Source no.",$C2759,"3 Posting Date",Z$9,"4 Entry Type",$C$4,"2 Item No.","@@"&amp;$F2759)</t>
  </si>
  <si>
    <t>=-NL("Sum","32 Item Ledger Entry","12 Quantity","5 Source no.",$C2760,"3 Posting Date",Z$9,"4 Entry Type",$C$4,"2 Item No.","@@"&amp;$F2760)</t>
  </si>
  <si>
    <t>=-NL("Sum","32 Item Ledger Entry","12 Quantity","5 Source no.",$C2761,"3 Posting Date",Z$9,"4 Entry Type",$C$4,"2 Item No.","@@"&amp;$F2761)</t>
  </si>
  <si>
    <t>=-NL("Sum","32 Item Ledger Entry","12 Quantity","5 Source no.",$C2762,"3 Posting Date",Z$9,"4 Entry Type",$C$4,"2 Item No.","@@"&amp;$F2762)</t>
  </si>
  <si>
    <t>=-NL("Sum","32 Item Ledger Entry","12 Quantity","5 Source no.",$C2763,"3 Posting Date",Z$9,"4 Entry Type",$C$4,"2 Item No.","@@"&amp;$F2763)</t>
  </si>
  <si>
    <t>=-NL("Sum","32 Item Ledger Entry","12 Quantity","5 Source no.",$C2764,"3 Posting Date",Z$9,"4 Entry Type",$C$4,"2 Item No.","@@"&amp;$F2764)</t>
  </si>
  <si>
    <t>=-NL("Sum","32 Item Ledger Entry","12 Quantity","5 Source no.",$C2765,"3 Posting Date",Z$9,"4 Entry Type",$C$4,"2 Item No.","@@"&amp;$F2765)</t>
  </si>
  <si>
    <t>=-NL("Sum","32 Item Ledger Entry","12 Quantity","5 Source no.",$C2766,"3 Posting Date",Z$9,"4 Entry Type",$C$4,"2 Item No.","@@"&amp;$F2766)</t>
  </si>
  <si>
    <t>=-NL("Sum","32 Item Ledger Entry","12 Quantity","5 Source no.",$C2767,"3 Posting Date",Z$9,"4 Entry Type",$C$4,"2 Item No.","@@"&amp;$F2767)</t>
  </si>
  <si>
    <t>=-NL("Sum","32 Item Ledger Entry","12 Quantity","5 Source no.",$C2768,"3 Posting Date",Z$9,"4 Entry Type",$C$4,"2 Item No.","@@"&amp;$F2768)</t>
  </si>
  <si>
    <t>=-NL("Sum","32 Item Ledger Entry","12 Quantity","5 Source no.",$C2769,"3 Posting Date",Z$9,"4 Entry Type",$C$4,"2 Item No.","@@"&amp;$F2769)</t>
  </si>
  <si>
    <t>=NL(,"27 Item","3 Description","1 No.","@@"&amp;F2683)</t>
  </si>
  <si>
    <t>=NL(,"27 Item","3 Description","1 No.","@@"&amp;F2684)</t>
  </si>
  <si>
    <t>=NL(,"27 Item","3 Description","1 No.","@@"&amp;F2685)</t>
  </si>
  <si>
    <t>=NL(,"27 Item","3 Description","1 No.","@@"&amp;F2686)</t>
  </si>
  <si>
    <t>=NL(,"27 Item","3 Description","1 No.","@@"&amp;F2687)</t>
  </si>
  <si>
    <t>=NL(,"27 Item","3 Description","1 No.","@@"&amp;F2688)</t>
  </si>
  <si>
    <t>=NL(,"27 Item","3 Description","1 No.","@@"&amp;F2689)</t>
  </si>
  <si>
    <t>=NL(,"27 Item","3 Description","1 No.","@@"&amp;F2690)</t>
  </si>
  <si>
    <t>=NL(,"27 Item","3 Description","1 No.","@@"&amp;F2691)</t>
  </si>
  <si>
    <t>=NL(,"27 Item","3 Description","1 No.","@@"&amp;F2692)</t>
  </si>
  <si>
    <t>=NL(,"27 Item","3 Description","1 No.","@@"&amp;F2693)</t>
  </si>
  <si>
    <t>=NL(,"27 Item","3 Description","1 No.","@@"&amp;F2694)</t>
  </si>
  <si>
    <t>=NL(,"27 Item","3 Description","1 No.","@@"&amp;F2695)</t>
  </si>
  <si>
    <t>=NL(,"27 Item","3 Description","1 No.","@@"&amp;F2696)</t>
  </si>
  <si>
    <t>=NL(,"27 Item","3 Description","1 No.","@@"&amp;F2697)</t>
  </si>
  <si>
    <t>=NL(,"27 Item","3 Description","1 No.","@@"&amp;F2698)</t>
  </si>
  <si>
    <t>=NL(,"27 Item","3 Description","1 No.","@@"&amp;F2699)</t>
  </si>
  <si>
    <t>=NL(,"27 Item","3 Description","1 No.","@@"&amp;F2700)</t>
  </si>
  <si>
    <t>=NL(,"27 Item","3 Description","1 No.","@@"&amp;F2701)</t>
  </si>
  <si>
    <t>=NL(,"27 Item","3 Description","1 No.","@@"&amp;F2702)</t>
  </si>
  <si>
    <t>=NL(,"27 Item","3 Description","1 No.","@@"&amp;F2703)</t>
  </si>
  <si>
    <t>=NL(,"27 Item","3 Description","1 No.","@@"&amp;F2704)</t>
  </si>
  <si>
    <t>=NL(,"27 Item","3 Description","1 No.","@@"&amp;F2705)</t>
  </si>
  <si>
    <t>=NL(,"27 Item","3 Description","1 No.","@@"&amp;F2706)</t>
  </si>
  <si>
    <t>=NL(,"27 Item","3 Description","1 No.","@@"&amp;F2707)</t>
  </si>
  <si>
    <t>=NL(,"27 Item","3 Description","1 No.","@@"&amp;F2708)</t>
  </si>
  <si>
    <t>=NL(,"27 Item","3 Description","1 No.","@@"&amp;F2709)</t>
  </si>
  <si>
    <t>=NL(,"27 Item","3 Description","1 No.","@@"&amp;F2710)</t>
  </si>
  <si>
    <t>=NL(,"27 Item","3 Description","1 No.","@@"&amp;F2711)</t>
  </si>
  <si>
    <t>=NL(,"27 Item","3 Description","1 No.","@@"&amp;F2712)</t>
  </si>
  <si>
    <t>=NL(,"27 Item","3 Description","1 No.","@@"&amp;F2713)</t>
  </si>
  <si>
    <t>=NL(,"27 Item","3 Description","1 No.","@@"&amp;F2714)</t>
  </si>
  <si>
    <t>=NL(,"27 Item","3 Description","1 No.","@@"&amp;F2715)</t>
  </si>
  <si>
    <t>=NL(,"27 Item","3 Description","1 No.","@@"&amp;F2716)</t>
  </si>
  <si>
    <t>=NL(,"27 Item","3 Description","1 No.","@@"&amp;F2717)</t>
  </si>
  <si>
    <t>=NL(,"27 Item","3 Description","1 No.","@@"&amp;F2718)</t>
  </si>
  <si>
    <t>=NL(,"27 Item","3 Description","1 No.","@@"&amp;F2719)</t>
  </si>
  <si>
    <t>=NL(,"27 Item","3 Description","1 No.","@@"&amp;F2720)</t>
  </si>
  <si>
    <t>=NL(,"27 Item","3 Description","1 No.","@@"&amp;F2721)</t>
  </si>
  <si>
    <t>=NL(,"27 Item","3 Description","1 No.","@@"&amp;F2722)</t>
  </si>
  <si>
    <t>=NL(,"27 Item","3 Description","1 No.","@@"&amp;F2723)</t>
  </si>
  <si>
    <t>=NL(,"27 Item","3 Description","1 No.","@@"&amp;F2724)</t>
  </si>
  <si>
    <t>=NL(,"27 Item","3 Description","1 No.","@@"&amp;F2725)</t>
  </si>
  <si>
    <t>=NL(,"27 Item","3 Description","1 No.","@@"&amp;F2726)</t>
  </si>
  <si>
    <t>=NL(,"27 Item","3 Description","1 No.","@@"&amp;F2727)</t>
  </si>
  <si>
    <t>=NL(,"27 Item","3 Description","1 No.","@@"&amp;F2728)</t>
  </si>
  <si>
    <t>=NL(,"27 Item","3 Description","1 No.","@@"&amp;F2729)</t>
  </si>
  <si>
    <t>=-NL("Sum","32 Item Ledger Entry","12 Quantity","5 Source no.",$C2683,"3 Posting Date",J$9,"4 Entry Type",$C$4,"2 Item No.","@@"&amp;$F2683)</t>
  </si>
  <si>
    <t>=-NL("Sum","32 Item Ledger Entry","12 Quantity","5 Source no.",$C2684,"3 Posting Date",J$9,"4 Entry Type",$C$4,"2 Item No.","@@"&amp;$F2684)</t>
  </si>
  <si>
    <t>=-NL("Sum","32 Item Ledger Entry","12 Quantity","5 Source no.",$C2685,"3 Posting Date",J$9,"4 Entry Type",$C$4,"2 Item No.","@@"&amp;$F2685)</t>
  </si>
  <si>
    <t>=-NL("Sum","32 Item Ledger Entry","12 Quantity","5 Source no.",$C2686,"3 Posting Date",J$9,"4 Entry Type",$C$4,"2 Item No.","@@"&amp;$F2686)</t>
  </si>
  <si>
    <t>=-NL("Sum","32 Item Ledger Entry","12 Quantity","5 Source no.",$C2687,"3 Posting Date",J$9,"4 Entry Type",$C$4,"2 Item No.","@@"&amp;$F2687)</t>
  </si>
  <si>
    <t>=-NL("Sum","32 Item Ledger Entry","12 Quantity","5 Source no.",$C2688,"3 Posting Date",J$9,"4 Entry Type",$C$4,"2 Item No.","@@"&amp;$F2688)</t>
  </si>
  <si>
    <t>=-NL("Sum","32 Item Ledger Entry","12 Quantity","5 Source no.",$C2689,"3 Posting Date",J$9,"4 Entry Type",$C$4,"2 Item No.","@@"&amp;$F2689)</t>
  </si>
  <si>
    <t>=-NL("Sum","32 Item Ledger Entry","12 Quantity","5 Source no.",$C2690,"3 Posting Date",J$9,"4 Entry Type",$C$4,"2 Item No.","@@"&amp;$F2690)</t>
  </si>
  <si>
    <t>=-NL("Sum","32 Item Ledger Entry","12 Quantity","5 Source no.",$C2691,"3 Posting Date",J$9,"4 Entry Type",$C$4,"2 Item No.","@@"&amp;$F2691)</t>
  </si>
  <si>
    <t>=-NL("Sum","32 Item Ledger Entry","12 Quantity","5 Source no.",$C2692,"3 Posting Date",J$9,"4 Entry Type",$C$4,"2 Item No.","@@"&amp;$F2692)</t>
  </si>
  <si>
    <t>=-NL("Sum","32 Item Ledger Entry","12 Quantity","5 Source no.",$C2693,"3 Posting Date",J$9,"4 Entry Type",$C$4,"2 Item No.","@@"&amp;$F2693)</t>
  </si>
  <si>
    <t>=-NL("Sum","32 Item Ledger Entry","12 Quantity","5 Source no.",$C2694,"3 Posting Date",J$9,"4 Entry Type",$C$4,"2 Item No.","@@"&amp;$F2694)</t>
  </si>
  <si>
    <t>=-NL("Sum","32 Item Ledger Entry","12 Quantity","5 Source no.",$C2695,"3 Posting Date",J$9,"4 Entry Type",$C$4,"2 Item No.","@@"&amp;$F2695)</t>
  </si>
  <si>
    <t>=-NL("Sum","32 Item Ledger Entry","12 Quantity","5 Source no.",$C2696,"3 Posting Date",J$9,"4 Entry Type",$C$4,"2 Item No.","@@"&amp;$F2696)</t>
  </si>
  <si>
    <t>=-NL("Sum","32 Item Ledger Entry","12 Quantity","5 Source no.",$C2697,"3 Posting Date",J$9,"4 Entry Type",$C$4,"2 Item No.","@@"&amp;$F2697)</t>
  </si>
  <si>
    <t>=-NL("Sum","32 Item Ledger Entry","12 Quantity","5 Source no.",$C2698,"3 Posting Date",J$9,"4 Entry Type",$C$4,"2 Item No.","@@"&amp;$F2698)</t>
  </si>
  <si>
    <t>=-NL("Sum","32 Item Ledger Entry","12 Quantity","5 Source no.",$C2699,"3 Posting Date",J$9,"4 Entry Type",$C$4,"2 Item No.","@@"&amp;$F2699)</t>
  </si>
  <si>
    <t>=-NL("Sum","32 Item Ledger Entry","12 Quantity","5 Source no.",$C2700,"3 Posting Date",J$9,"4 Entry Type",$C$4,"2 Item No.","@@"&amp;$F2700)</t>
  </si>
  <si>
    <t>=-NL("Sum","32 Item Ledger Entry","12 Quantity","5 Source no.",$C2701,"3 Posting Date",J$9,"4 Entry Type",$C$4,"2 Item No.","@@"&amp;$F2701)</t>
  </si>
  <si>
    <t>=-NL("Sum","32 Item Ledger Entry","12 Quantity","5 Source no.",$C2702,"3 Posting Date",J$9,"4 Entry Type",$C$4,"2 Item No.","@@"&amp;$F2702)</t>
  </si>
  <si>
    <t>=-NL("Sum","32 Item Ledger Entry","12 Quantity","5 Source no.",$C2703,"3 Posting Date",J$9,"4 Entry Type",$C$4,"2 Item No.","@@"&amp;$F2703)</t>
  </si>
  <si>
    <t>=-NL("Sum","32 Item Ledger Entry","12 Quantity","5 Source no.",$C2704,"3 Posting Date",J$9,"4 Entry Type",$C$4,"2 Item No.","@@"&amp;$F2704)</t>
  </si>
  <si>
    <t>=-NL("Sum","32 Item Ledger Entry","12 Quantity","5 Source no.",$C2705,"3 Posting Date",J$9,"4 Entry Type",$C$4,"2 Item No.","@@"&amp;$F2705)</t>
  </si>
  <si>
    <t>=-NL("Sum","32 Item Ledger Entry","12 Quantity","5 Source no.",$C2706,"3 Posting Date",J$9,"4 Entry Type",$C$4,"2 Item No.","@@"&amp;$F2706)</t>
  </si>
  <si>
    <t>=-NL("Sum","32 Item Ledger Entry","12 Quantity","5 Source no.",$C2707,"3 Posting Date",J$9,"4 Entry Type",$C$4,"2 Item No.","@@"&amp;$F2707)</t>
  </si>
  <si>
    <t>=-NL("Sum","32 Item Ledger Entry","12 Quantity","5 Source no.",$C2708,"3 Posting Date",J$9,"4 Entry Type",$C$4,"2 Item No.","@@"&amp;$F2708)</t>
  </si>
  <si>
    <t>=-NL("Sum","32 Item Ledger Entry","12 Quantity","5 Source no.",$C2709,"3 Posting Date",J$9,"4 Entry Type",$C$4,"2 Item No.","@@"&amp;$F2709)</t>
  </si>
  <si>
    <t>=-NL("Sum","32 Item Ledger Entry","12 Quantity","5 Source no.",$C2710,"3 Posting Date",J$9,"4 Entry Type",$C$4,"2 Item No.","@@"&amp;$F2710)</t>
  </si>
  <si>
    <t>=-NL("Sum","32 Item Ledger Entry","12 Quantity","5 Source no.",$C2711,"3 Posting Date",J$9,"4 Entry Type",$C$4,"2 Item No.","@@"&amp;$F2711)</t>
  </si>
  <si>
    <t>=-NL("Sum","32 Item Ledger Entry","12 Quantity","5 Source no.",$C2712,"3 Posting Date",J$9,"4 Entry Type",$C$4,"2 Item No.","@@"&amp;$F2712)</t>
  </si>
  <si>
    <t>=-NL("Sum","32 Item Ledger Entry","12 Quantity","5 Source no.",$C2713,"3 Posting Date",J$9,"4 Entry Type",$C$4,"2 Item No.","@@"&amp;$F2713)</t>
  </si>
  <si>
    <t>=-NL("Sum","32 Item Ledger Entry","12 Quantity","5 Source no.",$C2714,"3 Posting Date",J$9,"4 Entry Type",$C$4,"2 Item No.","@@"&amp;$F2714)</t>
  </si>
  <si>
    <t>=-NL("Sum","32 Item Ledger Entry","12 Quantity","5 Source no.",$C2715,"3 Posting Date",J$9,"4 Entry Type",$C$4,"2 Item No.","@@"&amp;$F2715)</t>
  </si>
  <si>
    <t>=-NL("Sum","32 Item Ledger Entry","12 Quantity","5 Source no.",$C2716,"3 Posting Date",J$9,"4 Entry Type",$C$4,"2 Item No.","@@"&amp;$F2716)</t>
  </si>
  <si>
    <t>=-NL("Sum","32 Item Ledger Entry","12 Quantity","5 Source no.",$C2717,"3 Posting Date",J$9,"4 Entry Type",$C$4,"2 Item No.","@@"&amp;$F2717)</t>
  </si>
  <si>
    <t>=-NL("Sum","32 Item Ledger Entry","12 Quantity","5 Source no.",$C2718,"3 Posting Date",J$9,"4 Entry Type",$C$4,"2 Item No.","@@"&amp;$F2718)</t>
  </si>
  <si>
    <t>=-NL("Sum","32 Item Ledger Entry","12 Quantity","5 Source no.",$C2719,"3 Posting Date",J$9,"4 Entry Type",$C$4,"2 Item No.","@@"&amp;$F2719)</t>
  </si>
  <si>
    <t>=-NL("Sum","32 Item Ledger Entry","12 Quantity","5 Source no.",$C2720,"3 Posting Date",J$9,"4 Entry Type",$C$4,"2 Item No.","@@"&amp;$F2720)</t>
  </si>
  <si>
    <t>=-NL("Sum","32 Item Ledger Entry","12 Quantity","5 Source no.",$C2721,"3 Posting Date",J$9,"4 Entry Type",$C$4,"2 Item No.","@@"&amp;$F2721)</t>
  </si>
  <si>
    <t>=-NL("Sum","32 Item Ledger Entry","12 Quantity","5 Source no.",$C2722,"3 Posting Date",J$9,"4 Entry Type",$C$4,"2 Item No.","@@"&amp;$F2722)</t>
  </si>
  <si>
    <t>=-NL("Sum","32 Item Ledger Entry","12 Quantity","5 Source no.",$C2723,"3 Posting Date",J$9,"4 Entry Type",$C$4,"2 Item No.","@@"&amp;$F2723)</t>
  </si>
  <si>
    <t>=-NL("Sum","32 Item Ledger Entry","12 Quantity","5 Source no.",$C2724,"3 Posting Date",J$9,"4 Entry Type",$C$4,"2 Item No.","@@"&amp;$F2724)</t>
  </si>
  <si>
    <t>=-NL("Sum","32 Item Ledger Entry","12 Quantity","5 Source no.",$C2725,"3 Posting Date",J$9,"4 Entry Type",$C$4,"2 Item No.","@@"&amp;$F2725)</t>
  </si>
  <si>
    <t>=-NL("Sum","32 Item Ledger Entry","12 Quantity","5 Source no.",$C2726,"3 Posting Date",J$9,"4 Entry Type",$C$4,"2 Item No.","@@"&amp;$F2726)</t>
  </si>
  <si>
    <t>=-NL("Sum","32 Item Ledger Entry","12 Quantity","5 Source no.",$C2727,"3 Posting Date",J$9,"4 Entry Type",$C$4,"2 Item No.","@@"&amp;$F2727)</t>
  </si>
  <si>
    <t>=-NL("Sum","32 Item Ledger Entry","12 Quantity","5 Source no.",$C2728,"3 Posting Date",J$9,"4 Entry Type",$C$4,"2 Item No.","@@"&amp;$F2728)</t>
  </si>
  <si>
    <t>=-NL("Sum","32 Item Ledger Entry","12 Quantity","5 Source no.",$C2729,"3 Posting Date",J$9,"4 Entry Type",$C$4,"2 Item No.","@@"&amp;$F2729)</t>
  </si>
  <si>
    <t>=-NL("Sum","32 Item Ledger Entry","12 Quantity","5 Source no.",$C2683,"3 Posting Date",O$9,"4 Entry Type",$C$4,"2 Item No.","@@"&amp;$F2683)</t>
  </si>
  <si>
    <t>=-NL("Sum","32 Item Ledger Entry","12 Quantity","5 Source no.",$C2684,"3 Posting Date",O$9,"4 Entry Type",$C$4,"2 Item No.","@@"&amp;$F2684)</t>
  </si>
  <si>
    <t>=-NL("Sum","32 Item Ledger Entry","12 Quantity","5 Source no.",$C2685,"3 Posting Date",O$9,"4 Entry Type",$C$4,"2 Item No.","@@"&amp;$F2685)</t>
  </si>
  <si>
    <t>=-NL("Sum","32 Item Ledger Entry","12 Quantity","5 Source no.",$C2686,"3 Posting Date",O$9,"4 Entry Type",$C$4,"2 Item No.","@@"&amp;$F2686)</t>
  </si>
  <si>
    <t>=-NL("Sum","32 Item Ledger Entry","12 Quantity","5 Source no.",$C2687,"3 Posting Date",O$9,"4 Entry Type",$C$4,"2 Item No.","@@"&amp;$F2687)</t>
  </si>
  <si>
    <t>=-NL("Sum","32 Item Ledger Entry","12 Quantity","5 Source no.",$C2688,"3 Posting Date",O$9,"4 Entry Type",$C$4,"2 Item No.","@@"&amp;$F2688)</t>
  </si>
  <si>
    <t>=-NL("Sum","32 Item Ledger Entry","12 Quantity","5 Source no.",$C2689,"3 Posting Date",O$9,"4 Entry Type",$C$4,"2 Item No.","@@"&amp;$F2689)</t>
  </si>
  <si>
    <t>=-NL("Sum","32 Item Ledger Entry","12 Quantity","5 Source no.",$C2690,"3 Posting Date",O$9,"4 Entry Type",$C$4,"2 Item No.","@@"&amp;$F2690)</t>
  </si>
  <si>
    <t>=-NL("Sum","32 Item Ledger Entry","12 Quantity","5 Source no.",$C2691,"3 Posting Date",O$9,"4 Entry Type",$C$4,"2 Item No.","@@"&amp;$F2691)</t>
  </si>
  <si>
    <t>=-NL("Sum","32 Item Ledger Entry","12 Quantity","5 Source no.",$C2692,"3 Posting Date",O$9,"4 Entry Type",$C$4,"2 Item No.","@@"&amp;$F2692)</t>
  </si>
  <si>
    <t>=-NL("Sum","32 Item Ledger Entry","12 Quantity","5 Source no.",$C2693,"3 Posting Date",O$9,"4 Entry Type",$C$4,"2 Item No.","@@"&amp;$F2693)</t>
  </si>
  <si>
    <t>=-NL("Sum","32 Item Ledger Entry","12 Quantity","5 Source no.",$C2694,"3 Posting Date",O$9,"4 Entry Type",$C$4,"2 Item No.","@@"&amp;$F2694)</t>
  </si>
  <si>
    <t>=-NL("Sum","32 Item Ledger Entry","12 Quantity","5 Source no.",$C2695,"3 Posting Date",O$9,"4 Entry Type",$C$4,"2 Item No.","@@"&amp;$F2695)</t>
  </si>
  <si>
    <t>=-NL("Sum","32 Item Ledger Entry","12 Quantity","5 Source no.",$C2696,"3 Posting Date",O$9,"4 Entry Type",$C$4,"2 Item No.","@@"&amp;$F2696)</t>
  </si>
  <si>
    <t>=-NL("Sum","32 Item Ledger Entry","12 Quantity","5 Source no.",$C2697,"3 Posting Date",O$9,"4 Entry Type",$C$4,"2 Item No.","@@"&amp;$F2697)</t>
  </si>
  <si>
    <t>=-NL("Sum","32 Item Ledger Entry","12 Quantity","5 Source no.",$C2698,"3 Posting Date",O$9,"4 Entry Type",$C$4,"2 Item No.","@@"&amp;$F2698)</t>
  </si>
  <si>
    <t>=-NL("Sum","32 Item Ledger Entry","12 Quantity","5 Source no.",$C2699,"3 Posting Date",O$9,"4 Entry Type",$C$4,"2 Item No.","@@"&amp;$F2699)</t>
  </si>
  <si>
    <t>=-NL("Sum","32 Item Ledger Entry","12 Quantity","5 Source no.",$C2700,"3 Posting Date",O$9,"4 Entry Type",$C$4,"2 Item No.","@@"&amp;$F2700)</t>
  </si>
  <si>
    <t>=-NL("Sum","32 Item Ledger Entry","12 Quantity","5 Source no.",$C2701,"3 Posting Date",O$9,"4 Entry Type",$C$4,"2 Item No.","@@"&amp;$F2701)</t>
  </si>
  <si>
    <t>=-NL("Sum","32 Item Ledger Entry","12 Quantity","5 Source no.",$C2702,"3 Posting Date",O$9,"4 Entry Type",$C$4,"2 Item No.","@@"&amp;$F2702)</t>
  </si>
  <si>
    <t>=-NL("Sum","32 Item Ledger Entry","12 Quantity","5 Source no.",$C2703,"3 Posting Date",O$9,"4 Entry Type",$C$4,"2 Item No.","@@"&amp;$F2703)</t>
  </si>
  <si>
    <t>=-NL("Sum","32 Item Ledger Entry","12 Quantity","5 Source no.",$C2704,"3 Posting Date",O$9,"4 Entry Type",$C$4,"2 Item No.","@@"&amp;$F2704)</t>
  </si>
  <si>
    <t>=-NL("Sum","32 Item Ledger Entry","12 Quantity","5 Source no.",$C2705,"3 Posting Date",O$9,"4 Entry Type",$C$4,"2 Item No.","@@"&amp;$F2705)</t>
  </si>
  <si>
    <t>=-NL("Sum","32 Item Ledger Entry","12 Quantity","5 Source no.",$C2706,"3 Posting Date",O$9,"4 Entry Type",$C$4,"2 Item No.","@@"&amp;$F2706)</t>
  </si>
  <si>
    <t>=-NL("Sum","32 Item Ledger Entry","12 Quantity","5 Source no.",$C2707,"3 Posting Date",O$9,"4 Entry Type",$C$4,"2 Item No.","@@"&amp;$F2707)</t>
  </si>
  <si>
    <t>=-NL("Sum","32 Item Ledger Entry","12 Quantity","5 Source no.",$C2708,"3 Posting Date",O$9,"4 Entry Type",$C$4,"2 Item No.","@@"&amp;$F2708)</t>
  </si>
  <si>
    <t>=-NL("Sum","32 Item Ledger Entry","12 Quantity","5 Source no.",$C2709,"3 Posting Date",O$9,"4 Entry Type",$C$4,"2 Item No.","@@"&amp;$F2709)</t>
  </si>
  <si>
    <t>=-NL("Sum","32 Item Ledger Entry","12 Quantity","5 Source no.",$C2710,"3 Posting Date",O$9,"4 Entry Type",$C$4,"2 Item No.","@@"&amp;$F2710)</t>
  </si>
  <si>
    <t>=-NL("Sum","32 Item Ledger Entry","12 Quantity","5 Source no.",$C2711,"3 Posting Date",O$9,"4 Entry Type",$C$4,"2 Item No.","@@"&amp;$F2711)</t>
  </si>
  <si>
    <t>=-NL("Sum","32 Item Ledger Entry","12 Quantity","5 Source no.",$C2712,"3 Posting Date",O$9,"4 Entry Type",$C$4,"2 Item No.","@@"&amp;$F2712)</t>
  </si>
  <si>
    <t>=-NL("Sum","32 Item Ledger Entry","12 Quantity","5 Source no.",$C2713,"3 Posting Date",O$9,"4 Entry Type",$C$4,"2 Item No.","@@"&amp;$F2713)</t>
  </si>
  <si>
    <t>=-NL("Sum","32 Item Ledger Entry","12 Quantity","5 Source no.",$C2714,"3 Posting Date",O$9,"4 Entry Type",$C$4,"2 Item No.","@@"&amp;$F2714)</t>
  </si>
  <si>
    <t>=-NL("Sum","32 Item Ledger Entry","12 Quantity","5 Source no.",$C2715,"3 Posting Date",O$9,"4 Entry Type",$C$4,"2 Item No.","@@"&amp;$F2715)</t>
  </si>
  <si>
    <t>=-NL("Sum","32 Item Ledger Entry","12 Quantity","5 Source no.",$C2716,"3 Posting Date",O$9,"4 Entry Type",$C$4,"2 Item No.","@@"&amp;$F2716)</t>
  </si>
  <si>
    <t>=-NL("Sum","32 Item Ledger Entry","12 Quantity","5 Source no.",$C2717,"3 Posting Date",O$9,"4 Entry Type",$C$4,"2 Item No.","@@"&amp;$F2717)</t>
  </si>
  <si>
    <t>=-NL("Sum","32 Item Ledger Entry","12 Quantity","5 Source no.",$C2718,"3 Posting Date",O$9,"4 Entry Type",$C$4,"2 Item No.","@@"&amp;$F2718)</t>
  </si>
  <si>
    <t>=-NL("Sum","32 Item Ledger Entry","12 Quantity","5 Source no.",$C2719,"3 Posting Date",O$9,"4 Entry Type",$C$4,"2 Item No.","@@"&amp;$F2719)</t>
  </si>
  <si>
    <t>=-NL("Sum","32 Item Ledger Entry","12 Quantity","5 Source no.",$C2720,"3 Posting Date",O$9,"4 Entry Type",$C$4,"2 Item No.","@@"&amp;$F2720)</t>
  </si>
  <si>
    <t>=-NL("Sum","32 Item Ledger Entry","12 Quantity","5 Source no.",$C2721,"3 Posting Date",O$9,"4 Entry Type",$C$4,"2 Item No.","@@"&amp;$F2721)</t>
  </si>
  <si>
    <t>=-NL("Sum","32 Item Ledger Entry","12 Quantity","5 Source no.",$C2722,"3 Posting Date",O$9,"4 Entry Type",$C$4,"2 Item No.","@@"&amp;$F2722)</t>
  </si>
  <si>
    <t>=-NL("Sum","32 Item Ledger Entry","12 Quantity","5 Source no.",$C2723,"3 Posting Date",O$9,"4 Entry Type",$C$4,"2 Item No.","@@"&amp;$F2723)</t>
  </si>
  <si>
    <t>=-NL("Sum","32 Item Ledger Entry","12 Quantity","5 Source no.",$C2724,"3 Posting Date",O$9,"4 Entry Type",$C$4,"2 Item No.","@@"&amp;$F2724)</t>
  </si>
  <si>
    <t>=-NL("Sum","32 Item Ledger Entry","12 Quantity","5 Source no.",$C2725,"3 Posting Date",O$9,"4 Entry Type",$C$4,"2 Item No.","@@"&amp;$F2725)</t>
  </si>
  <si>
    <t>=-NL("Sum","32 Item Ledger Entry","12 Quantity","5 Source no.",$C2726,"3 Posting Date",O$9,"4 Entry Type",$C$4,"2 Item No.","@@"&amp;$F2726)</t>
  </si>
  <si>
    <t>=-NL("Sum","32 Item Ledger Entry","12 Quantity","5 Source no.",$C2727,"3 Posting Date",O$9,"4 Entry Type",$C$4,"2 Item No.","@@"&amp;$F2727)</t>
  </si>
  <si>
    <t>=-NL("Sum","32 Item Ledger Entry","12 Quantity","5 Source no.",$C2728,"3 Posting Date",O$9,"4 Entry Type",$C$4,"2 Item No.","@@"&amp;$F2728)</t>
  </si>
  <si>
    <t>=-NL("Sum","32 Item Ledger Entry","12 Quantity","5 Source no.",$C2729,"3 Posting Date",O$9,"4 Entry Type",$C$4,"2 Item No.","@@"&amp;$F2729)</t>
  </si>
  <si>
    <t>=-NL("Sum","32 Item Ledger Entry","12 Quantity","5 Source no.",$C2683,"3 Posting Date",U$9,"4 Entry Type",$C$4,"2 Item No.","@@"&amp;$F2683)</t>
  </si>
  <si>
    <t>=-NL("Sum","32 Item Ledger Entry","12 Quantity","5 Source no.",$C2684,"3 Posting Date",U$9,"4 Entry Type",$C$4,"2 Item No.","@@"&amp;$F2684)</t>
  </si>
  <si>
    <t>=-NL("Sum","32 Item Ledger Entry","12 Quantity","5 Source no.",$C2685,"3 Posting Date",U$9,"4 Entry Type",$C$4,"2 Item No.","@@"&amp;$F2685)</t>
  </si>
  <si>
    <t>=-NL("Sum","32 Item Ledger Entry","12 Quantity","5 Source no.",$C2686,"3 Posting Date",U$9,"4 Entry Type",$C$4,"2 Item No.","@@"&amp;$F2686)</t>
  </si>
  <si>
    <t>=-NL("Sum","32 Item Ledger Entry","12 Quantity","5 Source no.",$C2687,"3 Posting Date",U$9,"4 Entry Type",$C$4,"2 Item No.","@@"&amp;$F2687)</t>
  </si>
  <si>
    <t>=-NL("Sum","32 Item Ledger Entry","12 Quantity","5 Source no.",$C2688,"3 Posting Date",U$9,"4 Entry Type",$C$4,"2 Item No.","@@"&amp;$F2688)</t>
  </si>
  <si>
    <t>=-NL("Sum","32 Item Ledger Entry","12 Quantity","5 Source no.",$C2689,"3 Posting Date",U$9,"4 Entry Type",$C$4,"2 Item No.","@@"&amp;$F2689)</t>
  </si>
  <si>
    <t>=-NL("Sum","32 Item Ledger Entry","12 Quantity","5 Source no.",$C2690,"3 Posting Date",U$9,"4 Entry Type",$C$4,"2 Item No.","@@"&amp;$F2690)</t>
  </si>
  <si>
    <t>=-NL("Sum","32 Item Ledger Entry","12 Quantity","5 Source no.",$C2691,"3 Posting Date",U$9,"4 Entry Type",$C$4,"2 Item No.","@@"&amp;$F2691)</t>
  </si>
  <si>
    <t>=-NL("Sum","32 Item Ledger Entry","12 Quantity","5 Source no.",$C2692,"3 Posting Date",U$9,"4 Entry Type",$C$4,"2 Item No.","@@"&amp;$F2692)</t>
  </si>
  <si>
    <t>=-NL("Sum","32 Item Ledger Entry","12 Quantity","5 Source no.",$C2693,"3 Posting Date",U$9,"4 Entry Type",$C$4,"2 Item No.","@@"&amp;$F2693)</t>
  </si>
  <si>
    <t>=-NL("Sum","32 Item Ledger Entry","12 Quantity","5 Source no.",$C2694,"3 Posting Date",U$9,"4 Entry Type",$C$4,"2 Item No.","@@"&amp;$F2694)</t>
  </si>
  <si>
    <t>=-NL("Sum","32 Item Ledger Entry","12 Quantity","5 Source no.",$C2695,"3 Posting Date",U$9,"4 Entry Type",$C$4,"2 Item No.","@@"&amp;$F2695)</t>
  </si>
  <si>
    <t>=-NL("Sum","32 Item Ledger Entry","12 Quantity","5 Source no.",$C2696,"3 Posting Date",U$9,"4 Entry Type",$C$4,"2 Item No.","@@"&amp;$F2696)</t>
  </si>
  <si>
    <t>=-NL("Sum","32 Item Ledger Entry","12 Quantity","5 Source no.",$C2697,"3 Posting Date",U$9,"4 Entry Type",$C$4,"2 Item No.","@@"&amp;$F2697)</t>
  </si>
  <si>
    <t>=-NL("Sum","32 Item Ledger Entry","12 Quantity","5 Source no.",$C2698,"3 Posting Date",U$9,"4 Entry Type",$C$4,"2 Item No.","@@"&amp;$F2698)</t>
  </si>
  <si>
    <t>=-NL("Sum","32 Item Ledger Entry","12 Quantity","5 Source no.",$C2699,"3 Posting Date",U$9,"4 Entry Type",$C$4,"2 Item No.","@@"&amp;$F2699)</t>
  </si>
  <si>
    <t>=-NL("Sum","32 Item Ledger Entry","12 Quantity","5 Source no.",$C2700,"3 Posting Date",U$9,"4 Entry Type",$C$4,"2 Item No.","@@"&amp;$F2700)</t>
  </si>
  <si>
    <t>=-NL("Sum","32 Item Ledger Entry","12 Quantity","5 Source no.",$C2701,"3 Posting Date",U$9,"4 Entry Type",$C$4,"2 Item No.","@@"&amp;$F2701)</t>
  </si>
  <si>
    <t>=-NL("Sum","32 Item Ledger Entry","12 Quantity","5 Source no.",$C2702,"3 Posting Date",U$9,"4 Entry Type",$C$4,"2 Item No.","@@"&amp;$F2702)</t>
  </si>
  <si>
    <t>=-NL("Sum","32 Item Ledger Entry","12 Quantity","5 Source no.",$C2703,"3 Posting Date",U$9,"4 Entry Type",$C$4,"2 Item No.","@@"&amp;$F2703)</t>
  </si>
  <si>
    <t>=-NL("Sum","32 Item Ledger Entry","12 Quantity","5 Source no.",$C2704,"3 Posting Date",U$9,"4 Entry Type",$C$4,"2 Item No.","@@"&amp;$F2704)</t>
  </si>
  <si>
    <t>=-NL("Sum","32 Item Ledger Entry","12 Quantity","5 Source no.",$C2705,"3 Posting Date",U$9,"4 Entry Type",$C$4,"2 Item No.","@@"&amp;$F2705)</t>
  </si>
  <si>
    <t>=-NL("Sum","32 Item Ledger Entry","12 Quantity","5 Source no.",$C2706,"3 Posting Date",U$9,"4 Entry Type",$C$4,"2 Item No.","@@"&amp;$F2706)</t>
  </si>
  <si>
    <t>=-NL("Sum","32 Item Ledger Entry","12 Quantity","5 Source no.",$C2707,"3 Posting Date",U$9,"4 Entry Type",$C$4,"2 Item No.","@@"&amp;$F2707)</t>
  </si>
  <si>
    <t>=-NL("Sum","32 Item Ledger Entry","12 Quantity","5 Source no.",$C2708,"3 Posting Date",U$9,"4 Entry Type",$C$4,"2 Item No.","@@"&amp;$F2708)</t>
  </si>
  <si>
    <t>=-NL("Sum","32 Item Ledger Entry","12 Quantity","5 Source no.",$C2709,"3 Posting Date",U$9,"4 Entry Type",$C$4,"2 Item No.","@@"&amp;$F2709)</t>
  </si>
  <si>
    <t>=-NL("Sum","32 Item Ledger Entry","12 Quantity","5 Source no.",$C2710,"3 Posting Date",U$9,"4 Entry Type",$C$4,"2 Item No.","@@"&amp;$F2710)</t>
  </si>
  <si>
    <t>=-NL("Sum","32 Item Ledger Entry","12 Quantity","5 Source no.",$C2711,"3 Posting Date",U$9,"4 Entry Type",$C$4,"2 Item No.","@@"&amp;$F2711)</t>
  </si>
  <si>
    <t>=-NL("Sum","32 Item Ledger Entry","12 Quantity","5 Source no.",$C2712,"3 Posting Date",U$9,"4 Entry Type",$C$4,"2 Item No.","@@"&amp;$F2712)</t>
  </si>
  <si>
    <t>=-NL("Sum","32 Item Ledger Entry","12 Quantity","5 Source no.",$C2713,"3 Posting Date",U$9,"4 Entry Type",$C$4,"2 Item No.","@@"&amp;$F2713)</t>
  </si>
  <si>
    <t>=-NL("Sum","32 Item Ledger Entry","12 Quantity","5 Source no.",$C2714,"3 Posting Date",U$9,"4 Entry Type",$C$4,"2 Item No.","@@"&amp;$F2714)</t>
  </si>
  <si>
    <t>=-NL("Sum","32 Item Ledger Entry","12 Quantity","5 Source no.",$C2715,"3 Posting Date",U$9,"4 Entry Type",$C$4,"2 Item No.","@@"&amp;$F2715)</t>
  </si>
  <si>
    <t>=-NL("Sum","32 Item Ledger Entry","12 Quantity","5 Source no.",$C2716,"3 Posting Date",U$9,"4 Entry Type",$C$4,"2 Item No.","@@"&amp;$F2716)</t>
  </si>
  <si>
    <t>=-NL("Sum","32 Item Ledger Entry","12 Quantity","5 Source no.",$C2717,"3 Posting Date",U$9,"4 Entry Type",$C$4,"2 Item No.","@@"&amp;$F2717)</t>
  </si>
  <si>
    <t>=-NL("Sum","32 Item Ledger Entry","12 Quantity","5 Source no.",$C2718,"3 Posting Date",U$9,"4 Entry Type",$C$4,"2 Item No.","@@"&amp;$F2718)</t>
  </si>
  <si>
    <t>=-NL("Sum","32 Item Ledger Entry","12 Quantity","5 Source no.",$C2719,"3 Posting Date",U$9,"4 Entry Type",$C$4,"2 Item No.","@@"&amp;$F2719)</t>
  </si>
  <si>
    <t>=-NL("Sum","32 Item Ledger Entry","12 Quantity","5 Source no.",$C2720,"3 Posting Date",U$9,"4 Entry Type",$C$4,"2 Item No.","@@"&amp;$F2720)</t>
  </si>
  <si>
    <t>=-NL("Sum","32 Item Ledger Entry","12 Quantity","5 Source no.",$C2721,"3 Posting Date",U$9,"4 Entry Type",$C$4,"2 Item No.","@@"&amp;$F2721)</t>
  </si>
  <si>
    <t>=-NL("Sum","32 Item Ledger Entry","12 Quantity","5 Source no.",$C2722,"3 Posting Date",U$9,"4 Entry Type",$C$4,"2 Item No.","@@"&amp;$F2722)</t>
  </si>
  <si>
    <t>=-NL("Sum","32 Item Ledger Entry","12 Quantity","5 Source no.",$C2723,"3 Posting Date",U$9,"4 Entry Type",$C$4,"2 Item No.","@@"&amp;$F2723)</t>
  </si>
  <si>
    <t>=-NL("Sum","32 Item Ledger Entry","12 Quantity","5 Source no.",$C2724,"3 Posting Date",U$9,"4 Entry Type",$C$4,"2 Item No.","@@"&amp;$F2724)</t>
  </si>
  <si>
    <t>=-NL("Sum","32 Item Ledger Entry","12 Quantity","5 Source no.",$C2725,"3 Posting Date",U$9,"4 Entry Type",$C$4,"2 Item No.","@@"&amp;$F2725)</t>
  </si>
  <si>
    <t>=-NL("Sum","32 Item Ledger Entry","12 Quantity","5 Source no.",$C2726,"3 Posting Date",U$9,"4 Entry Type",$C$4,"2 Item No.","@@"&amp;$F2726)</t>
  </si>
  <si>
    <t>=-NL("Sum","32 Item Ledger Entry","12 Quantity","5 Source no.",$C2727,"3 Posting Date",U$9,"4 Entry Type",$C$4,"2 Item No.","@@"&amp;$F2727)</t>
  </si>
  <si>
    <t>=-NL("Sum","32 Item Ledger Entry","12 Quantity","5 Source no.",$C2728,"3 Posting Date",U$9,"4 Entry Type",$C$4,"2 Item No.","@@"&amp;$F2728)</t>
  </si>
  <si>
    <t>=-NL("Sum","32 Item Ledger Entry","12 Quantity","5 Source no.",$C2729,"3 Posting Date",U$9,"4 Entry Type",$C$4,"2 Item No.","@@"&amp;$F2729)</t>
  </si>
  <si>
    <t>=-NL("Sum","32 Item Ledger Entry","12 Quantity","5 Source no.",$C2683,"3 Posting Date",Z$9,"4 Entry Type",$C$4,"2 Item No.","@@"&amp;$F2683)</t>
  </si>
  <si>
    <t>=-NL("Sum","32 Item Ledger Entry","12 Quantity","5 Source no.",$C2684,"3 Posting Date",Z$9,"4 Entry Type",$C$4,"2 Item No.","@@"&amp;$F2684)</t>
  </si>
  <si>
    <t>=-NL("Sum","32 Item Ledger Entry","12 Quantity","5 Source no.",$C2685,"3 Posting Date",Z$9,"4 Entry Type",$C$4,"2 Item No.","@@"&amp;$F2685)</t>
  </si>
  <si>
    <t>=-NL("Sum","32 Item Ledger Entry","12 Quantity","5 Source no.",$C2686,"3 Posting Date",Z$9,"4 Entry Type",$C$4,"2 Item No.","@@"&amp;$F2686)</t>
  </si>
  <si>
    <t>=-NL("Sum","32 Item Ledger Entry","12 Quantity","5 Source no.",$C2687,"3 Posting Date",Z$9,"4 Entry Type",$C$4,"2 Item No.","@@"&amp;$F2687)</t>
  </si>
  <si>
    <t>=-NL("Sum","32 Item Ledger Entry","12 Quantity","5 Source no.",$C2688,"3 Posting Date",Z$9,"4 Entry Type",$C$4,"2 Item No.","@@"&amp;$F2688)</t>
  </si>
  <si>
    <t>=-NL("Sum","32 Item Ledger Entry","12 Quantity","5 Source no.",$C2689,"3 Posting Date",Z$9,"4 Entry Type",$C$4,"2 Item No.","@@"&amp;$F2689)</t>
  </si>
  <si>
    <t>=-NL("Sum","32 Item Ledger Entry","12 Quantity","5 Source no.",$C2690,"3 Posting Date",Z$9,"4 Entry Type",$C$4,"2 Item No.","@@"&amp;$F2690)</t>
  </si>
  <si>
    <t>=-NL("Sum","32 Item Ledger Entry","12 Quantity","5 Source no.",$C2691,"3 Posting Date",Z$9,"4 Entry Type",$C$4,"2 Item No.","@@"&amp;$F2691)</t>
  </si>
  <si>
    <t>=-NL("Sum","32 Item Ledger Entry","12 Quantity","5 Source no.",$C2692,"3 Posting Date",Z$9,"4 Entry Type",$C$4,"2 Item No.","@@"&amp;$F2692)</t>
  </si>
  <si>
    <t>=-NL("Sum","32 Item Ledger Entry","12 Quantity","5 Source no.",$C2693,"3 Posting Date",Z$9,"4 Entry Type",$C$4,"2 Item No.","@@"&amp;$F2693)</t>
  </si>
  <si>
    <t>=-NL("Sum","32 Item Ledger Entry","12 Quantity","5 Source no.",$C2694,"3 Posting Date",Z$9,"4 Entry Type",$C$4,"2 Item No.","@@"&amp;$F2694)</t>
  </si>
  <si>
    <t>=-NL("Sum","32 Item Ledger Entry","12 Quantity","5 Source no.",$C2695,"3 Posting Date",Z$9,"4 Entry Type",$C$4,"2 Item No.","@@"&amp;$F2695)</t>
  </si>
  <si>
    <t>=-NL("Sum","32 Item Ledger Entry","12 Quantity","5 Source no.",$C2696,"3 Posting Date",Z$9,"4 Entry Type",$C$4,"2 Item No.","@@"&amp;$F2696)</t>
  </si>
  <si>
    <t>=-NL("Sum","32 Item Ledger Entry","12 Quantity","5 Source no.",$C2697,"3 Posting Date",Z$9,"4 Entry Type",$C$4,"2 Item No.","@@"&amp;$F2697)</t>
  </si>
  <si>
    <t>=-NL("Sum","32 Item Ledger Entry","12 Quantity","5 Source no.",$C2698,"3 Posting Date",Z$9,"4 Entry Type",$C$4,"2 Item No.","@@"&amp;$F2698)</t>
  </si>
  <si>
    <t>=-NL("Sum","32 Item Ledger Entry","12 Quantity","5 Source no.",$C2699,"3 Posting Date",Z$9,"4 Entry Type",$C$4,"2 Item No.","@@"&amp;$F2699)</t>
  </si>
  <si>
    <t>=-NL("Sum","32 Item Ledger Entry","12 Quantity","5 Source no.",$C2700,"3 Posting Date",Z$9,"4 Entry Type",$C$4,"2 Item No.","@@"&amp;$F2700)</t>
  </si>
  <si>
    <t>=-NL("Sum","32 Item Ledger Entry","12 Quantity","5 Source no.",$C2701,"3 Posting Date",Z$9,"4 Entry Type",$C$4,"2 Item No.","@@"&amp;$F2701)</t>
  </si>
  <si>
    <t>=-NL("Sum","32 Item Ledger Entry","12 Quantity","5 Source no.",$C2702,"3 Posting Date",Z$9,"4 Entry Type",$C$4,"2 Item No.","@@"&amp;$F2702)</t>
  </si>
  <si>
    <t>=-NL("Sum","32 Item Ledger Entry","12 Quantity","5 Source no.",$C2703,"3 Posting Date",Z$9,"4 Entry Type",$C$4,"2 Item No.","@@"&amp;$F2703)</t>
  </si>
  <si>
    <t>=-NL("Sum","32 Item Ledger Entry","12 Quantity","5 Source no.",$C2704,"3 Posting Date",Z$9,"4 Entry Type",$C$4,"2 Item No.","@@"&amp;$F2704)</t>
  </si>
  <si>
    <t>=-NL("Sum","32 Item Ledger Entry","12 Quantity","5 Source no.",$C2705,"3 Posting Date",Z$9,"4 Entry Type",$C$4,"2 Item No.","@@"&amp;$F2705)</t>
  </si>
  <si>
    <t>=-NL("Sum","32 Item Ledger Entry","12 Quantity","5 Source no.",$C2706,"3 Posting Date",Z$9,"4 Entry Type",$C$4,"2 Item No.","@@"&amp;$F2706)</t>
  </si>
  <si>
    <t>=-NL("Sum","32 Item Ledger Entry","12 Quantity","5 Source no.",$C2707,"3 Posting Date",Z$9,"4 Entry Type",$C$4,"2 Item No.","@@"&amp;$F2707)</t>
  </si>
  <si>
    <t>=-NL("Sum","32 Item Ledger Entry","12 Quantity","5 Source no.",$C2708,"3 Posting Date",Z$9,"4 Entry Type",$C$4,"2 Item No.","@@"&amp;$F2708)</t>
  </si>
  <si>
    <t>=-NL("Sum","32 Item Ledger Entry","12 Quantity","5 Source no.",$C2709,"3 Posting Date",Z$9,"4 Entry Type",$C$4,"2 Item No.","@@"&amp;$F2709)</t>
  </si>
  <si>
    <t>=-NL("Sum","32 Item Ledger Entry","12 Quantity","5 Source no.",$C2710,"3 Posting Date",Z$9,"4 Entry Type",$C$4,"2 Item No.","@@"&amp;$F2710)</t>
  </si>
  <si>
    <t>=-NL("Sum","32 Item Ledger Entry","12 Quantity","5 Source no.",$C2711,"3 Posting Date",Z$9,"4 Entry Type",$C$4,"2 Item No.","@@"&amp;$F2711)</t>
  </si>
  <si>
    <t>=-NL("Sum","32 Item Ledger Entry","12 Quantity","5 Source no.",$C2712,"3 Posting Date",Z$9,"4 Entry Type",$C$4,"2 Item No.","@@"&amp;$F2712)</t>
  </si>
  <si>
    <t>=-NL("Sum","32 Item Ledger Entry","12 Quantity","5 Source no.",$C2713,"3 Posting Date",Z$9,"4 Entry Type",$C$4,"2 Item No.","@@"&amp;$F2713)</t>
  </si>
  <si>
    <t>=-NL("Sum","32 Item Ledger Entry","12 Quantity","5 Source no.",$C2714,"3 Posting Date",Z$9,"4 Entry Type",$C$4,"2 Item No.","@@"&amp;$F2714)</t>
  </si>
  <si>
    <t>=-NL("Sum","32 Item Ledger Entry","12 Quantity","5 Source no.",$C2715,"3 Posting Date",Z$9,"4 Entry Type",$C$4,"2 Item No.","@@"&amp;$F2715)</t>
  </si>
  <si>
    <t>=-NL("Sum","32 Item Ledger Entry","12 Quantity","5 Source no.",$C2716,"3 Posting Date",Z$9,"4 Entry Type",$C$4,"2 Item No.","@@"&amp;$F2716)</t>
  </si>
  <si>
    <t>=-NL("Sum","32 Item Ledger Entry","12 Quantity","5 Source no.",$C2717,"3 Posting Date",Z$9,"4 Entry Type",$C$4,"2 Item No.","@@"&amp;$F2717)</t>
  </si>
  <si>
    <t>=-NL("Sum","32 Item Ledger Entry","12 Quantity","5 Source no.",$C2718,"3 Posting Date",Z$9,"4 Entry Type",$C$4,"2 Item No.","@@"&amp;$F2718)</t>
  </si>
  <si>
    <t>=-NL("Sum","32 Item Ledger Entry","12 Quantity","5 Source no.",$C2719,"3 Posting Date",Z$9,"4 Entry Type",$C$4,"2 Item No.","@@"&amp;$F2719)</t>
  </si>
  <si>
    <t>=-NL("Sum","32 Item Ledger Entry","12 Quantity","5 Source no.",$C2720,"3 Posting Date",Z$9,"4 Entry Type",$C$4,"2 Item No.","@@"&amp;$F2720)</t>
  </si>
  <si>
    <t>=-NL("Sum","32 Item Ledger Entry","12 Quantity","5 Source no.",$C2721,"3 Posting Date",Z$9,"4 Entry Type",$C$4,"2 Item No.","@@"&amp;$F2721)</t>
  </si>
  <si>
    <t>=-NL("Sum","32 Item Ledger Entry","12 Quantity","5 Source no.",$C2722,"3 Posting Date",Z$9,"4 Entry Type",$C$4,"2 Item No.","@@"&amp;$F2722)</t>
  </si>
  <si>
    <t>=-NL("Sum","32 Item Ledger Entry","12 Quantity","5 Source no.",$C2723,"3 Posting Date",Z$9,"4 Entry Type",$C$4,"2 Item No.","@@"&amp;$F2723)</t>
  </si>
  <si>
    <t>=-NL("Sum","32 Item Ledger Entry","12 Quantity","5 Source no.",$C2724,"3 Posting Date",Z$9,"4 Entry Type",$C$4,"2 Item No.","@@"&amp;$F2724)</t>
  </si>
  <si>
    <t>=-NL("Sum","32 Item Ledger Entry","12 Quantity","5 Source no.",$C2725,"3 Posting Date",Z$9,"4 Entry Type",$C$4,"2 Item No.","@@"&amp;$F2725)</t>
  </si>
  <si>
    <t>=-NL("Sum","32 Item Ledger Entry","12 Quantity","5 Source no.",$C2726,"3 Posting Date",Z$9,"4 Entry Type",$C$4,"2 Item No.","@@"&amp;$F2726)</t>
  </si>
  <si>
    <t>=-NL("Sum","32 Item Ledger Entry","12 Quantity","5 Source no.",$C2727,"3 Posting Date",Z$9,"4 Entry Type",$C$4,"2 Item No.","@@"&amp;$F2727)</t>
  </si>
  <si>
    <t>=-NL("Sum","32 Item Ledger Entry","12 Quantity","5 Source no.",$C2728,"3 Posting Date",Z$9,"4 Entry Type",$C$4,"2 Item No.","@@"&amp;$F2728)</t>
  </si>
  <si>
    <t>=-NL("Sum","32 Item Ledger Entry","12 Quantity","5 Source no.",$C2729,"3 Posting Date",Z$9,"4 Entry Type",$C$4,"2 Item No.","@@"&amp;$F2729)</t>
  </si>
  <si>
    <t>=NL(,"27 Item","3 Description","1 No.","@@"&amp;F2640)</t>
  </si>
  <si>
    <t>=NL(,"27 Item","3 Description","1 No.","@@"&amp;F2641)</t>
  </si>
  <si>
    <t>=NL(,"27 Item","3 Description","1 No.","@@"&amp;F2642)</t>
  </si>
  <si>
    <t>=NL(,"27 Item","3 Description","1 No.","@@"&amp;F2643)</t>
  </si>
  <si>
    <t>=NL(,"27 Item","3 Description","1 No.","@@"&amp;F2644)</t>
  </si>
  <si>
    <t>=NL(,"27 Item","3 Description","1 No.","@@"&amp;F2645)</t>
  </si>
  <si>
    <t>=NL(,"27 Item","3 Description","1 No.","@@"&amp;F2646)</t>
  </si>
  <si>
    <t>=NL(,"27 Item","3 Description","1 No.","@@"&amp;F2647)</t>
  </si>
  <si>
    <t>=NL(,"27 Item","3 Description","1 No.","@@"&amp;F2648)</t>
  </si>
  <si>
    <t>=NL(,"27 Item","3 Description","1 No.","@@"&amp;F2649)</t>
  </si>
  <si>
    <t>=NL(,"27 Item","3 Description","1 No.","@@"&amp;F2650)</t>
  </si>
  <si>
    <t>=NL(,"27 Item","3 Description","1 No.","@@"&amp;F2651)</t>
  </si>
  <si>
    <t>=NL(,"27 Item","3 Description","1 No.","@@"&amp;F2652)</t>
  </si>
  <si>
    <t>=NL(,"27 Item","3 Description","1 No.","@@"&amp;F2653)</t>
  </si>
  <si>
    <t>=NL(,"27 Item","3 Description","1 No.","@@"&amp;F2654)</t>
  </si>
  <si>
    <t>=NL(,"27 Item","3 Description","1 No.","@@"&amp;F2655)</t>
  </si>
  <si>
    <t>=NL(,"27 Item","3 Description","1 No.","@@"&amp;F2656)</t>
  </si>
  <si>
    <t>=NL(,"27 Item","3 Description","1 No.","@@"&amp;F2657)</t>
  </si>
  <si>
    <t>=NL(,"27 Item","3 Description","1 No.","@@"&amp;F2658)</t>
  </si>
  <si>
    <t>=NL(,"27 Item","3 Description","1 No.","@@"&amp;F2659)</t>
  </si>
  <si>
    <t>=NL(,"27 Item","3 Description","1 No.","@@"&amp;F2660)</t>
  </si>
  <si>
    <t>=NL(,"27 Item","3 Description","1 No.","@@"&amp;F2661)</t>
  </si>
  <si>
    <t>=NL(,"27 Item","3 Description","1 No.","@@"&amp;F2662)</t>
  </si>
  <si>
    <t>=NL(,"27 Item","3 Description","1 No.","@@"&amp;F2663)</t>
  </si>
  <si>
    <t>=NL(,"27 Item","3 Description","1 No.","@@"&amp;F2664)</t>
  </si>
  <si>
    <t>=NL(,"27 Item","3 Description","1 No.","@@"&amp;F2665)</t>
  </si>
  <si>
    <t>=NL(,"27 Item","3 Description","1 No.","@@"&amp;F2666)</t>
  </si>
  <si>
    <t>=NL(,"27 Item","3 Description","1 No.","@@"&amp;F2667)</t>
  </si>
  <si>
    <t>=NL(,"27 Item","3 Description","1 No.","@@"&amp;F2668)</t>
  </si>
  <si>
    <t>=NL(,"27 Item","3 Description","1 No.","@@"&amp;F2669)</t>
  </si>
  <si>
    <t>=NL(,"27 Item","3 Description","1 No.","@@"&amp;F2670)</t>
  </si>
  <si>
    <t>=NL(,"27 Item","3 Description","1 No.","@@"&amp;F2671)</t>
  </si>
  <si>
    <t>=NL(,"27 Item","3 Description","1 No.","@@"&amp;F2672)</t>
  </si>
  <si>
    <t>=NL(,"27 Item","3 Description","1 No.","@@"&amp;F2673)</t>
  </si>
  <si>
    <t>=NL(,"27 Item","3 Description","1 No.","@@"&amp;F2674)</t>
  </si>
  <si>
    <t>=NL(,"27 Item","3 Description","1 No.","@@"&amp;F2675)</t>
  </si>
  <si>
    <t>=NL(,"27 Item","3 Description","1 No.","@@"&amp;F2676)</t>
  </si>
  <si>
    <t>=NL(,"27 Item","3 Description","1 No.","@@"&amp;F2677)</t>
  </si>
  <si>
    <t>=-NL("Sum","32 Item Ledger Entry","12 Quantity","5 Source no.",$C2640,"3 Posting Date",J$9,"4 Entry Type",$C$4,"2 Item No.","@@"&amp;$F2640)</t>
  </si>
  <si>
    <t>=-NL("Sum","32 Item Ledger Entry","12 Quantity","5 Source no.",$C2641,"3 Posting Date",J$9,"4 Entry Type",$C$4,"2 Item No.","@@"&amp;$F2641)</t>
  </si>
  <si>
    <t>=-NL("Sum","32 Item Ledger Entry","12 Quantity","5 Source no.",$C2642,"3 Posting Date",J$9,"4 Entry Type",$C$4,"2 Item No.","@@"&amp;$F2642)</t>
  </si>
  <si>
    <t>=-NL("Sum","32 Item Ledger Entry","12 Quantity","5 Source no.",$C2643,"3 Posting Date",J$9,"4 Entry Type",$C$4,"2 Item No.","@@"&amp;$F2643)</t>
  </si>
  <si>
    <t>=-NL("Sum","32 Item Ledger Entry","12 Quantity","5 Source no.",$C2644,"3 Posting Date",J$9,"4 Entry Type",$C$4,"2 Item No.","@@"&amp;$F2644)</t>
  </si>
  <si>
    <t>=-NL("Sum","32 Item Ledger Entry","12 Quantity","5 Source no.",$C2645,"3 Posting Date",J$9,"4 Entry Type",$C$4,"2 Item No.","@@"&amp;$F2645)</t>
  </si>
  <si>
    <t>=-NL("Sum","32 Item Ledger Entry","12 Quantity","5 Source no.",$C2646,"3 Posting Date",J$9,"4 Entry Type",$C$4,"2 Item No.","@@"&amp;$F2646)</t>
  </si>
  <si>
    <t>=-NL("Sum","32 Item Ledger Entry","12 Quantity","5 Source no.",$C2647,"3 Posting Date",J$9,"4 Entry Type",$C$4,"2 Item No.","@@"&amp;$F2647)</t>
  </si>
  <si>
    <t>=-NL("Sum","32 Item Ledger Entry","12 Quantity","5 Source no.",$C2648,"3 Posting Date",J$9,"4 Entry Type",$C$4,"2 Item No.","@@"&amp;$F2648)</t>
  </si>
  <si>
    <t>=-NL("Sum","32 Item Ledger Entry","12 Quantity","5 Source no.",$C2649,"3 Posting Date",J$9,"4 Entry Type",$C$4,"2 Item No.","@@"&amp;$F2649)</t>
  </si>
  <si>
    <t>=-NL("Sum","32 Item Ledger Entry","12 Quantity","5 Source no.",$C2650,"3 Posting Date",J$9,"4 Entry Type",$C$4,"2 Item No.","@@"&amp;$F2650)</t>
  </si>
  <si>
    <t>=-NL("Sum","32 Item Ledger Entry","12 Quantity","5 Source no.",$C2651,"3 Posting Date",J$9,"4 Entry Type",$C$4,"2 Item No.","@@"&amp;$F2651)</t>
  </si>
  <si>
    <t>=-NL("Sum","32 Item Ledger Entry","12 Quantity","5 Source no.",$C2652,"3 Posting Date",J$9,"4 Entry Type",$C$4,"2 Item No.","@@"&amp;$F2652)</t>
  </si>
  <si>
    <t>=-NL("Sum","32 Item Ledger Entry","12 Quantity","5 Source no.",$C2653,"3 Posting Date",J$9,"4 Entry Type",$C$4,"2 Item No.","@@"&amp;$F2653)</t>
  </si>
  <si>
    <t>=-NL("Sum","32 Item Ledger Entry","12 Quantity","5 Source no.",$C2654,"3 Posting Date",J$9,"4 Entry Type",$C$4,"2 Item No.","@@"&amp;$F2654)</t>
  </si>
  <si>
    <t>=-NL("Sum","32 Item Ledger Entry","12 Quantity","5 Source no.",$C2655,"3 Posting Date",J$9,"4 Entry Type",$C$4,"2 Item No.","@@"&amp;$F2655)</t>
  </si>
  <si>
    <t>=-NL("Sum","32 Item Ledger Entry","12 Quantity","5 Source no.",$C2656,"3 Posting Date",J$9,"4 Entry Type",$C$4,"2 Item No.","@@"&amp;$F2656)</t>
  </si>
  <si>
    <t>=-NL("Sum","32 Item Ledger Entry","12 Quantity","5 Source no.",$C2657,"3 Posting Date",J$9,"4 Entry Type",$C$4,"2 Item No.","@@"&amp;$F2657)</t>
  </si>
  <si>
    <t>=-NL("Sum","32 Item Ledger Entry","12 Quantity","5 Source no.",$C2658,"3 Posting Date",J$9,"4 Entry Type",$C$4,"2 Item No.","@@"&amp;$F2658)</t>
  </si>
  <si>
    <t>=-NL("Sum","32 Item Ledger Entry","12 Quantity","5 Source no.",$C2659,"3 Posting Date",J$9,"4 Entry Type",$C$4,"2 Item No.","@@"&amp;$F2659)</t>
  </si>
  <si>
    <t>=-NL("Sum","32 Item Ledger Entry","12 Quantity","5 Source no.",$C2660,"3 Posting Date",J$9,"4 Entry Type",$C$4,"2 Item No.","@@"&amp;$F2660)</t>
  </si>
  <si>
    <t>=-NL("Sum","32 Item Ledger Entry","12 Quantity","5 Source no.",$C2661,"3 Posting Date",J$9,"4 Entry Type",$C$4,"2 Item No.","@@"&amp;$F2661)</t>
  </si>
  <si>
    <t>=-NL("Sum","32 Item Ledger Entry","12 Quantity","5 Source no.",$C2662,"3 Posting Date",J$9,"4 Entry Type",$C$4,"2 Item No.","@@"&amp;$F2662)</t>
  </si>
  <si>
    <t>=-NL("Sum","32 Item Ledger Entry","12 Quantity","5 Source no.",$C2663,"3 Posting Date",J$9,"4 Entry Type",$C$4,"2 Item No.","@@"&amp;$F2663)</t>
  </si>
  <si>
    <t>=-NL("Sum","32 Item Ledger Entry","12 Quantity","5 Source no.",$C2664,"3 Posting Date",J$9,"4 Entry Type",$C$4,"2 Item No.","@@"&amp;$F2664)</t>
  </si>
  <si>
    <t>=-NL("Sum","32 Item Ledger Entry","12 Quantity","5 Source no.",$C2665,"3 Posting Date",J$9,"4 Entry Type",$C$4,"2 Item No.","@@"&amp;$F2665)</t>
  </si>
  <si>
    <t>=-NL("Sum","32 Item Ledger Entry","12 Quantity","5 Source no.",$C2666,"3 Posting Date",J$9,"4 Entry Type",$C$4,"2 Item No.","@@"&amp;$F2666)</t>
  </si>
  <si>
    <t>=-NL("Sum","32 Item Ledger Entry","12 Quantity","5 Source no.",$C2667,"3 Posting Date",J$9,"4 Entry Type",$C$4,"2 Item No.","@@"&amp;$F2667)</t>
  </si>
  <si>
    <t>=-NL("Sum","32 Item Ledger Entry","12 Quantity","5 Source no.",$C2668,"3 Posting Date",J$9,"4 Entry Type",$C$4,"2 Item No.","@@"&amp;$F2668)</t>
  </si>
  <si>
    <t>=-NL("Sum","32 Item Ledger Entry","12 Quantity","5 Source no.",$C2669,"3 Posting Date",J$9,"4 Entry Type",$C$4,"2 Item No.","@@"&amp;$F2669)</t>
  </si>
  <si>
    <t>=-NL("Sum","32 Item Ledger Entry","12 Quantity","5 Source no.",$C2670,"3 Posting Date",J$9,"4 Entry Type",$C$4,"2 Item No.","@@"&amp;$F2670)</t>
  </si>
  <si>
    <t>=-NL("Sum","32 Item Ledger Entry","12 Quantity","5 Source no.",$C2671,"3 Posting Date",J$9,"4 Entry Type",$C$4,"2 Item No.","@@"&amp;$F2671)</t>
  </si>
  <si>
    <t>=-NL("Sum","32 Item Ledger Entry","12 Quantity","5 Source no.",$C2672,"3 Posting Date",J$9,"4 Entry Type",$C$4,"2 Item No.","@@"&amp;$F2672)</t>
  </si>
  <si>
    <t>=-NL("Sum","32 Item Ledger Entry","12 Quantity","5 Source no.",$C2673,"3 Posting Date",J$9,"4 Entry Type",$C$4,"2 Item No.","@@"&amp;$F2673)</t>
  </si>
  <si>
    <t>=-NL("Sum","32 Item Ledger Entry","12 Quantity","5 Source no.",$C2674,"3 Posting Date",J$9,"4 Entry Type",$C$4,"2 Item No.","@@"&amp;$F2674)</t>
  </si>
  <si>
    <t>=-NL("Sum","32 Item Ledger Entry","12 Quantity","5 Source no.",$C2675,"3 Posting Date",J$9,"4 Entry Type",$C$4,"2 Item No.","@@"&amp;$F2675)</t>
  </si>
  <si>
    <t>=-NL("Sum","32 Item Ledger Entry","12 Quantity","5 Source no.",$C2676,"3 Posting Date",J$9,"4 Entry Type",$C$4,"2 Item No.","@@"&amp;$F2676)</t>
  </si>
  <si>
    <t>=-NL("Sum","32 Item Ledger Entry","12 Quantity","5 Source no.",$C2677,"3 Posting Date",J$9,"4 Entry Type",$C$4,"2 Item No.","@@"&amp;$F2677)</t>
  </si>
  <si>
    <t>=-NL("Sum","32 Item Ledger Entry","12 Quantity","5 Source no.",$C2640,"3 Posting Date",O$9,"4 Entry Type",$C$4,"2 Item No.","@@"&amp;$F2640)</t>
  </si>
  <si>
    <t>=-NL("Sum","32 Item Ledger Entry","12 Quantity","5 Source no.",$C2641,"3 Posting Date",O$9,"4 Entry Type",$C$4,"2 Item No.","@@"&amp;$F2641)</t>
  </si>
  <si>
    <t>=-NL("Sum","32 Item Ledger Entry","12 Quantity","5 Source no.",$C2642,"3 Posting Date",O$9,"4 Entry Type",$C$4,"2 Item No.","@@"&amp;$F2642)</t>
  </si>
  <si>
    <t>=-NL("Sum","32 Item Ledger Entry","12 Quantity","5 Source no.",$C2643,"3 Posting Date",O$9,"4 Entry Type",$C$4,"2 Item No.","@@"&amp;$F2643)</t>
  </si>
  <si>
    <t>=-NL("Sum","32 Item Ledger Entry","12 Quantity","5 Source no.",$C2644,"3 Posting Date",O$9,"4 Entry Type",$C$4,"2 Item No.","@@"&amp;$F2644)</t>
  </si>
  <si>
    <t>=-NL("Sum","32 Item Ledger Entry","12 Quantity","5 Source no.",$C2645,"3 Posting Date",O$9,"4 Entry Type",$C$4,"2 Item No.","@@"&amp;$F2645)</t>
  </si>
  <si>
    <t>=-NL("Sum","32 Item Ledger Entry","12 Quantity","5 Source no.",$C2646,"3 Posting Date",O$9,"4 Entry Type",$C$4,"2 Item No.","@@"&amp;$F2646)</t>
  </si>
  <si>
    <t>=-NL("Sum","32 Item Ledger Entry","12 Quantity","5 Source no.",$C2647,"3 Posting Date",O$9,"4 Entry Type",$C$4,"2 Item No.","@@"&amp;$F2647)</t>
  </si>
  <si>
    <t>=-NL("Sum","32 Item Ledger Entry","12 Quantity","5 Source no.",$C2648,"3 Posting Date",O$9,"4 Entry Type",$C$4,"2 Item No.","@@"&amp;$F2648)</t>
  </si>
  <si>
    <t>=-NL("Sum","32 Item Ledger Entry","12 Quantity","5 Source no.",$C2649,"3 Posting Date",O$9,"4 Entry Type",$C$4,"2 Item No.","@@"&amp;$F2649)</t>
  </si>
  <si>
    <t>=-NL("Sum","32 Item Ledger Entry","12 Quantity","5 Source no.",$C2650,"3 Posting Date",O$9,"4 Entry Type",$C$4,"2 Item No.","@@"&amp;$F2650)</t>
  </si>
  <si>
    <t>=-NL("Sum","32 Item Ledger Entry","12 Quantity","5 Source no.",$C2651,"3 Posting Date",O$9,"4 Entry Type",$C$4,"2 Item No.","@@"&amp;$F2651)</t>
  </si>
  <si>
    <t>=-NL("Sum","32 Item Ledger Entry","12 Quantity","5 Source no.",$C2652,"3 Posting Date",O$9,"4 Entry Type",$C$4,"2 Item No.","@@"&amp;$F2652)</t>
  </si>
  <si>
    <t>=-NL("Sum","32 Item Ledger Entry","12 Quantity","5 Source no.",$C2653,"3 Posting Date",O$9,"4 Entry Type",$C$4,"2 Item No.","@@"&amp;$F2653)</t>
  </si>
  <si>
    <t>=-NL("Sum","32 Item Ledger Entry","12 Quantity","5 Source no.",$C2654,"3 Posting Date",O$9,"4 Entry Type",$C$4,"2 Item No.","@@"&amp;$F2654)</t>
  </si>
  <si>
    <t>=-NL("Sum","32 Item Ledger Entry","12 Quantity","5 Source no.",$C2655,"3 Posting Date",O$9,"4 Entry Type",$C$4,"2 Item No.","@@"&amp;$F2655)</t>
  </si>
  <si>
    <t>=-NL("Sum","32 Item Ledger Entry","12 Quantity","5 Source no.",$C2656,"3 Posting Date",O$9,"4 Entry Type",$C$4,"2 Item No.","@@"&amp;$F2656)</t>
  </si>
  <si>
    <t>=-NL("Sum","32 Item Ledger Entry","12 Quantity","5 Source no.",$C2657,"3 Posting Date",O$9,"4 Entry Type",$C$4,"2 Item No.","@@"&amp;$F2657)</t>
  </si>
  <si>
    <t>=-NL("Sum","32 Item Ledger Entry","12 Quantity","5 Source no.",$C2658,"3 Posting Date",O$9,"4 Entry Type",$C$4,"2 Item No.","@@"&amp;$F2658)</t>
  </si>
  <si>
    <t>=-NL("Sum","32 Item Ledger Entry","12 Quantity","5 Source no.",$C2659,"3 Posting Date",O$9,"4 Entry Type",$C$4,"2 Item No.","@@"&amp;$F2659)</t>
  </si>
  <si>
    <t>=-NL("Sum","32 Item Ledger Entry","12 Quantity","5 Source no.",$C2660,"3 Posting Date",O$9,"4 Entry Type",$C$4,"2 Item No.","@@"&amp;$F2660)</t>
  </si>
  <si>
    <t>=-NL("Sum","32 Item Ledger Entry","12 Quantity","5 Source no.",$C2661,"3 Posting Date",O$9,"4 Entry Type",$C$4,"2 Item No.","@@"&amp;$F2661)</t>
  </si>
  <si>
    <t>=-NL("Sum","32 Item Ledger Entry","12 Quantity","5 Source no.",$C2662,"3 Posting Date",O$9,"4 Entry Type",$C$4,"2 Item No.","@@"&amp;$F2662)</t>
  </si>
  <si>
    <t>=-NL("Sum","32 Item Ledger Entry","12 Quantity","5 Source no.",$C2663,"3 Posting Date",O$9,"4 Entry Type",$C$4,"2 Item No.","@@"&amp;$F2663)</t>
  </si>
  <si>
    <t>=-NL("Sum","32 Item Ledger Entry","12 Quantity","5 Source no.",$C2664,"3 Posting Date",O$9,"4 Entry Type",$C$4,"2 Item No.","@@"&amp;$F2664)</t>
  </si>
  <si>
    <t>=-NL("Sum","32 Item Ledger Entry","12 Quantity","5 Source no.",$C2665,"3 Posting Date",O$9,"4 Entry Type",$C$4,"2 Item No.","@@"&amp;$F2665)</t>
  </si>
  <si>
    <t>=-NL("Sum","32 Item Ledger Entry","12 Quantity","5 Source no.",$C2666,"3 Posting Date",O$9,"4 Entry Type",$C$4,"2 Item No.","@@"&amp;$F2666)</t>
  </si>
  <si>
    <t>=-NL("Sum","32 Item Ledger Entry","12 Quantity","5 Source no.",$C2667,"3 Posting Date",O$9,"4 Entry Type",$C$4,"2 Item No.","@@"&amp;$F2667)</t>
  </si>
  <si>
    <t>=-NL("Sum","32 Item Ledger Entry","12 Quantity","5 Source no.",$C2668,"3 Posting Date",O$9,"4 Entry Type",$C$4,"2 Item No.","@@"&amp;$F2668)</t>
  </si>
  <si>
    <t>=-NL("Sum","32 Item Ledger Entry","12 Quantity","5 Source no.",$C2669,"3 Posting Date",O$9,"4 Entry Type",$C$4,"2 Item No.","@@"&amp;$F2669)</t>
  </si>
  <si>
    <t>=-NL("Sum","32 Item Ledger Entry","12 Quantity","5 Source no.",$C2670,"3 Posting Date",O$9,"4 Entry Type",$C$4,"2 Item No.","@@"&amp;$F2670)</t>
  </si>
  <si>
    <t>=-NL("Sum","32 Item Ledger Entry","12 Quantity","5 Source no.",$C2671,"3 Posting Date",O$9,"4 Entry Type",$C$4,"2 Item No.","@@"&amp;$F2671)</t>
  </si>
  <si>
    <t>=-NL("Sum","32 Item Ledger Entry","12 Quantity","5 Source no.",$C2672,"3 Posting Date",O$9,"4 Entry Type",$C$4,"2 Item No.","@@"&amp;$F2672)</t>
  </si>
  <si>
    <t>=-NL("Sum","32 Item Ledger Entry","12 Quantity","5 Source no.",$C2673,"3 Posting Date",O$9,"4 Entry Type",$C$4,"2 Item No.","@@"&amp;$F2673)</t>
  </si>
  <si>
    <t>=-NL("Sum","32 Item Ledger Entry","12 Quantity","5 Source no.",$C2674,"3 Posting Date",O$9,"4 Entry Type",$C$4,"2 Item No.","@@"&amp;$F2674)</t>
  </si>
  <si>
    <t>=-NL("Sum","32 Item Ledger Entry","12 Quantity","5 Source no.",$C2675,"3 Posting Date",O$9,"4 Entry Type",$C$4,"2 Item No.","@@"&amp;$F2675)</t>
  </si>
  <si>
    <t>=-NL("Sum","32 Item Ledger Entry","12 Quantity","5 Source no.",$C2676,"3 Posting Date",O$9,"4 Entry Type",$C$4,"2 Item No.","@@"&amp;$F2676)</t>
  </si>
  <si>
    <t>=-NL("Sum","32 Item Ledger Entry","12 Quantity","5 Source no.",$C2677,"3 Posting Date",O$9,"4 Entry Type",$C$4,"2 Item No.","@@"&amp;$F2677)</t>
  </si>
  <si>
    <t>=-NL("Sum","32 Item Ledger Entry","12 Quantity","5 Source no.",$C2640,"3 Posting Date",U$9,"4 Entry Type",$C$4,"2 Item No.","@@"&amp;$F2640)</t>
  </si>
  <si>
    <t>=-NL("Sum","32 Item Ledger Entry","12 Quantity","5 Source no.",$C2641,"3 Posting Date",U$9,"4 Entry Type",$C$4,"2 Item No.","@@"&amp;$F2641)</t>
  </si>
  <si>
    <t>=-NL("Sum","32 Item Ledger Entry","12 Quantity","5 Source no.",$C2642,"3 Posting Date",U$9,"4 Entry Type",$C$4,"2 Item No.","@@"&amp;$F2642)</t>
  </si>
  <si>
    <t>=-NL("Sum","32 Item Ledger Entry","12 Quantity","5 Source no.",$C2643,"3 Posting Date",U$9,"4 Entry Type",$C$4,"2 Item No.","@@"&amp;$F2643)</t>
  </si>
  <si>
    <t>=-NL("Sum","32 Item Ledger Entry","12 Quantity","5 Source no.",$C2644,"3 Posting Date",U$9,"4 Entry Type",$C$4,"2 Item No.","@@"&amp;$F2644)</t>
  </si>
  <si>
    <t>=-NL("Sum","32 Item Ledger Entry","12 Quantity","5 Source no.",$C2645,"3 Posting Date",U$9,"4 Entry Type",$C$4,"2 Item No.","@@"&amp;$F2645)</t>
  </si>
  <si>
    <t>=-NL("Sum","32 Item Ledger Entry","12 Quantity","5 Source no.",$C2646,"3 Posting Date",U$9,"4 Entry Type",$C$4,"2 Item No.","@@"&amp;$F2646)</t>
  </si>
  <si>
    <t>=-NL("Sum","32 Item Ledger Entry","12 Quantity","5 Source no.",$C2647,"3 Posting Date",U$9,"4 Entry Type",$C$4,"2 Item No.","@@"&amp;$F2647)</t>
  </si>
  <si>
    <t>=-NL("Sum","32 Item Ledger Entry","12 Quantity","5 Source no.",$C2648,"3 Posting Date",U$9,"4 Entry Type",$C$4,"2 Item No.","@@"&amp;$F2648)</t>
  </si>
  <si>
    <t>=-NL("Sum","32 Item Ledger Entry","12 Quantity","5 Source no.",$C2649,"3 Posting Date",U$9,"4 Entry Type",$C$4,"2 Item No.","@@"&amp;$F2649)</t>
  </si>
  <si>
    <t>=-NL("Sum","32 Item Ledger Entry","12 Quantity","5 Source no.",$C2650,"3 Posting Date",U$9,"4 Entry Type",$C$4,"2 Item No.","@@"&amp;$F2650)</t>
  </si>
  <si>
    <t>=-NL("Sum","32 Item Ledger Entry","12 Quantity","5 Source no.",$C2651,"3 Posting Date",U$9,"4 Entry Type",$C$4,"2 Item No.","@@"&amp;$F2651)</t>
  </si>
  <si>
    <t>=-NL("Sum","32 Item Ledger Entry","12 Quantity","5 Source no.",$C2652,"3 Posting Date",U$9,"4 Entry Type",$C$4,"2 Item No.","@@"&amp;$F2652)</t>
  </si>
  <si>
    <t>=-NL("Sum","32 Item Ledger Entry","12 Quantity","5 Source no.",$C2653,"3 Posting Date",U$9,"4 Entry Type",$C$4,"2 Item No.","@@"&amp;$F2653)</t>
  </si>
  <si>
    <t>=-NL("Sum","32 Item Ledger Entry","12 Quantity","5 Source no.",$C2654,"3 Posting Date",U$9,"4 Entry Type",$C$4,"2 Item No.","@@"&amp;$F2654)</t>
  </si>
  <si>
    <t>=-NL("Sum","32 Item Ledger Entry","12 Quantity","5 Source no.",$C2655,"3 Posting Date",U$9,"4 Entry Type",$C$4,"2 Item No.","@@"&amp;$F2655)</t>
  </si>
  <si>
    <t>=-NL("Sum","32 Item Ledger Entry","12 Quantity","5 Source no.",$C2656,"3 Posting Date",U$9,"4 Entry Type",$C$4,"2 Item No.","@@"&amp;$F2656)</t>
  </si>
  <si>
    <t>=-NL("Sum","32 Item Ledger Entry","12 Quantity","5 Source no.",$C2657,"3 Posting Date",U$9,"4 Entry Type",$C$4,"2 Item No.","@@"&amp;$F2657)</t>
  </si>
  <si>
    <t>=-NL("Sum","32 Item Ledger Entry","12 Quantity","5 Source no.",$C2658,"3 Posting Date",U$9,"4 Entry Type",$C$4,"2 Item No.","@@"&amp;$F2658)</t>
  </si>
  <si>
    <t>=-NL("Sum","32 Item Ledger Entry","12 Quantity","5 Source no.",$C2659,"3 Posting Date",U$9,"4 Entry Type",$C$4,"2 Item No.","@@"&amp;$F2659)</t>
  </si>
  <si>
    <t>=-NL("Sum","32 Item Ledger Entry","12 Quantity","5 Source no.",$C2660,"3 Posting Date",U$9,"4 Entry Type",$C$4,"2 Item No.","@@"&amp;$F2660)</t>
  </si>
  <si>
    <t>=-NL("Sum","32 Item Ledger Entry","12 Quantity","5 Source no.",$C2661,"3 Posting Date",U$9,"4 Entry Type",$C$4,"2 Item No.","@@"&amp;$F2661)</t>
  </si>
  <si>
    <t>=-NL("Sum","32 Item Ledger Entry","12 Quantity","5 Source no.",$C2662,"3 Posting Date",U$9,"4 Entry Type",$C$4,"2 Item No.","@@"&amp;$F2662)</t>
  </si>
  <si>
    <t>=-NL("Sum","32 Item Ledger Entry","12 Quantity","5 Source no.",$C2663,"3 Posting Date",U$9,"4 Entry Type",$C$4,"2 Item No.","@@"&amp;$F2663)</t>
  </si>
  <si>
    <t>=-NL("Sum","32 Item Ledger Entry","12 Quantity","5 Source no.",$C2664,"3 Posting Date",U$9,"4 Entry Type",$C$4,"2 Item No.","@@"&amp;$F2664)</t>
  </si>
  <si>
    <t>=-NL("Sum","32 Item Ledger Entry","12 Quantity","5 Source no.",$C2665,"3 Posting Date",U$9,"4 Entry Type",$C$4,"2 Item No.","@@"&amp;$F2665)</t>
  </si>
  <si>
    <t>=-NL("Sum","32 Item Ledger Entry","12 Quantity","5 Source no.",$C2666,"3 Posting Date",U$9,"4 Entry Type",$C$4,"2 Item No.","@@"&amp;$F2666)</t>
  </si>
  <si>
    <t>=-NL("Sum","32 Item Ledger Entry","12 Quantity","5 Source no.",$C2667,"3 Posting Date",U$9,"4 Entry Type",$C$4,"2 Item No.","@@"&amp;$F2667)</t>
  </si>
  <si>
    <t>=-NL("Sum","32 Item Ledger Entry","12 Quantity","5 Source no.",$C2668,"3 Posting Date",U$9,"4 Entry Type",$C$4,"2 Item No.","@@"&amp;$F2668)</t>
  </si>
  <si>
    <t>=-NL("Sum","32 Item Ledger Entry","12 Quantity","5 Source no.",$C2669,"3 Posting Date",U$9,"4 Entry Type",$C$4,"2 Item No.","@@"&amp;$F2669)</t>
  </si>
  <si>
    <t>=-NL("Sum","32 Item Ledger Entry","12 Quantity","5 Source no.",$C2670,"3 Posting Date",U$9,"4 Entry Type",$C$4,"2 Item No.","@@"&amp;$F2670)</t>
  </si>
  <si>
    <t>=-NL("Sum","32 Item Ledger Entry","12 Quantity","5 Source no.",$C2671,"3 Posting Date",U$9,"4 Entry Type",$C$4,"2 Item No.","@@"&amp;$F2671)</t>
  </si>
  <si>
    <t>=-NL("Sum","32 Item Ledger Entry","12 Quantity","5 Source no.",$C2672,"3 Posting Date",U$9,"4 Entry Type",$C$4,"2 Item No.","@@"&amp;$F2672)</t>
  </si>
  <si>
    <t>=-NL("Sum","32 Item Ledger Entry","12 Quantity","5 Source no.",$C2673,"3 Posting Date",U$9,"4 Entry Type",$C$4,"2 Item No.","@@"&amp;$F2673)</t>
  </si>
  <si>
    <t>=-NL("Sum","32 Item Ledger Entry","12 Quantity","5 Source no.",$C2674,"3 Posting Date",U$9,"4 Entry Type",$C$4,"2 Item No.","@@"&amp;$F2674)</t>
  </si>
  <si>
    <t>=-NL("Sum","32 Item Ledger Entry","12 Quantity","5 Source no.",$C2675,"3 Posting Date",U$9,"4 Entry Type",$C$4,"2 Item No.","@@"&amp;$F2675)</t>
  </si>
  <si>
    <t>=-NL("Sum","32 Item Ledger Entry","12 Quantity","5 Source no.",$C2676,"3 Posting Date",U$9,"4 Entry Type",$C$4,"2 Item No.","@@"&amp;$F2676)</t>
  </si>
  <si>
    <t>=-NL("Sum","32 Item Ledger Entry","12 Quantity","5 Source no.",$C2677,"3 Posting Date",U$9,"4 Entry Type",$C$4,"2 Item No.","@@"&amp;$F2677)</t>
  </si>
  <si>
    <t>=-NL("Sum","32 Item Ledger Entry","12 Quantity","5 Source no.",$C2640,"3 Posting Date",Z$9,"4 Entry Type",$C$4,"2 Item No.","@@"&amp;$F2640)</t>
  </si>
  <si>
    <t>=-NL("Sum","32 Item Ledger Entry","12 Quantity","5 Source no.",$C2641,"3 Posting Date",Z$9,"4 Entry Type",$C$4,"2 Item No.","@@"&amp;$F2641)</t>
  </si>
  <si>
    <t>=-NL("Sum","32 Item Ledger Entry","12 Quantity","5 Source no.",$C2642,"3 Posting Date",Z$9,"4 Entry Type",$C$4,"2 Item No.","@@"&amp;$F2642)</t>
  </si>
  <si>
    <t>=-NL("Sum","32 Item Ledger Entry","12 Quantity","5 Source no.",$C2643,"3 Posting Date",Z$9,"4 Entry Type",$C$4,"2 Item No.","@@"&amp;$F2643)</t>
  </si>
  <si>
    <t>=-NL("Sum","32 Item Ledger Entry","12 Quantity","5 Source no.",$C2644,"3 Posting Date",Z$9,"4 Entry Type",$C$4,"2 Item No.","@@"&amp;$F2644)</t>
  </si>
  <si>
    <t>=-NL("Sum","32 Item Ledger Entry","12 Quantity","5 Source no.",$C2645,"3 Posting Date",Z$9,"4 Entry Type",$C$4,"2 Item No.","@@"&amp;$F2645)</t>
  </si>
  <si>
    <t>=-NL("Sum","32 Item Ledger Entry","12 Quantity","5 Source no.",$C2646,"3 Posting Date",Z$9,"4 Entry Type",$C$4,"2 Item No.","@@"&amp;$F2646)</t>
  </si>
  <si>
    <t>=-NL("Sum","32 Item Ledger Entry","12 Quantity","5 Source no.",$C2647,"3 Posting Date",Z$9,"4 Entry Type",$C$4,"2 Item No.","@@"&amp;$F2647)</t>
  </si>
  <si>
    <t>=-NL("Sum","32 Item Ledger Entry","12 Quantity","5 Source no.",$C2648,"3 Posting Date",Z$9,"4 Entry Type",$C$4,"2 Item No.","@@"&amp;$F2648)</t>
  </si>
  <si>
    <t>=-NL("Sum","32 Item Ledger Entry","12 Quantity","5 Source no.",$C2649,"3 Posting Date",Z$9,"4 Entry Type",$C$4,"2 Item No.","@@"&amp;$F2649)</t>
  </si>
  <si>
    <t>=-NL("Sum","32 Item Ledger Entry","12 Quantity","5 Source no.",$C2650,"3 Posting Date",Z$9,"4 Entry Type",$C$4,"2 Item No.","@@"&amp;$F2650)</t>
  </si>
  <si>
    <t>=-NL("Sum","32 Item Ledger Entry","12 Quantity","5 Source no.",$C2651,"3 Posting Date",Z$9,"4 Entry Type",$C$4,"2 Item No.","@@"&amp;$F2651)</t>
  </si>
  <si>
    <t>=-NL("Sum","32 Item Ledger Entry","12 Quantity","5 Source no.",$C2652,"3 Posting Date",Z$9,"4 Entry Type",$C$4,"2 Item No.","@@"&amp;$F2652)</t>
  </si>
  <si>
    <t>=-NL("Sum","32 Item Ledger Entry","12 Quantity","5 Source no.",$C2653,"3 Posting Date",Z$9,"4 Entry Type",$C$4,"2 Item No.","@@"&amp;$F2653)</t>
  </si>
  <si>
    <t>=-NL("Sum","32 Item Ledger Entry","12 Quantity","5 Source no.",$C2654,"3 Posting Date",Z$9,"4 Entry Type",$C$4,"2 Item No.","@@"&amp;$F2654)</t>
  </si>
  <si>
    <t>=-NL("Sum","32 Item Ledger Entry","12 Quantity","5 Source no.",$C2655,"3 Posting Date",Z$9,"4 Entry Type",$C$4,"2 Item No.","@@"&amp;$F2655)</t>
  </si>
  <si>
    <t>=-NL("Sum","32 Item Ledger Entry","12 Quantity","5 Source no.",$C2656,"3 Posting Date",Z$9,"4 Entry Type",$C$4,"2 Item No.","@@"&amp;$F2656)</t>
  </si>
  <si>
    <t>=-NL("Sum","32 Item Ledger Entry","12 Quantity","5 Source no.",$C2657,"3 Posting Date",Z$9,"4 Entry Type",$C$4,"2 Item No.","@@"&amp;$F2657)</t>
  </si>
  <si>
    <t>=-NL("Sum","32 Item Ledger Entry","12 Quantity","5 Source no.",$C2658,"3 Posting Date",Z$9,"4 Entry Type",$C$4,"2 Item No.","@@"&amp;$F2658)</t>
  </si>
  <si>
    <t>=-NL("Sum","32 Item Ledger Entry","12 Quantity","5 Source no.",$C2659,"3 Posting Date",Z$9,"4 Entry Type",$C$4,"2 Item No.","@@"&amp;$F2659)</t>
  </si>
  <si>
    <t>=-NL("Sum","32 Item Ledger Entry","12 Quantity","5 Source no.",$C2660,"3 Posting Date",Z$9,"4 Entry Type",$C$4,"2 Item No.","@@"&amp;$F2660)</t>
  </si>
  <si>
    <t>=-NL("Sum","32 Item Ledger Entry","12 Quantity","5 Source no.",$C2661,"3 Posting Date",Z$9,"4 Entry Type",$C$4,"2 Item No.","@@"&amp;$F2661)</t>
  </si>
  <si>
    <t>=-NL("Sum","32 Item Ledger Entry","12 Quantity","5 Source no.",$C2662,"3 Posting Date",Z$9,"4 Entry Type",$C$4,"2 Item No.","@@"&amp;$F2662)</t>
  </si>
  <si>
    <t>=-NL("Sum","32 Item Ledger Entry","12 Quantity","5 Source no.",$C2663,"3 Posting Date",Z$9,"4 Entry Type",$C$4,"2 Item No.","@@"&amp;$F2663)</t>
  </si>
  <si>
    <t>=-NL("Sum","32 Item Ledger Entry","12 Quantity","5 Source no.",$C2664,"3 Posting Date",Z$9,"4 Entry Type",$C$4,"2 Item No.","@@"&amp;$F2664)</t>
  </si>
  <si>
    <t>=-NL("Sum","32 Item Ledger Entry","12 Quantity","5 Source no.",$C2665,"3 Posting Date",Z$9,"4 Entry Type",$C$4,"2 Item No.","@@"&amp;$F2665)</t>
  </si>
  <si>
    <t>=-NL("Sum","32 Item Ledger Entry","12 Quantity","5 Source no.",$C2666,"3 Posting Date",Z$9,"4 Entry Type",$C$4,"2 Item No.","@@"&amp;$F2666)</t>
  </si>
  <si>
    <t>=-NL("Sum","32 Item Ledger Entry","12 Quantity","5 Source no.",$C2667,"3 Posting Date",Z$9,"4 Entry Type",$C$4,"2 Item No.","@@"&amp;$F2667)</t>
  </si>
  <si>
    <t>=-NL("Sum","32 Item Ledger Entry","12 Quantity","5 Source no.",$C2668,"3 Posting Date",Z$9,"4 Entry Type",$C$4,"2 Item No.","@@"&amp;$F2668)</t>
  </si>
  <si>
    <t>=-NL("Sum","32 Item Ledger Entry","12 Quantity","5 Source no.",$C2669,"3 Posting Date",Z$9,"4 Entry Type",$C$4,"2 Item No.","@@"&amp;$F2669)</t>
  </si>
  <si>
    <t>=-NL("Sum","32 Item Ledger Entry","12 Quantity","5 Source no.",$C2670,"3 Posting Date",Z$9,"4 Entry Type",$C$4,"2 Item No.","@@"&amp;$F2670)</t>
  </si>
  <si>
    <t>=-NL("Sum","32 Item Ledger Entry","12 Quantity","5 Source no.",$C2671,"3 Posting Date",Z$9,"4 Entry Type",$C$4,"2 Item No.","@@"&amp;$F2671)</t>
  </si>
  <si>
    <t>=-NL("Sum","32 Item Ledger Entry","12 Quantity","5 Source no.",$C2672,"3 Posting Date",Z$9,"4 Entry Type",$C$4,"2 Item No.","@@"&amp;$F2672)</t>
  </si>
  <si>
    <t>=-NL("Sum","32 Item Ledger Entry","12 Quantity","5 Source no.",$C2673,"3 Posting Date",Z$9,"4 Entry Type",$C$4,"2 Item No.","@@"&amp;$F2673)</t>
  </si>
  <si>
    <t>=-NL("Sum","32 Item Ledger Entry","12 Quantity","5 Source no.",$C2674,"3 Posting Date",Z$9,"4 Entry Type",$C$4,"2 Item No.","@@"&amp;$F2674)</t>
  </si>
  <si>
    <t>=-NL("Sum","32 Item Ledger Entry","12 Quantity","5 Source no.",$C2675,"3 Posting Date",Z$9,"4 Entry Type",$C$4,"2 Item No.","@@"&amp;$F2675)</t>
  </si>
  <si>
    <t>=-NL("Sum","32 Item Ledger Entry","12 Quantity","5 Source no.",$C2676,"3 Posting Date",Z$9,"4 Entry Type",$C$4,"2 Item No.","@@"&amp;$F2676)</t>
  </si>
  <si>
    <t>=-NL("Sum","32 Item Ledger Entry","12 Quantity","5 Source no.",$C2677,"3 Posting Date",Z$9,"4 Entry Type",$C$4,"2 Item No.","@@"&amp;$F2677)</t>
  </si>
  <si>
    <t>=NL(,"27 Item","3 Description","1 No.","@@"&amp;F2582)</t>
  </si>
  <si>
    <t>=NL(,"27 Item","3 Description","1 No.","@@"&amp;F2583)</t>
  </si>
  <si>
    <t>=NL(,"27 Item","3 Description","1 No.","@@"&amp;F2584)</t>
  </si>
  <si>
    <t>=NL(,"27 Item","3 Description","1 No.","@@"&amp;F2585)</t>
  </si>
  <si>
    <t>=NL(,"27 Item","3 Description","1 No.","@@"&amp;F2586)</t>
  </si>
  <si>
    <t>=NL(,"27 Item","3 Description","1 No.","@@"&amp;F2587)</t>
  </si>
  <si>
    <t>=NL(,"27 Item","3 Description","1 No.","@@"&amp;F2588)</t>
  </si>
  <si>
    <t>=NL(,"27 Item","3 Description","1 No.","@@"&amp;F2589)</t>
  </si>
  <si>
    <t>=NL(,"27 Item","3 Description","1 No.","@@"&amp;F2590)</t>
  </si>
  <si>
    <t>=NL(,"27 Item","3 Description","1 No.","@@"&amp;F2591)</t>
  </si>
  <si>
    <t>=NL(,"27 Item","3 Description","1 No.","@@"&amp;F2592)</t>
  </si>
  <si>
    <t>=NL(,"27 Item","3 Description","1 No.","@@"&amp;F2593)</t>
  </si>
  <si>
    <t>=NL(,"27 Item","3 Description","1 No.","@@"&amp;F2594)</t>
  </si>
  <si>
    <t>=NL(,"27 Item","3 Description","1 No.","@@"&amp;F2595)</t>
  </si>
  <si>
    <t>=NL(,"27 Item","3 Description","1 No.","@@"&amp;F2596)</t>
  </si>
  <si>
    <t>=NL(,"27 Item","3 Description","1 No.","@@"&amp;F2597)</t>
  </si>
  <si>
    <t>=NL(,"27 Item","3 Description","1 No.","@@"&amp;F2598)</t>
  </si>
  <si>
    <t>=NL(,"27 Item","3 Description","1 No.","@@"&amp;F2599)</t>
  </si>
  <si>
    <t>=NL(,"27 Item","3 Description","1 No.","@@"&amp;F2600)</t>
  </si>
  <si>
    <t>=NL(,"27 Item","3 Description","1 No.","@@"&amp;F2601)</t>
  </si>
  <si>
    <t>=NL(,"27 Item","3 Description","1 No.","@@"&amp;F2602)</t>
  </si>
  <si>
    <t>=NL(,"27 Item","3 Description","1 No.","@@"&amp;F2603)</t>
  </si>
  <si>
    <t>=NL(,"27 Item","3 Description","1 No.","@@"&amp;F2604)</t>
  </si>
  <si>
    <t>=NL(,"27 Item","3 Description","1 No.","@@"&amp;F2605)</t>
  </si>
  <si>
    <t>=NL(,"27 Item","3 Description","1 No.","@@"&amp;F2606)</t>
  </si>
  <si>
    <t>=NL(,"27 Item","3 Description","1 No.","@@"&amp;F2607)</t>
  </si>
  <si>
    <t>=NL(,"27 Item","3 Description","1 No.","@@"&amp;F2608)</t>
  </si>
  <si>
    <t>=NL(,"27 Item","3 Description","1 No.","@@"&amp;F2609)</t>
  </si>
  <si>
    <t>=NL(,"27 Item","3 Description","1 No.","@@"&amp;F2610)</t>
  </si>
  <si>
    <t>=NL(,"27 Item","3 Description","1 No.","@@"&amp;F2611)</t>
  </si>
  <si>
    <t>=NL(,"27 Item","3 Description","1 No.","@@"&amp;F2612)</t>
  </si>
  <si>
    <t>=NL(,"27 Item","3 Description","1 No.","@@"&amp;F2613)</t>
  </si>
  <si>
    <t>=NL(,"27 Item","3 Description","1 No.","@@"&amp;F2614)</t>
  </si>
  <si>
    <t>=NL(,"27 Item","3 Description","1 No.","@@"&amp;F2615)</t>
  </si>
  <si>
    <t>=NL(,"27 Item","3 Description","1 No.","@@"&amp;F2616)</t>
  </si>
  <si>
    <t>=NL(,"27 Item","3 Description","1 No.","@@"&amp;F2617)</t>
  </si>
  <si>
    <t>=NL(,"27 Item","3 Description","1 No.","@@"&amp;F2618)</t>
  </si>
  <si>
    <t>=NL(,"27 Item","3 Description","1 No.","@@"&amp;F2619)</t>
  </si>
  <si>
    <t>=NL(,"27 Item","3 Description","1 No.","@@"&amp;F2620)</t>
  </si>
  <si>
    <t>=NL(,"27 Item","3 Description","1 No.","@@"&amp;F2621)</t>
  </si>
  <si>
    <t>=NL(,"27 Item","3 Description","1 No.","@@"&amp;F2622)</t>
  </si>
  <si>
    <t>=NL(,"27 Item","3 Description","1 No.","@@"&amp;F2623)</t>
  </si>
  <si>
    <t>=NL(,"27 Item","3 Description","1 No.","@@"&amp;F2624)</t>
  </si>
  <si>
    <t>=NL(,"27 Item","3 Description","1 No.","@@"&amp;F2625)</t>
  </si>
  <si>
    <t>=NL(,"27 Item","3 Description","1 No.","@@"&amp;F2626)</t>
  </si>
  <si>
    <t>=NL(,"27 Item","3 Description","1 No.","@@"&amp;F2627)</t>
  </si>
  <si>
    <t>=NL(,"27 Item","3 Description","1 No.","@@"&amp;F2628)</t>
  </si>
  <si>
    <t>=NL(,"27 Item","3 Description","1 No.","@@"&amp;F2629)</t>
  </si>
  <si>
    <t>=NL(,"27 Item","3 Description","1 No.","@@"&amp;F2630)</t>
  </si>
  <si>
    <t>=NL(,"27 Item","3 Description","1 No.","@@"&amp;F2631)</t>
  </si>
  <si>
    <t>=NL(,"27 Item","3 Description","1 No.","@@"&amp;F2632)</t>
  </si>
  <si>
    <t>=NL(,"27 Item","3 Description","1 No.","@@"&amp;F2633)</t>
  </si>
  <si>
    <t>=NL(,"27 Item","3 Description","1 No.","@@"&amp;F2634)</t>
  </si>
  <si>
    <t>=-NL("Sum","32 Item Ledger Entry","12 Quantity","5 Source no.",$C2582,"3 Posting Date",J$9,"4 Entry Type",$C$4,"2 Item No.","@@"&amp;$F2582)</t>
  </si>
  <si>
    <t>=-NL("Sum","32 Item Ledger Entry","12 Quantity","5 Source no.",$C2583,"3 Posting Date",J$9,"4 Entry Type",$C$4,"2 Item No.","@@"&amp;$F2583)</t>
  </si>
  <si>
    <t>=-NL("Sum","32 Item Ledger Entry","12 Quantity","5 Source no.",$C2584,"3 Posting Date",J$9,"4 Entry Type",$C$4,"2 Item No.","@@"&amp;$F2584)</t>
  </si>
  <si>
    <t>=-NL("Sum","32 Item Ledger Entry","12 Quantity","5 Source no.",$C2585,"3 Posting Date",J$9,"4 Entry Type",$C$4,"2 Item No.","@@"&amp;$F2585)</t>
  </si>
  <si>
    <t>=-NL("Sum","32 Item Ledger Entry","12 Quantity","5 Source no.",$C2586,"3 Posting Date",J$9,"4 Entry Type",$C$4,"2 Item No.","@@"&amp;$F2586)</t>
  </si>
  <si>
    <t>=-NL("Sum","32 Item Ledger Entry","12 Quantity","5 Source no.",$C2587,"3 Posting Date",J$9,"4 Entry Type",$C$4,"2 Item No.","@@"&amp;$F2587)</t>
  </si>
  <si>
    <t>=-NL("Sum","32 Item Ledger Entry","12 Quantity","5 Source no.",$C2588,"3 Posting Date",J$9,"4 Entry Type",$C$4,"2 Item No.","@@"&amp;$F2588)</t>
  </si>
  <si>
    <t>=-NL("Sum","32 Item Ledger Entry","12 Quantity","5 Source no.",$C2589,"3 Posting Date",J$9,"4 Entry Type",$C$4,"2 Item No.","@@"&amp;$F2589)</t>
  </si>
  <si>
    <t>=-NL("Sum","32 Item Ledger Entry","12 Quantity","5 Source no.",$C2590,"3 Posting Date",J$9,"4 Entry Type",$C$4,"2 Item No.","@@"&amp;$F2590)</t>
  </si>
  <si>
    <t>=-NL("Sum","32 Item Ledger Entry","12 Quantity","5 Source no.",$C2591,"3 Posting Date",J$9,"4 Entry Type",$C$4,"2 Item No.","@@"&amp;$F2591)</t>
  </si>
  <si>
    <t>=-NL("Sum","32 Item Ledger Entry","12 Quantity","5 Source no.",$C2592,"3 Posting Date",J$9,"4 Entry Type",$C$4,"2 Item No.","@@"&amp;$F2592)</t>
  </si>
  <si>
    <t>=-NL("Sum","32 Item Ledger Entry","12 Quantity","5 Source no.",$C2593,"3 Posting Date",J$9,"4 Entry Type",$C$4,"2 Item No.","@@"&amp;$F2593)</t>
  </si>
  <si>
    <t>=-NL("Sum","32 Item Ledger Entry","12 Quantity","5 Source no.",$C2594,"3 Posting Date",J$9,"4 Entry Type",$C$4,"2 Item No.","@@"&amp;$F2594)</t>
  </si>
  <si>
    <t>=-NL("Sum","32 Item Ledger Entry","12 Quantity","5 Source no.",$C2595,"3 Posting Date",J$9,"4 Entry Type",$C$4,"2 Item No.","@@"&amp;$F2595)</t>
  </si>
  <si>
    <t>=-NL("Sum","32 Item Ledger Entry","12 Quantity","5 Source no.",$C2596,"3 Posting Date",J$9,"4 Entry Type",$C$4,"2 Item No.","@@"&amp;$F2596)</t>
  </si>
  <si>
    <t>=-NL("Sum","32 Item Ledger Entry","12 Quantity","5 Source no.",$C2597,"3 Posting Date",J$9,"4 Entry Type",$C$4,"2 Item No.","@@"&amp;$F2597)</t>
  </si>
  <si>
    <t>=-NL("Sum","32 Item Ledger Entry","12 Quantity","5 Source no.",$C2598,"3 Posting Date",J$9,"4 Entry Type",$C$4,"2 Item No.","@@"&amp;$F2598)</t>
  </si>
  <si>
    <t>=-NL("Sum","32 Item Ledger Entry","12 Quantity","5 Source no.",$C2599,"3 Posting Date",J$9,"4 Entry Type",$C$4,"2 Item No.","@@"&amp;$F2599)</t>
  </si>
  <si>
    <t>=-NL("Sum","32 Item Ledger Entry","12 Quantity","5 Source no.",$C2600,"3 Posting Date",J$9,"4 Entry Type",$C$4,"2 Item No.","@@"&amp;$F2600)</t>
  </si>
  <si>
    <t>=-NL("Sum","32 Item Ledger Entry","12 Quantity","5 Source no.",$C2601,"3 Posting Date",J$9,"4 Entry Type",$C$4,"2 Item No.","@@"&amp;$F2601)</t>
  </si>
  <si>
    <t>=-NL("Sum","32 Item Ledger Entry","12 Quantity","5 Source no.",$C2602,"3 Posting Date",J$9,"4 Entry Type",$C$4,"2 Item No.","@@"&amp;$F2602)</t>
  </si>
  <si>
    <t>=-NL("Sum","32 Item Ledger Entry","12 Quantity","5 Source no.",$C2603,"3 Posting Date",J$9,"4 Entry Type",$C$4,"2 Item No.","@@"&amp;$F2603)</t>
  </si>
  <si>
    <t>=-NL("Sum","32 Item Ledger Entry","12 Quantity","5 Source no.",$C2604,"3 Posting Date",J$9,"4 Entry Type",$C$4,"2 Item No.","@@"&amp;$F2604)</t>
  </si>
  <si>
    <t>=-NL("Sum","32 Item Ledger Entry","12 Quantity","5 Source no.",$C2605,"3 Posting Date",J$9,"4 Entry Type",$C$4,"2 Item No.","@@"&amp;$F2605)</t>
  </si>
  <si>
    <t>=-NL("Sum","32 Item Ledger Entry","12 Quantity","5 Source no.",$C2606,"3 Posting Date",J$9,"4 Entry Type",$C$4,"2 Item No.","@@"&amp;$F2606)</t>
  </si>
  <si>
    <t>=-NL("Sum","32 Item Ledger Entry","12 Quantity","5 Source no.",$C2607,"3 Posting Date",J$9,"4 Entry Type",$C$4,"2 Item No.","@@"&amp;$F2607)</t>
  </si>
  <si>
    <t>=-NL("Sum","32 Item Ledger Entry","12 Quantity","5 Source no.",$C2608,"3 Posting Date",J$9,"4 Entry Type",$C$4,"2 Item No.","@@"&amp;$F2608)</t>
  </si>
  <si>
    <t>=-NL("Sum","32 Item Ledger Entry","12 Quantity","5 Source no.",$C2609,"3 Posting Date",J$9,"4 Entry Type",$C$4,"2 Item No.","@@"&amp;$F2609)</t>
  </si>
  <si>
    <t>=-NL("Sum","32 Item Ledger Entry","12 Quantity","5 Source no.",$C2610,"3 Posting Date",J$9,"4 Entry Type",$C$4,"2 Item No.","@@"&amp;$F2610)</t>
  </si>
  <si>
    <t>=-NL("Sum","32 Item Ledger Entry","12 Quantity","5 Source no.",$C2611,"3 Posting Date",J$9,"4 Entry Type",$C$4,"2 Item No.","@@"&amp;$F2611)</t>
  </si>
  <si>
    <t>=-NL("Sum","32 Item Ledger Entry","12 Quantity","5 Source no.",$C2612,"3 Posting Date",J$9,"4 Entry Type",$C$4,"2 Item No.","@@"&amp;$F2612)</t>
  </si>
  <si>
    <t>=-NL("Sum","32 Item Ledger Entry","12 Quantity","5 Source no.",$C2613,"3 Posting Date",J$9,"4 Entry Type",$C$4,"2 Item No.","@@"&amp;$F2613)</t>
  </si>
  <si>
    <t>=-NL("Sum","32 Item Ledger Entry","12 Quantity","5 Source no.",$C2614,"3 Posting Date",J$9,"4 Entry Type",$C$4,"2 Item No.","@@"&amp;$F2614)</t>
  </si>
  <si>
    <t>=-NL("Sum","32 Item Ledger Entry","12 Quantity","5 Source no.",$C2615,"3 Posting Date",J$9,"4 Entry Type",$C$4,"2 Item No.","@@"&amp;$F2615)</t>
  </si>
  <si>
    <t>=-NL("Sum","32 Item Ledger Entry","12 Quantity","5 Source no.",$C2616,"3 Posting Date",J$9,"4 Entry Type",$C$4,"2 Item No.","@@"&amp;$F2616)</t>
  </si>
  <si>
    <t>=-NL("Sum","32 Item Ledger Entry","12 Quantity","5 Source no.",$C2617,"3 Posting Date",J$9,"4 Entry Type",$C$4,"2 Item No.","@@"&amp;$F2617)</t>
  </si>
  <si>
    <t>=-NL("Sum","32 Item Ledger Entry","12 Quantity","5 Source no.",$C2618,"3 Posting Date",J$9,"4 Entry Type",$C$4,"2 Item No.","@@"&amp;$F2618)</t>
  </si>
  <si>
    <t>=-NL("Sum","32 Item Ledger Entry","12 Quantity","5 Source no.",$C2619,"3 Posting Date",J$9,"4 Entry Type",$C$4,"2 Item No.","@@"&amp;$F2619)</t>
  </si>
  <si>
    <t>=-NL("Sum","32 Item Ledger Entry","12 Quantity","5 Source no.",$C2620,"3 Posting Date",J$9,"4 Entry Type",$C$4,"2 Item No.","@@"&amp;$F2620)</t>
  </si>
  <si>
    <t>=-NL("Sum","32 Item Ledger Entry","12 Quantity","5 Source no.",$C2621,"3 Posting Date",J$9,"4 Entry Type",$C$4,"2 Item No.","@@"&amp;$F2621)</t>
  </si>
  <si>
    <t>=-NL("Sum","32 Item Ledger Entry","12 Quantity","5 Source no.",$C2622,"3 Posting Date",J$9,"4 Entry Type",$C$4,"2 Item No.","@@"&amp;$F2622)</t>
  </si>
  <si>
    <t>=-NL("Sum","32 Item Ledger Entry","12 Quantity","5 Source no.",$C2623,"3 Posting Date",J$9,"4 Entry Type",$C$4,"2 Item No.","@@"&amp;$F2623)</t>
  </si>
  <si>
    <t>=-NL("Sum","32 Item Ledger Entry","12 Quantity","5 Source no.",$C2624,"3 Posting Date",J$9,"4 Entry Type",$C$4,"2 Item No.","@@"&amp;$F2624)</t>
  </si>
  <si>
    <t>=-NL("Sum","32 Item Ledger Entry","12 Quantity","5 Source no.",$C2625,"3 Posting Date",J$9,"4 Entry Type",$C$4,"2 Item No.","@@"&amp;$F2625)</t>
  </si>
  <si>
    <t>=-NL("Sum","32 Item Ledger Entry","12 Quantity","5 Source no.",$C2626,"3 Posting Date",J$9,"4 Entry Type",$C$4,"2 Item No.","@@"&amp;$F2626)</t>
  </si>
  <si>
    <t>=-NL("Sum","32 Item Ledger Entry","12 Quantity","5 Source no.",$C2627,"3 Posting Date",J$9,"4 Entry Type",$C$4,"2 Item No.","@@"&amp;$F2627)</t>
  </si>
  <si>
    <t>=-NL("Sum","32 Item Ledger Entry","12 Quantity","5 Source no.",$C2628,"3 Posting Date",J$9,"4 Entry Type",$C$4,"2 Item No.","@@"&amp;$F2628)</t>
  </si>
  <si>
    <t>=-NL("Sum","32 Item Ledger Entry","12 Quantity","5 Source no.",$C2629,"3 Posting Date",J$9,"4 Entry Type",$C$4,"2 Item No.","@@"&amp;$F2629)</t>
  </si>
  <si>
    <t>=-NL("Sum","32 Item Ledger Entry","12 Quantity","5 Source no.",$C2630,"3 Posting Date",J$9,"4 Entry Type",$C$4,"2 Item No.","@@"&amp;$F2630)</t>
  </si>
  <si>
    <t>=-NL("Sum","32 Item Ledger Entry","12 Quantity","5 Source no.",$C2631,"3 Posting Date",J$9,"4 Entry Type",$C$4,"2 Item No.","@@"&amp;$F2631)</t>
  </si>
  <si>
    <t>=-NL("Sum","32 Item Ledger Entry","12 Quantity","5 Source no.",$C2632,"3 Posting Date",J$9,"4 Entry Type",$C$4,"2 Item No.","@@"&amp;$F2632)</t>
  </si>
  <si>
    <t>=-NL("Sum","32 Item Ledger Entry","12 Quantity","5 Source no.",$C2633,"3 Posting Date",J$9,"4 Entry Type",$C$4,"2 Item No.","@@"&amp;$F2633)</t>
  </si>
  <si>
    <t>=-NL("Sum","32 Item Ledger Entry","12 Quantity","5 Source no.",$C2634,"3 Posting Date",J$9,"4 Entry Type",$C$4,"2 Item No.","@@"&amp;$F2634)</t>
  </si>
  <si>
    <t>=-NL("Sum","32 Item Ledger Entry","12 Quantity","5 Source no.",$C2582,"3 Posting Date",O$9,"4 Entry Type",$C$4,"2 Item No.","@@"&amp;$F2582)</t>
  </si>
  <si>
    <t>=-NL("Sum","32 Item Ledger Entry","12 Quantity","5 Source no.",$C2583,"3 Posting Date",O$9,"4 Entry Type",$C$4,"2 Item No.","@@"&amp;$F2583)</t>
  </si>
  <si>
    <t>=-NL("Sum","32 Item Ledger Entry","12 Quantity","5 Source no.",$C2584,"3 Posting Date",O$9,"4 Entry Type",$C$4,"2 Item No.","@@"&amp;$F2584)</t>
  </si>
  <si>
    <t>=-NL("Sum","32 Item Ledger Entry","12 Quantity","5 Source no.",$C2585,"3 Posting Date",O$9,"4 Entry Type",$C$4,"2 Item No.","@@"&amp;$F2585)</t>
  </si>
  <si>
    <t>=-NL("Sum","32 Item Ledger Entry","12 Quantity","5 Source no.",$C2586,"3 Posting Date",O$9,"4 Entry Type",$C$4,"2 Item No.","@@"&amp;$F2586)</t>
  </si>
  <si>
    <t>=-NL("Sum","32 Item Ledger Entry","12 Quantity","5 Source no.",$C2587,"3 Posting Date",O$9,"4 Entry Type",$C$4,"2 Item No.","@@"&amp;$F2587)</t>
  </si>
  <si>
    <t>=-NL("Sum","32 Item Ledger Entry","12 Quantity","5 Source no.",$C2588,"3 Posting Date",O$9,"4 Entry Type",$C$4,"2 Item No.","@@"&amp;$F2588)</t>
  </si>
  <si>
    <t>=-NL("Sum","32 Item Ledger Entry","12 Quantity","5 Source no.",$C2589,"3 Posting Date",O$9,"4 Entry Type",$C$4,"2 Item No.","@@"&amp;$F2589)</t>
  </si>
  <si>
    <t>=-NL("Sum","32 Item Ledger Entry","12 Quantity","5 Source no.",$C2590,"3 Posting Date",O$9,"4 Entry Type",$C$4,"2 Item No.","@@"&amp;$F2590)</t>
  </si>
  <si>
    <t>=-NL("Sum","32 Item Ledger Entry","12 Quantity","5 Source no.",$C2591,"3 Posting Date",O$9,"4 Entry Type",$C$4,"2 Item No.","@@"&amp;$F2591)</t>
  </si>
  <si>
    <t>=-NL("Sum","32 Item Ledger Entry","12 Quantity","5 Source no.",$C2592,"3 Posting Date",O$9,"4 Entry Type",$C$4,"2 Item No.","@@"&amp;$F2592)</t>
  </si>
  <si>
    <t>=-NL("Sum","32 Item Ledger Entry","12 Quantity","5 Source no.",$C2593,"3 Posting Date",O$9,"4 Entry Type",$C$4,"2 Item No.","@@"&amp;$F2593)</t>
  </si>
  <si>
    <t>=-NL("Sum","32 Item Ledger Entry","12 Quantity","5 Source no.",$C2594,"3 Posting Date",O$9,"4 Entry Type",$C$4,"2 Item No.","@@"&amp;$F2594)</t>
  </si>
  <si>
    <t>=-NL("Sum","32 Item Ledger Entry","12 Quantity","5 Source no.",$C2595,"3 Posting Date",O$9,"4 Entry Type",$C$4,"2 Item No.","@@"&amp;$F2595)</t>
  </si>
  <si>
    <t>=-NL("Sum","32 Item Ledger Entry","12 Quantity","5 Source no.",$C2596,"3 Posting Date",O$9,"4 Entry Type",$C$4,"2 Item No.","@@"&amp;$F2596)</t>
  </si>
  <si>
    <t>=-NL("Sum","32 Item Ledger Entry","12 Quantity","5 Source no.",$C2597,"3 Posting Date",O$9,"4 Entry Type",$C$4,"2 Item No.","@@"&amp;$F2597)</t>
  </si>
  <si>
    <t>=-NL("Sum","32 Item Ledger Entry","12 Quantity","5 Source no.",$C2598,"3 Posting Date",O$9,"4 Entry Type",$C$4,"2 Item No.","@@"&amp;$F2598)</t>
  </si>
  <si>
    <t>=-NL("Sum","32 Item Ledger Entry","12 Quantity","5 Source no.",$C2599,"3 Posting Date",O$9,"4 Entry Type",$C$4,"2 Item No.","@@"&amp;$F2599)</t>
  </si>
  <si>
    <t>=-NL("Sum","32 Item Ledger Entry","12 Quantity","5 Source no.",$C2600,"3 Posting Date",O$9,"4 Entry Type",$C$4,"2 Item No.","@@"&amp;$F2600)</t>
  </si>
  <si>
    <t>=-NL("Sum","32 Item Ledger Entry","12 Quantity","5 Source no.",$C2601,"3 Posting Date",O$9,"4 Entry Type",$C$4,"2 Item No.","@@"&amp;$F2601)</t>
  </si>
  <si>
    <t>=-NL("Sum","32 Item Ledger Entry","12 Quantity","5 Source no.",$C2602,"3 Posting Date",O$9,"4 Entry Type",$C$4,"2 Item No.","@@"&amp;$F2602)</t>
  </si>
  <si>
    <t>=-NL("Sum","32 Item Ledger Entry","12 Quantity","5 Source no.",$C2603,"3 Posting Date",O$9,"4 Entry Type",$C$4,"2 Item No.","@@"&amp;$F2603)</t>
  </si>
  <si>
    <t>=-NL("Sum","32 Item Ledger Entry","12 Quantity","5 Source no.",$C2604,"3 Posting Date",O$9,"4 Entry Type",$C$4,"2 Item No.","@@"&amp;$F2604)</t>
  </si>
  <si>
    <t>=-NL("Sum","32 Item Ledger Entry","12 Quantity","5 Source no.",$C2605,"3 Posting Date",O$9,"4 Entry Type",$C$4,"2 Item No.","@@"&amp;$F2605)</t>
  </si>
  <si>
    <t>=-NL("Sum","32 Item Ledger Entry","12 Quantity","5 Source no.",$C2606,"3 Posting Date",O$9,"4 Entry Type",$C$4,"2 Item No.","@@"&amp;$F2606)</t>
  </si>
  <si>
    <t>=-NL("Sum","32 Item Ledger Entry","12 Quantity","5 Source no.",$C2607,"3 Posting Date",O$9,"4 Entry Type",$C$4,"2 Item No.","@@"&amp;$F2607)</t>
  </si>
  <si>
    <t>=-NL("Sum","32 Item Ledger Entry","12 Quantity","5 Source no.",$C2608,"3 Posting Date",O$9,"4 Entry Type",$C$4,"2 Item No.","@@"&amp;$F2608)</t>
  </si>
  <si>
    <t>=-NL("Sum","32 Item Ledger Entry","12 Quantity","5 Source no.",$C2609,"3 Posting Date",O$9,"4 Entry Type",$C$4,"2 Item No.","@@"&amp;$F2609)</t>
  </si>
  <si>
    <t>=-NL("Sum","32 Item Ledger Entry","12 Quantity","5 Source no.",$C2610,"3 Posting Date",O$9,"4 Entry Type",$C$4,"2 Item No.","@@"&amp;$F2610)</t>
  </si>
  <si>
    <t>=-NL("Sum","32 Item Ledger Entry","12 Quantity","5 Source no.",$C2611,"3 Posting Date",O$9,"4 Entry Type",$C$4,"2 Item No.","@@"&amp;$F2611)</t>
  </si>
  <si>
    <t>=-NL("Sum","32 Item Ledger Entry","12 Quantity","5 Source no.",$C2612,"3 Posting Date",O$9,"4 Entry Type",$C$4,"2 Item No.","@@"&amp;$F2612)</t>
  </si>
  <si>
    <t>=-NL("Sum","32 Item Ledger Entry","12 Quantity","5 Source no.",$C2613,"3 Posting Date",O$9,"4 Entry Type",$C$4,"2 Item No.","@@"&amp;$F2613)</t>
  </si>
  <si>
    <t>=-NL("Sum","32 Item Ledger Entry","12 Quantity","5 Source no.",$C2614,"3 Posting Date",O$9,"4 Entry Type",$C$4,"2 Item No.","@@"&amp;$F2614)</t>
  </si>
  <si>
    <t>=-NL("Sum","32 Item Ledger Entry","12 Quantity","5 Source no.",$C2615,"3 Posting Date",O$9,"4 Entry Type",$C$4,"2 Item No.","@@"&amp;$F2615)</t>
  </si>
  <si>
    <t>=-NL("Sum","32 Item Ledger Entry","12 Quantity","5 Source no.",$C2616,"3 Posting Date",O$9,"4 Entry Type",$C$4,"2 Item No.","@@"&amp;$F2616)</t>
  </si>
  <si>
    <t>=-NL("Sum","32 Item Ledger Entry","12 Quantity","5 Source no.",$C2617,"3 Posting Date",O$9,"4 Entry Type",$C$4,"2 Item No.","@@"&amp;$F2617)</t>
  </si>
  <si>
    <t>=-NL("Sum","32 Item Ledger Entry","12 Quantity","5 Source no.",$C2618,"3 Posting Date",O$9,"4 Entry Type",$C$4,"2 Item No.","@@"&amp;$F2618)</t>
  </si>
  <si>
    <t>=-NL("Sum","32 Item Ledger Entry","12 Quantity","5 Source no.",$C2619,"3 Posting Date",O$9,"4 Entry Type",$C$4,"2 Item No.","@@"&amp;$F2619)</t>
  </si>
  <si>
    <t>=-NL("Sum","32 Item Ledger Entry","12 Quantity","5 Source no.",$C2620,"3 Posting Date",O$9,"4 Entry Type",$C$4,"2 Item No.","@@"&amp;$F2620)</t>
  </si>
  <si>
    <t>=-NL("Sum","32 Item Ledger Entry","12 Quantity","5 Source no.",$C2621,"3 Posting Date",O$9,"4 Entry Type",$C$4,"2 Item No.","@@"&amp;$F2621)</t>
  </si>
  <si>
    <t>=-NL("Sum","32 Item Ledger Entry","12 Quantity","5 Source no.",$C2622,"3 Posting Date",O$9,"4 Entry Type",$C$4,"2 Item No.","@@"&amp;$F2622)</t>
  </si>
  <si>
    <t>=-NL("Sum","32 Item Ledger Entry","12 Quantity","5 Source no.",$C2623,"3 Posting Date",O$9,"4 Entry Type",$C$4,"2 Item No.","@@"&amp;$F2623)</t>
  </si>
  <si>
    <t>=-NL("Sum","32 Item Ledger Entry","12 Quantity","5 Source no.",$C2624,"3 Posting Date",O$9,"4 Entry Type",$C$4,"2 Item No.","@@"&amp;$F2624)</t>
  </si>
  <si>
    <t>=-NL("Sum","32 Item Ledger Entry","12 Quantity","5 Source no.",$C2625,"3 Posting Date",O$9,"4 Entry Type",$C$4,"2 Item No.","@@"&amp;$F2625)</t>
  </si>
  <si>
    <t>=-NL("Sum","32 Item Ledger Entry","12 Quantity","5 Source no.",$C2626,"3 Posting Date",O$9,"4 Entry Type",$C$4,"2 Item No.","@@"&amp;$F2626)</t>
  </si>
  <si>
    <t>=-NL("Sum","32 Item Ledger Entry","12 Quantity","5 Source no.",$C2627,"3 Posting Date",O$9,"4 Entry Type",$C$4,"2 Item No.","@@"&amp;$F2627)</t>
  </si>
  <si>
    <t>=-NL("Sum","32 Item Ledger Entry","12 Quantity","5 Source no.",$C2628,"3 Posting Date",O$9,"4 Entry Type",$C$4,"2 Item No.","@@"&amp;$F2628)</t>
  </si>
  <si>
    <t>=-NL("Sum","32 Item Ledger Entry","12 Quantity","5 Source no.",$C2629,"3 Posting Date",O$9,"4 Entry Type",$C$4,"2 Item No.","@@"&amp;$F2629)</t>
  </si>
  <si>
    <t>=-NL("Sum","32 Item Ledger Entry","12 Quantity","5 Source no.",$C2630,"3 Posting Date",O$9,"4 Entry Type",$C$4,"2 Item No.","@@"&amp;$F2630)</t>
  </si>
  <si>
    <t>=-NL("Sum","32 Item Ledger Entry","12 Quantity","5 Source no.",$C2631,"3 Posting Date",O$9,"4 Entry Type",$C$4,"2 Item No.","@@"&amp;$F2631)</t>
  </si>
  <si>
    <t>=-NL("Sum","32 Item Ledger Entry","12 Quantity","5 Source no.",$C2632,"3 Posting Date",O$9,"4 Entry Type",$C$4,"2 Item No.","@@"&amp;$F2632)</t>
  </si>
  <si>
    <t>=-NL("Sum","32 Item Ledger Entry","12 Quantity","5 Source no.",$C2633,"3 Posting Date",O$9,"4 Entry Type",$C$4,"2 Item No.","@@"&amp;$F2633)</t>
  </si>
  <si>
    <t>=-NL("Sum","32 Item Ledger Entry","12 Quantity","5 Source no.",$C2634,"3 Posting Date",O$9,"4 Entry Type",$C$4,"2 Item No.","@@"&amp;$F2634)</t>
  </si>
  <si>
    <t>=-NL("Sum","32 Item Ledger Entry","12 Quantity","5 Source no.",$C2582,"3 Posting Date",U$9,"4 Entry Type",$C$4,"2 Item No.","@@"&amp;$F2582)</t>
  </si>
  <si>
    <t>=-NL("Sum","32 Item Ledger Entry","12 Quantity","5 Source no.",$C2583,"3 Posting Date",U$9,"4 Entry Type",$C$4,"2 Item No.","@@"&amp;$F2583)</t>
  </si>
  <si>
    <t>=-NL("Sum","32 Item Ledger Entry","12 Quantity","5 Source no.",$C2584,"3 Posting Date",U$9,"4 Entry Type",$C$4,"2 Item No.","@@"&amp;$F2584)</t>
  </si>
  <si>
    <t>=-NL("Sum","32 Item Ledger Entry","12 Quantity","5 Source no.",$C2585,"3 Posting Date",U$9,"4 Entry Type",$C$4,"2 Item No.","@@"&amp;$F2585)</t>
  </si>
  <si>
    <t>=-NL("Sum","32 Item Ledger Entry","12 Quantity","5 Source no.",$C2586,"3 Posting Date",U$9,"4 Entry Type",$C$4,"2 Item No.","@@"&amp;$F2586)</t>
  </si>
  <si>
    <t>=-NL("Sum","32 Item Ledger Entry","12 Quantity","5 Source no.",$C2587,"3 Posting Date",U$9,"4 Entry Type",$C$4,"2 Item No.","@@"&amp;$F2587)</t>
  </si>
  <si>
    <t>=-NL("Sum","32 Item Ledger Entry","12 Quantity","5 Source no.",$C2588,"3 Posting Date",U$9,"4 Entry Type",$C$4,"2 Item No.","@@"&amp;$F2588)</t>
  </si>
  <si>
    <t>=-NL("Sum","32 Item Ledger Entry","12 Quantity","5 Source no.",$C2589,"3 Posting Date",U$9,"4 Entry Type",$C$4,"2 Item No.","@@"&amp;$F2589)</t>
  </si>
  <si>
    <t>=-NL("Sum","32 Item Ledger Entry","12 Quantity","5 Source no.",$C2590,"3 Posting Date",U$9,"4 Entry Type",$C$4,"2 Item No.","@@"&amp;$F2590)</t>
  </si>
  <si>
    <t>=-NL("Sum","32 Item Ledger Entry","12 Quantity","5 Source no.",$C2591,"3 Posting Date",U$9,"4 Entry Type",$C$4,"2 Item No.","@@"&amp;$F2591)</t>
  </si>
  <si>
    <t>=-NL("Sum","32 Item Ledger Entry","12 Quantity","5 Source no.",$C2592,"3 Posting Date",U$9,"4 Entry Type",$C$4,"2 Item No.","@@"&amp;$F2592)</t>
  </si>
  <si>
    <t>=-NL("Sum","32 Item Ledger Entry","12 Quantity","5 Source no.",$C2593,"3 Posting Date",U$9,"4 Entry Type",$C$4,"2 Item No.","@@"&amp;$F2593)</t>
  </si>
  <si>
    <t>=-NL("Sum","32 Item Ledger Entry","12 Quantity","5 Source no.",$C2594,"3 Posting Date",U$9,"4 Entry Type",$C$4,"2 Item No.","@@"&amp;$F2594)</t>
  </si>
  <si>
    <t>=-NL("Sum","32 Item Ledger Entry","12 Quantity","5 Source no.",$C2595,"3 Posting Date",U$9,"4 Entry Type",$C$4,"2 Item No.","@@"&amp;$F2595)</t>
  </si>
  <si>
    <t>=-NL("Sum","32 Item Ledger Entry","12 Quantity","5 Source no.",$C2596,"3 Posting Date",U$9,"4 Entry Type",$C$4,"2 Item No.","@@"&amp;$F2596)</t>
  </si>
  <si>
    <t>=-NL("Sum","32 Item Ledger Entry","12 Quantity","5 Source no.",$C2597,"3 Posting Date",U$9,"4 Entry Type",$C$4,"2 Item No.","@@"&amp;$F2597)</t>
  </si>
  <si>
    <t>=-NL("Sum","32 Item Ledger Entry","12 Quantity","5 Source no.",$C2598,"3 Posting Date",U$9,"4 Entry Type",$C$4,"2 Item No.","@@"&amp;$F2598)</t>
  </si>
  <si>
    <t>=-NL("Sum","32 Item Ledger Entry","12 Quantity","5 Source no.",$C2599,"3 Posting Date",U$9,"4 Entry Type",$C$4,"2 Item No.","@@"&amp;$F2599)</t>
  </si>
  <si>
    <t>=-NL("Sum","32 Item Ledger Entry","12 Quantity","5 Source no.",$C2600,"3 Posting Date",U$9,"4 Entry Type",$C$4,"2 Item No.","@@"&amp;$F2600)</t>
  </si>
  <si>
    <t>=-NL("Sum","32 Item Ledger Entry","12 Quantity","5 Source no.",$C2601,"3 Posting Date",U$9,"4 Entry Type",$C$4,"2 Item No.","@@"&amp;$F2601)</t>
  </si>
  <si>
    <t>=-NL("Sum","32 Item Ledger Entry","12 Quantity","5 Source no.",$C2602,"3 Posting Date",U$9,"4 Entry Type",$C$4,"2 Item No.","@@"&amp;$F2602)</t>
  </si>
  <si>
    <t>=-NL("Sum","32 Item Ledger Entry","12 Quantity","5 Source no.",$C2603,"3 Posting Date",U$9,"4 Entry Type",$C$4,"2 Item No.","@@"&amp;$F2603)</t>
  </si>
  <si>
    <t>=-NL("Sum","32 Item Ledger Entry","12 Quantity","5 Source no.",$C2604,"3 Posting Date",U$9,"4 Entry Type",$C$4,"2 Item No.","@@"&amp;$F2604)</t>
  </si>
  <si>
    <t>=-NL("Sum","32 Item Ledger Entry","12 Quantity","5 Source no.",$C2605,"3 Posting Date",U$9,"4 Entry Type",$C$4,"2 Item No.","@@"&amp;$F2605)</t>
  </si>
  <si>
    <t>=-NL("Sum","32 Item Ledger Entry","12 Quantity","5 Source no.",$C2606,"3 Posting Date",U$9,"4 Entry Type",$C$4,"2 Item No.","@@"&amp;$F2606)</t>
  </si>
  <si>
    <t>=-NL("Sum","32 Item Ledger Entry","12 Quantity","5 Source no.",$C2607,"3 Posting Date",U$9,"4 Entry Type",$C$4,"2 Item No.","@@"&amp;$F2607)</t>
  </si>
  <si>
    <t>=-NL("Sum","32 Item Ledger Entry","12 Quantity","5 Source no.",$C2608,"3 Posting Date",U$9,"4 Entry Type",$C$4,"2 Item No.","@@"&amp;$F2608)</t>
  </si>
  <si>
    <t>=-NL("Sum","32 Item Ledger Entry","12 Quantity","5 Source no.",$C2609,"3 Posting Date",U$9,"4 Entry Type",$C$4,"2 Item No.","@@"&amp;$F2609)</t>
  </si>
  <si>
    <t>=-NL("Sum","32 Item Ledger Entry","12 Quantity","5 Source no.",$C2610,"3 Posting Date",U$9,"4 Entry Type",$C$4,"2 Item No.","@@"&amp;$F2610)</t>
  </si>
  <si>
    <t>=-NL("Sum","32 Item Ledger Entry","12 Quantity","5 Source no.",$C2611,"3 Posting Date",U$9,"4 Entry Type",$C$4,"2 Item No.","@@"&amp;$F2611)</t>
  </si>
  <si>
    <t>=-NL("Sum","32 Item Ledger Entry","12 Quantity","5 Source no.",$C2612,"3 Posting Date",U$9,"4 Entry Type",$C$4,"2 Item No.","@@"&amp;$F2612)</t>
  </si>
  <si>
    <t>=-NL("Sum","32 Item Ledger Entry","12 Quantity","5 Source no.",$C2613,"3 Posting Date",U$9,"4 Entry Type",$C$4,"2 Item No.","@@"&amp;$F2613)</t>
  </si>
  <si>
    <t>=-NL("Sum","32 Item Ledger Entry","12 Quantity","5 Source no.",$C2614,"3 Posting Date",U$9,"4 Entry Type",$C$4,"2 Item No.","@@"&amp;$F2614)</t>
  </si>
  <si>
    <t>=-NL("Sum","32 Item Ledger Entry","12 Quantity","5 Source no.",$C2615,"3 Posting Date",U$9,"4 Entry Type",$C$4,"2 Item No.","@@"&amp;$F2615)</t>
  </si>
  <si>
    <t>=-NL("Sum","32 Item Ledger Entry","12 Quantity","5 Source no.",$C2616,"3 Posting Date",U$9,"4 Entry Type",$C$4,"2 Item No.","@@"&amp;$F2616)</t>
  </si>
  <si>
    <t>=-NL("Sum","32 Item Ledger Entry","12 Quantity","5 Source no.",$C2617,"3 Posting Date",U$9,"4 Entry Type",$C$4,"2 Item No.","@@"&amp;$F2617)</t>
  </si>
  <si>
    <t>=-NL("Sum","32 Item Ledger Entry","12 Quantity","5 Source no.",$C2618,"3 Posting Date",U$9,"4 Entry Type",$C$4,"2 Item No.","@@"&amp;$F2618)</t>
  </si>
  <si>
    <t>=-NL("Sum","32 Item Ledger Entry","12 Quantity","5 Source no.",$C2619,"3 Posting Date",U$9,"4 Entry Type",$C$4,"2 Item No.","@@"&amp;$F2619)</t>
  </si>
  <si>
    <t>=-NL("Sum","32 Item Ledger Entry","12 Quantity","5 Source no.",$C2620,"3 Posting Date",U$9,"4 Entry Type",$C$4,"2 Item No.","@@"&amp;$F2620)</t>
  </si>
  <si>
    <t>=-NL("Sum","32 Item Ledger Entry","12 Quantity","5 Source no.",$C2621,"3 Posting Date",U$9,"4 Entry Type",$C$4,"2 Item No.","@@"&amp;$F2621)</t>
  </si>
  <si>
    <t>=-NL("Sum","32 Item Ledger Entry","12 Quantity","5 Source no.",$C2622,"3 Posting Date",U$9,"4 Entry Type",$C$4,"2 Item No.","@@"&amp;$F2622)</t>
  </si>
  <si>
    <t>=-NL("Sum","32 Item Ledger Entry","12 Quantity","5 Source no.",$C2623,"3 Posting Date",U$9,"4 Entry Type",$C$4,"2 Item No.","@@"&amp;$F2623)</t>
  </si>
  <si>
    <t>=-NL("Sum","32 Item Ledger Entry","12 Quantity","5 Source no.",$C2624,"3 Posting Date",U$9,"4 Entry Type",$C$4,"2 Item No.","@@"&amp;$F2624)</t>
  </si>
  <si>
    <t>=-NL("Sum","32 Item Ledger Entry","12 Quantity","5 Source no.",$C2625,"3 Posting Date",U$9,"4 Entry Type",$C$4,"2 Item No.","@@"&amp;$F2625)</t>
  </si>
  <si>
    <t>=-NL("Sum","32 Item Ledger Entry","12 Quantity","5 Source no.",$C2626,"3 Posting Date",U$9,"4 Entry Type",$C$4,"2 Item No.","@@"&amp;$F2626)</t>
  </si>
  <si>
    <t>=-NL("Sum","32 Item Ledger Entry","12 Quantity","5 Source no.",$C2627,"3 Posting Date",U$9,"4 Entry Type",$C$4,"2 Item No.","@@"&amp;$F2627)</t>
  </si>
  <si>
    <t>=-NL("Sum","32 Item Ledger Entry","12 Quantity","5 Source no.",$C2628,"3 Posting Date",U$9,"4 Entry Type",$C$4,"2 Item No.","@@"&amp;$F2628)</t>
  </si>
  <si>
    <t>=-NL("Sum","32 Item Ledger Entry","12 Quantity","5 Source no.",$C2629,"3 Posting Date",U$9,"4 Entry Type",$C$4,"2 Item No.","@@"&amp;$F2629)</t>
  </si>
  <si>
    <t>=-NL("Sum","32 Item Ledger Entry","12 Quantity","5 Source no.",$C2630,"3 Posting Date",U$9,"4 Entry Type",$C$4,"2 Item No.","@@"&amp;$F2630)</t>
  </si>
  <si>
    <t>=-NL("Sum","32 Item Ledger Entry","12 Quantity","5 Source no.",$C2631,"3 Posting Date",U$9,"4 Entry Type",$C$4,"2 Item No.","@@"&amp;$F2631)</t>
  </si>
  <si>
    <t>=-NL("Sum","32 Item Ledger Entry","12 Quantity","5 Source no.",$C2632,"3 Posting Date",U$9,"4 Entry Type",$C$4,"2 Item No.","@@"&amp;$F2632)</t>
  </si>
  <si>
    <t>=-NL("Sum","32 Item Ledger Entry","12 Quantity","5 Source no.",$C2633,"3 Posting Date",U$9,"4 Entry Type",$C$4,"2 Item No.","@@"&amp;$F2633)</t>
  </si>
  <si>
    <t>=-NL("Sum","32 Item Ledger Entry","12 Quantity","5 Source no.",$C2634,"3 Posting Date",U$9,"4 Entry Type",$C$4,"2 Item No.","@@"&amp;$F2634)</t>
  </si>
  <si>
    <t>=-NL("Sum","32 Item Ledger Entry","12 Quantity","5 Source no.",$C2582,"3 Posting Date",Z$9,"4 Entry Type",$C$4,"2 Item No.","@@"&amp;$F2582)</t>
  </si>
  <si>
    <t>=-NL("Sum","32 Item Ledger Entry","12 Quantity","5 Source no.",$C2583,"3 Posting Date",Z$9,"4 Entry Type",$C$4,"2 Item No.","@@"&amp;$F2583)</t>
  </si>
  <si>
    <t>=-NL("Sum","32 Item Ledger Entry","12 Quantity","5 Source no.",$C2584,"3 Posting Date",Z$9,"4 Entry Type",$C$4,"2 Item No.","@@"&amp;$F2584)</t>
  </si>
  <si>
    <t>=-NL("Sum","32 Item Ledger Entry","12 Quantity","5 Source no.",$C2585,"3 Posting Date",Z$9,"4 Entry Type",$C$4,"2 Item No.","@@"&amp;$F2585)</t>
  </si>
  <si>
    <t>=-NL("Sum","32 Item Ledger Entry","12 Quantity","5 Source no.",$C2586,"3 Posting Date",Z$9,"4 Entry Type",$C$4,"2 Item No.","@@"&amp;$F2586)</t>
  </si>
  <si>
    <t>=-NL("Sum","32 Item Ledger Entry","12 Quantity","5 Source no.",$C2587,"3 Posting Date",Z$9,"4 Entry Type",$C$4,"2 Item No.","@@"&amp;$F2587)</t>
  </si>
  <si>
    <t>=-NL("Sum","32 Item Ledger Entry","12 Quantity","5 Source no.",$C2588,"3 Posting Date",Z$9,"4 Entry Type",$C$4,"2 Item No.","@@"&amp;$F2588)</t>
  </si>
  <si>
    <t>=-NL("Sum","32 Item Ledger Entry","12 Quantity","5 Source no.",$C2589,"3 Posting Date",Z$9,"4 Entry Type",$C$4,"2 Item No.","@@"&amp;$F2589)</t>
  </si>
  <si>
    <t>=-NL("Sum","32 Item Ledger Entry","12 Quantity","5 Source no.",$C2590,"3 Posting Date",Z$9,"4 Entry Type",$C$4,"2 Item No.","@@"&amp;$F2590)</t>
  </si>
  <si>
    <t>=-NL("Sum","32 Item Ledger Entry","12 Quantity","5 Source no.",$C2591,"3 Posting Date",Z$9,"4 Entry Type",$C$4,"2 Item No.","@@"&amp;$F2591)</t>
  </si>
  <si>
    <t>=-NL("Sum","32 Item Ledger Entry","12 Quantity","5 Source no.",$C2592,"3 Posting Date",Z$9,"4 Entry Type",$C$4,"2 Item No.","@@"&amp;$F2592)</t>
  </si>
  <si>
    <t>=-NL("Sum","32 Item Ledger Entry","12 Quantity","5 Source no.",$C2593,"3 Posting Date",Z$9,"4 Entry Type",$C$4,"2 Item No.","@@"&amp;$F2593)</t>
  </si>
  <si>
    <t>=-NL("Sum","32 Item Ledger Entry","12 Quantity","5 Source no.",$C2594,"3 Posting Date",Z$9,"4 Entry Type",$C$4,"2 Item No.","@@"&amp;$F2594)</t>
  </si>
  <si>
    <t>=-NL("Sum","32 Item Ledger Entry","12 Quantity","5 Source no.",$C2595,"3 Posting Date",Z$9,"4 Entry Type",$C$4,"2 Item No.","@@"&amp;$F2595)</t>
  </si>
  <si>
    <t>=-NL("Sum","32 Item Ledger Entry","12 Quantity","5 Source no.",$C2596,"3 Posting Date",Z$9,"4 Entry Type",$C$4,"2 Item No.","@@"&amp;$F2596)</t>
  </si>
  <si>
    <t>=-NL("Sum","32 Item Ledger Entry","12 Quantity","5 Source no.",$C2597,"3 Posting Date",Z$9,"4 Entry Type",$C$4,"2 Item No.","@@"&amp;$F2597)</t>
  </si>
  <si>
    <t>=-NL("Sum","32 Item Ledger Entry","12 Quantity","5 Source no.",$C2598,"3 Posting Date",Z$9,"4 Entry Type",$C$4,"2 Item No.","@@"&amp;$F2598)</t>
  </si>
  <si>
    <t>=-NL("Sum","32 Item Ledger Entry","12 Quantity","5 Source no.",$C2599,"3 Posting Date",Z$9,"4 Entry Type",$C$4,"2 Item No.","@@"&amp;$F2599)</t>
  </si>
  <si>
    <t>=-NL("Sum","32 Item Ledger Entry","12 Quantity","5 Source no.",$C2600,"3 Posting Date",Z$9,"4 Entry Type",$C$4,"2 Item No.","@@"&amp;$F2600)</t>
  </si>
  <si>
    <t>=-NL("Sum","32 Item Ledger Entry","12 Quantity","5 Source no.",$C2601,"3 Posting Date",Z$9,"4 Entry Type",$C$4,"2 Item No.","@@"&amp;$F2601)</t>
  </si>
  <si>
    <t>=-NL("Sum","32 Item Ledger Entry","12 Quantity","5 Source no.",$C2602,"3 Posting Date",Z$9,"4 Entry Type",$C$4,"2 Item No.","@@"&amp;$F2602)</t>
  </si>
  <si>
    <t>=-NL("Sum","32 Item Ledger Entry","12 Quantity","5 Source no.",$C2603,"3 Posting Date",Z$9,"4 Entry Type",$C$4,"2 Item No.","@@"&amp;$F2603)</t>
  </si>
  <si>
    <t>=-NL("Sum","32 Item Ledger Entry","12 Quantity","5 Source no.",$C2604,"3 Posting Date",Z$9,"4 Entry Type",$C$4,"2 Item No.","@@"&amp;$F2604)</t>
  </si>
  <si>
    <t>=-NL("Sum","32 Item Ledger Entry","12 Quantity","5 Source no.",$C2605,"3 Posting Date",Z$9,"4 Entry Type",$C$4,"2 Item No.","@@"&amp;$F2605)</t>
  </si>
  <si>
    <t>=-NL("Sum","32 Item Ledger Entry","12 Quantity","5 Source no.",$C2606,"3 Posting Date",Z$9,"4 Entry Type",$C$4,"2 Item No.","@@"&amp;$F2606)</t>
  </si>
  <si>
    <t>=-NL("Sum","32 Item Ledger Entry","12 Quantity","5 Source no.",$C2607,"3 Posting Date",Z$9,"4 Entry Type",$C$4,"2 Item No.","@@"&amp;$F2607)</t>
  </si>
  <si>
    <t>=-NL("Sum","32 Item Ledger Entry","12 Quantity","5 Source no.",$C2608,"3 Posting Date",Z$9,"4 Entry Type",$C$4,"2 Item No.","@@"&amp;$F2608)</t>
  </si>
  <si>
    <t>=-NL("Sum","32 Item Ledger Entry","12 Quantity","5 Source no.",$C2609,"3 Posting Date",Z$9,"4 Entry Type",$C$4,"2 Item No.","@@"&amp;$F2609)</t>
  </si>
  <si>
    <t>=-NL("Sum","32 Item Ledger Entry","12 Quantity","5 Source no.",$C2610,"3 Posting Date",Z$9,"4 Entry Type",$C$4,"2 Item No.","@@"&amp;$F2610)</t>
  </si>
  <si>
    <t>=-NL("Sum","32 Item Ledger Entry","12 Quantity","5 Source no.",$C2611,"3 Posting Date",Z$9,"4 Entry Type",$C$4,"2 Item No.","@@"&amp;$F2611)</t>
  </si>
  <si>
    <t>=-NL("Sum","32 Item Ledger Entry","12 Quantity","5 Source no.",$C2612,"3 Posting Date",Z$9,"4 Entry Type",$C$4,"2 Item No.","@@"&amp;$F2612)</t>
  </si>
  <si>
    <t>=-NL("Sum","32 Item Ledger Entry","12 Quantity","5 Source no.",$C2613,"3 Posting Date",Z$9,"4 Entry Type",$C$4,"2 Item No.","@@"&amp;$F2613)</t>
  </si>
  <si>
    <t>=-NL("Sum","32 Item Ledger Entry","12 Quantity","5 Source no.",$C2614,"3 Posting Date",Z$9,"4 Entry Type",$C$4,"2 Item No.","@@"&amp;$F2614)</t>
  </si>
  <si>
    <t>=-NL("Sum","32 Item Ledger Entry","12 Quantity","5 Source no.",$C2615,"3 Posting Date",Z$9,"4 Entry Type",$C$4,"2 Item No.","@@"&amp;$F2615)</t>
  </si>
  <si>
    <t>=-NL("Sum","32 Item Ledger Entry","12 Quantity","5 Source no.",$C2616,"3 Posting Date",Z$9,"4 Entry Type",$C$4,"2 Item No.","@@"&amp;$F2616)</t>
  </si>
  <si>
    <t>=-NL("Sum","32 Item Ledger Entry","12 Quantity","5 Source no.",$C2617,"3 Posting Date",Z$9,"4 Entry Type",$C$4,"2 Item No.","@@"&amp;$F2617)</t>
  </si>
  <si>
    <t>=-NL("Sum","32 Item Ledger Entry","12 Quantity","5 Source no.",$C2618,"3 Posting Date",Z$9,"4 Entry Type",$C$4,"2 Item No.","@@"&amp;$F2618)</t>
  </si>
  <si>
    <t>=-NL("Sum","32 Item Ledger Entry","12 Quantity","5 Source no.",$C2619,"3 Posting Date",Z$9,"4 Entry Type",$C$4,"2 Item No.","@@"&amp;$F2619)</t>
  </si>
  <si>
    <t>=-NL("Sum","32 Item Ledger Entry","12 Quantity","5 Source no.",$C2620,"3 Posting Date",Z$9,"4 Entry Type",$C$4,"2 Item No.","@@"&amp;$F2620)</t>
  </si>
  <si>
    <t>=-NL("Sum","32 Item Ledger Entry","12 Quantity","5 Source no.",$C2621,"3 Posting Date",Z$9,"4 Entry Type",$C$4,"2 Item No.","@@"&amp;$F2621)</t>
  </si>
  <si>
    <t>=-NL("Sum","32 Item Ledger Entry","12 Quantity","5 Source no.",$C2622,"3 Posting Date",Z$9,"4 Entry Type",$C$4,"2 Item No.","@@"&amp;$F2622)</t>
  </si>
  <si>
    <t>=-NL("Sum","32 Item Ledger Entry","12 Quantity","5 Source no.",$C2623,"3 Posting Date",Z$9,"4 Entry Type",$C$4,"2 Item No.","@@"&amp;$F2623)</t>
  </si>
  <si>
    <t>=-NL("Sum","32 Item Ledger Entry","12 Quantity","5 Source no.",$C2624,"3 Posting Date",Z$9,"4 Entry Type",$C$4,"2 Item No.","@@"&amp;$F2624)</t>
  </si>
  <si>
    <t>=-NL("Sum","32 Item Ledger Entry","12 Quantity","5 Source no.",$C2625,"3 Posting Date",Z$9,"4 Entry Type",$C$4,"2 Item No.","@@"&amp;$F2625)</t>
  </si>
  <si>
    <t>=-NL("Sum","32 Item Ledger Entry","12 Quantity","5 Source no.",$C2626,"3 Posting Date",Z$9,"4 Entry Type",$C$4,"2 Item No.","@@"&amp;$F2626)</t>
  </si>
  <si>
    <t>=-NL("Sum","32 Item Ledger Entry","12 Quantity","5 Source no.",$C2627,"3 Posting Date",Z$9,"4 Entry Type",$C$4,"2 Item No.","@@"&amp;$F2627)</t>
  </si>
  <si>
    <t>=-NL("Sum","32 Item Ledger Entry","12 Quantity","5 Source no.",$C2628,"3 Posting Date",Z$9,"4 Entry Type",$C$4,"2 Item No.","@@"&amp;$F2628)</t>
  </si>
  <si>
    <t>=-NL("Sum","32 Item Ledger Entry","12 Quantity","5 Source no.",$C2629,"3 Posting Date",Z$9,"4 Entry Type",$C$4,"2 Item No.","@@"&amp;$F2629)</t>
  </si>
  <si>
    <t>=-NL("Sum","32 Item Ledger Entry","12 Quantity","5 Source no.",$C2630,"3 Posting Date",Z$9,"4 Entry Type",$C$4,"2 Item No.","@@"&amp;$F2630)</t>
  </si>
  <si>
    <t>=-NL("Sum","32 Item Ledger Entry","12 Quantity","5 Source no.",$C2631,"3 Posting Date",Z$9,"4 Entry Type",$C$4,"2 Item No.","@@"&amp;$F2631)</t>
  </si>
  <si>
    <t>=-NL("Sum","32 Item Ledger Entry","12 Quantity","5 Source no.",$C2632,"3 Posting Date",Z$9,"4 Entry Type",$C$4,"2 Item No.","@@"&amp;$F2632)</t>
  </si>
  <si>
    <t>=-NL("Sum","32 Item Ledger Entry","12 Quantity","5 Source no.",$C2633,"3 Posting Date",Z$9,"4 Entry Type",$C$4,"2 Item No.","@@"&amp;$F2633)</t>
  </si>
  <si>
    <t>=-NL("Sum","32 Item Ledger Entry","12 Quantity","5 Source no.",$C2634,"3 Posting Date",Z$9,"4 Entry Type",$C$4,"2 Item No.","@@"&amp;$F2634)</t>
  </si>
  <si>
    <t>=NL(,"27 Item","3 Description","1 No.","@@"&amp;F2526)</t>
  </si>
  <si>
    <t>=NL(,"27 Item","3 Description","1 No.","@@"&amp;F2527)</t>
  </si>
  <si>
    <t>=NL(,"27 Item","3 Description","1 No.","@@"&amp;F2528)</t>
  </si>
  <si>
    <t>=NL(,"27 Item","3 Description","1 No.","@@"&amp;F2529)</t>
  </si>
  <si>
    <t>=NL(,"27 Item","3 Description","1 No.","@@"&amp;F2530)</t>
  </si>
  <si>
    <t>=NL(,"27 Item","3 Description","1 No.","@@"&amp;F2531)</t>
  </si>
  <si>
    <t>=NL(,"27 Item","3 Description","1 No.","@@"&amp;F2532)</t>
  </si>
  <si>
    <t>=NL(,"27 Item","3 Description","1 No.","@@"&amp;F2533)</t>
  </si>
  <si>
    <t>=NL(,"27 Item","3 Description","1 No.","@@"&amp;F2534)</t>
  </si>
  <si>
    <t>=NL(,"27 Item","3 Description","1 No.","@@"&amp;F2535)</t>
  </si>
  <si>
    <t>=NL(,"27 Item","3 Description","1 No.","@@"&amp;F2536)</t>
  </si>
  <si>
    <t>=NL(,"27 Item","3 Description","1 No.","@@"&amp;F2537)</t>
  </si>
  <si>
    <t>=NL(,"27 Item","3 Description","1 No.","@@"&amp;F2538)</t>
  </si>
  <si>
    <t>=NL(,"27 Item","3 Description","1 No.","@@"&amp;F2539)</t>
  </si>
  <si>
    <t>=NL(,"27 Item","3 Description","1 No.","@@"&amp;F2540)</t>
  </si>
  <si>
    <t>=NL(,"27 Item","3 Description","1 No.","@@"&amp;F2541)</t>
  </si>
  <si>
    <t>=NL(,"27 Item","3 Description","1 No.","@@"&amp;F2542)</t>
  </si>
  <si>
    <t>=NL(,"27 Item","3 Description","1 No.","@@"&amp;F2543)</t>
  </si>
  <si>
    <t>=NL(,"27 Item","3 Description","1 No.","@@"&amp;F2544)</t>
  </si>
  <si>
    <t>=NL(,"27 Item","3 Description","1 No.","@@"&amp;F2545)</t>
  </si>
  <si>
    <t>=NL(,"27 Item","3 Description","1 No.","@@"&amp;F2546)</t>
  </si>
  <si>
    <t>=NL(,"27 Item","3 Description","1 No.","@@"&amp;F2547)</t>
  </si>
  <si>
    <t>=NL(,"27 Item","3 Description","1 No.","@@"&amp;F2548)</t>
  </si>
  <si>
    <t>=NL(,"27 Item","3 Description","1 No.","@@"&amp;F2549)</t>
  </si>
  <si>
    <t>=NL(,"27 Item","3 Description","1 No.","@@"&amp;F2550)</t>
  </si>
  <si>
    <t>=NL(,"27 Item","3 Description","1 No.","@@"&amp;F2551)</t>
  </si>
  <si>
    <t>=NL(,"27 Item","3 Description","1 No.","@@"&amp;F2552)</t>
  </si>
  <si>
    <t>=NL(,"27 Item","3 Description","1 No.","@@"&amp;F2553)</t>
  </si>
  <si>
    <t>=NL(,"27 Item","3 Description","1 No.","@@"&amp;F2554)</t>
  </si>
  <si>
    <t>=NL(,"27 Item","3 Description","1 No.","@@"&amp;F2555)</t>
  </si>
  <si>
    <t>=NL(,"27 Item","3 Description","1 No.","@@"&amp;F2556)</t>
  </si>
  <si>
    <t>=NL(,"27 Item","3 Description","1 No.","@@"&amp;F2557)</t>
  </si>
  <si>
    <t>=NL(,"27 Item","3 Description","1 No.","@@"&amp;F2558)</t>
  </si>
  <si>
    <t>=NL(,"27 Item","3 Description","1 No.","@@"&amp;F2559)</t>
  </si>
  <si>
    <t>=NL(,"27 Item","3 Description","1 No.","@@"&amp;F2560)</t>
  </si>
  <si>
    <t>=NL(,"27 Item","3 Description","1 No.","@@"&amp;F2561)</t>
  </si>
  <si>
    <t>=NL(,"27 Item","3 Description","1 No.","@@"&amp;F2562)</t>
  </si>
  <si>
    <t>=NL(,"27 Item","3 Description","1 No.","@@"&amp;F2563)</t>
  </si>
  <si>
    <t>=NL(,"27 Item","3 Description","1 No.","@@"&amp;F2564)</t>
  </si>
  <si>
    <t>=NL(,"27 Item","3 Description","1 No.","@@"&amp;F2565)</t>
  </si>
  <si>
    <t>=NL(,"27 Item","3 Description","1 No.","@@"&amp;F2566)</t>
  </si>
  <si>
    <t>=NL(,"27 Item","3 Description","1 No.","@@"&amp;F2567)</t>
  </si>
  <si>
    <t>=NL(,"27 Item","3 Description","1 No.","@@"&amp;F2568)</t>
  </si>
  <si>
    <t>=NL(,"27 Item","3 Description","1 No.","@@"&amp;F2569)</t>
  </si>
  <si>
    <t>=NL(,"27 Item","3 Description","1 No.","@@"&amp;F2570)</t>
  </si>
  <si>
    <t>=NL(,"27 Item","3 Description","1 No.","@@"&amp;F2571)</t>
  </si>
  <si>
    <t>=NL(,"27 Item","3 Description","1 No.","@@"&amp;F2572)</t>
  </si>
  <si>
    <t>=NL(,"27 Item","3 Description","1 No.","@@"&amp;F2573)</t>
  </si>
  <si>
    <t>=NL(,"27 Item","3 Description","1 No.","@@"&amp;F2574)</t>
  </si>
  <si>
    <t>=NL(,"27 Item","3 Description","1 No.","@@"&amp;F2575)</t>
  </si>
  <si>
    <t>=NL(,"27 Item","3 Description","1 No.","@@"&amp;F2576)</t>
  </si>
  <si>
    <t>=-NL("Sum","32 Item Ledger Entry","12 Quantity","5 Source no.",$C2526,"3 Posting Date",J$9,"4 Entry Type",$C$4,"2 Item No.","@@"&amp;$F2526)</t>
  </si>
  <si>
    <t>=-NL("Sum","32 Item Ledger Entry","12 Quantity","5 Source no.",$C2527,"3 Posting Date",J$9,"4 Entry Type",$C$4,"2 Item No.","@@"&amp;$F2527)</t>
  </si>
  <si>
    <t>=-NL("Sum","32 Item Ledger Entry","12 Quantity","5 Source no.",$C2528,"3 Posting Date",J$9,"4 Entry Type",$C$4,"2 Item No.","@@"&amp;$F2528)</t>
  </si>
  <si>
    <t>=-NL("Sum","32 Item Ledger Entry","12 Quantity","5 Source no.",$C2529,"3 Posting Date",J$9,"4 Entry Type",$C$4,"2 Item No.","@@"&amp;$F2529)</t>
  </si>
  <si>
    <t>=-NL("Sum","32 Item Ledger Entry","12 Quantity","5 Source no.",$C2530,"3 Posting Date",J$9,"4 Entry Type",$C$4,"2 Item No.","@@"&amp;$F2530)</t>
  </si>
  <si>
    <t>=-NL("Sum","32 Item Ledger Entry","12 Quantity","5 Source no.",$C2531,"3 Posting Date",J$9,"4 Entry Type",$C$4,"2 Item No.","@@"&amp;$F2531)</t>
  </si>
  <si>
    <t>=-NL("Sum","32 Item Ledger Entry","12 Quantity","5 Source no.",$C2532,"3 Posting Date",J$9,"4 Entry Type",$C$4,"2 Item No.","@@"&amp;$F2532)</t>
  </si>
  <si>
    <t>=-NL("Sum","32 Item Ledger Entry","12 Quantity","5 Source no.",$C2533,"3 Posting Date",J$9,"4 Entry Type",$C$4,"2 Item No.","@@"&amp;$F2533)</t>
  </si>
  <si>
    <t>=-NL("Sum","32 Item Ledger Entry","12 Quantity","5 Source no.",$C2534,"3 Posting Date",J$9,"4 Entry Type",$C$4,"2 Item No.","@@"&amp;$F2534)</t>
  </si>
  <si>
    <t>=-NL("Sum","32 Item Ledger Entry","12 Quantity","5 Source no.",$C2535,"3 Posting Date",J$9,"4 Entry Type",$C$4,"2 Item No.","@@"&amp;$F2535)</t>
  </si>
  <si>
    <t>=-NL("Sum","32 Item Ledger Entry","12 Quantity","5 Source no.",$C2536,"3 Posting Date",J$9,"4 Entry Type",$C$4,"2 Item No.","@@"&amp;$F2536)</t>
  </si>
  <si>
    <t>=-NL("Sum","32 Item Ledger Entry","12 Quantity","5 Source no.",$C2537,"3 Posting Date",J$9,"4 Entry Type",$C$4,"2 Item No.","@@"&amp;$F2537)</t>
  </si>
  <si>
    <t>=-NL("Sum","32 Item Ledger Entry","12 Quantity","5 Source no.",$C2538,"3 Posting Date",J$9,"4 Entry Type",$C$4,"2 Item No.","@@"&amp;$F2538)</t>
  </si>
  <si>
    <t>=-NL("Sum","32 Item Ledger Entry","12 Quantity","5 Source no.",$C2539,"3 Posting Date",J$9,"4 Entry Type",$C$4,"2 Item No.","@@"&amp;$F2539)</t>
  </si>
  <si>
    <t>=-NL("Sum","32 Item Ledger Entry","12 Quantity","5 Source no.",$C2540,"3 Posting Date",J$9,"4 Entry Type",$C$4,"2 Item No.","@@"&amp;$F2540)</t>
  </si>
  <si>
    <t>=-NL("Sum","32 Item Ledger Entry","12 Quantity","5 Source no.",$C2541,"3 Posting Date",J$9,"4 Entry Type",$C$4,"2 Item No.","@@"&amp;$F2541)</t>
  </si>
  <si>
    <t>=-NL("Sum","32 Item Ledger Entry","12 Quantity","5 Source no.",$C2542,"3 Posting Date",J$9,"4 Entry Type",$C$4,"2 Item No.","@@"&amp;$F2542)</t>
  </si>
  <si>
    <t>=-NL("Sum","32 Item Ledger Entry","12 Quantity","5 Source no.",$C2543,"3 Posting Date",J$9,"4 Entry Type",$C$4,"2 Item No.","@@"&amp;$F2543)</t>
  </si>
  <si>
    <t>=-NL("Sum","32 Item Ledger Entry","12 Quantity","5 Source no.",$C2544,"3 Posting Date",J$9,"4 Entry Type",$C$4,"2 Item No.","@@"&amp;$F2544)</t>
  </si>
  <si>
    <t>=-NL("Sum","32 Item Ledger Entry","12 Quantity","5 Source no.",$C2545,"3 Posting Date",J$9,"4 Entry Type",$C$4,"2 Item No.","@@"&amp;$F2545)</t>
  </si>
  <si>
    <t>=-NL("Sum","32 Item Ledger Entry","12 Quantity","5 Source no.",$C2546,"3 Posting Date",J$9,"4 Entry Type",$C$4,"2 Item No.","@@"&amp;$F2546)</t>
  </si>
  <si>
    <t>=-NL("Sum","32 Item Ledger Entry","12 Quantity","5 Source no.",$C2547,"3 Posting Date",J$9,"4 Entry Type",$C$4,"2 Item No.","@@"&amp;$F2547)</t>
  </si>
  <si>
    <t>=-NL("Sum","32 Item Ledger Entry","12 Quantity","5 Source no.",$C2548,"3 Posting Date",J$9,"4 Entry Type",$C$4,"2 Item No.","@@"&amp;$F2548)</t>
  </si>
  <si>
    <t>=-NL("Sum","32 Item Ledger Entry","12 Quantity","5 Source no.",$C2549,"3 Posting Date",J$9,"4 Entry Type",$C$4,"2 Item No.","@@"&amp;$F2549)</t>
  </si>
  <si>
    <t>=-NL("Sum","32 Item Ledger Entry","12 Quantity","5 Source no.",$C2550,"3 Posting Date",J$9,"4 Entry Type",$C$4,"2 Item No.","@@"&amp;$F2550)</t>
  </si>
  <si>
    <t>=-NL("Sum","32 Item Ledger Entry","12 Quantity","5 Source no.",$C2551,"3 Posting Date",J$9,"4 Entry Type",$C$4,"2 Item No.","@@"&amp;$F2551)</t>
  </si>
  <si>
    <t>=-NL("Sum","32 Item Ledger Entry","12 Quantity","5 Source no.",$C2552,"3 Posting Date",J$9,"4 Entry Type",$C$4,"2 Item No.","@@"&amp;$F2552)</t>
  </si>
  <si>
    <t>=-NL("Sum","32 Item Ledger Entry","12 Quantity","5 Source no.",$C2553,"3 Posting Date",J$9,"4 Entry Type",$C$4,"2 Item No.","@@"&amp;$F2553)</t>
  </si>
  <si>
    <t>=-NL("Sum","32 Item Ledger Entry","12 Quantity","5 Source no.",$C2554,"3 Posting Date",J$9,"4 Entry Type",$C$4,"2 Item No.","@@"&amp;$F2554)</t>
  </si>
  <si>
    <t>=-NL("Sum","32 Item Ledger Entry","12 Quantity","5 Source no.",$C2555,"3 Posting Date",J$9,"4 Entry Type",$C$4,"2 Item No.","@@"&amp;$F2555)</t>
  </si>
  <si>
    <t>=-NL("Sum","32 Item Ledger Entry","12 Quantity","5 Source no.",$C2556,"3 Posting Date",J$9,"4 Entry Type",$C$4,"2 Item No.","@@"&amp;$F2556)</t>
  </si>
  <si>
    <t>=-NL("Sum","32 Item Ledger Entry","12 Quantity","5 Source no.",$C2557,"3 Posting Date",J$9,"4 Entry Type",$C$4,"2 Item No.","@@"&amp;$F2557)</t>
  </si>
  <si>
    <t>=-NL("Sum","32 Item Ledger Entry","12 Quantity","5 Source no.",$C2558,"3 Posting Date",J$9,"4 Entry Type",$C$4,"2 Item No.","@@"&amp;$F2558)</t>
  </si>
  <si>
    <t>=-NL("Sum","32 Item Ledger Entry","12 Quantity","5 Source no.",$C2559,"3 Posting Date",J$9,"4 Entry Type",$C$4,"2 Item No.","@@"&amp;$F2559)</t>
  </si>
  <si>
    <t>=-NL("Sum","32 Item Ledger Entry","12 Quantity","5 Source no.",$C2560,"3 Posting Date",J$9,"4 Entry Type",$C$4,"2 Item No.","@@"&amp;$F2560)</t>
  </si>
  <si>
    <t>=-NL("Sum","32 Item Ledger Entry","12 Quantity","5 Source no.",$C2561,"3 Posting Date",J$9,"4 Entry Type",$C$4,"2 Item No.","@@"&amp;$F2561)</t>
  </si>
  <si>
    <t>=-NL("Sum","32 Item Ledger Entry","12 Quantity","5 Source no.",$C2562,"3 Posting Date",J$9,"4 Entry Type",$C$4,"2 Item No.","@@"&amp;$F2562)</t>
  </si>
  <si>
    <t>=-NL("Sum","32 Item Ledger Entry","12 Quantity","5 Source no.",$C2563,"3 Posting Date",J$9,"4 Entry Type",$C$4,"2 Item No.","@@"&amp;$F2563)</t>
  </si>
  <si>
    <t>=-NL("Sum","32 Item Ledger Entry","12 Quantity","5 Source no.",$C2564,"3 Posting Date",J$9,"4 Entry Type",$C$4,"2 Item No.","@@"&amp;$F2564)</t>
  </si>
  <si>
    <t>=-NL("Sum","32 Item Ledger Entry","12 Quantity","5 Source no.",$C2565,"3 Posting Date",J$9,"4 Entry Type",$C$4,"2 Item No.","@@"&amp;$F2565)</t>
  </si>
  <si>
    <t>=-NL("Sum","32 Item Ledger Entry","12 Quantity","5 Source no.",$C2566,"3 Posting Date",J$9,"4 Entry Type",$C$4,"2 Item No.","@@"&amp;$F2566)</t>
  </si>
  <si>
    <t>=-NL("Sum","32 Item Ledger Entry","12 Quantity","5 Source no.",$C2567,"3 Posting Date",J$9,"4 Entry Type",$C$4,"2 Item No.","@@"&amp;$F2567)</t>
  </si>
  <si>
    <t>=-NL("Sum","32 Item Ledger Entry","12 Quantity","5 Source no.",$C2568,"3 Posting Date",J$9,"4 Entry Type",$C$4,"2 Item No.","@@"&amp;$F2568)</t>
  </si>
  <si>
    <t>=-NL("Sum","32 Item Ledger Entry","12 Quantity","5 Source no.",$C2569,"3 Posting Date",J$9,"4 Entry Type",$C$4,"2 Item No.","@@"&amp;$F2569)</t>
  </si>
  <si>
    <t>=-NL("Sum","32 Item Ledger Entry","12 Quantity","5 Source no.",$C2570,"3 Posting Date",J$9,"4 Entry Type",$C$4,"2 Item No.","@@"&amp;$F2570)</t>
  </si>
  <si>
    <t>=-NL("Sum","32 Item Ledger Entry","12 Quantity","5 Source no.",$C2571,"3 Posting Date",J$9,"4 Entry Type",$C$4,"2 Item No.","@@"&amp;$F2571)</t>
  </si>
  <si>
    <t>=-NL("Sum","32 Item Ledger Entry","12 Quantity","5 Source no.",$C2572,"3 Posting Date",J$9,"4 Entry Type",$C$4,"2 Item No.","@@"&amp;$F2572)</t>
  </si>
  <si>
    <t>=-NL("Sum","32 Item Ledger Entry","12 Quantity","5 Source no.",$C2573,"3 Posting Date",J$9,"4 Entry Type",$C$4,"2 Item No.","@@"&amp;$F2573)</t>
  </si>
  <si>
    <t>=-NL("Sum","32 Item Ledger Entry","12 Quantity","5 Source no.",$C2574,"3 Posting Date",J$9,"4 Entry Type",$C$4,"2 Item No.","@@"&amp;$F2574)</t>
  </si>
  <si>
    <t>=-NL("Sum","32 Item Ledger Entry","12 Quantity","5 Source no.",$C2575,"3 Posting Date",J$9,"4 Entry Type",$C$4,"2 Item No.","@@"&amp;$F2575)</t>
  </si>
  <si>
    <t>=-NL("Sum","32 Item Ledger Entry","12 Quantity","5 Source no.",$C2576,"3 Posting Date",J$9,"4 Entry Type",$C$4,"2 Item No.","@@"&amp;$F2576)</t>
  </si>
  <si>
    <t>=-NL("Sum","32 Item Ledger Entry","12 Quantity","5 Source no.",$C2526,"3 Posting Date",O$9,"4 Entry Type",$C$4,"2 Item No.","@@"&amp;$F2526)</t>
  </si>
  <si>
    <t>=-NL("Sum","32 Item Ledger Entry","12 Quantity","5 Source no.",$C2527,"3 Posting Date",O$9,"4 Entry Type",$C$4,"2 Item No.","@@"&amp;$F2527)</t>
  </si>
  <si>
    <t>=-NL("Sum","32 Item Ledger Entry","12 Quantity","5 Source no.",$C2528,"3 Posting Date",O$9,"4 Entry Type",$C$4,"2 Item No.","@@"&amp;$F2528)</t>
  </si>
  <si>
    <t>=-NL("Sum","32 Item Ledger Entry","12 Quantity","5 Source no.",$C2529,"3 Posting Date",O$9,"4 Entry Type",$C$4,"2 Item No.","@@"&amp;$F2529)</t>
  </si>
  <si>
    <t>=-NL("Sum","32 Item Ledger Entry","12 Quantity","5 Source no.",$C2530,"3 Posting Date",O$9,"4 Entry Type",$C$4,"2 Item No.","@@"&amp;$F2530)</t>
  </si>
  <si>
    <t>=-NL("Sum","32 Item Ledger Entry","12 Quantity","5 Source no.",$C2531,"3 Posting Date",O$9,"4 Entry Type",$C$4,"2 Item No.","@@"&amp;$F2531)</t>
  </si>
  <si>
    <t>=-NL("Sum","32 Item Ledger Entry","12 Quantity","5 Source no.",$C2532,"3 Posting Date",O$9,"4 Entry Type",$C$4,"2 Item No.","@@"&amp;$F2532)</t>
  </si>
  <si>
    <t>=-NL("Sum","32 Item Ledger Entry","12 Quantity","5 Source no.",$C2533,"3 Posting Date",O$9,"4 Entry Type",$C$4,"2 Item No.","@@"&amp;$F2533)</t>
  </si>
  <si>
    <t>=-NL("Sum","32 Item Ledger Entry","12 Quantity","5 Source no.",$C2534,"3 Posting Date",O$9,"4 Entry Type",$C$4,"2 Item No.","@@"&amp;$F2534)</t>
  </si>
  <si>
    <t>=-NL("Sum","32 Item Ledger Entry","12 Quantity","5 Source no.",$C2535,"3 Posting Date",O$9,"4 Entry Type",$C$4,"2 Item No.","@@"&amp;$F2535)</t>
  </si>
  <si>
    <t>=-NL("Sum","32 Item Ledger Entry","12 Quantity","5 Source no.",$C2536,"3 Posting Date",O$9,"4 Entry Type",$C$4,"2 Item No.","@@"&amp;$F2536)</t>
  </si>
  <si>
    <t>=-NL("Sum","32 Item Ledger Entry","12 Quantity","5 Source no.",$C2537,"3 Posting Date",O$9,"4 Entry Type",$C$4,"2 Item No.","@@"&amp;$F2537)</t>
  </si>
  <si>
    <t>=-NL("Sum","32 Item Ledger Entry","12 Quantity","5 Source no.",$C2538,"3 Posting Date",O$9,"4 Entry Type",$C$4,"2 Item No.","@@"&amp;$F2538)</t>
  </si>
  <si>
    <t>=-NL("Sum","32 Item Ledger Entry","12 Quantity","5 Source no.",$C2539,"3 Posting Date",O$9,"4 Entry Type",$C$4,"2 Item No.","@@"&amp;$F2539)</t>
  </si>
  <si>
    <t>=-NL("Sum","32 Item Ledger Entry","12 Quantity","5 Source no.",$C2540,"3 Posting Date",O$9,"4 Entry Type",$C$4,"2 Item No.","@@"&amp;$F2540)</t>
  </si>
  <si>
    <t>=-NL("Sum","32 Item Ledger Entry","12 Quantity","5 Source no.",$C2541,"3 Posting Date",O$9,"4 Entry Type",$C$4,"2 Item No.","@@"&amp;$F2541)</t>
  </si>
  <si>
    <t>=-NL("Sum","32 Item Ledger Entry","12 Quantity","5 Source no.",$C2542,"3 Posting Date",O$9,"4 Entry Type",$C$4,"2 Item No.","@@"&amp;$F2542)</t>
  </si>
  <si>
    <t>=-NL("Sum","32 Item Ledger Entry","12 Quantity","5 Source no.",$C2543,"3 Posting Date",O$9,"4 Entry Type",$C$4,"2 Item No.","@@"&amp;$F2543)</t>
  </si>
  <si>
    <t>=-NL("Sum","32 Item Ledger Entry","12 Quantity","5 Source no.",$C2544,"3 Posting Date",O$9,"4 Entry Type",$C$4,"2 Item No.","@@"&amp;$F2544)</t>
  </si>
  <si>
    <t>=-NL("Sum","32 Item Ledger Entry","12 Quantity","5 Source no.",$C2545,"3 Posting Date",O$9,"4 Entry Type",$C$4,"2 Item No.","@@"&amp;$F2545)</t>
  </si>
  <si>
    <t>=-NL("Sum","32 Item Ledger Entry","12 Quantity","5 Source no.",$C2546,"3 Posting Date",O$9,"4 Entry Type",$C$4,"2 Item No.","@@"&amp;$F2546)</t>
  </si>
  <si>
    <t>=-NL("Sum","32 Item Ledger Entry","12 Quantity","5 Source no.",$C2547,"3 Posting Date",O$9,"4 Entry Type",$C$4,"2 Item No.","@@"&amp;$F2547)</t>
  </si>
  <si>
    <t>=-NL("Sum","32 Item Ledger Entry","12 Quantity","5 Source no.",$C2548,"3 Posting Date",O$9,"4 Entry Type",$C$4,"2 Item No.","@@"&amp;$F2548)</t>
  </si>
  <si>
    <t>=-NL("Sum","32 Item Ledger Entry","12 Quantity","5 Source no.",$C2549,"3 Posting Date",O$9,"4 Entry Type",$C$4,"2 Item No.","@@"&amp;$F2549)</t>
  </si>
  <si>
    <t>=-NL("Sum","32 Item Ledger Entry","12 Quantity","5 Source no.",$C2550,"3 Posting Date",O$9,"4 Entry Type",$C$4,"2 Item No.","@@"&amp;$F2550)</t>
  </si>
  <si>
    <t>=-NL("Sum","32 Item Ledger Entry","12 Quantity","5 Source no.",$C2551,"3 Posting Date",O$9,"4 Entry Type",$C$4,"2 Item No.","@@"&amp;$F2551)</t>
  </si>
  <si>
    <t>=-NL("Sum","32 Item Ledger Entry","12 Quantity","5 Source no.",$C2552,"3 Posting Date",O$9,"4 Entry Type",$C$4,"2 Item No.","@@"&amp;$F2552)</t>
  </si>
  <si>
    <t>=-NL("Sum","32 Item Ledger Entry","12 Quantity","5 Source no.",$C2553,"3 Posting Date",O$9,"4 Entry Type",$C$4,"2 Item No.","@@"&amp;$F2553)</t>
  </si>
  <si>
    <t>=-NL("Sum","32 Item Ledger Entry","12 Quantity","5 Source no.",$C2554,"3 Posting Date",O$9,"4 Entry Type",$C$4,"2 Item No.","@@"&amp;$F2554)</t>
  </si>
  <si>
    <t>=-NL("Sum","32 Item Ledger Entry","12 Quantity","5 Source no.",$C2555,"3 Posting Date",O$9,"4 Entry Type",$C$4,"2 Item No.","@@"&amp;$F2555)</t>
  </si>
  <si>
    <t>=-NL("Sum","32 Item Ledger Entry","12 Quantity","5 Source no.",$C2556,"3 Posting Date",O$9,"4 Entry Type",$C$4,"2 Item No.","@@"&amp;$F2556)</t>
  </si>
  <si>
    <t>=-NL("Sum","32 Item Ledger Entry","12 Quantity","5 Source no.",$C2557,"3 Posting Date",O$9,"4 Entry Type",$C$4,"2 Item No.","@@"&amp;$F2557)</t>
  </si>
  <si>
    <t>=-NL("Sum","32 Item Ledger Entry","12 Quantity","5 Source no.",$C2558,"3 Posting Date",O$9,"4 Entry Type",$C$4,"2 Item No.","@@"&amp;$F2558)</t>
  </si>
  <si>
    <t>=-NL("Sum","32 Item Ledger Entry","12 Quantity","5 Source no.",$C2559,"3 Posting Date",O$9,"4 Entry Type",$C$4,"2 Item No.","@@"&amp;$F2559)</t>
  </si>
  <si>
    <t>=-NL("Sum","32 Item Ledger Entry","12 Quantity","5 Source no.",$C2560,"3 Posting Date",O$9,"4 Entry Type",$C$4,"2 Item No.","@@"&amp;$F2560)</t>
  </si>
  <si>
    <t>=-NL("Sum","32 Item Ledger Entry","12 Quantity","5 Source no.",$C2561,"3 Posting Date",O$9,"4 Entry Type",$C$4,"2 Item No.","@@"&amp;$F2561)</t>
  </si>
  <si>
    <t>=-NL("Sum","32 Item Ledger Entry","12 Quantity","5 Source no.",$C2562,"3 Posting Date",O$9,"4 Entry Type",$C$4,"2 Item No.","@@"&amp;$F2562)</t>
  </si>
  <si>
    <t>=-NL("Sum","32 Item Ledger Entry","12 Quantity","5 Source no.",$C2563,"3 Posting Date",O$9,"4 Entry Type",$C$4,"2 Item No.","@@"&amp;$F2563)</t>
  </si>
  <si>
    <t>=-NL("Sum","32 Item Ledger Entry","12 Quantity","5 Source no.",$C2564,"3 Posting Date",O$9,"4 Entry Type",$C$4,"2 Item No.","@@"&amp;$F2564)</t>
  </si>
  <si>
    <t>=-NL("Sum","32 Item Ledger Entry","12 Quantity","5 Source no.",$C2565,"3 Posting Date",O$9,"4 Entry Type",$C$4,"2 Item No.","@@"&amp;$F2565)</t>
  </si>
  <si>
    <t>=-NL("Sum","32 Item Ledger Entry","12 Quantity","5 Source no.",$C2566,"3 Posting Date",O$9,"4 Entry Type",$C$4,"2 Item No.","@@"&amp;$F2566)</t>
  </si>
  <si>
    <t>=-NL("Sum","32 Item Ledger Entry","12 Quantity","5 Source no.",$C2567,"3 Posting Date",O$9,"4 Entry Type",$C$4,"2 Item No.","@@"&amp;$F2567)</t>
  </si>
  <si>
    <t>=-NL("Sum","32 Item Ledger Entry","12 Quantity","5 Source no.",$C2568,"3 Posting Date",O$9,"4 Entry Type",$C$4,"2 Item No.","@@"&amp;$F2568)</t>
  </si>
  <si>
    <t>=-NL("Sum","32 Item Ledger Entry","12 Quantity","5 Source no.",$C2569,"3 Posting Date",O$9,"4 Entry Type",$C$4,"2 Item No.","@@"&amp;$F2569)</t>
  </si>
  <si>
    <t>=-NL("Sum","32 Item Ledger Entry","12 Quantity","5 Source no.",$C2570,"3 Posting Date",O$9,"4 Entry Type",$C$4,"2 Item No.","@@"&amp;$F2570)</t>
  </si>
  <si>
    <t>=-NL("Sum","32 Item Ledger Entry","12 Quantity","5 Source no.",$C2571,"3 Posting Date",O$9,"4 Entry Type",$C$4,"2 Item No.","@@"&amp;$F2571)</t>
  </si>
  <si>
    <t>=-NL("Sum","32 Item Ledger Entry","12 Quantity","5 Source no.",$C2572,"3 Posting Date",O$9,"4 Entry Type",$C$4,"2 Item No.","@@"&amp;$F2572)</t>
  </si>
  <si>
    <t>=-NL("Sum","32 Item Ledger Entry","12 Quantity","5 Source no.",$C2573,"3 Posting Date",O$9,"4 Entry Type",$C$4,"2 Item No.","@@"&amp;$F2573)</t>
  </si>
  <si>
    <t>=-NL("Sum","32 Item Ledger Entry","12 Quantity","5 Source no.",$C2574,"3 Posting Date",O$9,"4 Entry Type",$C$4,"2 Item No.","@@"&amp;$F2574)</t>
  </si>
  <si>
    <t>=-NL("Sum","32 Item Ledger Entry","12 Quantity","5 Source no.",$C2575,"3 Posting Date",O$9,"4 Entry Type",$C$4,"2 Item No.","@@"&amp;$F2575)</t>
  </si>
  <si>
    <t>=-NL("Sum","32 Item Ledger Entry","12 Quantity","5 Source no.",$C2576,"3 Posting Date",O$9,"4 Entry Type",$C$4,"2 Item No.","@@"&amp;$F2576)</t>
  </si>
  <si>
    <t>=-NL("Sum","32 Item Ledger Entry","12 Quantity","5 Source no.",$C2526,"3 Posting Date",U$9,"4 Entry Type",$C$4,"2 Item No.","@@"&amp;$F2526)</t>
  </si>
  <si>
    <t>=-NL("Sum","32 Item Ledger Entry","12 Quantity","5 Source no.",$C2527,"3 Posting Date",U$9,"4 Entry Type",$C$4,"2 Item No.","@@"&amp;$F2527)</t>
  </si>
  <si>
    <t>=-NL("Sum","32 Item Ledger Entry","12 Quantity","5 Source no.",$C2528,"3 Posting Date",U$9,"4 Entry Type",$C$4,"2 Item No.","@@"&amp;$F2528)</t>
  </si>
  <si>
    <t>=-NL("Sum","32 Item Ledger Entry","12 Quantity","5 Source no.",$C2529,"3 Posting Date",U$9,"4 Entry Type",$C$4,"2 Item No.","@@"&amp;$F2529)</t>
  </si>
  <si>
    <t>=-NL("Sum","32 Item Ledger Entry","12 Quantity","5 Source no.",$C2530,"3 Posting Date",U$9,"4 Entry Type",$C$4,"2 Item No.","@@"&amp;$F2530)</t>
  </si>
  <si>
    <t>=-NL("Sum","32 Item Ledger Entry","12 Quantity","5 Source no.",$C2531,"3 Posting Date",U$9,"4 Entry Type",$C$4,"2 Item No.","@@"&amp;$F2531)</t>
  </si>
  <si>
    <t>=-NL("Sum","32 Item Ledger Entry","12 Quantity","5 Source no.",$C2532,"3 Posting Date",U$9,"4 Entry Type",$C$4,"2 Item No.","@@"&amp;$F2532)</t>
  </si>
  <si>
    <t>=-NL("Sum","32 Item Ledger Entry","12 Quantity","5 Source no.",$C2533,"3 Posting Date",U$9,"4 Entry Type",$C$4,"2 Item No.","@@"&amp;$F2533)</t>
  </si>
  <si>
    <t>=-NL("Sum","32 Item Ledger Entry","12 Quantity","5 Source no.",$C2534,"3 Posting Date",U$9,"4 Entry Type",$C$4,"2 Item No.","@@"&amp;$F2534)</t>
  </si>
  <si>
    <t>=-NL("Sum","32 Item Ledger Entry","12 Quantity","5 Source no.",$C2535,"3 Posting Date",U$9,"4 Entry Type",$C$4,"2 Item No.","@@"&amp;$F2535)</t>
  </si>
  <si>
    <t>=-NL("Sum","32 Item Ledger Entry","12 Quantity","5 Source no.",$C2536,"3 Posting Date",U$9,"4 Entry Type",$C$4,"2 Item No.","@@"&amp;$F2536)</t>
  </si>
  <si>
    <t>=-NL("Sum","32 Item Ledger Entry","12 Quantity","5 Source no.",$C2537,"3 Posting Date",U$9,"4 Entry Type",$C$4,"2 Item No.","@@"&amp;$F2537)</t>
  </si>
  <si>
    <t>=-NL("Sum","32 Item Ledger Entry","12 Quantity","5 Source no.",$C2538,"3 Posting Date",U$9,"4 Entry Type",$C$4,"2 Item No.","@@"&amp;$F2538)</t>
  </si>
  <si>
    <t>=-NL("Sum","32 Item Ledger Entry","12 Quantity","5 Source no.",$C2539,"3 Posting Date",U$9,"4 Entry Type",$C$4,"2 Item No.","@@"&amp;$F2539)</t>
  </si>
  <si>
    <t>=-NL("Sum","32 Item Ledger Entry","12 Quantity","5 Source no.",$C2540,"3 Posting Date",U$9,"4 Entry Type",$C$4,"2 Item No.","@@"&amp;$F2540)</t>
  </si>
  <si>
    <t>=-NL("Sum","32 Item Ledger Entry","12 Quantity","5 Source no.",$C2541,"3 Posting Date",U$9,"4 Entry Type",$C$4,"2 Item No.","@@"&amp;$F2541)</t>
  </si>
  <si>
    <t>=-NL("Sum","32 Item Ledger Entry","12 Quantity","5 Source no.",$C2542,"3 Posting Date",U$9,"4 Entry Type",$C$4,"2 Item No.","@@"&amp;$F2542)</t>
  </si>
  <si>
    <t>=-NL("Sum","32 Item Ledger Entry","12 Quantity","5 Source no.",$C2543,"3 Posting Date",U$9,"4 Entry Type",$C$4,"2 Item No.","@@"&amp;$F2543)</t>
  </si>
  <si>
    <t>=-NL("Sum","32 Item Ledger Entry","12 Quantity","5 Source no.",$C2544,"3 Posting Date",U$9,"4 Entry Type",$C$4,"2 Item No.","@@"&amp;$F2544)</t>
  </si>
  <si>
    <t>=-NL("Sum","32 Item Ledger Entry","12 Quantity","5 Source no.",$C2545,"3 Posting Date",U$9,"4 Entry Type",$C$4,"2 Item No.","@@"&amp;$F2545)</t>
  </si>
  <si>
    <t>=-NL("Sum","32 Item Ledger Entry","12 Quantity","5 Source no.",$C2546,"3 Posting Date",U$9,"4 Entry Type",$C$4,"2 Item No.","@@"&amp;$F2546)</t>
  </si>
  <si>
    <t>=-NL("Sum","32 Item Ledger Entry","12 Quantity","5 Source no.",$C2547,"3 Posting Date",U$9,"4 Entry Type",$C$4,"2 Item No.","@@"&amp;$F2547)</t>
  </si>
  <si>
    <t>=-NL("Sum","32 Item Ledger Entry","12 Quantity","5 Source no.",$C2548,"3 Posting Date",U$9,"4 Entry Type",$C$4,"2 Item No.","@@"&amp;$F2548)</t>
  </si>
  <si>
    <t>=-NL("Sum","32 Item Ledger Entry","12 Quantity","5 Source no.",$C2549,"3 Posting Date",U$9,"4 Entry Type",$C$4,"2 Item No.","@@"&amp;$F2549)</t>
  </si>
  <si>
    <t>=-NL("Sum","32 Item Ledger Entry","12 Quantity","5 Source no.",$C2550,"3 Posting Date",U$9,"4 Entry Type",$C$4,"2 Item No.","@@"&amp;$F2550)</t>
  </si>
  <si>
    <t>=-NL("Sum","32 Item Ledger Entry","12 Quantity","5 Source no.",$C2551,"3 Posting Date",U$9,"4 Entry Type",$C$4,"2 Item No.","@@"&amp;$F2551)</t>
  </si>
  <si>
    <t>=-NL("Sum","32 Item Ledger Entry","12 Quantity","5 Source no.",$C2552,"3 Posting Date",U$9,"4 Entry Type",$C$4,"2 Item No.","@@"&amp;$F2552)</t>
  </si>
  <si>
    <t>=-NL("Sum","32 Item Ledger Entry","12 Quantity","5 Source no.",$C2553,"3 Posting Date",U$9,"4 Entry Type",$C$4,"2 Item No.","@@"&amp;$F2553)</t>
  </si>
  <si>
    <t>=-NL("Sum","32 Item Ledger Entry","12 Quantity","5 Source no.",$C2554,"3 Posting Date",U$9,"4 Entry Type",$C$4,"2 Item No.","@@"&amp;$F2554)</t>
  </si>
  <si>
    <t>=-NL("Sum","32 Item Ledger Entry","12 Quantity","5 Source no.",$C2555,"3 Posting Date",U$9,"4 Entry Type",$C$4,"2 Item No.","@@"&amp;$F2555)</t>
  </si>
  <si>
    <t>=-NL("Sum","32 Item Ledger Entry","12 Quantity","5 Source no.",$C2556,"3 Posting Date",U$9,"4 Entry Type",$C$4,"2 Item No.","@@"&amp;$F2556)</t>
  </si>
  <si>
    <t>=-NL("Sum","32 Item Ledger Entry","12 Quantity","5 Source no.",$C2557,"3 Posting Date",U$9,"4 Entry Type",$C$4,"2 Item No.","@@"&amp;$F2557)</t>
  </si>
  <si>
    <t>=-NL("Sum","32 Item Ledger Entry","12 Quantity","5 Source no.",$C2558,"3 Posting Date",U$9,"4 Entry Type",$C$4,"2 Item No.","@@"&amp;$F2558)</t>
  </si>
  <si>
    <t>=-NL("Sum","32 Item Ledger Entry","12 Quantity","5 Source no.",$C2559,"3 Posting Date",U$9,"4 Entry Type",$C$4,"2 Item No.","@@"&amp;$F2559)</t>
  </si>
  <si>
    <t>=-NL("Sum","32 Item Ledger Entry","12 Quantity","5 Source no.",$C2560,"3 Posting Date",U$9,"4 Entry Type",$C$4,"2 Item No.","@@"&amp;$F2560)</t>
  </si>
  <si>
    <t>=-NL("Sum","32 Item Ledger Entry","12 Quantity","5 Source no.",$C2561,"3 Posting Date",U$9,"4 Entry Type",$C$4,"2 Item No.","@@"&amp;$F2561)</t>
  </si>
  <si>
    <t>=-NL("Sum","32 Item Ledger Entry","12 Quantity","5 Source no.",$C2562,"3 Posting Date",U$9,"4 Entry Type",$C$4,"2 Item No.","@@"&amp;$F2562)</t>
  </si>
  <si>
    <t>=-NL("Sum","32 Item Ledger Entry","12 Quantity","5 Source no.",$C2563,"3 Posting Date",U$9,"4 Entry Type",$C$4,"2 Item No.","@@"&amp;$F2563)</t>
  </si>
  <si>
    <t>=-NL("Sum","32 Item Ledger Entry","12 Quantity","5 Source no.",$C2564,"3 Posting Date",U$9,"4 Entry Type",$C$4,"2 Item No.","@@"&amp;$F2564)</t>
  </si>
  <si>
    <t>=-NL("Sum","32 Item Ledger Entry","12 Quantity","5 Source no.",$C2565,"3 Posting Date",U$9,"4 Entry Type",$C$4,"2 Item No.","@@"&amp;$F2565)</t>
  </si>
  <si>
    <t>=-NL("Sum","32 Item Ledger Entry","12 Quantity","5 Source no.",$C2566,"3 Posting Date",U$9,"4 Entry Type",$C$4,"2 Item No.","@@"&amp;$F2566)</t>
  </si>
  <si>
    <t>=-NL("Sum","32 Item Ledger Entry","12 Quantity","5 Source no.",$C2567,"3 Posting Date",U$9,"4 Entry Type",$C$4,"2 Item No.","@@"&amp;$F2567)</t>
  </si>
  <si>
    <t>=-NL("Sum","32 Item Ledger Entry","12 Quantity","5 Source no.",$C2568,"3 Posting Date",U$9,"4 Entry Type",$C$4,"2 Item No.","@@"&amp;$F2568)</t>
  </si>
  <si>
    <t>=-NL("Sum","32 Item Ledger Entry","12 Quantity","5 Source no.",$C2569,"3 Posting Date",U$9,"4 Entry Type",$C$4,"2 Item No.","@@"&amp;$F2569)</t>
  </si>
  <si>
    <t>=-NL("Sum","32 Item Ledger Entry","12 Quantity","5 Source no.",$C2570,"3 Posting Date",U$9,"4 Entry Type",$C$4,"2 Item No.","@@"&amp;$F2570)</t>
  </si>
  <si>
    <t>=-NL("Sum","32 Item Ledger Entry","12 Quantity","5 Source no.",$C2571,"3 Posting Date",U$9,"4 Entry Type",$C$4,"2 Item No.","@@"&amp;$F2571)</t>
  </si>
  <si>
    <t>=-NL("Sum","32 Item Ledger Entry","12 Quantity","5 Source no.",$C2572,"3 Posting Date",U$9,"4 Entry Type",$C$4,"2 Item No.","@@"&amp;$F2572)</t>
  </si>
  <si>
    <t>=-NL("Sum","32 Item Ledger Entry","12 Quantity","5 Source no.",$C2573,"3 Posting Date",U$9,"4 Entry Type",$C$4,"2 Item No.","@@"&amp;$F2573)</t>
  </si>
  <si>
    <t>=-NL("Sum","32 Item Ledger Entry","12 Quantity","5 Source no.",$C2574,"3 Posting Date",U$9,"4 Entry Type",$C$4,"2 Item No.","@@"&amp;$F2574)</t>
  </si>
  <si>
    <t>=-NL("Sum","32 Item Ledger Entry","12 Quantity","5 Source no.",$C2575,"3 Posting Date",U$9,"4 Entry Type",$C$4,"2 Item No.","@@"&amp;$F2575)</t>
  </si>
  <si>
    <t>=-NL("Sum","32 Item Ledger Entry","12 Quantity","5 Source no.",$C2576,"3 Posting Date",U$9,"4 Entry Type",$C$4,"2 Item No.","@@"&amp;$F2576)</t>
  </si>
  <si>
    <t>=-NL("Sum","32 Item Ledger Entry","12 Quantity","5 Source no.",$C2526,"3 Posting Date",Z$9,"4 Entry Type",$C$4,"2 Item No.","@@"&amp;$F2526)</t>
  </si>
  <si>
    <t>=-NL("Sum","32 Item Ledger Entry","12 Quantity","5 Source no.",$C2527,"3 Posting Date",Z$9,"4 Entry Type",$C$4,"2 Item No.","@@"&amp;$F2527)</t>
  </si>
  <si>
    <t>=-NL("Sum","32 Item Ledger Entry","12 Quantity","5 Source no.",$C2528,"3 Posting Date",Z$9,"4 Entry Type",$C$4,"2 Item No.","@@"&amp;$F2528)</t>
  </si>
  <si>
    <t>=-NL("Sum","32 Item Ledger Entry","12 Quantity","5 Source no.",$C2529,"3 Posting Date",Z$9,"4 Entry Type",$C$4,"2 Item No.","@@"&amp;$F2529)</t>
  </si>
  <si>
    <t>=-NL("Sum","32 Item Ledger Entry","12 Quantity","5 Source no.",$C2530,"3 Posting Date",Z$9,"4 Entry Type",$C$4,"2 Item No.","@@"&amp;$F2530)</t>
  </si>
  <si>
    <t>=-NL("Sum","32 Item Ledger Entry","12 Quantity","5 Source no.",$C2531,"3 Posting Date",Z$9,"4 Entry Type",$C$4,"2 Item No.","@@"&amp;$F2531)</t>
  </si>
  <si>
    <t>=-NL("Sum","32 Item Ledger Entry","12 Quantity","5 Source no.",$C2532,"3 Posting Date",Z$9,"4 Entry Type",$C$4,"2 Item No.","@@"&amp;$F2532)</t>
  </si>
  <si>
    <t>=-NL("Sum","32 Item Ledger Entry","12 Quantity","5 Source no.",$C2533,"3 Posting Date",Z$9,"4 Entry Type",$C$4,"2 Item No.","@@"&amp;$F2533)</t>
  </si>
  <si>
    <t>=-NL("Sum","32 Item Ledger Entry","12 Quantity","5 Source no.",$C2534,"3 Posting Date",Z$9,"4 Entry Type",$C$4,"2 Item No.","@@"&amp;$F2534)</t>
  </si>
  <si>
    <t>=-NL("Sum","32 Item Ledger Entry","12 Quantity","5 Source no.",$C2535,"3 Posting Date",Z$9,"4 Entry Type",$C$4,"2 Item No.","@@"&amp;$F2535)</t>
  </si>
  <si>
    <t>=-NL("Sum","32 Item Ledger Entry","12 Quantity","5 Source no.",$C2536,"3 Posting Date",Z$9,"4 Entry Type",$C$4,"2 Item No.","@@"&amp;$F2536)</t>
  </si>
  <si>
    <t>=-NL("Sum","32 Item Ledger Entry","12 Quantity","5 Source no.",$C2537,"3 Posting Date",Z$9,"4 Entry Type",$C$4,"2 Item No.","@@"&amp;$F2537)</t>
  </si>
  <si>
    <t>=-NL("Sum","32 Item Ledger Entry","12 Quantity","5 Source no.",$C2538,"3 Posting Date",Z$9,"4 Entry Type",$C$4,"2 Item No.","@@"&amp;$F2538)</t>
  </si>
  <si>
    <t>=-NL("Sum","32 Item Ledger Entry","12 Quantity","5 Source no.",$C2539,"3 Posting Date",Z$9,"4 Entry Type",$C$4,"2 Item No.","@@"&amp;$F2539)</t>
  </si>
  <si>
    <t>=-NL("Sum","32 Item Ledger Entry","12 Quantity","5 Source no.",$C2540,"3 Posting Date",Z$9,"4 Entry Type",$C$4,"2 Item No.","@@"&amp;$F2540)</t>
  </si>
  <si>
    <t>=-NL("Sum","32 Item Ledger Entry","12 Quantity","5 Source no.",$C2541,"3 Posting Date",Z$9,"4 Entry Type",$C$4,"2 Item No.","@@"&amp;$F2541)</t>
  </si>
  <si>
    <t>=-NL("Sum","32 Item Ledger Entry","12 Quantity","5 Source no.",$C2542,"3 Posting Date",Z$9,"4 Entry Type",$C$4,"2 Item No.","@@"&amp;$F2542)</t>
  </si>
  <si>
    <t>=-NL("Sum","32 Item Ledger Entry","12 Quantity","5 Source no.",$C2543,"3 Posting Date",Z$9,"4 Entry Type",$C$4,"2 Item No.","@@"&amp;$F2543)</t>
  </si>
  <si>
    <t>=-NL("Sum","32 Item Ledger Entry","12 Quantity","5 Source no.",$C2544,"3 Posting Date",Z$9,"4 Entry Type",$C$4,"2 Item No.","@@"&amp;$F2544)</t>
  </si>
  <si>
    <t>=-NL("Sum","32 Item Ledger Entry","12 Quantity","5 Source no.",$C2545,"3 Posting Date",Z$9,"4 Entry Type",$C$4,"2 Item No.","@@"&amp;$F2545)</t>
  </si>
  <si>
    <t>=-NL("Sum","32 Item Ledger Entry","12 Quantity","5 Source no.",$C2546,"3 Posting Date",Z$9,"4 Entry Type",$C$4,"2 Item No.","@@"&amp;$F2546)</t>
  </si>
  <si>
    <t>=-NL("Sum","32 Item Ledger Entry","12 Quantity","5 Source no.",$C2547,"3 Posting Date",Z$9,"4 Entry Type",$C$4,"2 Item No.","@@"&amp;$F2547)</t>
  </si>
  <si>
    <t>=-NL("Sum","32 Item Ledger Entry","12 Quantity","5 Source no.",$C2548,"3 Posting Date",Z$9,"4 Entry Type",$C$4,"2 Item No.","@@"&amp;$F2548)</t>
  </si>
  <si>
    <t>=-NL("Sum","32 Item Ledger Entry","12 Quantity","5 Source no.",$C2549,"3 Posting Date",Z$9,"4 Entry Type",$C$4,"2 Item No.","@@"&amp;$F2549)</t>
  </si>
  <si>
    <t>=-NL("Sum","32 Item Ledger Entry","12 Quantity","5 Source no.",$C2550,"3 Posting Date",Z$9,"4 Entry Type",$C$4,"2 Item No.","@@"&amp;$F2550)</t>
  </si>
  <si>
    <t>=-NL("Sum","32 Item Ledger Entry","12 Quantity","5 Source no.",$C2551,"3 Posting Date",Z$9,"4 Entry Type",$C$4,"2 Item No.","@@"&amp;$F2551)</t>
  </si>
  <si>
    <t>=-NL("Sum","32 Item Ledger Entry","12 Quantity","5 Source no.",$C2552,"3 Posting Date",Z$9,"4 Entry Type",$C$4,"2 Item No.","@@"&amp;$F2552)</t>
  </si>
  <si>
    <t>=-NL("Sum","32 Item Ledger Entry","12 Quantity","5 Source no.",$C2553,"3 Posting Date",Z$9,"4 Entry Type",$C$4,"2 Item No.","@@"&amp;$F2553)</t>
  </si>
  <si>
    <t>=-NL("Sum","32 Item Ledger Entry","12 Quantity","5 Source no.",$C2554,"3 Posting Date",Z$9,"4 Entry Type",$C$4,"2 Item No.","@@"&amp;$F2554)</t>
  </si>
  <si>
    <t>=-NL("Sum","32 Item Ledger Entry","12 Quantity","5 Source no.",$C2555,"3 Posting Date",Z$9,"4 Entry Type",$C$4,"2 Item No.","@@"&amp;$F2555)</t>
  </si>
  <si>
    <t>=-NL("Sum","32 Item Ledger Entry","12 Quantity","5 Source no.",$C2556,"3 Posting Date",Z$9,"4 Entry Type",$C$4,"2 Item No.","@@"&amp;$F2556)</t>
  </si>
  <si>
    <t>=-NL("Sum","32 Item Ledger Entry","12 Quantity","5 Source no.",$C2557,"3 Posting Date",Z$9,"4 Entry Type",$C$4,"2 Item No.","@@"&amp;$F2557)</t>
  </si>
  <si>
    <t>=-NL("Sum","32 Item Ledger Entry","12 Quantity","5 Source no.",$C2558,"3 Posting Date",Z$9,"4 Entry Type",$C$4,"2 Item No.","@@"&amp;$F2558)</t>
  </si>
  <si>
    <t>=-NL("Sum","32 Item Ledger Entry","12 Quantity","5 Source no.",$C2559,"3 Posting Date",Z$9,"4 Entry Type",$C$4,"2 Item No.","@@"&amp;$F2559)</t>
  </si>
  <si>
    <t>=-NL("Sum","32 Item Ledger Entry","12 Quantity","5 Source no.",$C2560,"3 Posting Date",Z$9,"4 Entry Type",$C$4,"2 Item No.","@@"&amp;$F2560)</t>
  </si>
  <si>
    <t>=-NL("Sum","32 Item Ledger Entry","12 Quantity","5 Source no.",$C2561,"3 Posting Date",Z$9,"4 Entry Type",$C$4,"2 Item No.","@@"&amp;$F2561)</t>
  </si>
  <si>
    <t>=-NL("Sum","32 Item Ledger Entry","12 Quantity","5 Source no.",$C2562,"3 Posting Date",Z$9,"4 Entry Type",$C$4,"2 Item No.","@@"&amp;$F2562)</t>
  </si>
  <si>
    <t>=-NL("Sum","32 Item Ledger Entry","12 Quantity","5 Source no.",$C2563,"3 Posting Date",Z$9,"4 Entry Type",$C$4,"2 Item No.","@@"&amp;$F2563)</t>
  </si>
  <si>
    <t>=-NL("Sum","32 Item Ledger Entry","12 Quantity","5 Source no.",$C2564,"3 Posting Date",Z$9,"4 Entry Type",$C$4,"2 Item No.","@@"&amp;$F2564)</t>
  </si>
  <si>
    <t>=-NL("Sum","32 Item Ledger Entry","12 Quantity","5 Source no.",$C2565,"3 Posting Date",Z$9,"4 Entry Type",$C$4,"2 Item No.","@@"&amp;$F2565)</t>
  </si>
  <si>
    <t>=-NL("Sum","32 Item Ledger Entry","12 Quantity","5 Source no.",$C2566,"3 Posting Date",Z$9,"4 Entry Type",$C$4,"2 Item No.","@@"&amp;$F2566)</t>
  </si>
  <si>
    <t>=-NL("Sum","32 Item Ledger Entry","12 Quantity","5 Source no.",$C2567,"3 Posting Date",Z$9,"4 Entry Type",$C$4,"2 Item No.","@@"&amp;$F2567)</t>
  </si>
  <si>
    <t>=-NL("Sum","32 Item Ledger Entry","12 Quantity","5 Source no.",$C2568,"3 Posting Date",Z$9,"4 Entry Type",$C$4,"2 Item No.","@@"&amp;$F2568)</t>
  </si>
  <si>
    <t>=-NL("Sum","32 Item Ledger Entry","12 Quantity","5 Source no.",$C2569,"3 Posting Date",Z$9,"4 Entry Type",$C$4,"2 Item No.","@@"&amp;$F2569)</t>
  </si>
  <si>
    <t>=-NL("Sum","32 Item Ledger Entry","12 Quantity","5 Source no.",$C2570,"3 Posting Date",Z$9,"4 Entry Type",$C$4,"2 Item No.","@@"&amp;$F2570)</t>
  </si>
  <si>
    <t>=-NL("Sum","32 Item Ledger Entry","12 Quantity","5 Source no.",$C2571,"3 Posting Date",Z$9,"4 Entry Type",$C$4,"2 Item No.","@@"&amp;$F2571)</t>
  </si>
  <si>
    <t>=-NL("Sum","32 Item Ledger Entry","12 Quantity","5 Source no.",$C2572,"3 Posting Date",Z$9,"4 Entry Type",$C$4,"2 Item No.","@@"&amp;$F2572)</t>
  </si>
  <si>
    <t>=-NL("Sum","32 Item Ledger Entry","12 Quantity","5 Source no.",$C2573,"3 Posting Date",Z$9,"4 Entry Type",$C$4,"2 Item No.","@@"&amp;$F2573)</t>
  </si>
  <si>
    <t>=-NL("Sum","32 Item Ledger Entry","12 Quantity","5 Source no.",$C2574,"3 Posting Date",Z$9,"4 Entry Type",$C$4,"2 Item No.","@@"&amp;$F2574)</t>
  </si>
  <si>
    <t>=-NL("Sum","32 Item Ledger Entry","12 Quantity","5 Source no.",$C2575,"3 Posting Date",Z$9,"4 Entry Type",$C$4,"2 Item No.","@@"&amp;$F2575)</t>
  </si>
  <si>
    <t>=-NL("Sum","32 Item Ledger Entry","12 Quantity","5 Source no.",$C2576,"3 Posting Date",Z$9,"4 Entry Type",$C$4,"2 Item No.","@@"&amp;$F2576)</t>
  </si>
  <si>
    <t>=NL(,"27 Item","3 Description","1 No.","@@"&amp;F2497)</t>
  </si>
  <si>
    <t>=NL(,"27 Item","3 Description","1 No.","@@"&amp;F2498)</t>
  </si>
  <si>
    <t>=NL(,"27 Item","3 Description","1 No.","@@"&amp;F2499)</t>
  </si>
  <si>
    <t>=NL(,"27 Item","3 Description","1 No.","@@"&amp;F2500)</t>
  </si>
  <si>
    <t>=NL(,"27 Item","3 Description","1 No.","@@"&amp;F2501)</t>
  </si>
  <si>
    <t>=NL(,"27 Item","3 Description","1 No.","@@"&amp;F2502)</t>
  </si>
  <si>
    <t>=NL(,"27 Item","3 Description","1 No.","@@"&amp;F2503)</t>
  </si>
  <si>
    <t>=NL(,"27 Item","3 Description","1 No.","@@"&amp;F2504)</t>
  </si>
  <si>
    <t>=NL(,"27 Item","3 Description","1 No.","@@"&amp;F2505)</t>
  </si>
  <si>
    <t>=NL(,"27 Item","3 Description","1 No.","@@"&amp;F2506)</t>
  </si>
  <si>
    <t>=NL(,"27 Item","3 Description","1 No.","@@"&amp;F2507)</t>
  </si>
  <si>
    <t>=NL(,"27 Item","3 Description","1 No.","@@"&amp;F2508)</t>
  </si>
  <si>
    <t>=NL(,"27 Item","3 Description","1 No.","@@"&amp;F2509)</t>
  </si>
  <si>
    <t>=NL(,"27 Item","3 Description","1 No.","@@"&amp;F2510)</t>
  </si>
  <si>
    <t>=NL(,"27 Item","3 Description","1 No.","@@"&amp;F2511)</t>
  </si>
  <si>
    <t>=NL(,"27 Item","3 Description","1 No.","@@"&amp;F2512)</t>
  </si>
  <si>
    <t>=NL(,"27 Item","3 Description","1 No.","@@"&amp;F2513)</t>
  </si>
  <si>
    <t>=NL(,"27 Item","3 Description","1 No.","@@"&amp;F2514)</t>
  </si>
  <si>
    <t>=NL(,"27 Item","3 Description","1 No.","@@"&amp;F2515)</t>
  </si>
  <si>
    <t>=NL(,"27 Item","3 Description","1 No.","@@"&amp;F2516)</t>
  </si>
  <si>
    <t>=NL(,"27 Item","3 Description","1 No.","@@"&amp;F2517)</t>
  </si>
  <si>
    <t>=NL(,"27 Item","3 Description","1 No.","@@"&amp;F2518)</t>
  </si>
  <si>
    <t>=NL(,"27 Item","3 Description","1 No.","@@"&amp;F2519)</t>
  </si>
  <si>
    <t>=NL(,"27 Item","3 Description","1 No.","@@"&amp;F2520)</t>
  </si>
  <si>
    <t>=-NL("Sum","32 Item Ledger Entry","12 Quantity","5 Source no.",$C2497,"3 Posting Date",J$9,"4 Entry Type",$C$4,"2 Item No.","@@"&amp;$F2497)</t>
  </si>
  <si>
    <t>=-NL("Sum","32 Item Ledger Entry","12 Quantity","5 Source no.",$C2498,"3 Posting Date",J$9,"4 Entry Type",$C$4,"2 Item No.","@@"&amp;$F2498)</t>
  </si>
  <si>
    <t>=-NL("Sum","32 Item Ledger Entry","12 Quantity","5 Source no.",$C2499,"3 Posting Date",J$9,"4 Entry Type",$C$4,"2 Item No.","@@"&amp;$F2499)</t>
  </si>
  <si>
    <t>=-NL("Sum","32 Item Ledger Entry","12 Quantity","5 Source no.",$C2500,"3 Posting Date",J$9,"4 Entry Type",$C$4,"2 Item No.","@@"&amp;$F2500)</t>
  </si>
  <si>
    <t>=-NL("Sum","32 Item Ledger Entry","12 Quantity","5 Source no.",$C2501,"3 Posting Date",J$9,"4 Entry Type",$C$4,"2 Item No.","@@"&amp;$F2501)</t>
  </si>
  <si>
    <t>=-NL("Sum","32 Item Ledger Entry","12 Quantity","5 Source no.",$C2502,"3 Posting Date",J$9,"4 Entry Type",$C$4,"2 Item No.","@@"&amp;$F2502)</t>
  </si>
  <si>
    <t>=-NL("Sum","32 Item Ledger Entry","12 Quantity","5 Source no.",$C2503,"3 Posting Date",J$9,"4 Entry Type",$C$4,"2 Item No.","@@"&amp;$F2503)</t>
  </si>
  <si>
    <t>=-NL("Sum","32 Item Ledger Entry","12 Quantity","5 Source no.",$C2504,"3 Posting Date",J$9,"4 Entry Type",$C$4,"2 Item No.","@@"&amp;$F2504)</t>
  </si>
  <si>
    <t>=-NL("Sum","32 Item Ledger Entry","12 Quantity","5 Source no.",$C2505,"3 Posting Date",J$9,"4 Entry Type",$C$4,"2 Item No.","@@"&amp;$F2505)</t>
  </si>
  <si>
    <t>=-NL("Sum","32 Item Ledger Entry","12 Quantity","5 Source no.",$C2506,"3 Posting Date",J$9,"4 Entry Type",$C$4,"2 Item No.","@@"&amp;$F2506)</t>
  </si>
  <si>
    <t>=-NL("Sum","32 Item Ledger Entry","12 Quantity","5 Source no.",$C2507,"3 Posting Date",J$9,"4 Entry Type",$C$4,"2 Item No.","@@"&amp;$F2507)</t>
  </si>
  <si>
    <t>=-NL("Sum","32 Item Ledger Entry","12 Quantity","5 Source no.",$C2508,"3 Posting Date",J$9,"4 Entry Type",$C$4,"2 Item No.","@@"&amp;$F2508)</t>
  </si>
  <si>
    <t>=-NL("Sum","32 Item Ledger Entry","12 Quantity","5 Source no.",$C2509,"3 Posting Date",J$9,"4 Entry Type",$C$4,"2 Item No.","@@"&amp;$F2509)</t>
  </si>
  <si>
    <t>=-NL("Sum","32 Item Ledger Entry","12 Quantity","5 Source no.",$C2510,"3 Posting Date",J$9,"4 Entry Type",$C$4,"2 Item No.","@@"&amp;$F2510)</t>
  </si>
  <si>
    <t>=-NL("Sum","32 Item Ledger Entry","12 Quantity","5 Source no.",$C2511,"3 Posting Date",J$9,"4 Entry Type",$C$4,"2 Item No.","@@"&amp;$F2511)</t>
  </si>
  <si>
    <t>=-NL("Sum","32 Item Ledger Entry","12 Quantity","5 Source no.",$C2512,"3 Posting Date",J$9,"4 Entry Type",$C$4,"2 Item No.","@@"&amp;$F2512)</t>
  </si>
  <si>
    <t>=-NL("Sum","32 Item Ledger Entry","12 Quantity","5 Source no.",$C2513,"3 Posting Date",J$9,"4 Entry Type",$C$4,"2 Item No.","@@"&amp;$F2513)</t>
  </si>
  <si>
    <t>=-NL("Sum","32 Item Ledger Entry","12 Quantity","5 Source no.",$C2514,"3 Posting Date",J$9,"4 Entry Type",$C$4,"2 Item No.","@@"&amp;$F2514)</t>
  </si>
  <si>
    <t>=-NL("Sum","32 Item Ledger Entry","12 Quantity","5 Source no.",$C2515,"3 Posting Date",J$9,"4 Entry Type",$C$4,"2 Item No.","@@"&amp;$F2515)</t>
  </si>
  <si>
    <t>=-NL("Sum","32 Item Ledger Entry","12 Quantity","5 Source no.",$C2516,"3 Posting Date",J$9,"4 Entry Type",$C$4,"2 Item No.","@@"&amp;$F2516)</t>
  </si>
  <si>
    <t>=-NL("Sum","32 Item Ledger Entry","12 Quantity","5 Source no.",$C2517,"3 Posting Date",J$9,"4 Entry Type",$C$4,"2 Item No.","@@"&amp;$F2517)</t>
  </si>
  <si>
    <t>=-NL("Sum","32 Item Ledger Entry","12 Quantity","5 Source no.",$C2518,"3 Posting Date",J$9,"4 Entry Type",$C$4,"2 Item No.","@@"&amp;$F2518)</t>
  </si>
  <si>
    <t>=-NL("Sum","32 Item Ledger Entry","12 Quantity","5 Source no.",$C2519,"3 Posting Date",J$9,"4 Entry Type",$C$4,"2 Item No.","@@"&amp;$F2519)</t>
  </si>
  <si>
    <t>=-NL("Sum","32 Item Ledger Entry","12 Quantity","5 Source no.",$C2520,"3 Posting Date",J$9,"4 Entry Type",$C$4,"2 Item No.","@@"&amp;$F2520)</t>
  </si>
  <si>
    <t>=-NL("Sum","32 Item Ledger Entry","12 Quantity","5 Source no.",$C2497,"3 Posting Date",O$9,"4 Entry Type",$C$4,"2 Item No.","@@"&amp;$F2497)</t>
  </si>
  <si>
    <t>=-NL("Sum","32 Item Ledger Entry","12 Quantity","5 Source no.",$C2498,"3 Posting Date",O$9,"4 Entry Type",$C$4,"2 Item No.","@@"&amp;$F2498)</t>
  </si>
  <si>
    <t>=-NL("Sum","32 Item Ledger Entry","12 Quantity","5 Source no.",$C2499,"3 Posting Date",O$9,"4 Entry Type",$C$4,"2 Item No.","@@"&amp;$F2499)</t>
  </si>
  <si>
    <t>=-NL("Sum","32 Item Ledger Entry","12 Quantity","5 Source no.",$C2500,"3 Posting Date",O$9,"4 Entry Type",$C$4,"2 Item No.","@@"&amp;$F2500)</t>
  </si>
  <si>
    <t>=-NL("Sum","32 Item Ledger Entry","12 Quantity","5 Source no.",$C2501,"3 Posting Date",O$9,"4 Entry Type",$C$4,"2 Item No.","@@"&amp;$F2501)</t>
  </si>
  <si>
    <t>=-NL("Sum","32 Item Ledger Entry","12 Quantity","5 Source no.",$C2502,"3 Posting Date",O$9,"4 Entry Type",$C$4,"2 Item No.","@@"&amp;$F2502)</t>
  </si>
  <si>
    <t>=-NL("Sum","32 Item Ledger Entry","12 Quantity","5 Source no.",$C2503,"3 Posting Date",O$9,"4 Entry Type",$C$4,"2 Item No.","@@"&amp;$F2503)</t>
  </si>
  <si>
    <t>=-NL("Sum","32 Item Ledger Entry","12 Quantity","5 Source no.",$C2504,"3 Posting Date",O$9,"4 Entry Type",$C$4,"2 Item No.","@@"&amp;$F2504)</t>
  </si>
  <si>
    <t>=-NL("Sum","32 Item Ledger Entry","12 Quantity","5 Source no.",$C2505,"3 Posting Date",O$9,"4 Entry Type",$C$4,"2 Item No.","@@"&amp;$F2505)</t>
  </si>
  <si>
    <t>=-NL("Sum","32 Item Ledger Entry","12 Quantity","5 Source no.",$C2506,"3 Posting Date",O$9,"4 Entry Type",$C$4,"2 Item No.","@@"&amp;$F2506)</t>
  </si>
  <si>
    <t>=-NL("Sum","32 Item Ledger Entry","12 Quantity","5 Source no.",$C2507,"3 Posting Date",O$9,"4 Entry Type",$C$4,"2 Item No.","@@"&amp;$F2507)</t>
  </si>
  <si>
    <t>=-NL("Sum","32 Item Ledger Entry","12 Quantity","5 Source no.",$C2508,"3 Posting Date",O$9,"4 Entry Type",$C$4,"2 Item No.","@@"&amp;$F2508)</t>
  </si>
  <si>
    <t>=-NL("Sum","32 Item Ledger Entry","12 Quantity","5 Source no.",$C2509,"3 Posting Date",O$9,"4 Entry Type",$C$4,"2 Item No.","@@"&amp;$F2509)</t>
  </si>
  <si>
    <t>=-NL("Sum","32 Item Ledger Entry","12 Quantity","5 Source no.",$C2510,"3 Posting Date",O$9,"4 Entry Type",$C$4,"2 Item No.","@@"&amp;$F2510)</t>
  </si>
  <si>
    <t>=-NL("Sum","32 Item Ledger Entry","12 Quantity","5 Source no.",$C2511,"3 Posting Date",O$9,"4 Entry Type",$C$4,"2 Item No.","@@"&amp;$F2511)</t>
  </si>
  <si>
    <t>=-NL("Sum","32 Item Ledger Entry","12 Quantity","5 Source no.",$C2512,"3 Posting Date",O$9,"4 Entry Type",$C$4,"2 Item No.","@@"&amp;$F2512)</t>
  </si>
  <si>
    <t>=-NL("Sum","32 Item Ledger Entry","12 Quantity","5 Source no.",$C2513,"3 Posting Date",O$9,"4 Entry Type",$C$4,"2 Item No.","@@"&amp;$F2513)</t>
  </si>
  <si>
    <t>=-NL("Sum","32 Item Ledger Entry","12 Quantity","5 Source no.",$C2514,"3 Posting Date",O$9,"4 Entry Type",$C$4,"2 Item No.","@@"&amp;$F2514)</t>
  </si>
  <si>
    <t>=-NL("Sum","32 Item Ledger Entry","12 Quantity","5 Source no.",$C2515,"3 Posting Date",O$9,"4 Entry Type",$C$4,"2 Item No.","@@"&amp;$F2515)</t>
  </si>
  <si>
    <t>=-NL("Sum","32 Item Ledger Entry","12 Quantity","5 Source no.",$C2516,"3 Posting Date",O$9,"4 Entry Type",$C$4,"2 Item No.","@@"&amp;$F2516)</t>
  </si>
  <si>
    <t>=-NL("Sum","32 Item Ledger Entry","12 Quantity","5 Source no.",$C2517,"3 Posting Date",O$9,"4 Entry Type",$C$4,"2 Item No.","@@"&amp;$F2517)</t>
  </si>
  <si>
    <t>=-NL("Sum","32 Item Ledger Entry","12 Quantity","5 Source no.",$C2518,"3 Posting Date",O$9,"4 Entry Type",$C$4,"2 Item No.","@@"&amp;$F2518)</t>
  </si>
  <si>
    <t>=-NL("Sum","32 Item Ledger Entry","12 Quantity","5 Source no.",$C2519,"3 Posting Date",O$9,"4 Entry Type",$C$4,"2 Item No.","@@"&amp;$F2519)</t>
  </si>
  <si>
    <t>=-NL("Sum","32 Item Ledger Entry","12 Quantity","5 Source no.",$C2520,"3 Posting Date",O$9,"4 Entry Type",$C$4,"2 Item No.","@@"&amp;$F2520)</t>
  </si>
  <si>
    <t>=-NL("Sum","32 Item Ledger Entry","12 Quantity","5 Source no.",$C2497,"3 Posting Date",U$9,"4 Entry Type",$C$4,"2 Item No.","@@"&amp;$F2497)</t>
  </si>
  <si>
    <t>=-NL("Sum","32 Item Ledger Entry","12 Quantity","5 Source no.",$C2498,"3 Posting Date",U$9,"4 Entry Type",$C$4,"2 Item No.","@@"&amp;$F2498)</t>
  </si>
  <si>
    <t>=-NL("Sum","32 Item Ledger Entry","12 Quantity","5 Source no.",$C2499,"3 Posting Date",U$9,"4 Entry Type",$C$4,"2 Item No.","@@"&amp;$F2499)</t>
  </si>
  <si>
    <t>=-NL("Sum","32 Item Ledger Entry","12 Quantity","5 Source no.",$C2500,"3 Posting Date",U$9,"4 Entry Type",$C$4,"2 Item No.","@@"&amp;$F2500)</t>
  </si>
  <si>
    <t>=-NL("Sum","32 Item Ledger Entry","12 Quantity","5 Source no.",$C2501,"3 Posting Date",U$9,"4 Entry Type",$C$4,"2 Item No.","@@"&amp;$F2501)</t>
  </si>
  <si>
    <t>=-NL("Sum","32 Item Ledger Entry","12 Quantity","5 Source no.",$C2502,"3 Posting Date",U$9,"4 Entry Type",$C$4,"2 Item No.","@@"&amp;$F2502)</t>
  </si>
  <si>
    <t>=-NL("Sum","32 Item Ledger Entry","12 Quantity","5 Source no.",$C2503,"3 Posting Date",U$9,"4 Entry Type",$C$4,"2 Item No.","@@"&amp;$F2503)</t>
  </si>
  <si>
    <t>=-NL("Sum","32 Item Ledger Entry","12 Quantity","5 Source no.",$C2504,"3 Posting Date",U$9,"4 Entry Type",$C$4,"2 Item No.","@@"&amp;$F2504)</t>
  </si>
  <si>
    <t>=-NL("Sum","32 Item Ledger Entry","12 Quantity","5 Source no.",$C2505,"3 Posting Date",U$9,"4 Entry Type",$C$4,"2 Item No.","@@"&amp;$F2505)</t>
  </si>
  <si>
    <t>=-NL("Sum","32 Item Ledger Entry","12 Quantity","5 Source no.",$C2506,"3 Posting Date",U$9,"4 Entry Type",$C$4,"2 Item No.","@@"&amp;$F2506)</t>
  </si>
  <si>
    <t>=-NL("Sum","32 Item Ledger Entry","12 Quantity","5 Source no.",$C2507,"3 Posting Date",U$9,"4 Entry Type",$C$4,"2 Item No.","@@"&amp;$F2507)</t>
  </si>
  <si>
    <t>=-NL("Sum","32 Item Ledger Entry","12 Quantity","5 Source no.",$C2508,"3 Posting Date",U$9,"4 Entry Type",$C$4,"2 Item No.","@@"&amp;$F2508)</t>
  </si>
  <si>
    <t>=-NL("Sum","32 Item Ledger Entry","12 Quantity","5 Source no.",$C2509,"3 Posting Date",U$9,"4 Entry Type",$C$4,"2 Item No.","@@"&amp;$F2509)</t>
  </si>
  <si>
    <t>=-NL("Sum","32 Item Ledger Entry","12 Quantity","5 Source no.",$C2510,"3 Posting Date",U$9,"4 Entry Type",$C$4,"2 Item No.","@@"&amp;$F2510)</t>
  </si>
  <si>
    <t>=-NL("Sum","32 Item Ledger Entry","12 Quantity","5 Source no.",$C2511,"3 Posting Date",U$9,"4 Entry Type",$C$4,"2 Item No.","@@"&amp;$F2511)</t>
  </si>
  <si>
    <t>=-NL("Sum","32 Item Ledger Entry","12 Quantity","5 Source no.",$C2512,"3 Posting Date",U$9,"4 Entry Type",$C$4,"2 Item No.","@@"&amp;$F2512)</t>
  </si>
  <si>
    <t>=-NL("Sum","32 Item Ledger Entry","12 Quantity","5 Source no.",$C2513,"3 Posting Date",U$9,"4 Entry Type",$C$4,"2 Item No.","@@"&amp;$F2513)</t>
  </si>
  <si>
    <t>=-NL("Sum","32 Item Ledger Entry","12 Quantity","5 Source no.",$C2514,"3 Posting Date",U$9,"4 Entry Type",$C$4,"2 Item No.","@@"&amp;$F2514)</t>
  </si>
  <si>
    <t>=-NL("Sum","32 Item Ledger Entry","12 Quantity","5 Source no.",$C2515,"3 Posting Date",U$9,"4 Entry Type",$C$4,"2 Item No.","@@"&amp;$F2515)</t>
  </si>
  <si>
    <t>=-NL("Sum","32 Item Ledger Entry","12 Quantity","5 Source no.",$C2516,"3 Posting Date",U$9,"4 Entry Type",$C$4,"2 Item No.","@@"&amp;$F2516)</t>
  </si>
  <si>
    <t>=-NL("Sum","32 Item Ledger Entry","12 Quantity","5 Source no.",$C2517,"3 Posting Date",U$9,"4 Entry Type",$C$4,"2 Item No.","@@"&amp;$F2517)</t>
  </si>
  <si>
    <t>=-NL("Sum","32 Item Ledger Entry","12 Quantity","5 Source no.",$C2518,"3 Posting Date",U$9,"4 Entry Type",$C$4,"2 Item No.","@@"&amp;$F2518)</t>
  </si>
  <si>
    <t>=-NL("Sum","32 Item Ledger Entry","12 Quantity","5 Source no.",$C2519,"3 Posting Date",U$9,"4 Entry Type",$C$4,"2 Item No.","@@"&amp;$F2519)</t>
  </si>
  <si>
    <t>=-NL("Sum","32 Item Ledger Entry","12 Quantity","5 Source no.",$C2520,"3 Posting Date",U$9,"4 Entry Type",$C$4,"2 Item No.","@@"&amp;$F2520)</t>
  </si>
  <si>
    <t>=-NL("Sum","32 Item Ledger Entry","12 Quantity","5 Source no.",$C2497,"3 Posting Date",Z$9,"4 Entry Type",$C$4,"2 Item No.","@@"&amp;$F2497)</t>
  </si>
  <si>
    <t>=-NL("Sum","32 Item Ledger Entry","12 Quantity","5 Source no.",$C2498,"3 Posting Date",Z$9,"4 Entry Type",$C$4,"2 Item No.","@@"&amp;$F2498)</t>
  </si>
  <si>
    <t>=-NL("Sum","32 Item Ledger Entry","12 Quantity","5 Source no.",$C2499,"3 Posting Date",Z$9,"4 Entry Type",$C$4,"2 Item No.","@@"&amp;$F2499)</t>
  </si>
  <si>
    <t>=-NL("Sum","32 Item Ledger Entry","12 Quantity","5 Source no.",$C2500,"3 Posting Date",Z$9,"4 Entry Type",$C$4,"2 Item No.","@@"&amp;$F2500)</t>
  </si>
  <si>
    <t>=-NL("Sum","32 Item Ledger Entry","12 Quantity","5 Source no.",$C2501,"3 Posting Date",Z$9,"4 Entry Type",$C$4,"2 Item No.","@@"&amp;$F2501)</t>
  </si>
  <si>
    <t>=-NL("Sum","32 Item Ledger Entry","12 Quantity","5 Source no.",$C2502,"3 Posting Date",Z$9,"4 Entry Type",$C$4,"2 Item No.","@@"&amp;$F2502)</t>
  </si>
  <si>
    <t>=-NL("Sum","32 Item Ledger Entry","12 Quantity","5 Source no.",$C2503,"3 Posting Date",Z$9,"4 Entry Type",$C$4,"2 Item No.","@@"&amp;$F2503)</t>
  </si>
  <si>
    <t>=-NL("Sum","32 Item Ledger Entry","12 Quantity","5 Source no.",$C2504,"3 Posting Date",Z$9,"4 Entry Type",$C$4,"2 Item No.","@@"&amp;$F2504)</t>
  </si>
  <si>
    <t>=-NL("Sum","32 Item Ledger Entry","12 Quantity","5 Source no.",$C2505,"3 Posting Date",Z$9,"4 Entry Type",$C$4,"2 Item No.","@@"&amp;$F2505)</t>
  </si>
  <si>
    <t>=-NL("Sum","32 Item Ledger Entry","12 Quantity","5 Source no.",$C2506,"3 Posting Date",Z$9,"4 Entry Type",$C$4,"2 Item No.","@@"&amp;$F2506)</t>
  </si>
  <si>
    <t>=-NL("Sum","32 Item Ledger Entry","12 Quantity","5 Source no.",$C2507,"3 Posting Date",Z$9,"4 Entry Type",$C$4,"2 Item No.","@@"&amp;$F2507)</t>
  </si>
  <si>
    <t>=-NL("Sum","32 Item Ledger Entry","12 Quantity","5 Source no.",$C2508,"3 Posting Date",Z$9,"4 Entry Type",$C$4,"2 Item No.","@@"&amp;$F2508)</t>
  </si>
  <si>
    <t>=-NL("Sum","32 Item Ledger Entry","12 Quantity","5 Source no.",$C2509,"3 Posting Date",Z$9,"4 Entry Type",$C$4,"2 Item No.","@@"&amp;$F2509)</t>
  </si>
  <si>
    <t>=-NL("Sum","32 Item Ledger Entry","12 Quantity","5 Source no.",$C2510,"3 Posting Date",Z$9,"4 Entry Type",$C$4,"2 Item No.","@@"&amp;$F2510)</t>
  </si>
  <si>
    <t>=-NL("Sum","32 Item Ledger Entry","12 Quantity","5 Source no.",$C2511,"3 Posting Date",Z$9,"4 Entry Type",$C$4,"2 Item No.","@@"&amp;$F2511)</t>
  </si>
  <si>
    <t>=-NL("Sum","32 Item Ledger Entry","12 Quantity","5 Source no.",$C2512,"3 Posting Date",Z$9,"4 Entry Type",$C$4,"2 Item No.","@@"&amp;$F2512)</t>
  </si>
  <si>
    <t>=-NL("Sum","32 Item Ledger Entry","12 Quantity","5 Source no.",$C2513,"3 Posting Date",Z$9,"4 Entry Type",$C$4,"2 Item No.","@@"&amp;$F2513)</t>
  </si>
  <si>
    <t>=-NL("Sum","32 Item Ledger Entry","12 Quantity","5 Source no.",$C2514,"3 Posting Date",Z$9,"4 Entry Type",$C$4,"2 Item No.","@@"&amp;$F2514)</t>
  </si>
  <si>
    <t>=-NL("Sum","32 Item Ledger Entry","12 Quantity","5 Source no.",$C2515,"3 Posting Date",Z$9,"4 Entry Type",$C$4,"2 Item No.","@@"&amp;$F2515)</t>
  </si>
  <si>
    <t>=-NL("Sum","32 Item Ledger Entry","12 Quantity","5 Source no.",$C2516,"3 Posting Date",Z$9,"4 Entry Type",$C$4,"2 Item No.","@@"&amp;$F2516)</t>
  </si>
  <si>
    <t>=-NL("Sum","32 Item Ledger Entry","12 Quantity","5 Source no.",$C2517,"3 Posting Date",Z$9,"4 Entry Type",$C$4,"2 Item No.","@@"&amp;$F2517)</t>
  </si>
  <si>
    <t>=-NL("Sum","32 Item Ledger Entry","12 Quantity","5 Source no.",$C2518,"3 Posting Date",Z$9,"4 Entry Type",$C$4,"2 Item No.","@@"&amp;$F2518)</t>
  </si>
  <si>
    <t>=-NL("Sum","32 Item Ledger Entry","12 Quantity","5 Source no.",$C2519,"3 Posting Date",Z$9,"4 Entry Type",$C$4,"2 Item No.","@@"&amp;$F2519)</t>
  </si>
  <si>
    <t>=-NL("Sum","32 Item Ledger Entry","12 Quantity","5 Source no.",$C2520,"3 Posting Date",Z$9,"4 Entry Type",$C$4,"2 Item No.","@@"&amp;$F2520)</t>
  </si>
  <si>
    <t>=NL(,"27 Item","3 Description","1 No.","@@"&amp;F2468)</t>
  </si>
  <si>
    <t>=NL(,"27 Item","3 Description","1 No.","@@"&amp;F2469)</t>
  </si>
  <si>
    <t>=NL(,"27 Item","3 Description","1 No.","@@"&amp;F2470)</t>
  </si>
  <si>
    <t>=NL(,"27 Item","3 Description","1 No.","@@"&amp;F2471)</t>
  </si>
  <si>
    <t>=NL(,"27 Item","3 Description","1 No.","@@"&amp;F2472)</t>
  </si>
  <si>
    <t>=NL(,"27 Item","3 Description","1 No.","@@"&amp;F2473)</t>
  </si>
  <si>
    <t>=NL(,"27 Item","3 Description","1 No.","@@"&amp;F2474)</t>
  </si>
  <si>
    <t>=NL(,"27 Item","3 Description","1 No.","@@"&amp;F2475)</t>
  </si>
  <si>
    <t>=NL(,"27 Item","3 Description","1 No.","@@"&amp;F2476)</t>
  </si>
  <si>
    <t>=NL(,"27 Item","3 Description","1 No.","@@"&amp;F2477)</t>
  </si>
  <si>
    <t>=NL(,"27 Item","3 Description","1 No.","@@"&amp;F2478)</t>
  </si>
  <si>
    <t>=NL(,"27 Item","3 Description","1 No.","@@"&amp;F2479)</t>
  </si>
  <si>
    <t>=NL(,"27 Item","3 Description","1 No.","@@"&amp;F2480)</t>
  </si>
  <si>
    <t>=NL(,"27 Item","3 Description","1 No.","@@"&amp;F2481)</t>
  </si>
  <si>
    <t>=NL(,"27 Item","3 Description","1 No.","@@"&amp;F2482)</t>
  </si>
  <si>
    <t>=NL(,"27 Item","3 Description","1 No.","@@"&amp;F2483)</t>
  </si>
  <si>
    <t>=NL(,"27 Item","3 Description","1 No.","@@"&amp;F2484)</t>
  </si>
  <si>
    <t>=NL(,"27 Item","3 Description","1 No.","@@"&amp;F2485)</t>
  </si>
  <si>
    <t>=NL(,"27 Item","3 Description","1 No.","@@"&amp;F2486)</t>
  </si>
  <si>
    <t>=NL(,"27 Item","3 Description","1 No.","@@"&amp;F2487)</t>
  </si>
  <si>
    <t>=NL(,"27 Item","3 Description","1 No.","@@"&amp;F2488)</t>
  </si>
  <si>
    <t>=NL(,"27 Item","3 Description","1 No.","@@"&amp;F2489)</t>
  </si>
  <si>
    <t>=NL(,"27 Item","3 Description","1 No.","@@"&amp;F2490)</t>
  </si>
  <si>
    <t>=NL(,"27 Item","3 Description","1 No.","@@"&amp;F2491)</t>
  </si>
  <si>
    <t>=-NL("Sum","32 Item Ledger Entry","12 Quantity","5 Source no.",$C2468,"3 Posting Date",J$9,"4 Entry Type",$C$4,"2 Item No.","@@"&amp;$F2468)</t>
  </si>
  <si>
    <t>=-NL("Sum","32 Item Ledger Entry","12 Quantity","5 Source no.",$C2469,"3 Posting Date",J$9,"4 Entry Type",$C$4,"2 Item No.","@@"&amp;$F2469)</t>
  </si>
  <si>
    <t>=-NL("Sum","32 Item Ledger Entry","12 Quantity","5 Source no.",$C2470,"3 Posting Date",J$9,"4 Entry Type",$C$4,"2 Item No.","@@"&amp;$F2470)</t>
  </si>
  <si>
    <t>=-NL("Sum","32 Item Ledger Entry","12 Quantity","5 Source no.",$C2471,"3 Posting Date",J$9,"4 Entry Type",$C$4,"2 Item No.","@@"&amp;$F2471)</t>
  </si>
  <si>
    <t>=-NL("Sum","32 Item Ledger Entry","12 Quantity","5 Source no.",$C2472,"3 Posting Date",J$9,"4 Entry Type",$C$4,"2 Item No.","@@"&amp;$F2472)</t>
  </si>
  <si>
    <t>=-NL("Sum","32 Item Ledger Entry","12 Quantity","5 Source no.",$C2473,"3 Posting Date",J$9,"4 Entry Type",$C$4,"2 Item No.","@@"&amp;$F2473)</t>
  </si>
  <si>
    <t>=-NL("Sum","32 Item Ledger Entry","12 Quantity","5 Source no.",$C2474,"3 Posting Date",J$9,"4 Entry Type",$C$4,"2 Item No.","@@"&amp;$F2474)</t>
  </si>
  <si>
    <t>=-NL("Sum","32 Item Ledger Entry","12 Quantity","5 Source no.",$C2475,"3 Posting Date",J$9,"4 Entry Type",$C$4,"2 Item No.","@@"&amp;$F2475)</t>
  </si>
  <si>
    <t>=-NL("Sum","32 Item Ledger Entry","12 Quantity","5 Source no.",$C2476,"3 Posting Date",J$9,"4 Entry Type",$C$4,"2 Item No.","@@"&amp;$F2476)</t>
  </si>
  <si>
    <t>=-NL("Sum","32 Item Ledger Entry","12 Quantity","5 Source no.",$C2477,"3 Posting Date",J$9,"4 Entry Type",$C$4,"2 Item No.","@@"&amp;$F2477)</t>
  </si>
  <si>
    <t>=-NL("Sum","32 Item Ledger Entry","12 Quantity","5 Source no.",$C2478,"3 Posting Date",J$9,"4 Entry Type",$C$4,"2 Item No.","@@"&amp;$F2478)</t>
  </si>
  <si>
    <t>=-NL("Sum","32 Item Ledger Entry","12 Quantity","5 Source no.",$C2479,"3 Posting Date",J$9,"4 Entry Type",$C$4,"2 Item No.","@@"&amp;$F2479)</t>
  </si>
  <si>
    <t>=-NL("Sum","32 Item Ledger Entry","12 Quantity","5 Source no.",$C2480,"3 Posting Date",J$9,"4 Entry Type",$C$4,"2 Item No.","@@"&amp;$F2480)</t>
  </si>
  <si>
    <t>=-NL("Sum","32 Item Ledger Entry","12 Quantity","5 Source no.",$C2481,"3 Posting Date",J$9,"4 Entry Type",$C$4,"2 Item No.","@@"&amp;$F2481)</t>
  </si>
  <si>
    <t>=-NL("Sum","32 Item Ledger Entry","12 Quantity","5 Source no.",$C2482,"3 Posting Date",J$9,"4 Entry Type",$C$4,"2 Item No.","@@"&amp;$F2482)</t>
  </si>
  <si>
    <t>=-NL("Sum","32 Item Ledger Entry","12 Quantity","5 Source no.",$C2483,"3 Posting Date",J$9,"4 Entry Type",$C$4,"2 Item No.","@@"&amp;$F2483)</t>
  </si>
  <si>
    <t>=-NL("Sum","32 Item Ledger Entry","12 Quantity","5 Source no.",$C2484,"3 Posting Date",J$9,"4 Entry Type",$C$4,"2 Item No.","@@"&amp;$F2484)</t>
  </si>
  <si>
    <t>=-NL("Sum","32 Item Ledger Entry","12 Quantity","5 Source no.",$C2485,"3 Posting Date",J$9,"4 Entry Type",$C$4,"2 Item No.","@@"&amp;$F2485)</t>
  </si>
  <si>
    <t>=-NL("Sum","32 Item Ledger Entry","12 Quantity","5 Source no.",$C2486,"3 Posting Date",J$9,"4 Entry Type",$C$4,"2 Item No.","@@"&amp;$F2486)</t>
  </si>
  <si>
    <t>=-NL("Sum","32 Item Ledger Entry","12 Quantity","5 Source no.",$C2487,"3 Posting Date",J$9,"4 Entry Type",$C$4,"2 Item No.","@@"&amp;$F2487)</t>
  </si>
  <si>
    <t>=-NL("Sum","32 Item Ledger Entry","12 Quantity","5 Source no.",$C2488,"3 Posting Date",J$9,"4 Entry Type",$C$4,"2 Item No.","@@"&amp;$F2488)</t>
  </si>
  <si>
    <t>=-NL("Sum","32 Item Ledger Entry","12 Quantity","5 Source no.",$C2489,"3 Posting Date",J$9,"4 Entry Type",$C$4,"2 Item No.","@@"&amp;$F2489)</t>
  </si>
  <si>
    <t>=-NL("Sum","32 Item Ledger Entry","12 Quantity","5 Source no.",$C2490,"3 Posting Date",J$9,"4 Entry Type",$C$4,"2 Item No.","@@"&amp;$F2490)</t>
  </si>
  <si>
    <t>=-NL("Sum","32 Item Ledger Entry","12 Quantity","5 Source no.",$C2491,"3 Posting Date",J$9,"4 Entry Type",$C$4,"2 Item No.","@@"&amp;$F2491)</t>
  </si>
  <si>
    <t>=-NL("Sum","32 Item Ledger Entry","12 Quantity","5 Source no.",$C2468,"3 Posting Date",O$9,"4 Entry Type",$C$4,"2 Item No.","@@"&amp;$F2468)</t>
  </si>
  <si>
    <t>=-NL("Sum","32 Item Ledger Entry","12 Quantity","5 Source no.",$C2469,"3 Posting Date",O$9,"4 Entry Type",$C$4,"2 Item No.","@@"&amp;$F2469)</t>
  </si>
  <si>
    <t>=-NL("Sum","32 Item Ledger Entry","12 Quantity","5 Source no.",$C2470,"3 Posting Date",O$9,"4 Entry Type",$C$4,"2 Item No.","@@"&amp;$F2470)</t>
  </si>
  <si>
    <t>=-NL("Sum","32 Item Ledger Entry","12 Quantity","5 Source no.",$C2471,"3 Posting Date",O$9,"4 Entry Type",$C$4,"2 Item No.","@@"&amp;$F2471)</t>
  </si>
  <si>
    <t>=-NL("Sum","32 Item Ledger Entry","12 Quantity","5 Source no.",$C2472,"3 Posting Date",O$9,"4 Entry Type",$C$4,"2 Item No.","@@"&amp;$F2472)</t>
  </si>
  <si>
    <t>=-NL("Sum","32 Item Ledger Entry","12 Quantity","5 Source no.",$C2473,"3 Posting Date",O$9,"4 Entry Type",$C$4,"2 Item No.","@@"&amp;$F2473)</t>
  </si>
  <si>
    <t>=-NL("Sum","32 Item Ledger Entry","12 Quantity","5 Source no.",$C2474,"3 Posting Date",O$9,"4 Entry Type",$C$4,"2 Item No.","@@"&amp;$F2474)</t>
  </si>
  <si>
    <t>=-NL("Sum","32 Item Ledger Entry","12 Quantity","5 Source no.",$C2475,"3 Posting Date",O$9,"4 Entry Type",$C$4,"2 Item No.","@@"&amp;$F2475)</t>
  </si>
  <si>
    <t>=-NL("Sum","32 Item Ledger Entry","12 Quantity","5 Source no.",$C2476,"3 Posting Date",O$9,"4 Entry Type",$C$4,"2 Item No.","@@"&amp;$F2476)</t>
  </si>
  <si>
    <t>=-NL("Sum","32 Item Ledger Entry","12 Quantity","5 Source no.",$C2477,"3 Posting Date",O$9,"4 Entry Type",$C$4,"2 Item No.","@@"&amp;$F2477)</t>
  </si>
  <si>
    <t>=-NL("Sum","32 Item Ledger Entry","12 Quantity","5 Source no.",$C2478,"3 Posting Date",O$9,"4 Entry Type",$C$4,"2 Item No.","@@"&amp;$F2478)</t>
  </si>
  <si>
    <t>=-NL("Sum","32 Item Ledger Entry","12 Quantity","5 Source no.",$C2479,"3 Posting Date",O$9,"4 Entry Type",$C$4,"2 Item No.","@@"&amp;$F2479)</t>
  </si>
  <si>
    <t>=-NL("Sum","32 Item Ledger Entry","12 Quantity","5 Source no.",$C2480,"3 Posting Date",O$9,"4 Entry Type",$C$4,"2 Item No.","@@"&amp;$F2480)</t>
  </si>
  <si>
    <t>=-NL("Sum","32 Item Ledger Entry","12 Quantity","5 Source no.",$C2481,"3 Posting Date",O$9,"4 Entry Type",$C$4,"2 Item No.","@@"&amp;$F2481)</t>
  </si>
  <si>
    <t>=-NL("Sum","32 Item Ledger Entry","12 Quantity","5 Source no.",$C2482,"3 Posting Date",O$9,"4 Entry Type",$C$4,"2 Item No.","@@"&amp;$F2482)</t>
  </si>
  <si>
    <t>=-NL("Sum","32 Item Ledger Entry","12 Quantity","5 Source no.",$C2483,"3 Posting Date",O$9,"4 Entry Type",$C$4,"2 Item No.","@@"&amp;$F2483)</t>
  </si>
  <si>
    <t>=-NL("Sum","32 Item Ledger Entry","12 Quantity","5 Source no.",$C2484,"3 Posting Date",O$9,"4 Entry Type",$C$4,"2 Item No.","@@"&amp;$F2484)</t>
  </si>
  <si>
    <t>=-NL("Sum","32 Item Ledger Entry","12 Quantity","5 Source no.",$C2485,"3 Posting Date",O$9,"4 Entry Type",$C$4,"2 Item No.","@@"&amp;$F2485)</t>
  </si>
  <si>
    <t>=-NL("Sum","32 Item Ledger Entry","12 Quantity","5 Source no.",$C2486,"3 Posting Date",O$9,"4 Entry Type",$C$4,"2 Item No.","@@"&amp;$F2486)</t>
  </si>
  <si>
    <t>=-NL("Sum","32 Item Ledger Entry","12 Quantity","5 Source no.",$C2487,"3 Posting Date",O$9,"4 Entry Type",$C$4,"2 Item No.","@@"&amp;$F2487)</t>
  </si>
  <si>
    <t>=-NL("Sum","32 Item Ledger Entry","12 Quantity","5 Source no.",$C2488,"3 Posting Date",O$9,"4 Entry Type",$C$4,"2 Item No.","@@"&amp;$F2488)</t>
  </si>
  <si>
    <t>=-NL("Sum","32 Item Ledger Entry","12 Quantity","5 Source no.",$C2489,"3 Posting Date",O$9,"4 Entry Type",$C$4,"2 Item No.","@@"&amp;$F2489)</t>
  </si>
  <si>
    <t>=-NL("Sum","32 Item Ledger Entry","12 Quantity","5 Source no.",$C2490,"3 Posting Date",O$9,"4 Entry Type",$C$4,"2 Item No.","@@"&amp;$F2490)</t>
  </si>
  <si>
    <t>=-NL("Sum","32 Item Ledger Entry","12 Quantity","5 Source no.",$C2491,"3 Posting Date",O$9,"4 Entry Type",$C$4,"2 Item No.","@@"&amp;$F2491)</t>
  </si>
  <si>
    <t>=-NL("Sum","32 Item Ledger Entry","12 Quantity","5 Source no.",$C2468,"3 Posting Date",U$9,"4 Entry Type",$C$4,"2 Item No.","@@"&amp;$F2468)</t>
  </si>
  <si>
    <t>=-NL("Sum","32 Item Ledger Entry","12 Quantity","5 Source no.",$C2469,"3 Posting Date",U$9,"4 Entry Type",$C$4,"2 Item No.","@@"&amp;$F2469)</t>
  </si>
  <si>
    <t>=-NL("Sum","32 Item Ledger Entry","12 Quantity","5 Source no.",$C2470,"3 Posting Date",U$9,"4 Entry Type",$C$4,"2 Item No.","@@"&amp;$F2470)</t>
  </si>
  <si>
    <t>=-NL("Sum","32 Item Ledger Entry","12 Quantity","5 Source no.",$C2471,"3 Posting Date",U$9,"4 Entry Type",$C$4,"2 Item No.","@@"&amp;$F2471)</t>
  </si>
  <si>
    <t>=-NL("Sum","32 Item Ledger Entry","12 Quantity","5 Source no.",$C2472,"3 Posting Date",U$9,"4 Entry Type",$C$4,"2 Item No.","@@"&amp;$F2472)</t>
  </si>
  <si>
    <t>=-NL("Sum","32 Item Ledger Entry","12 Quantity","5 Source no.",$C2473,"3 Posting Date",U$9,"4 Entry Type",$C$4,"2 Item No.","@@"&amp;$F2473)</t>
  </si>
  <si>
    <t>=-NL("Sum","32 Item Ledger Entry","12 Quantity","5 Source no.",$C2474,"3 Posting Date",U$9,"4 Entry Type",$C$4,"2 Item No.","@@"&amp;$F2474)</t>
  </si>
  <si>
    <t>=-NL("Sum","32 Item Ledger Entry","12 Quantity","5 Source no.",$C2475,"3 Posting Date",U$9,"4 Entry Type",$C$4,"2 Item No.","@@"&amp;$F2475)</t>
  </si>
  <si>
    <t>=-NL("Sum","32 Item Ledger Entry","12 Quantity","5 Source no.",$C2476,"3 Posting Date",U$9,"4 Entry Type",$C$4,"2 Item No.","@@"&amp;$F2476)</t>
  </si>
  <si>
    <t>=-NL("Sum","32 Item Ledger Entry","12 Quantity","5 Source no.",$C2477,"3 Posting Date",U$9,"4 Entry Type",$C$4,"2 Item No.","@@"&amp;$F2477)</t>
  </si>
  <si>
    <t>=-NL("Sum","32 Item Ledger Entry","12 Quantity","5 Source no.",$C2478,"3 Posting Date",U$9,"4 Entry Type",$C$4,"2 Item No.","@@"&amp;$F2478)</t>
  </si>
  <si>
    <t>=-NL("Sum","32 Item Ledger Entry","12 Quantity","5 Source no.",$C2479,"3 Posting Date",U$9,"4 Entry Type",$C$4,"2 Item No.","@@"&amp;$F2479)</t>
  </si>
  <si>
    <t>=-NL("Sum","32 Item Ledger Entry","12 Quantity","5 Source no.",$C2480,"3 Posting Date",U$9,"4 Entry Type",$C$4,"2 Item No.","@@"&amp;$F2480)</t>
  </si>
  <si>
    <t>=-NL("Sum","32 Item Ledger Entry","12 Quantity","5 Source no.",$C2481,"3 Posting Date",U$9,"4 Entry Type",$C$4,"2 Item No.","@@"&amp;$F2481)</t>
  </si>
  <si>
    <t>=-NL("Sum","32 Item Ledger Entry","12 Quantity","5 Source no.",$C2482,"3 Posting Date",U$9,"4 Entry Type",$C$4,"2 Item No.","@@"&amp;$F2482)</t>
  </si>
  <si>
    <t>=-NL("Sum","32 Item Ledger Entry","12 Quantity","5 Source no.",$C2483,"3 Posting Date",U$9,"4 Entry Type",$C$4,"2 Item No.","@@"&amp;$F2483)</t>
  </si>
  <si>
    <t>=-NL("Sum","32 Item Ledger Entry","12 Quantity","5 Source no.",$C2484,"3 Posting Date",U$9,"4 Entry Type",$C$4,"2 Item No.","@@"&amp;$F2484)</t>
  </si>
  <si>
    <t>=-NL("Sum","32 Item Ledger Entry","12 Quantity","5 Source no.",$C2485,"3 Posting Date",U$9,"4 Entry Type",$C$4,"2 Item No.","@@"&amp;$F2485)</t>
  </si>
  <si>
    <t>=-NL("Sum","32 Item Ledger Entry","12 Quantity","5 Source no.",$C2486,"3 Posting Date",U$9,"4 Entry Type",$C$4,"2 Item No.","@@"&amp;$F2486)</t>
  </si>
  <si>
    <t>=-NL("Sum","32 Item Ledger Entry","12 Quantity","5 Source no.",$C2487,"3 Posting Date",U$9,"4 Entry Type",$C$4,"2 Item No.","@@"&amp;$F2487)</t>
  </si>
  <si>
    <t>=-NL("Sum","32 Item Ledger Entry","12 Quantity","5 Source no.",$C2488,"3 Posting Date",U$9,"4 Entry Type",$C$4,"2 Item No.","@@"&amp;$F2488)</t>
  </si>
  <si>
    <t>=-NL("Sum","32 Item Ledger Entry","12 Quantity","5 Source no.",$C2489,"3 Posting Date",U$9,"4 Entry Type",$C$4,"2 Item No.","@@"&amp;$F2489)</t>
  </si>
  <si>
    <t>=-NL("Sum","32 Item Ledger Entry","12 Quantity","5 Source no.",$C2490,"3 Posting Date",U$9,"4 Entry Type",$C$4,"2 Item No.","@@"&amp;$F2490)</t>
  </si>
  <si>
    <t>=-NL("Sum","32 Item Ledger Entry","12 Quantity","5 Source no.",$C2491,"3 Posting Date",U$9,"4 Entry Type",$C$4,"2 Item No.","@@"&amp;$F2491)</t>
  </si>
  <si>
    <t>=-NL("Sum","32 Item Ledger Entry","12 Quantity","5 Source no.",$C2468,"3 Posting Date",Z$9,"4 Entry Type",$C$4,"2 Item No.","@@"&amp;$F2468)</t>
  </si>
  <si>
    <t>=-NL("Sum","32 Item Ledger Entry","12 Quantity","5 Source no.",$C2469,"3 Posting Date",Z$9,"4 Entry Type",$C$4,"2 Item No.","@@"&amp;$F2469)</t>
  </si>
  <si>
    <t>=-NL("Sum","32 Item Ledger Entry","12 Quantity","5 Source no.",$C2470,"3 Posting Date",Z$9,"4 Entry Type",$C$4,"2 Item No.","@@"&amp;$F2470)</t>
  </si>
  <si>
    <t>=-NL("Sum","32 Item Ledger Entry","12 Quantity","5 Source no.",$C2471,"3 Posting Date",Z$9,"4 Entry Type",$C$4,"2 Item No.","@@"&amp;$F2471)</t>
  </si>
  <si>
    <t>=-NL("Sum","32 Item Ledger Entry","12 Quantity","5 Source no.",$C2472,"3 Posting Date",Z$9,"4 Entry Type",$C$4,"2 Item No.","@@"&amp;$F2472)</t>
  </si>
  <si>
    <t>=-NL("Sum","32 Item Ledger Entry","12 Quantity","5 Source no.",$C2473,"3 Posting Date",Z$9,"4 Entry Type",$C$4,"2 Item No.","@@"&amp;$F2473)</t>
  </si>
  <si>
    <t>=-NL("Sum","32 Item Ledger Entry","12 Quantity","5 Source no.",$C2474,"3 Posting Date",Z$9,"4 Entry Type",$C$4,"2 Item No.","@@"&amp;$F2474)</t>
  </si>
  <si>
    <t>=-NL("Sum","32 Item Ledger Entry","12 Quantity","5 Source no.",$C2475,"3 Posting Date",Z$9,"4 Entry Type",$C$4,"2 Item No.","@@"&amp;$F2475)</t>
  </si>
  <si>
    <t>=-NL("Sum","32 Item Ledger Entry","12 Quantity","5 Source no.",$C2476,"3 Posting Date",Z$9,"4 Entry Type",$C$4,"2 Item No.","@@"&amp;$F2476)</t>
  </si>
  <si>
    <t>=-NL("Sum","32 Item Ledger Entry","12 Quantity","5 Source no.",$C2477,"3 Posting Date",Z$9,"4 Entry Type",$C$4,"2 Item No.","@@"&amp;$F2477)</t>
  </si>
  <si>
    <t>=-NL("Sum","32 Item Ledger Entry","12 Quantity","5 Source no.",$C2478,"3 Posting Date",Z$9,"4 Entry Type",$C$4,"2 Item No.","@@"&amp;$F2478)</t>
  </si>
  <si>
    <t>=-NL("Sum","32 Item Ledger Entry","12 Quantity","5 Source no.",$C2479,"3 Posting Date",Z$9,"4 Entry Type",$C$4,"2 Item No.","@@"&amp;$F2479)</t>
  </si>
  <si>
    <t>=-NL("Sum","32 Item Ledger Entry","12 Quantity","5 Source no.",$C2480,"3 Posting Date",Z$9,"4 Entry Type",$C$4,"2 Item No.","@@"&amp;$F2480)</t>
  </si>
  <si>
    <t>=-NL("Sum","32 Item Ledger Entry","12 Quantity","5 Source no.",$C2481,"3 Posting Date",Z$9,"4 Entry Type",$C$4,"2 Item No.","@@"&amp;$F2481)</t>
  </si>
  <si>
    <t>=-NL("Sum","32 Item Ledger Entry","12 Quantity","5 Source no.",$C2482,"3 Posting Date",Z$9,"4 Entry Type",$C$4,"2 Item No.","@@"&amp;$F2482)</t>
  </si>
  <si>
    <t>=-NL("Sum","32 Item Ledger Entry","12 Quantity","5 Source no.",$C2483,"3 Posting Date",Z$9,"4 Entry Type",$C$4,"2 Item No.","@@"&amp;$F2483)</t>
  </si>
  <si>
    <t>=-NL("Sum","32 Item Ledger Entry","12 Quantity","5 Source no.",$C2484,"3 Posting Date",Z$9,"4 Entry Type",$C$4,"2 Item No.","@@"&amp;$F2484)</t>
  </si>
  <si>
    <t>=-NL("Sum","32 Item Ledger Entry","12 Quantity","5 Source no.",$C2485,"3 Posting Date",Z$9,"4 Entry Type",$C$4,"2 Item No.","@@"&amp;$F2485)</t>
  </si>
  <si>
    <t>=-NL("Sum","32 Item Ledger Entry","12 Quantity","5 Source no.",$C2486,"3 Posting Date",Z$9,"4 Entry Type",$C$4,"2 Item No.","@@"&amp;$F2486)</t>
  </si>
  <si>
    <t>=-NL("Sum","32 Item Ledger Entry","12 Quantity","5 Source no.",$C2487,"3 Posting Date",Z$9,"4 Entry Type",$C$4,"2 Item No.","@@"&amp;$F2487)</t>
  </si>
  <si>
    <t>=-NL("Sum","32 Item Ledger Entry","12 Quantity","5 Source no.",$C2488,"3 Posting Date",Z$9,"4 Entry Type",$C$4,"2 Item No.","@@"&amp;$F2488)</t>
  </si>
  <si>
    <t>=-NL("Sum","32 Item Ledger Entry","12 Quantity","5 Source no.",$C2489,"3 Posting Date",Z$9,"4 Entry Type",$C$4,"2 Item No.","@@"&amp;$F2489)</t>
  </si>
  <si>
    <t>=-NL("Sum","32 Item Ledger Entry","12 Quantity","5 Source no.",$C2490,"3 Posting Date",Z$9,"4 Entry Type",$C$4,"2 Item No.","@@"&amp;$F2490)</t>
  </si>
  <si>
    <t>=-NL("Sum","32 Item Ledger Entry","12 Quantity","5 Source no.",$C2491,"3 Posting Date",Z$9,"4 Entry Type",$C$4,"2 Item No.","@@"&amp;$F2491)</t>
  </si>
  <si>
    <t>=NL(,"27 Item","3 Description","1 No.","@@"&amp;F2431)</t>
  </si>
  <si>
    <t>=NL(,"27 Item","3 Description","1 No.","@@"&amp;F2432)</t>
  </si>
  <si>
    <t>=NL(,"27 Item","3 Description","1 No.","@@"&amp;F2433)</t>
  </si>
  <si>
    <t>=NL(,"27 Item","3 Description","1 No.","@@"&amp;F2434)</t>
  </si>
  <si>
    <t>=NL(,"27 Item","3 Description","1 No.","@@"&amp;F2435)</t>
  </si>
  <si>
    <t>=NL(,"27 Item","3 Description","1 No.","@@"&amp;F2436)</t>
  </si>
  <si>
    <t>=NL(,"27 Item","3 Description","1 No.","@@"&amp;F2437)</t>
  </si>
  <si>
    <t>=NL(,"27 Item","3 Description","1 No.","@@"&amp;F2438)</t>
  </si>
  <si>
    <t>=NL(,"27 Item","3 Description","1 No.","@@"&amp;F2439)</t>
  </si>
  <si>
    <t>=NL(,"27 Item","3 Description","1 No.","@@"&amp;F2440)</t>
  </si>
  <si>
    <t>=NL(,"27 Item","3 Description","1 No.","@@"&amp;F2441)</t>
  </si>
  <si>
    <t>=NL(,"27 Item","3 Description","1 No.","@@"&amp;F2442)</t>
  </si>
  <si>
    <t>=NL(,"27 Item","3 Description","1 No.","@@"&amp;F2443)</t>
  </si>
  <si>
    <t>=NL(,"27 Item","3 Description","1 No.","@@"&amp;F2444)</t>
  </si>
  <si>
    <t>=NL(,"27 Item","3 Description","1 No.","@@"&amp;F2445)</t>
  </si>
  <si>
    <t>=NL(,"27 Item","3 Description","1 No.","@@"&amp;F2446)</t>
  </si>
  <si>
    <t>=NL(,"27 Item","3 Description","1 No.","@@"&amp;F2447)</t>
  </si>
  <si>
    <t>=NL(,"27 Item","3 Description","1 No.","@@"&amp;F2448)</t>
  </si>
  <si>
    <t>=NL(,"27 Item","3 Description","1 No.","@@"&amp;F2449)</t>
  </si>
  <si>
    <t>=NL(,"27 Item","3 Description","1 No.","@@"&amp;F2450)</t>
  </si>
  <si>
    <t>=NL(,"27 Item","3 Description","1 No.","@@"&amp;F2451)</t>
  </si>
  <si>
    <t>=NL(,"27 Item","3 Description","1 No.","@@"&amp;F2452)</t>
  </si>
  <si>
    <t>=NL(,"27 Item","3 Description","1 No.","@@"&amp;F2453)</t>
  </si>
  <si>
    <t>=NL(,"27 Item","3 Description","1 No.","@@"&amp;F2454)</t>
  </si>
  <si>
    <t>=NL(,"27 Item","3 Description","1 No.","@@"&amp;F2455)</t>
  </si>
  <si>
    <t>=NL(,"27 Item","3 Description","1 No.","@@"&amp;F2456)</t>
  </si>
  <si>
    <t>=NL(,"27 Item","3 Description","1 No.","@@"&amp;F2457)</t>
  </si>
  <si>
    <t>=NL(,"27 Item","3 Description","1 No.","@@"&amp;F2458)</t>
  </si>
  <si>
    <t>=NL(,"27 Item","3 Description","1 No.","@@"&amp;F2459)</t>
  </si>
  <si>
    <t>=NL(,"27 Item","3 Description","1 No.","@@"&amp;F2460)</t>
  </si>
  <si>
    <t>=NL(,"27 Item","3 Description","1 No.","@@"&amp;F2461)</t>
  </si>
  <si>
    <t>=NL(,"27 Item","3 Description","1 No.","@@"&amp;F2462)</t>
  </si>
  <si>
    <t>=-NL("Sum","32 Item Ledger Entry","12 Quantity","5 Source no.",$C2431,"3 Posting Date",J$9,"4 Entry Type",$C$4,"2 Item No.","@@"&amp;$F2431)</t>
  </si>
  <si>
    <t>=-NL("Sum","32 Item Ledger Entry","12 Quantity","5 Source no.",$C2432,"3 Posting Date",J$9,"4 Entry Type",$C$4,"2 Item No.","@@"&amp;$F2432)</t>
  </si>
  <si>
    <t>=-NL("Sum","32 Item Ledger Entry","12 Quantity","5 Source no.",$C2433,"3 Posting Date",J$9,"4 Entry Type",$C$4,"2 Item No.","@@"&amp;$F2433)</t>
  </si>
  <si>
    <t>=-NL("Sum","32 Item Ledger Entry","12 Quantity","5 Source no.",$C2434,"3 Posting Date",J$9,"4 Entry Type",$C$4,"2 Item No.","@@"&amp;$F2434)</t>
  </si>
  <si>
    <t>=-NL("Sum","32 Item Ledger Entry","12 Quantity","5 Source no.",$C2435,"3 Posting Date",J$9,"4 Entry Type",$C$4,"2 Item No.","@@"&amp;$F2435)</t>
  </si>
  <si>
    <t>=-NL("Sum","32 Item Ledger Entry","12 Quantity","5 Source no.",$C2436,"3 Posting Date",J$9,"4 Entry Type",$C$4,"2 Item No.","@@"&amp;$F2436)</t>
  </si>
  <si>
    <t>=-NL("Sum","32 Item Ledger Entry","12 Quantity","5 Source no.",$C2437,"3 Posting Date",J$9,"4 Entry Type",$C$4,"2 Item No.","@@"&amp;$F2437)</t>
  </si>
  <si>
    <t>=-NL("Sum","32 Item Ledger Entry","12 Quantity","5 Source no.",$C2438,"3 Posting Date",J$9,"4 Entry Type",$C$4,"2 Item No.","@@"&amp;$F2438)</t>
  </si>
  <si>
    <t>=-NL("Sum","32 Item Ledger Entry","12 Quantity","5 Source no.",$C2439,"3 Posting Date",J$9,"4 Entry Type",$C$4,"2 Item No.","@@"&amp;$F2439)</t>
  </si>
  <si>
    <t>=-NL("Sum","32 Item Ledger Entry","12 Quantity","5 Source no.",$C2440,"3 Posting Date",J$9,"4 Entry Type",$C$4,"2 Item No.","@@"&amp;$F2440)</t>
  </si>
  <si>
    <t>=-NL("Sum","32 Item Ledger Entry","12 Quantity","5 Source no.",$C2441,"3 Posting Date",J$9,"4 Entry Type",$C$4,"2 Item No.","@@"&amp;$F2441)</t>
  </si>
  <si>
    <t>=-NL("Sum","32 Item Ledger Entry","12 Quantity","5 Source no.",$C2442,"3 Posting Date",J$9,"4 Entry Type",$C$4,"2 Item No.","@@"&amp;$F2442)</t>
  </si>
  <si>
    <t>=-NL("Sum","32 Item Ledger Entry","12 Quantity","5 Source no.",$C2443,"3 Posting Date",J$9,"4 Entry Type",$C$4,"2 Item No.","@@"&amp;$F2443)</t>
  </si>
  <si>
    <t>=-NL("Sum","32 Item Ledger Entry","12 Quantity","5 Source no.",$C2444,"3 Posting Date",J$9,"4 Entry Type",$C$4,"2 Item No.","@@"&amp;$F2444)</t>
  </si>
  <si>
    <t>=-NL("Sum","32 Item Ledger Entry","12 Quantity","5 Source no.",$C2445,"3 Posting Date",J$9,"4 Entry Type",$C$4,"2 Item No.","@@"&amp;$F2445)</t>
  </si>
  <si>
    <t>=-NL("Sum","32 Item Ledger Entry","12 Quantity","5 Source no.",$C2446,"3 Posting Date",J$9,"4 Entry Type",$C$4,"2 Item No.","@@"&amp;$F2446)</t>
  </si>
  <si>
    <t>=-NL("Sum","32 Item Ledger Entry","12 Quantity","5 Source no.",$C2447,"3 Posting Date",J$9,"4 Entry Type",$C$4,"2 Item No.","@@"&amp;$F2447)</t>
  </si>
  <si>
    <t>=-NL("Sum","32 Item Ledger Entry","12 Quantity","5 Source no.",$C2448,"3 Posting Date",J$9,"4 Entry Type",$C$4,"2 Item No.","@@"&amp;$F2448)</t>
  </si>
  <si>
    <t>=-NL("Sum","32 Item Ledger Entry","12 Quantity","5 Source no.",$C2449,"3 Posting Date",J$9,"4 Entry Type",$C$4,"2 Item No.","@@"&amp;$F2449)</t>
  </si>
  <si>
    <t>=-NL("Sum","32 Item Ledger Entry","12 Quantity","5 Source no.",$C2450,"3 Posting Date",J$9,"4 Entry Type",$C$4,"2 Item No.","@@"&amp;$F2450)</t>
  </si>
  <si>
    <t>=-NL("Sum","32 Item Ledger Entry","12 Quantity","5 Source no.",$C2451,"3 Posting Date",J$9,"4 Entry Type",$C$4,"2 Item No.","@@"&amp;$F2451)</t>
  </si>
  <si>
    <t>=-NL("Sum","32 Item Ledger Entry","12 Quantity","5 Source no.",$C2452,"3 Posting Date",J$9,"4 Entry Type",$C$4,"2 Item No.","@@"&amp;$F2452)</t>
  </si>
  <si>
    <t>=-NL("Sum","32 Item Ledger Entry","12 Quantity","5 Source no.",$C2453,"3 Posting Date",J$9,"4 Entry Type",$C$4,"2 Item No.","@@"&amp;$F2453)</t>
  </si>
  <si>
    <t>=-NL("Sum","32 Item Ledger Entry","12 Quantity","5 Source no.",$C2454,"3 Posting Date",J$9,"4 Entry Type",$C$4,"2 Item No.","@@"&amp;$F2454)</t>
  </si>
  <si>
    <t>=-NL("Sum","32 Item Ledger Entry","12 Quantity","5 Source no.",$C2455,"3 Posting Date",J$9,"4 Entry Type",$C$4,"2 Item No.","@@"&amp;$F2455)</t>
  </si>
  <si>
    <t>=-NL("Sum","32 Item Ledger Entry","12 Quantity","5 Source no.",$C2456,"3 Posting Date",J$9,"4 Entry Type",$C$4,"2 Item No.","@@"&amp;$F2456)</t>
  </si>
  <si>
    <t>=-NL("Sum","32 Item Ledger Entry","12 Quantity","5 Source no.",$C2457,"3 Posting Date",J$9,"4 Entry Type",$C$4,"2 Item No.","@@"&amp;$F2457)</t>
  </si>
  <si>
    <t>=-NL("Sum","32 Item Ledger Entry","12 Quantity","5 Source no.",$C2458,"3 Posting Date",J$9,"4 Entry Type",$C$4,"2 Item No.","@@"&amp;$F2458)</t>
  </si>
  <si>
    <t>=-NL("Sum","32 Item Ledger Entry","12 Quantity","5 Source no.",$C2459,"3 Posting Date",J$9,"4 Entry Type",$C$4,"2 Item No.","@@"&amp;$F2459)</t>
  </si>
  <si>
    <t>=-NL("Sum","32 Item Ledger Entry","12 Quantity","5 Source no.",$C2460,"3 Posting Date",J$9,"4 Entry Type",$C$4,"2 Item No.","@@"&amp;$F2460)</t>
  </si>
  <si>
    <t>=-NL("Sum","32 Item Ledger Entry","12 Quantity","5 Source no.",$C2461,"3 Posting Date",J$9,"4 Entry Type",$C$4,"2 Item No.","@@"&amp;$F2461)</t>
  </si>
  <si>
    <t>=-NL("Sum","32 Item Ledger Entry","12 Quantity","5 Source no.",$C2462,"3 Posting Date",J$9,"4 Entry Type",$C$4,"2 Item No.","@@"&amp;$F2462)</t>
  </si>
  <si>
    <t>=-NL("Sum","32 Item Ledger Entry","12 Quantity","5 Source no.",$C2431,"3 Posting Date",O$9,"4 Entry Type",$C$4,"2 Item No.","@@"&amp;$F2431)</t>
  </si>
  <si>
    <t>=-NL("Sum","32 Item Ledger Entry","12 Quantity","5 Source no.",$C2432,"3 Posting Date",O$9,"4 Entry Type",$C$4,"2 Item No.","@@"&amp;$F2432)</t>
  </si>
  <si>
    <t>=-NL("Sum","32 Item Ledger Entry","12 Quantity","5 Source no.",$C2433,"3 Posting Date",O$9,"4 Entry Type",$C$4,"2 Item No.","@@"&amp;$F2433)</t>
  </si>
  <si>
    <t>=-NL("Sum","32 Item Ledger Entry","12 Quantity","5 Source no.",$C2434,"3 Posting Date",O$9,"4 Entry Type",$C$4,"2 Item No.","@@"&amp;$F2434)</t>
  </si>
  <si>
    <t>=-NL("Sum","32 Item Ledger Entry","12 Quantity","5 Source no.",$C2435,"3 Posting Date",O$9,"4 Entry Type",$C$4,"2 Item No.","@@"&amp;$F2435)</t>
  </si>
  <si>
    <t>=-NL("Sum","32 Item Ledger Entry","12 Quantity","5 Source no.",$C2436,"3 Posting Date",O$9,"4 Entry Type",$C$4,"2 Item No.","@@"&amp;$F2436)</t>
  </si>
  <si>
    <t>=-NL("Sum","32 Item Ledger Entry","12 Quantity","5 Source no.",$C2437,"3 Posting Date",O$9,"4 Entry Type",$C$4,"2 Item No.","@@"&amp;$F2437)</t>
  </si>
  <si>
    <t>=-NL("Sum","32 Item Ledger Entry","12 Quantity","5 Source no.",$C2438,"3 Posting Date",O$9,"4 Entry Type",$C$4,"2 Item No.","@@"&amp;$F2438)</t>
  </si>
  <si>
    <t>=-NL("Sum","32 Item Ledger Entry","12 Quantity","5 Source no.",$C2439,"3 Posting Date",O$9,"4 Entry Type",$C$4,"2 Item No.","@@"&amp;$F2439)</t>
  </si>
  <si>
    <t>=-NL("Sum","32 Item Ledger Entry","12 Quantity","5 Source no.",$C2440,"3 Posting Date",O$9,"4 Entry Type",$C$4,"2 Item No.","@@"&amp;$F2440)</t>
  </si>
  <si>
    <t>=-NL("Sum","32 Item Ledger Entry","12 Quantity","5 Source no.",$C2441,"3 Posting Date",O$9,"4 Entry Type",$C$4,"2 Item No.","@@"&amp;$F2441)</t>
  </si>
  <si>
    <t>=-NL("Sum","32 Item Ledger Entry","12 Quantity","5 Source no.",$C2442,"3 Posting Date",O$9,"4 Entry Type",$C$4,"2 Item No.","@@"&amp;$F2442)</t>
  </si>
  <si>
    <t>=-NL("Sum","32 Item Ledger Entry","12 Quantity","5 Source no.",$C2443,"3 Posting Date",O$9,"4 Entry Type",$C$4,"2 Item No.","@@"&amp;$F2443)</t>
  </si>
  <si>
    <t>=-NL("Sum","32 Item Ledger Entry","12 Quantity","5 Source no.",$C2444,"3 Posting Date",O$9,"4 Entry Type",$C$4,"2 Item No.","@@"&amp;$F2444)</t>
  </si>
  <si>
    <t>=-NL("Sum","32 Item Ledger Entry","12 Quantity","5 Source no.",$C2445,"3 Posting Date",O$9,"4 Entry Type",$C$4,"2 Item No.","@@"&amp;$F2445)</t>
  </si>
  <si>
    <t>=-NL("Sum","32 Item Ledger Entry","12 Quantity","5 Source no.",$C2446,"3 Posting Date",O$9,"4 Entry Type",$C$4,"2 Item No.","@@"&amp;$F2446)</t>
  </si>
  <si>
    <t>=-NL("Sum","32 Item Ledger Entry","12 Quantity","5 Source no.",$C2447,"3 Posting Date",O$9,"4 Entry Type",$C$4,"2 Item No.","@@"&amp;$F2447)</t>
  </si>
  <si>
    <t>=-NL("Sum","32 Item Ledger Entry","12 Quantity","5 Source no.",$C2448,"3 Posting Date",O$9,"4 Entry Type",$C$4,"2 Item No.","@@"&amp;$F2448)</t>
  </si>
  <si>
    <t>=-NL("Sum","32 Item Ledger Entry","12 Quantity","5 Source no.",$C2449,"3 Posting Date",O$9,"4 Entry Type",$C$4,"2 Item No.","@@"&amp;$F2449)</t>
  </si>
  <si>
    <t>=-NL("Sum","32 Item Ledger Entry","12 Quantity","5 Source no.",$C2450,"3 Posting Date",O$9,"4 Entry Type",$C$4,"2 Item No.","@@"&amp;$F2450)</t>
  </si>
  <si>
    <t>=-NL("Sum","32 Item Ledger Entry","12 Quantity","5 Source no.",$C2451,"3 Posting Date",O$9,"4 Entry Type",$C$4,"2 Item No.","@@"&amp;$F2451)</t>
  </si>
  <si>
    <t>=-NL("Sum","32 Item Ledger Entry","12 Quantity","5 Source no.",$C2452,"3 Posting Date",O$9,"4 Entry Type",$C$4,"2 Item No.","@@"&amp;$F2452)</t>
  </si>
  <si>
    <t>=-NL("Sum","32 Item Ledger Entry","12 Quantity","5 Source no.",$C2453,"3 Posting Date",O$9,"4 Entry Type",$C$4,"2 Item No.","@@"&amp;$F2453)</t>
  </si>
  <si>
    <t>=-NL("Sum","32 Item Ledger Entry","12 Quantity","5 Source no.",$C2454,"3 Posting Date",O$9,"4 Entry Type",$C$4,"2 Item No.","@@"&amp;$F2454)</t>
  </si>
  <si>
    <t>=-NL("Sum","32 Item Ledger Entry","12 Quantity","5 Source no.",$C2455,"3 Posting Date",O$9,"4 Entry Type",$C$4,"2 Item No.","@@"&amp;$F2455)</t>
  </si>
  <si>
    <t>=-NL("Sum","32 Item Ledger Entry","12 Quantity","5 Source no.",$C2456,"3 Posting Date",O$9,"4 Entry Type",$C$4,"2 Item No.","@@"&amp;$F2456)</t>
  </si>
  <si>
    <t>=-NL("Sum","32 Item Ledger Entry","12 Quantity","5 Source no.",$C2457,"3 Posting Date",O$9,"4 Entry Type",$C$4,"2 Item No.","@@"&amp;$F2457)</t>
  </si>
  <si>
    <t>=-NL("Sum","32 Item Ledger Entry","12 Quantity","5 Source no.",$C2458,"3 Posting Date",O$9,"4 Entry Type",$C$4,"2 Item No.","@@"&amp;$F2458)</t>
  </si>
  <si>
    <t>=-NL("Sum","32 Item Ledger Entry","12 Quantity","5 Source no.",$C2459,"3 Posting Date",O$9,"4 Entry Type",$C$4,"2 Item No.","@@"&amp;$F2459)</t>
  </si>
  <si>
    <t>=-NL("Sum","32 Item Ledger Entry","12 Quantity","5 Source no.",$C2460,"3 Posting Date",O$9,"4 Entry Type",$C$4,"2 Item No.","@@"&amp;$F2460)</t>
  </si>
  <si>
    <t>=-NL("Sum","32 Item Ledger Entry","12 Quantity","5 Source no.",$C2461,"3 Posting Date",O$9,"4 Entry Type",$C$4,"2 Item No.","@@"&amp;$F2461)</t>
  </si>
  <si>
    <t>=-NL("Sum","32 Item Ledger Entry","12 Quantity","5 Source no.",$C2462,"3 Posting Date",O$9,"4 Entry Type",$C$4,"2 Item No.","@@"&amp;$F2462)</t>
  </si>
  <si>
    <t>=-NL("Sum","32 Item Ledger Entry","12 Quantity","5 Source no.",$C2431,"3 Posting Date",U$9,"4 Entry Type",$C$4,"2 Item No.","@@"&amp;$F2431)</t>
  </si>
  <si>
    <t>=-NL("Sum","32 Item Ledger Entry","12 Quantity","5 Source no.",$C2432,"3 Posting Date",U$9,"4 Entry Type",$C$4,"2 Item No.","@@"&amp;$F2432)</t>
  </si>
  <si>
    <t>=-NL("Sum","32 Item Ledger Entry","12 Quantity","5 Source no.",$C2433,"3 Posting Date",U$9,"4 Entry Type",$C$4,"2 Item No.","@@"&amp;$F2433)</t>
  </si>
  <si>
    <t>=-NL("Sum","32 Item Ledger Entry","12 Quantity","5 Source no.",$C2434,"3 Posting Date",U$9,"4 Entry Type",$C$4,"2 Item No.","@@"&amp;$F2434)</t>
  </si>
  <si>
    <t>=-NL("Sum","32 Item Ledger Entry","12 Quantity","5 Source no.",$C2435,"3 Posting Date",U$9,"4 Entry Type",$C$4,"2 Item No.","@@"&amp;$F2435)</t>
  </si>
  <si>
    <t>=-NL("Sum","32 Item Ledger Entry","12 Quantity","5 Source no.",$C2436,"3 Posting Date",U$9,"4 Entry Type",$C$4,"2 Item No.","@@"&amp;$F2436)</t>
  </si>
  <si>
    <t>=-NL("Sum","32 Item Ledger Entry","12 Quantity","5 Source no.",$C2437,"3 Posting Date",U$9,"4 Entry Type",$C$4,"2 Item No.","@@"&amp;$F2437)</t>
  </si>
  <si>
    <t>=-NL("Sum","32 Item Ledger Entry","12 Quantity","5 Source no.",$C2438,"3 Posting Date",U$9,"4 Entry Type",$C$4,"2 Item No.","@@"&amp;$F2438)</t>
  </si>
  <si>
    <t>=-NL("Sum","32 Item Ledger Entry","12 Quantity","5 Source no.",$C2439,"3 Posting Date",U$9,"4 Entry Type",$C$4,"2 Item No.","@@"&amp;$F2439)</t>
  </si>
  <si>
    <t>=-NL("Sum","32 Item Ledger Entry","12 Quantity","5 Source no.",$C2440,"3 Posting Date",U$9,"4 Entry Type",$C$4,"2 Item No.","@@"&amp;$F2440)</t>
  </si>
  <si>
    <t>=-NL("Sum","32 Item Ledger Entry","12 Quantity","5 Source no.",$C2441,"3 Posting Date",U$9,"4 Entry Type",$C$4,"2 Item No.","@@"&amp;$F2441)</t>
  </si>
  <si>
    <t>=-NL("Sum","32 Item Ledger Entry","12 Quantity","5 Source no.",$C2442,"3 Posting Date",U$9,"4 Entry Type",$C$4,"2 Item No.","@@"&amp;$F2442)</t>
  </si>
  <si>
    <t>=-NL("Sum","32 Item Ledger Entry","12 Quantity","5 Source no.",$C2443,"3 Posting Date",U$9,"4 Entry Type",$C$4,"2 Item No.","@@"&amp;$F2443)</t>
  </si>
  <si>
    <t>=-NL("Sum","32 Item Ledger Entry","12 Quantity","5 Source no.",$C2444,"3 Posting Date",U$9,"4 Entry Type",$C$4,"2 Item No.","@@"&amp;$F2444)</t>
  </si>
  <si>
    <t>=-NL("Sum","32 Item Ledger Entry","12 Quantity","5 Source no.",$C2445,"3 Posting Date",U$9,"4 Entry Type",$C$4,"2 Item No.","@@"&amp;$F2445)</t>
  </si>
  <si>
    <t>=-NL("Sum","32 Item Ledger Entry","12 Quantity","5 Source no.",$C2446,"3 Posting Date",U$9,"4 Entry Type",$C$4,"2 Item No.","@@"&amp;$F2446)</t>
  </si>
  <si>
    <t>=-NL("Sum","32 Item Ledger Entry","12 Quantity","5 Source no.",$C2447,"3 Posting Date",U$9,"4 Entry Type",$C$4,"2 Item No.","@@"&amp;$F2447)</t>
  </si>
  <si>
    <t>=-NL("Sum","32 Item Ledger Entry","12 Quantity","5 Source no.",$C2448,"3 Posting Date",U$9,"4 Entry Type",$C$4,"2 Item No.","@@"&amp;$F2448)</t>
  </si>
  <si>
    <t>=-NL("Sum","32 Item Ledger Entry","12 Quantity","5 Source no.",$C2449,"3 Posting Date",U$9,"4 Entry Type",$C$4,"2 Item No.","@@"&amp;$F2449)</t>
  </si>
  <si>
    <t>=-NL("Sum","32 Item Ledger Entry","12 Quantity","5 Source no.",$C2450,"3 Posting Date",U$9,"4 Entry Type",$C$4,"2 Item No.","@@"&amp;$F2450)</t>
  </si>
  <si>
    <t>=-NL("Sum","32 Item Ledger Entry","12 Quantity","5 Source no.",$C2451,"3 Posting Date",U$9,"4 Entry Type",$C$4,"2 Item No.","@@"&amp;$F2451)</t>
  </si>
  <si>
    <t>=-NL("Sum","32 Item Ledger Entry","12 Quantity","5 Source no.",$C2452,"3 Posting Date",U$9,"4 Entry Type",$C$4,"2 Item No.","@@"&amp;$F2452)</t>
  </si>
  <si>
    <t>=-NL("Sum","32 Item Ledger Entry","12 Quantity","5 Source no.",$C2453,"3 Posting Date",U$9,"4 Entry Type",$C$4,"2 Item No.","@@"&amp;$F2453)</t>
  </si>
  <si>
    <t>=-NL("Sum","32 Item Ledger Entry","12 Quantity","5 Source no.",$C2454,"3 Posting Date",U$9,"4 Entry Type",$C$4,"2 Item No.","@@"&amp;$F2454)</t>
  </si>
  <si>
    <t>=-NL("Sum","32 Item Ledger Entry","12 Quantity","5 Source no.",$C2455,"3 Posting Date",U$9,"4 Entry Type",$C$4,"2 Item No.","@@"&amp;$F2455)</t>
  </si>
  <si>
    <t>=-NL("Sum","32 Item Ledger Entry","12 Quantity","5 Source no.",$C2456,"3 Posting Date",U$9,"4 Entry Type",$C$4,"2 Item No.","@@"&amp;$F2456)</t>
  </si>
  <si>
    <t>=-NL("Sum","32 Item Ledger Entry","12 Quantity","5 Source no.",$C2457,"3 Posting Date",U$9,"4 Entry Type",$C$4,"2 Item No.","@@"&amp;$F2457)</t>
  </si>
  <si>
    <t>=-NL("Sum","32 Item Ledger Entry","12 Quantity","5 Source no.",$C2458,"3 Posting Date",U$9,"4 Entry Type",$C$4,"2 Item No.","@@"&amp;$F2458)</t>
  </si>
  <si>
    <t>=-NL("Sum","32 Item Ledger Entry","12 Quantity","5 Source no.",$C2459,"3 Posting Date",U$9,"4 Entry Type",$C$4,"2 Item No.","@@"&amp;$F2459)</t>
  </si>
  <si>
    <t>=-NL("Sum","32 Item Ledger Entry","12 Quantity","5 Source no.",$C2460,"3 Posting Date",U$9,"4 Entry Type",$C$4,"2 Item No.","@@"&amp;$F2460)</t>
  </si>
  <si>
    <t>=-NL("Sum","32 Item Ledger Entry","12 Quantity","5 Source no.",$C2461,"3 Posting Date",U$9,"4 Entry Type",$C$4,"2 Item No.","@@"&amp;$F2461)</t>
  </si>
  <si>
    <t>=-NL("Sum","32 Item Ledger Entry","12 Quantity","5 Source no.",$C2462,"3 Posting Date",U$9,"4 Entry Type",$C$4,"2 Item No.","@@"&amp;$F2462)</t>
  </si>
  <si>
    <t>=-NL("Sum","32 Item Ledger Entry","12 Quantity","5 Source no.",$C2431,"3 Posting Date",Z$9,"4 Entry Type",$C$4,"2 Item No.","@@"&amp;$F2431)</t>
  </si>
  <si>
    <t>=-NL("Sum","32 Item Ledger Entry","12 Quantity","5 Source no.",$C2432,"3 Posting Date",Z$9,"4 Entry Type",$C$4,"2 Item No.","@@"&amp;$F2432)</t>
  </si>
  <si>
    <t>=-NL("Sum","32 Item Ledger Entry","12 Quantity","5 Source no.",$C2433,"3 Posting Date",Z$9,"4 Entry Type",$C$4,"2 Item No.","@@"&amp;$F2433)</t>
  </si>
  <si>
    <t>=-NL("Sum","32 Item Ledger Entry","12 Quantity","5 Source no.",$C2434,"3 Posting Date",Z$9,"4 Entry Type",$C$4,"2 Item No.","@@"&amp;$F2434)</t>
  </si>
  <si>
    <t>=-NL("Sum","32 Item Ledger Entry","12 Quantity","5 Source no.",$C2435,"3 Posting Date",Z$9,"4 Entry Type",$C$4,"2 Item No.","@@"&amp;$F2435)</t>
  </si>
  <si>
    <t>=-NL("Sum","32 Item Ledger Entry","12 Quantity","5 Source no.",$C2436,"3 Posting Date",Z$9,"4 Entry Type",$C$4,"2 Item No.","@@"&amp;$F2436)</t>
  </si>
  <si>
    <t>=-NL("Sum","32 Item Ledger Entry","12 Quantity","5 Source no.",$C2437,"3 Posting Date",Z$9,"4 Entry Type",$C$4,"2 Item No.","@@"&amp;$F2437)</t>
  </si>
  <si>
    <t>=-NL("Sum","32 Item Ledger Entry","12 Quantity","5 Source no.",$C2438,"3 Posting Date",Z$9,"4 Entry Type",$C$4,"2 Item No.","@@"&amp;$F2438)</t>
  </si>
  <si>
    <t>=-NL("Sum","32 Item Ledger Entry","12 Quantity","5 Source no.",$C2439,"3 Posting Date",Z$9,"4 Entry Type",$C$4,"2 Item No.","@@"&amp;$F2439)</t>
  </si>
  <si>
    <t>=-NL("Sum","32 Item Ledger Entry","12 Quantity","5 Source no.",$C2440,"3 Posting Date",Z$9,"4 Entry Type",$C$4,"2 Item No.","@@"&amp;$F2440)</t>
  </si>
  <si>
    <t>=-NL("Sum","32 Item Ledger Entry","12 Quantity","5 Source no.",$C2441,"3 Posting Date",Z$9,"4 Entry Type",$C$4,"2 Item No.","@@"&amp;$F2441)</t>
  </si>
  <si>
    <t>=-NL("Sum","32 Item Ledger Entry","12 Quantity","5 Source no.",$C2442,"3 Posting Date",Z$9,"4 Entry Type",$C$4,"2 Item No.","@@"&amp;$F2442)</t>
  </si>
  <si>
    <t>=-NL("Sum","32 Item Ledger Entry","12 Quantity","5 Source no.",$C2443,"3 Posting Date",Z$9,"4 Entry Type",$C$4,"2 Item No.","@@"&amp;$F2443)</t>
  </si>
  <si>
    <t>=-NL("Sum","32 Item Ledger Entry","12 Quantity","5 Source no.",$C2444,"3 Posting Date",Z$9,"4 Entry Type",$C$4,"2 Item No.","@@"&amp;$F2444)</t>
  </si>
  <si>
    <t>=-NL("Sum","32 Item Ledger Entry","12 Quantity","5 Source no.",$C2445,"3 Posting Date",Z$9,"4 Entry Type",$C$4,"2 Item No.","@@"&amp;$F2445)</t>
  </si>
  <si>
    <t>=-NL("Sum","32 Item Ledger Entry","12 Quantity","5 Source no.",$C2446,"3 Posting Date",Z$9,"4 Entry Type",$C$4,"2 Item No.","@@"&amp;$F2446)</t>
  </si>
  <si>
    <t>=-NL("Sum","32 Item Ledger Entry","12 Quantity","5 Source no.",$C2447,"3 Posting Date",Z$9,"4 Entry Type",$C$4,"2 Item No.","@@"&amp;$F2447)</t>
  </si>
  <si>
    <t>=-NL("Sum","32 Item Ledger Entry","12 Quantity","5 Source no.",$C2448,"3 Posting Date",Z$9,"4 Entry Type",$C$4,"2 Item No.","@@"&amp;$F2448)</t>
  </si>
  <si>
    <t>=-NL("Sum","32 Item Ledger Entry","12 Quantity","5 Source no.",$C2449,"3 Posting Date",Z$9,"4 Entry Type",$C$4,"2 Item No.","@@"&amp;$F2449)</t>
  </si>
  <si>
    <t>=-NL("Sum","32 Item Ledger Entry","12 Quantity","5 Source no.",$C2450,"3 Posting Date",Z$9,"4 Entry Type",$C$4,"2 Item No.","@@"&amp;$F2450)</t>
  </si>
  <si>
    <t>=-NL("Sum","32 Item Ledger Entry","12 Quantity","5 Source no.",$C2451,"3 Posting Date",Z$9,"4 Entry Type",$C$4,"2 Item No.","@@"&amp;$F2451)</t>
  </si>
  <si>
    <t>=-NL("Sum","32 Item Ledger Entry","12 Quantity","5 Source no.",$C2452,"3 Posting Date",Z$9,"4 Entry Type",$C$4,"2 Item No.","@@"&amp;$F2452)</t>
  </si>
  <si>
    <t>=-NL("Sum","32 Item Ledger Entry","12 Quantity","5 Source no.",$C2453,"3 Posting Date",Z$9,"4 Entry Type",$C$4,"2 Item No.","@@"&amp;$F2453)</t>
  </si>
  <si>
    <t>=-NL("Sum","32 Item Ledger Entry","12 Quantity","5 Source no.",$C2454,"3 Posting Date",Z$9,"4 Entry Type",$C$4,"2 Item No.","@@"&amp;$F2454)</t>
  </si>
  <si>
    <t>=-NL("Sum","32 Item Ledger Entry","12 Quantity","5 Source no.",$C2455,"3 Posting Date",Z$9,"4 Entry Type",$C$4,"2 Item No.","@@"&amp;$F2455)</t>
  </si>
  <si>
    <t>=-NL("Sum","32 Item Ledger Entry","12 Quantity","5 Source no.",$C2456,"3 Posting Date",Z$9,"4 Entry Type",$C$4,"2 Item No.","@@"&amp;$F2456)</t>
  </si>
  <si>
    <t>=-NL("Sum","32 Item Ledger Entry","12 Quantity","5 Source no.",$C2457,"3 Posting Date",Z$9,"4 Entry Type",$C$4,"2 Item No.","@@"&amp;$F2457)</t>
  </si>
  <si>
    <t>=-NL("Sum","32 Item Ledger Entry","12 Quantity","5 Source no.",$C2458,"3 Posting Date",Z$9,"4 Entry Type",$C$4,"2 Item No.","@@"&amp;$F2458)</t>
  </si>
  <si>
    <t>=-NL("Sum","32 Item Ledger Entry","12 Quantity","5 Source no.",$C2459,"3 Posting Date",Z$9,"4 Entry Type",$C$4,"2 Item No.","@@"&amp;$F2459)</t>
  </si>
  <si>
    <t>=-NL("Sum","32 Item Ledger Entry","12 Quantity","5 Source no.",$C2460,"3 Posting Date",Z$9,"4 Entry Type",$C$4,"2 Item No.","@@"&amp;$F2460)</t>
  </si>
  <si>
    <t>=-NL("Sum","32 Item Ledger Entry","12 Quantity","5 Source no.",$C2461,"3 Posting Date",Z$9,"4 Entry Type",$C$4,"2 Item No.","@@"&amp;$F2461)</t>
  </si>
  <si>
    <t>=-NL("Sum","32 Item Ledger Entry","12 Quantity","5 Source no.",$C2462,"3 Posting Date",Z$9,"4 Entry Type",$C$4,"2 Item No.","@@"&amp;$F2462)</t>
  </si>
  <si>
    <t>=NL(,"27 Item","3 Description","1 No.","@@"&amp;F2409)</t>
  </si>
  <si>
    <t>=NL(,"27 Item","3 Description","1 No.","@@"&amp;F2410)</t>
  </si>
  <si>
    <t>=NL(,"27 Item","3 Description","1 No.","@@"&amp;F2411)</t>
  </si>
  <si>
    <t>=NL(,"27 Item","3 Description","1 No.","@@"&amp;F2412)</t>
  </si>
  <si>
    <t>=NL(,"27 Item","3 Description","1 No.","@@"&amp;F2413)</t>
  </si>
  <si>
    <t>=NL(,"27 Item","3 Description","1 No.","@@"&amp;F2414)</t>
  </si>
  <si>
    <t>=NL(,"27 Item","3 Description","1 No.","@@"&amp;F2415)</t>
  </si>
  <si>
    <t>=NL(,"27 Item","3 Description","1 No.","@@"&amp;F2416)</t>
  </si>
  <si>
    <t>=NL(,"27 Item","3 Description","1 No.","@@"&amp;F2417)</t>
  </si>
  <si>
    <t>=NL(,"27 Item","3 Description","1 No.","@@"&amp;F2418)</t>
  </si>
  <si>
    <t>=NL(,"27 Item","3 Description","1 No.","@@"&amp;F2419)</t>
  </si>
  <si>
    <t>=NL(,"27 Item","3 Description","1 No.","@@"&amp;F2420)</t>
  </si>
  <si>
    <t>=NL(,"27 Item","3 Description","1 No.","@@"&amp;F2421)</t>
  </si>
  <si>
    <t>=NL(,"27 Item","3 Description","1 No.","@@"&amp;F2422)</t>
  </si>
  <si>
    <t>=NL(,"27 Item","3 Description","1 No.","@@"&amp;F2423)</t>
  </si>
  <si>
    <t>=NL(,"27 Item","3 Description","1 No.","@@"&amp;F2424)</t>
  </si>
  <si>
    <t>=NL(,"27 Item","3 Description","1 No.","@@"&amp;F2425)</t>
  </si>
  <si>
    <t>=-NL("Sum","32 Item Ledger Entry","12 Quantity","5 Source no.",$C2409,"3 Posting Date",J$9,"4 Entry Type",$C$4,"2 Item No.","@@"&amp;$F2409)</t>
  </si>
  <si>
    <t>=-NL("Sum","32 Item Ledger Entry","12 Quantity","5 Source no.",$C2410,"3 Posting Date",J$9,"4 Entry Type",$C$4,"2 Item No.","@@"&amp;$F2410)</t>
  </si>
  <si>
    <t>=-NL("Sum","32 Item Ledger Entry","12 Quantity","5 Source no.",$C2411,"3 Posting Date",J$9,"4 Entry Type",$C$4,"2 Item No.","@@"&amp;$F2411)</t>
  </si>
  <si>
    <t>=-NL("Sum","32 Item Ledger Entry","12 Quantity","5 Source no.",$C2412,"3 Posting Date",J$9,"4 Entry Type",$C$4,"2 Item No.","@@"&amp;$F2412)</t>
  </si>
  <si>
    <t>=-NL("Sum","32 Item Ledger Entry","12 Quantity","5 Source no.",$C2413,"3 Posting Date",J$9,"4 Entry Type",$C$4,"2 Item No.","@@"&amp;$F2413)</t>
  </si>
  <si>
    <t>=-NL("Sum","32 Item Ledger Entry","12 Quantity","5 Source no.",$C2414,"3 Posting Date",J$9,"4 Entry Type",$C$4,"2 Item No.","@@"&amp;$F2414)</t>
  </si>
  <si>
    <t>=-NL("Sum","32 Item Ledger Entry","12 Quantity","5 Source no.",$C2415,"3 Posting Date",J$9,"4 Entry Type",$C$4,"2 Item No.","@@"&amp;$F2415)</t>
  </si>
  <si>
    <t>=-NL("Sum","32 Item Ledger Entry","12 Quantity","5 Source no.",$C2416,"3 Posting Date",J$9,"4 Entry Type",$C$4,"2 Item No.","@@"&amp;$F2416)</t>
  </si>
  <si>
    <t>=-NL("Sum","32 Item Ledger Entry","12 Quantity","5 Source no.",$C2417,"3 Posting Date",J$9,"4 Entry Type",$C$4,"2 Item No.","@@"&amp;$F2417)</t>
  </si>
  <si>
    <t>=-NL("Sum","32 Item Ledger Entry","12 Quantity","5 Source no.",$C2418,"3 Posting Date",J$9,"4 Entry Type",$C$4,"2 Item No.","@@"&amp;$F2418)</t>
  </si>
  <si>
    <t>=-NL("Sum","32 Item Ledger Entry","12 Quantity","5 Source no.",$C2419,"3 Posting Date",J$9,"4 Entry Type",$C$4,"2 Item No.","@@"&amp;$F2419)</t>
  </si>
  <si>
    <t>=-NL("Sum","32 Item Ledger Entry","12 Quantity","5 Source no.",$C2420,"3 Posting Date",J$9,"4 Entry Type",$C$4,"2 Item No.","@@"&amp;$F2420)</t>
  </si>
  <si>
    <t>=-NL("Sum","32 Item Ledger Entry","12 Quantity","5 Source no.",$C2421,"3 Posting Date",J$9,"4 Entry Type",$C$4,"2 Item No.","@@"&amp;$F2421)</t>
  </si>
  <si>
    <t>=-NL("Sum","32 Item Ledger Entry","12 Quantity","5 Source no.",$C2422,"3 Posting Date",J$9,"4 Entry Type",$C$4,"2 Item No.","@@"&amp;$F2422)</t>
  </si>
  <si>
    <t>=-NL("Sum","32 Item Ledger Entry","12 Quantity","5 Source no.",$C2423,"3 Posting Date",J$9,"4 Entry Type",$C$4,"2 Item No.","@@"&amp;$F2423)</t>
  </si>
  <si>
    <t>=-NL("Sum","32 Item Ledger Entry","12 Quantity","5 Source no.",$C2424,"3 Posting Date",J$9,"4 Entry Type",$C$4,"2 Item No.","@@"&amp;$F2424)</t>
  </si>
  <si>
    <t>=-NL("Sum","32 Item Ledger Entry","12 Quantity","5 Source no.",$C2425,"3 Posting Date",J$9,"4 Entry Type",$C$4,"2 Item No.","@@"&amp;$F2425)</t>
  </si>
  <si>
    <t>=-NL("Sum","32 Item Ledger Entry","12 Quantity","5 Source no.",$C2409,"3 Posting Date",O$9,"4 Entry Type",$C$4,"2 Item No.","@@"&amp;$F2409)</t>
  </si>
  <si>
    <t>=-NL("Sum","32 Item Ledger Entry","12 Quantity","5 Source no.",$C2410,"3 Posting Date",O$9,"4 Entry Type",$C$4,"2 Item No.","@@"&amp;$F2410)</t>
  </si>
  <si>
    <t>=-NL("Sum","32 Item Ledger Entry","12 Quantity","5 Source no.",$C2411,"3 Posting Date",O$9,"4 Entry Type",$C$4,"2 Item No.","@@"&amp;$F2411)</t>
  </si>
  <si>
    <t>=-NL("Sum","32 Item Ledger Entry","12 Quantity","5 Source no.",$C2412,"3 Posting Date",O$9,"4 Entry Type",$C$4,"2 Item No.","@@"&amp;$F2412)</t>
  </si>
  <si>
    <t>=-NL("Sum","32 Item Ledger Entry","12 Quantity","5 Source no.",$C2413,"3 Posting Date",O$9,"4 Entry Type",$C$4,"2 Item No.","@@"&amp;$F2413)</t>
  </si>
  <si>
    <t>=-NL("Sum","32 Item Ledger Entry","12 Quantity","5 Source no.",$C2414,"3 Posting Date",O$9,"4 Entry Type",$C$4,"2 Item No.","@@"&amp;$F2414)</t>
  </si>
  <si>
    <t>=-NL("Sum","32 Item Ledger Entry","12 Quantity","5 Source no.",$C2415,"3 Posting Date",O$9,"4 Entry Type",$C$4,"2 Item No.","@@"&amp;$F2415)</t>
  </si>
  <si>
    <t>=-NL("Sum","32 Item Ledger Entry","12 Quantity","5 Source no.",$C2416,"3 Posting Date",O$9,"4 Entry Type",$C$4,"2 Item No.","@@"&amp;$F2416)</t>
  </si>
  <si>
    <t>=-NL("Sum","32 Item Ledger Entry","12 Quantity","5 Source no.",$C2417,"3 Posting Date",O$9,"4 Entry Type",$C$4,"2 Item No.","@@"&amp;$F2417)</t>
  </si>
  <si>
    <t>=-NL("Sum","32 Item Ledger Entry","12 Quantity","5 Source no.",$C2418,"3 Posting Date",O$9,"4 Entry Type",$C$4,"2 Item No.","@@"&amp;$F2418)</t>
  </si>
  <si>
    <t>=-NL("Sum","32 Item Ledger Entry","12 Quantity","5 Source no.",$C2419,"3 Posting Date",O$9,"4 Entry Type",$C$4,"2 Item No.","@@"&amp;$F2419)</t>
  </si>
  <si>
    <t>=-NL("Sum","32 Item Ledger Entry","12 Quantity","5 Source no.",$C2420,"3 Posting Date",O$9,"4 Entry Type",$C$4,"2 Item No.","@@"&amp;$F2420)</t>
  </si>
  <si>
    <t>=-NL("Sum","32 Item Ledger Entry","12 Quantity","5 Source no.",$C2421,"3 Posting Date",O$9,"4 Entry Type",$C$4,"2 Item No.","@@"&amp;$F2421)</t>
  </si>
  <si>
    <t>=-NL("Sum","32 Item Ledger Entry","12 Quantity","5 Source no.",$C2422,"3 Posting Date",O$9,"4 Entry Type",$C$4,"2 Item No.","@@"&amp;$F2422)</t>
  </si>
  <si>
    <t>=-NL("Sum","32 Item Ledger Entry","12 Quantity","5 Source no.",$C2423,"3 Posting Date",O$9,"4 Entry Type",$C$4,"2 Item No.","@@"&amp;$F2423)</t>
  </si>
  <si>
    <t>=-NL("Sum","32 Item Ledger Entry","12 Quantity","5 Source no.",$C2424,"3 Posting Date",O$9,"4 Entry Type",$C$4,"2 Item No.","@@"&amp;$F2424)</t>
  </si>
  <si>
    <t>=-NL("Sum","32 Item Ledger Entry","12 Quantity","5 Source no.",$C2425,"3 Posting Date",O$9,"4 Entry Type",$C$4,"2 Item No.","@@"&amp;$F2425)</t>
  </si>
  <si>
    <t>=-NL("Sum","32 Item Ledger Entry","12 Quantity","5 Source no.",$C2409,"3 Posting Date",U$9,"4 Entry Type",$C$4,"2 Item No.","@@"&amp;$F2409)</t>
  </si>
  <si>
    <t>=-NL("Sum","32 Item Ledger Entry","12 Quantity","5 Source no.",$C2410,"3 Posting Date",U$9,"4 Entry Type",$C$4,"2 Item No.","@@"&amp;$F2410)</t>
  </si>
  <si>
    <t>=-NL("Sum","32 Item Ledger Entry","12 Quantity","5 Source no.",$C2411,"3 Posting Date",U$9,"4 Entry Type",$C$4,"2 Item No.","@@"&amp;$F2411)</t>
  </si>
  <si>
    <t>=-NL("Sum","32 Item Ledger Entry","12 Quantity","5 Source no.",$C2412,"3 Posting Date",U$9,"4 Entry Type",$C$4,"2 Item No.","@@"&amp;$F2412)</t>
  </si>
  <si>
    <t>=-NL("Sum","32 Item Ledger Entry","12 Quantity","5 Source no.",$C2413,"3 Posting Date",U$9,"4 Entry Type",$C$4,"2 Item No.","@@"&amp;$F2413)</t>
  </si>
  <si>
    <t>=-NL("Sum","32 Item Ledger Entry","12 Quantity","5 Source no.",$C2414,"3 Posting Date",U$9,"4 Entry Type",$C$4,"2 Item No.","@@"&amp;$F2414)</t>
  </si>
  <si>
    <t>=-NL("Sum","32 Item Ledger Entry","12 Quantity","5 Source no.",$C2415,"3 Posting Date",U$9,"4 Entry Type",$C$4,"2 Item No.","@@"&amp;$F2415)</t>
  </si>
  <si>
    <t>=-NL("Sum","32 Item Ledger Entry","12 Quantity","5 Source no.",$C2416,"3 Posting Date",U$9,"4 Entry Type",$C$4,"2 Item No.","@@"&amp;$F2416)</t>
  </si>
  <si>
    <t>=-NL("Sum","32 Item Ledger Entry","12 Quantity","5 Source no.",$C2417,"3 Posting Date",U$9,"4 Entry Type",$C$4,"2 Item No.","@@"&amp;$F2417)</t>
  </si>
  <si>
    <t>=-NL("Sum","32 Item Ledger Entry","12 Quantity","5 Source no.",$C2418,"3 Posting Date",U$9,"4 Entry Type",$C$4,"2 Item No.","@@"&amp;$F2418)</t>
  </si>
  <si>
    <t>=-NL("Sum","32 Item Ledger Entry","12 Quantity","5 Source no.",$C2419,"3 Posting Date",U$9,"4 Entry Type",$C$4,"2 Item No.","@@"&amp;$F2419)</t>
  </si>
  <si>
    <t>=-NL("Sum","32 Item Ledger Entry","12 Quantity","5 Source no.",$C2420,"3 Posting Date",U$9,"4 Entry Type",$C$4,"2 Item No.","@@"&amp;$F2420)</t>
  </si>
  <si>
    <t>=-NL("Sum","32 Item Ledger Entry","12 Quantity","5 Source no.",$C2421,"3 Posting Date",U$9,"4 Entry Type",$C$4,"2 Item No.","@@"&amp;$F2421)</t>
  </si>
  <si>
    <t>=-NL("Sum","32 Item Ledger Entry","12 Quantity","5 Source no.",$C2422,"3 Posting Date",U$9,"4 Entry Type",$C$4,"2 Item No.","@@"&amp;$F2422)</t>
  </si>
  <si>
    <t>=-NL("Sum","32 Item Ledger Entry","12 Quantity","5 Source no.",$C2423,"3 Posting Date",U$9,"4 Entry Type",$C$4,"2 Item No.","@@"&amp;$F2423)</t>
  </si>
  <si>
    <t>=-NL("Sum","32 Item Ledger Entry","12 Quantity","5 Source no.",$C2424,"3 Posting Date",U$9,"4 Entry Type",$C$4,"2 Item No.","@@"&amp;$F2424)</t>
  </si>
  <si>
    <t>=-NL("Sum","32 Item Ledger Entry","12 Quantity","5 Source no.",$C2425,"3 Posting Date",U$9,"4 Entry Type",$C$4,"2 Item No.","@@"&amp;$F2425)</t>
  </si>
  <si>
    <t>=-NL("Sum","32 Item Ledger Entry","12 Quantity","5 Source no.",$C2409,"3 Posting Date",Z$9,"4 Entry Type",$C$4,"2 Item No.","@@"&amp;$F2409)</t>
  </si>
  <si>
    <t>=-NL("Sum","32 Item Ledger Entry","12 Quantity","5 Source no.",$C2410,"3 Posting Date",Z$9,"4 Entry Type",$C$4,"2 Item No.","@@"&amp;$F2410)</t>
  </si>
  <si>
    <t>=-NL("Sum","32 Item Ledger Entry","12 Quantity","5 Source no.",$C2411,"3 Posting Date",Z$9,"4 Entry Type",$C$4,"2 Item No.","@@"&amp;$F2411)</t>
  </si>
  <si>
    <t>=-NL("Sum","32 Item Ledger Entry","12 Quantity","5 Source no.",$C2412,"3 Posting Date",Z$9,"4 Entry Type",$C$4,"2 Item No.","@@"&amp;$F2412)</t>
  </si>
  <si>
    <t>=-NL("Sum","32 Item Ledger Entry","12 Quantity","5 Source no.",$C2413,"3 Posting Date",Z$9,"4 Entry Type",$C$4,"2 Item No.","@@"&amp;$F2413)</t>
  </si>
  <si>
    <t>=-NL("Sum","32 Item Ledger Entry","12 Quantity","5 Source no.",$C2414,"3 Posting Date",Z$9,"4 Entry Type",$C$4,"2 Item No.","@@"&amp;$F2414)</t>
  </si>
  <si>
    <t>=-NL("Sum","32 Item Ledger Entry","12 Quantity","5 Source no.",$C2415,"3 Posting Date",Z$9,"4 Entry Type",$C$4,"2 Item No.","@@"&amp;$F2415)</t>
  </si>
  <si>
    <t>=-NL("Sum","32 Item Ledger Entry","12 Quantity","5 Source no.",$C2416,"3 Posting Date",Z$9,"4 Entry Type",$C$4,"2 Item No.","@@"&amp;$F2416)</t>
  </si>
  <si>
    <t>=-NL("Sum","32 Item Ledger Entry","12 Quantity","5 Source no.",$C2417,"3 Posting Date",Z$9,"4 Entry Type",$C$4,"2 Item No.","@@"&amp;$F2417)</t>
  </si>
  <si>
    <t>=-NL("Sum","32 Item Ledger Entry","12 Quantity","5 Source no.",$C2418,"3 Posting Date",Z$9,"4 Entry Type",$C$4,"2 Item No.","@@"&amp;$F2418)</t>
  </si>
  <si>
    <t>=-NL("Sum","32 Item Ledger Entry","12 Quantity","5 Source no.",$C2419,"3 Posting Date",Z$9,"4 Entry Type",$C$4,"2 Item No.","@@"&amp;$F2419)</t>
  </si>
  <si>
    <t>=-NL("Sum","32 Item Ledger Entry","12 Quantity","5 Source no.",$C2420,"3 Posting Date",Z$9,"4 Entry Type",$C$4,"2 Item No.","@@"&amp;$F2420)</t>
  </si>
  <si>
    <t>=-NL("Sum","32 Item Ledger Entry","12 Quantity","5 Source no.",$C2421,"3 Posting Date",Z$9,"4 Entry Type",$C$4,"2 Item No.","@@"&amp;$F2421)</t>
  </si>
  <si>
    <t>=-NL("Sum","32 Item Ledger Entry","12 Quantity","5 Source no.",$C2422,"3 Posting Date",Z$9,"4 Entry Type",$C$4,"2 Item No.","@@"&amp;$F2422)</t>
  </si>
  <si>
    <t>=-NL("Sum","32 Item Ledger Entry","12 Quantity","5 Source no.",$C2423,"3 Posting Date",Z$9,"4 Entry Type",$C$4,"2 Item No.","@@"&amp;$F2423)</t>
  </si>
  <si>
    <t>=-NL("Sum","32 Item Ledger Entry","12 Quantity","5 Source no.",$C2424,"3 Posting Date",Z$9,"4 Entry Type",$C$4,"2 Item No.","@@"&amp;$F2424)</t>
  </si>
  <si>
    <t>=-NL("Sum","32 Item Ledger Entry","12 Quantity","5 Source no.",$C2425,"3 Posting Date",Z$9,"4 Entry Type",$C$4,"2 Item No.","@@"&amp;$F2425)</t>
  </si>
  <si>
    <t>=NL(,"27 Item","3 Description","1 No.","@@"&amp;F2381)</t>
  </si>
  <si>
    <t>=NL(,"27 Item","3 Description","1 No.","@@"&amp;F2382)</t>
  </si>
  <si>
    <t>=NL(,"27 Item","3 Description","1 No.","@@"&amp;F2383)</t>
  </si>
  <si>
    <t>=NL(,"27 Item","3 Description","1 No.","@@"&amp;F2384)</t>
  </si>
  <si>
    <t>=NL(,"27 Item","3 Description","1 No.","@@"&amp;F2385)</t>
  </si>
  <si>
    <t>=NL(,"27 Item","3 Description","1 No.","@@"&amp;F2386)</t>
  </si>
  <si>
    <t>=NL(,"27 Item","3 Description","1 No.","@@"&amp;F2387)</t>
  </si>
  <si>
    <t>=NL(,"27 Item","3 Description","1 No.","@@"&amp;F2388)</t>
  </si>
  <si>
    <t>=NL(,"27 Item","3 Description","1 No.","@@"&amp;F2389)</t>
  </si>
  <si>
    <t>=NL(,"27 Item","3 Description","1 No.","@@"&amp;F2390)</t>
  </si>
  <si>
    <t>=NL(,"27 Item","3 Description","1 No.","@@"&amp;F2391)</t>
  </si>
  <si>
    <t>=NL(,"27 Item","3 Description","1 No.","@@"&amp;F2392)</t>
  </si>
  <si>
    <t>=NL(,"27 Item","3 Description","1 No.","@@"&amp;F2393)</t>
  </si>
  <si>
    <t>=NL(,"27 Item","3 Description","1 No.","@@"&amp;F2394)</t>
  </si>
  <si>
    <t>=NL(,"27 Item","3 Description","1 No.","@@"&amp;F2395)</t>
  </si>
  <si>
    <t>=NL(,"27 Item","3 Description","1 No.","@@"&amp;F2396)</t>
  </si>
  <si>
    <t>=NL(,"27 Item","3 Description","1 No.","@@"&amp;F2397)</t>
  </si>
  <si>
    <t>=NL(,"27 Item","3 Description","1 No.","@@"&amp;F2398)</t>
  </si>
  <si>
    <t>=NL(,"27 Item","3 Description","1 No.","@@"&amp;F2399)</t>
  </si>
  <si>
    <t>=NL(,"27 Item","3 Description","1 No.","@@"&amp;F2400)</t>
  </si>
  <si>
    <t>=NL(,"27 Item","3 Description","1 No.","@@"&amp;F2401)</t>
  </si>
  <si>
    <t>=NL(,"27 Item","3 Description","1 No.","@@"&amp;F2402)</t>
  </si>
  <si>
    <t>=NL(,"27 Item","3 Description","1 No.","@@"&amp;F2403)</t>
  </si>
  <si>
    <t>=-NL("Sum","32 Item Ledger Entry","12 Quantity","5 Source no.",$C2381,"3 Posting Date",J$9,"4 Entry Type",$C$4,"2 Item No.","@@"&amp;$F2381)</t>
  </si>
  <si>
    <t>=-NL("Sum","32 Item Ledger Entry","12 Quantity","5 Source no.",$C2382,"3 Posting Date",J$9,"4 Entry Type",$C$4,"2 Item No.","@@"&amp;$F2382)</t>
  </si>
  <si>
    <t>=-NL("Sum","32 Item Ledger Entry","12 Quantity","5 Source no.",$C2383,"3 Posting Date",J$9,"4 Entry Type",$C$4,"2 Item No.","@@"&amp;$F2383)</t>
  </si>
  <si>
    <t>=-NL("Sum","32 Item Ledger Entry","12 Quantity","5 Source no.",$C2384,"3 Posting Date",J$9,"4 Entry Type",$C$4,"2 Item No.","@@"&amp;$F2384)</t>
  </si>
  <si>
    <t>=-NL("Sum","32 Item Ledger Entry","12 Quantity","5 Source no.",$C2385,"3 Posting Date",J$9,"4 Entry Type",$C$4,"2 Item No.","@@"&amp;$F2385)</t>
  </si>
  <si>
    <t>=-NL("Sum","32 Item Ledger Entry","12 Quantity","5 Source no.",$C2386,"3 Posting Date",J$9,"4 Entry Type",$C$4,"2 Item No.","@@"&amp;$F2386)</t>
  </si>
  <si>
    <t>=-NL("Sum","32 Item Ledger Entry","12 Quantity","5 Source no.",$C2387,"3 Posting Date",J$9,"4 Entry Type",$C$4,"2 Item No.","@@"&amp;$F2387)</t>
  </si>
  <si>
    <t>=-NL("Sum","32 Item Ledger Entry","12 Quantity","5 Source no.",$C2388,"3 Posting Date",J$9,"4 Entry Type",$C$4,"2 Item No.","@@"&amp;$F2388)</t>
  </si>
  <si>
    <t>=-NL("Sum","32 Item Ledger Entry","12 Quantity","5 Source no.",$C2389,"3 Posting Date",J$9,"4 Entry Type",$C$4,"2 Item No.","@@"&amp;$F2389)</t>
  </si>
  <si>
    <t>=-NL("Sum","32 Item Ledger Entry","12 Quantity","5 Source no.",$C2390,"3 Posting Date",J$9,"4 Entry Type",$C$4,"2 Item No.","@@"&amp;$F2390)</t>
  </si>
  <si>
    <t>=-NL("Sum","32 Item Ledger Entry","12 Quantity","5 Source no.",$C2391,"3 Posting Date",J$9,"4 Entry Type",$C$4,"2 Item No.","@@"&amp;$F2391)</t>
  </si>
  <si>
    <t>=-NL("Sum","32 Item Ledger Entry","12 Quantity","5 Source no.",$C2392,"3 Posting Date",J$9,"4 Entry Type",$C$4,"2 Item No.","@@"&amp;$F2392)</t>
  </si>
  <si>
    <t>=-NL("Sum","32 Item Ledger Entry","12 Quantity","5 Source no.",$C2393,"3 Posting Date",J$9,"4 Entry Type",$C$4,"2 Item No.","@@"&amp;$F2393)</t>
  </si>
  <si>
    <t>=-NL("Sum","32 Item Ledger Entry","12 Quantity","5 Source no.",$C2394,"3 Posting Date",J$9,"4 Entry Type",$C$4,"2 Item No.","@@"&amp;$F2394)</t>
  </si>
  <si>
    <t>=-NL("Sum","32 Item Ledger Entry","12 Quantity","5 Source no.",$C2395,"3 Posting Date",J$9,"4 Entry Type",$C$4,"2 Item No.","@@"&amp;$F2395)</t>
  </si>
  <si>
    <t>=-NL("Sum","32 Item Ledger Entry","12 Quantity","5 Source no.",$C2396,"3 Posting Date",J$9,"4 Entry Type",$C$4,"2 Item No.","@@"&amp;$F2396)</t>
  </si>
  <si>
    <t>=-NL("Sum","32 Item Ledger Entry","12 Quantity","5 Source no.",$C2397,"3 Posting Date",J$9,"4 Entry Type",$C$4,"2 Item No.","@@"&amp;$F2397)</t>
  </si>
  <si>
    <t>=-NL("Sum","32 Item Ledger Entry","12 Quantity","5 Source no.",$C2398,"3 Posting Date",J$9,"4 Entry Type",$C$4,"2 Item No.","@@"&amp;$F2398)</t>
  </si>
  <si>
    <t>=-NL("Sum","32 Item Ledger Entry","12 Quantity","5 Source no.",$C2399,"3 Posting Date",J$9,"4 Entry Type",$C$4,"2 Item No.","@@"&amp;$F2399)</t>
  </si>
  <si>
    <t>=-NL("Sum","32 Item Ledger Entry","12 Quantity","5 Source no.",$C2400,"3 Posting Date",J$9,"4 Entry Type",$C$4,"2 Item No.","@@"&amp;$F2400)</t>
  </si>
  <si>
    <t>=-NL("Sum","32 Item Ledger Entry","12 Quantity","5 Source no.",$C2401,"3 Posting Date",J$9,"4 Entry Type",$C$4,"2 Item No.","@@"&amp;$F2401)</t>
  </si>
  <si>
    <t>=-NL("Sum","32 Item Ledger Entry","12 Quantity","5 Source no.",$C2402,"3 Posting Date",J$9,"4 Entry Type",$C$4,"2 Item No.","@@"&amp;$F2402)</t>
  </si>
  <si>
    <t>=-NL("Sum","32 Item Ledger Entry","12 Quantity","5 Source no.",$C2403,"3 Posting Date",J$9,"4 Entry Type",$C$4,"2 Item No.","@@"&amp;$F2403)</t>
  </si>
  <si>
    <t>=-NL("Sum","32 Item Ledger Entry","12 Quantity","5 Source no.",$C2381,"3 Posting Date",O$9,"4 Entry Type",$C$4,"2 Item No.","@@"&amp;$F2381)</t>
  </si>
  <si>
    <t>=-NL("Sum","32 Item Ledger Entry","12 Quantity","5 Source no.",$C2382,"3 Posting Date",O$9,"4 Entry Type",$C$4,"2 Item No.","@@"&amp;$F2382)</t>
  </si>
  <si>
    <t>=-NL("Sum","32 Item Ledger Entry","12 Quantity","5 Source no.",$C2383,"3 Posting Date",O$9,"4 Entry Type",$C$4,"2 Item No.","@@"&amp;$F2383)</t>
  </si>
  <si>
    <t>=-NL("Sum","32 Item Ledger Entry","12 Quantity","5 Source no.",$C2384,"3 Posting Date",O$9,"4 Entry Type",$C$4,"2 Item No.","@@"&amp;$F2384)</t>
  </si>
  <si>
    <t>=-NL("Sum","32 Item Ledger Entry","12 Quantity","5 Source no.",$C2385,"3 Posting Date",O$9,"4 Entry Type",$C$4,"2 Item No.","@@"&amp;$F2385)</t>
  </si>
  <si>
    <t>=-NL("Sum","32 Item Ledger Entry","12 Quantity","5 Source no.",$C2386,"3 Posting Date",O$9,"4 Entry Type",$C$4,"2 Item No.","@@"&amp;$F2386)</t>
  </si>
  <si>
    <t>=-NL("Sum","32 Item Ledger Entry","12 Quantity","5 Source no.",$C2387,"3 Posting Date",O$9,"4 Entry Type",$C$4,"2 Item No.","@@"&amp;$F2387)</t>
  </si>
  <si>
    <t>=-NL("Sum","32 Item Ledger Entry","12 Quantity","5 Source no.",$C2388,"3 Posting Date",O$9,"4 Entry Type",$C$4,"2 Item No.","@@"&amp;$F2388)</t>
  </si>
  <si>
    <t>=-NL("Sum","32 Item Ledger Entry","12 Quantity","5 Source no.",$C2389,"3 Posting Date",O$9,"4 Entry Type",$C$4,"2 Item No.","@@"&amp;$F2389)</t>
  </si>
  <si>
    <t>=-NL("Sum","32 Item Ledger Entry","12 Quantity","5 Source no.",$C2390,"3 Posting Date",O$9,"4 Entry Type",$C$4,"2 Item No.","@@"&amp;$F2390)</t>
  </si>
  <si>
    <t>=-NL("Sum","32 Item Ledger Entry","12 Quantity","5 Source no.",$C2391,"3 Posting Date",O$9,"4 Entry Type",$C$4,"2 Item No.","@@"&amp;$F2391)</t>
  </si>
  <si>
    <t>=-NL("Sum","32 Item Ledger Entry","12 Quantity","5 Source no.",$C2392,"3 Posting Date",O$9,"4 Entry Type",$C$4,"2 Item No.","@@"&amp;$F2392)</t>
  </si>
  <si>
    <t>=-NL("Sum","32 Item Ledger Entry","12 Quantity","5 Source no.",$C2393,"3 Posting Date",O$9,"4 Entry Type",$C$4,"2 Item No.","@@"&amp;$F2393)</t>
  </si>
  <si>
    <t>=-NL("Sum","32 Item Ledger Entry","12 Quantity","5 Source no.",$C2394,"3 Posting Date",O$9,"4 Entry Type",$C$4,"2 Item No.","@@"&amp;$F2394)</t>
  </si>
  <si>
    <t>=-NL("Sum","32 Item Ledger Entry","12 Quantity","5 Source no.",$C2395,"3 Posting Date",O$9,"4 Entry Type",$C$4,"2 Item No.","@@"&amp;$F2395)</t>
  </si>
  <si>
    <t>=-NL("Sum","32 Item Ledger Entry","12 Quantity","5 Source no.",$C2396,"3 Posting Date",O$9,"4 Entry Type",$C$4,"2 Item No.","@@"&amp;$F2396)</t>
  </si>
  <si>
    <t>=-NL("Sum","32 Item Ledger Entry","12 Quantity","5 Source no.",$C2397,"3 Posting Date",O$9,"4 Entry Type",$C$4,"2 Item No.","@@"&amp;$F2397)</t>
  </si>
  <si>
    <t>=-NL("Sum","32 Item Ledger Entry","12 Quantity","5 Source no.",$C2398,"3 Posting Date",O$9,"4 Entry Type",$C$4,"2 Item No.","@@"&amp;$F2398)</t>
  </si>
  <si>
    <t>=-NL("Sum","32 Item Ledger Entry","12 Quantity","5 Source no.",$C2399,"3 Posting Date",O$9,"4 Entry Type",$C$4,"2 Item No.","@@"&amp;$F2399)</t>
  </si>
  <si>
    <t>=-NL("Sum","32 Item Ledger Entry","12 Quantity","5 Source no.",$C2400,"3 Posting Date",O$9,"4 Entry Type",$C$4,"2 Item No.","@@"&amp;$F2400)</t>
  </si>
  <si>
    <t>=-NL("Sum","32 Item Ledger Entry","12 Quantity","5 Source no.",$C2401,"3 Posting Date",O$9,"4 Entry Type",$C$4,"2 Item No.","@@"&amp;$F2401)</t>
  </si>
  <si>
    <t>=-NL("Sum","32 Item Ledger Entry","12 Quantity","5 Source no.",$C2402,"3 Posting Date",O$9,"4 Entry Type",$C$4,"2 Item No.","@@"&amp;$F2402)</t>
  </si>
  <si>
    <t>=-NL("Sum","32 Item Ledger Entry","12 Quantity","5 Source no.",$C2403,"3 Posting Date",O$9,"4 Entry Type",$C$4,"2 Item No.","@@"&amp;$F2403)</t>
  </si>
  <si>
    <t>=-NL("Sum","32 Item Ledger Entry","12 Quantity","5 Source no.",$C2381,"3 Posting Date",U$9,"4 Entry Type",$C$4,"2 Item No.","@@"&amp;$F2381)</t>
  </si>
  <si>
    <t>=-NL("Sum","32 Item Ledger Entry","12 Quantity","5 Source no.",$C2382,"3 Posting Date",U$9,"4 Entry Type",$C$4,"2 Item No.","@@"&amp;$F2382)</t>
  </si>
  <si>
    <t>=-NL("Sum","32 Item Ledger Entry","12 Quantity","5 Source no.",$C2383,"3 Posting Date",U$9,"4 Entry Type",$C$4,"2 Item No.","@@"&amp;$F2383)</t>
  </si>
  <si>
    <t>=-NL("Sum","32 Item Ledger Entry","12 Quantity","5 Source no.",$C2384,"3 Posting Date",U$9,"4 Entry Type",$C$4,"2 Item No.","@@"&amp;$F2384)</t>
  </si>
  <si>
    <t>=-NL("Sum","32 Item Ledger Entry","12 Quantity","5 Source no.",$C2385,"3 Posting Date",U$9,"4 Entry Type",$C$4,"2 Item No.","@@"&amp;$F2385)</t>
  </si>
  <si>
    <t>=-NL("Sum","32 Item Ledger Entry","12 Quantity","5 Source no.",$C2386,"3 Posting Date",U$9,"4 Entry Type",$C$4,"2 Item No.","@@"&amp;$F2386)</t>
  </si>
  <si>
    <t>=-NL("Sum","32 Item Ledger Entry","12 Quantity","5 Source no.",$C2387,"3 Posting Date",U$9,"4 Entry Type",$C$4,"2 Item No.","@@"&amp;$F2387)</t>
  </si>
  <si>
    <t>=-NL("Sum","32 Item Ledger Entry","12 Quantity","5 Source no.",$C2388,"3 Posting Date",U$9,"4 Entry Type",$C$4,"2 Item No.","@@"&amp;$F2388)</t>
  </si>
  <si>
    <t>=-NL("Sum","32 Item Ledger Entry","12 Quantity","5 Source no.",$C2389,"3 Posting Date",U$9,"4 Entry Type",$C$4,"2 Item No.","@@"&amp;$F2389)</t>
  </si>
  <si>
    <t>=-NL("Sum","32 Item Ledger Entry","12 Quantity","5 Source no.",$C2390,"3 Posting Date",U$9,"4 Entry Type",$C$4,"2 Item No.","@@"&amp;$F2390)</t>
  </si>
  <si>
    <t>=-NL("Sum","32 Item Ledger Entry","12 Quantity","5 Source no.",$C2391,"3 Posting Date",U$9,"4 Entry Type",$C$4,"2 Item No.","@@"&amp;$F2391)</t>
  </si>
  <si>
    <t>=-NL("Sum","32 Item Ledger Entry","12 Quantity","5 Source no.",$C2392,"3 Posting Date",U$9,"4 Entry Type",$C$4,"2 Item No.","@@"&amp;$F2392)</t>
  </si>
  <si>
    <t>=-NL("Sum","32 Item Ledger Entry","12 Quantity","5 Source no.",$C2393,"3 Posting Date",U$9,"4 Entry Type",$C$4,"2 Item No.","@@"&amp;$F2393)</t>
  </si>
  <si>
    <t>=-NL("Sum","32 Item Ledger Entry","12 Quantity","5 Source no.",$C2394,"3 Posting Date",U$9,"4 Entry Type",$C$4,"2 Item No.","@@"&amp;$F2394)</t>
  </si>
  <si>
    <t>=-NL("Sum","32 Item Ledger Entry","12 Quantity","5 Source no.",$C2395,"3 Posting Date",U$9,"4 Entry Type",$C$4,"2 Item No.","@@"&amp;$F2395)</t>
  </si>
  <si>
    <t>=-NL("Sum","32 Item Ledger Entry","12 Quantity","5 Source no.",$C2396,"3 Posting Date",U$9,"4 Entry Type",$C$4,"2 Item No.","@@"&amp;$F2396)</t>
  </si>
  <si>
    <t>=-NL("Sum","32 Item Ledger Entry","12 Quantity","5 Source no.",$C2397,"3 Posting Date",U$9,"4 Entry Type",$C$4,"2 Item No.","@@"&amp;$F2397)</t>
  </si>
  <si>
    <t>=-NL("Sum","32 Item Ledger Entry","12 Quantity","5 Source no.",$C2398,"3 Posting Date",U$9,"4 Entry Type",$C$4,"2 Item No.","@@"&amp;$F2398)</t>
  </si>
  <si>
    <t>=-NL("Sum","32 Item Ledger Entry","12 Quantity","5 Source no.",$C2399,"3 Posting Date",U$9,"4 Entry Type",$C$4,"2 Item No.","@@"&amp;$F2399)</t>
  </si>
  <si>
    <t>=-NL("Sum","32 Item Ledger Entry","12 Quantity","5 Source no.",$C2400,"3 Posting Date",U$9,"4 Entry Type",$C$4,"2 Item No.","@@"&amp;$F2400)</t>
  </si>
  <si>
    <t>=-NL("Sum","32 Item Ledger Entry","12 Quantity","5 Source no.",$C2401,"3 Posting Date",U$9,"4 Entry Type",$C$4,"2 Item No.","@@"&amp;$F2401)</t>
  </si>
  <si>
    <t>=-NL("Sum","32 Item Ledger Entry","12 Quantity","5 Source no.",$C2402,"3 Posting Date",U$9,"4 Entry Type",$C$4,"2 Item No.","@@"&amp;$F2402)</t>
  </si>
  <si>
    <t>=-NL("Sum","32 Item Ledger Entry","12 Quantity","5 Source no.",$C2403,"3 Posting Date",U$9,"4 Entry Type",$C$4,"2 Item No.","@@"&amp;$F2403)</t>
  </si>
  <si>
    <t>=-NL("Sum","32 Item Ledger Entry","12 Quantity","5 Source no.",$C2381,"3 Posting Date",Z$9,"4 Entry Type",$C$4,"2 Item No.","@@"&amp;$F2381)</t>
  </si>
  <si>
    <t>=-NL("Sum","32 Item Ledger Entry","12 Quantity","5 Source no.",$C2382,"3 Posting Date",Z$9,"4 Entry Type",$C$4,"2 Item No.","@@"&amp;$F2382)</t>
  </si>
  <si>
    <t>=-NL("Sum","32 Item Ledger Entry","12 Quantity","5 Source no.",$C2383,"3 Posting Date",Z$9,"4 Entry Type",$C$4,"2 Item No.","@@"&amp;$F2383)</t>
  </si>
  <si>
    <t>=-NL("Sum","32 Item Ledger Entry","12 Quantity","5 Source no.",$C2384,"3 Posting Date",Z$9,"4 Entry Type",$C$4,"2 Item No.","@@"&amp;$F2384)</t>
  </si>
  <si>
    <t>=-NL("Sum","32 Item Ledger Entry","12 Quantity","5 Source no.",$C2385,"3 Posting Date",Z$9,"4 Entry Type",$C$4,"2 Item No.","@@"&amp;$F2385)</t>
  </si>
  <si>
    <t>=-NL("Sum","32 Item Ledger Entry","12 Quantity","5 Source no.",$C2386,"3 Posting Date",Z$9,"4 Entry Type",$C$4,"2 Item No.","@@"&amp;$F2386)</t>
  </si>
  <si>
    <t>=-NL("Sum","32 Item Ledger Entry","12 Quantity","5 Source no.",$C2387,"3 Posting Date",Z$9,"4 Entry Type",$C$4,"2 Item No.","@@"&amp;$F2387)</t>
  </si>
  <si>
    <t>=-NL("Sum","32 Item Ledger Entry","12 Quantity","5 Source no.",$C2388,"3 Posting Date",Z$9,"4 Entry Type",$C$4,"2 Item No.","@@"&amp;$F2388)</t>
  </si>
  <si>
    <t>=-NL("Sum","32 Item Ledger Entry","12 Quantity","5 Source no.",$C2389,"3 Posting Date",Z$9,"4 Entry Type",$C$4,"2 Item No.","@@"&amp;$F2389)</t>
  </si>
  <si>
    <t>=-NL("Sum","32 Item Ledger Entry","12 Quantity","5 Source no.",$C2390,"3 Posting Date",Z$9,"4 Entry Type",$C$4,"2 Item No.","@@"&amp;$F2390)</t>
  </si>
  <si>
    <t>=-NL("Sum","32 Item Ledger Entry","12 Quantity","5 Source no.",$C2391,"3 Posting Date",Z$9,"4 Entry Type",$C$4,"2 Item No.","@@"&amp;$F2391)</t>
  </si>
  <si>
    <t>=-NL("Sum","32 Item Ledger Entry","12 Quantity","5 Source no.",$C2392,"3 Posting Date",Z$9,"4 Entry Type",$C$4,"2 Item No.","@@"&amp;$F2392)</t>
  </si>
  <si>
    <t>=-NL("Sum","32 Item Ledger Entry","12 Quantity","5 Source no.",$C2393,"3 Posting Date",Z$9,"4 Entry Type",$C$4,"2 Item No.","@@"&amp;$F2393)</t>
  </si>
  <si>
    <t>=-NL("Sum","32 Item Ledger Entry","12 Quantity","5 Source no.",$C2394,"3 Posting Date",Z$9,"4 Entry Type",$C$4,"2 Item No.","@@"&amp;$F2394)</t>
  </si>
  <si>
    <t>=-NL("Sum","32 Item Ledger Entry","12 Quantity","5 Source no.",$C2395,"3 Posting Date",Z$9,"4 Entry Type",$C$4,"2 Item No.","@@"&amp;$F2395)</t>
  </si>
  <si>
    <t>=-NL("Sum","32 Item Ledger Entry","12 Quantity","5 Source no.",$C2396,"3 Posting Date",Z$9,"4 Entry Type",$C$4,"2 Item No.","@@"&amp;$F2396)</t>
  </si>
  <si>
    <t>=-NL("Sum","32 Item Ledger Entry","12 Quantity","5 Source no.",$C2397,"3 Posting Date",Z$9,"4 Entry Type",$C$4,"2 Item No.","@@"&amp;$F2397)</t>
  </si>
  <si>
    <t>=-NL("Sum","32 Item Ledger Entry","12 Quantity","5 Source no.",$C2398,"3 Posting Date",Z$9,"4 Entry Type",$C$4,"2 Item No.","@@"&amp;$F2398)</t>
  </si>
  <si>
    <t>=-NL("Sum","32 Item Ledger Entry","12 Quantity","5 Source no.",$C2399,"3 Posting Date",Z$9,"4 Entry Type",$C$4,"2 Item No.","@@"&amp;$F2399)</t>
  </si>
  <si>
    <t>=-NL("Sum","32 Item Ledger Entry","12 Quantity","5 Source no.",$C2400,"3 Posting Date",Z$9,"4 Entry Type",$C$4,"2 Item No.","@@"&amp;$F2400)</t>
  </si>
  <si>
    <t>=-NL("Sum","32 Item Ledger Entry","12 Quantity","5 Source no.",$C2401,"3 Posting Date",Z$9,"4 Entry Type",$C$4,"2 Item No.","@@"&amp;$F2401)</t>
  </si>
  <si>
    <t>=-NL("Sum","32 Item Ledger Entry","12 Quantity","5 Source no.",$C2402,"3 Posting Date",Z$9,"4 Entry Type",$C$4,"2 Item No.","@@"&amp;$F2402)</t>
  </si>
  <si>
    <t>=-NL("Sum","32 Item Ledger Entry","12 Quantity","5 Source no.",$C2403,"3 Posting Date",Z$9,"4 Entry Type",$C$4,"2 Item No.","@@"&amp;$F2403)</t>
  </si>
  <si>
    <t>=NL(,"27 Item","3 Description","1 No.","@@"&amp;F2354)</t>
  </si>
  <si>
    <t>=NL(,"27 Item","3 Description","1 No.","@@"&amp;F2355)</t>
  </si>
  <si>
    <t>=NL(,"27 Item","3 Description","1 No.","@@"&amp;F2356)</t>
  </si>
  <si>
    <t>=NL(,"27 Item","3 Description","1 No.","@@"&amp;F2357)</t>
  </si>
  <si>
    <t>=NL(,"27 Item","3 Description","1 No.","@@"&amp;F2358)</t>
  </si>
  <si>
    <t>=NL(,"27 Item","3 Description","1 No.","@@"&amp;F2359)</t>
  </si>
  <si>
    <t>=NL(,"27 Item","3 Description","1 No.","@@"&amp;F2360)</t>
  </si>
  <si>
    <t>=NL(,"27 Item","3 Description","1 No.","@@"&amp;F2361)</t>
  </si>
  <si>
    <t>=NL(,"27 Item","3 Description","1 No.","@@"&amp;F2362)</t>
  </si>
  <si>
    <t>=NL(,"27 Item","3 Description","1 No.","@@"&amp;F2363)</t>
  </si>
  <si>
    <t>=NL(,"27 Item","3 Description","1 No.","@@"&amp;F2364)</t>
  </si>
  <si>
    <t>=NL(,"27 Item","3 Description","1 No.","@@"&amp;F2365)</t>
  </si>
  <si>
    <t>=NL(,"27 Item","3 Description","1 No.","@@"&amp;F2366)</t>
  </si>
  <si>
    <t>=NL(,"27 Item","3 Description","1 No.","@@"&amp;F2367)</t>
  </si>
  <si>
    <t>=NL(,"27 Item","3 Description","1 No.","@@"&amp;F2368)</t>
  </si>
  <si>
    <t>=NL(,"27 Item","3 Description","1 No.","@@"&amp;F2369)</t>
  </si>
  <si>
    <t>=NL(,"27 Item","3 Description","1 No.","@@"&amp;F2370)</t>
  </si>
  <si>
    <t>=NL(,"27 Item","3 Description","1 No.","@@"&amp;F2371)</t>
  </si>
  <si>
    <t>=NL(,"27 Item","3 Description","1 No.","@@"&amp;F2372)</t>
  </si>
  <si>
    <t>=NL(,"27 Item","3 Description","1 No.","@@"&amp;F2373)</t>
  </si>
  <si>
    <t>=NL(,"27 Item","3 Description","1 No.","@@"&amp;F2374)</t>
  </si>
  <si>
    <t>=NL(,"27 Item","3 Description","1 No.","@@"&amp;F2375)</t>
  </si>
  <si>
    <t>=-NL("Sum","32 Item Ledger Entry","12 Quantity","5 Source no.",$C2354,"3 Posting Date",J$9,"4 Entry Type",$C$4,"2 Item No.","@@"&amp;$F2354)</t>
  </si>
  <si>
    <t>=-NL("Sum","32 Item Ledger Entry","12 Quantity","5 Source no.",$C2355,"3 Posting Date",J$9,"4 Entry Type",$C$4,"2 Item No.","@@"&amp;$F2355)</t>
  </si>
  <si>
    <t>=-NL("Sum","32 Item Ledger Entry","12 Quantity","5 Source no.",$C2356,"3 Posting Date",J$9,"4 Entry Type",$C$4,"2 Item No.","@@"&amp;$F2356)</t>
  </si>
  <si>
    <t>=-NL("Sum","32 Item Ledger Entry","12 Quantity","5 Source no.",$C2357,"3 Posting Date",J$9,"4 Entry Type",$C$4,"2 Item No.","@@"&amp;$F2357)</t>
  </si>
  <si>
    <t>=-NL("Sum","32 Item Ledger Entry","12 Quantity","5 Source no.",$C2358,"3 Posting Date",J$9,"4 Entry Type",$C$4,"2 Item No.","@@"&amp;$F2358)</t>
  </si>
  <si>
    <t>=-NL("Sum","32 Item Ledger Entry","12 Quantity","5 Source no.",$C2359,"3 Posting Date",J$9,"4 Entry Type",$C$4,"2 Item No.","@@"&amp;$F2359)</t>
  </si>
  <si>
    <t>=-NL("Sum","32 Item Ledger Entry","12 Quantity","5 Source no.",$C2360,"3 Posting Date",J$9,"4 Entry Type",$C$4,"2 Item No.","@@"&amp;$F2360)</t>
  </si>
  <si>
    <t>=-NL("Sum","32 Item Ledger Entry","12 Quantity","5 Source no.",$C2361,"3 Posting Date",J$9,"4 Entry Type",$C$4,"2 Item No.","@@"&amp;$F2361)</t>
  </si>
  <si>
    <t>=-NL("Sum","32 Item Ledger Entry","12 Quantity","5 Source no.",$C2362,"3 Posting Date",J$9,"4 Entry Type",$C$4,"2 Item No.","@@"&amp;$F2362)</t>
  </si>
  <si>
    <t>=-NL("Sum","32 Item Ledger Entry","12 Quantity","5 Source no.",$C2363,"3 Posting Date",J$9,"4 Entry Type",$C$4,"2 Item No.","@@"&amp;$F2363)</t>
  </si>
  <si>
    <t>=-NL("Sum","32 Item Ledger Entry","12 Quantity","5 Source no.",$C2364,"3 Posting Date",J$9,"4 Entry Type",$C$4,"2 Item No.","@@"&amp;$F2364)</t>
  </si>
  <si>
    <t>=-NL("Sum","32 Item Ledger Entry","12 Quantity","5 Source no.",$C2365,"3 Posting Date",J$9,"4 Entry Type",$C$4,"2 Item No.","@@"&amp;$F2365)</t>
  </si>
  <si>
    <t>=-NL("Sum","32 Item Ledger Entry","12 Quantity","5 Source no.",$C2366,"3 Posting Date",J$9,"4 Entry Type",$C$4,"2 Item No.","@@"&amp;$F2366)</t>
  </si>
  <si>
    <t>=-NL("Sum","32 Item Ledger Entry","12 Quantity","5 Source no.",$C2367,"3 Posting Date",J$9,"4 Entry Type",$C$4,"2 Item No.","@@"&amp;$F2367)</t>
  </si>
  <si>
    <t>=-NL("Sum","32 Item Ledger Entry","12 Quantity","5 Source no.",$C2368,"3 Posting Date",J$9,"4 Entry Type",$C$4,"2 Item No.","@@"&amp;$F2368)</t>
  </si>
  <si>
    <t>=-NL("Sum","32 Item Ledger Entry","12 Quantity","5 Source no.",$C2369,"3 Posting Date",J$9,"4 Entry Type",$C$4,"2 Item No.","@@"&amp;$F2369)</t>
  </si>
  <si>
    <t>=-NL("Sum","32 Item Ledger Entry","12 Quantity","5 Source no.",$C2370,"3 Posting Date",J$9,"4 Entry Type",$C$4,"2 Item No.","@@"&amp;$F2370)</t>
  </si>
  <si>
    <t>=-NL("Sum","32 Item Ledger Entry","12 Quantity","5 Source no.",$C2371,"3 Posting Date",J$9,"4 Entry Type",$C$4,"2 Item No.","@@"&amp;$F2371)</t>
  </si>
  <si>
    <t>=-NL("Sum","32 Item Ledger Entry","12 Quantity","5 Source no.",$C2372,"3 Posting Date",J$9,"4 Entry Type",$C$4,"2 Item No.","@@"&amp;$F2372)</t>
  </si>
  <si>
    <t>=-NL("Sum","32 Item Ledger Entry","12 Quantity","5 Source no.",$C2373,"3 Posting Date",J$9,"4 Entry Type",$C$4,"2 Item No.","@@"&amp;$F2373)</t>
  </si>
  <si>
    <t>=-NL("Sum","32 Item Ledger Entry","12 Quantity","5 Source no.",$C2374,"3 Posting Date",J$9,"4 Entry Type",$C$4,"2 Item No.","@@"&amp;$F2374)</t>
  </si>
  <si>
    <t>=-NL("Sum","32 Item Ledger Entry","12 Quantity","5 Source no.",$C2375,"3 Posting Date",J$9,"4 Entry Type",$C$4,"2 Item No.","@@"&amp;$F2375)</t>
  </si>
  <si>
    <t>=-NL("Sum","32 Item Ledger Entry","12 Quantity","5 Source no.",$C2354,"3 Posting Date",O$9,"4 Entry Type",$C$4,"2 Item No.","@@"&amp;$F2354)</t>
  </si>
  <si>
    <t>=-NL("Sum","32 Item Ledger Entry","12 Quantity","5 Source no.",$C2355,"3 Posting Date",O$9,"4 Entry Type",$C$4,"2 Item No.","@@"&amp;$F2355)</t>
  </si>
  <si>
    <t>=-NL("Sum","32 Item Ledger Entry","12 Quantity","5 Source no.",$C2356,"3 Posting Date",O$9,"4 Entry Type",$C$4,"2 Item No.","@@"&amp;$F2356)</t>
  </si>
  <si>
    <t>=-NL("Sum","32 Item Ledger Entry","12 Quantity","5 Source no.",$C2357,"3 Posting Date",O$9,"4 Entry Type",$C$4,"2 Item No.","@@"&amp;$F2357)</t>
  </si>
  <si>
    <t>=-NL("Sum","32 Item Ledger Entry","12 Quantity","5 Source no.",$C2358,"3 Posting Date",O$9,"4 Entry Type",$C$4,"2 Item No.","@@"&amp;$F2358)</t>
  </si>
  <si>
    <t>=-NL("Sum","32 Item Ledger Entry","12 Quantity","5 Source no.",$C2359,"3 Posting Date",O$9,"4 Entry Type",$C$4,"2 Item No.","@@"&amp;$F2359)</t>
  </si>
  <si>
    <t>=-NL("Sum","32 Item Ledger Entry","12 Quantity","5 Source no.",$C2360,"3 Posting Date",O$9,"4 Entry Type",$C$4,"2 Item No.","@@"&amp;$F2360)</t>
  </si>
  <si>
    <t>=-NL("Sum","32 Item Ledger Entry","12 Quantity","5 Source no.",$C2361,"3 Posting Date",O$9,"4 Entry Type",$C$4,"2 Item No.","@@"&amp;$F2361)</t>
  </si>
  <si>
    <t>=-NL("Sum","32 Item Ledger Entry","12 Quantity","5 Source no.",$C2362,"3 Posting Date",O$9,"4 Entry Type",$C$4,"2 Item No.","@@"&amp;$F2362)</t>
  </si>
  <si>
    <t>=-NL("Sum","32 Item Ledger Entry","12 Quantity","5 Source no.",$C2363,"3 Posting Date",O$9,"4 Entry Type",$C$4,"2 Item No.","@@"&amp;$F2363)</t>
  </si>
  <si>
    <t>=-NL("Sum","32 Item Ledger Entry","12 Quantity","5 Source no.",$C2364,"3 Posting Date",O$9,"4 Entry Type",$C$4,"2 Item No.","@@"&amp;$F2364)</t>
  </si>
  <si>
    <t>=-NL("Sum","32 Item Ledger Entry","12 Quantity","5 Source no.",$C2365,"3 Posting Date",O$9,"4 Entry Type",$C$4,"2 Item No.","@@"&amp;$F2365)</t>
  </si>
  <si>
    <t>=-NL("Sum","32 Item Ledger Entry","12 Quantity","5 Source no.",$C2366,"3 Posting Date",O$9,"4 Entry Type",$C$4,"2 Item No.","@@"&amp;$F2366)</t>
  </si>
  <si>
    <t>=-NL("Sum","32 Item Ledger Entry","12 Quantity","5 Source no.",$C2367,"3 Posting Date",O$9,"4 Entry Type",$C$4,"2 Item No.","@@"&amp;$F2367)</t>
  </si>
  <si>
    <t>=-NL("Sum","32 Item Ledger Entry","12 Quantity","5 Source no.",$C2368,"3 Posting Date",O$9,"4 Entry Type",$C$4,"2 Item No.","@@"&amp;$F2368)</t>
  </si>
  <si>
    <t>=-NL("Sum","32 Item Ledger Entry","12 Quantity","5 Source no.",$C2369,"3 Posting Date",O$9,"4 Entry Type",$C$4,"2 Item No.","@@"&amp;$F2369)</t>
  </si>
  <si>
    <t>=-NL("Sum","32 Item Ledger Entry","12 Quantity","5 Source no.",$C2370,"3 Posting Date",O$9,"4 Entry Type",$C$4,"2 Item No.","@@"&amp;$F2370)</t>
  </si>
  <si>
    <t>=-NL("Sum","32 Item Ledger Entry","12 Quantity","5 Source no.",$C2371,"3 Posting Date",O$9,"4 Entry Type",$C$4,"2 Item No.","@@"&amp;$F2371)</t>
  </si>
  <si>
    <t>=-NL("Sum","32 Item Ledger Entry","12 Quantity","5 Source no.",$C2372,"3 Posting Date",O$9,"4 Entry Type",$C$4,"2 Item No.","@@"&amp;$F2372)</t>
  </si>
  <si>
    <t>=-NL("Sum","32 Item Ledger Entry","12 Quantity","5 Source no.",$C2373,"3 Posting Date",O$9,"4 Entry Type",$C$4,"2 Item No.","@@"&amp;$F2373)</t>
  </si>
  <si>
    <t>=-NL("Sum","32 Item Ledger Entry","12 Quantity","5 Source no.",$C2374,"3 Posting Date",O$9,"4 Entry Type",$C$4,"2 Item No.","@@"&amp;$F2374)</t>
  </si>
  <si>
    <t>=-NL("Sum","32 Item Ledger Entry","12 Quantity","5 Source no.",$C2375,"3 Posting Date",O$9,"4 Entry Type",$C$4,"2 Item No.","@@"&amp;$F2375)</t>
  </si>
  <si>
    <t>=-NL("Sum","32 Item Ledger Entry","12 Quantity","5 Source no.",$C2354,"3 Posting Date",U$9,"4 Entry Type",$C$4,"2 Item No.","@@"&amp;$F2354)</t>
  </si>
  <si>
    <t>=-NL("Sum","32 Item Ledger Entry","12 Quantity","5 Source no.",$C2355,"3 Posting Date",U$9,"4 Entry Type",$C$4,"2 Item No.","@@"&amp;$F2355)</t>
  </si>
  <si>
    <t>=-NL("Sum","32 Item Ledger Entry","12 Quantity","5 Source no.",$C2356,"3 Posting Date",U$9,"4 Entry Type",$C$4,"2 Item No.","@@"&amp;$F2356)</t>
  </si>
  <si>
    <t>=-NL("Sum","32 Item Ledger Entry","12 Quantity","5 Source no.",$C2357,"3 Posting Date",U$9,"4 Entry Type",$C$4,"2 Item No.","@@"&amp;$F2357)</t>
  </si>
  <si>
    <t>=-NL("Sum","32 Item Ledger Entry","12 Quantity","5 Source no.",$C2358,"3 Posting Date",U$9,"4 Entry Type",$C$4,"2 Item No.","@@"&amp;$F2358)</t>
  </si>
  <si>
    <t>=-NL("Sum","32 Item Ledger Entry","12 Quantity","5 Source no.",$C2359,"3 Posting Date",U$9,"4 Entry Type",$C$4,"2 Item No.","@@"&amp;$F2359)</t>
  </si>
  <si>
    <t>=-NL("Sum","32 Item Ledger Entry","12 Quantity","5 Source no.",$C2360,"3 Posting Date",U$9,"4 Entry Type",$C$4,"2 Item No.","@@"&amp;$F2360)</t>
  </si>
  <si>
    <t>=-NL("Sum","32 Item Ledger Entry","12 Quantity","5 Source no.",$C2361,"3 Posting Date",U$9,"4 Entry Type",$C$4,"2 Item No.","@@"&amp;$F2361)</t>
  </si>
  <si>
    <t>=-NL("Sum","32 Item Ledger Entry","12 Quantity","5 Source no.",$C2362,"3 Posting Date",U$9,"4 Entry Type",$C$4,"2 Item No.","@@"&amp;$F2362)</t>
  </si>
  <si>
    <t>=-NL("Sum","32 Item Ledger Entry","12 Quantity","5 Source no.",$C2363,"3 Posting Date",U$9,"4 Entry Type",$C$4,"2 Item No.","@@"&amp;$F2363)</t>
  </si>
  <si>
    <t>=-NL("Sum","32 Item Ledger Entry","12 Quantity","5 Source no.",$C2364,"3 Posting Date",U$9,"4 Entry Type",$C$4,"2 Item No.","@@"&amp;$F2364)</t>
  </si>
  <si>
    <t>=-NL("Sum","32 Item Ledger Entry","12 Quantity","5 Source no.",$C2365,"3 Posting Date",U$9,"4 Entry Type",$C$4,"2 Item No.","@@"&amp;$F2365)</t>
  </si>
  <si>
    <t>=-NL("Sum","32 Item Ledger Entry","12 Quantity","5 Source no.",$C2366,"3 Posting Date",U$9,"4 Entry Type",$C$4,"2 Item No.","@@"&amp;$F2366)</t>
  </si>
  <si>
    <t>=-NL("Sum","32 Item Ledger Entry","12 Quantity","5 Source no.",$C2367,"3 Posting Date",U$9,"4 Entry Type",$C$4,"2 Item No.","@@"&amp;$F2367)</t>
  </si>
  <si>
    <t>=-NL("Sum","32 Item Ledger Entry","12 Quantity","5 Source no.",$C2368,"3 Posting Date",U$9,"4 Entry Type",$C$4,"2 Item No.","@@"&amp;$F2368)</t>
  </si>
  <si>
    <t>=-NL("Sum","32 Item Ledger Entry","12 Quantity","5 Source no.",$C2369,"3 Posting Date",U$9,"4 Entry Type",$C$4,"2 Item No.","@@"&amp;$F2369)</t>
  </si>
  <si>
    <t>=-NL("Sum","32 Item Ledger Entry","12 Quantity","5 Source no.",$C2370,"3 Posting Date",U$9,"4 Entry Type",$C$4,"2 Item No.","@@"&amp;$F2370)</t>
  </si>
  <si>
    <t>=-NL("Sum","32 Item Ledger Entry","12 Quantity","5 Source no.",$C2371,"3 Posting Date",U$9,"4 Entry Type",$C$4,"2 Item No.","@@"&amp;$F2371)</t>
  </si>
  <si>
    <t>=-NL("Sum","32 Item Ledger Entry","12 Quantity","5 Source no.",$C2372,"3 Posting Date",U$9,"4 Entry Type",$C$4,"2 Item No.","@@"&amp;$F2372)</t>
  </si>
  <si>
    <t>=-NL("Sum","32 Item Ledger Entry","12 Quantity","5 Source no.",$C2373,"3 Posting Date",U$9,"4 Entry Type",$C$4,"2 Item No.","@@"&amp;$F2373)</t>
  </si>
  <si>
    <t>=-NL("Sum","32 Item Ledger Entry","12 Quantity","5 Source no.",$C2374,"3 Posting Date",U$9,"4 Entry Type",$C$4,"2 Item No.","@@"&amp;$F2374)</t>
  </si>
  <si>
    <t>=-NL("Sum","32 Item Ledger Entry","12 Quantity","5 Source no.",$C2375,"3 Posting Date",U$9,"4 Entry Type",$C$4,"2 Item No.","@@"&amp;$F2375)</t>
  </si>
  <si>
    <t>=-NL("Sum","32 Item Ledger Entry","12 Quantity","5 Source no.",$C2354,"3 Posting Date",Z$9,"4 Entry Type",$C$4,"2 Item No.","@@"&amp;$F2354)</t>
  </si>
  <si>
    <t>=-NL("Sum","32 Item Ledger Entry","12 Quantity","5 Source no.",$C2355,"3 Posting Date",Z$9,"4 Entry Type",$C$4,"2 Item No.","@@"&amp;$F2355)</t>
  </si>
  <si>
    <t>=-NL("Sum","32 Item Ledger Entry","12 Quantity","5 Source no.",$C2356,"3 Posting Date",Z$9,"4 Entry Type",$C$4,"2 Item No.","@@"&amp;$F2356)</t>
  </si>
  <si>
    <t>=-NL("Sum","32 Item Ledger Entry","12 Quantity","5 Source no.",$C2357,"3 Posting Date",Z$9,"4 Entry Type",$C$4,"2 Item No.","@@"&amp;$F2357)</t>
  </si>
  <si>
    <t>=-NL("Sum","32 Item Ledger Entry","12 Quantity","5 Source no.",$C2358,"3 Posting Date",Z$9,"4 Entry Type",$C$4,"2 Item No.","@@"&amp;$F2358)</t>
  </si>
  <si>
    <t>=-NL("Sum","32 Item Ledger Entry","12 Quantity","5 Source no.",$C2359,"3 Posting Date",Z$9,"4 Entry Type",$C$4,"2 Item No.","@@"&amp;$F2359)</t>
  </si>
  <si>
    <t>=-NL("Sum","32 Item Ledger Entry","12 Quantity","5 Source no.",$C2360,"3 Posting Date",Z$9,"4 Entry Type",$C$4,"2 Item No.","@@"&amp;$F2360)</t>
  </si>
  <si>
    <t>=-NL("Sum","32 Item Ledger Entry","12 Quantity","5 Source no.",$C2361,"3 Posting Date",Z$9,"4 Entry Type",$C$4,"2 Item No.","@@"&amp;$F2361)</t>
  </si>
  <si>
    <t>=-NL("Sum","32 Item Ledger Entry","12 Quantity","5 Source no.",$C2362,"3 Posting Date",Z$9,"4 Entry Type",$C$4,"2 Item No.","@@"&amp;$F2362)</t>
  </si>
  <si>
    <t>=-NL("Sum","32 Item Ledger Entry","12 Quantity","5 Source no.",$C2363,"3 Posting Date",Z$9,"4 Entry Type",$C$4,"2 Item No.","@@"&amp;$F2363)</t>
  </si>
  <si>
    <t>=-NL("Sum","32 Item Ledger Entry","12 Quantity","5 Source no.",$C2364,"3 Posting Date",Z$9,"4 Entry Type",$C$4,"2 Item No.","@@"&amp;$F2364)</t>
  </si>
  <si>
    <t>=-NL("Sum","32 Item Ledger Entry","12 Quantity","5 Source no.",$C2365,"3 Posting Date",Z$9,"4 Entry Type",$C$4,"2 Item No.","@@"&amp;$F2365)</t>
  </si>
  <si>
    <t>=-NL("Sum","32 Item Ledger Entry","12 Quantity","5 Source no.",$C2366,"3 Posting Date",Z$9,"4 Entry Type",$C$4,"2 Item No.","@@"&amp;$F2366)</t>
  </si>
  <si>
    <t>=-NL("Sum","32 Item Ledger Entry","12 Quantity","5 Source no.",$C2367,"3 Posting Date",Z$9,"4 Entry Type",$C$4,"2 Item No.","@@"&amp;$F2367)</t>
  </si>
  <si>
    <t>=-NL("Sum","32 Item Ledger Entry","12 Quantity","5 Source no.",$C2368,"3 Posting Date",Z$9,"4 Entry Type",$C$4,"2 Item No.","@@"&amp;$F2368)</t>
  </si>
  <si>
    <t>=-NL("Sum","32 Item Ledger Entry","12 Quantity","5 Source no.",$C2369,"3 Posting Date",Z$9,"4 Entry Type",$C$4,"2 Item No.","@@"&amp;$F2369)</t>
  </si>
  <si>
    <t>=-NL("Sum","32 Item Ledger Entry","12 Quantity","5 Source no.",$C2370,"3 Posting Date",Z$9,"4 Entry Type",$C$4,"2 Item No.","@@"&amp;$F2370)</t>
  </si>
  <si>
    <t>=-NL("Sum","32 Item Ledger Entry","12 Quantity","5 Source no.",$C2371,"3 Posting Date",Z$9,"4 Entry Type",$C$4,"2 Item No.","@@"&amp;$F2371)</t>
  </si>
  <si>
    <t>=-NL("Sum","32 Item Ledger Entry","12 Quantity","5 Source no.",$C2372,"3 Posting Date",Z$9,"4 Entry Type",$C$4,"2 Item No.","@@"&amp;$F2372)</t>
  </si>
  <si>
    <t>=-NL("Sum","32 Item Ledger Entry","12 Quantity","5 Source no.",$C2373,"3 Posting Date",Z$9,"4 Entry Type",$C$4,"2 Item No.","@@"&amp;$F2373)</t>
  </si>
  <si>
    <t>=-NL("Sum","32 Item Ledger Entry","12 Quantity","5 Source no.",$C2374,"3 Posting Date",Z$9,"4 Entry Type",$C$4,"2 Item No.","@@"&amp;$F2374)</t>
  </si>
  <si>
    <t>=-NL("Sum","32 Item Ledger Entry","12 Quantity","5 Source no.",$C2375,"3 Posting Date",Z$9,"4 Entry Type",$C$4,"2 Item No.","@@"&amp;$F2375)</t>
  </si>
  <si>
    <t>=NL(,"27 Item","3 Description","1 No.","@@"&amp;F2344)</t>
  </si>
  <si>
    <t>=NL(,"27 Item","3 Description","1 No.","@@"&amp;F2345)</t>
  </si>
  <si>
    <t>=NL(,"27 Item","3 Description","1 No.","@@"&amp;F2346)</t>
  </si>
  <si>
    <t>=NL(,"27 Item","3 Description","1 No.","@@"&amp;F2347)</t>
  </si>
  <si>
    <t>=NL(,"27 Item","3 Description","1 No.","@@"&amp;F2348)</t>
  </si>
  <si>
    <t>=-NL("Sum","32 Item Ledger Entry","12 Quantity","5 Source no.",$C2344,"3 Posting Date",J$9,"4 Entry Type",$C$4,"2 Item No.","@@"&amp;$F2344)</t>
  </si>
  <si>
    <t>=-NL("Sum","32 Item Ledger Entry","12 Quantity","5 Source no.",$C2345,"3 Posting Date",J$9,"4 Entry Type",$C$4,"2 Item No.","@@"&amp;$F2345)</t>
  </si>
  <si>
    <t>=-NL("Sum","32 Item Ledger Entry","12 Quantity","5 Source no.",$C2346,"3 Posting Date",J$9,"4 Entry Type",$C$4,"2 Item No.","@@"&amp;$F2346)</t>
  </si>
  <si>
    <t>=-NL("Sum","32 Item Ledger Entry","12 Quantity","5 Source no.",$C2347,"3 Posting Date",J$9,"4 Entry Type",$C$4,"2 Item No.","@@"&amp;$F2347)</t>
  </si>
  <si>
    <t>=-NL("Sum","32 Item Ledger Entry","12 Quantity","5 Source no.",$C2348,"3 Posting Date",J$9,"4 Entry Type",$C$4,"2 Item No.","@@"&amp;$F2348)</t>
  </si>
  <si>
    <t>=-NL("Sum","32 Item Ledger Entry","12 Quantity","5 Source no.",$C2344,"3 Posting Date",O$9,"4 Entry Type",$C$4,"2 Item No.","@@"&amp;$F2344)</t>
  </si>
  <si>
    <t>=-NL("Sum","32 Item Ledger Entry","12 Quantity","5 Source no.",$C2345,"3 Posting Date",O$9,"4 Entry Type",$C$4,"2 Item No.","@@"&amp;$F2345)</t>
  </si>
  <si>
    <t>=-NL("Sum","32 Item Ledger Entry","12 Quantity","5 Source no.",$C2346,"3 Posting Date",O$9,"4 Entry Type",$C$4,"2 Item No.","@@"&amp;$F2346)</t>
  </si>
  <si>
    <t>=-NL("Sum","32 Item Ledger Entry","12 Quantity","5 Source no.",$C2347,"3 Posting Date",O$9,"4 Entry Type",$C$4,"2 Item No.","@@"&amp;$F2347)</t>
  </si>
  <si>
    <t>=-NL("Sum","32 Item Ledger Entry","12 Quantity","5 Source no.",$C2348,"3 Posting Date",O$9,"4 Entry Type",$C$4,"2 Item No.","@@"&amp;$F2348)</t>
  </si>
  <si>
    <t>=-NL("Sum","32 Item Ledger Entry","12 Quantity","5 Source no.",$C2344,"3 Posting Date",U$9,"4 Entry Type",$C$4,"2 Item No.","@@"&amp;$F2344)</t>
  </si>
  <si>
    <t>=-NL("Sum","32 Item Ledger Entry","12 Quantity","5 Source no.",$C2345,"3 Posting Date",U$9,"4 Entry Type",$C$4,"2 Item No.","@@"&amp;$F2345)</t>
  </si>
  <si>
    <t>=-NL("Sum","32 Item Ledger Entry","12 Quantity","5 Source no.",$C2346,"3 Posting Date",U$9,"4 Entry Type",$C$4,"2 Item No.","@@"&amp;$F2346)</t>
  </si>
  <si>
    <t>=-NL("Sum","32 Item Ledger Entry","12 Quantity","5 Source no.",$C2347,"3 Posting Date",U$9,"4 Entry Type",$C$4,"2 Item No.","@@"&amp;$F2347)</t>
  </si>
  <si>
    <t>=-NL("Sum","32 Item Ledger Entry","12 Quantity","5 Source no.",$C2348,"3 Posting Date",U$9,"4 Entry Type",$C$4,"2 Item No.","@@"&amp;$F2348)</t>
  </si>
  <si>
    <t>=-NL("Sum","32 Item Ledger Entry","12 Quantity","5 Source no.",$C2344,"3 Posting Date",Z$9,"4 Entry Type",$C$4,"2 Item No.","@@"&amp;$F2344)</t>
  </si>
  <si>
    <t>=-NL("Sum","32 Item Ledger Entry","12 Quantity","5 Source no.",$C2345,"3 Posting Date",Z$9,"4 Entry Type",$C$4,"2 Item No.","@@"&amp;$F2345)</t>
  </si>
  <si>
    <t>=-NL("Sum","32 Item Ledger Entry","12 Quantity","5 Source no.",$C2346,"3 Posting Date",Z$9,"4 Entry Type",$C$4,"2 Item No.","@@"&amp;$F2346)</t>
  </si>
  <si>
    <t>=-NL("Sum","32 Item Ledger Entry","12 Quantity","5 Source no.",$C2347,"3 Posting Date",Z$9,"4 Entry Type",$C$4,"2 Item No.","@@"&amp;$F2347)</t>
  </si>
  <si>
    <t>=-NL("Sum","32 Item Ledger Entry","12 Quantity","5 Source no.",$C2348,"3 Posting Date",Z$9,"4 Entry Type",$C$4,"2 Item No.","@@"&amp;$F2348)</t>
  </si>
  <si>
    <t>=NL(,"27 Item","3 Description","1 No.","@@"&amp;F2309)</t>
  </si>
  <si>
    <t>=NL(,"27 Item","3 Description","1 No.","@@"&amp;F2310)</t>
  </si>
  <si>
    <t>=NL(,"27 Item","3 Description","1 No.","@@"&amp;F2311)</t>
  </si>
  <si>
    <t>=NL(,"27 Item","3 Description","1 No.","@@"&amp;F2312)</t>
  </si>
  <si>
    <t>=NL(,"27 Item","3 Description","1 No.","@@"&amp;F2313)</t>
  </si>
  <si>
    <t>=NL(,"27 Item","3 Description","1 No.","@@"&amp;F2314)</t>
  </si>
  <si>
    <t>=NL(,"27 Item","3 Description","1 No.","@@"&amp;F2315)</t>
  </si>
  <si>
    <t>=NL(,"27 Item","3 Description","1 No.","@@"&amp;F2316)</t>
  </si>
  <si>
    <t>=NL(,"27 Item","3 Description","1 No.","@@"&amp;F2317)</t>
  </si>
  <si>
    <t>=NL(,"27 Item","3 Description","1 No.","@@"&amp;F2318)</t>
  </si>
  <si>
    <t>=NL(,"27 Item","3 Description","1 No.","@@"&amp;F2319)</t>
  </si>
  <si>
    <t>=NL(,"27 Item","3 Description","1 No.","@@"&amp;F2320)</t>
  </si>
  <si>
    <t>=NL(,"27 Item","3 Description","1 No.","@@"&amp;F2321)</t>
  </si>
  <si>
    <t>=NL(,"27 Item","3 Description","1 No.","@@"&amp;F2322)</t>
  </si>
  <si>
    <t>=NL(,"27 Item","3 Description","1 No.","@@"&amp;F2323)</t>
  </si>
  <si>
    <t>=NL(,"27 Item","3 Description","1 No.","@@"&amp;F2324)</t>
  </si>
  <si>
    <t>=NL(,"27 Item","3 Description","1 No.","@@"&amp;F2325)</t>
  </si>
  <si>
    <t>=NL(,"27 Item","3 Description","1 No.","@@"&amp;F2326)</t>
  </si>
  <si>
    <t>=NL(,"27 Item","3 Description","1 No.","@@"&amp;F2327)</t>
  </si>
  <si>
    <t>=NL(,"27 Item","3 Description","1 No.","@@"&amp;F2328)</t>
  </si>
  <si>
    <t>=NL(,"27 Item","3 Description","1 No.","@@"&amp;F2329)</t>
  </si>
  <si>
    <t>=NL(,"27 Item","3 Description","1 No.","@@"&amp;F2330)</t>
  </si>
  <si>
    <t>=NL(,"27 Item","3 Description","1 No.","@@"&amp;F2331)</t>
  </si>
  <si>
    <t>=NL(,"27 Item","3 Description","1 No.","@@"&amp;F2332)</t>
  </si>
  <si>
    <t>=NL(,"27 Item","3 Description","1 No.","@@"&amp;F2333)</t>
  </si>
  <si>
    <t>=NL(,"27 Item","3 Description","1 No.","@@"&amp;F2334)</t>
  </si>
  <si>
    <t>=NL(,"27 Item","3 Description","1 No.","@@"&amp;F2335)</t>
  </si>
  <si>
    <t>=NL(,"27 Item","3 Description","1 No.","@@"&amp;F2336)</t>
  </si>
  <si>
    <t>=NL(,"27 Item","3 Description","1 No.","@@"&amp;F2337)</t>
  </si>
  <si>
    <t>=NL(,"27 Item","3 Description","1 No.","@@"&amp;F2338)</t>
  </si>
  <si>
    <t>=-NL("Sum","32 Item Ledger Entry","12 Quantity","5 Source no.",$C2309,"3 Posting Date",J$9,"4 Entry Type",$C$4,"2 Item No.","@@"&amp;$F2309)</t>
  </si>
  <si>
    <t>=-NL("Sum","32 Item Ledger Entry","12 Quantity","5 Source no.",$C2310,"3 Posting Date",J$9,"4 Entry Type",$C$4,"2 Item No.","@@"&amp;$F2310)</t>
  </si>
  <si>
    <t>=-NL("Sum","32 Item Ledger Entry","12 Quantity","5 Source no.",$C2311,"3 Posting Date",J$9,"4 Entry Type",$C$4,"2 Item No.","@@"&amp;$F2311)</t>
  </si>
  <si>
    <t>=-NL("Sum","32 Item Ledger Entry","12 Quantity","5 Source no.",$C2312,"3 Posting Date",J$9,"4 Entry Type",$C$4,"2 Item No.","@@"&amp;$F2312)</t>
  </si>
  <si>
    <t>=-NL("Sum","32 Item Ledger Entry","12 Quantity","5 Source no.",$C2313,"3 Posting Date",J$9,"4 Entry Type",$C$4,"2 Item No.","@@"&amp;$F2313)</t>
  </si>
  <si>
    <t>=-NL("Sum","32 Item Ledger Entry","12 Quantity","5 Source no.",$C2314,"3 Posting Date",J$9,"4 Entry Type",$C$4,"2 Item No.","@@"&amp;$F2314)</t>
  </si>
  <si>
    <t>=-NL("Sum","32 Item Ledger Entry","12 Quantity","5 Source no.",$C2315,"3 Posting Date",J$9,"4 Entry Type",$C$4,"2 Item No.","@@"&amp;$F2315)</t>
  </si>
  <si>
    <t>=-NL("Sum","32 Item Ledger Entry","12 Quantity","5 Source no.",$C2316,"3 Posting Date",J$9,"4 Entry Type",$C$4,"2 Item No.","@@"&amp;$F2316)</t>
  </si>
  <si>
    <t>=-NL("Sum","32 Item Ledger Entry","12 Quantity","5 Source no.",$C2317,"3 Posting Date",J$9,"4 Entry Type",$C$4,"2 Item No.","@@"&amp;$F2317)</t>
  </si>
  <si>
    <t>=-NL("Sum","32 Item Ledger Entry","12 Quantity","5 Source no.",$C2318,"3 Posting Date",J$9,"4 Entry Type",$C$4,"2 Item No.","@@"&amp;$F2318)</t>
  </si>
  <si>
    <t>=-NL("Sum","32 Item Ledger Entry","12 Quantity","5 Source no.",$C2319,"3 Posting Date",J$9,"4 Entry Type",$C$4,"2 Item No.","@@"&amp;$F2319)</t>
  </si>
  <si>
    <t>=-NL("Sum","32 Item Ledger Entry","12 Quantity","5 Source no.",$C2320,"3 Posting Date",J$9,"4 Entry Type",$C$4,"2 Item No.","@@"&amp;$F2320)</t>
  </si>
  <si>
    <t>=-NL("Sum","32 Item Ledger Entry","12 Quantity","5 Source no.",$C2321,"3 Posting Date",J$9,"4 Entry Type",$C$4,"2 Item No.","@@"&amp;$F2321)</t>
  </si>
  <si>
    <t>=-NL("Sum","32 Item Ledger Entry","12 Quantity","5 Source no.",$C2322,"3 Posting Date",J$9,"4 Entry Type",$C$4,"2 Item No.","@@"&amp;$F2322)</t>
  </si>
  <si>
    <t>=-NL("Sum","32 Item Ledger Entry","12 Quantity","5 Source no.",$C2323,"3 Posting Date",J$9,"4 Entry Type",$C$4,"2 Item No.","@@"&amp;$F2323)</t>
  </si>
  <si>
    <t>=-NL("Sum","32 Item Ledger Entry","12 Quantity","5 Source no.",$C2324,"3 Posting Date",J$9,"4 Entry Type",$C$4,"2 Item No.","@@"&amp;$F2324)</t>
  </si>
  <si>
    <t>=-NL("Sum","32 Item Ledger Entry","12 Quantity","5 Source no.",$C2325,"3 Posting Date",J$9,"4 Entry Type",$C$4,"2 Item No.","@@"&amp;$F2325)</t>
  </si>
  <si>
    <t>=-NL("Sum","32 Item Ledger Entry","12 Quantity","5 Source no.",$C2326,"3 Posting Date",J$9,"4 Entry Type",$C$4,"2 Item No.","@@"&amp;$F2326)</t>
  </si>
  <si>
    <t>=-NL("Sum","32 Item Ledger Entry","12 Quantity","5 Source no.",$C2327,"3 Posting Date",J$9,"4 Entry Type",$C$4,"2 Item No.","@@"&amp;$F2327)</t>
  </si>
  <si>
    <t>=-NL("Sum","32 Item Ledger Entry","12 Quantity","5 Source no.",$C2328,"3 Posting Date",J$9,"4 Entry Type",$C$4,"2 Item No.","@@"&amp;$F2328)</t>
  </si>
  <si>
    <t>=-NL("Sum","32 Item Ledger Entry","12 Quantity","5 Source no.",$C2329,"3 Posting Date",J$9,"4 Entry Type",$C$4,"2 Item No.","@@"&amp;$F2329)</t>
  </si>
  <si>
    <t>=-NL("Sum","32 Item Ledger Entry","12 Quantity","5 Source no.",$C2330,"3 Posting Date",J$9,"4 Entry Type",$C$4,"2 Item No.","@@"&amp;$F2330)</t>
  </si>
  <si>
    <t>=-NL("Sum","32 Item Ledger Entry","12 Quantity","5 Source no.",$C2331,"3 Posting Date",J$9,"4 Entry Type",$C$4,"2 Item No.","@@"&amp;$F2331)</t>
  </si>
  <si>
    <t>=-NL("Sum","32 Item Ledger Entry","12 Quantity","5 Source no.",$C2332,"3 Posting Date",J$9,"4 Entry Type",$C$4,"2 Item No.","@@"&amp;$F2332)</t>
  </si>
  <si>
    <t>=-NL("Sum","32 Item Ledger Entry","12 Quantity","5 Source no.",$C2333,"3 Posting Date",J$9,"4 Entry Type",$C$4,"2 Item No.","@@"&amp;$F2333)</t>
  </si>
  <si>
    <t>=-NL("Sum","32 Item Ledger Entry","12 Quantity","5 Source no.",$C2334,"3 Posting Date",J$9,"4 Entry Type",$C$4,"2 Item No.","@@"&amp;$F2334)</t>
  </si>
  <si>
    <t>=-NL("Sum","32 Item Ledger Entry","12 Quantity","5 Source no.",$C2335,"3 Posting Date",J$9,"4 Entry Type",$C$4,"2 Item No.","@@"&amp;$F2335)</t>
  </si>
  <si>
    <t>=-NL("Sum","32 Item Ledger Entry","12 Quantity","5 Source no.",$C2336,"3 Posting Date",J$9,"4 Entry Type",$C$4,"2 Item No.","@@"&amp;$F2336)</t>
  </si>
  <si>
    <t>=-NL("Sum","32 Item Ledger Entry","12 Quantity","5 Source no.",$C2337,"3 Posting Date",J$9,"4 Entry Type",$C$4,"2 Item No.","@@"&amp;$F2337)</t>
  </si>
  <si>
    <t>=-NL("Sum","32 Item Ledger Entry","12 Quantity","5 Source no.",$C2338,"3 Posting Date",J$9,"4 Entry Type",$C$4,"2 Item No.","@@"&amp;$F2338)</t>
  </si>
  <si>
    <t>=-NL("Sum","32 Item Ledger Entry","12 Quantity","5 Source no.",$C2309,"3 Posting Date",O$9,"4 Entry Type",$C$4,"2 Item No.","@@"&amp;$F2309)</t>
  </si>
  <si>
    <t>=-NL("Sum","32 Item Ledger Entry","12 Quantity","5 Source no.",$C2310,"3 Posting Date",O$9,"4 Entry Type",$C$4,"2 Item No.","@@"&amp;$F2310)</t>
  </si>
  <si>
    <t>=-NL("Sum","32 Item Ledger Entry","12 Quantity","5 Source no.",$C2311,"3 Posting Date",O$9,"4 Entry Type",$C$4,"2 Item No.","@@"&amp;$F2311)</t>
  </si>
  <si>
    <t>=-NL("Sum","32 Item Ledger Entry","12 Quantity","5 Source no.",$C2312,"3 Posting Date",O$9,"4 Entry Type",$C$4,"2 Item No.","@@"&amp;$F2312)</t>
  </si>
  <si>
    <t>=-NL("Sum","32 Item Ledger Entry","12 Quantity","5 Source no.",$C2313,"3 Posting Date",O$9,"4 Entry Type",$C$4,"2 Item No.","@@"&amp;$F2313)</t>
  </si>
  <si>
    <t>=-NL("Sum","32 Item Ledger Entry","12 Quantity","5 Source no.",$C2314,"3 Posting Date",O$9,"4 Entry Type",$C$4,"2 Item No.","@@"&amp;$F2314)</t>
  </si>
  <si>
    <t>=-NL("Sum","32 Item Ledger Entry","12 Quantity","5 Source no.",$C2315,"3 Posting Date",O$9,"4 Entry Type",$C$4,"2 Item No.","@@"&amp;$F2315)</t>
  </si>
  <si>
    <t>=-NL("Sum","32 Item Ledger Entry","12 Quantity","5 Source no.",$C2316,"3 Posting Date",O$9,"4 Entry Type",$C$4,"2 Item No.","@@"&amp;$F2316)</t>
  </si>
  <si>
    <t>=-NL("Sum","32 Item Ledger Entry","12 Quantity","5 Source no.",$C2317,"3 Posting Date",O$9,"4 Entry Type",$C$4,"2 Item No.","@@"&amp;$F2317)</t>
  </si>
  <si>
    <t>=-NL("Sum","32 Item Ledger Entry","12 Quantity","5 Source no.",$C2318,"3 Posting Date",O$9,"4 Entry Type",$C$4,"2 Item No.","@@"&amp;$F2318)</t>
  </si>
  <si>
    <t>=-NL("Sum","32 Item Ledger Entry","12 Quantity","5 Source no.",$C2319,"3 Posting Date",O$9,"4 Entry Type",$C$4,"2 Item No.","@@"&amp;$F2319)</t>
  </si>
  <si>
    <t>=-NL("Sum","32 Item Ledger Entry","12 Quantity","5 Source no.",$C2320,"3 Posting Date",O$9,"4 Entry Type",$C$4,"2 Item No.","@@"&amp;$F2320)</t>
  </si>
  <si>
    <t>=-NL("Sum","32 Item Ledger Entry","12 Quantity","5 Source no.",$C2321,"3 Posting Date",O$9,"4 Entry Type",$C$4,"2 Item No.","@@"&amp;$F2321)</t>
  </si>
  <si>
    <t>=-NL("Sum","32 Item Ledger Entry","12 Quantity","5 Source no.",$C2322,"3 Posting Date",O$9,"4 Entry Type",$C$4,"2 Item No.","@@"&amp;$F2322)</t>
  </si>
  <si>
    <t>=-NL("Sum","32 Item Ledger Entry","12 Quantity","5 Source no.",$C2323,"3 Posting Date",O$9,"4 Entry Type",$C$4,"2 Item No.","@@"&amp;$F2323)</t>
  </si>
  <si>
    <t>=-NL("Sum","32 Item Ledger Entry","12 Quantity","5 Source no.",$C2324,"3 Posting Date",O$9,"4 Entry Type",$C$4,"2 Item No.","@@"&amp;$F2324)</t>
  </si>
  <si>
    <t>=-NL("Sum","32 Item Ledger Entry","12 Quantity","5 Source no.",$C2325,"3 Posting Date",O$9,"4 Entry Type",$C$4,"2 Item No.","@@"&amp;$F2325)</t>
  </si>
  <si>
    <t>=-NL("Sum","32 Item Ledger Entry","12 Quantity","5 Source no.",$C2326,"3 Posting Date",O$9,"4 Entry Type",$C$4,"2 Item No.","@@"&amp;$F2326)</t>
  </si>
  <si>
    <t>=-NL("Sum","32 Item Ledger Entry","12 Quantity","5 Source no.",$C2327,"3 Posting Date",O$9,"4 Entry Type",$C$4,"2 Item No.","@@"&amp;$F2327)</t>
  </si>
  <si>
    <t>=-NL("Sum","32 Item Ledger Entry","12 Quantity","5 Source no.",$C2328,"3 Posting Date",O$9,"4 Entry Type",$C$4,"2 Item No.","@@"&amp;$F2328)</t>
  </si>
  <si>
    <t>=-NL("Sum","32 Item Ledger Entry","12 Quantity","5 Source no.",$C2329,"3 Posting Date",O$9,"4 Entry Type",$C$4,"2 Item No.","@@"&amp;$F2329)</t>
  </si>
  <si>
    <t>=-NL("Sum","32 Item Ledger Entry","12 Quantity","5 Source no.",$C2330,"3 Posting Date",O$9,"4 Entry Type",$C$4,"2 Item No.","@@"&amp;$F2330)</t>
  </si>
  <si>
    <t>=-NL("Sum","32 Item Ledger Entry","12 Quantity","5 Source no.",$C2331,"3 Posting Date",O$9,"4 Entry Type",$C$4,"2 Item No.","@@"&amp;$F2331)</t>
  </si>
  <si>
    <t>=-NL("Sum","32 Item Ledger Entry","12 Quantity","5 Source no.",$C2332,"3 Posting Date",O$9,"4 Entry Type",$C$4,"2 Item No.","@@"&amp;$F2332)</t>
  </si>
  <si>
    <t>=-NL("Sum","32 Item Ledger Entry","12 Quantity","5 Source no.",$C2333,"3 Posting Date",O$9,"4 Entry Type",$C$4,"2 Item No.","@@"&amp;$F2333)</t>
  </si>
  <si>
    <t>=-NL("Sum","32 Item Ledger Entry","12 Quantity","5 Source no.",$C2334,"3 Posting Date",O$9,"4 Entry Type",$C$4,"2 Item No.","@@"&amp;$F2334)</t>
  </si>
  <si>
    <t>=-NL("Sum","32 Item Ledger Entry","12 Quantity","5 Source no.",$C2335,"3 Posting Date",O$9,"4 Entry Type",$C$4,"2 Item No.","@@"&amp;$F2335)</t>
  </si>
  <si>
    <t>=-NL("Sum","32 Item Ledger Entry","12 Quantity","5 Source no.",$C2336,"3 Posting Date",O$9,"4 Entry Type",$C$4,"2 Item No.","@@"&amp;$F2336)</t>
  </si>
  <si>
    <t>=-NL("Sum","32 Item Ledger Entry","12 Quantity","5 Source no.",$C2337,"3 Posting Date",O$9,"4 Entry Type",$C$4,"2 Item No.","@@"&amp;$F2337)</t>
  </si>
  <si>
    <t>=-NL("Sum","32 Item Ledger Entry","12 Quantity","5 Source no.",$C2338,"3 Posting Date",O$9,"4 Entry Type",$C$4,"2 Item No.","@@"&amp;$F2338)</t>
  </si>
  <si>
    <t>=-NL("Sum","32 Item Ledger Entry","12 Quantity","5 Source no.",$C2309,"3 Posting Date",U$9,"4 Entry Type",$C$4,"2 Item No.","@@"&amp;$F2309)</t>
  </si>
  <si>
    <t>=-NL("Sum","32 Item Ledger Entry","12 Quantity","5 Source no.",$C2310,"3 Posting Date",U$9,"4 Entry Type",$C$4,"2 Item No.","@@"&amp;$F2310)</t>
  </si>
  <si>
    <t>=-NL("Sum","32 Item Ledger Entry","12 Quantity","5 Source no.",$C2311,"3 Posting Date",U$9,"4 Entry Type",$C$4,"2 Item No.","@@"&amp;$F2311)</t>
  </si>
  <si>
    <t>=-NL("Sum","32 Item Ledger Entry","12 Quantity","5 Source no.",$C2312,"3 Posting Date",U$9,"4 Entry Type",$C$4,"2 Item No.","@@"&amp;$F2312)</t>
  </si>
  <si>
    <t>=-NL("Sum","32 Item Ledger Entry","12 Quantity","5 Source no.",$C2313,"3 Posting Date",U$9,"4 Entry Type",$C$4,"2 Item No.","@@"&amp;$F2313)</t>
  </si>
  <si>
    <t>=-NL("Sum","32 Item Ledger Entry","12 Quantity","5 Source no.",$C2314,"3 Posting Date",U$9,"4 Entry Type",$C$4,"2 Item No.","@@"&amp;$F2314)</t>
  </si>
  <si>
    <t>=-NL("Sum","32 Item Ledger Entry","12 Quantity","5 Source no.",$C2315,"3 Posting Date",U$9,"4 Entry Type",$C$4,"2 Item No.","@@"&amp;$F2315)</t>
  </si>
  <si>
    <t>=-NL("Sum","32 Item Ledger Entry","12 Quantity","5 Source no.",$C2316,"3 Posting Date",U$9,"4 Entry Type",$C$4,"2 Item No.","@@"&amp;$F2316)</t>
  </si>
  <si>
    <t>=-NL("Sum","32 Item Ledger Entry","12 Quantity","5 Source no.",$C2317,"3 Posting Date",U$9,"4 Entry Type",$C$4,"2 Item No.","@@"&amp;$F2317)</t>
  </si>
  <si>
    <t>=-NL("Sum","32 Item Ledger Entry","12 Quantity","5 Source no.",$C2318,"3 Posting Date",U$9,"4 Entry Type",$C$4,"2 Item No.","@@"&amp;$F2318)</t>
  </si>
  <si>
    <t>=-NL("Sum","32 Item Ledger Entry","12 Quantity","5 Source no.",$C2319,"3 Posting Date",U$9,"4 Entry Type",$C$4,"2 Item No.","@@"&amp;$F2319)</t>
  </si>
  <si>
    <t>=-NL("Sum","32 Item Ledger Entry","12 Quantity","5 Source no.",$C2320,"3 Posting Date",U$9,"4 Entry Type",$C$4,"2 Item No.","@@"&amp;$F2320)</t>
  </si>
  <si>
    <t>=-NL("Sum","32 Item Ledger Entry","12 Quantity","5 Source no.",$C2321,"3 Posting Date",U$9,"4 Entry Type",$C$4,"2 Item No.","@@"&amp;$F2321)</t>
  </si>
  <si>
    <t>=-NL("Sum","32 Item Ledger Entry","12 Quantity","5 Source no.",$C2322,"3 Posting Date",U$9,"4 Entry Type",$C$4,"2 Item No.","@@"&amp;$F2322)</t>
  </si>
  <si>
    <t>=-NL("Sum","32 Item Ledger Entry","12 Quantity","5 Source no.",$C2323,"3 Posting Date",U$9,"4 Entry Type",$C$4,"2 Item No.","@@"&amp;$F2323)</t>
  </si>
  <si>
    <t>=-NL("Sum","32 Item Ledger Entry","12 Quantity","5 Source no.",$C2324,"3 Posting Date",U$9,"4 Entry Type",$C$4,"2 Item No.","@@"&amp;$F2324)</t>
  </si>
  <si>
    <t>=-NL("Sum","32 Item Ledger Entry","12 Quantity","5 Source no.",$C2325,"3 Posting Date",U$9,"4 Entry Type",$C$4,"2 Item No.","@@"&amp;$F2325)</t>
  </si>
  <si>
    <t>=-NL("Sum","32 Item Ledger Entry","12 Quantity","5 Source no.",$C2326,"3 Posting Date",U$9,"4 Entry Type",$C$4,"2 Item No.","@@"&amp;$F2326)</t>
  </si>
  <si>
    <t>=-NL("Sum","32 Item Ledger Entry","12 Quantity","5 Source no.",$C2327,"3 Posting Date",U$9,"4 Entry Type",$C$4,"2 Item No.","@@"&amp;$F2327)</t>
  </si>
  <si>
    <t>=-NL("Sum","32 Item Ledger Entry","12 Quantity","5 Source no.",$C2328,"3 Posting Date",U$9,"4 Entry Type",$C$4,"2 Item No.","@@"&amp;$F2328)</t>
  </si>
  <si>
    <t>=-NL("Sum","32 Item Ledger Entry","12 Quantity","5 Source no.",$C2329,"3 Posting Date",U$9,"4 Entry Type",$C$4,"2 Item No.","@@"&amp;$F2329)</t>
  </si>
  <si>
    <t>=-NL("Sum","32 Item Ledger Entry","12 Quantity","5 Source no.",$C2330,"3 Posting Date",U$9,"4 Entry Type",$C$4,"2 Item No.","@@"&amp;$F2330)</t>
  </si>
  <si>
    <t>=-NL("Sum","32 Item Ledger Entry","12 Quantity","5 Source no.",$C2331,"3 Posting Date",U$9,"4 Entry Type",$C$4,"2 Item No.","@@"&amp;$F2331)</t>
  </si>
  <si>
    <t>=-NL("Sum","32 Item Ledger Entry","12 Quantity","5 Source no.",$C2332,"3 Posting Date",U$9,"4 Entry Type",$C$4,"2 Item No.","@@"&amp;$F2332)</t>
  </si>
  <si>
    <t>=-NL("Sum","32 Item Ledger Entry","12 Quantity","5 Source no.",$C2333,"3 Posting Date",U$9,"4 Entry Type",$C$4,"2 Item No.","@@"&amp;$F2333)</t>
  </si>
  <si>
    <t>=-NL("Sum","32 Item Ledger Entry","12 Quantity","5 Source no.",$C2334,"3 Posting Date",U$9,"4 Entry Type",$C$4,"2 Item No.","@@"&amp;$F2334)</t>
  </si>
  <si>
    <t>=-NL("Sum","32 Item Ledger Entry","12 Quantity","5 Source no.",$C2335,"3 Posting Date",U$9,"4 Entry Type",$C$4,"2 Item No.","@@"&amp;$F2335)</t>
  </si>
  <si>
    <t>=-NL("Sum","32 Item Ledger Entry","12 Quantity","5 Source no.",$C2336,"3 Posting Date",U$9,"4 Entry Type",$C$4,"2 Item No.","@@"&amp;$F2336)</t>
  </si>
  <si>
    <t>=-NL("Sum","32 Item Ledger Entry","12 Quantity","5 Source no.",$C2337,"3 Posting Date",U$9,"4 Entry Type",$C$4,"2 Item No.","@@"&amp;$F2337)</t>
  </si>
  <si>
    <t>=-NL("Sum","32 Item Ledger Entry","12 Quantity","5 Source no.",$C2338,"3 Posting Date",U$9,"4 Entry Type",$C$4,"2 Item No.","@@"&amp;$F2338)</t>
  </si>
  <si>
    <t>=-NL("Sum","32 Item Ledger Entry","12 Quantity","5 Source no.",$C2309,"3 Posting Date",Z$9,"4 Entry Type",$C$4,"2 Item No.","@@"&amp;$F2309)</t>
  </si>
  <si>
    <t>=-NL("Sum","32 Item Ledger Entry","12 Quantity","5 Source no.",$C2310,"3 Posting Date",Z$9,"4 Entry Type",$C$4,"2 Item No.","@@"&amp;$F2310)</t>
  </si>
  <si>
    <t>=-NL("Sum","32 Item Ledger Entry","12 Quantity","5 Source no.",$C2311,"3 Posting Date",Z$9,"4 Entry Type",$C$4,"2 Item No.","@@"&amp;$F2311)</t>
  </si>
  <si>
    <t>=-NL("Sum","32 Item Ledger Entry","12 Quantity","5 Source no.",$C2312,"3 Posting Date",Z$9,"4 Entry Type",$C$4,"2 Item No.","@@"&amp;$F2312)</t>
  </si>
  <si>
    <t>=-NL("Sum","32 Item Ledger Entry","12 Quantity","5 Source no.",$C2313,"3 Posting Date",Z$9,"4 Entry Type",$C$4,"2 Item No.","@@"&amp;$F2313)</t>
  </si>
  <si>
    <t>=-NL("Sum","32 Item Ledger Entry","12 Quantity","5 Source no.",$C2314,"3 Posting Date",Z$9,"4 Entry Type",$C$4,"2 Item No.","@@"&amp;$F2314)</t>
  </si>
  <si>
    <t>=-NL("Sum","32 Item Ledger Entry","12 Quantity","5 Source no.",$C2315,"3 Posting Date",Z$9,"4 Entry Type",$C$4,"2 Item No.","@@"&amp;$F2315)</t>
  </si>
  <si>
    <t>=-NL("Sum","32 Item Ledger Entry","12 Quantity","5 Source no.",$C2316,"3 Posting Date",Z$9,"4 Entry Type",$C$4,"2 Item No.","@@"&amp;$F2316)</t>
  </si>
  <si>
    <t>=-NL("Sum","32 Item Ledger Entry","12 Quantity","5 Source no.",$C2317,"3 Posting Date",Z$9,"4 Entry Type",$C$4,"2 Item No.","@@"&amp;$F2317)</t>
  </si>
  <si>
    <t>=-NL("Sum","32 Item Ledger Entry","12 Quantity","5 Source no.",$C2318,"3 Posting Date",Z$9,"4 Entry Type",$C$4,"2 Item No.","@@"&amp;$F2318)</t>
  </si>
  <si>
    <t>=-NL("Sum","32 Item Ledger Entry","12 Quantity","5 Source no.",$C2319,"3 Posting Date",Z$9,"4 Entry Type",$C$4,"2 Item No.","@@"&amp;$F2319)</t>
  </si>
  <si>
    <t>=-NL("Sum","32 Item Ledger Entry","12 Quantity","5 Source no.",$C2320,"3 Posting Date",Z$9,"4 Entry Type",$C$4,"2 Item No.","@@"&amp;$F2320)</t>
  </si>
  <si>
    <t>=-NL("Sum","32 Item Ledger Entry","12 Quantity","5 Source no.",$C2321,"3 Posting Date",Z$9,"4 Entry Type",$C$4,"2 Item No.","@@"&amp;$F2321)</t>
  </si>
  <si>
    <t>=-NL("Sum","32 Item Ledger Entry","12 Quantity","5 Source no.",$C2322,"3 Posting Date",Z$9,"4 Entry Type",$C$4,"2 Item No.","@@"&amp;$F2322)</t>
  </si>
  <si>
    <t>=-NL("Sum","32 Item Ledger Entry","12 Quantity","5 Source no.",$C2323,"3 Posting Date",Z$9,"4 Entry Type",$C$4,"2 Item No.","@@"&amp;$F2323)</t>
  </si>
  <si>
    <t>=-NL("Sum","32 Item Ledger Entry","12 Quantity","5 Source no.",$C2324,"3 Posting Date",Z$9,"4 Entry Type",$C$4,"2 Item No.","@@"&amp;$F2324)</t>
  </si>
  <si>
    <t>=-NL("Sum","32 Item Ledger Entry","12 Quantity","5 Source no.",$C2325,"3 Posting Date",Z$9,"4 Entry Type",$C$4,"2 Item No.","@@"&amp;$F2325)</t>
  </si>
  <si>
    <t>=-NL("Sum","32 Item Ledger Entry","12 Quantity","5 Source no.",$C2326,"3 Posting Date",Z$9,"4 Entry Type",$C$4,"2 Item No.","@@"&amp;$F2326)</t>
  </si>
  <si>
    <t>=-NL("Sum","32 Item Ledger Entry","12 Quantity","5 Source no.",$C2327,"3 Posting Date",Z$9,"4 Entry Type",$C$4,"2 Item No.","@@"&amp;$F2327)</t>
  </si>
  <si>
    <t>=-NL("Sum","32 Item Ledger Entry","12 Quantity","5 Source no.",$C2328,"3 Posting Date",Z$9,"4 Entry Type",$C$4,"2 Item No.","@@"&amp;$F2328)</t>
  </si>
  <si>
    <t>=-NL("Sum","32 Item Ledger Entry","12 Quantity","5 Source no.",$C2329,"3 Posting Date",Z$9,"4 Entry Type",$C$4,"2 Item No.","@@"&amp;$F2329)</t>
  </si>
  <si>
    <t>=-NL("Sum","32 Item Ledger Entry","12 Quantity","5 Source no.",$C2330,"3 Posting Date",Z$9,"4 Entry Type",$C$4,"2 Item No.","@@"&amp;$F2330)</t>
  </si>
  <si>
    <t>=-NL("Sum","32 Item Ledger Entry","12 Quantity","5 Source no.",$C2331,"3 Posting Date",Z$9,"4 Entry Type",$C$4,"2 Item No.","@@"&amp;$F2331)</t>
  </si>
  <si>
    <t>=-NL("Sum","32 Item Ledger Entry","12 Quantity","5 Source no.",$C2332,"3 Posting Date",Z$9,"4 Entry Type",$C$4,"2 Item No.","@@"&amp;$F2332)</t>
  </si>
  <si>
    <t>=-NL("Sum","32 Item Ledger Entry","12 Quantity","5 Source no.",$C2333,"3 Posting Date",Z$9,"4 Entry Type",$C$4,"2 Item No.","@@"&amp;$F2333)</t>
  </si>
  <si>
    <t>=-NL("Sum","32 Item Ledger Entry","12 Quantity","5 Source no.",$C2334,"3 Posting Date",Z$9,"4 Entry Type",$C$4,"2 Item No.","@@"&amp;$F2334)</t>
  </si>
  <si>
    <t>=-NL("Sum","32 Item Ledger Entry","12 Quantity","5 Source no.",$C2335,"3 Posting Date",Z$9,"4 Entry Type",$C$4,"2 Item No.","@@"&amp;$F2335)</t>
  </si>
  <si>
    <t>=-NL("Sum","32 Item Ledger Entry","12 Quantity","5 Source no.",$C2336,"3 Posting Date",Z$9,"4 Entry Type",$C$4,"2 Item No.","@@"&amp;$F2336)</t>
  </si>
  <si>
    <t>=-NL("Sum","32 Item Ledger Entry","12 Quantity","5 Source no.",$C2337,"3 Posting Date",Z$9,"4 Entry Type",$C$4,"2 Item No.","@@"&amp;$F2337)</t>
  </si>
  <si>
    <t>=-NL("Sum","32 Item Ledger Entry","12 Quantity","5 Source no.",$C2338,"3 Posting Date",Z$9,"4 Entry Type",$C$4,"2 Item No.","@@"&amp;$F2338)</t>
  </si>
  <si>
    <t>=NL(,"27 Item","3 Description","1 No.","@@"&amp;F2268)</t>
  </si>
  <si>
    <t>=NL(,"27 Item","3 Description","1 No.","@@"&amp;F2269)</t>
  </si>
  <si>
    <t>=NL(,"27 Item","3 Description","1 No.","@@"&amp;F2270)</t>
  </si>
  <si>
    <t>=NL(,"27 Item","3 Description","1 No.","@@"&amp;F2271)</t>
  </si>
  <si>
    <t>=NL(,"27 Item","3 Description","1 No.","@@"&amp;F2272)</t>
  </si>
  <si>
    <t>=NL(,"27 Item","3 Description","1 No.","@@"&amp;F2273)</t>
  </si>
  <si>
    <t>=NL(,"27 Item","3 Description","1 No.","@@"&amp;F2274)</t>
  </si>
  <si>
    <t>=NL(,"27 Item","3 Description","1 No.","@@"&amp;F2275)</t>
  </si>
  <si>
    <t>=NL(,"27 Item","3 Description","1 No.","@@"&amp;F2276)</t>
  </si>
  <si>
    <t>=NL(,"27 Item","3 Description","1 No.","@@"&amp;F2277)</t>
  </si>
  <si>
    <t>=NL(,"27 Item","3 Description","1 No.","@@"&amp;F2278)</t>
  </si>
  <si>
    <t>=NL(,"27 Item","3 Description","1 No.","@@"&amp;F2279)</t>
  </si>
  <si>
    <t>=NL(,"27 Item","3 Description","1 No.","@@"&amp;F2280)</t>
  </si>
  <si>
    <t>=NL(,"27 Item","3 Description","1 No.","@@"&amp;F2281)</t>
  </si>
  <si>
    <t>=NL(,"27 Item","3 Description","1 No.","@@"&amp;F2282)</t>
  </si>
  <si>
    <t>=NL(,"27 Item","3 Description","1 No.","@@"&amp;F2283)</t>
  </si>
  <si>
    <t>=NL(,"27 Item","3 Description","1 No.","@@"&amp;F2284)</t>
  </si>
  <si>
    <t>=NL(,"27 Item","3 Description","1 No.","@@"&amp;F2285)</t>
  </si>
  <si>
    <t>=NL(,"27 Item","3 Description","1 No.","@@"&amp;F2286)</t>
  </si>
  <si>
    <t>=NL(,"27 Item","3 Description","1 No.","@@"&amp;F2287)</t>
  </si>
  <si>
    <t>=NL(,"27 Item","3 Description","1 No.","@@"&amp;F2288)</t>
  </si>
  <si>
    <t>=NL(,"27 Item","3 Description","1 No.","@@"&amp;F2289)</t>
  </si>
  <si>
    <t>=NL(,"27 Item","3 Description","1 No.","@@"&amp;F2290)</t>
  </si>
  <si>
    <t>=NL(,"27 Item","3 Description","1 No.","@@"&amp;F2291)</t>
  </si>
  <si>
    <t>=NL(,"27 Item","3 Description","1 No.","@@"&amp;F2292)</t>
  </si>
  <si>
    <t>=NL(,"27 Item","3 Description","1 No.","@@"&amp;F2293)</t>
  </si>
  <si>
    <t>=NL(,"27 Item","3 Description","1 No.","@@"&amp;F2294)</t>
  </si>
  <si>
    <t>=NL(,"27 Item","3 Description","1 No.","@@"&amp;F2295)</t>
  </si>
  <si>
    <t>=NL(,"27 Item","3 Description","1 No.","@@"&amp;F2296)</t>
  </si>
  <si>
    <t>=NL(,"27 Item","3 Description","1 No.","@@"&amp;F2297)</t>
  </si>
  <si>
    <t>=NL(,"27 Item","3 Description","1 No.","@@"&amp;F2298)</t>
  </si>
  <si>
    <t>=NL(,"27 Item","3 Description","1 No.","@@"&amp;F2299)</t>
  </si>
  <si>
    <t>=NL(,"27 Item","3 Description","1 No.","@@"&amp;F2300)</t>
  </si>
  <si>
    <t>=NL(,"27 Item","3 Description","1 No.","@@"&amp;F2301)</t>
  </si>
  <si>
    <t>=NL(,"27 Item","3 Description","1 No.","@@"&amp;F2302)</t>
  </si>
  <si>
    <t>=NL(,"27 Item","3 Description","1 No.","@@"&amp;F2303)</t>
  </si>
  <si>
    <t>=-NL("Sum","32 Item Ledger Entry","12 Quantity","5 Source no.",$C2268,"3 Posting Date",J$9,"4 Entry Type",$C$4,"2 Item No.","@@"&amp;$F2268)</t>
  </si>
  <si>
    <t>=-NL("Sum","32 Item Ledger Entry","12 Quantity","5 Source no.",$C2269,"3 Posting Date",J$9,"4 Entry Type",$C$4,"2 Item No.","@@"&amp;$F2269)</t>
  </si>
  <si>
    <t>=-NL("Sum","32 Item Ledger Entry","12 Quantity","5 Source no.",$C2270,"3 Posting Date",J$9,"4 Entry Type",$C$4,"2 Item No.","@@"&amp;$F2270)</t>
  </si>
  <si>
    <t>=-NL("Sum","32 Item Ledger Entry","12 Quantity","5 Source no.",$C2271,"3 Posting Date",J$9,"4 Entry Type",$C$4,"2 Item No.","@@"&amp;$F2271)</t>
  </si>
  <si>
    <t>=-NL("Sum","32 Item Ledger Entry","12 Quantity","5 Source no.",$C2272,"3 Posting Date",J$9,"4 Entry Type",$C$4,"2 Item No.","@@"&amp;$F2272)</t>
  </si>
  <si>
    <t>=-NL("Sum","32 Item Ledger Entry","12 Quantity","5 Source no.",$C2273,"3 Posting Date",J$9,"4 Entry Type",$C$4,"2 Item No.","@@"&amp;$F2273)</t>
  </si>
  <si>
    <t>=-NL("Sum","32 Item Ledger Entry","12 Quantity","5 Source no.",$C2274,"3 Posting Date",J$9,"4 Entry Type",$C$4,"2 Item No.","@@"&amp;$F2274)</t>
  </si>
  <si>
    <t>=-NL("Sum","32 Item Ledger Entry","12 Quantity","5 Source no.",$C2275,"3 Posting Date",J$9,"4 Entry Type",$C$4,"2 Item No.","@@"&amp;$F2275)</t>
  </si>
  <si>
    <t>=-NL("Sum","32 Item Ledger Entry","12 Quantity","5 Source no.",$C2276,"3 Posting Date",J$9,"4 Entry Type",$C$4,"2 Item No.","@@"&amp;$F2276)</t>
  </si>
  <si>
    <t>=-NL("Sum","32 Item Ledger Entry","12 Quantity","5 Source no.",$C2277,"3 Posting Date",J$9,"4 Entry Type",$C$4,"2 Item No.","@@"&amp;$F2277)</t>
  </si>
  <si>
    <t>=-NL("Sum","32 Item Ledger Entry","12 Quantity","5 Source no.",$C2278,"3 Posting Date",J$9,"4 Entry Type",$C$4,"2 Item No.","@@"&amp;$F2278)</t>
  </si>
  <si>
    <t>=-NL("Sum","32 Item Ledger Entry","12 Quantity","5 Source no.",$C2279,"3 Posting Date",J$9,"4 Entry Type",$C$4,"2 Item No.","@@"&amp;$F2279)</t>
  </si>
  <si>
    <t>=-NL("Sum","32 Item Ledger Entry","12 Quantity","5 Source no.",$C2280,"3 Posting Date",J$9,"4 Entry Type",$C$4,"2 Item No.","@@"&amp;$F2280)</t>
  </si>
  <si>
    <t>=-NL("Sum","32 Item Ledger Entry","12 Quantity","5 Source no.",$C2281,"3 Posting Date",J$9,"4 Entry Type",$C$4,"2 Item No.","@@"&amp;$F2281)</t>
  </si>
  <si>
    <t>=-NL("Sum","32 Item Ledger Entry","12 Quantity","5 Source no.",$C2282,"3 Posting Date",J$9,"4 Entry Type",$C$4,"2 Item No.","@@"&amp;$F2282)</t>
  </si>
  <si>
    <t>=-NL("Sum","32 Item Ledger Entry","12 Quantity","5 Source no.",$C2283,"3 Posting Date",J$9,"4 Entry Type",$C$4,"2 Item No.","@@"&amp;$F2283)</t>
  </si>
  <si>
    <t>=-NL("Sum","32 Item Ledger Entry","12 Quantity","5 Source no.",$C2284,"3 Posting Date",J$9,"4 Entry Type",$C$4,"2 Item No.","@@"&amp;$F2284)</t>
  </si>
  <si>
    <t>=-NL("Sum","32 Item Ledger Entry","12 Quantity","5 Source no.",$C2285,"3 Posting Date",J$9,"4 Entry Type",$C$4,"2 Item No.","@@"&amp;$F2285)</t>
  </si>
  <si>
    <t>=-NL("Sum","32 Item Ledger Entry","12 Quantity","5 Source no.",$C2286,"3 Posting Date",J$9,"4 Entry Type",$C$4,"2 Item No.","@@"&amp;$F2286)</t>
  </si>
  <si>
    <t>=-NL("Sum","32 Item Ledger Entry","12 Quantity","5 Source no.",$C2287,"3 Posting Date",J$9,"4 Entry Type",$C$4,"2 Item No.","@@"&amp;$F2287)</t>
  </si>
  <si>
    <t>=-NL("Sum","32 Item Ledger Entry","12 Quantity","5 Source no.",$C2288,"3 Posting Date",J$9,"4 Entry Type",$C$4,"2 Item No.","@@"&amp;$F2288)</t>
  </si>
  <si>
    <t>=-NL("Sum","32 Item Ledger Entry","12 Quantity","5 Source no.",$C2289,"3 Posting Date",J$9,"4 Entry Type",$C$4,"2 Item No.","@@"&amp;$F2289)</t>
  </si>
  <si>
    <t>=-NL("Sum","32 Item Ledger Entry","12 Quantity","5 Source no.",$C2290,"3 Posting Date",J$9,"4 Entry Type",$C$4,"2 Item No.","@@"&amp;$F2290)</t>
  </si>
  <si>
    <t>=-NL("Sum","32 Item Ledger Entry","12 Quantity","5 Source no.",$C2291,"3 Posting Date",J$9,"4 Entry Type",$C$4,"2 Item No.","@@"&amp;$F2291)</t>
  </si>
  <si>
    <t>=-NL("Sum","32 Item Ledger Entry","12 Quantity","5 Source no.",$C2292,"3 Posting Date",J$9,"4 Entry Type",$C$4,"2 Item No.","@@"&amp;$F2292)</t>
  </si>
  <si>
    <t>=-NL("Sum","32 Item Ledger Entry","12 Quantity","5 Source no.",$C2293,"3 Posting Date",J$9,"4 Entry Type",$C$4,"2 Item No.","@@"&amp;$F2293)</t>
  </si>
  <si>
    <t>=-NL("Sum","32 Item Ledger Entry","12 Quantity","5 Source no.",$C2294,"3 Posting Date",J$9,"4 Entry Type",$C$4,"2 Item No.","@@"&amp;$F2294)</t>
  </si>
  <si>
    <t>=-NL("Sum","32 Item Ledger Entry","12 Quantity","5 Source no.",$C2295,"3 Posting Date",J$9,"4 Entry Type",$C$4,"2 Item No.","@@"&amp;$F2295)</t>
  </si>
  <si>
    <t>=-NL("Sum","32 Item Ledger Entry","12 Quantity","5 Source no.",$C2296,"3 Posting Date",J$9,"4 Entry Type",$C$4,"2 Item No.","@@"&amp;$F2296)</t>
  </si>
  <si>
    <t>=-NL("Sum","32 Item Ledger Entry","12 Quantity","5 Source no.",$C2297,"3 Posting Date",J$9,"4 Entry Type",$C$4,"2 Item No.","@@"&amp;$F2297)</t>
  </si>
  <si>
    <t>=-NL("Sum","32 Item Ledger Entry","12 Quantity","5 Source no.",$C2298,"3 Posting Date",J$9,"4 Entry Type",$C$4,"2 Item No.","@@"&amp;$F2298)</t>
  </si>
  <si>
    <t>=-NL("Sum","32 Item Ledger Entry","12 Quantity","5 Source no.",$C2299,"3 Posting Date",J$9,"4 Entry Type",$C$4,"2 Item No.","@@"&amp;$F2299)</t>
  </si>
  <si>
    <t>=-NL("Sum","32 Item Ledger Entry","12 Quantity","5 Source no.",$C2300,"3 Posting Date",J$9,"4 Entry Type",$C$4,"2 Item No.","@@"&amp;$F2300)</t>
  </si>
  <si>
    <t>=-NL("Sum","32 Item Ledger Entry","12 Quantity","5 Source no.",$C2301,"3 Posting Date",J$9,"4 Entry Type",$C$4,"2 Item No.","@@"&amp;$F2301)</t>
  </si>
  <si>
    <t>=-NL("Sum","32 Item Ledger Entry","12 Quantity","5 Source no.",$C2302,"3 Posting Date",J$9,"4 Entry Type",$C$4,"2 Item No.","@@"&amp;$F2302)</t>
  </si>
  <si>
    <t>=-NL("Sum","32 Item Ledger Entry","12 Quantity","5 Source no.",$C2303,"3 Posting Date",J$9,"4 Entry Type",$C$4,"2 Item No.","@@"&amp;$F2303)</t>
  </si>
  <si>
    <t>=-NL("Sum","32 Item Ledger Entry","12 Quantity","5 Source no.",$C2268,"3 Posting Date",O$9,"4 Entry Type",$C$4,"2 Item No.","@@"&amp;$F2268)</t>
  </si>
  <si>
    <t>=-NL("Sum","32 Item Ledger Entry","12 Quantity","5 Source no.",$C2269,"3 Posting Date",O$9,"4 Entry Type",$C$4,"2 Item No.","@@"&amp;$F2269)</t>
  </si>
  <si>
    <t>=-NL("Sum","32 Item Ledger Entry","12 Quantity","5 Source no.",$C2270,"3 Posting Date",O$9,"4 Entry Type",$C$4,"2 Item No.","@@"&amp;$F2270)</t>
  </si>
  <si>
    <t>=-NL("Sum","32 Item Ledger Entry","12 Quantity","5 Source no.",$C2271,"3 Posting Date",O$9,"4 Entry Type",$C$4,"2 Item No.","@@"&amp;$F2271)</t>
  </si>
  <si>
    <t>=-NL("Sum","32 Item Ledger Entry","12 Quantity","5 Source no.",$C2272,"3 Posting Date",O$9,"4 Entry Type",$C$4,"2 Item No.","@@"&amp;$F2272)</t>
  </si>
  <si>
    <t>=-NL("Sum","32 Item Ledger Entry","12 Quantity","5 Source no.",$C2273,"3 Posting Date",O$9,"4 Entry Type",$C$4,"2 Item No.","@@"&amp;$F2273)</t>
  </si>
  <si>
    <t>=-NL("Sum","32 Item Ledger Entry","12 Quantity","5 Source no.",$C2274,"3 Posting Date",O$9,"4 Entry Type",$C$4,"2 Item No.","@@"&amp;$F2274)</t>
  </si>
  <si>
    <t>=-NL("Sum","32 Item Ledger Entry","12 Quantity","5 Source no.",$C2275,"3 Posting Date",O$9,"4 Entry Type",$C$4,"2 Item No.","@@"&amp;$F2275)</t>
  </si>
  <si>
    <t>=-NL("Sum","32 Item Ledger Entry","12 Quantity","5 Source no.",$C2276,"3 Posting Date",O$9,"4 Entry Type",$C$4,"2 Item No.","@@"&amp;$F2276)</t>
  </si>
  <si>
    <t>=-NL("Sum","32 Item Ledger Entry","12 Quantity","5 Source no.",$C2277,"3 Posting Date",O$9,"4 Entry Type",$C$4,"2 Item No.","@@"&amp;$F2277)</t>
  </si>
  <si>
    <t>=-NL("Sum","32 Item Ledger Entry","12 Quantity","5 Source no.",$C2278,"3 Posting Date",O$9,"4 Entry Type",$C$4,"2 Item No.","@@"&amp;$F2278)</t>
  </si>
  <si>
    <t>=-NL("Sum","32 Item Ledger Entry","12 Quantity","5 Source no.",$C2279,"3 Posting Date",O$9,"4 Entry Type",$C$4,"2 Item No.","@@"&amp;$F2279)</t>
  </si>
  <si>
    <t>=-NL("Sum","32 Item Ledger Entry","12 Quantity","5 Source no.",$C2280,"3 Posting Date",O$9,"4 Entry Type",$C$4,"2 Item No.","@@"&amp;$F2280)</t>
  </si>
  <si>
    <t>=-NL("Sum","32 Item Ledger Entry","12 Quantity","5 Source no.",$C2281,"3 Posting Date",O$9,"4 Entry Type",$C$4,"2 Item No.","@@"&amp;$F2281)</t>
  </si>
  <si>
    <t>=-NL("Sum","32 Item Ledger Entry","12 Quantity","5 Source no.",$C2282,"3 Posting Date",O$9,"4 Entry Type",$C$4,"2 Item No.","@@"&amp;$F2282)</t>
  </si>
  <si>
    <t>=-NL("Sum","32 Item Ledger Entry","12 Quantity","5 Source no.",$C2283,"3 Posting Date",O$9,"4 Entry Type",$C$4,"2 Item No.","@@"&amp;$F2283)</t>
  </si>
  <si>
    <t>=-NL("Sum","32 Item Ledger Entry","12 Quantity","5 Source no.",$C2284,"3 Posting Date",O$9,"4 Entry Type",$C$4,"2 Item No.","@@"&amp;$F2284)</t>
  </si>
  <si>
    <t>=-NL("Sum","32 Item Ledger Entry","12 Quantity","5 Source no.",$C2285,"3 Posting Date",O$9,"4 Entry Type",$C$4,"2 Item No.","@@"&amp;$F2285)</t>
  </si>
  <si>
    <t>=-NL("Sum","32 Item Ledger Entry","12 Quantity","5 Source no.",$C2286,"3 Posting Date",O$9,"4 Entry Type",$C$4,"2 Item No.","@@"&amp;$F2286)</t>
  </si>
  <si>
    <t>=-NL("Sum","32 Item Ledger Entry","12 Quantity","5 Source no.",$C2287,"3 Posting Date",O$9,"4 Entry Type",$C$4,"2 Item No.","@@"&amp;$F2287)</t>
  </si>
  <si>
    <t>=-NL("Sum","32 Item Ledger Entry","12 Quantity","5 Source no.",$C2288,"3 Posting Date",O$9,"4 Entry Type",$C$4,"2 Item No.","@@"&amp;$F2288)</t>
  </si>
  <si>
    <t>=-NL("Sum","32 Item Ledger Entry","12 Quantity","5 Source no.",$C2289,"3 Posting Date",O$9,"4 Entry Type",$C$4,"2 Item No.","@@"&amp;$F2289)</t>
  </si>
  <si>
    <t>=-NL("Sum","32 Item Ledger Entry","12 Quantity","5 Source no.",$C2290,"3 Posting Date",O$9,"4 Entry Type",$C$4,"2 Item No.","@@"&amp;$F2290)</t>
  </si>
  <si>
    <t>=-NL("Sum","32 Item Ledger Entry","12 Quantity","5 Source no.",$C2291,"3 Posting Date",O$9,"4 Entry Type",$C$4,"2 Item No.","@@"&amp;$F2291)</t>
  </si>
  <si>
    <t>=-NL("Sum","32 Item Ledger Entry","12 Quantity","5 Source no.",$C2292,"3 Posting Date",O$9,"4 Entry Type",$C$4,"2 Item No.","@@"&amp;$F2292)</t>
  </si>
  <si>
    <t>=-NL("Sum","32 Item Ledger Entry","12 Quantity","5 Source no.",$C2293,"3 Posting Date",O$9,"4 Entry Type",$C$4,"2 Item No.","@@"&amp;$F2293)</t>
  </si>
  <si>
    <t>=-NL("Sum","32 Item Ledger Entry","12 Quantity","5 Source no.",$C2294,"3 Posting Date",O$9,"4 Entry Type",$C$4,"2 Item No.","@@"&amp;$F2294)</t>
  </si>
  <si>
    <t>=-NL("Sum","32 Item Ledger Entry","12 Quantity","5 Source no.",$C2295,"3 Posting Date",O$9,"4 Entry Type",$C$4,"2 Item No.","@@"&amp;$F2295)</t>
  </si>
  <si>
    <t>=-NL("Sum","32 Item Ledger Entry","12 Quantity","5 Source no.",$C2296,"3 Posting Date",O$9,"4 Entry Type",$C$4,"2 Item No.","@@"&amp;$F2296)</t>
  </si>
  <si>
    <t>=-NL("Sum","32 Item Ledger Entry","12 Quantity","5 Source no.",$C2297,"3 Posting Date",O$9,"4 Entry Type",$C$4,"2 Item No.","@@"&amp;$F2297)</t>
  </si>
  <si>
    <t>=-NL("Sum","32 Item Ledger Entry","12 Quantity","5 Source no.",$C2298,"3 Posting Date",O$9,"4 Entry Type",$C$4,"2 Item No.","@@"&amp;$F2298)</t>
  </si>
  <si>
    <t>=-NL("Sum","32 Item Ledger Entry","12 Quantity","5 Source no.",$C2299,"3 Posting Date",O$9,"4 Entry Type",$C$4,"2 Item No.","@@"&amp;$F2299)</t>
  </si>
  <si>
    <t>=-NL("Sum","32 Item Ledger Entry","12 Quantity","5 Source no.",$C2300,"3 Posting Date",O$9,"4 Entry Type",$C$4,"2 Item No.","@@"&amp;$F2300)</t>
  </si>
  <si>
    <t>=-NL("Sum","32 Item Ledger Entry","12 Quantity","5 Source no.",$C2301,"3 Posting Date",O$9,"4 Entry Type",$C$4,"2 Item No.","@@"&amp;$F2301)</t>
  </si>
  <si>
    <t>=-NL("Sum","32 Item Ledger Entry","12 Quantity","5 Source no.",$C2302,"3 Posting Date",O$9,"4 Entry Type",$C$4,"2 Item No.","@@"&amp;$F2302)</t>
  </si>
  <si>
    <t>=-NL("Sum","32 Item Ledger Entry","12 Quantity","5 Source no.",$C2303,"3 Posting Date",O$9,"4 Entry Type",$C$4,"2 Item No.","@@"&amp;$F2303)</t>
  </si>
  <si>
    <t>=-NL("Sum","32 Item Ledger Entry","12 Quantity","5 Source no.",$C2268,"3 Posting Date",U$9,"4 Entry Type",$C$4,"2 Item No.","@@"&amp;$F2268)</t>
  </si>
  <si>
    <t>=-NL("Sum","32 Item Ledger Entry","12 Quantity","5 Source no.",$C2269,"3 Posting Date",U$9,"4 Entry Type",$C$4,"2 Item No.","@@"&amp;$F2269)</t>
  </si>
  <si>
    <t>=-NL("Sum","32 Item Ledger Entry","12 Quantity","5 Source no.",$C2270,"3 Posting Date",U$9,"4 Entry Type",$C$4,"2 Item No.","@@"&amp;$F2270)</t>
  </si>
  <si>
    <t>=-NL("Sum","32 Item Ledger Entry","12 Quantity","5 Source no.",$C2271,"3 Posting Date",U$9,"4 Entry Type",$C$4,"2 Item No.","@@"&amp;$F2271)</t>
  </si>
  <si>
    <t>=-NL("Sum","32 Item Ledger Entry","12 Quantity","5 Source no.",$C2272,"3 Posting Date",U$9,"4 Entry Type",$C$4,"2 Item No.","@@"&amp;$F2272)</t>
  </si>
  <si>
    <t>=-NL("Sum","32 Item Ledger Entry","12 Quantity","5 Source no.",$C2273,"3 Posting Date",U$9,"4 Entry Type",$C$4,"2 Item No.","@@"&amp;$F2273)</t>
  </si>
  <si>
    <t>=-NL("Sum","32 Item Ledger Entry","12 Quantity","5 Source no.",$C2274,"3 Posting Date",U$9,"4 Entry Type",$C$4,"2 Item No.","@@"&amp;$F2274)</t>
  </si>
  <si>
    <t>=-NL("Sum","32 Item Ledger Entry","12 Quantity","5 Source no.",$C2275,"3 Posting Date",U$9,"4 Entry Type",$C$4,"2 Item No.","@@"&amp;$F2275)</t>
  </si>
  <si>
    <t>=-NL("Sum","32 Item Ledger Entry","12 Quantity","5 Source no.",$C2276,"3 Posting Date",U$9,"4 Entry Type",$C$4,"2 Item No.","@@"&amp;$F2276)</t>
  </si>
  <si>
    <t>=-NL("Sum","32 Item Ledger Entry","12 Quantity","5 Source no.",$C2277,"3 Posting Date",U$9,"4 Entry Type",$C$4,"2 Item No.","@@"&amp;$F2277)</t>
  </si>
  <si>
    <t>=-NL("Sum","32 Item Ledger Entry","12 Quantity","5 Source no.",$C2278,"3 Posting Date",U$9,"4 Entry Type",$C$4,"2 Item No.","@@"&amp;$F2278)</t>
  </si>
  <si>
    <t>=-NL("Sum","32 Item Ledger Entry","12 Quantity","5 Source no.",$C2279,"3 Posting Date",U$9,"4 Entry Type",$C$4,"2 Item No.","@@"&amp;$F2279)</t>
  </si>
  <si>
    <t>=-NL("Sum","32 Item Ledger Entry","12 Quantity","5 Source no.",$C2280,"3 Posting Date",U$9,"4 Entry Type",$C$4,"2 Item No.","@@"&amp;$F2280)</t>
  </si>
  <si>
    <t>=-NL("Sum","32 Item Ledger Entry","12 Quantity","5 Source no.",$C2281,"3 Posting Date",U$9,"4 Entry Type",$C$4,"2 Item No.","@@"&amp;$F2281)</t>
  </si>
  <si>
    <t>=-NL("Sum","32 Item Ledger Entry","12 Quantity","5 Source no.",$C2282,"3 Posting Date",U$9,"4 Entry Type",$C$4,"2 Item No.","@@"&amp;$F2282)</t>
  </si>
  <si>
    <t>=-NL("Sum","32 Item Ledger Entry","12 Quantity","5 Source no.",$C2283,"3 Posting Date",U$9,"4 Entry Type",$C$4,"2 Item No.","@@"&amp;$F2283)</t>
  </si>
  <si>
    <t>=-NL("Sum","32 Item Ledger Entry","12 Quantity","5 Source no.",$C2284,"3 Posting Date",U$9,"4 Entry Type",$C$4,"2 Item No.","@@"&amp;$F2284)</t>
  </si>
  <si>
    <t>=-NL("Sum","32 Item Ledger Entry","12 Quantity","5 Source no.",$C2285,"3 Posting Date",U$9,"4 Entry Type",$C$4,"2 Item No.","@@"&amp;$F2285)</t>
  </si>
  <si>
    <t>=-NL("Sum","32 Item Ledger Entry","12 Quantity","5 Source no.",$C2286,"3 Posting Date",U$9,"4 Entry Type",$C$4,"2 Item No.","@@"&amp;$F2286)</t>
  </si>
  <si>
    <t>=-NL("Sum","32 Item Ledger Entry","12 Quantity","5 Source no.",$C2287,"3 Posting Date",U$9,"4 Entry Type",$C$4,"2 Item No.","@@"&amp;$F2287)</t>
  </si>
  <si>
    <t>=-NL("Sum","32 Item Ledger Entry","12 Quantity","5 Source no.",$C2288,"3 Posting Date",U$9,"4 Entry Type",$C$4,"2 Item No.","@@"&amp;$F2288)</t>
  </si>
  <si>
    <t>=-NL("Sum","32 Item Ledger Entry","12 Quantity","5 Source no.",$C2289,"3 Posting Date",U$9,"4 Entry Type",$C$4,"2 Item No.","@@"&amp;$F2289)</t>
  </si>
  <si>
    <t>=-NL("Sum","32 Item Ledger Entry","12 Quantity","5 Source no.",$C2290,"3 Posting Date",U$9,"4 Entry Type",$C$4,"2 Item No.","@@"&amp;$F2290)</t>
  </si>
  <si>
    <t>=-NL("Sum","32 Item Ledger Entry","12 Quantity","5 Source no.",$C2291,"3 Posting Date",U$9,"4 Entry Type",$C$4,"2 Item No.","@@"&amp;$F2291)</t>
  </si>
  <si>
    <t>=-NL("Sum","32 Item Ledger Entry","12 Quantity","5 Source no.",$C2292,"3 Posting Date",U$9,"4 Entry Type",$C$4,"2 Item No.","@@"&amp;$F2292)</t>
  </si>
  <si>
    <t>=-NL("Sum","32 Item Ledger Entry","12 Quantity","5 Source no.",$C2293,"3 Posting Date",U$9,"4 Entry Type",$C$4,"2 Item No.","@@"&amp;$F2293)</t>
  </si>
  <si>
    <t>=-NL("Sum","32 Item Ledger Entry","12 Quantity","5 Source no.",$C2294,"3 Posting Date",U$9,"4 Entry Type",$C$4,"2 Item No.","@@"&amp;$F2294)</t>
  </si>
  <si>
    <t>=-NL("Sum","32 Item Ledger Entry","12 Quantity","5 Source no.",$C2295,"3 Posting Date",U$9,"4 Entry Type",$C$4,"2 Item No.","@@"&amp;$F2295)</t>
  </si>
  <si>
    <t>=-NL("Sum","32 Item Ledger Entry","12 Quantity","5 Source no.",$C2296,"3 Posting Date",U$9,"4 Entry Type",$C$4,"2 Item No.","@@"&amp;$F2296)</t>
  </si>
  <si>
    <t>=-NL("Sum","32 Item Ledger Entry","12 Quantity","5 Source no.",$C2297,"3 Posting Date",U$9,"4 Entry Type",$C$4,"2 Item No.","@@"&amp;$F2297)</t>
  </si>
  <si>
    <t>=-NL("Sum","32 Item Ledger Entry","12 Quantity","5 Source no.",$C2298,"3 Posting Date",U$9,"4 Entry Type",$C$4,"2 Item No.","@@"&amp;$F2298)</t>
  </si>
  <si>
    <t>=-NL("Sum","32 Item Ledger Entry","12 Quantity","5 Source no.",$C2299,"3 Posting Date",U$9,"4 Entry Type",$C$4,"2 Item No.","@@"&amp;$F2299)</t>
  </si>
  <si>
    <t>=-NL("Sum","32 Item Ledger Entry","12 Quantity","5 Source no.",$C2300,"3 Posting Date",U$9,"4 Entry Type",$C$4,"2 Item No.","@@"&amp;$F2300)</t>
  </si>
  <si>
    <t>=-NL("Sum","32 Item Ledger Entry","12 Quantity","5 Source no.",$C2301,"3 Posting Date",U$9,"4 Entry Type",$C$4,"2 Item No.","@@"&amp;$F2301)</t>
  </si>
  <si>
    <t>=-NL("Sum","32 Item Ledger Entry","12 Quantity","5 Source no.",$C2302,"3 Posting Date",U$9,"4 Entry Type",$C$4,"2 Item No.","@@"&amp;$F2302)</t>
  </si>
  <si>
    <t>=-NL("Sum","32 Item Ledger Entry","12 Quantity","5 Source no.",$C2303,"3 Posting Date",U$9,"4 Entry Type",$C$4,"2 Item No.","@@"&amp;$F2303)</t>
  </si>
  <si>
    <t>=-NL("Sum","32 Item Ledger Entry","12 Quantity","5 Source no.",$C2268,"3 Posting Date",Z$9,"4 Entry Type",$C$4,"2 Item No.","@@"&amp;$F2268)</t>
  </si>
  <si>
    <t>=-NL("Sum","32 Item Ledger Entry","12 Quantity","5 Source no.",$C2269,"3 Posting Date",Z$9,"4 Entry Type",$C$4,"2 Item No.","@@"&amp;$F2269)</t>
  </si>
  <si>
    <t>=-NL("Sum","32 Item Ledger Entry","12 Quantity","5 Source no.",$C2270,"3 Posting Date",Z$9,"4 Entry Type",$C$4,"2 Item No.","@@"&amp;$F2270)</t>
  </si>
  <si>
    <t>=-NL("Sum","32 Item Ledger Entry","12 Quantity","5 Source no.",$C2271,"3 Posting Date",Z$9,"4 Entry Type",$C$4,"2 Item No.","@@"&amp;$F2271)</t>
  </si>
  <si>
    <t>=-NL("Sum","32 Item Ledger Entry","12 Quantity","5 Source no.",$C2272,"3 Posting Date",Z$9,"4 Entry Type",$C$4,"2 Item No.","@@"&amp;$F2272)</t>
  </si>
  <si>
    <t>=-NL("Sum","32 Item Ledger Entry","12 Quantity","5 Source no.",$C2273,"3 Posting Date",Z$9,"4 Entry Type",$C$4,"2 Item No.","@@"&amp;$F2273)</t>
  </si>
  <si>
    <t>=-NL("Sum","32 Item Ledger Entry","12 Quantity","5 Source no.",$C2274,"3 Posting Date",Z$9,"4 Entry Type",$C$4,"2 Item No.","@@"&amp;$F2274)</t>
  </si>
  <si>
    <t>=-NL("Sum","32 Item Ledger Entry","12 Quantity","5 Source no.",$C2275,"3 Posting Date",Z$9,"4 Entry Type",$C$4,"2 Item No.","@@"&amp;$F2275)</t>
  </si>
  <si>
    <t>=-NL("Sum","32 Item Ledger Entry","12 Quantity","5 Source no.",$C2276,"3 Posting Date",Z$9,"4 Entry Type",$C$4,"2 Item No.","@@"&amp;$F2276)</t>
  </si>
  <si>
    <t>=-NL("Sum","32 Item Ledger Entry","12 Quantity","5 Source no.",$C2277,"3 Posting Date",Z$9,"4 Entry Type",$C$4,"2 Item No.","@@"&amp;$F2277)</t>
  </si>
  <si>
    <t>=-NL("Sum","32 Item Ledger Entry","12 Quantity","5 Source no.",$C2278,"3 Posting Date",Z$9,"4 Entry Type",$C$4,"2 Item No.","@@"&amp;$F2278)</t>
  </si>
  <si>
    <t>=-NL("Sum","32 Item Ledger Entry","12 Quantity","5 Source no.",$C2279,"3 Posting Date",Z$9,"4 Entry Type",$C$4,"2 Item No.","@@"&amp;$F2279)</t>
  </si>
  <si>
    <t>=-NL("Sum","32 Item Ledger Entry","12 Quantity","5 Source no.",$C2280,"3 Posting Date",Z$9,"4 Entry Type",$C$4,"2 Item No.","@@"&amp;$F2280)</t>
  </si>
  <si>
    <t>=-NL("Sum","32 Item Ledger Entry","12 Quantity","5 Source no.",$C2281,"3 Posting Date",Z$9,"4 Entry Type",$C$4,"2 Item No.","@@"&amp;$F2281)</t>
  </si>
  <si>
    <t>=-NL("Sum","32 Item Ledger Entry","12 Quantity","5 Source no.",$C2282,"3 Posting Date",Z$9,"4 Entry Type",$C$4,"2 Item No.","@@"&amp;$F2282)</t>
  </si>
  <si>
    <t>=-NL("Sum","32 Item Ledger Entry","12 Quantity","5 Source no.",$C2283,"3 Posting Date",Z$9,"4 Entry Type",$C$4,"2 Item No.","@@"&amp;$F2283)</t>
  </si>
  <si>
    <t>=-NL("Sum","32 Item Ledger Entry","12 Quantity","5 Source no.",$C2284,"3 Posting Date",Z$9,"4 Entry Type",$C$4,"2 Item No.","@@"&amp;$F2284)</t>
  </si>
  <si>
    <t>=-NL("Sum","32 Item Ledger Entry","12 Quantity","5 Source no.",$C2285,"3 Posting Date",Z$9,"4 Entry Type",$C$4,"2 Item No.","@@"&amp;$F2285)</t>
  </si>
  <si>
    <t>=-NL("Sum","32 Item Ledger Entry","12 Quantity","5 Source no.",$C2286,"3 Posting Date",Z$9,"4 Entry Type",$C$4,"2 Item No.","@@"&amp;$F2286)</t>
  </si>
  <si>
    <t>=-NL("Sum","32 Item Ledger Entry","12 Quantity","5 Source no.",$C2287,"3 Posting Date",Z$9,"4 Entry Type",$C$4,"2 Item No.","@@"&amp;$F2287)</t>
  </si>
  <si>
    <t>=-NL("Sum","32 Item Ledger Entry","12 Quantity","5 Source no.",$C2288,"3 Posting Date",Z$9,"4 Entry Type",$C$4,"2 Item No.","@@"&amp;$F2288)</t>
  </si>
  <si>
    <t>=-NL("Sum","32 Item Ledger Entry","12 Quantity","5 Source no.",$C2289,"3 Posting Date",Z$9,"4 Entry Type",$C$4,"2 Item No.","@@"&amp;$F2289)</t>
  </si>
  <si>
    <t>=-NL("Sum","32 Item Ledger Entry","12 Quantity","5 Source no.",$C2290,"3 Posting Date",Z$9,"4 Entry Type",$C$4,"2 Item No.","@@"&amp;$F2290)</t>
  </si>
  <si>
    <t>=-NL("Sum","32 Item Ledger Entry","12 Quantity","5 Source no.",$C2291,"3 Posting Date",Z$9,"4 Entry Type",$C$4,"2 Item No.","@@"&amp;$F2291)</t>
  </si>
  <si>
    <t>=-NL("Sum","32 Item Ledger Entry","12 Quantity","5 Source no.",$C2292,"3 Posting Date",Z$9,"4 Entry Type",$C$4,"2 Item No.","@@"&amp;$F2292)</t>
  </si>
  <si>
    <t>=-NL("Sum","32 Item Ledger Entry","12 Quantity","5 Source no.",$C2293,"3 Posting Date",Z$9,"4 Entry Type",$C$4,"2 Item No.","@@"&amp;$F2293)</t>
  </si>
  <si>
    <t>=-NL("Sum","32 Item Ledger Entry","12 Quantity","5 Source no.",$C2294,"3 Posting Date",Z$9,"4 Entry Type",$C$4,"2 Item No.","@@"&amp;$F2294)</t>
  </si>
  <si>
    <t>=-NL("Sum","32 Item Ledger Entry","12 Quantity","5 Source no.",$C2295,"3 Posting Date",Z$9,"4 Entry Type",$C$4,"2 Item No.","@@"&amp;$F2295)</t>
  </si>
  <si>
    <t>=-NL("Sum","32 Item Ledger Entry","12 Quantity","5 Source no.",$C2296,"3 Posting Date",Z$9,"4 Entry Type",$C$4,"2 Item No.","@@"&amp;$F2296)</t>
  </si>
  <si>
    <t>=-NL("Sum","32 Item Ledger Entry","12 Quantity","5 Source no.",$C2297,"3 Posting Date",Z$9,"4 Entry Type",$C$4,"2 Item No.","@@"&amp;$F2297)</t>
  </si>
  <si>
    <t>=-NL("Sum","32 Item Ledger Entry","12 Quantity","5 Source no.",$C2298,"3 Posting Date",Z$9,"4 Entry Type",$C$4,"2 Item No.","@@"&amp;$F2298)</t>
  </si>
  <si>
    <t>=-NL("Sum","32 Item Ledger Entry","12 Quantity","5 Source no.",$C2299,"3 Posting Date",Z$9,"4 Entry Type",$C$4,"2 Item No.","@@"&amp;$F2299)</t>
  </si>
  <si>
    <t>=-NL("Sum","32 Item Ledger Entry","12 Quantity","5 Source no.",$C2300,"3 Posting Date",Z$9,"4 Entry Type",$C$4,"2 Item No.","@@"&amp;$F2300)</t>
  </si>
  <si>
    <t>=-NL("Sum","32 Item Ledger Entry","12 Quantity","5 Source no.",$C2301,"3 Posting Date",Z$9,"4 Entry Type",$C$4,"2 Item No.","@@"&amp;$F2301)</t>
  </si>
  <si>
    <t>=-NL("Sum","32 Item Ledger Entry","12 Quantity","5 Source no.",$C2302,"3 Posting Date",Z$9,"4 Entry Type",$C$4,"2 Item No.","@@"&amp;$F2302)</t>
  </si>
  <si>
    <t>=-NL("Sum","32 Item Ledger Entry","12 Quantity","5 Source no.",$C2303,"3 Posting Date",Z$9,"4 Entry Type",$C$4,"2 Item No.","@@"&amp;$F2303)</t>
  </si>
  <si>
    <t>=NL(,"27 Item","3 Description","1 No.","@@"&amp;F2231)</t>
  </si>
  <si>
    <t>=NL(,"27 Item","3 Description","1 No.","@@"&amp;F2232)</t>
  </si>
  <si>
    <t>=NL(,"27 Item","3 Description","1 No.","@@"&amp;F2233)</t>
  </si>
  <si>
    <t>=NL(,"27 Item","3 Description","1 No.","@@"&amp;F2234)</t>
  </si>
  <si>
    <t>=NL(,"27 Item","3 Description","1 No.","@@"&amp;F2235)</t>
  </si>
  <si>
    <t>=NL(,"27 Item","3 Description","1 No.","@@"&amp;F2236)</t>
  </si>
  <si>
    <t>=NL(,"27 Item","3 Description","1 No.","@@"&amp;F2237)</t>
  </si>
  <si>
    <t>=NL(,"27 Item","3 Description","1 No.","@@"&amp;F2238)</t>
  </si>
  <si>
    <t>=NL(,"27 Item","3 Description","1 No.","@@"&amp;F2239)</t>
  </si>
  <si>
    <t>=NL(,"27 Item","3 Description","1 No.","@@"&amp;F2240)</t>
  </si>
  <si>
    <t>=NL(,"27 Item","3 Description","1 No.","@@"&amp;F2241)</t>
  </si>
  <si>
    <t>=NL(,"27 Item","3 Description","1 No.","@@"&amp;F2242)</t>
  </si>
  <si>
    <t>=NL(,"27 Item","3 Description","1 No.","@@"&amp;F2243)</t>
  </si>
  <si>
    <t>=NL(,"27 Item","3 Description","1 No.","@@"&amp;F2244)</t>
  </si>
  <si>
    <t>=NL(,"27 Item","3 Description","1 No.","@@"&amp;F2245)</t>
  </si>
  <si>
    <t>=NL(,"27 Item","3 Description","1 No.","@@"&amp;F2246)</t>
  </si>
  <si>
    <t>=NL(,"27 Item","3 Description","1 No.","@@"&amp;F2247)</t>
  </si>
  <si>
    <t>=NL(,"27 Item","3 Description","1 No.","@@"&amp;F2248)</t>
  </si>
  <si>
    <t>=NL(,"27 Item","3 Description","1 No.","@@"&amp;F2249)</t>
  </si>
  <si>
    <t>=NL(,"27 Item","3 Description","1 No.","@@"&amp;F2250)</t>
  </si>
  <si>
    <t>=NL(,"27 Item","3 Description","1 No.","@@"&amp;F2251)</t>
  </si>
  <si>
    <t>=NL(,"27 Item","3 Description","1 No.","@@"&amp;F2252)</t>
  </si>
  <si>
    <t>=NL(,"27 Item","3 Description","1 No.","@@"&amp;F2253)</t>
  </si>
  <si>
    <t>=NL(,"27 Item","3 Description","1 No.","@@"&amp;F2254)</t>
  </si>
  <si>
    <t>=NL(,"27 Item","3 Description","1 No.","@@"&amp;F2255)</t>
  </si>
  <si>
    <t>=NL(,"27 Item","3 Description","1 No.","@@"&amp;F2256)</t>
  </si>
  <si>
    <t>=NL(,"27 Item","3 Description","1 No.","@@"&amp;F2257)</t>
  </si>
  <si>
    <t>=NL(,"27 Item","3 Description","1 No.","@@"&amp;F2258)</t>
  </si>
  <si>
    <t>=NL(,"27 Item","3 Description","1 No.","@@"&amp;F2259)</t>
  </si>
  <si>
    <t>=NL(,"27 Item","3 Description","1 No.","@@"&amp;F2260)</t>
  </si>
  <si>
    <t>=NL(,"27 Item","3 Description","1 No.","@@"&amp;F2261)</t>
  </si>
  <si>
    <t>=NL(,"27 Item","3 Description","1 No.","@@"&amp;F2262)</t>
  </si>
  <si>
    <t>=-NL("Sum","32 Item Ledger Entry","12 Quantity","5 Source no.",$C2231,"3 Posting Date",J$9,"4 Entry Type",$C$4,"2 Item No.","@@"&amp;$F2231)</t>
  </si>
  <si>
    <t>=-NL("Sum","32 Item Ledger Entry","12 Quantity","5 Source no.",$C2232,"3 Posting Date",J$9,"4 Entry Type",$C$4,"2 Item No.","@@"&amp;$F2232)</t>
  </si>
  <si>
    <t>=-NL("Sum","32 Item Ledger Entry","12 Quantity","5 Source no.",$C2233,"3 Posting Date",J$9,"4 Entry Type",$C$4,"2 Item No.","@@"&amp;$F2233)</t>
  </si>
  <si>
    <t>=-NL("Sum","32 Item Ledger Entry","12 Quantity","5 Source no.",$C2234,"3 Posting Date",J$9,"4 Entry Type",$C$4,"2 Item No.","@@"&amp;$F2234)</t>
  </si>
  <si>
    <t>=-NL("Sum","32 Item Ledger Entry","12 Quantity","5 Source no.",$C2235,"3 Posting Date",J$9,"4 Entry Type",$C$4,"2 Item No.","@@"&amp;$F2235)</t>
  </si>
  <si>
    <t>=-NL("Sum","32 Item Ledger Entry","12 Quantity","5 Source no.",$C2236,"3 Posting Date",J$9,"4 Entry Type",$C$4,"2 Item No.","@@"&amp;$F2236)</t>
  </si>
  <si>
    <t>=-NL("Sum","32 Item Ledger Entry","12 Quantity","5 Source no.",$C2237,"3 Posting Date",J$9,"4 Entry Type",$C$4,"2 Item No.","@@"&amp;$F2237)</t>
  </si>
  <si>
    <t>=-NL("Sum","32 Item Ledger Entry","12 Quantity","5 Source no.",$C2238,"3 Posting Date",J$9,"4 Entry Type",$C$4,"2 Item No.","@@"&amp;$F2238)</t>
  </si>
  <si>
    <t>=-NL("Sum","32 Item Ledger Entry","12 Quantity","5 Source no.",$C2239,"3 Posting Date",J$9,"4 Entry Type",$C$4,"2 Item No.","@@"&amp;$F2239)</t>
  </si>
  <si>
    <t>=-NL("Sum","32 Item Ledger Entry","12 Quantity","5 Source no.",$C2240,"3 Posting Date",J$9,"4 Entry Type",$C$4,"2 Item No.","@@"&amp;$F2240)</t>
  </si>
  <si>
    <t>=-NL("Sum","32 Item Ledger Entry","12 Quantity","5 Source no.",$C2241,"3 Posting Date",J$9,"4 Entry Type",$C$4,"2 Item No.","@@"&amp;$F2241)</t>
  </si>
  <si>
    <t>=-NL("Sum","32 Item Ledger Entry","12 Quantity","5 Source no.",$C2242,"3 Posting Date",J$9,"4 Entry Type",$C$4,"2 Item No.","@@"&amp;$F2242)</t>
  </si>
  <si>
    <t>=-NL("Sum","32 Item Ledger Entry","12 Quantity","5 Source no.",$C2243,"3 Posting Date",J$9,"4 Entry Type",$C$4,"2 Item No.","@@"&amp;$F2243)</t>
  </si>
  <si>
    <t>=-NL("Sum","32 Item Ledger Entry","12 Quantity","5 Source no.",$C2244,"3 Posting Date",J$9,"4 Entry Type",$C$4,"2 Item No.","@@"&amp;$F2244)</t>
  </si>
  <si>
    <t>=-NL("Sum","32 Item Ledger Entry","12 Quantity","5 Source no.",$C2245,"3 Posting Date",J$9,"4 Entry Type",$C$4,"2 Item No.","@@"&amp;$F2245)</t>
  </si>
  <si>
    <t>=-NL("Sum","32 Item Ledger Entry","12 Quantity","5 Source no.",$C2246,"3 Posting Date",J$9,"4 Entry Type",$C$4,"2 Item No.","@@"&amp;$F2246)</t>
  </si>
  <si>
    <t>=-NL("Sum","32 Item Ledger Entry","12 Quantity","5 Source no.",$C2247,"3 Posting Date",J$9,"4 Entry Type",$C$4,"2 Item No.","@@"&amp;$F2247)</t>
  </si>
  <si>
    <t>=-NL("Sum","32 Item Ledger Entry","12 Quantity","5 Source no.",$C2248,"3 Posting Date",J$9,"4 Entry Type",$C$4,"2 Item No.","@@"&amp;$F2248)</t>
  </si>
  <si>
    <t>=-NL("Sum","32 Item Ledger Entry","12 Quantity","5 Source no.",$C2249,"3 Posting Date",J$9,"4 Entry Type",$C$4,"2 Item No.","@@"&amp;$F2249)</t>
  </si>
  <si>
    <t>=-NL("Sum","32 Item Ledger Entry","12 Quantity","5 Source no.",$C2250,"3 Posting Date",J$9,"4 Entry Type",$C$4,"2 Item No.","@@"&amp;$F2250)</t>
  </si>
  <si>
    <t>=-NL("Sum","32 Item Ledger Entry","12 Quantity","5 Source no.",$C2251,"3 Posting Date",J$9,"4 Entry Type",$C$4,"2 Item No.","@@"&amp;$F2251)</t>
  </si>
  <si>
    <t>=-NL("Sum","32 Item Ledger Entry","12 Quantity","5 Source no.",$C2252,"3 Posting Date",J$9,"4 Entry Type",$C$4,"2 Item No.","@@"&amp;$F2252)</t>
  </si>
  <si>
    <t>=-NL("Sum","32 Item Ledger Entry","12 Quantity","5 Source no.",$C2253,"3 Posting Date",J$9,"4 Entry Type",$C$4,"2 Item No.","@@"&amp;$F2253)</t>
  </si>
  <si>
    <t>=-NL("Sum","32 Item Ledger Entry","12 Quantity","5 Source no.",$C2254,"3 Posting Date",J$9,"4 Entry Type",$C$4,"2 Item No.","@@"&amp;$F2254)</t>
  </si>
  <si>
    <t>=-NL("Sum","32 Item Ledger Entry","12 Quantity","5 Source no.",$C2255,"3 Posting Date",J$9,"4 Entry Type",$C$4,"2 Item No.","@@"&amp;$F2255)</t>
  </si>
  <si>
    <t>=-NL("Sum","32 Item Ledger Entry","12 Quantity","5 Source no.",$C2256,"3 Posting Date",J$9,"4 Entry Type",$C$4,"2 Item No.","@@"&amp;$F2256)</t>
  </si>
  <si>
    <t>=-NL("Sum","32 Item Ledger Entry","12 Quantity","5 Source no.",$C2257,"3 Posting Date",J$9,"4 Entry Type",$C$4,"2 Item No.","@@"&amp;$F2257)</t>
  </si>
  <si>
    <t>=-NL("Sum","32 Item Ledger Entry","12 Quantity","5 Source no.",$C2258,"3 Posting Date",J$9,"4 Entry Type",$C$4,"2 Item No.","@@"&amp;$F2258)</t>
  </si>
  <si>
    <t>=-NL("Sum","32 Item Ledger Entry","12 Quantity","5 Source no.",$C2259,"3 Posting Date",J$9,"4 Entry Type",$C$4,"2 Item No.","@@"&amp;$F2259)</t>
  </si>
  <si>
    <t>=-NL("Sum","32 Item Ledger Entry","12 Quantity","5 Source no.",$C2260,"3 Posting Date",J$9,"4 Entry Type",$C$4,"2 Item No.","@@"&amp;$F2260)</t>
  </si>
  <si>
    <t>=-NL("Sum","32 Item Ledger Entry","12 Quantity","5 Source no.",$C2261,"3 Posting Date",J$9,"4 Entry Type",$C$4,"2 Item No.","@@"&amp;$F2261)</t>
  </si>
  <si>
    <t>=-NL("Sum","32 Item Ledger Entry","12 Quantity","5 Source no.",$C2262,"3 Posting Date",J$9,"4 Entry Type",$C$4,"2 Item No.","@@"&amp;$F2262)</t>
  </si>
  <si>
    <t>=-NL("Sum","32 Item Ledger Entry","12 Quantity","5 Source no.",$C2231,"3 Posting Date",O$9,"4 Entry Type",$C$4,"2 Item No.","@@"&amp;$F2231)</t>
  </si>
  <si>
    <t>=-NL("Sum","32 Item Ledger Entry","12 Quantity","5 Source no.",$C2232,"3 Posting Date",O$9,"4 Entry Type",$C$4,"2 Item No.","@@"&amp;$F2232)</t>
  </si>
  <si>
    <t>=-NL("Sum","32 Item Ledger Entry","12 Quantity","5 Source no.",$C2233,"3 Posting Date",O$9,"4 Entry Type",$C$4,"2 Item No.","@@"&amp;$F2233)</t>
  </si>
  <si>
    <t>=-NL("Sum","32 Item Ledger Entry","12 Quantity","5 Source no.",$C2234,"3 Posting Date",O$9,"4 Entry Type",$C$4,"2 Item No.","@@"&amp;$F2234)</t>
  </si>
  <si>
    <t>=-NL("Sum","32 Item Ledger Entry","12 Quantity","5 Source no.",$C2235,"3 Posting Date",O$9,"4 Entry Type",$C$4,"2 Item No.","@@"&amp;$F2235)</t>
  </si>
  <si>
    <t>=-NL("Sum","32 Item Ledger Entry","12 Quantity","5 Source no.",$C2236,"3 Posting Date",O$9,"4 Entry Type",$C$4,"2 Item No.","@@"&amp;$F2236)</t>
  </si>
  <si>
    <t>=-NL("Sum","32 Item Ledger Entry","12 Quantity","5 Source no.",$C2237,"3 Posting Date",O$9,"4 Entry Type",$C$4,"2 Item No.","@@"&amp;$F2237)</t>
  </si>
  <si>
    <t>=-NL("Sum","32 Item Ledger Entry","12 Quantity","5 Source no.",$C2238,"3 Posting Date",O$9,"4 Entry Type",$C$4,"2 Item No.","@@"&amp;$F2238)</t>
  </si>
  <si>
    <t>=-NL("Sum","32 Item Ledger Entry","12 Quantity","5 Source no.",$C2239,"3 Posting Date",O$9,"4 Entry Type",$C$4,"2 Item No.","@@"&amp;$F2239)</t>
  </si>
  <si>
    <t>=-NL("Sum","32 Item Ledger Entry","12 Quantity","5 Source no.",$C2240,"3 Posting Date",O$9,"4 Entry Type",$C$4,"2 Item No.","@@"&amp;$F2240)</t>
  </si>
  <si>
    <t>=-NL("Sum","32 Item Ledger Entry","12 Quantity","5 Source no.",$C2241,"3 Posting Date",O$9,"4 Entry Type",$C$4,"2 Item No.","@@"&amp;$F2241)</t>
  </si>
  <si>
    <t>=-NL("Sum","32 Item Ledger Entry","12 Quantity","5 Source no.",$C2242,"3 Posting Date",O$9,"4 Entry Type",$C$4,"2 Item No.","@@"&amp;$F2242)</t>
  </si>
  <si>
    <t>=-NL("Sum","32 Item Ledger Entry","12 Quantity","5 Source no.",$C2243,"3 Posting Date",O$9,"4 Entry Type",$C$4,"2 Item No.","@@"&amp;$F2243)</t>
  </si>
  <si>
    <t>=-NL("Sum","32 Item Ledger Entry","12 Quantity","5 Source no.",$C2244,"3 Posting Date",O$9,"4 Entry Type",$C$4,"2 Item No.","@@"&amp;$F2244)</t>
  </si>
  <si>
    <t>=-NL("Sum","32 Item Ledger Entry","12 Quantity","5 Source no.",$C2245,"3 Posting Date",O$9,"4 Entry Type",$C$4,"2 Item No.","@@"&amp;$F2245)</t>
  </si>
  <si>
    <t>=-NL("Sum","32 Item Ledger Entry","12 Quantity","5 Source no.",$C2246,"3 Posting Date",O$9,"4 Entry Type",$C$4,"2 Item No.","@@"&amp;$F2246)</t>
  </si>
  <si>
    <t>=-NL("Sum","32 Item Ledger Entry","12 Quantity","5 Source no.",$C2247,"3 Posting Date",O$9,"4 Entry Type",$C$4,"2 Item No.","@@"&amp;$F2247)</t>
  </si>
  <si>
    <t>=-NL("Sum","32 Item Ledger Entry","12 Quantity","5 Source no.",$C2248,"3 Posting Date",O$9,"4 Entry Type",$C$4,"2 Item No.","@@"&amp;$F2248)</t>
  </si>
  <si>
    <t>=-NL("Sum","32 Item Ledger Entry","12 Quantity","5 Source no.",$C2249,"3 Posting Date",O$9,"4 Entry Type",$C$4,"2 Item No.","@@"&amp;$F2249)</t>
  </si>
  <si>
    <t>=-NL("Sum","32 Item Ledger Entry","12 Quantity","5 Source no.",$C2250,"3 Posting Date",O$9,"4 Entry Type",$C$4,"2 Item No.","@@"&amp;$F2250)</t>
  </si>
  <si>
    <t>=-NL("Sum","32 Item Ledger Entry","12 Quantity","5 Source no.",$C2251,"3 Posting Date",O$9,"4 Entry Type",$C$4,"2 Item No.","@@"&amp;$F2251)</t>
  </si>
  <si>
    <t>=-NL("Sum","32 Item Ledger Entry","12 Quantity","5 Source no.",$C2252,"3 Posting Date",O$9,"4 Entry Type",$C$4,"2 Item No.","@@"&amp;$F2252)</t>
  </si>
  <si>
    <t>=-NL("Sum","32 Item Ledger Entry","12 Quantity","5 Source no.",$C2253,"3 Posting Date",O$9,"4 Entry Type",$C$4,"2 Item No.","@@"&amp;$F2253)</t>
  </si>
  <si>
    <t>=-NL("Sum","32 Item Ledger Entry","12 Quantity","5 Source no.",$C2254,"3 Posting Date",O$9,"4 Entry Type",$C$4,"2 Item No.","@@"&amp;$F2254)</t>
  </si>
  <si>
    <t>=-NL("Sum","32 Item Ledger Entry","12 Quantity","5 Source no.",$C2255,"3 Posting Date",O$9,"4 Entry Type",$C$4,"2 Item No.","@@"&amp;$F2255)</t>
  </si>
  <si>
    <t>=-NL("Sum","32 Item Ledger Entry","12 Quantity","5 Source no.",$C2256,"3 Posting Date",O$9,"4 Entry Type",$C$4,"2 Item No.","@@"&amp;$F2256)</t>
  </si>
  <si>
    <t>=-NL("Sum","32 Item Ledger Entry","12 Quantity","5 Source no.",$C2257,"3 Posting Date",O$9,"4 Entry Type",$C$4,"2 Item No.","@@"&amp;$F2257)</t>
  </si>
  <si>
    <t>=-NL("Sum","32 Item Ledger Entry","12 Quantity","5 Source no.",$C2258,"3 Posting Date",O$9,"4 Entry Type",$C$4,"2 Item No.","@@"&amp;$F2258)</t>
  </si>
  <si>
    <t>=-NL("Sum","32 Item Ledger Entry","12 Quantity","5 Source no.",$C2259,"3 Posting Date",O$9,"4 Entry Type",$C$4,"2 Item No.","@@"&amp;$F2259)</t>
  </si>
  <si>
    <t>=-NL("Sum","32 Item Ledger Entry","12 Quantity","5 Source no.",$C2260,"3 Posting Date",O$9,"4 Entry Type",$C$4,"2 Item No.","@@"&amp;$F2260)</t>
  </si>
  <si>
    <t>=-NL("Sum","32 Item Ledger Entry","12 Quantity","5 Source no.",$C2261,"3 Posting Date",O$9,"4 Entry Type",$C$4,"2 Item No.","@@"&amp;$F2261)</t>
  </si>
  <si>
    <t>=-NL("Sum","32 Item Ledger Entry","12 Quantity","5 Source no.",$C2262,"3 Posting Date",O$9,"4 Entry Type",$C$4,"2 Item No.","@@"&amp;$F2262)</t>
  </si>
  <si>
    <t>=-NL("Sum","32 Item Ledger Entry","12 Quantity","5 Source no.",$C2231,"3 Posting Date",U$9,"4 Entry Type",$C$4,"2 Item No.","@@"&amp;$F2231)</t>
  </si>
  <si>
    <t>=-NL("Sum","32 Item Ledger Entry","12 Quantity","5 Source no.",$C2232,"3 Posting Date",U$9,"4 Entry Type",$C$4,"2 Item No.","@@"&amp;$F2232)</t>
  </si>
  <si>
    <t>=-NL("Sum","32 Item Ledger Entry","12 Quantity","5 Source no.",$C2233,"3 Posting Date",U$9,"4 Entry Type",$C$4,"2 Item No.","@@"&amp;$F2233)</t>
  </si>
  <si>
    <t>=-NL("Sum","32 Item Ledger Entry","12 Quantity","5 Source no.",$C2234,"3 Posting Date",U$9,"4 Entry Type",$C$4,"2 Item No.","@@"&amp;$F2234)</t>
  </si>
  <si>
    <t>=-NL("Sum","32 Item Ledger Entry","12 Quantity","5 Source no.",$C2235,"3 Posting Date",U$9,"4 Entry Type",$C$4,"2 Item No.","@@"&amp;$F2235)</t>
  </si>
  <si>
    <t>=-NL("Sum","32 Item Ledger Entry","12 Quantity","5 Source no.",$C2236,"3 Posting Date",U$9,"4 Entry Type",$C$4,"2 Item No.","@@"&amp;$F2236)</t>
  </si>
  <si>
    <t>=-NL("Sum","32 Item Ledger Entry","12 Quantity","5 Source no.",$C2237,"3 Posting Date",U$9,"4 Entry Type",$C$4,"2 Item No.","@@"&amp;$F2237)</t>
  </si>
  <si>
    <t>=-NL("Sum","32 Item Ledger Entry","12 Quantity","5 Source no.",$C2238,"3 Posting Date",U$9,"4 Entry Type",$C$4,"2 Item No.","@@"&amp;$F2238)</t>
  </si>
  <si>
    <t>=-NL("Sum","32 Item Ledger Entry","12 Quantity","5 Source no.",$C2239,"3 Posting Date",U$9,"4 Entry Type",$C$4,"2 Item No.","@@"&amp;$F2239)</t>
  </si>
  <si>
    <t>=-NL("Sum","32 Item Ledger Entry","12 Quantity","5 Source no.",$C2240,"3 Posting Date",U$9,"4 Entry Type",$C$4,"2 Item No.","@@"&amp;$F2240)</t>
  </si>
  <si>
    <t>=-NL("Sum","32 Item Ledger Entry","12 Quantity","5 Source no.",$C2241,"3 Posting Date",U$9,"4 Entry Type",$C$4,"2 Item No.","@@"&amp;$F2241)</t>
  </si>
  <si>
    <t>=-NL("Sum","32 Item Ledger Entry","12 Quantity","5 Source no.",$C2242,"3 Posting Date",U$9,"4 Entry Type",$C$4,"2 Item No.","@@"&amp;$F2242)</t>
  </si>
  <si>
    <t>=-NL("Sum","32 Item Ledger Entry","12 Quantity","5 Source no.",$C2243,"3 Posting Date",U$9,"4 Entry Type",$C$4,"2 Item No.","@@"&amp;$F2243)</t>
  </si>
  <si>
    <t>=-NL("Sum","32 Item Ledger Entry","12 Quantity","5 Source no.",$C2244,"3 Posting Date",U$9,"4 Entry Type",$C$4,"2 Item No.","@@"&amp;$F2244)</t>
  </si>
  <si>
    <t>=-NL("Sum","32 Item Ledger Entry","12 Quantity","5 Source no.",$C2245,"3 Posting Date",U$9,"4 Entry Type",$C$4,"2 Item No.","@@"&amp;$F2245)</t>
  </si>
  <si>
    <t>=-NL("Sum","32 Item Ledger Entry","12 Quantity","5 Source no.",$C2246,"3 Posting Date",U$9,"4 Entry Type",$C$4,"2 Item No.","@@"&amp;$F2246)</t>
  </si>
  <si>
    <t>=-NL("Sum","32 Item Ledger Entry","12 Quantity","5 Source no.",$C2247,"3 Posting Date",U$9,"4 Entry Type",$C$4,"2 Item No.","@@"&amp;$F2247)</t>
  </si>
  <si>
    <t>=-NL("Sum","32 Item Ledger Entry","12 Quantity","5 Source no.",$C2248,"3 Posting Date",U$9,"4 Entry Type",$C$4,"2 Item No.","@@"&amp;$F2248)</t>
  </si>
  <si>
    <t>=-NL("Sum","32 Item Ledger Entry","12 Quantity","5 Source no.",$C2249,"3 Posting Date",U$9,"4 Entry Type",$C$4,"2 Item No.","@@"&amp;$F2249)</t>
  </si>
  <si>
    <t>=-NL("Sum","32 Item Ledger Entry","12 Quantity","5 Source no.",$C2250,"3 Posting Date",U$9,"4 Entry Type",$C$4,"2 Item No.","@@"&amp;$F2250)</t>
  </si>
  <si>
    <t>=-NL("Sum","32 Item Ledger Entry","12 Quantity","5 Source no.",$C2251,"3 Posting Date",U$9,"4 Entry Type",$C$4,"2 Item No.","@@"&amp;$F2251)</t>
  </si>
  <si>
    <t>=-NL("Sum","32 Item Ledger Entry","12 Quantity","5 Source no.",$C2252,"3 Posting Date",U$9,"4 Entry Type",$C$4,"2 Item No.","@@"&amp;$F2252)</t>
  </si>
  <si>
    <t>=-NL("Sum","32 Item Ledger Entry","12 Quantity","5 Source no.",$C2253,"3 Posting Date",U$9,"4 Entry Type",$C$4,"2 Item No.","@@"&amp;$F2253)</t>
  </si>
  <si>
    <t>=-NL("Sum","32 Item Ledger Entry","12 Quantity","5 Source no.",$C2254,"3 Posting Date",U$9,"4 Entry Type",$C$4,"2 Item No.","@@"&amp;$F2254)</t>
  </si>
  <si>
    <t>=-NL("Sum","32 Item Ledger Entry","12 Quantity","5 Source no.",$C2255,"3 Posting Date",U$9,"4 Entry Type",$C$4,"2 Item No.","@@"&amp;$F2255)</t>
  </si>
  <si>
    <t>=-NL("Sum","32 Item Ledger Entry","12 Quantity","5 Source no.",$C2256,"3 Posting Date",U$9,"4 Entry Type",$C$4,"2 Item No.","@@"&amp;$F2256)</t>
  </si>
  <si>
    <t>=-NL("Sum","32 Item Ledger Entry","12 Quantity","5 Source no.",$C2257,"3 Posting Date",U$9,"4 Entry Type",$C$4,"2 Item No.","@@"&amp;$F2257)</t>
  </si>
  <si>
    <t>=-NL("Sum","32 Item Ledger Entry","12 Quantity","5 Source no.",$C2258,"3 Posting Date",U$9,"4 Entry Type",$C$4,"2 Item No.","@@"&amp;$F2258)</t>
  </si>
  <si>
    <t>=-NL("Sum","32 Item Ledger Entry","12 Quantity","5 Source no.",$C2259,"3 Posting Date",U$9,"4 Entry Type",$C$4,"2 Item No.","@@"&amp;$F2259)</t>
  </si>
  <si>
    <t>=-NL("Sum","32 Item Ledger Entry","12 Quantity","5 Source no.",$C2260,"3 Posting Date",U$9,"4 Entry Type",$C$4,"2 Item No.","@@"&amp;$F2260)</t>
  </si>
  <si>
    <t>=-NL("Sum","32 Item Ledger Entry","12 Quantity","5 Source no.",$C2261,"3 Posting Date",U$9,"4 Entry Type",$C$4,"2 Item No.","@@"&amp;$F2261)</t>
  </si>
  <si>
    <t>=-NL("Sum","32 Item Ledger Entry","12 Quantity","5 Source no.",$C2262,"3 Posting Date",U$9,"4 Entry Type",$C$4,"2 Item No.","@@"&amp;$F2262)</t>
  </si>
  <si>
    <t>=-NL("Sum","32 Item Ledger Entry","12 Quantity","5 Source no.",$C2231,"3 Posting Date",Z$9,"4 Entry Type",$C$4,"2 Item No.","@@"&amp;$F2231)</t>
  </si>
  <si>
    <t>=-NL("Sum","32 Item Ledger Entry","12 Quantity","5 Source no.",$C2232,"3 Posting Date",Z$9,"4 Entry Type",$C$4,"2 Item No.","@@"&amp;$F2232)</t>
  </si>
  <si>
    <t>=-NL("Sum","32 Item Ledger Entry","12 Quantity","5 Source no.",$C2233,"3 Posting Date",Z$9,"4 Entry Type",$C$4,"2 Item No.","@@"&amp;$F2233)</t>
  </si>
  <si>
    <t>=-NL("Sum","32 Item Ledger Entry","12 Quantity","5 Source no.",$C2234,"3 Posting Date",Z$9,"4 Entry Type",$C$4,"2 Item No.","@@"&amp;$F2234)</t>
  </si>
  <si>
    <t>=-NL("Sum","32 Item Ledger Entry","12 Quantity","5 Source no.",$C2235,"3 Posting Date",Z$9,"4 Entry Type",$C$4,"2 Item No.","@@"&amp;$F2235)</t>
  </si>
  <si>
    <t>=-NL("Sum","32 Item Ledger Entry","12 Quantity","5 Source no.",$C2236,"3 Posting Date",Z$9,"4 Entry Type",$C$4,"2 Item No.","@@"&amp;$F2236)</t>
  </si>
  <si>
    <t>=-NL("Sum","32 Item Ledger Entry","12 Quantity","5 Source no.",$C2237,"3 Posting Date",Z$9,"4 Entry Type",$C$4,"2 Item No.","@@"&amp;$F2237)</t>
  </si>
  <si>
    <t>=-NL("Sum","32 Item Ledger Entry","12 Quantity","5 Source no.",$C2238,"3 Posting Date",Z$9,"4 Entry Type",$C$4,"2 Item No.","@@"&amp;$F2238)</t>
  </si>
  <si>
    <t>=-NL("Sum","32 Item Ledger Entry","12 Quantity","5 Source no.",$C2239,"3 Posting Date",Z$9,"4 Entry Type",$C$4,"2 Item No.","@@"&amp;$F2239)</t>
  </si>
  <si>
    <t>=-NL("Sum","32 Item Ledger Entry","12 Quantity","5 Source no.",$C2240,"3 Posting Date",Z$9,"4 Entry Type",$C$4,"2 Item No.","@@"&amp;$F2240)</t>
  </si>
  <si>
    <t>=-NL("Sum","32 Item Ledger Entry","12 Quantity","5 Source no.",$C2241,"3 Posting Date",Z$9,"4 Entry Type",$C$4,"2 Item No.","@@"&amp;$F2241)</t>
  </si>
  <si>
    <t>=-NL("Sum","32 Item Ledger Entry","12 Quantity","5 Source no.",$C2242,"3 Posting Date",Z$9,"4 Entry Type",$C$4,"2 Item No.","@@"&amp;$F2242)</t>
  </si>
  <si>
    <t>=-NL("Sum","32 Item Ledger Entry","12 Quantity","5 Source no.",$C2243,"3 Posting Date",Z$9,"4 Entry Type",$C$4,"2 Item No.","@@"&amp;$F2243)</t>
  </si>
  <si>
    <t>=-NL("Sum","32 Item Ledger Entry","12 Quantity","5 Source no.",$C2244,"3 Posting Date",Z$9,"4 Entry Type",$C$4,"2 Item No.","@@"&amp;$F2244)</t>
  </si>
  <si>
    <t>=-NL("Sum","32 Item Ledger Entry","12 Quantity","5 Source no.",$C2245,"3 Posting Date",Z$9,"4 Entry Type",$C$4,"2 Item No.","@@"&amp;$F2245)</t>
  </si>
  <si>
    <t>=-NL("Sum","32 Item Ledger Entry","12 Quantity","5 Source no.",$C2246,"3 Posting Date",Z$9,"4 Entry Type",$C$4,"2 Item No.","@@"&amp;$F2246)</t>
  </si>
  <si>
    <t>=-NL("Sum","32 Item Ledger Entry","12 Quantity","5 Source no.",$C2247,"3 Posting Date",Z$9,"4 Entry Type",$C$4,"2 Item No.","@@"&amp;$F2247)</t>
  </si>
  <si>
    <t>=-NL("Sum","32 Item Ledger Entry","12 Quantity","5 Source no.",$C2248,"3 Posting Date",Z$9,"4 Entry Type",$C$4,"2 Item No.","@@"&amp;$F2248)</t>
  </si>
  <si>
    <t>=-NL("Sum","32 Item Ledger Entry","12 Quantity","5 Source no.",$C2249,"3 Posting Date",Z$9,"4 Entry Type",$C$4,"2 Item No.","@@"&amp;$F2249)</t>
  </si>
  <si>
    <t>=-NL("Sum","32 Item Ledger Entry","12 Quantity","5 Source no.",$C2250,"3 Posting Date",Z$9,"4 Entry Type",$C$4,"2 Item No.","@@"&amp;$F2250)</t>
  </si>
  <si>
    <t>=-NL("Sum","32 Item Ledger Entry","12 Quantity","5 Source no.",$C2251,"3 Posting Date",Z$9,"4 Entry Type",$C$4,"2 Item No.","@@"&amp;$F2251)</t>
  </si>
  <si>
    <t>=-NL("Sum","32 Item Ledger Entry","12 Quantity","5 Source no.",$C2252,"3 Posting Date",Z$9,"4 Entry Type",$C$4,"2 Item No.","@@"&amp;$F2252)</t>
  </si>
  <si>
    <t>=-NL("Sum","32 Item Ledger Entry","12 Quantity","5 Source no.",$C2253,"3 Posting Date",Z$9,"4 Entry Type",$C$4,"2 Item No.","@@"&amp;$F2253)</t>
  </si>
  <si>
    <t>=-NL("Sum","32 Item Ledger Entry","12 Quantity","5 Source no.",$C2254,"3 Posting Date",Z$9,"4 Entry Type",$C$4,"2 Item No.","@@"&amp;$F2254)</t>
  </si>
  <si>
    <t>=-NL("Sum","32 Item Ledger Entry","12 Quantity","5 Source no.",$C2255,"3 Posting Date",Z$9,"4 Entry Type",$C$4,"2 Item No.","@@"&amp;$F2255)</t>
  </si>
  <si>
    <t>=-NL("Sum","32 Item Ledger Entry","12 Quantity","5 Source no.",$C2256,"3 Posting Date",Z$9,"4 Entry Type",$C$4,"2 Item No.","@@"&amp;$F2256)</t>
  </si>
  <si>
    <t>=-NL("Sum","32 Item Ledger Entry","12 Quantity","5 Source no.",$C2257,"3 Posting Date",Z$9,"4 Entry Type",$C$4,"2 Item No.","@@"&amp;$F2257)</t>
  </si>
  <si>
    <t>=-NL("Sum","32 Item Ledger Entry","12 Quantity","5 Source no.",$C2258,"3 Posting Date",Z$9,"4 Entry Type",$C$4,"2 Item No.","@@"&amp;$F2258)</t>
  </si>
  <si>
    <t>=-NL("Sum","32 Item Ledger Entry","12 Quantity","5 Source no.",$C2259,"3 Posting Date",Z$9,"4 Entry Type",$C$4,"2 Item No.","@@"&amp;$F2259)</t>
  </si>
  <si>
    <t>=-NL("Sum","32 Item Ledger Entry","12 Quantity","5 Source no.",$C2260,"3 Posting Date",Z$9,"4 Entry Type",$C$4,"2 Item No.","@@"&amp;$F2260)</t>
  </si>
  <si>
    <t>=-NL("Sum","32 Item Ledger Entry","12 Quantity","5 Source no.",$C2261,"3 Posting Date",Z$9,"4 Entry Type",$C$4,"2 Item No.","@@"&amp;$F2261)</t>
  </si>
  <si>
    <t>=-NL("Sum","32 Item Ledger Entry","12 Quantity","5 Source no.",$C2262,"3 Posting Date",Z$9,"4 Entry Type",$C$4,"2 Item No.","@@"&amp;$F2262)</t>
  </si>
  <si>
    <t>=NL(,"27 Item","3 Description","1 No.","@@"&amp;F2212)</t>
  </si>
  <si>
    <t>=NL(,"27 Item","3 Description","1 No.","@@"&amp;F2213)</t>
  </si>
  <si>
    <t>=NL(,"27 Item","3 Description","1 No.","@@"&amp;F2214)</t>
  </si>
  <si>
    <t>=NL(,"27 Item","3 Description","1 No.","@@"&amp;F2215)</t>
  </si>
  <si>
    <t>=NL(,"27 Item","3 Description","1 No.","@@"&amp;F2216)</t>
  </si>
  <si>
    <t>=NL(,"27 Item","3 Description","1 No.","@@"&amp;F2217)</t>
  </si>
  <si>
    <t>=NL(,"27 Item","3 Description","1 No.","@@"&amp;F2218)</t>
  </si>
  <si>
    <t>=NL(,"27 Item","3 Description","1 No.","@@"&amp;F2219)</t>
  </si>
  <si>
    <t>=NL(,"27 Item","3 Description","1 No.","@@"&amp;F2220)</t>
  </si>
  <si>
    <t>=NL(,"27 Item","3 Description","1 No.","@@"&amp;F2221)</t>
  </si>
  <si>
    <t>=NL(,"27 Item","3 Description","1 No.","@@"&amp;F2222)</t>
  </si>
  <si>
    <t>=NL(,"27 Item","3 Description","1 No.","@@"&amp;F2223)</t>
  </si>
  <si>
    <t>=NL(,"27 Item","3 Description","1 No.","@@"&amp;F2224)</t>
  </si>
  <si>
    <t>=NL(,"27 Item","3 Description","1 No.","@@"&amp;F2225)</t>
  </si>
  <si>
    <t>=-NL("Sum","32 Item Ledger Entry","12 Quantity","5 Source no.",$C2212,"3 Posting Date",J$9,"4 Entry Type",$C$4,"2 Item No.","@@"&amp;$F2212)</t>
  </si>
  <si>
    <t>=-NL("Sum","32 Item Ledger Entry","12 Quantity","5 Source no.",$C2213,"3 Posting Date",J$9,"4 Entry Type",$C$4,"2 Item No.","@@"&amp;$F2213)</t>
  </si>
  <si>
    <t>=-NL("Sum","32 Item Ledger Entry","12 Quantity","5 Source no.",$C2214,"3 Posting Date",J$9,"4 Entry Type",$C$4,"2 Item No.","@@"&amp;$F2214)</t>
  </si>
  <si>
    <t>=-NL("Sum","32 Item Ledger Entry","12 Quantity","5 Source no.",$C2215,"3 Posting Date",J$9,"4 Entry Type",$C$4,"2 Item No.","@@"&amp;$F2215)</t>
  </si>
  <si>
    <t>=-NL("Sum","32 Item Ledger Entry","12 Quantity","5 Source no.",$C2216,"3 Posting Date",J$9,"4 Entry Type",$C$4,"2 Item No.","@@"&amp;$F2216)</t>
  </si>
  <si>
    <t>=-NL("Sum","32 Item Ledger Entry","12 Quantity","5 Source no.",$C2217,"3 Posting Date",J$9,"4 Entry Type",$C$4,"2 Item No.","@@"&amp;$F2217)</t>
  </si>
  <si>
    <t>=-NL("Sum","32 Item Ledger Entry","12 Quantity","5 Source no.",$C2218,"3 Posting Date",J$9,"4 Entry Type",$C$4,"2 Item No.","@@"&amp;$F2218)</t>
  </si>
  <si>
    <t>=-NL("Sum","32 Item Ledger Entry","12 Quantity","5 Source no.",$C2219,"3 Posting Date",J$9,"4 Entry Type",$C$4,"2 Item No.","@@"&amp;$F2219)</t>
  </si>
  <si>
    <t>=-NL("Sum","32 Item Ledger Entry","12 Quantity","5 Source no.",$C2220,"3 Posting Date",J$9,"4 Entry Type",$C$4,"2 Item No.","@@"&amp;$F2220)</t>
  </si>
  <si>
    <t>=-NL("Sum","32 Item Ledger Entry","12 Quantity","5 Source no.",$C2221,"3 Posting Date",J$9,"4 Entry Type",$C$4,"2 Item No.","@@"&amp;$F2221)</t>
  </si>
  <si>
    <t>=-NL("Sum","32 Item Ledger Entry","12 Quantity","5 Source no.",$C2222,"3 Posting Date",J$9,"4 Entry Type",$C$4,"2 Item No.","@@"&amp;$F2222)</t>
  </si>
  <si>
    <t>=-NL("Sum","32 Item Ledger Entry","12 Quantity","5 Source no.",$C2223,"3 Posting Date",J$9,"4 Entry Type",$C$4,"2 Item No.","@@"&amp;$F2223)</t>
  </si>
  <si>
    <t>=-NL("Sum","32 Item Ledger Entry","12 Quantity","5 Source no.",$C2224,"3 Posting Date",J$9,"4 Entry Type",$C$4,"2 Item No.","@@"&amp;$F2224)</t>
  </si>
  <si>
    <t>=-NL("Sum","32 Item Ledger Entry","12 Quantity","5 Source no.",$C2225,"3 Posting Date",J$9,"4 Entry Type",$C$4,"2 Item No.","@@"&amp;$F2225)</t>
  </si>
  <si>
    <t>=-NL("Sum","32 Item Ledger Entry","12 Quantity","5 Source no.",$C2212,"3 Posting Date",O$9,"4 Entry Type",$C$4,"2 Item No.","@@"&amp;$F2212)</t>
  </si>
  <si>
    <t>=-NL("Sum","32 Item Ledger Entry","12 Quantity","5 Source no.",$C2213,"3 Posting Date",O$9,"4 Entry Type",$C$4,"2 Item No.","@@"&amp;$F2213)</t>
  </si>
  <si>
    <t>=-NL("Sum","32 Item Ledger Entry","12 Quantity","5 Source no.",$C2214,"3 Posting Date",O$9,"4 Entry Type",$C$4,"2 Item No.","@@"&amp;$F2214)</t>
  </si>
  <si>
    <t>=-NL("Sum","32 Item Ledger Entry","12 Quantity","5 Source no.",$C2215,"3 Posting Date",O$9,"4 Entry Type",$C$4,"2 Item No.","@@"&amp;$F2215)</t>
  </si>
  <si>
    <t>=-NL("Sum","32 Item Ledger Entry","12 Quantity","5 Source no.",$C2216,"3 Posting Date",O$9,"4 Entry Type",$C$4,"2 Item No.","@@"&amp;$F2216)</t>
  </si>
  <si>
    <t>=-NL("Sum","32 Item Ledger Entry","12 Quantity","5 Source no.",$C2217,"3 Posting Date",O$9,"4 Entry Type",$C$4,"2 Item No.","@@"&amp;$F2217)</t>
  </si>
  <si>
    <t>=-NL("Sum","32 Item Ledger Entry","12 Quantity","5 Source no.",$C2218,"3 Posting Date",O$9,"4 Entry Type",$C$4,"2 Item No.","@@"&amp;$F2218)</t>
  </si>
  <si>
    <t>=-NL("Sum","32 Item Ledger Entry","12 Quantity","5 Source no.",$C2219,"3 Posting Date",O$9,"4 Entry Type",$C$4,"2 Item No.","@@"&amp;$F2219)</t>
  </si>
  <si>
    <t>=-NL("Sum","32 Item Ledger Entry","12 Quantity","5 Source no.",$C2220,"3 Posting Date",O$9,"4 Entry Type",$C$4,"2 Item No.","@@"&amp;$F2220)</t>
  </si>
  <si>
    <t>=-NL("Sum","32 Item Ledger Entry","12 Quantity","5 Source no.",$C2221,"3 Posting Date",O$9,"4 Entry Type",$C$4,"2 Item No.","@@"&amp;$F2221)</t>
  </si>
  <si>
    <t>=-NL("Sum","32 Item Ledger Entry","12 Quantity","5 Source no.",$C2222,"3 Posting Date",O$9,"4 Entry Type",$C$4,"2 Item No.","@@"&amp;$F2222)</t>
  </si>
  <si>
    <t>=-NL("Sum","32 Item Ledger Entry","12 Quantity","5 Source no.",$C2223,"3 Posting Date",O$9,"4 Entry Type",$C$4,"2 Item No.","@@"&amp;$F2223)</t>
  </si>
  <si>
    <t>=-NL("Sum","32 Item Ledger Entry","12 Quantity","5 Source no.",$C2224,"3 Posting Date",O$9,"4 Entry Type",$C$4,"2 Item No.","@@"&amp;$F2224)</t>
  </si>
  <si>
    <t>=-NL("Sum","32 Item Ledger Entry","12 Quantity","5 Source no.",$C2225,"3 Posting Date",O$9,"4 Entry Type",$C$4,"2 Item No.","@@"&amp;$F2225)</t>
  </si>
  <si>
    <t>=-NL("Sum","32 Item Ledger Entry","12 Quantity","5 Source no.",$C2212,"3 Posting Date",U$9,"4 Entry Type",$C$4,"2 Item No.","@@"&amp;$F2212)</t>
  </si>
  <si>
    <t>=-NL("Sum","32 Item Ledger Entry","12 Quantity","5 Source no.",$C2213,"3 Posting Date",U$9,"4 Entry Type",$C$4,"2 Item No.","@@"&amp;$F2213)</t>
  </si>
  <si>
    <t>=-NL("Sum","32 Item Ledger Entry","12 Quantity","5 Source no.",$C2214,"3 Posting Date",U$9,"4 Entry Type",$C$4,"2 Item No.","@@"&amp;$F2214)</t>
  </si>
  <si>
    <t>=-NL("Sum","32 Item Ledger Entry","12 Quantity","5 Source no.",$C2215,"3 Posting Date",U$9,"4 Entry Type",$C$4,"2 Item No.","@@"&amp;$F2215)</t>
  </si>
  <si>
    <t>=-NL("Sum","32 Item Ledger Entry","12 Quantity","5 Source no.",$C2216,"3 Posting Date",U$9,"4 Entry Type",$C$4,"2 Item No.","@@"&amp;$F2216)</t>
  </si>
  <si>
    <t>=-NL("Sum","32 Item Ledger Entry","12 Quantity","5 Source no.",$C2217,"3 Posting Date",U$9,"4 Entry Type",$C$4,"2 Item No.","@@"&amp;$F2217)</t>
  </si>
  <si>
    <t>=-NL("Sum","32 Item Ledger Entry","12 Quantity","5 Source no.",$C2218,"3 Posting Date",U$9,"4 Entry Type",$C$4,"2 Item No.","@@"&amp;$F2218)</t>
  </si>
  <si>
    <t>=-NL("Sum","32 Item Ledger Entry","12 Quantity","5 Source no.",$C2219,"3 Posting Date",U$9,"4 Entry Type",$C$4,"2 Item No.","@@"&amp;$F2219)</t>
  </si>
  <si>
    <t>=-NL("Sum","32 Item Ledger Entry","12 Quantity","5 Source no.",$C2220,"3 Posting Date",U$9,"4 Entry Type",$C$4,"2 Item No.","@@"&amp;$F2220)</t>
  </si>
  <si>
    <t>=-NL("Sum","32 Item Ledger Entry","12 Quantity","5 Source no.",$C2221,"3 Posting Date",U$9,"4 Entry Type",$C$4,"2 Item No.","@@"&amp;$F2221)</t>
  </si>
  <si>
    <t>=-NL("Sum","32 Item Ledger Entry","12 Quantity","5 Source no.",$C2222,"3 Posting Date",U$9,"4 Entry Type",$C$4,"2 Item No.","@@"&amp;$F2222)</t>
  </si>
  <si>
    <t>=-NL("Sum","32 Item Ledger Entry","12 Quantity","5 Source no.",$C2223,"3 Posting Date",U$9,"4 Entry Type",$C$4,"2 Item No.","@@"&amp;$F2223)</t>
  </si>
  <si>
    <t>=-NL("Sum","32 Item Ledger Entry","12 Quantity","5 Source no.",$C2224,"3 Posting Date",U$9,"4 Entry Type",$C$4,"2 Item No.","@@"&amp;$F2224)</t>
  </si>
  <si>
    <t>=-NL("Sum","32 Item Ledger Entry","12 Quantity","5 Source no.",$C2225,"3 Posting Date",U$9,"4 Entry Type",$C$4,"2 Item No.","@@"&amp;$F2225)</t>
  </si>
  <si>
    <t>=-NL("Sum","32 Item Ledger Entry","12 Quantity","5 Source no.",$C2212,"3 Posting Date",Z$9,"4 Entry Type",$C$4,"2 Item No.","@@"&amp;$F2212)</t>
  </si>
  <si>
    <t>=-NL("Sum","32 Item Ledger Entry","12 Quantity","5 Source no.",$C2213,"3 Posting Date",Z$9,"4 Entry Type",$C$4,"2 Item No.","@@"&amp;$F2213)</t>
  </si>
  <si>
    <t>=-NL("Sum","32 Item Ledger Entry","12 Quantity","5 Source no.",$C2214,"3 Posting Date",Z$9,"4 Entry Type",$C$4,"2 Item No.","@@"&amp;$F2214)</t>
  </si>
  <si>
    <t>=-NL("Sum","32 Item Ledger Entry","12 Quantity","5 Source no.",$C2215,"3 Posting Date",Z$9,"4 Entry Type",$C$4,"2 Item No.","@@"&amp;$F2215)</t>
  </si>
  <si>
    <t>=-NL("Sum","32 Item Ledger Entry","12 Quantity","5 Source no.",$C2216,"3 Posting Date",Z$9,"4 Entry Type",$C$4,"2 Item No.","@@"&amp;$F2216)</t>
  </si>
  <si>
    <t>=-NL("Sum","32 Item Ledger Entry","12 Quantity","5 Source no.",$C2217,"3 Posting Date",Z$9,"4 Entry Type",$C$4,"2 Item No.","@@"&amp;$F2217)</t>
  </si>
  <si>
    <t>=-NL("Sum","32 Item Ledger Entry","12 Quantity","5 Source no.",$C2218,"3 Posting Date",Z$9,"4 Entry Type",$C$4,"2 Item No.","@@"&amp;$F2218)</t>
  </si>
  <si>
    <t>=-NL("Sum","32 Item Ledger Entry","12 Quantity","5 Source no.",$C2219,"3 Posting Date",Z$9,"4 Entry Type",$C$4,"2 Item No.","@@"&amp;$F2219)</t>
  </si>
  <si>
    <t>=-NL("Sum","32 Item Ledger Entry","12 Quantity","5 Source no.",$C2220,"3 Posting Date",Z$9,"4 Entry Type",$C$4,"2 Item No.","@@"&amp;$F2220)</t>
  </si>
  <si>
    <t>=-NL("Sum","32 Item Ledger Entry","12 Quantity","5 Source no.",$C2221,"3 Posting Date",Z$9,"4 Entry Type",$C$4,"2 Item No.","@@"&amp;$F2221)</t>
  </si>
  <si>
    <t>=-NL("Sum","32 Item Ledger Entry","12 Quantity","5 Source no.",$C2222,"3 Posting Date",Z$9,"4 Entry Type",$C$4,"2 Item No.","@@"&amp;$F2222)</t>
  </si>
  <si>
    <t>=-NL("Sum","32 Item Ledger Entry","12 Quantity","5 Source no.",$C2223,"3 Posting Date",Z$9,"4 Entry Type",$C$4,"2 Item No.","@@"&amp;$F2223)</t>
  </si>
  <si>
    <t>=-NL("Sum","32 Item Ledger Entry","12 Quantity","5 Source no.",$C2224,"3 Posting Date",Z$9,"4 Entry Type",$C$4,"2 Item No.","@@"&amp;$F2224)</t>
  </si>
  <si>
    <t>=-NL("Sum","32 Item Ledger Entry","12 Quantity","5 Source no.",$C2225,"3 Posting Date",Z$9,"4 Entry Type",$C$4,"2 Item No.","@@"&amp;$F2225)</t>
  </si>
  <si>
    <t>=NL(,"27 Item","3 Description","1 No.","@@"&amp;F2184)</t>
  </si>
  <si>
    <t>=NL(,"27 Item","3 Description","1 No.","@@"&amp;F2185)</t>
  </si>
  <si>
    <t>=NL(,"27 Item","3 Description","1 No.","@@"&amp;F2186)</t>
  </si>
  <si>
    <t>=NL(,"27 Item","3 Description","1 No.","@@"&amp;F2187)</t>
  </si>
  <si>
    <t>=NL(,"27 Item","3 Description","1 No.","@@"&amp;F2188)</t>
  </si>
  <si>
    <t>=NL(,"27 Item","3 Description","1 No.","@@"&amp;F2189)</t>
  </si>
  <si>
    <t>=NL(,"27 Item","3 Description","1 No.","@@"&amp;F2190)</t>
  </si>
  <si>
    <t>=NL(,"27 Item","3 Description","1 No.","@@"&amp;F2191)</t>
  </si>
  <si>
    <t>=NL(,"27 Item","3 Description","1 No.","@@"&amp;F2192)</t>
  </si>
  <si>
    <t>=NL(,"27 Item","3 Description","1 No.","@@"&amp;F2193)</t>
  </si>
  <si>
    <t>=NL(,"27 Item","3 Description","1 No.","@@"&amp;F2194)</t>
  </si>
  <si>
    <t>=NL(,"27 Item","3 Description","1 No.","@@"&amp;F2195)</t>
  </si>
  <si>
    <t>=NL(,"27 Item","3 Description","1 No.","@@"&amp;F2196)</t>
  </si>
  <si>
    <t>=NL(,"27 Item","3 Description","1 No.","@@"&amp;F2197)</t>
  </si>
  <si>
    <t>=NL(,"27 Item","3 Description","1 No.","@@"&amp;F2198)</t>
  </si>
  <si>
    <t>=NL(,"27 Item","3 Description","1 No.","@@"&amp;F2199)</t>
  </si>
  <si>
    <t>=NL(,"27 Item","3 Description","1 No.","@@"&amp;F2200)</t>
  </si>
  <si>
    <t>=NL(,"27 Item","3 Description","1 No.","@@"&amp;F2201)</t>
  </si>
  <si>
    <t>=NL(,"27 Item","3 Description","1 No.","@@"&amp;F2202)</t>
  </si>
  <si>
    <t>=NL(,"27 Item","3 Description","1 No.","@@"&amp;F2203)</t>
  </si>
  <si>
    <t>=NL(,"27 Item","3 Description","1 No.","@@"&amp;F2204)</t>
  </si>
  <si>
    <t>=NL(,"27 Item","3 Description","1 No.","@@"&amp;F2205)</t>
  </si>
  <si>
    <t>=NL(,"27 Item","3 Description","1 No.","@@"&amp;F2206)</t>
  </si>
  <si>
    <t>=-NL("Sum","32 Item Ledger Entry","12 Quantity","5 Source no.",$C2184,"3 Posting Date",J$9,"4 Entry Type",$C$4,"2 Item No.","@@"&amp;$F2184)</t>
  </si>
  <si>
    <t>=-NL("Sum","32 Item Ledger Entry","12 Quantity","5 Source no.",$C2185,"3 Posting Date",J$9,"4 Entry Type",$C$4,"2 Item No.","@@"&amp;$F2185)</t>
  </si>
  <si>
    <t>=-NL("Sum","32 Item Ledger Entry","12 Quantity","5 Source no.",$C2186,"3 Posting Date",J$9,"4 Entry Type",$C$4,"2 Item No.","@@"&amp;$F2186)</t>
  </si>
  <si>
    <t>=-NL("Sum","32 Item Ledger Entry","12 Quantity","5 Source no.",$C2187,"3 Posting Date",J$9,"4 Entry Type",$C$4,"2 Item No.","@@"&amp;$F2187)</t>
  </si>
  <si>
    <t>=-NL("Sum","32 Item Ledger Entry","12 Quantity","5 Source no.",$C2188,"3 Posting Date",J$9,"4 Entry Type",$C$4,"2 Item No.","@@"&amp;$F2188)</t>
  </si>
  <si>
    <t>=-NL("Sum","32 Item Ledger Entry","12 Quantity","5 Source no.",$C2189,"3 Posting Date",J$9,"4 Entry Type",$C$4,"2 Item No.","@@"&amp;$F2189)</t>
  </si>
  <si>
    <t>=-NL("Sum","32 Item Ledger Entry","12 Quantity","5 Source no.",$C2190,"3 Posting Date",J$9,"4 Entry Type",$C$4,"2 Item No.","@@"&amp;$F2190)</t>
  </si>
  <si>
    <t>=-NL("Sum","32 Item Ledger Entry","12 Quantity","5 Source no.",$C2191,"3 Posting Date",J$9,"4 Entry Type",$C$4,"2 Item No.","@@"&amp;$F2191)</t>
  </si>
  <si>
    <t>=-NL("Sum","32 Item Ledger Entry","12 Quantity","5 Source no.",$C2192,"3 Posting Date",J$9,"4 Entry Type",$C$4,"2 Item No.","@@"&amp;$F2192)</t>
  </si>
  <si>
    <t>=-NL("Sum","32 Item Ledger Entry","12 Quantity","5 Source no.",$C2193,"3 Posting Date",J$9,"4 Entry Type",$C$4,"2 Item No.","@@"&amp;$F2193)</t>
  </si>
  <si>
    <t>=-NL("Sum","32 Item Ledger Entry","12 Quantity","5 Source no.",$C2194,"3 Posting Date",J$9,"4 Entry Type",$C$4,"2 Item No.","@@"&amp;$F2194)</t>
  </si>
  <si>
    <t>=-NL("Sum","32 Item Ledger Entry","12 Quantity","5 Source no.",$C2195,"3 Posting Date",J$9,"4 Entry Type",$C$4,"2 Item No.","@@"&amp;$F2195)</t>
  </si>
  <si>
    <t>=-NL("Sum","32 Item Ledger Entry","12 Quantity","5 Source no.",$C2196,"3 Posting Date",J$9,"4 Entry Type",$C$4,"2 Item No.","@@"&amp;$F2196)</t>
  </si>
  <si>
    <t>=-NL("Sum","32 Item Ledger Entry","12 Quantity","5 Source no.",$C2197,"3 Posting Date",J$9,"4 Entry Type",$C$4,"2 Item No.","@@"&amp;$F2197)</t>
  </si>
  <si>
    <t>=-NL("Sum","32 Item Ledger Entry","12 Quantity","5 Source no.",$C2198,"3 Posting Date",J$9,"4 Entry Type",$C$4,"2 Item No.","@@"&amp;$F2198)</t>
  </si>
  <si>
    <t>=-NL("Sum","32 Item Ledger Entry","12 Quantity","5 Source no.",$C2199,"3 Posting Date",J$9,"4 Entry Type",$C$4,"2 Item No.","@@"&amp;$F2199)</t>
  </si>
  <si>
    <t>=-NL("Sum","32 Item Ledger Entry","12 Quantity","5 Source no.",$C2200,"3 Posting Date",J$9,"4 Entry Type",$C$4,"2 Item No.","@@"&amp;$F2200)</t>
  </si>
  <si>
    <t>=-NL("Sum","32 Item Ledger Entry","12 Quantity","5 Source no.",$C2201,"3 Posting Date",J$9,"4 Entry Type",$C$4,"2 Item No.","@@"&amp;$F2201)</t>
  </si>
  <si>
    <t>=-NL("Sum","32 Item Ledger Entry","12 Quantity","5 Source no.",$C2202,"3 Posting Date",J$9,"4 Entry Type",$C$4,"2 Item No.","@@"&amp;$F2202)</t>
  </si>
  <si>
    <t>=-NL("Sum","32 Item Ledger Entry","12 Quantity","5 Source no.",$C2203,"3 Posting Date",J$9,"4 Entry Type",$C$4,"2 Item No.","@@"&amp;$F2203)</t>
  </si>
  <si>
    <t>=-NL("Sum","32 Item Ledger Entry","12 Quantity","5 Source no.",$C2204,"3 Posting Date",J$9,"4 Entry Type",$C$4,"2 Item No.","@@"&amp;$F2204)</t>
  </si>
  <si>
    <t>=-NL("Sum","32 Item Ledger Entry","12 Quantity","5 Source no.",$C2205,"3 Posting Date",J$9,"4 Entry Type",$C$4,"2 Item No.","@@"&amp;$F2205)</t>
  </si>
  <si>
    <t>=-NL("Sum","32 Item Ledger Entry","12 Quantity","5 Source no.",$C2206,"3 Posting Date",J$9,"4 Entry Type",$C$4,"2 Item No.","@@"&amp;$F2206)</t>
  </si>
  <si>
    <t>=-NL("Sum","32 Item Ledger Entry","12 Quantity","5 Source no.",$C2184,"3 Posting Date",O$9,"4 Entry Type",$C$4,"2 Item No.","@@"&amp;$F2184)</t>
  </si>
  <si>
    <t>=-NL("Sum","32 Item Ledger Entry","12 Quantity","5 Source no.",$C2185,"3 Posting Date",O$9,"4 Entry Type",$C$4,"2 Item No.","@@"&amp;$F2185)</t>
  </si>
  <si>
    <t>=-NL("Sum","32 Item Ledger Entry","12 Quantity","5 Source no.",$C2186,"3 Posting Date",O$9,"4 Entry Type",$C$4,"2 Item No.","@@"&amp;$F2186)</t>
  </si>
  <si>
    <t>=-NL("Sum","32 Item Ledger Entry","12 Quantity","5 Source no.",$C2187,"3 Posting Date",O$9,"4 Entry Type",$C$4,"2 Item No.","@@"&amp;$F2187)</t>
  </si>
  <si>
    <t>=-NL("Sum","32 Item Ledger Entry","12 Quantity","5 Source no.",$C2188,"3 Posting Date",O$9,"4 Entry Type",$C$4,"2 Item No.","@@"&amp;$F2188)</t>
  </si>
  <si>
    <t>=-NL("Sum","32 Item Ledger Entry","12 Quantity","5 Source no.",$C2189,"3 Posting Date",O$9,"4 Entry Type",$C$4,"2 Item No.","@@"&amp;$F2189)</t>
  </si>
  <si>
    <t>=-NL("Sum","32 Item Ledger Entry","12 Quantity","5 Source no.",$C2190,"3 Posting Date",O$9,"4 Entry Type",$C$4,"2 Item No.","@@"&amp;$F2190)</t>
  </si>
  <si>
    <t>=-NL("Sum","32 Item Ledger Entry","12 Quantity","5 Source no.",$C2191,"3 Posting Date",O$9,"4 Entry Type",$C$4,"2 Item No.","@@"&amp;$F2191)</t>
  </si>
  <si>
    <t>=-NL("Sum","32 Item Ledger Entry","12 Quantity","5 Source no.",$C2192,"3 Posting Date",O$9,"4 Entry Type",$C$4,"2 Item No.","@@"&amp;$F2192)</t>
  </si>
  <si>
    <t>=-NL("Sum","32 Item Ledger Entry","12 Quantity","5 Source no.",$C2193,"3 Posting Date",O$9,"4 Entry Type",$C$4,"2 Item No.","@@"&amp;$F2193)</t>
  </si>
  <si>
    <t>=-NL("Sum","32 Item Ledger Entry","12 Quantity","5 Source no.",$C2194,"3 Posting Date",O$9,"4 Entry Type",$C$4,"2 Item No.","@@"&amp;$F2194)</t>
  </si>
  <si>
    <t>=-NL("Sum","32 Item Ledger Entry","12 Quantity","5 Source no.",$C2195,"3 Posting Date",O$9,"4 Entry Type",$C$4,"2 Item No.","@@"&amp;$F2195)</t>
  </si>
  <si>
    <t>=-NL("Sum","32 Item Ledger Entry","12 Quantity","5 Source no.",$C2196,"3 Posting Date",O$9,"4 Entry Type",$C$4,"2 Item No.","@@"&amp;$F2196)</t>
  </si>
  <si>
    <t>=-NL("Sum","32 Item Ledger Entry","12 Quantity","5 Source no.",$C2197,"3 Posting Date",O$9,"4 Entry Type",$C$4,"2 Item No.","@@"&amp;$F2197)</t>
  </si>
  <si>
    <t>=-NL("Sum","32 Item Ledger Entry","12 Quantity","5 Source no.",$C2198,"3 Posting Date",O$9,"4 Entry Type",$C$4,"2 Item No.","@@"&amp;$F2198)</t>
  </si>
  <si>
    <t>=-NL("Sum","32 Item Ledger Entry","12 Quantity","5 Source no.",$C2199,"3 Posting Date",O$9,"4 Entry Type",$C$4,"2 Item No.","@@"&amp;$F2199)</t>
  </si>
  <si>
    <t>=-NL("Sum","32 Item Ledger Entry","12 Quantity","5 Source no.",$C2200,"3 Posting Date",O$9,"4 Entry Type",$C$4,"2 Item No.","@@"&amp;$F2200)</t>
  </si>
  <si>
    <t>=-NL("Sum","32 Item Ledger Entry","12 Quantity","5 Source no.",$C2201,"3 Posting Date",O$9,"4 Entry Type",$C$4,"2 Item No.","@@"&amp;$F2201)</t>
  </si>
  <si>
    <t>=-NL("Sum","32 Item Ledger Entry","12 Quantity","5 Source no.",$C2202,"3 Posting Date",O$9,"4 Entry Type",$C$4,"2 Item No.","@@"&amp;$F2202)</t>
  </si>
  <si>
    <t>=-NL("Sum","32 Item Ledger Entry","12 Quantity","5 Source no.",$C2203,"3 Posting Date",O$9,"4 Entry Type",$C$4,"2 Item No.","@@"&amp;$F2203)</t>
  </si>
  <si>
    <t>=-NL("Sum","32 Item Ledger Entry","12 Quantity","5 Source no.",$C2204,"3 Posting Date",O$9,"4 Entry Type",$C$4,"2 Item No.","@@"&amp;$F2204)</t>
  </si>
  <si>
    <t>=-NL("Sum","32 Item Ledger Entry","12 Quantity","5 Source no.",$C2205,"3 Posting Date",O$9,"4 Entry Type",$C$4,"2 Item No.","@@"&amp;$F2205)</t>
  </si>
  <si>
    <t>=-NL("Sum","32 Item Ledger Entry","12 Quantity","5 Source no.",$C2206,"3 Posting Date",O$9,"4 Entry Type",$C$4,"2 Item No.","@@"&amp;$F2206)</t>
  </si>
  <si>
    <t>=-NL("Sum","32 Item Ledger Entry","12 Quantity","5 Source no.",$C2184,"3 Posting Date",U$9,"4 Entry Type",$C$4,"2 Item No.","@@"&amp;$F2184)</t>
  </si>
  <si>
    <t>=-NL("Sum","32 Item Ledger Entry","12 Quantity","5 Source no.",$C2185,"3 Posting Date",U$9,"4 Entry Type",$C$4,"2 Item No.","@@"&amp;$F2185)</t>
  </si>
  <si>
    <t>=-NL("Sum","32 Item Ledger Entry","12 Quantity","5 Source no.",$C2186,"3 Posting Date",U$9,"4 Entry Type",$C$4,"2 Item No.","@@"&amp;$F2186)</t>
  </si>
  <si>
    <t>=-NL("Sum","32 Item Ledger Entry","12 Quantity","5 Source no.",$C2187,"3 Posting Date",U$9,"4 Entry Type",$C$4,"2 Item No.","@@"&amp;$F2187)</t>
  </si>
  <si>
    <t>=-NL("Sum","32 Item Ledger Entry","12 Quantity","5 Source no.",$C2188,"3 Posting Date",U$9,"4 Entry Type",$C$4,"2 Item No.","@@"&amp;$F2188)</t>
  </si>
  <si>
    <t>=-NL("Sum","32 Item Ledger Entry","12 Quantity","5 Source no.",$C2189,"3 Posting Date",U$9,"4 Entry Type",$C$4,"2 Item No.","@@"&amp;$F2189)</t>
  </si>
  <si>
    <t>=-NL("Sum","32 Item Ledger Entry","12 Quantity","5 Source no.",$C2190,"3 Posting Date",U$9,"4 Entry Type",$C$4,"2 Item No.","@@"&amp;$F2190)</t>
  </si>
  <si>
    <t>=-NL("Sum","32 Item Ledger Entry","12 Quantity","5 Source no.",$C2191,"3 Posting Date",U$9,"4 Entry Type",$C$4,"2 Item No.","@@"&amp;$F2191)</t>
  </si>
  <si>
    <t>=-NL("Sum","32 Item Ledger Entry","12 Quantity","5 Source no.",$C2192,"3 Posting Date",U$9,"4 Entry Type",$C$4,"2 Item No.","@@"&amp;$F2192)</t>
  </si>
  <si>
    <t>=-NL("Sum","32 Item Ledger Entry","12 Quantity","5 Source no.",$C2193,"3 Posting Date",U$9,"4 Entry Type",$C$4,"2 Item No.","@@"&amp;$F2193)</t>
  </si>
  <si>
    <t>=-NL("Sum","32 Item Ledger Entry","12 Quantity","5 Source no.",$C2194,"3 Posting Date",U$9,"4 Entry Type",$C$4,"2 Item No.","@@"&amp;$F2194)</t>
  </si>
  <si>
    <t>=-NL("Sum","32 Item Ledger Entry","12 Quantity","5 Source no.",$C2195,"3 Posting Date",U$9,"4 Entry Type",$C$4,"2 Item No.","@@"&amp;$F2195)</t>
  </si>
  <si>
    <t>=-NL("Sum","32 Item Ledger Entry","12 Quantity","5 Source no.",$C2196,"3 Posting Date",U$9,"4 Entry Type",$C$4,"2 Item No.","@@"&amp;$F2196)</t>
  </si>
  <si>
    <t>=-NL("Sum","32 Item Ledger Entry","12 Quantity","5 Source no.",$C2197,"3 Posting Date",U$9,"4 Entry Type",$C$4,"2 Item No.","@@"&amp;$F2197)</t>
  </si>
  <si>
    <t>=-NL("Sum","32 Item Ledger Entry","12 Quantity","5 Source no.",$C2198,"3 Posting Date",U$9,"4 Entry Type",$C$4,"2 Item No.","@@"&amp;$F2198)</t>
  </si>
  <si>
    <t>=-NL("Sum","32 Item Ledger Entry","12 Quantity","5 Source no.",$C2199,"3 Posting Date",U$9,"4 Entry Type",$C$4,"2 Item No.","@@"&amp;$F2199)</t>
  </si>
  <si>
    <t>=-NL("Sum","32 Item Ledger Entry","12 Quantity","5 Source no.",$C2200,"3 Posting Date",U$9,"4 Entry Type",$C$4,"2 Item No.","@@"&amp;$F2200)</t>
  </si>
  <si>
    <t>=-NL("Sum","32 Item Ledger Entry","12 Quantity","5 Source no.",$C2201,"3 Posting Date",U$9,"4 Entry Type",$C$4,"2 Item No.","@@"&amp;$F2201)</t>
  </si>
  <si>
    <t>=-NL("Sum","32 Item Ledger Entry","12 Quantity","5 Source no.",$C2202,"3 Posting Date",U$9,"4 Entry Type",$C$4,"2 Item No.","@@"&amp;$F2202)</t>
  </si>
  <si>
    <t>=-NL("Sum","32 Item Ledger Entry","12 Quantity","5 Source no.",$C2203,"3 Posting Date",U$9,"4 Entry Type",$C$4,"2 Item No.","@@"&amp;$F2203)</t>
  </si>
  <si>
    <t>=-NL("Sum","32 Item Ledger Entry","12 Quantity","5 Source no.",$C2204,"3 Posting Date",U$9,"4 Entry Type",$C$4,"2 Item No.","@@"&amp;$F2204)</t>
  </si>
  <si>
    <t>=-NL("Sum","32 Item Ledger Entry","12 Quantity","5 Source no.",$C2205,"3 Posting Date",U$9,"4 Entry Type",$C$4,"2 Item No.","@@"&amp;$F2205)</t>
  </si>
  <si>
    <t>=-NL("Sum","32 Item Ledger Entry","12 Quantity","5 Source no.",$C2206,"3 Posting Date",U$9,"4 Entry Type",$C$4,"2 Item No.","@@"&amp;$F2206)</t>
  </si>
  <si>
    <t>=-NL("Sum","32 Item Ledger Entry","12 Quantity","5 Source no.",$C2184,"3 Posting Date",Z$9,"4 Entry Type",$C$4,"2 Item No.","@@"&amp;$F2184)</t>
  </si>
  <si>
    <t>=-NL("Sum","32 Item Ledger Entry","12 Quantity","5 Source no.",$C2185,"3 Posting Date",Z$9,"4 Entry Type",$C$4,"2 Item No.","@@"&amp;$F2185)</t>
  </si>
  <si>
    <t>=-NL("Sum","32 Item Ledger Entry","12 Quantity","5 Source no.",$C2186,"3 Posting Date",Z$9,"4 Entry Type",$C$4,"2 Item No.","@@"&amp;$F2186)</t>
  </si>
  <si>
    <t>=-NL("Sum","32 Item Ledger Entry","12 Quantity","5 Source no.",$C2187,"3 Posting Date",Z$9,"4 Entry Type",$C$4,"2 Item No.","@@"&amp;$F2187)</t>
  </si>
  <si>
    <t>=-NL("Sum","32 Item Ledger Entry","12 Quantity","5 Source no.",$C2188,"3 Posting Date",Z$9,"4 Entry Type",$C$4,"2 Item No.","@@"&amp;$F2188)</t>
  </si>
  <si>
    <t>=-NL("Sum","32 Item Ledger Entry","12 Quantity","5 Source no.",$C2189,"3 Posting Date",Z$9,"4 Entry Type",$C$4,"2 Item No.","@@"&amp;$F2189)</t>
  </si>
  <si>
    <t>=-NL("Sum","32 Item Ledger Entry","12 Quantity","5 Source no.",$C2190,"3 Posting Date",Z$9,"4 Entry Type",$C$4,"2 Item No.","@@"&amp;$F2190)</t>
  </si>
  <si>
    <t>=-NL("Sum","32 Item Ledger Entry","12 Quantity","5 Source no.",$C2191,"3 Posting Date",Z$9,"4 Entry Type",$C$4,"2 Item No.","@@"&amp;$F2191)</t>
  </si>
  <si>
    <t>=-NL("Sum","32 Item Ledger Entry","12 Quantity","5 Source no.",$C2192,"3 Posting Date",Z$9,"4 Entry Type",$C$4,"2 Item No.","@@"&amp;$F2192)</t>
  </si>
  <si>
    <t>=-NL("Sum","32 Item Ledger Entry","12 Quantity","5 Source no.",$C2193,"3 Posting Date",Z$9,"4 Entry Type",$C$4,"2 Item No.","@@"&amp;$F2193)</t>
  </si>
  <si>
    <t>=-NL("Sum","32 Item Ledger Entry","12 Quantity","5 Source no.",$C2194,"3 Posting Date",Z$9,"4 Entry Type",$C$4,"2 Item No.","@@"&amp;$F2194)</t>
  </si>
  <si>
    <t>=-NL("Sum","32 Item Ledger Entry","12 Quantity","5 Source no.",$C2195,"3 Posting Date",Z$9,"4 Entry Type",$C$4,"2 Item No.","@@"&amp;$F2195)</t>
  </si>
  <si>
    <t>=-NL("Sum","32 Item Ledger Entry","12 Quantity","5 Source no.",$C2196,"3 Posting Date",Z$9,"4 Entry Type",$C$4,"2 Item No.","@@"&amp;$F2196)</t>
  </si>
  <si>
    <t>=-NL("Sum","32 Item Ledger Entry","12 Quantity","5 Source no.",$C2197,"3 Posting Date",Z$9,"4 Entry Type",$C$4,"2 Item No.","@@"&amp;$F2197)</t>
  </si>
  <si>
    <t>=-NL("Sum","32 Item Ledger Entry","12 Quantity","5 Source no.",$C2198,"3 Posting Date",Z$9,"4 Entry Type",$C$4,"2 Item No.","@@"&amp;$F2198)</t>
  </si>
  <si>
    <t>=-NL("Sum","32 Item Ledger Entry","12 Quantity","5 Source no.",$C2199,"3 Posting Date",Z$9,"4 Entry Type",$C$4,"2 Item No.","@@"&amp;$F2199)</t>
  </si>
  <si>
    <t>=-NL("Sum","32 Item Ledger Entry","12 Quantity","5 Source no.",$C2200,"3 Posting Date",Z$9,"4 Entry Type",$C$4,"2 Item No.","@@"&amp;$F2200)</t>
  </si>
  <si>
    <t>=-NL("Sum","32 Item Ledger Entry","12 Quantity","5 Source no.",$C2201,"3 Posting Date",Z$9,"4 Entry Type",$C$4,"2 Item No.","@@"&amp;$F2201)</t>
  </si>
  <si>
    <t>=-NL("Sum","32 Item Ledger Entry","12 Quantity","5 Source no.",$C2202,"3 Posting Date",Z$9,"4 Entry Type",$C$4,"2 Item No.","@@"&amp;$F2202)</t>
  </si>
  <si>
    <t>=-NL("Sum","32 Item Ledger Entry","12 Quantity","5 Source no.",$C2203,"3 Posting Date",Z$9,"4 Entry Type",$C$4,"2 Item No.","@@"&amp;$F2203)</t>
  </si>
  <si>
    <t>=-NL("Sum","32 Item Ledger Entry","12 Quantity","5 Source no.",$C2204,"3 Posting Date",Z$9,"4 Entry Type",$C$4,"2 Item No.","@@"&amp;$F2204)</t>
  </si>
  <si>
    <t>=-NL("Sum","32 Item Ledger Entry","12 Quantity","5 Source no.",$C2205,"3 Posting Date",Z$9,"4 Entry Type",$C$4,"2 Item No.","@@"&amp;$F2205)</t>
  </si>
  <si>
    <t>=-NL("Sum","32 Item Ledger Entry","12 Quantity","5 Source no.",$C2206,"3 Posting Date",Z$9,"4 Entry Type",$C$4,"2 Item No.","@@"&amp;$F2206)</t>
  </si>
  <si>
    <t>=NL(,"27 Item","3 Description","1 No.","@@"&amp;F2172)</t>
  </si>
  <si>
    <t>=NL(,"27 Item","3 Description","1 No.","@@"&amp;F2173)</t>
  </si>
  <si>
    <t>=NL(,"27 Item","3 Description","1 No.","@@"&amp;F2174)</t>
  </si>
  <si>
    <t>=NL(,"27 Item","3 Description","1 No.","@@"&amp;F2175)</t>
  </si>
  <si>
    <t>=NL(,"27 Item","3 Description","1 No.","@@"&amp;F2176)</t>
  </si>
  <si>
    <t>=NL(,"27 Item","3 Description","1 No.","@@"&amp;F2177)</t>
  </si>
  <si>
    <t>=NL(,"27 Item","3 Description","1 No.","@@"&amp;F2178)</t>
  </si>
  <si>
    <t>=-NL("Sum","32 Item Ledger Entry","12 Quantity","5 Source no.",$C2172,"3 Posting Date",J$9,"4 Entry Type",$C$4,"2 Item No.","@@"&amp;$F2172)</t>
  </si>
  <si>
    <t>=-NL("Sum","32 Item Ledger Entry","12 Quantity","5 Source no.",$C2173,"3 Posting Date",J$9,"4 Entry Type",$C$4,"2 Item No.","@@"&amp;$F2173)</t>
  </si>
  <si>
    <t>=-NL("Sum","32 Item Ledger Entry","12 Quantity","5 Source no.",$C2174,"3 Posting Date",J$9,"4 Entry Type",$C$4,"2 Item No.","@@"&amp;$F2174)</t>
  </si>
  <si>
    <t>=-NL("Sum","32 Item Ledger Entry","12 Quantity","5 Source no.",$C2175,"3 Posting Date",J$9,"4 Entry Type",$C$4,"2 Item No.","@@"&amp;$F2175)</t>
  </si>
  <si>
    <t>=-NL("Sum","32 Item Ledger Entry","12 Quantity","5 Source no.",$C2176,"3 Posting Date",J$9,"4 Entry Type",$C$4,"2 Item No.","@@"&amp;$F2176)</t>
  </si>
  <si>
    <t>=-NL("Sum","32 Item Ledger Entry","12 Quantity","5 Source no.",$C2177,"3 Posting Date",J$9,"4 Entry Type",$C$4,"2 Item No.","@@"&amp;$F2177)</t>
  </si>
  <si>
    <t>=-NL("Sum","32 Item Ledger Entry","12 Quantity","5 Source no.",$C2178,"3 Posting Date",J$9,"4 Entry Type",$C$4,"2 Item No.","@@"&amp;$F2178)</t>
  </si>
  <si>
    <t>=-NL("Sum","32 Item Ledger Entry","12 Quantity","5 Source no.",$C2172,"3 Posting Date",O$9,"4 Entry Type",$C$4,"2 Item No.","@@"&amp;$F2172)</t>
  </si>
  <si>
    <t>=-NL("Sum","32 Item Ledger Entry","12 Quantity","5 Source no.",$C2173,"3 Posting Date",O$9,"4 Entry Type",$C$4,"2 Item No.","@@"&amp;$F2173)</t>
  </si>
  <si>
    <t>=-NL("Sum","32 Item Ledger Entry","12 Quantity","5 Source no.",$C2174,"3 Posting Date",O$9,"4 Entry Type",$C$4,"2 Item No.","@@"&amp;$F2174)</t>
  </si>
  <si>
    <t>=-NL("Sum","32 Item Ledger Entry","12 Quantity","5 Source no.",$C2175,"3 Posting Date",O$9,"4 Entry Type",$C$4,"2 Item No.","@@"&amp;$F2175)</t>
  </si>
  <si>
    <t>=-NL("Sum","32 Item Ledger Entry","12 Quantity","5 Source no.",$C2176,"3 Posting Date",O$9,"4 Entry Type",$C$4,"2 Item No.","@@"&amp;$F2176)</t>
  </si>
  <si>
    <t>=-NL("Sum","32 Item Ledger Entry","12 Quantity","5 Source no.",$C2177,"3 Posting Date",O$9,"4 Entry Type",$C$4,"2 Item No.","@@"&amp;$F2177)</t>
  </si>
  <si>
    <t>=-NL("Sum","32 Item Ledger Entry","12 Quantity","5 Source no.",$C2178,"3 Posting Date",O$9,"4 Entry Type",$C$4,"2 Item No.","@@"&amp;$F2178)</t>
  </si>
  <si>
    <t>=-NL("Sum","32 Item Ledger Entry","12 Quantity","5 Source no.",$C2172,"3 Posting Date",U$9,"4 Entry Type",$C$4,"2 Item No.","@@"&amp;$F2172)</t>
  </si>
  <si>
    <t>=-NL("Sum","32 Item Ledger Entry","12 Quantity","5 Source no.",$C2173,"3 Posting Date",U$9,"4 Entry Type",$C$4,"2 Item No.","@@"&amp;$F2173)</t>
  </si>
  <si>
    <t>=-NL("Sum","32 Item Ledger Entry","12 Quantity","5 Source no.",$C2174,"3 Posting Date",U$9,"4 Entry Type",$C$4,"2 Item No.","@@"&amp;$F2174)</t>
  </si>
  <si>
    <t>=-NL("Sum","32 Item Ledger Entry","12 Quantity","5 Source no.",$C2175,"3 Posting Date",U$9,"4 Entry Type",$C$4,"2 Item No.","@@"&amp;$F2175)</t>
  </si>
  <si>
    <t>=-NL("Sum","32 Item Ledger Entry","12 Quantity","5 Source no.",$C2176,"3 Posting Date",U$9,"4 Entry Type",$C$4,"2 Item No.","@@"&amp;$F2176)</t>
  </si>
  <si>
    <t>=-NL("Sum","32 Item Ledger Entry","12 Quantity","5 Source no.",$C2177,"3 Posting Date",U$9,"4 Entry Type",$C$4,"2 Item No.","@@"&amp;$F2177)</t>
  </si>
  <si>
    <t>=-NL("Sum","32 Item Ledger Entry","12 Quantity","5 Source no.",$C2178,"3 Posting Date",U$9,"4 Entry Type",$C$4,"2 Item No.","@@"&amp;$F2178)</t>
  </si>
  <si>
    <t>=-NL("Sum","32 Item Ledger Entry","12 Quantity","5 Source no.",$C2172,"3 Posting Date",Z$9,"4 Entry Type",$C$4,"2 Item No.","@@"&amp;$F2172)</t>
  </si>
  <si>
    <t>=-NL("Sum","32 Item Ledger Entry","12 Quantity","5 Source no.",$C2173,"3 Posting Date",Z$9,"4 Entry Type",$C$4,"2 Item No.","@@"&amp;$F2173)</t>
  </si>
  <si>
    <t>=-NL("Sum","32 Item Ledger Entry","12 Quantity","5 Source no.",$C2174,"3 Posting Date",Z$9,"4 Entry Type",$C$4,"2 Item No.","@@"&amp;$F2174)</t>
  </si>
  <si>
    <t>=-NL("Sum","32 Item Ledger Entry","12 Quantity","5 Source no.",$C2175,"3 Posting Date",Z$9,"4 Entry Type",$C$4,"2 Item No.","@@"&amp;$F2175)</t>
  </si>
  <si>
    <t>=-NL("Sum","32 Item Ledger Entry","12 Quantity","5 Source no.",$C2176,"3 Posting Date",Z$9,"4 Entry Type",$C$4,"2 Item No.","@@"&amp;$F2176)</t>
  </si>
  <si>
    <t>=-NL("Sum","32 Item Ledger Entry","12 Quantity","5 Source no.",$C2177,"3 Posting Date",Z$9,"4 Entry Type",$C$4,"2 Item No.","@@"&amp;$F2177)</t>
  </si>
  <si>
    <t>=-NL("Sum","32 Item Ledger Entry","12 Quantity","5 Source no.",$C2178,"3 Posting Date",Z$9,"4 Entry Type",$C$4,"2 Item No.","@@"&amp;$F2178)</t>
  </si>
  <si>
    <t>=NL(,"27 Item","3 Description","1 No.","@@"&amp;F2135)</t>
  </si>
  <si>
    <t>=NL(,"27 Item","3 Description","1 No.","@@"&amp;F2136)</t>
  </si>
  <si>
    <t>=NL(,"27 Item","3 Description","1 No.","@@"&amp;F2137)</t>
  </si>
  <si>
    <t>=NL(,"27 Item","3 Description","1 No.","@@"&amp;F2138)</t>
  </si>
  <si>
    <t>=NL(,"27 Item","3 Description","1 No.","@@"&amp;F2139)</t>
  </si>
  <si>
    <t>=NL(,"27 Item","3 Description","1 No.","@@"&amp;F2140)</t>
  </si>
  <si>
    <t>=NL(,"27 Item","3 Description","1 No.","@@"&amp;F2141)</t>
  </si>
  <si>
    <t>=NL(,"27 Item","3 Description","1 No.","@@"&amp;F2142)</t>
  </si>
  <si>
    <t>=NL(,"27 Item","3 Description","1 No.","@@"&amp;F2143)</t>
  </si>
  <si>
    <t>=NL(,"27 Item","3 Description","1 No.","@@"&amp;F2144)</t>
  </si>
  <si>
    <t>=NL(,"27 Item","3 Description","1 No.","@@"&amp;F2145)</t>
  </si>
  <si>
    <t>=NL(,"27 Item","3 Description","1 No.","@@"&amp;F2146)</t>
  </si>
  <si>
    <t>=NL(,"27 Item","3 Description","1 No.","@@"&amp;F2147)</t>
  </si>
  <si>
    <t>=NL(,"27 Item","3 Description","1 No.","@@"&amp;F2148)</t>
  </si>
  <si>
    <t>=NL(,"27 Item","3 Description","1 No.","@@"&amp;F2149)</t>
  </si>
  <si>
    <t>=NL(,"27 Item","3 Description","1 No.","@@"&amp;F2150)</t>
  </si>
  <si>
    <t>=NL(,"27 Item","3 Description","1 No.","@@"&amp;F2151)</t>
  </si>
  <si>
    <t>=NL(,"27 Item","3 Description","1 No.","@@"&amp;F2152)</t>
  </si>
  <si>
    <t>=NL(,"27 Item","3 Description","1 No.","@@"&amp;F2153)</t>
  </si>
  <si>
    <t>=NL(,"27 Item","3 Description","1 No.","@@"&amp;F2154)</t>
  </si>
  <si>
    <t>=NL(,"27 Item","3 Description","1 No.","@@"&amp;F2155)</t>
  </si>
  <si>
    <t>=NL(,"27 Item","3 Description","1 No.","@@"&amp;F2156)</t>
  </si>
  <si>
    <t>=NL(,"27 Item","3 Description","1 No.","@@"&amp;F2157)</t>
  </si>
  <si>
    <t>=NL(,"27 Item","3 Description","1 No.","@@"&amp;F2158)</t>
  </si>
  <si>
    <t>=NL(,"27 Item","3 Description","1 No.","@@"&amp;F2159)</t>
  </si>
  <si>
    <t>=NL(,"27 Item","3 Description","1 No.","@@"&amp;F2160)</t>
  </si>
  <si>
    <t>=NL(,"27 Item","3 Description","1 No.","@@"&amp;F2161)</t>
  </si>
  <si>
    <t>=NL(,"27 Item","3 Description","1 No.","@@"&amp;F2162)</t>
  </si>
  <si>
    <t>=NL(,"27 Item","3 Description","1 No.","@@"&amp;F2163)</t>
  </si>
  <si>
    <t>=NL(,"27 Item","3 Description","1 No.","@@"&amp;F2164)</t>
  </si>
  <si>
    <t>=NL(,"27 Item","3 Description","1 No.","@@"&amp;F2165)</t>
  </si>
  <si>
    <t>=NL(,"27 Item","3 Description","1 No.","@@"&amp;F2166)</t>
  </si>
  <si>
    <t>=-NL("Sum","32 Item Ledger Entry","12 Quantity","5 Source no.",$C2135,"3 Posting Date",J$9,"4 Entry Type",$C$4,"2 Item No.","@@"&amp;$F2135)</t>
  </si>
  <si>
    <t>=-NL("Sum","32 Item Ledger Entry","12 Quantity","5 Source no.",$C2136,"3 Posting Date",J$9,"4 Entry Type",$C$4,"2 Item No.","@@"&amp;$F2136)</t>
  </si>
  <si>
    <t>=-NL("Sum","32 Item Ledger Entry","12 Quantity","5 Source no.",$C2137,"3 Posting Date",J$9,"4 Entry Type",$C$4,"2 Item No.","@@"&amp;$F2137)</t>
  </si>
  <si>
    <t>=-NL("Sum","32 Item Ledger Entry","12 Quantity","5 Source no.",$C2138,"3 Posting Date",J$9,"4 Entry Type",$C$4,"2 Item No.","@@"&amp;$F2138)</t>
  </si>
  <si>
    <t>=-NL("Sum","32 Item Ledger Entry","12 Quantity","5 Source no.",$C2139,"3 Posting Date",J$9,"4 Entry Type",$C$4,"2 Item No.","@@"&amp;$F2139)</t>
  </si>
  <si>
    <t>=-NL("Sum","32 Item Ledger Entry","12 Quantity","5 Source no.",$C2140,"3 Posting Date",J$9,"4 Entry Type",$C$4,"2 Item No.","@@"&amp;$F2140)</t>
  </si>
  <si>
    <t>=-NL("Sum","32 Item Ledger Entry","12 Quantity","5 Source no.",$C2141,"3 Posting Date",J$9,"4 Entry Type",$C$4,"2 Item No.","@@"&amp;$F2141)</t>
  </si>
  <si>
    <t>=-NL("Sum","32 Item Ledger Entry","12 Quantity","5 Source no.",$C2142,"3 Posting Date",J$9,"4 Entry Type",$C$4,"2 Item No.","@@"&amp;$F2142)</t>
  </si>
  <si>
    <t>=-NL("Sum","32 Item Ledger Entry","12 Quantity","5 Source no.",$C2143,"3 Posting Date",J$9,"4 Entry Type",$C$4,"2 Item No.","@@"&amp;$F2143)</t>
  </si>
  <si>
    <t>=-NL("Sum","32 Item Ledger Entry","12 Quantity","5 Source no.",$C2144,"3 Posting Date",J$9,"4 Entry Type",$C$4,"2 Item No.","@@"&amp;$F2144)</t>
  </si>
  <si>
    <t>=-NL("Sum","32 Item Ledger Entry","12 Quantity","5 Source no.",$C2145,"3 Posting Date",J$9,"4 Entry Type",$C$4,"2 Item No.","@@"&amp;$F2145)</t>
  </si>
  <si>
    <t>=-NL("Sum","32 Item Ledger Entry","12 Quantity","5 Source no.",$C2146,"3 Posting Date",J$9,"4 Entry Type",$C$4,"2 Item No.","@@"&amp;$F2146)</t>
  </si>
  <si>
    <t>=-NL("Sum","32 Item Ledger Entry","12 Quantity","5 Source no.",$C2147,"3 Posting Date",J$9,"4 Entry Type",$C$4,"2 Item No.","@@"&amp;$F2147)</t>
  </si>
  <si>
    <t>=-NL("Sum","32 Item Ledger Entry","12 Quantity","5 Source no.",$C2148,"3 Posting Date",J$9,"4 Entry Type",$C$4,"2 Item No.","@@"&amp;$F2148)</t>
  </si>
  <si>
    <t>=-NL("Sum","32 Item Ledger Entry","12 Quantity","5 Source no.",$C2149,"3 Posting Date",J$9,"4 Entry Type",$C$4,"2 Item No.","@@"&amp;$F2149)</t>
  </si>
  <si>
    <t>=-NL("Sum","32 Item Ledger Entry","12 Quantity","5 Source no.",$C2150,"3 Posting Date",J$9,"4 Entry Type",$C$4,"2 Item No.","@@"&amp;$F2150)</t>
  </si>
  <si>
    <t>=-NL("Sum","32 Item Ledger Entry","12 Quantity","5 Source no.",$C2151,"3 Posting Date",J$9,"4 Entry Type",$C$4,"2 Item No.","@@"&amp;$F2151)</t>
  </si>
  <si>
    <t>=-NL("Sum","32 Item Ledger Entry","12 Quantity","5 Source no.",$C2152,"3 Posting Date",J$9,"4 Entry Type",$C$4,"2 Item No.","@@"&amp;$F2152)</t>
  </si>
  <si>
    <t>=-NL("Sum","32 Item Ledger Entry","12 Quantity","5 Source no.",$C2153,"3 Posting Date",J$9,"4 Entry Type",$C$4,"2 Item No.","@@"&amp;$F2153)</t>
  </si>
  <si>
    <t>=-NL("Sum","32 Item Ledger Entry","12 Quantity","5 Source no.",$C2154,"3 Posting Date",J$9,"4 Entry Type",$C$4,"2 Item No.","@@"&amp;$F2154)</t>
  </si>
  <si>
    <t>=-NL("Sum","32 Item Ledger Entry","12 Quantity","5 Source no.",$C2155,"3 Posting Date",J$9,"4 Entry Type",$C$4,"2 Item No.","@@"&amp;$F2155)</t>
  </si>
  <si>
    <t>=-NL("Sum","32 Item Ledger Entry","12 Quantity","5 Source no.",$C2156,"3 Posting Date",J$9,"4 Entry Type",$C$4,"2 Item No.","@@"&amp;$F2156)</t>
  </si>
  <si>
    <t>=-NL("Sum","32 Item Ledger Entry","12 Quantity","5 Source no.",$C2157,"3 Posting Date",J$9,"4 Entry Type",$C$4,"2 Item No.","@@"&amp;$F2157)</t>
  </si>
  <si>
    <t>=-NL("Sum","32 Item Ledger Entry","12 Quantity","5 Source no.",$C2158,"3 Posting Date",J$9,"4 Entry Type",$C$4,"2 Item No.","@@"&amp;$F2158)</t>
  </si>
  <si>
    <t>=-NL("Sum","32 Item Ledger Entry","12 Quantity","5 Source no.",$C2159,"3 Posting Date",J$9,"4 Entry Type",$C$4,"2 Item No.","@@"&amp;$F2159)</t>
  </si>
  <si>
    <t>=-NL("Sum","32 Item Ledger Entry","12 Quantity","5 Source no.",$C2160,"3 Posting Date",J$9,"4 Entry Type",$C$4,"2 Item No.","@@"&amp;$F2160)</t>
  </si>
  <si>
    <t>=-NL("Sum","32 Item Ledger Entry","12 Quantity","5 Source no.",$C2161,"3 Posting Date",J$9,"4 Entry Type",$C$4,"2 Item No.","@@"&amp;$F2161)</t>
  </si>
  <si>
    <t>=-NL("Sum","32 Item Ledger Entry","12 Quantity","5 Source no.",$C2162,"3 Posting Date",J$9,"4 Entry Type",$C$4,"2 Item No.","@@"&amp;$F2162)</t>
  </si>
  <si>
    <t>=-NL("Sum","32 Item Ledger Entry","12 Quantity","5 Source no.",$C2163,"3 Posting Date",J$9,"4 Entry Type",$C$4,"2 Item No.","@@"&amp;$F2163)</t>
  </si>
  <si>
    <t>=-NL("Sum","32 Item Ledger Entry","12 Quantity","5 Source no.",$C2164,"3 Posting Date",J$9,"4 Entry Type",$C$4,"2 Item No.","@@"&amp;$F2164)</t>
  </si>
  <si>
    <t>=-NL("Sum","32 Item Ledger Entry","12 Quantity","5 Source no.",$C2165,"3 Posting Date",J$9,"4 Entry Type",$C$4,"2 Item No.","@@"&amp;$F2165)</t>
  </si>
  <si>
    <t>=-NL("Sum","32 Item Ledger Entry","12 Quantity","5 Source no.",$C2166,"3 Posting Date",J$9,"4 Entry Type",$C$4,"2 Item No.","@@"&amp;$F2166)</t>
  </si>
  <si>
    <t>=-NL("Sum","32 Item Ledger Entry","12 Quantity","5 Source no.",$C2135,"3 Posting Date",O$9,"4 Entry Type",$C$4,"2 Item No.","@@"&amp;$F2135)</t>
  </si>
  <si>
    <t>=-NL("Sum","32 Item Ledger Entry","12 Quantity","5 Source no.",$C2136,"3 Posting Date",O$9,"4 Entry Type",$C$4,"2 Item No.","@@"&amp;$F2136)</t>
  </si>
  <si>
    <t>=-NL("Sum","32 Item Ledger Entry","12 Quantity","5 Source no.",$C2137,"3 Posting Date",O$9,"4 Entry Type",$C$4,"2 Item No.","@@"&amp;$F2137)</t>
  </si>
  <si>
    <t>=-NL("Sum","32 Item Ledger Entry","12 Quantity","5 Source no.",$C2138,"3 Posting Date",O$9,"4 Entry Type",$C$4,"2 Item No.","@@"&amp;$F2138)</t>
  </si>
  <si>
    <t>=-NL("Sum","32 Item Ledger Entry","12 Quantity","5 Source no.",$C2139,"3 Posting Date",O$9,"4 Entry Type",$C$4,"2 Item No.","@@"&amp;$F2139)</t>
  </si>
  <si>
    <t>=-NL("Sum","32 Item Ledger Entry","12 Quantity","5 Source no.",$C2140,"3 Posting Date",O$9,"4 Entry Type",$C$4,"2 Item No.","@@"&amp;$F2140)</t>
  </si>
  <si>
    <t>=-NL("Sum","32 Item Ledger Entry","12 Quantity","5 Source no.",$C2141,"3 Posting Date",O$9,"4 Entry Type",$C$4,"2 Item No.","@@"&amp;$F2141)</t>
  </si>
  <si>
    <t>=-NL("Sum","32 Item Ledger Entry","12 Quantity","5 Source no.",$C2142,"3 Posting Date",O$9,"4 Entry Type",$C$4,"2 Item No.","@@"&amp;$F2142)</t>
  </si>
  <si>
    <t>=-NL("Sum","32 Item Ledger Entry","12 Quantity","5 Source no.",$C2143,"3 Posting Date",O$9,"4 Entry Type",$C$4,"2 Item No.","@@"&amp;$F2143)</t>
  </si>
  <si>
    <t>=-NL("Sum","32 Item Ledger Entry","12 Quantity","5 Source no.",$C2144,"3 Posting Date",O$9,"4 Entry Type",$C$4,"2 Item No.","@@"&amp;$F2144)</t>
  </si>
  <si>
    <t>=-NL("Sum","32 Item Ledger Entry","12 Quantity","5 Source no.",$C2145,"3 Posting Date",O$9,"4 Entry Type",$C$4,"2 Item No.","@@"&amp;$F2145)</t>
  </si>
  <si>
    <t>=-NL("Sum","32 Item Ledger Entry","12 Quantity","5 Source no.",$C2146,"3 Posting Date",O$9,"4 Entry Type",$C$4,"2 Item No.","@@"&amp;$F2146)</t>
  </si>
  <si>
    <t>=-NL("Sum","32 Item Ledger Entry","12 Quantity","5 Source no.",$C2147,"3 Posting Date",O$9,"4 Entry Type",$C$4,"2 Item No.","@@"&amp;$F2147)</t>
  </si>
  <si>
    <t>=-NL("Sum","32 Item Ledger Entry","12 Quantity","5 Source no.",$C2148,"3 Posting Date",O$9,"4 Entry Type",$C$4,"2 Item No.","@@"&amp;$F2148)</t>
  </si>
  <si>
    <t>=-NL("Sum","32 Item Ledger Entry","12 Quantity","5 Source no.",$C2149,"3 Posting Date",O$9,"4 Entry Type",$C$4,"2 Item No.","@@"&amp;$F2149)</t>
  </si>
  <si>
    <t>=-NL("Sum","32 Item Ledger Entry","12 Quantity","5 Source no.",$C2150,"3 Posting Date",O$9,"4 Entry Type",$C$4,"2 Item No.","@@"&amp;$F2150)</t>
  </si>
  <si>
    <t>=-NL("Sum","32 Item Ledger Entry","12 Quantity","5 Source no.",$C2151,"3 Posting Date",O$9,"4 Entry Type",$C$4,"2 Item No.","@@"&amp;$F2151)</t>
  </si>
  <si>
    <t>=-NL("Sum","32 Item Ledger Entry","12 Quantity","5 Source no.",$C2152,"3 Posting Date",O$9,"4 Entry Type",$C$4,"2 Item No.","@@"&amp;$F2152)</t>
  </si>
  <si>
    <t>=-NL("Sum","32 Item Ledger Entry","12 Quantity","5 Source no.",$C2153,"3 Posting Date",O$9,"4 Entry Type",$C$4,"2 Item No.","@@"&amp;$F2153)</t>
  </si>
  <si>
    <t>=-NL("Sum","32 Item Ledger Entry","12 Quantity","5 Source no.",$C2154,"3 Posting Date",O$9,"4 Entry Type",$C$4,"2 Item No.","@@"&amp;$F2154)</t>
  </si>
  <si>
    <t>=-NL("Sum","32 Item Ledger Entry","12 Quantity","5 Source no.",$C2155,"3 Posting Date",O$9,"4 Entry Type",$C$4,"2 Item No.","@@"&amp;$F2155)</t>
  </si>
  <si>
    <t>=-NL("Sum","32 Item Ledger Entry","12 Quantity","5 Source no.",$C2156,"3 Posting Date",O$9,"4 Entry Type",$C$4,"2 Item No.","@@"&amp;$F2156)</t>
  </si>
  <si>
    <t>=-NL("Sum","32 Item Ledger Entry","12 Quantity","5 Source no.",$C2157,"3 Posting Date",O$9,"4 Entry Type",$C$4,"2 Item No.","@@"&amp;$F2157)</t>
  </si>
  <si>
    <t>=-NL("Sum","32 Item Ledger Entry","12 Quantity","5 Source no.",$C2158,"3 Posting Date",O$9,"4 Entry Type",$C$4,"2 Item No.","@@"&amp;$F2158)</t>
  </si>
  <si>
    <t>=-NL("Sum","32 Item Ledger Entry","12 Quantity","5 Source no.",$C2159,"3 Posting Date",O$9,"4 Entry Type",$C$4,"2 Item No.","@@"&amp;$F2159)</t>
  </si>
  <si>
    <t>=-NL("Sum","32 Item Ledger Entry","12 Quantity","5 Source no.",$C2160,"3 Posting Date",O$9,"4 Entry Type",$C$4,"2 Item No.","@@"&amp;$F2160)</t>
  </si>
  <si>
    <t>=-NL("Sum","32 Item Ledger Entry","12 Quantity","5 Source no.",$C2161,"3 Posting Date",O$9,"4 Entry Type",$C$4,"2 Item No.","@@"&amp;$F2161)</t>
  </si>
  <si>
    <t>=-NL("Sum","32 Item Ledger Entry","12 Quantity","5 Source no.",$C2162,"3 Posting Date",O$9,"4 Entry Type",$C$4,"2 Item No.","@@"&amp;$F2162)</t>
  </si>
  <si>
    <t>=-NL("Sum","32 Item Ledger Entry","12 Quantity","5 Source no.",$C2163,"3 Posting Date",O$9,"4 Entry Type",$C$4,"2 Item No.","@@"&amp;$F2163)</t>
  </si>
  <si>
    <t>=-NL("Sum","32 Item Ledger Entry","12 Quantity","5 Source no.",$C2164,"3 Posting Date",O$9,"4 Entry Type",$C$4,"2 Item No.","@@"&amp;$F2164)</t>
  </si>
  <si>
    <t>=-NL("Sum","32 Item Ledger Entry","12 Quantity","5 Source no.",$C2165,"3 Posting Date",O$9,"4 Entry Type",$C$4,"2 Item No.","@@"&amp;$F2165)</t>
  </si>
  <si>
    <t>=-NL("Sum","32 Item Ledger Entry","12 Quantity","5 Source no.",$C2166,"3 Posting Date",O$9,"4 Entry Type",$C$4,"2 Item No.","@@"&amp;$F2166)</t>
  </si>
  <si>
    <t>=-NL("Sum","32 Item Ledger Entry","12 Quantity","5 Source no.",$C2135,"3 Posting Date",U$9,"4 Entry Type",$C$4,"2 Item No.","@@"&amp;$F2135)</t>
  </si>
  <si>
    <t>=-NL("Sum","32 Item Ledger Entry","12 Quantity","5 Source no.",$C2136,"3 Posting Date",U$9,"4 Entry Type",$C$4,"2 Item No.","@@"&amp;$F2136)</t>
  </si>
  <si>
    <t>=-NL("Sum","32 Item Ledger Entry","12 Quantity","5 Source no.",$C2137,"3 Posting Date",U$9,"4 Entry Type",$C$4,"2 Item No.","@@"&amp;$F2137)</t>
  </si>
  <si>
    <t>=-NL("Sum","32 Item Ledger Entry","12 Quantity","5 Source no.",$C2138,"3 Posting Date",U$9,"4 Entry Type",$C$4,"2 Item No.","@@"&amp;$F2138)</t>
  </si>
  <si>
    <t>=-NL("Sum","32 Item Ledger Entry","12 Quantity","5 Source no.",$C2139,"3 Posting Date",U$9,"4 Entry Type",$C$4,"2 Item No.","@@"&amp;$F2139)</t>
  </si>
  <si>
    <t>=-NL("Sum","32 Item Ledger Entry","12 Quantity","5 Source no.",$C2140,"3 Posting Date",U$9,"4 Entry Type",$C$4,"2 Item No.","@@"&amp;$F2140)</t>
  </si>
  <si>
    <t>=-NL("Sum","32 Item Ledger Entry","12 Quantity","5 Source no.",$C2141,"3 Posting Date",U$9,"4 Entry Type",$C$4,"2 Item No.","@@"&amp;$F2141)</t>
  </si>
  <si>
    <t>=-NL("Sum","32 Item Ledger Entry","12 Quantity","5 Source no.",$C2142,"3 Posting Date",U$9,"4 Entry Type",$C$4,"2 Item No.","@@"&amp;$F2142)</t>
  </si>
  <si>
    <t>=-NL("Sum","32 Item Ledger Entry","12 Quantity","5 Source no.",$C2143,"3 Posting Date",U$9,"4 Entry Type",$C$4,"2 Item No.","@@"&amp;$F2143)</t>
  </si>
  <si>
    <t>=-NL("Sum","32 Item Ledger Entry","12 Quantity","5 Source no.",$C2144,"3 Posting Date",U$9,"4 Entry Type",$C$4,"2 Item No.","@@"&amp;$F2144)</t>
  </si>
  <si>
    <t>=-NL("Sum","32 Item Ledger Entry","12 Quantity","5 Source no.",$C2145,"3 Posting Date",U$9,"4 Entry Type",$C$4,"2 Item No.","@@"&amp;$F2145)</t>
  </si>
  <si>
    <t>=-NL("Sum","32 Item Ledger Entry","12 Quantity","5 Source no.",$C2146,"3 Posting Date",U$9,"4 Entry Type",$C$4,"2 Item No.","@@"&amp;$F2146)</t>
  </si>
  <si>
    <t>=-NL("Sum","32 Item Ledger Entry","12 Quantity","5 Source no.",$C2147,"3 Posting Date",U$9,"4 Entry Type",$C$4,"2 Item No.","@@"&amp;$F2147)</t>
  </si>
  <si>
    <t>=-NL("Sum","32 Item Ledger Entry","12 Quantity","5 Source no.",$C2148,"3 Posting Date",U$9,"4 Entry Type",$C$4,"2 Item No.","@@"&amp;$F2148)</t>
  </si>
  <si>
    <t>=-NL("Sum","32 Item Ledger Entry","12 Quantity","5 Source no.",$C2149,"3 Posting Date",U$9,"4 Entry Type",$C$4,"2 Item No.","@@"&amp;$F2149)</t>
  </si>
  <si>
    <t>=-NL("Sum","32 Item Ledger Entry","12 Quantity","5 Source no.",$C2150,"3 Posting Date",U$9,"4 Entry Type",$C$4,"2 Item No.","@@"&amp;$F2150)</t>
  </si>
  <si>
    <t>=-NL("Sum","32 Item Ledger Entry","12 Quantity","5 Source no.",$C2151,"3 Posting Date",U$9,"4 Entry Type",$C$4,"2 Item No.","@@"&amp;$F2151)</t>
  </si>
  <si>
    <t>=-NL("Sum","32 Item Ledger Entry","12 Quantity","5 Source no.",$C2152,"3 Posting Date",U$9,"4 Entry Type",$C$4,"2 Item No.","@@"&amp;$F2152)</t>
  </si>
  <si>
    <t>=-NL("Sum","32 Item Ledger Entry","12 Quantity","5 Source no.",$C2153,"3 Posting Date",U$9,"4 Entry Type",$C$4,"2 Item No.","@@"&amp;$F2153)</t>
  </si>
  <si>
    <t>=-NL("Sum","32 Item Ledger Entry","12 Quantity","5 Source no.",$C2154,"3 Posting Date",U$9,"4 Entry Type",$C$4,"2 Item No.","@@"&amp;$F2154)</t>
  </si>
  <si>
    <t>=-NL("Sum","32 Item Ledger Entry","12 Quantity","5 Source no.",$C2155,"3 Posting Date",U$9,"4 Entry Type",$C$4,"2 Item No.","@@"&amp;$F2155)</t>
  </si>
  <si>
    <t>=-NL("Sum","32 Item Ledger Entry","12 Quantity","5 Source no.",$C2156,"3 Posting Date",U$9,"4 Entry Type",$C$4,"2 Item No.","@@"&amp;$F2156)</t>
  </si>
  <si>
    <t>=-NL("Sum","32 Item Ledger Entry","12 Quantity","5 Source no.",$C2157,"3 Posting Date",U$9,"4 Entry Type",$C$4,"2 Item No.","@@"&amp;$F2157)</t>
  </si>
  <si>
    <t>=-NL("Sum","32 Item Ledger Entry","12 Quantity","5 Source no.",$C2158,"3 Posting Date",U$9,"4 Entry Type",$C$4,"2 Item No.","@@"&amp;$F2158)</t>
  </si>
  <si>
    <t>=-NL("Sum","32 Item Ledger Entry","12 Quantity","5 Source no.",$C2159,"3 Posting Date",U$9,"4 Entry Type",$C$4,"2 Item No.","@@"&amp;$F2159)</t>
  </si>
  <si>
    <t>=-NL("Sum","32 Item Ledger Entry","12 Quantity","5 Source no.",$C2160,"3 Posting Date",U$9,"4 Entry Type",$C$4,"2 Item No.","@@"&amp;$F2160)</t>
  </si>
  <si>
    <t>=-NL("Sum","32 Item Ledger Entry","12 Quantity","5 Source no.",$C2161,"3 Posting Date",U$9,"4 Entry Type",$C$4,"2 Item No.","@@"&amp;$F2161)</t>
  </si>
  <si>
    <t>=-NL("Sum","32 Item Ledger Entry","12 Quantity","5 Source no.",$C2162,"3 Posting Date",U$9,"4 Entry Type",$C$4,"2 Item No.","@@"&amp;$F2162)</t>
  </si>
  <si>
    <t>=-NL("Sum","32 Item Ledger Entry","12 Quantity","5 Source no.",$C2163,"3 Posting Date",U$9,"4 Entry Type",$C$4,"2 Item No.","@@"&amp;$F2163)</t>
  </si>
  <si>
    <t>=-NL("Sum","32 Item Ledger Entry","12 Quantity","5 Source no.",$C2164,"3 Posting Date",U$9,"4 Entry Type",$C$4,"2 Item No.","@@"&amp;$F2164)</t>
  </si>
  <si>
    <t>=-NL("Sum","32 Item Ledger Entry","12 Quantity","5 Source no.",$C2165,"3 Posting Date",U$9,"4 Entry Type",$C$4,"2 Item No.","@@"&amp;$F2165)</t>
  </si>
  <si>
    <t>=-NL("Sum","32 Item Ledger Entry","12 Quantity","5 Source no.",$C2166,"3 Posting Date",U$9,"4 Entry Type",$C$4,"2 Item No.","@@"&amp;$F2166)</t>
  </si>
  <si>
    <t>=-NL("Sum","32 Item Ledger Entry","12 Quantity","5 Source no.",$C2135,"3 Posting Date",Z$9,"4 Entry Type",$C$4,"2 Item No.","@@"&amp;$F2135)</t>
  </si>
  <si>
    <t>=-NL("Sum","32 Item Ledger Entry","12 Quantity","5 Source no.",$C2136,"3 Posting Date",Z$9,"4 Entry Type",$C$4,"2 Item No.","@@"&amp;$F2136)</t>
  </si>
  <si>
    <t>=-NL("Sum","32 Item Ledger Entry","12 Quantity","5 Source no.",$C2137,"3 Posting Date",Z$9,"4 Entry Type",$C$4,"2 Item No.","@@"&amp;$F2137)</t>
  </si>
  <si>
    <t>=-NL("Sum","32 Item Ledger Entry","12 Quantity","5 Source no.",$C2138,"3 Posting Date",Z$9,"4 Entry Type",$C$4,"2 Item No.","@@"&amp;$F2138)</t>
  </si>
  <si>
    <t>=-NL("Sum","32 Item Ledger Entry","12 Quantity","5 Source no.",$C2139,"3 Posting Date",Z$9,"4 Entry Type",$C$4,"2 Item No.","@@"&amp;$F2139)</t>
  </si>
  <si>
    <t>=-NL("Sum","32 Item Ledger Entry","12 Quantity","5 Source no.",$C2140,"3 Posting Date",Z$9,"4 Entry Type",$C$4,"2 Item No.","@@"&amp;$F2140)</t>
  </si>
  <si>
    <t>=-NL("Sum","32 Item Ledger Entry","12 Quantity","5 Source no.",$C2141,"3 Posting Date",Z$9,"4 Entry Type",$C$4,"2 Item No.","@@"&amp;$F2141)</t>
  </si>
  <si>
    <t>=-NL("Sum","32 Item Ledger Entry","12 Quantity","5 Source no.",$C2142,"3 Posting Date",Z$9,"4 Entry Type",$C$4,"2 Item No.","@@"&amp;$F2142)</t>
  </si>
  <si>
    <t>=-NL("Sum","32 Item Ledger Entry","12 Quantity","5 Source no.",$C2143,"3 Posting Date",Z$9,"4 Entry Type",$C$4,"2 Item No.","@@"&amp;$F2143)</t>
  </si>
  <si>
    <t>=-NL("Sum","32 Item Ledger Entry","12 Quantity","5 Source no.",$C2144,"3 Posting Date",Z$9,"4 Entry Type",$C$4,"2 Item No.","@@"&amp;$F2144)</t>
  </si>
  <si>
    <t>=-NL("Sum","32 Item Ledger Entry","12 Quantity","5 Source no.",$C2145,"3 Posting Date",Z$9,"4 Entry Type",$C$4,"2 Item No.","@@"&amp;$F2145)</t>
  </si>
  <si>
    <t>=-NL("Sum","32 Item Ledger Entry","12 Quantity","5 Source no.",$C2146,"3 Posting Date",Z$9,"4 Entry Type",$C$4,"2 Item No.","@@"&amp;$F2146)</t>
  </si>
  <si>
    <t>=-NL("Sum","32 Item Ledger Entry","12 Quantity","5 Source no.",$C2147,"3 Posting Date",Z$9,"4 Entry Type",$C$4,"2 Item No.","@@"&amp;$F2147)</t>
  </si>
  <si>
    <t>=-NL("Sum","32 Item Ledger Entry","12 Quantity","5 Source no.",$C2148,"3 Posting Date",Z$9,"4 Entry Type",$C$4,"2 Item No.","@@"&amp;$F2148)</t>
  </si>
  <si>
    <t>=-NL("Sum","32 Item Ledger Entry","12 Quantity","5 Source no.",$C2149,"3 Posting Date",Z$9,"4 Entry Type",$C$4,"2 Item No.","@@"&amp;$F2149)</t>
  </si>
  <si>
    <t>=-NL("Sum","32 Item Ledger Entry","12 Quantity","5 Source no.",$C2150,"3 Posting Date",Z$9,"4 Entry Type",$C$4,"2 Item No.","@@"&amp;$F2150)</t>
  </si>
  <si>
    <t>=-NL("Sum","32 Item Ledger Entry","12 Quantity","5 Source no.",$C2151,"3 Posting Date",Z$9,"4 Entry Type",$C$4,"2 Item No.","@@"&amp;$F2151)</t>
  </si>
  <si>
    <t>=-NL("Sum","32 Item Ledger Entry","12 Quantity","5 Source no.",$C2152,"3 Posting Date",Z$9,"4 Entry Type",$C$4,"2 Item No.","@@"&amp;$F2152)</t>
  </si>
  <si>
    <t>=-NL("Sum","32 Item Ledger Entry","12 Quantity","5 Source no.",$C2153,"3 Posting Date",Z$9,"4 Entry Type",$C$4,"2 Item No.","@@"&amp;$F2153)</t>
  </si>
  <si>
    <t>=-NL("Sum","32 Item Ledger Entry","12 Quantity","5 Source no.",$C2154,"3 Posting Date",Z$9,"4 Entry Type",$C$4,"2 Item No.","@@"&amp;$F2154)</t>
  </si>
  <si>
    <t>=-NL("Sum","32 Item Ledger Entry","12 Quantity","5 Source no.",$C2155,"3 Posting Date",Z$9,"4 Entry Type",$C$4,"2 Item No.","@@"&amp;$F2155)</t>
  </si>
  <si>
    <t>=-NL("Sum","32 Item Ledger Entry","12 Quantity","5 Source no.",$C2156,"3 Posting Date",Z$9,"4 Entry Type",$C$4,"2 Item No.","@@"&amp;$F2156)</t>
  </si>
  <si>
    <t>=-NL("Sum","32 Item Ledger Entry","12 Quantity","5 Source no.",$C2157,"3 Posting Date",Z$9,"4 Entry Type",$C$4,"2 Item No.","@@"&amp;$F2157)</t>
  </si>
  <si>
    <t>=-NL("Sum","32 Item Ledger Entry","12 Quantity","5 Source no.",$C2158,"3 Posting Date",Z$9,"4 Entry Type",$C$4,"2 Item No.","@@"&amp;$F2158)</t>
  </si>
  <si>
    <t>=-NL("Sum","32 Item Ledger Entry","12 Quantity","5 Source no.",$C2159,"3 Posting Date",Z$9,"4 Entry Type",$C$4,"2 Item No.","@@"&amp;$F2159)</t>
  </si>
  <si>
    <t>=-NL("Sum","32 Item Ledger Entry","12 Quantity","5 Source no.",$C2160,"3 Posting Date",Z$9,"4 Entry Type",$C$4,"2 Item No.","@@"&amp;$F2160)</t>
  </si>
  <si>
    <t>=-NL("Sum","32 Item Ledger Entry","12 Quantity","5 Source no.",$C2161,"3 Posting Date",Z$9,"4 Entry Type",$C$4,"2 Item No.","@@"&amp;$F2161)</t>
  </si>
  <si>
    <t>=-NL("Sum","32 Item Ledger Entry","12 Quantity","5 Source no.",$C2162,"3 Posting Date",Z$9,"4 Entry Type",$C$4,"2 Item No.","@@"&amp;$F2162)</t>
  </si>
  <si>
    <t>=-NL("Sum","32 Item Ledger Entry","12 Quantity","5 Source no.",$C2163,"3 Posting Date",Z$9,"4 Entry Type",$C$4,"2 Item No.","@@"&amp;$F2163)</t>
  </si>
  <si>
    <t>=-NL("Sum","32 Item Ledger Entry","12 Quantity","5 Source no.",$C2164,"3 Posting Date",Z$9,"4 Entry Type",$C$4,"2 Item No.","@@"&amp;$F2164)</t>
  </si>
  <si>
    <t>=-NL("Sum","32 Item Ledger Entry","12 Quantity","5 Source no.",$C2165,"3 Posting Date",Z$9,"4 Entry Type",$C$4,"2 Item No.","@@"&amp;$F2165)</t>
  </si>
  <si>
    <t>=-NL("Sum","32 Item Ledger Entry","12 Quantity","5 Source no.",$C2166,"3 Posting Date",Z$9,"4 Entry Type",$C$4,"2 Item No.","@@"&amp;$F2166)</t>
  </si>
  <si>
    <t>=NL(,"27 Item","3 Description","1 No.","@@"&amp;F2097)</t>
  </si>
  <si>
    <t>=NL(,"27 Item","3 Description","1 No.","@@"&amp;F2098)</t>
  </si>
  <si>
    <t>=NL(,"27 Item","3 Description","1 No.","@@"&amp;F2099)</t>
  </si>
  <si>
    <t>=NL(,"27 Item","3 Description","1 No.","@@"&amp;F2100)</t>
  </si>
  <si>
    <t>=NL(,"27 Item","3 Description","1 No.","@@"&amp;F2101)</t>
  </si>
  <si>
    <t>=NL(,"27 Item","3 Description","1 No.","@@"&amp;F2102)</t>
  </si>
  <si>
    <t>=NL(,"27 Item","3 Description","1 No.","@@"&amp;F2103)</t>
  </si>
  <si>
    <t>=NL(,"27 Item","3 Description","1 No.","@@"&amp;F2104)</t>
  </si>
  <si>
    <t>=NL(,"27 Item","3 Description","1 No.","@@"&amp;F2105)</t>
  </si>
  <si>
    <t>=NL(,"27 Item","3 Description","1 No.","@@"&amp;F2106)</t>
  </si>
  <si>
    <t>=NL(,"27 Item","3 Description","1 No.","@@"&amp;F2107)</t>
  </si>
  <si>
    <t>=NL(,"27 Item","3 Description","1 No.","@@"&amp;F2108)</t>
  </si>
  <si>
    <t>=NL(,"27 Item","3 Description","1 No.","@@"&amp;F2109)</t>
  </si>
  <si>
    <t>=NL(,"27 Item","3 Description","1 No.","@@"&amp;F2110)</t>
  </si>
  <si>
    <t>=NL(,"27 Item","3 Description","1 No.","@@"&amp;F2111)</t>
  </si>
  <si>
    <t>=NL(,"27 Item","3 Description","1 No.","@@"&amp;F2112)</t>
  </si>
  <si>
    <t>=NL(,"27 Item","3 Description","1 No.","@@"&amp;F2113)</t>
  </si>
  <si>
    <t>=NL(,"27 Item","3 Description","1 No.","@@"&amp;F2114)</t>
  </si>
  <si>
    <t>=NL(,"27 Item","3 Description","1 No.","@@"&amp;F2115)</t>
  </si>
  <si>
    <t>=NL(,"27 Item","3 Description","1 No.","@@"&amp;F2116)</t>
  </si>
  <si>
    <t>=NL(,"27 Item","3 Description","1 No.","@@"&amp;F2117)</t>
  </si>
  <si>
    <t>=NL(,"27 Item","3 Description","1 No.","@@"&amp;F2118)</t>
  </si>
  <si>
    <t>=NL(,"27 Item","3 Description","1 No.","@@"&amp;F2119)</t>
  </si>
  <si>
    <t>=NL(,"27 Item","3 Description","1 No.","@@"&amp;F2120)</t>
  </si>
  <si>
    <t>=NL(,"27 Item","3 Description","1 No.","@@"&amp;F2121)</t>
  </si>
  <si>
    <t>=NL(,"27 Item","3 Description","1 No.","@@"&amp;F2122)</t>
  </si>
  <si>
    <t>=NL(,"27 Item","3 Description","1 No.","@@"&amp;F2123)</t>
  </si>
  <si>
    <t>=NL(,"27 Item","3 Description","1 No.","@@"&amp;F2124)</t>
  </si>
  <si>
    <t>=NL(,"27 Item","3 Description","1 No.","@@"&amp;F2125)</t>
  </si>
  <si>
    <t>=NL(,"27 Item","3 Description","1 No.","@@"&amp;F2126)</t>
  </si>
  <si>
    <t>=NL(,"27 Item","3 Description","1 No.","@@"&amp;F2127)</t>
  </si>
  <si>
    <t>=NL(,"27 Item","3 Description","1 No.","@@"&amp;F2128)</t>
  </si>
  <si>
    <t>=NL(,"27 Item","3 Description","1 No.","@@"&amp;F2129)</t>
  </si>
  <si>
    <t>=-NL("Sum","32 Item Ledger Entry","12 Quantity","5 Source no.",$C2097,"3 Posting Date",J$9,"4 Entry Type",$C$4,"2 Item No.","@@"&amp;$F2097)</t>
  </si>
  <si>
    <t>=-NL("Sum","32 Item Ledger Entry","12 Quantity","5 Source no.",$C2098,"3 Posting Date",J$9,"4 Entry Type",$C$4,"2 Item No.","@@"&amp;$F2098)</t>
  </si>
  <si>
    <t>=-NL("Sum","32 Item Ledger Entry","12 Quantity","5 Source no.",$C2099,"3 Posting Date",J$9,"4 Entry Type",$C$4,"2 Item No.","@@"&amp;$F2099)</t>
  </si>
  <si>
    <t>=-NL("Sum","32 Item Ledger Entry","12 Quantity","5 Source no.",$C2100,"3 Posting Date",J$9,"4 Entry Type",$C$4,"2 Item No.","@@"&amp;$F2100)</t>
  </si>
  <si>
    <t>=-NL("Sum","32 Item Ledger Entry","12 Quantity","5 Source no.",$C2101,"3 Posting Date",J$9,"4 Entry Type",$C$4,"2 Item No.","@@"&amp;$F2101)</t>
  </si>
  <si>
    <t>=-NL("Sum","32 Item Ledger Entry","12 Quantity","5 Source no.",$C2102,"3 Posting Date",J$9,"4 Entry Type",$C$4,"2 Item No.","@@"&amp;$F2102)</t>
  </si>
  <si>
    <t>=-NL("Sum","32 Item Ledger Entry","12 Quantity","5 Source no.",$C2103,"3 Posting Date",J$9,"4 Entry Type",$C$4,"2 Item No.","@@"&amp;$F2103)</t>
  </si>
  <si>
    <t>=-NL("Sum","32 Item Ledger Entry","12 Quantity","5 Source no.",$C2104,"3 Posting Date",J$9,"4 Entry Type",$C$4,"2 Item No.","@@"&amp;$F2104)</t>
  </si>
  <si>
    <t>=-NL("Sum","32 Item Ledger Entry","12 Quantity","5 Source no.",$C2105,"3 Posting Date",J$9,"4 Entry Type",$C$4,"2 Item No.","@@"&amp;$F2105)</t>
  </si>
  <si>
    <t>=-NL("Sum","32 Item Ledger Entry","12 Quantity","5 Source no.",$C2106,"3 Posting Date",J$9,"4 Entry Type",$C$4,"2 Item No.","@@"&amp;$F2106)</t>
  </si>
  <si>
    <t>=-NL("Sum","32 Item Ledger Entry","12 Quantity","5 Source no.",$C2107,"3 Posting Date",J$9,"4 Entry Type",$C$4,"2 Item No.","@@"&amp;$F2107)</t>
  </si>
  <si>
    <t>=-NL("Sum","32 Item Ledger Entry","12 Quantity","5 Source no.",$C2108,"3 Posting Date",J$9,"4 Entry Type",$C$4,"2 Item No.","@@"&amp;$F2108)</t>
  </si>
  <si>
    <t>=-NL("Sum","32 Item Ledger Entry","12 Quantity","5 Source no.",$C2109,"3 Posting Date",J$9,"4 Entry Type",$C$4,"2 Item No.","@@"&amp;$F2109)</t>
  </si>
  <si>
    <t>=-NL("Sum","32 Item Ledger Entry","12 Quantity","5 Source no.",$C2110,"3 Posting Date",J$9,"4 Entry Type",$C$4,"2 Item No.","@@"&amp;$F2110)</t>
  </si>
  <si>
    <t>=-NL("Sum","32 Item Ledger Entry","12 Quantity","5 Source no.",$C2111,"3 Posting Date",J$9,"4 Entry Type",$C$4,"2 Item No.","@@"&amp;$F2111)</t>
  </si>
  <si>
    <t>=-NL("Sum","32 Item Ledger Entry","12 Quantity","5 Source no.",$C2112,"3 Posting Date",J$9,"4 Entry Type",$C$4,"2 Item No.","@@"&amp;$F2112)</t>
  </si>
  <si>
    <t>=-NL("Sum","32 Item Ledger Entry","12 Quantity","5 Source no.",$C2113,"3 Posting Date",J$9,"4 Entry Type",$C$4,"2 Item No.","@@"&amp;$F2113)</t>
  </si>
  <si>
    <t>=-NL("Sum","32 Item Ledger Entry","12 Quantity","5 Source no.",$C2114,"3 Posting Date",J$9,"4 Entry Type",$C$4,"2 Item No.","@@"&amp;$F2114)</t>
  </si>
  <si>
    <t>=-NL("Sum","32 Item Ledger Entry","12 Quantity","5 Source no.",$C2115,"3 Posting Date",J$9,"4 Entry Type",$C$4,"2 Item No.","@@"&amp;$F2115)</t>
  </si>
  <si>
    <t>=-NL("Sum","32 Item Ledger Entry","12 Quantity","5 Source no.",$C2116,"3 Posting Date",J$9,"4 Entry Type",$C$4,"2 Item No.","@@"&amp;$F2116)</t>
  </si>
  <si>
    <t>=-NL("Sum","32 Item Ledger Entry","12 Quantity","5 Source no.",$C2117,"3 Posting Date",J$9,"4 Entry Type",$C$4,"2 Item No.","@@"&amp;$F2117)</t>
  </si>
  <si>
    <t>=-NL("Sum","32 Item Ledger Entry","12 Quantity","5 Source no.",$C2118,"3 Posting Date",J$9,"4 Entry Type",$C$4,"2 Item No.","@@"&amp;$F2118)</t>
  </si>
  <si>
    <t>=-NL("Sum","32 Item Ledger Entry","12 Quantity","5 Source no.",$C2119,"3 Posting Date",J$9,"4 Entry Type",$C$4,"2 Item No.","@@"&amp;$F2119)</t>
  </si>
  <si>
    <t>=-NL("Sum","32 Item Ledger Entry","12 Quantity","5 Source no.",$C2120,"3 Posting Date",J$9,"4 Entry Type",$C$4,"2 Item No.","@@"&amp;$F2120)</t>
  </si>
  <si>
    <t>=-NL("Sum","32 Item Ledger Entry","12 Quantity","5 Source no.",$C2121,"3 Posting Date",J$9,"4 Entry Type",$C$4,"2 Item No.","@@"&amp;$F2121)</t>
  </si>
  <si>
    <t>=-NL("Sum","32 Item Ledger Entry","12 Quantity","5 Source no.",$C2122,"3 Posting Date",J$9,"4 Entry Type",$C$4,"2 Item No.","@@"&amp;$F2122)</t>
  </si>
  <si>
    <t>=-NL("Sum","32 Item Ledger Entry","12 Quantity","5 Source no.",$C2123,"3 Posting Date",J$9,"4 Entry Type",$C$4,"2 Item No.","@@"&amp;$F2123)</t>
  </si>
  <si>
    <t>=-NL("Sum","32 Item Ledger Entry","12 Quantity","5 Source no.",$C2124,"3 Posting Date",J$9,"4 Entry Type",$C$4,"2 Item No.","@@"&amp;$F2124)</t>
  </si>
  <si>
    <t>=-NL("Sum","32 Item Ledger Entry","12 Quantity","5 Source no.",$C2125,"3 Posting Date",J$9,"4 Entry Type",$C$4,"2 Item No.","@@"&amp;$F2125)</t>
  </si>
  <si>
    <t>=-NL("Sum","32 Item Ledger Entry","12 Quantity","5 Source no.",$C2126,"3 Posting Date",J$9,"4 Entry Type",$C$4,"2 Item No.","@@"&amp;$F2126)</t>
  </si>
  <si>
    <t>=-NL("Sum","32 Item Ledger Entry","12 Quantity","5 Source no.",$C2127,"3 Posting Date",J$9,"4 Entry Type",$C$4,"2 Item No.","@@"&amp;$F2127)</t>
  </si>
  <si>
    <t>=-NL("Sum","32 Item Ledger Entry","12 Quantity","5 Source no.",$C2128,"3 Posting Date",J$9,"4 Entry Type",$C$4,"2 Item No.","@@"&amp;$F2128)</t>
  </si>
  <si>
    <t>=-NL("Sum","32 Item Ledger Entry","12 Quantity","5 Source no.",$C2129,"3 Posting Date",J$9,"4 Entry Type",$C$4,"2 Item No.","@@"&amp;$F2129)</t>
  </si>
  <si>
    <t>=-NL("Sum","32 Item Ledger Entry","12 Quantity","5 Source no.",$C2097,"3 Posting Date",O$9,"4 Entry Type",$C$4,"2 Item No.","@@"&amp;$F2097)</t>
  </si>
  <si>
    <t>=-NL("Sum","32 Item Ledger Entry","12 Quantity","5 Source no.",$C2098,"3 Posting Date",O$9,"4 Entry Type",$C$4,"2 Item No.","@@"&amp;$F2098)</t>
  </si>
  <si>
    <t>=-NL("Sum","32 Item Ledger Entry","12 Quantity","5 Source no.",$C2099,"3 Posting Date",O$9,"4 Entry Type",$C$4,"2 Item No.","@@"&amp;$F2099)</t>
  </si>
  <si>
    <t>=-NL("Sum","32 Item Ledger Entry","12 Quantity","5 Source no.",$C2100,"3 Posting Date",O$9,"4 Entry Type",$C$4,"2 Item No.","@@"&amp;$F2100)</t>
  </si>
  <si>
    <t>=-NL("Sum","32 Item Ledger Entry","12 Quantity","5 Source no.",$C2101,"3 Posting Date",O$9,"4 Entry Type",$C$4,"2 Item No.","@@"&amp;$F2101)</t>
  </si>
  <si>
    <t>=-NL("Sum","32 Item Ledger Entry","12 Quantity","5 Source no.",$C2102,"3 Posting Date",O$9,"4 Entry Type",$C$4,"2 Item No.","@@"&amp;$F2102)</t>
  </si>
  <si>
    <t>=-NL("Sum","32 Item Ledger Entry","12 Quantity","5 Source no.",$C2103,"3 Posting Date",O$9,"4 Entry Type",$C$4,"2 Item No.","@@"&amp;$F2103)</t>
  </si>
  <si>
    <t>=-NL("Sum","32 Item Ledger Entry","12 Quantity","5 Source no.",$C2104,"3 Posting Date",O$9,"4 Entry Type",$C$4,"2 Item No.","@@"&amp;$F2104)</t>
  </si>
  <si>
    <t>=-NL("Sum","32 Item Ledger Entry","12 Quantity","5 Source no.",$C2105,"3 Posting Date",O$9,"4 Entry Type",$C$4,"2 Item No.","@@"&amp;$F2105)</t>
  </si>
  <si>
    <t>=-NL("Sum","32 Item Ledger Entry","12 Quantity","5 Source no.",$C2106,"3 Posting Date",O$9,"4 Entry Type",$C$4,"2 Item No.","@@"&amp;$F2106)</t>
  </si>
  <si>
    <t>=-NL("Sum","32 Item Ledger Entry","12 Quantity","5 Source no.",$C2107,"3 Posting Date",O$9,"4 Entry Type",$C$4,"2 Item No.","@@"&amp;$F2107)</t>
  </si>
  <si>
    <t>=-NL("Sum","32 Item Ledger Entry","12 Quantity","5 Source no.",$C2108,"3 Posting Date",O$9,"4 Entry Type",$C$4,"2 Item No.","@@"&amp;$F2108)</t>
  </si>
  <si>
    <t>=-NL("Sum","32 Item Ledger Entry","12 Quantity","5 Source no.",$C2109,"3 Posting Date",O$9,"4 Entry Type",$C$4,"2 Item No.","@@"&amp;$F2109)</t>
  </si>
  <si>
    <t>=-NL("Sum","32 Item Ledger Entry","12 Quantity","5 Source no.",$C2110,"3 Posting Date",O$9,"4 Entry Type",$C$4,"2 Item No.","@@"&amp;$F2110)</t>
  </si>
  <si>
    <t>=-NL("Sum","32 Item Ledger Entry","12 Quantity","5 Source no.",$C2111,"3 Posting Date",O$9,"4 Entry Type",$C$4,"2 Item No.","@@"&amp;$F2111)</t>
  </si>
  <si>
    <t>=-NL("Sum","32 Item Ledger Entry","12 Quantity","5 Source no.",$C2112,"3 Posting Date",O$9,"4 Entry Type",$C$4,"2 Item No.","@@"&amp;$F2112)</t>
  </si>
  <si>
    <t>=-NL("Sum","32 Item Ledger Entry","12 Quantity","5 Source no.",$C2113,"3 Posting Date",O$9,"4 Entry Type",$C$4,"2 Item No.","@@"&amp;$F2113)</t>
  </si>
  <si>
    <t>=-NL("Sum","32 Item Ledger Entry","12 Quantity","5 Source no.",$C2114,"3 Posting Date",O$9,"4 Entry Type",$C$4,"2 Item No.","@@"&amp;$F2114)</t>
  </si>
  <si>
    <t>=-NL("Sum","32 Item Ledger Entry","12 Quantity","5 Source no.",$C2115,"3 Posting Date",O$9,"4 Entry Type",$C$4,"2 Item No.","@@"&amp;$F2115)</t>
  </si>
  <si>
    <t>=-NL("Sum","32 Item Ledger Entry","12 Quantity","5 Source no.",$C2116,"3 Posting Date",O$9,"4 Entry Type",$C$4,"2 Item No.","@@"&amp;$F2116)</t>
  </si>
  <si>
    <t>=-NL("Sum","32 Item Ledger Entry","12 Quantity","5 Source no.",$C2117,"3 Posting Date",O$9,"4 Entry Type",$C$4,"2 Item No.","@@"&amp;$F2117)</t>
  </si>
  <si>
    <t>=-NL("Sum","32 Item Ledger Entry","12 Quantity","5 Source no.",$C2118,"3 Posting Date",O$9,"4 Entry Type",$C$4,"2 Item No.","@@"&amp;$F2118)</t>
  </si>
  <si>
    <t>=-NL("Sum","32 Item Ledger Entry","12 Quantity","5 Source no.",$C2119,"3 Posting Date",O$9,"4 Entry Type",$C$4,"2 Item No.","@@"&amp;$F2119)</t>
  </si>
  <si>
    <t>=-NL("Sum","32 Item Ledger Entry","12 Quantity","5 Source no.",$C2120,"3 Posting Date",O$9,"4 Entry Type",$C$4,"2 Item No.","@@"&amp;$F2120)</t>
  </si>
  <si>
    <t>=-NL("Sum","32 Item Ledger Entry","12 Quantity","5 Source no.",$C2121,"3 Posting Date",O$9,"4 Entry Type",$C$4,"2 Item No.","@@"&amp;$F2121)</t>
  </si>
  <si>
    <t>=-NL("Sum","32 Item Ledger Entry","12 Quantity","5 Source no.",$C2122,"3 Posting Date",O$9,"4 Entry Type",$C$4,"2 Item No.","@@"&amp;$F2122)</t>
  </si>
  <si>
    <t>=-NL("Sum","32 Item Ledger Entry","12 Quantity","5 Source no.",$C2123,"3 Posting Date",O$9,"4 Entry Type",$C$4,"2 Item No.","@@"&amp;$F2123)</t>
  </si>
  <si>
    <t>=-NL("Sum","32 Item Ledger Entry","12 Quantity","5 Source no.",$C2124,"3 Posting Date",O$9,"4 Entry Type",$C$4,"2 Item No.","@@"&amp;$F2124)</t>
  </si>
  <si>
    <t>=-NL("Sum","32 Item Ledger Entry","12 Quantity","5 Source no.",$C2125,"3 Posting Date",O$9,"4 Entry Type",$C$4,"2 Item No.","@@"&amp;$F2125)</t>
  </si>
  <si>
    <t>=-NL("Sum","32 Item Ledger Entry","12 Quantity","5 Source no.",$C2126,"3 Posting Date",O$9,"4 Entry Type",$C$4,"2 Item No.","@@"&amp;$F2126)</t>
  </si>
  <si>
    <t>=-NL("Sum","32 Item Ledger Entry","12 Quantity","5 Source no.",$C2127,"3 Posting Date",O$9,"4 Entry Type",$C$4,"2 Item No.","@@"&amp;$F2127)</t>
  </si>
  <si>
    <t>=-NL("Sum","32 Item Ledger Entry","12 Quantity","5 Source no.",$C2128,"3 Posting Date",O$9,"4 Entry Type",$C$4,"2 Item No.","@@"&amp;$F2128)</t>
  </si>
  <si>
    <t>=-NL("Sum","32 Item Ledger Entry","12 Quantity","5 Source no.",$C2129,"3 Posting Date",O$9,"4 Entry Type",$C$4,"2 Item No.","@@"&amp;$F2129)</t>
  </si>
  <si>
    <t>=-NL("Sum","32 Item Ledger Entry","12 Quantity","5 Source no.",$C2097,"3 Posting Date",U$9,"4 Entry Type",$C$4,"2 Item No.","@@"&amp;$F2097)</t>
  </si>
  <si>
    <t>=-NL("Sum","32 Item Ledger Entry","12 Quantity","5 Source no.",$C2098,"3 Posting Date",U$9,"4 Entry Type",$C$4,"2 Item No.","@@"&amp;$F2098)</t>
  </si>
  <si>
    <t>=-NL("Sum","32 Item Ledger Entry","12 Quantity","5 Source no.",$C2099,"3 Posting Date",U$9,"4 Entry Type",$C$4,"2 Item No.","@@"&amp;$F2099)</t>
  </si>
  <si>
    <t>=-NL("Sum","32 Item Ledger Entry","12 Quantity","5 Source no.",$C2100,"3 Posting Date",U$9,"4 Entry Type",$C$4,"2 Item No.","@@"&amp;$F2100)</t>
  </si>
  <si>
    <t>=-NL("Sum","32 Item Ledger Entry","12 Quantity","5 Source no.",$C2101,"3 Posting Date",U$9,"4 Entry Type",$C$4,"2 Item No.","@@"&amp;$F2101)</t>
  </si>
  <si>
    <t>=-NL("Sum","32 Item Ledger Entry","12 Quantity","5 Source no.",$C2102,"3 Posting Date",U$9,"4 Entry Type",$C$4,"2 Item No.","@@"&amp;$F2102)</t>
  </si>
  <si>
    <t>=-NL("Sum","32 Item Ledger Entry","12 Quantity","5 Source no.",$C2103,"3 Posting Date",U$9,"4 Entry Type",$C$4,"2 Item No.","@@"&amp;$F2103)</t>
  </si>
  <si>
    <t>=-NL("Sum","32 Item Ledger Entry","12 Quantity","5 Source no.",$C2104,"3 Posting Date",U$9,"4 Entry Type",$C$4,"2 Item No.","@@"&amp;$F2104)</t>
  </si>
  <si>
    <t>=-NL("Sum","32 Item Ledger Entry","12 Quantity","5 Source no.",$C2105,"3 Posting Date",U$9,"4 Entry Type",$C$4,"2 Item No.","@@"&amp;$F2105)</t>
  </si>
  <si>
    <t>=-NL("Sum","32 Item Ledger Entry","12 Quantity","5 Source no.",$C2106,"3 Posting Date",U$9,"4 Entry Type",$C$4,"2 Item No.","@@"&amp;$F2106)</t>
  </si>
  <si>
    <t>=-NL("Sum","32 Item Ledger Entry","12 Quantity","5 Source no.",$C2107,"3 Posting Date",U$9,"4 Entry Type",$C$4,"2 Item No.","@@"&amp;$F2107)</t>
  </si>
  <si>
    <t>=-NL("Sum","32 Item Ledger Entry","12 Quantity","5 Source no.",$C2108,"3 Posting Date",U$9,"4 Entry Type",$C$4,"2 Item No.","@@"&amp;$F2108)</t>
  </si>
  <si>
    <t>=-NL("Sum","32 Item Ledger Entry","12 Quantity","5 Source no.",$C2109,"3 Posting Date",U$9,"4 Entry Type",$C$4,"2 Item No.","@@"&amp;$F2109)</t>
  </si>
  <si>
    <t>=-NL("Sum","32 Item Ledger Entry","12 Quantity","5 Source no.",$C2110,"3 Posting Date",U$9,"4 Entry Type",$C$4,"2 Item No.","@@"&amp;$F2110)</t>
  </si>
  <si>
    <t>=-NL("Sum","32 Item Ledger Entry","12 Quantity","5 Source no.",$C2111,"3 Posting Date",U$9,"4 Entry Type",$C$4,"2 Item No.","@@"&amp;$F2111)</t>
  </si>
  <si>
    <t>=-NL("Sum","32 Item Ledger Entry","12 Quantity","5 Source no.",$C2112,"3 Posting Date",U$9,"4 Entry Type",$C$4,"2 Item No.","@@"&amp;$F2112)</t>
  </si>
  <si>
    <t>=-NL("Sum","32 Item Ledger Entry","12 Quantity","5 Source no.",$C2113,"3 Posting Date",U$9,"4 Entry Type",$C$4,"2 Item No.","@@"&amp;$F2113)</t>
  </si>
  <si>
    <t>=-NL("Sum","32 Item Ledger Entry","12 Quantity","5 Source no.",$C2114,"3 Posting Date",U$9,"4 Entry Type",$C$4,"2 Item No.","@@"&amp;$F2114)</t>
  </si>
  <si>
    <t>=-NL("Sum","32 Item Ledger Entry","12 Quantity","5 Source no.",$C2115,"3 Posting Date",U$9,"4 Entry Type",$C$4,"2 Item No.","@@"&amp;$F2115)</t>
  </si>
  <si>
    <t>=-NL("Sum","32 Item Ledger Entry","12 Quantity","5 Source no.",$C2116,"3 Posting Date",U$9,"4 Entry Type",$C$4,"2 Item No.","@@"&amp;$F2116)</t>
  </si>
  <si>
    <t>=-NL("Sum","32 Item Ledger Entry","12 Quantity","5 Source no.",$C2117,"3 Posting Date",U$9,"4 Entry Type",$C$4,"2 Item No.","@@"&amp;$F2117)</t>
  </si>
  <si>
    <t>=-NL("Sum","32 Item Ledger Entry","12 Quantity","5 Source no.",$C2118,"3 Posting Date",U$9,"4 Entry Type",$C$4,"2 Item No.","@@"&amp;$F2118)</t>
  </si>
  <si>
    <t>=-NL("Sum","32 Item Ledger Entry","12 Quantity","5 Source no.",$C2119,"3 Posting Date",U$9,"4 Entry Type",$C$4,"2 Item No.","@@"&amp;$F2119)</t>
  </si>
  <si>
    <t>=-NL("Sum","32 Item Ledger Entry","12 Quantity","5 Source no.",$C2120,"3 Posting Date",U$9,"4 Entry Type",$C$4,"2 Item No.","@@"&amp;$F2120)</t>
  </si>
  <si>
    <t>=-NL("Sum","32 Item Ledger Entry","12 Quantity","5 Source no.",$C2121,"3 Posting Date",U$9,"4 Entry Type",$C$4,"2 Item No.","@@"&amp;$F2121)</t>
  </si>
  <si>
    <t>=-NL("Sum","32 Item Ledger Entry","12 Quantity","5 Source no.",$C2122,"3 Posting Date",U$9,"4 Entry Type",$C$4,"2 Item No.","@@"&amp;$F2122)</t>
  </si>
  <si>
    <t>=-NL("Sum","32 Item Ledger Entry","12 Quantity","5 Source no.",$C2123,"3 Posting Date",U$9,"4 Entry Type",$C$4,"2 Item No.","@@"&amp;$F2123)</t>
  </si>
  <si>
    <t>=-NL("Sum","32 Item Ledger Entry","12 Quantity","5 Source no.",$C2124,"3 Posting Date",U$9,"4 Entry Type",$C$4,"2 Item No.","@@"&amp;$F2124)</t>
  </si>
  <si>
    <t>=-NL("Sum","32 Item Ledger Entry","12 Quantity","5 Source no.",$C2125,"3 Posting Date",U$9,"4 Entry Type",$C$4,"2 Item No.","@@"&amp;$F2125)</t>
  </si>
  <si>
    <t>=-NL("Sum","32 Item Ledger Entry","12 Quantity","5 Source no.",$C2126,"3 Posting Date",U$9,"4 Entry Type",$C$4,"2 Item No.","@@"&amp;$F2126)</t>
  </si>
  <si>
    <t>=-NL("Sum","32 Item Ledger Entry","12 Quantity","5 Source no.",$C2127,"3 Posting Date",U$9,"4 Entry Type",$C$4,"2 Item No.","@@"&amp;$F2127)</t>
  </si>
  <si>
    <t>=-NL("Sum","32 Item Ledger Entry","12 Quantity","5 Source no.",$C2128,"3 Posting Date",U$9,"4 Entry Type",$C$4,"2 Item No.","@@"&amp;$F2128)</t>
  </si>
  <si>
    <t>=-NL("Sum","32 Item Ledger Entry","12 Quantity","5 Source no.",$C2129,"3 Posting Date",U$9,"4 Entry Type",$C$4,"2 Item No.","@@"&amp;$F2129)</t>
  </si>
  <si>
    <t>=-NL("Sum","32 Item Ledger Entry","12 Quantity","5 Source no.",$C2097,"3 Posting Date",Z$9,"4 Entry Type",$C$4,"2 Item No.","@@"&amp;$F2097)</t>
  </si>
  <si>
    <t>=-NL("Sum","32 Item Ledger Entry","12 Quantity","5 Source no.",$C2098,"3 Posting Date",Z$9,"4 Entry Type",$C$4,"2 Item No.","@@"&amp;$F2098)</t>
  </si>
  <si>
    <t>=-NL("Sum","32 Item Ledger Entry","12 Quantity","5 Source no.",$C2099,"3 Posting Date",Z$9,"4 Entry Type",$C$4,"2 Item No.","@@"&amp;$F2099)</t>
  </si>
  <si>
    <t>=-NL("Sum","32 Item Ledger Entry","12 Quantity","5 Source no.",$C2100,"3 Posting Date",Z$9,"4 Entry Type",$C$4,"2 Item No.","@@"&amp;$F2100)</t>
  </si>
  <si>
    <t>=-NL("Sum","32 Item Ledger Entry","12 Quantity","5 Source no.",$C2101,"3 Posting Date",Z$9,"4 Entry Type",$C$4,"2 Item No.","@@"&amp;$F2101)</t>
  </si>
  <si>
    <t>=-NL("Sum","32 Item Ledger Entry","12 Quantity","5 Source no.",$C2102,"3 Posting Date",Z$9,"4 Entry Type",$C$4,"2 Item No.","@@"&amp;$F2102)</t>
  </si>
  <si>
    <t>=-NL("Sum","32 Item Ledger Entry","12 Quantity","5 Source no.",$C2103,"3 Posting Date",Z$9,"4 Entry Type",$C$4,"2 Item No.","@@"&amp;$F2103)</t>
  </si>
  <si>
    <t>=-NL("Sum","32 Item Ledger Entry","12 Quantity","5 Source no.",$C2104,"3 Posting Date",Z$9,"4 Entry Type",$C$4,"2 Item No.","@@"&amp;$F2104)</t>
  </si>
  <si>
    <t>=-NL("Sum","32 Item Ledger Entry","12 Quantity","5 Source no.",$C2105,"3 Posting Date",Z$9,"4 Entry Type",$C$4,"2 Item No.","@@"&amp;$F2105)</t>
  </si>
  <si>
    <t>=-NL("Sum","32 Item Ledger Entry","12 Quantity","5 Source no.",$C2106,"3 Posting Date",Z$9,"4 Entry Type",$C$4,"2 Item No.","@@"&amp;$F2106)</t>
  </si>
  <si>
    <t>=-NL("Sum","32 Item Ledger Entry","12 Quantity","5 Source no.",$C2107,"3 Posting Date",Z$9,"4 Entry Type",$C$4,"2 Item No.","@@"&amp;$F2107)</t>
  </si>
  <si>
    <t>=-NL("Sum","32 Item Ledger Entry","12 Quantity","5 Source no.",$C2108,"3 Posting Date",Z$9,"4 Entry Type",$C$4,"2 Item No.","@@"&amp;$F2108)</t>
  </si>
  <si>
    <t>=-NL("Sum","32 Item Ledger Entry","12 Quantity","5 Source no.",$C2109,"3 Posting Date",Z$9,"4 Entry Type",$C$4,"2 Item No.","@@"&amp;$F2109)</t>
  </si>
  <si>
    <t>=-NL("Sum","32 Item Ledger Entry","12 Quantity","5 Source no.",$C2110,"3 Posting Date",Z$9,"4 Entry Type",$C$4,"2 Item No.","@@"&amp;$F2110)</t>
  </si>
  <si>
    <t>=-NL("Sum","32 Item Ledger Entry","12 Quantity","5 Source no.",$C2111,"3 Posting Date",Z$9,"4 Entry Type",$C$4,"2 Item No.","@@"&amp;$F2111)</t>
  </si>
  <si>
    <t>=-NL("Sum","32 Item Ledger Entry","12 Quantity","5 Source no.",$C2112,"3 Posting Date",Z$9,"4 Entry Type",$C$4,"2 Item No.","@@"&amp;$F2112)</t>
  </si>
  <si>
    <t>=-NL("Sum","32 Item Ledger Entry","12 Quantity","5 Source no.",$C2113,"3 Posting Date",Z$9,"4 Entry Type",$C$4,"2 Item No.","@@"&amp;$F2113)</t>
  </si>
  <si>
    <t>=-NL("Sum","32 Item Ledger Entry","12 Quantity","5 Source no.",$C2114,"3 Posting Date",Z$9,"4 Entry Type",$C$4,"2 Item No.","@@"&amp;$F2114)</t>
  </si>
  <si>
    <t>=-NL("Sum","32 Item Ledger Entry","12 Quantity","5 Source no.",$C2115,"3 Posting Date",Z$9,"4 Entry Type",$C$4,"2 Item No.","@@"&amp;$F2115)</t>
  </si>
  <si>
    <t>=-NL("Sum","32 Item Ledger Entry","12 Quantity","5 Source no.",$C2116,"3 Posting Date",Z$9,"4 Entry Type",$C$4,"2 Item No.","@@"&amp;$F2116)</t>
  </si>
  <si>
    <t>=-NL("Sum","32 Item Ledger Entry","12 Quantity","5 Source no.",$C2117,"3 Posting Date",Z$9,"4 Entry Type",$C$4,"2 Item No.","@@"&amp;$F2117)</t>
  </si>
  <si>
    <t>=-NL("Sum","32 Item Ledger Entry","12 Quantity","5 Source no.",$C2118,"3 Posting Date",Z$9,"4 Entry Type",$C$4,"2 Item No.","@@"&amp;$F2118)</t>
  </si>
  <si>
    <t>=-NL("Sum","32 Item Ledger Entry","12 Quantity","5 Source no.",$C2119,"3 Posting Date",Z$9,"4 Entry Type",$C$4,"2 Item No.","@@"&amp;$F2119)</t>
  </si>
  <si>
    <t>=-NL("Sum","32 Item Ledger Entry","12 Quantity","5 Source no.",$C2120,"3 Posting Date",Z$9,"4 Entry Type",$C$4,"2 Item No.","@@"&amp;$F2120)</t>
  </si>
  <si>
    <t>=-NL("Sum","32 Item Ledger Entry","12 Quantity","5 Source no.",$C2121,"3 Posting Date",Z$9,"4 Entry Type",$C$4,"2 Item No.","@@"&amp;$F2121)</t>
  </si>
  <si>
    <t>=-NL("Sum","32 Item Ledger Entry","12 Quantity","5 Source no.",$C2122,"3 Posting Date",Z$9,"4 Entry Type",$C$4,"2 Item No.","@@"&amp;$F2122)</t>
  </si>
  <si>
    <t>=-NL("Sum","32 Item Ledger Entry","12 Quantity","5 Source no.",$C2123,"3 Posting Date",Z$9,"4 Entry Type",$C$4,"2 Item No.","@@"&amp;$F2123)</t>
  </si>
  <si>
    <t>=-NL("Sum","32 Item Ledger Entry","12 Quantity","5 Source no.",$C2124,"3 Posting Date",Z$9,"4 Entry Type",$C$4,"2 Item No.","@@"&amp;$F2124)</t>
  </si>
  <si>
    <t>=-NL("Sum","32 Item Ledger Entry","12 Quantity","5 Source no.",$C2125,"3 Posting Date",Z$9,"4 Entry Type",$C$4,"2 Item No.","@@"&amp;$F2125)</t>
  </si>
  <si>
    <t>=-NL("Sum","32 Item Ledger Entry","12 Quantity","5 Source no.",$C2126,"3 Posting Date",Z$9,"4 Entry Type",$C$4,"2 Item No.","@@"&amp;$F2126)</t>
  </si>
  <si>
    <t>=-NL("Sum","32 Item Ledger Entry","12 Quantity","5 Source no.",$C2127,"3 Posting Date",Z$9,"4 Entry Type",$C$4,"2 Item No.","@@"&amp;$F2127)</t>
  </si>
  <si>
    <t>=-NL("Sum","32 Item Ledger Entry","12 Quantity","5 Source no.",$C2128,"3 Posting Date",Z$9,"4 Entry Type",$C$4,"2 Item No.","@@"&amp;$F2128)</t>
  </si>
  <si>
    <t>=-NL("Sum","32 Item Ledger Entry","12 Quantity","5 Source no.",$C2129,"3 Posting Date",Z$9,"4 Entry Type",$C$4,"2 Item No.","@@"&amp;$F2129)</t>
  </si>
  <si>
    <t>=NL(,"27 Item","3 Description","1 No.","@@"&amp;F2039)</t>
  </si>
  <si>
    <t>=NL(,"27 Item","3 Description","1 No.","@@"&amp;F2040)</t>
  </si>
  <si>
    <t>=NL(,"27 Item","3 Description","1 No.","@@"&amp;F2041)</t>
  </si>
  <si>
    <t>=NL(,"27 Item","3 Description","1 No.","@@"&amp;F2042)</t>
  </si>
  <si>
    <t>=NL(,"27 Item","3 Description","1 No.","@@"&amp;F2043)</t>
  </si>
  <si>
    <t>=NL(,"27 Item","3 Description","1 No.","@@"&amp;F2044)</t>
  </si>
  <si>
    <t>=NL(,"27 Item","3 Description","1 No.","@@"&amp;F2045)</t>
  </si>
  <si>
    <t>=NL(,"27 Item","3 Description","1 No.","@@"&amp;F2046)</t>
  </si>
  <si>
    <t>=NL(,"27 Item","3 Description","1 No.","@@"&amp;F2047)</t>
  </si>
  <si>
    <t>=NL(,"27 Item","3 Description","1 No.","@@"&amp;F2048)</t>
  </si>
  <si>
    <t>=NL(,"27 Item","3 Description","1 No.","@@"&amp;F2049)</t>
  </si>
  <si>
    <t>=NL(,"27 Item","3 Description","1 No.","@@"&amp;F2050)</t>
  </si>
  <si>
    <t>=NL(,"27 Item","3 Description","1 No.","@@"&amp;F2051)</t>
  </si>
  <si>
    <t>=NL(,"27 Item","3 Description","1 No.","@@"&amp;F2052)</t>
  </si>
  <si>
    <t>=NL(,"27 Item","3 Description","1 No.","@@"&amp;F2053)</t>
  </si>
  <si>
    <t>=NL(,"27 Item","3 Description","1 No.","@@"&amp;F2054)</t>
  </si>
  <si>
    <t>=NL(,"27 Item","3 Description","1 No.","@@"&amp;F2055)</t>
  </si>
  <si>
    <t>=NL(,"27 Item","3 Description","1 No.","@@"&amp;F2056)</t>
  </si>
  <si>
    <t>=NL(,"27 Item","3 Description","1 No.","@@"&amp;F2057)</t>
  </si>
  <si>
    <t>=NL(,"27 Item","3 Description","1 No.","@@"&amp;F2058)</t>
  </si>
  <si>
    <t>=NL(,"27 Item","3 Description","1 No.","@@"&amp;F2059)</t>
  </si>
  <si>
    <t>=NL(,"27 Item","3 Description","1 No.","@@"&amp;F2060)</t>
  </si>
  <si>
    <t>=NL(,"27 Item","3 Description","1 No.","@@"&amp;F2061)</t>
  </si>
  <si>
    <t>=NL(,"27 Item","3 Description","1 No.","@@"&amp;F2062)</t>
  </si>
  <si>
    <t>=NL(,"27 Item","3 Description","1 No.","@@"&amp;F2063)</t>
  </si>
  <si>
    <t>=NL(,"27 Item","3 Description","1 No.","@@"&amp;F2064)</t>
  </si>
  <si>
    <t>=NL(,"27 Item","3 Description","1 No.","@@"&amp;F2065)</t>
  </si>
  <si>
    <t>=NL(,"27 Item","3 Description","1 No.","@@"&amp;F2066)</t>
  </si>
  <si>
    <t>=NL(,"27 Item","3 Description","1 No.","@@"&amp;F2067)</t>
  </si>
  <si>
    <t>=NL(,"27 Item","3 Description","1 No.","@@"&amp;F2068)</t>
  </si>
  <si>
    <t>=NL(,"27 Item","3 Description","1 No.","@@"&amp;F2069)</t>
  </si>
  <si>
    <t>=NL(,"27 Item","3 Description","1 No.","@@"&amp;F2070)</t>
  </si>
  <si>
    <t>=NL(,"27 Item","3 Description","1 No.","@@"&amp;F2071)</t>
  </si>
  <si>
    <t>=NL(,"27 Item","3 Description","1 No.","@@"&amp;F2072)</t>
  </si>
  <si>
    <t>=NL(,"27 Item","3 Description","1 No.","@@"&amp;F2073)</t>
  </si>
  <si>
    <t>=NL(,"27 Item","3 Description","1 No.","@@"&amp;F2074)</t>
  </si>
  <si>
    <t>=NL(,"27 Item","3 Description","1 No.","@@"&amp;F2075)</t>
  </si>
  <si>
    <t>=NL(,"27 Item","3 Description","1 No.","@@"&amp;F2076)</t>
  </si>
  <si>
    <t>=NL(,"27 Item","3 Description","1 No.","@@"&amp;F2077)</t>
  </si>
  <si>
    <t>=NL(,"27 Item","3 Description","1 No.","@@"&amp;F2078)</t>
  </si>
  <si>
    <t>=NL(,"27 Item","3 Description","1 No.","@@"&amp;F2079)</t>
  </si>
  <si>
    <t>=NL(,"27 Item","3 Description","1 No.","@@"&amp;F2080)</t>
  </si>
  <si>
    <t>=NL(,"27 Item","3 Description","1 No.","@@"&amp;F2081)</t>
  </si>
  <si>
    <t>=NL(,"27 Item","3 Description","1 No.","@@"&amp;F2082)</t>
  </si>
  <si>
    <t>=NL(,"27 Item","3 Description","1 No.","@@"&amp;F2083)</t>
  </si>
  <si>
    <t>=NL(,"27 Item","3 Description","1 No.","@@"&amp;F2084)</t>
  </si>
  <si>
    <t>=NL(,"27 Item","3 Description","1 No.","@@"&amp;F2085)</t>
  </si>
  <si>
    <t>=NL(,"27 Item","3 Description","1 No.","@@"&amp;F2086)</t>
  </si>
  <si>
    <t>=NL(,"27 Item","3 Description","1 No.","@@"&amp;F2087)</t>
  </si>
  <si>
    <t>=NL(,"27 Item","3 Description","1 No.","@@"&amp;F2088)</t>
  </si>
  <si>
    <t>=NL(,"27 Item","3 Description","1 No.","@@"&amp;F2089)</t>
  </si>
  <si>
    <t>=NL(,"27 Item","3 Description","1 No.","@@"&amp;F2090)</t>
  </si>
  <si>
    <t>=NL(,"27 Item","3 Description","1 No.","@@"&amp;F2091)</t>
  </si>
  <si>
    <t>=-NL("Sum","32 Item Ledger Entry","12 Quantity","5 Source no.",$C2039,"3 Posting Date",J$9,"4 Entry Type",$C$4,"2 Item No.","@@"&amp;$F2039)</t>
  </si>
  <si>
    <t>=-NL("Sum","32 Item Ledger Entry","12 Quantity","5 Source no.",$C2040,"3 Posting Date",J$9,"4 Entry Type",$C$4,"2 Item No.","@@"&amp;$F2040)</t>
  </si>
  <si>
    <t>=-NL("Sum","32 Item Ledger Entry","12 Quantity","5 Source no.",$C2041,"3 Posting Date",J$9,"4 Entry Type",$C$4,"2 Item No.","@@"&amp;$F2041)</t>
  </si>
  <si>
    <t>=-NL("Sum","32 Item Ledger Entry","12 Quantity","5 Source no.",$C2042,"3 Posting Date",J$9,"4 Entry Type",$C$4,"2 Item No.","@@"&amp;$F2042)</t>
  </si>
  <si>
    <t>=-NL("Sum","32 Item Ledger Entry","12 Quantity","5 Source no.",$C2043,"3 Posting Date",J$9,"4 Entry Type",$C$4,"2 Item No.","@@"&amp;$F2043)</t>
  </si>
  <si>
    <t>=-NL("Sum","32 Item Ledger Entry","12 Quantity","5 Source no.",$C2044,"3 Posting Date",J$9,"4 Entry Type",$C$4,"2 Item No.","@@"&amp;$F2044)</t>
  </si>
  <si>
    <t>=-NL("Sum","32 Item Ledger Entry","12 Quantity","5 Source no.",$C2045,"3 Posting Date",J$9,"4 Entry Type",$C$4,"2 Item No.","@@"&amp;$F2045)</t>
  </si>
  <si>
    <t>=-NL("Sum","32 Item Ledger Entry","12 Quantity","5 Source no.",$C2046,"3 Posting Date",J$9,"4 Entry Type",$C$4,"2 Item No.","@@"&amp;$F2046)</t>
  </si>
  <si>
    <t>=-NL("Sum","32 Item Ledger Entry","12 Quantity","5 Source no.",$C2047,"3 Posting Date",J$9,"4 Entry Type",$C$4,"2 Item No.","@@"&amp;$F2047)</t>
  </si>
  <si>
    <t>=-NL("Sum","32 Item Ledger Entry","12 Quantity","5 Source no.",$C2048,"3 Posting Date",J$9,"4 Entry Type",$C$4,"2 Item No.","@@"&amp;$F2048)</t>
  </si>
  <si>
    <t>=-NL("Sum","32 Item Ledger Entry","12 Quantity","5 Source no.",$C2049,"3 Posting Date",J$9,"4 Entry Type",$C$4,"2 Item No.","@@"&amp;$F2049)</t>
  </si>
  <si>
    <t>=-NL("Sum","32 Item Ledger Entry","12 Quantity","5 Source no.",$C2050,"3 Posting Date",J$9,"4 Entry Type",$C$4,"2 Item No.","@@"&amp;$F2050)</t>
  </si>
  <si>
    <t>=-NL("Sum","32 Item Ledger Entry","12 Quantity","5 Source no.",$C2051,"3 Posting Date",J$9,"4 Entry Type",$C$4,"2 Item No.","@@"&amp;$F2051)</t>
  </si>
  <si>
    <t>=-NL("Sum","32 Item Ledger Entry","12 Quantity","5 Source no.",$C2052,"3 Posting Date",J$9,"4 Entry Type",$C$4,"2 Item No.","@@"&amp;$F2052)</t>
  </si>
  <si>
    <t>=-NL("Sum","32 Item Ledger Entry","12 Quantity","5 Source no.",$C2053,"3 Posting Date",J$9,"4 Entry Type",$C$4,"2 Item No.","@@"&amp;$F2053)</t>
  </si>
  <si>
    <t>=-NL("Sum","32 Item Ledger Entry","12 Quantity","5 Source no.",$C2054,"3 Posting Date",J$9,"4 Entry Type",$C$4,"2 Item No.","@@"&amp;$F2054)</t>
  </si>
  <si>
    <t>=-NL("Sum","32 Item Ledger Entry","12 Quantity","5 Source no.",$C2055,"3 Posting Date",J$9,"4 Entry Type",$C$4,"2 Item No.","@@"&amp;$F2055)</t>
  </si>
  <si>
    <t>=-NL("Sum","32 Item Ledger Entry","12 Quantity","5 Source no.",$C2056,"3 Posting Date",J$9,"4 Entry Type",$C$4,"2 Item No.","@@"&amp;$F2056)</t>
  </si>
  <si>
    <t>=-NL("Sum","32 Item Ledger Entry","12 Quantity","5 Source no.",$C2057,"3 Posting Date",J$9,"4 Entry Type",$C$4,"2 Item No.","@@"&amp;$F2057)</t>
  </si>
  <si>
    <t>=-NL("Sum","32 Item Ledger Entry","12 Quantity","5 Source no.",$C2058,"3 Posting Date",J$9,"4 Entry Type",$C$4,"2 Item No.","@@"&amp;$F2058)</t>
  </si>
  <si>
    <t>=-NL("Sum","32 Item Ledger Entry","12 Quantity","5 Source no.",$C2059,"3 Posting Date",J$9,"4 Entry Type",$C$4,"2 Item No.","@@"&amp;$F2059)</t>
  </si>
  <si>
    <t>=-NL("Sum","32 Item Ledger Entry","12 Quantity","5 Source no.",$C2060,"3 Posting Date",J$9,"4 Entry Type",$C$4,"2 Item No.","@@"&amp;$F2060)</t>
  </si>
  <si>
    <t>=-NL("Sum","32 Item Ledger Entry","12 Quantity","5 Source no.",$C2061,"3 Posting Date",J$9,"4 Entry Type",$C$4,"2 Item No.","@@"&amp;$F2061)</t>
  </si>
  <si>
    <t>=-NL("Sum","32 Item Ledger Entry","12 Quantity","5 Source no.",$C2062,"3 Posting Date",J$9,"4 Entry Type",$C$4,"2 Item No.","@@"&amp;$F2062)</t>
  </si>
  <si>
    <t>=-NL("Sum","32 Item Ledger Entry","12 Quantity","5 Source no.",$C2063,"3 Posting Date",J$9,"4 Entry Type",$C$4,"2 Item No.","@@"&amp;$F2063)</t>
  </si>
  <si>
    <t>=-NL("Sum","32 Item Ledger Entry","12 Quantity","5 Source no.",$C2064,"3 Posting Date",J$9,"4 Entry Type",$C$4,"2 Item No.","@@"&amp;$F2064)</t>
  </si>
  <si>
    <t>=-NL("Sum","32 Item Ledger Entry","12 Quantity","5 Source no.",$C2065,"3 Posting Date",J$9,"4 Entry Type",$C$4,"2 Item No.","@@"&amp;$F2065)</t>
  </si>
  <si>
    <t>=-NL("Sum","32 Item Ledger Entry","12 Quantity","5 Source no.",$C2066,"3 Posting Date",J$9,"4 Entry Type",$C$4,"2 Item No.","@@"&amp;$F2066)</t>
  </si>
  <si>
    <t>=-NL("Sum","32 Item Ledger Entry","12 Quantity","5 Source no.",$C2067,"3 Posting Date",J$9,"4 Entry Type",$C$4,"2 Item No.","@@"&amp;$F2067)</t>
  </si>
  <si>
    <t>=-NL("Sum","32 Item Ledger Entry","12 Quantity","5 Source no.",$C2068,"3 Posting Date",J$9,"4 Entry Type",$C$4,"2 Item No.","@@"&amp;$F2068)</t>
  </si>
  <si>
    <t>=-NL("Sum","32 Item Ledger Entry","12 Quantity","5 Source no.",$C2069,"3 Posting Date",J$9,"4 Entry Type",$C$4,"2 Item No.","@@"&amp;$F2069)</t>
  </si>
  <si>
    <t>=-NL("Sum","32 Item Ledger Entry","12 Quantity","5 Source no.",$C2070,"3 Posting Date",J$9,"4 Entry Type",$C$4,"2 Item No.","@@"&amp;$F2070)</t>
  </si>
  <si>
    <t>=-NL("Sum","32 Item Ledger Entry","12 Quantity","5 Source no.",$C2071,"3 Posting Date",J$9,"4 Entry Type",$C$4,"2 Item No.","@@"&amp;$F2071)</t>
  </si>
  <si>
    <t>=-NL("Sum","32 Item Ledger Entry","12 Quantity","5 Source no.",$C2072,"3 Posting Date",J$9,"4 Entry Type",$C$4,"2 Item No.","@@"&amp;$F2072)</t>
  </si>
  <si>
    <t>=-NL("Sum","32 Item Ledger Entry","12 Quantity","5 Source no.",$C2073,"3 Posting Date",J$9,"4 Entry Type",$C$4,"2 Item No.","@@"&amp;$F2073)</t>
  </si>
  <si>
    <t>=-NL("Sum","32 Item Ledger Entry","12 Quantity","5 Source no.",$C2074,"3 Posting Date",J$9,"4 Entry Type",$C$4,"2 Item No.","@@"&amp;$F2074)</t>
  </si>
  <si>
    <t>=-NL("Sum","32 Item Ledger Entry","12 Quantity","5 Source no.",$C2075,"3 Posting Date",J$9,"4 Entry Type",$C$4,"2 Item No.","@@"&amp;$F2075)</t>
  </si>
  <si>
    <t>=-NL("Sum","32 Item Ledger Entry","12 Quantity","5 Source no.",$C2076,"3 Posting Date",J$9,"4 Entry Type",$C$4,"2 Item No.","@@"&amp;$F2076)</t>
  </si>
  <si>
    <t>=-NL("Sum","32 Item Ledger Entry","12 Quantity","5 Source no.",$C2077,"3 Posting Date",J$9,"4 Entry Type",$C$4,"2 Item No.","@@"&amp;$F2077)</t>
  </si>
  <si>
    <t>=-NL("Sum","32 Item Ledger Entry","12 Quantity","5 Source no.",$C2078,"3 Posting Date",J$9,"4 Entry Type",$C$4,"2 Item No.","@@"&amp;$F2078)</t>
  </si>
  <si>
    <t>=-NL("Sum","32 Item Ledger Entry","12 Quantity","5 Source no.",$C2079,"3 Posting Date",J$9,"4 Entry Type",$C$4,"2 Item No.","@@"&amp;$F2079)</t>
  </si>
  <si>
    <t>=-NL("Sum","32 Item Ledger Entry","12 Quantity","5 Source no.",$C2080,"3 Posting Date",J$9,"4 Entry Type",$C$4,"2 Item No.","@@"&amp;$F2080)</t>
  </si>
  <si>
    <t>=-NL("Sum","32 Item Ledger Entry","12 Quantity","5 Source no.",$C2081,"3 Posting Date",J$9,"4 Entry Type",$C$4,"2 Item No.","@@"&amp;$F2081)</t>
  </si>
  <si>
    <t>=-NL("Sum","32 Item Ledger Entry","12 Quantity","5 Source no.",$C2082,"3 Posting Date",J$9,"4 Entry Type",$C$4,"2 Item No.","@@"&amp;$F2082)</t>
  </si>
  <si>
    <t>=-NL("Sum","32 Item Ledger Entry","12 Quantity","5 Source no.",$C2083,"3 Posting Date",J$9,"4 Entry Type",$C$4,"2 Item No.","@@"&amp;$F2083)</t>
  </si>
  <si>
    <t>=-NL("Sum","32 Item Ledger Entry","12 Quantity","5 Source no.",$C2084,"3 Posting Date",J$9,"4 Entry Type",$C$4,"2 Item No.","@@"&amp;$F2084)</t>
  </si>
  <si>
    <t>=-NL("Sum","32 Item Ledger Entry","12 Quantity","5 Source no.",$C2085,"3 Posting Date",J$9,"4 Entry Type",$C$4,"2 Item No.","@@"&amp;$F2085)</t>
  </si>
  <si>
    <t>=-NL("Sum","32 Item Ledger Entry","12 Quantity","5 Source no.",$C2086,"3 Posting Date",J$9,"4 Entry Type",$C$4,"2 Item No.","@@"&amp;$F2086)</t>
  </si>
  <si>
    <t>=-NL("Sum","32 Item Ledger Entry","12 Quantity","5 Source no.",$C2087,"3 Posting Date",J$9,"4 Entry Type",$C$4,"2 Item No.","@@"&amp;$F2087)</t>
  </si>
  <si>
    <t>=-NL("Sum","32 Item Ledger Entry","12 Quantity","5 Source no.",$C2088,"3 Posting Date",J$9,"4 Entry Type",$C$4,"2 Item No.","@@"&amp;$F2088)</t>
  </si>
  <si>
    <t>=-NL("Sum","32 Item Ledger Entry","12 Quantity","5 Source no.",$C2089,"3 Posting Date",J$9,"4 Entry Type",$C$4,"2 Item No.","@@"&amp;$F2089)</t>
  </si>
  <si>
    <t>=-NL("Sum","32 Item Ledger Entry","12 Quantity","5 Source no.",$C2090,"3 Posting Date",J$9,"4 Entry Type",$C$4,"2 Item No.","@@"&amp;$F2090)</t>
  </si>
  <si>
    <t>=-NL("Sum","32 Item Ledger Entry","12 Quantity","5 Source no.",$C2091,"3 Posting Date",J$9,"4 Entry Type",$C$4,"2 Item No.","@@"&amp;$F2091)</t>
  </si>
  <si>
    <t>=-NL("Sum","32 Item Ledger Entry","12 Quantity","5 Source no.",$C2039,"3 Posting Date",O$9,"4 Entry Type",$C$4,"2 Item No.","@@"&amp;$F2039)</t>
  </si>
  <si>
    <t>=-NL("Sum","32 Item Ledger Entry","12 Quantity","5 Source no.",$C2040,"3 Posting Date",O$9,"4 Entry Type",$C$4,"2 Item No.","@@"&amp;$F2040)</t>
  </si>
  <si>
    <t>=-NL("Sum","32 Item Ledger Entry","12 Quantity","5 Source no.",$C2041,"3 Posting Date",O$9,"4 Entry Type",$C$4,"2 Item No.","@@"&amp;$F2041)</t>
  </si>
  <si>
    <t>=-NL("Sum","32 Item Ledger Entry","12 Quantity","5 Source no.",$C2042,"3 Posting Date",O$9,"4 Entry Type",$C$4,"2 Item No.","@@"&amp;$F2042)</t>
  </si>
  <si>
    <t>=-NL("Sum","32 Item Ledger Entry","12 Quantity","5 Source no.",$C2043,"3 Posting Date",O$9,"4 Entry Type",$C$4,"2 Item No.","@@"&amp;$F2043)</t>
  </si>
  <si>
    <t>=-NL("Sum","32 Item Ledger Entry","12 Quantity","5 Source no.",$C2044,"3 Posting Date",O$9,"4 Entry Type",$C$4,"2 Item No.","@@"&amp;$F2044)</t>
  </si>
  <si>
    <t>=-NL("Sum","32 Item Ledger Entry","12 Quantity","5 Source no.",$C2045,"3 Posting Date",O$9,"4 Entry Type",$C$4,"2 Item No.","@@"&amp;$F2045)</t>
  </si>
  <si>
    <t>=-NL("Sum","32 Item Ledger Entry","12 Quantity","5 Source no.",$C2046,"3 Posting Date",O$9,"4 Entry Type",$C$4,"2 Item No.","@@"&amp;$F2046)</t>
  </si>
  <si>
    <t>=-NL("Sum","32 Item Ledger Entry","12 Quantity","5 Source no.",$C2047,"3 Posting Date",O$9,"4 Entry Type",$C$4,"2 Item No.","@@"&amp;$F2047)</t>
  </si>
  <si>
    <t>=-NL("Sum","32 Item Ledger Entry","12 Quantity","5 Source no.",$C2048,"3 Posting Date",O$9,"4 Entry Type",$C$4,"2 Item No.","@@"&amp;$F2048)</t>
  </si>
  <si>
    <t>=-NL("Sum","32 Item Ledger Entry","12 Quantity","5 Source no.",$C2049,"3 Posting Date",O$9,"4 Entry Type",$C$4,"2 Item No.","@@"&amp;$F2049)</t>
  </si>
  <si>
    <t>=-NL("Sum","32 Item Ledger Entry","12 Quantity","5 Source no.",$C2050,"3 Posting Date",O$9,"4 Entry Type",$C$4,"2 Item No.","@@"&amp;$F2050)</t>
  </si>
  <si>
    <t>=-NL("Sum","32 Item Ledger Entry","12 Quantity","5 Source no.",$C2051,"3 Posting Date",O$9,"4 Entry Type",$C$4,"2 Item No.","@@"&amp;$F2051)</t>
  </si>
  <si>
    <t>=-NL("Sum","32 Item Ledger Entry","12 Quantity","5 Source no.",$C2052,"3 Posting Date",O$9,"4 Entry Type",$C$4,"2 Item No.","@@"&amp;$F2052)</t>
  </si>
  <si>
    <t>=-NL("Sum","32 Item Ledger Entry","12 Quantity","5 Source no.",$C2053,"3 Posting Date",O$9,"4 Entry Type",$C$4,"2 Item No.","@@"&amp;$F2053)</t>
  </si>
  <si>
    <t>=-NL("Sum","32 Item Ledger Entry","12 Quantity","5 Source no.",$C2054,"3 Posting Date",O$9,"4 Entry Type",$C$4,"2 Item No.","@@"&amp;$F2054)</t>
  </si>
  <si>
    <t>=-NL("Sum","32 Item Ledger Entry","12 Quantity","5 Source no.",$C2055,"3 Posting Date",O$9,"4 Entry Type",$C$4,"2 Item No.","@@"&amp;$F2055)</t>
  </si>
  <si>
    <t>=-NL("Sum","32 Item Ledger Entry","12 Quantity","5 Source no.",$C2056,"3 Posting Date",O$9,"4 Entry Type",$C$4,"2 Item No.","@@"&amp;$F2056)</t>
  </si>
  <si>
    <t>=-NL("Sum","32 Item Ledger Entry","12 Quantity","5 Source no.",$C2057,"3 Posting Date",O$9,"4 Entry Type",$C$4,"2 Item No.","@@"&amp;$F2057)</t>
  </si>
  <si>
    <t>=-NL("Sum","32 Item Ledger Entry","12 Quantity","5 Source no.",$C2058,"3 Posting Date",O$9,"4 Entry Type",$C$4,"2 Item No.","@@"&amp;$F2058)</t>
  </si>
  <si>
    <t>=-NL("Sum","32 Item Ledger Entry","12 Quantity","5 Source no.",$C2059,"3 Posting Date",O$9,"4 Entry Type",$C$4,"2 Item No.","@@"&amp;$F2059)</t>
  </si>
  <si>
    <t>=-NL("Sum","32 Item Ledger Entry","12 Quantity","5 Source no.",$C2060,"3 Posting Date",O$9,"4 Entry Type",$C$4,"2 Item No.","@@"&amp;$F2060)</t>
  </si>
  <si>
    <t>=-NL("Sum","32 Item Ledger Entry","12 Quantity","5 Source no.",$C2061,"3 Posting Date",O$9,"4 Entry Type",$C$4,"2 Item No.","@@"&amp;$F2061)</t>
  </si>
  <si>
    <t>=-NL("Sum","32 Item Ledger Entry","12 Quantity","5 Source no.",$C2062,"3 Posting Date",O$9,"4 Entry Type",$C$4,"2 Item No.","@@"&amp;$F2062)</t>
  </si>
  <si>
    <t>=-NL("Sum","32 Item Ledger Entry","12 Quantity","5 Source no.",$C2063,"3 Posting Date",O$9,"4 Entry Type",$C$4,"2 Item No.","@@"&amp;$F2063)</t>
  </si>
  <si>
    <t>=-NL("Sum","32 Item Ledger Entry","12 Quantity","5 Source no.",$C2064,"3 Posting Date",O$9,"4 Entry Type",$C$4,"2 Item No.","@@"&amp;$F2064)</t>
  </si>
  <si>
    <t>=-NL("Sum","32 Item Ledger Entry","12 Quantity","5 Source no.",$C2065,"3 Posting Date",O$9,"4 Entry Type",$C$4,"2 Item No.","@@"&amp;$F2065)</t>
  </si>
  <si>
    <t>=-NL("Sum","32 Item Ledger Entry","12 Quantity","5 Source no.",$C2066,"3 Posting Date",O$9,"4 Entry Type",$C$4,"2 Item No.","@@"&amp;$F2066)</t>
  </si>
  <si>
    <t>=-NL("Sum","32 Item Ledger Entry","12 Quantity","5 Source no.",$C2067,"3 Posting Date",O$9,"4 Entry Type",$C$4,"2 Item No.","@@"&amp;$F2067)</t>
  </si>
  <si>
    <t>=-NL("Sum","32 Item Ledger Entry","12 Quantity","5 Source no.",$C2068,"3 Posting Date",O$9,"4 Entry Type",$C$4,"2 Item No.","@@"&amp;$F2068)</t>
  </si>
  <si>
    <t>=-NL("Sum","32 Item Ledger Entry","12 Quantity","5 Source no.",$C2069,"3 Posting Date",O$9,"4 Entry Type",$C$4,"2 Item No.","@@"&amp;$F2069)</t>
  </si>
  <si>
    <t>=-NL("Sum","32 Item Ledger Entry","12 Quantity","5 Source no.",$C2070,"3 Posting Date",O$9,"4 Entry Type",$C$4,"2 Item No.","@@"&amp;$F2070)</t>
  </si>
  <si>
    <t>=-NL("Sum","32 Item Ledger Entry","12 Quantity","5 Source no.",$C2071,"3 Posting Date",O$9,"4 Entry Type",$C$4,"2 Item No.","@@"&amp;$F2071)</t>
  </si>
  <si>
    <t>=-NL("Sum","32 Item Ledger Entry","12 Quantity","5 Source no.",$C2072,"3 Posting Date",O$9,"4 Entry Type",$C$4,"2 Item No.","@@"&amp;$F2072)</t>
  </si>
  <si>
    <t>=-NL("Sum","32 Item Ledger Entry","12 Quantity","5 Source no.",$C2073,"3 Posting Date",O$9,"4 Entry Type",$C$4,"2 Item No.","@@"&amp;$F2073)</t>
  </si>
  <si>
    <t>=-NL("Sum","32 Item Ledger Entry","12 Quantity","5 Source no.",$C2074,"3 Posting Date",O$9,"4 Entry Type",$C$4,"2 Item No.","@@"&amp;$F2074)</t>
  </si>
  <si>
    <t>=-NL("Sum","32 Item Ledger Entry","12 Quantity","5 Source no.",$C2075,"3 Posting Date",O$9,"4 Entry Type",$C$4,"2 Item No.","@@"&amp;$F2075)</t>
  </si>
  <si>
    <t>=-NL("Sum","32 Item Ledger Entry","12 Quantity","5 Source no.",$C2076,"3 Posting Date",O$9,"4 Entry Type",$C$4,"2 Item No.","@@"&amp;$F2076)</t>
  </si>
  <si>
    <t>=-NL("Sum","32 Item Ledger Entry","12 Quantity","5 Source no.",$C2077,"3 Posting Date",O$9,"4 Entry Type",$C$4,"2 Item No.","@@"&amp;$F2077)</t>
  </si>
  <si>
    <t>=-NL("Sum","32 Item Ledger Entry","12 Quantity","5 Source no.",$C2078,"3 Posting Date",O$9,"4 Entry Type",$C$4,"2 Item No.","@@"&amp;$F2078)</t>
  </si>
  <si>
    <t>=-NL("Sum","32 Item Ledger Entry","12 Quantity","5 Source no.",$C2079,"3 Posting Date",O$9,"4 Entry Type",$C$4,"2 Item No.","@@"&amp;$F2079)</t>
  </si>
  <si>
    <t>=-NL("Sum","32 Item Ledger Entry","12 Quantity","5 Source no.",$C2080,"3 Posting Date",O$9,"4 Entry Type",$C$4,"2 Item No.","@@"&amp;$F2080)</t>
  </si>
  <si>
    <t>=-NL("Sum","32 Item Ledger Entry","12 Quantity","5 Source no.",$C2081,"3 Posting Date",O$9,"4 Entry Type",$C$4,"2 Item No.","@@"&amp;$F2081)</t>
  </si>
  <si>
    <t>=-NL("Sum","32 Item Ledger Entry","12 Quantity","5 Source no.",$C2082,"3 Posting Date",O$9,"4 Entry Type",$C$4,"2 Item No.","@@"&amp;$F2082)</t>
  </si>
  <si>
    <t>=-NL("Sum","32 Item Ledger Entry","12 Quantity","5 Source no.",$C2083,"3 Posting Date",O$9,"4 Entry Type",$C$4,"2 Item No.","@@"&amp;$F2083)</t>
  </si>
  <si>
    <t>=-NL("Sum","32 Item Ledger Entry","12 Quantity","5 Source no.",$C2084,"3 Posting Date",O$9,"4 Entry Type",$C$4,"2 Item No.","@@"&amp;$F2084)</t>
  </si>
  <si>
    <t>=-NL("Sum","32 Item Ledger Entry","12 Quantity","5 Source no.",$C2085,"3 Posting Date",O$9,"4 Entry Type",$C$4,"2 Item No.","@@"&amp;$F2085)</t>
  </si>
  <si>
    <t>=-NL("Sum","32 Item Ledger Entry","12 Quantity","5 Source no.",$C2086,"3 Posting Date",O$9,"4 Entry Type",$C$4,"2 Item No.","@@"&amp;$F2086)</t>
  </si>
  <si>
    <t>=-NL("Sum","32 Item Ledger Entry","12 Quantity","5 Source no.",$C2087,"3 Posting Date",O$9,"4 Entry Type",$C$4,"2 Item No.","@@"&amp;$F2087)</t>
  </si>
  <si>
    <t>=-NL("Sum","32 Item Ledger Entry","12 Quantity","5 Source no.",$C2088,"3 Posting Date",O$9,"4 Entry Type",$C$4,"2 Item No.","@@"&amp;$F2088)</t>
  </si>
  <si>
    <t>=-NL("Sum","32 Item Ledger Entry","12 Quantity","5 Source no.",$C2089,"3 Posting Date",O$9,"4 Entry Type",$C$4,"2 Item No.","@@"&amp;$F2089)</t>
  </si>
  <si>
    <t>=-NL("Sum","32 Item Ledger Entry","12 Quantity","5 Source no.",$C2090,"3 Posting Date",O$9,"4 Entry Type",$C$4,"2 Item No.","@@"&amp;$F2090)</t>
  </si>
  <si>
    <t>=-NL("Sum","32 Item Ledger Entry","12 Quantity","5 Source no.",$C2091,"3 Posting Date",O$9,"4 Entry Type",$C$4,"2 Item No.","@@"&amp;$F2091)</t>
  </si>
  <si>
    <t>=-NL("Sum","32 Item Ledger Entry","12 Quantity","5 Source no.",$C2039,"3 Posting Date",U$9,"4 Entry Type",$C$4,"2 Item No.","@@"&amp;$F2039)</t>
  </si>
  <si>
    <t>=-NL("Sum","32 Item Ledger Entry","12 Quantity","5 Source no.",$C2040,"3 Posting Date",U$9,"4 Entry Type",$C$4,"2 Item No.","@@"&amp;$F2040)</t>
  </si>
  <si>
    <t>=-NL("Sum","32 Item Ledger Entry","12 Quantity","5 Source no.",$C2041,"3 Posting Date",U$9,"4 Entry Type",$C$4,"2 Item No.","@@"&amp;$F2041)</t>
  </si>
  <si>
    <t>=-NL("Sum","32 Item Ledger Entry","12 Quantity","5 Source no.",$C2042,"3 Posting Date",U$9,"4 Entry Type",$C$4,"2 Item No.","@@"&amp;$F2042)</t>
  </si>
  <si>
    <t>=-NL("Sum","32 Item Ledger Entry","12 Quantity","5 Source no.",$C2043,"3 Posting Date",U$9,"4 Entry Type",$C$4,"2 Item No.","@@"&amp;$F2043)</t>
  </si>
  <si>
    <t>=-NL("Sum","32 Item Ledger Entry","12 Quantity","5 Source no.",$C2044,"3 Posting Date",U$9,"4 Entry Type",$C$4,"2 Item No.","@@"&amp;$F2044)</t>
  </si>
  <si>
    <t>=-NL("Sum","32 Item Ledger Entry","12 Quantity","5 Source no.",$C2045,"3 Posting Date",U$9,"4 Entry Type",$C$4,"2 Item No.","@@"&amp;$F2045)</t>
  </si>
  <si>
    <t>=-NL("Sum","32 Item Ledger Entry","12 Quantity","5 Source no.",$C2046,"3 Posting Date",U$9,"4 Entry Type",$C$4,"2 Item No.","@@"&amp;$F2046)</t>
  </si>
  <si>
    <t>=-NL("Sum","32 Item Ledger Entry","12 Quantity","5 Source no.",$C2047,"3 Posting Date",U$9,"4 Entry Type",$C$4,"2 Item No.","@@"&amp;$F2047)</t>
  </si>
  <si>
    <t>=-NL("Sum","32 Item Ledger Entry","12 Quantity","5 Source no.",$C2048,"3 Posting Date",U$9,"4 Entry Type",$C$4,"2 Item No.","@@"&amp;$F2048)</t>
  </si>
  <si>
    <t>=-NL("Sum","32 Item Ledger Entry","12 Quantity","5 Source no.",$C2049,"3 Posting Date",U$9,"4 Entry Type",$C$4,"2 Item No.","@@"&amp;$F2049)</t>
  </si>
  <si>
    <t>=-NL("Sum","32 Item Ledger Entry","12 Quantity","5 Source no.",$C2050,"3 Posting Date",U$9,"4 Entry Type",$C$4,"2 Item No.","@@"&amp;$F2050)</t>
  </si>
  <si>
    <t>=-NL("Sum","32 Item Ledger Entry","12 Quantity","5 Source no.",$C2051,"3 Posting Date",U$9,"4 Entry Type",$C$4,"2 Item No.","@@"&amp;$F2051)</t>
  </si>
  <si>
    <t>=-NL("Sum","32 Item Ledger Entry","12 Quantity","5 Source no.",$C2052,"3 Posting Date",U$9,"4 Entry Type",$C$4,"2 Item No.","@@"&amp;$F2052)</t>
  </si>
  <si>
    <t>=-NL("Sum","32 Item Ledger Entry","12 Quantity","5 Source no.",$C2053,"3 Posting Date",U$9,"4 Entry Type",$C$4,"2 Item No.","@@"&amp;$F2053)</t>
  </si>
  <si>
    <t>=-NL("Sum","32 Item Ledger Entry","12 Quantity","5 Source no.",$C2054,"3 Posting Date",U$9,"4 Entry Type",$C$4,"2 Item No.","@@"&amp;$F2054)</t>
  </si>
  <si>
    <t>=-NL("Sum","32 Item Ledger Entry","12 Quantity","5 Source no.",$C2055,"3 Posting Date",U$9,"4 Entry Type",$C$4,"2 Item No.","@@"&amp;$F2055)</t>
  </si>
  <si>
    <t>=-NL("Sum","32 Item Ledger Entry","12 Quantity","5 Source no.",$C2056,"3 Posting Date",U$9,"4 Entry Type",$C$4,"2 Item No.","@@"&amp;$F2056)</t>
  </si>
  <si>
    <t>=-NL("Sum","32 Item Ledger Entry","12 Quantity","5 Source no.",$C2057,"3 Posting Date",U$9,"4 Entry Type",$C$4,"2 Item No.","@@"&amp;$F2057)</t>
  </si>
  <si>
    <t>=-NL("Sum","32 Item Ledger Entry","12 Quantity","5 Source no.",$C2058,"3 Posting Date",U$9,"4 Entry Type",$C$4,"2 Item No.","@@"&amp;$F2058)</t>
  </si>
  <si>
    <t>=-NL("Sum","32 Item Ledger Entry","12 Quantity","5 Source no.",$C2059,"3 Posting Date",U$9,"4 Entry Type",$C$4,"2 Item No.","@@"&amp;$F2059)</t>
  </si>
  <si>
    <t>=-NL("Sum","32 Item Ledger Entry","12 Quantity","5 Source no.",$C2060,"3 Posting Date",U$9,"4 Entry Type",$C$4,"2 Item No.","@@"&amp;$F2060)</t>
  </si>
  <si>
    <t>=-NL("Sum","32 Item Ledger Entry","12 Quantity","5 Source no.",$C2061,"3 Posting Date",U$9,"4 Entry Type",$C$4,"2 Item No.","@@"&amp;$F2061)</t>
  </si>
  <si>
    <t>=-NL("Sum","32 Item Ledger Entry","12 Quantity","5 Source no.",$C2062,"3 Posting Date",U$9,"4 Entry Type",$C$4,"2 Item No.","@@"&amp;$F2062)</t>
  </si>
  <si>
    <t>=-NL("Sum","32 Item Ledger Entry","12 Quantity","5 Source no.",$C2063,"3 Posting Date",U$9,"4 Entry Type",$C$4,"2 Item No.","@@"&amp;$F2063)</t>
  </si>
  <si>
    <t>=-NL("Sum","32 Item Ledger Entry","12 Quantity","5 Source no.",$C2064,"3 Posting Date",U$9,"4 Entry Type",$C$4,"2 Item No.","@@"&amp;$F2064)</t>
  </si>
  <si>
    <t>=-NL("Sum","32 Item Ledger Entry","12 Quantity","5 Source no.",$C2065,"3 Posting Date",U$9,"4 Entry Type",$C$4,"2 Item No.","@@"&amp;$F2065)</t>
  </si>
  <si>
    <t>=-NL("Sum","32 Item Ledger Entry","12 Quantity","5 Source no.",$C2066,"3 Posting Date",U$9,"4 Entry Type",$C$4,"2 Item No.","@@"&amp;$F2066)</t>
  </si>
  <si>
    <t>=-NL("Sum","32 Item Ledger Entry","12 Quantity","5 Source no.",$C2067,"3 Posting Date",U$9,"4 Entry Type",$C$4,"2 Item No.","@@"&amp;$F2067)</t>
  </si>
  <si>
    <t>=-NL("Sum","32 Item Ledger Entry","12 Quantity","5 Source no.",$C2068,"3 Posting Date",U$9,"4 Entry Type",$C$4,"2 Item No.","@@"&amp;$F2068)</t>
  </si>
  <si>
    <t>=-NL("Sum","32 Item Ledger Entry","12 Quantity","5 Source no.",$C2069,"3 Posting Date",U$9,"4 Entry Type",$C$4,"2 Item No.","@@"&amp;$F2069)</t>
  </si>
  <si>
    <t>=-NL("Sum","32 Item Ledger Entry","12 Quantity","5 Source no.",$C2070,"3 Posting Date",U$9,"4 Entry Type",$C$4,"2 Item No.","@@"&amp;$F2070)</t>
  </si>
  <si>
    <t>=-NL("Sum","32 Item Ledger Entry","12 Quantity","5 Source no.",$C2071,"3 Posting Date",U$9,"4 Entry Type",$C$4,"2 Item No.","@@"&amp;$F2071)</t>
  </si>
  <si>
    <t>=-NL("Sum","32 Item Ledger Entry","12 Quantity","5 Source no.",$C2072,"3 Posting Date",U$9,"4 Entry Type",$C$4,"2 Item No.","@@"&amp;$F2072)</t>
  </si>
  <si>
    <t>=-NL("Sum","32 Item Ledger Entry","12 Quantity","5 Source no.",$C2073,"3 Posting Date",U$9,"4 Entry Type",$C$4,"2 Item No.","@@"&amp;$F2073)</t>
  </si>
  <si>
    <t>=-NL("Sum","32 Item Ledger Entry","12 Quantity","5 Source no.",$C2074,"3 Posting Date",U$9,"4 Entry Type",$C$4,"2 Item No.","@@"&amp;$F2074)</t>
  </si>
  <si>
    <t>=-NL("Sum","32 Item Ledger Entry","12 Quantity","5 Source no.",$C2075,"3 Posting Date",U$9,"4 Entry Type",$C$4,"2 Item No.","@@"&amp;$F2075)</t>
  </si>
  <si>
    <t>=-NL("Sum","32 Item Ledger Entry","12 Quantity","5 Source no.",$C2076,"3 Posting Date",U$9,"4 Entry Type",$C$4,"2 Item No.","@@"&amp;$F2076)</t>
  </si>
  <si>
    <t>=-NL("Sum","32 Item Ledger Entry","12 Quantity","5 Source no.",$C2077,"3 Posting Date",U$9,"4 Entry Type",$C$4,"2 Item No.","@@"&amp;$F2077)</t>
  </si>
  <si>
    <t>=-NL("Sum","32 Item Ledger Entry","12 Quantity","5 Source no.",$C2078,"3 Posting Date",U$9,"4 Entry Type",$C$4,"2 Item No.","@@"&amp;$F2078)</t>
  </si>
  <si>
    <t>=-NL("Sum","32 Item Ledger Entry","12 Quantity","5 Source no.",$C2079,"3 Posting Date",U$9,"4 Entry Type",$C$4,"2 Item No.","@@"&amp;$F2079)</t>
  </si>
  <si>
    <t>=-NL("Sum","32 Item Ledger Entry","12 Quantity","5 Source no.",$C2080,"3 Posting Date",U$9,"4 Entry Type",$C$4,"2 Item No.","@@"&amp;$F2080)</t>
  </si>
  <si>
    <t>=-NL("Sum","32 Item Ledger Entry","12 Quantity","5 Source no.",$C2081,"3 Posting Date",U$9,"4 Entry Type",$C$4,"2 Item No.","@@"&amp;$F2081)</t>
  </si>
  <si>
    <t>=-NL("Sum","32 Item Ledger Entry","12 Quantity","5 Source no.",$C2082,"3 Posting Date",U$9,"4 Entry Type",$C$4,"2 Item No.","@@"&amp;$F2082)</t>
  </si>
  <si>
    <t>=-NL("Sum","32 Item Ledger Entry","12 Quantity","5 Source no.",$C2083,"3 Posting Date",U$9,"4 Entry Type",$C$4,"2 Item No.","@@"&amp;$F2083)</t>
  </si>
  <si>
    <t>=-NL("Sum","32 Item Ledger Entry","12 Quantity","5 Source no.",$C2084,"3 Posting Date",U$9,"4 Entry Type",$C$4,"2 Item No.","@@"&amp;$F2084)</t>
  </si>
  <si>
    <t>=-NL("Sum","32 Item Ledger Entry","12 Quantity","5 Source no.",$C2085,"3 Posting Date",U$9,"4 Entry Type",$C$4,"2 Item No.","@@"&amp;$F2085)</t>
  </si>
  <si>
    <t>=-NL("Sum","32 Item Ledger Entry","12 Quantity","5 Source no.",$C2086,"3 Posting Date",U$9,"4 Entry Type",$C$4,"2 Item No.","@@"&amp;$F2086)</t>
  </si>
  <si>
    <t>=-NL("Sum","32 Item Ledger Entry","12 Quantity","5 Source no.",$C2087,"3 Posting Date",U$9,"4 Entry Type",$C$4,"2 Item No.","@@"&amp;$F2087)</t>
  </si>
  <si>
    <t>=-NL("Sum","32 Item Ledger Entry","12 Quantity","5 Source no.",$C2088,"3 Posting Date",U$9,"4 Entry Type",$C$4,"2 Item No.","@@"&amp;$F2088)</t>
  </si>
  <si>
    <t>=-NL("Sum","32 Item Ledger Entry","12 Quantity","5 Source no.",$C2089,"3 Posting Date",U$9,"4 Entry Type",$C$4,"2 Item No.","@@"&amp;$F2089)</t>
  </si>
  <si>
    <t>=-NL("Sum","32 Item Ledger Entry","12 Quantity","5 Source no.",$C2090,"3 Posting Date",U$9,"4 Entry Type",$C$4,"2 Item No.","@@"&amp;$F2090)</t>
  </si>
  <si>
    <t>=-NL("Sum","32 Item Ledger Entry","12 Quantity","5 Source no.",$C2091,"3 Posting Date",U$9,"4 Entry Type",$C$4,"2 Item No.","@@"&amp;$F2091)</t>
  </si>
  <si>
    <t>=-NL("Sum","32 Item Ledger Entry","12 Quantity","5 Source no.",$C2039,"3 Posting Date",Z$9,"4 Entry Type",$C$4,"2 Item No.","@@"&amp;$F2039)</t>
  </si>
  <si>
    <t>=-NL("Sum","32 Item Ledger Entry","12 Quantity","5 Source no.",$C2040,"3 Posting Date",Z$9,"4 Entry Type",$C$4,"2 Item No.","@@"&amp;$F2040)</t>
  </si>
  <si>
    <t>=-NL("Sum","32 Item Ledger Entry","12 Quantity","5 Source no.",$C2041,"3 Posting Date",Z$9,"4 Entry Type",$C$4,"2 Item No.","@@"&amp;$F2041)</t>
  </si>
  <si>
    <t>=-NL("Sum","32 Item Ledger Entry","12 Quantity","5 Source no.",$C2042,"3 Posting Date",Z$9,"4 Entry Type",$C$4,"2 Item No.","@@"&amp;$F2042)</t>
  </si>
  <si>
    <t>=-NL("Sum","32 Item Ledger Entry","12 Quantity","5 Source no.",$C2043,"3 Posting Date",Z$9,"4 Entry Type",$C$4,"2 Item No.","@@"&amp;$F2043)</t>
  </si>
  <si>
    <t>=-NL("Sum","32 Item Ledger Entry","12 Quantity","5 Source no.",$C2044,"3 Posting Date",Z$9,"4 Entry Type",$C$4,"2 Item No.","@@"&amp;$F2044)</t>
  </si>
  <si>
    <t>=-NL("Sum","32 Item Ledger Entry","12 Quantity","5 Source no.",$C2045,"3 Posting Date",Z$9,"4 Entry Type",$C$4,"2 Item No.","@@"&amp;$F2045)</t>
  </si>
  <si>
    <t>=-NL("Sum","32 Item Ledger Entry","12 Quantity","5 Source no.",$C2046,"3 Posting Date",Z$9,"4 Entry Type",$C$4,"2 Item No.","@@"&amp;$F2046)</t>
  </si>
  <si>
    <t>=-NL("Sum","32 Item Ledger Entry","12 Quantity","5 Source no.",$C2047,"3 Posting Date",Z$9,"4 Entry Type",$C$4,"2 Item No.","@@"&amp;$F2047)</t>
  </si>
  <si>
    <t>=-NL("Sum","32 Item Ledger Entry","12 Quantity","5 Source no.",$C2048,"3 Posting Date",Z$9,"4 Entry Type",$C$4,"2 Item No.","@@"&amp;$F2048)</t>
  </si>
  <si>
    <t>=-NL("Sum","32 Item Ledger Entry","12 Quantity","5 Source no.",$C2049,"3 Posting Date",Z$9,"4 Entry Type",$C$4,"2 Item No.","@@"&amp;$F2049)</t>
  </si>
  <si>
    <t>=-NL("Sum","32 Item Ledger Entry","12 Quantity","5 Source no.",$C2050,"3 Posting Date",Z$9,"4 Entry Type",$C$4,"2 Item No.","@@"&amp;$F2050)</t>
  </si>
  <si>
    <t>=-NL("Sum","32 Item Ledger Entry","12 Quantity","5 Source no.",$C2051,"3 Posting Date",Z$9,"4 Entry Type",$C$4,"2 Item No.","@@"&amp;$F2051)</t>
  </si>
  <si>
    <t>=-NL("Sum","32 Item Ledger Entry","12 Quantity","5 Source no.",$C2052,"3 Posting Date",Z$9,"4 Entry Type",$C$4,"2 Item No.","@@"&amp;$F2052)</t>
  </si>
  <si>
    <t>=-NL("Sum","32 Item Ledger Entry","12 Quantity","5 Source no.",$C2053,"3 Posting Date",Z$9,"4 Entry Type",$C$4,"2 Item No.","@@"&amp;$F2053)</t>
  </si>
  <si>
    <t>=-NL("Sum","32 Item Ledger Entry","12 Quantity","5 Source no.",$C2054,"3 Posting Date",Z$9,"4 Entry Type",$C$4,"2 Item No.","@@"&amp;$F2054)</t>
  </si>
  <si>
    <t>=-NL("Sum","32 Item Ledger Entry","12 Quantity","5 Source no.",$C2055,"3 Posting Date",Z$9,"4 Entry Type",$C$4,"2 Item No.","@@"&amp;$F2055)</t>
  </si>
  <si>
    <t>=-NL("Sum","32 Item Ledger Entry","12 Quantity","5 Source no.",$C2056,"3 Posting Date",Z$9,"4 Entry Type",$C$4,"2 Item No.","@@"&amp;$F2056)</t>
  </si>
  <si>
    <t>=-NL("Sum","32 Item Ledger Entry","12 Quantity","5 Source no.",$C2057,"3 Posting Date",Z$9,"4 Entry Type",$C$4,"2 Item No.","@@"&amp;$F2057)</t>
  </si>
  <si>
    <t>=-NL("Sum","32 Item Ledger Entry","12 Quantity","5 Source no.",$C2058,"3 Posting Date",Z$9,"4 Entry Type",$C$4,"2 Item No.","@@"&amp;$F2058)</t>
  </si>
  <si>
    <t>=-NL("Sum","32 Item Ledger Entry","12 Quantity","5 Source no.",$C2059,"3 Posting Date",Z$9,"4 Entry Type",$C$4,"2 Item No.","@@"&amp;$F2059)</t>
  </si>
  <si>
    <t>=-NL("Sum","32 Item Ledger Entry","12 Quantity","5 Source no.",$C2060,"3 Posting Date",Z$9,"4 Entry Type",$C$4,"2 Item No.","@@"&amp;$F2060)</t>
  </si>
  <si>
    <t>=-NL("Sum","32 Item Ledger Entry","12 Quantity","5 Source no.",$C2061,"3 Posting Date",Z$9,"4 Entry Type",$C$4,"2 Item No.","@@"&amp;$F2061)</t>
  </si>
  <si>
    <t>=-NL("Sum","32 Item Ledger Entry","12 Quantity","5 Source no.",$C2062,"3 Posting Date",Z$9,"4 Entry Type",$C$4,"2 Item No.","@@"&amp;$F2062)</t>
  </si>
  <si>
    <t>=-NL("Sum","32 Item Ledger Entry","12 Quantity","5 Source no.",$C2063,"3 Posting Date",Z$9,"4 Entry Type",$C$4,"2 Item No.","@@"&amp;$F2063)</t>
  </si>
  <si>
    <t>=-NL("Sum","32 Item Ledger Entry","12 Quantity","5 Source no.",$C2064,"3 Posting Date",Z$9,"4 Entry Type",$C$4,"2 Item No.","@@"&amp;$F2064)</t>
  </si>
  <si>
    <t>=-NL("Sum","32 Item Ledger Entry","12 Quantity","5 Source no.",$C2065,"3 Posting Date",Z$9,"4 Entry Type",$C$4,"2 Item No.","@@"&amp;$F2065)</t>
  </si>
  <si>
    <t>=-NL("Sum","32 Item Ledger Entry","12 Quantity","5 Source no.",$C2066,"3 Posting Date",Z$9,"4 Entry Type",$C$4,"2 Item No.","@@"&amp;$F2066)</t>
  </si>
  <si>
    <t>=-NL("Sum","32 Item Ledger Entry","12 Quantity","5 Source no.",$C2067,"3 Posting Date",Z$9,"4 Entry Type",$C$4,"2 Item No.","@@"&amp;$F2067)</t>
  </si>
  <si>
    <t>=-NL("Sum","32 Item Ledger Entry","12 Quantity","5 Source no.",$C2068,"3 Posting Date",Z$9,"4 Entry Type",$C$4,"2 Item No.","@@"&amp;$F2068)</t>
  </si>
  <si>
    <t>=-NL("Sum","32 Item Ledger Entry","12 Quantity","5 Source no.",$C2069,"3 Posting Date",Z$9,"4 Entry Type",$C$4,"2 Item No.","@@"&amp;$F2069)</t>
  </si>
  <si>
    <t>=-NL("Sum","32 Item Ledger Entry","12 Quantity","5 Source no.",$C2070,"3 Posting Date",Z$9,"4 Entry Type",$C$4,"2 Item No.","@@"&amp;$F2070)</t>
  </si>
  <si>
    <t>=-NL("Sum","32 Item Ledger Entry","12 Quantity","5 Source no.",$C2071,"3 Posting Date",Z$9,"4 Entry Type",$C$4,"2 Item No.","@@"&amp;$F2071)</t>
  </si>
  <si>
    <t>=-NL("Sum","32 Item Ledger Entry","12 Quantity","5 Source no.",$C2072,"3 Posting Date",Z$9,"4 Entry Type",$C$4,"2 Item No.","@@"&amp;$F2072)</t>
  </si>
  <si>
    <t>=-NL("Sum","32 Item Ledger Entry","12 Quantity","5 Source no.",$C2073,"3 Posting Date",Z$9,"4 Entry Type",$C$4,"2 Item No.","@@"&amp;$F2073)</t>
  </si>
  <si>
    <t>=-NL("Sum","32 Item Ledger Entry","12 Quantity","5 Source no.",$C2074,"3 Posting Date",Z$9,"4 Entry Type",$C$4,"2 Item No.","@@"&amp;$F2074)</t>
  </si>
  <si>
    <t>=-NL("Sum","32 Item Ledger Entry","12 Quantity","5 Source no.",$C2075,"3 Posting Date",Z$9,"4 Entry Type",$C$4,"2 Item No.","@@"&amp;$F2075)</t>
  </si>
  <si>
    <t>=-NL("Sum","32 Item Ledger Entry","12 Quantity","5 Source no.",$C2076,"3 Posting Date",Z$9,"4 Entry Type",$C$4,"2 Item No.","@@"&amp;$F2076)</t>
  </si>
  <si>
    <t>=-NL("Sum","32 Item Ledger Entry","12 Quantity","5 Source no.",$C2077,"3 Posting Date",Z$9,"4 Entry Type",$C$4,"2 Item No.","@@"&amp;$F2077)</t>
  </si>
  <si>
    <t>=-NL("Sum","32 Item Ledger Entry","12 Quantity","5 Source no.",$C2078,"3 Posting Date",Z$9,"4 Entry Type",$C$4,"2 Item No.","@@"&amp;$F2078)</t>
  </si>
  <si>
    <t>=-NL("Sum","32 Item Ledger Entry","12 Quantity","5 Source no.",$C2079,"3 Posting Date",Z$9,"4 Entry Type",$C$4,"2 Item No.","@@"&amp;$F2079)</t>
  </si>
  <si>
    <t>=-NL("Sum","32 Item Ledger Entry","12 Quantity","5 Source no.",$C2080,"3 Posting Date",Z$9,"4 Entry Type",$C$4,"2 Item No.","@@"&amp;$F2080)</t>
  </si>
  <si>
    <t>=-NL("Sum","32 Item Ledger Entry","12 Quantity","5 Source no.",$C2081,"3 Posting Date",Z$9,"4 Entry Type",$C$4,"2 Item No.","@@"&amp;$F2081)</t>
  </si>
  <si>
    <t>=-NL("Sum","32 Item Ledger Entry","12 Quantity","5 Source no.",$C2082,"3 Posting Date",Z$9,"4 Entry Type",$C$4,"2 Item No.","@@"&amp;$F2082)</t>
  </si>
  <si>
    <t>=-NL("Sum","32 Item Ledger Entry","12 Quantity","5 Source no.",$C2083,"3 Posting Date",Z$9,"4 Entry Type",$C$4,"2 Item No.","@@"&amp;$F2083)</t>
  </si>
  <si>
    <t>=-NL("Sum","32 Item Ledger Entry","12 Quantity","5 Source no.",$C2084,"3 Posting Date",Z$9,"4 Entry Type",$C$4,"2 Item No.","@@"&amp;$F2084)</t>
  </si>
  <si>
    <t>=-NL("Sum","32 Item Ledger Entry","12 Quantity","5 Source no.",$C2085,"3 Posting Date",Z$9,"4 Entry Type",$C$4,"2 Item No.","@@"&amp;$F2085)</t>
  </si>
  <si>
    <t>=-NL("Sum","32 Item Ledger Entry","12 Quantity","5 Source no.",$C2086,"3 Posting Date",Z$9,"4 Entry Type",$C$4,"2 Item No.","@@"&amp;$F2086)</t>
  </si>
  <si>
    <t>=-NL("Sum","32 Item Ledger Entry","12 Quantity","5 Source no.",$C2087,"3 Posting Date",Z$9,"4 Entry Type",$C$4,"2 Item No.","@@"&amp;$F2087)</t>
  </si>
  <si>
    <t>=-NL("Sum","32 Item Ledger Entry","12 Quantity","5 Source no.",$C2088,"3 Posting Date",Z$9,"4 Entry Type",$C$4,"2 Item No.","@@"&amp;$F2088)</t>
  </si>
  <si>
    <t>=-NL("Sum","32 Item Ledger Entry","12 Quantity","5 Source no.",$C2089,"3 Posting Date",Z$9,"4 Entry Type",$C$4,"2 Item No.","@@"&amp;$F2089)</t>
  </si>
  <si>
    <t>=-NL("Sum","32 Item Ledger Entry","12 Quantity","5 Source no.",$C2090,"3 Posting Date",Z$9,"4 Entry Type",$C$4,"2 Item No.","@@"&amp;$F2090)</t>
  </si>
  <si>
    <t>=-NL("Sum","32 Item Ledger Entry","12 Quantity","5 Source no.",$C2091,"3 Posting Date",Z$9,"4 Entry Type",$C$4,"2 Item No.","@@"&amp;$F2091)</t>
  </si>
  <si>
    <t>=NL(,"27 Item","3 Description","1 No.","@@"&amp;F1993)</t>
  </si>
  <si>
    <t>=NL(,"27 Item","3 Description","1 No.","@@"&amp;F1994)</t>
  </si>
  <si>
    <t>=NL(,"27 Item","3 Description","1 No.","@@"&amp;F1995)</t>
  </si>
  <si>
    <t>=NL(,"27 Item","3 Description","1 No.","@@"&amp;F1996)</t>
  </si>
  <si>
    <t>=NL(,"27 Item","3 Description","1 No.","@@"&amp;F1997)</t>
  </si>
  <si>
    <t>=NL(,"27 Item","3 Description","1 No.","@@"&amp;F1998)</t>
  </si>
  <si>
    <t>=NL(,"27 Item","3 Description","1 No.","@@"&amp;F1999)</t>
  </si>
  <si>
    <t>=NL(,"27 Item","3 Description","1 No.","@@"&amp;F2000)</t>
  </si>
  <si>
    <t>=NL(,"27 Item","3 Description","1 No.","@@"&amp;F2001)</t>
  </si>
  <si>
    <t>=NL(,"27 Item","3 Description","1 No.","@@"&amp;F2002)</t>
  </si>
  <si>
    <t>=NL(,"27 Item","3 Description","1 No.","@@"&amp;F2003)</t>
  </si>
  <si>
    <t>=NL(,"27 Item","3 Description","1 No.","@@"&amp;F2004)</t>
  </si>
  <si>
    <t>=NL(,"27 Item","3 Description","1 No.","@@"&amp;F2005)</t>
  </si>
  <si>
    <t>=NL(,"27 Item","3 Description","1 No.","@@"&amp;F2006)</t>
  </si>
  <si>
    <t>=NL(,"27 Item","3 Description","1 No.","@@"&amp;F2007)</t>
  </si>
  <si>
    <t>=NL(,"27 Item","3 Description","1 No.","@@"&amp;F2008)</t>
  </si>
  <si>
    <t>=NL(,"27 Item","3 Description","1 No.","@@"&amp;F2009)</t>
  </si>
  <si>
    <t>=NL(,"27 Item","3 Description","1 No.","@@"&amp;F2010)</t>
  </si>
  <si>
    <t>=NL(,"27 Item","3 Description","1 No.","@@"&amp;F2011)</t>
  </si>
  <si>
    <t>=NL(,"27 Item","3 Description","1 No.","@@"&amp;F2012)</t>
  </si>
  <si>
    <t>=NL(,"27 Item","3 Description","1 No.","@@"&amp;F2013)</t>
  </si>
  <si>
    <t>=NL(,"27 Item","3 Description","1 No.","@@"&amp;F2014)</t>
  </si>
  <si>
    <t>=NL(,"27 Item","3 Description","1 No.","@@"&amp;F2015)</t>
  </si>
  <si>
    <t>=NL(,"27 Item","3 Description","1 No.","@@"&amp;F2016)</t>
  </si>
  <si>
    <t>=NL(,"27 Item","3 Description","1 No.","@@"&amp;F2017)</t>
  </si>
  <si>
    <t>=NL(,"27 Item","3 Description","1 No.","@@"&amp;F2018)</t>
  </si>
  <si>
    <t>=NL(,"27 Item","3 Description","1 No.","@@"&amp;F2019)</t>
  </si>
  <si>
    <t>=NL(,"27 Item","3 Description","1 No.","@@"&amp;F2020)</t>
  </si>
  <si>
    <t>=NL(,"27 Item","3 Description","1 No.","@@"&amp;F2021)</t>
  </si>
  <si>
    <t>=NL(,"27 Item","3 Description","1 No.","@@"&amp;F2022)</t>
  </si>
  <si>
    <t>=NL(,"27 Item","3 Description","1 No.","@@"&amp;F2023)</t>
  </si>
  <si>
    <t>=NL(,"27 Item","3 Description","1 No.","@@"&amp;F2024)</t>
  </si>
  <si>
    <t>=NL(,"27 Item","3 Description","1 No.","@@"&amp;F2025)</t>
  </si>
  <si>
    <t>=NL(,"27 Item","3 Description","1 No.","@@"&amp;F2026)</t>
  </si>
  <si>
    <t>=NL(,"27 Item","3 Description","1 No.","@@"&amp;F2027)</t>
  </si>
  <si>
    <t>=NL(,"27 Item","3 Description","1 No.","@@"&amp;F2028)</t>
  </si>
  <si>
    <t>=NL(,"27 Item","3 Description","1 No.","@@"&amp;F2029)</t>
  </si>
  <si>
    <t>=NL(,"27 Item","3 Description","1 No.","@@"&amp;F2030)</t>
  </si>
  <si>
    <t>=NL(,"27 Item","3 Description","1 No.","@@"&amp;F2031)</t>
  </si>
  <si>
    <t>=NL(,"27 Item","3 Description","1 No.","@@"&amp;F2032)</t>
  </si>
  <si>
    <t>=NL(,"27 Item","3 Description","1 No.","@@"&amp;F2033)</t>
  </si>
  <si>
    <t>=-NL("Sum","32 Item Ledger Entry","12 Quantity","5 Source no.",$C1993,"3 Posting Date",J$9,"4 Entry Type",$C$4,"2 Item No.","@@"&amp;$F1993)</t>
  </si>
  <si>
    <t>=-NL("Sum","32 Item Ledger Entry","12 Quantity","5 Source no.",$C1994,"3 Posting Date",J$9,"4 Entry Type",$C$4,"2 Item No.","@@"&amp;$F1994)</t>
  </si>
  <si>
    <t>=-NL("Sum","32 Item Ledger Entry","12 Quantity","5 Source no.",$C1995,"3 Posting Date",J$9,"4 Entry Type",$C$4,"2 Item No.","@@"&amp;$F1995)</t>
  </si>
  <si>
    <t>=-NL("Sum","32 Item Ledger Entry","12 Quantity","5 Source no.",$C1996,"3 Posting Date",J$9,"4 Entry Type",$C$4,"2 Item No.","@@"&amp;$F1996)</t>
  </si>
  <si>
    <t>=-NL("Sum","32 Item Ledger Entry","12 Quantity","5 Source no.",$C1997,"3 Posting Date",J$9,"4 Entry Type",$C$4,"2 Item No.","@@"&amp;$F1997)</t>
  </si>
  <si>
    <t>=-NL("Sum","32 Item Ledger Entry","12 Quantity","5 Source no.",$C1998,"3 Posting Date",J$9,"4 Entry Type",$C$4,"2 Item No.","@@"&amp;$F1998)</t>
  </si>
  <si>
    <t>=-NL("Sum","32 Item Ledger Entry","12 Quantity","5 Source no.",$C1999,"3 Posting Date",J$9,"4 Entry Type",$C$4,"2 Item No.","@@"&amp;$F1999)</t>
  </si>
  <si>
    <t>=-NL("Sum","32 Item Ledger Entry","12 Quantity","5 Source no.",$C2000,"3 Posting Date",J$9,"4 Entry Type",$C$4,"2 Item No.","@@"&amp;$F2000)</t>
  </si>
  <si>
    <t>=-NL("Sum","32 Item Ledger Entry","12 Quantity","5 Source no.",$C2001,"3 Posting Date",J$9,"4 Entry Type",$C$4,"2 Item No.","@@"&amp;$F2001)</t>
  </si>
  <si>
    <t>=-NL("Sum","32 Item Ledger Entry","12 Quantity","5 Source no.",$C2002,"3 Posting Date",J$9,"4 Entry Type",$C$4,"2 Item No.","@@"&amp;$F2002)</t>
  </si>
  <si>
    <t>=-NL("Sum","32 Item Ledger Entry","12 Quantity","5 Source no.",$C2003,"3 Posting Date",J$9,"4 Entry Type",$C$4,"2 Item No.","@@"&amp;$F2003)</t>
  </si>
  <si>
    <t>=-NL("Sum","32 Item Ledger Entry","12 Quantity","5 Source no.",$C2004,"3 Posting Date",J$9,"4 Entry Type",$C$4,"2 Item No.","@@"&amp;$F2004)</t>
  </si>
  <si>
    <t>=-NL("Sum","32 Item Ledger Entry","12 Quantity","5 Source no.",$C2005,"3 Posting Date",J$9,"4 Entry Type",$C$4,"2 Item No.","@@"&amp;$F2005)</t>
  </si>
  <si>
    <t>=-NL("Sum","32 Item Ledger Entry","12 Quantity","5 Source no.",$C2006,"3 Posting Date",J$9,"4 Entry Type",$C$4,"2 Item No.","@@"&amp;$F2006)</t>
  </si>
  <si>
    <t>=-NL("Sum","32 Item Ledger Entry","12 Quantity","5 Source no.",$C2007,"3 Posting Date",J$9,"4 Entry Type",$C$4,"2 Item No.","@@"&amp;$F2007)</t>
  </si>
  <si>
    <t>=-NL("Sum","32 Item Ledger Entry","12 Quantity","5 Source no.",$C2008,"3 Posting Date",J$9,"4 Entry Type",$C$4,"2 Item No.","@@"&amp;$F2008)</t>
  </si>
  <si>
    <t>=-NL("Sum","32 Item Ledger Entry","12 Quantity","5 Source no.",$C2009,"3 Posting Date",J$9,"4 Entry Type",$C$4,"2 Item No.","@@"&amp;$F2009)</t>
  </si>
  <si>
    <t>=-NL("Sum","32 Item Ledger Entry","12 Quantity","5 Source no.",$C2010,"3 Posting Date",J$9,"4 Entry Type",$C$4,"2 Item No.","@@"&amp;$F2010)</t>
  </si>
  <si>
    <t>=-NL("Sum","32 Item Ledger Entry","12 Quantity","5 Source no.",$C2011,"3 Posting Date",J$9,"4 Entry Type",$C$4,"2 Item No.","@@"&amp;$F2011)</t>
  </si>
  <si>
    <t>=-NL("Sum","32 Item Ledger Entry","12 Quantity","5 Source no.",$C2012,"3 Posting Date",J$9,"4 Entry Type",$C$4,"2 Item No.","@@"&amp;$F2012)</t>
  </si>
  <si>
    <t>=-NL("Sum","32 Item Ledger Entry","12 Quantity","5 Source no.",$C2013,"3 Posting Date",J$9,"4 Entry Type",$C$4,"2 Item No.","@@"&amp;$F2013)</t>
  </si>
  <si>
    <t>=-NL("Sum","32 Item Ledger Entry","12 Quantity","5 Source no.",$C2014,"3 Posting Date",J$9,"4 Entry Type",$C$4,"2 Item No.","@@"&amp;$F2014)</t>
  </si>
  <si>
    <t>=-NL("Sum","32 Item Ledger Entry","12 Quantity","5 Source no.",$C2015,"3 Posting Date",J$9,"4 Entry Type",$C$4,"2 Item No.","@@"&amp;$F2015)</t>
  </si>
  <si>
    <t>=-NL("Sum","32 Item Ledger Entry","12 Quantity","5 Source no.",$C2016,"3 Posting Date",J$9,"4 Entry Type",$C$4,"2 Item No.","@@"&amp;$F2016)</t>
  </si>
  <si>
    <t>=-NL("Sum","32 Item Ledger Entry","12 Quantity","5 Source no.",$C2017,"3 Posting Date",J$9,"4 Entry Type",$C$4,"2 Item No.","@@"&amp;$F2017)</t>
  </si>
  <si>
    <t>=-NL("Sum","32 Item Ledger Entry","12 Quantity","5 Source no.",$C2018,"3 Posting Date",J$9,"4 Entry Type",$C$4,"2 Item No.","@@"&amp;$F2018)</t>
  </si>
  <si>
    <t>=-NL("Sum","32 Item Ledger Entry","12 Quantity","5 Source no.",$C2019,"3 Posting Date",J$9,"4 Entry Type",$C$4,"2 Item No.","@@"&amp;$F2019)</t>
  </si>
  <si>
    <t>=-NL("Sum","32 Item Ledger Entry","12 Quantity","5 Source no.",$C2020,"3 Posting Date",J$9,"4 Entry Type",$C$4,"2 Item No.","@@"&amp;$F2020)</t>
  </si>
  <si>
    <t>=-NL("Sum","32 Item Ledger Entry","12 Quantity","5 Source no.",$C2021,"3 Posting Date",J$9,"4 Entry Type",$C$4,"2 Item No.","@@"&amp;$F2021)</t>
  </si>
  <si>
    <t>=-NL("Sum","32 Item Ledger Entry","12 Quantity","5 Source no.",$C2022,"3 Posting Date",J$9,"4 Entry Type",$C$4,"2 Item No.","@@"&amp;$F2022)</t>
  </si>
  <si>
    <t>=-NL("Sum","32 Item Ledger Entry","12 Quantity","5 Source no.",$C2023,"3 Posting Date",J$9,"4 Entry Type",$C$4,"2 Item No.","@@"&amp;$F2023)</t>
  </si>
  <si>
    <t>=-NL("Sum","32 Item Ledger Entry","12 Quantity","5 Source no.",$C2024,"3 Posting Date",J$9,"4 Entry Type",$C$4,"2 Item No.","@@"&amp;$F2024)</t>
  </si>
  <si>
    <t>=-NL("Sum","32 Item Ledger Entry","12 Quantity","5 Source no.",$C2025,"3 Posting Date",J$9,"4 Entry Type",$C$4,"2 Item No.","@@"&amp;$F2025)</t>
  </si>
  <si>
    <t>=-NL("Sum","32 Item Ledger Entry","12 Quantity","5 Source no.",$C2026,"3 Posting Date",J$9,"4 Entry Type",$C$4,"2 Item No.","@@"&amp;$F2026)</t>
  </si>
  <si>
    <t>=-NL("Sum","32 Item Ledger Entry","12 Quantity","5 Source no.",$C2027,"3 Posting Date",J$9,"4 Entry Type",$C$4,"2 Item No.","@@"&amp;$F2027)</t>
  </si>
  <si>
    <t>=-NL("Sum","32 Item Ledger Entry","12 Quantity","5 Source no.",$C2028,"3 Posting Date",J$9,"4 Entry Type",$C$4,"2 Item No.","@@"&amp;$F2028)</t>
  </si>
  <si>
    <t>=-NL("Sum","32 Item Ledger Entry","12 Quantity","5 Source no.",$C2029,"3 Posting Date",J$9,"4 Entry Type",$C$4,"2 Item No.","@@"&amp;$F2029)</t>
  </si>
  <si>
    <t>=-NL("Sum","32 Item Ledger Entry","12 Quantity","5 Source no.",$C2030,"3 Posting Date",J$9,"4 Entry Type",$C$4,"2 Item No.","@@"&amp;$F2030)</t>
  </si>
  <si>
    <t>=-NL("Sum","32 Item Ledger Entry","12 Quantity","5 Source no.",$C2031,"3 Posting Date",J$9,"4 Entry Type",$C$4,"2 Item No.","@@"&amp;$F2031)</t>
  </si>
  <si>
    <t>=-NL("Sum","32 Item Ledger Entry","12 Quantity","5 Source no.",$C2032,"3 Posting Date",J$9,"4 Entry Type",$C$4,"2 Item No.","@@"&amp;$F2032)</t>
  </si>
  <si>
    <t>=-NL("Sum","32 Item Ledger Entry","12 Quantity","5 Source no.",$C2033,"3 Posting Date",J$9,"4 Entry Type",$C$4,"2 Item No.","@@"&amp;$F2033)</t>
  </si>
  <si>
    <t>=-NL("Sum","32 Item Ledger Entry","12 Quantity","5 Source no.",$C1993,"3 Posting Date",O$9,"4 Entry Type",$C$4,"2 Item No.","@@"&amp;$F1993)</t>
  </si>
  <si>
    <t>=-NL("Sum","32 Item Ledger Entry","12 Quantity","5 Source no.",$C1994,"3 Posting Date",O$9,"4 Entry Type",$C$4,"2 Item No.","@@"&amp;$F1994)</t>
  </si>
  <si>
    <t>=-NL("Sum","32 Item Ledger Entry","12 Quantity","5 Source no.",$C1995,"3 Posting Date",O$9,"4 Entry Type",$C$4,"2 Item No.","@@"&amp;$F1995)</t>
  </si>
  <si>
    <t>=-NL("Sum","32 Item Ledger Entry","12 Quantity","5 Source no.",$C1996,"3 Posting Date",O$9,"4 Entry Type",$C$4,"2 Item No.","@@"&amp;$F1996)</t>
  </si>
  <si>
    <t>=-NL("Sum","32 Item Ledger Entry","12 Quantity","5 Source no.",$C1997,"3 Posting Date",O$9,"4 Entry Type",$C$4,"2 Item No.","@@"&amp;$F1997)</t>
  </si>
  <si>
    <t>=-NL("Sum","32 Item Ledger Entry","12 Quantity","5 Source no.",$C1998,"3 Posting Date",O$9,"4 Entry Type",$C$4,"2 Item No.","@@"&amp;$F1998)</t>
  </si>
  <si>
    <t>=-NL("Sum","32 Item Ledger Entry","12 Quantity","5 Source no.",$C1999,"3 Posting Date",O$9,"4 Entry Type",$C$4,"2 Item No.","@@"&amp;$F1999)</t>
  </si>
  <si>
    <t>=-NL("Sum","32 Item Ledger Entry","12 Quantity","5 Source no.",$C2000,"3 Posting Date",O$9,"4 Entry Type",$C$4,"2 Item No.","@@"&amp;$F2000)</t>
  </si>
  <si>
    <t>=-NL("Sum","32 Item Ledger Entry","12 Quantity","5 Source no.",$C2001,"3 Posting Date",O$9,"4 Entry Type",$C$4,"2 Item No.","@@"&amp;$F2001)</t>
  </si>
  <si>
    <t>=-NL("Sum","32 Item Ledger Entry","12 Quantity","5 Source no.",$C2002,"3 Posting Date",O$9,"4 Entry Type",$C$4,"2 Item No.","@@"&amp;$F2002)</t>
  </si>
  <si>
    <t>=-NL("Sum","32 Item Ledger Entry","12 Quantity","5 Source no.",$C2003,"3 Posting Date",O$9,"4 Entry Type",$C$4,"2 Item No.","@@"&amp;$F2003)</t>
  </si>
  <si>
    <t>=-NL("Sum","32 Item Ledger Entry","12 Quantity","5 Source no.",$C2004,"3 Posting Date",O$9,"4 Entry Type",$C$4,"2 Item No.","@@"&amp;$F2004)</t>
  </si>
  <si>
    <t>=-NL("Sum","32 Item Ledger Entry","12 Quantity","5 Source no.",$C2005,"3 Posting Date",O$9,"4 Entry Type",$C$4,"2 Item No.","@@"&amp;$F2005)</t>
  </si>
  <si>
    <t>=-NL("Sum","32 Item Ledger Entry","12 Quantity","5 Source no.",$C2006,"3 Posting Date",O$9,"4 Entry Type",$C$4,"2 Item No.","@@"&amp;$F2006)</t>
  </si>
  <si>
    <t>=-NL("Sum","32 Item Ledger Entry","12 Quantity","5 Source no.",$C2007,"3 Posting Date",O$9,"4 Entry Type",$C$4,"2 Item No.","@@"&amp;$F2007)</t>
  </si>
  <si>
    <t>=-NL("Sum","32 Item Ledger Entry","12 Quantity","5 Source no.",$C2008,"3 Posting Date",O$9,"4 Entry Type",$C$4,"2 Item No.","@@"&amp;$F2008)</t>
  </si>
  <si>
    <t>=-NL("Sum","32 Item Ledger Entry","12 Quantity","5 Source no.",$C2009,"3 Posting Date",O$9,"4 Entry Type",$C$4,"2 Item No.","@@"&amp;$F2009)</t>
  </si>
  <si>
    <t>=-NL("Sum","32 Item Ledger Entry","12 Quantity","5 Source no.",$C2010,"3 Posting Date",O$9,"4 Entry Type",$C$4,"2 Item No.","@@"&amp;$F2010)</t>
  </si>
  <si>
    <t>=-NL("Sum","32 Item Ledger Entry","12 Quantity","5 Source no.",$C2011,"3 Posting Date",O$9,"4 Entry Type",$C$4,"2 Item No.","@@"&amp;$F2011)</t>
  </si>
  <si>
    <t>=-NL("Sum","32 Item Ledger Entry","12 Quantity","5 Source no.",$C2012,"3 Posting Date",O$9,"4 Entry Type",$C$4,"2 Item No.","@@"&amp;$F2012)</t>
  </si>
  <si>
    <t>=-NL("Sum","32 Item Ledger Entry","12 Quantity","5 Source no.",$C2013,"3 Posting Date",O$9,"4 Entry Type",$C$4,"2 Item No.","@@"&amp;$F2013)</t>
  </si>
  <si>
    <t>=-NL("Sum","32 Item Ledger Entry","12 Quantity","5 Source no.",$C2014,"3 Posting Date",O$9,"4 Entry Type",$C$4,"2 Item No.","@@"&amp;$F2014)</t>
  </si>
  <si>
    <t>=-NL("Sum","32 Item Ledger Entry","12 Quantity","5 Source no.",$C2015,"3 Posting Date",O$9,"4 Entry Type",$C$4,"2 Item No.","@@"&amp;$F2015)</t>
  </si>
  <si>
    <t>=-NL("Sum","32 Item Ledger Entry","12 Quantity","5 Source no.",$C2016,"3 Posting Date",O$9,"4 Entry Type",$C$4,"2 Item No.","@@"&amp;$F2016)</t>
  </si>
  <si>
    <t>=-NL("Sum","32 Item Ledger Entry","12 Quantity","5 Source no.",$C2017,"3 Posting Date",O$9,"4 Entry Type",$C$4,"2 Item No.","@@"&amp;$F2017)</t>
  </si>
  <si>
    <t>=-NL("Sum","32 Item Ledger Entry","12 Quantity","5 Source no.",$C2018,"3 Posting Date",O$9,"4 Entry Type",$C$4,"2 Item No.","@@"&amp;$F2018)</t>
  </si>
  <si>
    <t>=-NL("Sum","32 Item Ledger Entry","12 Quantity","5 Source no.",$C2019,"3 Posting Date",O$9,"4 Entry Type",$C$4,"2 Item No.","@@"&amp;$F2019)</t>
  </si>
  <si>
    <t>=-NL("Sum","32 Item Ledger Entry","12 Quantity","5 Source no.",$C2020,"3 Posting Date",O$9,"4 Entry Type",$C$4,"2 Item No.","@@"&amp;$F2020)</t>
  </si>
  <si>
    <t>=-NL("Sum","32 Item Ledger Entry","12 Quantity","5 Source no.",$C2021,"3 Posting Date",O$9,"4 Entry Type",$C$4,"2 Item No.","@@"&amp;$F2021)</t>
  </si>
  <si>
    <t>=-NL("Sum","32 Item Ledger Entry","12 Quantity","5 Source no.",$C2022,"3 Posting Date",O$9,"4 Entry Type",$C$4,"2 Item No.","@@"&amp;$F2022)</t>
  </si>
  <si>
    <t>=-NL("Sum","32 Item Ledger Entry","12 Quantity","5 Source no.",$C2023,"3 Posting Date",O$9,"4 Entry Type",$C$4,"2 Item No.","@@"&amp;$F2023)</t>
  </si>
  <si>
    <t>=-NL("Sum","32 Item Ledger Entry","12 Quantity","5 Source no.",$C2024,"3 Posting Date",O$9,"4 Entry Type",$C$4,"2 Item No.","@@"&amp;$F2024)</t>
  </si>
  <si>
    <t>=-NL("Sum","32 Item Ledger Entry","12 Quantity","5 Source no.",$C2025,"3 Posting Date",O$9,"4 Entry Type",$C$4,"2 Item No.","@@"&amp;$F2025)</t>
  </si>
  <si>
    <t>=-NL("Sum","32 Item Ledger Entry","12 Quantity","5 Source no.",$C2026,"3 Posting Date",O$9,"4 Entry Type",$C$4,"2 Item No.","@@"&amp;$F2026)</t>
  </si>
  <si>
    <t>=-NL("Sum","32 Item Ledger Entry","12 Quantity","5 Source no.",$C2027,"3 Posting Date",O$9,"4 Entry Type",$C$4,"2 Item No.","@@"&amp;$F2027)</t>
  </si>
  <si>
    <t>=-NL("Sum","32 Item Ledger Entry","12 Quantity","5 Source no.",$C2028,"3 Posting Date",O$9,"4 Entry Type",$C$4,"2 Item No.","@@"&amp;$F2028)</t>
  </si>
  <si>
    <t>=-NL("Sum","32 Item Ledger Entry","12 Quantity","5 Source no.",$C2029,"3 Posting Date",O$9,"4 Entry Type",$C$4,"2 Item No.","@@"&amp;$F2029)</t>
  </si>
  <si>
    <t>=-NL("Sum","32 Item Ledger Entry","12 Quantity","5 Source no.",$C2030,"3 Posting Date",O$9,"4 Entry Type",$C$4,"2 Item No.","@@"&amp;$F2030)</t>
  </si>
  <si>
    <t>=-NL("Sum","32 Item Ledger Entry","12 Quantity","5 Source no.",$C2031,"3 Posting Date",O$9,"4 Entry Type",$C$4,"2 Item No.","@@"&amp;$F2031)</t>
  </si>
  <si>
    <t>=-NL("Sum","32 Item Ledger Entry","12 Quantity","5 Source no.",$C2032,"3 Posting Date",O$9,"4 Entry Type",$C$4,"2 Item No.","@@"&amp;$F2032)</t>
  </si>
  <si>
    <t>=-NL("Sum","32 Item Ledger Entry","12 Quantity","5 Source no.",$C2033,"3 Posting Date",O$9,"4 Entry Type",$C$4,"2 Item No.","@@"&amp;$F2033)</t>
  </si>
  <si>
    <t>=-NL("Sum","32 Item Ledger Entry","12 Quantity","5 Source no.",$C1993,"3 Posting Date",U$9,"4 Entry Type",$C$4,"2 Item No.","@@"&amp;$F1993)</t>
  </si>
  <si>
    <t>=-NL("Sum","32 Item Ledger Entry","12 Quantity","5 Source no.",$C1994,"3 Posting Date",U$9,"4 Entry Type",$C$4,"2 Item No.","@@"&amp;$F1994)</t>
  </si>
  <si>
    <t>=-NL("Sum","32 Item Ledger Entry","12 Quantity","5 Source no.",$C1995,"3 Posting Date",U$9,"4 Entry Type",$C$4,"2 Item No.","@@"&amp;$F1995)</t>
  </si>
  <si>
    <t>=-NL("Sum","32 Item Ledger Entry","12 Quantity","5 Source no.",$C1996,"3 Posting Date",U$9,"4 Entry Type",$C$4,"2 Item No.","@@"&amp;$F1996)</t>
  </si>
  <si>
    <t>=-NL("Sum","32 Item Ledger Entry","12 Quantity","5 Source no.",$C1997,"3 Posting Date",U$9,"4 Entry Type",$C$4,"2 Item No.","@@"&amp;$F1997)</t>
  </si>
  <si>
    <t>=-NL("Sum","32 Item Ledger Entry","12 Quantity","5 Source no.",$C1998,"3 Posting Date",U$9,"4 Entry Type",$C$4,"2 Item No.","@@"&amp;$F1998)</t>
  </si>
  <si>
    <t>=-NL("Sum","32 Item Ledger Entry","12 Quantity","5 Source no.",$C1999,"3 Posting Date",U$9,"4 Entry Type",$C$4,"2 Item No.","@@"&amp;$F1999)</t>
  </si>
  <si>
    <t>=-NL("Sum","32 Item Ledger Entry","12 Quantity","5 Source no.",$C2000,"3 Posting Date",U$9,"4 Entry Type",$C$4,"2 Item No.","@@"&amp;$F2000)</t>
  </si>
  <si>
    <t>=-NL("Sum","32 Item Ledger Entry","12 Quantity","5 Source no.",$C2001,"3 Posting Date",U$9,"4 Entry Type",$C$4,"2 Item No.","@@"&amp;$F2001)</t>
  </si>
  <si>
    <t>=-NL("Sum","32 Item Ledger Entry","12 Quantity","5 Source no.",$C2002,"3 Posting Date",U$9,"4 Entry Type",$C$4,"2 Item No.","@@"&amp;$F2002)</t>
  </si>
  <si>
    <t>=-NL("Sum","32 Item Ledger Entry","12 Quantity","5 Source no.",$C2003,"3 Posting Date",U$9,"4 Entry Type",$C$4,"2 Item No.","@@"&amp;$F2003)</t>
  </si>
  <si>
    <t>=-NL("Sum","32 Item Ledger Entry","12 Quantity","5 Source no.",$C2004,"3 Posting Date",U$9,"4 Entry Type",$C$4,"2 Item No.","@@"&amp;$F2004)</t>
  </si>
  <si>
    <t>=-NL("Sum","32 Item Ledger Entry","12 Quantity","5 Source no.",$C2005,"3 Posting Date",U$9,"4 Entry Type",$C$4,"2 Item No.","@@"&amp;$F2005)</t>
  </si>
  <si>
    <t>=-NL("Sum","32 Item Ledger Entry","12 Quantity","5 Source no.",$C2006,"3 Posting Date",U$9,"4 Entry Type",$C$4,"2 Item No.","@@"&amp;$F2006)</t>
  </si>
  <si>
    <t>=-NL("Sum","32 Item Ledger Entry","12 Quantity","5 Source no.",$C2007,"3 Posting Date",U$9,"4 Entry Type",$C$4,"2 Item No.","@@"&amp;$F2007)</t>
  </si>
  <si>
    <t>=-NL("Sum","32 Item Ledger Entry","12 Quantity","5 Source no.",$C2008,"3 Posting Date",U$9,"4 Entry Type",$C$4,"2 Item No.","@@"&amp;$F2008)</t>
  </si>
  <si>
    <t>=-NL("Sum","32 Item Ledger Entry","12 Quantity","5 Source no.",$C2009,"3 Posting Date",U$9,"4 Entry Type",$C$4,"2 Item No.","@@"&amp;$F2009)</t>
  </si>
  <si>
    <t>=-NL("Sum","32 Item Ledger Entry","12 Quantity","5 Source no.",$C2010,"3 Posting Date",U$9,"4 Entry Type",$C$4,"2 Item No.","@@"&amp;$F2010)</t>
  </si>
  <si>
    <t>=-NL("Sum","32 Item Ledger Entry","12 Quantity","5 Source no.",$C2011,"3 Posting Date",U$9,"4 Entry Type",$C$4,"2 Item No.","@@"&amp;$F2011)</t>
  </si>
  <si>
    <t>=-NL("Sum","32 Item Ledger Entry","12 Quantity","5 Source no.",$C2012,"3 Posting Date",U$9,"4 Entry Type",$C$4,"2 Item No.","@@"&amp;$F2012)</t>
  </si>
  <si>
    <t>=-NL("Sum","32 Item Ledger Entry","12 Quantity","5 Source no.",$C2013,"3 Posting Date",U$9,"4 Entry Type",$C$4,"2 Item No.","@@"&amp;$F2013)</t>
  </si>
  <si>
    <t>=-NL("Sum","32 Item Ledger Entry","12 Quantity","5 Source no.",$C2014,"3 Posting Date",U$9,"4 Entry Type",$C$4,"2 Item No.","@@"&amp;$F2014)</t>
  </si>
  <si>
    <t>=-NL("Sum","32 Item Ledger Entry","12 Quantity","5 Source no.",$C2015,"3 Posting Date",U$9,"4 Entry Type",$C$4,"2 Item No.","@@"&amp;$F2015)</t>
  </si>
  <si>
    <t>=-NL("Sum","32 Item Ledger Entry","12 Quantity","5 Source no.",$C2016,"3 Posting Date",U$9,"4 Entry Type",$C$4,"2 Item No.","@@"&amp;$F2016)</t>
  </si>
  <si>
    <t>=-NL("Sum","32 Item Ledger Entry","12 Quantity","5 Source no.",$C2017,"3 Posting Date",U$9,"4 Entry Type",$C$4,"2 Item No.","@@"&amp;$F2017)</t>
  </si>
  <si>
    <t>=-NL("Sum","32 Item Ledger Entry","12 Quantity","5 Source no.",$C2018,"3 Posting Date",U$9,"4 Entry Type",$C$4,"2 Item No.","@@"&amp;$F2018)</t>
  </si>
  <si>
    <t>=-NL("Sum","32 Item Ledger Entry","12 Quantity","5 Source no.",$C2019,"3 Posting Date",U$9,"4 Entry Type",$C$4,"2 Item No.","@@"&amp;$F2019)</t>
  </si>
  <si>
    <t>=-NL("Sum","32 Item Ledger Entry","12 Quantity","5 Source no.",$C2020,"3 Posting Date",U$9,"4 Entry Type",$C$4,"2 Item No.","@@"&amp;$F2020)</t>
  </si>
  <si>
    <t>=-NL("Sum","32 Item Ledger Entry","12 Quantity","5 Source no.",$C2021,"3 Posting Date",U$9,"4 Entry Type",$C$4,"2 Item No.","@@"&amp;$F2021)</t>
  </si>
  <si>
    <t>=-NL("Sum","32 Item Ledger Entry","12 Quantity","5 Source no.",$C2022,"3 Posting Date",U$9,"4 Entry Type",$C$4,"2 Item No.","@@"&amp;$F2022)</t>
  </si>
  <si>
    <t>=-NL("Sum","32 Item Ledger Entry","12 Quantity","5 Source no.",$C2023,"3 Posting Date",U$9,"4 Entry Type",$C$4,"2 Item No.","@@"&amp;$F2023)</t>
  </si>
  <si>
    <t>=-NL("Sum","32 Item Ledger Entry","12 Quantity","5 Source no.",$C2024,"3 Posting Date",U$9,"4 Entry Type",$C$4,"2 Item No.","@@"&amp;$F2024)</t>
  </si>
  <si>
    <t>=-NL("Sum","32 Item Ledger Entry","12 Quantity","5 Source no.",$C2025,"3 Posting Date",U$9,"4 Entry Type",$C$4,"2 Item No.","@@"&amp;$F2025)</t>
  </si>
  <si>
    <t>=-NL("Sum","32 Item Ledger Entry","12 Quantity","5 Source no.",$C2026,"3 Posting Date",U$9,"4 Entry Type",$C$4,"2 Item No.","@@"&amp;$F2026)</t>
  </si>
  <si>
    <t>=-NL("Sum","32 Item Ledger Entry","12 Quantity","5 Source no.",$C2027,"3 Posting Date",U$9,"4 Entry Type",$C$4,"2 Item No.","@@"&amp;$F2027)</t>
  </si>
  <si>
    <t>=-NL("Sum","32 Item Ledger Entry","12 Quantity","5 Source no.",$C2028,"3 Posting Date",U$9,"4 Entry Type",$C$4,"2 Item No.","@@"&amp;$F2028)</t>
  </si>
  <si>
    <t>=-NL("Sum","32 Item Ledger Entry","12 Quantity","5 Source no.",$C2029,"3 Posting Date",U$9,"4 Entry Type",$C$4,"2 Item No.","@@"&amp;$F2029)</t>
  </si>
  <si>
    <t>=-NL("Sum","32 Item Ledger Entry","12 Quantity","5 Source no.",$C2030,"3 Posting Date",U$9,"4 Entry Type",$C$4,"2 Item No.","@@"&amp;$F2030)</t>
  </si>
  <si>
    <t>=-NL("Sum","32 Item Ledger Entry","12 Quantity","5 Source no.",$C2031,"3 Posting Date",U$9,"4 Entry Type",$C$4,"2 Item No.","@@"&amp;$F2031)</t>
  </si>
  <si>
    <t>=-NL("Sum","32 Item Ledger Entry","12 Quantity","5 Source no.",$C2032,"3 Posting Date",U$9,"4 Entry Type",$C$4,"2 Item No.","@@"&amp;$F2032)</t>
  </si>
  <si>
    <t>=-NL("Sum","32 Item Ledger Entry","12 Quantity","5 Source no.",$C2033,"3 Posting Date",U$9,"4 Entry Type",$C$4,"2 Item No.","@@"&amp;$F2033)</t>
  </si>
  <si>
    <t>=-NL("Sum","32 Item Ledger Entry","12 Quantity","5 Source no.",$C1993,"3 Posting Date",Z$9,"4 Entry Type",$C$4,"2 Item No.","@@"&amp;$F1993)</t>
  </si>
  <si>
    <t>=-NL("Sum","32 Item Ledger Entry","12 Quantity","5 Source no.",$C1994,"3 Posting Date",Z$9,"4 Entry Type",$C$4,"2 Item No.","@@"&amp;$F1994)</t>
  </si>
  <si>
    <t>=-NL("Sum","32 Item Ledger Entry","12 Quantity","5 Source no.",$C1995,"3 Posting Date",Z$9,"4 Entry Type",$C$4,"2 Item No.","@@"&amp;$F1995)</t>
  </si>
  <si>
    <t>=-NL("Sum","32 Item Ledger Entry","12 Quantity","5 Source no.",$C1996,"3 Posting Date",Z$9,"4 Entry Type",$C$4,"2 Item No.","@@"&amp;$F1996)</t>
  </si>
  <si>
    <t>=-NL("Sum","32 Item Ledger Entry","12 Quantity","5 Source no.",$C1997,"3 Posting Date",Z$9,"4 Entry Type",$C$4,"2 Item No.","@@"&amp;$F1997)</t>
  </si>
  <si>
    <t>=-NL("Sum","32 Item Ledger Entry","12 Quantity","5 Source no.",$C1998,"3 Posting Date",Z$9,"4 Entry Type",$C$4,"2 Item No.","@@"&amp;$F1998)</t>
  </si>
  <si>
    <t>=-NL("Sum","32 Item Ledger Entry","12 Quantity","5 Source no.",$C1999,"3 Posting Date",Z$9,"4 Entry Type",$C$4,"2 Item No.","@@"&amp;$F1999)</t>
  </si>
  <si>
    <t>=-NL("Sum","32 Item Ledger Entry","12 Quantity","5 Source no.",$C2000,"3 Posting Date",Z$9,"4 Entry Type",$C$4,"2 Item No.","@@"&amp;$F2000)</t>
  </si>
  <si>
    <t>=-NL("Sum","32 Item Ledger Entry","12 Quantity","5 Source no.",$C2001,"3 Posting Date",Z$9,"4 Entry Type",$C$4,"2 Item No.","@@"&amp;$F2001)</t>
  </si>
  <si>
    <t>=-NL("Sum","32 Item Ledger Entry","12 Quantity","5 Source no.",$C2002,"3 Posting Date",Z$9,"4 Entry Type",$C$4,"2 Item No.","@@"&amp;$F2002)</t>
  </si>
  <si>
    <t>=-NL("Sum","32 Item Ledger Entry","12 Quantity","5 Source no.",$C2003,"3 Posting Date",Z$9,"4 Entry Type",$C$4,"2 Item No.","@@"&amp;$F2003)</t>
  </si>
  <si>
    <t>=-NL("Sum","32 Item Ledger Entry","12 Quantity","5 Source no.",$C2004,"3 Posting Date",Z$9,"4 Entry Type",$C$4,"2 Item No.","@@"&amp;$F2004)</t>
  </si>
  <si>
    <t>=-NL("Sum","32 Item Ledger Entry","12 Quantity","5 Source no.",$C2005,"3 Posting Date",Z$9,"4 Entry Type",$C$4,"2 Item No.","@@"&amp;$F2005)</t>
  </si>
  <si>
    <t>=-NL("Sum","32 Item Ledger Entry","12 Quantity","5 Source no.",$C2006,"3 Posting Date",Z$9,"4 Entry Type",$C$4,"2 Item No.","@@"&amp;$F2006)</t>
  </si>
  <si>
    <t>=-NL("Sum","32 Item Ledger Entry","12 Quantity","5 Source no.",$C2007,"3 Posting Date",Z$9,"4 Entry Type",$C$4,"2 Item No.","@@"&amp;$F2007)</t>
  </si>
  <si>
    <t>=-NL("Sum","32 Item Ledger Entry","12 Quantity","5 Source no.",$C2008,"3 Posting Date",Z$9,"4 Entry Type",$C$4,"2 Item No.","@@"&amp;$F2008)</t>
  </si>
  <si>
    <t>=-NL("Sum","32 Item Ledger Entry","12 Quantity","5 Source no.",$C2009,"3 Posting Date",Z$9,"4 Entry Type",$C$4,"2 Item No.","@@"&amp;$F2009)</t>
  </si>
  <si>
    <t>=-NL("Sum","32 Item Ledger Entry","12 Quantity","5 Source no.",$C2010,"3 Posting Date",Z$9,"4 Entry Type",$C$4,"2 Item No.","@@"&amp;$F2010)</t>
  </si>
  <si>
    <t>=-NL("Sum","32 Item Ledger Entry","12 Quantity","5 Source no.",$C2011,"3 Posting Date",Z$9,"4 Entry Type",$C$4,"2 Item No.","@@"&amp;$F2011)</t>
  </si>
  <si>
    <t>=-NL("Sum","32 Item Ledger Entry","12 Quantity","5 Source no.",$C2012,"3 Posting Date",Z$9,"4 Entry Type",$C$4,"2 Item No.","@@"&amp;$F2012)</t>
  </si>
  <si>
    <t>=-NL("Sum","32 Item Ledger Entry","12 Quantity","5 Source no.",$C2013,"3 Posting Date",Z$9,"4 Entry Type",$C$4,"2 Item No.","@@"&amp;$F2013)</t>
  </si>
  <si>
    <t>=-NL("Sum","32 Item Ledger Entry","12 Quantity","5 Source no.",$C2014,"3 Posting Date",Z$9,"4 Entry Type",$C$4,"2 Item No.","@@"&amp;$F2014)</t>
  </si>
  <si>
    <t>=-NL("Sum","32 Item Ledger Entry","12 Quantity","5 Source no.",$C2015,"3 Posting Date",Z$9,"4 Entry Type",$C$4,"2 Item No.","@@"&amp;$F2015)</t>
  </si>
  <si>
    <t>=-NL("Sum","32 Item Ledger Entry","12 Quantity","5 Source no.",$C2016,"3 Posting Date",Z$9,"4 Entry Type",$C$4,"2 Item No.","@@"&amp;$F2016)</t>
  </si>
  <si>
    <t>=-NL("Sum","32 Item Ledger Entry","12 Quantity","5 Source no.",$C2017,"3 Posting Date",Z$9,"4 Entry Type",$C$4,"2 Item No.","@@"&amp;$F2017)</t>
  </si>
  <si>
    <t>=-NL("Sum","32 Item Ledger Entry","12 Quantity","5 Source no.",$C2018,"3 Posting Date",Z$9,"4 Entry Type",$C$4,"2 Item No.","@@"&amp;$F2018)</t>
  </si>
  <si>
    <t>=-NL("Sum","32 Item Ledger Entry","12 Quantity","5 Source no.",$C2019,"3 Posting Date",Z$9,"4 Entry Type",$C$4,"2 Item No.","@@"&amp;$F2019)</t>
  </si>
  <si>
    <t>=-NL("Sum","32 Item Ledger Entry","12 Quantity","5 Source no.",$C2020,"3 Posting Date",Z$9,"4 Entry Type",$C$4,"2 Item No.","@@"&amp;$F2020)</t>
  </si>
  <si>
    <t>=-NL("Sum","32 Item Ledger Entry","12 Quantity","5 Source no.",$C2021,"3 Posting Date",Z$9,"4 Entry Type",$C$4,"2 Item No.","@@"&amp;$F2021)</t>
  </si>
  <si>
    <t>=-NL("Sum","32 Item Ledger Entry","12 Quantity","5 Source no.",$C2022,"3 Posting Date",Z$9,"4 Entry Type",$C$4,"2 Item No.","@@"&amp;$F2022)</t>
  </si>
  <si>
    <t>=-NL("Sum","32 Item Ledger Entry","12 Quantity","5 Source no.",$C2023,"3 Posting Date",Z$9,"4 Entry Type",$C$4,"2 Item No.","@@"&amp;$F2023)</t>
  </si>
  <si>
    <t>=-NL("Sum","32 Item Ledger Entry","12 Quantity","5 Source no.",$C2024,"3 Posting Date",Z$9,"4 Entry Type",$C$4,"2 Item No.","@@"&amp;$F2024)</t>
  </si>
  <si>
    <t>=-NL("Sum","32 Item Ledger Entry","12 Quantity","5 Source no.",$C2025,"3 Posting Date",Z$9,"4 Entry Type",$C$4,"2 Item No.","@@"&amp;$F2025)</t>
  </si>
  <si>
    <t>=-NL("Sum","32 Item Ledger Entry","12 Quantity","5 Source no.",$C2026,"3 Posting Date",Z$9,"4 Entry Type",$C$4,"2 Item No.","@@"&amp;$F2026)</t>
  </si>
  <si>
    <t>=-NL("Sum","32 Item Ledger Entry","12 Quantity","5 Source no.",$C2027,"3 Posting Date",Z$9,"4 Entry Type",$C$4,"2 Item No.","@@"&amp;$F2027)</t>
  </si>
  <si>
    <t>=-NL("Sum","32 Item Ledger Entry","12 Quantity","5 Source no.",$C2028,"3 Posting Date",Z$9,"4 Entry Type",$C$4,"2 Item No.","@@"&amp;$F2028)</t>
  </si>
  <si>
    <t>=-NL("Sum","32 Item Ledger Entry","12 Quantity","5 Source no.",$C2029,"3 Posting Date",Z$9,"4 Entry Type",$C$4,"2 Item No.","@@"&amp;$F2029)</t>
  </si>
  <si>
    <t>=-NL("Sum","32 Item Ledger Entry","12 Quantity","5 Source no.",$C2030,"3 Posting Date",Z$9,"4 Entry Type",$C$4,"2 Item No.","@@"&amp;$F2030)</t>
  </si>
  <si>
    <t>=-NL("Sum","32 Item Ledger Entry","12 Quantity","5 Source no.",$C2031,"3 Posting Date",Z$9,"4 Entry Type",$C$4,"2 Item No.","@@"&amp;$F2031)</t>
  </si>
  <si>
    <t>=-NL("Sum","32 Item Ledger Entry","12 Quantity","5 Source no.",$C2032,"3 Posting Date",Z$9,"4 Entry Type",$C$4,"2 Item No.","@@"&amp;$F2032)</t>
  </si>
  <si>
    <t>=-NL("Sum","32 Item Ledger Entry","12 Quantity","5 Source no.",$C2033,"3 Posting Date",Z$9,"4 Entry Type",$C$4,"2 Item No.","@@"&amp;$F2033)</t>
  </si>
  <si>
    <t>=NL(,"27 Item","3 Description","1 No.","@@"&amp;F1957)</t>
  </si>
  <si>
    <t>=NL(,"27 Item","3 Description","1 No.","@@"&amp;F1958)</t>
  </si>
  <si>
    <t>=NL(,"27 Item","3 Description","1 No.","@@"&amp;F1959)</t>
  </si>
  <si>
    <t>=NL(,"27 Item","3 Description","1 No.","@@"&amp;F1960)</t>
  </si>
  <si>
    <t>=NL(,"27 Item","3 Description","1 No.","@@"&amp;F1961)</t>
  </si>
  <si>
    <t>=NL(,"27 Item","3 Description","1 No.","@@"&amp;F1962)</t>
  </si>
  <si>
    <t>=NL(,"27 Item","3 Description","1 No.","@@"&amp;F1963)</t>
  </si>
  <si>
    <t>=NL(,"27 Item","3 Description","1 No.","@@"&amp;F1964)</t>
  </si>
  <si>
    <t>=NL(,"27 Item","3 Description","1 No.","@@"&amp;F1965)</t>
  </si>
  <si>
    <t>=NL(,"27 Item","3 Description","1 No.","@@"&amp;F1966)</t>
  </si>
  <si>
    <t>=NL(,"27 Item","3 Description","1 No.","@@"&amp;F1967)</t>
  </si>
  <si>
    <t>=NL(,"27 Item","3 Description","1 No.","@@"&amp;F1968)</t>
  </si>
  <si>
    <t>=NL(,"27 Item","3 Description","1 No.","@@"&amp;F1969)</t>
  </si>
  <si>
    <t>=NL(,"27 Item","3 Description","1 No.","@@"&amp;F1970)</t>
  </si>
  <si>
    <t>=NL(,"27 Item","3 Description","1 No.","@@"&amp;F1971)</t>
  </si>
  <si>
    <t>=NL(,"27 Item","3 Description","1 No.","@@"&amp;F1972)</t>
  </si>
  <si>
    <t>=NL(,"27 Item","3 Description","1 No.","@@"&amp;F1973)</t>
  </si>
  <si>
    <t>=NL(,"27 Item","3 Description","1 No.","@@"&amp;F1974)</t>
  </si>
  <si>
    <t>=NL(,"27 Item","3 Description","1 No.","@@"&amp;F1975)</t>
  </si>
  <si>
    <t>=NL(,"27 Item","3 Description","1 No.","@@"&amp;F1976)</t>
  </si>
  <si>
    <t>=NL(,"27 Item","3 Description","1 No.","@@"&amp;F1977)</t>
  </si>
  <si>
    <t>=NL(,"27 Item","3 Description","1 No.","@@"&amp;F1978)</t>
  </si>
  <si>
    <t>=NL(,"27 Item","3 Description","1 No.","@@"&amp;F1979)</t>
  </si>
  <si>
    <t>=NL(,"27 Item","3 Description","1 No.","@@"&amp;F1980)</t>
  </si>
  <si>
    <t>=NL(,"27 Item","3 Description","1 No.","@@"&amp;F1981)</t>
  </si>
  <si>
    <t>=NL(,"27 Item","3 Description","1 No.","@@"&amp;F1982)</t>
  </si>
  <si>
    <t>=NL(,"27 Item","3 Description","1 No.","@@"&amp;F1983)</t>
  </si>
  <si>
    <t>=NL(,"27 Item","3 Description","1 No.","@@"&amp;F1984)</t>
  </si>
  <si>
    <t>=NL(,"27 Item","3 Description","1 No.","@@"&amp;F1985)</t>
  </si>
  <si>
    <t>=NL(,"27 Item","3 Description","1 No.","@@"&amp;F1986)</t>
  </si>
  <si>
    <t>=NL(,"27 Item","3 Description","1 No.","@@"&amp;F1987)</t>
  </si>
  <si>
    <t>=-NL("Sum","32 Item Ledger Entry","12 Quantity","5 Source no.",$C1957,"3 Posting Date",J$9,"4 Entry Type",$C$4,"2 Item No.","@@"&amp;$F1957)</t>
  </si>
  <si>
    <t>=-NL("Sum","32 Item Ledger Entry","12 Quantity","5 Source no.",$C1958,"3 Posting Date",J$9,"4 Entry Type",$C$4,"2 Item No.","@@"&amp;$F1958)</t>
  </si>
  <si>
    <t>=-NL("Sum","32 Item Ledger Entry","12 Quantity","5 Source no.",$C1959,"3 Posting Date",J$9,"4 Entry Type",$C$4,"2 Item No.","@@"&amp;$F1959)</t>
  </si>
  <si>
    <t>=-NL("Sum","32 Item Ledger Entry","12 Quantity","5 Source no.",$C1960,"3 Posting Date",J$9,"4 Entry Type",$C$4,"2 Item No.","@@"&amp;$F1960)</t>
  </si>
  <si>
    <t>=-NL("Sum","32 Item Ledger Entry","12 Quantity","5 Source no.",$C1961,"3 Posting Date",J$9,"4 Entry Type",$C$4,"2 Item No.","@@"&amp;$F1961)</t>
  </si>
  <si>
    <t>=-NL("Sum","32 Item Ledger Entry","12 Quantity","5 Source no.",$C1962,"3 Posting Date",J$9,"4 Entry Type",$C$4,"2 Item No.","@@"&amp;$F1962)</t>
  </si>
  <si>
    <t>=-NL("Sum","32 Item Ledger Entry","12 Quantity","5 Source no.",$C1963,"3 Posting Date",J$9,"4 Entry Type",$C$4,"2 Item No.","@@"&amp;$F1963)</t>
  </si>
  <si>
    <t>=-NL("Sum","32 Item Ledger Entry","12 Quantity","5 Source no.",$C1964,"3 Posting Date",J$9,"4 Entry Type",$C$4,"2 Item No.","@@"&amp;$F1964)</t>
  </si>
  <si>
    <t>=-NL("Sum","32 Item Ledger Entry","12 Quantity","5 Source no.",$C1965,"3 Posting Date",J$9,"4 Entry Type",$C$4,"2 Item No.","@@"&amp;$F1965)</t>
  </si>
  <si>
    <t>=-NL("Sum","32 Item Ledger Entry","12 Quantity","5 Source no.",$C1966,"3 Posting Date",J$9,"4 Entry Type",$C$4,"2 Item No.","@@"&amp;$F1966)</t>
  </si>
  <si>
    <t>=-NL("Sum","32 Item Ledger Entry","12 Quantity","5 Source no.",$C1967,"3 Posting Date",J$9,"4 Entry Type",$C$4,"2 Item No.","@@"&amp;$F1967)</t>
  </si>
  <si>
    <t>=-NL("Sum","32 Item Ledger Entry","12 Quantity","5 Source no.",$C1968,"3 Posting Date",J$9,"4 Entry Type",$C$4,"2 Item No.","@@"&amp;$F1968)</t>
  </si>
  <si>
    <t>=-NL("Sum","32 Item Ledger Entry","12 Quantity","5 Source no.",$C1969,"3 Posting Date",J$9,"4 Entry Type",$C$4,"2 Item No.","@@"&amp;$F1969)</t>
  </si>
  <si>
    <t>=-NL("Sum","32 Item Ledger Entry","12 Quantity","5 Source no.",$C1970,"3 Posting Date",J$9,"4 Entry Type",$C$4,"2 Item No.","@@"&amp;$F1970)</t>
  </si>
  <si>
    <t>=-NL("Sum","32 Item Ledger Entry","12 Quantity","5 Source no.",$C1971,"3 Posting Date",J$9,"4 Entry Type",$C$4,"2 Item No.","@@"&amp;$F1971)</t>
  </si>
  <si>
    <t>=-NL("Sum","32 Item Ledger Entry","12 Quantity","5 Source no.",$C1972,"3 Posting Date",J$9,"4 Entry Type",$C$4,"2 Item No.","@@"&amp;$F1972)</t>
  </si>
  <si>
    <t>=-NL("Sum","32 Item Ledger Entry","12 Quantity","5 Source no.",$C1973,"3 Posting Date",J$9,"4 Entry Type",$C$4,"2 Item No.","@@"&amp;$F1973)</t>
  </si>
  <si>
    <t>=-NL("Sum","32 Item Ledger Entry","12 Quantity","5 Source no.",$C1974,"3 Posting Date",J$9,"4 Entry Type",$C$4,"2 Item No.","@@"&amp;$F1974)</t>
  </si>
  <si>
    <t>=-NL("Sum","32 Item Ledger Entry","12 Quantity","5 Source no.",$C1975,"3 Posting Date",J$9,"4 Entry Type",$C$4,"2 Item No.","@@"&amp;$F1975)</t>
  </si>
  <si>
    <t>=-NL("Sum","32 Item Ledger Entry","12 Quantity","5 Source no.",$C1976,"3 Posting Date",J$9,"4 Entry Type",$C$4,"2 Item No.","@@"&amp;$F1976)</t>
  </si>
  <si>
    <t>=-NL("Sum","32 Item Ledger Entry","12 Quantity","5 Source no.",$C1977,"3 Posting Date",J$9,"4 Entry Type",$C$4,"2 Item No.","@@"&amp;$F1977)</t>
  </si>
  <si>
    <t>=-NL("Sum","32 Item Ledger Entry","12 Quantity","5 Source no.",$C1978,"3 Posting Date",J$9,"4 Entry Type",$C$4,"2 Item No.","@@"&amp;$F1978)</t>
  </si>
  <si>
    <t>=-NL("Sum","32 Item Ledger Entry","12 Quantity","5 Source no.",$C1979,"3 Posting Date",J$9,"4 Entry Type",$C$4,"2 Item No.","@@"&amp;$F1979)</t>
  </si>
  <si>
    <t>=-NL("Sum","32 Item Ledger Entry","12 Quantity","5 Source no.",$C1980,"3 Posting Date",J$9,"4 Entry Type",$C$4,"2 Item No.","@@"&amp;$F1980)</t>
  </si>
  <si>
    <t>=-NL("Sum","32 Item Ledger Entry","12 Quantity","5 Source no.",$C1981,"3 Posting Date",J$9,"4 Entry Type",$C$4,"2 Item No.","@@"&amp;$F1981)</t>
  </si>
  <si>
    <t>=-NL("Sum","32 Item Ledger Entry","12 Quantity","5 Source no.",$C1982,"3 Posting Date",J$9,"4 Entry Type",$C$4,"2 Item No.","@@"&amp;$F1982)</t>
  </si>
  <si>
    <t>=-NL("Sum","32 Item Ledger Entry","12 Quantity","5 Source no.",$C1983,"3 Posting Date",J$9,"4 Entry Type",$C$4,"2 Item No.","@@"&amp;$F1983)</t>
  </si>
  <si>
    <t>=-NL("Sum","32 Item Ledger Entry","12 Quantity","5 Source no.",$C1984,"3 Posting Date",J$9,"4 Entry Type",$C$4,"2 Item No.","@@"&amp;$F1984)</t>
  </si>
  <si>
    <t>=-NL("Sum","32 Item Ledger Entry","12 Quantity","5 Source no.",$C1985,"3 Posting Date",J$9,"4 Entry Type",$C$4,"2 Item No.","@@"&amp;$F1985)</t>
  </si>
  <si>
    <t>=-NL("Sum","32 Item Ledger Entry","12 Quantity","5 Source no.",$C1986,"3 Posting Date",J$9,"4 Entry Type",$C$4,"2 Item No.","@@"&amp;$F1986)</t>
  </si>
  <si>
    <t>=-NL("Sum","32 Item Ledger Entry","12 Quantity","5 Source no.",$C1987,"3 Posting Date",J$9,"4 Entry Type",$C$4,"2 Item No.","@@"&amp;$F1987)</t>
  </si>
  <si>
    <t>=-NL("Sum","32 Item Ledger Entry","12 Quantity","5 Source no.",$C1957,"3 Posting Date",O$9,"4 Entry Type",$C$4,"2 Item No.","@@"&amp;$F1957)</t>
  </si>
  <si>
    <t>=-NL("Sum","32 Item Ledger Entry","12 Quantity","5 Source no.",$C1958,"3 Posting Date",O$9,"4 Entry Type",$C$4,"2 Item No.","@@"&amp;$F1958)</t>
  </si>
  <si>
    <t>=-NL("Sum","32 Item Ledger Entry","12 Quantity","5 Source no.",$C1959,"3 Posting Date",O$9,"4 Entry Type",$C$4,"2 Item No.","@@"&amp;$F1959)</t>
  </si>
  <si>
    <t>=-NL("Sum","32 Item Ledger Entry","12 Quantity","5 Source no.",$C1960,"3 Posting Date",O$9,"4 Entry Type",$C$4,"2 Item No.","@@"&amp;$F1960)</t>
  </si>
  <si>
    <t>=-NL("Sum","32 Item Ledger Entry","12 Quantity","5 Source no.",$C1961,"3 Posting Date",O$9,"4 Entry Type",$C$4,"2 Item No.","@@"&amp;$F1961)</t>
  </si>
  <si>
    <t>=-NL("Sum","32 Item Ledger Entry","12 Quantity","5 Source no.",$C1962,"3 Posting Date",O$9,"4 Entry Type",$C$4,"2 Item No.","@@"&amp;$F1962)</t>
  </si>
  <si>
    <t>=-NL("Sum","32 Item Ledger Entry","12 Quantity","5 Source no.",$C1963,"3 Posting Date",O$9,"4 Entry Type",$C$4,"2 Item No.","@@"&amp;$F1963)</t>
  </si>
  <si>
    <t>=-NL("Sum","32 Item Ledger Entry","12 Quantity","5 Source no.",$C1964,"3 Posting Date",O$9,"4 Entry Type",$C$4,"2 Item No.","@@"&amp;$F1964)</t>
  </si>
  <si>
    <t>=-NL("Sum","32 Item Ledger Entry","12 Quantity","5 Source no.",$C1965,"3 Posting Date",O$9,"4 Entry Type",$C$4,"2 Item No.","@@"&amp;$F1965)</t>
  </si>
  <si>
    <t>=-NL("Sum","32 Item Ledger Entry","12 Quantity","5 Source no.",$C1966,"3 Posting Date",O$9,"4 Entry Type",$C$4,"2 Item No.","@@"&amp;$F1966)</t>
  </si>
  <si>
    <t>=-NL("Sum","32 Item Ledger Entry","12 Quantity","5 Source no.",$C1967,"3 Posting Date",O$9,"4 Entry Type",$C$4,"2 Item No.","@@"&amp;$F1967)</t>
  </si>
  <si>
    <t>=-NL("Sum","32 Item Ledger Entry","12 Quantity","5 Source no.",$C1968,"3 Posting Date",O$9,"4 Entry Type",$C$4,"2 Item No.","@@"&amp;$F1968)</t>
  </si>
  <si>
    <t>=-NL("Sum","32 Item Ledger Entry","12 Quantity","5 Source no.",$C1969,"3 Posting Date",O$9,"4 Entry Type",$C$4,"2 Item No.","@@"&amp;$F1969)</t>
  </si>
  <si>
    <t>=-NL("Sum","32 Item Ledger Entry","12 Quantity","5 Source no.",$C1970,"3 Posting Date",O$9,"4 Entry Type",$C$4,"2 Item No.","@@"&amp;$F1970)</t>
  </si>
  <si>
    <t>=-NL("Sum","32 Item Ledger Entry","12 Quantity","5 Source no.",$C1971,"3 Posting Date",O$9,"4 Entry Type",$C$4,"2 Item No.","@@"&amp;$F1971)</t>
  </si>
  <si>
    <t>=-NL("Sum","32 Item Ledger Entry","12 Quantity","5 Source no.",$C1972,"3 Posting Date",O$9,"4 Entry Type",$C$4,"2 Item No.","@@"&amp;$F1972)</t>
  </si>
  <si>
    <t>=-NL("Sum","32 Item Ledger Entry","12 Quantity","5 Source no.",$C1973,"3 Posting Date",O$9,"4 Entry Type",$C$4,"2 Item No.","@@"&amp;$F1973)</t>
  </si>
  <si>
    <t>=-NL("Sum","32 Item Ledger Entry","12 Quantity","5 Source no.",$C1974,"3 Posting Date",O$9,"4 Entry Type",$C$4,"2 Item No.","@@"&amp;$F1974)</t>
  </si>
  <si>
    <t>=-NL("Sum","32 Item Ledger Entry","12 Quantity","5 Source no.",$C1975,"3 Posting Date",O$9,"4 Entry Type",$C$4,"2 Item No.","@@"&amp;$F1975)</t>
  </si>
  <si>
    <t>=-NL("Sum","32 Item Ledger Entry","12 Quantity","5 Source no.",$C1976,"3 Posting Date",O$9,"4 Entry Type",$C$4,"2 Item No.","@@"&amp;$F1976)</t>
  </si>
  <si>
    <t>=-NL("Sum","32 Item Ledger Entry","12 Quantity","5 Source no.",$C1977,"3 Posting Date",O$9,"4 Entry Type",$C$4,"2 Item No.","@@"&amp;$F1977)</t>
  </si>
  <si>
    <t>=-NL("Sum","32 Item Ledger Entry","12 Quantity","5 Source no.",$C1978,"3 Posting Date",O$9,"4 Entry Type",$C$4,"2 Item No.","@@"&amp;$F1978)</t>
  </si>
  <si>
    <t>=-NL("Sum","32 Item Ledger Entry","12 Quantity","5 Source no.",$C1979,"3 Posting Date",O$9,"4 Entry Type",$C$4,"2 Item No.","@@"&amp;$F1979)</t>
  </si>
  <si>
    <t>=-NL("Sum","32 Item Ledger Entry","12 Quantity","5 Source no.",$C1980,"3 Posting Date",O$9,"4 Entry Type",$C$4,"2 Item No.","@@"&amp;$F1980)</t>
  </si>
  <si>
    <t>=-NL("Sum","32 Item Ledger Entry","12 Quantity","5 Source no.",$C1981,"3 Posting Date",O$9,"4 Entry Type",$C$4,"2 Item No.","@@"&amp;$F1981)</t>
  </si>
  <si>
    <t>=-NL("Sum","32 Item Ledger Entry","12 Quantity","5 Source no.",$C1982,"3 Posting Date",O$9,"4 Entry Type",$C$4,"2 Item No.","@@"&amp;$F1982)</t>
  </si>
  <si>
    <t>=-NL("Sum","32 Item Ledger Entry","12 Quantity","5 Source no.",$C1983,"3 Posting Date",O$9,"4 Entry Type",$C$4,"2 Item No.","@@"&amp;$F1983)</t>
  </si>
  <si>
    <t>=-NL("Sum","32 Item Ledger Entry","12 Quantity","5 Source no.",$C1984,"3 Posting Date",O$9,"4 Entry Type",$C$4,"2 Item No.","@@"&amp;$F1984)</t>
  </si>
  <si>
    <t>=-NL("Sum","32 Item Ledger Entry","12 Quantity","5 Source no.",$C1985,"3 Posting Date",O$9,"4 Entry Type",$C$4,"2 Item No.","@@"&amp;$F1985)</t>
  </si>
  <si>
    <t>=-NL("Sum","32 Item Ledger Entry","12 Quantity","5 Source no.",$C1986,"3 Posting Date",O$9,"4 Entry Type",$C$4,"2 Item No.","@@"&amp;$F1986)</t>
  </si>
  <si>
    <t>=-NL("Sum","32 Item Ledger Entry","12 Quantity","5 Source no.",$C1987,"3 Posting Date",O$9,"4 Entry Type",$C$4,"2 Item No.","@@"&amp;$F1987)</t>
  </si>
  <si>
    <t>=-NL("Sum","32 Item Ledger Entry","12 Quantity","5 Source no.",$C1957,"3 Posting Date",U$9,"4 Entry Type",$C$4,"2 Item No.","@@"&amp;$F1957)</t>
  </si>
  <si>
    <t>=-NL("Sum","32 Item Ledger Entry","12 Quantity","5 Source no.",$C1958,"3 Posting Date",U$9,"4 Entry Type",$C$4,"2 Item No.","@@"&amp;$F1958)</t>
  </si>
  <si>
    <t>=-NL("Sum","32 Item Ledger Entry","12 Quantity","5 Source no.",$C1959,"3 Posting Date",U$9,"4 Entry Type",$C$4,"2 Item No.","@@"&amp;$F1959)</t>
  </si>
  <si>
    <t>=-NL("Sum","32 Item Ledger Entry","12 Quantity","5 Source no.",$C1960,"3 Posting Date",U$9,"4 Entry Type",$C$4,"2 Item No.","@@"&amp;$F1960)</t>
  </si>
  <si>
    <t>=-NL("Sum","32 Item Ledger Entry","12 Quantity","5 Source no.",$C1961,"3 Posting Date",U$9,"4 Entry Type",$C$4,"2 Item No.","@@"&amp;$F1961)</t>
  </si>
  <si>
    <t>=-NL("Sum","32 Item Ledger Entry","12 Quantity","5 Source no.",$C1962,"3 Posting Date",U$9,"4 Entry Type",$C$4,"2 Item No.","@@"&amp;$F1962)</t>
  </si>
  <si>
    <t>=-NL("Sum","32 Item Ledger Entry","12 Quantity","5 Source no.",$C1963,"3 Posting Date",U$9,"4 Entry Type",$C$4,"2 Item No.","@@"&amp;$F1963)</t>
  </si>
  <si>
    <t>=-NL("Sum","32 Item Ledger Entry","12 Quantity","5 Source no.",$C1964,"3 Posting Date",U$9,"4 Entry Type",$C$4,"2 Item No.","@@"&amp;$F1964)</t>
  </si>
  <si>
    <t>=-NL("Sum","32 Item Ledger Entry","12 Quantity","5 Source no.",$C1965,"3 Posting Date",U$9,"4 Entry Type",$C$4,"2 Item No.","@@"&amp;$F1965)</t>
  </si>
  <si>
    <t>=-NL("Sum","32 Item Ledger Entry","12 Quantity","5 Source no.",$C1966,"3 Posting Date",U$9,"4 Entry Type",$C$4,"2 Item No.","@@"&amp;$F1966)</t>
  </si>
  <si>
    <t>=-NL("Sum","32 Item Ledger Entry","12 Quantity","5 Source no.",$C1967,"3 Posting Date",U$9,"4 Entry Type",$C$4,"2 Item No.","@@"&amp;$F1967)</t>
  </si>
  <si>
    <t>=-NL("Sum","32 Item Ledger Entry","12 Quantity","5 Source no.",$C1968,"3 Posting Date",U$9,"4 Entry Type",$C$4,"2 Item No.","@@"&amp;$F1968)</t>
  </si>
  <si>
    <t>=-NL("Sum","32 Item Ledger Entry","12 Quantity","5 Source no.",$C1969,"3 Posting Date",U$9,"4 Entry Type",$C$4,"2 Item No.","@@"&amp;$F1969)</t>
  </si>
  <si>
    <t>=-NL("Sum","32 Item Ledger Entry","12 Quantity","5 Source no.",$C1970,"3 Posting Date",U$9,"4 Entry Type",$C$4,"2 Item No.","@@"&amp;$F1970)</t>
  </si>
  <si>
    <t>=-NL("Sum","32 Item Ledger Entry","12 Quantity","5 Source no.",$C1971,"3 Posting Date",U$9,"4 Entry Type",$C$4,"2 Item No.","@@"&amp;$F1971)</t>
  </si>
  <si>
    <t>=-NL("Sum","32 Item Ledger Entry","12 Quantity","5 Source no.",$C1972,"3 Posting Date",U$9,"4 Entry Type",$C$4,"2 Item No.","@@"&amp;$F1972)</t>
  </si>
  <si>
    <t>=-NL("Sum","32 Item Ledger Entry","12 Quantity","5 Source no.",$C1973,"3 Posting Date",U$9,"4 Entry Type",$C$4,"2 Item No.","@@"&amp;$F1973)</t>
  </si>
  <si>
    <t>=-NL("Sum","32 Item Ledger Entry","12 Quantity","5 Source no.",$C1974,"3 Posting Date",U$9,"4 Entry Type",$C$4,"2 Item No.","@@"&amp;$F1974)</t>
  </si>
  <si>
    <t>=-NL("Sum","32 Item Ledger Entry","12 Quantity","5 Source no.",$C1975,"3 Posting Date",U$9,"4 Entry Type",$C$4,"2 Item No.","@@"&amp;$F1975)</t>
  </si>
  <si>
    <t>=-NL("Sum","32 Item Ledger Entry","12 Quantity","5 Source no.",$C1976,"3 Posting Date",U$9,"4 Entry Type",$C$4,"2 Item No.","@@"&amp;$F1976)</t>
  </si>
  <si>
    <t>=-NL("Sum","32 Item Ledger Entry","12 Quantity","5 Source no.",$C1977,"3 Posting Date",U$9,"4 Entry Type",$C$4,"2 Item No.","@@"&amp;$F1977)</t>
  </si>
  <si>
    <t>=-NL("Sum","32 Item Ledger Entry","12 Quantity","5 Source no.",$C1978,"3 Posting Date",U$9,"4 Entry Type",$C$4,"2 Item No.","@@"&amp;$F1978)</t>
  </si>
  <si>
    <t>=-NL("Sum","32 Item Ledger Entry","12 Quantity","5 Source no.",$C1979,"3 Posting Date",U$9,"4 Entry Type",$C$4,"2 Item No.","@@"&amp;$F1979)</t>
  </si>
  <si>
    <t>=-NL("Sum","32 Item Ledger Entry","12 Quantity","5 Source no.",$C1980,"3 Posting Date",U$9,"4 Entry Type",$C$4,"2 Item No.","@@"&amp;$F1980)</t>
  </si>
  <si>
    <t>=-NL("Sum","32 Item Ledger Entry","12 Quantity","5 Source no.",$C1981,"3 Posting Date",U$9,"4 Entry Type",$C$4,"2 Item No.","@@"&amp;$F1981)</t>
  </si>
  <si>
    <t>=-NL("Sum","32 Item Ledger Entry","12 Quantity","5 Source no.",$C1982,"3 Posting Date",U$9,"4 Entry Type",$C$4,"2 Item No.","@@"&amp;$F1982)</t>
  </si>
  <si>
    <t>=-NL("Sum","32 Item Ledger Entry","12 Quantity","5 Source no.",$C1983,"3 Posting Date",U$9,"4 Entry Type",$C$4,"2 Item No.","@@"&amp;$F1983)</t>
  </si>
  <si>
    <t>=-NL("Sum","32 Item Ledger Entry","12 Quantity","5 Source no.",$C1984,"3 Posting Date",U$9,"4 Entry Type",$C$4,"2 Item No.","@@"&amp;$F1984)</t>
  </si>
  <si>
    <t>=-NL("Sum","32 Item Ledger Entry","12 Quantity","5 Source no.",$C1985,"3 Posting Date",U$9,"4 Entry Type",$C$4,"2 Item No.","@@"&amp;$F1985)</t>
  </si>
  <si>
    <t>=-NL("Sum","32 Item Ledger Entry","12 Quantity","5 Source no.",$C1986,"3 Posting Date",U$9,"4 Entry Type",$C$4,"2 Item No.","@@"&amp;$F1986)</t>
  </si>
  <si>
    <t>=-NL("Sum","32 Item Ledger Entry","12 Quantity","5 Source no.",$C1987,"3 Posting Date",U$9,"4 Entry Type",$C$4,"2 Item No.","@@"&amp;$F1987)</t>
  </si>
  <si>
    <t>=-NL("Sum","32 Item Ledger Entry","12 Quantity","5 Source no.",$C1957,"3 Posting Date",Z$9,"4 Entry Type",$C$4,"2 Item No.","@@"&amp;$F1957)</t>
  </si>
  <si>
    <t>=-NL("Sum","32 Item Ledger Entry","12 Quantity","5 Source no.",$C1958,"3 Posting Date",Z$9,"4 Entry Type",$C$4,"2 Item No.","@@"&amp;$F1958)</t>
  </si>
  <si>
    <t>=-NL("Sum","32 Item Ledger Entry","12 Quantity","5 Source no.",$C1959,"3 Posting Date",Z$9,"4 Entry Type",$C$4,"2 Item No.","@@"&amp;$F1959)</t>
  </si>
  <si>
    <t>=-NL("Sum","32 Item Ledger Entry","12 Quantity","5 Source no.",$C1960,"3 Posting Date",Z$9,"4 Entry Type",$C$4,"2 Item No.","@@"&amp;$F1960)</t>
  </si>
  <si>
    <t>=-NL("Sum","32 Item Ledger Entry","12 Quantity","5 Source no.",$C1961,"3 Posting Date",Z$9,"4 Entry Type",$C$4,"2 Item No.","@@"&amp;$F1961)</t>
  </si>
  <si>
    <t>=-NL("Sum","32 Item Ledger Entry","12 Quantity","5 Source no.",$C1962,"3 Posting Date",Z$9,"4 Entry Type",$C$4,"2 Item No.","@@"&amp;$F1962)</t>
  </si>
  <si>
    <t>=-NL("Sum","32 Item Ledger Entry","12 Quantity","5 Source no.",$C1963,"3 Posting Date",Z$9,"4 Entry Type",$C$4,"2 Item No.","@@"&amp;$F1963)</t>
  </si>
  <si>
    <t>=-NL("Sum","32 Item Ledger Entry","12 Quantity","5 Source no.",$C1964,"3 Posting Date",Z$9,"4 Entry Type",$C$4,"2 Item No.","@@"&amp;$F1964)</t>
  </si>
  <si>
    <t>=-NL("Sum","32 Item Ledger Entry","12 Quantity","5 Source no.",$C1965,"3 Posting Date",Z$9,"4 Entry Type",$C$4,"2 Item No.","@@"&amp;$F1965)</t>
  </si>
  <si>
    <t>=-NL("Sum","32 Item Ledger Entry","12 Quantity","5 Source no.",$C1966,"3 Posting Date",Z$9,"4 Entry Type",$C$4,"2 Item No.","@@"&amp;$F1966)</t>
  </si>
  <si>
    <t>=-NL("Sum","32 Item Ledger Entry","12 Quantity","5 Source no.",$C1967,"3 Posting Date",Z$9,"4 Entry Type",$C$4,"2 Item No.","@@"&amp;$F1967)</t>
  </si>
  <si>
    <t>=-NL("Sum","32 Item Ledger Entry","12 Quantity","5 Source no.",$C1968,"3 Posting Date",Z$9,"4 Entry Type",$C$4,"2 Item No.","@@"&amp;$F1968)</t>
  </si>
  <si>
    <t>=-NL("Sum","32 Item Ledger Entry","12 Quantity","5 Source no.",$C1969,"3 Posting Date",Z$9,"4 Entry Type",$C$4,"2 Item No.","@@"&amp;$F1969)</t>
  </si>
  <si>
    <t>=-NL("Sum","32 Item Ledger Entry","12 Quantity","5 Source no.",$C1970,"3 Posting Date",Z$9,"4 Entry Type",$C$4,"2 Item No.","@@"&amp;$F1970)</t>
  </si>
  <si>
    <t>=-NL("Sum","32 Item Ledger Entry","12 Quantity","5 Source no.",$C1971,"3 Posting Date",Z$9,"4 Entry Type",$C$4,"2 Item No.","@@"&amp;$F1971)</t>
  </si>
  <si>
    <t>=-NL("Sum","32 Item Ledger Entry","12 Quantity","5 Source no.",$C1972,"3 Posting Date",Z$9,"4 Entry Type",$C$4,"2 Item No.","@@"&amp;$F1972)</t>
  </si>
  <si>
    <t>=-NL("Sum","32 Item Ledger Entry","12 Quantity","5 Source no.",$C1973,"3 Posting Date",Z$9,"4 Entry Type",$C$4,"2 Item No.","@@"&amp;$F1973)</t>
  </si>
  <si>
    <t>=-NL("Sum","32 Item Ledger Entry","12 Quantity","5 Source no.",$C1974,"3 Posting Date",Z$9,"4 Entry Type",$C$4,"2 Item No.","@@"&amp;$F1974)</t>
  </si>
  <si>
    <t>=-NL("Sum","32 Item Ledger Entry","12 Quantity","5 Source no.",$C1975,"3 Posting Date",Z$9,"4 Entry Type",$C$4,"2 Item No.","@@"&amp;$F1975)</t>
  </si>
  <si>
    <t>=-NL("Sum","32 Item Ledger Entry","12 Quantity","5 Source no.",$C1976,"3 Posting Date",Z$9,"4 Entry Type",$C$4,"2 Item No.","@@"&amp;$F1976)</t>
  </si>
  <si>
    <t>=-NL("Sum","32 Item Ledger Entry","12 Quantity","5 Source no.",$C1977,"3 Posting Date",Z$9,"4 Entry Type",$C$4,"2 Item No.","@@"&amp;$F1977)</t>
  </si>
  <si>
    <t>=-NL("Sum","32 Item Ledger Entry","12 Quantity","5 Source no.",$C1978,"3 Posting Date",Z$9,"4 Entry Type",$C$4,"2 Item No.","@@"&amp;$F1978)</t>
  </si>
  <si>
    <t>=-NL("Sum","32 Item Ledger Entry","12 Quantity","5 Source no.",$C1979,"3 Posting Date",Z$9,"4 Entry Type",$C$4,"2 Item No.","@@"&amp;$F1979)</t>
  </si>
  <si>
    <t>=-NL("Sum","32 Item Ledger Entry","12 Quantity","5 Source no.",$C1980,"3 Posting Date",Z$9,"4 Entry Type",$C$4,"2 Item No.","@@"&amp;$F1980)</t>
  </si>
  <si>
    <t>=-NL("Sum","32 Item Ledger Entry","12 Quantity","5 Source no.",$C1981,"3 Posting Date",Z$9,"4 Entry Type",$C$4,"2 Item No.","@@"&amp;$F1981)</t>
  </si>
  <si>
    <t>=-NL("Sum","32 Item Ledger Entry","12 Quantity","5 Source no.",$C1982,"3 Posting Date",Z$9,"4 Entry Type",$C$4,"2 Item No.","@@"&amp;$F1982)</t>
  </si>
  <si>
    <t>=-NL("Sum","32 Item Ledger Entry","12 Quantity","5 Source no.",$C1983,"3 Posting Date",Z$9,"4 Entry Type",$C$4,"2 Item No.","@@"&amp;$F1983)</t>
  </si>
  <si>
    <t>=-NL("Sum","32 Item Ledger Entry","12 Quantity","5 Source no.",$C1984,"3 Posting Date",Z$9,"4 Entry Type",$C$4,"2 Item No.","@@"&amp;$F1984)</t>
  </si>
  <si>
    <t>=-NL("Sum","32 Item Ledger Entry","12 Quantity","5 Source no.",$C1985,"3 Posting Date",Z$9,"4 Entry Type",$C$4,"2 Item No.","@@"&amp;$F1985)</t>
  </si>
  <si>
    <t>=-NL("Sum","32 Item Ledger Entry","12 Quantity","5 Source no.",$C1986,"3 Posting Date",Z$9,"4 Entry Type",$C$4,"2 Item No.","@@"&amp;$F1986)</t>
  </si>
  <si>
    <t>=-NL("Sum","32 Item Ledger Entry","12 Quantity","5 Source no.",$C1987,"3 Posting Date",Z$9,"4 Entry Type",$C$4,"2 Item No.","@@"&amp;$F1987)</t>
  </si>
  <si>
    <t>=NL(,"27 Item","3 Description","1 No.","@@"&amp;F1921)</t>
  </si>
  <si>
    <t>=NL(,"27 Item","3 Description","1 No.","@@"&amp;F1922)</t>
  </si>
  <si>
    <t>=NL(,"27 Item","3 Description","1 No.","@@"&amp;F1923)</t>
  </si>
  <si>
    <t>=NL(,"27 Item","3 Description","1 No.","@@"&amp;F1924)</t>
  </si>
  <si>
    <t>=NL(,"27 Item","3 Description","1 No.","@@"&amp;F1925)</t>
  </si>
  <si>
    <t>=NL(,"27 Item","3 Description","1 No.","@@"&amp;F1926)</t>
  </si>
  <si>
    <t>=NL(,"27 Item","3 Description","1 No.","@@"&amp;F1927)</t>
  </si>
  <si>
    <t>=NL(,"27 Item","3 Description","1 No.","@@"&amp;F1928)</t>
  </si>
  <si>
    <t>=NL(,"27 Item","3 Description","1 No.","@@"&amp;F1929)</t>
  </si>
  <si>
    <t>=NL(,"27 Item","3 Description","1 No.","@@"&amp;F1930)</t>
  </si>
  <si>
    <t>=NL(,"27 Item","3 Description","1 No.","@@"&amp;F1931)</t>
  </si>
  <si>
    <t>=NL(,"27 Item","3 Description","1 No.","@@"&amp;F1932)</t>
  </si>
  <si>
    <t>=NL(,"27 Item","3 Description","1 No.","@@"&amp;F1933)</t>
  </si>
  <si>
    <t>=NL(,"27 Item","3 Description","1 No.","@@"&amp;F1934)</t>
  </si>
  <si>
    <t>=NL(,"27 Item","3 Description","1 No.","@@"&amp;F1935)</t>
  </si>
  <si>
    <t>=NL(,"27 Item","3 Description","1 No.","@@"&amp;F1936)</t>
  </si>
  <si>
    <t>=NL(,"27 Item","3 Description","1 No.","@@"&amp;F1937)</t>
  </si>
  <si>
    <t>=NL(,"27 Item","3 Description","1 No.","@@"&amp;F1938)</t>
  </si>
  <si>
    <t>=NL(,"27 Item","3 Description","1 No.","@@"&amp;F1939)</t>
  </si>
  <si>
    <t>=NL(,"27 Item","3 Description","1 No.","@@"&amp;F1940)</t>
  </si>
  <si>
    <t>=NL(,"27 Item","3 Description","1 No.","@@"&amp;F1941)</t>
  </si>
  <si>
    <t>=NL(,"27 Item","3 Description","1 No.","@@"&amp;F1942)</t>
  </si>
  <si>
    <t>=NL(,"27 Item","3 Description","1 No.","@@"&amp;F1943)</t>
  </si>
  <si>
    <t>=NL(,"27 Item","3 Description","1 No.","@@"&amp;F1944)</t>
  </si>
  <si>
    <t>=NL(,"27 Item","3 Description","1 No.","@@"&amp;F1945)</t>
  </si>
  <si>
    <t>=NL(,"27 Item","3 Description","1 No.","@@"&amp;F1946)</t>
  </si>
  <si>
    <t>=NL(,"27 Item","3 Description","1 No.","@@"&amp;F1947)</t>
  </si>
  <si>
    <t>=NL(,"27 Item","3 Description","1 No.","@@"&amp;F1948)</t>
  </si>
  <si>
    <t>=NL(,"27 Item","3 Description","1 No.","@@"&amp;F1949)</t>
  </si>
  <si>
    <t>=NL(,"27 Item","3 Description","1 No.","@@"&amp;F1950)</t>
  </si>
  <si>
    <t>=NL(,"27 Item","3 Description","1 No.","@@"&amp;F1951)</t>
  </si>
  <si>
    <t>=-NL("Sum","32 Item Ledger Entry","12 Quantity","5 Source no.",$C1921,"3 Posting Date",J$9,"4 Entry Type",$C$4,"2 Item No.","@@"&amp;$F1921)</t>
  </si>
  <si>
    <t>=-NL("Sum","32 Item Ledger Entry","12 Quantity","5 Source no.",$C1922,"3 Posting Date",J$9,"4 Entry Type",$C$4,"2 Item No.","@@"&amp;$F1922)</t>
  </si>
  <si>
    <t>=-NL("Sum","32 Item Ledger Entry","12 Quantity","5 Source no.",$C1923,"3 Posting Date",J$9,"4 Entry Type",$C$4,"2 Item No.","@@"&amp;$F1923)</t>
  </si>
  <si>
    <t>=-NL("Sum","32 Item Ledger Entry","12 Quantity","5 Source no.",$C1924,"3 Posting Date",J$9,"4 Entry Type",$C$4,"2 Item No.","@@"&amp;$F1924)</t>
  </si>
  <si>
    <t>=-NL("Sum","32 Item Ledger Entry","12 Quantity","5 Source no.",$C1925,"3 Posting Date",J$9,"4 Entry Type",$C$4,"2 Item No.","@@"&amp;$F1925)</t>
  </si>
  <si>
    <t>=-NL("Sum","32 Item Ledger Entry","12 Quantity","5 Source no.",$C1926,"3 Posting Date",J$9,"4 Entry Type",$C$4,"2 Item No.","@@"&amp;$F1926)</t>
  </si>
  <si>
    <t>=-NL("Sum","32 Item Ledger Entry","12 Quantity","5 Source no.",$C1927,"3 Posting Date",J$9,"4 Entry Type",$C$4,"2 Item No.","@@"&amp;$F1927)</t>
  </si>
  <si>
    <t>=-NL("Sum","32 Item Ledger Entry","12 Quantity","5 Source no.",$C1928,"3 Posting Date",J$9,"4 Entry Type",$C$4,"2 Item No.","@@"&amp;$F1928)</t>
  </si>
  <si>
    <t>=-NL("Sum","32 Item Ledger Entry","12 Quantity","5 Source no.",$C1929,"3 Posting Date",J$9,"4 Entry Type",$C$4,"2 Item No.","@@"&amp;$F1929)</t>
  </si>
  <si>
    <t>=-NL("Sum","32 Item Ledger Entry","12 Quantity","5 Source no.",$C1930,"3 Posting Date",J$9,"4 Entry Type",$C$4,"2 Item No.","@@"&amp;$F1930)</t>
  </si>
  <si>
    <t>=-NL("Sum","32 Item Ledger Entry","12 Quantity","5 Source no.",$C1931,"3 Posting Date",J$9,"4 Entry Type",$C$4,"2 Item No.","@@"&amp;$F1931)</t>
  </si>
  <si>
    <t>=-NL("Sum","32 Item Ledger Entry","12 Quantity","5 Source no.",$C1932,"3 Posting Date",J$9,"4 Entry Type",$C$4,"2 Item No.","@@"&amp;$F1932)</t>
  </si>
  <si>
    <t>=-NL("Sum","32 Item Ledger Entry","12 Quantity","5 Source no.",$C1933,"3 Posting Date",J$9,"4 Entry Type",$C$4,"2 Item No.","@@"&amp;$F1933)</t>
  </si>
  <si>
    <t>=-NL("Sum","32 Item Ledger Entry","12 Quantity","5 Source no.",$C1934,"3 Posting Date",J$9,"4 Entry Type",$C$4,"2 Item No.","@@"&amp;$F1934)</t>
  </si>
  <si>
    <t>=-NL("Sum","32 Item Ledger Entry","12 Quantity","5 Source no.",$C1935,"3 Posting Date",J$9,"4 Entry Type",$C$4,"2 Item No.","@@"&amp;$F1935)</t>
  </si>
  <si>
    <t>=-NL("Sum","32 Item Ledger Entry","12 Quantity","5 Source no.",$C1936,"3 Posting Date",J$9,"4 Entry Type",$C$4,"2 Item No.","@@"&amp;$F1936)</t>
  </si>
  <si>
    <t>=-NL("Sum","32 Item Ledger Entry","12 Quantity","5 Source no.",$C1937,"3 Posting Date",J$9,"4 Entry Type",$C$4,"2 Item No.","@@"&amp;$F1937)</t>
  </si>
  <si>
    <t>=-NL("Sum","32 Item Ledger Entry","12 Quantity","5 Source no.",$C1938,"3 Posting Date",J$9,"4 Entry Type",$C$4,"2 Item No.","@@"&amp;$F1938)</t>
  </si>
  <si>
    <t>=-NL("Sum","32 Item Ledger Entry","12 Quantity","5 Source no.",$C1939,"3 Posting Date",J$9,"4 Entry Type",$C$4,"2 Item No.","@@"&amp;$F1939)</t>
  </si>
  <si>
    <t>=-NL("Sum","32 Item Ledger Entry","12 Quantity","5 Source no.",$C1940,"3 Posting Date",J$9,"4 Entry Type",$C$4,"2 Item No.","@@"&amp;$F1940)</t>
  </si>
  <si>
    <t>=-NL("Sum","32 Item Ledger Entry","12 Quantity","5 Source no.",$C1941,"3 Posting Date",J$9,"4 Entry Type",$C$4,"2 Item No.","@@"&amp;$F1941)</t>
  </si>
  <si>
    <t>=-NL("Sum","32 Item Ledger Entry","12 Quantity","5 Source no.",$C1942,"3 Posting Date",J$9,"4 Entry Type",$C$4,"2 Item No.","@@"&amp;$F1942)</t>
  </si>
  <si>
    <t>=-NL("Sum","32 Item Ledger Entry","12 Quantity","5 Source no.",$C1943,"3 Posting Date",J$9,"4 Entry Type",$C$4,"2 Item No.","@@"&amp;$F1943)</t>
  </si>
  <si>
    <t>=-NL("Sum","32 Item Ledger Entry","12 Quantity","5 Source no.",$C1944,"3 Posting Date",J$9,"4 Entry Type",$C$4,"2 Item No.","@@"&amp;$F1944)</t>
  </si>
  <si>
    <t>=-NL("Sum","32 Item Ledger Entry","12 Quantity","5 Source no.",$C1945,"3 Posting Date",J$9,"4 Entry Type",$C$4,"2 Item No.","@@"&amp;$F1945)</t>
  </si>
  <si>
    <t>=-NL("Sum","32 Item Ledger Entry","12 Quantity","5 Source no.",$C1946,"3 Posting Date",J$9,"4 Entry Type",$C$4,"2 Item No.","@@"&amp;$F1946)</t>
  </si>
  <si>
    <t>=-NL("Sum","32 Item Ledger Entry","12 Quantity","5 Source no.",$C1947,"3 Posting Date",J$9,"4 Entry Type",$C$4,"2 Item No.","@@"&amp;$F1947)</t>
  </si>
  <si>
    <t>=-NL("Sum","32 Item Ledger Entry","12 Quantity","5 Source no.",$C1948,"3 Posting Date",J$9,"4 Entry Type",$C$4,"2 Item No.","@@"&amp;$F1948)</t>
  </si>
  <si>
    <t>=-NL("Sum","32 Item Ledger Entry","12 Quantity","5 Source no.",$C1949,"3 Posting Date",J$9,"4 Entry Type",$C$4,"2 Item No.","@@"&amp;$F1949)</t>
  </si>
  <si>
    <t>=-NL("Sum","32 Item Ledger Entry","12 Quantity","5 Source no.",$C1950,"3 Posting Date",J$9,"4 Entry Type",$C$4,"2 Item No.","@@"&amp;$F1950)</t>
  </si>
  <si>
    <t>=-NL("Sum","32 Item Ledger Entry","12 Quantity","5 Source no.",$C1951,"3 Posting Date",J$9,"4 Entry Type",$C$4,"2 Item No.","@@"&amp;$F1951)</t>
  </si>
  <si>
    <t>=-NL("Sum","32 Item Ledger Entry","12 Quantity","5 Source no.",$C1921,"3 Posting Date",O$9,"4 Entry Type",$C$4,"2 Item No.","@@"&amp;$F1921)</t>
  </si>
  <si>
    <t>=-NL("Sum","32 Item Ledger Entry","12 Quantity","5 Source no.",$C1922,"3 Posting Date",O$9,"4 Entry Type",$C$4,"2 Item No.","@@"&amp;$F1922)</t>
  </si>
  <si>
    <t>=-NL("Sum","32 Item Ledger Entry","12 Quantity","5 Source no.",$C1923,"3 Posting Date",O$9,"4 Entry Type",$C$4,"2 Item No.","@@"&amp;$F1923)</t>
  </si>
  <si>
    <t>=-NL("Sum","32 Item Ledger Entry","12 Quantity","5 Source no.",$C1924,"3 Posting Date",O$9,"4 Entry Type",$C$4,"2 Item No.","@@"&amp;$F1924)</t>
  </si>
  <si>
    <t>=-NL("Sum","32 Item Ledger Entry","12 Quantity","5 Source no.",$C1925,"3 Posting Date",O$9,"4 Entry Type",$C$4,"2 Item No.","@@"&amp;$F1925)</t>
  </si>
  <si>
    <t>=-NL("Sum","32 Item Ledger Entry","12 Quantity","5 Source no.",$C1926,"3 Posting Date",O$9,"4 Entry Type",$C$4,"2 Item No.","@@"&amp;$F1926)</t>
  </si>
  <si>
    <t>=-NL("Sum","32 Item Ledger Entry","12 Quantity","5 Source no.",$C1927,"3 Posting Date",O$9,"4 Entry Type",$C$4,"2 Item No.","@@"&amp;$F1927)</t>
  </si>
  <si>
    <t>=-NL("Sum","32 Item Ledger Entry","12 Quantity","5 Source no.",$C1928,"3 Posting Date",O$9,"4 Entry Type",$C$4,"2 Item No.","@@"&amp;$F1928)</t>
  </si>
  <si>
    <t>=-NL("Sum","32 Item Ledger Entry","12 Quantity","5 Source no.",$C1929,"3 Posting Date",O$9,"4 Entry Type",$C$4,"2 Item No.","@@"&amp;$F1929)</t>
  </si>
  <si>
    <t>=-NL("Sum","32 Item Ledger Entry","12 Quantity","5 Source no.",$C1930,"3 Posting Date",O$9,"4 Entry Type",$C$4,"2 Item No.","@@"&amp;$F1930)</t>
  </si>
  <si>
    <t>=-NL("Sum","32 Item Ledger Entry","12 Quantity","5 Source no.",$C1931,"3 Posting Date",O$9,"4 Entry Type",$C$4,"2 Item No.","@@"&amp;$F1931)</t>
  </si>
  <si>
    <t>=-NL("Sum","32 Item Ledger Entry","12 Quantity","5 Source no.",$C1932,"3 Posting Date",O$9,"4 Entry Type",$C$4,"2 Item No.","@@"&amp;$F1932)</t>
  </si>
  <si>
    <t>=-NL("Sum","32 Item Ledger Entry","12 Quantity","5 Source no.",$C1933,"3 Posting Date",O$9,"4 Entry Type",$C$4,"2 Item No.","@@"&amp;$F1933)</t>
  </si>
  <si>
    <t>=-NL("Sum","32 Item Ledger Entry","12 Quantity","5 Source no.",$C1934,"3 Posting Date",O$9,"4 Entry Type",$C$4,"2 Item No.","@@"&amp;$F1934)</t>
  </si>
  <si>
    <t>=-NL("Sum","32 Item Ledger Entry","12 Quantity","5 Source no.",$C1935,"3 Posting Date",O$9,"4 Entry Type",$C$4,"2 Item No.","@@"&amp;$F1935)</t>
  </si>
  <si>
    <t>=-NL("Sum","32 Item Ledger Entry","12 Quantity","5 Source no.",$C1936,"3 Posting Date",O$9,"4 Entry Type",$C$4,"2 Item No.","@@"&amp;$F1936)</t>
  </si>
  <si>
    <t>=-NL("Sum","32 Item Ledger Entry","12 Quantity","5 Source no.",$C1937,"3 Posting Date",O$9,"4 Entry Type",$C$4,"2 Item No.","@@"&amp;$F1937)</t>
  </si>
  <si>
    <t>=-NL("Sum","32 Item Ledger Entry","12 Quantity","5 Source no.",$C1938,"3 Posting Date",O$9,"4 Entry Type",$C$4,"2 Item No.","@@"&amp;$F1938)</t>
  </si>
  <si>
    <t>=-NL("Sum","32 Item Ledger Entry","12 Quantity","5 Source no.",$C1939,"3 Posting Date",O$9,"4 Entry Type",$C$4,"2 Item No.","@@"&amp;$F1939)</t>
  </si>
  <si>
    <t>=-NL("Sum","32 Item Ledger Entry","12 Quantity","5 Source no.",$C1940,"3 Posting Date",O$9,"4 Entry Type",$C$4,"2 Item No.","@@"&amp;$F1940)</t>
  </si>
  <si>
    <t>=-NL("Sum","32 Item Ledger Entry","12 Quantity","5 Source no.",$C1941,"3 Posting Date",O$9,"4 Entry Type",$C$4,"2 Item No.","@@"&amp;$F1941)</t>
  </si>
  <si>
    <t>=-NL("Sum","32 Item Ledger Entry","12 Quantity","5 Source no.",$C1942,"3 Posting Date",O$9,"4 Entry Type",$C$4,"2 Item No.","@@"&amp;$F1942)</t>
  </si>
  <si>
    <t>=-NL("Sum","32 Item Ledger Entry","12 Quantity","5 Source no.",$C1943,"3 Posting Date",O$9,"4 Entry Type",$C$4,"2 Item No.","@@"&amp;$F1943)</t>
  </si>
  <si>
    <t>=-NL("Sum","32 Item Ledger Entry","12 Quantity","5 Source no.",$C1944,"3 Posting Date",O$9,"4 Entry Type",$C$4,"2 Item No.","@@"&amp;$F1944)</t>
  </si>
  <si>
    <t>=-NL("Sum","32 Item Ledger Entry","12 Quantity","5 Source no.",$C1945,"3 Posting Date",O$9,"4 Entry Type",$C$4,"2 Item No.","@@"&amp;$F1945)</t>
  </si>
  <si>
    <t>=-NL("Sum","32 Item Ledger Entry","12 Quantity","5 Source no.",$C1946,"3 Posting Date",O$9,"4 Entry Type",$C$4,"2 Item No.","@@"&amp;$F1946)</t>
  </si>
  <si>
    <t>=-NL("Sum","32 Item Ledger Entry","12 Quantity","5 Source no.",$C1947,"3 Posting Date",O$9,"4 Entry Type",$C$4,"2 Item No.","@@"&amp;$F1947)</t>
  </si>
  <si>
    <t>=-NL("Sum","32 Item Ledger Entry","12 Quantity","5 Source no.",$C1948,"3 Posting Date",O$9,"4 Entry Type",$C$4,"2 Item No.","@@"&amp;$F1948)</t>
  </si>
  <si>
    <t>=-NL("Sum","32 Item Ledger Entry","12 Quantity","5 Source no.",$C1949,"3 Posting Date",O$9,"4 Entry Type",$C$4,"2 Item No.","@@"&amp;$F1949)</t>
  </si>
  <si>
    <t>=-NL("Sum","32 Item Ledger Entry","12 Quantity","5 Source no.",$C1950,"3 Posting Date",O$9,"4 Entry Type",$C$4,"2 Item No.","@@"&amp;$F1950)</t>
  </si>
  <si>
    <t>=-NL("Sum","32 Item Ledger Entry","12 Quantity","5 Source no.",$C1951,"3 Posting Date",O$9,"4 Entry Type",$C$4,"2 Item No.","@@"&amp;$F1951)</t>
  </si>
  <si>
    <t>=-NL("Sum","32 Item Ledger Entry","12 Quantity","5 Source no.",$C1921,"3 Posting Date",U$9,"4 Entry Type",$C$4,"2 Item No.","@@"&amp;$F1921)</t>
  </si>
  <si>
    <t>=-NL("Sum","32 Item Ledger Entry","12 Quantity","5 Source no.",$C1922,"3 Posting Date",U$9,"4 Entry Type",$C$4,"2 Item No.","@@"&amp;$F1922)</t>
  </si>
  <si>
    <t>=-NL("Sum","32 Item Ledger Entry","12 Quantity","5 Source no.",$C1923,"3 Posting Date",U$9,"4 Entry Type",$C$4,"2 Item No.","@@"&amp;$F1923)</t>
  </si>
  <si>
    <t>=-NL("Sum","32 Item Ledger Entry","12 Quantity","5 Source no.",$C1924,"3 Posting Date",U$9,"4 Entry Type",$C$4,"2 Item No.","@@"&amp;$F1924)</t>
  </si>
  <si>
    <t>=-NL("Sum","32 Item Ledger Entry","12 Quantity","5 Source no.",$C1925,"3 Posting Date",U$9,"4 Entry Type",$C$4,"2 Item No.","@@"&amp;$F1925)</t>
  </si>
  <si>
    <t>=-NL("Sum","32 Item Ledger Entry","12 Quantity","5 Source no.",$C1926,"3 Posting Date",U$9,"4 Entry Type",$C$4,"2 Item No.","@@"&amp;$F1926)</t>
  </si>
  <si>
    <t>=-NL("Sum","32 Item Ledger Entry","12 Quantity","5 Source no.",$C1927,"3 Posting Date",U$9,"4 Entry Type",$C$4,"2 Item No.","@@"&amp;$F1927)</t>
  </si>
  <si>
    <t>=-NL("Sum","32 Item Ledger Entry","12 Quantity","5 Source no.",$C1928,"3 Posting Date",U$9,"4 Entry Type",$C$4,"2 Item No.","@@"&amp;$F1928)</t>
  </si>
  <si>
    <t>=-NL("Sum","32 Item Ledger Entry","12 Quantity","5 Source no.",$C1929,"3 Posting Date",U$9,"4 Entry Type",$C$4,"2 Item No.","@@"&amp;$F1929)</t>
  </si>
  <si>
    <t>=-NL("Sum","32 Item Ledger Entry","12 Quantity","5 Source no.",$C1930,"3 Posting Date",U$9,"4 Entry Type",$C$4,"2 Item No.","@@"&amp;$F1930)</t>
  </si>
  <si>
    <t>=-NL("Sum","32 Item Ledger Entry","12 Quantity","5 Source no.",$C1931,"3 Posting Date",U$9,"4 Entry Type",$C$4,"2 Item No.","@@"&amp;$F1931)</t>
  </si>
  <si>
    <t>=-NL("Sum","32 Item Ledger Entry","12 Quantity","5 Source no.",$C1932,"3 Posting Date",U$9,"4 Entry Type",$C$4,"2 Item No.","@@"&amp;$F1932)</t>
  </si>
  <si>
    <t>=-NL("Sum","32 Item Ledger Entry","12 Quantity","5 Source no.",$C1933,"3 Posting Date",U$9,"4 Entry Type",$C$4,"2 Item No.","@@"&amp;$F1933)</t>
  </si>
  <si>
    <t>=-NL("Sum","32 Item Ledger Entry","12 Quantity","5 Source no.",$C1934,"3 Posting Date",U$9,"4 Entry Type",$C$4,"2 Item No.","@@"&amp;$F1934)</t>
  </si>
  <si>
    <t>=-NL("Sum","32 Item Ledger Entry","12 Quantity","5 Source no.",$C1935,"3 Posting Date",U$9,"4 Entry Type",$C$4,"2 Item No.","@@"&amp;$F1935)</t>
  </si>
  <si>
    <t>=-NL("Sum","32 Item Ledger Entry","12 Quantity","5 Source no.",$C1936,"3 Posting Date",U$9,"4 Entry Type",$C$4,"2 Item No.","@@"&amp;$F1936)</t>
  </si>
  <si>
    <t>=-NL("Sum","32 Item Ledger Entry","12 Quantity","5 Source no.",$C1937,"3 Posting Date",U$9,"4 Entry Type",$C$4,"2 Item No.","@@"&amp;$F1937)</t>
  </si>
  <si>
    <t>=-NL("Sum","32 Item Ledger Entry","12 Quantity","5 Source no.",$C1938,"3 Posting Date",U$9,"4 Entry Type",$C$4,"2 Item No.","@@"&amp;$F1938)</t>
  </si>
  <si>
    <t>=-NL("Sum","32 Item Ledger Entry","12 Quantity","5 Source no.",$C1939,"3 Posting Date",U$9,"4 Entry Type",$C$4,"2 Item No.","@@"&amp;$F1939)</t>
  </si>
  <si>
    <t>=-NL("Sum","32 Item Ledger Entry","12 Quantity","5 Source no.",$C1940,"3 Posting Date",U$9,"4 Entry Type",$C$4,"2 Item No.","@@"&amp;$F1940)</t>
  </si>
  <si>
    <t>=-NL("Sum","32 Item Ledger Entry","12 Quantity","5 Source no.",$C1941,"3 Posting Date",U$9,"4 Entry Type",$C$4,"2 Item No.","@@"&amp;$F1941)</t>
  </si>
  <si>
    <t>=-NL("Sum","32 Item Ledger Entry","12 Quantity","5 Source no.",$C1942,"3 Posting Date",U$9,"4 Entry Type",$C$4,"2 Item No.","@@"&amp;$F1942)</t>
  </si>
  <si>
    <t>=-NL("Sum","32 Item Ledger Entry","12 Quantity","5 Source no.",$C1943,"3 Posting Date",U$9,"4 Entry Type",$C$4,"2 Item No.","@@"&amp;$F1943)</t>
  </si>
  <si>
    <t>=-NL("Sum","32 Item Ledger Entry","12 Quantity","5 Source no.",$C1944,"3 Posting Date",U$9,"4 Entry Type",$C$4,"2 Item No.","@@"&amp;$F1944)</t>
  </si>
  <si>
    <t>=-NL("Sum","32 Item Ledger Entry","12 Quantity","5 Source no.",$C1945,"3 Posting Date",U$9,"4 Entry Type",$C$4,"2 Item No.","@@"&amp;$F1945)</t>
  </si>
  <si>
    <t>=-NL("Sum","32 Item Ledger Entry","12 Quantity","5 Source no.",$C1946,"3 Posting Date",U$9,"4 Entry Type",$C$4,"2 Item No.","@@"&amp;$F1946)</t>
  </si>
  <si>
    <t>=-NL("Sum","32 Item Ledger Entry","12 Quantity","5 Source no.",$C1947,"3 Posting Date",U$9,"4 Entry Type",$C$4,"2 Item No.","@@"&amp;$F1947)</t>
  </si>
  <si>
    <t>=-NL("Sum","32 Item Ledger Entry","12 Quantity","5 Source no.",$C1948,"3 Posting Date",U$9,"4 Entry Type",$C$4,"2 Item No.","@@"&amp;$F1948)</t>
  </si>
  <si>
    <t>=-NL("Sum","32 Item Ledger Entry","12 Quantity","5 Source no.",$C1949,"3 Posting Date",U$9,"4 Entry Type",$C$4,"2 Item No.","@@"&amp;$F1949)</t>
  </si>
  <si>
    <t>=-NL("Sum","32 Item Ledger Entry","12 Quantity","5 Source no.",$C1950,"3 Posting Date",U$9,"4 Entry Type",$C$4,"2 Item No.","@@"&amp;$F1950)</t>
  </si>
  <si>
    <t>=-NL("Sum","32 Item Ledger Entry","12 Quantity","5 Source no.",$C1951,"3 Posting Date",U$9,"4 Entry Type",$C$4,"2 Item No.","@@"&amp;$F1951)</t>
  </si>
  <si>
    <t>=-NL("Sum","32 Item Ledger Entry","12 Quantity","5 Source no.",$C1921,"3 Posting Date",Z$9,"4 Entry Type",$C$4,"2 Item No.","@@"&amp;$F1921)</t>
  </si>
  <si>
    <t>=-NL("Sum","32 Item Ledger Entry","12 Quantity","5 Source no.",$C1922,"3 Posting Date",Z$9,"4 Entry Type",$C$4,"2 Item No.","@@"&amp;$F1922)</t>
  </si>
  <si>
    <t>=-NL("Sum","32 Item Ledger Entry","12 Quantity","5 Source no.",$C1923,"3 Posting Date",Z$9,"4 Entry Type",$C$4,"2 Item No.","@@"&amp;$F1923)</t>
  </si>
  <si>
    <t>=-NL("Sum","32 Item Ledger Entry","12 Quantity","5 Source no.",$C1924,"3 Posting Date",Z$9,"4 Entry Type",$C$4,"2 Item No.","@@"&amp;$F1924)</t>
  </si>
  <si>
    <t>=-NL("Sum","32 Item Ledger Entry","12 Quantity","5 Source no.",$C1925,"3 Posting Date",Z$9,"4 Entry Type",$C$4,"2 Item No.","@@"&amp;$F1925)</t>
  </si>
  <si>
    <t>=-NL("Sum","32 Item Ledger Entry","12 Quantity","5 Source no.",$C1926,"3 Posting Date",Z$9,"4 Entry Type",$C$4,"2 Item No.","@@"&amp;$F1926)</t>
  </si>
  <si>
    <t>=-NL("Sum","32 Item Ledger Entry","12 Quantity","5 Source no.",$C1927,"3 Posting Date",Z$9,"4 Entry Type",$C$4,"2 Item No.","@@"&amp;$F1927)</t>
  </si>
  <si>
    <t>=-NL("Sum","32 Item Ledger Entry","12 Quantity","5 Source no.",$C1928,"3 Posting Date",Z$9,"4 Entry Type",$C$4,"2 Item No.","@@"&amp;$F1928)</t>
  </si>
  <si>
    <t>=-NL("Sum","32 Item Ledger Entry","12 Quantity","5 Source no.",$C1929,"3 Posting Date",Z$9,"4 Entry Type",$C$4,"2 Item No.","@@"&amp;$F1929)</t>
  </si>
  <si>
    <t>=-NL("Sum","32 Item Ledger Entry","12 Quantity","5 Source no.",$C1930,"3 Posting Date",Z$9,"4 Entry Type",$C$4,"2 Item No.","@@"&amp;$F1930)</t>
  </si>
  <si>
    <t>=-NL("Sum","32 Item Ledger Entry","12 Quantity","5 Source no.",$C1931,"3 Posting Date",Z$9,"4 Entry Type",$C$4,"2 Item No.","@@"&amp;$F1931)</t>
  </si>
  <si>
    <t>=-NL("Sum","32 Item Ledger Entry","12 Quantity","5 Source no.",$C1932,"3 Posting Date",Z$9,"4 Entry Type",$C$4,"2 Item No.","@@"&amp;$F1932)</t>
  </si>
  <si>
    <t>=-NL("Sum","32 Item Ledger Entry","12 Quantity","5 Source no.",$C1933,"3 Posting Date",Z$9,"4 Entry Type",$C$4,"2 Item No.","@@"&amp;$F1933)</t>
  </si>
  <si>
    <t>=-NL("Sum","32 Item Ledger Entry","12 Quantity","5 Source no.",$C1934,"3 Posting Date",Z$9,"4 Entry Type",$C$4,"2 Item No.","@@"&amp;$F1934)</t>
  </si>
  <si>
    <t>=-NL("Sum","32 Item Ledger Entry","12 Quantity","5 Source no.",$C1935,"3 Posting Date",Z$9,"4 Entry Type",$C$4,"2 Item No.","@@"&amp;$F1935)</t>
  </si>
  <si>
    <t>=-NL("Sum","32 Item Ledger Entry","12 Quantity","5 Source no.",$C1936,"3 Posting Date",Z$9,"4 Entry Type",$C$4,"2 Item No.","@@"&amp;$F1936)</t>
  </si>
  <si>
    <t>=-NL("Sum","32 Item Ledger Entry","12 Quantity","5 Source no.",$C1937,"3 Posting Date",Z$9,"4 Entry Type",$C$4,"2 Item No.","@@"&amp;$F1937)</t>
  </si>
  <si>
    <t>=-NL("Sum","32 Item Ledger Entry","12 Quantity","5 Source no.",$C1938,"3 Posting Date",Z$9,"4 Entry Type",$C$4,"2 Item No.","@@"&amp;$F1938)</t>
  </si>
  <si>
    <t>=-NL("Sum","32 Item Ledger Entry","12 Quantity","5 Source no.",$C1939,"3 Posting Date",Z$9,"4 Entry Type",$C$4,"2 Item No.","@@"&amp;$F1939)</t>
  </si>
  <si>
    <t>=-NL("Sum","32 Item Ledger Entry","12 Quantity","5 Source no.",$C1940,"3 Posting Date",Z$9,"4 Entry Type",$C$4,"2 Item No.","@@"&amp;$F1940)</t>
  </si>
  <si>
    <t>=-NL("Sum","32 Item Ledger Entry","12 Quantity","5 Source no.",$C1941,"3 Posting Date",Z$9,"4 Entry Type",$C$4,"2 Item No.","@@"&amp;$F1941)</t>
  </si>
  <si>
    <t>=-NL("Sum","32 Item Ledger Entry","12 Quantity","5 Source no.",$C1942,"3 Posting Date",Z$9,"4 Entry Type",$C$4,"2 Item No.","@@"&amp;$F1942)</t>
  </si>
  <si>
    <t>=-NL("Sum","32 Item Ledger Entry","12 Quantity","5 Source no.",$C1943,"3 Posting Date",Z$9,"4 Entry Type",$C$4,"2 Item No.","@@"&amp;$F1943)</t>
  </si>
  <si>
    <t>=-NL("Sum","32 Item Ledger Entry","12 Quantity","5 Source no.",$C1944,"3 Posting Date",Z$9,"4 Entry Type",$C$4,"2 Item No.","@@"&amp;$F1944)</t>
  </si>
  <si>
    <t>=-NL("Sum","32 Item Ledger Entry","12 Quantity","5 Source no.",$C1945,"3 Posting Date",Z$9,"4 Entry Type",$C$4,"2 Item No.","@@"&amp;$F1945)</t>
  </si>
  <si>
    <t>=-NL("Sum","32 Item Ledger Entry","12 Quantity","5 Source no.",$C1946,"3 Posting Date",Z$9,"4 Entry Type",$C$4,"2 Item No.","@@"&amp;$F1946)</t>
  </si>
  <si>
    <t>=-NL("Sum","32 Item Ledger Entry","12 Quantity","5 Source no.",$C1947,"3 Posting Date",Z$9,"4 Entry Type",$C$4,"2 Item No.","@@"&amp;$F1947)</t>
  </si>
  <si>
    <t>=-NL("Sum","32 Item Ledger Entry","12 Quantity","5 Source no.",$C1948,"3 Posting Date",Z$9,"4 Entry Type",$C$4,"2 Item No.","@@"&amp;$F1948)</t>
  </si>
  <si>
    <t>=-NL("Sum","32 Item Ledger Entry","12 Quantity","5 Source no.",$C1949,"3 Posting Date",Z$9,"4 Entry Type",$C$4,"2 Item No.","@@"&amp;$F1949)</t>
  </si>
  <si>
    <t>=-NL("Sum","32 Item Ledger Entry","12 Quantity","5 Source no.",$C1950,"3 Posting Date",Z$9,"4 Entry Type",$C$4,"2 Item No.","@@"&amp;$F1950)</t>
  </si>
  <si>
    <t>=-NL("Sum","32 Item Ledger Entry","12 Quantity","5 Source no.",$C1951,"3 Posting Date",Z$9,"4 Entry Type",$C$4,"2 Item No.","@@"&amp;$F1951)</t>
  </si>
  <si>
    <t>=NL(,"27 Item","3 Description","1 No.","@@"&amp;F1855)</t>
  </si>
  <si>
    <t>=NL(,"27 Item","3 Description","1 No.","@@"&amp;F1856)</t>
  </si>
  <si>
    <t>=NL(,"27 Item","3 Description","1 No.","@@"&amp;F1857)</t>
  </si>
  <si>
    <t>=NL(,"27 Item","3 Description","1 No.","@@"&amp;F1858)</t>
  </si>
  <si>
    <t>=NL(,"27 Item","3 Description","1 No.","@@"&amp;F1859)</t>
  </si>
  <si>
    <t>=NL(,"27 Item","3 Description","1 No.","@@"&amp;F1860)</t>
  </si>
  <si>
    <t>=NL(,"27 Item","3 Description","1 No.","@@"&amp;F1861)</t>
  </si>
  <si>
    <t>=NL(,"27 Item","3 Description","1 No.","@@"&amp;F1862)</t>
  </si>
  <si>
    <t>=NL(,"27 Item","3 Description","1 No.","@@"&amp;F1863)</t>
  </si>
  <si>
    <t>=NL(,"27 Item","3 Description","1 No.","@@"&amp;F1864)</t>
  </si>
  <si>
    <t>=NL(,"27 Item","3 Description","1 No.","@@"&amp;F1865)</t>
  </si>
  <si>
    <t>=NL(,"27 Item","3 Description","1 No.","@@"&amp;F1866)</t>
  </si>
  <si>
    <t>=NL(,"27 Item","3 Description","1 No.","@@"&amp;F1867)</t>
  </si>
  <si>
    <t>=NL(,"27 Item","3 Description","1 No.","@@"&amp;F1868)</t>
  </si>
  <si>
    <t>=NL(,"27 Item","3 Description","1 No.","@@"&amp;F1869)</t>
  </si>
  <si>
    <t>=NL(,"27 Item","3 Description","1 No.","@@"&amp;F1870)</t>
  </si>
  <si>
    <t>=NL(,"27 Item","3 Description","1 No.","@@"&amp;F1871)</t>
  </si>
  <si>
    <t>=NL(,"27 Item","3 Description","1 No.","@@"&amp;F1872)</t>
  </si>
  <si>
    <t>=NL(,"27 Item","3 Description","1 No.","@@"&amp;F1873)</t>
  </si>
  <si>
    <t>=NL(,"27 Item","3 Description","1 No.","@@"&amp;F1874)</t>
  </si>
  <si>
    <t>=NL(,"27 Item","3 Description","1 No.","@@"&amp;F1875)</t>
  </si>
  <si>
    <t>=NL(,"27 Item","3 Description","1 No.","@@"&amp;F1876)</t>
  </si>
  <si>
    <t>=NL(,"27 Item","3 Description","1 No.","@@"&amp;F1877)</t>
  </si>
  <si>
    <t>=NL(,"27 Item","3 Description","1 No.","@@"&amp;F1878)</t>
  </si>
  <si>
    <t>=NL(,"27 Item","3 Description","1 No.","@@"&amp;F1879)</t>
  </si>
  <si>
    <t>=NL(,"27 Item","3 Description","1 No.","@@"&amp;F1880)</t>
  </si>
  <si>
    <t>=NL(,"27 Item","3 Description","1 No.","@@"&amp;F1881)</t>
  </si>
  <si>
    <t>=NL(,"27 Item","3 Description","1 No.","@@"&amp;F1882)</t>
  </si>
  <si>
    <t>=NL(,"27 Item","3 Description","1 No.","@@"&amp;F1883)</t>
  </si>
  <si>
    <t>=NL(,"27 Item","3 Description","1 No.","@@"&amp;F1884)</t>
  </si>
  <si>
    <t>=NL(,"27 Item","3 Description","1 No.","@@"&amp;F1885)</t>
  </si>
  <si>
    <t>=NL(,"27 Item","3 Description","1 No.","@@"&amp;F1886)</t>
  </si>
  <si>
    <t>=NL(,"27 Item","3 Description","1 No.","@@"&amp;F1887)</t>
  </si>
  <si>
    <t>=NL(,"27 Item","3 Description","1 No.","@@"&amp;F1888)</t>
  </si>
  <si>
    <t>=NL(,"27 Item","3 Description","1 No.","@@"&amp;F1889)</t>
  </si>
  <si>
    <t>=NL(,"27 Item","3 Description","1 No.","@@"&amp;F1890)</t>
  </si>
  <si>
    <t>=NL(,"27 Item","3 Description","1 No.","@@"&amp;F1891)</t>
  </si>
  <si>
    <t>=NL(,"27 Item","3 Description","1 No.","@@"&amp;F1892)</t>
  </si>
  <si>
    <t>=NL(,"27 Item","3 Description","1 No.","@@"&amp;F1893)</t>
  </si>
  <si>
    <t>=NL(,"27 Item","3 Description","1 No.","@@"&amp;F1894)</t>
  </si>
  <si>
    <t>=NL(,"27 Item","3 Description","1 No.","@@"&amp;F1895)</t>
  </si>
  <si>
    <t>=NL(,"27 Item","3 Description","1 No.","@@"&amp;F1896)</t>
  </si>
  <si>
    <t>=NL(,"27 Item","3 Description","1 No.","@@"&amp;F1897)</t>
  </si>
  <si>
    <t>=NL(,"27 Item","3 Description","1 No.","@@"&amp;F1898)</t>
  </si>
  <si>
    <t>=NL(,"27 Item","3 Description","1 No.","@@"&amp;F1899)</t>
  </si>
  <si>
    <t>=NL(,"27 Item","3 Description","1 No.","@@"&amp;F1900)</t>
  </si>
  <si>
    <t>=NL(,"27 Item","3 Description","1 No.","@@"&amp;F1901)</t>
  </si>
  <si>
    <t>=NL(,"27 Item","3 Description","1 No.","@@"&amp;F1902)</t>
  </si>
  <si>
    <t>=NL(,"27 Item","3 Description","1 No.","@@"&amp;F1903)</t>
  </si>
  <si>
    <t>=NL(,"27 Item","3 Description","1 No.","@@"&amp;F1904)</t>
  </si>
  <si>
    <t>=NL(,"27 Item","3 Description","1 No.","@@"&amp;F1905)</t>
  </si>
  <si>
    <t>=NL(,"27 Item","3 Description","1 No.","@@"&amp;F1906)</t>
  </si>
  <si>
    <t>=NL(,"27 Item","3 Description","1 No.","@@"&amp;F1907)</t>
  </si>
  <si>
    <t>=NL(,"27 Item","3 Description","1 No.","@@"&amp;F1908)</t>
  </si>
  <si>
    <t>=NL(,"27 Item","3 Description","1 No.","@@"&amp;F1909)</t>
  </si>
  <si>
    <t>=NL(,"27 Item","3 Description","1 No.","@@"&amp;F1910)</t>
  </si>
  <si>
    <t>=NL(,"27 Item","3 Description","1 No.","@@"&amp;F1911)</t>
  </si>
  <si>
    <t>=NL(,"27 Item","3 Description","1 No.","@@"&amp;F1912)</t>
  </si>
  <si>
    <t>=NL(,"27 Item","3 Description","1 No.","@@"&amp;F1913)</t>
  </si>
  <si>
    <t>=NL(,"27 Item","3 Description","1 No.","@@"&amp;F1914)</t>
  </si>
  <si>
    <t>=NL(,"27 Item","3 Description","1 No.","@@"&amp;F1915)</t>
  </si>
  <si>
    <t>=-NL("Sum","32 Item Ledger Entry","12 Quantity","5 Source no.",$C1855,"3 Posting Date",J$9,"4 Entry Type",$C$4,"2 Item No.","@@"&amp;$F1855)</t>
  </si>
  <si>
    <t>=-NL("Sum","32 Item Ledger Entry","12 Quantity","5 Source no.",$C1856,"3 Posting Date",J$9,"4 Entry Type",$C$4,"2 Item No.","@@"&amp;$F1856)</t>
  </si>
  <si>
    <t>=-NL("Sum","32 Item Ledger Entry","12 Quantity","5 Source no.",$C1857,"3 Posting Date",J$9,"4 Entry Type",$C$4,"2 Item No.","@@"&amp;$F1857)</t>
  </si>
  <si>
    <t>=-NL("Sum","32 Item Ledger Entry","12 Quantity","5 Source no.",$C1858,"3 Posting Date",J$9,"4 Entry Type",$C$4,"2 Item No.","@@"&amp;$F1858)</t>
  </si>
  <si>
    <t>=-NL("Sum","32 Item Ledger Entry","12 Quantity","5 Source no.",$C1859,"3 Posting Date",J$9,"4 Entry Type",$C$4,"2 Item No.","@@"&amp;$F1859)</t>
  </si>
  <si>
    <t>=-NL("Sum","32 Item Ledger Entry","12 Quantity","5 Source no.",$C1860,"3 Posting Date",J$9,"4 Entry Type",$C$4,"2 Item No.","@@"&amp;$F1860)</t>
  </si>
  <si>
    <t>=-NL("Sum","32 Item Ledger Entry","12 Quantity","5 Source no.",$C1861,"3 Posting Date",J$9,"4 Entry Type",$C$4,"2 Item No.","@@"&amp;$F1861)</t>
  </si>
  <si>
    <t>=-NL("Sum","32 Item Ledger Entry","12 Quantity","5 Source no.",$C1862,"3 Posting Date",J$9,"4 Entry Type",$C$4,"2 Item No.","@@"&amp;$F1862)</t>
  </si>
  <si>
    <t>=-NL("Sum","32 Item Ledger Entry","12 Quantity","5 Source no.",$C1863,"3 Posting Date",J$9,"4 Entry Type",$C$4,"2 Item No.","@@"&amp;$F1863)</t>
  </si>
  <si>
    <t>=-NL("Sum","32 Item Ledger Entry","12 Quantity","5 Source no.",$C1864,"3 Posting Date",J$9,"4 Entry Type",$C$4,"2 Item No.","@@"&amp;$F1864)</t>
  </si>
  <si>
    <t>=-NL("Sum","32 Item Ledger Entry","12 Quantity","5 Source no.",$C1865,"3 Posting Date",J$9,"4 Entry Type",$C$4,"2 Item No.","@@"&amp;$F1865)</t>
  </si>
  <si>
    <t>=-NL("Sum","32 Item Ledger Entry","12 Quantity","5 Source no.",$C1866,"3 Posting Date",J$9,"4 Entry Type",$C$4,"2 Item No.","@@"&amp;$F1866)</t>
  </si>
  <si>
    <t>=-NL("Sum","32 Item Ledger Entry","12 Quantity","5 Source no.",$C1867,"3 Posting Date",J$9,"4 Entry Type",$C$4,"2 Item No.","@@"&amp;$F1867)</t>
  </si>
  <si>
    <t>=-NL("Sum","32 Item Ledger Entry","12 Quantity","5 Source no.",$C1868,"3 Posting Date",J$9,"4 Entry Type",$C$4,"2 Item No.","@@"&amp;$F1868)</t>
  </si>
  <si>
    <t>=-NL("Sum","32 Item Ledger Entry","12 Quantity","5 Source no.",$C1869,"3 Posting Date",J$9,"4 Entry Type",$C$4,"2 Item No.","@@"&amp;$F1869)</t>
  </si>
  <si>
    <t>=-NL("Sum","32 Item Ledger Entry","12 Quantity","5 Source no.",$C1870,"3 Posting Date",J$9,"4 Entry Type",$C$4,"2 Item No.","@@"&amp;$F1870)</t>
  </si>
  <si>
    <t>=-NL("Sum","32 Item Ledger Entry","12 Quantity","5 Source no.",$C1871,"3 Posting Date",J$9,"4 Entry Type",$C$4,"2 Item No.","@@"&amp;$F1871)</t>
  </si>
  <si>
    <t>=-NL("Sum","32 Item Ledger Entry","12 Quantity","5 Source no.",$C1872,"3 Posting Date",J$9,"4 Entry Type",$C$4,"2 Item No.","@@"&amp;$F1872)</t>
  </si>
  <si>
    <t>=-NL("Sum","32 Item Ledger Entry","12 Quantity","5 Source no.",$C1873,"3 Posting Date",J$9,"4 Entry Type",$C$4,"2 Item No.","@@"&amp;$F1873)</t>
  </si>
  <si>
    <t>=-NL("Sum","32 Item Ledger Entry","12 Quantity","5 Source no.",$C1874,"3 Posting Date",J$9,"4 Entry Type",$C$4,"2 Item No.","@@"&amp;$F1874)</t>
  </si>
  <si>
    <t>=-NL("Sum","32 Item Ledger Entry","12 Quantity","5 Source no.",$C1875,"3 Posting Date",J$9,"4 Entry Type",$C$4,"2 Item No.","@@"&amp;$F1875)</t>
  </si>
  <si>
    <t>=-NL("Sum","32 Item Ledger Entry","12 Quantity","5 Source no.",$C1876,"3 Posting Date",J$9,"4 Entry Type",$C$4,"2 Item No.","@@"&amp;$F1876)</t>
  </si>
  <si>
    <t>=-NL("Sum","32 Item Ledger Entry","12 Quantity","5 Source no.",$C1877,"3 Posting Date",J$9,"4 Entry Type",$C$4,"2 Item No.","@@"&amp;$F1877)</t>
  </si>
  <si>
    <t>=-NL("Sum","32 Item Ledger Entry","12 Quantity","5 Source no.",$C1878,"3 Posting Date",J$9,"4 Entry Type",$C$4,"2 Item No.","@@"&amp;$F1878)</t>
  </si>
  <si>
    <t>=-NL("Sum","32 Item Ledger Entry","12 Quantity","5 Source no.",$C1879,"3 Posting Date",J$9,"4 Entry Type",$C$4,"2 Item No.","@@"&amp;$F1879)</t>
  </si>
  <si>
    <t>=-NL("Sum","32 Item Ledger Entry","12 Quantity","5 Source no.",$C1880,"3 Posting Date",J$9,"4 Entry Type",$C$4,"2 Item No.","@@"&amp;$F1880)</t>
  </si>
  <si>
    <t>=-NL("Sum","32 Item Ledger Entry","12 Quantity","5 Source no.",$C1881,"3 Posting Date",J$9,"4 Entry Type",$C$4,"2 Item No.","@@"&amp;$F1881)</t>
  </si>
  <si>
    <t>=-NL("Sum","32 Item Ledger Entry","12 Quantity","5 Source no.",$C1882,"3 Posting Date",J$9,"4 Entry Type",$C$4,"2 Item No.","@@"&amp;$F1882)</t>
  </si>
  <si>
    <t>=-NL("Sum","32 Item Ledger Entry","12 Quantity","5 Source no.",$C1883,"3 Posting Date",J$9,"4 Entry Type",$C$4,"2 Item No.","@@"&amp;$F1883)</t>
  </si>
  <si>
    <t>=-NL("Sum","32 Item Ledger Entry","12 Quantity","5 Source no.",$C1884,"3 Posting Date",J$9,"4 Entry Type",$C$4,"2 Item No.","@@"&amp;$F1884)</t>
  </si>
  <si>
    <t>=-NL("Sum","32 Item Ledger Entry","12 Quantity","5 Source no.",$C1885,"3 Posting Date",J$9,"4 Entry Type",$C$4,"2 Item No.","@@"&amp;$F1885)</t>
  </si>
  <si>
    <t>=-NL("Sum","32 Item Ledger Entry","12 Quantity","5 Source no.",$C1886,"3 Posting Date",J$9,"4 Entry Type",$C$4,"2 Item No.","@@"&amp;$F1886)</t>
  </si>
  <si>
    <t>=-NL("Sum","32 Item Ledger Entry","12 Quantity","5 Source no.",$C1887,"3 Posting Date",J$9,"4 Entry Type",$C$4,"2 Item No.","@@"&amp;$F1887)</t>
  </si>
  <si>
    <t>=-NL("Sum","32 Item Ledger Entry","12 Quantity","5 Source no.",$C1888,"3 Posting Date",J$9,"4 Entry Type",$C$4,"2 Item No.","@@"&amp;$F1888)</t>
  </si>
  <si>
    <t>=-NL("Sum","32 Item Ledger Entry","12 Quantity","5 Source no.",$C1889,"3 Posting Date",J$9,"4 Entry Type",$C$4,"2 Item No.","@@"&amp;$F1889)</t>
  </si>
  <si>
    <t>=-NL("Sum","32 Item Ledger Entry","12 Quantity","5 Source no.",$C1890,"3 Posting Date",J$9,"4 Entry Type",$C$4,"2 Item No.","@@"&amp;$F1890)</t>
  </si>
  <si>
    <t>=-NL("Sum","32 Item Ledger Entry","12 Quantity","5 Source no.",$C1891,"3 Posting Date",J$9,"4 Entry Type",$C$4,"2 Item No.","@@"&amp;$F1891)</t>
  </si>
  <si>
    <t>=-NL("Sum","32 Item Ledger Entry","12 Quantity","5 Source no.",$C1892,"3 Posting Date",J$9,"4 Entry Type",$C$4,"2 Item No.","@@"&amp;$F1892)</t>
  </si>
  <si>
    <t>=-NL("Sum","32 Item Ledger Entry","12 Quantity","5 Source no.",$C1893,"3 Posting Date",J$9,"4 Entry Type",$C$4,"2 Item No.","@@"&amp;$F1893)</t>
  </si>
  <si>
    <t>=-NL("Sum","32 Item Ledger Entry","12 Quantity","5 Source no.",$C1894,"3 Posting Date",J$9,"4 Entry Type",$C$4,"2 Item No.","@@"&amp;$F1894)</t>
  </si>
  <si>
    <t>=-NL("Sum","32 Item Ledger Entry","12 Quantity","5 Source no.",$C1895,"3 Posting Date",J$9,"4 Entry Type",$C$4,"2 Item No.","@@"&amp;$F1895)</t>
  </si>
  <si>
    <t>=-NL("Sum","32 Item Ledger Entry","12 Quantity","5 Source no.",$C1896,"3 Posting Date",J$9,"4 Entry Type",$C$4,"2 Item No.","@@"&amp;$F1896)</t>
  </si>
  <si>
    <t>=-NL("Sum","32 Item Ledger Entry","12 Quantity","5 Source no.",$C1897,"3 Posting Date",J$9,"4 Entry Type",$C$4,"2 Item No.","@@"&amp;$F1897)</t>
  </si>
  <si>
    <t>=-NL("Sum","32 Item Ledger Entry","12 Quantity","5 Source no.",$C1898,"3 Posting Date",J$9,"4 Entry Type",$C$4,"2 Item No.","@@"&amp;$F1898)</t>
  </si>
  <si>
    <t>=-NL("Sum","32 Item Ledger Entry","12 Quantity","5 Source no.",$C1899,"3 Posting Date",J$9,"4 Entry Type",$C$4,"2 Item No.","@@"&amp;$F1899)</t>
  </si>
  <si>
    <t>=-NL("Sum","32 Item Ledger Entry","12 Quantity","5 Source no.",$C1900,"3 Posting Date",J$9,"4 Entry Type",$C$4,"2 Item No.","@@"&amp;$F1900)</t>
  </si>
  <si>
    <t>=-NL("Sum","32 Item Ledger Entry","12 Quantity","5 Source no.",$C1901,"3 Posting Date",J$9,"4 Entry Type",$C$4,"2 Item No.","@@"&amp;$F1901)</t>
  </si>
  <si>
    <t>=-NL("Sum","32 Item Ledger Entry","12 Quantity","5 Source no.",$C1902,"3 Posting Date",J$9,"4 Entry Type",$C$4,"2 Item No.","@@"&amp;$F1902)</t>
  </si>
  <si>
    <t>=-NL("Sum","32 Item Ledger Entry","12 Quantity","5 Source no.",$C1903,"3 Posting Date",J$9,"4 Entry Type",$C$4,"2 Item No.","@@"&amp;$F1903)</t>
  </si>
  <si>
    <t>=-NL("Sum","32 Item Ledger Entry","12 Quantity","5 Source no.",$C1904,"3 Posting Date",J$9,"4 Entry Type",$C$4,"2 Item No.","@@"&amp;$F1904)</t>
  </si>
  <si>
    <t>=-NL("Sum","32 Item Ledger Entry","12 Quantity","5 Source no.",$C1905,"3 Posting Date",J$9,"4 Entry Type",$C$4,"2 Item No.","@@"&amp;$F1905)</t>
  </si>
  <si>
    <t>=-NL("Sum","32 Item Ledger Entry","12 Quantity","5 Source no.",$C1906,"3 Posting Date",J$9,"4 Entry Type",$C$4,"2 Item No.","@@"&amp;$F1906)</t>
  </si>
  <si>
    <t>=-NL("Sum","32 Item Ledger Entry","12 Quantity","5 Source no.",$C1907,"3 Posting Date",J$9,"4 Entry Type",$C$4,"2 Item No.","@@"&amp;$F1907)</t>
  </si>
  <si>
    <t>=-NL("Sum","32 Item Ledger Entry","12 Quantity","5 Source no.",$C1908,"3 Posting Date",J$9,"4 Entry Type",$C$4,"2 Item No.","@@"&amp;$F1908)</t>
  </si>
  <si>
    <t>=-NL("Sum","32 Item Ledger Entry","12 Quantity","5 Source no.",$C1909,"3 Posting Date",J$9,"4 Entry Type",$C$4,"2 Item No.","@@"&amp;$F1909)</t>
  </si>
  <si>
    <t>=-NL("Sum","32 Item Ledger Entry","12 Quantity","5 Source no.",$C1910,"3 Posting Date",J$9,"4 Entry Type",$C$4,"2 Item No.","@@"&amp;$F1910)</t>
  </si>
  <si>
    <t>=-NL("Sum","32 Item Ledger Entry","12 Quantity","5 Source no.",$C1911,"3 Posting Date",J$9,"4 Entry Type",$C$4,"2 Item No.","@@"&amp;$F1911)</t>
  </si>
  <si>
    <t>=-NL("Sum","32 Item Ledger Entry","12 Quantity","5 Source no.",$C1912,"3 Posting Date",J$9,"4 Entry Type",$C$4,"2 Item No.","@@"&amp;$F1912)</t>
  </si>
  <si>
    <t>=-NL("Sum","32 Item Ledger Entry","12 Quantity","5 Source no.",$C1913,"3 Posting Date",J$9,"4 Entry Type",$C$4,"2 Item No.","@@"&amp;$F1913)</t>
  </si>
  <si>
    <t>=-NL("Sum","32 Item Ledger Entry","12 Quantity","5 Source no.",$C1914,"3 Posting Date",J$9,"4 Entry Type",$C$4,"2 Item No.","@@"&amp;$F1914)</t>
  </si>
  <si>
    <t>=-NL("Sum","32 Item Ledger Entry","12 Quantity","5 Source no.",$C1915,"3 Posting Date",J$9,"4 Entry Type",$C$4,"2 Item No.","@@"&amp;$F1915)</t>
  </si>
  <si>
    <t>=-NL("Sum","32 Item Ledger Entry","12 Quantity","5 Source no.",$C1855,"3 Posting Date",O$9,"4 Entry Type",$C$4,"2 Item No.","@@"&amp;$F1855)</t>
  </si>
  <si>
    <t>=-NL("Sum","32 Item Ledger Entry","12 Quantity","5 Source no.",$C1856,"3 Posting Date",O$9,"4 Entry Type",$C$4,"2 Item No.","@@"&amp;$F1856)</t>
  </si>
  <si>
    <t>=-NL("Sum","32 Item Ledger Entry","12 Quantity","5 Source no.",$C1857,"3 Posting Date",O$9,"4 Entry Type",$C$4,"2 Item No.","@@"&amp;$F1857)</t>
  </si>
  <si>
    <t>=-NL("Sum","32 Item Ledger Entry","12 Quantity","5 Source no.",$C1858,"3 Posting Date",O$9,"4 Entry Type",$C$4,"2 Item No.","@@"&amp;$F1858)</t>
  </si>
  <si>
    <t>=-NL("Sum","32 Item Ledger Entry","12 Quantity","5 Source no.",$C1859,"3 Posting Date",O$9,"4 Entry Type",$C$4,"2 Item No.","@@"&amp;$F1859)</t>
  </si>
  <si>
    <t>=-NL("Sum","32 Item Ledger Entry","12 Quantity","5 Source no.",$C1860,"3 Posting Date",O$9,"4 Entry Type",$C$4,"2 Item No.","@@"&amp;$F1860)</t>
  </si>
  <si>
    <t>=-NL("Sum","32 Item Ledger Entry","12 Quantity","5 Source no.",$C1861,"3 Posting Date",O$9,"4 Entry Type",$C$4,"2 Item No.","@@"&amp;$F1861)</t>
  </si>
  <si>
    <t>=-NL("Sum","32 Item Ledger Entry","12 Quantity","5 Source no.",$C1862,"3 Posting Date",O$9,"4 Entry Type",$C$4,"2 Item No.","@@"&amp;$F1862)</t>
  </si>
  <si>
    <t>=-NL("Sum","32 Item Ledger Entry","12 Quantity","5 Source no.",$C1863,"3 Posting Date",O$9,"4 Entry Type",$C$4,"2 Item No.","@@"&amp;$F1863)</t>
  </si>
  <si>
    <t>=-NL("Sum","32 Item Ledger Entry","12 Quantity","5 Source no.",$C1864,"3 Posting Date",O$9,"4 Entry Type",$C$4,"2 Item No.","@@"&amp;$F1864)</t>
  </si>
  <si>
    <t>=-NL("Sum","32 Item Ledger Entry","12 Quantity","5 Source no.",$C1865,"3 Posting Date",O$9,"4 Entry Type",$C$4,"2 Item No.","@@"&amp;$F1865)</t>
  </si>
  <si>
    <t>=-NL("Sum","32 Item Ledger Entry","12 Quantity","5 Source no.",$C1866,"3 Posting Date",O$9,"4 Entry Type",$C$4,"2 Item No.","@@"&amp;$F1866)</t>
  </si>
  <si>
    <t>=-NL("Sum","32 Item Ledger Entry","12 Quantity","5 Source no.",$C1867,"3 Posting Date",O$9,"4 Entry Type",$C$4,"2 Item No.","@@"&amp;$F1867)</t>
  </si>
  <si>
    <t>=-NL("Sum","32 Item Ledger Entry","12 Quantity","5 Source no.",$C1868,"3 Posting Date",O$9,"4 Entry Type",$C$4,"2 Item No.","@@"&amp;$F1868)</t>
  </si>
  <si>
    <t>=-NL("Sum","32 Item Ledger Entry","12 Quantity","5 Source no.",$C1869,"3 Posting Date",O$9,"4 Entry Type",$C$4,"2 Item No.","@@"&amp;$F1869)</t>
  </si>
  <si>
    <t>=-NL("Sum","32 Item Ledger Entry","12 Quantity","5 Source no.",$C1870,"3 Posting Date",O$9,"4 Entry Type",$C$4,"2 Item No.","@@"&amp;$F1870)</t>
  </si>
  <si>
    <t>=-NL("Sum","32 Item Ledger Entry","12 Quantity","5 Source no.",$C1871,"3 Posting Date",O$9,"4 Entry Type",$C$4,"2 Item No.","@@"&amp;$F1871)</t>
  </si>
  <si>
    <t>=-NL("Sum","32 Item Ledger Entry","12 Quantity","5 Source no.",$C1872,"3 Posting Date",O$9,"4 Entry Type",$C$4,"2 Item No.","@@"&amp;$F1872)</t>
  </si>
  <si>
    <t>=-NL("Sum","32 Item Ledger Entry","12 Quantity","5 Source no.",$C1873,"3 Posting Date",O$9,"4 Entry Type",$C$4,"2 Item No.","@@"&amp;$F1873)</t>
  </si>
  <si>
    <t>=-NL("Sum","32 Item Ledger Entry","12 Quantity","5 Source no.",$C1874,"3 Posting Date",O$9,"4 Entry Type",$C$4,"2 Item No.","@@"&amp;$F1874)</t>
  </si>
  <si>
    <t>=-NL("Sum","32 Item Ledger Entry","12 Quantity","5 Source no.",$C1875,"3 Posting Date",O$9,"4 Entry Type",$C$4,"2 Item No.","@@"&amp;$F1875)</t>
  </si>
  <si>
    <t>=-NL("Sum","32 Item Ledger Entry","12 Quantity","5 Source no.",$C1876,"3 Posting Date",O$9,"4 Entry Type",$C$4,"2 Item No.","@@"&amp;$F1876)</t>
  </si>
  <si>
    <t>=-NL("Sum","32 Item Ledger Entry","12 Quantity","5 Source no.",$C1877,"3 Posting Date",O$9,"4 Entry Type",$C$4,"2 Item No.","@@"&amp;$F1877)</t>
  </si>
  <si>
    <t>=-NL("Sum","32 Item Ledger Entry","12 Quantity","5 Source no.",$C1878,"3 Posting Date",O$9,"4 Entry Type",$C$4,"2 Item No.","@@"&amp;$F1878)</t>
  </si>
  <si>
    <t>=-NL("Sum","32 Item Ledger Entry","12 Quantity","5 Source no.",$C1879,"3 Posting Date",O$9,"4 Entry Type",$C$4,"2 Item No.","@@"&amp;$F1879)</t>
  </si>
  <si>
    <t>=-NL("Sum","32 Item Ledger Entry","12 Quantity","5 Source no.",$C1880,"3 Posting Date",O$9,"4 Entry Type",$C$4,"2 Item No.","@@"&amp;$F1880)</t>
  </si>
  <si>
    <t>=-NL("Sum","32 Item Ledger Entry","12 Quantity","5 Source no.",$C1881,"3 Posting Date",O$9,"4 Entry Type",$C$4,"2 Item No.","@@"&amp;$F1881)</t>
  </si>
  <si>
    <t>=-NL("Sum","32 Item Ledger Entry","12 Quantity","5 Source no.",$C1882,"3 Posting Date",O$9,"4 Entry Type",$C$4,"2 Item No.","@@"&amp;$F1882)</t>
  </si>
  <si>
    <t>=-NL("Sum","32 Item Ledger Entry","12 Quantity","5 Source no.",$C1883,"3 Posting Date",O$9,"4 Entry Type",$C$4,"2 Item No.","@@"&amp;$F1883)</t>
  </si>
  <si>
    <t>=-NL("Sum","32 Item Ledger Entry","12 Quantity","5 Source no.",$C1884,"3 Posting Date",O$9,"4 Entry Type",$C$4,"2 Item No.","@@"&amp;$F1884)</t>
  </si>
  <si>
    <t>=-NL("Sum","32 Item Ledger Entry","12 Quantity","5 Source no.",$C1885,"3 Posting Date",O$9,"4 Entry Type",$C$4,"2 Item No.","@@"&amp;$F1885)</t>
  </si>
  <si>
    <t>=-NL("Sum","32 Item Ledger Entry","12 Quantity","5 Source no.",$C1886,"3 Posting Date",O$9,"4 Entry Type",$C$4,"2 Item No.","@@"&amp;$F1886)</t>
  </si>
  <si>
    <t>=-NL("Sum","32 Item Ledger Entry","12 Quantity","5 Source no.",$C1887,"3 Posting Date",O$9,"4 Entry Type",$C$4,"2 Item No.","@@"&amp;$F1887)</t>
  </si>
  <si>
    <t>=-NL("Sum","32 Item Ledger Entry","12 Quantity","5 Source no.",$C1888,"3 Posting Date",O$9,"4 Entry Type",$C$4,"2 Item No.","@@"&amp;$F1888)</t>
  </si>
  <si>
    <t>=-NL("Sum","32 Item Ledger Entry","12 Quantity","5 Source no.",$C1889,"3 Posting Date",O$9,"4 Entry Type",$C$4,"2 Item No.","@@"&amp;$F1889)</t>
  </si>
  <si>
    <t>=-NL("Sum","32 Item Ledger Entry","12 Quantity","5 Source no.",$C1890,"3 Posting Date",O$9,"4 Entry Type",$C$4,"2 Item No.","@@"&amp;$F1890)</t>
  </si>
  <si>
    <t>=-NL("Sum","32 Item Ledger Entry","12 Quantity","5 Source no.",$C1891,"3 Posting Date",O$9,"4 Entry Type",$C$4,"2 Item No.","@@"&amp;$F1891)</t>
  </si>
  <si>
    <t>=-NL("Sum","32 Item Ledger Entry","12 Quantity","5 Source no.",$C1892,"3 Posting Date",O$9,"4 Entry Type",$C$4,"2 Item No.","@@"&amp;$F1892)</t>
  </si>
  <si>
    <t>=-NL("Sum","32 Item Ledger Entry","12 Quantity","5 Source no.",$C1893,"3 Posting Date",O$9,"4 Entry Type",$C$4,"2 Item No.","@@"&amp;$F1893)</t>
  </si>
  <si>
    <t>=-NL("Sum","32 Item Ledger Entry","12 Quantity","5 Source no.",$C1894,"3 Posting Date",O$9,"4 Entry Type",$C$4,"2 Item No.","@@"&amp;$F1894)</t>
  </si>
  <si>
    <t>=-NL("Sum","32 Item Ledger Entry","12 Quantity","5 Source no.",$C1895,"3 Posting Date",O$9,"4 Entry Type",$C$4,"2 Item No.","@@"&amp;$F1895)</t>
  </si>
  <si>
    <t>=-NL("Sum","32 Item Ledger Entry","12 Quantity","5 Source no.",$C1896,"3 Posting Date",O$9,"4 Entry Type",$C$4,"2 Item No.","@@"&amp;$F1896)</t>
  </si>
  <si>
    <t>=-NL("Sum","32 Item Ledger Entry","12 Quantity","5 Source no.",$C1897,"3 Posting Date",O$9,"4 Entry Type",$C$4,"2 Item No.","@@"&amp;$F1897)</t>
  </si>
  <si>
    <t>=-NL("Sum","32 Item Ledger Entry","12 Quantity","5 Source no.",$C1898,"3 Posting Date",O$9,"4 Entry Type",$C$4,"2 Item No.","@@"&amp;$F1898)</t>
  </si>
  <si>
    <t>=-NL("Sum","32 Item Ledger Entry","12 Quantity","5 Source no.",$C1899,"3 Posting Date",O$9,"4 Entry Type",$C$4,"2 Item No.","@@"&amp;$F1899)</t>
  </si>
  <si>
    <t>=-NL("Sum","32 Item Ledger Entry","12 Quantity","5 Source no.",$C1900,"3 Posting Date",O$9,"4 Entry Type",$C$4,"2 Item No.","@@"&amp;$F1900)</t>
  </si>
  <si>
    <t>=-NL("Sum","32 Item Ledger Entry","12 Quantity","5 Source no.",$C1901,"3 Posting Date",O$9,"4 Entry Type",$C$4,"2 Item No.","@@"&amp;$F1901)</t>
  </si>
  <si>
    <t>=-NL("Sum","32 Item Ledger Entry","12 Quantity","5 Source no.",$C1902,"3 Posting Date",O$9,"4 Entry Type",$C$4,"2 Item No.","@@"&amp;$F1902)</t>
  </si>
  <si>
    <t>=-NL("Sum","32 Item Ledger Entry","12 Quantity","5 Source no.",$C1903,"3 Posting Date",O$9,"4 Entry Type",$C$4,"2 Item No.","@@"&amp;$F1903)</t>
  </si>
  <si>
    <t>=-NL("Sum","32 Item Ledger Entry","12 Quantity","5 Source no.",$C1904,"3 Posting Date",O$9,"4 Entry Type",$C$4,"2 Item No.","@@"&amp;$F1904)</t>
  </si>
  <si>
    <t>=-NL("Sum","32 Item Ledger Entry","12 Quantity","5 Source no.",$C1905,"3 Posting Date",O$9,"4 Entry Type",$C$4,"2 Item No.","@@"&amp;$F1905)</t>
  </si>
  <si>
    <t>=-NL("Sum","32 Item Ledger Entry","12 Quantity","5 Source no.",$C1906,"3 Posting Date",O$9,"4 Entry Type",$C$4,"2 Item No.","@@"&amp;$F1906)</t>
  </si>
  <si>
    <t>=-NL("Sum","32 Item Ledger Entry","12 Quantity","5 Source no.",$C1907,"3 Posting Date",O$9,"4 Entry Type",$C$4,"2 Item No.","@@"&amp;$F1907)</t>
  </si>
  <si>
    <t>=-NL("Sum","32 Item Ledger Entry","12 Quantity","5 Source no.",$C1908,"3 Posting Date",O$9,"4 Entry Type",$C$4,"2 Item No.","@@"&amp;$F1908)</t>
  </si>
  <si>
    <t>=-NL("Sum","32 Item Ledger Entry","12 Quantity","5 Source no.",$C1909,"3 Posting Date",O$9,"4 Entry Type",$C$4,"2 Item No.","@@"&amp;$F1909)</t>
  </si>
  <si>
    <t>=-NL("Sum","32 Item Ledger Entry","12 Quantity","5 Source no.",$C1910,"3 Posting Date",O$9,"4 Entry Type",$C$4,"2 Item No.","@@"&amp;$F1910)</t>
  </si>
  <si>
    <t>=-NL("Sum","32 Item Ledger Entry","12 Quantity","5 Source no.",$C1911,"3 Posting Date",O$9,"4 Entry Type",$C$4,"2 Item No.","@@"&amp;$F1911)</t>
  </si>
  <si>
    <t>=-NL("Sum","32 Item Ledger Entry","12 Quantity","5 Source no.",$C1912,"3 Posting Date",O$9,"4 Entry Type",$C$4,"2 Item No.","@@"&amp;$F1912)</t>
  </si>
  <si>
    <t>=-NL("Sum","32 Item Ledger Entry","12 Quantity","5 Source no.",$C1913,"3 Posting Date",O$9,"4 Entry Type",$C$4,"2 Item No.","@@"&amp;$F1913)</t>
  </si>
  <si>
    <t>=-NL("Sum","32 Item Ledger Entry","12 Quantity","5 Source no.",$C1914,"3 Posting Date",O$9,"4 Entry Type",$C$4,"2 Item No.","@@"&amp;$F1914)</t>
  </si>
  <si>
    <t>=-NL("Sum","32 Item Ledger Entry","12 Quantity","5 Source no.",$C1915,"3 Posting Date",O$9,"4 Entry Type",$C$4,"2 Item No.","@@"&amp;$F1915)</t>
  </si>
  <si>
    <t>=-NL("Sum","32 Item Ledger Entry","12 Quantity","5 Source no.",$C1855,"3 Posting Date",U$9,"4 Entry Type",$C$4,"2 Item No.","@@"&amp;$F1855)</t>
  </si>
  <si>
    <t>=-NL("Sum","32 Item Ledger Entry","12 Quantity","5 Source no.",$C1856,"3 Posting Date",U$9,"4 Entry Type",$C$4,"2 Item No.","@@"&amp;$F1856)</t>
  </si>
  <si>
    <t>=-NL("Sum","32 Item Ledger Entry","12 Quantity","5 Source no.",$C1857,"3 Posting Date",U$9,"4 Entry Type",$C$4,"2 Item No.","@@"&amp;$F1857)</t>
  </si>
  <si>
    <t>=-NL("Sum","32 Item Ledger Entry","12 Quantity","5 Source no.",$C1858,"3 Posting Date",U$9,"4 Entry Type",$C$4,"2 Item No.","@@"&amp;$F1858)</t>
  </si>
  <si>
    <t>=-NL("Sum","32 Item Ledger Entry","12 Quantity","5 Source no.",$C1859,"3 Posting Date",U$9,"4 Entry Type",$C$4,"2 Item No.","@@"&amp;$F1859)</t>
  </si>
  <si>
    <t>=-NL("Sum","32 Item Ledger Entry","12 Quantity","5 Source no.",$C1860,"3 Posting Date",U$9,"4 Entry Type",$C$4,"2 Item No.","@@"&amp;$F1860)</t>
  </si>
  <si>
    <t>=-NL("Sum","32 Item Ledger Entry","12 Quantity","5 Source no.",$C1861,"3 Posting Date",U$9,"4 Entry Type",$C$4,"2 Item No.","@@"&amp;$F1861)</t>
  </si>
  <si>
    <t>=-NL("Sum","32 Item Ledger Entry","12 Quantity","5 Source no.",$C1862,"3 Posting Date",U$9,"4 Entry Type",$C$4,"2 Item No.","@@"&amp;$F1862)</t>
  </si>
  <si>
    <t>=-NL("Sum","32 Item Ledger Entry","12 Quantity","5 Source no.",$C1863,"3 Posting Date",U$9,"4 Entry Type",$C$4,"2 Item No.","@@"&amp;$F1863)</t>
  </si>
  <si>
    <t>=-NL("Sum","32 Item Ledger Entry","12 Quantity","5 Source no.",$C1864,"3 Posting Date",U$9,"4 Entry Type",$C$4,"2 Item No.","@@"&amp;$F1864)</t>
  </si>
  <si>
    <t>=-NL("Sum","32 Item Ledger Entry","12 Quantity","5 Source no.",$C1865,"3 Posting Date",U$9,"4 Entry Type",$C$4,"2 Item No.","@@"&amp;$F1865)</t>
  </si>
  <si>
    <t>=-NL("Sum","32 Item Ledger Entry","12 Quantity","5 Source no.",$C1866,"3 Posting Date",U$9,"4 Entry Type",$C$4,"2 Item No.","@@"&amp;$F1866)</t>
  </si>
  <si>
    <t>=-NL("Sum","32 Item Ledger Entry","12 Quantity","5 Source no.",$C1867,"3 Posting Date",U$9,"4 Entry Type",$C$4,"2 Item No.","@@"&amp;$F1867)</t>
  </si>
  <si>
    <t>=-NL("Sum","32 Item Ledger Entry","12 Quantity","5 Source no.",$C1868,"3 Posting Date",U$9,"4 Entry Type",$C$4,"2 Item No.","@@"&amp;$F1868)</t>
  </si>
  <si>
    <t>=-NL("Sum","32 Item Ledger Entry","12 Quantity","5 Source no.",$C1869,"3 Posting Date",U$9,"4 Entry Type",$C$4,"2 Item No.","@@"&amp;$F1869)</t>
  </si>
  <si>
    <t>=-NL("Sum","32 Item Ledger Entry","12 Quantity","5 Source no.",$C1870,"3 Posting Date",U$9,"4 Entry Type",$C$4,"2 Item No.","@@"&amp;$F1870)</t>
  </si>
  <si>
    <t>=-NL("Sum","32 Item Ledger Entry","12 Quantity","5 Source no.",$C1871,"3 Posting Date",U$9,"4 Entry Type",$C$4,"2 Item No.","@@"&amp;$F1871)</t>
  </si>
  <si>
    <t>=-NL("Sum","32 Item Ledger Entry","12 Quantity","5 Source no.",$C1872,"3 Posting Date",U$9,"4 Entry Type",$C$4,"2 Item No.","@@"&amp;$F1872)</t>
  </si>
  <si>
    <t>=-NL("Sum","32 Item Ledger Entry","12 Quantity","5 Source no.",$C1873,"3 Posting Date",U$9,"4 Entry Type",$C$4,"2 Item No.","@@"&amp;$F1873)</t>
  </si>
  <si>
    <t>=-NL("Sum","32 Item Ledger Entry","12 Quantity","5 Source no.",$C1874,"3 Posting Date",U$9,"4 Entry Type",$C$4,"2 Item No.","@@"&amp;$F1874)</t>
  </si>
  <si>
    <t>=-NL("Sum","32 Item Ledger Entry","12 Quantity","5 Source no.",$C1875,"3 Posting Date",U$9,"4 Entry Type",$C$4,"2 Item No.","@@"&amp;$F1875)</t>
  </si>
  <si>
    <t>=-NL("Sum","32 Item Ledger Entry","12 Quantity","5 Source no.",$C1876,"3 Posting Date",U$9,"4 Entry Type",$C$4,"2 Item No.","@@"&amp;$F1876)</t>
  </si>
  <si>
    <t>=-NL("Sum","32 Item Ledger Entry","12 Quantity","5 Source no.",$C1877,"3 Posting Date",U$9,"4 Entry Type",$C$4,"2 Item No.","@@"&amp;$F1877)</t>
  </si>
  <si>
    <t>=-NL("Sum","32 Item Ledger Entry","12 Quantity","5 Source no.",$C1878,"3 Posting Date",U$9,"4 Entry Type",$C$4,"2 Item No.","@@"&amp;$F1878)</t>
  </si>
  <si>
    <t>=-NL("Sum","32 Item Ledger Entry","12 Quantity","5 Source no.",$C1879,"3 Posting Date",U$9,"4 Entry Type",$C$4,"2 Item No.","@@"&amp;$F1879)</t>
  </si>
  <si>
    <t>=-NL("Sum","32 Item Ledger Entry","12 Quantity","5 Source no.",$C1880,"3 Posting Date",U$9,"4 Entry Type",$C$4,"2 Item No.","@@"&amp;$F1880)</t>
  </si>
  <si>
    <t>=-NL("Sum","32 Item Ledger Entry","12 Quantity","5 Source no.",$C1881,"3 Posting Date",U$9,"4 Entry Type",$C$4,"2 Item No.","@@"&amp;$F1881)</t>
  </si>
  <si>
    <t>=-NL("Sum","32 Item Ledger Entry","12 Quantity","5 Source no.",$C1882,"3 Posting Date",U$9,"4 Entry Type",$C$4,"2 Item No.","@@"&amp;$F1882)</t>
  </si>
  <si>
    <t>=-NL("Sum","32 Item Ledger Entry","12 Quantity","5 Source no.",$C1883,"3 Posting Date",U$9,"4 Entry Type",$C$4,"2 Item No.","@@"&amp;$F1883)</t>
  </si>
  <si>
    <t>=-NL("Sum","32 Item Ledger Entry","12 Quantity","5 Source no.",$C1884,"3 Posting Date",U$9,"4 Entry Type",$C$4,"2 Item No.","@@"&amp;$F1884)</t>
  </si>
  <si>
    <t>=-NL("Sum","32 Item Ledger Entry","12 Quantity","5 Source no.",$C1885,"3 Posting Date",U$9,"4 Entry Type",$C$4,"2 Item No.","@@"&amp;$F1885)</t>
  </si>
  <si>
    <t>=-NL("Sum","32 Item Ledger Entry","12 Quantity","5 Source no.",$C1886,"3 Posting Date",U$9,"4 Entry Type",$C$4,"2 Item No.","@@"&amp;$F1886)</t>
  </si>
  <si>
    <t>=-NL("Sum","32 Item Ledger Entry","12 Quantity","5 Source no.",$C1887,"3 Posting Date",U$9,"4 Entry Type",$C$4,"2 Item No.","@@"&amp;$F1887)</t>
  </si>
  <si>
    <t>=-NL("Sum","32 Item Ledger Entry","12 Quantity","5 Source no.",$C1888,"3 Posting Date",U$9,"4 Entry Type",$C$4,"2 Item No.","@@"&amp;$F1888)</t>
  </si>
  <si>
    <t>=-NL("Sum","32 Item Ledger Entry","12 Quantity","5 Source no.",$C1889,"3 Posting Date",U$9,"4 Entry Type",$C$4,"2 Item No.","@@"&amp;$F1889)</t>
  </si>
  <si>
    <t>=-NL("Sum","32 Item Ledger Entry","12 Quantity","5 Source no.",$C1890,"3 Posting Date",U$9,"4 Entry Type",$C$4,"2 Item No.","@@"&amp;$F1890)</t>
  </si>
  <si>
    <t>=-NL("Sum","32 Item Ledger Entry","12 Quantity","5 Source no.",$C1891,"3 Posting Date",U$9,"4 Entry Type",$C$4,"2 Item No.","@@"&amp;$F1891)</t>
  </si>
  <si>
    <t>=-NL("Sum","32 Item Ledger Entry","12 Quantity","5 Source no.",$C1892,"3 Posting Date",U$9,"4 Entry Type",$C$4,"2 Item No.","@@"&amp;$F1892)</t>
  </si>
  <si>
    <t>=-NL("Sum","32 Item Ledger Entry","12 Quantity","5 Source no.",$C1893,"3 Posting Date",U$9,"4 Entry Type",$C$4,"2 Item No.","@@"&amp;$F1893)</t>
  </si>
  <si>
    <t>=-NL("Sum","32 Item Ledger Entry","12 Quantity","5 Source no.",$C1894,"3 Posting Date",U$9,"4 Entry Type",$C$4,"2 Item No.","@@"&amp;$F1894)</t>
  </si>
  <si>
    <t>=-NL("Sum","32 Item Ledger Entry","12 Quantity","5 Source no.",$C1895,"3 Posting Date",U$9,"4 Entry Type",$C$4,"2 Item No.","@@"&amp;$F1895)</t>
  </si>
  <si>
    <t>=-NL("Sum","32 Item Ledger Entry","12 Quantity","5 Source no.",$C1896,"3 Posting Date",U$9,"4 Entry Type",$C$4,"2 Item No.","@@"&amp;$F1896)</t>
  </si>
  <si>
    <t>=-NL("Sum","32 Item Ledger Entry","12 Quantity","5 Source no.",$C1897,"3 Posting Date",U$9,"4 Entry Type",$C$4,"2 Item No.","@@"&amp;$F1897)</t>
  </si>
  <si>
    <t>=-NL("Sum","32 Item Ledger Entry","12 Quantity","5 Source no.",$C1898,"3 Posting Date",U$9,"4 Entry Type",$C$4,"2 Item No.","@@"&amp;$F1898)</t>
  </si>
  <si>
    <t>=-NL("Sum","32 Item Ledger Entry","12 Quantity","5 Source no.",$C1899,"3 Posting Date",U$9,"4 Entry Type",$C$4,"2 Item No.","@@"&amp;$F1899)</t>
  </si>
  <si>
    <t>=-NL("Sum","32 Item Ledger Entry","12 Quantity","5 Source no.",$C1900,"3 Posting Date",U$9,"4 Entry Type",$C$4,"2 Item No.","@@"&amp;$F1900)</t>
  </si>
  <si>
    <t>=-NL("Sum","32 Item Ledger Entry","12 Quantity","5 Source no.",$C1901,"3 Posting Date",U$9,"4 Entry Type",$C$4,"2 Item No.","@@"&amp;$F1901)</t>
  </si>
  <si>
    <t>=-NL("Sum","32 Item Ledger Entry","12 Quantity","5 Source no.",$C1902,"3 Posting Date",U$9,"4 Entry Type",$C$4,"2 Item No.","@@"&amp;$F1902)</t>
  </si>
  <si>
    <t>=-NL("Sum","32 Item Ledger Entry","12 Quantity","5 Source no.",$C1903,"3 Posting Date",U$9,"4 Entry Type",$C$4,"2 Item No.","@@"&amp;$F1903)</t>
  </si>
  <si>
    <t>=-NL("Sum","32 Item Ledger Entry","12 Quantity","5 Source no.",$C1904,"3 Posting Date",U$9,"4 Entry Type",$C$4,"2 Item No.","@@"&amp;$F1904)</t>
  </si>
  <si>
    <t>=-NL("Sum","32 Item Ledger Entry","12 Quantity","5 Source no.",$C1905,"3 Posting Date",U$9,"4 Entry Type",$C$4,"2 Item No.","@@"&amp;$F1905)</t>
  </si>
  <si>
    <t>=-NL("Sum","32 Item Ledger Entry","12 Quantity","5 Source no.",$C1906,"3 Posting Date",U$9,"4 Entry Type",$C$4,"2 Item No.","@@"&amp;$F1906)</t>
  </si>
  <si>
    <t>=-NL("Sum","32 Item Ledger Entry","12 Quantity","5 Source no.",$C1907,"3 Posting Date",U$9,"4 Entry Type",$C$4,"2 Item No.","@@"&amp;$F1907)</t>
  </si>
  <si>
    <t>=-NL("Sum","32 Item Ledger Entry","12 Quantity","5 Source no.",$C1908,"3 Posting Date",U$9,"4 Entry Type",$C$4,"2 Item No.","@@"&amp;$F1908)</t>
  </si>
  <si>
    <t>=-NL("Sum","32 Item Ledger Entry","12 Quantity","5 Source no.",$C1909,"3 Posting Date",U$9,"4 Entry Type",$C$4,"2 Item No.","@@"&amp;$F1909)</t>
  </si>
  <si>
    <t>=-NL("Sum","32 Item Ledger Entry","12 Quantity","5 Source no.",$C1910,"3 Posting Date",U$9,"4 Entry Type",$C$4,"2 Item No.","@@"&amp;$F1910)</t>
  </si>
  <si>
    <t>=-NL("Sum","32 Item Ledger Entry","12 Quantity","5 Source no.",$C1911,"3 Posting Date",U$9,"4 Entry Type",$C$4,"2 Item No.","@@"&amp;$F1911)</t>
  </si>
  <si>
    <t>=-NL("Sum","32 Item Ledger Entry","12 Quantity","5 Source no.",$C1912,"3 Posting Date",U$9,"4 Entry Type",$C$4,"2 Item No.","@@"&amp;$F1912)</t>
  </si>
  <si>
    <t>=-NL("Sum","32 Item Ledger Entry","12 Quantity","5 Source no.",$C1913,"3 Posting Date",U$9,"4 Entry Type",$C$4,"2 Item No.","@@"&amp;$F1913)</t>
  </si>
  <si>
    <t>=-NL("Sum","32 Item Ledger Entry","12 Quantity","5 Source no.",$C1914,"3 Posting Date",U$9,"4 Entry Type",$C$4,"2 Item No.","@@"&amp;$F1914)</t>
  </si>
  <si>
    <t>=-NL("Sum","32 Item Ledger Entry","12 Quantity","5 Source no.",$C1915,"3 Posting Date",U$9,"4 Entry Type",$C$4,"2 Item No.","@@"&amp;$F1915)</t>
  </si>
  <si>
    <t>=-NL("Sum","32 Item Ledger Entry","12 Quantity","5 Source no.",$C1855,"3 Posting Date",Z$9,"4 Entry Type",$C$4,"2 Item No.","@@"&amp;$F1855)</t>
  </si>
  <si>
    <t>=-NL("Sum","32 Item Ledger Entry","12 Quantity","5 Source no.",$C1856,"3 Posting Date",Z$9,"4 Entry Type",$C$4,"2 Item No.","@@"&amp;$F1856)</t>
  </si>
  <si>
    <t>=-NL("Sum","32 Item Ledger Entry","12 Quantity","5 Source no.",$C1857,"3 Posting Date",Z$9,"4 Entry Type",$C$4,"2 Item No.","@@"&amp;$F1857)</t>
  </si>
  <si>
    <t>=-NL("Sum","32 Item Ledger Entry","12 Quantity","5 Source no.",$C1858,"3 Posting Date",Z$9,"4 Entry Type",$C$4,"2 Item No.","@@"&amp;$F1858)</t>
  </si>
  <si>
    <t>=-NL("Sum","32 Item Ledger Entry","12 Quantity","5 Source no.",$C1859,"3 Posting Date",Z$9,"4 Entry Type",$C$4,"2 Item No.","@@"&amp;$F1859)</t>
  </si>
  <si>
    <t>=-NL("Sum","32 Item Ledger Entry","12 Quantity","5 Source no.",$C1860,"3 Posting Date",Z$9,"4 Entry Type",$C$4,"2 Item No.","@@"&amp;$F1860)</t>
  </si>
  <si>
    <t>=-NL("Sum","32 Item Ledger Entry","12 Quantity","5 Source no.",$C1861,"3 Posting Date",Z$9,"4 Entry Type",$C$4,"2 Item No.","@@"&amp;$F1861)</t>
  </si>
  <si>
    <t>=-NL("Sum","32 Item Ledger Entry","12 Quantity","5 Source no.",$C1862,"3 Posting Date",Z$9,"4 Entry Type",$C$4,"2 Item No.","@@"&amp;$F1862)</t>
  </si>
  <si>
    <t>=-NL("Sum","32 Item Ledger Entry","12 Quantity","5 Source no.",$C1863,"3 Posting Date",Z$9,"4 Entry Type",$C$4,"2 Item No.","@@"&amp;$F1863)</t>
  </si>
  <si>
    <t>=-NL("Sum","32 Item Ledger Entry","12 Quantity","5 Source no.",$C1864,"3 Posting Date",Z$9,"4 Entry Type",$C$4,"2 Item No.","@@"&amp;$F1864)</t>
  </si>
  <si>
    <t>=-NL("Sum","32 Item Ledger Entry","12 Quantity","5 Source no.",$C1865,"3 Posting Date",Z$9,"4 Entry Type",$C$4,"2 Item No.","@@"&amp;$F1865)</t>
  </si>
  <si>
    <t>=-NL("Sum","32 Item Ledger Entry","12 Quantity","5 Source no.",$C1866,"3 Posting Date",Z$9,"4 Entry Type",$C$4,"2 Item No.","@@"&amp;$F1866)</t>
  </si>
  <si>
    <t>=-NL("Sum","32 Item Ledger Entry","12 Quantity","5 Source no.",$C1867,"3 Posting Date",Z$9,"4 Entry Type",$C$4,"2 Item No.","@@"&amp;$F1867)</t>
  </si>
  <si>
    <t>=-NL("Sum","32 Item Ledger Entry","12 Quantity","5 Source no.",$C1868,"3 Posting Date",Z$9,"4 Entry Type",$C$4,"2 Item No.","@@"&amp;$F1868)</t>
  </si>
  <si>
    <t>=-NL("Sum","32 Item Ledger Entry","12 Quantity","5 Source no.",$C1869,"3 Posting Date",Z$9,"4 Entry Type",$C$4,"2 Item No.","@@"&amp;$F1869)</t>
  </si>
  <si>
    <t>=-NL("Sum","32 Item Ledger Entry","12 Quantity","5 Source no.",$C1870,"3 Posting Date",Z$9,"4 Entry Type",$C$4,"2 Item No.","@@"&amp;$F1870)</t>
  </si>
  <si>
    <t>=-NL("Sum","32 Item Ledger Entry","12 Quantity","5 Source no.",$C1871,"3 Posting Date",Z$9,"4 Entry Type",$C$4,"2 Item No.","@@"&amp;$F1871)</t>
  </si>
  <si>
    <t>=-NL("Sum","32 Item Ledger Entry","12 Quantity","5 Source no.",$C1872,"3 Posting Date",Z$9,"4 Entry Type",$C$4,"2 Item No.","@@"&amp;$F1872)</t>
  </si>
  <si>
    <t>=-NL("Sum","32 Item Ledger Entry","12 Quantity","5 Source no.",$C1873,"3 Posting Date",Z$9,"4 Entry Type",$C$4,"2 Item No.","@@"&amp;$F1873)</t>
  </si>
  <si>
    <t>=-NL("Sum","32 Item Ledger Entry","12 Quantity","5 Source no.",$C1874,"3 Posting Date",Z$9,"4 Entry Type",$C$4,"2 Item No.","@@"&amp;$F1874)</t>
  </si>
  <si>
    <t>=-NL("Sum","32 Item Ledger Entry","12 Quantity","5 Source no.",$C1875,"3 Posting Date",Z$9,"4 Entry Type",$C$4,"2 Item No.","@@"&amp;$F1875)</t>
  </si>
  <si>
    <t>=-NL("Sum","32 Item Ledger Entry","12 Quantity","5 Source no.",$C1876,"3 Posting Date",Z$9,"4 Entry Type",$C$4,"2 Item No.","@@"&amp;$F1876)</t>
  </si>
  <si>
    <t>=-NL("Sum","32 Item Ledger Entry","12 Quantity","5 Source no.",$C1877,"3 Posting Date",Z$9,"4 Entry Type",$C$4,"2 Item No.","@@"&amp;$F1877)</t>
  </si>
  <si>
    <t>=-NL("Sum","32 Item Ledger Entry","12 Quantity","5 Source no.",$C1878,"3 Posting Date",Z$9,"4 Entry Type",$C$4,"2 Item No.","@@"&amp;$F1878)</t>
  </si>
  <si>
    <t>=-NL("Sum","32 Item Ledger Entry","12 Quantity","5 Source no.",$C1879,"3 Posting Date",Z$9,"4 Entry Type",$C$4,"2 Item No.","@@"&amp;$F1879)</t>
  </si>
  <si>
    <t>=-NL("Sum","32 Item Ledger Entry","12 Quantity","5 Source no.",$C1880,"3 Posting Date",Z$9,"4 Entry Type",$C$4,"2 Item No.","@@"&amp;$F1880)</t>
  </si>
  <si>
    <t>=-NL("Sum","32 Item Ledger Entry","12 Quantity","5 Source no.",$C1881,"3 Posting Date",Z$9,"4 Entry Type",$C$4,"2 Item No.","@@"&amp;$F1881)</t>
  </si>
  <si>
    <t>=-NL("Sum","32 Item Ledger Entry","12 Quantity","5 Source no.",$C1882,"3 Posting Date",Z$9,"4 Entry Type",$C$4,"2 Item No.","@@"&amp;$F1882)</t>
  </si>
  <si>
    <t>=-NL("Sum","32 Item Ledger Entry","12 Quantity","5 Source no.",$C1883,"3 Posting Date",Z$9,"4 Entry Type",$C$4,"2 Item No.","@@"&amp;$F1883)</t>
  </si>
  <si>
    <t>=-NL("Sum","32 Item Ledger Entry","12 Quantity","5 Source no.",$C1884,"3 Posting Date",Z$9,"4 Entry Type",$C$4,"2 Item No.","@@"&amp;$F1884)</t>
  </si>
  <si>
    <t>=-NL("Sum","32 Item Ledger Entry","12 Quantity","5 Source no.",$C1885,"3 Posting Date",Z$9,"4 Entry Type",$C$4,"2 Item No.","@@"&amp;$F1885)</t>
  </si>
  <si>
    <t>=-NL("Sum","32 Item Ledger Entry","12 Quantity","5 Source no.",$C1886,"3 Posting Date",Z$9,"4 Entry Type",$C$4,"2 Item No.","@@"&amp;$F1886)</t>
  </si>
  <si>
    <t>=-NL("Sum","32 Item Ledger Entry","12 Quantity","5 Source no.",$C1887,"3 Posting Date",Z$9,"4 Entry Type",$C$4,"2 Item No.","@@"&amp;$F1887)</t>
  </si>
  <si>
    <t>=-NL("Sum","32 Item Ledger Entry","12 Quantity","5 Source no.",$C1888,"3 Posting Date",Z$9,"4 Entry Type",$C$4,"2 Item No.","@@"&amp;$F1888)</t>
  </si>
  <si>
    <t>=-NL("Sum","32 Item Ledger Entry","12 Quantity","5 Source no.",$C1889,"3 Posting Date",Z$9,"4 Entry Type",$C$4,"2 Item No.","@@"&amp;$F1889)</t>
  </si>
  <si>
    <t>=-NL("Sum","32 Item Ledger Entry","12 Quantity","5 Source no.",$C1890,"3 Posting Date",Z$9,"4 Entry Type",$C$4,"2 Item No.","@@"&amp;$F1890)</t>
  </si>
  <si>
    <t>=-NL("Sum","32 Item Ledger Entry","12 Quantity","5 Source no.",$C1891,"3 Posting Date",Z$9,"4 Entry Type",$C$4,"2 Item No.","@@"&amp;$F1891)</t>
  </si>
  <si>
    <t>=-NL("Sum","32 Item Ledger Entry","12 Quantity","5 Source no.",$C1892,"3 Posting Date",Z$9,"4 Entry Type",$C$4,"2 Item No.","@@"&amp;$F1892)</t>
  </si>
  <si>
    <t>=-NL("Sum","32 Item Ledger Entry","12 Quantity","5 Source no.",$C1893,"3 Posting Date",Z$9,"4 Entry Type",$C$4,"2 Item No.","@@"&amp;$F1893)</t>
  </si>
  <si>
    <t>=-NL("Sum","32 Item Ledger Entry","12 Quantity","5 Source no.",$C1894,"3 Posting Date",Z$9,"4 Entry Type",$C$4,"2 Item No.","@@"&amp;$F1894)</t>
  </si>
  <si>
    <t>=-NL("Sum","32 Item Ledger Entry","12 Quantity","5 Source no.",$C1895,"3 Posting Date",Z$9,"4 Entry Type",$C$4,"2 Item No.","@@"&amp;$F1895)</t>
  </si>
  <si>
    <t>=-NL("Sum","32 Item Ledger Entry","12 Quantity","5 Source no.",$C1896,"3 Posting Date",Z$9,"4 Entry Type",$C$4,"2 Item No.","@@"&amp;$F1896)</t>
  </si>
  <si>
    <t>=-NL("Sum","32 Item Ledger Entry","12 Quantity","5 Source no.",$C1897,"3 Posting Date",Z$9,"4 Entry Type",$C$4,"2 Item No.","@@"&amp;$F1897)</t>
  </si>
  <si>
    <t>=-NL("Sum","32 Item Ledger Entry","12 Quantity","5 Source no.",$C1898,"3 Posting Date",Z$9,"4 Entry Type",$C$4,"2 Item No.","@@"&amp;$F1898)</t>
  </si>
  <si>
    <t>=-NL("Sum","32 Item Ledger Entry","12 Quantity","5 Source no.",$C1899,"3 Posting Date",Z$9,"4 Entry Type",$C$4,"2 Item No.","@@"&amp;$F1899)</t>
  </si>
  <si>
    <t>=-NL("Sum","32 Item Ledger Entry","12 Quantity","5 Source no.",$C1900,"3 Posting Date",Z$9,"4 Entry Type",$C$4,"2 Item No.","@@"&amp;$F1900)</t>
  </si>
  <si>
    <t>=-NL("Sum","32 Item Ledger Entry","12 Quantity","5 Source no.",$C1901,"3 Posting Date",Z$9,"4 Entry Type",$C$4,"2 Item No.","@@"&amp;$F1901)</t>
  </si>
  <si>
    <t>=-NL("Sum","32 Item Ledger Entry","12 Quantity","5 Source no.",$C1902,"3 Posting Date",Z$9,"4 Entry Type",$C$4,"2 Item No.","@@"&amp;$F1902)</t>
  </si>
  <si>
    <t>=-NL("Sum","32 Item Ledger Entry","12 Quantity","5 Source no.",$C1903,"3 Posting Date",Z$9,"4 Entry Type",$C$4,"2 Item No.","@@"&amp;$F1903)</t>
  </si>
  <si>
    <t>=-NL("Sum","32 Item Ledger Entry","12 Quantity","5 Source no.",$C1904,"3 Posting Date",Z$9,"4 Entry Type",$C$4,"2 Item No.","@@"&amp;$F1904)</t>
  </si>
  <si>
    <t>=-NL("Sum","32 Item Ledger Entry","12 Quantity","5 Source no.",$C1905,"3 Posting Date",Z$9,"4 Entry Type",$C$4,"2 Item No.","@@"&amp;$F1905)</t>
  </si>
  <si>
    <t>=-NL("Sum","32 Item Ledger Entry","12 Quantity","5 Source no.",$C1906,"3 Posting Date",Z$9,"4 Entry Type",$C$4,"2 Item No.","@@"&amp;$F1906)</t>
  </si>
  <si>
    <t>=-NL("Sum","32 Item Ledger Entry","12 Quantity","5 Source no.",$C1907,"3 Posting Date",Z$9,"4 Entry Type",$C$4,"2 Item No.","@@"&amp;$F1907)</t>
  </si>
  <si>
    <t>=-NL("Sum","32 Item Ledger Entry","12 Quantity","5 Source no.",$C1908,"3 Posting Date",Z$9,"4 Entry Type",$C$4,"2 Item No.","@@"&amp;$F1908)</t>
  </si>
  <si>
    <t>=-NL("Sum","32 Item Ledger Entry","12 Quantity","5 Source no.",$C1909,"3 Posting Date",Z$9,"4 Entry Type",$C$4,"2 Item No.","@@"&amp;$F1909)</t>
  </si>
  <si>
    <t>=-NL("Sum","32 Item Ledger Entry","12 Quantity","5 Source no.",$C1910,"3 Posting Date",Z$9,"4 Entry Type",$C$4,"2 Item No.","@@"&amp;$F1910)</t>
  </si>
  <si>
    <t>=-NL("Sum","32 Item Ledger Entry","12 Quantity","5 Source no.",$C1911,"3 Posting Date",Z$9,"4 Entry Type",$C$4,"2 Item No.","@@"&amp;$F1911)</t>
  </si>
  <si>
    <t>=-NL("Sum","32 Item Ledger Entry","12 Quantity","5 Source no.",$C1912,"3 Posting Date",Z$9,"4 Entry Type",$C$4,"2 Item No.","@@"&amp;$F1912)</t>
  </si>
  <si>
    <t>=-NL("Sum","32 Item Ledger Entry","12 Quantity","5 Source no.",$C1913,"3 Posting Date",Z$9,"4 Entry Type",$C$4,"2 Item No.","@@"&amp;$F1913)</t>
  </si>
  <si>
    <t>=-NL("Sum","32 Item Ledger Entry","12 Quantity","5 Source no.",$C1914,"3 Posting Date",Z$9,"4 Entry Type",$C$4,"2 Item No.","@@"&amp;$F1914)</t>
  </si>
  <si>
    <t>=-NL("Sum","32 Item Ledger Entry","12 Quantity","5 Source no.",$C1915,"3 Posting Date",Z$9,"4 Entry Type",$C$4,"2 Item No.","@@"&amp;$F1915)</t>
  </si>
  <si>
    <t>=NL(,"27 Item","3 Description","1 No.","@@"&amp;F1839)</t>
  </si>
  <si>
    <t>=NL(,"27 Item","3 Description","1 No.","@@"&amp;F1840)</t>
  </si>
  <si>
    <t>=NL(,"27 Item","3 Description","1 No.","@@"&amp;F1841)</t>
  </si>
  <si>
    <t>=NL(,"27 Item","3 Description","1 No.","@@"&amp;F1842)</t>
  </si>
  <si>
    <t>=NL(,"27 Item","3 Description","1 No.","@@"&amp;F1843)</t>
  </si>
  <si>
    <t>=NL(,"27 Item","3 Description","1 No.","@@"&amp;F1844)</t>
  </si>
  <si>
    <t>=NL(,"27 Item","3 Description","1 No.","@@"&amp;F1845)</t>
  </si>
  <si>
    <t>=NL(,"27 Item","3 Description","1 No.","@@"&amp;F1846)</t>
  </si>
  <si>
    <t>=NL(,"27 Item","3 Description","1 No.","@@"&amp;F1847)</t>
  </si>
  <si>
    <t>=NL(,"27 Item","3 Description","1 No.","@@"&amp;F1848)</t>
  </si>
  <si>
    <t>=NL(,"27 Item","3 Description","1 No.","@@"&amp;F1849)</t>
  </si>
  <si>
    <t>=-NL("Sum","32 Item Ledger Entry","12 Quantity","5 Source no.",$C1839,"3 Posting Date",J$9,"4 Entry Type",$C$4,"2 Item No.","@@"&amp;$F1839)</t>
  </si>
  <si>
    <t>=-NL("Sum","32 Item Ledger Entry","12 Quantity","5 Source no.",$C1840,"3 Posting Date",J$9,"4 Entry Type",$C$4,"2 Item No.","@@"&amp;$F1840)</t>
  </si>
  <si>
    <t>=-NL("Sum","32 Item Ledger Entry","12 Quantity","5 Source no.",$C1841,"3 Posting Date",J$9,"4 Entry Type",$C$4,"2 Item No.","@@"&amp;$F1841)</t>
  </si>
  <si>
    <t>=-NL("Sum","32 Item Ledger Entry","12 Quantity","5 Source no.",$C1842,"3 Posting Date",J$9,"4 Entry Type",$C$4,"2 Item No.","@@"&amp;$F1842)</t>
  </si>
  <si>
    <t>=-NL("Sum","32 Item Ledger Entry","12 Quantity","5 Source no.",$C1843,"3 Posting Date",J$9,"4 Entry Type",$C$4,"2 Item No.","@@"&amp;$F1843)</t>
  </si>
  <si>
    <t>=-NL("Sum","32 Item Ledger Entry","12 Quantity","5 Source no.",$C1844,"3 Posting Date",J$9,"4 Entry Type",$C$4,"2 Item No.","@@"&amp;$F1844)</t>
  </si>
  <si>
    <t>=-NL("Sum","32 Item Ledger Entry","12 Quantity","5 Source no.",$C1845,"3 Posting Date",J$9,"4 Entry Type",$C$4,"2 Item No.","@@"&amp;$F1845)</t>
  </si>
  <si>
    <t>=-NL("Sum","32 Item Ledger Entry","12 Quantity","5 Source no.",$C1846,"3 Posting Date",J$9,"4 Entry Type",$C$4,"2 Item No.","@@"&amp;$F1846)</t>
  </si>
  <si>
    <t>=-NL("Sum","32 Item Ledger Entry","12 Quantity","5 Source no.",$C1847,"3 Posting Date",J$9,"4 Entry Type",$C$4,"2 Item No.","@@"&amp;$F1847)</t>
  </si>
  <si>
    <t>=-NL("Sum","32 Item Ledger Entry","12 Quantity","5 Source no.",$C1848,"3 Posting Date",J$9,"4 Entry Type",$C$4,"2 Item No.","@@"&amp;$F1848)</t>
  </si>
  <si>
    <t>=-NL("Sum","32 Item Ledger Entry","12 Quantity","5 Source no.",$C1849,"3 Posting Date",J$9,"4 Entry Type",$C$4,"2 Item No.","@@"&amp;$F1849)</t>
  </si>
  <si>
    <t>=-NL("Sum","32 Item Ledger Entry","12 Quantity","5 Source no.",$C1839,"3 Posting Date",O$9,"4 Entry Type",$C$4,"2 Item No.","@@"&amp;$F1839)</t>
  </si>
  <si>
    <t>=-NL("Sum","32 Item Ledger Entry","12 Quantity","5 Source no.",$C1840,"3 Posting Date",O$9,"4 Entry Type",$C$4,"2 Item No.","@@"&amp;$F1840)</t>
  </si>
  <si>
    <t>=-NL("Sum","32 Item Ledger Entry","12 Quantity","5 Source no.",$C1841,"3 Posting Date",O$9,"4 Entry Type",$C$4,"2 Item No.","@@"&amp;$F1841)</t>
  </si>
  <si>
    <t>=-NL("Sum","32 Item Ledger Entry","12 Quantity","5 Source no.",$C1842,"3 Posting Date",O$9,"4 Entry Type",$C$4,"2 Item No.","@@"&amp;$F1842)</t>
  </si>
  <si>
    <t>=-NL("Sum","32 Item Ledger Entry","12 Quantity","5 Source no.",$C1843,"3 Posting Date",O$9,"4 Entry Type",$C$4,"2 Item No.","@@"&amp;$F1843)</t>
  </si>
  <si>
    <t>=-NL("Sum","32 Item Ledger Entry","12 Quantity","5 Source no.",$C1844,"3 Posting Date",O$9,"4 Entry Type",$C$4,"2 Item No.","@@"&amp;$F1844)</t>
  </si>
  <si>
    <t>=-NL("Sum","32 Item Ledger Entry","12 Quantity","5 Source no.",$C1845,"3 Posting Date",O$9,"4 Entry Type",$C$4,"2 Item No.","@@"&amp;$F1845)</t>
  </si>
  <si>
    <t>=-NL("Sum","32 Item Ledger Entry","12 Quantity","5 Source no.",$C1846,"3 Posting Date",O$9,"4 Entry Type",$C$4,"2 Item No.","@@"&amp;$F1846)</t>
  </si>
  <si>
    <t>=-NL("Sum","32 Item Ledger Entry","12 Quantity","5 Source no.",$C1847,"3 Posting Date",O$9,"4 Entry Type",$C$4,"2 Item No.","@@"&amp;$F1847)</t>
  </si>
  <si>
    <t>=-NL("Sum","32 Item Ledger Entry","12 Quantity","5 Source no.",$C1848,"3 Posting Date",O$9,"4 Entry Type",$C$4,"2 Item No.","@@"&amp;$F1848)</t>
  </si>
  <si>
    <t>=-NL("Sum","32 Item Ledger Entry","12 Quantity","5 Source no.",$C1849,"3 Posting Date",O$9,"4 Entry Type",$C$4,"2 Item No.","@@"&amp;$F1849)</t>
  </si>
  <si>
    <t>=-NL("Sum","32 Item Ledger Entry","12 Quantity","5 Source no.",$C1839,"3 Posting Date",U$9,"4 Entry Type",$C$4,"2 Item No.","@@"&amp;$F1839)</t>
  </si>
  <si>
    <t>=-NL("Sum","32 Item Ledger Entry","12 Quantity","5 Source no.",$C1840,"3 Posting Date",U$9,"4 Entry Type",$C$4,"2 Item No.","@@"&amp;$F1840)</t>
  </si>
  <si>
    <t>=-NL("Sum","32 Item Ledger Entry","12 Quantity","5 Source no.",$C1841,"3 Posting Date",U$9,"4 Entry Type",$C$4,"2 Item No.","@@"&amp;$F1841)</t>
  </si>
  <si>
    <t>=-NL("Sum","32 Item Ledger Entry","12 Quantity","5 Source no.",$C1842,"3 Posting Date",U$9,"4 Entry Type",$C$4,"2 Item No.","@@"&amp;$F1842)</t>
  </si>
  <si>
    <t>=-NL("Sum","32 Item Ledger Entry","12 Quantity","5 Source no.",$C1843,"3 Posting Date",U$9,"4 Entry Type",$C$4,"2 Item No.","@@"&amp;$F1843)</t>
  </si>
  <si>
    <t>=-NL("Sum","32 Item Ledger Entry","12 Quantity","5 Source no.",$C1844,"3 Posting Date",U$9,"4 Entry Type",$C$4,"2 Item No.","@@"&amp;$F1844)</t>
  </si>
  <si>
    <t>=-NL("Sum","32 Item Ledger Entry","12 Quantity","5 Source no.",$C1845,"3 Posting Date",U$9,"4 Entry Type",$C$4,"2 Item No.","@@"&amp;$F1845)</t>
  </si>
  <si>
    <t>=-NL("Sum","32 Item Ledger Entry","12 Quantity","5 Source no.",$C1846,"3 Posting Date",U$9,"4 Entry Type",$C$4,"2 Item No.","@@"&amp;$F1846)</t>
  </si>
  <si>
    <t>=-NL("Sum","32 Item Ledger Entry","12 Quantity","5 Source no.",$C1847,"3 Posting Date",U$9,"4 Entry Type",$C$4,"2 Item No.","@@"&amp;$F1847)</t>
  </si>
  <si>
    <t>=-NL("Sum","32 Item Ledger Entry","12 Quantity","5 Source no.",$C1848,"3 Posting Date",U$9,"4 Entry Type",$C$4,"2 Item No.","@@"&amp;$F1848)</t>
  </si>
  <si>
    <t>=-NL("Sum","32 Item Ledger Entry","12 Quantity","5 Source no.",$C1849,"3 Posting Date",U$9,"4 Entry Type",$C$4,"2 Item No.","@@"&amp;$F1849)</t>
  </si>
  <si>
    <t>=-NL("Sum","32 Item Ledger Entry","12 Quantity","5 Source no.",$C1839,"3 Posting Date",Z$9,"4 Entry Type",$C$4,"2 Item No.","@@"&amp;$F1839)</t>
  </si>
  <si>
    <t>=-NL("Sum","32 Item Ledger Entry","12 Quantity","5 Source no.",$C1840,"3 Posting Date",Z$9,"4 Entry Type",$C$4,"2 Item No.","@@"&amp;$F1840)</t>
  </si>
  <si>
    <t>=-NL("Sum","32 Item Ledger Entry","12 Quantity","5 Source no.",$C1841,"3 Posting Date",Z$9,"4 Entry Type",$C$4,"2 Item No.","@@"&amp;$F1841)</t>
  </si>
  <si>
    <t>=-NL("Sum","32 Item Ledger Entry","12 Quantity","5 Source no.",$C1842,"3 Posting Date",Z$9,"4 Entry Type",$C$4,"2 Item No.","@@"&amp;$F1842)</t>
  </si>
  <si>
    <t>=-NL("Sum","32 Item Ledger Entry","12 Quantity","5 Source no.",$C1843,"3 Posting Date",Z$9,"4 Entry Type",$C$4,"2 Item No.","@@"&amp;$F1843)</t>
  </si>
  <si>
    <t>=-NL("Sum","32 Item Ledger Entry","12 Quantity","5 Source no.",$C1844,"3 Posting Date",Z$9,"4 Entry Type",$C$4,"2 Item No.","@@"&amp;$F1844)</t>
  </si>
  <si>
    <t>=-NL("Sum","32 Item Ledger Entry","12 Quantity","5 Source no.",$C1845,"3 Posting Date",Z$9,"4 Entry Type",$C$4,"2 Item No.","@@"&amp;$F1845)</t>
  </si>
  <si>
    <t>=-NL("Sum","32 Item Ledger Entry","12 Quantity","5 Source no.",$C1846,"3 Posting Date",Z$9,"4 Entry Type",$C$4,"2 Item No.","@@"&amp;$F1846)</t>
  </si>
  <si>
    <t>=-NL("Sum","32 Item Ledger Entry","12 Quantity","5 Source no.",$C1847,"3 Posting Date",Z$9,"4 Entry Type",$C$4,"2 Item No.","@@"&amp;$F1847)</t>
  </si>
  <si>
    <t>=-NL("Sum","32 Item Ledger Entry","12 Quantity","5 Source no.",$C1848,"3 Posting Date",Z$9,"4 Entry Type",$C$4,"2 Item No.","@@"&amp;$F1848)</t>
  </si>
  <si>
    <t>=-NL("Sum","32 Item Ledger Entry","12 Quantity","5 Source no.",$C1849,"3 Posting Date",Z$9,"4 Entry Type",$C$4,"2 Item No.","@@"&amp;$F1849)</t>
  </si>
  <si>
    <t>=NL(,"27 Item","3 Description","1 No.","@@"&amp;F1802)</t>
  </si>
  <si>
    <t>=NL(,"27 Item","3 Description","1 No.","@@"&amp;F1803)</t>
  </si>
  <si>
    <t>=NL(,"27 Item","3 Description","1 No.","@@"&amp;F1804)</t>
  </si>
  <si>
    <t>=NL(,"27 Item","3 Description","1 No.","@@"&amp;F1805)</t>
  </si>
  <si>
    <t>=NL(,"27 Item","3 Description","1 No.","@@"&amp;F1806)</t>
  </si>
  <si>
    <t>=NL(,"27 Item","3 Description","1 No.","@@"&amp;F1807)</t>
  </si>
  <si>
    <t>=NL(,"27 Item","3 Description","1 No.","@@"&amp;F1808)</t>
  </si>
  <si>
    <t>=NL(,"27 Item","3 Description","1 No.","@@"&amp;F1809)</t>
  </si>
  <si>
    <t>=NL(,"27 Item","3 Description","1 No.","@@"&amp;F1810)</t>
  </si>
  <si>
    <t>=NL(,"27 Item","3 Description","1 No.","@@"&amp;F1811)</t>
  </si>
  <si>
    <t>=NL(,"27 Item","3 Description","1 No.","@@"&amp;F1812)</t>
  </si>
  <si>
    <t>=NL(,"27 Item","3 Description","1 No.","@@"&amp;F1813)</t>
  </si>
  <si>
    <t>=NL(,"27 Item","3 Description","1 No.","@@"&amp;F1814)</t>
  </si>
  <si>
    <t>=NL(,"27 Item","3 Description","1 No.","@@"&amp;F1815)</t>
  </si>
  <si>
    <t>=NL(,"27 Item","3 Description","1 No.","@@"&amp;F1816)</t>
  </si>
  <si>
    <t>=NL(,"27 Item","3 Description","1 No.","@@"&amp;F1817)</t>
  </si>
  <si>
    <t>=NL(,"27 Item","3 Description","1 No.","@@"&amp;F1818)</t>
  </si>
  <si>
    <t>=NL(,"27 Item","3 Description","1 No.","@@"&amp;F1819)</t>
  </si>
  <si>
    <t>=NL(,"27 Item","3 Description","1 No.","@@"&amp;F1820)</t>
  </si>
  <si>
    <t>=NL(,"27 Item","3 Description","1 No.","@@"&amp;F1821)</t>
  </si>
  <si>
    <t>=NL(,"27 Item","3 Description","1 No.","@@"&amp;F1822)</t>
  </si>
  <si>
    <t>=NL(,"27 Item","3 Description","1 No.","@@"&amp;F1823)</t>
  </si>
  <si>
    <t>=NL(,"27 Item","3 Description","1 No.","@@"&amp;F1824)</t>
  </si>
  <si>
    <t>=NL(,"27 Item","3 Description","1 No.","@@"&amp;F1825)</t>
  </si>
  <si>
    <t>=NL(,"27 Item","3 Description","1 No.","@@"&amp;F1826)</t>
  </si>
  <si>
    <t>=NL(,"27 Item","3 Description","1 No.","@@"&amp;F1827)</t>
  </si>
  <si>
    <t>=NL(,"27 Item","3 Description","1 No.","@@"&amp;F1828)</t>
  </si>
  <si>
    <t>=NL(,"27 Item","3 Description","1 No.","@@"&amp;F1829)</t>
  </si>
  <si>
    <t>=NL(,"27 Item","3 Description","1 No.","@@"&amp;F1830)</t>
  </si>
  <si>
    <t>=NL(,"27 Item","3 Description","1 No.","@@"&amp;F1831)</t>
  </si>
  <si>
    <t>=NL(,"27 Item","3 Description","1 No.","@@"&amp;F1832)</t>
  </si>
  <si>
    <t>=NL(,"27 Item","3 Description","1 No.","@@"&amp;F1833)</t>
  </si>
  <si>
    <t>=-NL("Sum","32 Item Ledger Entry","12 Quantity","5 Source no.",$C1802,"3 Posting Date",J$9,"4 Entry Type",$C$4,"2 Item No.","@@"&amp;$F1802)</t>
  </si>
  <si>
    <t>=-NL("Sum","32 Item Ledger Entry","12 Quantity","5 Source no.",$C1803,"3 Posting Date",J$9,"4 Entry Type",$C$4,"2 Item No.","@@"&amp;$F1803)</t>
  </si>
  <si>
    <t>=-NL("Sum","32 Item Ledger Entry","12 Quantity","5 Source no.",$C1804,"3 Posting Date",J$9,"4 Entry Type",$C$4,"2 Item No.","@@"&amp;$F1804)</t>
  </si>
  <si>
    <t>=-NL("Sum","32 Item Ledger Entry","12 Quantity","5 Source no.",$C1805,"3 Posting Date",J$9,"4 Entry Type",$C$4,"2 Item No.","@@"&amp;$F1805)</t>
  </si>
  <si>
    <t>=-NL("Sum","32 Item Ledger Entry","12 Quantity","5 Source no.",$C1806,"3 Posting Date",J$9,"4 Entry Type",$C$4,"2 Item No.","@@"&amp;$F1806)</t>
  </si>
  <si>
    <t>=-NL("Sum","32 Item Ledger Entry","12 Quantity","5 Source no.",$C1807,"3 Posting Date",J$9,"4 Entry Type",$C$4,"2 Item No.","@@"&amp;$F1807)</t>
  </si>
  <si>
    <t>=-NL("Sum","32 Item Ledger Entry","12 Quantity","5 Source no.",$C1808,"3 Posting Date",J$9,"4 Entry Type",$C$4,"2 Item No.","@@"&amp;$F1808)</t>
  </si>
  <si>
    <t>=-NL("Sum","32 Item Ledger Entry","12 Quantity","5 Source no.",$C1809,"3 Posting Date",J$9,"4 Entry Type",$C$4,"2 Item No.","@@"&amp;$F1809)</t>
  </si>
  <si>
    <t>=-NL("Sum","32 Item Ledger Entry","12 Quantity","5 Source no.",$C1810,"3 Posting Date",J$9,"4 Entry Type",$C$4,"2 Item No.","@@"&amp;$F1810)</t>
  </si>
  <si>
    <t>=-NL("Sum","32 Item Ledger Entry","12 Quantity","5 Source no.",$C1811,"3 Posting Date",J$9,"4 Entry Type",$C$4,"2 Item No.","@@"&amp;$F1811)</t>
  </si>
  <si>
    <t>=-NL("Sum","32 Item Ledger Entry","12 Quantity","5 Source no.",$C1812,"3 Posting Date",J$9,"4 Entry Type",$C$4,"2 Item No.","@@"&amp;$F1812)</t>
  </si>
  <si>
    <t>=-NL("Sum","32 Item Ledger Entry","12 Quantity","5 Source no.",$C1813,"3 Posting Date",J$9,"4 Entry Type",$C$4,"2 Item No.","@@"&amp;$F1813)</t>
  </si>
  <si>
    <t>=-NL("Sum","32 Item Ledger Entry","12 Quantity","5 Source no.",$C1814,"3 Posting Date",J$9,"4 Entry Type",$C$4,"2 Item No.","@@"&amp;$F1814)</t>
  </si>
  <si>
    <t>=-NL("Sum","32 Item Ledger Entry","12 Quantity","5 Source no.",$C1815,"3 Posting Date",J$9,"4 Entry Type",$C$4,"2 Item No.","@@"&amp;$F1815)</t>
  </si>
  <si>
    <t>=-NL("Sum","32 Item Ledger Entry","12 Quantity","5 Source no.",$C1816,"3 Posting Date",J$9,"4 Entry Type",$C$4,"2 Item No.","@@"&amp;$F1816)</t>
  </si>
  <si>
    <t>=-NL("Sum","32 Item Ledger Entry","12 Quantity","5 Source no.",$C1817,"3 Posting Date",J$9,"4 Entry Type",$C$4,"2 Item No.","@@"&amp;$F1817)</t>
  </si>
  <si>
    <t>=-NL("Sum","32 Item Ledger Entry","12 Quantity","5 Source no.",$C1818,"3 Posting Date",J$9,"4 Entry Type",$C$4,"2 Item No.","@@"&amp;$F1818)</t>
  </si>
  <si>
    <t>=-NL("Sum","32 Item Ledger Entry","12 Quantity","5 Source no.",$C1819,"3 Posting Date",J$9,"4 Entry Type",$C$4,"2 Item No.","@@"&amp;$F1819)</t>
  </si>
  <si>
    <t>=-NL("Sum","32 Item Ledger Entry","12 Quantity","5 Source no.",$C1820,"3 Posting Date",J$9,"4 Entry Type",$C$4,"2 Item No.","@@"&amp;$F1820)</t>
  </si>
  <si>
    <t>=-NL("Sum","32 Item Ledger Entry","12 Quantity","5 Source no.",$C1821,"3 Posting Date",J$9,"4 Entry Type",$C$4,"2 Item No.","@@"&amp;$F1821)</t>
  </si>
  <si>
    <t>=-NL("Sum","32 Item Ledger Entry","12 Quantity","5 Source no.",$C1822,"3 Posting Date",J$9,"4 Entry Type",$C$4,"2 Item No.","@@"&amp;$F1822)</t>
  </si>
  <si>
    <t>=-NL("Sum","32 Item Ledger Entry","12 Quantity","5 Source no.",$C1823,"3 Posting Date",J$9,"4 Entry Type",$C$4,"2 Item No.","@@"&amp;$F1823)</t>
  </si>
  <si>
    <t>=-NL("Sum","32 Item Ledger Entry","12 Quantity","5 Source no.",$C1824,"3 Posting Date",J$9,"4 Entry Type",$C$4,"2 Item No.","@@"&amp;$F1824)</t>
  </si>
  <si>
    <t>=-NL("Sum","32 Item Ledger Entry","12 Quantity","5 Source no.",$C1825,"3 Posting Date",J$9,"4 Entry Type",$C$4,"2 Item No.","@@"&amp;$F1825)</t>
  </si>
  <si>
    <t>=-NL("Sum","32 Item Ledger Entry","12 Quantity","5 Source no.",$C1826,"3 Posting Date",J$9,"4 Entry Type",$C$4,"2 Item No.","@@"&amp;$F1826)</t>
  </si>
  <si>
    <t>=-NL("Sum","32 Item Ledger Entry","12 Quantity","5 Source no.",$C1827,"3 Posting Date",J$9,"4 Entry Type",$C$4,"2 Item No.","@@"&amp;$F1827)</t>
  </si>
  <si>
    <t>=-NL("Sum","32 Item Ledger Entry","12 Quantity","5 Source no.",$C1828,"3 Posting Date",J$9,"4 Entry Type",$C$4,"2 Item No.","@@"&amp;$F1828)</t>
  </si>
  <si>
    <t>=-NL("Sum","32 Item Ledger Entry","12 Quantity","5 Source no.",$C1829,"3 Posting Date",J$9,"4 Entry Type",$C$4,"2 Item No.","@@"&amp;$F1829)</t>
  </si>
  <si>
    <t>=-NL("Sum","32 Item Ledger Entry","12 Quantity","5 Source no.",$C1830,"3 Posting Date",J$9,"4 Entry Type",$C$4,"2 Item No.","@@"&amp;$F1830)</t>
  </si>
  <si>
    <t>=-NL("Sum","32 Item Ledger Entry","12 Quantity","5 Source no.",$C1831,"3 Posting Date",J$9,"4 Entry Type",$C$4,"2 Item No.","@@"&amp;$F1831)</t>
  </si>
  <si>
    <t>=-NL("Sum","32 Item Ledger Entry","12 Quantity","5 Source no.",$C1832,"3 Posting Date",J$9,"4 Entry Type",$C$4,"2 Item No.","@@"&amp;$F1832)</t>
  </si>
  <si>
    <t>=-NL("Sum","32 Item Ledger Entry","12 Quantity","5 Source no.",$C1833,"3 Posting Date",J$9,"4 Entry Type",$C$4,"2 Item No.","@@"&amp;$F1833)</t>
  </si>
  <si>
    <t>=-NL("Sum","32 Item Ledger Entry","12 Quantity","5 Source no.",$C1802,"3 Posting Date",O$9,"4 Entry Type",$C$4,"2 Item No.","@@"&amp;$F1802)</t>
  </si>
  <si>
    <t>=-NL("Sum","32 Item Ledger Entry","12 Quantity","5 Source no.",$C1803,"3 Posting Date",O$9,"4 Entry Type",$C$4,"2 Item No.","@@"&amp;$F1803)</t>
  </si>
  <si>
    <t>=-NL("Sum","32 Item Ledger Entry","12 Quantity","5 Source no.",$C1804,"3 Posting Date",O$9,"4 Entry Type",$C$4,"2 Item No.","@@"&amp;$F1804)</t>
  </si>
  <si>
    <t>=-NL("Sum","32 Item Ledger Entry","12 Quantity","5 Source no.",$C1805,"3 Posting Date",O$9,"4 Entry Type",$C$4,"2 Item No.","@@"&amp;$F1805)</t>
  </si>
  <si>
    <t>=-NL("Sum","32 Item Ledger Entry","12 Quantity","5 Source no.",$C1806,"3 Posting Date",O$9,"4 Entry Type",$C$4,"2 Item No.","@@"&amp;$F1806)</t>
  </si>
  <si>
    <t>=-NL("Sum","32 Item Ledger Entry","12 Quantity","5 Source no.",$C1807,"3 Posting Date",O$9,"4 Entry Type",$C$4,"2 Item No.","@@"&amp;$F1807)</t>
  </si>
  <si>
    <t>=-NL("Sum","32 Item Ledger Entry","12 Quantity","5 Source no.",$C1808,"3 Posting Date",O$9,"4 Entry Type",$C$4,"2 Item No.","@@"&amp;$F1808)</t>
  </si>
  <si>
    <t>=-NL("Sum","32 Item Ledger Entry","12 Quantity","5 Source no.",$C1809,"3 Posting Date",O$9,"4 Entry Type",$C$4,"2 Item No.","@@"&amp;$F1809)</t>
  </si>
  <si>
    <t>=-NL("Sum","32 Item Ledger Entry","12 Quantity","5 Source no.",$C1810,"3 Posting Date",O$9,"4 Entry Type",$C$4,"2 Item No.","@@"&amp;$F1810)</t>
  </si>
  <si>
    <t>=-NL("Sum","32 Item Ledger Entry","12 Quantity","5 Source no.",$C1811,"3 Posting Date",O$9,"4 Entry Type",$C$4,"2 Item No.","@@"&amp;$F1811)</t>
  </si>
  <si>
    <t>=-NL("Sum","32 Item Ledger Entry","12 Quantity","5 Source no.",$C1812,"3 Posting Date",O$9,"4 Entry Type",$C$4,"2 Item No.","@@"&amp;$F1812)</t>
  </si>
  <si>
    <t>=-NL("Sum","32 Item Ledger Entry","12 Quantity","5 Source no.",$C1813,"3 Posting Date",O$9,"4 Entry Type",$C$4,"2 Item No.","@@"&amp;$F1813)</t>
  </si>
  <si>
    <t>=-NL("Sum","32 Item Ledger Entry","12 Quantity","5 Source no.",$C1814,"3 Posting Date",O$9,"4 Entry Type",$C$4,"2 Item No.","@@"&amp;$F1814)</t>
  </si>
  <si>
    <t>=-NL("Sum","32 Item Ledger Entry","12 Quantity","5 Source no.",$C1815,"3 Posting Date",O$9,"4 Entry Type",$C$4,"2 Item No.","@@"&amp;$F1815)</t>
  </si>
  <si>
    <t>=-NL("Sum","32 Item Ledger Entry","12 Quantity","5 Source no.",$C1816,"3 Posting Date",O$9,"4 Entry Type",$C$4,"2 Item No.","@@"&amp;$F1816)</t>
  </si>
  <si>
    <t>=-NL("Sum","32 Item Ledger Entry","12 Quantity","5 Source no.",$C1817,"3 Posting Date",O$9,"4 Entry Type",$C$4,"2 Item No.","@@"&amp;$F1817)</t>
  </si>
  <si>
    <t>=-NL("Sum","32 Item Ledger Entry","12 Quantity","5 Source no.",$C1818,"3 Posting Date",O$9,"4 Entry Type",$C$4,"2 Item No.","@@"&amp;$F1818)</t>
  </si>
  <si>
    <t>=-NL("Sum","32 Item Ledger Entry","12 Quantity","5 Source no.",$C1819,"3 Posting Date",O$9,"4 Entry Type",$C$4,"2 Item No.","@@"&amp;$F1819)</t>
  </si>
  <si>
    <t>=-NL("Sum","32 Item Ledger Entry","12 Quantity","5 Source no.",$C1820,"3 Posting Date",O$9,"4 Entry Type",$C$4,"2 Item No.","@@"&amp;$F1820)</t>
  </si>
  <si>
    <t>=-NL("Sum","32 Item Ledger Entry","12 Quantity","5 Source no.",$C1821,"3 Posting Date",O$9,"4 Entry Type",$C$4,"2 Item No.","@@"&amp;$F1821)</t>
  </si>
  <si>
    <t>=-NL("Sum","32 Item Ledger Entry","12 Quantity","5 Source no.",$C1822,"3 Posting Date",O$9,"4 Entry Type",$C$4,"2 Item No.","@@"&amp;$F1822)</t>
  </si>
  <si>
    <t>=-NL("Sum","32 Item Ledger Entry","12 Quantity","5 Source no.",$C1823,"3 Posting Date",O$9,"4 Entry Type",$C$4,"2 Item No.","@@"&amp;$F1823)</t>
  </si>
  <si>
    <t>=-NL("Sum","32 Item Ledger Entry","12 Quantity","5 Source no.",$C1824,"3 Posting Date",O$9,"4 Entry Type",$C$4,"2 Item No.","@@"&amp;$F1824)</t>
  </si>
  <si>
    <t>=-NL("Sum","32 Item Ledger Entry","12 Quantity","5 Source no.",$C1825,"3 Posting Date",O$9,"4 Entry Type",$C$4,"2 Item No.","@@"&amp;$F1825)</t>
  </si>
  <si>
    <t>=-NL("Sum","32 Item Ledger Entry","12 Quantity","5 Source no.",$C1826,"3 Posting Date",O$9,"4 Entry Type",$C$4,"2 Item No.","@@"&amp;$F1826)</t>
  </si>
  <si>
    <t>=-NL("Sum","32 Item Ledger Entry","12 Quantity","5 Source no.",$C1827,"3 Posting Date",O$9,"4 Entry Type",$C$4,"2 Item No.","@@"&amp;$F1827)</t>
  </si>
  <si>
    <t>=-NL("Sum","32 Item Ledger Entry","12 Quantity","5 Source no.",$C1828,"3 Posting Date",O$9,"4 Entry Type",$C$4,"2 Item No.","@@"&amp;$F1828)</t>
  </si>
  <si>
    <t>=-NL("Sum","32 Item Ledger Entry","12 Quantity","5 Source no.",$C1829,"3 Posting Date",O$9,"4 Entry Type",$C$4,"2 Item No.","@@"&amp;$F1829)</t>
  </si>
  <si>
    <t>=-NL("Sum","32 Item Ledger Entry","12 Quantity","5 Source no.",$C1830,"3 Posting Date",O$9,"4 Entry Type",$C$4,"2 Item No.","@@"&amp;$F1830)</t>
  </si>
  <si>
    <t>=-NL("Sum","32 Item Ledger Entry","12 Quantity","5 Source no.",$C1831,"3 Posting Date",O$9,"4 Entry Type",$C$4,"2 Item No.","@@"&amp;$F1831)</t>
  </si>
  <si>
    <t>=-NL("Sum","32 Item Ledger Entry","12 Quantity","5 Source no.",$C1832,"3 Posting Date",O$9,"4 Entry Type",$C$4,"2 Item No.","@@"&amp;$F1832)</t>
  </si>
  <si>
    <t>=-NL("Sum","32 Item Ledger Entry","12 Quantity","5 Source no.",$C1833,"3 Posting Date",O$9,"4 Entry Type",$C$4,"2 Item No.","@@"&amp;$F1833)</t>
  </si>
  <si>
    <t>=-NL("Sum","32 Item Ledger Entry","12 Quantity","5 Source no.",$C1802,"3 Posting Date",U$9,"4 Entry Type",$C$4,"2 Item No.","@@"&amp;$F1802)</t>
  </si>
  <si>
    <t>=-NL("Sum","32 Item Ledger Entry","12 Quantity","5 Source no.",$C1803,"3 Posting Date",U$9,"4 Entry Type",$C$4,"2 Item No.","@@"&amp;$F1803)</t>
  </si>
  <si>
    <t>=-NL("Sum","32 Item Ledger Entry","12 Quantity","5 Source no.",$C1804,"3 Posting Date",U$9,"4 Entry Type",$C$4,"2 Item No.","@@"&amp;$F1804)</t>
  </si>
  <si>
    <t>=-NL("Sum","32 Item Ledger Entry","12 Quantity","5 Source no.",$C1805,"3 Posting Date",U$9,"4 Entry Type",$C$4,"2 Item No.","@@"&amp;$F1805)</t>
  </si>
  <si>
    <t>=-NL("Sum","32 Item Ledger Entry","12 Quantity","5 Source no.",$C1806,"3 Posting Date",U$9,"4 Entry Type",$C$4,"2 Item No.","@@"&amp;$F1806)</t>
  </si>
  <si>
    <t>=-NL("Sum","32 Item Ledger Entry","12 Quantity","5 Source no.",$C1807,"3 Posting Date",U$9,"4 Entry Type",$C$4,"2 Item No.","@@"&amp;$F1807)</t>
  </si>
  <si>
    <t>=-NL("Sum","32 Item Ledger Entry","12 Quantity","5 Source no.",$C1808,"3 Posting Date",U$9,"4 Entry Type",$C$4,"2 Item No.","@@"&amp;$F1808)</t>
  </si>
  <si>
    <t>=-NL("Sum","32 Item Ledger Entry","12 Quantity","5 Source no.",$C1809,"3 Posting Date",U$9,"4 Entry Type",$C$4,"2 Item No.","@@"&amp;$F1809)</t>
  </si>
  <si>
    <t>=-NL("Sum","32 Item Ledger Entry","12 Quantity","5 Source no.",$C1810,"3 Posting Date",U$9,"4 Entry Type",$C$4,"2 Item No.","@@"&amp;$F1810)</t>
  </si>
  <si>
    <t>=-NL("Sum","32 Item Ledger Entry","12 Quantity","5 Source no.",$C1811,"3 Posting Date",U$9,"4 Entry Type",$C$4,"2 Item No.","@@"&amp;$F1811)</t>
  </si>
  <si>
    <t>=-NL("Sum","32 Item Ledger Entry","12 Quantity","5 Source no.",$C1812,"3 Posting Date",U$9,"4 Entry Type",$C$4,"2 Item No.","@@"&amp;$F1812)</t>
  </si>
  <si>
    <t>=-NL("Sum","32 Item Ledger Entry","12 Quantity","5 Source no.",$C1813,"3 Posting Date",U$9,"4 Entry Type",$C$4,"2 Item No.","@@"&amp;$F1813)</t>
  </si>
  <si>
    <t>=-NL("Sum","32 Item Ledger Entry","12 Quantity","5 Source no.",$C1814,"3 Posting Date",U$9,"4 Entry Type",$C$4,"2 Item No.","@@"&amp;$F1814)</t>
  </si>
  <si>
    <t>=-NL("Sum","32 Item Ledger Entry","12 Quantity","5 Source no.",$C1815,"3 Posting Date",U$9,"4 Entry Type",$C$4,"2 Item No.","@@"&amp;$F1815)</t>
  </si>
  <si>
    <t>=-NL("Sum","32 Item Ledger Entry","12 Quantity","5 Source no.",$C1816,"3 Posting Date",U$9,"4 Entry Type",$C$4,"2 Item No.","@@"&amp;$F1816)</t>
  </si>
  <si>
    <t>=-NL("Sum","32 Item Ledger Entry","12 Quantity","5 Source no.",$C1817,"3 Posting Date",U$9,"4 Entry Type",$C$4,"2 Item No.","@@"&amp;$F1817)</t>
  </si>
  <si>
    <t>=-NL("Sum","32 Item Ledger Entry","12 Quantity","5 Source no.",$C1818,"3 Posting Date",U$9,"4 Entry Type",$C$4,"2 Item No.","@@"&amp;$F1818)</t>
  </si>
  <si>
    <t>=-NL("Sum","32 Item Ledger Entry","12 Quantity","5 Source no.",$C1819,"3 Posting Date",U$9,"4 Entry Type",$C$4,"2 Item No.","@@"&amp;$F1819)</t>
  </si>
  <si>
    <t>=-NL("Sum","32 Item Ledger Entry","12 Quantity","5 Source no.",$C1820,"3 Posting Date",U$9,"4 Entry Type",$C$4,"2 Item No.","@@"&amp;$F1820)</t>
  </si>
  <si>
    <t>=-NL("Sum","32 Item Ledger Entry","12 Quantity","5 Source no.",$C1821,"3 Posting Date",U$9,"4 Entry Type",$C$4,"2 Item No.","@@"&amp;$F1821)</t>
  </si>
  <si>
    <t>=-NL("Sum","32 Item Ledger Entry","12 Quantity","5 Source no.",$C1822,"3 Posting Date",U$9,"4 Entry Type",$C$4,"2 Item No.","@@"&amp;$F1822)</t>
  </si>
  <si>
    <t>=-NL("Sum","32 Item Ledger Entry","12 Quantity","5 Source no.",$C1823,"3 Posting Date",U$9,"4 Entry Type",$C$4,"2 Item No.","@@"&amp;$F1823)</t>
  </si>
  <si>
    <t>=-NL("Sum","32 Item Ledger Entry","12 Quantity","5 Source no.",$C1824,"3 Posting Date",U$9,"4 Entry Type",$C$4,"2 Item No.","@@"&amp;$F1824)</t>
  </si>
  <si>
    <t>=-NL("Sum","32 Item Ledger Entry","12 Quantity","5 Source no.",$C1825,"3 Posting Date",U$9,"4 Entry Type",$C$4,"2 Item No.","@@"&amp;$F1825)</t>
  </si>
  <si>
    <t>=-NL("Sum","32 Item Ledger Entry","12 Quantity","5 Source no.",$C1826,"3 Posting Date",U$9,"4 Entry Type",$C$4,"2 Item No.","@@"&amp;$F1826)</t>
  </si>
  <si>
    <t>=-NL("Sum","32 Item Ledger Entry","12 Quantity","5 Source no.",$C1827,"3 Posting Date",U$9,"4 Entry Type",$C$4,"2 Item No.","@@"&amp;$F1827)</t>
  </si>
  <si>
    <t>=-NL("Sum","32 Item Ledger Entry","12 Quantity","5 Source no.",$C1828,"3 Posting Date",U$9,"4 Entry Type",$C$4,"2 Item No.","@@"&amp;$F1828)</t>
  </si>
  <si>
    <t>=-NL("Sum","32 Item Ledger Entry","12 Quantity","5 Source no.",$C1829,"3 Posting Date",U$9,"4 Entry Type",$C$4,"2 Item No.","@@"&amp;$F1829)</t>
  </si>
  <si>
    <t>=-NL("Sum","32 Item Ledger Entry","12 Quantity","5 Source no.",$C1830,"3 Posting Date",U$9,"4 Entry Type",$C$4,"2 Item No.","@@"&amp;$F1830)</t>
  </si>
  <si>
    <t>=-NL("Sum","32 Item Ledger Entry","12 Quantity","5 Source no.",$C1831,"3 Posting Date",U$9,"4 Entry Type",$C$4,"2 Item No.","@@"&amp;$F1831)</t>
  </si>
  <si>
    <t>=-NL("Sum","32 Item Ledger Entry","12 Quantity","5 Source no.",$C1832,"3 Posting Date",U$9,"4 Entry Type",$C$4,"2 Item No.","@@"&amp;$F1832)</t>
  </si>
  <si>
    <t>=-NL("Sum","32 Item Ledger Entry","12 Quantity","5 Source no.",$C1833,"3 Posting Date",U$9,"4 Entry Type",$C$4,"2 Item No.","@@"&amp;$F1833)</t>
  </si>
  <si>
    <t>=-NL("Sum","32 Item Ledger Entry","12 Quantity","5 Source no.",$C1802,"3 Posting Date",Z$9,"4 Entry Type",$C$4,"2 Item No.","@@"&amp;$F1802)</t>
  </si>
  <si>
    <t>=-NL("Sum","32 Item Ledger Entry","12 Quantity","5 Source no.",$C1803,"3 Posting Date",Z$9,"4 Entry Type",$C$4,"2 Item No.","@@"&amp;$F1803)</t>
  </si>
  <si>
    <t>=-NL("Sum","32 Item Ledger Entry","12 Quantity","5 Source no.",$C1804,"3 Posting Date",Z$9,"4 Entry Type",$C$4,"2 Item No.","@@"&amp;$F1804)</t>
  </si>
  <si>
    <t>=-NL("Sum","32 Item Ledger Entry","12 Quantity","5 Source no.",$C1805,"3 Posting Date",Z$9,"4 Entry Type",$C$4,"2 Item No.","@@"&amp;$F1805)</t>
  </si>
  <si>
    <t>=-NL("Sum","32 Item Ledger Entry","12 Quantity","5 Source no.",$C1806,"3 Posting Date",Z$9,"4 Entry Type",$C$4,"2 Item No.","@@"&amp;$F1806)</t>
  </si>
  <si>
    <t>=-NL("Sum","32 Item Ledger Entry","12 Quantity","5 Source no.",$C1807,"3 Posting Date",Z$9,"4 Entry Type",$C$4,"2 Item No.","@@"&amp;$F1807)</t>
  </si>
  <si>
    <t>=-NL("Sum","32 Item Ledger Entry","12 Quantity","5 Source no.",$C1808,"3 Posting Date",Z$9,"4 Entry Type",$C$4,"2 Item No.","@@"&amp;$F1808)</t>
  </si>
  <si>
    <t>=-NL("Sum","32 Item Ledger Entry","12 Quantity","5 Source no.",$C1809,"3 Posting Date",Z$9,"4 Entry Type",$C$4,"2 Item No.","@@"&amp;$F1809)</t>
  </si>
  <si>
    <t>=-NL("Sum","32 Item Ledger Entry","12 Quantity","5 Source no.",$C1810,"3 Posting Date",Z$9,"4 Entry Type",$C$4,"2 Item No.","@@"&amp;$F1810)</t>
  </si>
  <si>
    <t>=-NL("Sum","32 Item Ledger Entry","12 Quantity","5 Source no.",$C1811,"3 Posting Date",Z$9,"4 Entry Type",$C$4,"2 Item No.","@@"&amp;$F1811)</t>
  </si>
  <si>
    <t>=-NL("Sum","32 Item Ledger Entry","12 Quantity","5 Source no.",$C1812,"3 Posting Date",Z$9,"4 Entry Type",$C$4,"2 Item No.","@@"&amp;$F1812)</t>
  </si>
  <si>
    <t>=-NL("Sum","32 Item Ledger Entry","12 Quantity","5 Source no.",$C1813,"3 Posting Date",Z$9,"4 Entry Type",$C$4,"2 Item No.","@@"&amp;$F1813)</t>
  </si>
  <si>
    <t>=-NL("Sum","32 Item Ledger Entry","12 Quantity","5 Source no.",$C1814,"3 Posting Date",Z$9,"4 Entry Type",$C$4,"2 Item No.","@@"&amp;$F1814)</t>
  </si>
  <si>
    <t>=-NL("Sum","32 Item Ledger Entry","12 Quantity","5 Source no.",$C1815,"3 Posting Date",Z$9,"4 Entry Type",$C$4,"2 Item No.","@@"&amp;$F1815)</t>
  </si>
  <si>
    <t>=-NL("Sum","32 Item Ledger Entry","12 Quantity","5 Source no.",$C1816,"3 Posting Date",Z$9,"4 Entry Type",$C$4,"2 Item No.","@@"&amp;$F1816)</t>
  </si>
  <si>
    <t>=-NL("Sum","32 Item Ledger Entry","12 Quantity","5 Source no.",$C1817,"3 Posting Date",Z$9,"4 Entry Type",$C$4,"2 Item No.","@@"&amp;$F1817)</t>
  </si>
  <si>
    <t>=-NL("Sum","32 Item Ledger Entry","12 Quantity","5 Source no.",$C1818,"3 Posting Date",Z$9,"4 Entry Type",$C$4,"2 Item No.","@@"&amp;$F1818)</t>
  </si>
  <si>
    <t>=-NL("Sum","32 Item Ledger Entry","12 Quantity","5 Source no.",$C1819,"3 Posting Date",Z$9,"4 Entry Type",$C$4,"2 Item No.","@@"&amp;$F1819)</t>
  </si>
  <si>
    <t>=-NL("Sum","32 Item Ledger Entry","12 Quantity","5 Source no.",$C1820,"3 Posting Date",Z$9,"4 Entry Type",$C$4,"2 Item No.","@@"&amp;$F1820)</t>
  </si>
  <si>
    <t>=-NL("Sum","32 Item Ledger Entry","12 Quantity","5 Source no.",$C1821,"3 Posting Date",Z$9,"4 Entry Type",$C$4,"2 Item No.","@@"&amp;$F1821)</t>
  </si>
  <si>
    <t>=-NL("Sum","32 Item Ledger Entry","12 Quantity","5 Source no.",$C1822,"3 Posting Date",Z$9,"4 Entry Type",$C$4,"2 Item No.","@@"&amp;$F1822)</t>
  </si>
  <si>
    <t>=-NL("Sum","32 Item Ledger Entry","12 Quantity","5 Source no.",$C1823,"3 Posting Date",Z$9,"4 Entry Type",$C$4,"2 Item No.","@@"&amp;$F1823)</t>
  </si>
  <si>
    <t>=-NL("Sum","32 Item Ledger Entry","12 Quantity","5 Source no.",$C1824,"3 Posting Date",Z$9,"4 Entry Type",$C$4,"2 Item No.","@@"&amp;$F1824)</t>
  </si>
  <si>
    <t>=-NL("Sum","32 Item Ledger Entry","12 Quantity","5 Source no.",$C1825,"3 Posting Date",Z$9,"4 Entry Type",$C$4,"2 Item No.","@@"&amp;$F1825)</t>
  </si>
  <si>
    <t>=-NL("Sum","32 Item Ledger Entry","12 Quantity","5 Source no.",$C1826,"3 Posting Date",Z$9,"4 Entry Type",$C$4,"2 Item No.","@@"&amp;$F1826)</t>
  </si>
  <si>
    <t>=-NL("Sum","32 Item Ledger Entry","12 Quantity","5 Source no.",$C1827,"3 Posting Date",Z$9,"4 Entry Type",$C$4,"2 Item No.","@@"&amp;$F1827)</t>
  </si>
  <si>
    <t>=-NL("Sum","32 Item Ledger Entry","12 Quantity","5 Source no.",$C1828,"3 Posting Date",Z$9,"4 Entry Type",$C$4,"2 Item No.","@@"&amp;$F1828)</t>
  </si>
  <si>
    <t>=-NL("Sum","32 Item Ledger Entry","12 Quantity","5 Source no.",$C1829,"3 Posting Date",Z$9,"4 Entry Type",$C$4,"2 Item No.","@@"&amp;$F1829)</t>
  </si>
  <si>
    <t>=-NL("Sum","32 Item Ledger Entry","12 Quantity","5 Source no.",$C1830,"3 Posting Date",Z$9,"4 Entry Type",$C$4,"2 Item No.","@@"&amp;$F1830)</t>
  </si>
  <si>
    <t>=-NL("Sum","32 Item Ledger Entry","12 Quantity","5 Source no.",$C1831,"3 Posting Date",Z$9,"4 Entry Type",$C$4,"2 Item No.","@@"&amp;$F1831)</t>
  </si>
  <si>
    <t>=-NL("Sum","32 Item Ledger Entry","12 Quantity","5 Source no.",$C1832,"3 Posting Date",Z$9,"4 Entry Type",$C$4,"2 Item No.","@@"&amp;$F1832)</t>
  </si>
  <si>
    <t>=-NL("Sum","32 Item Ledger Entry","12 Quantity","5 Source no.",$C1833,"3 Posting Date",Z$9,"4 Entry Type",$C$4,"2 Item No.","@@"&amp;$F1833)</t>
  </si>
  <si>
    <t>=NL(,"27 Item","3 Description","1 No.","@@"&amp;F1762)</t>
  </si>
  <si>
    <t>=NL(,"27 Item","3 Description","1 No.","@@"&amp;F1763)</t>
  </si>
  <si>
    <t>=NL(,"27 Item","3 Description","1 No.","@@"&amp;F1764)</t>
  </si>
  <si>
    <t>=NL(,"27 Item","3 Description","1 No.","@@"&amp;F1765)</t>
  </si>
  <si>
    <t>=NL(,"27 Item","3 Description","1 No.","@@"&amp;F1766)</t>
  </si>
  <si>
    <t>=NL(,"27 Item","3 Description","1 No.","@@"&amp;F1767)</t>
  </si>
  <si>
    <t>=NL(,"27 Item","3 Description","1 No.","@@"&amp;F1768)</t>
  </si>
  <si>
    <t>=NL(,"27 Item","3 Description","1 No.","@@"&amp;F1769)</t>
  </si>
  <si>
    <t>=NL(,"27 Item","3 Description","1 No.","@@"&amp;F1770)</t>
  </si>
  <si>
    <t>=NL(,"27 Item","3 Description","1 No.","@@"&amp;F1771)</t>
  </si>
  <si>
    <t>=NL(,"27 Item","3 Description","1 No.","@@"&amp;F1772)</t>
  </si>
  <si>
    <t>=NL(,"27 Item","3 Description","1 No.","@@"&amp;F1773)</t>
  </si>
  <si>
    <t>=NL(,"27 Item","3 Description","1 No.","@@"&amp;F1774)</t>
  </si>
  <si>
    <t>=NL(,"27 Item","3 Description","1 No.","@@"&amp;F1775)</t>
  </si>
  <si>
    <t>=NL(,"27 Item","3 Description","1 No.","@@"&amp;F1776)</t>
  </si>
  <si>
    <t>=NL(,"27 Item","3 Description","1 No.","@@"&amp;F1777)</t>
  </si>
  <si>
    <t>=NL(,"27 Item","3 Description","1 No.","@@"&amp;F1778)</t>
  </si>
  <si>
    <t>=NL(,"27 Item","3 Description","1 No.","@@"&amp;F1779)</t>
  </si>
  <si>
    <t>=NL(,"27 Item","3 Description","1 No.","@@"&amp;F1780)</t>
  </si>
  <si>
    <t>=NL(,"27 Item","3 Description","1 No.","@@"&amp;F1781)</t>
  </si>
  <si>
    <t>=NL(,"27 Item","3 Description","1 No.","@@"&amp;F1782)</t>
  </si>
  <si>
    <t>=NL(,"27 Item","3 Description","1 No.","@@"&amp;F1783)</t>
  </si>
  <si>
    <t>=NL(,"27 Item","3 Description","1 No.","@@"&amp;F1784)</t>
  </si>
  <si>
    <t>=NL(,"27 Item","3 Description","1 No.","@@"&amp;F1785)</t>
  </si>
  <si>
    <t>=NL(,"27 Item","3 Description","1 No.","@@"&amp;F1786)</t>
  </si>
  <si>
    <t>=NL(,"27 Item","3 Description","1 No.","@@"&amp;F1787)</t>
  </si>
  <si>
    <t>=NL(,"27 Item","3 Description","1 No.","@@"&amp;F1788)</t>
  </si>
  <si>
    <t>=NL(,"27 Item","3 Description","1 No.","@@"&amp;F1789)</t>
  </si>
  <si>
    <t>=NL(,"27 Item","3 Description","1 No.","@@"&amp;F1790)</t>
  </si>
  <si>
    <t>=NL(,"27 Item","3 Description","1 No.","@@"&amp;F1791)</t>
  </si>
  <si>
    <t>=NL(,"27 Item","3 Description","1 No.","@@"&amp;F1792)</t>
  </si>
  <si>
    <t>=NL(,"27 Item","3 Description","1 No.","@@"&amp;F1793)</t>
  </si>
  <si>
    <t>=NL(,"27 Item","3 Description","1 No.","@@"&amp;F1794)</t>
  </si>
  <si>
    <t>=NL(,"27 Item","3 Description","1 No.","@@"&amp;F1795)</t>
  </si>
  <si>
    <t>=NL(,"27 Item","3 Description","1 No.","@@"&amp;F1796)</t>
  </si>
  <si>
    <t>=-NL("Sum","32 Item Ledger Entry","12 Quantity","5 Source no.",$C1762,"3 Posting Date",J$9,"4 Entry Type",$C$4,"2 Item No.","@@"&amp;$F1762)</t>
  </si>
  <si>
    <t>=-NL("Sum","32 Item Ledger Entry","12 Quantity","5 Source no.",$C1763,"3 Posting Date",J$9,"4 Entry Type",$C$4,"2 Item No.","@@"&amp;$F1763)</t>
  </si>
  <si>
    <t>=-NL("Sum","32 Item Ledger Entry","12 Quantity","5 Source no.",$C1764,"3 Posting Date",J$9,"4 Entry Type",$C$4,"2 Item No.","@@"&amp;$F1764)</t>
  </si>
  <si>
    <t>=-NL("Sum","32 Item Ledger Entry","12 Quantity","5 Source no.",$C1765,"3 Posting Date",J$9,"4 Entry Type",$C$4,"2 Item No.","@@"&amp;$F1765)</t>
  </si>
  <si>
    <t>=-NL("Sum","32 Item Ledger Entry","12 Quantity","5 Source no.",$C1766,"3 Posting Date",J$9,"4 Entry Type",$C$4,"2 Item No.","@@"&amp;$F1766)</t>
  </si>
  <si>
    <t>=-NL("Sum","32 Item Ledger Entry","12 Quantity","5 Source no.",$C1767,"3 Posting Date",J$9,"4 Entry Type",$C$4,"2 Item No.","@@"&amp;$F1767)</t>
  </si>
  <si>
    <t>=-NL("Sum","32 Item Ledger Entry","12 Quantity","5 Source no.",$C1768,"3 Posting Date",J$9,"4 Entry Type",$C$4,"2 Item No.","@@"&amp;$F1768)</t>
  </si>
  <si>
    <t>=-NL("Sum","32 Item Ledger Entry","12 Quantity","5 Source no.",$C1769,"3 Posting Date",J$9,"4 Entry Type",$C$4,"2 Item No.","@@"&amp;$F1769)</t>
  </si>
  <si>
    <t>=-NL("Sum","32 Item Ledger Entry","12 Quantity","5 Source no.",$C1770,"3 Posting Date",J$9,"4 Entry Type",$C$4,"2 Item No.","@@"&amp;$F1770)</t>
  </si>
  <si>
    <t>=-NL("Sum","32 Item Ledger Entry","12 Quantity","5 Source no.",$C1771,"3 Posting Date",J$9,"4 Entry Type",$C$4,"2 Item No.","@@"&amp;$F1771)</t>
  </si>
  <si>
    <t>=-NL("Sum","32 Item Ledger Entry","12 Quantity","5 Source no.",$C1772,"3 Posting Date",J$9,"4 Entry Type",$C$4,"2 Item No.","@@"&amp;$F1772)</t>
  </si>
  <si>
    <t>=-NL("Sum","32 Item Ledger Entry","12 Quantity","5 Source no.",$C1773,"3 Posting Date",J$9,"4 Entry Type",$C$4,"2 Item No.","@@"&amp;$F1773)</t>
  </si>
  <si>
    <t>=-NL("Sum","32 Item Ledger Entry","12 Quantity","5 Source no.",$C1774,"3 Posting Date",J$9,"4 Entry Type",$C$4,"2 Item No.","@@"&amp;$F1774)</t>
  </si>
  <si>
    <t>=-NL("Sum","32 Item Ledger Entry","12 Quantity","5 Source no.",$C1775,"3 Posting Date",J$9,"4 Entry Type",$C$4,"2 Item No.","@@"&amp;$F1775)</t>
  </si>
  <si>
    <t>=-NL("Sum","32 Item Ledger Entry","12 Quantity","5 Source no.",$C1776,"3 Posting Date",J$9,"4 Entry Type",$C$4,"2 Item No.","@@"&amp;$F1776)</t>
  </si>
  <si>
    <t>=-NL("Sum","32 Item Ledger Entry","12 Quantity","5 Source no.",$C1777,"3 Posting Date",J$9,"4 Entry Type",$C$4,"2 Item No.","@@"&amp;$F1777)</t>
  </si>
  <si>
    <t>=-NL("Sum","32 Item Ledger Entry","12 Quantity","5 Source no.",$C1778,"3 Posting Date",J$9,"4 Entry Type",$C$4,"2 Item No.","@@"&amp;$F1778)</t>
  </si>
  <si>
    <t>=-NL("Sum","32 Item Ledger Entry","12 Quantity","5 Source no.",$C1779,"3 Posting Date",J$9,"4 Entry Type",$C$4,"2 Item No.","@@"&amp;$F1779)</t>
  </si>
  <si>
    <t>=-NL("Sum","32 Item Ledger Entry","12 Quantity","5 Source no.",$C1780,"3 Posting Date",J$9,"4 Entry Type",$C$4,"2 Item No.","@@"&amp;$F1780)</t>
  </si>
  <si>
    <t>=-NL("Sum","32 Item Ledger Entry","12 Quantity","5 Source no.",$C1781,"3 Posting Date",J$9,"4 Entry Type",$C$4,"2 Item No.","@@"&amp;$F1781)</t>
  </si>
  <si>
    <t>=-NL("Sum","32 Item Ledger Entry","12 Quantity","5 Source no.",$C1782,"3 Posting Date",J$9,"4 Entry Type",$C$4,"2 Item No.","@@"&amp;$F1782)</t>
  </si>
  <si>
    <t>=-NL("Sum","32 Item Ledger Entry","12 Quantity","5 Source no.",$C1783,"3 Posting Date",J$9,"4 Entry Type",$C$4,"2 Item No.","@@"&amp;$F1783)</t>
  </si>
  <si>
    <t>=-NL("Sum","32 Item Ledger Entry","12 Quantity","5 Source no.",$C1784,"3 Posting Date",J$9,"4 Entry Type",$C$4,"2 Item No.","@@"&amp;$F1784)</t>
  </si>
  <si>
    <t>=-NL("Sum","32 Item Ledger Entry","12 Quantity","5 Source no.",$C1785,"3 Posting Date",J$9,"4 Entry Type",$C$4,"2 Item No.","@@"&amp;$F1785)</t>
  </si>
  <si>
    <t>=-NL("Sum","32 Item Ledger Entry","12 Quantity","5 Source no.",$C1786,"3 Posting Date",J$9,"4 Entry Type",$C$4,"2 Item No.","@@"&amp;$F1786)</t>
  </si>
  <si>
    <t>=-NL("Sum","32 Item Ledger Entry","12 Quantity","5 Source no.",$C1787,"3 Posting Date",J$9,"4 Entry Type",$C$4,"2 Item No.","@@"&amp;$F1787)</t>
  </si>
  <si>
    <t>=-NL("Sum","32 Item Ledger Entry","12 Quantity","5 Source no.",$C1788,"3 Posting Date",J$9,"4 Entry Type",$C$4,"2 Item No.","@@"&amp;$F1788)</t>
  </si>
  <si>
    <t>=-NL("Sum","32 Item Ledger Entry","12 Quantity","5 Source no.",$C1789,"3 Posting Date",J$9,"4 Entry Type",$C$4,"2 Item No.","@@"&amp;$F1789)</t>
  </si>
  <si>
    <t>=-NL("Sum","32 Item Ledger Entry","12 Quantity","5 Source no.",$C1790,"3 Posting Date",J$9,"4 Entry Type",$C$4,"2 Item No.","@@"&amp;$F1790)</t>
  </si>
  <si>
    <t>=-NL("Sum","32 Item Ledger Entry","12 Quantity","5 Source no.",$C1791,"3 Posting Date",J$9,"4 Entry Type",$C$4,"2 Item No.","@@"&amp;$F1791)</t>
  </si>
  <si>
    <t>=-NL("Sum","32 Item Ledger Entry","12 Quantity","5 Source no.",$C1792,"3 Posting Date",J$9,"4 Entry Type",$C$4,"2 Item No.","@@"&amp;$F1792)</t>
  </si>
  <si>
    <t>=-NL("Sum","32 Item Ledger Entry","12 Quantity","5 Source no.",$C1793,"3 Posting Date",J$9,"4 Entry Type",$C$4,"2 Item No.","@@"&amp;$F1793)</t>
  </si>
  <si>
    <t>=-NL("Sum","32 Item Ledger Entry","12 Quantity","5 Source no.",$C1794,"3 Posting Date",J$9,"4 Entry Type",$C$4,"2 Item No.","@@"&amp;$F1794)</t>
  </si>
  <si>
    <t>=-NL("Sum","32 Item Ledger Entry","12 Quantity","5 Source no.",$C1795,"3 Posting Date",J$9,"4 Entry Type",$C$4,"2 Item No.","@@"&amp;$F1795)</t>
  </si>
  <si>
    <t>=-NL("Sum","32 Item Ledger Entry","12 Quantity","5 Source no.",$C1796,"3 Posting Date",J$9,"4 Entry Type",$C$4,"2 Item No.","@@"&amp;$F1796)</t>
  </si>
  <si>
    <t>=-NL("Sum","32 Item Ledger Entry","12 Quantity","5 Source no.",$C1762,"3 Posting Date",O$9,"4 Entry Type",$C$4,"2 Item No.","@@"&amp;$F1762)</t>
  </si>
  <si>
    <t>=-NL("Sum","32 Item Ledger Entry","12 Quantity","5 Source no.",$C1763,"3 Posting Date",O$9,"4 Entry Type",$C$4,"2 Item No.","@@"&amp;$F1763)</t>
  </si>
  <si>
    <t>=-NL("Sum","32 Item Ledger Entry","12 Quantity","5 Source no.",$C1764,"3 Posting Date",O$9,"4 Entry Type",$C$4,"2 Item No.","@@"&amp;$F1764)</t>
  </si>
  <si>
    <t>=-NL("Sum","32 Item Ledger Entry","12 Quantity","5 Source no.",$C1765,"3 Posting Date",O$9,"4 Entry Type",$C$4,"2 Item No.","@@"&amp;$F1765)</t>
  </si>
  <si>
    <t>=-NL("Sum","32 Item Ledger Entry","12 Quantity","5 Source no.",$C1766,"3 Posting Date",O$9,"4 Entry Type",$C$4,"2 Item No.","@@"&amp;$F1766)</t>
  </si>
  <si>
    <t>=-NL("Sum","32 Item Ledger Entry","12 Quantity","5 Source no.",$C1767,"3 Posting Date",O$9,"4 Entry Type",$C$4,"2 Item No.","@@"&amp;$F1767)</t>
  </si>
  <si>
    <t>=-NL("Sum","32 Item Ledger Entry","12 Quantity","5 Source no.",$C1768,"3 Posting Date",O$9,"4 Entry Type",$C$4,"2 Item No.","@@"&amp;$F1768)</t>
  </si>
  <si>
    <t>=-NL("Sum","32 Item Ledger Entry","12 Quantity","5 Source no.",$C1769,"3 Posting Date",O$9,"4 Entry Type",$C$4,"2 Item No.","@@"&amp;$F1769)</t>
  </si>
  <si>
    <t>=-NL("Sum","32 Item Ledger Entry","12 Quantity","5 Source no.",$C1770,"3 Posting Date",O$9,"4 Entry Type",$C$4,"2 Item No.","@@"&amp;$F1770)</t>
  </si>
  <si>
    <t>=-NL("Sum","32 Item Ledger Entry","12 Quantity","5 Source no.",$C1771,"3 Posting Date",O$9,"4 Entry Type",$C$4,"2 Item No.","@@"&amp;$F1771)</t>
  </si>
  <si>
    <t>=-NL("Sum","32 Item Ledger Entry","12 Quantity","5 Source no.",$C1772,"3 Posting Date",O$9,"4 Entry Type",$C$4,"2 Item No.","@@"&amp;$F1772)</t>
  </si>
  <si>
    <t>=-NL("Sum","32 Item Ledger Entry","12 Quantity","5 Source no.",$C1773,"3 Posting Date",O$9,"4 Entry Type",$C$4,"2 Item No.","@@"&amp;$F1773)</t>
  </si>
  <si>
    <t>=-NL("Sum","32 Item Ledger Entry","12 Quantity","5 Source no.",$C1774,"3 Posting Date",O$9,"4 Entry Type",$C$4,"2 Item No.","@@"&amp;$F1774)</t>
  </si>
  <si>
    <t>=-NL("Sum","32 Item Ledger Entry","12 Quantity","5 Source no.",$C1775,"3 Posting Date",O$9,"4 Entry Type",$C$4,"2 Item No.","@@"&amp;$F1775)</t>
  </si>
  <si>
    <t>=-NL("Sum","32 Item Ledger Entry","12 Quantity","5 Source no.",$C1776,"3 Posting Date",O$9,"4 Entry Type",$C$4,"2 Item No.","@@"&amp;$F1776)</t>
  </si>
  <si>
    <t>=-NL("Sum","32 Item Ledger Entry","12 Quantity","5 Source no.",$C1777,"3 Posting Date",O$9,"4 Entry Type",$C$4,"2 Item No.","@@"&amp;$F1777)</t>
  </si>
  <si>
    <t>=-NL("Sum","32 Item Ledger Entry","12 Quantity","5 Source no.",$C1778,"3 Posting Date",O$9,"4 Entry Type",$C$4,"2 Item No.","@@"&amp;$F1778)</t>
  </si>
  <si>
    <t>=-NL("Sum","32 Item Ledger Entry","12 Quantity","5 Source no.",$C1779,"3 Posting Date",O$9,"4 Entry Type",$C$4,"2 Item No.","@@"&amp;$F1779)</t>
  </si>
  <si>
    <t>=-NL("Sum","32 Item Ledger Entry","12 Quantity","5 Source no.",$C1780,"3 Posting Date",O$9,"4 Entry Type",$C$4,"2 Item No.","@@"&amp;$F1780)</t>
  </si>
  <si>
    <t>=-NL("Sum","32 Item Ledger Entry","12 Quantity","5 Source no.",$C1781,"3 Posting Date",O$9,"4 Entry Type",$C$4,"2 Item No.","@@"&amp;$F1781)</t>
  </si>
  <si>
    <t>=-NL("Sum","32 Item Ledger Entry","12 Quantity","5 Source no.",$C1782,"3 Posting Date",O$9,"4 Entry Type",$C$4,"2 Item No.","@@"&amp;$F1782)</t>
  </si>
  <si>
    <t>=-NL("Sum","32 Item Ledger Entry","12 Quantity","5 Source no.",$C1783,"3 Posting Date",O$9,"4 Entry Type",$C$4,"2 Item No.","@@"&amp;$F1783)</t>
  </si>
  <si>
    <t>=-NL("Sum","32 Item Ledger Entry","12 Quantity","5 Source no.",$C1784,"3 Posting Date",O$9,"4 Entry Type",$C$4,"2 Item No.","@@"&amp;$F1784)</t>
  </si>
  <si>
    <t>=-NL("Sum","32 Item Ledger Entry","12 Quantity","5 Source no.",$C1785,"3 Posting Date",O$9,"4 Entry Type",$C$4,"2 Item No.","@@"&amp;$F1785)</t>
  </si>
  <si>
    <t>=-NL("Sum","32 Item Ledger Entry","12 Quantity","5 Source no.",$C1786,"3 Posting Date",O$9,"4 Entry Type",$C$4,"2 Item No.","@@"&amp;$F1786)</t>
  </si>
  <si>
    <t>=-NL("Sum","32 Item Ledger Entry","12 Quantity","5 Source no.",$C1787,"3 Posting Date",O$9,"4 Entry Type",$C$4,"2 Item No.","@@"&amp;$F1787)</t>
  </si>
  <si>
    <t>=-NL("Sum","32 Item Ledger Entry","12 Quantity","5 Source no.",$C1788,"3 Posting Date",O$9,"4 Entry Type",$C$4,"2 Item No.","@@"&amp;$F1788)</t>
  </si>
  <si>
    <t>=-NL("Sum","32 Item Ledger Entry","12 Quantity","5 Source no.",$C1789,"3 Posting Date",O$9,"4 Entry Type",$C$4,"2 Item No.","@@"&amp;$F1789)</t>
  </si>
  <si>
    <t>=-NL("Sum","32 Item Ledger Entry","12 Quantity","5 Source no.",$C1790,"3 Posting Date",O$9,"4 Entry Type",$C$4,"2 Item No.","@@"&amp;$F1790)</t>
  </si>
  <si>
    <t>=-NL("Sum","32 Item Ledger Entry","12 Quantity","5 Source no.",$C1791,"3 Posting Date",O$9,"4 Entry Type",$C$4,"2 Item No.","@@"&amp;$F1791)</t>
  </si>
  <si>
    <t>=-NL("Sum","32 Item Ledger Entry","12 Quantity","5 Source no.",$C1792,"3 Posting Date",O$9,"4 Entry Type",$C$4,"2 Item No.","@@"&amp;$F1792)</t>
  </si>
  <si>
    <t>=-NL("Sum","32 Item Ledger Entry","12 Quantity","5 Source no.",$C1793,"3 Posting Date",O$9,"4 Entry Type",$C$4,"2 Item No.","@@"&amp;$F1793)</t>
  </si>
  <si>
    <t>=-NL("Sum","32 Item Ledger Entry","12 Quantity","5 Source no.",$C1794,"3 Posting Date",O$9,"4 Entry Type",$C$4,"2 Item No.","@@"&amp;$F1794)</t>
  </si>
  <si>
    <t>=-NL("Sum","32 Item Ledger Entry","12 Quantity","5 Source no.",$C1795,"3 Posting Date",O$9,"4 Entry Type",$C$4,"2 Item No.","@@"&amp;$F1795)</t>
  </si>
  <si>
    <t>=-NL("Sum","32 Item Ledger Entry","12 Quantity","5 Source no.",$C1796,"3 Posting Date",O$9,"4 Entry Type",$C$4,"2 Item No.","@@"&amp;$F1796)</t>
  </si>
  <si>
    <t>=-NL("Sum","32 Item Ledger Entry","12 Quantity","5 Source no.",$C1762,"3 Posting Date",U$9,"4 Entry Type",$C$4,"2 Item No.","@@"&amp;$F1762)</t>
  </si>
  <si>
    <t>=-NL("Sum","32 Item Ledger Entry","12 Quantity","5 Source no.",$C1763,"3 Posting Date",U$9,"4 Entry Type",$C$4,"2 Item No.","@@"&amp;$F1763)</t>
  </si>
  <si>
    <t>=-NL("Sum","32 Item Ledger Entry","12 Quantity","5 Source no.",$C1764,"3 Posting Date",U$9,"4 Entry Type",$C$4,"2 Item No.","@@"&amp;$F1764)</t>
  </si>
  <si>
    <t>=-NL("Sum","32 Item Ledger Entry","12 Quantity","5 Source no.",$C1765,"3 Posting Date",U$9,"4 Entry Type",$C$4,"2 Item No.","@@"&amp;$F1765)</t>
  </si>
  <si>
    <t>=-NL("Sum","32 Item Ledger Entry","12 Quantity","5 Source no.",$C1766,"3 Posting Date",U$9,"4 Entry Type",$C$4,"2 Item No.","@@"&amp;$F1766)</t>
  </si>
  <si>
    <t>=-NL("Sum","32 Item Ledger Entry","12 Quantity","5 Source no.",$C1767,"3 Posting Date",U$9,"4 Entry Type",$C$4,"2 Item No.","@@"&amp;$F1767)</t>
  </si>
  <si>
    <t>=-NL("Sum","32 Item Ledger Entry","12 Quantity","5 Source no.",$C1768,"3 Posting Date",U$9,"4 Entry Type",$C$4,"2 Item No.","@@"&amp;$F1768)</t>
  </si>
  <si>
    <t>=-NL("Sum","32 Item Ledger Entry","12 Quantity","5 Source no.",$C1769,"3 Posting Date",U$9,"4 Entry Type",$C$4,"2 Item No.","@@"&amp;$F1769)</t>
  </si>
  <si>
    <t>=-NL("Sum","32 Item Ledger Entry","12 Quantity","5 Source no.",$C1770,"3 Posting Date",U$9,"4 Entry Type",$C$4,"2 Item No.","@@"&amp;$F1770)</t>
  </si>
  <si>
    <t>=-NL("Sum","32 Item Ledger Entry","12 Quantity","5 Source no.",$C1771,"3 Posting Date",U$9,"4 Entry Type",$C$4,"2 Item No.","@@"&amp;$F1771)</t>
  </si>
  <si>
    <t>=-NL("Sum","32 Item Ledger Entry","12 Quantity","5 Source no.",$C1772,"3 Posting Date",U$9,"4 Entry Type",$C$4,"2 Item No.","@@"&amp;$F1772)</t>
  </si>
  <si>
    <t>=-NL("Sum","32 Item Ledger Entry","12 Quantity","5 Source no.",$C1773,"3 Posting Date",U$9,"4 Entry Type",$C$4,"2 Item No.","@@"&amp;$F1773)</t>
  </si>
  <si>
    <t>=-NL("Sum","32 Item Ledger Entry","12 Quantity","5 Source no.",$C1774,"3 Posting Date",U$9,"4 Entry Type",$C$4,"2 Item No.","@@"&amp;$F1774)</t>
  </si>
  <si>
    <t>=-NL("Sum","32 Item Ledger Entry","12 Quantity","5 Source no.",$C1775,"3 Posting Date",U$9,"4 Entry Type",$C$4,"2 Item No.","@@"&amp;$F1775)</t>
  </si>
  <si>
    <t>=-NL("Sum","32 Item Ledger Entry","12 Quantity","5 Source no.",$C1776,"3 Posting Date",U$9,"4 Entry Type",$C$4,"2 Item No.","@@"&amp;$F1776)</t>
  </si>
  <si>
    <t>=-NL("Sum","32 Item Ledger Entry","12 Quantity","5 Source no.",$C1777,"3 Posting Date",U$9,"4 Entry Type",$C$4,"2 Item No.","@@"&amp;$F1777)</t>
  </si>
  <si>
    <t>=-NL("Sum","32 Item Ledger Entry","12 Quantity","5 Source no.",$C1778,"3 Posting Date",U$9,"4 Entry Type",$C$4,"2 Item No.","@@"&amp;$F1778)</t>
  </si>
  <si>
    <t>=-NL("Sum","32 Item Ledger Entry","12 Quantity","5 Source no.",$C1779,"3 Posting Date",U$9,"4 Entry Type",$C$4,"2 Item No.","@@"&amp;$F1779)</t>
  </si>
  <si>
    <t>=-NL("Sum","32 Item Ledger Entry","12 Quantity","5 Source no.",$C1780,"3 Posting Date",U$9,"4 Entry Type",$C$4,"2 Item No.","@@"&amp;$F1780)</t>
  </si>
  <si>
    <t>=-NL("Sum","32 Item Ledger Entry","12 Quantity","5 Source no.",$C1781,"3 Posting Date",U$9,"4 Entry Type",$C$4,"2 Item No.","@@"&amp;$F1781)</t>
  </si>
  <si>
    <t>=-NL("Sum","32 Item Ledger Entry","12 Quantity","5 Source no.",$C1782,"3 Posting Date",U$9,"4 Entry Type",$C$4,"2 Item No.","@@"&amp;$F1782)</t>
  </si>
  <si>
    <t>=-NL("Sum","32 Item Ledger Entry","12 Quantity","5 Source no.",$C1783,"3 Posting Date",U$9,"4 Entry Type",$C$4,"2 Item No.","@@"&amp;$F1783)</t>
  </si>
  <si>
    <t>=-NL("Sum","32 Item Ledger Entry","12 Quantity","5 Source no.",$C1784,"3 Posting Date",U$9,"4 Entry Type",$C$4,"2 Item No.","@@"&amp;$F1784)</t>
  </si>
  <si>
    <t>=-NL("Sum","32 Item Ledger Entry","12 Quantity","5 Source no.",$C1785,"3 Posting Date",U$9,"4 Entry Type",$C$4,"2 Item No.","@@"&amp;$F1785)</t>
  </si>
  <si>
    <t>=-NL("Sum","32 Item Ledger Entry","12 Quantity","5 Source no.",$C1786,"3 Posting Date",U$9,"4 Entry Type",$C$4,"2 Item No.","@@"&amp;$F1786)</t>
  </si>
  <si>
    <t>=-NL("Sum","32 Item Ledger Entry","12 Quantity","5 Source no.",$C1787,"3 Posting Date",U$9,"4 Entry Type",$C$4,"2 Item No.","@@"&amp;$F1787)</t>
  </si>
  <si>
    <t>=-NL("Sum","32 Item Ledger Entry","12 Quantity","5 Source no.",$C1788,"3 Posting Date",U$9,"4 Entry Type",$C$4,"2 Item No.","@@"&amp;$F1788)</t>
  </si>
  <si>
    <t>=-NL("Sum","32 Item Ledger Entry","12 Quantity","5 Source no.",$C1789,"3 Posting Date",U$9,"4 Entry Type",$C$4,"2 Item No.","@@"&amp;$F1789)</t>
  </si>
  <si>
    <t>=-NL("Sum","32 Item Ledger Entry","12 Quantity","5 Source no.",$C1790,"3 Posting Date",U$9,"4 Entry Type",$C$4,"2 Item No.","@@"&amp;$F1790)</t>
  </si>
  <si>
    <t>=-NL("Sum","32 Item Ledger Entry","12 Quantity","5 Source no.",$C1791,"3 Posting Date",U$9,"4 Entry Type",$C$4,"2 Item No.","@@"&amp;$F1791)</t>
  </si>
  <si>
    <t>=-NL("Sum","32 Item Ledger Entry","12 Quantity","5 Source no.",$C1792,"3 Posting Date",U$9,"4 Entry Type",$C$4,"2 Item No.","@@"&amp;$F1792)</t>
  </si>
  <si>
    <t>=-NL("Sum","32 Item Ledger Entry","12 Quantity","5 Source no.",$C1793,"3 Posting Date",U$9,"4 Entry Type",$C$4,"2 Item No.","@@"&amp;$F1793)</t>
  </si>
  <si>
    <t>=-NL("Sum","32 Item Ledger Entry","12 Quantity","5 Source no.",$C1794,"3 Posting Date",U$9,"4 Entry Type",$C$4,"2 Item No.","@@"&amp;$F1794)</t>
  </si>
  <si>
    <t>=-NL("Sum","32 Item Ledger Entry","12 Quantity","5 Source no.",$C1795,"3 Posting Date",U$9,"4 Entry Type",$C$4,"2 Item No.","@@"&amp;$F1795)</t>
  </si>
  <si>
    <t>=-NL("Sum","32 Item Ledger Entry","12 Quantity","5 Source no.",$C1796,"3 Posting Date",U$9,"4 Entry Type",$C$4,"2 Item No.","@@"&amp;$F1796)</t>
  </si>
  <si>
    <t>=-NL("Sum","32 Item Ledger Entry","12 Quantity","5 Source no.",$C1762,"3 Posting Date",Z$9,"4 Entry Type",$C$4,"2 Item No.","@@"&amp;$F1762)</t>
  </si>
  <si>
    <t>=-NL("Sum","32 Item Ledger Entry","12 Quantity","5 Source no.",$C1763,"3 Posting Date",Z$9,"4 Entry Type",$C$4,"2 Item No.","@@"&amp;$F1763)</t>
  </si>
  <si>
    <t>=-NL("Sum","32 Item Ledger Entry","12 Quantity","5 Source no.",$C1764,"3 Posting Date",Z$9,"4 Entry Type",$C$4,"2 Item No.","@@"&amp;$F1764)</t>
  </si>
  <si>
    <t>=-NL("Sum","32 Item Ledger Entry","12 Quantity","5 Source no.",$C1765,"3 Posting Date",Z$9,"4 Entry Type",$C$4,"2 Item No.","@@"&amp;$F1765)</t>
  </si>
  <si>
    <t>=-NL("Sum","32 Item Ledger Entry","12 Quantity","5 Source no.",$C1766,"3 Posting Date",Z$9,"4 Entry Type",$C$4,"2 Item No.","@@"&amp;$F1766)</t>
  </si>
  <si>
    <t>=-NL("Sum","32 Item Ledger Entry","12 Quantity","5 Source no.",$C1767,"3 Posting Date",Z$9,"4 Entry Type",$C$4,"2 Item No.","@@"&amp;$F1767)</t>
  </si>
  <si>
    <t>=-NL("Sum","32 Item Ledger Entry","12 Quantity","5 Source no.",$C1768,"3 Posting Date",Z$9,"4 Entry Type",$C$4,"2 Item No.","@@"&amp;$F1768)</t>
  </si>
  <si>
    <t>=-NL("Sum","32 Item Ledger Entry","12 Quantity","5 Source no.",$C1769,"3 Posting Date",Z$9,"4 Entry Type",$C$4,"2 Item No.","@@"&amp;$F1769)</t>
  </si>
  <si>
    <t>=-NL("Sum","32 Item Ledger Entry","12 Quantity","5 Source no.",$C1770,"3 Posting Date",Z$9,"4 Entry Type",$C$4,"2 Item No.","@@"&amp;$F1770)</t>
  </si>
  <si>
    <t>=-NL("Sum","32 Item Ledger Entry","12 Quantity","5 Source no.",$C1771,"3 Posting Date",Z$9,"4 Entry Type",$C$4,"2 Item No.","@@"&amp;$F1771)</t>
  </si>
  <si>
    <t>=-NL("Sum","32 Item Ledger Entry","12 Quantity","5 Source no.",$C1772,"3 Posting Date",Z$9,"4 Entry Type",$C$4,"2 Item No.","@@"&amp;$F1772)</t>
  </si>
  <si>
    <t>=-NL("Sum","32 Item Ledger Entry","12 Quantity","5 Source no.",$C1773,"3 Posting Date",Z$9,"4 Entry Type",$C$4,"2 Item No.","@@"&amp;$F1773)</t>
  </si>
  <si>
    <t>=-NL("Sum","32 Item Ledger Entry","12 Quantity","5 Source no.",$C1774,"3 Posting Date",Z$9,"4 Entry Type",$C$4,"2 Item No.","@@"&amp;$F1774)</t>
  </si>
  <si>
    <t>=-NL("Sum","32 Item Ledger Entry","12 Quantity","5 Source no.",$C1775,"3 Posting Date",Z$9,"4 Entry Type",$C$4,"2 Item No.","@@"&amp;$F1775)</t>
  </si>
  <si>
    <t>=-NL("Sum","32 Item Ledger Entry","12 Quantity","5 Source no.",$C1776,"3 Posting Date",Z$9,"4 Entry Type",$C$4,"2 Item No.","@@"&amp;$F1776)</t>
  </si>
  <si>
    <t>=-NL("Sum","32 Item Ledger Entry","12 Quantity","5 Source no.",$C1777,"3 Posting Date",Z$9,"4 Entry Type",$C$4,"2 Item No.","@@"&amp;$F1777)</t>
  </si>
  <si>
    <t>=-NL("Sum","32 Item Ledger Entry","12 Quantity","5 Source no.",$C1778,"3 Posting Date",Z$9,"4 Entry Type",$C$4,"2 Item No.","@@"&amp;$F1778)</t>
  </si>
  <si>
    <t>=-NL("Sum","32 Item Ledger Entry","12 Quantity","5 Source no.",$C1779,"3 Posting Date",Z$9,"4 Entry Type",$C$4,"2 Item No.","@@"&amp;$F1779)</t>
  </si>
  <si>
    <t>=-NL("Sum","32 Item Ledger Entry","12 Quantity","5 Source no.",$C1780,"3 Posting Date",Z$9,"4 Entry Type",$C$4,"2 Item No.","@@"&amp;$F1780)</t>
  </si>
  <si>
    <t>=-NL("Sum","32 Item Ledger Entry","12 Quantity","5 Source no.",$C1781,"3 Posting Date",Z$9,"4 Entry Type",$C$4,"2 Item No.","@@"&amp;$F1781)</t>
  </si>
  <si>
    <t>=-NL("Sum","32 Item Ledger Entry","12 Quantity","5 Source no.",$C1782,"3 Posting Date",Z$9,"4 Entry Type",$C$4,"2 Item No.","@@"&amp;$F1782)</t>
  </si>
  <si>
    <t>=-NL("Sum","32 Item Ledger Entry","12 Quantity","5 Source no.",$C1783,"3 Posting Date",Z$9,"4 Entry Type",$C$4,"2 Item No.","@@"&amp;$F1783)</t>
  </si>
  <si>
    <t>=-NL("Sum","32 Item Ledger Entry","12 Quantity","5 Source no.",$C1784,"3 Posting Date",Z$9,"4 Entry Type",$C$4,"2 Item No.","@@"&amp;$F1784)</t>
  </si>
  <si>
    <t>=-NL("Sum","32 Item Ledger Entry","12 Quantity","5 Source no.",$C1785,"3 Posting Date",Z$9,"4 Entry Type",$C$4,"2 Item No.","@@"&amp;$F1785)</t>
  </si>
  <si>
    <t>=-NL("Sum","32 Item Ledger Entry","12 Quantity","5 Source no.",$C1786,"3 Posting Date",Z$9,"4 Entry Type",$C$4,"2 Item No.","@@"&amp;$F1786)</t>
  </si>
  <si>
    <t>=-NL("Sum","32 Item Ledger Entry","12 Quantity","5 Source no.",$C1787,"3 Posting Date",Z$9,"4 Entry Type",$C$4,"2 Item No.","@@"&amp;$F1787)</t>
  </si>
  <si>
    <t>=-NL("Sum","32 Item Ledger Entry","12 Quantity","5 Source no.",$C1788,"3 Posting Date",Z$9,"4 Entry Type",$C$4,"2 Item No.","@@"&amp;$F1788)</t>
  </si>
  <si>
    <t>=-NL("Sum","32 Item Ledger Entry","12 Quantity","5 Source no.",$C1789,"3 Posting Date",Z$9,"4 Entry Type",$C$4,"2 Item No.","@@"&amp;$F1789)</t>
  </si>
  <si>
    <t>=-NL("Sum","32 Item Ledger Entry","12 Quantity","5 Source no.",$C1790,"3 Posting Date",Z$9,"4 Entry Type",$C$4,"2 Item No.","@@"&amp;$F1790)</t>
  </si>
  <si>
    <t>=-NL("Sum","32 Item Ledger Entry","12 Quantity","5 Source no.",$C1791,"3 Posting Date",Z$9,"4 Entry Type",$C$4,"2 Item No.","@@"&amp;$F1791)</t>
  </si>
  <si>
    <t>=-NL("Sum","32 Item Ledger Entry","12 Quantity","5 Source no.",$C1792,"3 Posting Date",Z$9,"4 Entry Type",$C$4,"2 Item No.","@@"&amp;$F1792)</t>
  </si>
  <si>
    <t>=-NL("Sum","32 Item Ledger Entry","12 Quantity","5 Source no.",$C1793,"3 Posting Date",Z$9,"4 Entry Type",$C$4,"2 Item No.","@@"&amp;$F1793)</t>
  </si>
  <si>
    <t>=-NL("Sum","32 Item Ledger Entry","12 Quantity","5 Source no.",$C1794,"3 Posting Date",Z$9,"4 Entry Type",$C$4,"2 Item No.","@@"&amp;$F1794)</t>
  </si>
  <si>
    <t>=-NL("Sum","32 Item Ledger Entry","12 Quantity","5 Source no.",$C1795,"3 Posting Date",Z$9,"4 Entry Type",$C$4,"2 Item No.","@@"&amp;$F1795)</t>
  </si>
  <si>
    <t>=-NL("Sum","32 Item Ledger Entry","12 Quantity","5 Source no.",$C1796,"3 Posting Date",Z$9,"4 Entry Type",$C$4,"2 Item No.","@@"&amp;$F1796)</t>
  </si>
  <si>
    <t>=NL(,"27 Item","3 Description","1 No.","@@"&amp;F1728)</t>
  </si>
  <si>
    <t>=NL(,"27 Item","3 Description","1 No.","@@"&amp;F1729)</t>
  </si>
  <si>
    <t>=NL(,"27 Item","3 Description","1 No.","@@"&amp;F1730)</t>
  </si>
  <si>
    <t>=NL(,"27 Item","3 Description","1 No.","@@"&amp;F1731)</t>
  </si>
  <si>
    <t>=NL(,"27 Item","3 Description","1 No.","@@"&amp;F1732)</t>
  </si>
  <si>
    <t>=NL(,"27 Item","3 Description","1 No.","@@"&amp;F1733)</t>
  </si>
  <si>
    <t>=NL(,"27 Item","3 Description","1 No.","@@"&amp;F1734)</t>
  </si>
  <si>
    <t>=NL(,"27 Item","3 Description","1 No.","@@"&amp;F1735)</t>
  </si>
  <si>
    <t>=NL(,"27 Item","3 Description","1 No.","@@"&amp;F1736)</t>
  </si>
  <si>
    <t>=NL(,"27 Item","3 Description","1 No.","@@"&amp;F1737)</t>
  </si>
  <si>
    <t>=NL(,"27 Item","3 Description","1 No.","@@"&amp;F1738)</t>
  </si>
  <si>
    <t>=NL(,"27 Item","3 Description","1 No.","@@"&amp;F1739)</t>
  </si>
  <si>
    <t>=NL(,"27 Item","3 Description","1 No.","@@"&amp;F1740)</t>
  </si>
  <si>
    <t>=NL(,"27 Item","3 Description","1 No.","@@"&amp;F1741)</t>
  </si>
  <si>
    <t>=NL(,"27 Item","3 Description","1 No.","@@"&amp;F1742)</t>
  </si>
  <si>
    <t>=NL(,"27 Item","3 Description","1 No.","@@"&amp;F1743)</t>
  </si>
  <si>
    <t>=NL(,"27 Item","3 Description","1 No.","@@"&amp;F1744)</t>
  </si>
  <si>
    <t>=NL(,"27 Item","3 Description","1 No.","@@"&amp;F1745)</t>
  </si>
  <si>
    <t>=NL(,"27 Item","3 Description","1 No.","@@"&amp;F1746)</t>
  </si>
  <si>
    <t>=NL(,"27 Item","3 Description","1 No.","@@"&amp;F1747)</t>
  </si>
  <si>
    <t>=NL(,"27 Item","3 Description","1 No.","@@"&amp;F1748)</t>
  </si>
  <si>
    <t>=NL(,"27 Item","3 Description","1 No.","@@"&amp;F1749)</t>
  </si>
  <si>
    <t>=NL(,"27 Item","3 Description","1 No.","@@"&amp;F1750)</t>
  </si>
  <si>
    <t>=NL(,"27 Item","3 Description","1 No.","@@"&amp;F1751)</t>
  </si>
  <si>
    <t>=NL(,"27 Item","3 Description","1 No.","@@"&amp;F1752)</t>
  </si>
  <si>
    <t>=NL(,"27 Item","3 Description","1 No.","@@"&amp;F1753)</t>
  </si>
  <si>
    <t>=NL(,"27 Item","3 Description","1 No.","@@"&amp;F1754)</t>
  </si>
  <si>
    <t>=NL(,"27 Item","3 Description","1 No.","@@"&amp;F1755)</t>
  </si>
  <si>
    <t>=NL(,"27 Item","3 Description","1 No.","@@"&amp;F1756)</t>
  </si>
  <si>
    <t>=-NL("Sum","32 Item Ledger Entry","12 Quantity","5 Source no.",$C1728,"3 Posting Date",J$9,"4 Entry Type",$C$4,"2 Item No.","@@"&amp;$F1728)</t>
  </si>
  <si>
    <t>=-NL("Sum","32 Item Ledger Entry","12 Quantity","5 Source no.",$C1729,"3 Posting Date",J$9,"4 Entry Type",$C$4,"2 Item No.","@@"&amp;$F1729)</t>
  </si>
  <si>
    <t>=-NL("Sum","32 Item Ledger Entry","12 Quantity","5 Source no.",$C1730,"3 Posting Date",J$9,"4 Entry Type",$C$4,"2 Item No.","@@"&amp;$F1730)</t>
  </si>
  <si>
    <t>=-NL("Sum","32 Item Ledger Entry","12 Quantity","5 Source no.",$C1731,"3 Posting Date",J$9,"4 Entry Type",$C$4,"2 Item No.","@@"&amp;$F1731)</t>
  </si>
  <si>
    <t>=-NL("Sum","32 Item Ledger Entry","12 Quantity","5 Source no.",$C1732,"3 Posting Date",J$9,"4 Entry Type",$C$4,"2 Item No.","@@"&amp;$F1732)</t>
  </si>
  <si>
    <t>=-NL("Sum","32 Item Ledger Entry","12 Quantity","5 Source no.",$C1733,"3 Posting Date",J$9,"4 Entry Type",$C$4,"2 Item No.","@@"&amp;$F1733)</t>
  </si>
  <si>
    <t>=-NL("Sum","32 Item Ledger Entry","12 Quantity","5 Source no.",$C1734,"3 Posting Date",J$9,"4 Entry Type",$C$4,"2 Item No.","@@"&amp;$F1734)</t>
  </si>
  <si>
    <t>=-NL("Sum","32 Item Ledger Entry","12 Quantity","5 Source no.",$C1735,"3 Posting Date",J$9,"4 Entry Type",$C$4,"2 Item No.","@@"&amp;$F1735)</t>
  </si>
  <si>
    <t>=-NL("Sum","32 Item Ledger Entry","12 Quantity","5 Source no.",$C1736,"3 Posting Date",J$9,"4 Entry Type",$C$4,"2 Item No.","@@"&amp;$F1736)</t>
  </si>
  <si>
    <t>=-NL("Sum","32 Item Ledger Entry","12 Quantity","5 Source no.",$C1737,"3 Posting Date",J$9,"4 Entry Type",$C$4,"2 Item No.","@@"&amp;$F1737)</t>
  </si>
  <si>
    <t>=-NL("Sum","32 Item Ledger Entry","12 Quantity","5 Source no.",$C1738,"3 Posting Date",J$9,"4 Entry Type",$C$4,"2 Item No.","@@"&amp;$F1738)</t>
  </si>
  <si>
    <t>=-NL("Sum","32 Item Ledger Entry","12 Quantity","5 Source no.",$C1739,"3 Posting Date",J$9,"4 Entry Type",$C$4,"2 Item No.","@@"&amp;$F1739)</t>
  </si>
  <si>
    <t>=-NL("Sum","32 Item Ledger Entry","12 Quantity","5 Source no.",$C1740,"3 Posting Date",J$9,"4 Entry Type",$C$4,"2 Item No.","@@"&amp;$F1740)</t>
  </si>
  <si>
    <t>=-NL("Sum","32 Item Ledger Entry","12 Quantity","5 Source no.",$C1741,"3 Posting Date",J$9,"4 Entry Type",$C$4,"2 Item No.","@@"&amp;$F1741)</t>
  </si>
  <si>
    <t>=-NL("Sum","32 Item Ledger Entry","12 Quantity","5 Source no.",$C1742,"3 Posting Date",J$9,"4 Entry Type",$C$4,"2 Item No.","@@"&amp;$F1742)</t>
  </si>
  <si>
    <t>=-NL("Sum","32 Item Ledger Entry","12 Quantity","5 Source no.",$C1743,"3 Posting Date",J$9,"4 Entry Type",$C$4,"2 Item No.","@@"&amp;$F1743)</t>
  </si>
  <si>
    <t>=-NL("Sum","32 Item Ledger Entry","12 Quantity","5 Source no.",$C1744,"3 Posting Date",J$9,"4 Entry Type",$C$4,"2 Item No.","@@"&amp;$F1744)</t>
  </si>
  <si>
    <t>=-NL("Sum","32 Item Ledger Entry","12 Quantity","5 Source no.",$C1745,"3 Posting Date",J$9,"4 Entry Type",$C$4,"2 Item No.","@@"&amp;$F1745)</t>
  </si>
  <si>
    <t>=-NL("Sum","32 Item Ledger Entry","12 Quantity","5 Source no.",$C1746,"3 Posting Date",J$9,"4 Entry Type",$C$4,"2 Item No.","@@"&amp;$F1746)</t>
  </si>
  <si>
    <t>=-NL("Sum","32 Item Ledger Entry","12 Quantity","5 Source no.",$C1747,"3 Posting Date",J$9,"4 Entry Type",$C$4,"2 Item No.","@@"&amp;$F1747)</t>
  </si>
  <si>
    <t>=-NL("Sum","32 Item Ledger Entry","12 Quantity","5 Source no.",$C1748,"3 Posting Date",J$9,"4 Entry Type",$C$4,"2 Item No.","@@"&amp;$F1748)</t>
  </si>
  <si>
    <t>=-NL("Sum","32 Item Ledger Entry","12 Quantity","5 Source no.",$C1749,"3 Posting Date",J$9,"4 Entry Type",$C$4,"2 Item No.","@@"&amp;$F1749)</t>
  </si>
  <si>
    <t>=-NL("Sum","32 Item Ledger Entry","12 Quantity","5 Source no.",$C1750,"3 Posting Date",J$9,"4 Entry Type",$C$4,"2 Item No.","@@"&amp;$F1750)</t>
  </si>
  <si>
    <t>=-NL("Sum","32 Item Ledger Entry","12 Quantity","5 Source no.",$C1751,"3 Posting Date",J$9,"4 Entry Type",$C$4,"2 Item No.","@@"&amp;$F1751)</t>
  </si>
  <si>
    <t>=-NL("Sum","32 Item Ledger Entry","12 Quantity","5 Source no.",$C1752,"3 Posting Date",J$9,"4 Entry Type",$C$4,"2 Item No.","@@"&amp;$F1752)</t>
  </si>
  <si>
    <t>=-NL("Sum","32 Item Ledger Entry","12 Quantity","5 Source no.",$C1753,"3 Posting Date",J$9,"4 Entry Type",$C$4,"2 Item No.","@@"&amp;$F1753)</t>
  </si>
  <si>
    <t>=-NL("Sum","32 Item Ledger Entry","12 Quantity","5 Source no.",$C1754,"3 Posting Date",J$9,"4 Entry Type",$C$4,"2 Item No.","@@"&amp;$F1754)</t>
  </si>
  <si>
    <t>=-NL("Sum","32 Item Ledger Entry","12 Quantity","5 Source no.",$C1755,"3 Posting Date",J$9,"4 Entry Type",$C$4,"2 Item No.","@@"&amp;$F1755)</t>
  </si>
  <si>
    <t>=-NL("Sum","32 Item Ledger Entry","12 Quantity","5 Source no.",$C1756,"3 Posting Date",J$9,"4 Entry Type",$C$4,"2 Item No.","@@"&amp;$F1756)</t>
  </si>
  <si>
    <t>=-NL("Sum","32 Item Ledger Entry","12 Quantity","5 Source no.",$C1728,"3 Posting Date",O$9,"4 Entry Type",$C$4,"2 Item No.","@@"&amp;$F1728)</t>
  </si>
  <si>
    <t>=-NL("Sum","32 Item Ledger Entry","12 Quantity","5 Source no.",$C1729,"3 Posting Date",O$9,"4 Entry Type",$C$4,"2 Item No.","@@"&amp;$F1729)</t>
  </si>
  <si>
    <t>=-NL("Sum","32 Item Ledger Entry","12 Quantity","5 Source no.",$C1730,"3 Posting Date",O$9,"4 Entry Type",$C$4,"2 Item No.","@@"&amp;$F1730)</t>
  </si>
  <si>
    <t>=-NL("Sum","32 Item Ledger Entry","12 Quantity","5 Source no.",$C1731,"3 Posting Date",O$9,"4 Entry Type",$C$4,"2 Item No.","@@"&amp;$F1731)</t>
  </si>
  <si>
    <t>=-NL("Sum","32 Item Ledger Entry","12 Quantity","5 Source no.",$C1732,"3 Posting Date",O$9,"4 Entry Type",$C$4,"2 Item No.","@@"&amp;$F1732)</t>
  </si>
  <si>
    <t>=-NL("Sum","32 Item Ledger Entry","12 Quantity","5 Source no.",$C1733,"3 Posting Date",O$9,"4 Entry Type",$C$4,"2 Item No.","@@"&amp;$F1733)</t>
  </si>
  <si>
    <t>=-NL("Sum","32 Item Ledger Entry","12 Quantity","5 Source no.",$C1734,"3 Posting Date",O$9,"4 Entry Type",$C$4,"2 Item No.","@@"&amp;$F1734)</t>
  </si>
  <si>
    <t>=-NL("Sum","32 Item Ledger Entry","12 Quantity","5 Source no.",$C1735,"3 Posting Date",O$9,"4 Entry Type",$C$4,"2 Item No.","@@"&amp;$F1735)</t>
  </si>
  <si>
    <t>=-NL("Sum","32 Item Ledger Entry","12 Quantity","5 Source no.",$C1736,"3 Posting Date",O$9,"4 Entry Type",$C$4,"2 Item No.","@@"&amp;$F1736)</t>
  </si>
  <si>
    <t>=-NL("Sum","32 Item Ledger Entry","12 Quantity","5 Source no.",$C1737,"3 Posting Date",O$9,"4 Entry Type",$C$4,"2 Item No.","@@"&amp;$F1737)</t>
  </si>
  <si>
    <t>=-NL("Sum","32 Item Ledger Entry","12 Quantity","5 Source no.",$C1738,"3 Posting Date",O$9,"4 Entry Type",$C$4,"2 Item No.","@@"&amp;$F1738)</t>
  </si>
  <si>
    <t>=-NL("Sum","32 Item Ledger Entry","12 Quantity","5 Source no.",$C1739,"3 Posting Date",O$9,"4 Entry Type",$C$4,"2 Item No.","@@"&amp;$F1739)</t>
  </si>
  <si>
    <t>=-NL("Sum","32 Item Ledger Entry","12 Quantity","5 Source no.",$C1740,"3 Posting Date",O$9,"4 Entry Type",$C$4,"2 Item No.","@@"&amp;$F1740)</t>
  </si>
  <si>
    <t>=-NL("Sum","32 Item Ledger Entry","12 Quantity","5 Source no.",$C1741,"3 Posting Date",O$9,"4 Entry Type",$C$4,"2 Item No.","@@"&amp;$F1741)</t>
  </si>
  <si>
    <t>=-NL("Sum","32 Item Ledger Entry","12 Quantity","5 Source no.",$C1742,"3 Posting Date",O$9,"4 Entry Type",$C$4,"2 Item No.","@@"&amp;$F1742)</t>
  </si>
  <si>
    <t>=-NL("Sum","32 Item Ledger Entry","12 Quantity","5 Source no.",$C1743,"3 Posting Date",O$9,"4 Entry Type",$C$4,"2 Item No.","@@"&amp;$F1743)</t>
  </si>
  <si>
    <t>=-NL("Sum","32 Item Ledger Entry","12 Quantity","5 Source no.",$C1744,"3 Posting Date",O$9,"4 Entry Type",$C$4,"2 Item No.","@@"&amp;$F1744)</t>
  </si>
  <si>
    <t>=-NL("Sum","32 Item Ledger Entry","12 Quantity","5 Source no.",$C1745,"3 Posting Date",O$9,"4 Entry Type",$C$4,"2 Item No.","@@"&amp;$F1745)</t>
  </si>
  <si>
    <t>=-NL("Sum","32 Item Ledger Entry","12 Quantity","5 Source no.",$C1746,"3 Posting Date",O$9,"4 Entry Type",$C$4,"2 Item No.","@@"&amp;$F1746)</t>
  </si>
  <si>
    <t>=-NL("Sum","32 Item Ledger Entry","12 Quantity","5 Source no.",$C1747,"3 Posting Date",O$9,"4 Entry Type",$C$4,"2 Item No.","@@"&amp;$F1747)</t>
  </si>
  <si>
    <t>=-NL("Sum","32 Item Ledger Entry","12 Quantity","5 Source no.",$C1748,"3 Posting Date",O$9,"4 Entry Type",$C$4,"2 Item No.","@@"&amp;$F1748)</t>
  </si>
  <si>
    <t>=-NL("Sum","32 Item Ledger Entry","12 Quantity","5 Source no.",$C1749,"3 Posting Date",O$9,"4 Entry Type",$C$4,"2 Item No.","@@"&amp;$F1749)</t>
  </si>
  <si>
    <t>=-NL("Sum","32 Item Ledger Entry","12 Quantity","5 Source no.",$C1750,"3 Posting Date",O$9,"4 Entry Type",$C$4,"2 Item No.","@@"&amp;$F1750)</t>
  </si>
  <si>
    <t>=-NL("Sum","32 Item Ledger Entry","12 Quantity","5 Source no.",$C1751,"3 Posting Date",O$9,"4 Entry Type",$C$4,"2 Item No.","@@"&amp;$F1751)</t>
  </si>
  <si>
    <t>=-NL("Sum","32 Item Ledger Entry","12 Quantity","5 Source no.",$C1752,"3 Posting Date",O$9,"4 Entry Type",$C$4,"2 Item No.","@@"&amp;$F1752)</t>
  </si>
  <si>
    <t>=-NL("Sum","32 Item Ledger Entry","12 Quantity","5 Source no.",$C1753,"3 Posting Date",O$9,"4 Entry Type",$C$4,"2 Item No.","@@"&amp;$F1753)</t>
  </si>
  <si>
    <t>=-NL("Sum","32 Item Ledger Entry","12 Quantity","5 Source no.",$C1754,"3 Posting Date",O$9,"4 Entry Type",$C$4,"2 Item No.","@@"&amp;$F1754)</t>
  </si>
  <si>
    <t>=-NL("Sum","32 Item Ledger Entry","12 Quantity","5 Source no.",$C1755,"3 Posting Date",O$9,"4 Entry Type",$C$4,"2 Item No.","@@"&amp;$F1755)</t>
  </si>
  <si>
    <t>=-NL("Sum","32 Item Ledger Entry","12 Quantity","5 Source no.",$C1756,"3 Posting Date",O$9,"4 Entry Type",$C$4,"2 Item No.","@@"&amp;$F1756)</t>
  </si>
  <si>
    <t>=-NL("Sum","32 Item Ledger Entry","12 Quantity","5 Source no.",$C1728,"3 Posting Date",U$9,"4 Entry Type",$C$4,"2 Item No.","@@"&amp;$F1728)</t>
  </si>
  <si>
    <t>=-NL("Sum","32 Item Ledger Entry","12 Quantity","5 Source no.",$C1729,"3 Posting Date",U$9,"4 Entry Type",$C$4,"2 Item No.","@@"&amp;$F1729)</t>
  </si>
  <si>
    <t>=-NL("Sum","32 Item Ledger Entry","12 Quantity","5 Source no.",$C1730,"3 Posting Date",U$9,"4 Entry Type",$C$4,"2 Item No.","@@"&amp;$F1730)</t>
  </si>
  <si>
    <t>=-NL("Sum","32 Item Ledger Entry","12 Quantity","5 Source no.",$C1731,"3 Posting Date",U$9,"4 Entry Type",$C$4,"2 Item No.","@@"&amp;$F1731)</t>
  </si>
  <si>
    <t>=-NL("Sum","32 Item Ledger Entry","12 Quantity","5 Source no.",$C1732,"3 Posting Date",U$9,"4 Entry Type",$C$4,"2 Item No.","@@"&amp;$F1732)</t>
  </si>
  <si>
    <t>=-NL("Sum","32 Item Ledger Entry","12 Quantity","5 Source no.",$C1733,"3 Posting Date",U$9,"4 Entry Type",$C$4,"2 Item No.","@@"&amp;$F1733)</t>
  </si>
  <si>
    <t>=-NL("Sum","32 Item Ledger Entry","12 Quantity","5 Source no.",$C1734,"3 Posting Date",U$9,"4 Entry Type",$C$4,"2 Item No.","@@"&amp;$F1734)</t>
  </si>
  <si>
    <t>=-NL("Sum","32 Item Ledger Entry","12 Quantity","5 Source no.",$C1735,"3 Posting Date",U$9,"4 Entry Type",$C$4,"2 Item No.","@@"&amp;$F1735)</t>
  </si>
  <si>
    <t>=-NL("Sum","32 Item Ledger Entry","12 Quantity","5 Source no.",$C1736,"3 Posting Date",U$9,"4 Entry Type",$C$4,"2 Item No.","@@"&amp;$F1736)</t>
  </si>
  <si>
    <t>=-NL("Sum","32 Item Ledger Entry","12 Quantity","5 Source no.",$C1737,"3 Posting Date",U$9,"4 Entry Type",$C$4,"2 Item No.","@@"&amp;$F1737)</t>
  </si>
  <si>
    <t>=-NL("Sum","32 Item Ledger Entry","12 Quantity","5 Source no.",$C1738,"3 Posting Date",U$9,"4 Entry Type",$C$4,"2 Item No.","@@"&amp;$F1738)</t>
  </si>
  <si>
    <t>=-NL("Sum","32 Item Ledger Entry","12 Quantity","5 Source no.",$C1739,"3 Posting Date",U$9,"4 Entry Type",$C$4,"2 Item No.","@@"&amp;$F1739)</t>
  </si>
  <si>
    <t>=-NL("Sum","32 Item Ledger Entry","12 Quantity","5 Source no.",$C1740,"3 Posting Date",U$9,"4 Entry Type",$C$4,"2 Item No.","@@"&amp;$F1740)</t>
  </si>
  <si>
    <t>=-NL("Sum","32 Item Ledger Entry","12 Quantity","5 Source no.",$C1741,"3 Posting Date",U$9,"4 Entry Type",$C$4,"2 Item No.","@@"&amp;$F1741)</t>
  </si>
  <si>
    <t>=-NL("Sum","32 Item Ledger Entry","12 Quantity","5 Source no.",$C1742,"3 Posting Date",U$9,"4 Entry Type",$C$4,"2 Item No.","@@"&amp;$F1742)</t>
  </si>
  <si>
    <t>=-NL("Sum","32 Item Ledger Entry","12 Quantity","5 Source no.",$C1743,"3 Posting Date",U$9,"4 Entry Type",$C$4,"2 Item No.","@@"&amp;$F1743)</t>
  </si>
  <si>
    <t>=-NL("Sum","32 Item Ledger Entry","12 Quantity","5 Source no.",$C1744,"3 Posting Date",U$9,"4 Entry Type",$C$4,"2 Item No.","@@"&amp;$F1744)</t>
  </si>
  <si>
    <t>=-NL("Sum","32 Item Ledger Entry","12 Quantity","5 Source no.",$C1745,"3 Posting Date",U$9,"4 Entry Type",$C$4,"2 Item No.","@@"&amp;$F1745)</t>
  </si>
  <si>
    <t>=-NL("Sum","32 Item Ledger Entry","12 Quantity","5 Source no.",$C1746,"3 Posting Date",U$9,"4 Entry Type",$C$4,"2 Item No.","@@"&amp;$F1746)</t>
  </si>
  <si>
    <t>=-NL("Sum","32 Item Ledger Entry","12 Quantity","5 Source no.",$C1747,"3 Posting Date",U$9,"4 Entry Type",$C$4,"2 Item No.","@@"&amp;$F1747)</t>
  </si>
  <si>
    <t>=-NL("Sum","32 Item Ledger Entry","12 Quantity","5 Source no.",$C1748,"3 Posting Date",U$9,"4 Entry Type",$C$4,"2 Item No.","@@"&amp;$F1748)</t>
  </si>
  <si>
    <t>=-NL("Sum","32 Item Ledger Entry","12 Quantity","5 Source no.",$C1749,"3 Posting Date",U$9,"4 Entry Type",$C$4,"2 Item No.","@@"&amp;$F1749)</t>
  </si>
  <si>
    <t>=-NL("Sum","32 Item Ledger Entry","12 Quantity","5 Source no.",$C1750,"3 Posting Date",U$9,"4 Entry Type",$C$4,"2 Item No.","@@"&amp;$F1750)</t>
  </si>
  <si>
    <t>=-NL("Sum","32 Item Ledger Entry","12 Quantity","5 Source no.",$C1751,"3 Posting Date",U$9,"4 Entry Type",$C$4,"2 Item No.","@@"&amp;$F1751)</t>
  </si>
  <si>
    <t>=-NL("Sum","32 Item Ledger Entry","12 Quantity","5 Source no.",$C1752,"3 Posting Date",U$9,"4 Entry Type",$C$4,"2 Item No.","@@"&amp;$F1752)</t>
  </si>
  <si>
    <t>=-NL("Sum","32 Item Ledger Entry","12 Quantity","5 Source no.",$C1753,"3 Posting Date",U$9,"4 Entry Type",$C$4,"2 Item No.","@@"&amp;$F1753)</t>
  </si>
  <si>
    <t>=-NL("Sum","32 Item Ledger Entry","12 Quantity","5 Source no.",$C1754,"3 Posting Date",U$9,"4 Entry Type",$C$4,"2 Item No.","@@"&amp;$F1754)</t>
  </si>
  <si>
    <t>=-NL("Sum","32 Item Ledger Entry","12 Quantity","5 Source no.",$C1755,"3 Posting Date",U$9,"4 Entry Type",$C$4,"2 Item No.","@@"&amp;$F1755)</t>
  </si>
  <si>
    <t>=-NL("Sum","32 Item Ledger Entry","12 Quantity","5 Source no.",$C1756,"3 Posting Date",U$9,"4 Entry Type",$C$4,"2 Item No.","@@"&amp;$F1756)</t>
  </si>
  <si>
    <t>=-NL("Sum","32 Item Ledger Entry","12 Quantity","5 Source no.",$C1728,"3 Posting Date",Z$9,"4 Entry Type",$C$4,"2 Item No.","@@"&amp;$F1728)</t>
  </si>
  <si>
    <t>=-NL("Sum","32 Item Ledger Entry","12 Quantity","5 Source no.",$C1729,"3 Posting Date",Z$9,"4 Entry Type",$C$4,"2 Item No.","@@"&amp;$F1729)</t>
  </si>
  <si>
    <t>=-NL("Sum","32 Item Ledger Entry","12 Quantity","5 Source no.",$C1730,"3 Posting Date",Z$9,"4 Entry Type",$C$4,"2 Item No.","@@"&amp;$F1730)</t>
  </si>
  <si>
    <t>=-NL("Sum","32 Item Ledger Entry","12 Quantity","5 Source no.",$C1731,"3 Posting Date",Z$9,"4 Entry Type",$C$4,"2 Item No.","@@"&amp;$F1731)</t>
  </si>
  <si>
    <t>=-NL("Sum","32 Item Ledger Entry","12 Quantity","5 Source no.",$C1732,"3 Posting Date",Z$9,"4 Entry Type",$C$4,"2 Item No.","@@"&amp;$F1732)</t>
  </si>
  <si>
    <t>=-NL("Sum","32 Item Ledger Entry","12 Quantity","5 Source no.",$C1733,"3 Posting Date",Z$9,"4 Entry Type",$C$4,"2 Item No.","@@"&amp;$F1733)</t>
  </si>
  <si>
    <t>=-NL("Sum","32 Item Ledger Entry","12 Quantity","5 Source no.",$C1734,"3 Posting Date",Z$9,"4 Entry Type",$C$4,"2 Item No.","@@"&amp;$F1734)</t>
  </si>
  <si>
    <t>=-NL("Sum","32 Item Ledger Entry","12 Quantity","5 Source no.",$C1735,"3 Posting Date",Z$9,"4 Entry Type",$C$4,"2 Item No.","@@"&amp;$F1735)</t>
  </si>
  <si>
    <t>=-NL("Sum","32 Item Ledger Entry","12 Quantity","5 Source no.",$C1736,"3 Posting Date",Z$9,"4 Entry Type",$C$4,"2 Item No.","@@"&amp;$F1736)</t>
  </si>
  <si>
    <t>=-NL("Sum","32 Item Ledger Entry","12 Quantity","5 Source no.",$C1737,"3 Posting Date",Z$9,"4 Entry Type",$C$4,"2 Item No.","@@"&amp;$F1737)</t>
  </si>
  <si>
    <t>=-NL("Sum","32 Item Ledger Entry","12 Quantity","5 Source no.",$C1738,"3 Posting Date",Z$9,"4 Entry Type",$C$4,"2 Item No.","@@"&amp;$F1738)</t>
  </si>
  <si>
    <t>=-NL("Sum","32 Item Ledger Entry","12 Quantity","5 Source no.",$C1739,"3 Posting Date",Z$9,"4 Entry Type",$C$4,"2 Item No.","@@"&amp;$F1739)</t>
  </si>
  <si>
    <t>=-NL("Sum","32 Item Ledger Entry","12 Quantity","5 Source no.",$C1740,"3 Posting Date",Z$9,"4 Entry Type",$C$4,"2 Item No.","@@"&amp;$F1740)</t>
  </si>
  <si>
    <t>=-NL("Sum","32 Item Ledger Entry","12 Quantity","5 Source no.",$C1741,"3 Posting Date",Z$9,"4 Entry Type",$C$4,"2 Item No.","@@"&amp;$F1741)</t>
  </si>
  <si>
    <t>=-NL("Sum","32 Item Ledger Entry","12 Quantity","5 Source no.",$C1742,"3 Posting Date",Z$9,"4 Entry Type",$C$4,"2 Item No.","@@"&amp;$F1742)</t>
  </si>
  <si>
    <t>=-NL("Sum","32 Item Ledger Entry","12 Quantity","5 Source no.",$C1743,"3 Posting Date",Z$9,"4 Entry Type",$C$4,"2 Item No.","@@"&amp;$F1743)</t>
  </si>
  <si>
    <t>=-NL("Sum","32 Item Ledger Entry","12 Quantity","5 Source no.",$C1744,"3 Posting Date",Z$9,"4 Entry Type",$C$4,"2 Item No.","@@"&amp;$F1744)</t>
  </si>
  <si>
    <t>=-NL("Sum","32 Item Ledger Entry","12 Quantity","5 Source no.",$C1745,"3 Posting Date",Z$9,"4 Entry Type",$C$4,"2 Item No.","@@"&amp;$F1745)</t>
  </si>
  <si>
    <t>=-NL("Sum","32 Item Ledger Entry","12 Quantity","5 Source no.",$C1746,"3 Posting Date",Z$9,"4 Entry Type",$C$4,"2 Item No.","@@"&amp;$F1746)</t>
  </si>
  <si>
    <t>=-NL("Sum","32 Item Ledger Entry","12 Quantity","5 Source no.",$C1747,"3 Posting Date",Z$9,"4 Entry Type",$C$4,"2 Item No.","@@"&amp;$F1747)</t>
  </si>
  <si>
    <t>=-NL("Sum","32 Item Ledger Entry","12 Quantity","5 Source no.",$C1748,"3 Posting Date",Z$9,"4 Entry Type",$C$4,"2 Item No.","@@"&amp;$F1748)</t>
  </si>
  <si>
    <t>=-NL("Sum","32 Item Ledger Entry","12 Quantity","5 Source no.",$C1749,"3 Posting Date",Z$9,"4 Entry Type",$C$4,"2 Item No.","@@"&amp;$F1749)</t>
  </si>
  <si>
    <t>=-NL("Sum","32 Item Ledger Entry","12 Quantity","5 Source no.",$C1750,"3 Posting Date",Z$9,"4 Entry Type",$C$4,"2 Item No.","@@"&amp;$F1750)</t>
  </si>
  <si>
    <t>=-NL("Sum","32 Item Ledger Entry","12 Quantity","5 Source no.",$C1751,"3 Posting Date",Z$9,"4 Entry Type",$C$4,"2 Item No.","@@"&amp;$F1751)</t>
  </si>
  <si>
    <t>=-NL("Sum","32 Item Ledger Entry","12 Quantity","5 Source no.",$C1752,"3 Posting Date",Z$9,"4 Entry Type",$C$4,"2 Item No.","@@"&amp;$F1752)</t>
  </si>
  <si>
    <t>=-NL("Sum","32 Item Ledger Entry","12 Quantity","5 Source no.",$C1753,"3 Posting Date",Z$9,"4 Entry Type",$C$4,"2 Item No.","@@"&amp;$F1753)</t>
  </si>
  <si>
    <t>=-NL("Sum","32 Item Ledger Entry","12 Quantity","5 Source no.",$C1754,"3 Posting Date",Z$9,"4 Entry Type",$C$4,"2 Item No.","@@"&amp;$F1754)</t>
  </si>
  <si>
    <t>=-NL("Sum","32 Item Ledger Entry","12 Quantity","5 Source no.",$C1755,"3 Posting Date",Z$9,"4 Entry Type",$C$4,"2 Item No.","@@"&amp;$F1755)</t>
  </si>
  <si>
    <t>=-NL("Sum","32 Item Ledger Entry","12 Quantity","5 Source no.",$C1756,"3 Posting Date",Z$9,"4 Entry Type",$C$4,"2 Item No.","@@"&amp;$F1756)</t>
  </si>
  <si>
    <t>=NL(,"27 Item","3 Description","1 No.","@@"&amp;F1693)</t>
  </si>
  <si>
    <t>=NL(,"27 Item","3 Description","1 No.","@@"&amp;F1694)</t>
  </si>
  <si>
    <t>=NL(,"27 Item","3 Description","1 No.","@@"&amp;F1695)</t>
  </si>
  <si>
    <t>=NL(,"27 Item","3 Description","1 No.","@@"&amp;F1696)</t>
  </si>
  <si>
    <t>=NL(,"27 Item","3 Description","1 No.","@@"&amp;F1697)</t>
  </si>
  <si>
    <t>=NL(,"27 Item","3 Description","1 No.","@@"&amp;F1698)</t>
  </si>
  <si>
    <t>=NL(,"27 Item","3 Description","1 No.","@@"&amp;F1699)</t>
  </si>
  <si>
    <t>=NL(,"27 Item","3 Description","1 No.","@@"&amp;F1700)</t>
  </si>
  <si>
    <t>=NL(,"27 Item","3 Description","1 No.","@@"&amp;F1701)</t>
  </si>
  <si>
    <t>=NL(,"27 Item","3 Description","1 No.","@@"&amp;F1702)</t>
  </si>
  <si>
    <t>=NL(,"27 Item","3 Description","1 No.","@@"&amp;F1703)</t>
  </si>
  <si>
    <t>=NL(,"27 Item","3 Description","1 No.","@@"&amp;F1704)</t>
  </si>
  <si>
    <t>=NL(,"27 Item","3 Description","1 No.","@@"&amp;F1705)</t>
  </si>
  <si>
    <t>=NL(,"27 Item","3 Description","1 No.","@@"&amp;F1706)</t>
  </si>
  <si>
    <t>=NL(,"27 Item","3 Description","1 No.","@@"&amp;F1707)</t>
  </si>
  <si>
    <t>=NL(,"27 Item","3 Description","1 No.","@@"&amp;F1708)</t>
  </si>
  <si>
    <t>=NL(,"27 Item","3 Description","1 No.","@@"&amp;F1709)</t>
  </si>
  <si>
    <t>=NL(,"27 Item","3 Description","1 No.","@@"&amp;F1710)</t>
  </si>
  <si>
    <t>=NL(,"27 Item","3 Description","1 No.","@@"&amp;F1711)</t>
  </si>
  <si>
    <t>=NL(,"27 Item","3 Description","1 No.","@@"&amp;F1712)</t>
  </si>
  <si>
    <t>=NL(,"27 Item","3 Description","1 No.","@@"&amp;F1713)</t>
  </si>
  <si>
    <t>=NL(,"27 Item","3 Description","1 No.","@@"&amp;F1714)</t>
  </si>
  <si>
    <t>=NL(,"27 Item","3 Description","1 No.","@@"&amp;F1715)</t>
  </si>
  <si>
    <t>=NL(,"27 Item","3 Description","1 No.","@@"&amp;F1716)</t>
  </si>
  <si>
    <t>=NL(,"27 Item","3 Description","1 No.","@@"&amp;F1717)</t>
  </si>
  <si>
    <t>=NL(,"27 Item","3 Description","1 No.","@@"&amp;F1718)</t>
  </si>
  <si>
    <t>=NL(,"27 Item","3 Description","1 No.","@@"&amp;F1719)</t>
  </si>
  <si>
    <t>=NL(,"27 Item","3 Description","1 No.","@@"&amp;F1720)</t>
  </si>
  <si>
    <t>=NL(,"27 Item","3 Description","1 No.","@@"&amp;F1721)</t>
  </si>
  <si>
    <t>=NL(,"27 Item","3 Description","1 No.","@@"&amp;F1722)</t>
  </si>
  <si>
    <t>=-NL("Sum","32 Item Ledger Entry","12 Quantity","5 Source no.",$C1693,"3 Posting Date",J$9,"4 Entry Type",$C$4,"2 Item No.","@@"&amp;$F1693)</t>
  </si>
  <si>
    <t>=-NL("Sum","32 Item Ledger Entry","12 Quantity","5 Source no.",$C1694,"3 Posting Date",J$9,"4 Entry Type",$C$4,"2 Item No.","@@"&amp;$F1694)</t>
  </si>
  <si>
    <t>=-NL("Sum","32 Item Ledger Entry","12 Quantity","5 Source no.",$C1695,"3 Posting Date",J$9,"4 Entry Type",$C$4,"2 Item No.","@@"&amp;$F1695)</t>
  </si>
  <si>
    <t>=-NL("Sum","32 Item Ledger Entry","12 Quantity","5 Source no.",$C1696,"3 Posting Date",J$9,"4 Entry Type",$C$4,"2 Item No.","@@"&amp;$F1696)</t>
  </si>
  <si>
    <t>=-NL("Sum","32 Item Ledger Entry","12 Quantity","5 Source no.",$C1697,"3 Posting Date",J$9,"4 Entry Type",$C$4,"2 Item No.","@@"&amp;$F1697)</t>
  </si>
  <si>
    <t>=-NL("Sum","32 Item Ledger Entry","12 Quantity","5 Source no.",$C1698,"3 Posting Date",J$9,"4 Entry Type",$C$4,"2 Item No.","@@"&amp;$F1698)</t>
  </si>
  <si>
    <t>=-NL("Sum","32 Item Ledger Entry","12 Quantity","5 Source no.",$C1699,"3 Posting Date",J$9,"4 Entry Type",$C$4,"2 Item No.","@@"&amp;$F1699)</t>
  </si>
  <si>
    <t>=-NL("Sum","32 Item Ledger Entry","12 Quantity","5 Source no.",$C1700,"3 Posting Date",J$9,"4 Entry Type",$C$4,"2 Item No.","@@"&amp;$F1700)</t>
  </si>
  <si>
    <t>=-NL("Sum","32 Item Ledger Entry","12 Quantity","5 Source no.",$C1701,"3 Posting Date",J$9,"4 Entry Type",$C$4,"2 Item No.","@@"&amp;$F1701)</t>
  </si>
  <si>
    <t>=-NL("Sum","32 Item Ledger Entry","12 Quantity","5 Source no.",$C1702,"3 Posting Date",J$9,"4 Entry Type",$C$4,"2 Item No.","@@"&amp;$F1702)</t>
  </si>
  <si>
    <t>=-NL("Sum","32 Item Ledger Entry","12 Quantity","5 Source no.",$C1703,"3 Posting Date",J$9,"4 Entry Type",$C$4,"2 Item No.","@@"&amp;$F1703)</t>
  </si>
  <si>
    <t>=-NL("Sum","32 Item Ledger Entry","12 Quantity","5 Source no.",$C1704,"3 Posting Date",J$9,"4 Entry Type",$C$4,"2 Item No.","@@"&amp;$F1704)</t>
  </si>
  <si>
    <t>=-NL("Sum","32 Item Ledger Entry","12 Quantity","5 Source no.",$C1705,"3 Posting Date",J$9,"4 Entry Type",$C$4,"2 Item No.","@@"&amp;$F1705)</t>
  </si>
  <si>
    <t>=-NL("Sum","32 Item Ledger Entry","12 Quantity","5 Source no.",$C1706,"3 Posting Date",J$9,"4 Entry Type",$C$4,"2 Item No.","@@"&amp;$F1706)</t>
  </si>
  <si>
    <t>=-NL("Sum","32 Item Ledger Entry","12 Quantity","5 Source no.",$C1707,"3 Posting Date",J$9,"4 Entry Type",$C$4,"2 Item No.","@@"&amp;$F1707)</t>
  </si>
  <si>
    <t>=-NL("Sum","32 Item Ledger Entry","12 Quantity","5 Source no.",$C1708,"3 Posting Date",J$9,"4 Entry Type",$C$4,"2 Item No.","@@"&amp;$F1708)</t>
  </si>
  <si>
    <t>=-NL("Sum","32 Item Ledger Entry","12 Quantity","5 Source no.",$C1709,"3 Posting Date",J$9,"4 Entry Type",$C$4,"2 Item No.","@@"&amp;$F1709)</t>
  </si>
  <si>
    <t>=-NL("Sum","32 Item Ledger Entry","12 Quantity","5 Source no.",$C1710,"3 Posting Date",J$9,"4 Entry Type",$C$4,"2 Item No.","@@"&amp;$F1710)</t>
  </si>
  <si>
    <t>=-NL("Sum","32 Item Ledger Entry","12 Quantity","5 Source no.",$C1711,"3 Posting Date",J$9,"4 Entry Type",$C$4,"2 Item No.","@@"&amp;$F1711)</t>
  </si>
  <si>
    <t>=-NL("Sum","32 Item Ledger Entry","12 Quantity","5 Source no.",$C1712,"3 Posting Date",J$9,"4 Entry Type",$C$4,"2 Item No.","@@"&amp;$F1712)</t>
  </si>
  <si>
    <t>=-NL("Sum","32 Item Ledger Entry","12 Quantity","5 Source no.",$C1713,"3 Posting Date",J$9,"4 Entry Type",$C$4,"2 Item No.","@@"&amp;$F1713)</t>
  </si>
  <si>
    <t>=-NL("Sum","32 Item Ledger Entry","12 Quantity","5 Source no.",$C1714,"3 Posting Date",J$9,"4 Entry Type",$C$4,"2 Item No.","@@"&amp;$F1714)</t>
  </si>
  <si>
    <t>=-NL("Sum","32 Item Ledger Entry","12 Quantity","5 Source no.",$C1715,"3 Posting Date",J$9,"4 Entry Type",$C$4,"2 Item No.","@@"&amp;$F1715)</t>
  </si>
  <si>
    <t>=-NL("Sum","32 Item Ledger Entry","12 Quantity","5 Source no.",$C1716,"3 Posting Date",J$9,"4 Entry Type",$C$4,"2 Item No.","@@"&amp;$F1716)</t>
  </si>
  <si>
    <t>=-NL("Sum","32 Item Ledger Entry","12 Quantity","5 Source no.",$C1717,"3 Posting Date",J$9,"4 Entry Type",$C$4,"2 Item No.","@@"&amp;$F1717)</t>
  </si>
  <si>
    <t>=-NL("Sum","32 Item Ledger Entry","12 Quantity","5 Source no.",$C1718,"3 Posting Date",J$9,"4 Entry Type",$C$4,"2 Item No.","@@"&amp;$F1718)</t>
  </si>
  <si>
    <t>=-NL("Sum","32 Item Ledger Entry","12 Quantity","5 Source no.",$C1719,"3 Posting Date",J$9,"4 Entry Type",$C$4,"2 Item No.","@@"&amp;$F1719)</t>
  </si>
  <si>
    <t>=-NL("Sum","32 Item Ledger Entry","12 Quantity","5 Source no.",$C1720,"3 Posting Date",J$9,"4 Entry Type",$C$4,"2 Item No.","@@"&amp;$F1720)</t>
  </si>
  <si>
    <t>=-NL("Sum","32 Item Ledger Entry","12 Quantity","5 Source no.",$C1721,"3 Posting Date",J$9,"4 Entry Type",$C$4,"2 Item No.","@@"&amp;$F1721)</t>
  </si>
  <si>
    <t>=-NL("Sum","32 Item Ledger Entry","12 Quantity","5 Source no.",$C1722,"3 Posting Date",J$9,"4 Entry Type",$C$4,"2 Item No.","@@"&amp;$F1722)</t>
  </si>
  <si>
    <t>=-NL("Sum","32 Item Ledger Entry","12 Quantity","5 Source no.",$C1693,"3 Posting Date",O$9,"4 Entry Type",$C$4,"2 Item No.","@@"&amp;$F1693)</t>
  </si>
  <si>
    <t>=-NL("Sum","32 Item Ledger Entry","12 Quantity","5 Source no.",$C1694,"3 Posting Date",O$9,"4 Entry Type",$C$4,"2 Item No.","@@"&amp;$F1694)</t>
  </si>
  <si>
    <t>=-NL("Sum","32 Item Ledger Entry","12 Quantity","5 Source no.",$C1695,"3 Posting Date",O$9,"4 Entry Type",$C$4,"2 Item No.","@@"&amp;$F1695)</t>
  </si>
  <si>
    <t>=-NL("Sum","32 Item Ledger Entry","12 Quantity","5 Source no.",$C1696,"3 Posting Date",O$9,"4 Entry Type",$C$4,"2 Item No.","@@"&amp;$F1696)</t>
  </si>
  <si>
    <t>=-NL("Sum","32 Item Ledger Entry","12 Quantity","5 Source no.",$C1697,"3 Posting Date",O$9,"4 Entry Type",$C$4,"2 Item No.","@@"&amp;$F1697)</t>
  </si>
  <si>
    <t>=-NL("Sum","32 Item Ledger Entry","12 Quantity","5 Source no.",$C1698,"3 Posting Date",O$9,"4 Entry Type",$C$4,"2 Item No.","@@"&amp;$F1698)</t>
  </si>
  <si>
    <t>=-NL("Sum","32 Item Ledger Entry","12 Quantity","5 Source no.",$C1699,"3 Posting Date",O$9,"4 Entry Type",$C$4,"2 Item No.","@@"&amp;$F1699)</t>
  </si>
  <si>
    <t>=-NL("Sum","32 Item Ledger Entry","12 Quantity","5 Source no.",$C1700,"3 Posting Date",O$9,"4 Entry Type",$C$4,"2 Item No.","@@"&amp;$F1700)</t>
  </si>
  <si>
    <t>=-NL("Sum","32 Item Ledger Entry","12 Quantity","5 Source no.",$C1701,"3 Posting Date",O$9,"4 Entry Type",$C$4,"2 Item No.","@@"&amp;$F1701)</t>
  </si>
  <si>
    <t>=-NL("Sum","32 Item Ledger Entry","12 Quantity","5 Source no.",$C1702,"3 Posting Date",O$9,"4 Entry Type",$C$4,"2 Item No.","@@"&amp;$F1702)</t>
  </si>
  <si>
    <t>=-NL("Sum","32 Item Ledger Entry","12 Quantity","5 Source no.",$C1703,"3 Posting Date",O$9,"4 Entry Type",$C$4,"2 Item No.","@@"&amp;$F1703)</t>
  </si>
  <si>
    <t>=-NL("Sum","32 Item Ledger Entry","12 Quantity","5 Source no.",$C1704,"3 Posting Date",O$9,"4 Entry Type",$C$4,"2 Item No.","@@"&amp;$F1704)</t>
  </si>
  <si>
    <t>=-NL("Sum","32 Item Ledger Entry","12 Quantity","5 Source no.",$C1705,"3 Posting Date",O$9,"4 Entry Type",$C$4,"2 Item No.","@@"&amp;$F1705)</t>
  </si>
  <si>
    <t>=-NL("Sum","32 Item Ledger Entry","12 Quantity","5 Source no.",$C1706,"3 Posting Date",O$9,"4 Entry Type",$C$4,"2 Item No.","@@"&amp;$F1706)</t>
  </si>
  <si>
    <t>=-NL("Sum","32 Item Ledger Entry","12 Quantity","5 Source no.",$C1707,"3 Posting Date",O$9,"4 Entry Type",$C$4,"2 Item No.","@@"&amp;$F1707)</t>
  </si>
  <si>
    <t>=-NL("Sum","32 Item Ledger Entry","12 Quantity","5 Source no.",$C1708,"3 Posting Date",O$9,"4 Entry Type",$C$4,"2 Item No.","@@"&amp;$F1708)</t>
  </si>
  <si>
    <t>=-NL("Sum","32 Item Ledger Entry","12 Quantity","5 Source no.",$C1709,"3 Posting Date",O$9,"4 Entry Type",$C$4,"2 Item No.","@@"&amp;$F1709)</t>
  </si>
  <si>
    <t>=-NL("Sum","32 Item Ledger Entry","12 Quantity","5 Source no.",$C1710,"3 Posting Date",O$9,"4 Entry Type",$C$4,"2 Item No.","@@"&amp;$F1710)</t>
  </si>
  <si>
    <t>=-NL("Sum","32 Item Ledger Entry","12 Quantity","5 Source no.",$C1711,"3 Posting Date",O$9,"4 Entry Type",$C$4,"2 Item No.","@@"&amp;$F1711)</t>
  </si>
  <si>
    <t>=-NL("Sum","32 Item Ledger Entry","12 Quantity","5 Source no.",$C1712,"3 Posting Date",O$9,"4 Entry Type",$C$4,"2 Item No.","@@"&amp;$F1712)</t>
  </si>
  <si>
    <t>=-NL("Sum","32 Item Ledger Entry","12 Quantity","5 Source no.",$C1713,"3 Posting Date",O$9,"4 Entry Type",$C$4,"2 Item No.","@@"&amp;$F1713)</t>
  </si>
  <si>
    <t>=-NL("Sum","32 Item Ledger Entry","12 Quantity","5 Source no.",$C1714,"3 Posting Date",O$9,"4 Entry Type",$C$4,"2 Item No.","@@"&amp;$F1714)</t>
  </si>
  <si>
    <t>=-NL("Sum","32 Item Ledger Entry","12 Quantity","5 Source no.",$C1715,"3 Posting Date",O$9,"4 Entry Type",$C$4,"2 Item No.","@@"&amp;$F1715)</t>
  </si>
  <si>
    <t>=-NL("Sum","32 Item Ledger Entry","12 Quantity","5 Source no.",$C1716,"3 Posting Date",O$9,"4 Entry Type",$C$4,"2 Item No.","@@"&amp;$F1716)</t>
  </si>
  <si>
    <t>=-NL("Sum","32 Item Ledger Entry","12 Quantity","5 Source no.",$C1717,"3 Posting Date",O$9,"4 Entry Type",$C$4,"2 Item No.","@@"&amp;$F1717)</t>
  </si>
  <si>
    <t>=-NL("Sum","32 Item Ledger Entry","12 Quantity","5 Source no.",$C1718,"3 Posting Date",O$9,"4 Entry Type",$C$4,"2 Item No.","@@"&amp;$F1718)</t>
  </si>
  <si>
    <t>=-NL("Sum","32 Item Ledger Entry","12 Quantity","5 Source no.",$C1719,"3 Posting Date",O$9,"4 Entry Type",$C$4,"2 Item No.","@@"&amp;$F1719)</t>
  </si>
  <si>
    <t>=-NL("Sum","32 Item Ledger Entry","12 Quantity","5 Source no.",$C1720,"3 Posting Date",O$9,"4 Entry Type",$C$4,"2 Item No.","@@"&amp;$F1720)</t>
  </si>
  <si>
    <t>=-NL("Sum","32 Item Ledger Entry","12 Quantity","5 Source no.",$C1721,"3 Posting Date",O$9,"4 Entry Type",$C$4,"2 Item No.","@@"&amp;$F1721)</t>
  </si>
  <si>
    <t>=-NL("Sum","32 Item Ledger Entry","12 Quantity","5 Source no.",$C1722,"3 Posting Date",O$9,"4 Entry Type",$C$4,"2 Item No.","@@"&amp;$F1722)</t>
  </si>
  <si>
    <t>=-NL("Sum","32 Item Ledger Entry","12 Quantity","5 Source no.",$C1693,"3 Posting Date",U$9,"4 Entry Type",$C$4,"2 Item No.","@@"&amp;$F1693)</t>
  </si>
  <si>
    <t>=-NL("Sum","32 Item Ledger Entry","12 Quantity","5 Source no.",$C1694,"3 Posting Date",U$9,"4 Entry Type",$C$4,"2 Item No.","@@"&amp;$F1694)</t>
  </si>
  <si>
    <t>=-NL("Sum","32 Item Ledger Entry","12 Quantity","5 Source no.",$C1695,"3 Posting Date",U$9,"4 Entry Type",$C$4,"2 Item No.","@@"&amp;$F1695)</t>
  </si>
  <si>
    <t>=-NL("Sum","32 Item Ledger Entry","12 Quantity","5 Source no.",$C1696,"3 Posting Date",U$9,"4 Entry Type",$C$4,"2 Item No.","@@"&amp;$F1696)</t>
  </si>
  <si>
    <t>=-NL("Sum","32 Item Ledger Entry","12 Quantity","5 Source no.",$C1697,"3 Posting Date",U$9,"4 Entry Type",$C$4,"2 Item No.","@@"&amp;$F1697)</t>
  </si>
  <si>
    <t>=-NL("Sum","32 Item Ledger Entry","12 Quantity","5 Source no.",$C1698,"3 Posting Date",U$9,"4 Entry Type",$C$4,"2 Item No.","@@"&amp;$F1698)</t>
  </si>
  <si>
    <t>=-NL("Sum","32 Item Ledger Entry","12 Quantity","5 Source no.",$C1699,"3 Posting Date",U$9,"4 Entry Type",$C$4,"2 Item No.","@@"&amp;$F1699)</t>
  </si>
  <si>
    <t>=-NL("Sum","32 Item Ledger Entry","12 Quantity","5 Source no.",$C1700,"3 Posting Date",U$9,"4 Entry Type",$C$4,"2 Item No.","@@"&amp;$F1700)</t>
  </si>
  <si>
    <t>=-NL("Sum","32 Item Ledger Entry","12 Quantity","5 Source no.",$C1701,"3 Posting Date",U$9,"4 Entry Type",$C$4,"2 Item No.","@@"&amp;$F1701)</t>
  </si>
  <si>
    <t>=-NL("Sum","32 Item Ledger Entry","12 Quantity","5 Source no.",$C1702,"3 Posting Date",U$9,"4 Entry Type",$C$4,"2 Item No.","@@"&amp;$F1702)</t>
  </si>
  <si>
    <t>=-NL("Sum","32 Item Ledger Entry","12 Quantity","5 Source no.",$C1703,"3 Posting Date",U$9,"4 Entry Type",$C$4,"2 Item No.","@@"&amp;$F1703)</t>
  </si>
  <si>
    <t>=-NL("Sum","32 Item Ledger Entry","12 Quantity","5 Source no.",$C1704,"3 Posting Date",U$9,"4 Entry Type",$C$4,"2 Item No.","@@"&amp;$F1704)</t>
  </si>
  <si>
    <t>=-NL("Sum","32 Item Ledger Entry","12 Quantity","5 Source no.",$C1705,"3 Posting Date",U$9,"4 Entry Type",$C$4,"2 Item No.","@@"&amp;$F1705)</t>
  </si>
  <si>
    <t>=-NL("Sum","32 Item Ledger Entry","12 Quantity","5 Source no.",$C1706,"3 Posting Date",U$9,"4 Entry Type",$C$4,"2 Item No.","@@"&amp;$F1706)</t>
  </si>
  <si>
    <t>=-NL("Sum","32 Item Ledger Entry","12 Quantity","5 Source no.",$C1707,"3 Posting Date",U$9,"4 Entry Type",$C$4,"2 Item No.","@@"&amp;$F1707)</t>
  </si>
  <si>
    <t>=-NL("Sum","32 Item Ledger Entry","12 Quantity","5 Source no.",$C1708,"3 Posting Date",U$9,"4 Entry Type",$C$4,"2 Item No.","@@"&amp;$F1708)</t>
  </si>
  <si>
    <t>=-NL("Sum","32 Item Ledger Entry","12 Quantity","5 Source no.",$C1709,"3 Posting Date",U$9,"4 Entry Type",$C$4,"2 Item No.","@@"&amp;$F1709)</t>
  </si>
  <si>
    <t>=-NL("Sum","32 Item Ledger Entry","12 Quantity","5 Source no.",$C1710,"3 Posting Date",U$9,"4 Entry Type",$C$4,"2 Item No.","@@"&amp;$F1710)</t>
  </si>
  <si>
    <t>=-NL("Sum","32 Item Ledger Entry","12 Quantity","5 Source no.",$C1711,"3 Posting Date",U$9,"4 Entry Type",$C$4,"2 Item No.","@@"&amp;$F1711)</t>
  </si>
  <si>
    <t>=-NL("Sum","32 Item Ledger Entry","12 Quantity","5 Source no.",$C1712,"3 Posting Date",U$9,"4 Entry Type",$C$4,"2 Item No.","@@"&amp;$F1712)</t>
  </si>
  <si>
    <t>=-NL("Sum","32 Item Ledger Entry","12 Quantity","5 Source no.",$C1713,"3 Posting Date",U$9,"4 Entry Type",$C$4,"2 Item No.","@@"&amp;$F1713)</t>
  </si>
  <si>
    <t>=-NL("Sum","32 Item Ledger Entry","12 Quantity","5 Source no.",$C1714,"3 Posting Date",U$9,"4 Entry Type",$C$4,"2 Item No.","@@"&amp;$F1714)</t>
  </si>
  <si>
    <t>=-NL("Sum","32 Item Ledger Entry","12 Quantity","5 Source no.",$C1715,"3 Posting Date",U$9,"4 Entry Type",$C$4,"2 Item No.","@@"&amp;$F1715)</t>
  </si>
  <si>
    <t>=-NL("Sum","32 Item Ledger Entry","12 Quantity","5 Source no.",$C1716,"3 Posting Date",U$9,"4 Entry Type",$C$4,"2 Item No.","@@"&amp;$F1716)</t>
  </si>
  <si>
    <t>=-NL("Sum","32 Item Ledger Entry","12 Quantity","5 Source no.",$C1717,"3 Posting Date",U$9,"4 Entry Type",$C$4,"2 Item No.","@@"&amp;$F1717)</t>
  </si>
  <si>
    <t>=-NL("Sum","32 Item Ledger Entry","12 Quantity","5 Source no.",$C1718,"3 Posting Date",U$9,"4 Entry Type",$C$4,"2 Item No.","@@"&amp;$F1718)</t>
  </si>
  <si>
    <t>=-NL("Sum","32 Item Ledger Entry","12 Quantity","5 Source no.",$C1719,"3 Posting Date",U$9,"4 Entry Type",$C$4,"2 Item No.","@@"&amp;$F1719)</t>
  </si>
  <si>
    <t>=-NL("Sum","32 Item Ledger Entry","12 Quantity","5 Source no.",$C1720,"3 Posting Date",U$9,"4 Entry Type",$C$4,"2 Item No.","@@"&amp;$F1720)</t>
  </si>
  <si>
    <t>=-NL("Sum","32 Item Ledger Entry","12 Quantity","5 Source no.",$C1721,"3 Posting Date",U$9,"4 Entry Type",$C$4,"2 Item No.","@@"&amp;$F1721)</t>
  </si>
  <si>
    <t>=-NL("Sum","32 Item Ledger Entry","12 Quantity","5 Source no.",$C1722,"3 Posting Date",U$9,"4 Entry Type",$C$4,"2 Item No.","@@"&amp;$F1722)</t>
  </si>
  <si>
    <t>=-NL("Sum","32 Item Ledger Entry","12 Quantity","5 Source no.",$C1693,"3 Posting Date",Z$9,"4 Entry Type",$C$4,"2 Item No.","@@"&amp;$F1693)</t>
  </si>
  <si>
    <t>=-NL("Sum","32 Item Ledger Entry","12 Quantity","5 Source no.",$C1694,"3 Posting Date",Z$9,"4 Entry Type",$C$4,"2 Item No.","@@"&amp;$F1694)</t>
  </si>
  <si>
    <t>=-NL("Sum","32 Item Ledger Entry","12 Quantity","5 Source no.",$C1695,"3 Posting Date",Z$9,"4 Entry Type",$C$4,"2 Item No.","@@"&amp;$F1695)</t>
  </si>
  <si>
    <t>=-NL("Sum","32 Item Ledger Entry","12 Quantity","5 Source no.",$C1696,"3 Posting Date",Z$9,"4 Entry Type",$C$4,"2 Item No.","@@"&amp;$F1696)</t>
  </si>
  <si>
    <t>=-NL("Sum","32 Item Ledger Entry","12 Quantity","5 Source no.",$C1697,"3 Posting Date",Z$9,"4 Entry Type",$C$4,"2 Item No.","@@"&amp;$F1697)</t>
  </si>
  <si>
    <t>=-NL("Sum","32 Item Ledger Entry","12 Quantity","5 Source no.",$C1698,"3 Posting Date",Z$9,"4 Entry Type",$C$4,"2 Item No.","@@"&amp;$F1698)</t>
  </si>
  <si>
    <t>=-NL("Sum","32 Item Ledger Entry","12 Quantity","5 Source no.",$C1699,"3 Posting Date",Z$9,"4 Entry Type",$C$4,"2 Item No.","@@"&amp;$F1699)</t>
  </si>
  <si>
    <t>=-NL("Sum","32 Item Ledger Entry","12 Quantity","5 Source no.",$C1700,"3 Posting Date",Z$9,"4 Entry Type",$C$4,"2 Item No.","@@"&amp;$F1700)</t>
  </si>
  <si>
    <t>=-NL("Sum","32 Item Ledger Entry","12 Quantity","5 Source no.",$C1701,"3 Posting Date",Z$9,"4 Entry Type",$C$4,"2 Item No.","@@"&amp;$F1701)</t>
  </si>
  <si>
    <t>=-NL("Sum","32 Item Ledger Entry","12 Quantity","5 Source no.",$C1702,"3 Posting Date",Z$9,"4 Entry Type",$C$4,"2 Item No.","@@"&amp;$F1702)</t>
  </si>
  <si>
    <t>=-NL("Sum","32 Item Ledger Entry","12 Quantity","5 Source no.",$C1703,"3 Posting Date",Z$9,"4 Entry Type",$C$4,"2 Item No.","@@"&amp;$F1703)</t>
  </si>
  <si>
    <t>=-NL("Sum","32 Item Ledger Entry","12 Quantity","5 Source no.",$C1704,"3 Posting Date",Z$9,"4 Entry Type",$C$4,"2 Item No.","@@"&amp;$F1704)</t>
  </si>
  <si>
    <t>=-NL("Sum","32 Item Ledger Entry","12 Quantity","5 Source no.",$C1705,"3 Posting Date",Z$9,"4 Entry Type",$C$4,"2 Item No.","@@"&amp;$F1705)</t>
  </si>
  <si>
    <t>=-NL("Sum","32 Item Ledger Entry","12 Quantity","5 Source no.",$C1706,"3 Posting Date",Z$9,"4 Entry Type",$C$4,"2 Item No.","@@"&amp;$F1706)</t>
  </si>
  <si>
    <t>=-NL("Sum","32 Item Ledger Entry","12 Quantity","5 Source no.",$C1707,"3 Posting Date",Z$9,"4 Entry Type",$C$4,"2 Item No.","@@"&amp;$F1707)</t>
  </si>
  <si>
    <t>=-NL("Sum","32 Item Ledger Entry","12 Quantity","5 Source no.",$C1708,"3 Posting Date",Z$9,"4 Entry Type",$C$4,"2 Item No.","@@"&amp;$F1708)</t>
  </si>
  <si>
    <t>=-NL("Sum","32 Item Ledger Entry","12 Quantity","5 Source no.",$C1709,"3 Posting Date",Z$9,"4 Entry Type",$C$4,"2 Item No.","@@"&amp;$F1709)</t>
  </si>
  <si>
    <t>=-NL("Sum","32 Item Ledger Entry","12 Quantity","5 Source no.",$C1710,"3 Posting Date",Z$9,"4 Entry Type",$C$4,"2 Item No.","@@"&amp;$F1710)</t>
  </si>
  <si>
    <t>=-NL("Sum","32 Item Ledger Entry","12 Quantity","5 Source no.",$C1711,"3 Posting Date",Z$9,"4 Entry Type",$C$4,"2 Item No.","@@"&amp;$F1711)</t>
  </si>
  <si>
    <t>=-NL("Sum","32 Item Ledger Entry","12 Quantity","5 Source no.",$C1712,"3 Posting Date",Z$9,"4 Entry Type",$C$4,"2 Item No.","@@"&amp;$F1712)</t>
  </si>
  <si>
    <t>=-NL("Sum","32 Item Ledger Entry","12 Quantity","5 Source no.",$C1713,"3 Posting Date",Z$9,"4 Entry Type",$C$4,"2 Item No.","@@"&amp;$F1713)</t>
  </si>
  <si>
    <t>=-NL("Sum","32 Item Ledger Entry","12 Quantity","5 Source no.",$C1714,"3 Posting Date",Z$9,"4 Entry Type",$C$4,"2 Item No.","@@"&amp;$F1714)</t>
  </si>
  <si>
    <t>=-NL("Sum","32 Item Ledger Entry","12 Quantity","5 Source no.",$C1715,"3 Posting Date",Z$9,"4 Entry Type",$C$4,"2 Item No.","@@"&amp;$F1715)</t>
  </si>
  <si>
    <t>=-NL("Sum","32 Item Ledger Entry","12 Quantity","5 Source no.",$C1716,"3 Posting Date",Z$9,"4 Entry Type",$C$4,"2 Item No.","@@"&amp;$F1716)</t>
  </si>
  <si>
    <t>=-NL("Sum","32 Item Ledger Entry","12 Quantity","5 Source no.",$C1717,"3 Posting Date",Z$9,"4 Entry Type",$C$4,"2 Item No.","@@"&amp;$F1717)</t>
  </si>
  <si>
    <t>=-NL("Sum","32 Item Ledger Entry","12 Quantity","5 Source no.",$C1718,"3 Posting Date",Z$9,"4 Entry Type",$C$4,"2 Item No.","@@"&amp;$F1718)</t>
  </si>
  <si>
    <t>=-NL("Sum","32 Item Ledger Entry","12 Quantity","5 Source no.",$C1719,"3 Posting Date",Z$9,"4 Entry Type",$C$4,"2 Item No.","@@"&amp;$F1719)</t>
  </si>
  <si>
    <t>=-NL("Sum","32 Item Ledger Entry","12 Quantity","5 Source no.",$C1720,"3 Posting Date",Z$9,"4 Entry Type",$C$4,"2 Item No.","@@"&amp;$F1720)</t>
  </si>
  <si>
    <t>=-NL("Sum","32 Item Ledger Entry","12 Quantity","5 Source no.",$C1721,"3 Posting Date",Z$9,"4 Entry Type",$C$4,"2 Item No.","@@"&amp;$F1721)</t>
  </si>
  <si>
    <t>=-NL("Sum","32 Item Ledger Entry","12 Quantity","5 Source no.",$C1722,"3 Posting Date",Z$9,"4 Entry Type",$C$4,"2 Item No.","@@"&amp;$F1722)</t>
  </si>
  <si>
    <t>=NL(,"27 Item","3 Description","1 No.","@@"&amp;F1640)</t>
  </si>
  <si>
    <t>=NL(,"27 Item","3 Description","1 No.","@@"&amp;F1641)</t>
  </si>
  <si>
    <t>=NL(,"27 Item","3 Description","1 No.","@@"&amp;F1642)</t>
  </si>
  <si>
    <t>=NL(,"27 Item","3 Description","1 No.","@@"&amp;F1643)</t>
  </si>
  <si>
    <t>=NL(,"27 Item","3 Description","1 No.","@@"&amp;F1644)</t>
  </si>
  <si>
    <t>=NL(,"27 Item","3 Description","1 No.","@@"&amp;F1645)</t>
  </si>
  <si>
    <t>=NL(,"27 Item","3 Description","1 No.","@@"&amp;F1646)</t>
  </si>
  <si>
    <t>=NL(,"27 Item","3 Description","1 No.","@@"&amp;F1647)</t>
  </si>
  <si>
    <t>=NL(,"27 Item","3 Description","1 No.","@@"&amp;F1648)</t>
  </si>
  <si>
    <t>=NL(,"27 Item","3 Description","1 No.","@@"&amp;F1649)</t>
  </si>
  <si>
    <t>=NL(,"27 Item","3 Description","1 No.","@@"&amp;F1650)</t>
  </si>
  <si>
    <t>=NL(,"27 Item","3 Description","1 No.","@@"&amp;F1651)</t>
  </si>
  <si>
    <t>=NL(,"27 Item","3 Description","1 No.","@@"&amp;F1652)</t>
  </si>
  <si>
    <t>=NL(,"27 Item","3 Description","1 No.","@@"&amp;F1653)</t>
  </si>
  <si>
    <t>=NL(,"27 Item","3 Description","1 No.","@@"&amp;F1654)</t>
  </si>
  <si>
    <t>=NL(,"27 Item","3 Description","1 No.","@@"&amp;F1655)</t>
  </si>
  <si>
    <t>=NL(,"27 Item","3 Description","1 No.","@@"&amp;F1656)</t>
  </si>
  <si>
    <t>=NL(,"27 Item","3 Description","1 No.","@@"&amp;F1657)</t>
  </si>
  <si>
    <t>=NL(,"27 Item","3 Description","1 No.","@@"&amp;F1658)</t>
  </si>
  <si>
    <t>=NL(,"27 Item","3 Description","1 No.","@@"&amp;F1659)</t>
  </si>
  <si>
    <t>=NL(,"27 Item","3 Description","1 No.","@@"&amp;F1660)</t>
  </si>
  <si>
    <t>=NL(,"27 Item","3 Description","1 No.","@@"&amp;F1661)</t>
  </si>
  <si>
    <t>=NL(,"27 Item","3 Description","1 No.","@@"&amp;F1662)</t>
  </si>
  <si>
    <t>=NL(,"27 Item","3 Description","1 No.","@@"&amp;F1663)</t>
  </si>
  <si>
    <t>=NL(,"27 Item","3 Description","1 No.","@@"&amp;F1664)</t>
  </si>
  <si>
    <t>=NL(,"27 Item","3 Description","1 No.","@@"&amp;F1665)</t>
  </si>
  <si>
    <t>=NL(,"27 Item","3 Description","1 No.","@@"&amp;F1666)</t>
  </si>
  <si>
    <t>=NL(,"27 Item","3 Description","1 No.","@@"&amp;F1667)</t>
  </si>
  <si>
    <t>=NL(,"27 Item","3 Description","1 No.","@@"&amp;F1668)</t>
  </si>
  <si>
    <t>=NL(,"27 Item","3 Description","1 No.","@@"&amp;F1669)</t>
  </si>
  <si>
    <t>=NL(,"27 Item","3 Description","1 No.","@@"&amp;F1670)</t>
  </si>
  <si>
    <t>=NL(,"27 Item","3 Description","1 No.","@@"&amp;F1671)</t>
  </si>
  <si>
    <t>=NL(,"27 Item","3 Description","1 No.","@@"&amp;F1672)</t>
  </si>
  <si>
    <t>=NL(,"27 Item","3 Description","1 No.","@@"&amp;F1673)</t>
  </si>
  <si>
    <t>=NL(,"27 Item","3 Description","1 No.","@@"&amp;F1674)</t>
  </si>
  <si>
    <t>=NL(,"27 Item","3 Description","1 No.","@@"&amp;F1675)</t>
  </si>
  <si>
    <t>=NL(,"27 Item","3 Description","1 No.","@@"&amp;F1676)</t>
  </si>
  <si>
    <t>=NL(,"27 Item","3 Description","1 No.","@@"&amp;F1677)</t>
  </si>
  <si>
    <t>=NL(,"27 Item","3 Description","1 No.","@@"&amp;F1678)</t>
  </si>
  <si>
    <t>=NL(,"27 Item","3 Description","1 No.","@@"&amp;F1679)</t>
  </si>
  <si>
    <t>=NL(,"27 Item","3 Description","1 No.","@@"&amp;F1680)</t>
  </si>
  <si>
    <t>=NL(,"27 Item","3 Description","1 No.","@@"&amp;F1681)</t>
  </si>
  <si>
    <t>=NL(,"27 Item","3 Description","1 No.","@@"&amp;F1682)</t>
  </si>
  <si>
    <t>=NL(,"27 Item","3 Description","1 No.","@@"&amp;F1683)</t>
  </si>
  <si>
    <t>=NL(,"27 Item","3 Description","1 No.","@@"&amp;F1684)</t>
  </si>
  <si>
    <t>=NL(,"27 Item","3 Description","1 No.","@@"&amp;F1685)</t>
  </si>
  <si>
    <t>=NL(,"27 Item","3 Description","1 No.","@@"&amp;F1686)</t>
  </si>
  <si>
    <t>=NL(,"27 Item","3 Description","1 No.","@@"&amp;F1687)</t>
  </si>
  <si>
    <t>=-NL("Sum","32 Item Ledger Entry","12 Quantity","5 Source no.",$C1640,"3 Posting Date",J$9,"4 Entry Type",$C$4,"2 Item No.","@@"&amp;$F1640)</t>
  </si>
  <si>
    <t>=-NL("Sum","32 Item Ledger Entry","12 Quantity","5 Source no.",$C1641,"3 Posting Date",J$9,"4 Entry Type",$C$4,"2 Item No.","@@"&amp;$F1641)</t>
  </si>
  <si>
    <t>=-NL("Sum","32 Item Ledger Entry","12 Quantity","5 Source no.",$C1642,"3 Posting Date",J$9,"4 Entry Type",$C$4,"2 Item No.","@@"&amp;$F1642)</t>
  </si>
  <si>
    <t>=-NL("Sum","32 Item Ledger Entry","12 Quantity","5 Source no.",$C1643,"3 Posting Date",J$9,"4 Entry Type",$C$4,"2 Item No.","@@"&amp;$F1643)</t>
  </si>
  <si>
    <t>=-NL("Sum","32 Item Ledger Entry","12 Quantity","5 Source no.",$C1644,"3 Posting Date",J$9,"4 Entry Type",$C$4,"2 Item No.","@@"&amp;$F1644)</t>
  </si>
  <si>
    <t>=-NL("Sum","32 Item Ledger Entry","12 Quantity","5 Source no.",$C1645,"3 Posting Date",J$9,"4 Entry Type",$C$4,"2 Item No.","@@"&amp;$F1645)</t>
  </si>
  <si>
    <t>=-NL("Sum","32 Item Ledger Entry","12 Quantity","5 Source no.",$C1646,"3 Posting Date",J$9,"4 Entry Type",$C$4,"2 Item No.","@@"&amp;$F1646)</t>
  </si>
  <si>
    <t>=-NL("Sum","32 Item Ledger Entry","12 Quantity","5 Source no.",$C1647,"3 Posting Date",J$9,"4 Entry Type",$C$4,"2 Item No.","@@"&amp;$F1647)</t>
  </si>
  <si>
    <t>=-NL("Sum","32 Item Ledger Entry","12 Quantity","5 Source no.",$C1648,"3 Posting Date",J$9,"4 Entry Type",$C$4,"2 Item No.","@@"&amp;$F1648)</t>
  </si>
  <si>
    <t>=-NL("Sum","32 Item Ledger Entry","12 Quantity","5 Source no.",$C1649,"3 Posting Date",J$9,"4 Entry Type",$C$4,"2 Item No.","@@"&amp;$F1649)</t>
  </si>
  <si>
    <t>=-NL("Sum","32 Item Ledger Entry","12 Quantity","5 Source no.",$C1650,"3 Posting Date",J$9,"4 Entry Type",$C$4,"2 Item No.","@@"&amp;$F1650)</t>
  </si>
  <si>
    <t>=-NL("Sum","32 Item Ledger Entry","12 Quantity","5 Source no.",$C1651,"3 Posting Date",J$9,"4 Entry Type",$C$4,"2 Item No.","@@"&amp;$F1651)</t>
  </si>
  <si>
    <t>=-NL("Sum","32 Item Ledger Entry","12 Quantity","5 Source no.",$C1652,"3 Posting Date",J$9,"4 Entry Type",$C$4,"2 Item No.","@@"&amp;$F1652)</t>
  </si>
  <si>
    <t>=-NL("Sum","32 Item Ledger Entry","12 Quantity","5 Source no.",$C1653,"3 Posting Date",J$9,"4 Entry Type",$C$4,"2 Item No.","@@"&amp;$F1653)</t>
  </si>
  <si>
    <t>=-NL("Sum","32 Item Ledger Entry","12 Quantity","5 Source no.",$C1654,"3 Posting Date",J$9,"4 Entry Type",$C$4,"2 Item No.","@@"&amp;$F1654)</t>
  </si>
  <si>
    <t>=-NL("Sum","32 Item Ledger Entry","12 Quantity","5 Source no.",$C1655,"3 Posting Date",J$9,"4 Entry Type",$C$4,"2 Item No.","@@"&amp;$F1655)</t>
  </si>
  <si>
    <t>=-NL("Sum","32 Item Ledger Entry","12 Quantity","5 Source no.",$C1656,"3 Posting Date",J$9,"4 Entry Type",$C$4,"2 Item No.","@@"&amp;$F1656)</t>
  </si>
  <si>
    <t>=-NL("Sum","32 Item Ledger Entry","12 Quantity","5 Source no.",$C1657,"3 Posting Date",J$9,"4 Entry Type",$C$4,"2 Item No.","@@"&amp;$F1657)</t>
  </si>
  <si>
    <t>=-NL("Sum","32 Item Ledger Entry","12 Quantity","5 Source no.",$C1658,"3 Posting Date",J$9,"4 Entry Type",$C$4,"2 Item No.","@@"&amp;$F1658)</t>
  </si>
  <si>
    <t>=-NL("Sum","32 Item Ledger Entry","12 Quantity","5 Source no.",$C1659,"3 Posting Date",J$9,"4 Entry Type",$C$4,"2 Item No.","@@"&amp;$F1659)</t>
  </si>
  <si>
    <t>=-NL("Sum","32 Item Ledger Entry","12 Quantity","5 Source no.",$C1660,"3 Posting Date",J$9,"4 Entry Type",$C$4,"2 Item No.","@@"&amp;$F1660)</t>
  </si>
  <si>
    <t>=-NL("Sum","32 Item Ledger Entry","12 Quantity","5 Source no.",$C1661,"3 Posting Date",J$9,"4 Entry Type",$C$4,"2 Item No.","@@"&amp;$F1661)</t>
  </si>
  <si>
    <t>=-NL("Sum","32 Item Ledger Entry","12 Quantity","5 Source no.",$C1662,"3 Posting Date",J$9,"4 Entry Type",$C$4,"2 Item No.","@@"&amp;$F1662)</t>
  </si>
  <si>
    <t>=-NL("Sum","32 Item Ledger Entry","12 Quantity","5 Source no.",$C1663,"3 Posting Date",J$9,"4 Entry Type",$C$4,"2 Item No.","@@"&amp;$F1663)</t>
  </si>
  <si>
    <t>=-NL("Sum","32 Item Ledger Entry","12 Quantity","5 Source no.",$C1664,"3 Posting Date",J$9,"4 Entry Type",$C$4,"2 Item No.","@@"&amp;$F1664)</t>
  </si>
  <si>
    <t>=-NL("Sum","32 Item Ledger Entry","12 Quantity","5 Source no.",$C1665,"3 Posting Date",J$9,"4 Entry Type",$C$4,"2 Item No.","@@"&amp;$F1665)</t>
  </si>
  <si>
    <t>=-NL("Sum","32 Item Ledger Entry","12 Quantity","5 Source no.",$C1666,"3 Posting Date",J$9,"4 Entry Type",$C$4,"2 Item No.","@@"&amp;$F1666)</t>
  </si>
  <si>
    <t>=-NL("Sum","32 Item Ledger Entry","12 Quantity","5 Source no.",$C1667,"3 Posting Date",J$9,"4 Entry Type",$C$4,"2 Item No.","@@"&amp;$F1667)</t>
  </si>
  <si>
    <t>=-NL("Sum","32 Item Ledger Entry","12 Quantity","5 Source no.",$C1668,"3 Posting Date",J$9,"4 Entry Type",$C$4,"2 Item No.","@@"&amp;$F1668)</t>
  </si>
  <si>
    <t>=-NL("Sum","32 Item Ledger Entry","12 Quantity","5 Source no.",$C1669,"3 Posting Date",J$9,"4 Entry Type",$C$4,"2 Item No.","@@"&amp;$F1669)</t>
  </si>
  <si>
    <t>=-NL("Sum","32 Item Ledger Entry","12 Quantity","5 Source no.",$C1670,"3 Posting Date",J$9,"4 Entry Type",$C$4,"2 Item No.","@@"&amp;$F1670)</t>
  </si>
  <si>
    <t>=-NL("Sum","32 Item Ledger Entry","12 Quantity","5 Source no.",$C1671,"3 Posting Date",J$9,"4 Entry Type",$C$4,"2 Item No.","@@"&amp;$F1671)</t>
  </si>
  <si>
    <t>=-NL("Sum","32 Item Ledger Entry","12 Quantity","5 Source no.",$C1672,"3 Posting Date",J$9,"4 Entry Type",$C$4,"2 Item No.","@@"&amp;$F1672)</t>
  </si>
  <si>
    <t>=-NL("Sum","32 Item Ledger Entry","12 Quantity","5 Source no.",$C1673,"3 Posting Date",J$9,"4 Entry Type",$C$4,"2 Item No.","@@"&amp;$F1673)</t>
  </si>
  <si>
    <t>=-NL("Sum","32 Item Ledger Entry","12 Quantity","5 Source no.",$C1674,"3 Posting Date",J$9,"4 Entry Type",$C$4,"2 Item No.","@@"&amp;$F1674)</t>
  </si>
  <si>
    <t>=-NL("Sum","32 Item Ledger Entry","12 Quantity","5 Source no.",$C1675,"3 Posting Date",J$9,"4 Entry Type",$C$4,"2 Item No.","@@"&amp;$F1675)</t>
  </si>
  <si>
    <t>=-NL("Sum","32 Item Ledger Entry","12 Quantity","5 Source no.",$C1676,"3 Posting Date",J$9,"4 Entry Type",$C$4,"2 Item No.","@@"&amp;$F1676)</t>
  </si>
  <si>
    <t>=-NL("Sum","32 Item Ledger Entry","12 Quantity","5 Source no.",$C1677,"3 Posting Date",J$9,"4 Entry Type",$C$4,"2 Item No.","@@"&amp;$F1677)</t>
  </si>
  <si>
    <t>=-NL("Sum","32 Item Ledger Entry","12 Quantity","5 Source no.",$C1678,"3 Posting Date",J$9,"4 Entry Type",$C$4,"2 Item No.","@@"&amp;$F1678)</t>
  </si>
  <si>
    <t>=-NL("Sum","32 Item Ledger Entry","12 Quantity","5 Source no.",$C1679,"3 Posting Date",J$9,"4 Entry Type",$C$4,"2 Item No.","@@"&amp;$F1679)</t>
  </si>
  <si>
    <t>=-NL("Sum","32 Item Ledger Entry","12 Quantity","5 Source no.",$C1680,"3 Posting Date",J$9,"4 Entry Type",$C$4,"2 Item No.","@@"&amp;$F1680)</t>
  </si>
  <si>
    <t>=-NL("Sum","32 Item Ledger Entry","12 Quantity","5 Source no.",$C1681,"3 Posting Date",J$9,"4 Entry Type",$C$4,"2 Item No.","@@"&amp;$F1681)</t>
  </si>
  <si>
    <t>=-NL("Sum","32 Item Ledger Entry","12 Quantity","5 Source no.",$C1682,"3 Posting Date",J$9,"4 Entry Type",$C$4,"2 Item No.","@@"&amp;$F1682)</t>
  </si>
  <si>
    <t>=-NL("Sum","32 Item Ledger Entry","12 Quantity","5 Source no.",$C1683,"3 Posting Date",J$9,"4 Entry Type",$C$4,"2 Item No.","@@"&amp;$F1683)</t>
  </si>
  <si>
    <t>=-NL("Sum","32 Item Ledger Entry","12 Quantity","5 Source no.",$C1684,"3 Posting Date",J$9,"4 Entry Type",$C$4,"2 Item No.","@@"&amp;$F1684)</t>
  </si>
  <si>
    <t>=-NL("Sum","32 Item Ledger Entry","12 Quantity","5 Source no.",$C1685,"3 Posting Date",J$9,"4 Entry Type",$C$4,"2 Item No.","@@"&amp;$F1685)</t>
  </si>
  <si>
    <t>=-NL("Sum","32 Item Ledger Entry","12 Quantity","5 Source no.",$C1686,"3 Posting Date",J$9,"4 Entry Type",$C$4,"2 Item No.","@@"&amp;$F1686)</t>
  </si>
  <si>
    <t>=-NL("Sum","32 Item Ledger Entry","12 Quantity","5 Source no.",$C1687,"3 Posting Date",J$9,"4 Entry Type",$C$4,"2 Item No.","@@"&amp;$F1687)</t>
  </si>
  <si>
    <t>=-NL("Sum","32 Item Ledger Entry","12 Quantity","5 Source no.",$C1640,"3 Posting Date",O$9,"4 Entry Type",$C$4,"2 Item No.","@@"&amp;$F1640)</t>
  </si>
  <si>
    <t>=-NL("Sum","32 Item Ledger Entry","12 Quantity","5 Source no.",$C1641,"3 Posting Date",O$9,"4 Entry Type",$C$4,"2 Item No.","@@"&amp;$F1641)</t>
  </si>
  <si>
    <t>=-NL("Sum","32 Item Ledger Entry","12 Quantity","5 Source no.",$C1642,"3 Posting Date",O$9,"4 Entry Type",$C$4,"2 Item No.","@@"&amp;$F1642)</t>
  </si>
  <si>
    <t>=-NL("Sum","32 Item Ledger Entry","12 Quantity","5 Source no.",$C1643,"3 Posting Date",O$9,"4 Entry Type",$C$4,"2 Item No.","@@"&amp;$F1643)</t>
  </si>
  <si>
    <t>=-NL("Sum","32 Item Ledger Entry","12 Quantity","5 Source no.",$C1644,"3 Posting Date",O$9,"4 Entry Type",$C$4,"2 Item No.","@@"&amp;$F1644)</t>
  </si>
  <si>
    <t>=-NL("Sum","32 Item Ledger Entry","12 Quantity","5 Source no.",$C1645,"3 Posting Date",O$9,"4 Entry Type",$C$4,"2 Item No.","@@"&amp;$F1645)</t>
  </si>
  <si>
    <t>=-NL("Sum","32 Item Ledger Entry","12 Quantity","5 Source no.",$C1646,"3 Posting Date",O$9,"4 Entry Type",$C$4,"2 Item No.","@@"&amp;$F1646)</t>
  </si>
  <si>
    <t>=-NL("Sum","32 Item Ledger Entry","12 Quantity","5 Source no.",$C1647,"3 Posting Date",O$9,"4 Entry Type",$C$4,"2 Item No.","@@"&amp;$F1647)</t>
  </si>
  <si>
    <t>=-NL("Sum","32 Item Ledger Entry","12 Quantity","5 Source no.",$C1648,"3 Posting Date",O$9,"4 Entry Type",$C$4,"2 Item No.","@@"&amp;$F1648)</t>
  </si>
  <si>
    <t>=-NL("Sum","32 Item Ledger Entry","12 Quantity","5 Source no.",$C1649,"3 Posting Date",O$9,"4 Entry Type",$C$4,"2 Item No.","@@"&amp;$F1649)</t>
  </si>
  <si>
    <t>=-NL("Sum","32 Item Ledger Entry","12 Quantity","5 Source no.",$C1650,"3 Posting Date",O$9,"4 Entry Type",$C$4,"2 Item No.","@@"&amp;$F1650)</t>
  </si>
  <si>
    <t>=-NL("Sum","32 Item Ledger Entry","12 Quantity","5 Source no.",$C1651,"3 Posting Date",O$9,"4 Entry Type",$C$4,"2 Item No.","@@"&amp;$F1651)</t>
  </si>
  <si>
    <t>=-NL("Sum","32 Item Ledger Entry","12 Quantity","5 Source no.",$C1652,"3 Posting Date",O$9,"4 Entry Type",$C$4,"2 Item No.","@@"&amp;$F1652)</t>
  </si>
  <si>
    <t>=-NL("Sum","32 Item Ledger Entry","12 Quantity","5 Source no.",$C1653,"3 Posting Date",O$9,"4 Entry Type",$C$4,"2 Item No.","@@"&amp;$F1653)</t>
  </si>
  <si>
    <t>=-NL("Sum","32 Item Ledger Entry","12 Quantity","5 Source no.",$C1654,"3 Posting Date",O$9,"4 Entry Type",$C$4,"2 Item No.","@@"&amp;$F1654)</t>
  </si>
  <si>
    <t>=-NL("Sum","32 Item Ledger Entry","12 Quantity","5 Source no.",$C1655,"3 Posting Date",O$9,"4 Entry Type",$C$4,"2 Item No.","@@"&amp;$F1655)</t>
  </si>
  <si>
    <t>=-NL("Sum","32 Item Ledger Entry","12 Quantity","5 Source no.",$C1656,"3 Posting Date",O$9,"4 Entry Type",$C$4,"2 Item No.","@@"&amp;$F1656)</t>
  </si>
  <si>
    <t>=-NL("Sum","32 Item Ledger Entry","12 Quantity","5 Source no.",$C1657,"3 Posting Date",O$9,"4 Entry Type",$C$4,"2 Item No.","@@"&amp;$F1657)</t>
  </si>
  <si>
    <t>=-NL("Sum","32 Item Ledger Entry","12 Quantity","5 Source no.",$C1658,"3 Posting Date",O$9,"4 Entry Type",$C$4,"2 Item No.","@@"&amp;$F1658)</t>
  </si>
  <si>
    <t>=-NL("Sum","32 Item Ledger Entry","12 Quantity","5 Source no.",$C1659,"3 Posting Date",O$9,"4 Entry Type",$C$4,"2 Item No.","@@"&amp;$F1659)</t>
  </si>
  <si>
    <t>=-NL("Sum","32 Item Ledger Entry","12 Quantity","5 Source no.",$C1660,"3 Posting Date",O$9,"4 Entry Type",$C$4,"2 Item No.","@@"&amp;$F1660)</t>
  </si>
  <si>
    <t>=-NL("Sum","32 Item Ledger Entry","12 Quantity","5 Source no.",$C1661,"3 Posting Date",O$9,"4 Entry Type",$C$4,"2 Item No.","@@"&amp;$F1661)</t>
  </si>
  <si>
    <t>=-NL("Sum","32 Item Ledger Entry","12 Quantity","5 Source no.",$C1662,"3 Posting Date",O$9,"4 Entry Type",$C$4,"2 Item No.","@@"&amp;$F1662)</t>
  </si>
  <si>
    <t>=-NL("Sum","32 Item Ledger Entry","12 Quantity","5 Source no.",$C1663,"3 Posting Date",O$9,"4 Entry Type",$C$4,"2 Item No.","@@"&amp;$F1663)</t>
  </si>
  <si>
    <t>=-NL("Sum","32 Item Ledger Entry","12 Quantity","5 Source no.",$C1664,"3 Posting Date",O$9,"4 Entry Type",$C$4,"2 Item No.","@@"&amp;$F1664)</t>
  </si>
  <si>
    <t>=-NL("Sum","32 Item Ledger Entry","12 Quantity","5 Source no.",$C1665,"3 Posting Date",O$9,"4 Entry Type",$C$4,"2 Item No.","@@"&amp;$F1665)</t>
  </si>
  <si>
    <t>=-NL("Sum","32 Item Ledger Entry","12 Quantity","5 Source no.",$C1666,"3 Posting Date",O$9,"4 Entry Type",$C$4,"2 Item No.","@@"&amp;$F1666)</t>
  </si>
  <si>
    <t>=-NL("Sum","32 Item Ledger Entry","12 Quantity","5 Source no.",$C1667,"3 Posting Date",O$9,"4 Entry Type",$C$4,"2 Item No.","@@"&amp;$F1667)</t>
  </si>
  <si>
    <t>=-NL("Sum","32 Item Ledger Entry","12 Quantity","5 Source no.",$C1668,"3 Posting Date",O$9,"4 Entry Type",$C$4,"2 Item No.","@@"&amp;$F1668)</t>
  </si>
  <si>
    <t>=-NL("Sum","32 Item Ledger Entry","12 Quantity","5 Source no.",$C1669,"3 Posting Date",O$9,"4 Entry Type",$C$4,"2 Item No.","@@"&amp;$F1669)</t>
  </si>
  <si>
    <t>=-NL("Sum","32 Item Ledger Entry","12 Quantity","5 Source no.",$C1670,"3 Posting Date",O$9,"4 Entry Type",$C$4,"2 Item No.","@@"&amp;$F1670)</t>
  </si>
  <si>
    <t>=-NL("Sum","32 Item Ledger Entry","12 Quantity","5 Source no.",$C1671,"3 Posting Date",O$9,"4 Entry Type",$C$4,"2 Item No.","@@"&amp;$F1671)</t>
  </si>
  <si>
    <t>=-NL("Sum","32 Item Ledger Entry","12 Quantity","5 Source no.",$C1672,"3 Posting Date",O$9,"4 Entry Type",$C$4,"2 Item No.","@@"&amp;$F1672)</t>
  </si>
  <si>
    <t>=-NL("Sum","32 Item Ledger Entry","12 Quantity","5 Source no.",$C1673,"3 Posting Date",O$9,"4 Entry Type",$C$4,"2 Item No.","@@"&amp;$F1673)</t>
  </si>
  <si>
    <t>=-NL("Sum","32 Item Ledger Entry","12 Quantity","5 Source no.",$C1674,"3 Posting Date",O$9,"4 Entry Type",$C$4,"2 Item No.","@@"&amp;$F1674)</t>
  </si>
  <si>
    <t>=-NL("Sum","32 Item Ledger Entry","12 Quantity","5 Source no.",$C1675,"3 Posting Date",O$9,"4 Entry Type",$C$4,"2 Item No.","@@"&amp;$F1675)</t>
  </si>
  <si>
    <t>=-NL("Sum","32 Item Ledger Entry","12 Quantity","5 Source no.",$C1676,"3 Posting Date",O$9,"4 Entry Type",$C$4,"2 Item No.","@@"&amp;$F1676)</t>
  </si>
  <si>
    <t>=-NL("Sum","32 Item Ledger Entry","12 Quantity","5 Source no.",$C1677,"3 Posting Date",O$9,"4 Entry Type",$C$4,"2 Item No.","@@"&amp;$F1677)</t>
  </si>
  <si>
    <t>=-NL("Sum","32 Item Ledger Entry","12 Quantity","5 Source no.",$C1678,"3 Posting Date",O$9,"4 Entry Type",$C$4,"2 Item No.","@@"&amp;$F1678)</t>
  </si>
  <si>
    <t>=-NL("Sum","32 Item Ledger Entry","12 Quantity","5 Source no.",$C1679,"3 Posting Date",O$9,"4 Entry Type",$C$4,"2 Item No.","@@"&amp;$F1679)</t>
  </si>
  <si>
    <t>=-NL("Sum","32 Item Ledger Entry","12 Quantity","5 Source no.",$C1680,"3 Posting Date",O$9,"4 Entry Type",$C$4,"2 Item No.","@@"&amp;$F1680)</t>
  </si>
  <si>
    <t>=-NL("Sum","32 Item Ledger Entry","12 Quantity","5 Source no.",$C1681,"3 Posting Date",O$9,"4 Entry Type",$C$4,"2 Item No.","@@"&amp;$F1681)</t>
  </si>
  <si>
    <t>=-NL("Sum","32 Item Ledger Entry","12 Quantity","5 Source no.",$C1682,"3 Posting Date",O$9,"4 Entry Type",$C$4,"2 Item No.","@@"&amp;$F1682)</t>
  </si>
  <si>
    <t>=-NL("Sum","32 Item Ledger Entry","12 Quantity","5 Source no.",$C1683,"3 Posting Date",O$9,"4 Entry Type",$C$4,"2 Item No.","@@"&amp;$F1683)</t>
  </si>
  <si>
    <t>=-NL("Sum","32 Item Ledger Entry","12 Quantity","5 Source no.",$C1684,"3 Posting Date",O$9,"4 Entry Type",$C$4,"2 Item No.","@@"&amp;$F1684)</t>
  </si>
  <si>
    <t>=-NL("Sum","32 Item Ledger Entry","12 Quantity","5 Source no.",$C1685,"3 Posting Date",O$9,"4 Entry Type",$C$4,"2 Item No.","@@"&amp;$F1685)</t>
  </si>
  <si>
    <t>=-NL("Sum","32 Item Ledger Entry","12 Quantity","5 Source no.",$C1686,"3 Posting Date",O$9,"4 Entry Type",$C$4,"2 Item No.","@@"&amp;$F1686)</t>
  </si>
  <si>
    <t>=-NL("Sum","32 Item Ledger Entry","12 Quantity","5 Source no.",$C1687,"3 Posting Date",O$9,"4 Entry Type",$C$4,"2 Item No.","@@"&amp;$F1687)</t>
  </si>
  <si>
    <t>=-NL("Sum","32 Item Ledger Entry","12 Quantity","5 Source no.",$C1640,"3 Posting Date",U$9,"4 Entry Type",$C$4,"2 Item No.","@@"&amp;$F1640)</t>
  </si>
  <si>
    <t>=-NL("Sum","32 Item Ledger Entry","12 Quantity","5 Source no.",$C1641,"3 Posting Date",U$9,"4 Entry Type",$C$4,"2 Item No.","@@"&amp;$F1641)</t>
  </si>
  <si>
    <t>=-NL("Sum","32 Item Ledger Entry","12 Quantity","5 Source no.",$C1642,"3 Posting Date",U$9,"4 Entry Type",$C$4,"2 Item No.","@@"&amp;$F1642)</t>
  </si>
  <si>
    <t>=-NL("Sum","32 Item Ledger Entry","12 Quantity","5 Source no.",$C1643,"3 Posting Date",U$9,"4 Entry Type",$C$4,"2 Item No.","@@"&amp;$F1643)</t>
  </si>
  <si>
    <t>=-NL("Sum","32 Item Ledger Entry","12 Quantity","5 Source no.",$C1644,"3 Posting Date",U$9,"4 Entry Type",$C$4,"2 Item No.","@@"&amp;$F1644)</t>
  </si>
  <si>
    <t>=-NL("Sum","32 Item Ledger Entry","12 Quantity","5 Source no.",$C1645,"3 Posting Date",U$9,"4 Entry Type",$C$4,"2 Item No.","@@"&amp;$F1645)</t>
  </si>
  <si>
    <t>=-NL("Sum","32 Item Ledger Entry","12 Quantity","5 Source no.",$C1646,"3 Posting Date",U$9,"4 Entry Type",$C$4,"2 Item No.","@@"&amp;$F1646)</t>
  </si>
  <si>
    <t>=-NL("Sum","32 Item Ledger Entry","12 Quantity","5 Source no.",$C1647,"3 Posting Date",U$9,"4 Entry Type",$C$4,"2 Item No.","@@"&amp;$F1647)</t>
  </si>
  <si>
    <t>=-NL("Sum","32 Item Ledger Entry","12 Quantity","5 Source no.",$C1648,"3 Posting Date",U$9,"4 Entry Type",$C$4,"2 Item No.","@@"&amp;$F1648)</t>
  </si>
  <si>
    <t>=-NL("Sum","32 Item Ledger Entry","12 Quantity","5 Source no.",$C1649,"3 Posting Date",U$9,"4 Entry Type",$C$4,"2 Item No.","@@"&amp;$F1649)</t>
  </si>
  <si>
    <t>=-NL("Sum","32 Item Ledger Entry","12 Quantity","5 Source no.",$C1650,"3 Posting Date",U$9,"4 Entry Type",$C$4,"2 Item No.","@@"&amp;$F1650)</t>
  </si>
  <si>
    <t>=-NL("Sum","32 Item Ledger Entry","12 Quantity","5 Source no.",$C1651,"3 Posting Date",U$9,"4 Entry Type",$C$4,"2 Item No.","@@"&amp;$F1651)</t>
  </si>
  <si>
    <t>=-NL("Sum","32 Item Ledger Entry","12 Quantity","5 Source no.",$C1652,"3 Posting Date",U$9,"4 Entry Type",$C$4,"2 Item No.","@@"&amp;$F1652)</t>
  </si>
  <si>
    <t>=-NL("Sum","32 Item Ledger Entry","12 Quantity","5 Source no.",$C1653,"3 Posting Date",U$9,"4 Entry Type",$C$4,"2 Item No.","@@"&amp;$F1653)</t>
  </si>
  <si>
    <t>=-NL("Sum","32 Item Ledger Entry","12 Quantity","5 Source no.",$C1654,"3 Posting Date",U$9,"4 Entry Type",$C$4,"2 Item No.","@@"&amp;$F1654)</t>
  </si>
  <si>
    <t>=-NL("Sum","32 Item Ledger Entry","12 Quantity","5 Source no.",$C1655,"3 Posting Date",U$9,"4 Entry Type",$C$4,"2 Item No.","@@"&amp;$F1655)</t>
  </si>
  <si>
    <t>=-NL("Sum","32 Item Ledger Entry","12 Quantity","5 Source no.",$C1656,"3 Posting Date",U$9,"4 Entry Type",$C$4,"2 Item No.","@@"&amp;$F1656)</t>
  </si>
  <si>
    <t>=-NL("Sum","32 Item Ledger Entry","12 Quantity","5 Source no.",$C1657,"3 Posting Date",U$9,"4 Entry Type",$C$4,"2 Item No.","@@"&amp;$F1657)</t>
  </si>
  <si>
    <t>=-NL("Sum","32 Item Ledger Entry","12 Quantity","5 Source no.",$C1658,"3 Posting Date",U$9,"4 Entry Type",$C$4,"2 Item No.","@@"&amp;$F1658)</t>
  </si>
  <si>
    <t>=-NL("Sum","32 Item Ledger Entry","12 Quantity","5 Source no.",$C1659,"3 Posting Date",U$9,"4 Entry Type",$C$4,"2 Item No.","@@"&amp;$F1659)</t>
  </si>
  <si>
    <t>=-NL("Sum","32 Item Ledger Entry","12 Quantity","5 Source no.",$C1660,"3 Posting Date",U$9,"4 Entry Type",$C$4,"2 Item No.","@@"&amp;$F1660)</t>
  </si>
  <si>
    <t>=-NL("Sum","32 Item Ledger Entry","12 Quantity","5 Source no.",$C1661,"3 Posting Date",U$9,"4 Entry Type",$C$4,"2 Item No.","@@"&amp;$F1661)</t>
  </si>
  <si>
    <t>=-NL("Sum","32 Item Ledger Entry","12 Quantity","5 Source no.",$C1662,"3 Posting Date",U$9,"4 Entry Type",$C$4,"2 Item No.","@@"&amp;$F1662)</t>
  </si>
  <si>
    <t>=-NL("Sum","32 Item Ledger Entry","12 Quantity","5 Source no.",$C1663,"3 Posting Date",U$9,"4 Entry Type",$C$4,"2 Item No.","@@"&amp;$F1663)</t>
  </si>
  <si>
    <t>=-NL("Sum","32 Item Ledger Entry","12 Quantity","5 Source no.",$C1664,"3 Posting Date",U$9,"4 Entry Type",$C$4,"2 Item No.","@@"&amp;$F1664)</t>
  </si>
  <si>
    <t>=-NL("Sum","32 Item Ledger Entry","12 Quantity","5 Source no.",$C1665,"3 Posting Date",U$9,"4 Entry Type",$C$4,"2 Item No.","@@"&amp;$F1665)</t>
  </si>
  <si>
    <t>=-NL("Sum","32 Item Ledger Entry","12 Quantity","5 Source no.",$C1666,"3 Posting Date",U$9,"4 Entry Type",$C$4,"2 Item No.","@@"&amp;$F1666)</t>
  </si>
  <si>
    <t>=-NL("Sum","32 Item Ledger Entry","12 Quantity","5 Source no.",$C1667,"3 Posting Date",U$9,"4 Entry Type",$C$4,"2 Item No.","@@"&amp;$F1667)</t>
  </si>
  <si>
    <t>=-NL("Sum","32 Item Ledger Entry","12 Quantity","5 Source no.",$C1668,"3 Posting Date",U$9,"4 Entry Type",$C$4,"2 Item No.","@@"&amp;$F1668)</t>
  </si>
  <si>
    <t>=-NL("Sum","32 Item Ledger Entry","12 Quantity","5 Source no.",$C1669,"3 Posting Date",U$9,"4 Entry Type",$C$4,"2 Item No.","@@"&amp;$F1669)</t>
  </si>
  <si>
    <t>=-NL("Sum","32 Item Ledger Entry","12 Quantity","5 Source no.",$C1670,"3 Posting Date",U$9,"4 Entry Type",$C$4,"2 Item No.","@@"&amp;$F1670)</t>
  </si>
  <si>
    <t>=-NL("Sum","32 Item Ledger Entry","12 Quantity","5 Source no.",$C1671,"3 Posting Date",U$9,"4 Entry Type",$C$4,"2 Item No.","@@"&amp;$F1671)</t>
  </si>
  <si>
    <t>=-NL("Sum","32 Item Ledger Entry","12 Quantity","5 Source no.",$C1672,"3 Posting Date",U$9,"4 Entry Type",$C$4,"2 Item No.","@@"&amp;$F1672)</t>
  </si>
  <si>
    <t>=-NL("Sum","32 Item Ledger Entry","12 Quantity","5 Source no.",$C1673,"3 Posting Date",U$9,"4 Entry Type",$C$4,"2 Item No.","@@"&amp;$F1673)</t>
  </si>
  <si>
    <t>=-NL("Sum","32 Item Ledger Entry","12 Quantity","5 Source no.",$C1674,"3 Posting Date",U$9,"4 Entry Type",$C$4,"2 Item No.","@@"&amp;$F1674)</t>
  </si>
  <si>
    <t>=-NL("Sum","32 Item Ledger Entry","12 Quantity","5 Source no.",$C1675,"3 Posting Date",U$9,"4 Entry Type",$C$4,"2 Item No.","@@"&amp;$F1675)</t>
  </si>
  <si>
    <t>=-NL("Sum","32 Item Ledger Entry","12 Quantity","5 Source no.",$C1676,"3 Posting Date",U$9,"4 Entry Type",$C$4,"2 Item No.","@@"&amp;$F1676)</t>
  </si>
  <si>
    <t>=-NL("Sum","32 Item Ledger Entry","12 Quantity","5 Source no.",$C1677,"3 Posting Date",U$9,"4 Entry Type",$C$4,"2 Item No.","@@"&amp;$F1677)</t>
  </si>
  <si>
    <t>=-NL("Sum","32 Item Ledger Entry","12 Quantity","5 Source no.",$C1678,"3 Posting Date",U$9,"4 Entry Type",$C$4,"2 Item No.","@@"&amp;$F1678)</t>
  </si>
  <si>
    <t>=-NL("Sum","32 Item Ledger Entry","12 Quantity","5 Source no.",$C1679,"3 Posting Date",U$9,"4 Entry Type",$C$4,"2 Item No.","@@"&amp;$F1679)</t>
  </si>
  <si>
    <t>=-NL("Sum","32 Item Ledger Entry","12 Quantity","5 Source no.",$C1680,"3 Posting Date",U$9,"4 Entry Type",$C$4,"2 Item No.","@@"&amp;$F1680)</t>
  </si>
  <si>
    <t>=-NL("Sum","32 Item Ledger Entry","12 Quantity","5 Source no.",$C1681,"3 Posting Date",U$9,"4 Entry Type",$C$4,"2 Item No.","@@"&amp;$F1681)</t>
  </si>
  <si>
    <t>=-NL("Sum","32 Item Ledger Entry","12 Quantity","5 Source no.",$C1682,"3 Posting Date",U$9,"4 Entry Type",$C$4,"2 Item No.","@@"&amp;$F1682)</t>
  </si>
  <si>
    <t>=-NL("Sum","32 Item Ledger Entry","12 Quantity","5 Source no.",$C1683,"3 Posting Date",U$9,"4 Entry Type",$C$4,"2 Item No.","@@"&amp;$F1683)</t>
  </si>
  <si>
    <t>=-NL("Sum","32 Item Ledger Entry","12 Quantity","5 Source no.",$C1684,"3 Posting Date",U$9,"4 Entry Type",$C$4,"2 Item No.","@@"&amp;$F1684)</t>
  </si>
  <si>
    <t>=-NL("Sum","32 Item Ledger Entry","12 Quantity","5 Source no.",$C1685,"3 Posting Date",U$9,"4 Entry Type",$C$4,"2 Item No.","@@"&amp;$F1685)</t>
  </si>
  <si>
    <t>=-NL("Sum","32 Item Ledger Entry","12 Quantity","5 Source no.",$C1686,"3 Posting Date",U$9,"4 Entry Type",$C$4,"2 Item No.","@@"&amp;$F1686)</t>
  </si>
  <si>
    <t>=-NL("Sum","32 Item Ledger Entry","12 Quantity","5 Source no.",$C1687,"3 Posting Date",U$9,"4 Entry Type",$C$4,"2 Item No.","@@"&amp;$F1687)</t>
  </si>
  <si>
    <t>=-NL("Sum","32 Item Ledger Entry","12 Quantity","5 Source no.",$C1640,"3 Posting Date",Z$9,"4 Entry Type",$C$4,"2 Item No.","@@"&amp;$F1640)</t>
  </si>
  <si>
    <t>=-NL("Sum","32 Item Ledger Entry","12 Quantity","5 Source no.",$C1641,"3 Posting Date",Z$9,"4 Entry Type",$C$4,"2 Item No.","@@"&amp;$F1641)</t>
  </si>
  <si>
    <t>=-NL("Sum","32 Item Ledger Entry","12 Quantity","5 Source no.",$C1642,"3 Posting Date",Z$9,"4 Entry Type",$C$4,"2 Item No.","@@"&amp;$F1642)</t>
  </si>
  <si>
    <t>=-NL("Sum","32 Item Ledger Entry","12 Quantity","5 Source no.",$C1643,"3 Posting Date",Z$9,"4 Entry Type",$C$4,"2 Item No.","@@"&amp;$F1643)</t>
  </si>
  <si>
    <t>=-NL("Sum","32 Item Ledger Entry","12 Quantity","5 Source no.",$C1644,"3 Posting Date",Z$9,"4 Entry Type",$C$4,"2 Item No.","@@"&amp;$F1644)</t>
  </si>
  <si>
    <t>=-NL("Sum","32 Item Ledger Entry","12 Quantity","5 Source no.",$C1645,"3 Posting Date",Z$9,"4 Entry Type",$C$4,"2 Item No.","@@"&amp;$F1645)</t>
  </si>
  <si>
    <t>=-NL("Sum","32 Item Ledger Entry","12 Quantity","5 Source no.",$C1646,"3 Posting Date",Z$9,"4 Entry Type",$C$4,"2 Item No.","@@"&amp;$F1646)</t>
  </si>
  <si>
    <t>=-NL("Sum","32 Item Ledger Entry","12 Quantity","5 Source no.",$C1647,"3 Posting Date",Z$9,"4 Entry Type",$C$4,"2 Item No.","@@"&amp;$F1647)</t>
  </si>
  <si>
    <t>=-NL("Sum","32 Item Ledger Entry","12 Quantity","5 Source no.",$C1648,"3 Posting Date",Z$9,"4 Entry Type",$C$4,"2 Item No.","@@"&amp;$F1648)</t>
  </si>
  <si>
    <t>=-NL("Sum","32 Item Ledger Entry","12 Quantity","5 Source no.",$C1649,"3 Posting Date",Z$9,"4 Entry Type",$C$4,"2 Item No.","@@"&amp;$F1649)</t>
  </si>
  <si>
    <t>=-NL("Sum","32 Item Ledger Entry","12 Quantity","5 Source no.",$C1650,"3 Posting Date",Z$9,"4 Entry Type",$C$4,"2 Item No.","@@"&amp;$F1650)</t>
  </si>
  <si>
    <t>=-NL("Sum","32 Item Ledger Entry","12 Quantity","5 Source no.",$C1651,"3 Posting Date",Z$9,"4 Entry Type",$C$4,"2 Item No.","@@"&amp;$F1651)</t>
  </si>
  <si>
    <t>=-NL("Sum","32 Item Ledger Entry","12 Quantity","5 Source no.",$C1652,"3 Posting Date",Z$9,"4 Entry Type",$C$4,"2 Item No.","@@"&amp;$F1652)</t>
  </si>
  <si>
    <t>=-NL("Sum","32 Item Ledger Entry","12 Quantity","5 Source no.",$C1653,"3 Posting Date",Z$9,"4 Entry Type",$C$4,"2 Item No.","@@"&amp;$F1653)</t>
  </si>
  <si>
    <t>=-NL("Sum","32 Item Ledger Entry","12 Quantity","5 Source no.",$C1654,"3 Posting Date",Z$9,"4 Entry Type",$C$4,"2 Item No.","@@"&amp;$F1654)</t>
  </si>
  <si>
    <t>=-NL("Sum","32 Item Ledger Entry","12 Quantity","5 Source no.",$C1655,"3 Posting Date",Z$9,"4 Entry Type",$C$4,"2 Item No.","@@"&amp;$F1655)</t>
  </si>
  <si>
    <t>=-NL("Sum","32 Item Ledger Entry","12 Quantity","5 Source no.",$C1656,"3 Posting Date",Z$9,"4 Entry Type",$C$4,"2 Item No.","@@"&amp;$F1656)</t>
  </si>
  <si>
    <t>=-NL("Sum","32 Item Ledger Entry","12 Quantity","5 Source no.",$C1657,"3 Posting Date",Z$9,"4 Entry Type",$C$4,"2 Item No.","@@"&amp;$F1657)</t>
  </si>
  <si>
    <t>=-NL("Sum","32 Item Ledger Entry","12 Quantity","5 Source no.",$C1658,"3 Posting Date",Z$9,"4 Entry Type",$C$4,"2 Item No.","@@"&amp;$F1658)</t>
  </si>
  <si>
    <t>=-NL("Sum","32 Item Ledger Entry","12 Quantity","5 Source no.",$C1659,"3 Posting Date",Z$9,"4 Entry Type",$C$4,"2 Item No.","@@"&amp;$F1659)</t>
  </si>
  <si>
    <t>=-NL("Sum","32 Item Ledger Entry","12 Quantity","5 Source no.",$C1660,"3 Posting Date",Z$9,"4 Entry Type",$C$4,"2 Item No.","@@"&amp;$F1660)</t>
  </si>
  <si>
    <t>=-NL("Sum","32 Item Ledger Entry","12 Quantity","5 Source no.",$C1661,"3 Posting Date",Z$9,"4 Entry Type",$C$4,"2 Item No.","@@"&amp;$F1661)</t>
  </si>
  <si>
    <t>=-NL("Sum","32 Item Ledger Entry","12 Quantity","5 Source no.",$C1662,"3 Posting Date",Z$9,"4 Entry Type",$C$4,"2 Item No.","@@"&amp;$F1662)</t>
  </si>
  <si>
    <t>=-NL("Sum","32 Item Ledger Entry","12 Quantity","5 Source no.",$C1663,"3 Posting Date",Z$9,"4 Entry Type",$C$4,"2 Item No.","@@"&amp;$F1663)</t>
  </si>
  <si>
    <t>=-NL("Sum","32 Item Ledger Entry","12 Quantity","5 Source no.",$C1664,"3 Posting Date",Z$9,"4 Entry Type",$C$4,"2 Item No.","@@"&amp;$F1664)</t>
  </si>
  <si>
    <t>=-NL("Sum","32 Item Ledger Entry","12 Quantity","5 Source no.",$C1665,"3 Posting Date",Z$9,"4 Entry Type",$C$4,"2 Item No.","@@"&amp;$F1665)</t>
  </si>
  <si>
    <t>=-NL("Sum","32 Item Ledger Entry","12 Quantity","5 Source no.",$C1666,"3 Posting Date",Z$9,"4 Entry Type",$C$4,"2 Item No.","@@"&amp;$F1666)</t>
  </si>
  <si>
    <t>=-NL("Sum","32 Item Ledger Entry","12 Quantity","5 Source no.",$C1667,"3 Posting Date",Z$9,"4 Entry Type",$C$4,"2 Item No.","@@"&amp;$F1667)</t>
  </si>
  <si>
    <t>=-NL("Sum","32 Item Ledger Entry","12 Quantity","5 Source no.",$C1668,"3 Posting Date",Z$9,"4 Entry Type",$C$4,"2 Item No.","@@"&amp;$F1668)</t>
  </si>
  <si>
    <t>=-NL("Sum","32 Item Ledger Entry","12 Quantity","5 Source no.",$C1669,"3 Posting Date",Z$9,"4 Entry Type",$C$4,"2 Item No.","@@"&amp;$F1669)</t>
  </si>
  <si>
    <t>=-NL("Sum","32 Item Ledger Entry","12 Quantity","5 Source no.",$C1670,"3 Posting Date",Z$9,"4 Entry Type",$C$4,"2 Item No.","@@"&amp;$F1670)</t>
  </si>
  <si>
    <t>=-NL("Sum","32 Item Ledger Entry","12 Quantity","5 Source no.",$C1671,"3 Posting Date",Z$9,"4 Entry Type",$C$4,"2 Item No.","@@"&amp;$F1671)</t>
  </si>
  <si>
    <t>=-NL("Sum","32 Item Ledger Entry","12 Quantity","5 Source no.",$C1672,"3 Posting Date",Z$9,"4 Entry Type",$C$4,"2 Item No.","@@"&amp;$F1672)</t>
  </si>
  <si>
    <t>=-NL("Sum","32 Item Ledger Entry","12 Quantity","5 Source no.",$C1673,"3 Posting Date",Z$9,"4 Entry Type",$C$4,"2 Item No.","@@"&amp;$F1673)</t>
  </si>
  <si>
    <t>=-NL("Sum","32 Item Ledger Entry","12 Quantity","5 Source no.",$C1674,"3 Posting Date",Z$9,"4 Entry Type",$C$4,"2 Item No.","@@"&amp;$F1674)</t>
  </si>
  <si>
    <t>=-NL("Sum","32 Item Ledger Entry","12 Quantity","5 Source no.",$C1675,"3 Posting Date",Z$9,"4 Entry Type",$C$4,"2 Item No.","@@"&amp;$F1675)</t>
  </si>
  <si>
    <t>=-NL("Sum","32 Item Ledger Entry","12 Quantity","5 Source no.",$C1676,"3 Posting Date",Z$9,"4 Entry Type",$C$4,"2 Item No.","@@"&amp;$F1676)</t>
  </si>
  <si>
    <t>=-NL("Sum","32 Item Ledger Entry","12 Quantity","5 Source no.",$C1677,"3 Posting Date",Z$9,"4 Entry Type",$C$4,"2 Item No.","@@"&amp;$F1677)</t>
  </si>
  <si>
    <t>=-NL("Sum","32 Item Ledger Entry","12 Quantity","5 Source no.",$C1678,"3 Posting Date",Z$9,"4 Entry Type",$C$4,"2 Item No.","@@"&amp;$F1678)</t>
  </si>
  <si>
    <t>=-NL("Sum","32 Item Ledger Entry","12 Quantity","5 Source no.",$C1679,"3 Posting Date",Z$9,"4 Entry Type",$C$4,"2 Item No.","@@"&amp;$F1679)</t>
  </si>
  <si>
    <t>=-NL("Sum","32 Item Ledger Entry","12 Quantity","5 Source no.",$C1680,"3 Posting Date",Z$9,"4 Entry Type",$C$4,"2 Item No.","@@"&amp;$F1680)</t>
  </si>
  <si>
    <t>=-NL("Sum","32 Item Ledger Entry","12 Quantity","5 Source no.",$C1681,"3 Posting Date",Z$9,"4 Entry Type",$C$4,"2 Item No.","@@"&amp;$F1681)</t>
  </si>
  <si>
    <t>=-NL("Sum","32 Item Ledger Entry","12 Quantity","5 Source no.",$C1682,"3 Posting Date",Z$9,"4 Entry Type",$C$4,"2 Item No.","@@"&amp;$F1682)</t>
  </si>
  <si>
    <t>=-NL("Sum","32 Item Ledger Entry","12 Quantity","5 Source no.",$C1683,"3 Posting Date",Z$9,"4 Entry Type",$C$4,"2 Item No.","@@"&amp;$F1683)</t>
  </si>
  <si>
    <t>=-NL("Sum","32 Item Ledger Entry","12 Quantity","5 Source no.",$C1684,"3 Posting Date",Z$9,"4 Entry Type",$C$4,"2 Item No.","@@"&amp;$F1684)</t>
  </si>
  <si>
    <t>=-NL("Sum","32 Item Ledger Entry","12 Quantity","5 Source no.",$C1685,"3 Posting Date",Z$9,"4 Entry Type",$C$4,"2 Item No.","@@"&amp;$F1685)</t>
  </si>
  <si>
    <t>=-NL("Sum","32 Item Ledger Entry","12 Quantity","5 Source no.",$C1686,"3 Posting Date",Z$9,"4 Entry Type",$C$4,"2 Item No.","@@"&amp;$F1686)</t>
  </si>
  <si>
    <t>=-NL("Sum","32 Item Ledger Entry","12 Quantity","5 Source no.",$C1687,"3 Posting Date",Z$9,"4 Entry Type",$C$4,"2 Item No.","@@"&amp;$F1687)</t>
  </si>
  <si>
    <t>=NL(,"27 Item","3 Description","1 No.","@@"&amp;F1597)</t>
  </si>
  <si>
    <t>=NL(,"27 Item","3 Description","1 No.","@@"&amp;F1598)</t>
  </si>
  <si>
    <t>=NL(,"27 Item","3 Description","1 No.","@@"&amp;F1599)</t>
  </si>
  <si>
    <t>=NL(,"27 Item","3 Description","1 No.","@@"&amp;F1600)</t>
  </si>
  <si>
    <t>=NL(,"27 Item","3 Description","1 No.","@@"&amp;F1601)</t>
  </si>
  <si>
    <t>=NL(,"27 Item","3 Description","1 No.","@@"&amp;F1602)</t>
  </si>
  <si>
    <t>=NL(,"27 Item","3 Description","1 No.","@@"&amp;F1603)</t>
  </si>
  <si>
    <t>=NL(,"27 Item","3 Description","1 No.","@@"&amp;F1604)</t>
  </si>
  <si>
    <t>=NL(,"27 Item","3 Description","1 No.","@@"&amp;F1605)</t>
  </si>
  <si>
    <t>=NL(,"27 Item","3 Description","1 No.","@@"&amp;F1606)</t>
  </si>
  <si>
    <t>=NL(,"27 Item","3 Description","1 No.","@@"&amp;F1607)</t>
  </si>
  <si>
    <t>=NL(,"27 Item","3 Description","1 No.","@@"&amp;F1608)</t>
  </si>
  <si>
    <t>=NL(,"27 Item","3 Description","1 No.","@@"&amp;F1609)</t>
  </si>
  <si>
    <t>=NL(,"27 Item","3 Description","1 No.","@@"&amp;F1610)</t>
  </si>
  <si>
    <t>=NL(,"27 Item","3 Description","1 No.","@@"&amp;F1611)</t>
  </si>
  <si>
    <t>=NL(,"27 Item","3 Description","1 No.","@@"&amp;F1612)</t>
  </si>
  <si>
    <t>=NL(,"27 Item","3 Description","1 No.","@@"&amp;F1613)</t>
  </si>
  <si>
    <t>=NL(,"27 Item","3 Description","1 No.","@@"&amp;F1614)</t>
  </si>
  <si>
    <t>=NL(,"27 Item","3 Description","1 No.","@@"&amp;F1615)</t>
  </si>
  <si>
    <t>=NL(,"27 Item","3 Description","1 No.","@@"&amp;F1616)</t>
  </si>
  <si>
    <t>=NL(,"27 Item","3 Description","1 No.","@@"&amp;F1617)</t>
  </si>
  <si>
    <t>=NL(,"27 Item","3 Description","1 No.","@@"&amp;F1618)</t>
  </si>
  <si>
    <t>=NL(,"27 Item","3 Description","1 No.","@@"&amp;F1619)</t>
  </si>
  <si>
    <t>=NL(,"27 Item","3 Description","1 No.","@@"&amp;F1620)</t>
  </si>
  <si>
    <t>=NL(,"27 Item","3 Description","1 No.","@@"&amp;F1621)</t>
  </si>
  <si>
    <t>=NL(,"27 Item","3 Description","1 No.","@@"&amp;F1622)</t>
  </si>
  <si>
    <t>=NL(,"27 Item","3 Description","1 No.","@@"&amp;F1623)</t>
  </si>
  <si>
    <t>=NL(,"27 Item","3 Description","1 No.","@@"&amp;F1624)</t>
  </si>
  <si>
    <t>=NL(,"27 Item","3 Description","1 No.","@@"&amp;F1625)</t>
  </si>
  <si>
    <t>=NL(,"27 Item","3 Description","1 No.","@@"&amp;F1626)</t>
  </si>
  <si>
    <t>=NL(,"27 Item","3 Description","1 No.","@@"&amp;F1627)</t>
  </si>
  <si>
    <t>=NL(,"27 Item","3 Description","1 No.","@@"&amp;F1628)</t>
  </si>
  <si>
    <t>=NL(,"27 Item","3 Description","1 No.","@@"&amp;F1629)</t>
  </si>
  <si>
    <t>=NL(,"27 Item","3 Description","1 No.","@@"&amp;F1630)</t>
  </si>
  <si>
    <t>=NL(,"27 Item","3 Description","1 No.","@@"&amp;F1631)</t>
  </si>
  <si>
    <t>=NL(,"27 Item","3 Description","1 No.","@@"&amp;F1632)</t>
  </si>
  <si>
    <t>=NL(,"27 Item","3 Description","1 No.","@@"&amp;F1633)</t>
  </si>
  <si>
    <t>=NL(,"27 Item","3 Description","1 No.","@@"&amp;F1634)</t>
  </si>
  <si>
    <t>=-NL("Sum","32 Item Ledger Entry","12 Quantity","5 Source no.",$C1597,"3 Posting Date",J$9,"4 Entry Type",$C$4,"2 Item No.","@@"&amp;$F1597)</t>
  </si>
  <si>
    <t>=-NL("Sum","32 Item Ledger Entry","12 Quantity","5 Source no.",$C1598,"3 Posting Date",J$9,"4 Entry Type",$C$4,"2 Item No.","@@"&amp;$F1598)</t>
  </si>
  <si>
    <t>=-NL("Sum","32 Item Ledger Entry","12 Quantity","5 Source no.",$C1599,"3 Posting Date",J$9,"4 Entry Type",$C$4,"2 Item No.","@@"&amp;$F1599)</t>
  </si>
  <si>
    <t>=-NL("Sum","32 Item Ledger Entry","12 Quantity","5 Source no.",$C1600,"3 Posting Date",J$9,"4 Entry Type",$C$4,"2 Item No.","@@"&amp;$F1600)</t>
  </si>
  <si>
    <t>=-NL("Sum","32 Item Ledger Entry","12 Quantity","5 Source no.",$C1601,"3 Posting Date",J$9,"4 Entry Type",$C$4,"2 Item No.","@@"&amp;$F1601)</t>
  </si>
  <si>
    <t>=-NL("Sum","32 Item Ledger Entry","12 Quantity","5 Source no.",$C1602,"3 Posting Date",J$9,"4 Entry Type",$C$4,"2 Item No.","@@"&amp;$F1602)</t>
  </si>
  <si>
    <t>=-NL("Sum","32 Item Ledger Entry","12 Quantity","5 Source no.",$C1603,"3 Posting Date",J$9,"4 Entry Type",$C$4,"2 Item No.","@@"&amp;$F1603)</t>
  </si>
  <si>
    <t>=-NL("Sum","32 Item Ledger Entry","12 Quantity","5 Source no.",$C1604,"3 Posting Date",J$9,"4 Entry Type",$C$4,"2 Item No.","@@"&amp;$F1604)</t>
  </si>
  <si>
    <t>=-NL("Sum","32 Item Ledger Entry","12 Quantity","5 Source no.",$C1605,"3 Posting Date",J$9,"4 Entry Type",$C$4,"2 Item No.","@@"&amp;$F1605)</t>
  </si>
  <si>
    <t>=-NL("Sum","32 Item Ledger Entry","12 Quantity","5 Source no.",$C1606,"3 Posting Date",J$9,"4 Entry Type",$C$4,"2 Item No.","@@"&amp;$F1606)</t>
  </si>
  <si>
    <t>=-NL("Sum","32 Item Ledger Entry","12 Quantity","5 Source no.",$C1607,"3 Posting Date",J$9,"4 Entry Type",$C$4,"2 Item No.","@@"&amp;$F1607)</t>
  </si>
  <si>
    <t>=-NL("Sum","32 Item Ledger Entry","12 Quantity","5 Source no.",$C1608,"3 Posting Date",J$9,"4 Entry Type",$C$4,"2 Item No.","@@"&amp;$F1608)</t>
  </si>
  <si>
    <t>=-NL("Sum","32 Item Ledger Entry","12 Quantity","5 Source no.",$C1609,"3 Posting Date",J$9,"4 Entry Type",$C$4,"2 Item No.","@@"&amp;$F1609)</t>
  </si>
  <si>
    <t>=-NL("Sum","32 Item Ledger Entry","12 Quantity","5 Source no.",$C1610,"3 Posting Date",J$9,"4 Entry Type",$C$4,"2 Item No.","@@"&amp;$F1610)</t>
  </si>
  <si>
    <t>=-NL("Sum","32 Item Ledger Entry","12 Quantity","5 Source no.",$C1611,"3 Posting Date",J$9,"4 Entry Type",$C$4,"2 Item No.","@@"&amp;$F1611)</t>
  </si>
  <si>
    <t>=-NL("Sum","32 Item Ledger Entry","12 Quantity","5 Source no.",$C1612,"3 Posting Date",J$9,"4 Entry Type",$C$4,"2 Item No.","@@"&amp;$F1612)</t>
  </si>
  <si>
    <t>=-NL("Sum","32 Item Ledger Entry","12 Quantity","5 Source no.",$C1613,"3 Posting Date",J$9,"4 Entry Type",$C$4,"2 Item No.","@@"&amp;$F1613)</t>
  </si>
  <si>
    <t>=-NL("Sum","32 Item Ledger Entry","12 Quantity","5 Source no.",$C1614,"3 Posting Date",J$9,"4 Entry Type",$C$4,"2 Item No.","@@"&amp;$F1614)</t>
  </si>
  <si>
    <t>=-NL("Sum","32 Item Ledger Entry","12 Quantity","5 Source no.",$C1615,"3 Posting Date",J$9,"4 Entry Type",$C$4,"2 Item No.","@@"&amp;$F1615)</t>
  </si>
  <si>
    <t>=-NL("Sum","32 Item Ledger Entry","12 Quantity","5 Source no.",$C1616,"3 Posting Date",J$9,"4 Entry Type",$C$4,"2 Item No.","@@"&amp;$F1616)</t>
  </si>
  <si>
    <t>=-NL("Sum","32 Item Ledger Entry","12 Quantity","5 Source no.",$C1617,"3 Posting Date",J$9,"4 Entry Type",$C$4,"2 Item No.","@@"&amp;$F1617)</t>
  </si>
  <si>
    <t>=-NL("Sum","32 Item Ledger Entry","12 Quantity","5 Source no.",$C1618,"3 Posting Date",J$9,"4 Entry Type",$C$4,"2 Item No.","@@"&amp;$F1618)</t>
  </si>
  <si>
    <t>=-NL("Sum","32 Item Ledger Entry","12 Quantity","5 Source no.",$C1619,"3 Posting Date",J$9,"4 Entry Type",$C$4,"2 Item No.","@@"&amp;$F1619)</t>
  </si>
  <si>
    <t>=-NL("Sum","32 Item Ledger Entry","12 Quantity","5 Source no.",$C1620,"3 Posting Date",J$9,"4 Entry Type",$C$4,"2 Item No.","@@"&amp;$F1620)</t>
  </si>
  <si>
    <t>=-NL("Sum","32 Item Ledger Entry","12 Quantity","5 Source no.",$C1621,"3 Posting Date",J$9,"4 Entry Type",$C$4,"2 Item No.","@@"&amp;$F1621)</t>
  </si>
  <si>
    <t>=-NL("Sum","32 Item Ledger Entry","12 Quantity","5 Source no.",$C1622,"3 Posting Date",J$9,"4 Entry Type",$C$4,"2 Item No.","@@"&amp;$F1622)</t>
  </si>
  <si>
    <t>=-NL("Sum","32 Item Ledger Entry","12 Quantity","5 Source no.",$C1623,"3 Posting Date",J$9,"4 Entry Type",$C$4,"2 Item No.","@@"&amp;$F1623)</t>
  </si>
  <si>
    <t>=-NL("Sum","32 Item Ledger Entry","12 Quantity","5 Source no.",$C1624,"3 Posting Date",J$9,"4 Entry Type",$C$4,"2 Item No.","@@"&amp;$F1624)</t>
  </si>
  <si>
    <t>=-NL("Sum","32 Item Ledger Entry","12 Quantity","5 Source no.",$C1625,"3 Posting Date",J$9,"4 Entry Type",$C$4,"2 Item No.","@@"&amp;$F1625)</t>
  </si>
  <si>
    <t>=-NL("Sum","32 Item Ledger Entry","12 Quantity","5 Source no.",$C1626,"3 Posting Date",J$9,"4 Entry Type",$C$4,"2 Item No.","@@"&amp;$F1626)</t>
  </si>
  <si>
    <t>=-NL("Sum","32 Item Ledger Entry","12 Quantity","5 Source no.",$C1627,"3 Posting Date",J$9,"4 Entry Type",$C$4,"2 Item No.","@@"&amp;$F1627)</t>
  </si>
  <si>
    <t>=-NL("Sum","32 Item Ledger Entry","12 Quantity","5 Source no.",$C1628,"3 Posting Date",J$9,"4 Entry Type",$C$4,"2 Item No.","@@"&amp;$F1628)</t>
  </si>
  <si>
    <t>=-NL("Sum","32 Item Ledger Entry","12 Quantity","5 Source no.",$C1629,"3 Posting Date",J$9,"4 Entry Type",$C$4,"2 Item No.","@@"&amp;$F1629)</t>
  </si>
  <si>
    <t>=-NL("Sum","32 Item Ledger Entry","12 Quantity","5 Source no.",$C1630,"3 Posting Date",J$9,"4 Entry Type",$C$4,"2 Item No.","@@"&amp;$F1630)</t>
  </si>
  <si>
    <t>=-NL("Sum","32 Item Ledger Entry","12 Quantity","5 Source no.",$C1631,"3 Posting Date",J$9,"4 Entry Type",$C$4,"2 Item No.","@@"&amp;$F1631)</t>
  </si>
  <si>
    <t>=-NL("Sum","32 Item Ledger Entry","12 Quantity","5 Source no.",$C1632,"3 Posting Date",J$9,"4 Entry Type",$C$4,"2 Item No.","@@"&amp;$F1632)</t>
  </si>
  <si>
    <t>=-NL("Sum","32 Item Ledger Entry","12 Quantity","5 Source no.",$C1633,"3 Posting Date",J$9,"4 Entry Type",$C$4,"2 Item No.","@@"&amp;$F1633)</t>
  </si>
  <si>
    <t>=-NL("Sum","32 Item Ledger Entry","12 Quantity","5 Source no.",$C1634,"3 Posting Date",J$9,"4 Entry Type",$C$4,"2 Item No.","@@"&amp;$F1634)</t>
  </si>
  <si>
    <t>=-NL("Sum","32 Item Ledger Entry","12 Quantity","5 Source no.",$C1597,"3 Posting Date",O$9,"4 Entry Type",$C$4,"2 Item No.","@@"&amp;$F1597)</t>
  </si>
  <si>
    <t>=-NL("Sum","32 Item Ledger Entry","12 Quantity","5 Source no.",$C1598,"3 Posting Date",O$9,"4 Entry Type",$C$4,"2 Item No.","@@"&amp;$F1598)</t>
  </si>
  <si>
    <t>=-NL("Sum","32 Item Ledger Entry","12 Quantity","5 Source no.",$C1599,"3 Posting Date",O$9,"4 Entry Type",$C$4,"2 Item No.","@@"&amp;$F1599)</t>
  </si>
  <si>
    <t>=-NL("Sum","32 Item Ledger Entry","12 Quantity","5 Source no.",$C1600,"3 Posting Date",O$9,"4 Entry Type",$C$4,"2 Item No.","@@"&amp;$F1600)</t>
  </si>
  <si>
    <t>=-NL("Sum","32 Item Ledger Entry","12 Quantity","5 Source no.",$C1601,"3 Posting Date",O$9,"4 Entry Type",$C$4,"2 Item No.","@@"&amp;$F1601)</t>
  </si>
  <si>
    <t>=-NL("Sum","32 Item Ledger Entry","12 Quantity","5 Source no.",$C1602,"3 Posting Date",O$9,"4 Entry Type",$C$4,"2 Item No.","@@"&amp;$F1602)</t>
  </si>
  <si>
    <t>=-NL("Sum","32 Item Ledger Entry","12 Quantity","5 Source no.",$C1603,"3 Posting Date",O$9,"4 Entry Type",$C$4,"2 Item No.","@@"&amp;$F1603)</t>
  </si>
  <si>
    <t>=-NL("Sum","32 Item Ledger Entry","12 Quantity","5 Source no.",$C1604,"3 Posting Date",O$9,"4 Entry Type",$C$4,"2 Item No.","@@"&amp;$F1604)</t>
  </si>
  <si>
    <t>=-NL("Sum","32 Item Ledger Entry","12 Quantity","5 Source no.",$C1605,"3 Posting Date",O$9,"4 Entry Type",$C$4,"2 Item No.","@@"&amp;$F1605)</t>
  </si>
  <si>
    <t>=-NL("Sum","32 Item Ledger Entry","12 Quantity","5 Source no.",$C1606,"3 Posting Date",O$9,"4 Entry Type",$C$4,"2 Item No.","@@"&amp;$F1606)</t>
  </si>
  <si>
    <t>=-NL("Sum","32 Item Ledger Entry","12 Quantity","5 Source no.",$C1607,"3 Posting Date",O$9,"4 Entry Type",$C$4,"2 Item No.","@@"&amp;$F1607)</t>
  </si>
  <si>
    <t>=-NL("Sum","32 Item Ledger Entry","12 Quantity","5 Source no.",$C1608,"3 Posting Date",O$9,"4 Entry Type",$C$4,"2 Item No.","@@"&amp;$F1608)</t>
  </si>
  <si>
    <t>=-NL("Sum","32 Item Ledger Entry","12 Quantity","5 Source no.",$C1609,"3 Posting Date",O$9,"4 Entry Type",$C$4,"2 Item No.","@@"&amp;$F1609)</t>
  </si>
  <si>
    <t>=-NL("Sum","32 Item Ledger Entry","12 Quantity","5 Source no.",$C1610,"3 Posting Date",O$9,"4 Entry Type",$C$4,"2 Item No.","@@"&amp;$F1610)</t>
  </si>
  <si>
    <t>=-NL("Sum","32 Item Ledger Entry","12 Quantity","5 Source no.",$C1611,"3 Posting Date",O$9,"4 Entry Type",$C$4,"2 Item No.","@@"&amp;$F1611)</t>
  </si>
  <si>
    <t>=-NL("Sum","32 Item Ledger Entry","12 Quantity","5 Source no.",$C1612,"3 Posting Date",O$9,"4 Entry Type",$C$4,"2 Item No.","@@"&amp;$F1612)</t>
  </si>
  <si>
    <t>=-NL("Sum","32 Item Ledger Entry","12 Quantity","5 Source no.",$C1613,"3 Posting Date",O$9,"4 Entry Type",$C$4,"2 Item No.","@@"&amp;$F1613)</t>
  </si>
  <si>
    <t>=-NL("Sum","32 Item Ledger Entry","12 Quantity","5 Source no.",$C1614,"3 Posting Date",O$9,"4 Entry Type",$C$4,"2 Item No.","@@"&amp;$F1614)</t>
  </si>
  <si>
    <t>=-NL("Sum","32 Item Ledger Entry","12 Quantity","5 Source no.",$C1615,"3 Posting Date",O$9,"4 Entry Type",$C$4,"2 Item No.","@@"&amp;$F1615)</t>
  </si>
  <si>
    <t>=-NL("Sum","32 Item Ledger Entry","12 Quantity","5 Source no.",$C1616,"3 Posting Date",O$9,"4 Entry Type",$C$4,"2 Item No.","@@"&amp;$F1616)</t>
  </si>
  <si>
    <t>=-NL("Sum","32 Item Ledger Entry","12 Quantity","5 Source no.",$C1617,"3 Posting Date",O$9,"4 Entry Type",$C$4,"2 Item No.","@@"&amp;$F1617)</t>
  </si>
  <si>
    <t>=-NL("Sum","32 Item Ledger Entry","12 Quantity","5 Source no.",$C1618,"3 Posting Date",O$9,"4 Entry Type",$C$4,"2 Item No.","@@"&amp;$F1618)</t>
  </si>
  <si>
    <t>=-NL("Sum","32 Item Ledger Entry","12 Quantity","5 Source no.",$C1619,"3 Posting Date",O$9,"4 Entry Type",$C$4,"2 Item No.","@@"&amp;$F1619)</t>
  </si>
  <si>
    <t>=-NL("Sum","32 Item Ledger Entry","12 Quantity","5 Source no.",$C1620,"3 Posting Date",O$9,"4 Entry Type",$C$4,"2 Item No.","@@"&amp;$F1620)</t>
  </si>
  <si>
    <t>=-NL("Sum","32 Item Ledger Entry","12 Quantity","5 Source no.",$C1621,"3 Posting Date",O$9,"4 Entry Type",$C$4,"2 Item No.","@@"&amp;$F1621)</t>
  </si>
  <si>
    <t>=-NL("Sum","32 Item Ledger Entry","12 Quantity","5 Source no.",$C1622,"3 Posting Date",O$9,"4 Entry Type",$C$4,"2 Item No.","@@"&amp;$F1622)</t>
  </si>
  <si>
    <t>=-NL("Sum","32 Item Ledger Entry","12 Quantity","5 Source no.",$C1623,"3 Posting Date",O$9,"4 Entry Type",$C$4,"2 Item No.","@@"&amp;$F1623)</t>
  </si>
  <si>
    <t>=-NL("Sum","32 Item Ledger Entry","12 Quantity","5 Source no.",$C1624,"3 Posting Date",O$9,"4 Entry Type",$C$4,"2 Item No.","@@"&amp;$F1624)</t>
  </si>
  <si>
    <t>=-NL("Sum","32 Item Ledger Entry","12 Quantity","5 Source no.",$C1625,"3 Posting Date",O$9,"4 Entry Type",$C$4,"2 Item No.","@@"&amp;$F1625)</t>
  </si>
  <si>
    <t>=-NL("Sum","32 Item Ledger Entry","12 Quantity","5 Source no.",$C1626,"3 Posting Date",O$9,"4 Entry Type",$C$4,"2 Item No.","@@"&amp;$F1626)</t>
  </si>
  <si>
    <t>=-NL("Sum","32 Item Ledger Entry","12 Quantity","5 Source no.",$C1627,"3 Posting Date",O$9,"4 Entry Type",$C$4,"2 Item No.","@@"&amp;$F1627)</t>
  </si>
  <si>
    <t>=-NL("Sum","32 Item Ledger Entry","12 Quantity","5 Source no.",$C1628,"3 Posting Date",O$9,"4 Entry Type",$C$4,"2 Item No.","@@"&amp;$F1628)</t>
  </si>
  <si>
    <t>=-NL("Sum","32 Item Ledger Entry","12 Quantity","5 Source no.",$C1629,"3 Posting Date",O$9,"4 Entry Type",$C$4,"2 Item No.","@@"&amp;$F1629)</t>
  </si>
  <si>
    <t>=-NL("Sum","32 Item Ledger Entry","12 Quantity","5 Source no.",$C1630,"3 Posting Date",O$9,"4 Entry Type",$C$4,"2 Item No.","@@"&amp;$F1630)</t>
  </si>
  <si>
    <t>=-NL("Sum","32 Item Ledger Entry","12 Quantity","5 Source no.",$C1631,"3 Posting Date",O$9,"4 Entry Type",$C$4,"2 Item No.","@@"&amp;$F1631)</t>
  </si>
  <si>
    <t>=-NL("Sum","32 Item Ledger Entry","12 Quantity","5 Source no.",$C1632,"3 Posting Date",O$9,"4 Entry Type",$C$4,"2 Item No.","@@"&amp;$F1632)</t>
  </si>
  <si>
    <t>=-NL("Sum","32 Item Ledger Entry","12 Quantity","5 Source no.",$C1633,"3 Posting Date",O$9,"4 Entry Type",$C$4,"2 Item No.","@@"&amp;$F1633)</t>
  </si>
  <si>
    <t>=-NL("Sum","32 Item Ledger Entry","12 Quantity","5 Source no.",$C1634,"3 Posting Date",O$9,"4 Entry Type",$C$4,"2 Item No.","@@"&amp;$F1634)</t>
  </si>
  <si>
    <t>=-NL("Sum","32 Item Ledger Entry","12 Quantity","5 Source no.",$C1597,"3 Posting Date",U$9,"4 Entry Type",$C$4,"2 Item No.","@@"&amp;$F1597)</t>
  </si>
  <si>
    <t>=-NL("Sum","32 Item Ledger Entry","12 Quantity","5 Source no.",$C1598,"3 Posting Date",U$9,"4 Entry Type",$C$4,"2 Item No.","@@"&amp;$F1598)</t>
  </si>
  <si>
    <t>=-NL("Sum","32 Item Ledger Entry","12 Quantity","5 Source no.",$C1599,"3 Posting Date",U$9,"4 Entry Type",$C$4,"2 Item No.","@@"&amp;$F1599)</t>
  </si>
  <si>
    <t>=-NL("Sum","32 Item Ledger Entry","12 Quantity","5 Source no.",$C1600,"3 Posting Date",U$9,"4 Entry Type",$C$4,"2 Item No.","@@"&amp;$F1600)</t>
  </si>
  <si>
    <t>=-NL("Sum","32 Item Ledger Entry","12 Quantity","5 Source no.",$C1601,"3 Posting Date",U$9,"4 Entry Type",$C$4,"2 Item No.","@@"&amp;$F1601)</t>
  </si>
  <si>
    <t>=-NL("Sum","32 Item Ledger Entry","12 Quantity","5 Source no.",$C1602,"3 Posting Date",U$9,"4 Entry Type",$C$4,"2 Item No.","@@"&amp;$F1602)</t>
  </si>
  <si>
    <t>=-NL("Sum","32 Item Ledger Entry","12 Quantity","5 Source no.",$C1603,"3 Posting Date",U$9,"4 Entry Type",$C$4,"2 Item No.","@@"&amp;$F1603)</t>
  </si>
  <si>
    <t>=-NL("Sum","32 Item Ledger Entry","12 Quantity","5 Source no.",$C1604,"3 Posting Date",U$9,"4 Entry Type",$C$4,"2 Item No.","@@"&amp;$F1604)</t>
  </si>
  <si>
    <t>=-NL("Sum","32 Item Ledger Entry","12 Quantity","5 Source no.",$C1605,"3 Posting Date",U$9,"4 Entry Type",$C$4,"2 Item No.","@@"&amp;$F1605)</t>
  </si>
  <si>
    <t>=-NL("Sum","32 Item Ledger Entry","12 Quantity","5 Source no.",$C1606,"3 Posting Date",U$9,"4 Entry Type",$C$4,"2 Item No.","@@"&amp;$F1606)</t>
  </si>
  <si>
    <t>=-NL("Sum","32 Item Ledger Entry","12 Quantity","5 Source no.",$C1607,"3 Posting Date",U$9,"4 Entry Type",$C$4,"2 Item No.","@@"&amp;$F1607)</t>
  </si>
  <si>
    <t>=-NL("Sum","32 Item Ledger Entry","12 Quantity","5 Source no.",$C1608,"3 Posting Date",U$9,"4 Entry Type",$C$4,"2 Item No.","@@"&amp;$F1608)</t>
  </si>
  <si>
    <t>=-NL("Sum","32 Item Ledger Entry","12 Quantity","5 Source no.",$C1609,"3 Posting Date",U$9,"4 Entry Type",$C$4,"2 Item No.","@@"&amp;$F1609)</t>
  </si>
  <si>
    <t>=-NL("Sum","32 Item Ledger Entry","12 Quantity","5 Source no.",$C1610,"3 Posting Date",U$9,"4 Entry Type",$C$4,"2 Item No.","@@"&amp;$F1610)</t>
  </si>
  <si>
    <t>=-NL("Sum","32 Item Ledger Entry","12 Quantity","5 Source no.",$C1611,"3 Posting Date",U$9,"4 Entry Type",$C$4,"2 Item No.","@@"&amp;$F1611)</t>
  </si>
  <si>
    <t>=-NL("Sum","32 Item Ledger Entry","12 Quantity","5 Source no.",$C1612,"3 Posting Date",U$9,"4 Entry Type",$C$4,"2 Item No.","@@"&amp;$F1612)</t>
  </si>
  <si>
    <t>=-NL("Sum","32 Item Ledger Entry","12 Quantity","5 Source no.",$C1613,"3 Posting Date",U$9,"4 Entry Type",$C$4,"2 Item No.","@@"&amp;$F1613)</t>
  </si>
  <si>
    <t>=-NL("Sum","32 Item Ledger Entry","12 Quantity","5 Source no.",$C1614,"3 Posting Date",U$9,"4 Entry Type",$C$4,"2 Item No.","@@"&amp;$F1614)</t>
  </si>
  <si>
    <t>=-NL("Sum","32 Item Ledger Entry","12 Quantity","5 Source no.",$C1615,"3 Posting Date",U$9,"4 Entry Type",$C$4,"2 Item No.","@@"&amp;$F1615)</t>
  </si>
  <si>
    <t>=-NL("Sum","32 Item Ledger Entry","12 Quantity","5 Source no.",$C1616,"3 Posting Date",U$9,"4 Entry Type",$C$4,"2 Item No.","@@"&amp;$F1616)</t>
  </si>
  <si>
    <t>=-NL("Sum","32 Item Ledger Entry","12 Quantity","5 Source no.",$C1617,"3 Posting Date",U$9,"4 Entry Type",$C$4,"2 Item No.","@@"&amp;$F1617)</t>
  </si>
  <si>
    <t>=-NL("Sum","32 Item Ledger Entry","12 Quantity","5 Source no.",$C1618,"3 Posting Date",U$9,"4 Entry Type",$C$4,"2 Item No.","@@"&amp;$F1618)</t>
  </si>
  <si>
    <t>=-NL("Sum","32 Item Ledger Entry","12 Quantity","5 Source no.",$C1619,"3 Posting Date",U$9,"4 Entry Type",$C$4,"2 Item No.","@@"&amp;$F1619)</t>
  </si>
  <si>
    <t>=-NL("Sum","32 Item Ledger Entry","12 Quantity","5 Source no.",$C1620,"3 Posting Date",U$9,"4 Entry Type",$C$4,"2 Item No.","@@"&amp;$F1620)</t>
  </si>
  <si>
    <t>=-NL("Sum","32 Item Ledger Entry","12 Quantity","5 Source no.",$C1621,"3 Posting Date",U$9,"4 Entry Type",$C$4,"2 Item No.","@@"&amp;$F1621)</t>
  </si>
  <si>
    <t>=-NL("Sum","32 Item Ledger Entry","12 Quantity","5 Source no.",$C1622,"3 Posting Date",U$9,"4 Entry Type",$C$4,"2 Item No.","@@"&amp;$F1622)</t>
  </si>
  <si>
    <t>=-NL("Sum","32 Item Ledger Entry","12 Quantity","5 Source no.",$C1623,"3 Posting Date",U$9,"4 Entry Type",$C$4,"2 Item No.","@@"&amp;$F1623)</t>
  </si>
  <si>
    <t>=-NL("Sum","32 Item Ledger Entry","12 Quantity","5 Source no.",$C1624,"3 Posting Date",U$9,"4 Entry Type",$C$4,"2 Item No.","@@"&amp;$F1624)</t>
  </si>
  <si>
    <t>=-NL("Sum","32 Item Ledger Entry","12 Quantity","5 Source no.",$C1625,"3 Posting Date",U$9,"4 Entry Type",$C$4,"2 Item No.","@@"&amp;$F1625)</t>
  </si>
  <si>
    <t>=-NL("Sum","32 Item Ledger Entry","12 Quantity","5 Source no.",$C1626,"3 Posting Date",U$9,"4 Entry Type",$C$4,"2 Item No.","@@"&amp;$F1626)</t>
  </si>
  <si>
    <t>=-NL("Sum","32 Item Ledger Entry","12 Quantity","5 Source no.",$C1627,"3 Posting Date",U$9,"4 Entry Type",$C$4,"2 Item No.","@@"&amp;$F1627)</t>
  </si>
  <si>
    <t>=-NL("Sum","32 Item Ledger Entry","12 Quantity","5 Source no.",$C1628,"3 Posting Date",U$9,"4 Entry Type",$C$4,"2 Item No.","@@"&amp;$F1628)</t>
  </si>
  <si>
    <t>=-NL("Sum","32 Item Ledger Entry","12 Quantity","5 Source no.",$C1629,"3 Posting Date",U$9,"4 Entry Type",$C$4,"2 Item No.","@@"&amp;$F1629)</t>
  </si>
  <si>
    <t>=-NL("Sum","32 Item Ledger Entry","12 Quantity","5 Source no.",$C1630,"3 Posting Date",U$9,"4 Entry Type",$C$4,"2 Item No.","@@"&amp;$F1630)</t>
  </si>
  <si>
    <t>=-NL("Sum","32 Item Ledger Entry","12 Quantity","5 Source no.",$C1631,"3 Posting Date",U$9,"4 Entry Type",$C$4,"2 Item No.","@@"&amp;$F1631)</t>
  </si>
  <si>
    <t>=-NL("Sum","32 Item Ledger Entry","12 Quantity","5 Source no.",$C1632,"3 Posting Date",U$9,"4 Entry Type",$C$4,"2 Item No.","@@"&amp;$F1632)</t>
  </si>
  <si>
    <t>=-NL("Sum","32 Item Ledger Entry","12 Quantity","5 Source no.",$C1633,"3 Posting Date",U$9,"4 Entry Type",$C$4,"2 Item No.","@@"&amp;$F1633)</t>
  </si>
  <si>
    <t>=-NL("Sum","32 Item Ledger Entry","12 Quantity","5 Source no.",$C1634,"3 Posting Date",U$9,"4 Entry Type",$C$4,"2 Item No.","@@"&amp;$F1634)</t>
  </si>
  <si>
    <t>=-NL("Sum","32 Item Ledger Entry","12 Quantity","5 Source no.",$C1597,"3 Posting Date",Z$9,"4 Entry Type",$C$4,"2 Item No.","@@"&amp;$F1597)</t>
  </si>
  <si>
    <t>=-NL("Sum","32 Item Ledger Entry","12 Quantity","5 Source no.",$C1598,"3 Posting Date",Z$9,"4 Entry Type",$C$4,"2 Item No.","@@"&amp;$F1598)</t>
  </si>
  <si>
    <t>=-NL("Sum","32 Item Ledger Entry","12 Quantity","5 Source no.",$C1599,"3 Posting Date",Z$9,"4 Entry Type",$C$4,"2 Item No.","@@"&amp;$F1599)</t>
  </si>
  <si>
    <t>=-NL("Sum","32 Item Ledger Entry","12 Quantity","5 Source no.",$C1600,"3 Posting Date",Z$9,"4 Entry Type",$C$4,"2 Item No.","@@"&amp;$F1600)</t>
  </si>
  <si>
    <t>=-NL("Sum","32 Item Ledger Entry","12 Quantity","5 Source no.",$C1601,"3 Posting Date",Z$9,"4 Entry Type",$C$4,"2 Item No.","@@"&amp;$F1601)</t>
  </si>
  <si>
    <t>=-NL("Sum","32 Item Ledger Entry","12 Quantity","5 Source no.",$C1602,"3 Posting Date",Z$9,"4 Entry Type",$C$4,"2 Item No.","@@"&amp;$F1602)</t>
  </si>
  <si>
    <t>=-NL("Sum","32 Item Ledger Entry","12 Quantity","5 Source no.",$C1603,"3 Posting Date",Z$9,"4 Entry Type",$C$4,"2 Item No.","@@"&amp;$F1603)</t>
  </si>
  <si>
    <t>=-NL("Sum","32 Item Ledger Entry","12 Quantity","5 Source no.",$C1604,"3 Posting Date",Z$9,"4 Entry Type",$C$4,"2 Item No.","@@"&amp;$F1604)</t>
  </si>
  <si>
    <t>=-NL("Sum","32 Item Ledger Entry","12 Quantity","5 Source no.",$C1605,"3 Posting Date",Z$9,"4 Entry Type",$C$4,"2 Item No.","@@"&amp;$F1605)</t>
  </si>
  <si>
    <t>=-NL("Sum","32 Item Ledger Entry","12 Quantity","5 Source no.",$C1606,"3 Posting Date",Z$9,"4 Entry Type",$C$4,"2 Item No.","@@"&amp;$F1606)</t>
  </si>
  <si>
    <t>=-NL("Sum","32 Item Ledger Entry","12 Quantity","5 Source no.",$C1607,"3 Posting Date",Z$9,"4 Entry Type",$C$4,"2 Item No.","@@"&amp;$F1607)</t>
  </si>
  <si>
    <t>=-NL("Sum","32 Item Ledger Entry","12 Quantity","5 Source no.",$C1608,"3 Posting Date",Z$9,"4 Entry Type",$C$4,"2 Item No.","@@"&amp;$F1608)</t>
  </si>
  <si>
    <t>=-NL("Sum","32 Item Ledger Entry","12 Quantity","5 Source no.",$C1609,"3 Posting Date",Z$9,"4 Entry Type",$C$4,"2 Item No.","@@"&amp;$F1609)</t>
  </si>
  <si>
    <t>=-NL("Sum","32 Item Ledger Entry","12 Quantity","5 Source no.",$C1610,"3 Posting Date",Z$9,"4 Entry Type",$C$4,"2 Item No.","@@"&amp;$F1610)</t>
  </si>
  <si>
    <t>=-NL("Sum","32 Item Ledger Entry","12 Quantity","5 Source no.",$C1611,"3 Posting Date",Z$9,"4 Entry Type",$C$4,"2 Item No.","@@"&amp;$F1611)</t>
  </si>
  <si>
    <t>=-NL("Sum","32 Item Ledger Entry","12 Quantity","5 Source no.",$C1612,"3 Posting Date",Z$9,"4 Entry Type",$C$4,"2 Item No.","@@"&amp;$F1612)</t>
  </si>
  <si>
    <t>=-NL("Sum","32 Item Ledger Entry","12 Quantity","5 Source no.",$C1613,"3 Posting Date",Z$9,"4 Entry Type",$C$4,"2 Item No.","@@"&amp;$F1613)</t>
  </si>
  <si>
    <t>=-NL("Sum","32 Item Ledger Entry","12 Quantity","5 Source no.",$C1614,"3 Posting Date",Z$9,"4 Entry Type",$C$4,"2 Item No.","@@"&amp;$F1614)</t>
  </si>
  <si>
    <t>=-NL("Sum","32 Item Ledger Entry","12 Quantity","5 Source no.",$C1615,"3 Posting Date",Z$9,"4 Entry Type",$C$4,"2 Item No.","@@"&amp;$F1615)</t>
  </si>
  <si>
    <t>=-NL("Sum","32 Item Ledger Entry","12 Quantity","5 Source no.",$C1616,"3 Posting Date",Z$9,"4 Entry Type",$C$4,"2 Item No.","@@"&amp;$F1616)</t>
  </si>
  <si>
    <t>=-NL("Sum","32 Item Ledger Entry","12 Quantity","5 Source no.",$C1617,"3 Posting Date",Z$9,"4 Entry Type",$C$4,"2 Item No.","@@"&amp;$F1617)</t>
  </si>
  <si>
    <t>=-NL("Sum","32 Item Ledger Entry","12 Quantity","5 Source no.",$C1618,"3 Posting Date",Z$9,"4 Entry Type",$C$4,"2 Item No.","@@"&amp;$F1618)</t>
  </si>
  <si>
    <t>=-NL("Sum","32 Item Ledger Entry","12 Quantity","5 Source no.",$C1619,"3 Posting Date",Z$9,"4 Entry Type",$C$4,"2 Item No.","@@"&amp;$F1619)</t>
  </si>
  <si>
    <t>=-NL("Sum","32 Item Ledger Entry","12 Quantity","5 Source no.",$C1620,"3 Posting Date",Z$9,"4 Entry Type",$C$4,"2 Item No.","@@"&amp;$F1620)</t>
  </si>
  <si>
    <t>=-NL("Sum","32 Item Ledger Entry","12 Quantity","5 Source no.",$C1621,"3 Posting Date",Z$9,"4 Entry Type",$C$4,"2 Item No.","@@"&amp;$F1621)</t>
  </si>
  <si>
    <t>=-NL("Sum","32 Item Ledger Entry","12 Quantity","5 Source no.",$C1622,"3 Posting Date",Z$9,"4 Entry Type",$C$4,"2 Item No.","@@"&amp;$F1622)</t>
  </si>
  <si>
    <t>=-NL("Sum","32 Item Ledger Entry","12 Quantity","5 Source no.",$C1623,"3 Posting Date",Z$9,"4 Entry Type",$C$4,"2 Item No.","@@"&amp;$F1623)</t>
  </si>
  <si>
    <t>=-NL("Sum","32 Item Ledger Entry","12 Quantity","5 Source no.",$C1624,"3 Posting Date",Z$9,"4 Entry Type",$C$4,"2 Item No.","@@"&amp;$F1624)</t>
  </si>
  <si>
    <t>=-NL("Sum","32 Item Ledger Entry","12 Quantity","5 Source no.",$C1625,"3 Posting Date",Z$9,"4 Entry Type",$C$4,"2 Item No.","@@"&amp;$F1625)</t>
  </si>
  <si>
    <t>=-NL("Sum","32 Item Ledger Entry","12 Quantity","5 Source no.",$C1626,"3 Posting Date",Z$9,"4 Entry Type",$C$4,"2 Item No.","@@"&amp;$F1626)</t>
  </si>
  <si>
    <t>=-NL("Sum","32 Item Ledger Entry","12 Quantity","5 Source no.",$C1627,"3 Posting Date",Z$9,"4 Entry Type",$C$4,"2 Item No.","@@"&amp;$F1627)</t>
  </si>
  <si>
    <t>=-NL("Sum","32 Item Ledger Entry","12 Quantity","5 Source no.",$C1628,"3 Posting Date",Z$9,"4 Entry Type",$C$4,"2 Item No.","@@"&amp;$F1628)</t>
  </si>
  <si>
    <t>=-NL("Sum","32 Item Ledger Entry","12 Quantity","5 Source no.",$C1629,"3 Posting Date",Z$9,"4 Entry Type",$C$4,"2 Item No.","@@"&amp;$F1629)</t>
  </si>
  <si>
    <t>=-NL("Sum","32 Item Ledger Entry","12 Quantity","5 Source no.",$C1630,"3 Posting Date",Z$9,"4 Entry Type",$C$4,"2 Item No.","@@"&amp;$F1630)</t>
  </si>
  <si>
    <t>=-NL("Sum","32 Item Ledger Entry","12 Quantity","5 Source no.",$C1631,"3 Posting Date",Z$9,"4 Entry Type",$C$4,"2 Item No.","@@"&amp;$F1631)</t>
  </si>
  <si>
    <t>=-NL("Sum","32 Item Ledger Entry","12 Quantity","5 Source no.",$C1632,"3 Posting Date",Z$9,"4 Entry Type",$C$4,"2 Item No.","@@"&amp;$F1632)</t>
  </si>
  <si>
    <t>=-NL("Sum","32 Item Ledger Entry","12 Quantity","5 Source no.",$C1633,"3 Posting Date",Z$9,"4 Entry Type",$C$4,"2 Item No.","@@"&amp;$F1633)</t>
  </si>
  <si>
    <t>=-NL("Sum","32 Item Ledger Entry","12 Quantity","5 Source no.",$C1634,"3 Posting Date",Z$9,"4 Entry Type",$C$4,"2 Item No.","@@"&amp;$F1634)</t>
  </si>
  <si>
    <t>=NL(,"27 Item","3 Description","1 No.","@@"&amp;F1566)</t>
  </si>
  <si>
    <t>=NL(,"27 Item","3 Description","1 No.","@@"&amp;F1567)</t>
  </si>
  <si>
    <t>=NL(,"27 Item","3 Description","1 No.","@@"&amp;F1568)</t>
  </si>
  <si>
    <t>=NL(,"27 Item","3 Description","1 No.","@@"&amp;F1569)</t>
  </si>
  <si>
    <t>=NL(,"27 Item","3 Description","1 No.","@@"&amp;F1570)</t>
  </si>
  <si>
    <t>=NL(,"27 Item","3 Description","1 No.","@@"&amp;F1571)</t>
  </si>
  <si>
    <t>=NL(,"27 Item","3 Description","1 No.","@@"&amp;F1572)</t>
  </si>
  <si>
    <t>=NL(,"27 Item","3 Description","1 No.","@@"&amp;F1573)</t>
  </si>
  <si>
    <t>=NL(,"27 Item","3 Description","1 No.","@@"&amp;F1574)</t>
  </si>
  <si>
    <t>=NL(,"27 Item","3 Description","1 No.","@@"&amp;F1575)</t>
  </si>
  <si>
    <t>=NL(,"27 Item","3 Description","1 No.","@@"&amp;F1576)</t>
  </si>
  <si>
    <t>=NL(,"27 Item","3 Description","1 No.","@@"&amp;F1577)</t>
  </si>
  <si>
    <t>=NL(,"27 Item","3 Description","1 No.","@@"&amp;F1578)</t>
  </si>
  <si>
    <t>=NL(,"27 Item","3 Description","1 No.","@@"&amp;F1579)</t>
  </si>
  <si>
    <t>=NL(,"27 Item","3 Description","1 No.","@@"&amp;F1580)</t>
  </si>
  <si>
    <t>=NL(,"27 Item","3 Description","1 No.","@@"&amp;F1581)</t>
  </si>
  <si>
    <t>=NL(,"27 Item","3 Description","1 No.","@@"&amp;F1582)</t>
  </si>
  <si>
    <t>=NL(,"27 Item","3 Description","1 No.","@@"&amp;F1583)</t>
  </si>
  <si>
    <t>=NL(,"27 Item","3 Description","1 No.","@@"&amp;F1584)</t>
  </si>
  <si>
    <t>=NL(,"27 Item","3 Description","1 No.","@@"&amp;F1585)</t>
  </si>
  <si>
    <t>=NL(,"27 Item","3 Description","1 No.","@@"&amp;F1586)</t>
  </si>
  <si>
    <t>=NL(,"27 Item","3 Description","1 No.","@@"&amp;F1587)</t>
  </si>
  <si>
    <t>=NL(,"27 Item","3 Description","1 No.","@@"&amp;F1588)</t>
  </si>
  <si>
    <t>=NL(,"27 Item","3 Description","1 No.","@@"&amp;F1589)</t>
  </si>
  <si>
    <t>=NL(,"27 Item","3 Description","1 No.","@@"&amp;F1590)</t>
  </si>
  <si>
    <t>=NL(,"27 Item","3 Description","1 No.","@@"&amp;F1591)</t>
  </si>
  <si>
    <t>=-NL("Sum","32 Item Ledger Entry","12 Quantity","5 Source no.",$C1566,"3 Posting Date",J$9,"4 Entry Type",$C$4,"2 Item No.","@@"&amp;$F1566)</t>
  </si>
  <si>
    <t>=-NL("Sum","32 Item Ledger Entry","12 Quantity","5 Source no.",$C1567,"3 Posting Date",J$9,"4 Entry Type",$C$4,"2 Item No.","@@"&amp;$F1567)</t>
  </si>
  <si>
    <t>=-NL("Sum","32 Item Ledger Entry","12 Quantity","5 Source no.",$C1568,"3 Posting Date",J$9,"4 Entry Type",$C$4,"2 Item No.","@@"&amp;$F1568)</t>
  </si>
  <si>
    <t>=-NL("Sum","32 Item Ledger Entry","12 Quantity","5 Source no.",$C1569,"3 Posting Date",J$9,"4 Entry Type",$C$4,"2 Item No.","@@"&amp;$F1569)</t>
  </si>
  <si>
    <t>=-NL("Sum","32 Item Ledger Entry","12 Quantity","5 Source no.",$C1570,"3 Posting Date",J$9,"4 Entry Type",$C$4,"2 Item No.","@@"&amp;$F1570)</t>
  </si>
  <si>
    <t>=-NL("Sum","32 Item Ledger Entry","12 Quantity","5 Source no.",$C1571,"3 Posting Date",J$9,"4 Entry Type",$C$4,"2 Item No.","@@"&amp;$F1571)</t>
  </si>
  <si>
    <t>=-NL("Sum","32 Item Ledger Entry","12 Quantity","5 Source no.",$C1572,"3 Posting Date",J$9,"4 Entry Type",$C$4,"2 Item No.","@@"&amp;$F1572)</t>
  </si>
  <si>
    <t>=-NL("Sum","32 Item Ledger Entry","12 Quantity","5 Source no.",$C1573,"3 Posting Date",J$9,"4 Entry Type",$C$4,"2 Item No.","@@"&amp;$F1573)</t>
  </si>
  <si>
    <t>=-NL("Sum","32 Item Ledger Entry","12 Quantity","5 Source no.",$C1574,"3 Posting Date",J$9,"4 Entry Type",$C$4,"2 Item No.","@@"&amp;$F1574)</t>
  </si>
  <si>
    <t>=-NL("Sum","32 Item Ledger Entry","12 Quantity","5 Source no.",$C1575,"3 Posting Date",J$9,"4 Entry Type",$C$4,"2 Item No.","@@"&amp;$F1575)</t>
  </si>
  <si>
    <t>=-NL("Sum","32 Item Ledger Entry","12 Quantity","5 Source no.",$C1576,"3 Posting Date",J$9,"4 Entry Type",$C$4,"2 Item No.","@@"&amp;$F1576)</t>
  </si>
  <si>
    <t>=-NL("Sum","32 Item Ledger Entry","12 Quantity","5 Source no.",$C1577,"3 Posting Date",J$9,"4 Entry Type",$C$4,"2 Item No.","@@"&amp;$F1577)</t>
  </si>
  <si>
    <t>=-NL("Sum","32 Item Ledger Entry","12 Quantity","5 Source no.",$C1578,"3 Posting Date",J$9,"4 Entry Type",$C$4,"2 Item No.","@@"&amp;$F1578)</t>
  </si>
  <si>
    <t>=-NL("Sum","32 Item Ledger Entry","12 Quantity","5 Source no.",$C1579,"3 Posting Date",J$9,"4 Entry Type",$C$4,"2 Item No.","@@"&amp;$F1579)</t>
  </si>
  <si>
    <t>=-NL("Sum","32 Item Ledger Entry","12 Quantity","5 Source no.",$C1580,"3 Posting Date",J$9,"4 Entry Type",$C$4,"2 Item No.","@@"&amp;$F1580)</t>
  </si>
  <si>
    <t>=-NL("Sum","32 Item Ledger Entry","12 Quantity","5 Source no.",$C1581,"3 Posting Date",J$9,"4 Entry Type",$C$4,"2 Item No.","@@"&amp;$F1581)</t>
  </si>
  <si>
    <t>=-NL("Sum","32 Item Ledger Entry","12 Quantity","5 Source no.",$C1582,"3 Posting Date",J$9,"4 Entry Type",$C$4,"2 Item No.","@@"&amp;$F1582)</t>
  </si>
  <si>
    <t>=-NL("Sum","32 Item Ledger Entry","12 Quantity","5 Source no.",$C1583,"3 Posting Date",J$9,"4 Entry Type",$C$4,"2 Item No.","@@"&amp;$F1583)</t>
  </si>
  <si>
    <t>=-NL("Sum","32 Item Ledger Entry","12 Quantity","5 Source no.",$C1584,"3 Posting Date",J$9,"4 Entry Type",$C$4,"2 Item No.","@@"&amp;$F1584)</t>
  </si>
  <si>
    <t>=-NL("Sum","32 Item Ledger Entry","12 Quantity","5 Source no.",$C1585,"3 Posting Date",J$9,"4 Entry Type",$C$4,"2 Item No.","@@"&amp;$F1585)</t>
  </si>
  <si>
    <t>=-NL("Sum","32 Item Ledger Entry","12 Quantity","5 Source no.",$C1586,"3 Posting Date",J$9,"4 Entry Type",$C$4,"2 Item No.","@@"&amp;$F1586)</t>
  </si>
  <si>
    <t>=-NL("Sum","32 Item Ledger Entry","12 Quantity","5 Source no.",$C1587,"3 Posting Date",J$9,"4 Entry Type",$C$4,"2 Item No.","@@"&amp;$F1587)</t>
  </si>
  <si>
    <t>=-NL("Sum","32 Item Ledger Entry","12 Quantity","5 Source no.",$C1588,"3 Posting Date",J$9,"4 Entry Type",$C$4,"2 Item No.","@@"&amp;$F1588)</t>
  </si>
  <si>
    <t>=-NL("Sum","32 Item Ledger Entry","12 Quantity","5 Source no.",$C1589,"3 Posting Date",J$9,"4 Entry Type",$C$4,"2 Item No.","@@"&amp;$F1589)</t>
  </si>
  <si>
    <t>=-NL("Sum","32 Item Ledger Entry","12 Quantity","5 Source no.",$C1590,"3 Posting Date",J$9,"4 Entry Type",$C$4,"2 Item No.","@@"&amp;$F1590)</t>
  </si>
  <si>
    <t>=-NL("Sum","32 Item Ledger Entry","12 Quantity","5 Source no.",$C1591,"3 Posting Date",J$9,"4 Entry Type",$C$4,"2 Item No.","@@"&amp;$F1591)</t>
  </si>
  <si>
    <t>=-NL("Sum","32 Item Ledger Entry","12 Quantity","5 Source no.",$C1566,"3 Posting Date",O$9,"4 Entry Type",$C$4,"2 Item No.","@@"&amp;$F1566)</t>
  </si>
  <si>
    <t>=-NL("Sum","32 Item Ledger Entry","12 Quantity","5 Source no.",$C1567,"3 Posting Date",O$9,"4 Entry Type",$C$4,"2 Item No.","@@"&amp;$F1567)</t>
  </si>
  <si>
    <t>=-NL("Sum","32 Item Ledger Entry","12 Quantity","5 Source no.",$C1568,"3 Posting Date",O$9,"4 Entry Type",$C$4,"2 Item No.","@@"&amp;$F1568)</t>
  </si>
  <si>
    <t>=-NL("Sum","32 Item Ledger Entry","12 Quantity","5 Source no.",$C1569,"3 Posting Date",O$9,"4 Entry Type",$C$4,"2 Item No.","@@"&amp;$F1569)</t>
  </si>
  <si>
    <t>=-NL("Sum","32 Item Ledger Entry","12 Quantity","5 Source no.",$C1570,"3 Posting Date",O$9,"4 Entry Type",$C$4,"2 Item No.","@@"&amp;$F1570)</t>
  </si>
  <si>
    <t>=-NL("Sum","32 Item Ledger Entry","12 Quantity","5 Source no.",$C1571,"3 Posting Date",O$9,"4 Entry Type",$C$4,"2 Item No.","@@"&amp;$F1571)</t>
  </si>
  <si>
    <t>=-NL("Sum","32 Item Ledger Entry","12 Quantity","5 Source no.",$C1572,"3 Posting Date",O$9,"4 Entry Type",$C$4,"2 Item No.","@@"&amp;$F1572)</t>
  </si>
  <si>
    <t>=-NL("Sum","32 Item Ledger Entry","12 Quantity","5 Source no.",$C1573,"3 Posting Date",O$9,"4 Entry Type",$C$4,"2 Item No.","@@"&amp;$F1573)</t>
  </si>
  <si>
    <t>=-NL("Sum","32 Item Ledger Entry","12 Quantity","5 Source no.",$C1574,"3 Posting Date",O$9,"4 Entry Type",$C$4,"2 Item No.","@@"&amp;$F1574)</t>
  </si>
  <si>
    <t>=-NL("Sum","32 Item Ledger Entry","12 Quantity","5 Source no.",$C1575,"3 Posting Date",O$9,"4 Entry Type",$C$4,"2 Item No.","@@"&amp;$F1575)</t>
  </si>
  <si>
    <t>=-NL("Sum","32 Item Ledger Entry","12 Quantity","5 Source no.",$C1576,"3 Posting Date",O$9,"4 Entry Type",$C$4,"2 Item No.","@@"&amp;$F1576)</t>
  </si>
  <si>
    <t>=-NL("Sum","32 Item Ledger Entry","12 Quantity","5 Source no.",$C1577,"3 Posting Date",O$9,"4 Entry Type",$C$4,"2 Item No.","@@"&amp;$F1577)</t>
  </si>
  <si>
    <t>=-NL("Sum","32 Item Ledger Entry","12 Quantity","5 Source no.",$C1578,"3 Posting Date",O$9,"4 Entry Type",$C$4,"2 Item No.","@@"&amp;$F1578)</t>
  </si>
  <si>
    <t>=-NL("Sum","32 Item Ledger Entry","12 Quantity","5 Source no.",$C1579,"3 Posting Date",O$9,"4 Entry Type",$C$4,"2 Item No.","@@"&amp;$F1579)</t>
  </si>
  <si>
    <t>=-NL("Sum","32 Item Ledger Entry","12 Quantity","5 Source no.",$C1580,"3 Posting Date",O$9,"4 Entry Type",$C$4,"2 Item No.","@@"&amp;$F1580)</t>
  </si>
  <si>
    <t>=-NL("Sum","32 Item Ledger Entry","12 Quantity","5 Source no.",$C1581,"3 Posting Date",O$9,"4 Entry Type",$C$4,"2 Item No.","@@"&amp;$F1581)</t>
  </si>
  <si>
    <t>=-NL("Sum","32 Item Ledger Entry","12 Quantity","5 Source no.",$C1582,"3 Posting Date",O$9,"4 Entry Type",$C$4,"2 Item No.","@@"&amp;$F1582)</t>
  </si>
  <si>
    <t>=-NL("Sum","32 Item Ledger Entry","12 Quantity","5 Source no.",$C1583,"3 Posting Date",O$9,"4 Entry Type",$C$4,"2 Item No.","@@"&amp;$F1583)</t>
  </si>
  <si>
    <t>=-NL("Sum","32 Item Ledger Entry","12 Quantity","5 Source no.",$C1584,"3 Posting Date",O$9,"4 Entry Type",$C$4,"2 Item No.","@@"&amp;$F1584)</t>
  </si>
  <si>
    <t>=-NL("Sum","32 Item Ledger Entry","12 Quantity","5 Source no.",$C1585,"3 Posting Date",O$9,"4 Entry Type",$C$4,"2 Item No.","@@"&amp;$F1585)</t>
  </si>
  <si>
    <t>=-NL("Sum","32 Item Ledger Entry","12 Quantity","5 Source no.",$C1586,"3 Posting Date",O$9,"4 Entry Type",$C$4,"2 Item No.","@@"&amp;$F1586)</t>
  </si>
  <si>
    <t>=-NL("Sum","32 Item Ledger Entry","12 Quantity","5 Source no.",$C1587,"3 Posting Date",O$9,"4 Entry Type",$C$4,"2 Item No.","@@"&amp;$F1587)</t>
  </si>
  <si>
    <t>=-NL("Sum","32 Item Ledger Entry","12 Quantity","5 Source no.",$C1588,"3 Posting Date",O$9,"4 Entry Type",$C$4,"2 Item No.","@@"&amp;$F1588)</t>
  </si>
  <si>
    <t>=-NL("Sum","32 Item Ledger Entry","12 Quantity","5 Source no.",$C1589,"3 Posting Date",O$9,"4 Entry Type",$C$4,"2 Item No.","@@"&amp;$F1589)</t>
  </si>
  <si>
    <t>=-NL("Sum","32 Item Ledger Entry","12 Quantity","5 Source no.",$C1590,"3 Posting Date",O$9,"4 Entry Type",$C$4,"2 Item No.","@@"&amp;$F1590)</t>
  </si>
  <si>
    <t>=-NL("Sum","32 Item Ledger Entry","12 Quantity","5 Source no.",$C1591,"3 Posting Date",O$9,"4 Entry Type",$C$4,"2 Item No.","@@"&amp;$F1591)</t>
  </si>
  <si>
    <t>=-NL("Sum","32 Item Ledger Entry","12 Quantity","5 Source no.",$C1566,"3 Posting Date",U$9,"4 Entry Type",$C$4,"2 Item No.","@@"&amp;$F1566)</t>
  </si>
  <si>
    <t>=-NL("Sum","32 Item Ledger Entry","12 Quantity","5 Source no.",$C1567,"3 Posting Date",U$9,"4 Entry Type",$C$4,"2 Item No.","@@"&amp;$F1567)</t>
  </si>
  <si>
    <t>=-NL("Sum","32 Item Ledger Entry","12 Quantity","5 Source no.",$C1568,"3 Posting Date",U$9,"4 Entry Type",$C$4,"2 Item No.","@@"&amp;$F1568)</t>
  </si>
  <si>
    <t>=-NL("Sum","32 Item Ledger Entry","12 Quantity","5 Source no.",$C1569,"3 Posting Date",U$9,"4 Entry Type",$C$4,"2 Item No.","@@"&amp;$F1569)</t>
  </si>
  <si>
    <t>=-NL("Sum","32 Item Ledger Entry","12 Quantity","5 Source no.",$C1570,"3 Posting Date",U$9,"4 Entry Type",$C$4,"2 Item No.","@@"&amp;$F1570)</t>
  </si>
  <si>
    <t>=-NL("Sum","32 Item Ledger Entry","12 Quantity","5 Source no.",$C1571,"3 Posting Date",U$9,"4 Entry Type",$C$4,"2 Item No.","@@"&amp;$F1571)</t>
  </si>
  <si>
    <t>=-NL("Sum","32 Item Ledger Entry","12 Quantity","5 Source no.",$C1572,"3 Posting Date",U$9,"4 Entry Type",$C$4,"2 Item No.","@@"&amp;$F1572)</t>
  </si>
  <si>
    <t>=-NL("Sum","32 Item Ledger Entry","12 Quantity","5 Source no.",$C1573,"3 Posting Date",U$9,"4 Entry Type",$C$4,"2 Item No.","@@"&amp;$F1573)</t>
  </si>
  <si>
    <t>=-NL("Sum","32 Item Ledger Entry","12 Quantity","5 Source no.",$C1574,"3 Posting Date",U$9,"4 Entry Type",$C$4,"2 Item No.","@@"&amp;$F1574)</t>
  </si>
  <si>
    <t>=-NL("Sum","32 Item Ledger Entry","12 Quantity","5 Source no.",$C1575,"3 Posting Date",U$9,"4 Entry Type",$C$4,"2 Item No.","@@"&amp;$F1575)</t>
  </si>
  <si>
    <t>=-NL("Sum","32 Item Ledger Entry","12 Quantity","5 Source no.",$C1576,"3 Posting Date",U$9,"4 Entry Type",$C$4,"2 Item No.","@@"&amp;$F1576)</t>
  </si>
  <si>
    <t>=-NL("Sum","32 Item Ledger Entry","12 Quantity","5 Source no.",$C1577,"3 Posting Date",U$9,"4 Entry Type",$C$4,"2 Item No.","@@"&amp;$F1577)</t>
  </si>
  <si>
    <t>=-NL("Sum","32 Item Ledger Entry","12 Quantity","5 Source no.",$C1578,"3 Posting Date",U$9,"4 Entry Type",$C$4,"2 Item No.","@@"&amp;$F1578)</t>
  </si>
  <si>
    <t>=-NL("Sum","32 Item Ledger Entry","12 Quantity","5 Source no.",$C1579,"3 Posting Date",U$9,"4 Entry Type",$C$4,"2 Item No.","@@"&amp;$F1579)</t>
  </si>
  <si>
    <t>=-NL("Sum","32 Item Ledger Entry","12 Quantity","5 Source no.",$C1580,"3 Posting Date",U$9,"4 Entry Type",$C$4,"2 Item No.","@@"&amp;$F1580)</t>
  </si>
  <si>
    <t>=-NL("Sum","32 Item Ledger Entry","12 Quantity","5 Source no.",$C1581,"3 Posting Date",U$9,"4 Entry Type",$C$4,"2 Item No.","@@"&amp;$F1581)</t>
  </si>
  <si>
    <t>=-NL("Sum","32 Item Ledger Entry","12 Quantity","5 Source no.",$C1582,"3 Posting Date",U$9,"4 Entry Type",$C$4,"2 Item No.","@@"&amp;$F1582)</t>
  </si>
  <si>
    <t>=-NL("Sum","32 Item Ledger Entry","12 Quantity","5 Source no.",$C1583,"3 Posting Date",U$9,"4 Entry Type",$C$4,"2 Item No.","@@"&amp;$F1583)</t>
  </si>
  <si>
    <t>=-NL("Sum","32 Item Ledger Entry","12 Quantity","5 Source no.",$C1584,"3 Posting Date",U$9,"4 Entry Type",$C$4,"2 Item No.","@@"&amp;$F1584)</t>
  </si>
  <si>
    <t>=-NL("Sum","32 Item Ledger Entry","12 Quantity","5 Source no.",$C1585,"3 Posting Date",U$9,"4 Entry Type",$C$4,"2 Item No.","@@"&amp;$F1585)</t>
  </si>
  <si>
    <t>=-NL("Sum","32 Item Ledger Entry","12 Quantity","5 Source no.",$C1586,"3 Posting Date",U$9,"4 Entry Type",$C$4,"2 Item No.","@@"&amp;$F1586)</t>
  </si>
  <si>
    <t>=-NL("Sum","32 Item Ledger Entry","12 Quantity","5 Source no.",$C1587,"3 Posting Date",U$9,"4 Entry Type",$C$4,"2 Item No.","@@"&amp;$F1587)</t>
  </si>
  <si>
    <t>=-NL("Sum","32 Item Ledger Entry","12 Quantity","5 Source no.",$C1588,"3 Posting Date",U$9,"4 Entry Type",$C$4,"2 Item No.","@@"&amp;$F1588)</t>
  </si>
  <si>
    <t>=-NL("Sum","32 Item Ledger Entry","12 Quantity","5 Source no.",$C1589,"3 Posting Date",U$9,"4 Entry Type",$C$4,"2 Item No.","@@"&amp;$F1589)</t>
  </si>
  <si>
    <t>=-NL("Sum","32 Item Ledger Entry","12 Quantity","5 Source no.",$C1590,"3 Posting Date",U$9,"4 Entry Type",$C$4,"2 Item No.","@@"&amp;$F1590)</t>
  </si>
  <si>
    <t>=-NL("Sum","32 Item Ledger Entry","12 Quantity","5 Source no.",$C1591,"3 Posting Date",U$9,"4 Entry Type",$C$4,"2 Item No.","@@"&amp;$F1591)</t>
  </si>
  <si>
    <t>=-NL("Sum","32 Item Ledger Entry","12 Quantity","5 Source no.",$C1566,"3 Posting Date",Z$9,"4 Entry Type",$C$4,"2 Item No.","@@"&amp;$F1566)</t>
  </si>
  <si>
    <t>=-NL("Sum","32 Item Ledger Entry","12 Quantity","5 Source no.",$C1567,"3 Posting Date",Z$9,"4 Entry Type",$C$4,"2 Item No.","@@"&amp;$F1567)</t>
  </si>
  <si>
    <t>=-NL("Sum","32 Item Ledger Entry","12 Quantity","5 Source no.",$C1568,"3 Posting Date",Z$9,"4 Entry Type",$C$4,"2 Item No.","@@"&amp;$F1568)</t>
  </si>
  <si>
    <t>=-NL("Sum","32 Item Ledger Entry","12 Quantity","5 Source no.",$C1569,"3 Posting Date",Z$9,"4 Entry Type",$C$4,"2 Item No.","@@"&amp;$F1569)</t>
  </si>
  <si>
    <t>=-NL("Sum","32 Item Ledger Entry","12 Quantity","5 Source no.",$C1570,"3 Posting Date",Z$9,"4 Entry Type",$C$4,"2 Item No.","@@"&amp;$F1570)</t>
  </si>
  <si>
    <t>=-NL("Sum","32 Item Ledger Entry","12 Quantity","5 Source no.",$C1571,"3 Posting Date",Z$9,"4 Entry Type",$C$4,"2 Item No.","@@"&amp;$F1571)</t>
  </si>
  <si>
    <t>=-NL("Sum","32 Item Ledger Entry","12 Quantity","5 Source no.",$C1572,"3 Posting Date",Z$9,"4 Entry Type",$C$4,"2 Item No.","@@"&amp;$F1572)</t>
  </si>
  <si>
    <t>=-NL("Sum","32 Item Ledger Entry","12 Quantity","5 Source no.",$C1573,"3 Posting Date",Z$9,"4 Entry Type",$C$4,"2 Item No.","@@"&amp;$F1573)</t>
  </si>
  <si>
    <t>=-NL("Sum","32 Item Ledger Entry","12 Quantity","5 Source no.",$C1574,"3 Posting Date",Z$9,"4 Entry Type",$C$4,"2 Item No.","@@"&amp;$F1574)</t>
  </si>
  <si>
    <t>=-NL("Sum","32 Item Ledger Entry","12 Quantity","5 Source no.",$C1575,"3 Posting Date",Z$9,"4 Entry Type",$C$4,"2 Item No.","@@"&amp;$F1575)</t>
  </si>
  <si>
    <t>=-NL("Sum","32 Item Ledger Entry","12 Quantity","5 Source no.",$C1576,"3 Posting Date",Z$9,"4 Entry Type",$C$4,"2 Item No.","@@"&amp;$F1576)</t>
  </si>
  <si>
    <t>=-NL("Sum","32 Item Ledger Entry","12 Quantity","5 Source no.",$C1577,"3 Posting Date",Z$9,"4 Entry Type",$C$4,"2 Item No.","@@"&amp;$F1577)</t>
  </si>
  <si>
    <t>=-NL("Sum","32 Item Ledger Entry","12 Quantity","5 Source no.",$C1578,"3 Posting Date",Z$9,"4 Entry Type",$C$4,"2 Item No.","@@"&amp;$F1578)</t>
  </si>
  <si>
    <t>=-NL("Sum","32 Item Ledger Entry","12 Quantity","5 Source no.",$C1579,"3 Posting Date",Z$9,"4 Entry Type",$C$4,"2 Item No.","@@"&amp;$F1579)</t>
  </si>
  <si>
    <t>=-NL("Sum","32 Item Ledger Entry","12 Quantity","5 Source no.",$C1580,"3 Posting Date",Z$9,"4 Entry Type",$C$4,"2 Item No.","@@"&amp;$F1580)</t>
  </si>
  <si>
    <t>=-NL("Sum","32 Item Ledger Entry","12 Quantity","5 Source no.",$C1581,"3 Posting Date",Z$9,"4 Entry Type",$C$4,"2 Item No.","@@"&amp;$F1581)</t>
  </si>
  <si>
    <t>=-NL("Sum","32 Item Ledger Entry","12 Quantity","5 Source no.",$C1582,"3 Posting Date",Z$9,"4 Entry Type",$C$4,"2 Item No.","@@"&amp;$F1582)</t>
  </si>
  <si>
    <t>=-NL("Sum","32 Item Ledger Entry","12 Quantity","5 Source no.",$C1583,"3 Posting Date",Z$9,"4 Entry Type",$C$4,"2 Item No.","@@"&amp;$F1583)</t>
  </si>
  <si>
    <t>=-NL("Sum","32 Item Ledger Entry","12 Quantity","5 Source no.",$C1584,"3 Posting Date",Z$9,"4 Entry Type",$C$4,"2 Item No.","@@"&amp;$F1584)</t>
  </si>
  <si>
    <t>=-NL("Sum","32 Item Ledger Entry","12 Quantity","5 Source no.",$C1585,"3 Posting Date",Z$9,"4 Entry Type",$C$4,"2 Item No.","@@"&amp;$F1585)</t>
  </si>
  <si>
    <t>=-NL("Sum","32 Item Ledger Entry","12 Quantity","5 Source no.",$C1586,"3 Posting Date",Z$9,"4 Entry Type",$C$4,"2 Item No.","@@"&amp;$F1586)</t>
  </si>
  <si>
    <t>=-NL("Sum","32 Item Ledger Entry","12 Quantity","5 Source no.",$C1587,"3 Posting Date",Z$9,"4 Entry Type",$C$4,"2 Item No.","@@"&amp;$F1587)</t>
  </si>
  <si>
    <t>=-NL("Sum","32 Item Ledger Entry","12 Quantity","5 Source no.",$C1588,"3 Posting Date",Z$9,"4 Entry Type",$C$4,"2 Item No.","@@"&amp;$F1588)</t>
  </si>
  <si>
    <t>=-NL("Sum","32 Item Ledger Entry","12 Quantity","5 Source no.",$C1589,"3 Posting Date",Z$9,"4 Entry Type",$C$4,"2 Item No.","@@"&amp;$F1589)</t>
  </si>
  <si>
    <t>=-NL("Sum","32 Item Ledger Entry","12 Quantity","5 Source no.",$C1590,"3 Posting Date",Z$9,"4 Entry Type",$C$4,"2 Item No.","@@"&amp;$F1590)</t>
  </si>
  <si>
    <t>=-NL("Sum","32 Item Ledger Entry","12 Quantity","5 Source no.",$C1591,"3 Posting Date",Z$9,"4 Entry Type",$C$4,"2 Item No.","@@"&amp;$F1591)</t>
  </si>
  <si>
    <t>=NL(,"27 Item","3 Description","1 No.","@@"&amp;F1514)</t>
  </si>
  <si>
    <t>=NL(,"27 Item","3 Description","1 No.","@@"&amp;F1515)</t>
  </si>
  <si>
    <t>=NL(,"27 Item","3 Description","1 No.","@@"&amp;F1516)</t>
  </si>
  <si>
    <t>=NL(,"27 Item","3 Description","1 No.","@@"&amp;F1517)</t>
  </si>
  <si>
    <t>=NL(,"27 Item","3 Description","1 No.","@@"&amp;F1518)</t>
  </si>
  <si>
    <t>=NL(,"27 Item","3 Description","1 No.","@@"&amp;F1519)</t>
  </si>
  <si>
    <t>=NL(,"27 Item","3 Description","1 No.","@@"&amp;F1520)</t>
  </si>
  <si>
    <t>=NL(,"27 Item","3 Description","1 No.","@@"&amp;F1521)</t>
  </si>
  <si>
    <t>=NL(,"27 Item","3 Description","1 No.","@@"&amp;F1522)</t>
  </si>
  <si>
    <t>=NL(,"27 Item","3 Description","1 No.","@@"&amp;F1523)</t>
  </si>
  <si>
    <t>=NL(,"27 Item","3 Description","1 No.","@@"&amp;F1524)</t>
  </si>
  <si>
    <t>=NL(,"27 Item","3 Description","1 No.","@@"&amp;F1525)</t>
  </si>
  <si>
    <t>=NL(,"27 Item","3 Description","1 No.","@@"&amp;F1526)</t>
  </si>
  <si>
    <t>=NL(,"27 Item","3 Description","1 No.","@@"&amp;F1527)</t>
  </si>
  <si>
    <t>=NL(,"27 Item","3 Description","1 No.","@@"&amp;F1528)</t>
  </si>
  <si>
    <t>=NL(,"27 Item","3 Description","1 No.","@@"&amp;F1529)</t>
  </si>
  <si>
    <t>=NL(,"27 Item","3 Description","1 No.","@@"&amp;F1530)</t>
  </si>
  <si>
    <t>=NL(,"27 Item","3 Description","1 No.","@@"&amp;F1531)</t>
  </si>
  <si>
    <t>=NL(,"27 Item","3 Description","1 No.","@@"&amp;F1532)</t>
  </si>
  <si>
    <t>=NL(,"27 Item","3 Description","1 No.","@@"&amp;F1533)</t>
  </si>
  <si>
    <t>=NL(,"27 Item","3 Description","1 No.","@@"&amp;F1534)</t>
  </si>
  <si>
    <t>=NL(,"27 Item","3 Description","1 No.","@@"&amp;F1535)</t>
  </si>
  <si>
    <t>=NL(,"27 Item","3 Description","1 No.","@@"&amp;F1536)</t>
  </si>
  <si>
    <t>=NL(,"27 Item","3 Description","1 No.","@@"&amp;F1537)</t>
  </si>
  <si>
    <t>=NL(,"27 Item","3 Description","1 No.","@@"&amp;F1538)</t>
  </si>
  <si>
    <t>=NL(,"27 Item","3 Description","1 No.","@@"&amp;F1539)</t>
  </si>
  <si>
    <t>=NL(,"27 Item","3 Description","1 No.","@@"&amp;F1540)</t>
  </si>
  <si>
    <t>=NL(,"27 Item","3 Description","1 No.","@@"&amp;F1541)</t>
  </si>
  <si>
    <t>=NL(,"27 Item","3 Description","1 No.","@@"&amp;F1542)</t>
  </si>
  <si>
    <t>=NL(,"27 Item","3 Description","1 No.","@@"&amp;F1543)</t>
  </si>
  <si>
    <t>=NL(,"27 Item","3 Description","1 No.","@@"&amp;F1544)</t>
  </si>
  <si>
    <t>=NL(,"27 Item","3 Description","1 No.","@@"&amp;F1545)</t>
  </si>
  <si>
    <t>=NL(,"27 Item","3 Description","1 No.","@@"&amp;F1546)</t>
  </si>
  <si>
    <t>=NL(,"27 Item","3 Description","1 No.","@@"&amp;F1547)</t>
  </si>
  <si>
    <t>=NL(,"27 Item","3 Description","1 No.","@@"&amp;F1548)</t>
  </si>
  <si>
    <t>=NL(,"27 Item","3 Description","1 No.","@@"&amp;F1549)</t>
  </si>
  <si>
    <t>=NL(,"27 Item","3 Description","1 No.","@@"&amp;F1550)</t>
  </si>
  <si>
    <t>=NL(,"27 Item","3 Description","1 No.","@@"&amp;F1551)</t>
  </si>
  <si>
    <t>=NL(,"27 Item","3 Description","1 No.","@@"&amp;F1552)</t>
  </si>
  <si>
    <t>=NL(,"27 Item","3 Description","1 No.","@@"&amp;F1553)</t>
  </si>
  <si>
    <t>=NL(,"27 Item","3 Description","1 No.","@@"&amp;F1554)</t>
  </si>
  <si>
    <t>=NL(,"27 Item","3 Description","1 No.","@@"&amp;F1555)</t>
  </si>
  <si>
    <t>=NL(,"27 Item","3 Description","1 No.","@@"&amp;F1556)</t>
  </si>
  <si>
    <t>=NL(,"27 Item","3 Description","1 No.","@@"&amp;F1557)</t>
  </si>
  <si>
    <t>=NL(,"27 Item","3 Description","1 No.","@@"&amp;F1558)</t>
  </si>
  <si>
    <t>=NL(,"27 Item","3 Description","1 No.","@@"&amp;F1559)</t>
  </si>
  <si>
    <t>=NL(,"27 Item","3 Description","1 No.","@@"&amp;F1560)</t>
  </si>
  <si>
    <t>=-NL("Sum","32 Item Ledger Entry","12 Quantity","5 Source no.",$C1514,"3 Posting Date",J$9,"4 Entry Type",$C$4,"2 Item No.","@@"&amp;$F1514)</t>
  </si>
  <si>
    <t>=-NL("Sum","32 Item Ledger Entry","12 Quantity","5 Source no.",$C1515,"3 Posting Date",J$9,"4 Entry Type",$C$4,"2 Item No.","@@"&amp;$F1515)</t>
  </si>
  <si>
    <t>=-NL("Sum","32 Item Ledger Entry","12 Quantity","5 Source no.",$C1516,"3 Posting Date",J$9,"4 Entry Type",$C$4,"2 Item No.","@@"&amp;$F1516)</t>
  </si>
  <si>
    <t>=-NL("Sum","32 Item Ledger Entry","12 Quantity","5 Source no.",$C1517,"3 Posting Date",J$9,"4 Entry Type",$C$4,"2 Item No.","@@"&amp;$F1517)</t>
  </si>
  <si>
    <t>=-NL("Sum","32 Item Ledger Entry","12 Quantity","5 Source no.",$C1518,"3 Posting Date",J$9,"4 Entry Type",$C$4,"2 Item No.","@@"&amp;$F1518)</t>
  </si>
  <si>
    <t>=-NL("Sum","32 Item Ledger Entry","12 Quantity","5 Source no.",$C1519,"3 Posting Date",J$9,"4 Entry Type",$C$4,"2 Item No.","@@"&amp;$F1519)</t>
  </si>
  <si>
    <t>=-NL("Sum","32 Item Ledger Entry","12 Quantity","5 Source no.",$C1520,"3 Posting Date",J$9,"4 Entry Type",$C$4,"2 Item No.","@@"&amp;$F1520)</t>
  </si>
  <si>
    <t>=-NL("Sum","32 Item Ledger Entry","12 Quantity","5 Source no.",$C1521,"3 Posting Date",J$9,"4 Entry Type",$C$4,"2 Item No.","@@"&amp;$F1521)</t>
  </si>
  <si>
    <t>=-NL("Sum","32 Item Ledger Entry","12 Quantity","5 Source no.",$C1522,"3 Posting Date",J$9,"4 Entry Type",$C$4,"2 Item No.","@@"&amp;$F1522)</t>
  </si>
  <si>
    <t>=-NL("Sum","32 Item Ledger Entry","12 Quantity","5 Source no.",$C1523,"3 Posting Date",J$9,"4 Entry Type",$C$4,"2 Item No.","@@"&amp;$F1523)</t>
  </si>
  <si>
    <t>=-NL("Sum","32 Item Ledger Entry","12 Quantity","5 Source no.",$C1524,"3 Posting Date",J$9,"4 Entry Type",$C$4,"2 Item No.","@@"&amp;$F1524)</t>
  </si>
  <si>
    <t>=-NL("Sum","32 Item Ledger Entry","12 Quantity","5 Source no.",$C1525,"3 Posting Date",J$9,"4 Entry Type",$C$4,"2 Item No.","@@"&amp;$F1525)</t>
  </si>
  <si>
    <t>=-NL("Sum","32 Item Ledger Entry","12 Quantity","5 Source no.",$C1526,"3 Posting Date",J$9,"4 Entry Type",$C$4,"2 Item No.","@@"&amp;$F1526)</t>
  </si>
  <si>
    <t>=-NL("Sum","32 Item Ledger Entry","12 Quantity","5 Source no.",$C1527,"3 Posting Date",J$9,"4 Entry Type",$C$4,"2 Item No.","@@"&amp;$F1527)</t>
  </si>
  <si>
    <t>=-NL("Sum","32 Item Ledger Entry","12 Quantity","5 Source no.",$C1528,"3 Posting Date",J$9,"4 Entry Type",$C$4,"2 Item No.","@@"&amp;$F1528)</t>
  </si>
  <si>
    <t>=-NL("Sum","32 Item Ledger Entry","12 Quantity","5 Source no.",$C1529,"3 Posting Date",J$9,"4 Entry Type",$C$4,"2 Item No.","@@"&amp;$F1529)</t>
  </si>
  <si>
    <t>=-NL("Sum","32 Item Ledger Entry","12 Quantity","5 Source no.",$C1530,"3 Posting Date",J$9,"4 Entry Type",$C$4,"2 Item No.","@@"&amp;$F1530)</t>
  </si>
  <si>
    <t>=-NL("Sum","32 Item Ledger Entry","12 Quantity","5 Source no.",$C1531,"3 Posting Date",J$9,"4 Entry Type",$C$4,"2 Item No.","@@"&amp;$F1531)</t>
  </si>
  <si>
    <t>=-NL("Sum","32 Item Ledger Entry","12 Quantity","5 Source no.",$C1532,"3 Posting Date",J$9,"4 Entry Type",$C$4,"2 Item No.","@@"&amp;$F1532)</t>
  </si>
  <si>
    <t>=-NL("Sum","32 Item Ledger Entry","12 Quantity","5 Source no.",$C1533,"3 Posting Date",J$9,"4 Entry Type",$C$4,"2 Item No.","@@"&amp;$F1533)</t>
  </si>
  <si>
    <t>=-NL("Sum","32 Item Ledger Entry","12 Quantity","5 Source no.",$C1534,"3 Posting Date",J$9,"4 Entry Type",$C$4,"2 Item No.","@@"&amp;$F1534)</t>
  </si>
  <si>
    <t>=-NL("Sum","32 Item Ledger Entry","12 Quantity","5 Source no.",$C1535,"3 Posting Date",J$9,"4 Entry Type",$C$4,"2 Item No.","@@"&amp;$F1535)</t>
  </si>
  <si>
    <t>=-NL("Sum","32 Item Ledger Entry","12 Quantity","5 Source no.",$C1536,"3 Posting Date",J$9,"4 Entry Type",$C$4,"2 Item No.","@@"&amp;$F1536)</t>
  </si>
  <si>
    <t>=-NL("Sum","32 Item Ledger Entry","12 Quantity","5 Source no.",$C1537,"3 Posting Date",J$9,"4 Entry Type",$C$4,"2 Item No.","@@"&amp;$F1537)</t>
  </si>
  <si>
    <t>=-NL("Sum","32 Item Ledger Entry","12 Quantity","5 Source no.",$C1538,"3 Posting Date",J$9,"4 Entry Type",$C$4,"2 Item No.","@@"&amp;$F1538)</t>
  </si>
  <si>
    <t>=-NL("Sum","32 Item Ledger Entry","12 Quantity","5 Source no.",$C1539,"3 Posting Date",J$9,"4 Entry Type",$C$4,"2 Item No.","@@"&amp;$F1539)</t>
  </si>
  <si>
    <t>=-NL("Sum","32 Item Ledger Entry","12 Quantity","5 Source no.",$C1540,"3 Posting Date",J$9,"4 Entry Type",$C$4,"2 Item No.","@@"&amp;$F1540)</t>
  </si>
  <si>
    <t>=-NL("Sum","32 Item Ledger Entry","12 Quantity","5 Source no.",$C1541,"3 Posting Date",J$9,"4 Entry Type",$C$4,"2 Item No.","@@"&amp;$F1541)</t>
  </si>
  <si>
    <t>=-NL("Sum","32 Item Ledger Entry","12 Quantity","5 Source no.",$C1542,"3 Posting Date",J$9,"4 Entry Type",$C$4,"2 Item No.","@@"&amp;$F1542)</t>
  </si>
  <si>
    <t>=-NL("Sum","32 Item Ledger Entry","12 Quantity","5 Source no.",$C1543,"3 Posting Date",J$9,"4 Entry Type",$C$4,"2 Item No.","@@"&amp;$F1543)</t>
  </si>
  <si>
    <t>=-NL("Sum","32 Item Ledger Entry","12 Quantity","5 Source no.",$C1544,"3 Posting Date",J$9,"4 Entry Type",$C$4,"2 Item No.","@@"&amp;$F1544)</t>
  </si>
  <si>
    <t>=-NL("Sum","32 Item Ledger Entry","12 Quantity","5 Source no.",$C1545,"3 Posting Date",J$9,"4 Entry Type",$C$4,"2 Item No.","@@"&amp;$F1545)</t>
  </si>
  <si>
    <t>=-NL("Sum","32 Item Ledger Entry","12 Quantity","5 Source no.",$C1546,"3 Posting Date",J$9,"4 Entry Type",$C$4,"2 Item No.","@@"&amp;$F1546)</t>
  </si>
  <si>
    <t>=-NL("Sum","32 Item Ledger Entry","12 Quantity","5 Source no.",$C1547,"3 Posting Date",J$9,"4 Entry Type",$C$4,"2 Item No.","@@"&amp;$F1547)</t>
  </si>
  <si>
    <t>=-NL("Sum","32 Item Ledger Entry","12 Quantity","5 Source no.",$C1548,"3 Posting Date",J$9,"4 Entry Type",$C$4,"2 Item No.","@@"&amp;$F1548)</t>
  </si>
  <si>
    <t>=-NL("Sum","32 Item Ledger Entry","12 Quantity","5 Source no.",$C1549,"3 Posting Date",J$9,"4 Entry Type",$C$4,"2 Item No.","@@"&amp;$F1549)</t>
  </si>
  <si>
    <t>=-NL("Sum","32 Item Ledger Entry","12 Quantity","5 Source no.",$C1550,"3 Posting Date",J$9,"4 Entry Type",$C$4,"2 Item No.","@@"&amp;$F1550)</t>
  </si>
  <si>
    <t>=-NL("Sum","32 Item Ledger Entry","12 Quantity","5 Source no.",$C1551,"3 Posting Date",J$9,"4 Entry Type",$C$4,"2 Item No.","@@"&amp;$F1551)</t>
  </si>
  <si>
    <t>=-NL("Sum","32 Item Ledger Entry","12 Quantity","5 Source no.",$C1552,"3 Posting Date",J$9,"4 Entry Type",$C$4,"2 Item No.","@@"&amp;$F1552)</t>
  </si>
  <si>
    <t>=-NL("Sum","32 Item Ledger Entry","12 Quantity","5 Source no.",$C1553,"3 Posting Date",J$9,"4 Entry Type",$C$4,"2 Item No.","@@"&amp;$F1553)</t>
  </si>
  <si>
    <t>=-NL("Sum","32 Item Ledger Entry","12 Quantity","5 Source no.",$C1554,"3 Posting Date",J$9,"4 Entry Type",$C$4,"2 Item No.","@@"&amp;$F1554)</t>
  </si>
  <si>
    <t>=-NL("Sum","32 Item Ledger Entry","12 Quantity","5 Source no.",$C1555,"3 Posting Date",J$9,"4 Entry Type",$C$4,"2 Item No.","@@"&amp;$F1555)</t>
  </si>
  <si>
    <t>=-NL("Sum","32 Item Ledger Entry","12 Quantity","5 Source no.",$C1556,"3 Posting Date",J$9,"4 Entry Type",$C$4,"2 Item No.","@@"&amp;$F1556)</t>
  </si>
  <si>
    <t>=-NL("Sum","32 Item Ledger Entry","12 Quantity","5 Source no.",$C1557,"3 Posting Date",J$9,"4 Entry Type",$C$4,"2 Item No.","@@"&amp;$F1557)</t>
  </si>
  <si>
    <t>=-NL("Sum","32 Item Ledger Entry","12 Quantity","5 Source no.",$C1558,"3 Posting Date",J$9,"4 Entry Type",$C$4,"2 Item No.","@@"&amp;$F1558)</t>
  </si>
  <si>
    <t>=-NL("Sum","32 Item Ledger Entry","12 Quantity","5 Source no.",$C1559,"3 Posting Date",J$9,"4 Entry Type",$C$4,"2 Item No.","@@"&amp;$F1559)</t>
  </si>
  <si>
    <t>=-NL("Sum","32 Item Ledger Entry","12 Quantity","5 Source no.",$C1560,"3 Posting Date",J$9,"4 Entry Type",$C$4,"2 Item No.","@@"&amp;$F1560)</t>
  </si>
  <si>
    <t>=-NL("Sum","32 Item Ledger Entry","12 Quantity","5 Source no.",$C1514,"3 Posting Date",O$9,"4 Entry Type",$C$4,"2 Item No.","@@"&amp;$F1514)</t>
  </si>
  <si>
    <t>=-NL("Sum","32 Item Ledger Entry","12 Quantity","5 Source no.",$C1515,"3 Posting Date",O$9,"4 Entry Type",$C$4,"2 Item No.","@@"&amp;$F1515)</t>
  </si>
  <si>
    <t>=-NL("Sum","32 Item Ledger Entry","12 Quantity","5 Source no.",$C1516,"3 Posting Date",O$9,"4 Entry Type",$C$4,"2 Item No.","@@"&amp;$F1516)</t>
  </si>
  <si>
    <t>=-NL("Sum","32 Item Ledger Entry","12 Quantity","5 Source no.",$C1517,"3 Posting Date",O$9,"4 Entry Type",$C$4,"2 Item No.","@@"&amp;$F1517)</t>
  </si>
  <si>
    <t>=-NL("Sum","32 Item Ledger Entry","12 Quantity","5 Source no.",$C1518,"3 Posting Date",O$9,"4 Entry Type",$C$4,"2 Item No.","@@"&amp;$F1518)</t>
  </si>
  <si>
    <t>=-NL("Sum","32 Item Ledger Entry","12 Quantity","5 Source no.",$C1519,"3 Posting Date",O$9,"4 Entry Type",$C$4,"2 Item No.","@@"&amp;$F1519)</t>
  </si>
  <si>
    <t>=-NL("Sum","32 Item Ledger Entry","12 Quantity","5 Source no.",$C1520,"3 Posting Date",O$9,"4 Entry Type",$C$4,"2 Item No.","@@"&amp;$F1520)</t>
  </si>
  <si>
    <t>=-NL("Sum","32 Item Ledger Entry","12 Quantity","5 Source no.",$C1521,"3 Posting Date",O$9,"4 Entry Type",$C$4,"2 Item No.","@@"&amp;$F1521)</t>
  </si>
  <si>
    <t>=-NL("Sum","32 Item Ledger Entry","12 Quantity","5 Source no.",$C1522,"3 Posting Date",O$9,"4 Entry Type",$C$4,"2 Item No.","@@"&amp;$F1522)</t>
  </si>
  <si>
    <t>=-NL("Sum","32 Item Ledger Entry","12 Quantity","5 Source no.",$C1523,"3 Posting Date",O$9,"4 Entry Type",$C$4,"2 Item No.","@@"&amp;$F1523)</t>
  </si>
  <si>
    <t>=-NL("Sum","32 Item Ledger Entry","12 Quantity","5 Source no.",$C1524,"3 Posting Date",O$9,"4 Entry Type",$C$4,"2 Item No.","@@"&amp;$F1524)</t>
  </si>
  <si>
    <t>=-NL("Sum","32 Item Ledger Entry","12 Quantity","5 Source no.",$C1525,"3 Posting Date",O$9,"4 Entry Type",$C$4,"2 Item No.","@@"&amp;$F1525)</t>
  </si>
  <si>
    <t>=-NL("Sum","32 Item Ledger Entry","12 Quantity","5 Source no.",$C1526,"3 Posting Date",O$9,"4 Entry Type",$C$4,"2 Item No.","@@"&amp;$F1526)</t>
  </si>
  <si>
    <t>=-NL("Sum","32 Item Ledger Entry","12 Quantity","5 Source no.",$C1527,"3 Posting Date",O$9,"4 Entry Type",$C$4,"2 Item No.","@@"&amp;$F1527)</t>
  </si>
  <si>
    <t>=-NL("Sum","32 Item Ledger Entry","12 Quantity","5 Source no.",$C1528,"3 Posting Date",O$9,"4 Entry Type",$C$4,"2 Item No.","@@"&amp;$F1528)</t>
  </si>
  <si>
    <t>=-NL("Sum","32 Item Ledger Entry","12 Quantity","5 Source no.",$C1529,"3 Posting Date",O$9,"4 Entry Type",$C$4,"2 Item No.","@@"&amp;$F1529)</t>
  </si>
  <si>
    <t>=-NL("Sum","32 Item Ledger Entry","12 Quantity","5 Source no.",$C1530,"3 Posting Date",O$9,"4 Entry Type",$C$4,"2 Item No.","@@"&amp;$F1530)</t>
  </si>
  <si>
    <t>=-NL("Sum","32 Item Ledger Entry","12 Quantity","5 Source no.",$C1531,"3 Posting Date",O$9,"4 Entry Type",$C$4,"2 Item No.","@@"&amp;$F1531)</t>
  </si>
  <si>
    <t>=-NL("Sum","32 Item Ledger Entry","12 Quantity","5 Source no.",$C1532,"3 Posting Date",O$9,"4 Entry Type",$C$4,"2 Item No.","@@"&amp;$F1532)</t>
  </si>
  <si>
    <t>=-NL("Sum","32 Item Ledger Entry","12 Quantity","5 Source no.",$C1533,"3 Posting Date",O$9,"4 Entry Type",$C$4,"2 Item No.","@@"&amp;$F1533)</t>
  </si>
  <si>
    <t>=-NL("Sum","32 Item Ledger Entry","12 Quantity","5 Source no.",$C1534,"3 Posting Date",O$9,"4 Entry Type",$C$4,"2 Item No.","@@"&amp;$F1534)</t>
  </si>
  <si>
    <t>=-NL("Sum","32 Item Ledger Entry","12 Quantity","5 Source no.",$C1535,"3 Posting Date",O$9,"4 Entry Type",$C$4,"2 Item No.","@@"&amp;$F1535)</t>
  </si>
  <si>
    <t>=-NL("Sum","32 Item Ledger Entry","12 Quantity","5 Source no.",$C1536,"3 Posting Date",O$9,"4 Entry Type",$C$4,"2 Item No.","@@"&amp;$F1536)</t>
  </si>
  <si>
    <t>=-NL("Sum","32 Item Ledger Entry","12 Quantity","5 Source no.",$C1537,"3 Posting Date",O$9,"4 Entry Type",$C$4,"2 Item No.","@@"&amp;$F1537)</t>
  </si>
  <si>
    <t>=-NL("Sum","32 Item Ledger Entry","12 Quantity","5 Source no.",$C1538,"3 Posting Date",O$9,"4 Entry Type",$C$4,"2 Item No.","@@"&amp;$F1538)</t>
  </si>
  <si>
    <t>=-NL("Sum","32 Item Ledger Entry","12 Quantity","5 Source no.",$C1539,"3 Posting Date",O$9,"4 Entry Type",$C$4,"2 Item No.","@@"&amp;$F1539)</t>
  </si>
  <si>
    <t>=-NL("Sum","32 Item Ledger Entry","12 Quantity","5 Source no.",$C1540,"3 Posting Date",O$9,"4 Entry Type",$C$4,"2 Item No.","@@"&amp;$F1540)</t>
  </si>
  <si>
    <t>=-NL("Sum","32 Item Ledger Entry","12 Quantity","5 Source no.",$C1541,"3 Posting Date",O$9,"4 Entry Type",$C$4,"2 Item No.","@@"&amp;$F1541)</t>
  </si>
  <si>
    <t>=-NL("Sum","32 Item Ledger Entry","12 Quantity","5 Source no.",$C1542,"3 Posting Date",O$9,"4 Entry Type",$C$4,"2 Item No.","@@"&amp;$F1542)</t>
  </si>
  <si>
    <t>=-NL("Sum","32 Item Ledger Entry","12 Quantity","5 Source no.",$C1543,"3 Posting Date",O$9,"4 Entry Type",$C$4,"2 Item No.","@@"&amp;$F1543)</t>
  </si>
  <si>
    <t>=-NL("Sum","32 Item Ledger Entry","12 Quantity","5 Source no.",$C1544,"3 Posting Date",O$9,"4 Entry Type",$C$4,"2 Item No.","@@"&amp;$F1544)</t>
  </si>
  <si>
    <t>=-NL("Sum","32 Item Ledger Entry","12 Quantity","5 Source no.",$C1545,"3 Posting Date",O$9,"4 Entry Type",$C$4,"2 Item No.","@@"&amp;$F1545)</t>
  </si>
  <si>
    <t>=-NL("Sum","32 Item Ledger Entry","12 Quantity","5 Source no.",$C1546,"3 Posting Date",O$9,"4 Entry Type",$C$4,"2 Item No.","@@"&amp;$F1546)</t>
  </si>
  <si>
    <t>=-NL("Sum","32 Item Ledger Entry","12 Quantity","5 Source no.",$C1547,"3 Posting Date",O$9,"4 Entry Type",$C$4,"2 Item No.","@@"&amp;$F1547)</t>
  </si>
  <si>
    <t>=-NL("Sum","32 Item Ledger Entry","12 Quantity","5 Source no.",$C1548,"3 Posting Date",O$9,"4 Entry Type",$C$4,"2 Item No.","@@"&amp;$F1548)</t>
  </si>
  <si>
    <t>=-NL("Sum","32 Item Ledger Entry","12 Quantity","5 Source no.",$C1549,"3 Posting Date",O$9,"4 Entry Type",$C$4,"2 Item No.","@@"&amp;$F1549)</t>
  </si>
  <si>
    <t>=-NL("Sum","32 Item Ledger Entry","12 Quantity","5 Source no.",$C1550,"3 Posting Date",O$9,"4 Entry Type",$C$4,"2 Item No.","@@"&amp;$F1550)</t>
  </si>
  <si>
    <t>=-NL("Sum","32 Item Ledger Entry","12 Quantity","5 Source no.",$C1551,"3 Posting Date",O$9,"4 Entry Type",$C$4,"2 Item No.","@@"&amp;$F1551)</t>
  </si>
  <si>
    <t>=-NL("Sum","32 Item Ledger Entry","12 Quantity","5 Source no.",$C1552,"3 Posting Date",O$9,"4 Entry Type",$C$4,"2 Item No.","@@"&amp;$F1552)</t>
  </si>
  <si>
    <t>=-NL("Sum","32 Item Ledger Entry","12 Quantity","5 Source no.",$C1553,"3 Posting Date",O$9,"4 Entry Type",$C$4,"2 Item No.","@@"&amp;$F1553)</t>
  </si>
  <si>
    <t>=-NL("Sum","32 Item Ledger Entry","12 Quantity","5 Source no.",$C1554,"3 Posting Date",O$9,"4 Entry Type",$C$4,"2 Item No.","@@"&amp;$F1554)</t>
  </si>
  <si>
    <t>=-NL("Sum","32 Item Ledger Entry","12 Quantity","5 Source no.",$C1555,"3 Posting Date",O$9,"4 Entry Type",$C$4,"2 Item No.","@@"&amp;$F1555)</t>
  </si>
  <si>
    <t>=-NL("Sum","32 Item Ledger Entry","12 Quantity","5 Source no.",$C1556,"3 Posting Date",O$9,"4 Entry Type",$C$4,"2 Item No.","@@"&amp;$F1556)</t>
  </si>
  <si>
    <t>=-NL("Sum","32 Item Ledger Entry","12 Quantity","5 Source no.",$C1557,"3 Posting Date",O$9,"4 Entry Type",$C$4,"2 Item No.","@@"&amp;$F1557)</t>
  </si>
  <si>
    <t>=-NL("Sum","32 Item Ledger Entry","12 Quantity","5 Source no.",$C1558,"3 Posting Date",O$9,"4 Entry Type",$C$4,"2 Item No.","@@"&amp;$F1558)</t>
  </si>
  <si>
    <t>=-NL("Sum","32 Item Ledger Entry","12 Quantity","5 Source no.",$C1559,"3 Posting Date",O$9,"4 Entry Type",$C$4,"2 Item No.","@@"&amp;$F1559)</t>
  </si>
  <si>
    <t>=-NL("Sum","32 Item Ledger Entry","12 Quantity","5 Source no.",$C1560,"3 Posting Date",O$9,"4 Entry Type",$C$4,"2 Item No.","@@"&amp;$F1560)</t>
  </si>
  <si>
    <t>=-NL("Sum","32 Item Ledger Entry","12 Quantity","5 Source no.",$C1514,"3 Posting Date",U$9,"4 Entry Type",$C$4,"2 Item No.","@@"&amp;$F1514)</t>
  </si>
  <si>
    <t>=-NL("Sum","32 Item Ledger Entry","12 Quantity","5 Source no.",$C1515,"3 Posting Date",U$9,"4 Entry Type",$C$4,"2 Item No.","@@"&amp;$F1515)</t>
  </si>
  <si>
    <t>=-NL("Sum","32 Item Ledger Entry","12 Quantity","5 Source no.",$C1516,"3 Posting Date",U$9,"4 Entry Type",$C$4,"2 Item No.","@@"&amp;$F1516)</t>
  </si>
  <si>
    <t>=-NL("Sum","32 Item Ledger Entry","12 Quantity","5 Source no.",$C1517,"3 Posting Date",U$9,"4 Entry Type",$C$4,"2 Item No.","@@"&amp;$F1517)</t>
  </si>
  <si>
    <t>=-NL("Sum","32 Item Ledger Entry","12 Quantity","5 Source no.",$C1518,"3 Posting Date",U$9,"4 Entry Type",$C$4,"2 Item No.","@@"&amp;$F1518)</t>
  </si>
  <si>
    <t>=-NL("Sum","32 Item Ledger Entry","12 Quantity","5 Source no.",$C1519,"3 Posting Date",U$9,"4 Entry Type",$C$4,"2 Item No.","@@"&amp;$F1519)</t>
  </si>
  <si>
    <t>=-NL("Sum","32 Item Ledger Entry","12 Quantity","5 Source no.",$C1520,"3 Posting Date",U$9,"4 Entry Type",$C$4,"2 Item No.","@@"&amp;$F1520)</t>
  </si>
  <si>
    <t>=-NL("Sum","32 Item Ledger Entry","12 Quantity","5 Source no.",$C1521,"3 Posting Date",U$9,"4 Entry Type",$C$4,"2 Item No.","@@"&amp;$F1521)</t>
  </si>
  <si>
    <t>=-NL("Sum","32 Item Ledger Entry","12 Quantity","5 Source no.",$C1522,"3 Posting Date",U$9,"4 Entry Type",$C$4,"2 Item No.","@@"&amp;$F1522)</t>
  </si>
  <si>
    <t>=-NL("Sum","32 Item Ledger Entry","12 Quantity","5 Source no.",$C1523,"3 Posting Date",U$9,"4 Entry Type",$C$4,"2 Item No.","@@"&amp;$F1523)</t>
  </si>
  <si>
    <t>=-NL("Sum","32 Item Ledger Entry","12 Quantity","5 Source no.",$C1524,"3 Posting Date",U$9,"4 Entry Type",$C$4,"2 Item No.","@@"&amp;$F1524)</t>
  </si>
  <si>
    <t>=-NL("Sum","32 Item Ledger Entry","12 Quantity","5 Source no.",$C1525,"3 Posting Date",U$9,"4 Entry Type",$C$4,"2 Item No.","@@"&amp;$F1525)</t>
  </si>
  <si>
    <t>=-NL("Sum","32 Item Ledger Entry","12 Quantity","5 Source no.",$C1526,"3 Posting Date",U$9,"4 Entry Type",$C$4,"2 Item No.","@@"&amp;$F1526)</t>
  </si>
  <si>
    <t>=-NL("Sum","32 Item Ledger Entry","12 Quantity","5 Source no.",$C1527,"3 Posting Date",U$9,"4 Entry Type",$C$4,"2 Item No.","@@"&amp;$F1527)</t>
  </si>
  <si>
    <t>=-NL("Sum","32 Item Ledger Entry","12 Quantity","5 Source no.",$C1528,"3 Posting Date",U$9,"4 Entry Type",$C$4,"2 Item No.","@@"&amp;$F1528)</t>
  </si>
  <si>
    <t>=-NL("Sum","32 Item Ledger Entry","12 Quantity","5 Source no.",$C1529,"3 Posting Date",U$9,"4 Entry Type",$C$4,"2 Item No.","@@"&amp;$F1529)</t>
  </si>
  <si>
    <t>=-NL("Sum","32 Item Ledger Entry","12 Quantity","5 Source no.",$C1530,"3 Posting Date",U$9,"4 Entry Type",$C$4,"2 Item No.","@@"&amp;$F1530)</t>
  </si>
  <si>
    <t>=-NL("Sum","32 Item Ledger Entry","12 Quantity","5 Source no.",$C1531,"3 Posting Date",U$9,"4 Entry Type",$C$4,"2 Item No.","@@"&amp;$F1531)</t>
  </si>
  <si>
    <t>=-NL("Sum","32 Item Ledger Entry","12 Quantity","5 Source no.",$C1532,"3 Posting Date",U$9,"4 Entry Type",$C$4,"2 Item No.","@@"&amp;$F1532)</t>
  </si>
  <si>
    <t>=-NL("Sum","32 Item Ledger Entry","12 Quantity","5 Source no.",$C1533,"3 Posting Date",U$9,"4 Entry Type",$C$4,"2 Item No.","@@"&amp;$F1533)</t>
  </si>
  <si>
    <t>=-NL("Sum","32 Item Ledger Entry","12 Quantity","5 Source no.",$C1534,"3 Posting Date",U$9,"4 Entry Type",$C$4,"2 Item No.","@@"&amp;$F1534)</t>
  </si>
  <si>
    <t>=-NL("Sum","32 Item Ledger Entry","12 Quantity","5 Source no.",$C1535,"3 Posting Date",U$9,"4 Entry Type",$C$4,"2 Item No.","@@"&amp;$F1535)</t>
  </si>
  <si>
    <t>=-NL("Sum","32 Item Ledger Entry","12 Quantity","5 Source no.",$C1536,"3 Posting Date",U$9,"4 Entry Type",$C$4,"2 Item No.","@@"&amp;$F1536)</t>
  </si>
  <si>
    <t>=-NL("Sum","32 Item Ledger Entry","12 Quantity","5 Source no.",$C1537,"3 Posting Date",U$9,"4 Entry Type",$C$4,"2 Item No.","@@"&amp;$F1537)</t>
  </si>
  <si>
    <t>=-NL("Sum","32 Item Ledger Entry","12 Quantity","5 Source no.",$C1538,"3 Posting Date",U$9,"4 Entry Type",$C$4,"2 Item No.","@@"&amp;$F1538)</t>
  </si>
  <si>
    <t>=-NL("Sum","32 Item Ledger Entry","12 Quantity","5 Source no.",$C1539,"3 Posting Date",U$9,"4 Entry Type",$C$4,"2 Item No.","@@"&amp;$F1539)</t>
  </si>
  <si>
    <t>=-NL("Sum","32 Item Ledger Entry","12 Quantity","5 Source no.",$C1540,"3 Posting Date",U$9,"4 Entry Type",$C$4,"2 Item No.","@@"&amp;$F1540)</t>
  </si>
  <si>
    <t>=-NL("Sum","32 Item Ledger Entry","12 Quantity","5 Source no.",$C1541,"3 Posting Date",U$9,"4 Entry Type",$C$4,"2 Item No.","@@"&amp;$F1541)</t>
  </si>
  <si>
    <t>=-NL("Sum","32 Item Ledger Entry","12 Quantity","5 Source no.",$C1542,"3 Posting Date",U$9,"4 Entry Type",$C$4,"2 Item No.","@@"&amp;$F1542)</t>
  </si>
  <si>
    <t>=-NL("Sum","32 Item Ledger Entry","12 Quantity","5 Source no.",$C1543,"3 Posting Date",U$9,"4 Entry Type",$C$4,"2 Item No.","@@"&amp;$F1543)</t>
  </si>
  <si>
    <t>=-NL("Sum","32 Item Ledger Entry","12 Quantity","5 Source no.",$C1544,"3 Posting Date",U$9,"4 Entry Type",$C$4,"2 Item No.","@@"&amp;$F1544)</t>
  </si>
  <si>
    <t>=-NL("Sum","32 Item Ledger Entry","12 Quantity","5 Source no.",$C1545,"3 Posting Date",U$9,"4 Entry Type",$C$4,"2 Item No.","@@"&amp;$F1545)</t>
  </si>
  <si>
    <t>=-NL("Sum","32 Item Ledger Entry","12 Quantity","5 Source no.",$C1546,"3 Posting Date",U$9,"4 Entry Type",$C$4,"2 Item No.","@@"&amp;$F1546)</t>
  </si>
  <si>
    <t>=-NL("Sum","32 Item Ledger Entry","12 Quantity","5 Source no.",$C1547,"3 Posting Date",U$9,"4 Entry Type",$C$4,"2 Item No.","@@"&amp;$F1547)</t>
  </si>
  <si>
    <t>=-NL("Sum","32 Item Ledger Entry","12 Quantity","5 Source no.",$C1548,"3 Posting Date",U$9,"4 Entry Type",$C$4,"2 Item No.","@@"&amp;$F1548)</t>
  </si>
  <si>
    <t>=-NL("Sum","32 Item Ledger Entry","12 Quantity","5 Source no.",$C1549,"3 Posting Date",U$9,"4 Entry Type",$C$4,"2 Item No.","@@"&amp;$F1549)</t>
  </si>
  <si>
    <t>=-NL("Sum","32 Item Ledger Entry","12 Quantity","5 Source no.",$C1550,"3 Posting Date",U$9,"4 Entry Type",$C$4,"2 Item No.","@@"&amp;$F1550)</t>
  </si>
  <si>
    <t>=-NL("Sum","32 Item Ledger Entry","12 Quantity","5 Source no.",$C1551,"3 Posting Date",U$9,"4 Entry Type",$C$4,"2 Item No.","@@"&amp;$F1551)</t>
  </si>
  <si>
    <t>=-NL("Sum","32 Item Ledger Entry","12 Quantity","5 Source no.",$C1552,"3 Posting Date",U$9,"4 Entry Type",$C$4,"2 Item No.","@@"&amp;$F1552)</t>
  </si>
  <si>
    <t>=-NL("Sum","32 Item Ledger Entry","12 Quantity","5 Source no.",$C1553,"3 Posting Date",U$9,"4 Entry Type",$C$4,"2 Item No.","@@"&amp;$F1553)</t>
  </si>
  <si>
    <t>=-NL("Sum","32 Item Ledger Entry","12 Quantity","5 Source no.",$C1554,"3 Posting Date",U$9,"4 Entry Type",$C$4,"2 Item No.","@@"&amp;$F1554)</t>
  </si>
  <si>
    <t>=-NL("Sum","32 Item Ledger Entry","12 Quantity","5 Source no.",$C1555,"3 Posting Date",U$9,"4 Entry Type",$C$4,"2 Item No.","@@"&amp;$F1555)</t>
  </si>
  <si>
    <t>=-NL("Sum","32 Item Ledger Entry","12 Quantity","5 Source no.",$C1556,"3 Posting Date",U$9,"4 Entry Type",$C$4,"2 Item No.","@@"&amp;$F1556)</t>
  </si>
  <si>
    <t>=-NL("Sum","32 Item Ledger Entry","12 Quantity","5 Source no.",$C1557,"3 Posting Date",U$9,"4 Entry Type",$C$4,"2 Item No.","@@"&amp;$F1557)</t>
  </si>
  <si>
    <t>=-NL("Sum","32 Item Ledger Entry","12 Quantity","5 Source no.",$C1558,"3 Posting Date",U$9,"4 Entry Type",$C$4,"2 Item No.","@@"&amp;$F1558)</t>
  </si>
  <si>
    <t>=-NL("Sum","32 Item Ledger Entry","12 Quantity","5 Source no.",$C1559,"3 Posting Date",U$9,"4 Entry Type",$C$4,"2 Item No.","@@"&amp;$F1559)</t>
  </si>
  <si>
    <t>=-NL("Sum","32 Item Ledger Entry","12 Quantity","5 Source no.",$C1560,"3 Posting Date",U$9,"4 Entry Type",$C$4,"2 Item No.","@@"&amp;$F1560)</t>
  </si>
  <si>
    <t>=-NL("Sum","32 Item Ledger Entry","12 Quantity","5 Source no.",$C1514,"3 Posting Date",Z$9,"4 Entry Type",$C$4,"2 Item No.","@@"&amp;$F1514)</t>
  </si>
  <si>
    <t>=-NL("Sum","32 Item Ledger Entry","12 Quantity","5 Source no.",$C1515,"3 Posting Date",Z$9,"4 Entry Type",$C$4,"2 Item No.","@@"&amp;$F1515)</t>
  </si>
  <si>
    <t>=-NL("Sum","32 Item Ledger Entry","12 Quantity","5 Source no.",$C1516,"3 Posting Date",Z$9,"4 Entry Type",$C$4,"2 Item No.","@@"&amp;$F1516)</t>
  </si>
  <si>
    <t>=-NL("Sum","32 Item Ledger Entry","12 Quantity","5 Source no.",$C1517,"3 Posting Date",Z$9,"4 Entry Type",$C$4,"2 Item No.","@@"&amp;$F1517)</t>
  </si>
  <si>
    <t>=-NL("Sum","32 Item Ledger Entry","12 Quantity","5 Source no.",$C1518,"3 Posting Date",Z$9,"4 Entry Type",$C$4,"2 Item No.","@@"&amp;$F1518)</t>
  </si>
  <si>
    <t>=-NL("Sum","32 Item Ledger Entry","12 Quantity","5 Source no.",$C1519,"3 Posting Date",Z$9,"4 Entry Type",$C$4,"2 Item No.","@@"&amp;$F1519)</t>
  </si>
  <si>
    <t>=-NL("Sum","32 Item Ledger Entry","12 Quantity","5 Source no.",$C1520,"3 Posting Date",Z$9,"4 Entry Type",$C$4,"2 Item No.","@@"&amp;$F1520)</t>
  </si>
  <si>
    <t>=-NL("Sum","32 Item Ledger Entry","12 Quantity","5 Source no.",$C1521,"3 Posting Date",Z$9,"4 Entry Type",$C$4,"2 Item No.","@@"&amp;$F1521)</t>
  </si>
  <si>
    <t>=-NL("Sum","32 Item Ledger Entry","12 Quantity","5 Source no.",$C1522,"3 Posting Date",Z$9,"4 Entry Type",$C$4,"2 Item No.","@@"&amp;$F1522)</t>
  </si>
  <si>
    <t>=-NL("Sum","32 Item Ledger Entry","12 Quantity","5 Source no.",$C1523,"3 Posting Date",Z$9,"4 Entry Type",$C$4,"2 Item No.","@@"&amp;$F1523)</t>
  </si>
  <si>
    <t>=-NL("Sum","32 Item Ledger Entry","12 Quantity","5 Source no.",$C1524,"3 Posting Date",Z$9,"4 Entry Type",$C$4,"2 Item No.","@@"&amp;$F1524)</t>
  </si>
  <si>
    <t>=-NL("Sum","32 Item Ledger Entry","12 Quantity","5 Source no.",$C1525,"3 Posting Date",Z$9,"4 Entry Type",$C$4,"2 Item No.","@@"&amp;$F1525)</t>
  </si>
  <si>
    <t>=-NL("Sum","32 Item Ledger Entry","12 Quantity","5 Source no.",$C1526,"3 Posting Date",Z$9,"4 Entry Type",$C$4,"2 Item No.","@@"&amp;$F1526)</t>
  </si>
  <si>
    <t>=-NL("Sum","32 Item Ledger Entry","12 Quantity","5 Source no.",$C1527,"3 Posting Date",Z$9,"4 Entry Type",$C$4,"2 Item No.","@@"&amp;$F1527)</t>
  </si>
  <si>
    <t>=-NL("Sum","32 Item Ledger Entry","12 Quantity","5 Source no.",$C1528,"3 Posting Date",Z$9,"4 Entry Type",$C$4,"2 Item No.","@@"&amp;$F1528)</t>
  </si>
  <si>
    <t>=-NL("Sum","32 Item Ledger Entry","12 Quantity","5 Source no.",$C1529,"3 Posting Date",Z$9,"4 Entry Type",$C$4,"2 Item No.","@@"&amp;$F1529)</t>
  </si>
  <si>
    <t>=-NL("Sum","32 Item Ledger Entry","12 Quantity","5 Source no.",$C1530,"3 Posting Date",Z$9,"4 Entry Type",$C$4,"2 Item No.","@@"&amp;$F1530)</t>
  </si>
  <si>
    <t>=-NL("Sum","32 Item Ledger Entry","12 Quantity","5 Source no.",$C1531,"3 Posting Date",Z$9,"4 Entry Type",$C$4,"2 Item No.","@@"&amp;$F1531)</t>
  </si>
  <si>
    <t>=-NL("Sum","32 Item Ledger Entry","12 Quantity","5 Source no.",$C1532,"3 Posting Date",Z$9,"4 Entry Type",$C$4,"2 Item No.","@@"&amp;$F1532)</t>
  </si>
  <si>
    <t>=-NL("Sum","32 Item Ledger Entry","12 Quantity","5 Source no.",$C1533,"3 Posting Date",Z$9,"4 Entry Type",$C$4,"2 Item No.","@@"&amp;$F1533)</t>
  </si>
  <si>
    <t>=-NL("Sum","32 Item Ledger Entry","12 Quantity","5 Source no.",$C1534,"3 Posting Date",Z$9,"4 Entry Type",$C$4,"2 Item No.","@@"&amp;$F1534)</t>
  </si>
  <si>
    <t>=-NL("Sum","32 Item Ledger Entry","12 Quantity","5 Source no.",$C1535,"3 Posting Date",Z$9,"4 Entry Type",$C$4,"2 Item No.","@@"&amp;$F1535)</t>
  </si>
  <si>
    <t>=-NL("Sum","32 Item Ledger Entry","12 Quantity","5 Source no.",$C1536,"3 Posting Date",Z$9,"4 Entry Type",$C$4,"2 Item No.","@@"&amp;$F1536)</t>
  </si>
  <si>
    <t>=-NL("Sum","32 Item Ledger Entry","12 Quantity","5 Source no.",$C1537,"3 Posting Date",Z$9,"4 Entry Type",$C$4,"2 Item No.","@@"&amp;$F1537)</t>
  </si>
  <si>
    <t>=-NL("Sum","32 Item Ledger Entry","12 Quantity","5 Source no.",$C1538,"3 Posting Date",Z$9,"4 Entry Type",$C$4,"2 Item No.","@@"&amp;$F1538)</t>
  </si>
  <si>
    <t>=-NL("Sum","32 Item Ledger Entry","12 Quantity","5 Source no.",$C1539,"3 Posting Date",Z$9,"4 Entry Type",$C$4,"2 Item No.","@@"&amp;$F1539)</t>
  </si>
  <si>
    <t>=-NL("Sum","32 Item Ledger Entry","12 Quantity","5 Source no.",$C1540,"3 Posting Date",Z$9,"4 Entry Type",$C$4,"2 Item No.","@@"&amp;$F1540)</t>
  </si>
  <si>
    <t>=-NL("Sum","32 Item Ledger Entry","12 Quantity","5 Source no.",$C1541,"3 Posting Date",Z$9,"4 Entry Type",$C$4,"2 Item No.","@@"&amp;$F1541)</t>
  </si>
  <si>
    <t>=-NL("Sum","32 Item Ledger Entry","12 Quantity","5 Source no.",$C1542,"3 Posting Date",Z$9,"4 Entry Type",$C$4,"2 Item No.","@@"&amp;$F1542)</t>
  </si>
  <si>
    <t>=-NL("Sum","32 Item Ledger Entry","12 Quantity","5 Source no.",$C1543,"3 Posting Date",Z$9,"4 Entry Type",$C$4,"2 Item No.","@@"&amp;$F1543)</t>
  </si>
  <si>
    <t>=-NL("Sum","32 Item Ledger Entry","12 Quantity","5 Source no.",$C1544,"3 Posting Date",Z$9,"4 Entry Type",$C$4,"2 Item No.","@@"&amp;$F1544)</t>
  </si>
  <si>
    <t>=-NL("Sum","32 Item Ledger Entry","12 Quantity","5 Source no.",$C1545,"3 Posting Date",Z$9,"4 Entry Type",$C$4,"2 Item No.","@@"&amp;$F1545)</t>
  </si>
  <si>
    <t>=-NL("Sum","32 Item Ledger Entry","12 Quantity","5 Source no.",$C1546,"3 Posting Date",Z$9,"4 Entry Type",$C$4,"2 Item No.","@@"&amp;$F1546)</t>
  </si>
  <si>
    <t>=-NL("Sum","32 Item Ledger Entry","12 Quantity","5 Source no.",$C1547,"3 Posting Date",Z$9,"4 Entry Type",$C$4,"2 Item No.","@@"&amp;$F1547)</t>
  </si>
  <si>
    <t>=-NL("Sum","32 Item Ledger Entry","12 Quantity","5 Source no.",$C1548,"3 Posting Date",Z$9,"4 Entry Type",$C$4,"2 Item No.","@@"&amp;$F1548)</t>
  </si>
  <si>
    <t>=-NL("Sum","32 Item Ledger Entry","12 Quantity","5 Source no.",$C1549,"3 Posting Date",Z$9,"4 Entry Type",$C$4,"2 Item No.","@@"&amp;$F1549)</t>
  </si>
  <si>
    <t>=-NL("Sum","32 Item Ledger Entry","12 Quantity","5 Source no.",$C1550,"3 Posting Date",Z$9,"4 Entry Type",$C$4,"2 Item No.","@@"&amp;$F1550)</t>
  </si>
  <si>
    <t>=-NL("Sum","32 Item Ledger Entry","12 Quantity","5 Source no.",$C1551,"3 Posting Date",Z$9,"4 Entry Type",$C$4,"2 Item No.","@@"&amp;$F1551)</t>
  </si>
  <si>
    <t>=-NL("Sum","32 Item Ledger Entry","12 Quantity","5 Source no.",$C1552,"3 Posting Date",Z$9,"4 Entry Type",$C$4,"2 Item No.","@@"&amp;$F1552)</t>
  </si>
  <si>
    <t>=-NL("Sum","32 Item Ledger Entry","12 Quantity","5 Source no.",$C1553,"3 Posting Date",Z$9,"4 Entry Type",$C$4,"2 Item No.","@@"&amp;$F1553)</t>
  </si>
  <si>
    <t>=-NL("Sum","32 Item Ledger Entry","12 Quantity","5 Source no.",$C1554,"3 Posting Date",Z$9,"4 Entry Type",$C$4,"2 Item No.","@@"&amp;$F1554)</t>
  </si>
  <si>
    <t>=-NL("Sum","32 Item Ledger Entry","12 Quantity","5 Source no.",$C1555,"3 Posting Date",Z$9,"4 Entry Type",$C$4,"2 Item No.","@@"&amp;$F1555)</t>
  </si>
  <si>
    <t>=-NL("Sum","32 Item Ledger Entry","12 Quantity","5 Source no.",$C1556,"3 Posting Date",Z$9,"4 Entry Type",$C$4,"2 Item No.","@@"&amp;$F1556)</t>
  </si>
  <si>
    <t>=-NL("Sum","32 Item Ledger Entry","12 Quantity","5 Source no.",$C1557,"3 Posting Date",Z$9,"4 Entry Type",$C$4,"2 Item No.","@@"&amp;$F1557)</t>
  </si>
  <si>
    <t>=-NL("Sum","32 Item Ledger Entry","12 Quantity","5 Source no.",$C1558,"3 Posting Date",Z$9,"4 Entry Type",$C$4,"2 Item No.","@@"&amp;$F1558)</t>
  </si>
  <si>
    <t>=-NL("Sum","32 Item Ledger Entry","12 Quantity","5 Source no.",$C1559,"3 Posting Date",Z$9,"4 Entry Type",$C$4,"2 Item No.","@@"&amp;$F1559)</t>
  </si>
  <si>
    <t>=-NL("Sum","32 Item Ledger Entry","12 Quantity","5 Source no.",$C1560,"3 Posting Date",Z$9,"4 Entry Type",$C$4,"2 Item No.","@@"&amp;$F1560)</t>
  </si>
  <si>
    <t>=NL(,"27 Item","3 Description","1 No.","@@"&amp;F1460)</t>
  </si>
  <si>
    <t>=NL(,"27 Item","3 Description","1 No.","@@"&amp;F1461)</t>
  </si>
  <si>
    <t>=NL(,"27 Item","3 Description","1 No.","@@"&amp;F1462)</t>
  </si>
  <si>
    <t>=NL(,"27 Item","3 Description","1 No.","@@"&amp;F1463)</t>
  </si>
  <si>
    <t>=NL(,"27 Item","3 Description","1 No.","@@"&amp;F1464)</t>
  </si>
  <si>
    <t>=NL(,"27 Item","3 Description","1 No.","@@"&amp;F1465)</t>
  </si>
  <si>
    <t>=NL(,"27 Item","3 Description","1 No.","@@"&amp;F1466)</t>
  </si>
  <si>
    <t>=NL(,"27 Item","3 Description","1 No.","@@"&amp;F1467)</t>
  </si>
  <si>
    <t>=NL(,"27 Item","3 Description","1 No.","@@"&amp;F1468)</t>
  </si>
  <si>
    <t>=NL(,"27 Item","3 Description","1 No.","@@"&amp;F1469)</t>
  </si>
  <si>
    <t>=NL(,"27 Item","3 Description","1 No.","@@"&amp;F1470)</t>
  </si>
  <si>
    <t>=NL(,"27 Item","3 Description","1 No.","@@"&amp;F1471)</t>
  </si>
  <si>
    <t>=NL(,"27 Item","3 Description","1 No.","@@"&amp;F1472)</t>
  </si>
  <si>
    <t>=NL(,"27 Item","3 Description","1 No.","@@"&amp;F1473)</t>
  </si>
  <si>
    <t>=NL(,"27 Item","3 Description","1 No.","@@"&amp;F1474)</t>
  </si>
  <si>
    <t>=NL(,"27 Item","3 Description","1 No.","@@"&amp;F1475)</t>
  </si>
  <si>
    <t>=NL(,"27 Item","3 Description","1 No.","@@"&amp;F1476)</t>
  </si>
  <si>
    <t>=NL(,"27 Item","3 Description","1 No.","@@"&amp;F1477)</t>
  </si>
  <si>
    <t>=NL(,"27 Item","3 Description","1 No.","@@"&amp;F1478)</t>
  </si>
  <si>
    <t>=NL(,"27 Item","3 Description","1 No.","@@"&amp;F1479)</t>
  </si>
  <si>
    <t>=NL(,"27 Item","3 Description","1 No.","@@"&amp;F1480)</t>
  </si>
  <si>
    <t>=NL(,"27 Item","3 Description","1 No.","@@"&amp;F1481)</t>
  </si>
  <si>
    <t>=NL(,"27 Item","3 Description","1 No.","@@"&amp;F1482)</t>
  </si>
  <si>
    <t>=NL(,"27 Item","3 Description","1 No.","@@"&amp;F1483)</t>
  </si>
  <si>
    <t>=NL(,"27 Item","3 Description","1 No.","@@"&amp;F1484)</t>
  </si>
  <si>
    <t>=NL(,"27 Item","3 Description","1 No.","@@"&amp;F1485)</t>
  </si>
  <si>
    <t>=NL(,"27 Item","3 Description","1 No.","@@"&amp;F1486)</t>
  </si>
  <si>
    <t>=NL(,"27 Item","3 Description","1 No.","@@"&amp;F1487)</t>
  </si>
  <si>
    <t>=NL(,"27 Item","3 Description","1 No.","@@"&amp;F1488)</t>
  </si>
  <si>
    <t>=NL(,"27 Item","3 Description","1 No.","@@"&amp;F1489)</t>
  </si>
  <si>
    <t>=NL(,"27 Item","3 Description","1 No.","@@"&amp;F1490)</t>
  </si>
  <si>
    <t>=NL(,"27 Item","3 Description","1 No.","@@"&amp;F1491)</t>
  </si>
  <si>
    <t>=NL(,"27 Item","3 Description","1 No.","@@"&amp;F1492)</t>
  </si>
  <si>
    <t>=NL(,"27 Item","3 Description","1 No.","@@"&amp;F1493)</t>
  </si>
  <si>
    <t>=NL(,"27 Item","3 Description","1 No.","@@"&amp;F1494)</t>
  </si>
  <si>
    <t>=NL(,"27 Item","3 Description","1 No.","@@"&amp;F1495)</t>
  </si>
  <si>
    <t>=NL(,"27 Item","3 Description","1 No.","@@"&amp;F1496)</t>
  </si>
  <si>
    <t>=NL(,"27 Item","3 Description","1 No.","@@"&amp;F1497)</t>
  </si>
  <si>
    <t>=NL(,"27 Item","3 Description","1 No.","@@"&amp;F1498)</t>
  </si>
  <si>
    <t>=NL(,"27 Item","3 Description","1 No.","@@"&amp;F1499)</t>
  </si>
  <si>
    <t>=NL(,"27 Item","3 Description","1 No.","@@"&amp;F1500)</t>
  </si>
  <si>
    <t>=NL(,"27 Item","3 Description","1 No.","@@"&amp;F1501)</t>
  </si>
  <si>
    <t>=NL(,"27 Item","3 Description","1 No.","@@"&amp;F1502)</t>
  </si>
  <si>
    <t>=NL(,"27 Item","3 Description","1 No.","@@"&amp;F1503)</t>
  </si>
  <si>
    <t>=NL(,"27 Item","3 Description","1 No.","@@"&amp;F1504)</t>
  </si>
  <si>
    <t>=NL(,"27 Item","3 Description","1 No.","@@"&amp;F1505)</t>
  </si>
  <si>
    <t>=NL(,"27 Item","3 Description","1 No.","@@"&amp;F1506)</t>
  </si>
  <si>
    <t>=NL(,"27 Item","3 Description","1 No.","@@"&amp;F1507)</t>
  </si>
  <si>
    <t>=NL(,"27 Item","3 Description","1 No.","@@"&amp;F1508)</t>
  </si>
  <si>
    <t>=-NL("Sum","32 Item Ledger Entry","12 Quantity","5 Source no.",$C1460,"3 Posting Date",J$9,"4 Entry Type",$C$4,"2 Item No.","@@"&amp;$F1460)</t>
  </si>
  <si>
    <t>=-NL("Sum","32 Item Ledger Entry","12 Quantity","5 Source no.",$C1461,"3 Posting Date",J$9,"4 Entry Type",$C$4,"2 Item No.","@@"&amp;$F1461)</t>
  </si>
  <si>
    <t>=-NL("Sum","32 Item Ledger Entry","12 Quantity","5 Source no.",$C1462,"3 Posting Date",J$9,"4 Entry Type",$C$4,"2 Item No.","@@"&amp;$F1462)</t>
  </si>
  <si>
    <t>=-NL("Sum","32 Item Ledger Entry","12 Quantity","5 Source no.",$C1463,"3 Posting Date",J$9,"4 Entry Type",$C$4,"2 Item No.","@@"&amp;$F1463)</t>
  </si>
  <si>
    <t>=-NL("Sum","32 Item Ledger Entry","12 Quantity","5 Source no.",$C1464,"3 Posting Date",J$9,"4 Entry Type",$C$4,"2 Item No.","@@"&amp;$F1464)</t>
  </si>
  <si>
    <t>=-NL("Sum","32 Item Ledger Entry","12 Quantity","5 Source no.",$C1465,"3 Posting Date",J$9,"4 Entry Type",$C$4,"2 Item No.","@@"&amp;$F1465)</t>
  </si>
  <si>
    <t>=-NL("Sum","32 Item Ledger Entry","12 Quantity","5 Source no.",$C1466,"3 Posting Date",J$9,"4 Entry Type",$C$4,"2 Item No.","@@"&amp;$F1466)</t>
  </si>
  <si>
    <t>=-NL("Sum","32 Item Ledger Entry","12 Quantity","5 Source no.",$C1467,"3 Posting Date",J$9,"4 Entry Type",$C$4,"2 Item No.","@@"&amp;$F1467)</t>
  </si>
  <si>
    <t>=-NL("Sum","32 Item Ledger Entry","12 Quantity","5 Source no.",$C1468,"3 Posting Date",J$9,"4 Entry Type",$C$4,"2 Item No.","@@"&amp;$F1468)</t>
  </si>
  <si>
    <t>=-NL("Sum","32 Item Ledger Entry","12 Quantity","5 Source no.",$C1469,"3 Posting Date",J$9,"4 Entry Type",$C$4,"2 Item No.","@@"&amp;$F1469)</t>
  </si>
  <si>
    <t>=-NL("Sum","32 Item Ledger Entry","12 Quantity","5 Source no.",$C1470,"3 Posting Date",J$9,"4 Entry Type",$C$4,"2 Item No.","@@"&amp;$F1470)</t>
  </si>
  <si>
    <t>=-NL("Sum","32 Item Ledger Entry","12 Quantity","5 Source no.",$C1471,"3 Posting Date",J$9,"4 Entry Type",$C$4,"2 Item No.","@@"&amp;$F1471)</t>
  </si>
  <si>
    <t>=-NL("Sum","32 Item Ledger Entry","12 Quantity","5 Source no.",$C1472,"3 Posting Date",J$9,"4 Entry Type",$C$4,"2 Item No.","@@"&amp;$F1472)</t>
  </si>
  <si>
    <t>=-NL("Sum","32 Item Ledger Entry","12 Quantity","5 Source no.",$C1473,"3 Posting Date",J$9,"4 Entry Type",$C$4,"2 Item No.","@@"&amp;$F1473)</t>
  </si>
  <si>
    <t>=-NL("Sum","32 Item Ledger Entry","12 Quantity","5 Source no.",$C1474,"3 Posting Date",J$9,"4 Entry Type",$C$4,"2 Item No.","@@"&amp;$F1474)</t>
  </si>
  <si>
    <t>=-NL("Sum","32 Item Ledger Entry","12 Quantity","5 Source no.",$C1475,"3 Posting Date",J$9,"4 Entry Type",$C$4,"2 Item No.","@@"&amp;$F1475)</t>
  </si>
  <si>
    <t>=-NL("Sum","32 Item Ledger Entry","12 Quantity","5 Source no.",$C1476,"3 Posting Date",J$9,"4 Entry Type",$C$4,"2 Item No.","@@"&amp;$F1476)</t>
  </si>
  <si>
    <t>=-NL("Sum","32 Item Ledger Entry","12 Quantity","5 Source no.",$C1477,"3 Posting Date",J$9,"4 Entry Type",$C$4,"2 Item No.","@@"&amp;$F1477)</t>
  </si>
  <si>
    <t>=-NL("Sum","32 Item Ledger Entry","12 Quantity","5 Source no.",$C1478,"3 Posting Date",J$9,"4 Entry Type",$C$4,"2 Item No.","@@"&amp;$F1478)</t>
  </si>
  <si>
    <t>=-NL("Sum","32 Item Ledger Entry","12 Quantity","5 Source no.",$C1479,"3 Posting Date",J$9,"4 Entry Type",$C$4,"2 Item No.","@@"&amp;$F1479)</t>
  </si>
  <si>
    <t>=-NL("Sum","32 Item Ledger Entry","12 Quantity","5 Source no.",$C1480,"3 Posting Date",J$9,"4 Entry Type",$C$4,"2 Item No.","@@"&amp;$F1480)</t>
  </si>
  <si>
    <t>=-NL("Sum","32 Item Ledger Entry","12 Quantity","5 Source no.",$C1481,"3 Posting Date",J$9,"4 Entry Type",$C$4,"2 Item No.","@@"&amp;$F1481)</t>
  </si>
  <si>
    <t>=-NL("Sum","32 Item Ledger Entry","12 Quantity","5 Source no.",$C1482,"3 Posting Date",J$9,"4 Entry Type",$C$4,"2 Item No.","@@"&amp;$F1482)</t>
  </si>
  <si>
    <t>=-NL("Sum","32 Item Ledger Entry","12 Quantity","5 Source no.",$C1483,"3 Posting Date",J$9,"4 Entry Type",$C$4,"2 Item No.","@@"&amp;$F1483)</t>
  </si>
  <si>
    <t>=-NL("Sum","32 Item Ledger Entry","12 Quantity","5 Source no.",$C1484,"3 Posting Date",J$9,"4 Entry Type",$C$4,"2 Item No.","@@"&amp;$F1484)</t>
  </si>
  <si>
    <t>=-NL("Sum","32 Item Ledger Entry","12 Quantity","5 Source no.",$C1485,"3 Posting Date",J$9,"4 Entry Type",$C$4,"2 Item No.","@@"&amp;$F1485)</t>
  </si>
  <si>
    <t>=-NL("Sum","32 Item Ledger Entry","12 Quantity","5 Source no.",$C1486,"3 Posting Date",J$9,"4 Entry Type",$C$4,"2 Item No.","@@"&amp;$F1486)</t>
  </si>
  <si>
    <t>=-NL("Sum","32 Item Ledger Entry","12 Quantity","5 Source no.",$C1487,"3 Posting Date",J$9,"4 Entry Type",$C$4,"2 Item No.","@@"&amp;$F1487)</t>
  </si>
  <si>
    <t>=-NL("Sum","32 Item Ledger Entry","12 Quantity","5 Source no.",$C1488,"3 Posting Date",J$9,"4 Entry Type",$C$4,"2 Item No.","@@"&amp;$F1488)</t>
  </si>
  <si>
    <t>=-NL("Sum","32 Item Ledger Entry","12 Quantity","5 Source no.",$C1489,"3 Posting Date",J$9,"4 Entry Type",$C$4,"2 Item No.","@@"&amp;$F1489)</t>
  </si>
  <si>
    <t>=-NL("Sum","32 Item Ledger Entry","12 Quantity","5 Source no.",$C1490,"3 Posting Date",J$9,"4 Entry Type",$C$4,"2 Item No.","@@"&amp;$F1490)</t>
  </si>
  <si>
    <t>=-NL("Sum","32 Item Ledger Entry","12 Quantity","5 Source no.",$C1491,"3 Posting Date",J$9,"4 Entry Type",$C$4,"2 Item No.","@@"&amp;$F1491)</t>
  </si>
  <si>
    <t>=-NL("Sum","32 Item Ledger Entry","12 Quantity","5 Source no.",$C1492,"3 Posting Date",J$9,"4 Entry Type",$C$4,"2 Item No.","@@"&amp;$F1492)</t>
  </si>
  <si>
    <t>=-NL("Sum","32 Item Ledger Entry","12 Quantity","5 Source no.",$C1493,"3 Posting Date",J$9,"4 Entry Type",$C$4,"2 Item No.","@@"&amp;$F1493)</t>
  </si>
  <si>
    <t>=-NL("Sum","32 Item Ledger Entry","12 Quantity","5 Source no.",$C1494,"3 Posting Date",J$9,"4 Entry Type",$C$4,"2 Item No.","@@"&amp;$F1494)</t>
  </si>
  <si>
    <t>=-NL("Sum","32 Item Ledger Entry","12 Quantity","5 Source no.",$C1495,"3 Posting Date",J$9,"4 Entry Type",$C$4,"2 Item No.","@@"&amp;$F1495)</t>
  </si>
  <si>
    <t>=-NL("Sum","32 Item Ledger Entry","12 Quantity","5 Source no.",$C1496,"3 Posting Date",J$9,"4 Entry Type",$C$4,"2 Item No.","@@"&amp;$F1496)</t>
  </si>
  <si>
    <t>=-NL("Sum","32 Item Ledger Entry","12 Quantity","5 Source no.",$C1497,"3 Posting Date",J$9,"4 Entry Type",$C$4,"2 Item No.","@@"&amp;$F1497)</t>
  </si>
  <si>
    <t>=-NL("Sum","32 Item Ledger Entry","12 Quantity","5 Source no.",$C1498,"3 Posting Date",J$9,"4 Entry Type",$C$4,"2 Item No.","@@"&amp;$F1498)</t>
  </si>
  <si>
    <t>=-NL("Sum","32 Item Ledger Entry","12 Quantity","5 Source no.",$C1499,"3 Posting Date",J$9,"4 Entry Type",$C$4,"2 Item No.","@@"&amp;$F1499)</t>
  </si>
  <si>
    <t>=-NL("Sum","32 Item Ledger Entry","12 Quantity","5 Source no.",$C1500,"3 Posting Date",J$9,"4 Entry Type",$C$4,"2 Item No.","@@"&amp;$F1500)</t>
  </si>
  <si>
    <t>=-NL("Sum","32 Item Ledger Entry","12 Quantity","5 Source no.",$C1501,"3 Posting Date",J$9,"4 Entry Type",$C$4,"2 Item No.","@@"&amp;$F1501)</t>
  </si>
  <si>
    <t>=-NL("Sum","32 Item Ledger Entry","12 Quantity","5 Source no.",$C1502,"3 Posting Date",J$9,"4 Entry Type",$C$4,"2 Item No.","@@"&amp;$F1502)</t>
  </si>
  <si>
    <t>=-NL("Sum","32 Item Ledger Entry","12 Quantity","5 Source no.",$C1503,"3 Posting Date",J$9,"4 Entry Type",$C$4,"2 Item No.","@@"&amp;$F1503)</t>
  </si>
  <si>
    <t>=-NL("Sum","32 Item Ledger Entry","12 Quantity","5 Source no.",$C1504,"3 Posting Date",J$9,"4 Entry Type",$C$4,"2 Item No.","@@"&amp;$F1504)</t>
  </si>
  <si>
    <t>=-NL("Sum","32 Item Ledger Entry","12 Quantity","5 Source no.",$C1505,"3 Posting Date",J$9,"4 Entry Type",$C$4,"2 Item No.","@@"&amp;$F1505)</t>
  </si>
  <si>
    <t>=-NL("Sum","32 Item Ledger Entry","12 Quantity","5 Source no.",$C1506,"3 Posting Date",J$9,"4 Entry Type",$C$4,"2 Item No.","@@"&amp;$F1506)</t>
  </si>
  <si>
    <t>=-NL("Sum","32 Item Ledger Entry","12 Quantity","5 Source no.",$C1507,"3 Posting Date",J$9,"4 Entry Type",$C$4,"2 Item No.","@@"&amp;$F1507)</t>
  </si>
  <si>
    <t>=-NL("Sum","32 Item Ledger Entry","12 Quantity","5 Source no.",$C1508,"3 Posting Date",J$9,"4 Entry Type",$C$4,"2 Item No.","@@"&amp;$F1508)</t>
  </si>
  <si>
    <t>=-NL("Sum","32 Item Ledger Entry","12 Quantity","5 Source no.",$C1460,"3 Posting Date",O$9,"4 Entry Type",$C$4,"2 Item No.","@@"&amp;$F1460)</t>
  </si>
  <si>
    <t>=-NL("Sum","32 Item Ledger Entry","12 Quantity","5 Source no.",$C1461,"3 Posting Date",O$9,"4 Entry Type",$C$4,"2 Item No.","@@"&amp;$F1461)</t>
  </si>
  <si>
    <t>=-NL("Sum","32 Item Ledger Entry","12 Quantity","5 Source no.",$C1462,"3 Posting Date",O$9,"4 Entry Type",$C$4,"2 Item No.","@@"&amp;$F1462)</t>
  </si>
  <si>
    <t>=-NL("Sum","32 Item Ledger Entry","12 Quantity","5 Source no.",$C1463,"3 Posting Date",O$9,"4 Entry Type",$C$4,"2 Item No.","@@"&amp;$F1463)</t>
  </si>
  <si>
    <t>=-NL("Sum","32 Item Ledger Entry","12 Quantity","5 Source no.",$C1464,"3 Posting Date",O$9,"4 Entry Type",$C$4,"2 Item No.","@@"&amp;$F1464)</t>
  </si>
  <si>
    <t>=-NL("Sum","32 Item Ledger Entry","12 Quantity","5 Source no.",$C1465,"3 Posting Date",O$9,"4 Entry Type",$C$4,"2 Item No.","@@"&amp;$F1465)</t>
  </si>
  <si>
    <t>=-NL("Sum","32 Item Ledger Entry","12 Quantity","5 Source no.",$C1466,"3 Posting Date",O$9,"4 Entry Type",$C$4,"2 Item No.","@@"&amp;$F1466)</t>
  </si>
  <si>
    <t>=-NL("Sum","32 Item Ledger Entry","12 Quantity","5 Source no.",$C1467,"3 Posting Date",O$9,"4 Entry Type",$C$4,"2 Item No.","@@"&amp;$F1467)</t>
  </si>
  <si>
    <t>=-NL("Sum","32 Item Ledger Entry","12 Quantity","5 Source no.",$C1468,"3 Posting Date",O$9,"4 Entry Type",$C$4,"2 Item No.","@@"&amp;$F1468)</t>
  </si>
  <si>
    <t>=-NL("Sum","32 Item Ledger Entry","12 Quantity","5 Source no.",$C1469,"3 Posting Date",O$9,"4 Entry Type",$C$4,"2 Item No.","@@"&amp;$F1469)</t>
  </si>
  <si>
    <t>=-NL("Sum","32 Item Ledger Entry","12 Quantity","5 Source no.",$C1470,"3 Posting Date",O$9,"4 Entry Type",$C$4,"2 Item No.","@@"&amp;$F1470)</t>
  </si>
  <si>
    <t>=-NL("Sum","32 Item Ledger Entry","12 Quantity","5 Source no.",$C1471,"3 Posting Date",O$9,"4 Entry Type",$C$4,"2 Item No.","@@"&amp;$F1471)</t>
  </si>
  <si>
    <t>=-NL("Sum","32 Item Ledger Entry","12 Quantity","5 Source no.",$C1472,"3 Posting Date",O$9,"4 Entry Type",$C$4,"2 Item No.","@@"&amp;$F1472)</t>
  </si>
  <si>
    <t>=-NL("Sum","32 Item Ledger Entry","12 Quantity","5 Source no.",$C1473,"3 Posting Date",O$9,"4 Entry Type",$C$4,"2 Item No.","@@"&amp;$F1473)</t>
  </si>
  <si>
    <t>=-NL("Sum","32 Item Ledger Entry","12 Quantity","5 Source no.",$C1474,"3 Posting Date",O$9,"4 Entry Type",$C$4,"2 Item No.","@@"&amp;$F1474)</t>
  </si>
  <si>
    <t>=-NL("Sum","32 Item Ledger Entry","12 Quantity","5 Source no.",$C1475,"3 Posting Date",O$9,"4 Entry Type",$C$4,"2 Item No.","@@"&amp;$F1475)</t>
  </si>
  <si>
    <t>=-NL("Sum","32 Item Ledger Entry","12 Quantity","5 Source no.",$C1476,"3 Posting Date",O$9,"4 Entry Type",$C$4,"2 Item No.","@@"&amp;$F1476)</t>
  </si>
  <si>
    <t>=-NL("Sum","32 Item Ledger Entry","12 Quantity","5 Source no.",$C1477,"3 Posting Date",O$9,"4 Entry Type",$C$4,"2 Item No.","@@"&amp;$F1477)</t>
  </si>
  <si>
    <t>=-NL("Sum","32 Item Ledger Entry","12 Quantity","5 Source no.",$C1478,"3 Posting Date",O$9,"4 Entry Type",$C$4,"2 Item No.","@@"&amp;$F1478)</t>
  </si>
  <si>
    <t>=-NL("Sum","32 Item Ledger Entry","12 Quantity","5 Source no.",$C1479,"3 Posting Date",O$9,"4 Entry Type",$C$4,"2 Item No.","@@"&amp;$F1479)</t>
  </si>
  <si>
    <t>=-NL("Sum","32 Item Ledger Entry","12 Quantity","5 Source no.",$C1480,"3 Posting Date",O$9,"4 Entry Type",$C$4,"2 Item No.","@@"&amp;$F1480)</t>
  </si>
  <si>
    <t>=-NL("Sum","32 Item Ledger Entry","12 Quantity","5 Source no.",$C1481,"3 Posting Date",O$9,"4 Entry Type",$C$4,"2 Item No.","@@"&amp;$F1481)</t>
  </si>
  <si>
    <t>=-NL("Sum","32 Item Ledger Entry","12 Quantity","5 Source no.",$C1482,"3 Posting Date",O$9,"4 Entry Type",$C$4,"2 Item No.","@@"&amp;$F1482)</t>
  </si>
  <si>
    <t>=-NL("Sum","32 Item Ledger Entry","12 Quantity","5 Source no.",$C1483,"3 Posting Date",O$9,"4 Entry Type",$C$4,"2 Item No.","@@"&amp;$F1483)</t>
  </si>
  <si>
    <t>=-NL("Sum","32 Item Ledger Entry","12 Quantity","5 Source no.",$C1484,"3 Posting Date",O$9,"4 Entry Type",$C$4,"2 Item No.","@@"&amp;$F1484)</t>
  </si>
  <si>
    <t>=-NL("Sum","32 Item Ledger Entry","12 Quantity","5 Source no.",$C1485,"3 Posting Date",O$9,"4 Entry Type",$C$4,"2 Item No.","@@"&amp;$F1485)</t>
  </si>
  <si>
    <t>=-NL("Sum","32 Item Ledger Entry","12 Quantity","5 Source no.",$C1486,"3 Posting Date",O$9,"4 Entry Type",$C$4,"2 Item No.","@@"&amp;$F1486)</t>
  </si>
  <si>
    <t>=-NL("Sum","32 Item Ledger Entry","12 Quantity","5 Source no.",$C1487,"3 Posting Date",O$9,"4 Entry Type",$C$4,"2 Item No.","@@"&amp;$F1487)</t>
  </si>
  <si>
    <t>=-NL("Sum","32 Item Ledger Entry","12 Quantity","5 Source no.",$C1488,"3 Posting Date",O$9,"4 Entry Type",$C$4,"2 Item No.","@@"&amp;$F1488)</t>
  </si>
  <si>
    <t>=-NL("Sum","32 Item Ledger Entry","12 Quantity","5 Source no.",$C1489,"3 Posting Date",O$9,"4 Entry Type",$C$4,"2 Item No.","@@"&amp;$F1489)</t>
  </si>
  <si>
    <t>=-NL("Sum","32 Item Ledger Entry","12 Quantity","5 Source no.",$C1490,"3 Posting Date",O$9,"4 Entry Type",$C$4,"2 Item No.","@@"&amp;$F1490)</t>
  </si>
  <si>
    <t>=-NL("Sum","32 Item Ledger Entry","12 Quantity","5 Source no.",$C1491,"3 Posting Date",O$9,"4 Entry Type",$C$4,"2 Item No.","@@"&amp;$F1491)</t>
  </si>
  <si>
    <t>=-NL("Sum","32 Item Ledger Entry","12 Quantity","5 Source no.",$C1492,"3 Posting Date",O$9,"4 Entry Type",$C$4,"2 Item No.","@@"&amp;$F1492)</t>
  </si>
  <si>
    <t>=-NL("Sum","32 Item Ledger Entry","12 Quantity","5 Source no.",$C1493,"3 Posting Date",O$9,"4 Entry Type",$C$4,"2 Item No.","@@"&amp;$F1493)</t>
  </si>
  <si>
    <t>=-NL("Sum","32 Item Ledger Entry","12 Quantity","5 Source no.",$C1494,"3 Posting Date",O$9,"4 Entry Type",$C$4,"2 Item No.","@@"&amp;$F1494)</t>
  </si>
  <si>
    <t>=-NL("Sum","32 Item Ledger Entry","12 Quantity","5 Source no.",$C1495,"3 Posting Date",O$9,"4 Entry Type",$C$4,"2 Item No.","@@"&amp;$F1495)</t>
  </si>
  <si>
    <t>=-NL("Sum","32 Item Ledger Entry","12 Quantity","5 Source no.",$C1496,"3 Posting Date",O$9,"4 Entry Type",$C$4,"2 Item No.","@@"&amp;$F1496)</t>
  </si>
  <si>
    <t>=-NL("Sum","32 Item Ledger Entry","12 Quantity","5 Source no.",$C1497,"3 Posting Date",O$9,"4 Entry Type",$C$4,"2 Item No.","@@"&amp;$F1497)</t>
  </si>
  <si>
    <t>=-NL("Sum","32 Item Ledger Entry","12 Quantity","5 Source no.",$C1498,"3 Posting Date",O$9,"4 Entry Type",$C$4,"2 Item No.","@@"&amp;$F1498)</t>
  </si>
  <si>
    <t>=-NL("Sum","32 Item Ledger Entry","12 Quantity","5 Source no.",$C1499,"3 Posting Date",O$9,"4 Entry Type",$C$4,"2 Item No.","@@"&amp;$F1499)</t>
  </si>
  <si>
    <t>=-NL("Sum","32 Item Ledger Entry","12 Quantity","5 Source no.",$C1500,"3 Posting Date",O$9,"4 Entry Type",$C$4,"2 Item No.","@@"&amp;$F1500)</t>
  </si>
  <si>
    <t>=-NL("Sum","32 Item Ledger Entry","12 Quantity","5 Source no.",$C1501,"3 Posting Date",O$9,"4 Entry Type",$C$4,"2 Item No.","@@"&amp;$F1501)</t>
  </si>
  <si>
    <t>=-NL("Sum","32 Item Ledger Entry","12 Quantity","5 Source no.",$C1502,"3 Posting Date",O$9,"4 Entry Type",$C$4,"2 Item No.","@@"&amp;$F1502)</t>
  </si>
  <si>
    <t>=-NL("Sum","32 Item Ledger Entry","12 Quantity","5 Source no.",$C1503,"3 Posting Date",O$9,"4 Entry Type",$C$4,"2 Item No.","@@"&amp;$F1503)</t>
  </si>
  <si>
    <t>=-NL("Sum","32 Item Ledger Entry","12 Quantity","5 Source no.",$C1504,"3 Posting Date",O$9,"4 Entry Type",$C$4,"2 Item No.","@@"&amp;$F1504)</t>
  </si>
  <si>
    <t>=-NL("Sum","32 Item Ledger Entry","12 Quantity","5 Source no.",$C1505,"3 Posting Date",O$9,"4 Entry Type",$C$4,"2 Item No.","@@"&amp;$F1505)</t>
  </si>
  <si>
    <t>=-NL("Sum","32 Item Ledger Entry","12 Quantity","5 Source no.",$C1506,"3 Posting Date",O$9,"4 Entry Type",$C$4,"2 Item No.","@@"&amp;$F1506)</t>
  </si>
  <si>
    <t>=-NL("Sum","32 Item Ledger Entry","12 Quantity","5 Source no.",$C1507,"3 Posting Date",O$9,"4 Entry Type",$C$4,"2 Item No.","@@"&amp;$F1507)</t>
  </si>
  <si>
    <t>=-NL("Sum","32 Item Ledger Entry","12 Quantity","5 Source no.",$C1508,"3 Posting Date",O$9,"4 Entry Type",$C$4,"2 Item No.","@@"&amp;$F1508)</t>
  </si>
  <si>
    <t>=-NL("Sum","32 Item Ledger Entry","12 Quantity","5 Source no.",$C1460,"3 Posting Date",U$9,"4 Entry Type",$C$4,"2 Item No.","@@"&amp;$F1460)</t>
  </si>
  <si>
    <t>=-NL("Sum","32 Item Ledger Entry","12 Quantity","5 Source no.",$C1461,"3 Posting Date",U$9,"4 Entry Type",$C$4,"2 Item No.","@@"&amp;$F1461)</t>
  </si>
  <si>
    <t>=-NL("Sum","32 Item Ledger Entry","12 Quantity","5 Source no.",$C1462,"3 Posting Date",U$9,"4 Entry Type",$C$4,"2 Item No.","@@"&amp;$F1462)</t>
  </si>
  <si>
    <t>=-NL("Sum","32 Item Ledger Entry","12 Quantity","5 Source no.",$C1463,"3 Posting Date",U$9,"4 Entry Type",$C$4,"2 Item No.","@@"&amp;$F1463)</t>
  </si>
  <si>
    <t>=-NL("Sum","32 Item Ledger Entry","12 Quantity","5 Source no.",$C1464,"3 Posting Date",U$9,"4 Entry Type",$C$4,"2 Item No.","@@"&amp;$F1464)</t>
  </si>
  <si>
    <t>=-NL("Sum","32 Item Ledger Entry","12 Quantity","5 Source no.",$C1465,"3 Posting Date",U$9,"4 Entry Type",$C$4,"2 Item No.","@@"&amp;$F1465)</t>
  </si>
  <si>
    <t>=-NL("Sum","32 Item Ledger Entry","12 Quantity","5 Source no.",$C1466,"3 Posting Date",U$9,"4 Entry Type",$C$4,"2 Item No.","@@"&amp;$F1466)</t>
  </si>
  <si>
    <t>=-NL("Sum","32 Item Ledger Entry","12 Quantity","5 Source no.",$C1467,"3 Posting Date",U$9,"4 Entry Type",$C$4,"2 Item No.","@@"&amp;$F1467)</t>
  </si>
  <si>
    <t>=-NL("Sum","32 Item Ledger Entry","12 Quantity","5 Source no.",$C1468,"3 Posting Date",U$9,"4 Entry Type",$C$4,"2 Item No.","@@"&amp;$F1468)</t>
  </si>
  <si>
    <t>=-NL("Sum","32 Item Ledger Entry","12 Quantity","5 Source no.",$C1469,"3 Posting Date",U$9,"4 Entry Type",$C$4,"2 Item No.","@@"&amp;$F1469)</t>
  </si>
  <si>
    <t>=-NL("Sum","32 Item Ledger Entry","12 Quantity","5 Source no.",$C1470,"3 Posting Date",U$9,"4 Entry Type",$C$4,"2 Item No.","@@"&amp;$F1470)</t>
  </si>
  <si>
    <t>=-NL("Sum","32 Item Ledger Entry","12 Quantity","5 Source no.",$C1471,"3 Posting Date",U$9,"4 Entry Type",$C$4,"2 Item No.","@@"&amp;$F1471)</t>
  </si>
  <si>
    <t>=-NL("Sum","32 Item Ledger Entry","12 Quantity","5 Source no.",$C1472,"3 Posting Date",U$9,"4 Entry Type",$C$4,"2 Item No.","@@"&amp;$F1472)</t>
  </si>
  <si>
    <t>=-NL("Sum","32 Item Ledger Entry","12 Quantity","5 Source no.",$C1473,"3 Posting Date",U$9,"4 Entry Type",$C$4,"2 Item No.","@@"&amp;$F1473)</t>
  </si>
  <si>
    <t>=-NL("Sum","32 Item Ledger Entry","12 Quantity","5 Source no.",$C1474,"3 Posting Date",U$9,"4 Entry Type",$C$4,"2 Item No.","@@"&amp;$F1474)</t>
  </si>
  <si>
    <t>=-NL("Sum","32 Item Ledger Entry","12 Quantity","5 Source no.",$C1475,"3 Posting Date",U$9,"4 Entry Type",$C$4,"2 Item No.","@@"&amp;$F1475)</t>
  </si>
  <si>
    <t>=-NL("Sum","32 Item Ledger Entry","12 Quantity","5 Source no.",$C1476,"3 Posting Date",U$9,"4 Entry Type",$C$4,"2 Item No.","@@"&amp;$F1476)</t>
  </si>
  <si>
    <t>=-NL("Sum","32 Item Ledger Entry","12 Quantity","5 Source no.",$C1477,"3 Posting Date",U$9,"4 Entry Type",$C$4,"2 Item No.","@@"&amp;$F1477)</t>
  </si>
  <si>
    <t>=-NL("Sum","32 Item Ledger Entry","12 Quantity","5 Source no.",$C1478,"3 Posting Date",U$9,"4 Entry Type",$C$4,"2 Item No.","@@"&amp;$F1478)</t>
  </si>
  <si>
    <t>=-NL("Sum","32 Item Ledger Entry","12 Quantity","5 Source no.",$C1479,"3 Posting Date",U$9,"4 Entry Type",$C$4,"2 Item No.","@@"&amp;$F1479)</t>
  </si>
  <si>
    <t>=-NL("Sum","32 Item Ledger Entry","12 Quantity","5 Source no.",$C1480,"3 Posting Date",U$9,"4 Entry Type",$C$4,"2 Item No.","@@"&amp;$F1480)</t>
  </si>
  <si>
    <t>=-NL("Sum","32 Item Ledger Entry","12 Quantity","5 Source no.",$C1481,"3 Posting Date",U$9,"4 Entry Type",$C$4,"2 Item No.","@@"&amp;$F1481)</t>
  </si>
  <si>
    <t>=-NL("Sum","32 Item Ledger Entry","12 Quantity","5 Source no.",$C1482,"3 Posting Date",U$9,"4 Entry Type",$C$4,"2 Item No.","@@"&amp;$F1482)</t>
  </si>
  <si>
    <t>=-NL("Sum","32 Item Ledger Entry","12 Quantity","5 Source no.",$C1483,"3 Posting Date",U$9,"4 Entry Type",$C$4,"2 Item No.","@@"&amp;$F1483)</t>
  </si>
  <si>
    <t>=-NL("Sum","32 Item Ledger Entry","12 Quantity","5 Source no.",$C1484,"3 Posting Date",U$9,"4 Entry Type",$C$4,"2 Item No.","@@"&amp;$F1484)</t>
  </si>
  <si>
    <t>=-NL("Sum","32 Item Ledger Entry","12 Quantity","5 Source no.",$C1485,"3 Posting Date",U$9,"4 Entry Type",$C$4,"2 Item No.","@@"&amp;$F1485)</t>
  </si>
  <si>
    <t>=-NL("Sum","32 Item Ledger Entry","12 Quantity","5 Source no.",$C1486,"3 Posting Date",U$9,"4 Entry Type",$C$4,"2 Item No.","@@"&amp;$F1486)</t>
  </si>
  <si>
    <t>=-NL("Sum","32 Item Ledger Entry","12 Quantity","5 Source no.",$C1487,"3 Posting Date",U$9,"4 Entry Type",$C$4,"2 Item No.","@@"&amp;$F1487)</t>
  </si>
  <si>
    <t>=-NL("Sum","32 Item Ledger Entry","12 Quantity","5 Source no.",$C1488,"3 Posting Date",U$9,"4 Entry Type",$C$4,"2 Item No.","@@"&amp;$F1488)</t>
  </si>
  <si>
    <t>=-NL("Sum","32 Item Ledger Entry","12 Quantity","5 Source no.",$C1489,"3 Posting Date",U$9,"4 Entry Type",$C$4,"2 Item No.","@@"&amp;$F1489)</t>
  </si>
  <si>
    <t>=-NL("Sum","32 Item Ledger Entry","12 Quantity","5 Source no.",$C1490,"3 Posting Date",U$9,"4 Entry Type",$C$4,"2 Item No.","@@"&amp;$F1490)</t>
  </si>
  <si>
    <t>=-NL("Sum","32 Item Ledger Entry","12 Quantity","5 Source no.",$C1491,"3 Posting Date",U$9,"4 Entry Type",$C$4,"2 Item No.","@@"&amp;$F1491)</t>
  </si>
  <si>
    <t>=-NL("Sum","32 Item Ledger Entry","12 Quantity","5 Source no.",$C1492,"3 Posting Date",U$9,"4 Entry Type",$C$4,"2 Item No.","@@"&amp;$F1492)</t>
  </si>
  <si>
    <t>=-NL("Sum","32 Item Ledger Entry","12 Quantity","5 Source no.",$C1493,"3 Posting Date",U$9,"4 Entry Type",$C$4,"2 Item No.","@@"&amp;$F1493)</t>
  </si>
  <si>
    <t>=-NL("Sum","32 Item Ledger Entry","12 Quantity","5 Source no.",$C1494,"3 Posting Date",U$9,"4 Entry Type",$C$4,"2 Item No.","@@"&amp;$F1494)</t>
  </si>
  <si>
    <t>=-NL("Sum","32 Item Ledger Entry","12 Quantity","5 Source no.",$C1495,"3 Posting Date",U$9,"4 Entry Type",$C$4,"2 Item No.","@@"&amp;$F1495)</t>
  </si>
  <si>
    <t>=-NL("Sum","32 Item Ledger Entry","12 Quantity","5 Source no.",$C1496,"3 Posting Date",U$9,"4 Entry Type",$C$4,"2 Item No.","@@"&amp;$F1496)</t>
  </si>
  <si>
    <t>=-NL("Sum","32 Item Ledger Entry","12 Quantity","5 Source no.",$C1497,"3 Posting Date",U$9,"4 Entry Type",$C$4,"2 Item No.","@@"&amp;$F1497)</t>
  </si>
  <si>
    <t>=-NL("Sum","32 Item Ledger Entry","12 Quantity","5 Source no.",$C1498,"3 Posting Date",U$9,"4 Entry Type",$C$4,"2 Item No.","@@"&amp;$F1498)</t>
  </si>
  <si>
    <t>=-NL("Sum","32 Item Ledger Entry","12 Quantity","5 Source no.",$C1499,"3 Posting Date",U$9,"4 Entry Type",$C$4,"2 Item No.","@@"&amp;$F1499)</t>
  </si>
  <si>
    <t>=-NL("Sum","32 Item Ledger Entry","12 Quantity","5 Source no.",$C1500,"3 Posting Date",U$9,"4 Entry Type",$C$4,"2 Item No.","@@"&amp;$F1500)</t>
  </si>
  <si>
    <t>=-NL("Sum","32 Item Ledger Entry","12 Quantity","5 Source no.",$C1501,"3 Posting Date",U$9,"4 Entry Type",$C$4,"2 Item No.","@@"&amp;$F1501)</t>
  </si>
  <si>
    <t>=-NL("Sum","32 Item Ledger Entry","12 Quantity","5 Source no.",$C1502,"3 Posting Date",U$9,"4 Entry Type",$C$4,"2 Item No.","@@"&amp;$F1502)</t>
  </si>
  <si>
    <t>=-NL("Sum","32 Item Ledger Entry","12 Quantity","5 Source no.",$C1503,"3 Posting Date",U$9,"4 Entry Type",$C$4,"2 Item No.","@@"&amp;$F1503)</t>
  </si>
  <si>
    <t>=-NL("Sum","32 Item Ledger Entry","12 Quantity","5 Source no.",$C1504,"3 Posting Date",U$9,"4 Entry Type",$C$4,"2 Item No.","@@"&amp;$F1504)</t>
  </si>
  <si>
    <t>=-NL("Sum","32 Item Ledger Entry","12 Quantity","5 Source no.",$C1505,"3 Posting Date",U$9,"4 Entry Type",$C$4,"2 Item No.","@@"&amp;$F1505)</t>
  </si>
  <si>
    <t>=-NL("Sum","32 Item Ledger Entry","12 Quantity","5 Source no.",$C1506,"3 Posting Date",U$9,"4 Entry Type",$C$4,"2 Item No.","@@"&amp;$F1506)</t>
  </si>
  <si>
    <t>=-NL("Sum","32 Item Ledger Entry","12 Quantity","5 Source no.",$C1507,"3 Posting Date",U$9,"4 Entry Type",$C$4,"2 Item No.","@@"&amp;$F1507)</t>
  </si>
  <si>
    <t>=-NL("Sum","32 Item Ledger Entry","12 Quantity","5 Source no.",$C1508,"3 Posting Date",U$9,"4 Entry Type",$C$4,"2 Item No.","@@"&amp;$F1508)</t>
  </si>
  <si>
    <t>=-NL("Sum","32 Item Ledger Entry","12 Quantity","5 Source no.",$C1460,"3 Posting Date",Z$9,"4 Entry Type",$C$4,"2 Item No.","@@"&amp;$F1460)</t>
  </si>
  <si>
    <t>=-NL("Sum","32 Item Ledger Entry","12 Quantity","5 Source no.",$C1461,"3 Posting Date",Z$9,"4 Entry Type",$C$4,"2 Item No.","@@"&amp;$F1461)</t>
  </si>
  <si>
    <t>=-NL("Sum","32 Item Ledger Entry","12 Quantity","5 Source no.",$C1462,"3 Posting Date",Z$9,"4 Entry Type",$C$4,"2 Item No.","@@"&amp;$F1462)</t>
  </si>
  <si>
    <t>=-NL("Sum","32 Item Ledger Entry","12 Quantity","5 Source no.",$C1463,"3 Posting Date",Z$9,"4 Entry Type",$C$4,"2 Item No.","@@"&amp;$F1463)</t>
  </si>
  <si>
    <t>=-NL("Sum","32 Item Ledger Entry","12 Quantity","5 Source no.",$C1464,"3 Posting Date",Z$9,"4 Entry Type",$C$4,"2 Item No.","@@"&amp;$F1464)</t>
  </si>
  <si>
    <t>=-NL("Sum","32 Item Ledger Entry","12 Quantity","5 Source no.",$C1465,"3 Posting Date",Z$9,"4 Entry Type",$C$4,"2 Item No.","@@"&amp;$F1465)</t>
  </si>
  <si>
    <t>=-NL("Sum","32 Item Ledger Entry","12 Quantity","5 Source no.",$C1466,"3 Posting Date",Z$9,"4 Entry Type",$C$4,"2 Item No.","@@"&amp;$F1466)</t>
  </si>
  <si>
    <t>=-NL("Sum","32 Item Ledger Entry","12 Quantity","5 Source no.",$C1467,"3 Posting Date",Z$9,"4 Entry Type",$C$4,"2 Item No.","@@"&amp;$F1467)</t>
  </si>
  <si>
    <t>=-NL("Sum","32 Item Ledger Entry","12 Quantity","5 Source no.",$C1468,"3 Posting Date",Z$9,"4 Entry Type",$C$4,"2 Item No.","@@"&amp;$F1468)</t>
  </si>
  <si>
    <t>=-NL("Sum","32 Item Ledger Entry","12 Quantity","5 Source no.",$C1469,"3 Posting Date",Z$9,"4 Entry Type",$C$4,"2 Item No.","@@"&amp;$F1469)</t>
  </si>
  <si>
    <t>=-NL("Sum","32 Item Ledger Entry","12 Quantity","5 Source no.",$C1470,"3 Posting Date",Z$9,"4 Entry Type",$C$4,"2 Item No.","@@"&amp;$F1470)</t>
  </si>
  <si>
    <t>=-NL("Sum","32 Item Ledger Entry","12 Quantity","5 Source no.",$C1471,"3 Posting Date",Z$9,"4 Entry Type",$C$4,"2 Item No.","@@"&amp;$F1471)</t>
  </si>
  <si>
    <t>=-NL("Sum","32 Item Ledger Entry","12 Quantity","5 Source no.",$C1472,"3 Posting Date",Z$9,"4 Entry Type",$C$4,"2 Item No.","@@"&amp;$F1472)</t>
  </si>
  <si>
    <t>=-NL("Sum","32 Item Ledger Entry","12 Quantity","5 Source no.",$C1473,"3 Posting Date",Z$9,"4 Entry Type",$C$4,"2 Item No.","@@"&amp;$F1473)</t>
  </si>
  <si>
    <t>=-NL("Sum","32 Item Ledger Entry","12 Quantity","5 Source no.",$C1474,"3 Posting Date",Z$9,"4 Entry Type",$C$4,"2 Item No.","@@"&amp;$F1474)</t>
  </si>
  <si>
    <t>=-NL("Sum","32 Item Ledger Entry","12 Quantity","5 Source no.",$C1475,"3 Posting Date",Z$9,"4 Entry Type",$C$4,"2 Item No.","@@"&amp;$F1475)</t>
  </si>
  <si>
    <t>=-NL("Sum","32 Item Ledger Entry","12 Quantity","5 Source no.",$C1476,"3 Posting Date",Z$9,"4 Entry Type",$C$4,"2 Item No.","@@"&amp;$F1476)</t>
  </si>
  <si>
    <t>=-NL("Sum","32 Item Ledger Entry","12 Quantity","5 Source no.",$C1477,"3 Posting Date",Z$9,"4 Entry Type",$C$4,"2 Item No.","@@"&amp;$F1477)</t>
  </si>
  <si>
    <t>=-NL("Sum","32 Item Ledger Entry","12 Quantity","5 Source no.",$C1478,"3 Posting Date",Z$9,"4 Entry Type",$C$4,"2 Item No.","@@"&amp;$F1478)</t>
  </si>
  <si>
    <t>=-NL("Sum","32 Item Ledger Entry","12 Quantity","5 Source no.",$C1479,"3 Posting Date",Z$9,"4 Entry Type",$C$4,"2 Item No.","@@"&amp;$F1479)</t>
  </si>
  <si>
    <t>=-NL("Sum","32 Item Ledger Entry","12 Quantity","5 Source no.",$C1480,"3 Posting Date",Z$9,"4 Entry Type",$C$4,"2 Item No.","@@"&amp;$F1480)</t>
  </si>
  <si>
    <t>=-NL("Sum","32 Item Ledger Entry","12 Quantity","5 Source no.",$C1481,"3 Posting Date",Z$9,"4 Entry Type",$C$4,"2 Item No.","@@"&amp;$F1481)</t>
  </si>
  <si>
    <t>=-NL("Sum","32 Item Ledger Entry","12 Quantity","5 Source no.",$C1482,"3 Posting Date",Z$9,"4 Entry Type",$C$4,"2 Item No.","@@"&amp;$F1482)</t>
  </si>
  <si>
    <t>=-NL("Sum","32 Item Ledger Entry","12 Quantity","5 Source no.",$C1483,"3 Posting Date",Z$9,"4 Entry Type",$C$4,"2 Item No.","@@"&amp;$F1483)</t>
  </si>
  <si>
    <t>=-NL("Sum","32 Item Ledger Entry","12 Quantity","5 Source no.",$C1484,"3 Posting Date",Z$9,"4 Entry Type",$C$4,"2 Item No.","@@"&amp;$F1484)</t>
  </si>
  <si>
    <t>=-NL("Sum","32 Item Ledger Entry","12 Quantity","5 Source no.",$C1485,"3 Posting Date",Z$9,"4 Entry Type",$C$4,"2 Item No.","@@"&amp;$F1485)</t>
  </si>
  <si>
    <t>=-NL("Sum","32 Item Ledger Entry","12 Quantity","5 Source no.",$C1486,"3 Posting Date",Z$9,"4 Entry Type",$C$4,"2 Item No.","@@"&amp;$F1486)</t>
  </si>
  <si>
    <t>=-NL("Sum","32 Item Ledger Entry","12 Quantity","5 Source no.",$C1487,"3 Posting Date",Z$9,"4 Entry Type",$C$4,"2 Item No.","@@"&amp;$F1487)</t>
  </si>
  <si>
    <t>=-NL("Sum","32 Item Ledger Entry","12 Quantity","5 Source no.",$C1488,"3 Posting Date",Z$9,"4 Entry Type",$C$4,"2 Item No.","@@"&amp;$F1488)</t>
  </si>
  <si>
    <t>=-NL("Sum","32 Item Ledger Entry","12 Quantity","5 Source no.",$C1489,"3 Posting Date",Z$9,"4 Entry Type",$C$4,"2 Item No.","@@"&amp;$F1489)</t>
  </si>
  <si>
    <t>=-NL("Sum","32 Item Ledger Entry","12 Quantity","5 Source no.",$C1490,"3 Posting Date",Z$9,"4 Entry Type",$C$4,"2 Item No.","@@"&amp;$F1490)</t>
  </si>
  <si>
    <t>=-NL("Sum","32 Item Ledger Entry","12 Quantity","5 Source no.",$C1491,"3 Posting Date",Z$9,"4 Entry Type",$C$4,"2 Item No.","@@"&amp;$F1491)</t>
  </si>
  <si>
    <t>=-NL("Sum","32 Item Ledger Entry","12 Quantity","5 Source no.",$C1492,"3 Posting Date",Z$9,"4 Entry Type",$C$4,"2 Item No.","@@"&amp;$F1492)</t>
  </si>
  <si>
    <t>=-NL("Sum","32 Item Ledger Entry","12 Quantity","5 Source no.",$C1493,"3 Posting Date",Z$9,"4 Entry Type",$C$4,"2 Item No.","@@"&amp;$F1493)</t>
  </si>
  <si>
    <t>=-NL("Sum","32 Item Ledger Entry","12 Quantity","5 Source no.",$C1494,"3 Posting Date",Z$9,"4 Entry Type",$C$4,"2 Item No.","@@"&amp;$F1494)</t>
  </si>
  <si>
    <t>=-NL("Sum","32 Item Ledger Entry","12 Quantity","5 Source no.",$C1495,"3 Posting Date",Z$9,"4 Entry Type",$C$4,"2 Item No.","@@"&amp;$F1495)</t>
  </si>
  <si>
    <t>=-NL("Sum","32 Item Ledger Entry","12 Quantity","5 Source no.",$C1496,"3 Posting Date",Z$9,"4 Entry Type",$C$4,"2 Item No.","@@"&amp;$F1496)</t>
  </si>
  <si>
    <t>=-NL("Sum","32 Item Ledger Entry","12 Quantity","5 Source no.",$C1497,"3 Posting Date",Z$9,"4 Entry Type",$C$4,"2 Item No.","@@"&amp;$F1497)</t>
  </si>
  <si>
    <t>=-NL("Sum","32 Item Ledger Entry","12 Quantity","5 Source no.",$C1498,"3 Posting Date",Z$9,"4 Entry Type",$C$4,"2 Item No.","@@"&amp;$F1498)</t>
  </si>
  <si>
    <t>=-NL("Sum","32 Item Ledger Entry","12 Quantity","5 Source no.",$C1499,"3 Posting Date",Z$9,"4 Entry Type",$C$4,"2 Item No.","@@"&amp;$F1499)</t>
  </si>
  <si>
    <t>=-NL("Sum","32 Item Ledger Entry","12 Quantity","5 Source no.",$C1500,"3 Posting Date",Z$9,"4 Entry Type",$C$4,"2 Item No.","@@"&amp;$F1500)</t>
  </si>
  <si>
    <t>=-NL("Sum","32 Item Ledger Entry","12 Quantity","5 Source no.",$C1501,"3 Posting Date",Z$9,"4 Entry Type",$C$4,"2 Item No.","@@"&amp;$F1501)</t>
  </si>
  <si>
    <t>=-NL("Sum","32 Item Ledger Entry","12 Quantity","5 Source no.",$C1502,"3 Posting Date",Z$9,"4 Entry Type",$C$4,"2 Item No.","@@"&amp;$F1502)</t>
  </si>
  <si>
    <t>=-NL("Sum","32 Item Ledger Entry","12 Quantity","5 Source no.",$C1503,"3 Posting Date",Z$9,"4 Entry Type",$C$4,"2 Item No.","@@"&amp;$F1503)</t>
  </si>
  <si>
    <t>=-NL("Sum","32 Item Ledger Entry","12 Quantity","5 Source no.",$C1504,"3 Posting Date",Z$9,"4 Entry Type",$C$4,"2 Item No.","@@"&amp;$F1504)</t>
  </si>
  <si>
    <t>=-NL("Sum","32 Item Ledger Entry","12 Quantity","5 Source no.",$C1505,"3 Posting Date",Z$9,"4 Entry Type",$C$4,"2 Item No.","@@"&amp;$F1505)</t>
  </si>
  <si>
    <t>=-NL("Sum","32 Item Ledger Entry","12 Quantity","5 Source no.",$C1506,"3 Posting Date",Z$9,"4 Entry Type",$C$4,"2 Item No.","@@"&amp;$F1506)</t>
  </si>
  <si>
    <t>=-NL("Sum","32 Item Ledger Entry","12 Quantity","5 Source no.",$C1507,"3 Posting Date",Z$9,"4 Entry Type",$C$4,"2 Item No.","@@"&amp;$F1507)</t>
  </si>
  <si>
    <t>=-NL("Sum","32 Item Ledger Entry","12 Quantity","5 Source no.",$C1508,"3 Posting Date",Z$9,"4 Entry Type",$C$4,"2 Item No.","@@"&amp;$F1508)</t>
  </si>
  <si>
    <t>=NL(,"27 Item","3 Description","1 No.","@@"&amp;F1432)</t>
  </si>
  <si>
    <t>=NL(,"27 Item","3 Description","1 No.","@@"&amp;F1433)</t>
  </si>
  <si>
    <t>=NL(,"27 Item","3 Description","1 No.","@@"&amp;F1434)</t>
  </si>
  <si>
    <t>=NL(,"27 Item","3 Description","1 No.","@@"&amp;F1435)</t>
  </si>
  <si>
    <t>=NL(,"27 Item","3 Description","1 No.","@@"&amp;F1436)</t>
  </si>
  <si>
    <t>=NL(,"27 Item","3 Description","1 No.","@@"&amp;F1437)</t>
  </si>
  <si>
    <t>=NL(,"27 Item","3 Description","1 No.","@@"&amp;F1438)</t>
  </si>
  <si>
    <t>=NL(,"27 Item","3 Description","1 No.","@@"&amp;F1439)</t>
  </si>
  <si>
    <t>=NL(,"27 Item","3 Description","1 No.","@@"&amp;F1440)</t>
  </si>
  <si>
    <t>=NL(,"27 Item","3 Description","1 No.","@@"&amp;F1441)</t>
  </si>
  <si>
    <t>=NL(,"27 Item","3 Description","1 No.","@@"&amp;F1442)</t>
  </si>
  <si>
    <t>=NL(,"27 Item","3 Description","1 No.","@@"&amp;F1443)</t>
  </si>
  <si>
    <t>=NL(,"27 Item","3 Description","1 No.","@@"&amp;F1444)</t>
  </si>
  <si>
    <t>=NL(,"27 Item","3 Description","1 No.","@@"&amp;F1445)</t>
  </si>
  <si>
    <t>=NL(,"27 Item","3 Description","1 No.","@@"&amp;F1446)</t>
  </si>
  <si>
    <t>=NL(,"27 Item","3 Description","1 No.","@@"&amp;F1447)</t>
  </si>
  <si>
    <t>=NL(,"27 Item","3 Description","1 No.","@@"&amp;F1448)</t>
  </si>
  <si>
    <t>=NL(,"27 Item","3 Description","1 No.","@@"&amp;F1449)</t>
  </si>
  <si>
    <t>=NL(,"27 Item","3 Description","1 No.","@@"&amp;F1450)</t>
  </si>
  <si>
    <t>=NL(,"27 Item","3 Description","1 No.","@@"&amp;F1451)</t>
  </si>
  <si>
    <t>=NL(,"27 Item","3 Description","1 No.","@@"&amp;F1452)</t>
  </si>
  <si>
    <t>=NL(,"27 Item","3 Description","1 No.","@@"&amp;F1453)</t>
  </si>
  <si>
    <t>=NL(,"27 Item","3 Description","1 No.","@@"&amp;F1454)</t>
  </si>
  <si>
    <t>=-NL("Sum","32 Item Ledger Entry","12 Quantity","5 Source no.",$C1432,"3 Posting Date",J$9,"4 Entry Type",$C$4,"2 Item No.","@@"&amp;$F1432)</t>
  </si>
  <si>
    <t>=-NL("Sum","32 Item Ledger Entry","12 Quantity","5 Source no.",$C1433,"3 Posting Date",J$9,"4 Entry Type",$C$4,"2 Item No.","@@"&amp;$F1433)</t>
  </si>
  <si>
    <t>=-NL("Sum","32 Item Ledger Entry","12 Quantity","5 Source no.",$C1434,"3 Posting Date",J$9,"4 Entry Type",$C$4,"2 Item No.","@@"&amp;$F1434)</t>
  </si>
  <si>
    <t>=-NL("Sum","32 Item Ledger Entry","12 Quantity","5 Source no.",$C1435,"3 Posting Date",J$9,"4 Entry Type",$C$4,"2 Item No.","@@"&amp;$F1435)</t>
  </si>
  <si>
    <t>=-NL("Sum","32 Item Ledger Entry","12 Quantity","5 Source no.",$C1436,"3 Posting Date",J$9,"4 Entry Type",$C$4,"2 Item No.","@@"&amp;$F1436)</t>
  </si>
  <si>
    <t>=-NL("Sum","32 Item Ledger Entry","12 Quantity","5 Source no.",$C1437,"3 Posting Date",J$9,"4 Entry Type",$C$4,"2 Item No.","@@"&amp;$F1437)</t>
  </si>
  <si>
    <t>=-NL("Sum","32 Item Ledger Entry","12 Quantity","5 Source no.",$C1438,"3 Posting Date",J$9,"4 Entry Type",$C$4,"2 Item No.","@@"&amp;$F1438)</t>
  </si>
  <si>
    <t>=-NL("Sum","32 Item Ledger Entry","12 Quantity","5 Source no.",$C1439,"3 Posting Date",J$9,"4 Entry Type",$C$4,"2 Item No.","@@"&amp;$F1439)</t>
  </si>
  <si>
    <t>=-NL("Sum","32 Item Ledger Entry","12 Quantity","5 Source no.",$C1440,"3 Posting Date",J$9,"4 Entry Type",$C$4,"2 Item No.","@@"&amp;$F1440)</t>
  </si>
  <si>
    <t>=-NL("Sum","32 Item Ledger Entry","12 Quantity","5 Source no.",$C1441,"3 Posting Date",J$9,"4 Entry Type",$C$4,"2 Item No.","@@"&amp;$F1441)</t>
  </si>
  <si>
    <t>=-NL("Sum","32 Item Ledger Entry","12 Quantity","5 Source no.",$C1442,"3 Posting Date",J$9,"4 Entry Type",$C$4,"2 Item No.","@@"&amp;$F1442)</t>
  </si>
  <si>
    <t>=-NL("Sum","32 Item Ledger Entry","12 Quantity","5 Source no.",$C1443,"3 Posting Date",J$9,"4 Entry Type",$C$4,"2 Item No.","@@"&amp;$F1443)</t>
  </si>
  <si>
    <t>=-NL("Sum","32 Item Ledger Entry","12 Quantity","5 Source no.",$C1444,"3 Posting Date",J$9,"4 Entry Type",$C$4,"2 Item No.","@@"&amp;$F1444)</t>
  </si>
  <si>
    <t>=-NL("Sum","32 Item Ledger Entry","12 Quantity","5 Source no.",$C1445,"3 Posting Date",J$9,"4 Entry Type",$C$4,"2 Item No.","@@"&amp;$F1445)</t>
  </si>
  <si>
    <t>=-NL("Sum","32 Item Ledger Entry","12 Quantity","5 Source no.",$C1446,"3 Posting Date",J$9,"4 Entry Type",$C$4,"2 Item No.","@@"&amp;$F1446)</t>
  </si>
  <si>
    <t>=-NL("Sum","32 Item Ledger Entry","12 Quantity","5 Source no.",$C1447,"3 Posting Date",J$9,"4 Entry Type",$C$4,"2 Item No.","@@"&amp;$F1447)</t>
  </si>
  <si>
    <t>=-NL("Sum","32 Item Ledger Entry","12 Quantity","5 Source no.",$C1448,"3 Posting Date",J$9,"4 Entry Type",$C$4,"2 Item No.","@@"&amp;$F1448)</t>
  </si>
  <si>
    <t>=-NL("Sum","32 Item Ledger Entry","12 Quantity","5 Source no.",$C1449,"3 Posting Date",J$9,"4 Entry Type",$C$4,"2 Item No.","@@"&amp;$F1449)</t>
  </si>
  <si>
    <t>=-NL("Sum","32 Item Ledger Entry","12 Quantity","5 Source no.",$C1450,"3 Posting Date",J$9,"4 Entry Type",$C$4,"2 Item No.","@@"&amp;$F1450)</t>
  </si>
  <si>
    <t>=-NL("Sum","32 Item Ledger Entry","12 Quantity","5 Source no.",$C1451,"3 Posting Date",J$9,"4 Entry Type",$C$4,"2 Item No.","@@"&amp;$F1451)</t>
  </si>
  <si>
    <t>=-NL("Sum","32 Item Ledger Entry","12 Quantity","5 Source no.",$C1452,"3 Posting Date",J$9,"4 Entry Type",$C$4,"2 Item No.","@@"&amp;$F1452)</t>
  </si>
  <si>
    <t>=-NL("Sum","32 Item Ledger Entry","12 Quantity","5 Source no.",$C1453,"3 Posting Date",J$9,"4 Entry Type",$C$4,"2 Item No.","@@"&amp;$F1453)</t>
  </si>
  <si>
    <t>=-NL("Sum","32 Item Ledger Entry","12 Quantity","5 Source no.",$C1454,"3 Posting Date",J$9,"4 Entry Type",$C$4,"2 Item No.","@@"&amp;$F1454)</t>
  </si>
  <si>
    <t>=-NL("Sum","32 Item Ledger Entry","12 Quantity","5 Source no.",$C1432,"3 Posting Date",O$9,"4 Entry Type",$C$4,"2 Item No.","@@"&amp;$F1432)</t>
  </si>
  <si>
    <t>=-NL("Sum","32 Item Ledger Entry","12 Quantity","5 Source no.",$C1433,"3 Posting Date",O$9,"4 Entry Type",$C$4,"2 Item No.","@@"&amp;$F1433)</t>
  </si>
  <si>
    <t>=-NL("Sum","32 Item Ledger Entry","12 Quantity","5 Source no.",$C1434,"3 Posting Date",O$9,"4 Entry Type",$C$4,"2 Item No.","@@"&amp;$F1434)</t>
  </si>
  <si>
    <t>=-NL("Sum","32 Item Ledger Entry","12 Quantity","5 Source no.",$C1435,"3 Posting Date",O$9,"4 Entry Type",$C$4,"2 Item No.","@@"&amp;$F1435)</t>
  </si>
  <si>
    <t>=-NL("Sum","32 Item Ledger Entry","12 Quantity","5 Source no.",$C1436,"3 Posting Date",O$9,"4 Entry Type",$C$4,"2 Item No.","@@"&amp;$F1436)</t>
  </si>
  <si>
    <t>=-NL("Sum","32 Item Ledger Entry","12 Quantity","5 Source no.",$C1437,"3 Posting Date",O$9,"4 Entry Type",$C$4,"2 Item No.","@@"&amp;$F1437)</t>
  </si>
  <si>
    <t>=-NL("Sum","32 Item Ledger Entry","12 Quantity","5 Source no.",$C1438,"3 Posting Date",O$9,"4 Entry Type",$C$4,"2 Item No.","@@"&amp;$F1438)</t>
  </si>
  <si>
    <t>=-NL("Sum","32 Item Ledger Entry","12 Quantity","5 Source no.",$C1439,"3 Posting Date",O$9,"4 Entry Type",$C$4,"2 Item No.","@@"&amp;$F1439)</t>
  </si>
  <si>
    <t>=-NL("Sum","32 Item Ledger Entry","12 Quantity","5 Source no.",$C1440,"3 Posting Date",O$9,"4 Entry Type",$C$4,"2 Item No.","@@"&amp;$F1440)</t>
  </si>
  <si>
    <t>=-NL("Sum","32 Item Ledger Entry","12 Quantity","5 Source no.",$C1441,"3 Posting Date",O$9,"4 Entry Type",$C$4,"2 Item No.","@@"&amp;$F1441)</t>
  </si>
  <si>
    <t>=-NL("Sum","32 Item Ledger Entry","12 Quantity","5 Source no.",$C1442,"3 Posting Date",O$9,"4 Entry Type",$C$4,"2 Item No.","@@"&amp;$F1442)</t>
  </si>
  <si>
    <t>=-NL("Sum","32 Item Ledger Entry","12 Quantity","5 Source no.",$C1443,"3 Posting Date",O$9,"4 Entry Type",$C$4,"2 Item No.","@@"&amp;$F1443)</t>
  </si>
  <si>
    <t>=-NL("Sum","32 Item Ledger Entry","12 Quantity","5 Source no.",$C1444,"3 Posting Date",O$9,"4 Entry Type",$C$4,"2 Item No.","@@"&amp;$F1444)</t>
  </si>
  <si>
    <t>=-NL("Sum","32 Item Ledger Entry","12 Quantity","5 Source no.",$C1445,"3 Posting Date",O$9,"4 Entry Type",$C$4,"2 Item No.","@@"&amp;$F1445)</t>
  </si>
  <si>
    <t>=-NL("Sum","32 Item Ledger Entry","12 Quantity","5 Source no.",$C1446,"3 Posting Date",O$9,"4 Entry Type",$C$4,"2 Item No.","@@"&amp;$F1446)</t>
  </si>
  <si>
    <t>=-NL("Sum","32 Item Ledger Entry","12 Quantity","5 Source no.",$C1447,"3 Posting Date",O$9,"4 Entry Type",$C$4,"2 Item No.","@@"&amp;$F1447)</t>
  </si>
  <si>
    <t>=-NL("Sum","32 Item Ledger Entry","12 Quantity","5 Source no.",$C1448,"3 Posting Date",O$9,"4 Entry Type",$C$4,"2 Item No.","@@"&amp;$F1448)</t>
  </si>
  <si>
    <t>=-NL("Sum","32 Item Ledger Entry","12 Quantity","5 Source no.",$C1449,"3 Posting Date",O$9,"4 Entry Type",$C$4,"2 Item No.","@@"&amp;$F1449)</t>
  </si>
  <si>
    <t>=-NL("Sum","32 Item Ledger Entry","12 Quantity","5 Source no.",$C1450,"3 Posting Date",O$9,"4 Entry Type",$C$4,"2 Item No.","@@"&amp;$F1450)</t>
  </si>
  <si>
    <t>=-NL("Sum","32 Item Ledger Entry","12 Quantity","5 Source no.",$C1451,"3 Posting Date",O$9,"4 Entry Type",$C$4,"2 Item No.","@@"&amp;$F1451)</t>
  </si>
  <si>
    <t>=-NL("Sum","32 Item Ledger Entry","12 Quantity","5 Source no.",$C1452,"3 Posting Date",O$9,"4 Entry Type",$C$4,"2 Item No.","@@"&amp;$F1452)</t>
  </si>
  <si>
    <t>=-NL("Sum","32 Item Ledger Entry","12 Quantity","5 Source no.",$C1453,"3 Posting Date",O$9,"4 Entry Type",$C$4,"2 Item No.","@@"&amp;$F1453)</t>
  </si>
  <si>
    <t>=-NL("Sum","32 Item Ledger Entry","12 Quantity","5 Source no.",$C1454,"3 Posting Date",O$9,"4 Entry Type",$C$4,"2 Item No.","@@"&amp;$F1454)</t>
  </si>
  <si>
    <t>=-NL("Sum","32 Item Ledger Entry","12 Quantity","5 Source no.",$C1432,"3 Posting Date",U$9,"4 Entry Type",$C$4,"2 Item No.","@@"&amp;$F1432)</t>
  </si>
  <si>
    <t>=-NL("Sum","32 Item Ledger Entry","12 Quantity","5 Source no.",$C1433,"3 Posting Date",U$9,"4 Entry Type",$C$4,"2 Item No.","@@"&amp;$F1433)</t>
  </si>
  <si>
    <t>=-NL("Sum","32 Item Ledger Entry","12 Quantity","5 Source no.",$C1434,"3 Posting Date",U$9,"4 Entry Type",$C$4,"2 Item No.","@@"&amp;$F1434)</t>
  </si>
  <si>
    <t>=-NL("Sum","32 Item Ledger Entry","12 Quantity","5 Source no.",$C1435,"3 Posting Date",U$9,"4 Entry Type",$C$4,"2 Item No.","@@"&amp;$F1435)</t>
  </si>
  <si>
    <t>=-NL("Sum","32 Item Ledger Entry","12 Quantity","5 Source no.",$C1436,"3 Posting Date",U$9,"4 Entry Type",$C$4,"2 Item No.","@@"&amp;$F1436)</t>
  </si>
  <si>
    <t>=-NL("Sum","32 Item Ledger Entry","12 Quantity","5 Source no.",$C1437,"3 Posting Date",U$9,"4 Entry Type",$C$4,"2 Item No.","@@"&amp;$F1437)</t>
  </si>
  <si>
    <t>=-NL("Sum","32 Item Ledger Entry","12 Quantity","5 Source no.",$C1438,"3 Posting Date",U$9,"4 Entry Type",$C$4,"2 Item No.","@@"&amp;$F1438)</t>
  </si>
  <si>
    <t>=-NL("Sum","32 Item Ledger Entry","12 Quantity","5 Source no.",$C1439,"3 Posting Date",U$9,"4 Entry Type",$C$4,"2 Item No.","@@"&amp;$F1439)</t>
  </si>
  <si>
    <t>=-NL("Sum","32 Item Ledger Entry","12 Quantity","5 Source no.",$C1440,"3 Posting Date",U$9,"4 Entry Type",$C$4,"2 Item No.","@@"&amp;$F1440)</t>
  </si>
  <si>
    <t>=-NL("Sum","32 Item Ledger Entry","12 Quantity","5 Source no.",$C1441,"3 Posting Date",U$9,"4 Entry Type",$C$4,"2 Item No.","@@"&amp;$F1441)</t>
  </si>
  <si>
    <t>=-NL("Sum","32 Item Ledger Entry","12 Quantity","5 Source no.",$C1442,"3 Posting Date",U$9,"4 Entry Type",$C$4,"2 Item No.","@@"&amp;$F1442)</t>
  </si>
  <si>
    <t>=-NL("Sum","32 Item Ledger Entry","12 Quantity","5 Source no.",$C1443,"3 Posting Date",U$9,"4 Entry Type",$C$4,"2 Item No.","@@"&amp;$F1443)</t>
  </si>
  <si>
    <t>=-NL("Sum","32 Item Ledger Entry","12 Quantity","5 Source no.",$C1444,"3 Posting Date",U$9,"4 Entry Type",$C$4,"2 Item No.","@@"&amp;$F1444)</t>
  </si>
  <si>
    <t>=-NL("Sum","32 Item Ledger Entry","12 Quantity","5 Source no.",$C1445,"3 Posting Date",U$9,"4 Entry Type",$C$4,"2 Item No.","@@"&amp;$F1445)</t>
  </si>
  <si>
    <t>=-NL("Sum","32 Item Ledger Entry","12 Quantity","5 Source no.",$C1446,"3 Posting Date",U$9,"4 Entry Type",$C$4,"2 Item No.","@@"&amp;$F1446)</t>
  </si>
  <si>
    <t>=-NL("Sum","32 Item Ledger Entry","12 Quantity","5 Source no.",$C1447,"3 Posting Date",U$9,"4 Entry Type",$C$4,"2 Item No.","@@"&amp;$F1447)</t>
  </si>
  <si>
    <t>=-NL("Sum","32 Item Ledger Entry","12 Quantity","5 Source no.",$C1448,"3 Posting Date",U$9,"4 Entry Type",$C$4,"2 Item No.","@@"&amp;$F1448)</t>
  </si>
  <si>
    <t>=-NL("Sum","32 Item Ledger Entry","12 Quantity","5 Source no.",$C1449,"3 Posting Date",U$9,"4 Entry Type",$C$4,"2 Item No.","@@"&amp;$F1449)</t>
  </si>
  <si>
    <t>=-NL("Sum","32 Item Ledger Entry","12 Quantity","5 Source no.",$C1450,"3 Posting Date",U$9,"4 Entry Type",$C$4,"2 Item No.","@@"&amp;$F1450)</t>
  </si>
  <si>
    <t>=-NL("Sum","32 Item Ledger Entry","12 Quantity","5 Source no.",$C1451,"3 Posting Date",U$9,"4 Entry Type",$C$4,"2 Item No.","@@"&amp;$F1451)</t>
  </si>
  <si>
    <t>=-NL("Sum","32 Item Ledger Entry","12 Quantity","5 Source no.",$C1452,"3 Posting Date",U$9,"4 Entry Type",$C$4,"2 Item No.","@@"&amp;$F1452)</t>
  </si>
  <si>
    <t>=-NL("Sum","32 Item Ledger Entry","12 Quantity","5 Source no.",$C1453,"3 Posting Date",U$9,"4 Entry Type",$C$4,"2 Item No.","@@"&amp;$F1453)</t>
  </si>
  <si>
    <t>=-NL("Sum","32 Item Ledger Entry","12 Quantity","5 Source no.",$C1454,"3 Posting Date",U$9,"4 Entry Type",$C$4,"2 Item No.","@@"&amp;$F1454)</t>
  </si>
  <si>
    <t>=-NL("Sum","32 Item Ledger Entry","12 Quantity","5 Source no.",$C1432,"3 Posting Date",Z$9,"4 Entry Type",$C$4,"2 Item No.","@@"&amp;$F1432)</t>
  </si>
  <si>
    <t>=-NL("Sum","32 Item Ledger Entry","12 Quantity","5 Source no.",$C1433,"3 Posting Date",Z$9,"4 Entry Type",$C$4,"2 Item No.","@@"&amp;$F1433)</t>
  </si>
  <si>
    <t>=-NL("Sum","32 Item Ledger Entry","12 Quantity","5 Source no.",$C1434,"3 Posting Date",Z$9,"4 Entry Type",$C$4,"2 Item No.","@@"&amp;$F1434)</t>
  </si>
  <si>
    <t>=-NL("Sum","32 Item Ledger Entry","12 Quantity","5 Source no.",$C1435,"3 Posting Date",Z$9,"4 Entry Type",$C$4,"2 Item No.","@@"&amp;$F1435)</t>
  </si>
  <si>
    <t>=-NL("Sum","32 Item Ledger Entry","12 Quantity","5 Source no.",$C1436,"3 Posting Date",Z$9,"4 Entry Type",$C$4,"2 Item No.","@@"&amp;$F1436)</t>
  </si>
  <si>
    <t>=-NL("Sum","32 Item Ledger Entry","12 Quantity","5 Source no.",$C1437,"3 Posting Date",Z$9,"4 Entry Type",$C$4,"2 Item No.","@@"&amp;$F1437)</t>
  </si>
  <si>
    <t>=-NL("Sum","32 Item Ledger Entry","12 Quantity","5 Source no.",$C1438,"3 Posting Date",Z$9,"4 Entry Type",$C$4,"2 Item No.","@@"&amp;$F1438)</t>
  </si>
  <si>
    <t>=-NL("Sum","32 Item Ledger Entry","12 Quantity","5 Source no.",$C1439,"3 Posting Date",Z$9,"4 Entry Type",$C$4,"2 Item No.","@@"&amp;$F1439)</t>
  </si>
  <si>
    <t>=-NL("Sum","32 Item Ledger Entry","12 Quantity","5 Source no.",$C1440,"3 Posting Date",Z$9,"4 Entry Type",$C$4,"2 Item No.","@@"&amp;$F1440)</t>
  </si>
  <si>
    <t>=-NL("Sum","32 Item Ledger Entry","12 Quantity","5 Source no.",$C1441,"3 Posting Date",Z$9,"4 Entry Type",$C$4,"2 Item No.","@@"&amp;$F1441)</t>
  </si>
  <si>
    <t>=-NL("Sum","32 Item Ledger Entry","12 Quantity","5 Source no.",$C1442,"3 Posting Date",Z$9,"4 Entry Type",$C$4,"2 Item No.","@@"&amp;$F1442)</t>
  </si>
  <si>
    <t>=-NL("Sum","32 Item Ledger Entry","12 Quantity","5 Source no.",$C1443,"3 Posting Date",Z$9,"4 Entry Type",$C$4,"2 Item No.","@@"&amp;$F1443)</t>
  </si>
  <si>
    <t>=-NL("Sum","32 Item Ledger Entry","12 Quantity","5 Source no.",$C1444,"3 Posting Date",Z$9,"4 Entry Type",$C$4,"2 Item No.","@@"&amp;$F1444)</t>
  </si>
  <si>
    <t>=-NL("Sum","32 Item Ledger Entry","12 Quantity","5 Source no.",$C1445,"3 Posting Date",Z$9,"4 Entry Type",$C$4,"2 Item No.","@@"&amp;$F1445)</t>
  </si>
  <si>
    <t>=-NL("Sum","32 Item Ledger Entry","12 Quantity","5 Source no.",$C1446,"3 Posting Date",Z$9,"4 Entry Type",$C$4,"2 Item No.","@@"&amp;$F1446)</t>
  </si>
  <si>
    <t>=-NL("Sum","32 Item Ledger Entry","12 Quantity","5 Source no.",$C1447,"3 Posting Date",Z$9,"4 Entry Type",$C$4,"2 Item No.","@@"&amp;$F1447)</t>
  </si>
  <si>
    <t>=-NL("Sum","32 Item Ledger Entry","12 Quantity","5 Source no.",$C1448,"3 Posting Date",Z$9,"4 Entry Type",$C$4,"2 Item No.","@@"&amp;$F1448)</t>
  </si>
  <si>
    <t>=-NL("Sum","32 Item Ledger Entry","12 Quantity","5 Source no.",$C1449,"3 Posting Date",Z$9,"4 Entry Type",$C$4,"2 Item No.","@@"&amp;$F1449)</t>
  </si>
  <si>
    <t>=-NL("Sum","32 Item Ledger Entry","12 Quantity","5 Source no.",$C1450,"3 Posting Date",Z$9,"4 Entry Type",$C$4,"2 Item No.","@@"&amp;$F1450)</t>
  </si>
  <si>
    <t>=-NL("Sum","32 Item Ledger Entry","12 Quantity","5 Source no.",$C1451,"3 Posting Date",Z$9,"4 Entry Type",$C$4,"2 Item No.","@@"&amp;$F1451)</t>
  </si>
  <si>
    <t>=-NL("Sum","32 Item Ledger Entry","12 Quantity","5 Source no.",$C1452,"3 Posting Date",Z$9,"4 Entry Type",$C$4,"2 Item No.","@@"&amp;$F1452)</t>
  </si>
  <si>
    <t>=-NL("Sum","32 Item Ledger Entry","12 Quantity","5 Source no.",$C1453,"3 Posting Date",Z$9,"4 Entry Type",$C$4,"2 Item No.","@@"&amp;$F1453)</t>
  </si>
  <si>
    <t>=-NL("Sum","32 Item Ledger Entry","12 Quantity","5 Source no.",$C1454,"3 Posting Date",Z$9,"4 Entry Type",$C$4,"2 Item No.","@@"&amp;$F1454)</t>
  </si>
  <si>
    <t>=NL(,"27 Item","3 Description","1 No.","@@"&amp;F1409)</t>
  </si>
  <si>
    <t>=NL(,"27 Item","3 Description","1 No.","@@"&amp;F1410)</t>
  </si>
  <si>
    <t>=NL(,"27 Item","3 Description","1 No.","@@"&amp;F1411)</t>
  </si>
  <si>
    <t>=NL(,"27 Item","3 Description","1 No.","@@"&amp;F1412)</t>
  </si>
  <si>
    <t>=NL(,"27 Item","3 Description","1 No.","@@"&amp;F1413)</t>
  </si>
  <si>
    <t>=NL(,"27 Item","3 Description","1 No.","@@"&amp;F1414)</t>
  </si>
  <si>
    <t>=NL(,"27 Item","3 Description","1 No.","@@"&amp;F1415)</t>
  </si>
  <si>
    <t>=NL(,"27 Item","3 Description","1 No.","@@"&amp;F1416)</t>
  </si>
  <si>
    <t>=NL(,"27 Item","3 Description","1 No.","@@"&amp;F1417)</t>
  </si>
  <si>
    <t>=NL(,"27 Item","3 Description","1 No.","@@"&amp;F1418)</t>
  </si>
  <si>
    <t>=NL(,"27 Item","3 Description","1 No.","@@"&amp;F1419)</t>
  </si>
  <si>
    <t>=NL(,"27 Item","3 Description","1 No.","@@"&amp;F1420)</t>
  </si>
  <si>
    <t>=NL(,"27 Item","3 Description","1 No.","@@"&amp;F1421)</t>
  </si>
  <si>
    <t>=NL(,"27 Item","3 Description","1 No.","@@"&amp;F1422)</t>
  </si>
  <si>
    <t>=NL(,"27 Item","3 Description","1 No.","@@"&amp;F1423)</t>
  </si>
  <si>
    <t>=NL(,"27 Item","3 Description","1 No.","@@"&amp;F1424)</t>
  </si>
  <si>
    <t>=NL(,"27 Item","3 Description","1 No.","@@"&amp;F1425)</t>
  </si>
  <si>
    <t>=NL(,"27 Item","3 Description","1 No.","@@"&amp;F1426)</t>
  </si>
  <si>
    <t>=-NL("Sum","32 Item Ledger Entry","12 Quantity","5 Source no.",$C1409,"3 Posting Date",J$9,"4 Entry Type",$C$4,"2 Item No.","@@"&amp;$F1409)</t>
  </si>
  <si>
    <t>=-NL("Sum","32 Item Ledger Entry","12 Quantity","5 Source no.",$C1410,"3 Posting Date",J$9,"4 Entry Type",$C$4,"2 Item No.","@@"&amp;$F1410)</t>
  </si>
  <si>
    <t>=-NL("Sum","32 Item Ledger Entry","12 Quantity","5 Source no.",$C1411,"3 Posting Date",J$9,"4 Entry Type",$C$4,"2 Item No.","@@"&amp;$F1411)</t>
  </si>
  <si>
    <t>=-NL("Sum","32 Item Ledger Entry","12 Quantity","5 Source no.",$C1412,"3 Posting Date",J$9,"4 Entry Type",$C$4,"2 Item No.","@@"&amp;$F1412)</t>
  </si>
  <si>
    <t>=-NL("Sum","32 Item Ledger Entry","12 Quantity","5 Source no.",$C1413,"3 Posting Date",J$9,"4 Entry Type",$C$4,"2 Item No.","@@"&amp;$F1413)</t>
  </si>
  <si>
    <t>=-NL("Sum","32 Item Ledger Entry","12 Quantity","5 Source no.",$C1414,"3 Posting Date",J$9,"4 Entry Type",$C$4,"2 Item No.","@@"&amp;$F1414)</t>
  </si>
  <si>
    <t>=-NL("Sum","32 Item Ledger Entry","12 Quantity","5 Source no.",$C1415,"3 Posting Date",J$9,"4 Entry Type",$C$4,"2 Item No.","@@"&amp;$F1415)</t>
  </si>
  <si>
    <t>=-NL("Sum","32 Item Ledger Entry","12 Quantity","5 Source no.",$C1416,"3 Posting Date",J$9,"4 Entry Type",$C$4,"2 Item No.","@@"&amp;$F1416)</t>
  </si>
  <si>
    <t>=-NL("Sum","32 Item Ledger Entry","12 Quantity","5 Source no.",$C1417,"3 Posting Date",J$9,"4 Entry Type",$C$4,"2 Item No.","@@"&amp;$F1417)</t>
  </si>
  <si>
    <t>=-NL("Sum","32 Item Ledger Entry","12 Quantity","5 Source no.",$C1418,"3 Posting Date",J$9,"4 Entry Type",$C$4,"2 Item No.","@@"&amp;$F1418)</t>
  </si>
  <si>
    <t>=-NL("Sum","32 Item Ledger Entry","12 Quantity","5 Source no.",$C1419,"3 Posting Date",J$9,"4 Entry Type",$C$4,"2 Item No.","@@"&amp;$F1419)</t>
  </si>
  <si>
    <t>=-NL("Sum","32 Item Ledger Entry","12 Quantity","5 Source no.",$C1420,"3 Posting Date",J$9,"4 Entry Type",$C$4,"2 Item No.","@@"&amp;$F1420)</t>
  </si>
  <si>
    <t>=-NL("Sum","32 Item Ledger Entry","12 Quantity","5 Source no.",$C1421,"3 Posting Date",J$9,"4 Entry Type",$C$4,"2 Item No.","@@"&amp;$F1421)</t>
  </si>
  <si>
    <t>=-NL("Sum","32 Item Ledger Entry","12 Quantity","5 Source no.",$C1422,"3 Posting Date",J$9,"4 Entry Type",$C$4,"2 Item No.","@@"&amp;$F1422)</t>
  </si>
  <si>
    <t>=-NL("Sum","32 Item Ledger Entry","12 Quantity","5 Source no.",$C1423,"3 Posting Date",J$9,"4 Entry Type",$C$4,"2 Item No.","@@"&amp;$F1423)</t>
  </si>
  <si>
    <t>=-NL("Sum","32 Item Ledger Entry","12 Quantity","5 Source no.",$C1424,"3 Posting Date",J$9,"4 Entry Type",$C$4,"2 Item No.","@@"&amp;$F1424)</t>
  </si>
  <si>
    <t>=-NL("Sum","32 Item Ledger Entry","12 Quantity","5 Source no.",$C1425,"3 Posting Date",J$9,"4 Entry Type",$C$4,"2 Item No.","@@"&amp;$F1425)</t>
  </si>
  <si>
    <t>=-NL("Sum","32 Item Ledger Entry","12 Quantity","5 Source no.",$C1426,"3 Posting Date",J$9,"4 Entry Type",$C$4,"2 Item No.","@@"&amp;$F1426)</t>
  </si>
  <si>
    <t>=-NL("Sum","32 Item Ledger Entry","12 Quantity","5 Source no.",$C1409,"3 Posting Date",O$9,"4 Entry Type",$C$4,"2 Item No.","@@"&amp;$F1409)</t>
  </si>
  <si>
    <t>=-NL("Sum","32 Item Ledger Entry","12 Quantity","5 Source no.",$C1410,"3 Posting Date",O$9,"4 Entry Type",$C$4,"2 Item No.","@@"&amp;$F1410)</t>
  </si>
  <si>
    <t>=-NL("Sum","32 Item Ledger Entry","12 Quantity","5 Source no.",$C1411,"3 Posting Date",O$9,"4 Entry Type",$C$4,"2 Item No.","@@"&amp;$F1411)</t>
  </si>
  <si>
    <t>=-NL("Sum","32 Item Ledger Entry","12 Quantity","5 Source no.",$C1412,"3 Posting Date",O$9,"4 Entry Type",$C$4,"2 Item No.","@@"&amp;$F1412)</t>
  </si>
  <si>
    <t>=-NL("Sum","32 Item Ledger Entry","12 Quantity","5 Source no.",$C1413,"3 Posting Date",O$9,"4 Entry Type",$C$4,"2 Item No.","@@"&amp;$F1413)</t>
  </si>
  <si>
    <t>=-NL("Sum","32 Item Ledger Entry","12 Quantity","5 Source no.",$C1414,"3 Posting Date",O$9,"4 Entry Type",$C$4,"2 Item No.","@@"&amp;$F1414)</t>
  </si>
  <si>
    <t>=-NL("Sum","32 Item Ledger Entry","12 Quantity","5 Source no.",$C1415,"3 Posting Date",O$9,"4 Entry Type",$C$4,"2 Item No.","@@"&amp;$F1415)</t>
  </si>
  <si>
    <t>=-NL("Sum","32 Item Ledger Entry","12 Quantity","5 Source no.",$C1416,"3 Posting Date",O$9,"4 Entry Type",$C$4,"2 Item No.","@@"&amp;$F1416)</t>
  </si>
  <si>
    <t>=-NL("Sum","32 Item Ledger Entry","12 Quantity","5 Source no.",$C1417,"3 Posting Date",O$9,"4 Entry Type",$C$4,"2 Item No.","@@"&amp;$F1417)</t>
  </si>
  <si>
    <t>=-NL("Sum","32 Item Ledger Entry","12 Quantity","5 Source no.",$C1418,"3 Posting Date",O$9,"4 Entry Type",$C$4,"2 Item No.","@@"&amp;$F1418)</t>
  </si>
  <si>
    <t>=-NL("Sum","32 Item Ledger Entry","12 Quantity","5 Source no.",$C1419,"3 Posting Date",O$9,"4 Entry Type",$C$4,"2 Item No.","@@"&amp;$F1419)</t>
  </si>
  <si>
    <t>=-NL("Sum","32 Item Ledger Entry","12 Quantity","5 Source no.",$C1420,"3 Posting Date",O$9,"4 Entry Type",$C$4,"2 Item No.","@@"&amp;$F1420)</t>
  </si>
  <si>
    <t>=-NL("Sum","32 Item Ledger Entry","12 Quantity","5 Source no.",$C1421,"3 Posting Date",O$9,"4 Entry Type",$C$4,"2 Item No.","@@"&amp;$F1421)</t>
  </si>
  <si>
    <t>=-NL("Sum","32 Item Ledger Entry","12 Quantity","5 Source no.",$C1422,"3 Posting Date",O$9,"4 Entry Type",$C$4,"2 Item No.","@@"&amp;$F1422)</t>
  </si>
  <si>
    <t>=-NL("Sum","32 Item Ledger Entry","12 Quantity","5 Source no.",$C1423,"3 Posting Date",O$9,"4 Entry Type",$C$4,"2 Item No.","@@"&amp;$F1423)</t>
  </si>
  <si>
    <t>=-NL("Sum","32 Item Ledger Entry","12 Quantity","5 Source no.",$C1424,"3 Posting Date",O$9,"4 Entry Type",$C$4,"2 Item No.","@@"&amp;$F1424)</t>
  </si>
  <si>
    <t>=-NL("Sum","32 Item Ledger Entry","12 Quantity","5 Source no.",$C1425,"3 Posting Date",O$9,"4 Entry Type",$C$4,"2 Item No.","@@"&amp;$F1425)</t>
  </si>
  <si>
    <t>=-NL("Sum","32 Item Ledger Entry","12 Quantity","5 Source no.",$C1426,"3 Posting Date",O$9,"4 Entry Type",$C$4,"2 Item No.","@@"&amp;$F1426)</t>
  </si>
  <si>
    <t>=-NL("Sum","32 Item Ledger Entry","12 Quantity","5 Source no.",$C1409,"3 Posting Date",U$9,"4 Entry Type",$C$4,"2 Item No.","@@"&amp;$F1409)</t>
  </si>
  <si>
    <t>=-NL("Sum","32 Item Ledger Entry","12 Quantity","5 Source no.",$C1410,"3 Posting Date",U$9,"4 Entry Type",$C$4,"2 Item No.","@@"&amp;$F1410)</t>
  </si>
  <si>
    <t>=-NL("Sum","32 Item Ledger Entry","12 Quantity","5 Source no.",$C1411,"3 Posting Date",U$9,"4 Entry Type",$C$4,"2 Item No.","@@"&amp;$F1411)</t>
  </si>
  <si>
    <t>=-NL("Sum","32 Item Ledger Entry","12 Quantity","5 Source no.",$C1412,"3 Posting Date",U$9,"4 Entry Type",$C$4,"2 Item No.","@@"&amp;$F1412)</t>
  </si>
  <si>
    <t>=-NL("Sum","32 Item Ledger Entry","12 Quantity","5 Source no.",$C1413,"3 Posting Date",U$9,"4 Entry Type",$C$4,"2 Item No.","@@"&amp;$F1413)</t>
  </si>
  <si>
    <t>=-NL("Sum","32 Item Ledger Entry","12 Quantity","5 Source no.",$C1414,"3 Posting Date",U$9,"4 Entry Type",$C$4,"2 Item No.","@@"&amp;$F1414)</t>
  </si>
  <si>
    <t>=-NL("Sum","32 Item Ledger Entry","12 Quantity","5 Source no.",$C1415,"3 Posting Date",U$9,"4 Entry Type",$C$4,"2 Item No.","@@"&amp;$F1415)</t>
  </si>
  <si>
    <t>=-NL("Sum","32 Item Ledger Entry","12 Quantity","5 Source no.",$C1416,"3 Posting Date",U$9,"4 Entry Type",$C$4,"2 Item No.","@@"&amp;$F1416)</t>
  </si>
  <si>
    <t>=-NL("Sum","32 Item Ledger Entry","12 Quantity","5 Source no.",$C1417,"3 Posting Date",U$9,"4 Entry Type",$C$4,"2 Item No.","@@"&amp;$F1417)</t>
  </si>
  <si>
    <t>=-NL("Sum","32 Item Ledger Entry","12 Quantity","5 Source no.",$C1418,"3 Posting Date",U$9,"4 Entry Type",$C$4,"2 Item No.","@@"&amp;$F1418)</t>
  </si>
  <si>
    <t>=-NL("Sum","32 Item Ledger Entry","12 Quantity","5 Source no.",$C1419,"3 Posting Date",U$9,"4 Entry Type",$C$4,"2 Item No.","@@"&amp;$F1419)</t>
  </si>
  <si>
    <t>=-NL("Sum","32 Item Ledger Entry","12 Quantity","5 Source no.",$C1420,"3 Posting Date",U$9,"4 Entry Type",$C$4,"2 Item No.","@@"&amp;$F1420)</t>
  </si>
  <si>
    <t>=-NL("Sum","32 Item Ledger Entry","12 Quantity","5 Source no.",$C1421,"3 Posting Date",U$9,"4 Entry Type",$C$4,"2 Item No.","@@"&amp;$F1421)</t>
  </si>
  <si>
    <t>=-NL("Sum","32 Item Ledger Entry","12 Quantity","5 Source no.",$C1422,"3 Posting Date",U$9,"4 Entry Type",$C$4,"2 Item No.","@@"&amp;$F1422)</t>
  </si>
  <si>
    <t>=-NL("Sum","32 Item Ledger Entry","12 Quantity","5 Source no.",$C1423,"3 Posting Date",U$9,"4 Entry Type",$C$4,"2 Item No.","@@"&amp;$F1423)</t>
  </si>
  <si>
    <t>=-NL("Sum","32 Item Ledger Entry","12 Quantity","5 Source no.",$C1424,"3 Posting Date",U$9,"4 Entry Type",$C$4,"2 Item No.","@@"&amp;$F1424)</t>
  </si>
  <si>
    <t>=-NL("Sum","32 Item Ledger Entry","12 Quantity","5 Source no.",$C1425,"3 Posting Date",U$9,"4 Entry Type",$C$4,"2 Item No.","@@"&amp;$F1425)</t>
  </si>
  <si>
    <t>=-NL("Sum","32 Item Ledger Entry","12 Quantity","5 Source no.",$C1426,"3 Posting Date",U$9,"4 Entry Type",$C$4,"2 Item No.","@@"&amp;$F1426)</t>
  </si>
  <si>
    <t>=-NL("Sum","32 Item Ledger Entry","12 Quantity","5 Source no.",$C1409,"3 Posting Date",Z$9,"4 Entry Type",$C$4,"2 Item No.","@@"&amp;$F1409)</t>
  </si>
  <si>
    <t>=-NL("Sum","32 Item Ledger Entry","12 Quantity","5 Source no.",$C1410,"3 Posting Date",Z$9,"4 Entry Type",$C$4,"2 Item No.","@@"&amp;$F1410)</t>
  </si>
  <si>
    <t>=-NL("Sum","32 Item Ledger Entry","12 Quantity","5 Source no.",$C1411,"3 Posting Date",Z$9,"4 Entry Type",$C$4,"2 Item No.","@@"&amp;$F1411)</t>
  </si>
  <si>
    <t>=-NL("Sum","32 Item Ledger Entry","12 Quantity","5 Source no.",$C1412,"3 Posting Date",Z$9,"4 Entry Type",$C$4,"2 Item No.","@@"&amp;$F1412)</t>
  </si>
  <si>
    <t>=-NL("Sum","32 Item Ledger Entry","12 Quantity","5 Source no.",$C1413,"3 Posting Date",Z$9,"4 Entry Type",$C$4,"2 Item No.","@@"&amp;$F1413)</t>
  </si>
  <si>
    <t>=-NL("Sum","32 Item Ledger Entry","12 Quantity","5 Source no.",$C1414,"3 Posting Date",Z$9,"4 Entry Type",$C$4,"2 Item No.","@@"&amp;$F1414)</t>
  </si>
  <si>
    <t>=-NL("Sum","32 Item Ledger Entry","12 Quantity","5 Source no.",$C1415,"3 Posting Date",Z$9,"4 Entry Type",$C$4,"2 Item No.","@@"&amp;$F1415)</t>
  </si>
  <si>
    <t>=-NL("Sum","32 Item Ledger Entry","12 Quantity","5 Source no.",$C1416,"3 Posting Date",Z$9,"4 Entry Type",$C$4,"2 Item No.","@@"&amp;$F1416)</t>
  </si>
  <si>
    <t>=-NL("Sum","32 Item Ledger Entry","12 Quantity","5 Source no.",$C1417,"3 Posting Date",Z$9,"4 Entry Type",$C$4,"2 Item No.","@@"&amp;$F1417)</t>
  </si>
  <si>
    <t>=-NL("Sum","32 Item Ledger Entry","12 Quantity","5 Source no.",$C1418,"3 Posting Date",Z$9,"4 Entry Type",$C$4,"2 Item No.","@@"&amp;$F1418)</t>
  </si>
  <si>
    <t>=-NL("Sum","32 Item Ledger Entry","12 Quantity","5 Source no.",$C1419,"3 Posting Date",Z$9,"4 Entry Type",$C$4,"2 Item No.","@@"&amp;$F1419)</t>
  </si>
  <si>
    <t>=-NL("Sum","32 Item Ledger Entry","12 Quantity","5 Source no.",$C1420,"3 Posting Date",Z$9,"4 Entry Type",$C$4,"2 Item No.","@@"&amp;$F1420)</t>
  </si>
  <si>
    <t>=-NL("Sum","32 Item Ledger Entry","12 Quantity","5 Source no.",$C1421,"3 Posting Date",Z$9,"4 Entry Type",$C$4,"2 Item No.","@@"&amp;$F1421)</t>
  </si>
  <si>
    <t>=-NL("Sum","32 Item Ledger Entry","12 Quantity","5 Source no.",$C1422,"3 Posting Date",Z$9,"4 Entry Type",$C$4,"2 Item No.","@@"&amp;$F1422)</t>
  </si>
  <si>
    <t>=-NL("Sum","32 Item Ledger Entry","12 Quantity","5 Source no.",$C1423,"3 Posting Date",Z$9,"4 Entry Type",$C$4,"2 Item No.","@@"&amp;$F1423)</t>
  </si>
  <si>
    <t>=-NL("Sum","32 Item Ledger Entry","12 Quantity","5 Source no.",$C1424,"3 Posting Date",Z$9,"4 Entry Type",$C$4,"2 Item No.","@@"&amp;$F1424)</t>
  </si>
  <si>
    <t>=-NL("Sum","32 Item Ledger Entry","12 Quantity","5 Source no.",$C1425,"3 Posting Date",Z$9,"4 Entry Type",$C$4,"2 Item No.","@@"&amp;$F1425)</t>
  </si>
  <si>
    <t>=-NL("Sum","32 Item Ledger Entry","12 Quantity","5 Source no.",$C1426,"3 Posting Date",Z$9,"4 Entry Type",$C$4,"2 Item No.","@@"&amp;$F1426)</t>
  </si>
  <si>
    <t>=NL(,"27 Item","3 Description","1 No.","@@"&amp;F1395)</t>
  </si>
  <si>
    <t>=NL(,"27 Item","3 Description","1 No.","@@"&amp;F1396)</t>
  </si>
  <si>
    <t>=NL(,"27 Item","3 Description","1 No.","@@"&amp;F1397)</t>
  </si>
  <si>
    <t>=NL(,"27 Item","3 Description","1 No.","@@"&amp;F1398)</t>
  </si>
  <si>
    <t>=NL(,"27 Item","3 Description","1 No.","@@"&amp;F1399)</t>
  </si>
  <si>
    <t>=NL(,"27 Item","3 Description","1 No.","@@"&amp;F1400)</t>
  </si>
  <si>
    <t>=NL(,"27 Item","3 Description","1 No.","@@"&amp;F1401)</t>
  </si>
  <si>
    <t>=NL(,"27 Item","3 Description","1 No.","@@"&amp;F1402)</t>
  </si>
  <si>
    <t>=NL(,"27 Item","3 Description","1 No.","@@"&amp;F1403)</t>
  </si>
  <si>
    <t>=-NL("Sum","32 Item Ledger Entry","12 Quantity","5 Source no.",$C1395,"3 Posting Date",J$9,"4 Entry Type",$C$4,"2 Item No.","@@"&amp;$F1395)</t>
  </si>
  <si>
    <t>=-NL("Sum","32 Item Ledger Entry","12 Quantity","5 Source no.",$C1396,"3 Posting Date",J$9,"4 Entry Type",$C$4,"2 Item No.","@@"&amp;$F1396)</t>
  </si>
  <si>
    <t>=-NL("Sum","32 Item Ledger Entry","12 Quantity","5 Source no.",$C1397,"3 Posting Date",J$9,"4 Entry Type",$C$4,"2 Item No.","@@"&amp;$F1397)</t>
  </si>
  <si>
    <t>=-NL("Sum","32 Item Ledger Entry","12 Quantity","5 Source no.",$C1398,"3 Posting Date",J$9,"4 Entry Type",$C$4,"2 Item No.","@@"&amp;$F1398)</t>
  </si>
  <si>
    <t>=-NL("Sum","32 Item Ledger Entry","12 Quantity","5 Source no.",$C1399,"3 Posting Date",J$9,"4 Entry Type",$C$4,"2 Item No.","@@"&amp;$F1399)</t>
  </si>
  <si>
    <t>=-NL("Sum","32 Item Ledger Entry","12 Quantity","5 Source no.",$C1400,"3 Posting Date",J$9,"4 Entry Type",$C$4,"2 Item No.","@@"&amp;$F1400)</t>
  </si>
  <si>
    <t>=-NL("Sum","32 Item Ledger Entry","12 Quantity","5 Source no.",$C1401,"3 Posting Date",J$9,"4 Entry Type",$C$4,"2 Item No.","@@"&amp;$F1401)</t>
  </si>
  <si>
    <t>=-NL("Sum","32 Item Ledger Entry","12 Quantity","5 Source no.",$C1402,"3 Posting Date",J$9,"4 Entry Type",$C$4,"2 Item No.","@@"&amp;$F1402)</t>
  </si>
  <si>
    <t>=-NL("Sum","32 Item Ledger Entry","12 Quantity","5 Source no.",$C1403,"3 Posting Date",J$9,"4 Entry Type",$C$4,"2 Item No.","@@"&amp;$F1403)</t>
  </si>
  <si>
    <t>=-NL("Sum","32 Item Ledger Entry","12 Quantity","5 Source no.",$C1395,"3 Posting Date",O$9,"4 Entry Type",$C$4,"2 Item No.","@@"&amp;$F1395)</t>
  </si>
  <si>
    <t>=-NL("Sum","32 Item Ledger Entry","12 Quantity","5 Source no.",$C1396,"3 Posting Date",O$9,"4 Entry Type",$C$4,"2 Item No.","@@"&amp;$F1396)</t>
  </si>
  <si>
    <t>=-NL("Sum","32 Item Ledger Entry","12 Quantity","5 Source no.",$C1397,"3 Posting Date",O$9,"4 Entry Type",$C$4,"2 Item No.","@@"&amp;$F1397)</t>
  </si>
  <si>
    <t>=-NL("Sum","32 Item Ledger Entry","12 Quantity","5 Source no.",$C1398,"3 Posting Date",O$9,"4 Entry Type",$C$4,"2 Item No.","@@"&amp;$F1398)</t>
  </si>
  <si>
    <t>=-NL("Sum","32 Item Ledger Entry","12 Quantity","5 Source no.",$C1399,"3 Posting Date",O$9,"4 Entry Type",$C$4,"2 Item No.","@@"&amp;$F1399)</t>
  </si>
  <si>
    <t>=-NL("Sum","32 Item Ledger Entry","12 Quantity","5 Source no.",$C1400,"3 Posting Date",O$9,"4 Entry Type",$C$4,"2 Item No.","@@"&amp;$F1400)</t>
  </si>
  <si>
    <t>=-NL("Sum","32 Item Ledger Entry","12 Quantity","5 Source no.",$C1401,"3 Posting Date",O$9,"4 Entry Type",$C$4,"2 Item No.","@@"&amp;$F1401)</t>
  </si>
  <si>
    <t>=-NL("Sum","32 Item Ledger Entry","12 Quantity","5 Source no.",$C1402,"3 Posting Date",O$9,"4 Entry Type",$C$4,"2 Item No.","@@"&amp;$F1402)</t>
  </si>
  <si>
    <t>=-NL("Sum","32 Item Ledger Entry","12 Quantity","5 Source no.",$C1403,"3 Posting Date",O$9,"4 Entry Type",$C$4,"2 Item No.","@@"&amp;$F1403)</t>
  </si>
  <si>
    <t>=-NL("Sum","32 Item Ledger Entry","12 Quantity","5 Source no.",$C1395,"3 Posting Date",U$9,"4 Entry Type",$C$4,"2 Item No.","@@"&amp;$F1395)</t>
  </si>
  <si>
    <t>=-NL("Sum","32 Item Ledger Entry","12 Quantity","5 Source no.",$C1396,"3 Posting Date",U$9,"4 Entry Type",$C$4,"2 Item No.","@@"&amp;$F1396)</t>
  </si>
  <si>
    <t>=-NL("Sum","32 Item Ledger Entry","12 Quantity","5 Source no.",$C1397,"3 Posting Date",U$9,"4 Entry Type",$C$4,"2 Item No.","@@"&amp;$F1397)</t>
  </si>
  <si>
    <t>=-NL("Sum","32 Item Ledger Entry","12 Quantity","5 Source no.",$C1398,"3 Posting Date",U$9,"4 Entry Type",$C$4,"2 Item No.","@@"&amp;$F1398)</t>
  </si>
  <si>
    <t>=-NL("Sum","32 Item Ledger Entry","12 Quantity","5 Source no.",$C1399,"3 Posting Date",U$9,"4 Entry Type",$C$4,"2 Item No.","@@"&amp;$F1399)</t>
  </si>
  <si>
    <t>=-NL("Sum","32 Item Ledger Entry","12 Quantity","5 Source no.",$C1400,"3 Posting Date",U$9,"4 Entry Type",$C$4,"2 Item No.","@@"&amp;$F1400)</t>
  </si>
  <si>
    <t>=-NL("Sum","32 Item Ledger Entry","12 Quantity","5 Source no.",$C1401,"3 Posting Date",U$9,"4 Entry Type",$C$4,"2 Item No.","@@"&amp;$F1401)</t>
  </si>
  <si>
    <t>=-NL("Sum","32 Item Ledger Entry","12 Quantity","5 Source no.",$C1402,"3 Posting Date",U$9,"4 Entry Type",$C$4,"2 Item No.","@@"&amp;$F1402)</t>
  </si>
  <si>
    <t>=-NL("Sum","32 Item Ledger Entry","12 Quantity","5 Source no.",$C1403,"3 Posting Date",U$9,"4 Entry Type",$C$4,"2 Item No.","@@"&amp;$F1403)</t>
  </si>
  <si>
    <t>=-NL("Sum","32 Item Ledger Entry","12 Quantity","5 Source no.",$C1395,"3 Posting Date",Z$9,"4 Entry Type",$C$4,"2 Item No.","@@"&amp;$F1395)</t>
  </si>
  <si>
    <t>=-NL("Sum","32 Item Ledger Entry","12 Quantity","5 Source no.",$C1396,"3 Posting Date",Z$9,"4 Entry Type",$C$4,"2 Item No.","@@"&amp;$F1396)</t>
  </si>
  <si>
    <t>=-NL("Sum","32 Item Ledger Entry","12 Quantity","5 Source no.",$C1397,"3 Posting Date",Z$9,"4 Entry Type",$C$4,"2 Item No.","@@"&amp;$F1397)</t>
  </si>
  <si>
    <t>=-NL("Sum","32 Item Ledger Entry","12 Quantity","5 Source no.",$C1398,"3 Posting Date",Z$9,"4 Entry Type",$C$4,"2 Item No.","@@"&amp;$F1398)</t>
  </si>
  <si>
    <t>=-NL("Sum","32 Item Ledger Entry","12 Quantity","5 Source no.",$C1399,"3 Posting Date",Z$9,"4 Entry Type",$C$4,"2 Item No.","@@"&amp;$F1399)</t>
  </si>
  <si>
    <t>=-NL("Sum","32 Item Ledger Entry","12 Quantity","5 Source no.",$C1400,"3 Posting Date",Z$9,"4 Entry Type",$C$4,"2 Item No.","@@"&amp;$F1400)</t>
  </si>
  <si>
    <t>=-NL("Sum","32 Item Ledger Entry","12 Quantity","5 Source no.",$C1401,"3 Posting Date",Z$9,"4 Entry Type",$C$4,"2 Item No.","@@"&amp;$F1401)</t>
  </si>
  <si>
    <t>=-NL("Sum","32 Item Ledger Entry","12 Quantity","5 Source no.",$C1402,"3 Posting Date",Z$9,"4 Entry Type",$C$4,"2 Item No.","@@"&amp;$F1402)</t>
  </si>
  <si>
    <t>=-NL("Sum","32 Item Ledger Entry","12 Quantity","5 Source no.",$C1403,"3 Posting Date",Z$9,"4 Entry Type",$C$4,"2 Item No.","@@"&amp;$F1403)</t>
  </si>
  <si>
    <t>=NL(,"27 Item","3 Description","1 No.","@@"&amp;F1362)</t>
  </si>
  <si>
    <t>=NL(,"27 Item","3 Description","1 No.","@@"&amp;F1363)</t>
  </si>
  <si>
    <t>=NL(,"27 Item","3 Description","1 No.","@@"&amp;F1364)</t>
  </si>
  <si>
    <t>=NL(,"27 Item","3 Description","1 No.","@@"&amp;F1365)</t>
  </si>
  <si>
    <t>=NL(,"27 Item","3 Description","1 No.","@@"&amp;F1366)</t>
  </si>
  <si>
    <t>=NL(,"27 Item","3 Description","1 No.","@@"&amp;F1367)</t>
  </si>
  <si>
    <t>=NL(,"27 Item","3 Description","1 No.","@@"&amp;F1368)</t>
  </si>
  <si>
    <t>=NL(,"27 Item","3 Description","1 No.","@@"&amp;F1369)</t>
  </si>
  <si>
    <t>=NL(,"27 Item","3 Description","1 No.","@@"&amp;F1370)</t>
  </si>
  <si>
    <t>=NL(,"27 Item","3 Description","1 No.","@@"&amp;F1371)</t>
  </si>
  <si>
    <t>=NL(,"27 Item","3 Description","1 No.","@@"&amp;F1372)</t>
  </si>
  <si>
    <t>=NL(,"27 Item","3 Description","1 No.","@@"&amp;F1373)</t>
  </si>
  <si>
    <t>=NL(,"27 Item","3 Description","1 No.","@@"&amp;F1374)</t>
  </si>
  <si>
    <t>=NL(,"27 Item","3 Description","1 No.","@@"&amp;F1375)</t>
  </si>
  <si>
    <t>=NL(,"27 Item","3 Description","1 No.","@@"&amp;F1376)</t>
  </si>
  <si>
    <t>=NL(,"27 Item","3 Description","1 No.","@@"&amp;F1377)</t>
  </si>
  <si>
    <t>=NL(,"27 Item","3 Description","1 No.","@@"&amp;F1378)</t>
  </si>
  <si>
    <t>=NL(,"27 Item","3 Description","1 No.","@@"&amp;F1379)</t>
  </si>
  <si>
    <t>=NL(,"27 Item","3 Description","1 No.","@@"&amp;F1380)</t>
  </si>
  <si>
    <t>=NL(,"27 Item","3 Description","1 No.","@@"&amp;F1381)</t>
  </si>
  <si>
    <t>=NL(,"27 Item","3 Description","1 No.","@@"&amp;F1382)</t>
  </si>
  <si>
    <t>=NL(,"27 Item","3 Description","1 No.","@@"&amp;F1383)</t>
  </si>
  <si>
    <t>=NL(,"27 Item","3 Description","1 No.","@@"&amp;F1384)</t>
  </si>
  <si>
    <t>=NL(,"27 Item","3 Description","1 No.","@@"&amp;F1385)</t>
  </si>
  <si>
    <t>=NL(,"27 Item","3 Description","1 No.","@@"&amp;F1386)</t>
  </si>
  <si>
    <t>=NL(,"27 Item","3 Description","1 No.","@@"&amp;F1387)</t>
  </si>
  <si>
    <t>=NL(,"27 Item","3 Description","1 No.","@@"&amp;F1388)</t>
  </si>
  <si>
    <t>=NL(,"27 Item","3 Description","1 No.","@@"&amp;F1389)</t>
  </si>
  <si>
    <t>=-NL("Sum","32 Item Ledger Entry","12 Quantity","5 Source no.",$C1362,"3 Posting Date",J$9,"4 Entry Type",$C$4,"2 Item No.","@@"&amp;$F1362)</t>
  </si>
  <si>
    <t>=-NL("Sum","32 Item Ledger Entry","12 Quantity","5 Source no.",$C1363,"3 Posting Date",J$9,"4 Entry Type",$C$4,"2 Item No.","@@"&amp;$F1363)</t>
  </si>
  <si>
    <t>=-NL("Sum","32 Item Ledger Entry","12 Quantity","5 Source no.",$C1364,"3 Posting Date",J$9,"4 Entry Type",$C$4,"2 Item No.","@@"&amp;$F1364)</t>
  </si>
  <si>
    <t>=-NL("Sum","32 Item Ledger Entry","12 Quantity","5 Source no.",$C1365,"3 Posting Date",J$9,"4 Entry Type",$C$4,"2 Item No.","@@"&amp;$F1365)</t>
  </si>
  <si>
    <t>=-NL("Sum","32 Item Ledger Entry","12 Quantity","5 Source no.",$C1366,"3 Posting Date",J$9,"4 Entry Type",$C$4,"2 Item No.","@@"&amp;$F1366)</t>
  </si>
  <si>
    <t>=-NL("Sum","32 Item Ledger Entry","12 Quantity","5 Source no.",$C1367,"3 Posting Date",J$9,"4 Entry Type",$C$4,"2 Item No.","@@"&amp;$F1367)</t>
  </si>
  <si>
    <t>=-NL("Sum","32 Item Ledger Entry","12 Quantity","5 Source no.",$C1368,"3 Posting Date",J$9,"4 Entry Type",$C$4,"2 Item No.","@@"&amp;$F1368)</t>
  </si>
  <si>
    <t>=-NL("Sum","32 Item Ledger Entry","12 Quantity","5 Source no.",$C1369,"3 Posting Date",J$9,"4 Entry Type",$C$4,"2 Item No.","@@"&amp;$F1369)</t>
  </si>
  <si>
    <t>=-NL("Sum","32 Item Ledger Entry","12 Quantity","5 Source no.",$C1370,"3 Posting Date",J$9,"4 Entry Type",$C$4,"2 Item No.","@@"&amp;$F1370)</t>
  </si>
  <si>
    <t>=-NL("Sum","32 Item Ledger Entry","12 Quantity","5 Source no.",$C1371,"3 Posting Date",J$9,"4 Entry Type",$C$4,"2 Item No.","@@"&amp;$F1371)</t>
  </si>
  <si>
    <t>=-NL("Sum","32 Item Ledger Entry","12 Quantity","5 Source no.",$C1372,"3 Posting Date",J$9,"4 Entry Type",$C$4,"2 Item No.","@@"&amp;$F1372)</t>
  </si>
  <si>
    <t>=-NL("Sum","32 Item Ledger Entry","12 Quantity","5 Source no.",$C1373,"3 Posting Date",J$9,"4 Entry Type",$C$4,"2 Item No.","@@"&amp;$F1373)</t>
  </si>
  <si>
    <t>=-NL("Sum","32 Item Ledger Entry","12 Quantity","5 Source no.",$C1374,"3 Posting Date",J$9,"4 Entry Type",$C$4,"2 Item No.","@@"&amp;$F1374)</t>
  </si>
  <si>
    <t>=-NL("Sum","32 Item Ledger Entry","12 Quantity","5 Source no.",$C1375,"3 Posting Date",J$9,"4 Entry Type",$C$4,"2 Item No.","@@"&amp;$F1375)</t>
  </si>
  <si>
    <t>=-NL("Sum","32 Item Ledger Entry","12 Quantity","5 Source no.",$C1376,"3 Posting Date",J$9,"4 Entry Type",$C$4,"2 Item No.","@@"&amp;$F1376)</t>
  </si>
  <si>
    <t>=-NL("Sum","32 Item Ledger Entry","12 Quantity","5 Source no.",$C1377,"3 Posting Date",J$9,"4 Entry Type",$C$4,"2 Item No.","@@"&amp;$F1377)</t>
  </si>
  <si>
    <t>=-NL("Sum","32 Item Ledger Entry","12 Quantity","5 Source no.",$C1378,"3 Posting Date",J$9,"4 Entry Type",$C$4,"2 Item No.","@@"&amp;$F1378)</t>
  </si>
  <si>
    <t>=-NL("Sum","32 Item Ledger Entry","12 Quantity","5 Source no.",$C1379,"3 Posting Date",J$9,"4 Entry Type",$C$4,"2 Item No.","@@"&amp;$F1379)</t>
  </si>
  <si>
    <t>=-NL("Sum","32 Item Ledger Entry","12 Quantity","5 Source no.",$C1380,"3 Posting Date",J$9,"4 Entry Type",$C$4,"2 Item No.","@@"&amp;$F1380)</t>
  </si>
  <si>
    <t>=-NL("Sum","32 Item Ledger Entry","12 Quantity","5 Source no.",$C1381,"3 Posting Date",J$9,"4 Entry Type",$C$4,"2 Item No.","@@"&amp;$F1381)</t>
  </si>
  <si>
    <t>=-NL("Sum","32 Item Ledger Entry","12 Quantity","5 Source no.",$C1382,"3 Posting Date",J$9,"4 Entry Type",$C$4,"2 Item No.","@@"&amp;$F1382)</t>
  </si>
  <si>
    <t>=-NL("Sum","32 Item Ledger Entry","12 Quantity","5 Source no.",$C1383,"3 Posting Date",J$9,"4 Entry Type",$C$4,"2 Item No.","@@"&amp;$F1383)</t>
  </si>
  <si>
    <t>=-NL("Sum","32 Item Ledger Entry","12 Quantity","5 Source no.",$C1384,"3 Posting Date",J$9,"4 Entry Type",$C$4,"2 Item No.","@@"&amp;$F1384)</t>
  </si>
  <si>
    <t>=-NL("Sum","32 Item Ledger Entry","12 Quantity","5 Source no.",$C1385,"3 Posting Date",J$9,"4 Entry Type",$C$4,"2 Item No.","@@"&amp;$F1385)</t>
  </si>
  <si>
    <t>=-NL("Sum","32 Item Ledger Entry","12 Quantity","5 Source no.",$C1386,"3 Posting Date",J$9,"4 Entry Type",$C$4,"2 Item No.","@@"&amp;$F1386)</t>
  </si>
  <si>
    <t>=-NL("Sum","32 Item Ledger Entry","12 Quantity","5 Source no.",$C1387,"3 Posting Date",J$9,"4 Entry Type",$C$4,"2 Item No.","@@"&amp;$F1387)</t>
  </si>
  <si>
    <t>=-NL("Sum","32 Item Ledger Entry","12 Quantity","5 Source no.",$C1388,"3 Posting Date",J$9,"4 Entry Type",$C$4,"2 Item No.","@@"&amp;$F1388)</t>
  </si>
  <si>
    <t>=-NL("Sum","32 Item Ledger Entry","12 Quantity","5 Source no.",$C1389,"3 Posting Date",J$9,"4 Entry Type",$C$4,"2 Item No.","@@"&amp;$F1389)</t>
  </si>
  <si>
    <t>=-NL("Sum","32 Item Ledger Entry","12 Quantity","5 Source no.",$C1362,"3 Posting Date",O$9,"4 Entry Type",$C$4,"2 Item No.","@@"&amp;$F1362)</t>
  </si>
  <si>
    <t>=-NL("Sum","32 Item Ledger Entry","12 Quantity","5 Source no.",$C1363,"3 Posting Date",O$9,"4 Entry Type",$C$4,"2 Item No.","@@"&amp;$F1363)</t>
  </si>
  <si>
    <t>=-NL("Sum","32 Item Ledger Entry","12 Quantity","5 Source no.",$C1364,"3 Posting Date",O$9,"4 Entry Type",$C$4,"2 Item No.","@@"&amp;$F1364)</t>
  </si>
  <si>
    <t>=-NL("Sum","32 Item Ledger Entry","12 Quantity","5 Source no.",$C1365,"3 Posting Date",O$9,"4 Entry Type",$C$4,"2 Item No.","@@"&amp;$F1365)</t>
  </si>
  <si>
    <t>=-NL("Sum","32 Item Ledger Entry","12 Quantity","5 Source no.",$C1366,"3 Posting Date",O$9,"4 Entry Type",$C$4,"2 Item No.","@@"&amp;$F1366)</t>
  </si>
  <si>
    <t>=-NL("Sum","32 Item Ledger Entry","12 Quantity","5 Source no.",$C1367,"3 Posting Date",O$9,"4 Entry Type",$C$4,"2 Item No.","@@"&amp;$F1367)</t>
  </si>
  <si>
    <t>=-NL("Sum","32 Item Ledger Entry","12 Quantity","5 Source no.",$C1368,"3 Posting Date",O$9,"4 Entry Type",$C$4,"2 Item No.","@@"&amp;$F1368)</t>
  </si>
  <si>
    <t>=-NL("Sum","32 Item Ledger Entry","12 Quantity","5 Source no.",$C1369,"3 Posting Date",O$9,"4 Entry Type",$C$4,"2 Item No.","@@"&amp;$F1369)</t>
  </si>
  <si>
    <t>=-NL("Sum","32 Item Ledger Entry","12 Quantity","5 Source no.",$C1370,"3 Posting Date",O$9,"4 Entry Type",$C$4,"2 Item No.","@@"&amp;$F1370)</t>
  </si>
  <si>
    <t>=-NL("Sum","32 Item Ledger Entry","12 Quantity","5 Source no.",$C1371,"3 Posting Date",O$9,"4 Entry Type",$C$4,"2 Item No.","@@"&amp;$F1371)</t>
  </si>
  <si>
    <t>=-NL("Sum","32 Item Ledger Entry","12 Quantity","5 Source no.",$C1372,"3 Posting Date",O$9,"4 Entry Type",$C$4,"2 Item No.","@@"&amp;$F1372)</t>
  </si>
  <si>
    <t>=-NL("Sum","32 Item Ledger Entry","12 Quantity","5 Source no.",$C1373,"3 Posting Date",O$9,"4 Entry Type",$C$4,"2 Item No.","@@"&amp;$F1373)</t>
  </si>
  <si>
    <t>=-NL("Sum","32 Item Ledger Entry","12 Quantity","5 Source no.",$C1374,"3 Posting Date",O$9,"4 Entry Type",$C$4,"2 Item No.","@@"&amp;$F1374)</t>
  </si>
  <si>
    <t>=-NL("Sum","32 Item Ledger Entry","12 Quantity","5 Source no.",$C1375,"3 Posting Date",O$9,"4 Entry Type",$C$4,"2 Item No.","@@"&amp;$F1375)</t>
  </si>
  <si>
    <t>=-NL("Sum","32 Item Ledger Entry","12 Quantity","5 Source no.",$C1376,"3 Posting Date",O$9,"4 Entry Type",$C$4,"2 Item No.","@@"&amp;$F1376)</t>
  </si>
  <si>
    <t>=-NL("Sum","32 Item Ledger Entry","12 Quantity","5 Source no.",$C1377,"3 Posting Date",O$9,"4 Entry Type",$C$4,"2 Item No.","@@"&amp;$F1377)</t>
  </si>
  <si>
    <t>=-NL("Sum","32 Item Ledger Entry","12 Quantity","5 Source no.",$C1378,"3 Posting Date",O$9,"4 Entry Type",$C$4,"2 Item No.","@@"&amp;$F1378)</t>
  </si>
  <si>
    <t>=-NL("Sum","32 Item Ledger Entry","12 Quantity","5 Source no.",$C1379,"3 Posting Date",O$9,"4 Entry Type",$C$4,"2 Item No.","@@"&amp;$F1379)</t>
  </si>
  <si>
    <t>=-NL("Sum","32 Item Ledger Entry","12 Quantity","5 Source no.",$C1380,"3 Posting Date",O$9,"4 Entry Type",$C$4,"2 Item No.","@@"&amp;$F1380)</t>
  </si>
  <si>
    <t>=-NL("Sum","32 Item Ledger Entry","12 Quantity","5 Source no.",$C1381,"3 Posting Date",O$9,"4 Entry Type",$C$4,"2 Item No.","@@"&amp;$F1381)</t>
  </si>
  <si>
    <t>=-NL("Sum","32 Item Ledger Entry","12 Quantity","5 Source no.",$C1382,"3 Posting Date",O$9,"4 Entry Type",$C$4,"2 Item No.","@@"&amp;$F1382)</t>
  </si>
  <si>
    <t>=-NL("Sum","32 Item Ledger Entry","12 Quantity","5 Source no.",$C1383,"3 Posting Date",O$9,"4 Entry Type",$C$4,"2 Item No.","@@"&amp;$F1383)</t>
  </si>
  <si>
    <t>=-NL("Sum","32 Item Ledger Entry","12 Quantity","5 Source no.",$C1384,"3 Posting Date",O$9,"4 Entry Type",$C$4,"2 Item No.","@@"&amp;$F1384)</t>
  </si>
  <si>
    <t>=-NL("Sum","32 Item Ledger Entry","12 Quantity","5 Source no.",$C1385,"3 Posting Date",O$9,"4 Entry Type",$C$4,"2 Item No.","@@"&amp;$F1385)</t>
  </si>
  <si>
    <t>=-NL("Sum","32 Item Ledger Entry","12 Quantity","5 Source no.",$C1386,"3 Posting Date",O$9,"4 Entry Type",$C$4,"2 Item No.","@@"&amp;$F1386)</t>
  </si>
  <si>
    <t>=-NL("Sum","32 Item Ledger Entry","12 Quantity","5 Source no.",$C1387,"3 Posting Date",O$9,"4 Entry Type",$C$4,"2 Item No.","@@"&amp;$F1387)</t>
  </si>
  <si>
    <t>=-NL("Sum","32 Item Ledger Entry","12 Quantity","5 Source no.",$C1388,"3 Posting Date",O$9,"4 Entry Type",$C$4,"2 Item No.","@@"&amp;$F1388)</t>
  </si>
  <si>
    <t>=-NL("Sum","32 Item Ledger Entry","12 Quantity","5 Source no.",$C1389,"3 Posting Date",O$9,"4 Entry Type",$C$4,"2 Item No.","@@"&amp;$F1389)</t>
  </si>
  <si>
    <t>=-NL("Sum","32 Item Ledger Entry","12 Quantity","5 Source no.",$C1362,"3 Posting Date",U$9,"4 Entry Type",$C$4,"2 Item No.","@@"&amp;$F1362)</t>
  </si>
  <si>
    <t>=-NL("Sum","32 Item Ledger Entry","12 Quantity","5 Source no.",$C1363,"3 Posting Date",U$9,"4 Entry Type",$C$4,"2 Item No.","@@"&amp;$F1363)</t>
  </si>
  <si>
    <t>=-NL("Sum","32 Item Ledger Entry","12 Quantity","5 Source no.",$C1364,"3 Posting Date",U$9,"4 Entry Type",$C$4,"2 Item No.","@@"&amp;$F1364)</t>
  </si>
  <si>
    <t>=-NL("Sum","32 Item Ledger Entry","12 Quantity","5 Source no.",$C1365,"3 Posting Date",U$9,"4 Entry Type",$C$4,"2 Item No.","@@"&amp;$F1365)</t>
  </si>
  <si>
    <t>=-NL("Sum","32 Item Ledger Entry","12 Quantity","5 Source no.",$C1366,"3 Posting Date",U$9,"4 Entry Type",$C$4,"2 Item No.","@@"&amp;$F1366)</t>
  </si>
  <si>
    <t>=-NL("Sum","32 Item Ledger Entry","12 Quantity","5 Source no.",$C1367,"3 Posting Date",U$9,"4 Entry Type",$C$4,"2 Item No.","@@"&amp;$F1367)</t>
  </si>
  <si>
    <t>=-NL("Sum","32 Item Ledger Entry","12 Quantity","5 Source no.",$C1368,"3 Posting Date",U$9,"4 Entry Type",$C$4,"2 Item No.","@@"&amp;$F1368)</t>
  </si>
  <si>
    <t>=-NL("Sum","32 Item Ledger Entry","12 Quantity","5 Source no.",$C1369,"3 Posting Date",U$9,"4 Entry Type",$C$4,"2 Item No.","@@"&amp;$F1369)</t>
  </si>
  <si>
    <t>=-NL("Sum","32 Item Ledger Entry","12 Quantity","5 Source no.",$C1370,"3 Posting Date",U$9,"4 Entry Type",$C$4,"2 Item No.","@@"&amp;$F1370)</t>
  </si>
  <si>
    <t>=-NL("Sum","32 Item Ledger Entry","12 Quantity","5 Source no.",$C1371,"3 Posting Date",U$9,"4 Entry Type",$C$4,"2 Item No.","@@"&amp;$F1371)</t>
  </si>
  <si>
    <t>=-NL("Sum","32 Item Ledger Entry","12 Quantity","5 Source no.",$C1372,"3 Posting Date",U$9,"4 Entry Type",$C$4,"2 Item No.","@@"&amp;$F1372)</t>
  </si>
  <si>
    <t>=-NL("Sum","32 Item Ledger Entry","12 Quantity","5 Source no.",$C1373,"3 Posting Date",U$9,"4 Entry Type",$C$4,"2 Item No.","@@"&amp;$F1373)</t>
  </si>
  <si>
    <t>=-NL("Sum","32 Item Ledger Entry","12 Quantity","5 Source no.",$C1374,"3 Posting Date",U$9,"4 Entry Type",$C$4,"2 Item No.","@@"&amp;$F1374)</t>
  </si>
  <si>
    <t>=-NL("Sum","32 Item Ledger Entry","12 Quantity","5 Source no.",$C1375,"3 Posting Date",U$9,"4 Entry Type",$C$4,"2 Item No.","@@"&amp;$F1375)</t>
  </si>
  <si>
    <t>=-NL("Sum","32 Item Ledger Entry","12 Quantity","5 Source no.",$C1376,"3 Posting Date",U$9,"4 Entry Type",$C$4,"2 Item No.","@@"&amp;$F1376)</t>
  </si>
  <si>
    <t>=-NL("Sum","32 Item Ledger Entry","12 Quantity","5 Source no.",$C1377,"3 Posting Date",U$9,"4 Entry Type",$C$4,"2 Item No.","@@"&amp;$F1377)</t>
  </si>
  <si>
    <t>=-NL("Sum","32 Item Ledger Entry","12 Quantity","5 Source no.",$C1378,"3 Posting Date",U$9,"4 Entry Type",$C$4,"2 Item No.","@@"&amp;$F1378)</t>
  </si>
  <si>
    <t>=-NL("Sum","32 Item Ledger Entry","12 Quantity","5 Source no.",$C1379,"3 Posting Date",U$9,"4 Entry Type",$C$4,"2 Item No.","@@"&amp;$F1379)</t>
  </si>
  <si>
    <t>=-NL("Sum","32 Item Ledger Entry","12 Quantity","5 Source no.",$C1380,"3 Posting Date",U$9,"4 Entry Type",$C$4,"2 Item No.","@@"&amp;$F1380)</t>
  </si>
  <si>
    <t>=-NL("Sum","32 Item Ledger Entry","12 Quantity","5 Source no.",$C1381,"3 Posting Date",U$9,"4 Entry Type",$C$4,"2 Item No.","@@"&amp;$F1381)</t>
  </si>
  <si>
    <t>=-NL("Sum","32 Item Ledger Entry","12 Quantity","5 Source no.",$C1382,"3 Posting Date",U$9,"4 Entry Type",$C$4,"2 Item No.","@@"&amp;$F1382)</t>
  </si>
  <si>
    <t>=-NL("Sum","32 Item Ledger Entry","12 Quantity","5 Source no.",$C1383,"3 Posting Date",U$9,"4 Entry Type",$C$4,"2 Item No.","@@"&amp;$F1383)</t>
  </si>
  <si>
    <t>=-NL("Sum","32 Item Ledger Entry","12 Quantity","5 Source no.",$C1384,"3 Posting Date",U$9,"4 Entry Type",$C$4,"2 Item No.","@@"&amp;$F1384)</t>
  </si>
  <si>
    <t>=-NL("Sum","32 Item Ledger Entry","12 Quantity","5 Source no.",$C1385,"3 Posting Date",U$9,"4 Entry Type",$C$4,"2 Item No.","@@"&amp;$F1385)</t>
  </si>
  <si>
    <t>=-NL("Sum","32 Item Ledger Entry","12 Quantity","5 Source no.",$C1386,"3 Posting Date",U$9,"4 Entry Type",$C$4,"2 Item No.","@@"&amp;$F1386)</t>
  </si>
  <si>
    <t>=-NL("Sum","32 Item Ledger Entry","12 Quantity","5 Source no.",$C1387,"3 Posting Date",U$9,"4 Entry Type",$C$4,"2 Item No.","@@"&amp;$F1387)</t>
  </si>
  <si>
    <t>=-NL("Sum","32 Item Ledger Entry","12 Quantity","5 Source no.",$C1388,"3 Posting Date",U$9,"4 Entry Type",$C$4,"2 Item No.","@@"&amp;$F1388)</t>
  </si>
  <si>
    <t>=-NL("Sum","32 Item Ledger Entry","12 Quantity","5 Source no.",$C1389,"3 Posting Date",U$9,"4 Entry Type",$C$4,"2 Item No.","@@"&amp;$F1389)</t>
  </si>
  <si>
    <t>=-NL("Sum","32 Item Ledger Entry","12 Quantity","5 Source no.",$C1362,"3 Posting Date",Z$9,"4 Entry Type",$C$4,"2 Item No.","@@"&amp;$F1362)</t>
  </si>
  <si>
    <t>=-NL("Sum","32 Item Ledger Entry","12 Quantity","5 Source no.",$C1363,"3 Posting Date",Z$9,"4 Entry Type",$C$4,"2 Item No.","@@"&amp;$F1363)</t>
  </si>
  <si>
    <t>=-NL("Sum","32 Item Ledger Entry","12 Quantity","5 Source no.",$C1364,"3 Posting Date",Z$9,"4 Entry Type",$C$4,"2 Item No.","@@"&amp;$F1364)</t>
  </si>
  <si>
    <t>=-NL("Sum","32 Item Ledger Entry","12 Quantity","5 Source no.",$C1365,"3 Posting Date",Z$9,"4 Entry Type",$C$4,"2 Item No.","@@"&amp;$F1365)</t>
  </si>
  <si>
    <t>=-NL("Sum","32 Item Ledger Entry","12 Quantity","5 Source no.",$C1366,"3 Posting Date",Z$9,"4 Entry Type",$C$4,"2 Item No.","@@"&amp;$F1366)</t>
  </si>
  <si>
    <t>=-NL("Sum","32 Item Ledger Entry","12 Quantity","5 Source no.",$C1367,"3 Posting Date",Z$9,"4 Entry Type",$C$4,"2 Item No.","@@"&amp;$F1367)</t>
  </si>
  <si>
    <t>=-NL("Sum","32 Item Ledger Entry","12 Quantity","5 Source no.",$C1368,"3 Posting Date",Z$9,"4 Entry Type",$C$4,"2 Item No.","@@"&amp;$F1368)</t>
  </si>
  <si>
    <t>=-NL("Sum","32 Item Ledger Entry","12 Quantity","5 Source no.",$C1369,"3 Posting Date",Z$9,"4 Entry Type",$C$4,"2 Item No.","@@"&amp;$F1369)</t>
  </si>
  <si>
    <t>=-NL("Sum","32 Item Ledger Entry","12 Quantity","5 Source no.",$C1370,"3 Posting Date",Z$9,"4 Entry Type",$C$4,"2 Item No.","@@"&amp;$F1370)</t>
  </si>
  <si>
    <t>=-NL("Sum","32 Item Ledger Entry","12 Quantity","5 Source no.",$C1371,"3 Posting Date",Z$9,"4 Entry Type",$C$4,"2 Item No.","@@"&amp;$F1371)</t>
  </si>
  <si>
    <t>=-NL("Sum","32 Item Ledger Entry","12 Quantity","5 Source no.",$C1372,"3 Posting Date",Z$9,"4 Entry Type",$C$4,"2 Item No.","@@"&amp;$F1372)</t>
  </si>
  <si>
    <t>=-NL("Sum","32 Item Ledger Entry","12 Quantity","5 Source no.",$C1373,"3 Posting Date",Z$9,"4 Entry Type",$C$4,"2 Item No.","@@"&amp;$F1373)</t>
  </si>
  <si>
    <t>=-NL("Sum","32 Item Ledger Entry","12 Quantity","5 Source no.",$C1374,"3 Posting Date",Z$9,"4 Entry Type",$C$4,"2 Item No.","@@"&amp;$F1374)</t>
  </si>
  <si>
    <t>=-NL("Sum","32 Item Ledger Entry","12 Quantity","5 Source no.",$C1375,"3 Posting Date",Z$9,"4 Entry Type",$C$4,"2 Item No.","@@"&amp;$F1375)</t>
  </si>
  <si>
    <t>=-NL("Sum","32 Item Ledger Entry","12 Quantity","5 Source no.",$C1376,"3 Posting Date",Z$9,"4 Entry Type",$C$4,"2 Item No.","@@"&amp;$F1376)</t>
  </si>
  <si>
    <t>=-NL("Sum","32 Item Ledger Entry","12 Quantity","5 Source no.",$C1377,"3 Posting Date",Z$9,"4 Entry Type",$C$4,"2 Item No.","@@"&amp;$F1377)</t>
  </si>
  <si>
    <t>=-NL("Sum","32 Item Ledger Entry","12 Quantity","5 Source no.",$C1378,"3 Posting Date",Z$9,"4 Entry Type",$C$4,"2 Item No.","@@"&amp;$F1378)</t>
  </si>
  <si>
    <t>=-NL("Sum","32 Item Ledger Entry","12 Quantity","5 Source no.",$C1379,"3 Posting Date",Z$9,"4 Entry Type",$C$4,"2 Item No.","@@"&amp;$F1379)</t>
  </si>
  <si>
    <t>=-NL("Sum","32 Item Ledger Entry","12 Quantity","5 Source no.",$C1380,"3 Posting Date",Z$9,"4 Entry Type",$C$4,"2 Item No.","@@"&amp;$F1380)</t>
  </si>
  <si>
    <t>=-NL("Sum","32 Item Ledger Entry","12 Quantity","5 Source no.",$C1381,"3 Posting Date",Z$9,"4 Entry Type",$C$4,"2 Item No.","@@"&amp;$F1381)</t>
  </si>
  <si>
    <t>=-NL("Sum","32 Item Ledger Entry","12 Quantity","5 Source no.",$C1382,"3 Posting Date",Z$9,"4 Entry Type",$C$4,"2 Item No.","@@"&amp;$F1382)</t>
  </si>
  <si>
    <t>=-NL("Sum","32 Item Ledger Entry","12 Quantity","5 Source no.",$C1383,"3 Posting Date",Z$9,"4 Entry Type",$C$4,"2 Item No.","@@"&amp;$F1383)</t>
  </si>
  <si>
    <t>=-NL("Sum","32 Item Ledger Entry","12 Quantity","5 Source no.",$C1384,"3 Posting Date",Z$9,"4 Entry Type",$C$4,"2 Item No.","@@"&amp;$F1384)</t>
  </si>
  <si>
    <t>=-NL("Sum","32 Item Ledger Entry","12 Quantity","5 Source no.",$C1385,"3 Posting Date",Z$9,"4 Entry Type",$C$4,"2 Item No.","@@"&amp;$F1385)</t>
  </si>
  <si>
    <t>=-NL("Sum","32 Item Ledger Entry","12 Quantity","5 Source no.",$C1386,"3 Posting Date",Z$9,"4 Entry Type",$C$4,"2 Item No.","@@"&amp;$F1386)</t>
  </si>
  <si>
    <t>=-NL("Sum","32 Item Ledger Entry","12 Quantity","5 Source no.",$C1387,"3 Posting Date",Z$9,"4 Entry Type",$C$4,"2 Item No.","@@"&amp;$F1387)</t>
  </si>
  <si>
    <t>=-NL("Sum","32 Item Ledger Entry","12 Quantity","5 Source no.",$C1388,"3 Posting Date",Z$9,"4 Entry Type",$C$4,"2 Item No.","@@"&amp;$F1388)</t>
  </si>
  <si>
    <t>=-NL("Sum","32 Item Ledger Entry","12 Quantity","5 Source no.",$C1389,"3 Posting Date",Z$9,"4 Entry Type",$C$4,"2 Item No.","@@"&amp;$F1389)</t>
  </si>
  <si>
    <t>=NL(,"27 Item","3 Description","1 No.","@@"&amp;F1348)</t>
  </si>
  <si>
    <t>=NL(,"27 Item","3 Description","1 No.","@@"&amp;F1349)</t>
  </si>
  <si>
    <t>=NL(,"27 Item","3 Description","1 No.","@@"&amp;F1350)</t>
  </si>
  <si>
    <t>=NL(,"27 Item","3 Description","1 No.","@@"&amp;F1351)</t>
  </si>
  <si>
    <t>=NL(,"27 Item","3 Description","1 No.","@@"&amp;F1352)</t>
  </si>
  <si>
    <t>=NL(,"27 Item","3 Description","1 No.","@@"&amp;F1353)</t>
  </si>
  <si>
    <t>=NL(,"27 Item","3 Description","1 No.","@@"&amp;F1354)</t>
  </si>
  <si>
    <t>=NL(,"27 Item","3 Description","1 No.","@@"&amp;F1355)</t>
  </si>
  <si>
    <t>=NL(,"27 Item","3 Description","1 No.","@@"&amp;F1356)</t>
  </si>
  <si>
    <t>=-NL("Sum","32 Item Ledger Entry","12 Quantity","5 Source no.",$C1348,"3 Posting Date",J$9,"4 Entry Type",$C$4,"2 Item No.","@@"&amp;$F1348)</t>
  </si>
  <si>
    <t>=-NL("Sum","32 Item Ledger Entry","12 Quantity","5 Source no.",$C1349,"3 Posting Date",J$9,"4 Entry Type",$C$4,"2 Item No.","@@"&amp;$F1349)</t>
  </si>
  <si>
    <t>=-NL("Sum","32 Item Ledger Entry","12 Quantity","5 Source no.",$C1350,"3 Posting Date",J$9,"4 Entry Type",$C$4,"2 Item No.","@@"&amp;$F1350)</t>
  </si>
  <si>
    <t>=-NL("Sum","32 Item Ledger Entry","12 Quantity","5 Source no.",$C1351,"3 Posting Date",J$9,"4 Entry Type",$C$4,"2 Item No.","@@"&amp;$F1351)</t>
  </si>
  <si>
    <t>=-NL("Sum","32 Item Ledger Entry","12 Quantity","5 Source no.",$C1352,"3 Posting Date",J$9,"4 Entry Type",$C$4,"2 Item No.","@@"&amp;$F1352)</t>
  </si>
  <si>
    <t>=-NL("Sum","32 Item Ledger Entry","12 Quantity","5 Source no.",$C1353,"3 Posting Date",J$9,"4 Entry Type",$C$4,"2 Item No.","@@"&amp;$F1353)</t>
  </si>
  <si>
    <t>=-NL("Sum","32 Item Ledger Entry","12 Quantity","5 Source no.",$C1354,"3 Posting Date",J$9,"4 Entry Type",$C$4,"2 Item No.","@@"&amp;$F1354)</t>
  </si>
  <si>
    <t>=-NL("Sum","32 Item Ledger Entry","12 Quantity","5 Source no.",$C1355,"3 Posting Date",J$9,"4 Entry Type",$C$4,"2 Item No.","@@"&amp;$F1355)</t>
  </si>
  <si>
    <t>=-NL("Sum","32 Item Ledger Entry","12 Quantity","5 Source no.",$C1356,"3 Posting Date",J$9,"4 Entry Type",$C$4,"2 Item No.","@@"&amp;$F1356)</t>
  </si>
  <si>
    <t>=-NL("Sum","32 Item Ledger Entry","12 Quantity","5 Source no.",$C1348,"3 Posting Date",O$9,"4 Entry Type",$C$4,"2 Item No.","@@"&amp;$F1348)</t>
  </si>
  <si>
    <t>=-NL("Sum","32 Item Ledger Entry","12 Quantity","5 Source no.",$C1349,"3 Posting Date",O$9,"4 Entry Type",$C$4,"2 Item No.","@@"&amp;$F1349)</t>
  </si>
  <si>
    <t>=-NL("Sum","32 Item Ledger Entry","12 Quantity","5 Source no.",$C1350,"3 Posting Date",O$9,"4 Entry Type",$C$4,"2 Item No.","@@"&amp;$F1350)</t>
  </si>
  <si>
    <t>=-NL("Sum","32 Item Ledger Entry","12 Quantity","5 Source no.",$C1351,"3 Posting Date",O$9,"4 Entry Type",$C$4,"2 Item No.","@@"&amp;$F1351)</t>
  </si>
  <si>
    <t>=-NL("Sum","32 Item Ledger Entry","12 Quantity","5 Source no.",$C1352,"3 Posting Date",O$9,"4 Entry Type",$C$4,"2 Item No.","@@"&amp;$F1352)</t>
  </si>
  <si>
    <t>=-NL("Sum","32 Item Ledger Entry","12 Quantity","5 Source no.",$C1353,"3 Posting Date",O$9,"4 Entry Type",$C$4,"2 Item No.","@@"&amp;$F1353)</t>
  </si>
  <si>
    <t>=-NL("Sum","32 Item Ledger Entry","12 Quantity","5 Source no.",$C1354,"3 Posting Date",O$9,"4 Entry Type",$C$4,"2 Item No.","@@"&amp;$F1354)</t>
  </si>
  <si>
    <t>=-NL("Sum","32 Item Ledger Entry","12 Quantity","5 Source no.",$C1355,"3 Posting Date",O$9,"4 Entry Type",$C$4,"2 Item No.","@@"&amp;$F1355)</t>
  </si>
  <si>
    <t>=-NL("Sum","32 Item Ledger Entry","12 Quantity","5 Source no.",$C1356,"3 Posting Date",O$9,"4 Entry Type",$C$4,"2 Item No.","@@"&amp;$F1356)</t>
  </si>
  <si>
    <t>=-NL("Sum","32 Item Ledger Entry","12 Quantity","5 Source no.",$C1348,"3 Posting Date",U$9,"4 Entry Type",$C$4,"2 Item No.","@@"&amp;$F1348)</t>
  </si>
  <si>
    <t>=-NL("Sum","32 Item Ledger Entry","12 Quantity","5 Source no.",$C1349,"3 Posting Date",U$9,"4 Entry Type",$C$4,"2 Item No.","@@"&amp;$F1349)</t>
  </si>
  <si>
    <t>=-NL("Sum","32 Item Ledger Entry","12 Quantity","5 Source no.",$C1350,"3 Posting Date",U$9,"4 Entry Type",$C$4,"2 Item No.","@@"&amp;$F1350)</t>
  </si>
  <si>
    <t>=-NL("Sum","32 Item Ledger Entry","12 Quantity","5 Source no.",$C1351,"3 Posting Date",U$9,"4 Entry Type",$C$4,"2 Item No.","@@"&amp;$F1351)</t>
  </si>
  <si>
    <t>=-NL("Sum","32 Item Ledger Entry","12 Quantity","5 Source no.",$C1352,"3 Posting Date",U$9,"4 Entry Type",$C$4,"2 Item No.","@@"&amp;$F1352)</t>
  </si>
  <si>
    <t>=-NL("Sum","32 Item Ledger Entry","12 Quantity","5 Source no.",$C1353,"3 Posting Date",U$9,"4 Entry Type",$C$4,"2 Item No.","@@"&amp;$F1353)</t>
  </si>
  <si>
    <t>=-NL("Sum","32 Item Ledger Entry","12 Quantity","5 Source no.",$C1354,"3 Posting Date",U$9,"4 Entry Type",$C$4,"2 Item No.","@@"&amp;$F1354)</t>
  </si>
  <si>
    <t>=-NL("Sum","32 Item Ledger Entry","12 Quantity","5 Source no.",$C1355,"3 Posting Date",U$9,"4 Entry Type",$C$4,"2 Item No.","@@"&amp;$F1355)</t>
  </si>
  <si>
    <t>=-NL("Sum","32 Item Ledger Entry","12 Quantity","5 Source no.",$C1356,"3 Posting Date",U$9,"4 Entry Type",$C$4,"2 Item No.","@@"&amp;$F1356)</t>
  </si>
  <si>
    <t>=-NL("Sum","32 Item Ledger Entry","12 Quantity","5 Source no.",$C1348,"3 Posting Date",Z$9,"4 Entry Type",$C$4,"2 Item No.","@@"&amp;$F1348)</t>
  </si>
  <si>
    <t>=-NL("Sum","32 Item Ledger Entry","12 Quantity","5 Source no.",$C1349,"3 Posting Date",Z$9,"4 Entry Type",$C$4,"2 Item No.","@@"&amp;$F1349)</t>
  </si>
  <si>
    <t>=-NL("Sum","32 Item Ledger Entry","12 Quantity","5 Source no.",$C1350,"3 Posting Date",Z$9,"4 Entry Type",$C$4,"2 Item No.","@@"&amp;$F1350)</t>
  </si>
  <si>
    <t>=-NL("Sum","32 Item Ledger Entry","12 Quantity","5 Source no.",$C1351,"3 Posting Date",Z$9,"4 Entry Type",$C$4,"2 Item No.","@@"&amp;$F1351)</t>
  </si>
  <si>
    <t>=-NL("Sum","32 Item Ledger Entry","12 Quantity","5 Source no.",$C1352,"3 Posting Date",Z$9,"4 Entry Type",$C$4,"2 Item No.","@@"&amp;$F1352)</t>
  </si>
  <si>
    <t>=-NL("Sum","32 Item Ledger Entry","12 Quantity","5 Source no.",$C1353,"3 Posting Date",Z$9,"4 Entry Type",$C$4,"2 Item No.","@@"&amp;$F1353)</t>
  </si>
  <si>
    <t>=-NL("Sum","32 Item Ledger Entry","12 Quantity","5 Source no.",$C1354,"3 Posting Date",Z$9,"4 Entry Type",$C$4,"2 Item No.","@@"&amp;$F1354)</t>
  </si>
  <si>
    <t>=-NL("Sum","32 Item Ledger Entry","12 Quantity","5 Source no.",$C1355,"3 Posting Date",Z$9,"4 Entry Type",$C$4,"2 Item No.","@@"&amp;$F1355)</t>
  </si>
  <si>
    <t>=-NL("Sum","32 Item Ledger Entry","12 Quantity","5 Source no.",$C1356,"3 Posting Date",Z$9,"4 Entry Type",$C$4,"2 Item No.","@@"&amp;$F1356)</t>
  </si>
  <si>
    <t>=NL(,"27 Item","3 Description","1 No.","@@"&amp;F1300)</t>
  </si>
  <si>
    <t>=NL(,"27 Item","3 Description","1 No.","@@"&amp;F1301)</t>
  </si>
  <si>
    <t>=NL(,"27 Item","3 Description","1 No.","@@"&amp;F1302)</t>
  </si>
  <si>
    <t>=NL(,"27 Item","3 Description","1 No.","@@"&amp;F1303)</t>
  </si>
  <si>
    <t>=NL(,"27 Item","3 Description","1 No.","@@"&amp;F1304)</t>
  </si>
  <si>
    <t>=NL(,"27 Item","3 Description","1 No.","@@"&amp;F1305)</t>
  </si>
  <si>
    <t>=NL(,"27 Item","3 Description","1 No.","@@"&amp;F1306)</t>
  </si>
  <si>
    <t>=NL(,"27 Item","3 Description","1 No.","@@"&amp;F1307)</t>
  </si>
  <si>
    <t>=NL(,"27 Item","3 Description","1 No.","@@"&amp;F1308)</t>
  </si>
  <si>
    <t>=NL(,"27 Item","3 Description","1 No.","@@"&amp;F1309)</t>
  </si>
  <si>
    <t>=NL(,"27 Item","3 Description","1 No.","@@"&amp;F1310)</t>
  </si>
  <si>
    <t>=NL(,"27 Item","3 Description","1 No.","@@"&amp;F1311)</t>
  </si>
  <si>
    <t>=NL(,"27 Item","3 Description","1 No.","@@"&amp;F1312)</t>
  </si>
  <si>
    <t>=NL(,"27 Item","3 Description","1 No.","@@"&amp;F1313)</t>
  </si>
  <si>
    <t>=NL(,"27 Item","3 Description","1 No.","@@"&amp;F1314)</t>
  </si>
  <si>
    <t>=NL(,"27 Item","3 Description","1 No.","@@"&amp;F1315)</t>
  </si>
  <si>
    <t>=NL(,"27 Item","3 Description","1 No.","@@"&amp;F1316)</t>
  </si>
  <si>
    <t>=NL(,"27 Item","3 Description","1 No.","@@"&amp;F1317)</t>
  </si>
  <si>
    <t>=NL(,"27 Item","3 Description","1 No.","@@"&amp;F1318)</t>
  </si>
  <si>
    <t>=NL(,"27 Item","3 Description","1 No.","@@"&amp;F1319)</t>
  </si>
  <si>
    <t>=NL(,"27 Item","3 Description","1 No.","@@"&amp;F1320)</t>
  </si>
  <si>
    <t>=NL(,"27 Item","3 Description","1 No.","@@"&amp;F1321)</t>
  </si>
  <si>
    <t>=NL(,"27 Item","3 Description","1 No.","@@"&amp;F1322)</t>
  </si>
  <si>
    <t>=NL(,"27 Item","3 Description","1 No.","@@"&amp;F1323)</t>
  </si>
  <si>
    <t>=NL(,"27 Item","3 Description","1 No.","@@"&amp;F1324)</t>
  </si>
  <si>
    <t>=NL(,"27 Item","3 Description","1 No.","@@"&amp;F1325)</t>
  </si>
  <si>
    <t>=NL(,"27 Item","3 Description","1 No.","@@"&amp;F1326)</t>
  </si>
  <si>
    <t>=NL(,"27 Item","3 Description","1 No.","@@"&amp;F1327)</t>
  </si>
  <si>
    <t>=NL(,"27 Item","3 Description","1 No.","@@"&amp;F1328)</t>
  </si>
  <si>
    <t>=NL(,"27 Item","3 Description","1 No.","@@"&amp;F1329)</t>
  </si>
  <si>
    <t>=NL(,"27 Item","3 Description","1 No.","@@"&amp;F1330)</t>
  </si>
  <si>
    <t>=NL(,"27 Item","3 Description","1 No.","@@"&amp;F1331)</t>
  </si>
  <si>
    <t>=NL(,"27 Item","3 Description","1 No.","@@"&amp;F1332)</t>
  </si>
  <si>
    <t>=NL(,"27 Item","3 Description","1 No.","@@"&amp;F1333)</t>
  </si>
  <si>
    <t>=NL(,"27 Item","3 Description","1 No.","@@"&amp;F1334)</t>
  </si>
  <si>
    <t>=NL(,"27 Item","3 Description","1 No.","@@"&amp;F1335)</t>
  </si>
  <si>
    <t>=NL(,"27 Item","3 Description","1 No.","@@"&amp;F1336)</t>
  </si>
  <si>
    <t>=NL(,"27 Item","3 Description","1 No.","@@"&amp;F1337)</t>
  </si>
  <si>
    <t>=NL(,"27 Item","3 Description","1 No.","@@"&amp;F1338)</t>
  </si>
  <si>
    <t>=NL(,"27 Item","3 Description","1 No.","@@"&amp;F1339)</t>
  </si>
  <si>
    <t>=NL(,"27 Item","3 Description","1 No.","@@"&amp;F1340)</t>
  </si>
  <si>
    <t>=NL(,"27 Item","3 Description","1 No.","@@"&amp;F1341)</t>
  </si>
  <si>
    <t>=NL(,"27 Item","3 Description","1 No.","@@"&amp;F1342)</t>
  </si>
  <si>
    <t>=-NL("Sum","32 Item Ledger Entry","12 Quantity","5 Source no.",$C1300,"3 Posting Date",J$9,"4 Entry Type",$C$4,"2 Item No.","@@"&amp;$F1300)</t>
  </si>
  <si>
    <t>=-NL("Sum","32 Item Ledger Entry","12 Quantity","5 Source no.",$C1301,"3 Posting Date",J$9,"4 Entry Type",$C$4,"2 Item No.","@@"&amp;$F1301)</t>
  </si>
  <si>
    <t>=-NL("Sum","32 Item Ledger Entry","12 Quantity","5 Source no.",$C1302,"3 Posting Date",J$9,"4 Entry Type",$C$4,"2 Item No.","@@"&amp;$F1302)</t>
  </si>
  <si>
    <t>=-NL("Sum","32 Item Ledger Entry","12 Quantity","5 Source no.",$C1303,"3 Posting Date",J$9,"4 Entry Type",$C$4,"2 Item No.","@@"&amp;$F1303)</t>
  </si>
  <si>
    <t>=-NL("Sum","32 Item Ledger Entry","12 Quantity","5 Source no.",$C1304,"3 Posting Date",J$9,"4 Entry Type",$C$4,"2 Item No.","@@"&amp;$F1304)</t>
  </si>
  <si>
    <t>=-NL("Sum","32 Item Ledger Entry","12 Quantity","5 Source no.",$C1305,"3 Posting Date",J$9,"4 Entry Type",$C$4,"2 Item No.","@@"&amp;$F1305)</t>
  </si>
  <si>
    <t>=-NL("Sum","32 Item Ledger Entry","12 Quantity","5 Source no.",$C1306,"3 Posting Date",J$9,"4 Entry Type",$C$4,"2 Item No.","@@"&amp;$F1306)</t>
  </si>
  <si>
    <t>=-NL("Sum","32 Item Ledger Entry","12 Quantity","5 Source no.",$C1307,"3 Posting Date",J$9,"4 Entry Type",$C$4,"2 Item No.","@@"&amp;$F1307)</t>
  </si>
  <si>
    <t>=-NL("Sum","32 Item Ledger Entry","12 Quantity","5 Source no.",$C1308,"3 Posting Date",J$9,"4 Entry Type",$C$4,"2 Item No.","@@"&amp;$F1308)</t>
  </si>
  <si>
    <t>=-NL("Sum","32 Item Ledger Entry","12 Quantity","5 Source no.",$C1309,"3 Posting Date",J$9,"4 Entry Type",$C$4,"2 Item No.","@@"&amp;$F1309)</t>
  </si>
  <si>
    <t>=-NL("Sum","32 Item Ledger Entry","12 Quantity","5 Source no.",$C1310,"3 Posting Date",J$9,"4 Entry Type",$C$4,"2 Item No.","@@"&amp;$F1310)</t>
  </si>
  <si>
    <t>=-NL("Sum","32 Item Ledger Entry","12 Quantity","5 Source no.",$C1311,"3 Posting Date",J$9,"4 Entry Type",$C$4,"2 Item No.","@@"&amp;$F1311)</t>
  </si>
  <si>
    <t>=-NL("Sum","32 Item Ledger Entry","12 Quantity","5 Source no.",$C1312,"3 Posting Date",J$9,"4 Entry Type",$C$4,"2 Item No.","@@"&amp;$F1312)</t>
  </si>
  <si>
    <t>=-NL("Sum","32 Item Ledger Entry","12 Quantity","5 Source no.",$C1313,"3 Posting Date",J$9,"4 Entry Type",$C$4,"2 Item No.","@@"&amp;$F1313)</t>
  </si>
  <si>
    <t>=-NL("Sum","32 Item Ledger Entry","12 Quantity","5 Source no.",$C1314,"3 Posting Date",J$9,"4 Entry Type",$C$4,"2 Item No.","@@"&amp;$F1314)</t>
  </si>
  <si>
    <t>=-NL("Sum","32 Item Ledger Entry","12 Quantity","5 Source no.",$C1315,"3 Posting Date",J$9,"4 Entry Type",$C$4,"2 Item No.","@@"&amp;$F1315)</t>
  </si>
  <si>
    <t>=-NL("Sum","32 Item Ledger Entry","12 Quantity","5 Source no.",$C1316,"3 Posting Date",J$9,"4 Entry Type",$C$4,"2 Item No.","@@"&amp;$F1316)</t>
  </si>
  <si>
    <t>=-NL("Sum","32 Item Ledger Entry","12 Quantity","5 Source no.",$C1317,"3 Posting Date",J$9,"4 Entry Type",$C$4,"2 Item No.","@@"&amp;$F1317)</t>
  </si>
  <si>
    <t>=-NL("Sum","32 Item Ledger Entry","12 Quantity","5 Source no.",$C1318,"3 Posting Date",J$9,"4 Entry Type",$C$4,"2 Item No.","@@"&amp;$F1318)</t>
  </si>
  <si>
    <t>=-NL("Sum","32 Item Ledger Entry","12 Quantity","5 Source no.",$C1319,"3 Posting Date",J$9,"4 Entry Type",$C$4,"2 Item No.","@@"&amp;$F1319)</t>
  </si>
  <si>
    <t>=-NL("Sum","32 Item Ledger Entry","12 Quantity","5 Source no.",$C1320,"3 Posting Date",J$9,"4 Entry Type",$C$4,"2 Item No.","@@"&amp;$F1320)</t>
  </si>
  <si>
    <t>=-NL("Sum","32 Item Ledger Entry","12 Quantity","5 Source no.",$C1321,"3 Posting Date",J$9,"4 Entry Type",$C$4,"2 Item No.","@@"&amp;$F1321)</t>
  </si>
  <si>
    <t>=-NL("Sum","32 Item Ledger Entry","12 Quantity","5 Source no.",$C1322,"3 Posting Date",J$9,"4 Entry Type",$C$4,"2 Item No.","@@"&amp;$F1322)</t>
  </si>
  <si>
    <t>=-NL("Sum","32 Item Ledger Entry","12 Quantity","5 Source no.",$C1323,"3 Posting Date",J$9,"4 Entry Type",$C$4,"2 Item No.","@@"&amp;$F1323)</t>
  </si>
  <si>
    <t>=-NL("Sum","32 Item Ledger Entry","12 Quantity","5 Source no.",$C1324,"3 Posting Date",J$9,"4 Entry Type",$C$4,"2 Item No.","@@"&amp;$F1324)</t>
  </si>
  <si>
    <t>=-NL("Sum","32 Item Ledger Entry","12 Quantity","5 Source no.",$C1325,"3 Posting Date",J$9,"4 Entry Type",$C$4,"2 Item No.","@@"&amp;$F1325)</t>
  </si>
  <si>
    <t>=-NL("Sum","32 Item Ledger Entry","12 Quantity","5 Source no.",$C1326,"3 Posting Date",J$9,"4 Entry Type",$C$4,"2 Item No.","@@"&amp;$F1326)</t>
  </si>
  <si>
    <t>=-NL("Sum","32 Item Ledger Entry","12 Quantity","5 Source no.",$C1327,"3 Posting Date",J$9,"4 Entry Type",$C$4,"2 Item No.","@@"&amp;$F1327)</t>
  </si>
  <si>
    <t>=-NL("Sum","32 Item Ledger Entry","12 Quantity","5 Source no.",$C1328,"3 Posting Date",J$9,"4 Entry Type",$C$4,"2 Item No.","@@"&amp;$F1328)</t>
  </si>
  <si>
    <t>=-NL("Sum","32 Item Ledger Entry","12 Quantity","5 Source no.",$C1329,"3 Posting Date",J$9,"4 Entry Type",$C$4,"2 Item No.","@@"&amp;$F1329)</t>
  </si>
  <si>
    <t>=-NL("Sum","32 Item Ledger Entry","12 Quantity","5 Source no.",$C1330,"3 Posting Date",J$9,"4 Entry Type",$C$4,"2 Item No.","@@"&amp;$F1330)</t>
  </si>
  <si>
    <t>=-NL("Sum","32 Item Ledger Entry","12 Quantity","5 Source no.",$C1331,"3 Posting Date",J$9,"4 Entry Type",$C$4,"2 Item No.","@@"&amp;$F1331)</t>
  </si>
  <si>
    <t>=-NL("Sum","32 Item Ledger Entry","12 Quantity","5 Source no.",$C1332,"3 Posting Date",J$9,"4 Entry Type",$C$4,"2 Item No.","@@"&amp;$F1332)</t>
  </si>
  <si>
    <t>=-NL("Sum","32 Item Ledger Entry","12 Quantity","5 Source no.",$C1333,"3 Posting Date",J$9,"4 Entry Type",$C$4,"2 Item No.","@@"&amp;$F1333)</t>
  </si>
  <si>
    <t>=-NL("Sum","32 Item Ledger Entry","12 Quantity","5 Source no.",$C1334,"3 Posting Date",J$9,"4 Entry Type",$C$4,"2 Item No.","@@"&amp;$F1334)</t>
  </si>
  <si>
    <t>=-NL("Sum","32 Item Ledger Entry","12 Quantity","5 Source no.",$C1335,"3 Posting Date",J$9,"4 Entry Type",$C$4,"2 Item No.","@@"&amp;$F1335)</t>
  </si>
  <si>
    <t>=-NL("Sum","32 Item Ledger Entry","12 Quantity","5 Source no.",$C1336,"3 Posting Date",J$9,"4 Entry Type",$C$4,"2 Item No.","@@"&amp;$F1336)</t>
  </si>
  <si>
    <t>=-NL("Sum","32 Item Ledger Entry","12 Quantity","5 Source no.",$C1337,"3 Posting Date",J$9,"4 Entry Type",$C$4,"2 Item No.","@@"&amp;$F1337)</t>
  </si>
  <si>
    <t>=-NL("Sum","32 Item Ledger Entry","12 Quantity","5 Source no.",$C1338,"3 Posting Date",J$9,"4 Entry Type",$C$4,"2 Item No.","@@"&amp;$F1338)</t>
  </si>
  <si>
    <t>=-NL("Sum","32 Item Ledger Entry","12 Quantity","5 Source no.",$C1339,"3 Posting Date",J$9,"4 Entry Type",$C$4,"2 Item No.","@@"&amp;$F1339)</t>
  </si>
  <si>
    <t>=-NL("Sum","32 Item Ledger Entry","12 Quantity","5 Source no.",$C1340,"3 Posting Date",J$9,"4 Entry Type",$C$4,"2 Item No.","@@"&amp;$F1340)</t>
  </si>
  <si>
    <t>=-NL("Sum","32 Item Ledger Entry","12 Quantity","5 Source no.",$C1341,"3 Posting Date",J$9,"4 Entry Type",$C$4,"2 Item No.","@@"&amp;$F1341)</t>
  </si>
  <si>
    <t>=-NL("Sum","32 Item Ledger Entry","12 Quantity","5 Source no.",$C1342,"3 Posting Date",J$9,"4 Entry Type",$C$4,"2 Item No.","@@"&amp;$F1342)</t>
  </si>
  <si>
    <t>=-NL("Sum","32 Item Ledger Entry","12 Quantity","5 Source no.",$C1300,"3 Posting Date",O$9,"4 Entry Type",$C$4,"2 Item No.","@@"&amp;$F1300)</t>
  </si>
  <si>
    <t>=-NL("Sum","32 Item Ledger Entry","12 Quantity","5 Source no.",$C1301,"3 Posting Date",O$9,"4 Entry Type",$C$4,"2 Item No.","@@"&amp;$F1301)</t>
  </si>
  <si>
    <t>=-NL("Sum","32 Item Ledger Entry","12 Quantity","5 Source no.",$C1302,"3 Posting Date",O$9,"4 Entry Type",$C$4,"2 Item No.","@@"&amp;$F1302)</t>
  </si>
  <si>
    <t>=-NL("Sum","32 Item Ledger Entry","12 Quantity","5 Source no.",$C1303,"3 Posting Date",O$9,"4 Entry Type",$C$4,"2 Item No.","@@"&amp;$F1303)</t>
  </si>
  <si>
    <t>=-NL("Sum","32 Item Ledger Entry","12 Quantity","5 Source no.",$C1304,"3 Posting Date",O$9,"4 Entry Type",$C$4,"2 Item No.","@@"&amp;$F1304)</t>
  </si>
  <si>
    <t>=-NL("Sum","32 Item Ledger Entry","12 Quantity","5 Source no.",$C1305,"3 Posting Date",O$9,"4 Entry Type",$C$4,"2 Item No.","@@"&amp;$F1305)</t>
  </si>
  <si>
    <t>=-NL("Sum","32 Item Ledger Entry","12 Quantity","5 Source no.",$C1306,"3 Posting Date",O$9,"4 Entry Type",$C$4,"2 Item No.","@@"&amp;$F1306)</t>
  </si>
  <si>
    <t>=-NL("Sum","32 Item Ledger Entry","12 Quantity","5 Source no.",$C1307,"3 Posting Date",O$9,"4 Entry Type",$C$4,"2 Item No.","@@"&amp;$F1307)</t>
  </si>
  <si>
    <t>=-NL("Sum","32 Item Ledger Entry","12 Quantity","5 Source no.",$C1308,"3 Posting Date",O$9,"4 Entry Type",$C$4,"2 Item No.","@@"&amp;$F1308)</t>
  </si>
  <si>
    <t>=-NL("Sum","32 Item Ledger Entry","12 Quantity","5 Source no.",$C1309,"3 Posting Date",O$9,"4 Entry Type",$C$4,"2 Item No.","@@"&amp;$F1309)</t>
  </si>
  <si>
    <t>=-NL("Sum","32 Item Ledger Entry","12 Quantity","5 Source no.",$C1310,"3 Posting Date",O$9,"4 Entry Type",$C$4,"2 Item No.","@@"&amp;$F1310)</t>
  </si>
  <si>
    <t>=-NL("Sum","32 Item Ledger Entry","12 Quantity","5 Source no.",$C1311,"3 Posting Date",O$9,"4 Entry Type",$C$4,"2 Item No.","@@"&amp;$F1311)</t>
  </si>
  <si>
    <t>=-NL("Sum","32 Item Ledger Entry","12 Quantity","5 Source no.",$C1312,"3 Posting Date",O$9,"4 Entry Type",$C$4,"2 Item No.","@@"&amp;$F1312)</t>
  </si>
  <si>
    <t>=-NL("Sum","32 Item Ledger Entry","12 Quantity","5 Source no.",$C1313,"3 Posting Date",O$9,"4 Entry Type",$C$4,"2 Item No.","@@"&amp;$F1313)</t>
  </si>
  <si>
    <t>=-NL("Sum","32 Item Ledger Entry","12 Quantity","5 Source no.",$C1314,"3 Posting Date",O$9,"4 Entry Type",$C$4,"2 Item No.","@@"&amp;$F1314)</t>
  </si>
  <si>
    <t>=-NL("Sum","32 Item Ledger Entry","12 Quantity","5 Source no.",$C1315,"3 Posting Date",O$9,"4 Entry Type",$C$4,"2 Item No.","@@"&amp;$F1315)</t>
  </si>
  <si>
    <t>=-NL("Sum","32 Item Ledger Entry","12 Quantity","5 Source no.",$C1316,"3 Posting Date",O$9,"4 Entry Type",$C$4,"2 Item No.","@@"&amp;$F1316)</t>
  </si>
  <si>
    <t>=-NL("Sum","32 Item Ledger Entry","12 Quantity","5 Source no.",$C1317,"3 Posting Date",O$9,"4 Entry Type",$C$4,"2 Item No.","@@"&amp;$F1317)</t>
  </si>
  <si>
    <t>=-NL("Sum","32 Item Ledger Entry","12 Quantity","5 Source no.",$C1318,"3 Posting Date",O$9,"4 Entry Type",$C$4,"2 Item No.","@@"&amp;$F1318)</t>
  </si>
  <si>
    <t>=-NL("Sum","32 Item Ledger Entry","12 Quantity","5 Source no.",$C1319,"3 Posting Date",O$9,"4 Entry Type",$C$4,"2 Item No.","@@"&amp;$F1319)</t>
  </si>
  <si>
    <t>=-NL("Sum","32 Item Ledger Entry","12 Quantity","5 Source no.",$C1320,"3 Posting Date",O$9,"4 Entry Type",$C$4,"2 Item No.","@@"&amp;$F1320)</t>
  </si>
  <si>
    <t>=-NL("Sum","32 Item Ledger Entry","12 Quantity","5 Source no.",$C1321,"3 Posting Date",O$9,"4 Entry Type",$C$4,"2 Item No.","@@"&amp;$F1321)</t>
  </si>
  <si>
    <t>=-NL("Sum","32 Item Ledger Entry","12 Quantity","5 Source no.",$C1322,"3 Posting Date",O$9,"4 Entry Type",$C$4,"2 Item No.","@@"&amp;$F1322)</t>
  </si>
  <si>
    <t>=-NL("Sum","32 Item Ledger Entry","12 Quantity","5 Source no.",$C1323,"3 Posting Date",O$9,"4 Entry Type",$C$4,"2 Item No.","@@"&amp;$F1323)</t>
  </si>
  <si>
    <t>=-NL("Sum","32 Item Ledger Entry","12 Quantity","5 Source no.",$C1324,"3 Posting Date",O$9,"4 Entry Type",$C$4,"2 Item No.","@@"&amp;$F1324)</t>
  </si>
  <si>
    <t>=-NL("Sum","32 Item Ledger Entry","12 Quantity","5 Source no.",$C1325,"3 Posting Date",O$9,"4 Entry Type",$C$4,"2 Item No.","@@"&amp;$F1325)</t>
  </si>
  <si>
    <t>=-NL("Sum","32 Item Ledger Entry","12 Quantity","5 Source no.",$C1326,"3 Posting Date",O$9,"4 Entry Type",$C$4,"2 Item No.","@@"&amp;$F1326)</t>
  </si>
  <si>
    <t>=-NL("Sum","32 Item Ledger Entry","12 Quantity","5 Source no.",$C1327,"3 Posting Date",O$9,"4 Entry Type",$C$4,"2 Item No.","@@"&amp;$F1327)</t>
  </si>
  <si>
    <t>=-NL("Sum","32 Item Ledger Entry","12 Quantity","5 Source no.",$C1328,"3 Posting Date",O$9,"4 Entry Type",$C$4,"2 Item No.","@@"&amp;$F1328)</t>
  </si>
  <si>
    <t>=-NL("Sum","32 Item Ledger Entry","12 Quantity","5 Source no.",$C1329,"3 Posting Date",O$9,"4 Entry Type",$C$4,"2 Item No.","@@"&amp;$F1329)</t>
  </si>
  <si>
    <t>=-NL("Sum","32 Item Ledger Entry","12 Quantity","5 Source no.",$C1330,"3 Posting Date",O$9,"4 Entry Type",$C$4,"2 Item No.","@@"&amp;$F1330)</t>
  </si>
  <si>
    <t>=-NL("Sum","32 Item Ledger Entry","12 Quantity","5 Source no.",$C1331,"3 Posting Date",O$9,"4 Entry Type",$C$4,"2 Item No.","@@"&amp;$F1331)</t>
  </si>
  <si>
    <t>=-NL("Sum","32 Item Ledger Entry","12 Quantity","5 Source no.",$C1332,"3 Posting Date",O$9,"4 Entry Type",$C$4,"2 Item No.","@@"&amp;$F1332)</t>
  </si>
  <si>
    <t>=-NL("Sum","32 Item Ledger Entry","12 Quantity","5 Source no.",$C1333,"3 Posting Date",O$9,"4 Entry Type",$C$4,"2 Item No.","@@"&amp;$F1333)</t>
  </si>
  <si>
    <t>=-NL("Sum","32 Item Ledger Entry","12 Quantity","5 Source no.",$C1334,"3 Posting Date",O$9,"4 Entry Type",$C$4,"2 Item No.","@@"&amp;$F1334)</t>
  </si>
  <si>
    <t>=-NL("Sum","32 Item Ledger Entry","12 Quantity","5 Source no.",$C1335,"3 Posting Date",O$9,"4 Entry Type",$C$4,"2 Item No.","@@"&amp;$F1335)</t>
  </si>
  <si>
    <t>=-NL("Sum","32 Item Ledger Entry","12 Quantity","5 Source no.",$C1336,"3 Posting Date",O$9,"4 Entry Type",$C$4,"2 Item No.","@@"&amp;$F1336)</t>
  </si>
  <si>
    <t>=-NL("Sum","32 Item Ledger Entry","12 Quantity","5 Source no.",$C1337,"3 Posting Date",O$9,"4 Entry Type",$C$4,"2 Item No.","@@"&amp;$F1337)</t>
  </si>
  <si>
    <t>=-NL("Sum","32 Item Ledger Entry","12 Quantity","5 Source no.",$C1338,"3 Posting Date",O$9,"4 Entry Type",$C$4,"2 Item No.","@@"&amp;$F1338)</t>
  </si>
  <si>
    <t>=-NL("Sum","32 Item Ledger Entry","12 Quantity","5 Source no.",$C1339,"3 Posting Date",O$9,"4 Entry Type",$C$4,"2 Item No.","@@"&amp;$F1339)</t>
  </si>
  <si>
    <t>=-NL("Sum","32 Item Ledger Entry","12 Quantity","5 Source no.",$C1340,"3 Posting Date",O$9,"4 Entry Type",$C$4,"2 Item No.","@@"&amp;$F1340)</t>
  </si>
  <si>
    <t>=-NL("Sum","32 Item Ledger Entry","12 Quantity","5 Source no.",$C1341,"3 Posting Date",O$9,"4 Entry Type",$C$4,"2 Item No.","@@"&amp;$F1341)</t>
  </si>
  <si>
    <t>=-NL("Sum","32 Item Ledger Entry","12 Quantity","5 Source no.",$C1342,"3 Posting Date",O$9,"4 Entry Type",$C$4,"2 Item No.","@@"&amp;$F1342)</t>
  </si>
  <si>
    <t>=-NL("Sum","32 Item Ledger Entry","12 Quantity","5 Source no.",$C1300,"3 Posting Date",U$9,"4 Entry Type",$C$4,"2 Item No.","@@"&amp;$F1300)</t>
  </si>
  <si>
    <t>=-NL("Sum","32 Item Ledger Entry","12 Quantity","5 Source no.",$C1301,"3 Posting Date",U$9,"4 Entry Type",$C$4,"2 Item No.","@@"&amp;$F1301)</t>
  </si>
  <si>
    <t>=-NL("Sum","32 Item Ledger Entry","12 Quantity","5 Source no.",$C1302,"3 Posting Date",U$9,"4 Entry Type",$C$4,"2 Item No.","@@"&amp;$F1302)</t>
  </si>
  <si>
    <t>=-NL("Sum","32 Item Ledger Entry","12 Quantity","5 Source no.",$C1303,"3 Posting Date",U$9,"4 Entry Type",$C$4,"2 Item No.","@@"&amp;$F1303)</t>
  </si>
  <si>
    <t>=-NL("Sum","32 Item Ledger Entry","12 Quantity","5 Source no.",$C1304,"3 Posting Date",U$9,"4 Entry Type",$C$4,"2 Item No.","@@"&amp;$F1304)</t>
  </si>
  <si>
    <t>=-NL("Sum","32 Item Ledger Entry","12 Quantity","5 Source no.",$C1305,"3 Posting Date",U$9,"4 Entry Type",$C$4,"2 Item No.","@@"&amp;$F1305)</t>
  </si>
  <si>
    <t>=-NL("Sum","32 Item Ledger Entry","12 Quantity","5 Source no.",$C1306,"3 Posting Date",U$9,"4 Entry Type",$C$4,"2 Item No.","@@"&amp;$F1306)</t>
  </si>
  <si>
    <t>=-NL("Sum","32 Item Ledger Entry","12 Quantity","5 Source no.",$C1307,"3 Posting Date",U$9,"4 Entry Type",$C$4,"2 Item No.","@@"&amp;$F1307)</t>
  </si>
  <si>
    <t>=-NL("Sum","32 Item Ledger Entry","12 Quantity","5 Source no.",$C1308,"3 Posting Date",U$9,"4 Entry Type",$C$4,"2 Item No.","@@"&amp;$F1308)</t>
  </si>
  <si>
    <t>=-NL("Sum","32 Item Ledger Entry","12 Quantity","5 Source no.",$C1309,"3 Posting Date",U$9,"4 Entry Type",$C$4,"2 Item No.","@@"&amp;$F1309)</t>
  </si>
  <si>
    <t>=-NL("Sum","32 Item Ledger Entry","12 Quantity","5 Source no.",$C1310,"3 Posting Date",U$9,"4 Entry Type",$C$4,"2 Item No.","@@"&amp;$F1310)</t>
  </si>
  <si>
    <t>=-NL("Sum","32 Item Ledger Entry","12 Quantity","5 Source no.",$C1311,"3 Posting Date",U$9,"4 Entry Type",$C$4,"2 Item No.","@@"&amp;$F1311)</t>
  </si>
  <si>
    <t>=-NL("Sum","32 Item Ledger Entry","12 Quantity","5 Source no.",$C1312,"3 Posting Date",U$9,"4 Entry Type",$C$4,"2 Item No.","@@"&amp;$F1312)</t>
  </si>
  <si>
    <t>=-NL("Sum","32 Item Ledger Entry","12 Quantity","5 Source no.",$C1313,"3 Posting Date",U$9,"4 Entry Type",$C$4,"2 Item No.","@@"&amp;$F1313)</t>
  </si>
  <si>
    <t>=-NL("Sum","32 Item Ledger Entry","12 Quantity","5 Source no.",$C1314,"3 Posting Date",U$9,"4 Entry Type",$C$4,"2 Item No.","@@"&amp;$F1314)</t>
  </si>
  <si>
    <t>=-NL("Sum","32 Item Ledger Entry","12 Quantity","5 Source no.",$C1315,"3 Posting Date",U$9,"4 Entry Type",$C$4,"2 Item No.","@@"&amp;$F1315)</t>
  </si>
  <si>
    <t>=-NL("Sum","32 Item Ledger Entry","12 Quantity","5 Source no.",$C1316,"3 Posting Date",U$9,"4 Entry Type",$C$4,"2 Item No.","@@"&amp;$F1316)</t>
  </si>
  <si>
    <t>=-NL("Sum","32 Item Ledger Entry","12 Quantity","5 Source no.",$C1317,"3 Posting Date",U$9,"4 Entry Type",$C$4,"2 Item No.","@@"&amp;$F1317)</t>
  </si>
  <si>
    <t>=-NL("Sum","32 Item Ledger Entry","12 Quantity","5 Source no.",$C1318,"3 Posting Date",U$9,"4 Entry Type",$C$4,"2 Item No.","@@"&amp;$F1318)</t>
  </si>
  <si>
    <t>=-NL("Sum","32 Item Ledger Entry","12 Quantity","5 Source no.",$C1319,"3 Posting Date",U$9,"4 Entry Type",$C$4,"2 Item No.","@@"&amp;$F1319)</t>
  </si>
  <si>
    <t>=-NL("Sum","32 Item Ledger Entry","12 Quantity","5 Source no.",$C1320,"3 Posting Date",U$9,"4 Entry Type",$C$4,"2 Item No.","@@"&amp;$F1320)</t>
  </si>
  <si>
    <t>=-NL("Sum","32 Item Ledger Entry","12 Quantity","5 Source no.",$C1321,"3 Posting Date",U$9,"4 Entry Type",$C$4,"2 Item No.","@@"&amp;$F1321)</t>
  </si>
  <si>
    <t>=-NL("Sum","32 Item Ledger Entry","12 Quantity","5 Source no.",$C1322,"3 Posting Date",U$9,"4 Entry Type",$C$4,"2 Item No.","@@"&amp;$F1322)</t>
  </si>
  <si>
    <t>=-NL("Sum","32 Item Ledger Entry","12 Quantity","5 Source no.",$C1323,"3 Posting Date",U$9,"4 Entry Type",$C$4,"2 Item No.","@@"&amp;$F1323)</t>
  </si>
  <si>
    <t>=-NL("Sum","32 Item Ledger Entry","12 Quantity","5 Source no.",$C1324,"3 Posting Date",U$9,"4 Entry Type",$C$4,"2 Item No.","@@"&amp;$F1324)</t>
  </si>
  <si>
    <t>=-NL("Sum","32 Item Ledger Entry","12 Quantity","5 Source no.",$C1325,"3 Posting Date",U$9,"4 Entry Type",$C$4,"2 Item No.","@@"&amp;$F1325)</t>
  </si>
  <si>
    <t>=-NL("Sum","32 Item Ledger Entry","12 Quantity","5 Source no.",$C1326,"3 Posting Date",U$9,"4 Entry Type",$C$4,"2 Item No.","@@"&amp;$F1326)</t>
  </si>
  <si>
    <t>=-NL("Sum","32 Item Ledger Entry","12 Quantity","5 Source no.",$C1327,"3 Posting Date",U$9,"4 Entry Type",$C$4,"2 Item No.","@@"&amp;$F1327)</t>
  </si>
  <si>
    <t>=-NL("Sum","32 Item Ledger Entry","12 Quantity","5 Source no.",$C1328,"3 Posting Date",U$9,"4 Entry Type",$C$4,"2 Item No.","@@"&amp;$F1328)</t>
  </si>
  <si>
    <t>=-NL("Sum","32 Item Ledger Entry","12 Quantity","5 Source no.",$C1329,"3 Posting Date",U$9,"4 Entry Type",$C$4,"2 Item No.","@@"&amp;$F1329)</t>
  </si>
  <si>
    <t>=-NL("Sum","32 Item Ledger Entry","12 Quantity","5 Source no.",$C1330,"3 Posting Date",U$9,"4 Entry Type",$C$4,"2 Item No.","@@"&amp;$F1330)</t>
  </si>
  <si>
    <t>=-NL("Sum","32 Item Ledger Entry","12 Quantity","5 Source no.",$C1331,"3 Posting Date",U$9,"4 Entry Type",$C$4,"2 Item No.","@@"&amp;$F1331)</t>
  </si>
  <si>
    <t>=-NL("Sum","32 Item Ledger Entry","12 Quantity","5 Source no.",$C1332,"3 Posting Date",U$9,"4 Entry Type",$C$4,"2 Item No.","@@"&amp;$F1332)</t>
  </si>
  <si>
    <t>=-NL("Sum","32 Item Ledger Entry","12 Quantity","5 Source no.",$C1333,"3 Posting Date",U$9,"4 Entry Type",$C$4,"2 Item No.","@@"&amp;$F1333)</t>
  </si>
  <si>
    <t>=-NL("Sum","32 Item Ledger Entry","12 Quantity","5 Source no.",$C1334,"3 Posting Date",U$9,"4 Entry Type",$C$4,"2 Item No.","@@"&amp;$F1334)</t>
  </si>
  <si>
    <t>=-NL("Sum","32 Item Ledger Entry","12 Quantity","5 Source no.",$C1335,"3 Posting Date",U$9,"4 Entry Type",$C$4,"2 Item No.","@@"&amp;$F1335)</t>
  </si>
  <si>
    <t>=-NL("Sum","32 Item Ledger Entry","12 Quantity","5 Source no.",$C1336,"3 Posting Date",U$9,"4 Entry Type",$C$4,"2 Item No.","@@"&amp;$F1336)</t>
  </si>
  <si>
    <t>=-NL("Sum","32 Item Ledger Entry","12 Quantity","5 Source no.",$C1337,"3 Posting Date",U$9,"4 Entry Type",$C$4,"2 Item No.","@@"&amp;$F1337)</t>
  </si>
  <si>
    <t>=-NL("Sum","32 Item Ledger Entry","12 Quantity","5 Source no.",$C1338,"3 Posting Date",U$9,"4 Entry Type",$C$4,"2 Item No.","@@"&amp;$F1338)</t>
  </si>
  <si>
    <t>=-NL("Sum","32 Item Ledger Entry","12 Quantity","5 Source no.",$C1339,"3 Posting Date",U$9,"4 Entry Type",$C$4,"2 Item No.","@@"&amp;$F1339)</t>
  </si>
  <si>
    <t>=-NL("Sum","32 Item Ledger Entry","12 Quantity","5 Source no.",$C1340,"3 Posting Date",U$9,"4 Entry Type",$C$4,"2 Item No.","@@"&amp;$F1340)</t>
  </si>
  <si>
    <t>=-NL("Sum","32 Item Ledger Entry","12 Quantity","5 Source no.",$C1341,"3 Posting Date",U$9,"4 Entry Type",$C$4,"2 Item No.","@@"&amp;$F1341)</t>
  </si>
  <si>
    <t>=-NL("Sum","32 Item Ledger Entry","12 Quantity","5 Source no.",$C1342,"3 Posting Date",U$9,"4 Entry Type",$C$4,"2 Item No.","@@"&amp;$F1342)</t>
  </si>
  <si>
    <t>=-NL("Sum","32 Item Ledger Entry","12 Quantity","5 Source no.",$C1300,"3 Posting Date",Z$9,"4 Entry Type",$C$4,"2 Item No.","@@"&amp;$F1300)</t>
  </si>
  <si>
    <t>=-NL("Sum","32 Item Ledger Entry","12 Quantity","5 Source no.",$C1301,"3 Posting Date",Z$9,"4 Entry Type",$C$4,"2 Item No.","@@"&amp;$F1301)</t>
  </si>
  <si>
    <t>=-NL("Sum","32 Item Ledger Entry","12 Quantity","5 Source no.",$C1302,"3 Posting Date",Z$9,"4 Entry Type",$C$4,"2 Item No.","@@"&amp;$F1302)</t>
  </si>
  <si>
    <t>=-NL("Sum","32 Item Ledger Entry","12 Quantity","5 Source no.",$C1303,"3 Posting Date",Z$9,"4 Entry Type",$C$4,"2 Item No.","@@"&amp;$F1303)</t>
  </si>
  <si>
    <t>=-NL("Sum","32 Item Ledger Entry","12 Quantity","5 Source no.",$C1304,"3 Posting Date",Z$9,"4 Entry Type",$C$4,"2 Item No.","@@"&amp;$F1304)</t>
  </si>
  <si>
    <t>=-NL("Sum","32 Item Ledger Entry","12 Quantity","5 Source no.",$C1305,"3 Posting Date",Z$9,"4 Entry Type",$C$4,"2 Item No.","@@"&amp;$F1305)</t>
  </si>
  <si>
    <t>=-NL("Sum","32 Item Ledger Entry","12 Quantity","5 Source no.",$C1306,"3 Posting Date",Z$9,"4 Entry Type",$C$4,"2 Item No.","@@"&amp;$F1306)</t>
  </si>
  <si>
    <t>=-NL("Sum","32 Item Ledger Entry","12 Quantity","5 Source no.",$C1307,"3 Posting Date",Z$9,"4 Entry Type",$C$4,"2 Item No.","@@"&amp;$F1307)</t>
  </si>
  <si>
    <t>=-NL("Sum","32 Item Ledger Entry","12 Quantity","5 Source no.",$C1308,"3 Posting Date",Z$9,"4 Entry Type",$C$4,"2 Item No.","@@"&amp;$F1308)</t>
  </si>
  <si>
    <t>=-NL("Sum","32 Item Ledger Entry","12 Quantity","5 Source no.",$C1309,"3 Posting Date",Z$9,"4 Entry Type",$C$4,"2 Item No.","@@"&amp;$F1309)</t>
  </si>
  <si>
    <t>=-NL("Sum","32 Item Ledger Entry","12 Quantity","5 Source no.",$C1310,"3 Posting Date",Z$9,"4 Entry Type",$C$4,"2 Item No.","@@"&amp;$F1310)</t>
  </si>
  <si>
    <t>=-NL("Sum","32 Item Ledger Entry","12 Quantity","5 Source no.",$C1311,"3 Posting Date",Z$9,"4 Entry Type",$C$4,"2 Item No.","@@"&amp;$F1311)</t>
  </si>
  <si>
    <t>=-NL("Sum","32 Item Ledger Entry","12 Quantity","5 Source no.",$C1312,"3 Posting Date",Z$9,"4 Entry Type",$C$4,"2 Item No.","@@"&amp;$F1312)</t>
  </si>
  <si>
    <t>=-NL("Sum","32 Item Ledger Entry","12 Quantity","5 Source no.",$C1313,"3 Posting Date",Z$9,"4 Entry Type",$C$4,"2 Item No.","@@"&amp;$F1313)</t>
  </si>
  <si>
    <t>=-NL("Sum","32 Item Ledger Entry","12 Quantity","5 Source no.",$C1314,"3 Posting Date",Z$9,"4 Entry Type",$C$4,"2 Item No.","@@"&amp;$F1314)</t>
  </si>
  <si>
    <t>=-NL("Sum","32 Item Ledger Entry","12 Quantity","5 Source no.",$C1315,"3 Posting Date",Z$9,"4 Entry Type",$C$4,"2 Item No.","@@"&amp;$F1315)</t>
  </si>
  <si>
    <t>=-NL("Sum","32 Item Ledger Entry","12 Quantity","5 Source no.",$C1316,"3 Posting Date",Z$9,"4 Entry Type",$C$4,"2 Item No.","@@"&amp;$F1316)</t>
  </si>
  <si>
    <t>=-NL("Sum","32 Item Ledger Entry","12 Quantity","5 Source no.",$C1317,"3 Posting Date",Z$9,"4 Entry Type",$C$4,"2 Item No.","@@"&amp;$F1317)</t>
  </si>
  <si>
    <t>=-NL("Sum","32 Item Ledger Entry","12 Quantity","5 Source no.",$C1318,"3 Posting Date",Z$9,"4 Entry Type",$C$4,"2 Item No.","@@"&amp;$F1318)</t>
  </si>
  <si>
    <t>=-NL("Sum","32 Item Ledger Entry","12 Quantity","5 Source no.",$C1319,"3 Posting Date",Z$9,"4 Entry Type",$C$4,"2 Item No.","@@"&amp;$F1319)</t>
  </si>
  <si>
    <t>=-NL("Sum","32 Item Ledger Entry","12 Quantity","5 Source no.",$C1320,"3 Posting Date",Z$9,"4 Entry Type",$C$4,"2 Item No.","@@"&amp;$F1320)</t>
  </si>
  <si>
    <t>=-NL("Sum","32 Item Ledger Entry","12 Quantity","5 Source no.",$C1321,"3 Posting Date",Z$9,"4 Entry Type",$C$4,"2 Item No.","@@"&amp;$F1321)</t>
  </si>
  <si>
    <t>=-NL("Sum","32 Item Ledger Entry","12 Quantity","5 Source no.",$C1322,"3 Posting Date",Z$9,"4 Entry Type",$C$4,"2 Item No.","@@"&amp;$F1322)</t>
  </si>
  <si>
    <t>=-NL("Sum","32 Item Ledger Entry","12 Quantity","5 Source no.",$C1323,"3 Posting Date",Z$9,"4 Entry Type",$C$4,"2 Item No.","@@"&amp;$F1323)</t>
  </si>
  <si>
    <t>=-NL("Sum","32 Item Ledger Entry","12 Quantity","5 Source no.",$C1324,"3 Posting Date",Z$9,"4 Entry Type",$C$4,"2 Item No.","@@"&amp;$F1324)</t>
  </si>
  <si>
    <t>=-NL("Sum","32 Item Ledger Entry","12 Quantity","5 Source no.",$C1325,"3 Posting Date",Z$9,"4 Entry Type",$C$4,"2 Item No.","@@"&amp;$F1325)</t>
  </si>
  <si>
    <t>=-NL("Sum","32 Item Ledger Entry","12 Quantity","5 Source no.",$C1326,"3 Posting Date",Z$9,"4 Entry Type",$C$4,"2 Item No.","@@"&amp;$F1326)</t>
  </si>
  <si>
    <t>=-NL("Sum","32 Item Ledger Entry","12 Quantity","5 Source no.",$C1327,"3 Posting Date",Z$9,"4 Entry Type",$C$4,"2 Item No.","@@"&amp;$F1327)</t>
  </si>
  <si>
    <t>=-NL("Sum","32 Item Ledger Entry","12 Quantity","5 Source no.",$C1328,"3 Posting Date",Z$9,"4 Entry Type",$C$4,"2 Item No.","@@"&amp;$F1328)</t>
  </si>
  <si>
    <t>=-NL("Sum","32 Item Ledger Entry","12 Quantity","5 Source no.",$C1329,"3 Posting Date",Z$9,"4 Entry Type",$C$4,"2 Item No.","@@"&amp;$F1329)</t>
  </si>
  <si>
    <t>=-NL("Sum","32 Item Ledger Entry","12 Quantity","5 Source no.",$C1330,"3 Posting Date",Z$9,"4 Entry Type",$C$4,"2 Item No.","@@"&amp;$F1330)</t>
  </si>
  <si>
    <t>=-NL("Sum","32 Item Ledger Entry","12 Quantity","5 Source no.",$C1331,"3 Posting Date",Z$9,"4 Entry Type",$C$4,"2 Item No.","@@"&amp;$F1331)</t>
  </si>
  <si>
    <t>=-NL("Sum","32 Item Ledger Entry","12 Quantity","5 Source no.",$C1332,"3 Posting Date",Z$9,"4 Entry Type",$C$4,"2 Item No.","@@"&amp;$F1332)</t>
  </si>
  <si>
    <t>=-NL("Sum","32 Item Ledger Entry","12 Quantity","5 Source no.",$C1333,"3 Posting Date",Z$9,"4 Entry Type",$C$4,"2 Item No.","@@"&amp;$F1333)</t>
  </si>
  <si>
    <t>=-NL("Sum","32 Item Ledger Entry","12 Quantity","5 Source no.",$C1334,"3 Posting Date",Z$9,"4 Entry Type",$C$4,"2 Item No.","@@"&amp;$F1334)</t>
  </si>
  <si>
    <t>=-NL("Sum","32 Item Ledger Entry","12 Quantity","5 Source no.",$C1335,"3 Posting Date",Z$9,"4 Entry Type",$C$4,"2 Item No.","@@"&amp;$F1335)</t>
  </si>
  <si>
    <t>=-NL("Sum","32 Item Ledger Entry","12 Quantity","5 Source no.",$C1336,"3 Posting Date",Z$9,"4 Entry Type",$C$4,"2 Item No.","@@"&amp;$F1336)</t>
  </si>
  <si>
    <t>=-NL("Sum","32 Item Ledger Entry","12 Quantity","5 Source no.",$C1337,"3 Posting Date",Z$9,"4 Entry Type",$C$4,"2 Item No.","@@"&amp;$F1337)</t>
  </si>
  <si>
    <t>=-NL("Sum","32 Item Ledger Entry","12 Quantity","5 Source no.",$C1338,"3 Posting Date",Z$9,"4 Entry Type",$C$4,"2 Item No.","@@"&amp;$F1338)</t>
  </si>
  <si>
    <t>=-NL("Sum","32 Item Ledger Entry","12 Quantity","5 Source no.",$C1339,"3 Posting Date",Z$9,"4 Entry Type",$C$4,"2 Item No.","@@"&amp;$F1339)</t>
  </si>
  <si>
    <t>=-NL("Sum","32 Item Ledger Entry","12 Quantity","5 Source no.",$C1340,"3 Posting Date",Z$9,"4 Entry Type",$C$4,"2 Item No.","@@"&amp;$F1340)</t>
  </si>
  <si>
    <t>=-NL("Sum","32 Item Ledger Entry","12 Quantity","5 Source no.",$C1341,"3 Posting Date",Z$9,"4 Entry Type",$C$4,"2 Item No.","@@"&amp;$F1341)</t>
  </si>
  <si>
    <t>=-NL("Sum","32 Item Ledger Entry","12 Quantity","5 Source no.",$C1342,"3 Posting Date",Z$9,"4 Entry Type",$C$4,"2 Item No.","@@"&amp;$F1342)</t>
  </si>
  <si>
    <t>=NL(,"27 Item","3 Description","1 No.","@@"&amp;F1266)</t>
  </si>
  <si>
    <t>=NL(,"27 Item","3 Description","1 No.","@@"&amp;F1267)</t>
  </si>
  <si>
    <t>=NL(,"27 Item","3 Description","1 No.","@@"&amp;F1268)</t>
  </si>
  <si>
    <t>=NL(,"27 Item","3 Description","1 No.","@@"&amp;F1269)</t>
  </si>
  <si>
    <t>=NL(,"27 Item","3 Description","1 No.","@@"&amp;F1270)</t>
  </si>
  <si>
    <t>=NL(,"27 Item","3 Description","1 No.","@@"&amp;F1271)</t>
  </si>
  <si>
    <t>=NL(,"27 Item","3 Description","1 No.","@@"&amp;F1272)</t>
  </si>
  <si>
    <t>=NL(,"27 Item","3 Description","1 No.","@@"&amp;F1273)</t>
  </si>
  <si>
    <t>=NL(,"27 Item","3 Description","1 No.","@@"&amp;F1274)</t>
  </si>
  <si>
    <t>=NL(,"27 Item","3 Description","1 No.","@@"&amp;F1275)</t>
  </si>
  <si>
    <t>=NL(,"27 Item","3 Description","1 No.","@@"&amp;F1276)</t>
  </si>
  <si>
    <t>=NL(,"27 Item","3 Description","1 No.","@@"&amp;F1277)</t>
  </si>
  <si>
    <t>=NL(,"27 Item","3 Description","1 No.","@@"&amp;F1278)</t>
  </si>
  <si>
    <t>=NL(,"27 Item","3 Description","1 No.","@@"&amp;F1279)</t>
  </si>
  <si>
    <t>=NL(,"27 Item","3 Description","1 No.","@@"&amp;F1280)</t>
  </si>
  <si>
    <t>=NL(,"27 Item","3 Description","1 No.","@@"&amp;F1281)</t>
  </si>
  <si>
    <t>=NL(,"27 Item","3 Description","1 No.","@@"&amp;F1282)</t>
  </si>
  <si>
    <t>=NL(,"27 Item","3 Description","1 No.","@@"&amp;F1283)</t>
  </si>
  <si>
    <t>=NL(,"27 Item","3 Description","1 No.","@@"&amp;F1284)</t>
  </si>
  <si>
    <t>=NL(,"27 Item","3 Description","1 No.","@@"&amp;F1285)</t>
  </si>
  <si>
    <t>=NL(,"27 Item","3 Description","1 No.","@@"&amp;F1286)</t>
  </si>
  <si>
    <t>=NL(,"27 Item","3 Description","1 No.","@@"&amp;F1287)</t>
  </si>
  <si>
    <t>=NL(,"27 Item","3 Description","1 No.","@@"&amp;F1288)</t>
  </si>
  <si>
    <t>=NL(,"27 Item","3 Description","1 No.","@@"&amp;F1289)</t>
  </si>
  <si>
    <t>=NL(,"27 Item","3 Description","1 No.","@@"&amp;F1290)</t>
  </si>
  <si>
    <t>=NL(,"27 Item","3 Description","1 No.","@@"&amp;F1291)</t>
  </si>
  <si>
    <t>=NL(,"27 Item","3 Description","1 No.","@@"&amp;F1292)</t>
  </si>
  <si>
    <t>=NL(,"27 Item","3 Description","1 No.","@@"&amp;F1293)</t>
  </si>
  <si>
    <t>=NL(,"27 Item","3 Description","1 No.","@@"&amp;F1294)</t>
  </si>
  <si>
    <t>=-NL("Sum","32 Item Ledger Entry","12 Quantity","5 Source no.",$C1266,"3 Posting Date",J$9,"4 Entry Type",$C$4,"2 Item No.","@@"&amp;$F1266)</t>
  </si>
  <si>
    <t>=-NL("Sum","32 Item Ledger Entry","12 Quantity","5 Source no.",$C1267,"3 Posting Date",J$9,"4 Entry Type",$C$4,"2 Item No.","@@"&amp;$F1267)</t>
  </si>
  <si>
    <t>=-NL("Sum","32 Item Ledger Entry","12 Quantity","5 Source no.",$C1268,"3 Posting Date",J$9,"4 Entry Type",$C$4,"2 Item No.","@@"&amp;$F1268)</t>
  </si>
  <si>
    <t>=-NL("Sum","32 Item Ledger Entry","12 Quantity","5 Source no.",$C1269,"3 Posting Date",J$9,"4 Entry Type",$C$4,"2 Item No.","@@"&amp;$F1269)</t>
  </si>
  <si>
    <t>=-NL("Sum","32 Item Ledger Entry","12 Quantity","5 Source no.",$C1270,"3 Posting Date",J$9,"4 Entry Type",$C$4,"2 Item No.","@@"&amp;$F1270)</t>
  </si>
  <si>
    <t>=-NL("Sum","32 Item Ledger Entry","12 Quantity","5 Source no.",$C1271,"3 Posting Date",J$9,"4 Entry Type",$C$4,"2 Item No.","@@"&amp;$F1271)</t>
  </si>
  <si>
    <t>=-NL("Sum","32 Item Ledger Entry","12 Quantity","5 Source no.",$C1272,"3 Posting Date",J$9,"4 Entry Type",$C$4,"2 Item No.","@@"&amp;$F1272)</t>
  </si>
  <si>
    <t>=-NL("Sum","32 Item Ledger Entry","12 Quantity","5 Source no.",$C1273,"3 Posting Date",J$9,"4 Entry Type",$C$4,"2 Item No.","@@"&amp;$F1273)</t>
  </si>
  <si>
    <t>=-NL("Sum","32 Item Ledger Entry","12 Quantity","5 Source no.",$C1274,"3 Posting Date",J$9,"4 Entry Type",$C$4,"2 Item No.","@@"&amp;$F1274)</t>
  </si>
  <si>
    <t>=-NL("Sum","32 Item Ledger Entry","12 Quantity","5 Source no.",$C1275,"3 Posting Date",J$9,"4 Entry Type",$C$4,"2 Item No.","@@"&amp;$F1275)</t>
  </si>
  <si>
    <t>=-NL("Sum","32 Item Ledger Entry","12 Quantity","5 Source no.",$C1276,"3 Posting Date",J$9,"4 Entry Type",$C$4,"2 Item No.","@@"&amp;$F1276)</t>
  </si>
  <si>
    <t>=-NL("Sum","32 Item Ledger Entry","12 Quantity","5 Source no.",$C1277,"3 Posting Date",J$9,"4 Entry Type",$C$4,"2 Item No.","@@"&amp;$F1277)</t>
  </si>
  <si>
    <t>=-NL("Sum","32 Item Ledger Entry","12 Quantity","5 Source no.",$C1278,"3 Posting Date",J$9,"4 Entry Type",$C$4,"2 Item No.","@@"&amp;$F1278)</t>
  </si>
  <si>
    <t>=-NL("Sum","32 Item Ledger Entry","12 Quantity","5 Source no.",$C1279,"3 Posting Date",J$9,"4 Entry Type",$C$4,"2 Item No.","@@"&amp;$F1279)</t>
  </si>
  <si>
    <t>=-NL("Sum","32 Item Ledger Entry","12 Quantity","5 Source no.",$C1280,"3 Posting Date",J$9,"4 Entry Type",$C$4,"2 Item No.","@@"&amp;$F1280)</t>
  </si>
  <si>
    <t>=-NL("Sum","32 Item Ledger Entry","12 Quantity","5 Source no.",$C1281,"3 Posting Date",J$9,"4 Entry Type",$C$4,"2 Item No.","@@"&amp;$F1281)</t>
  </si>
  <si>
    <t>=-NL("Sum","32 Item Ledger Entry","12 Quantity","5 Source no.",$C1282,"3 Posting Date",J$9,"4 Entry Type",$C$4,"2 Item No.","@@"&amp;$F1282)</t>
  </si>
  <si>
    <t>=-NL("Sum","32 Item Ledger Entry","12 Quantity","5 Source no.",$C1283,"3 Posting Date",J$9,"4 Entry Type",$C$4,"2 Item No.","@@"&amp;$F1283)</t>
  </si>
  <si>
    <t>=-NL("Sum","32 Item Ledger Entry","12 Quantity","5 Source no.",$C1284,"3 Posting Date",J$9,"4 Entry Type",$C$4,"2 Item No.","@@"&amp;$F1284)</t>
  </si>
  <si>
    <t>=-NL("Sum","32 Item Ledger Entry","12 Quantity","5 Source no.",$C1285,"3 Posting Date",J$9,"4 Entry Type",$C$4,"2 Item No.","@@"&amp;$F1285)</t>
  </si>
  <si>
    <t>=-NL("Sum","32 Item Ledger Entry","12 Quantity","5 Source no.",$C1286,"3 Posting Date",J$9,"4 Entry Type",$C$4,"2 Item No.","@@"&amp;$F1286)</t>
  </si>
  <si>
    <t>=-NL("Sum","32 Item Ledger Entry","12 Quantity","5 Source no.",$C1287,"3 Posting Date",J$9,"4 Entry Type",$C$4,"2 Item No.","@@"&amp;$F1287)</t>
  </si>
  <si>
    <t>=-NL("Sum","32 Item Ledger Entry","12 Quantity","5 Source no.",$C1288,"3 Posting Date",J$9,"4 Entry Type",$C$4,"2 Item No.","@@"&amp;$F1288)</t>
  </si>
  <si>
    <t>=-NL("Sum","32 Item Ledger Entry","12 Quantity","5 Source no.",$C1289,"3 Posting Date",J$9,"4 Entry Type",$C$4,"2 Item No.","@@"&amp;$F1289)</t>
  </si>
  <si>
    <t>=-NL("Sum","32 Item Ledger Entry","12 Quantity","5 Source no.",$C1290,"3 Posting Date",J$9,"4 Entry Type",$C$4,"2 Item No.","@@"&amp;$F1290)</t>
  </si>
  <si>
    <t>=-NL("Sum","32 Item Ledger Entry","12 Quantity","5 Source no.",$C1291,"3 Posting Date",J$9,"4 Entry Type",$C$4,"2 Item No.","@@"&amp;$F1291)</t>
  </si>
  <si>
    <t>=-NL("Sum","32 Item Ledger Entry","12 Quantity","5 Source no.",$C1292,"3 Posting Date",J$9,"4 Entry Type",$C$4,"2 Item No.","@@"&amp;$F1292)</t>
  </si>
  <si>
    <t>=-NL("Sum","32 Item Ledger Entry","12 Quantity","5 Source no.",$C1293,"3 Posting Date",J$9,"4 Entry Type",$C$4,"2 Item No.","@@"&amp;$F1293)</t>
  </si>
  <si>
    <t>=-NL("Sum","32 Item Ledger Entry","12 Quantity","5 Source no.",$C1294,"3 Posting Date",J$9,"4 Entry Type",$C$4,"2 Item No.","@@"&amp;$F1294)</t>
  </si>
  <si>
    <t>=-NL("Sum","32 Item Ledger Entry","12 Quantity","5 Source no.",$C1266,"3 Posting Date",O$9,"4 Entry Type",$C$4,"2 Item No.","@@"&amp;$F1266)</t>
  </si>
  <si>
    <t>=-NL("Sum","32 Item Ledger Entry","12 Quantity","5 Source no.",$C1267,"3 Posting Date",O$9,"4 Entry Type",$C$4,"2 Item No.","@@"&amp;$F1267)</t>
  </si>
  <si>
    <t>=-NL("Sum","32 Item Ledger Entry","12 Quantity","5 Source no.",$C1268,"3 Posting Date",O$9,"4 Entry Type",$C$4,"2 Item No.","@@"&amp;$F1268)</t>
  </si>
  <si>
    <t>=-NL("Sum","32 Item Ledger Entry","12 Quantity","5 Source no.",$C1269,"3 Posting Date",O$9,"4 Entry Type",$C$4,"2 Item No.","@@"&amp;$F1269)</t>
  </si>
  <si>
    <t>=-NL("Sum","32 Item Ledger Entry","12 Quantity","5 Source no.",$C1270,"3 Posting Date",O$9,"4 Entry Type",$C$4,"2 Item No.","@@"&amp;$F1270)</t>
  </si>
  <si>
    <t>=-NL("Sum","32 Item Ledger Entry","12 Quantity","5 Source no.",$C1271,"3 Posting Date",O$9,"4 Entry Type",$C$4,"2 Item No.","@@"&amp;$F1271)</t>
  </si>
  <si>
    <t>=-NL("Sum","32 Item Ledger Entry","12 Quantity","5 Source no.",$C1272,"3 Posting Date",O$9,"4 Entry Type",$C$4,"2 Item No.","@@"&amp;$F1272)</t>
  </si>
  <si>
    <t>=-NL("Sum","32 Item Ledger Entry","12 Quantity","5 Source no.",$C1273,"3 Posting Date",O$9,"4 Entry Type",$C$4,"2 Item No.","@@"&amp;$F1273)</t>
  </si>
  <si>
    <t>=-NL("Sum","32 Item Ledger Entry","12 Quantity","5 Source no.",$C1274,"3 Posting Date",O$9,"4 Entry Type",$C$4,"2 Item No.","@@"&amp;$F1274)</t>
  </si>
  <si>
    <t>=-NL("Sum","32 Item Ledger Entry","12 Quantity","5 Source no.",$C1275,"3 Posting Date",O$9,"4 Entry Type",$C$4,"2 Item No.","@@"&amp;$F1275)</t>
  </si>
  <si>
    <t>=-NL("Sum","32 Item Ledger Entry","12 Quantity","5 Source no.",$C1276,"3 Posting Date",O$9,"4 Entry Type",$C$4,"2 Item No.","@@"&amp;$F1276)</t>
  </si>
  <si>
    <t>=-NL("Sum","32 Item Ledger Entry","12 Quantity","5 Source no.",$C1277,"3 Posting Date",O$9,"4 Entry Type",$C$4,"2 Item No.","@@"&amp;$F1277)</t>
  </si>
  <si>
    <t>=-NL("Sum","32 Item Ledger Entry","12 Quantity","5 Source no.",$C1278,"3 Posting Date",O$9,"4 Entry Type",$C$4,"2 Item No.","@@"&amp;$F1278)</t>
  </si>
  <si>
    <t>=-NL("Sum","32 Item Ledger Entry","12 Quantity","5 Source no.",$C1279,"3 Posting Date",O$9,"4 Entry Type",$C$4,"2 Item No.","@@"&amp;$F1279)</t>
  </si>
  <si>
    <t>=-NL("Sum","32 Item Ledger Entry","12 Quantity","5 Source no.",$C1280,"3 Posting Date",O$9,"4 Entry Type",$C$4,"2 Item No.","@@"&amp;$F1280)</t>
  </si>
  <si>
    <t>=-NL("Sum","32 Item Ledger Entry","12 Quantity","5 Source no.",$C1281,"3 Posting Date",O$9,"4 Entry Type",$C$4,"2 Item No.","@@"&amp;$F1281)</t>
  </si>
  <si>
    <t>=-NL("Sum","32 Item Ledger Entry","12 Quantity","5 Source no.",$C1282,"3 Posting Date",O$9,"4 Entry Type",$C$4,"2 Item No.","@@"&amp;$F1282)</t>
  </si>
  <si>
    <t>=-NL("Sum","32 Item Ledger Entry","12 Quantity","5 Source no.",$C1283,"3 Posting Date",O$9,"4 Entry Type",$C$4,"2 Item No.","@@"&amp;$F1283)</t>
  </si>
  <si>
    <t>=-NL("Sum","32 Item Ledger Entry","12 Quantity","5 Source no.",$C1284,"3 Posting Date",O$9,"4 Entry Type",$C$4,"2 Item No.","@@"&amp;$F1284)</t>
  </si>
  <si>
    <t>=-NL("Sum","32 Item Ledger Entry","12 Quantity","5 Source no.",$C1285,"3 Posting Date",O$9,"4 Entry Type",$C$4,"2 Item No.","@@"&amp;$F1285)</t>
  </si>
  <si>
    <t>=-NL("Sum","32 Item Ledger Entry","12 Quantity","5 Source no.",$C1286,"3 Posting Date",O$9,"4 Entry Type",$C$4,"2 Item No.","@@"&amp;$F1286)</t>
  </si>
  <si>
    <t>=-NL("Sum","32 Item Ledger Entry","12 Quantity","5 Source no.",$C1287,"3 Posting Date",O$9,"4 Entry Type",$C$4,"2 Item No.","@@"&amp;$F1287)</t>
  </si>
  <si>
    <t>=-NL("Sum","32 Item Ledger Entry","12 Quantity","5 Source no.",$C1288,"3 Posting Date",O$9,"4 Entry Type",$C$4,"2 Item No.","@@"&amp;$F1288)</t>
  </si>
  <si>
    <t>=-NL("Sum","32 Item Ledger Entry","12 Quantity","5 Source no.",$C1289,"3 Posting Date",O$9,"4 Entry Type",$C$4,"2 Item No.","@@"&amp;$F1289)</t>
  </si>
  <si>
    <t>=-NL("Sum","32 Item Ledger Entry","12 Quantity","5 Source no.",$C1290,"3 Posting Date",O$9,"4 Entry Type",$C$4,"2 Item No.","@@"&amp;$F1290)</t>
  </si>
  <si>
    <t>=-NL("Sum","32 Item Ledger Entry","12 Quantity","5 Source no.",$C1291,"3 Posting Date",O$9,"4 Entry Type",$C$4,"2 Item No.","@@"&amp;$F1291)</t>
  </si>
  <si>
    <t>=-NL("Sum","32 Item Ledger Entry","12 Quantity","5 Source no.",$C1292,"3 Posting Date",O$9,"4 Entry Type",$C$4,"2 Item No.","@@"&amp;$F1292)</t>
  </si>
  <si>
    <t>=-NL("Sum","32 Item Ledger Entry","12 Quantity","5 Source no.",$C1293,"3 Posting Date",O$9,"4 Entry Type",$C$4,"2 Item No.","@@"&amp;$F1293)</t>
  </si>
  <si>
    <t>=-NL("Sum","32 Item Ledger Entry","12 Quantity","5 Source no.",$C1294,"3 Posting Date",O$9,"4 Entry Type",$C$4,"2 Item No.","@@"&amp;$F1294)</t>
  </si>
  <si>
    <t>=-NL("Sum","32 Item Ledger Entry","12 Quantity","5 Source no.",$C1266,"3 Posting Date",U$9,"4 Entry Type",$C$4,"2 Item No.","@@"&amp;$F1266)</t>
  </si>
  <si>
    <t>=-NL("Sum","32 Item Ledger Entry","12 Quantity","5 Source no.",$C1267,"3 Posting Date",U$9,"4 Entry Type",$C$4,"2 Item No.","@@"&amp;$F1267)</t>
  </si>
  <si>
    <t>=-NL("Sum","32 Item Ledger Entry","12 Quantity","5 Source no.",$C1268,"3 Posting Date",U$9,"4 Entry Type",$C$4,"2 Item No.","@@"&amp;$F1268)</t>
  </si>
  <si>
    <t>=-NL("Sum","32 Item Ledger Entry","12 Quantity","5 Source no.",$C1269,"3 Posting Date",U$9,"4 Entry Type",$C$4,"2 Item No.","@@"&amp;$F1269)</t>
  </si>
  <si>
    <t>=-NL("Sum","32 Item Ledger Entry","12 Quantity","5 Source no.",$C1270,"3 Posting Date",U$9,"4 Entry Type",$C$4,"2 Item No.","@@"&amp;$F1270)</t>
  </si>
  <si>
    <t>=-NL("Sum","32 Item Ledger Entry","12 Quantity","5 Source no.",$C1271,"3 Posting Date",U$9,"4 Entry Type",$C$4,"2 Item No.","@@"&amp;$F1271)</t>
  </si>
  <si>
    <t>=-NL("Sum","32 Item Ledger Entry","12 Quantity","5 Source no.",$C1272,"3 Posting Date",U$9,"4 Entry Type",$C$4,"2 Item No.","@@"&amp;$F1272)</t>
  </si>
  <si>
    <t>=-NL("Sum","32 Item Ledger Entry","12 Quantity","5 Source no.",$C1273,"3 Posting Date",U$9,"4 Entry Type",$C$4,"2 Item No.","@@"&amp;$F1273)</t>
  </si>
  <si>
    <t>=-NL("Sum","32 Item Ledger Entry","12 Quantity","5 Source no.",$C1274,"3 Posting Date",U$9,"4 Entry Type",$C$4,"2 Item No.","@@"&amp;$F1274)</t>
  </si>
  <si>
    <t>=-NL("Sum","32 Item Ledger Entry","12 Quantity","5 Source no.",$C1275,"3 Posting Date",U$9,"4 Entry Type",$C$4,"2 Item No.","@@"&amp;$F1275)</t>
  </si>
  <si>
    <t>=-NL("Sum","32 Item Ledger Entry","12 Quantity","5 Source no.",$C1276,"3 Posting Date",U$9,"4 Entry Type",$C$4,"2 Item No.","@@"&amp;$F1276)</t>
  </si>
  <si>
    <t>=-NL("Sum","32 Item Ledger Entry","12 Quantity","5 Source no.",$C1277,"3 Posting Date",U$9,"4 Entry Type",$C$4,"2 Item No.","@@"&amp;$F1277)</t>
  </si>
  <si>
    <t>=-NL("Sum","32 Item Ledger Entry","12 Quantity","5 Source no.",$C1278,"3 Posting Date",U$9,"4 Entry Type",$C$4,"2 Item No.","@@"&amp;$F1278)</t>
  </si>
  <si>
    <t>=-NL("Sum","32 Item Ledger Entry","12 Quantity","5 Source no.",$C1279,"3 Posting Date",U$9,"4 Entry Type",$C$4,"2 Item No.","@@"&amp;$F1279)</t>
  </si>
  <si>
    <t>=-NL("Sum","32 Item Ledger Entry","12 Quantity","5 Source no.",$C1280,"3 Posting Date",U$9,"4 Entry Type",$C$4,"2 Item No.","@@"&amp;$F1280)</t>
  </si>
  <si>
    <t>=-NL("Sum","32 Item Ledger Entry","12 Quantity","5 Source no.",$C1281,"3 Posting Date",U$9,"4 Entry Type",$C$4,"2 Item No.","@@"&amp;$F1281)</t>
  </si>
  <si>
    <t>=-NL("Sum","32 Item Ledger Entry","12 Quantity","5 Source no.",$C1282,"3 Posting Date",U$9,"4 Entry Type",$C$4,"2 Item No.","@@"&amp;$F1282)</t>
  </si>
  <si>
    <t>=-NL("Sum","32 Item Ledger Entry","12 Quantity","5 Source no.",$C1283,"3 Posting Date",U$9,"4 Entry Type",$C$4,"2 Item No.","@@"&amp;$F1283)</t>
  </si>
  <si>
    <t>=-NL("Sum","32 Item Ledger Entry","12 Quantity","5 Source no.",$C1284,"3 Posting Date",U$9,"4 Entry Type",$C$4,"2 Item No.","@@"&amp;$F1284)</t>
  </si>
  <si>
    <t>=-NL("Sum","32 Item Ledger Entry","12 Quantity","5 Source no.",$C1285,"3 Posting Date",U$9,"4 Entry Type",$C$4,"2 Item No.","@@"&amp;$F1285)</t>
  </si>
  <si>
    <t>=-NL("Sum","32 Item Ledger Entry","12 Quantity","5 Source no.",$C1286,"3 Posting Date",U$9,"4 Entry Type",$C$4,"2 Item No.","@@"&amp;$F1286)</t>
  </si>
  <si>
    <t>=-NL("Sum","32 Item Ledger Entry","12 Quantity","5 Source no.",$C1287,"3 Posting Date",U$9,"4 Entry Type",$C$4,"2 Item No.","@@"&amp;$F1287)</t>
  </si>
  <si>
    <t>=-NL("Sum","32 Item Ledger Entry","12 Quantity","5 Source no.",$C1288,"3 Posting Date",U$9,"4 Entry Type",$C$4,"2 Item No.","@@"&amp;$F1288)</t>
  </si>
  <si>
    <t>=-NL("Sum","32 Item Ledger Entry","12 Quantity","5 Source no.",$C1289,"3 Posting Date",U$9,"4 Entry Type",$C$4,"2 Item No.","@@"&amp;$F1289)</t>
  </si>
  <si>
    <t>=-NL("Sum","32 Item Ledger Entry","12 Quantity","5 Source no.",$C1290,"3 Posting Date",U$9,"4 Entry Type",$C$4,"2 Item No.","@@"&amp;$F1290)</t>
  </si>
  <si>
    <t>=-NL("Sum","32 Item Ledger Entry","12 Quantity","5 Source no.",$C1291,"3 Posting Date",U$9,"4 Entry Type",$C$4,"2 Item No.","@@"&amp;$F1291)</t>
  </si>
  <si>
    <t>=-NL("Sum","32 Item Ledger Entry","12 Quantity","5 Source no.",$C1292,"3 Posting Date",U$9,"4 Entry Type",$C$4,"2 Item No.","@@"&amp;$F1292)</t>
  </si>
  <si>
    <t>=-NL("Sum","32 Item Ledger Entry","12 Quantity","5 Source no.",$C1293,"3 Posting Date",U$9,"4 Entry Type",$C$4,"2 Item No.","@@"&amp;$F1293)</t>
  </si>
  <si>
    <t>=-NL("Sum","32 Item Ledger Entry","12 Quantity","5 Source no.",$C1294,"3 Posting Date",U$9,"4 Entry Type",$C$4,"2 Item No.","@@"&amp;$F1294)</t>
  </si>
  <si>
    <t>=-NL("Sum","32 Item Ledger Entry","12 Quantity","5 Source no.",$C1266,"3 Posting Date",Z$9,"4 Entry Type",$C$4,"2 Item No.","@@"&amp;$F1266)</t>
  </si>
  <si>
    <t>=-NL("Sum","32 Item Ledger Entry","12 Quantity","5 Source no.",$C1267,"3 Posting Date",Z$9,"4 Entry Type",$C$4,"2 Item No.","@@"&amp;$F1267)</t>
  </si>
  <si>
    <t>=-NL("Sum","32 Item Ledger Entry","12 Quantity","5 Source no.",$C1268,"3 Posting Date",Z$9,"4 Entry Type",$C$4,"2 Item No.","@@"&amp;$F1268)</t>
  </si>
  <si>
    <t>=-NL("Sum","32 Item Ledger Entry","12 Quantity","5 Source no.",$C1269,"3 Posting Date",Z$9,"4 Entry Type",$C$4,"2 Item No.","@@"&amp;$F1269)</t>
  </si>
  <si>
    <t>=-NL("Sum","32 Item Ledger Entry","12 Quantity","5 Source no.",$C1270,"3 Posting Date",Z$9,"4 Entry Type",$C$4,"2 Item No.","@@"&amp;$F1270)</t>
  </si>
  <si>
    <t>=-NL("Sum","32 Item Ledger Entry","12 Quantity","5 Source no.",$C1271,"3 Posting Date",Z$9,"4 Entry Type",$C$4,"2 Item No.","@@"&amp;$F1271)</t>
  </si>
  <si>
    <t>=-NL("Sum","32 Item Ledger Entry","12 Quantity","5 Source no.",$C1272,"3 Posting Date",Z$9,"4 Entry Type",$C$4,"2 Item No.","@@"&amp;$F1272)</t>
  </si>
  <si>
    <t>=-NL("Sum","32 Item Ledger Entry","12 Quantity","5 Source no.",$C1273,"3 Posting Date",Z$9,"4 Entry Type",$C$4,"2 Item No.","@@"&amp;$F1273)</t>
  </si>
  <si>
    <t>=-NL("Sum","32 Item Ledger Entry","12 Quantity","5 Source no.",$C1274,"3 Posting Date",Z$9,"4 Entry Type",$C$4,"2 Item No.","@@"&amp;$F1274)</t>
  </si>
  <si>
    <t>=-NL("Sum","32 Item Ledger Entry","12 Quantity","5 Source no.",$C1275,"3 Posting Date",Z$9,"4 Entry Type",$C$4,"2 Item No.","@@"&amp;$F1275)</t>
  </si>
  <si>
    <t>=-NL("Sum","32 Item Ledger Entry","12 Quantity","5 Source no.",$C1276,"3 Posting Date",Z$9,"4 Entry Type",$C$4,"2 Item No.","@@"&amp;$F1276)</t>
  </si>
  <si>
    <t>=-NL("Sum","32 Item Ledger Entry","12 Quantity","5 Source no.",$C1277,"3 Posting Date",Z$9,"4 Entry Type",$C$4,"2 Item No.","@@"&amp;$F1277)</t>
  </si>
  <si>
    <t>=-NL("Sum","32 Item Ledger Entry","12 Quantity","5 Source no.",$C1278,"3 Posting Date",Z$9,"4 Entry Type",$C$4,"2 Item No.","@@"&amp;$F1278)</t>
  </si>
  <si>
    <t>=-NL("Sum","32 Item Ledger Entry","12 Quantity","5 Source no.",$C1279,"3 Posting Date",Z$9,"4 Entry Type",$C$4,"2 Item No.","@@"&amp;$F1279)</t>
  </si>
  <si>
    <t>=-NL("Sum","32 Item Ledger Entry","12 Quantity","5 Source no.",$C1280,"3 Posting Date",Z$9,"4 Entry Type",$C$4,"2 Item No.","@@"&amp;$F1280)</t>
  </si>
  <si>
    <t>=-NL("Sum","32 Item Ledger Entry","12 Quantity","5 Source no.",$C1281,"3 Posting Date",Z$9,"4 Entry Type",$C$4,"2 Item No.","@@"&amp;$F1281)</t>
  </si>
  <si>
    <t>=-NL("Sum","32 Item Ledger Entry","12 Quantity","5 Source no.",$C1282,"3 Posting Date",Z$9,"4 Entry Type",$C$4,"2 Item No.","@@"&amp;$F1282)</t>
  </si>
  <si>
    <t>=-NL("Sum","32 Item Ledger Entry","12 Quantity","5 Source no.",$C1283,"3 Posting Date",Z$9,"4 Entry Type",$C$4,"2 Item No.","@@"&amp;$F1283)</t>
  </si>
  <si>
    <t>=-NL("Sum","32 Item Ledger Entry","12 Quantity","5 Source no.",$C1284,"3 Posting Date",Z$9,"4 Entry Type",$C$4,"2 Item No.","@@"&amp;$F1284)</t>
  </si>
  <si>
    <t>=-NL("Sum","32 Item Ledger Entry","12 Quantity","5 Source no.",$C1285,"3 Posting Date",Z$9,"4 Entry Type",$C$4,"2 Item No.","@@"&amp;$F1285)</t>
  </si>
  <si>
    <t>=-NL("Sum","32 Item Ledger Entry","12 Quantity","5 Source no.",$C1286,"3 Posting Date",Z$9,"4 Entry Type",$C$4,"2 Item No.","@@"&amp;$F1286)</t>
  </si>
  <si>
    <t>=-NL("Sum","32 Item Ledger Entry","12 Quantity","5 Source no.",$C1287,"3 Posting Date",Z$9,"4 Entry Type",$C$4,"2 Item No.","@@"&amp;$F1287)</t>
  </si>
  <si>
    <t>=-NL("Sum","32 Item Ledger Entry","12 Quantity","5 Source no.",$C1288,"3 Posting Date",Z$9,"4 Entry Type",$C$4,"2 Item No.","@@"&amp;$F1288)</t>
  </si>
  <si>
    <t>=-NL("Sum","32 Item Ledger Entry","12 Quantity","5 Source no.",$C1289,"3 Posting Date",Z$9,"4 Entry Type",$C$4,"2 Item No.","@@"&amp;$F1289)</t>
  </si>
  <si>
    <t>=-NL("Sum","32 Item Ledger Entry","12 Quantity","5 Source no.",$C1290,"3 Posting Date",Z$9,"4 Entry Type",$C$4,"2 Item No.","@@"&amp;$F1290)</t>
  </si>
  <si>
    <t>=-NL("Sum","32 Item Ledger Entry","12 Quantity","5 Source no.",$C1291,"3 Posting Date",Z$9,"4 Entry Type",$C$4,"2 Item No.","@@"&amp;$F1291)</t>
  </si>
  <si>
    <t>=-NL("Sum","32 Item Ledger Entry","12 Quantity","5 Source no.",$C1292,"3 Posting Date",Z$9,"4 Entry Type",$C$4,"2 Item No.","@@"&amp;$F1292)</t>
  </si>
  <si>
    <t>=-NL("Sum","32 Item Ledger Entry","12 Quantity","5 Source no.",$C1293,"3 Posting Date",Z$9,"4 Entry Type",$C$4,"2 Item No.","@@"&amp;$F1293)</t>
  </si>
  <si>
    <t>=-NL("Sum","32 Item Ledger Entry","12 Quantity","5 Source no.",$C1294,"3 Posting Date",Z$9,"4 Entry Type",$C$4,"2 Item No.","@@"&amp;$F1294)</t>
  </si>
  <si>
    <t>=NL(,"27 Item","3 Description","1 No.","@@"&amp;F1232)</t>
  </si>
  <si>
    <t>=NL(,"27 Item","3 Description","1 No.","@@"&amp;F1233)</t>
  </si>
  <si>
    <t>=NL(,"27 Item","3 Description","1 No.","@@"&amp;F1234)</t>
  </si>
  <si>
    <t>=NL(,"27 Item","3 Description","1 No.","@@"&amp;F1235)</t>
  </si>
  <si>
    <t>=NL(,"27 Item","3 Description","1 No.","@@"&amp;F1236)</t>
  </si>
  <si>
    <t>=NL(,"27 Item","3 Description","1 No.","@@"&amp;F1237)</t>
  </si>
  <si>
    <t>=NL(,"27 Item","3 Description","1 No.","@@"&amp;F1238)</t>
  </si>
  <si>
    <t>=NL(,"27 Item","3 Description","1 No.","@@"&amp;F1239)</t>
  </si>
  <si>
    <t>=NL(,"27 Item","3 Description","1 No.","@@"&amp;F1240)</t>
  </si>
  <si>
    <t>=NL(,"27 Item","3 Description","1 No.","@@"&amp;F1241)</t>
  </si>
  <si>
    <t>=NL(,"27 Item","3 Description","1 No.","@@"&amp;F1242)</t>
  </si>
  <si>
    <t>=NL(,"27 Item","3 Description","1 No.","@@"&amp;F1243)</t>
  </si>
  <si>
    <t>=NL(,"27 Item","3 Description","1 No.","@@"&amp;F1244)</t>
  </si>
  <si>
    <t>=NL(,"27 Item","3 Description","1 No.","@@"&amp;F1245)</t>
  </si>
  <si>
    <t>=NL(,"27 Item","3 Description","1 No.","@@"&amp;F1246)</t>
  </si>
  <si>
    <t>=NL(,"27 Item","3 Description","1 No.","@@"&amp;F1247)</t>
  </si>
  <si>
    <t>=NL(,"27 Item","3 Description","1 No.","@@"&amp;F1248)</t>
  </si>
  <si>
    <t>=NL(,"27 Item","3 Description","1 No.","@@"&amp;F1249)</t>
  </si>
  <si>
    <t>=NL(,"27 Item","3 Description","1 No.","@@"&amp;F1250)</t>
  </si>
  <si>
    <t>=NL(,"27 Item","3 Description","1 No.","@@"&amp;F1251)</t>
  </si>
  <si>
    <t>=NL(,"27 Item","3 Description","1 No.","@@"&amp;F1252)</t>
  </si>
  <si>
    <t>=NL(,"27 Item","3 Description","1 No.","@@"&amp;F1253)</t>
  </si>
  <si>
    <t>=NL(,"27 Item","3 Description","1 No.","@@"&amp;F1254)</t>
  </si>
  <si>
    <t>=NL(,"27 Item","3 Description","1 No.","@@"&amp;F1255)</t>
  </si>
  <si>
    <t>=NL(,"27 Item","3 Description","1 No.","@@"&amp;F1256)</t>
  </si>
  <si>
    <t>=NL(,"27 Item","3 Description","1 No.","@@"&amp;F1257)</t>
  </si>
  <si>
    <t>=NL(,"27 Item","3 Description","1 No.","@@"&amp;F1258)</t>
  </si>
  <si>
    <t>=NL(,"27 Item","3 Description","1 No.","@@"&amp;F1259)</t>
  </si>
  <si>
    <t>=NL(,"27 Item","3 Description","1 No.","@@"&amp;F1260)</t>
  </si>
  <si>
    <t>=-NL("Sum","32 Item Ledger Entry","12 Quantity","5 Source no.",$C1232,"3 Posting Date",J$9,"4 Entry Type",$C$4,"2 Item No.","@@"&amp;$F1232)</t>
  </si>
  <si>
    <t>=-NL("Sum","32 Item Ledger Entry","12 Quantity","5 Source no.",$C1233,"3 Posting Date",J$9,"4 Entry Type",$C$4,"2 Item No.","@@"&amp;$F1233)</t>
  </si>
  <si>
    <t>=-NL("Sum","32 Item Ledger Entry","12 Quantity","5 Source no.",$C1234,"3 Posting Date",J$9,"4 Entry Type",$C$4,"2 Item No.","@@"&amp;$F1234)</t>
  </si>
  <si>
    <t>=-NL("Sum","32 Item Ledger Entry","12 Quantity","5 Source no.",$C1235,"3 Posting Date",J$9,"4 Entry Type",$C$4,"2 Item No.","@@"&amp;$F1235)</t>
  </si>
  <si>
    <t>=-NL("Sum","32 Item Ledger Entry","12 Quantity","5 Source no.",$C1236,"3 Posting Date",J$9,"4 Entry Type",$C$4,"2 Item No.","@@"&amp;$F1236)</t>
  </si>
  <si>
    <t>=-NL("Sum","32 Item Ledger Entry","12 Quantity","5 Source no.",$C1237,"3 Posting Date",J$9,"4 Entry Type",$C$4,"2 Item No.","@@"&amp;$F1237)</t>
  </si>
  <si>
    <t>=-NL("Sum","32 Item Ledger Entry","12 Quantity","5 Source no.",$C1238,"3 Posting Date",J$9,"4 Entry Type",$C$4,"2 Item No.","@@"&amp;$F1238)</t>
  </si>
  <si>
    <t>=-NL("Sum","32 Item Ledger Entry","12 Quantity","5 Source no.",$C1239,"3 Posting Date",J$9,"4 Entry Type",$C$4,"2 Item No.","@@"&amp;$F1239)</t>
  </si>
  <si>
    <t>=-NL("Sum","32 Item Ledger Entry","12 Quantity","5 Source no.",$C1240,"3 Posting Date",J$9,"4 Entry Type",$C$4,"2 Item No.","@@"&amp;$F1240)</t>
  </si>
  <si>
    <t>=-NL("Sum","32 Item Ledger Entry","12 Quantity","5 Source no.",$C1241,"3 Posting Date",J$9,"4 Entry Type",$C$4,"2 Item No.","@@"&amp;$F1241)</t>
  </si>
  <si>
    <t>=-NL("Sum","32 Item Ledger Entry","12 Quantity","5 Source no.",$C1242,"3 Posting Date",J$9,"4 Entry Type",$C$4,"2 Item No.","@@"&amp;$F1242)</t>
  </si>
  <si>
    <t>=-NL("Sum","32 Item Ledger Entry","12 Quantity","5 Source no.",$C1243,"3 Posting Date",J$9,"4 Entry Type",$C$4,"2 Item No.","@@"&amp;$F1243)</t>
  </si>
  <si>
    <t>=-NL("Sum","32 Item Ledger Entry","12 Quantity","5 Source no.",$C1244,"3 Posting Date",J$9,"4 Entry Type",$C$4,"2 Item No.","@@"&amp;$F1244)</t>
  </si>
  <si>
    <t>=-NL("Sum","32 Item Ledger Entry","12 Quantity","5 Source no.",$C1245,"3 Posting Date",J$9,"4 Entry Type",$C$4,"2 Item No.","@@"&amp;$F1245)</t>
  </si>
  <si>
    <t>=-NL("Sum","32 Item Ledger Entry","12 Quantity","5 Source no.",$C1246,"3 Posting Date",J$9,"4 Entry Type",$C$4,"2 Item No.","@@"&amp;$F1246)</t>
  </si>
  <si>
    <t>=-NL("Sum","32 Item Ledger Entry","12 Quantity","5 Source no.",$C1247,"3 Posting Date",J$9,"4 Entry Type",$C$4,"2 Item No.","@@"&amp;$F1247)</t>
  </si>
  <si>
    <t>=-NL("Sum","32 Item Ledger Entry","12 Quantity","5 Source no.",$C1248,"3 Posting Date",J$9,"4 Entry Type",$C$4,"2 Item No.","@@"&amp;$F1248)</t>
  </si>
  <si>
    <t>=-NL("Sum","32 Item Ledger Entry","12 Quantity","5 Source no.",$C1249,"3 Posting Date",J$9,"4 Entry Type",$C$4,"2 Item No.","@@"&amp;$F1249)</t>
  </si>
  <si>
    <t>=-NL("Sum","32 Item Ledger Entry","12 Quantity","5 Source no.",$C1250,"3 Posting Date",J$9,"4 Entry Type",$C$4,"2 Item No.","@@"&amp;$F1250)</t>
  </si>
  <si>
    <t>=-NL("Sum","32 Item Ledger Entry","12 Quantity","5 Source no.",$C1251,"3 Posting Date",J$9,"4 Entry Type",$C$4,"2 Item No.","@@"&amp;$F1251)</t>
  </si>
  <si>
    <t>=-NL("Sum","32 Item Ledger Entry","12 Quantity","5 Source no.",$C1252,"3 Posting Date",J$9,"4 Entry Type",$C$4,"2 Item No.","@@"&amp;$F1252)</t>
  </si>
  <si>
    <t>=-NL("Sum","32 Item Ledger Entry","12 Quantity","5 Source no.",$C1253,"3 Posting Date",J$9,"4 Entry Type",$C$4,"2 Item No.","@@"&amp;$F1253)</t>
  </si>
  <si>
    <t>=-NL("Sum","32 Item Ledger Entry","12 Quantity","5 Source no.",$C1254,"3 Posting Date",J$9,"4 Entry Type",$C$4,"2 Item No.","@@"&amp;$F1254)</t>
  </si>
  <si>
    <t>=-NL("Sum","32 Item Ledger Entry","12 Quantity","5 Source no.",$C1255,"3 Posting Date",J$9,"4 Entry Type",$C$4,"2 Item No.","@@"&amp;$F1255)</t>
  </si>
  <si>
    <t>=-NL("Sum","32 Item Ledger Entry","12 Quantity","5 Source no.",$C1256,"3 Posting Date",J$9,"4 Entry Type",$C$4,"2 Item No.","@@"&amp;$F1256)</t>
  </si>
  <si>
    <t>=-NL("Sum","32 Item Ledger Entry","12 Quantity","5 Source no.",$C1257,"3 Posting Date",J$9,"4 Entry Type",$C$4,"2 Item No.","@@"&amp;$F1257)</t>
  </si>
  <si>
    <t>=-NL("Sum","32 Item Ledger Entry","12 Quantity","5 Source no.",$C1258,"3 Posting Date",J$9,"4 Entry Type",$C$4,"2 Item No.","@@"&amp;$F1258)</t>
  </si>
  <si>
    <t>=-NL("Sum","32 Item Ledger Entry","12 Quantity","5 Source no.",$C1259,"3 Posting Date",J$9,"4 Entry Type",$C$4,"2 Item No.","@@"&amp;$F1259)</t>
  </si>
  <si>
    <t>=-NL("Sum","32 Item Ledger Entry","12 Quantity","5 Source no.",$C1260,"3 Posting Date",J$9,"4 Entry Type",$C$4,"2 Item No.","@@"&amp;$F1260)</t>
  </si>
  <si>
    <t>=-NL("Sum","32 Item Ledger Entry","12 Quantity","5 Source no.",$C1232,"3 Posting Date",O$9,"4 Entry Type",$C$4,"2 Item No.","@@"&amp;$F1232)</t>
  </si>
  <si>
    <t>=-NL("Sum","32 Item Ledger Entry","12 Quantity","5 Source no.",$C1233,"3 Posting Date",O$9,"4 Entry Type",$C$4,"2 Item No.","@@"&amp;$F1233)</t>
  </si>
  <si>
    <t>=-NL("Sum","32 Item Ledger Entry","12 Quantity","5 Source no.",$C1234,"3 Posting Date",O$9,"4 Entry Type",$C$4,"2 Item No.","@@"&amp;$F1234)</t>
  </si>
  <si>
    <t>=-NL("Sum","32 Item Ledger Entry","12 Quantity","5 Source no.",$C1235,"3 Posting Date",O$9,"4 Entry Type",$C$4,"2 Item No.","@@"&amp;$F1235)</t>
  </si>
  <si>
    <t>=-NL("Sum","32 Item Ledger Entry","12 Quantity","5 Source no.",$C1236,"3 Posting Date",O$9,"4 Entry Type",$C$4,"2 Item No.","@@"&amp;$F1236)</t>
  </si>
  <si>
    <t>=-NL("Sum","32 Item Ledger Entry","12 Quantity","5 Source no.",$C1237,"3 Posting Date",O$9,"4 Entry Type",$C$4,"2 Item No.","@@"&amp;$F1237)</t>
  </si>
  <si>
    <t>=-NL("Sum","32 Item Ledger Entry","12 Quantity","5 Source no.",$C1238,"3 Posting Date",O$9,"4 Entry Type",$C$4,"2 Item No.","@@"&amp;$F1238)</t>
  </si>
  <si>
    <t>=-NL("Sum","32 Item Ledger Entry","12 Quantity","5 Source no.",$C1239,"3 Posting Date",O$9,"4 Entry Type",$C$4,"2 Item No.","@@"&amp;$F1239)</t>
  </si>
  <si>
    <t>=-NL("Sum","32 Item Ledger Entry","12 Quantity","5 Source no.",$C1240,"3 Posting Date",O$9,"4 Entry Type",$C$4,"2 Item No.","@@"&amp;$F1240)</t>
  </si>
  <si>
    <t>=-NL("Sum","32 Item Ledger Entry","12 Quantity","5 Source no.",$C1241,"3 Posting Date",O$9,"4 Entry Type",$C$4,"2 Item No.","@@"&amp;$F1241)</t>
  </si>
  <si>
    <t>=-NL("Sum","32 Item Ledger Entry","12 Quantity","5 Source no.",$C1242,"3 Posting Date",O$9,"4 Entry Type",$C$4,"2 Item No.","@@"&amp;$F1242)</t>
  </si>
  <si>
    <t>=-NL("Sum","32 Item Ledger Entry","12 Quantity","5 Source no.",$C1243,"3 Posting Date",O$9,"4 Entry Type",$C$4,"2 Item No.","@@"&amp;$F1243)</t>
  </si>
  <si>
    <t>=-NL("Sum","32 Item Ledger Entry","12 Quantity","5 Source no.",$C1244,"3 Posting Date",O$9,"4 Entry Type",$C$4,"2 Item No.","@@"&amp;$F1244)</t>
  </si>
  <si>
    <t>=-NL("Sum","32 Item Ledger Entry","12 Quantity","5 Source no.",$C1245,"3 Posting Date",O$9,"4 Entry Type",$C$4,"2 Item No.","@@"&amp;$F1245)</t>
  </si>
  <si>
    <t>=-NL("Sum","32 Item Ledger Entry","12 Quantity","5 Source no.",$C1246,"3 Posting Date",O$9,"4 Entry Type",$C$4,"2 Item No.","@@"&amp;$F1246)</t>
  </si>
  <si>
    <t>=-NL("Sum","32 Item Ledger Entry","12 Quantity","5 Source no.",$C1247,"3 Posting Date",O$9,"4 Entry Type",$C$4,"2 Item No.","@@"&amp;$F1247)</t>
  </si>
  <si>
    <t>=-NL("Sum","32 Item Ledger Entry","12 Quantity","5 Source no.",$C1248,"3 Posting Date",O$9,"4 Entry Type",$C$4,"2 Item No.","@@"&amp;$F1248)</t>
  </si>
  <si>
    <t>=-NL("Sum","32 Item Ledger Entry","12 Quantity","5 Source no.",$C1249,"3 Posting Date",O$9,"4 Entry Type",$C$4,"2 Item No.","@@"&amp;$F1249)</t>
  </si>
  <si>
    <t>=-NL("Sum","32 Item Ledger Entry","12 Quantity","5 Source no.",$C1250,"3 Posting Date",O$9,"4 Entry Type",$C$4,"2 Item No.","@@"&amp;$F1250)</t>
  </si>
  <si>
    <t>=-NL("Sum","32 Item Ledger Entry","12 Quantity","5 Source no.",$C1251,"3 Posting Date",O$9,"4 Entry Type",$C$4,"2 Item No.","@@"&amp;$F1251)</t>
  </si>
  <si>
    <t>=-NL("Sum","32 Item Ledger Entry","12 Quantity","5 Source no.",$C1252,"3 Posting Date",O$9,"4 Entry Type",$C$4,"2 Item No.","@@"&amp;$F1252)</t>
  </si>
  <si>
    <t>=-NL("Sum","32 Item Ledger Entry","12 Quantity","5 Source no.",$C1253,"3 Posting Date",O$9,"4 Entry Type",$C$4,"2 Item No.","@@"&amp;$F1253)</t>
  </si>
  <si>
    <t>=-NL("Sum","32 Item Ledger Entry","12 Quantity","5 Source no.",$C1254,"3 Posting Date",O$9,"4 Entry Type",$C$4,"2 Item No.","@@"&amp;$F1254)</t>
  </si>
  <si>
    <t>=-NL("Sum","32 Item Ledger Entry","12 Quantity","5 Source no.",$C1255,"3 Posting Date",O$9,"4 Entry Type",$C$4,"2 Item No.","@@"&amp;$F1255)</t>
  </si>
  <si>
    <t>=-NL("Sum","32 Item Ledger Entry","12 Quantity","5 Source no.",$C1256,"3 Posting Date",O$9,"4 Entry Type",$C$4,"2 Item No.","@@"&amp;$F1256)</t>
  </si>
  <si>
    <t>=-NL("Sum","32 Item Ledger Entry","12 Quantity","5 Source no.",$C1257,"3 Posting Date",O$9,"4 Entry Type",$C$4,"2 Item No.","@@"&amp;$F1257)</t>
  </si>
  <si>
    <t>=-NL("Sum","32 Item Ledger Entry","12 Quantity","5 Source no.",$C1258,"3 Posting Date",O$9,"4 Entry Type",$C$4,"2 Item No.","@@"&amp;$F1258)</t>
  </si>
  <si>
    <t>=-NL("Sum","32 Item Ledger Entry","12 Quantity","5 Source no.",$C1259,"3 Posting Date",O$9,"4 Entry Type",$C$4,"2 Item No.","@@"&amp;$F1259)</t>
  </si>
  <si>
    <t>=-NL("Sum","32 Item Ledger Entry","12 Quantity","5 Source no.",$C1260,"3 Posting Date",O$9,"4 Entry Type",$C$4,"2 Item No.","@@"&amp;$F1260)</t>
  </si>
  <si>
    <t>=-NL("Sum","32 Item Ledger Entry","12 Quantity","5 Source no.",$C1232,"3 Posting Date",U$9,"4 Entry Type",$C$4,"2 Item No.","@@"&amp;$F1232)</t>
  </si>
  <si>
    <t>=-NL("Sum","32 Item Ledger Entry","12 Quantity","5 Source no.",$C1233,"3 Posting Date",U$9,"4 Entry Type",$C$4,"2 Item No.","@@"&amp;$F1233)</t>
  </si>
  <si>
    <t>=-NL("Sum","32 Item Ledger Entry","12 Quantity","5 Source no.",$C1234,"3 Posting Date",U$9,"4 Entry Type",$C$4,"2 Item No.","@@"&amp;$F1234)</t>
  </si>
  <si>
    <t>=-NL("Sum","32 Item Ledger Entry","12 Quantity","5 Source no.",$C1235,"3 Posting Date",U$9,"4 Entry Type",$C$4,"2 Item No.","@@"&amp;$F1235)</t>
  </si>
  <si>
    <t>=-NL("Sum","32 Item Ledger Entry","12 Quantity","5 Source no.",$C1236,"3 Posting Date",U$9,"4 Entry Type",$C$4,"2 Item No.","@@"&amp;$F1236)</t>
  </si>
  <si>
    <t>=-NL("Sum","32 Item Ledger Entry","12 Quantity","5 Source no.",$C1237,"3 Posting Date",U$9,"4 Entry Type",$C$4,"2 Item No.","@@"&amp;$F1237)</t>
  </si>
  <si>
    <t>=-NL("Sum","32 Item Ledger Entry","12 Quantity","5 Source no.",$C1238,"3 Posting Date",U$9,"4 Entry Type",$C$4,"2 Item No.","@@"&amp;$F1238)</t>
  </si>
  <si>
    <t>=-NL("Sum","32 Item Ledger Entry","12 Quantity","5 Source no.",$C1239,"3 Posting Date",U$9,"4 Entry Type",$C$4,"2 Item No.","@@"&amp;$F1239)</t>
  </si>
  <si>
    <t>=-NL("Sum","32 Item Ledger Entry","12 Quantity","5 Source no.",$C1240,"3 Posting Date",U$9,"4 Entry Type",$C$4,"2 Item No.","@@"&amp;$F1240)</t>
  </si>
  <si>
    <t>=-NL("Sum","32 Item Ledger Entry","12 Quantity","5 Source no.",$C1241,"3 Posting Date",U$9,"4 Entry Type",$C$4,"2 Item No.","@@"&amp;$F1241)</t>
  </si>
  <si>
    <t>=-NL("Sum","32 Item Ledger Entry","12 Quantity","5 Source no.",$C1242,"3 Posting Date",U$9,"4 Entry Type",$C$4,"2 Item No.","@@"&amp;$F1242)</t>
  </si>
  <si>
    <t>=-NL("Sum","32 Item Ledger Entry","12 Quantity","5 Source no.",$C1243,"3 Posting Date",U$9,"4 Entry Type",$C$4,"2 Item No.","@@"&amp;$F1243)</t>
  </si>
  <si>
    <t>=-NL("Sum","32 Item Ledger Entry","12 Quantity","5 Source no.",$C1244,"3 Posting Date",U$9,"4 Entry Type",$C$4,"2 Item No.","@@"&amp;$F1244)</t>
  </si>
  <si>
    <t>=-NL("Sum","32 Item Ledger Entry","12 Quantity","5 Source no.",$C1245,"3 Posting Date",U$9,"4 Entry Type",$C$4,"2 Item No.","@@"&amp;$F1245)</t>
  </si>
  <si>
    <t>=-NL("Sum","32 Item Ledger Entry","12 Quantity","5 Source no.",$C1246,"3 Posting Date",U$9,"4 Entry Type",$C$4,"2 Item No.","@@"&amp;$F1246)</t>
  </si>
  <si>
    <t>=-NL("Sum","32 Item Ledger Entry","12 Quantity","5 Source no.",$C1247,"3 Posting Date",U$9,"4 Entry Type",$C$4,"2 Item No.","@@"&amp;$F1247)</t>
  </si>
  <si>
    <t>=-NL("Sum","32 Item Ledger Entry","12 Quantity","5 Source no.",$C1248,"3 Posting Date",U$9,"4 Entry Type",$C$4,"2 Item No.","@@"&amp;$F1248)</t>
  </si>
  <si>
    <t>=-NL("Sum","32 Item Ledger Entry","12 Quantity","5 Source no.",$C1249,"3 Posting Date",U$9,"4 Entry Type",$C$4,"2 Item No.","@@"&amp;$F1249)</t>
  </si>
  <si>
    <t>=-NL("Sum","32 Item Ledger Entry","12 Quantity","5 Source no.",$C1250,"3 Posting Date",U$9,"4 Entry Type",$C$4,"2 Item No.","@@"&amp;$F1250)</t>
  </si>
  <si>
    <t>=-NL("Sum","32 Item Ledger Entry","12 Quantity","5 Source no.",$C1251,"3 Posting Date",U$9,"4 Entry Type",$C$4,"2 Item No.","@@"&amp;$F1251)</t>
  </si>
  <si>
    <t>=-NL("Sum","32 Item Ledger Entry","12 Quantity","5 Source no.",$C1252,"3 Posting Date",U$9,"4 Entry Type",$C$4,"2 Item No.","@@"&amp;$F1252)</t>
  </si>
  <si>
    <t>=-NL("Sum","32 Item Ledger Entry","12 Quantity","5 Source no.",$C1253,"3 Posting Date",U$9,"4 Entry Type",$C$4,"2 Item No.","@@"&amp;$F1253)</t>
  </si>
  <si>
    <t>=-NL("Sum","32 Item Ledger Entry","12 Quantity","5 Source no.",$C1254,"3 Posting Date",U$9,"4 Entry Type",$C$4,"2 Item No.","@@"&amp;$F1254)</t>
  </si>
  <si>
    <t>=-NL("Sum","32 Item Ledger Entry","12 Quantity","5 Source no.",$C1255,"3 Posting Date",U$9,"4 Entry Type",$C$4,"2 Item No.","@@"&amp;$F1255)</t>
  </si>
  <si>
    <t>=-NL("Sum","32 Item Ledger Entry","12 Quantity","5 Source no.",$C1256,"3 Posting Date",U$9,"4 Entry Type",$C$4,"2 Item No.","@@"&amp;$F1256)</t>
  </si>
  <si>
    <t>=-NL("Sum","32 Item Ledger Entry","12 Quantity","5 Source no.",$C1257,"3 Posting Date",U$9,"4 Entry Type",$C$4,"2 Item No.","@@"&amp;$F1257)</t>
  </si>
  <si>
    <t>=-NL("Sum","32 Item Ledger Entry","12 Quantity","5 Source no.",$C1258,"3 Posting Date",U$9,"4 Entry Type",$C$4,"2 Item No.","@@"&amp;$F1258)</t>
  </si>
  <si>
    <t>=-NL("Sum","32 Item Ledger Entry","12 Quantity","5 Source no.",$C1259,"3 Posting Date",U$9,"4 Entry Type",$C$4,"2 Item No.","@@"&amp;$F1259)</t>
  </si>
  <si>
    <t>=-NL("Sum","32 Item Ledger Entry","12 Quantity","5 Source no.",$C1260,"3 Posting Date",U$9,"4 Entry Type",$C$4,"2 Item No.","@@"&amp;$F1260)</t>
  </si>
  <si>
    <t>=-NL("Sum","32 Item Ledger Entry","12 Quantity","5 Source no.",$C1232,"3 Posting Date",Z$9,"4 Entry Type",$C$4,"2 Item No.","@@"&amp;$F1232)</t>
  </si>
  <si>
    <t>=-NL("Sum","32 Item Ledger Entry","12 Quantity","5 Source no.",$C1233,"3 Posting Date",Z$9,"4 Entry Type",$C$4,"2 Item No.","@@"&amp;$F1233)</t>
  </si>
  <si>
    <t>=-NL("Sum","32 Item Ledger Entry","12 Quantity","5 Source no.",$C1234,"3 Posting Date",Z$9,"4 Entry Type",$C$4,"2 Item No.","@@"&amp;$F1234)</t>
  </si>
  <si>
    <t>=-NL("Sum","32 Item Ledger Entry","12 Quantity","5 Source no.",$C1235,"3 Posting Date",Z$9,"4 Entry Type",$C$4,"2 Item No.","@@"&amp;$F1235)</t>
  </si>
  <si>
    <t>=-NL("Sum","32 Item Ledger Entry","12 Quantity","5 Source no.",$C1236,"3 Posting Date",Z$9,"4 Entry Type",$C$4,"2 Item No.","@@"&amp;$F1236)</t>
  </si>
  <si>
    <t>=-NL("Sum","32 Item Ledger Entry","12 Quantity","5 Source no.",$C1237,"3 Posting Date",Z$9,"4 Entry Type",$C$4,"2 Item No.","@@"&amp;$F1237)</t>
  </si>
  <si>
    <t>=-NL("Sum","32 Item Ledger Entry","12 Quantity","5 Source no.",$C1238,"3 Posting Date",Z$9,"4 Entry Type",$C$4,"2 Item No.","@@"&amp;$F1238)</t>
  </si>
  <si>
    <t>=-NL("Sum","32 Item Ledger Entry","12 Quantity","5 Source no.",$C1239,"3 Posting Date",Z$9,"4 Entry Type",$C$4,"2 Item No.","@@"&amp;$F1239)</t>
  </si>
  <si>
    <t>=-NL("Sum","32 Item Ledger Entry","12 Quantity","5 Source no.",$C1240,"3 Posting Date",Z$9,"4 Entry Type",$C$4,"2 Item No.","@@"&amp;$F1240)</t>
  </si>
  <si>
    <t>=-NL("Sum","32 Item Ledger Entry","12 Quantity","5 Source no.",$C1241,"3 Posting Date",Z$9,"4 Entry Type",$C$4,"2 Item No.","@@"&amp;$F1241)</t>
  </si>
  <si>
    <t>=-NL("Sum","32 Item Ledger Entry","12 Quantity","5 Source no.",$C1242,"3 Posting Date",Z$9,"4 Entry Type",$C$4,"2 Item No.","@@"&amp;$F1242)</t>
  </si>
  <si>
    <t>=-NL("Sum","32 Item Ledger Entry","12 Quantity","5 Source no.",$C1243,"3 Posting Date",Z$9,"4 Entry Type",$C$4,"2 Item No.","@@"&amp;$F1243)</t>
  </si>
  <si>
    <t>=-NL("Sum","32 Item Ledger Entry","12 Quantity","5 Source no.",$C1244,"3 Posting Date",Z$9,"4 Entry Type",$C$4,"2 Item No.","@@"&amp;$F1244)</t>
  </si>
  <si>
    <t>=-NL("Sum","32 Item Ledger Entry","12 Quantity","5 Source no.",$C1245,"3 Posting Date",Z$9,"4 Entry Type",$C$4,"2 Item No.","@@"&amp;$F1245)</t>
  </si>
  <si>
    <t>=-NL("Sum","32 Item Ledger Entry","12 Quantity","5 Source no.",$C1246,"3 Posting Date",Z$9,"4 Entry Type",$C$4,"2 Item No.","@@"&amp;$F1246)</t>
  </si>
  <si>
    <t>=-NL("Sum","32 Item Ledger Entry","12 Quantity","5 Source no.",$C1247,"3 Posting Date",Z$9,"4 Entry Type",$C$4,"2 Item No.","@@"&amp;$F1247)</t>
  </si>
  <si>
    <t>=-NL("Sum","32 Item Ledger Entry","12 Quantity","5 Source no.",$C1248,"3 Posting Date",Z$9,"4 Entry Type",$C$4,"2 Item No.","@@"&amp;$F1248)</t>
  </si>
  <si>
    <t>=-NL("Sum","32 Item Ledger Entry","12 Quantity","5 Source no.",$C1249,"3 Posting Date",Z$9,"4 Entry Type",$C$4,"2 Item No.","@@"&amp;$F1249)</t>
  </si>
  <si>
    <t>=-NL("Sum","32 Item Ledger Entry","12 Quantity","5 Source no.",$C1250,"3 Posting Date",Z$9,"4 Entry Type",$C$4,"2 Item No.","@@"&amp;$F1250)</t>
  </si>
  <si>
    <t>=-NL("Sum","32 Item Ledger Entry","12 Quantity","5 Source no.",$C1251,"3 Posting Date",Z$9,"4 Entry Type",$C$4,"2 Item No.","@@"&amp;$F1251)</t>
  </si>
  <si>
    <t>=-NL("Sum","32 Item Ledger Entry","12 Quantity","5 Source no.",$C1252,"3 Posting Date",Z$9,"4 Entry Type",$C$4,"2 Item No.","@@"&amp;$F1252)</t>
  </si>
  <si>
    <t>=-NL("Sum","32 Item Ledger Entry","12 Quantity","5 Source no.",$C1253,"3 Posting Date",Z$9,"4 Entry Type",$C$4,"2 Item No.","@@"&amp;$F1253)</t>
  </si>
  <si>
    <t>=-NL("Sum","32 Item Ledger Entry","12 Quantity","5 Source no.",$C1254,"3 Posting Date",Z$9,"4 Entry Type",$C$4,"2 Item No.","@@"&amp;$F1254)</t>
  </si>
  <si>
    <t>=-NL("Sum","32 Item Ledger Entry","12 Quantity","5 Source no.",$C1255,"3 Posting Date",Z$9,"4 Entry Type",$C$4,"2 Item No.","@@"&amp;$F1255)</t>
  </si>
  <si>
    <t>=-NL("Sum","32 Item Ledger Entry","12 Quantity","5 Source no.",$C1256,"3 Posting Date",Z$9,"4 Entry Type",$C$4,"2 Item No.","@@"&amp;$F1256)</t>
  </si>
  <si>
    <t>=-NL("Sum","32 Item Ledger Entry","12 Quantity","5 Source no.",$C1257,"3 Posting Date",Z$9,"4 Entry Type",$C$4,"2 Item No.","@@"&amp;$F1257)</t>
  </si>
  <si>
    <t>=-NL("Sum","32 Item Ledger Entry","12 Quantity","5 Source no.",$C1258,"3 Posting Date",Z$9,"4 Entry Type",$C$4,"2 Item No.","@@"&amp;$F1258)</t>
  </si>
  <si>
    <t>=-NL("Sum","32 Item Ledger Entry","12 Quantity","5 Source no.",$C1259,"3 Posting Date",Z$9,"4 Entry Type",$C$4,"2 Item No.","@@"&amp;$F1259)</t>
  </si>
  <si>
    <t>=-NL("Sum","32 Item Ledger Entry","12 Quantity","5 Source no.",$C1260,"3 Posting Date",Z$9,"4 Entry Type",$C$4,"2 Item No.","@@"&amp;$F1260)</t>
  </si>
  <si>
    <t>=NL(,"27 Item","3 Description","1 No.","@@"&amp;F1196)</t>
  </si>
  <si>
    <t>=NL(,"27 Item","3 Description","1 No.","@@"&amp;F1197)</t>
  </si>
  <si>
    <t>=NL(,"27 Item","3 Description","1 No.","@@"&amp;F1198)</t>
  </si>
  <si>
    <t>=NL(,"27 Item","3 Description","1 No.","@@"&amp;F1199)</t>
  </si>
  <si>
    <t>=NL(,"27 Item","3 Description","1 No.","@@"&amp;F1200)</t>
  </si>
  <si>
    <t>=NL(,"27 Item","3 Description","1 No.","@@"&amp;F1201)</t>
  </si>
  <si>
    <t>=NL(,"27 Item","3 Description","1 No.","@@"&amp;F1202)</t>
  </si>
  <si>
    <t>=NL(,"27 Item","3 Description","1 No.","@@"&amp;F1203)</t>
  </si>
  <si>
    <t>=NL(,"27 Item","3 Description","1 No.","@@"&amp;F1204)</t>
  </si>
  <si>
    <t>=NL(,"27 Item","3 Description","1 No.","@@"&amp;F1205)</t>
  </si>
  <si>
    <t>=NL(,"27 Item","3 Description","1 No.","@@"&amp;F1206)</t>
  </si>
  <si>
    <t>=NL(,"27 Item","3 Description","1 No.","@@"&amp;F1207)</t>
  </si>
  <si>
    <t>=NL(,"27 Item","3 Description","1 No.","@@"&amp;F1208)</t>
  </si>
  <si>
    <t>=NL(,"27 Item","3 Description","1 No.","@@"&amp;F1209)</t>
  </si>
  <si>
    <t>=NL(,"27 Item","3 Description","1 No.","@@"&amp;F1210)</t>
  </si>
  <si>
    <t>=NL(,"27 Item","3 Description","1 No.","@@"&amp;F1211)</t>
  </si>
  <si>
    <t>=NL(,"27 Item","3 Description","1 No.","@@"&amp;F1212)</t>
  </si>
  <si>
    <t>=NL(,"27 Item","3 Description","1 No.","@@"&amp;F1213)</t>
  </si>
  <si>
    <t>=NL(,"27 Item","3 Description","1 No.","@@"&amp;F1214)</t>
  </si>
  <si>
    <t>=NL(,"27 Item","3 Description","1 No.","@@"&amp;F1215)</t>
  </si>
  <si>
    <t>=NL(,"27 Item","3 Description","1 No.","@@"&amp;F1216)</t>
  </si>
  <si>
    <t>=NL(,"27 Item","3 Description","1 No.","@@"&amp;F1217)</t>
  </si>
  <si>
    <t>=NL(,"27 Item","3 Description","1 No.","@@"&amp;F1218)</t>
  </si>
  <si>
    <t>=NL(,"27 Item","3 Description","1 No.","@@"&amp;F1219)</t>
  </si>
  <si>
    <t>=NL(,"27 Item","3 Description","1 No.","@@"&amp;F1220)</t>
  </si>
  <si>
    <t>=NL(,"27 Item","3 Description","1 No.","@@"&amp;F1221)</t>
  </si>
  <si>
    <t>=NL(,"27 Item","3 Description","1 No.","@@"&amp;F1222)</t>
  </si>
  <si>
    <t>=NL(,"27 Item","3 Description","1 No.","@@"&amp;F1223)</t>
  </si>
  <si>
    <t>=NL(,"27 Item","3 Description","1 No.","@@"&amp;F1224)</t>
  </si>
  <si>
    <t>=NL(,"27 Item","3 Description","1 No.","@@"&amp;F1225)</t>
  </si>
  <si>
    <t>=NL(,"27 Item","3 Description","1 No.","@@"&amp;F1226)</t>
  </si>
  <si>
    <t>=-NL("Sum","32 Item Ledger Entry","12 Quantity","5 Source no.",$C1196,"3 Posting Date",J$9,"4 Entry Type",$C$4,"2 Item No.","@@"&amp;$F1196)</t>
  </si>
  <si>
    <t>=-NL("Sum","32 Item Ledger Entry","12 Quantity","5 Source no.",$C1197,"3 Posting Date",J$9,"4 Entry Type",$C$4,"2 Item No.","@@"&amp;$F1197)</t>
  </si>
  <si>
    <t>=-NL("Sum","32 Item Ledger Entry","12 Quantity","5 Source no.",$C1198,"3 Posting Date",J$9,"4 Entry Type",$C$4,"2 Item No.","@@"&amp;$F1198)</t>
  </si>
  <si>
    <t>=-NL("Sum","32 Item Ledger Entry","12 Quantity","5 Source no.",$C1199,"3 Posting Date",J$9,"4 Entry Type",$C$4,"2 Item No.","@@"&amp;$F1199)</t>
  </si>
  <si>
    <t>=-NL("Sum","32 Item Ledger Entry","12 Quantity","5 Source no.",$C1200,"3 Posting Date",J$9,"4 Entry Type",$C$4,"2 Item No.","@@"&amp;$F1200)</t>
  </si>
  <si>
    <t>=-NL("Sum","32 Item Ledger Entry","12 Quantity","5 Source no.",$C1201,"3 Posting Date",J$9,"4 Entry Type",$C$4,"2 Item No.","@@"&amp;$F1201)</t>
  </si>
  <si>
    <t>=-NL("Sum","32 Item Ledger Entry","12 Quantity","5 Source no.",$C1202,"3 Posting Date",J$9,"4 Entry Type",$C$4,"2 Item No.","@@"&amp;$F1202)</t>
  </si>
  <si>
    <t>=-NL("Sum","32 Item Ledger Entry","12 Quantity","5 Source no.",$C1203,"3 Posting Date",J$9,"4 Entry Type",$C$4,"2 Item No.","@@"&amp;$F1203)</t>
  </si>
  <si>
    <t>=-NL("Sum","32 Item Ledger Entry","12 Quantity","5 Source no.",$C1204,"3 Posting Date",J$9,"4 Entry Type",$C$4,"2 Item No.","@@"&amp;$F1204)</t>
  </si>
  <si>
    <t>=-NL("Sum","32 Item Ledger Entry","12 Quantity","5 Source no.",$C1205,"3 Posting Date",J$9,"4 Entry Type",$C$4,"2 Item No.","@@"&amp;$F1205)</t>
  </si>
  <si>
    <t>=-NL("Sum","32 Item Ledger Entry","12 Quantity","5 Source no.",$C1206,"3 Posting Date",J$9,"4 Entry Type",$C$4,"2 Item No.","@@"&amp;$F1206)</t>
  </si>
  <si>
    <t>=-NL("Sum","32 Item Ledger Entry","12 Quantity","5 Source no.",$C1207,"3 Posting Date",J$9,"4 Entry Type",$C$4,"2 Item No.","@@"&amp;$F1207)</t>
  </si>
  <si>
    <t>=-NL("Sum","32 Item Ledger Entry","12 Quantity","5 Source no.",$C1208,"3 Posting Date",J$9,"4 Entry Type",$C$4,"2 Item No.","@@"&amp;$F1208)</t>
  </si>
  <si>
    <t>=-NL("Sum","32 Item Ledger Entry","12 Quantity","5 Source no.",$C1209,"3 Posting Date",J$9,"4 Entry Type",$C$4,"2 Item No.","@@"&amp;$F1209)</t>
  </si>
  <si>
    <t>=-NL("Sum","32 Item Ledger Entry","12 Quantity","5 Source no.",$C1210,"3 Posting Date",J$9,"4 Entry Type",$C$4,"2 Item No.","@@"&amp;$F1210)</t>
  </si>
  <si>
    <t>=-NL("Sum","32 Item Ledger Entry","12 Quantity","5 Source no.",$C1211,"3 Posting Date",J$9,"4 Entry Type",$C$4,"2 Item No.","@@"&amp;$F1211)</t>
  </si>
  <si>
    <t>=-NL("Sum","32 Item Ledger Entry","12 Quantity","5 Source no.",$C1212,"3 Posting Date",J$9,"4 Entry Type",$C$4,"2 Item No.","@@"&amp;$F1212)</t>
  </si>
  <si>
    <t>=-NL("Sum","32 Item Ledger Entry","12 Quantity","5 Source no.",$C1213,"3 Posting Date",J$9,"4 Entry Type",$C$4,"2 Item No.","@@"&amp;$F1213)</t>
  </si>
  <si>
    <t>=-NL("Sum","32 Item Ledger Entry","12 Quantity","5 Source no.",$C1214,"3 Posting Date",J$9,"4 Entry Type",$C$4,"2 Item No.","@@"&amp;$F1214)</t>
  </si>
  <si>
    <t>=-NL("Sum","32 Item Ledger Entry","12 Quantity","5 Source no.",$C1215,"3 Posting Date",J$9,"4 Entry Type",$C$4,"2 Item No.","@@"&amp;$F1215)</t>
  </si>
  <si>
    <t>=-NL("Sum","32 Item Ledger Entry","12 Quantity","5 Source no.",$C1216,"3 Posting Date",J$9,"4 Entry Type",$C$4,"2 Item No.","@@"&amp;$F1216)</t>
  </si>
  <si>
    <t>=-NL("Sum","32 Item Ledger Entry","12 Quantity","5 Source no.",$C1217,"3 Posting Date",J$9,"4 Entry Type",$C$4,"2 Item No.","@@"&amp;$F1217)</t>
  </si>
  <si>
    <t>=-NL("Sum","32 Item Ledger Entry","12 Quantity","5 Source no.",$C1218,"3 Posting Date",J$9,"4 Entry Type",$C$4,"2 Item No.","@@"&amp;$F1218)</t>
  </si>
  <si>
    <t>=-NL("Sum","32 Item Ledger Entry","12 Quantity","5 Source no.",$C1219,"3 Posting Date",J$9,"4 Entry Type",$C$4,"2 Item No.","@@"&amp;$F1219)</t>
  </si>
  <si>
    <t>=-NL("Sum","32 Item Ledger Entry","12 Quantity","5 Source no.",$C1220,"3 Posting Date",J$9,"4 Entry Type",$C$4,"2 Item No.","@@"&amp;$F1220)</t>
  </si>
  <si>
    <t>=-NL("Sum","32 Item Ledger Entry","12 Quantity","5 Source no.",$C1221,"3 Posting Date",J$9,"4 Entry Type",$C$4,"2 Item No.","@@"&amp;$F1221)</t>
  </si>
  <si>
    <t>=-NL("Sum","32 Item Ledger Entry","12 Quantity","5 Source no.",$C1222,"3 Posting Date",J$9,"4 Entry Type",$C$4,"2 Item No.","@@"&amp;$F1222)</t>
  </si>
  <si>
    <t>=-NL("Sum","32 Item Ledger Entry","12 Quantity","5 Source no.",$C1223,"3 Posting Date",J$9,"4 Entry Type",$C$4,"2 Item No.","@@"&amp;$F1223)</t>
  </si>
  <si>
    <t>=-NL("Sum","32 Item Ledger Entry","12 Quantity","5 Source no.",$C1224,"3 Posting Date",J$9,"4 Entry Type",$C$4,"2 Item No.","@@"&amp;$F1224)</t>
  </si>
  <si>
    <t>=-NL("Sum","32 Item Ledger Entry","12 Quantity","5 Source no.",$C1225,"3 Posting Date",J$9,"4 Entry Type",$C$4,"2 Item No.","@@"&amp;$F1225)</t>
  </si>
  <si>
    <t>=-NL("Sum","32 Item Ledger Entry","12 Quantity","5 Source no.",$C1226,"3 Posting Date",J$9,"4 Entry Type",$C$4,"2 Item No.","@@"&amp;$F1226)</t>
  </si>
  <si>
    <t>=-NL("Sum","32 Item Ledger Entry","12 Quantity","5 Source no.",$C1196,"3 Posting Date",O$9,"4 Entry Type",$C$4,"2 Item No.","@@"&amp;$F1196)</t>
  </si>
  <si>
    <t>=-NL("Sum","32 Item Ledger Entry","12 Quantity","5 Source no.",$C1197,"3 Posting Date",O$9,"4 Entry Type",$C$4,"2 Item No.","@@"&amp;$F1197)</t>
  </si>
  <si>
    <t>=-NL("Sum","32 Item Ledger Entry","12 Quantity","5 Source no.",$C1198,"3 Posting Date",O$9,"4 Entry Type",$C$4,"2 Item No.","@@"&amp;$F1198)</t>
  </si>
  <si>
    <t>=-NL("Sum","32 Item Ledger Entry","12 Quantity","5 Source no.",$C1199,"3 Posting Date",O$9,"4 Entry Type",$C$4,"2 Item No.","@@"&amp;$F1199)</t>
  </si>
  <si>
    <t>=-NL("Sum","32 Item Ledger Entry","12 Quantity","5 Source no.",$C1200,"3 Posting Date",O$9,"4 Entry Type",$C$4,"2 Item No.","@@"&amp;$F1200)</t>
  </si>
  <si>
    <t>=-NL("Sum","32 Item Ledger Entry","12 Quantity","5 Source no.",$C1201,"3 Posting Date",O$9,"4 Entry Type",$C$4,"2 Item No.","@@"&amp;$F1201)</t>
  </si>
  <si>
    <t>=-NL("Sum","32 Item Ledger Entry","12 Quantity","5 Source no.",$C1202,"3 Posting Date",O$9,"4 Entry Type",$C$4,"2 Item No.","@@"&amp;$F1202)</t>
  </si>
  <si>
    <t>=-NL("Sum","32 Item Ledger Entry","12 Quantity","5 Source no.",$C1203,"3 Posting Date",O$9,"4 Entry Type",$C$4,"2 Item No.","@@"&amp;$F1203)</t>
  </si>
  <si>
    <t>=-NL("Sum","32 Item Ledger Entry","12 Quantity","5 Source no.",$C1204,"3 Posting Date",O$9,"4 Entry Type",$C$4,"2 Item No.","@@"&amp;$F1204)</t>
  </si>
  <si>
    <t>=-NL("Sum","32 Item Ledger Entry","12 Quantity","5 Source no.",$C1205,"3 Posting Date",O$9,"4 Entry Type",$C$4,"2 Item No.","@@"&amp;$F1205)</t>
  </si>
  <si>
    <t>=-NL("Sum","32 Item Ledger Entry","12 Quantity","5 Source no.",$C1206,"3 Posting Date",O$9,"4 Entry Type",$C$4,"2 Item No.","@@"&amp;$F1206)</t>
  </si>
  <si>
    <t>=-NL("Sum","32 Item Ledger Entry","12 Quantity","5 Source no.",$C1207,"3 Posting Date",O$9,"4 Entry Type",$C$4,"2 Item No.","@@"&amp;$F1207)</t>
  </si>
  <si>
    <t>=-NL("Sum","32 Item Ledger Entry","12 Quantity","5 Source no.",$C1208,"3 Posting Date",O$9,"4 Entry Type",$C$4,"2 Item No.","@@"&amp;$F1208)</t>
  </si>
  <si>
    <t>=-NL("Sum","32 Item Ledger Entry","12 Quantity","5 Source no.",$C1209,"3 Posting Date",O$9,"4 Entry Type",$C$4,"2 Item No.","@@"&amp;$F1209)</t>
  </si>
  <si>
    <t>=-NL("Sum","32 Item Ledger Entry","12 Quantity","5 Source no.",$C1210,"3 Posting Date",O$9,"4 Entry Type",$C$4,"2 Item No.","@@"&amp;$F1210)</t>
  </si>
  <si>
    <t>=-NL("Sum","32 Item Ledger Entry","12 Quantity","5 Source no.",$C1211,"3 Posting Date",O$9,"4 Entry Type",$C$4,"2 Item No.","@@"&amp;$F1211)</t>
  </si>
  <si>
    <t>=-NL("Sum","32 Item Ledger Entry","12 Quantity","5 Source no.",$C1212,"3 Posting Date",O$9,"4 Entry Type",$C$4,"2 Item No.","@@"&amp;$F1212)</t>
  </si>
  <si>
    <t>=-NL("Sum","32 Item Ledger Entry","12 Quantity","5 Source no.",$C1213,"3 Posting Date",O$9,"4 Entry Type",$C$4,"2 Item No.","@@"&amp;$F1213)</t>
  </si>
  <si>
    <t>=-NL("Sum","32 Item Ledger Entry","12 Quantity","5 Source no.",$C1214,"3 Posting Date",O$9,"4 Entry Type",$C$4,"2 Item No.","@@"&amp;$F1214)</t>
  </si>
  <si>
    <t>=-NL("Sum","32 Item Ledger Entry","12 Quantity","5 Source no.",$C1215,"3 Posting Date",O$9,"4 Entry Type",$C$4,"2 Item No.","@@"&amp;$F1215)</t>
  </si>
  <si>
    <t>=-NL("Sum","32 Item Ledger Entry","12 Quantity","5 Source no.",$C1216,"3 Posting Date",O$9,"4 Entry Type",$C$4,"2 Item No.","@@"&amp;$F1216)</t>
  </si>
  <si>
    <t>=-NL("Sum","32 Item Ledger Entry","12 Quantity","5 Source no.",$C1217,"3 Posting Date",O$9,"4 Entry Type",$C$4,"2 Item No.","@@"&amp;$F1217)</t>
  </si>
  <si>
    <t>=-NL("Sum","32 Item Ledger Entry","12 Quantity","5 Source no.",$C1218,"3 Posting Date",O$9,"4 Entry Type",$C$4,"2 Item No.","@@"&amp;$F1218)</t>
  </si>
  <si>
    <t>=-NL("Sum","32 Item Ledger Entry","12 Quantity","5 Source no.",$C1219,"3 Posting Date",O$9,"4 Entry Type",$C$4,"2 Item No.","@@"&amp;$F1219)</t>
  </si>
  <si>
    <t>=-NL("Sum","32 Item Ledger Entry","12 Quantity","5 Source no.",$C1220,"3 Posting Date",O$9,"4 Entry Type",$C$4,"2 Item No.","@@"&amp;$F1220)</t>
  </si>
  <si>
    <t>=-NL("Sum","32 Item Ledger Entry","12 Quantity","5 Source no.",$C1221,"3 Posting Date",O$9,"4 Entry Type",$C$4,"2 Item No.","@@"&amp;$F1221)</t>
  </si>
  <si>
    <t>=-NL("Sum","32 Item Ledger Entry","12 Quantity","5 Source no.",$C1222,"3 Posting Date",O$9,"4 Entry Type",$C$4,"2 Item No.","@@"&amp;$F1222)</t>
  </si>
  <si>
    <t>=-NL("Sum","32 Item Ledger Entry","12 Quantity","5 Source no.",$C1223,"3 Posting Date",O$9,"4 Entry Type",$C$4,"2 Item No.","@@"&amp;$F1223)</t>
  </si>
  <si>
    <t>=-NL("Sum","32 Item Ledger Entry","12 Quantity","5 Source no.",$C1224,"3 Posting Date",O$9,"4 Entry Type",$C$4,"2 Item No.","@@"&amp;$F1224)</t>
  </si>
  <si>
    <t>=-NL("Sum","32 Item Ledger Entry","12 Quantity","5 Source no.",$C1225,"3 Posting Date",O$9,"4 Entry Type",$C$4,"2 Item No.","@@"&amp;$F1225)</t>
  </si>
  <si>
    <t>=-NL("Sum","32 Item Ledger Entry","12 Quantity","5 Source no.",$C1226,"3 Posting Date",O$9,"4 Entry Type",$C$4,"2 Item No.","@@"&amp;$F1226)</t>
  </si>
  <si>
    <t>=-NL("Sum","32 Item Ledger Entry","12 Quantity","5 Source no.",$C1196,"3 Posting Date",U$9,"4 Entry Type",$C$4,"2 Item No.","@@"&amp;$F1196)</t>
  </si>
  <si>
    <t>=-NL("Sum","32 Item Ledger Entry","12 Quantity","5 Source no.",$C1197,"3 Posting Date",U$9,"4 Entry Type",$C$4,"2 Item No.","@@"&amp;$F1197)</t>
  </si>
  <si>
    <t>=-NL("Sum","32 Item Ledger Entry","12 Quantity","5 Source no.",$C1198,"3 Posting Date",U$9,"4 Entry Type",$C$4,"2 Item No.","@@"&amp;$F1198)</t>
  </si>
  <si>
    <t>=-NL("Sum","32 Item Ledger Entry","12 Quantity","5 Source no.",$C1199,"3 Posting Date",U$9,"4 Entry Type",$C$4,"2 Item No.","@@"&amp;$F1199)</t>
  </si>
  <si>
    <t>=-NL("Sum","32 Item Ledger Entry","12 Quantity","5 Source no.",$C1200,"3 Posting Date",U$9,"4 Entry Type",$C$4,"2 Item No.","@@"&amp;$F1200)</t>
  </si>
  <si>
    <t>=-NL("Sum","32 Item Ledger Entry","12 Quantity","5 Source no.",$C1201,"3 Posting Date",U$9,"4 Entry Type",$C$4,"2 Item No.","@@"&amp;$F1201)</t>
  </si>
  <si>
    <t>=-NL("Sum","32 Item Ledger Entry","12 Quantity","5 Source no.",$C1202,"3 Posting Date",U$9,"4 Entry Type",$C$4,"2 Item No.","@@"&amp;$F1202)</t>
  </si>
  <si>
    <t>=-NL("Sum","32 Item Ledger Entry","12 Quantity","5 Source no.",$C1203,"3 Posting Date",U$9,"4 Entry Type",$C$4,"2 Item No.","@@"&amp;$F1203)</t>
  </si>
  <si>
    <t>=-NL("Sum","32 Item Ledger Entry","12 Quantity","5 Source no.",$C1204,"3 Posting Date",U$9,"4 Entry Type",$C$4,"2 Item No.","@@"&amp;$F1204)</t>
  </si>
  <si>
    <t>=-NL("Sum","32 Item Ledger Entry","12 Quantity","5 Source no.",$C1205,"3 Posting Date",U$9,"4 Entry Type",$C$4,"2 Item No.","@@"&amp;$F1205)</t>
  </si>
  <si>
    <t>=-NL("Sum","32 Item Ledger Entry","12 Quantity","5 Source no.",$C1206,"3 Posting Date",U$9,"4 Entry Type",$C$4,"2 Item No.","@@"&amp;$F1206)</t>
  </si>
  <si>
    <t>=-NL("Sum","32 Item Ledger Entry","12 Quantity","5 Source no.",$C1207,"3 Posting Date",U$9,"4 Entry Type",$C$4,"2 Item No.","@@"&amp;$F1207)</t>
  </si>
  <si>
    <t>=-NL("Sum","32 Item Ledger Entry","12 Quantity","5 Source no.",$C1208,"3 Posting Date",U$9,"4 Entry Type",$C$4,"2 Item No.","@@"&amp;$F1208)</t>
  </si>
  <si>
    <t>=-NL("Sum","32 Item Ledger Entry","12 Quantity","5 Source no.",$C1209,"3 Posting Date",U$9,"4 Entry Type",$C$4,"2 Item No.","@@"&amp;$F1209)</t>
  </si>
  <si>
    <t>=-NL("Sum","32 Item Ledger Entry","12 Quantity","5 Source no.",$C1210,"3 Posting Date",U$9,"4 Entry Type",$C$4,"2 Item No.","@@"&amp;$F1210)</t>
  </si>
  <si>
    <t>=-NL("Sum","32 Item Ledger Entry","12 Quantity","5 Source no.",$C1211,"3 Posting Date",U$9,"4 Entry Type",$C$4,"2 Item No.","@@"&amp;$F1211)</t>
  </si>
  <si>
    <t>=-NL("Sum","32 Item Ledger Entry","12 Quantity","5 Source no.",$C1212,"3 Posting Date",U$9,"4 Entry Type",$C$4,"2 Item No.","@@"&amp;$F1212)</t>
  </si>
  <si>
    <t>=-NL("Sum","32 Item Ledger Entry","12 Quantity","5 Source no.",$C1213,"3 Posting Date",U$9,"4 Entry Type",$C$4,"2 Item No.","@@"&amp;$F1213)</t>
  </si>
  <si>
    <t>=-NL("Sum","32 Item Ledger Entry","12 Quantity","5 Source no.",$C1214,"3 Posting Date",U$9,"4 Entry Type",$C$4,"2 Item No.","@@"&amp;$F1214)</t>
  </si>
  <si>
    <t>=-NL("Sum","32 Item Ledger Entry","12 Quantity","5 Source no.",$C1215,"3 Posting Date",U$9,"4 Entry Type",$C$4,"2 Item No.","@@"&amp;$F1215)</t>
  </si>
  <si>
    <t>=-NL("Sum","32 Item Ledger Entry","12 Quantity","5 Source no.",$C1216,"3 Posting Date",U$9,"4 Entry Type",$C$4,"2 Item No.","@@"&amp;$F1216)</t>
  </si>
  <si>
    <t>=-NL("Sum","32 Item Ledger Entry","12 Quantity","5 Source no.",$C1217,"3 Posting Date",U$9,"4 Entry Type",$C$4,"2 Item No.","@@"&amp;$F1217)</t>
  </si>
  <si>
    <t>=-NL("Sum","32 Item Ledger Entry","12 Quantity","5 Source no.",$C1218,"3 Posting Date",U$9,"4 Entry Type",$C$4,"2 Item No.","@@"&amp;$F1218)</t>
  </si>
  <si>
    <t>=-NL("Sum","32 Item Ledger Entry","12 Quantity","5 Source no.",$C1219,"3 Posting Date",U$9,"4 Entry Type",$C$4,"2 Item No.","@@"&amp;$F1219)</t>
  </si>
  <si>
    <t>=-NL("Sum","32 Item Ledger Entry","12 Quantity","5 Source no.",$C1220,"3 Posting Date",U$9,"4 Entry Type",$C$4,"2 Item No.","@@"&amp;$F1220)</t>
  </si>
  <si>
    <t>=-NL("Sum","32 Item Ledger Entry","12 Quantity","5 Source no.",$C1221,"3 Posting Date",U$9,"4 Entry Type",$C$4,"2 Item No.","@@"&amp;$F1221)</t>
  </si>
  <si>
    <t>=-NL("Sum","32 Item Ledger Entry","12 Quantity","5 Source no.",$C1222,"3 Posting Date",U$9,"4 Entry Type",$C$4,"2 Item No.","@@"&amp;$F1222)</t>
  </si>
  <si>
    <t>=-NL("Sum","32 Item Ledger Entry","12 Quantity","5 Source no.",$C1223,"3 Posting Date",U$9,"4 Entry Type",$C$4,"2 Item No.","@@"&amp;$F1223)</t>
  </si>
  <si>
    <t>=-NL("Sum","32 Item Ledger Entry","12 Quantity","5 Source no.",$C1224,"3 Posting Date",U$9,"4 Entry Type",$C$4,"2 Item No.","@@"&amp;$F1224)</t>
  </si>
  <si>
    <t>=-NL("Sum","32 Item Ledger Entry","12 Quantity","5 Source no.",$C1225,"3 Posting Date",U$9,"4 Entry Type",$C$4,"2 Item No.","@@"&amp;$F1225)</t>
  </si>
  <si>
    <t>=-NL("Sum","32 Item Ledger Entry","12 Quantity","5 Source no.",$C1226,"3 Posting Date",U$9,"4 Entry Type",$C$4,"2 Item No.","@@"&amp;$F1226)</t>
  </si>
  <si>
    <t>=-NL("Sum","32 Item Ledger Entry","12 Quantity","5 Source no.",$C1196,"3 Posting Date",Z$9,"4 Entry Type",$C$4,"2 Item No.","@@"&amp;$F1196)</t>
  </si>
  <si>
    <t>=-NL("Sum","32 Item Ledger Entry","12 Quantity","5 Source no.",$C1197,"3 Posting Date",Z$9,"4 Entry Type",$C$4,"2 Item No.","@@"&amp;$F1197)</t>
  </si>
  <si>
    <t>=-NL("Sum","32 Item Ledger Entry","12 Quantity","5 Source no.",$C1198,"3 Posting Date",Z$9,"4 Entry Type",$C$4,"2 Item No.","@@"&amp;$F1198)</t>
  </si>
  <si>
    <t>=-NL("Sum","32 Item Ledger Entry","12 Quantity","5 Source no.",$C1199,"3 Posting Date",Z$9,"4 Entry Type",$C$4,"2 Item No.","@@"&amp;$F1199)</t>
  </si>
  <si>
    <t>=-NL("Sum","32 Item Ledger Entry","12 Quantity","5 Source no.",$C1200,"3 Posting Date",Z$9,"4 Entry Type",$C$4,"2 Item No.","@@"&amp;$F1200)</t>
  </si>
  <si>
    <t>=-NL("Sum","32 Item Ledger Entry","12 Quantity","5 Source no.",$C1201,"3 Posting Date",Z$9,"4 Entry Type",$C$4,"2 Item No.","@@"&amp;$F1201)</t>
  </si>
  <si>
    <t>=-NL("Sum","32 Item Ledger Entry","12 Quantity","5 Source no.",$C1202,"3 Posting Date",Z$9,"4 Entry Type",$C$4,"2 Item No.","@@"&amp;$F1202)</t>
  </si>
  <si>
    <t>=-NL("Sum","32 Item Ledger Entry","12 Quantity","5 Source no.",$C1203,"3 Posting Date",Z$9,"4 Entry Type",$C$4,"2 Item No.","@@"&amp;$F1203)</t>
  </si>
  <si>
    <t>=-NL("Sum","32 Item Ledger Entry","12 Quantity","5 Source no.",$C1204,"3 Posting Date",Z$9,"4 Entry Type",$C$4,"2 Item No.","@@"&amp;$F1204)</t>
  </si>
  <si>
    <t>=-NL("Sum","32 Item Ledger Entry","12 Quantity","5 Source no.",$C1205,"3 Posting Date",Z$9,"4 Entry Type",$C$4,"2 Item No.","@@"&amp;$F1205)</t>
  </si>
  <si>
    <t>=-NL("Sum","32 Item Ledger Entry","12 Quantity","5 Source no.",$C1206,"3 Posting Date",Z$9,"4 Entry Type",$C$4,"2 Item No.","@@"&amp;$F1206)</t>
  </si>
  <si>
    <t>=-NL("Sum","32 Item Ledger Entry","12 Quantity","5 Source no.",$C1207,"3 Posting Date",Z$9,"4 Entry Type",$C$4,"2 Item No.","@@"&amp;$F1207)</t>
  </si>
  <si>
    <t>=-NL("Sum","32 Item Ledger Entry","12 Quantity","5 Source no.",$C1208,"3 Posting Date",Z$9,"4 Entry Type",$C$4,"2 Item No.","@@"&amp;$F1208)</t>
  </si>
  <si>
    <t>=-NL("Sum","32 Item Ledger Entry","12 Quantity","5 Source no.",$C1209,"3 Posting Date",Z$9,"4 Entry Type",$C$4,"2 Item No.","@@"&amp;$F1209)</t>
  </si>
  <si>
    <t>=-NL("Sum","32 Item Ledger Entry","12 Quantity","5 Source no.",$C1210,"3 Posting Date",Z$9,"4 Entry Type",$C$4,"2 Item No.","@@"&amp;$F1210)</t>
  </si>
  <si>
    <t>=-NL("Sum","32 Item Ledger Entry","12 Quantity","5 Source no.",$C1211,"3 Posting Date",Z$9,"4 Entry Type",$C$4,"2 Item No.","@@"&amp;$F1211)</t>
  </si>
  <si>
    <t>=-NL("Sum","32 Item Ledger Entry","12 Quantity","5 Source no.",$C1212,"3 Posting Date",Z$9,"4 Entry Type",$C$4,"2 Item No.","@@"&amp;$F1212)</t>
  </si>
  <si>
    <t>=-NL("Sum","32 Item Ledger Entry","12 Quantity","5 Source no.",$C1213,"3 Posting Date",Z$9,"4 Entry Type",$C$4,"2 Item No.","@@"&amp;$F1213)</t>
  </si>
  <si>
    <t>=-NL("Sum","32 Item Ledger Entry","12 Quantity","5 Source no.",$C1214,"3 Posting Date",Z$9,"4 Entry Type",$C$4,"2 Item No.","@@"&amp;$F1214)</t>
  </si>
  <si>
    <t>=-NL("Sum","32 Item Ledger Entry","12 Quantity","5 Source no.",$C1215,"3 Posting Date",Z$9,"4 Entry Type",$C$4,"2 Item No.","@@"&amp;$F1215)</t>
  </si>
  <si>
    <t>=-NL("Sum","32 Item Ledger Entry","12 Quantity","5 Source no.",$C1216,"3 Posting Date",Z$9,"4 Entry Type",$C$4,"2 Item No.","@@"&amp;$F1216)</t>
  </si>
  <si>
    <t>=-NL("Sum","32 Item Ledger Entry","12 Quantity","5 Source no.",$C1217,"3 Posting Date",Z$9,"4 Entry Type",$C$4,"2 Item No.","@@"&amp;$F1217)</t>
  </si>
  <si>
    <t>=-NL("Sum","32 Item Ledger Entry","12 Quantity","5 Source no.",$C1218,"3 Posting Date",Z$9,"4 Entry Type",$C$4,"2 Item No.","@@"&amp;$F1218)</t>
  </si>
  <si>
    <t>=-NL("Sum","32 Item Ledger Entry","12 Quantity","5 Source no.",$C1219,"3 Posting Date",Z$9,"4 Entry Type",$C$4,"2 Item No.","@@"&amp;$F1219)</t>
  </si>
  <si>
    <t>=-NL("Sum","32 Item Ledger Entry","12 Quantity","5 Source no.",$C1220,"3 Posting Date",Z$9,"4 Entry Type",$C$4,"2 Item No.","@@"&amp;$F1220)</t>
  </si>
  <si>
    <t>=-NL("Sum","32 Item Ledger Entry","12 Quantity","5 Source no.",$C1221,"3 Posting Date",Z$9,"4 Entry Type",$C$4,"2 Item No.","@@"&amp;$F1221)</t>
  </si>
  <si>
    <t>=-NL("Sum","32 Item Ledger Entry","12 Quantity","5 Source no.",$C1222,"3 Posting Date",Z$9,"4 Entry Type",$C$4,"2 Item No.","@@"&amp;$F1222)</t>
  </si>
  <si>
    <t>=-NL("Sum","32 Item Ledger Entry","12 Quantity","5 Source no.",$C1223,"3 Posting Date",Z$9,"4 Entry Type",$C$4,"2 Item No.","@@"&amp;$F1223)</t>
  </si>
  <si>
    <t>=-NL("Sum","32 Item Ledger Entry","12 Quantity","5 Source no.",$C1224,"3 Posting Date",Z$9,"4 Entry Type",$C$4,"2 Item No.","@@"&amp;$F1224)</t>
  </si>
  <si>
    <t>=-NL("Sum","32 Item Ledger Entry","12 Quantity","5 Source no.",$C1225,"3 Posting Date",Z$9,"4 Entry Type",$C$4,"2 Item No.","@@"&amp;$F1225)</t>
  </si>
  <si>
    <t>=-NL("Sum","32 Item Ledger Entry","12 Quantity","5 Source no.",$C1226,"3 Posting Date",Z$9,"4 Entry Type",$C$4,"2 Item No.","@@"&amp;$F1226)</t>
  </si>
  <si>
    <t>=NL(,"27 Item","3 Description","1 No.","@@"&amp;F1155)</t>
  </si>
  <si>
    <t>=NL(,"27 Item","3 Description","1 No.","@@"&amp;F1156)</t>
  </si>
  <si>
    <t>=NL(,"27 Item","3 Description","1 No.","@@"&amp;F1157)</t>
  </si>
  <si>
    <t>=NL(,"27 Item","3 Description","1 No.","@@"&amp;F1158)</t>
  </si>
  <si>
    <t>=NL(,"27 Item","3 Description","1 No.","@@"&amp;F1159)</t>
  </si>
  <si>
    <t>=NL(,"27 Item","3 Description","1 No.","@@"&amp;F1160)</t>
  </si>
  <si>
    <t>=NL(,"27 Item","3 Description","1 No.","@@"&amp;F1161)</t>
  </si>
  <si>
    <t>=NL(,"27 Item","3 Description","1 No.","@@"&amp;F1162)</t>
  </si>
  <si>
    <t>=NL(,"27 Item","3 Description","1 No.","@@"&amp;F1163)</t>
  </si>
  <si>
    <t>=NL(,"27 Item","3 Description","1 No.","@@"&amp;F1164)</t>
  </si>
  <si>
    <t>=NL(,"27 Item","3 Description","1 No.","@@"&amp;F1165)</t>
  </si>
  <si>
    <t>=NL(,"27 Item","3 Description","1 No.","@@"&amp;F1166)</t>
  </si>
  <si>
    <t>=NL(,"27 Item","3 Description","1 No.","@@"&amp;F1167)</t>
  </si>
  <si>
    <t>=NL(,"27 Item","3 Description","1 No.","@@"&amp;F1168)</t>
  </si>
  <si>
    <t>=NL(,"27 Item","3 Description","1 No.","@@"&amp;F1169)</t>
  </si>
  <si>
    <t>=NL(,"27 Item","3 Description","1 No.","@@"&amp;F1170)</t>
  </si>
  <si>
    <t>=NL(,"27 Item","3 Description","1 No.","@@"&amp;F1171)</t>
  </si>
  <si>
    <t>=NL(,"27 Item","3 Description","1 No.","@@"&amp;F1172)</t>
  </si>
  <si>
    <t>=NL(,"27 Item","3 Description","1 No.","@@"&amp;F1173)</t>
  </si>
  <si>
    <t>=NL(,"27 Item","3 Description","1 No.","@@"&amp;F1174)</t>
  </si>
  <si>
    <t>=NL(,"27 Item","3 Description","1 No.","@@"&amp;F1175)</t>
  </si>
  <si>
    <t>=NL(,"27 Item","3 Description","1 No.","@@"&amp;F1176)</t>
  </si>
  <si>
    <t>=NL(,"27 Item","3 Description","1 No.","@@"&amp;F1177)</t>
  </si>
  <si>
    <t>=NL(,"27 Item","3 Description","1 No.","@@"&amp;F1178)</t>
  </si>
  <si>
    <t>=NL(,"27 Item","3 Description","1 No.","@@"&amp;F1179)</t>
  </si>
  <si>
    <t>=NL(,"27 Item","3 Description","1 No.","@@"&amp;F1180)</t>
  </si>
  <si>
    <t>=NL(,"27 Item","3 Description","1 No.","@@"&amp;F1181)</t>
  </si>
  <si>
    <t>=NL(,"27 Item","3 Description","1 No.","@@"&amp;F1182)</t>
  </si>
  <si>
    <t>=NL(,"27 Item","3 Description","1 No.","@@"&amp;F1183)</t>
  </si>
  <si>
    <t>=NL(,"27 Item","3 Description","1 No.","@@"&amp;F1184)</t>
  </si>
  <si>
    <t>=NL(,"27 Item","3 Description","1 No.","@@"&amp;F1185)</t>
  </si>
  <si>
    <t>=NL(,"27 Item","3 Description","1 No.","@@"&amp;F1186)</t>
  </si>
  <si>
    <t>=NL(,"27 Item","3 Description","1 No.","@@"&amp;F1187)</t>
  </si>
  <si>
    <t>=NL(,"27 Item","3 Description","1 No.","@@"&amp;F1188)</t>
  </si>
  <si>
    <t>=NL(,"27 Item","3 Description","1 No.","@@"&amp;F1189)</t>
  </si>
  <si>
    <t>=NL(,"27 Item","3 Description","1 No.","@@"&amp;F1190)</t>
  </si>
  <si>
    <t>=-NL("Sum","32 Item Ledger Entry","12 Quantity","5 Source no.",$C1155,"3 Posting Date",J$9,"4 Entry Type",$C$4,"2 Item No.","@@"&amp;$F1155)</t>
  </si>
  <si>
    <t>=-NL("Sum","32 Item Ledger Entry","12 Quantity","5 Source no.",$C1156,"3 Posting Date",J$9,"4 Entry Type",$C$4,"2 Item No.","@@"&amp;$F1156)</t>
  </si>
  <si>
    <t>=-NL("Sum","32 Item Ledger Entry","12 Quantity","5 Source no.",$C1157,"3 Posting Date",J$9,"4 Entry Type",$C$4,"2 Item No.","@@"&amp;$F1157)</t>
  </si>
  <si>
    <t>=-NL("Sum","32 Item Ledger Entry","12 Quantity","5 Source no.",$C1158,"3 Posting Date",J$9,"4 Entry Type",$C$4,"2 Item No.","@@"&amp;$F1158)</t>
  </si>
  <si>
    <t>=-NL("Sum","32 Item Ledger Entry","12 Quantity","5 Source no.",$C1159,"3 Posting Date",J$9,"4 Entry Type",$C$4,"2 Item No.","@@"&amp;$F1159)</t>
  </si>
  <si>
    <t>=-NL("Sum","32 Item Ledger Entry","12 Quantity","5 Source no.",$C1160,"3 Posting Date",J$9,"4 Entry Type",$C$4,"2 Item No.","@@"&amp;$F1160)</t>
  </si>
  <si>
    <t>=-NL("Sum","32 Item Ledger Entry","12 Quantity","5 Source no.",$C1161,"3 Posting Date",J$9,"4 Entry Type",$C$4,"2 Item No.","@@"&amp;$F1161)</t>
  </si>
  <si>
    <t>=-NL("Sum","32 Item Ledger Entry","12 Quantity","5 Source no.",$C1162,"3 Posting Date",J$9,"4 Entry Type",$C$4,"2 Item No.","@@"&amp;$F1162)</t>
  </si>
  <si>
    <t>=-NL("Sum","32 Item Ledger Entry","12 Quantity","5 Source no.",$C1163,"3 Posting Date",J$9,"4 Entry Type",$C$4,"2 Item No.","@@"&amp;$F1163)</t>
  </si>
  <si>
    <t>=-NL("Sum","32 Item Ledger Entry","12 Quantity","5 Source no.",$C1164,"3 Posting Date",J$9,"4 Entry Type",$C$4,"2 Item No.","@@"&amp;$F1164)</t>
  </si>
  <si>
    <t>=-NL("Sum","32 Item Ledger Entry","12 Quantity","5 Source no.",$C1165,"3 Posting Date",J$9,"4 Entry Type",$C$4,"2 Item No.","@@"&amp;$F1165)</t>
  </si>
  <si>
    <t>=-NL("Sum","32 Item Ledger Entry","12 Quantity","5 Source no.",$C1166,"3 Posting Date",J$9,"4 Entry Type",$C$4,"2 Item No.","@@"&amp;$F1166)</t>
  </si>
  <si>
    <t>=-NL("Sum","32 Item Ledger Entry","12 Quantity","5 Source no.",$C1167,"3 Posting Date",J$9,"4 Entry Type",$C$4,"2 Item No.","@@"&amp;$F1167)</t>
  </si>
  <si>
    <t>=-NL("Sum","32 Item Ledger Entry","12 Quantity","5 Source no.",$C1168,"3 Posting Date",J$9,"4 Entry Type",$C$4,"2 Item No.","@@"&amp;$F1168)</t>
  </si>
  <si>
    <t>=-NL("Sum","32 Item Ledger Entry","12 Quantity","5 Source no.",$C1169,"3 Posting Date",J$9,"4 Entry Type",$C$4,"2 Item No.","@@"&amp;$F1169)</t>
  </si>
  <si>
    <t>=-NL("Sum","32 Item Ledger Entry","12 Quantity","5 Source no.",$C1170,"3 Posting Date",J$9,"4 Entry Type",$C$4,"2 Item No.","@@"&amp;$F1170)</t>
  </si>
  <si>
    <t>=-NL("Sum","32 Item Ledger Entry","12 Quantity","5 Source no.",$C1171,"3 Posting Date",J$9,"4 Entry Type",$C$4,"2 Item No.","@@"&amp;$F1171)</t>
  </si>
  <si>
    <t>=-NL("Sum","32 Item Ledger Entry","12 Quantity","5 Source no.",$C1172,"3 Posting Date",J$9,"4 Entry Type",$C$4,"2 Item No.","@@"&amp;$F1172)</t>
  </si>
  <si>
    <t>=-NL("Sum","32 Item Ledger Entry","12 Quantity","5 Source no.",$C1173,"3 Posting Date",J$9,"4 Entry Type",$C$4,"2 Item No.","@@"&amp;$F1173)</t>
  </si>
  <si>
    <t>=-NL("Sum","32 Item Ledger Entry","12 Quantity","5 Source no.",$C1174,"3 Posting Date",J$9,"4 Entry Type",$C$4,"2 Item No.","@@"&amp;$F1174)</t>
  </si>
  <si>
    <t>=-NL("Sum","32 Item Ledger Entry","12 Quantity","5 Source no.",$C1175,"3 Posting Date",J$9,"4 Entry Type",$C$4,"2 Item No.","@@"&amp;$F1175)</t>
  </si>
  <si>
    <t>=-NL("Sum","32 Item Ledger Entry","12 Quantity","5 Source no.",$C1176,"3 Posting Date",J$9,"4 Entry Type",$C$4,"2 Item No.","@@"&amp;$F1176)</t>
  </si>
  <si>
    <t>=-NL("Sum","32 Item Ledger Entry","12 Quantity","5 Source no.",$C1177,"3 Posting Date",J$9,"4 Entry Type",$C$4,"2 Item No.","@@"&amp;$F1177)</t>
  </si>
  <si>
    <t>=-NL("Sum","32 Item Ledger Entry","12 Quantity","5 Source no.",$C1178,"3 Posting Date",J$9,"4 Entry Type",$C$4,"2 Item No.","@@"&amp;$F1178)</t>
  </si>
  <si>
    <t>=-NL("Sum","32 Item Ledger Entry","12 Quantity","5 Source no.",$C1179,"3 Posting Date",J$9,"4 Entry Type",$C$4,"2 Item No.","@@"&amp;$F1179)</t>
  </si>
  <si>
    <t>=-NL("Sum","32 Item Ledger Entry","12 Quantity","5 Source no.",$C1180,"3 Posting Date",J$9,"4 Entry Type",$C$4,"2 Item No.","@@"&amp;$F1180)</t>
  </si>
  <si>
    <t>=-NL("Sum","32 Item Ledger Entry","12 Quantity","5 Source no.",$C1181,"3 Posting Date",J$9,"4 Entry Type",$C$4,"2 Item No.","@@"&amp;$F1181)</t>
  </si>
  <si>
    <t>=-NL("Sum","32 Item Ledger Entry","12 Quantity","5 Source no.",$C1182,"3 Posting Date",J$9,"4 Entry Type",$C$4,"2 Item No.","@@"&amp;$F1182)</t>
  </si>
  <si>
    <t>=-NL("Sum","32 Item Ledger Entry","12 Quantity","5 Source no.",$C1183,"3 Posting Date",J$9,"4 Entry Type",$C$4,"2 Item No.","@@"&amp;$F1183)</t>
  </si>
  <si>
    <t>=-NL("Sum","32 Item Ledger Entry","12 Quantity","5 Source no.",$C1184,"3 Posting Date",J$9,"4 Entry Type",$C$4,"2 Item No.","@@"&amp;$F1184)</t>
  </si>
  <si>
    <t>=-NL("Sum","32 Item Ledger Entry","12 Quantity","5 Source no.",$C1185,"3 Posting Date",J$9,"4 Entry Type",$C$4,"2 Item No.","@@"&amp;$F1185)</t>
  </si>
  <si>
    <t>=-NL("Sum","32 Item Ledger Entry","12 Quantity","5 Source no.",$C1186,"3 Posting Date",J$9,"4 Entry Type",$C$4,"2 Item No.","@@"&amp;$F1186)</t>
  </si>
  <si>
    <t>=-NL("Sum","32 Item Ledger Entry","12 Quantity","5 Source no.",$C1187,"3 Posting Date",J$9,"4 Entry Type",$C$4,"2 Item No.","@@"&amp;$F1187)</t>
  </si>
  <si>
    <t>=-NL("Sum","32 Item Ledger Entry","12 Quantity","5 Source no.",$C1188,"3 Posting Date",J$9,"4 Entry Type",$C$4,"2 Item No.","@@"&amp;$F1188)</t>
  </si>
  <si>
    <t>=-NL("Sum","32 Item Ledger Entry","12 Quantity","5 Source no.",$C1189,"3 Posting Date",J$9,"4 Entry Type",$C$4,"2 Item No.","@@"&amp;$F1189)</t>
  </si>
  <si>
    <t>=-NL("Sum","32 Item Ledger Entry","12 Quantity","5 Source no.",$C1190,"3 Posting Date",J$9,"4 Entry Type",$C$4,"2 Item No.","@@"&amp;$F1190)</t>
  </si>
  <si>
    <t>=-NL("Sum","32 Item Ledger Entry","12 Quantity","5 Source no.",$C1155,"3 Posting Date",O$9,"4 Entry Type",$C$4,"2 Item No.","@@"&amp;$F1155)</t>
  </si>
  <si>
    <t>=-NL("Sum","32 Item Ledger Entry","12 Quantity","5 Source no.",$C1156,"3 Posting Date",O$9,"4 Entry Type",$C$4,"2 Item No.","@@"&amp;$F1156)</t>
  </si>
  <si>
    <t>=-NL("Sum","32 Item Ledger Entry","12 Quantity","5 Source no.",$C1157,"3 Posting Date",O$9,"4 Entry Type",$C$4,"2 Item No.","@@"&amp;$F1157)</t>
  </si>
  <si>
    <t>=-NL("Sum","32 Item Ledger Entry","12 Quantity","5 Source no.",$C1158,"3 Posting Date",O$9,"4 Entry Type",$C$4,"2 Item No.","@@"&amp;$F1158)</t>
  </si>
  <si>
    <t>=-NL("Sum","32 Item Ledger Entry","12 Quantity","5 Source no.",$C1159,"3 Posting Date",O$9,"4 Entry Type",$C$4,"2 Item No.","@@"&amp;$F1159)</t>
  </si>
  <si>
    <t>=-NL("Sum","32 Item Ledger Entry","12 Quantity","5 Source no.",$C1160,"3 Posting Date",O$9,"4 Entry Type",$C$4,"2 Item No.","@@"&amp;$F1160)</t>
  </si>
  <si>
    <t>=-NL("Sum","32 Item Ledger Entry","12 Quantity","5 Source no.",$C1161,"3 Posting Date",O$9,"4 Entry Type",$C$4,"2 Item No.","@@"&amp;$F1161)</t>
  </si>
  <si>
    <t>=-NL("Sum","32 Item Ledger Entry","12 Quantity","5 Source no.",$C1162,"3 Posting Date",O$9,"4 Entry Type",$C$4,"2 Item No.","@@"&amp;$F1162)</t>
  </si>
  <si>
    <t>=-NL("Sum","32 Item Ledger Entry","12 Quantity","5 Source no.",$C1163,"3 Posting Date",O$9,"4 Entry Type",$C$4,"2 Item No.","@@"&amp;$F1163)</t>
  </si>
  <si>
    <t>=-NL("Sum","32 Item Ledger Entry","12 Quantity","5 Source no.",$C1164,"3 Posting Date",O$9,"4 Entry Type",$C$4,"2 Item No.","@@"&amp;$F1164)</t>
  </si>
  <si>
    <t>=-NL("Sum","32 Item Ledger Entry","12 Quantity","5 Source no.",$C1165,"3 Posting Date",O$9,"4 Entry Type",$C$4,"2 Item No.","@@"&amp;$F1165)</t>
  </si>
  <si>
    <t>=-NL("Sum","32 Item Ledger Entry","12 Quantity","5 Source no.",$C1166,"3 Posting Date",O$9,"4 Entry Type",$C$4,"2 Item No.","@@"&amp;$F1166)</t>
  </si>
  <si>
    <t>=-NL("Sum","32 Item Ledger Entry","12 Quantity","5 Source no.",$C1167,"3 Posting Date",O$9,"4 Entry Type",$C$4,"2 Item No.","@@"&amp;$F1167)</t>
  </si>
  <si>
    <t>=-NL("Sum","32 Item Ledger Entry","12 Quantity","5 Source no.",$C1168,"3 Posting Date",O$9,"4 Entry Type",$C$4,"2 Item No.","@@"&amp;$F1168)</t>
  </si>
  <si>
    <t>=-NL("Sum","32 Item Ledger Entry","12 Quantity","5 Source no.",$C1169,"3 Posting Date",O$9,"4 Entry Type",$C$4,"2 Item No.","@@"&amp;$F1169)</t>
  </si>
  <si>
    <t>=-NL("Sum","32 Item Ledger Entry","12 Quantity","5 Source no.",$C1170,"3 Posting Date",O$9,"4 Entry Type",$C$4,"2 Item No.","@@"&amp;$F1170)</t>
  </si>
  <si>
    <t>=-NL("Sum","32 Item Ledger Entry","12 Quantity","5 Source no.",$C1171,"3 Posting Date",O$9,"4 Entry Type",$C$4,"2 Item No.","@@"&amp;$F1171)</t>
  </si>
  <si>
    <t>=-NL("Sum","32 Item Ledger Entry","12 Quantity","5 Source no.",$C1172,"3 Posting Date",O$9,"4 Entry Type",$C$4,"2 Item No.","@@"&amp;$F1172)</t>
  </si>
  <si>
    <t>=-NL("Sum","32 Item Ledger Entry","12 Quantity","5 Source no.",$C1173,"3 Posting Date",O$9,"4 Entry Type",$C$4,"2 Item No.","@@"&amp;$F1173)</t>
  </si>
  <si>
    <t>=-NL("Sum","32 Item Ledger Entry","12 Quantity","5 Source no.",$C1174,"3 Posting Date",O$9,"4 Entry Type",$C$4,"2 Item No.","@@"&amp;$F1174)</t>
  </si>
  <si>
    <t>=-NL("Sum","32 Item Ledger Entry","12 Quantity","5 Source no.",$C1175,"3 Posting Date",O$9,"4 Entry Type",$C$4,"2 Item No.","@@"&amp;$F1175)</t>
  </si>
  <si>
    <t>=-NL("Sum","32 Item Ledger Entry","12 Quantity","5 Source no.",$C1176,"3 Posting Date",O$9,"4 Entry Type",$C$4,"2 Item No.","@@"&amp;$F1176)</t>
  </si>
  <si>
    <t>=-NL("Sum","32 Item Ledger Entry","12 Quantity","5 Source no.",$C1177,"3 Posting Date",O$9,"4 Entry Type",$C$4,"2 Item No.","@@"&amp;$F1177)</t>
  </si>
  <si>
    <t>=-NL("Sum","32 Item Ledger Entry","12 Quantity","5 Source no.",$C1178,"3 Posting Date",O$9,"4 Entry Type",$C$4,"2 Item No.","@@"&amp;$F1178)</t>
  </si>
  <si>
    <t>=-NL("Sum","32 Item Ledger Entry","12 Quantity","5 Source no.",$C1179,"3 Posting Date",O$9,"4 Entry Type",$C$4,"2 Item No.","@@"&amp;$F1179)</t>
  </si>
  <si>
    <t>=-NL("Sum","32 Item Ledger Entry","12 Quantity","5 Source no.",$C1180,"3 Posting Date",O$9,"4 Entry Type",$C$4,"2 Item No.","@@"&amp;$F1180)</t>
  </si>
  <si>
    <t>=-NL("Sum","32 Item Ledger Entry","12 Quantity","5 Source no.",$C1181,"3 Posting Date",O$9,"4 Entry Type",$C$4,"2 Item No.","@@"&amp;$F1181)</t>
  </si>
  <si>
    <t>=-NL("Sum","32 Item Ledger Entry","12 Quantity","5 Source no.",$C1182,"3 Posting Date",O$9,"4 Entry Type",$C$4,"2 Item No.","@@"&amp;$F1182)</t>
  </si>
  <si>
    <t>=-NL("Sum","32 Item Ledger Entry","12 Quantity","5 Source no.",$C1183,"3 Posting Date",O$9,"4 Entry Type",$C$4,"2 Item No.","@@"&amp;$F1183)</t>
  </si>
  <si>
    <t>=-NL("Sum","32 Item Ledger Entry","12 Quantity","5 Source no.",$C1184,"3 Posting Date",O$9,"4 Entry Type",$C$4,"2 Item No.","@@"&amp;$F1184)</t>
  </si>
  <si>
    <t>=-NL("Sum","32 Item Ledger Entry","12 Quantity","5 Source no.",$C1185,"3 Posting Date",O$9,"4 Entry Type",$C$4,"2 Item No.","@@"&amp;$F1185)</t>
  </si>
  <si>
    <t>=-NL("Sum","32 Item Ledger Entry","12 Quantity","5 Source no.",$C1186,"3 Posting Date",O$9,"4 Entry Type",$C$4,"2 Item No.","@@"&amp;$F1186)</t>
  </si>
  <si>
    <t>=-NL("Sum","32 Item Ledger Entry","12 Quantity","5 Source no.",$C1187,"3 Posting Date",O$9,"4 Entry Type",$C$4,"2 Item No.","@@"&amp;$F1187)</t>
  </si>
  <si>
    <t>=-NL("Sum","32 Item Ledger Entry","12 Quantity","5 Source no.",$C1188,"3 Posting Date",O$9,"4 Entry Type",$C$4,"2 Item No.","@@"&amp;$F1188)</t>
  </si>
  <si>
    <t>=-NL("Sum","32 Item Ledger Entry","12 Quantity","5 Source no.",$C1189,"3 Posting Date",O$9,"4 Entry Type",$C$4,"2 Item No.","@@"&amp;$F1189)</t>
  </si>
  <si>
    <t>=-NL("Sum","32 Item Ledger Entry","12 Quantity","5 Source no.",$C1190,"3 Posting Date",O$9,"4 Entry Type",$C$4,"2 Item No.","@@"&amp;$F1190)</t>
  </si>
  <si>
    <t>=-NL("Sum","32 Item Ledger Entry","12 Quantity","5 Source no.",$C1155,"3 Posting Date",U$9,"4 Entry Type",$C$4,"2 Item No.","@@"&amp;$F1155)</t>
  </si>
  <si>
    <t>=-NL("Sum","32 Item Ledger Entry","12 Quantity","5 Source no.",$C1156,"3 Posting Date",U$9,"4 Entry Type",$C$4,"2 Item No.","@@"&amp;$F1156)</t>
  </si>
  <si>
    <t>=-NL("Sum","32 Item Ledger Entry","12 Quantity","5 Source no.",$C1157,"3 Posting Date",U$9,"4 Entry Type",$C$4,"2 Item No.","@@"&amp;$F1157)</t>
  </si>
  <si>
    <t>=-NL("Sum","32 Item Ledger Entry","12 Quantity","5 Source no.",$C1158,"3 Posting Date",U$9,"4 Entry Type",$C$4,"2 Item No.","@@"&amp;$F1158)</t>
  </si>
  <si>
    <t>=-NL("Sum","32 Item Ledger Entry","12 Quantity","5 Source no.",$C1159,"3 Posting Date",U$9,"4 Entry Type",$C$4,"2 Item No.","@@"&amp;$F1159)</t>
  </si>
  <si>
    <t>=-NL("Sum","32 Item Ledger Entry","12 Quantity","5 Source no.",$C1160,"3 Posting Date",U$9,"4 Entry Type",$C$4,"2 Item No.","@@"&amp;$F1160)</t>
  </si>
  <si>
    <t>=-NL("Sum","32 Item Ledger Entry","12 Quantity","5 Source no.",$C1161,"3 Posting Date",U$9,"4 Entry Type",$C$4,"2 Item No.","@@"&amp;$F1161)</t>
  </si>
  <si>
    <t>=-NL("Sum","32 Item Ledger Entry","12 Quantity","5 Source no.",$C1162,"3 Posting Date",U$9,"4 Entry Type",$C$4,"2 Item No.","@@"&amp;$F1162)</t>
  </si>
  <si>
    <t>=-NL("Sum","32 Item Ledger Entry","12 Quantity","5 Source no.",$C1163,"3 Posting Date",U$9,"4 Entry Type",$C$4,"2 Item No.","@@"&amp;$F1163)</t>
  </si>
  <si>
    <t>=-NL("Sum","32 Item Ledger Entry","12 Quantity","5 Source no.",$C1164,"3 Posting Date",U$9,"4 Entry Type",$C$4,"2 Item No.","@@"&amp;$F1164)</t>
  </si>
  <si>
    <t>=-NL("Sum","32 Item Ledger Entry","12 Quantity","5 Source no.",$C1165,"3 Posting Date",U$9,"4 Entry Type",$C$4,"2 Item No.","@@"&amp;$F1165)</t>
  </si>
  <si>
    <t>=-NL("Sum","32 Item Ledger Entry","12 Quantity","5 Source no.",$C1166,"3 Posting Date",U$9,"4 Entry Type",$C$4,"2 Item No.","@@"&amp;$F1166)</t>
  </si>
  <si>
    <t>=-NL("Sum","32 Item Ledger Entry","12 Quantity","5 Source no.",$C1167,"3 Posting Date",U$9,"4 Entry Type",$C$4,"2 Item No.","@@"&amp;$F1167)</t>
  </si>
  <si>
    <t>=-NL("Sum","32 Item Ledger Entry","12 Quantity","5 Source no.",$C1168,"3 Posting Date",U$9,"4 Entry Type",$C$4,"2 Item No.","@@"&amp;$F1168)</t>
  </si>
  <si>
    <t>=-NL("Sum","32 Item Ledger Entry","12 Quantity","5 Source no.",$C1169,"3 Posting Date",U$9,"4 Entry Type",$C$4,"2 Item No.","@@"&amp;$F1169)</t>
  </si>
  <si>
    <t>=-NL("Sum","32 Item Ledger Entry","12 Quantity","5 Source no.",$C1170,"3 Posting Date",U$9,"4 Entry Type",$C$4,"2 Item No.","@@"&amp;$F1170)</t>
  </si>
  <si>
    <t>=-NL("Sum","32 Item Ledger Entry","12 Quantity","5 Source no.",$C1171,"3 Posting Date",U$9,"4 Entry Type",$C$4,"2 Item No.","@@"&amp;$F1171)</t>
  </si>
  <si>
    <t>=-NL("Sum","32 Item Ledger Entry","12 Quantity","5 Source no.",$C1172,"3 Posting Date",U$9,"4 Entry Type",$C$4,"2 Item No.","@@"&amp;$F1172)</t>
  </si>
  <si>
    <t>=-NL("Sum","32 Item Ledger Entry","12 Quantity","5 Source no.",$C1173,"3 Posting Date",U$9,"4 Entry Type",$C$4,"2 Item No.","@@"&amp;$F1173)</t>
  </si>
  <si>
    <t>=-NL("Sum","32 Item Ledger Entry","12 Quantity","5 Source no.",$C1174,"3 Posting Date",U$9,"4 Entry Type",$C$4,"2 Item No.","@@"&amp;$F1174)</t>
  </si>
  <si>
    <t>=-NL("Sum","32 Item Ledger Entry","12 Quantity","5 Source no.",$C1175,"3 Posting Date",U$9,"4 Entry Type",$C$4,"2 Item No.","@@"&amp;$F1175)</t>
  </si>
  <si>
    <t>=-NL("Sum","32 Item Ledger Entry","12 Quantity","5 Source no.",$C1176,"3 Posting Date",U$9,"4 Entry Type",$C$4,"2 Item No.","@@"&amp;$F1176)</t>
  </si>
  <si>
    <t>=-NL("Sum","32 Item Ledger Entry","12 Quantity","5 Source no.",$C1177,"3 Posting Date",U$9,"4 Entry Type",$C$4,"2 Item No.","@@"&amp;$F1177)</t>
  </si>
  <si>
    <t>=-NL("Sum","32 Item Ledger Entry","12 Quantity","5 Source no.",$C1178,"3 Posting Date",U$9,"4 Entry Type",$C$4,"2 Item No.","@@"&amp;$F1178)</t>
  </si>
  <si>
    <t>=-NL("Sum","32 Item Ledger Entry","12 Quantity","5 Source no.",$C1179,"3 Posting Date",U$9,"4 Entry Type",$C$4,"2 Item No.","@@"&amp;$F1179)</t>
  </si>
  <si>
    <t>=-NL("Sum","32 Item Ledger Entry","12 Quantity","5 Source no.",$C1180,"3 Posting Date",U$9,"4 Entry Type",$C$4,"2 Item No.","@@"&amp;$F1180)</t>
  </si>
  <si>
    <t>=-NL("Sum","32 Item Ledger Entry","12 Quantity","5 Source no.",$C1181,"3 Posting Date",U$9,"4 Entry Type",$C$4,"2 Item No.","@@"&amp;$F1181)</t>
  </si>
  <si>
    <t>=-NL("Sum","32 Item Ledger Entry","12 Quantity","5 Source no.",$C1182,"3 Posting Date",U$9,"4 Entry Type",$C$4,"2 Item No.","@@"&amp;$F1182)</t>
  </si>
  <si>
    <t>=-NL("Sum","32 Item Ledger Entry","12 Quantity","5 Source no.",$C1183,"3 Posting Date",U$9,"4 Entry Type",$C$4,"2 Item No.","@@"&amp;$F1183)</t>
  </si>
  <si>
    <t>=-NL("Sum","32 Item Ledger Entry","12 Quantity","5 Source no.",$C1184,"3 Posting Date",U$9,"4 Entry Type",$C$4,"2 Item No.","@@"&amp;$F1184)</t>
  </si>
  <si>
    <t>=-NL("Sum","32 Item Ledger Entry","12 Quantity","5 Source no.",$C1185,"3 Posting Date",U$9,"4 Entry Type",$C$4,"2 Item No.","@@"&amp;$F1185)</t>
  </si>
  <si>
    <t>=-NL("Sum","32 Item Ledger Entry","12 Quantity","5 Source no.",$C1186,"3 Posting Date",U$9,"4 Entry Type",$C$4,"2 Item No.","@@"&amp;$F1186)</t>
  </si>
  <si>
    <t>=-NL("Sum","32 Item Ledger Entry","12 Quantity","5 Source no.",$C1187,"3 Posting Date",U$9,"4 Entry Type",$C$4,"2 Item No.","@@"&amp;$F1187)</t>
  </si>
  <si>
    <t>=-NL("Sum","32 Item Ledger Entry","12 Quantity","5 Source no.",$C1188,"3 Posting Date",U$9,"4 Entry Type",$C$4,"2 Item No.","@@"&amp;$F1188)</t>
  </si>
  <si>
    <t>=-NL("Sum","32 Item Ledger Entry","12 Quantity","5 Source no.",$C1189,"3 Posting Date",U$9,"4 Entry Type",$C$4,"2 Item No.","@@"&amp;$F1189)</t>
  </si>
  <si>
    <t>=-NL("Sum","32 Item Ledger Entry","12 Quantity","5 Source no.",$C1190,"3 Posting Date",U$9,"4 Entry Type",$C$4,"2 Item No.","@@"&amp;$F1190)</t>
  </si>
  <si>
    <t>=-NL("Sum","32 Item Ledger Entry","12 Quantity","5 Source no.",$C1155,"3 Posting Date",Z$9,"4 Entry Type",$C$4,"2 Item No.","@@"&amp;$F1155)</t>
  </si>
  <si>
    <t>=-NL("Sum","32 Item Ledger Entry","12 Quantity","5 Source no.",$C1156,"3 Posting Date",Z$9,"4 Entry Type",$C$4,"2 Item No.","@@"&amp;$F1156)</t>
  </si>
  <si>
    <t>=-NL("Sum","32 Item Ledger Entry","12 Quantity","5 Source no.",$C1157,"3 Posting Date",Z$9,"4 Entry Type",$C$4,"2 Item No.","@@"&amp;$F1157)</t>
  </si>
  <si>
    <t>=-NL("Sum","32 Item Ledger Entry","12 Quantity","5 Source no.",$C1158,"3 Posting Date",Z$9,"4 Entry Type",$C$4,"2 Item No.","@@"&amp;$F1158)</t>
  </si>
  <si>
    <t>=-NL("Sum","32 Item Ledger Entry","12 Quantity","5 Source no.",$C1159,"3 Posting Date",Z$9,"4 Entry Type",$C$4,"2 Item No.","@@"&amp;$F1159)</t>
  </si>
  <si>
    <t>=-NL("Sum","32 Item Ledger Entry","12 Quantity","5 Source no.",$C1160,"3 Posting Date",Z$9,"4 Entry Type",$C$4,"2 Item No.","@@"&amp;$F1160)</t>
  </si>
  <si>
    <t>=-NL("Sum","32 Item Ledger Entry","12 Quantity","5 Source no.",$C1161,"3 Posting Date",Z$9,"4 Entry Type",$C$4,"2 Item No.","@@"&amp;$F1161)</t>
  </si>
  <si>
    <t>=-NL("Sum","32 Item Ledger Entry","12 Quantity","5 Source no.",$C1162,"3 Posting Date",Z$9,"4 Entry Type",$C$4,"2 Item No.","@@"&amp;$F1162)</t>
  </si>
  <si>
    <t>=-NL("Sum","32 Item Ledger Entry","12 Quantity","5 Source no.",$C1163,"3 Posting Date",Z$9,"4 Entry Type",$C$4,"2 Item No.","@@"&amp;$F1163)</t>
  </si>
  <si>
    <t>=-NL("Sum","32 Item Ledger Entry","12 Quantity","5 Source no.",$C1164,"3 Posting Date",Z$9,"4 Entry Type",$C$4,"2 Item No.","@@"&amp;$F1164)</t>
  </si>
  <si>
    <t>=-NL("Sum","32 Item Ledger Entry","12 Quantity","5 Source no.",$C1165,"3 Posting Date",Z$9,"4 Entry Type",$C$4,"2 Item No.","@@"&amp;$F1165)</t>
  </si>
  <si>
    <t>=-NL("Sum","32 Item Ledger Entry","12 Quantity","5 Source no.",$C1166,"3 Posting Date",Z$9,"4 Entry Type",$C$4,"2 Item No.","@@"&amp;$F1166)</t>
  </si>
  <si>
    <t>=-NL("Sum","32 Item Ledger Entry","12 Quantity","5 Source no.",$C1167,"3 Posting Date",Z$9,"4 Entry Type",$C$4,"2 Item No.","@@"&amp;$F1167)</t>
  </si>
  <si>
    <t>=-NL("Sum","32 Item Ledger Entry","12 Quantity","5 Source no.",$C1168,"3 Posting Date",Z$9,"4 Entry Type",$C$4,"2 Item No.","@@"&amp;$F1168)</t>
  </si>
  <si>
    <t>=-NL("Sum","32 Item Ledger Entry","12 Quantity","5 Source no.",$C1169,"3 Posting Date",Z$9,"4 Entry Type",$C$4,"2 Item No.","@@"&amp;$F1169)</t>
  </si>
  <si>
    <t>=-NL("Sum","32 Item Ledger Entry","12 Quantity","5 Source no.",$C1170,"3 Posting Date",Z$9,"4 Entry Type",$C$4,"2 Item No.","@@"&amp;$F1170)</t>
  </si>
  <si>
    <t>=-NL("Sum","32 Item Ledger Entry","12 Quantity","5 Source no.",$C1171,"3 Posting Date",Z$9,"4 Entry Type",$C$4,"2 Item No.","@@"&amp;$F1171)</t>
  </si>
  <si>
    <t>=-NL("Sum","32 Item Ledger Entry","12 Quantity","5 Source no.",$C1172,"3 Posting Date",Z$9,"4 Entry Type",$C$4,"2 Item No.","@@"&amp;$F1172)</t>
  </si>
  <si>
    <t>=-NL("Sum","32 Item Ledger Entry","12 Quantity","5 Source no.",$C1173,"3 Posting Date",Z$9,"4 Entry Type",$C$4,"2 Item No.","@@"&amp;$F1173)</t>
  </si>
  <si>
    <t>=-NL("Sum","32 Item Ledger Entry","12 Quantity","5 Source no.",$C1174,"3 Posting Date",Z$9,"4 Entry Type",$C$4,"2 Item No.","@@"&amp;$F1174)</t>
  </si>
  <si>
    <t>=-NL("Sum","32 Item Ledger Entry","12 Quantity","5 Source no.",$C1175,"3 Posting Date",Z$9,"4 Entry Type",$C$4,"2 Item No.","@@"&amp;$F1175)</t>
  </si>
  <si>
    <t>=-NL("Sum","32 Item Ledger Entry","12 Quantity","5 Source no.",$C1176,"3 Posting Date",Z$9,"4 Entry Type",$C$4,"2 Item No.","@@"&amp;$F1176)</t>
  </si>
  <si>
    <t>=-NL("Sum","32 Item Ledger Entry","12 Quantity","5 Source no.",$C1177,"3 Posting Date",Z$9,"4 Entry Type",$C$4,"2 Item No.","@@"&amp;$F1177)</t>
  </si>
  <si>
    <t>=-NL("Sum","32 Item Ledger Entry","12 Quantity","5 Source no.",$C1178,"3 Posting Date",Z$9,"4 Entry Type",$C$4,"2 Item No.","@@"&amp;$F1178)</t>
  </si>
  <si>
    <t>=-NL("Sum","32 Item Ledger Entry","12 Quantity","5 Source no.",$C1179,"3 Posting Date",Z$9,"4 Entry Type",$C$4,"2 Item No.","@@"&amp;$F1179)</t>
  </si>
  <si>
    <t>=-NL("Sum","32 Item Ledger Entry","12 Quantity","5 Source no.",$C1180,"3 Posting Date",Z$9,"4 Entry Type",$C$4,"2 Item No.","@@"&amp;$F1180)</t>
  </si>
  <si>
    <t>=-NL("Sum","32 Item Ledger Entry","12 Quantity","5 Source no.",$C1181,"3 Posting Date",Z$9,"4 Entry Type",$C$4,"2 Item No.","@@"&amp;$F1181)</t>
  </si>
  <si>
    <t>=-NL("Sum","32 Item Ledger Entry","12 Quantity","5 Source no.",$C1182,"3 Posting Date",Z$9,"4 Entry Type",$C$4,"2 Item No.","@@"&amp;$F1182)</t>
  </si>
  <si>
    <t>=-NL("Sum","32 Item Ledger Entry","12 Quantity","5 Source no.",$C1183,"3 Posting Date",Z$9,"4 Entry Type",$C$4,"2 Item No.","@@"&amp;$F1183)</t>
  </si>
  <si>
    <t>=-NL("Sum","32 Item Ledger Entry","12 Quantity","5 Source no.",$C1184,"3 Posting Date",Z$9,"4 Entry Type",$C$4,"2 Item No.","@@"&amp;$F1184)</t>
  </si>
  <si>
    <t>=-NL("Sum","32 Item Ledger Entry","12 Quantity","5 Source no.",$C1185,"3 Posting Date",Z$9,"4 Entry Type",$C$4,"2 Item No.","@@"&amp;$F1185)</t>
  </si>
  <si>
    <t>=-NL("Sum","32 Item Ledger Entry","12 Quantity","5 Source no.",$C1186,"3 Posting Date",Z$9,"4 Entry Type",$C$4,"2 Item No.","@@"&amp;$F1186)</t>
  </si>
  <si>
    <t>=-NL("Sum","32 Item Ledger Entry","12 Quantity","5 Source no.",$C1187,"3 Posting Date",Z$9,"4 Entry Type",$C$4,"2 Item No.","@@"&amp;$F1187)</t>
  </si>
  <si>
    <t>=-NL("Sum","32 Item Ledger Entry","12 Quantity","5 Source no.",$C1188,"3 Posting Date",Z$9,"4 Entry Type",$C$4,"2 Item No.","@@"&amp;$F1188)</t>
  </si>
  <si>
    <t>=-NL("Sum","32 Item Ledger Entry","12 Quantity","5 Source no.",$C1189,"3 Posting Date",Z$9,"4 Entry Type",$C$4,"2 Item No.","@@"&amp;$F1189)</t>
  </si>
  <si>
    <t>=-NL("Sum","32 Item Ledger Entry","12 Quantity","5 Source no.",$C1190,"3 Posting Date",Z$9,"4 Entry Type",$C$4,"2 Item No.","@@"&amp;$F1190)</t>
  </si>
  <si>
    <t>=NL(,"27 Item","3 Description","1 No.","@@"&amp;F1141)</t>
  </si>
  <si>
    <t>=NL(,"27 Item","3 Description","1 No.","@@"&amp;F1142)</t>
  </si>
  <si>
    <t>=NL(,"27 Item","3 Description","1 No.","@@"&amp;F1143)</t>
  </si>
  <si>
    <t>=NL(,"27 Item","3 Description","1 No.","@@"&amp;F1144)</t>
  </si>
  <si>
    <t>=NL(,"27 Item","3 Description","1 No.","@@"&amp;F1145)</t>
  </si>
  <si>
    <t>=NL(,"27 Item","3 Description","1 No.","@@"&amp;F1146)</t>
  </si>
  <si>
    <t>=NL(,"27 Item","3 Description","1 No.","@@"&amp;F1147)</t>
  </si>
  <si>
    <t>=NL(,"27 Item","3 Description","1 No.","@@"&amp;F1148)</t>
  </si>
  <si>
    <t>=NL(,"27 Item","3 Description","1 No.","@@"&amp;F1149)</t>
  </si>
  <si>
    <t>=-NL("Sum","32 Item Ledger Entry","12 Quantity","5 Source no.",$C1141,"3 Posting Date",J$9,"4 Entry Type",$C$4,"2 Item No.","@@"&amp;$F1141)</t>
  </si>
  <si>
    <t>=-NL("Sum","32 Item Ledger Entry","12 Quantity","5 Source no.",$C1142,"3 Posting Date",J$9,"4 Entry Type",$C$4,"2 Item No.","@@"&amp;$F1142)</t>
  </si>
  <si>
    <t>=-NL("Sum","32 Item Ledger Entry","12 Quantity","5 Source no.",$C1143,"3 Posting Date",J$9,"4 Entry Type",$C$4,"2 Item No.","@@"&amp;$F1143)</t>
  </si>
  <si>
    <t>=-NL("Sum","32 Item Ledger Entry","12 Quantity","5 Source no.",$C1144,"3 Posting Date",J$9,"4 Entry Type",$C$4,"2 Item No.","@@"&amp;$F1144)</t>
  </si>
  <si>
    <t>=-NL("Sum","32 Item Ledger Entry","12 Quantity","5 Source no.",$C1145,"3 Posting Date",J$9,"4 Entry Type",$C$4,"2 Item No.","@@"&amp;$F1145)</t>
  </si>
  <si>
    <t>=-NL("Sum","32 Item Ledger Entry","12 Quantity","5 Source no.",$C1146,"3 Posting Date",J$9,"4 Entry Type",$C$4,"2 Item No.","@@"&amp;$F1146)</t>
  </si>
  <si>
    <t>=-NL("Sum","32 Item Ledger Entry","12 Quantity","5 Source no.",$C1147,"3 Posting Date",J$9,"4 Entry Type",$C$4,"2 Item No.","@@"&amp;$F1147)</t>
  </si>
  <si>
    <t>=-NL("Sum","32 Item Ledger Entry","12 Quantity","5 Source no.",$C1148,"3 Posting Date",J$9,"4 Entry Type",$C$4,"2 Item No.","@@"&amp;$F1148)</t>
  </si>
  <si>
    <t>=-NL("Sum","32 Item Ledger Entry","12 Quantity","5 Source no.",$C1149,"3 Posting Date",J$9,"4 Entry Type",$C$4,"2 Item No.","@@"&amp;$F1149)</t>
  </si>
  <si>
    <t>=-NL("Sum","32 Item Ledger Entry","12 Quantity","5 Source no.",$C1141,"3 Posting Date",O$9,"4 Entry Type",$C$4,"2 Item No.","@@"&amp;$F1141)</t>
  </si>
  <si>
    <t>=-NL("Sum","32 Item Ledger Entry","12 Quantity","5 Source no.",$C1142,"3 Posting Date",O$9,"4 Entry Type",$C$4,"2 Item No.","@@"&amp;$F1142)</t>
  </si>
  <si>
    <t>=-NL("Sum","32 Item Ledger Entry","12 Quantity","5 Source no.",$C1143,"3 Posting Date",O$9,"4 Entry Type",$C$4,"2 Item No.","@@"&amp;$F1143)</t>
  </si>
  <si>
    <t>=-NL("Sum","32 Item Ledger Entry","12 Quantity","5 Source no.",$C1144,"3 Posting Date",O$9,"4 Entry Type",$C$4,"2 Item No.","@@"&amp;$F1144)</t>
  </si>
  <si>
    <t>=-NL("Sum","32 Item Ledger Entry","12 Quantity","5 Source no.",$C1145,"3 Posting Date",O$9,"4 Entry Type",$C$4,"2 Item No.","@@"&amp;$F1145)</t>
  </si>
  <si>
    <t>=-NL("Sum","32 Item Ledger Entry","12 Quantity","5 Source no.",$C1146,"3 Posting Date",O$9,"4 Entry Type",$C$4,"2 Item No.","@@"&amp;$F1146)</t>
  </si>
  <si>
    <t>=-NL("Sum","32 Item Ledger Entry","12 Quantity","5 Source no.",$C1147,"3 Posting Date",O$9,"4 Entry Type",$C$4,"2 Item No.","@@"&amp;$F1147)</t>
  </si>
  <si>
    <t>=-NL("Sum","32 Item Ledger Entry","12 Quantity","5 Source no.",$C1148,"3 Posting Date",O$9,"4 Entry Type",$C$4,"2 Item No.","@@"&amp;$F1148)</t>
  </si>
  <si>
    <t>=-NL("Sum","32 Item Ledger Entry","12 Quantity","5 Source no.",$C1149,"3 Posting Date",O$9,"4 Entry Type",$C$4,"2 Item No.","@@"&amp;$F1149)</t>
  </si>
  <si>
    <t>=-NL("Sum","32 Item Ledger Entry","12 Quantity","5 Source no.",$C1141,"3 Posting Date",U$9,"4 Entry Type",$C$4,"2 Item No.","@@"&amp;$F1141)</t>
  </si>
  <si>
    <t>=-NL("Sum","32 Item Ledger Entry","12 Quantity","5 Source no.",$C1142,"3 Posting Date",U$9,"4 Entry Type",$C$4,"2 Item No.","@@"&amp;$F1142)</t>
  </si>
  <si>
    <t>=-NL("Sum","32 Item Ledger Entry","12 Quantity","5 Source no.",$C1143,"3 Posting Date",U$9,"4 Entry Type",$C$4,"2 Item No.","@@"&amp;$F1143)</t>
  </si>
  <si>
    <t>=-NL("Sum","32 Item Ledger Entry","12 Quantity","5 Source no.",$C1144,"3 Posting Date",U$9,"4 Entry Type",$C$4,"2 Item No.","@@"&amp;$F1144)</t>
  </si>
  <si>
    <t>=-NL("Sum","32 Item Ledger Entry","12 Quantity","5 Source no.",$C1145,"3 Posting Date",U$9,"4 Entry Type",$C$4,"2 Item No.","@@"&amp;$F1145)</t>
  </si>
  <si>
    <t>=-NL("Sum","32 Item Ledger Entry","12 Quantity","5 Source no.",$C1146,"3 Posting Date",U$9,"4 Entry Type",$C$4,"2 Item No.","@@"&amp;$F1146)</t>
  </si>
  <si>
    <t>=-NL("Sum","32 Item Ledger Entry","12 Quantity","5 Source no.",$C1147,"3 Posting Date",U$9,"4 Entry Type",$C$4,"2 Item No.","@@"&amp;$F1147)</t>
  </si>
  <si>
    <t>=-NL("Sum","32 Item Ledger Entry","12 Quantity","5 Source no.",$C1148,"3 Posting Date",U$9,"4 Entry Type",$C$4,"2 Item No.","@@"&amp;$F1148)</t>
  </si>
  <si>
    <t>=-NL("Sum","32 Item Ledger Entry","12 Quantity","5 Source no.",$C1149,"3 Posting Date",U$9,"4 Entry Type",$C$4,"2 Item No.","@@"&amp;$F1149)</t>
  </si>
  <si>
    <t>=-NL("Sum","32 Item Ledger Entry","12 Quantity","5 Source no.",$C1141,"3 Posting Date",Z$9,"4 Entry Type",$C$4,"2 Item No.","@@"&amp;$F1141)</t>
  </si>
  <si>
    <t>=-NL("Sum","32 Item Ledger Entry","12 Quantity","5 Source no.",$C1142,"3 Posting Date",Z$9,"4 Entry Type",$C$4,"2 Item No.","@@"&amp;$F1142)</t>
  </si>
  <si>
    <t>=-NL("Sum","32 Item Ledger Entry","12 Quantity","5 Source no.",$C1143,"3 Posting Date",Z$9,"4 Entry Type",$C$4,"2 Item No.","@@"&amp;$F1143)</t>
  </si>
  <si>
    <t>=-NL("Sum","32 Item Ledger Entry","12 Quantity","5 Source no.",$C1144,"3 Posting Date",Z$9,"4 Entry Type",$C$4,"2 Item No.","@@"&amp;$F1144)</t>
  </si>
  <si>
    <t>=-NL("Sum","32 Item Ledger Entry","12 Quantity","5 Source no.",$C1145,"3 Posting Date",Z$9,"4 Entry Type",$C$4,"2 Item No.","@@"&amp;$F1145)</t>
  </si>
  <si>
    <t>=-NL("Sum","32 Item Ledger Entry","12 Quantity","5 Source no.",$C1146,"3 Posting Date",Z$9,"4 Entry Type",$C$4,"2 Item No.","@@"&amp;$F1146)</t>
  </si>
  <si>
    <t>=-NL("Sum","32 Item Ledger Entry","12 Quantity","5 Source no.",$C1147,"3 Posting Date",Z$9,"4 Entry Type",$C$4,"2 Item No.","@@"&amp;$F1147)</t>
  </si>
  <si>
    <t>=-NL("Sum","32 Item Ledger Entry","12 Quantity","5 Source no.",$C1148,"3 Posting Date",Z$9,"4 Entry Type",$C$4,"2 Item No.","@@"&amp;$F1148)</t>
  </si>
  <si>
    <t>=-NL("Sum","32 Item Ledger Entry","12 Quantity","5 Source no.",$C1149,"3 Posting Date",Z$9,"4 Entry Type",$C$4,"2 Item No.","@@"&amp;$F1149)</t>
  </si>
  <si>
    <t>=NL(,"27 Item","3 Description","1 No.","@@"&amp;F1115)</t>
  </si>
  <si>
    <t>=NL(,"27 Item","3 Description","1 No.","@@"&amp;F1116)</t>
  </si>
  <si>
    <t>=NL(,"27 Item","3 Description","1 No.","@@"&amp;F1117)</t>
  </si>
  <si>
    <t>=NL(,"27 Item","3 Description","1 No.","@@"&amp;F1118)</t>
  </si>
  <si>
    <t>=NL(,"27 Item","3 Description","1 No.","@@"&amp;F1119)</t>
  </si>
  <si>
    <t>=NL(,"27 Item","3 Description","1 No.","@@"&amp;F1120)</t>
  </si>
  <si>
    <t>=NL(,"27 Item","3 Description","1 No.","@@"&amp;F1121)</t>
  </si>
  <si>
    <t>=NL(,"27 Item","3 Description","1 No.","@@"&amp;F1122)</t>
  </si>
  <si>
    <t>=NL(,"27 Item","3 Description","1 No.","@@"&amp;F1123)</t>
  </si>
  <si>
    <t>=NL(,"27 Item","3 Description","1 No.","@@"&amp;F1124)</t>
  </si>
  <si>
    <t>=NL(,"27 Item","3 Description","1 No.","@@"&amp;F1125)</t>
  </si>
  <si>
    <t>=NL(,"27 Item","3 Description","1 No.","@@"&amp;F1126)</t>
  </si>
  <si>
    <t>=NL(,"27 Item","3 Description","1 No.","@@"&amp;F1127)</t>
  </si>
  <si>
    <t>=NL(,"27 Item","3 Description","1 No.","@@"&amp;F1128)</t>
  </si>
  <si>
    <t>=NL(,"27 Item","3 Description","1 No.","@@"&amp;F1129)</t>
  </si>
  <si>
    <t>=NL(,"27 Item","3 Description","1 No.","@@"&amp;F1130)</t>
  </si>
  <si>
    <t>=NL(,"27 Item","3 Description","1 No.","@@"&amp;F1131)</t>
  </si>
  <si>
    <t>=NL(,"27 Item","3 Description","1 No.","@@"&amp;F1132)</t>
  </si>
  <si>
    <t>=NL(,"27 Item","3 Description","1 No.","@@"&amp;F1133)</t>
  </si>
  <si>
    <t>=NL(,"27 Item","3 Description","1 No.","@@"&amp;F1134)</t>
  </si>
  <si>
    <t>=NL(,"27 Item","3 Description","1 No.","@@"&amp;F1135)</t>
  </si>
  <si>
    <t>=-NL("Sum","32 Item Ledger Entry","12 Quantity","5 Source no.",$C1115,"3 Posting Date",J$9,"4 Entry Type",$C$4,"2 Item No.","@@"&amp;$F1115)</t>
  </si>
  <si>
    <t>=-NL("Sum","32 Item Ledger Entry","12 Quantity","5 Source no.",$C1116,"3 Posting Date",J$9,"4 Entry Type",$C$4,"2 Item No.","@@"&amp;$F1116)</t>
  </si>
  <si>
    <t>=-NL("Sum","32 Item Ledger Entry","12 Quantity","5 Source no.",$C1117,"3 Posting Date",J$9,"4 Entry Type",$C$4,"2 Item No.","@@"&amp;$F1117)</t>
  </si>
  <si>
    <t>=-NL("Sum","32 Item Ledger Entry","12 Quantity","5 Source no.",$C1118,"3 Posting Date",J$9,"4 Entry Type",$C$4,"2 Item No.","@@"&amp;$F1118)</t>
  </si>
  <si>
    <t>=-NL("Sum","32 Item Ledger Entry","12 Quantity","5 Source no.",$C1119,"3 Posting Date",J$9,"4 Entry Type",$C$4,"2 Item No.","@@"&amp;$F1119)</t>
  </si>
  <si>
    <t>=-NL("Sum","32 Item Ledger Entry","12 Quantity","5 Source no.",$C1120,"3 Posting Date",J$9,"4 Entry Type",$C$4,"2 Item No.","@@"&amp;$F1120)</t>
  </si>
  <si>
    <t>=-NL("Sum","32 Item Ledger Entry","12 Quantity","5 Source no.",$C1121,"3 Posting Date",J$9,"4 Entry Type",$C$4,"2 Item No.","@@"&amp;$F1121)</t>
  </si>
  <si>
    <t>=-NL("Sum","32 Item Ledger Entry","12 Quantity","5 Source no.",$C1122,"3 Posting Date",J$9,"4 Entry Type",$C$4,"2 Item No.","@@"&amp;$F1122)</t>
  </si>
  <si>
    <t>=-NL("Sum","32 Item Ledger Entry","12 Quantity","5 Source no.",$C1123,"3 Posting Date",J$9,"4 Entry Type",$C$4,"2 Item No.","@@"&amp;$F1123)</t>
  </si>
  <si>
    <t>=-NL("Sum","32 Item Ledger Entry","12 Quantity","5 Source no.",$C1124,"3 Posting Date",J$9,"4 Entry Type",$C$4,"2 Item No.","@@"&amp;$F1124)</t>
  </si>
  <si>
    <t>=-NL("Sum","32 Item Ledger Entry","12 Quantity","5 Source no.",$C1125,"3 Posting Date",J$9,"4 Entry Type",$C$4,"2 Item No.","@@"&amp;$F1125)</t>
  </si>
  <si>
    <t>=-NL("Sum","32 Item Ledger Entry","12 Quantity","5 Source no.",$C1126,"3 Posting Date",J$9,"4 Entry Type",$C$4,"2 Item No.","@@"&amp;$F1126)</t>
  </si>
  <si>
    <t>=-NL("Sum","32 Item Ledger Entry","12 Quantity","5 Source no.",$C1127,"3 Posting Date",J$9,"4 Entry Type",$C$4,"2 Item No.","@@"&amp;$F1127)</t>
  </si>
  <si>
    <t>=-NL("Sum","32 Item Ledger Entry","12 Quantity","5 Source no.",$C1128,"3 Posting Date",J$9,"4 Entry Type",$C$4,"2 Item No.","@@"&amp;$F1128)</t>
  </si>
  <si>
    <t>=-NL("Sum","32 Item Ledger Entry","12 Quantity","5 Source no.",$C1129,"3 Posting Date",J$9,"4 Entry Type",$C$4,"2 Item No.","@@"&amp;$F1129)</t>
  </si>
  <si>
    <t>=-NL("Sum","32 Item Ledger Entry","12 Quantity","5 Source no.",$C1130,"3 Posting Date",J$9,"4 Entry Type",$C$4,"2 Item No.","@@"&amp;$F1130)</t>
  </si>
  <si>
    <t>=-NL("Sum","32 Item Ledger Entry","12 Quantity","5 Source no.",$C1131,"3 Posting Date",J$9,"4 Entry Type",$C$4,"2 Item No.","@@"&amp;$F1131)</t>
  </si>
  <si>
    <t>=-NL("Sum","32 Item Ledger Entry","12 Quantity","5 Source no.",$C1132,"3 Posting Date",J$9,"4 Entry Type",$C$4,"2 Item No.","@@"&amp;$F1132)</t>
  </si>
  <si>
    <t>=-NL("Sum","32 Item Ledger Entry","12 Quantity","5 Source no.",$C1133,"3 Posting Date",J$9,"4 Entry Type",$C$4,"2 Item No.","@@"&amp;$F1133)</t>
  </si>
  <si>
    <t>=-NL("Sum","32 Item Ledger Entry","12 Quantity","5 Source no.",$C1134,"3 Posting Date",J$9,"4 Entry Type",$C$4,"2 Item No.","@@"&amp;$F1134)</t>
  </si>
  <si>
    <t>=-NL("Sum","32 Item Ledger Entry","12 Quantity","5 Source no.",$C1135,"3 Posting Date",J$9,"4 Entry Type",$C$4,"2 Item No.","@@"&amp;$F1135)</t>
  </si>
  <si>
    <t>=-NL("Sum","32 Item Ledger Entry","12 Quantity","5 Source no.",$C1115,"3 Posting Date",O$9,"4 Entry Type",$C$4,"2 Item No.","@@"&amp;$F1115)</t>
  </si>
  <si>
    <t>=-NL("Sum","32 Item Ledger Entry","12 Quantity","5 Source no.",$C1116,"3 Posting Date",O$9,"4 Entry Type",$C$4,"2 Item No.","@@"&amp;$F1116)</t>
  </si>
  <si>
    <t>=-NL("Sum","32 Item Ledger Entry","12 Quantity","5 Source no.",$C1117,"3 Posting Date",O$9,"4 Entry Type",$C$4,"2 Item No.","@@"&amp;$F1117)</t>
  </si>
  <si>
    <t>=-NL("Sum","32 Item Ledger Entry","12 Quantity","5 Source no.",$C1118,"3 Posting Date",O$9,"4 Entry Type",$C$4,"2 Item No.","@@"&amp;$F1118)</t>
  </si>
  <si>
    <t>=-NL("Sum","32 Item Ledger Entry","12 Quantity","5 Source no.",$C1119,"3 Posting Date",O$9,"4 Entry Type",$C$4,"2 Item No.","@@"&amp;$F1119)</t>
  </si>
  <si>
    <t>=-NL("Sum","32 Item Ledger Entry","12 Quantity","5 Source no.",$C1120,"3 Posting Date",O$9,"4 Entry Type",$C$4,"2 Item No.","@@"&amp;$F1120)</t>
  </si>
  <si>
    <t>=-NL("Sum","32 Item Ledger Entry","12 Quantity","5 Source no.",$C1121,"3 Posting Date",O$9,"4 Entry Type",$C$4,"2 Item No.","@@"&amp;$F1121)</t>
  </si>
  <si>
    <t>=-NL("Sum","32 Item Ledger Entry","12 Quantity","5 Source no.",$C1122,"3 Posting Date",O$9,"4 Entry Type",$C$4,"2 Item No.","@@"&amp;$F1122)</t>
  </si>
  <si>
    <t>=-NL("Sum","32 Item Ledger Entry","12 Quantity","5 Source no.",$C1123,"3 Posting Date",O$9,"4 Entry Type",$C$4,"2 Item No.","@@"&amp;$F1123)</t>
  </si>
  <si>
    <t>=-NL("Sum","32 Item Ledger Entry","12 Quantity","5 Source no.",$C1124,"3 Posting Date",O$9,"4 Entry Type",$C$4,"2 Item No.","@@"&amp;$F1124)</t>
  </si>
  <si>
    <t>=-NL("Sum","32 Item Ledger Entry","12 Quantity","5 Source no.",$C1125,"3 Posting Date",O$9,"4 Entry Type",$C$4,"2 Item No.","@@"&amp;$F1125)</t>
  </si>
  <si>
    <t>=-NL("Sum","32 Item Ledger Entry","12 Quantity","5 Source no.",$C1126,"3 Posting Date",O$9,"4 Entry Type",$C$4,"2 Item No.","@@"&amp;$F1126)</t>
  </si>
  <si>
    <t>=-NL("Sum","32 Item Ledger Entry","12 Quantity","5 Source no.",$C1127,"3 Posting Date",O$9,"4 Entry Type",$C$4,"2 Item No.","@@"&amp;$F1127)</t>
  </si>
  <si>
    <t>=-NL("Sum","32 Item Ledger Entry","12 Quantity","5 Source no.",$C1128,"3 Posting Date",O$9,"4 Entry Type",$C$4,"2 Item No.","@@"&amp;$F1128)</t>
  </si>
  <si>
    <t>=-NL("Sum","32 Item Ledger Entry","12 Quantity","5 Source no.",$C1129,"3 Posting Date",O$9,"4 Entry Type",$C$4,"2 Item No.","@@"&amp;$F1129)</t>
  </si>
  <si>
    <t>=-NL("Sum","32 Item Ledger Entry","12 Quantity","5 Source no.",$C1130,"3 Posting Date",O$9,"4 Entry Type",$C$4,"2 Item No.","@@"&amp;$F1130)</t>
  </si>
  <si>
    <t>=-NL("Sum","32 Item Ledger Entry","12 Quantity","5 Source no.",$C1131,"3 Posting Date",O$9,"4 Entry Type",$C$4,"2 Item No.","@@"&amp;$F1131)</t>
  </si>
  <si>
    <t>=-NL("Sum","32 Item Ledger Entry","12 Quantity","5 Source no.",$C1132,"3 Posting Date",O$9,"4 Entry Type",$C$4,"2 Item No.","@@"&amp;$F1132)</t>
  </si>
  <si>
    <t>=-NL("Sum","32 Item Ledger Entry","12 Quantity","5 Source no.",$C1133,"3 Posting Date",O$9,"4 Entry Type",$C$4,"2 Item No.","@@"&amp;$F1133)</t>
  </si>
  <si>
    <t>=-NL("Sum","32 Item Ledger Entry","12 Quantity","5 Source no.",$C1134,"3 Posting Date",O$9,"4 Entry Type",$C$4,"2 Item No.","@@"&amp;$F1134)</t>
  </si>
  <si>
    <t>=-NL("Sum","32 Item Ledger Entry","12 Quantity","5 Source no.",$C1135,"3 Posting Date",O$9,"4 Entry Type",$C$4,"2 Item No.","@@"&amp;$F1135)</t>
  </si>
  <si>
    <t>=-NL("Sum","32 Item Ledger Entry","12 Quantity","5 Source no.",$C1115,"3 Posting Date",U$9,"4 Entry Type",$C$4,"2 Item No.","@@"&amp;$F1115)</t>
  </si>
  <si>
    <t>=-NL("Sum","32 Item Ledger Entry","12 Quantity","5 Source no.",$C1116,"3 Posting Date",U$9,"4 Entry Type",$C$4,"2 Item No.","@@"&amp;$F1116)</t>
  </si>
  <si>
    <t>=-NL("Sum","32 Item Ledger Entry","12 Quantity","5 Source no.",$C1117,"3 Posting Date",U$9,"4 Entry Type",$C$4,"2 Item No.","@@"&amp;$F1117)</t>
  </si>
  <si>
    <t>=-NL("Sum","32 Item Ledger Entry","12 Quantity","5 Source no.",$C1118,"3 Posting Date",U$9,"4 Entry Type",$C$4,"2 Item No.","@@"&amp;$F1118)</t>
  </si>
  <si>
    <t>=-NL("Sum","32 Item Ledger Entry","12 Quantity","5 Source no.",$C1119,"3 Posting Date",U$9,"4 Entry Type",$C$4,"2 Item No.","@@"&amp;$F1119)</t>
  </si>
  <si>
    <t>=-NL("Sum","32 Item Ledger Entry","12 Quantity","5 Source no.",$C1120,"3 Posting Date",U$9,"4 Entry Type",$C$4,"2 Item No.","@@"&amp;$F1120)</t>
  </si>
  <si>
    <t>=-NL("Sum","32 Item Ledger Entry","12 Quantity","5 Source no.",$C1121,"3 Posting Date",U$9,"4 Entry Type",$C$4,"2 Item No.","@@"&amp;$F1121)</t>
  </si>
  <si>
    <t>=-NL("Sum","32 Item Ledger Entry","12 Quantity","5 Source no.",$C1122,"3 Posting Date",U$9,"4 Entry Type",$C$4,"2 Item No.","@@"&amp;$F1122)</t>
  </si>
  <si>
    <t>=-NL("Sum","32 Item Ledger Entry","12 Quantity","5 Source no.",$C1123,"3 Posting Date",U$9,"4 Entry Type",$C$4,"2 Item No.","@@"&amp;$F1123)</t>
  </si>
  <si>
    <t>=-NL("Sum","32 Item Ledger Entry","12 Quantity","5 Source no.",$C1124,"3 Posting Date",U$9,"4 Entry Type",$C$4,"2 Item No.","@@"&amp;$F1124)</t>
  </si>
  <si>
    <t>=-NL("Sum","32 Item Ledger Entry","12 Quantity","5 Source no.",$C1125,"3 Posting Date",U$9,"4 Entry Type",$C$4,"2 Item No.","@@"&amp;$F1125)</t>
  </si>
  <si>
    <t>=-NL("Sum","32 Item Ledger Entry","12 Quantity","5 Source no.",$C1126,"3 Posting Date",U$9,"4 Entry Type",$C$4,"2 Item No.","@@"&amp;$F1126)</t>
  </si>
  <si>
    <t>=-NL("Sum","32 Item Ledger Entry","12 Quantity","5 Source no.",$C1127,"3 Posting Date",U$9,"4 Entry Type",$C$4,"2 Item No.","@@"&amp;$F1127)</t>
  </si>
  <si>
    <t>=-NL("Sum","32 Item Ledger Entry","12 Quantity","5 Source no.",$C1128,"3 Posting Date",U$9,"4 Entry Type",$C$4,"2 Item No.","@@"&amp;$F1128)</t>
  </si>
  <si>
    <t>=-NL("Sum","32 Item Ledger Entry","12 Quantity","5 Source no.",$C1129,"3 Posting Date",U$9,"4 Entry Type",$C$4,"2 Item No.","@@"&amp;$F1129)</t>
  </si>
  <si>
    <t>=-NL("Sum","32 Item Ledger Entry","12 Quantity","5 Source no.",$C1130,"3 Posting Date",U$9,"4 Entry Type",$C$4,"2 Item No.","@@"&amp;$F1130)</t>
  </si>
  <si>
    <t>=-NL("Sum","32 Item Ledger Entry","12 Quantity","5 Source no.",$C1131,"3 Posting Date",U$9,"4 Entry Type",$C$4,"2 Item No.","@@"&amp;$F1131)</t>
  </si>
  <si>
    <t>=-NL("Sum","32 Item Ledger Entry","12 Quantity","5 Source no.",$C1132,"3 Posting Date",U$9,"4 Entry Type",$C$4,"2 Item No.","@@"&amp;$F1132)</t>
  </si>
  <si>
    <t>=-NL("Sum","32 Item Ledger Entry","12 Quantity","5 Source no.",$C1133,"3 Posting Date",U$9,"4 Entry Type",$C$4,"2 Item No.","@@"&amp;$F1133)</t>
  </si>
  <si>
    <t>=-NL("Sum","32 Item Ledger Entry","12 Quantity","5 Source no.",$C1134,"3 Posting Date",U$9,"4 Entry Type",$C$4,"2 Item No.","@@"&amp;$F1134)</t>
  </si>
  <si>
    <t>=-NL("Sum","32 Item Ledger Entry","12 Quantity","5 Source no.",$C1135,"3 Posting Date",U$9,"4 Entry Type",$C$4,"2 Item No.","@@"&amp;$F1135)</t>
  </si>
  <si>
    <t>=-NL("Sum","32 Item Ledger Entry","12 Quantity","5 Source no.",$C1115,"3 Posting Date",Z$9,"4 Entry Type",$C$4,"2 Item No.","@@"&amp;$F1115)</t>
  </si>
  <si>
    <t>=-NL("Sum","32 Item Ledger Entry","12 Quantity","5 Source no.",$C1116,"3 Posting Date",Z$9,"4 Entry Type",$C$4,"2 Item No.","@@"&amp;$F1116)</t>
  </si>
  <si>
    <t>=-NL("Sum","32 Item Ledger Entry","12 Quantity","5 Source no.",$C1117,"3 Posting Date",Z$9,"4 Entry Type",$C$4,"2 Item No.","@@"&amp;$F1117)</t>
  </si>
  <si>
    <t>=-NL("Sum","32 Item Ledger Entry","12 Quantity","5 Source no.",$C1118,"3 Posting Date",Z$9,"4 Entry Type",$C$4,"2 Item No.","@@"&amp;$F1118)</t>
  </si>
  <si>
    <t>=-NL("Sum","32 Item Ledger Entry","12 Quantity","5 Source no.",$C1119,"3 Posting Date",Z$9,"4 Entry Type",$C$4,"2 Item No.","@@"&amp;$F1119)</t>
  </si>
  <si>
    <t>=-NL("Sum","32 Item Ledger Entry","12 Quantity","5 Source no.",$C1120,"3 Posting Date",Z$9,"4 Entry Type",$C$4,"2 Item No.","@@"&amp;$F1120)</t>
  </si>
  <si>
    <t>=-NL("Sum","32 Item Ledger Entry","12 Quantity","5 Source no.",$C1121,"3 Posting Date",Z$9,"4 Entry Type",$C$4,"2 Item No.","@@"&amp;$F1121)</t>
  </si>
  <si>
    <t>=-NL("Sum","32 Item Ledger Entry","12 Quantity","5 Source no.",$C1122,"3 Posting Date",Z$9,"4 Entry Type",$C$4,"2 Item No.","@@"&amp;$F1122)</t>
  </si>
  <si>
    <t>=-NL("Sum","32 Item Ledger Entry","12 Quantity","5 Source no.",$C1123,"3 Posting Date",Z$9,"4 Entry Type",$C$4,"2 Item No.","@@"&amp;$F1123)</t>
  </si>
  <si>
    <t>=-NL("Sum","32 Item Ledger Entry","12 Quantity","5 Source no.",$C1124,"3 Posting Date",Z$9,"4 Entry Type",$C$4,"2 Item No.","@@"&amp;$F1124)</t>
  </si>
  <si>
    <t>=-NL("Sum","32 Item Ledger Entry","12 Quantity","5 Source no.",$C1125,"3 Posting Date",Z$9,"4 Entry Type",$C$4,"2 Item No.","@@"&amp;$F1125)</t>
  </si>
  <si>
    <t>=-NL("Sum","32 Item Ledger Entry","12 Quantity","5 Source no.",$C1126,"3 Posting Date",Z$9,"4 Entry Type",$C$4,"2 Item No.","@@"&amp;$F1126)</t>
  </si>
  <si>
    <t>=-NL("Sum","32 Item Ledger Entry","12 Quantity","5 Source no.",$C1127,"3 Posting Date",Z$9,"4 Entry Type",$C$4,"2 Item No.","@@"&amp;$F1127)</t>
  </si>
  <si>
    <t>=-NL("Sum","32 Item Ledger Entry","12 Quantity","5 Source no.",$C1128,"3 Posting Date",Z$9,"4 Entry Type",$C$4,"2 Item No.","@@"&amp;$F1128)</t>
  </si>
  <si>
    <t>=-NL("Sum","32 Item Ledger Entry","12 Quantity","5 Source no.",$C1129,"3 Posting Date",Z$9,"4 Entry Type",$C$4,"2 Item No.","@@"&amp;$F1129)</t>
  </si>
  <si>
    <t>=-NL("Sum","32 Item Ledger Entry","12 Quantity","5 Source no.",$C1130,"3 Posting Date",Z$9,"4 Entry Type",$C$4,"2 Item No.","@@"&amp;$F1130)</t>
  </si>
  <si>
    <t>=-NL("Sum","32 Item Ledger Entry","12 Quantity","5 Source no.",$C1131,"3 Posting Date",Z$9,"4 Entry Type",$C$4,"2 Item No.","@@"&amp;$F1131)</t>
  </si>
  <si>
    <t>=-NL("Sum","32 Item Ledger Entry","12 Quantity","5 Source no.",$C1132,"3 Posting Date",Z$9,"4 Entry Type",$C$4,"2 Item No.","@@"&amp;$F1132)</t>
  </si>
  <si>
    <t>=-NL("Sum","32 Item Ledger Entry","12 Quantity","5 Source no.",$C1133,"3 Posting Date",Z$9,"4 Entry Type",$C$4,"2 Item No.","@@"&amp;$F1133)</t>
  </si>
  <si>
    <t>=-NL("Sum","32 Item Ledger Entry","12 Quantity","5 Source no.",$C1134,"3 Posting Date",Z$9,"4 Entry Type",$C$4,"2 Item No.","@@"&amp;$F1134)</t>
  </si>
  <si>
    <t>=-NL("Sum","32 Item Ledger Entry","12 Quantity","5 Source no.",$C1135,"3 Posting Date",Z$9,"4 Entry Type",$C$4,"2 Item No.","@@"&amp;$F1135)</t>
  </si>
  <si>
    <t>=NL(,"27 Item","3 Description","1 No.","@@"&amp;F1084)</t>
  </si>
  <si>
    <t>=NL(,"27 Item","3 Description","1 No.","@@"&amp;F1085)</t>
  </si>
  <si>
    <t>=NL(,"27 Item","3 Description","1 No.","@@"&amp;F1086)</t>
  </si>
  <si>
    <t>=NL(,"27 Item","3 Description","1 No.","@@"&amp;F1087)</t>
  </si>
  <si>
    <t>=NL(,"27 Item","3 Description","1 No.","@@"&amp;F1088)</t>
  </si>
  <si>
    <t>=NL(,"27 Item","3 Description","1 No.","@@"&amp;F1089)</t>
  </si>
  <si>
    <t>=NL(,"27 Item","3 Description","1 No.","@@"&amp;F1090)</t>
  </si>
  <si>
    <t>=NL(,"27 Item","3 Description","1 No.","@@"&amp;F1091)</t>
  </si>
  <si>
    <t>=NL(,"27 Item","3 Description","1 No.","@@"&amp;F1092)</t>
  </si>
  <si>
    <t>=NL(,"27 Item","3 Description","1 No.","@@"&amp;F1093)</t>
  </si>
  <si>
    <t>=NL(,"27 Item","3 Description","1 No.","@@"&amp;F1094)</t>
  </si>
  <si>
    <t>=NL(,"27 Item","3 Description","1 No.","@@"&amp;F1095)</t>
  </si>
  <si>
    <t>=NL(,"27 Item","3 Description","1 No.","@@"&amp;F1096)</t>
  </si>
  <si>
    <t>=NL(,"27 Item","3 Description","1 No.","@@"&amp;F1097)</t>
  </si>
  <si>
    <t>=NL(,"27 Item","3 Description","1 No.","@@"&amp;F1098)</t>
  </si>
  <si>
    <t>=NL(,"27 Item","3 Description","1 No.","@@"&amp;F1099)</t>
  </si>
  <si>
    <t>=NL(,"27 Item","3 Description","1 No.","@@"&amp;F1100)</t>
  </si>
  <si>
    <t>=NL(,"27 Item","3 Description","1 No.","@@"&amp;F1101)</t>
  </si>
  <si>
    <t>=NL(,"27 Item","3 Description","1 No.","@@"&amp;F1102)</t>
  </si>
  <si>
    <t>=NL(,"27 Item","3 Description","1 No.","@@"&amp;F1103)</t>
  </si>
  <si>
    <t>=NL(,"27 Item","3 Description","1 No.","@@"&amp;F1104)</t>
  </si>
  <si>
    <t>=NL(,"27 Item","3 Description","1 No.","@@"&amp;F1105)</t>
  </si>
  <si>
    <t>=NL(,"27 Item","3 Description","1 No.","@@"&amp;F1106)</t>
  </si>
  <si>
    <t>=NL(,"27 Item","3 Description","1 No.","@@"&amp;F1107)</t>
  </si>
  <si>
    <t>=NL(,"27 Item","3 Description","1 No.","@@"&amp;F1108)</t>
  </si>
  <si>
    <t>=NL(,"27 Item","3 Description","1 No.","@@"&amp;F1109)</t>
  </si>
  <si>
    <t>=-NL("Sum","32 Item Ledger Entry","12 Quantity","5 Source no.",$C1084,"3 Posting Date",J$9,"4 Entry Type",$C$4,"2 Item No.","@@"&amp;$F1084)</t>
  </si>
  <si>
    <t>=-NL("Sum","32 Item Ledger Entry","12 Quantity","5 Source no.",$C1085,"3 Posting Date",J$9,"4 Entry Type",$C$4,"2 Item No.","@@"&amp;$F1085)</t>
  </si>
  <si>
    <t>=-NL("Sum","32 Item Ledger Entry","12 Quantity","5 Source no.",$C1086,"3 Posting Date",J$9,"4 Entry Type",$C$4,"2 Item No.","@@"&amp;$F1086)</t>
  </si>
  <si>
    <t>=-NL("Sum","32 Item Ledger Entry","12 Quantity","5 Source no.",$C1087,"3 Posting Date",J$9,"4 Entry Type",$C$4,"2 Item No.","@@"&amp;$F1087)</t>
  </si>
  <si>
    <t>=-NL("Sum","32 Item Ledger Entry","12 Quantity","5 Source no.",$C1088,"3 Posting Date",J$9,"4 Entry Type",$C$4,"2 Item No.","@@"&amp;$F1088)</t>
  </si>
  <si>
    <t>=-NL("Sum","32 Item Ledger Entry","12 Quantity","5 Source no.",$C1089,"3 Posting Date",J$9,"4 Entry Type",$C$4,"2 Item No.","@@"&amp;$F1089)</t>
  </si>
  <si>
    <t>=-NL("Sum","32 Item Ledger Entry","12 Quantity","5 Source no.",$C1090,"3 Posting Date",J$9,"4 Entry Type",$C$4,"2 Item No.","@@"&amp;$F1090)</t>
  </si>
  <si>
    <t>=-NL("Sum","32 Item Ledger Entry","12 Quantity","5 Source no.",$C1091,"3 Posting Date",J$9,"4 Entry Type",$C$4,"2 Item No.","@@"&amp;$F1091)</t>
  </si>
  <si>
    <t>=-NL("Sum","32 Item Ledger Entry","12 Quantity","5 Source no.",$C1092,"3 Posting Date",J$9,"4 Entry Type",$C$4,"2 Item No.","@@"&amp;$F1092)</t>
  </si>
  <si>
    <t>=-NL("Sum","32 Item Ledger Entry","12 Quantity","5 Source no.",$C1093,"3 Posting Date",J$9,"4 Entry Type",$C$4,"2 Item No.","@@"&amp;$F1093)</t>
  </si>
  <si>
    <t>=-NL("Sum","32 Item Ledger Entry","12 Quantity","5 Source no.",$C1094,"3 Posting Date",J$9,"4 Entry Type",$C$4,"2 Item No.","@@"&amp;$F1094)</t>
  </si>
  <si>
    <t>=-NL("Sum","32 Item Ledger Entry","12 Quantity","5 Source no.",$C1095,"3 Posting Date",J$9,"4 Entry Type",$C$4,"2 Item No.","@@"&amp;$F1095)</t>
  </si>
  <si>
    <t>=-NL("Sum","32 Item Ledger Entry","12 Quantity","5 Source no.",$C1096,"3 Posting Date",J$9,"4 Entry Type",$C$4,"2 Item No.","@@"&amp;$F1096)</t>
  </si>
  <si>
    <t>=-NL("Sum","32 Item Ledger Entry","12 Quantity","5 Source no.",$C1097,"3 Posting Date",J$9,"4 Entry Type",$C$4,"2 Item No.","@@"&amp;$F1097)</t>
  </si>
  <si>
    <t>=-NL("Sum","32 Item Ledger Entry","12 Quantity","5 Source no.",$C1098,"3 Posting Date",J$9,"4 Entry Type",$C$4,"2 Item No.","@@"&amp;$F1098)</t>
  </si>
  <si>
    <t>=-NL("Sum","32 Item Ledger Entry","12 Quantity","5 Source no.",$C1099,"3 Posting Date",J$9,"4 Entry Type",$C$4,"2 Item No.","@@"&amp;$F1099)</t>
  </si>
  <si>
    <t>=-NL("Sum","32 Item Ledger Entry","12 Quantity","5 Source no.",$C1100,"3 Posting Date",J$9,"4 Entry Type",$C$4,"2 Item No.","@@"&amp;$F1100)</t>
  </si>
  <si>
    <t>=-NL("Sum","32 Item Ledger Entry","12 Quantity","5 Source no.",$C1101,"3 Posting Date",J$9,"4 Entry Type",$C$4,"2 Item No.","@@"&amp;$F1101)</t>
  </si>
  <si>
    <t>=-NL("Sum","32 Item Ledger Entry","12 Quantity","5 Source no.",$C1102,"3 Posting Date",J$9,"4 Entry Type",$C$4,"2 Item No.","@@"&amp;$F1102)</t>
  </si>
  <si>
    <t>=-NL("Sum","32 Item Ledger Entry","12 Quantity","5 Source no.",$C1103,"3 Posting Date",J$9,"4 Entry Type",$C$4,"2 Item No.","@@"&amp;$F1103)</t>
  </si>
  <si>
    <t>=-NL("Sum","32 Item Ledger Entry","12 Quantity","5 Source no.",$C1104,"3 Posting Date",J$9,"4 Entry Type",$C$4,"2 Item No.","@@"&amp;$F1104)</t>
  </si>
  <si>
    <t>=-NL("Sum","32 Item Ledger Entry","12 Quantity","5 Source no.",$C1105,"3 Posting Date",J$9,"4 Entry Type",$C$4,"2 Item No.","@@"&amp;$F1105)</t>
  </si>
  <si>
    <t>=-NL("Sum","32 Item Ledger Entry","12 Quantity","5 Source no.",$C1106,"3 Posting Date",J$9,"4 Entry Type",$C$4,"2 Item No.","@@"&amp;$F1106)</t>
  </si>
  <si>
    <t>=-NL("Sum","32 Item Ledger Entry","12 Quantity","5 Source no.",$C1107,"3 Posting Date",J$9,"4 Entry Type",$C$4,"2 Item No.","@@"&amp;$F1107)</t>
  </si>
  <si>
    <t>=-NL("Sum","32 Item Ledger Entry","12 Quantity","5 Source no.",$C1108,"3 Posting Date",J$9,"4 Entry Type",$C$4,"2 Item No.","@@"&amp;$F1108)</t>
  </si>
  <si>
    <t>=-NL("Sum","32 Item Ledger Entry","12 Quantity","5 Source no.",$C1109,"3 Posting Date",J$9,"4 Entry Type",$C$4,"2 Item No.","@@"&amp;$F1109)</t>
  </si>
  <si>
    <t>=-NL("Sum","32 Item Ledger Entry","12 Quantity","5 Source no.",$C1084,"3 Posting Date",O$9,"4 Entry Type",$C$4,"2 Item No.","@@"&amp;$F1084)</t>
  </si>
  <si>
    <t>=-NL("Sum","32 Item Ledger Entry","12 Quantity","5 Source no.",$C1085,"3 Posting Date",O$9,"4 Entry Type",$C$4,"2 Item No.","@@"&amp;$F1085)</t>
  </si>
  <si>
    <t>=-NL("Sum","32 Item Ledger Entry","12 Quantity","5 Source no.",$C1086,"3 Posting Date",O$9,"4 Entry Type",$C$4,"2 Item No.","@@"&amp;$F1086)</t>
  </si>
  <si>
    <t>=-NL("Sum","32 Item Ledger Entry","12 Quantity","5 Source no.",$C1087,"3 Posting Date",O$9,"4 Entry Type",$C$4,"2 Item No.","@@"&amp;$F1087)</t>
  </si>
  <si>
    <t>=-NL("Sum","32 Item Ledger Entry","12 Quantity","5 Source no.",$C1088,"3 Posting Date",O$9,"4 Entry Type",$C$4,"2 Item No.","@@"&amp;$F1088)</t>
  </si>
  <si>
    <t>=-NL("Sum","32 Item Ledger Entry","12 Quantity","5 Source no.",$C1089,"3 Posting Date",O$9,"4 Entry Type",$C$4,"2 Item No.","@@"&amp;$F1089)</t>
  </si>
  <si>
    <t>=-NL("Sum","32 Item Ledger Entry","12 Quantity","5 Source no.",$C1090,"3 Posting Date",O$9,"4 Entry Type",$C$4,"2 Item No.","@@"&amp;$F1090)</t>
  </si>
  <si>
    <t>=-NL("Sum","32 Item Ledger Entry","12 Quantity","5 Source no.",$C1091,"3 Posting Date",O$9,"4 Entry Type",$C$4,"2 Item No.","@@"&amp;$F1091)</t>
  </si>
  <si>
    <t>=-NL("Sum","32 Item Ledger Entry","12 Quantity","5 Source no.",$C1092,"3 Posting Date",O$9,"4 Entry Type",$C$4,"2 Item No.","@@"&amp;$F1092)</t>
  </si>
  <si>
    <t>=-NL("Sum","32 Item Ledger Entry","12 Quantity","5 Source no.",$C1093,"3 Posting Date",O$9,"4 Entry Type",$C$4,"2 Item No.","@@"&amp;$F1093)</t>
  </si>
  <si>
    <t>=-NL("Sum","32 Item Ledger Entry","12 Quantity","5 Source no.",$C1094,"3 Posting Date",O$9,"4 Entry Type",$C$4,"2 Item No.","@@"&amp;$F1094)</t>
  </si>
  <si>
    <t>=-NL("Sum","32 Item Ledger Entry","12 Quantity","5 Source no.",$C1095,"3 Posting Date",O$9,"4 Entry Type",$C$4,"2 Item No.","@@"&amp;$F1095)</t>
  </si>
  <si>
    <t>=-NL("Sum","32 Item Ledger Entry","12 Quantity","5 Source no.",$C1096,"3 Posting Date",O$9,"4 Entry Type",$C$4,"2 Item No.","@@"&amp;$F1096)</t>
  </si>
  <si>
    <t>=-NL("Sum","32 Item Ledger Entry","12 Quantity","5 Source no.",$C1097,"3 Posting Date",O$9,"4 Entry Type",$C$4,"2 Item No.","@@"&amp;$F1097)</t>
  </si>
  <si>
    <t>=-NL("Sum","32 Item Ledger Entry","12 Quantity","5 Source no.",$C1098,"3 Posting Date",O$9,"4 Entry Type",$C$4,"2 Item No.","@@"&amp;$F1098)</t>
  </si>
  <si>
    <t>=-NL("Sum","32 Item Ledger Entry","12 Quantity","5 Source no.",$C1099,"3 Posting Date",O$9,"4 Entry Type",$C$4,"2 Item No.","@@"&amp;$F1099)</t>
  </si>
  <si>
    <t>=-NL("Sum","32 Item Ledger Entry","12 Quantity","5 Source no.",$C1100,"3 Posting Date",O$9,"4 Entry Type",$C$4,"2 Item No.","@@"&amp;$F1100)</t>
  </si>
  <si>
    <t>=-NL("Sum","32 Item Ledger Entry","12 Quantity","5 Source no.",$C1101,"3 Posting Date",O$9,"4 Entry Type",$C$4,"2 Item No.","@@"&amp;$F1101)</t>
  </si>
  <si>
    <t>=-NL("Sum","32 Item Ledger Entry","12 Quantity","5 Source no.",$C1102,"3 Posting Date",O$9,"4 Entry Type",$C$4,"2 Item No.","@@"&amp;$F1102)</t>
  </si>
  <si>
    <t>=-NL("Sum","32 Item Ledger Entry","12 Quantity","5 Source no.",$C1103,"3 Posting Date",O$9,"4 Entry Type",$C$4,"2 Item No.","@@"&amp;$F1103)</t>
  </si>
  <si>
    <t>=-NL("Sum","32 Item Ledger Entry","12 Quantity","5 Source no.",$C1104,"3 Posting Date",O$9,"4 Entry Type",$C$4,"2 Item No.","@@"&amp;$F1104)</t>
  </si>
  <si>
    <t>=-NL("Sum","32 Item Ledger Entry","12 Quantity","5 Source no.",$C1105,"3 Posting Date",O$9,"4 Entry Type",$C$4,"2 Item No.","@@"&amp;$F1105)</t>
  </si>
  <si>
    <t>=-NL("Sum","32 Item Ledger Entry","12 Quantity","5 Source no.",$C1106,"3 Posting Date",O$9,"4 Entry Type",$C$4,"2 Item No.","@@"&amp;$F1106)</t>
  </si>
  <si>
    <t>=-NL("Sum","32 Item Ledger Entry","12 Quantity","5 Source no.",$C1107,"3 Posting Date",O$9,"4 Entry Type",$C$4,"2 Item No.","@@"&amp;$F1107)</t>
  </si>
  <si>
    <t>=-NL("Sum","32 Item Ledger Entry","12 Quantity","5 Source no.",$C1108,"3 Posting Date",O$9,"4 Entry Type",$C$4,"2 Item No.","@@"&amp;$F1108)</t>
  </si>
  <si>
    <t>=-NL("Sum","32 Item Ledger Entry","12 Quantity","5 Source no.",$C1109,"3 Posting Date",O$9,"4 Entry Type",$C$4,"2 Item No.","@@"&amp;$F1109)</t>
  </si>
  <si>
    <t>=-NL("Sum","32 Item Ledger Entry","12 Quantity","5 Source no.",$C1084,"3 Posting Date",U$9,"4 Entry Type",$C$4,"2 Item No.","@@"&amp;$F1084)</t>
  </si>
  <si>
    <t>=-NL("Sum","32 Item Ledger Entry","12 Quantity","5 Source no.",$C1085,"3 Posting Date",U$9,"4 Entry Type",$C$4,"2 Item No.","@@"&amp;$F1085)</t>
  </si>
  <si>
    <t>=-NL("Sum","32 Item Ledger Entry","12 Quantity","5 Source no.",$C1086,"3 Posting Date",U$9,"4 Entry Type",$C$4,"2 Item No.","@@"&amp;$F1086)</t>
  </si>
  <si>
    <t>=-NL("Sum","32 Item Ledger Entry","12 Quantity","5 Source no.",$C1087,"3 Posting Date",U$9,"4 Entry Type",$C$4,"2 Item No.","@@"&amp;$F1087)</t>
  </si>
  <si>
    <t>=-NL("Sum","32 Item Ledger Entry","12 Quantity","5 Source no.",$C1088,"3 Posting Date",U$9,"4 Entry Type",$C$4,"2 Item No.","@@"&amp;$F1088)</t>
  </si>
  <si>
    <t>=-NL("Sum","32 Item Ledger Entry","12 Quantity","5 Source no.",$C1089,"3 Posting Date",U$9,"4 Entry Type",$C$4,"2 Item No.","@@"&amp;$F1089)</t>
  </si>
  <si>
    <t>=-NL("Sum","32 Item Ledger Entry","12 Quantity","5 Source no.",$C1090,"3 Posting Date",U$9,"4 Entry Type",$C$4,"2 Item No.","@@"&amp;$F1090)</t>
  </si>
  <si>
    <t>=-NL("Sum","32 Item Ledger Entry","12 Quantity","5 Source no.",$C1091,"3 Posting Date",U$9,"4 Entry Type",$C$4,"2 Item No.","@@"&amp;$F1091)</t>
  </si>
  <si>
    <t>=-NL("Sum","32 Item Ledger Entry","12 Quantity","5 Source no.",$C1092,"3 Posting Date",U$9,"4 Entry Type",$C$4,"2 Item No.","@@"&amp;$F1092)</t>
  </si>
  <si>
    <t>=-NL("Sum","32 Item Ledger Entry","12 Quantity","5 Source no.",$C1093,"3 Posting Date",U$9,"4 Entry Type",$C$4,"2 Item No.","@@"&amp;$F1093)</t>
  </si>
  <si>
    <t>=-NL("Sum","32 Item Ledger Entry","12 Quantity","5 Source no.",$C1094,"3 Posting Date",U$9,"4 Entry Type",$C$4,"2 Item No.","@@"&amp;$F1094)</t>
  </si>
  <si>
    <t>=-NL("Sum","32 Item Ledger Entry","12 Quantity","5 Source no.",$C1095,"3 Posting Date",U$9,"4 Entry Type",$C$4,"2 Item No.","@@"&amp;$F1095)</t>
  </si>
  <si>
    <t>=-NL("Sum","32 Item Ledger Entry","12 Quantity","5 Source no.",$C1096,"3 Posting Date",U$9,"4 Entry Type",$C$4,"2 Item No.","@@"&amp;$F1096)</t>
  </si>
  <si>
    <t>=-NL("Sum","32 Item Ledger Entry","12 Quantity","5 Source no.",$C1097,"3 Posting Date",U$9,"4 Entry Type",$C$4,"2 Item No.","@@"&amp;$F1097)</t>
  </si>
  <si>
    <t>=-NL("Sum","32 Item Ledger Entry","12 Quantity","5 Source no.",$C1098,"3 Posting Date",U$9,"4 Entry Type",$C$4,"2 Item No.","@@"&amp;$F1098)</t>
  </si>
  <si>
    <t>=-NL("Sum","32 Item Ledger Entry","12 Quantity","5 Source no.",$C1099,"3 Posting Date",U$9,"4 Entry Type",$C$4,"2 Item No.","@@"&amp;$F1099)</t>
  </si>
  <si>
    <t>=-NL("Sum","32 Item Ledger Entry","12 Quantity","5 Source no.",$C1100,"3 Posting Date",U$9,"4 Entry Type",$C$4,"2 Item No.","@@"&amp;$F1100)</t>
  </si>
  <si>
    <t>=-NL("Sum","32 Item Ledger Entry","12 Quantity","5 Source no.",$C1101,"3 Posting Date",U$9,"4 Entry Type",$C$4,"2 Item No.","@@"&amp;$F1101)</t>
  </si>
  <si>
    <t>=-NL("Sum","32 Item Ledger Entry","12 Quantity","5 Source no.",$C1102,"3 Posting Date",U$9,"4 Entry Type",$C$4,"2 Item No.","@@"&amp;$F1102)</t>
  </si>
  <si>
    <t>=-NL("Sum","32 Item Ledger Entry","12 Quantity","5 Source no.",$C1103,"3 Posting Date",U$9,"4 Entry Type",$C$4,"2 Item No.","@@"&amp;$F1103)</t>
  </si>
  <si>
    <t>=-NL("Sum","32 Item Ledger Entry","12 Quantity","5 Source no.",$C1104,"3 Posting Date",U$9,"4 Entry Type",$C$4,"2 Item No.","@@"&amp;$F1104)</t>
  </si>
  <si>
    <t>=-NL("Sum","32 Item Ledger Entry","12 Quantity","5 Source no.",$C1105,"3 Posting Date",U$9,"4 Entry Type",$C$4,"2 Item No.","@@"&amp;$F1105)</t>
  </si>
  <si>
    <t>=-NL("Sum","32 Item Ledger Entry","12 Quantity","5 Source no.",$C1106,"3 Posting Date",U$9,"4 Entry Type",$C$4,"2 Item No.","@@"&amp;$F1106)</t>
  </si>
  <si>
    <t>=-NL("Sum","32 Item Ledger Entry","12 Quantity","5 Source no.",$C1107,"3 Posting Date",U$9,"4 Entry Type",$C$4,"2 Item No.","@@"&amp;$F1107)</t>
  </si>
  <si>
    <t>=-NL("Sum","32 Item Ledger Entry","12 Quantity","5 Source no.",$C1108,"3 Posting Date",U$9,"4 Entry Type",$C$4,"2 Item No.","@@"&amp;$F1108)</t>
  </si>
  <si>
    <t>=-NL("Sum","32 Item Ledger Entry","12 Quantity","5 Source no.",$C1109,"3 Posting Date",U$9,"4 Entry Type",$C$4,"2 Item No.","@@"&amp;$F1109)</t>
  </si>
  <si>
    <t>=-NL("Sum","32 Item Ledger Entry","12 Quantity","5 Source no.",$C1084,"3 Posting Date",Z$9,"4 Entry Type",$C$4,"2 Item No.","@@"&amp;$F1084)</t>
  </si>
  <si>
    <t>=-NL("Sum","32 Item Ledger Entry","12 Quantity","5 Source no.",$C1085,"3 Posting Date",Z$9,"4 Entry Type",$C$4,"2 Item No.","@@"&amp;$F1085)</t>
  </si>
  <si>
    <t>=-NL("Sum","32 Item Ledger Entry","12 Quantity","5 Source no.",$C1086,"3 Posting Date",Z$9,"4 Entry Type",$C$4,"2 Item No.","@@"&amp;$F1086)</t>
  </si>
  <si>
    <t>=-NL("Sum","32 Item Ledger Entry","12 Quantity","5 Source no.",$C1087,"3 Posting Date",Z$9,"4 Entry Type",$C$4,"2 Item No.","@@"&amp;$F1087)</t>
  </si>
  <si>
    <t>=-NL("Sum","32 Item Ledger Entry","12 Quantity","5 Source no.",$C1088,"3 Posting Date",Z$9,"4 Entry Type",$C$4,"2 Item No.","@@"&amp;$F1088)</t>
  </si>
  <si>
    <t>=-NL("Sum","32 Item Ledger Entry","12 Quantity","5 Source no.",$C1089,"3 Posting Date",Z$9,"4 Entry Type",$C$4,"2 Item No.","@@"&amp;$F1089)</t>
  </si>
  <si>
    <t>=-NL("Sum","32 Item Ledger Entry","12 Quantity","5 Source no.",$C1090,"3 Posting Date",Z$9,"4 Entry Type",$C$4,"2 Item No.","@@"&amp;$F1090)</t>
  </si>
  <si>
    <t>=-NL("Sum","32 Item Ledger Entry","12 Quantity","5 Source no.",$C1091,"3 Posting Date",Z$9,"4 Entry Type",$C$4,"2 Item No.","@@"&amp;$F1091)</t>
  </si>
  <si>
    <t>=-NL("Sum","32 Item Ledger Entry","12 Quantity","5 Source no.",$C1092,"3 Posting Date",Z$9,"4 Entry Type",$C$4,"2 Item No.","@@"&amp;$F1092)</t>
  </si>
  <si>
    <t>=-NL("Sum","32 Item Ledger Entry","12 Quantity","5 Source no.",$C1093,"3 Posting Date",Z$9,"4 Entry Type",$C$4,"2 Item No.","@@"&amp;$F1093)</t>
  </si>
  <si>
    <t>=-NL("Sum","32 Item Ledger Entry","12 Quantity","5 Source no.",$C1094,"3 Posting Date",Z$9,"4 Entry Type",$C$4,"2 Item No.","@@"&amp;$F1094)</t>
  </si>
  <si>
    <t>=-NL("Sum","32 Item Ledger Entry","12 Quantity","5 Source no.",$C1095,"3 Posting Date",Z$9,"4 Entry Type",$C$4,"2 Item No.","@@"&amp;$F1095)</t>
  </si>
  <si>
    <t>=-NL("Sum","32 Item Ledger Entry","12 Quantity","5 Source no.",$C1096,"3 Posting Date",Z$9,"4 Entry Type",$C$4,"2 Item No.","@@"&amp;$F1096)</t>
  </si>
  <si>
    <t>=-NL("Sum","32 Item Ledger Entry","12 Quantity","5 Source no.",$C1097,"3 Posting Date",Z$9,"4 Entry Type",$C$4,"2 Item No.","@@"&amp;$F1097)</t>
  </si>
  <si>
    <t>=-NL("Sum","32 Item Ledger Entry","12 Quantity","5 Source no.",$C1098,"3 Posting Date",Z$9,"4 Entry Type",$C$4,"2 Item No.","@@"&amp;$F1098)</t>
  </si>
  <si>
    <t>=-NL("Sum","32 Item Ledger Entry","12 Quantity","5 Source no.",$C1099,"3 Posting Date",Z$9,"4 Entry Type",$C$4,"2 Item No.","@@"&amp;$F1099)</t>
  </si>
  <si>
    <t>=-NL("Sum","32 Item Ledger Entry","12 Quantity","5 Source no.",$C1100,"3 Posting Date",Z$9,"4 Entry Type",$C$4,"2 Item No.","@@"&amp;$F1100)</t>
  </si>
  <si>
    <t>=-NL("Sum","32 Item Ledger Entry","12 Quantity","5 Source no.",$C1101,"3 Posting Date",Z$9,"4 Entry Type",$C$4,"2 Item No.","@@"&amp;$F1101)</t>
  </si>
  <si>
    <t>=-NL("Sum","32 Item Ledger Entry","12 Quantity","5 Source no.",$C1102,"3 Posting Date",Z$9,"4 Entry Type",$C$4,"2 Item No.","@@"&amp;$F1102)</t>
  </si>
  <si>
    <t>=-NL("Sum","32 Item Ledger Entry","12 Quantity","5 Source no.",$C1103,"3 Posting Date",Z$9,"4 Entry Type",$C$4,"2 Item No.","@@"&amp;$F1103)</t>
  </si>
  <si>
    <t>=-NL("Sum","32 Item Ledger Entry","12 Quantity","5 Source no.",$C1104,"3 Posting Date",Z$9,"4 Entry Type",$C$4,"2 Item No.","@@"&amp;$F1104)</t>
  </si>
  <si>
    <t>=-NL("Sum","32 Item Ledger Entry","12 Quantity","5 Source no.",$C1105,"3 Posting Date",Z$9,"4 Entry Type",$C$4,"2 Item No.","@@"&amp;$F1105)</t>
  </si>
  <si>
    <t>=-NL("Sum","32 Item Ledger Entry","12 Quantity","5 Source no.",$C1106,"3 Posting Date",Z$9,"4 Entry Type",$C$4,"2 Item No.","@@"&amp;$F1106)</t>
  </si>
  <si>
    <t>=-NL("Sum","32 Item Ledger Entry","12 Quantity","5 Source no.",$C1107,"3 Posting Date",Z$9,"4 Entry Type",$C$4,"2 Item No.","@@"&amp;$F1107)</t>
  </si>
  <si>
    <t>=-NL("Sum","32 Item Ledger Entry","12 Quantity","5 Source no.",$C1108,"3 Posting Date",Z$9,"4 Entry Type",$C$4,"2 Item No.","@@"&amp;$F1108)</t>
  </si>
  <si>
    <t>=-NL("Sum","32 Item Ledger Entry","12 Quantity","5 Source no.",$C1109,"3 Posting Date",Z$9,"4 Entry Type",$C$4,"2 Item No.","@@"&amp;$F1109)</t>
  </si>
  <si>
    <t>=NL(,"27 Item","3 Description","1 No.","@@"&amp;F1063)</t>
  </si>
  <si>
    <t>=NL(,"27 Item","3 Description","1 No.","@@"&amp;F1064)</t>
  </si>
  <si>
    <t>=NL(,"27 Item","3 Description","1 No.","@@"&amp;F1065)</t>
  </si>
  <si>
    <t>=NL(,"27 Item","3 Description","1 No.","@@"&amp;F1066)</t>
  </si>
  <si>
    <t>=NL(,"27 Item","3 Description","1 No.","@@"&amp;F1067)</t>
  </si>
  <si>
    <t>=NL(,"27 Item","3 Description","1 No.","@@"&amp;F1068)</t>
  </si>
  <si>
    <t>=NL(,"27 Item","3 Description","1 No.","@@"&amp;F1069)</t>
  </si>
  <si>
    <t>=NL(,"27 Item","3 Description","1 No.","@@"&amp;F1070)</t>
  </si>
  <si>
    <t>=NL(,"27 Item","3 Description","1 No.","@@"&amp;F1071)</t>
  </si>
  <si>
    <t>=NL(,"27 Item","3 Description","1 No.","@@"&amp;F1072)</t>
  </si>
  <si>
    <t>=NL(,"27 Item","3 Description","1 No.","@@"&amp;F1073)</t>
  </si>
  <si>
    <t>=NL(,"27 Item","3 Description","1 No.","@@"&amp;F1074)</t>
  </si>
  <si>
    <t>=NL(,"27 Item","3 Description","1 No.","@@"&amp;F1075)</t>
  </si>
  <si>
    <t>=NL(,"27 Item","3 Description","1 No.","@@"&amp;F1076)</t>
  </si>
  <si>
    <t>=NL(,"27 Item","3 Description","1 No.","@@"&amp;F1077)</t>
  </si>
  <si>
    <t>=NL(,"27 Item","3 Description","1 No.","@@"&amp;F1078)</t>
  </si>
  <si>
    <t>=-NL("Sum","32 Item Ledger Entry","12 Quantity","5 Source no.",$C1063,"3 Posting Date",J$9,"4 Entry Type",$C$4,"2 Item No.","@@"&amp;$F1063)</t>
  </si>
  <si>
    <t>=-NL("Sum","32 Item Ledger Entry","12 Quantity","5 Source no.",$C1064,"3 Posting Date",J$9,"4 Entry Type",$C$4,"2 Item No.","@@"&amp;$F1064)</t>
  </si>
  <si>
    <t>=-NL("Sum","32 Item Ledger Entry","12 Quantity","5 Source no.",$C1065,"3 Posting Date",J$9,"4 Entry Type",$C$4,"2 Item No.","@@"&amp;$F1065)</t>
  </si>
  <si>
    <t>=-NL("Sum","32 Item Ledger Entry","12 Quantity","5 Source no.",$C1066,"3 Posting Date",J$9,"4 Entry Type",$C$4,"2 Item No.","@@"&amp;$F1066)</t>
  </si>
  <si>
    <t>=-NL("Sum","32 Item Ledger Entry","12 Quantity","5 Source no.",$C1067,"3 Posting Date",J$9,"4 Entry Type",$C$4,"2 Item No.","@@"&amp;$F1067)</t>
  </si>
  <si>
    <t>=-NL("Sum","32 Item Ledger Entry","12 Quantity","5 Source no.",$C1068,"3 Posting Date",J$9,"4 Entry Type",$C$4,"2 Item No.","@@"&amp;$F1068)</t>
  </si>
  <si>
    <t>=-NL("Sum","32 Item Ledger Entry","12 Quantity","5 Source no.",$C1069,"3 Posting Date",J$9,"4 Entry Type",$C$4,"2 Item No.","@@"&amp;$F1069)</t>
  </si>
  <si>
    <t>=-NL("Sum","32 Item Ledger Entry","12 Quantity","5 Source no.",$C1070,"3 Posting Date",J$9,"4 Entry Type",$C$4,"2 Item No.","@@"&amp;$F1070)</t>
  </si>
  <si>
    <t>=-NL("Sum","32 Item Ledger Entry","12 Quantity","5 Source no.",$C1071,"3 Posting Date",J$9,"4 Entry Type",$C$4,"2 Item No.","@@"&amp;$F1071)</t>
  </si>
  <si>
    <t>=-NL("Sum","32 Item Ledger Entry","12 Quantity","5 Source no.",$C1072,"3 Posting Date",J$9,"4 Entry Type",$C$4,"2 Item No.","@@"&amp;$F1072)</t>
  </si>
  <si>
    <t>=-NL("Sum","32 Item Ledger Entry","12 Quantity","5 Source no.",$C1073,"3 Posting Date",J$9,"4 Entry Type",$C$4,"2 Item No.","@@"&amp;$F1073)</t>
  </si>
  <si>
    <t>=-NL("Sum","32 Item Ledger Entry","12 Quantity","5 Source no.",$C1074,"3 Posting Date",J$9,"4 Entry Type",$C$4,"2 Item No.","@@"&amp;$F1074)</t>
  </si>
  <si>
    <t>=-NL("Sum","32 Item Ledger Entry","12 Quantity","5 Source no.",$C1075,"3 Posting Date",J$9,"4 Entry Type",$C$4,"2 Item No.","@@"&amp;$F1075)</t>
  </si>
  <si>
    <t>=-NL("Sum","32 Item Ledger Entry","12 Quantity","5 Source no.",$C1076,"3 Posting Date",J$9,"4 Entry Type",$C$4,"2 Item No.","@@"&amp;$F1076)</t>
  </si>
  <si>
    <t>=-NL("Sum","32 Item Ledger Entry","12 Quantity","5 Source no.",$C1077,"3 Posting Date",J$9,"4 Entry Type",$C$4,"2 Item No.","@@"&amp;$F1077)</t>
  </si>
  <si>
    <t>=-NL("Sum","32 Item Ledger Entry","12 Quantity","5 Source no.",$C1078,"3 Posting Date",J$9,"4 Entry Type",$C$4,"2 Item No.","@@"&amp;$F1078)</t>
  </si>
  <si>
    <t>=-NL("Sum","32 Item Ledger Entry","12 Quantity","5 Source no.",$C1063,"3 Posting Date",O$9,"4 Entry Type",$C$4,"2 Item No.","@@"&amp;$F1063)</t>
  </si>
  <si>
    <t>=-NL("Sum","32 Item Ledger Entry","12 Quantity","5 Source no.",$C1064,"3 Posting Date",O$9,"4 Entry Type",$C$4,"2 Item No.","@@"&amp;$F1064)</t>
  </si>
  <si>
    <t>=-NL("Sum","32 Item Ledger Entry","12 Quantity","5 Source no.",$C1065,"3 Posting Date",O$9,"4 Entry Type",$C$4,"2 Item No.","@@"&amp;$F1065)</t>
  </si>
  <si>
    <t>=-NL("Sum","32 Item Ledger Entry","12 Quantity","5 Source no.",$C1066,"3 Posting Date",O$9,"4 Entry Type",$C$4,"2 Item No.","@@"&amp;$F1066)</t>
  </si>
  <si>
    <t>=-NL("Sum","32 Item Ledger Entry","12 Quantity","5 Source no.",$C1067,"3 Posting Date",O$9,"4 Entry Type",$C$4,"2 Item No.","@@"&amp;$F1067)</t>
  </si>
  <si>
    <t>=-NL("Sum","32 Item Ledger Entry","12 Quantity","5 Source no.",$C1068,"3 Posting Date",O$9,"4 Entry Type",$C$4,"2 Item No.","@@"&amp;$F1068)</t>
  </si>
  <si>
    <t>=-NL("Sum","32 Item Ledger Entry","12 Quantity","5 Source no.",$C1069,"3 Posting Date",O$9,"4 Entry Type",$C$4,"2 Item No.","@@"&amp;$F1069)</t>
  </si>
  <si>
    <t>=-NL("Sum","32 Item Ledger Entry","12 Quantity","5 Source no.",$C1070,"3 Posting Date",O$9,"4 Entry Type",$C$4,"2 Item No.","@@"&amp;$F1070)</t>
  </si>
  <si>
    <t>=-NL("Sum","32 Item Ledger Entry","12 Quantity","5 Source no.",$C1071,"3 Posting Date",O$9,"4 Entry Type",$C$4,"2 Item No.","@@"&amp;$F1071)</t>
  </si>
  <si>
    <t>=-NL("Sum","32 Item Ledger Entry","12 Quantity","5 Source no.",$C1072,"3 Posting Date",O$9,"4 Entry Type",$C$4,"2 Item No.","@@"&amp;$F1072)</t>
  </si>
  <si>
    <t>=-NL("Sum","32 Item Ledger Entry","12 Quantity","5 Source no.",$C1073,"3 Posting Date",O$9,"4 Entry Type",$C$4,"2 Item No.","@@"&amp;$F1073)</t>
  </si>
  <si>
    <t>=-NL("Sum","32 Item Ledger Entry","12 Quantity","5 Source no.",$C1074,"3 Posting Date",O$9,"4 Entry Type",$C$4,"2 Item No.","@@"&amp;$F1074)</t>
  </si>
  <si>
    <t>=-NL("Sum","32 Item Ledger Entry","12 Quantity","5 Source no.",$C1075,"3 Posting Date",O$9,"4 Entry Type",$C$4,"2 Item No.","@@"&amp;$F1075)</t>
  </si>
  <si>
    <t>=-NL("Sum","32 Item Ledger Entry","12 Quantity","5 Source no.",$C1076,"3 Posting Date",O$9,"4 Entry Type",$C$4,"2 Item No.","@@"&amp;$F1076)</t>
  </si>
  <si>
    <t>=-NL("Sum","32 Item Ledger Entry","12 Quantity","5 Source no.",$C1077,"3 Posting Date",O$9,"4 Entry Type",$C$4,"2 Item No.","@@"&amp;$F1077)</t>
  </si>
  <si>
    <t>=-NL("Sum","32 Item Ledger Entry","12 Quantity","5 Source no.",$C1078,"3 Posting Date",O$9,"4 Entry Type",$C$4,"2 Item No.","@@"&amp;$F1078)</t>
  </si>
  <si>
    <t>=-NL("Sum","32 Item Ledger Entry","12 Quantity","5 Source no.",$C1063,"3 Posting Date",U$9,"4 Entry Type",$C$4,"2 Item No.","@@"&amp;$F1063)</t>
  </si>
  <si>
    <t>=-NL("Sum","32 Item Ledger Entry","12 Quantity","5 Source no.",$C1064,"3 Posting Date",U$9,"4 Entry Type",$C$4,"2 Item No.","@@"&amp;$F1064)</t>
  </si>
  <si>
    <t>=-NL("Sum","32 Item Ledger Entry","12 Quantity","5 Source no.",$C1065,"3 Posting Date",U$9,"4 Entry Type",$C$4,"2 Item No.","@@"&amp;$F1065)</t>
  </si>
  <si>
    <t>=-NL("Sum","32 Item Ledger Entry","12 Quantity","5 Source no.",$C1066,"3 Posting Date",U$9,"4 Entry Type",$C$4,"2 Item No.","@@"&amp;$F1066)</t>
  </si>
  <si>
    <t>=-NL("Sum","32 Item Ledger Entry","12 Quantity","5 Source no.",$C1067,"3 Posting Date",U$9,"4 Entry Type",$C$4,"2 Item No.","@@"&amp;$F1067)</t>
  </si>
  <si>
    <t>=-NL("Sum","32 Item Ledger Entry","12 Quantity","5 Source no.",$C1068,"3 Posting Date",U$9,"4 Entry Type",$C$4,"2 Item No.","@@"&amp;$F1068)</t>
  </si>
  <si>
    <t>=-NL("Sum","32 Item Ledger Entry","12 Quantity","5 Source no.",$C1069,"3 Posting Date",U$9,"4 Entry Type",$C$4,"2 Item No.","@@"&amp;$F1069)</t>
  </si>
  <si>
    <t>=-NL("Sum","32 Item Ledger Entry","12 Quantity","5 Source no.",$C1070,"3 Posting Date",U$9,"4 Entry Type",$C$4,"2 Item No.","@@"&amp;$F1070)</t>
  </si>
  <si>
    <t>=-NL("Sum","32 Item Ledger Entry","12 Quantity","5 Source no.",$C1071,"3 Posting Date",U$9,"4 Entry Type",$C$4,"2 Item No.","@@"&amp;$F1071)</t>
  </si>
  <si>
    <t>=-NL("Sum","32 Item Ledger Entry","12 Quantity","5 Source no.",$C1072,"3 Posting Date",U$9,"4 Entry Type",$C$4,"2 Item No.","@@"&amp;$F1072)</t>
  </si>
  <si>
    <t>=-NL("Sum","32 Item Ledger Entry","12 Quantity","5 Source no.",$C1073,"3 Posting Date",U$9,"4 Entry Type",$C$4,"2 Item No.","@@"&amp;$F1073)</t>
  </si>
  <si>
    <t>=-NL("Sum","32 Item Ledger Entry","12 Quantity","5 Source no.",$C1074,"3 Posting Date",U$9,"4 Entry Type",$C$4,"2 Item No.","@@"&amp;$F1074)</t>
  </si>
  <si>
    <t>=-NL("Sum","32 Item Ledger Entry","12 Quantity","5 Source no.",$C1075,"3 Posting Date",U$9,"4 Entry Type",$C$4,"2 Item No.","@@"&amp;$F1075)</t>
  </si>
  <si>
    <t>=-NL("Sum","32 Item Ledger Entry","12 Quantity","5 Source no.",$C1076,"3 Posting Date",U$9,"4 Entry Type",$C$4,"2 Item No.","@@"&amp;$F1076)</t>
  </si>
  <si>
    <t>=-NL("Sum","32 Item Ledger Entry","12 Quantity","5 Source no.",$C1077,"3 Posting Date",U$9,"4 Entry Type",$C$4,"2 Item No.","@@"&amp;$F1077)</t>
  </si>
  <si>
    <t>=-NL("Sum","32 Item Ledger Entry","12 Quantity","5 Source no.",$C1078,"3 Posting Date",U$9,"4 Entry Type",$C$4,"2 Item No.","@@"&amp;$F1078)</t>
  </si>
  <si>
    <t>=-NL("Sum","32 Item Ledger Entry","12 Quantity","5 Source no.",$C1063,"3 Posting Date",Z$9,"4 Entry Type",$C$4,"2 Item No.","@@"&amp;$F1063)</t>
  </si>
  <si>
    <t>=-NL("Sum","32 Item Ledger Entry","12 Quantity","5 Source no.",$C1064,"3 Posting Date",Z$9,"4 Entry Type",$C$4,"2 Item No.","@@"&amp;$F1064)</t>
  </si>
  <si>
    <t>=-NL("Sum","32 Item Ledger Entry","12 Quantity","5 Source no.",$C1065,"3 Posting Date",Z$9,"4 Entry Type",$C$4,"2 Item No.","@@"&amp;$F1065)</t>
  </si>
  <si>
    <t>=-NL("Sum","32 Item Ledger Entry","12 Quantity","5 Source no.",$C1066,"3 Posting Date",Z$9,"4 Entry Type",$C$4,"2 Item No.","@@"&amp;$F1066)</t>
  </si>
  <si>
    <t>=-NL("Sum","32 Item Ledger Entry","12 Quantity","5 Source no.",$C1067,"3 Posting Date",Z$9,"4 Entry Type",$C$4,"2 Item No.","@@"&amp;$F1067)</t>
  </si>
  <si>
    <t>=-NL("Sum","32 Item Ledger Entry","12 Quantity","5 Source no.",$C1068,"3 Posting Date",Z$9,"4 Entry Type",$C$4,"2 Item No.","@@"&amp;$F1068)</t>
  </si>
  <si>
    <t>=-NL("Sum","32 Item Ledger Entry","12 Quantity","5 Source no.",$C1069,"3 Posting Date",Z$9,"4 Entry Type",$C$4,"2 Item No.","@@"&amp;$F1069)</t>
  </si>
  <si>
    <t>=-NL("Sum","32 Item Ledger Entry","12 Quantity","5 Source no.",$C1070,"3 Posting Date",Z$9,"4 Entry Type",$C$4,"2 Item No.","@@"&amp;$F1070)</t>
  </si>
  <si>
    <t>=-NL("Sum","32 Item Ledger Entry","12 Quantity","5 Source no.",$C1071,"3 Posting Date",Z$9,"4 Entry Type",$C$4,"2 Item No.","@@"&amp;$F1071)</t>
  </si>
  <si>
    <t>=-NL("Sum","32 Item Ledger Entry","12 Quantity","5 Source no.",$C1072,"3 Posting Date",Z$9,"4 Entry Type",$C$4,"2 Item No.","@@"&amp;$F1072)</t>
  </si>
  <si>
    <t>=-NL("Sum","32 Item Ledger Entry","12 Quantity","5 Source no.",$C1073,"3 Posting Date",Z$9,"4 Entry Type",$C$4,"2 Item No.","@@"&amp;$F1073)</t>
  </si>
  <si>
    <t>=-NL("Sum","32 Item Ledger Entry","12 Quantity","5 Source no.",$C1074,"3 Posting Date",Z$9,"4 Entry Type",$C$4,"2 Item No.","@@"&amp;$F1074)</t>
  </si>
  <si>
    <t>=-NL("Sum","32 Item Ledger Entry","12 Quantity","5 Source no.",$C1075,"3 Posting Date",Z$9,"4 Entry Type",$C$4,"2 Item No.","@@"&amp;$F1075)</t>
  </si>
  <si>
    <t>=-NL("Sum","32 Item Ledger Entry","12 Quantity","5 Source no.",$C1076,"3 Posting Date",Z$9,"4 Entry Type",$C$4,"2 Item No.","@@"&amp;$F1076)</t>
  </si>
  <si>
    <t>=-NL("Sum","32 Item Ledger Entry","12 Quantity","5 Source no.",$C1077,"3 Posting Date",Z$9,"4 Entry Type",$C$4,"2 Item No.","@@"&amp;$F1077)</t>
  </si>
  <si>
    <t>=-NL("Sum","32 Item Ledger Entry","12 Quantity","5 Source no.",$C1078,"3 Posting Date",Z$9,"4 Entry Type",$C$4,"2 Item No.","@@"&amp;$F1078)</t>
  </si>
  <si>
    <t>=NL(,"27 Item","3 Description","1 No.","@@"&amp;F1018)</t>
  </si>
  <si>
    <t>=NL(,"27 Item","3 Description","1 No.","@@"&amp;F1019)</t>
  </si>
  <si>
    <t>=NL(,"27 Item","3 Description","1 No.","@@"&amp;F1020)</t>
  </si>
  <si>
    <t>=NL(,"27 Item","3 Description","1 No.","@@"&amp;F1021)</t>
  </si>
  <si>
    <t>=NL(,"27 Item","3 Description","1 No.","@@"&amp;F1022)</t>
  </si>
  <si>
    <t>=NL(,"27 Item","3 Description","1 No.","@@"&amp;F1023)</t>
  </si>
  <si>
    <t>=NL(,"27 Item","3 Description","1 No.","@@"&amp;F1024)</t>
  </si>
  <si>
    <t>=NL(,"27 Item","3 Description","1 No.","@@"&amp;F1025)</t>
  </si>
  <si>
    <t>=NL(,"27 Item","3 Description","1 No.","@@"&amp;F1026)</t>
  </si>
  <si>
    <t>=NL(,"27 Item","3 Description","1 No.","@@"&amp;F1027)</t>
  </si>
  <si>
    <t>=NL(,"27 Item","3 Description","1 No.","@@"&amp;F1028)</t>
  </si>
  <si>
    <t>=NL(,"27 Item","3 Description","1 No.","@@"&amp;F1029)</t>
  </si>
  <si>
    <t>=NL(,"27 Item","3 Description","1 No.","@@"&amp;F1030)</t>
  </si>
  <si>
    <t>=NL(,"27 Item","3 Description","1 No.","@@"&amp;F1031)</t>
  </si>
  <si>
    <t>=NL(,"27 Item","3 Description","1 No.","@@"&amp;F1032)</t>
  </si>
  <si>
    <t>=NL(,"27 Item","3 Description","1 No.","@@"&amp;F1033)</t>
  </si>
  <si>
    <t>=NL(,"27 Item","3 Description","1 No.","@@"&amp;F1034)</t>
  </si>
  <si>
    <t>=NL(,"27 Item","3 Description","1 No.","@@"&amp;F1035)</t>
  </si>
  <si>
    <t>=NL(,"27 Item","3 Description","1 No.","@@"&amp;F1036)</t>
  </si>
  <si>
    <t>=NL(,"27 Item","3 Description","1 No.","@@"&amp;F1037)</t>
  </si>
  <si>
    <t>=NL(,"27 Item","3 Description","1 No.","@@"&amp;F1038)</t>
  </si>
  <si>
    <t>=NL(,"27 Item","3 Description","1 No.","@@"&amp;F1039)</t>
  </si>
  <si>
    <t>=NL(,"27 Item","3 Description","1 No.","@@"&amp;F1040)</t>
  </si>
  <si>
    <t>=NL(,"27 Item","3 Description","1 No.","@@"&amp;F1041)</t>
  </si>
  <si>
    <t>=NL(,"27 Item","3 Description","1 No.","@@"&amp;F1042)</t>
  </si>
  <si>
    <t>=NL(,"27 Item","3 Description","1 No.","@@"&amp;F1043)</t>
  </si>
  <si>
    <t>=NL(,"27 Item","3 Description","1 No.","@@"&amp;F1044)</t>
  </si>
  <si>
    <t>=NL(,"27 Item","3 Description","1 No.","@@"&amp;F1045)</t>
  </si>
  <si>
    <t>=NL(,"27 Item","3 Description","1 No.","@@"&amp;F1046)</t>
  </si>
  <si>
    <t>=NL(,"27 Item","3 Description","1 No.","@@"&amp;F1047)</t>
  </si>
  <si>
    <t>=NL(,"27 Item","3 Description","1 No.","@@"&amp;F1048)</t>
  </si>
  <si>
    <t>=NL(,"27 Item","3 Description","1 No.","@@"&amp;F1049)</t>
  </si>
  <si>
    <t>=NL(,"27 Item","3 Description","1 No.","@@"&amp;F1050)</t>
  </si>
  <si>
    <t>=NL(,"27 Item","3 Description","1 No.","@@"&amp;F1051)</t>
  </si>
  <si>
    <t>=NL(,"27 Item","3 Description","1 No.","@@"&amp;F1052)</t>
  </si>
  <si>
    <t>=NL(,"27 Item","3 Description","1 No.","@@"&amp;F1053)</t>
  </si>
  <si>
    <t>=NL(,"27 Item","3 Description","1 No.","@@"&amp;F1054)</t>
  </si>
  <si>
    <t>=NL(,"27 Item","3 Description","1 No.","@@"&amp;F1055)</t>
  </si>
  <si>
    <t>=NL(,"27 Item","3 Description","1 No.","@@"&amp;F1056)</t>
  </si>
  <si>
    <t>=NL(,"27 Item","3 Description","1 No.","@@"&amp;F1057)</t>
  </si>
  <si>
    <t>=-NL("Sum","32 Item Ledger Entry","12 Quantity","5 Source no.",$C1018,"3 Posting Date",J$9,"4 Entry Type",$C$4,"2 Item No.","@@"&amp;$F1018)</t>
  </si>
  <si>
    <t>=-NL("Sum","32 Item Ledger Entry","12 Quantity","5 Source no.",$C1019,"3 Posting Date",J$9,"4 Entry Type",$C$4,"2 Item No.","@@"&amp;$F1019)</t>
  </si>
  <si>
    <t>=-NL("Sum","32 Item Ledger Entry","12 Quantity","5 Source no.",$C1020,"3 Posting Date",J$9,"4 Entry Type",$C$4,"2 Item No.","@@"&amp;$F1020)</t>
  </si>
  <si>
    <t>=-NL("Sum","32 Item Ledger Entry","12 Quantity","5 Source no.",$C1021,"3 Posting Date",J$9,"4 Entry Type",$C$4,"2 Item No.","@@"&amp;$F1021)</t>
  </si>
  <si>
    <t>=-NL("Sum","32 Item Ledger Entry","12 Quantity","5 Source no.",$C1022,"3 Posting Date",J$9,"4 Entry Type",$C$4,"2 Item No.","@@"&amp;$F1022)</t>
  </si>
  <si>
    <t>=-NL("Sum","32 Item Ledger Entry","12 Quantity","5 Source no.",$C1023,"3 Posting Date",J$9,"4 Entry Type",$C$4,"2 Item No.","@@"&amp;$F1023)</t>
  </si>
  <si>
    <t>=-NL("Sum","32 Item Ledger Entry","12 Quantity","5 Source no.",$C1024,"3 Posting Date",J$9,"4 Entry Type",$C$4,"2 Item No.","@@"&amp;$F1024)</t>
  </si>
  <si>
    <t>=-NL("Sum","32 Item Ledger Entry","12 Quantity","5 Source no.",$C1025,"3 Posting Date",J$9,"4 Entry Type",$C$4,"2 Item No.","@@"&amp;$F1025)</t>
  </si>
  <si>
    <t>=-NL("Sum","32 Item Ledger Entry","12 Quantity","5 Source no.",$C1026,"3 Posting Date",J$9,"4 Entry Type",$C$4,"2 Item No.","@@"&amp;$F1026)</t>
  </si>
  <si>
    <t>=-NL("Sum","32 Item Ledger Entry","12 Quantity","5 Source no.",$C1027,"3 Posting Date",J$9,"4 Entry Type",$C$4,"2 Item No.","@@"&amp;$F1027)</t>
  </si>
  <si>
    <t>=-NL("Sum","32 Item Ledger Entry","12 Quantity","5 Source no.",$C1028,"3 Posting Date",J$9,"4 Entry Type",$C$4,"2 Item No.","@@"&amp;$F1028)</t>
  </si>
  <si>
    <t>=-NL("Sum","32 Item Ledger Entry","12 Quantity","5 Source no.",$C1029,"3 Posting Date",J$9,"4 Entry Type",$C$4,"2 Item No.","@@"&amp;$F1029)</t>
  </si>
  <si>
    <t>=-NL("Sum","32 Item Ledger Entry","12 Quantity","5 Source no.",$C1030,"3 Posting Date",J$9,"4 Entry Type",$C$4,"2 Item No.","@@"&amp;$F1030)</t>
  </si>
  <si>
    <t>=-NL("Sum","32 Item Ledger Entry","12 Quantity","5 Source no.",$C1031,"3 Posting Date",J$9,"4 Entry Type",$C$4,"2 Item No.","@@"&amp;$F1031)</t>
  </si>
  <si>
    <t>=-NL("Sum","32 Item Ledger Entry","12 Quantity","5 Source no.",$C1032,"3 Posting Date",J$9,"4 Entry Type",$C$4,"2 Item No.","@@"&amp;$F1032)</t>
  </si>
  <si>
    <t>=-NL("Sum","32 Item Ledger Entry","12 Quantity","5 Source no.",$C1033,"3 Posting Date",J$9,"4 Entry Type",$C$4,"2 Item No.","@@"&amp;$F1033)</t>
  </si>
  <si>
    <t>=-NL("Sum","32 Item Ledger Entry","12 Quantity","5 Source no.",$C1034,"3 Posting Date",J$9,"4 Entry Type",$C$4,"2 Item No.","@@"&amp;$F1034)</t>
  </si>
  <si>
    <t>=-NL("Sum","32 Item Ledger Entry","12 Quantity","5 Source no.",$C1035,"3 Posting Date",J$9,"4 Entry Type",$C$4,"2 Item No.","@@"&amp;$F1035)</t>
  </si>
  <si>
    <t>=-NL("Sum","32 Item Ledger Entry","12 Quantity","5 Source no.",$C1036,"3 Posting Date",J$9,"4 Entry Type",$C$4,"2 Item No.","@@"&amp;$F1036)</t>
  </si>
  <si>
    <t>=-NL("Sum","32 Item Ledger Entry","12 Quantity","5 Source no.",$C1037,"3 Posting Date",J$9,"4 Entry Type",$C$4,"2 Item No.","@@"&amp;$F1037)</t>
  </si>
  <si>
    <t>=-NL("Sum","32 Item Ledger Entry","12 Quantity","5 Source no.",$C1038,"3 Posting Date",J$9,"4 Entry Type",$C$4,"2 Item No.","@@"&amp;$F1038)</t>
  </si>
  <si>
    <t>=-NL("Sum","32 Item Ledger Entry","12 Quantity","5 Source no.",$C1039,"3 Posting Date",J$9,"4 Entry Type",$C$4,"2 Item No.","@@"&amp;$F1039)</t>
  </si>
  <si>
    <t>=-NL("Sum","32 Item Ledger Entry","12 Quantity","5 Source no.",$C1040,"3 Posting Date",J$9,"4 Entry Type",$C$4,"2 Item No.","@@"&amp;$F1040)</t>
  </si>
  <si>
    <t>=-NL("Sum","32 Item Ledger Entry","12 Quantity","5 Source no.",$C1041,"3 Posting Date",J$9,"4 Entry Type",$C$4,"2 Item No.","@@"&amp;$F1041)</t>
  </si>
  <si>
    <t>=-NL("Sum","32 Item Ledger Entry","12 Quantity","5 Source no.",$C1042,"3 Posting Date",J$9,"4 Entry Type",$C$4,"2 Item No.","@@"&amp;$F1042)</t>
  </si>
  <si>
    <t>=-NL("Sum","32 Item Ledger Entry","12 Quantity","5 Source no.",$C1043,"3 Posting Date",J$9,"4 Entry Type",$C$4,"2 Item No.","@@"&amp;$F1043)</t>
  </si>
  <si>
    <t>=-NL("Sum","32 Item Ledger Entry","12 Quantity","5 Source no.",$C1044,"3 Posting Date",J$9,"4 Entry Type",$C$4,"2 Item No.","@@"&amp;$F1044)</t>
  </si>
  <si>
    <t>=-NL("Sum","32 Item Ledger Entry","12 Quantity","5 Source no.",$C1045,"3 Posting Date",J$9,"4 Entry Type",$C$4,"2 Item No.","@@"&amp;$F1045)</t>
  </si>
  <si>
    <t>=-NL("Sum","32 Item Ledger Entry","12 Quantity","5 Source no.",$C1046,"3 Posting Date",J$9,"4 Entry Type",$C$4,"2 Item No.","@@"&amp;$F1046)</t>
  </si>
  <si>
    <t>=-NL("Sum","32 Item Ledger Entry","12 Quantity","5 Source no.",$C1047,"3 Posting Date",J$9,"4 Entry Type",$C$4,"2 Item No.","@@"&amp;$F1047)</t>
  </si>
  <si>
    <t>=-NL("Sum","32 Item Ledger Entry","12 Quantity","5 Source no.",$C1048,"3 Posting Date",J$9,"4 Entry Type",$C$4,"2 Item No.","@@"&amp;$F1048)</t>
  </si>
  <si>
    <t>=-NL("Sum","32 Item Ledger Entry","12 Quantity","5 Source no.",$C1049,"3 Posting Date",J$9,"4 Entry Type",$C$4,"2 Item No.","@@"&amp;$F1049)</t>
  </si>
  <si>
    <t>=-NL("Sum","32 Item Ledger Entry","12 Quantity","5 Source no.",$C1050,"3 Posting Date",J$9,"4 Entry Type",$C$4,"2 Item No.","@@"&amp;$F1050)</t>
  </si>
  <si>
    <t>=-NL("Sum","32 Item Ledger Entry","12 Quantity","5 Source no.",$C1051,"3 Posting Date",J$9,"4 Entry Type",$C$4,"2 Item No.","@@"&amp;$F1051)</t>
  </si>
  <si>
    <t>=-NL("Sum","32 Item Ledger Entry","12 Quantity","5 Source no.",$C1052,"3 Posting Date",J$9,"4 Entry Type",$C$4,"2 Item No.","@@"&amp;$F1052)</t>
  </si>
  <si>
    <t>=-NL("Sum","32 Item Ledger Entry","12 Quantity","5 Source no.",$C1053,"3 Posting Date",J$9,"4 Entry Type",$C$4,"2 Item No.","@@"&amp;$F1053)</t>
  </si>
  <si>
    <t>=-NL("Sum","32 Item Ledger Entry","12 Quantity","5 Source no.",$C1054,"3 Posting Date",J$9,"4 Entry Type",$C$4,"2 Item No.","@@"&amp;$F1054)</t>
  </si>
  <si>
    <t>=-NL("Sum","32 Item Ledger Entry","12 Quantity","5 Source no.",$C1055,"3 Posting Date",J$9,"4 Entry Type",$C$4,"2 Item No.","@@"&amp;$F1055)</t>
  </si>
  <si>
    <t>=-NL("Sum","32 Item Ledger Entry","12 Quantity","5 Source no.",$C1056,"3 Posting Date",J$9,"4 Entry Type",$C$4,"2 Item No.","@@"&amp;$F1056)</t>
  </si>
  <si>
    <t>=-NL("Sum","32 Item Ledger Entry","12 Quantity","5 Source no.",$C1057,"3 Posting Date",J$9,"4 Entry Type",$C$4,"2 Item No.","@@"&amp;$F1057)</t>
  </si>
  <si>
    <t>=-NL("Sum","32 Item Ledger Entry","12 Quantity","5 Source no.",$C1018,"3 Posting Date",O$9,"4 Entry Type",$C$4,"2 Item No.","@@"&amp;$F1018)</t>
  </si>
  <si>
    <t>=-NL("Sum","32 Item Ledger Entry","12 Quantity","5 Source no.",$C1019,"3 Posting Date",O$9,"4 Entry Type",$C$4,"2 Item No.","@@"&amp;$F1019)</t>
  </si>
  <si>
    <t>=-NL("Sum","32 Item Ledger Entry","12 Quantity","5 Source no.",$C1020,"3 Posting Date",O$9,"4 Entry Type",$C$4,"2 Item No.","@@"&amp;$F1020)</t>
  </si>
  <si>
    <t>=-NL("Sum","32 Item Ledger Entry","12 Quantity","5 Source no.",$C1021,"3 Posting Date",O$9,"4 Entry Type",$C$4,"2 Item No.","@@"&amp;$F1021)</t>
  </si>
  <si>
    <t>=-NL("Sum","32 Item Ledger Entry","12 Quantity","5 Source no.",$C1022,"3 Posting Date",O$9,"4 Entry Type",$C$4,"2 Item No.","@@"&amp;$F1022)</t>
  </si>
  <si>
    <t>=-NL("Sum","32 Item Ledger Entry","12 Quantity","5 Source no.",$C1023,"3 Posting Date",O$9,"4 Entry Type",$C$4,"2 Item No.","@@"&amp;$F1023)</t>
  </si>
  <si>
    <t>=-NL("Sum","32 Item Ledger Entry","12 Quantity","5 Source no.",$C1024,"3 Posting Date",O$9,"4 Entry Type",$C$4,"2 Item No.","@@"&amp;$F1024)</t>
  </si>
  <si>
    <t>=-NL("Sum","32 Item Ledger Entry","12 Quantity","5 Source no.",$C1025,"3 Posting Date",O$9,"4 Entry Type",$C$4,"2 Item No.","@@"&amp;$F1025)</t>
  </si>
  <si>
    <t>=-NL("Sum","32 Item Ledger Entry","12 Quantity","5 Source no.",$C1026,"3 Posting Date",O$9,"4 Entry Type",$C$4,"2 Item No.","@@"&amp;$F1026)</t>
  </si>
  <si>
    <t>=-NL("Sum","32 Item Ledger Entry","12 Quantity","5 Source no.",$C1027,"3 Posting Date",O$9,"4 Entry Type",$C$4,"2 Item No.","@@"&amp;$F1027)</t>
  </si>
  <si>
    <t>=-NL("Sum","32 Item Ledger Entry","12 Quantity","5 Source no.",$C1028,"3 Posting Date",O$9,"4 Entry Type",$C$4,"2 Item No.","@@"&amp;$F1028)</t>
  </si>
  <si>
    <t>=-NL("Sum","32 Item Ledger Entry","12 Quantity","5 Source no.",$C1029,"3 Posting Date",O$9,"4 Entry Type",$C$4,"2 Item No.","@@"&amp;$F1029)</t>
  </si>
  <si>
    <t>=-NL("Sum","32 Item Ledger Entry","12 Quantity","5 Source no.",$C1030,"3 Posting Date",O$9,"4 Entry Type",$C$4,"2 Item No.","@@"&amp;$F1030)</t>
  </si>
  <si>
    <t>=-NL("Sum","32 Item Ledger Entry","12 Quantity","5 Source no.",$C1031,"3 Posting Date",O$9,"4 Entry Type",$C$4,"2 Item No.","@@"&amp;$F1031)</t>
  </si>
  <si>
    <t>=-NL("Sum","32 Item Ledger Entry","12 Quantity","5 Source no.",$C1032,"3 Posting Date",O$9,"4 Entry Type",$C$4,"2 Item No.","@@"&amp;$F1032)</t>
  </si>
  <si>
    <t>=-NL("Sum","32 Item Ledger Entry","12 Quantity","5 Source no.",$C1033,"3 Posting Date",O$9,"4 Entry Type",$C$4,"2 Item No.","@@"&amp;$F1033)</t>
  </si>
  <si>
    <t>=-NL("Sum","32 Item Ledger Entry","12 Quantity","5 Source no.",$C1034,"3 Posting Date",O$9,"4 Entry Type",$C$4,"2 Item No.","@@"&amp;$F1034)</t>
  </si>
  <si>
    <t>=-NL("Sum","32 Item Ledger Entry","12 Quantity","5 Source no.",$C1035,"3 Posting Date",O$9,"4 Entry Type",$C$4,"2 Item No.","@@"&amp;$F1035)</t>
  </si>
  <si>
    <t>=-NL("Sum","32 Item Ledger Entry","12 Quantity","5 Source no.",$C1036,"3 Posting Date",O$9,"4 Entry Type",$C$4,"2 Item No.","@@"&amp;$F1036)</t>
  </si>
  <si>
    <t>=-NL("Sum","32 Item Ledger Entry","12 Quantity","5 Source no.",$C1037,"3 Posting Date",O$9,"4 Entry Type",$C$4,"2 Item No.","@@"&amp;$F1037)</t>
  </si>
  <si>
    <t>=-NL("Sum","32 Item Ledger Entry","12 Quantity","5 Source no.",$C1038,"3 Posting Date",O$9,"4 Entry Type",$C$4,"2 Item No.","@@"&amp;$F1038)</t>
  </si>
  <si>
    <t>=-NL("Sum","32 Item Ledger Entry","12 Quantity","5 Source no.",$C1039,"3 Posting Date",O$9,"4 Entry Type",$C$4,"2 Item No.","@@"&amp;$F1039)</t>
  </si>
  <si>
    <t>=-NL("Sum","32 Item Ledger Entry","12 Quantity","5 Source no.",$C1040,"3 Posting Date",O$9,"4 Entry Type",$C$4,"2 Item No.","@@"&amp;$F1040)</t>
  </si>
  <si>
    <t>=-NL("Sum","32 Item Ledger Entry","12 Quantity","5 Source no.",$C1041,"3 Posting Date",O$9,"4 Entry Type",$C$4,"2 Item No.","@@"&amp;$F1041)</t>
  </si>
  <si>
    <t>=-NL("Sum","32 Item Ledger Entry","12 Quantity","5 Source no.",$C1042,"3 Posting Date",O$9,"4 Entry Type",$C$4,"2 Item No.","@@"&amp;$F1042)</t>
  </si>
  <si>
    <t>=-NL("Sum","32 Item Ledger Entry","12 Quantity","5 Source no.",$C1043,"3 Posting Date",O$9,"4 Entry Type",$C$4,"2 Item No.","@@"&amp;$F1043)</t>
  </si>
  <si>
    <t>=-NL("Sum","32 Item Ledger Entry","12 Quantity","5 Source no.",$C1044,"3 Posting Date",O$9,"4 Entry Type",$C$4,"2 Item No.","@@"&amp;$F1044)</t>
  </si>
  <si>
    <t>=-NL("Sum","32 Item Ledger Entry","12 Quantity","5 Source no.",$C1045,"3 Posting Date",O$9,"4 Entry Type",$C$4,"2 Item No.","@@"&amp;$F1045)</t>
  </si>
  <si>
    <t>=-NL("Sum","32 Item Ledger Entry","12 Quantity","5 Source no.",$C1046,"3 Posting Date",O$9,"4 Entry Type",$C$4,"2 Item No.","@@"&amp;$F1046)</t>
  </si>
  <si>
    <t>=-NL("Sum","32 Item Ledger Entry","12 Quantity","5 Source no.",$C1047,"3 Posting Date",O$9,"4 Entry Type",$C$4,"2 Item No.","@@"&amp;$F1047)</t>
  </si>
  <si>
    <t>=-NL("Sum","32 Item Ledger Entry","12 Quantity","5 Source no.",$C1048,"3 Posting Date",O$9,"4 Entry Type",$C$4,"2 Item No.","@@"&amp;$F1048)</t>
  </si>
  <si>
    <t>=-NL("Sum","32 Item Ledger Entry","12 Quantity","5 Source no.",$C1049,"3 Posting Date",O$9,"4 Entry Type",$C$4,"2 Item No.","@@"&amp;$F1049)</t>
  </si>
  <si>
    <t>=-NL("Sum","32 Item Ledger Entry","12 Quantity","5 Source no.",$C1050,"3 Posting Date",O$9,"4 Entry Type",$C$4,"2 Item No.","@@"&amp;$F1050)</t>
  </si>
  <si>
    <t>=-NL("Sum","32 Item Ledger Entry","12 Quantity","5 Source no.",$C1051,"3 Posting Date",O$9,"4 Entry Type",$C$4,"2 Item No.","@@"&amp;$F1051)</t>
  </si>
  <si>
    <t>=-NL("Sum","32 Item Ledger Entry","12 Quantity","5 Source no.",$C1052,"3 Posting Date",O$9,"4 Entry Type",$C$4,"2 Item No.","@@"&amp;$F1052)</t>
  </si>
  <si>
    <t>=-NL("Sum","32 Item Ledger Entry","12 Quantity","5 Source no.",$C1053,"3 Posting Date",O$9,"4 Entry Type",$C$4,"2 Item No.","@@"&amp;$F1053)</t>
  </si>
  <si>
    <t>=-NL("Sum","32 Item Ledger Entry","12 Quantity","5 Source no.",$C1054,"3 Posting Date",O$9,"4 Entry Type",$C$4,"2 Item No.","@@"&amp;$F1054)</t>
  </si>
  <si>
    <t>=-NL("Sum","32 Item Ledger Entry","12 Quantity","5 Source no.",$C1055,"3 Posting Date",O$9,"4 Entry Type",$C$4,"2 Item No.","@@"&amp;$F1055)</t>
  </si>
  <si>
    <t>=-NL("Sum","32 Item Ledger Entry","12 Quantity","5 Source no.",$C1056,"3 Posting Date",O$9,"4 Entry Type",$C$4,"2 Item No.","@@"&amp;$F1056)</t>
  </si>
  <si>
    <t>=-NL("Sum","32 Item Ledger Entry","12 Quantity","5 Source no.",$C1057,"3 Posting Date",O$9,"4 Entry Type",$C$4,"2 Item No.","@@"&amp;$F1057)</t>
  </si>
  <si>
    <t>=-NL("Sum","32 Item Ledger Entry","12 Quantity","5 Source no.",$C1018,"3 Posting Date",U$9,"4 Entry Type",$C$4,"2 Item No.","@@"&amp;$F1018)</t>
  </si>
  <si>
    <t>=-NL("Sum","32 Item Ledger Entry","12 Quantity","5 Source no.",$C1019,"3 Posting Date",U$9,"4 Entry Type",$C$4,"2 Item No.","@@"&amp;$F1019)</t>
  </si>
  <si>
    <t>=-NL("Sum","32 Item Ledger Entry","12 Quantity","5 Source no.",$C1020,"3 Posting Date",U$9,"4 Entry Type",$C$4,"2 Item No.","@@"&amp;$F1020)</t>
  </si>
  <si>
    <t>=-NL("Sum","32 Item Ledger Entry","12 Quantity","5 Source no.",$C1021,"3 Posting Date",U$9,"4 Entry Type",$C$4,"2 Item No.","@@"&amp;$F1021)</t>
  </si>
  <si>
    <t>=-NL("Sum","32 Item Ledger Entry","12 Quantity","5 Source no.",$C1022,"3 Posting Date",U$9,"4 Entry Type",$C$4,"2 Item No.","@@"&amp;$F1022)</t>
  </si>
  <si>
    <t>=-NL("Sum","32 Item Ledger Entry","12 Quantity","5 Source no.",$C1023,"3 Posting Date",U$9,"4 Entry Type",$C$4,"2 Item No.","@@"&amp;$F1023)</t>
  </si>
  <si>
    <t>=-NL("Sum","32 Item Ledger Entry","12 Quantity","5 Source no.",$C1024,"3 Posting Date",U$9,"4 Entry Type",$C$4,"2 Item No.","@@"&amp;$F1024)</t>
  </si>
  <si>
    <t>=-NL("Sum","32 Item Ledger Entry","12 Quantity","5 Source no.",$C1025,"3 Posting Date",U$9,"4 Entry Type",$C$4,"2 Item No.","@@"&amp;$F1025)</t>
  </si>
  <si>
    <t>=-NL("Sum","32 Item Ledger Entry","12 Quantity","5 Source no.",$C1026,"3 Posting Date",U$9,"4 Entry Type",$C$4,"2 Item No.","@@"&amp;$F1026)</t>
  </si>
  <si>
    <t>=-NL("Sum","32 Item Ledger Entry","12 Quantity","5 Source no.",$C1027,"3 Posting Date",U$9,"4 Entry Type",$C$4,"2 Item No.","@@"&amp;$F1027)</t>
  </si>
  <si>
    <t>=-NL("Sum","32 Item Ledger Entry","12 Quantity","5 Source no.",$C1028,"3 Posting Date",U$9,"4 Entry Type",$C$4,"2 Item No.","@@"&amp;$F1028)</t>
  </si>
  <si>
    <t>=-NL("Sum","32 Item Ledger Entry","12 Quantity","5 Source no.",$C1029,"3 Posting Date",U$9,"4 Entry Type",$C$4,"2 Item No.","@@"&amp;$F1029)</t>
  </si>
  <si>
    <t>=-NL("Sum","32 Item Ledger Entry","12 Quantity","5 Source no.",$C1030,"3 Posting Date",U$9,"4 Entry Type",$C$4,"2 Item No.","@@"&amp;$F1030)</t>
  </si>
  <si>
    <t>=-NL("Sum","32 Item Ledger Entry","12 Quantity","5 Source no.",$C1031,"3 Posting Date",U$9,"4 Entry Type",$C$4,"2 Item No.","@@"&amp;$F1031)</t>
  </si>
  <si>
    <t>=-NL("Sum","32 Item Ledger Entry","12 Quantity","5 Source no.",$C1032,"3 Posting Date",U$9,"4 Entry Type",$C$4,"2 Item No.","@@"&amp;$F1032)</t>
  </si>
  <si>
    <t>=-NL("Sum","32 Item Ledger Entry","12 Quantity","5 Source no.",$C1033,"3 Posting Date",U$9,"4 Entry Type",$C$4,"2 Item No.","@@"&amp;$F1033)</t>
  </si>
  <si>
    <t>=-NL("Sum","32 Item Ledger Entry","12 Quantity","5 Source no.",$C1034,"3 Posting Date",U$9,"4 Entry Type",$C$4,"2 Item No.","@@"&amp;$F1034)</t>
  </si>
  <si>
    <t>=-NL("Sum","32 Item Ledger Entry","12 Quantity","5 Source no.",$C1035,"3 Posting Date",U$9,"4 Entry Type",$C$4,"2 Item No.","@@"&amp;$F1035)</t>
  </si>
  <si>
    <t>=-NL("Sum","32 Item Ledger Entry","12 Quantity","5 Source no.",$C1036,"3 Posting Date",U$9,"4 Entry Type",$C$4,"2 Item No.","@@"&amp;$F1036)</t>
  </si>
  <si>
    <t>=-NL("Sum","32 Item Ledger Entry","12 Quantity","5 Source no.",$C1037,"3 Posting Date",U$9,"4 Entry Type",$C$4,"2 Item No.","@@"&amp;$F1037)</t>
  </si>
  <si>
    <t>=-NL("Sum","32 Item Ledger Entry","12 Quantity","5 Source no.",$C1038,"3 Posting Date",U$9,"4 Entry Type",$C$4,"2 Item No.","@@"&amp;$F1038)</t>
  </si>
  <si>
    <t>=-NL("Sum","32 Item Ledger Entry","12 Quantity","5 Source no.",$C1039,"3 Posting Date",U$9,"4 Entry Type",$C$4,"2 Item No.","@@"&amp;$F1039)</t>
  </si>
  <si>
    <t>=-NL("Sum","32 Item Ledger Entry","12 Quantity","5 Source no.",$C1040,"3 Posting Date",U$9,"4 Entry Type",$C$4,"2 Item No.","@@"&amp;$F1040)</t>
  </si>
  <si>
    <t>=-NL("Sum","32 Item Ledger Entry","12 Quantity","5 Source no.",$C1041,"3 Posting Date",U$9,"4 Entry Type",$C$4,"2 Item No.","@@"&amp;$F1041)</t>
  </si>
  <si>
    <t>=-NL("Sum","32 Item Ledger Entry","12 Quantity","5 Source no.",$C1042,"3 Posting Date",U$9,"4 Entry Type",$C$4,"2 Item No.","@@"&amp;$F1042)</t>
  </si>
  <si>
    <t>=-NL("Sum","32 Item Ledger Entry","12 Quantity","5 Source no.",$C1043,"3 Posting Date",U$9,"4 Entry Type",$C$4,"2 Item No.","@@"&amp;$F1043)</t>
  </si>
  <si>
    <t>=-NL("Sum","32 Item Ledger Entry","12 Quantity","5 Source no.",$C1044,"3 Posting Date",U$9,"4 Entry Type",$C$4,"2 Item No.","@@"&amp;$F1044)</t>
  </si>
  <si>
    <t>=-NL("Sum","32 Item Ledger Entry","12 Quantity","5 Source no.",$C1045,"3 Posting Date",U$9,"4 Entry Type",$C$4,"2 Item No.","@@"&amp;$F1045)</t>
  </si>
  <si>
    <t>=-NL("Sum","32 Item Ledger Entry","12 Quantity","5 Source no.",$C1046,"3 Posting Date",U$9,"4 Entry Type",$C$4,"2 Item No.","@@"&amp;$F1046)</t>
  </si>
  <si>
    <t>=-NL("Sum","32 Item Ledger Entry","12 Quantity","5 Source no.",$C1047,"3 Posting Date",U$9,"4 Entry Type",$C$4,"2 Item No.","@@"&amp;$F1047)</t>
  </si>
  <si>
    <t>=-NL("Sum","32 Item Ledger Entry","12 Quantity","5 Source no.",$C1048,"3 Posting Date",U$9,"4 Entry Type",$C$4,"2 Item No.","@@"&amp;$F1048)</t>
  </si>
  <si>
    <t>=-NL("Sum","32 Item Ledger Entry","12 Quantity","5 Source no.",$C1049,"3 Posting Date",U$9,"4 Entry Type",$C$4,"2 Item No.","@@"&amp;$F1049)</t>
  </si>
  <si>
    <t>=-NL("Sum","32 Item Ledger Entry","12 Quantity","5 Source no.",$C1050,"3 Posting Date",U$9,"4 Entry Type",$C$4,"2 Item No.","@@"&amp;$F1050)</t>
  </si>
  <si>
    <t>=-NL("Sum","32 Item Ledger Entry","12 Quantity","5 Source no.",$C1051,"3 Posting Date",U$9,"4 Entry Type",$C$4,"2 Item No.","@@"&amp;$F1051)</t>
  </si>
  <si>
    <t>=-NL("Sum","32 Item Ledger Entry","12 Quantity","5 Source no.",$C1052,"3 Posting Date",U$9,"4 Entry Type",$C$4,"2 Item No.","@@"&amp;$F1052)</t>
  </si>
  <si>
    <t>=-NL("Sum","32 Item Ledger Entry","12 Quantity","5 Source no.",$C1053,"3 Posting Date",U$9,"4 Entry Type",$C$4,"2 Item No.","@@"&amp;$F1053)</t>
  </si>
  <si>
    <t>=-NL("Sum","32 Item Ledger Entry","12 Quantity","5 Source no.",$C1054,"3 Posting Date",U$9,"4 Entry Type",$C$4,"2 Item No.","@@"&amp;$F1054)</t>
  </si>
  <si>
    <t>=-NL("Sum","32 Item Ledger Entry","12 Quantity","5 Source no.",$C1055,"3 Posting Date",U$9,"4 Entry Type",$C$4,"2 Item No.","@@"&amp;$F1055)</t>
  </si>
  <si>
    <t>=-NL("Sum","32 Item Ledger Entry","12 Quantity","5 Source no.",$C1056,"3 Posting Date",U$9,"4 Entry Type",$C$4,"2 Item No.","@@"&amp;$F1056)</t>
  </si>
  <si>
    <t>=-NL("Sum","32 Item Ledger Entry","12 Quantity","5 Source no.",$C1057,"3 Posting Date",U$9,"4 Entry Type",$C$4,"2 Item No.","@@"&amp;$F1057)</t>
  </si>
  <si>
    <t>=-NL("Sum","32 Item Ledger Entry","12 Quantity","5 Source no.",$C1018,"3 Posting Date",Z$9,"4 Entry Type",$C$4,"2 Item No.","@@"&amp;$F1018)</t>
  </si>
  <si>
    <t>=-NL("Sum","32 Item Ledger Entry","12 Quantity","5 Source no.",$C1019,"3 Posting Date",Z$9,"4 Entry Type",$C$4,"2 Item No.","@@"&amp;$F1019)</t>
  </si>
  <si>
    <t>=-NL("Sum","32 Item Ledger Entry","12 Quantity","5 Source no.",$C1020,"3 Posting Date",Z$9,"4 Entry Type",$C$4,"2 Item No.","@@"&amp;$F1020)</t>
  </si>
  <si>
    <t>=-NL("Sum","32 Item Ledger Entry","12 Quantity","5 Source no.",$C1021,"3 Posting Date",Z$9,"4 Entry Type",$C$4,"2 Item No.","@@"&amp;$F1021)</t>
  </si>
  <si>
    <t>=-NL("Sum","32 Item Ledger Entry","12 Quantity","5 Source no.",$C1022,"3 Posting Date",Z$9,"4 Entry Type",$C$4,"2 Item No.","@@"&amp;$F1022)</t>
  </si>
  <si>
    <t>=-NL("Sum","32 Item Ledger Entry","12 Quantity","5 Source no.",$C1023,"3 Posting Date",Z$9,"4 Entry Type",$C$4,"2 Item No.","@@"&amp;$F1023)</t>
  </si>
  <si>
    <t>=-NL("Sum","32 Item Ledger Entry","12 Quantity","5 Source no.",$C1024,"3 Posting Date",Z$9,"4 Entry Type",$C$4,"2 Item No.","@@"&amp;$F1024)</t>
  </si>
  <si>
    <t>=-NL("Sum","32 Item Ledger Entry","12 Quantity","5 Source no.",$C1025,"3 Posting Date",Z$9,"4 Entry Type",$C$4,"2 Item No.","@@"&amp;$F1025)</t>
  </si>
  <si>
    <t>=-NL("Sum","32 Item Ledger Entry","12 Quantity","5 Source no.",$C1026,"3 Posting Date",Z$9,"4 Entry Type",$C$4,"2 Item No.","@@"&amp;$F1026)</t>
  </si>
  <si>
    <t>=-NL("Sum","32 Item Ledger Entry","12 Quantity","5 Source no.",$C1027,"3 Posting Date",Z$9,"4 Entry Type",$C$4,"2 Item No.","@@"&amp;$F1027)</t>
  </si>
  <si>
    <t>=-NL("Sum","32 Item Ledger Entry","12 Quantity","5 Source no.",$C1028,"3 Posting Date",Z$9,"4 Entry Type",$C$4,"2 Item No.","@@"&amp;$F1028)</t>
  </si>
  <si>
    <t>=-NL("Sum","32 Item Ledger Entry","12 Quantity","5 Source no.",$C1029,"3 Posting Date",Z$9,"4 Entry Type",$C$4,"2 Item No.","@@"&amp;$F1029)</t>
  </si>
  <si>
    <t>=-NL("Sum","32 Item Ledger Entry","12 Quantity","5 Source no.",$C1030,"3 Posting Date",Z$9,"4 Entry Type",$C$4,"2 Item No.","@@"&amp;$F1030)</t>
  </si>
  <si>
    <t>=-NL("Sum","32 Item Ledger Entry","12 Quantity","5 Source no.",$C1031,"3 Posting Date",Z$9,"4 Entry Type",$C$4,"2 Item No.","@@"&amp;$F1031)</t>
  </si>
  <si>
    <t>=-NL("Sum","32 Item Ledger Entry","12 Quantity","5 Source no.",$C1032,"3 Posting Date",Z$9,"4 Entry Type",$C$4,"2 Item No.","@@"&amp;$F1032)</t>
  </si>
  <si>
    <t>=-NL("Sum","32 Item Ledger Entry","12 Quantity","5 Source no.",$C1033,"3 Posting Date",Z$9,"4 Entry Type",$C$4,"2 Item No.","@@"&amp;$F1033)</t>
  </si>
  <si>
    <t>=-NL("Sum","32 Item Ledger Entry","12 Quantity","5 Source no.",$C1034,"3 Posting Date",Z$9,"4 Entry Type",$C$4,"2 Item No.","@@"&amp;$F1034)</t>
  </si>
  <si>
    <t>=-NL("Sum","32 Item Ledger Entry","12 Quantity","5 Source no.",$C1035,"3 Posting Date",Z$9,"4 Entry Type",$C$4,"2 Item No.","@@"&amp;$F1035)</t>
  </si>
  <si>
    <t>=-NL("Sum","32 Item Ledger Entry","12 Quantity","5 Source no.",$C1036,"3 Posting Date",Z$9,"4 Entry Type",$C$4,"2 Item No.","@@"&amp;$F1036)</t>
  </si>
  <si>
    <t>=-NL("Sum","32 Item Ledger Entry","12 Quantity","5 Source no.",$C1037,"3 Posting Date",Z$9,"4 Entry Type",$C$4,"2 Item No.","@@"&amp;$F1037)</t>
  </si>
  <si>
    <t>=-NL("Sum","32 Item Ledger Entry","12 Quantity","5 Source no.",$C1038,"3 Posting Date",Z$9,"4 Entry Type",$C$4,"2 Item No.","@@"&amp;$F1038)</t>
  </si>
  <si>
    <t>=-NL("Sum","32 Item Ledger Entry","12 Quantity","5 Source no.",$C1039,"3 Posting Date",Z$9,"4 Entry Type",$C$4,"2 Item No.","@@"&amp;$F1039)</t>
  </si>
  <si>
    <t>=-NL("Sum","32 Item Ledger Entry","12 Quantity","5 Source no.",$C1040,"3 Posting Date",Z$9,"4 Entry Type",$C$4,"2 Item No.","@@"&amp;$F1040)</t>
  </si>
  <si>
    <t>=-NL("Sum","32 Item Ledger Entry","12 Quantity","5 Source no.",$C1041,"3 Posting Date",Z$9,"4 Entry Type",$C$4,"2 Item No.","@@"&amp;$F1041)</t>
  </si>
  <si>
    <t>=-NL("Sum","32 Item Ledger Entry","12 Quantity","5 Source no.",$C1042,"3 Posting Date",Z$9,"4 Entry Type",$C$4,"2 Item No.","@@"&amp;$F1042)</t>
  </si>
  <si>
    <t>=-NL("Sum","32 Item Ledger Entry","12 Quantity","5 Source no.",$C1043,"3 Posting Date",Z$9,"4 Entry Type",$C$4,"2 Item No.","@@"&amp;$F1043)</t>
  </si>
  <si>
    <t>=-NL("Sum","32 Item Ledger Entry","12 Quantity","5 Source no.",$C1044,"3 Posting Date",Z$9,"4 Entry Type",$C$4,"2 Item No.","@@"&amp;$F1044)</t>
  </si>
  <si>
    <t>=-NL("Sum","32 Item Ledger Entry","12 Quantity","5 Source no.",$C1045,"3 Posting Date",Z$9,"4 Entry Type",$C$4,"2 Item No.","@@"&amp;$F1045)</t>
  </si>
  <si>
    <t>=-NL("Sum","32 Item Ledger Entry","12 Quantity","5 Source no.",$C1046,"3 Posting Date",Z$9,"4 Entry Type",$C$4,"2 Item No.","@@"&amp;$F1046)</t>
  </si>
  <si>
    <t>=-NL("Sum","32 Item Ledger Entry","12 Quantity","5 Source no.",$C1047,"3 Posting Date",Z$9,"4 Entry Type",$C$4,"2 Item No.","@@"&amp;$F1047)</t>
  </si>
  <si>
    <t>=-NL("Sum","32 Item Ledger Entry","12 Quantity","5 Source no.",$C1048,"3 Posting Date",Z$9,"4 Entry Type",$C$4,"2 Item No.","@@"&amp;$F1048)</t>
  </si>
  <si>
    <t>=-NL("Sum","32 Item Ledger Entry","12 Quantity","5 Source no.",$C1049,"3 Posting Date",Z$9,"4 Entry Type",$C$4,"2 Item No.","@@"&amp;$F1049)</t>
  </si>
  <si>
    <t>=-NL("Sum","32 Item Ledger Entry","12 Quantity","5 Source no.",$C1050,"3 Posting Date",Z$9,"4 Entry Type",$C$4,"2 Item No.","@@"&amp;$F1050)</t>
  </si>
  <si>
    <t>=-NL("Sum","32 Item Ledger Entry","12 Quantity","5 Source no.",$C1051,"3 Posting Date",Z$9,"4 Entry Type",$C$4,"2 Item No.","@@"&amp;$F1051)</t>
  </si>
  <si>
    <t>=-NL("Sum","32 Item Ledger Entry","12 Quantity","5 Source no.",$C1052,"3 Posting Date",Z$9,"4 Entry Type",$C$4,"2 Item No.","@@"&amp;$F1052)</t>
  </si>
  <si>
    <t>=-NL("Sum","32 Item Ledger Entry","12 Quantity","5 Source no.",$C1053,"3 Posting Date",Z$9,"4 Entry Type",$C$4,"2 Item No.","@@"&amp;$F1053)</t>
  </si>
  <si>
    <t>=-NL("Sum","32 Item Ledger Entry","12 Quantity","5 Source no.",$C1054,"3 Posting Date",Z$9,"4 Entry Type",$C$4,"2 Item No.","@@"&amp;$F1054)</t>
  </si>
  <si>
    <t>=-NL("Sum","32 Item Ledger Entry","12 Quantity","5 Source no.",$C1055,"3 Posting Date",Z$9,"4 Entry Type",$C$4,"2 Item No.","@@"&amp;$F1055)</t>
  </si>
  <si>
    <t>=-NL("Sum","32 Item Ledger Entry","12 Quantity","5 Source no.",$C1056,"3 Posting Date",Z$9,"4 Entry Type",$C$4,"2 Item No.","@@"&amp;$F1056)</t>
  </si>
  <si>
    <t>=-NL("Sum","32 Item Ledger Entry","12 Quantity","5 Source no.",$C1057,"3 Posting Date",Z$9,"4 Entry Type",$C$4,"2 Item No.","@@"&amp;$F1057)</t>
  </si>
  <si>
    <t>=NL(,"27 Item","3 Description","1 No.","@@"&amp;F992)</t>
  </si>
  <si>
    <t>=NL(,"27 Item","3 Description","1 No.","@@"&amp;F993)</t>
  </si>
  <si>
    <t>=NL(,"27 Item","3 Description","1 No.","@@"&amp;F994)</t>
  </si>
  <si>
    <t>=NL(,"27 Item","3 Description","1 No.","@@"&amp;F995)</t>
  </si>
  <si>
    <t>=NL(,"27 Item","3 Description","1 No.","@@"&amp;F996)</t>
  </si>
  <si>
    <t>=NL(,"27 Item","3 Description","1 No.","@@"&amp;F997)</t>
  </si>
  <si>
    <t>=NL(,"27 Item","3 Description","1 No.","@@"&amp;F998)</t>
  </si>
  <si>
    <t>=NL(,"27 Item","3 Description","1 No.","@@"&amp;F999)</t>
  </si>
  <si>
    <t>=NL(,"27 Item","3 Description","1 No.","@@"&amp;F1000)</t>
  </si>
  <si>
    <t>=NL(,"27 Item","3 Description","1 No.","@@"&amp;F1001)</t>
  </si>
  <si>
    <t>=NL(,"27 Item","3 Description","1 No.","@@"&amp;F1002)</t>
  </si>
  <si>
    <t>=NL(,"27 Item","3 Description","1 No.","@@"&amp;F1003)</t>
  </si>
  <si>
    <t>=NL(,"27 Item","3 Description","1 No.","@@"&amp;F1004)</t>
  </si>
  <si>
    <t>=NL(,"27 Item","3 Description","1 No.","@@"&amp;F1005)</t>
  </si>
  <si>
    <t>=NL(,"27 Item","3 Description","1 No.","@@"&amp;F1006)</t>
  </si>
  <si>
    <t>=NL(,"27 Item","3 Description","1 No.","@@"&amp;F1007)</t>
  </si>
  <si>
    <t>=NL(,"27 Item","3 Description","1 No.","@@"&amp;F1008)</t>
  </si>
  <si>
    <t>=NL(,"27 Item","3 Description","1 No.","@@"&amp;F1009)</t>
  </si>
  <si>
    <t>=NL(,"27 Item","3 Description","1 No.","@@"&amp;F1010)</t>
  </si>
  <si>
    <t>=NL(,"27 Item","3 Description","1 No.","@@"&amp;F1011)</t>
  </si>
  <si>
    <t>=NL(,"27 Item","3 Description","1 No.","@@"&amp;F1012)</t>
  </si>
  <si>
    <t>=-NL("Sum","32 Item Ledger Entry","12 Quantity","5 Source no.",$C992,"3 Posting Date",J$9,"4 Entry Type",$C$4,"2 Item No.","@@"&amp;$F992)</t>
  </si>
  <si>
    <t>=-NL("Sum","32 Item Ledger Entry","12 Quantity","5 Source no.",$C993,"3 Posting Date",J$9,"4 Entry Type",$C$4,"2 Item No.","@@"&amp;$F993)</t>
  </si>
  <si>
    <t>=-NL("Sum","32 Item Ledger Entry","12 Quantity","5 Source no.",$C994,"3 Posting Date",J$9,"4 Entry Type",$C$4,"2 Item No.","@@"&amp;$F994)</t>
  </si>
  <si>
    <t>=-NL("Sum","32 Item Ledger Entry","12 Quantity","5 Source no.",$C995,"3 Posting Date",J$9,"4 Entry Type",$C$4,"2 Item No.","@@"&amp;$F995)</t>
  </si>
  <si>
    <t>=-NL("Sum","32 Item Ledger Entry","12 Quantity","5 Source no.",$C996,"3 Posting Date",J$9,"4 Entry Type",$C$4,"2 Item No.","@@"&amp;$F996)</t>
  </si>
  <si>
    <t>=-NL("Sum","32 Item Ledger Entry","12 Quantity","5 Source no.",$C997,"3 Posting Date",J$9,"4 Entry Type",$C$4,"2 Item No.","@@"&amp;$F997)</t>
  </si>
  <si>
    <t>=-NL("Sum","32 Item Ledger Entry","12 Quantity","5 Source no.",$C998,"3 Posting Date",J$9,"4 Entry Type",$C$4,"2 Item No.","@@"&amp;$F998)</t>
  </si>
  <si>
    <t>=-NL("Sum","32 Item Ledger Entry","12 Quantity","5 Source no.",$C999,"3 Posting Date",J$9,"4 Entry Type",$C$4,"2 Item No.","@@"&amp;$F999)</t>
  </si>
  <si>
    <t>=-NL("Sum","32 Item Ledger Entry","12 Quantity","5 Source no.",$C1000,"3 Posting Date",J$9,"4 Entry Type",$C$4,"2 Item No.","@@"&amp;$F1000)</t>
  </si>
  <si>
    <t>=-NL("Sum","32 Item Ledger Entry","12 Quantity","5 Source no.",$C1001,"3 Posting Date",J$9,"4 Entry Type",$C$4,"2 Item No.","@@"&amp;$F1001)</t>
  </si>
  <si>
    <t>=-NL("Sum","32 Item Ledger Entry","12 Quantity","5 Source no.",$C1002,"3 Posting Date",J$9,"4 Entry Type",$C$4,"2 Item No.","@@"&amp;$F1002)</t>
  </si>
  <si>
    <t>=-NL("Sum","32 Item Ledger Entry","12 Quantity","5 Source no.",$C1003,"3 Posting Date",J$9,"4 Entry Type",$C$4,"2 Item No.","@@"&amp;$F1003)</t>
  </si>
  <si>
    <t>=-NL("Sum","32 Item Ledger Entry","12 Quantity","5 Source no.",$C1004,"3 Posting Date",J$9,"4 Entry Type",$C$4,"2 Item No.","@@"&amp;$F1004)</t>
  </si>
  <si>
    <t>=-NL("Sum","32 Item Ledger Entry","12 Quantity","5 Source no.",$C1005,"3 Posting Date",J$9,"4 Entry Type",$C$4,"2 Item No.","@@"&amp;$F1005)</t>
  </si>
  <si>
    <t>=-NL("Sum","32 Item Ledger Entry","12 Quantity","5 Source no.",$C1006,"3 Posting Date",J$9,"4 Entry Type",$C$4,"2 Item No.","@@"&amp;$F1006)</t>
  </si>
  <si>
    <t>=-NL("Sum","32 Item Ledger Entry","12 Quantity","5 Source no.",$C1007,"3 Posting Date",J$9,"4 Entry Type",$C$4,"2 Item No.","@@"&amp;$F1007)</t>
  </si>
  <si>
    <t>=-NL("Sum","32 Item Ledger Entry","12 Quantity","5 Source no.",$C1008,"3 Posting Date",J$9,"4 Entry Type",$C$4,"2 Item No.","@@"&amp;$F1008)</t>
  </si>
  <si>
    <t>=-NL("Sum","32 Item Ledger Entry","12 Quantity","5 Source no.",$C1009,"3 Posting Date",J$9,"4 Entry Type",$C$4,"2 Item No.","@@"&amp;$F1009)</t>
  </si>
  <si>
    <t>=-NL("Sum","32 Item Ledger Entry","12 Quantity","5 Source no.",$C1010,"3 Posting Date",J$9,"4 Entry Type",$C$4,"2 Item No.","@@"&amp;$F1010)</t>
  </si>
  <si>
    <t>=-NL("Sum","32 Item Ledger Entry","12 Quantity","5 Source no.",$C1011,"3 Posting Date",J$9,"4 Entry Type",$C$4,"2 Item No.","@@"&amp;$F1011)</t>
  </si>
  <si>
    <t>=-NL("Sum","32 Item Ledger Entry","12 Quantity","5 Source no.",$C1012,"3 Posting Date",J$9,"4 Entry Type",$C$4,"2 Item No.","@@"&amp;$F1012)</t>
  </si>
  <si>
    <t>=-NL("Sum","32 Item Ledger Entry","12 Quantity","5 Source no.",$C992,"3 Posting Date",O$9,"4 Entry Type",$C$4,"2 Item No.","@@"&amp;$F992)</t>
  </si>
  <si>
    <t>=-NL("Sum","32 Item Ledger Entry","12 Quantity","5 Source no.",$C993,"3 Posting Date",O$9,"4 Entry Type",$C$4,"2 Item No.","@@"&amp;$F993)</t>
  </si>
  <si>
    <t>=-NL("Sum","32 Item Ledger Entry","12 Quantity","5 Source no.",$C994,"3 Posting Date",O$9,"4 Entry Type",$C$4,"2 Item No.","@@"&amp;$F994)</t>
  </si>
  <si>
    <t>=-NL("Sum","32 Item Ledger Entry","12 Quantity","5 Source no.",$C995,"3 Posting Date",O$9,"4 Entry Type",$C$4,"2 Item No.","@@"&amp;$F995)</t>
  </si>
  <si>
    <t>=-NL("Sum","32 Item Ledger Entry","12 Quantity","5 Source no.",$C996,"3 Posting Date",O$9,"4 Entry Type",$C$4,"2 Item No.","@@"&amp;$F996)</t>
  </si>
  <si>
    <t>=-NL("Sum","32 Item Ledger Entry","12 Quantity","5 Source no.",$C997,"3 Posting Date",O$9,"4 Entry Type",$C$4,"2 Item No.","@@"&amp;$F997)</t>
  </si>
  <si>
    <t>=-NL("Sum","32 Item Ledger Entry","12 Quantity","5 Source no.",$C998,"3 Posting Date",O$9,"4 Entry Type",$C$4,"2 Item No.","@@"&amp;$F998)</t>
  </si>
  <si>
    <t>=-NL("Sum","32 Item Ledger Entry","12 Quantity","5 Source no.",$C999,"3 Posting Date",O$9,"4 Entry Type",$C$4,"2 Item No.","@@"&amp;$F999)</t>
  </si>
  <si>
    <t>=-NL("Sum","32 Item Ledger Entry","12 Quantity","5 Source no.",$C1000,"3 Posting Date",O$9,"4 Entry Type",$C$4,"2 Item No.","@@"&amp;$F1000)</t>
  </si>
  <si>
    <t>=-NL("Sum","32 Item Ledger Entry","12 Quantity","5 Source no.",$C1001,"3 Posting Date",O$9,"4 Entry Type",$C$4,"2 Item No.","@@"&amp;$F1001)</t>
  </si>
  <si>
    <t>=-NL("Sum","32 Item Ledger Entry","12 Quantity","5 Source no.",$C1002,"3 Posting Date",O$9,"4 Entry Type",$C$4,"2 Item No.","@@"&amp;$F1002)</t>
  </si>
  <si>
    <t>=-NL("Sum","32 Item Ledger Entry","12 Quantity","5 Source no.",$C1003,"3 Posting Date",O$9,"4 Entry Type",$C$4,"2 Item No.","@@"&amp;$F1003)</t>
  </si>
  <si>
    <t>=-NL("Sum","32 Item Ledger Entry","12 Quantity","5 Source no.",$C1004,"3 Posting Date",O$9,"4 Entry Type",$C$4,"2 Item No.","@@"&amp;$F1004)</t>
  </si>
  <si>
    <t>=-NL("Sum","32 Item Ledger Entry","12 Quantity","5 Source no.",$C1005,"3 Posting Date",O$9,"4 Entry Type",$C$4,"2 Item No.","@@"&amp;$F1005)</t>
  </si>
  <si>
    <t>=-NL("Sum","32 Item Ledger Entry","12 Quantity","5 Source no.",$C1006,"3 Posting Date",O$9,"4 Entry Type",$C$4,"2 Item No.","@@"&amp;$F1006)</t>
  </si>
  <si>
    <t>=-NL("Sum","32 Item Ledger Entry","12 Quantity","5 Source no.",$C1007,"3 Posting Date",O$9,"4 Entry Type",$C$4,"2 Item No.","@@"&amp;$F1007)</t>
  </si>
  <si>
    <t>=-NL("Sum","32 Item Ledger Entry","12 Quantity","5 Source no.",$C1008,"3 Posting Date",O$9,"4 Entry Type",$C$4,"2 Item No.","@@"&amp;$F1008)</t>
  </si>
  <si>
    <t>=-NL("Sum","32 Item Ledger Entry","12 Quantity","5 Source no.",$C1009,"3 Posting Date",O$9,"4 Entry Type",$C$4,"2 Item No.","@@"&amp;$F1009)</t>
  </si>
  <si>
    <t>=-NL("Sum","32 Item Ledger Entry","12 Quantity","5 Source no.",$C1010,"3 Posting Date",O$9,"4 Entry Type",$C$4,"2 Item No.","@@"&amp;$F1010)</t>
  </si>
  <si>
    <t>=-NL("Sum","32 Item Ledger Entry","12 Quantity","5 Source no.",$C1011,"3 Posting Date",O$9,"4 Entry Type",$C$4,"2 Item No.","@@"&amp;$F1011)</t>
  </si>
  <si>
    <t>=-NL("Sum","32 Item Ledger Entry","12 Quantity","5 Source no.",$C1012,"3 Posting Date",O$9,"4 Entry Type",$C$4,"2 Item No.","@@"&amp;$F1012)</t>
  </si>
  <si>
    <t>=-NL("Sum","32 Item Ledger Entry","12 Quantity","5 Source no.",$C992,"3 Posting Date",U$9,"4 Entry Type",$C$4,"2 Item No.","@@"&amp;$F992)</t>
  </si>
  <si>
    <t>=-NL("Sum","32 Item Ledger Entry","12 Quantity","5 Source no.",$C993,"3 Posting Date",U$9,"4 Entry Type",$C$4,"2 Item No.","@@"&amp;$F993)</t>
  </si>
  <si>
    <t>=-NL("Sum","32 Item Ledger Entry","12 Quantity","5 Source no.",$C994,"3 Posting Date",U$9,"4 Entry Type",$C$4,"2 Item No.","@@"&amp;$F994)</t>
  </si>
  <si>
    <t>=-NL("Sum","32 Item Ledger Entry","12 Quantity","5 Source no.",$C995,"3 Posting Date",U$9,"4 Entry Type",$C$4,"2 Item No.","@@"&amp;$F995)</t>
  </si>
  <si>
    <t>=-NL("Sum","32 Item Ledger Entry","12 Quantity","5 Source no.",$C996,"3 Posting Date",U$9,"4 Entry Type",$C$4,"2 Item No.","@@"&amp;$F996)</t>
  </si>
  <si>
    <t>=-NL("Sum","32 Item Ledger Entry","12 Quantity","5 Source no.",$C997,"3 Posting Date",U$9,"4 Entry Type",$C$4,"2 Item No.","@@"&amp;$F997)</t>
  </si>
  <si>
    <t>=-NL("Sum","32 Item Ledger Entry","12 Quantity","5 Source no.",$C998,"3 Posting Date",U$9,"4 Entry Type",$C$4,"2 Item No.","@@"&amp;$F998)</t>
  </si>
  <si>
    <t>=-NL("Sum","32 Item Ledger Entry","12 Quantity","5 Source no.",$C999,"3 Posting Date",U$9,"4 Entry Type",$C$4,"2 Item No.","@@"&amp;$F999)</t>
  </si>
  <si>
    <t>=-NL("Sum","32 Item Ledger Entry","12 Quantity","5 Source no.",$C1000,"3 Posting Date",U$9,"4 Entry Type",$C$4,"2 Item No.","@@"&amp;$F1000)</t>
  </si>
  <si>
    <t>=-NL("Sum","32 Item Ledger Entry","12 Quantity","5 Source no.",$C1001,"3 Posting Date",U$9,"4 Entry Type",$C$4,"2 Item No.","@@"&amp;$F1001)</t>
  </si>
  <si>
    <t>=-NL("Sum","32 Item Ledger Entry","12 Quantity","5 Source no.",$C1002,"3 Posting Date",U$9,"4 Entry Type",$C$4,"2 Item No.","@@"&amp;$F1002)</t>
  </si>
  <si>
    <t>=-NL("Sum","32 Item Ledger Entry","12 Quantity","5 Source no.",$C1003,"3 Posting Date",U$9,"4 Entry Type",$C$4,"2 Item No.","@@"&amp;$F1003)</t>
  </si>
  <si>
    <t>=-NL("Sum","32 Item Ledger Entry","12 Quantity","5 Source no.",$C1004,"3 Posting Date",U$9,"4 Entry Type",$C$4,"2 Item No.","@@"&amp;$F1004)</t>
  </si>
  <si>
    <t>=-NL("Sum","32 Item Ledger Entry","12 Quantity","5 Source no.",$C1005,"3 Posting Date",U$9,"4 Entry Type",$C$4,"2 Item No.","@@"&amp;$F1005)</t>
  </si>
  <si>
    <t>=-NL("Sum","32 Item Ledger Entry","12 Quantity","5 Source no.",$C1006,"3 Posting Date",U$9,"4 Entry Type",$C$4,"2 Item No.","@@"&amp;$F1006)</t>
  </si>
  <si>
    <t>=-NL("Sum","32 Item Ledger Entry","12 Quantity","5 Source no.",$C1007,"3 Posting Date",U$9,"4 Entry Type",$C$4,"2 Item No.","@@"&amp;$F1007)</t>
  </si>
  <si>
    <t>=-NL("Sum","32 Item Ledger Entry","12 Quantity","5 Source no.",$C1008,"3 Posting Date",U$9,"4 Entry Type",$C$4,"2 Item No.","@@"&amp;$F1008)</t>
  </si>
  <si>
    <t>=-NL("Sum","32 Item Ledger Entry","12 Quantity","5 Source no.",$C1009,"3 Posting Date",U$9,"4 Entry Type",$C$4,"2 Item No.","@@"&amp;$F1009)</t>
  </si>
  <si>
    <t>=-NL("Sum","32 Item Ledger Entry","12 Quantity","5 Source no.",$C1010,"3 Posting Date",U$9,"4 Entry Type",$C$4,"2 Item No.","@@"&amp;$F1010)</t>
  </si>
  <si>
    <t>=-NL("Sum","32 Item Ledger Entry","12 Quantity","5 Source no.",$C1011,"3 Posting Date",U$9,"4 Entry Type",$C$4,"2 Item No.","@@"&amp;$F1011)</t>
  </si>
  <si>
    <t>=-NL("Sum","32 Item Ledger Entry","12 Quantity","5 Source no.",$C1012,"3 Posting Date",U$9,"4 Entry Type",$C$4,"2 Item No.","@@"&amp;$F1012)</t>
  </si>
  <si>
    <t>=-NL("Sum","32 Item Ledger Entry","12 Quantity","5 Source no.",$C992,"3 Posting Date",Z$9,"4 Entry Type",$C$4,"2 Item No.","@@"&amp;$F992)</t>
  </si>
  <si>
    <t>=-NL("Sum","32 Item Ledger Entry","12 Quantity","5 Source no.",$C993,"3 Posting Date",Z$9,"4 Entry Type",$C$4,"2 Item No.","@@"&amp;$F993)</t>
  </si>
  <si>
    <t>=-NL("Sum","32 Item Ledger Entry","12 Quantity","5 Source no.",$C994,"3 Posting Date",Z$9,"4 Entry Type",$C$4,"2 Item No.","@@"&amp;$F994)</t>
  </si>
  <si>
    <t>=-NL("Sum","32 Item Ledger Entry","12 Quantity","5 Source no.",$C995,"3 Posting Date",Z$9,"4 Entry Type",$C$4,"2 Item No.","@@"&amp;$F995)</t>
  </si>
  <si>
    <t>=-NL("Sum","32 Item Ledger Entry","12 Quantity","5 Source no.",$C996,"3 Posting Date",Z$9,"4 Entry Type",$C$4,"2 Item No.","@@"&amp;$F996)</t>
  </si>
  <si>
    <t>=-NL("Sum","32 Item Ledger Entry","12 Quantity","5 Source no.",$C997,"3 Posting Date",Z$9,"4 Entry Type",$C$4,"2 Item No.","@@"&amp;$F997)</t>
  </si>
  <si>
    <t>=-NL("Sum","32 Item Ledger Entry","12 Quantity","5 Source no.",$C998,"3 Posting Date",Z$9,"4 Entry Type",$C$4,"2 Item No.","@@"&amp;$F998)</t>
  </si>
  <si>
    <t>=-NL("Sum","32 Item Ledger Entry","12 Quantity","5 Source no.",$C999,"3 Posting Date",Z$9,"4 Entry Type",$C$4,"2 Item No.","@@"&amp;$F999)</t>
  </si>
  <si>
    <t>=-NL("Sum","32 Item Ledger Entry","12 Quantity","5 Source no.",$C1000,"3 Posting Date",Z$9,"4 Entry Type",$C$4,"2 Item No.","@@"&amp;$F1000)</t>
  </si>
  <si>
    <t>=-NL("Sum","32 Item Ledger Entry","12 Quantity","5 Source no.",$C1001,"3 Posting Date",Z$9,"4 Entry Type",$C$4,"2 Item No.","@@"&amp;$F1001)</t>
  </si>
  <si>
    <t>=-NL("Sum","32 Item Ledger Entry","12 Quantity","5 Source no.",$C1002,"3 Posting Date",Z$9,"4 Entry Type",$C$4,"2 Item No.","@@"&amp;$F1002)</t>
  </si>
  <si>
    <t>=-NL("Sum","32 Item Ledger Entry","12 Quantity","5 Source no.",$C1003,"3 Posting Date",Z$9,"4 Entry Type",$C$4,"2 Item No.","@@"&amp;$F1003)</t>
  </si>
  <si>
    <t>=-NL("Sum","32 Item Ledger Entry","12 Quantity","5 Source no.",$C1004,"3 Posting Date",Z$9,"4 Entry Type",$C$4,"2 Item No.","@@"&amp;$F1004)</t>
  </si>
  <si>
    <t>=-NL("Sum","32 Item Ledger Entry","12 Quantity","5 Source no.",$C1005,"3 Posting Date",Z$9,"4 Entry Type",$C$4,"2 Item No.","@@"&amp;$F1005)</t>
  </si>
  <si>
    <t>=-NL("Sum","32 Item Ledger Entry","12 Quantity","5 Source no.",$C1006,"3 Posting Date",Z$9,"4 Entry Type",$C$4,"2 Item No.","@@"&amp;$F1006)</t>
  </si>
  <si>
    <t>=-NL("Sum","32 Item Ledger Entry","12 Quantity","5 Source no.",$C1007,"3 Posting Date",Z$9,"4 Entry Type",$C$4,"2 Item No.","@@"&amp;$F1007)</t>
  </si>
  <si>
    <t>=-NL("Sum","32 Item Ledger Entry","12 Quantity","5 Source no.",$C1008,"3 Posting Date",Z$9,"4 Entry Type",$C$4,"2 Item No.","@@"&amp;$F1008)</t>
  </si>
  <si>
    <t>=-NL("Sum","32 Item Ledger Entry","12 Quantity","5 Source no.",$C1009,"3 Posting Date",Z$9,"4 Entry Type",$C$4,"2 Item No.","@@"&amp;$F1009)</t>
  </si>
  <si>
    <t>=-NL("Sum","32 Item Ledger Entry","12 Quantity","5 Source no.",$C1010,"3 Posting Date",Z$9,"4 Entry Type",$C$4,"2 Item No.","@@"&amp;$F1010)</t>
  </si>
  <si>
    <t>=-NL("Sum","32 Item Ledger Entry","12 Quantity","5 Source no.",$C1011,"3 Posting Date",Z$9,"4 Entry Type",$C$4,"2 Item No.","@@"&amp;$F1011)</t>
  </si>
  <si>
    <t>=-NL("Sum","32 Item Ledger Entry","12 Quantity","5 Source no.",$C1012,"3 Posting Date",Z$9,"4 Entry Type",$C$4,"2 Item No.","@@"&amp;$F1012)</t>
  </si>
  <si>
    <t>=NL(,"27 Item","3 Description","1 No.","@@"&amp;F977)</t>
  </si>
  <si>
    <t>=NL(,"27 Item","3 Description","1 No.","@@"&amp;F978)</t>
  </si>
  <si>
    <t>=NL(,"27 Item","3 Description","1 No.","@@"&amp;F979)</t>
  </si>
  <si>
    <t>=NL(,"27 Item","3 Description","1 No.","@@"&amp;F980)</t>
  </si>
  <si>
    <t>=NL(,"27 Item","3 Description","1 No.","@@"&amp;F981)</t>
  </si>
  <si>
    <t>=NL(,"27 Item","3 Description","1 No.","@@"&amp;F982)</t>
  </si>
  <si>
    <t>=NL(,"27 Item","3 Description","1 No.","@@"&amp;F983)</t>
  </si>
  <si>
    <t>=NL(,"27 Item","3 Description","1 No.","@@"&amp;F984)</t>
  </si>
  <si>
    <t>=NL(,"27 Item","3 Description","1 No.","@@"&amp;F985)</t>
  </si>
  <si>
    <t>=NL(,"27 Item","3 Description","1 No.","@@"&amp;F986)</t>
  </si>
  <si>
    <t>=-NL("Sum","32 Item Ledger Entry","12 Quantity","5 Source no.",$C977,"3 Posting Date",J$9,"4 Entry Type",$C$4,"2 Item No.","@@"&amp;$F977)</t>
  </si>
  <si>
    <t>=-NL("Sum","32 Item Ledger Entry","12 Quantity","5 Source no.",$C978,"3 Posting Date",J$9,"4 Entry Type",$C$4,"2 Item No.","@@"&amp;$F978)</t>
  </si>
  <si>
    <t>=-NL("Sum","32 Item Ledger Entry","12 Quantity","5 Source no.",$C979,"3 Posting Date",J$9,"4 Entry Type",$C$4,"2 Item No.","@@"&amp;$F979)</t>
  </si>
  <si>
    <t>=-NL("Sum","32 Item Ledger Entry","12 Quantity","5 Source no.",$C980,"3 Posting Date",J$9,"4 Entry Type",$C$4,"2 Item No.","@@"&amp;$F980)</t>
  </si>
  <si>
    <t>=-NL("Sum","32 Item Ledger Entry","12 Quantity","5 Source no.",$C981,"3 Posting Date",J$9,"4 Entry Type",$C$4,"2 Item No.","@@"&amp;$F981)</t>
  </si>
  <si>
    <t>=-NL("Sum","32 Item Ledger Entry","12 Quantity","5 Source no.",$C982,"3 Posting Date",J$9,"4 Entry Type",$C$4,"2 Item No.","@@"&amp;$F982)</t>
  </si>
  <si>
    <t>=-NL("Sum","32 Item Ledger Entry","12 Quantity","5 Source no.",$C983,"3 Posting Date",J$9,"4 Entry Type",$C$4,"2 Item No.","@@"&amp;$F983)</t>
  </si>
  <si>
    <t>=-NL("Sum","32 Item Ledger Entry","12 Quantity","5 Source no.",$C984,"3 Posting Date",J$9,"4 Entry Type",$C$4,"2 Item No.","@@"&amp;$F984)</t>
  </si>
  <si>
    <t>=-NL("Sum","32 Item Ledger Entry","12 Quantity","5 Source no.",$C985,"3 Posting Date",J$9,"4 Entry Type",$C$4,"2 Item No.","@@"&amp;$F985)</t>
  </si>
  <si>
    <t>=-NL("Sum","32 Item Ledger Entry","12 Quantity","5 Source no.",$C986,"3 Posting Date",J$9,"4 Entry Type",$C$4,"2 Item No.","@@"&amp;$F986)</t>
  </si>
  <si>
    <t>=-NL("Sum","32 Item Ledger Entry","12 Quantity","5 Source no.",$C977,"3 Posting Date",O$9,"4 Entry Type",$C$4,"2 Item No.","@@"&amp;$F977)</t>
  </si>
  <si>
    <t>=-NL("Sum","32 Item Ledger Entry","12 Quantity","5 Source no.",$C978,"3 Posting Date",O$9,"4 Entry Type",$C$4,"2 Item No.","@@"&amp;$F978)</t>
  </si>
  <si>
    <t>=-NL("Sum","32 Item Ledger Entry","12 Quantity","5 Source no.",$C979,"3 Posting Date",O$9,"4 Entry Type",$C$4,"2 Item No.","@@"&amp;$F979)</t>
  </si>
  <si>
    <t>=-NL("Sum","32 Item Ledger Entry","12 Quantity","5 Source no.",$C980,"3 Posting Date",O$9,"4 Entry Type",$C$4,"2 Item No.","@@"&amp;$F980)</t>
  </si>
  <si>
    <t>=-NL("Sum","32 Item Ledger Entry","12 Quantity","5 Source no.",$C981,"3 Posting Date",O$9,"4 Entry Type",$C$4,"2 Item No.","@@"&amp;$F981)</t>
  </si>
  <si>
    <t>=-NL("Sum","32 Item Ledger Entry","12 Quantity","5 Source no.",$C982,"3 Posting Date",O$9,"4 Entry Type",$C$4,"2 Item No.","@@"&amp;$F982)</t>
  </si>
  <si>
    <t>=-NL("Sum","32 Item Ledger Entry","12 Quantity","5 Source no.",$C983,"3 Posting Date",O$9,"4 Entry Type",$C$4,"2 Item No.","@@"&amp;$F983)</t>
  </si>
  <si>
    <t>=-NL("Sum","32 Item Ledger Entry","12 Quantity","5 Source no.",$C984,"3 Posting Date",O$9,"4 Entry Type",$C$4,"2 Item No.","@@"&amp;$F984)</t>
  </si>
  <si>
    <t>=-NL("Sum","32 Item Ledger Entry","12 Quantity","5 Source no.",$C985,"3 Posting Date",O$9,"4 Entry Type",$C$4,"2 Item No.","@@"&amp;$F985)</t>
  </si>
  <si>
    <t>=-NL("Sum","32 Item Ledger Entry","12 Quantity","5 Source no.",$C986,"3 Posting Date",O$9,"4 Entry Type",$C$4,"2 Item No.","@@"&amp;$F986)</t>
  </si>
  <si>
    <t>=-NL("Sum","32 Item Ledger Entry","12 Quantity","5 Source no.",$C977,"3 Posting Date",U$9,"4 Entry Type",$C$4,"2 Item No.","@@"&amp;$F977)</t>
  </si>
  <si>
    <t>=-NL("Sum","32 Item Ledger Entry","12 Quantity","5 Source no.",$C978,"3 Posting Date",U$9,"4 Entry Type",$C$4,"2 Item No.","@@"&amp;$F978)</t>
  </si>
  <si>
    <t>=-NL("Sum","32 Item Ledger Entry","12 Quantity","5 Source no.",$C979,"3 Posting Date",U$9,"4 Entry Type",$C$4,"2 Item No.","@@"&amp;$F979)</t>
  </si>
  <si>
    <t>=-NL("Sum","32 Item Ledger Entry","12 Quantity","5 Source no.",$C980,"3 Posting Date",U$9,"4 Entry Type",$C$4,"2 Item No.","@@"&amp;$F980)</t>
  </si>
  <si>
    <t>=-NL("Sum","32 Item Ledger Entry","12 Quantity","5 Source no.",$C981,"3 Posting Date",U$9,"4 Entry Type",$C$4,"2 Item No.","@@"&amp;$F981)</t>
  </si>
  <si>
    <t>=-NL("Sum","32 Item Ledger Entry","12 Quantity","5 Source no.",$C982,"3 Posting Date",U$9,"4 Entry Type",$C$4,"2 Item No.","@@"&amp;$F982)</t>
  </si>
  <si>
    <t>=-NL("Sum","32 Item Ledger Entry","12 Quantity","5 Source no.",$C983,"3 Posting Date",U$9,"4 Entry Type",$C$4,"2 Item No.","@@"&amp;$F983)</t>
  </si>
  <si>
    <t>=-NL("Sum","32 Item Ledger Entry","12 Quantity","5 Source no.",$C984,"3 Posting Date",U$9,"4 Entry Type",$C$4,"2 Item No.","@@"&amp;$F984)</t>
  </si>
  <si>
    <t>=-NL("Sum","32 Item Ledger Entry","12 Quantity","5 Source no.",$C985,"3 Posting Date",U$9,"4 Entry Type",$C$4,"2 Item No.","@@"&amp;$F985)</t>
  </si>
  <si>
    <t>=-NL("Sum","32 Item Ledger Entry","12 Quantity","5 Source no.",$C986,"3 Posting Date",U$9,"4 Entry Type",$C$4,"2 Item No.","@@"&amp;$F986)</t>
  </si>
  <si>
    <t>=-NL("Sum","32 Item Ledger Entry","12 Quantity","5 Source no.",$C977,"3 Posting Date",Z$9,"4 Entry Type",$C$4,"2 Item No.","@@"&amp;$F977)</t>
  </si>
  <si>
    <t>=-NL("Sum","32 Item Ledger Entry","12 Quantity","5 Source no.",$C978,"3 Posting Date",Z$9,"4 Entry Type",$C$4,"2 Item No.","@@"&amp;$F978)</t>
  </si>
  <si>
    <t>=-NL("Sum","32 Item Ledger Entry","12 Quantity","5 Source no.",$C979,"3 Posting Date",Z$9,"4 Entry Type",$C$4,"2 Item No.","@@"&amp;$F979)</t>
  </si>
  <si>
    <t>=-NL("Sum","32 Item Ledger Entry","12 Quantity","5 Source no.",$C980,"3 Posting Date",Z$9,"4 Entry Type",$C$4,"2 Item No.","@@"&amp;$F980)</t>
  </si>
  <si>
    <t>=-NL("Sum","32 Item Ledger Entry","12 Quantity","5 Source no.",$C981,"3 Posting Date",Z$9,"4 Entry Type",$C$4,"2 Item No.","@@"&amp;$F981)</t>
  </si>
  <si>
    <t>=-NL("Sum","32 Item Ledger Entry","12 Quantity","5 Source no.",$C982,"3 Posting Date",Z$9,"4 Entry Type",$C$4,"2 Item No.","@@"&amp;$F982)</t>
  </si>
  <si>
    <t>=-NL("Sum","32 Item Ledger Entry","12 Quantity","5 Source no.",$C983,"3 Posting Date",Z$9,"4 Entry Type",$C$4,"2 Item No.","@@"&amp;$F983)</t>
  </si>
  <si>
    <t>=-NL("Sum","32 Item Ledger Entry","12 Quantity","5 Source no.",$C984,"3 Posting Date",Z$9,"4 Entry Type",$C$4,"2 Item No.","@@"&amp;$F984)</t>
  </si>
  <si>
    <t>=-NL("Sum","32 Item Ledger Entry","12 Quantity","5 Source no.",$C985,"3 Posting Date",Z$9,"4 Entry Type",$C$4,"2 Item No.","@@"&amp;$F985)</t>
  </si>
  <si>
    <t>=-NL("Sum","32 Item Ledger Entry","12 Quantity","5 Source no.",$C986,"3 Posting Date",Z$9,"4 Entry Type",$C$4,"2 Item No.","@@"&amp;$F986)</t>
  </si>
  <si>
    <t>=NL(,"27 Item","3 Description","1 No.","@@"&amp;F943)</t>
  </si>
  <si>
    <t>=NL(,"27 Item","3 Description","1 No.","@@"&amp;F944)</t>
  </si>
  <si>
    <t>=NL(,"27 Item","3 Description","1 No.","@@"&amp;F945)</t>
  </si>
  <si>
    <t>=NL(,"27 Item","3 Description","1 No.","@@"&amp;F946)</t>
  </si>
  <si>
    <t>=NL(,"27 Item","3 Description","1 No.","@@"&amp;F947)</t>
  </si>
  <si>
    <t>=NL(,"27 Item","3 Description","1 No.","@@"&amp;F948)</t>
  </si>
  <si>
    <t>=NL(,"27 Item","3 Description","1 No.","@@"&amp;F949)</t>
  </si>
  <si>
    <t>=NL(,"27 Item","3 Description","1 No.","@@"&amp;F950)</t>
  </si>
  <si>
    <t>=NL(,"27 Item","3 Description","1 No.","@@"&amp;F951)</t>
  </si>
  <si>
    <t>=NL(,"27 Item","3 Description","1 No.","@@"&amp;F952)</t>
  </si>
  <si>
    <t>=NL(,"27 Item","3 Description","1 No.","@@"&amp;F953)</t>
  </si>
  <si>
    <t>=NL(,"27 Item","3 Description","1 No.","@@"&amp;F954)</t>
  </si>
  <si>
    <t>=NL(,"27 Item","3 Description","1 No.","@@"&amp;F955)</t>
  </si>
  <si>
    <t>=NL(,"27 Item","3 Description","1 No.","@@"&amp;F956)</t>
  </si>
  <si>
    <t>=NL(,"27 Item","3 Description","1 No.","@@"&amp;F957)</t>
  </si>
  <si>
    <t>=NL(,"27 Item","3 Description","1 No.","@@"&amp;F958)</t>
  </si>
  <si>
    <t>=NL(,"27 Item","3 Description","1 No.","@@"&amp;F959)</t>
  </si>
  <si>
    <t>=NL(,"27 Item","3 Description","1 No.","@@"&amp;F960)</t>
  </si>
  <si>
    <t>=NL(,"27 Item","3 Description","1 No.","@@"&amp;F961)</t>
  </si>
  <si>
    <t>=NL(,"27 Item","3 Description","1 No.","@@"&amp;F962)</t>
  </si>
  <si>
    <t>=NL(,"27 Item","3 Description","1 No.","@@"&amp;F963)</t>
  </si>
  <si>
    <t>=NL(,"27 Item","3 Description","1 No.","@@"&amp;F964)</t>
  </si>
  <si>
    <t>=NL(,"27 Item","3 Description","1 No.","@@"&amp;F965)</t>
  </si>
  <si>
    <t>=NL(,"27 Item","3 Description","1 No.","@@"&amp;F966)</t>
  </si>
  <si>
    <t>=NL(,"27 Item","3 Description","1 No.","@@"&amp;F967)</t>
  </si>
  <si>
    <t>=NL(,"27 Item","3 Description","1 No.","@@"&amp;F968)</t>
  </si>
  <si>
    <t>=NL(,"27 Item","3 Description","1 No.","@@"&amp;F969)</t>
  </si>
  <si>
    <t>=NL(,"27 Item","3 Description","1 No.","@@"&amp;F970)</t>
  </si>
  <si>
    <t>=NL(,"27 Item","3 Description","1 No.","@@"&amp;F971)</t>
  </si>
  <si>
    <t>=-NL("Sum","32 Item Ledger Entry","12 Quantity","5 Source no.",$C943,"3 Posting Date",J$9,"4 Entry Type",$C$4,"2 Item No.","@@"&amp;$F943)</t>
  </si>
  <si>
    <t>=-NL("Sum","32 Item Ledger Entry","12 Quantity","5 Source no.",$C944,"3 Posting Date",J$9,"4 Entry Type",$C$4,"2 Item No.","@@"&amp;$F944)</t>
  </si>
  <si>
    <t>=-NL("Sum","32 Item Ledger Entry","12 Quantity","5 Source no.",$C945,"3 Posting Date",J$9,"4 Entry Type",$C$4,"2 Item No.","@@"&amp;$F945)</t>
  </si>
  <si>
    <t>=-NL("Sum","32 Item Ledger Entry","12 Quantity","5 Source no.",$C946,"3 Posting Date",J$9,"4 Entry Type",$C$4,"2 Item No.","@@"&amp;$F946)</t>
  </si>
  <si>
    <t>=-NL("Sum","32 Item Ledger Entry","12 Quantity","5 Source no.",$C947,"3 Posting Date",J$9,"4 Entry Type",$C$4,"2 Item No.","@@"&amp;$F947)</t>
  </si>
  <si>
    <t>=-NL("Sum","32 Item Ledger Entry","12 Quantity","5 Source no.",$C948,"3 Posting Date",J$9,"4 Entry Type",$C$4,"2 Item No.","@@"&amp;$F948)</t>
  </si>
  <si>
    <t>=-NL("Sum","32 Item Ledger Entry","12 Quantity","5 Source no.",$C949,"3 Posting Date",J$9,"4 Entry Type",$C$4,"2 Item No.","@@"&amp;$F949)</t>
  </si>
  <si>
    <t>=-NL("Sum","32 Item Ledger Entry","12 Quantity","5 Source no.",$C950,"3 Posting Date",J$9,"4 Entry Type",$C$4,"2 Item No.","@@"&amp;$F950)</t>
  </si>
  <si>
    <t>=-NL("Sum","32 Item Ledger Entry","12 Quantity","5 Source no.",$C951,"3 Posting Date",J$9,"4 Entry Type",$C$4,"2 Item No.","@@"&amp;$F951)</t>
  </si>
  <si>
    <t>=-NL("Sum","32 Item Ledger Entry","12 Quantity","5 Source no.",$C952,"3 Posting Date",J$9,"4 Entry Type",$C$4,"2 Item No.","@@"&amp;$F952)</t>
  </si>
  <si>
    <t>=-NL("Sum","32 Item Ledger Entry","12 Quantity","5 Source no.",$C953,"3 Posting Date",J$9,"4 Entry Type",$C$4,"2 Item No.","@@"&amp;$F953)</t>
  </si>
  <si>
    <t>=-NL("Sum","32 Item Ledger Entry","12 Quantity","5 Source no.",$C954,"3 Posting Date",J$9,"4 Entry Type",$C$4,"2 Item No.","@@"&amp;$F954)</t>
  </si>
  <si>
    <t>=-NL("Sum","32 Item Ledger Entry","12 Quantity","5 Source no.",$C955,"3 Posting Date",J$9,"4 Entry Type",$C$4,"2 Item No.","@@"&amp;$F955)</t>
  </si>
  <si>
    <t>=-NL("Sum","32 Item Ledger Entry","12 Quantity","5 Source no.",$C956,"3 Posting Date",J$9,"4 Entry Type",$C$4,"2 Item No.","@@"&amp;$F956)</t>
  </si>
  <si>
    <t>=-NL("Sum","32 Item Ledger Entry","12 Quantity","5 Source no.",$C957,"3 Posting Date",J$9,"4 Entry Type",$C$4,"2 Item No.","@@"&amp;$F957)</t>
  </si>
  <si>
    <t>=-NL("Sum","32 Item Ledger Entry","12 Quantity","5 Source no.",$C958,"3 Posting Date",J$9,"4 Entry Type",$C$4,"2 Item No.","@@"&amp;$F958)</t>
  </si>
  <si>
    <t>=-NL("Sum","32 Item Ledger Entry","12 Quantity","5 Source no.",$C959,"3 Posting Date",J$9,"4 Entry Type",$C$4,"2 Item No.","@@"&amp;$F959)</t>
  </si>
  <si>
    <t>=-NL("Sum","32 Item Ledger Entry","12 Quantity","5 Source no.",$C960,"3 Posting Date",J$9,"4 Entry Type",$C$4,"2 Item No.","@@"&amp;$F960)</t>
  </si>
  <si>
    <t>=-NL("Sum","32 Item Ledger Entry","12 Quantity","5 Source no.",$C961,"3 Posting Date",J$9,"4 Entry Type",$C$4,"2 Item No.","@@"&amp;$F961)</t>
  </si>
  <si>
    <t>=-NL("Sum","32 Item Ledger Entry","12 Quantity","5 Source no.",$C962,"3 Posting Date",J$9,"4 Entry Type",$C$4,"2 Item No.","@@"&amp;$F962)</t>
  </si>
  <si>
    <t>=-NL("Sum","32 Item Ledger Entry","12 Quantity","5 Source no.",$C963,"3 Posting Date",J$9,"4 Entry Type",$C$4,"2 Item No.","@@"&amp;$F963)</t>
  </si>
  <si>
    <t>=-NL("Sum","32 Item Ledger Entry","12 Quantity","5 Source no.",$C964,"3 Posting Date",J$9,"4 Entry Type",$C$4,"2 Item No.","@@"&amp;$F964)</t>
  </si>
  <si>
    <t>=-NL("Sum","32 Item Ledger Entry","12 Quantity","5 Source no.",$C965,"3 Posting Date",J$9,"4 Entry Type",$C$4,"2 Item No.","@@"&amp;$F965)</t>
  </si>
  <si>
    <t>=-NL("Sum","32 Item Ledger Entry","12 Quantity","5 Source no.",$C966,"3 Posting Date",J$9,"4 Entry Type",$C$4,"2 Item No.","@@"&amp;$F966)</t>
  </si>
  <si>
    <t>=-NL("Sum","32 Item Ledger Entry","12 Quantity","5 Source no.",$C967,"3 Posting Date",J$9,"4 Entry Type",$C$4,"2 Item No.","@@"&amp;$F967)</t>
  </si>
  <si>
    <t>=-NL("Sum","32 Item Ledger Entry","12 Quantity","5 Source no.",$C968,"3 Posting Date",J$9,"4 Entry Type",$C$4,"2 Item No.","@@"&amp;$F968)</t>
  </si>
  <si>
    <t>=-NL("Sum","32 Item Ledger Entry","12 Quantity","5 Source no.",$C969,"3 Posting Date",J$9,"4 Entry Type",$C$4,"2 Item No.","@@"&amp;$F969)</t>
  </si>
  <si>
    <t>=-NL("Sum","32 Item Ledger Entry","12 Quantity","5 Source no.",$C970,"3 Posting Date",J$9,"4 Entry Type",$C$4,"2 Item No.","@@"&amp;$F970)</t>
  </si>
  <si>
    <t>=-NL("Sum","32 Item Ledger Entry","12 Quantity","5 Source no.",$C971,"3 Posting Date",J$9,"4 Entry Type",$C$4,"2 Item No.","@@"&amp;$F971)</t>
  </si>
  <si>
    <t>=-NL("Sum","32 Item Ledger Entry","12 Quantity","5 Source no.",$C943,"3 Posting Date",O$9,"4 Entry Type",$C$4,"2 Item No.","@@"&amp;$F943)</t>
  </si>
  <si>
    <t>=-NL("Sum","32 Item Ledger Entry","12 Quantity","5 Source no.",$C944,"3 Posting Date",O$9,"4 Entry Type",$C$4,"2 Item No.","@@"&amp;$F944)</t>
  </si>
  <si>
    <t>=-NL("Sum","32 Item Ledger Entry","12 Quantity","5 Source no.",$C945,"3 Posting Date",O$9,"4 Entry Type",$C$4,"2 Item No.","@@"&amp;$F945)</t>
  </si>
  <si>
    <t>=-NL("Sum","32 Item Ledger Entry","12 Quantity","5 Source no.",$C946,"3 Posting Date",O$9,"4 Entry Type",$C$4,"2 Item No.","@@"&amp;$F946)</t>
  </si>
  <si>
    <t>=-NL("Sum","32 Item Ledger Entry","12 Quantity","5 Source no.",$C947,"3 Posting Date",O$9,"4 Entry Type",$C$4,"2 Item No.","@@"&amp;$F947)</t>
  </si>
  <si>
    <t>=-NL("Sum","32 Item Ledger Entry","12 Quantity","5 Source no.",$C948,"3 Posting Date",O$9,"4 Entry Type",$C$4,"2 Item No.","@@"&amp;$F948)</t>
  </si>
  <si>
    <t>=-NL("Sum","32 Item Ledger Entry","12 Quantity","5 Source no.",$C949,"3 Posting Date",O$9,"4 Entry Type",$C$4,"2 Item No.","@@"&amp;$F949)</t>
  </si>
  <si>
    <t>=-NL("Sum","32 Item Ledger Entry","12 Quantity","5 Source no.",$C950,"3 Posting Date",O$9,"4 Entry Type",$C$4,"2 Item No.","@@"&amp;$F950)</t>
  </si>
  <si>
    <t>=-NL("Sum","32 Item Ledger Entry","12 Quantity","5 Source no.",$C951,"3 Posting Date",O$9,"4 Entry Type",$C$4,"2 Item No.","@@"&amp;$F951)</t>
  </si>
  <si>
    <t>=-NL("Sum","32 Item Ledger Entry","12 Quantity","5 Source no.",$C952,"3 Posting Date",O$9,"4 Entry Type",$C$4,"2 Item No.","@@"&amp;$F952)</t>
  </si>
  <si>
    <t>=-NL("Sum","32 Item Ledger Entry","12 Quantity","5 Source no.",$C953,"3 Posting Date",O$9,"4 Entry Type",$C$4,"2 Item No.","@@"&amp;$F953)</t>
  </si>
  <si>
    <t>=-NL("Sum","32 Item Ledger Entry","12 Quantity","5 Source no.",$C954,"3 Posting Date",O$9,"4 Entry Type",$C$4,"2 Item No.","@@"&amp;$F954)</t>
  </si>
  <si>
    <t>=-NL("Sum","32 Item Ledger Entry","12 Quantity","5 Source no.",$C955,"3 Posting Date",O$9,"4 Entry Type",$C$4,"2 Item No.","@@"&amp;$F955)</t>
  </si>
  <si>
    <t>=-NL("Sum","32 Item Ledger Entry","12 Quantity","5 Source no.",$C956,"3 Posting Date",O$9,"4 Entry Type",$C$4,"2 Item No.","@@"&amp;$F956)</t>
  </si>
  <si>
    <t>=-NL("Sum","32 Item Ledger Entry","12 Quantity","5 Source no.",$C957,"3 Posting Date",O$9,"4 Entry Type",$C$4,"2 Item No.","@@"&amp;$F957)</t>
  </si>
  <si>
    <t>=-NL("Sum","32 Item Ledger Entry","12 Quantity","5 Source no.",$C958,"3 Posting Date",O$9,"4 Entry Type",$C$4,"2 Item No.","@@"&amp;$F958)</t>
  </si>
  <si>
    <t>=-NL("Sum","32 Item Ledger Entry","12 Quantity","5 Source no.",$C959,"3 Posting Date",O$9,"4 Entry Type",$C$4,"2 Item No.","@@"&amp;$F959)</t>
  </si>
  <si>
    <t>=-NL("Sum","32 Item Ledger Entry","12 Quantity","5 Source no.",$C960,"3 Posting Date",O$9,"4 Entry Type",$C$4,"2 Item No.","@@"&amp;$F960)</t>
  </si>
  <si>
    <t>=-NL("Sum","32 Item Ledger Entry","12 Quantity","5 Source no.",$C961,"3 Posting Date",O$9,"4 Entry Type",$C$4,"2 Item No.","@@"&amp;$F961)</t>
  </si>
  <si>
    <t>=-NL("Sum","32 Item Ledger Entry","12 Quantity","5 Source no.",$C962,"3 Posting Date",O$9,"4 Entry Type",$C$4,"2 Item No.","@@"&amp;$F962)</t>
  </si>
  <si>
    <t>=-NL("Sum","32 Item Ledger Entry","12 Quantity","5 Source no.",$C963,"3 Posting Date",O$9,"4 Entry Type",$C$4,"2 Item No.","@@"&amp;$F963)</t>
  </si>
  <si>
    <t>=-NL("Sum","32 Item Ledger Entry","12 Quantity","5 Source no.",$C964,"3 Posting Date",O$9,"4 Entry Type",$C$4,"2 Item No.","@@"&amp;$F964)</t>
  </si>
  <si>
    <t>=-NL("Sum","32 Item Ledger Entry","12 Quantity","5 Source no.",$C965,"3 Posting Date",O$9,"4 Entry Type",$C$4,"2 Item No.","@@"&amp;$F965)</t>
  </si>
  <si>
    <t>=-NL("Sum","32 Item Ledger Entry","12 Quantity","5 Source no.",$C966,"3 Posting Date",O$9,"4 Entry Type",$C$4,"2 Item No.","@@"&amp;$F966)</t>
  </si>
  <si>
    <t>=-NL("Sum","32 Item Ledger Entry","12 Quantity","5 Source no.",$C967,"3 Posting Date",O$9,"4 Entry Type",$C$4,"2 Item No.","@@"&amp;$F967)</t>
  </si>
  <si>
    <t>=-NL("Sum","32 Item Ledger Entry","12 Quantity","5 Source no.",$C968,"3 Posting Date",O$9,"4 Entry Type",$C$4,"2 Item No.","@@"&amp;$F968)</t>
  </si>
  <si>
    <t>=-NL("Sum","32 Item Ledger Entry","12 Quantity","5 Source no.",$C969,"3 Posting Date",O$9,"4 Entry Type",$C$4,"2 Item No.","@@"&amp;$F969)</t>
  </si>
  <si>
    <t>=-NL("Sum","32 Item Ledger Entry","12 Quantity","5 Source no.",$C970,"3 Posting Date",O$9,"4 Entry Type",$C$4,"2 Item No.","@@"&amp;$F970)</t>
  </si>
  <si>
    <t>=-NL("Sum","32 Item Ledger Entry","12 Quantity","5 Source no.",$C971,"3 Posting Date",O$9,"4 Entry Type",$C$4,"2 Item No.","@@"&amp;$F971)</t>
  </si>
  <si>
    <t>=-NL("Sum","32 Item Ledger Entry","12 Quantity","5 Source no.",$C943,"3 Posting Date",U$9,"4 Entry Type",$C$4,"2 Item No.","@@"&amp;$F943)</t>
  </si>
  <si>
    <t>=-NL("Sum","32 Item Ledger Entry","12 Quantity","5 Source no.",$C944,"3 Posting Date",U$9,"4 Entry Type",$C$4,"2 Item No.","@@"&amp;$F944)</t>
  </si>
  <si>
    <t>=-NL("Sum","32 Item Ledger Entry","12 Quantity","5 Source no.",$C945,"3 Posting Date",U$9,"4 Entry Type",$C$4,"2 Item No.","@@"&amp;$F945)</t>
  </si>
  <si>
    <t>=-NL("Sum","32 Item Ledger Entry","12 Quantity","5 Source no.",$C946,"3 Posting Date",U$9,"4 Entry Type",$C$4,"2 Item No.","@@"&amp;$F946)</t>
  </si>
  <si>
    <t>=-NL("Sum","32 Item Ledger Entry","12 Quantity","5 Source no.",$C947,"3 Posting Date",U$9,"4 Entry Type",$C$4,"2 Item No.","@@"&amp;$F947)</t>
  </si>
  <si>
    <t>=-NL("Sum","32 Item Ledger Entry","12 Quantity","5 Source no.",$C948,"3 Posting Date",U$9,"4 Entry Type",$C$4,"2 Item No.","@@"&amp;$F948)</t>
  </si>
  <si>
    <t>=-NL("Sum","32 Item Ledger Entry","12 Quantity","5 Source no.",$C949,"3 Posting Date",U$9,"4 Entry Type",$C$4,"2 Item No.","@@"&amp;$F949)</t>
  </si>
  <si>
    <t>=-NL("Sum","32 Item Ledger Entry","12 Quantity","5 Source no.",$C950,"3 Posting Date",U$9,"4 Entry Type",$C$4,"2 Item No.","@@"&amp;$F950)</t>
  </si>
  <si>
    <t>=-NL("Sum","32 Item Ledger Entry","12 Quantity","5 Source no.",$C951,"3 Posting Date",U$9,"4 Entry Type",$C$4,"2 Item No.","@@"&amp;$F951)</t>
  </si>
  <si>
    <t>=-NL("Sum","32 Item Ledger Entry","12 Quantity","5 Source no.",$C952,"3 Posting Date",U$9,"4 Entry Type",$C$4,"2 Item No.","@@"&amp;$F952)</t>
  </si>
  <si>
    <t>=-NL("Sum","32 Item Ledger Entry","12 Quantity","5 Source no.",$C953,"3 Posting Date",U$9,"4 Entry Type",$C$4,"2 Item No.","@@"&amp;$F953)</t>
  </si>
  <si>
    <t>=-NL("Sum","32 Item Ledger Entry","12 Quantity","5 Source no.",$C954,"3 Posting Date",U$9,"4 Entry Type",$C$4,"2 Item No.","@@"&amp;$F954)</t>
  </si>
  <si>
    <t>=-NL("Sum","32 Item Ledger Entry","12 Quantity","5 Source no.",$C955,"3 Posting Date",U$9,"4 Entry Type",$C$4,"2 Item No.","@@"&amp;$F955)</t>
  </si>
  <si>
    <t>=-NL("Sum","32 Item Ledger Entry","12 Quantity","5 Source no.",$C956,"3 Posting Date",U$9,"4 Entry Type",$C$4,"2 Item No.","@@"&amp;$F956)</t>
  </si>
  <si>
    <t>=-NL("Sum","32 Item Ledger Entry","12 Quantity","5 Source no.",$C957,"3 Posting Date",U$9,"4 Entry Type",$C$4,"2 Item No.","@@"&amp;$F957)</t>
  </si>
  <si>
    <t>=-NL("Sum","32 Item Ledger Entry","12 Quantity","5 Source no.",$C958,"3 Posting Date",U$9,"4 Entry Type",$C$4,"2 Item No.","@@"&amp;$F958)</t>
  </si>
  <si>
    <t>=-NL("Sum","32 Item Ledger Entry","12 Quantity","5 Source no.",$C959,"3 Posting Date",U$9,"4 Entry Type",$C$4,"2 Item No.","@@"&amp;$F959)</t>
  </si>
  <si>
    <t>=-NL("Sum","32 Item Ledger Entry","12 Quantity","5 Source no.",$C960,"3 Posting Date",U$9,"4 Entry Type",$C$4,"2 Item No.","@@"&amp;$F960)</t>
  </si>
  <si>
    <t>=-NL("Sum","32 Item Ledger Entry","12 Quantity","5 Source no.",$C961,"3 Posting Date",U$9,"4 Entry Type",$C$4,"2 Item No.","@@"&amp;$F961)</t>
  </si>
  <si>
    <t>=-NL("Sum","32 Item Ledger Entry","12 Quantity","5 Source no.",$C962,"3 Posting Date",U$9,"4 Entry Type",$C$4,"2 Item No.","@@"&amp;$F962)</t>
  </si>
  <si>
    <t>=-NL("Sum","32 Item Ledger Entry","12 Quantity","5 Source no.",$C963,"3 Posting Date",U$9,"4 Entry Type",$C$4,"2 Item No.","@@"&amp;$F963)</t>
  </si>
  <si>
    <t>=-NL("Sum","32 Item Ledger Entry","12 Quantity","5 Source no.",$C964,"3 Posting Date",U$9,"4 Entry Type",$C$4,"2 Item No.","@@"&amp;$F964)</t>
  </si>
  <si>
    <t>=-NL("Sum","32 Item Ledger Entry","12 Quantity","5 Source no.",$C965,"3 Posting Date",U$9,"4 Entry Type",$C$4,"2 Item No.","@@"&amp;$F965)</t>
  </si>
  <si>
    <t>=-NL("Sum","32 Item Ledger Entry","12 Quantity","5 Source no.",$C966,"3 Posting Date",U$9,"4 Entry Type",$C$4,"2 Item No.","@@"&amp;$F966)</t>
  </si>
  <si>
    <t>=-NL("Sum","32 Item Ledger Entry","12 Quantity","5 Source no.",$C967,"3 Posting Date",U$9,"4 Entry Type",$C$4,"2 Item No.","@@"&amp;$F967)</t>
  </si>
  <si>
    <t>=-NL("Sum","32 Item Ledger Entry","12 Quantity","5 Source no.",$C968,"3 Posting Date",U$9,"4 Entry Type",$C$4,"2 Item No.","@@"&amp;$F968)</t>
  </si>
  <si>
    <t>=-NL("Sum","32 Item Ledger Entry","12 Quantity","5 Source no.",$C969,"3 Posting Date",U$9,"4 Entry Type",$C$4,"2 Item No.","@@"&amp;$F969)</t>
  </si>
  <si>
    <t>=-NL("Sum","32 Item Ledger Entry","12 Quantity","5 Source no.",$C970,"3 Posting Date",U$9,"4 Entry Type",$C$4,"2 Item No.","@@"&amp;$F970)</t>
  </si>
  <si>
    <t>=-NL("Sum","32 Item Ledger Entry","12 Quantity","5 Source no.",$C971,"3 Posting Date",U$9,"4 Entry Type",$C$4,"2 Item No.","@@"&amp;$F971)</t>
  </si>
  <si>
    <t>=-NL("Sum","32 Item Ledger Entry","12 Quantity","5 Source no.",$C943,"3 Posting Date",Z$9,"4 Entry Type",$C$4,"2 Item No.","@@"&amp;$F943)</t>
  </si>
  <si>
    <t>=-NL("Sum","32 Item Ledger Entry","12 Quantity","5 Source no.",$C944,"3 Posting Date",Z$9,"4 Entry Type",$C$4,"2 Item No.","@@"&amp;$F944)</t>
  </si>
  <si>
    <t>=-NL("Sum","32 Item Ledger Entry","12 Quantity","5 Source no.",$C945,"3 Posting Date",Z$9,"4 Entry Type",$C$4,"2 Item No.","@@"&amp;$F945)</t>
  </si>
  <si>
    <t>=-NL("Sum","32 Item Ledger Entry","12 Quantity","5 Source no.",$C946,"3 Posting Date",Z$9,"4 Entry Type",$C$4,"2 Item No.","@@"&amp;$F946)</t>
  </si>
  <si>
    <t>=-NL("Sum","32 Item Ledger Entry","12 Quantity","5 Source no.",$C947,"3 Posting Date",Z$9,"4 Entry Type",$C$4,"2 Item No.","@@"&amp;$F947)</t>
  </si>
  <si>
    <t>=-NL("Sum","32 Item Ledger Entry","12 Quantity","5 Source no.",$C948,"3 Posting Date",Z$9,"4 Entry Type",$C$4,"2 Item No.","@@"&amp;$F948)</t>
  </si>
  <si>
    <t>=-NL("Sum","32 Item Ledger Entry","12 Quantity","5 Source no.",$C949,"3 Posting Date",Z$9,"4 Entry Type",$C$4,"2 Item No.","@@"&amp;$F949)</t>
  </si>
  <si>
    <t>=-NL("Sum","32 Item Ledger Entry","12 Quantity","5 Source no.",$C950,"3 Posting Date",Z$9,"4 Entry Type",$C$4,"2 Item No.","@@"&amp;$F950)</t>
  </si>
  <si>
    <t>=-NL("Sum","32 Item Ledger Entry","12 Quantity","5 Source no.",$C951,"3 Posting Date",Z$9,"4 Entry Type",$C$4,"2 Item No.","@@"&amp;$F951)</t>
  </si>
  <si>
    <t>=-NL("Sum","32 Item Ledger Entry","12 Quantity","5 Source no.",$C952,"3 Posting Date",Z$9,"4 Entry Type",$C$4,"2 Item No.","@@"&amp;$F952)</t>
  </si>
  <si>
    <t>=-NL("Sum","32 Item Ledger Entry","12 Quantity","5 Source no.",$C953,"3 Posting Date",Z$9,"4 Entry Type",$C$4,"2 Item No.","@@"&amp;$F953)</t>
  </si>
  <si>
    <t>=-NL("Sum","32 Item Ledger Entry","12 Quantity","5 Source no.",$C954,"3 Posting Date",Z$9,"4 Entry Type",$C$4,"2 Item No.","@@"&amp;$F954)</t>
  </si>
  <si>
    <t>=-NL("Sum","32 Item Ledger Entry","12 Quantity","5 Source no.",$C955,"3 Posting Date",Z$9,"4 Entry Type",$C$4,"2 Item No.","@@"&amp;$F955)</t>
  </si>
  <si>
    <t>=-NL("Sum","32 Item Ledger Entry","12 Quantity","5 Source no.",$C956,"3 Posting Date",Z$9,"4 Entry Type",$C$4,"2 Item No.","@@"&amp;$F956)</t>
  </si>
  <si>
    <t>=-NL("Sum","32 Item Ledger Entry","12 Quantity","5 Source no.",$C957,"3 Posting Date",Z$9,"4 Entry Type",$C$4,"2 Item No.","@@"&amp;$F957)</t>
  </si>
  <si>
    <t>=-NL("Sum","32 Item Ledger Entry","12 Quantity","5 Source no.",$C958,"3 Posting Date",Z$9,"4 Entry Type",$C$4,"2 Item No.","@@"&amp;$F958)</t>
  </si>
  <si>
    <t>=-NL("Sum","32 Item Ledger Entry","12 Quantity","5 Source no.",$C959,"3 Posting Date",Z$9,"4 Entry Type",$C$4,"2 Item No.","@@"&amp;$F959)</t>
  </si>
  <si>
    <t>=-NL("Sum","32 Item Ledger Entry","12 Quantity","5 Source no.",$C960,"3 Posting Date",Z$9,"4 Entry Type",$C$4,"2 Item No.","@@"&amp;$F960)</t>
  </si>
  <si>
    <t>=-NL("Sum","32 Item Ledger Entry","12 Quantity","5 Source no.",$C961,"3 Posting Date",Z$9,"4 Entry Type",$C$4,"2 Item No.","@@"&amp;$F961)</t>
  </si>
  <si>
    <t>=-NL("Sum","32 Item Ledger Entry","12 Quantity","5 Source no.",$C962,"3 Posting Date",Z$9,"4 Entry Type",$C$4,"2 Item No.","@@"&amp;$F962)</t>
  </si>
  <si>
    <t>=-NL("Sum","32 Item Ledger Entry","12 Quantity","5 Source no.",$C963,"3 Posting Date",Z$9,"4 Entry Type",$C$4,"2 Item No.","@@"&amp;$F963)</t>
  </si>
  <si>
    <t>=-NL("Sum","32 Item Ledger Entry","12 Quantity","5 Source no.",$C964,"3 Posting Date",Z$9,"4 Entry Type",$C$4,"2 Item No.","@@"&amp;$F964)</t>
  </si>
  <si>
    <t>=-NL("Sum","32 Item Ledger Entry","12 Quantity","5 Source no.",$C965,"3 Posting Date",Z$9,"4 Entry Type",$C$4,"2 Item No.","@@"&amp;$F965)</t>
  </si>
  <si>
    <t>=-NL("Sum","32 Item Ledger Entry","12 Quantity","5 Source no.",$C966,"3 Posting Date",Z$9,"4 Entry Type",$C$4,"2 Item No.","@@"&amp;$F966)</t>
  </si>
  <si>
    <t>=-NL("Sum","32 Item Ledger Entry","12 Quantity","5 Source no.",$C967,"3 Posting Date",Z$9,"4 Entry Type",$C$4,"2 Item No.","@@"&amp;$F967)</t>
  </si>
  <si>
    <t>=-NL("Sum","32 Item Ledger Entry","12 Quantity","5 Source no.",$C968,"3 Posting Date",Z$9,"4 Entry Type",$C$4,"2 Item No.","@@"&amp;$F968)</t>
  </si>
  <si>
    <t>=-NL("Sum","32 Item Ledger Entry","12 Quantity","5 Source no.",$C969,"3 Posting Date",Z$9,"4 Entry Type",$C$4,"2 Item No.","@@"&amp;$F969)</t>
  </si>
  <si>
    <t>=-NL("Sum","32 Item Ledger Entry","12 Quantity","5 Source no.",$C970,"3 Posting Date",Z$9,"4 Entry Type",$C$4,"2 Item No.","@@"&amp;$F970)</t>
  </si>
  <si>
    <t>=-NL("Sum","32 Item Ledger Entry","12 Quantity","5 Source no.",$C971,"3 Posting Date",Z$9,"4 Entry Type",$C$4,"2 Item No.","@@"&amp;$F971)</t>
  </si>
  <si>
    <t>=NL(,"27 Item","3 Description","1 No.","@@"&amp;F907)</t>
  </si>
  <si>
    <t>=NL(,"27 Item","3 Description","1 No.","@@"&amp;F908)</t>
  </si>
  <si>
    <t>=NL(,"27 Item","3 Description","1 No.","@@"&amp;F909)</t>
  </si>
  <si>
    <t>=NL(,"27 Item","3 Description","1 No.","@@"&amp;F910)</t>
  </si>
  <si>
    <t>=NL(,"27 Item","3 Description","1 No.","@@"&amp;F911)</t>
  </si>
  <si>
    <t>=NL(,"27 Item","3 Description","1 No.","@@"&amp;F912)</t>
  </si>
  <si>
    <t>=NL(,"27 Item","3 Description","1 No.","@@"&amp;F913)</t>
  </si>
  <si>
    <t>=NL(,"27 Item","3 Description","1 No.","@@"&amp;F914)</t>
  </si>
  <si>
    <t>=NL(,"27 Item","3 Description","1 No.","@@"&amp;F915)</t>
  </si>
  <si>
    <t>=NL(,"27 Item","3 Description","1 No.","@@"&amp;F916)</t>
  </si>
  <si>
    <t>=NL(,"27 Item","3 Description","1 No.","@@"&amp;F917)</t>
  </si>
  <si>
    <t>=NL(,"27 Item","3 Description","1 No.","@@"&amp;F918)</t>
  </si>
  <si>
    <t>=NL(,"27 Item","3 Description","1 No.","@@"&amp;F919)</t>
  </si>
  <si>
    <t>=NL(,"27 Item","3 Description","1 No.","@@"&amp;F920)</t>
  </si>
  <si>
    <t>=NL(,"27 Item","3 Description","1 No.","@@"&amp;F921)</t>
  </si>
  <si>
    <t>=NL(,"27 Item","3 Description","1 No.","@@"&amp;F922)</t>
  </si>
  <si>
    <t>=NL(,"27 Item","3 Description","1 No.","@@"&amp;F923)</t>
  </si>
  <si>
    <t>=NL(,"27 Item","3 Description","1 No.","@@"&amp;F924)</t>
  </si>
  <si>
    <t>=NL(,"27 Item","3 Description","1 No.","@@"&amp;F925)</t>
  </si>
  <si>
    <t>=NL(,"27 Item","3 Description","1 No.","@@"&amp;F926)</t>
  </si>
  <si>
    <t>=NL(,"27 Item","3 Description","1 No.","@@"&amp;F927)</t>
  </si>
  <si>
    <t>=NL(,"27 Item","3 Description","1 No.","@@"&amp;F928)</t>
  </si>
  <si>
    <t>=NL(,"27 Item","3 Description","1 No.","@@"&amp;F929)</t>
  </si>
  <si>
    <t>=NL(,"27 Item","3 Description","1 No.","@@"&amp;F930)</t>
  </si>
  <si>
    <t>=NL(,"27 Item","3 Description","1 No.","@@"&amp;F931)</t>
  </si>
  <si>
    <t>=NL(,"27 Item","3 Description","1 No.","@@"&amp;F932)</t>
  </si>
  <si>
    <t>=NL(,"27 Item","3 Description","1 No.","@@"&amp;F933)</t>
  </si>
  <si>
    <t>=NL(,"27 Item","3 Description","1 No.","@@"&amp;F934)</t>
  </si>
  <si>
    <t>=NL(,"27 Item","3 Description","1 No.","@@"&amp;F935)</t>
  </si>
  <si>
    <t>=NL(,"27 Item","3 Description","1 No.","@@"&amp;F936)</t>
  </si>
  <si>
    <t>=NL(,"27 Item","3 Description","1 No.","@@"&amp;F937)</t>
  </si>
  <si>
    <t>=-NL("Sum","32 Item Ledger Entry","12 Quantity","5 Source no.",$C907,"3 Posting Date",J$9,"4 Entry Type",$C$4,"2 Item No.","@@"&amp;$F907)</t>
  </si>
  <si>
    <t>=-NL("Sum","32 Item Ledger Entry","12 Quantity","5 Source no.",$C908,"3 Posting Date",J$9,"4 Entry Type",$C$4,"2 Item No.","@@"&amp;$F908)</t>
  </si>
  <si>
    <t>=-NL("Sum","32 Item Ledger Entry","12 Quantity","5 Source no.",$C909,"3 Posting Date",J$9,"4 Entry Type",$C$4,"2 Item No.","@@"&amp;$F909)</t>
  </si>
  <si>
    <t>=-NL("Sum","32 Item Ledger Entry","12 Quantity","5 Source no.",$C910,"3 Posting Date",J$9,"4 Entry Type",$C$4,"2 Item No.","@@"&amp;$F910)</t>
  </si>
  <si>
    <t>=-NL("Sum","32 Item Ledger Entry","12 Quantity","5 Source no.",$C911,"3 Posting Date",J$9,"4 Entry Type",$C$4,"2 Item No.","@@"&amp;$F911)</t>
  </si>
  <si>
    <t>=-NL("Sum","32 Item Ledger Entry","12 Quantity","5 Source no.",$C912,"3 Posting Date",J$9,"4 Entry Type",$C$4,"2 Item No.","@@"&amp;$F912)</t>
  </si>
  <si>
    <t>=-NL("Sum","32 Item Ledger Entry","12 Quantity","5 Source no.",$C913,"3 Posting Date",J$9,"4 Entry Type",$C$4,"2 Item No.","@@"&amp;$F913)</t>
  </si>
  <si>
    <t>=-NL("Sum","32 Item Ledger Entry","12 Quantity","5 Source no.",$C914,"3 Posting Date",J$9,"4 Entry Type",$C$4,"2 Item No.","@@"&amp;$F914)</t>
  </si>
  <si>
    <t>=-NL("Sum","32 Item Ledger Entry","12 Quantity","5 Source no.",$C915,"3 Posting Date",J$9,"4 Entry Type",$C$4,"2 Item No.","@@"&amp;$F915)</t>
  </si>
  <si>
    <t>=-NL("Sum","32 Item Ledger Entry","12 Quantity","5 Source no.",$C916,"3 Posting Date",J$9,"4 Entry Type",$C$4,"2 Item No.","@@"&amp;$F916)</t>
  </si>
  <si>
    <t>=-NL("Sum","32 Item Ledger Entry","12 Quantity","5 Source no.",$C917,"3 Posting Date",J$9,"4 Entry Type",$C$4,"2 Item No.","@@"&amp;$F917)</t>
  </si>
  <si>
    <t>=-NL("Sum","32 Item Ledger Entry","12 Quantity","5 Source no.",$C918,"3 Posting Date",J$9,"4 Entry Type",$C$4,"2 Item No.","@@"&amp;$F918)</t>
  </si>
  <si>
    <t>=-NL("Sum","32 Item Ledger Entry","12 Quantity","5 Source no.",$C919,"3 Posting Date",J$9,"4 Entry Type",$C$4,"2 Item No.","@@"&amp;$F919)</t>
  </si>
  <si>
    <t>=-NL("Sum","32 Item Ledger Entry","12 Quantity","5 Source no.",$C920,"3 Posting Date",J$9,"4 Entry Type",$C$4,"2 Item No.","@@"&amp;$F920)</t>
  </si>
  <si>
    <t>=-NL("Sum","32 Item Ledger Entry","12 Quantity","5 Source no.",$C921,"3 Posting Date",J$9,"4 Entry Type",$C$4,"2 Item No.","@@"&amp;$F921)</t>
  </si>
  <si>
    <t>=-NL("Sum","32 Item Ledger Entry","12 Quantity","5 Source no.",$C922,"3 Posting Date",J$9,"4 Entry Type",$C$4,"2 Item No.","@@"&amp;$F922)</t>
  </si>
  <si>
    <t>=-NL("Sum","32 Item Ledger Entry","12 Quantity","5 Source no.",$C923,"3 Posting Date",J$9,"4 Entry Type",$C$4,"2 Item No.","@@"&amp;$F923)</t>
  </si>
  <si>
    <t>=-NL("Sum","32 Item Ledger Entry","12 Quantity","5 Source no.",$C924,"3 Posting Date",J$9,"4 Entry Type",$C$4,"2 Item No.","@@"&amp;$F924)</t>
  </si>
  <si>
    <t>=-NL("Sum","32 Item Ledger Entry","12 Quantity","5 Source no.",$C925,"3 Posting Date",J$9,"4 Entry Type",$C$4,"2 Item No.","@@"&amp;$F925)</t>
  </si>
  <si>
    <t>=-NL("Sum","32 Item Ledger Entry","12 Quantity","5 Source no.",$C926,"3 Posting Date",J$9,"4 Entry Type",$C$4,"2 Item No.","@@"&amp;$F926)</t>
  </si>
  <si>
    <t>=-NL("Sum","32 Item Ledger Entry","12 Quantity","5 Source no.",$C927,"3 Posting Date",J$9,"4 Entry Type",$C$4,"2 Item No.","@@"&amp;$F927)</t>
  </si>
  <si>
    <t>=-NL("Sum","32 Item Ledger Entry","12 Quantity","5 Source no.",$C928,"3 Posting Date",J$9,"4 Entry Type",$C$4,"2 Item No.","@@"&amp;$F928)</t>
  </si>
  <si>
    <t>=-NL("Sum","32 Item Ledger Entry","12 Quantity","5 Source no.",$C929,"3 Posting Date",J$9,"4 Entry Type",$C$4,"2 Item No.","@@"&amp;$F929)</t>
  </si>
  <si>
    <t>=-NL("Sum","32 Item Ledger Entry","12 Quantity","5 Source no.",$C930,"3 Posting Date",J$9,"4 Entry Type",$C$4,"2 Item No.","@@"&amp;$F930)</t>
  </si>
  <si>
    <t>=-NL("Sum","32 Item Ledger Entry","12 Quantity","5 Source no.",$C931,"3 Posting Date",J$9,"4 Entry Type",$C$4,"2 Item No.","@@"&amp;$F931)</t>
  </si>
  <si>
    <t>=-NL("Sum","32 Item Ledger Entry","12 Quantity","5 Source no.",$C932,"3 Posting Date",J$9,"4 Entry Type",$C$4,"2 Item No.","@@"&amp;$F932)</t>
  </si>
  <si>
    <t>=-NL("Sum","32 Item Ledger Entry","12 Quantity","5 Source no.",$C933,"3 Posting Date",J$9,"4 Entry Type",$C$4,"2 Item No.","@@"&amp;$F933)</t>
  </si>
  <si>
    <t>=-NL("Sum","32 Item Ledger Entry","12 Quantity","5 Source no.",$C934,"3 Posting Date",J$9,"4 Entry Type",$C$4,"2 Item No.","@@"&amp;$F934)</t>
  </si>
  <si>
    <t>=-NL("Sum","32 Item Ledger Entry","12 Quantity","5 Source no.",$C935,"3 Posting Date",J$9,"4 Entry Type",$C$4,"2 Item No.","@@"&amp;$F935)</t>
  </si>
  <si>
    <t>=-NL("Sum","32 Item Ledger Entry","12 Quantity","5 Source no.",$C936,"3 Posting Date",J$9,"4 Entry Type",$C$4,"2 Item No.","@@"&amp;$F936)</t>
  </si>
  <si>
    <t>=-NL("Sum","32 Item Ledger Entry","12 Quantity","5 Source no.",$C937,"3 Posting Date",J$9,"4 Entry Type",$C$4,"2 Item No.","@@"&amp;$F937)</t>
  </si>
  <si>
    <t>=-NL("Sum","32 Item Ledger Entry","12 Quantity","5 Source no.",$C907,"3 Posting Date",O$9,"4 Entry Type",$C$4,"2 Item No.","@@"&amp;$F907)</t>
  </si>
  <si>
    <t>=-NL("Sum","32 Item Ledger Entry","12 Quantity","5 Source no.",$C908,"3 Posting Date",O$9,"4 Entry Type",$C$4,"2 Item No.","@@"&amp;$F908)</t>
  </si>
  <si>
    <t>=-NL("Sum","32 Item Ledger Entry","12 Quantity","5 Source no.",$C909,"3 Posting Date",O$9,"4 Entry Type",$C$4,"2 Item No.","@@"&amp;$F909)</t>
  </si>
  <si>
    <t>=-NL("Sum","32 Item Ledger Entry","12 Quantity","5 Source no.",$C910,"3 Posting Date",O$9,"4 Entry Type",$C$4,"2 Item No.","@@"&amp;$F910)</t>
  </si>
  <si>
    <t>=-NL("Sum","32 Item Ledger Entry","12 Quantity","5 Source no.",$C911,"3 Posting Date",O$9,"4 Entry Type",$C$4,"2 Item No.","@@"&amp;$F911)</t>
  </si>
  <si>
    <t>=-NL("Sum","32 Item Ledger Entry","12 Quantity","5 Source no.",$C912,"3 Posting Date",O$9,"4 Entry Type",$C$4,"2 Item No.","@@"&amp;$F912)</t>
  </si>
  <si>
    <t>=-NL("Sum","32 Item Ledger Entry","12 Quantity","5 Source no.",$C913,"3 Posting Date",O$9,"4 Entry Type",$C$4,"2 Item No.","@@"&amp;$F913)</t>
  </si>
  <si>
    <t>=-NL("Sum","32 Item Ledger Entry","12 Quantity","5 Source no.",$C914,"3 Posting Date",O$9,"4 Entry Type",$C$4,"2 Item No.","@@"&amp;$F914)</t>
  </si>
  <si>
    <t>=-NL("Sum","32 Item Ledger Entry","12 Quantity","5 Source no.",$C915,"3 Posting Date",O$9,"4 Entry Type",$C$4,"2 Item No.","@@"&amp;$F915)</t>
  </si>
  <si>
    <t>=-NL("Sum","32 Item Ledger Entry","12 Quantity","5 Source no.",$C916,"3 Posting Date",O$9,"4 Entry Type",$C$4,"2 Item No.","@@"&amp;$F916)</t>
  </si>
  <si>
    <t>=-NL("Sum","32 Item Ledger Entry","12 Quantity","5 Source no.",$C917,"3 Posting Date",O$9,"4 Entry Type",$C$4,"2 Item No.","@@"&amp;$F917)</t>
  </si>
  <si>
    <t>=-NL("Sum","32 Item Ledger Entry","12 Quantity","5 Source no.",$C918,"3 Posting Date",O$9,"4 Entry Type",$C$4,"2 Item No.","@@"&amp;$F918)</t>
  </si>
  <si>
    <t>=-NL("Sum","32 Item Ledger Entry","12 Quantity","5 Source no.",$C919,"3 Posting Date",O$9,"4 Entry Type",$C$4,"2 Item No.","@@"&amp;$F919)</t>
  </si>
  <si>
    <t>=-NL("Sum","32 Item Ledger Entry","12 Quantity","5 Source no.",$C920,"3 Posting Date",O$9,"4 Entry Type",$C$4,"2 Item No.","@@"&amp;$F920)</t>
  </si>
  <si>
    <t>=-NL("Sum","32 Item Ledger Entry","12 Quantity","5 Source no.",$C921,"3 Posting Date",O$9,"4 Entry Type",$C$4,"2 Item No.","@@"&amp;$F921)</t>
  </si>
  <si>
    <t>=-NL("Sum","32 Item Ledger Entry","12 Quantity","5 Source no.",$C922,"3 Posting Date",O$9,"4 Entry Type",$C$4,"2 Item No.","@@"&amp;$F922)</t>
  </si>
  <si>
    <t>=-NL("Sum","32 Item Ledger Entry","12 Quantity","5 Source no.",$C923,"3 Posting Date",O$9,"4 Entry Type",$C$4,"2 Item No.","@@"&amp;$F923)</t>
  </si>
  <si>
    <t>=-NL("Sum","32 Item Ledger Entry","12 Quantity","5 Source no.",$C924,"3 Posting Date",O$9,"4 Entry Type",$C$4,"2 Item No.","@@"&amp;$F924)</t>
  </si>
  <si>
    <t>=-NL("Sum","32 Item Ledger Entry","12 Quantity","5 Source no.",$C925,"3 Posting Date",O$9,"4 Entry Type",$C$4,"2 Item No.","@@"&amp;$F925)</t>
  </si>
  <si>
    <t>=-NL("Sum","32 Item Ledger Entry","12 Quantity","5 Source no.",$C926,"3 Posting Date",O$9,"4 Entry Type",$C$4,"2 Item No.","@@"&amp;$F926)</t>
  </si>
  <si>
    <t>=-NL("Sum","32 Item Ledger Entry","12 Quantity","5 Source no.",$C927,"3 Posting Date",O$9,"4 Entry Type",$C$4,"2 Item No.","@@"&amp;$F927)</t>
  </si>
  <si>
    <t>=-NL("Sum","32 Item Ledger Entry","12 Quantity","5 Source no.",$C928,"3 Posting Date",O$9,"4 Entry Type",$C$4,"2 Item No.","@@"&amp;$F928)</t>
  </si>
  <si>
    <t>=-NL("Sum","32 Item Ledger Entry","12 Quantity","5 Source no.",$C929,"3 Posting Date",O$9,"4 Entry Type",$C$4,"2 Item No.","@@"&amp;$F929)</t>
  </si>
  <si>
    <t>=-NL("Sum","32 Item Ledger Entry","12 Quantity","5 Source no.",$C930,"3 Posting Date",O$9,"4 Entry Type",$C$4,"2 Item No.","@@"&amp;$F930)</t>
  </si>
  <si>
    <t>=-NL("Sum","32 Item Ledger Entry","12 Quantity","5 Source no.",$C931,"3 Posting Date",O$9,"4 Entry Type",$C$4,"2 Item No.","@@"&amp;$F931)</t>
  </si>
  <si>
    <t>=-NL("Sum","32 Item Ledger Entry","12 Quantity","5 Source no.",$C932,"3 Posting Date",O$9,"4 Entry Type",$C$4,"2 Item No.","@@"&amp;$F932)</t>
  </si>
  <si>
    <t>=-NL("Sum","32 Item Ledger Entry","12 Quantity","5 Source no.",$C933,"3 Posting Date",O$9,"4 Entry Type",$C$4,"2 Item No.","@@"&amp;$F933)</t>
  </si>
  <si>
    <t>=-NL("Sum","32 Item Ledger Entry","12 Quantity","5 Source no.",$C934,"3 Posting Date",O$9,"4 Entry Type",$C$4,"2 Item No.","@@"&amp;$F934)</t>
  </si>
  <si>
    <t>=-NL("Sum","32 Item Ledger Entry","12 Quantity","5 Source no.",$C935,"3 Posting Date",O$9,"4 Entry Type",$C$4,"2 Item No.","@@"&amp;$F935)</t>
  </si>
  <si>
    <t>=-NL("Sum","32 Item Ledger Entry","12 Quantity","5 Source no.",$C936,"3 Posting Date",O$9,"4 Entry Type",$C$4,"2 Item No.","@@"&amp;$F936)</t>
  </si>
  <si>
    <t>=-NL("Sum","32 Item Ledger Entry","12 Quantity","5 Source no.",$C937,"3 Posting Date",O$9,"4 Entry Type",$C$4,"2 Item No.","@@"&amp;$F937)</t>
  </si>
  <si>
    <t>=-NL("Sum","32 Item Ledger Entry","12 Quantity","5 Source no.",$C907,"3 Posting Date",U$9,"4 Entry Type",$C$4,"2 Item No.","@@"&amp;$F907)</t>
  </si>
  <si>
    <t>=-NL("Sum","32 Item Ledger Entry","12 Quantity","5 Source no.",$C908,"3 Posting Date",U$9,"4 Entry Type",$C$4,"2 Item No.","@@"&amp;$F908)</t>
  </si>
  <si>
    <t>=-NL("Sum","32 Item Ledger Entry","12 Quantity","5 Source no.",$C909,"3 Posting Date",U$9,"4 Entry Type",$C$4,"2 Item No.","@@"&amp;$F909)</t>
  </si>
  <si>
    <t>=-NL("Sum","32 Item Ledger Entry","12 Quantity","5 Source no.",$C910,"3 Posting Date",U$9,"4 Entry Type",$C$4,"2 Item No.","@@"&amp;$F910)</t>
  </si>
  <si>
    <t>=-NL("Sum","32 Item Ledger Entry","12 Quantity","5 Source no.",$C911,"3 Posting Date",U$9,"4 Entry Type",$C$4,"2 Item No.","@@"&amp;$F911)</t>
  </si>
  <si>
    <t>=-NL("Sum","32 Item Ledger Entry","12 Quantity","5 Source no.",$C912,"3 Posting Date",U$9,"4 Entry Type",$C$4,"2 Item No.","@@"&amp;$F912)</t>
  </si>
  <si>
    <t>=-NL("Sum","32 Item Ledger Entry","12 Quantity","5 Source no.",$C913,"3 Posting Date",U$9,"4 Entry Type",$C$4,"2 Item No.","@@"&amp;$F913)</t>
  </si>
  <si>
    <t>=-NL("Sum","32 Item Ledger Entry","12 Quantity","5 Source no.",$C914,"3 Posting Date",U$9,"4 Entry Type",$C$4,"2 Item No.","@@"&amp;$F914)</t>
  </si>
  <si>
    <t>=-NL("Sum","32 Item Ledger Entry","12 Quantity","5 Source no.",$C915,"3 Posting Date",U$9,"4 Entry Type",$C$4,"2 Item No.","@@"&amp;$F915)</t>
  </si>
  <si>
    <t>=-NL("Sum","32 Item Ledger Entry","12 Quantity","5 Source no.",$C916,"3 Posting Date",U$9,"4 Entry Type",$C$4,"2 Item No.","@@"&amp;$F916)</t>
  </si>
  <si>
    <t>=-NL("Sum","32 Item Ledger Entry","12 Quantity","5 Source no.",$C917,"3 Posting Date",U$9,"4 Entry Type",$C$4,"2 Item No.","@@"&amp;$F917)</t>
  </si>
  <si>
    <t>=-NL("Sum","32 Item Ledger Entry","12 Quantity","5 Source no.",$C918,"3 Posting Date",U$9,"4 Entry Type",$C$4,"2 Item No.","@@"&amp;$F918)</t>
  </si>
  <si>
    <t>=-NL("Sum","32 Item Ledger Entry","12 Quantity","5 Source no.",$C919,"3 Posting Date",U$9,"4 Entry Type",$C$4,"2 Item No.","@@"&amp;$F919)</t>
  </si>
  <si>
    <t>=-NL("Sum","32 Item Ledger Entry","12 Quantity","5 Source no.",$C920,"3 Posting Date",U$9,"4 Entry Type",$C$4,"2 Item No.","@@"&amp;$F920)</t>
  </si>
  <si>
    <t>=-NL("Sum","32 Item Ledger Entry","12 Quantity","5 Source no.",$C921,"3 Posting Date",U$9,"4 Entry Type",$C$4,"2 Item No.","@@"&amp;$F921)</t>
  </si>
  <si>
    <t>=-NL("Sum","32 Item Ledger Entry","12 Quantity","5 Source no.",$C922,"3 Posting Date",U$9,"4 Entry Type",$C$4,"2 Item No.","@@"&amp;$F922)</t>
  </si>
  <si>
    <t>=-NL("Sum","32 Item Ledger Entry","12 Quantity","5 Source no.",$C923,"3 Posting Date",U$9,"4 Entry Type",$C$4,"2 Item No.","@@"&amp;$F923)</t>
  </si>
  <si>
    <t>=-NL("Sum","32 Item Ledger Entry","12 Quantity","5 Source no.",$C924,"3 Posting Date",U$9,"4 Entry Type",$C$4,"2 Item No.","@@"&amp;$F924)</t>
  </si>
  <si>
    <t>=-NL("Sum","32 Item Ledger Entry","12 Quantity","5 Source no.",$C925,"3 Posting Date",U$9,"4 Entry Type",$C$4,"2 Item No.","@@"&amp;$F925)</t>
  </si>
  <si>
    <t>=-NL("Sum","32 Item Ledger Entry","12 Quantity","5 Source no.",$C926,"3 Posting Date",U$9,"4 Entry Type",$C$4,"2 Item No.","@@"&amp;$F926)</t>
  </si>
  <si>
    <t>=-NL("Sum","32 Item Ledger Entry","12 Quantity","5 Source no.",$C927,"3 Posting Date",U$9,"4 Entry Type",$C$4,"2 Item No.","@@"&amp;$F927)</t>
  </si>
  <si>
    <t>=-NL("Sum","32 Item Ledger Entry","12 Quantity","5 Source no.",$C928,"3 Posting Date",U$9,"4 Entry Type",$C$4,"2 Item No.","@@"&amp;$F928)</t>
  </si>
  <si>
    <t>=-NL("Sum","32 Item Ledger Entry","12 Quantity","5 Source no.",$C929,"3 Posting Date",U$9,"4 Entry Type",$C$4,"2 Item No.","@@"&amp;$F929)</t>
  </si>
  <si>
    <t>=-NL("Sum","32 Item Ledger Entry","12 Quantity","5 Source no.",$C930,"3 Posting Date",U$9,"4 Entry Type",$C$4,"2 Item No.","@@"&amp;$F930)</t>
  </si>
  <si>
    <t>=-NL("Sum","32 Item Ledger Entry","12 Quantity","5 Source no.",$C931,"3 Posting Date",U$9,"4 Entry Type",$C$4,"2 Item No.","@@"&amp;$F931)</t>
  </si>
  <si>
    <t>=-NL("Sum","32 Item Ledger Entry","12 Quantity","5 Source no.",$C932,"3 Posting Date",U$9,"4 Entry Type",$C$4,"2 Item No.","@@"&amp;$F932)</t>
  </si>
  <si>
    <t>=-NL("Sum","32 Item Ledger Entry","12 Quantity","5 Source no.",$C933,"3 Posting Date",U$9,"4 Entry Type",$C$4,"2 Item No.","@@"&amp;$F933)</t>
  </si>
  <si>
    <t>=-NL("Sum","32 Item Ledger Entry","12 Quantity","5 Source no.",$C934,"3 Posting Date",U$9,"4 Entry Type",$C$4,"2 Item No.","@@"&amp;$F934)</t>
  </si>
  <si>
    <t>=-NL("Sum","32 Item Ledger Entry","12 Quantity","5 Source no.",$C935,"3 Posting Date",U$9,"4 Entry Type",$C$4,"2 Item No.","@@"&amp;$F935)</t>
  </si>
  <si>
    <t>=-NL("Sum","32 Item Ledger Entry","12 Quantity","5 Source no.",$C936,"3 Posting Date",U$9,"4 Entry Type",$C$4,"2 Item No.","@@"&amp;$F936)</t>
  </si>
  <si>
    <t>=-NL("Sum","32 Item Ledger Entry","12 Quantity","5 Source no.",$C937,"3 Posting Date",U$9,"4 Entry Type",$C$4,"2 Item No.","@@"&amp;$F937)</t>
  </si>
  <si>
    <t>=-NL("Sum","32 Item Ledger Entry","12 Quantity","5 Source no.",$C907,"3 Posting Date",Z$9,"4 Entry Type",$C$4,"2 Item No.","@@"&amp;$F907)</t>
  </si>
  <si>
    <t>=-NL("Sum","32 Item Ledger Entry","12 Quantity","5 Source no.",$C908,"3 Posting Date",Z$9,"4 Entry Type",$C$4,"2 Item No.","@@"&amp;$F908)</t>
  </si>
  <si>
    <t>=-NL("Sum","32 Item Ledger Entry","12 Quantity","5 Source no.",$C909,"3 Posting Date",Z$9,"4 Entry Type",$C$4,"2 Item No.","@@"&amp;$F909)</t>
  </si>
  <si>
    <t>=-NL("Sum","32 Item Ledger Entry","12 Quantity","5 Source no.",$C910,"3 Posting Date",Z$9,"4 Entry Type",$C$4,"2 Item No.","@@"&amp;$F910)</t>
  </si>
  <si>
    <t>=-NL("Sum","32 Item Ledger Entry","12 Quantity","5 Source no.",$C911,"3 Posting Date",Z$9,"4 Entry Type",$C$4,"2 Item No.","@@"&amp;$F911)</t>
  </si>
  <si>
    <t>=-NL("Sum","32 Item Ledger Entry","12 Quantity","5 Source no.",$C912,"3 Posting Date",Z$9,"4 Entry Type",$C$4,"2 Item No.","@@"&amp;$F912)</t>
  </si>
  <si>
    <t>=-NL("Sum","32 Item Ledger Entry","12 Quantity","5 Source no.",$C913,"3 Posting Date",Z$9,"4 Entry Type",$C$4,"2 Item No.","@@"&amp;$F913)</t>
  </si>
  <si>
    <t>=-NL("Sum","32 Item Ledger Entry","12 Quantity","5 Source no.",$C914,"3 Posting Date",Z$9,"4 Entry Type",$C$4,"2 Item No.","@@"&amp;$F914)</t>
  </si>
  <si>
    <t>=-NL("Sum","32 Item Ledger Entry","12 Quantity","5 Source no.",$C915,"3 Posting Date",Z$9,"4 Entry Type",$C$4,"2 Item No.","@@"&amp;$F915)</t>
  </si>
  <si>
    <t>=-NL("Sum","32 Item Ledger Entry","12 Quantity","5 Source no.",$C916,"3 Posting Date",Z$9,"4 Entry Type",$C$4,"2 Item No.","@@"&amp;$F916)</t>
  </si>
  <si>
    <t>=-NL("Sum","32 Item Ledger Entry","12 Quantity","5 Source no.",$C917,"3 Posting Date",Z$9,"4 Entry Type",$C$4,"2 Item No.","@@"&amp;$F917)</t>
  </si>
  <si>
    <t>=-NL("Sum","32 Item Ledger Entry","12 Quantity","5 Source no.",$C918,"3 Posting Date",Z$9,"4 Entry Type",$C$4,"2 Item No.","@@"&amp;$F918)</t>
  </si>
  <si>
    <t>=-NL("Sum","32 Item Ledger Entry","12 Quantity","5 Source no.",$C919,"3 Posting Date",Z$9,"4 Entry Type",$C$4,"2 Item No.","@@"&amp;$F919)</t>
  </si>
  <si>
    <t>=-NL("Sum","32 Item Ledger Entry","12 Quantity","5 Source no.",$C920,"3 Posting Date",Z$9,"4 Entry Type",$C$4,"2 Item No.","@@"&amp;$F920)</t>
  </si>
  <si>
    <t>=-NL("Sum","32 Item Ledger Entry","12 Quantity","5 Source no.",$C921,"3 Posting Date",Z$9,"4 Entry Type",$C$4,"2 Item No.","@@"&amp;$F921)</t>
  </si>
  <si>
    <t>=-NL("Sum","32 Item Ledger Entry","12 Quantity","5 Source no.",$C922,"3 Posting Date",Z$9,"4 Entry Type",$C$4,"2 Item No.","@@"&amp;$F922)</t>
  </si>
  <si>
    <t>=-NL("Sum","32 Item Ledger Entry","12 Quantity","5 Source no.",$C923,"3 Posting Date",Z$9,"4 Entry Type",$C$4,"2 Item No.","@@"&amp;$F923)</t>
  </si>
  <si>
    <t>=-NL("Sum","32 Item Ledger Entry","12 Quantity","5 Source no.",$C924,"3 Posting Date",Z$9,"4 Entry Type",$C$4,"2 Item No.","@@"&amp;$F924)</t>
  </si>
  <si>
    <t>=-NL("Sum","32 Item Ledger Entry","12 Quantity","5 Source no.",$C925,"3 Posting Date",Z$9,"4 Entry Type",$C$4,"2 Item No.","@@"&amp;$F925)</t>
  </si>
  <si>
    <t>=-NL("Sum","32 Item Ledger Entry","12 Quantity","5 Source no.",$C926,"3 Posting Date",Z$9,"4 Entry Type",$C$4,"2 Item No.","@@"&amp;$F926)</t>
  </si>
  <si>
    <t>=-NL("Sum","32 Item Ledger Entry","12 Quantity","5 Source no.",$C927,"3 Posting Date",Z$9,"4 Entry Type",$C$4,"2 Item No.","@@"&amp;$F927)</t>
  </si>
  <si>
    <t>=-NL("Sum","32 Item Ledger Entry","12 Quantity","5 Source no.",$C928,"3 Posting Date",Z$9,"4 Entry Type",$C$4,"2 Item No.","@@"&amp;$F928)</t>
  </si>
  <si>
    <t>=-NL("Sum","32 Item Ledger Entry","12 Quantity","5 Source no.",$C929,"3 Posting Date",Z$9,"4 Entry Type",$C$4,"2 Item No.","@@"&amp;$F929)</t>
  </si>
  <si>
    <t>=-NL("Sum","32 Item Ledger Entry","12 Quantity","5 Source no.",$C930,"3 Posting Date",Z$9,"4 Entry Type",$C$4,"2 Item No.","@@"&amp;$F930)</t>
  </si>
  <si>
    <t>=-NL("Sum","32 Item Ledger Entry","12 Quantity","5 Source no.",$C931,"3 Posting Date",Z$9,"4 Entry Type",$C$4,"2 Item No.","@@"&amp;$F931)</t>
  </si>
  <si>
    <t>=-NL("Sum","32 Item Ledger Entry","12 Quantity","5 Source no.",$C932,"3 Posting Date",Z$9,"4 Entry Type",$C$4,"2 Item No.","@@"&amp;$F932)</t>
  </si>
  <si>
    <t>=-NL("Sum","32 Item Ledger Entry","12 Quantity","5 Source no.",$C933,"3 Posting Date",Z$9,"4 Entry Type",$C$4,"2 Item No.","@@"&amp;$F933)</t>
  </si>
  <si>
    <t>=-NL("Sum","32 Item Ledger Entry","12 Quantity","5 Source no.",$C934,"3 Posting Date",Z$9,"4 Entry Type",$C$4,"2 Item No.","@@"&amp;$F934)</t>
  </si>
  <si>
    <t>=-NL("Sum","32 Item Ledger Entry","12 Quantity","5 Source no.",$C935,"3 Posting Date",Z$9,"4 Entry Type",$C$4,"2 Item No.","@@"&amp;$F935)</t>
  </si>
  <si>
    <t>=-NL("Sum","32 Item Ledger Entry","12 Quantity","5 Source no.",$C936,"3 Posting Date",Z$9,"4 Entry Type",$C$4,"2 Item No.","@@"&amp;$F936)</t>
  </si>
  <si>
    <t>=-NL("Sum","32 Item Ledger Entry","12 Quantity","5 Source no.",$C937,"3 Posting Date",Z$9,"4 Entry Type",$C$4,"2 Item No.","@@"&amp;$F937)</t>
  </si>
  <si>
    <t>=NL(,"27 Item","3 Description","1 No.","@@"&amp;F875)</t>
  </si>
  <si>
    <t>=NL(,"27 Item","3 Description","1 No.","@@"&amp;F876)</t>
  </si>
  <si>
    <t>=NL(,"27 Item","3 Description","1 No.","@@"&amp;F877)</t>
  </si>
  <si>
    <t>=NL(,"27 Item","3 Description","1 No.","@@"&amp;F878)</t>
  </si>
  <si>
    <t>=NL(,"27 Item","3 Description","1 No.","@@"&amp;F879)</t>
  </si>
  <si>
    <t>=NL(,"27 Item","3 Description","1 No.","@@"&amp;F880)</t>
  </si>
  <si>
    <t>=NL(,"27 Item","3 Description","1 No.","@@"&amp;F881)</t>
  </si>
  <si>
    <t>=NL(,"27 Item","3 Description","1 No.","@@"&amp;F882)</t>
  </si>
  <si>
    <t>=NL(,"27 Item","3 Description","1 No.","@@"&amp;F883)</t>
  </si>
  <si>
    <t>=NL(,"27 Item","3 Description","1 No.","@@"&amp;F884)</t>
  </si>
  <si>
    <t>=NL(,"27 Item","3 Description","1 No.","@@"&amp;F885)</t>
  </si>
  <si>
    <t>=NL(,"27 Item","3 Description","1 No.","@@"&amp;F886)</t>
  </si>
  <si>
    <t>=NL(,"27 Item","3 Description","1 No.","@@"&amp;F887)</t>
  </si>
  <si>
    <t>=NL(,"27 Item","3 Description","1 No.","@@"&amp;F888)</t>
  </si>
  <si>
    <t>=NL(,"27 Item","3 Description","1 No.","@@"&amp;F889)</t>
  </si>
  <si>
    <t>=NL(,"27 Item","3 Description","1 No.","@@"&amp;F890)</t>
  </si>
  <si>
    <t>=NL(,"27 Item","3 Description","1 No.","@@"&amp;F891)</t>
  </si>
  <si>
    <t>=NL(,"27 Item","3 Description","1 No.","@@"&amp;F892)</t>
  </si>
  <si>
    <t>=NL(,"27 Item","3 Description","1 No.","@@"&amp;F893)</t>
  </si>
  <si>
    <t>=NL(,"27 Item","3 Description","1 No.","@@"&amp;F894)</t>
  </si>
  <si>
    <t>=NL(,"27 Item","3 Description","1 No.","@@"&amp;F895)</t>
  </si>
  <si>
    <t>=-NL("Sum","32 Item Ledger Entry","12 Quantity","5 Source no.",$C875,"3 Posting Date",J$9,"4 Entry Type",$C$4,"2 Item No.","@@"&amp;$F875)</t>
  </si>
  <si>
    <t>=-NL("Sum","32 Item Ledger Entry","12 Quantity","5 Source no.",$C876,"3 Posting Date",J$9,"4 Entry Type",$C$4,"2 Item No.","@@"&amp;$F876)</t>
  </si>
  <si>
    <t>=-NL("Sum","32 Item Ledger Entry","12 Quantity","5 Source no.",$C877,"3 Posting Date",J$9,"4 Entry Type",$C$4,"2 Item No.","@@"&amp;$F877)</t>
  </si>
  <si>
    <t>=-NL("Sum","32 Item Ledger Entry","12 Quantity","5 Source no.",$C878,"3 Posting Date",J$9,"4 Entry Type",$C$4,"2 Item No.","@@"&amp;$F878)</t>
  </si>
  <si>
    <t>=-NL("Sum","32 Item Ledger Entry","12 Quantity","5 Source no.",$C879,"3 Posting Date",J$9,"4 Entry Type",$C$4,"2 Item No.","@@"&amp;$F879)</t>
  </si>
  <si>
    <t>=-NL("Sum","32 Item Ledger Entry","12 Quantity","5 Source no.",$C880,"3 Posting Date",J$9,"4 Entry Type",$C$4,"2 Item No.","@@"&amp;$F880)</t>
  </si>
  <si>
    <t>=-NL("Sum","32 Item Ledger Entry","12 Quantity","5 Source no.",$C881,"3 Posting Date",J$9,"4 Entry Type",$C$4,"2 Item No.","@@"&amp;$F881)</t>
  </si>
  <si>
    <t>=-NL("Sum","32 Item Ledger Entry","12 Quantity","5 Source no.",$C882,"3 Posting Date",J$9,"4 Entry Type",$C$4,"2 Item No.","@@"&amp;$F882)</t>
  </si>
  <si>
    <t>=-NL("Sum","32 Item Ledger Entry","12 Quantity","5 Source no.",$C883,"3 Posting Date",J$9,"4 Entry Type",$C$4,"2 Item No.","@@"&amp;$F883)</t>
  </si>
  <si>
    <t>=-NL("Sum","32 Item Ledger Entry","12 Quantity","5 Source no.",$C884,"3 Posting Date",J$9,"4 Entry Type",$C$4,"2 Item No.","@@"&amp;$F884)</t>
  </si>
  <si>
    <t>=-NL("Sum","32 Item Ledger Entry","12 Quantity","5 Source no.",$C885,"3 Posting Date",J$9,"4 Entry Type",$C$4,"2 Item No.","@@"&amp;$F885)</t>
  </si>
  <si>
    <t>=-NL("Sum","32 Item Ledger Entry","12 Quantity","5 Source no.",$C886,"3 Posting Date",J$9,"4 Entry Type",$C$4,"2 Item No.","@@"&amp;$F886)</t>
  </si>
  <si>
    <t>=-NL("Sum","32 Item Ledger Entry","12 Quantity","5 Source no.",$C887,"3 Posting Date",J$9,"4 Entry Type",$C$4,"2 Item No.","@@"&amp;$F887)</t>
  </si>
  <si>
    <t>=-NL("Sum","32 Item Ledger Entry","12 Quantity","5 Source no.",$C888,"3 Posting Date",J$9,"4 Entry Type",$C$4,"2 Item No.","@@"&amp;$F888)</t>
  </si>
  <si>
    <t>=-NL("Sum","32 Item Ledger Entry","12 Quantity","5 Source no.",$C889,"3 Posting Date",J$9,"4 Entry Type",$C$4,"2 Item No.","@@"&amp;$F889)</t>
  </si>
  <si>
    <t>=-NL("Sum","32 Item Ledger Entry","12 Quantity","5 Source no.",$C890,"3 Posting Date",J$9,"4 Entry Type",$C$4,"2 Item No.","@@"&amp;$F890)</t>
  </si>
  <si>
    <t>=-NL("Sum","32 Item Ledger Entry","12 Quantity","5 Source no.",$C891,"3 Posting Date",J$9,"4 Entry Type",$C$4,"2 Item No.","@@"&amp;$F891)</t>
  </si>
  <si>
    <t>=-NL("Sum","32 Item Ledger Entry","12 Quantity","5 Source no.",$C892,"3 Posting Date",J$9,"4 Entry Type",$C$4,"2 Item No.","@@"&amp;$F892)</t>
  </si>
  <si>
    <t>=-NL("Sum","32 Item Ledger Entry","12 Quantity","5 Source no.",$C893,"3 Posting Date",J$9,"4 Entry Type",$C$4,"2 Item No.","@@"&amp;$F893)</t>
  </si>
  <si>
    <t>=-NL("Sum","32 Item Ledger Entry","12 Quantity","5 Source no.",$C894,"3 Posting Date",J$9,"4 Entry Type",$C$4,"2 Item No.","@@"&amp;$F894)</t>
  </si>
  <si>
    <t>=-NL("Sum","32 Item Ledger Entry","12 Quantity","5 Source no.",$C895,"3 Posting Date",J$9,"4 Entry Type",$C$4,"2 Item No.","@@"&amp;$F895)</t>
  </si>
  <si>
    <t>=-NL("Sum","32 Item Ledger Entry","12 Quantity","5 Source no.",$C875,"3 Posting Date",O$9,"4 Entry Type",$C$4,"2 Item No.","@@"&amp;$F875)</t>
  </si>
  <si>
    <t>=-NL("Sum","32 Item Ledger Entry","12 Quantity","5 Source no.",$C876,"3 Posting Date",O$9,"4 Entry Type",$C$4,"2 Item No.","@@"&amp;$F876)</t>
  </si>
  <si>
    <t>=-NL("Sum","32 Item Ledger Entry","12 Quantity","5 Source no.",$C877,"3 Posting Date",O$9,"4 Entry Type",$C$4,"2 Item No.","@@"&amp;$F877)</t>
  </si>
  <si>
    <t>=-NL("Sum","32 Item Ledger Entry","12 Quantity","5 Source no.",$C878,"3 Posting Date",O$9,"4 Entry Type",$C$4,"2 Item No.","@@"&amp;$F878)</t>
  </si>
  <si>
    <t>=-NL("Sum","32 Item Ledger Entry","12 Quantity","5 Source no.",$C879,"3 Posting Date",O$9,"4 Entry Type",$C$4,"2 Item No.","@@"&amp;$F879)</t>
  </si>
  <si>
    <t>=-NL("Sum","32 Item Ledger Entry","12 Quantity","5 Source no.",$C880,"3 Posting Date",O$9,"4 Entry Type",$C$4,"2 Item No.","@@"&amp;$F880)</t>
  </si>
  <si>
    <t>=-NL("Sum","32 Item Ledger Entry","12 Quantity","5 Source no.",$C881,"3 Posting Date",O$9,"4 Entry Type",$C$4,"2 Item No.","@@"&amp;$F881)</t>
  </si>
  <si>
    <t>=-NL("Sum","32 Item Ledger Entry","12 Quantity","5 Source no.",$C882,"3 Posting Date",O$9,"4 Entry Type",$C$4,"2 Item No.","@@"&amp;$F882)</t>
  </si>
  <si>
    <t>=-NL("Sum","32 Item Ledger Entry","12 Quantity","5 Source no.",$C883,"3 Posting Date",O$9,"4 Entry Type",$C$4,"2 Item No.","@@"&amp;$F883)</t>
  </si>
  <si>
    <t>=-NL("Sum","32 Item Ledger Entry","12 Quantity","5 Source no.",$C884,"3 Posting Date",O$9,"4 Entry Type",$C$4,"2 Item No.","@@"&amp;$F884)</t>
  </si>
  <si>
    <t>=-NL("Sum","32 Item Ledger Entry","12 Quantity","5 Source no.",$C885,"3 Posting Date",O$9,"4 Entry Type",$C$4,"2 Item No.","@@"&amp;$F885)</t>
  </si>
  <si>
    <t>=-NL("Sum","32 Item Ledger Entry","12 Quantity","5 Source no.",$C886,"3 Posting Date",O$9,"4 Entry Type",$C$4,"2 Item No.","@@"&amp;$F886)</t>
  </si>
  <si>
    <t>=-NL("Sum","32 Item Ledger Entry","12 Quantity","5 Source no.",$C887,"3 Posting Date",O$9,"4 Entry Type",$C$4,"2 Item No.","@@"&amp;$F887)</t>
  </si>
  <si>
    <t>=-NL("Sum","32 Item Ledger Entry","12 Quantity","5 Source no.",$C888,"3 Posting Date",O$9,"4 Entry Type",$C$4,"2 Item No.","@@"&amp;$F888)</t>
  </si>
  <si>
    <t>=-NL("Sum","32 Item Ledger Entry","12 Quantity","5 Source no.",$C889,"3 Posting Date",O$9,"4 Entry Type",$C$4,"2 Item No.","@@"&amp;$F889)</t>
  </si>
  <si>
    <t>=-NL("Sum","32 Item Ledger Entry","12 Quantity","5 Source no.",$C890,"3 Posting Date",O$9,"4 Entry Type",$C$4,"2 Item No.","@@"&amp;$F890)</t>
  </si>
  <si>
    <t>=-NL("Sum","32 Item Ledger Entry","12 Quantity","5 Source no.",$C891,"3 Posting Date",O$9,"4 Entry Type",$C$4,"2 Item No.","@@"&amp;$F891)</t>
  </si>
  <si>
    <t>=-NL("Sum","32 Item Ledger Entry","12 Quantity","5 Source no.",$C892,"3 Posting Date",O$9,"4 Entry Type",$C$4,"2 Item No.","@@"&amp;$F892)</t>
  </si>
  <si>
    <t>=-NL("Sum","32 Item Ledger Entry","12 Quantity","5 Source no.",$C893,"3 Posting Date",O$9,"4 Entry Type",$C$4,"2 Item No.","@@"&amp;$F893)</t>
  </si>
  <si>
    <t>=-NL("Sum","32 Item Ledger Entry","12 Quantity","5 Source no.",$C894,"3 Posting Date",O$9,"4 Entry Type",$C$4,"2 Item No.","@@"&amp;$F894)</t>
  </si>
  <si>
    <t>=-NL("Sum","32 Item Ledger Entry","12 Quantity","5 Source no.",$C895,"3 Posting Date",O$9,"4 Entry Type",$C$4,"2 Item No.","@@"&amp;$F895)</t>
  </si>
  <si>
    <t>=-NL("Sum","32 Item Ledger Entry","12 Quantity","5 Source no.",$C875,"3 Posting Date",U$9,"4 Entry Type",$C$4,"2 Item No.","@@"&amp;$F875)</t>
  </si>
  <si>
    <t>=-NL("Sum","32 Item Ledger Entry","12 Quantity","5 Source no.",$C876,"3 Posting Date",U$9,"4 Entry Type",$C$4,"2 Item No.","@@"&amp;$F876)</t>
  </si>
  <si>
    <t>=-NL("Sum","32 Item Ledger Entry","12 Quantity","5 Source no.",$C877,"3 Posting Date",U$9,"4 Entry Type",$C$4,"2 Item No.","@@"&amp;$F877)</t>
  </si>
  <si>
    <t>=-NL("Sum","32 Item Ledger Entry","12 Quantity","5 Source no.",$C878,"3 Posting Date",U$9,"4 Entry Type",$C$4,"2 Item No.","@@"&amp;$F878)</t>
  </si>
  <si>
    <t>=-NL("Sum","32 Item Ledger Entry","12 Quantity","5 Source no.",$C879,"3 Posting Date",U$9,"4 Entry Type",$C$4,"2 Item No.","@@"&amp;$F879)</t>
  </si>
  <si>
    <t>=-NL("Sum","32 Item Ledger Entry","12 Quantity","5 Source no.",$C880,"3 Posting Date",U$9,"4 Entry Type",$C$4,"2 Item No.","@@"&amp;$F880)</t>
  </si>
  <si>
    <t>=-NL("Sum","32 Item Ledger Entry","12 Quantity","5 Source no.",$C881,"3 Posting Date",U$9,"4 Entry Type",$C$4,"2 Item No.","@@"&amp;$F881)</t>
  </si>
  <si>
    <t>=-NL("Sum","32 Item Ledger Entry","12 Quantity","5 Source no.",$C882,"3 Posting Date",U$9,"4 Entry Type",$C$4,"2 Item No.","@@"&amp;$F882)</t>
  </si>
  <si>
    <t>=-NL("Sum","32 Item Ledger Entry","12 Quantity","5 Source no.",$C883,"3 Posting Date",U$9,"4 Entry Type",$C$4,"2 Item No.","@@"&amp;$F883)</t>
  </si>
  <si>
    <t>=-NL("Sum","32 Item Ledger Entry","12 Quantity","5 Source no.",$C884,"3 Posting Date",U$9,"4 Entry Type",$C$4,"2 Item No.","@@"&amp;$F884)</t>
  </si>
  <si>
    <t>=-NL("Sum","32 Item Ledger Entry","12 Quantity","5 Source no.",$C885,"3 Posting Date",U$9,"4 Entry Type",$C$4,"2 Item No.","@@"&amp;$F885)</t>
  </si>
  <si>
    <t>=-NL("Sum","32 Item Ledger Entry","12 Quantity","5 Source no.",$C886,"3 Posting Date",U$9,"4 Entry Type",$C$4,"2 Item No.","@@"&amp;$F886)</t>
  </si>
  <si>
    <t>=-NL("Sum","32 Item Ledger Entry","12 Quantity","5 Source no.",$C887,"3 Posting Date",U$9,"4 Entry Type",$C$4,"2 Item No.","@@"&amp;$F887)</t>
  </si>
  <si>
    <t>=-NL("Sum","32 Item Ledger Entry","12 Quantity","5 Source no.",$C888,"3 Posting Date",U$9,"4 Entry Type",$C$4,"2 Item No.","@@"&amp;$F888)</t>
  </si>
  <si>
    <t>=-NL("Sum","32 Item Ledger Entry","12 Quantity","5 Source no.",$C889,"3 Posting Date",U$9,"4 Entry Type",$C$4,"2 Item No.","@@"&amp;$F889)</t>
  </si>
  <si>
    <t>=-NL("Sum","32 Item Ledger Entry","12 Quantity","5 Source no.",$C890,"3 Posting Date",U$9,"4 Entry Type",$C$4,"2 Item No.","@@"&amp;$F890)</t>
  </si>
  <si>
    <t>=-NL("Sum","32 Item Ledger Entry","12 Quantity","5 Source no.",$C891,"3 Posting Date",U$9,"4 Entry Type",$C$4,"2 Item No.","@@"&amp;$F891)</t>
  </si>
  <si>
    <t>=-NL("Sum","32 Item Ledger Entry","12 Quantity","5 Source no.",$C892,"3 Posting Date",U$9,"4 Entry Type",$C$4,"2 Item No.","@@"&amp;$F892)</t>
  </si>
  <si>
    <t>=-NL("Sum","32 Item Ledger Entry","12 Quantity","5 Source no.",$C893,"3 Posting Date",U$9,"4 Entry Type",$C$4,"2 Item No.","@@"&amp;$F893)</t>
  </si>
  <si>
    <t>=-NL("Sum","32 Item Ledger Entry","12 Quantity","5 Source no.",$C894,"3 Posting Date",U$9,"4 Entry Type",$C$4,"2 Item No.","@@"&amp;$F894)</t>
  </si>
  <si>
    <t>=-NL("Sum","32 Item Ledger Entry","12 Quantity","5 Source no.",$C895,"3 Posting Date",U$9,"4 Entry Type",$C$4,"2 Item No.","@@"&amp;$F895)</t>
  </si>
  <si>
    <t>=-NL("Sum","32 Item Ledger Entry","12 Quantity","5 Source no.",$C875,"3 Posting Date",Z$9,"4 Entry Type",$C$4,"2 Item No.","@@"&amp;$F875)</t>
  </si>
  <si>
    <t>=-NL("Sum","32 Item Ledger Entry","12 Quantity","5 Source no.",$C876,"3 Posting Date",Z$9,"4 Entry Type",$C$4,"2 Item No.","@@"&amp;$F876)</t>
  </si>
  <si>
    <t>=-NL("Sum","32 Item Ledger Entry","12 Quantity","5 Source no.",$C877,"3 Posting Date",Z$9,"4 Entry Type",$C$4,"2 Item No.","@@"&amp;$F877)</t>
  </si>
  <si>
    <t>=-NL("Sum","32 Item Ledger Entry","12 Quantity","5 Source no.",$C878,"3 Posting Date",Z$9,"4 Entry Type",$C$4,"2 Item No.","@@"&amp;$F878)</t>
  </si>
  <si>
    <t>=-NL("Sum","32 Item Ledger Entry","12 Quantity","5 Source no.",$C879,"3 Posting Date",Z$9,"4 Entry Type",$C$4,"2 Item No.","@@"&amp;$F879)</t>
  </si>
  <si>
    <t>=-NL("Sum","32 Item Ledger Entry","12 Quantity","5 Source no.",$C880,"3 Posting Date",Z$9,"4 Entry Type",$C$4,"2 Item No.","@@"&amp;$F880)</t>
  </si>
  <si>
    <t>=-NL("Sum","32 Item Ledger Entry","12 Quantity","5 Source no.",$C881,"3 Posting Date",Z$9,"4 Entry Type",$C$4,"2 Item No.","@@"&amp;$F881)</t>
  </si>
  <si>
    <t>=-NL("Sum","32 Item Ledger Entry","12 Quantity","5 Source no.",$C882,"3 Posting Date",Z$9,"4 Entry Type",$C$4,"2 Item No.","@@"&amp;$F882)</t>
  </si>
  <si>
    <t>=-NL("Sum","32 Item Ledger Entry","12 Quantity","5 Source no.",$C883,"3 Posting Date",Z$9,"4 Entry Type",$C$4,"2 Item No.","@@"&amp;$F883)</t>
  </si>
  <si>
    <t>=-NL("Sum","32 Item Ledger Entry","12 Quantity","5 Source no.",$C884,"3 Posting Date",Z$9,"4 Entry Type",$C$4,"2 Item No.","@@"&amp;$F884)</t>
  </si>
  <si>
    <t>=-NL("Sum","32 Item Ledger Entry","12 Quantity","5 Source no.",$C885,"3 Posting Date",Z$9,"4 Entry Type",$C$4,"2 Item No.","@@"&amp;$F885)</t>
  </si>
  <si>
    <t>=-NL("Sum","32 Item Ledger Entry","12 Quantity","5 Source no.",$C886,"3 Posting Date",Z$9,"4 Entry Type",$C$4,"2 Item No.","@@"&amp;$F886)</t>
  </si>
  <si>
    <t>=-NL("Sum","32 Item Ledger Entry","12 Quantity","5 Source no.",$C887,"3 Posting Date",Z$9,"4 Entry Type",$C$4,"2 Item No.","@@"&amp;$F887)</t>
  </si>
  <si>
    <t>=-NL("Sum","32 Item Ledger Entry","12 Quantity","5 Source no.",$C888,"3 Posting Date",Z$9,"4 Entry Type",$C$4,"2 Item No.","@@"&amp;$F888)</t>
  </si>
  <si>
    <t>=-NL("Sum","32 Item Ledger Entry","12 Quantity","5 Source no.",$C889,"3 Posting Date",Z$9,"4 Entry Type",$C$4,"2 Item No.","@@"&amp;$F889)</t>
  </si>
  <si>
    <t>=-NL("Sum","32 Item Ledger Entry","12 Quantity","5 Source no.",$C890,"3 Posting Date",Z$9,"4 Entry Type",$C$4,"2 Item No.","@@"&amp;$F890)</t>
  </si>
  <si>
    <t>=-NL("Sum","32 Item Ledger Entry","12 Quantity","5 Source no.",$C891,"3 Posting Date",Z$9,"4 Entry Type",$C$4,"2 Item No.","@@"&amp;$F891)</t>
  </si>
  <si>
    <t>=-NL("Sum","32 Item Ledger Entry","12 Quantity","5 Source no.",$C892,"3 Posting Date",Z$9,"4 Entry Type",$C$4,"2 Item No.","@@"&amp;$F892)</t>
  </si>
  <si>
    <t>=-NL("Sum","32 Item Ledger Entry","12 Quantity","5 Source no.",$C893,"3 Posting Date",Z$9,"4 Entry Type",$C$4,"2 Item No.","@@"&amp;$F893)</t>
  </si>
  <si>
    <t>=-NL("Sum","32 Item Ledger Entry","12 Quantity","5 Source no.",$C894,"3 Posting Date",Z$9,"4 Entry Type",$C$4,"2 Item No.","@@"&amp;$F894)</t>
  </si>
  <si>
    <t>=-NL("Sum","32 Item Ledger Entry","12 Quantity","5 Source no.",$C895,"3 Posting Date",Z$9,"4 Entry Type",$C$4,"2 Item No.","@@"&amp;$F895)</t>
  </si>
  <si>
    <t>=NL(,"27 Item","3 Description","1 No.","@@"&amp;F829)</t>
  </si>
  <si>
    <t>=NL(,"27 Item","3 Description","1 No.","@@"&amp;F830)</t>
  </si>
  <si>
    <t>=NL(,"27 Item","3 Description","1 No.","@@"&amp;F831)</t>
  </si>
  <si>
    <t>=NL(,"27 Item","3 Description","1 No.","@@"&amp;F832)</t>
  </si>
  <si>
    <t>=NL(,"27 Item","3 Description","1 No.","@@"&amp;F833)</t>
  </si>
  <si>
    <t>=NL(,"27 Item","3 Description","1 No.","@@"&amp;F834)</t>
  </si>
  <si>
    <t>=NL(,"27 Item","3 Description","1 No.","@@"&amp;F835)</t>
  </si>
  <si>
    <t>=NL(,"27 Item","3 Description","1 No.","@@"&amp;F836)</t>
  </si>
  <si>
    <t>=NL(,"27 Item","3 Description","1 No.","@@"&amp;F837)</t>
  </si>
  <si>
    <t>=NL(,"27 Item","3 Description","1 No.","@@"&amp;F838)</t>
  </si>
  <si>
    <t>=NL(,"27 Item","3 Description","1 No.","@@"&amp;F839)</t>
  </si>
  <si>
    <t>=NL(,"27 Item","3 Description","1 No.","@@"&amp;F840)</t>
  </si>
  <si>
    <t>=NL(,"27 Item","3 Description","1 No.","@@"&amp;F841)</t>
  </si>
  <si>
    <t>=NL(,"27 Item","3 Description","1 No.","@@"&amp;F842)</t>
  </si>
  <si>
    <t>=NL(,"27 Item","3 Description","1 No.","@@"&amp;F843)</t>
  </si>
  <si>
    <t>=NL(,"27 Item","3 Description","1 No.","@@"&amp;F844)</t>
  </si>
  <si>
    <t>=NL(,"27 Item","3 Description","1 No.","@@"&amp;F845)</t>
  </si>
  <si>
    <t>=NL(,"27 Item","3 Description","1 No.","@@"&amp;F846)</t>
  </si>
  <si>
    <t>=NL(,"27 Item","3 Description","1 No.","@@"&amp;F847)</t>
  </si>
  <si>
    <t>=NL(,"27 Item","3 Description","1 No.","@@"&amp;F848)</t>
  </si>
  <si>
    <t>=NL(,"27 Item","3 Description","1 No.","@@"&amp;F849)</t>
  </si>
  <si>
    <t>=NL(,"27 Item","3 Description","1 No.","@@"&amp;F850)</t>
  </si>
  <si>
    <t>=NL(,"27 Item","3 Description","1 No.","@@"&amp;F851)</t>
  </si>
  <si>
    <t>=NL(,"27 Item","3 Description","1 No.","@@"&amp;F852)</t>
  </si>
  <si>
    <t>=NL(,"27 Item","3 Description","1 No.","@@"&amp;F853)</t>
  </si>
  <si>
    <t>=NL(,"27 Item","3 Description","1 No.","@@"&amp;F854)</t>
  </si>
  <si>
    <t>=NL(,"27 Item","3 Description","1 No.","@@"&amp;F855)</t>
  </si>
  <si>
    <t>=NL(,"27 Item","3 Description","1 No.","@@"&amp;F856)</t>
  </si>
  <si>
    <t>=NL(,"27 Item","3 Description","1 No.","@@"&amp;F857)</t>
  </si>
  <si>
    <t>=NL(,"27 Item","3 Description","1 No.","@@"&amp;F858)</t>
  </si>
  <si>
    <t>=NL(,"27 Item","3 Description","1 No.","@@"&amp;F859)</t>
  </si>
  <si>
    <t>=NL(,"27 Item","3 Description","1 No.","@@"&amp;F860)</t>
  </si>
  <si>
    <t>=NL(,"27 Item","3 Description","1 No.","@@"&amp;F861)</t>
  </si>
  <si>
    <t>=NL(,"27 Item","3 Description","1 No.","@@"&amp;F862)</t>
  </si>
  <si>
    <t>=NL(,"27 Item","3 Description","1 No.","@@"&amp;F863)</t>
  </si>
  <si>
    <t>=-NL("Sum","32 Item Ledger Entry","12 Quantity","5 Source no.",$C829,"3 Posting Date",J$9,"4 Entry Type",$C$4,"2 Item No.","@@"&amp;$F829)</t>
  </si>
  <si>
    <t>=-NL("Sum","32 Item Ledger Entry","12 Quantity","5 Source no.",$C830,"3 Posting Date",J$9,"4 Entry Type",$C$4,"2 Item No.","@@"&amp;$F830)</t>
  </si>
  <si>
    <t>=-NL("Sum","32 Item Ledger Entry","12 Quantity","5 Source no.",$C831,"3 Posting Date",J$9,"4 Entry Type",$C$4,"2 Item No.","@@"&amp;$F831)</t>
  </si>
  <si>
    <t>=-NL("Sum","32 Item Ledger Entry","12 Quantity","5 Source no.",$C832,"3 Posting Date",J$9,"4 Entry Type",$C$4,"2 Item No.","@@"&amp;$F832)</t>
  </si>
  <si>
    <t>=-NL("Sum","32 Item Ledger Entry","12 Quantity","5 Source no.",$C833,"3 Posting Date",J$9,"4 Entry Type",$C$4,"2 Item No.","@@"&amp;$F833)</t>
  </si>
  <si>
    <t>=-NL("Sum","32 Item Ledger Entry","12 Quantity","5 Source no.",$C834,"3 Posting Date",J$9,"4 Entry Type",$C$4,"2 Item No.","@@"&amp;$F834)</t>
  </si>
  <si>
    <t>=-NL("Sum","32 Item Ledger Entry","12 Quantity","5 Source no.",$C835,"3 Posting Date",J$9,"4 Entry Type",$C$4,"2 Item No.","@@"&amp;$F835)</t>
  </si>
  <si>
    <t>=-NL("Sum","32 Item Ledger Entry","12 Quantity","5 Source no.",$C836,"3 Posting Date",J$9,"4 Entry Type",$C$4,"2 Item No.","@@"&amp;$F836)</t>
  </si>
  <si>
    <t>=-NL("Sum","32 Item Ledger Entry","12 Quantity","5 Source no.",$C837,"3 Posting Date",J$9,"4 Entry Type",$C$4,"2 Item No.","@@"&amp;$F837)</t>
  </si>
  <si>
    <t>=-NL("Sum","32 Item Ledger Entry","12 Quantity","5 Source no.",$C838,"3 Posting Date",J$9,"4 Entry Type",$C$4,"2 Item No.","@@"&amp;$F838)</t>
  </si>
  <si>
    <t>=-NL("Sum","32 Item Ledger Entry","12 Quantity","5 Source no.",$C839,"3 Posting Date",J$9,"4 Entry Type",$C$4,"2 Item No.","@@"&amp;$F839)</t>
  </si>
  <si>
    <t>=-NL("Sum","32 Item Ledger Entry","12 Quantity","5 Source no.",$C840,"3 Posting Date",J$9,"4 Entry Type",$C$4,"2 Item No.","@@"&amp;$F840)</t>
  </si>
  <si>
    <t>=-NL("Sum","32 Item Ledger Entry","12 Quantity","5 Source no.",$C841,"3 Posting Date",J$9,"4 Entry Type",$C$4,"2 Item No.","@@"&amp;$F841)</t>
  </si>
  <si>
    <t>=-NL("Sum","32 Item Ledger Entry","12 Quantity","5 Source no.",$C842,"3 Posting Date",J$9,"4 Entry Type",$C$4,"2 Item No.","@@"&amp;$F842)</t>
  </si>
  <si>
    <t>=-NL("Sum","32 Item Ledger Entry","12 Quantity","5 Source no.",$C843,"3 Posting Date",J$9,"4 Entry Type",$C$4,"2 Item No.","@@"&amp;$F843)</t>
  </si>
  <si>
    <t>=-NL("Sum","32 Item Ledger Entry","12 Quantity","5 Source no.",$C844,"3 Posting Date",J$9,"4 Entry Type",$C$4,"2 Item No.","@@"&amp;$F844)</t>
  </si>
  <si>
    <t>=-NL("Sum","32 Item Ledger Entry","12 Quantity","5 Source no.",$C845,"3 Posting Date",J$9,"4 Entry Type",$C$4,"2 Item No.","@@"&amp;$F845)</t>
  </si>
  <si>
    <t>=-NL("Sum","32 Item Ledger Entry","12 Quantity","5 Source no.",$C846,"3 Posting Date",J$9,"4 Entry Type",$C$4,"2 Item No.","@@"&amp;$F846)</t>
  </si>
  <si>
    <t>=-NL("Sum","32 Item Ledger Entry","12 Quantity","5 Source no.",$C847,"3 Posting Date",J$9,"4 Entry Type",$C$4,"2 Item No.","@@"&amp;$F847)</t>
  </si>
  <si>
    <t>=-NL("Sum","32 Item Ledger Entry","12 Quantity","5 Source no.",$C848,"3 Posting Date",J$9,"4 Entry Type",$C$4,"2 Item No.","@@"&amp;$F848)</t>
  </si>
  <si>
    <t>=-NL("Sum","32 Item Ledger Entry","12 Quantity","5 Source no.",$C849,"3 Posting Date",J$9,"4 Entry Type",$C$4,"2 Item No.","@@"&amp;$F849)</t>
  </si>
  <si>
    <t>=-NL("Sum","32 Item Ledger Entry","12 Quantity","5 Source no.",$C850,"3 Posting Date",J$9,"4 Entry Type",$C$4,"2 Item No.","@@"&amp;$F850)</t>
  </si>
  <si>
    <t>=-NL("Sum","32 Item Ledger Entry","12 Quantity","5 Source no.",$C851,"3 Posting Date",J$9,"4 Entry Type",$C$4,"2 Item No.","@@"&amp;$F851)</t>
  </si>
  <si>
    <t>=-NL("Sum","32 Item Ledger Entry","12 Quantity","5 Source no.",$C852,"3 Posting Date",J$9,"4 Entry Type",$C$4,"2 Item No.","@@"&amp;$F852)</t>
  </si>
  <si>
    <t>=-NL("Sum","32 Item Ledger Entry","12 Quantity","5 Source no.",$C853,"3 Posting Date",J$9,"4 Entry Type",$C$4,"2 Item No.","@@"&amp;$F853)</t>
  </si>
  <si>
    <t>=-NL("Sum","32 Item Ledger Entry","12 Quantity","5 Source no.",$C854,"3 Posting Date",J$9,"4 Entry Type",$C$4,"2 Item No.","@@"&amp;$F854)</t>
  </si>
  <si>
    <t>=-NL("Sum","32 Item Ledger Entry","12 Quantity","5 Source no.",$C855,"3 Posting Date",J$9,"4 Entry Type",$C$4,"2 Item No.","@@"&amp;$F855)</t>
  </si>
  <si>
    <t>=-NL("Sum","32 Item Ledger Entry","12 Quantity","5 Source no.",$C856,"3 Posting Date",J$9,"4 Entry Type",$C$4,"2 Item No.","@@"&amp;$F856)</t>
  </si>
  <si>
    <t>=-NL("Sum","32 Item Ledger Entry","12 Quantity","5 Source no.",$C857,"3 Posting Date",J$9,"4 Entry Type",$C$4,"2 Item No.","@@"&amp;$F857)</t>
  </si>
  <si>
    <t>=-NL("Sum","32 Item Ledger Entry","12 Quantity","5 Source no.",$C858,"3 Posting Date",J$9,"4 Entry Type",$C$4,"2 Item No.","@@"&amp;$F858)</t>
  </si>
  <si>
    <t>=-NL("Sum","32 Item Ledger Entry","12 Quantity","5 Source no.",$C859,"3 Posting Date",J$9,"4 Entry Type",$C$4,"2 Item No.","@@"&amp;$F859)</t>
  </si>
  <si>
    <t>=-NL("Sum","32 Item Ledger Entry","12 Quantity","5 Source no.",$C860,"3 Posting Date",J$9,"4 Entry Type",$C$4,"2 Item No.","@@"&amp;$F860)</t>
  </si>
  <si>
    <t>=-NL("Sum","32 Item Ledger Entry","12 Quantity","5 Source no.",$C861,"3 Posting Date",J$9,"4 Entry Type",$C$4,"2 Item No.","@@"&amp;$F861)</t>
  </si>
  <si>
    <t>=-NL("Sum","32 Item Ledger Entry","12 Quantity","5 Source no.",$C862,"3 Posting Date",J$9,"4 Entry Type",$C$4,"2 Item No.","@@"&amp;$F862)</t>
  </si>
  <si>
    <t>=-NL("Sum","32 Item Ledger Entry","12 Quantity","5 Source no.",$C863,"3 Posting Date",J$9,"4 Entry Type",$C$4,"2 Item No.","@@"&amp;$F863)</t>
  </si>
  <si>
    <t>=-NL("Sum","32 Item Ledger Entry","12 Quantity","5 Source no.",$C829,"3 Posting Date",O$9,"4 Entry Type",$C$4,"2 Item No.","@@"&amp;$F829)</t>
  </si>
  <si>
    <t>=-NL("Sum","32 Item Ledger Entry","12 Quantity","5 Source no.",$C830,"3 Posting Date",O$9,"4 Entry Type",$C$4,"2 Item No.","@@"&amp;$F830)</t>
  </si>
  <si>
    <t>=-NL("Sum","32 Item Ledger Entry","12 Quantity","5 Source no.",$C831,"3 Posting Date",O$9,"4 Entry Type",$C$4,"2 Item No.","@@"&amp;$F831)</t>
  </si>
  <si>
    <t>=-NL("Sum","32 Item Ledger Entry","12 Quantity","5 Source no.",$C832,"3 Posting Date",O$9,"4 Entry Type",$C$4,"2 Item No.","@@"&amp;$F832)</t>
  </si>
  <si>
    <t>=-NL("Sum","32 Item Ledger Entry","12 Quantity","5 Source no.",$C833,"3 Posting Date",O$9,"4 Entry Type",$C$4,"2 Item No.","@@"&amp;$F833)</t>
  </si>
  <si>
    <t>=-NL("Sum","32 Item Ledger Entry","12 Quantity","5 Source no.",$C834,"3 Posting Date",O$9,"4 Entry Type",$C$4,"2 Item No.","@@"&amp;$F834)</t>
  </si>
  <si>
    <t>=-NL("Sum","32 Item Ledger Entry","12 Quantity","5 Source no.",$C835,"3 Posting Date",O$9,"4 Entry Type",$C$4,"2 Item No.","@@"&amp;$F835)</t>
  </si>
  <si>
    <t>=-NL("Sum","32 Item Ledger Entry","12 Quantity","5 Source no.",$C836,"3 Posting Date",O$9,"4 Entry Type",$C$4,"2 Item No.","@@"&amp;$F836)</t>
  </si>
  <si>
    <t>=-NL("Sum","32 Item Ledger Entry","12 Quantity","5 Source no.",$C837,"3 Posting Date",O$9,"4 Entry Type",$C$4,"2 Item No.","@@"&amp;$F837)</t>
  </si>
  <si>
    <t>=-NL("Sum","32 Item Ledger Entry","12 Quantity","5 Source no.",$C838,"3 Posting Date",O$9,"4 Entry Type",$C$4,"2 Item No.","@@"&amp;$F838)</t>
  </si>
  <si>
    <t>=-NL("Sum","32 Item Ledger Entry","12 Quantity","5 Source no.",$C839,"3 Posting Date",O$9,"4 Entry Type",$C$4,"2 Item No.","@@"&amp;$F839)</t>
  </si>
  <si>
    <t>=-NL("Sum","32 Item Ledger Entry","12 Quantity","5 Source no.",$C840,"3 Posting Date",O$9,"4 Entry Type",$C$4,"2 Item No.","@@"&amp;$F840)</t>
  </si>
  <si>
    <t>=-NL("Sum","32 Item Ledger Entry","12 Quantity","5 Source no.",$C841,"3 Posting Date",O$9,"4 Entry Type",$C$4,"2 Item No.","@@"&amp;$F841)</t>
  </si>
  <si>
    <t>=-NL("Sum","32 Item Ledger Entry","12 Quantity","5 Source no.",$C842,"3 Posting Date",O$9,"4 Entry Type",$C$4,"2 Item No.","@@"&amp;$F842)</t>
  </si>
  <si>
    <t>=-NL("Sum","32 Item Ledger Entry","12 Quantity","5 Source no.",$C843,"3 Posting Date",O$9,"4 Entry Type",$C$4,"2 Item No.","@@"&amp;$F843)</t>
  </si>
  <si>
    <t>=-NL("Sum","32 Item Ledger Entry","12 Quantity","5 Source no.",$C844,"3 Posting Date",O$9,"4 Entry Type",$C$4,"2 Item No.","@@"&amp;$F844)</t>
  </si>
  <si>
    <t>=-NL("Sum","32 Item Ledger Entry","12 Quantity","5 Source no.",$C845,"3 Posting Date",O$9,"4 Entry Type",$C$4,"2 Item No.","@@"&amp;$F845)</t>
  </si>
  <si>
    <t>=-NL("Sum","32 Item Ledger Entry","12 Quantity","5 Source no.",$C846,"3 Posting Date",O$9,"4 Entry Type",$C$4,"2 Item No.","@@"&amp;$F846)</t>
  </si>
  <si>
    <t>=-NL("Sum","32 Item Ledger Entry","12 Quantity","5 Source no.",$C847,"3 Posting Date",O$9,"4 Entry Type",$C$4,"2 Item No.","@@"&amp;$F847)</t>
  </si>
  <si>
    <t>=-NL("Sum","32 Item Ledger Entry","12 Quantity","5 Source no.",$C848,"3 Posting Date",O$9,"4 Entry Type",$C$4,"2 Item No.","@@"&amp;$F848)</t>
  </si>
  <si>
    <t>=-NL("Sum","32 Item Ledger Entry","12 Quantity","5 Source no.",$C849,"3 Posting Date",O$9,"4 Entry Type",$C$4,"2 Item No.","@@"&amp;$F849)</t>
  </si>
  <si>
    <t>=-NL("Sum","32 Item Ledger Entry","12 Quantity","5 Source no.",$C850,"3 Posting Date",O$9,"4 Entry Type",$C$4,"2 Item No.","@@"&amp;$F850)</t>
  </si>
  <si>
    <t>=-NL("Sum","32 Item Ledger Entry","12 Quantity","5 Source no.",$C851,"3 Posting Date",O$9,"4 Entry Type",$C$4,"2 Item No.","@@"&amp;$F851)</t>
  </si>
  <si>
    <t>=-NL("Sum","32 Item Ledger Entry","12 Quantity","5 Source no.",$C852,"3 Posting Date",O$9,"4 Entry Type",$C$4,"2 Item No.","@@"&amp;$F852)</t>
  </si>
  <si>
    <t>=-NL("Sum","32 Item Ledger Entry","12 Quantity","5 Source no.",$C853,"3 Posting Date",O$9,"4 Entry Type",$C$4,"2 Item No.","@@"&amp;$F853)</t>
  </si>
  <si>
    <t>=-NL("Sum","32 Item Ledger Entry","12 Quantity","5 Source no.",$C854,"3 Posting Date",O$9,"4 Entry Type",$C$4,"2 Item No.","@@"&amp;$F854)</t>
  </si>
  <si>
    <t>=-NL("Sum","32 Item Ledger Entry","12 Quantity","5 Source no.",$C855,"3 Posting Date",O$9,"4 Entry Type",$C$4,"2 Item No.","@@"&amp;$F855)</t>
  </si>
  <si>
    <t>=-NL("Sum","32 Item Ledger Entry","12 Quantity","5 Source no.",$C856,"3 Posting Date",O$9,"4 Entry Type",$C$4,"2 Item No.","@@"&amp;$F856)</t>
  </si>
  <si>
    <t>=-NL("Sum","32 Item Ledger Entry","12 Quantity","5 Source no.",$C857,"3 Posting Date",O$9,"4 Entry Type",$C$4,"2 Item No.","@@"&amp;$F857)</t>
  </si>
  <si>
    <t>=-NL("Sum","32 Item Ledger Entry","12 Quantity","5 Source no.",$C858,"3 Posting Date",O$9,"4 Entry Type",$C$4,"2 Item No.","@@"&amp;$F858)</t>
  </si>
  <si>
    <t>=-NL("Sum","32 Item Ledger Entry","12 Quantity","5 Source no.",$C859,"3 Posting Date",O$9,"4 Entry Type",$C$4,"2 Item No.","@@"&amp;$F859)</t>
  </si>
  <si>
    <t>=-NL("Sum","32 Item Ledger Entry","12 Quantity","5 Source no.",$C860,"3 Posting Date",O$9,"4 Entry Type",$C$4,"2 Item No.","@@"&amp;$F860)</t>
  </si>
  <si>
    <t>=-NL("Sum","32 Item Ledger Entry","12 Quantity","5 Source no.",$C861,"3 Posting Date",O$9,"4 Entry Type",$C$4,"2 Item No.","@@"&amp;$F861)</t>
  </si>
  <si>
    <t>=-NL("Sum","32 Item Ledger Entry","12 Quantity","5 Source no.",$C862,"3 Posting Date",O$9,"4 Entry Type",$C$4,"2 Item No.","@@"&amp;$F862)</t>
  </si>
  <si>
    <t>=-NL("Sum","32 Item Ledger Entry","12 Quantity","5 Source no.",$C863,"3 Posting Date",O$9,"4 Entry Type",$C$4,"2 Item No.","@@"&amp;$F863)</t>
  </si>
  <si>
    <t>=-NL("Sum","32 Item Ledger Entry","12 Quantity","5 Source no.",$C829,"3 Posting Date",U$9,"4 Entry Type",$C$4,"2 Item No.","@@"&amp;$F829)</t>
  </si>
  <si>
    <t>=-NL("Sum","32 Item Ledger Entry","12 Quantity","5 Source no.",$C830,"3 Posting Date",U$9,"4 Entry Type",$C$4,"2 Item No.","@@"&amp;$F830)</t>
  </si>
  <si>
    <t>=-NL("Sum","32 Item Ledger Entry","12 Quantity","5 Source no.",$C831,"3 Posting Date",U$9,"4 Entry Type",$C$4,"2 Item No.","@@"&amp;$F831)</t>
  </si>
  <si>
    <t>=-NL("Sum","32 Item Ledger Entry","12 Quantity","5 Source no.",$C832,"3 Posting Date",U$9,"4 Entry Type",$C$4,"2 Item No.","@@"&amp;$F832)</t>
  </si>
  <si>
    <t>=-NL("Sum","32 Item Ledger Entry","12 Quantity","5 Source no.",$C833,"3 Posting Date",U$9,"4 Entry Type",$C$4,"2 Item No.","@@"&amp;$F833)</t>
  </si>
  <si>
    <t>=-NL("Sum","32 Item Ledger Entry","12 Quantity","5 Source no.",$C834,"3 Posting Date",U$9,"4 Entry Type",$C$4,"2 Item No.","@@"&amp;$F834)</t>
  </si>
  <si>
    <t>=-NL("Sum","32 Item Ledger Entry","12 Quantity","5 Source no.",$C835,"3 Posting Date",U$9,"4 Entry Type",$C$4,"2 Item No.","@@"&amp;$F835)</t>
  </si>
  <si>
    <t>=-NL("Sum","32 Item Ledger Entry","12 Quantity","5 Source no.",$C836,"3 Posting Date",U$9,"4 Entry Type",$C$4,"2 Item No.","@@"&amp;$F836)</t>
  </si>
  <si>
    <t>=-NL("Sum","32 Item Ledger Entry","12 Quantity","5 Source no.",$C837,"3 Posting Date",U$9,"4 Entry Type",$C$4,"2 Item No.","@@"&amp;$F837)</t>
  </si>
  <si>
    <t>=-NL("Sum","32 Item Ledger Entry","12 Quantity","5 Source no.",$C838,"3 Posting Date",U$9,"4 Entry Type",$C$4,"2 Item No.","@@"&amp;$F838)</t>
  </si>
  <si>
    <t>=-NL("Sum","32 Item Ledger Entry","12 Quantity","5 Source no.",$C839,"3 Posting Date",U$9,"4 Entry Type",$C$4,"2 Item No.","@@"&amp;$F839)</t>
  </si>
  <si>
    <t>=-NL("Sum","32 Item Ledger Entry","12 Quantity","5 Source no.",$C840,"3 Posting Date",U$9,"4 Entry Type",$C$4,"2 Item No.","@@"&amp;$F840)</t>
  </si>
  <si>
    <t>=-NL("Sum","32 Item Ledger Entry","12 Quantity","5 Source no.",$C841,"3 Posting Date",U$9,"4 Entry Type",$C$4,"2 Item No.","@@"&amp;$F841)</t>
  </si>
  <si>
    <t>=-NL("Sum","32 Item Ledger Entry","12 Quantity","5 Source no.",$C842,"3 Posting Date",U$9,"4 Entry Type",$C$4,"2 Item No.","@@"&amp;$F842)</t>
  </si>
  <si>
    <t>=-NL("Sum","32 Item Ledger Entry","12 Quantity","5 Source no.",$C843,"3 Posting Date",U$9,"4 Entry Type",$C$4,"2 Item No.","@@"&amp;$F843)</t>
  </si>
  <si>
    <t>=-NL("Sum","32 Item Ledger Entry","12 Quantity","5 Source no.",$C844,"3 Posting Date",U$9,"4 Entry Type",$C$4,"2 Item No.","@@"&amp;$F844)</t>
  </si>
  <si>
    <t>=-NL("Sum","32 Item Ledger Entry","12 Quantity","5 Source no.",$C845,"3 Posting Date",U$9,"4 Entry Type",$C$4,"2 Item No.","@@"&amp;$F845)</t>
  </si>
  <si>
    <t>=-NL("Sum","32 Item Ledger Entry","12 Quantity","5 Source no.",$C846,"3 Posting Date",U$9,"4 Entry Type",$C$4,"2 Item No.","@@"&amp;$F846)</t>
  </si>
  <si>
    <t>=-NL("Sum","32 Item Ledger Entry","12 Quantity","5 Source no.",$C847,"3 Posting Date",U$9,"4 Entry Type",$C$4,"2 Item No.","@@"&amp;$F847)</t>
  </si>
  <si>
    <t>=-NL("Sum","32 Item Ledger Entry","12 Quantity","5 Source no.",$C848,"3 Posting Date",U$9,"4 Entry Type",$C$4,"2 Item No.","@@"&amp;$F848)</t>
  </si>
  <si>
    <t>=-NL("Sum","32 Item Ledger Entry","12 Quantity","5 Source no.",$C849,"3 Posting Date",U$9,"4 Entry Type",$C$4,"2 Item No.","@@"&amp;$F849)</t>
  </si>
  <si>
    <t>=-NL("Sum","32 Item Ledger Entry","12 Quantity","5 Source no.",$C850,"3 Posting Date",U$9,"4 Entry Type",$C$4,"2 Item No.","@@"&amp;$F850)</t>
  </si>
  <si>
    <t>=-NL("Sum","32 Item Ledger Entry","12 Quantity","5 Source no.",$C851,"3 Posting Date",U$9,"4 Entry Type",$C$4,"2 Item No.","@@"&amp;$F851)</t>
  </si>
  <si>
    <t>=-NL("Sum","32 Item Ledger Entry","12 Quantity","5 Source no.",$C852,"3 Posting Date",U$9,"4 Entry Type",$C$4,"2 Item No.","@@"&amp;$F852)</t>
  </si>
  <si>
    <t>=-NL("Sum","32 Item Ledger Entry","12 Quantity","5 Source no.",$C853,"3 Posting Date",U$9,"4 Entry Type",$C$4,"2 Item No.","@@"&amp;$F853)</t>
  </si>
  <si>
    <t>=-NL("Sum","32 Item Ledger Entry","12 Quantity","5 Source no.",$C854,"3 Posting Date",U$9,"4 Entry Type",$C$4,"2 Item No.","@@"&amp;$F854)</t>
  </si>
  <si>
    <t>=-NL("Sum","32 Item Ledger Entry","12 Quantity","5 Source no.",$C855,"3 Posting Date",U$9,"4 Entry Type",$C$4,"2 Item No.","@@"&amp;$F855)</t>
  </si>
  <si>
    <t>=-NL("Sum","32 Item Ledger Entry","12 Quantity","5 Source no.",$C856,"3 Posting Date",U$9,"4 Entry Type",$C$4,"2 Item No.","@@"&amp;$F856)</t>
  </si>
  <si>
    <t>=-NL("Sum","32 Item Ledger Entry","12 Quantity","5 Source no.",$C857,"3 Posting Date",U$9,"4 Entry Type",$C$4,"2 Item No.","@@"&amp;$F857)</t>
  </si>
  <si>
    <t>=-NL("Sum","32 Item Ledger Entry","12 Quantity","5 Source no.",$C858,"3 Posting Date",U$9,"4 Entry Type",$C$4,"2 Item No.","@@"&amp;$F858)</t>
  </si>
  <si>
    <t>=-NL("Sum","32 Item Ledger Entry","12 Quantity","5 Source no.",$C859,"3 Posting Date",U$9,"4 Entry Type",$C$4,"2 Item No.","@@"&amp;$F859)</t>
  </si>
  <si>
    <t>=-NL("Sum","32 Item Ledger Entry","12 Quantity","5 Source no.",$C860,"3 Posting Date",U$9,"4 Entry Type",$C$4,"2 Item No.","@@"&amp;$F860)</t>
  </si>
  <si>
    <t>=-NL("Sum","32 Item Ledger Entry","12 Quantity","5 Source no.",$C861,"3 Posting Date",U$9,"4 Entry Type",$C$4,"2 Item No.","@@"&amp;$F861)</t>
  </si>
  <si>
    <t>=-NL("Sum","32 Item Ledger Entry","12 Quantity","5 Source no.",$C862,"3 Posting Date",U$9,"4 Entry Type",$C$4,"2 Item No.","@@"&amp;$F862)</t>
  </si>
  <si>
    <t>=-NL("Sum","32 Item Ledger Entry","12 Quantity","5 Source no.",$C863,"3 Posting Date",U$9,"4 Entry Type",$C$4,"2 Item No.","@@"&amp;$F863)</t>
  </si>
  <si>
    <t>=-NL("Sum","32 Item Ledger Entry","12 Quantity","5 Source no.",$C829,"3 Posting Date",Z$9,"4 Entry Type",$C$4,"2 Item No.","@@"&amp;$F829)</t>
  </si>
  <si>
    <t>=-NL("Sum","32 Item Ledger Entry","12 Quantity","5 Source no.",$C830,"3 Posting Date",Z$9,"4 Entry Type",$C$4,"2 Item No.","@@"&amp;$F830)</t>
  </si>
  <si>
    <t>=-NL("Sum","32 Item Ledger Entry","12 Quantity","5 Source no.",$C831,"3 Posting Date",Z$9,"4 Entry Type",$C$4,"2 Item No.","@@"&amp;$F831)</t>
  </si>
  <si>
    <t>=-NL("Sum","32 Item Ledger Entry","12 Quantity","5 Source no.",$C832,"3 Posting Date",Z$9,"4 Entry Type",$C$4,"2 Item No.","@@"&amp;$F832)</t>
  </si>
  <si>
    <t>=-NL("Sum","32 Item Ledger Entry","12 Quantity","5 Source no.",$C833,"3 Posting Date",Z$9,"4 Entry Type",$C$4,"2 Item No.","@@"&amp;$F833)</t>
  </si>
  <si>
    <t>=-NL("Sum","32 Item Ledger Entry","12 Quantity","5 Source no.",$C834,"3 Posting Date",Z$9,"4 Entry Type",$C$4,"2 Item No.","@@"&amp;$F834)</t>
  </si>
  <si>
    <t>=-NL("Sum","32 Item Ledger Entry","12 Quantity","5 Source no.",$C835,"3 Posting Date",Z$9,"4 Entry Type",$C$4,"2 Item No.","@@"&amp;$F835)</t>
  </si>
  <si>
    <t>=-NL("Sum","32 Item Ledger Entry","12 Quantity","5 Source no.",$C836,"3 Posting Date",Z$9,"4 Entry Type",$C$4,"2 Item No.","@@"&amp;$F836)</t>
  </si>
  <si>
    <t>=-NL("Sum","32 Item Ledger Entry","12 Quantity","5 Source no.",$C837,"3 Posting Date",Z$9,"4 Entry Type",$C$4,"2 Item No.","@@"&amp;$F837)</t>
  </si>
  <si>
    <t>=-NL("Sum","32 Item Ledger Entry","12 Quantity","5 Source no.",$C838,"3 Posting Date",Z$9,"4 Entry Type",$C$4,"2 Item No.","@@"&amp;$F838)</t>
  </si>
  <si>
    <t>=-NL("Sum","32 Item Ledger Entry","12 Quantity","5 Source no.",$C839,"3 Posting Date",Z$9,"4 Entry Type",$C$4,"2 Item No.","@@"&amp;$F839)</t>
  </si>
  <si>
    <t>=-NL("Sum","32 Item Ledger Entry","12 Quantity","5 Source no.",$C840,"3 Posting Date",Z$9,"4 Entry Type",$C$4,"2 Item No.","@@"&amp;$F840)</t>
  </si>
  <si>
    <t>=-NL("Sum","32 Item Ledger Entry","12 Quantity","5 Source no.",$C841,"3 Posting Date",Z$9,"4 Entry Type",$C$4,"2 Item No.","@@"&amp;$F841)</t>
  </si>
  <si>
    <t>=-NL("Sum","32 Item Ledger Entry","12 Quantity","5 Source no.",$C842,"3 Posting Date",Z$9,"4 Entry Type",$C$4,"2 Item No.","@@"&amp;$F842)</t>
  </si>
  <si>
    <t>=-NL("Sum","32 Item Ledger Entry","12 Quantity","5 Source no.",$C843,"3 Posting Date",Z$9,"4 Entry Type",$C$4,"2 Item No.","@@"&amp;$F843)</t>
  </si>
  <si>
    <t>=-NL("Sum","32 Item Ledger Entry","12 Quantity","5 Source no.",$C844,"3 Posting Date",Z$9,"4 Entry Type",$C$4,"2 Item No.","@@"&amp;$F844)</t>
  </si>
  <si>
    <t>=-NL("Sum","32 Item Ledger Entry","12 Quantity","5 Source no.",$C845,"3 Posting Date",Z$9,"4 Entry Type",$C$4,"2 Item No.","@@"&amp;$F845)</t>
  </si>
  <si>
    <t>=-NL("Sum","32 Item Ledger Entry","12 Quantity","5 Source no.",$C846,"3 Posting Date",Z$9,"4 Entry Type",$C$4,"2 Item No.","@@"&amp;$F846)</t>
  </si>
  <si>
    <t>=-NL("Sum","32 Item Ledger Entry","12 Quantity","5 Source no.",$C847,"3 Posting Date",Z$9,"4 Entry Type",$C$4,"2 Item No.","@@"&amp;$F847)</t>
  </si>
  <si>
    <t>=-NL("Sum","32 Item Ledger Entry","12 Quantity","5 Source no.",$C848,"3 Posting Date",Z$9,"4 Entry Type",$C$4,"2 Item No.","@@"&amp;$F848)</t>
  </si>
  <si>
    <t>=-NL("Sum","32 Item Ledger Entry","12 Quantity","5 Source no.",$C849,"3 Posting Date",Z$9,"4 Entry Type",$C$4,"2 Item No.","@@"&amp;$F849)</t>
  </si>
  <si>
    <t>=-NL("Sum","32 Item Ledger Entry","12 Quantity","5 Source no.",$C850,"3 Posting Date",Z$9,"4 Entry Type",$C$4,"2 Item No.","@@"&amp;$F850)</t>
  </si>
  <si>
    <t>=-NL("Sum","32 Item Ledger Entry","12 Quantity","5 Source no.",$C851,"3 Posting Date",Z$9,"4 Entry Type",$C$4,"2 Item No.","@@"&amp;$F851)</t>
  </si>
  <si>
    <t>=-NL("Sum","32 Item Ledger Entry","12 Quantity","5 Source no.",$C852,"3 Posting Date",Z$9,"4 Entry Type",$C$4,"2 Item No.","@@"&amp;$F852)</t>
  </si>
  <si>
    <t>=-NL("Sum","32 Item Ledger Entry","12 Quantity","5 Source no.",$C853,"3 Posting Date",Z$9,"4 Entry Type",$C$4,"2 Item No.","@@"&amp;$F853)</t>
  </si>
  <si>
    <t>=-NL("Sum","32 Item Ledger Entry","12 Quantity","5 Source no.",$C854,"3 Posting Date",Z$9,"4 Entry Type",$C$4,"2 Item No.","@@"&amp;$F854)</t>
  </si>
  <si>
    <t>=-NL("Sum","32 Item Ledger Entry","12 Quantity","5 Source no.",$C855,"3 Posting Date",Z$9,"4 Entry Type",$C$4,"2 Item No.","@@"&amp;$F855)</t>
  </si>
  <si>
    <t>=-NL("Sum","32 Item Ledger Entry","12 Quantity","5 Source no.",$C856,"3 Posting Date",Z$9,"4 Entry Type",$C$4,"2 Item No.","@@"&amp;$F856)</t>
  </si>
  <si>
    <t>=-NL("Sum","32 Item Ledger Entry","12 Quantity","5 Source no.",$C857,"3 Posting Date",Z$9,"4 Entry Type",$C$4,"2 Item No.","@@"&amp;$F857)</t>
  </si>
  <si>
    <t>=-NL("Sum","32 Item Ledger Entry","12 Quantity","5 Source no.",$C858,"3 Posting Date",Z$9,"4 Entry Type",$C$4,"2 Item No.","@@"&amp;$F858)</t>
  </si>
  <si>
    <t>=-NL("Sum","32 Item Ledger Entry","12 Quantity","5 Source no.",$C859,"3 Posting Date",Z$9,"4 Entry Type",$C$4,"2 Item No.","@@"&amp;$F859)</t>
  </si>
  <si>
    <t>=-NL("Sum","32 Item Ledger Entry","12 Quantity","5 Source no.",$C860,"3 Posting Date",Z$9,"4 Entry Type",$C$4,"2 Item No.","@@"&amp;$F860)</t>
  </si>
  <si>
    <t>=-NL("Sum","32 Item Ledger Entry","12 Quantity","5 Source no.",$C861,"3 Posting Date",Z$9,"4 Entry Type",$C$4,"2 Item No.","@@"&amp;$F861)</t>
  </si>
  <si>
    <t>=-NL("Sum","32 Item Ledger Entry","12 Quantity","5 Source no.",$C862,"3 Posting Date",Z$9,"4 Entry Type",$C$4,"2 Item No.","@@"&amp;$F862)</t>
  </si>
  <si>
    <t>=-NL("Sum","32 Item Ledger Entry","12 Quantity","5 Source no.",$C863,"3 Posting Date",Z$9,"4 Entry Type",$C$4,"2 Item No.","@@"&amp;$F863)</t>
  </si>
  <si>
    <t>=NL(,"27 Item","3 Description","1 No.","@@"&amp;F795)</t>
  </si>
  <si>
    <t>=NL(,"27 Item","3 Description","1 No.","@@"&amp;F796)</t>
  </si>
  <si>
    <t>=NL(,"27 Item","3 Description","1 No.","@@"&amp;F797)</t>
  </si>
  <si>
    <t>=NL(,"27 Item","3 Description","1 No.","@@"&amp;F798)</t>
  </si>
  <si>
    <t>=NL(,"27 Item","3 Description","1 No.","@@"&amp;F799)</t>
  </si>
  <si>
    <t>=NL(,"27 Item","3 Description","1 No.","@@"&amp;F800)</t>
  </si>
  <si>
    <t>=NL(,"27 Item","3 Description","1 No.","@@"&amp;F801)</t>
  </si>
  <si>
    <t>=NL(,"27 Item","3 Description","1 No.","@@"&amp;F802)</t>
  </si>
  <si>
    <t>=NL(,"27 Item","3 Description","1 No.","@@"&amp;F803)</t>
  </si>
  <si>
    <t>=NL(,"27 Item","3 Description","1 No.","@@"&amp;F804)</t>
  </si>
  <si>
    <t>=NL(,"27 Item","3 Description","1 No.","@@"&amp;F805)</t>
  </si>
  <si>
    <t>=NL(,"27 Item","3 Description","1 No.","@@"&amp;F806)</t>
  </si>
  <si>
    <t>=NL(,"27 Item","3 Description","1 No.","@@"&amp;F807)</t>
  </si>
  <si>
    <t>=NL(,"27 Item","3 Description","1 No.","@@"&amp;F808)</t>
  </si>
  <si>
    <t>=NL(,"27 Item","3 Description","1 No.","@@"&amp;F809)</t>
  </si>
  <si>
    <t>=NL(,"27 Item","3 Description","1 No.","@@"&amp;F810)</t>
  </si>
  <si>
    <t>=NL(,"27 Item","3 Description","1 No.","@@"&amp;F811)</t>
  </si>
  <si>
    <t>=NL(,"27 Item","3 Description","1 No.","@@"&amp;F812)</t>
  </si>
  <si>
    <t>=NL(,"27 Item","3 Description","1 No.","@@"&amp;F813)</t>
  </si>
  <si>
    <t>=NL(,"27 Item","3 Description","1 No.","@@"&amp;F814)</t>
  </si>
  <si>
    <t>=NL(,"27 Item","3 Description","1 No.","@@"&amp;F815)</t>
  </si>
  <si>
    <t>=NL(,"27 Item","3 Description","1 No.","@@"&amp;F816)</t>
  </si>
  <si>
    <t>=NL(,"27 Item","3 Description","1 No.","@@"&amp;F817)</t>
  </si>
  <si>
    <t>=NL(,"27 Item","3 Description","1 No.","@@"&amp;F818)</t>
  </si>
  <si>
    <t>=NL(,"27 Item","3 Description","1 No.","@@"&amp;F819)</t>
  </si>
  <si>
    <t>=NL(,"27 Item","3 Description","1 No.","@@"&amp;F820)</t>
  </si>
  <si>
    <t>=NL(,"27 Item","3 Description","1 No.","@@"&amp;F821)</t>
  </si>
  <si>
    <t>=NL(,"27 Item","3 Description","1 No.","@@"&amp;F822)</t>
  </si>
  <si>
    <t>=NL(,"27 Item","3 Description","1 No.","@@"&amp;F823)</t>
  </si>
  <si>
    <t>=-NL("Sum","32 Item Ledger Entry","12 Quantity","5 Source no.",$C795,"3 Posting Date",J$9,"4 Entry Type",$C$4,"2 Item No.","@@"&amp;$F795)</t>
  </si>
  <si>
    <t>=-NL("Sum","32 Item Ledger Entry","12 Quantity","5 Source no.",$C796,"3 Posting Date",J$9,"4 Entry Type",$C$4,"2 Item No.","@@"&amp;$F796)</t>
  </si>
  <si>
    <t>=-NL("Sum","32 Item Ledger Entry","12 Quantity","5 Source no.",$C797,"3 Posting Date",J$9,"4 Entry Type",$C$4,"2 Item No.","@@"&amp;$F797)</t>
  </si>
  <si>
    <t>=-NL("Sum","32 Item Ledger Entry","12 Quantity","5 Source no.",$C798,"3 Posting Date",J$9,"4 Entry Type",$C$4,"2 Item No.","@@"&amp;$F798)</t>
  </si>
  <si>
    <t>=-NL("Sum","32 Item Ledger Entry","12 Quantity","5 Source no.",$C799,"3 Posting Date",J$9,"4 Entry Type",$C$4,"2 Item No.","@@"&amp;$F799)</t>
  </si>
  <si>
    <t>=-NL("Sum","32 Item Ledger Entry","12 Quantity","5 Source no.",$C800,"3 Posting Date",J$9,"4 Entry Type",$C$4,"2 Item No.","@@"&amp;$F800)</t>
  </si>
  <si>
    <t>=-NL("Sum","32 Item Ledger Entry","12 Quantity","5 Source no.",$C801,"3 Posting Date",J$9,"4 Entry Type",$C$4,"2 Item No.","@@"&amp;$F801)</t>
  </si>
  <si>
    <t>=-NL("Sum","32 Item Ledger Entry","12 Quantity","5 Source no.",$C802,"3 Posting Date",J$9,"4 Entry Type",$C$4,"2 Item No.","@@"&amp;$F802)</t>
  </si>
  <si>
    <t>=-NL("Sum","32 Item Ledger Entry","12 Quantity","5 Source no.",$C803,"3 Posting Date",J$9,"4 Entry Type",$C$4,"2 Item No.","@@"&amp;$F803)</t>
  </si>
  <si>
    <t>=-NL("Sum","32 Item Ledger Entry","12 Quantity","5 Source no.",$C804,"3 Posting Date",J$9,"4 Entry Type",$C$4,"2 Item No.","@@"&amp;$F804)</t>
  </si>
  <si>
    <t>=-NL("Sum","32 Item Ledger Entry","12 Quantity","5 Source no.",$C805,"3 Posting Date",J$9,"4 Entry Type",$C$4,"2 Item No.","@@"&amp;$F805)</t>
  </si>
  <si>
    <t>=-NL("Sum","32 Item Ledger Entry","12 Quantity","5 Source no.",$C806,"3 Posting Date",J$9,"4 Entry Type",$C$4,"2 Item No.","@@"&amp;$F806)</t>
  </si>
  <si>
    <t>=-NL("Sum","32 Item Ledger Entry","12 Quantity","5 Source no.",$C807,"3 Posting Date",J$9,"4 Entry Type",$C$4,"2 Item No.","@@"&amp;$F807)</t>
  </si>
  <si>
    <t>=-NL("Sum","32 Item Ledger Entry","12 Quantity","5 Source no.",$C808,"3 Posting Date",J$9,"4 Entry Type",$C$4,"2 Item No.","@@"&amp;$F808)</t>
  </si>
  <si>
    <t>=-NL("Sum","32 Item Ledger Entry","12 Quantity","5 Source no.",$C809,"3 Posting Date",J$9,"4 Entry Type",$C$4,"2 Item No.","@@"&amp;$F809)</t>
  </si>
  <si>
    <t>=-NL("Sum","32 Item Ledger Entry","12 Quantity","5 Source no.",$C810,"3 Posting Date",J$9,"4 Entry Type",$C$4,"2 Item No.","@@"&amp;$F810)</t>
  </si>
  <si>
    <t>=-NL("Sum","32 Item Ledger Entry","12 Quantity","5 Source no.",$C811,"3 Posting Date",J$9,"4 Entry Type",$C$4,"2 Item No.","@@"&amp;$F811)</t>
  </si>
  <si>
    <t>=-NL("Sum","32 Item Ledger Entry","12 Quantity","5 Source no.",$C812,"3 Posting Date",J$9,"4 Entry Type",$C$4,"2 Item No.","@@"&amp;$F812)</t>
  </si>
  <si>
    <t>=-NL("Sum","32 Item Ledger Entry","12 Quantity","5 Source no.",$C813,"3 Posting Date",J$9,"4 Entry Type",$C$4,"2 Item No.","@@"&amp;$F813)</t>
  </si>
  <si>
    <t>=-NL("Sum","32 Item Ledger Entry","12 Quantity","5 Source no.",$C814,"3 Posting Date",J$9,"4 Entry Type",$C$4,"2 Item No.","@@"&amp;$F814)</t>
  </si>
  <si>
    <t>=-NL("Sum","32 Item Ledger Entry","12 Quantity","5 Source no.",$C815,"3 Posting Date",J$9,"4 Entry Type",$C$4,"2 Item No.","@@"&amp;$F815)</t>
  </si>
  <si>
    <t>=-NL("Sum","32 Item Ledger Entry","12 Quantity","5 Source no.",$C816,"3 Posting Date",J$9,"4 Entry Type",$C$4,"2 Item No.","@@"&amp;$F816)</t>
  </si>
  <si>
    <t>=-NL("Sum","32 Item Ledger Entry","12 Quantity","5 Source no.",$C817,"3 Posting Date",J$9,"4 Entry Type",$C$4,"2 Item No.","@@"&amp;$F817)</t>
  </si>
  <si>
    <t>=-NL("Sum","32 Item Ledger Entry","12 Quantity","5 Source no.",$C818,"3 Posting Date",J$9,"4 Entry Type",$C$4,"2 Item No.","@@"&amp;$F818)</t>
  </si>
  <si>
    <t>=-NL("Sum","32 Item Ledger Entry","12 Quantity","5 Source no.",$C819,"3 Posting Date",J$9,"4 Entry Type",$C$4,"2 Item No.","@@"&amp;$F819)</t>
  </si>
  <si>
    <t>=-NL("Sum","32 Item Ledger Entry","12 Quantity","5 Source no.",$C820,"3 Posting Date",J$9,"4 Entry Type",$C$4,"2 Item No.","@@"&amp;$F820)</t>
  </si>
  <si>
    <t>=-NL("Sum","32 Item Ledger Entry","12 Quantity","5 Source no.",$C821,"3 Posting Date",J$9,"4 Entry Type",$C$4,"2 Item No.","@@"&amp;$F821)</t>
  </si>
  <si>
    <t>=-NL("Sum","32 Item Ledger Entry","12 Quantity","5 Source no.",$C822,"3 Posting Date",J$9,"4 Entry Type",$C$4,"2 Item No.","@@"&amp;$F822)</t>
  </si>
  <si>
    <t>=-NL("Sum","32 Item Ledger Entry","12 Quantity","5 Source no.",$C823,"3 Posting Date",J$9,"4 Entry Type",$C$4,"2 Item No.","@@"&amp;$F823)</t>
  </si>
  <si>
    <t>=-NL("Sum","32 Item Ledger Entry","12 Quantity","5 Source no.",$C795,"3 Posting Date",O$9,"4 Entry Type",$C$4,"2 Item No.","@@"&amp;$F795)</t>
  </si>
  <si>
    <t>=-NL("Sum","32 Item Ledger Entry","12 Quantity","5 Source no.",$C796,"3 Posting Date",O$9,"4 Entry Type",$C$4,"2 Item No.","@@"&amp;$F796)</t>
  </si>
  <si>
    <t>=-NL("Sum","32 Item Ledger Entry","12 Quantity","5 Source no.",$C797,"3 Posting Date",O$9,"4 Entry Type",$C$4,"2 Item No.","@@"&amp;$F797)</t>
  </si>
  <si>
    <t>=-NL("Sum","32 Item Ledger Entry","12 Quantity","5 Source no.",$C798,"3 Posting Date",O$9,"4 Entry Type",$C$4,"2 Item No.","@@"&amp;$F798)</t>
  </si>
  <si>
    <t>=-NL("Sum","32 Item Ledger Entry","12 Quantity","5 Source no.",$C799,"3 Posting Date",O$9,"4 Entry Type",$C$4,"2 Item No.","@@"&amp;$F799)</t>
  </si>
  <si>
    <t>=-NL("Sum","32 Item Ledger Entry","12 Quantity","5 Source no.",$C800,"3 Posting Date",O$9,"4 Entry Type",$C$4,"2 Item No.","@@"&amp;$F800)</t>
  </si>
  <si>
    <t>=-NL("Sum","32 Item Ledger Entry","12 Quantity","5 Source no.",$C801,"3 Posting Date",O$9,"4 Entry Type",$C$4,"2 Item No.","@@"&amp;$F801)</t>
  </si>
  <si>
    <t>=-NL("Sum","32 Item Ledger Entry","12 Quantity","5 Source no.",$C802,"3 Posting Date",O$9,"4 Entry Type",$C$4,"2 Item No.","@@"&amp;$F802)</t>
  </si>
  <si>
    <t>=-NL("Sum","32 Item Ledger Entry","12 Quantity","5 Source no.",$C803,"3 Posting Date",O$9,"4 Entry Type",$C$4,"2 Item No.","@@"&amp;$F803)</t>
  </si>
  <si>
    <t>=-NL("Sum","32 Item Ledger Entry","12 Quantity","5 Source no.",$C804,"3 Posting Date",O$9,"4 Entry Type",$C$4,"2 Item No.","@@"&amp;$F804)</t>
  </si>
  <si>
    <t>=-NL("Sum","32 Item Ledger Entry","12 Quantity","5 Source no.",$C805,"3 Posting Date",O$9,"4 Entry Type",$C$4,"2 Item No.","@@"&amp;$F805)</t>
  </si>
  <si>
    <t>=-NL("Sum","32 Item Ledger Entry","12 Quantity","5 Source no.",$C806,"3 Posting Date",O$9,"4 Entry Type",$C$4,"2 Item No.","@@"&amp;$F806)</t>
  </si>
  <si>
    <t>=-NL("Sum","32 Item Ledger Entry","12 Quantity","5 Source no.",$C807,"3 Posting Date",O$9,"4 Entry Type",$C$4,"2 Item No.","@@"&amp;$F807)</t>
  </si>
  <si>
    <t>=-NL("Sum","32 Item Ledger Entry","12 Quantity","5 Source no.",$C808,"3 Posting Date",O$9,"4 Entry Type",$C$4,"2 Item No.","@@"&amp;$F808)</t>
  </si>
  <si>
    <t>=-NL("Sum","32 Item Ledger Entry","12 Quantity","5 Source no.",$C809,"3 Posting Date",O$9,"4 Entry Type",$C$4,"2 Item No.","@@"&amp;$F809)</t>
  </si>
  <si>
    <t>=-NL("Sum","32 Item Ledger Entry","12 Quantity","5 Source no.",$C810,"3 Posting Date",O$9,"4 Entry Type",$C$4,"2 Item No.","@@"&amp;$F810)</t>
  </si>
  <si>
    <t>=-NL("Sum","32 Item Ledger Entry","12 Quantity","5 Source no.",$C811,"3 Posting Date",O$9,"4 Entry Type",$C$4,"2 Item No.","@@"&amp;$F811)</t>
  </si>
  <si>
    <t>=-NL("Sum","32 Item Ledger Entry","12 Quantity","5 Source no.",$C812,"3 Posting Date",O$9,"4 Entry Type",$C$4,"2 Item No.","@@"&amp;$F812)</t>
  </si>
  <si>
    <t>=-NL("Sum","32 Item Ledger Entry","12 Quantity","5 Source no.",$C813,"3 Posting Date",O$9,"4 Entry Type",$C$4,"2 Item No.","@@"&amp;$F813)</t>
  </si>
  <si>
    <t>=-NL("Sum","32 Item Ledger Entry","12 Quantity","5 Source no.",$C814,"3 Posting Date",O$9,"4 Entry Type",$C$4,"2 Item No.","@@"&amp;$F814)</t>
  </si>
  <si>
    <t>=-NL("Sum","32 Item Ledger Entry","12 Quantity","5 Source no.",$C815,"3 Posting Date",O$9,"4 Entry Type",$C$4,"2 Item No.","@@"&amp;$F815)</t>
  </si>
  <si>
    <t>=-NL("Sum","32 Item Ledger Entry","12 Quantity","5 Source no.",$C816,"3 Posting Date",O$9,"4 Entry Type",$C$4,"2 Item No.","@@"&amp;$F816)</t>
  </si>
  <si>
    <t>=-NL("Sum","32 Item Ledger Entry","12 Quantity","5 Source no.",$C817,"3 Posting Date",O$9,"4 Entry Type",$C$4,"2 Item No.","@@"&amp;$F817)</t>
  </si>
  <si>
    <t>=-NL("Sum","32 Item Ledger Entry","12 Quantity","5 Source no.",$C818,"3 Posting Date",O$9,"4 Entry Type",$C$4,"2 Item No.","@@"&amp;$F818)</t>
  </si>
  <si>
    <t>=-NL("Sum","32 Item Ledger Entry","12 Quantity","5 Source no.",$C819,"3 Posting Date",O$9,"4 Entry Type",$C$4,"2 Item No.","@@"&amp;$F819)</t>
  </si>
  <si>
    <t>=-NL("Sum","32 Item Ledger Entry","12 Quantity","5 Source no.",$C820,"3 Posting Date",O$9,"4 Entry Type",$C$4,"2 Item No.","@@"&amp;$F820)</t>
  </si>
  <si>
    <t>=-NL("Sum","32 Item Ledger Entry","12 Quantity","5 Source no.",$C821,"3 Posting Date",O$9,"4 Entry Type",$C$4,"2 Item No.","@@"&amp;$F821)</t>
  </si>
  <si>
    <t>=-NL("Sum","32 Item Ledger Entry","12 Quantity","5 Source no.",$C822,"3 Posting Date",O$9,"4 Entry Type",$C$4,"2 Item No.","@@"&amp;$F822)</t>
  </si>
  <si>
    <t>=-NL("Sum","32 Item Ledger Entry","12 Quantity","5 Source no.",$C823,"3 Posting Date",O$9,"4 Entry Type",$C$4,"2 Item No.","@@"&amp;$F823)</t>
  </si>
  <si>
    <t>=-NL("Sum","32 Item Ledger Entry","12 Quantity","5 Source no.",$C795,"3 Posting Date",U$9,"4 Entry Type",$C$4,"2 Item No.","@@"&amp;$F795)</t>
  </si>
  <si>
    <t>=-NL("Sum","32 Item Ledger Entry","12 Quantity","5 Source no.",$C796,"3 Posting Date",U$9,"4 Entry Type",$C$4,"2 Item No.","@@"&amp;$F796)</t>
  </si>
  <si>
    <t>=-NL("Sum","32 Item Ledger Entry","12 Quantity","5 Source no.",$C797,"3 Posting Date",U$9,"4 Entry Type",$C$4,"2 Item No.","@@"&amp;$F797)</t>
  </si>
  <si>
    <t>=-NL("Sum","32 Item Ledger Entry","12 Quantity","5 Source no.",$C798,"3 Posting Date",U$9,"4 Entry Type",$C$4,"2 Item No.","@@"&amp;$F798)</t>
  </si>
  <si>
    <t>=-NL("Sum","32 Item Ledger Entry","12 Quantity","5 Source no.",$C799,"3 Posting Date",U$9,"4 Entry Type",$C$4,"2 Item No.","@@"&amp;$F799)</t>
  </si>
  <si>
    <t>=-NL("Sum","32 Item Ledger Entry","12 Quantity","5 Source no.",$C800,"3 Posting Date",U$9,"4 Entry Type",$C$4,"2 Item No.","@@"&amp;$F800)</t>
  </si>
  <si>
    <t>=-NL("Sum","32 Item Ledger Entry","12 Quantity","5 Source no.",$C801,"3 Posting Date",U$9,"4 Entry Type",$C$4,"2 Item No.","@@"&amp;$F801)</t>
  </si>
  <si>
    <t>=-NL("Sum","32 Item Ledger Entry","12 Quantity","5 Source no.",$C802,"3 Posting Date",U$9,"4 Entry Type",$C$4,"2 Item No.","@@"&amp;$F802)</t>
  </si>
  <si>
    <t>=-NL("Sum","32 Item Ledger Entry","12 Quantity","5 Source no.",$C803,"3 Posting Date",U$9,"4 Entry Type",$C$4,"2 Item No.","@@"&amp;$F803)</t>
  </si>
  <si>
    <t>=-NL("Sum","32 Item Ledger Entry","12 Quantity","5 Source no.",$C804,"3 Posting Date",U$9,"4 Entry Type",$C$4,"2 Item No.","@@"&amp;$F804)</t>
  </si>
  <si>
    <t>=-NL("Sum","32 Item Ledger Entry","12 Quantity","5 Source no.",$C805,"3 Posting Date",U$9,"4 Entry Type",$C$4,"2 Item No.","@@"&amp;$F805)</t>
  </si>
  <si>
    <t>=-NL("Sum","32 Item Ledger Entry","12 Quantity","5 Source no.",$C806,"3 Posting Date",U$9,"4 Entry Type",$C$4,"2 Item No.","@@"&amp;$F806)</t>
  </si>
  <si>
    <t>=-NL("Sum","32 Item Ledger Entry","12 Quantity","5 Source no.",$C807,"3 Posting Date",U$9,"4 Entry Type",$C$4,"2 Item No.","@@"&amp;$F807)</t>
  </si>
  <si>
    <t>=-NL("Sum","32 Item Ledger Entry","12 Quantity","5 Source no.",$C808,"3 Posting Date",U$9,"4 Entry Type",$C$4,"2 Item No.","@@"&amp;$F808)</t>
  </si>
  <si>
    <t>=-NL("Sum","32 Item Ledger Entry","12 Quantity","5 Source no.",$C809,"3 Posting Date",U$9,"4 Entry Type",$C$4,"2 Item No.","@@"&amp;$F809)</t>
  </si>
  <si>
    <t>=-NL("Sum","32 Item Ledger Entry","12 Quantity","5 Source no.",$C810,"3 Posting Date",U$9,"4 Entry Type",$C$4,"2 Item No.","@@"&amp;$F810)</t>
  </si>
  <si>
    <t>=-NL("Sum","32 Item Ledger Entry","12 Quantity","5 Source no.",$C811,"3 Posting Date",U$9,"4 Entry Type",$C$4,"2 Item No.","@@"&amp;$F811)</t>
  </si>
  <si>
    <t>=-NL("Sum","32 Item Ledger Entry","12 Quantity","5 Source no.",$C812,"3 Posting Date",U$9,"4 Entry Type",$C$4,"2 Item No.","@@"&amp;$F812)</t>
  </si>
  <si>
    <t>=-NL("Sum","32 Item Ledger Entry","12 Quantity","5 Source no.",$C813,"3 Posting Date",U$9,"4 Entry Type",$C$4,"2 Item No.","@@"&amp;$F813)</t>
  </si>
  <si>
    <t>=-NL("Sum","32 Item Ledger Entry","12 Quantity","5 Source no.",$C814,"3 Posting Date",U$9,"4 Entry Type",$C$4,"2 Item No.","@@"&amp;$F814)</t>
  </si>
  <si>
    <t>=-NL("Sum","32 Item Ledger Entry","12 Quantity","5 Source no.",$C815,"3 Posting Date",U$9,"4 Entry Type",$C$4,"2 Item No.","@@"&amp;$F815)</t>
  </si>
  <si>
    <t>=-NL("Sum","32 Item Ledger Entry","12 Quantity","5 Source no.",$C816,"3 Posting Date",U$9,"4 Entry Type",$C$4,"2 Item No.","@@"&amp;$F816)</t>
  </si>
  <si>
    <t>=-NL("Sum","32 Item Ledger Entry","12 Quantity","5 Source no.",$C817,"3 Posting Date",U$9,"4 Entry Type",$C$4,"2 Item No.","@@"&amp;$F817)</t>
  </si>
  <si>
    <t>=-NL("Sum","32 Item Ledger Entry","12 Quantity","5 Source no.",$C818,"3 Posting Date",U$9,"4 Entry Type",$C$4,"2 Item No.","@@"&amp;$F818)</t>
  </si>
  <si>
    <t>=-NL("Sum","32 Item Ledger Entry","12 Quantity","5 Source no.",$C819,"3 Posting Date",U$9,"4 Entry Type",$C$4,"2 Item No.","@@"&amp;$F819)</t>
  </si>
  <si>
    <t>=-NL("Sum","32 Item Ledger Entry","12 Quantity","5 Source no.",$C820,"3 Posting Date",U$9,"4 Entry Type",$C$4,"2 Item No.","@@"&amp;$F820)</t>
  </si>
  <si>
    <t>=-NL("Sum","32 Item Ledger Entry","12 Quantity","5 Source no.",$C821,"3 Posting Date",U$9,"4 Entry Type",$C$4,"2 Item No.","@@"&amp;$F821)</t>
  </si>
  <si>
    <t>=-NL("Sum","32 Item Ledger Entry","12 Quantity","5 Source no.",$C822,"3 Posting Date",U$9,"4 Entry Type",$C$4,"2 Item No.","@@"&amp;$F822)</t>
  </si>
  <si>
    <t>=-NL("Sum","32 Item Ledger Entry","12 Quantity","5 Source no.",$C823,"3 Posting Date",U$9,"4 Entry Type",$C$4,"2 Item No.","@@"&amp;$F823)</t>
  </si>
  <si>
    <t>=-NL("Sum","32 Item Ledger Entry","12 Quantity","5 Source no.",$C795,"3 Posting Date",Z$9,"4 Entry Type",$C$4,"2 Item No.","@@"&amp;$F795)</t>
  </si>
  <si>
    <t>=-NL("Sum","32 Item Ledger Entry","12 Quantity","5 Source no.",$C796,"3 Posting Date",Z$9,"4 Entry Type",$C$4,"2 Item No.","@@"&amp;$F796)</t>
  </si>
  <si>
    <t>=-NL("Sum","32 Item Ledger Entry","12 Quantity","5 Source no.",$C797,"3 Posting Date",Z$9,"4 Entry Type",$C$4,"2 Item No.","@@"&amp;$F797)</t>
  </si>
  <si>
    <t>=-NL("Sum","32 Item Ledger Entry","12 Quantity","5 Source no.",$C798,"3 Posting Date",Z$9,"4 Entry Type",$C$4,"2 Item No.","@@"&amp;$F798)</t>
  </si>
  <si>
    <t>=-NL("Sum","32 Item Ledger Entry","12 Quantity","5 Source no.",$C799,"3 Posting Date",Z$9,"4 Entry Type",$C$4,"2 Item No.","@@"&amp;$F799)</t>
  </si>
  <si>
    <t>=-NL("Sum","32 Item Ledger Entry","12 Quantity","5 Source no.",$C800,"3 Posting Date",Z$9,"4 Entry Type",$C$4,"2 Item No.","@@"&amp;$F800)</t>
  </si>
  <si>
    <t>=-NL("Sum","32 Item Ledger Entry","12 Quantity","5 Source no.",$C801,"3 Posting Date",Z$9,"4 Entry Type",$C$4,"2 Item No.","@@"&amp;$F801)</t>
  </si>
  <si>
    <t>=-NL("Sum","32 Item Ledger Entry","12 Quantity","5 Source no.",$C802,"3 Posting Date",Z$9,"4 Entry Type",$C$4,"2 Item No.","@@"&amp;$F802)</t>
  </si>
  <si>
    <t>=-NL("Sum","32 Item Ledger Entry","12 Quantity","5 Source no.",$C803,"3 Posting Date",Z$9,"4 Entry Type",$C$4,"2 Item No.","@@"&amp;$F803)</t>
  </si>
  <si>
    <t>=-NL("Sum","32 Item Ledger Entry","12 Quantity","5 Source no.",$C804,"3 Posting Date",Z$9,"4 Entry Type",$C$4,"2 Item No.","@@"&amp;$F804)</t>
  </si>
  <si>
    <t>=-NL("Sum","32 Item Ledger Entry","12 Quantity","5 Source no.",$C805,"3 Posting Date",Z$9,"4 Entry Type",$C$4,"2 Item No.","@@"&amp;$F805)</t>
  </si>
  <si>
    <t>=-NL("Sum","32 Item Ledger Entry","12 Quantity","5 Source no.",$C806,"3 Posting Date",Z$9,"4 Entry Type",$C$4,"2 Item No.","@@"&amp;$F806)</t>
  </si>
  <si>
    <t>=-NL("Sum","32 Item Ledger Entry","12 Quantity","5 Source no.",$C807,"3 Posting Date",Z$9,"4 Entry Type",$C$4,"2 Item No.","@@"&amp;$F807)</t>
  </si>
  <si>
    <t>=-NL("Sum","32 Item Ledger Entry","12 Quantity","5 Source no.",$C808,"3 Posting Date",Z$9,"4 Entry Type",$C$4,"2 Item No.","@@"&amp;$F808)</t>
  </si>
  <si>
    <t>=-NL("Sum","32 Item Ledger Entry","12 Quantity","5 Source no.",$C809,"3 Posting Date",Z$9,"4 Entry Type",$C$4,"2 Item No.","@@"&amp;$F809)</t>
  </si>
  <si>
    <t>=-NL("Sum","32 Item Ledger Entry","12 Quantity","5 Source no.",$C810,"3 Posting Date",Z$9,"4 Entry Type",$C$4,"2 Item No.","@@"&amp;$F810)</t>
  </si>
  <si>
    <t>=-NL("Sum","32 Item Ledger Entry","12 Quantity","5 Source no.",$C811,"3 Posting Date",Z$9,"4 Entry Type",$C$4,"2 Item No.","@@"&amp;$F811)</t>
  </si>
  <si>
    <t>=-NL("Sum","32 Item Ledger Entry","12 Quantity","5 Source no.",$C812,"3 Posting Date",Z$9,"4 Entry Type",$C$4,"2 Item No.","@@"&amp;$F812)</t>
  </si>
  <si>
    <t>=-NL("Sum","32 Item Ledger Entry","12 Quantity","5 Source no.",$C813,"3 Posting Date",Z$9,"4 Entry Type",$C$4,"2 Item No.","@@"&amp;$F813)</t>
  </si>
  <si>
    <t>=-NL("Sum","32 Item Ledger Entry","12 Quantity","5 Source no.",$C814,"3 Posting Date",Z$9,"4 Entry Type",$C$4,"2 Item No.","@@"&amp;$F814)</t>
  </si>
  <si>
    <t>=-NL("Sum","32 Item Ledger Entry","12 Quantity","5 Source no.",$C815,"3 Posting Date",Z$9,"4 Entry Type",$C$4,"2 Item No.","@@"&amp;$F815)</t>
  </si>
  <si>
    <t>=-NL("Sum","32 Item Ledger Entry","12 Quantity","5 Source no.",$C816,"3 Posting Date",Z$9,"4 Entry Type",$C$4,"2 Item No.","@@"&amp;$F816)</t>
  </si>
  <si>
    <t>=-NL("Sum","32 Item Ledger Entry","12 Quantity","5 Source no.",$C817,"3 Posting Date",Z$9,"4 Entry Type",$C$4,"2 Item No.","@@"&amp;$F817)</t>
  </si>
  <si>
    <t>=-NL("Sum","32 Item Ledger Entry","12 Quantity","5 Source no.",$C818,"3 Posting Date",Z$9,"4 Entry Type",$C$4,"2 Item No.","@@"&amp;$F818)</t>
  </si>
  <si>
    <t>=-NL("Sum","32 Item Ledger Entry","12 Quantity","5 Source no.",$C819,"3 Posting Date",Z$9,"4 Entry Type",$C$4,"2 Item No.","@@"&amp;$F819)</t>
  </si>
  <si>
    <t>=-NL("Sum","32 Item Ledger Entry","12 Quantity","5 Source no.",$C820,"3 Posting Date",Z$9,"4 Entry Type",$C$4,"2 Item No.","@@"&amp;$F820)</t>
  </si>
  <si>
    <t>=-NL("Sum","32 Item Ledger Entry","12 Quantity","5 Source no.",$C821,"3 Posting Date",Z$9,"4 Entry Type",$C$4,"2 Item No.","@@"&amp;$F821)</t>
  </si>
  <si>
    <t>=-NL("Sum","32 Item Ledger Entry","12 Quantity","5 Source no.",$C822,"3 Posting Date",Z$9,"4 Entry Type",$C$4,"2 Item No.","@@"&amp;$F822)</t>
  </si>
  <si>
    <t>=-NL("Sum","32 Item Ledger Entry","12 Quantity","5 Source no.",$C823,"3 Posting Date",Z$9,"4 Entry Type",$C$4,"2 Item No.","@@"&amp;$F823)</t>
  </si>
  <si>
    <t>=NL(,"27 Item","3 Description","1 No.","@@"&amp;F772)</t>
  </si>
  <si>
    <t>=NL(,"27 Item","3 Description","1 No.","@@"&amp;F773)</t>
  </si>
  <si>
    <t>=NL(,"27 Item","3 Description","1 No.","@@"&amp;F774)</t>
  </si>
  <si>
    <t>=NL(,"27 Item","3 Description","1 No.","@@"&amp;F775)</t>
  </si>
  <si>
    <t>=NL(,"27 Item","3 Description","1 No.","@@"&amp;F776)</t>
  </si>
  <si>
    <t>=NL(,"27 Item","3 Description","1 No.","@@"&amp;F777)</t>
  </si>
  <si>
    <t>=NL(,"27 Item","3 Description","1 No.","@@"&amp;F778)</t>
  </si>
  <si>
    <t>=NL(,"27 Item","3 Description","1 No.","@@"&amp;F779)</t>
  </si>
  <si>
    <t>=NL(,"27 Item","3 Description","1 No.","@@"&amp;F780)</t>
  </si>
  <si>
    <t>=NL(,"27 Item","3 Description","1 No.","@@"&amp;F781)</t>
  </si>
  <si>
    <t>=NL(,"27 Item","3 Description","1 No.","@@"&amp;F782)</t>
  </si>
  <si>
    <t>=NL(,"27 Item","3 Description","1 No.","@@"&amp;F783)</t>
  </si>
  <si>
    <t>=NL(,"27 Item","3 Description","1 No.","@@"&amp;F784)</t>
  </si>
  <si>
    <t>=NL(,"27 Item","3 Description","1 No.","@@"&amp;F785)</t>
  </si>
  <si>
    <t>=NL(,"27 Item","3 Description","1 No.","@@"&amp;F786)</t>
  </si>
  <si>
    <t>=NL(,"27 Item","3 Description","1 No.","@@"&amp;F787)</t>
  </si>
  <si>
    <t>=NL(,"27 Item","3 Description","1 No.","@@"&amp;F788)</t>
  </si>
  <si>
    <t>=NL(,"27 Item","3 Description","1 No.","@@"&amp;F789)</t>
  </si>
  <si>
    <t>=-NL("Sum","32 Item Ledger Entry","12 Quantity","5 Source no.",$C772,"3 Posting Date",J$9,"4 Entry Type",$C$4,"2 Item No.","@@"&amp;$F772)</t>
  </si>
  <si>
    <t>=-NL("Sum","32 Item Ledger Entry","12 Quantity","5 Source no.",$C773,"3 Posting Date",J$9,"4 Entry Type",$C$4,"2 Item No.","@@"&amp;$F773)</t>
  </si>
  <si>
    <t>=-NL("Sum","32 Item Ledger Entry","12 Quantity","5 Source no.",$C774,"3 Posting Date",J$9,"4 Entry Type",$C$4,"2 Item No.","@@"&amp;$F774)</t>
  </si>
  <si>
    <t>=-NL("Sum","32 Item Ledger Entry","12 Quantity","5 Source no.",$C775,"3 Posting Date",J$9,"4 Entry Type",$C$4,"2 Item No.","@@"&amp;$F775)</t>
  </si>
  <si>
    <t>=-NL("Sum","32 Item Ledger Entry","12 Quantity","5 Source no.",$C776,"3 Posting Date",J$9,"4 Entry Type",$C$4,"2 Item No.","@@"&amp;$F776)</t>
  </si>
  <si>
    <t>=-NL("Sum","32 Item Ledger Entry","12 Quantity","5 Source no.",$C777,"3 Posting Date",J$9,"4 Entry Type",$C$4,"2 Item No.","@@"&amp;$F777)</t>
  </si>
  <si>
    <t>=-NL("Sum","32 Item Ledger Entry","12 Quantity","5 Source no.",$C778,"3 Posting Date",J$9,"4 Entry Type",$C$4,"2 Item No.","@@"&amp;$F778)</t>
  </si>
  <si>
    <t>=-NL("Sum","32 Item Ledger Entry","12 Quantity","5 Source no.",$C779,"3 Posting Date",J$9,"4 Entry Type",$C$4,"2 Item No.","@@"&amp;$F779)</t>
  </si>
  <si>
    <t>=-NL("Sum","32 Item Ledger Entry","12 Quantity","5 Source no.",$C780,"3 Posting Date",J$9,"4 Entry Type",$C$4,"2 Item No.","@@"&amp;$F780)</t>
  </si>
  <si>
    <t>=-NL("Sum","32 Item Ledger Entry","12 Quantity","5 Source no.",$C781,"3 Posting Date",J$9,"4 Entry Type",$C$4,"2 Item No.","@@"&amp;$F781)</t>
  </si>
  <si>
    <t>=-NL("Sum","32 Item Ledger Entry","12 Quantity","5 Source no.",$C782,"3 Posting Date",J$9,"4 Entry Type",$C$4,"2 Item No.","@@"&amp;$F782)</t>
  </si>
  <si>
    <t>=-NL("Sum","32 Item Ledger Entry","12 Quantity","5 Source no.",$C783,"3 Posting Date",J$9,"4 Entry Type",$C$4,"2 Item No.","@@"&amp;$F783)</t>
  </si>
  <si>
    <t>=-NL("Sum","32 Item Ledger Entry","12 Quantity","5 Source no.",$C784,"3 Posting Date",J$9,"4 Entry Type",$C$4,"2 Item No.","@@"&amp;$F784)</t>
  </si>
  <si>
    <t>=-NL("Sum","32 Item Ledger Entry","12 Quantity","5 Source no.",$C785,"3 Posting Date",J$9,"4 Entry Type",$C$4,"2 Item No.","@@"&amp;$F785)</t>
  </si>
  <si>
    <t>=-NL("Sum","32 Item Ledger Entry","12 Quantity","5 Source no.",$C786,"3 Posting Date",J$9,"4 Entry Type",$C$4,"2 Item No.","@@"&amp;$F786)</t>
  </si>
  <si>
    <t>=-NL("Sum","32 Item Ledger Entry","12 Quantity","5 Source no.",$C787,"3 Posting Date",J$9,"4 Entry Type",$C$4,"2 Item No.","@@"&amp;$F787)</t>
  </si>
  <si>
    <t>=-NL("Sum","32 Item Ledger Entry","12 Quantity","5 Source no.",$C788,"3 Posting Date",J$9,"4 Entry Type",$C$4,"2 Item No.","@@"&amp;$F788)</t>
  </si>
  <si>
    <t>=-NL("Sum","32 Item Ledger Entry","12 Quantity","5 Source no.",$C789,"3 Posting Date",J$9,"4 Entry Type",$C$4,"2 Item No.","@@"&amp;$F789)</t>
  </si>
  <si>
    <t>=-NL("Sum","32 Item Ledger Entry","12 Quantity","5 Source no.",$C772,"3 Posting Date",O$9,"4 Entry Type",$C$4,"2 Item No.","@@"&amp;$F772)</t>
  </si>
  <si>
    <t>=-NL("Sum","32 Item Ledger Entry","12 Quantity","5 Source no.",$C773,"3 Posting Date",O$9,"4 Entry Type",$C$4,"2 Item No.","@@"&amp;$F773)</t>
  </si>
  <si>
    <t>=-NL("Sum","32 Item Ledger Entry","12 Quantity","5 Source no.",$C774,"3 Posting Date",O$9,"4 Entry Type",$C$4,"2 Item No.","@@"&amp;$F774)</t>
  </si>
  <si>
    <t>=-NL("Sum","32 Item Ledger Entry","12 Quantity","5 Source no.",$C775,"3 Posting Date",O$9,"4 Entry Type",$C$4,"2 Item No.","@@"&amp;$F775)</t>
  </si>
  <si>
    <t>=-NL("Sum","32 Item Ledger Entry","12 Quantity","5 Source no.",$C776,"3 Posting Date",O$9,"4 Entry Type",$C$4,"2 Item No.","@@"&amp;$F776)</t>
  </si>
  <si>
    <t>=-NL("Sum","32 Item Ledger Entry","12 Quantity","5 Source no.",$C777,"3 Posting Date",O$9,"4 Entry Type",$C$4,"2 Item No.","@@"&amp;$F777)</t>
  </si>
  <si>
    <t>=-NL("Sum","32 Item Ledger Entry","12 Quantity","5 Source no.",$C778,"3 Posting Date",O$9,"4 Entry Type",$C$4,"2 Item No.","@@"&amp;$F778)</t>
  </si>
  <si>
    <t>=-NL("Sum","32 Item Ledger Entry","12 Quantity","5 Source no.",$C779,"3 Posting Date",O$9,"4 Entry Type",$C$4,"2 Item No.","@@"&amp;$F779)</t>
  </si>
  <si>
    <t>=-NL("Sum","32 Item Ledger Entry","12 Quantity","5 Source no.",$C780,"3 Posting Date",O$9,"4 Entry Type",$C$4,"2 Item No.","@@"&amp;$F780)</t>
  </si>
  <si>
    <t>=-NL("Sum","32 Item Ledger Entry","12 Quantity","5 Source no.",$C781,"3 Posting Date",O$9,"4 Entry Type",$C$4,"2 Item No.","@@"&amp;$F781)</t>
  </si>
  <si>
    <t>=-NL("Sum","32 Item Ledger Entry","12 Quantity","5 Source no.",$C782,"3 Posting Date",O$9,"4 Entry Type",$C$4,"2 Item No.","@@"&amp;$F782)</t>
  </si>
  <si>
    <t>=-NL("Sum","32 Item Ledger Entry","12 Quantity","5 Source no.",$C783,"3 Posting Date",O$9,"4 Entry Type",$C$4,"2 Item No.","@@"&amp;$F783)</t>
  </si>
  <si>
    <t>=-NL("Sum","32 Item Ledger Entry","12 Quantity","5 Source no.",$C784,"3 Posting Date",O$9,"4 Entry Type",$C$4,"2 Item No.","@@"&amp;$F784)</t>
  </si>
  <si>
    <t>=-NL("Sum","32 Item Ledger Entry","12 Quantity","5 Source no.",$C785,"3 Posting Date",O$9,"4 Entry Type",$C$4,"2 Item No.","@@"&amp;$F785)</t>
  </si>
  <si>
    <t>=-NL("Sum","32 Item Ledger Entry","12 Quantity","5 Source no.",$C786,"3 Posting Date",O$9,"4 Entry Type",$C$4,"2 Item No.","@@"&amp;$F786)</t>
  </si>
  <si>
    <t>=-NL("Sum","32 Item Ledger Entry","12 Quantity","5 Source no.",$C787,"3 Posting Date",O$9,"4 Entry Type",$C$4,"2 Item No.","@@"&amp;$F787)</t>
  </si>
  <si>
    <t>=-NL("Sum","32 Item Ledger Entry","12 Quantity","5 Source no.",$C788,"3 Posting Date",O$9,"4 Entry Type",$C$4,"2 Item No.","@@"&amp;$F788)</t>
  </si>
  <si>
    <t>=-NL("Sum","32 Item Ledger Entry","12 Quantity","5 Source no.",$C789,"3 Posting Date",O$9,"4 Entry Type",$C$4,"2 Item No.","@@"&amp;$F789)</t>
  </si>
  <si>
    <t>=-NL("Sum","32 Item Ledger Entry","12 Quantity","5 Source no.",$C772,"3 Posting Date",U$9,"4 Entry Type",$C$4,"2 Item No.","@@"&amp;$F772)</t>
  </si>
  <si>
    <t>=-NL("Sum","32 Item Ledger Entry","12 Quantity","5 Source no.",$C773,"3 Posting Date",U$9,"4 Entry Type",$C$4,"2 Item No.","@@"&amp;$F773)</t>
  </si>
  <si>
    <t>=-NL("Sum","32 Item Ledger Entry","12 Quantity","5 Source no.",$C774,"3 Posting Date",U$9,"4 Entry Type",$C$4,"2 Item No.","@@"&amp;$F774)</t>
  </si>
  <si>
    <t>=-NL("Sum","32 Item Ledger Entry","12 Quantity","5 Source no.",$C775,"3 Posting Date",U$9,"4 Entry Type",$C$4,"2 Item No.","@@"&amp;$F775)</t>
  </si>
  <si>
    <t>=-NL("Sum","32 Item Ledger Entry","12 Quantity","5 Source no.",$C776,"3 Posting Date",U$9,"4 Entry Type",$C$4,"2 Item No.","@@"&amp;$F776)</t>
  </si>
  <si>
    <t>=-NL("Sum","32 Item Ledger Entry","12 Quantity","5 Source no.",$C777,"3 Posting Date",U$9,"4 Entry Type",$C$4,"2 Item No.","@@"&amp;$F777)</t>
  </si>
  <si>
    <t>=-NL("Sum","32 Item Ledger Entry","12 Quantity","5 Source no.",$C778,"3 Posting Date",U$9,"4 Entry Type",$C$4,"2 Item No.","@@"&amp;$F778)</t>
  </si>
  <si>
    <t>=-NL("Sum","32 Item Ledger Entry","12 Quantity","5 Source no.",$C779,"3 Posting Date",U$9,"4 Entry Type",$C$4,"2 Item No.","@@"&amp;$F779)</t>
  </si>
  <si>
    <t>=-NL("Sum","32 Item Ledger Entry","12 Quantity","5 Source no.",$C780,"3 Posting Date",U$9,"4 Entry Type",$C$4,"2 Item No.","@@"&amp;$F780)</t>
  </si>
  <si>
    <t>=-NL("Sum","32 Item Ledger Entry","12 Quantity","5 Source no.",$C781,"3 Posting Date",U$9,"4 Entry Type",$C$4,"2 Item No.","@@"&amp;$F781)</t>
  </si>
  <si>
    <t>=-NL("Sum","32 Item Ledger Entry","12 Quantity","5 Source no.",$C782,"3 Posting Date",U$9,"4 Entry Type",$C$4,"2 Item No.","@@"&amp;$F782)</t>
  </si>
  <si>
    <t>=-NL("Sum","32 Item Ledger Entry","12 Quantity","5 Source no.",$C783,"3 Posting Date",U$9,"4 Entry Type",$C$4,"2 Item No.","@@"&amp;$F783)</t>
  </si>
  <si>
    <t>=-NL("Sum","32 Item Ledger Entry","12 Quantity","5 Source no.",$C784,"3 Posting Date",U$9,"4 Entry Type",$C$4,"2 Item No.","@@"&amp;$F784)</t>
  </si>
  <si>
    <t>=-NL("Sum","32 Item Ledger Entry","12 Quantity","5 Source no.",$C785,"3 Posting Date",U$9,"4 Entry Type",$C$4,"2 Item No.","@@"&amp;$F785)</t>
  </si>
  <si>
    <t>=-NL("Sum","32 Item Ledger Entry","12 Quantity","5 Source no.",$C786,"3 Posting Date",U$9,"4 Entry Type",$C$4,"2 Item No.","@@"&amp;$F786)</t>
  </si>
  <si>
    <t>=-NL("Sum","32 Item Ledger Entry","12 Quantity","5 Source no.",$C787,"3 Posting Date",U$9,"4 Entry Type",$C$4,"2 Item No.","@@"&amp;$F787)</t>
  </si>
  <si>
    <t>=-NL("Sum","32 Item Ledger Entry","12 Quantity","5 Source no.",$C788,"3 Posting Date",U$9,"4 Entry Type",$C$4,"2 Item No.","@@"&amp;$F788)</t>
  </si>
  <si>
    <t>=-NL("Sum","32 Item Ledger Entry","12 Quantity","5 Source no.",$C789,"3 Posting Date",U$9,"4 Entry Type",$C$4,"2 Item No.","@@"&amp;$F789)</t>
  </si>
  <si>
    <t>=-NL("Sum","32 Item Ledger Entry","12 Quantity","5 Source no.",$C772,"3 Posting Date",Z$9,"4 Entry Type",$C$4,"2 Item No.","@@"&amp;$F772)</t>
  </si>
  <si>
    <t>=-NL("Sum","32 Item Ledger Entry","12 Quantity","5 Source no.",$C773,"3 Posting Date",Z$9,"4 Entry Type",$C$4,"2 Item No.","@@"&amp;$F773)</t>
  </si>
  <si>
    <t>=-NL("Sum","32 Item Ledger Entry","12 Quantity","5 Source no.",$C774,"3 Posting Date",Z$9,"4 Entry Type",$C$4,"2 Item No.","@@"&amp;$F774)</t>
  </si>
  <si>
    <t>=-NL("Sum","32 Item Ledger Entry","12 Quantity","5 Source no.",$C775,"3 Posting Date",Z$9,"4 Entry Type",$C$4,"2 Item No.","@@"&amp;$F775)</t>
  </si>
  <si>
    <t>=-NL("Sum","32 Item Ledger Entry","12 Quantity","5 Source no.",$C776,"3 Posting Date",Z$9,"4 Entry Type",$C$4,"2 Item No.","@@"&amp;$F776)</t>
  </si>
  <si>
    <t>=-NL("Sum","32 Item Ledger Entry","12 Quantity","5 Source no.",$C777,"3 Posting Date",Z$9,"4 Entry Type",$C$4,"2 Item No.","@@"&amp;$F777)</t>
  </si>
  <si>
    <t>=-NL("Sum","32 Item Ledger Entry","12 Quantity","5 Source no.",$C778,"3 Posting Date",Z$9,"4 Entry Type",$C$4,"2 Item No.","@@"&amp;$F778)</t>
  </si>
  <si>
    <t>=-NL("Sum","32 Item Ledger Entry","12 Quantity","5 Source no.",$C779,"3 Posting Date",Z$9,"4 Entry Type",$C$4,"2 Item No.","@@"&amp;$F779)</t>
  </si>
  <si>
    <t>=-NL("Sum","32 Item Ledger Entry","12 Quantity","5 Source no.",$C780,"3 Posting Date",Z$9,"4 Entry Type",$C$4,"2 Item No.","@@"&amp;$F780)</t>
  </si>
  <si>
    <t>=-NL("Sum","32 Item Ledger Entry","12 Quantity","5 Source no.",$C781,"3 Posting Date",Z$9,"4 Entry Type",$C$4,"2 Item No.","@@"&amp;$F781)</t>
  </si>
  <si>
    <t>=-NL("Sum","32 Item Ledger Entry","12 Quantity","5 Source no.",$C782,"3 Posting Date",Z$9,"4 Entry Type",$C$4,"2 Item No.","@@"&amp;$F782)</t>
  </si>
  <si>
    <t>=-NL("Sum","32 Item Ledger Entry","12 Quantity","5 Source no.",$C783,"3 Posting Date",Z$9,"4 Entry Type",$C$4,"2 Item No.","@@"&amp;$F783)</t>
  </si>
  <si>
    <t>=-NL("Sum","32 Item Ledger Entry","12 Quantity","5 Source no.",$C784,"3 Posting Date",Z$9,"4 Entry Type",$C$4,"2 Item No.","@@"&amp;$F784)</t>
  </si>
  <si>
    <t>=-NL("Sum","32 Item Ledger Entry","12 Quantity","5 Source no.",$C785,"3 Posting Date",Z$9,"4 Entry Type",$C$4,"2 Item No.","@@"&amp;$F785)</t>
  </si>
  <si>
    <t>=-NL("Sum","32 Item Ledger Entry","12 Quantity","5 Source no.",$C786,"3 Posting Date",Z$9,"4 Entry Type",$C$4,"2 Item No.","@@"&amp;$F786)</t>
  </si>
  <si>
    <t>=-NL("Sum","32 Item Ledger Entry","12 Quantity","5 Source no.",$C787,"3 Posting Date",Z$9,"4 Entry Type",$C$4,"2 Item No.","@@"&amp;$F787)</t>
  </si>
  <si>
    <t>=-NL("Sum","32 Item Ledger Entry","12 Quantity","5 Source no.",$C788,"3 Posting Date",Z$9,"4 Entry Type",$C$4,"2 Item No.","@@"&amp;$F788)</t>
  </si>
  <si>
    <t>=-NL("Sum","32 Item Ledger Entry","12 Quantity","5 Source no.",$C789,"3 Posting Date",Z$9,"4 Entry Type",$C$4,"2 Item No.","@@"&amp;$F789)</t>
  </si>
  <si>
    <t>=NL(,"27 Item","3 Description","1 No.","@@"&amp;F745)</t>
  </si>
  <si>
    <t>=NL(,"27 Item","3 Description","1 No.","@@"&amp;F746)</t>
  </si>
  <si>
    <t>=NL(,"27 Item","3 Description","1 No.","@@"&amp;F747)</t>
  </si>
  <si>
    <t>=NL(,"27 Item","3 Description","1 No.","@@"&amp;F748)</t>
  </si>
  <si>
    <t>=NL(,"27 Item","3 Description","1 No.","@@"&amp;F749)</t>
  </si>
  <si>
    <t>=NL(,"27 Item","3 Description","1 No.","@@"&amp;F750)</t>
  </si>
  <si>
    <t>=NL(,"27 Item","3 Description","1 No.","@@"&amp;F751)</t>
  </si>
  <si>
    <t>=NL(,"27 Item","3 Description","1 No.","@@"&amp;F752)</t>
  </si>
  <si>
    <t>=NL(,"27 Item","3 Description","1 No.","@@"&amp;F753)</t>
  </si>
  <si>
    <t>=NL(,"27 Item","3 Description","1 No.","@@"&amp;F754)</t>
  </si>
  <si>
    <t>=NL(,"27 Item","3 Description","1 No.","@@"&amp;F755)</t>
  </si>
  <si>
    <t>=NL(,"27 Item","3 Description","1 No.","@@"&amp;F756)</t>
  </si>
  <si>
    <t>=NL(,"27 Item","3 Description","1 No.","@@"&amp;F757)</t>
  </si>
  <si>
    <t>=NL(,"27 Item","3 Description","1 No.","@@"&amp;F758)</t>
  </si>
  <si>
    <t>=NL(,"27 Item","3 Description","1 No.","@@"&amp;F759)</t>
  </si>
  <si>
    <t>=NL(,"27 Item","3 Description","1 No.","@@"&amp;F760)</t>
  </si>
  <si>
    <t>=NL(,"27 Item","3 Description","1 No.","@@"&amp;F761)</t>
  </si>
  <si>
    <t>=NL(,"27 Item","3 Description","1 No.","@@"&amp;F762)</t>
  </si>
  <si>
    <t>=NL(,"27 Item","3 Description","1 No.","@@"&amp;F763)</t>
  </si>
  <si>
    <t>=NL(,"27 Item","3 Description","1 No.","@@"&amp;F764)</t>
  </si>
  <si>
    <t>=NL(,"27 Item","3 Description","1 No.","@@"&amp;F765)</t>
  </si>
  <si>
    <t>=NL(,"27 Item","3 Description","1 No.","@@"&amp;F766)</t>
  </si>
  <si>
    <t>=-NL("Sum","32 Item Ledger Entry","12 Quantity","5 Source no.",$C745,"3 Posting Date",J$9,"4 Entry Type",$C$4,"2 Item No.","@@"&amp;$F745)</t>
  </si>
  <si>
    <t>=-NL("Sum","32 Item Ledger Entry","12 Quantity","5 Source no.",$C746,"3 Posting Date",J$9,"4 Entry Type",$C$4,"2 Item No.","@@"&amp;$F746)</t>
  </si>
  <si>
    <t>=-NL("Sum","32 Item Ledger Entry","12 Quantity","5 Source no.",$C747,"3 Posting Date",J$9,"4 Entry Type",$C$4,"2 Item No.","@@"&amp;$F747)</t>
  </si>
  <si>
    <t>=-NL("Sum","32 Item Ledger Entry","12 Quantity","5 Source no.",$C748,"3 Posting Date",J$9,"4 Entry Type",$C$4,"2 Item No.","@@"&amp;$F748)</t>
  </si>
  <si>
    <t>=-NL("Sum","32 Item Ledger Entry","12 Quantity","5 Source no.",$C749,"3 Posting Date",J$9,"4 Entry Type",$C$4,"2 Item No.","@@"&amp;$F749)</t>
  </si>
  <si>
    <t>=-NL("Sum","32 Item Ledger Entry","12 Quantity","5 Source no.",$C750,"3 Posting Date",J$9,"4 Entry Type",$C$4,"2 Item No.","@@"&amp;$F750)</t>
  </si>
  <si>
    <t>=-NL("Sum","32 Item Ledger Entry","12 Quantity","5 Source no.",$C751,"3 Posting Date",J$9,"4 Entry Type",$C$4,"2 Item No.","@@"&amp;$F751)</t>
  </si>
  <si>
    <t>=-NL("Sum","32 Item Ledger Entry","12 Quantity","5 Source no.",$C752,"3 Posting Date",J$9,"4 Entry Type",$C$4,"2 Item No.","@@"&amp;$F752)</t>
  </si>
  <si>
    <t>=-NL("Sum","32 Item Ledger Entry","12 Quantity","5 Source no.",$C753,"3 Posting Date",J$9,"4 Entry Type",$C$4,"2 Item No.","@@"&amp;$F753)</t>
  </si>
  <si>
    <t>=-NL("Sum","32 Item Ledger Entry","12 Quantity","5 Source no.",$C754,"3 Posting Date",J$9,"4 Entry Type",$C$4,"2 Item No.","@@"&amp;$F754)</t>
  </si>
  <si>
    <t>=-NL("Sum","32 Item Ledger Entry","12 Quantity","5 Source no.",$C755,"3 Posting Date",J$9,"4 Entry Type",$C$4,"2 Item No.","@@"&amp;$F755)</t>
  </si>
  <si>
    <t>=-NL("Sum","32 Item Ledger Entry","12 Quantity","5 Source no.",$C756,"3 Posting Date",J$9,"4 Entry Type",$C$4,"2 Item No.","@@"&amp;$F756)</t>
  </si>
  <si>
    <t>=-NL("Sum","32 Item Ledger Entry","12 Quantity","5 Source no.",$C757,"3 Posting Date",J$9,"4 Entry Type",$C$4,"2 Item No.","@@"&amp;$F757)</t>
  </si>
  <si>
    <t>=-NL("Sum","32 Item Ledger Entry","12 Quantity","5 Source no.",$C758,"3 Posting Date",J$9,"4 Entry Type",$C$4,"2 Item No.","@@"&amp;$F758)</t>
  </si>
  <si>
    <t>=-NL("Sum","32 Item Ledger Entry","12 Quantity","5 Source no.",$C759,"3 Posting Date",J$9,"4 Entry Type",$C$4,"2 Item No.","@@"&amp;$F759)</t>
  </si>
  <si>
    <t>=-NL("Sum","32 Item Ledger Entry","12 Quantity","5 Source no.",$C760,"3 Posting Date",J$9,"4 Entry Type",$C$4,"2 Item No.","@@"&amp;$F760)</t>
  </si>
  <si>
    <t>=-NL("Sum","32 Item Ledger Entry","12 Quantity","5 Source no.",$C761,"3 Posting Date",J$9,"4 Entry Type",$C$4,"2 Item No.","@@"&amp;$F761)</t>
  </si>
  <si>
    <t>=-NL("Sum","32 Item Ledger Entry","12 Quantity","5 Source no.",$C762,"3 Posting Date",J$9,"4 Entry Type",$C$4,"2 Item No.","@@"&amp;$F762)</t>
  </si>
  <si>
    <t>=-NL("Sum","32 Item Ledger Entry","12 Quantity","5 Source no.",$C763,"3 Posting Date",J$9,"4 Entry Type",$C$4,"2 Item No.","@@"&amp;$F763)</t>
  </si>
  <si>
    <t>=-NL("Sum","32 Item Ledger Entry","12 Quantity","5 Source no.",$C764,"3 Posting Date",J$9,"4 Entry Type",$C$4,"2 Item No.","@@"&amp;$F764)</t>
  </si>
  <si>
    <t>=-NL("Sum","32 Item Ledger Entry","12 Quantity","5 Source no.",$C765,"3 Posting Date",J$9,"4 Entry Type",$C$4,"2 Item No.","@@"&amp;$F765)</t>
  </si>
  <si>
    <t>=-NL("Sum","32 Item Ledger Entry","12 Quantity","5 Source no.",$C766,"3 Posting Date",J$9,"4 Entry Type",$C$4,"2 Item No.","@@"&amp;$F766)</t>
  </si>
  <si>
    <t>=-NL("Sum","32 Item Ledger Entry","12 Quantity","5 Source no.",$C745,"3 Posting Date",O$9,"4 Entry Type",$C$4,"2 Item No.","@@"&amp;$F745)</t>
  </si>
  <si>
    <t>=-NL("Sum","32 Item Ledger Entry","12 Quantity","5 Source no.",$C746,"3 Posting Date",O$9,"4 Entry Type",$C$4,"2 Item No.","@@"&amp;$F746)</t>
  </si>
  <si>
    <t>=-NL("Sum","32 Item Ledger Entry","12 Quantity","5 Source no.",$C747,"3 Posting Date",O$9,"4 Entry Type",$C$4,"2 Item No.","@@"&amp;$F747)</t>
  </si>
  <si>
    <t>=-NL("Sum","32 Item Ledger Entry","12 Quantity","5 Source no.",$C748,"3 Posting Date",O$9,"4 Entry Type",$C$4,"2 Item No.","@@"&amp;$F748)</t>
  </si>
  <si>
    <t>=-NL("Sum","32 Item Ledger Entry","12 Quantity","5 Source no.",$C749,"3 Posting Date",O$9,"4 Entry Type",$C$4,"2 Item No.","@@"&amp;$F749)</t>
  </si>
  <si>
    <t>=-NL("Sum","32 Item Ledger Entry","12 Quantity","5 Source no.",$C750,"3 Posting Date",O$9,"4 Entry Type",$C$4,"2 Item No.","@@"&amp;$F750)</t>
  </si>
  <si>
    <t>=-NL("Sum","32 Item Ledger Entry","12 Quantity","5 Source no.",$C751,"3 Posting Date",O$9,"4 Entry Type",$C$4,"2 Item No.","@@"&amp;$F751)</t>
  </si>
  <si>
    <t>=-NL("Sum","32 Item Ledger Entry","12 Quantity","5 Source no.",$C752,"3 Posting Date",O$9,"4 Entry Type",$C$4,"2 Item No.","@@"&amp;$F752)</t>
  </si>
  <si>
    <t>=-NL("Sum","32 Item Ledger Entry","12 Quantity","5 Source no.",$C753,"3 Posting Date",O$9,"4 Entry Type",$C$4,"2 Item No.","@@"&amp;$F753)</t>
  </si>
  <si>
    <t>=-NL("Sum","32 Item Ledger Entry","12 Quantity","5 Source no.",$C754,"3 Posting Date",O$9,"4 Entry Type",$C$4,"2 Item No.","@@"&amp;$F754)</t>
  </si>
  <si>
    <t>=-NL("Sum","32 Item Ledger Entry","12 Quantity","5 Source no.",$C755,"3 Posting Date",O$9,"4 Entry Type",$C$4,"2 Item No.","@@"&amp;$F755)</t>
  </si>
  <si>
    <t>=-NL("Sum","32 Item Ledger Entry","12 Quantity","5 Source no.",$C756,"3 Posting Date",O$9,"4 Entry Type",$C$4,"2 Item No.","@@"&amp;$F756)</t>
  </si>
  <si>
    <t>=-NL("Sum","32 Item Ledger Entry","12 Quantity","5 Source no.",$C757,"3 Posting Date",O$9,"4 Entry Type",$C$4,"2 Item No.","@@"&amp;$F757)</t>
  </si>
  <si>
    <t>=-NL("Sum","32 Item Ledger Entry","12 Quantity","5 Source no.",$C758,"3 Posting Date",O$9,"4 Entry Type",$C$4,"2 Item No.","@@"&amp;$F758)</t>
  </si>
  <si>
    <t>=-NL("Sum","32 Item Ledger Entry","12 Quantity","5 Source no.",$C759,"3 Posting Date",O$9,"4 Entry Type",$C$4,"2 Item No.","@@"&amp;$F759)</t>
  </si>
  <si>
    <t>=-NL("Sum","32 Item Ledger Entry","12 Quantity","5 Source no.",$C760,"3 Posting Date",O$9,"4 Entry Type",$C$4,"2 Item No.","@@"&amp;$F760)</t>
  </si>
  <si>
    <t>=-NL("Sum","32 Item Ledger Entry","12 Quantity","5 Source no.",$C761,"3 Posting Date",O$9,"4 Entry Type",$C$4,"2 Item No.","@@"&amp;$F761)</t>
  </si>
  <si>
    <t>=-NL("Sum","32 Item Ledger Entry","12 Quantity","5 Source no.",$C762,"3 Posting Date",O$9,"4 Entry Type",$C$4,"2 Item No.","@@"&amp;$F762)</t>
  </si>
  <si>
    <t>=-NL("Sum","32 Item Ledger Entry","12 Quantity","5 Source no.",$C763,"3 Posting Date",O$9,"4 Entry Type",$C$4,"2 Item No.","@@"&amp;$F763)</t>
  </si>
  <si>
    <t>=-NL("Sum","32 Item Ledger Entry","12 Quantity","5 Source no.",$C764,"3 Posting Date",O$9,"4 Entry Type",$C$4,"2 Item No.","@@"&amp;$F764)</t>
  </si>
  <si>
    <t>=-NL("Sum","32 Item Ledger Entry","12 Quantity","5 Source no.",$C765,"3 Posting Date",O$9,"4 Entry Type",$C$4,"2 Item No.","@@"&amp;$F765)</t>
  </si>
  <si>
    <t>=-NL("Sum","32 Item Ledger Entry","12 Quantity","5 Source no.",$C766,"3 Posting Date",O$9,"4 Entry Type",$C$4,"2 Item No.","@@"&amp;$F766)</t>
  </si>
  <si>
    <t>=-NL("Sum","32 Item Ledger Entry","12 Quantity","5 Source no.",$C745,"3 Posting Date",U$9,"4 Entry Type",$C$4,"2 Item No.","@@"&amp;$F745)</t>
  </si>
  <si>
    <t>=-NL("Sum","32 Item Ledger Entry","12 Quantity","5 Source no.",$C746,"3 Posting Date",U$9,"4 Entry Type",$C$4,"2 Item No.","@@"&amp;$F746)</t>
  </si>
  <si>
    <t>=-NL("Sum","32 Item Ledger Entry","12 Quantity","5 Source no.",$C747,"3 Posting Date",U$9,"4 Entry Type",$C$4,"2 Item No.","@@"&amp;$F747)</t>
  </si>
  <si>
    <t>=-NL("Sum","32 Item Ledger Entry","12 Quantity","5 Source no.",$C748,"3 Posting Date",U$9,"4 Entry Type",$C$4,"2 Item No.","@@"&amp;$F748)</t>
  </si>
  <si>
    <t>=-NL("Sum","32 Item Ledger Entry","12 Quantity","5 Source no.",$C749,"3 Posting Date",U$9,"4 Entry Type",$C$4,"2 Item No.","@@"&amp;$F749)</t>
  </si>
  <si>
    <t>=-NL("Sum","32 Item Ledger Entry","12 Quantity","5 Source no.",$C750,"3 Posting Date",U$9,"4 Entry Type",$C$4,"2 Item No.","@@"&amp;$F750)</t>
  </si>
  <si>
    <t>=-NL("Sum","32 Item Ledger Entry","12 Quantity","5 Source no.",$C751,"3 Posting Date",U$9,"4 Entry Type",$C$4,"2 Item No.","@@"&amp;$F751)</t>
  </si>
  <si>
    <t>=-NL("Sum","32 Item Ledger Entry","12 Quantity","5 Source no.",$C752,"3 Posting Date",U$9,"4 Entry Type",$C$4,"2 Item No.","@@"&amp;$F752)</t>
  </si>
  <si>
    <t>=-NL("Sum","32 Item Ledger Entry","12 Quantity","5 Source no.",$C753,"3 Posting Date",U$9,"4 Entry Type",$C$4,"2 Item No.","@@"&amp;$F753)</t>
  </si>
  <si>
    <t>=-NL("Sum","32 Item Ledger Entry","12 Quantity","5 Source no.",$C754,"3 Posting Date",U$9,"4 Entry Type",$C$4,"2 Item No.","@@"&amp;$F754)</t>
  </si>
  <si>
    <t>=-NL("Sum","32 Item Ledger Entry","12 Quantity","5 Source no.",$C755,"3 Posting Date",U$9,"4 Entry Type",$C$4,"2 Item No.","@@"&amp;$F755)</t>
  </si>
  <si>
    <t>=-NL("Sum","32 Item Ledger Entry","12 Quantity","5 Source no.",$C756,"3 Posting Date",U$9,"4 Entry Type",$C$4,"2 Item No.","@@"&amp;$F756)</t>
  </si>
  <si>
    <t>=-NL("Sum","32 Item Ledger Entry","12 Quantity","5 Source no.",$C757,"3 Posting Date",U$9,"4 Entry Type",$C$4,"2 Item No.","@@"&amp;$F757)</t>
  </si>
  <si>
    <t>=-NL("Sum","32 Item Ledger Entry","12 Quantity","5 Source no.",$C758,"3 Posting Date",U$9,"4 Entry Type",$C$4,"2 Item No.","@@"&amp;$F758)</t>
  </si>
  <si>
    <t>=-NL("Sum","32 Item Ledger Entry","12 Quantity","5 Source no.",$C759,"3 Posting Date",U$9,"4 Entry Type",$C$4,"2 Item No.","@@"&amp;$F759)</t>
  </si>
  <si>
    <t>=-NL("Sum","32 Item Ledger Entry","12 Quantity","5 Source no.",$C760,"3 Posting Date",U$9,"4 Entry Type",$C$4,"2 Item No.","@@"&amp;$F760)</t>
  </si>
  <si>
    <t>=-NL("Sum","32 Item Ledger Entry","12 Quantity","5 Source no.",$C761,"3 Posting Date",U$9,"4 Entry Type",$C$4,"2 Item No.","@@"&amp;$F761)</t>
  </si>
  <si>
    <t>=-NL("Sum","32 Item Ledger Entry","12 Quantity","5 Source no.",$C762,"3 Posting Date",U$9,"4 Entry Type",$C$4,"2 Item No.","@@"&amp;$F762)</t>
  </si>
  <si>
    <t>=-NL("Sum","32 Item Ledger Entry","12 Quantity","5 Source no.",$C763,"3 Posting Date",U$9,"4 Entry Type",$C$4,"2 Item No.","@@"&amp;$F763)</t>
  </si>
  <si>
    <t>=-NL("Sum","32 Item Ledger Entry","12 Quantity","5 Source no.",$C764,"3 Posting Date",U$9,"4 Entry Type",$C$4,"2 Item No.","@@"&amp;$F764)</t>
  </si>
  <si>
    <t>=-NL("Sum","32 Item Ledger Entry","12 Quantity","5 Source no.",$C765,"3 Posting Date",U$9,"4 Entry Type",$C$4,"2 Item No.","@@"&amp;$F765)</t>
  </si>
  <si>
    <t>=-NL("Sum","32 Item Ledger Entry","12 Quantity","5 Source no.",$C766,"3 Posting Date",U$9,"4 Entry Type",$C$4,"2 Item No.","@@"&amp;$F766)</t>
  </si>
  <si>
    <t>=-NL("Sum","32 Item Ledger Entry","12 Quantity","5 Source no.",$C745,"3 Posting Date",Z$9,"4 Entry Type",$C$4,"2 Item No.","@@"&amp;$F745)</t>
  </si>
  <si>
    <t>=-NL("Sum","32 Item Ledger Entry","12 Quantity","5 Source no.",$C746,"3 Posting Date",Z$9,"4 Entry Type",$C$4,"2 Item No.","@@"&amp;$F746)</t>
  </si>
  <si>
    <t>=-NL("Sum","32 Item Ledger Entry","12 Quantity","5 Source no.",$C747,"3 Posting Date",Z$9,"4 Entry Type",$C$4,"2 Item No.","@@"&amp;$F747)</t>
  </si>
  <si>
    <t>=-NL("Sum","32 Item Ledger Entry","12 Quantity","5 Source no.",$C748,"3 Posting Date",Z$9,"4 Entry Type",$C$4,"2 Item No.","@@"&amp;$F748)</t>
  </si>
  <si>
    <t>=-NL("Sum","32 Item Ledger Entry","12 Quantity","5 Source no.",$C749,"3 Posting Date",Z$9,"4 Entry Type",$C$4,"2 Item No.","@@"&amp;$F749)</t>
  </si>
  <si>
    <t>=-NL("Sum","32 Item Ledger Entry","12 Quantity","5 Source no.",$C750,"3 Posting Date",Z$9,"4 Entry Type",$C$4,"2 Item No.","@@"&amp;$F750)</t>
  </si>
  <si>
    <t>=-NL("Sum","32 Item Ledger Entry","12 Quantity","5 Source no.",$C751,"3 Posting Date",Z$9,"4 Entry Type",$C$4,"2 Item No.","@@"&amp;$F751)</t>
  </si>
  <si>
    <t>=-NL("Sum","32 Item Ledger Entry","12 Quantity","5 Source no.",$C752,"3 Posting Date",Z$9,"4 Entry Type",$C$4,"2 Item No.","@@"&amp;$F752)</t>
  </si>
  <si>
    <t>=-NL("Sum","32 Item Ledger Entry","12 Quantity","5 Source no.",$C753,"3 Posting Date",Z$9,"4 Entry Type",$C$4,"2 Item No.","@@"&amp;$F753)</t>
  </si>
  <si>
    <t>=-NL("Sum","32 Item Ledger Entry","12 Quantity","5 Source no.",$C754,"3 Posting Date",Z$9,"4 Entry Type",$C$4,"2 Item No.","@@"&amp;$F754)</t>
  </si>
  <si>
    <t>=-NL("Sum","32 Item Ledger Entry","12 Quantity","5 Source no.",$C755,"3 Posting Date",Z$9,"4 Entry Type",$C$4,"2 Item No.","@@"&amp;$F755)</t>
  </si>
  <si>
    <t>=-NL("Sum","32 Item Ledger Entry","12 Quantity","5 Source no.",$C756,"3 Posting Date",Z$9,"4 Entry Type",$C$4,"2 Item No.","@@"&amp;$F756)</t>
  </si>
  <si>
    <t>=-NL("Sum","32 Item Ledger Entry","12 Quantity","5 Source no.",$C757,"3 Posting Date",Z$9,"4 Entry Type",$C$4,"2 Item No.","@@"&amp;$F757)</t>
  </si>
  <si>
    <t>=-NL("Sum","32 Item Ledger Entry","12 Quantity","5 Source no.",$C758,"3 Posting Date",Z$9,"4 Entry Type",$C$4,"2 Item No.","@@"&amp;$F758)</t>
  </si>
  <si>
    <t>=-NL("Sum","32 Item Ledger Entry","12 Quantity","5 Source no.",$C759,"3 Posting Date",Z$9,"4 Entry Type",$C$4,"2 Item No.","@@"&amp;$F759)</t>
  </si>
  <si>
    <t>=-NL("Sum","32 Item Ledger Entry","12 Quantity","5 Source no.",$C760,"3 Posting Date",Z$9,"4 Entry Type",$C$4,"2 Item No.","@@"&amp;$F760)</t>
  </si>
  <si>
    <t>=-NL("Sum","32 Item Ledger Entry","12 Quantity","5 Source no.",$C761,"3 Posting Date",Z$9,"4 Entry Type",$C$4,"2 Item No.","@@"&amp;$F761)</t>
  </si>
  <si>
    <t>=-NL("Sum","32 Item Ledger Entry","12 Quantity","5 Source no.",$C762,"3 Posting Date",Z$9,"4 Entry Type",$C$4,"2 Item No.","@@"&amp;$F762)</t>
  </si>
  <si>
    <t>=-NL("Sum","32 Item Ledger Entry","12 Quantity","5 Source no.",$C763,"3 Posting Date",Z$9,"4 Entry Type",$C$4,"2 Item No.","@@"&amp;$F763)</t>
  </si>
  <si>
    <t>=-NL("Sum","32 Item Ledger Entry","12 Quantity","5 Source no.",$C764,"3 Posting Date",Z$9,"4 Entry Type",$C$4,"2 Item No.","@@"&amp;$F764)</t>
  </si>
  <si>
    <t>=-NL("Sum","32 Item Ledger Entry","12 Quantity","5 Source no.",$C765,"3 Posting Date",Z$9,"4 Entry Type",$C$4,"2 Item No.","@@"&amp;$F765)</t>
  </si>
  <si>
    <t>=-NL("Sum","32 Item Ledger Entry","12 Quantity","5 Source no.",$C766,"3 Posting Date",Z$9,"4 Entry Type",$C$4,"2 Item No.","@@"&amp;$F766)</t>
  </si>
  <si>
    <t>=NL(,"27 Item","3 Description","1 No.","@@"&amp;F708)</t>
  </si>
  <si>
    <t>=NL(,"27 Item","3 Description","1 No.","@@"&amp;F709)</t>
  </si>
  <si>
    <t>=NL(,"27 Item","3 Description","1 No.","@@"&amp;F710)</t>
  </si>
  <si>
    <t>=NL(,"27 Item","3 Description","1 No.","@@"&amp;F711)</t>
  </si>
  <si>
    <t>=NL(,"27 Item","3 Description","1 No.","@@"&amp;F712)</t>
  </si>
  <si>
    <t>=NL(,"27 Item","3 Description","1 No.","@@"&amp;F713)</t>
  </si>
  <si>
    <t>=NL(,"27 Item","3 Description","1 No.","@@"&amp;F714)</t>
  </si>
  <si>
    <t>=NL(,"27 Item","3 Description","1 No.","@@"&amp;F715)</t>
  </si>
  <si>
    <t>=NL(,"27 Item","3 Description","1 No.","@@"&amp;F716)</t>
  </si>
  <si>
    <t>=NL(,"27 Item","3 Description","1 No.","@@"&amp;F717)</t>
  </si>
  <si>
    <t>=NL(,"27 Item","3 Description","1 No.","@@"&amp;F718)</t>
  </si>
  <si>
    <t>=NL(,"27 Item","3 Description","1 No.","@@"&amp;F719)</t>
  </si>
  <si>
    <t>=NL(,"27 Item","3 Description","1 No.","@@"&amp;F720)</t>
  </si>
  <si>
    <t>=NL(,"27 Item","3 Description","1 No.","@@"&amp;F721)</t>
  </si>
  <si>
    <t>=NL(,"27 Item","3 Description","1 No.","@@"&amp;F722)</t>
  </si>
  <si>
    <t>=NL(,"27 Item","3 Description","1 No.","@@"&amp;F723)</t>
  </si>
  <si>
    <t>=NL(,"27 Item","3 Description","1 No.","@@"&amp;F724)</t>
  </si>
  <si>
    <t>=NL(,"27 Item","3 Description","1 No.","@@"&amp;F725)</t>
  </si>
  <si>
    <t>=NL(,"27 Item","3 Description","1 No.","@@"&amp;F726)</t>
  </si>
  <si>
    <t>=NL(,"27 Item","3 Description","1 No.","@@"&amp;F727)</t>
  </si>
  <si>
    <t>=NL(,"27 Item","3 Description","1 No.","@@"&amp;F728)</t>
  </si>
  <si>
    <t>=NL(,"27 Item","3 Description","1 No.","@@"&amp;F729)</t>
  </si>
  <si>
    <t>=NL(,"27 Item","3 Description","1 No.","@@"&amp;F730)</t>
  </si>
  <si>
    <t>=NL(,"27 Item","3 Description","1 No.","@@"&amp;F731)</t>
  </si>
  <si>
    <t>=NL(,"27 Item","3 Description","1 No.","@@"&amp;F732)</t>
  </si>
  <si>
    <t>=NL(,"27 Item","3 Description","1 No.","@@"&amp;F733)</t>
  </si>
  <si>
    <t>=NL(,"27 Item","3 Description","1 No.","@@"&amp;F734)</t>
  </si>
  <si>
    <t>=NL(,"27 Item","3 Description","1 No.","@@"&amp;F735)</t>
  </si>
  <si>
    <t>=NL(,"27 Item","3 Description","1 No.","@@"&amp;F736)</t>
  </si>
  <si>
    <t>=NL(,"27 Item","3 Description","1 No.","@@"&amp;F737)</t>
  </si>
  <si>
    <t>=NL(,"27 Item","3 Description","1 No.","@@"&amp;F738)</t>
  </si>
  <si>
    <t>=NL(,"27 Item","3 Description","1 No.","@@"&amp;F739)</t>
  </si>
  <si>
    <t>=-NL("Sum","32 Item Ledger Entry","12 Quantity","5 Source no.",$C708,"3 Posting Date",J$9,"4 Entry Type",$C$4,"2 Item No.","@@"&amp;$F708)</t>
  </si>
  <si>
    <t>=-NL("Sum","32 Item Ledger Entry","12 Quantity","5 Source no.",$C709,"3 Posting Date",J$9,"4 Entry Type",$C$4,"2 Item No.","@@"&amp;$F709)</t>
  </si>
  <si>
    <t>=-NL("Sum","32 Item Ledger Entry","12 Quantity","5 Source no.",$C710,"3 Posting Date",J$9,"4 Entry Type",$C$4,"2 Item No.","@@"&amp;$F710)</t>
  </si>
  <si>
    <t>=-NL("Sum","32 Item Ledger Entry","12 Quantity","5 Source no.",$C711,"3 Posting Date",J$9,"4 Entry Type",$C$4,"2 Item No.","@@"&amp;$F711)</t>
  </si>
  <si>
    <t>=-NL("Sum","32 Item Ledger Entry","12 Quantity","5 Source no.",$C712,"3 Posting Date",J$9,"4 Entry Type",$C$4,"2 Item No.","@@"&amp;$F712)</t>
  </si>
  <si>
    <t>=-NL("Sum","32 Item Ledger Entry","12 Quantity","5 Source no.",$C713,"3 Posting Date",J$9,"4 Entry Type",$C$4,"2 Item No.","@@"&amp;$F713)</t>
  </si>
  <si>
    <t>=-NL("Sum","32 Item Ledger Entry","12 Quantity","5 Source no.",$C714,"3 Posting Date",J$9,"4 Entry Type",$C$4,"2 Item No.","@@"&amp;$F714)</t>
  </si>
  <si>
    <t>=-NL("Sum","32 Item Ledger Entry","12 Quantity","5 Source no.",$C715,"3 Posting Date",J$9,"4 Entry Type",$C$4,"2 Item No.","@@"&amp;$F715)</t>
  </si>
  <si>
    <t>=-NL("Sum","32 Item Ledger Entry","12 Quantity","5 Source no.",$C716,"3 Posting Date",J$9,"4 Entry Type",$C$4,"2 Item No.","@@"&amp;$F716)</t>
  </si>
  <si>
    <t>=-NL("Sum","32 Item Ledger Entry","12 Quantity","5 Source no.",$C717,"3 Posting Date",J$9,"4 Entry Type",$C$4,"2 Item No.","@@"&amp;$F717)</t>
  </si>
  <si>
    <t>=-NL("Sum","32 Item Ledger Entry","12 Quantity","5 Source no.",$C718,"3 Posting Date",J$9,"4 Entry Type",$C$4,"2 Item No.","@@"&amp;$F718)</t>
  </si>
  <si>
    <t>=-NL("Sum","32 Item Ledger Entry","12 Quantity","5 Source no.",$C719,"3 Posting Date",J$9,"4 Entry Type",$C$4,"2 Item No.","@@"&amp;$F719)</t>
  </si>
  <si>
    <t>=-NL("Sum","32 Item Ledger Entry","12 Quantity","5 Source no.",$C720,"3 Posting Date",J$9,"4 Entry Type",$C$4,"2 Item No.","@@"&amp;$F720)</t>
  </si>
  <si>
    <t>=-NL("Sum","32 Item Ledger Entry","12 Quantity","5 Source no.",$C721,"3 Posting Date",J$9,"4 Entry Type",$C$4,"2 Item No.","@@"&amp;$F721)</t>
  </si>
  <si>
    <t>=-NL("Sum","32 Item Ledger Entry","12 Quantity","5 Source no.",$C722,"3 Posting Date",J$9,"4 Entry Type",$C$4,"2 Item No.","@@"&amp;$F722)</t>
  </si>
  <si>
    <t>=-NL("Sum","32 Item Ledger Entry","12 Quantity","5 Source no.",$C723,"3 Posting Date",J$9,"4 Entry Type",$C$4,"2 Item No.","@@"&amp;$F723)</t>
  </si>
  <si>
    <t>=-NL("Sum","32 Item Ledger Entry","12 Quantity","5 Source no.",$C724,"3 Posting Date",J$9,"4 Entry Type",$C$4,"2 Item No.","@@"&amp;$F724)</t>
  </si>
  <si>
    <t>=-NL("Sum","32 Item Ledger Entry","12 Quantity","5 Source no.",$C725,"3 Posting Date",J$9,"4 Entry Type",$C$4,"2 Item No.","@@"&amp;$F725)</t>
  </si>
  <si>
    <t>=-NL("Sum","32 Item Ledger Entry","12 Quantity","5 Source no.",$C726,"3 Posting Date",J$9,"4 Entry Type",$C$4,"2 Item No.","@@"&amp;$F726)</t>
  </si>
  <si>
    <t>=-NL("Sum","32 Item Ledger Entry","12 Quantity","5 Source no.",$C727,"3 Posting Date",J$9,"4 Entry Type",$C$4,"2 Item No.","@@"&amp;$F727)</t>
  </si>
  <si>
    <t>=-NL("Sum","32 Item Ledger Entry","12 Quantity","5 Source no.",$C728,"3 Posting Date",J$9,"4 Entry Type",$C$4,"2 Item No.","@@"&amp;$F728)</t>
  </si>
  <si>
    <t>=-NL("Sum","32 Item Ledger Entry","12 Quantity","5 Source no.",$C729,"3 Posting Date",J$9,"4 Entry Type",$C$4,"2 Item No.","@@"&amp;$F729)</t>
  </si>
  <si>
    <t>=-NL("Sum","32 Item Ledger Entry","12 Quantity","5 Source no.",$C730,"3 Posting Date",J$9,"4 Entry Type",$C$4,"2 Item No.","@@"&amp;$F730)</t>
  </si>
  <si>
    <t>=-NL("Sum","32 Item Ledger Entry","12 Quantity","5 Source no.",$C731,"3 Posting Date",J$9,"4 Entry Type",$C$4,"2 Item No.","@@"&amp;$F731)</t>
  </si>
  <si>
    <t>=-NL("Sum","32 Item Ledger Entry","12 Quantity","5 Source no.",$C732,"3 Posting Date",J$9,"4 Entry Type",$C$4,"2 Item No.","@@"&amp;$F732)</t>
  </si>
  <si>
    <t>=-NL("Sum","32 Item Ledger Entry","12 Quantity","5 Source no.",$C733,"3 Posting Date",J$9,"4 Entry Type",$C$4,"2 Item No.","@@"&amp;$F733)</t>
  </si>
  <si>
    <t>=-NL("Sum","32 Item Ledger Entry","12 Quantity","5 Source no.",$C734,"3 Posting Date",J$9,"4 Entry Type",$C$4,"2 Item No.","@@"&amp;$F734)</t>
  </si>
  <si>
    <t>=-NL("Sum","32 Item Ledger Entry","12 Quantity","5 Source no.",$C735,"3 Posting Date",J$9,"4 Entry Type",$C$4,"2 Item No.","@@"&amp;$F735)</t>
  </si>
  <si>
    <t>=-NL("Sum","32 Item Ledger Entry","12 Quantity","5 Source no.",$C736,"3 Posting Date",J$9,"4 Entry Type",$C$4,"2 Item No.","@@"&amp;$F736)</t>
  </si>
  <si>
    <t>=-NL("Sum","32 Item Ledger Entry","12 Quantity","5 Source no.",$C737,"3 Posting Date",J$9,"4 Entry Type",$C$4,"2 Item No.","@@"&amp;$F737)</t>
  </si>
  <si>
    <t>=-NL("Sum","32 Item Ledger Entry","12 Quantity","5 Source no.",$C738,"3 Posting Date",J$9,"4 Entry Type",$C$4,"2 Item No.","@@"&amp;$F738)</t>
  </si>
  <si>
    <t>=-NL("Sum","32 Item Ledger Entry","12 Quantity","5 Source no.",$C739,"3 Posting Date",J$9,"4 Entry Type",$C$4,"2 Item No.","@@"&amp;$F739)</t>
  </si>
  <si>
    <t>=-NL("Sum","32 Item Ledger Entry","12 Quantity","5 Source no.",$C708,"3 Posting Date",O$9,"4 Entry Type",$C$4,"2 Item No.","@@"&amp;$F708)</t>
  </si>
  <si>
    <t>=-NL("Sum","32 Item Ledger Entry","12 Quantity","5 Source no.",$C709,"3 Posting Date",O$9,"4 Entry Type",$C$4,"2 Item No.","@@"&amp;$F709)</t>
  </si>
  <si>
    <t>=-NL("Sum","32 Item Ledger Entry","12 Quantity","5 Source no.",$C710,"3 Posting Date",O$9,"4 Entry Type",$C$4,"2 Item No.","@@"&amp;$F710)</t>
  </si>
  <si>
    <t>=-NL("Sum","32 Item Ledger Entry","12 Quantity","5 Source no.",$C711,"3 Posting Date",O$9,"4 Entry Type",$C$4,"2 Item No.","@@"&amp;$F711)</t>
  </si>
  <si>
    <t>=-NL("Sum","32 Item Ledger Entry","12 Quantity","5 Source no.",$C712,"3 Posting Date",O$9,"4 Entry Type",$C$4,"2 Item No.","@@"&amp;$F712)</t>
  </si>
  <si>
    <t>=-NL("Sum","32 Item Ledger Entry","12 Quantity","5 Source no.",$C713,"3 Posting Date",O$9,"4 Entry Type",$C$4,"2 Item No.","@@"&amp;$F713)</t>
  </si>
  <si>
    <t>=-NL("Sum","32 Item Ledger Entry","12 Quantity","5 Source no.",$C714,"3 Posting Date",O$9,"4 Entry Type",$C$4,"2 Item No.","@@"&amp;$F714)</t>
  </si>
  <si>
    <t>=-NL("Sum","32 Item Ledger Entry","12 Quantity","5 Source no.",$C715,"3 Posting Date",O$9,"4 Entry Type",$C$4,"2 Item No.","@@"&amp;$F715)</t>
  </si>
  <si>
    <t>=-NL("Sum","32 Item Ledger Entry","12 Quantity","5 Source no.",$C716,"3 Posting Date",O$9,"4 Entry Type",$C$4,"2 Item No.","@@"&amp;$F716)</t>
  </si>
  <si>
    <t>=-NL("Sum","32 Item Ledger Entry","12 Quantity","5 Source no.",$C717,"3 Posting Date",O$9,"4 Entry Type",$C$4,"2 Item No.","@@"&amp;$F717)</t>
  </si>
  <si>
    <t>=-NL("Sum","32 Item Ledger Entry","12 Quantity","5 Source no.",$C718,"3 Posting Date",O$9,"4 Entry Type",$C$4,"2 Item No.","@@"&amp;$F718)</t>
  </si>
  <si>
    <t>=-NL("Sum","32 Item Ledger Entry","12 Quantity","5 Source no.",$C719,"3 Posting Date",O$9,"4 Entry Type",$C$4,"2 Item No.","@@"&amp;$F719)</t>
  </si>
  <si>
    <t>=-NL("Sum","32 Item Ledger Entry","12 Quantity","5 Source no.",$C720,"3 Posting Date",O$9,"4 Entry Type",$C$4,"2 Item No.","@@"&amp;$F720)</t>
  </si>
  <si>
    <t>=-NL("Sum","32 Item Ledger Entry","12 Quantity","5 Source no.",$C721,"3 Posting Date",O$9,"4 Entry Type",$C$4,"2 Item No.","@@"&amp;$F721)</t>
  </si>
  <si>
    <t>=-NL("Sum","32 Item Ledger Entry","12 Quantity","5 Source no.",$C722,"3 Posting Date",O$9,"4 Entry Type",$C$4,"2 Item No.","@@"&amp;$F722)</t>
  </si>
  <si>
    <t>=-NL("Sum","32 Item Ledger Entry","12 Quantity","5 Source no.",$C723,"3 Posting Date",O$9,"4 Entry Type",$C$4,"2 Item No.","@@"&amp;$F723)</t>
  </si>
  <si>
    <t>=-NL("Sum","32 Item Ledger Entry","12 Quantity","5 Source no.",$C724,"3 Posting Date",O$9,"4 Entry Type",$C$4,"2 Item No.","@@"&amp;$F724)</t>
  </si>
  <si>
    <t>=-NL("Sum","32 Item Ledger Entry","12 Quantity","5 Source no.",$C725,"3 Posting Date",O$9,"4 Entry Type",$C$4,"2 Item No.","@@"&amp;$F725)</t>
  </si>
  <si>
    <t>=-NL("Sum","32 Item Ledger Entry","12 Quantity","5 Source no.",$C726,"3 Posting Date",O$9,"4 Entry Type",$C$4,"2 Item No.","@@"&amp;$F726)</t>
  </si>
  <si>
    <t>=-NL("Sum","32 Item Ledger Entry","12 Quantity","5 Source no.",$C727,"3 Posting Date",O$9,"4 Entry Type",$C$4,"2 Item No.","@@"&amp;$F727)</t>
  </si>
  <si>
    <t>=-NL("Sum","32 Item Ledger Entry","12 Quantity","5 Source no.",$C728,"3 Posting Date",O$9,"4 Entry Type",$C$4,"2 Item No.","@@"&amp;$F728)</t>
  </si>
  <si>
    <t>=-NL("Sum","32 Item Ledger Entry","12 Quantity","5 Source no.",$C729,"3 Posting Date",O$9,"4 Entry Type",$C$4,"2 Item No.","@@"&amp;$F729)</t>
  </si>
  <si>
    <t>=-NL("Sum","32 Item Ledger Entry","12 Quantity","5 Source no.",$C730,"3 Posting Date",O$9,"4 Entry Type",$C$4,"2 Item No.","@@"&amp;$F730)</t>
  </si>
  <si>
    <t>=-NL("Sum","32 Item Ledger Entry","12 Quantity","5 Source no.",$C731,"3 Posting Date",O$9,"4 Entry Type",$C$4,"2 Item No.","@@"&amp;$F731)</t>
  </si>
  <si>
    <t>=-NL("Sum","32 Item Ledger Entry","12 Quantity","5 Source no.",$C732,"3 Posting Date",O$9,"4 Entry Type",$C$4,"2 Item No.","@@"&amp;$F732)</t>
  </si>
  <si>
    <t>=-NL("Sum","32 Item Ledger Entry","12 Quantity","5 Source no.",$C733,"3 Posting Date",O$9,"4 Entry Type",$C$4,"2 Item No.","@@"&amp;$F733)</t>
  </si>
  <si>
    <t>=-NL("Sum","32 Item Ledger Entry","12 Quantity","5 Source no.",$C734,"3 Posting Date",O$9,"4 Entry Type",$C$4,"2 Item No.","@@"&amp;$F734)</t>
  </si>
  <si>
    <t>=-NL("Sum","32 Item Ledger Entry","12 Quantity","5 Source no.",$C735,"3 Posting Date",O$9,"4 Entry Type",$C$4,"2 Item No.","@@"&amp;$F735)</t>
  </si>
  <si>
    <t>=-NL("Sum","32 Item Ledger Entry","12 Quantity","5 Source no.",$C736,"3 Posting Date",O$9,"4 Entry Type",$C$4,"2 Item No.","@@"&amp;$F736)</t>
  </si>
  <si>
    <t>=-NL("Sum","32 Item Ledger Entry","12 Quantity","5 Source no.",$C737,"3 Posting Date",O$9,"4 Entry Type",$C$4,"2 Item No.","@@"&amp;$F737)</t>
  </si>
  <si>
    <t>=-NL("Sum","32 Item Ledger Entry","12 Quantity","5 Source no.",$C738,"3 Posting Date",O$9,"4 Entry Type",$C$4,"2 Item No.","@@"&amp;$F738)</t>
  </si>
  <si>
    <t>=-NL("Sum","32 Item Ledger Entry","12 Quantity","5 Source no.",$C739,"3 Posting Date",O$9,"4 Entry Type",$C$4,"2 Item No.","@@"&amp;$F739)</t>
  </si>
  <si>
    <t>=-NL("Sum","32 Item Ledger Entry","12 Quantity","5 Source no.",$C708,"3 Posting Date",U$9,"4 Entry Type",$C$4,"2 Item No.","@@"&amp;$F708)</t>
  </si>
  <si>
    <t>=-NL("Sum","32 Item Ledger Entry","12 Quantity","5 Source no.",$C709,"3 Posting Date",U$9,"4 Entry Type",$C$4,"2 Item No.","@@"&amp;$F709)</t>
  </si>
  <si>
    <t>=-NL("Sum","32 Item Ledger Entry","12 Quantity","5 Source no.",$C710,"3 Posting Date",U$9,"4 Entry Type",$C$4,"2 Item No.","@@"&amp;$F710)</t>
  </si>
  <si>
    <t>=-NL("Sum","32 Item Ledger Entry","12 Quantity","5 Source no.",$C711,"3 Posting Date",U$9,"4 Entry Type",$C$4,"2 Item No.","@@"&amp;$F711)</t>
  </si>
  <si>
    <t>=-NL("Sum","32 Item Ledger Entry","12 Quantity","5 Source no.",$C712,"3 Posting Date",U$9,"4 Entry Type",$C$4,"2 Item No.","@@"&amp;$F712)</t>
  </si>
  <si>
    <t>=-NL("Sum","32 Item Ledger Entry","12 Quantity","5 Source no.",$C713,"3 Posting Date",U$9,"4 Entry Type",$C$4,"2 Item No.","@@"&amp;$F713)</t>
  </si>
  <si>
    <t>=-NL("Sum","32 Item Ledger Entry","12 Quantity","5 Source no.",$C714,"3 Posting Date",U$9,"4 Entry Type",$C$4,"2 Item No.","@@"&amp;$F714)</t>
  </si>
  <si>
    <t>=-NL("Sum","32 Item Ledger Entry","12 Quantity","5 Source no.",$C715,"3 Posting Date",U$9,"4 Entry Type",$C$4,"2 Item No.","@@"&amp;$F715)</t>
  </si>
  <si>
    <t>=-NL("Sum","32 Item Ledger Entry","12 Quantity","5 Source no.",$C716,"3 Posting Date",U$9,"4 Entry Type",$C$4,"2 Item No.","@@"&amp;$F716)</t>
  </si>
  <si>
    <t>=-NL("Sum","32 Item Ledger Entry","12 Quantity","5 Source no.",$C717,"3 Posting Date",U$9,"4 Entry Type",$C$4,"2 Item No.","@@"&amp;$F717)</t>
  </si>
  <si>
    <t>=-NL("Sum","32 Item Ledger Entry","12 Quantity","5 Source no.",$C718,"3 Posting Date",U$9,"4 Entry Type",$C$4,"2 Item No.","@@"&amp;$F718)</t>
  </si>
  <si>
    <t>=-NL("Sum","32 Item Ledger Entry","12 Quantity","5 Source no.",$C719,"3 Posting Date",U$9,"4 Entry Type",$C$4,"2 Item No.","@@"&amp;$F719)</t>
  </si>
  <si>
    <t>=-NL("Sum","32 Item Ledger Entry","12 Quantity","5 Source no.",$C720,"3 Posting Date",U$9,"4 Entry Type",$C$4,"2 Item No.","@@"&amp;$F720)</t>
  </si>
  <si>
    <t>=-NL("Sum","32 Item Ledger Entry","12 Quantity","5 Source no.",$C721,"3 Posting Date",U$9,"4 Entry Type",$C$4,"2 Item No.","@@"&amp;$F721)</t>
  </si>
  <si>
    <t>=-NL("Sum","32 Item Ledger Entry","12 Quantity","5 Source no.",$C722,"3 Posting Date",U$9,"4 Entry Type",$C$4,"2 Item No.","@@"&amp;$F722)</t>
  </si>
  <si>
    <t>=-NL("Sum","32 Item Ledger Entry","12 Quantity","5 Source no.",$C723,"3 Posting Date",U$9,"4 Entry Type",$C$4,"2 Item No.","@@"&amp;$F723)</t>
  </si>
  <si>
    <t>=-NL("Sum","32 Item Ledger Entry","12 Quantity","5 Source no.",$C724,"3 Posting Date",U$9,"4 Entry Type",$C$4,"2 Item No.","@@"&amp;$F724)</t>
  </si>
  <si>
    <t>=-NL("Sum","32 Item Ledger Entry","12 Quantity","5 Source no.",$C725,"3 Posting Date",U$9,"4 Entry Type",$C$4,"2 Item No.","@@"&amp;$F725)</t>
  </si>
  <si>
    <t>=-NL("Sum","32 Item Ledger Entry","12 Quantity","5 Source no.",$C726,"3 Posting Date",U$9,"4 Entry Type",$C$4,"2 Item No.","@@"&amp;$F726)</t>
  </si>
  <si>
    <t>=-NL("Sum","32 Item Ledger Entry","12 Quantity","5 Source no.",$C727,"3 Posting Date",U$9,"4 Entry Type",$C$4,"2 Item No.","@@"&amp;$F727)</t>
  </si>
  <si>
    <t>=-NL("Sum","32 Item Ledger Entry","12 Quantity","5 Source no.",$C728,"3 Posting Date",U$9,"4 Entry Type",$C$4,"2 Item No.","@@"&amp;$F728)</t>
  </si>
  <si>
    <t>=-NL("Sum","32 Item Ledger Entry","12 Quantity","5 Source no.",$C729,"3 Posting Date",U$9,"4 Entry Type",$C$4,"2 Item No.","@@"&amp;$F729)</t>
  </si>
  <si>
    <t>=-NL("Sum","32 Item Ledger Entry","12 Quantity","5 Source no.",$C730,"3 Posting Date",U$9,"4 Entry Type",$C$4,"2 Item No.","@@"&amp;$F730)</t>
  </si>
  <si>
    <t>=-NL("Sum","32 Item Ledger Entry","12 Quantity","5 Source no.",$C731,"3 Posting Date",U$9,"4 Entry Type",$C$4,"2 Item No.","@@"&amp;$F731)</t>
  </si>
  <si>
    <t>=-NL("Sum","32 Item Ledger Entry","12 Quantity","5 Source no.",$C732,"3 Posting Date",U$9,"4 Entry Type",$C$4,"2 Item No.","@@"&amp;$F732)</t>
  </si>
  <si>
    <t>=-NL("Sum","32 Item Ledger Entry","12 Quantity","5 Source no.",$C733,"3 Posting Date",U$9,"4 Entry Type",$C$4,"2 Item No.","@@"&amp;$F733)</t>
  </si>
  <si>
    <t>=-NL("Sum","32 Item Ledger Entry","12 Quantity","5 Source no.",$C734,"3 Posting Date",U$9,"4 Entry Type",$C$4,"2 Item No.","@@"&amp;$F734)</t>
  </si>
  <si>
    <t>=-NL("Sum","32 Item Ledger Entry","12 Quantity","5 Source no.",$C735,"3 Posting Date",U$9,"4 Entry Type",$C$4,"2 Item No.","@@"&amp;$F735)</t>
  </si>
  <si>
    <t>=-NL("Sum","32 Item Ledger Entry","12 Quantity","5 Source no.",$C736,"3 Posting Date",U$9,"4 Entry Type",$C$4,"2 Item No.","@@"&amp;$F736)</t>
  </si>
  <si>
    <t>=-NL("Sum","32 Item Ledger Entry","12 Quantity","5 Source no.",$C737,"3 Posting Date",U$9,"4 Entry Type",$C$4,"2 Item No.","@@"&amp;$F737)</t>
  </si>
  <si>
    <t>=-NL("Sum","32 Item Ledger Entry","12 Quantity","5 Source no.",$C738,"3 Posting Date",U$9,"4 Entry Type",$C$4,"2 Item No.","@@"&amp;$F738)</t>
  </si>
  <si>
    <t>=-NL("Sum","32 Item Ledger Entry","12 Quantity","5 Source no.",$C739,"3 Posting Date",U$9,"4 Entry Type",$C$4,"2 Item No.","@@"&amp;$F739)</t>
  </si>
  <si>
    <t>=-NL("Sum","32 Item Ledger Entry","12 Quantity","5 Source no.",$C708,"3 Posting Date",Z$9,"4 Entry Type",$C$4,"2 Item No.","@@"&amp;$F708)</t>
  </si>
  <si>
    <t>=-NL("Sum","32 Item Ledger Entry","12 Quantity","5 Source no.",$C709,"3 Posting Date",Z$9,"4 Entry Type",$C$4,"2 Item No.","@@"&amp;$F709)</t>
  </si>
  <si>
    <t>=-NL("Sum","32 Item Ledger Entry","12 Quantity","5 Source no.",$C710,"3 Posting Date",Z$9,"4 Entry Type",$C$4,"2 Item No.","@@"&amp;$F710)</t>
  </si>
  <si>
    <t>=-NL("Sum","32 Item Ledger Entry","12 Quantity","5 Source no.",$C711,"3 Posting Date",Z$9,"4 Entry Type",$C$4,"2 Item No.","@@"&amp;$F711)</t>
  </si>
  <si>
    <t>=-NL("Sum","32 Item Ledger Entry","12 Quantity","5 Source no.",$C712,"3 Posting Date",Z$9,"4 Entry Type",$C$4,"2 Item No.","@@"&amp;$F712)</t>
  </si>
  <si>
    <t>=-NL("Sum","32 Item Ledger Entry","12 Quantity","5 Source no.",$C713,"3 Posting Date",Z$9,"4 Entry Type",$C$4,"2 Item No.","@@"&amp;$F713)</t>
  </si>
  <si>
    <t>=-NL("Sum","32 Item Ledger Entry","12 Quantity","5 Source no.",$C714,"3 Posting Date",Z$9,"4 Entry Type",$C$4,"2 Item No.","@@"&amp;$F714)</t>
  </si>
  <si>
    <t>=-NL("Sum","32 Item Ledger Entry","12 Quantity","5 Source no.",$C715,"3 Posting Date",Z$9,"4 Entry Type",$C$4,"2 Item No.","@@"&amp;$F715)</t>
  </si>
  <si>
    <t>=-NL("Sum","32 Item Ledger Entry","12 Quantity","5 Source no.",$C716,"3 Posting Date",Z$9,"4 Entry Type",$C$4,"2 Item No.","@@"&amp;$F716)</t>
  </si>
  <si>
    <t>=-NL("Sum","32 Item Ledger Entry","12 Quantity","5 Source no.",$C717,"3 Posting Date",Z$9,"4 Entry Type",$C$4,"2 Item No.","@@"&amp;$F717)</t>
  </si>
  <si>
    <t>=-NL("Sum","32 Item Ledger Entry","12 Quantity","5 Source no.",$C718,"3 Posting Date",Z$9,"4 Entry Type",$C$4,"2 Item No.","@@"&amp;$F718)</t>
  </si>
  <si>
    <t>=-NL("Sum","32 Item Ledger Entry","12 Quantity","5 Source no.",$C719,"3 Posting Date",Z$9,"4 Entry Type",$C$4,"2 Item No.","@@"&amp;$F719)</t>
  </si>
  <si>
    <t>=-NL("Sum","32 Item Ledger Entry","12 Quantity","5 Source no.",$C720,"3 Posting Date",Z$9,"4 Entry Type",$C$4,"2 Item No.","@@"&amp;$F720)</t>
  </si>
  <si>
    <t>=-NL("Sum","32 Item Ledger Entry","12 Quantity","5 Source no.",$C721,"3 Posting Date",Z$9,"4 Entry Type",$C$4,"2 Item No.","@@"&amp;$F721)</t>
  </si>
  <si>
    <t>=-NL("Sum","32 Item Ledger Entry","12 Quantity","5 Source no.",$C722,"3 Posting Date",Z$9,"4 Entry Type",$C$4,"2 Item No.","@@"&amp;$F722)</t>
  </si>
  <si>
    <t>=-NL("Sum","32 Item Ledger Entry","12 Quantity","5 Source no.",$C723,"3 Posting Date",Z$9,"4 Entry Type",$C$4,"2 Item No.","@@"&amp;$F723)</t>
  </si>
  <si>
    <t>=-NL("Sum","32 Item Ledger Entry","12 Quantity","5 Source no.",$C724,"3 Posting Date",Z$9,"4 Entry Type",$C$4,"2 Item No.","@@"&amp;$F724)</t>
  </si>
  <si>
    <t>=-NL("Sum","32 Item Ledger Entry","12 Quantity","5 Source no.",$C725,"3 Posting Date",Z$9,"4 Entry Type",$C$4,"2 Item No.","@@"&amp;$F725)</t>
  </si>
  <si>
    <t>=-NL("Sum","32 Item Ledger Entry","12 Quantity","5 Source no.",$C726,"3 Posting Date",Z$9,"4 Entry Type",$C$4,"2 Item No.","@@"&amp;$F726)</t>
  </si>
  <si>
    <t>=-NL("Sum","32 Item Ledger Entry","12 Quantity","5 Source no.",$C727,"3 Posting Date",Z$9,"4 Entry Type",$C$4,"2 Item No.","@@"&amp;$F727)</t>
  </si>
  <si>
    <t>=-NL("Sum","32 Item Ledger Entry","12 Quantity","5 Source no.",$C728,"3 Posting Date",Z$9,"4 Entry Type",$C$4,"2 Item No.","@@"&amp;$F728)</t>
  </si>
  <si>
    <t>=-NL("Sum","32 Item Ledger Entry","12 Quantity","5 Source no.",$C729,"3 Posting Date",Z$9,"4 Entry Type",$C$4,"2 Item No.","@@"&amp;$F729)</t>
  </si>
  <si>
    <t>=-NL("Sum","32 Item Ledger Entry","12 Quantity","5 Source no.",$C730,"3 Posting Date",Z$9,"4 Entry Type",$C$4,"2 Item No.","@@"&amp;$F730)</t>
  </si>
  <si>
    <t>=-NL("Sum","32 Item Ledger Entry","12 Quantity","5 Source no.",$C731,"3 Posting Date",Z$9,"4 Entry Type",$C$4,"2 Item No.","@@"&amp;$F731)</t>
  </si>
  <si>
    <t>=-NL("Sum","32 Item Ledger Entry","12 Quantity","5 Source no.",$C732,"3 Posting Date",Z$9,"4 Entry Type",$C$4,"2 Item No.","@@"&amp;$F732)</t>
  </si>
  <si>
    <t>=-NL("Sum","32 Item Ledger Entry","12 Quantity","5 Source no.",$C733,"3 Posting Date",Z$9,"4 Entry Type",$C$4,"2 Item No.","@@"&amp;$F733)</t>
  </si>
  <si>
    <t>=-NL("Sum","32 Item Ledger Entry","12 Quantity","5 Source no.",$C734,"3 Posting Date",Z$9,"4 Entry Type",$C$4,"2 Item No.","@@"&amp;$F734)</t>
  </si>
  <si>
    <t>=-NL("Sum","32 Item Ledger Entry","12 Quantity","5 Source no.",$C735,"3 Posting Date",Z$9,"4 Entry Type",$C$4,"2 Item No.","@@"&amp;$F735)</t>
  </si>
  <si>
    <t>=-NL("Sum","32 Item Ledger Entry","12 Quantity","5 Source no.",$C736,"3 Posting Date",Z$9,"4 Entry Type",$C$4,"2 Item No.","@@"&amp;$F736)</t>
  </si>
  <si>
    <t>=-NL("Sum","32 Item Ledger Entry","12 Quantity","5 Source no.",$C737,"3 Posting Date",Z$9,"4 Entry Type",$C$4,"2 Item No.","@@"&amp;$F737)</t>
  </si>
  <si>
    <t>=-NL("Sum","32 Item Ledger Entry","12 Quantity","5 Source no.",$C738,"3 Posting Date",Z$9,"4 Entry Type",$C$4,"2 Item No.","@@"&amp;$F738)</t>
  </si>
  <si>
    <t>=-NL("Sum","32 Item Ledger Entry","12 Quantity","5 Source no.",$C739,"3 Posting Date",Z$9,"4 Entry Type",$C$4,"2 Item No.","@@"&amp;$F739)</t>
  </si>
  <si>
    <t>=NL(,"27 Item","3 Description","1 No.","@@"&amp;F690)</t>
  </si>
  <si>
    <t>=NL(,"27 Item","3 Description","1 No.","@@"&amp;F691)</t>
  </si>
  <si>
    <t>=NL(,"27 Item","3 Description","1 No.","@@"&amp;F692)</t>
  </si>
  <si>
    <t>=NL(,"27 Item","3 Description","1 No.","@@"&amp;F693)</t>
  </si>
  <si>
    <t>=NL(,"27 Item","3 Description","1 No.","@@"&amp;F694)</t>
  </si>
  <si>
    <t>=NL(,"27 Item","3 Description","1 No.","@@"&amp;F695)</t>
  </si>
  <si>
    <t>=NL(,"27 Item","3 Description","1 No.","@@"&amp;F696)</t>
  </si>
  <si>
    <t>=NL(,"27 Item","3 Description","1 No.","@@"&amp;F697)</t>
  </si>
  <si>
    <t>=NL(,"27 Item","3 Description","1 No.","@@"&amp;F698)</t>
  </si>
  <si>
    <t>=NL(,"27 Item","3 Description","1 No.","@@"&amp;F699)</t>
  </si>
  <si>
    <t>=NL(,"27 Item","3 Description","1 No.","@@"&amp;F700)</t>
  </si>
  <si>
    <t>=NL(,"27 Item","3 Description","1 No.","@@"&amp;F701)</t>
  </si>
  <si>
    <t>=NL(,"27 Item","3 Description","1 No.","@@"&amp;F702)</t>
  </si>
  <si>
    <t>=-NL("Sum","32 Item Ledger Entry","12 Quantity","5 Source no.",$C690,"3 Posting Date",J$9,"4 Entry Type",$C$4,"2 Item No.","@@"&amp;$F690)</t>
  </si>
  <si>
    <t>=-NL("Sum","32 Item Ledger Entry","12 Quantity","5 Source no.",$C691,"3 Posting Date",J$9,"4 Entry Type",$C$4,"2 Item No.","@@"&amp;$F691)</t>
  </si>
  <si>
    <t>=-NL("Sum","32 Item Ledger Entry","12 Quantity","5 Source no.",$C692,"3 Posting Date",J$9,"4 Entry Type",$C$4,"2 Item No.","@@"&amp;$F692)</t>
  </si>
  <si>
    <t>=-NL("Sum","32 Item Ledger Entry","12 Quantity","5 Source no.",$C693,"3 Posting Date",J$9,"4 Entry Type",$C$4,"2 Item No.","@@"&amp;$F693)</t>
  </si>
  <si>
    <t>=-NL("Sum","32 Item Ledger Entry","12 Quantity","5 Source no.",$C694,"3 Posting Date",J$9,"4 Entry Type",$C$4,"2 Item No.","@@"&amp;$F694)</t>
  </si>
  <si>
    <t>=-NL("Sum","32 Item Ledger Entry","12 Quantity","5 Source no.",$C695,"3 Posting Date",J$9,"4 Entry Type",$C$4,"2 Item No.","@@"&amp;$F695)</t>
  </si>
  <si>
    <t>=-NL("Sum","32 Item Ledger Entry","12 Quantity","5 Source no.",$C696,"3 Posting Date",J$9,"4 Entry Type",$C$4,"2 Item No.","@@"&amp;$F696)</t>
  </si>
  <si>
    <t>=-NL("Sum","32 Item Ledger Entry","12 Quantity","5 Source no.",$C697,"3 Posting Date",J$9,"4 Entry Type",$C$4,"2 Item No.","@@"&amp;$F697)</t>
  </si>
  <si>
    <t>=-NL("Sum","32 Item Ledger Entry","12 Quantity","5 Source no.",$C698,"3 Posting Date",J$9,"4 Entry Type",$C$4,"2 Item No.","@@"&amp;$F698)</t>
  </si>
  <si>
    <t>=-NL("Sum","32 Item Ledger Entry","12 Quantity","5 Source no.",$C699,"3 Posting Date",J$9,"4 Entry Type",$C$4,"2 Item No.","@@"&amp;$F699)</t>
  </si>
  <si>
    <t>=-NL("Sum","32 Item Ledger Entry","12 Quantity","5 Source no.",$C700,"3 Posting Date",J$9,"4 Entry Type",$C$4,"2 Item No.","@@"&amp;$F700)</t>
  </si>
  <si>
    <t>=-NL("Sum","32 Item Ledger Entry","12 Quantity","5 Source no.",$C701,"3 Posting Date",J$9,"4 Entry Type",$C$4,"2 Item No.","@@"&amp;$F701)</t>
  </si>
  <si>
    <t>=-NL("Sum","32 Item Ledger Entry","12 Quantity","5 Source no.",$C702,"3 Posting Date",J$9,"4 Entry Type",$C$4,"2 Item No.","@@"&amp;$F702)</t>
  </si>
  <si>
    <t>=-NL("Sum","32 Item Ledger Entry","12 Quantity","5 Source no.",$C690,"3 Posting Date",O$9,"4 Entry Type",$C$4,"2 Item No.","@@"&amp;$F690)</t>
  </si>
  <si>
    <t>=-NL("Sum","32 Item Ledger Entry","12 Quantity","5 Source no.",$C691,"3 Posting Date",O$9,"4 Entry Type",$C$4,"2 Item No.","@@"&amp;$F691)</t>
  </si>
  <si>
    <t>=-NL("Sum","32 Item Ledger Entry","12 Quantity","5 Source no.",$C692,"3 Posting Date",O$9,"4 Entry Type",$C$4,"2 Item No.","@@"&amp;$F692)</t>
  </si>
  <si>
    <t>=-NL("Sum","32 Item Ledger Entry","12 Quantity","5 Source no.",$C693,"3 Posting Date",O$9,"4 Entry Type",$C$4,"2 Item No.","@@"&amp;$F693)</t>
  </si>
  <si>
    <t>=-NL("Sum","32 Item Ledger Entry","12 Quantity","5 Source no.",$C694,"3 Posting Date",O$9,"4 Entry Type",$C$4,"2 Item No.","@@"&amp;$F694)</t>
  </si>
  <si>
    <t>=-NL("Sum","32 Item Ledger Entry","12 Quantity","5 Source no.",$C695,"3 Posting Date",O$9,"4 Entry Type",$C$4,"2 Item No.","@@"&amp;$F695)</t>
  </si>
  <si>
    <t>=-NL("Sum","32 Item Ledger Entry","12 Quantity","5 Source no.",$C696,"3 Posting Date",O$9,"4 Entry Type",$C$4,"2 Item No.","@@"&amp;$F696)</t>
  </si>
  <si>
    <t>=-NL("Sum","32 Item Ledger Entry","12 Quantity","5 Source no.",$C697,"3 Posting Date",O$9,"4 Entry Type",$C$4,"2 Item No.","@@"&amp;$F697)</t>
  </si>
  <si>
    <t>=-NL("Sum","32 Item Ledger Entry","12 Quantity","5 Source no.",$C698,"3 Posting Date",O$9,"4 Entry Type",$C$4,"2 Item No.","@@"&amp;$F698)</t>
  </si>
  <si>
    <t>=-NL("Sum","32 Item Ledger Entry","12 Quantity","5 Source no.",$C699,"3 Posting Date",O$9,"4 Entry Type",$C$4,"2 Item No.","@@"&amp;$F699)</t>
  </si>
  <si>
    <t>=-NL("Sum","32 Item Ledger Entry","12 Quantity","5 Source no.",$C700,"3 Posting Date",O$9,"4 Entry Type",$C$4,"2 Item No.","@@"&amp;$F700)</t>
  </si>
  <si>
    <t>=-NL("Sum","32 Item Ledger Entry","12 Quantity","5 Source no.",$C701,"3 Posting Date",O$9,"4 Entry Type",$C$4,"2 Item No.","@@"&amp;$F701)</t>
  </si>
  <si>
    <t>=-NL("Sum","32 Item Ledger Entry","12 Quantity","5 Source no.",$C702,"3 Posting Date",O$9,"4 Entry Type",$C$4,"2 Item No.","@@"&amp;$F702)</t>
  </si>
  <si>
    <t>=-NL("Sum","32 Item Ledger Entry","12 Quantity","5 Source no.",$C690,"3 Posting Date",U$9,"4 Entry Type",$C$4,"2 Item No.","@@"&amp;$F690)</t>
  </si>
  <si>
    <t>=-NL("Sum","32 Item Ledger Entry","12 Quantity","5 Source no.",$C691,"3 Posting Date",U$9,"4 Entry Type",$C$4,"2 Item No.","@@"&amp;$F691)</t>
  </si>
  <si>
    <t>=-NL("Sum","32 Item Ledger Entry","12 Quantity","5 Source no.",$C692,"3 Posting Date",U$9,"4 Entry Type",$C$4,"2 Item No.","@@"&amp;$F692)</t>
  </si>
  <si>
    <t>=-NL("Sum","32 Item Ledger Entry","12 Quantity","5 Source no.",$C693,"3 Posting Date",U$9,"4 Entry Type",$C$4,"2 Item No.","@@"&amp;$F693)</t>
  </si>
  <si>
    <t>=-NL("Sum","32 Item Ledger Entry","12 Quantity","5 Source no.",$C694,"3 Posting Date",U$9,"4 Entry Type",$C$4,"2 Item No.","@@"&amp;$F694)</t>
  </si>
  <si>
    <t>=-NL("Sum","32 Item Ledger Entry","12 Quantity","5 Source no.",$C695,"3 Posting Date",U$9,"4 Entry Type",$C$4,"2 Item No.","@@"&amp;$F695)</t>
  </si>
  <si>
    <t>=-NL("Sum","32 Item Ledger Entry","12 Quantity","5 Source no.",$C696,"3 Posting Date",U$9,"4 Entry Type",$C$4,"2 Item No.","@@"&amp;$F696)</t>
  </si>
  <si>
    <t>=-NL("Sum","32 Item Ledger Entry","12 Quantity","5 Source no.",$C697,"3 Posting Date",U$9,"4 Entry Type",$C$4,"2 Item No.","@@"&amp;$F697)</t>
  </si>
  <si>
    <t>=-NL("Sum","32 Item Ledger Entry","12 Quantity","5 Source no.",$C698,"3 Posting Date",U$9,"4 Entry Type",$C$4,"2 Item No.","@@"&amp;$F698)</t>
  </si>
  <si>
    <t>=-NL("Sum","32 Item Ledger Entry","12 Quantity","5 Source no.",$C699,"3 Posting Date",U$9,"4 Entry Type",$C$4,"2 Item No.","@@"&amp;$F699)</t>
  </si>
  <si>
    <t>=-NL("Sum","32 Item Ledger Entry","12 Quantity","5 Source no.",$C700,"3 Posting Date",U$9,"4 Entry Type",$C$4,"2 Item No.","@@"&amp;$F700)</t>
  </si>
  <si>
    <t>=-NL("Sum","32 Item Ledger Entry","12 Quantity","5 Source no.",$C701,"3 Posting Date",U$9,"4 Entry Type",$C$4,"2 Item No.","@@"&amp;$F701)</t>
  </si>
  <si>
    <t>=-NL("Sum","32 Item Ledger Entry","12 Quantity","5 Source no.",$C702,"3 Posting Date",U$9,"4 Entry Type",$C$4,"2 Item No.","@@"&amp;$F702)</t>
  </si>
  <si>
    <t>=-NL("Sum","32 Item Ledger Entry","12 Quantity","5 Source no.",$C690,"3 Posting Date",Z$9,"4 Entry Type",$C$4,"2 Item No.","@@"&amp;$F690)</t>
  </si>
  <si>
    <t>=-NL("Sum","32 Item Ledger Entry","12 Quantity","5 Source no.",$C691,"3 Posting Date",Z$9,"4 Entry Type",$C$4,"2 Item No.","@@"&amp;$F691)</t>
  </si>
  <si>
    <t>=-NL("Sum","32 Item Ledger Entry","12 Quantity","5 Source no.",$C692,"3 Posting Date",Z$9,"4 Entry Type",$C$4,"2 Item No.","@@"&amp;$F692)</t>
  </si>
  <si>
    <t>=-NL("Sum","32 Item Ledger Entry","12 Quantity","5 Source no.",$C693,"3 Posting Date",Z$9,"4 Entry Type",$C$4,"2 Item No.","@@"&amp;$F693)</t>
  </si>
  <si>
    <t>=-NL("Sum","32 Item Ledger Entry","12 Quantity","5 Source no.",$C694,"3 Posting Date",Z$9,"4 Entry Type",$C$4,"2 Item No.","@@"&amp;$F694)</t>
  </si>
  <si>
    <t>=-NL("Sum","32 Item Ledger Entry","12 Quantity","5 Source no.",$C695,"3 Posting Date",Z$9,"4 Entry Type",$C$4,"2 Item No.","@@"&amp;$F695)</t>
  </si>
  <si>
    <t>=-NL("Sum","32 Item Ledger Entry","12 Quantity","5 Source no.",$C696,"3 Posting Date",Z$9,"4 Entry Type",$C$4,"2 Item No.","@@"&amp;$F696)</t>
  </si>
  <si>
    <t>=-NL("Sum","32 Item Ledger Entry","12 Quantity","5 Source no.",$C697,"3 Posting Date",Z$9,"4 Entry Type",$C$4,"2 Item No.","@@"&amp;$F697)</t>
  </si>
  <si>
    <t>=-NL("Sum","32 Item Ledger Entry","12 Quantity","5 Source no.",$C698,"3 Posting Date",Z$9,"4 Entry Type",$C$4,"2 Item No.","@@"&amp;$F698)</t>
  </si>
  <si>
    <t>=-NL("Sum","32 Item Ledger Entry","12 Quantity","5 Source no.",$C699,"3 Posting Date",Z$9,"4 Entry Type",$C$4,"2 Item No.","@@"&amp;$F699)</t>
  </si>
  <si>
    <t>=-NL("Sum","32 Item Ledger Entry","12 Quantity","5 Source no.",$C700,"3 Posting Date",Z$9,"4 Entry Type",$C$4,"2 Item No.","@@"&amp;$F700)</t>
  </si>
  <si>
    <t>=-NL("Sum","32 Item Ledger Entry","12 Quantity","5 Source no.",$C701,"3 Posting Date",Z$9,"4 Entry Type",$C$4,"2 Item No.","@@"&amp;$F701)</t>
  </si>
  <si>
    <t>=-NL("Sum","32 Item Ledger Entry","12 Quantity","5 Source no.",$C702,"3 Posting Date",Z$9,"4 Entry Type",$C$4,"2 Item No.","@@"&amp;$F702)</t>
  </si>
  <si>
    <t>=NL(,"27 Item","3 Description","1 No.","@@"&amp;F633)</t>
  </si>
  <si>
    <t>=NL(,"27 Item","3 Description","1 No.","@@"&amp;F634)</t>
  </si>
  <si>
    <t>=NL(,"27 Item","3 Description","1 No.","@@"&amp;F635)</t>
  </si>
  <si>
    <t>=NL(,"27 Item","3 Description","1 No.","@@"&amp;F636)</t>
  </si>
  <si>
    <t>=NL(,"27 Item","3 Description","1 No.","@@"&amp;F637)</t>
  </si>
  <si>
    <t>=NL(,"27 Item","3 Description","1 No.","@@"&amp;F638)</t>
  </si>
  <si>
    <t>=NL(,"27 Item","3 Description","1 No.","@@"&amp;F639)</t>
  </si>
  <si>
    <t>=NL(,"27 Item","3 Description","1 No.","@@"&amp;F640)</t>
  </si>
  <si>
    <t>=NL(,"27 Item","3 Description","1 No.","@@"&amp;F641)</t>
  </si>
  <si>
    <t>=NL(,"27 Item","3 Description","1 No.","@@"&amp;F642)</t>
  </si>
  <si>
    <t>=NL(,"27 Item","3 Description","1 No.","@@"&amp;F643)</t>
  </si>
  <si>
    <t>=NL(,"27 Item","3 Description","1 No.","@@"&amp;F644)</t>
  </si>
  <si>
    <t>=NL(,"27 Item","3 Description","1 No.","@@"&amp;F645)</t>
  </si>
  <si>
    <t>=NL(,"27 Item","3 Description","1 No.","@@"&amp;F646)</t>
  </si>
  <si>
    <t>=NL(,"27 Item","3 Description","1 No.","@@"&amp;F647)</t>
  </si>
  <si>
    <t>=NL(,"27 Item","3 Description","1 No.","@@"&amp;F648)</t>
  </si>
  <si>
    <t>=NL(,"27 Item","3 Description","1 No.","@@"&amp;F649)</t>
  </si>
  <si>
    <t>=NL(,"27 Item","3 Description","1 No.","@@"&amp;F650)</t>
  </si>
  <si>
    <t>=NL(,"27 Item","3 Description","1 No.","@@"&amp;F651)</t>
  </si>
  <si>
    <t>=NL(,"27 Item","3 Description","1 No.","@@"&amp;F652)</t>
  </si>
  <si>
    <t>=NL(,"27 Item","3 Description","1 No.","@@"&amp;F653)</t>
  </si>
  <si>
    <t>=NL(,"27 Item","3 Description","1 No.","@@"&amp;F654)</t>
  </si>
  <si>
    <t>=NL(,"27 Item","3 Description","1 No.","@@"&amp;F655)</t>
  </si>
  <si>
    <t>=NL(,"27 Item","3 Description","1 No.","@@"&amp;F656)</t>
  </si>
  <si>
    <t>=NL(,"27 Item","3 Description","1 No.","@@"&amp;F657)</t>
  </si>
  <si>
    <t>=NL(,"27 Item","3 Description","1 No.","@@"&amp;F658)</t>
  </si>
  <si>
    <t>=NL(,"27 Item","3 Description","1 No.","@@"&amp;F659)</t>
  </si>
  <si>
    <t>=NL(,"27 Item","3 Description","1 No.","@@"&amp;F660)</t>
  </si>
  <si>
    <t>=NL(,"27 Item","3 Description","1 No.","@@"&amp;F661)</t>
  </si>
  <si>
    <t>=NL(,"27 Item","3 Description","1 No.","@@"&amp;F662)</t>
  </si>
  <si>
    <t>=NL(,"27 Item","3 Description","1 No.","@@"&amp;F663)</t>
  </si>
  <si>
    <t>=NL(,"27 Item","3 Description","1 No.","@@"&amp;F664)</t>
  </si>
  <si>
    <t>=NL(,"27 Item","3 Description","1 No.","@@"&amp;F665)</t>
  </si>
  <si>
    <t>=NL(,"27 Item","3 Description","1 No.","@@"&amp;F666)</t>
  </si>
  <si>
    <t>=NL(,"27 Item","3 Description","1 No.","@@"&amp;F667)</t>
  </si>
  <si>
    <t>=NL(,"27 Item","3 Description","1 No.","@@"&amp;F668)</t>
  </si>
  <si>
    <t>=NL(,"27 Item","3 Description","1 No.","@@"&amp;F669)</t>
  </si>
  <si>
    <t>=NL(,"27 Item","3 Description","1 No.","@@"&amp;F670)</t>
  </si>
  <si>
    <t>=NL(,"27 Item","3 Description","1 No.","@@"&amp;F671)</t>
  </si>
  <si>
    <t>=NL(,"27 Item","3 Description","1 No.","@@"&amp;F672)</t>
  </si>
  <si>
    <t>=NL(,"27 Item","3 Description","1 No.","@@"&amp;F673)</t>
  </si>
  <si>
    <t>=NL(,"27 Item","3 Description","1 No.","@@"&amp;F674)</t>
  </si>
  <si>
    <t>=NL(,"27 Item","3 Description","1 No.","@@"&amp;F675)</t>
  </si>
  <si>
    <t>=NL(,"27 Item","3 Description","1 No.","@@"&amp;F676)</t>
  </si>
  <si>
    <t>=NL(,"27 Item","3 Description","1 No.","@@"&amp;F677)</t>
  </si>
  <si>
    <t>=NL(,"27 Item","3 Description","1 No.","@@"&amp;F678)</t>
  </si>
  <si>
    <t>=NL(,"27 Item","3 Description","1 No.","@@"&amp;F679)</t>
  </si>
  <si>
    <t>=NL(,"27 Item","3 Description","1 No.","@@"&amp;F680)</t>
  </si>
  <si>
    <t>=NL(,"27 Item","3 Description","1 No.","@@"&amp;F681)</t>
  </si>
  <si>
    <t>=NL(,"27 Item","3 Description","1 No.","@@"&amp;F682)</t>
  </si>
  <si>
    <t>=NL(,"27 Item","3 Description","1 No.","@@"&amp;F683)</t>
  </si>
  <si>
    <t>=NL(,"27 Item","3 Description","1 No.","@@"&amp;F684)</t>
  </si>
  <si>
    <t>=-NL("Sum","32 Item Ledger Entry","12 Quantity","5 Source no.",$C633,"3 Posting Date",J$9,"4 Entry Type",$C$4,"2 Item No.","@@"&amp;$F633)</t>
  </si>
  <si>
    <t>=-NL("Sum","32 Item Ledger Entry","12 Quantity","5 Source no.",$C634,"3 Posting Date",J$9,"4 Entry Type",$C$4,"2 Item No.","@@"&amp;$F634)</t>
  </si>
  <si>
    <t>=-NL("Sum","32 Item Ledger Entry","12 Quantity","5 Source no.",$C635,"3 Posting Date",J$9,"4 Entry Type",$C$4,"2 Item No.","@@"&amp;$F635)</t>
  </si>
  <si>
    <t>=-NL("Sum","32 Item Ledger Entry","12 Quantity","5 Source no.",$C636,"3 Posting Date",J$9,"4 Entry Type",$C$4,"2 Item No.","@@"&amp;$F636)</t>
  </si>
  <si>
    <t>=-NL("Sum","32 Item Ledger Entry","12 Quantity","5 Source no.",$C637,"3 Posting Date",J$9,"4 Entry Type",$C$4,"2 Item No.","@@"&amp;$F637)</t>
  </si>
  <si>
    <t>=-NL("Sum","32 Item Ledger Entry","12 Quantity","5 Source no.",$C638,"3 Posting Date",J$9,"4 Entry Type",$C$4,"2 Item No.","@@"&amp;$F638)</t>
  </si>
  <si>
    <t>=-NL("Sum","32 Item Ledger Entry","12 Quantity","5 Source no.",$C639,"3 Posting Date",J$9,"4 Entry Type",$C$4,"2 Item No.","@@"&amp;$F639)</t>
  </si>
  <si>
    <t>=-NL("Sum","32 Item Ledger Entry","12 Quantity","5 Source no.",$C640,"3 Posting Date",J$9,"4 Entry Type",$C$4,"2 Item No.","@@"&amp;$F640)</t>
  </si>
  <si>
    <t>=-NL("Sum","32 Item Ledger Entry","12 Quantity","5 Source no.",$C641,"3 Posting Date",J$9,"4 Entry Type",$C$4,"2 Item No.","@@"&amp;$F641)</t>
  </si>
  <si>
    <t>=-NL("Sum","32 Item Ledger Entry","12 Quantity","5 Source no.",$C642,"3 Posting Date",J$9,"4 Entry Type",$C$4,"2 Item No.","@@"&amp;$F642)</t>
  </si>
  <si>
    <t>=-NL("Sum","32 Item Ledger Entry","12 Quantity","5 Source no.",$C643,"3 Posting Date",J$9,"4 Entry Type",$C$4,"2 Item No.","@@"&amp;$F643)</t>
  </si>
  <si>
    <t>=-NL("Sum","32 Item Ledger Entry","12 Quantity","5 Source no.",$C644,"3 Posting Date",J$9,"4 Entry Type",$C$4,"2 Item No.","@@"&amp;$F644)</t>
  </si>
  <si>
    <t>=-NL("Sum","32 Item Ledger Entry","12 Quantity","5 Source no.",$C645,"3 Posting Date",J$9,"4 Entry Type",$C$4,"2 Item No.","@@"&amp;$F645)</t>
  </si>
  <si>
    <t>=-NL("Sum","32 Item Ledger Entry","12 Quantity","5 Source no.",$C646,"3 Posting Date",J$9,"4 Entry Type",$C$4,"2 Item No.","@@"&amp;$F646)</t>
  </si>
  <si>
    <t>=-NL("Sum","32 Item Ledger Entry","12 Quantity","5 Source no.",$C647,"3 Posting Date",J$9,"4 Entry Type",$C$4,"2 Item No.","@@"&amp;$F647)</t>
  </si>
  <si>
    <t>=-NL("Sum","32 Item Ledger Entry","12 Quantity","5 Source no.",$C648,"3 Posting Date",J$9,"4 Entry Type",$C$4,"2 Item No.","@@"&amp;$F648)</t>
  </si>
  <si>
    <t>=-NL("Sum","32 Item Ledger Entry","12 Quantity","5 Source no.",$C649,"3 Posting Date",J$9,"4 Entry Type",$C$4,"2 Item No.","@@"&amp;$F649)</t>
  </si>
  <si>
    <t>=-NL("Sum","32 Item Ledger Entry","12 Quantity","5 Source no.",$C650,"3 Posting Date",J$9,"4 Entry Type",$C$4,"2 Item No.","@@"&amp;$F650)</t>
  </si>
  <si>
    <t>=-NL("Sum","32 Item Ledger Entry","12 Quantity","5 Source no.",$C651,"3 Posting Date",J$9,"4 Entry Type",$C$4,"2 Item No.","@@"&amp;$F651)</t>
  </si>
  <si>
    <t>=-NL("Sum","32 Item Ledger Entry","12 Quantity","5 Source no.",$C652,"3 Posting Date",J$9,"4 Entry Type",$C$4,"2 Item No.","@@"&amp;$F652)</t>
  </si>
  <si>
    <t>=-NL("Sum","32 Item Ledger Entry","12 Quantity","5 Source no.",$C653,"3 Posting Date",J$9,"4 Entry Type",$C$4,"2 Item No.","@@"&amp;$F653)</t>
  </si>
  <si>
    <t>=-NL("Sum","32 Item Ledger Entry","12 Quantity","5 Source no.",$C654,"3 Posting Date",J$9,"4 Entry Type",$C$4,"2 Item No.","@@"&amp;$F654)</t>
  </si>
  <si>
    <t>=-NL("Sum","32 Item Ledger Entry","12 Quantity","5 Source no.",$C655,"3 Posting Date",J$9,"4 Entry Type",$C$4,"2 Item No.","@@"&amp;$F655)</t>
  </si>
  <si>
    <t>=-NL("Sum","32 Item Ledger Entry","12 Quantity","5 Source no.",$C656,"3 Posting Date",J$9,"4 Entry Type",$C$4,"2 Item No.","@@"&amp;$F656)</t>
  </si>
  <si>
    <t>=-NL("Sum","32 Item Ledger Entry","12 Quantity","5 Source no.",$C657,"3 Posting Date",J$9,"4 Entry Type",$C$4,"2 Item No.","@@"&amp;$F657)</t>
  </si>
  <si>
    <t>=-NL("Sum","32 Item Ledger Entry","12 Quantity","5 Source no.",$C658,"3 Posting Date",J$9,"4 Entry Type",$C$4,"2 Item No.","@@"&amp;$F658)</t>
  </si>
  <si>
    <t>=-NL("Sum","32 Item Ledger Entry","12 Quantity","5 Source no.",$C659,"3 Posting Date",J$9,"4 Entry Type",$C$4,"2 Item No.","@@"&amp;$F659)</t>
  </si>
  <si>
    <t>=-NL("Sum","32 Item Ledger Entry","12 Quantity","5 Source no.",$C660,"3 Posting Date",J$9,"4 Entry Type",$C$4,"2 Item No.","@@"&amp;$F660)</t>
  </si>
  <si>
    <t>=-NL("Sum","32 Item Ledger Entry","12 Quantity","5 Source no.",$C661,"3 Posting Date",J$9,"4 Entry Type",$C$4,"2 Item No.","@@"&amp;$F661)</t>
  </si>
  <si>
    <t>=-NL("Sum","32 Item Ledger Entry","12 Quantity","5 Source no.",$C662,"3 Posting Date",J$9,"4 Entry Type",$C$4,"2 Item No.","@@"&amp;$F662)</t>
  </si>
  <si>
    <t>=-NL("Sum","32 Item Ledger Entry","12 Quantity","5 Source no.",$C663,"3 Posting Date",J$9,"4 Entry Type",$C$4,"2 Item No.","@@"&amp;$F663)</t>
  </si>
  <si>
    <t>=-NL("Sum","32 Item Ledger Entry","12 Quantity","5 Source no.",$C664,"3 Posting Date",J$9,"4 Entry Type",$C$4,"2 Item No.","@@"&amp;$F664)</t>
  </si>
  <si>
    <t>=-NL("Sum","32 Item Ledger Entry","12 Quantity","5 Source no.",$C665,"3 Posting Date",J$9,"4 Entry Type",$C$4,"2 Item No.","@@"&amp;$F665)</t>
  </si>
  <si>
    <t>=-NL("Sum","32 Item Ledger Entry","12 Quantity","5 Source no.",$C666,"3 Posting Date",J$9,"4 Entry Type",$C$4,"2 Item No.","@@"&amp;$F666)</t>
  </si>
  <si>
    <t>=-NL("Sum","32 Item Ledger Entry","12 Quantity","5 Source no.",$C667,"3 Posting Date",J$9,"4 Entry Type",$C$4,"2 Item No.","@@"&amp;$F667)</t>
  </si>
  <si>
    <t>=-NL("Sum","32 Item Ledger Entry","12 Quantity","5 Source no.",$C668,"3 Posting Date",J$9,"4 Entry Type",$C$4,"2 Item No.","@@"&amp;$F668)</t>
  </si>
  <si>
    <t>=-NL("Sum","32 Item Ledger Entry","12 Quantity","5 Source no.",$C669,"3 Posting Date",J$9,"4 Entry Type",$C$4,"2 Item No.","@@"&amp;$F669)</t>
  </si>
  <si>
    <t>=-NL("Sum","32 Item Ledger Entry","12 Quantity","5 Source no.",$C670,"3 Posting Date",J$9,"4 Entry Type",$C$4,"2 Item No.","@@"&amp;$F670)</t>
  </si>
  <si>
    <t>=-NL("Sum","32 Item Ledger Entry","12 Quantity","5 Source no.",$C671,"3 Posting Date",J$9,"4 Entry Type",$C$4,"2 Item No.","@@"&amp;$F671)</t>
  </si>
  <si>
    <t>=-NL("Sum","32 Item Ledger Entry","12 Quantity","5 Source no.",$C672,"3 Posting Date",J$9,"4 Entry Type",$C$4,"2 Item No.","@@"&amp;$F672)</t>
  </si>
  <si>
    <t>=-NL("Sum","32 Item Ledger Entry","12 Quantity","5 Source no.",$C673,"3 Posting Date",J$9,"4 Entry Type",$C$4,"2 Item No.","@@"&amp;$F673)</t>
  </si>
  <si>
    <t>=-NL("Sum","32 Item Ledger Entry","12 Quantity","5 Source no.",$C674,"3 Posting Date",J$9,"4 Entry Type",$C$4,"2 Item No.","@@"&amp;$F674)</t>
  </si>
  <si>
    <t>=-NL("Sum","32 Item Ledger Entry","12 Quantity","5 Source no.",$C675,"3 Posting Date",J$9,"4 Entry Type",$C$4,"2 Item No.","@@"&amp;$F675)</t>
  </si>
  <si>
    <t>=-NL("Sum","32 Item Ledger Entry","12 Quantity","5 Source no.",$C676,"3 Posting Date",J$9,"4 Entry Type",$C$4,"2 Item No.","@@"&amp;$F676)</t>
  </si>
  <si>
    <t>=-NL("Sum","32 Item Ledger Entry","12 Quantity","5 Source no.",$C677,"3 Posting Date",J$9,"4 Entry Type",$C$4,"2 Item No.","@@"&amp;$F677)</t>
  </si>
  <si>
    <t>=-NL("Sum","32 Item Ledger Entry","12 Quantity","5 Source no.",$C678,"3 Posting Date",J$9,"4 Entry Type",$C$4,"2 Item No.","@@"&amp;$F678)</t>
  </si>
  <si>
    <t>=-NL("Sum","32 Item Ledger Entry","12 Quantity","5 Source no.",$C679,"3 Posting Date",J$9,"4 Entry Type",$C$4,"2 Item No.","@@"&amp;$F679)</t>
  </si>
  <si>
    <t>=-NL("Sum","32 Item Ledger Entry","12 Quantity","5 Source no.",$C680,"3 Posting Date",J$9,"4 Entry Type",$C$4,"2 Item No.","@@"&amp;$F680)</t>
  </si>
  <si>
    <t>=-NL("Sum","32 Item Ledger Entry","12 Quantity","5 Source no.",$C681,"3 Posting Date",J$9,"4 Entry Type",$C$4,"2 Item No.","@@"&amp;$F681)</t>
  </si>
  <si>
    <t>=-NL("Sum","32 Item Ledger Entry","12 Quantity","5 Source no.",$C682,"3 Posting Date",J$9,"4 Entry Type",$C$4,"2 Item No.","@@"&amp;$F682)</t>
  </si>
  <si>
    <t>=-NL("Sum","32 Item Ledger Entry","12 Quantity","5 Source no.",$C683,"3 Posting Date",J$9,"4 Entry Type",$C$4,"2 Item No.","@@"&amp;$F683)</t>
  </si>
  <si>
    <t>=-NL("Sum","32 Item Ledger Entry","12 Quantity","5 Source no.",$C684,"3 Posting Date",J$9,"4 Entry Type",$C$4,"2 Item No.","@@"&amp;$F684)</t>
  </si>
  <si>
    <t>=-NL("Sum","32 Item Ledger Entry","12 Quantity","5 Source no.",$C633,"3 Posting Date",O$9,"4 Entry Type",$C$4,"2 Item No.","@@"&amp;$F633)</t>
  </si>
  <si>
    <t>=-NL("Sum","32 Item Ledger Entry","12 Quantity","5 Source no.",$C634,"3 Posting Date",O$9,"4 Entry Type",$C$4,"2 Item No.","@@"&amp;$F634)</t>
  </si>
  <si>
    <t>=-NL("Sum","32 Item Ledger Entry","12 Quantity","5 Source no.",$C635,"3 Posting Date",O$9,"4 Entry Type",$C$4,"2 Item No.","@@"&amp;$F635)</t>
  </si>
  <si>
    <t>=-NL("Sum","32 Item Ledger Entry","12 Quantity","5 Source no.",$C636,"3 Posting Date",O$9,"4 Entry Type",$C$4,"2 Item No.","@@"&amp;$F636)</t>
  </si>
  <si>
    <t>=-NL("Sum","32 Item Ledger Entry","12 Quantity","5 Source no.",$C637,"3 Posting Date",O$9,"4 Entry Type",$C$4,"2 Item No.","@@"&amp;$F637)</t>
  </si>
  <si>
    <t>=-NL("Sum","32 Item Ledger Entry","12 Quantity","5 Source no.",$C638,"3 Posting Date",O$9,"4 Entry Type",$C$4,"2 Item No.","@@"&amp;$F638)</t>
  </si>
  <si>
    <t>=-NL("Sum","32 Item Ledger Entry","12 Quantity","5 Source no.",$C639,"3 Posting Date",O$9,"4 Entry Type",$C$4,"2 Item No.","@@"&amp;$F639)</t>
  </si>
  <si>
    <t>=-NL("Sum","32 Item Ledger Entry","12 Quantity","5 Source no.",$C640,"3 Posting Date",O$9,"4 Entry Type",$C$4,"2 Item No.","@@"&amp;$F640)</t>
  </si>
  <si>
    <t>=-NL("Sum","32 Item Ledger Entry","12 Quantity","5 Source no.",$C641,"3 Posting Date",O$9,"4 Entry Type",$C$4,"2 Item No.","@@"&amp;$F641)</t>
  </si>
  <si>
    <t>=-NL("Sum","32 Item Ledger Entry","12 Quantity","5 Source no.",$C642,"3 Posting Date",O$9,"4 Entry Type",$C$4,"2 Item No.","@@"&amp;$F642)</t>
  </si>
  <si>
    <t>=-NL("Sum","32 Item Ledger Entry","12 Quantity","5 Source no.",$C643,"3 Posting Date",O$9,"4 Entry Type",$C$4,"2 Item No.","@@"&amp;$F643)</t>
  </si>
  <si>
    <t>=-NL("Sum","32 Item Ledger Entry","12 Quantity","5 Source no.",$C644,"3 Posting Date",O$9,"4 Entry Type",$C$4,"2 Item No.","@@"&amp;$F644)</t>
  </si>
  <si>
    <t>=-NL("Sum","32 Item Ledger Entry","12 Quantity","5 Source no.",$C645,"3 Posting Date",O$9,"4 Entry Type",$C$4,"2 Item No.","@@"&amp;$F645)</t>
  </si>
  <si>
    <t>=-NL("Sum","32 Item Ledger Entry","12 Quantity","5 Source no.",$C646,"3 Posting Date",O$9,"4 Entry Type",$C$4,"2 Item No.","@@"&amp;$F646)</t>
  </si>
  <si>
    <t>=-NL("Sum","32 Item Ledger Entry","12 Quantity","5 Source no.",$C647,"3 Posting Date",O$9,"4 Entry Type",$C$4,"2 Item No.","@@"&amp;$F647)</t>
  </si>
  <si>
    <t>=-NL("Sum","32 Item Ledger Entry","12 Quantity","5 Source no.",$C648,"3 Posting Date",O$9,"4 Entry Type",$C$4,"2 Item No.","@@"&amp;$F648)</t>
  </si>
  <si>
    <t>=-NL("Sum","32 Item Ledger Entry","12 Quantity","5 Source no.",$C649,"3 Posting Date",O$9,"4 Entry Type",$C$4,"2 Item No.","@@"&amp;$F649)</t>
  </si>
  <si>
    <t>=-NL("Sum","32 Item Ledger Entry","12 Quantity","5 Source no.",$C650,"3 Posting Date",O$9,"4 Entry Type",$C$4,"2 Item No.","@@"&amp;$F650)</t>
  </si>
  <si>
    <t>=-NL("Sum","32 Item Ledger Entry","12 Quantity","5 Source no.",$C651,"3 Posting Date",O$9,"4 Entry Type",$C$4,"2 Item No.","@@"&amp;$F651)</t>
  </si>
  <si>
    <t>=-NL("Sum","32 Item Ledger Entry","12 Quantity","5 Source no.",$C652,"3 Posting Date",O$9,"4 Entry Type",$C$4,"2 Item No.","@@"&amp;$F652)</t>
  </si>
  <si>
    <t>=-NL("Sum","32 Item Ledger Entry","12 Quantity","5 Source no.",$C653,"3 Posting Date",O$9,"4 Entry Type",$C$4,"2 Item No.","@@"&amp;$F653)</t>
  </si>
  <si>
    <t>=-NL("Sum","32 Item Ledger Entry","12 Quantity","5 Source no.",$C654,"3 Posting Date",O$9,"4 Entry Type",$C$4,"2 Item No.","@@"&amp;$F654)</t>
  </si>
  <si>
    <t>=-NL("Sum","32 Item Ledger Entry","12 Quantity","5 Source no.",$C655,"3 Posting Date",O$9,"4 Entry Type",$C$4,"2 Item No.","@@"&amp;$F655)</t>
  </si>
  <si>
    <t>=-NL("Sum","32 Item Ledger Entry","12 Quantity","5 Source no.",$C656,"3 Posting Date",O$9,"4 Entry Type",$C$4,"2 Item No.","@@"&amp;$F656)</t>
  </si>
  <si>
    <t>=-NL("Sum","32 Item Ledger Entry","12 Quantity","5 Source no.",$C657,"3 Posting Date",O$9,"4 Entry Type",$C$4,"2 Item No.","@@"&amp;$F657)</t>
  </si>
  <si>
    <t>=-NL("Sum","32 Item Ledger Entry","12 Quantity","5 Source no.",$C658,"3 Posting Date",O$9,"4 Entry Type",$C$4,"2 Item No.","@@"&amp;$F658)</t>
  </si>
  <si>
    <t>=-NL("Sum","32 Item Ledger Entry","12 Quantity","5 Source no.",$C659,"3 Posting Date",O$9,"4 Entry Type",$C$4,"2 Item No.","@@"&amp;$F659)</t>
  </si>
  <si>
    <t>=-NL("Sum","32 Item Ledger Entry","12 Quantity","5 Source no.",$C660,"3 Posting Date",O$9,"4 Entry Type",$C$4,"2 Item No.","@@"&amp;$F660)</t>
  </si>
  <si>
    <t>=-NL("Sum","32 Item Ledger Entry","12 Quantity","5 Source no.",$C661,"3 Posting Date",O$9,"4 Entry Type",$C$4,"2 Item No.","@@"&amp;$F661)</t>
  </si>
  <si>
    <t>=-NL("Sum","32 Item Ledger Entry","12 Quantity","5 Source no.",$C662,"3 Posting Date",O$9,"4 Entry Type",$C$4,"2 Item No.","@@"&amp;$F662)</t>
  </si>
  <si>
    <t>=-NL("Sum","32 Item Ledger Entry","12 Quantity","5 Source no.",$C663,"3 Posting Date",O$9,"4 Entry Type",$C$4,"2 Item No.","@@"&amp;$F663)</t>
  </si>
  <si>
    <t>=-NL("Sum","32 Item Ledger Entry","12 Quantity","5 Source no.",$C664,"3 Posting Date",O$9,"4 Entry Type",$C$4,"2 Item No.","@@"&amp;$F664)</t>
  </si>
  <si>
    <t>=-NL("Sum","32 Item Ledger Entry","12 Quantity","5 Source no.",$C665,"3 Posting Date",O$9,"4 Entry Type",$C$4,"2 Item No.","@@"&amp;$F665)</t>
  </si>
  <si>
    <t>=-NL("Sum","32 Item Ledger Entry","12 Quantity","5 Source no.",$C666,"3 Posting Date",O$9,"4 Entry Type",$C$4,"2 Item No.","@@"&amp;$F666)</t>
  </si>
  <si>
    <t>=-NL("Sum","32 Item Ledger Entry","12 Quantity","5 Source no.",$C667,"3 Posting Date",O$9,"4 Entry Type",$C$4,"2 Item No.","@@"&amp;$F667)</t>
  </si>
  <si>
    <t>=-NL("Sum","32 Item Ledger Entry","12 Quantity","5 Source no.",$C668,"3 Posting Date",O$9,"4 Entry Type",$C$4,"2 Item No.","@@"&amp;$F668)</t>
  </si>
  <si>
    <t>=-NL("Sum","32 Item Ledger Entry","12 Quantity","5 Source no.",$C669,"3 Posting Date",O$9,"4 Entry Type",$C$4,"2 Item No.","@@"&amp;$F669)</t>
  </si>
  <si>
    <t>=-NL("Sum","32 Item Ledger Entry","12 Quantity","5 Source no.",$C670,"3 Posting Date",O$9,"4 Entry Type",$C$4,"2 Item No.","@@"&amp;$F670)</t>
  </si>
  <si>
    <t>=-NL("Sum","32 Item Ledger Entry","12 Quantity","5 Source no.",$C671,"3 Posting Date",O$9,"4 Entry Type",$C$4,"2 Item No.","@@"&amp;$F671)</t>
  </si>
  <si>
    <t>=-NL("Sum","32 Item Ledger Entry","12 Quantity","5 Source no.",$C672,"3 Posting Date",O$9,"4 Entry Type",$C$4,"2 Item No.","@@"&amp;$F672)</t>
  </si>
  <si>
    <t>=-NL("Sum","32 Item Ledger Entry","12 Quantity","5 Source no.",$C673,"3 Posting Date",O$9,"4 Entry Type",$C$4,"2 Item No.","@@"&amp;$F673)</t>
  </si>
  <si>
    <t>=-NL("Sum","32 Item Ledger Entry","12 Quantity","5 Source no.",$C674,"3 Posting Date",O$9,"4 Entry Type",$C$4,"2 Item No.","@@"&amp;$F674)</t>
  </si>
  <si>
    <t>=-NL("Sum","32 Item Ledger Entry","12 Quantity","5 Source no.",$C675,"3 Posting Date",O$9,"4 Entry Type",$C$4,"2 Item No.","@@"&amp;$F675)</t>
  </si>
  <si>
    <t>=-NL("Sum","32 Item Ledger Entry","12 Quantity","5 Source no.",$C676,"3 Posting Date",O$9,"4 Entry Type",$C$4,"2 Item No.","@@"&amp;$F676)</t>
  </si>
  <si>
    <t>=-NL("Sum","32 Item Ledger Entry","12 Quantity","5 Source no.",$C677,"3 Posting Date",O$9,"4 Entry Type",$C$4,"2 Item No.","@@"&amp;$F677)</t>
  </si>
  <si>
    <t>=-NL("Sum","32 Item Ledger Entry","12 Quantity","5 Source no.",$C678,"3 Posting Date",O$9,"4 Entry Type",$C$4,"2 Item No.","@@"&amp;$F678)</t>
  </si>
  <si>
    <t>=-NL("Sum","32 Item Ledger Entry","12 Quantity","5 Source no.",$C679,"3 Posting Date",O$9,"4 Entry Type",$C$4,"2 Item No.","@@"&amp;$F679)</t>
  </si>
  <si>
    <t>=-NL("Sum","32 Item Ledger Entry","12 Quantity","5 Source no.",$C680,"3 Posting Date",O$9,"4 Entry Type",$C$4,"2 Item No.","@@"&amp;$F680)</t>
  </si>
  <si>
    <t>=-NL("Sum","32 Item Ledger Entry","12 Quantity","5 Source no.",$C681,"3 Posting Date",O$9,"4 Entry Type",$C$4,"2 Item No.","@@"&amp;$F681)</t>
  </si>
  <si>
    <t>=-NL("Sum","32 Item Ledger Entry","12 Quantity","5 Source no.",$C682,"3 Posting Date",O$9,"4 Entry Type",$C$4,"2 Item No.","@@"&amp;$F682)</t>
  </si>
  <si>
    <t>=-NL("Sum","32 Item Ledger Entry","12 Quantity","5 Source no.",$C683,"3 Posting Date",O$9,"4 Entry Type",$C$4,"2 Item No.","@@"&amp;$F683)</t>
  </si>
  <si>
    <t>=-NL("Sum","32 Item Ledger Entry","12 Quantity","5 Source no.",$C684,"3 Posting Date",O$9,"4 Entry Type",$C$4,"2 Item No.","@@"&amp;$F684)</t>
  </si>
  <si>
    <t>=-NL("Sum","32 Item Ledger Entry","12 Quantity","5 Source no.",$C633,"3 Posting Date",U$9,"4 Entry Type",$C$4,"2 Item No.","@@"&amp;$F633)</t>
  </si>
  <si>
    <t>=-NL("Sum","32 Item Ledger Entry","12 Quantity","5 Source no.",$C634,"3 Posting Date",U$9,"4 Entry Type",$C$4,"2 Item No.","@@"&amp;$F634)</t>
  </si>
  <si>
    <t>=-NL("Sum","32 Item Ledger Entry","12 Quantity","5 Source no.",$C635,"3 Posting Date",U$9,"4 Entry Type",$C$4,"2 Item No.","@@"&amp;$F635)</t>
  </si>
  <si>
    <t>=-NL("Sum","32 Item Ledger Entry","12 Quantity","5 Source no.",$C636,"3 Posting Date",U$9,"4 Entry Type",$C$4,"2 Item No.","@@"&amp;$F636)</t>
  </si>
  <si>
    <t>=-NL("Sum","32 Item Ledger Entry","12 Quantity","5 Source no.",$C637,"3 Posting Date",U$9,"4 Entry Type",$C$4,"2 Item No.","@@"&amp;$F637)</t>
  </si>
  <si>
    <t>=-NL("Sum","32 Item Ledger Entry","12 Quantity","5 Source no.",$C638,"3 Posting Date",U$9,"4 Entry Type",$C$4,"2 Item No.","@@"&amp;$F638)</t>
  </si>
  <si>
    <t>=-NL("Sum","32 Item Ledger Entry","12 Quantity","5 Source no.",$C639,"3 Posting Date",U$9,"4 Entry Type",$C$4,"2 Item No.","@@"&amp;$F639)</t>
  </si>
  <si>
    <t>=-NL("Sum","32 Item Ledger Entry","12 Quantity","5 Source no.",$C640,"3 Posting Date",U$9,"4 Entry Type",$C$4,"2 Item No.","@@"&amp;$F640)</t>
  </si>
  <si>
    <t>=-NL("Sum","32 Item Ledger Entry","12 Quantity","5 Source no.",$C641,"3 Posting Date",U$9,"4 Entry Type",$C$4,"2 Item No.","@@"&amp;$F641)</t>
  </si>
  <si>
    <t>=-NL("Sum","32 Item Ledger Entry","12 Quantity","5 Source no.",$C642,"3 Posting Date",U$9,"4 Entry Type",$C$4,"2 Item No.","@@"&amp;$F642)</t>
  </si>
  <si>
    <t>=-NL("Sum","32 Item Ledger Entry","12 Quantity","5 Source no.",$C643,"3 Posting Date",U$9,"4 Entry Type",$C$4,"2 Item No.","@@"&amp;$F643)</t>
  </si>
  <si>
    <t>=-NL("Sum","32 Item Ledger Entry","12 Quantity","5 Source no.",$C644,"3 Posting Date",U$9,"4 Entry Type",$C$4,"2 Item No.","@@"&amp;$F644)</t>
  </si>
  <si>
    <t>=-NL("Sum","32 Item Ledger Entry","12 Quantity","5 Source no.",$C645,"3 Posting Date",U$9,"4 Entry Type",$C$4,"2 Item No.","@@"&amp;$F645)</t>
  </si>
  <si>
    <t>=-NL("Sum","32 Item Ledger Entry","12 Quantity","5 Source no.",$C646,"3 Posting Date",U$9,"4 Entry Type",$C$4,"2 Item No.","@@"&amp;$F646)</t>
  </si>
  <si>
    <t>=-NL("Sum","32 Item Ledger Entry","12 Quantity","5 Source no.",$C647,"3 Posting Date",U$9,"4 Entry Type",$C$4,"2 Item No.","@@"&amp;$F647)</t>
  </si>
  <si>
    <t>=-NL("Sum","32 Item Ledger Entry","12 Quantity","5 Source no.",$C648,"3 Posting Date",U$9,"4 Entry Type",$C$4,"2 Item No.","@@"&amp;$F648)</t>
  </si>
  <si>
    <t>=-NL("Sum","32 Item Ledger Entry","12 Quantity","5 Source no.",$C649,"3 Posting Date",U$9,"4 Entry Type",$C$4,"2 Item No.","@@"&amp;$F649)</t>
  </si>
  <si>
    <t>=-NL("Sum","32 Item Ledger Entry","12 Quantity","5 Source no.",$C650,"3 Posting Date",U$9,"4 Entry Type",$C$4,"2 Item No.","@@"&amp;$F650)</t>
  </si>
  <si>
    <t>=-NL("Sum","32 Item Ledger Entry","12 Quantity","5 Source no.",$C651,"3 Posting Date",U$9,"4 Entry Type",$C$4,"2 Item No.","@@"&amp;$F651)</t>
  </si>
  <si>
    <t>=-NL("Sum","32 Item Ledger Entry","12 Quantity","5 Source no.",$C652,"3 Posting Date",U$9,"4 Entry Type",$C$4,"2 Item No.","@@"&amp;$F652)</t>
  </si>
  <si>
    <t>=-NL("Sum","32 Item Ledger Entry","12 Quantity","5 Source no.",$C653,"3 Posting Date",U$9,"4 Entry Type",$C$4,"2 Item No.","@@"&amp;$F653)</t>
  </si>
  <si>
    <t>=-NL("Sum","32 Item Ledger Entry","12 Quantity","5 Source no.",$C654,"3 Posting Date",U$9,"4 Entry Type",$C$4,"2 Item No.","@@"&amp;$F654)</t>
  </si>
  <si>
    <t>=-NL("Sum","32 Item Ledger Entry","12 Quantity","5 Source no.",$C655,"3 Posting Date",U$9,"4 Entry Type",$C$4,"2 Item No.","@@"&amp;$F655)</t>
  </si>
  <si>
    <t>=-NL("Sum","32 Item Ledger Entry","12 Quantity","5 Source no.",$C656,"3 Posting Date",U$9,"4 Entry Type",$C$4,"2 Item No.","@@"&amp;$F656)</t>
  </si>
  <si>
    <t>=-NL("Sum","32 Item Ledger Entry","12 Quantity","5 Source no.",$C657,"3 Posting Date",U$9,"4 Entry Type",$C$4,"2 Item No.","@@"&amp;$F657)</t>
  </si>
  <si>
    <t>=-NL("Sum","32 Item Ledger Entry","12 Quantity","5 Source no.",$C658,"3 Posting Date",U$9,"4 Entry Type",$C$4,"2 Item No.","@@"&amp;$F658)</t>
  </si>
  <si>
    <t>=-NL("Sum","32 Item Ledger Entry","12 Quantity","5 Source no.",$C659,"3 Posting Date",U$9,"4 Entry Type",$C$4,"2 Item No.","@@"&amp;$F659)</t>
  </si>
  <si>
    <t>=-NL("Sum","32 Item Ledger Entry","12 Quantity","5 Source no.",$C660,"3 Posting Date",U$9,"4 Entry Type",$C$4,"2 Item No.","@@"&amp;$F660)</t>
  </si>
  <si>
    <t>=-NL("Sum","32 Item Ledger Entry","12 Quantity","5 Source no.",$C661,"3 Posting Date",U$9,"4 Entry Type",$C$4,"2 Item No.","@@"&amp;$F661)</t>
  </si>
  <si>
    <t>=-NL("Sum","32 Item Ledger Entry","12 Quantity","5 Source no.",$C662,"3 Posting Date",U$9,"4 Entry Type",$C$4,"2 Item No.","@@"&amp;$F662)</t>
  </si>
  <si>
    <t>=-NL("Sum","32 Item Ledger Entry","12 Quantity","5 Source no.",$C663,"3 Posting Date",U$9,"4 Entry Type",$C$4,"2 Item No.","@@"&amp;$F663)</t>
  </si>
  <si>
    <t>=-NL("Sum","32 Item Ledger Entry","12 Quantity","5 Source no.",$C664,"3 Posting Date",U$9,"4 Entry Type",$C$4,"2 Item No.","@@"&amp;$F664)</t>
  </si>
  <si>
    <t>=-NL("Sum","32 Item Ledger Entry","12 Quantity","5 Source no.",$C665,"3 Posting Date",U$9,"4 Entry Type",$C$4,"2 Item No.","@@"&amp;$F665)</t>
  </si>
  <si>
    <t>=-NL("Sum","32 Item Ledger Entry","12 Quantity","5 Source no.",$C666,"3 Posting Date",U$9,"4 Entry Type",$C$4,"2 Item No.","@@"&amp;$F666)</t>
  </si>
  <si>
    <t>=-NL("Sum","32 Item Ledger Entry","12 Quantity","5 Source no.",$C667,"3 Posting Date",U$9,"4 Entry Type",$C$4,"2 Item No.","@@"&amp;$F667)</t>
  </si>
  <si>
    <t>=-NL("Sum","32 Item Ledger Entry","12 Quantity","5 Source no.",$C668,"3 Posting Date",U$9,"4 Entry Type",$C$4,"2 Item No.","@@"&amp;$F668)</t>
  </si>
  <si>
    <t>=-NL("Sum","32 Item Ledger Entry","12 Quantity","5 Source no.",$C669,"3 Posting Date",U$9,"4 Entry Type",$C$4,"2 Item No.","@@"&amp;$F669)</t>
  </si>
  <si>
    <t>=-NL("Sum","32 Item Ledger Entry","12 Quantity","5 Source no.",$C670,"3 Posting Date",U$9,"4 Entry Type",$C$4,"2 Item No.","@@"&amp;$F670)</t>
  </si>
  <si>
    <t>=-NL("Sum","32 Item Ledger Entry","12 Quantity","5 Source no.",$C671,"3 Posting Date",U$9,"4 Entry Type",$C$4,"2 Item No.","@@"&amp;$F671)</t>
  </si>
  <si>
    <t>=-NL("Sum","32 Item Ledger Entry","12 Quantity","5 Source no.",$C672,"3 Posting Date",U$9,"4 Entry Type",$C$4,"2 Item No.","@@"&amp;$F672)</t>
  </si>
  <si>
    <t>=-NL("Sum","32 Item Ledger Entry","12 Quantity","5 Source no.",$C673,"3 Posting Date",U$9,"4 Entry Type",$C$4,"2 Item No.","@@"&amp;$F673)</t>
  </si>
  <si>
    <t>=-NL("Sum","32 Item Ledger Entry","12 Quantity","5 Source no.",$C674,"3 Posting Date",U$9,"4 Entry Type",$C$4,"2 Item No.","@@"&amp;$F674)</t>
  </si>
  <si>
    <t>=-NL("Sum","32 Item Ledger Entry","12 Quantity","5 Source no.",$C675,"3 Posting Date",U$9,"4 Entry Type",$C$4,"2 Item No.","@@"&amp;$F675)</t>
  </si>
  <si>
    <t>=-NL("Sum","32 Item Ledger Entry","12 Quantity","5 Source no.",$C676,"3 Posting Date",U$9,"4 Entry Type",$C$4,"2 Item No.","@@"&amp;$F676)</t>
  </si>
  <si>
    <t>=-NL("Sum","32 Item Ledger Entry","12 Quantity","5 Source no.",$C677,"3 Posting Date",U$9,"4 Entry Type",$C$4,"2 Item No.","@@"&amp;$F677)</t>
  </si>
  <si>
    <t>=-NL("Sum","32 Item Ledger Entry","12 Quantity","5 Source no.",$C678,"3 Posting Date",U$9,"4 Entry Type",$C$4,"2 Item No.","@@"&amp;$F678)</t>
  </si>
  <si>
    <t>=-NL("Sum","32 Item Ledger Entry","12 Quantity","5 Source no.",$C679,"3 Posting Date",U$9,"4 Entry Type",$C$4,"2 Item No.","@@"&amp;$F679)</t>
  </si>
  <si>
    <t>=-NL("Sum","32 Item Ledger Entry","12 Quantity","5 Source no.",$C680,"3 Posting Date",U$9,"4 Entry Type",$C$4,"2 Item No.","@@"&amp;$F680)</t>
  </si>
  <si>
    <t>=-NL("Sum","32 Item Ledger Entry","12 Quantity","5 Source no.",$C681,"3 Posting Date",U$9,"4 Entry Type",$C$4,"2 Item No.","@@"&amp;$F681)</t>
  </si>
  <si>
    <t>=-NL("Sum","32 Item Ledger Entry","12 Quantity","5 Source no.",$C682,"3 Posting Date",U$9,"4 Entry Type",$C$4,"2 Item No.","@@"&amp;$F682)</t>
  </si>
  <si>
    <t>=-NL("Sum","32 Item Ledger Entry","12 Quantity","5 Source no.",$C683,"3 Posting Date",U$9,"4 Entry Type",$C$4,"2 Item No.","@@"&amp;$F683)</t>
  </si>
  <si>
    <t>=-NL("Sum","32 Item Ledger Entry","12 Quantity","5 Source no.",$C684,"3 Posting Date",U$9,"4 Entry Type",$C$4,"2 Item No.","@@"&amp;$F684)</t>
  </si>
  <si>
    <t>=-NL("Sum","32 Item Ledger Entry","12 Quantity","5 Source no.",$C633,"3 Posting Date",Z$9,"4 Entry Type",$C$4,"2 Item No.","@@"&amp;$F633)</t>
  </si>
  <si>
    <t>=-NL("Sum","32 Item Ledger Entry","12 Quantity","5 Source no.",$C634,"3 Posting Date",Z$9,"4 Entry Type",$C$4,"2 Item No.","@@"&amp;$F634)</t>
  </si>
  <si>
    <t>=-NL("Sum","32 Item Ledger Entry","12 Quantity","5 Source no.",$C635,"3 Posting Date",Z$9,"4 Entry Type",$C$4,"2 Item No.","@@"&amp;$F635)</t>
  </si>
  <si>
    <t>=-NL("Sum","32 Item Ledger Entry","12 Quantity","5 Source no.",$C636,"3 Posting Date",Z$9,"4 Entry Type",$C$4,"2 Item No.","@@"&amp;$F636)</t>
  </si>
  <si>
    <t>=-NL("Sum","32 Item Ledger Entry","12 Quantity","5 Source no.",$C637,"3 Posting Date",Z$9,"4 Entry Type",$C$4,"2 Item No.","@@"&amp;$F637)</t>
  </si>
  <si>
    <t>=-NL("Sum","32 Item Ledger Entry","12 Quantity","5 Source no.",$C638,"3 Posting Date",Z$9,"4 Entry Type",$C$4,"2 Item No.","@@"&amp;$F638)</t>
  </si>
  <si>
    <t>=-NL("Sum","32 Item Ledger Entry","12 Quantity","5 Source no.",$C639,"3 Posting Date",Z$9,"4 Entry Type",$C$4,"2 Item No.","@@"&amp;$F639)</t>
  </si>
  <si>
    <t>=-NL("Sum","32 Item Ledger Entry","12 Quantity","5 Source no.",$C640,"3 Posting Date",Z$9,"4 Entry Type",$C$4,"2 Item No.","@@"&amp;$F640)</t>
  </si>
  <si>
    <t>=-NL("Sum","32 Item Ledger Entry","12 Quantity","5 Source no.",$C641,"3 Posting Date",Z$9,"4 Entry Type",$C$4,"2 Item No.","@@"&amp;$F641)</t>
  </si>
  <si>
    <t>=-NL("Sum","32 Item Ledger Entry","12 Quantity","5 Source no.",$C642,"3 Posting Date",Z$9,"4 Entry Type",$C$4,"2 Item No.","@@"&amp;$F642)</t>
  </si>
  <si>
    <t>=-NL("Sum","32 Item Ledger Entry","12 Quantity","5 Source no.",$C643,"3 Posting Date",Z$9,"4 Entry Type",$C$4,"2 Item No.","@@"&amp;$F643)</t>
  </si>
  <si>
    <t>=-NL("Sum","32 Item Ledger Entry","12 Quantity","5 Source no.",$C644,"3 Posting Date",Z$9,"4 Entry Type",$C$4,"2 Item No.","@@"&amp;$F644)</t>
  </si>
  <si>
    <t>=-NL("Sum","32 Item Ledger Entry","12 Quantity","5 Source no.",$C645,"3 Posting Date",Z$9,"4 Entry Type",$C$4,"2 Item No.","@@"&amp;$F645)</t>
  </si>
  <si>
    <t>=-NL("Sum","32 Item Ledger Entry","12 Quantity","5 Source no.",$C646,"3 Posting Date",Z$9,"4 Entry Type",$C$4,"2 Item No.","@@"&amp;$F646)</t>
  </si>
  <si>
    <t>=-NL("Sum","32 Item Ledger Entry","12 Quantity","5 Source no.",$C647,"3 Posting Date",Z$9,"4 Entry Type",$C$4,"2 Item No.","@@"&amp;$F647)</t>
  </si>
  <si>
    <t>=-NL("Sum","32 Item Ledger Entry","12 Quantity","5 Source no.",$C648,"3 Posting Date",Z$9,"4 Entry Type",$C$4,"2 Item No.","@@"&amp;$F648)</t>
  </si>
  <si>
    <t>=-NL("Sum","32 Item Ledger Entry","12 Quantity","5 Source no.",$C649,"3 Posting Date",Z$9,"4 Entry Type",$C$4,"2 Item No.","@@"&amp;$F649)</t>
  </si>
  <si>
    <t>=-NL("Sum","32 Item Ledger Entry","12 Quantity","5 Source no.",$C650,"3 Posting Date",Z$9,"4 Entry Type",$C$4,"2 Item No.","@@"&amp;$F650)</t>
  </si>
  <si>
    <t>=-NL("Sum","32 Item Ledger Entry","12 Quantity","5 Source no.",$C651,"3 Posting Date",Z$9,"4 Entry Type",$C$4,"2 Item No.","@@"&amp;$F651)</t>
  </si>
  <si>
    <t>=-NL("Sum","32 Item Ledger Entry","12 Quantity","5 Source no.",$C652,"3 Posting Date",Z$9,"4 Entry Type",$C$4,"2 Item No.","@@"&amp;$F652)</t>
  </si>
  <si>
    <t>=-NL("Sum","32 Item Ledger Entry","12 Quantity","5 Source no.",$C653,"3 Posting Date",Z$9,"4 Entry Type",$C$4,"2 Item No.","@@"&amp;$F653)</t>
  </si>
  <si>
    <t>=-NL("Sum","32 Item Ledger Entry","12 Quantity","5 Source no.",$C654,"3 Posting Date",Z$9,"4 Entry Type",$C$4,"2 Item No.","@@"&amp;$F654)</t>
  </si>
  <si>
    <t>=-NL("Sum","32 Item Ledger Entry","12 Quantity","5 Source no.",$C655,"3 Posting Date",Z$9,"4 Entry Type",$C$4,"2 Item No.","@@"&amp;$F655)</t>
  </si>
  <si>
    <t>=-NL("Sum","32 Item Ledger Entry","12 Quantity","5 Source no.",$C656,"3 Posting Date",Z$9,"4 Entry Type",$C$4,"2 Item No.","@@"&amp;$F656)</t>
  </si>
  <si>
    <t>=-NL("Sum","32 Item Ledger Entry","12 Quantity","5 Source no.",$C657,"3 Posting Date",Z$9,"4 Entry Type",$C$4,"2 Item No.","@@"&amp;$F657)</t>
  </si>
  <si>
    <t>=-NL("Sum","32 Item Ledger Entry","12 Quantity","5 Source no.",$C658,"3 Posting Date",Z$9,"4 Entry Type",$C$4,"2 Item No.","@@"&amp;$F658)</t>
  </si>
  <si>
    <t>=-NL("Sum","32 Item Ledger Entry","12 Quantity","5 Source no.",$C659,"3 Posting Date",Z$9,"4 Entry Type",$C$4,"2 Item No.","@@"&amp;$F659)</t>
  </si>
  <si>
    <t>=-NL("Sum","32 Item Ledger Entry","12 Quantity","5 Source no.",$C660,"3 Posting Date",Z$9,"4 Entry Type",$C$4,"2 Item No.","@@"&amp;$F660)</t>
  </si>
  <si>
    <t>=-NL("Sum","32 Item Ledger Entry","12 Quantity","5 Source no.",$C661,"3 Posting Date",Z$9,"4 Entry Type",$C$4,"2 Item No.","@@"&amp;$F661)</t>
  </si>
  <si>
    <t>=-NL("Sum","32 Item Ledger Entry","12 Quantity","5 Source no.",$C662,"3 Posting Date",Z$9,"4 Entry Type",$C$4,"2 Item No.","@@"&amp;$F662)</t>
  </si>
  <si>
    <t>=-NL("Sum","32 Item Ledger Entry","12 Quantity","5 Source no.",$C663,"3 Posting Date",Z$9,"4 Entry Type",$C$4,"2 Item No.","@@"&amp;$F663)</t>
  </si>
  <si>
    <t>=-NL("Sum","32 Item Ledger Entry","12 Quantity","5 Source no.",$C664,"3 Posting Date",Z$9,"4 Entry Type",$C$4,"2 Item No.","@@"&amp;$F664)</t>
  </si>
  <si>
    <t>=-NL("Sum","32 Item Ledger Entry","12 Quantity","5 Source no.",$C665,"3 Posting Date",Z$9,"4 Entry Type",$C$4,"2 Item No.","@@"&amp;$F665)</t>
  </si>
  <si>
    <t>=-NL("Sum","32 Item Ledger Entry","12 Quantity","5 Source no.",$C666,"3 Posting Date",Z$9,"4 Entry Type",$C$4,"2 Item No.","@@"&amp;$F666)</t>
  </si>
  <si>
    <t>=-NL("Sum","32 Item Ledger Entry","12 Quantity","5 Source no.",$C667,"3 Posting Date",Z$9,"4 Entry Type",$C$4,"2 Item No.","@@"&amp;$F667)</t>
  </si>
  <si>
    <t>=-NL("Sum","32 Item Ledger Entry","12 Quantity","5 Source no.",$C668,"3 Posting Date",Z$9,"4 Entry Type",$C$4,"2 Item No.","@@"&amp;$F668)</t>
  </si>
  <si>
    <t>=-NL("Sum","32 Item Ledger Entry","12 Quantity","5 Source no.",$C669,"3 Posting Date",Z$9,"4 Entry Type",$C$4,"2 Item No.","@@"&amp;$F669)</t>
  </si>
  <si>
    <t>=-NL("Sum","32 Item Ledger Entry","12 Quantity","5 Source no.",$C670,"3 Posting Date",Z$9,"4 Entry Type",$C$4,"2 Item No.","@@"&amp;$F670)</t>
  </si>
  <si>
    <t>=-NL("Sum","32 Item Ledger Entry","12 Quantity","5 Source no.",$C671,"3 Posting Date",Z$9,"4 Entry Type",$C$4,"2 Item No.","@@"&amp;$F671)</t>
  </si>
  <si>
    <t>=-NL("Sum","32 Item Ledger Entry","12 Quantity","5 Source no.",$C672,"3 Posting Date",Z$9,"4 Entry Type",$C$4,"2 Item No.","@@"&amp;$F672)</t>
  </si>
  <si>
    <t>=-NL("Sum","32 Item Ledger Entry","12 Quantity","5 Source no.",$C673,"3 Posting Date",Z$9,"4 Entry Type",$C$4,"2 Item No.","@@"&amp;$F673)</t>
  </si>
  <si>
    <t>=-NL("Sum","32 Item Ledger Entry","12 Quantity","5 Source no.",$C674,"3 Posting Date",Z$9,"4 Entry Type",$C$4,"2 Item No.","@@"&amp;$F674)</t>
  </si>
  <si>
    <t>=-NL("Sum","32 Item Ledger Entry","12 Quantity","5 Source no.",$C675,"3 Posting Date",Z$9,"4 Entry Type",$C$4,"2 Item No.","@@"&amp;$F675)</t>
  </si>
  <si>
    <t>=-NL("Sum","32 Item Ledger Entry","12 Quantity","5 Source no.",$C676,"3 Posting Date",Z$9,"4 Entry Type",$C$4,"2 Item No.","@@"&amp;$F676)</t>
  </si>
  <si>
    <t>=-NL("Sum","32 Item Ledger Entry","12 Quantity","5 Source no.",$C677,"3 Posting Date",Z$9,"4 Entry Type",$C$4,"2 Item No.","@@"&amp;$F677)</t>
  </si>
  <si>
    <t>=-NL("Sum","32 Item Ledger Entry","12 Quantity","5 Source no.",$C678,"3 Posting Date",Z$9,"4 Entry Type",$C$4,"2 Item No.","@@"&amp;$F678)</t>
  </si>
  <si>
    <t>=-NL("Sum","32 Item Ledger Entry","12 Quantity","5 Source no.",$C679,"3 Posting Date",Z$9,"4 Entry Type",$C$4,"2 Item No.","@@"&amp;$F679)</t>
  </si>
  <si>
    <t>=-NL("Sum","32 Item Ledger Entry","12 Quantity","5 Source no.",$C680,"3 Posting Date",Z$9,"4 Entry Type",$C$4,"2 Item No.","@@"&amp;$F680)</t>
  </si>
  <si>
    <t>=-NL("Sum","32 Item Ledger Entry","12 Quantity","5 Source no.",$C681,"3 Posting Date",Z$9,"4 Entry Type",$C$4,"2 Item No.","@@"&amp;$F681)</t>
  </si>
  <si>
    <t>=-NL("Sum","32 Item Ledger Entry","12 Quantity","5 Source no.",$C682,"3 Posting Date",Z$9,"4 Entry Type",$C$4,"2 Item No.","@@"&amp;$F682)</t>
  </si>
  <si>
    <t>=-NL("Sum","32 Item Ledger Entry","12 Quantity","5 Source no.",$C683,"3 Posting Date",Z$9,"4 Entry Type",$C$4,"2 Item No.","@@"&amp;$F683)</t>
  </si>
  <si>
    <t>=-NL("Sum","32 Item Ledger Entry","12 Quantity","5 Source no.",$C684,"3 Posting Date",Z$9,"4 Entry Type",$C$4,"2 Item No.","@@"&amp;$F684)</t>
  </si>
  <si>
    <t>=NL(,"27 Item","3 Description","1 No.","@@"&amp;F618)</t>
  </si>
  <si>
    <t>=NL(,"27 Item","3 Description","1 No.","@@"&amp;F619)</t>
  </si>
  <si>
    <t>=NL(,"27 Item","3 Description","1 No.","@@"&amp;F620)</t>
  </si>
  <si>
    <t>=NL(,"27 Item","3 Description","1 No.","@@"&amp;F621)</t>
  </si>
  <si>
    <t>=NL(,"27 Item","3 Description","1 No.","@@"&amp;F622)</t>
  </si>
  <si>
    <t>=NL(,"27 Item","3 Description","1 No.","@@"&amp;F623)</t>
  </si>
  <si>
    <t>=NL(,"27 Item","3 Description","1 No.","@@"&amp;F624)</t>
  </si>
  <si>
    <t>=NL(,"27 Item","3 Description","1 No.","@@"&amp;F625)</t>
  </si>
  <si>
    <t>=NL(,"27 Item","3 Description","1 No.","@@"&amp;F626)</t>
  </si>
  <si>
    <t>=NL(,"27 Item","3 Description","1 No.","@@"&amp;F627)</t>
  </si>
  <si>
    <t>=-NL("Sum","32 Item Ledger Entry","12 Quantity","5 Source no.",$C618,"3 Posting Date",J$9,"4 Entry Type",$C$4,"2 Item No.","@@"&amp;$F618)</t>
  </si>
  <si>
    <t>=-NL("Sum","32 Item Ledger Entry","12 Quantity","5 Source no.",$C619,"3 Posting Date",J$9,"4 Entry Type",$C$4,"2 Item No.","@@"&amp;$F619)</t>
  </si>
  <si>
    <t>=-NL("Sum","32 Item Ledger Entry","12 Quantity","5 Source no.",$C620,"3 Posting Date",J$9,"4 Entry Type",$C$4,"2 Item No.","@@"&amp;$F620)</t>
  </si>
  <si>
    <t>=-NL("Sum","32 Item Ledger Entry","12 Quantity","5 Source no.",$C621,"3 Posting Date",J$9,"4 Entry Type",$C$4,"2 Item No.","@@"&amp;$F621)</t>
  </si>
  <si>
    <t>=-NL("Sum","32 Item Ledger Entry","12 Quantity","5 Source no.",$C622,"3 Posting Date",J$9,"4 Entry Type",$C$4,"2 Item No.","@@"&amp;$F622)</t>
  </si>
  <si>
    <t>=-NL("Sum","32 Item Ledger Entry","12 Quantity","5 Source no.",$C623,"3 Posting Date",J$9,"4 Entry Type",$C$4,"2 Item No.","@@"&amp;$F623)</t>
  </si>
  <si>
    <t>=-NL("Sum","32 Item Ledger Entry","12 Quantity","5 Source no.",$C624,"3 Posting Date",J$9,"4 Entry Type",$C$4,"2 Item No.","@@"&amp;$F624)</t>
  </si>
  <si>
    <t>=-NL("Sum","32 Item Ledger Entry","12 Quantity","5 Source no.",$C625,"3 Posting Date",J$9,"4 Entry Type",$C$4,"2 Item No.","@@"&amp;$F625)</t>
  </si>
  <si>
    <t>=-NL("Sum","32 Item Ledger Entry","12 Quantity","5 Source no.",$C626,"3 Posting Date",J$9,"4 Entry Type",$C$4,"2 Item No.","@@"&amp;$F626)</t>
  </si>
  <si>
    <t>=-NL("Sum","32 Item Ledger Entry","12 Quantity","5 Source no.",$C627,"3 Posting Date",J$9,"4 Entry Type",$C$4,"2 Item No.","@@"&amp;$F627)</t>
  </si>
  <si>
    <t>=-NL("Sum","32 Item Ledger Entry","12 Quantity","5 Source no.",$C618,"3 Posting Date",O$9,"4 Entry Type",$C$4,"2 Item No.","@@"&amp;$F618)</t>
  </si>
  <si>
    <t>=-NL("Sum","32 Item Ledger Entry","12 Quantity","5 Source no.",$C619,"3 Posting Date",O$9,"4 Entry Type",$C$4,"2 Item No.","@@"&amp;$F619)</t>
  </si>
  <si>
    <t>=-NL("Sum","32 Item Ledger Entry","12 Quantity","5 Source no.",$C620,"3 Posting Date",O$9,"4 Entry Type",$C$4,"2 Item No.","@@"&amp;$F620)</t>
  </si>
  <si>
    <t>=-NL("Sum","32 Item Ledger Entry","12 Quantity","5 Source no.",$C621,"3 Posting Date",O$9,"4 Entry Type",$C$4,"2 Item No.","@@"&amp;$F621)</t>
  </si>
  <si>
    <t>=-NL("Sum","32 Item Ledger Entry","12 Quantity","5 Source no.",$C622,"3 Posting Date",O$9,"4 Entry Type",$C$4,"2 Item No.","@@"&amp;$F622)</t>
  </si>
  <si>
    <t>=-NL("Sum","32 Item Ledger Entry","12 Quantity","5 Source no.",$C623,"3 Posting Date",O$9,"4 Entry Type",$C$4,"2 Item No.","@@"&amp;$F623)</t>
  </si>
  <si>
    <t>=-NL("Sum","32 Item Ledger Entry","12 Quantity","5 Source no.",$C624,"3 Posting Date",O$9,"4 Entry Type",$C$4,"2 Item No.","@@"&amp;$F624)</t>
  </si>
  <si>
    <t>=-NL("Sum","32 Item Ledger Entry","12 Quantity","5 Source no.",$C625,"3 Posting Date",O$9,"4 Entry Type",$C$4,"2 Item No.","@@"&amp;$F625)</t>
  </si>
  <si>
    <t>=-NL("Sum","32 Item Ledger Entry","12 Quantity","5 Source no.",$C626,"3 Posting Date",O$9,"4 Entry Type",$C$4,"2 Item No.","@@"&amp;$F626)</t>
  </si>
  <si>
    <t>=-NL("Sum","32 Item Ledger Entry","12 Quantity","5 Source no.",$C627,"3 Posting Date",O$9,"4 Entry Type",$C$4,"2 Item No.","@@"&amp;$F627)</t>
  </si>
  <si>
    <t>=-NL("Sum","32 Item Ledger Entry","12 Quantity","5 Source no.",$C618,"3 Posting Date",U$9,"4 Entry Type",$C$4,"2 Item No.","@@"&amp;$F618)</t>
  </si>
  <si>
    <t>=-NL("Sum","32 Item Ledger Entry","12 Quantity","5 Source no.",$C619,"3 Posting Date",U$9,"4 Entry Type",$C$4,"2 Item No.","@@"&amp;$F619)</t>
  </si>
  <si>
    <t>=-NL("Sum","32 Item Ledger Entry","12 Quantity","5 Source no.",$C620,"3 Posting Date",U$9,"4 Entry Type",$C$4,"2 Item No.","@@"&amp;$F620)</t>
  </si>
  <si>
    <t>=-NL("Sum","32 Item Ledger Entry","12 Quantity","5 Source no.",$C621,"3 Posting Date",U$9,"4 Entry Type",$C$4,"2 Item No.","@@"&amp;$F621)</t>
  </si>
  <si>
    <t>=-NL("Sum","32 Item Ledger Entry","12 Quantity","5 Source no.",$C622,"3 Posting Date",U$9,"4 Entry Type",$C$4,"2 Item No.","@@"&amp;$F622)</t>
  </si>
  <si>
    <t>=-NL("Sum","32 Item Ledger Entry","12 Quantity","5 Source no.",$C623,"3 Posting Date",U$9,"4 Entry Type",$C$4,"2 Item No.","@@"&amp;$F623)</t>
  </si>
  <si>
    <t>=-NL("Sum","32 Item Ledger Entry","12 Quantity","5 Source no.",$C624,"3 Posting Date",U$9,"4 Entry Type",$C$4,"2 Item No.","@@"&amp;$F624)</t>
  </si>
  <si>
    <t>=-NL("Sum","32 Item Ledger Entry","12 Quantity","5 Source no.",$C625,"3 Posting Date",U$9,"4 Entry Type",$C$4,"2 Item No.","@@"&amp;$F625)</t>
  </si>
  <si>
    <t>=-NL("Sum","32 Item Ledger Entry","12 Quantity","5 Source no.",$C626,"3 Posting Date",U$9,"4 Entry Type",$C$4,"2 Item No.","@@"&amp;$F626)</t>
  </si>
  <si>
    <t>=-NL("Sum","32 Item Ledger Entry","12 Quantity","5 Source no.",$C627,"3 Posting Date",U$9,"4 Entry Type",$C$4,"2 Item No.","@@"&amp;$F627)</t>
  </si>
  <si>
    <t>=-NL("Sum","32 Item Ledger Entry","12 Quantity","5 Source no.",$C618,"3 Posting Date",Z$9,"4 Entry Type",$C$4,"2 Item No.","@@"&amp;$F618)</t>
  </si>
  <si>
    <t>=-NL("Sum","32 Item Ledger Entry","12 Quantity","5 Source no.",$C619,"3 Posting Date",Z$9,"4 Entry Type",$C$4,"2 Item No.","@@"&amp;$F619)</t>
  </si>
  <si>
    <t>=-NL("Sum","32 Item Ledger Entry","12 Quantity","5 Source no.",$C620,"3 Posting Date",Z$9,"4 Entry Type",$C$4,"2 Item No.","@@"&amp;$F620)</t>
  </si>
  <si>
    <t>=-NL("Sum","32 Item Ledger Entry","12 Quantity","5 Source no.",$C621,"3 Posting Date",Z$9,"4 Entry Type",$C$4,"2 Item No.","@@"&amp;$F621)</t>
  </si>
  <si>
    <t>=-NL("Sum","32 Item Ledger Entry","12 Quantity","5 Source no.",$C622,"3 Posting Date",Z$9,"4 Entry Type",$C$4,"2 Item No.","@@"&amp;$F622)</t>
  </si>
  <si>
    <t>=-NL("Sum","32 Item Ledger Entry","12 Quantity","5 Source no.",$C623,"3 Posting Date",Z$9,"4 Entry Type",$C$4,"2 Item No.","@@"&amp;$F623)</t>
  </si>
  <si>
    <t>=-NL("Sum","32 Item Ledger Entry","12 Quantity","5 Source no.",$C624,"3 Posting Date",Z$9,"4 Entry Type",$C$4,"2 Item No.","@@"&amp;$F624)</t>
  </si>
  <si>
    <t>=-NL("Sum","32 Item Ledger Entry","12 Quantity","5 Source no.",$C625,"3 Posting Date",Z$9,"4 Entry Type",$C$4,"2 Item No.","@@"&amp;$F625)</t>
  </si>
  <si>
    <t>=-NL("Sum","32 Item Ledger Entry","12 Quantity","5 Source no.",$C626,"3 Posting Date",Z$9,"4 Entry Type",$C$4,"2 Item No.","@@"&amp;$F626)</t>
  </si>
  <si>
    <t>=-NL("Sum","32 Item Ledger Entry","12 Quantity","5 Source no.",$C627,"3 Posting Date",Z$9,"4 Entry Type",$C$4,"2 Item No.","@@"&amp;$F627)</t>
  </si>
  <si>
    <t>=NL(,"27 Item","3 Description","1 No.","@@"&amp;F595)</t>
  </si>
  <si>
    <t>=NL(,"27 Item","3 Description","1 No.","@@"&amp;F596)</t>
  </si>
  <si>
    <t>=NL(,"27 Item","3 Description","1 No.","@@"&amp;F597)</t>
  </si>
  <si>
    <t>=NL(,"27 Item","3 Description","1 No.","@@"&amp;F598)</t>
  </si>
  <si>
    <t>=NL(,"27 Item","3 Description","1 No.","@@"&amp;F599)</t>
  </si>
  <si>
    <t>=NL(,"27 Item","3 Description","1 No.","@@"&amp;F600)</t>
  </si>
  <si>
    <t>=NL(,"27 Item","3 Description","1 No.","@@"&amp;F601)</t>
  </si>
  <si>
    <t>=NL(,"27 Item","3 Description","1 No.","@@"&amp;F602)</t>
  </si>
  <si>
    <t>=NL(,"27 Item","3 Description","1 No.","@@"&amp;F603)</t>
  </si>
  <si>
    <t>=NL(,"27 Item","3 Description","1 No.","@@"&amp;F604)</t>
  </si>
  <si>
    <t>=NL(,"27 Item","3 Description","1 No.","@@"&amp;F605)</t>
  </si>
  <si>
    <t>=NL(,"27 Item","3 Description","1 No.","@@"&amp;F606)</t>
  </si>
  <si>
    <t>=NL(,"27 Item","3 Description","1 No.","@@"&amp;F607)</t>
  </si>
  <si>
    <t>=NL(,"27 Item","3 Description","1 No.","@@"&amp;F608)</t>
  </si>
  <si>
    <t>=NL(,"27 Item","3 Description","1 No.","@@"&amp;F609)</t>
  </si>
  <si>
    <t>=NL(,"27 Item","3 Description","1 No.","@@"&amp;F610)</t>
  </si>
  <si>
    <t>=NL(,"27 Item","3 Description","1 No.","@@"&amp;F611)</t>
  </si>
  <si>
    <t>=NL(,"27 Item","3 Description","1 No.","@@"&amp;F612)</t>
  </si>
  <si>
    <t>=-NL("Sum","32 Item Ledger Entry","12 Quantity","5 Source no.",$C595,"3 Posting Date",J$9,"4 Entry Type",$C$4,"2 Item No.","@@"&amp;$F595)</t>
  </si>
  <si>
    <t>=-NL("Sum","32 Item Ledger Entry","12 Quantity","5 Source no.",$C596,"3 Posting Date",J$9,"4 Entry Type",$C$4,"2 Item No.","@@"&amp;$F596)</t>
  </si>
  <si>
    <t>=-NL("Sum","32 Item Ledger Entry","12 Quantity","5 Source no.",$C597,"3 Posting Date",J$9,"4 Entry Type",$C$4,"2 Item No.","@@"&amp;$F597)</t>
  </si>
  <si>
    <t>=-NL("Sum","32 Item Ledger Entry","12 Quantity","5 Source no.",$C598,"3 Posting Date",J$9,"4 Entry Type",$C$4,"2 Item No.","@@"&amp;$F598)</t>
  </si>
  <si>
    <t>=-NL("Sum","32 Item Ledger Entry","12 Quantity","5 Source no.",$C599,"3 Posting Date",J$9,"4 Entry Type",$C$4,"2 Item No.","@@"&amp;$F599)</t>
  </si>
  <si>
    <t>=-NL("Sum","32 Item Ledger Entry","12 Quantity","5 Source no.",$C600,"3 Posting Date",J$9,"4 Entry Type",$C$4,"2 Item No.","@@"&amp;$F600)</t>
  </si>
  <si>
    <t>=-NL("Sum","32 Item Ledger Entry","12 Quantity","5 Source no.",$C601,"3 Posting Date",J$9,"4 Entry Type",$C$4,"2 Item No.","@@"&amp;$F601)</t>
  </si>
  <si>
    <t>=-NL("Sum","32 Item Ledger Entry","12 Quantity","5 Source no.",$C602,"3 Posting Date",J$9,"4 Entry Type",$C$4,"2 Item No.","@@"&amp;$F602)</t>
  </si>
  <si>
    <t>=-NL("Sum","32 Item Ledger Entry","12 Quantity","5 Source no.",$C603,"3 Posting Date",J$9,"4 Entry Type",$C$4,"2 Item No.","@@"&amp;$F603)</t>
  </si>
  <si>
    <t>=-NL("Sum","32 Item Ledger Entry","12 Quantity","5 Source no.",$C604,"3 Posting Date",J$9,"4 Entry Type",$C$4,"2 Item No.","@@"&amp;$F604)</t>
  </si>
  <si>
    <t>=-NL("Sum","32 Item Ledger Entry","12 Quantity","5 Source no.",$C605,"3 Posting Date",J$9,"4 Entry Type",$C$4,"2 Item No.","@@"&amp;$F605)</t>
  </si>
  <si>
    <t>=-NL("Sum","32 Item Ledger Entry","12 Quantity","5 Source no.",$C606,"3 Posting Date",J$9,"4 Entry Type",$C$4,"2 Item No.","@@"&amp;$F606)</t>
  </si>
  <si>
    <t>=-NL("Sum","32 Item Ledger Entry","12 Quantity","5 Source no.",$C607,"3 Posting Date",J$9,"4 Entry Type",$C$4,"2 Item No.","@@"&amp;$F607)</t>
  </si>
  <si>
    <t>=-NL("Sum","32 Item Ledger Entry","12 Quantity","5 Source no.",$C608,"3 Posting Date",J$9,"4 Entry Type",$C$4,"2 Item No.","@@"&amp;$F608)</t>
  </si>
  <si>
    <t>=-NL("Sum","32 Item Ledger Entry","12 Quantity","5 Source no.",$C609,"3 Posting Date",J$9,"4 Entry Type",$C$4,"2 Item No.","@@"&amp;$F609)</t>
  </si>
  <si>
    <t>=-NL("Sum","32 Item Ledger Entry","12 Quantity","5 Source no.",$C610,"3 Posting Date",J$9,"4 Entry Type",$C$4,"2 Item No.","@@"&amp;$F610)</t>
  </si>
  <si>
    <t>=-NL("Sum","32 Item Ledger Entry","12 Quantity","5 Source no.",$C611,"3 Posting Date",J$9,"4 Entry Type",$C$4,"2 Item No.","@@"&amp;$F611)</t>
  </si>
  <si>
    <t>=-NL("Sum","32 Item Ledger Entry","12 Quantity","5 Source no.",$C612,"3 Posting Date",J$9,"4 Entry Type",$C$4,"2 Item No.","@@"&amp;$F612)</t>
  </si>
  <si>
    <t>=-NL("Sum","32 Item Ledger Entry","12 Quantity","5 Source no.",$C595,"3 Posting Date",O$9,"4 Entry Type",$C$4,"2 Item No.","@@"&amp;$F595)</t>
  </si>
  <si>
    <t>=-NL("Sum","32 Item Ledger Entry","12 Quantity","5 Source no.",$C596,"3 Posting Date",O$9,"4 Entry Type",$C$4,"2 Item No.","@@"&amp;$F596)</t>
  </si>
  <si>
    <t>=-NL("Sum","32 Item Ledger Entry","12 Quantity","5 Source no.",$C597,"3 Posting Date",O$9,"4 Entry Type",$C$4,"2 Item No.","@@"&amp;$F597)</t>
  </si>
  <si>
    <t>=-NL("Sum","32 Item Ledger Entry","12 Quantity","5 Source no.",$C598,"3 Posting Date",O$9,"4 Entry Type",$C$4,"2 Item No.","@@"&amp;$F598)</t>
  </si>
  <si>
    <t>=-NL("Sum","32 Item Ledger Entry","12 Quantity","5 Source no.",$C599,"3 Posting Date",O$9,"4 Entry Type",$C$4,"2 Item No.","@@"&amp;$F599)</t>
  </si>
  <si>
    <t>=-NL("Sum","32 Item Ledger Entry","12 Quantity","5 Source no.",$C600,"3 Posting Date",O$9,"4 Entry Type",$C$4,"2 Item No.","@@"&amp;$F600)</t>
  </si>
  <si>
    <t>=-NL("Sum","32 Item Ledger Entry","12 Quantity","5 Source no.",$C601,"3 Posting Date",O$9,"4 Entry Type",$C$4,"2 Item No.","@@"&amp;$F601)</t>
  </si>
  <si>
    <t>=-NL("Sum","32 Item Ledger Entry","12 Quantity","5 Source no.",$C602,"3 Posting Date",O$9,"4 Entry Type",$C$4,"2 Item No.","@@"&amp;$F602)</t>
  </si>
  <si>
    <t>=-NL("Sum","32 Item Ledger Entry","12 Quantity","5 Source no.",$C603,"3 Posting Date",O$9,"4 Entry Type",$C$4,"2 Item No.","@@"&amp;$F603)</t>
  </si>
  <si>
    <t>=-NL("Sum","32 Item Ledger Entry","12 Quantity","5 Source no.",$C604,"3 Posting Date",O$9,"4 Entry Type",$C$4,"2 Item No.","@@"&amp;$F604)</t>
  </si>
  <si>
    <t>=-NL("Sum","32 Item Ledger Entry","12 Quantity","5 Source no.",$C605,"3 Posting Date",O$9,"4 Entry Type",$C$4,"2 Item No.","@@"&amp;$F605)</t>
  </si>
  <si>
    <t>=-NL("Sum","32 Item Ledger Entry","12 Quantity","5 Source no.",$C606,"3 Posting Date",O$9,"4 Entry Type",$C$4,"2 Item No.","@@"&amp;$F606)</t>
  </si>
  <si>
    <t>=-NL("Sum","32 Item Ledger Entry","12 Quantity","5 Source no.",$C607,"3 Posting Date",O$9,"4 Entry Type",$C$4,"2 Item No.","@@"&amp;$F607)</t>
  </si>
  <si>
    <t>=-NL("Sum","32 Item Ledger Entry","12 Quantity","5 Source no.",$C608,"3 Posting Date",O$9,"4 Entry Type",$C$4,"2 Item No.","@@"&amp;$F608)</t>
  </si>
  <si>
    <t>=-NL("Sum","32 Item Ledger Entry","12 Quantity","5 Source no.",$C609,"3 Posting Date",O$9,"4 Entry Type",$C$4,"2 Item No.","@@"&amp;$F609)</t>
  </si>
  <si>
    <t>=-NL("Sum","32 Item Ledger Entry","12 Quantity","5 Source no.",$C610,"3 Posting Date",O$9,"4 Entry Type",$C$4,"2 Item No.","@@"&amp;$F610)</t>
  </si>
  <si>
    <t>=-NL("Sum","32 Item Ledger Entry","12 Quantity","5 Source no.",$C611,"3 Posting Date",O$9,"4 Entry Type",$C$4,"2 Item No.","@@"&amp;$F611)</t>
  </si>
  <si>
    <t>=-NL("Sum","32 Item Ledger Entry","12 Quantity","5 Source no.",$C612,"3 Posting Date",O$9,"4 Entry Type",$C$4,"2 Item No.","@@"&amp;$F612)</t>
  </si>
  <si>
    <t>=-NL("Sum","32 Item Ledger Entry","12 Quantity","5 Source no.",$C595,"3 Posting Date",U$9,"4 Entry Type",$C$4,"2 Item No.","@@"&amp;$F595)</t>
  </si>
  <si>
    <t>=-NL("Sum","32 Item Ledger Entry","12 Quantity","5 Source no.",$C596,"3 Posting Date",U$9,"4 Entry Type",$C$4,"2 Item No.","@@"&amp;$F596)</t>
  </si>
  <si>
    <t>=-NL("Sum","32 Item Ledger Entry","12 Quantity","5 Source no.",$C597,"3 Posting Date",U$9,"4 Entry Type",$C$4,"2 Item No.","@@"&amp;$F597)</t>
  </si>
  <si>
    <t>=-NL("Sum","32 Item Ledger Entry","12 Quantity","5 Source no.",$C598,"3 Posting Date",U$9,"4 Entry Type",$C$4,"2 Item No.","@@"&amp;$F598)</t>
  </si>
  <si>
    <t>=-NL("Sum","32 Item Ledger Entry","12 Quantity","5 Source no.",$C599,"3 Posting Date",U$9,"4 Entry Type",$C$4,"2 Item No.","@@"&amp;$F599)</t>
  </si>
  <si>
    <t>=-NL("Sum","32 Item Ledger Entry","12 Quantity","5 Source no.",$C600,"3 Posting Date",U$9,"4 Entry Type",$C$4,"2 Item No.","@@"&amp;$F600)</t>
  </si>
  <si>
    <t>=-NL("Sum","32 Item Ledger Entry","12 Quantity","5 Source no.",$C601,"3 Posting Date",U$9,"4 Entry Type",$C$4,"2 Item No.","@@"&amp;$F601)</t>
  </si>
  <si>
    <t>=-NL("Sum","32 Item Ledger Entry","12 Quantity","5 Source no.",$C602,"3 Posting Date",U$9,"4 Entry Type",$C$4,"2 Item No.","@@"&amp;$F602)</t>
  </si>
  <si>
    <t>=-NL("Sum","32 Item Ledger Entry","12 Quantity","5 Source no.",$C603,"3 Posting Date",U$9,"4 Entry Type",$C$4,"2 Item No.","@@"&amp;$F603)</t>
  </si>
  <si>
    <t>=-NL("Sum","32 Item Ledger Entry","12 Quantity","5 Source no.",$C604,"3 Posting Date",U$9,"4 Entry Type",$C$4,"2 Item No.","@@"&amp;$F604)</t>
  </si>
  <si>
    <t>=-NL("Sum","32 Item Ledger Entry","12 Quantity","5 Source no.",$C605,"3 Posting Date",U$9,"4 Entry Type",$C$4,"2 Item No.","@@"&amp;$F605)</t>
  </si>
  <si>
    <t>=-NL("Sum","32 Item Ledger Entry","12 Quantity","5 Source no.",$C606,"3 Posting Date",U$9,"4 Entry Type",$C$4,"2 Item No.","@@"&amp;$F606)</t>
  </si>
  <si>
    <t>=-NL("Sum","32 Item Ledger Entry","12 Quantity","5 Source no.",$C607,"3 Posting Date",U$9,"4 Entry Type",$C$4,"2 Item No.","@@"&amp;$F607)</t>
  </si>
  <si>
    <t>=-NL("Sum","32 Item Ledger Entry","12 Quantity","5 Source no.",$C608,"3 Posting Date",U$9,"4 Entry Type",$C$4,"2 Item No.","@@"&amp;$F608)</t>
  </si>
  <si>
    <t>=-NL("Sum","32 Item Ledger Entry","12 Quantity","5 Source no.",$C609,"3 Posting Date",U$9,"4 Entry Type",$C$4,"2 Item No.","@@"&amp;$F609)</t>
  </si>
  <si>
    <t>=-NL("Sum","32 Item Ledger Entry","12 Quantity","5 Source no.",$C610,"3 Posting Date",U$9,"4 Entry Type",$C$4,"2 Item No.","@@"&amp;$F610)</t>
  </si>
  <si>
    <t>=-NL("Sum","32 Item Ledger Entry","12 Quantity","5 Source no.",$C611,"3 Posting Date",U$9,"4 Entry Type",$C$4,"2 Item No.","@@"&amp;$F611)</t>
  </si>
  <si>
    <t>=-NL("Sum","32 Item Ledger Entry","12 Quantity","5 Source no.",$C612,"3 Posting Date",U$9,"4 Entry Type",$C$4,"2 Item No.","@@"&amp;$F612)</t>
  </si>
  <si>
    <t>=-NL("Sum","32 Item Ledger Entry","12 Quantity","5 Source no.",$C595,"3 Posting Date",Z$9,"4 Entry Type",$C$4,"2 Item No.","@@"&amp;$F595)</t>
  </si>
  <si>
    <t>=-NL("Sum","32 Item Ledger Entry","12 Quantity","5 Source no.",$C596,"3 Posting Date",Z$9,"4 Entry Type",$C$4,"2 Item No.","@@"&amp;$F596)</t>
  </si>
  <si>
    <t>=-NL("Sum","32 Item Ledger Entry","12 Quantity","5 Source no.",$C597,"3 Posting Date",Z$9,"4 Entry Type",$C$4,"2 Item No.","@@"&amp;$F597)</t>
  </si>
  <si>
    <t>=-NL("Sum","32 Item Ledger Entry","12 Quantity","5 Source no.",$C598,"3 Posting Date",Z$9,"4 Entry Type",$C$4,"2 Item No.","@@"&amp;$F598)</t>
  </si>
  <si>
    <t>=-NL("Sum","32 Item Ledger Entry","12 Quantity","5 Source no.",$C599,"3 Posting Date",Z$9,"4 Entry Type",$C$4,"2 Item No.","@@"&amp;$F599)</t>
  </si>
  <si>
    <t>=-NL("Sum","32 Item Ledger Entry","12 Quantity","5 Source no.",$C600,"3 Posting Date",Z$9,"4 Entry Type",$C$4,"2 Item No.","@@"&amp;$F600)</t>
  </si>
  <si>
    <t>=-NL("Sum","32 Item Ledger Entry","12 Quantity","5 Source no.",$C601,"3 Posting Date",Z$9,"4 Entry Type",$C$4,"2 Item No.","@@"&amp;$F601)</t>
  </si>
  <si>
    <t>=-NL("Sum","32 Item Ledger Entry","12 Quantity","5 Source no.",$C602,"3 Posting Date",Z$9,"4 Entry Type",$C$4,"2 Item No.","@@"&amp;$F602)</t>
  </si>
  <si>
    <t>=-NL("Sum","32 Item Ledger Entry","12 Quantity","5 Source no.",$C603,"3 Posting Date",Z$9,"4 Entry Type",$C$4,"2 Item No.","@@"&amp;$F603)</t>
  </si>
  <si>
    <t>=-NL("Sum","32 Item Ledger Entry","12 Quantity","5 Source no.",$C604,"3 Posting Date",Z$9,"4 Entry Type",$C$4,"2 Item No.","@@"&amp;$F604)</t>
  </si>
  <si>
    <t>=-NL("Sum","32 Item Ledger Entry","12 Quantity","5 Source no.",$C605,"3 Posting Date",Z$9,"4 Entry Type",$C$4,"2 Item No.","@@"&amp;$F605)</t>
  </si>
  <si>
    <t>=-NL("Sum","32 Item Ledger Entry","12 Quantity","5 Source no.",$C606,"3 Posting Date",Z$9,"4 Entry Type",$C$4,"2 Item No.","@@"&amp;$F606)</t>
  </si>
  <si>
    <t>=-NL("Sum","32 Item Ledger Entry","12 Quantity","5 Source no.",$C607,"3 Posting Date",Z$9,"4 Entry Type",$C$4,"2 Item No.","@@"&amp;$F607)</t>
  </si>
  <si>
    <t>=-NL("Sum","32 Item Ledger Entry","12 Quantity","5 Source no.",$C608,"3 Posting Date",Z$9,"4 Entry Type",$C$4,"2 Item No.","@@"&amp;$F608)</t>
  </si>
  <si>
    <t>=-NL("Sum","32 Item Ledger Entry","12 Quantity","5 Source no.",$C609,"3 Posting Date",Z$9,"4 Entry Type",$C$4,"2 Item No.","@@"&amp;$F609)</t>
  </si>
  <si>
    <t>=-NL("Sum","32 Item Ledger Entry","12 Quantity","5 Source no.",$C610,"3 Posting Date",Z$9,"4 Entry Type",$C$4,"2 Item No.","@@"&amp;$F610)</t>
  </si>
  <si>
    <t>=-NL("Sum","32 Item Ledger Entry","12 Quantity","5 Source no.",$C611,"3 Posting Date",Z$9,"4 Entry Type",$C$4,"2 Item No.","@@"&amp;$F611)</t>
  </si>
  <si>
    <t>=-NL("Sum","32 Item Ledger Entry","12 Quantity","5 Source no.",$C612,"3 Posting Date",Z$9,"4 Entry Type",$C$4,"2 Item No.","@@"&amp;$F612)</t>
  </si>
  <si>
    <t>=NL(,"27 Item","3 Description","1 No.","@@"&amp;F549)</t>
  </si>
  <si>
    <t>=NL(,"27 Item","3 Description","1 No.","@@"&amp;F550)</t>
  </si>
  <si>
    <t>=NL(,"27 Item","3 Description","1 No.","@@"&amp;F551)</t>
  </si>
  <si>
    <t>=NL(,"27 Item","3 Description","1 No.","@@"&amp;F552)</t>
  </si>
  <si>
    <t>=NL(,"27 Item","3 Description","1 No.","@@"&amp;F553)</t>
  </si>
  <si>
    <t>=NL(,"27 Item","3 Description","1 No.","@@"&amp;F554)</t>
  </si>
  <si>
    <t>=NL(,"27 Item","3 Description","1 No.","@@"&amp;F555)</t>
  </si>
  <si>
    <t>=NL(,"27 Item","3 Description","1 No.","@@"&amp;F556)</t>
  </si>
  <si>
    <t>=NL(,"27 Item","3 Description","1 No.","@@"&amp;F557)</t>
  </si>
  <si>
    <t>=NL(,"27 Item","3 Description","1 No.","@@"&amp;F558)</t>
  </si>
  <si>
    <t>=NL(,"27 Item","3 Description","1 No.","@@"&amp;F559)</t>
  </si>
  <si>
    <t>=NL(,"27 Item","3 Description","1 No.","@@"&amp;F560)</t>
  </si>
  <si>
    <t>=NL(,"27 Item","3 Description","1 No.","@@"&amp;F561)</t>
  </si>
  <si>
    <t>=NL(,"27 Item","3 Description","1 No.","@@"&amp;F562)</t>
  </si>
  <si>
    <t>=NL(,"27 Item","3 Description","1 No.","@@"&amp;F563)</t>
  </si>
  <si>
    <t>=NL(,"27 Item","3 Description","1 No.","@@"&amp;F564)</t>
  </si>
  <si>
    <t>=NL(,"27 Item","3 Description","1 No.","@@"&amp;F565)</t>
  </si>
  <si>
    <t>=NL(,"27 Item","3 Description","1 No.","@@"&amp;F566)</t>
  </si>
  <si>
    <t>=NL(,"27 Item","3 Description","1 No.","@@"&amp;F567)</t>
  </si>
  <si>
    <t>=NL(,"27 Item","3 Description","1 No.","@@"&amp;F568)</t>
  </si>
  <si>
    <t>=NL(,"27 Item","3 Description","1 No.","@@"&amp;F569)</t>
  </si>
  <si>
    <t>=NL(,"27 Item","3 Description","1 No.","@@"&amp;F570)</t>
  </si>
  <si>
    <t>=NL(,"27 Item","3 Description","1 No.","@@"&amp;F571)</t>
  </si>
  <si>
    <t>=NL(,"27 Item","3 Description","1 No.","@@"&amp;F572)</t>
  </si>
  <si>
    <t>=NL(,"27 Item","3 Description","1 No.","@@"&amp;F573)</t>
  </si>
  <si>
    <t>=NL(,"27 Item","3 Description","1 No.","@@"&amp;F574)</t>
  </si>
  <si>
    <t>=NL(,"27 Item","3 Description","1 No.","@@"&amp;F575)</t>
  </si>
  <si>
    <t>=NL(,"27 Item","3 Description","1 No.","@@"&amp;F576)</t>
  </si>
  <si>
    <t>=NL(,"27 Item","3 Description","1 No.","@@"&amp;F577)</t>
  </si>
  <si>
    <t>=NL(,"27 Item","3 Description","1 No.","@@"&amp;F578)</t>
  </si>
  <si>
    <t>=NL(,"27 Item","3 Description","1 No.","@@"&amp;F579)</t>
  </si>
  <si>
    <t>=NL(,"27 Item","3 Description","1 No.","@@"&amp;F580)</t>
  </si>
  <si>
    <t>=NL(,"27 Item","3 Description","1 No.","@@"&amp;F581)</t>
  </si>
  <si>
    <t>=NL(,"27 Item","3 Description","1 No.","@@"&amp;F582)</t>
  </si>
  <si>
    <t>=NL(,"27 Item","3 Description","1 No.","@@"&amp;F583)</t>
  </si>
  <si>
    <t>=-NL("Sum","32 Item Ledger Entry","12 Quantity","5 Source no.",$C549,"3 Posting Date",J$9,"4 Entry Type",$C$4,"2 Item No.","@@"&amp;$F549)</t>
  </si>
  <si>
    <t>=-NL("Sum","32 Item Ledger Entry","12 Quantity","5 Source no.",$C550,"3 Posting Date",J$9,"4 Entry Type",$C$4,"2 Item No.","@@"&amp;$F550)</t>
  </si>
  <si>
    <t>=-NL("Sum","32 Item Ledger Entry","12 Quantity","5 Source no.",$C551,"3 Posting Date",J$9,"4 Entry Type",$C$4,"2 Item No.","@@"&amp;$F551)</t>
  </si>
  <si>
    <t>=-NL("Sum","32 Item Ledger Entry","12 Quantity","5 Source no.",$C552,"3 Posting Date",J$9,"4 Entry Type",$C$4,"2 Item No.","@@"&amp;$F552)</t>
  </si>
  <si>
    <t>=-NL("Sum","32 Item Ledger Entry","12 Quantity","5 Source no.",$C553,"3 Posting Date",J$9,"4 Entry Type",$C$4,"2 Item No.","@@"&amp;$F553)</t>
  </si>
  <si>
    <t>=-NL("Sum","32 Item Ledger Entry","12 Quantity","5 Source no.",$C554,"3 Posting Date",J$9,"4 Entry Type",$C$4,"2 Item No.","@@"&amp;$F554)</t>
  </si>
  <si>
    <t>=-NL("Sum","32 Item Ledger Entry","12 Quantity","5 Source no.",$C555,"3 Posting Date",J$9,"4 Entry Type",$C$4,"2 Item No.","@@"&amp;$F555)</t>
  </si>
  <si>
    <t>=-NL("Sum","32 Item Ledger Entry","12 Quantity","5 Source no.",$C556,"3 Posting Date",J$9,"4 Entry Type",$C$4,"2 Item No.","@@"&amp;$F556)</t>
  </si>
  <si>
    <t>=-NL("Sum","32 Item Ledger Entry","12 Quantity","5 Source no.",$C557,"3 Posting Date",J$9,"4 Entry Type",$C$4,"2 Item No.","@@"&amp;$F557)</t>
  </si>
  <si>
    <t>=-NL("Sum","32 Item Ledger Entry","12 Quantity","5 Source no.",$C558,"3 Posting Date",J$9,"4 Entry Type",$C$4,"2 Item No.","@@"&amp;$F558)</t>
  </si>
  <si>
    <t>=-NL("Sum","32 Item Ledger Entry","12 Quantity","5 Source no.",$C559,"3 Posting Date",J$9,"4 Entry Type",$C$4,"2 Item No.","@@"&amp;$F559)</t>
  </si>
  <si>
    <t>=-NL("Sum","32 Item Ledger Entry","12 Quantity","5 Source no.",$C560,"3 Posting Date",J$9,"4 Entry Type",$C$4,"2 Item No.","@@"&amp;$F560)</t>
  </si>
  <si>
    <t>=-NL("Sum","32 Item Ledger Entry","12 Quantity","5 Source no.",$C561,"3 Posting Date",J$9,"4 Entry Type",$C$4,"2 Item No.","@@"&amp;$F561)</t>
  </si>
  <si>
    <t>=-NL("Sum","32 Item Ledger Entry","12 Quantity","5 Source no.",$C562,"3 Posting Date",J$9,"4 Entry Type",$C$4,"2 Item No.","@@"&amp;$F562)</t>
  </si>
  <si>
    <t>=-NL("Sum","32 Item Ledger Entry","12 Quantity","5 Source no.",$C563,"3 Posting Date",J$9,"4 Entry Type",$C$4,"2 Item No.","@@"&amp;$F563)</t>
  </si>
  <si>
    <t>=-NL("Sum","32 Item Ledger Entry","12 Quantity","5 Source no.",$C564,"3 Posting Date",J$9,"4 Entry Type",$C$4,"2 Item No.","@@"&amp;$F564)</t>
  </si>
  <si>
    <t>=-NL("Sum","32 Item Ledger Entry","12 Quantity","5 Source no.",$C565,"3 Posting Date",J$9,"4 Entry Type",$C$4,"2 Item No.","@@"&amp;$F565)</t>
  </si>
  <si>
    <t>=-NL("Sum","32 Item Ledger Entry","12 Quantity","5 Source no.",$C566,"3 Posting Date",J$9,"4 Entry Type",$C$4,"2 Item No.","@@"&amp;$F566)</t>
  </si>
  <si>
    <t>=-NL("Sum","32 Item Ledger Entry","12 Quantity","5 Source no.",$C567,"3 Posting Date",J$9,"4 Entry Type",$C$4,"2 Item No.","@@"&amp;$F567)</t>
  </si>
  <si>
    <t>=-NL("Sum","32 Item Ledger Entry","12 Quantity","5 Source no.",$C568,"3 Posting Date",J$9,"4 Entry Type",$C$4,"2 Item No.","@@"&amp;$F568)</t>
  </si>
  <si>
    <t>=-NL("Sum","32 Item Ledger Entry","12 Quantity","5 Source no.",$C569,"3 Posting Date",J$9,"4 Entry Type",$C$4,"2 Item No.","@@"&amp;$F569)</t>
  </si>
  <si>
    <t>=-NL("Sum","32 Item Ledger Entry","12 Quantity","5 Source no.",$C570,"3 Posting Date",J$9,"4 Entry Type",$C$4,"2 Item No.","@@"&amp;$F570)</t>
  </si>
  <si>
    <t>=-NL("Sum","32 Item Ledger Entry","12 Quantity","5 Source no.",$C571,"3 Posting Date",J$9,"4 Entry Type",$C$4,"2 Item No.","@@"&amp;$F571)</t>
  </si>
  <si>
    <t>=-NL("Sum","32 Item Ledger Entry","12 Quantity","5 Source no.",$C572,"3 Posting Date",J$9,"4 Entry Type",$C$4,"2 Item No.","@@"&amp;$F572)</t>
  </si>
  <si>
    <t>=-NL("Sum","32 Item Ledger Entry","12 Quantity","5 Source no.",$C573,"3 Posting Date",J$9,"4 Entry Type",$C$4,"2 Item No.","@@"&amp;$F573)</t>
  </si>
  <si>
    <t>=-NL("Sum","32 Item Ledger Entry","12 Quantity","5 Source no.",$C574,"3 Posting Date",J$9,"4 Entry Type",$C$4,"2 Item No.","@@"&amp;$F574)</t>
  </si>
  <si>
    <t>=-NL("Sum","32 Item Ledger Entry","12 Quantity","5 Source no.",$C575,"3 Posting Date",J$9,"4 Entry Type",$C$4,"2 Item No.","@@"&amp;$F575)</t>
  </si>
  <si>
    <t>=-NL("Sum","32 Item Ledger Entry","12 Quantity","5 Source no.",$C576,"3 Posting Date",J$9,"4 Entry Type",$C$4,"2 Item No.","@@"&amp;$F576)</t>
  </si>
  <si>
    <t>=-NL("Sum","32 Item Ledger Entry","12 Quantity","5 Source no.",$C577,"3 Posting Date",J$9,"4 Entry Type",$C$4,"2 Item No.","@@"&amp;$F577)</t>
  </si>
  <si>
    <t>=-NL("Sum","32 Item Ledger Entry","12 Quantity","5 Source no.",$C578,"3 Posting Date",J$9,"4 Entry Type",$C$4,"2 Item No.","@@"&amp;$F578)</t>
  </si>
  <si>
    <t>=-NL("Sum","32 Item Ledger Entry","12 Quantity","5 Source no.",$C579,"3 Posting Date",J$9,"4 Entry Type",$C$4,"2 Item No.","@@"&amp;$F579)</t>
  </si>
  <si>
    <t>=-NL("Sum","32 Item Ledger Entry","12 Quantity","5 Source no.",$C580,"3 Posting Date",J$9,"4 Entry Type",$C$4,"2 Item No.","@@"&amp;$F580)</t>
  </si>
  <si>
    <t>=-NL("Sum","32 Item Ledger Entry","12 Quantity","5 Source no.",$C581,"3 Posting Date",J$9,"4 Entry Type",$C$4,"2 Item No.","@@"&amp;$F581)</t>
  </si>
  <si>
    <t>=-NL("Sum","32 Item Ledger Entry","12 Quantity","5 Source no.",$C582,"3 Posting Date",J$9,"4 Entry Type",$C$4,"2 Item No.","@@"&amp;$F582)</t>
  </si>
  <si>
    <t>=-NL("Sum","32 Item Ledger Entry","12 Quantity","5 Source no.",$C583,"3 Posting Date",J$9,"4 Entry Type",$C$4,"2 Item No.","@@"&amp;$F583)</t>
  </si>
  <si>
    <t>=-NL("Sum","32 Item Ledger Entry","12 Quantity","5 Source no.",$C549,"3 Posting Date",O$9,"4 Entry Type",$C$4,"2 Item No.","@@"&amp;$F549)</t>
  </si>
  <si>
    <t>=-NL("Sum","32 Item Ledger Entry","12 Quantity","5 Source no.",$C550,"3 Posting Date",O$9,"4 Entry Type",$C$4,"2 Item No.","@@"&amp;$F550)</t>
  </si>
  <si>
    <t>=-NL("Sum","32 Item Ledger Entry","12 Quantity","5 Source no.",$C551,"3 Posting Date",O$9,"4 Entry Type",$C$4,"2 Item No.","@@"&amp;$F551)</t>
  </si>
  <si>
    <t>=-NL("Sum","32 Item Ledger Entry","12 Quantity","5 Source no.",$C552,"3 Posting Date",O$9,"4 Entry Type",$C$4,"2 Item No.","@@"&amp;$F552)</t>
  </si>
  <si>
    <t>=-NL("Sum","32 Item Ledger Entry","12 Quantity","5 Source no.",$C553,"3 Posting Date",O$9,"4 Entry Type",$C$4,"2 Item No.","@@"&amp;$F553)</t>
  </si>
  <si>
    <t>=-NL("Sum","32 Item Ledger Entry","12 Quantity","5 Source no.",$C554,"3 Posting Date",O$9,"4 Entry Type",$C$4,"2 Item No.","@@"&amp;$F554)</t>
  </si>
  <si>
    <t>=-NL("Sum","32 Item Ledger Entry","12 Quantity","5 Source no.",$C555,"3 Posting Date",O$9,"4 Entry Type",$C$4,"2 Item No.","@@"&amp;$F555)</t>
  </si>
  <si>
    <t>=-NL("Sum","32 Item Ledger Entry","12 Quantity","5 Source no.",$C556,"3 Posting Date",O$9,"4 Entry Type",$C$4,"2 Item No.","@@"&amp;$F556)</t>
  </si>
  <si>
    <t>=-NL("Sum","32 Item Ledger Entry","12 Quantity","5 Source no.",$C557,"3 Posting Date",O$9,"4 Entry Type",$C$4,"2 Item No.","@@"&amp;$F557)</t>
  </si>
  <si>
    <t>=-NL("Sum","32 Item Ledger Entry","12 Quantity","5 Source no.",$C558,"3 Posting Date",O$9,"4 Entry Type",$C$4,"2 Item No.","@@"&amp;$F558)</t>
  </si>
  <si>
    <t>=-NL("Sum","32 Item Ledger Entry","12 Quantity","5 Source no.",$C559,"3 Posting Date",O$9,"4 Entry Type",$C$4,"2 Item No.","@@"&amp;$F559)</t>
  </si>
  <si>
    <t>=-NL("Sum","32 Item Ledger Entry","12 Quantity","5 Source no.",$C560,"3 Posting Date",O$9,"4 Entry Type",$C$4,"2 Item No.","@@"&amp;$F560)</t>
  </si>
  <si>
    <t>=-NL("Sum","32 Item Ledger Entry","12 Quantity","5 Source no.",$C561,"3 Posting Date",O$9,"4 Entry Type",$C$4,"2 Item No.","@@"&amp;$F561)</t>
  </si>
  <si>
    <t>=-NL("Sum","32 Item Ledger Entry","12 Quantity","5 Source no.",$C562,"3 Posting Date",O$9,"4 Entry Type",$C$4,"2 Item No.","@@"&amp;$F562)</t>
  </si>
  <si>
    <t>=-NL("Sum","32 Item Ledger Entry","12 Quantity","5 Source no.",$C563,"3 Posting Date",O$9,"4 Entry Type",$C$4,"2 Item No.","@@"&amp;$F563)</t>
  </si>
  <si>
    <t>=-NL("Sum","32 Item Ledger Entry","12 Quantity","5 Source no.",$C564,"3 Posting Date",O$9,"4 Entry Type",$C$4,"2 Item No.","@@"&amp;$F564)</t>
  </si>
  <si>
    <t>=-NL("Sum","32 Item Ledger Entry","12 Quantity","5 Source no.",$C565,"3 Posting Date",O$9,"4 Entry Type",$C$4,"2 Item No.","@@"&amp;$F565)</t>
  </si>
  <si>
    <t>=-NL("Sum","32 Item Ledger Entry","12 Quantity","5 Source no.",$C566,"3 Posting Date",O$9,"4 Entry Type",$C$4,"2 Item No.","@@"&amp;$F566)</t>
  </si>
  <si>
    <t>=-NL("Sum","32 Item Ledger Entry","12 Quantity","5 Source no.",$C567,"3 Posting Date",O$9,"4 Entry Type",$C$4,"2 Item No.","@@"&amp;$F567)</t>
  </si>
  <si>
    <t>=-NL("Sum","32 Item Ledger Entry","12 Quantity","5 Source no.",$C568,"3 Posting Date",O$9,"4 Entry Type",$C$4,"2 Item No.","@@"&amp;$F568)</t>
  </si>
  <si>
    <t>=-NL("Sum","32 Item Ledger Entry","12 Quantity","5 Source no.",$C569,"3 Posting Date",O$9,"4 Entry Type",$C$4,"2 Item No.","@@"&amp;$F569)</t>
  </si>
  <si>
    <t>=-NL("Sum","32 Item Ledger Entry","12 Quantity","5 Source no.",$C570,"3 Posting Date",O$9,"4 Entry Type",$C$4,"2 Item No.","@@"&amp;$F570)</t>
  </si>
  <si>
    <t>=-NL("Sum","32 Item Ledger Entry","12 Quantity","5 Source no.",$C571,"3 Posting Date",O$9,"4 Entry Type",$C$4,"2 Item No.","@@"&amp;$F571)</t>
  </si>
  <si>
    <t>=-NL("Sum","32 Item Ledger Entry","12 Quantity","5 Source no.",$C572,"3 Posting Date",O$9,"4 Entry Type",$C$4,"2 Item No.","@@"&amp;$F572)</t>
  </si>
  <si>
    <t>=-NL("Sum","32 Item Ledger Entry","12 Quantity","5 Source no.",$C573,"3 Posting Date",O$9,"4 Entry Type",$C$4,"2 Item No.","@@"&amp;$F573)</t>
  </si>
  <si>
    <t>=-NL("Sum","32 Item Ledger Entry","12 Quantity","5 Source no.",$C574,"3 Posting Date",O$9,"4 Entry Type",$C$4,"2 Item No.","@@"&amp;$F574)</t>
  </si>
  <si>
    <t>=-NL("Sum","32 Item Ledger Entry","12 Quantity","5 Source no.",$C575,"3 Posting Date",O$9,"4 Entry Type",$C$4,"2 Item No.","@@"&amp;$F575)</t>
  </si>
  <si>
    <t>=-NL("Sum","32 Item Ledger Entry","12 Quantity","5 Source no.",$C576,"3 Posting Date",O$9,"4 Entry Type",$C$4,"2 Item No.","@@"&amp;$F576)</t>
  </si>
  <si>
    <t>=-NL("Sum","32 Item Ledger Entry","12 Quantity","5 Source no.",$C577,"3 Posting Date",O$9,"4 Entry Type",$C$4,"2 Item No.","@@"&amp;$F577)</t>
  </si>
  <si>
    <t>=-NL("Sum","32 Item Ledger Entry","12 Quantity","5 Source no.",$C578,"3 Posting Date",O$9,"4 Entry Type",$C$4,"2 Item No.","@@"&amp;$F578)</t>
  </si>
  <si>
    <t>=-NL("Sum","32 Item Ledger Entry","12 Quantity","5 Source no.",$C579,"3 Posting Date",O$9,"4 Entry Type",$C$4,"2 Item No.","@@"&amp;$F579)</t>
  </si>
  <si>
    <t>=-NL("Sum","32 Item Ledger Entry","12 Quantity","5 Source no.",$C580,"3 Posting Date",O$9,"4 Entry Type",$C$4,"2 Item No.","@@"&amp;$F580)</t>
  </si>
  <si>
    <t>=-NL("Sum","32 Item Ledger Entry","12 Quantity","5 Source no.",$C581,"3 Posting Date",O$9,"4 Entry Type",$C$4,"2 Item No.","@@"&amp;$F581)</t>
  </si>
  <si>
    <t>=-NL("Sum","32 Item Ledger Entry","12 Quantity","5 Source no.",$C582,"3 Posting Date",O$9,"4 Entry Type",$C$4,"2 Item No.","@@"&amp;$F582)</t>
  </si>
  <si>
    <t>=-NL("Sum","32 Item Ledger Entry","12 Quantity","5 Source no.",$C583,"3 Posting Date",O$9,"4 Entry Type",$C$4,"2 Item No.","@@"&amp;$F583)</t>
  </si>
  <si>
    <t>=-NL("Sum","32 Item Ledger Entry","12 Quantity","5 Source no.",$C549,"3 Posting Date",U$9,"4 Entry Type",$C$4,"2 Item No.","@@"&amp;$F549)</t>
  </si>
  <si>
    <t>=-NL("Sum","32 Item Ledger Entry","12 Quantity","5 Source no.",$C550,"3 Posting Date",U$9,"4 Entry Type",$C$4,"2 Item No.","@@"&amp;$F550)</t>
  </si>
  <si>
    <t>=-NL("Sum","32 Item Ledger Entry","12 Quantity","5 Source no.",$C551,"3 Posting Date",U$9,"4 Entry Type",$C$4,"2 Item No.","@@"&amp;$F551)</t>
  </si>
  <si>
    <t>=-NL("Sum","32 Item Ledger Entry","12 Quantity","5 Source no.",$C552,"3 Posting Date",U$9,"4 Entry Type",$C$4,"2 Item No.","@@"&amp;$F552)</t>
  </si>
  <si>
    <t>=-NL("Sum","32 Item Ledger Entry","12 Quantity","5 Source no.",$C553,"3 Posting Date",U$9,"4 Entry Type",$C$4,"2 Item No.","@@"&amp;$F553)</t>
  </si>
  <si>
    <t>=-NL("Sum","32 Item Ledger Entry","12 Quantity","5 Source no.",$C554,"3 Posting Date",U$9,"4 Entry Type",$C$4,"2 Item No.","@@"&amp;$F554)</t>
  </si>
  <si>
    <t>=-NL("Sum","32 Item Ledger Entry","12 Quantity","5 Source no.",$C555,"3 Posting Date",U$9,"4 Entry Type",$C$4,"2 Item No.","@@"&amp;$F555)</t>
  </si>
  <si>
    <t>=-NL("Sum","32 Item Ledger Entry","12 Quantity","5 Source no.",$C556,"3 Posting Date",U$9,"4 Entry Type",$C$4,"2 Item No.","@@"&amp;$F556)</t>
  </si>
  <si>
    <t>=-NL("Sum","32 Item Ledger Entry","12 Quantity","5 Source no.",$C557,"3 Posting Date",U$9,"4 Entry Type",$C$4,"2 Item No.","@@"&amp;$F557)</t>
  </si>
  <si>
    <t>=-NL("Sum","32 Item Ledger Entry","12 Quantity","5 Source no.",$C558,"3 Posting Date",U$9,"4 Entry Type",$C$4,"2 Item No.","@@"&amp;$F558)</t>
  </si>
  <si>
    <t>=-NL("Sum","32 Item Ledger Entry","12 Quantity","5 Source no.",$C559,"3 Posting Date",U$9,"4 Entry Type",$C$4,"2 Item No.","@@"&amp;$F559)</t>
  </si>
  <si>
    <t>=-NL("Sum","32 Item Ledger Entry","12 Quantity","5 Source no.",$C560,"3 Posting Date",U$9,"4 Entry Type",$C$4,"2 Item No.","@@"&amp;$F560)</t>
  </si>
  <si>
    <t>=-NL("Sum","32 Item Ledger Entry","12 Quantity","5 Source no.",$C561,"3 Posting Date",U$9,"4 Entry Type",$C$4,"2 Item No.","@@"&amp;$F561)</t>
  </si>
  <si>
    <t>=-NL("Sum","32 Item Ledger Entry","12 Quantity","5 Source no.",$C562,"3 Posting Date",U$9,"4 Entry Type",$C$4,"2 Item No.","@@"&amp;$F562)</t>
  </si>
  <si>
    <t>=-NL("Sum","32 Item Ledger Entry","12 Quantity","5 Source no.",$C563,"3 Posting Date",U$9,"4 Entry Type",$C$4,"2 Item No.","@@"&amp;$F563)</t>
  </si>
  <si>
    <t>=-NL("Sum","32 Item Ledger Entry","12 Quantity","5 Source no.",$C564,"3 Posting Date",U$9,"4 Entry Type",$C$4,"2 Item No.","@@"&amp;$F564)</t>
  </si>
  <si>
    <t>=-NL("Sum","32 Item Ledger Entry","12 Quantity","5 Source no.",$C565,"3 Posting Date",U$9,"4 Entry Type",$C$4,"2 Item No.","@@"&amp;$F565)</t>
  </si>
  <si>
    <t>=-NL("Sum","32 Item Ledger Entry","12 Quantity","5 Source no.",$C566,"3 Posting Date",U$9,"4 Entry Type",$C$4,"2 Item No.","@@"&amp;$F566)</t>
  </si>
  <si>
    <t>=-NL("Sum","32 Item Ledger Entry","12 Quantity","5 Source no.",$C567,"3 Posting Date",U$9,"4 Entry Type",$C$4,"2 Item No.","@@"&amp;$F567)</t>
  </si>
  <si>
    <t>=-NL("Sum","32 Item Ledger Entry","12 Quantity","5 Source no.",$C568,"3 Posting Date",U$9,"4 Entry Type",$C$4,"2 Item No.","@@"&amp;$F568)</t>
  </si>
  <si>
    <t>=-NL("Sum","32 Item Ledger Entry","12 Quantity","5 Source no.",$C569,"3 Posting Date",U$9,"4 Entry Type",$C$4,"2 Item No.","@@"&amp;$F569)</t>
  </si>
  <si>
    <t>=-NL("Sum","32 Item Ledger Entry","12 Quantity","5 Source no.",$C570,"3 Posting Date",U$9,"4 Entry Type",$C$4,"2 Item No.","@@"&amp;$F570)</t>
  </si>
  <si>
    <t>=-NL("Sum","32 Item Ledger Entry","12 Quantity","5 Source no.",$C571,"3 Posting Date",U$9,"4 Entry Type",$C$4,"2 Item No.","@@"&amp;$F571)</t>
  </si>
  <si>
    <t>=-NL("Sum","32 Item Ledger Entry","12 Quantity","5 Source no.",$C572,"3 Posting Date",U$9,"4 Entry Type",$C$4,"2 Item No.","@@"&amp;$F572)</t>
  </si>
  <si>
    <t>=-NL("Sum","32 Item Ledger Entry","12 Quantity","5 Source no.",$C573,"3 Posting Date",U$9,"4 Entry Type",$C$4,"2 Item No.","@@"&amp;$F573)</t>
  </si>
  <si>
    <t>=-NL("Sum","32 Item Ledger Entry","12 Quantity","5 Source no.",$C574,"3 Posting Date",U$9,"4 Entry Type",$C$4,"2 Item No.","@@"&amp;$F574)</t>
  </si>
  <si>
    <t>=-NL("Sum","32 Item Ledger Entry","12 Quantity","5 Source no.",$C575,"3 Posting Date",U$9,"4 Entry Type",$C$4,"2 Item No.","@@"&amp;$F575)</t>
  </si>
  <si>
    <t>=-NL("Sum","32 Item Ledger Entry","12 Quantity","5 Source no.",$C576,"3 Posting Date",U$9,"4 Entry Type",$C$4,"2 Item No.","@@"&amp;$F576)</t>
  </si>
  <si>
    <t>=-NL("Sum","32 Item Ledger Entry","12 Quantity","5 Source no.",$C577,"3 Posting Date",U$9,"4 Entry Type",$C$4,"2 Item No.","@@"&amp;$F577)</t>
  </si>
  <si>
    <t>=-NL("Sum","32 Item Ledger Entry","12 Quantity","5 Source no.",$C578,"3 Posting Date",U$9,"4 Entry Type",$C$4,"2 Item No.","@@"&amp;$F578)</t>
  </si>
  <si>
    <t>=-NL("Sum","32 Item Ledger Entry","12 Quantity","5 Source no.",$C579,"3 Posting Date",U$9,"4 Entry Type",$C$4,"2 Item No.","@@"&amp;$F579)</t>
  </si>
  <si>
    <t>=-NL("Sum","32 Item Ledger Entry","12 Quantity","5 Source no.",$C580,"3 Posting Date",U$9,"4 Entry Type",$C$4,"2 Item No.","@@"&amp;$F580)</t>
  </si>
  <si>
    <t>=-NL("Sum","32 Item Ledger Entry","12 Quantity","5 Source no.",$C581,"3 Posting Date",U$9,"4 Entry Type",$C$4,"2 Item No.","@@"&amp;$F581)</t>
  </si>
  <si>
    <t>=-NL("Sum","32 Item Ledger Entry","12 Quantity","5 Source no.",$C582,"3 Posting Date",U$9,"4 Entry Type",$C$4,"2 Item No.","@@"&amp;$F582)</t>
  </si>
  <si>
    <t>=-NL("Sum","32 Item Ledger Entry","12 Quantity","5 Source no.",$C583,"3 Posting Date",U$9,"4 Entry Type",$C$4,"2 Item No.","@@"&amp;$F583)</t>
  </si>
  <si>
    <t>=-NL("Sum","32 Item Ledger Entry","12 Quantity","5 Source no.",$C549,"3 Posting Date",Z$9,"4 Entry Type",$C$4,"2 Item No.","@@"&amp;$F549)</t>
  </si>
  <si>
    <t>=-NL("Sum","32 Item Ledger Entry","12 Quantity","5 Source no.",$C550,"3 Posting Date",Z$9,"4 Entry Type",$C$4,"2 Item No.","@@"&amp;$F550)</t>
  </si>
  <si>
    <t>=-NL("Sum","32 Item Ledger Entry","12 Quantity","5 Source no.",$C551,"3 Posting Date",Z$9,"4 Entry Type",$C$4,"2 Item No.","@@"&amp;$F551)</t>
  </si>
  <si>
    <t>=-NL("Sum","32 Item Ledger Entry","12 Quantity","5 Source no.",$C552,"3 Posting Date",Z$9,"4 Entry Type",$C$4,"2 Item No.","@@"&amp;$F552)</t>
  </si>
  <si>
    <t>=-NL("Sum","32 Item Ledger Entry","12 Quantity","5 Source no.",$C553,"3 Posting Date",Z$9,"4 Entry Type",$C$4,"2 Item No.","@@"&amp;$F553)</t>
  </si>
  <si>
    <t>=-NL("Sum","32 Item Ledger Entry","12 Quantity","5 Source no.",$C554,"3 Posting Date",Z$9,"4 Entry Type",$C$4,"2 Item No.","@@"&amp;$F554)</t>
  </si>
  <si>
    <t>=-NL("Sum","32 Item Ledger Entry","12 Quantity","5 Source no.",$C555,"3 Posting Date",Z$9,"4 Entry Type",$C$4,"2 Item No.","@@"&amp;$F555)</t>
  </si>
  <si>
    <t>=-NL("Sum","32 Item Ledger Entry","12 Quantity","5 Source no.",$C556,"3 Posting Date",Z$9,"4 Entry Type",$C$4,"2 Item No.","@@"&amp;$F556)</t>
  </si>
  <si>
    <t>=-NL("Sum","32 Item Ledger Entry","12 Quantity","5 Source no.",$C557,"3 Posting Date",Z$9,"4 Entry Type",$C$4,"2 Item No.","@@"&amp;$F557)</t>
  </si>
  <si>
    <t>=-NL("Sum","32 Item Ledger Entry","12 Quantity","5 Source no.",$C558,"3 Posting Date",Z$9,"4 Entry Type",$C$4,"2 Item No.","@@"&amp;$F558)</t>
  </si>
  <si>
    <t>=-NL("Sum","32 Item Ledger Entry","12 Quantity","5 Source no.",$C559,"3 Posting Date",Z$9,"4 Entry Type",$C$4,"2 Item No.","@@"&amp;$F559)</t>
  </si>
  <si>
    <t>=-NL("Sum","32 Item Ledger Entry","12 Quantity","5 Source no.",$C560,"3 Posting Date",Z$9,"4 Entry Type",$C$4,"2 Item No.","@@"&amp;$F560)</t>
  </si>
  <si>
    <t>=-NL("Sum","32 Item Ledger Entry","12 Quantity","5 Source no.",$C561,"3 Posting Date",Z$9,"4 Entry Type",$C$4,"2 Item No.","@@"&amp;$F561)</t>
  </si>
  <si>
    <t>=-NL("Sum","32 Item Ledger Entry","12 Quantity","5 Source no.",$C562,"3 Posting Date",Z$9,"4 Entry Type",$C$4,"2 Item No.","@@"&amp;$F562)</t>
  </si>
  <si>
    <t>=-NL("Sum","32 Item Ledger Entry","12 Quantity","5 Source no.",$C563,"3 Posting Date",Z$9,"4 Entry Type",$C$4,"2 Item No.","@@"&amp;$F563)</t>
  </si>
  <si>
    <t>=-NL("Sum","32 Item Ledger Entry","12 Quantity","5 Source no.",$C564,"3 Posting Date",Z$9,"4 Entry Type",$C$4,"2 Item No.","@@"&amp;$F564)</t>
  </si>
  <si>
    <t>=-NL("Sum","32 Item Ledger Entry","12 Quantity","5 Source no.",$C565,"3 Posting Date",Z$9,"4 Entry Type",$C$4,"2 Item No.","@@"&amp;$F565)</t>
  </si>
  <si>
    <t>=-NL("Sum","32 Item Ledger Entry","12 Quantity","5 Source no.",$C566,"3 Posting Date",Z$9,"4 Entry Type",$C$4,"2 Item No.","@@"&amp;$F566)</t>
  </si>
  <si>
    <t>=-NL("Sum","32 Item Ledger Entry","12 Quantity","5 Source no.",$C567,"3 Posting Date",Z$9,"4 Entry Type",$C$4,"2 Item No.","@@"&amp;$F567)</t>
  </si>
  <si>
    <t>=-NL("Sum","32 Item Ledger Entry","12 Quantity","5 Source no.",$C568,"3 Posting Date",Z$9,"4 Entry Type",$C$4,"2 Item No.","@@"&amp;$F568)</t>
  </si>
  <si>
    <t>=-NL("Sum","32 Item Ledger Entry","12 Quantity","5 Source no.",$C569,"3 Posting Date",Z$9,"4 Entry Type",$C$4,"2 Item No.","@@"&amp;$F569)</t>
  </si>
  <si>
    <t>=-NL("Sum","32 Item Ledger Entry","12 Quantity","5 Source no.",$C570,"3 Posting Date",Z$9,"4 Entry Type",$C$4,"2 Item No.","@@"&amp;$F570)</t>
  </si>
  <si>
    <t>=-NL("Sum","32 Item Ledger Entry","12 Quantity","5 Source no.",$C571,"3 Posting Date",Z$9,"4 Entry Type",$C$4,"2 Item No.","@@"&amp;$F571)</t>
  </si>
  <si>
    <t>=-NL("Sum","32 Item Ledger Entry","12 Quantity","5 Source no.",$C572,"3 Posting Date",Z$9,"4 Entry Type",$C$4,"2 Item No.","@@"&amp;$F572)</t>
  </si>
  <si>
    <t>=-NL("Sum","32 Item Ledger Entry","12 Quantity","5 Source no.",$C573,"3 Posting Date",Z$9,"4 Entry Type",$C$4,"2 Item No.","@@"&amp;$F573)</t>
  </si>
  <si>
    <t>=-NL("Sum","32 Item Ledger Entry","12 Quantity","5 Source no.",$C574,"3 Posting Date",Z$9,"4 Entry Type",$C$4,"2 Item No.","@@"&amp;$F574)</t>
  </si>
  <si>
    <t>=-NL("Sum","32 Item Ledger Entry","12 Quantity","5 Source no.",$C575,"3 Posting Date",Z$9,"4 Entry Type",$C$4,"2 Item No.","@@"&amp;$F575)</t>
  </si>
  <si>
    <t>=-NL("Sum","32 Item Ledger Entry","12 Quantity","5 Source no.",$C576,"3 Posting Date",Z$9,"4 Entry Type",$C$4,"2 Item No.","@@"&amp;$F576)</t>
  </si>
  <si>
    <t>=-NL("Sum","32 Item Ledger Entry","12 Quantity","5 Source no.",$C577,"3 Posting Date",Z$9,"4 Entry Type",$C$4,"2 Item No.","@@"&amp;$F577)</t>
  </si>
  <si>
    <t>=-NL("Sum","32 Item Ledger Entry","12 Quantity","5 Source no.",$C578,"3 Posting Date",Z$9,"4 Entry Type",$C$4,"2 Item No.","@@"&amp;$F578)</t>
  </si>
  <si>
    <t>=-NL("Sum","32 Item Ledger Entry","12 Quantity","5 Source no.",$C579,"3 Posting Date",Z$9,"4 Entry Type",$C$4,"2 Item No.","@@"&amp;$F579)</t>
  </si>
  <si>
    <t>=-NL("Sum","32 Item Ledger Entry","12 Quantity","5 Source no.",$C580,"3 Posting Date",Z$9,"4 Entry Type",$C$4,"2 Item No.","@@"&amp;$F580)</t>
  </si>
  <si>
    <t>=-NL("Sum","32 Item Ledger Entry","12 Quantity","5 Source no.",$C581,"3 Posting Date",Z$9,"4 Entry Type",$C$4,"2 Item No.","@@"&amp;$F581)</t>
  </si>
  <si>
    <t>=-NL("Sum","32 Item Ledger Entry","12 Quantity","5 Source no.",$C582,"3 Posting Date",Z$9,"4 Entry Type",$C$4,"2 Item No.","@@"&amp;$F582)</t>
  </si>
  <si>
    <t>=-NL("Sum","32 Item Ledger Entry","12 Quantity","5 Source no.",$C583,"3 Posting Date",Z$9,"4 Entry Type",$C$4,"2 Item No.","@@"&amp;$F583)</t>
  </si>
  <si>
    <t>=NL(,"27 Item","3 Description","1 No.","@@"&amp;F523)</t>
  </si>
  <si>
    <t>=NL(,"27 Item","3 Description","1 No.","@@"&amp;F524)</t>
  </si>
  <si>
    <t>=NL(,"27 Item","3 Description","1 No.","@@"&amp;F525)</t>
  </si>
  <si>
    <t>=NL(,"27 Item","3 Description","1 No.","@@"&amp;F526)</t>
  </si>
  <si>
    <t>=NL(,"27 Item","3 Description","1 No.","@@"&amp;F527)</t>
  </si>
  <si>
    <t>=NL(,"27 Item","3 Description","1 No.","@@"&amp;F528)</t>
  </si>
  <si>
    <t>=NL(,"27 Item","3 Description","1 No.","@@"&amp;F529)</t>
  </si>
  <si>
    <t>=NL(,"27 Item","3 Description","1 No.","@@"&amp;F530)</t>
  </si>
  <si>
    <t>=NL(,"27 Item","3 Description","1 No.","@@"&amp;F531)</t>
  </si>
  <si>
    <t>=NL(,"27 Item","3 Description","1 No.","@@"&amp;F532)</t>
  </si>
  <si>
    <t>=NL(,"27 Item","3 Description","1 No.","@@"&amp;F533)</t>
  </si>
  <si>
    <t>=NL(,"27 Item","3 Description","1 No.","@@"&amp;F534)</t>
  </si>
  <si>
    <t>=NL(,"27 Item","3 Description","1 No.","@@"&amp;F535)</t>
  </si>
  <si>
    <t>=NL(,"27 Item","3 Description","1 No.","@@"&amp;F536)</t>
  </si>
  <si>
    <t>=NL(,"27 Item","3 Description","1 No.","@@"&amp;F537)</t>
  </si>
  <si>
    <t>=NL(,"27 Item","3 Description","1 No.","@@"&amp;F538)</t>
  </si>
  <si>
    <t>=NL(,"27 Item","3 Description","1 No.","@@"&amp;F539)</t>
  </si>
  <si>
    <t>=NL(,"27 Item","3 Description","1 No.","@@"&amp;F540)</t>
  </si>
  <si>
    <t>=NL(,"27 Item","3 Description","1 No.","@@"&amp;F541)</t>
  </si>
  <si>
    <t>=NL(,"27 Item","3 Description","1 No.","@@"&amp;F542)</t>
  </si>
  <si>
    <t>=NL(,"27 Item","3 Description","1 No.","@@"&amp;F543)</t>
  </si>
  <si>
    <t>=-NL("Sum","32 Item Ledger Entry","12 Quantity","5 Source no.",$C523,"3 Posting Date",J$9,"4 Entry Type",$C$4,"2 Item No.","@@"&amp;$F523)</t>
  </si>
  <si>
    <t>=-NL("Sum","32 Item Ledger Entry","12 Quantity","5 Source no.",$C524,"3 Posting Date",J$9,"4 Entry Type",$C$4,"2 Item No.","@@"&amp;$F524)</t>
  </si>
  <si>
    <t>=-NL("Sum","32 Item Ledger Entry","12 Quantity","5 Source no.",$C525,"3 Posting Date",J$9,"4 Entry Type",$C$4,"2 Item No.","@@"&amp;$F525)</t>
  </si>
  <si>
    <t>=-NL("Sum","32 Item Ledger Entry","12 Quantity","5 Source no.",$C526,"3 Posting Date",J$9,"4 Entry Type",$C$4,"2 Item No.","@@"&amp;$F526)</t>
  </si>
  <si>
    <t>=-NL("Sum","32 Item Ledger Entry","12 Quantity","5 Source no.",$C527,"3 Posting Date",J$9,"4 Entry Type",$C$4,"2 Item No.","@@"&amp;$F527)</t>
  </si>
  <si>
    <t>=-NL("Sum","32 Item Ledger Entry","12 Quantity","5 Source no.",$C528,"3 Posting Date",J$9,"4 Entry Type",$C$4,"2 Item No.","@@"&amp;$F528)</t>
  </si>
  <si>
    <t>=-NL("Sum","32 Item Ledger Entry","12 Quantity","5 Source no.",$C529,"3 Posting Date",J$9,"4 Entry Type",$C$4,"2 Item No.","@@"&amp;$F529)</t>
  </si>
  <si>
    <t>=-NL("Sum","32 Item Ledger Entry","12 Quantity","5 Source no.",$C530,"3 Posting Date",J$9,"4 Entry Type",$C$4,"2 Item No.","@@"&amp;$F530)</t>
  </si>
  <si>
    <t>=-NL("Sum","32 Item Ledger Entry","12 Quantity","5 Source no.",$C531,"3 Posting Date",J$9,"4 Entry Type",$C$4,"2 Item No.","@@"&amp;$F531)</t>
  </si>
  <si>
    <t>=-NL("Sum","32 Item Ledger Entry","12 Quantity","5 Source no.",$C532,"3 Posting Date",J$9,"4 Entry Type",$C$4,"2 Item No.","@@"&amp;$F532)</t>
  </si>
  <si>
    <t>=-NL("Sum","32 Item Ledger Entry","12 Quantity","5 Source no.",$C533,"3 Posting Date",J$9,"4 Entry Type",$C$4,"2 Item No.","@@"&amp;$F533)</t>
  </si>
  <si>
    <t>=-NL("Sum","32 Item Ledger Entry","12 Quantity","5 Source no.",$C534,"3 Posting Date",J$9,"4 Entry Type",$C$4,"2 Item No.","@@"&amp;$F534)</t>
  </si>
  <si>
    <t>=-NL("Sum","32 Item Ledger Entry","12 Quantity","5 Source no.",$C535,"3 Posting Date",J$9,"4 Entry Type",$C$4,"2 Item No.","@@"&amp;$F535)</t>
  </si>
  <si>
    <t>=-NL("Sum","32 Item Ledger Entry","12 Quantity","5 Source no.",$C536,"3 Posting Date",J$9,"4 Entry Type",$C$4,"2 Item No.","@@"&amp;$F536)</t>
  </si>
  <si>
    <t>=-NL("Sum","32 Item Ledger Entry","12 Quantity","5 Source no.",$C537,"3 Posting Date",J$9,"4 Entry Type",$C$4,"2 Item No.","@@"&amp;$F537)</t>
  </si>
  <si>
    <t>=-NL("Sum","32 Item Ledger Entry","12 Quantity","5 Source no.",$C538,"3 Posting Date",J$9,"4 Entry Type",$C$4,"2 Item No.","@@"&amp;$F538)</t>
  </si>
  <si>
    <t>=-NL("Sum","32 Item Ledger Entry","12 Quantity","5 Source no.",$C539,"3 Posting Date",J$9,"4 Entry Type",$C$4,"2 Item No.","@@"&amp;$F539)</t>
  </si>
  <si>
    <t>=-NL("Sum","32 Item Ledger Entry","12 Quantity","5 Source no.",$C540,"3 Posting Date",J$9,"4 Entry Type",$C$4,"2 Item No.","@@"&amp;$F540)</t>
  </si>
  <si>
    <t>=-NL("Sum","32 Item Ledger Entry","12 Quantity","5 Source no.",$C541,"3 Posting Date",J$9,"4 Entry Type",$C$4,"2 Item No.","@@"&amp;$F541)</t>
  </si>
  <si>
    <t>=-NL("Sum","32 Item Ledger Entry","12 Quantity","5 Source no.",$C542,"3 Posting Date",J$9,"4 Entry Type",$C$4,"2 Item No.","@@"&amp;$F542)</t>
  </si>
  <si>
    <t>=-NL("Sum","32 Item Ledger Entry","12 Quantity","5 Source no.",$C543,"3 Posting Date",J$9,"4 Entry Type",$C$4,"2 Item No.","@@"&amp;$F543)</t>
  </si>
  <si>
    <t>=-NL("Sum","32 Item Ledger Entry","12 Quantity","5 Source no.",$C523,"3 Posting Date",O$9,"4 Entry Type",$C$4,"2 Item No.","@@"&amp;$F523)</t>
  </si>
  <si>
    <t>=-NL("Sum","32 Item Ledger Entry","12 Quantity","5 Source no.",$C524,"3 Posting Date",O$9,"4 Entry Type",$C$4,"2 Item No.","@@"&amp;$F524)</t>
  </si>
  <si>
    <t>=-NL("Sum","32 Item Ledger Entry","12 Quantity","5 Source no.",$C525,"3 Posting Date",O$9,"4 Entry Type",$C$4,"2 Item No.","@@"&amp;$F525)</t>
  </si>
  <si>
    <t>=-NL("Sum","32 Item Ledger Entry","12 Quantity","5 Source no.",$C526,"3 Posting Date",O$9,"4 Entry Type",$C$4,"2 Item No.","@@"&amp;$F526)</t>
  </si>
  <si>
    <t>=-NL("Sum","32 Item Ledger Entry","12 Quantity","5 Source no.",$C527,"3 Posting Date",O$9,"4 Entry Type",$C$4,"2 Item No.","@@"&amp;$F527)</t>
  </si>
  <si>
    <t>=-NL("Sum","32 Item Ledger Entry","12 Quantity","5 Source no.",$C528,"3 Posting Date",O$9,"4 Entry Type",$C$4,"2 Item No.","@@"&amp;$F528)</t>
  </si>
  <si>
    <t>=-NL("Sum","32 Item Ledger Entry","12 Quantity","5 Source no.",$C529,"3 Posting Date",O$9,"4 Entry Type",$C$4,"2 Item No.","@@"&amp;$F529)</t>
  </si>
  <si>
    <t>=-NL("Sum","32 Item Ledger Entry","12 Quantity","5 Source no.",$C530,"3 Posting Date",O$9,"4 Entry Type",$C$4,"2 Item No.","@@"&amp;$F530)</t>
  </si>
  <si>
    <t>=-NL("Sum","32 Item Ledger Entry","12 Quantity","5 Source no.",$C531,"3 Posting Date",O$9,"4 Entry Type",$C$4,"2 Item No.","@@"&amp;$F531)</t>
  </si>
  <si>
    <t>=-NL("Sum","32 Item Ledger Entry","12 Quantity","5 Source no.",$C532,"3 Posting Date",O$9,"4 Entry Type",$C$4,"2 Item No.","@@"&amp;$F532)</t>
  </si>
  <si>
    <t>=-NL("Sum","32 Item Ledger Entry","12 Quantity","5 Source no.",$C533,"3 Posting Date",O$9,"4 Entry Type",$C$4,"2 Item No.","@@"&amp;$F533)</t>
  </si>
  <si>
    <t>=-NL("Sum","32 Item Ledger Entry","12 Quantity","5 Source no.",$C534,"3 Posting Date",O$9,"4 Entry Type",$C$4,"2 Item No.","@@"&amp;$F534)</t>
  </si>
  <si>
    <t>=-NL("Sum","32 Item Ledger Entry","12 Quantity","5 Source no.",$C535,"3 Posting Date",O$9,"4 Entry Type",$C$4,"2 Item No.","@@"&amp;$F535)</t>
  </si>
  <si>
    <t>=-NL("Sum","32 Item Ledger Entry","12 Quantity","5 Source no.",$C536,"3 Posting Date",O$9,"4 Entry Type",$C$4,"2 Item No.","@@"&amp;$F536)</t>
  </si>
  <si>
    <t>=-NL("Sum","32 Item Ledger Entry","12 Quantity","5 Source no.",$C537,"3 Posting Date",O$9,"4 Entry Type",$C$4,"2 Item No.","@@"&amp;$F537)</t>
  </si>
  <si>
    <t>=-NL("Sum","32 Item Ledger Entry","12 Quantity","5 Source no.",$C538,"3 Posting Date",O$9,"4 Entry Type",$C$4,"2 Item No.","@@"&amp;$F538)</t>
  </si>
  <si>
    <t>=-NL("Sum","32 Item Ledger Entry","12 Quantity","5 Source no.",$C539,"3 Posting Date",O$9,"4 Entry Type",$C$4,"2 Item No.","@@"&amp;$F539)</t>
  </si>
  <si>
    <t>=-NL("Sum","32 Item Ledger Entry","12 Quantity","5 Source no.",$C540,"3 Posting Date",O$9,"4 Entry Type",$C$4,"2 Item No.","@@"&amp;$F540)</t>
  </si>
  <si>
    <t>=-NL("Sum","32 Item Ledger Entry","12 Quantity","5 Source no.",$C541,"3 Posting Date",O$9,"4 Entry Type",$C$4,"2 Item No.","@@"&amp;$F541)</t>
  </si>
  <si>
    <t>=-NL("Sum","32 Item Ledger Entry","12 Quantity","5 Source no.",$C542,"3 Posting Date",O$9,"4 Entry Type",$C$4,"2 Item No.","@@"&amp;$F542)</t>
  </si>
  <si>
    <t>=-NL("Sum","32 Item Ledger Entry","12 Quantity","5 Source no.",$C543,"3 Posting Date",O$9,"4 Entry Type",$C$4,"2 Item No.","@@"&amp;$F543)</t>
  </si>
  <si>
    <t>=-NL("Sum","32 Item Ledger Entry","12 Quantity","5 Source no.",$C523,"3 Posting Date",U$9,"4 Entry Type",$C$4,"2 Item No.","@@"&amp;$F523)</t>
  </si>
  <si>
    <t>=-NL("Sum","32 Item Ledger Entry","12 Quantity","5 Source no.",$C524,"3 Posting Date",U$9,"4 Entry Type",$C$4,"2 Item No.","@@"&amp;$F524)</t>
  </si>
  <si>
    <t>=-NL("Sum","32 Item Ledger Entry","12 Quantity","5 Source no.",$C525,"3 Posting Date",U$9,"4 Entry Type",$C$4,"2 Item No.","@@"&amp;$F525)</t>
  </si>
  <si>
    <t>=-NL("Sum","32 Item Ledger Entry","12 Quantity","5 Source no.",$C526,"3 Posting Date",U$9,"4 Entry Type",$C$4,"2 Item No.","@@"&amp;$F526)</t>
  </si>
  <si>
    <t>=-NL("Sum","32 Item Ledger Entry","12 Quantity","5 Source no.",$C527,"3 Posting Date",U$9,"4 Entry Type",$C$4,"2 Item No.","@@"&amp;$F527)</t>
  </si>
  <si>
    <t>=-NL("Sum","32 Item Ledger Entry","12 Quantity","5 Source no.",$C528,"3 Posting Date",U$9,"4 Entry Type",$C$4,"2 Item No.","@@"&amp;$F528)</t>
  </si>
  <si>
    <t>=-NL("Sum","32 Item Ledger Entry","12 Quantity","5 Source no.",$C529,"3 Posting Date",U$9,"4 Entry Type",$C$4,"2 Item No.","@@"&amp;$F529)</t>
  </si>
  <si>
    <t>=-NL("Sum","32 Item Ledger Entry","12 Quantity","5 Source no.",$C530,"3 Posting Date",U$9,"4 Entry Type",$C$4,"2 Item No.","@@"&amp;$F530)</t>
  </si>
  <si>
    <t>=-NL("Sum","32 Item Ledger Entry","12 Quantity","5 Source no.",$C531,"3 Posting Date",U$9,"4 Entry Type",$C$4,"2 Item No.","@@"&amp;$F531)</t>
  </si>
  <si>
    <t>=-NL("Sum","32 Item Ledger Entry","12 Quantity","5 Source no.",$C532,"3 Posting Date",U$9,"4 Entry Type",$C$4,"2 Item No.","@@"&amp;$F532)</t>
  </si>
  <si>
    <t>=-NL("Sum","32 Item Ledger Entry","12 Quantity","5 Source no.",$C533,"3 Posting Date",U$9,"4 Entry Type",$C$4,"2 Item No.","@@"&amp;$F533)</t>
  </si>
  <si>
    <t>=-NL("Sum","32 Item Ledger Entry","12 Quantity","5 Source no.",$C534,"3 Posting Date",U$9,"4 Entry Type",$C$4,"2 Item No.","@@"&amp;$F534)</t>
  </si>
  <si>
    <t>=-NL("Sum","32 Item Ledger Entry","12 Quantity","5 Source no.",$C535,"3 Posting Date",U$9,"4 Entry Type",$C$4,"2 Item No.","@@"&amp;$F535)</t>
  </si>
  <si>
    <t>=-NL("Sum","32 Item Ledger Entry","12 Quantity","5 Source no.",$C536,"3 Posting Date",U$9,"4 Entry Type",$C$4,"2 Item No.","@@"&amp;$F536)</t>
  </si>
  <si>
    <t>=-NL("Sum","32 Item Ledger Entry","12 Quantity","5 Source no.",$C537,"3 Posting Date",U$9,"4 Entry Type",$C$4,"2 Item No.","@@"&amp;$F537)</t>
  </si>
  <si>
    <t>=-NL("Sum","32 Item Ledger Entry","12 Quantity","5 Source no.",$C538,"3 Posting Date",U$9,"4 Entry Type",$C$4,"2 Item No.","@@"&amp;$F538)</t>
  </si>
  <si>
    <t>=-NL("Sum","32 Item Ledger Entry","12 Quantity","5 Source no.",$C539,"3 Posting Date",U$9,"4 Entry Type",$C$4,"2 Item No.","@@"&amp;$F539)</t>
  </si>
  <si>
    <t>=-NL("Sum","32 Item Ledger Entry","12 Quantity","5 Source no.",$C540,"3 Posting Date",U$9,"4 Entry Type",$C$4,"2 Item No.","@@"&amp;$F540)</t>
  </si>
  <si>
    <t>=-NL("Sum","32 Item Ledger Entry","12 Quantity","5 Source no.",$C541,"3 Posting Date",U$9,"4 Entry Type",$C$4,"2 Item No.","@@"&amp;$F541)</t>
  </si>
  <si>
    <t>=-NL("Sum","32 Item Ledger Entry","12 Quantity","5 Source no.",$C542,"3 Posting Date",U$9,"4 Entry Type",$C$4,"2 Item No.","@@"&amp;$F542)</t>
  </si>
  <si>
    <t>=-NL("Sum","32 Item Ledger Entry","12 Quantity","5 Source no.",$C543,"3 Posting Date",U$9,"4 Entry Type",$C$4,"2 Item No.","@@"&amp;$F543)</t>
  </si>
  <si>
    <t>=-NL("Sum","32 Item Ledger Entry","12 Quantity","5 Source no.",$C523,"3 Posting Date",Z$9,"4 Entry Type",$C$4,"2 Item No.","@@"&amp;$F523)</t>
  </si>
  <si>
    <t>=-NL("Sum","32 Item Ledger Entry","12 Quantity","5 Source no.",$C524,"3 Posting Date",Z$9,"4 Entry Type",$C$4,"2 Item No.","@@"&amp;$F524)</t>
  </si>
  <si>
    <t>=-NL("Sum","32 Item Ledger Entry","12 Quantity","5 Source no.",$C525,"3 Posting Date",Z$9,"4 Entry Type",$C$4,"2 Item No.","@@"&amp;$F525)</t>
  </si>
  <si>
    <t>=-NL("Sum","32 Item Ledger Entry","12 Quantity","5 Source no.",$C526,"3 Posting Date",Z$9,"4 Entry Type",$C$4,"2 Item No.","@@"&amp;$F526)</t>
  </si>
  <si>
    <t>=-NL("Sum","32 Item Ledger Entry","12 Quantity","5 Source no.",$C527,"3 Posting Date",Z$9,"4 Entry Type",$C$4,"2 Item No.","@@"&amp;$F527)</t>
  </si>
  <si>
    <t>=-NL("Sum","32 Item Ledger Entry","12 Quantity","5 Source no.",$C528,"3 Posting Date",Z$9,"4 Entry Type",$C$4,"2 Item No.","@@"&amp;$F528)</t>
  </si>
  <si>
    <t>=-NL("Sum","32 Item Ledger Entry","12 Quantity","5 Source no.",$C529,"3 Posting Date",Z$9,"4 Entry Type",$C$4,"2 Item No.","@@"&amp;$F529)</t>
  </si>
  <si>
    <t>=-NL("Sum","32 Item Ledger Entry","12 Quantity","5 Source no.",$C530,"3 Posting Date",Z$9,"4 Entry Type",$C$4,"2 Item No.","@@"&amp;$F530)</t>
  </si>
  <si>
    <t>=-NL("Sum","32 Item Ledger Entry","12 Quantity","5 Source no.",$C531,"3 Posting Date",Z$9,"4 Entry Type",$C$4,"2 Item No.","@@"&amp;$F531)</t>
  </si>
  <si>
    <t>=-NL("Sum","32 Item Ledger Entry","12 Quantity","5 Source no.",$C532,"3 Posting Date",Z$9,"4 Entry Type",$C$4,"2 Item No.","@@"&amp;$F532)</t>
  </si>
  <si>
    <t>=-NL("Sum","32 Item Ledger Entry","12 Quantity","5 Source no.",$C533,"3 Posting Date",Z$9,"4 Entry Type",$C$4,"2 Item No.","@@"&amp;$F533)</t>
  </si>
  <si>
    <t>=-NL("Sum","32 Item Ledger Entry","12 Quantity","5 Source no.",$C534,"3 Posting Date",Z$9,"4 Entry Type",$C$4,"2 Item No.","@@"&amp;$F534)</t>
  </si>
  <si>
    <t>=-NL("Sum","32 Item Ledger Entry","12 Quantity","5 Source no.",$C535,"3 Posting Date",Z$9,"4 Entry Type",$C$4,"2 Item No.","@@"&amp;$F535)</t>
  </si>
  <si>
    <t>=-NL("Sum","32 Item Ledger Entry","12 Quantity","5 Source no.",$C536,"3 Posting Date",Z$9,"4 Entry Type",$C$4,"2 Item No.","@@"&amp;$F536)</t>
  </si>
  <si>
    <t>=-NL("Sum","32 Item Ledger Entry","12 Quantity","5 Source no.",$C537,"3 Posting Date",Z$9,"4 Entry Type",$C$4,"2 Item No.","@@"&amp;$F537)</t>
  </si>
  <si>
    <t>=-NL("Sum","32 Item Ledger Entry","12 Quantity","5 Source no.",$C538,"3 Posting Date",Z$9,"4 Entry Type",$C$4,"2 Item No.","@@"&amp;$F538)</t>
  </si>
  <si>
    <t>=-NL("Sum","32 Item Ledger Entry","12 Quantity","5 Source no.",$C539,"3 Posting Date",Z$9,"4 Entry Type",$C$4,"2 Item No.","@@"&amp;$F539)</t>
  </si>
  <si>
    <t>=-NL("Sum","32 Item Ledger Entry","12 Quantity","5 Source no.",$C540,"3 Posting Date",Z$9,"4 Entry Type",$C$4,"2 Item No.","@@"&amp;$F540)</t>
  </si>
  <si>
    <t>=-NL("Sum","32 Item Ledger Entry","12 Quantity","5 Source no.",$C541,"3 Posting Date",Z$9,"4 Entry Type",$C$4,"2 Item No.","@@"&amp;$F541)</t>
  </si>
  <si>
    <t>=-NL("Sum","32 Item Ledger Entry","12 Quantity","5 Source no.",$C542,"3 Posting Date",Z$9,"4 Entry Type",$C$4,"2 Item No.","@@"&amp;$F542)</t>
  </si>
  <si>
    <t>=-NL("Sum","32 Item Ledger Entry","12 Quantity","5 Source no.",$C543,"3 Posting Date",Z$9,"4 Entry Type",$C$4,"2 Item No.","@@"&amp;$F543)</t>
  </si>
  <si>
    <t>=NL(,"27 Item","3 Description","1 No.","@@"&amp;F498)</t>
  </si>
  <si>
    <t>=NL(,"27 Item","3 Description","1 No.","@@"&amp;F499)</t>
  </si>
  <si>
    <t>=NL(,"27 Item","3 Description","1 No.","@@"&amp;F500)</t>
  </si>
  <si>
    <t>=NL(,"27 Item","3 Description","1 No.","@@"&amp;F501)</t>
  </si>
  <si>
    <t>=NL(,"27 Item","3 Description","1 No.","@@"&amp;F502)</t>
  </si>
  <si>
    <t>=NL(,"27 Item","3 Description","1 No.","@@"&amp;F503)</t>
  </si>
  <si>
    <t>=NL(,"27 Item","3 Description","1 No.","@@"&amp;F504)</t>
  </si>
  <si>
    <t>=NL(,"27 Item","3 Description","1 No.","@@"&amp;F505)</t>
  </si>
  <si>
    <t>=NL(,"27 Item","3 Description","1 No.","@@"&amp;F506)</t>
  </si>
  <si>
    <t>=NL(,"27 Item","3 Description","1 No.","@@"&amp;F507)</t>
  </si>
  <si>
    <t>=NL(,"27 Item","3 Description","1 No.","@@"&amp;F508)</t>
  </si>
  <si>
    <t>=NL(,"27 Item","3 Description","1 No.","@@"&amp;F509)</t>
  </si>
  <si>
    <t>=NL(,"27 Item","3 Description","1 No.","@@"&amp;F510)</t>
  </si>
  <si>
    <t>=NL(,"27 Item","3 Description","1 No.","@@"&amp;F511)</t>
  </si>
  <si>
    <t>=NL(,"27 Item","3 Description","1 No.","@@"&amp;F512)</t>
  </si>
  <si>
    <t>=NL(,"27 Item","3 Description","1 No.","@@"&amp;F513)</t>
  </si>
  <si>
    <t>=NL(,"27 Item","3 Description","1 No.","@@"&amp;F514)</t>
  </si>
  <si>
    <t>=NL(,"27 Item","3 Description","1 No.","@@"&amp;F515)</t>
  </si>
  <si>
    <t>=NL(,"27 Item","3 Description","1 No.","@@"&amp;F516)</t>
  </si>
  <si>
    <t>=NL(,"27 Item","3 Description","1 No.","@@"&amp;F517)</t>
  </si>
  <si>
    <t>=-NL("Sum","32 Item Ledger Entry","12 Quantity","5 Source no.",$C498,"3 Posting Date",J$9,"4 Entry Type",$C$4,"2 Item No.","@@"&amp;$F498)</t>
  </si>
  <si>
    <t>=-NL("Sum","32 Item Ledger Entry","12 Quantity","5 Source no.",$C499,"3 Posting Date",J$9,"4 Entry Type",$C$4,"2 Item No.","@@"&amp;$F499)</t>
  </si>
  <si>
    <t>=-NL("Sum","32 Item Ledger Entry","12 Quantity","5 Source no.",$C500,"3 Posting Date",J$9,"4 Entry Type",$C$4,"2 Item No.","@@"&amp;$F500)</t>
  </si>
  <si>
    <t>=-NL("Sum","32 Item Ledger Entry","12 Quantity","5 Source no.",$C501,"3 Posting Date",J$9,"4 Entry Type",$C$4,"2 Item No.","@@"&amp;$F501)</t>
  </si>
  <si>
    <t>=-NL("Sum","32 Item Ledger Entry","12 Quantity","5 Source no.",$C502,"3 Posting Date",J$9,"4 Entry Type",$C$4,"2 Item No.","@@"&amp;$F502)</t>
  </si>
  <si>
    <t>=-NL("Sum","32 Item Ledger Entry","12 Quantity","5 Source no.",$C503,"3 Posting Date",J$9,"4 Entry Type",$C$4,"2 Item No.","@@"&amp;$F503)</t>
  </si>
  <si>
    <t>=-NL("Sum","32 Item Ledger Entry","12 Quantity","5 Source no.",$C504,"3 Posting Date",J$9,"4 Entry Type",$C$4,"2 Item No.","@@"&amp;$F504)</t>
  </si>
  <si>
    <t>=-NL("Sum","32 Item Ledger Entry","12 Quantity","5 Source no.",$C505,"3 Posting Date",J$9,"4 Entry Type",$C$4,"2 Item No.","@@"&amp;$F505)</t>
  </si>
  <si>
    <t>=-NL("Sum","32 Item Ledger Entry","12 Quantity","5 Source no.",$C506,"3 Posting Date",J$9,"4 Entry Type",$C$4,"2 Item No.","@@"&amp;$F506)</t>
  </si>
  <si>
    <t>=-NL("Sum","32 Item Ledger Entry","12 Quantity","5 Source no.",$C507,"3 Posting Date",J$9,"4 Entry Type",$C$4,"2 Item No.","@@"&amp;$F507)</t>
  </si>
  <si>
    <t>=-NL("Sum","32 Item Ledger Entry","12 Quantity","5 Source no.",$C508,"3 Posting Date",J$9,"4 Entry Type",$C$4,"2 Item No.","@@"&amp;$F508)</t>
  </si>
  <si>
    <t>=-NL("Sum","32 Item Ledger Entry","12 Quantity","5 Source no.",$C509,"3 Posting Date",J$9,"4 Entry Type",$C$4,"2 Item No.","@@"&amp;$F509)</t>
  </si>
  <si>
    <t>=-NL("Sum","32 Item Ledger Entry","12 Quantity","5 Source no.",$C510,"3 Posting Date",J$9,"4 Entry Type",$C$4,"2 Item No.","@@"&amp;$F510)</t>
  </si>
  <si>
    <t>=-NL("Sum","32 Item Ledger Entry","12 Quantity","5 Source no.",$C511,"3 Posting Date",J$9,"4 Entry Type",$C$4,"2 Item No.","@@"&amp;$F511)</t>
  </si>
  <si>
    <t>=-NL("Sum","32 Item Ledger Entry","12 Quantity","5 Source no.",$C512,"3 Posting Date",J$9,"4 Entry Type",$C$4,"2 Item No.","@@"&amp;$F512)</t>
  </si>
  <si>
    <t>=-NL("Sum","32 Item Ledger Entry","12 Quantity","5 Source no.",$C513,"3 Posting Date",J$9,"4 Entry Type",$C$4,"2 Item No.","@@"&amp;$F513)</t>
  </si>
  <si>
    <t>=-NL("Sum","32 Item Ledger Entry","12 Quantity","5 Source no.",$C514,"3 Posting Date",J$9,"4 Entry Type",$C$4,"2 Item No.","@@"&amp;$F514)</t>
  </si>
  <si>
    <t>=-NL("Sum","32 Item Ledger Entry","12 Quantity","5 Source no.",$C515,"3 Posting Date",J$9,"4 Entry Type",$C$4,"2 Item No.","@@"&amp;$F515)</t>
  </si>
  <si>
    <t>=-NL("Sum","32 Item Ledger Entry","12 Quantity","5 Source no.",$C516,"3 Posting Date",J$9,"4 Entry Type",$C$4,"2 Item No.","@@"&amp;$F516)</t>
  </si>
  <si>
    <t>=-NL("Sum","32 Item Ledger Entry","12 Quantity","5 Source no.",$C517,"3 Posting Date",J$9,"4 Entry Type",$C$4,"2 Item No.","@@"&amp;$F517)</t>
  </si>
  <si>
    <t>=-NL("Sum","32 Item Ledger Entry","12 Quantity","5 Source no.",$C498,"3 Posting Date",O$9,"4 Entry Type",$C$4,"2 Item No.","@@"&amp;$F498)</t>
  </si>
  <si>
    <t>=-NL("Sum","32 Item Ledger Entry","12 Quantity","5 Source no.",$C499,"3 Posting Date",O$9,"4 Entry Type",$C$4,"2 Item No.","@@"&amp;$F499)</t>
  </si>
  <si>
    <t>=-NL("Sum","32 Item Ledger Entry","12 Quantity","5 Source no.",$C500,"3 Posting Date",O$9,"4 Entry Type",$C$4,"2 Item No.","@@"&amp;$F500)</t>
  </si>
  <si>
    <t>=-NL("Sum","32 Item Ledger Entry","12 Quantity","5 Source no.",$C501,"3 Posting Date",O$9,"4 Entry Type",$C$4,"2 Item No.","@@"&amp;$F501)</t>
  </si>
  <si>
    <t>=-NL("Sum","32 Item Ledger Entry","12 Quantity","5 Source no.",$C502,"3 Posting Date",O$9,"4 Entry Type",$C$4,"2 Item No.","@@"&amp;$F502)</t>
  </si>
  <si>
    <t>=-NL("Sum","32 Item Ledger Entry","12 Quantity","5 Source no.",$C503,"3 Posting Date",O$9,"4 Entry Type",$C$4,"2 Item No.","@@"&amp;$F503)</t>
  </si>
  <si>
    <t>=-NL("Sum","32 Item Ledger Entry","12 Quantity","5 Source no.",$C504,"3 Posting Date",O$9,"4 Entry Type",$C$4,"2 Item No.","@@"&amp;$F504)</t>
  </si>
  <si>
    <t>=-NL("Sum","32 Item Ledger Entry","12 Quantity","5 Source no.",$C505,"3 Posting Date",O$9,"4 Entry Type",$C$4,"2 Item No.","@@"&amp;$F505)</t>
  </si>
  <si>
    <t>=-NL("Sum","32 Item Ledger Entry","12 Quantity","5 Source no.",$C506,"3 Posting Date",O$9,"4 Entry Type",$C$4,"2 Item No.","@@"&amp;$F506)</t>
  </si>
  <si>
    <t>=-NL("Sum","32 Item Ledger Entry","12 Quantity","5 Source no.",$C507,"3 Posting Date",O$9,"4 Entry Type",$C$4,"2 Item No.","@@"&amp;$F507)</t>
  </si>
  <si>
    <t>=-NL("Sum","32 Item Ledger Entry","12 Quantity","5 Source no.",$C508,"3 Posting Date",O$9,"4 Entry Type",$C$4,"2 Item No.","@@"&amp;$F508)</t>
  </si>
  <si>
    <t>=-NL("Sum","32 Item Ledger Entry","12 Quantity","5 Source no.",$C509,"3 Posting Date",O$9,"4 Entry Type",$C$4,"2 Item No.","@@"&amp;$F509)</t>
  </si>
  <si>
    <t>=-NL("Sum","32 Item Ledger Entry","12 Quantity","5 Source no.",$C510,"3 Posting Date",O$9,"4 Entry Type",$C$4,"2 Item No.","@@"&amp;$F510)</t>
  </si>
  <si>
    <t>=-NL("Sum","32 Item Ledger Entry","12 Quantity","5 Source no.",$C511,"3 Posting Date",O$9,"4 Entry Type",$C$4,"2 Item No.","@@"&amp;$F511)</t>
  </si>
  <si>
    <t>=-NL("Sum","32 Item Ledger Entry","12 Quantity","5 Source no.",$C512,"3 Posting Date",O$9,"4 Entry Type",$C$4,"2 Item No.","@@"&amp;$F512)</t>
  </si>
  <si>
    <t>=-NL("Sum","32 Item Ledger Entry","12 Quantity","5 Source no.",$C513,"3 Posting Date",O$9,"4 Entry Type",$C$4,"2 Item No.","@@"&amp;$F513)</t>
  </si>
  <si>
    <t>=-NL("Sum","32 Item Ledger Entry","12 Quantity","5 Source no.",$C514,"3 Posting Date",O$9,"4 Entry Type",$C$4,"2 Item No.","@@"&amp;$F514)</t>
  </si>
  <si>
    <t>=-NL("Sum","32 Item Ledger Entry","12 Quantity","5 Source no.",$C515,"3 Posting Date",O$9,"4 Entry Type",$C$4,"2 Item No.","@@"&amp;$F515)</t>
  </si>
  <si>
    <t>=-NL("Sum","32 Item Ledger Entry","12 Quantity","5 Source no.",$C516,"3 Posting Date",O$9,"4 Entry Type",$C$4,"2 Item No.","@@"&amp;$F516)</t>
  </si>
  <si>
    <t>=-NL("Sum","32 Item Ledger Entry","12 Quantity","5 Source no.",$C517,"3 Posting Date",O$9,"4 Entry Type",$C$4,"2 Item No.","@@"&amp;$F517)</t>
  </si>
  <si>
    <t>=-NL("Sum","32 Item Ledger Entry","12 Quantity","5 Source no.",$C498,"3 Posting Date",U$9,"4 Entry Type",$C$4,"2 Item No.","@@"&amp;$F498)</t>
  </si>
  <si>
    <t>=-NL("Sum","32 Item Ledger Entry","12 Quantity","5 Source no.",$C499,"3 Posting Date",U$9,"4 Entry Type",$C$4,"2 Item No.","@@"&amp;$F499)</t>
  </si>
  <si>
    <t>=-NL("Sum","32 Item Ledger Entry","12 Quantity","5 Source no.",$C500,"3 Posting Date",U$9,"4 Entry Type",$C$4,"2 Item No.","@@"&amp;$F500)</t>
  </si>
  <si>
    <t>=-NL("Sum","32 Item Ledger Entry","12 Quantity","5 Source no.",$C501,"3 Posting Date",U$9,"4 Entry Type",$C$4,"2 Item No.","@@"&amp;$F501)</t>
  </si>
  <si>
    <t>=-NL("Sum","32 Item Ledger Entry","12 Quantity","5 Source no.",$C502,"3 Posting Date",U$9,"4 Entry Type",$C$4,"2 Item No.","@@"&amp;$F502)</t>
  </si>
  <si>
    <t>=-NL("Sum","32 Item Ledger Entry","12 Quantity","5 Source no.",$C503,"3 Posting Date",U$9,"4 Entry Type",$C$4,"2 Item No.","@@"&amp;$F503)</t>
  </si>
  <si>
    <t>=-NL("Sum","32 Item Ledger Entry","12 Quantity","5 Source no.",$C504,"3 Posting Date",U$9,"4 Entry Type",$C$4,"2 Item No.","@@"&amp;$F504)</t>
  </si>
  <si>
    <t>=-NL("Sum","32 Item Ledger Entry","12 Quantity","5 Source no.",$C505,"3 Posting Date",U$9,"4 Entry Type",$C$4,"2 Item No.","@@"&amp;$F505)</t>
  </si>
  <si>
    <t>=-NL("Sum","32 Item Ledger Entry","12 Quantity","5 Source no.",$C506,"3 Posting Date",U$9,"4 Entry Type",$C$4,"2 Item No.","@@"&amp;$F506)</t>
  </si>
  <si>
    <t>=-NL("Sum","32 Item Ledger Entry","12 Quantity","5 Source no.",$C507,"3 Posting Date",U$9,"4 Entry Type",$C$4,"2 Item No.","@@"&amp;$F507)</t>
  </si>
  <si>
    <t>=-NL("Sum","32 Item Ledger Entry","12 Quantity","5 Source no.",$C508,"3 Posting Date",U$9,"4 Entry Type",$C$4,"2 Item No.","@@"&amp;$F508)</t>
  </si>
  <si>
    <t>=-NL("Sum","32 Item Ledger Entry","12 Quantity","5 Source no.",$C509,"3 Posting Date",U$9,"4 Entry Type",$C$4,"2 Item No.","@@"&amp;$F509)</t>
  </si>
  <si>
    <t>=-NL("Sum","32 Item Ledger Entry","12 Quantity","5 Source no.",$C510,"3 Posting Date",U$9,"4 Entry Type",$C$4,"2 Item No.","@@"&amp;$F510)</t>
  </si>
  <si>
    <t>=-NL("Sum","32 Item Ledger Entry","12 Quantity","5 Source no.",$C511,"3 Posting Date",U$9,"4 Entry Type",$C$4,"2 Item No.","@@"&amp;$F511)</t>
  </si>
  <si>
    <t>=-NL("Sum","32 Item Ledger Entry","12 Quantity","5 Source no.",$C512,"3 Posting Date",U$9,"4 Entry Type",$C$4,"2 Item No.","@@"&amp;$F512)</t>
  </si>
  <si>
    <t>=-NL("Sum","32 Item Ledger Entry","12 Quantity","5 Source no.",$C513,"3 Posting Date",U$9,"4 Entry Type",$C$4,"2 Item No.","@@"&amp;$F513)</t>
  </si>
  <si>
    <t>=-NL("Sum","32 Item Ledger Entry","12 Quantity","5 Source no.",$C514,"3 Posting Date",U$9,"4 Entry Type",$C$4,"2 Item No.","@@"&amp;$F514)</t>
  </si>
  <si>
    <t>=-NL("Sum","32 Item Ledger Entry","12 Quantity","5 Source no.",$C515,"3 Posting Date",U$9,"4 Entry Type",$C$4,"2 Item No.","@@"&amp;$F515)</t>
  </si>
  <si>
    <t>=-NL("Sum","32 Item Ledger Entry","12 Quantity","5 Source no.",$C516,"3 Posting Date",U$9,"4 Entry Type",$C$4,"2 Item No.","@@"&amp;$F516)</t>
  </si>
  <si>
    <t>=-NL("Sum","32 Item Ledger Entry","12 Quantity","5 Source no.",$C517,"3 Posting Date",U$9,"4 Entry Type",$C$4,"2 Item No.","@@"&amp;$F517)</t>
  </si>
  <si>
    <t>=-NL("Sum","32 Item Ledger Entry","12 Quantity","5 Source no.",$C498,"3 Posting Date",Z$9,"4 Entry Type",$C$4,"2 Item No.","@@"&amp;$F498)</t>
  </si>
  <si>
    <t>=-NL("Sum","32 Item Ledger Entry","12 Quantity","5 Source no.",$C499,"3 Posting Date",Z$9,"4 Entry Type",$C$4,"2 Item No.","@@"&amp;$F499)</t>
  </si>
  <si>
    <t>=-NL("Sum","32 Item Ledger Entry","12 Quantity","5 Source no.",$C500,"3 Posting Date",Z$9,"4 Entry Type",$C$4,"2 Item No.","@@"&amp;$F500)</t>
  </si>
  <si>
    <t>=-NL("Sum","32 Item Ledger Entry","12 Quantity","5 Source no.",$C501,"3 Posting Date",Z$9,"4 Entry Type",$C$4,"2 Item No.","@@"&amp;$F501)</t>
  </si>
  <si>
    <t>=-NL("Sum","32 Item Ledger Entry","12 Quantity","5 Source no.",$C502,"3 Posting Date",Z$9,"4 Entry Type",$C$4,"2 Item No.","@@"&amp;$F502)</t>
  </si>
  <si>
    <t>=-NL("Sum","32 Item Ledger Entry","12 Quantity","5 Source no.",$C503,"3 Posting Date",Z$9,"4 Entry Type",$C$4,"2 Item No.","@@"&amp;$F503)</t>
  </si>
  <si>
    <t>=-NL("Sum","32 Item Ledger Entry","12 Quantity","5 Source no.",$C504,"3 Posting Date",Z$9,"4 Entry Type",$C$4,"2 Item No.","@@"&amp;$F504)</t>
  </si>
  <si>
    <t>=-NL("Sum","32 Item Ledger Entry","12 Quantity","5 Source no.",$C505,"3 Posting Date",Z$9,"4 Entry Type",$C$4,"2 Item No.","@@"&amp;$F505)</t>
  </si>
  <si>
    <t>=-NL("Sum","32 Item Ledger Entry","12 Quantity","5 Source no.",$C506,"3 Posting Date",Z$9,"4 Entry Type",$C$4,"2 Item No.","@@"&amp;$F506)</t>
  </si>
  <si>
    <t>=-NL("Sum","32 Item Ledger Entry","12 Quantity","5 Source no.",$C507,"3 Posting Date",Z$9,"4 Entry Type",$C$4,"2 Item No.","@@"&amp;$F507)</t>
  </si>
  <si>
    <t>=-NL("Sum","32 Item Ledger Entry","12 Quantity","5 Source no.",$C508,"3 Posting Date",Z$9,"4 Entry Type",$C$4,"2 Item No.","@@"&amp;$F508)</t>
  </si>
  <si>
    <t>=-NL("Sum","32 Item Ledger Entry","12 Quantity","5 Source no.",$C509,"3 Posting Date",Z$9,"4 Entry Type",$C$4,"2 Item No.","@@"&amp;$F509)</t>
  </si>
  <si>
    <t>=-NL("Sum","32 Item Ledger Entry","12 Quantity","5 Source no.",$C510,"3 Posting Date",Z$9,"4 Entry Type",$C$4,"2 Item No.","@@"&amp;$F510)</t>
  </si>
  <si>
    <t>=-NL("Sum","32 Item Ledger Entry","12 Quantity","5 Source no.",$C511,"3 Posting Date",Z$9,"4 Entry Type",$C$4,"2 Item No.","@@"&amp;$F511)</t>
  </si>
  <si>
    <t>=-NL("Sum","32 Item Ledger Entry","12 Quantity","5 Source no.",$C512,"3 Posting Date",Z$9,"4 Entry Type",$C$4,"2 Item No.","@@"&amp;$F512)</t>
  </si>
  <si>
    <t>=-NL("Sum","32 Item Ledger Entry","12 Quantity","5 Source no.",$C513,"3 Posting Date",Z$9,"4 Entry Type",$C$4,"2 Item No.","@@"&amp;$F513)</t>
  </si>
  <si>
    <t>=-NL("Sum","32 Item Ledger Entry","12 Quantity","5 Source no.",$C514,"3 Posting Date",Z$9,"4 Entry Type",$C$4,"2 Item No.","@@"&amp;$F514)</t>
  </si>
  <si>
    <t>=-NL("Sum","32 Item Ledger Entry","12 Quantity","5 Source no.",$C515,"3 Posting Date",Z$9,"4 Entry Type",$C$4,"2 Item No.","@@"&amp;$F515)</t>
  </si>
  <si>
    <t>=-NL("Sum","32 Item Ledger Entry","12 Quantity","5 Source no.",$C516,"3 Posting Date",Z$9,"4 Entry Type",$C$4,"2 Item No.","@@"&amp;$F516)</t>
  </si>
  <si>
    <t>=-NL("Sum","32 Item Ledger Entry","12 Quantity","5 Source no.",$C517,"3 Posting Date",Z$9,"4 Entry Type",$C$4,"2 Item No.","@@"&amp;$F517)</t>
  </si>
  <si>
    <t>=NL(,"27 Item","3 Description","1 No.","@@"&amp;F463)</t>
  </si>
  <si>
    <t>=NL(,"27 Item","3 Description","1 No.","@@"&amp;F464)</t>
  </si>
  <si>
    <t>=NL(,"27 Item","3 Description","1 No.","@@"&amp;F465)</t>
  </si>
  <si>
    <t>=NL(,"27 Item","3 Description","1 No.","@@"&amp;F466)</t>
  </si>
  <si>
    <t>=NL(,"27 Item","3 Description","1 No.","@@"&amp;F467)</t>
  </si>
  <si>
    <t>=NL(,"27 Item","3 Description","1 No.","@@"&amp;F468)</t>
  </si>
  <si>
    <t>=NL(,"27 Item","3 Description","1 No.","@@"&amp;F469)</t>
  </si>
  <si>
    <t>=NL(,"27 Item","3 Description","1 No.","@@"&amp;F470)</t>
  </si>
  <si>
    <t>=NL(,"27 Item","3 Description","1 No.","@@"&amp;F471)</t>
  </si>
  <si>
    <t>=NL(,"27 Item","3 Description","1 No.","@@"&amp;F472)</t>
  </si>
  <si>
    <t>=NL(,"27 Item","3 Description","1 No.","@@"&amp;F473)</t>
  </si>
  <si>
    <t>=NL(,"27 Item","3 Description","1 No.","@@"&amp;F474)</t>
  </si>
  <si>
    <t>=NL(,"27 Item","3 Description","1 No.","@@"&amp;F475)</t>
  </si>
  <si>
    <t>=NL(,"27 Item","3 Description","1 No.","@@"&amp;F476)</t>
  </si>
  <si>
    <t>=NL(,"27 Item","3 Description","1 No.","@@"&amp;F477)</t>
  </si>
  <si>
    <t>=NL(,"27 Item","3 Description","1 No.","@@"&amp;F478)</t>
  </si>
  <si>
    <t>=NL(,"27 Item","3 Description","1 No.","@@"&amp;F479)</t>
  </si>
  <si>
    <t>=NL(,"27 Item","3 Description","1 No.","@@"&amp;F480)</t>
  </si>
  <si>
    <t>=NL(,"27 Item","3 Description","1 No.","@@"&amp;F481)</t>
  </si>
  <si>
    <t>=NL(,"27 Item","3 Description","1 No.","@@"&amp;F482)</t>
  </si>
  <si>
    <t>=NL(,"27 Item","3 Description","1 No.","@@"&amp;F483)</t>
  </si>
  <si>
    <t>=NL(,"27 Item","3 Description","1 No.","@@"&amp;F484)</t>
  </si>
  <si>
    <t>=NL(,"27 Item","3 Description","1 No.","@@"&amp;F485)</t>
  </si>
  <si>
    <t>=NL(,"27 Item","3 Description","1 No.","@@"&amp;F486)</t>
  </si>
  <si>
    <t>=NL(,"27 Item","3 Description","1 No.","@@"&amp;F487)</t>
  </si>
  <si>
    <t>=NL(,"27 Item","3 Description","1 No.","@@"&amp;F488)</t>
  </si>
  <si>
    <t>=NL(,"27 Item","3 Description","1 No.","@@"&amp;F489)</t>
  </si>
  <si>
    <t>=NL(,"27 Item","3 Description","1 No.","@@"&amp;F490)</t>
  </si>
  <si>
    <t>=NL(,"27 Item","3 Description","1 No.","@@"&amp;F491)</t>
  </si>
  <si>
    <t>=NL(,"27 Item","3 Description","1 No.","@@"&amp;F492)</t>
  </si>
  <si>
    <t>=-NL("Sum","32 Item Ledger Entry","12 Quantity","5 Source no.",$C463,"3 Posting Date",J$9,"4 Entry Type",$C$4,"2 Item No.","@@"&amp;$F463)</t>
  </si>
  <si>
    <t>=-NL("Sum","32 Item Ledger Entry","12 Quantity","5 Source no.",$C464,"3 Posting Date",J$9,"4 Entry Type",$C$4,"2 Item No.","@@"&amp;$F464)</t>
  </si>
  <si>
    <t>=-NL("Sum","32 Item Ledger Entry","12 Quantity","5 Source no.",$C465,"3 Posting Date",J$9,"4 Entry Type",$C$4,"2 Item No.","@@"&amp;$F465)</t>
  </si>
  <si>
    <t>=-NL("Sum","32 Item Ledger Entry","12 Quantity","5 Source no.",$C466,"3 Posting Date",J$9,"4 Entry Type",$C$4,"2 Item No.","@@"&amp;$F466)</t>
  </si>
  <si>
    <t>=-NL("Sum","32 Item Ledger Entry","12 Quantity","5 Source no.",$C467,"3 Posting Date",J$9,"4 Entry Type",$C$4,"2 Item No.","@@"&amp;$F467)</t>
  </si>
  <si>
    <t>=-NL("Sum","32 Item Ledger Entry","12 Quantity","5 Source no.",$C468,"3 Posting Date",J$9,"4 Entry Type",$C$4,"2 Item No.","@@"&amp;$F468)</t>
  </si>
  <si>
    <t>=-NL("Sum","32 Item Ledger Entry","12 Quantity","5 Source no.",$C469,"3 Posting Date",J$9,"4 Entry Type",$C$4,"2 Item No.","@@"&amp;$F469)</t>
  </si>
  <si>
    <t>=-NL("Sum","32 Item Ledger Entry","12 Quantity","5 Source no.",$C470,"3 Posting Date",J$9,"4 Entry Type",$C$4,"2 Item No.","@@"&amp;$F470)</t>
  </si>
  <si>
    <t>=-NL("Sum","32 Item Ledger Entry","12 Quantity","5 Source no.",$C471,"3 Posting Date",J$9,"4 Entry Type",$C$4,"2 Item No.","@@"&amp;$F471)</t>
  </si>
  <si>
    <t>=-NL("Sum","32 Item Ledger Entry","12 Quantity","5 Source no.",$C472,"3 Posting Date",J$9,"4 Entry Type",$C$4,"2 Item No.","@@"&amp;$F472)</t>
  </si>
  <si>
    <t>=-NL("Sum","32 Item Ledger Entry","12 Quantity","5 Source no.",$C473,"3 Posting Date",J$9,"4 Entry Type",$C$4,"2 Item No.","@@"&amp;$F473)</t>
  </si>
  <si>
    <t>=-NL("Sum","32 Item Ledger Entry","12 Quantity","5 Source no.",$C474,"3 Posting Date",J$9,"4 Entry Type",$C$4,"2 Item No.","@@"&amp;$F474)</t>
  </si>
  <si>
    <t>=-NL("Sum","32 Item Ledger Entry","12 Quantity","5 Source no.",$C475,"3 Posting Date",J$9,"4 Entry Type",$C$4,"2 Item No.","@@"&amp;$F475)</t>
  </si>
  <si>
    <t>=-NL("Sum","32 Item Ledger Entry","12 Quantity","5 Source no.",$C476,"3 Posting Date",J$9,"4 Entry Type",$C$4,"2 Item No.","@@"&amp;$F476)</t>
  </si>
  <si>
    <t>=-NL("Sum","32 Item Ledger Entry","12 Quantity","5 Source no.",$C477,"3 Posting Date",J$9,"4 Entry Type",$C$4,"2 Item No.","@@"&amp;$F477)</t>
  </si>
  <si>
    <t>=-NL("Sum","32 Item Ledger Entry","12 Quantity","5 Source no.",$C478,"3 Posting Date",J$9,"4 Entry Type",$C$4,"2 Item No.","@@"&amp;$F478)</t>
  </si>
  <si>
    <t>=-NL("Sum","32 Item Ledger Entry","12 Quantity","5 Source no.",$C479,"3 Posting Date",J$9,"4 Entry Type",$C$4,"2 Item No.","@@"&amp;$F479)</t>
  </si>
  <si>
    <t>=-NL("Sum","32 Item Ledger Entry","12 Quantity","5 Source no.",$C480,"3 Posting Date",J$9,"4 Entry Type",$C$4,"2 Item No.","@@"&amp;$F480)</t>
  </si>
  <si>
    <t>=-NL("Sum","32 Item Ledger Entry","12 Quantity","5 Source no.",$C481,"3 Posting Date",J$9,"4 Entry Type",$C$4,"2 Item No.","@@"&amp;$F481)</t>
  </si>
  <si>
    <t>=-NL("Sum","32 Item Ledger Entry","12 Quantity","5 Source no.",$C482,"3 Posting Date",J$9,"4 Entry Type",$C$4,"2 Item No.","@@"&amp;$F482)</t>
  </si>
  <si>
    <t>=-NL("Sum","32 Item Ledger Entry","12 Quantity","5 Source no.",$C483,"3 Posting Date",J$9,"4 Entry Type",$C$4,"2 Item No.","@@"&amp;$F483)</t>
  </si>
  <si>
    <t>=-NL("Sum","32 Item Ledger Entry","12 Quantity","5 Source no.",$C484,"3 Posting Date",J$9,"4 Entry Type",$C$4,"2 Item No.","@@"&amp;$F484)</t>
  </si>
  <si>
    <t>=-NL("Sum","32 Item Ledger Entry","12 Quantity","5 Source no.",$C485,"3 Posting Date",J$9,"4 Entry Type",$C$4,"2 Item No.","@@"&amp;$F485)</t>
  </si>
  <si>
    <t>=-NL("Sum","32 Item Ledger Entry","12 Quantity","5 Source no.",$C486,"3 Posting Date",J$9,"4 Entry Type",$C$4,"2 Item No.","@@"&amp;$F486)</t>
  </si>
  <si>
    <t>=-NL("Sum","32 Item Ledger Entry","12 Quantity","5 Source no.",$C487,"3 Posting Date",J$9,"4 Entry Type",$C$4,"2 Item No.","@@"&amp;$F487)</t>
  </si>
  <si>
    <t>=-NL("Sum","32 Item Ledger Entry","12 Quantity","5 Source no.",$C488,"3 Posting Date",J$9,"4 Entry Type",$C$4,"2 Item No.","@@"&amp;$F488)</t>
  </si>
  <si>
    <t>=-NL("Sum","32 Item Ledger Entry","12 Quantity","5 Source no.",$C489,"3 Posting Date",J$9,"4 Entry Type",$C$4,"2 Item No.","@@"&amp;$F489)</t>
  </si>
  <si>
    <t>=-NL("Sum","32 Item Ledger Entry","12 Quantity","5 Source no.",$C490,"3 Posting Date",J$9,"4 Entry Type",$C$4,"2 Item No.","@@"&amp;$F490)</t>
  </si>
  <si>
    <t>=-NL("Sum","32 Item Ledger Entry","12 Quantity","5 Source no.",$C491,"3 Posting Date",J$9,"4 Entry Type",$C$4,"2 Item No.","@@"&amp;$F491)</t>
  </si>
  <si>
    <t>=-NL("Sum","32 Item Ledger Entry","12 Quantity","5 Source no.",$C492,"3 Posting Date",J$9,"4 Entry Type",$C$4,"2 Item No.","@@"&amp;$F492)</t>
  </si>
  <si>
    <t>=-NL("Sum","32 Item Ledger Entry","12 Quantity","5 Source no.",$C463,"3 Posting Date",O$9,"4 Entry Type",$C$4,"2 Item No.","@@"&amp;$F463)</t>
  </si>
  <si>
    <t>=-NL("Sum","32 Item Ledger Entry","12 Quantity","5 Source no.",$C464,"3 Posting Date",O$9,"4 Entry Type",$C$4,"2 Item No.","@@"&amp;$F464)</t>
  </si>
  <si>
    <t>=-NL("Sum","32 Item Ledger Entry","12 Quantity","5 Source no.",$C465,"3 Posting Date",O$9,"4 Entry Type",$C$4,"2 Item No.","@@"&amp;$F465)</t>
  </si>
  <si>
    <t>=-NL("Sum","32 Item Ledger Entry","12 Quantity","5 Source no.",$C466,"3 Posting Date",O$9,"4 Entry Type",$C$4,"2 Item No.","@@"&amp;$F466)</t>
  </si>
  <si>
    <t>=-NL("Sum","32 Item Ledger Entry","12 Quantity","5 Source no.",$C467,"3 Posting Date",O$9,"4 Entry Type",$C$4,"2 Item No.","@@"&amp;$F467)</t>
  </si>
  <si>
    <t>=-NL("Sum","32 Item Ledger Entry","12 Quantity","5 Source no.",$C468,"3 Posting Date",O$9,"4 Entry Type",$C$4,"2 Item No.","@@"&amp;$F468)</t>
  </si>
  <si>
    <t>=-NL("Sum","32 Item Ledger Entry","12 Quantity","5 Source no.",$C469,"3 Posting Date",O$9,"4 Entry Type",$C$4,"2 Item No.","@@"&amp;$F469)</t>
  </si>
  <si>
    <t>=-NL("Sum","32 Item Ledger Entry","12 Quantity","5 Source no.",$C470,"3 Posting Date",O$9,"4 Entry Type",$C$4,"2 Item No.","@@"&amp;$F470)</t>
  </si>
  <si>
    <t>=-NL("Sum","32 Item Ledger Entry","12 Quantity","5 Source no.",$C471,"3 Posting Date",O$9,"4 Entry Type",$C$4,"2 Item No.","@@"&amp;$F471)</t>
  </si>
  <si>
    <t>=-NL("Sum","32 Item Ledger Entry","12 Quantity","5 Source no.",$C472,"3 Posting Date",O$9,"4 Entry Type",$C$4,"2 Item No.","@@"&amp;$F472)</t>
  </si>
  <si>
    <t>=-NL("Sum","32 Item Ledger Entry","12 Quantity","5 Source no.",$C473,"3 Posting Date",O$9,"4 Entry Type",$C$4,"2 Item No.","@@"&amp;$F473)</t>
  </si>
  <si>
    <t>=-NL("Sum","32 Item Ledger Entry","12 Quantity","5 Source no.",$C474,"3 Posting Date",O$9,"4 Entry Type",$C$4,"2 Item No.","@@"&amp;$F474)</t>
  </si>
  <si>
    <t>=-NL("Sum","32 Item Ledger Entry","12 Quantity","5 Source no.",$C475,"3 Posting Date",O$9,"4 Entry Type",$C$4,"2 Item No.","@@"&amp;$F475)</t>
  </si>
  <si>
    <t>=-NL("Sum","32 Item Ledger Entry","12 Quantity","5 Source no.",$C476,"3 Posting Date",O$9,"4 Entry Type",$C$4,"2 Item No.","@@"&amp;$F476)</t>
  </si>
  <si>
    <t>=-NL("Sum","32 Item Ledger Entry","12 Quantity","5 Source no.",$C477,"3 Posting Date",O$9,"4 Entry Type",$C$4,"2 Item No.","@@"&amp;$F477)</t>
  </si>
  <si>
    <t>=-NL("Sum","32 Item Ledger Entry","12 Quantity","5 Source no.",$C478,"3 Posting Date",O$9,"4 Entry Type",$C$4,"2 Item No.","@@"&amp;$F478)</t>
  </si>
  <si>
    <t>=-NL("Sum","32 Item Ledger Entry","12 Quantity","5 Source no.",$C479,"3 Posting Date",O$9,"4 Entry Type",$C$4,"2 Item No.","@@"&amp;$F479)</t>
  </si>
  <si>
    <t>=-NL("Sum","32 Item Ledger Entry","12 Quantity","5 Source no.",$C480,"3 Posting Date",O$9,"4 Entry Type",$C$4,"2 Item No.","@@"&amp;$F480)</t>
  </si>
  <si>
    <t>=-NL("Sum","32 Item Ledger Entry","12 Quantity","5 Source no.",$C481,"3 Posting Date",O$9,"4 Entry Type",$C$4,"2 Item No.","@@"&amp;$F481)</t>
  </si>
  <si>
    <t>=-NL("Sum","32 Item Ledger Entry","12 Quantity","5 Source no.",$C482,"3 Posting Date",O$9,"4 Entry Type",$C$4,"2 Item No.","@@"&amp;$F482)</t>
  </si>
  <si>
    <t>=-NL("Sum","32 Item Ledger Entry","12 Quantity","5 Source no.",$C483,"3 Posting Date",O$9,"4 Entry Type",$C$4,"2 Item No.","@@"&amp;$F483)</t>
  </si>
  <si>
    <t>=-NL("Sum","32 Item Ledger Entry","12 Quantity","5 Source no.",$C484,"3 Posting Date",O$9,"4 Entry Type",$C$4,"2 Item No.","@@"&amp;$F484)</t>
  </si>
  <si>
    <t>=-NL("Sum","32 Item Ledger Entry","12 Quantity","5 Source no.",$C485,"3 Posting Date",O$9,"4 Entry Type",$C$4,"2 Item No.","@@"&amp;$F485)</t>
  </si>
  <si>
    <t>=-NL("Sum","32 Item Ledger Entry","12 Quantity","5 Source no.",$C486,"3 Posting Date",O$9,"4 Entry Type",$C$4,"2 Item No.","@@"&amp;$F486)</t>
  </si>
  <si>
    <t>=-NL("Sum","32 Item Ledger Entry","12 Quantity","5 Source no.",$C487,"3 Posting Date",O$9,"4 Entry Type",$C$4,"2 Item No.","@@"&amp;$F487)</t>
  </si>
  <si>
    <t>=-NL("Sum","32 Item Ledger Entry","12 Quantity","5 Source no.",$C488,"3 Posting Date",O$9,"4 Entry Type",$C$4,"2 Item No.","@@"&amp;$F488)</t>
  </si>
  <si>
    <t>=-NL("Sum","32 Item Ledger Entry","12 Quantity","5 Source no.",$C489,"3 Posting Date",O$9,"4 Entry Type",$C$4,"2 Item No.","@@"&amp;$F489)</t>
  </si>
  <si>
    <t>=-NL("Sum","32 Item Ledger Entry","12 Quantity","5 Source no.",$C490,"3 Posting Date",O$9,"4 Entry Type",$C$4,"2 Item No.","@@"&amp;$F490)</t>
  </si>
  <si>
    <t>=-NL("Sum","32 Item Ledger Entry","12 Quantity","5 Source no.",$C491,"3 Posting Date",O$9,"4 Entry Type",$C$4,"2 Item No.","@@"&amp;$F491)</t>
  </si>
  <si>
    <t>=-NL("Sum","32 Item Ledger Entry","12 Quantity","5 Source no.",$C492,"3 Posting Date",O$9,"4 Entry Type",$C$4,"2 Item No.","@@"&amp;$F492)</t>
  </si>
  <si>
    <t>=-NL("Sum","32 Item Ledger Entry","12 Quantity","5 Source no.",$C463,"3 Posting Date",U$9,"4 Entry Type",$C$4,"2 Item No.","@@"&amp;$F463)</t>
  </si>
  <si>
    <t>=-NL("Sum","32 Item Ledger Entry","12 Quantity","5 Source no.",$C464,"3 Posting Date",U$9,"4 Entry Type",$C$4,"2 Item No.","@@"&amp;$F464)</t>
  </si>
  <si>
    <t>=-NL("Sum","32 Item Ledger Entry","12 Quantity","5 Source no.",$C465,"3 Posting Date",U$9,"4 Entry Type",$C$4,"2 Item No.","@@"&amp;$F465)</t>
  </si>
  <si>
    <t>=-NL("Sum","32 Item Ledger Entry","12 Quantity","5 Source no.",$C466,"3 Posting Date",U$9,"4 Entry Type",$C$4,"2 Item No.","@@"&amp;$F466)</t>
  </si>
  <si>
    <t>=-NL("Sum","32 Item Ledger Entry","12 Quantity","5 Source no.",$C467,"3 Posting Date",U$9,"4 Entry Type",$C$4,"2 Item No.","@@"&amp;$F467)</t>
  </si>
  <si>
    <t>=-NL("Sum","32 Item Ledger Entry","12 Quantity","5 Source no.",$C468,"3 Posting Date",U$9,"4 Entry Type",$C$4,"2 Item No.","@@"&amp;$F468)</t>
  </si>
  <si>
    <t>=-NL("Sum","32 Item Ledger Entry","12 Quantity","5 Source no.",$C469,"3 Posting Date",U$9,"4 Entry Type",$C$4,"2 Item No.","@@"&amp;$F469)</t>
  </si>
  <si>
    <t>=-NL("Sum","32 Item Ledger Entry","12 Quantity","5 Source no.",$C470,"3 Posting Date",U$9,"4 Entry Type",$C$4,"2 Item No.","@@"&amp;$F470)</t>
  </si>
  <si>
    <t>=-NL("Sum","32 Item Ledger Entry","12 Quantity","5 Source no.",$C471,"3 Posting Date",U$9,"4 Entry Type",$C$4,"2 Item No.","@@"&amp;$F471)</t>
  </si>
  <si>
    <t>=-NL("Sum","32 Item Ledger Entry","12 Quantity","5 Source no.",$C472,"3 Posting Date",U$9,"4 Entry Type",$C$4,"2 Item No.","@@"&amp;$F472)</t>
  </si>
  <si>
    <t>=-NL("Sum","32 Item Ledger Entry","12 Quantity","5 Source no.",$C473,"3 Posting Date",U$9,"4 Entry Type",$C$4,"2 Item No.","@@"&amp;$F473)</t>
  </si>
  <si>
    <t>=-NL("Sum","32 Item Ledger Entry","12 Quantity","5 Source no.",$C474,"3 Posting Date",U$9,"4 Entry Type",$C$4,"2 Item No.","@@"&amp;$F474)</t>
  </si>
  <si>
    <t>=-NL("Sum","32 Item Ledger Entry","12 Quantity","5 Source no.",$C475,"3 Posting Date",U$9,"4 Entry Type",$C$4,"2 Item No.","@@"&amp;$F475)</t>
  </si>
  <si>
    <t>=-NL("Sum","32 Item Ledger Entry","12 Quantity","5 Source no.",$C476,"3 Posting Date",U$9,"4 Entry Type",$C$4,"2 Item No.","@@"&amp;$F476)</t>
  </si>
  <si>
    <t>=-NL("Sum","32 Item Ledger Entry","12 Quantity","5 Source no.",$C477,"3 Posting Date",U$9,"4 Entry Type",$C$4,"2 Item No.","@@"&amp;$F477)</t>
  </si>
  <si>
    <t>=-NL("Sum","32 Item Ledger Entry","12 Quantity","5 Source no.",$C478,"3 Posting Date",U$9,"4 Entry Type",$C$4,"2 Item No.","@@"&amp;$F478)</t>
  </si>
  <si>
    <t>=-NL("Sum","32 Item Ledger Entry","12 Quantity","5 Source no.",$C479,"3 Posting Date",U$9,"4 Entry Type",$C$4,"2 Item No.","@@"&amp;$F479)</t>
  </si>
  <si>
    <t>=-NL("Sum","32 Item Ledger Entry","12 Quantity","5 Source no.",$C480,"3 Posting Date",U$9,"4 Entry Type",$C$4,"2 Item No.","@@"&amp;$F480)</t>
  </si>
  <si>
    <t>=-NL("Sum","32 Item Ledger Entry","12 Quantity","5 Source no.",$C481,"3 Posting Date",U$9,"4 Entry Type",$C$4,"2 Item No.","@@"&amp;$F481)</t>
  </si>
  <si>
    <t>=-NL("Sum","32 Item Ledger Entry","12 Quantity","5 Source no.",$C482,"3 Posting Date",U$9,"4 Entry Type",$C$4,"2 Item No.","@@"&amp;$F482)</t>
  </si>
  <si>
    <t>=-NL("Sum","32 Item Ledger Entry","12 Quantity","5 Source no.",$C483,"3 Posting Date",U$9,"4 Entry Type",$C$4,"2 Item No.","@@"&amp;$F483)</t>
  </si>
  <si>
    <t>=-NL("Sum","32 Item Ledger Entry","12 Quantity","5 Source no.",$C484,"3 Posting Date",U$9,"4 Entry Type",$C$4,"2 Item No.","@@"&amp;$F484)</t>
  </si>
  <si>
    <t>=-NL("Sum","32 Item Ledger Entry","12 Quantity","5 Source no.",$C485,"3 Posting Date",U$9,"4 Entry Type",$C$4,"2 Item No.","@@"&amp;$F485)</t>
  </si>
  <si>
    <t>=-NL("Sum","32 Item Ledger Entry","12 Quantity","5 Source no.",$C486,"3 Posting Date",U$9,"4 Entry Type",$C$4,"2 Item No.","@@"&amp;$F486)</t>
  </si>
  <si>
    <t>=-NL("Sum","32 Item Ledger Entry","12 Quantity","5 Source no.",$C487,"3 Posting Date",U$9,"4 Entry Type",$C$4,"2 Item No.","@@"&amp;$F487)</t>
  </si>
  <si>
    <t>=-NL("Sum","32 Item Ledger Entry","12 Quantity","5 Source no.",$C488,"3 Posting Date",U$9,"4 Entry Type",$C$4,"2 Item No.","@@"&amp;$F488)</t>
  </si>
  <si>
    <t>=-NL("Sum","32 Item Ledger Entry","12 Quantity","5 Source no.",$C489,"3 Posting Date",U$9,"4 Entry Type",$C$4,"2 Item No.","@@"&amp;$F489)</t>
  </si>
  <si>
    <t>=-NL("Sum","32 Item Ledger Entry","12 Quantity","5 Source no.",$C490,"3 Posting Date",U$9,"4 Entry Type",$C$4,"2 Item No.","@@"&amp;$F490)</t>
  </si>
  <si>
    <t>=-NL("Sum","32 Item Ledger Entry","12 Quantity","5 Source no.",$C491,"3 Posting Date",U$9,"4 Entry Type",$C$4,"2 Item No.","@@"&amp;$F491)</t>
  </si>
  <si>
    <t>=-NL("Sum","32 Item Ledger Entry","12 Quantity","5 Source no.",$C492,"3 Posting Date",U$9,"4 Entry Type",$C$4,"2 Item No.","@@"&amp;$F492)</t>
  </si>
  <si>
    <t>=-NL("Sum","32 Item Ledger Entry","12 Quantity","5 Source no.",$C463,"3 Posting Date",Z$9,"4 Entry Type",$C$4,"2 Item No.","@@"&amp;$F463)</t>
  </si>
  <si>
    <t>=-NL("Sum","32 Item Ledger Entry","12 Quantity","5 Source no.",$C464,"3 Posting Date",Z$9,"4 Entry Type",$C$4,"2 Item No.","@@"&amp;$F464)</t>
  </si>
  <si>
    <t>=-NL("Sum","32 Item Ledger Entry","12 Quantity","5 Source no.",$C465,"3 Posting Date",Z$9,"4 Entry Type",$C$4,"2 Item No.","@@"&amp;$F465)</t>
  </si>
  <si>
    <t>=-NL("Sum","32 Item Ledger Entry","12 Quantity","5 Source no.",$C466,"3 Posting Date",Z$9,"4 Entry Type",$C$4,"2 Item No.","@@"&amp;$F466)</t>
  </si>
  <si>
    <t>=-NL("Sum","32 Item Ledger Entry","12 Quantity","5 Source no.",$C467,"3 Posting Date",Z$9,"4 Entry Type",$C$4,"2 Item No.","@@"&amp;$F467)</t>
  </si>
  <si>
    <t>=-NL("Sum","32 Item Ledger Entry","12 Quantity","5 Source no.",$C468,"3 Posting Date",Z$9,"4 Entry Type",$C$4,"2 Item No.","@@"&amp;$F468)</t>
  </si>
  <si>
    <t>=-NL("Sum","32 Item Ledger Entry","12 Quantity","5 Source no.",$C469,"3 Posting Date",Z$9,"4 Entry Type",$C$4,"2 Item No.","@@"&amp;$F469)</t>
  </si>
  <si>
    <t>=-NL("Sum","32 Item Ledger Entry","12 Quantity","5 Source no.",$C470,"3 Posting Date",Z$9,"4 Entry Type",$C$4,"2 Item No.","@@"&amp;$F470)</t>
  </si>
  <si>
    <t>=-NL("Sum","32 Item Ledger Entry","12 Quantity","5 Source no.",$C471,"3 Posting Date",Z$9,"4 Entry Type",$C$4,"2 Item No.","@@"&amp;$F471)</t>
  </si>
  <si>
    <t>=-NL("Sum","32 Item Ledger Entry","12 Quantity","5 Source no.",$C472,"3 Posting Date",Z$9,"4 Entry Type",$C$4,"2 Item No.","@@"&amp;$F472)</t>
  </si>
  <si>
    <t>=-NL("Sum","32 Item Ledger Entry","12 Quantity","5 Source no.",$C473,"3 Posting Date",Z$9,"4 Entry Type",$C$4,"2 Item No.","@@"&amp;$F473)</t>
  </si>
  <si>
    <t>=-NL("Sum","32 Item Ledger Entry","12 Quantity","5 Source no.",$C474,"3 Posting Date",Z$9,"4 Entry Type",$C$4,"2 Item No.","@@"&amp;$F474)</t>
  </si>
  <si>
    <t>=-NL("Sum","32 Item Ledger Entry","12 Quantity","5 Source no.",$C475,"3 Posting Date",Z$9,"4 Entry Type",$C$4,"2 Item No.","@@"&amp;$F475)</t>
  </si>
  <si>
    <t>=-NL("Sum","32 Item Ledger Entry","12 Quantity","5 Source no.",$C476,"3 Posting Date",Z$9,"4 Entry Type",$C$4,"2 Item No.","@@"&amp;$F476)</t>
  </si>
  <si>
    <t>=-NL("Sum","32 Item Ledger Entry","12 Quantity","5 Source no.",$C477,"3 Posting Date",Z$9,"4 Entry Type",$C$4,"2 Item No.","@@"&amp;$F477)</t>
  </si>
  <si>
    <t>=-NL("Sum","32 Item Ledger Entry","12 Quantity","5 Source no.",$C478,"3 Posting Date",Z$9,"4 Entry Type",$C$4,"2 Item No.","@@"&amp;$F478)</t>
  </si>
  <si>
    <t>=-NL("Sum","32 Item Ledger Entry","12 Quantity","5 Source no.",$C479,"3 Posting Date",Z$9,"4 Entry Type",$C$4,"2 Item No.","@@"&amp;$F479)</t>
  </si>
  <si>
    <t>=-NL("Sum","32 Item Ledger Entry","12 Quantity","5 Source no.",$C480,"3 Posting Date",Z$9,"4 Entry Type",$C$4,"2 Item No.","@@"&amp;$F480)</t>
  </si>
  <si>
    <t>=-NL("Sum","32 Item Ledger Entry","12 Quantity","5 Source no.",$C481,"3 Posting Date",Z$9,"4 Entry Type",$C$4,"2 Item No.","@@"&amp;$F481)</t>
  </si>
  <si>
    <t>=-NL("Sum","32 Item Ledger Entry","12 Quantity","5 Source no.",$C482,"3 Posting Date",Z$9,"4 Entry Type",$C$4,"2 Item No.","@@"&amp;$F482)</t>
  </si>
  <si>
    <t>=-NL("Sum","32 Item Ledger Entry","12 Quantity","5 Source no.",$C483,"3 Posting Date",Z$9,"4 Entry Type",$C$4,"2 Item No.","@@"&amp;$F483)</t>
  </si>
  <si>
    <t>=-NL("Sum","32 Item Ledger Entry","12 Quantity","5 Source no.",$C484,"3 Posting Date",Z$9,"4 Entry Type",$C$4,"2 Item No.","@@"&amp;$F484)</t>
  </si>
  <si>
    <t>=-NL("Sum","32 Item Ledger Entry","12 Quantity","5 Source no.",$C485,"3 Posting Date",Z$9,"4 Entry Type",$C$4,"2 Item No.","@@"&amp;$F485)</t>
  </si>
  <si>
    <t>=-NL("Sum","32 Item Ledger Entry","12 Quantity","5 Source no.",$C486,"3 Posting Date",Z$9,"4 Entry Type",$C$4,"2 Item No.","@@"&amp;$F486)</t>
  </si>
  <si>
    <t>=-NL("Sum","32 Item Ledger Entry","12 Quantity","5 Source no.",$C487,"3 Posting Date",Z$9,"4 Entry Type",$C$4,"2 Item No.","@@"&amp;$F487)</t>
  </si>
  <si>
    <t>=-NL("Sum","32 Item Ledger Entry","12 Quantity","5 Source no.",$C488,"3 Posting Date",Z$9,"4 Entry Type",$C$4,"2 Item No.","@@"&amp;$F488)</t>
  </si>
  <si>
    <t>=-NL("Sum","32 Item Ledger Entry","12 Quantity","5 Source no.",$C489,"3 Posting Date",Z$9,"4 Entry Type",$C$4,"2 Item No.","@@"&amp;$F489)</t>
  </si>
  <si>
    <t>=-NL("Sum","32 Item Ledger Entry","12 Quantity","5 Source no.",$C490,"3 Posting Date",Z$9,"4 Entry Type",$C$4,"2 Item No.","@@"&amp;$F490)</t>
  </si>
  <si>
    <t>=-NL("Sum","32 Item Ledger Entry","12 Quantity","5 Source no.",$C491,"3 Posting Date",Z$9,"4 Entry Type",$C$4,"2 Item No.","@@"&amp;$F491)</t>
  </si>
  <si>
    <t>=-NL("Sum","32 Item Ledger Entry","12 Quantity","5 Source no.",$C492,"3 Posting Date",Z$9,"4 Entry Type",$C$4,"2 Item No.","@@"&amp;$F492)</t>
  </si>
  <si>
    <t>=NL(,"27 Item","3 Description","1 No.","@@"&amp;F441)</t>
  </si>
  <si>
    <t>=NL(,"27 Item","3 Description","1 No.","@@"&amp;F442)</t>
  </si>
  <si>
    <t>=NL(,"27 Item","3 Description","1 No.","@@"&amp;F443)</t>
  </si>
  <si>
    <t>=NL(,"27 Item","3 Description","1 No.","@@"&amp;F444)</t>
  </si>
  <si>
    <t>=NL(,"27 Item","3 Description","1 No.","@@"&amp;F445)</t>
  </si>
  <si>
    <t>=NL(,"27 Item","3 Description","1 No.","@@"&amp;F446)</t>
  </si>
  <si>
    <t>=NL(,"27 Item","3 Description","1 No.","@@"&amp;F447)</t>
  </si>
  <si>
    <t>=NL(,"27 Item","3 Description","1 No.","@@"&amp;F448)</t>
  </si>
  <si>
    <t>=NL(,"27 Item","3 Description","1 No.","@@"&amp;F449)</t>
  </si>
  <si>
    <t>=NL(,"27 Item","3 Description","1 No.","@@"&amp;F450)</t>
  </si>
  <si>
    <t>=NL(,"27 Item","3 Description","1 No.","@@"&amp;F451)</t>
  </si>
  <si>
    <t>=NL(,"27 Item","3 Description","1 No.","@@"&amp;F452)</t>
  </si>
  <si>
    <t>=NL(,"27 Item","3 Description","1 No.","@@"&amp;F453)</t>
  </si>
  <si>
    <t>=NL(,"27 Item","3 Description","1 No.","@@"&amp;F454)</t>
  </si>
  <si>
    <t>=NL(,"27 Item","3 Description","1 No.","@@"&amp;F455)</t>
  </si>
  <si>
    <t>=NL(,"27 Item","3 Description","1 No.","@@"&amp;F456)</t>
  </si>
  <si>
    <t>=NL(,"27 Item","3 Description","1 No.","@@"&amp;F457)</t>
  </si>
  <si>
    <t>=-NL("Sum","32 Item Ledger Entry","12 Quantity","5 Source no.",$C441,"3 Posting Date",J$9,"4 Entry Type",$C$4,"2 Item No.","@@"&amp;$F441)</t>
  </si>
  <si>
    <t>=-NL("Sum","32 Item Ledger Entry","12 Quantity","5 Source no.",$C442,"3 Posting Date",J$9,"4 Entry Type",$C$4,"2 Item No.","@@"&amp;$F442)</t>
  </si>
  <si>
    <t>=-NL("Sum","32 Item Ledger Entry","12 Quantity","5 Source no.",$C443,"3 Posting Date",J$9,"4 Entry Type",$C$4,"2 Item No.","@@"&amp;$F443)</t>
  </si>
  <si>
    <t>=-NL("Sum","32 Item Ledger Entry","12 Quantity","5 Source no.",$C444,"3 Posting Date",J$9,"4 Entry Type",$C$4,"2 Item No.","@@"&amp;$F444)</t>
  </si>
  <si>
    <t>=-NL("Sum","32 Item Ledger Entry","12 Quantity","5 Source no.",$C445,"3 Posting Date",J$9,"4 Entry Type",$C$4,"2 Item No.","@@"&amp;$F445)</t>
  </si>
  <si>
    <t>=-NL("Sum","32 Item Ledger Entry","12 Quantity","5 Source no.",$C446,"3 Posting Date",J$9,"4 Entry Type",$C$4,"2 Item No.","@@"&amp;$F446)</t>
  </si>
  <si>
    <t>=-NL("Sum","32 Item Ledger Entry","12 Quantity","5 Source no.",$C447,"3 Posting Date",J$9,"4 Entry Type",$C$4,"2 Item No.","@@"&amp;$F447)</t>
  </si>
  <si>
    <t>=-NL("Sum","32 Item Ledger Entry","12 Quantity","5 Source no.",$C448,"3 Posting Date",J$9,"4 Entry Type",$C$4,"2 Item No.","@@"&amp;$F448)</t>
  </si>
  <si>
    <t>=-NL("Sum","32 Item Ledger Entry","12 Quantity","5 Source no.",$C449,"3 Posting Date",J$9,"4 Entry Type",$C$4,"2 Item No.","@@"&amp;$F449)</t>
  </si>
  <si>
    <t>=-NL("Sum","32 Item Ledger Entry","12 Quantity","5 Source no.",$C450,"3 Posting Date",J$9,"4 Entry Type",$C$4,"2 Item No.","@@"&amp;$F450)</t>
  </si>
  <si>
    <t>=-NL("Sum","32 Item Ledger Entry","12 Quantity","5 Source no.",$C451,"3 Posting Date",J$9,"4 Entry Type",$C$4,"2 Item No.","@@"&amp;$F451)</t>
  </si>
  <si>
    <t>=-NL("Sum","32 Item Ledger Entry","12 Quantity","5 Source no.",$C452,"3 Posting Date",J$9,"4 Entry Type",$C$4,"2 Item No.","@@"&amp;$F452)</t>
  </si>
  <si>
    <t>=-NL("Sum","32 Item Ledger Entry","12 Quantity","5 Source no.",$C453,"3 Posting Date",J$9,"4 Entry Type",$C$4,"2 Item No.","@@"&amp;$F453)</t>
  </si>
  <si>
    <t>=-NL("Sum","32 Item Ledger Entry","12 Quantity","5 Source no.",$C454,"3 Posting Date",J$9,"4 Entry Type",$C$4,"2 Item No.","@@"&amp;$F454)</t>
  </si>
  <si>
    <t>=-NL("Sum","32 Item Ledger Entry","12 Quantity","5 Source no.",$C455,"3 Posting Date",J$9,"4 Entry Type",$C$4,"2 Item No.","@@"&amp;$F455)</t>
  </si>
  <si>
    <t>=-NL("Sum","32 Item Ledger Entry","12 Quantity","5 Source no.",$C456,"3 Posting Date",J$9,"4 Entry Type",$C$4,"2 Item No.","@@"&amp;$F456)</t>
  </si>
  <si>
    <t>=-NL("Sum","32 Item Ledger Entry","12 Quantity","5 Source no.",$C457,"3 Posting Date",J$9,"4 Entry Type",$C$4,"2 Item No.","@@"&amp;$F457)</t>
  </si>
  <si>
    <t>=-NL("Sum","32 Item Ledger Entry","12 Quantity","5 Source no.",$C441,"3 Posting Date",O$9,"4 Entry Type",$C$4,"2 Item No.","@@"&amp;$F441)</t>
  </si>
  <si>
    <t>=-NL("Sum","32 Item Ledger Entry","12 Quantity","5 Source no.",$C442,"3 Posting Date",O$9,"4 Entry Type",$C$4,"2 Item No.","@@"&amp;$F442)</t>
  </si>
  <si>
    <t>=-NL("Sum","32 Item Ledger Entry","12 Quantity","5 Source no.",$C443,"3 Posting Date",O$9,"4 Entry Type",$C$4,"2 Item No.","@@"&amp;$F443)</t>
  </si>
  <si>
    <t>=-NL("Sum","32 Item Ledger Entry","12 Quantity","5 Source no.",$C444,"3 Posting Date",O$9,"4 Entry Type",$C$4,"2 Item No.","@@"&amp;$F444)</t>
  </si>
  <si>
    <t>=-NL("Sum","32 Item Ledger Entry","12 Quantity","5 Source no.",$C445,"3 Posting Date",O$9,"4 Entry Type",$C$4,"2 Item No.","@@"&amp;$F445)</t>
  </si>
  <si>
    <t>=-NL("Sum","32 Item Ledger Entry","12 Quantity","5 Source no.",$C446,"3 Posting Date",O$9,"4 Entry Type",$C$4,"2 Item No.","@@"&amp;$F446)</t>
  </si>
  <si>
    <t>=-NL("Sum","32 Item Ledger Entry","12 Quantity","5 Source no.",$C447,"3 Posting Date",O$9,"4 Entry Type",$C$4,"2 Item No.","@@"&amp;$F447)</t>
  </si>
  <si>
    <t>=-NL("Sum","32 Item Ledger Entry","12 Quantity","5 Source no.",$C448,"3 Posting Date",O$9,"4 Entry Type",$C$4,"2 Item No.","@@"&amp;$F448)</t>
  </si>
  <si>
    <t>=-NL("Sum","32 Item Ledger Entry","12 Quantity","5 Source no.",$C449,"3 Posting Date",O$9,"4 Entry Type",$C$4,"2 Item No.","@@"&amp;$F449)</t>
  </si>
  <si>
    <t>=-NL("Sum","32 Item Ledger Entry","12 Quantity","5 Source no.",$C450,"3 Posting Date",O$9,"4 Entry Type",$C$4,"2 Item No.","@@"&amp;$F450)</t>
  </si>
  <si>
    <t>=-NL("Sum","32 Item Ledger Entry","12 Quantity","5 Source no.",$C451,"3 Posting Date",O$9,"4 Entry Type",$C$4,"2 Item No.","@@"&amp;$F451)</t>
  </si>
  <si>
    <t>=-NL("Sum","32 Item Ledger Entry","12 Quantity","5 Source no.",$C452,"3 Posting Date",O$9,"4 Entry Type",$C$4,"2 Item No.","@@"&amp;$F452)</t>
  </si>
  <si>
    <t>=-NL("Sum","32 Item Ledger Entry","12 Quantity","5 Source no.",$C453,"3 Posting Date",O$9,"4 Entry Type",$C$4,"2 Item No.","@@"&amp;$F453)</t>
  </si>
  <si>
    <t>=-NL("Sum","32 Item Ledger Entry","12 Quantity","5 Source no.",$C454,"3 Posting Date",O$9,"4 Entry Type",$C$4,"2 Item No.","@@"&amp;$F454)</t>
  </si>
  <si>
    <t>=-NL("Sum","32 Item Ledger Entry","12 Quantity","5 Source no.",$C455,"3 Posting Date",O$9,"4 Entry Type",$C$4,"2 Item No.","@@"&amp;$F455)</t>
  </si>
  <si>
    <t>=-NL("Sum","32 Item Ledger Entry","12 Quantity","5 Source no.",$C456,"3 Posting Date",O$9,"4 Entry Type",$C$4,"2 Item No.","@@"&amp;$F456)</t>
  </si>
  <si>
    <t>=-NL("Sum","32 Item Ledger Entry","12 Quantity","5 Source no.",$C457,"3 Posting Date",O$9,"4 Entry Type",$C$4,"2 Item No.","@@"&amp;$F457)</t>
  </si>
  <si>
    <t>=-NL("Sum","32 Item Ledger Entry","12 Quantity","5 Source no.",$C441,"3 Posting Date",U$9,"4 Entry Type",$C$4,"2 Item No.","@@"&amp;$F441)</t>
  </si>
  <si>
    <t>=-NL("Sum","32 Item Ledger Entry","12 Quantity","5 Source no.",$C442,"3 Posting Date",U$9,"4 Entry Type",$C$4,"2 Item No.","@@"&amp;$F442)</t>
  </si>
  <si>
    <t>=-NL("Sum","32 Item Ledger Entry","12 Quantity","5 Source no.",$C443,"3 Posting Date",U$9,"4 Entry Type",$C$4,"2 Item No.","@@"&amp;$F443)</t>
  </si>
  <si>
    <t>=-NL("Sum","32 Item Ledger Entry","12 Quantity","5 Source no.",$C444,"3 Posting Date",U$9,"4 Entry Type",$C$4,"2 Item No.","@@"&amp;$F444)</t>
  </si>
  <si>
    <t>=-NL("Sum","32 Item Ledger Entry","12 Quantity","5 Source no.",$C445,"3 Posting Date",U$9,"4 Entry Type",$C$4,"2 Item No.","@@"&amp;$F445)</t>
  </si>
  <si>
    <t>=-NL("Sum","32 Item Ledger Entry","12 Quantity","5 Source no.",$C446,"3 Posting Date",U$9,"4 Entry Type",$C$4,"2 Item No.","@@"&amp;$F446)</t>
  </si>
  <si>
    <t>=-NL("Sum","32 Item Ledger Entry","12 Quantity","5 Source no.",$C447,"3 Posting Date",U$9,"4 Entry Type",$C$4,"2 Item No.","@@"&amp;$F447)</t>
  </si>
  <si>
    <t>=-NL("Sum","32 Item Ledger Entry","12 Quantity","5 Source no.",$C448,"3 Posting Date",U$9,"4 Entry Type",$C$4,"2 Item No.","@@"&amp;$F448)</t>
  </si>
  <si>
    <t>=-NL("Sum","32 Item Ledger Entry","12 Quantity","5 Source no.",$C449,"3 Posting Date",U$9,"4 Entry Type",$C$4,"2 Item No.","@@"&amp;$F449)</t>
  </si>
  <si>
    <t>=-NL("Sum","32 Item Ledger Entry","12 Quantity","5 Source no.",$C450,"3 Posting Date",U$9,"4 Entry Type",$C$4,"2 Item No.","@@"&amp;$F450)</t>
  </si>
  <si>
    <t>=-NL("Sum","32 Item Ledger Entry","12 Quantity","5 Source no.",$C451,"3 Posting Date",U$9,"4 Entry Type",$C$4,"2 Item No.","@@"&amp;$F451)</t>
  </si>
  <si>
    <t>=-NL("Sum","32 Item Ledger Entry","12 Quantity","5 Source no.",$C452,"3 Posting Date",U$9,"4 Entry Type",$C$4,"2 Item No.","@@"&amp;$F452)</t>
  </si>
  <si>
    <t>=-NL("Sum","32 Item Ledger Entry","12 Quantity","5 Source no.",$C453,"3 Posting Date",U$9,"4 Entry Type",$C$4,"2 Item No.","@@"&amp;$F453)</t>
  </si>
  <si>
    <t>=-NL("Sum","32 Item Ledger Entry","12 Quantity","5 Source no.",$C454,"3 Posting Date",U$9,"4 Entry Type",$C$4,"2 Item No.","@@"&amp;$F454)</t>
  </si>
  <si>
    <t>=-NL("Sum","32 Item Ledger Entry","12 Quantity","5 Source no.",$C455,"3 Posting Date",U$9,"4 Entry Type",$C$4,"2 Item No.","@@"&amp;$F455)</t>
  </si>
  <si>
    <t>=-NL("Sum","32 Item Ledger Entry","12 Quantity","5 Source no.",$C456,"3 Posting Date",U$9,"4 Entry Type",$C$4,"2 Item No.","@@"&amp;$F456)</t>
  </si>
  <si>
    <t>=-NL("Sum","32 Item Ledger Entry","12 Quantity","5 Source no.",$C457,"3 Posting Date",U$9,"4 Entry Type",$C$4,"2 Item No.","@@"&amp;$F457)</t>
  </si>
  <si>
    <t>=-NL("Sum","32 Item Ledger Entry","12 Quantity","5 Source no.",$C441,"3 Posting Date",Z$9,"4 Entry Type",$C$4,"2 Item No.","@@"&amp;$F441)</t>
  </si>
  <si>
    <t>=-NL("Sum","32 Item Ledger Entry","12 Quantity","5 Source no.",$C442,"3 Posting Date",Z$9,"4 Entry Type",$C$4,"2 Item No.","@@"&amp;$F442)</t>
  </si>
  <si>
    <t>=-NL("Sum","32 Item Ledger Entry","12 Quantity","5 Source no.",$C443,"3 Posting Date",Z$9,"4 Entry Type",$C$4,"2 Item No.","@@"&amp;$F443)</t>
  </si>
  <si>
    <t>=-NL("Sum","32 Item Ledger Entry","12 Quantity","5 Source no.",$C444,"3 Posting Date",Z$9,"4 Entry Type",$C$4,"2 Item No.","@@"&amp;$F444)</t>
  </si>
  <si>
    <t>=-NL("Sum","32 Item Ledger Entry","12 Quantity","5 Source no.",$C445,"3 Posting Date",Z$9,"4 Entry Type",$C$4,"2 Item No.","@@"&amp;$F445)</t>
  </si>
  <si>
    <t>=-NL("Sum","32 Item Ledger Entry","12 Quantity","5 Source no.",$C446,"3 Posting Date",Z$9,"4 Entry Type",$C$4,"2 Item No.","@@"&amp;$F446)</t>
  </si>
  <si>
    <t>=-NL("Sum","32 Item Ledger Entry","12 Quantity","5 Source no.",$C447,"3 Posting Date",Z$9,"4 Entry Type",$C$4,"2 Item No.","@@"&amp;$F447)</t>
  </si>
  <si>
    <t>=-NL("Sum","32 Item Ledger Entry","12 Quantity","5 Source no.",$C448,"3 Posting Date",Z$9,"4 Entry Type",$C$4,"2 Item No.","@@"&amp;$F448)</t>
  </si>
  <si>
    <t>=-NL("Sum","32 Item Ledger Entry","12 Quantity","5 Source no.",$C449,"3 Posting Date",Z$9,"4 Entry Type",$C$4,"2 Item No.","@@"&amp;$F449)</t>
  </si>
  <si>
    <t>=-NL("Sum","32 Item Ledger Entry","12 Quantity","5 Source no.",$C450,"3 Posting Date",Z$9,"4 Entry Type",$C$4,"2 Item No.","@@"&amp;$F450)</t>
  </si>
  <si>
    <t>=-NL("Sum","32 Item Ledger Entry","12 Quantity","5 Source no.",$C451,"3 Posting Date",Z$9,"4 Entry Type",$C$4,"2 Item No.","@@"&amp;$F451)</t>
  </si>
  <si>
    <t>=-NL("Sum","32 Item Ledger Entry","12 Quantity","5 Source no.",$C452,"3 Posting Date",Z$9,"4 Entry Type",$C$4,"2 Item No.","@@"&amp;$F452)</t>
  </si>
  <si>
    <t>=-NL("Sum","32 Item Ledger Entry","12 Quantity","5 Source no.",$C453,"3 Posting Date",Z$9,"4 Entry Type",$C$4,"2 Item No.","@@"&amp;$F453)</t>
  </si>
  <si>
    <t>=-NL("Sum","32 Item Ledger Entry","12 Quantity","5 Source no.",$C454,"3 Posting Date",Z$9,"4 Entry Type",$C$4,"2 Item No.","@@"&amp;$F454)</t>
  </si>
  <si>
    <t>=-NL("Sum","32 Item Ledger Entry","12 Quantity","5 Source no.",$C455,"3 Posting Date",Z$9,"4 Entry Type",$C$4,"2 Item No.","@@"&amp;$F455)</t>
  </si>
  <si>
    <t>=-NL("Sum","32 Item Ledger Entry","12 Quantity","5 Source no.",$C456,"3 Posting Date",Z$9,"4 Entry Type",$C$4,"2 Item No.","@@"&amp;$F456)</t>
  </si>
  <si>
    <t>=-NL("Sum","32 Item Ledger Entry","12 Quantity","5 Source no.",$C457,"3 Posting Date",Z$9,"4 Entry Type",$C$4,"2 Item No.","@@"&amp;$F457)</t>
  </si>
  <si>
    <t>=NL(,"27 Item","3 Description","1 No.","@@"&amp;F393)</t>
  </si>
  <si>
    <t>=NL(,"27 Item","3 Description","1 No.","@@"&amp;F394)</t>
  </si>
  <si>
    <t>=NL(,"27 Item","3 Description","1 No.","@@"&amp;F395)</t>
  </si>
  <si>
    <t>=NL(,"27 Item","3 Description","1 No.","@@"&amp;F396)</t>
  </si>
  <si>
    <t>=NL(,"27 Item","3 Description","1 No.","@@"&amp;F397)</t>
  </si>
  <si>
    <t>=NL(,"27 Item","3 Description","1 No.","@@"&amp;F398)</t>
  </si>
  <si>
    <t>=NL(,"27 Item","3 Description","1 No.","@@"&amp;F399)</t>
  </si>
  <si>
    <t>=NL(,"27 Item","3 Description","1 No.","@@"&amp;F400)</t>
  </si>
  <si>
    <t>=NL(,"27 Item","3 Description","1 No.","@@"&amp;F401)</t>
  </si>
  <si>
    <t>=NL(,"27 Item","3 Description","1 No.","@@"&amp;F402)</t>
  </si>
  <si>
    <t>=NL(,"27 Item","3 Description","1 No.","@@"&amp;F403)</t>
  </si>
  <si>
    <t>=NL(,"27 Item","3 Description","1 No.","@@"&amp;F404)</t>
  </si>
  <si>
    <t>=NL(,"27 Item","3 Description","1 No.","@@"&amp;F405)</t>
  </si>
  <si>
    <t>=NL(,"27 Item","3 Description","1 No.","@@"&amp;F406)</t>
  </si>
  <si>
    <t>=NL(,"27 Item","3 Description","1 No.","@@"&amp;F407)</t>
  </si>
  <si>
    <t>=NL(,"27 Item","3 Description","1 No.","@@"&amp;F408)</t>
  </si>
  <si>
    <t>=NL(,"27 Item","3 Description","1 No.","@@"&amp;F409)</t>
  </si>
  <si>
    <t>=NL(,"27 Item","3 Description","1 No.","@@"&amp;F410)</t>
  </si>
  <si>
    <t>=NL(,"27 Item","3 Description","1 No.","@@"&amp;F411)</t>
  </si>
  <si>
    <t>=NL(,"27 Item","3 Description","1 No.","@@"&amp;F412)</t>
  </si>
  <si>
    <t>=NL(,"27 Item","3 Description","1 No.","@@"&amp;F413)</t>
  </si>
  <si>
    <t>=NL(,"27 Item","3 Description","1 No.","@@"&amp;F414)</t>
  </si>
  <si>
    <t>=NL(,"27 Item","3 Description","1 No.","@@"&amp;F415)</t>
  </si>
  <si>
    <t>=NL(,"27 Item","3 Description","1 No.","@@"&amp;F416)</t>
  </si>
  <si>
    <t>=NL(,"27 Item","3 Description","1 No.","@@"&amp;F417)</t>
  </si>
  <si>
    <t>=NL(,"27 Item","3 Description","1 No.","@@"&amp;F418)</t>
  </si>
  <si>
    <t>=NL(,"27 Item","3 Description","1 No.","@@"&amp;F419)</t>
  </si>
  <si>
    <t>=NL(,"27 Item","3 Description","1 No.","@@"&amp;F420)</t>
  </si>
  <si>
    <t>=NL(,"27 Item","3 Description","1 No.","@@"&amp;F421)</t>
  </si>
  <si>
    <t>=NL(,"27 Item","3 Description","1 No.","@@"&amp;F422)</t>
  </si>
  <si>
    <t>=NL(,"27 Item","3 Description","1 No.","@@"&amp;F423)</t>
  </si>
  <si>
    <t>=NL(,"27 Item","3 Description","1 No.","@@"&amp;F424)</t>
  </si>
  <si>
    <t>=NL(,"27 Item","3 Description","1 No.","@@"&amp;F425)</t>
  </si>
  <si>
    <t>=NL(,"27 Item","3 Description","1 No.","@@"&amp;F426)</t>
  </si>
  <si>
    <t>=NL(,"27 Item","3 Description","1 No.","@@"&amp;F427)</t>
  </si>
  <si>
    <t>=NL(,"27 Item","3 Description","1 No.","@@"&amp;F428)</t>
  </si>
  <si>
    <t>=NL(,"27 Item","3 Description","1 No.","@@"&amp;F429)</t>
  </si>
  <si>
    <t>=NL(,"27 Item","3 Description","1 No.","@@"&amp;F430)</t>
  </si>
  <si>
    <t>=NL(,"27 Item","3 Description","1 No.","@@"&amp;F431)</t>
  </si>
  <si>
    <t>=NL(,"27 Item","3 Description","1 No.","@@"&amp;F432)</t>
  </si>
  <si>
    <t>=NL(,"27 Item","3 Description","1 No.","@@"&amp;F433)</t>
  </si>
  <si>
    <t>=NL(,"27 Item","3 Description","1 No.","@@"&amp;F434)</t>
  </si>
  <si>
    <t>=NL(,"27 Item","3 Description","1 No.","@@"&amp;F435)</t>
  </si>
  <si>
    <t>=-NL("Sum","32 Item Ledger Entry","12 Quantity","5 Source no.",$C393,"3 Posting Date",J$9,"4 Entry Type",$C$4,"2 Item No.","@@"&amp;$F393)</t>
  </si>
  <si>
    <t>=-NL("Sum","32 Item Ledger Entry","12 Quantity","5 Source no.",$C394,"3 Posting Date",J$9,"4 Entry Type",$C$4,"2 Item No.","@@"&amp;$F394)</t>
  </si>
  <si>
    <t>=-NL("Sum","32 Item Ledger Entry","12 Quantity","5 Source no.",$C395,"3 Posting Date",J$9,"4 Entry Type",$C$4,"2 Item No.","@@"&amp;$F395)</t>
  </si>
  <si>
    <t>=-NL("Sum","32 Item Ledger Entry","12 Quantity","5 Source no.",$C396,"3 Posting Date",J$9,"4 Entry Type",$C$4,"2 Item No.","@@"&amp;$F396)</t>
  </si>
  <si>
    <t>=-NL("Sum","32 Item Ledger Entry","12 Quantity","5 Source no.",$C397,"3 Posting Date",J$9,"4 Entry Type",$C$4,"2 Item No.","@@"&amp;$F397)</t>
  </si>
  <si>
    <t>=-NL("Sum","32 Item Ledger Entry","12 Quantity","5 Source no.",$C398,"3 Posting Date",J$9,"4 Entry Type",$C$4,"2 Item No.","@@"&amp;$F398)</t>
  </si>
  <si>
    <t>=-NL("Sum","32 Item Ledger Entry","12 Quantity","5 Source no.",$C399,"3 Posting Date",J$9,"4 Entry Type",$C$4,"2 Item No.","@@"&amp;$F399)</t>
  </si>
  <si>
    <t>=-NL("Sum","32 Item Ledger Entry","12 Quantity","5 Source no.",$C400,"3 Posting Date",J$9,"4 Entry Type",$C$4,"2 Item No.","@@"&amp;$F400)</t>
  </si>
  <si>
    <t>=-NL("Sum","32 Item Ledger Entry","12 Quantity","5 Source no.",$C401,"3 Posting Date",J$9,"4 Entry Type",$C$4,"2 Item No.","@@"&amp;$F401)</t>
  </si>
  <si>
    <t>=-NL("Sum","32 Item Ledger Entry","12 Quantity","5 Source no.",$C402,"3 Posting Date",J$9,"4 Entry Type",$C$4,"2 Item No.","@@"&amp;$F402)</t>
  </si>
  <si>
    <t>=-NL("Sum","32 Item Ledger Entry","12 Quantity","5 Source no.",$C403,"3 Posting Date",J$9,"4 Entry Type",$C$4,"2 Item No.","@@"&amp;$F403)</t>
  </si>
  <si>
    <t>=-NL("Sum","32 Item Ledger Entry","12 Quantity","5 Source no.",$C404,"3 Posting Date",J$9,"4 Entry Type",$C$4,"2 Item No.","@@"&amp;$F404)</t>
  </si>
  <si>
    <t>=-NL("Sum","32 Item Ledger Entry","12 Quantity","5 Source no.",$C405,"3 Posting Date",J$9,"4 Entry Type",$C$4,"2 Item No.","@@"&amp;$F405)</t>
  </si>
  <si>
    <t>=-NL("Sum","32 Item Ledger Entry","12 Quantity","5 Source no.",$C406,"3 Posting Date",J$9,"4 Entry Type",$C$4,"2 Item No.","@@"&amp;$F406)</t>
  </si>
  <si>
    <t>=-NL("Sum","32 Item Ledger Entry","12 Quantity","5 Source no.",$C407,"3 Posting Date",J$9,"4 Entry Type",$C$4,"2 Item No.","@@"&amp;$F407)</t>
  </si>
  <si>
    <t>=-NL("Sum","32 Item Ledger Entry","12 Quantity","5 Source no.",$C408,"3 Posting Date",J$9,"4 Entry Type",$C$4,"2 Item No.","@@"&amp;$F408)</t>
  </si>
  <si>
    <t>=-NL("Sum","32 Item Ledger Entry","12 Quantity","5 Source no.",$C409,"3 Posting Date",J$9,"4 Entry Type",$C$4,"2 Item No.","@@"&amp;$F409)</t>
  </si>
  <si>
    <t>=-NL("Sum","32 Item Ledger Entry","12 Quantity","5 Source no.",$C410,"3 Posting Date",J$9,"4 Entry Type",$C$4,"2 Item No.","@@"&amp;$F410)</t>
  </si>
  <si>
    <t>=-NL("Sum","32 Item Ledger Entry","12 Quantity","5 Source no.",$C411,"3 Posting Date",J$9,"4 Entry Type",$C$4,"2 Item No.","@@"&amp;$F411)</t>
  </si>
  <si>
    <t>=-NL("Sum","32 Item Ledger Entry","12 Quantity","5 Source no.",$C412,"3 Posting Date",J$9,"4 Entry Type",$C$4,"2 Item No.","@@"&amp;$F412)</t>
  </si>
  <si>
    <t>=-NL("Sum","32 Item Ledger Entry","12 Quantity","5 Source no.",$C413,"3 Posting Date",J$9,"4 Entry Type",$C$4,"2 Item No.","@@"&amp;$F413)</t>
  </si>
  <si>
    <t>=-NL("Sum","32 Item Ledger Entry","12 Quantity","5 Source no.",$C414,"3 Posting Date",J$9,"4 Entry Type",$C$4,"2 Item No.","@@"&amp;$F414)</t>
  </si>
  <si>
    <t>=-NL("Sum","32 Item Ledger Entry","12 Quantity","5 Source no.",$C415,"3 Posting Date",J$9,"4 Entry Type",$C$4,"2 Item No.","@@"&amp;$F415)</t>
  </si>
  <si>
    <t>=-NL("Sum","32 Item Ledger Entry","12 Quantity","5 Source no.",$C416,"3 Posting Date",J$9,"4 Entry Type",$C$4,"2 Item No.","@@"&amp;$F416)</t>
  </si>
  <si>
    <t>=-NL("Sum","32 Item Ledger Entry","12 Quantity","5 Source no.",$C417,"3 Posting Date",J$9,"4 Entry Type",$C$4,"2 Item No.","@@"&amp;$F417)</t>
  </si>
  <si>
    <t>=-NL("Sum","32 Item Ledger Entry","12 Quantity","5 Source no.",$C418,"3 Posting Date",J$9,"4 Entry Type",$C$4,"2 Item No.","@@"&amp;$F418)</t>
  </si>
  <si>
    <t>=-NL("Sum","32 Item Ledger Entry","12 Quantity","5 Source no.",$C419,"3 Posting Date",J$9,"4 Entry Type",$C$4,"2 Item No.","@@"&amp;$F419)</t>
  </si>
  <si>
    <t>=-NL("Sum","32 Item Ledger Entry","12 Quantity","5 Source no.",$C420,"3 Posting Date",J$9,"4 Entry Type",$C$4,"2 Item No.","@@"&amp;$F420)</t>
  </si>
  <si>
    <t>=-NL("Sum","32 Item Ledger Entry","12 Quantity","5 Source no.",$C421,"3 Posting Date",J$9,"4 Entry Type",$C$4,"2 Item No.","@@"&amp;$F421)</t>
  </si>
  <si>
    <t>=-NL("Sum","32 Item Ledger Entry","12 Quantity","5 Source no.",$C422,"3 Posting Date",J$9,"4 Entry Type",$C$4,"2 Item No.","@@"&amp;$F422)</t>
  </si>
  <si>
    <t>=-NL("Sum","32 Item Ledger Entry","12 Quantity","5 Source no.",$C423,"3 Posting Date",J$9,"4 Entry Type",$C$4,"2 Item No.","@@"&amp;$F423)</t>
  </si>
  <si>
    <t>=-NL("Sum","32 Item Ledger Entry","12 Quantity","5 Source no.",$C424,"3 Posting Date",J$9,"4 Entry Type",$C$4,"2 Item No.","@@"&amp;$F424)</t>
  </si>
  <si>
    <t>=-NL("Sum","32 Item Ledger Entry","12 Quantity","5 Source no.",$C425,"3 Posting Date",J$9,"4 Entry Type",$C$4,"2 Item No.","@@"&amp;$F425)</t>
  </si>
  <si>
    <t>=-NL("Sum","32 Item Ledger Entry","12 Quantity","5 Source no.",$C426,"3 Posting Date",J$9,"4 Entry Type",$C$4,"2 Item No.","@@"&amp;$F426)</t>
  </si>
  <si>
    <t>=-NL("Sum","32 Item Ledger Entry","12 Quantity","5 Source no.",$C427,"3 Posting Date",J$9,"4 Entry Type",$C$4,"2 Item No.","@@"&amp;$F427)</t>
  </si>
  <si>
    <t>=-NL("Sum","32 Item Ledger Entry","12 Quantity","5 Source no.",$C428,"3 Posting Date",J$9,"4 Entry Type",$C$4,"2 Item No.","@@"&amp;$F428)</t>
  </si>
  <si>
    <t>=-NL("Sum","32 Item Ledger Entry","12 Quantity","5 Source no.",$C429,"3 Posting Date",J$9,"4 Entry Type",$C$4,"2 Item No.","@@"&amp;$F429)</t>
  </si>
  <si>
    <t>=-NL("Sum","32 Item Ledger Entry","12 Quantity","5 Source no.",$C430,"3 Posting Date",J$9,"4 Entry Type",$C$4,"2 Item No.","@@"&amp;$F430)</t>
  </si>
  <si>
    <t>=-NL("Sum","32 Item Ledger Entry","12 Quantity","5 Source no.",$C431,"3 Posting Date",J$9,"4 Entry Type",$C$4,"2 Item No.","@@"&amp;$F431)</t>
  </si>
  <si>
    <t>=-NL("Sum","32 Item Ledger Entry","12 Quantity","5 Source no.",$C432,"3 Posting Date",J$9,"4 Entry Type",$C$4,"2 Item No.","@@"&amp;$F432)</t>
  </si>
  <si>
    <t>=-NL("Sum","32 Item Ledger Entry","12 Quantity","5 Source no.",$C433,"3 Posting Date",J$9,"4 Entry Type",$C$4,"2 Item No.","@@"&amp;$F433)</t>
  </si>
  <si>
    <t>=-NL("Sum","32 Item Ledger Entry","12 Quantity","5 Source no.",$C434,"3 Posting Date",J$9,"4 Entry Type",$C$4,"2 Item No.","@@"&amp;$F434)</t>
  </si>
  <si>
    <t>=-NL("Sum","32 Item Ledger Entry","12 Quantity","5 Source no.",$C435,"3 Posting Date",J$9,"4 Entry Type",$C$4,"2 Item No.","@@"&amp;$F435)</t>
  </si>
  <si>
    <t>=-NL("Sum","32 Item Ledger Entry","12 Quantity","5 Source no.",$C393,"3 Posting Date",O$9,"4 Entry Type",$C$4,"2 Item No.","@@"&amp;$F393)</t>
  </si>
  <si>
    <t>=-NL("Sum","32 Item Ledger Entry","12 Quantity","5 Source no.",$C394,"3 Posting Date",O$9,"4 Entry Type",$C$4,"2 Item No.","@@"&amp;$F394)</t>
  </si>
  <si>
    <t>=-NL("Sum","32 Item Ledger Entry","12 Quantity","5 Source no.",$C395,"3 Posting Date",O$9,"4 Entry Type",$C$4,"2 Item No.","@@"&amp;$F395)</t>
  </si>
  <si>
    <t>=-NL("Sum","32 Item Ledger Entry","12 Quantity","5 Source no.",$C396,"3 Posting Date",O$9,"4 Entry Type",$C$4,"2 Item No.","@@"&amp;$F396)</t>
  </si>
  <si>
    <t>=-NL("Sum","32 Item Ledger Entry","12 Quantity","5 Source no.",$C397,"3 Posting Date",O$9,"4 Entry Type",$C$4,"2 Item No.","@@"&amp;$F397)</t>
  </si>
  <si>
    <t>=-NL("Sum","32 Item Ledger Entry","12 Quantity","5 Source no.",$C398,"3 Posting Date",O$9,"4 Entry Type",$C$4,"2 Item No.","@@"&amp;$F398)</t>
  </si>
  <si>
    <t>=-NL("Sum","32 Item Ledger Entry","12 Quantity","5 Source no.",$C399,"3 Posting Date",O$9,"4 Entry Type",$C$4,"2 Item No.","@@"&amp;$F399)</t>
  </si>
  <si>
    <t>=-NL("Sum","32 Item Ledger Entry","12 Quantity","5 Source no.",$C400,"3 Posting Date",O$9,"4 Entry Type",$C$4,"2 Item No.","@@"&amp;$F400)</t>
  </si>
  <si>
    <t>=-NL("Sum","32 Item Ledger Entry","12 Quantity","5 Source no.",$C401,"3 Posting Date",O$9,"4 Entry Type",$C$4,"2 Item No.","@@"&amp;$F401)</t>
  </si>
  <si>
    <t>=-NL("Sum","32 Item Ledger Entry","12 Quantity","5 Source no.",$C402,"3 Posting Date",O$9,"4 Entry Type",$C$4,"2 Item No.","@@"&amp;$F402)</t>
  </si>
  <si>
    <t>=-NL("Sum","32 Item Ledger Entry","12 Quantity","5 Source no.",$C403,"3 Posting Date",O$9,"4 Entry Type",$C$4,"2 Item No.","@@"&amp;$F403)</t>
  </si>
  <si>
    <t>=-NL("Sum","32 Item Ledger Entry","12 Quantity","5 Source no.",$C404,"3 Posting Date",O$9,"4 Entry Type",$C$4,"2 Item No.","@@"&amp;$F404)</t>
  </si>
  <si>
    <t>=-NL("Sum","32 Item Ledger Entry","12 Quantity","5 Source no.",$C405,"3 Posting Date",O$9,"4 Entry Type",$C$4,"2 Item No.","@@"&amp;$F405)</t>
  </si>
  <si>
    <t>=-NL("Sum","32 Item Ledger Entry","12 Quantity","5 Source no.",$C406,"3 Posting Date",O$9,"4 Entry Type",$C$4,"2 Item No.","@@"&amp;$F406)</t>
  </si>
  <si>
    <t>=-NL("Sum","32 Item Ledger Entry","12 Quantity","5 Source no.",$C407,"3 Posting Date",O$9,"4 Entry Type",$C$4,"2 Item No.","@@"&amp;$F407)</t>
  </si>
  <si>
    <t>=-NL("Sum","32 Item Ledger Entry","12 Quantity","5 Source no.",$C408,"3 Posting Date",O$9,"4 Entry Type",$C$4,"2 Item No.","@@"&amp;$F408)</t>
  </si>
  <si>
    <t>=-NL("Sum","32 Item Ledger Entry","12 Quantity","5 Source no.",$C409,"3 Posting Date",O$9,"4 Entry Type",$C$4,"2 Item No.","@@"&amp;$F409)</t>
  </si>
  <si>
    <t>=-NL("Sum","32 Item Ledger Entry","12 Quantity","5 Source no.",$C410,"3 Posting Date",O$9,"4 Entry Type",$C$4,"2 Item No.","@@"&amp;$F410)</t>
  </si>
  <si>
    <t>=-NL("Sum","32 Item Ledger Entry","12 Quantity","5 Source no.",$C411,"3 Posting Date",O$9,"4 Entry Type",$C$4,"2 Item No.","@@"&amp;$F411)</t>
  </si>
  <si>
    <t>=-NL("Sum","32 Item Ledger Entry","12 Quantity","5 Source no.",$C412,"3 Posting Date",O$9,"4 Entry Type",$C$4,"2 Item No.","@@"&amp;$F412)</t>
  </si>
  <si>
    <t>=-NL("Sum","32 Item Ledger Entry","12 Quantity","5 Source no.",$C413,"3 Posting Date",O$9,"4 Entry Type",$C$4,"2 Item No.","@@"&amp;$F413)</t>
  </si>
  <si>
    <t>=-NL("Sum","32 Item Ledger Entry","12 Quantity","5 Source no.",$C414,"3 Posting Date",O$9,"4 Entry Type",$C$4,"2 Item No.","@@"&amp;$F414)</t>
  </si>
  <si>
    <t>=-NL("Sum","32 Item Ledger Entry","12 Quantity","5 Source no.",$C415,"3 Posting Date",O$9,"4 Entry Type",$C$4,"2 Item No.","@@"&amp;$F415)</t>
  </si>
  <si>
    <t>=-NL("Sum","32 Item Ledger Entry","12 Quantity","5 Source no.",$C416,"3 Posting Date",O$9,"4 Entry Type",$C$4,"2 Item No.","@@"&amp;$F416)</t>
  </si>
  <si>
    <t>=-NL("Sum","32 Item Ledger Entry","12 Quantity","5 Source no.",$C417,"3 Posting Date",O$9,"4 Entry Type",$C$4,"2 Item No.","@@"&amp;$F417)</t>
  </si>
  <si>
    <t>=-NL("Sum","32 Item Ledger Entry","12 Quantity","5 Source no.",$C418,"3 Posting Date",O$9,"4 Entry Type",$C$4,"2 Item No.","@@"&amp;$F418)</t>
  </si>
  <si>
    <t>=-NL("Sum","32 Item Ledger Entry","12 Quantity","5 Source no.",$C419,"3 Posting Date",O$9,"4 Entry Type",$C$4,"2 Item No.","@@"&amp;$F419)</t>
  </si>
  <si>
    <t>=-NL("Sum","32 Item Ledger Entry","12 Quantity","5 Source no.",$C420,"3 Posting Date",O$9,"4 Entry Type",$C$4,"2 Item No.","@@"&amp;$F420)</t>
  </si>
  <si>
    <t>=-NL("Sum","32 Item Ledger Entry","12 Quantity","5 Source no.",$C421,"3 Posting Date",O$9,"4 Entry Type",$C$4,"2 Item No.","@@"&amp;$F421)</t>
  </si>
  <si>
    <t>=-NL("Sum","32 Item Ledger Entry","12 Quantity","5 Source no.",$C422,"3 Posting Date",O$9,"4 Entry Type",$C$4,"2 Item No.","@@"&amp;$F422)</t>
  </si>
  <si>
    <t>=-NL("Sum","32 Item Ledger Entry","12 Quantity","5 Source no.",$C423,"3 Posting Date",O$9,"4 Entry Type",$C$4,"2 Item No.","@@"&amp;$F423)</t>
  </si>
  <si>
    <t>=-NL("Sum","32 Item Ledger Entry","12 Quantity","5 Source no.",$C424,"3 Posting Date",O$9,"4 Entry Type",$C$4,"2 Item No.","@@"&amp;$F424)</t>
  </si>
  <si>
    <t>=-NL("Sum","32 Item Ledger Entry","12 Quantity","5 Source no.",$C425,"3 Posting Date",O$9,"4 Entry Type",$C$4,"2 Item No.","@@"&amp;$F425)</t>
  </si>
  <si>
    <t>=-NL("Sum","32 Item Ledger Entry","12 Quantity","5 Source no.",$C426,"3 Posting Date",O$9,"4 Entry Type",$C$4,"2 Item No.","@@"&amp;$F426)</t>
  </si>
  <si>
    <t>=-NL("Sum","32 Item Ledger Entry","12 Quantity","5 Source no.",$C427,"3 Posting Date",O$9,"4 Entry Type",$C$4,"2 Item No.","@@"&amp;$F427)</t>
  </si>
  <si>
    <t>=-NL("Sum","32 Item Ledger Entry","12 Quantity","5 Source no.",$C428,"3 Posting Date",O$9,"4 Entry Type",$C$4,"2 Item No.","@@"&amp;$F428)</t>
  </si>
  <si>
    <t>=-NL("Sum","32 Item Ledger Entry","12 Quantity","5 Source no.",$C429,"3 Posting Date",O$9,"4 Entry Type",$C$4,"2 Item No.","@@"&amp;$F429)</t>
  </si>
  <si>
    <t>=-NL("Sum","32 Item Ledger Entry","12 Quantity","5 Source no.",$C430,"3 Posting Date",O$9,"4 Entry Type",$C$4,"2 Item No.","@@"&amp;$F430)</t>
  </si>
  <si>
    <t>=-NL("Sum","32 Item Ledger Entry","12 Quantity","5 Source no.",$C431,"3 Posting Date",O$9,"4 Entry Type",$C$4,"2 Item No.","@@"&amp;$F431)</t>
  </si>
  <si>
    <t>=-NL("Sum","32 Item Ledger Entry","12 Quantity","5 Source no.",$C432,"3 Posting Date",O$9,"4 Entry Type",$C$4,"2 Item No.","@@"&amp;$F432)</t>
  </si>
  <si>
    <t>=-NL("Sum","32 Item Ledger Entry","12 Quantity","5 Source no.",$C433,"3 Posting Date",O$9,"4 Entry Type",$C$4,"2 Item No.","@@"&amp;$F433)</t>
  </si>
  <si>
    <t>=-NL("Sum","32 Item Ledger Entry","12 Quantity","5 Source no.",$C434,"3 Posting Date",O$9,"4 Entry Type",$C$4,"2 Item No.","@@"&amp;$F434)</t>
  </si>
  <si>
    <t>=-NL("Sum","32 Item Ledger Entry","12 Quantity","5 Source no.",$C435,"3 Posting Date",O$9,"4 Entry Type",$C$4,"2 Item No.","@@"&amp;$F435)</t>
  </si>
  <si>
    <t>=-NL("Sum","32 Item Ledger Entry","12 Quantity","5 Source no.",$C393,"3 Posting Date",U$9,"4 Entry Type",$C$4,"2 Item No.","@@"&amp;$F393)</t>
  </si>
  <si>
    <t>=-NL("Sum","32 Item Ledger Entry","12 Quantity","5 Source no.",$C394,"3 Posting Date",U$9,"4 Entry Type",$C$4,"2 Item No.","@@"&amp;$F394)</t>
  </si>
  <si>
    <t>=-NL("Sum","32 Item Ledger Entry","12 Quantity","5 Source no.",$C395,"3 Posting Date",U$9,"4 Entry Type",$C$4,"2 Item No.","@@"&amp;$F395)</t>
  </si>
  <si>
    <t>=-NL("Sum","32 Item Ledger Entry","12 Quantity","5 Source no.",$C396,"3 Posting Date",U$9,"4 Entry Type",$C$4,"2 Item No.","@@"&amp;$F396)</t>
  </si>
  <si>
    <t>=-NL("Sum","32 Item Ledger Entry","12 Quantity","5 Source no.",$C397,"3 Posting Date",U$9,"4 Entry Type",$C$4,"2 Item No.","@@"&amp;$F397)</t>
  </si>
  <si>
    <t>=-NL("Sum","32 Item Ledger Entry","12 Quantity","5 Source no.",$C398,"3 Posting Date",U$9,"4 Entry Type",$C$4,"2 Item No.","@@"&amp;$F398)</t>
  </si>
  <si>
    <t>=-NL("Sum","32 Item Ledger Entry","12 Quantity","5 Source no.",$C399,"3 Posting Date",U$9,"4 Entry Type",$C$4,"2 Item No.","@@"&amp;$F399)</t>
  </si>
  <si>
    <t>=-NL("Sum","32 Item Ledger Entry","12 Quantity","5 Source no.",$C400,"3 Posting Date",U$9,"4 Entry Type",$C$4,"2 Item No.","@@"&amp;$F400)</t>
  </si>
  <si>
    <t>=-NL("Sum","32 Item Ledger Entry","12 Quantity","5 Source no.",$C401,"3 Posting Date",U$9,"4 Entry Type",$C$4,"2 Item No.","@@"&amp;$F401)</t>
  </si>
  <si>
    <t>=-NL("Sum","32 Item Ledger Entry","12 Quantity","5 Source no.",$C402,"3 Posting Date",U$9,"4 Entry Type",$C$4,"2 Item No.","@@"&amp;$F402)</t>
  </si>
  <si>
    <t>=-NL("Sum","32 Item Ledger Entry","12 Quantity","5 Source no.",$C403,"3 Posting Date",U$9,"4 Entry Type",$C$4,"2 Item No.","@@"&amp;$F403)</t>
  </si>
  <si>
    <t>=-NL("Sum","32 Item Ledger Entry","12 Quantity","5 Source no.",$C404,"3 Posting Date",U$9,"4 Entry Type",$C$4,"2 Item No.","@@"&amp;$F404)</t>
  </si>
  <si>
    <t>=-NL("Sum","32 Item Ledger Entry","12 Quantity","5 Source no.",$C405,"3 Posting Date",U$9,"4 Entry Type",$C$4,"2 Item No.","@@"&amp;$F405)</t>
  </si>
  <si>
    <t>=-NL("Sum","32 Item Ledger Entry","12 Quantity","5 Source no.",$C406,"3 Posting Date",U$9,"4 Entry Type",$C$4,"2 Item No.","@@"&amp;$F406)</t>
  </si>
  <si>
    <t>=-NL("Sum","32 Item Ledger Entry","12 Quantity","5 Source no.",$C407,"3 Posting Date",U$9,"4 Entry Type",$C$4,"2 Item No.","@@"&amp;$F407)</t>
  </si>
  <si>
    <t>=-NL("Sum","32 Item Ledger Entry","12 Quantity","5 Source no.",$C408,"3 Posting Date",U$9,"4 Entry Type",$C$4,"2 Item No.","@@"&amp;$F408)</t>
  </si>
  <si>
    <t>=-NL("Sum","32 Item Ledger Entry","12 Quantity","5 Source no.",$C409,"3 Posting Date",U$9,"4 Entry Type",$C$4,"2 Item No.","@@"&amp;$F409)</t>
  </si>
  <si>
    <t>=-NL("Sum","32 Item Ledger Entry","12 Quantity","5 Source no.",$C410,"3 Posting Date",U$9,"4 Entry Type",$C$4,"2 Item No.","@@"&amp;$F410)</t>
  </si>
  <si>
    <t>=-NL("Sum","32 Item Ledger Entry","12 Quantity","5 Source no.",$C411,"3 Posting Date",U$9,"4 Entry Type",$C$4,"2 Item No.","@@"&amp;$F411)</t>
  </si>
  <si>
    <t>=-NL("Sum","32 Item Ledger Entry","12 Quantity","5 Source no.",$C412,"3 Posting Date",U$9,"4 Entry Type",$C$4,"2 Item No.","@@"&amp;$F412)</t>
  </si>
  <si>
    <t>=-NL("Sum","32 Item Ledger Entry","12 Quantity","5 Source no.",$C413,"3 Posting Date",U$9,"4 Entry Type",$C$4,"2 Item No.","@@"&amp;$F413)</t>
  </si>
  <si>
    <t>=-NL("Sum","32 Item Ledger Entry","12 Quantity","5 Source no.",$C414,"3 Posting Date",U$9,"4 Entry Type",$C$4,"2 Item No.","@@"&amp;$F414)</t>
  </si>
  <si>
    <t>=-NL("Sum","32 Item Ledger Entry","12 Quantity","5 Source no.",$C415,"3 Posting Date",U$9,"4 Entry Type",$C$4,"2 Item No.","@@"&amp;$F415)</t>
  </si>
  <si>
    <t>=-NL("Sum","32 Item Ledger Entry","12 Quantity","5 Source no.",$C416,"3 Posting Date",U$9,"4 Entry Type",$C$4,"2 Item No.","@@"&amp;$F416)</t>
  </si>
  <si>
    <t>=-NL("Sum","32 Item Ledger Entry","12 Quantity","5 Source no.",$C417,"3 Posting Date",U$9,"4 Entry Type",$C$4,"2 Item No.","@@"&amp;$F417)</t>
  </si>
  <si>
    <t>=-NL("Sum","32 Item Ledger Entry","12 Quantity","5 Source no.",$C418,"3 Posting Date",U$9,"4 Entry Type",$C$4,"2 Item No.","@@"&amp;$F418)</t>
  </si>
  <si>
    <t>=-NL("Sum","32 Item Ledger Entry","12 Quantity","5 Source no.",$C419,"3 Posting Date",U$9,"4 Entry Type",$C$4,"2 Item No.","@@"&amp;$F419)</t>
  </si>
  <si>
    <t>=-NL("Sum","32 Item Ledger Entry","12 Quantity","5 Source no.",$C420,"3 Posting Date",U$9,"4 Entry Type",$C$4,"2 Item No.","@@"&amp;$F420)</t>
  </si>
  <si>
    <t>=-NL("Sum","32 Item Ledger Entry","12 Quantity","5 Source no.",$C421,"3 Posting Date",U$9,"4 Entry Type",$C$4,"2 Item No.","@@"&amp;$F421)</t>
  </si>
  <si>
    <t>=-NL("Sum","32 Item Ledger Entry","12 Quantity","5 Source no.",$C422,"3 Posting Date",U$9,"4 Entry Type",$C$4,"2 Item No.","@@"&amp;$F422)</t>
  </si>
  <si>
    <t>=-NL("Sum","32 Item Ledger Entry","12 Quantity","5 Source no.",$C423,"3 Posting Date",U$9,"4 Entry Type",$C$4,"2 Item No.","@@"&amp;$F423)</t>
  </si>
  <si>
    <t>=-NL("Sum","32 Item Ledger Entry","12 Quantity","5 Source no.",$C424,"3 Posting Date",U$9,"4 Entry Type",$C$4,"2 Item No.","@@"&amp;$F424)</t>
  </si>
  <si>
    <t>=-NL("Sum","32 Item Ledger Entry","12 Quantity","5 Source no.",$C425,"3 Posting Date",U$9,"4 Entry Type",$C$4,"2 Item No.","@@"&amp;$F425)</t>
  </si>
  <si>
    <t>=-NL("Sum","32 Item Ledger Entry","12 Quantity","5 Source no.",$C426,"3 Posting Date",U$9,"4 Entry Type",$C$4,"2 Item No.","@@"&amp;$F426)</t>
  </si>
  <si>
    <t>=-NL("Sum","32 Item Ledger Entry","12 Quantity","5 Source no.",$C427,"3 Posting Date",U$9,"4 Entry Type",$C$4,"2 Item No.","@@"&amp;$F427)</t>
  </si>
  <si>
    <t>=-NL("Sum","32 Item Ledger Entry","12 Quantity","5 Source no.",$C428,"3 Posting Date",U$9,"4 Entry Type",$C$4,"2 Item No.","@@"&amp;$F428)</t>
  </si>
  <si>
    <t>=-NL("Sum","32 Item Ledger Entry","12 Quantity","5 Source no.",$C429,"3 Posting Date",U$9,"4 Entry Type",$C$4,"2 Item No.","@@"&amp;$F429)</t>
  </si>
  <si>
    <t>=-NL("Sum","32 Item Ledger Entry","12 Quantity","5 Source no.",$C430,"3 Posting Date",U$9,"4 Entry Type",$C$4,"2 Item No.","@@"&amp;$F430)</t>
  </si>
  <si>
    <t>=-NL("Sum","32 Item Ledger Entry","12 Quantity","5 Source no.",$C431,"3 Posting Date",U$9,"4 Entry Type",$C$4,"2 Item No.","@@"&amp;$F431)</t>
  </si>
  <si>
    <t>=-NL("Sum","32 Item Ledger Entry","12 Quantity","5 Source no.",$C432,"3 Posting Date",U$9,"4 Entry Type",$C$4,"2 Item No.","@@"&amp;$F432)</t>
  </si>
  <si>
    <t>=-NL("Sum","32 Item Ledger Entry","12 Quantity","5 Source no.",$C433,"3 Posting Date",U$9,"4 Entry Type",$C$4,"2 Item No.","@@"&amp;$F433)</t>
  </si>
  <si>
    <t>=-NL("Sum","32 Item Ledger Entry","12 Quantity","5 Source no.",$C434,"3 Posting Date",U$9,"4 Entry Type",$C$4,"2 Item No.","@@"&amp;$F434)</t>
  </si>
  <si>
    <t>=-NL("Sum","32 Item Ledger Entry","12 Quantity","5 Source no.",$C435,"3 Posting Date",U$9,"4 Entry Type",$C$4,"2 Item No.","@@"&amp;$F435)</t>
  </si>
  <si>
    <t>=-NL("Sum","32 Item Ledger Entry","12 Quantity","5 Source no.",$C393,"3 Posting Date",Z$9,"4 Entry Type",$C$4,"2 Item No.","@@"&amp;$F393)</t>
  </si>
  <si>
    <t>=-NL("Sum","32 Item Ledger Entry","12 Quantity","5 Source no.",$C394,"3 Posting Date",Z$9,"4 Entry Type",$C$4,"2 Item No.","@@"&amp;$F394)</t>
  </si>
  <si>
    <t>=-NL("Sum","32 Item Ledger Entry","12 Quantity","5 Source no.",$C395,"3 Posting Date",Z$9,"4 Entry Type",$C$4,"2 Item No.","@@"&amp;$F395)</t>
  </si>
  <si>
    <t>=-NL("Sum","32 Item Ledger Entry","12 Quantity","5 Source no.",$C396,"3 Posting Date",Z$9,"4 Entry Type",$C$4,"2 Item No.","@@"&amp;$F396)</t>
  </si>
  <si>
    <t>=-NL("Sum","32 Item Ledger Entry","12 Quantity","5 Source no.",$C397,"3 Posting Date",Z$9,"4 Entry Type",$C$4,"2 Item No.","@@"&amp;$F397)</t>
  </si>
  <si>
    <t>=-NL("Sum","32 Item Ledger Entry","12 Quantity","5 Source no.",$C398,"3 Posting Date",Z$9,"4 Entry Type",$C$4,"2 Item No.","@@"&amp;$F398)</t>
  </si>
  <si>
    <t>=-NL("Sum","32 Item Ledger Entry","12 Quantity","5 Source no.",$C399,"3 Posting Date",Z$9,"4 Entry Type",$C$4,"2 Item No.","@@"&amp;$F399)</t>
  </si>
  <si>
    <t>=-NL("Sum","32 Item Ledger Entry","12 Quantity","5 Source no.",$C400,"3 Posting Date",Z$9,"4 Entry Type",$C$4,"2 Item No.","@@"&amp;$F400)</t>
  </si>
  <si>
    <t>=-NL("Sum","32 Item Ledger Entry","12 Quantity","5 Source no.",$C401,"3 Posting Date",Z$9,"4 Entry Type",$C$4,"2 Item No.","@@"&amp;$F401)</t>
  </si>
  <si>
    <t>=-NL("Sum","32 Item Ledger Entry","12 Quantity","5 Source no.",$C402,"3 Posting Date",Z$9,"4 Entry Type",$C$4,"2 Item No.","@@"&amp;$F402)</t>
  </si>
  <si>
    <t>=-NL("Sum","32 Item Ledger Entry","12 Quantity","5 Source no.",$C403,"3 Posting Date",Z$9,"4 Entry Type",$C$4,"2 Item No.","@@"&amp;$F403)</t>
  </si>
  <si>
    <t>=-NL("Sum","32 Item Ledger Entry","12 Quantity","5 Source no.",$C404,"3 Posting Date",Z$9,"4 Entry Type",$C$4,"2 Item No.","@@"&amp;$F404)</t>
  </si>
  <si>
    <t>=-NL("Sum","32 Item Ledger Entry","12 Quantity","5 Source no.",$C405,"3 Posting Date",Z$9,"4 Entry Type",$C$4,"2 Item No.","@@"&amp;$F405)</t>
  </si>
  <si>
    <t>=-NL("Sum","32 Item Ledger Entry","12 Quantity","5 Source no.",$C406,"3 Posting Date",Z$9,"4 Entry Type",$C$4,"2 Item No.","@@"&amp;$F406)</t>
  </si>
  <si>
    <t>=-NL("Sum","32 Item Ledger Entry","12 Quantity","5 Source no.",$C407,"3 Posting Date",Z$9,"4 Entry Type",$C$4,"2 Item No.","@@"&amp;$F407)</t>
  </si>
  <si>
    <t>=-NL("Sum","32 Item Ledger Entry","12 Quantity","5 Source no.",$C408,"3 Posting Date",Z$9,"4 Entry Type",$C$4,"2 Item No.","@@"&amp;$F408)</t>
  </si>
  <si>
    <t>=-NL("Sum","32 Item Ledger Entry","12 Quantity","5 Source no.",$C409,"3 Posting Date",Z$9,"4 Entry Type",$C$4,"2 Item No.","@@"&amp;$F409)</t>
  </si>
  <si>
    <t>=-NL("Sum","32 Item Ledger Entry","12 Quantity","5 Source no.",$C410,"3 Posting Date",Z$9,"4 Entry Type",$C$4,"2 Item No.","@@"&amp;$F410)</t>
  </si>
  <si>
    <t>=-NL("Sum","32 Item Ledger Entry","12 Quantity","5 Source no.",$C411,"3 Posting Date",Z$9,"4 Entry Type",$C$4,"2 Item No.","@@"&amp;$F411)</t>
  </si>
  <si>
    <t>=-NL("Sum","32 Item Ledger Entry","12 Quantity","5 Source no.",$C412,"3 Posting Date",Z$9,"4 Entry Type",$C$4,"2 Item No.","@@"&amp;$F412)</t>
  </si>
  <si>
    <t>=-NL("Sum","32 Item Ledger Entry","12 Quantity","5 Source no.",$C413,"3 Posting Date",Z$9,"4 Entry Type",$C$4,"2 Item No.","@@"&amp;$F413)</t>
  </si>
  <si>
    <t>=-NL("Sum","32 Item Ledger Entry","12 Quantity","5 Source no.",$C414,"3 Posting Date",Z$9,"4 Entry Type",$C$4,"2 Item No.","@@"&amp;$F414)</t>
  </si>
  <si>
    <t>=-NL("Sum","32 Item Ledger Entry","12 Quantity","5 Source no.",$C415,"3 Posting Date",Z$9,"4 Entry Type",$C$4,"2 Item No.","@@"&amp;$F415)</t>
  </si>
  <si>
    <t>=-NL("Sum","32 Item Ledger Entry","12 Quantity","5 Source no.",$C416,"3 Posting Date",Z$9,"4 Entry Type",$C$4,"2 Item No.","@@"&amp;$F416)</t>
  </si>
  <si>
    <t>=-NL("Sum","32 Item Ledger Entry","12 Quantity","5 Source no.",$C417,"3 Posting Date",Z$9,"4 Entry Type",$C$4,"2 Item No.","@@"&amp;$F417)</t>
  </si>
  <si>
    <t>=-NL("Sum","32 Item Ledger Entry","12 Quantity","5 Source no.",$C418,"3 Posting Date",Z$9,"4 Entry Type",$C$4,"2 Item No.","@@"&amp;$F418)</t>
  </si>
  <si>
    <t>=-NL("Sum","32 Item Ledger Entry","12 Quantity","5 Source no.",$C419,"3 Posting Date",Z$9,"4 Entry Type",$C$4,"2 Item No.","@@"&amp;$F419)</t>
  </si>
  <si>
    <t>=-NL("Sum","32 Item Ledger Entry","12 Quantity","5 Source no.",$C420,"3 Posting Date",Z$9,"4 Entry Type",$C$4,"2 Item No.","@@"&amp;$F420)</t>
  </si>
  <si>
    <t>=-NL("Sum","32 Item Ledger Entry","12 Quantity","5 Source no.",$C421,"3 Posting Date",Z$9,"4 Entry Type",$C$4,"2 Item No.","@@"&amp;$F421)</t>
  </si>
  <si>
    <t>=-NL("Sum","32 Item Ledger Entry","12 Quantity","5 Source no.",$C422,"3 Posting Date",Z$9,"4 Entry Type",$C$4,"2 Item No.","@@"&amp;$F422)</t>
  </si>
  <si>
    <t>=-NL("Sum","32 Item Ledger Entry","12 Quantity","5 Source no.",$C423,"3 Posting Date",Z$9,"4 Entry Type",$C$4,"2 Item No.","@@"&amp;$F423)</t>
  </si>
  <si>
    <t>=-NL("Sum","32 Item Ledger Entry","12 Quantity","5 Source no.",$C424,"3 Posting Date",Z$9,"4 Entry Type",$C$4,"2 Item No.","@@"&amp;$F424)</t>
  </si>
  <si>
    <t>=-NL("Sum","32 Item Ledger Entry","12 Quantity","5 Source no.",$C425,"3 Posting Date",Z$9,"4 Entry Type",$C$4,"2 Item No.","@@"&amp;$F425)</t>
  </si>
  <si>
    <t>=-NL("Sum","32 Item Ledger Entry","12 Quantity","5 Source no.",$C426,"3 Posting Date",Z$9,"4 Entry Type",$C$4,"2 Item No.","@@"&amp;$F426)</t>
  </si>
  <si>
    <t>=-NL("Sum","32 Item Ledger Entry","12 Quantity","5 Source no.",$C427,"3 Posting Date",Z$9,"4 Entry Type",$C$4,"2 Item No.","@@"&amp;$F427)</t>
  </si>
  <si>
    <t>=-NL("Sum","32 Item Ledger Entry","12 Quantity","5 Source no.",$C428,"3 Posting Date",Z$9,"4 Entry Type",$C$4,"2 Item No.","@@"&amp;$F428)</t>
  </si>
  <si>
    <t>=-NL("Sum","32 Item Ledger Entry","12 Quantity","5 Source no.",$C429,"3 Posting Date",Z$9,"4 Entry Type",$C$4,"2 Item No.","@@"&amp;$F429)</t>
  </si>
  <si>
    <t>=-NL("Sum","32 Item Ledger Entry","12 Quantity","5 Source no.",$C430,"3 Posting Date",Z$9,"4 Entry Type",$C$4,"2 Item No.","@@"&amp;$F430)</t>
  </si>
  <si>
    <t>=-NL("Sum","32 Item Ledger Entry","12 Quantity","5 Source no.",$C431,"3 Posting Date",Z$9,"4 Entry Type",$C$4,"2 Item No.","@@"&amp;$F431)</t>
  </si>
  <si>
    <t>=-NL("Sum","32 Item Ledger Entry","12 Quantity","5 Source no.",$C432,"3 Posting Date",Z$9,"4 Entry Type",$C$4,"2 Item No.","@@"&amp;$F432)</t>
  </si>
  <si>
    <t>=-NL("Sum","32 Item Ledger Entry","12 Quantity","5 Source no.",$C433,"3 Posting Date",Z$9,"4 Entry Type",$C$4,"2 Item No.","@@"&amp;$F433)</t>
  </si>
  <si>
    <t>=-NL("Sum","32 Item Ledger Entry","12 Quantity","5 Source no.",$C434,"3 Posting Date",Z$9,"4 Entry Type",$C$4,"2 Item No.","@@"&amp;$F434)</t>
  </si>
  <si>
    <t>=-NL("Sum","32 Item Ledger Entry","12 Quantity","5 Source no.",$C435,"3 Posting Date",Z$9,"4 Entry Type",$C$4,"2 Item No.","@@"&amp;$F435)</t>
  </si>
  <si>
    <t>=NL(,"27 Item","3 Description","1 No.","@@"&amp;F367)</t>
  </si>
  <si>
    <t>=NL(,"27 Item","3 Description","1 No.","@@"&amp;F368)</t>
  </si>
  <si>
    <t>=NL(,"27 Item","3 Description","1 No.","@@"&amp;F369)</t>
  </si>
  <si>
    <t>=NL(,"27 Item","3 Description","1 No.","@@"&amp;F370)</t>
  </si>
  <si>
    <t>=NL(,"27 Item","3 Description","1 No.","@@"&amp;F371)</t>
  </si>
  <si>
    <t>=NL(,"27 Item","3 Description","1 No.","@@"&amp;F372)</t>
  </si>
  <si>
    <t>=NL(,"27 Item","3 Description","1 No.","@@"&amp;F373)</t>
  </si>
  <si>
    <t>=NL(,"27 Item","3 Description","1 No.","@@"&amp;F374)</t>
  </si>
  <si>
    <t>=NL(,"27 Item","3 Description","1 No.","@@"&amp;F375)</t>
  </si>
  <si>
    <t>=NL(,"27 Item","3 Description","1 No.","@@"&amp;F376)</t>
  </si>
  <si>
    <t>=NL(,"27 Item","3 Description","1 No.","@@"&amp;F377)</t>
  </si>
  <si>
    <t>=NL(,"27 Item","3 Description","1 No.","@@"&amp;F378)</t>
  </si>
  <si>
    <t>=NL(,"27 Item","3 Description","1 No.","@@"&amp;F379)</t>
  </si>
  <si>
    <t>=NL(,"27 Item","3 Description","1 No.","@@"&amp;F380)</t>
  </si>
  <si>
    <t>=NL(,"27 Item","3 Description","1 No.","@@"&amp;F381)</t>
  </si>
  <si>
    <t>=NL(,"27 Item","3 Description","1 No.","@@"&amp;F382)</t>
  </si>
  <si>
    <t>=NL(,"27 Item","3 Description","1 No.","@@"&amp;F383)</t>
  </si>
  <si>
    <t>=NL(,"27 Item","3 Description","1 No.","@@"&amp;F384)</t>
  </si>
  <si>
    <t>=NL(,"27 Item","3 Description","1 No.","@@"&amp;F385)</t>
  </si>
  <si>
    <t>=NL(,"27 Item","3 Description","1 No.","@@"&amp;F386)</t>
  </si>
  <si>
    <t>=NL(,"27 Item","3 Description","1 No.","@@"&amp;F387)</t>
  </si>
  <si>
    <t>=-NL("Sum","32 Item Ledger Entry","12 Quantity","5 Source no.",$C367,"3 Posting Date",J$9,"4 Entry Type",$C$4,"2 Item No.","@@"&amp;$F367)</t>
  </si>
  <si>
    <t>=-NL("Sum","32 Item Ledger Entry","12 Quantity","5 Source no.",$C368,"3 Posting Date",J$9,"4 Entry Type",$C$4,"2 Item No.","@@"&amp;$F368)</t>
  </si>
  <si>
    <t>=-NL("Sum","32 Item Ledger Entry","12 Quantity","5 Source no.",$C369,"3 Posting Date",J$9,"4 Entry Type",$C$4,"2 Item No.","@@"&amp;$F369)</t>
  </si>
  <si>
    <t>=-NL("Sum","32 Item Ledger Entry","12 Quantity","5 Source no.",$C370,"3 Posting Date",J$9,"4 Entry Type",$C$4,"2 Item No.","@@"&amp;$F370)</t>
  </si>
  <si>
    <t>=-NL("Sum","32 Item Ledger Entry","12 Quantity","5 Source no.",$C371,"3 Posting Date",J$9,"4 Entry Type",$C$4,"2 Item No.","@@"&amp;$F371)</t>
  </si>
  <si>
    <t>=-NL("Sum","32 Item Ledger Entry","12 Quantity","5 Source no.",$C372,"3 Posting Date",J$9,"4 Entry Type",$C$4,"2 Item No.","@@"&amp;$F372)</t>
  </si>
  <si>
    <t>=-NL("Sum","32 Item Ledger Entry","12 Quantity","5 Source no.",$C373,"3 Posting Date",J$9,"4 Entry Type",$C$4,"2 Item No.","@@"&amp;$F373)</t>
  </si>
  <si>
    <t>=-NL("Sum","32 Item Ledger Entry","12 Quantity","5 Source no.",$C374,"3 Posting Date",J$9,"4 Entry Type",$C$4,"2 Item No.","@@"&amp;$F374)</t>
  </si>
  <si>
    <t>=-NL("Sum","32 Item Ledger Entry","12 Quantity","5 Source no.",$C375,"3 Posting Date",J$9,"4 Entry Type",$C$4,"2 Item No.","@@"&amp;$F375)</t>
  </si>
  <si>
    <t>=-NL("Sum","32 Item Ledger Entry","12 Quantity","5 Source no.",$C376,"3 Posting Date",J$9,"4 Entry Type",$C$4,"2 Item No.","@@"&amp;$F376)</t>
  </si>
  <si>
    <t>=-NL("Sum","32 Item Ledger Entry","12 Quantity","5 Source no.",$C377,"3 Posting Date",J$9,"4 Entry Type",$C$4,"2 Item No.","@@"&amp;$F377)</t>
  </si>
  <si>
    <t>=-NL("Sum","32 Item Ledger Entry","12 Quantity","5 Source no.",$C378,"3 Posting Date",J$9,"4 Entry Type",$C$4,"2 Item No.","@@"&amp;$F378)</t>
  </si>
  <si>
    <t>=-NL("Sum","32 Item Ledger Entry","12 Quantity","5 Source no.",$C379,"3 Posting Date",J$9,"4 Entry Type",$C$4,"2 Item No.","@@"&amp;$F379)</t>
  </si>
  <si>
    <t>=-NL("Sum","32 Item Ledger Entry","12 Quantity","5 Source no.",$C380,"3 Posting Date",J$9,"4 Entry Type",$C$4,"2 Item No.","@@"&amp;$F380)</t>
  </si>
  <si>
    <t>=-NL("Sum","32 Item Ledger Entry","12 Quantity","5 Source no.",$C381,"3 Posting Date",J$9,"4 Entry Type",$C$4,"2 Item No.","@@"&amp;$F381)</t>
  </si>
  <si>
    <t>=-NL("Sum","32 Item Ledger Entry","12 Quantity","5 Source no.",$C382,"3 Posting Date",J$9,"4 Entry Type",$C$4,"2 Item No.","@@"&amp;$F382)</t>
  </si>
  <si>
    <t>=-NL("Sum","32 Item Ledger Entry","12 Quantity","5 Source no.",$C383,"3 Posting Date",J$9,"4 Entry Type",$C$4,"2 Item No.","@@"&amp;$F383)</t>
  </si>
  <si>
    <t>=-NL("Sum","32 Item Ledger Entry","12 Quantity","5 Source no.",$C384,"3 Posting Date",J$9,"4 Entry Type",$C$4,"2 Item No.","@@"&amp;$F384)</t>
  </si>
  <si>
    <t>=-NL("Sum","32 Item Ledger Entry","12 Quantity","5 Source no.",$C385,"3 Posting Date",J$9,"4 Entry Type",$C$4,"2 Item No.","@@"&amp;$F385)</t>
  </si>
  <si>
    <t>=-NL("Sum","32 Item Ledger Entry","12 Quantity","5 Source no.",$C386,"3 Posting Date",J$9,"4 Entry Type",$C$4,"2 Item No.","@@"&amp;$F386)</t>
  </si>
  <si>
    <t>=-NL("Sum","32 Item Ledger Entry","12 Quantity","5 Source no.",$C387,"3 Posting Date",J$9,"4 Entry Type",$C$4,"2 Item No.","@@"&amp;$F387)</t>
  </si>
  <si>
    <t>=-NL("Sum","32 Item Ledger Entry","12 Quantity","5 Source no.",$C367,"3 Posting Date",O$9,"4 Entry Type",$C$4,"2 Item No.","@@"&amp;$F367)</t>
  </si>
  <si>
    <t>=-NL("Sum","32 Item Ledger Entry","12 Quantity","5 Source no.",$C368,"3 Posting Date",O$9,"4 Entry Type",$C$4,"2 Item No.","@@"&amp;$F368)</t>
  </si>
  <si>
    <t>=-NL("Sum","32 Item Ledger Entry","12 Quantity","5 Source no.",$C369,"3 Posting Date",O$9,"4 Entry Type",$C$4,"2 Item No.","@@"&amp;$F369)</t>
  </si>
  <si>
    <t>=-NL("Sum","32 Item Ledger Entry","12 Quantity","5 Source no.",$C370,"3 Posting Date",O$9,"4 Entry Type",$C$4,"2 Item No.","@@"&amp;$F370)</t>
  </si>
  <si>
    <t>=-NL("Sum","32 Item Ledger Entry","12 Quantity","5 Source no.",$C371,"3 Posting Date",O$9,"4 Entry Type",$C$4,"2 Item No.","@@"&amp;$F371)</t>
  </si>
  <si>
    <t>=-NL("Sum","32 Item Ledger Entry","12 Quantity","5 Source no.",$C372,"3 Posting Date",O$9,"4 Entry Type",$C$4,"2 Item No.","@@"&amp;$F372)</t>
  </si>
  <si>
    <t>=-NL("Sum","32 Item Ledger Entry","12 Quantity","5 Source no.",$C373,"3 Posting Date",O$9,"4 Entry Type",$C$4,"2 Item No.","@@"&amp;$F373)</t>
  </si>
  <si>
    <t>=-NL("Sum","32 Item Ledger Entry","12 Quantity","5 Source no.",$C374,"3 Posting Date",O$9,"4 Entry Type",$C$4,"2 Item No.","@@"&amp;$F374)</t>
  </si>
  <si>
    <t>=-NL("Sum","32 Item Ledger Entry","12 Quantity","5 Source no.",$C375,"3 Posting Date",O$9,"4 Entry Type",$C$4,"2 Item No.","@@"&amp;$F375)</t>
  </si>
  <si>
    <t>=-NL("Sum","32 Item Ledger Entry","12 Quantity","5 Source no.",$C376,"3 Posting Date",O$9,"4 Entry Type",$C$4,"2 Item No.","@@"&amp;$F376)</t>
  </si>
  <si>
    <t>=-NL("Sum","32 Item Ledger Entry","12 Quantity","5 Source no.",$C377,"3 Posting Date",O$9,"4 Entry Type",$C$4,"2 Item No.","@@"&amp;$F377)</t>
  </si>
  <si>
    <t>=-NL("Sum","32 Item Ledger Entry","12 Quantity","5 Source no.",$C378,"3 Posting Date",O$9,"4 Entry Type",$C$4,"2 Item No.","@@"&amp;$F378)</t>
  </si>
  <si>
    <t>=-NL("Sum","32 Item Ledger Entry","12 Quantity","5 Source no.",$C379,"3 Posting Date",O$9,"4 Entry Type",$C$4,"2 Item No.","@@"&amp;$F379)</t>
  </si>
  <si>
    <t>=-NL("Sum","32 Item Ledger Entry","12 Quantity","5 Source no.",$C380,"3 Posting Date",O$9,"4 Entry Type",$C$4,"2 Item No.","@@"&amp;$F380)</t>
  </si>
  <si>
    <t>=-NL("Sum","32 Item Ledger Entry","12 Quantity","5 Source no.",$C381,"3 Posting Date",O$9,"4 Entry Type",$C$4,"2 Item No.","@@"&amp;$F381)</t>
  </si>
  <si>
    <t>=-NL("Sum","32 Item Ledger Entry","12 Quantity","5 Source no.",$C382,"3 Posting Date",O$9,"4 Entry Type",$C$4,"2 Item No.","@@"&amp;$F382)</t>
  </si>
  <si>
    <t>=-NL("Sum","32 Item Ledger Entry","12 Quantity","5 Source no.",$C383,"3 Posting Date",O$9,"4 Entry Type",$C$4,"2 Item No.","@@"&amp;$F383)</t>
  </si>
  <si>
    <t>=-NL("Sum","32 Item Ledger Entry","12 Quantity","5 Source no.",$C384,"3 Posting Date",O$9,"4 Entry Type",$C$4,"2 Item No.","@@"&amp;$F384)</t>
  </si>
  <si>
    <t>=-NL("Sum","32 Item Ledger Entry","12 Quantity","5 Source no.",$C385,"3 Posting Date",O$9,"4 Entry Type",$C$4,"2 Item No.","@@"&amp;$F385)</t>
  </si>
  <si>
    <t>=-NL("Sum","32 Item Ledger Entry","12 Quantity","5 Source no.",$C386,"3 Posting Date",O$9,"4 Entry Type",$C$4,"2 Item No.","@@"&amp;$F386)</t>
  </si>
  <si>
    <t>=-NL("Sum","32 Item Ledger Entry","12 Quantity","5 Source no.",$C387,"3 Posting Date",O$9,"4 Entry Type",$C$4,"2 Item No.","@@"&amp;$F387)</t>
  </si>
  <si>
    <t>=-NL("Sum","32 Item Ledger Entry","12 Quantity","5 Source no.",$C367,"3 Posting Date",U$9,"4 Entry Type",$C$4,"2 Item No.","@@"&amp;$F367)</t>
  </si>
  <si>
    <t>=-NL("Sum","32 Item Ledger Entry","12 Quantity","5 Source no.",$C368,"3 Posting Date",U$9,"4 Entry Type",$C$4,"2 Item No.","@@"&amp;$F368)</t>
  </si>
  <si>
    <t>=-NL("Sum","32 Item Ledger Entry","12 Quantity","5 Source no.",$C369,"3 Posting Date",U$9,"4 Entry Type",$C$4,"2 Item No.","@@"&amp;$F369)</t>
  </si>
  <si>
    <t>=-NL("Sum","32 Item Ledger Entry","12 Quantity","5 Source no.",$C370,"3 Posting Date",U$9,"4 Entry Type",$C$4,"2 Item No.","@@"&amp;$F370)</t>
  </si>
  <si>
    <t>=-NL("Sum","32 Item Ledger Entry","12 Quantity","5 Source no.",$C371,"3 Posting Date",U$9,"4 Entry Type",$C$4,"2 Item No.","@@"&amp;$F371)</t>
  </si>
  <si>
    <t>=-NL("Sum","32 Item Ledger Entry","12 Quantity","5 Source no.",$C372,"3 Posting Date",U$9,"4 Entry Type",$C$4,"2 Item No.","@@"&amp;$F372)</t>
  </si>
  <si>
    <t>=-NL("Sum","32 Item Ledger Entry","12 Quantity","5 Source no.",$C373,"3 Posting Date",U$9,"4 Entry Type",$C$4,"2 Item No.","@@"&amp;$F373)</t>
  </si>
  <si>
    <t>=-NL("Sum","32 Item Ledger Entry","12 Quantity","5 Source no.",$C374,"3 Posting Date",U$9,"4 Entry Type",$C$4,"2 Item No.","@@"&amp;$F374)</t>
  </si>
  <si>
    <t>=-NL("Sum","32 Item Ledger Entry","12 Quantity","5 Source no.",$C375,"3 Posting Date",U$9,"4 Entry Type",$C$4,"2 Item No.","@@"&amp;$F375)</t>
  </si>
  <si>
    <t>=-NL("Sum","32 Item Ledger Entry","12 Quantity","5 Source no.",$C376,"3 Posting Date",U$9,"4 Entry Type",$C$4,"2 Item No.","@@"&amp;$F376)</t>
  </si>
  <si>
    <t>=-NL("Sum","32 Item Ledger Entry","12 Quantity","5 Source no.",$C377,"3 Posting Date",U$9,"4 Entry Type",$C$4,"2 Item No.","@@"&amp;$F377)</t>
  </si>
  <si>
    <t>=-NL("Sum","32 Item Ledger Entry","12 Quantity","5 Source no.",$C378,"3 Posting Date",U$9,"4 Entry Type",$C$4,"2 Item No.","@@"&amp;$F378)</t>
  </si>
  <si>
    <t>=-NL("Sum","32 Item Ledger Entry","12 Quantity","5 Source no.",$C379,"3 Posting Date",U$9,"4 Entry Type",$C$4,"2 Item No.","@@"&amp;$F379)</t>
  </si>
  <si>
    <t>=-NL("Sum","32 Item Ledger Entry","12 Quantity","5 Source no.",$C380,"3 Posting Date",U$9,"4 Entry Type",$C$4,"2 Item No.","@@"&amp;$F380)</t>
  </si>
  <si>
    <t>=-NL("Sum","32 Item Ledger Entry","12 Quantity","5 Source no.",$C381,"3 Posting Date",U$9,"4 Entry Type",$C$4,"2 Item No.","@@"&amp;$F381)</t>
  </si>
  <si>
    <t>=-NL("Sum","32 Item Ledger Entry","12 Quantity","5 Source no.",$C382,"3 Posting Date",U$9,"4 Entry Type",$C$4,"2 Item No.","@@"&amp;$F382)</t>
  </si>
  <si>
    <t>=-NL("Sum","32 Item Ledger Entry","12 Quantity","5 Source no.",$C383,"3 Posting Date",U$9,"4 Entry Type",$C$4,"2 Item No.","@@"&amp;$F383)</t>
  </si>
  <si>
    <t>=-NL("Sum","32 Item Ledger Entry","12 Quantity","5 Source no.",$C384,"3 Posting Date",U$9,"4 Entry Type",$C$4,"2 Item No.","@@"&amp;$F384)</t>
  </si>
  <si>
    <t>=-NL("Sum","32 Item Ledger Entry","12 Quantity","5 Source no.",$C385,"3 Posting Date",U$9,"4 Entry Type",$C$4,"2 Item No.","@@"&amp;$F385)</t>
  </si>
  <si>
    <t>=-NL("Sum","32 Item Ledger Entry","12 Quantity","5 Source no.",$C386,"3 Posting Date",U$9,"4 Entry Type",$C$4,"2 Item No.","@@"&amp;$F386)</t>
  </si>
  <si>
    <t>=-NL("Sum","32 Item Ledger Entry","12 Quantity","5 Source no.",$C387,"3 Posting Date",U$9,"4 Entry Type",$C$4,"2 Item No.","@@"&amp;$F387)</t>
  </si>
  <si>
    <t>=-NL("Sum","32 Item Ledger Entry","12 Quantity","5 Source no.",$C367,"3 Posting Date",Z$9,"4 Entry Type",$C$4,"2 Item No.","@@"&amp;$F367)</t>
  </si>
  <si>
    <t>=-NL("Sum","32 Item Ledger Entry","12 Quantity","5 Source no.",$C368,"3 Posting Date",Z$9,"4 Entry Type",$C$4,"2 Item No.","@@"&amp;$F368)</t>
  </si>
  <si>
    <t>=-NL("Sum","32 Item Ledger Entry","12 Quantity","5 Source no.",$C369,"3 Posting Date",Z$9,"4 Entry Type",$C$4,"2 Item No.","@@"&amp;$F369)</t>
  </si>
  <si>
    <t>=-NL("Sum","32 Item Ledger Entry","12 Quantity","5 Source no.",$C370,"3 Posting Date",Z$9,"4 Entry Type",$C$4,"2 Item No.","@@"&amp;$F370)</t>
  </si>
  <si>
    <t>=-NL("Sum","32 Item Ledger Entry","12 Quantity","5 Source no.",$C371,"3 Posting Date",Z$9,"4 Entry Type",$C$4,"2 Item No.","@@"&amp;$F371)</t>
  </si>
  <si>
    <t>=-NL("Sum","32 Item Ledger Entry","12 Quantity","5 Source no.",$C372,"3 Posting Date",Z$9,"4 Entry Type",$C$4,"2 Item No.","@@"&amp;$F372)</t>
  </si>
  <si>
    <t>=-NL("Sum","32 Item Ledger Entry","12 Quantity","5 Source no.",$C373,"3 Posting Date",Z$9,"4 Entry Type",$C$4,"2 Item No.","@@"&amp;$F373)</t>
  </si>
  <si>
    <t>=-NL("Sum","32 Item Ledger Entry","12 Quantity","5 Source no.",$C374,"3 Posting Date",Z$9,"4 Entry Type",$C$4,"2 Item No.","@@"&amp;$F374)</t>
  </si>
  <si>
    <t>=-NL("Sum","32 Item Ledger Entry","12 Quantity","5 Source no.",$C375,"3 Posting Date",Z$9,"4 Entry Type",$C$4,"2 Item No.","@@"&amp;$F375)</t>
  </si>
  <si>
    <t>=-NL("Sum","32 Item Ledger Entry","12 Quantity","5 Source no.",$C376,"3 Posting Date",Z$9,"4 Entry Type",$C$4,"2 Item No.","@@"&amp;$F376)</t>
  </si>
  <si>
    <t>=-NL("Sum","32 Item Ledger Entry","12 Quantity","5 Source no.",$C377,"3 Posting Date",Z$9,"4 Entry Type",$C$4,"2 Item No.","@@"&amp;$F377)</t>
  </si>
  <si>
    <t>=-NL("Sum","32 Item Ledger Entry","12 Quantity","5 Source no.",$C378,"3 Posting Date",Z$9,"4 Entry Type",$C$4,"2 Item No.","@@"&amp;$F378)</t>
  </si>
  <si>
    <t>=-NL("Sum","32 Item Ledger Entry","12 Quantity","5 Source no.",$C379,"3 Posting Date",Z$9,"4 Entry Type",$C$4,"2 Item No.","@@"&amp;$F379)</t>
  </si>
  <si>
    <t>=-NL("Sum","32 Item Ledger Entry","12 Quantity","5 Source no.",$C380,"3 Posting Date",Z$9,"4 Entry Type",$C$4,"2 Item No.","@@"&amp;$F380)</t>
  </si>
  <si>
    <t>=-NL("Sum","32 Item Ledger Entry","12 Quantity","5 Source no.",$C381,"3 Posting Date",Z$9,"4 Entry Type",$C$4,"2 Item No.","@@"&amp;$F381)</t>
  </si>
  <si>
    <t>=-NL("Sum","32 Item Ledger Entry","12 Quantity","5 Source no.",$C382,"3 Posting Date",Z$9,"4 Entry Type",$C$4,"2 Item No.","@@"&amp;$F382)</t>
  </si>
  <si>
    <t>=-NL("Sum","32 Item Ledger Entry","12 Quantity","5 Source no.",$C383,"3 Posting Date",Z$9,"4 Entry Type",$C$4,"2 Item No.","@@"&amp;$F383)</t>
  </si>
  <si>
    <t>=-NL("Sum","32 Item Ledger Entry","12 Quantity","5 Source no.",$C384,"3 Posting Date",Z$9,"4 Entry Type",$C$4,"2 Item No.","@@"&amp;$F384)</t>
  </si>
  <si>
    <t>=-NL("Sum","32 Item Ledger Entry","12 Quantity","5 Source no.",$C385,"3 Posting Date",Z$9,"4 Entry Type",$C$4,"2 Item No.","@@"&amp;$F385)</t>
  </si>
  <si>
    <t>=-NL("Sum","32 Item Ledger Entry","12 Quantity","5 Source no.",$C386,"3 Posting Date",Z$9,"4 Entry Type",$C$4,"2 Item No.","@@"&amp;$F386)</t>
  </si>
  <si>
    <t>=-NL("Sum","32 Item Ledger Entry","12 Quantity","5 Source no.",$C387,"3 Posting Date",Z$9,"4 Entry Type",$C$4,"2 Item No.","@@"&amp;$F387)</t>
  </si>
  <si>
    <t>=NL(,"27 Item","3 Description","1 No.","@@"&amp;F350)</t>
  </si>
  <si>
    <t>=NL(,"27 Item","3 Description","1 No.","@@"&amp;F351)</t>
  </si>
  <si>
    <t>=NL(,"27 Item","3 Description","1 No.","@@"&amp;F352)</t>
  </si>
  <si>
    <t>=NL(,"27 Item","3 Description","1 No.","@@"&amp;F353)</t>
  </si>
  <si>
    <t>=NL(,"27 Item","3 Description","1 No.","@@"&amp;F354)</t>
  </si>
  <si>
    <t>=NL(,"27 Item","3 Description","1 No.","@@"&amp;F355)</t>
  </si>
  <si>
    <t>=NL(,"27 Item","3 Description","1 No.","@@"&amp;F356)</t>
  </si>
  <si>
    <t>=NL(,"27 Item","3 Description","1 No.","@@"&amp;F357)</t>
  </si>
  <si>
    <t>=NL(,"27 Item","3 Description","1 No.","@@"&amp;F358)</t>
  </si>
  <si>
    <t>=NL(,"27 Item","3 Description","1 No.","@@"&amp;F359)</t>
  </si>
  <si>
    <t>=NL(,"27 Item","3 Description","1 No.","@@"&amp;F360)</t>
  </si>
  <si>
    <t>=NL(,"27 Item","3 Description","1 No.","@@"&amp;F361)</t>
  </si>
  <si>
    <t>=-NL("Sum","32 Item Ledger Entry","12 Quantity","5 Source no.",$C350,"3 Posting Date",J$9,"4 Entry Type",$C$4,"2 Item No.","@@"&amp;$F350)</t>
  </si>
  <si>
    <t>=-NL("Sum","32 Item Ledger Entry","12 Quantity","5 Source no.",$C351,"3 Posting Date",J$9,"4 Entry Type",$C$4,"2 Item No.","@@"&amp;$F351)</t>
  </si>
  <si>
    <t>=-NL("Sum","32 Item Ledger Entry","12 Quantity","5 Source no.",$C352,"3 Posting Date",J$9,"4 Entry Type",$C$4,"2 Item No.","@@"&amp;$F352)</t>
  </si>
  <si>
    <t>=-NL("Sum","32 Item Ledger Entry","12 Quantity","5 Source no.",$C353,"3 Posting Date",J$9,"4 Entry Type",$C$4,"2 Item No.","@@"&amp;$F353)</t>
  </si>
  <si>
    <t>=-NL("Sum","32 Item Ledger Entry","12 Quantity","5 Source no.",$C354,"3 Posting Date",J$9,"4 Entry Type",$C$4,"2 Item No.","@@"&amp;$F354)</t>
  </si>
  <si>
    <t>=-NL("Sum","32 Item Ledger Entry","12 Quantity","5 Source no.",$C355,"3 Posting Date",J$9,"4 Entry Type",$C$4,"2 Item No.","@@"&amp;$F355)</t>
  </si>
  <si>
    <t>=-NL("Sum","32 Item Ledger Entry","12 Quantity","5 Source no.",$C356,"3 Posting Date",J$9,"4 Entry Type",$C$4,"2 Item No.","@@"&amp;$F356)</t>
  </si>
  <si>
    <t>=-NL("Sum","32 Item Ledger Entry","12 Quantity","5 Source no.",$C357,"3 Posting Date",J$9,"4 Entry Type",$C$4,"2 Item No.","@@"&amp;$F357)</t>
  </si>
  <si>
    <t>=-NL("Sum","32 Item Ledger Entry","12 Quantity","5 Source no.",$C358,"3 Posting Date",J$9,"4 Entry Type",$C$4,"2 Item No.","@@"&amp;$F358)</t>
  </si>
  <si>
    <t>=-NL("Sum","32 Item Ledger Entry","12 Quantity","5 Source no.",$C359,"3 Posting Date",J$9,"4 Entry Type",$C$4,"2 Item No.","@@"&amp;$F359)</t>
  </si>
  <si>
    <t>=-NL("Sum","32 Item Ledger Entry","12 Quantity","5 Source no.",$C360,"3 Posting Date",J$9,"4 Entry Type",$C$4,"2 Item No.","@@"&amp;$F360)</t>
  </si>
  <si>
    <t>=-NL("Sum","32 Item Ledger Entry","12 Quantity","5 Source no.",$C361,"3 Posting Date",J$9,"4 Entry Type",$C$4,"2 Item No.","@@"&amp;$F361)</t>
  </si>
  <si>
    <t>=-NL("Sum","32 Item Ledger Entry","12 Quantity","5 Source no.",$C350,"3 Posting Date",O$9,"4 Entry Type",$C$4,"2 Item No.","@@"&amp;$F350)</t>
  </si>
  <si>
    <t>=-NL("Sum","32 Item Ledger Entry","12 Quantity","5 Source no.",$C351,"3 Posting Date",O$9,"4 Entry Type",$C$4,"2 Item No.","@@"&amp;$F351)</t>
  </si>
  <si>
    <t>=-NL("Sum","32 Item Ledger Entry","12 Quantity","5 Source no.",$C352,"3 Posting Date",O$9,"4 Entry Type",$C$4,"2 Item No.","@@"&amp;$F352)</t>
  </si>
  <si>
    <t>=-NL("Sum","32 Item Ledger Entry","12 Quantity","5 Source no.",$C353,"3 Posting Date",O$9,"4 Entry Type",$C$4,"2 Item No.","@@"&amp;$F353)</t>
  </si>
  <si>
    <t>=-NL("Sum","32 Item Ledger Entry","12 Quantity","5 Source no.",$C354,"3 Posting Date",O$9,"4 Entry Type",$C$4,"2 Item No.","@@"&amp;$F354)</t>
  </si>
  <si>
    <t>=-NL("Sum","32 Item Ledger Entry","12 Quantity","5 Source no.",$C355,"3 Posting Date",O$9,"4 Entry Type",$C$4,"2 Item No.","@@"&amp;$F355)</t>
  </si>
  <si>
    <t>=-NL("Sum","32 Item Ledger Entry","12 Quantity","5 Source no.",$C356,"3 Posting Date",O$9,"4 Entry Type",$C$4,"2 Item No.","@@"&amp;$F356)</t>
  </si>
  <si>
    <t>=-NL("Sum","32 Item Ledger Entry","12 Quantity","5 Source no.",$C357,"3 Posting Date",O$9,"4 Entry Type",$C$4,"2 Item No.","@@"&amp;$F357)</t>
  </si>
  <si>
    <t>=-NL("Sum","32 Item Ledger Entry","12 Quantity","5 Source no.",$C358,"3 Posting Date",O$9,"4 Entry Type",$C$4,"2 Item No.","@@"&amp;$F358)</t>
  </si>
  <si>
    <t>=-NL("Sum","32 Item Ledger Entry","12 Quantity","5 Source no.",$C359,"3 Posting Date",O$9,"4 Entry Type",$C$4,"2 Item No.","@@"&amp;$F359)</t>
  </si>
  <si>
    <t>=-NL("Sum","32 Item Ledger Entry","12 Quantity","5 Source no.",$C360,"3 Posting Date",O$9,"4 Entry Type",$C$4,"2 Item No.","@@"&amp;$F360)</t>
  </si>
  <si>
    <t>=-NL("Sum","32 Item Ledger Entry","12 Quantity","5 Source no.",$C361,"3 Posting Date",O$9,"4 Entry Type",$C$4,"2 Item No.","@@"&amp;$F361)</t>
  </si>
  <si>
    <t>=-NL("Sum","32 Item Ledger Entry","12 Quantity","5 Source no.",$C350,"3 Posting Date",U$9,"4 Entry Type",$C$4,"2 Item No.","@@"&amp;$F350)</t>
  </si>
  <si>
    <t>=-NL("Sum","32 Item Ledger Entry","12 Quantity","5 Source no.",$C351,"3 Posting Date",U$9,"4 Entry Type",$C$4,"2 Item No.","@@"&amp;$F351)</t>
  </si>
  <si>
    <t>=-NL("Sum","32 Item Ledger Entry","12 Quantity","5 Source no.",$C352,"3 Posting Date",U$9,"4 Entry Type",$C$4,"2 Item No.","@@"&amp;$F352)</t>
  </si>
  <si>
    <t>=-NL("Sum","32 Item Ledger Entry","12 Quantity","5 Source no.",$C353,"3 Posting Date",U$9,"4 Entry Type",$C$4,"2 Item No.","@@"&amp;$F353)</t>
  </si>
  <si>
    <t>=-NL("Sum","32 Item Ledger Entry","12 Quantity","5 Source no.",$C354,"3 Posting Date",U$9,"4 Entry Type",$C$4,"2 Item No.","@@"&amp;$F354)</t>
  </si>
  <si>
    <t>=-NL("Sum","32 Item Ledger Entry","12 Quantity","5 Source no.",$C355,"3 Posting Date",U$9,"4 Entry Type",$C$4,"2 Item No.","@@"&amp;$F355)</t>
  </si>
  <si>
    <t>=-NL("Sum","32 Item Ledger Entry","12 Quantity","5 Source no.",$C356,"3 Posting Date",U$9,"4 Entry Type",$C$4,"2 Item No.","@@"&amp;$F356)</t>
  </si>
  <si>
    <t>=-NL("Sum","32 Item Ledger Entry","12 Quantity","5 Source no.",$C357,"3 Posting Date",U$9,"4 Entry Type",$C$4,"2 Item No.","@@"&amp;$F357)</t>
  </si>
  <si>
    <t>=-NL("Sum","32 Item Ledger Entry","12 Quantity","5 Source no.",$C358,"3 Posting Date",U$9,"4 Entry Type",$C$4,"2 Item No.","@@"&amp;$F358)</t>
  </si>
  <si>
    <t>=-NL("Sum","32 Item Ledger Entry","12 Quantity","5 Source no.",$C359,"3 Posting Date",U$9,"4 Entry Type",$C$4,"2 Item No.","@@"&amp;$F359)</t>
  </si>
  <si>
    <t>=-NL("Sum","32 Item Ledger Entry","12 Quantity","5 Source no.",$C360,"3 Posting Date",U$9,"4 Entry Type",$C$4,"2 Item No.","@@"&amp;$F360)</t>
  </si>
  <si>
    <t>=-NL("Sum","32 Item Ledger Entry","12 Quantity","5 Source no.",$C361,"3 Posting Date",U$9,"4 Entry Type",$C$4,"2 Item No.","@@"&amp;$F361)</t>
  </si>
  <si>
    <t>=-NL("Sum","32 Item Ledger Entry","12 Quantity","5 Source no.",$C350,"3 Posting Date",Z$9,"4 Entry Type",$C$4,"2 Item No.","@@"&amp;$F350)</t>
  </si>
  <si>
    <t>=-NL("Sum","32 Item Ledger Entry","12 Quantity","5 Source no.",$C351,"3 Posting Date",Z$9,"4 Entry Type",$C$4,"2 Item No.","@@"&amp;$F351)</t>
  </si>
  <si>
    <t>=-NL("Sum","32 Item Ledger Entry","12 Quantity","5 Source no.",$C352,"3 Posting Date",Z$9,"4 Entry Type",$C$4,"2 Item No.","@@"&amp;$F352)</t>
  </si>
  <si>
    <t>=-NL("Sum","32 Item Ledger Entry","12 Quantity","5 Source no.",$C353,"3 Posting Date",Z$9,"4 Entry Type",$C$4,"2 Item No.","@@"&amp;$F353)</t>
  </si>
  <si>
    <t>=-NL("Sum","32 Item Ledger Entry","12 Quantity","5 Source no.",$C354,"3 Posting Date",Z$9,"4 Entry Type",$C$4,"2 Item No.","@@"&amp;$F354)</t>
  </si>
  <si>
    <t>=-NL("Sum","32 Item Ledger Entry","12 Quantity","5 Source no.",$C355,"3 Posting Date",Z$9,"4 Entry Type",$C$4,"2 Item No.","@@"&amp;$F355)</t>
  </si>
  <si>
    <t>=-NL("Sum","32 Item Ledger Entry","12 Quantity","5 Source no.",$C356,"3 Posting Date",Z$9,"4 Entry Type",$C$4,"2 Item No.","@@"&amp;$F356)</t>
  </si>
  <si>
    <t>=-NL("Sum","32 Item Ledger Entry","12 Quantity","5 Source no.",$C357,"3 Posting Date",Z$9,"4 Entry Type",$C$4,"2 Item No.","@@"&amp;$F357)</t>
  </si>
  <si>
    <t>=-NL("Sum","32 Item Ledger Entry","12 Quantity","5 Source no.",$C358,"3 Posting Date",Z$9,"4 Entry Type",$C$4,"2 Item No.","@@"&amp;$F358)</t>
  </si>
  <si>
    <t>=-NL("Sum","32 Item Ledger Entry","12 Quantity","5 Source no.",$C359,"3 Posting Date",Z$9,"4 Entry Type",$C$4,"2 Item No.","@@"&amp;$F359)</t>
  </si>
  <si>
    <t>=-NL("Sum","32 Item Ledger Entry","12 Quantity","5 Source no.",$C360,"3 Posting Date",Z$9,"4 Entry Type",$C$4,"2 Item No.","@@"&amp;$F360)</t>
  </si>
  <si>
    <t>=-NL("Sum","32 Item Ledger Entry","12 Quantity","5 Source no.",$C361,"3 Posting Date",Z$9,"4 Entry Type",$C$4,"2 Item No.","@@"&amp;$F361)</t>
  </si>
  <si>
    <t>=NL(,"27 Item","3 Description","1 No.","@@"&amp;F315)</t>
  </si>
  <si>
    <t>=NL(,"27 Item","3 Description","1 No.","@@"&amp;F316)</t>
  </si>
  <si>
    <t>=NL(,"27 Item","3 Description","1 No.","@@"&amp;F317)</t>
  </si>
  <si>
    <t>=NL(,"27 Item","3 Description","1 No.","@@"&amp;F318)</t>
  </si>
  <si>
    <t>=NL(,"27 Item","3 Description","1 No.","@@"&amp;F319)</t>
  </si>
  <si>
    <t>=NL(,"27 Item","3 Description","1 No.","@@"&amp;F320)</t>
  </si>
  <si>
    <t>=NL(,"27 Item","3 Description","1 No.","@@"&amp;F321)</t>
  </si>
  <si>
    <t>=NL(,"27 Item","3 Description","1 No.","@@"&amp;F322)</t>
  </si>
  <si>
    <t>=NL(,"27 Item","3 Description","1 No.","@@"&amp;F323)</t>
  </si>
  <si>
    <t>=NL(,"27 Item","3 Description","1 No.","@@"&amp;F324)</t>
  </si>
  <si>
    <t>=NL(,"27 Item","3 Description","1 No.","@@"&amp;F325)</t>
  </si>
  <si>
    <t>=NL(,"27 Item","3 Description","1 No.","@@"&amp;F326)</t>
  </si>
  <si>
    <t>=NL(,"27 Item","3 Description","1 No.","@@"&amp;F327)</t>
  </si>
  <si>
    <t>=NL(,"27 Item","3 Description","1 No.","@@"&amp;F328)</t>
  </si>
  <si>
    <t>=NL(,"27 Item","3 Description","1 No.","@@"&amp;F329)</t>
  </si>
  <si>
    <t>=NL(,"27 Item","3 Description","1 No.","@@"&amp;F330)</t>
  </si>
  <si>
    <t>=NL(,"27 Item","3 Description","1 No.","@@"&amp;F331)</t>
  </si>
  <si>
    <t>=NL(,"27 Item","3 Description","1 No.","@@"&amp;F332)</t>
  </si>
  <si>
    <t>=NL(,"27 Item","3 Description","1 No.","@@"&amp;F333)</t>
  </si>
  <si>
    <t>=NL(,"27 Item","3 Description","1 No.","@@"&amp;F334)</t>
  </si>
  <si>
    <t>=NL(,"27 Item","3 Description","1 No.","@@"&amp;F335)</t>
  </si>
  <si>
    <t>=NL(,"27 Item","3 Description","1 No.","@@"&amp;F336)</t>
  </si>
  <si>
    <t>=NL(,"27 Item","3 Description","1 No.","@@"&amp;F337)</t>
  </si>
  <si>
    <t>=NL(,"27 Item","3 Description","1 No.","@@"&amp;F338)</t>
  </si>
  <si>
    <t>=NL(,"27 Item","3 Description","1 No.","@@"&amp;F339)</t>
  </si>
  <si>
    <t>=NL(,"27 Item","3 Description","1 No.","@@"&amp;F340)</t>
  </si>
  <si>
    <t>=NL(,"27 Item","3 Description","1 No.","@@"&amp;F341)</t>
  </si>
  <si>
    <t>=NL(,"27 Item","3 Description","1 No.","@@"&amp;F342)</t>
  </si>
  <si>
    <t>=NL(,"27 Item","3 Description","1 No.","@@"&amp;F343)</t>
  </si>
  <si>
    <t>=NL(,"27 Item","3 Description","1 No.","@@"&amp;F344)</t>
  </si>
  <si>
    <t>=-NL("Sum","32 Item Ledger Entry","12 Quantity","5 Source no.",$C315,"3 Posting Date",J$9,"4 Entry Type",$C$4,"2 Item No.","@@"&amp;$F315)</t>
  </si>
  <si>
    <t>=-NL("Sum","32 Item Ledger Entry","12 Quantity","5 Source no.",$C316,"3 Posting Date",J$9,"4 Entry Type",$C$4,"2 Item No.","@@"&amp;$F316)</t>
  </si>
  <si>
    <t>=-NL("Sum","32 Item Ledger Entry","12 Quantity","5 Source no.",$C317,"3 Posting Date",J$9,"4 Entry Type",$C$4,"2 Item No.","@@"&amp;$F317)</t>
  </si>
  <si>
    <t>=-NL("Sum","32 Item Ledger Entry","12 Quantity","5 Source no.",$C318,"3 Posting Date",J$9,"4 Entry Type",$C$4,"2 Item No.","@@"&amp;$F318)</t>
  </si>
  <si>
    <t>=-NL("Sum","32 Item Ledger Entry","12 Quantity","5 Source no.",$C319,"3 Posting Date",J$9,"4 Entry Type",$C$4,"2 Item No.","@@"&amp;$F319)</t>
  </si>
  <si>
    <t>=-NL("Sum","32 Item Ledger Entry","12 Quantity","5 Source no.",$C320,"3 Posting Date",J$9,"4 Entry Type",$C$4,"2 Item No.","@@"&amp;$F320)</t>
  </si>
  <si>
    <t>=-NL("Sum","32 Item Ledger Entry","12 Quantity","5 Source no.",$C321,"3 Posting Date",J$9,"4 Entry Type",$C$4,"2 Item No.","@@"&amp;$F321)</t>
  </si>
  <si>
    <t>=-NL("Sum","32 Item Ledger Entry","12 Quantity","5 Source no.",$C322,"3 Posting Date",J$9,"4 Entry Type",$C$4,"2 Item No.","@@"&amp;$F322)</t>
  </si>
  <si>
    <t>=-NL("Sum","32 Item Ledger Entry","12 Quantity","5 Source no.",$C323,"3 Posting Date",J$9,"4 Entry Type",$C$4,"2 Item No.","@@"&amp;$F323)</t>
  </si>
  <si>
    <t>=-NL("Sum","32 Item Ledger Entry","12 Quantity","5 Source no.",$C324,"3 Posting Date",J$9,"4 Entry Type",$C$4,"2 Item No.","@@"&amp;$F324)</t>
  </si>
  <si>
    <t>=-NL("Sum","32 Item Ledger Entry","12 Quantity","5 Source no.",$C325,"3 Posting Date",J$9,"4 Entry Type",$C$4,"2 Item No.","@@"&amp;$F325)</t>
  </si>
  <si>
    <t>=-NL("Sum","32 Item Ledger Entry","12 Quantity","5 Source no.",$C326,"3 Posting Date",J$9,"4 Entry Type",$C$4,"2 Item No.","@@"&amp;$F326)</t>
  </si>
  <si>
    <t>=-NL("Sum","32 Item Ledger Entry","12 Quantity","5 Source no.",$C327,"3 Posting Date",J$9,"4 Entry Type",$C$4,"2 Item No.","@@"&amp;$F327)</t>
  </si>
  <si>
    <t>=-NL("Sum","32 Item Ledger Entry","12 Quantity","5 Source no.",$C328,"3 Posting Date",J$9,"4 Entry Type",$C$4,"2 Item No.","@@"&amp;$F328)</t>
  </si>
  <si>
    <t>=-NL("Sum","32 Item Ledger Entry","12 Quantity","5 Source no.",$C329,"3 Posting Date",J$9,"4 Entry Type",$C$4,"2 Item No.","@@"&amp;$F329)</t>
  </si>
  <si>
    <t>=-NL("Sum","32 Item Ledger Entry","12 Quantity","5 Source no.",$C330,"3 Posting Date",J$9,"4 Entry Type",$C$4,"2 Item No.","@@"&amp;$F330)</t>
  </si>
  <si>
    <t>=-NL("Sum","32 Item Ledger Entry","12 Quantity","5 Source no.",$C331,"3 Posting Date",J$9,"4 Entry Type",$C$4,"2 Item No.","@@"&amp;$F331)</t>
  </si>
  <si>
    <t>=-NL("Sum","32 Item Ledger Entry","12 Quantity","5 Source no.",$C332,"3 Posting Date",J$9,"4 Entry Type",$C$4,"2 Item No.","@@"&amp;$F332)</t>
  </si>
  <si>
    <t>=-NL("Sum","32 Item Ledger Entry","12 Quantity","5 Source no.",$C333,"3 Posting Date",J$9,"4 Entry Type",$C$4,"2 Item No.","@@"&amp;$F333)</t>
  </si>
  <si>
    <t>=-NL("Sum","32 Item Ledger Entry","12 Quantity","5 Source no.",$C334,"3 Posting Date",J$9,"4 Entry Type",$C$4,"2 Item No.","@@"&amp;$F334)</t>
  </si>
  <si>
    <t>=-NL("Sum","32 Item Ledger Entry","12 Quantity","5 Source no.",$C335,"3 Posting Date",J$9,"4 Entry Type",$C$4,"2 Item No.","@@"&amp;$F335)</t>
  </si>
  <si>
    <t>=-NL("Sum","32 Item Ledger Entry","12 Quantity","5 Source no.",$C336,"3 Posting Date",J$9,"4 Entry Type",$C$4,"2 Item No.","@@"&amp;$F336)</t>
  </si>
  <si>
    <t>=-NL("Sum","32 Item Ledger Entry","12 Quantity","5 Source no.",$C337,"3 Posting Date",J$9,"4 Entry Type",$C$4,"2 Item No.","@@"&amp;$F337)</t>
  </si>
  <si>
    <t>=-NL("Sum","32 Item Ledger Entry","12 Quantity","5 Source no.",$C338,"3 Posting Date",J$9,"4 Entry Type",$C$4,"2 Item No.","@@"&amp;$F338)</t>
  </si>
  <si>
    <t>=-NL("Sum","32 Item Ledger Entry","12 Quantity","5 Source no.",$C339,"3 Posting Date",J$9,"4 Entry Type",$C$4,"2 Item No.","@@"&amp;$F339)</t>
  </si>
  <si>
    <t>=-NL("Sum","32 Item Ledger Entry","12 Quantity","5 Source no.",$C340,"3 Posting Date",J$9,"4 Entry Type",$C$4,"2 Item No.","@@"&amp;$F340)</t>
  </si>
  <si>
    <t>=-NL("Sum","32 Item Ledger Entry","12 Quantity","5 Source no.",$C341,"3 Posting Date",J$9,"4 Entry Type",$C$4,"2 Item No.","@@"&amp;$F341)</t>
  </si>
  <si>
    <t>=-NL("Sum","32 Item Ledger Entry","12 Quantity","5 Source no.",$C342,"3 Posting Date",J$9,"4 Entry Type",$C$4,"2 Item No.","@@"&amp;$F342)</t>
  </si>
  <si>
    <t>=-NL("Sum","32 Item Ledger Entry","12 Quantity","5 Source no.",$C343,"3 Posting Date",J$9,"4 Entry Type",$C$4,"2 Item No.","@@"&amp;$F343)</t>
  </si>
  <si>
    <t>=-NL("Sum","32 Item Ledger Entry","12 Quantity","5 Source no.",$C344,"3 Posting Date",J$9,"4 Entry Type",$C$4,"2 Item No.","@@"&amp;$F344)</t>
  </si>
  <si>
    <t>=-NL("Sum","32 Item Ledger Entry","12 Quantity","5 Source no.",$C315,"3 Posting Date",O$9,"4 Entry Type",$C$4,"2 Item No.","@@"&amp;$F315)</t>
  </si>
  <si>
    <t>=-NL("Sum","32 Item Ledger Entry","12 Quantity","5 Source no.",$C316,"3 Posting Date",O$9,"4 Entry Type",$C$4,"2 Item No.","@@"&amp;$F316)</t>
  </si>
  <si>
    <t>=-NL("Sum","32 Item Ledger Entry","12 Quantity","5 Source no.",$C317,"3 Posting Date",O$9,"4 Entry Type",$C$4,"2 Item No.","@@"&amp;$F317)</t>
  </si>
  <si>
    <t>=-NL("Sum","32 Item Ledger Entry","12 Quantity","5 Source no.",$C318,"3 Posting Date",O$9,"4 Entry Type",$C$4,"2 Item No.","@@"&amp;$F318)</t>
  </si>
  <si>
    <t>=-NL("Sum","32 Item Ledger Entry","12 Quantity","5 Source no.",$C319,"3 Posting Date",O$9,"4 Entry Type",$C$4,"2 Item No.","@@"&amp;$F319)</t>
  </si>
  <si>
    <t>=-NL("Sum","32 Item Ledger Entry","12 Quantity","5 Source no.",$C320,"3 Posting Date",O$9,"4 Entry Type",$C$4,"2 Item No.","@@"&amp;$F320)</t>
  </si>
  <si>
    <t>=-NL("Sum","32 Item Ledger Entry","12 Quantity","5 Source no.",$C321,"3 Posting Date",O$9,"4 Entry Type",$C$4,"2 Item No.","@@"&amp;$F321)</t>
  </si>
  <si>
    <t>=-NL("Sum","32 Item Ledger Entry","12 Quantity","5 Source no.",$C322,"3 Posting Date",O$9,"4 Entry Type",$C$4,"2 Item No.","@@"&amp;$F322)</t>
  </si>
  <si>
    <t>=-NL("Sum","32 Item Ledger Entry","12 Quantity","5 Source no.",$C323,"3 Posting Date",O$9,"4 Entry Type",$C$4,"2 Item No.","@@"&amp;$F323)</t>
  </si>
  <si>
    <t>=-NL("Sum","32 Item Ledger Entry","12 Quantity","5 Source no.",$C324,"3 Posting Date",O$9,"4 Entry Type",$C$4,"2 Item No.","@@"&amp;$F324)</t>
  </si>
  <si>
    <t>=-NL("Sum","32 Item Ledger Entry","12 Quantity","5 Source no.",$C325,"3 Posting Date",O$9,"4 Entry Type",$C$4,"2 Item No.","@@"&amp;$F325)</t>
  </si>
  <si>
    <t>=-NL("Sum","32 Item Ledger Entry","12 Quantity","5 Source no.",$C326,"3 Posting Date",O$9,"4 Entry Type",$C$4,"2 Item No.","@@"&amp;$F326)</t>
  </si>
  <si>
    <t>=-NL("Sum","32 Item Ledger Entry","12 Quantity","5 Source no.",$C327,"3 Posting Date",O$9,"4 Entry Type",$C$4,"2 Item No.","@@"&amp;$F327)</t>
  </si>
  <si>
    <t>=-NL("Sum","32 Item Ledger Entry","12 Quantity","5 Source no.",$C328,"3 Posting Date",O$9,"4 Entry Type",$C$4,"2 Item No.","@@"&amp;$F328)</t>
  </si>
  <si>
    <t>=-NL("Sum","32 Item Ledger Entry","12 Quantity","5 Source no.",$C329,"3 Posting Date",O$9,"4 Entry Type",$C$4,"2 Item No.","@@"&amp;$F329)</t>
  </si>
  <si>
    <t>=-NL("Sum","32 Item Ledger Entry","12 Quantity","5 Source no.",$C330,"3 Posting Date",O$9,"4 Entry Type",$C$4,"2 Item No.","@@"&amp;$F330)</t>
  </si>
  <si>
    <t>=-NL("Sum","32 Item Ledger Entry","12 Quantity","5 Source no.",$C331,"3 Posting Date",O$9,"4 Entry Type",$C$4,"2 Item No.","@@"&amp;$F331)</t>
  </si>
  <si>
    <t>=-NL("Sum","32 Item Ledger Entry","12 Quantity","5 Source no.",$C332,"3 Posting Date",O$9,"4 Entry Type",$C$4,"2 Item No.","@@"&amp;$F332)</t>
  </si>
  <si>
    <t>=-NL("Sum","32 Item Ledger Entry","12 Quantity","5 Source no.",$C333,"3 Posting Date",O$9,"4 Entry Type",$C$4,"2 Item No.","@@"&amp;$F333)</t>
  </si>
  <si>
    <t>=-NL("Sum","32 Item Ledger Entry","12 Quantity","5 Source no.",$C334,"3 Posting Date",O$9,"4 Entry Type",$C$4,"2 Item No.","@@"&amp;$F334)</t>
  </si>
  <si>
    <t>=-NL("Sum","32 Item Ledger Entry","12 Quantity","5 Source no.",$C335,"3 Posting Date",O$9,"4 Entry Type",$C$4,"2 Item No.","@@"&amp;$F335)</t>
  </si>
  <si>
    <t>=-NL("Sum","32 Item Ledger Entry","12 Quantity","5 Source no.",$C336,"3 Posting Date",O$9,"4 Entry Type",$C$4,"2 Item No.","@@"&amp;$F336)</t>
  </si>
  <si>
    <t>=-NL("Sum","32 Item Ledger Entry","12 Quantity","5 Source no.",$C337,"3 Posting Date",O$9,"4 Entry Type",$C$4,"2 Item No.","@@"&amp;$F337)</t>
  </si>
  <si>
    <t>=-NL("Sum","32 Item Ledger Entry","12 Quantity","5 Source no.",$C338,"3 Posting Date",O$9,"4 Entry Type",$C$4,"2 Item No.","@@"&amp;$F338)</t>
  </si>
  <si>
    <t>=-NL("Sum","32 Item Ledger Entry","12 Quantity","5 Source no.",$C339,"3 Posting Date",O$9,"4 Entry Type",$C$4,"2 Item No.","@@"&amp;$F339)</t>
  </si>
  <si>
    <t>=-NL("Sum","32 Item Ledger Entry","12 Quantity","5 Source no.",$C340,"3 Posting Date",O$9,"4 Entry Type",$C$4,"2 Item No.","@@"&amp;$F340)</t>
  </si>
  <si>
    <t>=-NL("Sum","32 Item Ledger Entry","12 Quantity","5 Source no.",$C341,"3 Posting Date",O$9,"4 Entry Type",$C$4,"2 Item No.","@@"&amp;$F341)</t>
  </si>
  <si>
    <t>=-NL("Sum","32 Item Ledger Entry","12 Quantity","5 Source no.",$C342,"3 Posting Date",O$9,"4 Entry Type",$C$4,"2 Item No.","@@"&amp;$F342)</t>
  </si>
  <si>
    <t>=-NL("Sum","32 Item Ledger Entry","12 Quantity","5 Source no.",$C343,"3 Posting Date",O$9,"4 Entry Type",$C$4,"2 Item No.","@@"&amp;$F343)</t>
  </si>
  <si>
    <t>=-NL("Sum","32 Item Ledger Entry","12 Quantity","5 Source no.",$C344,"3 Posting Date",O$9,"4 Entry Type",$C$4,"2 Item No.","@@"&amp;$F344)</t>
  </si>
  <si>
    <t>=-NL("Sum","32 Item Ledger Entry","12 Quantity","5 Source no.",$C315,"3 Posting Date",U$9,"4 Entry Type",$C$4,"2 Item No.","@@"&amp;$F315)</t>
  </si>
  <si>
    <t>=-NL("Sum","32 Item Ledger Entry","12 Quantity","5 Source no.",$C316,"3 Posting Date",U$9,"4 Entry Type",$C$4,"2 Item No.","@@"&amp;$F316)</t>
  </si>
  <si>
    <t>=-NL("Sum","32 Item Ledger Entry","12 Quantity","5 Source no.",$C317,"3 Posting Date",U$9,"4 Entry Type",$C$4,"2 Item No.","@@"&amp;$F317)</t>
  </si>
  <si>
    <t>=-NL("Sum","32 Item Ledger Entry","12 Quantity","5 Source no.",$C318,"3 Posting Date",U$9,"4 Entry Type",$C$4,"2 Item No.","@@"&amp;$F318)</t>
  </si>
  <si>
    <t>=-NL("Sum","32 Item Ledger Entry","12 Quantity","5 Source no.",$C319,"3 Posting Date",U$9,"4 Entry Type",$C$4,"2 Item No.","@@"&amp;$F319)</t>
  </si>
  <si>
    <t>=-NL("Sum","32 Item Ledger Entry","12 Quantity","5 Source no.",$C320,"3 Posting Date",U$9,"4 Entry Type",$C$4,"2 Item No.","@@"&amp;$F320)</t>
  </si>
  <si>
    <t>=-NL("Sum","32 Item Ledger Entry","12 Quantity","5 Source no.",$C321,"3 Posting Date",U$9,"4 Entry Type",$C$4,"2 Item No.","@@"&amp;$F321)</t>
  </si>
  <si>
    <t>=-NL("Sum","32 Item Ledger Entry","12 Quantity","5 Source no.",$C322,"3 Posting Date",U$9,"4 Entry Type",$C$4,"2 Item No.","@@"&amp;$F322)</t>
  </si>
  <si>
    <t>=-NL("Sum","32 Item Ledger Entry","12 Quantity","5 Source no.",$C323,"3 Posting Date",U$9,"4 Entry Type",$C$4,"2 Item No.","@@"&amp;$F323)</t>
  </si>
  <si>
    <t>=-NL("Sum","32 Item Ledger Entry","12 Quantity","5 Source no.",$C324,"3 Posting Date",U$9,"4 Entry Type",$C$4,"2 Item No.","@@"&amp;$F324)</t>
  </si>
  <si>
    <t>=-NL("Sum","32 Item Ledger Entry","12 Quantity","5 Source no.",$C325,"3 Posting Date",U$9,"4 Entry Type",$C$4,"2 Item No.","@@"&amp;$F325)</t>
  </si>
  <si>
    <t>=-NL("Sum","32 Item Ledger Entry","12 Quantity","5 Source no.",$C326,"3 Posting Date",U$9,"4 Entry Type",$C$4,"2 Item No.","@@"&amp;$F326)</t>
  </si>
  <si>
    <t>=-NL("Sum","32 Item Ledger Entry","12 Quantity","5 Source no.",$C327,"3 Posting Date",U$9,"4 Entry Type",$C$4,"2 Item No.","@@"&amp;$F327)</t>
  </si>
  <si>
    <t>=-NL("Sum","32 Item Ledger Entry","12 Quantity","5 Source no.",$C328,"3 Posting Date",U$9,"4 Entry Type",$C$4,"2 Item No.","@@"&amp;$F328)</t>
  </si>
  <si>
    <t>=-NL("Sum","32 Item Ledger Entry","12 Quantity","5 Source no.",$C329,"3 Posting Date",U$9,"4 Entry Type",$C$4,"2 Item No.","@@"&amp;$F329)</t>
  </si>
  <si>
    <t>=-NL("Sum","32 Item Ledger Entry","12 Quantity","5 Source no.",$C330,"3 Posting Date",U$9,"4 Entry Type",$C$4,"2 Item No.","@@"&amp;$F330)</t>
  </si>
  <si>
    <t>=-NL("Sum","32 Item Ledger Entry","12 Quantity","5 Source no.",$C331,"3 Posting Date",U$9,"4 Entry Type",$C$4,"2 Item No.","@@"&amp;$F331)</t>
  </si>
  <si>
    <t>=-NL("Sum","32 Item Ledger Entry","12 Quantity","5 Source no.",$C332,"3 Posting Date",U$9,"4 Entry Type",$C$4,"2 Item No.","@@"&amp;$F332)</t>
  </si>
  <si>
    <t>=-NL("Sum","32 Item Ledger Entry","12 Quantity","5 Source no.",$C333,"3 Posting Date",U$9,"4 Entry Type",$C$4,"2 Item No.","@@"&amp;$F333)</t>
  </si>
  <si>
    <t>=-NL("Sum","32 Item Ledger Entry","12 Quantity","5 Source no.",$C334,"3 Posting Date",U$9,"4 Entry Type",$C$4,"2 Item No.","@@"&amp;$F334)</t>
  </si>
  <si>
    <t>=-NL("Sum","32 Item Ledger Entry","12 Quantity","5 Source no.",$C335,"3 Posting Date",U$9,"4 Entry Type",$C$4,"2 Item No.","@@"&amp;$F335)</t>
  </si>
  <si>
    <t>=-NL("Sum","32 Item Ledger Entry","12 Quantity","5 Source no.",$C336,"3 Posting Date",U$9,"4 Entry Type",$C$4,"2 Item No.","@@"&amp;$F336)</t>
  </si>
  <si>
    <t>=-NL("Sum","32 Item Ledger Entry","12 Quantity","5 Source no.",$C337,"3 Posting Date",U$9,"4 Entry Type",$C$4,"2 Item No.","@@"&amp;$F337)</t>
  </si>
  <si>
    <t>=-NL("Sum","32 Item Ledger Entry","12 Quantity","5 Source no.",$C338,"3 Posting Date",U$9,"4 Entry Type",$C$4,"2 Item No.","@@"&amp;$F338)</t>
  </si>
  <si>
    <t>=-NL("Sum","32 Item Ledger Entry","12 Quantity","5 Source no.",$C339,"3 Posting Date",U$9,"4 Entry Type",$C$4,"2 Item No.","@@"&amp;$F339)</t>
  </si>
  <si>
    <t>=-NL("Sum","32 Item Ledger Entry","12 Quantity","5 Source no.",$C340,"3 Posting Date",U$9,"4 Entry Type",$C$4,"2 Item No.","@@"&amp;$F340)</t>
  </si>
  <si>
    <t>=-NL("Sum","32 Item Ledger Entry","12 Quantity","5 Source no.",$C341,"3 Posting Date",U$9,"4 Entry Type",$C$4,"2 Item No.","@@"&amp;$F341)</t>
  </si>
  <si>
    <t>=-NL("Sum","32 Item Ledger Entry","12 Quantity","5 Source no.",$C342,"3 Posting Date",U$9,"4 Entry Type",$C$4,"2 Item No.","@@"&amp;$F342)</t>
  </si>
  <si>
    <t>=-NL("Sum","32 Item Ledger Entry","12 Quantity","5 Source no.",$C343,"3 Posting Date",U$9,"4 Entry Type",$C$4,"2 Item No.","@@"&amp;$F343)</t>
  </si>
  <si>
    <t>=-NL("Sum","32 Item Ledger Entry","12 Quantity","5 Source no.",$C344,"3 Posting Date",U$9,"4 Entry Type",$C$4,"2 Item No.","@@"&amp;$F344)</t>
  </si>
  <si>
    <t>=-NL("Sum","32 Item Ledger Entry","12 Quantity","5 Source no.",$C315,"3 Posting Date",Z$9,"4 Entry Type",$C$4,"2 Item No.","@@"&amp;$F315)</t>
  </si>
  <si>
    <t>=-NL("Sum","32 Item Ledger Entry","12 Quantity","5 Source no.",$C316,"3 Posting Date",Z$9,"4 Entry Type",$C$4,"2 Item No.","@@"&amp;$F316)</t>
  </si>
  <si>
    <t>=-NL("Sum","32 Item Ledger Entry","12 Quantity","5 Source no.",$C317,"3 Posting Date",Z$9,"4 Entry Type",$C$4,"2 Item No.","@@"&amp;$F317)</t>
  </si>
  <si>
    <t>=-NL("Sum","32 Item Ledger Entry","12 Quantity","5 Source no.",$C318,"3 Posting Date",Z$9,"4 Entry Type",$C$4,"2 Item No.","@@"&amp;$F318)</t>
  </si>
  <si>
    <t>=-NL("Sum","32 Item Ledger Entry","12 Quantity","5 Source no.",$C319,"3 Posting Date",Z$9,"4 Entry Type",$C$4,"2 Item No.","@@"&amp;$F319)</t>
  </si>
  <si>
    <t>=-NL("Sum","32 Item Ledger Entry","12 Quantity","5 Source no.",$C320,"3 Posting Date",Z$9,"4 Entry Type",$C$4,"2 Item No.","@@"&amp;$F320)</t>
  </si>
  <si>
    <t>=-NL("Sum","32 Item Ledger Entry","12 Quantity","5 Source no.",$C321,"3 Posting Date",Z$9,"4 Entry Type",$C$4,"2 Item No.","@@"&amp;$F321)</t>
  </si>
  <si>
    <t>=-NL("Sum","32 Item Ledger Entry","12 Quantity","5 Source no.",$C322,"3 Posting Date",Z$9,"4 Entry Type",$C$4,"2 Item No.","@@"&amp;$F322)</t>
  </si>
  <si>
    <t>=-NL("Sum","32 Item Ledger Entry","12 Quantity","5 Source no.",$C323,"3 Posting Date",Z$9,"4 Entry Type",$C$4,"2 Item No.","@@"&amp;$F323)</t>
  </si>
  <si>
    <t>=-NL("Sum","32 Item Ledger Entry","12 Quantity","5 Source no.",$C324,"3 Posting Date",Z$9,"4 Entry Type",$C$4,"2 Item No.","@@"&amp;$F324)</t>
  </si>
  <si>
    <t>=-NL("Sum","32 Item Ledger Entry","12 Quantity","5 Source no.",$C325,"3 Posting Date",Z$9,"4 Entry Type",$C$4,"2 Item No.","@@"&amp;$F325)</t>
  </si>
  <si>
    <t>=-NL("Sum","32 Item Ledger Entry","12 Quantity","5 Source no.",$C326,"3 Posting Date",Z$9,"4 Entry Type",$C$4,"2 Item No.","@@"&amp;$F326)</t>
  </si>
  <si>
    <t>=-NL("Sum","32 Item Ledger Entry","12 Quantity","5 Source no.",$C327,"3 Posting Date",Z$9,"4 Entry Type",$C$4,"2 Item No.","@@"&amp;$F327)</t>
  </si>
  <si>
    <t>=-NL("Sum","32 Item Ledger Entry","12 Quantity","5 Source no.",$C328,"3 Posting Date",Z$9,"4 Entry Type",$C$4,"2 Item No.","@@"&amp;$F328)</t>
  </si>
  <si>
    <t>=-NL("Sum","32 Item Ledger Entry","12 Quantity","5 Source no.",$C329,"3 Posting Date",Z$9,"4 Entry Type",$C$4,"2 Item No.","@@"&amp;$F329)</t>
  </si>
  <si>
    <t>=-NL("Sum","32 Item Ledger Entry","12 Quantity","5 Source no.",$C330,"3 Posting Date",Z$9,"4 Entry Type",$C$4,"2 Item No.","@@"&amp;$F330)</t>
  </si>
  <si>
    <t>=-NL("Sum","32 Item Ledger Entry","12 Quantity","5 Source no.",$C331,"3 Posting Date",Z$9,"4 Entry Type",$C$4,"2 Item No.","@@"&amp;$F331)</t>
  </si>
  <si>
    <t>=-NL("Sum","32 Item Ledger Entry","12 Quantity","5 Source no.",$C332,"3 Posting Date",Z$9,"4 Entry Type",$C$4,"2 Item No.","@@"&amp;$F332)</t>
  </si>
  <si>
    <t>=-NL("Sum","32 Item Ledger Entry","12 Quantity","5 Source no.",$C333,"3 Posting Date",Z$9,"4 Entry Type",$C$4,"2 Item No.","@@"&amp;$F333)</t>
  </si>
  <si>
    <t>=-NL("Sum","32 Item Ledger Entry","12 Quantity","5 Source no.",$C334,"3 Posting Date",Z$9,"4 Entry Type",$C$4,"2 Item No.","@@"&amp;$F334)</t>
  </si>
  <si>
    <t>=-NL("Sum","32 Item Ledger Entry","12 Quantity","5 Source no.",$C335,"3 Posting Date",Z$9,"4 Entry Type",$C$4,"2 Item No.","@@"&amp;$F335)</t>
  </si>
  <si>
    <t>=-NL("Sum","32 Item Ledger Entry","12 Quantity","5 Source no.",$C336,"3 Posting Date",Z$9,"4 Entry Type",$C$4,"2 Item No.","@@"&amp;$F336)</t>
  </si>
  <si>
    <t>=-NL("Sum","32 Item Ledger Entry","12 Quantity","5 Source no.",$C337,"3 Posting Date",Z$9,"4 Entry Type",$C$4,"2 Item No.","@@"&amp;$F337)</t>
  </si>
  <si>
    <t>=-NL("Sum","32 Item Ledger Entry","12 Quantity","5 Source no.",$C338,"3 Posting Date",Z$9,"4 Entry Type",$C$4,"2 Item No.","@@"&amp;$F338)</t>
  </si>
  <si>
    <t>=-NL("Sum","32 Item Ledger Entry","12 Quantity","5 Source no.",$C339,"3 Posting Date",Z$9,"4 Entry Type",$C$4,"2 Item No.","@@"&amp;$F339)</t>
  </si>
  <si>
    <t>=-NL("Sum","32 Item Ledger Entry","12 Quantity","5 Source no.",$C340,"3 Posting Date",Z$9,"4 Entry Type",$C$4,"2 Item No.","@@"&amp;$F340)</t>
  </si>
  <si>
    <t>=-NL("Sum","32 Item Ledger Entry","12 Quantity","5 Source no.",$C341,"3 Posting Date",Z$9,"4 Entry Type",$C$4,"2 Item No.","@@"&amp;$F341)</t>
  </si>
  <si>
    <t>=-NL("Sum","32 Item Ledger Entry","12 Quantity","5 Source no.",$C342,"3 Posting Date",Z$9,"4 Entry Type",$C$4,"2 Item No.","@@"&amp;$F342)</t>
  </si>
  <si>
    <t>=-NL("Sum","32 Item Ledger Entry","12 Quantity","5 Source no.",$C343,"3 Posting Date",Z$9,"4 Entry Type",$C$4,"2 Item No.","@@"&amp;$F343)</t>
  </si>
  <si>
    <t>=-NL("Sum","32 Item Ledger Entry","12 Quantity","5 Source no.",$C344,"3 Posting Date",Z$9,"4 Entry Type",$C$4,"2 Item No.","@@"&amp;$F344)</t>
  </si>
  <si>
    <t>=NL(,"27 Item","3 Description","1 No.","@@"&amp;F297)</t>
  </si>
  <si>
    <t>=NL(,"27 Item","3 Description","1 No.","@@"&amp;F298)</t>
  </si>
  <si>
    <t>=NL(,"27 Item","3 Description","1 No.","@@"&amp;F299)</t>
  </si>
  <si>
    <t>=NL(,"27 Item","3 Description","1 No.","@@"&amp;F300)</t>
  </si>
  <si>
    <t>=NL(,"27 Item","3 Description","1 No.","@@"&amp;F301)</t>
  </si>
  <si>
    <t>=NL(,"27 Item","3 Description","1 No.","@@"&amp;F302)</t>
  </si>
  <si>
    <t>=NL(,"27 Item","3 Description","1 No.","@@"&amp;F303)</t>
  </si>
  <si>
    <t>=NL(,"27 Item","3 Description","1 No.","@@"&amp;F304)</t>
  </si>
  <si>
    <t>=NL(,"27 Item","3 Description","1 No.","@@"&amp;F305)</t>
  </si>
  <si>
    <t>=NL(,"27 Item","3 Description","1 No.","@@"&amp;F306)</t>
  </si>
  <si>
    <t>=NL(,"27 Item","3 Description","1 No.","@@"&amp;F307)</t>
  </si>
  <si>
    <t>=NL(,"27 Item","3 Description","1 No.","@@"&amp;F308)</t>
  </si>
  <si>
    <t>=NL(,"27 Item","3 Description","1 No.","@@"&amp;F309)</t>
  </si>
  <si>
    <t>=-NL("Sum","32 Item Ledger Entry","12 Quantity","5 Source no.",$C297,"3 Posting Date",J$9,"4 Entry Type",$C$4,"2 Item No.","@@"&amp;$F297)</t>
  </si>
  <si>
    <t>=-NL("Sum","32 Item Ledger Entry","12 Quantity","5 Source no.",$C298,"3 Posting Date",J$9,"4 Entry Type",$C$4,"2 Item No.","@@"&amp;$F298)</t>
  </si>
  <si>
    <t>=-NL("Sum","32 Item Ledger Entry","12 Quantity","5 Source no.",$C299,"3 Posting Date",J$9,"4 Entry Type",$C$4,"2 Item No.","@@"&amp;$F299)</t>
  </si>
  <si>
    <t>=-NL("Sum","32 Item Ledger Entry","12 Quantity","5 Source no.",$C300,"3 Posting Date",J$9,"4 Entry Type",$C$4,"2 Item No.","@@"&amp;$F300)</t>
  </si>
  <si>
    <t>=-NL("Sum","32 Item Ledger Entry","12 Quantity","5 Source no.",$C301,"3 Posting Date",J$9,"4 Entry Type",$C$4,"2 Item No.","@@"&amp;$F301)</t>
  </si>
  <si>
    <t>=-NL("Sum","32 Item Ledger Entry","12 Quantity","5 Source no.",$C302,"3 Posting Date",J$9,"4 Entry Type",$C$4,"2 Item No.","@@"&amp;$F302)</t>
  </si>
  <si>
    <t>=-NL("Sum","32 Item Ledger Entry","12 Quantity","5 Source no.",$C303,"3 Posting Date",J$9,"4 Entry Type",$C$4,"2 Item No.","@@"&amp;$F303)</t>
  </si>
  <si>
    <t>=-NL("Sum","32 Item Ledger Entry","12 Quantity","5 Source no.",$C304,"3 Posting Date",J$9,"4 Entry Type",$C$4,"2 Item No.","@@"&amp;$F304)</t>
  </si>
  <si>
    <t>=-NL("Sum","32 Item Ledger Entry","12 Quantity","5 Source no.",$C305,"3 Posting Date",J$9,"4 Entry Type",$C$4,"2 Item No.","@@"&amp;$F305)</t>
  </si>
  <si>
    <t>=-NL("Sum","32 Item Ledger Entry","12 Quantity","5 Source no.",$C306,"3 Posting Date",J$9,"4 Entry Type",$C$4,"2 Item No.","@@"&amp;$F306)</t>
  </si>
  <si>
    <t>=-NL("Sum","32 Item Ledger Entry","12 Quantity","5 Source no.",$C307,"3 Posting Date",J$9,"4 Entry Type",$C$4,"2 Item No.","@@"&amp;$F307)</t>
  </si>
  <si>
    <t>=-NL("Sum","32 Item Ledger Entry","12 Quantity","5 Source no.",$C308,"3 Posting Date",J$9,"4 Entry Type",$C$4,"2 Item No.","@@"&amp;$F308)</t>
  </si>
  <si>
    <t>=-NL("Sum","32 Item Ledger Entry","12 Quantity","5 Source no.",$C309,"3 Posting Date",J$9,"4 Entry Type",$C$4,"2 Item No.","@@"&amp;$F309)</t>
  </si>
  <si>
    <t>=-NL("Sum","32 Item Ledger Entry","12 Quantity","5 Source no.",$C297,"3 Posting Date",O$9,"4 Entry Type",$C$4,"2 Item No.","@@"&amp;$F297)</t>
  </si>
  <si>
    <t>=-NL("Sum","32 Item Ledger Entry","12 Quantity","5 Source no.",$C298,"3 Posting Date",O$9,"4 Entry Type",$C$4,"2 Item No.","@@"&amp;$F298)</t>
  </si>
  <si>
    <t>=-NL("Sum","32 Item Ledger Entry","12 Quantity","5 Source no.",$C299,"3 Posting Date",O$9,"4 Entry Type",$C$4,"2 Item No.","@@"&amp;$F299)</t>
  </si>
  <si>
    <t>=-NL("Sum","32 Item Ledger Entry","12 Quantity","5 Source no.",$C300,"3 Posting Date",O$9,"4 Entry Type",$C$4,"2 Item No.","@@"&amp;$F300)</t>
  </si>
  <si>
    <t>=-NL("Sum","32 Item Ledger Entry","12 Quantity","5 Source no.",$C301,"3 Posting Date",O$9,"4 Entry Type",$C$4,"2 Item No.","@@"&amp;$F301)</t>
  </si>
  <si>
    <t>=-NL("Sum","32 Item Ledger Entry","12 Quantity","5 Source no.",$C302,"3 Posting Date",O$9,"4 Entry Type",$C$4,"2 Item No.","@@"&amp;$F302)</t>
  </si>
  <si>
    <t>=-NL("Sum","32 Item Ledger Entry","12 Quantity","5 Source no.",$C303,"3 Posting Date",O$9,"4 Entry Type",$C$4,"2 Item No.","@@"&amp;$F303)</t>
  </si>
  <si>
    <t>=-NL("Sum","32 Item Ledger Entry","12 Quantity","5 Source no.",$C304,"3 Posting Date",O$9,"4 Entry Type",$C$4,"2 Item No.","@@"&amp;$F304)</t>
  </si>
  <si>
    <t>=-NL("Sum","32 Item Ledger Entry","12 Quantity","5 Source no.",$C305,"3 Posting Date",O$9,"4 Entry Type",$C$4,"2 Item No.","@@"&amp;$F305)</t>
  </si>
  <si>
    <t>=-NL("Sum","32 Item Ledger Entry","12 Quantity","5 Source no.",$C306,"3 Posting Date",O$9,"4 Entry Type",$C$4,"2 Item No.","@@"&amp;$F306)</t>
  </si>
  <si>
    <t>=-NL("Sum","32 Item Ledger Entry","12 Quantity","5 Source no.",$C307,"3 Posting Date",O$9,"4 Entry Type",$C$4,"2 Item No.","@@"&amp;$F307)</t>
  </si>
  <si>
    <t>=-NL("Sum","32 Item Ledger Entry","12 Quantity","5 Source no.",$C308,"3 Posting Date",O$9,"4 Entry Type",$C$4,"2 Item No.","@@"&amp;$F308)</t>
  </si>
  <si>
    <t>=-NL("Sum","32 Item Ledger Entry","12 Quantity","5 Source no.",$C309,"3 Posting Date",O$9,"4 Entry Type",$C$4,"2 Item No.","@@"&amp;$F309)</t>
  </si>
  <si>
    <t>=-NL("Sum","32 Item Ledger Entry","12 Quantity","5 Source no.",$C297,"3 Posting Date",U$9,"4 Entry Type",$C$4,"2 Item No.","@@"&amp;$F297)</t>
  </si>
  <si>
    <t>=-NL("Sum","32 Item Ledger Entry","12 Quantity","5 Source no.",$C298,"3 Posting Date",U$9,"4 Entry Type",$C$4,"2 Item No.","@@"&amp;$F298)</t>
  </si>
  <si>
    <t>=-NL("Sum","32 Item Ledger Entry","12 Quantity","5 Source no.",$C299,"3 Posting Date",U$9,"4 Entry Type",$C$4,"2 Item No.","@@"&amp;$F299)</t>
  </si>
  <si>
    <t>=-NL("Sum","32 Item Ledger Entry","12 Quantity","5 Source no.",$C300,"3 Posting Date",U$9,"4 Entry Type",$C$4,"2 Item No.","@@"&amp;$F300)</t>
  </si>
  <si>
    <t>=-NL("Sum","32 Item Ledger Entry","12 Quantity","5 Source no.",$C301,"3 Posting Date",U$9,"4 Entry Type",$C$4,"2 Item No.","@@"&amp;$F301)</t>
  </si>
  <si>
    <t>=-NL("Sum","32 Item Ledger Entry","12 Quantity","5 Source no.",$C302,"3 Posting Date",U$9,"4 Entry Type",$C$4,"2 Item No.","@@"&amp;$F302)</t>
  </si>
  <si>
    <t>=-NL("Sum","32 Item Ledger Entry","12 Quantity","5 Source no.",$C303,"3 Posting Date",U$9,"4 Entry Type",$C$4,"2 Item No.","@@"&amp;$F303)</t>
  </si>
  <si>
    <t>=-NL("Sum","32 Item Ledger Entry","12 Quantity","5 Source no.",$C304,"3 Posting Date",U$9,"4 Entry Type",$C$4,"2 Item No.","@@"&amp;$F304)</t>
  </si>
  <si>
    <t>=-NL("Sum","32 Item Ledger Entry","12 Quantity","5 Source no.",$C305,"3 Posting Date",U$9,"4 Entry Type",$C$4,"2 Item No.","@@"&amp;$F305)</t>
  </si>
  <si>
    <t>=-NL("Sum","32 Item Ledger Entry","12 Quantity","5 Source no.",$C306,"3 Posting Date",U$9,"4 Entry Type",$C$4,"2 Item No.","@@"&amp;$F306)</t>
  </si>
  <si>
    <t>=-NL("Sum","32 Item Ledger Entry","12 Quantity","5 Source no.",$C307,"3 Posting Date",U$9,"4 Entry Type",$C$4,"2 Item No.","@@"&amp;$F307)</t>
  </si>
  <si>
    <t>=-NL("Sum","32 Item Ledger Entry","12 Quantity","5 Source no.",$C308,"3 Posting Date",U$9,"4 Entry Type",$C$4,"2 Item No.","@@"&amp;$F308)</t>
  </si>
  <si>
    <t>=-NL("Sum","32 Item Ledger Entry","12 Quantity","5 Source no.",$C309,"3 Posting Date",U$9,"4 Entry Type",$C$4,"2 Item No.","@@"&amp;$F309)</t>
  </si>
  <si>
    <t>=-NL("Sum","32 Item Ledger Entry","12 Quantity","5 Source no.",$C297,"3 Posting Date",Z$9,"4 Entry Type",$C$4,"2 Item No.","@@"&amp;$F297)</t>
  </si>
  <si>
    <t>=-NL("Sum","32 Item Ledger Entry","12 Quantity","5 Source no.",$C298,"3 Posting Date",Z$9,"4 Entry Type",$C$4,"2 Item No.","@@"&amp;$F298)</t>
  </si>
  <si>
    <t>=-NL("Sum","32 Item Ledger Entry","12 Quantity","5 Source no.",$C299,"3 Posting Date",Z$9,"4 Entry Type",$C$4,"2 Item No.","@@"&amp;$F299)</t>
  </si>
  <si>
    <t>=-NL("Sum","32 Item Ledger Entry","12 Quantity","5 Source no.",$C300,"3 Posting Date",Z$9,"4 Entry Type",$C$4,"2 Item No.","@@"&amp;$F300)</t>
  </si>
  <si>
    <t>=-NL("Sum","32 Item Ledger Entry","12 Quantity","5 Source no.",$C301,"3 Posting Date",Z$9,"4 Entry Type",$C$4,"2 Item No.","@@"&amp;$F301)</t>
  </si>
  <si>
    <t>=-NL("Sum","32 Item Ledger Entry","12 Quantity","5 Source no.",$C302,"3 Posting Date",Z$9,"4 Entry Type",$C$4,"2 Item No.","@@"&amp;$F302)</t>
  </si>
  <si>
    <t>=-NL("Sum","32 Item Ledger Entry","12 Quantity","5 Source no.",$C303,"3 Posting Date",Z$9,"4 Entry Type",$C$4,"2 Item No.","@@"&amp;$F303)</t>
  </si>
  <si>
    <t>=-NL("Sum","32 Item Ledger Entry","12 Quantity","5 Source no.",$C304,"3 Posting Date",Z$9,"4 Entry Type",$C$4,"2 Item No.","@@"&amp;$F304)</t>
  </si>
  <si>
    <t>=-NL("Sum","32 Item Ledger Entry","12 Quantity","5 Source no.",$C305,"3 Posting Date",Z$9,"4 Entry Type",$C$4,"2 Item No.","@@"&amp;$F305)</t>
  </si>
  <si>
    <t>=-NL("Sum","32 Item Ledger Entry","12 Quantity","5 Source no.",$C306,"3 Posting Date",Z$9,"4 Entry Type",$C$4,"2 Item No.","@@"&amp;$F306)</t>
  </si>
  <si>
    <t>=-NL("Sum","32 Item Ledger Entry","12 Quantity","5 Source no.",$C307,"3 Posting Date",Z$9,"4 Entry Type",$C$4,"2 Item No.","@@"&amp;$F307)</t>
  </si>
  <si>
    <t>=-NL("Sum","32 Item Ledger Entry","12 Quantity","5 Source no.",$C308,"3 Posting Date",Z$9,"4 Entry Type",$C$4,"2 Item No.","@@"&amp;$F308)</t>
  </si>
  <si>
    <t>=-NL("Sum","32 Item Ledger Entry","12 Quantity","5 Source no.",$C309,"3 Posting Date",Z$9,"4 Entry Type",$C$4,"2 Item No.","@@"&amp;$F309)</t>
  </si>
  <si>
    <t>=NL(,"27 Item","3 Description","1 No.","@@"&amp;F275)</t>
  </si>
  <si>
    <t>=NL(,"27 Item","3 Description","1 No.","@@"&amp;F276)</t>
  </si>
  <si>
    <t>=NL(,"27 Item","3 Description","1 No.","@@"&amp;F277)</t>
  </si>
  <si>
    <t>=NL(,"27 Item","3 Description","1 No.","@@"&amp;F278)</t>
  </si>
  <si>
    <t>=NL(,"27 Item","3 Description","1 No.","@@"&amp;F279)</t>
  </si>
  <si>
    <t>=NL(,"27 Item","3 Description","1 No.","@@"&amp;F280)</t>
  </si>
  <si>
    <t>=NL(,"27 Item","3 Description","1 No.","@@"&amp;F281)</t>
  </si>
  <si>
    <t>=NL(,"27 Item","3 Description","1 No.","@@"&amp;F282)</t>
  </si>
  <si>
    <t>=NL(,"27 Item","3 Description","1 No.","@@"&amp;F283)</t>
  </si>
  <si>
    <t>=NL(,"27 Item","3 Description","1 No.","@@"&amp;F284)</t>
  </si>
  <si>
    <t>=NL(,"27 Item","3 Description","1 No.","@@"&amp;F285)</t>
  </si>
  <si>
    <t>=NL(,"27 Item","3 Description","1 No.","@@"&amp;F286)</t>
  </si>
  <si>
    <t>=NL(,"27 Item","3 Description","1 No.","@@"&amp;F287)</t>
  </si>
  <si>
    <t>=NL(,"27 Item","3 Description","1 No.","@@"&amp;F288)</t>
  </si>
  <si>
    <t>=NL(,"27 Item","3 Description","1 No.","@@"&amp;F289)</t>
  </si>
  <si>
    <t>=NL(,"27 Item","3 Description","1 No.","@@"&amp;F290)</t>
  </si>
  <si>
    <t>=NL(,"27 Item","3 Description","1 No.","@@"&amp;F291)</t>
  </si>
  <si>
    <t>=-NL("Sum","32 Item Ledger Entry","12 Quantity","5 Source no.",$C275,"3 Posting Date",J$9,"4 Entry Type",$C$4,"2 Item No.","@@"&amp;$F275)</t>
  </si>
  <si>
    <t>=-NL("Sum","32 Item Ledger Entry","12 Quantity","5 Source no.",$C276,"3 Posting Date",J$9,"4 Entry Type",$C$4,"2 Item No.","@@"&amp;$F276)</t>
  </si>
  <si>
    <t>=-NL("Sum","32 Item Ledger Entry","12 Quantity","5 Source no.",$C277,"3 Posting Date",J$9,"4 Entry Type",$C$4,"2 Item No.","@@"&amp;$F277)</t>
  </si>
  <si>
    <t>=-NL("Sum","32 Item Ledger Entry","12 Quantity","5 Source no.",$C278,"3 Posting Date",J$9,"4 Entry Type",$C$4,"2 Item No.","@@"&amp;$F278)</t>
  </si>
  <si>
    <t>=-NL("Sum","32 Item Ledger Entry","12 Quantity","5 Source no.",$C279,"3 Posting Date",J$9,"4 Entry Type",$C$4,"2 Item No.","@@"&amp;$F279)</t>
  </si>
  <si>
    <t>=-NL("Sum","32 Item Ledger Entry","12 Quantity","5 Source no.",$C280,"3 Posting Date",J$9,"4 Entry Type",$C$4,"2 Item No.","@@"&amp;$F280)</t>
  </si>
  <si>
    <t>=-NL("Sum","32 Item Ledger Entry","12 Quantity","5 Source no.",$C281,"3 Posting Date",J$9,"4 Entry Type",$C$4,"2 Item No.","@@"&amp;$F281)</t>
  </si>
  <si>
    <t>=-NL("Sum","32 Item Ledger Entry","12 Quantity","5 Source no.",$C282,"3 Posting Date",J$9,"4 Entry Type",$C$4,"2 Item No.","@@"&amp;$F282)</t>
  </si>
  <si>
    <t>=-NL("Sum","32 Item Ledger Entry","12 Quantity","5 Source no.",$C283,"3 Posting Date",J$9,"4 Entry Type",$C$4,"2 Item No.","@@"&amp;$F283)</t>
  </si>
  <si>
    <t>=-NL("Sum","32 Item Ledger Entry","12 Quantity","5 Source no.",$C284,"3 Posting Date",J$9,"4 Entry Type",$C$4,"2 Item No.","@@"&amp;$F284)</t>
  </si>
  <si>
    <t>=-NL("Sum","32 Item Ledger Entry","12 Quantity","5 Source no.",$C285,"3 Posting Date",J$9,"4 Entry Type",$C$4,"2 Item No.","@@"&amp;$F285)</t>
  </si>
  <si>
    <t>=-NL("Sum","32 Item Ledger Entry","12 Quantity","5 Source no.",$C286,"3 Posting Date",J$9,"4 Entry Type",$C$4,"2 Item No.","@@"&amp;$F286)</t>
  </si>
  <si>
    <t>=-NL("Sum","32 Item Ledger Entry","12 Quantity","5 Source no.",$C287,"3 Posting Date",J$9,"4 Entry Type",$C$4,"2 Item No.","@@"&amp;$F287)</t>
  </si>
  <si>
    <t>=-NL("Sum","32 Item Ledger Entry","12 Quantity","5 Source no.",$C288,"3 Posting Date",J$9,"4 Entry Type",$C$4,"2 Item No.","@@"&amp;$F288)</t>
  </si>
  <si>
    <t>=-NL("Sum","32 Item Ledger Entry","12 Quantity","5 Source no.",$C289,"3 Posting Date",J$9,"4 Entry Type",$C$4,"2 Item No.","@@"&amp;$F289)</t>
  </si>
  <si>
    <t>=-NL("Sum","32 Item Ledger Entry","12 Quantity","5 Source no.",$C290,"3 Posting Date",J$9,"4 Entry Type",$C$4,"2 Item No.","@@"&amp;$F290)</t>
  </si>
  <si>
    <t>=-NL("Sum","32 Item Ledger Entry","12 Quantity","5 Source no.",$C291,"3 Posting Date",J$9,"4 Entry Type",$C$4,"2 Item No.","@@"&amp;$F291)</t>
  </si>
  <si>
    <t>=-NL("Sum","32 Item Ledger Entry","12 Quantity","5 Source no.",$C275,"3 Posting Date",O$9,"4 Entry Type",$C$4,"2 Item No.","@@"&amp;$F275)</t>
  </si>
  <si>
    <t>=-NL("Sum","32 Item Ledger Entry","12 Quantity","5 Source no.",$C276,"3 Posting Date",O$9,"4 Entry Type",$C$4,"2 Item No.","@@"&amp;$F276)</t>
  </si>
  <si>
    <t>=-NL("Sum","32 Item Ledger Entry","12 Quantity","5 Source no.",$C277,"3 Posting Date",O$9,"4 Entry Type",$C$4,"2 Item No.","@@"&amp;$F277)</t>
  </si>
  <si>
    <t>=-NL("Sum","32 Item Ledger Entry","12 Quantity","5 Source no.",$C278,"3 Posting Date",O$9,"4 Entry Type",$C$4,"2 Item No.","@@"&amp;$F278)</t>
  </si>
  <si>
    <t>=-NL("Sum","32 Item Ledger Entry","12 Quantity","5 Source no.",$C279,"3 Posting Date",O$9,"4 Entry Type",$C$4,"2 Item No.","@@"&amp;$F279)</t>
  </si>
  <si>
    <t>=-NL("Sum","32 Item Ledger Entry","12 Quantity","5 Source no.",$C280,"3 Posting Date",O$9,"4 Entry Type",$C$4,"2 Item No.","@@"&amp;$F280)</t>
  </si>
  <si>
    <t>=-NL("Sum","32 Item Ledger Entry","12 Quantity","5 Source no.",$C281,"3 Posting Date",O$9,"4 Entry Type",$C$4,"2 Item No.","@@"&amp;$F281)</t>
  </si>
  <si>
    <t>=-NL("Sum","32 Item Ledger Entry","12 Quantity","5 Source no.",$C282,"3 Posting Date",O$9,"4 Entry Type",$C$4,"2 Item No.","@@"&amp;$F282)</t>
  </si>
  <si>
    <t>=-NL("Sum","32 Item Ledger Entry","12 Quantity","5 Source no.",$C283,"3 Posting Date",O$9,"4 Entry Type",$C$4,"2 Item No.","@@"&amp;$F283)</t>
  </si>
  <si>
    <t>=-NL("Sum","32 Item Ledger Entry","12 Quantity","5 Source no.",$C284,"3 Posting Date",O$9,"4 Entry Type",$C$4,"2 Item No.","@@"&amp;$F284)</t>
  </si>
  <si>
    <t>=-NL("Sum","32 Item Ledger Entry","12 Quantity","5 Source no.",$C285,"3 Posting Date",O$9,"4 Entry Type",$C$4,"2 Item No.","@@"&amp;$F285)</t>
  </si>
  <si>
    <t>=-NL("Sum","32 Item Ledger Entry","12 Quantity","5 Source no.",$C286,"3 Posting Date",O$9,"4 Entry Type",$C$4,"2 Item No.","@@"&amp;$F286)</t>
  </si>
  <si>
    <t>=-NL("Sum","32 Item Ledger Entry","12 Quantity","5 Source no.",$C287,"3 Posting Date",O$9,"4 Entry Type",$C$4,"2 Item No.","@@"&amp;$F287)</t>
  </si>
  <si>
    <t>=-NL("Sum","32 Item Ledger Entry","12 Quantity","5 Source no.",$C288,"3 Posting Date",O$9,"4 Entry Type",$C$4,"2 Item No.","@@"&amp;$F288)</t>
  </si>
  <si>
    <t>=-NL("Sum","32 Item Ledger Entry","12 Quantity","5 Source no.",$C289,"3 Posting Date",O$9,"4 Entry Type",$C$4,"2 Item No.","@@"&amp;$F289)</t>
  </si>
  <si>
    <t>=-NL("Sum","32 Item Ledger Entry","12 Quantity","5 Source no.",$C290,"3 Posting Date",O$9,"4 Entry Type",$C$4,"2 Item No.","@@"&amp;$F290)</t>
  </si>
  <si>
    <t>=-NL("Sum","32 Item Ledger Entry","12 Quantity","5 Source no.",$C291,"3 Posting Date",O$9,"4 Entry Type",$C$4,"2 Item No.","@@"&amp;$F291)</t>
  </si>
  <si>
    <t>=-NL("Sum","32 Item Ledger Entry","12 Quantity","5 Source no.",$C275,"3 Posting Date",U$9,"4 Entry Type",$C$4,"2 Item No.","@@"&amp;$F275)</t>
  </si>
  <si>
    <t>=-NL("Sum","32 Item Ledger Entry","12 Quantity","5 Source no.",$C276,"3 Posting Date",U$9,"4 Entry Type",$C$4,"2 Item No.","@@"&amp;$F276)</t>
  </si>
  <si>
    <t>=-NL("Sum","32 Item Ledger Entry","12 Quantity","5 Source no.",$C277,"3 Posting Date",U$9,"4 Entry Type",$C$4,"2 Item No.","@@"&amp;$F277)</t>
  </si>
  <si>
    <t>=-NL("Sum","32 Item Ledger Entry","12 Quantity","5 Source no.",$C278,"3 Posting Date",U$9,"4 Entry Type",$C$4,"2 Item No.","@@"&amp;$F278)</t>
  </si>
  <si>
    <t>=-NL("Sum","32 Item Ledger Entry","12 Quantity","5 Source no.",$C279,"3 Posting Date",U$9,"4 Entry Type",$C$4,"2 Item No.","@@"&amp;$F279)</t>
  </si>
  <si>
    <t>=-NL("Sum","32 Item Ledger Entry","12 Quantity","5 Source no.",$C280,"3 Posting Date",U$9,"4 Entry Type",$C$4,"2 Item No.","@@"&amp;$F280)</t>
  </si>
  <si>
    <t>=-NL("Sum","32 Item Ledger Entry","12 Quantity","5 Source no.",$C281,"3 Posting Date",U$9,"4 Entry Type",$C$4,"2 Item No.","@@"&amp;$F281)</t>
  </si>
  <si>
    <t>=-NL("Sum","32 Item Ledger Entry","12 Quantity","5 Source no.",$C282,"3 Posting Date",U$9,"4 Entry Type",$C$4,"2 Item No.","@@"&amp;$F282)</t>
  </si>
  <si>
    <t>=-NL("Sum","32 Item Ledger Entry","12 Quantity","5 Source no.",$C283,"3 Posting Date",U$9,"4 Entry Type",$C$4,"2 Item No.","@@"&amp;$F283)</t>
  </si>
  <si>
    <t>=-NL("Sum","32 Item Ledger Entry","12 Quantity","5 Source no.",$C284,"3 Posting Date",U$9,"4 Entry Type",$C$4,"2 Item No.","@@"&amp;$F284)</t>
  </si>
  <si>
    <t>=-NL("Sum","32 Item Ledger Entry","12 Quantity","5 Source no.",$C285,"3 Posting Date",U$9,"4 Entry Type",$C$4,"2 Item No.","@@"&amp;$F285)</t>
  </si>
  <si>
    <t>=-NL("Sum","32 Item Ledger Entry","12 Quantity","5 Source no.",$C286,"3 Posting Date",U$9,"4 Entry Type",$C$4,"2 Item No.","@@"&amp;$F286)</t>
  </si>
  <si>
    <t>=-NL("Sum","32 Item Ledger Entry","12 Quantity","5 Source no.",$C287,"3 Posting Date",U$9,"4 Entry Type",$C$4,"2 Item No.","@@"&amp;$F287)</t>
  </si>
  <si>
    <t>=-NL("Sum","32 Item Ledger Entry","12 Quantity","5 Source no.",$C288,"3 Posting Date",U$9,"4 Entry Type",$C$4,"2 Item No.","@@"&amp;$F288)</t>
  </si>
  <si>
    <t>=-NL("Sum","32 Item Ledger Entry","12 Quantity","5 Source no.",$C289,"3 Posting Date",U$9,"4 Entry Type",$C$4,"2 Item No.","@@"&amp;$F289)</t>
  </si>
  <si>
    <t>=-NL("Sum","32 Item Ledger Entry","12 Quantity","5 Source no.",$C290,"3 Posting Date",U$9,"4 Entry Type",$C$4,"2 Item No.","@@"&amp;$F290)</t>
  </si>
  <si>
    <t>=-NL("Sum","32 Item Ledger Entry","12 Quantity","5 Source no.",$C291,"3 Posting Date",U$9,"4 Entry Type",$C$4,"2 Item No.","@@"&amp;$F291)</t>
  </si>
  <si>
    <t>=-NL("Sum","32 Item Ledger Entry","12 Quantity","5 Source no.",$C275,"3 Posting Date",Z$9,"4 Entry Type",$C$4,"2 Item No.","@@"&amp;$F275)</t>
  </si>
  <si>
    <t>=-NL("Sum","32 Item Ledger Entry","12 Quantity","5 Source no.",$C276,"3 Posting Date",Z$9,"4 Entry Type",$C$4,"2 Item No.","@@"&amp;$F276)</t>
  </si>
  <si>
    <t>=-NL("Sum","32 Item Ledger Entry","12 Quantity","5 Source no.",$C277,"3 Posting Date",Z$9,"4 Entry Type",$C$4,"2 Item No.","@@"&amp;$F277)</t>
  </si>
  <si>
    <t>=-NL("Sum","32 Item Ledger Entry","12 Quantity","5 Source no.",$C278,"3 Posting Date",Z$9,"4 Entry Type",$C$4,"2 Item No.","@@"&amp;$F278)</t>
  </si>
  <si>
    <t>=-NL("Sum","32 Item Ledger Entry","12 Quantity","5 Source no.",$C279,"3 Posting Date",Z$9,"4 Entry Type",$C$4,"2 Item No.","@@"&amp;$F279)</t>
  </si>
  <si>
    <t>=-NL("Sum","32 Item Ledger Entry","12 Quantity","5 Source no.",$C280,"3 Posting Date",Z$9,"4 Entry Type",$C$4,"2 Item No.","@@"&amp;$F280)</t>
  </si>
  <si>
    <t>=-NL("Sum","32 Item Ledger Entry","12 Quantity","5 Source no.",$C281,"3 Posting Date",Z$9,"4 Entry Type",$C$4,"2 Item No.","@@"&amp;$F281)</t>
  </si>
  <si>
    <t>=-NL("Sum","32 Item Ledger Entry","12 Quantity","5 Source no.",$C282,"3 Posting Date",Z$9,"4 Entry Type",$C$4,"2 Item No.","@@"&amp;$F282)</t>
  </si>
  <si>
    <t>=-NL("Sum","32 Item Ledger Entry","12 Quantity","5 Source no.",$C283,"3 Posting Date",Z$9,"4 Entry Type",$C$4,"2 Item No.","@@"&amp;$F283)</t>
  </si>
  <si>
    <t>=-NL("Sum","32 Item Ledger Entry","12 Quantity","5 Source no.",$C284,"3 Posting Date",Z$9,"4 Entry Type",$C$4,"2 Item No.","@@"&amp;$F284)</t>
  </si>
  <si>
    <t>=-NL("Sum","32 Item Ledger Entry","12 Quantity","5 Source no.",$C285,"3 Posting Date",Z$9,"4 Entry Type",$C$4,"2 Item No.","@@"&amp;$F285)</t>
  </si>
  <si>
    <t>=-NL("Sum","32 Item Ledger Entry","12 Quantity","5 Source no.",$C286,"3 Posting Date",Z$9,"4 Entry Type",$C$4,"2 Item No.","@@"&amp;$F286)</t>
  </si>
  <si>
    <t>=-NL("Sum","32 Item Ledger Entry","12 Quantity","5 Source no.",$C287,"3 Posting Date",Z$9,"4 Entry Type",$C$4,"2 Item No.","@@"&amp;$F287)</t>
  </si>
  <si>
    <t>=-NL("Sum","32 Item Ledger Entry","12 Quantity","5 Source no.",$C288,"3 Posting Date",Z$9,"4 Entry Type",$C$4,"2 Item No.","@@"&amp;$F288)</t>
  </si>
  <si>
    <t>=-NL("Sum","32 Item Ledger Entry","12 Quantity","5 Source no.",$C289,"3 Posting Date",Z$9,"4 Entry Type",$C$4,"2 Item No.","@@"&amp;$F289)</t>
  </si>
  <si>
    <t>=-NL("Sum","32 Item Ledger Entry","12 Quantity","5 Source no.",$C290,"3 Posting Date",Z$9,"4 Entry Type",$C$4,"2 Item No.","@@"&amp;$F290)</t>
  </si>
  <si>
    <t>=-NL("Sum","32 Item Ledger Entry","12 Quantity","5 Source no.",$C291,"3 Posting Date",Z$9,"4 Entry Type",$C$4,"2 Item No.","@@"&amp;$F291)</t>
  </si>
  <si>
    <t>=NL(,"27 Item","3 Description","1 No.","@@"&amp;F257)</t>
  </si>
  <si>
    <t>=NL(,"27 Item","3 Description","1 No.","@@"&amp;F258)</t>
  </si>
  <si>
    <t>=NL(,"27 Item","3 Description","1 No.","@@"&amp;F259)</t>
  </si>
  <si>
    <t>=NL(,"27 Item","3 Description","1 No.","@@"&amp;F260)</t>
  </si>
  <si>
    <t>=NL(,"27 Item","3 Description","1 No.","@@"&amp;F261)</t>
  </si>
  <si>
    <t>=NL(,"27 Item","3 Description","1 No.","@@"&amp;F262)</t>
  </si>
  <si>
    <t>=NL(,"27 Item","3 Description","1 No.","@@"&amp;F263)</t>
  </si>
  <si>
    <t>=NL(,"27 Item","3 Description","1 No.","@@"&amp;F264)</t>
  </si>
  <si>
    <t>=NL(,"27 Item","3 Description","1 No.","@@"&amp;F265)</t>
  </si>
  <si>
    <t>=NL(,"27 Item","3 Description","1 No.","@@"&amp;F266)</t>
  </si>
  <si>
    <t>=NL(,"27 Item","3 Description","1 No.","@@"&amp;F267)</t>
  </si>
  <si>
    <t>=NL(,"27 Item","3 Description","1 No.","@@"&amp;F268)</t>
  </si>
  <si>
    <t>=NL(,"27 Item","3 Description","1 No.","@@"&amp;F269)</t>
  </si>
  <si>
    <t>=-NL("Sum","32 Item Ledger Entry","12 Quantity","5 Source no.",$C257,"3 Posting Date",J$9,"4 Entry Type",$C$4,"2 Item No.","@@"&amp;$F257)</t>
  </si>
  <si>
    <t>=-NL("Sum","32 Item Ledger Entry","12 Quantity","5 Source no.",$C258,"3 Posting Date",J$9,"4 Entry Type",$C$4,"2 Item No.","@@"&amp;$F258)</t>
  </si>
  <si>
    <t>=-NL("Sum","32 Item Ledger Entry","12 Quantity","5 Source no.",$C259,"3 Posting Date",J$9,"4 Entry Type",$C$4,"2 Item No.","@@"&amp;$F259)</t>
  </si>
  <si>
    <t>=-NL("Sum","32 Item Ledger Entry","12 Quantity","5 Source no.",$C260,"3 Posting Date",J$9,"4 Entry Type",$C$4,"2 Item No.","@@"&amp;$F260)</t>
  </si>
  <si>
    <t>=-NL("Sum","32 Item Ledger Entry","12 Quantity","5 Source no.",$C261,"3 Posting Date",J$9,"4 Entry Type",$C$4,"2 Item No.","@@"&amp;$F261)</t>
  </si>
  <si>
    <t>=-NL("Sum","32 Item Ledger Entry","12 Quantity","5 Source no.",$C262,"3 Posting Date",J$9,"4 Entry Type",$C$4,"2 Item No.","@@"&amp;$F262)</t>
  </si>
  <si>
    <t>=-NL("Sum","32 Item Ledger Entry","12 Quantity","5 Source no.",$C263,"3 Posting Date",J$9,"4 Entry Type",$C$4,"2 Item No.","@@"&amp;$F263)</t>
  </si>
  <si>
    <t>=-NL("Sum","32 Item Ledger Entry","12 Quantity","5 Source no.",$C264,"3 Posting Date",J$9,"4 Entry Type",$C$4,"2 Item No.","@@"&amp;$F264)</t>
  </si>
  <si>
    <t>=-NL("Sum","32 Item Ledger Entry","12 Quantity","5 Source no.",$C265,"3 Posting Date",J$9,"4 Entry Type",$C$4,"2 Item No.","@@"&amp;$F265)</t>
  </si>
  <si>
    <t>=-NL("Sum","32 Item Ledger Entry","12 Quantity","5 Source no.",$C266,"3 Posting Date",J$9,"4 Entry Type",$C$4,"2 Item No.","@@"&amp;$F266)</t>
  </si>
  <si>
    <t>=-NL("Sum","32 Item Ledger Entry","12 Quantity","5 Source no.",$C267,"3 Posting Date",J$9,"4 Entry Type",$C$4,"2 Item No.","@@"&amp;$F267)</t>
  </si>
  <si>
    <t>=-NL("Sum","32 Item Ledger Entry","12 Quantity","5 Source no.",$C268,"3 Posting Date",J$9,"4 Entry Type",$C$4,"2 Item No.","@@"&amp;$F268)</t>
  </si>
  <si>
    <t>=-NL("Sum","32 Item Ledger Entry","12 Quantity","5 Source no.",$C269,"3 Posting Date",J$9,"4 Entry Type",$C$4,"2 Item No.","@@"&amp;$F269)</t>
  </si>
  <si>
    <t>=-NL("Sum","32 Item Ledger Entry","12 Quantity","5 Source no.",$C257,"3 Posting Date",O$9,"4 Entry Type",$C$4,"2 Item No.","@@"&amp;$F257)</t>
  </si>
  <si>
    <t>=-NL("Sum","32 Item Ledger Entry","12 Quantity","5 Source no.",$C258,"3 Posting Date",O$9,"4 Entry Type",$C$4,"2 Item No.","@@"&amp;$F258)</t>
  </si>
  <si>
    <t>=-NL("Sum","32 Item Ledger Entry","12 Quantity","5 Source no.",$C259,"3 Posting Date",O$9,"4 Entry Type",$C$4,"2 Item No.","@@"&amp;$F259)</t>
  </si>
  <si>
    <t>=-NL("Sum","32 Item Ledger Entry","12 Quantity","5 Source no.",$C260,"3 Posting Date",O$9,"4 Entry Type",$C$4,"2 Item No.","@@"&amp;$F260)</t>
  </si>
  <si>
    <t>=-NL("Sum","32 Item Ledger Entry","12 Quantity","5 Source no.",$C261,"3 Posting Date",O$9,"4 Entry Type",$C$4,"2 Item No.","@@"&amp;$F261)</t>
  </si>
  <si>
    <t>=-NL("Sum","32 Item Ledger Entry","12 Quantity","5 Source no.",$C262,"3 Posting Date",O$9,"4 Entry Type",$C$4,"2 Item No.","@@"&amp;$F262)</t>
  </si>
  <si>
    <t>=-NL("Sum","32 Item Ledger Entry","12 Quantity","5 Source no.",$C263,"3 Posting Date",O$9,"4 Entry Type",$C$4,"2 Item No.","@@"&amp;$F263)</t>
  </si>
  <si>
    <t>=-NL("Sum","32 Item Ledger Entry","12 Quantity","5 Source no.",$C264,"3 Posting Date",O$9,"4 Entry Type",$C$4,"2 Item No.","@@"&amp;$F264)</t>
  </si>
  <si>
    <t>=-NL("Sum","32 Item Ledger Entry","12 Quantity","5 Source no.",$C265,"3 Posting Date",O$9,"4 Entry Type",$C$4,"2 Item No.","@@"&amp;$F265)</t>
  </si>
  <si>
    <t>=-NL("Sum","32 Item Ledger Entry","12 Quantity","5 Source no.",$C266,"3 Posting Date",O$9,"4 Entry Type",$C$4,"2 Item No.","@@"&amp;$F266)</t>
  </si>
  <si>
    <t>=-NL("Sum","32 Item Ledger Entry","12 Quantity","5 Source no.",$C267,"3 Posting Date",O$9,"4 Entry Type",$C$4,"2 Item No.","@@"&amp;$F267)</t>
  </si>
  <si>
    <t>=-NL("Sum","32 Item Ledger Entry","12 Quantity","5 Source no.",$C268,"3 Posting Date",O$9,"4 Entry Type",$C$4,"2 Item No.","@@"&amp;$F268)</t>
  </si>
  <si>
    <t>=-NL("Sum","32 Item Ledger Entry","12 Quantity","5 Source no.",$C269,"3 Posting Date",O$9,"4 Entry Type",$C$4,"2 Item No.","@@"&amp;$F269)</t>
  </si>
  <si>
    <t>=-NL("Sum","32 Item Ledger Entry","12 Quantity","5 Source no.",$C257,"3 Posting Date",U$9,"4 Entry Type",$C$4,"2 Item No.","@@"&amp;$F257)</t>
  </si>
  <si>
    <t>=-NL("Sum","32 Item Ledger Entry","12 Quantity","5 Source no.",$C258,"3 Posting Date",U$9,"4 Entry Type",$C$4,"2 Item No.","@@"&amp;$F258)</t>
  </si>
  <si>
    <t>=-NL("Sum","32 Item Ledger Entry","12 Quantity","5 Source no.",$C259,"3 Posting Date",U$9,"4 Entry Type",$C$4,"2 Item No.","@@"&amp;$F259)</t>
  </si>
  <si>
    <t>=-NL("Sum","32 Item Ledger Entry","12 Quantity","5 Source no.",$C260,"3 Posting Date",U$9,"4 Entry Type",$C$4,"2 Item No.","@@"&amp;$F260)</t>
  </si>
  <si>
    <t>=-NL("Sum","32 Item Ledger Entry","12 Quantity","5 Source no.",$C261,"3 Posting Date",U$9,"4 Entry Type",$C$4,"2 Item No.","@@"&amp;$F261)</t>
  </si>
  <si>
    <t>=-NL("Sum","32 Item Ledger Entry","12 Quantity","5 Source no.",$C262,"3 Posting Date",U$9,"4 Entry Type",$C$4,"2 Item No.","@@"&amp;$F262)</t>
  </si>
  <si>
    <t>=-NL("Sum","32 Item Ledger Entry","12 Quantity","5 Source no.",$C263,"3 Posting Date",U$9,"4 Entry Type",$C$4,"2 Item No.","@@"&amp;$F263)</t>
  </si>
  <si>
    <t>=-NL("Sum","32 Item Ledger Entry","12 Quantity","5 Source no.",$C264,"3 Posting Date",U$9,"4 Entry Type",$C$4,"2 Item No.","@@"&amp;$F264)</t>
  </si>
  <si>
    <t>=-NL("Sum","32 Item Ledger Entry","12 Quantity","5 Source no.",$C265,"3 Posting Date",U$9,"4 Entry Type",$C$4,"2 Item No.","@@"&amp;$F265)</t>
  </si>
  <si>
    <t>=-NL("Sum","32 Item Ledger Entry","12 Quantity","5 Source no.",$C266,"3 Posting Date",U$9,"4 Entry Type",$C$4,"2 Item No.","@@"&amp;$F266)</t>
  </si>
  <si>
    <t>=-NL("Sum","32 Item Ledger Entry","12 Quantity","5 Source no.",$C267,"3 Posting Date",U$9,"4 Entry Type",$C$4,"2 Item No.","@@"&amp;$F267)</t>
  </si>
  <si>
    <t>=-NL("Sum","32 Item Ledger Entry","12 Quantity","5 Source no.",$C268,"3 Posting Date",U$9,"4 Entry Type",$C$4,"2 Item No.","@@"&amp;$F268)</t>
  </si>
  <si>
    <t>=-NL("Sum","32 Item Ledger Entry","12 Quantity","5 Source no.",$C269,"3 Posting Date",U$9,"4 Entry Type",$C$4,"2 Item No.","@@"&amp;$F269)</t>
  </si>
  <si>
    <t>=-NL("Sum","32 Item Ledger Entry","12 Quantity","5 Source no.",$C257,"3 Posting Date",Z$9,"4 Entry Type",$C$4,"2 Item No.","@@"&amp;$F257)</t>
  </si>
  <si>
    <t>=-NL("Sum","32 Item Ledger Entry","12 Quantity","5 Source no.",$C258,"3 Posting Date",Z$9,"4 Entry Type",$C$4,"2 Item No.","@@"&amp;$F258)</t>
  </si>
  <si>
    <t>=-NL("Sum","32 Item Ledger Entry","12 Quantity","5 Source no.",$C259,"3 Posting Date",Z$9,"4 Entry Type",$C$4,"2 Item No.","@@"&amp;$F259)</t>
  </si>
  <si>
    <t>=-NL("Sum","32 Item Ledger Entry","12 Quantity","5 Source no.",$C260,"3 Posting Date",Z$9,"4 Entry Type",$C$4,"2 Item No.","@@"&amp;$F260)</t>
  </si>
  <si>
    <t>=-NL("Sum","32 Item Ledger Entry","12 Quantity","5 Source no.",$C261,"3 Posting Date",Z$9,"4 Entry Type",$C$4,"2 Item No.","@@"&amp;$F261)</t>
  </si>
  <si>
    <t>=-NL("Sum","32 Item Ledger Entry","12 Quantity","5 Source no.",$C262,"3 Posting Date",Z$9,"4 Entry Type",$C$4,"2 Item No.","@@"&amp;$F262)</t>
  </si>
  <si>
    <t>=-NL("Sum","32 Item Ledger Entry","12 Quantity","5 Source no.",$C263,"3 Posting Date",Z$9,"4 Entry Type",$C$4,"2 Item No.","@@"&amp;$F263)</t>
  </si>
  <si>
    <t>=-NL("Sum","32 Item Ledger Entry","12 Quantity","5 Source no.",$C264,"3 Posting Date",Z$9,"4 Entry Type",$C$4,"2 Item No.","@@"&amp;$F264)</t>
  </si>
  <si>
    <t>=-NL("Sum","32 Item Ledger Entry","12 Quantity","5 Source no.",$C265,"3 Posting Date",Z$9,"4 Entry Type",$C$4,"2 Item No.","@@"&amp;$F265)</t>
  </si>
  <si>
    <t>=-NL("Sum","32 Item Ledger Entry","12 Quantity","5 Source no.",$C266,"3 Posting Date",Z$9,"4 Entry Type",$C$4,"2 Item No.","@@"&amp;$F266)</t>
  </si>
  <si>
    <t>=-NL("Sum","32 Item Ledger Entry","12 Quantity","5 Source no.",$C267,"3 Posting Date",Z$9,"4 Entry Type",$C$4,"2 Item No.","@@"&amp;$F267)</t>
  </si>
  <si>
    <t>=-NL("Sum","32 Item Ledger Entry","12 Quantity","5 Source no.",$C268,"3 Posting Date",Z$9,"4 Entry Type",$C$4,"2 Item No.","@@"&amp;$F268)</t>
  </si>
  <si>
    <t>=-NL("Sum","32 Item Ledger Entry","12 Quantity","5 Source no.",$C269,"3 Posting Date",Z$9,"4 Entry Type",$C$4,"2 Item No.","@@"&amp;$F269)</t>
  </si>
  <si>
    <t>=NL(,"27 Item","3 Description","1 No.","@@"&amp;F236)</t>
  </si>
  <si>
    <t>=NL(,"27 Item","3 Description","1 No.","@@"&amp;F237)</t>
  </si>
  <si>
    <t>=NL(,"27 Item","3 Description","1 No.","@@"&amp;F238)</t>
  </si>
  <si>
    <t>=NL(,"27 Item","3 Description","1 No.","@@"&amp;F239)</t>
  </si>
  <si>
    <t>=NL(,"27 Item","3 Description","1 No.","@@"&amp;F240)</t>
  </si>
  <si>
    <t>=NL(,"27 Item","3 Description","1 No.","@@"&amp;F241)</t>
  </si>
  <si>
    <t>=NL(,"27 Item","3 Description","1 No.","@@"&amp;F242)</t>
  </si>
  <si>
    <t>=NL(,"27 Item","3 Description","1 No.","@@"&amp;F243)</t>
  </si>
  <si>
    <t>=NL(,"27 Item","3 Description","1 No.","@@"&amp;F244)</t>
  </si>
  <si>
    <t>=NL(,"27 Item","3 Description","1 No.","@@"&amp;F245)</t>
  </si>
  <si>
    <t>=NL(,"27 Item","3 Description","1 No.","@@"&amp;F246)</t>
  </si>
  <si>
    <t>=NL(,"27 Item","3 Description","1 No.","@@"&amp;F247)</t>
  </si>
  <si>
    <t>=NL(,"27 Item","3 Description","1 No.","@@"&amp;F248)</t>
  </si>
  <si>
    <t>=NL(,"27 Item","3 Description","1 No.","@@"&amp;F249)</t>
  </si>
  <si>
    <t>=NL(,"27 Item","3 Description","1 No.","@@"&amp;F250)</t>
  </si>
  <si>
    <t>=NL(,"27 Item","3 Description","1 No.","@@"&amp;F251)</t>
  </si>
  <si>
    <t>=-NL("Sum","32 Item Ledger Entry","12 Quantity","5 Source no.",$C236,"3 Posting Date",J$9,"4 Entry Type",$C$4,"2 Item No.","@@"&amp;$F236)</t>
  </si>
  <si>
    <t>=-NL("Sum","32 Item Ledger Entry","12 Quantity","5 Source no.",$C237,"3 Posting Date",J$9,"4 Entry Type",$C$4,"2 Item No.","@@"&amp;$F237)</t>
  </si>
  <si>
    <t>=-NL("Sum","32 Item Ledger Entry","12 Quantity","5 Source no.",$C238,"3 Posting Date",J$9,"4 Entry Type",$C$4,"2 Item No.","@@"&amp;$F238)</t>
  </si>
  <si>
    <t>=-NL("Sum","32 Item Ledger Entry","12 Quantity","5 Source no.",$C239,"3 Posting Date",J$9,"4 Entry Type",$C$4,"2 Item No.","@@"&amp;$F239)</t>
  </si>
  <si>
    <t>=-NL("Sum","32 Item Ledger Entry","12 Quantity","5 Source no.",$C240,"3 Posting Date",J$9,"4 Entry Type",$C$4,"2 Item No.","@@"&amp;$F240)</t>
  </si>
  <si>
    <t>=-NL("Sum","32 Item Ledger Entry","12 Quantity","5 Source no.",$C241,"3 Posting Date",J$9,"4 Entry Type",$C$4,"2 Item No.","@@"&amp;$F241)</t>
  </si>
  <si>
    <t>=-NL("Sum","32 Item Ledger Entry","12 Quantity","5 Source no.",$C242,"3 Posting Date",J$9,"4 Entry Type",$C$4,"2 Item No.","@@"&amp;$F242)</t>
  </si>
  <si>
    <t>=-NL("Sum","32 Item Ledger Entry","12 Quantity","5 Source no.",$C243,"3 Posting Date",J$9,"4 Entry Type",$C$4,"2 Item No.","@@"&amp;$F243)</t>
  </si>
  <si>
    <t>=-NL("Sum","32 Item Ledger Entry","12 Quantity","5 Source no.",$C244,"3 Posting Date",J$9,"4 Entry Type",$C$4,"2 Item No.","@@"&amp;$F244)</t>
  </si>
  <si>
    <t>=-NL("Sum","32 Item Ledger Entry","12 Quantity","5 Source no.",$C245,"3 Posting Date",J$9,"4 Entry Type",$C$4,"2 Item No.","@@"&amp;$F245)</t>
  </si>
  <si>
    <t>=-NL("Sum","32 Item Ledger Entry","12 Quantity","5 Source no.",$C246,"3 Posting Date",J$9,"4 Entry Type",$C$4,"2 Item No.","@@"&amp;$F246)</t>
  </si>
  <si>
    <t>=-NL("Sum","32 Item Ledger Entry","12 Quantity","5 Source no.",$C247,"3 Posting Date",J$9,"4 Entry Type",$C$4,"2 Item No.","@@"&amp;$F247)</t>
  </si>
  <si>
    <t>=-NL("Sum","32 Item Ledger Entry","12 Quantity","5 Source no.",$C248,"3 Posting Date",J$9,"4 Entry Type",$C$4,"2 Item No.","@@"&amp;$F248)</t>
  </si>
  <si>
    <t>=-NL("Sum","32 Item Ledger Entry","12 Quantity","5 Source no.",$C249,"3 Posting Date",J$9,"4 Entry Type",$C$4,"2 Item No.","@@"&amp;$F249)</t>
  </si>
  <si>
    <t>=-NL("Sum","32 Item Ledger Entry","12 Quantity","5 Source no.",$C250,"3 Posting Date",J$9,"4 Entry Type",$C$4,"2 Item No.","@@"&amp;$F250)</t>
  </si>
  <si>
    <t>=-NL("Sum","32 Item Ledger Entry","12 Quantity","5 Source no.",$C251,"3 Posting Date",J$9,"4 Entry Type",$C$4,"2 Item No.","@@"&amp;$F251)</t>
  </si>
  <si>
    <t>=-NL("Sum","32 Item Ledger Entry","12 Quantity","5 Source no.",$C236,"3 Posting Date",O$9,"4 Entry Type",$C$4,"2 Item No.","@@"&amp;$F236)</t>
  </si>
  <si>
    <t>=-NL("Sum","32 Item Ledger Entry","12 Quantity","5 Source no.",$C237,"3 Posting Date",O$9,"4 Entry Type",$C$4,"2 Item No.","@@"&amp;$F237)</t>
  </si>
  <si>
    <t>=-NL("Sum","32 Item Ledger Entry","12 Quantity","5 Source no.",$C238,"3 Posting Date",O$9,"4 Entry Type",$C$4,"2 Item No.","@@"&amp;$F238)</t>
  </si>
  <si>
    <t>=-NL("Sum","32 Item Ledger Entry","12 Quantity","5 Source no.",$C239,"3 Posting Date",O$9,"4 Entry Type",$C$4,"2 Item No.","@@"&amp;$F239)</t>
  </si>
  <si>
    <t>=-NL("Sum","32 Item Ledger Entry","12 Quantity","5 Source no.",$C240,"3 Posting Date",O$9,"4 Entry Type",$C$4,"2 Item No.","@@"&amp;$F240)</t>
  </si>
  <si>
    <t>=-NL("Sum","32 Item Ledger Entry","12 Quantity","5 Source no.",$C241,"3 Posting Date",O$9,"4 Entry Type",$C$4,"2 Item No.","@@"&amp;$F241)</t>
  </si>
  <si>
    <t>=-NL("Sum","32 Item Ledger Entry","12 Quantity","5 Source no.",$C242,"3 Posting Date",O$9,"4 Entry Type",$C$4,"2 Item No.","@@"&amp;$F242)</t>
  </si>
  <si>
    <t>=-NL("Sum","32 Item Ledger Entry","12 Quantity","5 Source no.",$C243,"3 Posting Date",O$9,"4 Entry Type",$C$4,"2 Item No.","@@"&amp;$F243)</t>
  </si>
  <si>
    <t>=-NL("Sum","32 Item Ledger Entry","12 Quantity","5 Source no.",$C244,"3 Posting Date",O$9,"4 Entry Type",$C$4,"2 Item No.","@@"&amp;$F244)</t>
  </si>
  <si>
    <t>=-NL("Sum","32 Item Ledger Entry","12 Quantity","5 Source no.",$C245,"3 Posting Date",O$9,"4 Entry Type",$C$4,"2 Item No.","@@"&amp;$F245)</t>
  </si>
  <si>
    <t>=-NL("Sum","32 Item Ledger Entry","12 Quantity","5 Source no.",$C246,"3 Posting Date",O$9,"4 Entry Type",$C$4,"2 Item No.","@@"&amp;$F246)</t>
  </si>
  <si>
    <t>=-NL("Sum","32 Item Ledger Entry","12 Quantity","5 Source no.",$C247,"3 Posting Date",O$9,"4 Entry Type",$C$4,"2 Item No.","@@"&amp;$F247)</t>
  </si>
  <si>
    <t>=-NL("Sum","32 Item Ledger Entry","12 Quantity","5 Source no.",$C248,"3 Posting Date",O$9,"4 Entry Type",$C$4,"2 Item No.","@@"&amp;$F248)</t>
  </si>
  <si>
    <t>=-NL("Sum","32 Item Ledger Entry","12 Quantity","5 Source no.",$C249,"3 Posting Date",O$9,"4 Entry Type",$C$4,"2 Item No.","@@"&amp;$F249)</t>
  </si>
  <si>
    <t>=-NL("Sum","32 Item Ledger Entry","12 Quantity","5 Source no.",$C250,"3 Posting Date",O$9,"4 Entry Type",$C$4,"2 Item No.","@@"&amp;$F250)</t>
  </si>
  <si>
    <t>=-NL("Sum","32 Item Ledger Entry","12 Quantity","5 Source no.",$C251,"3 Posting Date",O$9,"4 Entry Type",$C$4,"2 Item No.","@@"&amp;$F251)</t>
  </si>
  <si>
    <t>=-NL("Sum","32 Item Ledger Entry","12 Quantity","5 Source no.",$C236,"3 Posting Date",U$9,"4 Entry Type",$C$4,"2 Item No.","@@"&amp;$F236)</t>
  </si>
  <si>
    <t>=-NL("Sum","32 Item Ledger Entry","12 Quantity","5 Source no.",$C237,"3 Posting Date",U$9,"4 Entry Type",$C$4,"2 Item No.","@@"&amp;$F237)</t>
  </si>
  <si>
    <t>=-NL("Sum","32 Item Ledger Entry","12 Quantity","5 Source no.",$C238,"3 Posting Date",U$9,"4 Entry Type",$C$4,"2 Item No.","@@"&amp;$F238)</t>
  </si>
  <si>
    <t>=-NL("Sum","32 Item Ledger Entry","12 Quantity","5 Source no.",$C239,"3 Posting Date",U$9,"4 Entry Type",$C$4,"2 Item No.","@@"&amp;$F239)</t>
  </si>
  <si>
    <t>=-NL("Sum","32 Item Ledger Entry","12 Quantity","5 Source no.",$C240,"3 Posting Date",U$9,"4 Entry Type",$C$4,"2 Item No.","@@"&amp;$F240)</t>
  </si>
  <si>
    <t>=-NL("Sum","32 Item Ledger Entry","12 Quantity","5 Source no.",$C241,"3 Posting Date",U$9,"4 Entry Type",$C$4,"2 Item No.","@@"&amp;$F241)</t>
  </si>
  <si>
    <t>=-NL("Sum","32 Item Ledger Entry","12 Quantity","5 Source no.",$C242,"3 Posting Date",U$9,"4 Entry Type",$C$4,"2 Item No.","@@"&amp;$F242)</t>
  </si>
  <si>
    <t>=-NL("Sum","32 Item Ledger Entry","12 Quantity","5 Source no.",$C243,"3 Posting Date",U$9,"4 Entry Type",$C$4,"2 Item No.","@@"&amp;$F243)</t>
  </si>
  <si>
    <t>=-NL("Sum","32 Item Ledger Entry","12 Quantity","5 Source no.",$C244,"3 Posting Date",U$9,"4 Entry Type",$C$4,"2 Item No.","@@"&amp;$F244)</t>
  </si>
  <si>
    <t>=-NL("Sum","32 Item Ledger Entry","12 Quantity","5 Source no.",$C245,"3 Posting Date",U$9,"4 Entry Type",$C$4,"2 Item No.","@@"&amp;$F245)</t>
  </si>
  <si>
    <t>=-NL("Sum","32 Item Ledger Entry","12 Quantity","5 Source no.",$C246,"3 Posting Date",U$9,"4 Entry Type",$C$4,"2 Item No.","@@"&amp;$F246)</t>
  </si>
  <si>
    <t>=-NL("Sum","32 Item Ledger Entry","12 Quantity","5 Source no.",$C247,"3 Posting Date",U$9,"4 Entry Type",$C$4,"2 Item No.","@@"&amp;$F247)</t>
  </si>
  <si>
    <t>=-NL("Sum","32 Item Ledger Entry","12 Quantity","5 Source no.",$C248,"3 Posting Date",U$9,"4 Entry Type",$C$4,"2 Item No.","@@"&amp;$F248)</t>
  </si>
  <si>
    <t>=-NL("Sum","32 Item Ledger Entry","12 Quantity","5 Source no.",$C249,"3 Posting Date",U$9,"4 Entry Type",$C$4,"2 Item No.","@@"&amp;$F249)</t>
  </si>
  <si>
    <t>=-NL("Sum","32 Item Ledger Entry","12 Quantity","5 Source no.",$C250,"3 Posting Date",U$9,"4 Entry Type",$C$4,"2 Item No.","@@"&amp;$F250)</t>
  </si>
  <si>
    <t>=-NL("Sum","32 Item Ledger Entry","12 Quantity","5 Source no.",$C251,"3 Posting Date",U$9,"4 Entry Type",$C$4,"2 Item No.","@@"&amp;$F251)</t>
  </si>
  <si>
    <t>=-NL("Sum","32 Item Ledger Entry","12 Quantity","5 Source no.",$C236,"3 Posting Date",Z$9,"4 Entry Type",$C$4,"2 Item No.","@@"&amp;$F236)</t>
  </si>
  <si>
    <t>=-NL("Sum","32 Item Ledger Entry","12 Quantity","5 Source no.",$C237,"3 Posting Date",Z$9,"4 Entry Type",$C$4,"2 Item No.","@@"&amp;$F237)</t>
  </si>
  <si>
    <t>=-NL("Sum","32 Item Ledger Entry","12 Quantity","5 Source no.",$C238,"3 Posting Date",Z$9,"4 Entry Type",$C$4,"2 Item No.","@@"&amp;$F238)</t>
  </si>
  <si>
    <t>=-NL("Sum","32 Item Ledger Entry","12 Quantity","5 Source no.",$C239,"3 Posting Date",Z$9,"4 Entry Type",$C$4,"2 Item No.","@@"&amp;$F239)</t>
  </si>
  <si>
    <t>=-NL("Sum","32 Item Ledger Entry","12 Quantity","5 Source no.",$C240,"3 Posting Date",Z$9,"4 Entry Type",$C$4,"2 Item No.","@@"&amp;$F240)</t>
  </si>
  <si>
    <t>=-NL("Sum","32 Item Ledger Entry","12 Quantity","5 Source no.",$C241,"3 Posting Date",Z$9,"4 Entry Type",$C$4,"2 Item No.","@@"&amp;$F241)</t>
  </si>
  <si>
    <t>=-NL("Sum","32 Item Ledger Entry","12 Quantity","5 Source no.",$C242,"3 Posting Date",Z$9,"4 Entry Type",$C$4,"2 Item No.","@@"&amp;$F242)</t>
  </si>
  <si>
    <t>=-NL("Sum","32 Item Ledger Entry","12 Quantity","5 Source no.",$C243,"3 Posting Date",Z$9,"4 Entry Type",$C$4,"2 Item No.","@@"&amp;$F243)</t>
  </si>
  <si>
    <t>=-NL("Sum","32 Item Ledger Entry","12 Quantity","5 Source no.",$C244,"3 Posting Date",Z$9,"4 Entry Type",$C$4,"2 Item No.","@@"&amp;$F244)</t>
  </si>
  <si>
    <t>=-NL("Sum","32 Item Ledger Entry","12 Quantity","5 Source no.",$C245,"3 Posting Date",Z$9,"4 Entry Type",$C$4,"2 Item No.","@@"&amp;$F245)</t>
  </si>
  <si>
    <t>=-NL("Sum","32 Item Ledger Entry","12 Quantity","5 Source no.",$C246,"3 Posting Date",Z$9,"4 Entry Type",$C$4,"2 Item No.","@@"&amp;$F246)</t>
  </si>
  <si>
    <t>=-NL("Sum","32 Item Ledger Entry","12 Quantity","5 Source no.",$C247,"3 Posting Date",Z$9,"4 Entry Type",$C$4,"2 Item No.","@@"&amp;$F247)</t>
  </si>
  <si>
    <t>=-NL("Sum","32 Item Ledger Entry","12 Quantity","5 Source no.",$C248,"3 Posting Date",Z$9,"4 Entry Type",$C$4,"2 Item No.","@@"&amp;$F248)</t>
  </si>
  <si>
    <t>=-NL("Sum","32 Item Ledger Entry","12 Quantity","5 Source no.",$C249,"3 Posting Date",Z$9,"4 Entry Type",$C$4,"2 Item No.","@@"&amp;$F249)</t>
  </si>
  <si>
    <t>=-NL("Sum","32 Item Ledger Entry","12 Quantity","5 Source no.",$C250,"3 Posting Date",Z$9,"4 Entry Type",$C$4,"2 Item No.","@@"&amp;$F250)</t>
  </si>
  <si>
    <t>=-NL("Sum","32 Item Ledger Entry","12 Quantity","5 Source no.",$C251,"3 Posting Date",Z$9,"4 Entry Type",$C$4,"2 Item No.","@@"&amp;$F251)</t>
  </si>
  <si>
    <t>=NL(,"27 Item","3 Description","1 No.","@@"&amp;F225)</t>
  </si>
  <si>
    <t>=NL(,"27 Item","3 Description","1 No.","@@"&amp;F226)</t>
  </si>
  <si>
    <t>=NL(,"27 Item","3 Description","1 No.","@@"&amp;F227)</t>
  </si>
  <si>
    <t>=NL(,"27 Item","3 Description","1 No.","@@"&amp;F228)</t>
  </si>
  <si>
    <t>=NL(,"27 Item","3 Description","1 No.","@@"&amp;F229)</t>
  </si>
  <si>
    <t>=NL(,"27 Item","3 Description","1 No.","@@"&amp;F230)</t>
  </si>
  <si>
    <t>=-NL("Sum","32 Item Ledger Entry","12 Quantity","5 Source no.",$C225,"3 Posting Date",J$9,"4 Entry Type",$C$4,"2 Item No.","@@"&amp;$F225)</t>
  </si>
  <si>
    <t>=-NL("Sum","32 Item Ledger Entry","12 Quantity","5 Source no.",$C226,"3 Posting Date",J$9,"4 Entry Type",$C$4,"2 Item No.","@@"&amp;$F226)</t>
  </si>
  <si>
    <t>=-NL("Sum","32 Item Ledger Entry","12 Quantity","5 Source no.",$C227,"3 Posting Date",J$9,"4 Entry Type",$C$4,"2 Item No.","@@"&amp;$F227)</t>
  </si>
  <si>
    <t>=-NL("Sum","32 Item Ledger Entry","12 Quantity","5 Source no.",$C228,"3 Posting Date",J$9,"4 Entry Type",$C$4,"2 Item No.","@@"&amp;$F228)</t>
  </si>
  <si>
    <t>=-NL("Sum","32 Item Ledger Entry","12 Quantity","5 Source no.",$C229,"3 Posting Date",J$9,"4 Entry Type",$C$4,"2 Item No.","@@"&amp;$F229)</t>
  </si>
  <si>
    <t>=-NL("Sum","32 Item Ledger Entry","12 Quantity","5 Source no.",$C230,"3 Posting Date",J$9,"4 Entry Type",$C$4,"2 Item No.","@@"&amp;$F230)</t>
  </si>
  <si>
    <t>=-NL("Sum","32 Item Ledger Entry","12 Quantity","5 Source no.",$C225,"3 Posting Date",O$9,"4 Entry Type",$C$4,"2 Item No.","@@"&amp;$F225)</t>
  </si>
  <si>
    <t>=-NL("Sum","32 Item Ledger Entry","12 Quantity","5 Source no.",$C226,"3 Posting Date",O$9,"4 Entry Type",$C$4,"2 Item No.","@@"&amp;$F226)</t>
  </si>
  <si>
    <t>=-NL("Sum","32 Item Ledger Entry","12 Quantity","5 Source no.",$C227,"3 Posting Date",O$9,"4 Entry Type",$C$4,"2 Item No.","@@"&amp;$F227)</t>
  </si>
  <si>
    <t>=-NL("Sum","32 Item Ledger Entry","12 Quantity","5 Source no.",$C228,"3 Posting Date",O$9,"4 Entry Type",$C$4,"2 Item No.","@@"&amp;$F228)</t>
  </si>
  <si>
    <t>=-NL("Sum","32 Item Ledger Entry","12 Quantity","5 Source no.",$C229,"3 Posting Date",O$9,"4 Entry Type",$C$4,"2 Item No.","@@"&amp;$F229)</t>
  </si>
  <si>
    <t>=-NL("Sum","32 Item Ledger Entry","12 Quantity","5 Source no.",$C230,"3 Posting Date",O$9,"4 Entry Type",$C$4,"2 Item No.","@@"&amp;$F230)</t>
  </si>
  <si>
    <t>=-NL("Sum","32 Item Ledger Entry","12 Quantity","5 Source no.",$C225,"3 Posting Date",U$9,"4 Entry Type",$C$4,"2 Item No.","@@"&amp;$F225)</t>
  </si>
  <si>
    <t>=-NL("Sum","32 Item Ledger Entry","12 Quantity","5 Source no.",$C226,"3 Posting Date",U$9,"4 Entry Type",$C$4,"2 Item No.","@@"&amp;$F226)</t>
  </si>
  <si>
    <t>=-NL("Sum","32 Item Ledger Entry","12 Quantity","5 Source no.",$C227,"3 Posting Date",U$9,"4 Entry Type",$C$4,"2 Item No.","@@"&amp;$F227)</t>
  </si>
  <si>
    <t>=-NL("Sum","32 Item Ledger Entry","12 Quantity","5 Source no.",$C228,"3 Posting Date",U$9,"4 Entry Type",$C$4,"2 Item No.","@@"&amp;$F228)</t>
  </si>
  <si>
    <t>=-NL("Sum","32 Item Ledger Entry","12 Quantity","5 Source no.",$C229,"3 Posting Date",U$9,"4 Entry Type",$C$4,"2 Item No.","@@"&amp;$F229)</t>
  </si>
  <si>
    <t>=-NL("Sum","32 Item Ledger Entry","12 Quantity","5 Source no.",$C230,"3 Posting Date",U$9,"4 Entry Type",$C$4,"2 Item No.","@@"&amp;$F230)</t>
  </si>
  <si>
    <t>=-NL("Sum","32 Item Ledger Entry","12 Quantity","5 Source no.",$C225,"3 Posting Date",Z$9,"4 Entry Type",$C$4,"2 Item No.","@@"&amp;$F225)</t>
  </si>
  <si>
    <t>=-NL("Sum","32 Item Ledger Entry","12 Quantity","5 Source no.",$C226,"3 Posting Date",Z$9,"4 Entry Type",$C$4,"2 Item No.","@@"&amp;$F226)</t>
  </si>
  <si>
    <t>=-NL("Sum","32 Item Ledger Entry","12 Quantity","5 Source no.",$C227,"3 Posting Date",Z$9,"4 Entry Type",$C$4,"2 Item No.","@@"&amp;$F227)</t>
  </si>
  <si>
    <t>=-NL("Sum","32 Item Ledger Entry","12 Quantity","5 Source no.",$C228,"3 Posting Date",Z$9,"4 Entry Type",$C$4,"2 Item No.","@@"&amp;$F228)</t>
  </si>
  <si>
    <t>=-NL("Sum","32 Item Ledger Entry","12 Quantity","5 Source no.",$C229,"3 Posting Date",Z$9,"4 Entry Type",$C$4,"2 Item No.","@@"&amp;$F229)</t>
  </si>
  <si>
    <t>=-NL("Sum","32 Item Ledger Entry","12 Quantity","5 Source no.",$C230,"3 Posting Date",Z$9,"4 Entry Type",$C$4,"2 Item No.","@@"&amp;$F230)</t>
  </si>
  <si>
    <t>=NL(,"27 Item","3 Description","1 No.","@@"&amp;F181)</t>
  </si>
  <si>
    <t>=NL(,"27 Item","3 Description","1 No.","@@"&amp;F182)</t>
  </si>
  <si>
    <t>=NL(,"27 Item","3 Description","1 No.","@@"&amp;F183)</t>
  </si>
  <si>
    <t>=NL(,"27 Item","3 Description","1 No.","@@"&amp;F184)</t>
  </si>
  <si>
    <t>=NL(,"27 Item","3 Description","1 No.","@@"&amp;F185)</t>
  </si>
  <si>
    <t>=NL(,"27 Item","3 Description","1 No.","@@"&amp;F186)</t>
  </si>
  <si>
    <t>=NL(,"27 Item","3 Description","1 No.","@@"&amp;F187)</t>
  </si>
  <si>
    <t>=NL(,"27 Item","3 Description","1 No.","@@"&amp;F188)</t>
  </si>
  <si>
    <t>=NL(,"27 Item","3 Description","1 No.","@@"&amp;F189)</t>
  </si>
  <si>
    <t>=NL(,"27 Item","3 Description","1 No.","@@"&amp;F190)</t>
  </si>
  <si>
    <t>=NL(,"27 Item","3 Description","1 No.","@@"&amp;F191)</t>
  </si>
  <si>
    <t>=NL(,"27 Item","3 Description","1 No.","@@"&amp;F192)</t>
  </si>
  <si>
    <t>=NL(,"27 Item","3 Description","1 No.","@@"&amp;F193)</t>
  </si>
  <si>
    <t>=NL(,"27 Item","3 Description","1 No.","@@"&amp;F194)</t>
  </si>
  <si>
    <t>=NL(,"27 Item","3 Description","1 No.","@@"&amp;F195)</t>
  </si>
  <si>
    <t>=NL(,"27 Item","3 Description","1 No.","@@"&amp;F196)</t>
  </si>
  <si>
    <t>=NL(,"27 Item","3 Description","1 No.","@@"&amp;F197)</t>
  </si>
  <si>
    <t>=NL(,"27 Item","3 Description","1 No.","@@"&amp;F198)</t>
  </si>
  <si>
    <t>=NL(,"27 Item","3 Description","1 No.","@@"&amp;F199)</t>
  </si>
  <si>
    <t>=NL(,"27 Item","3 Description","1 No.","@@"&amp;F200)</t>
  </si>
  <si>
    <t>=NL(,"27 Item","3 Description","1 No.","@@"&amp;F201)</t>
  </si>
  <si>
    <t>=NL(,"27 Item","3 Description","1 No.","@@"&amp;F202)</t>
  </si>
  <si>
    <t>=NL(,"27 Item","3 Description","1 No.","@@"&amp;F203)</t>
  </si>
  <si>
    <t>=NL(,"27 Item","3 Description","1 No.","@@"&amp;F204)</t>
  </si>
  <si>
    <t>=NL(,"27 Item","3 Description","1 No.","@@"&amp;F205)</t>
  </si>
  <si>
    <t>=NL(,"27 Item","3 Description","1 No.","@@"&amp;F206)</t>
  </si>
  <si>
    <t>=NL(,"27 Item","3 Description","1 No.","@@"&amp;F207)</t>
  </si>
  <si>
    <t>=NL(,"27 Item","3 Description","1 No.","@@"&amp;F208)</t>
  </si>
  <si>
    <t>=NL(,"27 Item","3 Description","1 No.","@@"&amp;F209)</t>
  </si>
  <si>
    <t>=NL(,"27 Item","3 Description","1 No.","@@"&amp;F210)</t>
  </si>
  <si>
    <t>=NL(,"27 Item","3 Description","1 No.","@@"&amp;F211)</t>
  </si>
  <si>
    <t>=NL(,"27 Item","3 Description","1 No.","@@"&amp;F212)</t>
  </si>
  <si>
    <t>=NL(,"27 Item","3 Description","1 No.","@@"&amp;F213)</t>
  </si>
  <si>
    <t>=NL(,"27 Item","3 Description","1 No.","@@"&amp;F214)</t>
  </si>
  <si>
    <t>=NL(,"27 Item","3 Description","1 No.","@@"&amp;F215)</t>
  </si>
  <si>
    <t>=NL(,"27 Item","3 Description","1 No.","@@"&amp;F216)</t>
  </si>
  <si>
    <t>=NL(,"27 Item","3 Description","1 No.","@@"&amp;F217)</t>
  </si>
  <si>
    <t>=NL(,"27 Item","3 Description","1 No.","@@"&amp;F218)</t>
  </si>
  <si>
    <t>=NL(,"27 Item","3 Description","1 No.","@@"&amp;F219)</t>
  </si>
  <si>
    <t>=-NL("Sum","32 Item Ledger Entry","12 Quantity","5 Source no.",$C181,"3 Posting Date",J$9,"4 Entry Type",$C$4,"2 Item No.","@@"&amp;$F181)</t>
  </si>
  <si>
    <t>=-NL("Sum","32 Item Ledger Entry","12 Quantity","5 Source no.",$C182,"3 Posting Date",J$9,"4 Entry Type",$C$4,"2 Item No.","@@"&amp;$F182)</t>
  </si>
  <si>
    <t>=-NL("Sum","32 Item Ledger Entry","12 Quantity","5 Source no.",$C183,"3 Posting Date",J$9,"4 Entry Type",$C$4,"2 Item No.","@@"&amp;$F183)</t>
  </si>
  <si>
    <t>=-NL("Sum","32 Item Ledger Entry","12 Quantity","5 Source no.",$C184,"3 Posting Date",J$9,"4 Entry Type",$C$4,"2 Item No.","@@"&amp;$F184)</t>
  </si>
  <si>
    <t>=-NL("Sum","32 Item Ledger Entry","12 Quantity","5 Source no.",$C185,"3 Posting Date",J$9,"4 Entry Type",$C$4,"2 Item No.","@@"&amp;$F185)</t>
  </si>
  <si>
    <t>=-NL("Sum","32 Item Ledger Entry","12 Quantity","5 Source no.",$C186,"3 Posting Date",J$9,"4 Entry Type",$C$4,"2 Item No.","@@"&amp;$F186)</t>
  </si>
  <si>
    <t>=-NL("Sum","32 Item Ledger Entry","12 Quantity","5 Source no.",$C187,"3 Posting Date",J$9,"4 Entry Type",$C$4,"2 Item No.","@@"&amp;$F187)</t>
  </si>
  <si>
    <t>=-NL("Sum","32 Item Ledger Entry","12 Quantity","5 Source no.",$C188,"3 Posting Date",J$9,"4 Entry Type",$C$4,"2 Item No.","@@"&amp;$F188)</t>
  </si>
  <si>
    <t>=-NL("Sum","32 Item Ledger Entry","12 Quantity","5 Source no.",$C189,"3 Posting Date",J$9,"4 Entry Type",$C$4,"2 Item No.","@@"&amp;$F189)</t>
  </si>
  <si>
    <t>=-NL("Sum","32 Item Ledger Entry","12 Quantity","5 Source no.",$C190,"3 Posting Date",J$9,"4 Entry Type",$C$4,"2 Item No.","@@"&amp;$F190)</t>
  </si>
  <si>
    <t>=-NL("Sum","32 Item Ledger Entry","12 Quantity","5 Source no.",$C191,"3 Posting Date",J$9,"4 Entry Type",$C$4,"2 Item No.","@@"&amp;$F191)</t>
  </si>
  <si>
    <t>=-NL("Sum","32 Item Ledger Entry","12 Quantity","5 Source no.",$C192,"3 Posting Date",J$9,"4 Entry Type",$C$4,"2 Item No.","@@"&amp;$F192)</t>
  </si>
  <si>
    <t>=-NL("Sum","32 Item Ledger Entry","12 Quantity","5 Source no.",$C193,"3 Posting Date",J$9,"4 Entry Type",$C$4,"2 Item No.","@@"&amp;$F193)</t>
  </si>
  <si>
    <t>=-NL("Sum","32 Item Ledger Entry","12 Quantity","5 Source no.",$C194,"3 Posting Date",J$9,"4 Entry Type",$C$4,"2 Item No.","@@"&amp;$F194)</t>
  </si>
  <si>
    <t>=-NL("Sum","32 Item Ledger Entry","12 Quantity","5 Source no.",$C195,"3 Posting Date",J$9,"4 Entry Type",$C$4,"2 Item No.","@@"&amp;$F195)</t>
  </si>
  <si>
    <t>=-NL("Sum","32 Item Ledger Entry","12 Quantity","5 Source no.",$C196,"3 Posting Date",J$9,"4 Entry Type",$C$4,"2 Item No.","@@"&amp;$F196)</t>
  </si>
  <si>
    <t>=-NL("Sum","32 Item Ledger Entry","12 Quantity","5 Source no.",$C197,"3 Posting Date",J$9,"4 Entry Type",$C$4,"2 Item No.","@@"&amp;$F197)</t>
  </si>
  <si>
    <t>=-NL("Sum","32 Item Ledger Entry","12 Quantity","5 Source no.",$C198,"3 Posting Date",J$9,"4 Entry Type",$C$4,"2 Item No.","@@"&amp;$F198)</t>
  </si>
  <si>
    <t>=-NL("Sum","32 Item Ledger Entry","12 Quantity","5 Source no.",$C199,"3 Posting Date",J$9,"4 Entry Type",$C$4,"2 Item No.","@@"&amp;$F199)</t>
  </si>
  <si>
    <t>=-NL("Sum","32 Item Ledger Entry","12 Quantity","5 Source no.",$C200,"3 Posting Date",J$9,"4 Entry Type",$C$4,"2 Item No.","@@"&amp;$F200)</t>
  </si>
  <si>
    <t>=-NL("Sum","32 Item Ledger Entry","12 Quantity","5 Source no.",$C201,"3 Posting Date",J$9,"4 Entry Type",$C$4,"2 Item No.","@@"&amp;$F201)</t>
  </si>
  <si>
    <t>=-NL("Sum","32 Item Ledger Entry","12 Quantity","5 Source no.",$C202,"3 Posting Date",J$9,"4 Entry Type",$C$4,"2 Item No.","@@"&amp;$F202)</t>
  </si>
  <si>
    <t>=-NL("Sum","32 Item Ledger Entry","12 Quantity","5 Source no.",$C203,"3 Posting Date",J$9,"4 Entry Type",$C$4,"2 Item No.","@@"&amp;$F203)</t>
  </si>
  <si>
    <t>=-NL("Sum","32 Item Ledger Entry","12 Quantity","5 Source no.",$C204,"3 Posting Date",J$9,"4 Entry Type",$C$4,"2 Item No.","@@"&amp;$F204)</t>
  </si>
  <si>
    <t>=-NL("Sum","32 Item Ledger Entry","12 Quantity","5 Source no.",$C205,"3 Posting Date",J$9,"4 Entry Type",$C$4,"2 Item No.","@@"&amp;$F205)</t>
  </si>
  <si>
    <t>=-NL("Sum","32 Item Ledger Entry","12 Quantity","5 Source no.",$C206,"3 Posting Date",J$9,"4 Entry Type",$C$4,"2 Item No.","@@"&amp;$F206)</t>
  </si>
  <si>
    <t>=-NL("Sum","32 Item Ledger Entry","12 Quantity","5 Source no.",$C207,"3 Posting Date",J$9,"4 Entry Type",$C$4,"2 Item No.","@@"&amp;$F207)</t>
  </si>
  <si>
    <t>=-NL("Sum","32 Item Ledger Entry","12 Quantity","5 Source no.",$C208,"3 Posting Date",J$9,"4 Entry Type",$C$4,"2 Item No.","@@"&amp;$F208)</t>
  </si>
  <si>
    <t>=-NL("Sum","32 Item Ledger Entry","12 Quantity","5 Source no.",$C209,"3 Posting Date",J$9,"4 Entry Type",$C$4,"2 Item No.","@@"&amp;$F209)</t>
  </si>
  <si>
    <t>=-NL("Sum","32 Item Ledger Entry","12 Quantity","5 Source no.",$C210,"3 Posting Date",J$9,"4 Entry Type",$C$4,"2 Item No.","@@"&amp;$F210)</t>
  </si>
  <si>
    <t>=-NL("Sum","32 Item Ledger Entry","12 Quantity","5 Source no.",$C211,"3 Posting Date",J$9,"4 Entry Type",$C$4,"2 Item No.","@@"&amp;$F211)</t>
  </si>
  <si>
    <t>=-NL("Sum","32 Item Ledger Entry","12 Quantity","5 Source no.",$C212,"3 Posting Date",J$9,"4 Entry Type",$C$4,"2 Item No.","@@"&amp;$F212)</t>
  </si>
  <si>
    <t>=-NL("Sum","32 Item Ledger Entry","12 Quantity","5 Source no.",$C213,"3 Posting Date",J$9,"4 Entry Type",$C$4,"2 Item No.","@@"&amp;$F213)</t>
  </si>
  <si>
    <t>=-NL("Sum","32 Item Ledger Entry","12 Quantity","5 Source no.",$C214,"3 Posting Date",J$9,"4 Entry Type",$C$4,"2 Item No.","@@"&amp;$F214)</t>
  </si>
  <si>
    <t>=-NL("Sum","32 Item Ledger Entry","12 Quantity","5 Source no.",$C215,"3 Posting Date",J$9,"4 Entry Type",$C$4,"2 Item No.","@@"&amp;$F215)</t>
  </si>
  <si>
    <t>=-NL("Sum","32 Item Ledger Entry","12 Quantity","5 Source no.",$C216,"3 Posting Date",J$9,"4 Entry Type",$C$4,"2 Item No.","@@"&amp;$F216)</t>
  </si>
  <si>
    <t>=-NL("Sum","32 Item Ledger Entry","12 Quantity","5 Source no.",$C217,"3 Posting Date",J$9,"4 Entry Type",$C$4,"2 Item No.","@@"&amp;$F217)</t>
  </si>
  <si>
    <t>=-NL("Sum","32 Item Ledger Entry","12 Quantity","5 Source no.",$C218,"3 Posting Date",J$9,"4 Entry Type",$C$4,"2 Item No.","@@"&amp;$F218)</t>
  </si>
  <si>
    <t>=-NL("Sum","32 Item Ledger Entry","12 Quantity","5 Source no.",$C219,"3 Posting Date",J$9,"4 Entry Type",$C$4,"2 Item No.","@@"&amp;$F219)</t>
  </si>
  <si>
    <t>=-NL("Sum","32 Item Ledger Entry","12 Quantity","5 Source no.",$C181,"3 Posting Date",O$9,"4 Entry Type",$C$4,"2 Item No.","@@"&amp;$F181)</t>
  </si>
  <si>
    <t>=-NL("Sum","32 Item Ledger Entry","12 Quantity","5 Source no.",$C182,"3 Posting Date",O$9,"4 Entry Type",$C$4,"2 Item No.","@@"&amp;$F182)</t>
  </si>
  <si>
    <t>=-NL("Sum","32 Item Ledger Entry","12 Quantity","5 Source no.",$C183,"3 Posting Date",O$9,"4 Entry Type",$C$4,"2 Item No.","@@"&amp;$F183)</t>
  </si>
  <si>
    <t>=-NL("Sum","32 Item Ledger Entry","12 Quantity","5 Source no.",$C184,"3 Posting Date",O$9,"4 Entry Type",$C$4,"2 Item No.","@@"&amp;$F184)</t>
  </si>
  <si>
    <t>=-NL("Sum","32 Item Ledger Entry","12 Quantity","5 Source no.",$C185,"3 Posting Date",O$9,"4 Entry Type",$C$4,"2 Item No.","@@"&amp;$F185)</t>
  </si>
  <si>
    <t>=-NL("Sum","32 Item Ledger Entry","12 Quantity","5 Source no.",$C186,"3 Posting Date",O$9,"4 Entry Type",$C$4,"2 Item No.","@@"&amp;$F186)</t>
  </si>
  <si>
    <t>=-NL("Sum","32 Item Ledger Entry","12 Quantity","5 Source no.",$C187,"3 Posting Date",O$9,"4 Entry Type",$C$4,"2 Item No.","@@"&amp;$F187)</t>
  </si>
  <si>
    <t>=-NL("Sum","32 Item Ledger Entry","12 Quantity","5 Source no.",$C188,"3 Posting Date",O$9,"4 Entry Type",$C$4,"2 Item No.","@@"&amp;$F188)</t>
  </si>
  <si>
    <t>=-NL("Sum","32 Item Ledger Entry","12 Quantity","5 Source no.",$C189,"3 Posting Date",O$9,"4 Entry Type",$C$4,"2 Item No.","@@"&amp;$F189)</t>
  </si>
  <si>
    <t>=-NL("Sum","32 Item Ledger Entry","12 Quantity","5 Source no.",$C190,"3 Posting Date",O$9,"4 Entry Type",$C$4,"2 Item No.","@@"&amp;$F190)</t>
  </si>
  <si>
    <t>=-NL("Sum","32 Item Ledger Entry","12 Quantity","5 Source no.",$C191,"3 Posting Date",O$9,"4 Entry Type",$C$4,"2 Item No.","@@"&amp;$F191)</t>
  </si>
  <si>
    <t>=-NL("Sum","32 Item Ledger Entry","12 Quantity","5 Source no.",$C192,"3 Posting Date",O$9,"4 Entry Type",$C$4,"2 Item No.","@@"&amp;$F192)</t>
  </si>
  <si>
    <t>=-NL("Sum","32 Item Ledger Entry","12 Quantity","5 Source no.",$C193,"3 Posting Date",O$9,"4 Entry Type",$C$4,"2 Item No.","@@"&amp;$F193)</t>
  </si>
  <si>
    <t>=-NL("Sum","32 Item Ledger Entry","12 Quantity","5 Source no.",$C194,"3 Posting Date",O$9,"4 Entry Type",$C$4,"2 Item No.","@@"&amp;$F194)</t>
  </si>
  <si>
    <t>=-NL("Sum","32 Item Ledger Entry","12 Quantity","5 Source no.",$C195,"3 Posting Date",O$9,"4 Entry Type",$C$4,"2 Item No.","@@"&amp;$F195)</t>
  </si>
  <si>
    <t>=-NL("Sum","32 Item Ledger Entry","12 Quantity","5 Source no.",$C196,"3 Posting Date",O$9,"4 Entry Type",$C$4,"2 Item No.","@@"&amp;$F196)</t>
  </si>
  <si>
    <t>=-NL("Sum","32 Item Ledger Entry","12 Quantity","5 Source no.",$C197,"3 Posting Date",O$9,"4 Entry Type",$C$4,"2 Item No.","@@"&amp;$F197)</t>
  </si>
  <si>
    <t>=-NL("Sum","32 Item Ledger Entry","12 Quantity","5 Source no.",$C198,"3 Posting Date",O$9,"4 Entry Type",$C$4,"2 Item No.","@@"&amp;$F198)</t>
  </si>
  <si>
    <t>=-NL("Sum","32 Item Ledger Entry","12 Quantity","5 Source no.",$C199,"3 Posting Date",O$9,"4 Entry Type",$C$4,"2 Item No.","@@"&amp;$F199)</t>
  </si>
  <si>
    <t>=-NL("Sum","32 Item Ledger Entry","12 Quantity","5 Source no.",$C200,"3 Posting Date",O$9,"4 Entry Type",$C$4,"2 Item No.","@@"&amp;$F200)</t>
  </si>
  <si>
    <t>=-NL("Sum","32 Item Ledger Entry","12 Quantity","5 Source no.",$C201,"3 Posting Date",O$9,"4 Entry Type",$C$4,"2 Item No.","@@"&amp;$F201)</t>
  </si>
  <si>
    <t>=-NL("Sum","32 Item Ledger Entry","12 Quantity","5 Source no.",$C202,"3 Posting Date",O$9,"4 Entry Type",$C$4,"2 Item No.","@@"&amp;$F202)</t>
  </si>
  <si>
    <t>=-NL("Sum","32 Item Ledger Entry","12 Quantity","5 Source no.",$C203,"3 Posting Date",O$9,"4 Entry Type",$C$4,"2 Item No.","@@"&amp;$F203)</t>
  </si>
  <si>
    <t>=-NL("Sum","32 Item Ledger Entry","12 Quantity","5 Source no.",$C204,"3 Posting Date",O$9,"4 Entry Type",$C$4,"2 Item No.","@@"&amp;$F204)</t>
  </si>
  <si>
    <t>=-NL("Sum","32 Item Ledger Entry","12 Quantity","5 Source no.",$C205,"3 Posting Date",O$9,"4 Entry Type",$C$4,"2 Item No.","@@"&amp;$F205)</t>
  </si>
  <si>
    <t>=-NL("Sum","32 Item Ledger Entry","12 Quantity","5 Source no.",$C206,"3 Posting Date",O$9,"4 Entry Type",$C$4,"2 Item No.","@@"&amp;$F206)</t>
  </si>
  <si>
    <t>=-NL("Sum","32 Item Ledger Entry","12 Quantity","5 Source no.",$C207,"3 Posting Date",O$9,"4 Entry Type",$C$4,"2 Item No.","@@"&amp;$F207)</t>
  </si>
  <si>
    <t>=-NL("Sum","32 Item Ledger Entry","12 Quantity","5 Source no.",$C208,"3 Posting Date",O$9,"4 Entry Type",$C$4,"2 Item No.","@@"&amp;$F208)</t>
  </si>
  <si>
    <t>=-NL("Sum","32 Item Ledger Entry","12 Quantity","5 Source no.",$C209,"3 Posting Date",O$9,"4 Entry Type",$C$4,"2 Item No.","@@"&amp;$F209)</t>
  </si>
  <si>
    <t>=-NL("Sum","32 Item Ledger Entry","12 Quantity","5 Source no.",$C210,"3 Posting Date",O$9,"4 Entry Type",$C$4,"2 Item No.","@@"&amp;$F210)</t>
  </si>
  <si>
    <t>=-NL("Sum","32 Item Ledger Entry","12 Quantity","5 Source no.",$C211,"3 Posting Date",O$9,"4 Entry Type",$C$4,"2 Item No.","@@"&amp;$F211)</t>
  </si>
  <si>
    <t>=-NL("Sum","32 Item Ledger Entry","12 Quantity","5 Source no.",$C212,"3 Posting Date",O$9,"4 Entry Type",$C$4,"2 Item No.","@@"&amp;$F212)</t>
  </si>
  <si>
    <t>=-NL("Sum","32 Item Ledger Entry","12 Quantity","5 Source no.",$C213,"3 Posting Date",O$9,"4 Entry Type",$C$4,"2 Item No.","@@"&amp;$F213)</t>
  </si>
  <si>
    <t>=-NL("Sum","32 Item Ledger Entry","12 Quantity","5 Source no.",$C214,"3 Posting Date",O$9,"4 Entry Type",$C$4,"2 Item No.","@@"&amp;$F214)</t>
  </si>
  <si>
    <t>=-NL("Sum","32 Item Ledger Entry","12 Quantity","5 Source no.",$C215,"3 Posting Date",O$9,"4 Entry Type",$C$4,"2 Item No.","@@"&amp;$F215)</t>
  </si>
  <si>
    <t>=-NL("Sum","32 Item Ledger Entry","12 Quantity","5 Source no.",$C216,"3 Posting Date",O$9,"4 Entry Type",$C$4,"2 Item No.","@@"&amp;$F216)</t>
  </si>
  <si>
    <t>=-NL("Sum","32 Item Ledger Entry","12 Quantity","5 Source no.",$C217,"3 Posting Date",O$9,"4 Entry Type",$C$4,"2 Item No.","@@"&amp;$F217)</t>
  </si>
  <si>
    <t>=-NL("Sum","32 Item Ledger Entry","12 Quantity","5 Source no.",$C218,"3 Posting Date",O$9,"4 Entry Type",$C$4,"2 Item No.","@@"&amp;$F218)</t>
  </si>
  <si>
    <t>=-NL("Sum","32 Item Ledger Entry","12 Quantity","5 Source no.",$C219,"3 Posting Date",O$9,"4 Entry Type",$C$4,"2 Item No.","@@"&amp;$F219)</t>
  </si>
  <si>
    <t>=-NL("Sum","32 Item Ledger Entry","12 Quantity","5 Source no.",$C181,"3 Posting Date",U$9,"4 Entry Type",$C$4,"2 Item No.","@@"&amp;$F181)</t>
  </si>
  <si>
    <t>=-NL("Sum","32 Item Ledger Entry","12 Quantity","5 Source no.",$C182,"3 Posting Date",U$9,"4 Entry Type",$C$4,"2 Item No.","@@"&amp;$F182)</t>
  </si>
  <si>
    <t>=-NL("Sum","32 Item Ledger Entry","12 Quantity","5 Source no.",$C183,"3 Posting Date",U$9,"4 Entry Type",$C$4,"2 Item No.","@@"&amp;$F183)</t>
  </si>
  <si>
    <t>=-NL("Sum","32 Item Ledger Entry","12 Quantity","5 Source no.",$C184,"3 Posting Date",U$9,"4 Entry Type",$C$4,"2 Item No.","@@"&amp;$F184)</t>
  </si>
  <si>
    <t>=-NL("Sum","32 Item Ledger Entry","12 Quantity","5 Source no.",$C185,"3 Posting Date",U$9,"4 Entry Type",$C$4,"2 Item No.","@@"&amp;$F185)</t>
  </si>
  <si>
    <t>=-NL("Sum","32 Item Ledger Entry","12 Quantity","5 Source no.",$C186,"3 Posting Date",U$9,"4 Entry Type",$C$4,"2 Item No.","@@"&amp;$F186)</t>
  </si>
  <si>
    <t>=-NL("Sum","32 Item Ledger Entry","12 Quantity","5 Source no.",$C187,"3 Posting Date",U$9,"4 Entry Type",$C$4,"2 Item No.","@@"&amp;$F187)</t>
  </si>
  <si>
    <t>=-NL("Sum","32 Item Ledger Entry","12 Quantity","5 Source no.",$C188,"3 Posting Date",U$9,"4 Entry Type",$C$4,"2 Item No.","@@"&amp;$F188)</t>
  </si>
  <si>
    <t>=-NL("Sum","32 Item Ledger Entry","12 Quantity","5 Source no.",$C189,"3 Posting Date",U$9,"4 Entry Type",$C$4,"2 Item No.","@@"&amp;$F189)</t>
  </si>
  <si>
    <t>=-NL("Sum","32 Item Ledger Entry","12 Quantity","5 Source no.",$C190,"3 Posting Date",U$9,"4 Entry Type",$C$4,"2 Item No.","@@"&amp;$F190)</t>
  </si>
  <si>
    <t>=-NL("Sum","32 Item Ledger Entry","12 Quantity","5 Source no.",$C191,"3 Posting Date",U$9,"4 Entry Type",$C$4,"2 Item No.","@@"&amp;$F191)</t>
  </si>
  <si>
    <t>=-NL("Sum","32 Item Ledger Entry","12 Quantity","5 Source no.",$C192,"3 Posting Date",U$9,"4 Entry Type",$C$4,"2 Item No.","@@"&amp;$F192)</t>
  </si>
  <si>
    <t>=-NL("Sum","32 Item Ledger Entry","12 Quantity","5 Source no.",$C193,"3 Posting Date",U$9,"4 Entry Type",$C$4,"2 Item No.","@@"&amp;$F193)</t>
  </si>
  <si>
    <t>=-NL("Sum","32 Item Ledger Entry","12 Quantity","5 Source no.",$C194,"3 Posting Date",U$9,"4 Entry Type",$C$4,"2 Item No.","@@"&amp;$F194)</t>
  </si>
  <si>
    <t>=-NL("Sum","32 Item Ledger Entry","12 Quantity","5 Source no.",$C195,"3 Posting Date",U$9,"4 Entry Type",$C$4,"2 Item No.","@@"&amp;$F195)</t>
  </si>
  <si>
    <t>=-NL("Sum","32 Item Ledger Entry","12 Quantity","5 Source no.",$C196,"3 Posting Date",U$9,"4 Entry Type",$C$4,"2 Item No.","@@"&amp;$F196)</t>
  </si>
  <si>
    <t>=-NL("Sum","32 Item Ledger Entry","12 Quantity","5 Source no.",$C197,"3 Posting Date",U$9,"4 Entry Type",$C$4,"2 Item No.","@@"&amp;$F197)</t>
  </si>
  <si>
    <t>=-NL("Sum","32 Item Ledger Entry","12 Quantity","5 Source no.",$C198,"3 Posting Date",U$9,"4 Entry Type",$C$4,"2 Item No.","@@"&amp;$F198)</t>
  </si>
  <si>
    <t>=-NL("Sum","32 Item Ledger Entry","12 Quantity","5 Source no.",$C199,"3 Posting Date",U$9,"4 Entry Type",$C$4,"2 Item No.","@@"&amp;$F199)</t>
  </si>
  <si>
    <t>=-NL("Sum","32 Item Ledger Entry","12 Quantity","5 Source no.",$C200,"3 Posting Date",U$9,"4 Entry Type",$C$4,"2 Item No.","@@"&amp;$F200)</t>
  </si>
  <si>
    <t>=-NL("Sum","32 Item Ledger Entry","12 Quantity","5 Source no.",$C201,"3 Posting Date",U$9,"4 Entry Type",$C$4,"2 Item No.","@@"&amp;$F201)</t>
  </si>
  <si>
    <t>=-NL("Sum","32 Item Ledger Entry","12 Quantity","5 Source no.",$C202,"3 Posting Date",U$9,"4 Entry Type",$C$4,"2 Item No.","@@"&amp;$F202)</t>
  </si>
  <si>
    <t>=-NL("Sum","32 Item Ledger Entry","12 Quantity","5 Source no.",$C203,"3 Posting Date",U$9,"4 Entry Type",$C$4,"2 Item No.","@@"&amp;$F203)</t>
  </si>
  <si>
    <t>=-NL("Sum","32 Item Ledger Entry","12 Quantity","5 Source no.",$C204,"3 Posting Date",U$9,"4 Entry Type",$C$4,"2 Item No.","@@"&amp;$F204)</t>
  </si>
  <si>
    <t>=-NL("Sum","32 Item Ledger Entry","12 Quantity","5 Source no.",$C205,"3 Posting Date",U$9,"4 Entry Type",$C$4,"2 Item No.","@@"&amp;$F205)</t>
  </si>
  <si>
    <t>=-NL("Sum","32 Item Ledger Entry","12 Quantity","5 Source no.",$C206,"3 Posting Date",U$9,"4 Entry Type",$C$4,"2 Item No.","@@"&amp;$F206)</t>
  </si>
  <si>
    <t>=-NL("Sum","32 Item Ledger Entry","12 Quantity","5 Source no.",$C207,"3 Posting Date",U$9,"4 Entry Type",$C$4,"2 Item No.","@@"&amp;$F207)</t>
  </si>
  <si>
    <t>=-NL("Sum","32 Item Ledger Entry","12 Quantity","5 Source no.",$C208,"3 Posting Date",U$9,"4 Entry Type",$C$4,"2 Item No.","@@"&amp;$F208)</t>
  </si>
  <si>
    <t>=-NL("Sum","32 Item Ledger Entry","12 Quantity","5 Source no.",$C209,"3 Posting Date",U$9,"4 Entry Type",$C$4,"2 Item No.","@@"&amp;$F209)</t>
  </si>
  <si>
    <t>=-NL("Sum","32 Item Ledger Entry","12 Quantity","5 Source no.",$C210,"3 Posting Date",U$9,"4 Entry Type",$C$4,"2 Item No.","@@"&amp;$F210)</t>
  </si>
  <si>
    <t>=-NL("Sum","32 Item Ledger Entry","12 Quantity","5 Source no.",$C211,"3 Posting Date",U$9,"4 Entry Type",$C$4,"2 Item No.","@@"&amp;$F211)</t>
  </si>
  <si>
    <t>=-NL("Sum","32 Item Ledger Entry","12 Quantity","5 Source no.",$C212,"3 Posting Date",U$9,"4 Entry Type",$C$4,"2 Item No.","@@"&amp;$F212)</t>
  </si>
  <si>
    <t>=-NL("Sum","32 Item Ledger Entry","12 Quantity","5 Source no.",$C213,"3 Posting Date",U$9,"4 Entry Type",$C$4,"2 Item No.","@@"&amp;$F213)</t>
  </si>
  <si>
    <t>=-NL("Sum","32 Item Ledger Entry","12 Quantity","5 Source no.",$C214,"3 Posting Date",U$9,"4 Entry Type",$C$4,"2 Item No.","@@"&amp;$F214)</t>
  </si>
  <si>
    <t>=-NL("Sum","32 Item Ledger Entry","12 Quantity","5 Source no.",$C215,"3 Posting Date",U$9,"4 Entry Type",$C$4,"2 Item No.","@@"&amp;$F215)</t>
  </si>
  <si>
    <t>=-NL("Sum","32 Item Ledger Entry","12 Quantity","5 Source no.",$C216,"3 Posting Date",U$9,"4 Entry Type",$C$4,"2 Item No.","@@"&amp;$F216)</t>
  </si>
  <si>
    <t>=-NL("Sum","32 Item Ledger Entry","12 Quantity","5 Source no.",$C217,"3 Posting Date",U$9,"4 Entry Type",$C$4,"2 Item No.","@@"&amp;$F217)</t>
  </si>
  <si>
    <t>=-NL("Sum","32 Item Ledger Entry","12 Quantity","5 Source no.",$C218,"3 Posting Date",U$9,"4 Entry Type",$C$4,"2 Item No.","@@"&amp;$F218)</t>
  </si>
  <si>
    <t>=-NL("Sum","32 Item Ledger Entry","12 Quantity","5 Source no.",$C219,"3 Posting Date",U$9,"4 Entry Type",$C$4,"2 Item No.","@@"&amp;$F219)</t>
  </si>
  <si>
    <t>=-NL("Sum","32 Item Ledger Entry","12 Quantity","5 Source no.",$C181,"3 Posting Date",Z$9,"4 Entry Type",$C$4,"2 Item No.","@@"&amp;$F181)</t>
  </si>
  <si>
    <t>=-NL("Sum","32 Item Ledger Entry","12 Quantity","5 Source no.",$C182,"3 Posting Date",Z$9,"4 Entry Type",$C$4,"2 Item No.","@@"&amp;$F182)</t>
  </si>
  <si>
    <t>=-NL("Sum","32 Item Ledger Entry","12 Quantity","5 Source no.",$C183,"3 Posting Date",Z$9,"4 Entry Type",$C$4,"2 Item No.","@@"&amp;$F183)</t>
  </si>
  <si>
    <t>=-NL("Sum","32 Item Ledger Entry","12 Quantity","5 Source no.",$C184,"3 Posting Date",Z$9,"4 Entry Type",$C$4,"2 Item No.","@@"&amp;$F184)</t>
  </si>
  <si>
    <t>=-NL("Sum","32 Item Ledger Entry","12 Quantity","5 Source no.",$C185,"3 Posting Date",Z$9,"4 Entry Type",$C$4,"2 Item No.","@@"&amp;$F185)</t>
  </si>
  <si>
    <t>=-NL("Sum","32 Item Ledger Entry","12 Quantity","5 Source no.",$C186,"3 Posting Date",Z$9,"4 Entry Type",$C$4,"2 Item No.","@@"&amp;$F186)</t>
  </si>
  <si>
    <t>=-NL("Sum","32 Item Ledger Entry","12 Quantity","5 Source no.",$C187,"3 Posting Date",Z$9,"4 Entry Type",$C$4,"2 Item No.","@@"&amp;$F187)</t>
  </si>
  <si>
    <t>=-NL("Sum","32 Item Ledger Entry","12 Quantity","5 Source no.",$C188,"3 Posting Date",Z$9,"4 Entry Type",$C$4,"2 Item No.","@@"&amp;$F188)</t>
  </si>
  <si>
    <t>=-NL("Sum","32 Item Ledger Entry","12 Quantity","5 Source no.",$C189,"3 Posting Date",Z$9,"4 Entry Type",$C$4,"2 Item No.","@@"&amp;$F189)</t>
  </si>
  <si>
    <t>=-NL("Sum","32 Item Ledger Entry","12 Quantity","5 Source no.",$C190,"3 Posting Date",Z$9,"4 Entry Type",$C$4,"2 Item No.","@@"&amp;$F190)</t>
  </si>
  <si>
    <t>=-NL("Sum","32 Item Ledger Entry","12 Quantity","5 Source no.",$C191,"3 Posting Date",Z$9,"4 Entry Type",$C$4,"2 Item No.","@@"&amp;$F191)</t>
  </si>
  <si>
    <t>=-NL("Sum","32 Item Ledger Entry","12 Quantity","5 Source no.",$C192,"3 Posting Date",Z$9,"4 Entry Type",$C$4,"2 Item No.","@@"&amp;$F192)</t>
  </si>
  <si>
    <t>=-NL("Sum","32 Item Ledger Entry","12 Quantity","5 Source no.",$C193,"3 Posting Date",Z$9,"4 Entry Type",$C$4,"2 Item No.","@@"&amp;$F193)</t>
  </si>
  <si>
    <t>=-NL("Sum","32 Item Ledger Entry","12 Quantity","5 Source no.",$C194,"3 Posting Date",Z$9,"4 Entry Type",$C$4,"2 Item No.","@@"&amp;$F194)</t>
  </si>
  <si>
    <t>=-NL("Sum","32 Item Ledger Entry","12 Quantity","5 Source no.",$C195,"3 Posting Date",Z$9,"4 Entry Type",$C$4,"2 Item No.","@@"&amp;$F195)</t>
  </si>
  <si>
    <t>=-NL("Sum","32 Item Ledger Entry","12 Quantity","5 Source no.",$C196,"3 Posting Date",Z$9,"4 Entry Type",$C$4,"2 Item No.","@@"&amp;$F196)</t>
  </si>
  <si>
    <t>=-NL("Sum","32 Item Ledger Entry","12 Quantity","5 Source no.",$C197,"3 Posting Date",Z$9,"4 Entry Type",$C$4,"2 Item No.","@@"&amp;$F197)</t>
  </si>
  <si>
    <t>=-NL("Sum","32 Item Ledger Entry","12 Quantity","5 Source no.",$C198,"3 Posting Date",Z$9,"4 Entry Type",$C$4,"2 Item No.","@@"&amp;$F198)</t>
  </si>
  <si>
    <t>=-NL("Sum","32 Item Ledger Entry","12 Quantity","5 Source no.",$C199,"3 Posting Date",Z$9,"4 Entry Type",$C$4,"2 Item No.","@@"&amp;$F199)</t>
  </si>
  <si>
    <t>=-NL("Sum","32 Item Ledger Entry","12 Quantity","5 Source no.",$C200,"3 Posting Date",Z$9,"4 Entry Type",$C$4,"2 Item No.","@@"&amp;$F200)</t>
  </si>
  <si>
    <t>=-NL("Sum","32 Item Ledger Entry","12 Quantity","5 Source no.",$C201,"3 Posting Date",Z$9,"4 Entry Type",$C$4,"2 Item No.","@@"&amp;$F201)</t>
  </si>
  <si>
    <t>=-NL("Sum","32 Item Ledger Entry","12 Quantity","5 Source no.",$C202,"3 Posting Date",Z$9,"4 Entry Type",$C$4,"2 Item No.","@@"&amp;$F202)</t>
  </si>
  <si>
    <t>=-NL("Sum","32 Item Ledger Entry","12 Quantity","5 Source no.",$C203,"3 Posting Date",Z$9,"4 Entry Type",$C$4,"2 Item No.","@@"&amp;$F203)</t>
  </si>
  <si>
    <t>=-NL("Sum","32 Item Ledger Entry","12 Quantity","5 Source no.",$C204,"3 Posting Date",Z$9,"4 Entry Type",$C$4,"2 Item No.","@@"&amp;$F204)</t>
  </si>
  <si>
    <t>=-NL("Sum","32 Item Ledger Entry","12 Quantity","5 Source no.",$C205,"3 Posting Date",Z$9,"4 Entry Type",$C$4,"2 Item No.","@@"&amp;$F205)</t>
  </si>
  <si>
    <t>=-NL("Sum","32 Item Ledger Entry","12 Quantity","5 Source no.",$C206,"3 Posting Date",Z$9,"4 Entry Type",$C$4,"2 Item No.","@@"&amp;$F206)</t>
  </si>
  <si>
    <t>=-NL("Sum","32 Item Ledger Entry","12 Quantity","5 Source no.",$C207,"3 Posting Date",Z$9,"4 Entry Type",$C$4,"2 Item No.","@@"&amp;$F207)</t>
  </si>
  <si>
    <t>=-NL("Sum","32 Item Ledger Entry","12 Quantity","5 Source no.",$C208,"3 Posting Date",Z$9,"4 Entry Type",$C$4,"2 Item No.","@@"&amp;$F208)</t>
  </si>
  <si>
    <t>=-NL("Sum","32 Item Ledger Entry","12 Quantity","5 Source no.",$C209,"3 Posting Date",Z$9,"4 Entry Type",$C$4,"2 Item No.","@@"&amp;$F209)</t>
  </si>
  <si>
    <t>=-NL("Sum","32 Item Ledger Entry","12 Quantity","5 Source no.",$C210,"3 Posting Date",Z$9,"4 Entry Type",$C$4,"2 Item No.","@@"&amp;$F210)</t>
  </si>
  <si>
    <t>=-NL("Sum","32 Item Ledger Entry","12 Quantity","5 Source no.",$C211,"3 Posting Date",Z$9,"4 Entry Type",$C$4,"2 Item No.","@@"&amp;$F211)</t>
  </si>
  <si>
    <t>=-NL("Sum","32 Item Ledger Entry","12 Quantity","5 Source no.",$C212,"3 Posting Date",Z$9,"4 Entry Type",$C$4,"2 Item No.","@@"&amp;$F212)</t>
  </si>
  <si>
    <t>=-NL("Sum","32 Item Ledger Entry","12 Quantity","5 Source no.",$C213,"3 Posting Date",Z$9,"4 Entry Type",$C$4,"2 Item No.","@@"&amp;$F213)</t>
  </si>
  <si>
    <t>=-NL("Sum","32 Item Ledger Entry","12 Quantity","5 Source no.",$C214,"3 Posting Date",Z$9,"4 Entry Type",$C$4,"2 Item No.","@@"&amp;$F214)</t>
  </si>
  <si>
    <t>=-NL("Sum","32 Item Ledger Entry","12 Quantity","5 Source no.",$C215,"3 Posting Date",Z$9,"4 Entry Type",$C$4,"2 Item No.","@@"&amp;$F215)</t>
  </si>
  <si>
    <t>=-NL("Sum","32 Item Ledger Entry","12 Quantity","5 Source no.",$C216,"3 Posting Date",Z$9,"4 Entry Type",$C$4,"2 Item No.","@@"&amp;$F216)</t>
  </si>
  <si>
    <t>=-NL("Sum","32 Item Ledger Entry","12 Quantity","5 Source no.",$C217,"3 Posting Date",Z$9,"4 Entry Type",$C$4,"2 Item No.","@@"&amp;$F217)</t>
  </si>
  <si>
    <t>=-NL("Sum","32 Item Ledger Entry","12 Quantity","5 Source no.",$C218,"3 Posting Date",Z$9,"4 Entry Type",$C$4,"2 Item No.","@@"&amp;$F218)</t>
  </si>
  <si>
    <t>=-NL("Sum","32 Item Ledger Entry","12 Quantity","5 Source no.",$C219,"3 Posting Date",Z$9,"4 Entry Type",$C$4,"2 Item No.","@@"&amp;$F219)</t>
  </si>
  <si>
    <t>=NL(,"27 Item","3 Description","1 No.","@@"&amp;F167)</t>
  </si>
  <si>
    <t>=NL(,"27 Item","3 Description","1 No.","@@"&amp;F168)</t>
  </si>
  <si>
    <t>=NL(,"27 Item","3 Description","1 No.","@@"&amp;F169)</t>
  </si>
  <si>
    <t>=NL(,"27 Item","3 Description","1 No.","@@"&amp;F170)</t>
  </si>
  <si>
    <t>=NL(,"27 Item","3 Description","1 No.","@@"&amp;F171)</t>
  </si>
  <si>
    <t>=NL(,"27 Item","3 Description","1 No.","@@"&amp;F172)</t>
  </si>
  <si>
    <t>=NL(,"27 Item","3 Description","1 No.","@@"&amp;F173)</t>
  </si>
  <si>
    <t>=NL(,"27 Item","3 Description","1 No.","@@"&amp;F174)</t>
  </si>
  <si>
    <t>=NL(,"27 Item","3 Description","1 No.","@@"&amp;F175)</t>
  </si>
  <si>
    <t>=-NL("Sum","32 Item Ledger Entry","12 Quantity","5 Source no.",$C167,"3 Posting Date",J$9,"4 Entry Type",$C$4,"2 Item No.","@@"&amp;$F167)</t>
  </si>
  <si>
    <t>=-NL("Sum","32 Item Ledger Entry","12 Quantity","5 Source no.",$C168,"3 Posting Date",J$9,"4 Entry Type",$C$4,"2 Item No.","@@"&amp;$F168)</t>
  </si>
  <si>
    <t>=-NL("Sum","32 Item Ledger Entry","12 Quantity","5 Source no.",$C169,"3 Posting Date",J$9,"4 Entry Type",$C$4,"2 Item No.","@@"&amp;$F169)</t>
  </si>
  <si>
    <t>=-NL("Sum","32 Item Ledger Entry","12 Quantity","5 Source no.",$C170,"3 Posting Date",J$9,"4 Entry Type",$C$4,"2 Item No.","@@"&amp;$F170)</t>
  </si>
  <si>
    <t>=-NL("Sum","32 Item Ledger Entry","12 Quantity","5 Source no.",$C171,"3 Posting Date",J$9,"4 Entry Type",$C$4,"2 Item No.","@@"&amp;$F171)</t>
  </si>
  <si>
    <t>=-NL("Sum","32 Item Ledger Entry","12 Quantity","5 Source no.",$C172,"3 Posting Date",J$9,"4 Entry Type",$C$4,"2 Item No.","@@"&amp;$F172)</t>
  </si>
  <si>
    <t>=-NL("Sum","32 Item Ledger Entry","12 Quantity","5 Source no.",$C173,"3 Posting Date",J$9,"4 Entry Type",$C$4,"2 Item No.","@@"&amp;$F173)</t>
  </si>
  <si>
    <t>=-NL("Sum","32 Item Ledger Entry","12 Quantity","5 Source no.",$C174,"3 Posting Date",J$9,"4 Entry Type",$C$4,"2 Item No.","@@"&amp;$F174)</t>
  </si>
  <si>
    <t>=-NL("Sum","32 Item Ledger Entry","12 Quantity","5 Source no.",$C175,"3 Posting Date",J$9,"4 Entry Type",$C$4,"2 Item No.","@@"&amp;$F175)</t>
  </si>
  <si>
    <t>=-NL("Sum","32 Item Ledger Entry","12 Quantity","5 Source no.",$C167,"3 Posting Date",O$9,"4 Entry Type",$C$4,"2 Item No.","@@"&amp;$F167)</t>
  </si>
  <si>
    <t>=-NL("Sum","32 Item Ledger Entry","12 Quantity","5 Source no.",$C168,"3 Posting Date",O$9,"4 Entry Type",$C$4,"2 Item No.","@@"&amp;$F168)</t>
  </si>
  <si>
    <t>=-NL("Sum","32 Item Ledger Entry","12 Quantity","5 Source no.",$C169,"3 Posting Date",O$9,"4 Entry Type",$C$4,"2 Item No.","@@"&amp;$F169)</t>
  </si>
  <si>
    <t>=-NL("Sum","32 Item Ledger Entry","12 Quantity","5 Source no.",$C170,"3 Posting Date",O$9,"4 Entry Type",$C$4,"2 Item No.","@@"&amp;$F170)</t>
  </si>
  <si>
    <t>=-NL("Sum","32 Item Ledger Entry","12 Quantity","5 Source no.",$C171,"3 Posting Date",O$9,"4 Entry Type",$C$4,"2 Item No.","@@"&amp;$F171)</t>
  </si>
  <si>
    <t>=-NL("Sum","32 Item Ledger Entry","12 Quantity","5 Source no.",$C172,"3 Posting Date",O$9,"4 Entry Type",$C$4,"2 Item No.","@@"&amp;$F172)</t>
  </si>
  <si>
    <t>=-NL("Sum","32 Item Ledger Entry","12 Quantity","5 Source no.",$C173,"3 Posting Date",O$9,"4 Entry Type",$C$4,"2 Item No.","@@"&amp;$F173)</t>
  </si>
  <si>
    <t>=-NL("Sum","32 Item Ledger Entry","12 Quantity","5 Source no.",$C174,"3 Posting Date",O$9,"4 Entry Type",$C$4,"2 Item No.","@@"&amp;$F174)</t>
  </si>
  <si>
    <t>=-NL("Sum","32 Item Ledger Entry","12 Quantity","5 Source no.",$C175,"3 Posting Date",O$9,"4 Entry Type",$C$4,"2 Item No.","@@"&amp;$F175)</t>
  </si>
  <si>
    <t>=-NL("Sum","32 Item Ledger Entry","12 Quantity","5 Source no.",$C167,"3 Posting Date",U$9,"4 Entry Type",$C$4,"2 Item No.","@@"&amp;$F167)</t>
  </si>
  <si>
    <t>=-NL("Sum","32 Item Ledger Entry","12 Quantity","5 Source no.",$C168,"3 Posting Date",U$9,"4 Entry Type",$C$4,"2 Item No.","@@"&amp;$F168)</t>
  </si>
  <si>
    <t>=-NL("Sum","32 Item Ledger Entry","12 Quantity","5 Source no.",$C169,"3 Posting Date",U$9,"4 Entry Type",$C$4,"2 Item No.","@@"&amp;$F169)</t>
  </si>
  <si>
    <t>=-NL("Sum","32 Item Ledger Entry","12 Quantity","5 Source no.",$C170,"3 Posting Date",U$9,"4 Entry Type",$C$4,"2 Item No.","@@"&amp;$F170)</t>
  </si>
  <si>
    <t>=-NL("Sum","32 Item Ledger Entry","12 Quantity","5 Source no.",$C171,"3 Posting Date",U$9,"4 Entry Type",$C$4,"2 Item No.","@@"&amp;$F171)</t>
  </si>
  <si>
    <t>=-NL("Sum","32 Item Ledger Entry","12 Quantity","5 Source no.",$C172,"3 Posting Date",U$9,"4 Entry Type",$C$4,"2 Item No.","@@"&amp;$F172)</t>
  </si>
  <si>
    <t>=-NL("Sum","32 Item Ledger Entry","12 Quantity","5 Source no.",$C173,"3 Posting Date",U$9,"4 Entry Type",$C$4,"2 Item No.","@@"&amp;$F173)</t>
  </si>
  <si>
    <t>=-NL("Sum","32 Item Ledger Entry","12 Quantity","5 Source no.",$C174,"3 Posting Date",U$9,"4 Entry Type",$C$4,"2 Item No.","@@"&amp;$F174)</t>
  </si>
  <si>
    <t>=-NL("Sum","32 Item Ledger Entry","12 Quantity","5 Source no.",$C175,"3 Posting Date",U$9,"4 Entry Type",$C$4,"2 Item No.","@@"&amp;$F175)</t>
  </si>
  <si>
    <t>=-NL("Sum","32 Item Ledger Entry","12 Quantity","5 Source no.",$C167,"3 Posting Date",Z$9,"4 Entry Type",$C$4,"2 Item No.","@@"&amp;$F167)</t>
  </si>
  <si>
    <t>=-NL("Sum","32 Item Ledger Entry","12 Quantity","5 Source no.",$C168,"3 Posting Date",Z$9,"4 Entry Type",$C$4,"2 Item No.","@@"&amp;$F168)</t>
  </si>
  <si>
    <t>=-NL("Sum","32 Item Ledger Entry","12 Quantity","5 Source no.",$C169,"3 Posting Date",Z$9,"4 Entry Type",$C$4,"2 Item No.","@@"&amp;$F169)</t>
  </si>
  <si>
    <t>=-NL("Sum","32 Item Ledger Entry","12 Quantity","5 Source no.",$C170,"3 Posting Date",Z$9,"4 Entry Type",$C$4,"2 Item No.","@@"&amp;$F170)</t>
  </si>
  <si>
    <t>=-NL("Sum","32 Item Ledger Entry","12 Quantity","5 Source no.",$C171,"3 Posting Date",Z$9,"4 Entry Type",$C$4,"2 Item No.","@@"&amp;$F171)</t>
  </si>
  <si>
    <t>=-NL("Sum","32 Item Ledger Entry","12 Quantity","5 Source no.",$C172,"3 Posting Date",Z$9,"4 Entry Type",$C$4,"2 Item No.","@@"&amp;$F172)</t>
  </si>
  <si>
    <t>=-NL("Sum","32 Item Ledger Entry","12 Quantity","5 Source no.",$C173,"3 Posting Date",Z$9,"4 Entry Type",$C$4,"2 Item No.","@@"&amp;$F173)</t>
  </si>
  <si>
    <t>=-NL("Sum","32 Item Ledger Entry","12 Quantity","5 Source no.",$C174,"3 Posting Date",Z$9,"4 Entry Type",$C$4,"2 Item No.","@@"&amp;$F174)</t>
  </si>
  <si>
    <t>=-NL("Sum","32 Item Ledger Entry","12 Quantity","5 Source no.",$C175,"3 Posting Date",Z$9,"4 Entry Type",$C$4,"2 Item No.","@@"&amp;$F175)</t>
  </si>
  <si>
    <t>=NL(,"27 Item","3 Description","1 No.","@@"&amp;F142)</t>
  </si>
  <si>
    <t>=NL(,"27 Item","3 Description","1 No.","@@"&amp;F143)</t>
  </si>
  <si>
    <t>=NL(,"27 Item","3 Description","1 No.","@@"&amp;F144)</t>
  </si>
  <si>
    <t>=NL(,"27 Item","3 Description","1 No.","@@"&amp;F145)</t>
  </si>
  <si>
    <t>=NL(,"27 Item","3 Description","1 No.","@@"&amp;F146)</t>
  </si>
  <si>
    <t>=NL(,"27 Item","3 Description","1 No.","@@"&amp;F147)</t>
  </si>
  <si>
    <t>=NL(,"27 Item","3 Description","1 No.","@@"&amp;F148)</t>
  </si>
  <si>
    <t>=NL(,"27 Item","3 Description","1 No.","@@"&amp;F149)</t>
  </si>
  <si>
    <t>=NL(,"27 Item","3 Description","1 No.","@@"&amp;F150)</t>
  </si>
  <si>
    <t>=NL(,"27 Item","3 Description","1 No.","@@"&amp;F151)</t>
  </si>
  <si>
    <t>=NL(,"27 Item","3 Description","1 No.","@@"&amp;F152)</t>
  </si>
  <si>
    <t>=NL(,"27 Item","3 Description","1 No.","@@"&amp;F153)</t>
  </si>
  <si>
    <t>=NL(,"27 Item","3 Description","1 No.","@@"&amp;F154)</t>
  </si>
  <si>
    <t>=NL(,"27 Item","3 Description","1 No.","@@"&amp;F155)</t>
  </si>
  <si>
    <t>=NL(,"27 Item","3 Description","1 No.","@@"&amp;F156)</t>
  </si>
  <si>
    <t>=NL(,"27 Item","3 Description","1 No.","@@"&amp;F157)</t>
  </si>
  <si>
    <t>=NL(,"27 Item","3 Description","1 No.","@@"&amp;F158)</t>
  </si>
  <si>
    <t>=NL(,"27 Item","3 Description","1 No.","@@"&amp;F159)</t>
  </si>
  <si>
    <t>=NL(,"27 Item","3 Description","1 No.","@@"&amp;F160)</t>
  </si>
  <si>
    <t>=NL(,"27 Item","3 Description","1 No.","@@"&amp;F161)</t>
  </si>
  <si>
    <t>=-NL("Sum","32 Item Ledger Entry","12 Quantity","5 Source no.",$C142,"3 Posting Date",J$9,"4 Entry Type",$C$4,"2 Item No.","@@"&amp;$F142)</t>
  </si>
  <si>
    <t>=-NL("Sum","32 Item Ledger Entry","12 Quantity","5 Source no.",$C143,"3 Posting Date",J$9,"4 Entry Type",$C$4,"2 Item No.","@@"&amp;$F143)</t>
  </si>
  <si>
    <t>=-NL("Sum","32 Item Ledger Entry","12 Quantity","5 Source no.",$C144,"3 Posting Date",J$9,"4 Entry Type",$C$4,"2 Item No.","@@"&amp;$F144)</t>
  </si>
  <si>
    <t>=-NL("Sum","32 Item Ledger Entry","12 Quantity","5 Source no.",$C145,"3 Posting Date",J$9,"4 Entry Type",$C$4,"2 Item No.","@@"&amp;$F145)</t>
  </si>
  <si>
    <t>=-NL("Sum","32 Item Ledger Entry","12 Quantity","5 Source no.",$C146,"3 Posting Date",J$9,"4 Entry Type",$C$4,"2 Item No.","@@"&amp;$F146)</t>
  </si>
  <si>
    <t>=-NL("Sum","32 Item Ledger Entry","12 Quantity","5 Source no.",$C147,"3 Posting Date",J$9,"4 Entry Type",$C$4,"2 Item No.","@@"&amp;$F147)</t>
  </si>
  <si>
    <t>=-NL("Sum","32 Item Ledger Entry","12 Quantity","5 Source no.",$C148,"3 Posting Date",J$9,"4 Entry Type",$C$4,"2 Item No.","@@"&amp;$F148)</t>
  </si>
  <si>
    <t>=-NL("Sum","32 Item Ledger Entry","12 Quantity","5 Source no.",$C149,"3 Posting Date",J$9,"4 Entry Type",$C$4,"2 Item No.","@@"&amp;$F149)</t>
  </si>
  <si>
    <t>=-NL("Sum","32 Item Ledger Entry","12 Quantity","5 Source no.",$C150,"3 Posting Date",J$9,"4 Entry Type",$C$4,"2 Item No.","@@"&amp;$F150)</t>
  </si>
  <si>
    <t>=-NL("Sum","32 Item Ledger Entry","12 Quantity","5 Source no.",$C151,"3 Posting Date",J$9,"4 Entry Type",$C$4,"2 Item No.","@@"&amp;$F151)</t>
  </si>
  <si>
    <t>=-NL("Sum","32 Item Ledger Entry","12 Quantity","5 Source no.",$C152,"3 Posting Date",J$9,"4 Entry Type",$C$4,"2 Item No.","@@"&amp;$F152)</t>
  </si>
  <si>
    <t>=-NL("Sum","32 Item Ledger Entry","12 Quantity","5 Source no.",$C153,"3 Posting Date",J$9,"4 Entry Type",$C$4,"2 Item No.","@@"&amp;$F153)</t>
  </si>
  <si>
    <t>=-NL("Sum","32 Item Ledger Entry","12 Quantity","5 Source no.",$C154,"3 Posting Date",J$9,"4 Entry Type",$C$4,"2 Item No.","@@"&amp;$F154)</t>
  </si>
  <si>
    <t>=-NL("Sum","32 Item Ledger Entry","12 Quantity","5 Source no.",$C155,"3 Posting Date",J$9,"4 Entry Type",$C$4,"2 Item No.","@@"&amp;$F155)</t>
  </si>
  <si>
    <t>=-NL("Sum","32 Item Ledger Entry","12 Quantity","5 Source no.",$C156,"3 Posting Date",J$9,"4 Entry Type",$C$4,"2 Item No.","@@"&amp;$F156)</t>
  </si>
  <si>
    <t>=-NL("Sum","32 Item Ledger Entry","12 Quantity","5 Source no.",$C157,"3 Posting Date",J$9,"4 Entry Type",$C$4,"2 Item No.","@@"&amp;$F157)</t>
  </si>
  <si>
    <t>=-NL("Sum","32 Item Ledger Entry","12 Quantity","5 Source no.",$C158,"3 Posting Date",J$9,"4 Entry Type",$C$4,"2 Item No.","@@"&amp;$F158)</t>
  </si>
  <si>
    <t>=-NL("Sum","32 Item Ledger Entry","12 Quantity","5 Source no.",$C159,"3 Posting Date",J$9,"4 Entry Type",$C$4,"2 Item No.","@@"&amp;$F159)</t>
  </si>
  <si>
    <t>=-NL("Sum","32 Item Ledger Entry","12 Quantity","5 Source no.",$C160,"3 Posting Date",J$9,"4 Entry Type",$C$4,"2 Item No.","@@"&amp;$F160)</t>
  </si>
  <si>
    <t>=-NL("Sum","32 Item Ledger Entry","12 Quantity","5 Source no.",$C161,"3 Posting Date",J$9,"4 Entry Type",$C$4,"2 Item No.","@@"&amp;$F161)</t>
  </si>
  <si>
    <t>=-NL("Sum","32 Item Ledger Entry","12 Quantity","5 Source no.",$C142,"3 Posting Date",O$9,"4 Entry Type",$C$4,"2 Item No.","@@"&amp;$F142)</t>
  </si>
  <si>
    <t>=-NL("Sum","32 Item Ledger Entry","12 Quantity","5 Source no.",$C143,"3 Posting Date",O$9,"4 Entry Type",$C$4,"2 Item No.","@@"&amp;$F143)</t>
  </si>
  <si>
    <t>=-NL("Sum","32 Item Ledger Entry","12 Quantity","5 Source no.",$C144,"3 Posting Date",O$9,"4 Entry Type",$C$4,"2 Item No.","@@"&amp;$F144)</t>
  </si>
  <si>
    <t>=-NL("Sum","32 Item Ledger Entry","12 Quantity","5 Source no.",$C145,"3 Posting Date",O$9,"4 Entry Type",$C$4,"2 Item No.","@@"&amp;$F145)</t>
  </si>
  <si>
    <t>=-NL("Sum","32 Item Ledger Entry","12 Quantity","5 Source no.",$C146,"3 Posting Date",O$9,"4 Entry Type",$C$4,"2 Item No.","@@"&amp;$F146)</t>
  </si>
  <si>
    <t>=-NL("Sum","32 Item Ledger Entry","12 Quantity","5 Source no.",$C147,"3 Posting Date",O$9,"4 Entry Type",$C$4,"2 Item No.","@@"&amp;$F147)</t>
  </si>
  <si>
    <t>=-NL("Sum","32 Item Ledger Entry","12 Quantity","5 Source no.",$C148,"3 Posting Date",O$9,"4 Entry Type",$C$4,"2 Item No.","@@"&amp;$F148)</t>
  </si>
  <si>
    <t>=-NL("Sum","32 Item Ledger Entry","12 Quantity","5 Source no.",$C149,"3 Posting Date",O$9,"4 Entry Type",$C$4,"2 Item No.","@@"&amp;$F149)</t>
  </si>
  <si>
    <t>=-NL("Sum","32 Item Ledger Entry","12 Quantity","5 Source no.",$C150,"3 Posting Date",O$9,"4 Entry Type",$C$4,"2 Item No.","@@"&amp;$F150)</t>
  </si>
  <si>
    <t>=-NL("Sum","32 Item Ledger Entry","12 Quantity","5 Source no.",$C151,"3 Posting Date",O$9,"4 Entry Type",$C$4,"2 Item No.","@@"&amp;$F151)</t>
  </si>
  <si>
    <t>=-NL("Sum","32 Item Ledger Entry","12 Quantity","5 Source no.",$C152,"3 Posting Date",O$9,"4 Entry Type",$C$4,"2 Item No.","@@"&amp;$F152)</t>
  </si>
  <si>
    <t>=-NL("Sum","32 Item Ledger Entry","12 Quantity","5 Source no.",$C153,"3 Posting Date",O$9,"4 Entry Type",$C$4,"2 Item No.","@@"&amp;$F153)</t>
  </si>
  <si>
    <t>=-NL("Sum","32 Item Ledger Entry","12 Quantity","5 Source no.",$C154,"3 Posting Date",O$9,"4 Entry Type",$C$4,"2 Item No.","@@"&amp;$F154)</t>
  </si>
  <si>
    <t>=-NL("Sum","32 Item Ledger Entry","12 Quantity","5 Source no.",$C155,"3 Posting Date",O$9,"4 Entry Type",$C$4,"2 Item No.","@@"&amp;$F155)</t>
  </si>
  <si>
    <t>=-NL("Sum","32 Item Ledger Entry","12 Quantity","5 Source no.",$C156,"3 Posting Date",O$9,"4 Entry Type",$C$4,"2 Item No.","@@"&amp;$F156)</t>
  </si>
  <si>
    <t>=-NL("Sum","32 Item Ledger Entry","12 Quantity","5 Source no.",$C157,"3 Posting Date",O$9,"4 Entry Type",$C$4,"2 Item No.","@@"&amp;$F157)</t>
  </si>
  <si>
    <t>=-NL("Sum","32 Item Ledger Entry","12 Quantity","5 Source no.",$C158,"3 Posting Date",O$9,"4 Entry Type",$C$4,"2 Item No.","@@"&amp;$F158)</t>
  </si>
  <si>
    <t>=-NL("Sum","32 Item Ledger Entry","12 Quantity","5 Source no.",$C159,"3 Posting Date",O$9,"4 Entry Type",$C$4,"2 Item No.","@@"&amp;$F159)</t>
  </si>
  <si>
    <t>=-NL("Sum","32 Item Ledger Entry","12 Quantity","5 Source no.",$C160,"3 Posting Date",O$9,"4 Entry Type",$C$4,"2 Item No.","@@"&amp;$F160)</t>
  </si>
  <si>
    <t>=-NL("Sum","32 Item Ledger Entry","12 Quantity","5 Source no.",$C161,"3 Posting Date",O$9,"4 Entry Type",$C$4,"2 Item No.","@@"&amp;$F161)</t>
  </si>
  <si>
    <t>=-NL("Sum","32 Item Ledger Entry","12 Quantity","5 Source no.",$C142,"3 Posting Date",U$9,"4 Entry Type",$C$4,"2 Item No.","@@"&amp;$F142)</t>
  </si>
  <si>
    <t>=-NL("Sum","32 Item Ledger Entry","12 Quantity","5 Source no.",$C143,"3 Posting Date",U$9,"4 Entry Type",$C$4,"2 Item No.","@@"&amp;$F143)</t>
  </si>
  <si>
    <t>=-NL("Sum","32 Item Ledger Entry","12 Quantity","5 Source no.",$C144,"3 Posting Date",U$9,"4 Entry Type",$C$4,"2 Item No.","@@"&amp;$F144)</t>
  </si>
  <si>
    <t>=-NL("Sum","32 Item Ledger Entry","12 Quantity","5 Source no.",$C145,"3 Posting Date",U$9,"4 Entry Type",$C$4,"2 Item No.","@@"&amp;$F145)</t>
  </si>
  <si>
    <t>=-NL("Sum","32 Item Ledger Entry","12 Quantity","5 Source no.",$C146,"3 Posting Date",U$9,"4 Entry Type",$C$4,"2 Item No.","@@"&amp;$F146)</t>
  </si>
  <si>
    <t>=-NL("Sum","32 Item Ledger Entry","12 Quantity","5 Source no.",$C147,"3 Posting Date",U$9,"4 Entry Type",$C$4,"2 Item No.","@@"&amp;$F147)</t>
  </si>
  <si>
    <t>=-NL("Sum","32 Item Ledger Entry","12 Quantity","5 Source no.",$C148,"3 Posting Date",U$9,"4 Entry Type",$C$4,"2 Item No.","@@"&amp;$F148)</t>
  </si>
  <si>
    <t>=-NL("Sum","32 Item Ledger Entry","12 Quantity","5 Source no.",$C149,"3 Posting Date",U$9,"4 Entry Type",$C$4,"2 Item No.","@@"&amp;$F149)</t>
  </si>
  <si>
    <t>=-NL("Sum","32 Item Ledger Entry","12 Quantity","5 Source no.",$C150,"3 Posting Date",U$9,"4 Entry Type",$C$4,"2 Item No.","@@"&amp;$F150)</t>
  </si>
  <si>
    <t>=-NL("Sum","32 Item Ledger Entry","12 Quantity","5 Source no.",$C151,"3 Posting Date",U$9,"4 Entry Type",$C$4,"2 Item No.","@@"&amp;$F151)</t>
  </si>
  <si>
    <t>=-NL("Sum","32 Item Ledger Entry","12 Quantity","5 Source no.",$C152,"3 Posting Date",U$9,"4 Entry Type",$C$4,"2 Item No.","@@"&amp;$F152)</t>
  </si>
  <si>
    <t>=-NL("Sum","32 Item Ledger Entry","12 Quantity","5 Source no.",$C153,"3 Posting Date",U$9,"4 Entry Type",$C$4,"2 Item No.","@@"&amp;$F153)</t>
  </si>
  <si>
    <t>=-NL("Sum","32 Item Ledger Entry","12 Quantity","5 Source no.",$C154,"3 Posting Date",U$9,"4 Entry Type",$C$4,"2 Item No.","@@"&amp;$F154)</t>
  </si>
  <si>
    <t>=-NL("Sum","32 Item Ledger Entry","12 Quantity","5 Source no.",$C155,"3 Posting Date",U$9,"4 Entry Type",$C$4,"2 Item No.","@@"&amp;$F155)</t>
  </si>
  <si>
    <t>=-NL("Sum","32 Item Ledger Entry","12 Quantity","5 Source no.",$C156,"3 Posting Date",U$9,"4 Entry Type",$C$4,"2 Item No.","@@"&amp;$F156)</t>
  </si>
  <si>
    <t>=-NL("Sum","32 Item Ledger Entry","12 Quantity","5 Source no.",$C157,"3 Posting Date",U$9,"4 Entry Type",$C$4,"2 Item No.","@@"&amp;$F157)</t>
  </si>
  <si>
    <t>=-NL("Sum","32 Item Ledger Entry","12 Quantity","5 Source no.",$C158,"3 Posting Date",U$9,"4 Entry Type",$C$4,"2 Item No.","@@"&amp;$F158)</t>
  </si>
  <si>
    <t>=-NL("Sum","32 Item Ledger Entry","12 Quantity","5 Source no.",$C159,"3 Posting Date",U$9,"4 Entry Type",$C$4,"2 Item No.","@@"&amp;$F159)</t>
  </si>
  <si>
    <t>=-NL("Sum","32 Item Ledger Entry","12 Quantity","5 Source no.",$C160,"3 Posting Date",U$9,"4 Entry Type",$C$4,"2 Item No.","@@"&amp;$F160)</t>
  </si>
  <si>
    <t>=-NL("Sum","32 Item Ledger Entry","12 Quantity","5 Source no.",$C161,"3 Posting Date",U$9,"4 Entry Type",$C$4,"2 Item No.","@@"&amp;$F161)</t>
  </si>
  <si>
    <t>=-NL("Sum","32 Item Ledger Entry","12 Quantity","5 Source no.",$C142,"3 Posting Date",Z$9,"4 Entry Type",$C$4,"2 Item No.","@@"&amp;$F142)</t>
  </si>
  <si>
    <t>=-NL("Sum","32 Item Ledger Entry","12 Quantity","5 Source no.",$C143,"3 Posting Date",Z$9,"4 Entry Type",$C$4,"2 Item No.","@@"&amp;$F143)</t>
  </si>
  <si>
    <t>=-NL("Sum","32 Item Ledger Entry","12 Quantity","5 Source no.",$C144,"3 Posting Date",Z$9,"4 Entry Type",$C$4,"2 Item No.","@@"&amp;$F144)</t>
  </si>
  <si>
    <t>=-NL("Sum","32 Item Ledger Entry","12 Quantity","5 Source no.",$C145,"3 Posting Date",Z$9,"4 Entry Type",$C$4,"2 Item No.","@@"&amp;$F145)</t>
  </si>
  <si>
    <t>=-NL("Sum","32 Item Ledger Entry","12 Quantity","5 Source no.",$C146,"3 Posting Date",Z$9,"4 Entry Type",$C$4,"2 Item No.","@@"&amp;$F146)</t>
  </si>
  <si>
    <t>=-NL("Sum","32 Item Ledger Entry","12 Quantity","5 Source no.",$C147,"3 Posting Date",Z$9,"4 Entry Type",$C$4,"2 Item No.","@@"&amp;$F147)</t>
  </si>
  <si>
    <t>=-NL("Sum","32 Item Ledger Entry","12 Quantity","5 Source no.",$C148,"3 Posting Date",Z$9,"4 Entry Type",$C$4,"2 Item No.","@@"&amp;$F148)</t>
  </si>
  <si>
    <t>=-NL("Sum","32 Item Ledger Entry","12 Quantity","5 Source no.",$C149,"3 Posting Date",Z$9,"4 Entry Type",$C$4,"2 Item No.","@@"&amp;$F149)</t>
  </si>
  <si>
    <t>=-NL("Sum","32 Item Ledger Entry","12 Quantity","5 Source no.",$C150,"3 Posting Date",Z$9,"4 Entry Type",$C$4,"2 Item No.","@@"&amp;$F150)</t>
  </si>
  <si>
    <t>=-NL("Sum","32 Item Ledger Entry","12 Quantity","5 Source no.",$C151,"3 Posting Date",Z$9,"4 Entry Type",$C$4,"2 Item No.","@@"&amp;$F151)</t>
  </si>
  <si>
    <t>=-NL("Sum","32 Item Ledger Entry","12 Quantity","5 Source no.",$C152,"3 Posting Date",Z$9,"4 Entry Type",$C$4,"2 Item No.","@@"&amp;$F152)</t>
  </si>
  <si>
    <t>=-NL("Sum","32 Item Ledger Entry","12 Quantity","5 Source no.",$C153,"3 Posting Date",Z$9,"4 Entry Type",$C$4,"2 Item No.","@@"&amp;$F153)</t>
  </si>
  <si>
    <t>=-NL("Sum","32 Item Ledger Entry","12 Quantity","5 Source no.",$C154,"3 Posting Date",Z$9,"4 Entry Type",$C$4,"2 Item No.","@@"&amp;$F154)</t>
  </si>
  <si>
    <t>=-NL("Sum","32 Item Ledger Entry","12 Quantity","5 Source no.",$C155,"3 Posting Date",Z$9,"4 Entry Type",$C$4,"2 Item No.","@@"&amp;$F155)</t>
  </si>
  <si>
    <t>=-NL("Sum","32 Item Ledger Entry","12 Quantity","5 Source no.",$C156,"3 Posting Date",Z$9,"4 Entry Type",$C$4,"2 Item No.","@@"&amp;$F156)</t>
  </si>
  <si>
    <t>=-NL("Sum","32 Item Ledger Entry","12 Quantity","5 Source no.",$C157,"3 Posting Date",Z$9,"4 Entry Type",$C$4,"2 Item No.","@@"&amp;$F157)</t>
  </si>
  <si>
    <t>=-NL("Sum","32 Item Ledger Entry","12 Quantity","5 Source no.",$C158,"3 Posting Date",Z$9,"4 Entry Type",$C$4,"2 Item No.","@@"&amp;$F158)</t>
  </si>
  <si>
    <t>=-NL("Sum","32 Item Ledger Entry","12 Quantity","5 Source no.",$C159,"3 Posting Date",Z$9,"4 Entry Type",$C$4,"2 Item No.","@@"&amp;$F159)</t>
  </si>
  <si>
    <t>=-NL("Sum","32 Item Ledger Entry","12 Quantity","5 Source no.",$C160,"3 Posting Date",Z$9,"4 Entry Type",$C$4,"2 Item No.","@@"&amp;$F160)</t>
  </si>
  <si>
    <t>=-NL("Sum","32 Item Ledger Entry","12 Quantity","5 Source no.",$C161,"3 Posting Date",Z$9,"4 Entry Type",$C$4,"2 Item No.","@@"&amp;$F161)</t>
  </si>
  <si>
    <t>=NL(,"27 Item","3 Description","1 No.","@@"&amp;F111)</t>
  </si>
  <si>
    <t>=NL(,"27 Item","3 Description","1 No.","@@"&amp;F112)</t>
  </si>
  <si>
    <t>=NL(,"27 Item","3 Description","1 No.","@@"&amp;F113)</t>
  </si>
  <si>
    <t>=NL(,"27 Item","3 Description","1 No.","@@"&amp;F114)</t>
  </si>
  <si>
    <t>=NL(,"27 Item","3 Description","1 No.","@@"&amp;F115)</t>
  </si>
  <si>
    <t>=NL(,"27 Item","3 Description","1 No.","@@"&amp;F116)</t>
  </si>
  <si>
    <t>=NL(,"27 Item","3 Description","1 No.","@@"&amp;F117)</t>
  </si>
  <si>
    <t>=NL(,"27 Item","3 Description","1 No.","@@"&amp;F118)</t>
  </si>
  <si>
    <t>=NL(,"27 Item","3 Description","1 No.","@@"&amp;F119)</t>
  </si>
  <si>
    <t>=NL(,"27 Item","3 Description","1 No.","@@"&amp;F120)</t>
  </si>
  <si>
    <t>=NL(,"27 Item","3 Description","1 No.","@@"&amp;F121)</t>
  </si>
  <si>
    <t>=NL(,"27 Item","3 Description","1 No.","@@"&amp;F122)</t>
  </si>
  <si>
    <t>=NL(,"27 Item","3 Description","1 No.","@@"&amp;F123)</t>
  </si>
  <si>
    <t>=NL(,"27 Item","3 Description","1 No.","@@"&amp;F124)</t>
  </si>
  <si>
    <t>=NL(,"27 Item","3 Description","1 No.","@@"&amp;F125)</t>
  </si>
  <si>
    <t>=NL(,"27 Item","3 Description","1 No.","@@"&amp;F126)</t>
  </si>
  <si>
    <t>=NL(,"27 Item","3 Description","1 No.","@@"&amp;F127)</t>
  </si>
  <si>
    <t>=NL(,"27 Item","3 Description","1 No.","@@"&amp;F128)</t>
  </si>
  <si>
    <t>=NL(,"27 Item","3 Description","1 No.","@@"&amp;F129)</t>
  </si>
  <si>
    <t>=NL(,"27 Item","3 Description","1 No.","@@"&amp;F130)</t>
  </si>
  <si>
    <t>=NL(,"27 Item","3 Description","1 No.","@@"&amp;F131)</t>
  </si>
  <si>
    <t>=NL(,"27 Item","3 Description","1 No.","@@"&amp;F132)</t>
  </si>
  <si>
    <t>=NL(,"27 Item","3 Description","1 No.","@@"&amp;F133)</t>
  </si>
  <si>
    <t>=NL(,"27 Item","3 Description","1 No.","@@"&amp;F134)</t>
  </si>
  <si>
    <t>=NL(,"27 Item","3 Description","1 No.","@@"&amp;F135)</t>
  </si>
  <si>
    <t>=NL(,"27 Item","3 Description","1 No.","@@"&amp;F136)</t>
  </si>
  <si>
    <t>=-NL("Sum","32 Item Ledger Entry","12 Quantity","5 Source no.",$C111,"3 Posting Date",J$9,"4 Entry Type",$C$4,"2 Item No.","@@"&amp;$F111)</t>
  </si>
  <si>
    <t>=-NL("Sum","32 Item Ledger Entry","12 Quantity","5 Source no.",$C112,"3 Posting Date",J$9,"4 Entry Type",$C$4,"2 Item No.","@@"&amp;$F112)</t>
  </si>
  <si>
    <t>=-NL("Sum","32 Item Ledger Entry","12 Quantity","5 Source no.",$C113,"3 Posting Date",J$9,"4 Entry Type",$C$4,"2 Item No.","@@"&amp;$F113)</t>
  </si>
  <si>
    <t>=-NL("Sum","32 Item Ledger Entry","12 Quantity","5 Source no.",$C114,"3 Posting Date",J$9,"4 Entry Type",$C$4,"2 Item No.","@@"&amp;$F114)</t>
  </si>
  <si>
    <t>=-NL("Sum","32 Item Ledger Entry","12 Quantity","5 Source no.",$C115,"3 Posting Date",J$9,"4 Entry Type",$C$4,"2 Item No.","@@"&amp;$F115)</t>
  </si>
  <si>
    <t>=-NL("Sum","32 Item Ledger Entry","12 Quantity","5 Source no.",$C116,"3 Posting Date",J$9,"4 Entry Type",$C$4,"2 Item No.","@@"&amp;$F116)</t>
  </si>
  <si>
    <t>=-NL("Sum","32 Item Ledger Entry","12 Quantity","5 Source no.",$C117,"3 Posting Date",J$9,"4 Entry Type",$C$4,"2 Item No.","@@"&amp;$F117)</t>
  </si>
  <si>
    <t>=-NL("Sum","32 Item Ledger Entry","12 Quantity","5 Source no.",$C118,"3 Posting Date",J$9,"4 Entry Type",$C$4,"2 Item No.","@@"&amp;$F118)</t>
  </si>
  <si>
    <t>=-NL("Sum","32 Item Ledger Entry","12 Quantity","5 Source no.",$C119,"3 Posting Date",J$9,"4 Entry Type",$C$4,"2 Item No.","@@"&amp;$F119)</t>
  </si>
  <si>
    <t>=-NL("Sum","32 Item Ledger Entry","12 Quantity","5 Source no.",$C120,"3 Posting Date",J$9,"4 Entry Type",$C$4,"2 Item No.","@@"&amp;$F120)</t>
  </si>
  <si>
    <t>=-NL("Sum","32 Item Ledger Entry","12 Quantity","5 Source no.",$C121,"3 Posting Date",J$9,"4 Entry Type",$C$4,"2 Item No.","@@"&amp;$F121)</t>
  </si>
  <si>
    <t>=-NL("Sum","32 Item Ledger Entry","12 Quantity","5 Source no.",$C122,"3 Posting Date",J$9,"4 Entry Type",$C$4,"2 Item No.","@@"&amp;$F122)</t>
  </si>
  <si>
    <t>=-NL("Sum","32 Item Ledger Entry","12 Quantity","5 Source no.",$C123,"3 Posting Date",J$9,"4 Entry Type",$C$4,"2 Item No.","@@"&amp;$F123)</t>
  </si>
  <si>
    <t>=-NL("Sum","32 Item Ledger Entry","12 Quantity","5 Source no.",$C124,"3 Posting Date",J$9,"4 Entry Type",$C$4,"2 Item No.","@@"&amp;$F124)</t>
  </si>
  <si>
    <t>=-NL("Sum","32 Item Ledger Entry","12 Quantity","5 Source no.",$C125,"3 Posting Date",J$9,"4 Entry Type",$C$4,"2 Item No.","@@"&amp;$F125)</t>
  </si>
  <si>
    <t>=-NL("Sum","32 Item Ledger Entry","12 Quantity","5 Source no.",$C126,"3 Posting Date",J$9,"4 Entry Type",$C$4,"2 Item No.","@@"&amp;$F126)</t>
  </si>
  <si>
    <t>=-NL("Sum","32 Item Ledger Entry","12 Quantity","5 Source no.",$C127,"3 Posting Date",J$9,"4 Entry Type",$C$4,"2 Item No.","@@"&amp;$F127)</t>
  </si>
  <si>
    <t>=-NL("Sum","32 Item Ledger Entry","12 Quantity","5 Source no.",$C128,"3 Posting Date",J$9,"4 Entry Type",$C$4,"2 Item No.","@@"&amp;$F128)</t>
  </si>
  <si>
    <t>=-NL("Sum","32 Item Ledger Entry","12 Quantity","5 Source no.",$C129,"3 Posting Date",J$9,"4 Entry Type",$C$4,"2 Item No.","@@"&amp;$F129)</t>
  </si>
  <si>
    <t>=-NL("Sum","32 Item Ledger Entry","12 Quantity","5 Source no.",$C130,"3 Posting Date",J$9,"4 Entry Type",$C$4,"2 Item No.","@@"&amp;$F130)</t>
  </si>
  <si>
    <t>=-NL("Sum","32 Item Ledger Entry","12 Quantity","5 Source no.",$C131,"3 Posting Date",J$9,"4 Entry Type",$C$4,"2 Item No.","@@"&amp;$F131)</t>
  </si>
  <si>
    <t>=-NL("Sum","32 Item Ledger Entry","12 Quantity","5 Source no.",$C132,"3 Posting Date",J$9,"4 Entry Type",$C$4,"2 Item No.","@@"&amp;$F132)</t>
  </si>
  <si>
    <t>=-NL("Sum","32 Item Ledger Entry","12 Quantity","5 Source no.",$C133,"3 Posting Date",J$9,"4 Entry Type",$C$4,"2 Item No.","@@"&amp;$F133)</t>
  </si>
  <si>
    <t>=-NL("Sum","32 Item Ledger Entry","12 Quantity","5 Source no.",$C134,"3 Posting Date",J$9,"4 Entry Type",$C$4,"2 Item No.","@@"&amp;$F134)</t>
  </si>
  <si>
    <t>=-NL("Sum","32 Item Ledger Entry","12 Quantity","5 Source no.",$C135,"3 Posting Date",J$9,"4 Entry Type",$C$4,"2 Item No.","@@"&amp;$F135)</t>
  </si>
  <si>
    <t>=-NL("Sum","32 Item Ledger Entry","12 Quantity","5 Source no.",$C136,"3 Posting Date",J$9,"4 Entry Type",$C$4,"2 Item No.","@@"&amp;$F136)</t>
  </si>
  <si>
    <t>=-NL("Sum","32 Item Ledger Entry","12 Quantity","5 Source no.",$C111,"3 Posting Date",O$9,"4 Entry Type",$C$4,"2 Item No.","@@"&amp;$F111)</t>
  </si>
  <si>
    <t>=-NL("Sum","32 Item Ledger Entry","12 Quantity","5 Source no.",$C112,"3 Posting Date",O$9,"4 Entry Type",$C$4,"2 Item No.","@@"&amp;$F112)</t>
  </si>
  <si>
    <t>=-NL("Sum","32 Item Ledger Entry","12 Quantity","5 Source no.",$C113,"3 Posting Date",O$9,"4 Entry Type",$C$4,"2 Item No.","@@"&amp;$F113)</t>
  </si>
  <si>
    <t>=-NL("Sum","32 Item Ledger Entry","12 Quantity","5 Source no.",$C114,"3 Posting Date",O$9,"4 Entry Type",$C$4,"2 Item No.","@@"&amp;$F114)</t>
  </si>
  <si>
    <t>=-NL("Sum","32 Item Ledger Entry","12 Quantity","5 Source no.",$C115,"3 Posting Date",O$9,"4 Entry Type",$C$4,"2 Item No.","@@"&amp;$F115)</t>
  </si>
  <si>
    <t>=-NL("Sum","32 Item Ledger Entry","12 Quantity","5 Source no.",$C116,"3 Posting Date",O$9,"4 Entry Type",$C$4,"2 Item No.","@@"&amp;$F116)</t>
  </si>
  <si>
    <t>=-NL("Sum","32 Item Ledger Entry","12 Quantity","5 Source no.",$C117,"3 Posting Date",O$9,"4 Entry Type",$C$4,"2 Item No.","@@"&amp;$F117)</t>
  </si>
  <si>
    <t>=-NL("Sum","32 Item Ledger Entry","12 Quantity","5 Source no.",$C118,"3 Posting Date",O$9,"4 Entry Type",$C$4,"2 Item No.","@@"&amp;$F118)</t>
  </si>
  <si>
    <t>=-NL("Sum","32 Item Ledger Entry","12 Quantity","5 Source no.",$C119,"3 Posting Date",O$9,"4 Entry Type",$C$4,"2 Item No.","@@"&amp;$F119)</t>
  </si>
  <si>
    <t>=-NL("Sum","32 Item Ledger Entry","12 Quantity","5 Source no.",$C120,"3 Posting Date",O$9,"4 Entry Type",$C$4,"2 Item No.","@@"&amp;$F120)</t>
  </si>
  <si>
    <t>=-NL("Sum","32 Item Ledger Entry","12 Quantity","5 Source no.",$C121,"3 Posting Date",O$9,"4 Entry Type",$C$4,"2 Item No.","@@"&amp;$F121)</t>
  </si>
  <si>
    <t>=-NL("Sum","32 Item Ledger Entry","12 Quantity","5 Source no.",$C122,"3 Posting Date",O$9,"4 Entry Type",$C$4,"2 Item No.","@@"&amp;$F122)</t>
  </si>
  <si>
    <t>=-NL("Sum","32 Item Ledger Entry","12 Quantity","5 Source no.",$C123,"3 Posting Date",O$9,"4 Entry Type",$C$4,"2 Item No.","@@"&amp;$F123)</t>
  </si>
  <si>
    <t>=-NL("Sum","32 Item Ledger Entry","12 Quantity","5 Source no.",$C124,"3 Posting Date",O$9,"4 Entry Type",$C$4,"2 Item No.","@@"&amp;$F124)</t>
  </si>
  <si>
    <t>=-NL("Sum","32 Item Ledger Entry","12 Quantity","5 Source no.",$C125,"3 Posting Date",O$9,"4 Entry Type",$C$4,"2 Item No.","@@"&amp;$F125)</t>
  </si>
  <si>
    <t>=-NL("Sum","32 Item Ledger Entry","12 Quantity","5 Source no.",$C126,"3 Posting Date",O$9,"4 Entry Type",$C$4,"2 Item No.","@@"&amp;$F126)</t>
  </si>
  <si>
    <t>=-NL("Sum","32 Item Ledger Entry","12 Quantity","5 Source no.",$C127,"3 Posting Date",O$9,"4 Entry Type",$C$4,"2 Item No.","@@"&amp;$F127)</t>
  </si>
  <si>
    <t>=-NL("Sum","32 Item Ledger Entry","12 Quantity","5 Source no.",$C128,"3 Posting Date",O$9,"4 Entry Type",$C$4,"2 Item No.","@@"&amp;$F128)</t>
  </si>
  <si>
    <t>=-NL("Sum","32 Item Ledger Entry","12 Quantity","5 Source no.",$C129,"3 Posting Date",O$9,"4 Entry Type",$C$4,"2 Item No.","@@"&amp;$F129)</t>
  </si>
  <si>
    <t>=-NL("Sum","32 Item Ledger Entry","12 Quantity","5 Source no.",$C130,"3 Posting Date",O$9,"4 Entry Type",$C$4,"2 Item No.","@@"&amp;$F130)</t>
  </si>
  <si>
    <t>=-NL("Sum","32 Item Ledger Entry","12 Quantity","5 Source no.",$C131,"3 Posting Date",O$9,"4 Entry Type",$C$4,"2 Item No.","@@"&amp;$F131)</t>
  </si>
  <si>
    <t>=-NL("Sum","32 Item Ledger Entry","12 Quantity","5 Source no.",$C132,"3 Posting Date",O$9,"4 Entry Type",$C$4,"2 Item No.","@@"&amp;$F132)</t>
  </si>
  <si>
    <t>=-NL("Sum","32 Item Ledger Entry","12 Quantity","5 Source no.",$C133,"3 Posting Date",O$9,"4 Entry Type",$C$4,"2 Item No.","@@"&amp;$F133)</t>
  </si>
  <si>
    <t>=-NL("Sum","32 Item Ledger Entry","12 Quantity","5 Source no.",$C134,"3 Posting Date",O$9,"4 Entry Type",$C$4,"2 Item No.","@@"&amp;$F134)</t>
  </si>
  <si>
    <t>=-NL("Sum","32 Item Ledger Entry","12 Quantity","5 Source no.",$C135,"3 Posting Date",O$9,"4 Entry Type",$C$4,"2 Item No.","@@"&amp;$F135)</t>
  </si>
  <si>
    <t>=-NL("Sum","32 Item Ledger Entry","12 Quantity","5 Source no.",$C136,"3 Posting Date",O$9,"4 Entry Type",$C$4,"2 Item No.","@@"&amp;$F136)</t>
  </si>
  <si>
    <t>=-NL("Sum","32 Item Ledger Entry","12 Quantity","5 Source no.",$C111,"3 Posting Date",U$9,"4 Entry Type",$C$4,"2 Item No.","@@"&amp;$F111)</t>
  </si>
  <si>
    <t>=-NL("Sum","32 Item Ledger Entry","12 Quantity","5 Source no.",$C112,"3 Posting Date",U$9,"4 Entry Type",$C$4,"2 Item No.","@@"&amp;$F112)</t>
  </si>
  <si>
    <t>=-NL("Sum","32 Item Ledger Entry","12 Quantity","5 Source no.",$C113,"3 Posting Date",U$9,"4 Entry Type",$C$4,"2 Item No.","@@"&amp;$F113)</t>
  </si>
  <si>
    <t>=-NL("Sum","32 Item Ledger Entry","12 Quantity","5 Source no.",$C114,"3 Posting Date",U$9,"4 Entry Type",$C$4,"2 Item No.","@@"&amp;$F114)</t>
  </si>
  <si>
    <t>=-NL("Sum","32 Item Ledger Entry","12 Quantity","5 Source no.",$C115,"3 Posting Date",U$9,"4 Entry Type",$C$4,"2 Item No.","@@"&amp;$F115)</t>
  </si>
  <si>
    <t>=-NL("Sum","32 Item Ledger Entry","12 Quantity","5 Source no.",$C116,"3 Posting Date",U$9,"4 Entry Type",$C$4,"2 Item No.","@@"&amp;$F116)</t>
  </si>
  <si>
    <t>=-NL("Sum","32 Item Ledger Entry","12 Quantity","5 Source no.",$C117,"3 Posting Date",U$9,"4 Entry Type",$C$4,"2 Item No.","@@"&amp;$F117)</t>
  </si>
  <si>
    <t>=-NL("Sum","32 Item Ledger Entry","12 Quantity","5 Source no.",$C118,"3 Posting Date",U$9,"4 Entry Type",$C$4,"2 Item No.","@@"&amp;$F118)</t>
  </si>
  <si>
    <t>=-NL("Sum","32 Item Ledger Entry","12 Quantity","5 Source no.",$C119,"3 Posting Date",U$9,"4 Entry Type",$C$4,"2 Item No.","@@"&amp;$F119)</t>
  </si>
  <si>
    <t>=-NL("Sum","32 Item Ledger Entry","12 Quantity","5 Source no.",$C120,"3 Posting Date",U$9,"4 Entry Type",$C$4,"2 Item No.","@@"&amp;$F120)</t>
  </si>
  <si>
    <t>=-NL("Sum","32 Item Ledger Entry","12 Quantity","5 Source no.",$C121,"3 Posting Date",U$9,"4 Entry Type",$C$4,"2 Item No.","@@"&amp;$F121)</t>
  </si>
  <si>
    <t>=-NL("Sum","32 Item Ledger Entry","12 Quantity","5 Source no.",$C122,"3 Posting Date",U$9,"4 Entry Type",$C$4,"2 Item No.","@@"&amp;$F122)</t>
  </si>
  <si>
    <t>=-NL("Sum","32 Item Ledger Entry","12 Quantity","5 Source no.",$C123,"3 Posting Date",U$9,"4 Entry Type",$C$4,"2 Item No.","@@"&amp;$F123)</t>
  </si>
  <si>
    <t>=-NL("Sum","32 Item Ledger Entry","12 Quantity","5 Source no.",$C124,"3 Posting Date",U$9,"4 Entry Type",$C$4,"2 Item No.","@@"&amp;$F124)</t>
  </si>
  <si>
    <t>=-NL("Sum","32 Item Ledger Entry","12 Quantity","5 Source no.",$C125,"3 Posting Date",U$9,"4 Entry Type",$C$4,"2 Item No.","@@"&amp;$F125)</t>
  </si>
  <si>
    <t>=-NL("Sum","32 Item Ledger Entry","12 Quantity","5 Source no.",$C126,"3 Posting Date",U$9,"4 Entry Type",$C$4,"2 Item No.","@@"&amp;$F126)</t>
  </si>
  <si>
    <t>=-NL("Sum","32 Item Ledger Entry","12 Quantity","5 Source no.",$C127,"3 Posting Date",U$9,"4 Entry Type",$C$4,"2 Item No.","@@"&amp;$F127)</t>
  </si>
  <si>
    <t>=-NL("Sum","32 Item Ledger Entry","12 Quantity","5 Source no.",$C128,"3 Posting Date",U$9,"4 Entry Type",$C$4,"2 Item No.","@@"&amp;$F128)</t>
  </si>
  <si>
    <t>=-NL("Sum","32 Item Ledger Entry","12 Quantity","5 Source no.",$C129,"3 Posting Date",U$9,"4 Entry Type",$C$4,"2 Item No.","@@"&amp;$F129)</t>
  </si>
  <si>
    <t>=-NL("Sum","32 Item Ledger Entry","12 Quantity","5 Source no.",$C130,"3 Posting Date",U$9,"4 Entry Type",$C$4,"2 Item No.","@@"&amp;$F130)</t>
  </si>
  <si>
    <t>=-NL("Sum","32 Item Ledger Entry","12 Quantity","5 Source no.",$C131,"3 Posting Date",U$9,"4 Entry Type",$C$4,"2 Item No.","@@"&amp;$F131)</t>
  </si>
  <si>
    <t>=-NL("Sum","32 Item Ledger Entry","12 Quantity","5 Source no.",$C132,"3 Posting Date",U$9,"4 Entry Type",$C$4,"2 Item No.","@@"&amp;$F132)</t>
  </si>
  <si>
    <t>=-NL("Sum","32 Item Ledger Entry","12 Quantity","5 Source no.",$C133,"3 Posting Date",U$9,"4 Entry Type",$C$4,"2 Item No.","@@"&amp;$F133)</t>
  </si>
  <si>
    <t>=-NL("Sum","32 Item Ledger Entry","12 Quantity","5 Source no.",$C134,"3 Posting Date",U$9,"4 Entry Type",$C$4,"2 Item No.","@@"&amp;$F134)</t>
  </si>
  <si>
    <t>=-NL("Sum","32 Item Ledger Entry","12 Quantity","5 Source no.",$C135,"3 Posting Date",U$9,"4 Entry Type",$C$4,"2 Item No.","@@"&amp;$F135)</t>
  </si>
  <si>
    <t>=-NL("Sum","32 Item Ledger Entry","12 Quantity","5 Source no.",$C136,"3 Posting Date",U$9,"4 Entry Type",$C$4,"2 Item No.","@@"&amp;$F136)</t>
  </si>
  <si>
    <t>=-NL("Sum","32 Item Ledger Entry","12 Quantity","5 Source no.",$C111,"3 Posting Date",Z$9,"4 Entry Type",$C$4,"2 Item No.","@@"&amp;$F111)</t>
  </si>
  <si>
    <t>=-NL("Sum","32 Item Ledger Entry","12 Quantity","5 Source no.",$C112,"3 Posting Date",Z$9,"4 Entry Type",$C$4,"2 Item No.","@@"&amp;$F112)</t>
  </si>
  <si>
    <t>=-NL("Sum","32 Item Ledger Entry","12 Quantity","5 Source no.",$C113,"3 Posting Date",Z$9,"4 Entry Type",$C$4,"2 Item No.","@@"&amp;$F113)</t>
  </si>
  <si>
    <t>=-NL("Sum","32 Item Ledger Entry","12 Quantity","5 Source no.",$C114,"3 Posting Date",Z$9,"4 Entry Type",$C$4,"2 Item No.","@@"&amp;$F114)</t>
  </si>
  <si>
    <t>=-NL("Sum","32 Item Ledger Entry","12 Quantity","5 Source no.",$C115,"3 Posting Date",Z$9,"4 Entry Type",$C$4,"2 Item No.","@@"&amp;$F115)</t>
  </si>
  <si>
    <t>=-NL("Sum","32 Item Ledger Entry","12 Quantity","5 Source no.",$C116,"3 Posting Date",Z$9,"4 Entry Type",$C$4,"2 Item No.","@@"&amp;$F116)</t>
  </si>
  <si>
    <t>=-NL("Sum","32 Item Ledger Entry","12 Quantity","5 Source no.",$C117,"3 Posting Date",Z$9,"4 Entry Type",$C$4,"2 Item No.","@@"&amp;$F117)</t>
  </si>
  <si>
    <t>=-NL("Sum","32 Item Ledger Entry","12 Quantity","5 Source no.",$C118,"3 Posting Date",Z$9,"4 Entry Type",$C$4,"2 Item No.","@@"&amp;$F118)</t>
  </si>
  <si>
    <t>=-NL("Sum","32 Item Ledger Entry","12 Quantity","5 Source no.",$C119,"3 Posting Date",Z$9,"4 Entry Type",$C$4,"2 Item No.","@@"&amp;$F119)</t>
  </si>
  <si>
    <t>=-NL("Sum","32 Item Ledger Entry","12 Quantity","5 Source no.",$C120,"3 Posting Date",Z$9,"4 Entry Type",$C$4,"2 Item No.","@@"&amp;$F120)</t>
  </si>
  <si>
    <t>=-NL("Sum","32 Item Ledger Entry","12 Quantity","5 Source no.",$C121,"3 Posting Date",Z$9,"4 Entry Type",$C$4,"2 Item No.","@@"&amp;$F121)</t>
  </si>
  <si>
    <t>=-NL("Sum","32 Item Ledger Entry","12 Quantity","5 Source no.",$C122,"3 Posting Date",Z$9,"4 Entry Type",$C$4,"2 Item No.","@@"&amp;$F122)</t>
  </si>
  <si>
    <t>=-NL("Sum","32 Item Ledger Entry","12 Quantity","5 Source no.",$C123,"3 Posting Date",Z$9,"4 Entry Type",$C$4,"2 Item No.","@@"&amp;$F123)</t>
  </si>
  <si>
    <t>=-NL("Sum","32 Item Ledger Entry","12 Quantity","5 Source no.",$C124,"3 Posting Date",Z$9,"4 Entry Type",$C$4,"2 Item No.","@@"&amp;$F124)</t>
  </si>
  <si>
    <t>=-NL("Sum","32 Item Ledger Entry","12 Quantity","5 Source no.",$C125,"3 Posting Date",Z$9,"4 Entry Type",$C$4,"2 Item No.","@@"&amp;$F125)</t>
  </si>
  <si>
    <t>=-NL("Sum","32 Item Ledger Entry","12 Quantity","5 Source no.",$C126,"3 Posting Date",Z$9,"4 Entry Type",$C$4,"2 Item No.","@@"&amp;$F126)</t>
  </si>
  <si>
    <t>=-NL("Sum","32 Item Ledger Entry","12 Quantity","5 Source no.",$C127,"3 Posting Date",Z$9,"4 Entry Type",$C$4,"2 Item No.","@@"&amp;$F127)</t>
  </si>
  <si>
    <t>=-NL("Sum","32 Item Ledger Entry","12 Quantity","5 Source no.",$C128,"3 Posting Date",Z$9,"4 Entry Type",$C$4,"2 Item No.","@@"&amp;$F128)</t>
  </si>
  <si>
    <t>=-NL("Sum","32 Item Ledger Entry","12 Quantity","5 Source no.",$C129,"3 Posting Date",Z$9,"4 Entry Type",$C$4,"2 Item No.","@@"&amp;$F129)</t>
  </si>
  <si>
    <t>=-NL("Sum","32 Item Ledger Entry","12 Quantity","5 Source no.",$C130,"3 Posting Date",Z$9,"4 Entry Type",$C$4,"2 Item No.","@@"&amp;$F130)</t>
  </si>
  <si>
    <t>=-NL("Sum","32 Item Ledger Entry","12 Quantity","5 Source no.",$C131,"3 Posting Date",Z$9,"4 Entry Type",$C$4,"2 Item No.","@@"&amp;$F131)</t>
  </si>
  <si>
    <t>=-NL("Sum","32 Item Ledger Entry","12 Quantity","5 Source no.",$C132,"3 Posting Date",Z$9,"4 Entry Type",$C$4,"2 Item No.","@@"&amp;$F132)</t>
  </si>
  <si>
    <t>=-NL("Sum","32 Item Ledger Entry","12 Quantity","5 Source no.",$C133,"3 Posting Date",Z$9,"4 Entry Type",$C$4,"2 Item No.","@@"&amp;$F133)</t>
  </si>
  <si>
    <t>=-NL("Sum","32 Item Ledger Entry","12 Quantity","5 Source no.",$C134,"3 Posting Date",Z$9,"4 Entry Type",$C$4,"2 Item No.","@@"&amp;$F134)</t>
  </si>
  <si>
    <t>=-NL("Sum","32 Item Ledger Entry","12 Quantity","5 Source no.",$C135,"3 Posting Date",Z$9,"4 Entry Type",$C$4,"2 Item No.","@@"&amp;$F135)</t>
  </si>
  <si>
    <t>=-NL("Sum","32 Item Ledger Entry","12 Quantity","5 Source no.",$C136,"3 Posting Date",Z$9,"4 Entry Type",$C$4,"2 Item No.","@@"&amp;$F136)</t>
  </si>
  <si>
    <t>=NL(,"27 Item","3 Description","1 No.","@@"&amp;F66)</t>
  </si>
  <si>
    <t>=NL(,"27 Item","3 Description","1 No.","@@"&amp;F67)</t>
  </si>
  <si>
    <t>=NL(,"27 Item","3 Description","1 No.","@@"&amp;F68)</t>
  </si>
  <si>
    <t>=NL(,"27 Item","3 Description","1 No.","@@"&amp;F69)</t>
  </si>
  <si>
    <t>=NL(,"27 Item","3 Description","1 No.","@@"&amp;F70)</t>
  </si>
  <si>
    <t>=NL(,"27 Item","3 Description","1 No.","@@"&amp;F71)</t>
  </si>
  <si>
    <t>=NL(,"27 Item","3 Description","1 No.","@@"&amp;F72)</t>
  </si>
  <si>
    <t>=NL(,"27 Item","3 Description","1 No.","@@"&amp;F73)</t>
  </si>
  <si>
    <t>=NL(,"27 Item","3 Description","1 No.","@@"&amp;F74)</t>
  </si>
  <si>
    <t>=NL(,"27 Item","3 Description","1 No.","@@"&amp;F75)</t>
  </si>
  <si>
    <t>=NL(,"27 Item","3 Description","1 No.","@@"&amp;F76)</t>
  </si>
  <si>
    <t>=NL(,"27 Item","3 Description","1 No.","@@"&amp;F77)</t>
  </si>
  <si>
    <t>=NL(,"27 Item","3 Description","1 No.","@@"&amp;F78)</t>
  </si>
  <si>
    <t>=NL(,"27 Item","3 Description","1 No.","@@"&amp;F79)</t>
  </si>
  <si>
    <t>=NL(,"27 Item","3 Description","1 No.","@@"&amp;F80)</t>
  </si>
  <si>
    <t>=NL(,"27 Item","3 Description","1 No.","@@"&amp;F81)</t>
  </si>
  <si>
    <t>=NL(,"27 Item","3 Description","1 No.","@@"&amp;F82)</t>
  </si>
  <si>
    <t>=NL(,"27 Item","3 Description","1 No.","@@"&amp;F83)</t>
  </si>
  <si>
    <t>=NL(,"27 Item","3 Description","1 No.","@@"&amp;F84)</t>
  </si>
  <si>
    <t>=NL(,"27 Item","3 Description","1 No.","@@"&amp;F85)</t>
  </si>
  <si>
    <t>=NL(,"27 Item","3 Description","1 No.","@@"&amp;F86)</t>
  </si>
  <si>
    <t>=NL(,"27 Item","3 Description","1 No.","@@"&amp;F87)</t>
  </si>
  <si>
    <t>=NL(,"27 Item","3 Description","1 No.","@@"&amp;F88)</t>
  </si>
  <si>
    <t>=NL(,"27 Item","3 Description","1 No.","@@"&amp;F89)</t>
  </si>
  <si>
    <t>=NL(,"27 Item","3 Description","1 No.","@@"&amp;F90)</t>
  </si>
  <si>
    <t>=NL(,"27 Item","3 Description","1 No.","@@"&amp;F91)</t>
  </si>
  <si>
    <t>=NL(,"27 Item","3 Description","1 No.","@@"&amp;F92)</t>
  </si>
  <si>
    <t>=NL(,"27 Item","3 Description","1 No.","@@"&amp;F93)</t>
  </si>
  <si>
    <t>=NL(,"27 Item","3 Description","1 No.","@@"&amp;F94)</t>
  </si>
  <si>
    <t>=NL(,"27 Item","3 Description","1 No.","@@"&amp;F95)</t>
  </si>
  <si>
    <t>=NL(,"27 Item","3 Description","1 No.","@@"&amp;F96)</t>
  </si>
  <si>
    <t>=NL(,"27 Item","3 Description","1 No.","@@"&amp;F97)</t>
  </si>
  <si>
    <t>=NL(,"27 Item","3 Description","1 No.","@@"&amp;F98)</t>
  </si>
  <si>
    <t>=NL(,"27 Item","3 Description","1 No.","@@"&amp;F99)</t>
  </si>
  <si>
    <t>=NL(,"27 Item","3 Description","1 No.","@@"&amp;F100)</t>
  </si>
  <si>
    <t>=NL(,"27 Item","3 Description","1 No.","@@"&amp;F101)</t>
  </si>
  <si>
    <t>=NL(,"27 Item","3 Description","1 No.","@@"&amp;F102)</t>
  </si>
  <si>
    <t>=NL(,"27 Item","3 Description","1 No.","@@"&amp;F103)</t>
  </si>
  <si>
    <t>=NL(,"27 Item","3 Description","1 No.","@@"&amp;F104)</t>
  </si>
  <si>
    <t>=NL(,"27 Item","3 Description","1 No.","@@"&amp;F105)</t>
  </si>
  <si>
    <t>=-NL("Sum","32 Item Ledger Entry","12 Quantity","5 Source no.",$C66,"3 Posting Date",J$9,"4 Entry Type",$C$4,"2 Item No.","@@"&amp;$F66)</t>
  </si>
  <si>
    <t>=-NL("Sum","32 Item Ledger Entry","12 Quantity","5 Source no.",$C67,"3 Posting Date",J$9,"4 Entry Type",$C$4,"2 Item No.","@@"&amp;$F67)</t>
  </si>
  <si>
    <t>=-NL("Sum","32 Item Ledger Entry","12 Quantity","5 Source no.",$C68,"3 Posting Date",J$9,"4 Entry Type",$C$4,"2 Item No.","@@"&amp;$F68)</t>
  </si>
  <si>
    <t>=-NL("Sum","32 Item Ledger Entry","12 Quantity","5 Source no.",$C69,"3 Posting Date",J$9,"4 Entry Type",$C$4,"2 Item No.","@@"&amp;$F69)</t>
  </si>
  <si>
    <t>=-NL("Sum","32 Item Ledger Entry","12 Quantity","5 Source no.",$C70,"3 Posting Date",J$9,"4 Entry Type",$C$4,"2 Item No.","@@"&amp;$F70)</t>
  </si>
  <si>
    <t>=-NL("Sum","32 Item Ledger Entry","12 Quantity","5 Source no.",$C71,"3 Posting Date",J$9,"4 Entry Type",$C$4,"2 Item No.","@@"&amp;$F71)</t>
  </si>
  <si>
    <t>=-NL("Sum","32 Item Ledger Entry","12 Quantity","5 Source no.",$C72,"3 Posting Date",J$9,"4 Entry Type",$C$4,"2 Item No.","@@"&amp;$F72)</t>
  </si>
  <si>
    <t>=-NL("Sum","32 Item Ledger Entry","12 Quantity","5 Source no.",$C73,"3 Posting Date",J$9,"4 Entry Type",$C$4,"2 Item No.","@@"&amp;$F73)</t>
  </si>
  <si>
    <t>=-NL("Sum","32 Item Ledger Entry","12 Quantity","5 Source no.",$C74,"3 Posting Date",J$9,"4 Entry Type",$C$4,"2 Item No.","@@"&amp;$F74)</t>
  </si>
  <si>
    <t>=-NL("Sum","32 Item Ledger Entry","12 Quantity","5 Source no.",$C75,"3 Posting Date",J$9,"4 Entry Type",$C$4,"2 Item No.","@@"&amp;$F75)</t>
  </si>
  <si>
    <t>=-NL("Sum","32 Item Ledger Entry","12 Quantity","5 Source no.",$C76,"3 Posting Date",J$9,"4 Entry Type",$C$4,"2 Item No.","@@"&amp;$F76)</t>
  </si>
  <si>
    <t>=-NL("Sum","32 Item Ledger Entry","12 Quantity","5 Source no.",$C77,"3 Posting Date",J$9,"4 Entry Type",$C$4,"2 Item No.","@@"&amp;$F77)</t>
  </si>
  <si>
    <t>=-NL("Sum","32 Item Ledger Entry","12 Quantity","5 Source no.",$C78,"3 Posting Date",J$9,"4 Entry Type",$C$4,"2 Item No.","@@"&amp;$F78)</t>
  </si>
  <si>
    <t>=-NL("Sum","32 Item Ledger Entry","12 Quantity","5 Source no.",$C79,"3 Posting Date",J$9,"4 Entry Type",$C$4,"2 Item No.","@@"&amp;$F79)</t>
  </si>
  <si>
    <t>=-NL("Sum","32 Item Ledger Entry","12 Quantity","5 Source no.",$C80,"3 Posting Date",J$9,"4 Entry Type",$C$4,"2 Item No.","@@"&amp;$F80)</t>
  </si>
  <si>
    <t>=-NL("Sum","32 Item Ledger Entry","12 Quantity","5 Source no.",$C81,"3 Posting Date",J$9,"4 Entry Type",$C$4,"2 Item No.","@@"&amp;$F81)</t>
  </si>
  <si>
    <t>=-NL("Sum","32 Item Ledger Entry","12 Quantity","5 Source no.",$C82,"3 Posting Date",J$9,"4 Entry Type",$C$4,"2 Item No.","@@"&amp;$F82)</t>
  </si>
  <si>
    <t>=-NL("Sum","32 Item Ledger Entry","12 Quantity","5 Source no.",$C83,"3 Posting Date",J$9,"4 Entry Type",$C$4,"2 Item No.","@@"&amp;$F83)</t>
  </si>
  <si>
    <t>=-NL("Sum","32 Item Ledger Entry","12 Quantity","5 Source no.",$C84,"3 Posting Date",J$9,"4 Entry Type",$C$4,"2 Item No.","@@"&amp;$F84)</t>
  </si>
  <si>
    <t>=-NL("Sum","32 Item Ledger Entry","12 Quantity","5 Source no.",$C85,"3 Posting Date",J$9,"4 Entry Type",$C$4,"2 Item No.","@@"&amp;$F85)</t>
  </si>
  <si>
    <t>=-NL("Sum","32 Item Ledger Entry","12 Quantity","5 Source no.",$C86,"3 Posting Date",J$9,"4 Entry Type",$C$4,"2 Item No.","@@"&amp;$F86)</t>
  </si>
  <si>
    <t>=-NL("Sum","32 Item Ledger Entry","12 Quantity","5 Source no.",$C87,"3 Posting Date",J$9,"4 Entry Type",$C$4,"2 Item No.","@@"&amp;$F87)</t>
  </si>
  <si>
    <t>=-NL("Sum","32 Item Ledger Entry","12 Quantity","5 Source no.",$C88,"3 Posting Date",J$9,"4 Entry Type",$C$4,"2 Item No.","@@"&amp;$F88)</t>
  </si>
  <si>
    <t>=-NL("Sum","32 Item Ledger Entry","12 Quantity","5 Source no.",$C89,"3 Posting Date",J$9,"4 Entry Type",$C$4,"2 Item No.","@@"&amp;$F89)</t>
  </si>
  <si>
    <t>=-NL("Sum","32 Item Ledger Entry","12 Quantity","5 Source no.",$C90,"3 Posting Date",J$9,"4 Entry Type",$C$4,"2 Item No.","@@"&amp;$F90)</t>
  </si>
  <si>
    <t>=-NL("Sum","32 Item Ledger Entry","12 Quantity","5 Source no.",$C91,"3 Posting Date",J$9,"4 Entry Type",$C$4,"2 Item No.","@@"&amp;$F91)</t>
  </si>
  <si>
    <t>=-NL("Sum","32 Item Ledger Entry","12 Quantity","5 Source no.",$C92,"3 Posting Date",J$9,"4 Entry Type",$C$4,"2 Item No.","@@"&amp;$F92)</t>
  </si>
  <si>
    <t>=-NL("Sum","32 Item Ledger Entry","12 Quantity","5 Source no.",$C93,"3 Posting Date",J$9,"4 Entry Type",$C$4,"2 Item No.","@@"&amp;$F93)</t>
  </si>
  <si>
    <t>=-NL("Sum","32 Item Ledger Entry","12 Quantity","5 Source no.",$C94,"3 Posting Date",J$9,"4 Entry Type",$C$4,"2 Item No.","@@"&amp;$F94)</t>
  </si>
  <si>
    <t>=-NL("Sum","32 Item Ledger Entry","12 Quantity","5 Source no.",$C95,"3 Posting Date",J$9,"4 Entry Type",$C$4,"2 Item No.","@@"&amp;$F95)</t>
  </si>
  <si>
    <t>=-NL("Sum","32 Item Ledger Entry","12 Quantity","5 Source no.",$C96,"3 Posting Date",J$9,"4 Entry Type",$C$4,"2 Item No.","@@"&amp;$F96)</t>
  </si>
  <si>
    <t>=-NL("Sum","32 Item Ledger Entry","12 Quantity","5 Source no.",$C97,"3 Posting Date",J$9,"4 Entry Type",$C$4,"2 Item No.","@@"&amp;$F97)</t>
  </si>
  <si>
    <t>=-NL("Sum","32 Item Ledger Entry","12 Quantity","5 Source no.",$C98,"3 Posting Date",J$9,"4 Entry Type",$C$4,"2 Item No.","@@"&amp;$F98)</t>
  </si>
  <si>
    <t>=-NL("Sum","32 Item Ledger Entry","12 Quantity","5 Source no.",$C99,"3 Posting Date",J$9,"4 Entry Type",$C$4,"2 Item No.","@@"&amp;$F99)</t>
  </si>
  <si>
    <t>=-NL("Sum","32 Item Ledger Entry","12 Quantity","5 Source no.",$C100,"3 Posting Date",J$9,"4 Entry Type",$C$4,"2 Item No.","@@"&amp;$F100)</t>
  </si>
  <si>
    <t>=-NL("Sum","32 Item Ledger Entry","12 Quantity","5 Source no.",$C101,"3 Posting Date",J$9,"4 Entry Type",$C$4,"2 Item No.","@@"&amp;$F101)</t>
  </si>
  <si>
    <t>=-NL("Sum","32 Item Ledger Entry","12 Quantity","5 Source no.",$C102,"3 Posting Date",J$9,"4 Entry Type",$C$4,"2 Item No.","@@"&amp;$F102)</t>
  </si>
  <si>
    <t>=-NL("Sum","32 Item Ledger Entry","12 Quantity","5 Source no.",$C103,"3 Posting Date",J$9,"4 Entry Type",$C$4,"2 Item No.","@@"&amp;$F103)</t>
  </si>
  <si>
    <t>=-NL("Sum","32 Item Ledger Entry","12 Quantity","5 Source no.",$C104,"3 Posting Date",J$9,"4 Entry Type",$C$4,"2 Item No.","@@"&amp;$F104)</t>
  </si>
  <si>
    <t>=-NL("Sum","32 Item Ledger Entry","12 Quantity","5 Source no.",$C105,"3 Posting Date",J$9,"4 Entry Type",$C$4,"2 Item No.","@@"&amp;$F105)</t>
  </si>
  <si>
    <t>=-NL("Sum","32 Item Ledger Entry","12 Quantity","5 Source no.",$C66,"3 Posting Date",O$9,"4 Entry Type",$C$4,"2 Item No.","@@"&amp;$F66)</t>
  </si>
  <si>
    <t>=-NL("Sum","32 Item Ledger Entry","12 Quantity","5 Source no.",$C67,"3 Posting Date",O$9,"4 Entry Type",$C$4,"2 Item No.","@@"&amp;$F67)</t>
  </si>
  <si>
    <t>=-NL("Sum","32 Item Ledger Entry","12 Quantity","5 Source no.",$C68,"3 Posting Date",O$9,"4 Entry Type",$C$4,"2 Item No.","@@"&amp;$F68)</t>
  </si>
  <si>
    <t>=-NL("Sum","32 Item Ledger Entry","12 Quantity","5 Source no.",$C69,"3 Posting Date",O$9,"4 Entry Type",$C$4,"2 Item No.","@@"&amp;$F69)</t>
  </si>
  <si>
    <t>=-NL("Sum","32 Item Ledger Entry","12 Quantity","5 Source no.",$C70,"3 Posting Date",O$9,"4 Entry Type",$C$4,"2 Item No.","@@"&amp;$F70)</t>
  </si>
  <si>
    <t>=-NL("Sum","32 Item Ledger Entry","12 Quantity","5 Source no.",$C71,"3 Posting Date",O$9,"4 Entry Type",$C$4,"2 Item No.","@@"&amp;$F71)</t>
  </si>
  <si>
    <t>=-NL("Sum","32 Item Ledger Entry","12 Quantity","5 Source no.",$C72,"3 Posting Date",O$9,"4 Entry Type",$C$4,"2 Item No.","@@"&amp;$F72)</t>
  </si>
  <si>
    <t>=-NL("Sum","32 Item Ledger Entry","12 Quantity","5 Source no.",$C73,"3 Posting Date",O$9,"4 Entry Type",$C$4,"2 Item No.","@@"&amp;$F73)</t>
  </si>
  <si>
    <t>=-NL("Sum","32 Item Ledger Entry","12 Quantity","5 Source no.",$C74,"3 Posting Date",O$9,"4 Entry Type",$C$4,"2 Item No.","@@"&amp;$F74)</t>
  </si>
  <si>
    <t>=-NL("Sum","32 Item Ledger Entry","12 Quantity","5 Source no.",$C75,"3 Posting Date",O$9,"4 Entry Type",$C$4,"2 Item No.","@@"&amp;$F75)</t>
  </si>
  <si>
    <t>=-NL("Sum","32 Item Ledger Entry","12 Quantity","5 Source no.",$C76,"3 Posting Date",O$9,"4 Entry Type",$C$4,"2 Item No.","@@"&amp;$F76)</t>
  </si>
  <si>
    <t>=-NL("Sum","32 Item Ledger Entry","12 Quantity","5 Source no.",$C77,"3 Posting Date",O$9,"4 Entry Type",$C$4,"2 Item No.","@@"&amp;$F77)</t>
  </si>
  <si>
    <t>=-NL("Sum","32 Item Ledger Entry","12 Quantity","5 Source no.",$C78,"3 Posting Date",O$9,"4 Entry Type",$C$4,"2 Item No.","@@"&amp;$F78)</t>
  </si>
  <si>
    <t>=-NL("Sum","32 Item Ledger Entry","12 Quantity","5 Source no.",$C79,"3 Posting Date",O$9,"4 Entry Type",$C$4,"2 Item No.","@@"&amp;$F79)</t>
  </si>
  <si>
    <t>=-NL("Sum","32 Item Ledger Entry","12 Quantity","5 Source no.",$C80,"3 Posting Date",O$9,"4 Entry Type",$C$4,"2 Item No.","@@"&amp;$F80)</t>
  </si>
  <si>
    <t>=-NL("Sum","32 Item Ledger Entry","12 Quantity","5 Source no.",$C81,"3 Posting Date",O$9,"4 Entry Type",$C$4,"2 Item No.","@@"&amp;$F81)</t>
  </si>
  <si>
    <t>=-NL("Sum","32 Item Ledger Entry","12 Quantity","5 Source no.",$C82,"3 Posting Date",O$9,"4 Entry Type",$C$4,"2 Item No.","@@"&amp;$F82)</t>
  </si>
  <si>
    <t>=-NL("Sum","32 Item Ledger Entry","12 Quantity","5 Source no.",$C83,"3 Posting Date",O$9,"4 Entry Type",$C$4,"2 Item No.","@@"&amp;$F83)</t>
  </si>
  <si>
    <t>=-NL("Sum","32 Item Ledger Entry","12 Quantity","5 Source no.",$C84,"3 Posting Date",O$9,"4 Entry Type",$C$4,"2 Item No.","@@"&amp;$F84)</t>
  </si>
  <si>
    <t>=-NL("Sum","32 Item Ledger Entry","12 Quantity","5 Source no.",$C85,"3 Posting Date",O$9,"4 Entry Type",$C$4,"2 Item No.","@@"&amp;$F85)</t>
  </si>
  <si>
    <t>=-NL("Sum","32 Item Ledger Entry","12 Quantity","5 Source no.",$C86,"3 Posting Date",O$9,"4 Entry Type",$C$4,"2 Item No.","@@"&amp;$F86)</t>
  </si>
  <si>
    <t>=-NL("Sum","32 Item Ledger Entry","12 Quantity","5 Source no.",$C87,"3 Posting Date",O$9,"4 Entry Type",$C$4,"2 Item No.","@@"&amp;$F87)</t>
  </si>
  <si>
    <t>=-NL("Sum","32 Item Ledger Entry","12 Quantity","5 Source no.",$C88,"3 Posting Date",O$9,"4 Entry Type",$C$4,"2 Item No.","@@"&amp;$F88)</t>
  </si>
  <si>
    <t>=-NL("Sum","32 Item Ledger Entry","12 Quantity","5 Source no.",$C89,"3 Posting Date",O$9,"4 Entry Type",$C$4,"2 Item No.","@@"&amp;$F89)</t>
  </si>
  <si>
    <t>=-NL("Sum","32 Item Ledger Entry","12 Quantity","5 Source no.",$C90,"3 Posting Date",O$9,"4 Entry Type",$C$4,"2 Item No.","@@"&amp;$F90)</t>
  </si>
  <si>
    <t>=-NL("Sum","32 Item Ledger Entry","12 Quantity","5 Source no.",$C91,"3 Posting Date",O$9,"4 Entry Type",$C$4,"2 Item No.","@@"&amp;$F91)</t>
  </si>
  <si>
    <t>=-NL("Sum","32 Item Ledger Entry","12 Quantity","5 Source no.",$C92,"3 Posting Date",O$9,"4 Entry Type",$C$4,"2 Item No.","@@"&amp;$F92)</t>
  </si>
  <si>
    <t>=-NL("Sum","32 Item Ledger Entry","12 Quantity","5 Source no.",$C93,"3 Posting Date",O$9,"4 Entry Type",$C$4,"2 Item No.","@@"&amp;$F93)</t>
  </si>
  <si>
    <t>=-NL("Sum","32 Item Ledger Entry","12 Quantity","5 Source no.",$C94,"3 Posting Date",O$9,"4 Entry Type",$C$4,"2 Item No.","@@"&amp;$F94)</t>
  </si>
  <si>
    <t>=-NL("Sum","32 Item Ledger Entry","12 Quantity","5 Source no.",$C95,"3 Posting Date",O$9,"4 Entry Type",$C$4,"2 Item No.","@@"&amp;$F95)</t>
  </si>
  <si>
    <t>=-NL("Sum","32 Item Ledger Entry","12 Quantity","5 Source no.",$C96,"3 Posting Date",O$9,"4 Entry Type",$C$4,"2 Item No.","@@"&amp;$F96)</t>
  </si>
  <si>
    <t>=-NL("Sum","32 Item Ledger Entry","12 Quantity","5 Source no.",$C97,"3 Posting Date",O$9,"4 Entry Type",$C$4,"2 Item No.","@@"&amp;$F97)</t>
  </si>
  <si>
    <t>=-NL("Sum","32 Item Ledger Entry","12 Quantity","5 Source no.",$C98,"3 Posting Date",O$9,"4 Entry Type",$C$4,"2 Item No.","@@"&amp;$F98)</t>
  </si>
  <si>
    <t>=-NL("Sum","32 Item Ledger Entry","12 Quantity","5 Source no.",$C99,"3 Posting Date",O$9,"4 Entry Type",$C$4,"2 Item No.","@@"&amp;$F99)</t>
  </si>
  <si>
    <t>=-NL("Sum","32 Item Ledger Entry","12 Quantity","5 Source no.",$C100,"3 Posting Date",O$9,"4 Entry Type",$C$4,"2 Item No.","@@"&amp;$F100)</t>
  </si>
  <si>
    <t>=-NL("Sum","32 Item Ledger Entry","12 Quantity","5 Source no.",$C101,"3 Posting Date",O$9,"4 Entry Type",$C$4,"2 Item No.","@@"&amp;$F101)</t>
  </si>
  <si>
    <t>=-NL("Sum","32 Item Ledger Entry","12 Quantity","5 Source no.",$C102,"3 Posting Date",O$9,"4 Entry Type",$C$4,"2 Item No.","@@"&amp;$F102)</t>
  </si>
  <si>
    <t>=-NL("Sum","32 Item Ledger Entry","12 Quantity","5 Source no.",$C103,"3 Posting Date",O$9,"4 Entry Type",$C$4,"2 Item No.","@@"&amp;$F103)</t>
  </si>
  <si>
    <t>=-NL("Sum","32 Item Ledger Entry","12 Quantity","5 Source no.",$C104,"3 Posting Date",O$9,"4 Entry Type",$C$4,"2 Item No.","@@"&amp;$F104)</t>
  </si>
  <si>
    <t>=-NL("Sum","32 Item Ledger Entry","12 Quantity","5 Source no.",$C105,"3 Posting Date",O$9,"4 Entry Type",$C$4,"2 Item No.","@@"&amp;$F105)</t>
  </si>
  <si>
    <t>=-NL("Sum","32 Item Ledger Entry","12 Quantity","5 Source no.",$C66,"3 Posting Date",U$9,"4 Entry Type",$C$4,"2 Item No.","@@"&amp;$F66)</t>
  </si>
  <si>
    <t>=-NL("Sum","32 Item Ledger Entry","12 Quantity","5 Source no.",$C67,"3 Posting Date",U$9,"4 Entry Type",$C$4,"2 Item No.","@@"&amp;$F67)</t>
  </si>
  <si>
    <t>=-NL("Sum","32 Item Ledger Entry","12 Quantity","5 Source no.",$C68,"3 Posting Date",U$9,"4 Entry Type",$C$4,"2 Item No.","@@"&amp;$F68)</t>
  </si>
  <si>
    <t>=-NL("Sum","32 Item Ledger Entry","12 Quantity","5 Source no.",$C69,"3 Posting Date",U$9,"4 Entry Type",$C$4,"2 Item No.","@@"&amp;$F69)</t>
  </si>
  <si>
    <t>=-NL("Sum","32 Item Ledger Entry","12 Quantity","5 Source no.",$C70,"3 Posting Date",U$9,"4 Entry Type",$C$4,"2 Item No.","@@"&amp;$F70)</t>
  </si>
  <si>
    <t>=-NL("Sum","32 Item Ledger Entry","12 Quantity","5 Source no.",$C71,"3 Posting Date",U$9,"4 Entry Type",$C$4,"2 Item No.","@@"&amp;$F71)</t>
  </si>
  <si>
    <t>=-NL("Sum","32 Item Ledger Entry","12 Quantity","5 Source no.",$C72,"3 Posting Date",U$9,"4 Entry Type",$C$4,"2 Item No.","@@"&amp;$F72)</t>
  </si>
  <si>
    <t>=-NL("Sum","32 Item Ledger Entry","12 Quantity","5 Source no.",$C73,"3 Posting Date",U$9,"4 Entry Type",$C$4,"2 Item No.","@@"&amp;$F73)</t>
  </si>
  <si>
    <t>=-NL("Sum","32 Item Ledger Entry","12 Quantity","5 Source no.",$C74,"3 Posting Date",U$9,"4 Entry Type",$C$4,"2 Item No.","@@"&amp;$F74)</t>
  </si>
  <si>
    <t>=-NL("Sum","32 Item Ledger Entry","12 Quantity","5 Source no.",$C75,"3 Posting Date",U$9,"4 Entry Type",$C$4,"2 Item No.","@@"&amp;$F75)</t>
  </si>
  <si>
    <t>=-NL("Sum","32 Item Ledger Entry","12 Quantity","5 Source no.",$C76,"3 Posting Date",U$9,"4 Entry Type",$C$4,"2 Item No.","@@"&amp;$F76)</t>
  </si>
  <si>
    <t>=-NL("Sum","32 Item Ledger Entry","12 Quantity","5 Source no.",$C77,"3 Posting Date",U$9,"4 Entry Type",$C$4,"2 Item No.","@@"&amp;$F77)</t>
  </si>
  <si>
    <t>=-NL("Sum","32 Item Ledger Entry","12 Quantity","5 Source no.",$C78,"3 Posting Date",U$9,"4 Entry Type",$C$4,"2 Item No.","@@"&amp;$F78)</t>
  </si>
  <si>
    <t>=-NL("Sum","32 Item Ledger Entry","12 Quantity","5 Source no.",$C79,"3 Posting Date",U$9,"4 Entry Type",$C$4,"2 Item No.","@@"&amp;$F79)</t>
  </si>
  <si>
    <t>=-NL("Sum","32 Item Ledger Entry","12 Quantity","5 Source no.",$C80,"3 Posting Date",U$9,"4 Entry Type",$C$4,"2 Item No.","@@"&amp;$F80)</t>
  </si>
  <si>
    <t>=-NL("Sum","32 Item Ledger Entry","12 Quantity","5 Source no.",$C81,"3 Posting Date",U$9,"4 Entry Type",$C$4,"2 Item No.","@@"&amp;$F81)</t>
  </si>
  <si>
    <t>=-NL("Sum","32 Item Ledger Entry","12 Quantity","5 Source no.",$C82,"3 Posting Date",U$9,"4 Entry Type",$C$4,"2 Item No.","@@"&amp;$F82)</t>
  </si>
  <si>
    <t>=-NL("Sum","32 Item Ledger Entry","12 Quantity","5 Source no.",$C83,"3 Posting Date",U$9,"4 Entry Type",$C$4,"2 Item No.","@@"&amp;$F83)</t>
  </si>
  <si>
    <t>=-NL("Sum","32 Item Ledger Entry","12 Quantity","5 Source no.",$C84,"3 Posting Date",U$9,"4 Entry Type",$C$4,"2 Item No.","@@"&amp;$F84)</t>
  </si>
  <si>
    <t>=-NL("Sum","32 Item Ledger Entry","12 Quantity","5 Source no.",$C85,"3 Posting Date",U$9,"4 Entry Type",$C$4,"2 Item No.","@@"&amp;$F85)</t>
  </si>
  <si>
    <t>=-NL("Sum","32 Item Ledger Entry","12 Quantity","5 Source no.",$C86,"3 Posting Date",U$9,"4 Entry Type",$C$4,"2 Item No.","@@"&amp;$F86)</t>
  </si>
  <si>
    <t>=-NL("Sum","32 Item Ledger Entry","12 Quantity","5 Source no.",$C87,"3 Posting Date",U$9,"4 Entry Type",$C$4,"2 Item No.","@@"&amp;$F87)</t>
  </si>
  <si>
    <t>=-NL("Sum","32 Item Ledger Entry","12 Quantity","5 Source no.",$C88,"3 Posting Date",U$9,"4 Entry Type",$C$4,"2 Item No.","@@"&amp;$F88)</t>
  </si>
  <si>
    <t>=-NL("Sum","32 Item Ledger Entry","12 Quantity","5 Source no.",$C89,"3 Posting Date",U$9,"4 Entry Type",$C$4,"2 Item No.","@@"&amp;$F89)</t>
  </si>
  <si>
    <t>=-NL("Sum","32 Item Ledger Entry","12 Quantity","5 Source no.",$C90,"3 Posting Date",U$9,"4 Entry Type",$C$4,"2 Item No.","@@"&amp;$F90)</t>
  </si>
  <si>
    <t>=-NL("Sum","32 Item Ledger Entry","12 Quantity","5 Source no.",$C91,"3 Posting Date",U$9,"4 Entry Type",$C$4,"2 Item No.","@@"&amp;$F91)</t>
  </si>
  <si>
    <t>=-NL("Sum","32 Item Ledger Entry","12 Quantity","5 Source no.",$C92,"3 Posting Date",U$9,"4 Entry Type",$C$4,"2 Item No.","@@"&amp;$F92)</t>
  </si>
  <si>
    <t>=-NL("Sum","32 Item Ledger Entry","12 Quantity","5 Source no.",$C93,"3 Posting Date",U$9,"4 Entry Type",$C$4,"2 Item No.","@@"&amp;$F93)</t>
  </si>
  <si>
    <t>=-NL("Sum","32 Item Ledger Entry","12 Quantity","5 Source no.",$C94,"3 Posting Date",U$9,"4 Entry Type",$C$4,"2 Item No.","@@"&amp;$F94)</t>
  </si>
  <si>
    <t>=-NL("Sum","32 Item Ledger Entry","12 Quantity","5 Source no.",$C95,"3 Posting Date",U$9,"4 Entry Type",$C$4,"2 Item No.","@@"&amp;$F95)</t>
  </si>
  <si>
    <t>=-NL("Sum","32 Item Ledger Entry","12 Quantity","5 Source no.",$C96,"3 Posting Date",U$9,"4 Entry Type",$C$4,"2 Item No.","@@"&amp;$F96)</t>
  </si>
  <si>
    <t>=-NL("Sum","32 Item Ledger Entry","12 Quantity","5 Source no.",$C97,"3 Posting Date",U$9,"4 Entry Type",$C$4,"2 Item No.","@@"&amp;$F97)</t>
  </si>
  <si>
    <t>=-NL("Sum","32 Item Ledger Entry","12 Quantity","5 Source no.",$C98,"3 Posting Date",U$9,"4 Entry Type",$C$4,"2 Item No.","@@"&amp;$F98)</t>
  </si>
  <si>
    <t>=-NL("Sum","32 Item Ledger Entry","12 Quantity","5 Source no.",$C99,"3 Posting Date",U$9,"4 Entry Type",$C$4,"2 Item No.","@@"&amp;$F99)</t>
  </si>
  <si>
    <t>=-NL("Sum","32 Item Ledger Entry","12 Quantity","5 Source no.",$C100,"3 Posting Date",U$9,"4 Entry Type",$C$4,"2 Item No.","@@"&amp;$F100)</t>
  </si>
  <si>
    <t>=-NL("Sum","32 Item Ledger Entry","12 Quantity","5 Source no.",$C101,"3 Posting Date",U$9,"4 Entry Type",$C$4,"2 Item No.","@@"&amp;$F101)</t>
  </si>
  <si>
    <t>=-NL("Sum","32 Item Ledger Entry","12 Quantity","5 Source no.",$C102,"3 Posting Date",U$9,"4 Entry Type",$C$4,"2 Item No.","@@"&amp;$F102)</t>
  </si>
  <si>
    <t>=-NL("Sum","32 Item Ledger Entry","12 Quantity","5 Source no.",$C103,"3 Posting Date",U$9,"4 Entry Type",$C$4,"2 Item No.","@@"&amp;$F103)</t>
  </si>
  <si>
    <t>=-NL("Sum","32 Item Ledger Entry","12 Quantity","5 Source no.",$C104,"3 Posting Date",U$9,"4 Entry Type",$C$4,"2 Item No.","@@"&amp;$F104)</t>
  </si>
  <si>
    <t>=-NL("Sum","32 Item Ledger Entry","12 Quantity","5 Source no.",$C105,"3 Posting Date",U$9,"4 Entry Type",$C$4,"2 Item No.","@@"&amp;$F105)</t>
  </si>
  <si>
    <t>=-NL("Sum","32 Item Ledger Entry","12 Quantity","5 Source no.",$C66,"3 Posting Date",Z$9,"4 Entry Type",$C$4,"2 Item No.","@@"&amp;$F66)</t>
  </si>
  <si>
    <t>=-NL("Sum","32 Item Ledger Entry","12 Quantity","5 Source no.",$C67,"3 Posting Date",Z$9,"4 Entry Type",$C$4,"2 Item No.","@@"&amp;$F67)</t>
  </si>
  <si>
    <t>=-NL("Sum","32 Item Ledger Entry","12 Quantity","5 Source no.",$C68,"3 Posting Date",Z$9,"4 Entry Type",$C$4,"2 Item No.","@@"&amp;$F68)</t>
  </si>
  <si>
    <t>=-NL("Sum","32 Item Ledger Entry","12 Quantity","5 Source no.",$C69,"3 Posting Date",Z$9,"4 Entry Type",$C$4,"2 Item No.","@@"&amp;$F69)</t>
  </si>
  <si>
    <t>=-NL("Sum","32 Item Ledger Entry","12 Quantity","5 Source no.",$C70,"3 Posting Date",Z$9,"4 Entry Type",$C$4,"2 Item No.","@@"&amp;$F70)</t>
  </si>
  <si>
    <t>=-NL("Sum","32 Item Ledger Entry","12 Quantity","5 Source no.",$C71,"3 Posting Date",Z$9,"4 Entry Type",$C$4,"2 Item No.","@@"&amp;$F71)</t>
  </si>
  <si>
    <t>=-NL("Sum","32 Item Ledger Entry","12 Quantity","5 Source no.",$C72,"3 Posting Date",Z$9,"4 Entry Type",$C$4,"2 Item No.","@@"&amp;$F72)</t>
  </si>
  <si>
    <t>=-NL("Sum","32 Item Ledger Entry","12 Quantity","5 Source no.",$C73,"3 Posting Date",Z$9,"4 Entry Type",$C$4,"2 Item No.","@@"&amp;$F73)</t>
  </si>
  <si>
    <t>=-NL("Sum","32 Item Ledger Entry","12 Quantity","5 Source no.",$C74,"3 Posting Date",Z$9,"4 Entry Type",$C$4,"2 Item No.","@@"&amp;$F74)</t>
  </si>
  <si>
    <t>=-NL("Sum","32 Item Ledger Entry","12 Quantity","5 Source no.",$C75,"3 Posting Date",Z$9,"4 Entry Type",$C$4,"2 Item No.","@@"&amp;$F75)</t>
  </si>
  <si>
    <t>=-NL("Sum","32 Item Ledger Entry","12 Quantity","5 Source no.",$C76,"3 Posting Date",Z$9,"4 Entry Type",$C$4,"2 Item No.","@@"&amp;$F76)</t>
  </si>
  <si>
    <t>=-NL("Sum","32 Item Ledger Entry","12 Quantity","5 Source no.",$C77,"3 Posting Date",Z$9,"4 Entry Type",$C$4,"2 Item No.","@@"&amp;$F77)</t>
  </si>
  <si>
    <t>=-NL("Sum","32 Item Ledger Entry","12 Quantity","5 Source no.",$C78,"3 Posting Date",Z$9,"4 Entry Type",$C$4,"2 Item No.","@@"&amp;$F78)</t>
  </si>
  <si>
    <t>=-NL("Sum","32 Item Ledger Entry","12 Quantity","5 Source no.",$C79,"3 Posting Date",Z$9,"4 Entry Type",$C$4,"2 Item No.","@@"&amp;$F79)</t>
  </si>
  <si>
    <t>=-NL("Sum","32 Item Ledger Entry","12 Quantity","5 Source no.",$C80,"3 Posting Date",Z$9,"4 Entry Type",$C$4,"2 Item No.","@@"&amp;$F80)</t>
  </si>
  <si>
    <t>=-NL("Sum","32 Item Ledger Entry","12 Quantity","5 Source no.",$C81,"3 Posting Date",Z$9,"4 Entry Type",$C$4,"2 Item No.","@@"&amp;$F81)</t>
  </si>
  <si>
    <t>=-NL("Sum","32 Item Ledger Entry","12 Quantity","5 Source no.",$C82,"3 Posting Date",Z$9,"4 Entry Type",$C$4,"2 Item No.","@@"&amp;$F82)</t>
  </si>
  <si>
    <t>=-NL("Sum","32 Item Ledger Entry","12 Quantity","5 Source no.",$C83,"3 Posting Date",Z$9,"4 Entry Type",$C$4,"2 Item No.","@@"&amp;$F83)</t>
  </si>
  <si>
    <t>=-NL("Sum","32 Item Ledger Entry","12 Quantity","5 Source no.",$C84,"3 Posting Date",Z$9,"4 Entry Type",$C$4,"2 Item No.","@@"&amp;$F84)</t>
  </si>
  <si>
    <t>=-NL("Sum","32 Item Ledger Entry","12 Quantity","5 Source no.",$C85,"3 Posting Date",Z$9,"4 Entry Type",$C$4,"2 Item No.","@@"&amp;$F85)</t>
  </si>
  <si>
    <t>=-NL("Sum","32 Item Ledger Entry","12 Quantity","5 Source no.",$C86,"3 Posting Date",Z$9,"4 Entry Type",$C$4,"2 Item No.","@@"&amp;$F86)</t>
  </si>
  <si>
    <t>=-NL("Sum","32 Item Ledger Entry","12 Quantity","5 Source no.",$C87,"3 Posting Date",Z$9,"4 Entry Type",$C$4,"2 Item No.","@@"&amp;$F87)</t>
  </si>
  <si>
    <t>=-NL("Sum","32 Item Ledger Entry","12 Quantity","5 Source no.",$C88,"3 Posting Date",Z$9,"4 Entry Type",$C$4,"2 Item No.","@@"&amp;$F88)</t>
  </si>
  <si>
    <t>=-NL("Sum","32 Item Ledger Entry","12 Quantity","5 Source no.",$C89,"3 Posting Date",Z$9,"4 Entry Type",$C$4,"2 Item No.","@@"&amp;$F89)</t>
  </si>
  <si>
    <t>=-NL("Sum","32 Item Ledger Entry","12 Quantity","5 Source no.",$C90,"3 Posting Date",Z$9,"4 Entry Type",$C$4,"2 Item No.","@@"&amp;$F90)</t>
  </si>
  <si>
    <t>=-NL("Sum","32 Item Ledger Entry","12 Quantity","5 Source no.",$C91,"3 Posting Date",Z$9,"4 Entry Type",$C$4,"2 Item No.","@@"&amp;$F91)</t>
  </si>
  <si>
    <t>=-NL("Sum","32 Item Ledger Entry","12 Quantity","5 Source no.",$C92,"3 Posting Date",Z$9,"4 Entry Type",$C$4,"2 Item No.","@@"&amp;$F92)</t>
  </si>
  <si>
    <t>=-NL("Sum","32 Item Ledger Entry","12 Quantity","5 Source no.",$C93,"3 Posting Date",Z$9,"4 Entry Type",$C$4,"2 Item No.","@@"&amp;$F93)</t>
  </si>
  <si>
    <t>=-NL("Sum","32 Item Ledger Entry","12 Quantity","5 Source no.",$C94,"3 Posting Date",Z$9,"4 Entry Type",$C$4,"2 Item No.","@@"&amp;$F94)</t>
  </si>
  <si>
    <t>=-NL("Sum","32 Item Ledger Entry","12 Quantity","5 Source no.",$C95,"3 Posting Date",Z$9,"4 Entry Type",$C$4,"2 Item No.","@@"&amp;$F95)</t>
  </si>
  <si>
    <t>=-NL("Sum","32 Item Ledger Entry","12 Quantity","5 Source no.",$C96,"3 Posting Date",Z$9,"4 Entry Type",$C$4,"2 Item No.","@@"&amp;$F96)</t>
  </si>
  <si>
    <t>=-NL("Sum","32 Item Ledger Entry","12 Quantity","5 Source no.",$C97,"3 Posting Date",Z$9,"4 Entry Type",$C$4,"2 Item No.","@@"&amp;$F97)</t>
  </si>
  <si>
    <t>=-NL("Sum","32 Item Ledger Entry","12 Quantity","5 Source no.",$C98,"3 Posting Date",Z$9,"4 Entry Type",$C$4,"2 Item No.","@@"&amp;$F98)</t>
  </si>
  <si>
    <t>=-NL("Sum","32 Item Ledger Entry","12 Quantity","5 Source no.",$C99,"3 Posting Date",Z$9,"4 Entry Type",$C$4,"2 Item No.","@@"&amp;$F99)</t>
  </si>
  <si>
    <t>=-NL("Sum","32 Item Ledger Entry","12 Quantity","5 Source no.",$C100,"3 Posting Date",Z$9,"4 Entry Type",$C$4,"2 Item No.","@@"&amp;$F100)</t>
  </si>
  <si>
    <t>=-NL("Sum","32 Item Ledger Entry","12 Quantity","5 Source no.",$C101,"3 Posting Date",Z$9,"4 Entry Type",$C$4,"2 Item No.","@@"&amp;$F101)</t>
  </si>
  <si>
    <t>=-NL("Sum","32 Item Ledger Entry","12 Quantity","5 Source no.",$C102,"3 Posting Date",Z$9,"4 Entry Type",$C$4,"2 Item No.","@@"&amp;$F102)</t>
  </si>
  <si>
    <t>=-NL("Sum","32 Item Ledger Entry","12 Quantity","5 Source no.",$C103,"3 Posting Date",Z$9,"4 Entry Type",$C$4,"2 Item No.","@@"&amp;$F103)</t>
  </si>
  <si>
    <t>=-NL("Sum","32 Item Ledger Entry","12 Quantity","5 Source no.",$C104,"3 Posting Date",Z$9,"4 Entry Type",$C$4,"2 Item No.","@@"&amp;$F104)</t>
  </si>
  <si>
    <t>=-NL("Sum","32 Item Ledger Entry","12 Quantity","5 Source no.",$C105,"3 Posting Date",Z$9,"4 Entry Type",$C$4,"2 Item No.","@@"&amp;$F105)</t>
  </si>
  <si>
    <t>=NP("DateFilter",DATE(YEAR(StartDate)-1,MONTH(StartDate),DAY(StartDate)),DATE(YEAR(EndDate)-1,MONTH(EndDate),DAY(EndDate)))</t>
  </si>
  <si>
    <t>Auto+Hide+Hidesheet+Formulas=Sheet1,Sheet2+FormulasOnly</t>
  </si>
  <si>
    <t>=NP("DateFilter",J7,J8)</t>
  </si>
  <si>
    <t>=NP("DateFilter",O$7,O$8)</t>
  </si>
  <si>
    <t>Auto+Hide+Values+Formulas=Sheet3,Sheet4+FormulasOnly</t>
  </si>
  <si>
    <t>Auto+Hide+Hidesheet+Formulas=Sheet5,Sheet1,Sheet2</t>
  </si>
  <si>
    <t>Auto+Hide+Hidesheet+Formulas=Sheet5,Sheet1,Sheet2+FormulasOnly</t>
  </si>
  <si>
    <t>Auto+Hide+Values+Formulas=Sheet6,Sheet3,Sheet4</t>
  </si>
  <si>
    <t>=NP("DateFilter",U7,U8)</t>
  </si>
  <si>
    <t>=NP("DateFilter",Z$7,Z$8)</t>
  </si>
  <si>
    <t>Auto+Hide+Values+Formulas=Sheet6,Sheet3,Sheet4+FormulasOnly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</si>
</sst>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409]d\-mmm\-yy;@"/>
    <numFmt numFmtId="165" formatCode="0.0%"/>
    <numFmt numFmtId="166" formatCode="_(* #,##0_);_(* \(#,##0\);_(* &quot;-&quot;??_);_(@_)"/>
  </numFmts>
  <fonts count="20"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u/>
      <sz val="10"/>
      <color indexed="12"/>
      <name val="Arial"/>
      <family val="2"/>
    </font>
    <font>
      <i/>
      <sz val="10"/>
      <name val="Arial"/>
      <family val="2"/>
    </font>
    <font>
      <sz val="12"/>
      <color theme="1"/>
      <name val="Calibri"/>
      <family val="2"/>
      <scheme val="minor"/>
    </font>
    <font>
      <sz val="11"/>
      <color theme="0" tint="-0.34998626667073579"/>
      <name val="Calibri"/>
      <family val="2"/>
      <scheme val="minor"/>
    </font>
    <font>
      <sz val="10"/>
      <color theme="0" tint="-0.34998626667073579"/>
      <name val="Arial"/>
      <family val="2"/>
    </font>
    <font>
      <i/>
      <sz val="10"/>
      <color theme="0" tint="-0.34998626667073579"/>
      <name val="Arial"/>
      <family val="2"/>
    </font>
    <font>
      <sz val="11"/>
      <name val="Calibri"/>
      <family val="2"/>
      <scheme val="minor"/>
    </font>
    <font>
      <sz val="14"/>
      <color theme="3"/>
      <name val="Arial"/>
      <family val="2"/>
    </font>
    <font>
      <sz val="11"/>
      <color theme="3"/>
      <name val="Arial"/>
      <family val="2"/>
    </font>
    <font>
      <sz val="12"/>
      <name val="Arial"/>
      <family val="2"/>
    </font>
    <font>
      <sz val="10"/>
      <name val="Arial"/>
      <family val="2"/>
    </font>
    <font>
      <u/>
      <sz val="10"/>
      <color indexed="12"/>
      <name val="Segoe UI"/>
      <family val="2"/>
    </font>
    <font>
      <sz val="10"/>
      <color theme="1"/>
      <name val="Segoe UI"/>
      <family val="2"/>
    </font>
    <font>
      <b/>
      <sz val="20"/>
      <color rgb="FFDA4848"/>
      <name val="Segoe UI"/>
      <family val="2"/>
    </font>
    <font>
      <b/>
      <sz val="10"/>
      <color theme="1"/>
      <name val="Segoe UI"/>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theme="1"/>
      </top>
      <bottom style="thin">
        <color theme="1"/>
      </bottom>
      <diagonal/>
    </border>
    <border>
      <left/>
      <right/>
      <top/>
      <bottom style="medium">
        <color theme="0" tint="-0.34998626667073579"/>
      </bottom>
      <diagonal/>
    </border>
    <border>
      <left/>
      <right/>
      <top style="medium">
        <color theme="0" tint="-0.34998626667073579"/>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5" fillId="0" borderId="0" applyNumberFormat="0" applyFill="0" applyBorder="0" applyAlignment="0" applyProtection="0">
      <alignment vertical="top"/>
      <protection locked="0"/>
    </xf>
    <xf numFmtId="0" fontId="15" fillId="0" borderId="0"/>
    <xf numFmtId="0" fontId="3" fillId="0" borderId="0"/>
    <xf numFmtId="0" fontId="5" fillId="0" borderId="0" applyNumberFormat="0" applyFill="0" applyBorder="0" applyAlignment="0" applyProtection="0">
      <alignment vertical="top"/>
      <protection locked="0"/>
    </xf>
  </cellStyleXfs>
  <cellXfs count="79">
    <xf numFmtId="0" fontId="0" fillId="0" borderId="0" xfId="0"/>
    <xf numFmtId="0" fontId="0" fillId="3" borderId="0" xfId="0" applyFill="1"/>
    <xf numFmtId="0" fontId="4" fillId="3" borderId="0" xfId="0" applyFont="1" applyFill="1" applyBorder="1"/>
    <xf numFmtId="0" fontId="6" fillId="3" borderId="0" xfId="0" applyFont="1" applyFill="1" applyBorder="1" applyAlignment="1">
      <alignment horizontal="center"/>
    </xf>
    <xf numFmtId="0" fontId="3" fillId="3" borderId="0" xfId="0" applyFont="1" applyFill="1" applyBorder="1"/>
    <xf numFmtId="14" fontId="6" fillId="3" borderId="0" xfId="0" applyNumberFormat="1" applyFont="1" applyFill="1" applyBorder="1" applyAlignment="1">
      <alignment horizontal="center"/>
    </xf>
    <xf numFmtId="0" fontId="0" fillId="2" borderId="0" xfId="0" applyFill="1"/>
    <xf numFmtId="0" fontId="4" fillId="2" borderId="9" xfId="0" applyFont="1" applyFill="1" applyBorder="1"/>
    <xf numFmtId="0" fontId="0" fillId="3" borderId="10" xfId="0" applyFill="1" applyBorder="1"/>
    <xf numFmtId="0" fontId="0" fillId="3" borderId="14" xfId="0" applyFill="1" applyBorder="1"/>
    <xf numFmtId="0" fontId="0" fillId="3" borderId="4" xfId="0" applyFill="1" applyBorder="1"/>
    <xf numFmtId="0" fontId="0" fillId="3" borderId="0" xfId="0" applyFill="1" applyBorder="1"/>
    <xf numFmtId="0" fontId="0" fillId="3" borderId="5" xfId="0" applyFill="1" applyBorder="1"/>
    <xf numFmtId="0" fontId="7" fillId="3" borderId="0" xfId="0" applyFont="1" applyFill="1"/>
    <xf numFmtId="0" fontId="8" fillId="3" borderId="0" xfId="0" applyFont="1" applyFill="1"/>
    <xf numFmtId="0" fontId="9" fillId="3" borderId="0" xfId="0" applyFont="1" applyFill="1" applyBorder="1"/>
    <xf numFmtId="0" fontId="8" fillId="2" borderId="0" xfId="0" applyFont="1" applyFill="1"/>
    <xf numFmtId="0" fontId="2" fillId="3" borderId="16" xfId="0" applyFont="1" applyFill="1" applyBorder="1"/>
    <xf numFmtId="0" fontId="0" fillId="3" borderId="0" xfId="0" applyFont="1" applyFill="1" applyAlignment="1">
      <alignment horizontal="left"/>
    </xf>
    <xf numFmtId="0" fontId="11" fillId="3" borderId="0" xfId="0" applyFont="1" applyFill="1" applyAlignment="1">
      <alignment horizontal="left"/>
    </xf>
    <xf numFmtId="0" fontId="0" fillId="3" borderId="0" xfId="0" applyFill="1" applyAlignment="1">
      <alignment horizontal="left"/>
    </xf>
    <xf numFmtId="0" fontId="8" fillId="3" borderId="0" xfId="0" applyFont="1" applyFill="1" applyAlignment="1">
      <alignment horizontal="left"/>
    </xf>
    <xf numFmtId="0" fontId="10" fillId="3" borderId="0" xfId="0" applyFont="1" applyFill="1" applyBorder="1" applyAlignment="1">
      <alignment horizontal="left"/>
    </xf>
    <xf numFmtId="166" fontId="0" fillId="3" borderId="15" xfId="1" applyNumberFormat="1" applyFont="1" applyFill="1" applyBorder="1"/>
    <xf numFmtId="166" fontId="0" fillId="3" borderId="10" xfId="1" applyNumberFormat="1" applyFont="1" applyFill="1" applyBorder="1"/>
    <xf numFmtId="166" fontId="0" fillId="3" borderId="10" xfId="1" applyNumberFormat="1" applyFont="1" applyFill="1" applyBorder="1" applyAlignment="1">
      <alignment horizontal="center"/>
    </xf>
    <xf numFmtId="164" fontId="8" fillId="3" borderId="0" xfId="0" applyNumberFormat="1" applyFont="1" applyFill="1" applyAlignment="1">
      <alignment horizontal="left"/>
    </xf>
    <xf numFmtId="0" fontId="0" fillId="0" borderId="0" xfId="0" applyAlignment="1"/>
    <xf numFmtId="0" fontId="3" fillId="2" borderId="9" xfId="0" applyFont="1" applyFill="1" applyBorder="1" applyAlignment="1">
      <alignment horizontal="left" wrapText="1"/>
    </xf>
    <xf numFmtId="0" fontId="3" fillId="2" borderId="9" xfId="0" applyFont="1" applyFill="1" applyBorder="1"/>
    <xf numFmtId="0" fontId="3" fillId="4" borderId="6" xfId="0" applyFont="1" applyFill="1" applyBorder="1" applyAlignment="1">
      <alignment horizontal="center" wrapText="1"/>
    </xf>
    <xf numFmtId="0" fontId="3" fillId="4" borderId="7" xfId="0" applyFont="1" applyFill="1" applyBorder="1" applyAlignment="1">
      <alignment horizontal="center" wrapText="1"/>
    </xf>
    <xf numFmtId="0" fontId="3" fillId="4" borderId="7" xfId="0" applyFont="1" applyFill="1" applyBorder="1" applyAlignment="1">
      <alignment horizontal="center"/>
    </xf>
    <xf numFmtId="0" fontId="3" fillId="4" borderId="8" xfId="0" applyFont="1" applyFill="1" applyBorder="1" applyAlignment="1">
      <alignment horizontal="center"/>
    </xf>
    <xf numFmtId="166" fontId="1" fillId="4" borderId="11" xfId="1" applyNumberFormat="1" applyFont="1" applyFill="1" applyBorder="1"/>
    <xf numFmtId="166" fontId="1" fillId="4" borderId="12" xfId="1" applyNumberFormat="1" applyFont="1" applyFill="1" applyBorder="1" applyAlignment="1">
      <alignment horizontal="center"/>
    </xf>
    <xf numFmtId="166" fontId="1" fillId="4" borderId="12" xfId="1" applyNumberFormat="1" applyFont="1" applyFill="1" applyBorder="1"/>
    <xf numFmtId="165" fontId="1" fillId="4" borderId="13" xfId="2" applyNumberFormat="1" applyFont="1" applyFill="1" applyBorder="1"/>
    <xf numFmtId="0" fontId="8" fillId="3" borderId="0" xfId="0" applyFont="1" applyFill="1" applyAlignment="1">
      <alignment horizontal="left"/>
    </xf>
    <xf numFmtId="0" fontId="3" fillId="5" borderId="6" xfId="0" applyFont="1" applyFill="1" applyBorder="1" applyAlignment="1">
      <alignment horizontal="center" wrapText="1"/>
    </xf>
    <xf numFmtId="0" fontId="3" fillId="5" borderId="7" xfId="0" applyFont="1" applyFill="1" applyBorder="1" applyAlignment="1">
      <alignment horizontal="center" wrapText="1"/>
    </xf>
    <xf numFmtId="0" fontId="3" fillId="5" borderId="7" xfId="0" applyFont="1" applyFill="1" applyBorder="1" applyAlignment="1">
      <alignment horizontal="center"/>
    </xf>
    <xf numFmtId="0" fontId="3" fillId="5" borderId="8" xfId="0" applyFont="1" applyFill="1" applyBorder="1" applyAlignment="1">
      <alignment horizontal="center"/>
    </xf>
    <xf numFmtId="166" fontId="11" fillId="5" borderId="11" xfId="1" applyNumberFormat="1" applyFont="1" applyFill="1" applyBorder="1"/>
    <xf numFmtId="166" fontId="11" fillId="5" borderId="12" xfId="1" applyNumberFormat="1" applyFont="1" applyFill="1" applyBorder="1" applyAlignment="1">
      <alignment horizontal="center"/>
    </xf>
    <xf numFmtId="166" fontId="11" fillId="5" borderId="12" xfId="1" applyNumberFormat="1" applyFont="1" applyFill="1" applyBorder="1"/>
    <xf numFmtId="0" fontId="3" fillId="2" borderId="0" xfId="0" applyFont="1" applyFill="1" applyBorder="1"/>
    <xf numFmtId="0" fontId="0" fillId="3" borderId="19" xfId="0" applyFill="1" applyBorder="1"/>
    <xf numFmtId="0" fontId="0" fillId="4" borderId="20" xfId="0" applyFont="1" applyFill="1" applyBorder="1"/>
    <xf numFmtId="0" fontId="11" fillId="5" borderId="20" xfId="0" applyFont="1" applyFill="1" applyBorder="1"/>
    <xf numFmtId="0" fontId="0" fillId="4" borderId="21" xfId="0" applyFont="1" applyFill="1" applyBorder="1"/>
    <xf numFmtId="0" fontId="11" fillId="5" borderId="21" xfId="0" applyFont="1" applyFill="1" applyBorder="1"/>
    <xf numFmtId="165" fontId="11" fillId="5" borderId="13" xfId="2" applyNumberFormat="1" applyFont="1" applyFill="1" applyBorder="1"/>
    <xf numFmtId="165" fontId="0" fillId="3" borderId="14" xfId="2" applyNumberFormat="1" applyFont="1" applyFill="1" applyBorder="1"/>
    <xf numFmtId="0" fontId="17" fillId="0" borderId="0" xfId="0" applyFont="1"/>
    <xf numFmtId="0" fontId="17" fillId="0" borderId="0" xfId="0" applyFont="1" applyAlignment="1">
      <alignment vertical="top"/>
    </xf>
    <xf numFmtId="0" fontId="17" fillId="0" borderId="0" xfId="0" applyFont="1" applyAlignment="1">
      <alignment vertical="top" wrapText="1"/>
    </xf>
    <xf numFmtId="0" fontId="18" fillId="0" borderId="0" xfId="0" applyFont="1" applyAlignment="1">
      <alignment vertical="top"/>
    </xf>
    <xf numFmtId="0" fontId="19" fillId="0" borderId="0" xfId="0" applyFont="1" applyAlignment="1">
      <alignment vertical="top"/>
    </xf>
    <xf numFmtId="0" fontId="16" fillId="0" borderId="0" xfId="4" applyFont="1" applyAlignment="1" applyProtection="1">
      <alignment vertical="top"/>
    </xf>
    <xf numFmtId="14" fontId="0" fillId="3" borderId="0" xfId="0" applyNumberFormat="1" applyFill="1"/>
    <xf numFmtId="0" fontId="11" fillId="3" borderId="0" xfId="0" applyFont="1" applyFill="1"/>
    <xf numFmtId="0" fontId="0" fillId="0" borderId="0" xfId="0" quotePrefix="1"/>
    <xf numFmtId="14" fontId="17" fillId="0" borderId="0" xfId="0" applyNumberFormat="1" applyFont="1"/>
    <xf numFmtId="164" fontId="8" fillId="3" borderId="0" xfId="0" applyNumberFormat="1" applyFont="1" applyFill="1" applyAlignment="1">
      <alignment horizontal="left"/>
    </xf>
    <xf numFmtId="0" fontId="0" fillId="0" borderId="0" xfId="0" applyAlignment="1"/>
    <xf numFmtId="0" fontId="8" fillId="3" borderId="0" xfId="0" applyFont="1" applyFill="1" applyAlignment="1">
      <alignment horizontal="left"/>
    </xf>
    <xf numFmtId="0" fontId="8" fillId="3" borderId="0" xfId="0" applyFont="1" applyFill="1" applyAlignment="1">
      <alignment horizontal="left"/>
    </xf>
    <xf numFmtId="0" fontId="0" fillId="0" borderId="0" xfId="0" applyAlignment="1"/>
    <xf numFmtId="0" fontId="14" fillId="4" borderId="1" xfId="0" applyNumberFormat="1" applyFont="1" applyFill="1" applyBorder="1" applyAlignment="1">
      <alignment horizontal="center"/>
    </xf>
    <xf numFmtId="0" fontId="14" fillId="4" borderId="2" xfId="0" applyNumberFormat="1" applyFont="1" applyFill="1" applyBorder="1" applyAlignment="1">
      <alignment horizontal="center"/>
    </xf>
    <xf numFmtId="0" fontId="14" fillId="4" borderId="3" xfId="0" applyNumberFormat="1" applyFont="1" applyFill="1" applyBorder="1" applyAlignment="1">
      <alignment horizontal="center"/>
    </xf>
    <xf numFmtId="0" fontId="14" fillId="5" borderId="1" xfId="0" applyNumberFormat="1" applyFont="1" applyFill="1" applyBorder="1" applyAlignment="1">
      <alignment horizontal="center"/>
    </xf>
    <xf numFmtId="0" fontId="14" fillId="5" borderId="2" xfId="0" applyNumberFormat="1" applyFont="1" applyFill="1" applyBorder="1" applyAlignment="1">
      <alignment horizontal="center"/>
    </xf>
    <xf numFmtId="0" fontId="14" fillId="5" borderId="3" xfId="0" applyNumberFormat="1" applyFont="1" applyFill="1" applyBorder="1" applyAlignment="1">
      <alignment horizontal="center"/>
    </xf>
    <xf numFmtId="164" fontId="8" fillId="3" borderId="0" xfId="0" applyNumberFormat="1" applyFont="1" applyFill="1" applyAlignment="1">
      <alignment horizontal="left"/>
    </xf>
    <xf numFmtId="0" fontId="12" fillId="0" borderId="17" xfId="0" applyFont="1" applyBorder="1" applyAlignment="1">
      <alignment horizontal="left"/>
    </xf>
    <xf numFmtId="0" fontId="13" fillId="0" borderId="18" xfId="0" applyFont="1" applyFill="1" applyBorder="1" applyAlignment="1">
      <alignment horizontal="left"/>
    </xf>
    <xf numFmtId="0" fontId="8" fillId="3" borderId="0" xfId="0" applyFont="1" applyFill="1" applyAlignment="1"/>
  </cellXfs>
  <cellStyles count="8">
    <cellStyle name="Comma" xfId="1" builtinId="3"/>
    <cellStyle name="Hyperlink" xfId="4" builtinId="8"/>
    <cellStyle name="Hyperlink 3" xfId="7"/>
    <cellStyle name="Normal" xfId="0" builtinId="0"/>
    <cellStyle name="Normal 2" xfId="3"/>
    <cellStyle name="Normal 2 4" xfId="6"/>
    <cellStyle name="Normal 3" xfId="5"/>
    <cellStyle name="Percent" xfId="2" builtinId="5"/>
  </cellStyles>
  <dxfs count="186">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9" defaultPivotStyle="PivotStyleLight16"/>
  <colors>
    <mruColors>
      <color rgb="FF0074AB"/>
      <color rgb="FFBFC5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go.jetreports.com/web"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4527550</xdr:colOff>
      <xdr:row>3</xdr:row>
      <xdr:rowOff>92075</xdr:rowOff>
    </xdr:from>
    <xdr:to>
      <xdr:col>7</xdr:col>
      <xdr:colOff>222250</xdr:colOff>
      <xdr:row>6</xdr:row>
      <xdr:rowOff>32361</xdr:rowOff>
    </xdr:to>
    <xdr:pic>
      <xdr:nvPicPr>
        <xdr:cNvPr id="2" name="Jet Logo">
          <a:hlinkClick xmlns:r="http://schemas.openxmlformats.org/officeDocument/2006/relationships" r:id="rId1"/>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6025" y="635000"/>
          <a:ext cx="2743200" cy="4832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samplereports@jetglobal.com" TargetMode="External"/><Relationship Id="rId7" Type="http://schemas.openxmlformats.org/officeDocument/2006/relationships/printerSettings" Target="../printerSettings/printerSettings1.bin"/><Relationship Id="rId2" Type="http://schemas.openxmlformats.org/officeDocument/2006/relationships/hyperlink" Target="mailto:services@jetglobal.com" TargetMode="External"/><Relationship Id="rId1" Type="http://schemas.openxmlformats.org/officeDocument/2006/relationships/hyperlink" Target="https://go.jetreports.com/web" TargetMode="External"/><Relationship Id="rId6" Type="http://schemas.openxmlformats.org/officeDocument/2006/relationships/hyperlink" Target="https://go.jetreports.com/support" TargetMode="External"/><Relationship Id="rId5" Type="http://schemas.openxmlformats.org/officeDocument/2006/relationships/hyperlink" Target="mailto:sales.us@jetglobal.com" TargetMode="External"/><Relationship Id="rId4" Type="http://schemas.openxmlformats.org/officeDocument/2006/relationships/hyperlink" Target="https://go.jetreports.com/downloa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8"/>
  <sheetViews>
    <sheetView showGridLines="0" tabSelected="1" topLeftCell="B2" workbookViewId="0"/>
  </sheetViews>
  <sheetFormatPr defaultColWidth="9.140625" defaultRowHeight="14.25" x14ac:dyDescent="0.25"/>
  <cols>
    <col min="1" max="1" width="4.42578125" style="54" hidden="1" customWidth="1"/>
    <col min="2" max="2" width="9.140625" style="54"/>
    <col min="3" max="3" width="32" style="55" bestFit="1" customWidth="1"/>
    <col min="4" max="4" width="77.28515625" style="56" customWidth="1"/>
    <col min="5" max="5" width="10.140625" style="55" customWidth="1"/>
    <col min="6" max="16384" width="9.140625" style="54"/>
  </cols>
  <sheetData>
    <row r="1" spans="1:5" ht="14.25" hidden="1" customHeight="1" x14ac:dyDescent="0.25">
      <c r="A1" s="54" t="s">
        <v>0</v>
      </c>
    </row>
    <row r="7" spans="1:5" ht="30.75" x14ac:dyDescent="0.25">
      <c r="C7" s="57" t="s">
        <v>1</v>
      </c>
    </row>
    <row r="9" spans="1:5" ht="57" x14ac:dyDescent="0.25">
      <c r="C9" s="58" t="s">
        <v>2</v>
      </c>
      <c r="D9" s="56" t="s">
        <v>584</v>
      </c>
    </row>
    <row r="10" spans="1:5" x14ac:dyDescent="0.25">
      <c r="C10" s="58"/>
    </row>
    <row r="11" spans="1:5" x14ac:dyDescent="0.25">
      <c r="C11" s="58" t="s">
        <v>49</v>
      </c>
      <c r="D11" s="56" t="s">
        <v>50</v>
      </c>
    </row>
    <row r="12" spans="1:5" x14ac:dyDescent="0.25">
      <c r="C12" s="58"/>
    </row>
    <row r="13" spans="1:5" ht="42.75" x14ac:dyDescent="0.25">
      <c r="C13" s="58" t="s">
        <v>3</v>
      </c>
      <c r="D13" s="56" t="s">
        <v>51</v>
      </c>
      <c r="E13" s="59" t="s">
        <v>45</v>
      </c>
    </row>
    <row r="14" spans="1:5" ht="16.5" customHeight="1" x14ac:dyDescent="0.25">
      <c r="C14" s="58"/>
    </row>
    <row r="15" spans="1:5" ht="28.5" x14ac:dyDescent="0.25">
      <c r="C15" s="58" t="s">
        <v>43</v>
      </c>
      <c r="D15" s="56" t="s">
        <v>52</v>
      </c>
      <c r="E15" s="59" t="s">
        <v>44</v>
      </c>
    </row>
    <row r="16" spans="1:5" x14ac:dyDescent="0.25">
      <c r="C16" s="58"/>
    </row>
    <row r="17" spans="3:6" ht="57" x14ac:dyDescent="0.25">
      <c r="C17" s="58" t="s">
        <v>48</v>
      </c>
      <c r="D17" s="56" t="s">
        <v>53</v>
      </c>
      <c r="E17" s="59" t="s">
        <v>54</v>
      </c>
    </row>
    <row r="18" spans="3:6" x14ac:dyDescent="0.25">
      <c r="C18" s="58"/>
    </row>
    <row r="19" spans="3:6" ht="28.5" x14ac:dyDescent="0.25">
      <c r="C19" s="58" t="s">
        <v>4</v>
      </c>
      <c r="D19" s="56" t="s">
        <v>55</v>
      </c>
      <c r="E19" s="59" t="s">
        <v>56</v>
      </c>
    </row>
    <row r="20" spans="3:6" x14ac:dyDescent="0.25">
      <c r="C20" s="58"/>
    </row>
    <row r="21" spans="3:6" x14ac:dyDescent="0.25">
      <c r="C21" s="58" t="s">
        <v>5</v>
      </c>
      <c r="D21" s="56" t="s">
        <v>57</v>
      </c>
      <c r="E21" s="59" t="s">
        <v>58</v>
      </c>
    </row>
    <row r="22" spans="3:6" x14ac:dyDescent="0.25">
      <c r="C22" s="58"/>
    </row>
    <row r="23" spans="3:6" x14ac:dyDescent="0.25">
      <c r="C23" s="58" t="s">
        <v>6</v>
      </c>
      <c r="D23" s="56" t="s">
        <v>59</v>
      </c>
      <c r="E23" s="59" t="s">
        <v>60</v>
      </c>
    </row>
    <row r="24" spans="3:6" x14ac:dyDescent="0.25">
      <c r="C24" s="58"/>
    </row>
    <row r="25" spans="3:6" ht="71.25" x14ac:dyDescent="0.25">
      <c r="C25" s="58" t="s">
        <v>61</v>
      </c>
      <c r="D25" s="56" t="s">
        <v>62</v>
      </c>
    </row>
    <row r="26" spans="3:6" x14ac:dyDescent="0.25">
      <c r="C26" s="58"/>
    </row>
    <row r="27" spans="3:6" x14ac:dyDescent="0.25">
      <c r="C27" s="58" t="s">
        <v>7</v>
      </c>
      <c r="D27" s="56" t="s">
        <v>63</v>
      </c>
    </row>
    <row r="28" spans="3:6" x14ac:dyDescent="0.25">
      <c r="F28" s="63"/>
    </row>
  </sheetData>
  <hyperlinks>
    <hyperlink ref="E21" r:id="rId1"/>
    <hyperlink ref="E19" r:id="rId2"/>
    <hyperlink ref="E15" r:id="rId3"/>
    <hyperlink ref="E13" r:id="rId4"/>
    <hyperlink ref="E23" r:id="rId5"/>
    <hyperlink ref="E17" r:id="rId6"/>
  </hyperlinks>
  <pageMargins left="0.25" right="0.25" top="0.75" bottom="0.75" header="0.3" footer="0.3"/>
  <pageSetup scale="63" orientation="portrait" r:id="rId7"/>
  <headerFooter alignWithMargins="0"/>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17"/>
  <sheetViews>
    <sheetView zoomScaleNormal="100" workbookViewId="0"/>
  </sheetViews>
  <sheetFormatPr defaultColWidth="9.140625" defaultRowHeight="15" x14ac:dyDescent="0.25"/>
  <cols>
    <col min="1" max="1" width="9.140625" style="14" hidden="1" customWidth="1"/>
    <col min="2" max="2" width="9.140625" style="1"/>
    <col min="3" max="3" width="22.140625" style="1" bestFit="1" customWidth="1"/>
    <col min="4" max="5" width="26.28515625" style="1" customWidth="1"/>
    <col min="6" max="16384" width="9.140625" style="1"/>
  </cols>
  <sheetData>
    <row r="1" spans="1:7" s="14" customFormat="1" hidden="1" x14ac:dyDescent="0.25">
      <c r="A1" s="14" t="s">
        <v>59387</v>
      </c>
      <c r="C1" s="14" t="s">
        <v>15</v>
      </c>
      <c r="D1" s="14" t="s">
        <v>16</v>
      </c>
      <c r="E1" s="14" t="s">
        <v>17</v>
      </c>
      <c r="F1" s="14" t="s">
        <v>46</v>
      </c>
    </row>
    <row r="3" spans="1:7" x14ac:dyDescent="0.25">
      <c r="A3" s="14" t="s">
        <v>14</v>
      </c>
      <c r="C3" s="2" t="s">
        <v>8</v>
      </c>
      <c r="D3" s="3" t="s">
        <v>42</v>
      </c>
      <c r="E3" s="4" t="str">
        <f>"Lookup"</f>
        <v>Lookup</v>
      </c>
    </row>
    <row r="4" spans="1:7" x14ac:dyDescent="0.25">
      <c r="A4" s="14" t="s">
        <v>14</v>
      </c>
      <c r="C4" s="2" t="s">
        <v>12</v>
      </c>
      <c r="D4" s="5" t="str">
        <f>"1/1/2019"</f>
        <v>1/1/2019</v>
      </c>
      <c r="E4" s="4"/>
      <c r="F4" s="1" t="s">
        <v>47</v>
      </c>
    </row>
    <row r="5" spans="1:7" x14ac:dyDescent="0.25">
      <c r="A5" s="14" t="s">
        <v>14</v>
      </c>
      <c r="C5" s="2" t="s">
        <v>13</v>
      </c>
      <c r="D5" s="5" t="str">
        <f>"2/1/2019"</f>
        <v>2/1/2019</v>
      </c>
      <c r="E5" s="4"/>
      <c r="F5" s="1" t="s">
        <v>47</v>
      </c>
    </row>
    <row r="6" spans="1:7" x14ac:dyDescent="0.25">
      <c r="A6" s="14" t="s">
        <v>14</v>
      </c>
      <c r="C6" s="2" t="s">
        <v>29</v>
      </c>
      <c r="D6" s="3" t="str">
        <f>"*"</f>
        <v>*</v>
      </c>
      <c r="E6" s="4" t="str">
        <f>"Lookup"</f>
        <v>Lookup</v>
      </c>
    </row>
    <row r="7" spans="1:7" x14ac:dyDescent="0.25">
      <c r="A7" s="14" t="s">
        <v>14</v>
      </c>
      <c r="C7" s="2" t="s">
        <v>11</v>
      </c>
      <c r="D7" s="3" t="str">
        <f>"*"</f>
        <v>*</v>
      </c>
      <c r="E7" s="4" t="str">
        <f>"Lookup"</f>
        <v>Lookup</v>
      </c>
    </row>
    <row r="10" spans="1:7" x14ac:dyDescent="0.25">
      <c r="C10" s="17" t="s">
        <v>30</v>
      </c>
      <c r="D10" s="17" t="s">
        <v>16</v>
      </c>
    </row>
    <row r="11" spans="1:7" x14ac:dyDescent="0.25">
      <c r="C11" s="1" t="s">
        <v>31</v>
      </c>
      <c r="D11" s="18" t="str">
        <f>"1/1/2019..2/1/2019"</f>
        <v>1/1/2019..2/1/2019</v>
      </c>
    </row>
    <row r="12" spans="1:7" x14ac:dyDescent="0.25">
      <c r="C12" s="1" t="s">
        <v>32</v>
      </c>
      <c r="D12" s="19" t="str">
        <f>"1/1/2018..2/1/2018"</f>
        <v>1/1/2018..2/1/2018</v>
      </c>
    </row>
    <row r="13" spans="1:7" x14ac:dyDescent="0.25">
      <c r="C13" s="1" t="s">
        <v>33</v>
      </c>
      <c r="D13" s="18" t="str">
        <f>D12&amp;"|"&amp;D11</f>
        <v>1/1/2018..2/1/2018|1/1/2019..2/1/2019</v>
      </c>
    </row>
    <row r="14" spans="1:7" x14ac:dyDescent="0.25">
      <c r="C14" s="1" t="s">
        <v>34</v>
      </c>
      <c r="D14" s="20">
        <v>1</v>
      </c>
      <c r="E14" s="1" t="s">
        <v>9</v>
      </c>
    </row>
    <row r="15" spans="1:7" x14ac:dyDescent="0.25">
      <c r="C15" s="1" t="s">
        <v>35</v>
      </c>
      <c r="D15" s="20">
        <v>1</v>
      </c>
      <c r="E15" s="1" t="s">
        <v>10</v>
      </c>
    </row>
    <row r="16" spans="1:7" x14ac:dyDescent="0.25">
      <c r="G16" s="60"/>
    </row>
    <row r="17" spans="8:8" x14ac:dyDescent="0.25">
      <c r="H17" s="60"/>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G3064"/>
  <sheetViews>
    <sheetView zoomScaleNormal="100" workbookViewId="0">
      <pane xSplit="9" ySplit="15" topLeftCell="J16" activePane="bottomRight" state="frozen"/>
      <selection pane="topRight" activeCell="J1" sqref="J1"/>
      <selection pane="bottomLeft" activeCell="A16" sqref="A16"/>
      <selection pane="bottomRight"/>
    </sheetView>
  </sheetViews>
  <sheetFormatPr defaultColWidth="9.140625" defaultRowHeight="15" x14ac:dyDescent="0.25"/>
  <cols>
    <col min="1" max="1" width="6" style="14" hidden="1" customWidth="1"/>
    <col min="2" max="2" width="21.42578125" style="14" hidden="1" customWidth="1"/>
    <col min="3" max="3" width="5.140625" style="21" hidden="1" customWidth="1"/>
    <col min="4" max="4" width="9.140625" style="14"/>
    <col min="5" max="5" width="9.5703125" style="1" bestFit="1" customWidth="1"/>
    <col min="6" max="6" width="8.28515625" style="1" bestFit="1" customWidth="1"/>
    <col min="7" max="7" width="30.28515625" style="1" customWidth="1"/>
    <col min="8" max="8" width="6.28515625" style="1" customWidth="1"/>
    <col min="9" max="9" width="3.7109375" style="1" customWidth="1"/>
    <col min="10" max="10" width="10.42578125" style="1" customWidth="1"/>
    <col min="11" max="11" width="8.85546875" style="1" bestFit="1" customWidth="1"/>
    <col min="12" max="12" width="10" style="1" customWidth="1"/>
    <col min="13" max="13" width="8" style="1" bestFit="1" customWidth="1"/>
    <col min="14" max="14" width="9.5703125" style="1" customWidth="1"/>
    <col min="15" max="15" width="8.85546875" style="1" customWidth="1"/>
    <col min="16" max="16" width="8.85546875" style="1" bestFit="1" customWidth="1"/>
    <col min="17" max="17" width="10.5703125" style="1" customWidth="1"/>
    <col min="18" max="18" width="7.7109375" style="1" bestFit="1" customWidth="1"/>
    <col min="19" max="19" width="8.28515625" style="1" bestFit="1" customWidth="1"/>
    <col min="20" max="20" width="1" style="1" customWidth="1"/>
    <col min="21" max="21" width="10.42578125" style="1" customWidth="1"/>
    <col min="22" max="22" width="8.85546875" style="1" bestFit="1" customWidth="1"/>
    <col min="23" max="23" width="10" style="1" customWidth="1"/>
    <col min="24" max="24" width="8" style="1" bestFit="1" customWidth="1"/>
    <col min="25" max="25" width="9.5703125" style="1" customWidth="1"/>
    <col min="26" max="26" width="8.85546875" style="1" customWidth="1"/>
    <col min="27" max="27" width="8.85546875" style="1" bestFit="1" customWidth="1"/>
    <col min="28" max="28" width="10.5703125" style="1" customWidth="1"/>
    <col min="29" max="29" width="7.7109375" style="1" bestFit="1" customWidth="1"/>
    <col min="30" max="30" width="8.28515625" style="1" bestFit="1" customWidth="1"/>
    <col min="31" max="31" width="1" style="1" customWidth="1"/>
    <col min="32" max="16384" width="9.140625" style="1"/>
  </cols>
  <sheetData>
    <row r="1" spans="1:31" s="14" customFormat="1" hidden="1" x14ac:dyDescent="0.25">
      <c r="A1" s="14" t="s">
        <v>59389</v>
      </c>
      <c r="B1" s="14" t="s">
        <v>18</v>
      </c>
      <c r="C1" s="38" t="s">
        <v>18</v>
      </c>
      <c r="E1" s="14" t="s">
        <v>27</v>
      </c>
      <c r="F1" s="14" t="s">
        <v>27</v>
      </c>
      <c r="G1" s="14" t="s">
        <v>27</v>
      </c>
      <c r="J1" s="14" t="s">
        <v>27</v>
      </c>
      <c r="K1" s="14" t="s">
        <v>27</v>
      </c>
      <c r="L1" s="14" t="s">
        <v>27</v>
      </c>
      <c r="M1" s="14" t="s">
        <v>27</v>
      </c>
      <c r="N1" s="14" t="s">
        <v>27</v>
      </c>
      <c r="O1" s="14" t="s">
        <v>28</v>
      </c>
      <c r="P1" s="14" t="s">
        <v>27</v>
      </c>
      <c r="Q1" s="14" t="s">
        <v>27</v>
      </c>
      <c r="R1" s="14" t="s">
        <v>27</v>
      </c>
      <c r="S1" s="14" t="s">
        <v>27</v>
      </c>
      <c r="U1" s="14" t="s">
        <v>107</v>
      </c>
      <c r="V1" s="14" t="s">
        <v>107</v>
      </c>
      <c r="W1" s="14" t="s">
        <v>107</v>
      </c>
      <c r="X1" s="14" t="s">
        <v>107</v>
      </c>
      <c r="Y1" s="14" t="s">
        <v>107</v>
      </c>
      <c r="Z1" s="14" t="s">
        <v>108</v>
      </c>
      <c r="AA1" s="14" t="s">
        <v>107</v>
      </c>
      <c r="AB1" s="14" t="s">
        <v>107</v>
      </c>
      <c r="AC1" s="14" t="s">
        <v>107</v>
      </c>
      <c r="AD1" s="14" t="s">
        <v>107</v>
      </c>
      <c r="AE1" s="14" t="s">
        <v>109</v>
      </c>
    </row>
    <row r="2" spans="1:31" s="14" customFormat="1" x14ac:dyDescent="0.25">
      <c r="C2" s="21"/>
    </row>
    <row r="3" spans="1:31" s="14" customFormat="1" hidden="1" x14ac:dyDescent="0.25">
      <c r="A3" s="14" t="s">
        <v>18</v>
      </c>
      <c r="B3" s="15" t="s">
        <v>19</v>
      </c>
      <c r="C3" s="22" t="str">
        <f>PeriodType</f>
        <v>Month</v>
      </c>
    </row>
    <row r="4" spans="1:31" s="14" customFormat="1" hidden="1" x14ac:dyDescent="0.25">
      <c r="A4" s="14" t="s">
        <v>18</v>
      </c>
      <c r="B4" s="14" t="s">
        <v>34</v>
      </c>
      <c r="C4" s="22">
        <f>SaleEntryType</f>
        <v>1</v>
      </c>
    </row>
    <row r="5" spans="1:31" s="14" customFormat="1" hidden="1" x14ac:dyDescent="0.25">
      <c r="A5" s="14" t="s">
        <v>18</v>
      </c>
      <c r="B5" s="14" t="s">
        <v>36</v>
      </c>
      <c r="C5" s="22">
        <f>CustomerSourceType</f>
        <v>1</v>
      </c>
    </row>
    <row r="6" spans="1:31" s="14" customFormat="1" ht="15" hidden="1" customHeight="1" x14ac:dyDescent="0.25">
      <c r="A6" s="14" t="s">
        <v>18</v>
      </c>
      <c r="B6" s="15" t="s">
        <v>39</v>
      </c>
      <c r="C6" s="22" t="str">
        <f>CustomerFilter</f>
        <v>*</v>
      </c>
      <c r="J6" s="26" t="str">
        <f>"""NAV Direct"",""CRONUS JetCorp USA"",""2000000007"",""1"",""Month"",""2"",""1/1/2019"""</f>
        <v>"NAV Direct","CRONUS JetCorp USA","2000000007","1","Month","2","1/1/2019"</v>
      </c>
      <c r="K6" s="27"/>
      <c r="L6" s="27"/>
      <c r="M6" s="27"/>
      <c r="N6" s="27"/>
      <c r="O6" s="75"/>
      <c r="P6" s="68"/>
      <c r="Q6" s="68"/>
      <c r="R6" s="68"/>
      <c r="S6" s="68"/>
      <c r="U6" s="64" t="str">
        <f>"""NAV Direct"",""CRONUS JetCorp USA"",""2000000007"",""1"",""Month"",""2"",""2/1/2019"""</f>
        <v>"NAV Direct","CRONUS JetCorp USA","2000000007","1","Month","2","2/1/2019"</v>
      </c>
      <c r="V6" s="65"/>
      <c r="W6" s="65"/>
      <c r="X6" s="65"/>
      <c r="Y6" s="65"/>
      <c r="Z6" s="75"/>
      <c r="AA6" s="68"/>
      <c r="AB6" s="68"/>
      <c r="AC6" s="68"/>
      <c r="AD6" s="68"/>
    </row>
    <row r="7" spans="1:31" s="14" customFormat="1" ht="15" hidden="1" customHeight="1" x14ac:dyDescent="0.25">
      <c r="A7" s="14" t="s">
        <v>18</v>
      </c>
      <c r="B7" s="15" t="s">
        <v>38</v>
      </c>
      <c r="C7" s="22" t="str">
        <f>ItemFilter</f>
        <v>*</v>
      </c>
      <c r="E7" s="16"/>
      <c r="J7" s="75">
        <v>43466</v>
      </c>
      <c r="K7" s="68"/>
      <c r="L7" s="68"/>
      <c r="M7" s="68"/>
      <c r="N7" s="68"/>
      <c r="O7" s="75">
        <f>J7-365</f>
        <v>43101</v>
      </c>
      <c r="P7" s="68"/>
      <c r="Q7" s="68"/>
      <c r="R7" s="68"/>
      <c r="S7" s="68"/>
      <c r="U7" s="75">
        <v>43497</v>
      </c>
      <c r="V7" s="68"/>
      <c r="W7" s="68"/>
      <c r="X7" s="68"/>
      <c r="Y7" s="68"/>
      <c r="Z7" s="75">
        <f>U7-365</f>
        <v>43132</v>
      </c>
      <c r="AA7" s="68"/>
      <c r="AB7" s="68"/>
      <c r="AC7" s="68"/>
      <c r="AD7" s="68"/>
    </row>
    <row r="8" spans="1:31" s="14" customFormat="1" ht="15" hidden="1" customHeight="1" x14ac:dyDescent="0.25">
      <c r="A8" s="14" t="s">
        <v>18</v>
      </c>
      <c r="B8" s="15" t="s">
        <v>31</v>
      </c>
      <c r="C8" s="22" t="str">
        <f>CurrentYrDateFilter</f>
        <v>1/1/2019..2/1/2019</v>
      </c>
      <c r="E8" s="16"/>
      <c r="J8" s="75">
        <v>43496</v>
      </c>
      <c r="K8" s="68"/>
      <c r="L8" s="68"/>
      <c r="M8" s="68"/>
      <c r="N8" s="68"/>
      <c r="O8" s="75">
        <f>J8-365</f>
        <v>43131</v>
      </c>
      <c r="P8" s="68"/>
      <c r="Q8" s="68"/>
      <c r="R8" s="68"/>
      <c r="S8" s="68"/>
      <c r="U8" s="75">
        <v>43524</v>
      </c>
      <c r="V8" s="68"/>
      <c r="W8" s="68"/>
      <c r="X8" s="68"/>
      <c r="Y8" s="68"/>
      <c r="Z8" s="75">
        <f>U8-365</f>
        <v>43159</v>
      </c>
      <c r="AA8" s="68"/>
      <c r="AB8" s="68"/>
      <c r="AC8" s="68"/>
      <c r="AD8" s="68"/>
    </row>
    <row r="9" spans="1:31" s="14" customFormat="1" ht="15" hidden="1" customHeight="1" x14ac:dyDescent="0.25">
      <c r="A9" s="14" t="s">
        <v>18</v>
      </c>
      <c r="B9" s="14" t="s">
        <v>32</v>
      </c>
      <c r="C9" s="22" t="str">
        <f>PriorYrDateFilter</f>
        <v>1/1/2018..2/1/2018</v>
      </c>
      <c r="J9" s="67" t="str">
        <f>"1/1/2019..1/31/2019"</f>
        <v>1/1/2019..1/31/2019</v>
      </c>
      <c r="K9" s="68"/>
      <c r="L9" s="68"/>
      <c r="M9" s="68"/>
      <c r="N9" s="68"/>
      <c r="O9" s="67" t="str">
        <f>"1/1/2018..1/31/2018"</f>
        <v>1/1/2018..1/31/2018</v>
      </c>
      <c r="P9" s="68"/>
      <c r="Q9" s="68"/>
      <c r="R9" s="68"/>
      <c r="S9" s="68"/>
      <c r="U9" s="67" t="str">
        <f>"2/1/2019..2/28/2019"</f>
        <v>2/1/2019..2/28/2019</v>
      </c>
      <c r="V9" s="68"/>
      <c r="W9" s="68"/>
      <c r="X9" s="68"/>
      <c r="Y9" s="68"/>
      <c r="Z9" s="67" t="str">
        <f>"2/1/2018..2/28/2018"</f>
        <v>2/1/2018..2/28/2018</v>
      </c>
      <c r="AA9" s="68"/>
      <c r="AB9" s="68"/>
      <c r="AC9" s="68"/>
      <c r="AD9" s="68"/>
    </row>
    <row r="10" spans="1:31" s="14" customFormat="1" hidden="1" x14ac:dyDescent="0.25">
      <c r="A10" s="14" t="s">
        <v>18</v>
      </c>
      <c r="B10" s="14" t="s">
        <v>37</v>
      </c>
      <c r="C10" s="22" t="str">
        <f>TwoYrDateFilter</f>
        <v>1/1/2018..2/1/2018|1/1/2019..2/1/2019</v>
      </c>
    </row>
    <row r="11" spans="1:31" s="14" customFormat="1" ht="15.75" x14ac:dyDescent="0.25">
      <c r="C11" s="22"/>
      <c r="I11" s="13"/>
    </row>
    <row r="12" spans="1:31" s="14" customFormat="1" ht="18.75" thickBot="1" x14ac:dyDescent="0.3">
      <c r="C12" s="22"/>
      <c r="E12" s="76" t="s">
        <v>20</v>
      </c>
      <c r="F12" s="76"/>
      <c r="G12" s="76"/>
    </row>
    <row r="13" spans="1:31" s="14" customFormat="1" x14ac:dyDescent="0.25">
      <c r="C13" s="22"/>
      <c r="E13" s="77" t="s">
        <v>41</v>
      </c>
      <c r="F13" s="77"/>
      <c r="G13" s="77"/>
    </row>
    <row r="14" spans="1:31" s="14" customFormat="1" x14ac:dyDescent="0.25">
      <c r="C14" s="22"/>
      <c r="E14" s="78" t="s">
        <v>39</v>
      </c>
      <c r="F14" s="78"/>
      <c r="G14" s="14" t="str">
        <f>C6</f>
        <v>*</v>
      </c>
    </row>
    <row r="15" spans="1:31" s="14" customFormat="1" x14ac:dyDescent="0.25">
      <c r="C15" s="22"/>
      <c r="E15" s="78" t="s">
        <v>38</v>
      </c>
      <c r="F15" s="78"/>
      <c r="G15" s="14" t="str">
        <f>C7</f>
        <v>*</v>
      </c>
    </row>
    <row r="16" spans="1:31" ht="15.75" thickBot="1" x14ac:dyDescent="0.3"/>
    <row r="17" spans="1:31" ht="15.75" x14ac:dyDescent="0.25">
      <c r="E17" s="6"/>
      <c r="F17" s="6"/>
      <c r="G17" s="6"/>
      <c r="H17" s="6"/>
      <c r="I17" s="6"/>
      <c r="J17" s="69" t="str">
        <f>TEXT(J7,"MMM-DD-YY")</f>
        <v>Jan-01-19</v>
      </c>
      <c r="K17" s="70"/>
      <c r="L17" s="70"/>
      <c r="M17" s="70"/>
      <c r="N17" s="71"/>
      <c r="O17" s="72" t="str">
        <f>TEXT(O7,"MMM-DD-YY")</f>
        <v>Jan-01-18</v>
      </c>
      <c r="P17" s="73"/>
      <c r="Q17" s="73"/>
      <c r="R17" s="73"/>
      <c r="S17" s="74"/>
      <c r="U17" s="69" t="str">
        <f>TEXT(U7,"MMM-DD-YY")</f>
        <v>Feb-01-19</v>
      </c>
      <c r="V17" s="70"/>
      <c r="W17" s="70"/>
      <c r="X17" s="70"/>
      <c r="Y17" s="71"/>
      <c r="Z17" s="72" t="str">
        <f>TEXT(Z7,"MMM-DD-YY")</f>
        <v>Feb-01-18</v>
      </c>
      <c r="AA17" s="73"/>
      <c r="AB17" s="73"/>
      <c r="AC17" s="73"/>
      <c r="AD17" s="74"/>
    </row>
    <row r="18" spans="1:31" ht="15.75" thickBot="1" x14ac:dyDescent="0.3">
      <c r="E18" s="28" t="s">
        <v>21</v>
      </c>
      <c r="F18" s="7"/>
      <c r="G18" s="29" t="s">
        <v>22</v>
      </c>
      <c r="H18" s="46"/>
      <c r="I18" s="46"/>
      <c r="J18" s="30" t="s">
        <v>6</v>
      </c>
      <c r="K18" s="31" t="s">
        <v>23</v>
      </c>
      <c r="L18" s="31" t="s">
        <v>40</v>
      </c>
      <c r="M18" s="32" t="s">
        <v>24</v>
      </c>
      <c r="N18" s="33" t="s">
        <v>25</v>
      </c>
      <c r="O18" s="39" t="s">
        <v>6</v>
      </c>
      <c r="P18" s="40" t="s">
        <v>23</v>
      </c>
      <c r="Q18" s="40" t="s">
        <v>40</v>
      </c>
      <c r="R18" s="41" t="s">
        <v>24</v>
      </c>
      <c r="S18" s="42" t="s">
        <v>25</v>
      </c>
      <c r="U18" s="30" t="s">
        <v>6</v>
      </c>
      <c r="V18" s="31" t="s">
        <v>23</v>
      </c>
      <c r="W18" s="31" t="s">
        <v>40</v>
      </c>
      <c r="X18" s="32" t="s">
        <v>24</v>
      </c>
      <c r="Y18" s="33" t="s">
        <v>25</v>
      </c>
      <c r="Z18" s="39" t="s">
        <v>6</v>
      </c>
      <c r="AA18" s="40" t="s">
        <v>23</v>
      </c>
      <c r="AB18" s="40" t="s">
        <v>40</v>
      </c>
      <c r="AC18" s="41" t="s">
        <v>24</v>
      </c>
      <c r="AD18" s="42" t="s">
        <v>25</v>
      </c>
    </row>
    <row r="19" spans="1:31" ht="6.6" customHeight="1" x14ac:dyDescent="0.25">
      <c r="J19" s="10"/>
      <c r="K19" s="11"/>
      <c r="L19" s="11"/>
      <c r="M19" s="11"/>
      <c r="N19" s="12"/>
      <c r="O19" s="10"/>
      <c r="P19" s="11"/>
      <c r="Q19" s="11"/>
      <c r="R19" s="11"/>
      <c r="S19" s="12"/>
      <c r="U19" s="10"/>
      <c r="V19" s="11"/>
      <c r="W19" s="11"/>
      <c r="X19" s="11"/>
      <c r="Y19" s="12"/>
      <c r="Z19" s="10"/>
      <c r="AA19" s="11"/>
      <c r="AB19" s="11"/>
      <c r="AC19" s="11"/>
      <c r="AD19" s="12"/>
    </row>
    <row r="20" spans="1:31" ht="15.75" x14ac:dyDescent="0.25">
      <c r="C20" s="21" t="str">
        <f>E20</f>
        <v>C100008</v>
      </c>
      <c r="E20" s="13" t="str">
        <f>"C100008"</f>
        <v>C100008</v>
      </c>
      <c r="F20" s="13"/>
      <c r="G20" s="13" t="str">
        <f>"Blanemark Hifi Shop"</f>
        <v>Blanemark Hifi Shop</v>
      </c>
      <c r="H20" s="13"/>
      <c r="I20" s="13"/>
      <c r="J20" s="10"/>
      <c r="K20" s="11"/>
      <c r="L20" s="11"/>
      <c r="M20" s="11"/>
      <c r="N20" s="12"/>
      <c r="O20" s="10"/>
      <c r="P20" s="11"/>
      <c r="Q20" s="11"/>
      <c r="R20" s="11"/>
      <c r="S20" s="12"/>
      <c r="U20" s="10"/>
      <c r="V20" s="11"/>
      <c r="W20" s="11"/>
      <c r="X20" s="11"/>
      <c r="Y20" s="12"/>
      <c r="Z20" s="10"/>
      <c r="AA20" s="11"/>
      <c r="AB20" s="11"/>
      <c r="AC20" s="11"/>
      <c r="AD20" s="12"/>
    </row>
    <row r="21" spans="1:31" ht="6.6" customHeight="1" x14ac:dyDescent="0.25">
      <c r="C21" s="61" t="str">
        <f>C20</f>
        <v>C100008</v>
      </c>
      <c r="J21" s="10"/>
      <c r="K21" s="11"/>
      <c r="L21" s="11"/>
      <c r="M21" s="11"/>
      <c r="N21" s="12"/>
      <c r="O21" s="10"/>
      <c r="P21" s="11"/>
      <c r="Q21" s="11"/>
      <c r="R21" s="11"/>
      <c r="S21" s="12"/>
      <c r="U21" s="10"/>
      <c r="V21" s="11"/>
      <c r="W21" s="11"/>
      <c r="X21" s="11"/>
      <c r="Y21" s="12"/>
      <c r="Z21" s="10"/>
      <c r="AA21" s="11"/>
      <c r="AB21" s="11"/>
      <c r="AC21" s="11"/>
      <c r="AD21" s="12"/>
    </row>
    <row r="22" spans="1:31" x14ac:dyDescent="0.25">
      <c r="C22" s="61" t="str">
        <f>C21</f>
        <v>C100008</v>
      </c>
      <c r="F22" s="8" t="str">
        <f>"C100003"</f>
        <v>C100003</v>
      </c>
      <c r="G22" s="9" t="str">
        <f>"Cherry Finish Frame"</f>
        <v>Cherry Finish Frame</v>
      </c>
      <c r="H22" s="47"/>
      <c r="I22" s="47"/>
      <c r="J22" s="23">
        <v>8603.01</v>
      </c>
      <c r="K22" s="25">
        <v>144</v>
      </c>
      <c r="L22" s="24">
        <v>4700.1499999999996</v>
      </c>
      <c r="M22" s="24">
        <f>J22-L22</f>
        <v>3902.8600000000006</v>
      </c>
      <c r="N22" s="53">
        <f>IF(J22&lt;&gt;0,M22/J22,"")</f>
        <v>0.45366214848059</v>
      </c>
      <c r="O22" s="23">
        <v>0</v>
      </c>
      <c r="P22" s="25">
        <v>0</v>
      </c>
      <c r="Q22" s="24">
        <v>0</v>
      </c>
      <c r="R22" s="24">
        <f>O22-Q22</f>
        <v>0</v>
      </c>
      <c r="S22" s="53" t="str">
        <f>IF(O22&lt;&gt;0,R22/O22,"")</f>
        <v/>
      </c>
      <c r="T22" s="10"/>
      <c r="U22" s="23">
        <v>0</v>
      </c>
      <c r="V22" s="25">
        <v>0</v>
      </c>
      <c r="W22" s="24">
        <v>0</v>
      </c>
      <c r="X22" s="24">
        <f>U22-W22</f>
        <v>0</v>
      </c>
      <c r="Y22" s="53" t="str">
        <f>IF(U22&lt;&gt;0,X22/U22,"")</f>
        <v/>
      </c>
      <c r="Z22" s="23">
        <v>0</v>
      </c>
      <c r="AA22" s="25">
        <v>0</v>
      </c>
      <c r="AB22" s="24">
        <v>0</v>
      </c>
      <c r="AC22" s="24">
        <f>Z22-AB22</f>
        <v>0</v>
      </c>
      <c r="AD22" s="53" t="str">
        <f>IF(Z22&lt;&gt;0,AC22/Z22,"")</f>
        <v/>
      </c>
      <c r="AE22" s="10"/>
    </row>
    <row r="23" spans="1:31" x14ac:dyDescent="0.25">
      <c r="A23" s="14" t="s">
        <v>109</v>
      </c>
      <c r="C23" s="61" t="str">
        <f t="shared" ref="C23:C60" si="0">C22</f>
        <v>C100008</v>
      </c>
      <c r="F23" s="8" t="str">
        <f>"C100004"</f>
        <v>C100004</v>
      </c>
      <c r="G23" s="9" t="str">
        <f>"Walnut Medallian Plate"</f>
        <v>Walnut Medallian Plate</v>
      </c>
      <c r="H23" s="47"/>
      <c r="I23" s="47"/>
      <c r="J23" s="23">
        <v>313.42</v>
      </c>
      <c r="K23" s="25">
        <v>6</v>
      </c>
      <c r="L23" s="24">
        <v>183.6</v>
      </c>
      <c r="M23" s="24">
        <f>J23-L23</f>
        <v>129.82000000000002</v>
      </c>
      <c r="N23" s="53">
        <f>IF(J23&lt;&gt;0,M23/J23,"")</f>
        <v>0.41420458171144159</v>
      </c>
      <c r="O23" s="23">
        <v>0</v>
      </c>
      <c r="P23" s="25">
        <v>0</v>
      </c>
      <c r="Q23" s="24">
        <v>0</v>
      </c>
      <c r="R23" s="24">
        <f>O23-Q23</f>
        <v>0</v>
      </c>
      <c r="S23" s="53" t="str">
        <f>IF(O23&lt;&gt;0,R23/O23,"")</f>
        <v/>
      </c>
      <c r="T23" s="10"/>
      <c r="U23" s="23">
        <v>2792.3</v>
      </c>
      <c r="V23" s="25">
        <v>48</v>
      </c>
      <c r="W23" s="24">
        <v>1468.8</v>
      </c>
      <c r="X23" s="24">
        <f>U23-W23</f>
        <v>1323.5000000000002</v>
      </c>
      <c r="Y23" s="53">
        <f>IF(U23&lt;&gt;0,X23/U23,"")</f>
        <v>0.47398202198904132</v>
      </c>
      <c r="Z23" s="23">
        <v>0</v>
      </c>
      <c r="AA23" s="25">
        <v>0</v>
      </c>
      <c r="AB23" s="24">
        <v>0</v>
      </c>
      <c r="AC23" s="24">
        <f t="shared" ref="AC23:AC60" si="1">Z23-AB23</f>
        <v>0</v>
      </c>
      <c r="AD23" s="53" t="str">
        <f t="shared" ref="AD23:AD60" si="2">IF(Z23&lt;&gt;0,AC23/Z23,"")</f>
        <v/>
      </c>
      <c r="AE23" s="10"/>
    </row>
    <row r="24" spans="1:31" x14ac:dyDescent="0.25">
      <c r="A24" s="14" t="s">
        <v>109</v>
      </c>
      <c r="C24" s="61" t="str">
        <f t="shared" si="0"/>
        <v>C100008</v>
      </c>
      <c r="F24" s="8" t="str">
        <f>"C100006"</f>
        <v>C100006</v>
      </c>
      <c r="G24" s="9" t="str">
        <f>"Cherry Finished Crystal Award- Large"</f>
        <v>Cherry Finished Crystal Award- Large</v>
      </c>
      <c r="H24" s="47"/>
      <c r="I24" s="47"/>
      <c r="J24" s="23">
        <v>16735.57</v>
      </c>
      <c r="K24" s="25">
        <v>84</v>
      </c>
      <c r="L24" s="24">
        <v>7983.36</v>
      </c>
      <c r="M24" s="24">
        <f>J24-L24</f>
        <v>8752.2099999999991</v>
      </c>
      <c r="N24" s="53">
        <f>IF(J24&lt;&gt;0,M24/J24,"")</f>
        <v>0.52297053521332104</v>
      </c>
      <c r="O24" s="23">
        <v>12194.14</v>
      </c>
      <c r="P24" s="25">
        <v>60</v>
      </c>
      <c r="Q24" s="24">
        <v>5702.4000000000005</v>
      </c>
      <c r="R24" s="24">
        <f>O24-Q24</f>
        <v>6491.7399999999989</v>
      </c>
      <c r="S24" s="53">
        <f>IF(O24&lt;&gt;0,R24/O24,"")</f>
        <v>0.53236554607376985</v>
      </c>
      <c r="T24" s="10"/>
      <c r="U24" s="23">
        <v>0</v>
      </c>
      <c r="V24" s="25">
        <v>0</v>
      </c>
      <c r="W24" s="24">
        <v>0</v>
      </c>
      <c r="X24" s="24">
        <f>U24-W24</f>
        <v>0</v>
      </c>
      <c r="Y24" s="53" t="str">
        <f>IF(U24&lt;&gt;0,X24/U24,"")</f>
        <v/>
      </c>
      <c r="Z24" s="23">
        <v>0</v>
      </c>
      <c r="AA24" s="25">
        <v>0</v>
      </c>
      <c r="AB24" s="24">
        <v>0</v>
      </c>
      <c r="AC24" s="24">
        <f t="shared" si="1"/>
        <v>0</v>
      </c>
      <c r="AD24" s="53" t="str">
        <f t="shared" si="2"/>
        <v/>
      </c>
      <c r="AE24" s="10"/>
    </row>
    <row r="25" spans="1:31" x14ac:dyDescent="0.25">
      <c r="A25" s="14" t="s">
        <v>109</v>
      </c>
      <c r="C25" s="61" t="str">
        <f t="shared" si="0"/>
        <v>C100008</v>
      </c>
      <c r="F25" s="8" t="str">
        <f>"C100014"</f>
        <v>C100014</v>
      </c>
      <c r="G25" s="9" t="str">
        <f>"Canvas Field Bag"</f>
        <v>Canvas Field Bag</v>
      </c>
      <c r="H25" s="47"/>
      <c r="I25" s="47"/>
      <c r="J25" s="23">
        <v>1226.54</v>
      </c>
      <c r="K25" s="25">
        <v>144</v>
      </c>
      <c r="L25" s="24">
        <v>660.96</v>
      </c>
      <c r="M25" s="24">
        <f>J25-L25</f>
        <v>565.57999999999993</v>
      </c>
      <c r="N25" s="53">
        <f>IF(J25&lt;&gt;0,M25/J25,"")</f>
        <v>0.46111826764720265</v>
      </c>
      <c r="O25" s="23">
        <v>119.25000000000001</v>
      </c>
      <c r="P25" s="25">
        <v>13</v>
      </c>
      <c r="Q25" s="24">
        <v>59.67</v>
      </c>
      <c r="R25" s="24">
        <f>O25-Q25</f>
        <v>59.580000000000013</v>
      </c>
      <c r="S25" s="53">
        <f>IF(O25&lt;&gt;0,R25/O25,"")</f>
        <v>0.49962264150943403</v>
      </c>
      <c r="T25" s="10"/>
      <c r="U25" s="23">
        <v>1428.71</v>
      </c>
      <c r="V25" s="25">
        <v>156</v>
      </c>
      <c r="W25" s="24">
        <v>716.04000000000008</v>
      </c>
      <c r="X25" s="24">
        <f>U25-W25</f>
        <v>712.67</v>
      </c>
      <c r="Y25" s="53">
        <f>IF(U25&lt;&gt;0,X25/U25,"")</f>
        <v>0.4988206144004031</v>
      </c>
      <c r="Z25" s="23">
        <v>0</v>
      </c>
      <c r="AA25" s="25">
        <v>0</v>
      </c>
      <c r="AB25" s="24">
        <v>0</v>
      </c>
      <c r="AC25" s="24">
        <f t="shared" si="1"/>
        <v>0</v>
      </c>
      <c r="AD25" s="53" t="str">
        <f t="shared" si="2"/>
        <v/>
      </c>
      <c r="AE25" s="10"/>
    </row>
    <row r="26" spans="1:31" x14ac:dyDescent="0.25">
      <c r="A26" s="14" t="s">
        <v>109</v>
      </c>
      <c r="C26" s="61" t="str">
        <f t="shared" si="0"/>
        <v>C100008</v>
      </c>
      <c r="F26" s="8" t="str">
        <f>"C100019"</f>
        <v>C100019</v>
      </c>
      <c r="G26" s="9" t="str">
        <f>"Black Duffel Bag"</f>
        <v>Black Duffel Bag</v>
      </c>
      <c r="H26" s="47"/>
      <c r="I26" s="47"/>
      <c r="J26" s="23">
        <v>1488.76</v>
      </c>
      <c r="K26" s="25">
        <v>24</v>
      </c>
      <c r="L26" s="24">
        <v>1025.28</v>
      </c>
      <c r="M26" s="24">
        <f>J26-L26</f>
        <v>463.48</v>
      </c>
      <c r="N26" s="53">
        <f>IF(J26&lt;&gt;0,M26/J26,"")</f>
        <v>0.31131948735860715</v>
      </c>
      <c r="O26" s="23">
        <v>0</v>
      </c>
      <c r="P26" s="25">
        <v>0</v>
      </c>
      <c r="Q26" s="24">
        <v>0</v>
      </c>
      <c r="R26" s="24">
        <f>O26-Q26</f>
        <v>0</v>
      </c>
      <c r="S26" s="53" t="str">
        <f>IF(O26&lt;&gt;0,R26/O26,"")</f>
        <v/>
      </c>
      <c r="T26" s="10"/>
      <c r="U26" s="23">
        <v>9237.01</v>
      </c>
      <c r="V26" s="25">
        <v>144</v>
      </c>
      <c r="W26" s="24">
        <v>6151.7</v>
      </c>
      <c r="X26" s="24">
        <f>U26-W26</f>
        <v>3085.3100000000004</v>
      </c>
      <c r="Y26" s="53">
        <f>IF(U26&lt;&gt;0,X26/U26,"")</f>
        <v>0.33401609395248033</v>
      </c>
      <c r="Z26" s="23">
        <v>0</v>
      </c>
      <c r="AA26" s="25">
        <v>0</v>
      </c>
      <c r="AB26" s="24">
        <v>0</v>
      </c>
      <c r="AC26" s="24">
        <f t="shared" si="1"/>
        <v>0</v>
      </c>
      <c r="AD26" s="53" t="str">
        <f t="shared" si="2"/>
        <v/>
      </c>
      <c r="AE26" s="10"/>
    </row>
    <row r="27" spans="1:31" x14ac:dyDescent="0.25">
      <c r="A27" s="14" t="s">
        <v>109</v>
      </c>
      <c r="C27" s="61" t="str">
        <f t="shared" si="0"/>
        <v>C100008</v>
      </c>
      <c r="F27" s="8" t="str">
        <f>"C100020"</f>
        <v>C100020</v>
      </c>
      <c r="G27" s="9" t="str">
        <f>"Gym Locker Bag"</f>
        <v>Gym Locker Bag</v>
      </c>
      <c r="H27" s="47"/>
      <c r="I27" s="47"/>
      <c r="J27" s="23">
        <v>322.42</v>
      </c>
      <c r="K27" s="25">
        <v>24</v>
      </c>
      <c r="L27" s="24">
        <v>185.76</v>
      </c>
      <c r="M27" s="24">
        <f>J27-L27</f>
        <v>136.66000000000003</v>
      </c>
      <c r="N27" s="53">
        <f>IF(J27&lt;&gt;0,M27/J27,"")</f>
        <v>0.42385708082625151</v>
      </c>
      <c r="O27" s="23">
        <v>0</v>
      </c>
      <c r="P27" s="25">
        <v>0</v>
      </c>
      <c r="Q27" s="24">
        <v>0</v>
      </c>
      <c r="R27" s="24">
        <f>O27-Q27</f>
        <v>0</v>
      </c>
      <c r="S27" s="53" t="str">
        <f>IF(O27&lt;&gt;0,R27/O27,"")</f>
        <v/>
      </c>
      <c r="T27" s="10"/>
      <c r="U27" s="23">
        <v>0</v>
      </c>
      <c r="V27" s="25">
        <v>0</v>
      </c>
      <c r="W27" s="24">
        <v>0</v>
      </c>
      <c r="X27" s="24">
        <f>U27-W27</f>
        <v>0</v>
      </c>
      <c r="Y27" s="53" t="str">
        <f>IF(U27&lt;&gt;0,X27/U27,"")</f>
        <v/>
      </c>
      <c r="Z27" s="23">
        <v>0</v>
      </c>
      <c r="AA27" s="25">
        <v>0</v>
      </c>
      <c r="AB27" s="24">
        <v>0</v>
      </c>
      <c r="AC27" s="24">
        <f t="shared" si="1"/>
        <v>0</v>
      </c>
      <c r="AD27" s="53" t="str">
        <f t="shared" si="2"/>
        <v/>
      </c>
      <c r="AE27" s="10"/>
    </row>
    <row r="28" spans="1:31" x14ac:dyDescent="0.25">
      <c r="A28" s="14" t="s">
        <v>109</v>
      </c>
      <c r="C28" s="61" t="str">
        <f t="shared" si="0"/>
        <v>C100008</v>
      </c>
      <c r="F28" s="8" t="str">
        <f>"C100022"</f>
        <v>C100022</v>
      </c>
      <c r="G28" s="9" t="str">
        <f>"Two-Toned Cap"</f>
        <v>Two-Toned Cap</v>
      </c>
      <c r="H28" s="47"/>
      <c r="I28" s="47"/>
      <c r="J28" s="23">
        <v>2.82</v>
      </c>
      <c r="K28" s="25">
        <v>1</v>
      </c>
      <c r="L28" s="24">
        <v>1.61</v>
      </c>
      <c r="M28" s="24">
        <f>J28-L28</f>
        <v>1.2099999999999997</v>
      </c>
      <c r="N28" s="53">
        <f>IF(J28&lt;&gt;0,M28/J28,"")</f>
        <v>0.42907801418439712</v>
      </c>
      <c r="O28" s="23">
        <v>903.17</v>
      </c>
      <c r="P28" s="25">
        <v>288</v>
      </c>
      <c r="Q28" s="24">
        <v>463.65999999999997</v>
      </c>
      <c r="R28" s="24">
        <f>O28-Q28</f>
        <v>439.51</v>
      </c>
      <c r="S28" s="53">
        <f>IF(O28&lt;&gt;0,R28/O28,"")</f>
        <v>0.48663042395119416</v>
      </c>
      <c r="T28" s="10"/>
      <c r="U28" s="23">
        <v>884.73</v>
      </c>
      <c r="V28" s="25">
        <v>288</v>
      </c>
      <c r="W28" s="24">
        <v>463.65999999999997</v>
      </c>
      <c r="X28" s="24">
        <f>U28-W28</f>
        <v>421.07000000000005</v>
      </c>
      <c r="Y28" s="53">
        <f>IF(U28&lt;&gt;0,X28/U28,"")</f>
        <v>0.47593050987306867</v>
      </c>
      <c r="Z28" s="23">
        <v>0</v>
      </c>
      <c r="AA28" s="25">
        <v>0</v>
      </c>
      <c r="AB28" s="24">
        <v>0</v>
      </c>
      <c r="AC28" s="24">
        <f t="shared" si="1"/>
        <v>0</v>
      </c>
      <c r="AD28" s="53" t="str">
        <f t="shared" si="2"/>
        <v/>
      </c>
      <c r="AE28" s="10"/>
    </row>
    <row r="29" spans="1:31" x14ac:dyDescent="0.25">
      <c r="A29" s="14" t="s">
        <v>109</v>
      </c>
      <c r="C29" s="61" t="str">
        <f t="shared" si="0"/>
        <v>C100008</v>
      </c>
      <c r="F29" s="8" t="str">
        <f>"C100023"</f>
        <v>C100023</v>
      </c>
      <c r="G29" s="9" t="str">
        <f>"Two-Toned Knit Hat"</f>
        <v>Two-Toned Knit Hat</v>
      </c>
      <c r="H29" s="47"/>
      <c r="I29" s="47"/>
      <c r="J29" s="23">
        <v>351.19</v>
      </c>
      <c r="K29" s="25">
        <v>144</v>
      </c>
      <c r="L29" s="24">
        <v>181.43</v>
      </c>
      <c r="M29" s="24">
        <f>J29-L29</f>
        <v>169.76</v>
      </c>
      <c r="N29" s="53">
        <f>IF(J29&lt;&gt;0,M29/J29,"")</f>
        <v>0.48338506221703348</v>
      </c>
      <c r="O29" s="23">
        <v>374.34000000000003</v>
      </c>
      <c r="P29" s="25">
        <v>144</v>
      </c>
      <c r="Q29" s="24">
        <v>181.43</v>
      </c>
      <c r="R29" s="24">
        <f>O29-Q29</f>
        <v>192.91000000000003</v>
      </c>
      <c r="S29" s="53">
        <f>IF(O29&lt;&gt;0,R29/O29,"")</f>
        <v>0.51533365389752639</v>
      </c>
      <c r="T29" s="10"/>
      <c r="U29" s="23">
        <v>0</v>
      </c>
      <c r="V29" s="25">
        <v>0</v>
      </c>
      <c r="W29" s="24">
        <v>0</v>
      </c>
      <c r="X29" s="24">
        <f>U29-W29</f>
        <v>0</v>
      </c>
      <c r="Y29" s="53" t="str">
        <f>IF(U29&lt;&gt;0,X29/U29,"")</f>
        <v/>
      </c>
      <c r="Z29" s="23">
        <v>0</v>
      </c>
      <c r="AA29" s="25">
        <v>0</v>
      </c>
      <c r="AB29" s="24">
        <v>0</v>
      </c>
      <c r="AC29" s="24">
        <f t="shared" si="1"/>
        <v>0</v>
      </c>
      <c r="AD29" s="53" t="str">
        <f t="shared" si="2"/>
        <v/>
      </c>
      <c r="AE29" s="10"/>
    </row>
    <row r="30" spans="1:31" x14ac:dyDescent="0.25">
      <c r="A30" s="14" t="s">
        <v>109</v>
      </c>
      <c r="C30" s="61" t="str">
        <f t="shared" si="0"/>
        <v>C100008</v>
      </c>
      <c r="F30" s="8" t="str">
        <f>"C100024"</f>
        <v>C100024</v>
      </c>
      <c r="G30" s="9" t="str">
        <f>"Knit Hat with Bill"</f>
        <v>Knit Hat with Bill</v>
      </c>
      <c r="H30" s="47"/>
      <c r="I30" s="47"/>
      <c r="J30" s="23">
        <v>4.8499999999999996</v>
      </c>
      <c r="K30" s="25">
        <v>1</v>
      </c>
      <c r="L30" s="24">
        <v>3</v>
      </c>
      <c r="M30" s="24">
        <f>J30-L30</f>
        <v>1.8499999999999996</v>
      </c>
      <c r="N30" s="53">
        <f>IF(J30&lt;&gt;0,M30/J30,"")</f>
        <v>0.38144329896907214</v>
      </c>
      <c r="O30" s="23">
        <v>1507.1599999999999</v>
      </c>
      <c r="P30" s="25">
        <v>288</v>
      </c>
      <c r="Q30" s="24">
        <v>863.99</v>
      </c>
      <c r="R30" s="24">
        <f>O30-Q30</f>
        <v>643.16999999999985</v>
      </c>
      <c r="S30" s="53">
        <f>IF(O30&lt;&gt;0,R30/O30,"")</f>
        <v>0.42674301334961112</v>
      </c>
      <c r="T30" s="10"/>
      <c r="U30" s="23">
        <v>743.41</v>
      </c>
      <c r="V30" s="25">
        <v>145</v>
      </c>
      <c r="W30" s="24">
        <v>434.99999999999994</v>
      </c>
      <c r="X30" s="24">
        <f>U30-W30</f>
        <v>308.41000000000003</v>
      </c>
      <c r="Y30" s="53">
        <f>IF(U30&lt;&gt;0,X30/U30,"")</f>
        <v>0.41485855718916886</v>
      </c>
      <c r="Z30" s="23">
        <v>0</v>
      </c>
      <c r="AA30" s="25">
        <v>0</v>
      </c>
      <c r="AB30" s="24">
        <v>0</v>
      </c>
      <c r="AC30" s="24">
        <f t="shared" si="1"/>
        <v>0</v>
      </c>
      <c r="AD30" s="53" t="str">
        <f t="shared" si="2"/>
        <v/>
      </c>
      <c r="AE30" s="10"/>
    </row>
    <row r="31" spans="1:31" x14ac:dyDescent="0.25">
      <c r="A31" s="14" t="s">
        <v>109</v>
      </c>
      <c r="C31" s="61" t="str">
        <f t="shared" si="0"/>
        <v>C100008</v>
      </c>
      <c r="F31" s="8" t="str">
        <f>"C100025"</f>
        <v>C100025</v>
      </c>
      <c r="G31" s="9" t="str">
        <f>"Striped Knit Hat"</f>
        <v>Striped Knit Hat</v>
      </c>
      <c r="H31" s="47"/>
      <c r="I31" s="47"/>
      <c r="J31" s="23">
        <v>33.08</v>
      </c>
      <c r="K31" s="25">
        <v>12</v>
      </c>
      <c r="L31" s="24">
        <v>16.559999999999999</v>
      </c>
      <c r="M31" s="24">
        <f>J31-L31</f>
        <v>16.52</v>
      </c>
      <c r="N31" s="53">
        <f>IF(J31&lt;&gt;0,M31/J31,"")</f>
        <v>0.49939540507859737</v>
      </c>
      <c r="O31" s="23">
        <v>420.53000000000003</v>
      </c>
      <c r="P31" s="25">
        <v>144</v>
      </c>
      <c r="Q31" s="24">
        <v>198.72</v>
      </c>
      <c r="R31" s="24">
        <f>O31-Q31</f>
        <v>221.81000000000003</v>
      </c>
      <c r="S31" s="53">
        <f>IF(O31&lt;&gt;0,R31/O31,"")</f>
        <v>0.52745345159679458</v>
      </c>
      <c r="T31" s="10"/>
      <c r="U31" s="23">
        <v>0</v>
      </c>
      <c r="V31" s="25">
        <v>0</v>
      </c>
      <c r="W31" s="24">
        <v>0</v>
      </c>
      <c r="X31" s="24">
        <f>U31-W31</f>
        <v>0</v>
      </c>
      <c r="Y31" s="53" t="str">
        <f>IF(U31&lt;&gt;0,X31/U31,"")</f>
        <v/>
      </c>
      <c r="Z31" s="23">
        <v>420.53000000000003</v>
      </c>
      <c r="AA31" s="25">
        <v>144</v>
      </c>
      <c r="AB31" s="24">
        <v>198.72</v>
      </c>
      <c r="AC31" s="24">
        <f t="shared" si="1"/>
        <v>221.81000000000003</v>
      </c>
      <c r="AD31" s="53">
        <f t="shared" si="2"/>
        <v>0.52745345159679458</v>
      </c>
      <c r="AE31" s="10"/>
    </row>
    <row r="32" spans="1:31" x14ac:dyDescent="0.25">
      <c r="A32" s="14" t="s">
        <v>109</v>
      </c>
      <c r="C32" s="61" t="str">
        <f t="shared" si="0"/>
        <v>C100008</v>
      </c>
      <c r="F32" s="8" t="str">
        <f>"C100026"</f>
        <v>C100026</v>
      </c>
      <c r="G32" s="9" t="str">
        <f>"Fleece Beanie"</f>
        <v>Fleece Beanie</v>
      </c>
      <c r="H32" s="47"/>
      <c r="I32" s="47"/>
      <c r="J32" s="23">
        <v>408.84000000000003</v>
      </c>
      <c r="K32" s="25">
        <v>144</v>
      </c>
      <c r="L32" s="24">
        <v>287.99</v>
      </c>
      <c r="M32" s="24">
        <f>J32-L32</f>
        <v>120.85000000000002</v>
      </c>
      <c r="N32" s="53">
        <f>IF(J32&lt;&gt;0,M32/J32,"")</f>
        <v>0.2955924077878877</v>
      </c>
      <c r="O32" s="23">
        <v>440.29999999999995</v>
      </c>
      <c r="P32" s="25">
        <v>144</v>
      </c>
      <c r="Q32" s="24">
        <v>287.99</v>
      </c>
      <c r="R32" s="24">
        <f>O32-Q32</f>
        <v>152.30999999999995</v>
      </c>
      <c r="S32" s="53">
        <f>IF(O32&lt;&gt;0,R32/O32,"")</f>
        <v>0.34592323415852821</v>
      </c>
      <c r="T32" s="10"/>
      <c r="U32" s="23">
        <v>440.29</v>
      </c>
      <c r="V32" s="25">
        <v>144</v>
      </c>
      <c r="W32" s="24">
        <v>287.99</v>
      </c>
      <c r="X32" s="24">
        <f>U32-W32</f>
        <v>152.30000000000001</v>
      </c>
      <c r="Y32" s="53">
        <f>IF(U32&lt;&gt;0,X32/U32,"")</f>
        <v>0.34590837856867068</v>
      </c>
      <c r="Z32" s="23">
        <v>440.29</v>
      </c>
      <c r="AA32" s="25">
        <v>144</v>
      </c>
      <c r="AB32" s="24">
        <v>287.99</v>
      </c>
      <c r="AC32" s="24">
        <f t="shared" si="1"/>
        <v>152.30000000000001</v>
      </c>
      <c r="AD32" s="53">
        <f t="shared" si="2"/>
        <v>0.34590837856867068</v>
      </c>
      <c r="AE32" s="10"/>
    </row>
    <row r="33" spans="1:31" x14ac:dyDescent="0.25">
      <c r="A33" s="14" t="s">
        <v>109</v>
      </c>
      <c r="C33" s="61" t="str">
        <f t="shared" si="0"/>
        <v>C100008</v>
      </c>
      <c r="F33" s="8" t="str">
        <f>"C100027"</f>
        <v>C100027</v>
      </c>
      <c r="G33" s="9" t="str">
        <f>"Pique Visor"</f>
        <v>Pique Visor</v>
      </c>
      <c r="H33" s="47"/>
      <c r="I33" s="47"/>
      <c r="J33" s="23">
        <v>33.409999999999997</v>
      </c>
      <c r="K33" s="25">
        <v>6</v>
      </c>
      <c r="L33" s="24">
        <v>18.72</v>
      </c>
      <c r="M33" s="24">
        <f>J33-L33</f>
        <v>14.689999999999998</v>
      </c>
      <c r="N33" s="53">
        <f>IF(J33&lt;&gt;0,M33/J33,"")</f>
        <v>0.43968871595330739</v>
      </c>
      <c r="O33" s="23">
        <v>884.18</v>
      </c>
      <c r="P33" s="25">
        <v>144</v>
      </c>
      <c r="Q33" s="24">
        <v>449.29</v>
      </c>
      <c r="R33" s="24">
        <f>O33-Q33</f>
        <v>434.88999999999993</v>
      </c>
      <c r="S33" s="53">
        <f>IF(O33&lt;&gt;0,R33/O33,"")</f>
        <v>0.49185686172498805</v>
      </c>
      <c r="T33" s="10"/>
      <c r="U33" s="23">
        <v>276.51</v>
      </c>
      <c r="V33" s="25">
        <v>48</v>
      </c>
      <c r="W33" s="24">
        <v>149.76</v>
      </c>
      <c r="X33" s="24">
        <f>U33-W33</f>
        <v>126.75</v>
      </c>
      <c r="Y33" s="53">
        <f>IF(U33&lt;&gt;0,X33/U33,"")</f>
        <v>0.45839210155148097</v>
      </c>
      <c r="Z33" s="23">
        <v>74.430000000000007</v>
      </c>
      <c r="AA33" s="25">
        <v>12</v>
      </c>
      <c r="AB33" s="24">
        <v>37.44</v>
      </c>
      <c r="AC33" s="24">
        <f t="shared" si="1"/>
        <v>36.990000000000009</v>
      </c>
      <c r="AD33" s="53">
        <f t="shared" si="2"/>
        <v>0.49697702539298677</v>
      </c>
      <c r="AE33" s="10"/>
    </row>
    <row r="34" spans="1:31" x14ac:dyDescent="0.25">
      <c r="A34" s="14" t="s">
        <v>109</v>
      </c>
      <c r="C34" s="61" t="str">
        <f t="shared" si="0"/>
        <v>C100008</v>
      </c>
      <c r="F34" s="8" t="str">
        <f>"C100028"</f>
        <v>C100028</v>
      </c>
      <c r="G34" s="9" t="str">
        <f>"Twill Visor"</f>
        <v>Twill Visor</v>
      </c>
      <c r="H34" s="47"/>
      <c r="I34" s="47"/>
      <c r="J34" s="23">
        <v>111.61999999999999</v>
      </c>
      <c r="K34" s="25">
        <v>24</v>
      </c>
      <c r="L34" s="24">
        <v>57.6</v>
      </c>
      <c r="M34" s="24">
        <f>J34-L34</f>
        <v>54.019999999999989</v>
      </c>
      <c r="N34" s="53">
        <f>IF(J34&lt;&gt;0,M34/J34,"")</f>
        <v>0.48396344741085823</v>
      </c>
      <c r="O34" s="23">
        <v>0</v>
      </c>
      <c r="P34" s="25">
        <v>0</v>
      </c>
      <c r="Q34" s="24">
        <v>0</v>
      </c>
      <c r="R34" s="24">
        <f>O34-Q34</f>
        <v>0</v>
      </c>
      <c r="S34" s="53" t="str">
        <f>IF(O34&lt;&gt;0,R34/O34,"")</f>
        <v/>
      </c>
      <c r="T34" s="10"/>
      <c r="U34" s="23">
        <v>0</v>
      </c>
      <c r="V34" s="25">
        <v>0</v>
      </c>
      <c r="W34" s="24">
        <v>0</v>
      </c>
      <c r="X34" s="24">
        <f>U34-W34</f>
        <v>0</v>
      </c>
      <c r="Y34" s="53" t="str">
        <f>IF(U34&lt;&gt;0,X34/U34,"")</f>
        <v/>
      </c>
      <c r="Z34" s="23">
        <v>0</v>
      </c>
      <c r="AA34" s="25">
        <v>0</v>
      </c>
      <c r="AB34" s="24">
        <v>0</v>
      </c>
      <c r="AC34" s="24">
        <f t="shared" si="1"/>
        <v>0</v>
      </c>
      <c r="AD34" s="53" t="str">
        <f t="shared" si="2"/>
        <v/>
      </c>
      <c r="AE34" s="10"/>
    </row>
    <row r="35" spans="1:31" x14ac:dyDescent="0.25">
      <c r="A35" s="14" t="s">
        <v>109</v>
      </c>
      <c r="C35" s="61" t="str">
        <f t="shared" si="0"/>
        <v>C100008</v>
      </c>
      <c r="F35" s="8" t="str">
        <f>"C100029"</f>
        <v>C100029</v>
      </c>
      <c r="G35" s="9" t="str">
        <f>"Distressed Twill Visor"</f>
        <v>Distressed Twill Visor</v>
      </c>
      <c r="H35" s="47"/>
      <c r="I35" s="47"/>
      <c r="J35" s="23">
        <v>3.01</v>
      </c>
      <c r="K35" s="25">
        <v>1</v>
      </c>
      <c r="L35" s="24">
        <v>2.0699999999999998</v>
      </c>
      <c r="M35" s="24">
        <f>J35-L35</f>
        <v>0.94</v>
      </c>
      <c r="N35" s="53">
        <f>IF(J35&lt;&gt;0,M35/J35,"")</f>
        <v>0.3122923588039867</v>
      </c>
      <c r="O35" s="23">
        <v>482.62</v>
      </c>
      <c r="P35" s="25">
        <v>144</v>
      </c>
      <c r="Q35" s="24">
        <v>298.09000000000003</v>
      </c>
      <c r="R35" s="24">
        <f>O35-Q35</f>
        <v>184.52999999999997</v>
      </c>
      <c r="S35" s="53">
        <f>IF(O35&lt;&gt;0,R35/O35,"")</f>
        <v>0.38235050350171973</v>
      </c>
      <c r="T35" s="10"/>
      <c r="U35" s="23">
        <v>955.4</v>
      </c>
      <c r="V35" s="25">
        <v>288</v>
      </c>
      <c r="W35" s="24">
        <v>596.18000000000006</v>
      </c>
      <c r="X35" s="24">
        <f>U35-W35</f>
        <v>359.21999999999991</v>
      </c>
      <c r="Y35" s="53">
        <f>IF(U35&lt;&gt;0,X35/U35,"")</f>
        <v>0.37598911450701267</v>
      </c>
      <c r="Z35" s="23">
        <v>0</v>
      </c>
      <c r="AA35" s="25">
        <v>0</v>
      </c>
      <c r="AB35" s="24">
        <v>0</v>
      </c>
      <c r="AC35" s="24">
        <f t="shared" si="1"/>
        <v>0</v>
      </c>
      <c r="AD35" s="53" t="str">
        <f t="shared" si="2"/>
        <v/>
      </c>
      <c r="AE35" s="10"/>
    </row>
    <row r="36" spans="1:31" x14ac:dyDescent="0.25">
      <c r="A36" s="14" t="s">
        <v>109</v>
      </c>
      <c r="C36" s="61" t="str">
        <f t="shared" si="0"/>
        <v>C100008</v>
      </c>
      <c r="F36" s="8" t="str">
        <f>"C100030"</f>
        <v>C100030</v>
      </c>
      <c r="G36" s="9" t="str">
        <f>"Fashion Visor"</f>
        <v>Fashion Visor</v>
      </c>
      <c r="H36" s="47"/>
      <c r="I36" s="47"/>
      <c r="J36" s="23">
        <v>3.97</v>
      </c>
      <c r="K36" s="25">
        <v>1</v>
      </c>
      <c r="L36" s="24">
        <v>2.42</v>
      </c>
      <c r="M36" s="24">
        <f>J36-L36</f>
        <v>1.5500000000000003</v>
      </c>
      <c r="N36" s="53">
        <f>IF(J36&lt;&gt;0,M36/J36,"")</f>
        <v>0.39042821158690183</v>
      </c>
      <c r="O36" s="23">
        <v>0</v>
      </c>
      <c r="P36" s="25">
        <v>0</v>
      </c>
      <c r="Q36" s="24">
        <v>0</v>
      </c>
      <c r="R36" s="24">
        <f>O36-Q36</f>
        <v>0</v>
      </c>
      <c r="S36" s="53" t="str">
        <f>IF(O36&lt;&gt;0,R36/O36,"")</f>
        <v/>
      </c>
      <c r="T36" s="10"/>
      <c r="U36" s="23">
        <v>0</v>
      </c>
      <c r="V36" s="25">
        <v>0</v>
      </c>
      <c r="W36" s="24">
        <v>0</v>
      </c>
      <c r="X36" s="24">
        <f>U36-W36</f>
        <v>0</v>
      </c>
      <c r="Y36" s="53" t="str">
        <f>IF(U36&lt;&gt;0,X36/U36,"")</f>
        <v/>
      </c>
      <c r="Z36" s="23">
        <v>0</v>
      </c>
      <c r="AA36" s="25">
        <v>0</v>
      </c>
      <c r="AB36" s="24">
        <v>0</v>
      </c>
      <c r="AC36" s="24">
        <f t="shared" si="1"/>
        <v>0</v>
      </c>
      <c r="AD36" s="53" t="str">
        <f t="shared" si="2"/>
        <v/>
      </c>
      <c r="AE36" s="10"/>
    </row>
    <row r="37" spans="1:31" x14ac:dyDescent="0.25">
      <c r="A37" s="14" t="s">
        <v>109</v>
      </c>
      <c r="C37" s="61" t="str">
        <f t="shared" si="0"/>
        <v>C100008</v>
      </c>
      <c r="F37" s="8" t="str">
        <f>"C100031"</f>
        <v>C100031</v>
      </c>
      <c r="G37" s="9" t="str">
        <f>"Carabiner Watch"</f>
        <v>Carabiner Watch</v>
      </c>
      <c r="H37" s="47"/>
      <c r="I37" s="47"/>
      <c r="J37" s="23">
        <v>36.630000000000003</v>
      </c>
      <c r="K37" s="25">
        <v>2</v>
      </c>
      <c r="L37" s="24">
        <v>17.16</v>
      </c>
      <c r="M37" s="24">
        <f>J37-L37</f>
        <v>19.470000000000002</v>
      </c>
      <c r="N37" s="53">
        <f>IF(J37&lt;&gt;0,M37/J37,"")</f>
        <v>0.53153153153153154</v>
      </c>
      <c r="O37" s="23">
        <v>0</v>
      </c>
      <c r="P37" s="25">
        <v>0</v>
      </c>
      <c r="Q37" s="24">
        <v>0</v>
      </c>
      <c r="R37" s="24">
        <f>O37-Q37</f>
        <v>0</v>
      </c>
      <c r="S37" s="53" t="str">
        <f>IF(O37&lt;&gt;0,R37/O37,"")</f>
        <v/>
      </c>
      <c r="T37" s="10"/>
      <c r="U37" s="23">
        <v>2474.04</v>
      </c>
      <c r="V37" s="25">
        <v>144</v>
      </c>
      <c r="W37" s="24">
        <v>1235.52</v>
      </c>
      <c r="X37" s="24">
        <f>U37-W37</f>
        <v>1238.52</v>
      </c>
      <c r="Y37" s="53">
        <f>IF(U37&lt;&gt;0,X37/U37,"")</f>
        <v>0.500606295775331</v>
      </c>
      <c r="Z37" s="23">
        <v>0</v>
      </c>
      <c r="AA37" s="25">
        <v>0</v>
      </c>
      <c r="AB37" s="24">
        <v>0</v>
      </c>
      <c r="AC37" s="24">
        <f t="shared" si="1"/>
        <v>0</v>
      </c>
      <c r="AD37" s="53" t="str">
        <f t="shared" si="2"/>
        <v/>
      </c>
      <c r="AE37" s="10"/>
    </row>
    <row r="38" spans="1:31" x14ac:dyDescent="0.25">
      <c r="A38" s="14" t="s">
        <v>109</v>
      </c>
      <c r="C38" s="61" t="str">
        <f t="shared" si="0"/>
        <v>C100008</v>
      </c>
      <c r="F38" s="8" t="str">
        <f>"C100032"</f>
        <v>C100032</v>
      </c>
      <c r="G38" s="9" t="str">
        <f>"Clip-on Clock"</f>
        <v>Clip-on Clock</v>
      </c>
      <c r="H38" s="47"/>
      <c r="I38" s="47"/>
      <c r="J38" s="23">
        <v>7.51</v>
      </c>
      <c r="K38" s="25">
        <v>1</v>
      </c>
      <c r="L38" s="24">
        <v>4.16</v>
      </c>
      <c r="M38" s="24">
        <f>J38-L38</f>
        <v>3.3499999999999996</v>
      </c>
      <c r="N38" s="53">
        <f>IF(J38&lt;&gt;0,M38/J38,"")</f>
        <v>0.44607190412782954</v>
      </c>
      <c r="O38" s="23">
        <v>1150.96</v>
      </c>
      <c r="P38" s="25">
        <v>144</v>
      </c>
      <c r="Q38" s="24">
        <v>599.05000000000007</v>
      </c>
      <c r="R38" s="24">
        <f>O38-Q38</f>
        <v>551.91</v>
      </c>
      <c r="S38" s="53">
        <f>IF(O38&lt;&gt;0,R38/O38,"")</f>
        <v>0.47952144296934729</v>
      </c>
      <c r="T38" s="10"/>
      <c r="U38" s="23">
        <v>0</v>
      </c>
      <c r="V38" s="25">
        <v>0</v>
      </c>
      <c r="W38" s="24">
        <v>0</v>
      </c>
      <c r="X38" s="24">
        <f>U38-W38</f>
        <v>0</v>
      </c>
      <c r="Y38" s="53" t="str">
        <f>IF(U38&lt;&gt;0,X38/U38,"")</f>
        <v/>
      </c>
      <c r="Z38" s="23">
        <v>0</v>
      </c>
      <c r="AA38" s="25">
        <v>0</v>
      </c>
      <c r="AB38" s="24">
        <v>0</v>
      </c>
      <c r="AC38" s="24">
        <f t="shared" si="1"/>
        <v>0</v>
      </c>
      <c r="AD38" s="53" t="str">
        <f t="shared" si="2"/>
        <v/>
      </c>
      <c r="AE38" s="10"/>
    </row>
    <row r="39" spans="1:31" x14ac:dyDescent="0.25">
      <c r="A39" s="14" t="s">
        <v>109</v>
      </c>
      <c r="C39" s="61" t="str">
        <f t="shared" si="0"/>
        <v>C100008</v>
      </c>
      <c r="F39" s="8" t="str">
        <f>"E100011"</f>
        <v>E100011</v>
      </c>
      <c r="G39" s="9" t="str">
        <f>"Plastic Sun Visor"</f>
        <v>Plastic Sun Visor</v>
      </c>
      <c r="H39" s="47"/>
      <c r="I39" s="47"/>
      <c r="J39" s="23">
        <v>1.52</v>
      </c>
      <c r="K39" s="25">
        <v>2</v>
      </c>
      <c r="L39" s="24">
        <v>0.84</v>
      </c>
      <c r="M39" s="24">
        <f>J39-L39</f>
        <v>0.68</v>
      </c>
      <c r="N39" s="53">
        <f>IF(J39&lt;&gt;0,M39/J39,"")</f>
        <v>0.44736842105263158</v>
      </c>
      <c r="O39" s="23">
        <v>114.71000000000001</v>
      </c>
      <c r="P39" s="25">
        <v>146</v>
      </c>
      <c r="Q39" s="24">
        <v>61.31</v>
      </c>
      <c r="R39" s="24">
        <f>O39-Q39</f>
        <v>53.400000000000006</v>
      </c>
      <c r="S39" s="53">
        <f>IF(O39&lt;&gt;0,R39/O39,"")</f>
        <v>0.4655217505012641</v>
      </c>
      <c r="T39" s="10"/>
      <c r="U39" s="23">
        <v>0.73</v>
      </c>
      <c r="V39" s="25">
        <v>1</v>
      </c>
      <c r="W39" s="24">
        <v>0.42</v>
      </c>
      <c r="X39" s="24">
        <f>U39-W39</f>
        <v>0.31</v>
      </c>
      <c r="Y39" s="53">
        <f>IF(U39&lt;&gt;0,X39/U39,"")</f>
        <v>0.42465753424657537</v>
      </c>
      <c r="Z39" s="23">
        <v>114.31</v>
      </c>
      <c r="AA39" s="25">
        <v>144</v>
      </c>
      <c r="AB39" s="24">
        <v>60.470000000000006</v>
      </c>
      <c r="AC39" s="24">
        <f t="shared" si="1"/>
        <v>53.839999999999996</v>
      </c>
      <c r="AD39" s="53">
        <f t="shared" si="2"/>
        <v>0.47099991251858975</v>
      </c>
      <c r="AE39" s="10"/>
    </row>
    <row r="40" spans="1:31" x14ac:dyDescent="0.25">
      <c r="A40" s="14" t="s">
        <v>109</v>
      </c>
      <c r="C40" s="61" t="str">
        <f t="shared" si="0"/>
        <v>C100008</v>
      </c>
      <c r="F40" s="8" t="str">
        <f>"E100012"</f>
        <v>E100012</v>
      </c>
      <c r="G40" s="9" t="str">
        <f>"Canvas Stopwatch"</f>
        <v>Canvas Stopwatch</v>
      </c>
      <c r="H40" s="47"/>
      <c r="I40" s="47"/>
      <c r="J40" s="23">
        <v>969.7</v>
      </c>
      <c r="K40" s="25">
        <v>288</v>
      </c>
      <c r="L40" s="24">
        <v>564.45999999999992</v>
      </c>
      <c r="M40" s="24">
        <f>J40-L40</f>
        <v>405.24000000000012</v>
      </c>
      <c r="N40" s="53">
        <f>IF(J40&lt;&gt;0,M40/J40,"")</f>
        <v>0.41790244405486243</v>
      </c>
      <c r="O40" s="23">
        <v>543.9</v>
      </c>
      <c r="P40" s="25">
        <v>150</v>
      </c>
      <c r="Q40" s="24">
        <v>293.99</v>
      </c>
      <c r="R40" s="24">
        <f>O40-Q40</f>
        <v>249.90999999999997</v>
      </c>
      <c r="S40" s="53">
        <f>IF(O40&lt;&gt;0,R40/O40,"")</f>
        <v>0.45947784519213086</v>
      </c>
      <c r="T40" s="10"/>
      <c r="U40" s="23">
        <v>0</v>
      </c>
      <c r="V40" s="25">
        <v>0</v>
      </c>
      <c r="W40" s="24">
        <v>0</v>
      </c>
      <c r="X40" s="24">
        <f>U40-W40</f>
        <v>0</v>
      </c>
      <c r="Y40" s="53" t="str">
        <f>IF(U40&lt;&gt;0,X40/U40,"")</f>
        <v/>
      </c>
      <c r="Z40" s="23">
        <v>1044.28</v>
      </c>
      <c r="AA40" s="25">
        <v>288</v>
      </c>
      <c r="AB40" s="24">
        <v>564.45999999999992</v>
      </c>
      <c r="AC40" s="24">
        <f t="shared" si="1"/>
        <v>479.82000000000005</v>
      </c>
      <c r="AD40" s="53">
        <f t="shared" si="2"/>
        <v>0.45947447044853879</v>
      </c>
      <c r="AE40" s="10"/>
    </row>
    <row r="41" spans="1:31" x14ac:dyDescent="0.25">
      <c r="A41" s="14" t="s">
        <v>109</v>
      </c>
      <c r="C41" s="61" t="str">
        <f t="shared" si="0"/>
        <v>C100008</v>
      </c>
      <c r="F41" s="8" t="str">
        <f>"E100013"</f>
        <v>E100013</v>
      </c>
      <c r="G41" s="9" t="str">
        <f>"Clip-on Stopwatch"</f>
        <v>Clip-on Stopwatch</v>
      </c>
      <c r="H41" s="47"/>
      <c r="I41" s="47"/>
      <c r="J41" s="23">
        <v>0</v>
      </c>
      <c r="K41" s="25">
        <v>0</v>
      </c>
      <c r="L41" s="24">
        <v>0</v>
      </c>
      <c r="M41" s="24">
        <f>J41-L41</f>
        <v>0</v>
      </c>
      <c r="N41" s="53" t="str">
        <f>IF(J41&lt;&gt;0,M41/J41,"")</f>
        <v/>
      </c>
      <c r="O41" s="23">
        <v>388.18000000000006</v>
      </c>
      <c r="P41" s="25">
        <v>145</v>
      </c>
      <c r="Q41" s="24">
        <v>208.79</v>
      </c>
      <c r="R41" s="24">
        <f>O41-Q41</f>
        <v>179.39000000000007</v>
      </c>
      <c r="S41" s="53">
        <f>IF(O41&lt;&gt;0,R41/O41,"")</f>
        <v>0.46213097016847865</v>
      </c>
      <c r="T41" s="10"/>
      <c r="U41" s="23">
        <v>381.53</v>
      </c>
      <c r="V41" s="25">
        <v>144</v>
      </c>
      <c r="W41" s="24">
        <v>207.35</v>
      </c>
      <c r="X41" s="24">
        <f>U41-W41</f>
        <v>174.17999999999998</v>
      </c>
      <c r="Y41" s="53">
        <f>IF(U41&lt;&gt;0,X41/U41,"")</f>
        <v>0.45653028595392237</v>
      </c>
      <c r="Z41" s="23">
        <v>0</v>
      </c>
      <c r="AA41" s="25">
        <v>0</v>
      </c>
      <c r="AB41" s="24">
        <v>0</v>
      </c>
      <c r="AC41" s="24">
        <f t="shared" si="1"/>
        <v>0</v>
      </c>
      <c r="AD41" s="53" t="str">
        <f t="shared" si="2"/>
        <v/>
      </c>
      <c r="AE41" s="10"/>
    </row>
    <row r="42" spans="1:31" x14ac:dyDescent="0.25">
      <c r="A42" s="14" t="s">
        <v>109</v>
      </c>
      <c r="C42" s="61" t="str">
        <f t="shared" si="0"/>
        <v>C100008</v>
      </c>
      <c r="F42" s="8" t="str">
        <f>"E100014"</f>
        <v>E100014</v>
      </c>
      <c r="G42" s="9" t="str">
        <f>"Stopwatch with Neck Rope"</f>
        <v>Stopwatch with Neck Rope</v>
      </c>
      <c r="H42" s="47"/>
      <c r="I42" s="47"/>
      <c r="J42" s="23">
        <v>0</v>
      </c>
      <c r="K42" s="25">
        <v>0</v>
      </c>
      <c r="L42" s="24">
        <v>0</v>
      </c>
      <c r="M42" s="24">
        <f>J42-L42</f>
        <v>0</v>
      </c>
      <c r="N42" s="53" t="str">
        <f>IF(J42&lt;&gt;0,M42/J42,"")</f>
        <v/>
      </c>
      <c r="O42" s="23">
        <v>788.2</v>
      </c>
      <c r="P42" s="25">
        <v>294</v>
      </c>
      <c r="Q42" s="24">
        <v>379.24</v>
      </c>
      <c r="R42" s="24">
        <f>O42-Q42</f>
        <v>408.96000000000004</v>
      </c>
      <c r="S42" s="53">
        <f>IF(O42&lt;&gt;0,R42/O42,"")</f>
        <v>0.51885308297386457</v>
      </c>
      <c r="T42" s="10"/>
      <c r="U42" s="23">
        <v>776.4799999999999</v>
      </c>
      <c r="V42" s="25">
        <v>294</v>
      </c>
      <c r="W42" s="24">
        <v>379.22999999999996</v>
      </c>
      <c r="X42" s="24">
        <f>U42-W42</f>
        <v>397.24999999999994</v>
      </c>
      <c r="Y42" s="53">
        <f>IF(U42&lt;&gt;0,X42/U42,"")</f>
        <v>0.51160364722851848</v>
      </c>
      <c r="Z42" s="23">
        <v>0</v>
      </c>
      <c r="AA42" s="25">
        <v>0</v>
      </c>
      <c r="AB42" s="24">
        <v>0</v>
      </c>
      <c r="AC42" s="24">
        <f t="shared" si="1"/>
        <v>0</v>
      </c>
      <c r="AD42" s="53" t="str">
        <f t="shared" si="2"/>
        <v/>
      </c>
      <c r="AE42" s="10"/>
    </row>
    <row r="43" spans="1:31" x14ac:dyDescent="0.25">
      <c r="A43" s="14" t="s">
        <v>109</v>
      </c>
      <c r="C43" s="61" t="str">
        <f t="shared" si="0"/>
        <v>C100008</v>
      </c>
      <c r="F43" s="8" t="str">
        <f>"E100015"</f>
        <v>E100015</v>
      </c>
      <c r="G43" s="9" t="str">
        <f>"360 Clip Watch"</f>
        <v>360 Clip Watch</v>
      </c>
      <c r="H43" s="47"/>
      <c r="I43" s="47"/>
      <c r="J43" s="23">
        <v>281.72000000000003</v>
      </c>
      <c r="K43" s="25">
        <v>144</v>
      </c>
      <c r="L43" s="24">
        <v>146.88</v>
      </c>
      <c r="M43" s="24">
        <f>J43-L43</f>
        <v>134.84000000000003</v>
      </c>
      <c r="N43" s="53">
        <f>IF(J43&lt;&gt;0,M43/J43,"")</f>
        <v>0.47863126508590098</v>
      </c>
      <c r="O43" s="23">
        <v>0</v>
      </c>
      <c r="P43" s="25">
        <v>0</v>
      </c>
      <c r="Q43" s="24">
        <v>0</v>
      </c>
      <c r="R43" s="24">
        <f>O43-Q43</f>
        <v>0</v>
      </c>
      <c r="S43" s="53" t="str">
        <f>IF(O43&lt;&gt;0,R43/O43,"")</f>
        <v/>
      </c>
      <c r="T43" s="10"/>
      <c r="U43" s="23">
        <v>331.26</v>
      </c>
      <c r="V43" s="25">
        <v>168</v>
      </c>
      <c r="W43" s="24">
        <v>171.36</v>
      </c>
      <c r="X43" s="24">
        <f>U43-W43</f>
        <v>159.89999999999998</v>
      </c>
      <c r="Y43" s="53">
        <f>IF(U43&lt;&gt;0,X43/U43,"")</f>
        <v>0.48270240898387967</v>
      </c>
      <c r="Z43" s="23">
        <v>303.39</v>
      </c>
      <c r="AA43" s="25">
        <v>144</v>
      </c>
      <c r="AB43" s="24">
        <v>146.88</v>
      </c>
      <c r="AC43" s="24">
        <f t="shared" si="1"/>
        <v>156.51</v>
      </c>
      <c r="AD43" s="53">
        <f t="shared" si="2"/>
        <v>0.51587066152477012</v>
      </c>
      <c r="AE43" s="10"/>
    </row>
    <row r="44" spans="1:31" x14ac:dyDescent="0.25">
      <c r="A44" s="14" t="s">
        <v>109</v>
      </c>
      <c r="C44" s="61" t="str">
        <f t="shared" si="0"/>
        <v>C100008</v>
      </c>
      <c r="F44" s="8" t="str">
        <f>"E100017"</f>
        <v>E100017</v>
      </c>
      <c r="G44" s="9" t="str">
        <f>"Clip-on Clock with Compass"</f>
        <v>Clip-on Clock with Compass</v>
      </c>
      <c r="H44" s="47"/>
      <c r="I44" s="47"/>
      <c r="J44" s="23">
        <v>0</v>
      </c>
      <c r="K44" s="25">
        <v>0</v>
      </c>
      <c r="L44" s="24">
        <v>0</v>
      </c>
      <c r="M44" s="24">
        <f>J44-L44</f>
        <v>0</v>
      </c>
      <c r="N44" s="53" t="str">
        <f>IF(J44&lt;&gt;0,M44/J44,"")</f>
        <v/>
      </c>
      <c r="O44" s="23">
        <v>217.89</v>
      </c>
      <c r="P44" s="25">
        <v>144</v>
      </c>
      <c r="Q44" s="24">
        <v>126.72</v>
      </c>
      <c r="R44" s="24">
        <f>O44-Q44</f>
        <v>91.169999999999987</v>
      </c>
      <c r="S44" s="53">
        <f>IF(O44&lt;&gt;0,R44/O44,"")</f>
        <v>0.41842213961173064</v>
      </c>
      <c r="T44" s="10"/>
      <c r="U44" s="23">
        <v>207.32000000000002</v>
      </c>
      <c r="V44" s="25">
        <v>146</v>
      </c>
      <c r="W44" s="24">
        <v>128.47999999999999</v>
      </c>
      <c r="X44" s="24">
        <f>U44-W44</f>
        <v>78.840000000000032</v>
      </c>
      <c r="Y44" s="53">
        <f>IF(U44&lt;&gt;0,X44/U44,"")</f>
        <v>0.38028169014084517</v>
      </c>
      <c r="Z44" s="23">
        <v>0</v>
      </c>
      <c r="AA44" s="25">
        <v>0</v>
      </c>
      <c r="AB44" s="24">
        <v>0</v>
      </c>
      <c r="AC44" s="24">
        <f t="shared" si="1"/>
        <v>0</v>
      </c>
      <c r="AD44" s="53" t="str">
        <f t="shared" si="2"/>
        <v/>
      </c>
      <c r="AE44" s="10"/>
    </row>
    <row r="45" spans="1:31" x14ac:dyDescent="0.25">
      <c r="A45" s="14" t="s">
        <v>109</v>
      </c>
      <c r="C45" s="61" t="str">
        <f t="shared" si="0"/>
        <v>C100008</v>
      </c>
      <c r="F45" s="8" t="str">
        <f>"E100018"</f>
        <v>E100018</v>
      </c>
      <c r="G45" s="9" t="str">
        <f>"Flexi-Clock &amp; Clip"</f>
        <v>Flexi-Clock &amp; Clip</v>
      </c>
      <c r="H45" s="47"/>
      <c r="I45" s="47"/>
      <c r="J45" s="23">
        <v>145.22</v>
      </c>
      <c r="K45" s="25">
        <v>146</v>
      </c>
      <c r="L45" s="24">
        <v>87.59</v>
      </c>
      <c r="M45" s="24">
        <f>J45-L45</f>
        <v>57.629999999999995</v>
      </c>
      <c r="N45" s="53">
        <f>IF(J45&lt;&gt;0,M45/J45,"")</f>
        <v>0.39684616444015974</v>
      </c>
      <c r="O45" s="23">
        <v>2.2200000000000002</v>
      </c>
      <c r="P45" s="25">
        <v>2</v>
      </c>
      <c r="Q45" s="24">
        <v>1.2</v>
      </c>
      <c r="R45" s="24">
        <f>O45-Q45</f>
        <v>1.0200000000000002</v>
      </c>
      <c r="S45" s="53">
        <f>IF(O45&lt;&gt;0,R45/O45,"")</f>
        <v>0.45945945945945954</v>
      </c>
      <c r="T45" s="10"/>
      <c r="U45" s="23">
        <v>156.21</v>
      </c>
      <c r="V45" s="25">
        <v>144</v>
      </c>
      <c r="W45" s="24">
        <v>86.39</v>
      </c>
      <c r="X45" s="24">
        <f>U45-W45</f>
        <v>69.820000000000007</v>
      </c>
      <c r="Y45" s="53">
        <f>IF(U45&lt;&gt;0,X45/U45,"")</f>
        <v>0.44696242238012934</v>
      </c>
      <c r="Z45" s="23">
        <v>0</v>
      </c>
      <c r="AA45" s="25">
        <v>0</v>
      </c>
      <c r="AB45" s="24">
        <v>0</v>
      </c>
      <c r="AC45" s="24">
        <f t="shared" si="1"/>
        <v>0</v>
      </c>
      <c r="AD45" s="53" t="str">
        <f t="shared" si="2"/>
        <v/>
      </c>
      <c r="AE45" s="10"/>
    </row>
    <row r="46" spans="1:31" x14ac:dyDescent="0.25">
      <c r="A46" s="14" t="s">
        <v>109</v>
      </c>
      <c r="C46" s="61" t="str">
        <f t="shared" si="0"/>
        <v>C100008</v>
      </c>
      <c r="F46" s="8" t="str">
        <f>"S100001"</f>
        <v>S100001</v>
      </c>
      <c r="G46" s="9" t="str">
        <f>"Basketball Graphic Plaque"</f>
        <v>Basketball Graphic Plaque</v>
      </c>
      <c r="H46" s="47"/>
      <c r="I46" s="47"/>
      <c r="J46" s="23">
        <v>2338.25</v>
      </c>
      <c r="K46" s="25">
        <v>144</v>
      </c>
      <c r="L46" s="24">
        <v>1310.4000000000001</v>
      </c>
      <c r="M46" s="24">
        <f>J46-L46</f>
        <v>1027.8499999999999</v>
      </c>
      <c r="N46" s="53">
        <f>IF(J46&lt;&gt;0,M46/J46,"")</f>
        <v>0.43958088313909971</v>
      </c>
      <c r="O46" s="23">
        <v>2338.25</v>
      </c>
      <c r="P46" s="25">
        <v>144</v>
      </c>
      <c r="Q46" s="24">
        <v>1310.4000000000001</v>
      </c>
      <c r="R46" s="24">
        <f>O46-Q46</f>
        <v>1027.8499999999999</v>
      </c>
      <c r="S46" s="53">
        <f>IF(O46&lt;&gt;0,R46/O46,"")</f>
        <v>0.43958088313909971</v>
      </c>
      <c r="T46" s="10"/>
      <c r="U46" s="23">
        <v>2193.6099999999997</v>
      </c>
      <c r="V46" s="25">
        <v>144</v>
      </c>
      <c r="W46" s="24">
        <v>1310.4000000000001</v>
      </c>
      <c r="X46" s="24">
        <f>U46-W46</f>
        <v>883.20999999999958</v>
      </c>
      <c r="Y46" s="53">
        <f>IF(U46&lt;&gt;0,X46/U46,"")</f>
        <v>0.40262854381590152</v>
      </c>
      <c r="Z46" s="23">
        <v>0</v>
      </c>
      <c r="AA46" s="25">
        <v>0</v>
      </c>
      <c r="AB46" s="24">
        <v>0</v>
      </c>
      <c r="AC46" s="24">
        <f t="shared" si="1"/>
        <v>0</v>
      </c>
      <c r="AD46" s="53" t="str">
        <f t="shared" si="2"/>
        <v/>
      </c>
      <c r="AE46" s="10"/>
    </row>
    <row r="47" spans="1:31" x14ac:dyDescent="0.25">
      <c r="A47" s="14" t="s">
        <v>109</v>
      </c>
      <c r="C47" s="61" t="str">
        <f t="shared" si="0"/>
        <v>C100008</v>
      </c>
      <c r="F47" s="8" t="str">
        <f>"S100002"</f>
        <v>S100002</v>
      </c>
      <c r="G47" s="9" t="str">
        <f>"Football Graphic Plaque"</f>
        <v>Football Graphic Plaque</v>
      </c>
      <c r="H47" s="47"/>
      <c r="I47" s="47"/>
      <c r="J47" s="23">
        <v>0</v>
      </c>
      <c r="K47" s="25">
        <v>0</v>
      </c>
      <c r="L47" s="24">
        <v>0</v>
      </c>
      <c r="M47" s="24">
        <f>J47-L47</f>
        <v>0</v>
      </c>
      <c r="N47" s="53" t="str">
        <f>IF(J47&lt;&gt;0,M47/J47,"")</f>
        <v/>
      </c>
      <c r="O47" s="23">
        <v>3489.8900000000003</v>
      </c>
      <c r="P47" s="25">
        <v>144</v>
      </c>
      <c r="Q47" s="24">
        <v>1712.1699999999998</v>
      </c>
      <c r="R47" s="24">
        <f>O47-Q47</f>
        <v>1777.7200000000005</v>
      </c>
      <c r="S47" s="53">
        <f>IF(O47&lt;&gt;0,R47/O47,"")</f>
        <v>0.50939141348294659</v>
      </c>
      <c r="T47" s="10"/>
      <c r="U47" s="23">
        <v>0</v>
      </c>
      <c r="V47" s="25">
        <v>0</v>
      </c>
      <c r="W47" s="24">
        <v>0</v>
      </c>
      <c r="X47" s="24">
        <f>U47-W47</f>
        <v>0</v>
      </c>
      <c r="Y47" s="53" t="str">
        <f>IF(U47&lt;&gt;0,X47/U47,"")</f>
        <v/>
      </c>
      <c r="Z47" s="23">
        <v>0</v>
      </c>
      <c r="AA47" s="25">
        <v>0</v>
      </c>
      <c r="AB47" s="24">
        <v>0</v>
      </c>
      <c r="AC47" s="24">
        <f t="shared" si="1"/>
        <v>0</v>
      </c>
      <c r="AD47" s="53" t="str">
        <f t="shared" si="2"/>
        <v/>
      </c>
      <c r="AE47" s="10"/>
    </row>
    <row r="48" spans="1:31" x14ac:dyDescent="0.25">
      <c r="A48" s="14" t="s">
        <v>109</v>
      </c>
      <c r="C48" s="61" t="str">
        <f t="shared" si="0"/>
        <v>C100008</v>
      </c>
      <c r="F48" s="8" t="str">
        <f>"S100005"</f>
        <v>S100005</v>
      </c>
      <c r="G48" s="9" t="str">
        <f>"Award Medallian - 2.5''"</f>
        <v>Award Medallian - 2.5''</v>
      </c>
      <c r="H48" s="47"/>
      <c r="I48" s="47"/>
      <c r="J48" s="23">
        <v>0</v>
      </c>
      <c r="K48" s="25">
        <v>0</v>
      </c>
      <c r="L48" s="24">
        <v>0</v>
      </c>
      <c r="M48" s="24">
        <f>J48-L48</f>
        <v>0</v>
      </c>
      <c r="N48" s="53" t="str">
        <f>IF(J48&lt;&gt;0,M48/J48,"")</f>
        <v/>
      </c>
      <c r="O48" s="23">
        <v>1223.51</v>
      </c>
      <c r="P48" s="25">
        <v>144</v>
      </c>
      <c r="Q48" s="24">
        <v>751.69</v>
      </c>
      <c r="R48" s="24">
        <f>O48-Q48</f>
        <v>471.81999999999994</v>
      </c>
      <c r="S48" s="53">
        <f>IF(O48&lt;&gt;0,R48/O48,"")</f>
        <v>0.38562823352485875</v>
      </c>
      <c r="T48" s="10"/>
      <c r="U48" s="23">
        <v>1223.51</v>
      </c>
      <c r="V48" s="25">
        <v>144</v>
      </c>
      <c r="W48" s="24">
        <v>751.69</v>
      </c>
      <c r="X48" s="24">
        <f>U48-W48</f>
        <v>471.81999999999994</v>
      </c>
      <c r="Y48" s="53">
        <f>IF(U48&lt;&gt;0,X48/U48,"")</f>
        <v>0.38562823352485875</v>
      </c>
      <c r="Z48" s="23">
        <v>1223.51</v>
      </c>
      <c r="AA48" s="25">
        <v>144</v>
      </c>
      <c r="AB48" s="24">
        <v>751.69</v>
      </c>
      <c r="AC48" s="24">
        <f t="shared" si="1"/>
        <v>471.81999999999994</v>
      </c>
      <c r="AD48" s="53">
        <f t="shared" si="2"/>
        <v>0.38562823352485875</v>
      </c>
      <c r="AE48" s="10"/>
    </row>
    <row r="49" spans="1:31" x14ac:dyDescent="0.25">
      <c r="A49" s="14" t="s">
        <v>109</v>
      </c>
      <c r="C49" s="61" t="str">
        <f t="shared" si="0"/>
        <v>C100008</v>
      </c>
      <c r="F49" s="8" t="str">
        <f>"S100006"</f>
        <v>S100006</v>
      </c>
      <c r="G49" s="9" t="str">
        <f>"Award Medallian - 3''"</f>
        <v>Award Medallian - 3''</v>
      </c>
      <c r="H49" s="47"/>
      <c r="I49" s="47"/>
      <c r="J49" s="23">
        <v>481.53000000000003</v>
      </c>
      <c r="K49" s="25">
        <v>48</v>
      </c>
      <c r="L49" s="24">
        <v>355.2</v>
      </c>
      <c r="M49" s="24">
        <f>J49-L49</f>
        <v>126.33000000000004</v>
      </c>
      <c r="N49" s="53">
        <f>IF(J49&lt;&gt;0,M49/J49,"")</f>
        <v>0.26235125537349707</v>
      </c>
      <c r="O49" s="23">
        <v>1608.77</v>
      </c>
      <c r="P49" s="25">
        <v>144</v>
      </c>
      <c r="Q49" s="24">
        <v>1065.5900000000001</v>
      </c>
      <c r="R49" s="24">
        <f>O49-Q49</f>
        <v>543.17999999999984</v>
      </c>
      <c r="S49" s="53">
        <f>IF(O49&lt;&gt;0,R49/O49,"")</f>
        <v>0.33763682813578066</v>
      </c>
      <c r="T49" s="10"/>
      <c r="U49" s="23">
        <v>1608.77</v>
      </c>
      <c r="V49" s="25">
        <v>144</v>
      </c>
      <c r="W49" s="24">
        <v>1065.5900000000001</v>
      </c>
      <c r="X49" s="24">
        <f>U49-W49</f>
        <v>543.17999999999984</v>
      </c>
      <c r="Y49" s="53">
        <f>IF(U49&lt;&gt;0,X49/U49,"")</f>
        <v>0.33763682813578066</v>
      </c>
      <c r="Z49" s="23">
        <v>1608.77</v>
      </c>
      <c r="AA49" s="25">
        <v>144</v>
      </c>
      <c r="AB49" s="24">
        <v>1065.5900000000001</v>
      </c>
      <c r="AC49" s="24">
        <f t="shared" si="1"/>
        <v>543.17999999999984</v>
      </c>
      <c r="AD49" s="53">
        <f t="shared" si="2"/>
        <v>0.33763682813578066</v>
      </c>
      <c r="AE49" s="10"/>
    </row>
    <row r="50" spans="1:31" x14ac:dyDescent="0.25">
      <c r="A50" s="14" t="s">
        <v>109</v>
      </c>
      <c r="C50" s="61" t="str">
        <f t="shared" si="0"/>
        <v>C100008</v>
      </c>
      <c r="F50" s="8" t="str">
        <f>"S100007"</f>
        <v>S100007</v>
      </c>
      <c r="G50" s="9" t="str">
        <f>"Baseball Figure Trophy"</f>
        <v>Baseball Figure Trophy</v>
      </c>
      <c r="H50" s="47"/>
      <c r="I50" s="47"/>
      <c r="J50" s="23">
        <v>6.72</v>
      </c>
      <c r="K50" s="25">
        <v>1</v>
      </c>
      <c r="L50" s="24">
        <v>3.68</v>
      </c>
      <c r="M50" s="24">
        <f>J50-L50</f>
        <v>3.0399999999999996</v>
      </c>
      <c r="N50" s="53">
        <f>IF(J50&lt;&gt;0,M50/J50,"")</f>
        <v>0.45238095238095233</v>
      </c>
      <c r="O50" s="23">
        <v>0</v>
      </c>
      <c r="P50" s="25">
        <v>0</v>
      </c>
      <c r="Q50" s="24">
        <v>0</v>
      </c>
      <c r="R50" s="24">
        <f>O50-Q50</f>
        <v>0</v>
      </c>
      <c r="S50" s="53" t="str">
        <f>IF(O50&lt;&gt;0,R50/O50,"")</f>
        <v/>
      </c>
      <c r="T50" s="10"/>
      <c r="U50" s="23">
        <v>170.48</v>
      </c>
      <c r="V50" s="25">
        <v>24</v>
      </c>
      <c r="W50" s="24">
        <v>88.32</v>
      </c>
      <c r="X50" s="24">
        <f>U50-W50</f>
        <v>82.16</v>
      </c>
      <c r="Y50" s="53">
        <f>IF(U50&lt;&gt;0,X50/U50,"")</f>
        <v>0.48193336461755043</v>
      </c>
      <c r="Z50" s="23">
        <v>0</v>
      </c>
      <c r="AA50" s="25">
        <v>0</v>
      </c>
      <c r="AB50" s="24">
        <v>0</v>
      </c>
      <c r="AC50" s="24">
        <f t="shared" si="1"/>
        <v>0</v>
      </c>
      <c r="AD50" s="53" t="str">
        <f t="shared" si="2"/>
        <v/>
      </c>
      <c r="AE50" s="10"/>
    </row>
    <row r="51" spans="1:31" x14ac:dyDescent="0.25">
      <c r="A51" s="14" t="s">
        <v>109</v>
      </c>
      <c r="C51" s="61" t="str">
        <f t="shared" si="0"/>
        <v>C100008</v>
      </c>
      <c r="F51" s="8" t="str">
        <f>"S100008"</f>
        <v>S100008</v>
      </c>
      <c r="G51" s="9" t="str">
        <f>"Soccer Figure Trophy"</f>
        <v>Soccer Figure Trophy</v>
      </c>
      <c r="H51" s="47"/>
      <c r="I51" s="47"/>
      <c r="J51" s="23">
        <v>250.07</v>
      </c>
      <c r="K51" s="25">
        <v>48</v>
      </c>
      <c r="L51" s="24">
        <v>176.64</v>
      </c>
      <c r="M51" s="24">
        <f>J51-L51</f>
        <v>73.430000000000007</v>
      </c>
      <c r="N51" s="53">
        <f>IF(J51&lt;&gt;0,M51/J51,"")</f>
        <v>0.29363778142120212</v>
      </c>
      <c r="O51" s="23">
        <v>826.90000000000009</v>
      </c>
      <c r="P51" s="25">
        <v>144</v>
      </c>
      <c r="Q51" s="24">
        <v>529.91999999999996</v>
      </c>
      <c r="R51" s="24">
        <f>O51-Q51</f>
        <v>296.98000000000013</v>
      </c>
      <c r="S51" s="53">
        <f>IF(O51&lt;&gt;0,R51/O51,"")</f>
        <v>0.35914862740355558</v>
      </c>
      <c r="T51" s="10"/>
      <c r="U51" s="23">
        <v>0</v>
      </c>
      <c r="V51" s="25">
        <v>0</v>
      </c>
      <c r="W51" s="24">
        <v>0</v>
      </c>
      <c r="X51" s="24">
        <f>U51-W51</f>
        <v>0</v>
      </c>
      <c r="Y51" s="53" t="str">
        <f>IF(U51&lt;&gt;0,X51/U51,"")</f>
        <v/>
      </c>
      <c r="Z51" s="23">
        <v>841.24</v>
      </c>
      <c r="AA51" s="25">
        <v>145</v>
      </c>
      <c r="AB51" s="24">
        <v>533.6</v>
      </c>
      <c r="AC51" s="24">
        <f t="shared" si="1"/>
        <v>307.64</v>
      </c>
      <c r="AD51" s="53">
        <f t="shared" si="2"/>
        <v>0.36569825495696828</v>
      </c>
      <c r="AE51" s="10"/>
    </row>
    <row r="52" spans="1:31" x14ac:dyDescent="0.25">
      <c r="A52" s="14" t="s">
        <v>109</v>
      </c>
      <c r="C52" s="61" t="str">
        <f t="shared" si="0"/>
        <v>C100008</v>
      </c>
      <c r="F52" s="8" t="str">
        <f>"S100009"</f>
        <v>S100009</v>
      </c>
      <c r="G52" s="9" t="str">
        <f>"Engraved Basketball Award"</f>
        <v>Engraved Basketball Award</v>
      </c>
      <c r="H52" s="47"/>
      <c r="I52" s="47"/>
      <c r="J52" s="23">
        <v>2508.1</v>
      </c>
      <c r="K52" s="25">
        <v>144</v>
      </c>
      <c r="L52" s="24">
        <v>1270.07</v>
      </c>
      <c r="M52" s="24">
        <f>J52-L52</f>
        <v>1238.03</v>
      </c>
      <c r="N52" s="53">
        <f>IF(J52&lt;&gt;0,M52/J52,"")</f>
        <v>0.49361269486862563</v>
      </c>
      <c r="O52" s="23">
        <v>0</v>
      </c>
      <c r="P52" s="25">
        <v>0</v>
      </c>
      <c r="Q52" s="24">
        <v>0</v>
      </c>
      <c r="R52" s="24">
        <f>O52-Q52</f>
        <v>0</v>
      </c>
      <c r="S52" s="53" t="str">
        <f>IF(O52&lt;&gt;0,R52/O52,"")</f>
        <v/>
      </c>
      <c r="T52" s="10"/>
      <c r="U52" s="23">
        <v>0</v>
      </c>
      <c r="V52" s="25">
        <v>0</v>
      </c>
      <c r="W52" s="24">
        <v>0</v>
      </c>
      <c r="X52" s="24">
        <f>U52-W52</f>
        <v>0</v>
      </c>
      <c r="Y52" s="53" t="str">
        <f>IF(U52&lt;&gt;0,X52/U52,"")</f>
        <v/>
      </c>
      <c r="Z52" s="23">
        <v>2926.12</v>
      </c>
      <c r="AA52" s="25">
        <v>156</v>
      </c>
      <c r="AB52" s="24">
        <v>1375.9099999999999</v>
      </c>
      <c r="AC52" s="24">
        <f t="shared" si="1"/>
        <v>1550.21</v>
      </c>
      <c r="AD52" s="53">
        <f t="shared" si="2"/>
        <v>0.52978346752696404</v>
      </c>
      <c r="AE52" s="10"/>
    </row>
    <row r="53" spans="1:31" x14ac:dyDescent="0.25">
      <c r="A53" s="14" t="s">
        <v>109</v>
      </c>
      <c r="C53" s="61" t="str">
        <f t="shared" si="0"/>
        <v>C100008</v>
      </c>
      <c r="F53" s="8" t="str">
        <f>"S100010"</f>
        <v>S100010</v>
      </c>
      <c r="G53" s="9" t="str">
        <f>"Golf Relaxed Cap"</f>
        <v>Golf Relaxed Cap</v>
      </c>
      <c r="H53" s="47"/>
      <c r="I53" s="47"/>
      <c r="J53" s="23">
        <v>2652.34</v>
      </c>
      <c r="K53" s="25">
        <v>288</v>
      </c>
      <c r="L53" s="24">
        <v>1753.94</v>
      </c>
      <c r="M53" s="24">
        <f>J53-L53</f>
        <v>898.40000000000009</v>
      </c>
      <c r="N53" s="53">
        <f>IF(J53&lt;&gt;0,M53/J53,"")</f>
        <v>0.33871977197493536</v>
      </c>
      <c r="O53" s="23">
        <v>0</v>
      </c>
      <c r="P53" s="25">
        <v>0</v>
      </c>
      <c r="Q53" s="24">
        <v>0</v>
      </c>
      <c r="R53" s="24">
        <f>O53-Q53</f>
        <v>0</v>
      </c>
      <c r="S53" s="53" t="str">
        <f>IF(O53&lt;&gt;0,R53/O53,"")</f>
        <v/>
      </c>
      <c r="T53" s="10"/>
      <c r="U53" s="23">
        <v>3319.1600000000003</v>
      </c>
      <c r="V53" s="25">
        <v>336</v>
      </c>
      <c r="W53" s="24">
        <v>2046.2700000000002</v>
      </c>
      <c r="X53" s="24">
        <f>U53-W53</f>
        <v>1272.8900000000001</v>
      </c>
      <c r="Y53" s="53">
        <f>IF(U53&lt;&gt;0,X53/U53,"")</f>
        <v>0.38349763193097047</v>
      </c>
      <c r="Z53" s="23">
        <v>0</v>
      </c>
      <c r="AA53" s="25">
        <v>0</v>
      </c>
      <c r="AB53" s="24">
        <v>0</v>
      </c>
      <c r="AC53" s="24">
        <f t="shared" si="1"/>
        <v>0</v>
      </c>
      <c r="AD53" s="53" t="str">
        <f t="shared" si="2"/>
        <v/>
      </c>
      <c r="AE53" s="10"/>
    </row>
    <row r="54" spans="1:31" x14ac:dyDescent="0.25">
      <c r="A54" s="14" t="s">
        <v>109</v>
      </c>
      <c r="C54" s="61" t="str">
        <f t="shared" si="0"/>
        <v>C100008</v>
      </c>
      <c r="F54" s="8" t="str">
        <f>"S100011"</f>
        <v>S100011</v>
      </c>
      <c r="G54" s="9" t="str">
        <f>"All Star Cap"</f>
        <v>All Star Cap</v>
      </c>
      <c r="H54" s="47"/>
      <c r="I54" s="47"/>
      <c r="J54" s="23">
        <v>0</v>
      </c>
      <c r="K54" s="25">
        <v>0</v>
      </c>
      <c r="L54" s="24">
        <v>0</v>
      </c>
      <c r="M54" s="24">
        <f>J54-L54</f>
        <v>0</v>
      </c>
      <c r="N54" s="53" t="str">
        <f>IF(J54&lt;&gt;0,M54/J54,"")</f>
        <v/>
      </c>
      <c r="O54" s="23">
        <v>202.52999999999997</v>
      </c>
      <c r="P54" s="25">
        <v>144</v>
      </c>
      <c r="Q54" s="24">
        <v>122.41</v>
      </c>
      <c r="R54" s="24">
        <f>O54-Q54</f>
        <v>80.119999999999976</v>
      </c>
      <c r="S54" s="53">
        <f>IF(O54&lt;&gt;0,R54/O54,"")</f>
        <v>0.39559571421517792</v>
      </c>
      <c r="T54" s="10"/>
      <c r="U54" s="23">
        <v>0</v>
      </c>
      <c r="V54" s="25">
        <v>0</v>
      </c>
      <c r="W54" s="24">
        <v>0</v>
      </c>
      <c r="X54" s="24">
        <f>U54-W54</f>
        <v>0</v>
      </c>
      <c r="Y54" s="53" t="str">
        <f>IF(U54&lt;&gt;0,X54/U54,"")</f>
        <v/>
      </c>
      <c r="Z54" s="23">
        <v>0</v>
      </c>
      <c r="AA54" s="25">
        <v>0</v>
      </c>
      <c r="AB54" s="24">
        <v>0</v>
      </c>
      <c r="AC54" s="24">
        <f t="shared" si="1"/>
        <v>0</v>
      </c>
      <c r="AD54" s="53" t="str">
        <f t="shared" si="2"/>
        <v/>
      </c>
      <c r="AE54" s="10"/>
    </row>
    <row r="55" spans="1:31" x14ac:dyDescent="0.25">
      <c r="A55" s="14" t="s">
        <v>109</v>
      </c>
      <c r="C55" s="61" t="str">
        <f t="shared" si="0"/>
        <v>C100008</v>
      </c>
      <c r="F55" s="8" t="str">
        <f>"S100012"</f>
        <v>S100012</v>
      </c>
      <c r="G55" s="9" t="str">
        <f>"Raw-Edge Patch BALL CAP"</f>
        <v>Raw-Edge Patch BALL CAP</v>
      </c>
      <c r="H55" s="47"/>
      <c r="I55" s="47"/>
      <c r="J55" s="23">
        <v>1376.23</v>
      </c>
      <c r="K55" s="25">
        <v>145</v>
      </c>
      <c r="L55" s="24">
        <v>813.44999999999993</v>
      </c>
      <c r="M55" s="24">
        <f>J55-L55</f>
        <v>562.78000000000009</v>
      </c>
      <c r="N55" s="53">
        <f>IF(J55&lt;&gt;0,M55/J55,"")</f>
        <v>0.40892874010884817</v>
      </c>
      <c r="O55" s="23">
        <v>1471.8799999999999</v>
      </c>
      <c r="P55" s="25">
        <v>144</v>
      </c>
      <c r="Q55" s="24">
        <v>807.83999999999992</v>
      </c>
      <c r="R55" s="24">
        <f>O55-Q55</f>
        <v>664.04</v>
      </c>
      <c r="S55" s="53">
        <f>IF(O55&lt;&gt;0,R55/O55,"")</f>
        <v>0.45115090904149796</v>
      </c>
      <c r="T55" s="10"/>
      <c r="U55" s="23">
        <v>0</v>
      </c>
      <c r="V55" s="25">
        <v>0</v>
      </c>
      <c r="W55" s="24">
        <v>0</v>
      </c>
      <c r="X55" s="24">
        <f>U55-W55</f>
        <v>0</v>
      </c>
      <c r="Y55" s="53" t="str">
        <f>IF(U55&lt;&gt;0,X55/U55,"")</f>
        <v/>
      </c>
      <c r="Z55" s="23">
        <v>1471.8799999999999</v>
      </c>
      <c r="AA55" s="25">
        <v>144</v>
      </c>
      <c r="AB55" s="24">
        <v>807.83999999999992</v>
      </c>
      <c r="AC55" s="24">
        <f t="shared" si="1"/>
        <v>664.04</v>
      </c>
      <c r="AD55" s="53">
        <f t="shared" si="2"/>
        <v>0.45115090904149796</v>
      </c>
      <c r="AE55" s="10"/>
    </row>
    <row r="56" spans="1:31" x14ac:dyDescent="0.25">
      <c r="A56" s="14" t="s">
        <v>109</v>
      </c>
      <c r="C56" s="61" t="str">
        <f t="shared" si="0"/>
        <v>C100008</v>
      </c>
      <c r="F56" s="8" t="str">
        <f>"S100013"</f>
        <v>S100013</v>
      </c>
      <c r="G56" s="9" t="str">
        <f>"Mesh BALL CAP"</f>
        <v>Mesh BALL CAP</v>
      </c>
      <c r="H56" s="47"/>
      <c r="I56" s="47"/>
      <c r="J56" s="23">
        <v>948.07</v>
      </c>
      <c r="K56" s="25">
        <v>157</v>
      </c>
      <c r="L56" s="24">
        <v>540.09</v>
      </c>
      <c r="M56" s="24">
        <f>J56-L56</f>
        <v>407.98</v>
      </c>
      <c r="N56" s="53">
        <f>IF(J56&lt;&gt;0,M56/J56,"")</f>
        <v>0.43032687459786723</v>
      </c>
      <c r="O56" s="23">
        <v>0</v>
      </c>
      <c r="P56" s="25">
        <v>0</v>
      </c>
      <c r="Q56" s="24">
        <v>0</v>
      </c>
      <c r="R56" s="24">
        <f>O56-Q56</f>
        <v>0</v>
      </c>
      <c r="S56" s="53" t="str">
        <f>IF(O56&lt;&gt;0,R56/O56,"")</f>
        <v/>
      </c>
      <c r="T56" s="10"/>
      <c r="U56" s="23">
        <v>0</v>
      </c>
      <c r="V56" s="25">
        <v>0</v>
      </c>
      <c r="W56" s="24">
        <v>0</v>
      </c>
      <c r="X56" s="24">
        <f>U56-W56</f>
        <v>0</v>
      </c>
      <c r="Y56" s="53" t="str">
        <f>IF(U56&lt;&gt;0,X56/U56,"")</f>
        <v/>
      </c>
      <c r="Z56" s="23">
        <v>931.38999999999987</v>
      </c>
      <c r="AA56" s="25">
        <v>144</v>
      </c>
      <c r="AB56" s="24">
        <v>495.37</v>
      </c>
      <c r="AC56" s="24">
        <f t="shared" si="1"/>
        <v>436.01999999999987</v>
      </c>
      <c r="AD56" s="53">
        <f t="shared" si="2"/>
        <v>0.46813901802682006</v>
      </c>
      <c r="AE56" s="10"/>
    </row>
    <row r="57" spans="1:31" x14ac:dyDescent="0.25">
      <c r="A57" s="14" t="s">
        <v>109</v>
      </c>
      <c r="C57" s="61" t="str">
        <f t="shared" si="0"/>
        <v>C100008</v>
      </c>
      <c r="F57" s="8" t="str">
        <f>"S100016"</f>
        <v>S100016</v>
      </c>
      <c r="G57" s="9" t="str">
        <f>"Mesh Bucket Hat"</f>
        <v>Mesh Bucket Hat</v>
      </c>
      <c r="H57" s="47"/>
      <c r="I57" s="47"/>
      <c r="J57" s="23">
        <v>631.06999999999994</v>
      </c>
      <c r="K57" s="25">
        <v>144</v>
      </c>
      <c r="L57" s="24">
        <v>396.01</v>
      </c>
      <c r="M57" s="24">
        <f>J57-L57</f>
        <v>235.05999999999995</v>
      </c>
      <c r="N57" s="53">
        <f>IF(J57&lt;&gt;0,M57/J57,"")</f>
        <v>0.37247848891565116</v>
      </c>
      <c r="O57" s="23">
        <v>0</v>
      </c>
      <c r="P57" s="25">
        <v>0</v>
      </c>
      <c r="Q57" s="24">
        <v>0</v>
      </c>
      <c r="R57" s="24">
        <f>O57-Q57</f>
        <v>0</v>
      </c>
      <c r="S57" s="53" t="str">
        <f>IF(O57&lt;&gt;0,R57/O57,"")</f>
        <v/>
      </c>
      <c r="T57" s="10"/>
      <c r="U57" s="23">
        <v>1391.21</v>
      </c>
      <c r="V57" s="25">
        <v>288</v>
      </c>
      <c r="W57" s="24">
        <v>792.02</v>
      </c>
      <c r="X57" s="24">
        <f>U57-W57</f>
        <v>599.19000000000005</v>
      </c>
      <c r="Y57" s="53">
        <f>IF(U57&lt;&gt;0,X57/U57,"")</f>
        <v>0.43069701914161057</v>
      </c>
      <c r="Z57" s="23">
        <v>702.77</v>
      </c>
      <c r="AA57" s="25">
        <v>144</v>
      </c>
      <c r="AB57" s="24">
        <v>396.01</v>
      </c>
      <c r="AC57" s="24">
        <f t="shared" si="1"/>
        <v>306.76</v>
      </c>
      <c r="AD57" s="53">
        <f t="shared" si="2"/>
        <v>0.43650127353188101</v>
      </c>
      <c r="AE57" s="10"/>
    </row>
    <row r="58" spans="1:31" x14ac:dyDescent="0.25">
      <c r="A58" s="14" t="s">
        <v>109</v>
      </c>
      <c r="C58" s="61" t="str">
        <f t="shared" si="0"/>
        <v>C100008</v>
      </c>
      <c r="F58" s="8" t="str">
        <f>"S100017"</f>
        <v>S100017</v>
      </c>
      <c r="G58" s="9" t="str">
        <f>"Microfiber Bucket Hat"</f>
        <v>Microfiber Bucket Hat</v>
      </c>
      <c r="H58" s="47"/>
      <c r="I58" s="47"/>
      <c r="J58" s="23">
        <v>318.47000000000003</v>
      </c>
      <c r="K58" s="25">
        <v>49</v>
      </c>
      <c r="L58" s="24">
        <v>233.24</v>
      </c>
      <c r="M58" s="24">
        <f>J58-L58</f>
        <v>85.230000000000018</v>
      </c>
      <c r="N58" s="53">
        <f>IF(J58&lt;&gt;0,M58/J58,"")</f>
        <v>0.26762332401796091</v>
      </c>
      <c r="O58" s="23">
        <v>343.61</v>
      </c>
      <c r="P58" s="25">
        <v>48</v>
      </c>
      <c r="Q58" s="24">
        <v>228.48</v>
      </c>
      <c r="R58" s="24">
        <f>O58-Q58</f>
        <v>115.13000000000002</v>
      </c>
      <c r="S58" s="53">
        <f>IF(O58&lt;&gt;0,R58/O58,"")</f>
        <v>0.33506009720322466</v>
      </c>
      <c r="T58" s="10"/>
      <c r="U58" s="23">
        <v>0</v>
      </c>
      <c r="V58" s="25">
        <v>0</v>
      </c>
      <c r="W58" s="24">
        <v>0</v>
      </c>
      <c r="X58" s="24">
        <f>U58-W58</f>
        <v>0</v>
      </c>
      <c r="Y58" s="53" t="str">
        <f>IF(U58&lt;&gt;0,X58/U58,"")</f>
        <v/>
      </c>
      <c r="Z58" s="23">
        <v>1041.47</v>
      </c>
      <c r="AA58" s="25">
        <v>144</v>
      </c>
      <c r="AB58" s="24">
        <v>685.44</v>
      </c>
      <c r="AC58" s="24">
        <f t="shared" si="1"/>
        <v>356.03</v>
      </c>
      <c r="AD58" s="53">
        <f t="shared" si="2"/>
        <v>0.34185334191095273</v>
      </c>
      <c r="AE58" s="10"/>
    </row>
    <row r="59" spans="1:31" x14ac:dyDescent="0.25">
      <c r="A59" s="14" t="s">
        <v>109</v>
      </c>
      <c r="C59" s="61" t="str">
        <f t="shared" si="0"/>
        <v>C100008</v>
      </c>
      <c r="F59" s="8" t="str">
        <f>"S100018"</f>
        <v>S100018</v>
      </c>
      <c r="G59" s="9" t="str">
        <f>"Crusher Bucket Hat"</f>
        <v>Crusher Bucket Hat</v>
      </c>
      <c r="H59" s="47"/>
      <c r="I59" s="47"/>
      <c r="J59" s="23">
        <v>0</v>
      </c>
      <c r="K59" s="25">
        <v>0</v>
      </c>
      <c r="L59" s="24">
        <v>0</v>
      </c>
      <c r="M59" s="24">
        <f>J59-L59</f>
        <v>0</v>
      </c>
      <c r="N59" s="53" t="str">
        <f>IF(J59&lt;&gt;0,M59/J59,"")</f>
        <v/>
      </c>
      <c r="O59" s="23">
        <v>2094.2200000000003</v>
      </c>
      <c r="P59" s="25">
        <v>288</v>
      </c>
      <c r="Q59" s="24">
        <v>1008</v>
      </c>
      <c r="R59" s="24">
        <f>O59-Q59</f>
        <v>1086.2200000000003</v>
      </c>
      <c r="S59" s="53">
        <f>IF(O59&lt;&gt;0,R59/O59,"")</f>
        <v>0.51867521081834767</v>
      </c>
      <c r="T59" s="10"/>
      <c r="U59" s="23">
        <v>0</v>
      </c>
      <c r="V59" s="25">
        <v>0</v>
      </c>
      <c r="W59" s="24">
        <v>0</v>
      </c>
      <c r="X59" s="24">
        <f>U59-W59</f>
        <v>0</v>
      </c>
      <c r="Y59" s="53" t="str">
        <f>IF(U59&lt;&gt;0,X59/U59,"")</f>
        <v/>
      </c>
      <c r="Z59" s="23">
        <v>0</v>
      </c>
      <c r="AA59" s="25">
        <v>0</v>
      </c>
      <c r="AB59" s="24">
        <v>0</v>
      </c>
      <c r="AC59" s="24">
        <f t="shared" si="1"/>
        <v>0</v>
      </c>
      <c r="AD59" s="53" t="str">
        <f t="shared" si="2"/>
        <v/>
      </c>
      <c r="AE59" s="10"/>
    </row>
    <row r="60" spans="1:31" x14ac:dyDescent="0.25">
      <c r="A60" s="14" t="s">
        <v>109</v>
      </c>
      <c r="C60" s="61" t="str">
        <f t="shared" si="0"/>
        <v>C100008</v>
      </c>
      <c r="F60" s="8" t="str">
        <f>"S100021"</f>
        <v>S100021</v>
      </c>
      <c r="G60" s="9" t="str">
        <f>"Translucent Stopwatch"</f>
        <v>Translucent Stopwatch</v>
      </c>
      <c r="H60" s="47"/>
      <c r="I60" s="47"/>
      <c r="J60" s="23">
        <v>4.0199999999999996</v>
      </c>
      <c r="K60" s="25">
        <v>1</v>
      </c>
      <c r="L60" s="24">
        <v>2.15</v>
      </c>
      <c r="M60" s="24">
        <f>J60-L60</f>
        <v>1.8699999999999997</v>
      </c>
      <c r="N60" s="53">
        <f>IF(J60&lt;&gt;0,M60/J60,"")</f>
        <v>0.46517412935323382</v>
      </c>
      <c r="O60" s="23">
        <v>0</v>
      </c>
      <c r="P60" s="25">
        <v>0</v>
      </c>
      <c r="Q60" s="24">
        <v>0</v>
      </c>
      <c r="R60" s="24">
        <f>O60-Q60</f>
        <v>0</v>
      </c>
      <c r="S60" s="53" t="str">
        <f>IF(O60&lt;&gt;0,R60/O60,"")</f>
        <v/>
      </c>
      <c r="T60" s="10"/>
      <c r="U60" s="23">
        <v>48.819999999999993</v>
      </c>
      <c r="V60" s="25">
        <v>12</v>
      </c>
      <c r="W60" s="24">
        <v>25.8</v>
      </c>
      <c r="X60" s="24">
        <f>U60-W60</f>
        <v>23.019999999999992</v>
      </c>
      <c r="Y60" s="53">
        <f>IF(U60&lt;&gt;0,X60/U60,"")</f>
        <v>0.47152806226956157</v>
      </c>
      <c r="Z60" s="23">
        <v>0</v>
      </c>
      <c r="AA60" s="25">
        <v>0</v>
      </c>
      <c r="AB60" s="24">
        <v>0</v>
      </c>
      <c r="AC60" s="24">
        <f t="shared" si="1"/>
        <v>0</v>
      </c>
      <c r="AD60" s="53" t="str">
        <f t="shared" si="2"/>
        <v/>
      </c>
      <c r="AE60" s="10"/>
    </row>
    <row r="61" spans="1:31" ht="15.75" thickBot="1" x14ac:dyDescent="0.3">
      <c r="C61" s="61" t="str">
        <f>C22</f>
        <v>C100008</v>
      </c>
      <c r="J61" s="10"/>
      <c r="K61" s="11"/>
      <c r="L61" s="11"/>
      <c r="M61" s="11"/>
      <c r="N61" s="12"/>
      <c r="O61" s="10"/>
      <c r="P61" s="11"/>
      <c r="Q61" s="11"/>
      <c r="R61" s="11"/>
      <c r="S61" s="12"/>
      <c r="U61" s="10"/>
      <c r="V61" s="11"/>
      <c r="W61" s="11"/>
      <c r="X61" s="11"/>
      <c r="Y61" s="12"/>
      <c r="Z61" s="10"/>
      <c r="AA61" s="11"/>
      <c r="AB61" s="11"/>
      <c r="AC61" s="11"/>
      <c r="AD61" s="12"/>
    </row>
    <row r="62" spans="1:31" ht="15.75" thickBot="1" x14ac:dyDescent="0.3">
      <c r="C62" s="61" t="str">
        <f>C61</f>
        <v>C100008</v>
      </c>
      <c r="G62" s="48" t="str">
        <f>C62&amp;" TOTAL:"</f>
        <v>C100008 TOTAL:</v>
      </c>
      <c r="H62" s="50"/>
      <c r="I62" s="50"/>
      <c r="J62" s="34">
        <f>SUBTOTAL(9,J21:J61)</f>
        <v>42599.679999999993</v>
      </c>
      <c r="K62" s="35">
        <f>SUBTOTAL(9,K21:K61)</f>
        <v>2512</v>
      </c>
      <c r="L62" s="36">
        <f>SUBTOTAL(9,L21:L61)</f>
        <v>22986.47</v>
      </c>
      <c r="M62" s="36">
        <f>J62-L62</f>
        <v>19613.209999999992</v>
      </c>
      <c r="N62" s="37">
        <f>IF(J62&lt;&gt;0,M62/J62,"")</f>
        <v>0.46040744907003983</v>
      </c>
      <c r="O62" s="34">
        <f>SUBTOTAL(9,O21:O61)</f>
        <v>34131.31</v>
      </c>
      <c r="P62" s="35">
        <f>SUBTOTAL(9,P21:P61)</f>
        <v>3738</v>
      </c>
      <c r="Q62" s="36">
        <f>SUBTOTAL(9,Q21:Q61)</f>
        <v>17712.04</v>
      </c>
      <c r="R62" s="36">
        <f>O62-Q62</f>
        <v>16419.269999999997</v>
      </c>
      <c r="S62" s="37">
        <f>IF(O62&lt;&gt;0,R62/O62,"")</f>
        <v>0.48106181684793226</v>
      </c>
      <c r="U62" s="34">
        <f>SUBTOTAL(9,U21:U61)</f>
        <v>31041.489999999994</v>
      </c>
      <c r="V62" s="35">
        <f>SUBTOTAL(9,V21:V61)</f>
        <v>3394</v>
      </c>
      <c r="W62" s="36">
        <f>SUBTOTAL(9,W21:W61)</f>
        <v>18557.97</v>
      </c>
      <c r="X62" s="36">
        <f>U62-W62</f>
        <v>12483.519999999993</v>
      </c>
      <c r="Y62" s="37">
        <f>IF(U62&lt;&gt;0,X62/U62,"")</f>
        <v>0.40215595320972014</v>
      </c>
      <c r="Z62" s="34">
        <f>SUBTOTAL(9,Z21:Z61)</f>
        <v>13144.379999999997</v>
      </c>
      <c r="AA62" s="35">
        <f>SUBTOTAL(9,AA21:AA61)</f>
        <v>2041</v>
      </c>
      <c r="AB62" s="36">
        <f>SUBTOTAL(9,AB21:AB61)</f>
        <v>7407.41</v>
      </c>
      <c r="AC62" s="36">
        <f>Z62-AB62</f>
        <v>5736.9699999999975</v>
      </c>
      <c r="AD62" s="37">
        <f>IF(Z62&lt;&gt;0,AC62/Z62,"")</f>
        <v>0.43645801475611617</v>
      </c>
    </row>
    <row r="63" spans="1:31" x14ac:dyDescent="0.25">
      <c r="J63" s="10"/>
      <c r="K63" s="11"/>
      <c r="L63" s="11"/>
      <c r="M63" s="11"/>
      <c r="N63" s="12"/>
      <c r="O63" s="10"/>
      <c r="P63" s="11"/>
      <c r="Q63" s="11"/>
      <c r="R63" s="11"/>
      <c r="S63" s="12"/>
      <c r="U63" s="10"/>
      <c r="V63" s="11"/>
      <c r="W63" s="11"/>
      <c r="X63" s="11"/>
      <c r="Y63" s="12"/>
      <c r="Z63" s="10"/>
      <c r="AA63" s="11"/>
      <c r="AB63" s="11"/>
      <c r="AC63" s="11"/>
      <c r="AD63" s="12"/>
    </row>
    <row r="64" spans="1:31" ht="15.75" x14ac:dyDescent="0.25">
      <c r="A64" s="14" t="s">
        <v>109</v>
      </c>
      <c r="C64" s="66" t="str">
        <f t="shared" ref="C64" si="3">E64</f>
        <v>C100012</v>
      </c>
      <c r="E64" s="13" t="str">
        <f>"C100012"</f>
        <v>C100012</v>
      </c>
      <c r="F64" s="13"/>
      <c r="G64" s="13" t="str">
        <f>"Bainbridges"</f>
        <v>Bainbridges</v>
      </c>
      <c r="H64" s="13"/>
      <c r="I64" s="13"/>
      <c r="J64" s="10"/>
      <c r="K64" s="11"/>
      <c r="L64" s="11"/>
      <c r="M64" s="11"/>
      <c r="N64" s="12"/>
      <c r="O64" s="10"/>
      <c r="P64" s="11"/>
      <c r="Q64" s="11"/>
      <c r="R64" s="11"/>
      <c r="S64" s="12"/>
      <c r="U64" s="10"/>
      <c r="V64" s="11"/>
      <c r="W64" s="11"/>
      <c r="X64" s="11"/>
      <c r="Y64" s="12"/>
      <c r="Z64" s="10"/>
      <c r="AA64" s="11"/>
      <c r="AB64" s="11"/>
      <c r="AC64" s="11"/>
      <c r="AD64" s="12"/>
    </row>
    <row r="65" spans="1:31" ht="6.6" customHeight="1" x14ac:dyDescent="0.25">
      <c r="A65" s="14" t="s">
        <v>109</v>
      </c>
      <c r="C65" s="61" t="str">
        <f t="shared" ref="C65:C107" si="4">C64</f>
        <v>C100012</v>
      </c>
      <c r="J65" s="10"/>
      <c r="K65" s="11"/>
      <c r="L65" s="11"/>
      <c r="M65" s="11"/>
      <c r="N65" s="12"/>
      <c r="O65" s="10"/>
      <c r="P65" s="11"/>
      <c r="Q65" s="11"/>
      <c r="R65" s="11"/>
      <c r="S65" s="12"/>
      <c r="U65" s="10"/>
      <c r="V65" s="11"/>
      <c r="W65" s="11"/>
      <c r="X65" s="11"/>
      <c r="Y65" s="12"/>
      <c r="Z65" s="10"/>
      <c r="AA65" s="11"/>
      <c r="AB65" s="11"/>
      <c r="AC65" s="11"/>
      <c r="AD65" s="12"/>
    </row>
    <row r="66" spans="1:31" x14ac:dyDescent="0.25">
      <c r="A66" s="14" t="s">
        <v>109</v>
      </c>
      <c r="C66" s="61" t="str">
        <f t="shared" si="4"/>
        <v>C100012</v>
      </c>
      <c r="F66" s="8" t="str">
        <f>"C100006"</f>
        <v>C100006</v>
      </c>
      <c r="G66" s="9" t="str">
        <f>"Cherry Finished Crystal Award- Large"</f>
        <v>Cherry Finished Crystal Award- Large</v>
      </c>
      <c r="H66" s="47"/>
      <c r="I66" s="47"/>
      <c r="J66" s="23">
        <v>4917.8</v>
      </c>
      <c r="K66" s="25">
        <v>24</v>
      </c>
      <c r="L66" s="24">
        <v>2280.96</v>
      </c>
      <c r="M66" s="24">
        <f>J66-L66</f>
        <v>2636.84</v>
      </c>
      <c r="N66" s="53">
        <f>IF(J66&lt;&gt;0,M66/J66,"")</f>
        <v>0.53618284598804344</v>
      </c>
      <c r="O66" s="23">
        <v>204.91</v>
      </c>
      <c r="P66" s="25">
        <v>1</v>
      </c>
      <c r="Q66" s="24">
        <v>95.04</v>
      </c>
      <c r="R66" s="24">
        <f>O66-Q66</f>
        <v>109.86999999999999</v>
      </c>
      <c r="S66" s="53">
        <f>IF(O66&lt;&gt;0,R66/O66,"")</f>
        <v>0.5361866185154458</v>
      </c>
      <c r="T66" s="10"/>
      <c r="U66" s="23">
        <v>0</v>
      </c>
      <c r="V66" s="25">
        <v>0</v>
      </c>
      <c r="W66" s="24">
        <v>0</v>
      </c>
      <c r="X66" s="24">
        <f>U66-W66</f>
        <v>0</v>
      </c>
      <c r="Y66" s="53" t="str">
        <f>IF(U66&lt;&gt;0,X66/U66,"")</f>
        <v/>
      </c>
      <c r="Z66" s="23">
        <v>0</v>
      </c>
      <c r="AA66" s="25">
        <v>0</v>
      </c>
      <c r="AB66" s="24">
        <v>0</v>
      </c>
      <c r="AC66" s="24">
        <f t="shared" ref="AC66" si="5">Z66-AB66</f>
        <v>0</v>
      </c>
      <c r="AD66" s="53" t="str">
        <f t="shared" ref="AD66" si="6">IF(Z66&lt;&gt;0,AC66/Z66,"")</f>
        <v/>
      </c>
      <c r="AE66" s="10"/>
    </row>
    <row r="67" spans="1:31" x14ac:dyDescent="0.25">
      <c r="A67" s="14" t="s">
        <v>109</v>
      </c>
      <c r="C67" s="61" t="str">
        <f t="shared" ref="C67:C105" si="7">C66</f>
        <v>C100012</v>
      </c>
      <c r="F67" s="8" t="str">
        <f>"C100014"</f>
        <v>C100014</v>
      </c>
      <c r="G67" s="9" t="str">
        <f>"Canvas Field Bag"</f>
        <v>Canvas Field Bag</v>
      </c>
      <c r="H67" s="47"/>
      <c r="I67" s="47"/>
      <c r="J67" s="23">
        <v>1320.83</v>
      </c>
      <c r="K67" s="25">
        <v>144</v>
      </c>
      <c r="L67" s="24">
        <v>660.96</v>
      </c>
      <c r="M67" s="24">
        <f>J67-L67</f>
        <v>659.86999999999989</v>
      </c>
      <c r="N67" s="53">
        <f>IF(J67&lt;&gt;0,M67/J67,"")</f>
        <v>0.49958738066215935</v>
      </c>
      <c r="O67" s="23">
        <v>0</v>
      </c>
      <c r="P67" s="25">
        <v>0</v>
      </c>
      <c r="Q67" s="24">
        <v>0</v>
      </c>
      <c r="R67" s="24">
        <f>O67-Q67</f>
        <v>0</v>
      </c>
      <c r="S67" s="53" t="str">
        <f>IF(O67&lt;&gt;0,R67/O67,"")</f>
        <v/>
      </c>
      <c r="T67" s="10"/>
      <c r="U67" s="23">
        <v>0</v>
      </c>
      <c r="V67" s="25">
        <v>0</v>
      </c>
      <c r="W67" s="24">
        <v>0</v>
      </c>
      <c r="X67" s="24">
        <f>U67-W67</f>
        <v>0</v>
      </c>
      <c r="Y67" s="53" t="str">
        <f>IF(U67&lt;&gt;0,X67/U67,"")</f>
        <v/>
      </c>
      <c r="Z67" s="23">
        <v>0</v>
      </c>
      <c r="AA67" s="25">
        <v>0</v>
      </c>
      <c r="AB67" s="24">
        <v>0</v>
      </c>
      <c r="AC67" s="24">
        <f t="shared" ref="AC67:AC105" si="8">Z67-AB67</f>
        <v>0</v>
      </c>
      <c r="AD67" s="53" t="str">
        <f t="shared" ref="AD67:AD105" si="9">IF(Z67&lt;&gt;0,AC67/Z67,"")</f>
        <v/>
      </c>
      <c r="AE67" s="10"/>
    </row>
    <row r="68" spans="1:31" x14ac:dyDescent="0.25">
      <c r="A68" s="14" t="s">
        <v>109</v>
      </c>
      <c r="C68" s="61" t="str">
        <f t="shared" si="7"/>
        <v>C100012</v>
      </c>
      <c r="F68" s="8" t="str">
        <f>"C100017"</f>
        <v>C100017</v>
      </c>
      <c r="G68" s="9" t="str">
        <f>"Wheeled Duffel"</f>
        <v>Wheeled Duffel</v>
      </c>
      <c r="H68" s="47"/>
      <c r="I68" s="47"/>
      <c r="J68" s="23">
        <v>4547.12</v>
      </c>
      <c r="K68" s="25">
        <v>24</v>
      </c>
      <c r="L68" s="24">
        <v>2429.2800000000002</v>
      </c>
      <c r="M68" s="24">
        <f>J68-L68</f>
        <v>2117.8399999999997</v>
      </c>
      <c r="N68" s="53">
        <f>IF(J68&lt;&gt;0,M68/J68,"")</f>
        <v>0.46575414768028989</v>
      </c>
      <c r="O68" s="23">
        <v>4547.12</v>
      </c>
      <c r="P68" s="25">
        <v>24</v>
      </c>
      <c r="Q68" s="24">
        <v>2429.2800000000002</v>
      </c>
      <c r="R68" s="24">
        <f>O68-Q68</f>
        <v>2117.8399999999997</v>
      </c>
      <c r="S68" s="53">
        <f>IF(O68&lt;&gt;0,R68/O68,"")</f>
        <v>0.46575414768028989</v>
      </c>
      <c r="T68" s="10"/>
      <c r="U68" s="23">
        <v>0</v>
      </c>
      <c r="V68" s="25">
        <v>0</v>
      </c>
      <c r="W68" s="24">
        <v>0</v>
      </c>
      <c r="X68" s="24">
        <f>U68-W68</f>
        <v>0</v>
      </c>
      <c r="Y68" s="53" t="str">
        <f>IF(U68&lt;&gt;0,X68/U68,"")</f>
        <v/>
      </c>
      <c r="Z68" s="23">
        <v>0</v>
      </c>
      <c r="AA68" s="25">
        <v>0</v>
      </c>
      <c r="AB68" s="24">
        <v>0</v>
      </c>
      <c r="AC68" s="24">
        <f t="shared" si="8"/>
        <v>0</v>
      </c>
      <c r="AD68" s="53" t="str">
        <f t="shared" si="9"/>
        <v/>
      </c>
      <c r="AE68" s="10"/>
    </row>
    <row r="69" spans="1:31" x14ac:dyDescent="0.25">
      <c r="A69" s="14" t="s">
        <v>109</v>
      </c>
      <c r="C69" s="61" t="str">
        <f t="shared" si="7"/>
        <v>C100012</v>
      </c>
      <c r="F69" s="8" t="str">
        <f>"C100018"</f>
        <v>C100018</v>
      </c>
      <c r="G69" s="9" t="str">
        <f>"Action Sport Duffel"</f>
        <v>Action Sport Duffel</v>
      </c>
      <c r="H69" s="47"/>
      <c r="I69" s="47"/>
      <c r="J69" s="23">
        <v>103.53999999999999</v>
      </c>
      <c r="K69" s="25">
        <v>6</v>
      </c>
      <c r="L69" s="24">
        <v>51.3</v>
      </c>
      <c r="M69" s="24">
        <f>J69-L69</f>
        <v>52.239999999999995</v>
      </c>
      <c r="N69" s="53">
        <f>IF(J69&lt;&gt;0,M69/J69,"")</f>
        <v>0.50453930847981454</v>
      </c>
      <c r="O69" s="23">
        <v>0</v>
      </c>
      <c r="P69" s="25">
        <v>0</v>
      </c>
      <c r="Q69" s="24">
        <v>0</v>
      </c>
      <c r="R69" s="24">
        <f>O69-Q69</f>
        <v>0</v>
      </c>
      <c r="S69" s="53" t="str">
        <f>IF(O69&lt;&gt;0,R69/O69,"")</f>
        <v/>
      </c>
      <c r="T69" s="10"/>
      <c r="U69" s="23">
        <v>0</v>
      </c>
      <c r="V69" s="25">
        <v>0</v>
      </c>
      <c r="W69" s="24">
        <v>0</v>
      </c>
      <c r="X69" s="24">
        <f>U69-W69</f>
        <v>0</v>
      </c>
      <c r="Y69" s="53" t="str">
        <f>IF(U69&lt;&gt;0,X69/U69,"")</f>
        <v/>
      </c>
      <c r="Z69" s="23">
        <v>17.260000000000002</v>
      </c>
      <c r="AA69" s="25">
        <v>1</v>
      </c>
      <c r="AB69" s="24">
        <v>8.5500000000000007</v>
      </c>
      <c r="AC69" s="24">
        <f t="shared" si="8"/>
        <v>8.7100000000000009</v>
      </c>
      <c r="AD69" s="53">
        <f t="shared" si="9"/>
        <v>0.50463499420625724</v>
      </c>
      <c r="AE69" s="10"/>
    </row>
    <row r="70" spans="1:31" x14ac:dyDescent="0.25">
      <c r="A70" s="14" t="s">
        <v>109</v>
      </c>
      <c r="C70" s="61" t="str">
        <f t="shared" si="7"/>
        <v>C100012</v>
      </c>
      <c r="F70" s="8" t="str">
        <f>"C100019"</f>
        <v>C100019</v>
      </c>
      <c r="G70" s="9" t="str">
        <f>"Black Duffel Bag"</f>
        <v>Black Duffel Bag</v>
      </c>
      <c r="H70" s="47"/>
      <c r="I70" s="47"/>
      <c r="J70" s="23">
        <v>13263.49</v>
      </c>
      <c r="K70" s="25">
        <v>192</v>
      </c>
      <c r="L70" s="24">
        <v>8202.27</v>
      </c>
      <c r="M70" s="24">
        <f>J70-L70</f>
        <v>5061.2199999999993</v>
      </c>
      <c r="N70" s="53">
        <f>IF(J70&lt;&gt;0,M70/J70,"")</f>
        <v>0.38159036573330241</v>
      </c>
      <c r="O70" s="23">
        <v>0</v>
      </c>
      <c r="P70" s="25">
        <v>0</v>
      </c>
      <c r="Q70" s="24">
        <v>0</v>
      </c>
      <c r="R70" s="24">
        <f>O70-Q70</f>
        <v>0</v>
      </c>
      <c r="S70" s="53" t="str">
        <f>IF(O70&lt;&gt;0,R70/O70,"")</f>
        <v/>
      </c>
      <c r="T70" s="10"/>
      <c r="U70" s="23">
        <v>0</v>
      </c>
      <c r="V70" s="25">
        <v>0</v>
      </c>
      <c r="W70" s="24">
        <v>0</v>
      </c>
      <c r="X70" s="24">
        <f>U70-W70</f>
        <v>0</v>
      </c>
      <c r="Y70" s="53" t="str">
        <f>IF(U70&lt;&gt;0,X70/U70,"")</f>
        <v/>
      </c>
      <c r="Z70" s="23">
        <v>13263.49</v>
      </c>
      <c r="AA70" s="25">
        <v>192</v>
      </c>
      <c r="AB70" s="24">
        <v>8202.27</v>
      </c>
      <c r="AC70" s="24">
        <f t="shared" si="8"/>
        <v>5061.2199999999993</v>
      </c>
      <c r="AD70" s="53">
        <f t="shared" si="9"/>
        <v>0.38159036573330241</v>
      </c>
      <c r="AE70" s="10"/>
    </row>
    <row r="71" spans="1:31" x14ac:dyDescent="0.25">
      <c r="A71" s="14" t="s">
        <v>109</v>
      </c>
      <c r="C71" s="61" t="str">
        <f t="shared" si="7"/>
        <v>C100012</v>
      </c>
      <c r="F71" s="8" t="str">
        <f>"C100020"</f>
        <v>C100020</v>
      </c>
      <c r="G71" s="9" t="str">
        <f>"Gym Locker Bag"</f>
        <v>Gym Locker Bag</v>
      </c>
      <c r="H71" s="47"/>
      <c r="I71" s="47"/>
      <c r="J71" s="23">
        <v>1954.5700000000002</v>
      </c>
      <c r="K71" s="25">
        <v>144</v>
      </c>
      <c r="L71" s="24">
        <v>1114.5600000000002</v>
      </c>
      <c r="M71" s="24">
        <f>J71-L71</f>
        <v>840.01</v>
      </c>
      <c r="N71" s="53">
        <f>IF(J71&lt;&gt;0,M71/J71,"")</f>
        <v>0.42976716106355872</v>
      </c>
      <c r="O71" s="23">
        <v>0</v>
      </c>
      <c r="P71" s="25">
        <v>0</v>
      </c>
      <c r="Q71" s="24">
        <v>0</v>
      </c>
      <c r="R71" s="24">
        <f>O71-Q71</f>
        <v>0</v>
      </c>
      <c r="S71" s="53" t="str">
        <f>IF(O71&lt;&gt;0,R71/O71,"")</f>
        <v/>
      </c>
      <c r="T71" s="10"/>
      <c r="U71" s="23">
        <v>0</v>
      </c>
      <c r="V71" s="25">
        <v>0</v>
      </c>
      <c r="W71" s="24">
        <v>0</v>
      </c>
      <c r="X71" s="24">
        <f>U71-W71</f>
        <v>0</v>
      </c>
      <c r="Y71" s="53" t="str">
        <f>IF(U71&lt;&gt;0,X71/U71,"")</f>
        <v/>
      </c>
      <c r="Z71" s="23">
        <v>3909.16</v>
      </c>
      <c r="AA71" s="25">
        <v>288</v>
      </c>
      <c r="AB71" s="24">
        <v>2229.1200000000003</v>
      </c>
      <c r="AC71" s="24">
        <f t="shared" si="8"/>
        <v>1680.0399999999995</v>
      </c>
      <c r="AD71" s="53">
        <f t="shared" si="9"/>
        <v>0.42977007848233367</v>
      </c>
      <c r="AE71" s="10"/>
    </row>
    <row r="72" spans="1:31" x14ac:dyDescent="0.25">
      <c r="A72" s="14" t="s">
        <v>109</v>
      </c>
      <c r="C72" s="61" t="str">
        <f t="shared" si="7"/>
        <v>C100012</v>
      </c>
      <c r="F72" s="8" t="str">
        <f>"C100021"</f>
        <v>C100021</v>
      </c>
      <c r="G72" s="9" t="str">
        <f>"Canvas Boat Bag"</f>
        <v>Canvas Boat Bag</v>
      </c>
      <c r="H72" s="47"/>
      <c r="I72" s="47"/>
      <c r="J72" s="23">
        <v>4369.16</v>
      </c>
      <c r="K72" s="25">
        <v>432</v>
      </c>
      <c r="L72" s="24">
        <v>2972.1400000000003</v>
      </c>
      <c r="M72" s="24">
        <f>J72-L72</f>
        <v>1397.0199999999995</v>
      </c>
      <c r="N72" s="53">
        <f>IF(J72&lt;&gt;0,M72/J72,"")</f>
        <v>0.3197456719369397</v>
      </c>
      <c r="O72" s="23">
        <v>0</v>
      </c>
      <c r="P72" s="25">
        <v>0</v>
      </c>
      <c r="Q72" s="24">
        <v>0</v>
      </c>
      <c r="R72" s="24">
        <f>O72-Q72</f>
        <v>0</v>
      </c>
      <c r="S72" s="53" t="str">
        <f>IF(O72&lt;&gt;0,R72/O72,"")</f>
        <v/>
      </c>
      <c r="T72" s="10"/>
      <c r="U72" s="23">
        <v>0</v>
      </c>
      <c r="V72" s="25">
        <v>0</v>
      </c>
      <c r="W72" s="24">
        <v>0</v>
      </c>
      <c r="X72" s="24">
        <f>U72-W72</f>
        <v>0</v>
      </c>
      <c r="Y72" s="53" t="str">
        <f>IF(U72&lt;&gt;0,X72/U72,"")</f>
        <v/>
      </c>
      <c r="Z72" s="23">
        <v>0</v>
      </c>
      <c r="AA72" s="25">
        <v>0</v>
      </c>
      <c r="AB72" s="24">
        <v>0</v>
      </c>
      <c r="AC72" s="24">
        <f t="shared" si="8"/>
        <v>0</v>
      </c>
      <c r="AD72" s="53" t="str">
        <f t="shared" si="9"/>
        <v/>
      </c>
      <c r="AE72" s="10"/>
    </row>
    <row r="73" spans="1:31" x14ac:dyDescent="0.25">
      <c r="A73" s="14" t="s">
        <v>109</v>
      </c>
      <c r="C73" s="61" t="str">
        <f t="shared" si="7"/>
        <v>C100012</v>
      </c>
      <c r="F73" s="8" t="str">
        <f>"C100022"</f>
        <v>C100022</v>
      </c>
      <c r="G73" s="9" t="str">
        <f>"Two-Toned Cap"</f>
        <v>Two-Toned Cap</v>
      </c>
      <c r="H73" s="47"/>
      <c r="I73" s="47"/>
      <c r="J73" s="23">
        <v>451.57</v>
      </c>
      <c r="K73" s="25">
        <v>144</v>
      </c>
      <c r="L73" s="24">
        <v>231.82999999999998</v>
      </c>
      <c r="M73" s="24">
        <f>J73-L73</f>
        <v>219.74</v>
      </c>
      <c r="N73" s="53">
        <f>IF(J73&lt;&gt;0,M73/J73,"")</f>
        <v>0.4866133711274</v>
      </c>
      <c r="O73" s="23">
        <v>451.57</v>
      </c>
      <c r="P73" s="25">
        <v>144</v>
      </c>
      <c r="Q73" s="24">
        <v>231.82999999999998</v>
      </c>
      <c r="R73" s="24">
        <f>O73-Q73</f>
        <v>219.74</v>
      </c>
      <c r="S73" s="53">
        <f>IF(O73&lt;&gt;0,R73/O73,"")</f>
        <v>0.4866133711274</v>
      </c>
      <c r="T73" s="10"/>
      <c r="U73" s="23">
        <v>0</v>
      </c>
      <c r="V73" s="25">
        <v>0</v>
      </c>
      <c r="W73" s="24">
        <v>0</v>
      </c>
      <c r="X73" s="24">
        <f>U73-W73</f>
        <v>0</v>
      </c>
      <c r="Y73" s="53" t="str">
        <f>IF(U73&lt;&gt;0,X73/U73,"")</f>
        <v/>
      </c>
      <c r="Z73" s="23">
        <v>0</v>
      </c>
      <c r="AA73" s="25">
        <v>0</v>
      </c>
      <c r="AB73" s="24">
        <v>0</v>
      </c>
      <c r="AC73" s="24">
        <f t="shared" si="8"/>
        <v>0</v>
      </c>
      <c r="AD73" s="53" t="str">
        <f t="shared" si="9"/>
        <v/>
      </c>
      <c r="AE73" s="10"/>
    </row>
    <row r="74" spans="1:31" x14ac:dyDescent="0.25">
      <c r="A74" s="14" t="s">
        <v>109</v>
      </c>
      <c r="C74" s="61" t="str">
        <f t="shared" si="7"/>
        <v>C100012</v>
      </c>
      <c r="F74" s="8" t="str">
        <f>"C100024"</f>
        <v>C100024</v>
      </c>
      <c r="G74" s="9" t="str">
        <f>"Knit Hat with Bill"</f>
        <v>Knit Hat with Bill</v>
      </c>
      <c r="H74" s="47"/>
      <c r="I74" s="47"/>
      <c r="J74" s="23">
        <v>753.57</v>
      </c>
      <c r="K74" s="25">
        <v>144</v>
      </c>
      <c r="L74" s="24">
        <v>432</v>
      </c>
      <c r="M74" s="24">
        <f>J74-L74</f>
        <v>321.57000000000005</v>
      </c>
      <c r="N74" s="53">
        <f>IF(J74&lt;&gt;0,M74/J74,"")</f>
        <v>0.426728771049803</v>
      </c>
      <c r="O74" s="23">
        <v>0</v>
      </c>
      <c r="P74" s="25">
        <v>0</v>
      </c>
      <c r="Q74" s="24">
        <v>0</v>
      </c>
      <c r="R74" s="24">
        <f>O74-Q74</f>
        <v>0</v>
      </c>
      <c r="S74" s="53" t="str">
        <f>IF(O74&lt;&gt;0,R74/O74,"")</f>
        <v/>
      </c>
      <c r="T74" s="10"/>
      <c r="U74" s="23">
        <v>0</v>
      </c>
      <c r="V74" s="25">
        <v>0</v>
      </c>
      <c r="W74" s="24">
        <v>0</v>
      </c>
      <c r="X74" s="24">
        <f>U74-W74</f>
        <v>0</v>
      </c>
      <c r="Y74" s="53" t="str">
        <f>IF(U74&lt;&gt;0,X74/U74,"")</f>
        <v/>
      </c>
      <c r="Z74" s="23">
        <v>879.17000000000007</v>
      </c>
      <c r="AA74" s="25">
        <v>168</v>
      </c>
      <c r="AB74" s="24">
        <v>504</v>
      </c>
      <c r="AC74" s="24">
        <f t="shared" si="8"/>
        <v>375.17000000000007</v>
      </c>
      <c r="AD74" s="53">
        <f t="shared" si="9"/>
        <v>0.42673203134774851</v>
      </c>
      <c r="AE74" s="10"/>
    </row>
    <row r="75" spans="1:31" x14ac:dyDescent="0.25">
      <c r="A75" s="14" t="s">
        <v>109</v>
      </c>
      <c r="C75" s="61" t="str">
        <f t="shared" si="7"/>
        <v>C100012</v>
      </c>
      <c r="F75" s="8" t="str">
        <f>"C100025"</f>
        <v>C100025</v>
      </c>
      <c r="G75" s="9" t="str">
        <f>"Striped Knit Hat"</f>
        <v>Striped Knit Hat</v>
      </c>
      <c r="H75" s="47"/>
      <c r="I75" s="47"/>
      <c r="J75" s="23">
        <v>0</v>
      </c>
      <c r="K75" s="25">
        <v>0</v>
      </c>
      <c r="L75" s="24">
        <v>0</v>
      </c>
      <c r="M75" s="24">
        <f>J75-L75</f>
        <v>0</v>
      </c>
      <c r="N75" s="53" t="str">
        <f>IF(J75&lt;&gt;0,M75/J75,"")</f>
        <v/>
      </c>
      <c r="O75" s="23">
        <v>420.54</v>
      </c>
      <c r="P75" s="25">
        <v>144</v>
      </c>
      <c r="Q75" s="24">
        <v>198.72</v>
      </c>
      <c r="R75" s="24">
        <f>O75-Q75</f>
        <v>221.82000000000002</v>
      </c>
      <c r="S75" s="53">
        <f>IF(O75&lt;&gt;0,R75/O75,"")</f>
        <v>0.52746468825795412</v>
      </c>
      <c r="T75" s="10"/>
      <c r="U75" s="23">
        <v>0</v>
      </c>
      <c r="V75" s="25">
        <v>0</v>
      </c>
      <c r="W75" s="24">
        <v>0</v>
      </c>
      <c r="X75" s="24">
        <f>U75-W75</f>
        <v>0</v>
      </c>
      <c r="Y75" s="53" t="str">
        <f>IF(U75&lt;&gt;0,X75/U75,"")</f>
        <v/>
      </c>
      <c r="Z75" s="23">
        <v>1261.6299999999999</v>
      </c>
      <c r="AA75" s="25">
        <v>432</v>
      </c>
      <c r="AB75" s="24">
        <v>596.17000000000007</v>
      </c>
      <c r="AC75" s="24">
        <f t="shared" si="8"/>
        <v>665.45999999999981</v>
      </c>
      <c r="AD75" s="53">
        <f t="shared" si="9"/>
        <v>0.52746050743878936</v>
      </c>
      <c r="AE75" s="10"/>
    </row>
    <row r="76" spans="1:31" x14ac:dyDescent="0.25">
      <c r="A76" s="14" t="s">
        <v>109</v>
      </c>
      <c r="C76" s="61" t="str">
        <f t="shared" si="7"/>
        <v>C100012</v>
      </c>
      <c r="F76" s="8" t="str">
        <f>"C100026"</f>
        <v>C100026</v>
      </c>
      <c r="G76" s="9" t="str">
        <f>"Fleece Beanie"</f>
        <v>Fleece Beanie</v>
      </c>
      <c r="H76" s="47"/>
      <c r="I76" s="47"/>
      <c r="J76" s="23">
        <v>1761.1200000000001</v>
      </c>
      <c r="K76" s="25">
        <v>576</v>
      </c>
      <c r="L76" s="24">
        <v>1151.95</v>
      </c>
      <c r="M76" s="24">
        <f>J76-L76</f>
        <v>609.17000000000007</v>
      </c>
      <c r="N76" s="53">
        <f>IF(J76&lt;&gt;0,M76/J76,"")</f>
        <v>0.34589920050876716</v>
      </c>
      <c r="O76" s="23">
        <v>953.93999999999994</v>
      </c>
      <c r="P76" s="25">
        <v>312</v>
      </c>
      <c r="Q76" s="24">
        <v>623.97</v>
      </c>
      <c r="R76" s="24">
        <f>O76-Q76</f>
        <v>329.96999999999991</v>
      </c>
      <c r="S76" s="53">
        <f>IF(O76&lt;&gt;0,R76/O76,"")</f>
        <v>0.34590225800364793</v>
      </c>
      <c r="T76" s="10"/>
      <c r="U76" s="23">
        <v>0</v>
      </c>
      <c r="V76" s="25">
        <v>0</v>
      </c>
      <c r="W76" s="24">
        <v>0</v>
      </c>
      <c r="X76" s="24">
        <f>U76-W76</f>
        <v>0</v>
      </c>
      <c r="Y76" s="53" t="str">
        <f>IF(U76&lt;&gt;0,X76/U76,"")</f>
        <v/>
      </c>
      <c r="Z76" s="23">
        <v>21.4</v>
      </c>
      <c r="AA76" s="25">
        <v>7</v>
      </c>
      <c r="AB76" s="24">
        <v>14</v>
      </c>
      <c r="AC76" s="24">
        <f t="shared" si="8"/>
        <v>7.3999999999999986</v>
      </c>
      <c r="AD76" s="53">
        <f t="shared" si="9"/>
        <v>0.34579439252336447</v>
      </c>
      <c r="AE76" s="10"/>
    </row>
    <row r="77" spans="1:31" x14ac:dyDescent="0.25">
      <c r="A77" s="14" t="s">
        <v>109</v>
      </c>
      <c r="C77" s="61" t="str">
        <f t="shared" si="7"/>
        <v>C100012</v>
      </c>
      <c r="F77" s="8" t="str">
        <f>"C100027"</f>
        <v>C100027</v>
      </c>
      <c r="G77" s="9" t="str">
        <f>"Pique Visor"</f>
        <v>Pique Visor</v>
      </c>
      <c r="H77" s="47"/>
      <c r="I77" s="47"/>
      <c r="J77" s="23">
        <v>6.21</v>
      </c>
      <c r="K77" s="25">
        <v>1</v>
      </c>
      <c r="L77" s="24">
        <v>3.12</v>
      </c>
      <c r="M77" s="24">
        <f>J77-L77</f>
        <v>3.09</v>
      </c>
      <c r="N77" s="53">
        <f>IF(J77&lt;&gt;0,M77/J77,"")</f>
        <v>0.49758454106280192</v>
      </c>
      <c r="O77" s="23">
        <v>0</v>
      </c>
      <c r="P77" s="25">
        <v>0</v>
      </c>
      <c r="Q77" s="24">
        <v>0</v>
      </c>
      <c r="R77" s="24">
        <f>O77-Q77</f>
        <v>0</v>
      </c>
      <c r="S77" s="53" t="str">
        <f>IF(O77&lt;&gt;0,R77/O77,"")</f>
        <v/>
      </c>
      <c r="T77" s="10"/>
      <c r="U77" s="23">
        <v>0</v>
      </c>
      <c r="V77" s="25">
        <v>0</v>
      </c>
      <c r="W77" s="24">
        <v>0</v>
      </c>
      <c r="X77" s="24">
        <f>U77-W77</f>
        <v>0</v>
      </c>
      <c r="Y77" s="53" t="str">
        <f>IF(U77&lt;&gt;0,X77/U77,"")</f>
        <v/>
      </c>
      <c r="Z77" s="23">
        <v>893.28000000000009</v>
      </c>
      <c r="AA77" s="25">
        <v>144</v>
      </c>
      <c r="AB77" s="24">
        <v>449.29</v>
      </c>
      <c r="AC77" s="24">
        <f t="shared" si="8"/>
        <v>443.99000000000007</v>
      </c>
      <c r="AD77" s="53">
        <f t="shared" si="9"/>
        <v>0.49703340497940179</v>
      </c>
      <c r="AE77" s="10"/>
    </row>
    <row r="78" spans="1:31" x14ac:dyDescent="0.25">
      <c r="A78" s="14" t="s">
        <v>109</v>
      </c>
      <c r="C78" s="61" t="str">
        <f t="shared" si="7"/>
        <v>C100012</v>
      </c>
      <c r="F78" s="8" t="str">
        <f>"C100028"</f>
        <v>C100028</v>
      </c>
      <c r="G78" s="9" t="str">
        <f>"Twill Visor"</f>
        <v>Twill Visor</v>
      </c>
      <c r="H78" s="47"/>
      <c r="I78" s="47"/>
      <c r="J78" s="23">
        <v>721.12</v>
      </c>
      <c r="K78" s="25">
        <v>144</v>
      </c>
      <c r="L78" s="24">
        <v>345.61</v>
      </c>
      <c r="M78" s="24">
        <f>J78-L78</f>
        <v>375.51</v>
      </c>
      <c r="N78" s="53">
        <f>IF(J78&lt;&gt;0,M78/J78,"")</f>
        <v>0.52073163967162195</v>
      </c>
      <c r="O78" s="23">
        <v>0</v>
      </c>
      <c r="P78" s="25">
        <v>0</v>
      </c>
      <c r="Q78" s="24">
        <v>0</v>
      </c>
      <c r="R78" s="24">
        <f>O78-Q78</f>
        <v>0</v>
      </c>
      <c r="S78" s="53" t="str">
        <f>IF(O78&lt;&gt;0,R78/O78,"")</f>
        <v/>
      </c>
      <c r="T78" s="10"/>
      <c r="U78" s="23">
        <v>0</v>
      </c>
      <c r="V78" s="25">
        <v>0</v>
      </c>
      <c r="W78" s="24">
        <v>0</v>
      </c>
      <c r="X78" s="24">
        <f>U78-W78</f>
        <v>0</v>
      </c>
      <c r="Y78" s="53" t="str">
        <f>IF(U78&lt;&gt;0,X78/U78,"")</f>
        <v/>
      </c>
      <c r="Z78" s="23">
        <v>240.35999999999999</v>
      </c>
      <c r="AA78" s="25">
        <v>48</v>
      </c>
      <c r="AB78" s="24">
        <v>115.2</v>
      </c>
      <c r="AC78" s="24">
        <f t="shared" si="8"/>
        <v>125.15999999999998</v>
      </c>
      <c r="AD78" s="53">
        <f t="shared" si="9"/>
        <v>0.5207189216175736</v>
      </c>
      <c r="AE78" s="10"/>
    </row>
    <row r="79" spans="1:31" x14ac:dyDescent="0.25">
      <c r="A79" s="14" t="s">
        <v>109</v>
      </c>
      <c r="C79" s="61" t="str">
        <f t="shared" si="7"/>
        <v>C100012</v>
      </c>
      <c r="F79" s="8" t="str">
        <f>"C100029"</f>
        <v>C100029</v>
      </c>
      <c r="G79" s="9" t="str">
        <f>"Distressed Twill Visor"</f>
        <v>Distressed Twill Visor</v>
      </c>
      <c r="H79" s="47"/>
      <c r="I79" s="47"/>
      <c r="J79" s="23">
        <v>965.19999999999993</v>
      </c>
      <c r="K79" s="25">
        <v>288</v>
      </c>
      <c r="L79" s="24">
        <v>596.18000000000006</v>
      </c>
      <c r="M79" s="24">
        <f>J79-L79</f>
        <v>369.01999999999987</v>
      </c>
      <c r="N79" s="53">
        <f>IF(J79&lt;&gt;0,M79/J79,"")</f>
        <v>0.38232490675507658</v>
      </c>
      <c r="O79" s="23">
        <v>482.59999999999997</v>
      </c>
      <c r="P79" s="25">
        <v>144</v>
      </c>
      <c r="Q79" s="24">
        <v>298.09000000000003</v>
      </c>
      <c r="R79" s="24">
        <f>O79-Q79</f>
        <v>184.50999999999993</v>
      </c>
      <c r="S79" s="53">
        <f>IF(O79&lt;&gt;0,R79/O79,"")</f>
        <v>0.38232490675507658</v>
      </c>
      <c r="T79" s="10"/>
      <c r="U79" s="23">
        <v>0</v>
      </c>
      <c r="V79" s="25">
        <v>0</v>
      </c>
      <c r="W79" s="24">
        <v>0</v>
      </c>
      <c r="X79" s="24">
        <f>U79-W79</f>
        <v>0</v>
      </c>
      <c r="Y79" s="53" t="str">
        <f>IF(U79&lt;&gt;0,X79/U79,"")</f>
        <v/>
      </c>
      <c r="Z79" s="23">
        <v>0</v>
      </c>
      <c r="AA79" s="25">
        <v>0</v>
      </c>
      <c r="AB79" s="24">
        <v>0</v>
      </c>
      <c r="AC79" s="24">
        <f t="shared" si="8"/>
        <v>0</v>
      </c>
      <c r="AD79" s="53" t="str">
        <f t="shared" si="9"/>
        <v/>
      </c>
      <c r="AE79" s="10"/>
    </row>
    <row r="80" spans="1:31" x14ac:dyDescent="0.25">
      <c r="A80" s="14" t="s">
        <v>109</v>
      </c>
      <c r="C80" s="61" t="str">
        <f t="shared" si="7"/>
        <v>C100012</v>
      </c>
      <c r="F80" s="8" t="str">
        <f>"C100030"</f>
        <v>C100030</v>
      </c>
      <c r="G80" s="9" t="str">
        <f>"Fashion Visor"</f>
        <v>Fashion Visor</v>
      </c>
      <c r="H80" s="47"/>
      <c r="I80" s="47"/>
      <c r="J80" s="23">
        <v>1236.32</v>
      </c>
      <c r="K80" s="25">
        <v>288</v>
      </c>
      <c r="L80" s="24">
        <v>696.97</v>
      </c>
      <c r="M80" s="24">
        <f>J80-L80</f>
        <v>539.34999999999991</v>
      </c>
      <c r="N80" s="53">
        <f>IF(J80&lt;&gt;0,M80/J80,"")</f>
        <v>0.43625436780121646</v>
      </c>
      <c r="O80" s="23">
        <v>1236.32</v>
      </c>
      <c r="P80" s="25">
        <v>288</v>
      </c>
      <c r="Q80" s="24">
        <v>696.97</v>
      </c>
      <c r="R80" s="24">
        <f>O80-Q80</f>
        <v>539.34999999999991</v>
      </c>
      <c r="S80" s="53">
        <f>IF(O80&lt;&gt;0,R80/O80,"")</f>
        <v>0.43625436780121646</v>
      </c>
      <c r="T80" s="10"/>
      <c r="U80" s="23">
        <v>0</v>
      </c>
      <c r="V80" s="25">
        <v>0</v>
      </c>
      <c r="W80" s="24">
        <v>0</v>
      </c>
      <c r="X80" s="24">
        <f>U80-W80</f>
        <v>0</v>
      </c>
      <c r="Y80" s="53" t="str">
        <f>IF(U80&lt;&gt;0,X80/U80,"")</f>
        <v/>
      </c>
      <c r="Z80" s="23">
        <v>51.52</v>
      </c>
      <c r="AA80" s="25">
        <v>12</v>
      </c>
      <c r="AB80" s="24">
        <v>29.04</v>
      </c>
      <c r="AC80" s="24">
        <f t="shared" si="8"/>
        <v>22.480000000000004</v>
      </c>
      <c r="AD80" s="53">
        <f t="shared" si="9"/>
        <v>0.43633540372670815</v>
      </c>
      <c r="AE80" s="10"/>
    </row>
    <row r="81" spans="1:31" x14ac:dyDescent="0.25">
      <c r="A81" s="14" t="s">
        <v>109</v>
      </c>
      <c r="C81" s="61" t="str">
        <f t="shared" si="7"/>
        <v>C100012</v>
      </c>
      <c r="F81" s="8" t="str">
        <f>"C100032"</f>
        <v>C100032</v>
      </c>
      <c r="G81" s="9" t="str">
        <f>"Clip-on Clock"</f>
        <v>Clip-on Clock</v>
      </c>
      <c r="H81" s="47"/>
      <c r="I81" s="47"/>
      <c r="J81" s="23">
        <v>1550.4299999999998</v>
      </c>
      <c r="K81" s="25">
        <v>192</v>
      </c>
      <c r="L81" s="24">
        <v>798.7299999999999</v>
      </c>
      <c r="M81" s="24">
        <f>J81-L81</f>
        <v>751.69999999999993</v>
      </c>
      <c r="N81" s="53">
        <f>IF(J81&lt;&gt;0,M81/J81,"")</f>
        <v>0.48483323981089116</v>
      </c>
      <c r="O81" s="23">
        <v>0</v>
      </c>
      <c r="P81" s="25">
        <v>0</v>
      </c>
      <c r="Q81" s="24">
        <v>0</v>
      </c>
      <c r="R81" s="24">
        <f>O81-Q81</f>
        <v>0</v>
      </c>
      <c r="S81" s="53" t="str">
        <f>IF(O81&lt;&gt;0,R81/O81,"")</f>
        <v/>
      </c>
      <c r="T81" s="10"/>
      <c r="U81" s="23">
        <v>0</v>
      </c>
      <c r="V81" s="25">
        <v>0</v>
      </c>
      <c r="W81" s="24">
        <v>0</v>
      </c>
      <c r="X81" s="24">
        <f>U81-W81</f>
        <v>0</v>
      </c>
      <c r="Y81" s="53" t="str">
        <f>IF(U81&lt;&gt;0,X81/U81,"")</f>
        <v/>
      </c>
      <c r="Z81" s="23">
        <v>0</v>
      </c>
      <c r="AA81" s="25">
        <v>0</v>
      </c>
      <c r="AB81" s="24">
        <v>0</v>
      </c>
      <c r="AC81" s="24">
        <f t="shared" si="8"/>
        <v>0</v>
      </c>
      <c r="AD81" s="53" t="str">
        <f t="shared" si="9"/>
        <v/>
      </c>
      <c r="AE81" s="10"/>
    </row>
    <row r="82" spans="1:31" x14ac:dyDescent="0.25">
      <c r="A82" s="14" t="s">
        <v>109</v>
      </c>
      <c r="C82" s="61" t="str">
        <f t="shared" si="7"/>
        <v>C100012</v>
      </c>
      <c r="F82" s="8" t="str">
        <f>"E100001"</f>
        <v>E100001</v>
      </c>
      <c r="G82" s="9" t="str">
        <f>"Sport Bag"</f>
        <v>Sport Bag</v>
      </c>
      <c r="H82" s="47"/>
      <c r="I82" s="47"/>
      <c r="J82" s="23">
        <v>12.43</v>
      </c>
      <c r="K82" s="25">
        <v>7</v>
      </c>
      <c r="L82" s="24">
        <v>6.09</v>
      </c>
      <c r="M82" s="24">
        <f>J82-L82</f>
        <v>6.34</v>
      </c>
      <c r="N82" s="53">
        <f>IF(J82&lt;&gt;0,M82/J82,"")</f>
        <v>0.51005631536604989</v>
      </c>
      <c r="O82" s="23">
        <v>0</v>
      </c>
      <c r="P82" s="25">
        <v>0</v>
      </c>
      <c r="Q82" s="24">
        <v>0</v>
      </c>
      <c r="R82" s="24">
        <f>O82-Q82</f>
        <v>0</v>
      </c>
      <c r="S82" s="53" t="str">
        <f>IF(O82&lt;&gt;0,R82/O82,"")</f>
        <v/>
      </c>
      <c r="T82" s="10"/>
      <c r="U82" s="23">
        <v>0</v>
      </c>
      <c r="V82" s="25">
        <v>0</v>
      </c>
      <c r="W82" s="24">
        <v>0</v>
      </c>
      <c r="X82" s="24">
        <f>U82-W82</f>
        <v>0</v>
      </c>
      <c r="Y82" s="53" t="str">
        <f>IF(U82&lt;&gt;0,X82/U82,"")</f>
        <v/>
      </c>
      <c r="Z82" s="23">
        <v>257.15999999999997</v>
      </c>
      <c r="AA82" s="25">
        <v>145</v>
      </c>
      <c r="AB82" s="24">
        <v>126.15</v>
      </c>
      <c r="AC82" s="24">
        <f t="shared" si="8"/>
        <v>131.00999999999996</v>
      </c>
      <c r="AD82" s="53">
        <f t="shared" si="9"/>
        <v>0.50944937004199708</v>
      </c>
      <c r="AE82" s="10"/>
    </row>
    <row r="83" spans="1:31" x14ac:dyDescent="0.25">
      <c r="A83" s="14" t="s">
        <v>109</v>
      </c>
      <c r="C83" s="61" t="str">
        <f t="shared" si="7"/>
        <v>C100012</v>
      </c>
      <c r="F83" s="8" t="str">
        <f>"E100011"</f>
        <v>E100011</v>
      </c>
      <c r="G83" s="9" t="str">
        <f>"Plastic Sun Visor"</f>
        <v>Plastic Sun Visor</v>
      </c>
      <c r="H83" s="47"/>
      <c r="I83" s="47"/>
      <c r="J83" s="23">
        <v>229.29000000000002</v>
      </c>
      <c r="K83" s="25">
        <v>289</v>
      </c>
      <c r="L83" s="24">
        <v>121.35000000000001</v>
      </c>
      <c r="M83" s="24">
        <f>J83-L83</f>
        <v>107.94000000000001</v>
      </c>
      <c r="N83" s="53">
        <f>IF(J83&lt;&gt;0,M83/J83,"")</f>
        <v>0.47075755593353397</v>
      </c>
      <c r="O83" s="23">
        <v>115.05</v>
      </c>
      <c r="P83" s="25">
        <v>145</v>
      </c>
      <c r="Q83" s="24">
        <v>60.89</v>
      </c>
      <c r="R83" s="24">
        <f>O83-Q83</f>
        <v>54.16</v>
      </c>
      <c r="S83" s="53">
        <f>IF(O83&lt;&gt;0,R83/O83,"")</f>
        <v>0.47075184702303347</v>
      </c>
      <c r="T83" s="10"/>
      <c r="U83" s="23">
        <v>0</v>
      </c>
      <c r="V83" s="25">
        <v>0</v>
      </c>
      <c r="W83" s="24">
        <v>0</v>
      </c>
      <c r="X83" s="24">
        <f>U83-W83</f>
        <v>0</v>
      </c>
      <c r="Y83" s="53" t="str">
        <f>IF(U83&lt;&gt;0,X83/U83,"")</f>
        <v/>
      </c>
      <c r="Z83" s="23">
        <v>114.25999999999999</v>
      </c>
      <c r="AA83" s="25">
        <v>144</v>
      </c>
      <c r="AB83" s="24">
        <v>60.470000000000006</v>
      </c>
      <c r="AC83" s="24">
        <f t="shared" si="8"/>
        <v>53.789999999999985</v>
      </c>
      <c r="AD83" s="53">
        <f t="shared" si="9"/>
        <v>0.47076842289515131</v>
      </c>
      <c r="AE83" s="10"/>
    </row>
    <row r="84" spans="1:31" x14ac:dyDescent="0.25">
      <c r="A84" s="14" t="s">
        <v>109</v>
      </c>
      <c r="C84" s="61" t="str">
        <f t="shared" si="7"/>
        <v>C100012</v>
      </c>
      <c r="F84" s="8" t="str">
        <f>"E100012"</f>
        <v>E100012</v>
      </c>
      <c r="G84" s="9" t="str">
        <f>"Canvas Stopwatch"</f>
        <v>Canvas Stopwatch</v>
      </c>
      <c r="H84" s="47"/>
      <c r="I84" s="47"/>
      <c r="J84" s="23">
        <v>522.21</v>
      </c>
      <c r="K84" s="25">
        <v>144</v>
      </c>
      <c r="L84" s="24">
        <v>282.22999999999996</v>
      </c>
      <c r="M84" s="24">
        <f>J84-L84</f>
        <v>239.98000000000008</v>
      </c>
      <c r="N84" s="53">
        <f>IF(J84&lt;&gt;0,M84/J84,"")</f>
        <v>0.45954692556634313</v>
      </c>
      <c r="O84" s="23">
        <v>522.21</v>
      </c>
      <c r="P84" s="25">
        <v>144</v>
      </c>
      <c r="Q84" s="24">
        <v>282.22999999999996</v>
      </c>
      <c r="R84" s="24">
        <f>O84-Q84</f>
        <v>239.98000000000008</v>
      </c>
      <c r="S84" s="53">
        <f>IF(O84&lt;&gt;0,R84/O84,"")</f>
        <v>0.45954692556634313</v>
      </c>
      <c r="T84" s="10"/>
      <c r="U84" s="23">
        <v>0</v>
      </c>
      <c r="V84" s="25">
        <v>0</v>
      </c>
      <c r="W84" s="24">
        <v>0</v>
      </c>
      <c r="X84" s="24">
        <f>U84-W84</f>
        <v>0</v>
      </c>
      <c r="Y84" s="53" t="str">
        <f>IF(U84&lt;&gt;0,X84/U84,"")</f>
        <v/>
      </c>
      <c r="Z84" s="23">
        <v>1566.63</v>
      </c>
      <c r="AA84" s="25">
        <v>432</v>
      </c>
      <c r="AB84" s="24">
        <v>846.69</v>
      </c>
      <c r="AC84" s="24">
        <f t="shared" si="8"/>
        <v>719.94</v>
      </c>
      <c r="AD84" s="53">
        <f t="shared" si="9"/>
        <v>0.45954692556634302</v>
      </c>
      <c r="AE84" s="10"/>
    </row>
    <row r="85" spans="1:31" x14ac:dyDescent="0.25">
      <c r="A85" s="14" t="s">
        <v>109</v>
      </c>
      <c r="C85" s="61" t="str">
        <f t="shared" si="7"/>
        <v>C100012</v>
      </c>
      <c r="F85" s="8" t="str">
        <f>"E100014"</f>
        <v>E100014</v>
      </c>
      <c r="G85" s="9" t="str">
        <f>"Stopwatch with Neck Rope"</f>
        <v>Stopwatch with Neck Rope</v>
      </c>
      <c r="H85" s="47"/>
      <c r="I85" s="47"/>
      <c r="J85" s="23">
        <v>388.08000000000004</v>
      </c>
      <c r="K85" s="25">
        <v>144</v>
      </c>
      <c r="L85" s="24">
        <v>185.75</v>
      </c>
      <c r="M85" s="24">
        <f>J85-L85</f>
        <v>202.33000000000004</v>
      </c>
      <c r="N85" s="53">
        <f>IF(J85&lt;&gt;0,M85/J85,"")</f>
        <v>0.5213615749330035</v>
      </c>
      <c r="O85" s="23">
        <v>776.17</v>
      </c>
      <c r="P85" s="25">
        <v>288</v>
      </c>
      <c r="Q85" s="24">
        <v>371.49</v>
      </c>
      <c r="R85" s="24">
        <f>O85-Q85</f>
        <v>404.67999999999995</v>
      </c>
      <c r="S85" s="53">
        <f>IF(O85&lt;&gt;0,R85/O85,"")</f>
        <v>0.52138062537846086</v>
      </c>
      <c r="T85" s="10"/>
      <c r="U85" s="23">
        <v>0</v>
      </c>
      <c r="V85" s="25">
        <v>0</v>
      </c>
      <c r="W85" s="24">
        <v>0</v>
      </c>
      <c r="X85" s="24">
        <f>U85-W85</f>
        <v>0</v>
      </c>
      <c r="Y85" s="53" t="str">
        <f>IF(U85&lt;&gt;0,X85/U85,"")</f>
        <v/>
      </c>
      <c r="Z85" s="23">
        <v>0</v>
      </c>
      <c r="AA85" s="25">
        <v>0</v>
      </c>
      <c r="AB85" s="24">
        <v>0</v>
      </c>
      <c r="AC85" s="24">
        <f t="shared" si="8"/>
        <v>0</v>
      </c>
      <c r="AD85" s="53" t="str">
        <f t="shared" si="9"/>
        <v/>
      </c>
      <c r="AE85" s="10"/>
    </row>
    <row r="86" spans="1:31" x14ac:dyDescent="0.25">
      <c r="A86" s="14" t="s">
        <v>109</v>
      </c>
      <c r="C86" s="61" t="str">
        <f t="shared" si="7"/>
        <v>C100012</v>
      </c>
      <c r="F86" s="8" t="str">
        <f>"E100016"</f>
        <v>E100016</v>
      </c>
      <c r="G86" s="9" t="str">
        <f>"4 Function Rotating Carabiner Watch"</f>
        <v>4 Function Rotating Carabiner Watch</v>
      </c>
      <c r="H86" s="47"/>
      <c r="I86" s="47"/>
      <c r="J86" s="23">
        <v>428.98</v>
      </c>
      <c r="K86" s="25">
        <v>144</v>
      </c>
      <c r="L86" s="24">
        <v>198.73000000000002</v>
      </c>
      <c r="M86" s="24">
        <f>J86-L86</f>
        <v>230.25</v>
      </c>
      <c r="N86" s="53">
        <f>IF(J86&lt;&gt;0,M86/J86,"")</f>
        <v>0.53673830947829737</v>
      </c>
      <c r="O86" s="23">
        <v>0</v>
      </c>
      <c r="P86" s="25">
        <v>0</v>
      </c>
      <c r="Q86" s="24">
        <v>0</v>
      </c>
      <c r="R86" s="24">
        <f>O86-Q86</f>
        <v>0</v>
      </c>
      <c r="S86" s="53" t="str">
        <f>IF(O86&lt;&gt;0,R86/O86,"")</f>
        <v/>
      </c>
      <c r="T86" s="10"/>
      <c r="U86" s="23">
        <v>0</v>
      </c>
      <c r="V86" s="25">
        <v>0</v>
      </c>
      <c r="W86" s="24">
        <v>0</v>
      </c>
      <c r="X86" s="24">
        <f>U86-W86</f>
        <v>0</v>
      </c>
      <c r="Y86" s="53" t="str">
        <f>IF(U86&lt;&gt;0,X86/U86,"")</f>
        <v/>
      </c>
      <c r="Z86" s="23">
        <v>431.96000000000004</v>
      </c>
      <c r="AA86" s="25">
        <v>145</v>
      </c>
      <c r="AB86" s="24">
        <v>200.10999999999999</v>
      </c>
      <c r="AC86" s="24">
        <f t="shared" si="8"/>
        <v>231.85000000000005</v>
      </c>
      <c r="AD86" s="53">
        <f t="shared" si="9"/>
        <v>0.53673951291786282</v>
      </c>
      <c r="AE86" s="10"/>
    </row>
    <row r="87" spans="1:31" x14ac:dyDescent="0.25">
      <c r="A87" s="14" t="s">
        <v>109</v>
      </c>
      <c r="C87" s="61" t="str">
        <f t="shared" si="7"/>
        <v>C100012</v>
      </c>
      <c r="F87" s="8" t="str">
        <f>"E100017"</f>
        <v>E100017</v>
      </c>
      <c r="G87" s="9" t="str">
        <f>"Clip-on Clock with Compass"</f>
        <v>Clip-on Clock with Compass</v>
      </c>
      <c r="H87" s="47"/>
      <c r="I87" s="47"/>
      <c r="J87" s="23">
        <v>293.60000000000002</v>
      </c>
      <c r="K87" s="25">
        <v>192</v>
      </c>
      <c r="L87" s="24">
        <v>168.96</v>
      </c>
      <c r="M87" s="24">
        <f>J87-L87</f>
        <v>124.64000000000001</v>
      </c>
      <c r="N87" s="53">
        <f>IF(J87&lt;&gt;0,M87/J87,"")</f>
        <v>0.42452316076294278</v>
      </c>
      <c r="O87" s="23">
        <v>440.42</v>
      </c>
      <c r="P87" s="25">
        <v>288</v>
      </c>
      <c r="Q87" s="24">
        <v>253.42999999999998</v>
      </c>
      <c r="R87" s="24">
        <f>O87-Q87</f>
        <v>186.99000000000004</v>
      </c>
      <c r="S87" s="53">
        <f>IF(O87&lt;&gt;0,R87/O87,"")</f>
        <v>0.42457199945506569</v>
      </c>
      <c r="T87" s="10"/>
      <c r="U87" s="23">
        <v>0</v>
      </c>
      <c r="V87" s="25">
        <v>0</v>
      </c>
      <c r="W87" s="24">
        <v>0</v>
      </c>
      <c r="X87" s="24">
        <f>U87-W87</f>
        <v>0</v>
      </c>
      <c r="Y87" s="53" t="str">
        <f>IF(U87&lt;&gt;0,X87/U87,"")</f>
        <v/>
      </c>
      <c r="Z87" s="23">
        <v>302.77999999999997</v>
      </c>
      <c r="AA87" s="25">
        <v>198.00000000000003</v>
      </c>
      <c r="AB87" s="24">
        <v>174.24</v>
      </c>
      <c r="AC87" s="24">
        <f t="shared" si="8"/>
        <v>128.53999999999996</v>
      </c>
      <c r="AD87" s="53">
        <f t="shared" si="9"/>
        <v>0.42453266398044776</v>
      </c>
      <c r="AE87" s="10"/>
    </row>
    <row r="88" spans="1:31" x14ac:dyDescent="0.25">
      <c r="A88" s="14" t="s">
        <v>109</v>
      </c>
      <c r="C88" s="61" t="str">
        <f t="shared" si="7"/>
        <v>C100012</v>
      </c>
      <c r="F88" s="8" t="str">
        <f>"E100018"</f>
        <v>E100018</v>
      </c>
      <c r="G88" s="9" t="str">
        <f>"Flexi-Clock &amp; Clip"</f>
        <v>Flexi-Clock &amp; Clip</v>
      </c>
      <c r="H88" s="47"/>
      <c r="I88" s="47"/>
      <c r="J88" s="23">
        <v>160.55000000000001</v>
      </c>
      <c r="K88" s="25">
        <v>145</v>
      </c>
      <c r="L88" s="24">
        <v>86.990000000000009</v>
      </c>
      <c r="M88" s="24">
        <f>J88-L88</f>
        <v>73.56</v>
      </c>
      <c r="N88" s="53">
        <f>IF(J88&lt;&gt;0,M88/J88,"")</f>
        <v>0.45817502335720955</v>
      </c>
      <c r="O88" s="23">
        <v>159.43</v>
      </c>
      <c r="P88" s="25">
        <v>144</v>
      </c>
      <c r="Q88" s="24">
        <v>86.39</v>
      </c>
      <c r="R88" s="24">
        <f>O88-Q88</f>
        <v>73.040000000000006</v>
      </c>
      <c r="S88" s="53">
        <f>IF(O88&lt;&gt;0,R88/O88,"")</f>
        <v>0.4581320955905413</v>
      </c>
      <c r="T88" s="10"/>
      <c r="U88" s="23">
        <v>0</v>
      </c>
      <c r="V88" s="25">
        <v>0</v>
      </c>
      <c r="W88" s="24">
        <v>0</v>
      </c>
      <c r="X88" s="24">
        <f>U88-W88</f>
        <v>0</v>
      </c>
      <c r="Y88" s="53" t="str">
        <f>IF(U88&lt;&gt;0,X88/U88,"")</f>
        <v/>
      </c>
      <c r="Z88" s="23">
        <v>159.44</v>
      </c>
      <c r="AA88" s="25">
        <v>144</v>
      </c>
      <c r="AB88" s="24">
        <v>86.39</v>
      </c>
      <c r="AC88" s="24">
        <f t="shared" si="8"/>
        <v>73.05</v>
      </c>
      <c r="AD88" s="53">
        <f t="shared" si="9"/>
        <v>0.45816608128449571</v>
      </c>
      <c r="AE88" s="10"/>
    </row>
    <row r="89" spans="1:31" x14ac:dyDescent="0.25">
      <c r="A89" s="14" t="s">
        <v>109</v>
      </c>
      <c r="C89" s="61" t="str">
        <f t="shared" si="7"/>
        <v>C100012</v>
      </c>
      <c r="F89" s="8" t="str">
        <f>"S100001"</f>
        <v>S100001</v>
      </c>
      <c r="G89" s="9" t="str">
        <f>"Basketball Graphic Plaque"</f>
        <v>Basketball Graphic Plaque</v>
      </c>
      <c r="H89" s="47"/>
      <c r="I89" s="47"/>
      <c r="J89" s="23">
        <v>2362.39</v>
      </c>
      <c r="K89" s="25">
        <v>144</v>
      </c>
      <c r="L89" s="24">
        <v>1310.4000000000001</v>
      </c>
      <c r="M89" s="24">
        <f>J89-L89</f>
        <v>1051.9899999999998</v>
      </c>
      <c r="N89" s="53">
        <f>IF(J89&lt;&gt;0,M89/J89,"")</f>
        <v>0.44530750638124944</v>
      </c>
      <c r="O89" s="23">
        <v>0</v>
      </c>
      <c r="P89" s="25">
        <v>0</v>
      </c>
      <c r="Q89" s="24">
        <v>0</v>
      </c>
      <c r="R89" s="24">
        <f>O89-Q89</f>
        <v>0</v>
      </c>
      <c r="S89" s="53" t="str">
        <f>IF(O89&lt;&gt;0,R89/O89,"")</f>
        <v/>
      </c>
      <c r="T89" s="10"/>
      <c r="U89" s="23">
        <v>0</v>
      </c>
      <c r="V89" s="25">
        <v>0</v>
      </c>
      <c r="W89" s="24">
        <v>0</v>
      </c>
      <c r="X89" s="24">
        <f>U89-W89</f>
        <v>0</v>
      </c>
      <c r="Y89" s="53" t="str">
        <f>IF(U89&lt;&gt;0,X89/U89,"")</f>
        <v/>
      </c>
      <c r="Z89" s="23">
        <v>0</v>
      </c>
      <c r="AA89" s="25">
        <v>0</v>
      </c>
      <c r="AB89" s="24">
        <v>0</v>
      </c>
      <c r="AC89" s="24">
        <f t="shared" si="8"/>
        <v>0</v>
      </c>
      <c r="AD89" s="53" t="str">
        <f t="shared" si="9"/>
        <v/>
      </c>
      <c r="AE89" s="10"/>
    </row>
    <row r="90" spans="1:31" x14ac:dyDescent="0.25">
      <c r="A90" s="14" t="s">
        <v>109</v>
      </c>
      <c r="C90" s="61" t="str">
        <f t="shared" si="7"/>
        <v>C100012</v>
      </c>
      <c r="F90" s="8" t="str">
        <f>"S100002"</f>
        <v>S100002</v>
      </c>
      <c r="G90" s="9" t="str">
        <f>"Football Graphic Plaque"</f>
        <v>Football Graphic Plaque</v>
      </c>
      <c r="H90" s="47"/>
      <c r="I90" s="47"/>
      <c r="J90" s="23">
        <v>3514.1200000000003</v>
      </c>
      <c r="K90" s="25">
        <v>145</v>
      </c>
      <c r="L90" s="24">
        <v>1724.06</v>
      </c>
      <c r="M90" s="24">
        <f>J90-L90</f>
        <v>1790.0600000000004</v>
      </c>
      <c r="N90" s="53">
        <f>IF(J90&lt;&gt;0,M90/J90,"")</f>
        <v>0.50939068671530863</v>
      </c>
      <c r="O90" s="23">
        <v>0</v>
      </c>
      <c r="P90" s="25">
        <v>0</v>
      </c>
      <c r="Q90" s="24">
        <v>0</v>
      </c>
      <c r="R90" s="24">
        <f>O90-Q90</f>
        <v>0</v>
      </c>
      <c r="S90" s="53" t="str">
        <f>IF(O90&lt;&gt;0,R90/O90,"")</f>
        <v/>
      </c>
      <c r="T90" s="10"/>
      <c r="U90" s="23">
        <v>0</v>
      </c>
      <c r="V90" s="25">
        <v>0</v>
      </c>
      <c r="W90" s="24">
        <v>0</v>
      </c>
      <c r="X90" s="24">
        <f>U90-W90</f>
        <v>0</v>
      </c>
      <c r="Y90" s="53" t="str">
        <f>IF(U90&lt;&gt;0,X90/U90,"")</f>
        <v/>
      </c>
      <c r="Z90" s="23">
        <v>0</v>
      </c>
      <c r="AA90" s="25">
        <v>0</v>
      </c>
      <c r="AB90" s="24">
        <v>0</v>
      </c>
      <c r="AC90" s="24">
        <f t="shared" si="8"/>
        <v>0</v>
      </c>
      <c r="AD90" s="53" t="str">
        <f t="shared" si="9"/>
        <v/>
      </c>
      <c r="AE90" s="10"/>
    </row>
    <row r="91" spans="1:31" x14ac:dyDescent="0.25">
      <c r="A91" s="14" t="s">
        <v>109</v>
      </c>
      <c r="C91" s="61" t="str">
        <f t="shared" si="7"/>
        <v>C100012</v>
      </c>
      <c r="F91" s="8" t="str">
        <f>"S100003"</f>
        <v>S100003</v>
      </c>
      <c r="G91" s="9" t="str">
        <f>"Soccer #1 Pin"</f>
        <v>Soccer #1 Pin</v>
      </c>
      <c r="H91" s="47"/>
      <c r="I91" s="47"/>
      <c r="J91" s="23">
        <v>0</v>
      </c>
      <c r="K91" s="25">
        <v>0</v>
      </c>
      <c r="L91" s="24">
        <v>0</v>
      </c>
      <c r="M91" s="24">
        <f>J91-L91</f>
        <v>0</v>
      </c>
      <c r="N91" s="53" t="str">
        <f>IF(J91&lt;&gt;0,M91/J91,"")</f>
        <v/>
      </c>
      <c r="O91" s="23">
        <v>211.63</v>
      </c>
      <c r="P91" s="25">
        <v>144</v>
      </c>
      <c r="Q91" s="24">
        <v>129.6</v>
      </c>
      <c r="R91" s="24">
        <f>O91-Q91</f>
        <v>82.03</v>
      </c>
      <c r="S91" s="53">
        <f>IF(O91&lt;&gt;0,R91/O91,"")</f>
        <v>0.38761045220431889</v>
      </c>
      <c r="T91" s="10"/>
      <c r="U91" s="23">
        <v>0</v>
      </c>
      <c r="V91" s="25">
        <v>0</v>
      </c>
      <c r="W91" s="24">
        <v>0</v>
      </c>
      <c r="X91" s="24">
        <f>U91-W91</f>
        <v>0</v>
      </c>
      <c r="Y91" s="53" t="str">
        <f>IF(U91&lt;&gt;0,X91/U91,"")</f>
        <v/>
      </c>
      <c r="Z91" s="23">
        <v>1.47</v>
      </c>
      <c r="AA91" s="25">
        <v>1</v>
      </c>
      <c r="AB91" s="24">
        <v>0.9</v>
      </c>
      <c r="AC91" s="24">
        <f t="shared" si="8"/>
        <v>0.56999999999999995</v>
      </c>
      <c r="AD91" s="53">
        <f t="shared" si="9"/>
        <v>0.38775510204081631</v>
      </c>
      <c r="AE91" s="10"/>
    </row>
    <row r="92" spans="1:31" x14ac:dyDescent="0.25">
      <c r="A92" s="14" t="s">
        <v>109</v>
      </c>
      <c r="C92" s="61" t="str">
        <f t="shared" si="7"/>
        <v>C100012</v>
      </c>
      <c r="F92" s="8" t="str">
        <f>"S100004"</f>
        <v>S100004</v>
      </c>
      <c r="G92" s="9" t="str">
        <f>"Award Medallian - 2''"</f>
        <v>Award Medallian - 2''</v>
      </c>
      <c r="H92" s="47"/>
      <c r="I92" s="47"/>
      <c r="J92" s="23">
        <v>4018.66</v>
      </c>
      <c r="K92" s="25">
        <v>290</v>
      </c>
      <c r="L92" s="24">
        <v>1934.3</v>
      </c>
      <c r="M92" s="24">
        <f>J92-L92</f>
        <v>2084.3599999999997</v>
      </c>
      <c r="N92" s="53">
        <f>IF(J92&lt;&gt;0,M92/J92,"")</f>
        <v>0.51867040257200159</v>
      </c>
      <c r="O92" s="23">
        <v>0</v>
      </c>
      <c r="P92" s="25">
        <v>0</v>
      </c>
      <c r="Q92" s="24">
        <v>0</v>
      </c>
      <c r="R92" s="24">
        <f>O92-Q92</f>
        <v>0</v>
      </c>
      <c r="S92" s="53" t="str">
        <f>IF(O92&lt;&gt;0,R92/O92,"")</f>
        <v/>
      </c>
      <c r="T92" s="10"/>
      <c r="U92" s="23">
        <v>0</v>
      </c>
      <c r="V92" s="25">
        <v>0</v>
      </c>
      <c r="W92" s="24">
        <v>0</v>
      </c>
      <c r="X92" s="24">
        <f>U92-W92</f>
        <v>0</v>
      </c>
      <c r="Y92" s="53" t="str">
        <f>IF(U92&lt;&gt;0,X92/U92,"")</f>
        <v/>
      </c>
      <c r="Z92" s="23">
        <v>1995.4700000000003</v>
      </c>
      <c r="AA92" s="25">
        <v>144</v>
      </c>
      <c r="AB92" s="24">
        <v>960.48</v>
      </c>
      <c r="AC92" s="24">
        <f t="shared" si="8"/>
        <v>1034.9900000000002</v>
      </c>
      <c r="AD92" s="53">
        <f t="shared" si="9"/>
        <v>0.51866978706770839</v>
      </c>
      <c r="AE92" s="10"/>
    </row>
    <row r="93" spans="1:31" x14ac:dyDescent="0.25">
      <c r="A93" s="14" t="s">
        <v>109</v>
      </c>
      <c r="C93" s="61" t="str">
        <f t="shared" si="7"/>
        <v>C100012</v>
      </c>
      <c r="F93" s="8" t="str">
        <f>"S100005"</f>
        <v>S100005</v>
      </c>
      <c r="G93" s="9" t="str">
        <f>"Award Medallian - 2.5''"</f>
        <v>Award Medallian - 2.5''</v>
      </c>
      <c r="H93" s="47"/>
      <c r="I93" s="47"/>
      <c r="J93" s="23">
        <v>1223.45</v>
      </c>
      <c r="K93" s="25">
        <v>144</v>
      </c>
      <c r="L93" s="24">
        <v>751.69</v>
      </c>
      <c r="M93" s="24">
        <f>J93-L93</f>
        <v>471.76</v>
      </c>
      <c r="N93" s="53">
        <f>IF(J93&lt;&gt;0,M93/J93,"")</f>
        <v>0.38559810372307818</v>
      </c>
      <c r="O93" s="23">
        <v>0</v>
      </c>
      <c r="P93" s="25">
        <v>0</v>
      </c>
      <c r="Q93" s="24">
        <v>0</v>
      </c>
      <c r="R93" s="24">
        <f>O93-Q93</f>
        <v>0</v>
      </c>
      <c r="S93" s="53" t="str">
        <f>IF(O93&lt;&gt;0,R93/O93,"")</f>
        <v/>
      </c>
      <c r="T93" s="10"/>
      <c r="U93" s="23">
        <v>0</v>
      </c>
      <c r="V93" s="25">
        <v>0</v>
      </c>
      <c r="W93" s="24">
        <v>0</v>
      </c>
      <c r="X93" s="24">
        <f>U93-W93</f>
        <v>0</v>
      </c>
      <c r="Y93" s="53" t="str">
        <f>IF(U93&lt;&gt;0,X93/U93,"")</f>
        <v/>
      </c>
      <c r="Z93" s="23">
        <v>2650.81</v>
      </c>
      <c r="AA93" s="25">
        <v>312</v>
      </c>
      <c r="AB93" s="24">
        <v>1628.66</v>
      </c>
      <c r="AC93" s="24">
        <f t="shared" si="8"/>
        <v>1022.1499999999999</v>
      </c>
      <c r="AD93" s="53">
        <f t="shared" si="9"/>
        <v>0.38559911875992614</v>
      </c>
      <c r="AE93" s="10"/>
    </row>
    <row r="94" spans="1:31" x14ac:dyDescent="0.25">
      <c r="A94" s="14" t="s">
        <v>109</v>
      </c>
      <c r="C94" s="61" t="str">
        <f t="shared" si="7"/>
        <v>C100012</v>
      </c>
      <c r="F94" s="8" t="str">
        <f>"S100007"</f>
        <v>S100007</v>
      </c>
      <c r="G94" s="9" t="str">
        <f>"Baseball Figure Trophy"</f>
        <v>Baseball Figure Trophy</v>
      </c>
      <c r="H94" s="47"/>
      <c r="I94" s="47"/>
      <c r="J94" s="23">
        <v>1044.28</v>
      </c>
      <c r="K94" s="25">
        <v>144</v>
      </c>
      <c r="L94" s="24">
        <v>529.91999999999996</v>
      </c>
      <c r="M94" s="24">
        <f>J94-L94</f>
        <v>514.36</v>
      </c>
      <c r="N94" s="53">
        <f>IF(J94&lt;&gt;0,M94/J94,"")</f>
        <v>0.49254989083387601</v>
      </c>
      <c r="O94" s="23">
        <v>0</v>
      </c>
      <c r="P94" s="25">
        <v>0</v>
      </c>
      <c r="Q94" s="24">
        <v>0</v>
      </c>
      <c r="R94" s="24">
        <f>O94-Q94</f>
        <v>0</v>
      </c>
      <c r="S94" s="53" t="str">
        <f>IF(O94&lt;&gt;0,R94/O94,"")</f>
        <v/>
      </c>
      <c r="T94" s="10"/>
      <c r="U94" s="23">
        <v>0</v>
      </c>
      <c r="V94" s="25">
        <v>0</v>
      </c>
      <c r="W94" s="24">
        <v>0</v>
      </c>
      <c r="X94" s="24">
        <f>U94-W94</f>
        <v>0</v>
      </c>
      <c r="Y94" s="53" t="str">
        <f>IF(U94&lt;&gt;0,X94/U94,"")</f>
        <v/>
      </c>
      <c r="Z94" s="23">
        <v>1392.37</v>
      </c>
      <c r="AA94" s="25">
        <v>192</v>
      </c>
      <c r="AB94" s="24">
        <v>706.56</v>
      </c>
      <c r="AC94" s="24">
        <f t="shared" si="8"/>
        <v>685.81</v>
      </c>
      <c r="AD94" s="53">
        <f t="shared" si="9"/>
        <v>0.4925486759984774</v>
      </c>
      <c r="AE94" s="10"/>
    </row>
    <row r="95" spans="1:31" x14ac:dyDescent="0.25">
      <c r="A95" s="14" t="s">
        <v>109</v>
      </c>
      <c r="C95" s="61" t="str">
        <f t="shared" si="7"/>
        <v>C100012</v>
      </c>
      <c r="F95" s="8" t="str">
        <f>"S100008"</f>
        <v>S100008</v>
      </c>
      <c r="G95" s="9" t="str">
        <f>"Soccer Figure Trophy"</f>
        <v>Soccer Figure Trophy</v>
      </c>
      <c r="H95" s="47"/>
      <c r="I95" s="47"/>
      <c r="J95" s="23">
        <v>904.96999999999991</v>
      </c>
      <c r="K95" s="25">
        <v>156</v>
      </c>
      <c r="L95" s="24">
        <v>574.08000000000004</v>
      </c>
      <c r="M95" s="24">
        <f>J95-L95</f>
        <v>330.88999999999987</v>
      </c>
      <c r="N95" s="53">
        <f>IF(J95&lt;&gt;0,M95/J95,"")</f>
        <v>0.36563642993690387</v>
      </c>
      <c r="O95" s="23">
        <v>0</v>
      </c>
      <c r="P95" s="25">
        <v>0</v>
      </c>
      <c r="Q95" s="24">
        <v>0</v>
      </c>
      <c r="R95" s="24">
        <f>O95-Q95</f>
        <v>0</v>
      </c>
      <c r="S95" s="53" t="str">
        <f>IF(O95&lt;&gt;0,R95/O95,"")</f>
        <v/>
      </c>
      <c r="T95" s="10"/>
      <c r="U95" s="23">
        <v>0</v>
      </c>
      <c r="V95" s="25">
        <v>0</v>
      </c>
      <c r="W95" s="24">
        <v>0</v>
      </c>
      <c r="X95" s="24">
        <f>U95-W95</f>
        <v>0</v>
      </c>
      <c r="Y95" s="53" t="str">
        <f>IF(U95&lt;&gt;0,X95/U95,"")</f>
        <v/>
      </c>
      <c r="Z95" s="23">
        <v>835.36</v>
      </c>
      <c r="AA95" s="25">
        <v>144</v>
      </c>
      <c r="AB95" s="24">
        <v>529.91999999999996</v>
      </c>
      <c r="AC95" s="24">
        <f t="shared" si="8"/>
        <v>305.44000000000005</v>
      </c>
      <c r="AD95" s="53">
        <f t="shared" si="9"/>
        <v>0.36563876651982385</v>
      </c>
      <c r="AE95" s="10"/>
    </row>
    <row r="96" spans="1:31" x14ac:dyDescent="0.25">
      <c r="A96" s="14" t="s">
        <v>109</v>
      </c>
      <c r="C96" s="61" t="str">
        <f t="shared" si="7"/>
        <v>C100012</v>
      </c>
      <c r="F96" s="8" t="str">
        <f>"S100009"</f>
        <v>S100009</v>
      </c>
      <c r="G96" s="9" t="str">
        <f>"Engraved Basketball Award"</f>
        <v>Engraved Basketball Award</v>
      </c>
      <c r="H96" s="47"/>
      <c r="I96" s="47"/>
      <c r="J96" s="23">
        <v>0</v>
      </c>
      <c r="K96" s="25">
        <v>0</v>
      </c>
      <c r="L96" s="24">
        <v>0</v>
      </c>
      <c r="M96" s="24">
        <f>J96-L96</f>
        <v>0</v>
      </c>
      <c r="N96" s="53" t="str">
        <f>IF(J96&lt;&gt;0,M96/J96,"")</f>
        <v/>
      </c>
      <c r="O96" s="23">
        <v>2701</v>
      </c>
      <c r="P96" s="25">
        <v>144</v>
      </c>
      <c r="Q96" s="24">
        <v>1270.07</v>
      </c>
      <c r="R96" s="24">
        <f>O96-Q96</f>
        <v>1430.93</v>
      </c>
      <c r="S96" s="53">
        <f>IF(O96&lt;&gt;0,R96/O96,"")</f>
        <v>0.52977786005183269</v>
      </c>
      <c r="T96" s="10"/>
      <c r="U96" s="23">
        <v>0</v>
      </c>
      <c r="V96" s="25">
        <v>0</v>
      </c>
      <c r="W96" s="24">
        <v>0</v>
      </c>
      <c r="X96" s="24">
        <f>U96-W96</f>
        <v>0</v>
      </c>
      <c r="Y96" s="53" t="str">
        <f>IF(U96&lt;&gt;0,X96/U96,"")</f>
        <v/>
      </c>
      <c r="Z96" s="23">
        <v>5402</v>
      </c>
      <c r="AA96" s="25">
        <v>288</v>
      </c>
      <c r="AB96" s="24">
        <v>2540.14</v>
      </c>
      <c r="AC96" s="24">
        <f t="shared" si="8"/>
        <v>2861.86</v>
      </c>
      <c r="AD96" s="53">
        <f t="shared" si="9"/>
        <v>0.52977786005183269</v>
      </c>
      <c r="AE96" s="10"/>
    </row>
    <row r="97" spans="1:31" x14ac:dyDescent="0.25">
      <c r="A97" s="14" t="s">
        <v>109</v>
      </c>
      <c r="C97" s="61" t="str">
        <f t="shared" si="7"/>
        <v>C100012</v>
      </c>
      <c r="F97" s="8" t="str">
        <f>"S100010"</f>
        <v>S100010</v>
      </c>
      <c r="G97" s="9" t="str">
        <f>"Golf Relaxed Cap"</f>
        <v>Golf Relaxed Cap</v>
      </c>
      <c r="H97" s="47"/>
      <c r="I97" s="47"/>
      <c r="J97" s="23">
        <v>10.09</v>
      </c>
      <c r="K97" s="25">
        <v>1</v>
      </c>
      <c r="L97" s="24">
        <v>6.09</v>
      </c>
      <c r="M97" s="24">
        <f>J97-L97</f>
        <v>4</v>
      </c>
      <c r="N97" s="53">
        <f>IF(J97&lt;&gt;0,M97/J97,"")</f>
        <v>0.39643211100099107</v>
      </c>
      <c r="O97" s="23">
        <v>0</v>
      </c>
      <c r="P97" s="25">
        <v>0</v>
      </c>
      <c r="Q97" s="24">
        <v>0</v>
      </c>
      <c r="R97" s="24">
        <f>O97-Q97</f>
        <v>0</v>
      </c>
      <c r="S97" s="53" t="str">
        <f>IF(O97&lt;&gt;0,R97/O97,"")</f>
        <v/>
      </c>
      <c r="T97" s="10"/>
      <c r="U97" s="23">
        <v>0</v>
      </c>
      <c r="V97" s="25">
        <v>0</v>
      </c>
      <c r="W97" s="24">
        <v>0</v>
      </c>
      <c r="X97" s="24">
        <f>U97-W97</f>
        <v>0</v>
      </c>
      <c r="Y97" s="53" t="str">
        <f>IF(U97&lt;&gt;0,X97/U97,"")</f>
        <v/>
      </c>
      <c r="Z97" s="23">
        <v>1452.09</v>
      </c>
      <c r="AA97" s="25">
        <v>144</v>
      </c>
      <c r="AB97" s="24">
        <v>876.97</v>
      </c>
      <c r="AC97" s="24">
        <f t="shared" si="8"/>
        <v>575.11999999999989</v>
      </c>
      <c r="AD97" s="53">
        <f t="shared" si="9"/>
        <v>0.39606360487297615</v>
      </c>
      <c r="AE97" s="10"/>
    </row>
    <row r="98" spans="1:31" x14ac:dyDescent="0.25">
      <c r="A98" s="14" t="s">
        <v>109</v>
      </c>
      <c r="C98" s="61" t="str">
        <f t="shared" si="7"/>
        <v>C100012</v>
      </c>
      <c r="F98" s="8" t="str">
        <f>"S100011"</f>
        <v>S100011</v>
      </c>
      <c r="G98" s="9" t="str">
        <f>"All Star Cap"</f>
        <v>All Star Cap</v>
      </c>
      <c r="H98" s="47"/>
      <c r="I98" s="47"/>
      <c r="J98" s="23">
        <v>0</v>
      </c>
      <c r="K98" s="25">
        <v>0</v>
      </c>
      <c r="L98" s="24">
        <v>0</v>
      </c>
      <c r="M98" s="24">
        <f>J98-L98</f>
        <v>0</v>
      </c>
      <c r="N98" s="53" t="str">
        <f>IF(J98&lt;&gt;0,M98/J98,"")</f>
        <v/>
      </c>
      <c r="O98" s="23">
        <v>204.62</v>
      </c>
      <c r="P98" s="25">
        <v>144</v>
      </c>
      <c r="Q98" s="24">
        <v>122.41</v>
      </c>
      <c r="R98" s="24">
        <f>O98-Q98</f>
        <v>82.210000000000008</v>
      </c>
      <c r="S98" s="53">
        <f>IF(O98&lt;&gt;0,R98/O98,"")</f>
        <v>0.40176913302707462</v>
      </c>
      <c r="T98" s="10"/>
      <c r="U98" s="23">
        <v>0</v>
      </c>
      <c r="V98" s="25">
        <v>0</v>
      </c>
      <c r="W98" s="24">
        <v>0</v>
      </c>
      <c r="X98" s="24">
        <f>U98-W98</f>
        <v>0</v>
      </c>
      <c r="Y98" s="53" t="str">
        <f>IF(U98&lt;&gt;0,X98/U98,"")</f>
        <v/>
      </c>
      <c r="Z98" s="23">
        <v>204.62</v>
      </c>
      <c r="AA98" s="25">
        <v>144</v>
      </c>
      <c r="AB98" s="24">
        <v>122.41</v>
      </c>
      <c r="AC98" s="24">
        <f t="shared" si="8"/>
        <v>82.210000000000008</v>
      </c>
      <c r="AD98" s="53">
        <f t="shared" si="9"/>
        <v>0.40176913302707462</v>
      </c>
      <c r="AE98" s="10"/>
    </row>
    <row r="99" spans="1:31" x14ac:dyDescent="0.25">
      <c r="A99" s="14" t="s">
        <v>109</v>
      </c>
      <c r="C99" s="61" t="str">
        <f t="shared" si="7"/>
        <v>C100012</v>
      </c>
      <c r="F99" s="8" t="str">
        <f>"S100012"</f>
        <v>S100012</v>
      </c>
      <c r="G99" s="9" t="str">
        <f>"Raw-Edge Patch BALL CAP"</f>
        <v>Raw-Edge Patch BALL CAP</v>
      </c>
      <c r="H99" s="47"/>
      <c r="I99" s="47"/>
      <c r="J99" s="23">
        <v>2943.65</v>
      </c>
      <c r="K99" s="25">
        <v>288</v>
      </c>
      <c r="L99" s="24">
        <v>1615.6799999999998</v>
      </c>
      <c r="M99" s="24">
        <f>J99-L99</f>
        <v>1327.9700000000003</v>
      </c>
      <c r="N99" s="53">
        <f>IF(J99&lt;&gt;0,M99/J99,"")</f>
        <v>0.45113039933416005</v>
      </c>
      <c r="O99" s="23">
        <v>0</v>
      </c>
      <c r="P99" s="25">
        <v>0</v>
      </c>
      <c r="Q99" s="24">
        <v>0</v>
      </c>
      <c r="R99" s="24">
        <f>O99-Q99</f>
        <v>0</v>
      </c>
      <c r="S99" s="53" t="str">
        <f>IF(O99&lt;&gt;0,R99/O99,"")</f>
        <v/>
      </c>
      <c r="T99" s="10"/>
      <c r="U99" s="23">
        <v>0</v>
      </c>
      <c r="V99" s="25">
        <v>0</v>
      </c>
      <c r="W99" s="24">
        <v>0</v>
      </c>
      <c r="X99" s="24">
        <f>U99-W99</f>
        <v>0</v>
      </c>
      <c r="Y99" s="53" t="str">
        <f>IF(U99&lt;&gt;0,X99/U99,"")</f>
        <v/>
      </c>
      <c r="Z99" s="23">
        <v>0</v>
      </c>
      <c r="AA99" s="25">
        <v>0</v>
      </c>
      <c r="AB99" s="24">
        <v>0</v>
      </c>
      <c r="AC99" s="24">
        <f t="shared" si="8"/>
        <v>0</v>
      </c>
      <c r="AD99" s="53" t="str">
        <f t="shared" si="9"/>
        <v/>
      </c>
      <c r="AE99" s="10"/>
    </row>
    <row r="100" spans="1:31" x14ac:dyDescent="0.25">
      <c r="A100" s="14" t="s">
        <v>109</v>
      </c>
      <c r="C100" s="61" t="str">
        <f t="shared" si="7"/>
        <v>C100012</v>
      </c>
      <c r="F100" s="8" t="str">
        <f>"S100013"</f>
        <v>S100013</v>
      </c>
      <c r="G100" s="9" t="str">
        <f>"Mesh BALL CAP"</f>
        <v>Mesh BALL CAP</v>
      </c>
      <c r="H100" s="47"/>
      <c r="I100" s="47"/>
      <c r="J100" s="23">
        <v>6.46</v>
      </c>
      <c r="K100" s="25">
        <v>1</v>
      </c>
      <c r="L100" s="24">
        <v>3.44</v>
      </c>
      <c r="M100" s="24">
        <f>J100-L100</f>
        <v>3.02</v>
      </c>
      <c r="N100" s="53">
        <f>IF(J100&lt;&gt;0,M100/J100,"")</f>
        <v>0.46749226006191952</v>
      </c>
      <c r="O100" s="23">
        <v>0</v>
      </c>
      <c r="P100" s="25">
        <v>0</v>
      </c>
      <c r="Q100" s="24">
        <v>0</v>
      </c>
      <c r="R100" s="24">
        <f>O100-Q100</f>
        <v>0</v>
      </c>
      <c r="S100" s="53" t="str">
        <f>IF(O100&lt;&gt;0,R100/O100,"")</f>
        <v/>
      </c>
      <c r="T100" s="10"/>
      <c r="U100" s="23">
        <v>0</v>
      </c>
      <c r="V100" s="25">
        <v>0</v>
      </c>
      <c r="W100" s="24">
        <v>0</v>
      </c>
      <c r="X100" s="24">
        <f>U100-W100</f>
        <v>0</v>
      </c>
      <c r="Y100" s="53" t="str">
        <f>IF(U100&lt;&gt;0,X100/U100,"")</f>
        <v/>
      </c>
      <c r="Z100" s="23">
        <v>931.45999999999992</v>
      </c>
      <c r="AA100" s="25">
        <v>144</v>
      </c>
      <c r="AB100" s="24">
        <v>495.37</v>
      </c>
      <c r="AC100" s="24">
        <f t="shared" si="8"/>
        <v>436.08999999999992</v>
      </c>
      <c r="AD100" s="53">
        <f t="shared" si="9"/>
        <v>0.46817898782556411</v>
      </c>
      <c r="AE100" s="10"/>
    </row>
    <row r="101" spans="1:31" x14ac:dyDescent="0.25">
      <c r="A101" s="14" t="s">
        <v>109</v>
      </c>
      <c r="C101" s="61" t="str">
        <f t="shared" si="7"/>
        <v>C100012</v>
      </c>
      <c r="F101" s="8" t="str">
        <f>"S100015"</f>
        <v>S100015</v>
      </c>
      <c r="G101" s="9" t="str">
        <f>"Raw-Edge Bucket Hat"</f>
        <v>Raw-Edge Bucket Hat</v>
      </c>
      <c r="H101" s="47"/>
      <c r="I101" s="47"/>
      <c r="J101" s="23">
        <v>1042.8499999999999</v>
      </c>
      <c r="K101" s="25">
        <v>144</v>
      </c>
      <c r="L101" s="24">
        <v>524.17000000000007</v>
      </c>
      <c r="M101" s="24">
        <f>J101-L101</f>
        <v>518.67999999999984</v>
      </c>
      <c r="N101" s="53">
        <f>IF(J101&lt;&gt;0,M101/J101,"")</f>
        <v>0.49736779019034366</v>
      </c>
      <c r="O101" s="23">
        <v>0</v>
      </c>
      <c r="P101" s="25">
        <v>0</v>
      </c>
      <c r="Q101" s="24">
        <v>0</v>
      </c>
      <c r="R101" s="24">
        <f>O101-Q101</f>
        <v>0</v>
      </c>
      <c r="S101" s="53" t="str">
        <f>IF(O101&lt;&gt;0,R101/O101,"")</f>
        <v/>
      </c>
      <c r="T101" s="10"/>
      <c r="U101" s="23">
        <v>0</v>
      </c>
      <c r="V101" s="25">
        <v>0</v>
      </c>
      <c r="W101" s="24">
        <v>0</v>
      </c>
      <c r="X101" s="24">
        <f>U101-W101</f>
        <v>0</v>
      </c>
      <c r="Y101" s="53" t="str">
        <f>IF(U101&lt;&gt;0,X101/U101,"")</f>
        <v/>
      </c>
      <c r="Z101" s="23">
        <v>0</v>
      </c>
      <c r="AA101" s="25">
        <v>0</v>
      </c>
      <c r="AB101" s="24">
        <v>0</v>
      </c>
      <c r="AC101" s="24">
        <f t="shared" si="8"/>
        <v>0</v>
      </c>
      <c r="AD101" s="53" t="str">
        <f t="shared" si="9"/>
        <v/>
      </c>
      <c r="AE101" s="10"/>
    </row>
    <row r="102" spans="1:31" x14ac:dyDescent="0.25">
      <c r="A102" s="14" t="s">
        <v>109</v>
      </c>
      <c r="C102" s="61" t="str">
        <f t="shared" si="7"/>
        <v>C100012</v>
      </c>
      <c r="F102" s="8" t="str">
        <f>"S100016"</f>
        <v>S100016</v>
      </c>
      <c r="G102" s="9" t="str">
        <f>"Mesh Bucket Hat"</f>
        <v>Mesh Bucket Hat</v>
      </c>
      <c r="H102" s="47"/>
      <c r="I102" s="47"/>
      <c r="J102" s="23">
        <v>702.81</v>
      </c>
      <c r="K102" s="25">
        <v>144</v>
      </c>
      <c r="L102" s="24">
        <v>396.01</v>
      </c>
      <c r="M102" s="24">
        <f>J102-L102</f>
        <v>306.79999999999995</v>
      </c>
      <c r="N102" s="53">
        <f>IF(J102&lt;&gt;0,M102/J102,"")</f>
        <v>0.43653334471621064</v>
      </c>
      <c r="O102" s="23">
        <v>0</v>
      </c>
      <c r="P102" s="25">
        <v>0</v>
      </c>
      <c r="Q102" s="24">
        <v>0</v>
      </c>
      <c r="R102" s="24">
        <f>O102-Q102</f>
        <v>0</v>
      </c>
      <c r="S102" s="53" t="str">
        <f>IF(O102&lt;&gt;0,R102/O102,"")</f>
        <v/>
      </c>
      <c r="T102" s="10"/>
      <c r="U102" s="23">
        <v>0</v>
      </c>
      <c r="V102" s="25">
        <v>0</v>
      </c>
      <c r="W102" s="24">
        <v>0</v>
      </c>
      <c r="X102" s="24">
        <f>U102-W102</f>
        <v>0</v>
      </c>
      <c r="Y102" s="53" t="str">
        <f>IF(U102&lt;&gt;0,X102/U102,"")</f>
        <v/>
      </c>
      <c r="Z102" s="23">
        <v>702.81</v>
      </c>
      <c r="AA102" s="25">
        <v>144</v>
      </c>
      <c r="AB102" s="24">
        <v>396.01</v>
      </c>
      <c r="AC102" s="24">
        <f t="shared" si="8"/>
        <v>306.79999999999995</v>
      </c>
      <c r="AD102" s="53">
        <f t="shared" si="9"/>
        <v>0.43653334471621064</v>
      </c>
      <c r="AE102" s="10"/>
    </row>
    <row r="103" spans="1:31" x14ac:dyDescent="0.25">
      <c r="A103" s="14" t="s">
        <v>109</v>
      </c>
      <c r="C103" s="61" t="str">
        <f t="shared" si="7"/>
        <v>C100012</v>
      </c>
      <c r="F103" s="8" t="str">
        <f>"S100019"</f>
        <v>S100019</v>
      </c>
      <c r="G103" s="9" t="str">
        <f>"Sportsman Bucket Hat"</f>
        <v>Sportsman Bucket Hat</v>
      </c>
      <c r="H103" s="47"/>
      <c r="I103" s="47"/>
      <c r="J103" s="23">
        <v>1300</v>
      </c>
      <c r="K103" s="25">
        <v>289</v>
      </c>
      <c r="L103" s="24">
        <v>702.29</v>
      </c>
      <c r="M103" s="24">
        <f>J103-L103</f>
        <v>597.71</v>
      </c>
      <c r="N103" s="53">
        <f>IF(J103&lt;&gt;0,M103/J103,"")</f>
        <v>0.45977692307692308</v>
      </c>
      <c r="O103" s="23">
        <v>647.75</v>
      </c>
      <c r="P103" s="25">
        <v>144</v>
      </c>
      <c r="Q103" s="24">
        <v>349.93</v>
      </c>
      <c r="R103" s="24">
        <f>O103-Q103</f>
        <v>297.82</v>
      </c>
      <c r="S103" s="53">
        <f>IF(O103&lt;&gt;0,R103/O103,"")</f>
        <v>0.45977614820532614</v>
      </c>
      <c r="T103" s="10"/>
      <c r="U103" s="23">
        <v>0</v>
      </c>
      <c r="V103" s="25">
        <v>0</v>
      </c>
      <c r="W103" s="24">
        <v>0</v>
      </c>
      <c r="X103" s="24">
        <f>U103-W103</f>
        <v>0</v>
      </c>
      <c r="Y103" s="53" t="str">
        <f>IF(U103&lt;&gt;0,X103/U103,"")</f>
        <v/>
      </c>
      <c r="Z103" s="23">
        <v>0</v>
      </c>
      <c r="AA103" s="25">
        <v>0</v>
      </c>
      <c r="AB103" s="24">
        <v>0</v>
      </c>
      <c r="AC103" s="24">
        <f t="shared" si="8"/>
        <v>0</v>
      </c>
      <c r="AD103" s="53" t="str">
        <f t="shared" si="9"/>
        <v/>
      </c>
      <c r="AE103" s="10"/>
    </row>
    <row r="104" spans="1:31" x14ac:dyDescent="0.25">
      <c r="A104" s="14" t="s">
        <v>109</v>
      </c>
      <c r="C104" s="61" t="str">
        <f t="shared" si="7"/>
        <v>C100012</v>
      </c>
      <c r="F104" s="8" t="str">
        <f>"S100020"</f>
        <v>S100020</v>
      </c>
      <c r="G104" s="9" t="str">
        <f>"Super Sport Stopwatch"</f>
        <v>Super Sport Stopwatch</v>
      </c>
      <c r="H104" s="47"/>
      <c r="I104" s="47"/>
      <c r="J104" s="23">
        <v>935.56</v>
      </c>
      <c r="K104" s="25">
        <v>438</v>
      </c>
      <c r="L104" s="24">
        <v>459.90000000000003</v>
      </c>
      <c r="M104" s="24">
        <f>J104-L104</f>
        <v>475.65999999999991</v>
      </c>
      <c r="N104" s="53">
        <f>IF(J104&lt;&gt;0,M104/J104,"")</f>
        <v>0.50842276283723109</v>
      </c>
      <c r="O104" s="23">
        <v>38.46</v>
      </c>
      <c r="P104" s="25">
        <v>18</v>
      </c>
      <c r="Q104" s="24">
        <v>18.899999999999999</v>
      </c>
      <c r="R104" s="24">
        <f>O104-Q104</f>
        <v>19.560000000000002</v>
      </c>
      <c r="S104" s="53">
        <f>IF(O104&lt;&gt;0,R104/O104,"")</f>
        <v>0.50858034321372858</v>
      </c>
      <c r="T104" s="10"/>
      <c r="U104" s="23">
        <v>0</v>
      </c>
      <c r="V104" s="25">
        <v>0</v>
      </c>
      <c r="W104" s="24">
        <v>0</v>
      </c>
      <c r="X104" s="24">
        <f>U104-W104</f>
        <v>0</v>
      </c>
      <c r="Y104" s="53" t="str">
        <f>IF(U104&lt;&gt;0,X104/U104,"")</f>
        <v/>
      </c>
      <c r="Z104" s="23">
        <v>307.58</v>
      </c>
      <c r="AA104" s="25">
        <v>144</v>
      </c>
      <c r="AB104" s="24">
        <v>151.19999999999999</v>
      </c>
      <c r="AC104" s="24">
        <f t="shared" si="8"/>
        <v>156.38</v>
      </c>
      <c r="AD104" s="53">
        <f t="shared" si="9"/>
        <v>0.5084205735093309</v>
      </c>
      <c r="AE104" s="10"/>
    </row>
    <row r="105" spans="1:31" x14ac:dyDescent="0.25">
      <c r="A105" s="14" t="s">
        <v>109</v>
      </c>
      <c r="C105" s="61" t="str">
        <f t="shared" si="7"/>
        <v>C100012</v>
      </c>
      <c r="F105" s="8" t="str">
        <f>"S100021"</f>
        <v>S100021</v>
      </c>
      <c r="G105" s="9" t="str">
        <f>"Translucent Stopwatch"</f>
        <v>Translucent Stopwatch</v>
      </c>
      <c r="H105" s="47"/>
      <c r="I105" s="47"/>
      <c r="J105" s="23">
        <v>585.70000000000005</v>
      </c>
      <c r="K105" s="25">
        <v>144</v>
      </c>
      <c r="L105" s="24">
        <v>309.58999999999997</v>
      </c>
      <c r="M105" s="24">
        <f>J105-L105</f>
        <v>276.11000000000007</v>
      </c>
      <c r="N105" s="53">
        <f>IF(J105&lt;&gt;0,M105/J105,"")</f>
        <v>0.47141881509305111</v>
      </c>
      <c r="O105" s="23">
        <v>1171.4000000000001</v>
      </c>
      <c r="P105" s="25">
        <v>288</v>
      </c>
      <c r="Q105" s="24">
        <v>619.17999999999995</v>
      </c>
      <c r="R105" s="24">
        <f>O105-Q105</f>
        <v>552.22000000000014</v>
      </c>
      <c r="S105" s="53">
        <f>IF(O105&lt;&gt;0,R105/O105,"")</f>
        <v>0.47141881509305111</v>
      </c>
      <c r="T105" s="10"/>
      <c r="U105" s="23">
        <v>0</v>
      </c>
      <c r="V105" s="25">
        <v>0</v>
      </c>
      <c r="W105" s="24">
        <v>0</v>
      </c>
      <c r="X105" s="24">
        <f>U105-W105</f>
        <v>0</v>
      </c>
      <c r="Y105" s="53" t="str">
        <f>IF(U105&lt;&gt;0,X105/U105,"")</f>
        <v/>
      </c>
      <c r="Z105" s="23">
        <v>48.809999999999995</v>
      </c>
      <c r="AA105" s="25">
        <v>12</v>
      </c>
      <c r="AB105" s="24">
        <v>25.8</v>
      </c>
      <c r="AC105" s="24">
        <f t="shared" si="8"/>
        <v>23.009999999999994</v>
      </c>
      <c r="AD105" s="53">
        <f t="shared" si="9"/>
        <v>0.47141979102642895</v>
      </c>
      <c r="AE105" s="10"/>
    </row>
    <row r="106" spans="1:31" ht="15.75" thickBot="1" x14ac:dyDescent="0.3">
      <c r="A106" s="14" t="s">
        <v>109</v>
      </c>
      <c r="C106" s="61" t="str">
        <f>C66</f>
        <v>C100012</v>
      </c>
      <c r="J106" s="10"/>
      <c r="K106" s="11"/>
      <c r="L106" s="11"/>
      <c r="M106" s="11"/>
      <c r="N106" s="12"/>
      <c r="O106" s="10"/>
      <c r="P106" s="11"/>
      <c r="Q106" s="11"/>
      <c r="R106" s="11"/>
      <c r="S106" s="12"/>
      <c r="U106" s="10"/>
      <c r="V106" s="11"/>
      <c r="W106" s="11"/>
      <c r="X106" s="11"/>
      <c r="Y106" s="12"/>
      <c r="Z106" s="10"/>
      <c r="AA106" s="11"/>
      <c r="AB106" s="11"/>
      <c r="AC106" s="11"/>
      <c r="AD106" s="12"/>
    </row>
    <row r="107" spans="1:31" ht="15.75" thickBot="1" x14ac:dyDescent="0.3">
      <c r="A107" s="14" t="s">
        <v>109</v>
      </c>
      <c r="C107" s="61" t="str">
        <f t="shared" si="4"/>
        <v>C100012</v>
      </c>
      <c r="G107" s="48" t="str">
        <f>C107&amp;" TOTAL:"</f>
        <v>C100012 TOTAL:</v>
      </c>
      <c r="H107" s="50"/>
      <c r="I107" s="50"/>
      <c r="J107" s="34">
        <f>SUBTOTAL(9,J65:J106)</f>
        <v>60552.179999999986</v>
      </c>
      <c r="K107" s="35">
        <f>SUBTOTAL(9,K65:K106)</f>
        <v>6280</v>
      </c>
      <c r="L107" s="36">
        <f>SUBTOTAL(9,L65:L106)</f>
        <v>33859.579999999994</v>
      </c>
      <c r="M107" s="36">
        <f>J107-L107</f>
        <v>26692.599999999991</v>
      </c>
      <c r="N107" s="37">
        <f>IF(J107&lt;&gt;0,M107/J107,"")</f>
        <v>0.44081980202859744</v>
      </c>
      <c r="O107" s="34">
        <f>SUBTOTAL(9,O65:O106)</f>
        <v>15285.139999999998</v>
      </c>
      <c r="P107" s="35">
        <f>SUBTOTAL(9,P65:P106)</f>
        <v>2948</v>
      </c>
      <c r="Q107" s="36">
        <f>SUBTOTAL(9,Q65:Q106)</f>
        <v>8138.420000000001</v>
      </c>
      <c r="R107" s="36">
        <f>O107-Q107</f>
        <v>7146.7199999999966</v>
      </c>
      <c r="S107" s="37">
        <f>IF(O107&lt;&gt;0,R107/O107,"")</f>
        <v>0.46755999617929556</v>
      </c>
      <c r="U107" s="34">
        <f>SUBTOTAL(9,U65:U106)</f>
        <v>0</v>
      </c>
      <c r="V107" s="35">
        <f>SUBTOTAL(9,V65:V106)</f>
        <v>0</v>
      </c>
      <c r="W107" s="36">
        <f>SUBTOTAL(9,W65:W106)</f>
        <v>0</v>
      </c>
      <c r="X107" s="36">
        <f>U107-W107</f>
        <v>0</v>
      </c>
      <c r="Y107" s="37" t="str">
        <f>IF(U107&lt;&gt;0,X107/U107,"")</f>
        <v/>
      </c>
      <c r="Z107" s="34">
        <f>SUBTOTAL(9,Z65:Z106)</f>
        <v>39294.35</v>
      </c>
      <c r="AA107" s="35">
        <f>SUBTOTAL(9,AA65:AA106)</f>
        <v>4313</v>
      </c>
      <c r="AB107" s="36">
        <f>SUBTOTAL(9,AB65:AB106)</f>
        <v>22076.109999999997</v>
      </c>
      <c r="AC107" s="36">
        <f t="shared" ref="AC107" si="10">Z107-AB107</f>
        <v>17218.240000000002</v>
      </c>
      <c r="AD107" s="37">
        <f t="shared" ref="AD107" si="11">IF(Z107&lt;&gt;0,AC107/Z107,"")</f>
        <v>0.4381861514441644</v>
      </c>
    </row>
    <row r="108" spans="1:31" x14ac:dyDescent="0.25">
      <c r="A108" s="14" t="s">
        <v>109</v>
      </c>
      <c r="C108" s="66"/>
      <c r="J108" s="10"/>
      <c r="K108" s="11"/>
      <c r="L108" s="11"/>
      <c r="M108" s="11"/>
      <c r="N108" s="12"/>
      <c r="O108" s="10"/>
      <c r="P108" s="11"/>
      <c r="Q108" s="11"/>
      <c r="R108" s="11"/>
      <c r="S108" s="12"/>
      <c r="U108" s="10"/>
      <c r="V108" s="11"/>
      <c r="W108" s="11"/>
      <c r="X108" s="11"/>
      <c r="Y108" s="12"/>
      <c r="Z108" s="10"/>
      <c r="AA108" s="11"/>
      <c r="AB108" s="11"/>
      <c r="AC108" s="11"/>
      <c r="AD108" s="12"/>
    </row>
    <row r="109" spans="1:31" ht="15.75" x14ac:dyDescent="0.25">
      <c r="A109" s="14" t="s">
        <v>109</v>
      </c>
      <c r="C109" s="66" t="str">
        <f t="shared" ref="C109" si="12">E109</f>
        <v>C100013</v>
      </c>
      <c r="E109" s="13" t="str">
        <f>"C100013"</f>
        <v>C100013</v>
      </c>
      <c r="F109" s="13"/>
      <c r="G109" s="13" t="str">
        <f>"Candoxy Kontor A/S"</f>
        <v>Candoxy Kontor A/S</v>
      </c>
      <c r="H109" s="13"/>
      <c r="I109" s="13"/>
      <c r="J109" s="10"/>
      <c r="K109" s="11"/>
      <c r="L109" s="11"/>
      <c r="M109" s="11"/>
      <c r="N109" s="12"/>
      <c r="O109" s="10"/>
      <c r="P109" s="11"/>
      <c r="Q109" s="11"/>
      <c r="R109" s="11"/>
      <c r="S109" s="12"/>
      <c r="U109" s="10"/>
      <c r="V109" s="11"/>
      <c r="W109" s="11"/>
      <c r="X109" s="11"/>
      <c r="Y109" s="12"/>
      <c r="Z109" s="10"/>
      <c r="AA109" s="11"/>
      <c r="AB109" s="11"/>
      <c r="AC109" s="11"/>
      <c r="AD109" s="12"/>
    </row>
    <row r="110" spans="1:31" ht="6.6" customHeight="1" x14ac:dyDescent="0.25">
      <c r="A110" s="14" t="s">
        <v>109</v>
      </c>
      <c r="C110" s="61" t="str">
        <f t="shared" ref="C110:C138" si="13">C109</f>
        <v>C100013</v>
      </c>
      <c r="J110" s="10"/>
      <c r="K110" s="11"/>
      <c r="L110" s="11"/>
      <c r="M110" s="11"/>
      <c r="N110" s="12"/>
      <c r="O110" s="10"/>
      <c r="P110" s="11"/>
      <c r="Q110" s="11"/>
      <c r="R110" s="11"/>
      <c r="S110" s="12"/>
      <c r="U110" s="10"/>
      <c r="V110" s="11"/>
      <c r="W110" s="11"/>
      <c r="X110" s="11"/>
      <c r="Y110" s="12"/>
      <c r="Z110" s="10"/>
      <c r="AA110" s="11"/>
      <c r="AB110" s="11"/>
      <c r="AC110" s="11"/>
      <c r="AD110" s="12"/>
    </row>
    <row r="111" spans="1:31" x14ac:dyDescent="0.25">
      <c r="A111" s="14" t="s">
        <v>109</v>
      </c>
      <c r="C111" s="61" t="str">
        <f t="shared" si="13"/>
        <v>C100013</v>
      </c>
      <c r="F111" s="8" t="str">
        <f>"C100003"</f>
        <v>C100003</v>
      </c>
      <c r="G111" s="9" t="str">
        <f>"Cherry Finish Frame"</f>
        <v>Cherry Finish Frame</v>
      </c>
      <c r="H111" s="47"/>
      <c r="I111" s="47"/>
      <c r="J111" s="23">
        <v>0</v>
      </c>
      <c r="K111" s="25">
        <v>0</v>
      </c>
      <c r="L111" s="24">
        <v>0</v>
      </c>
      <c r="M111" s="24">
        <f>J111-L111</f>
        <v>0</v>
      </c>
      <c r="N111" s="53" t="str">
        <f>IF(J111&lt;&gt;0,M111/J111,"")</f>
        <v/>
      </c>
      <c r="O111" s="23">
        <v>3193.5399999999995</v>
      </c>
      <c r="P111" s="25">
        <v>48</v>
      </c>
      <c r="Q111" s="24">
        <v>1566.72</v>
      </c>
      <c r="R111" s="24">
        <f>O111-Q111</f>
        <v>1626.8199999999995</v>
      </c>
      <c r="S111" s="53">
        <f>IF(O111&lt;&gt;0,R111/O111,"")</f>
        <v>0.50940962067173101</v>
      </c>
      <c r="T111" s="10"/>
      <c r="U111" s="23">
        <v>0</v>
      </c>
      <c r="V111" s="25">
        <v>0</v>
      </c>
      <c r="W111" s="24">
        <v>0</v>
      </c>
      <c r="X111" s="24">
        <f>U111-W111</f>
        <v>0</v>
      </c>
      <c r="Y111" s="53" t="str">
        <f>IF(U111&lt;&gt;0,X111/U111,"")</f>
        <v/>
      </c>
      <c r="Z111" s="23">
        <v>0</v>
      </c>
      <c r="AA111" s="25">
        <v>0</v>
      </c>
      <c r="AB111" s="24">
        <v>0</v>
      </c>
      <c r="AC111" s="24">
        <f t="shared" ref="AC111" si="14">Z111-AB111</f>
        <v>0</v>
      </c>
      <c r="AD111" s="53" t="str">
        <f t="shared" ref="AD111" si="15">IF(Z111&lt;&gt;0,AC111/Z111,"")</f>
        <v/>
      </c>
      <c r="AE111" s="10"/>
    </row>
    <row r="112" spans="1:31" x14ac:dyDescent="0.25">
      <c r="A112" s="14" t="s">
        <v>109</v>
      </c>
      <c r="C112" s="61" t="str">
        <f t="shared" ref="C112:C136" si="16">C111</f>
        <v>C100013</v>
      </c>
      <c r="F112" s="8" t="str">
        <f>"C100004"</f>
        <v>C100004</v>
      </c>
      <c r="G112" s="9" t="str">
        <f>"Walnut Medallian Plate"</f>
        <v>Walnut Medallian Plate</v>
      </c>
      <c r="H112" s="47"/>
      <c r="I112" s="47"/>
      <c r="J112" s="23">
        <v>16753.740000000002</v>
      </c>
      <c r="K112" s="25">
        <v>288</v>
      </c>
      <c r="L112" s="24">
        <v>8812.7799999999988</v>
      </c>
      <c r="M112" s="24">
        <f>J112-L112</f>
        <v>7940.9600000000028</v>
      </c>
      <c r="N112" s="53">
        <f>IF(J112&lt;&gt;0,M112/J112,"")</f>
        <v>0.47398133192946779</v>
      </c>
      <c r="O112" s="23">
        <v>0</v>
      </c>
      <c r="P112" s="25">
        <v>0</v>
      </c>
      <c r="Q112" s="24">
        <v>0</v>
      </c>
      <c r="R112" s="24">
        <f>O112-Q112</f>
        <v>0</v>
      </c>
      <c r="S112" s="53" t="str">
        <f>IF(O112&lt;&gt;0,R112/O112,"")</f>
        <v/>
      </c>
      <c r="T112" s="10"/>
      <c r="U112" s="23">
        <v>0</v>
      </c>
      <c r="V112" s="25">
        <v>0</v>
      </c>
      <c r="W112" s="24">
        <v>0</v>
      </c>
      <c r="X112" s="24">
        <f>U112-W112</f>
        <v>0</v>
      </c>
      <c r="Y112" s="53" t="str">
        <f>IF(U112&lt;&gt;0,X112/U112,"")</f>
        <v/>
      </c>
      <c r="Z112" s="23">
        <v>0</v>
      </c>
      <c r="AA112" s="25">
        <v>0</v>
      </c>
      <c r="AB112" s="24">
        <v>0</v>
      </c>
      <c r="AC112" s="24">
        <f t="shared" ref="AC112:AC136" si="17">Z112-AB112</f>
        <v>0</v>
      </c>
      <c r="AD112" s="53" t="str">
        <f t="shared" ref="AD112:AD136" si="18">IF(Z112&lt;&gt;0,AC112/Z112,"")</f>
        <v/>
      </c>
      <c r="AE112" s="10"/>
    </row>
    <row r="113" spans="1:31" x14ac:dyDescent="0.25">
      <c r="A113" s="14" t="s">
        <v>109</v>
      </c>
      <c r="C113" s="61" t="str">
        <f t="shared" si="16"/>
        <v>C100013</v>
      </c>
      <c r="F113" s="8" t="str">
        <f>"C100006"</f>
        <v>C100006</v>
      </c>
      <c r="G113" s="9" t="str">
        <f>"Cherry Finished Crystal Award- Large"</f>
        <v>Cherry Finished Crystal Award- Large</v>
      </c>
      <c r="H113" s="47"/>
      <c r="I113" s="47"/>
      <c r="J113" s="23">
        <v>204.9</v>
      </c>
      <c r="K113" s="25">
        <v>1</v>
      </c>
      <c r="L113" s="24">
        <v>95.04</v>
      </c>
      <c r="M113" s="24">
        <f>J113-L113</f>
        <v>109.86</v>
      </c>
      <c r="N113" s="53">
        <f>IF(J113&lt;&gt;0,M113/J113,"")</f>
        <v>0.53616398243045382</v>
      </c>
      <c r="O113" s="23">
        <v>0</v>
      </c>
      <c r="P113" s="25">
        <v>0</v>
      </c>
      <c r="Q113" s="24">
        <v>0</v>
      </c>
      <c r="R113" s="24">
        <f>O113-Q113</f>
        <v>0</v>
      </c>
      <c r="S113" s="53" t="str">
        <f>IF(O113&lt;&gt;0,R113/O113,"")</f>
        <v/>
      </c>
      <c r="T113" s="10"/>
      <c r="U113" s="23">
        <v>0</v>
      </c>
      <c r="V113" s="25">
        <v>0</v>
      </c>
      <c r="W113" s="24">
        <v>0</v>
      </c>
      <c r="X113" s="24">
        <f>U113-W113</f>
        <v>0</v>
      </c>
      <c r="Y113" s="53" t="str">
        <f>IF(U113&lt;&gt;0,X113/U113,"")</f>
        <v/>
      </c>
      <c r="Z113" s="23">
        <v>0</v>
      </c>
      <c r="AA113" s="25">
        <v>0</v>
      </c>
      <c r="AB113" s="24">
        <v>0</v>
      </c>
      <c r="AC113" s="24">
        <f t="shared" si="17"/>
        <v>0</v>
      </c>
      <c r="AD113" s="53" t="str">
        <f t="shared" si="18"/>
        <v/>
      </c>
      <c r="AE113" s="10"/>
    </row>
    <row r="114" spans="1:31" x14ac:dyDescent="0.25">
      <c r="A114" s="14" t="s">
        <v>109</v>
      </c>
      <c r="C114" s="61" t="str">
        <f t="shared" si="16"/>
        <v>C100013</v>
      </c>
      <c r="F114" s="8" t="str">
        <f>"C100014"</f>
        <v>C100014</v>
      </c>
      <c r="G114" s="9" t="str">
        <f>"Canvas Field Bag"</f>
        <v>Canvas Field Bag</v>
      </c>
      <c r="H114" s="47"/>
      <c r="I114" s="47"/>
      <c r="J114" s="23">
        <v>0</v>
      </c>
      <c r="K114" s="25">
        <v>0</v>
      </c>
      <c r="L114" s="24">
        <v>0</v>
      </c>
      <c r="M114" s="24">
        <f>J114-L114</f>
        <v>0</v>
      </c>
      <c r="N114" s="53" t="str">
        <f>IF(J114&lt;&gt;0,M114/J114,"")</f>
        <v/>
      </c>
      <c r="O114" s="23">
        <v>9.18</v>
      </c>
      <c r="P114" s="25">
        <v>1</v>
      </c>
      <c r="Q114" s="24">
        <v>4.59</v>
      </c>
      <c r="R114" s="24">
        <f>O114-Q114</f>
        <v>4.59</v>
      </c>
      <c r="S114" s="53">
        <f>IF(O114&lt;&gt;0,R114/O114,"")</f>
        <v>0.5</v>
      </c>
      <c r="T114" s="10"/>
      <c r="U114" s="23">
        <v>0</v>
      </c>
      <c r="V114" s="25">
        <v>0</v>
      </c>
      <c r="W114" s="24">
        <v>0</v>
      </c>
      <c r="X114" s="24">
        <f>U114-W114</f>
        <v>0</v>
      </c>
      <c r="Y114" s="53" t="str">
        <f>IF(U114&lt;&gt;0,X114/U114,"")</f>
        <v/>
      </c>
      <c r="Z114" s="23">
        <v>0</v>
      </c>
      <c r="AA114" s="25">
        <v>0</v>
      </c>
      <c r="AB114" s="24">
        <v>0</v>
      </c>
      <c r="AC114" s="24">
        <f t="shared" si="17"/>
        <v>0</v>
      </c>
      <c r="AD114" s="53" t="str">
        <f t="shared" si="18"/>
        <v/>
      </c>
      <c r="AE114" s="10"/>
    </row>
    <row r="115" spans="1:31" x14ac:dyDescent="0.25">
      <c r="A115" s="14" t="s">
        <v>109</v>
      </c>
      <c r="C115" s="61" t="str">
        <f t="shared" si="16"/>
        <v>C100013</v>
      </c>
      <c r="F115" s="8" t="str">
        <f>"C100019"</f>
        <v>C100019</v>
      </c>
      <c r="G115" s="9" t="str">
        <f>"Black Duffel Bag"</f>
        <v>Black Duffel Bag</v>
      </c>
      <c r="H115" s="47"/>
      <c r="I115" s="47"/>
      <c r="J115" s="23">
        <v>0</v>
      </c>
      <c r="K115" s="25">
        <v>0</v>
      </c>
      <c r="L115" s="24">
        <v>0</v>
      </c>
      <c r="M115" s="24">
        <f>J115-L115</f>
        <v>0</v>
      </c>
      <c r="N115" s="53" t="str">
        <f>IF(J115&lt;&gt;0,M115/J115,"")</f>
        <v/>
      </c>
      <c r="O115" s="23">
        <v>3315.85</v>
      </c>
      <c r="P115" s="25">
        <v>48</v>
      </c>
      <c r="Q115" s="24">
        <v>2050.5700000000002</v>
      </c>
      <c r="R115" s="24">
        <f>O115-Q115</f>
        <v>1265.2799999999997</v>
      </c>
      <c r="S115" s="53">
        <f>IF(O115&lt;&gt;0,R115/O115,"")</f>
        <v>0.38158541550432007</v>
      </c>
      <c r="T115" s="10"/>
      <c r="U115" s="23">
        <v>0</v>
      </c>
      <c r="V115" s="25">
        <v>0</v>
      </c>
      <c r="W115" s="24">
        <v>0</v>
      </c>
      <c r="X115" s="24">
        <f>U115-W115</f>
        <v>0</v>
      </c>
      <c r="Y115" s="53" t="str">
        <f>IF(U115&lt;&gt;0,X115/U115,"")</f>
        <v/>
      </c>
      <c r="Z115" s="23">
        <v>0</v>
      </c>
      <c r="AA115" s="25">
        <v>0</v>
      </c>
      <c r="AB115" s="24">
        <v>0</v>
      </c>
      <c r="AC115" s="24">
        <f t="shared" si="17"/>
        <v>0</v>
      </c>
      <c r="AD115" s="53" t="str">
        <f t="shared" si="18"/>
        <v/>
      </c>
      <c r="AE115" s="10"/>
    </row>
    <row r="116" spans="1:31" x14ac:dyDescent="0.25">
      <c r="A116" s="14" t="s">
        <v>109</v>
      </c>
      <c r="C116" s="61" t="str">
        <f t="shared" si="16"/>
        <v>C100013</v>
      </c>
      <c r="F116" s="8" t="str">
        <f>"C100020"</f>
        <v>C100020</v>
      </c>
      <c r="G116" s="9" t="str">
        <f>"Gym Locker Bag"</f>
        <v>Gym Locker Bag</v>
      </c>
      <c r="H116" s="47"/>
      <c r="I116" s="47"/>
      <c r="J116" s="23">
        <v>81.430000000000007</v>
      </c>
      <c r="K116" s="25">
        <v>6</v>
      </c>
      <c r="L116" s="24">
        <v>46.44</v>
      </c>
      <c r="M116" s="24">
        <f>J116-L116</f>
        <v>34.990000000000009</v>
      </c>
      <c r="N116" s="53">
        <f>IF(J116&lt;&gt;0,M116/J116,"")</f>
        <v>0.42969421589094936</v>
      </c>
      <c r="O116" s="23">
        <v>0</v>
      </c>
      <c r="P116" s="25">
        <v>0</v>
      </c>
      <c r="Q116" s="24">
        <v>0</v>
      </c>
      <c r="R116" s="24">
        <f>O116-Q116</f>
        <v>0</v>
      </c>
      <c r="S116" s="53" t="str">
        <f>IF(O116&lt;&gt;0,R116/O116,"")</f>
        <v/>
      </c>
      <c r="T116" s="10"/>
      <c r="U116" s="23">
        <v>0</v>
      </c>
      <c r="V116" s="25">
        <v>0</v>
      </c>
      <c r="W116" s="24">
        <v>0</v>
      </c>
      <c r="X116" s="24">
        <f>U116-W116</f>
        <v>0</v>
      </c>
      <c r="Y116" s="53" t="str">
        <f>IF(U116&lt;&gt;0,X116/U116,"")</f>
        <v/>
      </c>
      <c r="Z116" s="23">
        <v>0</v>
      </c>
      <c r="AA116" s="25">
        <v>0</v>
      </c>
      <c r="AB116" s="24">
        <v>0</v>
      </c>
      <c r="AC116" s="24">
        <f t="shared" si="17"/>
        <v>0</v>
      </c>
      <c r="AD116" s="53" t="str">
        <f t="shared" si="18"/>
        <v/>
      </c>
      <c r="AE116" s="10"/>
    </row>
    <row r="117" spans="1:31" x14ac:dyDescent="0.25">
      <c r="A117" s="14" t="s">
        <v>109</v>
      </c>
      <c r="C117" s="61" t="str">
        <f t="shared" si="16"/>
        <v>C100013</v>
      </c>
      <c r="F117" s="8" t="str">
        <f>"C100021"</f>
        <v>C100021</v>
      </c>
      <c r="G117" s="9" t="str">
        <f>"Canvas Boat Bag"</f>
        <v>Canvas Boat Bag</v>
      </c>
      <c r="H117" s="47"/>
      <c r="I117" s="47"/>
      <c r="J117" s="23">
        <v>0</v>
      </c>
      <c r="K117" s="25">
        <v>0</v>
      </c>
      <c r="L117" s="24">
        <v>0</v>
      </c>
      <c r="M117" s="24">
        <f>J117-L117</f>
        <v>0</v>
      </c>
      <c r="N117" s="53" t="str">
        <f>IF(J117&lt;&gt;0,M117/J117,"")</f>
        <v/>
      </c>
      <c r="O117" s="23">
        <v>1456.37</v>
      </c>
      <c r="P117" s="25">
        <v>144</v>
      </c>
      <c r="Q117" s="24">
        <v>990.71</v>
      </c>
      <c r="R117" s="24">
        <f>O117-Q117</f>
        <v>465.65999999999985</v>
      </c>
      <c r="S117" s="53">
        <f>IF(O117&lt;&gt;0,R117/O117,"")</f>
        <v>0.31974017591683424</v>
      </c>
      <c r="T117" s="10"/>
      <c r="U117" s="23">
        <v>0</v>
      </c>
      <c r="V117" s="25">
        <v>0</v>
      </c>
      <c r="W117" s="24">
        <v>0</v>
      </c>
      <c r="X117" s="24">
        <f>U117-W117</f>
        <v>0</v>
      </c>
      <c r="Y117" s="53" t="str">
        <f>IF(U117&lt;&gt;0,X117/U117,"")</f>
        <v/>
      </c>
      <c r="Z117" s="23">
        <v>0</v>
      </c>
      <c r="AA117" s="25">
        <v>0</v>
      </c>
      <c r="AB117" s="24">
        <v>0</v>
      </c>
      <c r="AC117" s="24">
        <f t="shared" si="17"/>
        <v>0</v>
      </c>
      <c r="AD117" s="53" t="str">
        <f t="shared" si="18"/>
        <v/>
      </c>
      <c r="AE117" s="10"/>
    </row>
    <row r="118" spans="1:31" x14ac:dyDescent="0.25">
      <c r="A118" s="14" t="s">
        <v>109</v>
      </c>
      <c r="C118" s="61" t="str">
        <f t="shared" si="16"/>
        <v>C100013</v>
      </c>
      <c r="F118" s="8" t="str">
        <f>"C100022"</f>
        <v>C100022</v>
      </c>
      <c r="G118" s="9" t="str">
        <f>"Two-Toned Cap"</f>
        <v>Two-Toned Cap</v>
      </c>
      <c r="H118" s="47"/>
      <c r="I118" s="47"/>
      <c r="J118" s="23">
        <v>150.53</v>
      </c>
      <c r="K118" s="25">
        <v>48</v>
      </c>
      <c r="L118" s="24">
        <v>77.28</v>
      </c>
      <c r="M118" s="24">
        <f>J118-L118</f>
        <v>73.25</v>
      </c>
      <c r="N118" s="53">
        <f>IF(J118&lt;&gt;0,M118/J118,"")</f>
        <v>0.48661396399388823</v>
      </c>
      <c r="O118" s="23">
        <v>0</v>
      </c>
      <c r="P118" s="25">
        <v>0</v>
      </c>
      <c r="Q118" s="24">
        <v>0</v>
      </c>
      <c r="R118" s="24">
        <f>O118-Q118</f>
        <v>0</v>
      </c>
      <c r="S118" s="53" t="str">
        <f>IF(O118&lt;&gt;0,R118/O118,"")</f>
        <v/>
      </c>
      <c r="T118" s="10"/>
      <c r="U118" s="23">
        <v>0</v>
      </c>
      <c r="V118" s="25">
        <v>0</v>
      </c>
      <c r="W118" s="24">
        <v>0</v>
      </c>
      <c r="X118" s="24">
        <f>U118-W118</f>
        <v>0</v>
      </c>
      <c r="Y118" s="53" t="str">
        <f>IF(U118&lt;&gt;0,X118/U118,"")</f>
        <v/>
      </c>
      <c r="Z118" s="23">
        <v>0</v>
      </c>
      <c r="AA118" s="25">
        <v>0</v>
      </c>
      <c r="AB118" s="24">
        <v>0</v>
      </c>
      <c r="AC118" s="24">
        <f t="shared" si="17"/>
        <v>0</v>
      </c>
      <c r="AD118" s="53" t="str">
        <f t="shared" si="18"/>
        <v/>
      </c>
      <c r="AE118" s="10"/>
    </row>
    <row r="119" spans="1:31" x14ac:dyDescent="0.25">
      <c r="A119" s="14" t="s">
        <v>109</v>
      </c>
      <c r="C119" s="61" t="str">
        <f t="shared" si="16"/>
        <v>C100013</v>
      </c>
      <c r="F119" s="8" t="str">
        <f>"C100026"</f>
        <v>C100026</v>
      </c>
      <c r="G119" s="9" t="str">
        <f>"Fleece Beanie"</f>
        <v>Fleece Beanie</v>
      </c>
      <c r="H119" s="47"/>
      <c r="I119" s="47"/>
      <c r="J119" s="23">
        <v>3.06</v>
      </c>
      <c r="K119" s="25">
        <v>1</v>
      </c>
      <c r="L119" s="24">
        <v>2</v>
      </c>
      <c r="M119" s="24">
        <f>J119-L119</f>
        <v>1.06</v>
      </c>
      <c r="N119" s="53">
        <f>IF(J119&lt;&gt;0,M119/J119,"")</f>
        <v>0.34640522875816993</v>
      </c>
      <c r="O119" s="23">
        <v>0</v>
      </c>
      <c r="P119" s="25">
        <v>0</v>
      </c>
      <c r="Q119" s="24">
        <v>0</v>
      </c>
      <c r="R119" s="24">
        <f>O119-Q119</f>
        <v>0</v>
      </c>
      <c r="S119" s="53" t="str">
        <f>IF(O119&lt;&gt;0,R119/O119,"")</f>
        <v/>
      </c>
      <c r="T119" s="10"/>
      <c r="U119" s="23">
        <v>0</v>
      </c>
      <c r="V119" s="25">
        <v>0</v>
      </c>
      <c r="W119" s="24">
        <v>0</v>
      </c>
      <c r="X119" s="24">
        <f>U119-W119</f>
        <v>0</v>
      </c>
      <c r="Y119" s="53" t="str">
        <f>IF(U119&lt;&gt;0,X119/U119,"")</f>
        <v/>
      </c>
      <c r="Z119" s="23">
        <v>0</v>
      </c>
      <c r="AA119" s="25">
        <v>0</v>
      </c>
      <c r="AB119" s="24">
        <v>0</v>
      </c>
      <c r="AC119" s="24">
        <f t="shared" si="17"/>
        <v>0</v>
      </c>
      <c r="AD119" s="53" t="str">
        <f t="shared" si="18"/>
        <v/>
      </c>
      <c r="AE119" s="10"/>
    </row>
    <row r="120" spans="1:31" x14ac:dyDescent="0.25">
      <c r="A120" s="14" t="s">
        <v>109</v>
      </c>
      <c r="C120" s="61" t="str">
        <f t="shared" si="16"/>
        <v>C100013</v>
      </c>
      <c r="F120" s="8" t="str">
        <f>"C100027"</f>
        <v>C100027</v>
      </c>
      <c r="G120" s="9" t="str">
        <f>"Pique Visor"</f>
        <v>Pique Visor</v>
      </c>
      <c r="H120" s="47"/>
      <c r="I120" s="47"/>
      <c r="J120" s="23">
        <v>0</v>
      </c>
      <c r="K120" s="25">
        <v>0</v>
      </c>
      <c r="L120" s="24">
        <v>0</v>
      </c>
      <c r="M120" s="24">
        <f>J120-L120</f>
        <v>0</v>
      </c>
      <c r="N120" s="53" t="str">
        <f>IF(J120&lt;&gt;0,M120/J120,"")</f>
        <v/>
      </c>
      <c r="O120" s="23">
        <v>967.72</v>
      </c>
      <c r="P120" s="25">
        <v>156</v>
      </c>
      <c r="Q120" s="24">
        <v>486.73</v>
      </c>
      <c r="R120" s="24">
        <f>O120-Q120</f>
        <v>480.99</v>
      </c>
      <c r="S120" s="53">
        <f>IF(O120&lt;&gt;0,R120/O120,"")</f>
        <v>0.49703426611003182</v>
      </c>
      <c r="T120" s="10"/>
      <c r="U120" s="23">
        <v>0</v>
      </c>
      <c r="V120" s="25">
        <v>0</v>
      </c>
      <c r="W120" s="24">
        <v>0</v>
      </c>
      <c r="X120" s="24">
        <f>U120-W120</f>
        <v>0</v>
      </c>
      <c r="Y120" s="53" t="str">
        <f>IF(U120&lt;&gt;0,X120/U120,"")</f>
        <v/>
      </c>
      <c r="Z120" s="23">
        <v>0</v>
      </c>
      <c r="AA120" s="25">
        <v>0</v>
      </c>
      <c r="AB120" s="24">
        <v>0</v>
      </c>
      <c r="AC120" s="24">
        <f t="shared" si="17"/>
        <v>0</v>
      </c>
      <c r="AD120" s="53" t="str">
        <f t="shared" si="18"/>
        <v/>
      </c>
      <c r="AE120" s="10"/>
    </row>
    <row r="121" spans="1:31" x14ac:dyDescent="0.25">
      <c r="A121" s="14" t="s">
        <v>109</v>
      </c>
      <c r="C121" s="61" t="str">
        <f t="shared" si="16"/>
        <v>C100013</v>
      </c>
      <c r="F121" s="8" t="str">
        <f>"C100030"</f>
        <v>C100030</v>
      </c>
      <c r="G121" s="9" t="str">
        <f>"Fashion Visor"</f>
        <v>Fashion Visor</v>
      </c>
      <c r="H121" s="47"/>
      <c r="I121" s="47"/>
      <c r="J121" s="23">
        <v>618.09</v>
      </c>
      <c r="K121" s="25">
        <v>144</v>
      </c>
      <c r="L121" s="24">
        <v>348.49</v>
      </c>
      <c r="M121" s="24">
        <f>J121-L121</f>
        <v>269.60000000000002</v>
      </c>
      <c r="N121" s="53">
        <f>IF(J121&lt;&gt;0,M121/J121,"")</f>
        <v>0.43618243297901599</v>
      </c>
      <c r="O121" s="23">
        <v>0</v>
      </c>
      <c r="P121" s="25">
        <v>0</v>
      </c>
      <c r="Q121" s="24">
        <v>0</v>
      </c>
      <c r="R121" s="24">
        <f>O121-Q121</f>
        <v>0</v>
      </c>
      <c r="S121" s="53" t="str">
        <f>IF(O121&lt;&gt;0,R121/O121,"")</f>
        <v/>
      </c>
      <c r="T121" s="10"/>
      <c r="U121" s="23">
        <v>0</v>
      </c>
      <c r="V121" s="25">
        <v>0</v>
      </c>
      <c r="W121" s="24">
        <v>0</v>
      </c>
      <c r="X121" s="24">
        <f>U121-W121</f>
        <v>0</v>
      </c>
      <c r="Y121" s="53" t="str">
        <f>IF(U121&lt;&gt;0,X121/U121,"")</f>
        <v/>
      </c>
      <c r="Z121" s="23">
        <v>0</v>
      </c>
      <c r="AA121" s="25">
        <v>0</v>
      </c>
      <c r="AB121" s="24">
        <v>0</v>
      </c>
      <c r="AC121" s="24">
        <f t="shared" si="17"/>
        <v>0</v>
      </c>
      <c r="AD121" s="53" t="str">
        <f t="shared" si="18"/>
        <v/>
      </c>
      <c r="AE121" s="10"/>
    </row>
    <row r="122" spans="1:31" x14ac:dyDescent="0.25">
      <c r="A122" s="14" t="s">
        <v>109</v>
      </c>
      <c r="C122" s="61" t="str">
        <f t="shared" si="16"/>
        <v>C100013</v>
      </c>
      <c r="F122" s="8" t="str">
        <f>"C100031"</f>
        <v>C100031</v>
      </c>
      <c r="G122" s="9" t="str">
        <f>"Carabiner Watch"</f>
        <v>Carabiner Watch</v>
      </c>
      <c r="H122" s="47"/>
      <c r="I122" s="47"/>
      <c r="J122" s="23">
        <v>5328.72</v>
      </c>
      <c r="K122" s="25">
        <v>288</v>
      </c>
      <c r="L122" s="24">
        <v>2471.04</v>
      </c>
      <c r="M122" s="24">
        <f>J122-L122</f>
        <v>2857.6800000000003</v>
      </c>
      <c r="N122" s="53">
        <f>IF(J122&lt;&gt;0,M122/J122,"")</f>
        <v>0.53627888123226597</v>
      </c>
      <c r="O122" s="23">
        <v>0</v>
      </c>
      <c r="P122" s="25">
        <v>0</v>
      </c>
      <c r="Q122" s="24">
        <v>0</v>
      </c>
      <c r="R122" s="24">
        <f>O122-Q122</f>
        <v>0</v>
      </c>
      <c r="S122" s="53" t="str">
        <f>IF(O122&lt;&gt;0,R122/O122,"")</f>
        <v/>
      </c>
      <c r="T122" s="10"/>
      <c r="U122" s="23">
        <v>0</v>
      </c>
      <c r="V122" s="25">
        <v>0</v>
      </c>
      <c r="W122" s="24">
        <v>0</v>
      </c>
      <c r="X122" s="24">
        <f>U122-W122</f>
        <v>0</v>
      </c>
      <c r="Y122" s="53" t="str">
        <f>IF(U122&lt;&gt;0,X122/U122,"")</f>
        <v/>
      </c>
      <c r="Z122" s="23">
        <v>0</v>
      </c>
      <c r="AA122" s="25">
        <v>0</v>
      </c>
      <c r="AB122" s="24">
        <v>0</v>
      </c>
      <c r="AC122" s="24">
        <f t="shared" si="17"/>
        <v>0</v>
      </c>
      <c r="AD122" s="53" t="str">
        <f t="shared" si="18"/>
        <v/>
      </c>
      <c r="AE122" s="10"/>
    </row>
    <row r="123" spans="1:31" x14ac:dyDescent="0.25">
      <c r="A123" s="14" t="s">
        <v>109</v>
      </c>
      <c r="C123" s="61" t="str">
        <f t="shared" si="16"/>
        <v>C100013</v>
      </c>
      <c r="F123" s="8" t="str">
        <f>"E100001"</f>
        <v>E100001</v>
      </c>
      <c r="G123" s="9" t="str">
        <f>"Sport Bag"</f>
        <v>Sport Bag</v>
      </c>
      <c r="H123" s="47"/>
      <c r="I123" s="47"/>
      <c r="J123" s="23">
        <v>255.43999999999997</v>
      </c>
      <c r="K123" s="25">
        <v>144</v>
      </c>
      <c r="L123" s="24">
        <v>125.28</v>
      </c>
      <c r="M123" s="24">
        <f>J123-L123</f>
        <v>130.15999999999997</v>
      </c>
      <c r="N123" s="53">
        <f>IF(J123&lt;&gt;0,M123/J123,"")</f>
        <v>0.50955214531788284</v>
      </c>
      <c r="O123" s="23">
        <v>0</v>
      </c>
      <c r="P123" s="25">
        <v>0</v>
      </c>
      <c r="Q123" s="24">
        <v>0</v>
      </c>
      <c r="R123" s="24">
        <f>O123-Q123</f>
        <v>0</v>
      </c>
      <c r="S123" s="53" t="str">
        <f>IF(O123&lt;&gt;0,R123/O123,"")</f>
        <v/>
      </c>
      <c r="T123" s="10"/>
      <c r="U123" s="23">
        <v>0</v>
      </c>
      <c r="V123" s="25">
        <v>0</v>
      </c>
      <c r="W123" s="24">
        <v>0</v>
      </c>
      <c r="X123" s="24">
        <f>U123-W123</f>
        <v>0</v>
      </c>
      <c r="Y123" s="53" t="str">
        <f>IF(U123&lt;&gt;0,X123/U123,"")</f>
        <v/>
      </c>
      <c r="Z123" s="23">
        <v>0</v>
      </c>
      <c r="AA123" s="25">
        <v>0</v>
      </c>
      <c r="AB123" s="24">
        <v>0</v>
      </c>
      <c r="AC123" s="24">
        <f t="shared" si="17"/>
        <v>0</v>
      </c>
      <c r="AD123" s="53" t="str">
        <f t="shared" si="18"/>
        <v/>
      </c>
      <c r="AE123" s="10"/>
    </row>
    <row r="124" spans="1:31" x14ac:dyDescent="0.25">
      <c r="A124" s="14" t="s">
        <v>109</v>
      </c>
      <c r="C124" s="61" t="str">
        <f t="shared" si="16"/>
        <v>C100013</v>
      </c>
      <c r="F124" s="8" t="str">
        <f>"E100012"</f>
        <v>E100012</v>
      </c>
      <c r="G124" s="9" t="str">
        <f>"Canvas Stopwatch"</f>
        <v>Canvas Stopwatch</v>
      </c>
      <c r="H124" s="47"/>
      <c r="I124" s="47"/>
      <c r="J124" s="23">
        <v>522.16</v>
      </c>
      <c r="K124" s="25">
        <v>144</v>
      </c>
      <c r="L124" s="24">
        <v>282.22999999999996</v>
      </c>
      <c r="M124" s="24">
        <f>J124-L124</f>
        <v>239.93</v>
      </c>
      <c r="N124" s="53">
        <f>IF(J124&lt;&gt;0,M124/J124,"")</f>
        <v>0.45949517389305966</v>
      </c>
      <c r="O124" s="23">
        <v>522.15</v>
      </c>
      <c r="P124" s="25">
        <v>144</v>
      </c>
      <c r="Q124" s="24">
        <v>282.22999999999996</v>
      </c>
      <c r="R124" s="24">
        <f>O124-Q124</f>
        <v>239.92000000000002</v>
      </c>
      <c r="S124" s="53">
        <f>IF(O124&lt;&gt;0,R124/O124,"")</f>
        <v>0.45948482236905108</v>
      </c>
      <c r="T124" s="10"/>
      <c r="U124" s="23">
        <v>0</v>
      </c>
      <c r="V124" s="25">
        <v>0</v>
      </c>
      <c r="W124" s="24">
        <v>0</v>
      </c>
      <c r="X124" s="24">
        <f>U124-W124</f>
        <v>0</v>
      </c>
      <c r="Y124" s="53" t="str">
        <f>IF(U124&lt;&gt;0,X124/U124,"")</f>
        <v/>
      </c>
      <c r="Z124" s="23">
        <v>0</v>
      </c>
      <c r="AA124" s="25">
        <v>0</v>
      </c>
      <c r="AB124" s="24">
        <v>0</v>
      </c>
      <c r="AC124" s="24">
        <f t="shared" si="17"/>
        <v>0</v>
      </c>
      <c r="AD124" s="53" t="str">
        <f t="shared" si="18"/>
        <v/>
      </c>
      <c r="AE124" s="10"/>
    </row>
    <row r="125" spans="1:31" x14ac:dyDescent="0.25">
      <c r="A125" s="14" t="s">
        <v>109</v>
      </c>
      <c r="C125" s="61" t="str">
        <f t="shared" si="16"/>
        <v>C100013</v>
      </c>
      <c r="F125" s="8" t="str">
        <f>"E100014"</f>
        <v>E100014</v>
      </c>
      <c r="G125" s="9" t="str">
        <f>"Stopwatch with Neck Rope"</f>
        <v>Stopwatch with Neck Rope</v>
      </c>
      <c r="H125" s="47"/>
      <c r="I125" s="47"/>
      <c r="J125" s="23">
        <v>2.7</v>
      </c>
      <c r="K125" s="25">
        <v>1</v>
      </c>
      <c r="L125" s="24">
        <v>1.29</v>
      </c>
      <c r="M125" s="24">
        <f>J125-L125</f>
        <v>1.4100000000000001</v>
      </c>
      <c r="N125" s="53">
        <f>IF(J125&lt;&gt;0,M125/J125,"")</f>
        <v>0.52222222222222225</v>
      </c>
      <c r="O125" s="23">
        <v>0</v>
      </c>
      <c r="P125" s="25">
        <v>0</v>
      </c>
      <c r="Q125" s="24">
        <v>0</v>
      </c>
      <c r="R125" s="24">
        <f>O125-Q125</f>
        <v>0</v>
      </c>
      <c r="S125" s="53" t="str">
        <f>IF(O125&lt;&gt;0,R125/O125,"")</f>
        <v/>
      </c>
      <c r="T125" s="10"/>
      <c r="U125" s="23">
        <v>0</v>
      </c>
      <c r="V125" s="25">
        <v>0</v>
      </c>
      <c r="W125" s="24">
        <v>0</v>
      </c>
      <c r="X125" s="24">
        <f>U125-W125</f>
        <v>0</v>
      </c>
      <c r="Y125" s="53" t="str">
        <f>IF(U125&lt;&gt;0,X125/U125,"")</f>
        <v/>
      </c>
      <c r="Z125" s="23">
        <v>0</v>
      </c>
      <c r="AA125" s="25">
        <v>0</v>
      </c>
      <c r="AB125" s="24">
        <v>0</v>
      </c>
      <c r="AC125" s="24">
        <f t="shared" si="17"/>
        <v>0</v>
      </c>
      <c r="AD125" s="53" t="str">
        <f t="shared" si="18"/>
        <v/>
      </c>
      <c r="AE125" s="10"/>
    </row>
    <row r="126" spans="1:31" x14ac:dyDescent="0.25">
      <c r="A126" s="14" t="s">
        <v>109</v>
      </c>
      <c r="C126" s="61" t="str">
        <f t="shared" si="16"/>
        <v>C100013</v>
      </c>
      <c r="F126" s="8" t="str">
        <f>"E100015"</f>
        <v>E100015</v>
      </c>
      <c r="G126" s="9" t="str">
        <f>"360 Clip Watch"</f>
        <v>360 Clip Watch</v>
      </c>
      <c r="H126" s="47"/>
      <c r="I126" s="47"/>
      <c r="J126" s="23">
        <v>4.21</v>
      </c>
      <c r="K126" s="25">
        <v>2</v>
      </c>
      <c r="L126" s="24">
        <v>2.04</v>
      </c>
      <c r="M126" s="24">
        <f>J126-L126</f>
        <v>2.17</v>
      </c>
      <c r="N126" s="53">
        <f>IF(J126&lt;&gt;0,M126/J126,"")</f>
        <v>0.51543942992874103</v>
      </c>
      <c r="O126" s="23">
        <v>0</v>
      </c>
      <c r="P126" s="25">
        <v>0</v>
      </c>
      <c r="Q126" s="24">
        <v>0</v>
      </c>
      <c r="R126" s="24">
        <f>O126-Q126</f>
        <v>0</v>
      </c>
      <c r="S126" s="53" t="str">
        <f>IF(O126&lt;&gt;0,R126/O126,"")</f>
        <v/>
      </c>
      <c r="T126" s="10"/>
      <c r="U126" s="23">
        <v>0</v>
      </c>
      <c r="V126" s="25">
        <v>0</v>
      </c>
      <c r="W126" s="24">
        <v>0</v>
      </c>
      <c r="X126" s="24">
        <f>U126-W126</f>
        <v>0</v>
      </c>
      <c r="Y126" s="53" t="str">
        <f>IF(U126&lt;&gt;0,X126/U126,"")</f>
        <v/>
      </c>
      <c r="Z126" s="23">
        <v>0</v>
      </c>
      <c r="AA126" s="25">
        <v>0</v>
      </c>
      <c r="AB126" s="24">
        <v>0</v>
      </c>
      <c r="AC126" s="24">
        <f t="shared" si="17"/>
        <v>0</v>
      </c>
      <c r="AD126" s="53" t="str">
        <f t="shared" si="18"/>
        <v/>
      </c>
      <c r="AE126" s="10"/>
    </row>
    <row r="127" spans="1:31" x14ac:dyDescent="0.25">
      <c r="A127" s="14" t="s">
        <v>109</v>
      </c>
      <c r="C127" s="61" t="str">
        <f t="shared" si="16"/>
        <v>C100013</v>
      </c>
      <c r="F127" s="8" t="str">
        <f>"E100016"</f>
        <v>E100016</v>
      </c>
      <c r="G127" s="9" t="str">
        <f>"4 Function Rotating Carabiner Watch"</f>
        <v>4 Function Rotating Carabiner Watch</v>
      </c>
      <c r="H127" s="47"/>
      <c r="I127" s="47"/>
      <c r="J127" s="23">
        <v>143</v>
      </c>
      <c r="K127" s="25">
        <v>48</v>
      </c>
      <c r="L127" s="24">
        <v>66.239999999999995</v>
      </c>
      <c r="M127" s="24">
        <f>J127-L127</f>
        <v>76.760000000000005</v>
      </c>
      <c r="N127" s="53">
        <f>IF(J127&lt;&gt;0,M127/J127,"")</f>
        <v>0.53678321678321683</v>
      </c>
      <c r="O127" s="23">
        <v>0</v>
      </c>
      <c r="P127" s="25">
        <v>0</v>
      </c>
      <c r="Q127" s="24">
        <v>0</v>
      </c>
      <c r="R127" s="24">
        <f>O127-Q127</f>
        <v>0</v>
      </c>
      <c r="S127" s="53" t="str">
        <f>IF(O127&lt;&gt;0,R127/O127,"")</f>
        <v/>
      </c>
      <c r="T127" s="10"/>
      <c r="U127" s="23">
        <v>0</v>
      </c>
      <c r="V127" s="25">
        <v>0</v>
      </c>
      <c r="W127" s="24">
        <v>0</v>
      </c>
      <c r="X127" s="24">
        <f>U127-W127</f>
        <v>0</v>
      </c>
      <c r="Y127" s="53" t="str">
        <f>IF(U127&lt;&gt;0,X127/U127,"")</f>
        <v/>
      </c>
      <c r="Z127" s="23">
        <v>0</v>
      </c>
      <c r="AA127" s="25">
        <v>0</v>
      </c>
      <c r="AB127" s="24">
        <v>0</v>
      </c>
      <c r="AC127" s="24">
        <f t="shared" si="17"/>
        <v>0</v>
      </c>
      <c r="AD127" s="53" t="str">
        <f t="shared" si="18"/>
        <v/>
      </c>
      <c r="AE127" s="10"/>
    </row>
    <row r="128" spans="1:31" x14ac:dyDescent="0.25">
      <c r="A128" s="14" t="s">
        <v>109</v>
      </c>
      <c r="C128" s="61" t="str">
        <f t="shared" si="16"/>
        <v>C100013</v>
      </c>
      <c r="F128" s="8" t="str">
        <f>"E100017"</f>
        <v>E100017</v>
      </c>
      <c r="G128" s="9" t="str">
        <f>"Clip-on Clock with Compass"</f>
        <v>Clip-on Clock with Compass</v>
      </c>
      <c r="H128" s="47"/>
      <c r="I128" s="47"/>
      <c r="J128" s="23">
        <v>1.53</v>
      </c>
      <c r="K128" s="25">
        <v>1</v>
      </c>
      <c r="L128" s="24">
        <v>0.88</v>
      </c>
      <c r="M128" s="24">
        <f>J128-L128</f>
        <v>0.65</v>
      </c>
      <c r="N128" s="53">
        <f>IF(J128&lt;&gt;0,M128/J128,"")</f>
        <v>0.42483660130718953</v>
      </c>
      <c r="O128" s="23">
        <v>0</v>
      </c>
      <c r="P128" s="25">
        <v>0</v>
      </c>
      <c r="Q128" s="24">
        <v>0</v>
      </c>
      <c r="R128" s="24">
        <f>O128-Q128</f>
        <v>0</v>
      </c>
      <c r="S128" s="53" t="str">
        <f>IF(O128&lt;&gt;0,R128/O128,"")</f>
        <v/>
      </c>
      <c r="T128" s="10"/>
      <c r="U128" s="23">
        <v>0</v>
      </c>
      <c r="V128" s="25">
        <v>0</v>
      </c>
      <c r="W128" s="24">
        <v>0</v>
      </c>
      <c r="X128" s="24">
        <f>U128-W128</f>
        <v>0</v>
      </c>
      <c r="Y128" s="53" t="str">
        <f>IF(U128&lt;&gt;0,X128/U128,"")</f>
        <v/>
      </c>
      <c r="Z128" s="23">
        <v>0</v>
      </c>
      <c r="AA128" s="25">
        <v>0</v>
      </c>
      <c r="AB128" s="24">
        <v>0</v>
      </c>
      <c r="AC128" s="24">
        <f t="shared" si="17"/>
        <v>0</v>
      </c>
      <c r="AD128" s="53" t="str">
        <f t="shared" si="18"/>
        <v/>
      </c>
      <c r="AE128" s="10"/>
    </row>
    <row r="129" spans="1:31" x14ac:dyDescent="0.25">
      <c r="A129" s="14" t="s">
        <v>109</v>
      </c>
      <c r="C129" s="61" t="str">
        <f t="shared" si="16"/>
        <v>C100013</v>
      </c>
      <c r="F129" s="8" t="str">
        <f>"S100002"</f>
        <v>S100002</v>
      </c>
      <c r="G129" s="9" t="str">
        <f>"Football Graphic Plaque"</f>
        <v>Football Graphic Plaque</v>
      </c>
      <c r="H129" s="47"/>
      <c r="I129" s="47"/>
      <c r="J129" s="23">
        <v>0</v>
      </c>
      <c r="K129" s="25">
        <v>0</v>
      </c>
      <c r="L129" s="24">
        <v>0</v>
      </c>
      <c r="M129" s="24">
        <f>J129-L129</f>
        <v>0</v>
      </c>
      <c r="N129" s="53" t="str">
        <f>IF(J129&lt;&gt;0,M129/J129,"")</f>
        <v/>
      </c>
      <c r="O129" s="23">
        <v>581.65</v>
      </c>
      <c r="P129" s="25">
        <v>24</v>
      </c>
      <c r="Q129" s="24">
        <v>285.36</v>
      </c>
      <c r="R129" s="24">
        <f>O129-Q129</f>
        <v>296.28999999999996</v>
      </c>
      <c r="S129" s="53">
        <f>IF(O129&lt;&gt;0,R129/O129,"")</f>
        <v>0.50939568469010565</v>
      </c>
      <c r="T129" s="10"/>
      <c r="U129" s="23">
        <v>0</v>
      </c>
      <c r="V129" s="25">
        <v>0</v>
      </c>
      <c r="W129" s="24">
        <v>0</v>
      </c>
      <c r="X129" s="24">
        <f>U129-W129</f>
        <v>0</v>
      </c>
      <c r="Y129" s="53" t="str">
        <f>IF(U129&lt;&gt;0,X129/U129,"")</f>
        <v/>
      </c>
      <c r="Z129" s="23">
        <v>0</v>
      </c>
      <c r="AA129" s="25">
        <v>0</v>
      </c>
      <c r="AB129" s="24">
        <v>0</v>
      </c>
      <c r="AC129" s="24">
        <f t="shared" si="17"/>
        <v>0</v>
      </c>
      <c r="AD129" s="53" t="str">
        <f t="shared" si="18"/>
        <v/>
      </c>
      <c r="AE129" s="10"/>
    </row>
    <row r="130" spans="1:31" x14ac:dyDescent="0.25">
      <c r="A130" s="14" t="s">
        <v>109</v>
      </c>
      <c r="C130" s="61" t="str">
        <f t="shared" si="16"/>
        <v>C100013</v>
      </c>
      <c r="F130" s="8" t="str">
        <f>"S100005"</f>
        <v>S100005</v>
      </c>
      <c r="G130" s="9" t="str">
        <f>"Award Medallian - 2.5''"</f>
        <v>Award Medallian - 2.5''</v>
      </c>
      <c r="H130" s="47"/>
      <c r="I130" s="47"/>
      <c r="J130" s="23">
        <v>407.84</v>
      </c>
      <c r="K130" s="25">
        <v>48</v>
      </c>
      <c r="L130" s="24">
        <v>250.56</v>
      </c>
      <c r="M130" s="24">
        <f>J130-L130</f>
        <v>157.27999999999997</v>
      </c>
      <c r="N130" s="53">
        <f>IF(J130&lt;&gt;0,M130/J130,"")</f>
        <v>0.38564142801098467</v>
      </c>
      <c r="O130" s="23">
        <v>0</v>
      </c>
      <c r="P130" s="25">
        <v>0</v>
      </c>
      <c r="Q130" s="24">
        <v>0</v>
      </c>
      <c r="R130" s="24">
        <f>O130-Q130</f>
        <v>0</v>
      </c>
      <c r="S130" s="53" t="str">
        <f>IF(O130&lt;&gt;0,R130/O130,"")</f>
        <v/>
      </c>
      <c r="T130" s="10"/>
      <c r="U130" s="23">
        <v>0</v>
      </c>
      <c r="V130" s="25">
        <v>0</v>
      </c>
      <c r="W130" s="24">
        <v>0</v>
      </c>
      <c r="X130" s="24">
        <f>U130-W130</f>
        <v>0</v>
      </c>
      <c r="Y130" s="53" t="str">
        <f>IF(U130&lt;&gt;0,X130/U130,"")</f>
        <v/>
      </c>
      <c r="Z130" s="23">
        <v>0</v>
      </c>
      <c r="AA130" s="25">
        <v>0</v>
      </c>
      <c r="AB130" s="24">
        <v>0</v>
      </c>
      <c r="AC130" s="24">
        <f t="shared" si="17"/>
        <v>0</v>
      </c>
      <c r="AD130" s="53" t="str">
        <f t="shared" si="18"/>
        <v/>
      </c>
      <c r="AE130" s="10"/>
    </row>
    <row r="131" spans="1:31" x14ac:dyDescent="0.25">
      <c r="A131" s="14" t="s">
        <v>109</v>
      </c>
      <c r="C131" s="61" t="str">
        <f t="shared" si="16"/>
        <v>C100013</v>
      </c>
      <c r="F131" s="8" t="str">
        <f>"S100008"</f>
        <v>S100008</v>
      </c>
      <c r="G131" s="9" t="str">
        <f>"Soccer Figure Trophy"</f>
        <v>Soccer Figure Trophy</v>
      </c>
      <c r="H131" s="47"/>
      <c r="I131" s="47"/>
      <c r="J131" s="23">
        <v>835.43999999999994</v>
      </c>
      <c r="K131" s="25">
        <v>144</v>
      </c>
      <c r="L131" s="24">
        <v>529.91999999999996</v>
      </c>
      <c r="M131" s="24">
        <f>J131-L131</f>
        <v>305.52</v>
      </c>
      <c r="N131" s="53">
        <f>IF(J131&lt;&gt;0,M131/J131,"")</f>
        <v>0.36569951163458775</v>
      </c>
      <c r="O131" s="23">
        <v>0</v>
      </c>
      <c r="P131" s="25">
        <v>0</v>
      </c>
      <c r="Q131" s="24">
        <v>0</v>
      </c>
      <c r="R131" s="24">
        <f>O131-Q131</f>
        <v>0</v>
      </c>
      <c r="S131" s="53" t="str">
        <f>IF(O131&lt;&gt;0,R131/O131,"")</f>
        <v/>
      </c>
      <c r="T131" s="10"/>
      <c r="U131" s="23">
        <v>0</v>
      </c>
      <c r="V131" s="25">
        <v>0</v>
      </c>
      <c r="W131" s="24">
        <v>0</v>
      </c>
      <c r="X131" s="24">
        <f>U131-W131</f>
        <v>0</v>
      </c>
      <c r="Y131" s="53" t="str">
        <f>IF(U131&lt;&gt;0,X131/U131,"")</f>
        <v/>
      </c>
      <c r="Z131" s="23">
        <v>0</v>
      </c>
      <c r="AA131" s="25">
        <v>0</v>
      </c>
      <c r="AB131" s="24">
        <v>0</v>
      </c>
      <c r="AC131" s="24">
        <f t="shared" si="17"/>
        <v>0</v>
      </c>
      <c r="AD131" s="53" t="str">
        <f t="shared" si="18"/>
        <v/>
      </c>
      <c r="AE131" s="10"/>
    </row>
    <row r="132" spans="1:31" x14ac:dyDescent="0.25">
      <c r="A132" s="14" t="s">
        <v>109</v>
      </c>
      <c r="C132" s="61" t="str">
        <f t="shared" si="16"/>
        <v>C100013</v>
      </c>
      <c r="F132" s="8" t="str">
        <f>"S100013"</f>
        <v>S100013</v>
      </c>
      <c r="G132" s="9" t="str">
        <f>"Mesh BALL CAP"</f>
        <v>Mesh BALL CAP</v>
      </c>
      <c r="H132" s="47"/>
      <c r="I132" s="47"/>
      <c r="J132" s="23">
        <v>310.45999999999998</v>
      </c>
      <c r="K132" s="25">
        <v>48</v>
      </c>
      <c r="L132" s="24">
        <v>165.12</v>
      </c>
      <c r="M132" s="24">
        <f>J132-L132</f>
        <v>145.33999999999997</v>
      </c>
      <c r="N132" s="53">
        <f>IF(J132&lt;&gt;0,M132/J132,"")</f>
        <v>0.46814404432132961</v>
      </c>
      <c r="O132" s="23">
        <v>0</v>
      </c>
      <c r="P132" s="25">
        <v>0</v>
      </c>
      <c r="Q132" s="24">
        <v>0</v>
      </c>
      <c r="R132" s="24">
        <f>O132-Q132</f>
        <v>0</v>
      </c>
      <c r="S132" s="53" t="str">
        <f>IF(O132&lt;&gt;0,R132/O132,"")</f>
        <v/>
      </c>
      <c r="T132" s="10"/>
      <c r="U132" s="23">
        <v>0</v>
      </c>
      <c r="V132" s="25">
        <v>0</v>
      </c>
      <c r="W132" s="24">
        <v>0</v>
      </c>
      <c r="X132" s="24">
        <f>U132-W132</f>
        <v>0</v>
      </c>
      <c r="Y132" s="53" t="str">
        <f>IF(U132&lt;&gt;0,X132/U132,"")</f>
        <v/>
      </c>
      <c r="Z132" s="23">
        <v>0</v>
      </c>
      <c r="AA132" s="25">
        <v>0</v>
      </c>
      <c r="AB132" s="24">
        <v>0</v>
      </c>
      <c r="AC132" s="24">
        <f t="shared" si="17"/>
        <v>0</v>
      </c>
      <c r="AD132" s="53" t="str">
        <f t="shared" si="18"/>
        <v/>
      </c>
      <c r="AE132" s="10"/>
    </row>
    <row r="133" spans="1:31" x14ac:dyDescent="0.25">
      <c r="A133" s="14" t="s">
        <v>109</v>
      </c>
      <c r="C133" s="61" t="str">
        <f t="shared" si="16"/>
        <v>C100013</v>
      </c>
      <c r="F133" s="8" t="str">
        <f>"S100015"</f>
        <v>S100015</v>
      </c>
      <c r="G133" s="9" t="str">
        <f>"Raw-Edge Bucket Hat"</f>
        <v>Raw-Edge Bucket Hat</v>
      </c>
      <c r="H133" s="47"/>
      <c r="I133" s="47"/>
      <c r="J133" s="23">
        <v>1042.8800000000001</v>
      </c>
      <c r="K133" s="25">
        <v>144</v>
      </c>
      <c r="L133" s="24">
        <v>524.17000000000007</v>
      </c>
      <c r="M133" s="24">
        <f>J133-L133</f>
        <v>518.71</v>
      </c>
      <c r="N133" s="53">
        <f>IF(J133&lt;&gt;0,M133/J133,"")</f>
        <v>0.49738224915618284</v>
      </c>
      <c r="O133" s="23">
        <v>2085.7600000000002</v>
      </c>
      <c r="P133" s="25">
        <v>288</v>
      </c>
      <c r="Q133" s="24">
        <v>1048.3400000000001</v>
      </c>
      <c r="R133" s="24">
        <f>O133-Q133</f>
        <v>1037.42</v>
      </c>
      <c r="S133" s="53">
        <f>IF(O133&lt;&gt;0,R133/O133,"")</f>
        <v>0.49738224915618284</v>
      </c>
      <c r="T133" s="10"/>
      <c r="U133" s="23">
        <v>0</v>
      </c>
      <c r="V133" s="25">
        <v>0</v>
      </c>
      <c r="W133" s="24">
        <v>0</v>
      </c>
      <c r="X133" s="24">
        <f>U133-W133</f>
        <v>0</v>
      </c>
      <c r="Y133" s="53" t="str">
        <f>IF(U133&lt;&gt;0,X133/U133,"")</f>
        <v/>
      </c>
      <c r="Z133" s="23">
        <v>0</v>
      </c>
      <c r="AA133" s="25">
        <v>0</v>
      </c>
      <c r="AB133" s="24">
        <v>0</v>
      </c>
      <c r="AC133" s="24">
        <f t="shared" si="17"/>
        <v>0</v>
      </c>
      <c r="AD133" s="53" t="str">
        <f t="shared" si="18"/>
        <v/>
      </c>
      <c r="AE133" s="10"/>
    </row>
    <row r="134" spans="1:31" x14ac:dyDescent="0.25">
      <c r="A134" s="14" t="s">
        <v>109</v>
      </c>
      <c r="C134" s="61" t="str">
        <f t="shared" si="16"/>
        <v>C100013</v>
      </c>
      <c r="F134" s="8" t="str">
        <f>"S100018"</f>
        <v>S100018</v>
      </c>
      <c r="G134" s="9" t="str">
        <f>"Crusher Bucket Hat"</f>
        <v>Crusher Bucket Hat</v>
      </c>
      <c r="H134" s="47"/>
      <c r="I134" s="47"/>
      <c r="J134" s="23">
        <v>0</v>
      </c>
      <c r="K134" s="25">
        <v>0</v>
      </c>
      <c r="L134" s="24">
        <v>0</v>
      </c>
      <c r="M134" s="24">
        <f>J134-L134</f>
        <v>0</v>
      </c>
      <c r="N134" s="53" t="str">
        <f>IF(J134&lt;&gt;0,M134/J134,"")</f>
        <v/>
      </c>
      <c r="O134" s="23">
        <v>43.63</v>
      </c>
      <c r="P134" s="25">
        <v>6</v>
      </c>
      <c r="Q134" s="24">
        <v>21</v>
      </c>
      <c r="R134" s="24">
        <f>O134-Q134</f>
        <v>22.630000000000003</v>
      </c>
      <c r="S134" s="53">
        <f>IF(O134&lt;&gt;0,R134/O134,"")</f>
        <v>0.51867980747192299</v>
      </c>
      <c r="T134" s="10"/>
      <c r="U134" s="23">
        <v>0</v>
      </c>
      <c r="V134" s="25">
        <v>0</v>
      </c>
      <c r="W134" s="24">
        <v>0</v>
      </c>
      <c r="X134" s="24">
        <f>U134-W134</f>
        <v>0</v>
      </c>
      <c r="Y134" s="53" t="str">
        <f>IF(U134&lt;&gt;0,X134/U134,"")</f>
        <v/>
      </c>
      <c r="Z134" s="23">
        <v>0</v>
      </c>
      <c r="AA134" s="25">
        <v>0</v>
      </c>
      <c r="AB134" s="24">
        <v>0</v>
      </c>
      <c r="AC134" s="24">
        <f t="shared" si="17"/>
        <v>0</v>
      </c>
      <c r="AD134" s="53" t="str">
        <f t="shared" si="18"/>
        <v/>
      </c>
      <c r="AE134" s="10"/>
    </row>
    <row r="135" spans="1:31" x14ac:dyDescent="0.25">
      <c r="A135" s="14" t="s">
        <v>109</v>
      </c>
      <c r="C135" s="61" t="str">
        <f t="shared" si="16"/>
        <v>C100013</v>
      </c>
      <c r="F135" s="8" t="str">
        <f>"S100019"</f>
        <v>S100019</v>
      </c>
      <c r="G135" s="9" t="str">
        <f>"Sportsman Bucket Hat"</f>
        <v>Sportsman Bucket Hat</v>
      </c>
      <c r="H135" s="47"/>
      <c r="I135" s="47"/>
      <c r="J135" s="23">
        <v>647.74</v>
      </c>
      <c r="K135" s="25">
        <v>144</v>
      </c>
      <c r="L135" s="24">
        <v>349.93</v>
      </c>
      <c r="M135" s="24">
        <f>J135-L135</f>
        <v>297.81</v>
      </c>
      <c r="N135" s="53">
        <f>IF(J135&lt;&gt;0,M135/J135,"")</f>
        <v>0.45976780807113965</v>
      </c>
      <c r="O135" s="23">
        <v>0</v>
      </c>
      <c r="P135" s="25">
        <v>0</v>
      </c>
      <c r="Q135" s="24">
        <v>0</v>
      </c>
      <c r="R135" s="24">
        <f>O135-Q135</f>
        <v>0</v>
      </c>
      <c r="S135" s="53" t="str">
        <f>IF(O135&lt;&gt;0,R135/O135,"")</f>
        <v/>
      </c>
      <c r="T135" s="10"/>
      <c r="U135" s="23">
        <v>0</v>
      </c>
      <c r="V135" s="25">
        <v>0</v>
      </c>
      <c r="W135" s="24">
        <v>0</v>
      </c>
      <c r="X135" s="24">
        <f>U135-W135</f>
        <v>0</v>
      </c>
      <c r="Y135" s="53" t="str">
        <f>IF(U135&lt;&gt;0,X135/U135,"")</f>
        <v/>
      </c>
      <c r="Z135" s="23">
        <v>0</v>
      </c>
      <c r="AA135" s="25">
        <v>0</v>
      </c>
      <c r="AB135" s="24">
        <v>0</v>
      </c>
      <c r="AC135" s="24">
        <f t="shared" si="17"/>
        <v>0</v>
      </c>
      <c r="AD135" s="53" t="str">
        <f t="shared" si="18"/>
        <v/>
      </c>
      <c r="AE135" s="10"/>
    </row>
    <row r="136" spans="1:31" x14ac:dyDescent="0.25">
      <c r="A136" s="14" t="s">
        <v>109</v>
      </c>
      <c r="C136" s="61" t="str">
        <f t="shared" si="16"/>
        <v>C100013</v>
      </c>
      <c r="F136" s="8" t="str">
        <f>"S100020"</f>
        <v>S100020</v>
      </c>
      <c r="G136" s="9" t="str">
        <f>"Super Sport Stopwatch"</f>
        <v>Super Sport Stopwatch</v>
      </c>
      <c r="H136" s="47"/>
      <c r="I136" s="47"/>
      <c r="J136" s="23">
        <v>102.55</v>
      </c>
      <c r="K136" s="25">
        <v>48</v>
      </c>
      <c r="L136" s="24">
        <v>50.4</v>
      </c>
      <c r="M136" s="24">
        <f>J136-L136</f>
        <v>52.15</v>
      </c>
      <c r="N136" s="53">
        <f>IF(J136&lt;&gt;0,M136/J136,"")</f>
        <v>0.50853242320819114</v>
      </c>
      <c r="O136" s="23">
        <v>0</v>
      </c>
      <c r="P136" s="25">
        <v>0</v>
      </c>
      <c r="Q136" s="24">
        <v>0</v>
      </c>
      <c r="R136" s="24">
        <f>O136-Q136</f>
        <v>0</v>
      </c>
      <c r="S136" s="53" t="str">
        <f>IF(O136&lt;&gt;0,R136/O136,"")</f>
        <v/>
      </c>
      <c r="T136" s="10"/>
      <c r="U136" s="23">
        <v>0</v>
      </c>
      <c r="V136" s="25">
        <v>0</v>
      </c>
      <c r="W136" s="24">
        <v>0</v>
      </c>
      <c r="X136" s="24">
        <f>U136-W136</f>
        <v>0</v>
      </c>
      <c r="Y136" s="53" t="str">
        <f>IF(U136&lt;&gt;0,X136/U136,"")</f>
        <v/>
      </c>
      <c r="Z136" s="23">
        <v>0</v>
      </c>
      <c r="AA136" s="25">
        <v>0</v>
      </c>
      <c r="AB136" s="24">
        <v>0</v>
      </c>
      <c r="AC136" s="24">
        <f t="shared" si="17"/>
        <v>0</v>
      </c>
      <c r="AD136" s="53" t="str">
        <f t="shared" si="18"/>
        <v/>
      </c>
      <c r="AE136" s="10"/>
    </row>
    <row r="137" spans="1:31" ht="15.75" thickBot="1" x14ac:dyDescent="0.3">
      <c r="A137" s="14" t="s">
        <v>109</v>
      </c>
      <c r="C137" s="61" t="str">
        <f>C111</f>
        <v>C100013</v>
      </c>
      <c r="J137" s="10"/>
      <c r="K137" s="11"/>
      <c r="L137" s="11"/>
      <c r="M137" s="11"/>
      <c r="N137" s="12"/>
      <c r="O137" s="10"/>
      <c r="P137" s="11"/>
      <c r="Q137" s="11"/>
      <c r="R137" s="11"/>
      <c r="S137" s="12"/>
      <c r="U137" s="10"/>
      <c r="V137" s="11"/>
      <c r="W137" s="11"/>
      <c r="X137" s="11"/>
      <c r="Y137" s="12"/>
      <c r="Z137" s="10"/>
      <c r="AA137" s="11"/>
      <c r="AB137" s="11"/>
      <c r="AC137" s="11"/>
      <c r="AD137" s="12"/>
    </row>
    <row r="138" spans="1:31" ht="15.75" thickBot="1" x14ac:dyDescent="0.3">
      <c r="A138" s="14" t="s">
        <v>109</v>
      </c>
      <c r="C138" s="61" t="str">
        <f t="shared" si="13"/>
        <v>C100013</v>
      </c>
      <c r="G138" s="48" t="str">
        <f>C138&amp;" TOTAL:"</f>
        <v>C100013 TOTAL:</v>
      </c>
      <c r="H138" s="50"/>
      <c r="I138" s="50"/>
      <c r="J138" s="34">
        <f>SUBTOTAL(9,J110:J137)</f>
        <v>27416.420000000002</v>
      </c>
      <c r="K138" s="35">
        <f>SUBTOTAL(9,K110:K137)</f>
        <v>1692</v>
      </c>
      <c r="L138" s="36">
        <f>SUBTOTAL(9,L110:L137)</f>
        <v>14201.130000000001</v>
      </c>
      <c r="M138" s="36">
        <f>J138-L138</f>
        <v>13215.29</v>
      </c>
      <c r="N138" s="37">
        <f>IF(J138&lt;&gt;0,M138/J138,"")</f>
        <v>0.48202099325878434</v>
      </c>
      <c r="O138" s="34">
        <f>SUBTOTAL(9,O110:O137)</f>
        <v>12175.849999999999</v>
      </c>
      <c r="P138" s="35">
        <f>SUBTOTAL(9,P110:P137)</f>
        <v>859</v>
      </c>
      <c r="Q138" s="36">
        <f>SUBTOTAL(9,Q110:Q137)</f>
        <v>6736.2499999999991</v>
      </c>
      <c r="R138" s="36">
        <f>O138-Q138</f>
        <v>5439.5999999999995</v>
      </c>
      <c r="S138" s="37">
        <f>IF(O138&lt;&gt;0,R138/O138,"")</f>
        <v>0.44675320408842095</v>
      </c>
      <c r="U138" s="34">
        <f>SUBTOTAL(9,U110:U137)</f>
        <v>0</v>
      </c>
      <c r="V138" s="35">
        <f>SUBTOTAL(9,V110:V137)</f>
        <v>0</v>
      </c>
      <c r="W138" s="36">
        <f>SUBTOTAL(9,W110:W137)</f>
        <v>0</v>
      </c>
      <c r="X138" s="36">
        <f>U138-W138</f>
        <v>0</v>
      </c>
      <c r="Y138" s="37" t="str">
        <f>IF(U138&lt;&gt;0,X138/U138,"")</f>
        <v/>
      </c>
      <c r="Z138" s="34">
        <f>SUBTOTAL(9,Z110:Z137)</f>
        <v>0</v>
      </c>
      <c r="AA138" s="35">
        <f>SUBTOTAL(9,AA110:AA137)</f>
        <v>0</v>
      </c>
      <c r="AB138" s="36">
        <f>SUBTOTAL(9,AB110:AB137)</f>
        <v>0</v>
      </c>
      <c r="AC138" s="36">
        <f t="shared" ref="AC138" si="19">Z138-AB138</f>
        <v>0</v>
      </c>
      <c r="AD138" s="37" t="str">
        <f t="shared" ref="AD138" si="20">IF(Z138&lt;&gt;0,AC138/Z138,"")</f>
        <v/>
      </c>
    </row>
    <row r="139" spans="1:31" x14ac:dyDescent="0.25">
      <c r="A139" s="14" t="s">
        <v>109</v>
      </c>
      <c r="C139" s="66"/>
      <c r="J139" s="10"/>
      <c r="K139" s="11"/>
      <c r="L139" s="11"/>
      <c r="M139" s="11"/>
      <c r="N139" s="12"/>
      <c r="O139" s="10"/>
      <c r="P139" s="11"/>
      <c r="Q139" s="11"/>
      <c r="R139" s="11"/>
      <c r="S139" s="12"/>
      <c r="U139" s="10"/>
      <c r="V139" s="11"/>
      <c r="W139" s="11"/>
      <c r="X139" s="11"/>
      <c r="Y139" s="12"/>
      <c r="Z139" s="10"/>
      <c r="AA139" s="11"/>
      <c r="AB139" s="11"/>
      <c r="AC139" s="11"/>
      <c r="AD139" s="12"/>
    </row>
    <row r="140" spans="1:31" ht="15.75" x14ac:dyDescent="0.25">
      <c r="A140" s="14" t="s">
        <v>109</v>
      </c>
      <c r="C140" s="66" t="str">
        <f t="shared" ref="C140" si="21">E140</f>
        <v>C100015</v>
      </c>
      <c r="E140" s="13" t="str">
        <f>"C100015"</f>
        <v>C100015</v>
      </c>
      <c r="F140" s="13"/>
      <c r="G140" s="13" t="str">
        <f>"Carl Anthony"</f>
        <v>Carl Anthony</v>
      </c>
      <c r="H140" s="13"/>
      <c r="I140" s="13"/>
      <c r="J140" s="10"/>
      <c r="K140" s="11"/>
      <c r="L140" s="11"/>
      <c r="M140" s="11"/>
      <c r="N140" s="12"/>
      <c r="O140" s="10"/>
      <c r="P140" s="11"/>
      <c r="Q140" s="11"/>
      <c r="R140" s="11"/>
      <c r="S140" s="12"/>
      <c r="U140" s="10"/>
      <c r="V140" s="11"/>
      <c r="W140" s="11"/>
      <c r="X140" s="11"/>
      <c r="Y140" s="12"/>
      <c r="Z140" s="10"/>
      <c r="AA140" s="11"/>
      <c r="AB140" s="11"/>
      <c r="AC140" s="11"/>
      <c r="AD140" s="12"/>
    </row>
    <row r="141" spans="1:31" ht="6.6" customHeight="1" x14ac:dyDescent="0.25">
      <c r="A141" s="14" t="s">
        <v>109</v>
      </c>
      <c r="C141" s="61" t="str">
        <f t="shared" ref="C141:C163" si="22">C140</f>
        <v>C100015</v>
      </c>
      <c r="J141" s="10"/>
      <c r="K141" s="11"/>
      <c r="L141" s="11"/>
      <c r="M141" s="11"/>
      <c r="N141" s="12"/>
      <c r="O141" s="10"/>
      <c r="P141" s="11"/>
      <c r="Q141" s="11"/>
      <c r="R141" s="11"/>
      <c r="S141" s="12"/>
      <c r="U141" s="10"/>
      <c r="V141" s="11"/>
      <c r="W141" s="11"/>
      <c r="X141" s="11"/>
      <c r="Y141" s="12"/>
      <c r="Z141" s="10"/>
      <c r="AA141" s="11"/>
      <c r="AB141" s="11"/>
      <c r="AC141" s="11"/>
      <c r="AD141" s="12"/>
    </row>
    <row r="142" spans="1:31" x14ac:dyDescent="0.25">
      <c r="A142" s="14" t="s">
        <v>109</v>
      </c>
      <c r="C142" s="61" t="str">
        <f t="shared" si="22"/>
        <v>C100015</v>
      </c>
      <c r="F142" s="8" t="str">
        <f>"C100004"</f>
        <v>C100004</v>
      </c>
      <c r="G142" s="9" t="str">
        <f>"Walnut Medallian Plate"</f>
        <v>Walnut Medallian Plate</v>
      </c>
      <c r="H142" s="47"/>
      <c r="I142" s="47"/>
      <c r="J142" s="23">
        <v>0</v>
      </c>
      <c r="K142" s="25">
        <v>0</v>
      </c>
      <c r="L142" s="24">
        <v>0</v>
      </c>
      <c r="M142" s="24">
        <f>J142-L142</f>
        <v>0</v>
      </c>
      <c r="N142" s="53" t="str">
        <f>IF(J142&lt;&gt;0,M142/J142,"")</f>
        <v/>
      </c>
      <c r="O142" s="23">
        <v>8205.92</v>
      </c>
      <c r="P142" s="25">
        <v>144</v>
      </c>
      <c r="Q142" s="24">
        <v>4406.3899999999994</v>
      </c>
      <c r="R142" s="24">
        <f>O142-Q142</f>
        <v>3799.5300000000007</v>
      </c>
      <c r="S142" s="53">
        <f>IF(O142&lt;&gt;0,R142/O142,"")</f>
        <v>0.46302303702692699</v>
      </c>
      <c r="T142" s="10"/>
      <c r="U142" s="23">
        <v>8034.96</v>
      </c>
      <c r="V142" s="25">
        <v>144</v>
      </c>
      <c r="W142" s="24">
        <v>4406.3899999999994</v>
      </c>
      <c r="X142" s="24">
        <f>U142-W142</f>
        <v>3628.5700000000006</v>
      </c>
      <c r="Y142" s="53">
        <f>IF(U142&lt;&gt;0,X142/U142,"")</f>
        <v>0.45159776775491112</v>
      </c>
      <c r="Z142" s="23">
        <v>0</v>
      </c>
      <c r="AA142" s="25">
        <v>0</v>
      </c>
      <c r="AB142" s="24">
        <v>0</v>
      </c>
      <c r="AC142" s="24">
        <f t="shared" ref="AC142" si="23">Z142-AB142</f>
        <v>0</v>
      </c>
      <c r="AD142" s="53" t="str">
        <f t="shared" ref="AD142" si="24">IF(Z142&lt;&gt;0,AC142/Z142,"")</f>
        <v/>
      </c>
      <c r="AE142" s="10"/>
    </row>
    <row r="143" spans="1:31" x14ac:dyDescent="0.25">
      <c r="A143" s="14" t="s">
        <v>109</v>
      </c>
      <c r="C143" s="61" t="str">
        <f t="shared" ref="C143:C161" si="25">C142</f>
        <v>C100015</v>
      </c>
      <c r="F143" s="8" t="str">
        <f>"C100006"</f>
        <v>C100006</v>
      </c>
      <c r="G143" s="9" t="str">
        <f>"Cherry Finished Crystal Award- Large"</f>
        <v>Cherry Finished Crystal Award- Large</v>
      </c>
      <c r="H143" s="47"/>
      <c r="I143" s="47"/>
      <c r="J143" s="23">
        <v>0</v>
      </c>
      <c r="K143" s="25">
        <v>0</v>
      </c>
      <c r="L143" s="24">
        <v>0</v>
      </c>
      <c r="M143" s="24">
        <f>J143-L143</f>
        <v>0</v>
      </c>
      <c r="N143" s="53" t="str">
        <f>IF(J143&lt;&gt;0,M143/J143,"")</f>
        <v/>
      </c>
      <c r="O143" s="23">
        <v>401.46</v>
      </c>
      <c r="P143" s="25">
        <v>2</v>
      </c>
      <c r="Q143" s="24">
        <v>190.08</v>
      </c>
      <c r="R143" s="24">
        <f>O143-Q143</f>
        <v>211.37999999999997</v>
      </c>
      <c r="S143" s="53">
        <f>IF(O143&lt;&gt;0,R143/O143,"")</f>
        <v>0.52652817217157366</v>
      </c>
      <c r="T143" s="10"/>
      <c r="U143" s="23">
        <v>0</v>
      </c>
      <c r="V143" s="25">
        <v>0</v>
      </c>
      <c r="W143" s="24">
        <v>0</v>
      </c>
      <c r="X143" s="24">
        <f>U143-W143</f>
        <v>0</v>
      </c>
      <c r="Y143" s="53" t="str">
        <f>IF(U143&lt;&gt;0,X143/U143,"")</f>
        <v/>
      </c>
      <c r="Z143" s="23">
        <v>0</v>
      </c>
      <c r="AA143" s="25">
        <v>0</v>
      </c>
      <c r="AB143" s="24">
        <v>0</v>
      </c>
      <c r="AC143" s="24">
        <f t="shared" ref="AC143:AC161" si="26">Z143-AB143</f>
        <v>0</v>
      </c>
      <c r="AD143" s="53" t="str">
        <f t="shared" ref="AD143:AD161" si="27">IF(Z143&lt;&gt;0,AC143/Z143,"")</f>
        <v/>
      </c>
      <c r="AE143" s="10"/>
    </row>
    <row r="144" spans="1:31" x14ac:dyDescent="0.25">
      <c r="A144" s="14" t="s">
        <v>109</v>
      </c>
      <c r="C144" s="61" t="str">
        <f t="shared" si="25"/>
        <v>C100015</v>
      </c>
      <c r="F144" s="8" t="str">
        <f>"C100007"</f>
        <v>C100007</v>
      </c>
      <c r="G144" s="9" t="str">
        <f>"7.5'' Bud Vase"</f>
        <v>7.5'' Bud Vase</v>
      </c>
      <c r="H144" s="47"/>
      <c r="I144" s="47"/>
      <c r="J144" s="23">
        <v>0</v>
      </c>
      <c r="K144" s="25">
        <v>0</v>
      </c>
      <c r="L144" s="24">
        <v>0</v>
      </c>
      <c r="M144" s="24">
        <f>J144-L144</f>
        <v>0</v>
      </c>
      <c r="N144" s="53" t="str">
        <f>IF(J144&lt;&gt;0,M144/J144,"")</f>
        <v/>
      </c>
      <c r="O144" s="23">
        <v>474.90000000000003</v>
      </c>
      <c r="P144" s="25">
        <v>288</v>
      </c>
      <c r="Q144" s="24">
        <v>293.77999999999997</v>
      </c>
      <c r="R144" s="24">
        <f>O144-Q144</f>
        <v>181.12000000000006</v>
      </c>
      <c r="S144" s="53">
        <f>IF(O144&lt;&gt;0,R144/O144,"")</f>
        <v>0.3813855548536535</v>
      </c>
      <c r="T144" s="10"/>
      <c r="U144" s="23">
        <v>243.16</v>
      </c>
      <c r="V144" s="25">
        <v>146</v>
      </c>
      <c r="W144" s="24">
        <v>148.93</v>
      </c>
      <c r="X144" s="24">
        <f>U144-W144</f>
        <v>94.22999999999999</v>
      </c>
      <c r="Y144" s="53">
        <f>IF(U144&lt;&gt;0,X144/U144,"")</f>
        <v>0.38752261885178479</v>
      </c>
      <c r="Z144" s="23">
        <v>0</v>
      </c>
      <c r="AA144" s="25">
        <v>0</v>
      </c>
      <c r="AB144" s="24">
        <v>0</v>
      </c>
      <c r="AC144" s="24">
        <f t="shared" si="26"/>
        <v>0</v>
      </c>
      <c r="AD144" s="53" t="str">
        <f t="shared" si="27"/>
        <v/>
      </c>
      <c r="AE144" s="10"/>
    </row>
    <row r="145" spans="1:31" x14ac:dyDescent="0.25">
      <c r="A145" s="14" t="s">
        <v>109</v>
      </c>
      <c r="C145" s="61" t="str">
        <f t="shared" si="25"/>
        <v>C100015</v>
      </c>
      <c r="F145" s="8" t="str">
        <f>"C100008"</f>
        <v>C100008</v>
      </c>
      <c r="G145" s="9" t="str">
        <f>"Glacier Vase"</f>
        <v>Glacier Vase</v>
      </c>
      <c r="H145" s="47"/>
      <c r="I145" s="47"/>
      <c r="J145" s="23">
        <v>0</v>
      </c>
      <c r="K145" s="25">
        <v>0</v>
      </c>
      <c r="L145" s="24">
        <v>0</v>
      </c>
      <c r="M145" s="24">
        <f>J145-L145</f>
        <v>0</v>
      </c>
      <c r="N145" s="53" t="str">
        <f>IF(J145&lt;&gt;0,M145/J145,"")</f>
        <v/>
      </c>
      <c r="O145" s="23">
        <v>1490</v>
      </c>
      <c r="P145" s="25">
        <v>168</v>
      </c>
      <c r="Q145" s="24">
        <v>713.99</v>
      </c>
      <c r="R145" s="24">
        <f>O145-Q145</f>
        <v>776.01</v>
      </c>
      <c r="S145" s="53">
        <f>IF(O145&lt;&gt;0,R145/O145,"")</f>
        <v>0.52081208053691275</v>
      </c>
      <c r="T145" s="10"/>
      <c r="U145" s="23">
        <v>8.8699999999999992</v>
      </c>
      <c r="V145" s="25">
        <v>1</v>
      </c>
      <c r="W145" s="24">
        <v>4.25</v>
      </c>
      <c r="X145" s="24">
        <f>U145-W145</f>
        <v>4.6199999999999992</v>
      </c>
      <c r="Y145" s="53">
        <f>IF(U145&lt;&gt;0,X145/U145,"")</f>
        <v>0.52085682074408113</v>
      </c>
      <c r="Z145" s="23">
        <v>0</v>
      </c>
      <c r="AA145" s="25">
        <v>0</v>
      </c>
      <c r="AB145" s="24">
        <v>0</v>
      </c>
      <c r="AC145" s="24">
        <f t="shared" si="26"/>
        <v>0</v>
      </c>
      <c r="AD145" s="53" t="str">
        <f t="shared" si="27"/>
        <v/>
      </c>
      <c r="AE145" s="10"/>
    </row>
    <row r="146" spans="1:31" x14ac:dyDescent="0.25">
      <c r="A146" s="14" t="s">
        <v>109</v>
      </c>
      <c r="C146" s="61" t="str">
        <f t="shared" si="25"/>
        <v>C100015</v>
      </c>
      <c r="F146" s="8" t="str">
        <f>"C100009"</f>
        <v>C100009</v>
      </c>
      <c r="G146" s="9" t="str">
        <f>"Normandy Vase"</f>
        <v>Normandy Vase</v>
      </c>
      <c r="H146" s="47"/>
      <c r="I146" s="47"/>
      <c r="J146" s="23">
        <v>0</v>
      </c>
      <c r="K146" s="25">
        <v>0</v>
      </c>
      <c r="L146" s="24">
        <v>0</v>
      </c>
      <c r="M146" s="24">
        <f>J146-L146</f>
        <v>0</v>
      </c>
      <c r="N146" s="53" t="str">
        <f>IF(J146&lt;&gt;0,M146/J146,"")</f>
        <v/>
      </c>
      <c r="O146" s="23">
        <v>1872.6599999999999</v>
      </c>
      <c r="P146" s="25">
        <v>48</v>
      </c>
      <c r="Q146" s="24">
        <v>1224.95</v>
      </c>
      <c r="R146" s="24">
        <f>O146-Q146</f>
        <v>647.70999999999981</v>
      </c>
      <c r="S146" s="53">
        <f>IF(O146&lt;&gt;0,R146/O146,"")</f>
        <v>0.34587698781412529</v>
      </c>
      <c r="T146" s="10"/>
      <c r="U146" s="23">
        <v>0</v>
      </c>
      <c r="V146" s="25">
        <v>0</v>
      </c>
      <c r="W146" s="24">
        <v>0</v>
      </c>
      <c r="X146" s="24">
        <f>U146-W146</f>
        <v>0</v>
      </c>
      <c r="Y146" s="53" t="str">
        <f>IF(U146&lt;&gt;0,X146/U146,"")</f>
        <v/>
      </c>
      <c r="Z146" s="23">
        <v>0</v>
      </c>
      <c r="AA146" s="25">
        <v>0</v>
      </c>
      <c r="AB146" s="24">
        <v>0</v>
      </c>
      <c r="AC146" s="24">
        <f t="shared" si="26"/>
        <v>0</v>
      </c>
      <c r="AD146" s="53" t="str">
        <f t="shared" si="27"/>
        <v/>
      </c>
      <c r="AE146" s="10"/>
    </row>
    <row r="147" spans="1:31" x14ac:dyDescent="0.25">
      <c r="A147" s="14" t="s">
        <v>109</v>
      </c>
      <c r="C147" s="61" t="str">
        <f t="shared" si="25"/>
        <v>C100015</v>
      </c>
      <c r="F147" s="8" t="str">
        <f>"C100010"</f>
        <v>C100010</v>
      </c>
      <c r="G147" s="9" t="str">
        <f>"Wisper-Cut Vase"</f>
        <v>Wisper-Cut Vase</v>
      </c>
      <c r="H147" s="47"/>
      <c r="I147" s="47"/>
      <c r="J147" s="23">
        <v>0</v>
      </c>
      <c r="K147" s="25">
        <v>0</v>
      </c>
      <c r="L147" s="24">
        <v>0</v>
      </c>
      <c r="M147" s="24">
        <f>J147-L147</f>
        <v>0</v>
      </c>
      <c r="N147" s="53" t="str">
        <f>IF(J147&lt;&gt;0,M147/J147,"")</f>
        <v/>
      </c>
      <c r="O147" s="23">
        <v>11871</v>
      </c>
      <c r="P147" s="25">
        <v>144</v>
      </c>
      <c r="Q147" s="24">
        <v>5795.9800000000005</v>
      </c>
      <c r="R147" s="24">
        <f>O147-Q147</f>
        <v>6075.0199999999995</v>
      </c>
      <c r="S147" s="53">
        <f>IF(O147&lt;&gt;0,R147/O147,"")</f>
        <v>0.5117530115407295</v>
      </c>
      <c r="T147" s="10"/>
      <c r="U147" s="23">
        <v>0</v>
      </c>
      <c r="V147" s="25">
        <v>0</v>
      </c>
      <c r="W147" s="24">
        <v>0</v>
      </c>
      <c r="X147" s="24">
        <f>U147-W147</f>
        <v>0</v>
      </c>
      <c r="Y147" s="53" t="str">
        <f>IF(U147&lt;&gt;0,X147/U147,"")</f>
        <v/>
      </c>
      <c r="Z147" s="23">
        <v>0</v>
      </c>
      <c r="AA147" s="25">
        <v>0</v>
      </c>
      <c r="AB147" s="24">
        <v>0</v>
      </c>
      <c r="AC147" s="24">
        <f t="shared" si="26"/>
        <v>0</v>
      </c>
      <c r="AD147" s="53" t="str">
        <f t="shared" si="27"/>
        <v/>
      </c>
      <c r="AE147" s="10"/>
    </row>
    <row r="148" spans="1:31" x14ac:dyDescent="0.25">
      <c r="A148" s="14" t="s">
        <v>109</v>
      </c>
      <c r="C148" s="61" t="str">
        <f t="shared" si="25"/>
        <v>C100015</v>
      </c>
      <c r="F148" s="8" t="str">
        <f>"C100031"</f>
        <v>C100031</v>
      </c>
      <c r="G148" s="9" t="str">
        <f>"Carabiner Watch"</f>
        <v>Carabiner Watch</v>
      </c>
      <c r="H148" s="47"/>
      <c r="I148" s="47"/>
      <c r="J148" s="23">
        <v>0</v>
      </c>
      <c r="K148" s="25">
        <v>0</v>
      </c>
      <c r="L148" s="24">
        <v>0</v>
      </c>
      <c r="M148" s="24">
        <f>J148-L148</f>
        <v>0</v>
      </c>
      <c r="N148" s="53" t="str">
        <f>IF(J148&lt;&gt;0,M148/J148,"")</f>
        <v/>
      </c>
      <c r="O148" s="23">
        <v>2609.98</v>
      </c>
      <c r="P148" s="25">
        <v>144</v>
      </c>
      <c r="Q148" s="24">
        <v>1235.52</v>
      </c>
      <c r="R148" s="24">
        <f>O148-Q148</f>
        <v>1374.46</v>
      </c>
      <c r="S148" s="53">
        <f>IF(O148&lt;&gt;0,R148/O148,"")</f>
        <v>0.52661706219971038</v>
      </c>
      <c r="T148" s="10"/>
      <c r="U148" s="23">
        <v>0</v>
      </c>
      <c r="V148" s="25">
        <v>0</v>
      </c>
      <c r="W148" s="24">
        <v>0</v>
      </c>
      <c r="X148" s="24">
        <f>U148-W148</f>
        <v>0</v>
      </c>
      <c r="Y148" s="53" t="str">
        <f>IF(U148&lt;&gt;0,X148/U148,"")</f>
        <v/>
      </c>
      <c r="Z148" s="23">
        <v>0</v>
      </c>
      <c r="AA148" s="25">
        <v>0</v>
      </c>
      <c r="AB148" s="24">
        <v>0</v>
      </c>
      <c r="AC148" s="24">
        <f t="shared" si="26"/>
        <v>0</v>
      </c>
      <c r="AD148" s="53" t="str">
        <f t="shared" si="27"/>
        <v/>
      </c>
      <c r="AE148" s="10"/>
    </row>
    <row r="149" spans="1:31" x14ac:dyDescent="0.25">
      <c r="A149" s="14" t="s">
        <v>109</v>
      </c>
      <c r="C149" s="61" t="str">
        <f t="shared" si="25"/>
        <v>C100015</v>
      </c>
      <c r="F149" s="8" t="str">
        <f>"C100033"</f>
        <v>C100033</v>
      </c>
      <c r="G149" s="9" t="str">
        <f>"Frames &amp; Clock"</f>
        <v>Frames &amp; Clock</v>
      </c>
      <c r="H149" s="47"/>
      <c r="I149" s="47"/>
      <c r="J149" s="23">
        <v>0</v>
      </c>
      <c r="K149" s="25">
        <v>0</v>
      </c>
      <c r="L149" s="24">
        <v>0</v>
      </c>
      <c r="M149" s="24">
        <f>J149-L149</f>
        <v>0</v>
      </c>
      <c r="N149" s="53" t="str">
        <f>IF(J149&lt;&gt;0,M149/J149,"")</f>
        <v/>
      </c>
      <c r="O149" s="23">
        <v>27.88</v>
      </c>
      <c r="P149" s="25">
        <v>6</v>
      </c>
      <c r="Q149" s="24">
        <v>17.28</v>
      </c>
      <c r="R149" s="24">
        <f>O149-Q149</f>
        <v>10.599999999999998</v>
      </c>
      <c r="S149" s="53">
        <f>IF(O149&lt;&gt;0,R149/O149,"")</f>
        <v>0.38020086083213767</v>
      </c>
      <c r="T149" s="10"/>
      <c r="U149" s="23">
        <v>0</v>
      </c>
      <c r="V149" s="25">
        <v>0</v>
      </c>
      <c r="W149" s="24">
        <v>0</v>
      </c>
      <c r="X149" s="24">
        <f>U149-W149</f>
        <v>0</v>
      </c>
      <c r="Y149" s="53" t="str">
        <f>IF(U149&lt;&gt;0,X149/U149,"")</f>
        <v/>
      </c>
      <c r="Z149" s="23">
        <v>0</v>
      </c>
      <c r="AA149" s="25">
        <v>0</v>
      </c>
      <c r="AB149" s="24">
        <v>0</v>
      </c>
      <c r="AC149" s="24">
        <f t="shared" si="26"/>
        <v>0</v>
      </c>
      <c r="AD149" s="53" t="str">
        <f t="shared" si="27"/>
        <v/>
      </c>
      <c r="AE149" s="10"/>
    </row>
    <row r="150" spans="1:31" x14ac:dyDescent="0.25">
      <c r="A150" s="14" t="s">
        <v>109</v>
      </c>
      <c r="C150" s="61" t="str">
        <f t="shared" si="25"/>
        <v>C100015</v>
      </c>
      <c r="F150" s="8" t="str">
        <f>"C100036"</f>
        <v>C100036</v>
      </c>
      <c r="G150" s="9" t="str">
        <f>"Clock &amp; Business Card Holder"</f>
        <v>Clock &amp; Business Card Holder</v>
      </c>
      <c r="H150" s="47"/>
      <c r="I150" s="47"/>
      <c r="J150" s="23">
        <v>0</v>
      </c>
      <c r="K150" s="25">
        <v>0</v>
      </c>
      <c r="L150" s="24">
        <v>0</v>
      </c>
      <c r="M150" s="24">
        <f>J150-L150</f>
        <v>0</v>
      </c>
      <c r="N150" s="53" t="str">
        <f>IF(J150&lt;&gt;0,M150/J150,"")</f>
        <v/>
      </c>
      <c r="O150" s="23">
        <v>8.5299999999999994</v>
      </c>
      <c r="P150" s="25">
        <v>1</v>
      </c>
      <c r="Q150" s="24">
        <v>4.68</v>
      </c>
      <c r="R150" s="24">
        <f>O150-Q150</f>
        <v>3.8499999999999996</v>
      </c>
      <c r="S150" s="53">
        <f>IF(O150&lt;&gt;0,R150/O150,"")</f>
        <v>0.45134818288393902</v>
      </c>
      <c r="T150" s="10"/>
      <c r="U150" s="23">
        <v>0</v>
      </c>
      <c r="V150" s="25">
        <v>0</v>
      </c>
      <c r="W150" s="24">
        <v>0</v>
      </c>
      <c r="X150" s="24">
        <f>U150-W150</f>
        <v>0</v>
      </c>
      <c r="Y150" s="53" t="str">
        <f>IF(U150&lt;&gt;0,X150/U150,"")</f>
        <v/>
      </c>
      <c r="Z150" s="23">
        <v>0</v>
      </c>
      <c r="AA150" s="25">
        <v>0</v>
      </c>
      <c r="AB150" s="24">
        <v>0</v>
      </c>
      <c r="AC150" s="24">
        <f t="shared" si="26"/>
        <v>0</v>
      </c>
      <c r="AD150" s="53" t="str">
        <f t="shared" si="27"/>
        <v/>
      </c>
      <c r="AE150" s="10"/>
    </row>
    <row r="151" spans="1:31" x14ac:dyDescent="0.25">
      <c r="A151" s="14" t="s">
        <v>109</v>
      </c>
      <c r="C151" s="61" t="str">
        <f t="shared" si="25"/>
        <v>C100015</v>
      </c>
      <c r="F151" s="8" t="str">
        <f>"C100037"</f>
        <v>C100037</v>
      </c>
      <c r="G151" s="9" t="str">
        <f>"World Time Travel Alarm"</f>
        <v>World Time Travel Alarm</v>
      </c>
      <c r="H151" s="47"/>
      <c r="I151" s="47"/>
      <c r="J151" s="23">
        <v>0</v>
      </c>
      <c r="K151" s="25">
        <v>0</v>
      </c>
      <c r="L151" s="24">
        <v>0</v>
      </c>
      <c r="M151" s="24">
        <f>J151-L151</f>
        <v>0</v>
      </c>
      <c r="N151" s="53" t="str">
        <f>IF(J151&lt;&gt;0,M151/J151,"")</f>
        <v/>
      </c>
      <c r="O151" s="23">
        <v>1246.93</v>
      </c>
      <c r="P151" s="25">
        <v>144</v>
      </c>
      <c r="Q151" s="24">
        <v>777.6099999999999</v>
      </c>
      <c r="R151" s="24">
        <f>O151-Q151</f>
        <v>469.32000000000016</v>
      </c>
      <c r="S151" s="53">
        <f>IF(O151&lt;&gt;0,R151/O151,"")</f>
        <v>0.37638039023842568</v>
      </c>
      <c r="T151" s="10"/>
      <c r="U151" s="23">
        <v>0</v>
      </c>
      <c r="V151" s="25">
        <v>0</v>
      </c>
      <c r="W151" s="24">
        <v>0</v>
      </c>
      <c r="X151" s="24">
        <f>U151-W151</f>
        <v>0</v>
      </c>
      <c r="Y151" s="53" t="str">
        <f>IF(U151&lt;&gt;0,X151/U151,"")</f>
        <v/>
      </c>
      <c r="Z151" s="23">
        <v>0</v>
      </c>
      <c r="AA151" s="25">
        <v>0</v>
      </c>
      <c r="AB151" s="24">
        <v>0</v>
      </c>
      <c r="AC151" s="24">
        <f t="shared" si="26"/>
        <v>0</v>
      </c>
      <c r="AD151" s="53" t="str">
        <f t="shared" si="27"/>
        <v/>
      </c>
      <c r="AE151" s="10"/>
    </row>
    <row r="152" spans="1:31" x14ac:dyDescent="0.25">
      <c r="A152" s="14" t="s">
        <v>109</v>
      </c>
      <c r="C152" s="61" t="str">
        <f t="shared" si="25"/>
        <v>C100015</v>
      </c>
      <c r="F152" s="8" t="str">
        <f>"C100038"</f>
        <v>C100038</v>
      </c>
      <c r="G152" s="9" t="str">
        <f>"Foldable Travel Speakers"</f>
        <v>Foldable Travel Speakers</v>
      </c>
      <c r="H152" s="47"/>
      <c r="I152" s="47"/>
      <c r="J152" s="23">
        <v>0</v>
      </c>
      <c r="K152" s="25">
        <v>0</v>
      </c>
      <c r="L152" s="24">
        <v>0</v>
      </c>
      <c r="M152" s="24">
        <f>J152-L152</f>
        <v>0</v>
      </c>
      <c r="N152" s="53" t="str">
        <f>IF(J152&lt;&gt;0,M152/J152,"")</f>
        <v/>
      </c>
      <c r="O152" s="23">
        <v>666.31</v>
      </c>
      <c r="P152" s="25">
        <v>144</v>
      </c>
      <c r="Q152" s="24">
        <v>459.35</v>
      </c>
      <c r="R152" s="24">
        <f>O152-Q152</f>
        <v>206.95999999999992</v>
      </c>
      <c r="S152" s="53">
        <f>IF(O152&lt;&gt;0,R152/O152,"")</f>
        <v>0.31060617430325216</v>
      </c>
      <c r="T152" s="10"/>
      <c r="U152" s="23">
        <v>0</v>
      </c>
      <c r="V152" s="25">
        <v>0</v>
      </c>
      <c r="W152" s="24">
        <v>0</v>
      </c>
      <c r="X152" s="24">
        <f>U152-W152</f>
        <v>0</v>
      </c>
      <c r="Y152" s="53" t="str">
        <f>IF(U152&lt;&gt;0,X152/U152,"")</f>
        <v/>
      </c>
      <c r="Z152" s="23">
        <v>0</v>
      </c>
      <c r="AA152" s="25">
        <v>0</v>
      </c>
      <c r="AB152" s="24">
        <v>0</v>
      </c>
      <c r="AC152" s="24">
        <f t="shared" si="26"/>
        <v>0</v>
      </c>
      <c r="AD152" s="53" t="str">
        <f t="shared" si="27"/>
        <v/>
      </c>
      <c r="AE152" s="10"/>
    </row>
    <row r="153" spans="1:31" x14ac:dyDescent="0.25">
      <c r="A153" s="14" t="s">
        <v>109</v>
      </c>
      <c r="C153" s="61" t="str">
        <f t="shared" si="25"/>
        <v>C100015</v>
      </c>
      <c r="F153" s="8" t="str">
        <f>"C100039"</f>
        <v>C100039</v>
      </c>
      <c r="G153" s="9" t="str">
        <f>"Portable Speaker &amp; MP3 Dock"</f>
        <v>Portable Speaker &amp; MP3 Dock</v>
      </c>
      <c r="H153" s="47"/>
      <c r="I153" s="47"/>
      <c r="J153" s="23">
        <v>0</v>
      </c>
      <c r="K153" s="25">
        <v>0</v>
      </c>
      <c r="L153" s="24">
        <v>0</v>
      </c>
      <c r="M153" s="24">
        <f>J153-L153</f>
        <v>0</v>
      </c>
      <c r="N153" s="53" t="str">
        <f>IF(J153&lt;&gt;0,M153/J153,"")</f>
        <v/>
      </c>
      <c r="O153" s="23">
        <v>2141.29</v>
      </c>
      <c r="P153" s="25">
        <v>150</v>
      </c>
      <c r="Q153" s="24">
        <v>1260</v>
      </c>
      <c r="R153" s="24">
        <f>O153-Q153</f>
        <v>881.29</v>
      </c>
      <c r="S153" s="53">
        <f>IF(O153&lt;&gt;0,R153/O153,"")</f>
        <v>0.41156966127894867</v>
      </c>
      <c r="T153" s="10"/>
      <c r="U153" s="23">
        <v>0</v>
      </c>
      <c r="V153" s="25">
        <v>0</v>
      </c>
      <c r="W153" s="24">
        <v>0</v>
      </c>
      <c r="X153" s="24">
        <f>U153-W153</f>
        <v>0</v>
      </c>
      <c r="Y153" s="53" t="str">
        <f>IF(U153&lt;&gt;0,X153/U153,"")</f>
        <v/>
      </c>
      <c r="Z153" s="23">
        <v>0</v>
      </c>
      <c r="AA153" s="25">
        <v>0</v>
      </c>
      <c r="AB153" s="24">
        <v>0</v>
      </c>
      <c r="AC153" s="24">
        <f t="shared" si="26"/>
        <v>0</v>
      </c>
      <c r="AD153" s="53" t="str">
        <f t="shared" si="27"/>
        <v/>
      </c>
      <c r="AE153" s="10"/>
    </row>
    <row r="154" spans="1:31" x14ac:dyDescent="0.25">
      <c r="A154" s="14" t="s">
        <v>109</v>
      </c>
      <c r="C154" s="61" t="str">
        <f t="shared" si="25"/>
        <v>C100015</v>
      </c>
      <c r="F154" s="8" t="str">
        <f>"C100040"</f>
        <v>C100040</v>
      </c>
      <c r="G154" s="9" t="str">
        <f>"Channel Speaker System"</f>
        <v>Channel Speaker System</v>
      </c>
      <c r="H154" s="47"/>
      <c r="I154" s="47"/>
      <c r="J154" s="23">
        <v>0</v>
      </c>
      <c r="K154" s="25">
        <v>0</v>
      </c>
      <c r="L154" s="24">
        <v>0</v>
      </c>
      <c r="M154" s="24">
        <f>J154-L154</f>
        <v>0</v>
      </c>
      <c r="N154" s="53" t="str">
        <f>IF(J154&lt;&gt;0,M154/J154,"")</f>
        <v/>
      </c>
      <c r="O154" s="23">
        <v>5800.55</v>
      </c>
      <c r="P154" s="25">
        <v>144</v>
      </c>
      <c r="Q154" s="24">
        <v>2990.8500000000004</v>
      </c>
      <c r="R154" s="24">
        <f>O154-Q154</f>
        <v>2809.7</v>
      </c>
      <c r="S154" s="53">
        <f>IF(O154&lt;&gt;0,R154/O154,"")</f>
        <v>0.484385101412797</v>
      </c>
      <c r="T154" s="10"/>
      <c r="U154" s="23">
        <v>0</v>
      </c>
      <c r="V154" s="25">
        <v>0</v>
      </c>
      <c r="W154" s="24">
        <v>0</v>
      </c>
      <c r="X154" s="24">
        <f>U154-W154</f>
        <v>0</v>
      </c>
      <c r="Y154" s="53" t="str">
        <f>IF(U154&lt;&gt;0,X154/U154,"")</f>
        <v/>
      </c>
      <c r="Z154" s="23">
        <v>0</v>
      </c>
      <c r="AA154" s="25">
        <v>0</v>
      </c>
      <c r="AB154" s="24">
        <v>0</v>
      </c>
      <c r="AC154" s="24">
        <f t="shared" si="26"/>
        <v>0</v>
      </c>
      <c r="AD154" s="53" t="str">
        <f t="shared" si="27"/>
        <v/>
      </c>
      <c r="AE154" s="10"/>
    </row>
    <row r="155" spans="1:31" x14ac:dyDescent="0.25">
      <c r="A155" s="14" t="s">
        <v>109</v>
      </c>
      <c r="C155" s="61" t="str">
        <f t="shared" si="25"/>
        <v>C100015</v>
      </c>
      <c r="F155" s="8" t="str">
        <f>"C100044"</f>
        <v>C100044</v>
      </c>
      <c r="G155" s="9" t="str">
        <f>"VOIP Headset with Mic"</f>
        <v>VOIP Headset with Mic</v>
      </c>
      <c r="H155" s="47"/>
      <c r="I155" s="47"/>
      <c r="J155" s="23">
        <v>0</v>
      </c>
      <c r="K155" s="25">
        <v>0</v>
      </c>
      <c r="L155" s="24">
        <v>0</v>
      </c>
      <c r="M155" s="24">
        <f>J155-L155</f>
        <v>0</v>
      </c>
      <c r="N155" s="53" t="str">
        <f>IF(J155&lt;&gt;0,M155/J155,"")</f>
        <v/>
      </c>
      <c r="O155" s="23">
        <v>25.34</v>
      </c>
      <c r="P155" s="25">
        <v>12</v>
      </c>
      <c r="Q155" s="24">
        <v>14.4</v>
      </c>
      <c r="R155" s="24">
        <f>O155-Q155</f>
        <v>10.94</v>
      </c>
      <c r="S155" s="53">
        <f>IF(O155&lt;&gt;0,R155/O155,"")</f>
        <v>0.43172849250197315</v>
      </c>
      <c r="T155" s="10"/>
      <c r="U155" s="23">
        <v>0</v>
      </c>
      <c r="V155" s="25">
        <v>0</v>
      </c>
      <c r="W155" s="24">
        <v>0</v>
      </c>
      <c r="X155" s="24">
        <f>U155-W155</f>
        <v>0</v>
      </c>
      <c r="Y155" s="53" t="str">
        <f>IF(U155&lt;&gt;0,X155/U155,"")</f>
        <v/>
      </c>
      <c r="Z155" s="23">
        <v>0</v>
      </c>
      <c r="AA155" s="25">
        <v>0</v>
      </c>
      <c r="AB155" s="24">
        <v>0</v>
      </c>
      <c r="AC155" s="24">
        <f t="shared" si="26"/>
        <v>0</v>
      </c>
      <c r="AD155" s="53" t="str">
        <f t="shared" si="27"/>
        <v/>
      </c>
      <c r="AE155" s="10"/>
    </row>
    <row r="156" spans="1:31" x14ac:dyDescent="0.25">
      <c r="A156" s="14" t="s">
        <v>109</v>
      </c>
      <c r="C156" s="61" t="str">
        <f t="shared" si="25"/>
        <v>C100015</v>
      </c>
      <c r="F156" s="8" t="str">
        <f>"C100045"</f>
        <v>C100045</v>
      </c>
      <c r="G156" s="9" t="str">
        <f>"Wireless Headphones"</f>
        <v>Wireless Headphones</v>
      </c>
      <c r="H156" s="47"/>
      <c r="I156" s="47"/>
      <c r="J156" s="23">
        <v>0</v>
      </c>
      <c r="K156" s="25">
        <v>0</v>
      </c>
      <c r="L156" s="24">
        <v>0</v>
      </c>
      <c r="M156" s="24">
        <f>J156-L156</f>
        <v>0</v>
      </c>
      <c r="N156" s="53" t="str">
        <f>IF(J156&lt;&gt;0,M156/J156,"")</f>
        <v/>
      </c>
      <c r="O156" s="23">
        <v>4257.68</v>
      </c>
      <c r="P156" s="25">
        <v>156</v>
      </c>
      <c r="Q156" s="24">
        <v>2152.86</v>
      </c>
      <c r="R156" s="24">
        <f>O156-Q156</f>
        <v>2104.8200000000002</v>
      </c>
      <c r="S156" s="53">
        <f>IF(O156&lt;&gt;0,R156/O156,"")</f>
        <v>0.49435842994306761</v>
      </c>
      <c r="T156" s="10"/>
      <c r="U156" s="23">
        <v>3848.2900000000004</v>
      </c>
      <c r="V156" s="25">
        <v>144</v>
      </c>
      <c r="W156" s="24">
        <v>1987.2600000000002</v>
      </c>
      <c r="X156" s="24">
        <f>U156-W156</f>
        <v>1861.0300000000002</v>
      </c>
      <c r="Y156" s="53">
        <f>IF(U156&lt;&gt;0,X156/U156,"")</f>
        <v>0.48359920899932179</v>
      </c>
      <c r="Z156" s="23">
        <v>0</v>
      </c>
      <c r="AA156" s="25">
        <v>0</v>
      </c>
      <c r="AB156" s="24">
        <v>0</v>
      </c>
      <c r="AC156" s="24">
        <f t="shared" si="26"/>
        <v>0</v>
      </c>
      <c r="AD156" s="53" t="str">
        <f t="shared" si="27"/>
        <v/>
      </c>
      <c r="AE156" s="10"/>
    </row>
    <row r="157" spans="1:31" x14ac:dyDescent="0.25">
      <c r="A157" s="14" t="s">
        <v>109</v>
      </c>
      <c r="C157" s="61" t="str">
        <f t="shared" si="25"/>
        <v>C100015</v>
      </c>
      <c r="F157" s="8" t="str">
        <f>"C100046"</f>
        <v>C100046</v>
      </c>
      <c r="G157" s="9" t="str">
        <f>"1GB MP3 Player"</f>
        <v>1GB MP3 Player</v>
      </c>
      <c r="H157" s="47"/>
      <c r="I157" s="47"/>
      <c r="J157" s="23">
        <v>0</v>
      </c>
      <c r="K157" s="25">
        <v>0</v>
      </c>
      <c r="L157" s="24">
        <v>0</v>
      </c>
      <c r="M157" s="24">
        <f>J157-L157</f>
        <v>0</v>
      </c>
      <c r="N157" s="53" t="str">
        <f>IF(J157&lt;&gt;0,M157/J157,"")</f>
        <v/>
      </c>
      <c r="O157" s="23">
        <v>912.85</v>
      </c>
      <c r="P157" s="25">
        <v>48</v>
      </c>
      <c r="Q157" s="24">
        <v>552.93000000000006</v>
      </c>
      <c r="R157" s="24">
        <f>O157-Q157</f>
        <v>359.91999999999996</v>
      </c>
      <c r="S157" s="53">
        <f>IF(O157&lt;&gt;0,R157/O157,"")</f>
        <v>0.3942816453962863</v>
      </c>
      <c r="T157" s="10"/>
      <c r="U157" s="23">
        <v>0</v>
      </c>
      <c r="V157" s="25">
        <v>0</v>
      </c>
      <c r="W157" s="24">
        <v>0</v>
      </c>
      <c r="X157" s="24">
        <f>U157-W157</f>
        <v>0</v>
      </c>
      <c r="Y157" s="53" t="str">
        <f>IF(U157&lt;&gt;0,X157/U157,"")</f>
        <v/>
      </c>
      <c r="Z157" s="23">
        <v>0</v>
      </c>
      <c r="AA157" s="25">
        <v>0</v>
      </c>
      <c r="AB157" s="24">
        <v>0</v>
      </c>
      <c r="AC157" s="24">
        <f t="shared" si="26"/>
        <v>0</v>
      </c>
      <c r="AD157" s="53" t="str">
        <f t="shared" si="27"/>
        <v/>
      </c>
      <c r="AE157" s="10"/>
    </row>
    <row r="158" spans="1:31" x14ac:dyDescent="0.25">
      <c r="A158" s="14" t="s">
        <v>109</v>
      </c>
      <c r="C158" s="61" t="str">
        <f t="shared" si="25"/>
        <v>C100015</v>
      </c>
      <c r="F158" s="8" t="str">
        <f>"C100047"</f>
        <v>C100047</v>
      </c>
      <c r="G158" s="9" t="str">
        <f>"2GB MP3 Player"</f>
        <v>2GB MP3 Player</v>
      </c>
      <c r="H158" s="47"/>
      <c r="I158" s="47"/>
      <c r="J158" s="23">
        <v>0</v>
      </c>
      <c r="K158" s="25">
        <v>0</v>
      </c>
      <c r="L158" s="24">
        <v>0</v>
      </c>
      <c r="M158" s="24">
        <f>J158-L158</f>
        <v>0</v>
      </c>
      <c r="N158" s="53" t="str">
        <f>IF(J158&lt;&gt;0,M158/J158,"")</f>
        <v/>
      </c>
      <c r="O158" s="23">
        <v>3890.0699999999997</v>
      </c>
      <c r="P158" s="25">
        <v>144</v>
      </c>
      <c r="Q158" s="24">
        <v>2397.54</v>
      </c>
      <c r="R158" s="24">
        <f>O158-Q158</f>
        <v>1492.5299999999997</v>
      </c>
      <c r="S158" s="53">
        <f>IF(O158&lt;&gt;0,R158/O158,"")</f>
        <v>0.38367690041567371</v>
      </c>
      <c r="T158" s="10"/>
      <c r="U158" s="23">
        <v>4136.59</v>
      </c>
      <c r="V158" s="25">
        <v>150</v>
      </c>
      <c r="W158" s="24">
        <v>2497.44</v>
      </c>
      <c r="X158" s="24">
        <f>U158-W158</f>
        <v>1639.15</v>
      </c>
      <c r="Y158" s="53">
        <f>IF(U158&lt;&gt;0,X158/U158,"")</f>
        <v>0.3962563367411322</v>
      </c>
      <c r="Z158" s="23">
        <v>0</v>
      </c>
      <c r="AA158" s="25">
        <v>0</v>
      </c>
      <c r="AB158" s="24">
        <v>0</v>
      </c>
      <c r="AC158" s="24">
        <f t="shared" si="26"/>
        <v>0</v>
      </c>
      <c r="AD158" s="53" t="str">
        <f t="shared" si="27"/>
        <v/>
      </c>
      <c r="AE158" s="10"/>
    </row>
    <row r="159" spans="1:31" x14ac:dyDescent="0.25">
      <c r="A159" s="14" t="s">
        <v>109</v>
      </c>
      <c r="C159" s="61" t="str">
        <f t="shared" si="25"/>
        <v>C100015</v>
      </c>
      <c r="F159" s="8" t="str">
        <f>"E100018"</f>
        <v>E100018</v>
      </c>
      <c r="G159" s="9" t="str">
        <f>"Flexi-Clock &amp; Clip"</f>
        <v>Flexi-Clock &amp; Clip</v>
      </c>
      <c r="H159" s="47"/>
      <c r="I159" s="47"/>
      <c r="J159" s="23">
        <v>0</v>
      </c>
      <c r="K159" s="25">
        <v>0</v>
      </c>
      <c r="L159" s="24">
        <v>0</v>
      </c>
      <c r="M159" s="24">
        <f>J159-L159</f>
        <v>0</v>
      </c>
      <c r="N159" s="53" t="str">
        <f>IF(J159&lt;&gt;0,M159/J159,"")</f>
        <v/>
      </c>
      <c r="O159" s="23">
        <v>160.55000000000001</v>
      </c>
      <c r="P159" s="25">
        <v>145</v>
      </c>
      <c r="Q159" s="24">
        <v>86.990000000000009</v>
      </c>
      <c r="R159" s="24">
        <f>O159-Q159</f>
        <v>73.56</v>
      </c>
      <c r="S159" s="53">
        <f>IF(O159&lt;&gt;0,R159/O159,"")</f>
        <v>0.45817502335720955</v>
      </c>
      <c r="T159" s="10"/>
      <c r="U159" s="23">
        <v>1.06</v>
      </c>
      <c r="V159" s="25">
        <v>1</v>
      </c>
      <c r="W159" s="24">
        <v>0.6</v>
      </c>
      <c r="X159" s="24">
        <f>U159-W159</f>
        <v>0.46000000000000008</v>
      </c>
      <c r="Y159" s="53">
        <f>IF(U159&lt;&gt;0,X159/U159,"")</f>
        <v>0.43396226415094347</v>
      </c>
      <c r="Z159" s="23">
        <v>0</v>
      </c>
      <c r="AA159" s="25">
        <v>0</v>
      </c>
      <c r="AB159" s="24">
        <v>0</v>
      </c>
      <c r="AC159" s="24">
        <f t="shared" si="26"/>
        <v>0</v>
      </c>
      <c r="AD159" s="53" t="str">
        <f t="shared" si="27"/>
        <v/>
      </c>
      <c r="AE159" s="10"/>
    </row>
    <row r="160" spans="1:31" x14ac:dyDescent="0.25">
      <c r="A160" s="14" t="s">
        <v>109</v>
      </c>
      <c r="C160" s="61" t="str">
        <f t="shared" si="25"/>
        <v>C100015</v>
      </c>
      <c r="F160" s="8" t="str">
        <f>"E100021"</f>
        <v>E100021</v>
      </c>
      <c r="G160" s="9" t="str">
        <f>"Slim Travel Alarm"</f>
        <v>Slim Travel Alarm</v>
      </c>
      <c r="H160" s="47"/>
      <c r="I160" s="47"/>
      <c r="J160" s="23">
        <v>0</v>
      </c>
      <c r="K160" s="25">
        <v>0</v>
      </c>
      <c r="L160" s="24">
        <v>0</v>
      </c>
      <c r="M160" s="24">
        <f>J160-L160</f>
        <v>0</v>
      </c>
      <c r="N160" s="53" t="str">
        <f>IF(J160&lt;&gt;0,M160/J160,"")</f>
        <v/>
      </c>
      <c r="O160" s="23">
        <v>398.12</v>
      </c>
      <c r="P160" s="25">
        <v>144</v>
      </c>
      <c r="Q160" s="24">
        <v>207.35</v>
      </c>
      <c r="R160" s="24">
        <f>O160-Q160</f>
        <v>190.77</v>
      </c>
      <c r="S160" s="53">
        <f>IF(O160&lt;&gt;0,R160/O160,"")</f>
        <v>0.47917713252285743</v>
      </c>
      <c r="T160" s="10"/>
      <c r="U160" s="23">
        <v>406.42</v>
      </c>
      <c r="V160" s="25">
        <v>144</v>
      </c>
      <c r="W160" s="24">
        <v>207.35</v>
      </c>
      <c r="X160" s="24">
        <f>U160-W160</f>
        <v>199.07000000000002</v>
      </c>
      <c r="Y160" s="53">
        <f>IF(U160&lt;&gt;0,X160/U160,"")</f>
        <v>0.48981349343044145</v>
      </c>
      <c r="Z160" s="23">
        <v>0</v>
      </c>
      <c r="AA160" s="25">
        <v>0</v>
      </c>
      <c r="AB160" s="24">
        <v>0</v>
      </c>
      <c r="AC160" s="24">
        <f t="shared" si="26"/>
        <v>0</v>
      </c>
      <c r="AD160" s="53" t="str">
        <f t="shared" si="27"/>
        <v/>
      </c>
      <c r="AE160" s="10"/>
    </row>
    <row r="161" spans="1:31" x14ac:dyDescent="0.25">
      <c r="A161" s="14" t="s">
        <v>109</v>
      </c>
      <c r="C161" s="61" t="str">
        <f t="shared" si="25"/>
        <v>C100015</v>
      </c>
      <c r="F161" s="8" t="str">
        <f>"E100022"</f>
        <v>E100022</v>
      </c>
      <c r="G161" s="9" t="str">
        <f>"Wide Screen Alarm Clock"</f>
        <v>Wide Screen Alarm Clock</v>
      </c>
      <c r="H161" s="47"/>
      <c r="I161" s="47"/>
      <c r="J161" s="23">
        <v>0</v>
      </c>
      <c r="K161" s="25">
        <v>0</v>
      </c>
      <c r="L161" s="24">
        <v>0</v>
      </c>
      <c r="M161" s="24">
        <f>J161-L161</f>
        <v>0</v>
      </c>
      <c r="N161" s="53" t="str">
        <f>IF(J161&lt;&gt;0,M161/J161,"")</f>
        <v/>
      </c>
      <c r="O161" s="23">
        <v>98.24</v>
      </c>
      <c r="P161" s="25">
        <v>52</v>
      </c>
      <c r="Q161" s="24">
        <v>66.56</v>
      </c>
      <c r="R161" s="24">
        <f>O161-Q161</f>
        <v>31.679999999999993</v>
      </c>
      <c r="S161" s="53">
        <f>IF(O161&lt;&gt;0,R161/O161,"")</f>
        <v>0.32247557003257321</v>
      </c>
      <c r="T161" s="10"/>
      <c r="U161" s="23">
        <v>157.03</v>
      </c>
      <c r="V161" s="25">
        <v>86</v>
      </c>
      <c r="W161" s="24">
        <v>110.07000000000001</v>
      </c>
      <c r="X161" s="24">
        <f>U161-W161</f>
        <v>46.959999999999994</v>
      </c>
      <c r="Y161" s="53">
        <f>IF(U161&lt;&gt;0,X161/U161,"")</f>
        <v>0.2990511367254664</v>
      </c>
      <c r="Z161" s="23">
        <v>0</v>
      </c>
      <c r="AA161" s="25">
        <v>0</v>
      </c>
      <c r="AB161" s="24">
        <v>0</v>
      </c>
      <c r="AC161" s="24">
        <f t="shared" si="26"/>
        <v>0</v>
      </c>
      <c r="AD161" s="53" t="str">
        <f t="shared" si="27"/>
        <v/>
      </c>
      <c r="AE161" s="10"/>
    </row>
    <row r="162" spans="1:31" ht="15.75" thickBot="1" x14ac:dyDescent="0.3">
      <c r="A162" s="14" t="s">
        <v>109</v>
      </c>
      <c r="C162" s="61" t="str">
        <f>C142</f>
        <v>C100015</v>
      </c>
      <c r="J162" s="10"/>
      <c r="K162" s="11"/>
      <c r="L162" s="11"/>
      <c r="M162" s="11"/>
      <c r="N162" s="12"/>
      <c r="O162" s="10"/>
      <c r="P162" s="11"/>
      <c r="Q162" s="11"/>
      <c r="R162" s="11"/>
      <c r="S162" s="12"/>
      <c r="U162" s="10"/>
      <c r="V162" s="11"/>
      <c r="W162" s="11"/>
      <c r="X162" s="11"/>
      <c r="Y162" s="12"/>
      <c r="Z162" s="10"/>
      <c r="AA162" s="11"/>
      <c r="AB162" s="11"/>
      <c r="AC162" s="11"/>
      <c r="AD162" s="12"/>
    </row>
    <row r="163" spans="1:31" ht="15.75" thickBot="1" x14ac:dyDescent="0.3">
      <c r="A163" s="14" t="s">
        <v>109</v>
      </c>
      <c r="C163" s="61" t="str">
        <f t="shared" si="22"/>
        <v>C100015</v>
      </c>
      <c r="G163" s="48" t="str">
        <f>C163&amp;" TOTAL:"</f>
        <v>C100015 TOTAL:</v>
      </c>
      <c r="H163" s="50"/>
      <c r="I163" s="50"/>
      <c r="J163" s="34">
        <f>SUBTOTAL(9,J141:J162)</f>
        <v>0</v>
      </c>
      <c r="K163" s="35">
        <f>SUBTOTAL(9,K141:K162)</f>
        <v>0</v>
      </c>
      <c r="L163" s="36">
        <f>SUBTOTAL(9,L141:L162)</f>
        <v>0</v>
      </c>
      <c r="M163" s="36">
        <f>J163-L163</f>
        <v>0</v>
      </c>
      <c r="N163" s="37" t="str">
        <f>IF(J163&lt;&gt;0,M163/J163,"")</f>
        <v/>
      </c>
      <c r="O163" s="34">
        <f>SUBTOTAL(9,O141:O162)</f>
        <v>46560.26</v>
      </c>
      <c r="P163" s="35">
        <f>SUBTOTAL(9,P141:P162)</f>
        <v>2228</v>
      </c>
      <c r="Q163" s="36">
        <f>SUBTOTAL(9,Q141:Q162)</f>
        <v>24849.090000000004</v>
      </c>
      <c r="R163" s="36">
        <f>O163-Q163</f>
        <v>21711.17</v>
      </c>
      <c r="S163" s="37">
        <f>IF(O163&lt;&gt;0,R163/O163,"")</f>
        <v>0.4663025936710834</v>
      </c>
      <c r="U163" s="34">
        <f>SUBTOTAL(9,U141:U162)</f>
        <v>16836.38</v>
      </c>
      <c r="V163" s="35">
        <f>SUBTOTAL(9,V141:V162)</f>
        <v>816</v>
      </c>
      <c r="W163" s="36">
        <f>SUBTOTAL(9,W141:W162)</f>
        <v>9362.2900000000009</v>
      </c>
      <c r="X163" s="36">
        <f>U163-W163</f>
        <v>7474.09</v>
      </c>
      <c r="Y163" s="37">
        <f>IF(U163&lt;&gt;0,X163/U163,"")</f>
        <v>0.44392500050485911</v>
      </c>
      <c r="Z163" s="34">
        <f>SUBTOTAL(9,Z141:Z162)</f>
        <v>0</v>
      </c>
      <c r="AA163" s="35">
        <f>SUBTOTAL(9,AA141:AA162)</f>
        <v>0</v>
      </c>
      <c r="AB163" s="36">
        <f>SUBTOTAL(9,AB141:AB162)</f>
        <v>0</v>
      </c>
      <c r="AC163" s="36">
        <f t="shared" ref="AC163" si="28">Z163-AB163</f>
        <v>0</v>
      </c>
      <c r="AD163" s="37" t="str">
        <f t="shared" ref="AD163" si="29">IF(Z163&lt;&gt;0,AC163/Z163,"")</f>
        <v/>
      </c>
    </row>
    <row r="164" spans="1:31" x14ac:dyDescent="0.25">
      <c r="A164" s="14" t="s">
        <v>109</v>
      </c>
      <c r="C164" s="66"/>
      <c r="J164" s="10"/>
      <c r="K164" s="11"/>
      <c r="L164" s="11"/>
      <c r="M164" s="11"/>
      <c r="N164" s="12"/>
      <c r="O164" s="10"/>
      <c r="P164" s="11"/>
      <c r="Q164" s="11"/>
      <c r="R164" s="11"/>
      <c r="S164" s="12"/>
      <c r="U164" s="10"/>
      <c r="V164" s="11"/>
      <c r="W164" s="11"/>
      <c r="X164" s="11"/>
      <c r="Y164" s="12"/>
      <c r="Z164" s="10"/>
      <c r="AA164" s="11"/>
      <c r="AB164" s="11"/>
      <c r="AC164" s="11"/>
      <c r="AD164" s="12"/>
    </row>
    <row r="165" spans="1:31" ht="15.75" x14ac:dyDescent="0.25">
      <c r="A165" s="14" t="s">
        <v>109</v>
      </c>
      <c r="C165" s="66" t="str">
        <f t="shared" ref="C165" si="30">E165</f>
        <v>C100017</v>
      </c>
      <c r="E165" s="13" t="str">
        <f>"C100017"</f>
        <v>C100017</v>
      </c>
      <c r="F165" s="13"/>
      <c r="G165" s="13" t="str">
        <f>"Centromerkur d.o.o."</f>
        <v>Centromerkur d.o.o.</v>
      </c>
      <c r="H165" s="13"/>
      <c r="I165" s="13"/>
      <c r="J165" s="10"/>
      <c r="K165" s="11"/>
      <c r="L165" s="11"/>
      <c r="M165" s="11"/>
      <c r="N165" s="12"/>
      <c r="O165" s="10"/>
      <c r="P165" s="11"/>
      <c r="Q165" s="11"/>
      <c r="R165" s="11"/>
      <c r="S165" s="12"/>
      <c r="U165" s="10"/>
      <c r="V165" s="11"/>
      <c r="W165" s="11"/>
      <c r="X165" s="11"/>
      <c r="Y165" s="12"/>
      <c r="Z165" s="10"/>
      <c r="AA165" s="11"/>
      <c r="AB165" s="11"/>
      <c r="AC165" s="11"/>
      <c r="AD165" s="12"/>
    </row>
    <row r="166" spans="1:31" ht="6.6" customHeight="1" x14ac:dyDescent="0.25">
      <c r="A166" s="14" t="s">
        <v>109</v>
      </c>
      <c r="C166" s="61" t="str">
        <f t="shared" ref="C166:C177" si="31">C165</f>
        <v>C100017</v>
      </c>
      <c r="J166" s="10"/>
      <c r="K166" s="11"/>
      <c r="L166" s="11"/>
      <c r="M166" s="11"/>
      <c r="N166" s="12"/>
      <c r="O166" s="10"/>
      <c r="P166" s="11"/>
      <c r="Q166" s="11"/>
      <c r="R166" s="11"/>
      <c r="S166" s="12"/>
      <c r="U166" s="10"/>
      <c r="V166" s="11"/>
      <c r="W166" s="11"/>
      <c r="X166" s="11"/>
      <c r="Y166" s="12"/>
      <c r="Z166" s="10"/>
      <c r="AA166" s="11"/>
      <c r="AB166" s="11"/>
      <c r="AC166" s="11"/>
      <c r="AD166" s="12"/>
    </row>
    <row r="167" spans="1:31" x14ac:dyDescent="0.25">
      <c r="A167" s="14" t="s">
        <v>109</v>
      </c>
      <c r="C167" s="61" t="str">
        <f t="shared" si="31"/>
        <v>C100017</v>
      </c>
      <c r="F167" s="8" t="str">
        <f>"C100004"</f>
        <v>C100004</v>
      </c>
      <c r="G167" s="9" t="str">
        <f>"Walnut Medallian Plate"</f>
        <v>Walnut Medallian Plate</v>
      </c>
      <c r="H167" s="47"/>
      <c r="I167" s="47"/>
      <c r="J167" s="23">
        <v>0</v>
      </c>
      <c r="K167" s="25">
        <v>0</v>
      </c>
      <c r="L167" s="24">
        <v>0</v>
      </c>
      <c r="M167" s="24">
        <f>J167-L167</f>
        <v>0</v>
      </c>
      <c r="N167" s="53" t="str">
        <f>IF(J167&lt;&gt;0,M167/J167,"")</f>
        <v/>
      </c>
      <c r="O167" s="23">
        <v>0</v>
      </c>
      <c r="P167" s="25">
        <v>0</v>
      </c>
      <c r="Q167" s="24">
        <v>0</v>
      </c>
      <c r="R167" s="24">
        <f>O167-Q167</f>
        <v>0</v>
      </c>
      <c r="S167" s="53" t="str">
        <f>IF(O167&lt;&gt;0,R167/O167,"")</f>
        <v/>
      </c>
      <c r="T167" s="10"/>
      <c r="U167" s="23">
        <v>0</v>
      </c>
      <c r="V167" s="25">
        <v>0</v>
      </c>
      <c r="W167" s="24">
        <v>0</v>
      </c>
      <c r="X167" s="24">
        <f>U167-W167</f>
        <v>0</v>
      </c>
      <c r="Y167" s="53" t="str">
        <f>IF(U167&lt;&gt;0,X167/U167,"")</f>
        <v/>
      </c>
      <c r="Z167" s="23">
        <v>742</v>
      </c>
      <c r="AA167" s="25">
        <v>13</v>
      </c>
      <c r="AB167" s="24">
        <v>397.8</v>
      </c>
      <c r="AC167" s="24">
        <f t="shared" ref="AC167" si="32">Z167-AB167</f>
        <v>344.2</v>
      </c>
      <c r="AD167" s="53">
        <f t="shared" ref="AD167" si="33">IF(Z167&lt;&gt;0,AC167/Z167,"")</f>
        <v>0.46388140161725067</v>
      </c>
      <c r="AE167" s="10"/>
    </row>
    <row r="168" spans="1:31" x14ac:dyDescent="0.25">
      <c r="A168" s="14" t="s">
        <v>109</v>
      </c>
      <c r="C168" s="61" t="str">
        <f t="shared" ref="C168:C175" si="34">C167</f>
        <v>C100017</v>
      </c>
      <c r="F168" s="8" t="str">
        <f>"C100034"</f>
        <v>C100034</v>
      </c>
      <c r="G168" s="9" t="str">
        <f>"Clock &amp; Pen Holder"</f>
        <v>Clock &amp; Pen Holder</v>
      </c>
      <c r="H168" s="47"/>
      <c r="I168" s="47"/>
      <c r="J168" s="23">
        <v>0</v>
      </c>
      <c r="K168" s="25">
        <v>0</v>
      </c>
      <c r="L168" s="24">
        <v>0</v>
      </c>
      <c r="M168" s="24">
        <f>J168-L168</f>
        <v>0</v>
      </c>
      <c r="N168" s="53" t="str">
        <f>IF(J168&lt;&gt;0,M168/J168,"")</f>
        <v/>
      </c>
      <c r="O168" s="23">
        <v>0</v>
      </c>
      <c r="P168" s="25">
        <v>0</v>
      </c>
      <c r="Q168" s="24">
        <v>0</v>
      </c>
      <c r="R168" s="24">
        <f>O168-Q168</f>
        <v>0</v>
      </c>
      <c r="S168" s="53" t="str">
        <f>IF(O168&lt;&gt;0,R168/O168,"")</f>
        <v/>
      </c>
      <c r="T168" s="10"/>
      <c r="U168" s="23">
        <v>0</v>
      </c>
      <c r="V168" s="25">
        <v>0</v>
      </c>
      <c r="W168" s="24">
        <v>0</v>
      </c>
      <c r="X168" s="24">
        <f>U168-W168</f>
        <v>0</v>
      </c>
      <c r="Y168" s="53" t="str">
        <f>IF(U168&lt;&gt;0,X168/U168,"")</f>
        <v/>
      </c>
      <c r="Z168" s="23">
        <v>2974.02</v>
      </c>
      <c r="AA168" s="25">
        <v>192</v>
      </c>
      <c r="AB168" s="24">
        <v>1896.9499999999998</v>
      </c>
      <c r="AC168" s="24">
        <f t="shared" ref="AC168:AC175" si="35">Z168-AB168</f>
        <v>1077.0700000000002</v>
      </c>
      <c r="AD168" s="53">
        <f t="shared" ref="AD168:AD175" si="36">IF(Z168&lt;&gt;0,AC168/Z168,"")</f>
        <v>0.36215963577918109</v>
      </c>
      <c r="AE168" s="10"/>
    </row>
    <row r="169" spans="1:31" x14ac:dyDescent="0.25">
      <c r="A169" s="14" t="s">
        <v>109</v>
      </c>
      <c r="C169" s="61" t="str">
        <f t="shared" si="34"/>
        <v>C100017</v>
      </c>
      <c r="F169" s="8" t="str">
        <f>"C100040"</f>
        <v>C100040</v>
      </c>
      <c r="G169" s="9" t="str">
        <f>"Channel Speaker System"</f>
        <v>Channel Speaker System</v>
      </c>
      <c r="H169" s="47"/>
      <c r="I169" s="47"/>
      <c r="J169" s="23">
        <v>0</v>
      </c>
      <c r="K169" s="25">
        <v>0</v>
      </c>
      <c r="L169" s="24">
        <v>0</v>
      </c>
      <c r="M169" s="24">
        <f>J169-L169</f>
        <v>0</v>
      </c>
      <c r="N169" s="53" t="str">
        <f>IF(J169&lt;&gt;0,M169/J169,"")</f>
        <v/>
      </c>
      <c r="O169" s="23">
        <v>0</v>
      </c>
      <c r="P169" s="25">
        <v>0</v>
      </c>
      <c r="Q169" s="24">
        <v>0</v>
      </c>
      <c r="R169" s="24">
        <f>O169-Q169</f>
        <v>0</v>
      </c>
      <c r="S169" s="53" t="str">
        <f>IF(O169&lt;&gt;0,R169/O169,"")</f>
        <v/>
      </c>
      <c r="T169" s="10"/>
      <c r="U169" s="23">
        <v>0</v>
      </c>
      <c r="V169" s="25">
        <v>0</v>
      </c>
      <c r="W169" s="24">
        <v>0</v>
      </c>
      <c r="X169" s="24">
        <f>U169-W169</f>
        <v>0</v>
      </c>
      <c r="Y169" s="53" t="str">
        <f>IF(U169&lt;&gt;0,X169/U169,"")</f>
        <v/>
      </c>
      <c r="Z169" s="23">
        <v>40.29</v>
      </c>
      <c r="AA169" s="25">
        <v>1</v>
      </c>
      <c r="AB169" s="24">
        <v>20.77</v>
      </c>
      <c r="AC169" s="24">
        <f t="shared" si="35"/>
        <v>19.52</v>
      </c>
      <c r="AD169" s="53">
        <f t="shared" si="36"/>
        <v>0.48448746587242492</v>
      </c>
      <c r="AE169" s="10"/>
    </row>
    <row r="170" spans="1:31" x14ac:dyDescent="0.25">
      <c r="A170" s="14" t="s">
        <v>109</v>
      </c>
      <c r="C170" s="61" t="str">
        <f t="shared" si="34"/>
        <v>C100017</v>
      </c>
      <c r="F170" s="8" t="str">
        <f>"C100044"</f>
        <v>C100044</v>
      </c>
      <c r="G170" s="9" t="str">
        <f>"VOIP Headset with Mic"</f>
        <v>VOIP Headset with Mic</v>
      </c>
      <c r="H170" s="47"/>
      <c r="I170" s="47"/>
      <c r="J170" s="23">
        <v>0</v>
      </c>
      <c r="K170" s="25">
        <v>0</v>
      </c>
      <c r="L170" s="24">
        <v>0</v>
      </c>
      <c r="M170" s="24">
        <f>J170-L170</f>
        <v>0</v>
      </c>
      <c r="N170" s="53" t="str">
        <f>IF(J170&lt;&gt;0,M170/J170,"")</f>
        <v/>
      </c>
      <c r="O170" s="23">
        <v>0</v>
      </c>
      <c r="P170" s="25">
        <v>0</v>
      </c>
      <c r="Q170" s="24">
        <v>0</v>
      </c>
      <c r="R170" s="24">
        <f>O170-Q170</f>
        <v>0</v>
      </c>
      <c r="S170" s="53" t="str">
        <f>IF(O170&lt;&gt;0,R170/O170,"")</f>
        <v/>
      </c>
      <c r="T170" s="10"/>
      <c r="U170" s="23">
        <v>0</v>
      </c>
      <c r="V170" s="25">
        <v>0</v>
      </c>
      <c r="W170" s="24">
        <v>0</v>
      </c>
      <c r="X170" s="24">
        <f>U170-W170</f>
        <v>0</v>
      </c>
      <c r="Y170" s="53" t="str">
        <f>IF(U170&lt;&gt;0,X170/U170,"")</f>
        <v/>
      </c>
      <c r="Z170" s="23">
        <v>2.11</v>
      </c>
      <c r="AA170" s="25">
        <v>1</v>
      </c>
      <c r="AB170" s="24">
        <v>1.2</v>
      </c>
      <c r="AC170" s="24">
        <f t="shared" si="35"/>
        <v>0.90999999999999992</v>
      </c>
      <c r="AD170" s="53">
        <f t="shared" si="36"/>
        <v>0.43127962085308058</v>
      </c>
      <c r="AE170" s="10"/>
    </row>
    <row r="171" spans="1:31" x14ac:dyDescent="0.25">
      <c r="A171" s="14" t="s">
        <v>109</v>
      </c>
      <c r="C171" s="61" t="str">
        <f t="shared" si="34"/>
        <v>C100017</v>
      </c>
      <c r="F171" s="8" t="str">
        <f>"C100045"</f>
        <v>C100045</v>
      </c>
      <c r="G171" s="9" t="str">
        <f>"Wireless Headphones"</f>
        <v>Wireless Headphones</v>
      </c>
      <c r="H171" s="47"/>
      <c r="I171" s="47"/>
      <c r="J171" s="23">
        <v>0</v>
      </c>
      <c r="K171" s="25">
        <v>0</v>
      </c>
      <c r="L171" s="24">
        <v>0</v>
      </c>
      <c r="M171" s="24">
        <f>J171-L171</f>
        <v>0</v>
      </c>
      <c r="N171" s="53" t="str">
        <f>IF(J171&lt;&gt;0,M171/J171,"")</f>
        <v/>
      </c>
      <c r="O171" s="23">
        <v>0</v>
      </c>
      <c r="P171" s="25">
        <v>0</v>
      </c>
      <c r="Q171" s="24">
        <v>0</v>
      </c>
      <c r="R171" s="24">
        <f>O171-Q171</f>
        <v>0</v>
      </c>
      <c r="S171" s="53" t="str">
        <f>IF(O171&lt;&gt;0,R171/O171,"")</f>
        <v/>
      </c>
      <c r="T171" s="10"/>
      <c r="U171" s="23">
        <v>0</v>
      </c>
      <c r="V171" s="25">
        <v>0</v>
      </c>
      <c r="W171" s="24">
        <v>0</v>
      </c>
      <c r="X171" s="24">
        <f>U171-W171</f>
        <v>0</v>
      </c>
      <c r="Y171" s="53" t="str">
        <f>IF(U171&lt;&gt;0,X171/U171,"")</f>
        <v/>
      </c>
      <c r="Z171" s="23">
        <v>4039.33</v>
      </c>
      <c r="AA171" s="25">
        <v>145</v>
      </c>
      <c r="AB171" s="24">
        <v>2001.06</v>
      </c>
      <c r="AC171" s="24">
        <f t="shared" si="35"/>
        <v>2038.27</v>
      </c>
      <c r="AD171" s="53">
        <f t="shared" si="36"/>
        <v>0.50460596187981666</v>
      </c>
      <c r="AE171" s="10"/>
    </row>
    <row r="172" spans="1:31" x14ac:dyDescent="0.25">
      <c r="A172" s="14" t="s">
        <v>109</v>
      </c>
      <c r="C172" s="61" t="str">
        <f t="shared" si="34"/>
        <v>C100017</v>
      </c>
      <c r="F172" s="8" t="str">
        <f>"C100052"</f>
        <v>C100052</v>
      </c>
      <c r="G172" s="9" t="str">
        <f>"Black Digital Picture Frame"</f>
        <v>Black Digital Picture Frame</v>
      </c>
      <c r="H172" s="47"/>
      <c r="I172" s="47"/>
      <c r="J172" s="23">
        <v>0</v>
      </c>
      <c r="K172" s="25">
        <v>0</v>
      </c>
      <c r="L172" s="24">
        <v>0</v>
      </c>
      <c r="M172" s="24">
        <f>J172-L172</f>
        <v>0</v>
      </c>
      <c r="N172" s="53" t="str">
        <f>IF(J172&lt;&gt;0,M172/J172,"")</f>
        <v/>
      </c>
      <c r="O172" s="23">
        <v>0</v>
      </c>
      <c r="P172" s="25">
        <v>0</v>
      </c>
      <c r="Q172" s="24">
        <v>0</v>
      </c>
      <c r="R172" s="24">
        <f>O172-Q172</f>
        <v>0</v>
      </c>
      <c r="S172" s="53" t="str">
        <f>IF(O172&lt;&gt;0,R172/O172,"")</f>
        <v/>
      </c>
      <c r="T172" s="10"/>
      <c r="U172" s="23">
        <v>0</v>
      </c>
      <c r="V172" s="25">
        <v>0</v>
      </c>
      <c r="W172" s="24">
        <v>0</v>
      </c>
      <c r="X172" s="24">
        <f>U172-W172</f>
        <v>0</v>
      </c>
      <c r="Y172" s="53" t="str">
        <f>IF(U172&lt;&gt;0,X172/U172,"")</f>
        <v/>
      </c>
      <c r="Z172" s="23">
        <v>6694.96</v>
      </c>
      <c r="AA172" s="25">
        <v>144</v>
      </c>
      <c r="AB172" s="24">
        <v>3214.11</v>
      </c>
      <c r="AC172" s="24">
        <f t="shared" si="35"/>
        <v>3480.85</v>
      </c>
      <c r="AD172" s="53">
        <f t="shared" si="36"/>
        <v>0.5199209554650065</v>
      </c>
      <c r="AE172" s="10"/>
    </row>
    <row r="173" spans="1:31" x14ac:dyDescent="0.25">
      <c r="A173" s="14" t="s">
        <v>109</v>
      </c>
      <c r="C173" s="61" t="str">
        <f t="shared" si="34"/>
        <v>C100017</v>
      </c>
      <c r="F173" s="8" t="str">
        <f>"E100018"</f>
        <v>E100018</v>
      </c>
      <c r="G173" s="9" t="str">
        <f>"Flexi-Clock &amp; Clip"</f>
        <v>Flexi-Clock &amp; Clip</v>
      </c>
      <c r="H173" s="47"/>
      <c r="I173" s="47"/>
      <c r="J173" s="23">
        <v>0</v>
      </c>
      <c r="K173" s="25">
        <v>0</v>
      </c>
      <c r="L173" s="24">
        <v>0</v>
      </c>
      <c r="M173" s="24">
        <f>J173-L173</f>
        <v>0</v>
      </c>
      <c r="N173" s="53" t="str">
        <f>IF(J173&lt;&gt;0,M173/J173,"")</f>
        <v/>
      </c>
      <c r="O173" s="23">
        <v>0</v>
      </c>
      <c r="P173" s="25">
        <v>0</v>
      </c>
      <c r="Q173" s="24">
        <v>0</v>
      </c>
      <c r="R173" s="24">
        <f>O173-Q173</f>
        <v>0</v>
      </c>
      <c r="S173" s="53" t="str">
        <f>IF(O173&lt;&gt;0,R173/O173,"")</f>
        <v/>
      </c>
      <c r="T173" s="10"/>
      <c r="U173" s="23">
        <v>0</v>
      </c>
      <c r="V173" s="25">
        <v>0</v>
      </c>
      <c r="W173" s="24">
        <v>0</v>
      </c>
      <c r="X173" s="24">
        <f>U173-W173</f>
        <v>0</v>
      </c>
      <c r="Y173" s="53" t="str">
        <f>IF(U173&lt;&gt;0,X173/U173,"")</f>
        <v/>
      </c>
      <c r="Z173" s="23">
        <v>209.37</v>
      </c>
      <c r="AA173" s="25">
        <v>192</v>
      </c>
      <c r="AB173" s="24">
        <v>115.19</v>
      </c>
      <c r="AC173" s="24">
        <f t="shared" si="35"/>
        <v>94.18</v>
      </c>
      <c r="AD173" s="53">
        <f t="shared" si="36"/>
        <v>0.4498256674786264</v>
      </c>
      <c r="AE173" s="10"/>
    </row>
    <row r="174" spans="1:31" x14ac:dyDescent="0.25">
      <c r="A174" s="14" t="s">
        <v>109</v>
      </c>
      <c r="C174" s="61" t="str">
        <f t="shared" si="34"/>
        <v>C100017</v>
      </c>
      <c r="F174" s="8" t="str">
        <f>"E100019"</f>
        <v>E100019</v>
      </c>
      <c r="G174" s="9" t="str">
        <f>"Mini Travel Alarm"</f>
        <v>Mini Travel Alarm</v>
      </c>
      <c r="H174" s="47"/>
      <c r="I174" s="47"/>
      <c r="J174" s="23">
        <v>0</v>
      </c>
      <c r="K174" s="25">
        <v>0</v>
      </c>
      <c r="L174" s="24">
        <v>0</v>
      </c>
      <c r="M174" s="24">
        <f>J174-L174</f>
        <v>0</v>
      </c>
      <c r="N174" s="53" t="str">
        <f>IF(J174&lt;&gt;0,M174/J174,"")</f>
        <v/>
      </c>
      <c r="O174" s="23">
        <v>0</v>
      </c>
      <c r="P174" s="25">
        <v>0</v>
      </c>
      <c r="Q174" s="24">
        <v>0</v>
      </c>
      <c r="R174" s="24">
        <f>O174-Q174</f>
        <v>0</v>
      </c>
      <c r="S174" s="53" t="str">
        <f>IF(O174&lt;&gt;0,R174/O174,"")</f>
        <v/>
      </c>
      <c r="T174" s="10"/>
      <c r="U174" s="23">
        <v>0</v>
      </c>
      <c r="V174" s="25">
        <v>0</v>
      </c>
      <c r="W174" s="24">
        <v>0</v>
      </c>
      <c r="X174" s="24">
        <f>U174-W174</f>
        <v>0</v>
      </c>
      <c r="Y174" s="53" t="str">
        <f>IF(U174&lt;&gt;0,X174/U174,"")</f>
        <v/>
      </c>
      <c r="Z174" s="23">
        <v>1021.08</v>
      </c>
      <c r="AA174" s="25">
        <v>312</v>
      </c>
      <c r="AB174" s="24">
        <v>505.42</v>
      </c>
      <c r="AC174" s="24">
        <f t="shared" si="35"/>
        <v>515.66000000000008</v>
      </c>
      <c r="AD174" s="53">
        <f t="shared" si="36"/>
        <v>0.50501429858581115</v>
      </c>
      <c r="AE174" s="10"/>
    </row>
    <row r="175" spans="1:31" x14ac:dyDescent="0.25">
      <c r="A175" s="14" t="s">
        <v>109</v>
      </c>
      <c r="C175" s="61" t="str">
        <f t="shared" si="34"/>
        <v>C100017</v>
      </c>
      <c r="F175" s="8" t="str">
        <f>"E100022"</f>
        <v>E100022</v>
      </c>
      <c r="G175" s="9" t="str">
        <f>"Wide Screen Alarm Clock"</f>
        <v>Wide Screen Alarm Clock</v>
      </c>
      <c r="H175" s="47"/>
      <c r="I175" s="47"/>
      <c r="J175" s="23">
        <v>0</v>
      </c>
      <c r="K175" s="25">
        <v>0</v>
      </c>
      <c r="L175" s="24">
        <v>0</v>
      </c>
      <c r="M175" s="24">
        <f>J175-L175</f>
        <v>0</v>
      </c>
      <c r="N175" s="53" t="str">
        <f>IF(J175&lt;&gt;0,M175/J175,"")</f>
        <v/>
      </c>
      <c r="O175" s="23">
        <v>0</v>
      </c>
      <c r="P175" s="25">
        <v>0</v>
      </c>
      <c r="Q175" s="24">
        <v>0</v>
      </c>
      <c r="R175" s="24">
        <f>O175-Q175</f>
        <v>0</v>
      </c>
      <c r="S175" s="53" t="str">
        <f>IF(O175&lt;&gt;0,R175/O175,"")</f>
        <v/>
      </c>
      <c r="T175" s="10"/>
      <c r="U175" s="23">
        <v>0</v>
      </c>
      <c r="V175" s="25">
        <v>0</v>
      </c>
      <c r="W175" s="24">
        <v>0</v>
      </c>
      <c r="X175" s="24">
        <f>U175-W175</f>
        <v>0</v>
      </c>
      <c r="Y175" s="53" t="str">
        <f>IF(U175&lt;&gt;0,X175/U175,"")</f>
        <v/>
      </c>
      <c r="Z175" s="23">
        <v>550.29</v>
      </c>
      <c r="AA175" s="25">
        <v>294</v>
      </c>
      <c r="AB175" s="24">
        <v>376.3</v>
      </c>
      <c r="AC175" s="24">
        <f t="shared" si="35"/>
        <v>173.98999999999995</v>
      </c>
      <c r="AD175" s="53">
        <f t="shared" si="36"/>
        <v>0.31617874211779234</v>
      </c>
      <c r="AE175" s="10"/>
    </row>
    <row r="176" spans="1:31" ht="15.75" thickBot="1" x14ac:dyDescent="0.3">
      <c r="A176" s="14" t="s">
        <v>109</v>
      </c>
      <c r="C176" s="61" t="str">
        <f>C167</f>
        <v>C100017</v>
      </c>
      <c r="J176" s="10"/>
      <c r="K176" s="11"/>
      <c r="L176" s="11"/>
      <c r="M176" s="11"/>
      <c r="N176" s="12"/>
      <c r="O176" s="10"/>
      <c r="P176" s="11"/>
      <c r="Q176" s="11"/>
      <c r="R176" s="11"/>
      <c r="S176" s="12"/>
      <c r="U176" s="10"/>
      <c r="V176" s="11"/>
      <c r="W176" s="11"/>
      <c r="X176" s="11"/>
      <c r="Y176" s="12"/>
      <c r="Z176" s="10"/>
      <c r="AA176" s="11"/>
      <c r="AB176" s="11"/>
      <c r="AC176" s="11"/>
      <c r="AD176" s="12"/>
    </row>
    <row r="177" spans="1:31" ht="15.75" thickBot="1" x14ac:dyDescent="0.3">
      <c r="A177" s="14" t="s">
        <v>109</v>
      </c>
      <c r="C177" s="61" t="str">
        <f t="shared" si="31"/>
        <v>C100017</v>
      </c>
      <c r="G177" s="48" t="str">
        <f>C177&amp;" TOTAL:"</f>
        <v>C100017 TOTAL:</v>
      </c>
      <c r="H177" s="50"/>
      <c r="I177" s="50"/>
      <c r="J177" s="34">
        <f>SUBTOTAL(9,J166:J176)</f>
        <v>0</v>
      </c>
      <c r="K177" s="35">
        <f>SUBTOTAL(9,K166:K176)</f>
        <v>0</v>
      </c>
      <c r="L177" s="36">
        <f>SUBTOTAL(9,L166:L176)</f>
        <v>0</v>
      </c>
      <c r="M177" s="36">
        <f>J177-L177</f>
        <v>0</v>
      </c>
      <c r="N177" s="37" t="str">
        <f>IF(J177&lt;&gt;0,M177/J177,"")</f>
        <v/>
      </c>
      <c r="O177" s="34">
        <f>SUBTOTAL(9,O166:O176)</f>
        <v>0</v>
      </c>
      <c r="P177" s="35">
        <f>SUBTOTAL(9,P166:P176)</f>
        <v>0</v>
      </c>
      <c r="Q177" s="36">
        <f>SUBTOTAL(9,Q166:Q176)</f>
        <v>0</v>
      </c>
      <c r="R177" s="36">
        <f>O177-Q177</f>
        <v>0</v>
      </c>
      <c r="S177" s="37" t="str">
        <f>IF(O177&lt;&gt;0,R177/O177,"")</f>
        <v/>
      </c>
      <c r="U177" s="34">
        <f>SUBTOTAL(9,U166:U176)</f>
        <v>0</v>
      </c>
      <c r="V177" s="35">
        <f>SUBTOTAL(9,V166:V176)</f>
        <v>0</v>
      </c>
      <c r="W177" s="36">
        <f>SUBTOTAL(9,W166:W176)</f>
        <v>0</v>
      </c>
      <c r="X177" s="36">
        <f>U177-W177</f>
        <v>0</v>
      </c>
      <c r="Y177" s="37" t="str">
        <f>IF(U177&lt;&gt;0,X177/U177,"")</f>
        <v/>
      </c>
      <c r="Z177" s="34">
        <f>SUBTOTAL(9,Z166:Z176)</f>
        <v>16273.45</v>
      </c>
      <c r="AA177" s="35">
        <f>SUBTOTAL(9,AA166:AA176)</f>
        <v>1294</v>
      </c>
      <c r="AB177" s="36">
        <f>SUBTOTAL(9,AB166:AB176)</f>
        <v>8528.7999999999993</v>
      </c>
      <c r="AC177" s="36">
        <f t="shared" ref="AC177" si="37">Z177-AB177</f>
        <v>7744.6500000000015</v>
      </c>
      <c r="AD177" s="37">
        <f t="shared" ref="AD177" si="38">IF(Z177&lt;&gt;0,AC177/Z177,"")</f>
        <v>0.47590707563546764</v>
      </c>
    </row>
    <row r="178" spans="1:31" x14ac:dyDescent="0.25">
      <c r="A178" s="14" t="s">
        <v>109</v>
      </c>
      <c r="C178" s="66"/>
      <c r="J178" s="10"/>
      <c r="K178" s="11"/>
      <c r="L178" s="11"/>
      <c r="M178" s="11"/>
      <c r="N178" s="12"/>
      <c r="O178" s="10"/>
      <c r="P178" s="11"/>
      <c r="Q178" s="11"/>
      <c r="R178" s="11"/>
      <c r="S178" s="12"/>
      <c r="U178" s="10"/>
      <c r="V178" s="11"/>
      <c r="W178" s="11"/>
      <c r="X178" s="11"/>
      <c r="Y178" s="12"/>
      <c r="Z178" s="10"/>
      <c r="AA178" s="11"/>
      <c r="AB178" s="11"/>
      <c r="AC178" s="11"/>
      <c r="AD178" s="12"/>
    </row>
    <row r="179" spans="1:31" ht="15.75" x14ac:dyDescent="0.25">
      <c r="A179" s="14" t="s">
        <v>109</v>
      </c>
      <c r="C179" s="66" t="str">
        <f t="shared" ref="C179" si="39">E179</f>
        <v>C100018</v>
      </c>
      <c r="E179" s="13" t="str">
        <f>"C100018"</f>
        <v>C100018</v>
      </c>
      <c r="F179" s="13"/>
      <c r="G179" s="13" t="str">
        <f>"City Of Chicago"</f>
        <v>City Of Chicago</v>
      </c>
      <c r="H179" s="13"/>
      <c r="I179" s="13"/>
      <c r="J179" s="10"/>
      <c r="K179" s="11"/>
      <c r="L179" s="11"/>
      <c r="M179" s="11"/>
      <c r="N179" s="12"/>
      <c r="O179" s="10"/>
      <c r="P179" s="11"/>
      <c r="Q179" s="11"/>
      <c r="R179" s="11"/>
      <c r="S179" s="12"/>
      <c r="U179" s="10"/>
      <c r="V179" s="11"/>
      <c r="W179" s="11"/>
      <c r="X179" s="11"/>
      <c r="Y179" s="12"/>
      <c r="Z179" s="10"/>
      <c r="AA179" s="11"/>
      <c r="AB179" s="11"/>
      <c r="AC179" s="11"/>
      <c r="AD179" s="12"/>
    </row>
    <row r="180" spans="1:31" ht="6.6" customHeight="1" x14ac:dyDescent="0.25">
      <c r="A180" s="14" t="s">
        <v>109</v>
      </c>
      <c r="C180" s="61" t="str">
        <f t="shared" ref="C180:C221" si="40">C179</f>
        <v>C100018</v>
      </c>
      <c r="J180" s="10"/>
      <c r="K180" s="11"/>
      <c r="L180" s="11"/>
      <c r="M180" s="11"/>
      <c r="N180" s="12"/>
      <c r="O180" s="10"/>
      <c r="P180" s="11"/>
      <c r="Q180" s="11"/>
      <c r="R180" s="11"/>
      <c r="S180" s="12"/>
      <c r="U180" s="10"/>
      <c r="V180" s="11"/>
      <c r="W180" s="11"/>
      <c r="X180" s="11"/>
      <c r="Y180" s="12"/>
      <c r="Z180" s="10"/>
      <c r="AA180" s="11"/>
      <c r="AB180" s="11"/>
      <c r="AC180" s="11"/>
      <c r="AD180" s="12"/>
    </row>
    <row r="181" spans="1:31" x14ac:dyDescent="0.25">
      <c r="A181" s="14" t="s">
        <v>109</v>
      </c>
      <c r="C181" s="61" t="str">
        <f t="shared" si="40"/>
        <v>C100018</v>
      </c>
      <c r="F181" s="8" t="str">
        <f>"C100004"</f>
        <v>C100004</v>
      </c>
      <c r="G181" s="9" t="str">
        <f>"Walnut Medallian Plate"</f>
        <v>Walnut Medallian Plate</v>
      </c>
      <c r="H181" s="47"/>
      <c r="I181" s="47"/>
      <c r="J181" s="23">
        <v>0</v>
      </c>
      <c r="K181" s="25">
        <v>0</v>
      </c>
      <c r="L181" s="24">
        <v>0</v>
      </c>
      <c r="M181" s="24">
        <f>J181-L181</f>
        <v>0</v>
      </c>
      <c r="N181" s="53" t="str">
        <f>IF(J181&lt;&gt;0,M181/J181,"")</f>
        <v/>
      </c>
      <c r="O181" s="23">
        <v>16668.28</v>
      </c>
      <c r="P181" s="25">
        <v>288</v>
      </c>
      <c r="Q181" s="24">
        <v>8812.7799999999988</v>
      </c>
      <c r="R181" s="24">
        <f>O181-Q181</f>
        <v>7855.5</v>
      </c>
      <c r="S181" s="53">
        <f>IF(O181&lt;&gt;0,R181/O181,"")</f>
        <v>0.47128437967204778</v>
      </c>
      <c r="T181" s="10"/>
      <c r="U181" s="23">
        <v>0</v>
      </c>
      <c r="V181" s="25">
        <v>0</v>
      </c>
      <c r="W181" s="24">
        <v>0</v>
      </c>
      <c r="X181" s="24">
        <f>U181-W181</f>
        <v>0</v>
      </c>
      <c r="Y181" s="53" t="str">
        <f>IF(U181&lt;&gt;0,X181/U181,"")</f>
        <v/>
      </c>
      <c r="Z181" s="23">
        <v>0</v>
      </c>
      <c r="AA181" s="25">
        <v>0</v>
      </c>
      <c r="AB181" s="24">
        <v>0</v>
      </c>
      <c r="AC181" s="24">
        <f t="shared" ref="AC181" si="41">Z181-AB181</f>
        <v>0</v>
      </c>
      <c r="AD181" s="53" t="str">
        <f t="shared" ref="AD181" si="42">IF(Z181&lt;&gt;0,AC181/Z181,"")</f>
        <v/>
      </c>
      <c r="AE181" s="10"/>
    </row>
    <row r="182" spans="1:31" x14ac:dyDescent="0.25">
      <c r="A182" s="14" t="s">
        <v>109</v>
      </c>
      <c r="C182" s="61" t="str">
        <f t="shared" ref="C182:C219" si="43">C181</f>
        <v>C100018</v>
      </c>
      <c r="F182" s="8" t="str">
        <f>"C100006"</f>
        <v>C100006</v>
      </c>
      <c r="G182" s="9" t="str">
        <f>"Cherry Finished Crystal Award- Large"</f>
        <v>Cherry Finished Crystal Award- Large</v>
      </c>
      <c r="H182" s="47"/>
      <c r="I182" s="47"/>
      <c r="J182" s="23">
        <v>8831.9599999999991</v>
      </c>
      <c r="K182" s="25">
        <v>48</v>
      </c>
      <c r="L182" s="24">
        <v>4561.92</v>
      </c>
      <c r="M182" s="24">
        <f>J182-L182</f>
        <v>4270.0399999999991</v>
      </c>
      <c r="N182" s="53">
        <f>IF(J182&lt;&gt;0,M182/J182,"")</f>
        <v>0.48347592153949964</v>
      </c>
      <c r="O182" s="23">
        <v>0</v>
      </c>
      <c r="P182" s="25">
        <v>0</v>
      </c>
      <c r="Q182" s="24">
        <v>0</v>
      </c>
      <c r="R182" s="24">
        <f>O182-Q182</f>
        <v>0</v>
      </c>
      <c r="S182" s="53" t="str">
        <f>IF(O182&lt;&gt;0,R182/O182,"")</f>
        <v/>
      </c>
      <c r="T182" s="10"/>
      <c r="U182" s="23">
        <v>9434.14</v>
      </c>
      <c r="V182" s="25">
        <v>48</v>
      </c>
      <c r="W182" s="24">
        <v>4561.92</v>
      </c>
      <c r="X182" s="24">
        <f>U182-W182</f>
        <v>4872.2199999999993</v>
      </c>
      <c r="Y182" s="53">
        <f>IF(U182&lt;&gt;0,X182/U182,"")</f>
        <v>0.51644559016508129</v>
      </c>
      <c r="Z182" s="23">
        <v>0</v>
      </c>
      <c r="AA182" s="25">
        <v>0</v>
      </c>
      <c r="AB182" s="24">
        <v>0</v>
      </c>
      <c r="AC182" s="24">
        <f t="shared" ref="AC182:AC219" si="44">Z182-AB182</f>
        <v>0</v>
      </c>
      <c r="AD182" s="53" t="str">
        <f t="shared" ref="AD182:AD219" si="45">IF(Z182&lt;&gt;0,AC182/Z182,"")</f>
        <v/>
      </c>
      <c r="AE182" s="10"/>
    </row>
    <row r="183" spans="1:31" x14ac:dyDescent="0.25">
      <c r="A183" s="14" t="s">
        <v>109</v>
      </c>
      <c r="C183" s="61" t="str">
        <f t="shared" si="43"/>
        <v>C100018</v>
      </c>
      <c r="F183" s="8" t="str">
        <f>"C100014"</f>
        <v>C100014</v>
      </c>
      <c r="G183" s="9" t="str">
        <f>"Canvas Field Bag"</f>
        <v>Canvas Field Bag</v>
      </c>
      <c r="H183" s="47"/>
      <c r="I183" s="47"/>
      <c r="J183" s="23">
        <v>0</v>
      </c>
      <c r="K183" s="25">
        <v>0</v>
      </c>
      <c r="L183" s="24">
        <v>0</v>
      </c>
      <c r="M183" s="24">
        <f>J183-L183</f>
        <v>0</v>
      </c>
      <c r="N183" s="53" t="str">
        <f>IF(J183&lt;&gt;0,M183/J183,"")</f>
        <v/>
      </c>
      <c r="O183" s="23">
        <v>1307.3999999999999</v>
      </c>
      <c r="P183" s="25">
        <v>144</v>
      </c>
      <c r="Q183" s="24">
        <v>660.96</v>
      </c>
      <c r="R183" s="24">
        <f>O183-Q183</f>
        <v>646.43999999999983</v>
      </c>
      <c r="S183" s="53">
        <f>IF(O183&lt;&gt;0,R183/O183,"")</f>
        <v>0.49444699403396047</v>
      </c>
      <c r="T183" s="10"/>
      <c r="U183" s="23">
        <v>0</v>
      </c>
      <c r="V183" s="25">
        <v>0</v>
      </c>
      <c r="W183" s="24">
        <v>0</v>
      </c>
      <c r="X183" s="24">
        <f>U183-W183</f>
        <v>0</v>
      </c>
      <c r="Y183" s="53" t="str">
        <f>IF(U183&lt;&gt;0,X183/U183,"")</f>
        <v/>
      </c>
      <c r="Z183" s="23">
        <v>0</v>
      </c>
      <c r="AA183" s="25">
        <v>0</v>
      </c>
      <c r="AB183" s="24">
        <v>0</v>
      </c>
      <c r="AC183" s="24">
        <f t="shared" si="44"/>
        <v>0</v>
      </c>
      <c r="AD183" s="53" t="str">
        <f t="shared" si="45"/>
        <v/>
      </c>
      <c r="AE183" s="10"/>
    </row>
    <row r="184" spans="1:31" x14ac:dyDescent="0.25">
      <c r="A184" s="14" t="s">
        <v>109</v>
      </c>
      <c r="C184" s="61" t="str">
        <f t="shared" si="43"/>
        <v>C100018</v>
      </c>
      <c r="F184" s="8" t="str">
        <f>"C100017"</f>
        <v>C100017</v>
      </c>
      <c r="G184" s="9" t="str">
        <f>"Wheeled Duffel"</f>
        <v>Wheeled Duffel</v>
      </c>
      <c r="H184" s="47"/>
      <c r="I184" s="47"/>
      <c r="J184" s="23">
        <v>0</v>
      </c>
      <c r="K184" s="25">
        <v>0</v>
      </c>
      <c r="L184" s="24">
        <v>0</v>
      </c>
      <c r="M184" s="24">
        <f>J184-L184</f>
        <v>0</v>
      </c>
      <c r="N184" s="53" t="str">
        <f>IF(J184&lt;&gt;0,M184/J184,"")</f>
        <v/>
      </c>
      <c r="O184" s="23">
        <v>4361.5200000000004</v>
      </c>
      <c r="P184" s="25">
        <v>24</v>
      </c>
      <c r="Q184" s="24">
        <v>2429.2800000000002</v>
      </c>
      <c r="R184" s="24">
        <f>O184-Q184</f>
        <v>1932.2400000000002</v>
      </c>
      <c r="S184" s="53">
        <f>IF(O184&lt;&gt;0,R184/O184,"")</f>
        <v>0.44301986463434767</v>
      </c>
      <c r="T184" s="10"/>
      <c r="U184" s="23">
        <v>8351.8599999999988</v>
      </c>
      <c r="V184" s="25">
        <v>48</v>
      </c>
      <c r="W184" s="24">
        <v>4858.5600000000004</v>
      </c>
      <c r="X184" s="24">
        <f>U184-W184</f>
        <v>3493.2999999999984</v>
      </c>
      <c r="Y184" s="53">
        <f>IF(U184&lt;&gt;0,X184/U184,"")</f>
        <v>0.41826611078250819</v>
      </c>
      <c r="Z184" s="23">
        <v>0</v>
      </c>
      <c r="AA184" s="25">
        <v>0</v>
      </c>
      <c r="AB184" s="24">
        <v>0</v>
      </c>
      <c r="AC184" s="24">
        <f t="shared" si="44"/>
        <v>0</v>
      </c>
      <c r="AD184" s="53" t="str">
        <f t="shared" si="45"/>
        <v/>
      </c>
      <c r="AE184" s="10"/>
    </row>
    <row r="185" spans="1:31" x14ac:dyDescent="0.25">
      <c r="A185" s="14" t="s">
        <v>109</v>
      </c>
      <c r="C185" s="61" t="str">
        <f t="shared" si="43"/>
        <v>C100018</v>
      </c>
      <c r="F185" s="8" t="str">
        <f>"C100018"</f>
        <v>C100018</v>
      </c>
      <c r="G185" s="9" t="str">
        <f>"Action Sport Duffel"</f>
        <v>Action Sport Duffel</v>
      </c>
      <c r="H185" s="47"/>
      <c r="I185" s="47"/>
      <c r="J185" s="23">
        <v>0</v>
      </c>
      <c r="K185" s="25">
        <v>0</v>
      </c>
      <c r="L185" s="24">
        <v>0</v>
      </c>
      <c r="M185" s="24">
        <f>J185-L185</f>
        <v>0</v>
      </c>
      <c r="N185" s="53" t="str">
        <f>IF(J185&lt;&gt;0,M185/J185,"")</f>
        <v/>
      </c>
      <c r="O185" s="23">
        <v>5688.7300000000005</v>
      </c>
      <c r="P185" s="25">
        <v>336</v>
      </c>
      <c r="Q185" s="24">
        <v>2872.82</v>
      </c>
      <c r="R185" s="24">
        <f>O185-Q185</f>
        <v>2815.9100000000003</v>
      </c>
      <c r="S185" s="53">
        <f>IF(O185&lt;&gt;0,R185/O185,"")</f>
        <v>0.49499800482708795</v>
      </c>
      <c r="T185" s="10"/>
      <c r="U185" s="23">
        <v>4691.3</v>
      </c>
      <c r="V185" s="25">
        <v>288</v>
      </c>
      <c r="W185" s="24">
        <v>2462.42</v>
      </c>
      <c r="X185" s="24">
        <f>U185-W185</f>
        <v>2228.88</v>
      </c>
      <c r="Y185" s="53">
        <f>IF(U185&lt;&gt;0,X185/U185,"")</f>
        <v>0.47510924477223798</v>
      </c>
      <c r="Z185" s="23">
        <v>16.91</v>
      </c>
      <c r="AA185" s="25">
        <v>1</v>
      </c>
      <c r="AB185" s="24">
        <v>8.5500000000000007</v>
      </c>
      <c r="AC185" s="24">
        <f t="shared" si="44"/>
        <v>8.36</v>
      </c>
      <c r="AD185" s="53">
        <f t="shared" si="45"/>
        <v>0.4943820224719101</v>
      </c>
      <c r="AE185" s="10"/>
    </row>
    <row r="186" spans="1:31" x14ac:dyDescent="0.25">
      <c r="A186" s="14" t="s">
        <v>109</v>
      </c>
      <c r="C186" s="61" t="str">
        <f t="shared" si="43"/>
        <v>C100018</v>
      </c>
      <c r="F186" s="8" t="str">
        <f>"C100019"</f>
        <v>C100019</v>
      </c>
      <c r="G186" s="9" t="str">
        <f>"Black Duffel Bag"</f>
        <v>Black Duffel Bag</v>
      </c>
      <c r="H186" s="47"/>
      <c r="I186" s="47"/>
      <c r="J186" s="23">
        <v>2977.5</v>
      </c>
      <c r="K186" s="25">
        <v>48</v>
      </c>
      <c r="L186" s="24">
        <v>2050.5700000000002</v>
      </c>
      <c r="M186" s="24">
        <f>J186-L186</f>
        <v>926.92999999999984</v>
      </c>
      <c r="N186" s="53">
        <f>IF(J186&lt;&gt;0,M186/J186,"")</f>
        <v>0.31131150293870691</v>
      </c>
      <c r="O186" s="23">
        <v>3350.39</v>
      </c>
      <c r="P186" s="25">
        <v>49</v>
      </c>
      <c r="Q186" s="24">
        <v>2093.29</v>
      </c>
      <c r="R186" s="24">
        <f>O186-Q186</f>
        <v>1257.0999999999999</v>
      </c>
      <c r="S186" s="53">
        <f>IF(O186&lt;&gt;0,R186/O186,"")</f>
        <v>0.37521005017326342</v>
      </c>
      <c r="T186" s="10"/>
      <c r="U186" s="23">
        <v>0</v>
      </c>
      <c r="V186" s="25">
        <v>0</v>
      </c>
      <c r="W186" s="24">
        <v>0</v>
      </c>
      <c r="X186" s="24">
        <f>U186-W186</f>
        <v>0</v>
      </c>
      <c r="Y186" s="53" t="str">
        <f>IF(U186&lt;&gt;0,X186/U186,"")</f>
        <v/>
      </c>
      <c r="Z186" s="23">
        <v>0</v>
      </c>
      <c r="AA186" s="25">
        <v>0</v>
      </c>
      <c r="AB186" s="24">
        <v>0</v>
      </c>
      <c r="AC186" s="24">
        <f t="shared" si="44"/>
        <v>0</v>
      </c>
      <c r="AD186" s="53" t="str">
        <f t="shared" si="45"/>
        <v/>
      </c>
      <c r="AE186" s="10"/>
    </row>
    <row r="187" spans="1:31" x14ac:dyDescent="0.25">
      <c r="A187" s="14" t="s">
        <v>109</v>
      </c>
      <c r="C187" s="61" t="str">
        <f t="shared" si="43"/>
        <v>C100018</v>
      </c>
      <c r="F187" s="8" t="str">
        <f>"C100020"</f>
        <v>C100020</v>
      </c>
      <c r="G187" s="9" t="str">
        <f>"Gym Locker Bag"</f>
        <v>Gym Locker Bag</v>
      </c>
      <c r="H187" s="47"/>
      <c r="I187" s="47"/>
      <c r="J187" s="23">
        <v>0</v>
      </c>
      <c r="K187" s="25">
        <v>0</v>
      </c>
      <c r="L187" s="24">
        <v>0</v>
      </c>
      <c r="M187" s="24">
        <f>J187-L187</f>
        <v>0</v>
      </c>
      <c r="N187" s="53" t="str">
        <f>IF(J187&lt;&gt;0,M187/J187,"")</f>
        <v/>
      </c>
      <c r="O187" s="23">
        <v>13.43</v>
      </c>
      <c r="P187" s="25">
        <v>1</v>
      </c>
      <c r="Q187" s="24">
        <v>7.74</v>
      </c>
      <c r="R187" s="24">
        <f>O187-Q187</f>
        <v>5.6899999999999995</v>
      </c>
      <c r="S187" s="53">
        <f>IF(O187&lt;&gt;0,R187/O187,"")</f>
        <v>0.42367833209233058</v>
      </c>
      <c r="T187" s="10"/>
      <c r="U187" s="23">
        <v>312.45999999999998</v>
      </c>
      <c r="V187" s="25">
        <v>24</v>
      </c>
      <c r="W187" s="24">
        <v>185.76</v>
      </c>
      <c r="X187" s="24">
        <f>U187-W187</f>
        <v>126.69999999999999</v>
      </c>
      <c r="Y187" s="53">
        <f>IF(U187&lt;&gt;0,X187/U187,"")</f>
        <v>0.40549190296357934</v>
      </c>
      <c r="Z187" s="23">
        <v>0</v>
      </c>
      <c r="AA187" s="25">
        <v>0</v>
      </c>
      <c r="AB187" s="24">
        <v>0</v>
      </c>
      <c r="AC187" s="24">
        <f t="shared" si="44"/>
        <v>0</v>
      </c>
      <c r="AD187" s="53" t="str">
        <f t="shared" si="45"/>
        <v/>
      </c>
      <c r="AE187" s="10"/>
    </row>
    <row r="188" spans="1:31" x14ac:dyDescent="0.25">
      <c r="A188" s="14" t="s">
        <v>109</v>
      </c>
      <c r="C188" s="61" t="str">
        <f t="shared" si="43"/>
        <v>C100018</v>
      </c>
      <c r="F188" s="8" t="str">
        <f>"C100021"</f>
        <v>C100021</v>
      </c>
      <c r="G188" s="9" t="str">
        <f>"Canvas Boat Bag"</f>
        <v>Canvas Boat Bag</v>
      </c>
      <c r="H188" s="47"/>
      <c r="I188" s="47"/>
      <c r="J188" s="23">
        <v>0</v>
      </c>
      <c r="K188" s="25">
        <v>0</v>
      </c>
      <c r="L188" s="24">
        <v>0</v>
      </c>
      <c r="M188" s="24">
        <f>J188-L188</f>
        <v>0</v>
      </c>
      <c r="N188" s="53" t="str">
        <f>IF(J188&lt;&gt;0,M188/J188,"")</f>
        <v/>
      </c>
      <c r="O188" s="23">
        <v>1406.62</v>
      </c>
      <c r="P188" s="25">
        <v>145</v>
      </c>
      <c r="Q188" s="24">
        <v>997.58999999999992</v>
      </c>
      <c r="R188" s="24">
        <f>O188-Q188</f>
        <v>409.03</v>
      </c>
      <c r="S188" s="53">
        <f>IF(O188&lt;&gt;0,R188/O188,"")</f>
        <v>0.29078926789040394</v>
      </c>
      <c r="T188" s="10"/>
      <c r="U188" s="23">
        <v>2734.3900000000003</v>
      </c>
      <c r="V188" s="25">
        <v>288</v>
      </c>
      <c r="W188" s="24">
        <v>1981.42</v>
      </c>
      <c r="X188" s="24">
        <f>U188-W188</f>
        <v>752.97000000000025</v>
      </c>
      <c r="Y188" s="53">
        <f>IF(U188&lt;&gt;0,X188/U188,"")</f>
        <v>0.27537037511108514</v>
      </c>
      <c r="Z188" s="23">
        <v>0</v>
      </c>
      <c r="AA188" s="25">
        <v>0</v>
      </c>
      <c r="AB188" s="24">
        <v>0</v>
      </c>
      <c r="AC188" s="24">
        <f t="shared" si="44"/>
        <v>0</v>
      </c>
      <c r="AD188" s="53" t="str">
        <f t="shared" si="45"/>
        <v/>
      </c>
      <c r="AE188" s="10"/>
    </row>
    <row r="189" spans="1:31" x14ac:dyDescent="0.25">
      <c r="A189" s="14" t="s">
        <v>109</v>
      </c>
      <c r="C189" s="61" t="str">
        <f t="shared" si="43"/>
        <v>C100018</v>
      </c>
      <c r="F189" s="8" t="str">
        <f>"C100022"</f>
        <v>C100022</v>
      </c>
      <c r="G189" s="9" t="str">
        <f>"Two-Toned Cap"</f>
        <v>Two-Toned Cap</v>
      </c>
      <c r="H189" s="47"/>
      <c r="I189" s="47"/>
      <c r="J189" s="23">
        <v>405.5</v>
      </c>
      <c r="K189" s="25">
        <v>144</v>
      </c>
      <c r="L189" s="24">
        <v>231.82999999999998</v>
      </c>
      <c r="M189" s="24">
        <f>J189-L189</f>
        <v>173.67000000000002</v>
      </c>
      <c r="N189" s="53">
        <f>IF(J189&lt;&gt;0,M189/J189,"")</f>
        <v>0.42828606658446366</v>
      </c>
      <c r="O189" s="23">
        <v>451.58000000000004</v>
      </c>
      <c r="P189" s="25">
        <v>144</v>
      </c>
      <c r="Q189" s="24">
        <v>231.82999999999998</v>
      </c>
      <c r="R189" s="24">
        <f>O189-Q189</f>
        <v>219.75000000000006</v>
      </c>
      <c r="S189" s="53">
        <f>IF(O189&lt;&gt;0,R189/O189,"")</f>
        <v>0.4866247398024714</v>
      </c>
      <c r="T189" s="10"/>
      <c r="U189" s="23">
        <v>0</v>
      </c>
      <c r="V189" s="25">
        <v>0</v>
      </c>
      <c r="W189" s="24">
        <v>0</v>
      </c>
      <c r="X189" s="24">
        <f>U189-W189</f>
        <v>0</v>
      </c>
      <c r="Y189" s="53" t="str">
        <f>IF(U189&lt;&gt;0,X189/U189,"")</f>
        <v/>
      </c>
      <c r="Z189" s="23">
        <v>0</v>
      </c>
      <c r="AA189" s="25">
        <v>0</v>
      </c>
      <c r="AB189" s="24">
        <v>0</v>
      </c>
      <c r="AC189" s="24">
        <f t="shared" si="44"/>
        <v>0</v>
      </c>
      <c r="AD189" s="53" t="str">
        <f t="shared" si="45"/>
        <v/>
      </c>
      <c r="AE189" s="10"/>
    </row>
    <row r="190" spans="1:31" x14ac:dyDescent="0.25">
      <c r="A190" s="14" t="s">
        <v>109</v>
      </c>
      <c r="C190" s="61" t="str">
        <f t="shared" si="43"/>
        <v>C100018</v>
      </c>
      <c r="F190" s="8" t="str">
        <f>"C100023"</f>
        <v>C100023</v>
      </c>
      <c r="G190" s="9" t="str">
        <f>"Two-Toned Knit Hat"</f>
        <v>Two-Toned Knit Hat</v>
      </c>
      <c r="H190" s="47"/>
      <c r="I190" s="47"/>
      <c r="J190" s="23">
        <v>341.97</v>
      </c>
      <c r="K190" s="25">
        <v>145</v>
      </c>
      <c r="L190" s="24">
        <v>182.69</v>
      </c>
      <c r="M190" s="24">
        <f>J190-L190</f>
        <v>159.28000000000003</v>
      </c>
      <c r="N190" s="53">
        <f>IF(J190&lt;&gt;0,M190/J190,"")</f>
        <v>0.46577185133198823</v>
      </c>
      <c r="O190" s="23">
        <v>0</v>
      </c>
      <c r="P190" s="25">
        <v>0</v>
      </c>
      <c r="Q190" s="24">
        <v>0</v>
      </c>
      <c r="R190" s="24">
        <f>O190-Q190</f>
        <v>0</v>
      </c>
      <c r="S190" s="53" t="str">
        <f>IF(O190&lt;&gt;0,R190/O190,"")</f>
        <v/>
      </c>
      <c r="T190" s="10"/>
      <c r="U190" s="23">
        <v>2.41</v>
      </c>
      <c r="V190" s="25">
        <v>1</v>
      </c>
      <c r="W190" s="24">
        <v>1.26</v>
      </c>
      <c r="X190" s="24">
        <f>U190-W190</f>
        <v>1.1500000000000001</v>
      </c>
      <c r="Y190" s="53">
        <f>IF(U190&lt;&gt;0,X190/U190,"")</f>
        <v>0.47717842323651455</v>
      </c>
      <c r="Z190" s="23">
        <v>0</v>
      </c>
      <c r="AA190" s="25">
        <v>0</v>
      </c>
      <c r="AB190" s="24">
        <v>0</v>
      </c>
      <c r="AC190" s="24">
        <f t="shared" si="44"/>
        <v>0</v>
      </c>
      <c r="AD190" s="53" t="str">
        <f t="shared" si="45"/>
        <v/>
      </c>
      <c r="AE190" s="10"/>
    </row>
    <row r="191" spans="1:31" x14ac:dyDescent="0.25">
      <c r="A191" s="14" t="s">
        <v>109</v>
      </c>
      <c r="C191" s="61" t="str">
        <f t="shared" si="43"/>
        <v>C100018</v>
      </c>
      <c r="F191" s="8" t="str">
        <f>"C100026"</f>
        <v>C100026</v>
      </c>
      <c r="G191" s="9" t="str">
        <f>"Fleece Beanie"</f>
        <v>Fleece Beanie</v>
      </c>
      <c r="H191" s="47"/>
      <c r="I191" s="47"/>
      <c r="J191" s="23">
        <v>395.37</v>
      </c>
      <c r="K191" s="25">
        <v>144</v>
      </c>
      <c r="L191" s="24">
        <v>287.99</v>
      </c>
      <c r="M191" s="24">
        <f>J191-L191</f>
        <v>107.38</v>
      </c>
      <c r="N191" s="53">
        <f>IF(J191&lt;&gt;0,M191/J191,"")</f>
        <v>0.27159369704327591</v>
      </c>
      <c r="O191" s="23">
        <v>879.15</v>
      </c>
      <c r="P191" s="25">
        <v>289</v>
      </c>
      <c r="Q191" s="24">
        <v>577.98</v>
      </c>
      <c r="R191" s="24">
        <f>O191-Q191</f>
        <v>301.16999999999996</v>
      </c>
      <c r="S191" s="53">
        <f>IF(O191&lt;&gt;0,R191/O191,"")</f>
        <v>0.34256952738440538</v>
      </c>
      <c r="T191" s="10"/>
      <c r="U191" s="23">
        <v>424.20000000000005</v>
      </c>
      <c r="V191" s="25">
        <v>151</v>
      </c>
      <c r="W191" s="24">
        <v>301.99</v>
      </c>
      <c r="X191" s="24">
        <f>U191-W191</f>
        <v>122.21000000000004</v>
      </c>
      <c r="Y191" s="53">
        <f>IF(U191&lt;&gt;0,X191/U191,"")</f>
        <v>0.28809523809523813</v>
      </c>
      <c r="Z191" s="23">
        <v>0</v>
      </c>
      <c r="AA191" s="25">
        <v>0</v>
      </c>
      <c r="AB191" s="24">
        <v>0</v>
      </c>
      <c r="AC191" s="24">
        <f t="shared" si="44"/>
        <v>0</v>
      </c>
      <c r="AD191" s="53" t="str">
        <f t="shared" si="45"/>
        <v/>
      </c>
      <c r="AE191" s="10"/>
    </row>
    <row r="192" spans="1:31" x14ac:dyDescent="0.25">
      <c r="A192" s="14" t="s">
        <v>109</v>
      </c>
      <c r="C192" s="61" t="str">
        <f t="shared" si="43"/>
        <v>C100018</v>
      </c>
      <c r="F192" s="8" t="str">
        <f>"C100027"</f>
        <v>C100027</v>
      </c>
      <c r="G192" s="9" t="str">
        <f>"Pique Visor"</f>
        <v>Pique Visor</v>
      </c>
      <c r="H192" s="47"/>
      <c r="I192" s="47"/>
      <c r="J192" s="23">
        <v>0</v>
      </c>
      <c r="K192" s="25">
        <v>0</v>
      </c>
      <c r="L192" s="24">
        <v>0</v>
      </c>
      <c r="M192" s="24">
        <f>J192-L192</f>
        <v>0</v>
      </c>
      <c r="N192" s="53" t="str">
        <f>IF(J192&lt;&gt;0,M192/J192,"")</f>
        <v/>
      </c>
      <c r="O192" s="23">
        <v>884.17000000000007</v>
      </c>
      <c r="P192" s="25">
        <v>144</v>
      </c>
      <c r="Q192" s="24">
        <v>449.29</v>
      </c>
      <c r="R192" s="24">
        <f>O192-Q192</f>
        <v>434.88000000000005</v>
      </c>
      <c r="S192" s="53">
        <f>IF(O192&lt;&gt;0,R192/O192,"")</f>
        <v>0.49185111460465747</v>
      </c>
      <c r="T192" s="10"/>
      <c r="U192" s="23">
        <v>856.83</v>
      </c>
      <c r="V192" s="25">
        <v>144</v>
      </c>
      <c r="W192" s="24">
        <v>449.29</v>
      </c>
      <c r="X192" s="24">
        <f>U192-W192</f>
        <v>407.54</v>
      </c>
      <c r="Y192" s="53">
        <f>IF(U192&lt;&gt;0,X192/U192,"")</f>
        <v>0.47563694081673147</v>
      </c>
      <c r="Z192" s="23">
        <v>0</v>
      </c>
      <c r="AA192" s="25">
        <v>0</v>
      </c>
      <c r="AB192" s="24">
        <v>0</v>
      </c>
      <c r="AC192" s="24">
        <f t="shared" si="44"/>
        <v>0</v>
      </c>
      <c r="AD192" s="53" t="str">
        <f t="shared" si="45"/>
        <v/>
      </c>
      <c r="AE192" s="10"/>
    </row>
    <row r="193" spans="1:31" x14ac:dyDescent="0.25">
      <c r="A193" s="14" t="s">
        <v>109</v>
      </c>
      <c r="C193" s="61" t="str">
        <f t="shared" si="43"/>
        <v>C100018</v>
      </c>
      <c r="F193" s="8" t="str">
        <f>"C100028"</f>
        <v>C100028</v>
      </c>
      <c r="G193" s="9" t="str">
        <f>"Twill Visor"</f>
        <v>Twill Visor</v>
      </c>
      <c r="H193" s="47"/>
      <c r="I193" s="47"/>
      <c r="J193" s="23">
        <v>0</v>
      </c>
      <c r="K193" s="25">
        <v>0</v>
      </c>
      <c r="L193" s="24">
        <v>0</v>
      </c>
      <c r="M193" s="24">
        <f>J193-L193</f>
        <v>0</v>
      </c>
      <c r="N193" s="53" t="str">
        <f>IF(J193&lt;&gt;0,M193/J193,"")</f>
        <v/>
      </c>
      <c r="O193" s="23">
        <v>691.68999999999994</v>
      </c>
      <c r="P193" s="25">
        <v>144</v>
      </c>
      <c r="Q193" s="24">
        <v>345.61</v>
      </c>
      <c r="R193" s="24">
        <f>O193-Q193</f>
        <v>346.07999999999993</v>
      </c>
      <c r="S193" s="53">
        <f>IF(O193&lt;&gt;0,R193/O193,"")</f>
        <v>0.5003397475747805</v>
      </c>
      <c r="T193" s="10"/>
      <c r="U193" s="23">
        <v>669.61</v>
      </c>
      <c r="V193" s="25">
        <v>144</v>
      </c>
      <c r="W193" s="24">
        <v>345.61</v>
      </c>
      <c r="X193" s="24">
        <f>U193-W193</f>
        <v>324</v>
      </c>
      <c r="Y193" s="53">
        <f>IF(U193&lt;&gt;0,X193/U193,"")</f>
        <v>0.48386374158092021</v>
      </c>
      <c r="Z193" s="23">
        <v>-5.01</v>
      </c>
      <c r="AA193" s="25">
        <v>-1</v>
      </c>
      <c r="AB193" s="24">
        <v>-2.4</v>
      </c>
      <c r="AC193" s="24">
        <f t="shared" si="44"/>
        <v>-2.61</v>
      </c>
      <c r="AD193" s="53">
        <f t="shared" si="45"/>
        <v>0.52095808383233533</v>
      </c>
      <c r="AE193" s="10"/>
    </row>
    <row r="194" spans="1:31" x14ac:dyDescent="0.25">
      <c r="A194" s="14" t="s">
        <v>109</v>
      </c>
      <c r="C194" s="61" t="str">
        <f t="shared" si="43"/>
        <v>C100018</v>
      </c>
      <c r="F194" s="8" t="str">
        <f>"C100029"</f>
        <v>C100029</v>
      </c>
      <c r="G194" s="9" t="str">
        <f>"Distressed Twill Visor"</f>
        <v>Distressed Twill Visor</v>
      </c>
      <c r="H194" s="47"/>
      <c r="I194" s="47"/>
      <c r="J194" s="23">
        <v>0</v>
      </c>
      <c r="K194" s="25">
        <v>0</v>
      </c>
      <c r="L194" s="24">
        <v>0</v>
      </c>
      <c r="M194" s="24">
        <f>J194-L194</f>
        <v>0</v>
      </c>
      <c r="N194" s="53" t="str">
        <f>IF(J194&lt;&gt;0,M194/J194,"")</f>
        <v/>
      </c>
      <c r="O194" s="23">
        <v>462.92999999999995</v>
      </c>
      <c r="P194" s="25">
        <v>144</v>
      </c>
      <c r="Q194" s="24">
        <v>298.09000000000003</v>
      </c>
      <c r="R194" s="24">
        <f>O194-Q194</f>
        <v>164.83999999999992</v>
      </c>
      <c r="S194" s="53">
        <f>IF(O194&lt;&gt;0,R194/O194,"")</f>
        <v>0.35607975287840482</v>
      </c>
      <c r="T194" s="10"/>
      <c r="U194" s="23">
        <v>3.11</v>
      </c>
      <c r="V194" s="25">
        <v>1</v>
      </c>
      <c r="W194" s="24">
        <v>2.0699999999999998</v>
      </c>
      <c r="X194" s="24">
        <f>U194-W194</f>
        <v>1.04</v>
      </c>
      <c r="Y194" s="53">
        <f>IF(U194&lt;&gt;0,X194/U194,"")</f>
        <v>0.33440514469453381</v>
      </c>
      <c r="Z194" s="23">
        <v>3.28</v>
      </c>
      <c r="AA194" s="25">
        <v>1</v>
      </c>
      <c r="AB194" s="24">
        <v>2.0699999999999998</v>
      </c>
      <c r="AC194" s="24">
        <f t="shared" si="44"/>
        <v>1.21</v>
      </c>
      <c r="AD194" s="53">
        <f t="shared" si="45"/>
        <v>0.36890243902439024</v>
      </c>
      <c r="AE194" s="10"/>
    </row>
    <row r="195" spans="1:31" x14ac:dyDescent="0.25">
      <c r="A195" s="14" t="s">
        <v>109</v>
      </c>
      <c r="C195" s="61" t="str">
        <f t="shared" si="43"/>
        <v>C100018</v>
      </c>
      <c r="F195" s="8" t="str">
        <f>"C100030"</f>
        <v>C100030</v>
      </c>
      <c r="G195" s="9" t="str">
        <f>"Fashion Visor"</f>
        <v>Fashion Visor</v>
      </c>
      <c r="H195" s="47"/>
      <c r="I195" s="47"/>
      <c r="J195" s="23">
        <v>0</v>
      </c>
      <c r="K195" s="25">
        <v>0</v>
      </c>
      <c r="L195" s="24">
        <v>0</v>
      </c>
      <c r="M195" s="24">
        <f>J195-L195</f>
        <v>0</v>
      </c>
      <c r="N195" s="53" t="str">
        <f>IF(J195&lt;&gt;0,M195/J195,"")</f>
        <v/>
      </c>
      <c r="O195" s="23">
        <v>592.88</v>
      </c>
      <c r="P195" s="25">
        <v>144</v>
      </c>
      <c r="Q195" s="24">
        <v>348.49</v>
      </c>
      <c r="R195" s="24">
        <f>O195-Q195</f>
        <v>244.39</v>
      </c>
      <c r="S195" s="53">
        <f>IF(O195&lt;&gt;0,R195/O195,"")</f>
        <v>0.4122082040210498</v>
      </c>
      <c r="T195" s="10"/>
      <c r="U195" s="23">
        <v>0</v>
      </c>
      <c r="V195" s="25">
        <v>0</v>
      </c>
      <c r="W195" s="24">
        <v>0</v>
      </c>
      <c r="X195" s="24">
        <f>U195-W195</f>
        <v>0</v>
      </c>
      <c r="Y195" s="53" t="str">
        <f>IF(U195&lt;&gt;0,X195/U195,"")</f>
        <v/>
      </c>
      <c r="Z195" s="23">
        <v>0</v>
      </c>
      <c r="AA195" s="25">
        <v>0</v>
      </c>
      <c r="AB195" s="24">
        <v>0</v>
      </c>
      <c r="AC195" s="24">
        <f t="shared" si="44"/>
        <v>0</v>
      </c>
      <c r="AD195" s="53" t="str">
        <f t="shared" si="45"/>
        <v/>
      </c>
      <c r="AE195" s="10"/>
    </row>
    <row r="196" spans="1:31" x14ac:dyDescent="0.25">
      <c r="A196" s="14" t="s">
        <v>109</v>
      </c>
      <c r="C196" s="61" t="str">
        <f t="shared" si="43"/>
        <v>C100018</v>
      </c>
      <c r="F196" s="8" t="str">
        <f>"C100031"</f>
        <v>C100031</v>
      </c>
      <c r="G196" s="9" t="str">
        <f>"Carabiner Watch"</f>
        <v>Carabiner Watch</v>
      </c>
      <c r="H196" s="47"/>
      <c r="I196" s="47"/>
      <c r="J196" s="23">
        <v>0</v>
      </c>
      <c r="K196" s="25">
        <v>0</v>
      </c>
      <c r="L196" s="24">
        <v>0</v>
      </c>
      <c r="M196" s="24">
        <f>J196-L196</f>
        <v>0</v>
      </c>
      <c r="N196" s="53" t="str">
        <f>IF(J196&lt;&gt;0,M196/J196,"")</f>
        <v/>
      </c>
      <c r="O196" s="23">
        <v>6071.81</v>
      </c>
      <c r="P196" s="25">
        <v>336</v>
      </c>
      <c r="Q196" s="24">
        <v>2882.89</v>
      </c>
      <c r="R196" s="24">
        <f>O196-Q196</f>
        <v>3188.9200000000005</v>
      </c>
      <c r="S196" s="53">
        <f>IF(O196&lt;&gt;0,R196/O196,"")</f>
        <v>0.52520088737954584</v>
      </c>
      <c r="T196" s="10"/>
      <c r="U196" s="23">
        <v>2446.8500000000004</v>
      </c>
      <c r="V196" s="25">
        <v>144</v>
      </c>
      <c r="W196" s="24">
        <v>1235.52</v>
      </c>
      <c r="X196" s="24">
        <f>U196-W196</f>
        <v>1211.3300000000004</v>
      </c>
      <c r="Y196" s="53">
        <f>IF(U196&lt;&gt;0,X196/U196,"")</f>
        <v>0.49505690990457124</v>
      </c>
      <c r="Z196" s="23">
        <v>0</v>
      </c>
      <c r="AA196" s="25">
        <v>0</v>
      </c>
      <c r="AB196" s="24">
        <v>0</v>
      </c>
      <c r="AC196" s="24">
        <f t="shared" si="44"/>
        <v>0</v>
      </c>
      <c r="AD196" s="53" t="str">
        <f t="shared" si="45"/>
        <v/>
      </c>
      <c r="AE196" s="10"/>
    </row>
    <row r="197" spans="1:31" x14ac:dyDescent="0.25">
      <c r="A197" s="14" t="s">
        <v>109</v>
      </c>
      <c r="C197" s="61" t="str">
        <f t="shared" si="43"/>
        <v>C100018</v>
      </c>
      <c r="F197" s="8" t="str">
        <f>"C100032"</f>
        <v>C100032</v>
      </c>
      <c r="G197" s="9" t="str">
        <f>"Clip-on Clock"</f>
        <v>Clip-on Clock</v>
      </c>
      <c r="H197" s="47"/>
      <c r="I197" s="47"/>
      <c r="J197" s="23">
        <v>0</v>
      </c>
      <c r="K197" s="25">
        <v>0</v>
      </c>
      <c r="L197" s="24">
        <v>0</v>
      </c>
      <c r="M197" s="24">
        <f>J197-L197</f>
        <v>0</v>
      </c>
      <c r="N197" s="53" t="str">
        <f>IF(J197&lt;&gt;0,M197/J197,"")</f>
        <v/>
      </c>
      <c r="O197" s="23">
        <v>1150.96</v>
      </c>
      <c r="P197" s="25">
        <v>144</v>
      </c>
      <c r="Q197" s="24">
        <v>599.05000000000007</v>
      </c>
      <c r="R197" s="24">
        <f>O197-Q197</f>
        <v>551.91</v>
      </c>
      <c r="S197" s="53">
        <f>IF(O197&lt;&gt;0,R197/O197,"")</f>
        <v>0.47952144296934729</v>
      </c>
      <c r="T197" s="10"/>
      <c r="U197" s="23">
        <v>1451.5600000000002</v>
      </c>
      <c r="V197" s="25">
        <v>192</v>
      </c>
      <c r="W197" s="24">
        <v>798.7299999999999</v>
      </c>
      <c r="X197" s="24">
        <f>U197-W197</f>
        <v>652.83000000000027</v>
      </c>
      <c r="Y197" s="53">
        <f>IF(U197&lt;&gt;0,X197/U197,"")</f>
        <v>0.44974372399349677</v>
      </c>
      <c r="Z197" s="23">
        <v>7.91</v>
      </c>
      <c r="AA197" s="25">
        <v>1</v>
      </c>
      <c r="AB197" s="24">
        <v>4.16</v>
      </c>
      <c r="AC197" s="24">
        <f t="shared" si="44"/>
        <v>3.75</v>
      </c>
      <c r="AD197" s="53">
        <f t="shared" si="45"/>
        <v>0.47408343868520858</v>
      </c>
      <c r="AE197" s="10"/>
    </row>
    <row r="198" spans="1:31" x14ac:dyDescent="0.25">
      <c r="A198" s="14" t="s">
        <v>109</v>
      </c>
      <c r="C198" s="61" t="str">
        <f t="shared" si="43"/>
        <v>C100018</v>
      </c>
      <c r="F198" s="8" t="str">
        <f>"E100001"</f>
        <v>E100001</v>
      </c>
      <c r="G198" s="9" t="str">
        <f>"Sport Bag"</f>
        <v>Sport Bag</v>
      </c>
      <c r="H198" s="47"/>
      <c r="I198" s="47"/>
      <c r="J198" s="23">
        <v>229.36</v>
      </c>
      <c r="K198" s="25">
        <v>144</v>
      </c>
      <c r="L198" s="24">
        <v>125.28</v>
      </c>
      <c r="M198" s="24">
        <f>J198-L198</f>
        <v>104.08000000000001</v>
      </c>
      <c r="N198" s="53">
        <f>IF(J198&lt;&gt;0,M198/J198,"")</f>
        <v>0.45378444366934079</v>
      </c>
      <c r="O198" s="23">
        <v>0</v>
      </c>
      <c r="P198" s="25">
        <v>0</v>
      </c>
      <c r="Q198" s="24">
        <v>0</v>
      </c>
      <c r="R198" s="24">
        <f>O198-Q198</f>
        <v>0</v>
      </c>
      <c r="S198" s="53" t="str">
        <f>IF(O198&lt;&gt;0,R198/O198,"")</f>
        <v/>
      </c>
      <c r="T198" s="10"/>
      <c r="U198" s="23">
        <v>711.55000000000007</v>
      </c>
      <c r="V198" s="25">
        <v>432</v>
      </c>
      <c r="W198" s="24">
        <v>375.84</v>
      </c>
      <c r="X198" s="24">
        <f>U198-W198</f>
        <v>335.71000000000009</v>
      </c>
      <c r="Y198" s="53">
        <f>IF(U198&lt;&gt;0,X198/U198,"")</f>
        <v>0.47180099782165702</v>
      </c>
      <c r="Z198" s="23">
        <v>10.43</v>
      </c>
      <c r="AA198" s="25">
        <v>6</v>
      </c>
      <c r="AB198" s="24">
        <v>5.22</v>
      </c>
      <c r="AC198" s="24">
        <f t="shared" si="44"/>
        <v>5.21</v>
      </c>
      <c r="AD198" s="53">
        <f t="shared" si="45"/>
        <v>0.49952061361457334</v>
      </c>
      <c r="AE198" s="10"/>
    </row>
    <row r="199" spans="1:31" x14ac:dyDescent="0.25">
      <c r="A199" s="14" t="s">
        <v>109</v>
      </c>
      <c r="C199" s="61" t="str">
        <f t="shared" si="43"/>
        <v>C100018</v>
      </c>
      <c r="F199" s="8" t="str">
        <f>"E100011"</f>
        <v>E100011</v>
      </c>
      <c r="G199" s="9" t="str">
        <f>"Plastic Sun Visor"</f>
        <v>Plastic Sun Visor</v>
      </c>
      <c r="H199" s="47"/>
      <c r="I199" s="47"/>
      <c r="J199" s="23">
        <v>0</v>
      </c>
      <c r="K199" s="25">
        <v>0</v>
      </c>
      <c r="L199" s="24">
        <v>0</v>
      </c>
      <c r="M199" s="24">
        <f>J199-L199</f>
        <v>0</v>
      </c>
      <c r="N199" s="53" t="str">
        <f>IF(J199&lt;&gt;0,M199/J199,"")</f>
        <v/>
      </c>
      <c r="O199" s="23">
        <v>113.9</v>
      </c>
      <c r="P199" s="25">
        <v>145</v>
      </c>
      <c r="Q199" s="24">
        <v>60.89</v>
      </c>
      <c r="R199" s="24">
        <f>O199-Q199</f>
        <v>53.010000000000005</v>
      </c>
      <c r="S199" s="53">
        <f>IF(O199&lt;&gt;0,R199/O199,"")</f>
        <v>0.46540825285338017</v>
      </c>
      <c r="T199" s="10"/>
      <c r="U199" s="23">
        <v>106.89999999999999</v>
      </c>
      <c r="V199" s="25">
        <v>145</v>
      </c>
      <c r="W199" s="24">
        <v>60.89</v>
      </c>
      <c r="X199" s="24">
        <f>U199-W199</f>
        <v>46.009999999999991</v>
      </c>
      <c r="Y199" s="53">
        <f>IF(U199&lt;&gt;0,X199/U199,"")</f>
        <v>0.43040224508886804</v>
      </c>
      <c r="Z199" s="23">
        <v>-0.79</v>
      </c>
      <c r="AA199" s="25">
        <v>-1</v>
      </c>
      <c r="AB199" s="24">
        <v>-0.42</v>
      </c>
      <c r="AC199" s="24">
        <f t="shared" si="44"/>
        <v>-0.37000000000000005</v>
      </c>
      <c r="AD199" s="53">
        <f t="shared" si="45"/>
        <v>0.46835443037974689</v>
      </c>
      <c r="AE199" s="10"/>
    </row>
    <row r="200" spans="1:31" x14ac:dyDescent="0.25">
      <c r="A200" s="14" t="s">
        <v>109</v>
      </c>
      <c r="C200" s="61" t="str">
        <f t="shared" si="43"/>
        <v>C100018</v>
      </c>
      <c r="F200" s="8" t="str">
        <f>"E100012"</f>
        <v>E100012</v>
      </c>
      <c r="G200" s="9" t="str">
        <f>"Canvas Stopwatch"</f>
        <v>Canvas Stopwatch</v>
      </c>
      <c r="H200" s="47"/>
      <c r="I200" s="47"/>
      <c r="J200" s="23">
        <v>0</v>
      </c>
      <c r="K200" s="25">
        <v>0</v>
      </c>
      <c r="L200" s="24">
        <v>0</v>
      </c>
      <c r="M200" s="24">
        <f>J200-L200</f>
        <v>0</v>
      </c>
      <c r="N200" s="53" t="str">
        <f>IF(J200&lt;&gt;0,M200/J200,"")</f>
        <v/>
      </c>
      <c r="O200" s="23">
        <v>1038.96</v>
      </c>
      <c r="P200" s="25">
        <v>288</v>
      </c>
      <c r="Q200" s="24">
        <v>564.45999999999992</v>
      </c>
      <c r="R200" s="24">
        <f>O200-Q200</f>
        <v>474.50000000000011</v>
      </c>
      <c r="S200" s="53">
        <f>IF(O200&lt;&gt;0,R200/O200,"")</f>
        <v>0.45670670670670682</v>
      </c>
      <c r="T200" s="10"/>
      <c r="U200" s="23">
        <v>0</v>
      </c>
      <c r="V200" s="25">
        <v>0</v>
      </c>
      <c r="W200" s="24">
        <v>0</v>
      </c>
      <c r="X200" s="24">
        <f>U200-W200</f>
        <v>0</v>
      </c>
      <c r="Y200" s="53" t="str">
        <f>IF(U200&lt;&gt;0,X200/U200,"")</f>
        <v/>
      </c>
      <c r="Z200" s="23">
        <v>0</v>
      </c>
      <c r="AA200" s="25">
        <v>0</v>
      </c>
      <c r="AB200" s="24">
        <v>0</v>
      </c>
      <c r="AC200" s="24">
        <f t="shared" si="44"/>
        <v>0</v>
      </c>
      <c r="AD200" s="53" t="str">
        <f t="shared" si="45"/>
        <v/>
      </c>
      <c r="AE200" s="10"/>
    </row>
    <row r="201" spans="1:31" x14ac:dyDescent="0.25">
      <c r="A201" s="14" t="s">
        <v>109</v>
      </c>
      <c r="C201" s="61" t="str">
        <f t="shared" si="43"/>
        <v>C100018</v>
      </c>
      <c r="F201" s="8" t="str">
        <f>"E100013"</f>
        <v>E100013</v>
      </c>
      <c r="G201" s="9" t="str">
        <f>"Clip-on Stopwatch"</f>
        <v>Clip-on Stopwatch</v>
      </c>
      <c r="H201" s="47"/>
      <c r="I201" s="47"/>
      <c r="J201" s="23">
        <v>0</v>
      </c>
      <c r="K201" s="25">
        <v>0</v>
      </c>
      <c r="L201" s="24">
        <v>0</v>
      </c>
      <c r="M201" s="24">
        <f>J201-L201</f>
        <v>0</v>
      </c>
      <c r="N201" s="53" t="str">
        <f>IF(J201&lt;&gt;0,M201/J201,"")</f>
        <v/>
      </c>
      <c r="O201" s="23">
        <v>763.08</v>
      </c>
      <c r="P201" s="25">
        <v>288</v>
      </c>
      <c r="Q201" s="24">
        <v>414.7</v>
      </c>
      <c r="R201" s="24">
        <f>O201-Q201</f>
        <v>348.38000000000005</v>
      </c>
      <c r="S201" s="53">
        <f>IF(O201&lt;&gt;0,R201/O201,"")</f>
        <v>0.45654453006237883</v>
      </c>
      <c r="T201" s="10"/>
      <c r="U201" s="23">
        <v>0</v>
      </c>
      <c r="V201" s="25">
        <v>0</v>
      </c>
      <c r="W201" s="24">
        <v>0</v>
      </c>
      <c r="X201" s="24">
        <f>U201-W201</f>
        <v>0</v>
      </c>
      <c r="Y201" s="53" t="str">
        <f>IF(U201&lt;&gt;0,X201/U201,"")</f>
        <v/>
      </c>
      <c r="Z201" s="23">
        <v>0</v>
      </c>
      <c r="AA201" s="25">
        <v>0</v>
      </c>
      <c r="AB201" s="24">
        <v>0</v>
      </c>
      <c r="AC201" s="24">
        <f t="shared" si="44"/>
        <v>0</v>
      </c>
      <c r="AD201" s="53" t="str">
        <f t="shared" si="45"/>
        <v/>
      </c>
      <c r="AE201" s="10"/>
    </row>
    <row r="202" spans="1:31" x14ac:dyDescent="0.25">
      <c r="A202" s="14" t="s">
        <v>109</v>
      </c>
      <c r="C202" s="61" t="str">
        <f t="shared" si="43"/>
        <v>C100018</v>
      </c>
      <c r="F202" s="8" t="str">
        <f>"E100014"</f>
        <v>E100014</v>
      </c>
      <c r="G202" s="9" t="str">
        <f>"Stopwatch with Neck Rope"</f>
        <v>Stopwatch with Neck Rope</v>
      </c>
      <c r="H202" s="47"/>
      <c r="I202" s="47"/>
      <c r="J202" s="23">
        <v>0</v>
      </c>
      <c r="K202" s="25">
        <v>0</v>
      </c>
      <c r="L202" s="24">
        <v>0</v>
      </c>
      <c r="M202" s="24">
        <f>J202-L202</f>
        <v>0</v>
      </c>
      <c r="N202" s="53" t="str">
        <f>IF(J202&lt;&gt;0,M202/J202,"")</f>
        <v/>
      </c>
      <c r="O202" s="23">
        <v>372.23999999999995</v>
      </c>
      <c r="P202" s="25">
        <v>144</v>
      </c>
      <c r="Q202" s="24">
        <v>185.75</v>
      </c>
      <c r="R202" s="24">
        <f>O202-Q202</f>
        <v>186.48999999999995</v>
      </c>
      <c r="S202" s="53">
        <f>IF(O202&lt;&gt;0,R202/O202,"")</f>
        <v>0.50099398237696102</v>
      </c>
      <c r="T202" s="10"/>
      <c r="U202" s="23">
        <v>0</v>
      </c>
      <c r="V202" s="25">
        <v>0</v>
      </c>
      <c r="W202" s="24">
        <v>0</v>
      </c>
      <c r="X202" s="24">
        <f>U202-W202</f>
        <v>0</v>
      </c>
      <c r="Y202" s="53" t="str">
        <f>IF(U202&lt;&gt;0,X202/U202,"")</f>
        <v/>
      </c>
      <c r="Z202" s="23">
        <v>0</v>
      </c>
      <c r="AA202" s="25">
        <v>0</v>
      </c>
      <c r="AB202" s="24">
        <v>0</v>
      </c>
      <c r="AC202" s="24">
        <f t="shared" si="44"/>
        <v>0</v>
      </c>
      <c r="AD202" s="53" t="str">
        <f t="shared" si="45"/>
        <v/>
      </c>
      <c r="AE202" s="10"/>
    </row>
    <row r="203" spans="1:31" x14ac:dyDescent="0.25">
      <c r="A203" s="14" t="s">
        <v>109</v>
      </c>
      <c r="C203" s="61" t="str">
        <f t="shared" si="43"/>
        <v>C100018</v>
      </c>
      <c r="F203" s="8" t="str">
        <f>"E100015"</f>
        <v>E100015</v>
      </c>
      <c r="G203" s="9" t="str">
        <f>"360 Clip Watch"</f>
        <v>360 Clip Watch</v>
      </c>
      <c r="H203" s="47"/>
      <c r="I203" s="47"/>
      <c r="J203" s="23">
        <v>0</v>
      </c>
      <c r="K203" s="25">
        <v>0</v>
      </c>
      <c r="L203" s="24">
        <v>0</v>
      </c>
      <c r="M203" s="24">
        <f>J203-L203</f>
        <v>0</v>
      </c>
      <c r="N203" s="53" t="str">
        <f>IF(J203&lt;&gt;0,M203/J203,"")</f>
        <v/>
      </c>
      <c r="O203" s="23">
        <v>300.31</v>
      </c>
      <c r="P203" s="25">
        <v>144</v>
      </c>
      <c r="Q203" s="24">
        <v>146.88</v>
      </c>
      <c r="R203" s="24">
        <f>O203-Q203</f>
        <v>153.43</v>
      </c>
      <c r="S203" s="53">
        <f>IF(O203&lt;&gt;0,R203/O203,"")</f>
        <v>0.51090539775565247</v>
      </c>
      <c r="T203" s="10"/>
      <c r="U203" s="23">
        <v>281.74</v>
      </c>
      <c r="V203" s="25">
        <v>144</v>
      </c>
      <c r="W203" s="24">
        <v>146.88</v>
      </c>
      <c r="X203" s="24">
        <f>U203-W203</f>
        <v>134.86000000000001</v>
      </c>
      <c r="Y203" s="53">
        <f>IF(U203&lt;&gt;0,X203/U203,"")</f>
        <v>0.47866827571519843</v>
      </c>
      <c r="Z203" s="23">
        <v>0</v>
      </c>
      <c r="AA203" s="25">
        <v>0</v>
      </c>
      <c r="AB203" s="24">
        <v>0</v>
      </c>
      <c r="AC203" s="24">
        <f t="shared" si="44"/>
        <v>0</v>
      </c>
      <c r="AD203" s="53" t="str">
        <f t="shared" si="45"/>
        <v/>
      </c>
      <c r="AE203" s="10"/>
    </row>
    <row r="204" spans="1:31" x14ac:dyDescent="0.25">
      <c r="A204" s="14" t="s">
        <v>109</v>
      </c>
      <c r="C204" s="61" t="str">
        <f t="shared" si="43"/>
        <v>C100018</v>
      </c>
      <c r="F204" s="8" t="str">
        <f>"S100002"</f>
        <v>S100002</v>
      </c>
      <c r="G204" s="9" t="str">
        <f>"Football Graphic Plaque"</f>
        <v>Football Graphic Plaque</v>
      </c>
      <c r="H204" s="47"/>
      <c r="I204" s="47"/>
      <c r="J204" s="23">
        <v>0</v>
      </c>
      <c r="K204" s="25">
        <v>0</v>
      </c>
      <c r="L204" s="24">
        <v>0</v>
      </c>
      <c r="M204" s="24">
        <f>J204-L204</f>
        <v>0</v>
      </c>
      <c r="N204" s="53" t="str">
        <f>IF(J204&lt;&gt;0,M204/J204,"")</f>
        <v/>
      </c>
      <c r="O204" s="23">
        <v>23.25</v>
      </c>
      <c r="P204" s="25">
        <v>1</v>
      </c>
      <c r="Q204" s="24">
        <v>11.89</v>
      </c>
      <c r="R204" s="24">
        <f>O204-Q204</f>
        <v>11.36</v>
      </c>
      <c r="S204" s="53">
        <f>IF(O204&lt;&gt;0,R204/O204,"")</f>
        <v>0.48860215053763439</v>
      </c>
      <c r="T204" s="10"/>
      <c r="U204" s="23">
        <v>3205.01</v>
      </c>
      <c r="V204" s="25">
        <v>144</v>
      </c>
      <c r="W204" s="24">
        <v>1712.1699999999998</v>
      </c>
      <c r="X204" s="24">
        <f>U204-W204</f>
        <v>1492.8400000000004</v>
      </c>
      <c r="Y204" s="53">
        <f>IF(U204&lt;&gt;0,X204/U204,"")</f>
        <v>0.46578325808655829</v>
      </c>
      <c r="Z204" s="23">
        <v>0</v>
      </c>
      <c r="AA204" s="25">
        <v>0</v>
      </c>
      <c r="AB204" s="24">
        <v>0</v>
      </c>
      <c r="AC204" s="24">
        <f t="shared" si="44"/>
        <v>0</v>
      </c>
      <c r="AD204" s="53" t="str">
        <f t="shared" si="45"/>
        <v/>
      </c>
      <c r="AE204" s="10"/>
    </row>
    <row r="205" spans="1:31" x14ac:dyDescent="0.25">
      <c r="A205" s="14" t="s">
        <v>109</v>
      </c>
      <c r="C205" s="61" t="str">
        <f t="shared" si="43"/>
        <v>C100018</v>
      </c>
      <c r="F205" s="8" t="str">
        <f>"S100003"</f>
        <v>S100003</v>
      </c>
      <c r="G205" s="9" t="str">
        <f>"Soccer #1 Pin"</f>
        <v>Soccer #1 Pin</v>
      </c>
      <c r="H205" s="47"/>
      <c r="I205" s="47"/>
      <c r="J205" s="23">
        <v>190.08</v>
      </c>
      <c r="K205" s="25">
        <v>144</v>
      </c>
      <c r="L205" s="24">
        <v>129.6</v>
      </c>
      <c r="M205" s="24">
        <f>J205-L205</f>
        <v>60.480000000000018</v>
      </c>
      <c r="N205" s="53">
        <f>IF(J205&lt;&gt;0,M205/J205,"")</f>
        <v>0.31818181818181823</v>
      </c>
      <c r="O205" s="23">
        <v>17.46</v>
      </c>
      <c r="P205" s="25">
        <v>12</v>
      </c>
      <c r="Q205" s="24">
        <v>10.8</v>
      </c>
      <c r="R205" s="24">
        <f>O205-Q205</f>
        <v>6.66</v>
      </c>
      <c r="S205" s="53">
        <f>IF(O205&lt;&gt;0,R205/O205,"")</f>
        <v>0.38144329896907214</v>
      </c>
      <c r="T205" s="10"/>
      <c r="U205" s="23">
        <v>1.36</v>
      </c>
      <c r="V205" s="25">
        <v>1</v>
      </c>
      <c r="W205" s="24">
        <v>0.9</v>
      </c>
      <c r="X205" s="24">
        <f>U205-W205</f>
        <v>0.46000000000000008</v>
      </c>
      <c r="Y205" s="53">
        <f>IF(U205&lt;&gt;0,X205/U205,"")</f>
        <v>0.33823529411764708</v>
      </c>
      <c r="Z205" s="23">
        <v>0</v>
      </c>
      <c r="AA205" s="25">
        <v>0</v>
      </c>
      <c r="AB205" s="24">
        <v>0</v>
      </c>
      <c r="AC205" s="24">
        <f t="shared" si="44"/>
        <v>0</v>
      </c>
      <c r="AD205" s="53" t="str">
        <f t="shared" si="45"/>
        <v/>
      </c>
      <c r="AE205" s="10"/>
    </row>
    <row r="206" spans="1:31" x14ac:dyDescent="0.25">
      <c r="A206" s="14" t="s">
        <v>109</v>
      </c>
      <c r="C206" s="61" t="str">
        <f t="shared" si="43"/>
        <v>C100018</v>
      </c>
      <c r="F206" s="8" t="str">
        <f>"S100004"</f>
        <v>S100004</v>
      </c>
      <c r="G206" s="9" t="str">
        <f>"Award Medallian - 2''"</f>
        <v>Award Medallian - 2''</v>
      </c>
      <c r="H206" s="47"/>
      <c r="I206" s="47"/>
      <c r="J206" s="23">
        <v>1791.82</v>
      </c>
      <c r="K206" s="25">
        <v>144</v>
      </c>
      <c r="L206" s="24">
        <v>960.48</v>
      </c>
      <c r="M206" s="24">
        <f>J206-L206</f>
        <v>831.33999999999992</v>
      </c>
      <c r="N206" s="53">
        <f>IF(J206&lt;&gt;0,M206/J206,"")</f>
        <v>0.463964014242502</v>
      </c>
      <c r="O206" s="23">
        <v>13.72</v>
      </c>
      <c r="P206" s="25">
        <v>1</v>
      </c>
      <c r="Q206" s="24">
        <v>6.67</v>
      </c>
      <c r="R206" s="24">
        <f>O206-Q206</f>
        <v>7.0500000000000007</v>
      </c>
      <c r="S206" s="53">
        <f>IF(O206&lt;&gt;0,R206/O206,"")</f>
        <v>0.51384839650145775</v>
      </c>
      <c r="T206" s="10"/>
      <c r="U206" s="23">
        <v>1832.54</v>
      </c>
      <c r="V206" s="25">
        <v>144</v>
      </c>
      <c r="W206" s="24">
        <v>960.48</v>
      </c>
      <c r="X206" s="24">
        <f>U206-W206</f>
        <v>872.06</v>
      </c>
      <c r="Y206" s="53">
        <f>IF(U206&lt;&gt;0,X206/U206,"")</f>
        <v>0.47587501500649371</v>
      </c>
      <c r="Z206" s="23">
        <v>0</v>
      </c>
      <c r="AA206" s="25">
        <v>0</v>
      </c>
      <c r="AB206" s="24">
        <v>0</v>
      </c>
      <c r="AC206" s="24">
        <f t="shared" si="44"/>
        <v>0</v>
      </c>
      <c r="AD206" s="53" t="str">
        <f t="shared" si="45"/>
        <v/>
      </c>
      <c r="AE206" s="10"/>
    </row>
    <row r="207" spans="1:31" x14ac:dyDescent="0.25">
      <c r="A207" s="14" t="s">
        <v>109</v>
      </c>
      <c r="C207" s="61" t="str">
        <f t="shared" si="43"/>
        <v>C100018</v>
      </c>
      <c r="F207" s="8" t="str">
        <f>"S100005"</f>
        <v>S100005</v>
      </c>
      <c r="G207" s="9" t="str">
        <f>"Award Medallian - 2.5''"</f>
        <v>Award Medallian - 2.5''</v>
      </c>
      <c r="H207" s="47"/>
      <c r="I207" s="47"/>
      <c r="J207" s="23">
        <v>0</v>
      </c>
      <c r="K207" s="25">
        <v>0</v>
      </c>
      <c r="L207" s="24">
        <v>0</v>
      </c>
      <c r="M207" s="24">
        <f>J207-L207</f>
        <v>0</v>
      </c>
      <c r="N207" s="53" t="str">
        <f>IF(J207&lt;&gt;0,M207/J207,"")</f>
        <v/>
      </c>
      <c r="O207" s="23">
        <v>1223.51</v>
      </c>
      <c r="P207" s="25">
        <v>144</v>
      </c>
      <c r="Q207" s="24">
        <v>751.69</v>
      </c>
      <c r="R207" s="24">
        <f>O207-Q207</f>
        <v>471.81999999999994</v>
      </c>
      <c r="S207" s="53">
        <f>IF(O207&lt;&gt;0,R207/O207,"")</f>
        <v>0.38562823352485875</v>
      </c>
      <c r="T207" s="10"/>
      <c r="U207" s="23">
        <v>0</v>
      </c>
      <c r="V207" s="25">
        <v>0</v>
      </c>
      <c r="W207" s="24">
        <v>0</v>
      </c>
      <c r="X207" s="24">
        <f>U207-W207</f>
        <v>0</v>
      </c>
      <c r="Y207" s="53" t="str">
        <f>IF(U207&lt;&gt;0,X207/U207,"")</f>
        <v/>
      </c>
      <c r="Z207" s="23">
        <v>-50.98</v>
      </c>
      <c r="AA207" s="25">
        <v>-6</v>
      </c>
      <c r="AB207" s="24">
        <v>-31.32</v>
      </c>
      <c r="AC207" s="24">
        <f t="shared" si="44"/>
        <v>-19.659999999999997</v>
      </c>
      <c r="AD207" s="53">
        <f t="shared" si="45"/>
        <v>0.38564142801098467</v>
      </c>
      <c r="AE207" s="10"/>
    </row>
    <row r="208" spans="1:31" x14ac:dyDescent="0.25">
      <c r="A208" s="14" t="s">
        <v>109</v>
      </c>
      <c r="C208" s="61" t="str">
        <f t="shared" si="43"/>
        <v>C100018</v>
      </c>
      <c r="F208" s="8" t="str">
        <f>"S100007"</f>
        <v>S100007</v>
      </c>
      <c r="G208" s="9" t="str">
        <f>"Baseball Figure Trophy"</f>
        <v>Baseball Figure Trophy</v>
      </c>
      <c r="H208" s="47"/>
      <c r="I208" s="47"/>
      <c r="J208" s="23">
        <v>937.73</v>
      </c>
      <c r="K208" s="25">
        <v>144</v>
      </c>
      <c r="L208" s="24">
        <v>529.91999999999996</v>
      </c>
      <c r="M208" s="24">
        <f>J208-L208</f>
        <v>407.81000000000006</v>
      </c>
      <c r="N208" s="53">
        <f>IF(J208&lt;&gt;0,M208/J208,"")</f>
        <v>0.43489064016294676</v>
      </c>
      <c r="O208" s="23">
        <v>1058.43</v>
      </c>
      <c r="P208" s="25">
        <v>146</v>
      </c>
      <c r="Q208" s="24">
        <v>537.28</v>
      </c>
      <c r="R208" s="24">
        <f>O208-Q208</f>
        <v>521.15000000000009</v>
      </c>
      <c r="S208" s="53">
        <f>IF(O208&lt;&gt;0,R208/O208,"")</f>
        <v>0.49238022353863747</v>
      </c>
      <c r="T208" s="10"/>
      <c r="U208" s="23">
        <v>0</v>
      </c>
      <c r="V208" s="25">
        <v>0</v>
      </c>
      <c r="W208" s="24">
        <v>0</v>
      </c>
      <c r="X208" s="24">
        <f>U208-W208</f>
        <v>0</v>
      </c>
      <c r="Y208" s="53" t="str">
        <f>IF(U208&lt;&gt;0,X208/U208,"")</f>
        <v/>
      </c>
      <c r="Z208" s="23">
        <v>170.5</v>
      </c>
      <c r="AA208" s="25">
        <v>24</v>
      </c>
      <c r="AB208" s="24">
        <v>88.32</v>
      </c>
      <c r="AC208" s="24">
        <f t="shared" si="44"/>
        <v>82.18</v>
      </c>
      <c r="AD208" s="53">
        <f t="shared" si="45"/>
        <v>0.48199413489736076</v>
      </c>
      <c r="AE208" s="10"/>
    </row>
    <row r="209" spans="1:31" x14ac:dyDescent="0.25">
      <c r="A209" s="14" t="s">
        <v>109</v>
      </c>
      <c r="C209" s="61" t="str">
        <f t="shared" si="43"/>
        <v>C100018</v>
      </c>
      <c r="F209" s="8" t="str">
        <f>"S100008"</f>
        <v>S100008</v>
      </c>
      <c r="G209" s="9" t="str">
        <f>"Soccer Figure Trophy"</f>
        <v>Soccer Figure Trophy</v>
      </c>
      <c r="H209" s="47"/>
      <c r="I209" s="47"/>
      <c r="J209" s="23">
        <v>0</v>
      </c>
      <c r="K209" s="25">
        <v>0</v>
      </c>
      <c r="L209" s="24">
        <v>0</v>
      </c>
      <c r="M209" s="24">
        <f>J209-L209</f>
        <v>0</v>
      </c>
      <c r="N209" s="53" t="str">
        <f>IF(J209&lt;&gt;0,M209/J209,"")</f>
        <v/>
      </c>
      <c r="O209" s="23">
        <v>974.67</v>
      </c>
      <c r="P209" s="25">
        <v>168</v>
      </c>
      <c r="Q209" s="24">
        <v>618.24</v>
      </c>
      <c r="R209" s="24">
        <f>O209-Q209</f>
        <v>356.42999999999995</v>
      </c>
      <c r="S209" s="53">
        <f>IF(O209&lt;&gt;0,R209/O209,"")</f>
        <v>0.36569300378589675</v>
      </c>
      <c r="T209" s="10"/>
      <c r="U209" s="23">
        <v>781.14</v>
      </c>
      <c r="V209" s="25">
        <v>145</v>
      </c>
      <c r="W209" s="24">
        <v>533.6</v>
      </c>
      <c r="X209" s="24">
        <f>U209-W209</f>
        <v>247.53999999999996</v>
      </c>
      <c r="Y209" s="53">
        <f>IF(U209&lt;&gt;0,X209/U209,"")</f>
        <v>0.31689581893130547</v>
      </c>
      <c r="Z209" s="23">
        <v>0</v>
      </c>
      <c r="AA209" s="25">
        <v>0</v>
      </c>
      <c r="AB209" s="24">
        <v>0</v>
      </c>
      <c r="AC209" s="24">
        <f t="shared" si="44"/>
        <v>0</v>
      </c>
      <c r="AD209" s="53" t="str">
        <f t="shared" si="45"/>
        <v/>
      </c>
      <c r="AE209" s="10"/>
    </row>
    <row r="210" spans="1:31" x14ac:dyDescent="0.25">
      <c r="A210" s="14" t="s">
        <v>109</v>
      </c>
      <c r="C210" s="61" t="str">
        <f t="shared" si="43"/>
        <v>C100018</v>
      </c>
      <c r="F210" s="8" t="str">
        <f>"S100009"</f>
        <v>S100009</v>
      </c>
      <c r="G210" s="9" t="str">
        <f>"Engraved Basketball Award"</f>
        <v>Engraved Basketball Award</v>
      </c>
      <c r="H210" s="47"/>
      <c r="I210" s="47"/>
      <c r="J210" s="23">
        <v>0</v>
      </c>
      <c r="K210" s="25">
        <v>0</v>
      </c>
      <c r="L210" s="24">
        <v>0</v>
      </c>
      <c r="M210" s="24">
        <f>J210-L210</f>
        <v>0</v>
      </c>
      <c r="N210" s="53" t="str">
        <f>IF(J210&lt;&gt;0,M210/J210,"")</f>
        <v/>
      </c>
      <c r="O210" s="23">
        <v>900.35</v>
      </c>
      <c r="P210" s="25">
        <v>48</v>
      </c>
      <c r="Q210" s="24">
        <v>423.36</v>
      </c>
      <c r="R210" s="24">
        <f>O210-Q210</f>
        <v>476.99</v>
      </c>
      <c r="S210" s="53">
        <f>IF(O210&lt;&gt;0,R210/O210,"")</f>
        <v>0.52978286222024773</v>
      </c>
      <c r="T210" s="10"/>
      <c r="U210" s="23">
        <v>0</v>
      </c>
      <c r="V210" s="25">
        <v>0</v>
      </c>
      <c r="W210" s="24">
        <v>0</v>
      </c>
      <c r="X210" s="24">
        <f>U210-W210</f>
        <v>0</v>
      </c>
      <c r="Y210" s="53" t="str">
        <f>IF(U210&lt;&gt;0,X210/U210,"")</f>
        <v/>
      </c>
      <c r="Z210" s="23">
        <v>0</v>
      </c>
      <c r="AA210" s="25">
        <v>0</v>
      </c>
      <c r="AB210" s="24">
        <v>0</v>
      </c>
      <c r="AC210" s="24">
        <f t="shared" si="44"/>
        <v>0</v>
      </c>
      <c r="AD210" s="53" t="str">
        <f t="shared" si="45"/>
        <v/>
      </c>
      <c r="AE210" s="10"/>
    </row>
    <row r="211" spans="1:31" x14ac:dyDescent="0.25">
      <c r="A211" s="14" t="s">
        <v>109</v>
      </c>
      <c r="C211" s="61" t="str">
        <f t="shared" si="43"/>
        <v>C100018</v>
      </c>
      <c r="F211" s="8" t="str">
        <f>"S100010"</f>
        <v>S100010</v>
      </c>
      <c r="G211" s="9" t="str">
        <f>"Golf Relaxed Cap"</f>
        <v>Golf Relaxed Cap</v>
      </c>
      <c r="H211" s="47"/>
      <c r="I211" s="47"/>
      <c r="J211" s="23">
        <v>1303.95</v>
      </c>
      <c r="K211" s="25">
        <v>144</v>
      </c>
      <c r="L211" s="24">
        <v>876.97</v>
      </c>
      <c r="M211" s="24">
        <f>J211-L211</f>
        <v>426.98</v>
      </c>
      <c r="N211" s="53">
        <f>IF(J211&lt;&gt;0,M211/J211,"")</f>
        <v>0.32745120595114846</v>
      </c>
      <c r="O211" s="23">
        <v>1437.31</v>
      </c>
      <c r="P211" s="25">
        <v>144</v>
      </c>
      <c r="Q211" s="24">
        <v>876.97</v>
      </c>
      <c r="R211" s="24">
        <f>O211-Q211</f>
        <v>560.33999999999992</v>
      </c>
      <c r="S211" s="53">
        <f>IF(O211&lt;&gt;0,R211/O211,"")</f>
        <v>0.38985326756232125</v>
      </c>
      <c r="T211" s="10"/>
      <c r="U211" s="23">
        <v>2696.8</v>
      </c>
      <c r="V211" s="25">
        <v>288</v>
      </c>
      <c r="W211" s="24">
        <v>1753.94</v>
      </c>
      <c r="X211" s="24">
        <f>U211-W211</f>
        <v>942.86000000000013</v>
      </c>
      <c r="Y211" s="53">
        <f>IF(U211&lt;&gt;0,X211/U211,"")</f>
        <v>0.34962177395431626</v>
      </c>
      <c r="Z211" s="23">
        <v>0</v>
      </c>
      <c r="AA211" s="25">
        <v>0</v>
      </c>
      <c r="AB211" s="24">
        <v>0</v>
      </c>
      <c r="AC211" s="24">
        <f t="shared" si="44"/>
        <v>0</v>
      </c>
      <c r="AD211" s="53" t="str">
        <f t="shared" si="45"/>
        <v/>
      </c>
      <c r="AE211" s="10"/>
    </row>
    <row r="212" spans="1:31" x14ac:dyDescent="0.25">
      <c r="A212" s="14" t="s">
        <v>109</v>
      </c>
      <c r="C212" s="61" t="str">
        <f t="shared" si="43"/>
        <v>C100018</v>
      </c>
      <c r="F212" s="8" t="str">
        <f>"S100013"</f>
        <v>S100013</v>
      </c>
      <c r="G212" s="9" t="str">
        <f>"Mesh BALL CAP"</f>
        <v>Mesh BALL CAP</v>
      </c>
      <c r="H212" s="47"/>
      <c r="I212" s="47"/>
      <c r="J212" s="23">
        <v>69.699999999999989</v>
      </c>
      <c r="K212" s="25">
        <v>12</v>
      </c>
      <c r="L212" s="24">
        <v>41.28</v>
      </c>
      <c r="M212" s="24">
        <f>J212-L212</f>
        <v>28.419999999999987</v>
      </c>
      <c r="N212" s="53">
        <f>IF(J212&lt;&gt;0,M212/J212,"")</f>
        <v>0.40774748923959819</v>
      </c>
      <c r="O212" s="23">
        <v>0</v>
      </c>
      <c r="P212" s="25">
        <v>0</v>
      </c>
      <c r="Q212" s="24">
        <v>0</v>
      </c>
      <c r="R212" s="24">
        <f>O212-Q212</f>
        <v>0</v>
      </c>
      <c r="S212" s="53" t="str">
        <f>IF(O212&lt;&gt;0,R212/O212,"")</f>
        <v/>
      </c>
      <c r="T212" s="10"/>
      <c r="U212" s="23">
        <v>1729.7299999999998</v>
      </c>
      <c r="V212" s="25">
        <v>288</v>
      </c>
      <c r="W212" s="24">
        <v>990.75</v>
      </c>
      <c r="X212" s="24">
        <f>U212-W212</f>
        <v>738.97999999999979</v>
      </c>
      <c r="Y212" s="53">
        <f>IF(U212&lt;&gt;0,X212/U212,"")</f>
        <v>0.42722274574644592</v>
      </c>
      <c r="Z212" s="23">
        <v>0</v>
      </c>
      <c r="AA212" s="25">
        <v>0</v>
      </c>
      <c r="AB212" s="24">
        <v>0</v>
      </c>
      <c r="AC212" s="24">
        <f t="shared" si="44"/>
        <v>0</v>
      </c>
      <c r="AD212" s="53" t="str">
        <f t="shared" si="45"/>
        <v/>
      </c>
      <c r="AE212" s="10"/>
    </row>
    <row r="213" spans="1:31" x14ac:dyDescent="0.25">
      <c r="A213" s="14" t="s">
        <v>109</v>
      </c>
      <c r="C213" s="61" t="str">
        <f t="shared" si="43"/>
        <v>C100018</v>
      </c>
      <c r="F213" s="8" t="str">
        <f>"S100014"</f>
        <v>S100014</v>
      </c>
      <c r="G213" s="9" t="str">
        <f>"Chunky Knit Hat"</f>
        <v>Chunky Knit Hat</v>
      </c>
      <c r="H213" s="47"/>
      <c r="I213" s="47"/>
      <c r="J213" s="23">
        <v>8.6199999999999992</v>
      </c>
      <c r="K213" s="25">
        <v>1</v>
      </c>
      <c r="L213" s="24">
        <v>5.16</v>
      </c>
      <c r="M213" s="24">
        <f>J213-L213</f>
        <v>3.4599999999999991</v>
      </c>
      <c r="N213" s="53">
        <f>IF(J213&lt;&gt;0,M213/J213,"")</f>
        <v>0.40139211136890945</v>
      </c>
      <c r="O213" s="23">
        <v>1326.53</v>
      </c>
      <c r="P213" s="25">
        <v>144</v>
      </c>
      <c r="Q213" s="24">
        <v>743.03</v>
      </c>
      <c r="R213" s="24">
        <f>O213-Q213</f>
        <v>583.5</v>
      </c>
      <c r="S213" s="53">
        <f>IF(O213&lt;&gt;0,R213/O213,"")</f>
        <v>0.43986943378589255</v>
      </c>
      <c r="T213" s="10"/>
      <c r="U213" s="23">
        <v>442.17999999999995</v>
      </c>
      <c r="V213" s="25">
        <v>48</v>
      </c>
      <c r="W213" s="24">
        <v>247.68</v>
      </c>
      <c r="X213" s="24">
        <f>U213-W213</f>
        <v>194.49999999999994</v>
      </c>
      <c r="Y213" s="53">
        <f>IF(U213&lt;&gt;0,X213/U213,"")</f>
        <v>0.43986611787055035</v>
      </c>
      <c r="Z213" s="23">
        <v>0</v>
      </c>
      <c r="AA213" s="25">
        <v>0</v>
      </c>
      <c r="AB213" s="24">
        <v>0</v>
      </c>
      <c r="AC213" s="24">
        <f t="shared" si="44"/>
        <v>0</v>
      </c>
      <c r="AD213" s="53" t="str">
        <f t="shared" si="45"/>
        <v/>
      </c>
      <c r="AE213" s="10"/>
    </row>
    <row r="214" spans="1:31" x14ac:dyDescent="0.25">
      <c r="A214" s="14" t="s">
        <v>109</v>
      </c>
      <c r="C214" s="61" t="str">
        <f t="shared" si="43"/>
        <v>C100018</v>
      </c>
      <c r="F214" s="8" t="str">
        <f>"S100015"</f>
        <v>S100015</v>
      </c>
      <c r="G214" s="9" t="str">
        <f>"Raw-Edge Bucket Hat"</f>
        <v>Raw-Edge Bucket Hat</v>
      </c>
      <c r="H214" s="47"/>
      <c r="I214" s="47"/>
      <c r="J214" s="23">
        <v>0</v>
      </c>
      <c r="K214" s="25">
        <v>0</v>
      </c>
      <c r="L214" s="24">
        <v>0</v>
      </c>
      <c r="M214" s="24">
        <f>J214-L214</f>
        <v>0</v>
      </c>
      <c r="N214" s="53" t="str">
        <f>IF(J214&lt;&gt;0,M214/J214,"")</f>
        <v/>
      </c>
      <c r="O214" s="23">
        <v>4033.17</v>
      </c>
      <c r="P214" s="25">
        <v>576</v>
      </c>
      <c r="Q214" s="24">
        <v>2096.6800000000003</v>
      </c>
      <c r="R214" s="24">
        <f>O214-Q214</f>
        <v>1936.4899999999998</v>
      </c>
      <c r="S214" s="53">
        <f>IF(O214&lt;&gt;0,R214/O214,"")</f>
        <v>0.48014093132697105</v>
      </c>
      <c r="T214" s="10"/>
      <c r="U214" s="23">
        <v>2933.39</v>
      </c>
      <c r="V214" s="25">
        <v>433</v>
      </c>
      <c r="W214" s="24">
        <v>1576.15</v>
      </c>
      <c r="X214" s="24">
        <f>U214-W214</f>
        <v>1357.2399999999998</v>
      </c>
      <c r="Y214" s="53">
        <f>IF(U214&lt;&gt;0,X214/U214,"")</f>
        <v>0.46268651628320812</v>
      </c>
      <c r="Z214" s="23">
        <v>0</v>
      </c>
      <c r="AA214" s="25">
        <v>0</v>
      </c>
      <c r="AB214" s="24">
        <v>0</v>
      </c>
      <c r="AC214" s="24">
        <f t="shared" si="44"/>
        <v>0</v>
      </c>
      <c r="AD214" s="53" t="str">
        <f t="shared" si="45"/>
        <v/>
      </c>
      <c r="AE214" s="10"/>
    </row>
    <row r="215" spans="1:31" x14ac:dyDescent="0.25">
      <c r="A215" s="14" t="s">
        <v>109</v>
      </c>
      <c r="C215" s="61" t="str">
        <f t="shared" si="43"/>
        <v>C100018</v>
      </c>
      <c r="F215" s="8" t="str">
        <f>"S100016"</f>
        <v>S100016</v>
      </c>
      <c r="G215" s="9" t="str">
        <f>"Mesh Bucket Hat"</f>
        <v>Mesh Bucket Hat</v>
      </c>
      <c r="H215" s="47"/>
      <c r="I215" s="47"/>
      <c r="J215" s="23">
        <v>105.18</v>
      </c>
      <c r="K215" s="25">
        <v>24</v>
      </c>
      <c r="L215" s="24">
        <v>66</v>
      </c>
      <c r="M215" s="24">
        <f>J215-L215</f>
        <v>39.180000000000007</v>
      </c>
      <c r="N215" s="53">
        <f>IF(J215&lt;&gt;0,M215/J215,"")</f>
        <v>0.37250427837992017</v>
      </c>
      <c r="O215" s="23">
        <v>674.09</v>
      </c>
      <c r="P215" s="25">
        <v>144</v>
      </c>
      <c r="Q215" s="24">
        <v>396.01</v>
      </c>
      <c r="R215" s="24">
        <f>O215-Q215</f>
        <v>278.08000000000004</v>
      </c>
      <c r="S215" s="53">
        <f>IF(O215&lt;&gt;0,R215/O215,"")</f>
        <v>0.41252651723063688</v>
      </c>
      <c r="T215" s="10"/>
      <c r="U215" s="23">
        <v>2005.4499999999998</v>
      </c>
      <c r="V215" s="25">
        <v>433</v>
      </c>
      <c r="W215" s="24">
        <v>1190.78</v>
      </c>
      <c r="X215" s="24">
        <f>U215-W215</f>
        <v>814.66999999999985</v>
      </c>
      <c r="Y215" s="53">
        <f>IF(U215&lt;&gt;0,X215/U215,"")</f>
        <v>0.40622802862200502</v>
      </c>
      <c r="Z215" s="23">
        <v>0</v>
      </c>
      <c r="AA215" s="25">
        <v>0</v>
      </c>
      <c r="AB215" s="24">
        <v>0</v>
      </c>
      <c r="AC215" s="24">
        <f t="shared" si="44"/>
        <v>0</v>
      </c>
      <c r="AD215" s="53" t="str">
        <f t="shared" si="45"/>
        <v/>
      </c>
      <c r="AE215" s="10"/>
    </row>
    <row r="216" spans="1:31" x14ac:dyDescent="0.25">
      <c r="A216" s="14" t="s">
        <v>109</v>
      </c>
      <c r="C216" s="61" t="str">
        <f t="shared" si="43"/>
        <v>C100018</v>
      </c>
      <c r="F216" s="8" t="str">
        <f>"S100018"</f>
        <v>S100018</v>
      </c>
      <c r="G216" s="9" t="str">
        <f>"Crusher Bucket Hat"</f>
        <v>Crusher Bucket Hat</v>
      </c>
      <c r="H216" s="47"/>
      <c r="I216" s="47"/>
      <c r="J216" s="23">
        <v>0</v>
      </c>
      <c r="K216" s="25">
        <v>0</v>
      </c>
      <c r="L216" s="24">
        <v>0</v>
      </c>
      <c r="M216" s="24">
        <f>J216-L216</f>
        <v>0</v>
      </c>
      <c r="N216" s="53" t="str">
        <f>IF(J216&lt;&gt;0,M216/J216,"")</f>
        <v/>
      </c>
      <c r="O216" s="23">
        <v>7.27</v>
      </c>
      <c r="P216" s="25">
        <v>1</v>
      </c>
      <c r="Q216" s="24">
        <v>3.5</v>
      </c>
      <c r="R216" s="24">
        <f>O216-Q216</f>
        <v>3.7699999999999996</v>
      </c>
      <c r="S216" s="53">
        <f>IF(O216&lt;&gt;0,R216/O216,"")</f>
        <v>0.51856946354883082</v>
      </c>
      <c r="T216" s="10"/>
      <c r="U216" s="23">
        <v>1004.37</v>
      </c>
      <c r="V216" s="25">
        <v>144</v>
      </c>
      <c r="W216" s="24">
        <v>504</v>
      </c>
      <c r="X216" s="24">
        <f>U216-W216</f>
        <v>500.37</v>
      </c>
      <c r="Y216" s="53">
        <f>IF(U216&lt;&gt;0,X216/U216,"")</f>
        <v>0.49819289703993547</v>
      </c>
      <c r="Z216" s="23">
        <v>42.74</v>
      </c>
      <c r="AA216" s="25">
        <v>6</v>
      </c>
      <c r="AB216" s="24">
        <v>21</v>
      </c>
      <c r="AC216" s="24">
        <f t="shared" si="44"/>
        <v>21.740000000000002</v>
      </c>
      <c r="AD216" s="53">
        <f t="shared" si="45"/>
        <v>0.50865699578848855</v>
      </c>
      <c r="AE216" s="10"/>
    </row>
    <row r="217" spans="1:31" x14ac:dyDescent="0.25">
      <c r="A217" s="14" t="s">
        <v>109</v>
      </c>
      <c r="C217" s="61" t="str">
        <f t="shared" si="43"/>
        <v>C100018</v>
      </c>
      <c r="F217" s="8" t="str">
        <f>"S100019"</f>
        <v>S100019</v>
      </c>
      <c r="G217" s="9" t="str">
        <f>"Sportsman Bucket Hat"</f>
        <v>Sportsman Bucket Hat</v>
      </c>
      <c r="H217" s="47"/>
      <c r="I217" s="47"/>
      <c r="J217" s="23">
        <v>581.64</v>
      </c>
      <c r="K217" s="25">
        <v>144</v>
      </c>
      <c r="L217" s="24">
        <v>349.93</v>
      </c>
      <c r="M217" s="24">
        <f>J217-L217</f>
        <v>231.70999999999998</v>
      </c>
      <c r="N217" s="53">
        <f>IF(J217&lt;&gt;0,M217/J217,"")</f>
        <v>0.39837356440409871</v>
      </c>
      <c r="O217" s="23">
        <v>0</v>
      </c>
      <c r="P217" s="25">
        <v>0</v>
      </c>
      <c r="Q217" s="24">
        <v>0</v>
      </c>
      <c r="R217" s="24">
        <f>O217-Q217</f>
        <v>0</v>
      </c>
      <c r="S217" s="53" t="str">
        <f>IF(O217&lt;&gt;0,R217/O217,"")</f>
        <v/>
      </c>
      <c r="T217" s="10"/>
      <c r="U217" s="23">
        <v>0</v>
      </c>
      <c r="V217" s="25">
        <v>0</v>
      </c>
      <c r="W217" s="24">
        <v>0</v>
      </c>
      <c r="X217" s="24">
        <f>U217-W217</f>
        <v>0</v>
      </c>
      <c r="Y217" s="53" t="str">
        <f>IF(U217&lt;&gt;0,X217/U217,"")</f>
        <v/>
      </c>
      <c r="Z217" s="23">
        <v>0</v>
      </c>
      <c r="AA217" s="25">
        <v>0</v>
      </c>
      <c r="AB217" s="24">
        <v>0</v>
      </c>
      <c r="AC217" s="24">
        <f t="shared" si="44"/>
        <v>0</v>
      </c>
      <c r="AD217" s="53" t="str">
        <f t="shared" si="45"/>
        <v/>
      </c>
      <c r="AE217" s="10"/>
    </row>
    <row r="218" spans="1:31" x14ac:dyDescent="0.25">
      <c r="A218" s="14" t="s">
        <v>109</v>
      </c>
      <c r="C218" s="61" t="str">
        <f t="shared" si="43"/>
        <v>C100018</v>
      </c>
      <c r="F218" s="8" t="str">
        <f>"S100020"</f>
        <v>S100020</v>
      </c>
      <c r="G218" s="9" t="str">
        <f>"Super Sport Stopwatch"</f>
        <v>Super Sport Stopwatch</v>
      </c>
      <c r="H218" s="47"/>
      <c r="I218" s="47"/>
      <c r="J218" s="23">
        <v>0</v>
      </c>
      <c r="K218" s="25">
        <v>0</v>
      </c>
      <c r="L218" s="24">
        <v>0</v>
      </c>
      <c r="M218" s="24">
        <f>J218-L218</f>
        <v>0</v>
      </c>
      <c r="N218" s="53" t="str">
        <f>IF(J218&lt;&gt;0,M218/J218,"")</f>
        <v/>
      </c>
      <c r="O218" s="23">
        <v>412.3</v>
      </c>
      <c r="P218" s="25">
        <v>193</v>
      </c>
      <c r="Q218" s="24">
        <v>202.65</v>
      </c>
      <c r="R218" s="24">
        <f>O218-Q218</f>
        <v>209.65</v>
      </c>
      <c r="S218" s="53">
        <f>IF(O218&lt;&gt;0,R218/O218,"")</f>
        <v>0.50848896434634971</v>
      </c>
      <c r="T218" s="10"/>
      <c r="U218" s="23">
        <v>0</v>
      </c>
      <c r="V218" s="25">
        <v>0</v>
      </c>
      <c r="W218" s="24">
        <v>0</v>
      </c>
      <c r="X218" s="24">
        <f>U218-W218</f>
        <v>0</v>
      </c>
      <c r="Y218" s="53" t="str">
        <f>IF(U218&lt;&gt;0,X218/U218,"")</f>
        <v/>
      </c>
      <c r="Z218" s="23">
        <v>0</v>
      </c>
      <c r="AA218" s="25">
        <v>0</v>
      </c>
      <c r="AB218" s="24">
        <v>0</v>
      </c>
      <c r="AC218" s="24">
        <f t="shared" si="44"/>
        <v>0</v>
      </c>
      <c r="AD218" s="53" t="str">
        <f t="shared" si="45"/>
        <v/>
      </c>
      <c r="AE218" s="10"/>
    </row>
    <row r="219" spans="1:31" x14ac:dyDescent="0.25">
      <c r="A219" s="14" t="s">
        <v>109</v>
      </c>
      <c r="C219" s="61" t="str">
        <f t="shared" si="43"/>
        <v>C100018</v>
      </c>
      <c r="F219" s="8" t="str">
        <f>"S100021"</f>
        <v>S100021</v>
      </c>
      <c r="G219" s="9" t="str">
        <f>"Translucent Stopwatch"</f>
        <v>Translucent Stopwatch</v>
      </c>
      <c r="H219" s="47"/>
      <c r="I219" s="47"/>
      <c r="J219" s="23">
        <v>525.89</v>
      </c>
      <c r="K219" s="25">
        <v>144</v>
      </c>
      <c r="L219" s="24">
        <v>309.58999999999997</v>
      </c>
      <c r="M219" s="24">
        <f>J219-L219</f>
        <v>216.3</v>
      </c>
      <c r="N219" s="53">
        <f>IF(J219&lt;&gt;0,M219/J219,"")</f>
        <v>0.41130274391983118</v>
      </c>
      <c r="O219" s="23">
        <v>4.07</v>
      </c>
      <c r="P219" s="25">
        <v>1</v>
      </c>
      <c r="Q219" s="24">
        <v>2.15</v>
      </c>
      <c r="R219" s="24">
        <f>O219-Q219</f>
        <v>1.9200000000000004</v>
      </c>
      <c r="S219" s="53">
        <f>IF(O219&lt;&gt;0,R219/O219,"")</f>
        <v>0.47174447174447182</v>
      </c>
      <c r="T219" s="10"/>
      <c r="U219" s="23">
        <v>1136.8499999999999</v>
      </c>
      <c r="V219" s="25">
        <v>301</v>
      </c>
      <c r="W219" s="24">
        <v>647.13</v>
      </c>
      <c r="X219" s="24">
        <f>U219-W219</f>
        <v>489.71999999999991</v>
      </c>
      <c r="Y219" s="53">
        <f>IF(U219&lt;&gt;0,X219/U219,"")</f>
        <v>0.43076923076923074</v>
      </c>
      <c r="Z219" s="23">
        <v>0</v>
      </c>
      <c r="AA219" s="25">
        <v>0</v>
      </c>
      <c r="AB219" s="24">
        <v>0</v>
      </c>
      <c r="AC219" s="24">
        <f t="shared" si="44"/>
        <v>0</v>
      </c>
      <c r="AD219" s="53" t="str">
        <f t="shared" si="45"/>
        <v/>
      </c>
      <c r="AE219" s="10"/>
    </row>
    <row r="220" spans="1:31" ht="15.75" thickBot="1" x14ac:dyDescent="0.3">
      <c r="A220" s="14" t="s">
        <v>109</v>
      </c>
      <c r="C220" s="61" t="str">
        <f>C181</f>
        <v>C100018</v>
      </c>
      <c r="J220" s="10"/>
      <c r="K220" s="11"/>
      <c r="L220" s="11"/>
      <c r="M220" s="11"/>
      <c r="N220" s="12"/>
      <c r="O220" s="10"/>
      <c r="P220" s="11"/>
      <c r="Q220" s="11"/>
      <c r="R220" s="11"/>
      <c r="S220" s="12"/>
      <c r="U220" s="10"/>
      <c r="V220" s="11"/>
      <c r="W220" s="11"/>
      <c r="X220" s="11"/>
      <c r="Y220" s="12"/>
      <c r="Z220" s="10"/>
      <c r="AA220" s="11"/>
      <c r="AB220" s="11"/>
      <c r="AC220" s="11"/>
      <c r="AD220" s="12"/>
    </row>
    <row r="221" spans="1:31" ht="15.75" thickBot="1" x14ac:dyDescent="0.3">
      <c r="A221" s="14" t="s">
        <v>109</v>
      </c>
      <c r="C221" s="61" t="str">
        <f t="shared" si="40"/>
        <v>C100018</v>
      </c>
      <c r="G221" s="48" t="str">
        <f>C221&amp;" TOTAL:"</f>
        <v>C100018 TOTAL:</v>
      </c>
      <c r="H221" s="50"/>
      <c r="I221" s="50"/>
      <c r="J221" s="34">
        <f>SUBTOTAL(9,J180:J220)</f>
        <v>18696.269999999997</v>
      </c>
      <c r="K221" s="35">
        <f>SUBTOTAL(9,K180:K220)</f>
        <v>1574</v>
      </c>
      <c r="L221" s="36">
        <f>SUBTOTAL(9,L180:L220)</f>
        <v>10709.21</v>
      </c>
      <c r="M221" s="36">
        <f>J221-L221</f>
        <v>7987.0599999999977</v>
      </c>
      <c r="N221" s="37">
        <f>IF(J221&lt;&gt;0,M221/J221,"")</f>
        <v>0.42720071971575074</v>
      </c>
      <c r="O221" s="34">
        <f>SUBTOTAL(9,O180:O220)</f>
        <v>58676.159999999989</v>
      </c>
      <c r="P221" s="35">
        <f>SUBTOTAL(9,P180:P220)</f>
        <v>5208</v>
      </c>
      <c r="Q221" s="36">
        <f>SUBTOTAL(9,Q180:Q220)</f>
        <v>31661.29</v>
      </c>
      <c r="R221" s="36">
        <f>O221-Q221</f>
        <v>27014.869999999988</v>
      </c>
      <c r="S221" s="37">
        <f>IF(O221&lt;&gt;0,R221/O221,"")</f>
        <v>0.46040623653626944</v>
      </c>
      <c r="U221" s="34">
        <f>SUBTOTAL(9,U180:U220)</f>
        <v>50247.73000000001</v>
      </c>
      <c r="V221" s="35">
        <f>SUBTOTAL(9,V180:V220)</f>
        <v>4563</v>
      </c>
      <c r="W221" s="36">
        <f>SUBTOTAL(9,W180:W220)</f>
        <v>27885.739999999998</v>
      </c>
      <c r="X221" s="36">
        <f>U221-W221</f>
        <v>22361.990000000013</v>
      </c>
      <c r="Y221" s="37">
        <f>IF(U221&lt;&gt;0,X221/U221,"")</f>
        <v>0.44503483042915587</v>
      </c>
      <c r="Z221" s="34">
        <f>SUBTOTAL(9,Z180:Z220)</f>
        <v>194.99</v>
      </c>
      <c r="AA221" s="35">
        <f>SUBTOTAL(9,AA180:AA220)</f>
        <v>31</v>
      </c>
      <c r="AB221" s="36">
        <f>SUBTOTAL(9,AB180:AB220)</f>
        <v>95.179999999999993</v>
      </c>
      <c r="AC221" s="36">
        <f t="shared" ref="AC221" si="46">Z221-AB221</f>
        <v>99.810000000000016</v>
      </c>
      <c r="AD221" s="37">
        <f t="shared" ref="AD221" si="47">IF(Z221&lt;&gt;0,AC221/Z221,"")</f>
        <v>0.51187240371301101</v>
      </c>
    </row>
    <row r="222" spans="1:31" x14ac:dyDescent="0.25">
      <c r="A222" s="14" t="s">
        <v>109</v>
      </c>
      <c r="C222" s="66"/>
      <c r="J222" s="10"/>
      <c r="K222" s="11"/>
      <c r="L222" s="11"/>
      <c r="M222" s="11"/>
      <c r="N222" s="12"/>
      <c r="O222" s="10"/>
      <c r="P222" s="11"/>
      <c r="Q222" s="11"/>
      <c r="R222" s="11"/>
      <c r="S222" s="12"/>
      <c r="U222" s="10"/>
      <c r="V222" s="11"/>
      <c r="W222" s="11"/>
      <c r="X222" s="11"/>
      <c r="Y222" s="12"/>
      <c r="Z222" s="10"/>
      <c r="AA222" s="11"/>
      <c r="AB222" s="11"/>
      <c r="AC222" s="11"/>
      <c r="AD222" s="12"/>
    </row>
    <row r="223" spans="1:31" ht="15.75" x14ac:dyDescent="0.25">
      <c r="A223" s="14" t="s">
        <v>109</v>
      </c>
      <c r="C223" s="66" t="str">
        <f t="shared" ref="C223" si="48">E223</f>
        <v>C100020</v>
      </c>
      <c r="E223" s="13" t="str">
        <f>"C100020"</f>
        <v>C100020</v>
      </c>
      <c r="F223" s="13"/>
      <c r="G223" s="13" t="str">
        <f>"Cronus Cardoxy Procurement"</f>
        <v>Cronus Cardoxy Procurement</v>
      </c>
      <c r="H223" s="13"/>
      <c r="I223" s="13"/>
      <c r="J223" s="10"/>
      <c r="K223" s="11"/>
      <c r="L223" s="11"/>
      <c r="M223" s="11"/>
      <c r="N223" s="12"/>
      <c r="O223" s="10"/>
      <c r="P223" s="11"/>
      <c r="Q223" s="11"/>
      <c r="R223" s="11"/>
      <c r="S223" s="12"/>
      <c r="U223" s="10"/>
      <c r="V223" s="11"/>
      <c r="W223" s="11"/>
      <c r="X223" s="11"/>
      <c r="Y223" s="12"/>
      <c r="Z223" s="10"/>
      <c r="AA223" s="11"/>
      <c r="AB223" s="11"/>
      <c r="AC223" s="11"/>
      <c r="AD223" s="12"/>
    </row>
    <row r="224" spans="1:31" ht="6.6" customHeight="1" x14ac:dyDescent="0.25">
      <c r="A224" s="14" t="s">
        <v>109</v>
      </c>
      <c r="C224" s="61" t="str">
        <f t="shared" ref="C224:C232" si="49">C223</f>
        <v>C100020</v>
      </c>
      <c r="J224" s="10"/>
      <c r="K224" s="11"/>
      <c r="L224" s="11"/>
      <c r="M224" s="11"/>
      <c r="N224" s="12"/>
      <c r="O224" s="10"/>
      <c r="P224" s="11"/>
      <c r="Q224" s="11"/>
      <c r="R224" s="11"/>
      <c r="S224" s="12"/>
      <c r="U224" s="10"/>
      <c r="V224" s="11"/>
      <c r="W224" s="11"/>
      <c r="X224" s="11"/>
      <c r="Y224" s="12"/>
      <c r="Z224" s="10"/>
      <c r="AA224" s="11"/>
      <c r="AB224" s="11"/>
      <c r="AC224" s="11"/>
      <c r="AD224" s="12"/>
    </row>
    <row r="225" spans="1:31" x14ac:dyDescent="0.25">
      <c r="A225" s="14" t="s">
        <v>109</v>
      </c>
      <c r="C225" s="61" t="str">
        <f t="shared" si="49"/>
        <v>C100020</v>
      </c>
      <c r="F225" s="8" t="str">
        <f>"C100004"</f>
        <v>C100004</v>
      </c>
      <c r="G225" s="9" t="str">
        <f>"Walnut Medallian Plate"</f>
        <v>Walnut Medallian Plate</v>
      </c>
      <c r="H225" s="47"/>
      <c r="I225" s="47"/>
      <c r="J225" s="23">
        <v>2678.3399999999997</v>
      </c>
      <c r="K225" s="25">
        <v>48</v>
      </c>
      <c r="L225" s="24">
        <v>1468.8</v>
      </c>
      <c r="M225" s="24">
        <f>J225-L225</f>
        <v>1209.5399999999997</v>
      </c>
      <c r="N225" s="53">
        <f>IF(J225&lt;&gt;0,M225/J225,"")</f>
        <v>0.45160061829342052</v>
      </c>
      <c r="O225" s="23">
        <v>0</v>
      </c>
      <c r="P225" s="25">
        <v>0</v>
      </c>
      <c r="Q225" s="24">
        <v>0</v>
      </c>
      <c r="R225" s="24">
        <f>O225-Q225</f>
        <v>0</v>
      </c>
      <c r="S225" s="53" t="str">
        <f>IF(O225&lt;&gt;0,R225/O225,"")</f>
        <v/>
      </c>
      <c r="T225" s="10"/>
      <c r="U225" s="23">
        <v>0</v>
      </c>
      <c r="V225" s="25">
        <v>0</v>
      </c>
      <c r="W225" s="24">
        <v>0</v>
      </c>
      <c r="X225" s="24">
        <f>U225-W225</f>
        <v>0</v>
      </c>
      <c r="Y225" s="53" t="str">
        <f>IF(U225&lt;&gt;0,X225/U225,"")</f>
        <v/>
      </c>
      <c r="Z225" s="23">
        <v>0</v>
      </c>
      <c r="AA225" s="25">
        <v>0</v>
      </c>
      <c r="AB225" s="24">
        <v>0</v>
      </c>
      <c r="AC225" s="24">
        <f t="shared" ref="AC225" si="50">Z225-AB225</f>
        <v>0</v>
      </c>
      <c r="AD225" s="53" t="str">
        <f t="shared" ref="AD225" si="51">IF(Z225&lt;&gt;0,AC225/Z225,"")</f>
        <v/>
      </c>
      <c r="AE225" s="10"/>
    </row>
    <row r="226" spans="1:31" x14ac:dyDescent="0.25">
      <c r="A226" s="14" t="s">
        <v>109</v>
      </c>
      <c r="C226" s="61" t="str">
        <f t="shared" ref="C226:C230" si="52">C225</f>
        <v>C100020</v>
      </c>
      <c r="F226" s="8" t="str">
        <f>"C100044"</f>
        <v>C100044</v>
      </c>
      <c r="G226" s="9" t="str">
        <f>"VOIP Headset with Mic"</f>
        <v>VOIP Headset with Mic</v>
      </c>
      <c r="H226" s="47"/>
      <c r="I226" s="47"/>
      <c r="J226" s="23">
        <v>2.0699999999999998</v>
      </c>
      <c r="K226" s="25">
        <v>1</v>
      </c>
      <c r="L226" s="24">
        <v>1.2</v>
      </c>
      <c r="M226" s="24">
        <f>J226-L226</f>
        <v>0.86999999999999988</v>
      </c>
      <c r="N226" s="53">
        <f>IF(J226&lt;&gt;0,M226/J226,"")</f>
        <v>0.42028985507246375</v>
      </c>
      <c r="O226" s="23">
        <v>0</v>
      </c>
      <c r="P226" s="25">
        <v>0</v>
      </c>
      <c r="Q226" s="24">
        <v>0</v>
      </c>
      <c r="R226" s="24">
        <f>O226-Q226</f>
        <v>0</v>
      </c>
      <c r="S226" s="53" t="str">
        <f>IF(O226&lt;&gt;0,R226/O226,"")</f>
        <v/>
      </c>
      <c r="T226" s="10"/>
      <c r="U226" s="23">
        <v>0</v>
      </c>
      <c r="V226" s="25">
        <v>0</v>
      </c>
      <c r="W226" s="24">
        <v>0</v>
      </c>
      <c r="X226" s="24">
        <f>U226-W226</f>
        <v>0</v>
      </c>
      <c r="Y226" s="53" t="str">
        <f>IF(U226&lt;&gt;0,X226/U226,"")</f>
        <v/>
      </c>
      <c r="Z226" s="23">
        <v>0</v>
      </c>
      <c r="AA226" s="25">
        <v>0</v>
      </c>
      <c r="AB226" s="24">
        <v>0</v>
      </c>
      <c r="AC226" s="24">
        <f t="shared" ref="AC226:AC230" si="53">Z226-AB226</f>
        <v>0</v>
      </c>
      <c r="AD226" s="53" t="str">
        <f t="shared" ref="AD226:AD230" si="54">IF(Z226&lt;&gt;0,AC226/Z226,"")</f>
        <v/>
      </c>
      <c r="AE226" s="10"/>
    </row>
    <row r="227" spans="1:31" x14ac:dyDescent="0.25">
      <c r="A227" s="14" t="s">
        <v>109</v>
      </c>
      <c r="C227" s="61" t="str">
        <f t="shared" si="52"/>
        <v>C100020</v>
      </c>
      <c r="F227" s="8" t="str">
        <f>"C100051"</f>
        <v>C100051</v>
      </c>
      <c r="G227" s="9" t="str">
        <f>"Bamboo Digital Picutre Frame"</f>
        <v>Bamboo Digital Picutre Frame</v>
      </c>
      <c r="H227" s="47"/>
      <c r="I227" s="47"/>
      <c r="J227" s="23">
        <v>2271.3599999999997</v>
      </c>
      <c r="K227" s="25">
        <v>48</v>
      </c>
      <c r="L227" s="24">
        <v>1167.3800000000001</v>
      </c>
      <c r="M227" s="24">
        <f>J227-L227</f>
        <v>1103.9799999999996</v>
      </c>
      <c r="N227" s="53">
        <f>IF(J227&lt;&gt;0,M227/J227,"")</f>
        <v>0.48604360383206524</v>
      </c>
      <c r="O227" s="23">
        <v>0</v>
      </c>
      <c r="P227" s="25">
        <v>0</v>
      </c>
      <c r="Q227" s="24">
        <v>0</v>
      </c>
      <c r="R227" s="24">
        <f>O227-Q227</f>
        <v>0</v>
      </c>
      <c r="S227" s="53" t="str">
        <f>IF(O227&lt;&gt;0,R227/O227,"")</f>
        <v/>
      </c>
      <c r="T227" s="10"/>
      <c r="U227" s="23">
        <v>0</v>
      </c>
      <c r="V227" s="25">
        <v>0</v>
      </c>
      <c r="W227" s="24">
        <v>0</v>
      </c>
      <c r="X227" s="24">
        <f>U227-W227</f>
        <v>0</v>
      </c>
      <c r="Y227" s="53" t="str">
        <f>IF(U227&lt;&gt;0,X227/U227,"")</f>
        <v/>
      </c>
      <c r="Z227" s="23">
        <v>0</v>
      </c>
      <c r="AA227" s="25">
        <v>0</v>
      </c>
      <c r="AB227" s="24">
        <v>0</v>
      </c>
      <c r="AC227" s="24">
        <f t="shared" si="53"/>
        <v>0</v>
      </c>
      <c r="AD227" s="53" t="str">
        <f t="shared" si="54"/>
        <v/>
      </c>
      <c r="AE227" s="10"/>
    </row>
    <row r="228" spans="1:31" x14ac:dyDescent="0.25">
      <c r="A228" s="14" t="s">
        <v>109</v>
      </c>
      <c r="C228" s="61" t="str">
        <f t="shared" si="52"/>
        <v>C100020</v>
      </c>
      <c r="F228" s="8" t="str">
        <f>"E100020"</f>
        <v>E100020</v>
      </c>
      <c r="G228" s="9" t="str">
        <f>"Flip-up Travel Alarm"</f>
        <v>Flip-up Travel Alarm</v>
      </c>
      <c r="H228" s="47"/>
      <c r="I228" s="47"/>
      <c r="J228" s="23">
        <v>8.66</v>
      </c>
      <c r="K228" s="25">
        <v>1</v>
      </c>
      <c r="L228" s="24">
        <v>4.68</v>
      </c>
      <c r="M228" s="24">
        <f>J228-L228</f>
        <v>3.9800000000000004</v>
      </c>
      <c r="N228" s="53">
        <f>IF(J228&lt;&gt;0,M228/J228,"")</f>
        <v>0.45958429561200925</v>
      </c>
      <c r="O228" s="23">
        <v>0</v>
      </c>
      <c r="P228" s="25">
        <v>0</v>
      </c>
      <c r="Q228" s="24">
        <v>0</v>
      </c>
      <c r="R228" s="24">
        <f>O228-Q228</f>
        <v>0</v>
      </c>
      <c r="S228" s="53" t="str">
        <f>IF(O228&lt;&gt;0,R228/O228,"")</f>
        <v/>
      </c>
      <c r="T228" s="10"/>
      <c r="U228" s="23">
        <v>0</v>
      </c>
      <c r="V228" s="25">
        <v>0</v>
      </c>
      <c r="W228" s="24">
        <v>0</v>
      </c>
      <c r="X228" s="24">
        <f>U228-W228</f>
        <v>0</v>
      </c>
      <c r="Y228" s="53" t="str">
        <f>IF(U228&lt;&gt;0,X228/U228,"")</f>
        <v/>
      </c>
      <c r="Z228" s="23">
        <v>0</v>
      </c>
      <c r="AA228" s="25">
        <v>0</v>
      </c>
      <c r="AB228" s="24">
        <v>0</v>
      </c>
      <c r="AC228" s="24">
        <f t="shared" si="53"/>
        <v>0</v>
      </c>
      <c r="AD228" s="53" t="str">
        <f t="shared" si="54"/>
        <v/>
      </c>
      <c r="AE228" s="10"/>
    </row>
    <row r="229" spans="1:31" x14ac:dyDescent="0.25">
      <c r="A229" s="14" t="s">
        <v>109</v>
      </c>
      <c r="C229" s="61" t="str">
        <f t="shared" si="52"/>
        <v>C100020</v>
      </c>
      <c r="F229" s="8" t="str">
        <f>"E100021"</f>
        <v>E100021</v>
      </c>
      <c r="G229" s="9" t="str">
        <f>"Slim Travel Alarm"</f>
        <v>Slim Travel Alarm</v>
      </c>
      <c r="H229" s="47"/>
      <c r="I229" s="47"/>
      <c r="J229" s="23">
        <v>389.81</v>
      </c>
      <c r="K229" s="25">
        <v>144</v>
      </c>
      <c r="L229" s="24">
        <v>207.35</v>
      </c>
      <c r="M229" s="24">
        <f>J229-L229</f>
        <v>182.46</v>
      </c>
      <c r="N229" s="53">
        <f>IF(J229&lt;&gt;0,M229/J229,"")</f>
        <v>0.46807418998999517</v>
      </c>
      <c r="O229" s="23">
        <v>0</v>
      </c>
      <c r="P229" s="25">
        <v>0</v>
      </c>
      <c r="Q229" s="24">
        <v>0</v>
      </c>
      <c r="R229" s="24">
        <f>O229-Q229</f>
        <v>0</v>
      </c>
      <c r="S229" s="53" t="str">
        <f>IF(O229&lt;&gt;0,R229/O229,"")</f>
        <v/>
      </c>
      <c r="T229" s="10"/>
      <c r="U229" s="23">
        <v>0</v>
      </c>
      <c r="V229" s="25">
        <v>0</v>
      </c>
      <c r="W229" s="24">
        <v>0</v>
      </c>
      <c r="X229" s="24">
        <f>U229-W229</f>
        <v>0</v>
      </c>
      <c r="Y229" s="53" t="str">
        <f>IF(U229&lt;&gt;0,X229/U229,"")</f>
        <v/>
      </c>
      <c r="Z229" s="23">
        <v>0</v>
      </c>
      <c r="AA229" s="25">
        <v>0</v>
      </c>
      <c r="AB229" s="24">
        <v>0</v>
      </c>
      <c r="AC229" s="24">
        <f t="shared" si="53"/>
        <v>0</v>
      </c>
      <c r="AD229" s="53" t="str">
        <f t="shared" si="54"/>
        <v/>
      </c>
      <c r="AE229" s="10"/>
    </row>
    <row r="230" spans="1:31" x14ac:dyDescent="0.25">
      <c r="A230" s="14" t="s">
        <v>109</v>
      </c>
      <c r="C230" s="61" t="str">
        <f t="shared" si="52"/>
        <v>C100020</v>
      </c>
      <c r="F230" s="8" t="str">
        <f>"E100022"</f>
        <v>E100022</v>
      </c>
      <c r="G230" s="9" t="str">
        <f>"Wide Screen Alarm Clock"</f>
        <v>Wide Screen Alarm Clock</v>
      </c>
      <c r="H230" s="47"/>
      <c r="I230" s="47"/>
      <c r="J230" s="23">
        <v>12.7</v>
      </c>
      <c r="K230" s="25">
        <v>7</v>
      </c>
      <c r="L230" s="24">
        <v>8.9600000000000009</v>
      </c>
      <c r="M230" s="24">
        <f>J230-L230</f>
        <v>3.7399999999999984</v>
      </c>
      <c r="N230" s="53">
        <f>IF(J230&lt;&gt;0,M230/J230,"")</f>
        <v>0.29448818897637785</v>
      </c>
      <c r="O230" s="23">
        <v>0</v>
      </c>
      <c r="P230" s="25">
        <v>0</v>
      </c>
      <c r="Q230" s="24">
        <v>0</v>
      </c>
      <c r="R230" s="24">
        <f>O230-Q230</f>
        <v>0</v>
      </c>
      <c r="S230" s="53" t="str">
        <f>IF(O230&lt;&gt;0,R230/O230,"")</f>
        <v/>
      </c>
      <c r="T230" s="10"/>
      <c r="U230" s="23">
        <v>0</v>
      </c>
      <c r="V230" s="25">
        <v>0</v>
      </c>
      <c r="W230" s="24">
        <v>0</v>
      </c>
      <c r="X230" s="24">
        <f>U230-W230</f>
        <v>0</v>
      </c>
      <c r="Y230" s="53" t="str">
        <f>IF(U230&lt;&gt;0,X230/U230,"")</f>
        <v/>
      </c>
      <c r="Z230" s="23">
        <v>0</v>
      </c>
      <c r="AA230" s="25">
        <v>0</v>
      </c>
      <c r="AB230" s="24">
        <v>0</v>
      </c>
      <c r="AC230" s="24">
        <f t="shared" si="53"/>
        <v>0</v>
      </c>
      <c r="AD230" s="53" t="str">
        <f t="shared" si="54"/>
        <v/>
      </c>
      <c r="AE230" s="10"/>
    </row>
    <row r="231" spans="1:31" ht="15.75" thickBot="1" x14ac:dyDescent="0.3">
      <c r="A231" s="14" t="s">
        <v>109</v>
      </c>
      <c r="C231" s="61" t="str">
        <f>C225</f>
        <v>C100020</v>
      </c>
      <c r="J231" s="10"/>
      <c r="K231" s="11"/>
      <c r="L231" s="11"/>
      <c r="M231" s="11"/>
      <c r="N231" s="12"/>
      <c r="O231" s="10"/>
      <c r="P231" s="11"/>
      <c r="Q231" s="11"/>
      <c r="R231" s="11"/>
      <c r="S231" s="12"/>
      <c r="U231" s="10"/>
      <c r="V231" s="11"/>
      <c r="W231" s="11"/>
      <c r="X231" s="11"/>
      <c r="Y231" s="12"/>
      <c r="Z231" s="10"/>
      <c r="AA231" s="11"/>
      <c r="AB231" s="11"/>
      <c r="AC231" s="11"/>
      <c r="AD231" s="12"/>
    </row>
    <row r="232" spans="1:31" ht="15.75" thickBot="1" x14ac:dyDescent="0.3">
      <c r="A232" s="14" t="s">
        <v>109</v>
      </c>
      <c r="C232" s="61" t="str">
        <f t="shared" si="49"/>
        <v>C100020</v>
      </c>
      <c r="G232" s="48" t="str">
        <f>C232&amp;" TOTAL:"</f>
        <v>C100020 TOTAL:</v>
      </c>
      <c r="H232" s="50"/>
      <c r="I232" s="50"/>
      <c r="J232" s="34">
        <f>SUBTOTAL(9,J224:J231)</f>
        <v>5362.94</v>
      </c>
      <c r="K232" s="35">
        <f>SUBTOTAL(9,K224:K231)</f>
        <v>249</v>
      </c>
      <c r="L232" s="36">
        <f>SUBTOTAL(9,L224:L231)</f>
        <v>2858.37</v>
      </c>
      <c r="M232" s="36">
        <f>J232-L232</f>
        <v>2504.5699999999997</v>
      </c>
      <c r="N232" s="37">
        <f>IF(J232&lt;&gt;0,M232/J232,"")</f>
        <v>0.46701436152558112</v>
      </c>
      <c r="O232" s="34">
        <f>SUBTOTAL(9,O224:O231)</f>
        <v>0</v>
      </c>
      <c r="P232" s="35">
        <f>SUBTOTAL(9,P224:P231)</f>
        <v>0</v>
      </c>
      <c r="Q232" s="36">
        <f>SUBTOTAL(9,Q224:Q231)</f>
        <v>0</v>
      </c>
      <c r="R232" s="36">
        <f>O232-Q232</f>
        <v>0</v>
      </c>
      <c r="S232" s="37" t="str">
        <f>IF(O232&lt;&gt;0,R232/O232,"")</f>
        <v/>
      </c>
      <c r="U232" s="34">
        <f>SUBTOTAL(9,U224:U231)</f>
        <v>0</v>
      </c>
      <c r="V232" s="35">
        <f>SUBTOTAL(9,V224:V231)</f>
        <v>0</v>
      </c>
      <c r="W232" s="36">
        <f>SUBTOTAL(9,W224:W231)</f>
        <v>0</v>
      </c>
      <c r="X232" s="36">
        <f>U232-W232</f>
        <v>0</v>
      </c>
      <c r="Y232" s="37" t="str">
        <f>IF(U232&lt;&gt;0,X232/U232,"")</f>
        <v/>
      </c>
      <c r="Z232" s="34">
        <f>SUBTOTAL(9,Z224:Z231)</f>
        <v>0</v>
      </c>
      <c r="AA232" s="35">
        <f>SUBTOTAL(9,AA224:AA231)</f>
        <v>0</v>
      </c>
      <c r="AB232" s="36">
        <f>SUBTOTAL(9,AB224:AB231)</f>
        <v>0</v>
      </c>
      <c r="AC232" s="36">
        <f t="shared" ref="AC232" si="55">Z232-AB232</f>
        <v>0</v>
      </c>
      <c r="AD232" s="37" t="str">
        <f t="shared" ref="AD232" si="56">IF(Z232&lt;&gt;0,AC232/Z232,"")</f>
        <v/>
      </c>
    </row>
    <row r="233" spans="1:31" x14ac:dyDescent="0.25">
      <c r="A233" s="14" t="s">
        <v>109</v>
      </c>
      <c r="C233" s="66"/>
      <c r="J233" s="10"/>
      <c r="K233" s="11"/>
      <c r="L233" s="11"/>
      <c r="M233" s="11"/>
      <c r="N233" s="12"/>
      <c r="O233" s="10"/>
      <c r="P233" s="11"/>
      <c r="Q233" s="11"/>
      <c r="R233" s="11"/>
      <c r="S233" s="12"/>
      <c r="U233" s="10"/>
      <c r="V233" s="11"/>
      <c r="W233" s="11"/>
      <c r="X233" s="11"/>
      <c r="Y233" s="12"/>
      <c r="Z233" s="10"/>
      <c r="AA233" s="11"/>
      <c r="AB233" s="11"/>
      <c r="AC233" s="11"/>
      <c r="AD233" s="12"/>
    </row>
    <row r="234" spans="1:31" ht="15.75" x14ac:dyDescent="0.25">
      <c r="A234" s="14" t="s">
        <v>109</v>
      </c>
      <c r="C234" s="66" t="str">
        <f t="shared" ref="C234" si="57">E234</f>
        <v>C100021</v>
      </c>
      <c r="E234" s="13" t="str">
        <f>"C100021"</f>
        <v>C100021</v>
      </c>
      <c r="F234" s="13"/>
      <c r="G234" s="13" t="str">
        <f>"Cronus Cardoxy Sales"</f>
        <v>Cronus Cardoxy Sales</v>
      </c>
      <c r="H234" s="13"/>
      <c r="I234" s="13"/>
      <c r="J234" s="10"/>
      <c r="K234" s="11"/>
      <c r="L234" s="11"/>
      <c r="M234" s="11"/>
      <c r="N234" s="12"/>
      <c r="O234" s="10"/>
      <c r="P234" s="11"/>
      <c r="Q234" s="11"/>
      <c r="R234" s="11"/>
      <c r="S234" s="12"/>
      <c r="U234" s="10"/>
      <c r="V234" s="11"/>
      <c r="W234" s="11"/>
      <c r="X234" s="11"/>
      <c r="Y234" s="12"/>
      <c r="Z234" s="10"/>
      <c r="AA234" s="11"/>
      <c r="AB234" s="11"/>
      <c r="AC234" s="11"/>
      <c r="AD234" s="12"/>
    </row>
    <row r="235" spans="1:31" ht="6.6" customHeight="1" x14ac:dyDescent="0.25">
      <c r="A235" s="14" t="s">
        <v>109</v>
      </c>
      <c r="C235" s="61" t="str">
        <f t="shared" ref="C235:C253" si="58">C234</f>
        <v>C100021</v>
      </c>
      <c r="J235" s="10"/>
      <c r="K235" s="11"/>
      <c r="L235" s="11"/>
      <c r="M235" s="11"/>
      <c r="N235" s="12"/>
      <c r="O235" s="10"/>
      <c r="P235" s="11"/>
      <c r="Q235" s="11"/>
      <c r="R235" s="11"/>
      <c r="S235" s="12"/>
      <c r="U235" s="10"/>
      <c r="V235" s="11"/>
      <c r="W235" s="11"/>
      <c r="X235" s="11"/>
      <c r="Y235" s="12"/>
      <c r="Z235" s="10"/>
      <c r="AA235" s="11"/>
      <c r="AB235" s="11"/>
      <c r="AC235" s="11"/>
      <c r="AD235" s="12"/>
    </row>
    <row r="236" spans="1:31" x14ac:dyDescent="0.25">
      <c r="A236" s="14" t="s">
        <v>109</v>
      </c>
      <c r="C236" s="61" t="str">
        <f t="shared" si="58"/>
        <v>C100021</v>
      </c>
      <c r="F236" s="8" t="str">
        <f>"C100004"</f>
        <v>C100004</v>
      </c>
      <c r="G236" s="9" t="str">
        <f>"Walnut Medallian Plate"</f>
        <v>Walnut Medallian Plate</v>
      </c>
      <c r="H236" s="47"/>
      <c r="I236" s="47"/>
      <c r="J236" s="23">
        <v>2763.7999999999997</v>
      </c>
      <c r="K236" s="25">
        <v>48</v>
      </c>
      <c r="L236" s="24">
        <v>1468.8</v>
      </c>
      <c r="M236" s="24">
        <f>J236-L236</f>
        <v>1294.9999999999998</v>
      </c>
      <c r="N236" s="53">
        <f>IF(J236&lt;&gt;0,M236/J236,"")</f>
        <v>0.4685577827628627</v>
      </c>
      <c r="O236" s="23">
        <v>0</v>
      </c>
      <c r="P236" s="25">
        <v>0</v>
      </c>
      <c r="Q236" s="24">
        <v>0</v>
      </c>
      <c r="R236" s="24">
        <f>O236-Q236</f>
        <v>0</v>
      </c>
      <c r="S236" s="53" t="str">
        <f>IF(O236&lt;&gt;0,R236/O236,"")</f>
        <v/>
      </c>
      <c r="T236" s="10"/>
      <c r="U236" s="23">
        <v>0</v>
      </c>
      <c r="V236" s="25">
        <v>0</v>
      </c>
      <c r="W236" s="24">
        <v>0</v>
      </c>
      <c r="X236" s="24">
        <f>U236-W236</f>
        <v>0</v>
      </c>
      <c r="Y236" s="53" t="str">
        <f>IF(U236&lt;&gt;0,X236/U236,"")</f>
        <v/>
      </c>
      <c r="Z236" s="23">
        <v>698.07</v>
      </c>
      <c r="AA236" s="25">
        <v>12</v>
      </c>
      <c r="AB236" s="24">
        <v>367.2</v>
      </c>
      <c r="AC236" s="24">
        <f t="shared" ref="AC236" si="59">Z236-AB236</f>
        <v>330.87000000000006</v>
      </c>
      <c r="AD236" s="53">
        <f t="shared" ref="AD236" si="60">IF(Z236&lt;&gt;0,AC236/Z236,"")</f>
        <v>0.47397825432979507</v>
      </c>
      <c r="AE236" s="10"/>
    </row>
    <row r="237" spans="1:31" x14ac:dyDescent="0.25">
      <c r="A237" s="14" t="s">
        <v>109</v>
      </c>
      <c r="C237" s="61" t="str">
        <f t="shared" ref="C237:C251" si="61">C236</f>
        <v>C100021</v>
      </c>
      <c r="F237" s="8" t="str">
        <f>"C100005"</f>
        <v>C100005</v>
      </c>
      <c r="G237" s="9" t="str">
        <f>"Cherry Finished Crystal Award"</f>
        <v>Cherry Finished Crystal Award</v>
      </c>
      <c r="H237" s="47"/>
      <c r="I237" s="47"/>
      <c r="J237" s="23">
        <v>6472.77</v>
      </c>
      <c r="K237" s="25">
        <v>48</v>
      </c>
      <c r="L237" s="24">
        <v>3404.64</v>
      </c>
      <c r="M237" s="24">
        <f>J237-L237</f>
        <v>3068.1300000000006</v>
      </c>
      <c r="N237" s="53">
        <f>IF(J237&lt;&gt;0,M237/J237,"")</f>
        <v>0.47400571934426844</v>
      </c>
      <c r="O237" s="23">
        <v>0</v>
      </c>
      <c r="P237" s="25">
        <v>0</v>
      </c>
      <c r="Q237" s="24">
        <v>0</v>
      </c>
      <c r="R237" s="24">
        <f>O237-Q237</f>
        <v>0</v>
      </c>
      <c r="S237" s="53" t="str">
        <f>IF(O237&lt;&gt;0,R237/O237,"")</f>
        <v/>
      </c>
      <c r="T237" s="10"/>
      <c r="U237" s="23">
        <v>0</v>
      </c>
      <c r="V237" s="25">
        <v>0</v>
      </c>
      <c r="W237" s="24">
        <v>0</v>
      </c>
      <c r="X237" s="24">
        <f>U237-W237</f>
        <v>0</v>
      </c>
      <c r="Y237" s="53" t="str">
        <f>IF(U237&lt;&gt;0,X237/U237,"")</f>
        <v/>
      </c>
      <c r="Z237" s="23">
        <v>0</v>
      </c>
      <c r="AA237" s="25">
        <v>0</v>
      </c>
      <c r="AB237" s="24">
        <v>0</v>
      </c>
      <c r="AC237" s="24">
        <f t="shared" ref="AC237:AC251" si="62">Z237-AB237</f>
        <v>0</v>
      </c>
      <c r="AD237" s="53" t="str">
        <f t="shared" ref="AD237:AD251" si="63">IF(Z237&lt;&gt;0,AC237/Z237,"")</f>
        <v/>
      </c>
      <c r="AE237" s="10"/>
    </row>
    <row r="238" spans="1:31" x14ac:dyDescent="0.25">
      <c r="A238" s="14" t="s">
        <v>109</v>
      </c>
      <c r="C238" s="61" t="str">
        <f t="shared" si="61"/>
        <v>C100021</v>
      </c>
      <c r="F238" s="8" t="str">
        <f>"C100022"</f>
        <v>C100022</v>
      </c>
      <c r="G238" s="9" t="str">
        <f>"Two-Toned Cap"</f>
        <v>Two-Toned Cap</v>
      </c>
      <c r="H238" s="47"/>
      <c r="I238" s="47"/>
      <c r="J238" s="23">
        <v>446.97</v>
      </c>
      <c r="K238" s="25">
        <v>144</v>
      </c>
      <c r="L238" s="24">
        <v>231.82999999999998</v>
      </c>
      <c r="M238" s="24">
        <f>J238-L238</f>
        <v>215.14000000000004</v>
      </c>
      <c r="N238" s="53">
        <f>IF(J238&lt;&gt;0,M238/J238,"")</f>
        <v>0.48132984316620808</v>
      </c>
      <c r="O238" s="23">
        <v>0</v>
      </c>
      <c r="P238" s="25">
        <v>0</v>
      </c>
      <c r="Q238" s="24">
        <v>0</v>
      </c>
      <c r="R238" s="24">
        <f>O238-Q238</f>
        <v>0</v>
      </c>
      <c r="S238" s="53" t="str">
        <f>IF(O238&lt;&gt;0,R238/O238,"")</f>
        <v/>
      </c>
      <c r="T238" s="10"/>
      <c r="U238" s="23">
        <v>0</v>
      </c>
      <c r="V238" s="25">
        <v>0</v>
      </c>
      <c r="W238" s="24">
        <v>0</v>
      </c>
      <c r="X238" s="24">
        <f>U238-W238</f>
        <v>0</v>
      </c>
      <c r="Y238" s="53" t="str">
        <f>IF(U238&lt;&gt;0,X238/U238,"")</f>
        <v/>
      </c>
      <c r="Z238" s="23">
        <v>0</v>
      </c>
      <c r="AA238" s="25">
        <v>0</v>
      </c>
      <c r="AB238" s="24">
        <v>0</v>
      </c>
      <c r="AC238" s="24">
        <f t="shared" si="62"/>
        <v>0</v>
      </c>
      <c r="AD238" s="53" t="str">
        <f t="shared" si="63"/>
        <v/>
      </c>
      <c r="AE238" s="10"/>
    </row>
    <row r="239" spans="1:31" x14ac:dyDescent="0.25">
      <c r="A239" s="14" t="s">
        <v>109</v>
      </c>
      <c r="C239" s="61" t="str">
        <f t="shared" si="61"/>
        <v>C100021</v>
      </c>
      <c r="F239" s="8" t="str">
        <f>"C100023"</f>
        <v>C100023</v>
      </c>
      <c r="G239" s="9" t="str">
        <f>"Two-Toned Knit Hat"</f>
        <v>Two-Toned Knit Hat</v>
      </c>
      <c r="H239" s="47"/>
      <c r="I239" s="47"/>
      <c r="J239" s="23">
        <v>374.34000000000003</v>
      </c>
      <c r="K239" s="25">
        <v>144</v>
      </c>
      <c r="L239" s="24">
        <v>181.43</v>
      </c>
      <c r="M239" s="24">
        <f>J239-L239</f>
        <v>192.91000000000003</v>
      </c>
      <c r="N239" s="53">
        <f>IF(J239&lt;&gt;0,M239/J239,"")</f>
        <v>0.51533365389752639</v>
      </c>
      <c r="O239" s="23">
        <v>0</v>
      </c>
      <c r="P239" s="25">
        <v>0</v>
      </c>
      <c r="Q239" s="24">
        <v>0</v>
      </c>
      <c r="R239" s="24">
        <f>O239-Q239</f>
        <v>0</v>
      </c>
      <c r="S239" s="53" t="str">
        <f>IF(O239&lt;&gt;0,R239/O239,"")</f>
        <v/>
      </c>
      <c r="T239" s="10"/>
      <c r="U239" s="23">
        <v>0</v>
      </c>
      <c r="V239" s="25">
        <v>0</v>
      </c>
      <c r="W239" s="24">
        <v>0</v>
      </c>
      <c r="X239" s="24">
        <f>U239-W239</f>
        <v>0</v>
      </c>
      <c r="Y239" s="53" t="str">
        <f>IF(U239&lt;&gt;0,X239/U239,"")</f>
        <v/>
      </c>
      <c r="Z239" s="23">
        <v>0</v>
      </c>
      <c r="AA239" s="25">
        <v>0</v>
      </c>
      <c r="AB239" s="24">
        <v>0</v>
      </c>
      <c r="AC239" s="24">
        <f t="shared" si="62"/>
        <v>0</v>
      </c>
      <c r="AD239" s="53" t="str">
        <f t="shared" si="63"/>
        <v/>
      </c>
      <c r="AE239" s="10"/>
    </row>
    <row r="240" spans="1:31" x14ac:dyDescent="0.25">
      <c r="A240" s="14" t="s">
        <v>109</v>
      </c>
      <c r="C240" s="61" t="str">
        <f t="shared" si="61"/>
        <v>C100021</v>
      </c>
      <c r="F240" s="8" t="str">
        <f>"C100027"</f>
        <v>C100027</v>
      </c>
      <c r="G240" s="9" t="str">
        <f>"Pique Visor"</f>
        <v>Pique Visor</v>
      </c>
      <c r="H240" s="47"/>
      <c r="I240" s="47"/>
      <c r="J240" s="23">
        <v>884.17000000000007</v>
      </c>
      <c r="K240" s="25">
        <v>144</v>
      </c>
      <c r="L240" s="24">
        <v>449.29</v>
      </c>
      <c r="M240" s="24">
        <f>J240-L240</f>
        <v>434.88000000000005</v>
      </c>
      <c r="N240" s="53">
        <f>IF(J240&lt;&gt;0,M240/J240,"")</f>
        <v>0.49185111460465747</v>
      </c>
      <c r="O240" s="23">
        <v>0</v>
      </c>
      <c r="P240" s="25">
        <v>0</v>
      </c>
      <c r="Q240" s="24">
        <v>0</v>
      </c>
      <c r="R240" s="24">
        <f>O240-Q240</f>
        <v>0</v>
      </c>
      <c r="S240" s="53" t="str">
        <f>IF(O240&lt;&gt;0,R240/O240,"")</f>
        <v/>
      </c>
      <c r="T240" s="10"/>
      <c r="U240" s="23">
        <v>0</v>
      </c>
      <c r="V240" s="25">
        <v>0</v>
      </c>
      <c r="W240" s="24">
        <v>0</v>
      </c>
      <c r="X240" s="24">
        <f>U240-W240</f>
        <v>0</v>
      </c>
      <c r="Y240" s="53" t="str">
        <f>IF(U240&lt;&gt;0,X240/U240,"")</f>
        <v/>
      </c>
      <c r="Z240" s="23">
        <v>0</v>
      </c>
      <c r="AA240" s="25">
        <v>0</v>
      </c>
      <c r="AB240" s="24">
        <v>0</v>
      </c>
      <c r="AC240" s="24">
        <f t="shared" si="62"/>
        <v>0</v>
      </c>
      <c r="AD240" s="53" t="str">
        <f t="shared" si="63"/>
        <v/>
      </c>
      <c r="AE240" s="10"/>
    </row>
    <row r="241" spans="1:31" x14ac:dyDescent="0.25">
      <c r="A241" s="14" t="s">
        <v>109</v>
      </c>
      <c r="C241" s="61" t="str">
        <f t="shared" si="61"/>
        <v>C100021</v>
      </c>
      <c r="F241" s="8" t="str">
        <f>"C100028"</f>
        <v>C100028</v>
      </c>
      <c r="G241" s="9" t="str">
        <f>"Twill Visor"</f>
        <v>Twill Visor</v>
      </c>
      <c r="H241" s="47"/>
      <c r="I241" s="47"/>
      <c r="J241" s="23">
        <v>4.95</v>
      </c>
      <c r="K241" s="25">
        <v>1</v>
      </c>
      <c r="L241" s="24">
        <v>2.4</v>
      </c>
      <c r="M241" s="24">
        <f>J241-L241</f>
        <v>2.5500000000000003</v>
      </c>
      <c r="N241" s="53">
        <f>IF(J241&lt;&gt;0,M241/J241,"")</f>
        <v>0.51515151515151514</v>
      </c>
      <c r="O241" s="23">
        <v>0</v>
      </c>
      <c r="P241" s="25">
        <v>0</v>
      </c>
      <c r="Q241" s="24">
        <v>0</v>
      </c>
      <c r="R241" s="24">
        <f>O241-Q241</f>
        <v>0</v>
      </c>
      <c r="S241" s="53" t="str">
        <f>IF(O241&lt;&gt;0,R241/O241,"")</f>
        <v/>
      </c>
      <c r="T241" s="10"/>
      <c r="U241" s="23">
        <v>0</v>
      </c>
      <c r="V241" s="25">
        <v>0</v>
      </c>
      <c r="W241" s="24">
        <v>0</v>
      </c>
      <c r="X241" s="24">
        <f>U241-W241</f>
        <v>0</v>
      </c>
      <c r="Y241" s="53" t="str">
        <f>IF(U241&lt;&gt;0,X241/U241,"")</f>
        <v/>
      </c>
      <c r="Z241" s="23">
        <v>0</v>
      </c>
      <c r="AA241" s="25">
        <v>0</v>
      </c>
      <c r="AB241" s="24">
        <v>0</v>
      </c>
      <c r="AC241" s="24">
        <f t="shared" si="62"/>
        <v>0</v>
      </c>
      <c r="AD241" s="53" t="str">
        <f t="shared" si="63"/>
        <v/>
      </c>
      <c r="AE241" s="10"/>
    </row>
    <row r="242" spans="1:31" x14ac:dyDescent="0.25">
      <c r="A242" s="14" t="s">
        <v>109</v>
      </c>
      <c r="C242" s="61" t="str">
        <f t="shared" si="61"/>
        <v>C100021</v>
      </c>
      <c r="F242" s="8" t="str">
        <f>"C100032"</f>
        <v>C100032</v>
      </c>
      <c r="G242" s="9" t="str">
        <f>"Clip-on Clock"</f>
        <v>Clip-on Clock</v>
      </c>
      <c r="H242" s="47"/>
      <c r="I242" s="47"/>
      <c r="J242" s="23">
        <v>1150.96</v>
      </c>
      <c r="K242" s="25">
        <v>144</v>
      </c>
      <c r="L242" s="24">
        <v>599.05000000000007</v>
      </c>
      <c r="M242" s="24">
        <f>J242-L242</f>
        <v>551.91</v>
      </c>
      <c r="N242" s="53">
        <f>IF(J242&lt;&gt;0,M242/J242,"")</f>
        <v>0.47952144296934729</v>
      </c>
      <c r="O242" s="23">
        <v>0</v>
      </c>
      <c r="P242" s="25">
        <v>0</v>
      </c>
      <c r="Q242" s="24">
        <v>0</v>
      </c>
      <c r="R242" s="24">
        <f>O242-Q242</f>
        <v>0</v>
      </c>
      <c r="S242" s="53" t="str">
        <f>IF(O242&lt;&gt;0,R242/O242,"")</f>
        <v/>
      </c>
      <c r="T242" s="10"/>
      <c r="U242" s="23">
        <v>0</v>
      </c>
      <c r="V242" s="25">
        <v>0</v>
      </c>
      <c r="W242" s="24">
        <v>0</v>
      </c>
      <c r="X242" s="24">
        <f>U242-W242</f>
        <v>0</v>
      </c>
      <c r="Y242" s="53" t="str">
        <f>IF(U242&lt;&gt;0,X242/U242,"")</f>
        <v/>
      </c>
      <c r="Z242" s="23">
        <v>0</v>
      </c>
      <c r="AA242" s="25">
        <v>0</v>
      </c>
      <c r="AB242" s="24">
        <v>0</v>
      </c>
      <c r="AC242" s="24">
        <f t="shared" si="62"/>
        <v>0</v>
      </c>
      <c r="AD242" s="53" t="str">
        <f t="shared" si="63"/>
        <v/>
      </c>
      <c r="AE242" s="10"/>
    </row>
    <row r="243" spans="1:31" x14ac:dyDescent="0.25">
      <c r="A243" s="14" t="s">
        <v>109</v>
      </c>
      <c r="C243" s="61" t="str">
        <f t="shared" si="61"/>
        <v>C100021</v>
      </c>
      <c r="F243" s="8" t="str">
        <f>"E100011"</f>
        <v>E100011</v>
      </c>
      <c r="G243" s="9" t="str">
        <f>"Plastic Sun Visor"</f>
        <v>Plastic Sun Visor</v>
      </c>
      <c r="H243" s="47"/>
      <c r="I243" s="47"/>
      <c r="J243" s="23">
        <v>0.79</v>
      </c>
      <c r="K243" s="25">
        <v>1</v>
      </c>
      <c r="L243" s="24">
        <v>0.42</v>
      </c>
      <c r="M243" s="24">
        <f>J243-L243</f>
        <v>0.37000000000000005</v>
      </c>
      <c r="N243" s="53">
        <f>IF(J243&lt;&gt;0,M243/J243,"")</f>
        <v>0.46835443037974689</v>
      </c>
      <c r="O243" s="23">
        <v>0</v>
      </c>
      <c r="P243" s="25">
        <v>0</v>
      </c>
      <c r="Q243" s="24">
        <v>0</v>
      </c>
      <c r="R243" s="24">
        <f>O243-Q243</f>
        <v>0</v>
      </c>
      <c r="S243" s="53" t="str">
        <f>IF(O243&lt;&gt;0,R243/O243,"")</f>
        <v/>
      </c>
      <c r="T243" s="10"/>
      <c r="U243" s="23">
        <v>0</v>
      </c>
      <c r="V243" s="25">
        <v>0</v>
      </c>
      <c r="W243" s="24">
        <v>0</v>
      </c>
      <c r="X243" s="24">
        <f>U243-W243</f>
        <v>0</v>
      </c>
      <c r="Y243" s="53" t="str">
        <f>IF(U243&lt;&gt;0,X243/U243,"")</f>
        <v/>
      </c>
      <c r="Z243" s="23">
        <v>0</v>
      </c>
      <c r="AA243" s="25">
        <v>0</v>
      </c>
      <c r="AB243" s="24">
        <v>0</v>
      </c>
      <c r="AC243" s="24">
        <f t="shared" si="62"/>
        <v>0</v>
      </c>
      <c r="AD243" s="53" t="str">
        <f t="shared" si="63"/>
        <v/>
      </c>
      <c r="AE243" s="10"/>
    </row>
    <row r="244" spans="1:31" x14ac:dyDescent="0.25">
      <c r="A244" s="14" t="s">
        <v>109</v>
      </c>
      <c r="C244" s="61" t="str">
        <f t="shared" si="61"/>
        <v>C100021</v>
      </c>
      <c r="F244" s="8" t="str">
        <f>"E100012"</f>
        <v>E100012</v>
      </c>
      <c r="G244" s="9" t="str">
        <f>"Canvas Stopwatch"</f>
        <v>Canvas Stopwatch</v>
      </c>
      <c r="H244" s="47"/>
      <c r="I244" s="47"/>
      <c r="J244" s="23">
        <v>3.59</v>
      </c>
      <c r="K244" s="25">
        <v>1</v>
      </c>
      <c r="L244" s="24">
        <v>1.96</v>
      </c>
      <c r="M244" s="24">
        <f>J244-L244</f>
        <v>1.63</v>
      </c>
      <c r="N244" s="53">
        <f>IF(J244&lt;&gt;0,M244/J244,"")</f>
        <v>0.45403899721448465</v>
      </c>
      <c r="O244" s="23">
        <v>0</v>
      </c>
      <c r="P244" s="25">
        <v>0</v>
      </c>
      <c r="Q244" s="24">
        <v>0</v>
      </c>
      <c r="R244" s="24">
        <f>O244-Q244</f>
        <v>0</v>
      </c>
      <c r="S244" s="53" t="str">
        <f>IF(O244&lt;&gt;0,R244/O244,"")</f>
        <v/>
      </c>
      <c r="T244" s="10"/>
      <c r="U244" s="23">
        <v>0</v>
      </c>
      <c r="V244" s="25">
        <v>0</v>
      </c>
      <c r="W244" s="24">
        <v>0</v>
      </c>
      <c r="X244" s="24">
        <f>U244-W244</f>
        <v>0</v>
      </c>
      <c r="Y244" s="53" t="str">
        <f>IF(U244&lt;&gt;0,X244/U244,"")</f>
        <v/>
      </c>
      <c r="Z244" s="23">
        <v>522.16</v>
      </c>
      <c r="AA244" s="25">
        <v>144</v>
      </c>
      <c r="AB244" s="24">
        <v>282.22999999999996</v>
      </c>
      <c r="AC244" s="24">
        <f t="shared" si="62"/>
        <v>239.93</v>
      </c>
      <c r="AD244" s="53">
        <f t="shared" si="63"/>
        <v>0.45949517389305966</v>
      </c>
      <c r="AE244" s="10"/>
    </row>
    <row r="245" spans="1:31" x14ac:dyDescent="0.25">
      <c r="A245" s="14" t="s">
        <v>109</v>
      </c>
      <c r="C245" s="61" t="str">
        <f t="shared" si="61"/>
        <v>C100021</v>
      </c>
      <c r="F245" s="8" t="str">
        <f>"E100013"</f>
        <v>E100013</v>
      </c>
      <c r="G245" s="9" t="str">
        <f>"Clip-on Stopwatch"</f>
        <v>Clip-on Stopwatch</v>
      </c>
      <c r="H245" s="47"/>
      <c r="I245" s="47"/>
      <c r="J245" s="23">
        <v>385.52000000000004</v>
      </c>
      <c r="K245" s="25">
        <v>144</v>
      </c>
      <c r="L245" s="24">
        <v>207.35</v>
      </c>
      <c r="M245" s="24">
        <f>J245-L245</f>
        <v>178.17000000000004</v>
      </c>
      <c r="N245" s="53">
        <f>IF(J245&lt;&gt;0,M245/J245,"")</f>
        <v>0.46215501141315635</v>
      </c>
      <c r="O245" s="23">
        <v>0</v>
      </c>
      <c r="P245" s="25">
        <v>0</v>
      </c>
      <c r="Q245" s="24">
        <v>0</v>
      </c>
      <c r="R245" s="24">
        <f>O245-Q245</f>
        <v>0</v>
      </c>
      <c r="S245" s="53" t="str">
        <f>IF(O245&lt;&gt;0,R245/O245,"")</f>
        <v/>
      </c>
      <c r="T245" s="10"/>
      <c r="U245" s="23">
        <v>0</v>
      </c>
      <c r="V245" s="25">
        <v>0</v>
      </c>
      <c r="W245" s="24">
        <v>0</v>
      </c>
      <c r="X245" s="24">
        <f>U245-W245</f>
        <v>0</v>
      </c>
      <c r="Y245" s="53" t="str">
        <f>IF(U245&lt;&gt;0,X245/U245,"")</f>
        <v/>
      </c>
      <c r="Z245" s="23">
        <v>0</v>
      </c>
      <c r="AA245" s="25">
        <v>0</v>
      </c>
      <c r="AB245" s="24">
        <v>0</v>
      </c>
      <c r="AC245" s="24">
        <f t="shared" si="62"/>
        <v>0</v>
      </c>
      <c r="AD245" s="53" t="str">
        <f t="shared" si="63"/>
        <v/>
      </c>
      <c r="AE245" s="10"/>
    </row>
    <row r="246" spans="1:31" x14ac:dyDescent="0.25">
      <c r="A246" s="14" t="s">
        <v>109</v>
      </c>
      <c r="C246" s="61" t="str">
        <f t="shared" si="61"/>
        <v>C100021</v>
      </c>
      <c r="F246" s="8" t="str">
        <f>"E100014"</f>
        <v>E100014</v>
      </c>
      <c r="G246" s="9" t="str">
        <f>"Stopwatch with Neck Rope"</f>
        <v>Stopwatch with Neck Rope</v>
      </c>
      <c r="H246" s="47"/>
      <c r="I246" s="47"/>
      <c r="J246" s="23">
        <v>384.11</v>
      </c>
      <c r="K246" s="25">
        <v>144</v>
      </c>
      <c r="L246" s="24">
        <v>185.75</v>
      </c>
      <c r="M246" s="24">
        <f>J246-L246</f>
        <v>198.36</v>
      </c>
      <c r="N246" s="53">
        <f>IF(J246&lt;&gt;0,M246/J246,"")</f>
        <v>0.51641456874332881</v>
      </c>
      <c r="O246" s="23">
        <v>0</v>
      </c>
      <c r="P246" s="25">
        <v>0</v>
      </c>
      <c r="Q246" s="24">
        <v>0</v>
      </c>
      <c r="R246" s="24">
        <f>O246-Q246</f>
        <v>0</v>
      </c>
      <c r="S246" s="53" t="str">
        <f>IF(O246&lt;&gt;0,R246/O246,"")</f>
        <v/>
      </c>
      <c r="T246" s="10"/>
      <c r="U246" s="23">
        <v>0</v>
      </c>
      <c r="V246" s="25">
        <v>0</v>
      </c>
      <c r="W246" s="24">
        <v>0</v>
      </c>
      <c r="X246" s="24">
        <f>U246-W246</f>
        <v>0</v>
      </c>
      <c r="Y246" s="53" t="str">
        <f>IF(U246&lt;&gt;0,X246/U246,"")</f>
        <v/>
      </c>
      <c r="Z246" s="23">
        <v>0</v>
      </c>
      <c r="AA246" s="25">
        <v>0</v>
      </c>
      <c r="AB246" s="24">
        <v>0</v>
      </c>
      <c r="AC246" s="24">
        <f t="shared" si="62"/>
        <v>0</v>
      </c>
      <c r="AD246" s="53" t="str">
        <f t="shared" si="63"/>
        <v/>
      </c>
      <c r="AE246" s="10"/>
    </row>
    <row r="247" spans="1:31" x14ac:dyDescent="0.25">
      <c r="A247" s="14" t="s">
        <v>109</v>
      </c>
      <c r="C247" s="61" t="str">
        <f t="shared" si="61"/>
        <v>C100021</v>
      </c>
      <c r="F247" s="8" t="str">
        <f>"E100015"</f>
        <v>E100015</v>
      </c>
      <c r="G247" s="9" t="str">
        <f>"360 Clip Watch"</f>
        <v>360 Clip Watch</v>
      </c>
      <c r="H247" s="47"/>
      <c r="I247" s="47"/>
      <c r="J247" s="23">
        <v>300.31</v>
      </c>
      <c r="K247" s="25">
        <v>144</v>
      </c>
      <c r="L247" s="24">
        <v>146.88</v>
      </c>
      <c r="M247" s="24">
        <f>J247-L247</f>
        <v>153.43</v>
      </c>
      <c r="N247" s="53">
        <f>IF(J247&lt;&gt;0,M247/J247,"")</f>
        <v>0.51090539775565247</v>
      </c>
      <c r="O247" s="23">
        <v>0</v>
      </c>
      <c r="P247" s="25">
        <v>0</v>
      </c>
      <c r="Q247" s="24">
        <v>0</v>
      </c>
      <c r="R247" s="24">
        <f>O247-Q247</f>
        <v>0</v>
      </c>
      <c r="S247" s="53" t="str">
        <f>IF(O247&lt;&gt;0,R247/O247,"")</f>
        <v/>
      </c>
      <c r="T247" s="10"/>
      <c r="U247" s="23">
        <v>0</v>
      </c>
      <c r="V247" s="25">
        <v>0</v>
      </c>
      <c r="W247" s="24">
        <v>0</v>
      </c>
      <c r="X247" s="24">
        <f>U247-W247</f>
        <v>0</v>
      </c>
      <c r="Y247" s="53" t="str">
        <f>IF(U247&lt;&gt;0,X247/U247,"")</f>
        <v/>
      </c>
      <c r="Z247" s="23">
        <v>0</v>
      </c>
      <c r="AA247" s="25">
        <v>0</v>
      </c>
      <c r="AB247" s="24">
        <v>0</v>
      </c>
      <c r="AC247" s="24">
        <f t="shared" si="62"/>
        <v>0</v>
      </c>
      <c r="AD247" s="53" t="str">
        <f t="shared" si="63"/>
        <v/>
      </c>
      <c r="AE247" s="10"/>
    </row>
    <row r="248" spans="1:31" x14ac:dyDescent="0.25">
      <c r="A248" s="14" t="s">
        <v>109</v>
      </c>
      <c r="C248" s="61" t="str">
        <f t="shared" si="61"/>
        <v>C100021</v>
      </c>
      <c r="F248" s="8" t="str">
        <f>"S100003"</f>
        <v>S100003</v>
      </c>
      <c r="G248" s="9" t="str">
        <f>"Soccer #1 Pin"</f>
        <v>Soccer #1 Pin</v>
      </c>
      <c r="H248" s="47"/>
      <c r="I248" s="47"/>
      <c r="J248" s="23">
        <v>209.52</v>
      </c>
      <c r="K248" s="25">
        <v>144</v>
      </c>
      <c r="L248" s="24">
        <v>129.6</v>
      </c>
      <c r="M248" s="24">
        <f>J248-L248</f>
        <v>79.920000000000016</v>
      </c>
      <c r="N248" s="53">
        <f>IF(J248&lt;&gt;0,M248/J248,"")</f>
        <v>0.3814432989690722</v>
      </c>
      <c r="O248" s="23">
        <v>0</v>
      </c>
      <c r="P248" s="25">
        <v>0</v>
      </c>
      <c r="Q248" s="24">
        <v>0</v>
      </c>
      <c r="R248" s="24">
        <f>O248-Q248</f>
        <v>0</v>
      </c>
      <c r="S248" s="53" t="str">
        <f>IF(O248&lt;&gt;0,R248/O248,"")</f>
        <v/>
      </c>
      <c r="T248" s="10"/>
      <c r="U248" s="23">
        <v>0</v>
      </c>
      <c r="V248" s="25">
        <v>0</v>
      </c>
      <c r="W248" s="24">
        <v>0</v>
      </c>
      <c r="X248" s="24">
        <f>U248-W248</f>
        <v>0</v>
      </c>
      <c r="Y248" s="53" t="str">
        <f>IF(U248&lt;&gt;0,X248/U248,"")</f>
        <v/>
      </c>
      <c r="Z248" s="23">
        <v>0</v>
      </c>
      <c r="AA248" s="25">
        <v>0</v>
      </c>
      <c r="AB248" s="24">
        <v>0</v>
      </c>
      <c r="AC248" s="24">
        <f t="shared" si="62"/>
        <v>0</v>
      </c>
      <c r="AD248" s="53" t="str">
        <f t="shared" si="63"/>
        <v/>
      </c>
      <c r="AE248" s="10"/>
    </row>
    <row r="249" spans="1:31" x14ac:dyDescent="0.25">
      <c r="A249" s="14" t="s">
        <v>109</v>
      </c>
      <c r="C249" s="61" t="str">
        <f t="shared" si="61"/>
        <v>C100021</v>
      </c>
      <c r="F249" s="8" t="str">
        <f>"S100015"</f>
        <v>S100015</v>
      </c>
      <c r="G249" s="9" t="str">
        <f>"Raw-Edge Bucket Hat"</f>
        <v>Raw-Edge Bucket Hat</v>
      </c>
      <c r="H249" s="47"/>
      <c r="I249" s="47"/>
      <c r="J249" s="23">
        <v>172.04</v>
      </c>
      <c r="K249" s="25">
        <v>24</v>
      </c>
      <c r="L249" s="24">
        <v>87.36</v>
      </c>
      <c r="M249" s="24">
        <f>J249-L249</f>
        <v>84.679999999999993</v>
      </c>
      <c r="N249" s="53">
        <f>IF(J249&lt;&gt;0,M249/J249,"")</f>
        <v>0.49221111369448961</v>
      </c>
      <c r="O249" s="23">
        <v>0</v>
      </c>
      <c r="P249" s="25">
        <v>0</v>
      </c>
      <c r="Q249" s="24">
        <v>0</v>
      </c>
      <c r="R249" s="24">
        <f>O249-Q249</f>
        <v>0</v>
      </c>
      <c r="S249" s="53" t="str">
        <f>IF(O249&lt;&gt;0,R249/O249,"")</f>
        <v/>
      </c>
      <c r="T249" s="10"/>
      <c r="U249" s="23">
        <v>0</v>
      </c>
      <c r="V249" s="25">
        <v>0</v>
      </c>
      <c r="W249" s="24">
        <v>0</v>
      </c>
      <c r="X249" s="24">
        <f>U249-W249</f>
        <v>0</v>
      </c>
      <c r="Y249" s="53" t="str">
        <f>IF(U249&lt;&gt;0,X249/U249,"")</f>
        <v/>
      </c>
      <c r="Z249" s="23">
        <v>173.81</v>
      </c>
      <c r="AA249" s="25">
        <v>24</v>
      </c>
      <c r="AB249" s="24">
        <v>87.36</v>
      </c>
      <c r="AC249" s="24">
        <f t="shared" si="62"/>
        <v>86.45</v>
      </c>
      <c r="AD249" s="53">
        <f t="shared" si="63"/>
        <v>0.49738219895287961</v>
      </c>
      <c r="AE249" s="10"/>
    </row>
    <row r="250" spans="1:31" x14ac:dyDescent="0.25">
      <c r="A250" s="14" t="s">
        <v>109</v>
      </c>
      <c r="C250" s="61" t="str">
        <f t="shared" si="61"/>
        <v>C100021</v>
      </c>
      <c r="F250" s="8" t="str">
        <f>"S100017"</f>
        <v>S100017</v>
      </c>
      <c r="G250" s="9" t="str">
        <f>"Microfiber Bucket Hat"</f>
        <v>Microfiber Bucket Hat</v>
      </c>
      <c r="H250" s="47"/>
      <c r="I250" s="47"/>
      <c r="J250" s="23">
        <v>7.16</v>
      </c>
      <c r="K250" s="25">
        <v>1</v>
      </c>
      <c r="L250" s="24">
        <v>4.76</v>
      </c>
      <c r="M250" s="24">
        <f>J250-L250</f>
        <v>2.4000000000000004</v>
      </c>
      <c r="N250" s="53">
        <f>IF(J250&lt;&gt;0,M250/J250,"")</f>
        <v>0.33519553072625702</v>
      </c>
      <c r="O250" s="23">
        <v>0</v>
      </c>
      <c r="P250" s="25">
        <v>0</v>
      </c>
      <c r="Q250" s="24">
        <v>0</v>
      </c>
      <c r="R250" s="24">
        <f>O250-Q250</f>
        <v>0</v>
      </c>
      <c r="S250" s="53" t="str">
        <f>IF(O250&lt;&gt;0,R250/O250,"")</f>
        <v/>
      </c>
      <c r="T250" s="10"/>
      <c r="U250" s="23">
        <v>0</v>
      </c>
      <c r="V250" s="25">
        <v>0</v>
      </c>
      <c r="W250" s="24">
        <v>0</v>
      </c>
      <c r="X250" s="24">
        <f>U250-W250</f>
        <v>0</v>
      </c>
      <c r="Y250" s="53" t="str">
        <f>IF(U250&lt;&gt;0,X250/U250,"")</f>
        <v/>
      </c>
      <c r="Z250" s="23">
        <v>0</v>
      </c>
      <c r="AA250" s="25">
        <v>0</v>
      </c>
      <c r="AB250" s="24">
        <v>0</v>
      </c>
      <c r="AC250" s="24">
        <f t="shared" si="62"/>
        <v>0</v>
      </c>
      <c r="AD250" s="53" t="str">
        <f t="shared" si="63"/>
        <v/>
      </c>
      <c r="AE250" s="10"/>
    </row>
    <row r="251" spans="1:31" x14ac:dyDescent="0.25">
      <c r="A251" s="14" t="s">
        <v>109</v>
      </c>
      <c r="C251" s="61" t="str">
        <f t="shared" si="61"/>
        <v>C100021</v>
      </c>
      <c r="F251" s="8" t="str">
        <f>"S100018"</f>
        <v>S100018</v>
      </c>
      <c r="G251" s="9" t="str">
        <f>"Crusher Bucket Hat"</f>
        <v>Crusher Bucket Hat</v>
      </c>
      <c r="H251" s="47"/>
      <c r="I251" s="47"/>
      <c r="J251" s="23">
        <v>7.2</v>
      </c>
      <c r="K251" s="25">
        <v>1</v>
      </c>
      <c r="L251" s="24">
        <v>3.5</v>
      </c>
      <c r="M251" s="24">
        <f>J251-L251</f>
        <v>3.7</v>
      </c>
      <c r="N251" s="53">
        <f>IF(J251&lt;&gt;0,M251/J251,"")</f>
        <v>0.51388888888888895</v>
      </c>
      <c r="O251" s="23">
        <v>0</v>
      </c>
      <c r="P251" s="25">
        <v>0</v>
      </c>
      <c r="Q251" s="24">
        <v>0</v>
      </c>
      <c r="R251" s="24">
        <f>O251-Q251</f>
        <v>0</v>
      </c>
      <c r="S251" s="53" t="str">
        <f>IF(O251&lt;&gt;0,R251/O251,"")</f>
        <v/>
      </c>
      <c r="T251" s="10"/>
      <c r="U251" s="23">
        <v>0</v>
      </c>
      <c r="V251" s="25">
        <v>0</v>
      </c>
      <c r="W251" s="24">
        <v>0</v>
      </c>
      <c r="X251" s="24">
        <f>U251-W251</f>
        <v>0</v>
      </c>
      <c r="Y251" s="53" t="str">
        <f>IF(U251&lt;&gt;0,X251/U251,"")</f>
        <v/>
      </c>
      <c r="Z251" s="23">
        <v>0</v>
      </c>
      <c r="AA251" s="25">
        <v>0</v>
      </c>
      <c r="AB251" s="24">
        <v>0</v>
      </c>
      <c r="AC251" s="24">
        <f t="shared" si="62"/>
        <v>0</v>
      </c>
      <c r="AD251" s="53" t="str">
        <f t="shared" si="63"/>
        <v/>
      </c>
      <c r="AE251" s="10"/>
    </row>
    <row r="252" spans="1:31" ht="15.75" thickBot="1" x14ac:dyDescent="0.3">
      <c r="A252" s="14" t="s">
        <v>109</v>
      </c>
      <c r="C252" s="61" t="str">
        <f>C236</f>
        <v>C100021</v>
      </c>
      <c r="J252" s="10"/>
      <c r="K252" s="11"/>
      <c r="L252" s="11"/>
      <c r="M252" s="11"/>
      <c r="N252" s="12"/>
      <c r="O252" s="10"/>
      <c r="P252" s="11"/>
      <c r="Q252" s="11"/>
      <c r="R252" s="11"/>
      <c r="S252" s="12"/>
      <c r="U252" s="10"/>
      <c r="V252" s="11"/>
      <c r="W252" s="11"/>
      <c r="X252" s="11"/>
      <c r="Y252" s="12"/>
      <c r="Z252" s="10"/>
      <c r="AA252" s="11"/>
      <c r="AB252" s="11"/>
      <c r="AC252" s="11"/>
      <c r="AD252" s="12"/>
    </row>
    <row r="253" spans="1:31" ht="15.75" thickBot="1" x14ac:dyDescent="0.3">
      <c r="A253" s="14" t="s">
        <v>109</v>
      </c>
      <c r="C253" s="61" t="str">
        <f t="shared" si="58"/>
        <v>C100021</v>
      </c>
      <c r="G253" s="48" t="str">
        <f>C253&amp;" TOTAL:"</f>
        <v>C100021 TOTAL:</v>
      </c>
      <c r="H253" s="50"/>
      <c r="I253" s="50"/>
      <c r="J253" s="34">
        <f>SUBTOTAL(9,J235:J252)</f>
        <v>13568.200000000003</v>
      </c>
      <c r="K253" s="35">
        <f>SUBTOTAL(9,K235:K252)</f>
        <v>1277</v>
      </c>
      <c r="L253" s="36">
        <f>SUBTOTAL(9,L235:L252)</f>
        <v>7105.02</v>
      </c>
      <c r="M253" s="36">
        <f>J253-L253</f>
        <v>6463.1800000000021</v>
      </c>
      <c r="N253" s="37">
        <f>IF(J253&lt;&gt;0,M253/J253,"")</f>
        <v>0.47634763638507693</v>
      </c>
      <c r="O253" s="34">
        <f>SUBTOTAL(9,O235:O252)</f>
        <v>0</v>
      </c>
      <c r="P253" s="35">
        <f>SUBTOTAL(9,P235:P252)</f>
        <v>0</v>
      </c>
      <c r="Q253" s="36">
        <f>SUBTOTAL(9,Q235:Q252)</f>
        <v>0</v>
      </c>
      <c r="R253" s="36">
        <f>O253-Q253</f>
        <v>0</v>
      </c>
      <c r="S253" s="37" t="str">
        <f>IF(O253&lt;&gt;0,R253/O253,"")</f>
        <v/>
      </c>
      <c r="U253" s="34">
        <f>SUBTOTAL(9,U235:U252)</f>
        <v>0</v>
      </c>
      <c r="V253" s="35">
        <f>SUBTOTAL(9,V235:V252)</f>
        <v>0</v>
      </c>
      <c r="W253" s="36">
        <f>SUBTOTAL(9,W235:W252)</f>
        <v>0</v>
      </c>
      <c r="X253" s="36">
        <f>U253-W253</f>
        <v>0</v>
      </c>
      <c r="Y253" s="37" t="str">
        <f>IF(U253&lt;&gt;0,X253/U253,"")</f>
        <v/>
      </c>
      <c r="Z253" s="34">
        <f>SUBTOTAL(9,Z235:Z252)</f>
        <v>1394.04</v>
      </c>
      <c r="AA253" s="35">
        <f>SUBTOTAL(9,AA235:AA252)</f>
        <v>180</v>
      </c>
      <c r="AB253" s="36">
        <f>SUBTOTAL(9,AB235:AB252)</f>
        <v>736.79</v>
      </c>
      <c r="AC253" s="36">
        <f t="shared" ref="AC253" si="64">Z253-AB253</f>
        <v>657.25</v>
      </c>
      <c r="AD253" s="37">
        <f t="shared" ref="AD253" si="65">IF(Z253&lt;&gt;0,AC253/Z253,"")</f>
        <v>0.47147140684628852</v>
      </c>
    </row>
    <row r="254" spans="1:31" x14ac:dyDescent="0.25">
      <c r="A254" s="14" t="s">
        <v>109</v>
      </c>
      <c r="C254" s="66"/>
      <c r="J254" s="10"/>
      <c r="K254" s="11"/>
      <c r="L254" s="11"/>
      <c r="M254" s="11"/>
      <c r="N254" s="12"/>
      <c r="O254" s="10"/>
      <c r="P254" s="11"/>
      <c r="Q254" s="11"/>
      <c r="R254" s="11"/>
      <c r="S254" s="12"/>
      <c r="U254" s="10"/>
      <c r="V254" s="11"/>
      <c r="W254" s="11"/>
      <c r="X254" s="11"/>
      <c r="Y254" s="12"/>
      <c r="Z254" s="10"/>
      <c r="AA254" s="11"/>
      <c r="AB254" s="11"/>
      <c r="AC254" s="11"/>
      <c r="AD254" s="12"/>
    </row>
    <row r="255" spans="1:31" ht="15.75" x14ac:dyDescent="0.25">
      <c r="A255" s="14" t="s">
        <v>109</v>
      </c>
      <c r="C255" s="66" t="str">
        <f t="shared" ref="C255" si="66">E255</f>
        <v>C100023</v>
      </c>
      <c r="E255" s="13" t="str">
        <f>"C100023"</f>
        <v>C100023</v>
      </c>
      <c r="F255" s="13"/>
      <c r="G255" s="13" t="str">
        <f>"Deerfield Graphics Company"</f>
        <v>Deerfield Graphics Company</v>
      </c>
      <c r="H255" s="13"/>
      <c r="I255" s="13"/>
      <c r="J255" s="10"/>
      <c r="K255" s="11"/>
      <c r="L255" s="11"/>
      <c r="M255" s="11"/>
      <c r="N255" s="12"/>
      <c r="O255" s="10"/>
      <c r="P255" s="11"/>
      <c r="Q255" s="11"/>
      <c r="R255" s="11"/>
      <c r="S255" s="12"/>
      <c r="U255" s="10"/>
      <c r="V255" s="11"/>
      <c r="W255" s="11"/>
      <c r="X255" s="11"/>
      <c r="Y255" s="12"/>
      <c r="Z255" s="10"/>
      <c r="AA255" s="11"/>
      <c r="AB255" s="11"/>
      <c r="AC255" s="11"/>
      <c r="AD255" s="12"/>
    </row>
    <row r="256" spans="1:31" ht="6.6" customHeight="1" x14ac:dyDescent="0.25">
      <c r="A256" s="14" t="s">
        <v>109</v>
      </c>
      <c r="C256" s="61" t="str">
        <f t="shared" ref="C256:C271" si="67">C255</f>
        <v>C100023</v>
      </c>
      <c r="J256" s="10"/>
      <c r="K256" s="11"/>
      <c r="L256" s="11"/>
      <c r="M256" s="11"/>
      <c r="N256" s="12"/>
      <c r="O256" s="10"/>
      <c r="P256" s="11"/>
      <c r="Q256" s="11"/>
      <c r="R256" s="11"/>
      <c r="S256" s="12"/>
      <c r="U256" s="10"/>
      <c r="V256" s="11"/>
      <c r="W256" s="11"/>
      <c r="X256" s="11"/>
      <c r="Y256" s="12"/>
      <c r="Z256" s="10"/>
      <c r="AA256" s="11"/>
      <c r="AB256" s="11"/>
      <c r="AC256" s="11"/>
      <c r="AD256" s="12"/>
    </row>
    <row r="257" spans="1:31" x14ac:dyDescent="0.25">
      <c r="A257" s="14" t="s">
        <v>109</v>
      </c>
      <c r="C257" s="61" t="str">
        <f t="shared" si="67"/>
        <v>C100023</v>
      </c>
      <c r="F257" s="8" t="str">
        <f>"C100007"</f>
        <v>C100007</v>
      </c>
      <c r="G257" s="9" t="str">
        <f>"7.5'' Bud Vase"</f>
        <v>7.5'' Bud Vase</v>
      </c>
      <c r="H257" s="47"/>
      <c r="I257" s="47"/>
      <c r="J257" s="23">
        <v>1.67</v>
      </c>
      <c r="K257" s="25">
        <v>1</v>
      </c>
      <c r="L257" s="24">
        <v>1.02</v>
      </c>
      <c r="M257" s="24">
        <f>J257-L257</f>
        <v>0.64999999999999991</v>
      </c>
      <c r="N257" s="53">
        <f>IF(J257&lt;&gt;0,M257/J257,"")</f>
        <v>0.3892215568862275</v>
      </c>
      <c r="O257" s="23">
        <v>0</v>
      </c>
      <c r="P257" s="25">
        <v>0</v>
      </c>
      <c r="Q257" s="24">
        <v>0</v>
      </c>
      <c r="R257" s="24">
        <f>O257-Q257</f>
        <v>0</v>
      </c>
      <c r="S257" s="53" t="str">
        <f>IF(O257&lt;&gt;0,R257/O257,"")</f>
        <v/>
      </c>
      <c r="T257" s="10"/>
      <c r="U257" s="23">
        <v>0</v>
      </c>
      <c r="V257" s="25">
        <v>0</v>
      </c>
      <c r="W257" s="24">
        <v>0</v>
      </c>
      <c r="X257" s="24">
        <f>U257-W257</f>
        <v>0</v>
      </c>
      <c r="Y257" s="53" t="str">
        <f>IF(U257&lt;&gt;0,X257/U257,"")</f>
        <v/>
      </c>
      <c r="Z257" s="23">
        <v>0</v>
      </c>
      <c r="AA257" s="25">
        <v>0</v>
      </c>
      <c r="AB257" s="24">
        <v>0</v>
      </c>
      <c r="AC257" s="24">
        <f t="shared" ref="AC257" si="68">Z257-AB257</f>
        <v>0</v>
      </c>
      <c r="AD257" s="53" t="str">
        <f t="shared" ref="AD257" si="69">IF(Z257&lt;&gt;0,AC257/Z257,"")</f>
        <v/>
      </c>
      <c r="AE257" s="10"/>
    </row>
    <row r="258" spans="1:31" x14ac:dyDescent="0.25">
      <c r="A258" s="14" t="s">
        <v>109</v>
      </c>
      <c r="C258" s="61" t="str">
        <f t="shared" ref="C258:C269" si="70">C257</f>
        <v>C100023</v>
      </c>
      <c r="F258" s="8" t="str">
        <f>"C100009"</f>
        <v>C100009</v>
      </c>
      <c r="G258" s="9" t="str">
        <f>"Normandy Vase"</f>
        <v>Normandy Vase</v>
      </c>
      <c r="H258" s="47"/>
      <c r="I258" s="47"/>
      <c r="J258" s="23">
        <v>39.01</v>
      </c>
      <c r="K258" s="25">
        <v>1</v>
      </c>
      <c r="L258" s="24">
        <v>25.52</v>
      </c>
      <c r="M258" s="24">
        <f>J258-L258</f>
        <v>13.489999999999998</v>
      </c>
      <c r="N258" s="53">
        <f>IF(J258&lt;&gt;0,M258/J258,"")</f>
        <v>0.34580876698282487</v>
      </c>
      <c r="O258" s="23">
        <v>0</v>
      </c>
      <c r="P258" s="25">
        <v>0</v>
      </c>
      <c r="Q258" s="24">
        <v>0</v>
      </c>
      <c r="R258" s="24">
        <f>O258-Q258</f>
        <v>0</v>
      </c>
      <c r="S258" s="53" t="str">
        <f>IF(O258&lt;&gt;0,R258/O258,"")</f>
        <v/>
      </c>
      <c r="T258" s="10"/>
      <c r="U258" s="23">
        <v>0</v>
      </c>
      <c r="V258" s="25">
        <v>0</v>
      </c>
      <c r="W258" s="24">
        <v>0</v>
      </c>
      <c r="X258" s="24">
        <f>U258-W258</f>
        <v>0</v>
      </c>
      <c r="Y258" s="53" t="str">
        <f>IF(U258&lt;&gt;0,X258/U258,"")</f>
        <v/>
      </c>
      <c r="Z258" s="23">
        <v>936.32999999999993</v>
      </c>
      <c r="AA258" s="25">
        <v>24</v>
      </c>
      <c r="AB258" s="24">
        <v>612.48</v>
      </c>
      <c r="AC258" s="24">
        <f t="shared" ref="AC258:AC269" si="71">Z258-AB258</f>
        <v>323.84999999999991</v>
      </c>
      <c r="AD258" s="53">
        <f t="shared" ref="AD258:AD269" si="72">IF(Z258&lt;&gt;0,AC258/Z258,"")</f>
        <v>0.34587164781647489</v>
      </c>
      <c r="AE258" s="10"/>
    </row>
    <row r="259" spans="1:31" x14ac:dyDescent="0.25">
      <c r="A259" s="14" t="s">
        <v>109</v>
      </c>
      <c r="C259" s="61" t="str">
        <f t="shared" si="70"/>
        <v>C100023</v>
      </c>
      <c r="F259" s="8" t="str">
        <f>"C100031"</f>
        <v>C100031</v>
      </c>
      <c r="G259" s="9" t="str">
        <f>"Carabiner Watch"</f>
        <v>Carabiner Watch</v>
      </c>
      <c r="H259" s="47"/>
      <c r="I259" s="47"/>
      <c r="J259" s="23">
        <v>0</v>
      </c>
      <c r="K259" s="25">
        <v>0</v>
      </c>
      <c r="L259" s="24">
        <v>0</v>
      </c>
      <c r="M259" s="24">
        <f>J259-L259</f>
        <v>0</v>
      </c>
      <c r="N259" s="53" t="str">
        <f>IF(J259&lt;&gt;0,M259/J259,"")</f>
        <v/>
      </c>
      <c r="O259" s="23">
        <v>222.03</v>
      </c>
      <c r="P259" s="25">
        <v>12</v>
      </c>
      <c r="Q259" s="24">
        <v>102.96</v>
      </c>
      <c r="R259" s="24">
        <f>O259-Q259</f>
        <v>119.07000000000001</v>
      </c>
      <c r="S259" s="53">
        <f>IF(O259&lt;&gt;0,R259/O259,"")</f>
        <v>0.53627888123226597</v>
      </c>
      <c r="T259" s="10"/>
      <c r="U259" s="23">
        <v>0</v>
      </c>
      <c r="V259" s="25">
        <v>0</v>
      </c>
      <c r="W259" s="24">
        <v>0</v>
      </c>
      <c r="X259" s="24">
        <f>U259-W259</f>
        <v>0</v>
      </c>
      <c r="Y259" s="53" t="str">
        <f>IF(U259&lt;&gt;0,X259/U259,"")</f>
        <v/>
      </c>
      <c r="Z259" s="23">
        <v>2664.3500000000004</v>
      </c>
      <c r="AA259" s="25">
        <v>144</v>
      </c>
      <c r="AB259" s="24">
        <v>1235.52</v>
      </c>
      <c r="AC259" s="24">
        <f t="shared" si="71"/>
        <v>1428.8300000000004</v>
      </c>
      <c r="AD259" s="53">
        <f t="shared" si="72"/>
        <v>0.53627714076604061</v>
      </c>
      <c r="AE259" s="10"/>
    </row>
    <row r="260" spans="1:31" x14ac:dyDescent="0.25">
      <c r="A260" s="14" t="s">
        <v>109</v>
      </c>
      <c r="C260" s="61" t="str">
        <f t="shared" si="70"/>
        <v>C100023</v>
      </c>
      <c r="F260" s="8" t="str">
        <f>"C100035"</f>
        <v>C100035</v>
      </c>
      <c r="G260" s="9" t="str">
        <f>"Calculator &amp; World Time Clock"</f>
        <v>Calculator &amp; World Time Clock</v>
      </c>
      <c r="H260" s="47"/>
      <c r="I260" s="47"/>
      <c r="J260" s="23">
        <v>5.76</v>
      </c>
      <c r="K260" s="25">
        <v>2</v>
      </c>
      <c r="L260" s="24">
        <v>3.92</v>
      </c>
      <c r="M260" s="24">
        <f>J260-L260</f>
        <v>1.8399999999999999</v>
      </c>
      <c r="N260" s="53">
        <f>IF(J260&lt;&gt;0,M260/J260,"")</f>
        <v>0.31944444444444442</v>
      </c>
      <c r="O260" s="23">
        <v>0</v>
      </c>
      <c r="P260" s="25">
        <v>0</v>
      </c>
      <c r="Q260" s="24">
        <v>0</v>
      </c>
      <c r="R260" s="24">
        <f>O260-Q260</f>
        <v>0</v>
      </c>
      <c r="S260" s="53" t="str">
        <f>IF(O260&lt;&gt;0,R260/O260,"")</f>
        <v/>
      </c>
      <c r="T260" s="10"/>
      <c r="U260" s="23">
        <v>0</v>
      </c>
      <c r="V260" s="25">
        <v>0</v>
      </c>
      <c r="W260" s="24">
        <v>0</v>
      </c>
      <c r="X260" s="24">
        <f>U260-W260</f>
        <v>0</v>
      </c>
      <c r="Y260" s="53" t="str">
        <f>IF(U260&lt;&gt;0,X260/U260,"")</f>
        <v/>
      </c>
      <c r="Z260" s="23">
        <v>17.29</v>
      </c>
      <c r="AA260" s="25">
        <v>6</v>
      </c>
      <c r="AB260" s="24">
        <v>11.76</v>
      </c>
      <c r="AC260" s="24">
        <f t="shared" si="71"/>
        <v>5.5299999999999994</v>
      </c>
      <c r="AD260" s="53">
        <f t="shared" si="72"/>
        <v>0.31983805668016191</v>
      </c>
      <c r="AE260" s="10"/>
    </row>
    <row r="261" spans="1:31" x14ac:dyDescent="0.25">
      <c r="A261" s="14" t="s">
        <v>109</v>
      </c>
      <c r="C261" s="61" t="str">
        <f t="shared" si="70"/>
        <v>C100023</v>
      </c>
      <c r="F261" s="8" t="str">
        <f>"C100037"</f>
        <v>C100037</v>
      </c>
      <c r="G261" s="9" t="str">
        <f>"World Time Travel Alarm"</f>
        <v>World Time Travel Alarm</v>
      </c>
      <c r="H261" s="47"/>
      <c r="I261" s="47"/>
      <c r="J261" s="23">
        <v>0</v>
      </c>
      <c r="K261" s="25">
        <v>0</v>
      </c>
      <c r="L261" s="24">
        <v>0</v>
      </c>
      <c r="M261" s="24">
        <f>J261-L261</f>
        <v>0</v>
      </c>
      <c r="N261" s="53" t="str">
        <f>IF(J261&lt;&gt;0,M261/J261,"")</f>
        <v/>
      </c>
      <c r="O261" s="23">
        <v>8.84</v>
      </c>
      <c r="P261" s="25">
        <v>1</v>
      </c>
      <c r="Q261" s="24">
        <v>5.4</v>
      </c>
      <c r="R261" s="24">
        <f>O261-Q261</f>
        <v>3.4399999999999995</v>
      </c>
      <c r="S261" s="53">
        <f>IF(O261&lt;&gt;0,R261/O261,"")</f>
        <v>0.38914027149321262</v>
      </c>
      <c r="T261" s="10"/>
      <c r="U261" s="23">
        <v>0</v>
      </c>
      <c r="V261" s="25">
        <v>0</v>
      </c>
      <c r="W261" s="24">
        <v>0</v>
      </c>
      <c r="X261" s="24">
        <f>U261-W261</f>
        <v>0</v>
      </c>
      <c r="Y261" s="53" t="str">
        <f>IF(U261&lt;&gt;0,X261/U261,"")</f>
        <v/>
      </c>
      <c r="Z261" s="23">
        <v>0</v>
      </c>
      <c r="AA261" s="25">
        <v>0</v>
      </c>
      <c r="AB261" s="24">
        <v>0</v>
      </c>
      <c r="AC261" s="24">
        <f t="shared" si="71"/>
        <v>0</v>
      </c>
      <c r="AD261" s="53" t="str">
        <f t="shared" si="72"/>
        <v/>
      </c>
      <c r="AE261" s="10"/>
    </row>
    <row r="262" spans="1:31" x14ac:dyDescent="0.25">
      <c r="A262" s="14" t="s">
        <v>109</v>
      </c>
      <c r="C262" s="61" t="str">
        <f t="shared" si="70"/>
        <v>C100023</v>
      </c>
      <c r="F262" s="8" t="str">
        <f>"C100038"</f>
        <v>C100038</v>
      </c>
      <c r="G262" s="9" t="str">
        <f>"Foldable Travel Speakers"</f>
        <v>Foldable Travel Speakers</v>
      </c>
      <c r="H262" s="47"/>
      <c r="I262" s="47"/>
      <c r="J262" s="23">
        <v>0</v>
      </c>
      <c r="K262" s="25">
        <v>0</v>
      </c>
      <c r="L262" s="24">
        <v>0</v>
      </c>
      <c r="M262" s="24">
        <f>J262-L262</f>
        <v>0</v>
      </c>
      <c r="N262" s="53" t="str">
        <f>IF(J262&lt;&gt;0,M262/J262,"")</f>
        <v/>
      </c>
      <c r="O262" s="23">
        <v>4.72</v>
      </c>
      <c r="P262" s="25">
        <v>1</v>
      </c>
      <c r="Q262" s="24">
        <v>3.19</v>
      </c>
      <c r="R262" s="24">
        <f>O262-Q262</f>
        <v>1.5299999999999998</v>
      </c>
      <c r="S262" s="53">
        <f>IF(O262&lt;&gt;0,R262/O262,"")</f>
        <v>0.32415254237288132</v>
      </c>
      <c r="T262" s="10"/>
      <c r="U262" s="23">
        <v>0</v>
      </c>
      <c r="V262" s="25">
        <v>0</v>
      </c>
      <c r="W262" s="24">
        <v>0</v>
      </c>
      <c r="X262" s="24">
        <f>U262-W262</f>
        <v>0</v>
      </c>
      <c r="Y262" s="53" t="str">
        <f>IF(U262&lt;&gt;0,X262/U262,"")</f>
        <v/>
      </c>
      <c r="Z262" s="23">
        <v>0</v>
      </c>
      <c r="AA262" s="25">
        <v>0</v>
      </c>
      <c r="AB262" s="24">
        <v>0</v>
      </c>
      <c r="AC262" s="24">
        <f t="shared" si="71"/>
        <v>0</v>
      </c>
      <c r="AD262" s="53" t="str">
        <f t="shared" si="72"/>
        <v/>
      </c>
      <c r="AE262" s="10"/>
    </row>
    <row r="263" spans="1:31" x14ac:dyDescent="0.25">
      <c r="A263" s="14" t="s">
        <v>109</v>
      </c>
      <c r="C263" s="61" t="str">
        <f t="shared" si="70"/>
        <v>C100023</v>
      </c>
      <c r="F263" s="8" t="str">
        <f>"C100040"</f>
        <v>C100040</v>
      </c>
      <c r="G263" s="9" t="str">
        <f>"Channel Speaker System"</f>
        <v>Channel Speaker System</v>
      </c>
      <c r="H263" s="47"/>
      <c r="I263" s="47"/>
      <c r="J263" s="23">
        <v>1973.8000000000002</v>
      </c>
      <c r="K263" s="25">
        <v>48</v>
      </c>
      <c r="L263" s="24">
        <v>996.94999999999993</v>
      </c>
      <c r="M263" s="24">
        <f>J263-L263</f>
        <v>976.85000000000025</v>
      </c>
      <c r="N263" s="53">
        <f>IF(J263&lt;&gt;0,M263/J263,"")</f>
        <v>0.49490829871314224</v>
      </c>
      <c r="O263" s="23">
        <v>0</v>
      </c>
      <c r="P263" s="25">
        <v>0</v>
      </c>
      <c r="Q263" s="24">
        <v>0</v>
      </c>
      <c r="R263" s="24">
        <f>O263-Q263</f>
        <v>0</v>
      </c>
      <c r="S263" s="53" t="str">
        <f>IF(O263&lt;&gt;0,R263/O263,"")</f>
        <v/>
      </c>
      <c r="T263" s="10"/>
      <c r="U263" s="23">
        <v>0</v>
      </c>
      <c r="V263" s="25">
        <v>0</v>
      </c>
      <c r="W263" s="24">
        <v>0</v>
      </c>
      <c r="X263" s="24">
        <f>U263-W263</f>
        <v>0</v>
      </c>
      <c r="Y263" s="53" t="str">
        <f>IF(U263&lt;&gt;0,X263/U263,"")</f>
        <v/>
      </c>
      <c r="Z263" s="23">
        <v>493.45000000000005</v>
      </c>
      <c r="AA263" s="25">
        <v>12</v>
      </c>
      <c r="AB263" s="24">
        <v>249.24</v>
      </c>
      <c r="AC263" s="24">
        <f t="shared" si="71"/>
        <v>244.21000000000004</v>
      </c>
      <c r="AD263" s="53">
        <f t="shared" si="72"/>
        <v>0.49490323234370254</v>
      </c>
      <c r="AE263" s="10"/>
    </row>
    <row r="264" spans="1:31" x14ac:dyDescent="0.25">
      <c r="A264" s="14" t="s">
        <v>109</v>
      </c>
      <c r="C264" s="61" t="str">
        <f t="shared" si="70"/>
        <v>C100023</v>
      </c>
      <c r="F264" s="8" t="str">
        <f>"C100043"</f>
        <v>C100043</v>
      </c>
      <c r="G264" s="9" t="str">
        <f>"Pro-Travel Technology Set"</f>
        <v>Pro-Travel Technology Set</v>
      </c>
      <c r="H264" s="47"/>
      <c r="I264" s="47"/>
      <c r="J264" s="23">
        <v>384.55</v>
      </c>
      <c r="K264" s="25">
        <v>12</v>
      </c>
      <c r="L264" s="24">
        <v>180.01</v>
      </c>
      <c r="M264" s="24">
        <f>J264-L264</f>
        <v>204.54000000000002</v>
      </c>
      <c r="N264" s="53">
        <f>IF(J264&lt;&gt;0,M264/J264,"")</f>
        <v>0.53189442205174886</v>
      </c>
      <c r="O264" s="23">
        <v>4646.67</v>
      </c>
      <c r="P264" s="25">
        <v>145</v>
      </c>
      <c r="Q264" s="24">
        <v>2175.0699999999997</v>
      </c>
      <c r="R264" s="24">
        <f>O264-Q264</f>
        <v>2471.6000000000004</v>
      </c>
      <c r="S264" s="53">
        <f>IF(O264&lt;&gt;0,R264/O264,"")</f>
        <v>0.53190779633587071</v>
      </c>
      <c r="T264" s="10"/>
      <c r="U264" s="23">
        <v>0</v>
      </c>
      <c r="V264" s="25">
        <v>0</v>
      </c>
      <c r="W264" s="24">
        <v>0</v>
      </c>
      <c r="X264" s="24">
        <f>U264-W264</f>
        <v>0</v>
      </c>
      <c r="Y264" s="53" t="str">
        <f>IF(U264&lt;&gt;0,X264/U264,"")</f>
        <v/>
      </c>
      <c r="Z264" s="23">
        <v>384.55</v>
      </c>
      <c r="AA264" s="25">
        <v>12</v>
      </c>
      <c r="AB264" s="24">
        <v>180.01</v>
      </c>
      <c r="AC264" s="24">
        <f t="shared" si="71"/>
        <v>204.54000000000002</v>
      </c>
      <c r="AD264" s="53">
        <f t="shared" si="72"/>
        <v>0.53189442205174886</v>
      </c>
      <c r="AE264" s="10"/>
    </row>
    <row r="265" spans="1:31" x14ac:dyDescent="0.25">
      <c r="A265" s="14" t="s">
        <v>109</v>
      </c>
      <c r="C265" s="61" t="str">
        <f t="shared" si="70"/>
        <v>C100023</v>
      </c>
      <c r="F265" s="8" t="str">
        <f>"C100050"</f>
        <v>C100050</v>
      </c>
      <c r="G265" s="9" t="str">
        <f>"Clip-on MP3 Player"</f>
        <v>Clip-on MP3 Player</v>
      </c>
      <c r="H265" s="47"/>
      <c r="I265" s="47"/>
      <c r="J265" s="23">
        <v>441.94000000000005</v>
      </c>
      <c r="K265" s="25">
        <v>24</v>
      </c>
      <c r="L265" s="24">
        <v>205.90999999999997</v>
      </c>
      <c r="M265" s="24">
        <f>J265-L265</f>
        <v>236.03000000000009</v>
      </c>
      <c r="N265" s="53">
        <f>IF(J265&lt;&gt;0,M265/J265,"")</f>
        <v>0.53407702403041146</v>
      </c>
      <c r="O265" s="23">
        <v>0</v>
      </c>
      <c r="P265" s="25">
        <v>0</v>
      </c>
      <c r="Q265" s="24">
        <v>0</v>
      </c>
      <c r="R265" s="24">
        <f>O265-Q265</f>
        <v>0</v>
      </c>
      <c r="S265" s="53" t="str">
        <f>IF(O265&lt;&gt;0,R265/O265,"")</f>
        <v/>
      </c>
      <c r="T265" s="10"/>
      <c r="U265" s="23">
        <v>0</v>
      </c>
      <c r="V265" s="25">
        <v>0</v>
      </c>
      <c r="W265" s="24">
        <v>0</v>
      </c>
      <c r="X265" s="24">
        <f>U265-W265</f>
        <v>0</v>
      </c>
      <c r="Y265" s="53" t="str">
        <f>IF(U265&lt;&gt;0,X265/U265,"")</f>
        <v/>
      </c>
      <c r="Z265" s="23">
        <v>0</v>
      </c>
      <c r="AA265" s="25">
        <v>0</v>
      </c>
      <c r="AB265" s="24">
        <v>0</v>
      </c>
      <c r="AC265" s="24">
        <f t="shared" si="71"/>
        <v>0</v>
      </c>
      <c r="AD265" s="53" t="str">
        <f t="shared" si="72"/>
        <v/>
      </c>
      <c r="AE265" s="10"/>
    </row>
    <row r="266" spans="1:31" x14ac:dyDescent="0.25">
      <c r="A266" s="14" t="s">
        <v>109</v>
      </c>
      <c r="C266" s="61" t="str">
        <f t="shared" si="70"/>
        <v>C100023</v>
      </c>
      <c r="F266" s="8" t="str">
        <f>"C100051"</f>
        <v>C100051</v>
      </c>
      <c r="G266" s="9" t="str">
        <f>"Bamboo Digital Picutre Frame"</f>
        <v>Bamboo Digital Picutre Frame</v>
      </c>
      <c r="H266" s="47"/>
      <c r="I266" s="47"/>
      <c r="J266" s="23">
        <v>2367.9899999999998</v>
      </c>
      <c r="K266" s="25">
        <v>48</v>
      </c>
      <c r="L266" s="24">
        <v>1167.3800000000001</v>
      </c>
      <c r="M266" s="24">
        <f>J266-L266</f>
        <v>1200.6099999999997</v>
      </c>
      <c r="N266" s="53">
        <f>IF(J266&lt;&gt;0,M266/J266,"")</f>
        <v>0.50701649922508107</v>
      </c>
      <c r="O266" s="23">
        <v>49.33</v>
      </c>
      <c r="P266" s="25">
        <v>1</v>
      </c>
      <c r="Q266" s="24">
        <v>24.32</v>
      </c>
      <c r="R266" s="24">
        <f>O266-Q266</f>
        <v>25.009999999999998</v>
      </c>
      <c r="S266" s="53">
        <f>IF(O266&lt;&gt;0,R266/O266,"")</f>
        <v>0.50699371579160757</v>
      </c>
      <c r="T266" s="10"/>
      <c r="U266" s="23">
        <v>0</v>
      </c>
      <c r="V266" s="25">
        <v>0</v>
      </c>
      <c r="W266" s="24">
        <v>0</v>
      </c>
      <c r="X266" s="24">
        <f>U266-W266</f>
        <v>0</v>
      </c>
      <c r="Y266" s="53" t="str">
        <f>IF(U266&lt;&gt;0,X266/U266,"")</f>
        <v/>
      </c>
      <c r="Z266" s="23">
        <v>0</v>
      </c>
      <c r="AA266" s="25">
        <v>0</v>
      </c>
      <c r="AB266" s="24">
        <v>0</v>
      </c>
      <c r="AC266" s="24">
        <f t="shared" si="71"/>
        <v>0</v>
      </c>
      <c r="AD266" s="53" t="str">
        <f t="shared" si="72"/>
        <v/>
      </c>
      <c r="AE266" s="10"/>
    </row>
    <row r="267" spans="1:31" x14ac:dyDescent="0.25">
      <c r="A267" s="14" t="s">
        <v>109</v>
      </c>
      <c r="C267" s="61" t="str">
        <f t="shared" si="70"/>
        <v>C100023</v>
      </c>
      <c r="F267" s="8" t="str">
        <f>"C100055"</f>
        <v>C100055</v>
      </c>
      <c r="G267" s="9" t="str">
        <f>"Silver Plated Photo Frame"</f>
        <v>Silver Plated Photo Frame</v>
      </c>
      <c r="H267" s="47"/>
      <c r="I267" s="47"/>
      <c r="J267" s="23">
        <v>0</v>
      </c>
      <c r="K267" s="25">
        <v>0</v>
      </c>
      <c r="L267" s="24">
        <v>0</v>
      </c>
      <c r="M267" s="24">
        <f>J267-L267</f>
        <v>0</v>
      </c>
      <c r="N267" s="53" t="str">
        <f>IF(J267&lt;&gt;0,M267/J267,"")</f>
        <v/>
      </c>
      <c r="O267" s="23">
        <v>1028.6300000000001</v>
      </c>
      <c r="P267" s="25">
        <v>26</v>
      </c>
      <c r="Q267" s="24">
        <v>538.21999999999991</v>
      </c>
      <c r="R267" s="24">
        <f>O267-Q267</f>
        <v>490.4100000000002</v>
      </c>
      <c r="S267" s="53">
        <f>IF(O267&lt;&gt;0,R267/O267,"")</f>
        <v>0.47676035114667098</v>
      </c>
      <c r="T267" s="10"/>
      <c r="U267" s="23">
        <v>0</v>
      </c>
      <c r="V267" s="25">
        <v>0</v>
      </c>
      <c r="W267" s="24">
        <v>0</v>
      </c>
      <c r="X267" s="24">
        <f>U267-W267</f>
        <v>0</v>
      </c>
      <c r="Y267" s="53" t="str">
        <f>IF(U267&lt;&gt;0,X267/U267,"")</f>
        <v/>
      </c>
      <c r="Z267" s="23">
        <v>0</v>
      </c>
      <c r="AA267" s="25">
        <v>0</v>
      </c>
      <c r="AB267" s="24">
        <v>0</v>
      </c>
      <c r="AC267" s="24">
        <f t="shared" si="71"/>
        <v>0</v>
      </c>
      <c r="AD267" s="53" t="str">
        <f t="shared" si="72"/>
        <v/>
      </c>
      <c r="AE267" s="10"/>
    </row>
    <row r="268" spans="1:31" x14ac:dyDescent="0.25">
      <c r="A268" s="14" t="s">
        <v>109</v>
      </c>
      <c r="C268" s="61" t="str">
        <f t="shared" si="70"/>
        <v>C100023</v>
      </c>
      <c r="F268" s="8" t="str">
        <f>"E100018"</f>
        <v>E100018</v>
      </c>
      <c r="G268" s="9" t="str">
        <f>"Flexi-Clock &amp; Clip"</f>
        <v>Flexi-Clock &amp; Clip</v>
      </c>
      <c r="H268" s="47"/>
      <c r="I268" s="47"/>
      <c r="J268" s="23">
        <v>1.1100000000000001</v>
      </c>
      <c r="K268" s="25">
        <v>1</v>
      </c>
      <c r="L268" s="24">
        <v>0.6</v>
      </c>
      <c r="M268" s="24">
        <f>J268-L268</f>
        <v>0.51000000000000012</v>
      </c>
      <c r="N268" s="53">
        <f>IF(J268&lt;&gt;0,M268/J268,"")</f>
        <v>0.45945945945945954</v>
      </c>
      <c r="O268" s="23">
        <v>0</v>
      </c>
      <c r="P268" s="25">
        <v>0</v>
      </c>
      <c r="Q268" s="24">
        <v>0</v>
      </c>
      <c r="R268" s="24">
        <f>O268-Q268</f>
        <v>0</v>
      </c>
      <c r="S268" s="53" t="str">
        <f>IF(O268&lt;&gt;0,R268/O268,"")</f>
        <v/>
      </c>
      <c r="T268" s="10"/>
      <c r="U268" s="23">
        <v>0</v>
      </c>
      <c r="V268" s="25">
        <v>0</v>
      </c>
      <c r="W268" s="24">
        <v>0</v>
      </c>
      <c r="X268" s="24">
        <f>U268-W268</f>
        <v>0</v>
      </c>
      <c r="Y268" s="53" t="str">
        <f>IF(U268&lt;&gt;0,X268/U268,"")</f>
        <v/>
      </c>
      <c r="Z268" s="23">
        <v>0</v>
      </c>
      <c r="AA268" s="25">
        <v>0</v>
      </c>
      <c r="AB268" s="24">
        <v>0</v>
      </c>
      <c r="AC268" s="24">
        <f t="shared" si="71"/>
        <v>0</v>
      </c>
      <c r="AD268" s="53" t="str">
        <f t="shared" si="72"/>
        <v/>
      </c>
      <c r="AE268" s="10"/>
    </row>
    <row r="269" spans="1:31" x14ac:dyDescent="0.25">
      <c r="A269" s="14" t="s">
        <v>109</v>
      </c>
      <c r="C269" s="61" t="str">
        <f t="shared" si="70"/>
        <v>C100023</v>
      </c>
      <c r="F269" s="8" t="str">
        <f>"E100022"</f>
        <v>E100022</v>
      </c>
      <c r="G269" s="9" t="str">
        <f>"Wide Screen Alarm Clock"</f>
        <v>Wide Screen Alarm Clock</v>
      </c>
      <c r="H269" s="47"/>
      <c r="I269" s="47"/>
      <c r="J269" s="23">
        <v>274.25</v>
      </c>
      <c r="K269" s="25">
        <v>145</v>
      </c>
      <c r="L269" s="24">
        <v>185.59</v>
      </c>
      <c r="M269" s="24">
        <f>J269-L269</f>
        <v>88.66</v>
      </c>
      <c r="N269" s="53">
        <f>IF(J269&lt;&gt;0,M269/J269,"")</f>
        <v>0.32328167730173196</v>
      </c>
      <c r="O269" s="23">
        <v>1.89</v>
      </c>
      <c r="P269" s="25">
        <v>1</v>
      </c>
      <c r="Q269" s="24">
        <v>1.28</v>
      </c>
      <c r="R269" s="24">
        <f>O269-Q269</f>
        <v>0.60999999999999988</v>
      </c>
      <c r="S269" s="53">
        <f>IF(O269&lt;&gt;0,R269/O269,"")</f>
        <v>0.32275132275132268</v>
      </c>
      <c r="T269" s="10"/>
      <c r="U269" s="23">
        <v>0</v>
      </c>
      <c r="V269" s="25">
        <v>0</v>
      </c>
      <c r="W269" s="24">
        <v>0</v>
      </c>
      <c r="X269" s="24">
        <f>U269-W269</f>
        <v>0</v>
      </c>
      <c r="Y269" s="53" t="str">
        <f>IF(U269&lt;&gt;0,X269/U269,"")</f>
        <v/>
      </c>
      <c r="Z269" s="23">
        <v>0</v>
      </c>
      <c r="AA269" s="25">
        <v>0</v>
      </c>
      <c r="AB269" s="24">
        <v>0</v>
      </c>
      <c r="AC269" s="24">
        <f t="shared" si="71"/>
        <v>0</v>
      </c>
      <c r="AD269" s="53" t="str">
        <f t="shared" si="72"/>
        <v/>
      </c>
      <c r="AE269" s="10"/>
    </row>
    <row r="270" spans="1:31" ht="15.75" thickBot="1" x14ac:dyDescent="0.3">
      <c r="A270" s="14" t="s">
        <v>109</v>
      </c>
      <c r="C270" s="61" t="str">
        <f>C257</f>
        <v>C100023</v>
      </c>
      <c r="J270" s="10"/>
      <c r="K270" s="11"/>
      <c r="L270" s="11"/>
      <c r="M270" s="11"/>
      <c r="N270" s="12"/>
      <c r="O270" s="10"/>
      <c r="P270" s="11"/>
      <c r="Q270" s="11"/>
      <c r="R270" s="11"/>
      <c r="S270" s="12"/>
      <c r="U270" s="10"/>
      <c r="V270" s="11"/>
      <c r="W270" s="11"/>
      <c r="X270" s="11"/>
      <c r="Y270" s="12"/>
      <c r="Z270" s="10"/>
      <c r="AA270" s="11"/>
      <c r="AB270" s="11"/>
      <c r="AC270" s="11"/>
      <c r="AD270" s="12"/>
    </row>
    <row r="271" spans="1:31" ht="15.75" thickBot="1" x14ac:dyDescent="0.3">
      <c r="A271" s="14" t="s">
        <v>109</v>
      </c>
      <c r="C271" s="61" t="str">
        <f t="shared" si="67"/>
        <v>C100023</v>
      </c>
      <c r="G271" s="48" t="str">
        <f>C271&amp;" TOTAL:"</f>
        <v>C100023 TOTAL:</v>
      </c>
      <c r="H271" s="50"/>
      <c r="I271" s="50"/>
      <c r="J271" s="34">
        <f>SUBTOTAL(9,J256:J270)</f>
        <v>5490.08</v>
      </c>
      <c r="K271" s="35">
        <f>SUBTOTAL(9,K256:K270)</f>
        <v>282</v>
      </c>
      <c r="L271" s="36">
        <f>SUBTOTAL(9,L256:L270)</f>
        <v>2766.9</v>
      </c>
      <c r="M271" s="36">
        <f>J271-L271</f>
        <v>2723.18</v>
      </c>
      <c r="N271" s="37">
        <f>IF(J271&lt;&gt;0,M271/J271,"")</f>
        <v>0.49601827295777107</v>
      </c>
      <c r="O271" s="34">
        <f>SUBTOTAL(9,O256:O270)</f>
        <v>5962.1100000000006</v>
      </c>
      <c r="P271" s="35">
        <f>SUBTOTAL(9,P256:P270)</f>
        <v>187</v>
      </c>
      <c r="Q271" s="36">
        <f>SUBTOTAL(9,Q256:Q270)</f>
        <v>2850.44</v>
      </c>
      <c r="R271" s="36">
        <f>O271-Q271</f>
        <v>3111.6700000000005</v>
      </c>
      <c r="S271" s="37">
        <f>IF(O271&lt;&gt;0,R271/O271,"")</f>
        <v>0.5219075126087912</v>
      </c>
      <c r="U271" s="34">
        <f>SUBTOTAL(9,U256:U270)</f>
        <v>0</v>
      </c>
      <c r="V271" s="35">
        <f>SUBTOTAL(9,V256:V270)</f>
        <v>0</v>
      </c>
      <c r="W271" s="36">
        <f>SUBTOTAL(9,W256:W270)</f>
        <v>0</v>
      </c>
      <c r="X271" s="36">
        <f>U271-W271</f>
        <v>0</v>
      </c>
      <c r="Y271" s="37" t="str">
        <f>IF(U271&lt;&gt;0,X271/U271,"")</f>
        <v/>
      </c>
      <c r="Z271" s="34">
        <f>SUBTOTAL(9,Z256:Z270)</f>
        <v>4495.97</v>
      </c>
      <c r="AA271" s="35">
        <f>SUBTOTAL(9,AA256:AA270)</f>
        <v>198</v>
      </c>
      <c r="AB271" s="36">
        <f>SUBTOTAL(9,AB256:AB270)</f>
        <v>2289.0100000000002</v>
      </c>
      <c r="AC271" s="36">
        <f t="shared" ref="AC271" si="73">Z271-AB271</f>
        <v>2206.96</v>
      </c>
      <c r="AD271" s="37">
        <f t="shared" ref="AD271" si="74">IF(Z271&lt;&gt;0,AC271/Z271,"")</f>
        <v>0.49087516153355115</v>
      </c>
    </row>
    <row r="272" spans="1:31" x14ac:dyDescent="0.25">
      <c r="A272" s="14" t="s">
        <v>109</v>
      </c>
      <c r="C272" s="66"/>
      <c r="J272" s="10"/>
      <c r="K272" s="11"/>
      <c r="L272" s="11"/>
      <c r="M272" s="11"/>
      <c r="N272" s="12"/>
      <c r="O272" s="10"/>
      <c r="P272" s="11"/>
      <c r="Q272" s="11"/>
      <c r="R272" s="11"/>
      <c r="S272" s="12"/>
      <c r="U272" s="10"/>
      <c r="V272" s="11"/>
      <c r="W272" s="11"/>
      <c r="X272" s="11"/>
      <c r="Y272" s="12"/>
      <c r="Z272" s="10"/>
      <c r="AA272" s="11"/>
      <c r="AB272" s="11"/>
      <c r="AC272" s="11"/>
      <c r="AD272" s="12"/>
    </row>
    <row r="273" spans="1:31" ht="15.75" x14ac:dyDescent="0.25">
      <c r="A273" s="14" t="s">
        <v>109</v>
      </c>
      <c r="C273" s="66" t="str">
        <f t="shared" ref="C273" si="75">E273</f>
        <v>C100025</v>
      </c>
      <c r="E273" s="13" t="str">
        <f>"C100025"</f>
        <v>C100025</v>
      </c>
      <c r="F273" s="13"/>
      <c r="G273" s="13" t="str">
        <f>"Derringers Resturants"</f>
        <v>Derringers Resturants</v>
      </c>
      <c r="H273" s="13"/>
      <c r="I273" s="13"/>
      <c r="J273" s="10"/>
      <c r="K273" s="11"/>
      <c r="L273" s="11"/>
      <c r="M273" s="11"/>
      <c r="N273" s="12"/>
      <c r="O273" s="10"/>
      <c r="P273" s="11"/>
      <c r="Q273" s="11"/>
      <c r="R273" s="11"/>
      <c r="S273" s="12"/>
      <c r="U273" s="10"/>
      <c r="V273" s="11"/>
      <c r="W273" s="11"/>
      <c r="X273" s="11"/>
      <c r="Y273" s="12"/>
      <c r="Z273" s="10"/>
      <c r="AA273" s="11"/>
      <c r="AB273" s="11"/>
      <c r="AC273" s="11"/>
      <c r="AD273" s="12"/>
    </row>
    <row r="274" spans="1:31" ht="6.6" customHeight="1" x14ac:dyDescent="0.25">
      <c r="A274" s="14" t="s">
        <v>109</v>
      </c>
      <c r="C274" s="61" t="str">
        <f t="shared" ref="C274:C293" si="76">C273</f>
        <v>C100025</v>
      </c>
      <c r="J274" s="10"/>
      <c r="K274" s="11"/>
      <c r="L274" s="11"/>
      <c r="M274" s="11"/>
      <c r="N274" s="12"/>
      <c r="O274" s="10"/>
      <c r="P274" s="11"/>
      <c r="Q274" s="11"/>
      <c r="R274" s="11"/>
      <c r="S274" s="12"/>
      <c r="U274" s="10"/>
      <c r="V274" s="11"/>
      <c r="W274" s="11"/>
      <c r="X274" s="11"/>
      <c r="Y274" s="12"/>
      <c r="Z274" s="10"/>
      <c r="AA274" s="11"/>
      <c r="AB274" s="11"/>
      <c r="AC274" s="11"/>
      <c r="AD274" s="12"/>
    </row>
    <row r="275" spans="1:31" x14ac:dyDescent="0.25">
      <c r="A275" s="14" t="s">
        <v>109</v>
      </c>
      <c r="C275" s="61" t="str">
        <f t="shared" si="76"/>
        <v>C100025</v>
      </c>
      <c r="F275" s="8" t="str">
        <f>"C100005"</f>
        <v>C100005</v>
      </c>
      <c r="G275" s="9" t="str">
        <f>"Cherry Finished Crystal Award"</f>
        <v>Cherry Finished Crystal Award</v>
      </c>
      <c r="H275" s="47"/>
      <c r="I275" s="47"/>
      <c r="J275" s="23">
        <v>6072.3899999999994</v>
      </c>
      <c r="K275" s="25">
        <v>48</v>
      </c>
      <c r="L275" s="24">
        <v>3404.64</v>
      </c>
      <c r="M275" s="24">
        <f>J275-L275</f>
        <v>2667.7499999999995</v>
      </c>
      <c r="N275" s="53">
        <f>IF(J275&lt;&gt;0,M275/J275,"")</f>
        <v>0.43932454931254411</v>
      </c>
      <c r="O275" s="23">
        <v>0</v>
      </c>
      <c r="P275" s="25">
        <v>0</v>
      </c>
      <c r="Q275" s="24">
        <v>0</v>
      </c>
      <c r="R275" s="24">
        <f>O275-Q275</f>
        <v>0</v>
      </c>
      <c r="S275" s="53" t="str">
        <f>IF(O275&lt;&gt;0,R275/O275,"")</f>
        <v/>
      </c>
      <c r="T275" s="10"/>
      <c r="U275" s="23">
        <v>0</v>
      </c>
      <c r="V275" s="25">
        <v>0</v>
      </c>
      <c r="W275" s="24">
        <v>0</v>
      </c>
      <c r="X275" s="24">
        <f>U275-W275</f>
        <v>0</v>
      </c>
      <c r="Y275" s="53" t="str">
        <f>IF(U275&lt;&gt;0,X275/U275,"")</f>
        <v/>
      </c>
      <c r="Z275" s="23">
        <v>0</v>
      </c>
      <c r="AA275" s="25">
        <v>0</v>
      </c>
      <c r="AB275" s="24">
        <v>0</v>
      </c>
      <c r="AC275" s="24">
        <f t="shared" ref="AC275" si="77">Z275-AB275</f>
        <v>0</v>
      </c>
      <c r="AD275" s="53" t="str">
        <f t="shared" ref="AD275" si="78">IF(Z275&lt;&gt;0,AC275/Z275,"")</f>
        <v/>
      </c>
      <c r="AE275" s="10"/>
    </row>
    <row r="276" spans="1:31" x14ac:dyDescent="0.25">
      <c r="A276" s="14" t="s">
        <v>109</v>
      </c>
      <c r="C276" s="61" t="str">
        <f t="shared" ref="C276:C291" si="79">C275</f>
        <v>C100025</v>
      </c>
      <c r="F276" s="8" t="str">
        <f>"C100020"</f>
        <v>C100020</v>
      </c>
      <c r="G276" s="9" t="str">
        <f>"Gym Locker Bag"</f>
        <v>Gym Locker Bag</v>
      </c>
      <c r="H276" s="47"/>
      <c r="I276" s="47"/>
      <c r="J276" s="23">
        <v>604.97</v>
      </c>
      <c r="K276" s="25">
        <v>48</v>
      </c>
      <c r="L276" s="24">
        <v>371.52</v>
      </c>
      <c r="M276" s="24">
        <f>J276-L276</f>
        <v>233.45000000000005</v>
      </c>
      <c r="N276" s="53">
        <f>IF(J276&lt;&gt;0,M276/J276,"")</f>
        <v>0.3858869034828174</v>
      </c>
      <c r="O276" s="23">
        <v>0</v>
      </c>
      <c r="P276" s="25">
        <v>0</v>
      </c>
      <c r="Q276" s="24">
        <v>0</v>
      </c>
      <c r="R276" s="24">
        <f>O276-Q276</f>
        <v>0</v>
      </c>
      <c r="S276" s="53" t="str">
        <f>IF(O276&lt;&gt;0,R276/O276,"")</f>
        <v/>
      </c>
      <c r="T276" s="10"/>
      <c r="U276" s="23">
        <v>0</v>
      </c>
      <c r="V276" s="25">
        <v>0</v>
      </c>
      <c r="W276" s="24">
        <v>0</v>
      </c>
      <c r="X276" s="24">
        <f>U276-W276</f>
        <v>0</v>
      </c>
      <c r="Y276" s="53" t="str">
        <f>IF(U276&lt;&gt;0,X276/U276,"")</f>
        <v/>
      </c>
      <c r="Z276" s="23">
        <v>0</v>
      </c>
      <c r="AA276" s="25">
        <v>0</v>
      </c>
      <c r="AB276" s="24">
        <v>0</v>
      </c>
      <c r="AC276" s="24">
        <f t="shared" ref="AC276:AC291" si="80">Z276-AB276</f>
        <v>0</v>
      </c>
      <c r="AD276" s="53" t="str">
        <f t="shared" ref="AD276:AD291" si="81">IF(Z276&lt;&gt;0,AC276/Z276,"")</f>
        <v/>
      </c>
      <c r="AE276" s="10"/>
    </row>
    <row r="277" spans="1:31" x14ac:dyDescent="0.25">
      <c r="A277" s="14" t="s">
        <v>109</v>
      </c>
      <c r="C277" s="61" t="str">
        <f t="shared" si="79"/>
        <v>C100025</v>
      </c>
      <c r="F277" s="8" t="str">
        <f>"C100021"</f>
        <v>C100021</v>
      </c>
      <c r="G277" s="9" t="str">
        <f>"Canvas Boat Bag"</f>
        <v>Canvas Boat Bag</v>
      </c>
      <c r="H277" s="47"/>
      <c r="I277" s="47"/>
      <c r="J277" s="23">
        <v>225.39</v>
      </c>
      <c r="K277" s="25">
        <v>24</v>
      </c>
      <c r="L277" s="24">
        <v>165.12</v>
      </c>
      <c r="M277" s="24">
        <f>J277-L277</f>
        <v>60.269999999999982</v>
      </c>
      <c r="N277" s="53">
        <f>IF(J277&lt;&gt;0,M277/J277,"")</f>
        <v>0.26740316784240642</v>
      </c>
      <c r="O277" s="23">
        <v>0</v>
      </c>
      <c r="P277" s="25">
        <v>0</v>
      </c>
      <c r="Q277" s="24">
        <v>0</v>
      </c>
      <c r="R277" s="24">
        <f>O277-Q277</f>
        <v>0</v>
      </c>
      <c r="S277" s="53" t="str">
        <f>IF(O277&lt;&gt;0,R277/O277,"")</f>
        <v/>
      </c>
      <c r="T277" s="10"/>
      <c r="U277" s="23">
        <v>0</v>
      </c>
      <c r="V277" s="25">
        <v>0</v>
      </c>
      <c r="W277" s="24">
        <v>0</v>
      </c>
      <c r="X277" s="24">
        <f>U277-W277</f>
        <v>0</v>
      </c>
      <c r="Y277" s="53" t="str">
        <f>IF(U277&lt;&gt;0,X277/U277,"")</f>
        <v/>
      </c>
      <c r="Z277" s="23">
        <v>1862.55</v>
      </c>
      <c r="AA277" s="25">
        <v>192</v>
      </c>
      <c r="AB277" s="24">
        <v>1320.95</v>
      </c>
      <c r="AC277" s="24">
        <f t="shared" si="80"/>
        <v>541.59999999999991</v>
      </c>
      <c r="AD277" s="53">
        <f t="shared" si="81"/>
        <v>0.29078414002308661</v>
      </c>
      <c r="AE277" s="10"/>
    </row>
    <row r="278" spans="1:31" x14ac:dyDescent="0.25">
      <c r="A278" s="14" t="s">
        <v>109</v>
      </c>
      <c r="C278" s="61" t="str">
        <f t="shared" si="79"/>
        <v>C100025</v>
      </c>
      <c r="F278" s="8" t="str">
        <f>"C100022"</f>
        <v>C100022</v>
      </c>
      <c r="G278" s="9" t="str">
        <f>"Two-Toned Cap"</f>
        <v>Two-Toned Cap</v>
      </c>
      <c r="H278" s="47"/>
      <c r="I278" s="47"/>
      <c r="J278" s="23">
        <v>419.33</v>
      </c>
      <c r="K278" s="25">
        <v>144</v>
      </c>
      <c r="L278" s="24">
        <v>231.82999999999998</v>
      </c>
      <c r="M278" s="24">
        <f>J278-L278</f>
        <v>187.5</v>
      </c>
      <c r="N278" s="53">
        <f>IF(J278&lt;&gt;0,M278/J278,"")</f>
        <v>0.44714186917225102</v>
      </c>
      <c r="O278" s="23">
        <v>0</v>
      </c>
      <c r="P278" s="25">
        <v>0</v>
      </c>
      <c r="Q278" s="24">
        <v>0</v>
      </c>
      <c r="R278" s="24">
        <f>O278-Q278</f>
        <v>0</v>
      </c>
      <c r="S278" s="53" t="str">
        <f>IF(O278&lt;&gt;0,R278/O278,"")</f>
        <v/>
      </c>
      <c r="T278" s="10"/>
      <c r="U278" s="23">
        <v>0</v>
      </c>
      <c r="V278" s="25">
        <v>0</v>
      </c>
      <c r="W278" s="24">
        <v>0</v>
      </c>
      <c r="X278" s="24">
        <f>U278-W278</f>
        <v>0</v>
      </c>
      <c r="Y278" s="53" t="str">
        <f>IF(U278&lt;&gt;0,X278/U278,"")</f>
        <v/>
      </c>
      <c r="Z278" s="23">
        <v>0</v>
      </c>
      <c r="AA278" s="25">
        <v>0</v>
      </c>
      <c r="AB278" s="24">
        <v>0</v>
      </c>
      <c r="AC278" s="24">
        <f t="shared" si="80"/>
        <v>0</v>
      </c>
      <c r="AD278" s="53" t="str">
        <f t="shared" si="81"/>
        <v/>
      </c>
      <c r="AE278" s="10"/>
    </row>
    <row r="279" spans="1:31" x14ac:dyDescent="0.25">
      <c r="A279" s="14" t="s">
        <v>109</v>
      </c>
      <c r="C279" s="61" t="str">
        <f t="shared" si="79"/>
        <v>C100025</v>
      </c>
      <c r="F279" s="8" t="str">
        <f>"C100026"</f>
        <v>C100026</v>
      </c>
      <c r="G279" s="9" t="str">
        <f>"Fleece Beanie"</f>
        <v>Fleece Beanie</v>
      </c>
      <c r="H279" s="47"/>
      <c r="I279" s="47"/>
      <c r="J279" s="23">
        <v>17.04</v>
      </c>
      <c r="K279" s="25">
        <v>6</v>
      </c>
      <c r="L279" s="24">
        <v>12</v>
      </c>
      <c r="M279" s="24">
        <f>J279-L279</f>
        <v>5.0399999999999991</v>
      </c>
      <c r="N279" s="53">
        <f>IF(J279&lt;&gt;0,M279/J279,"")</f>
        <v>0.29577464788732388</v>
      </c>
      <c r="O279" s="23">
        <v>-3.06</v>
      </c>
      <c r="P279" s="25">
        <v>-1</v>
      </c>
      <c r="Q279" s="24">
        <v>-2</v>
      </c>
      <c r="R279" s="24">
        <f>O279-Q279</f>
        <v>-1.06</v>
      </c>
      <c r="S279" s="53">
        <f>IF(O279&lt;&gt;0,R279/O279,"")</f>
        <v>0.34640522875816993</v>
      </c>
      <c r="T279" s="10"/>
      <c r="U279" s="23">
        <v>0</v>
      </c>
      <c r="V279" s="25">
        <v>0</v>
      </c>
      <c r="W279" s="24">
        <v>0</v>
      </c>
      <c r="X279" s="24">
        <f>U279-W279</f>
        <v>0</v>
      </c>
      <c r="Y279" s="53" t="str">
        <f>IF(U279&lt;&gt;0,X279/U279,"")</f>
        <v/>
      </c>
      <c r="Z279" s="23">
        <v>0</v>
      </c>
      <c r="AA279" s="25">
        <v>0</v>
      </c>
      <c r="AB279" s="24">
        <v>0</v>
      </c>
      <c r="AC279" s="24">
        <f t="shared" si="80"/>
        <v>0</v>
      </c>
      <c r="AD279" s="53" t="str">
        <f t="shared" si="81"/>
        <v/>
      </c>
      <c r="AE279" s="10"/>
    </row>
    <row r="280" spans="1:31" x14ac:dyDescent="0.25">
      <c r="A280" s="14" t="s">
        <v>109</v>
      </c>
      <c r="C280" s="61" t="str">
        <f t="shared" si="79"/>
        <v>C100025</v>
      </c>
      <c r="F280" s="8" t="str">
        <f>"C100029"</f>
        <v>C100029</v>
      </c>
      <c r="G280" s="9" t="str">
        <f>"Distressed Twill Visor"</f>
        <v>Distressed Twill Visor</v>
      </c>
      <c r="H280" s="47"/>
      <c r="I280" s="47"/>
      <c r="J280" s="23">
        <v>0</v>
      </c>
      <c r="K280" s="25">
        <v>0</v>
      </c>
      <c r="L280" s="24">
        <v>0</v>
      </c>
      <c r="M280" s="24">
        <f>J280-L280</f>
        <v>0</v>
      </c>
      <c r="N280" s="53" t="str">
        <f>IF(J280&lt;&gt;0,M280/J280,"")</f>
        <v/>
      </c>
      <c r="O280" s="23">
        <v>-160.88</v>
      </c>
      <c r="P280" s="25">
        <v>-48</v>
      </c>
      <c r="Q280" s="24">
        <v>-99.36</v>
      </c>
      <c r="R280" s="24">
        <f>O280-Q280</f>
        <v>-61.519999999999996</v>
      </c>
      <c r="S280" s="53">
        <f>IF(O280&lt;&gt;0,R280/O280,"")</f>
        <v>0.38239681750372945</v>
      </c>
      <c r="T280" s="10"/>
      <c r="U280" s="23">
        <v>0</v>
      </c>
      <c r="V280" s="25">
        <v>0</v>
      </c>
      <c r="W280" s="24">
        <v>0</v>
      </c>
      <c r="X280" s="24">
        <f>U280-W280</f>
        <v>0</v>
      </c>
      <c r="Y280" s="53" t="str">
        <f>IF(U280&lt;&gt;0,X280/U280,"")</f>
        <v/>
      </c>
      <c r="Z280" s="23">
        <v>969.37</v>
      </c>
      <c r="AA280" s="25">
        <v>300</v>
      </c>
      <c r="AB280" s="24">
        <v>621.02</v>
      </c>
      <c r="AC280" s="24">
        <f t="shared" si="80"/>
        <v>348.35</v>
      </c>
      <c r="AD280" s="53">
        <f t="shared" si="81"/>
        <v>0.35935710822492961</v>
      </c>
      <c r="AE280" s="10"/>
    </row>
    <row r="281" spans="1:31" x14ac:dyDescent="0.25">
      <c r="A281" s="14" t="s">
        <v>109</v>
      </c>
      <c r="C281" s="61" t="str">
        <f t="shared" si="79"/>
        <v>C100025</v>
      </c>
      <c r="F281" s="8" t="str">
        <f>"C100030"</f>
        <v>C100030</v>
      </c>
      <c r="G281" s="9" t="str">
        <f>"Fashion Visor"</f>
        <v>Fashion Visor</v>
      </c>
      <c r="H281" s="47"/>
      <c r="I281" s="47"/>
      <c r="J281" s="23">
        <v>0</v>
      </c>
      <c r="K281" s="25">
        <v>0</v>
      </c>
      <c r="L281" s="24">
        <v>0</v>
      </c>
      <c r="M281" s="24">
        <f>J281-L281</f>
        <v>0</v>
      </c>
      <c r="N281" s="53" t="str">
        <f>IF(J281&lt;&gt;0,M281/J281,"")</f>
        <v/>
      </c>
      <c r="O281" s="23">
        <v>-25.750000000000004</v>
      </c>
      <c r="P281" s="25">
        <v>-6</v>
      </c>
      <c r="Q281" s="24">
        <v>-14.52</v>
      </c>
      <c r="R281" s="24">
        <f>O281-Q281</f>
        <v>-11.230000000000004</v>
      </c>
      <c r="S281" s="53">
        <f>IF(O281&lt;&gt;0,R281/O281,"")</f>
        <v>0.43611650485436904</v>
      </c>
      <c r="T281" s="10"/>
      <c r="U281" s="23">
        <v>0</v>
      </c>
      <c r="V281" s="25">
        <v>0</v>
      </c>
      <c r="W281" s="24">
        <v>0</v>
      </c>
      <c r="X281" s="24">
        <f>U281-W281</f>
        <v>0</v>
      </c>
      <c r="Y281" s="53" t="str">
        <f>IF(U281&lt;&gt;0,X281/U281,"")</f>
        <v/>
      </c>
      <c r="Z281" s="23">
        <v>2365.1999999999998</v>
      </c>
      <c r="AA281" s="25">
        <v>576</v>
      </c>
      <c r="AB281" s="24">
        <v>1393.95</v>
      </c>
      <c r="AC281" s="24">
        <f t="shared" si="80"/>
        <v>971.24999999999977</v>
      </c>
      <c r="AD281" s="53">
        <f t="shared" si="81"/>
        <v>0.41064180618975132</v>
      </c>
      <c r="AE281" s="10"/>
    </row>
    <row r="282" spans="1:31" x14ac:dyDescent="0.25">
      <c r="A282" s="14" t="s">
        <v>109</v>
      </c>
      <c r="C282" s="61" t="str">
        <f t="shared" si="79"/>
        <v>C100025</v>
      </c>
      <c r="F282" s="8" t="str">
        <f>"E100011"</f>
        <v>E100011</v>
      </c>
      <c r="G282" s="9" t="str">
        <f>"Plastic Sun Visor"</f>
        <v>Plastic Sun Visor</v>
      </c>
      <c r="H282" s="47"/>
      <c r="I282" s="47"/>
      <c r="J282" s="23">
        <v>106.14</v>
      </c>
      <c r="K282" s="25">
        <v>144</v>
      </c>
      <c r="L282" s="24">
        <v>60.470000000000006</v>
      </c>
      <c r="M282" s="24">
        <f>J282-L282</f>
        <v>45.669999999999995</v>
      </c>
      <c r="N282" s="53">
        <f>IF(J282&lt;&gt;0,M282/J282,"")</f>
        <v>0.43028076125871484</v>
      </c>
      <c r="O282" s="23">
        <v>-0.79</v>
      </c>
      <c r="P282" s="25">
        <v>-1</v>
      </c>
      <c r="Q282" s="24">
        <v>-0.42</v>
      </c>
      <c r="R282" s="24">
        <f>O282-Q282</f>
        <v>-0.37000000000000005</v>
      </c>
      <c r="S282" s="53">
        <f>IF(O282&lt;&gt;0,R282/O282,"")</f>
        <v>0.46835443037974689</v>
      </c>
      <c r="T282" s="10"/>
      <c r="U282" s="23">
        <v>0</v>
      </c>
      <c r="V282" s="25">
        <v>0</v>
      </c>
      <c r="W282" s="24">
        <v>0</v>
      </c>
      <c r="X282" s="24">
        <f>U282-W282</f>
        <v>0</v>
      </c>
      <c r="Y282" s="53" t="str">
        <f>IF(U282&lt;&gt;0,X282/U282,"")</f>
        <v/>
      </c>
      <c r="Z282" s="23">
        <v>221.2</v>
      </c>
      <c r="AA282" s="25">
        <v>289</v>
      </c>
      <c r="AB282" s="24">
        <v>121.36</v>
      </c>
      <c r="AC282" s="24">
        <f t="shared" si="80"/>
        <v>99.839999999999989</v>
      </c>
      <c r="AD282" s="53">
        <f t="shared" si="81"/>
        <v>0.45135623869801084</v>
      </c>
      <c r="AE282" s="10"/>
    </row>
    <row r="283" spans="1:31" x14ac:dyDescent="0.25">
      <c r="A283" s="14" t="s">
        <v>109</v>
      </c>
      <c r="C283" s="61" t="str">
        <f t="shared" si="79"/>
        <v>C100025</v>
      </c>
      <c r="F283" s="8" t="str">
        <f>"E100018"</f>
        <v>E100018</v>
      </c>
      <c r="G283" s="9" t="str">
        <f>"Flexi-Clock &amp; Clip"</f>
        <v>Flexi-Clock &amp; Clip</v>
      </c>
      <c r="H283" s="47"/>
      <c r="I283" s="47"/>
      <c r="J283" s="23">
        <v>0</v>
      </c>
      <c r="K283" s="25">
        <v>0</v>
      </c>
      <c r="L283" s="24">
        <v>0</v>
      </c>
      <c r="M283" s="24">
        <f>J283-L283</f>
        <v>0</v>
      </c>
      <c r="N283" s="53" t="str">
        <f>IF(J283&lt;&gt;0,M283/J283,"")</f>
        <v/>
      </c>
      <c r="O283" s="23">
        <v>-1.1100000000000001</v>
      </c>
      <c r="P283" s="25">
        <v>-1</v>
      </c>
      <c r="Q283" s="24">
        <v>-0.6</v>
      </c>
      <c r="R283" s="24">
        <f>O283-Q283</f>
        <v>-0.51000000000000012</v>
      </c>
      <c r="S283" s="53">
        <f>IF(O283&lt;&gt;0,R283/O283,"")</f>
        <v>0.45945945945945954</v>
      </c>
      <c r="T283" s="10"/>
      <c r="U283" s="23">
        <v>0</v>
      </c>
      <c r="V283" s="25">
        <v>0</v>
      </c>
      <c r="W283" s="24">
        <v>0</v>
      </c>
      <c r="X283" s="24">
        <f>U283-W283</f>
        <v>0</v>
      </c>
      <c r="Y283" s="53" t="str">
        <f>IF(U283&lt;&gt;0,X283/U283,"")</f>
        <v/>
      </c>
      <c r="Z283" s="23">
        <v>306.95999999999998</v>
      </c>
      <c r="AA283" s="25">
        <v>289</v>
      </c>
      <c r="AB283" s="24">
        <v>173.37</v>
      </c>
      <c r="AC283" s="24">
        <f t="shared" si="80"/>
        <v>133.58999999999997</v>
      </c>
      <c r="AD283" s="53">
        <f t="shared" si="81"/>
        <v>0.43520328381548079</v>
      </c>
      <c r="AE283" s="10"/>
    </row>
    <row r="284" spans="1:31" x14ac:dyDescent="0.25">
      <c r="A284" s="14" t="s">
        <v>109</v>
      </c>
      <c r="C284" s="61" t="str">
        <f t="shared" si="79"/>
        <v>C100025</v>
      </c>
      <c r="F284" s="8" t="str">
        <f>"S100005"</f>
        <v>S100005</v>
      </c>
      <c r="G284" s="9" t="str">
        <f>"Award Medallian - 2.5''"</f>
        <v>Award Medallian - 2.5''</v>
      </c>
      <c r="H284" s="47"/>
      <c r="I284" s="47"/>
      <c r="J284" s="23">
        <v>2272.23</v>
      </c>
      <c r="K284" s="25">
        <v>288</v>
      </c>
      <c r="L284" s="24">
        <v>1503.38</v>
      </c>
      <c r="M284" s="24">
        <f>J284-L284</f>
        <v>768.84999999999991</v>
      </c>
      <c r="N284" s="53">
        <f>IF(J284&lt;&gt;0,M284/J284,"")</f>
        <v>0.33836803492604178</v>
      </c>
      <c r="O284" s="23">
        <v>0</v>
      </c>
      <c r="P284" s="25">
        <v>0</v>
      </c>
      <c r="Q284" s="24">
        <v>0</v>
      </c>
      <c r="R284" s="24">
        <f>O284-Q284</f>
        <v>0</v>
      </c>
      <c r="S284" s="53" t="str">
        <f>IF(O284&lt;&gt;0,R284/O284,"")</f>
        <v/>
      </c>
      <c r="T284" s="10"/>
      <c r="U284" s="23">
        <v>0</v>
      </c>
      <c r="V284" s="25">
        <v>0</v>
      </c>
      <c r="W284" s="24">
        <v>0</v>
      </c>
      <c r="X284" s="24">
        <f>U284-W284</f>
        <v>0</v>
      </c>
      <c r="Y284" s="53" t="str">
        <f>IF(U284&lt;&gt;0,X284/U284,"")</f>
        <v/>
      </c>
      <c r="Z284" s="23">
        <v>0</v>
      </c>
      <c r="AA284" s="25">
        <v>0</v>
      </c>
      <c r="AB284" s="24">
        <v>0</v>
      </c>
      <c r="AC284" s="24">
        <f t="shared" si="80"/>
        <v>0</v>
      </c>
      <c r="AD284" s="53" t="str">
        <f t="shared" si="81"/>
        <v/>
      </c>
      <c r="AE284" s="10"/>
    </row>
    <row r="285" spans="1:31" x14ac:dyDescent="0.25">
      <c r="A285" s="14" t="s">
        <v>109</v>
      </c>
      <c r="C285" s="61" t="str">
        <f t="shared" si="79"/>
        <v>C100025</v>
      </c>
      <c r="F285" s="8" t="str">
        <f>"S100006"</f>
        <v>S100006</v>
      </c>
      <c r="G285" s="9" t="str">
        <f>"Award Medallian - 3''"</f>
        <v>Award Medallian - 3''</v>
      </c>
      <c r="H285" s="47"/>
      <c r="I285" s="47"/>
      <c r="J285" s="23">
        <v>2987.71</v>
      </c>
      <c r="K285" s="25">
        <v>288</v>
      </c>
      <c r="L285" s="24">
        <v>2131.1800000000003</v>
      </c>
      <c r="M285" s="24">
        <f>J285-L285</f>
        <v>856.52999999999975</v>
      </c>
      <c r="N285" s="53">
        <f>IF(J285&lt;&gt;0,M285/J285,"")</f>
        <v>0.28668445063275877</v>
      </c>
      <c r="O285" s="23">
        <v>0</v>
      </c>
      <c r="P285" s="25">
        <v>0</v>
      </c>
      <c r="Q285" s="24">
        <v>0</v>
      </c>
      <c r="R285" s="24">
        <f>O285-Q285</f>
        <v>0</v>
      </c>
      <c r="S285" s="53" t="str">
        <f>IF(O285&lt;&gt;0,R285/O285,"")</f>
        <v/>
      </c>
      <c r="T285" s="10"/>
      <c r="U285" s="23">
        <v>0</v>
      </c>
      <c r="V285" s="25">
        <v>0</v>
      </c>
      <c r="W285" s="24">
        <v>0</v>
      </c>
      <c r="X285" s="24">
        <f>U285-W285</f>
        <v>0</v>
      </c>
      <c r="Y285" s="53" t="str">
        <f>IF(U285&lt;&gt;0,X285/U285,"")</f>
        <v/>
      </c>
      <c r="Z285" s="23">
        <v>1559.52</v>
      </c>
      <c r="AA285" s="25">
        <v>144</v>
      </c>
      <c r="AB285" s="24">
        <v>1065.5900000000001</v>
      </c>
      <c r="AC285" s="24">
        <f t="shared" si="80"/>
        <v>493.92999999999984</v>
      </c>
      <c r="AD285" s="53">
        <f t="shared" si="81"/>
        <v>0.3167192469477787</v>
      </c>
      <c r="AE285" s="10"/>
    </row>
    <row r="286" spans="1:31" x14ac:dyDescent="0.25">
      <c r="A286" s="14" t="s">
        <v>109</v>
      </c>
      <c r="C286" s="61" t="str">
        <f t="shared" si="79"/>
        <v>C100025</v>
      </c>
      <c r="F286" s="8" t="str">
        <f>"S100008"</f>
        <v>S100008</v>
      </c>
      <c r="G286" s="9" t="str">
        <f>"Soccer Figure Trophy"</f>
        <v>Soccer Figure Trophy</v>
      </c>
      <c r="H286" s="47"/>
      <c r="I286" s="47"/>
      <c r="J286" s="23">
        <v>775.76</v>
      </c>
      <c r="K286" s="25">
        <v>144</v>
      </c>
      <c r="L286" s="24">
        <v>529.91999999999996</v>
      </c>
      <c r="M286" s="24">
        <f>J286-L286</f>
        <v>245.84000000000003</v>
      </c>
      <c r="N286" s="53">
        <f>IF(J286&lt;&gt;0,M286/J286,"")</f>
        <v>0.31690213468082917</v>
      </c>
      <c r="O286" s="23">
        <v>0</v>
      </c>
      <c r="P286" s="25">
        <v>0</v>
      </c>
      <c r="Q286" s="24">
        <v>0</v>
      </c>
      <c r="R286" s="24">
        <f>O286-Q286</f>
        <v>0</v>
      </c>
      <c r="S286" s="53" t="str">
        <f>IF(O286&lt;&gt;0,R286/O286,"")</f>
        <v/>
      </c>
      <c r="T286" s="10"/>
      <c r="U286" s="23">
        <v>0</v>
      </c>
      <c r="V286" s="25">
        <v>0</v>
      </c>
      <c r="W286" s="24">
        <v>0</v>
      </c>
      <c r="X286" s="24">
        <f>U286-W286</f>
        <v>0</v>
      </c>
      <c r="Y286" s="53" t="str">
        <f>IF(U286&lt;&gt;0,X286/U286,"")</f>
        <v/>
      </c>
      <c r="Z286" s="23">
        <v>801.33</v>
      </c>
      <c r="AA286" s="25">
        <v>144</v>
      </c>
      <c r="AB286" s="24">
        <v>529.91999999999996</v>
      </c>
      <c r="AC286" s="24">
        <f t="shared" si="80"/>
        <v>271.41000000000008</v>
      </c>
      <c r="AD286" s="53">
        <f t="shared" si="81"/>
        <v>0.33869941222717243</v>
      </c>
      <c r="AE286" s="10"/>
    </row>
    <row r="287" spans="1:31" x14ac:dyDescent="0.25">
      <c r="A287" s="14" t="s">
        <v>109</v>
      </c>
      <c r="C287" s="61" t="str">
        <f t="shared" si="79"/>
        <v>C100025</v>
      </c>
      <c r="F287" s="8" t="str">
        <f>"S100009"</f>
        <v>S100009</v>
      </c>
      <c r="G287" s="9" t="str">
        <f>"Engraved Basketball Award"</f>
        <v>Engraved Basketball Award</v>
      </c>
      <c r="H287" s="47"/>
      <c r="I287" s="47"/>
      <c r="J287" s="23">
        <v>5016.21</v>
      </c>
      <c r="K287" s="25">
        <v>288</v>
      </c>
      <c r="L287" s="24">
        <v>2540.14</v>
      </c>
      <c r="M287" s="24">
        <f>J287-L287</f>
        <v>2476.0700000000002</v>
      </c>
      <c r="N287" s="53">
        <f>IF(J287&lt;&gt;0,M287/J287,"")</f>
        <v>0.49361370437043112</v>
      </c>
      <c r="O287" s="23">
        <v>0</v>
      </c>
      <c r="P287" s="25">
        <v>0</v>
      </c>
      <c r="Q287" s="24">
        <v>0</v>
      </c>
      <c r="R287" s="24">
        <f>O287-Q287</f>
        <v>0</v>
      </c>
      <c r="S287" s="53" t="str">
        <f>IF(O287&lt;&gt;0,R287/O287,"")</f>
        <v/>
      </c>
      <c r="T287" s="10"/>
      <c r="U287" s="23">
        <v>0</v>
      </c>
      <c r="V287" s="25">
        <v>0</v>
      </c>
      <c r="W287" s="24">
        <v>0</v>
      </c>
      <c r="X287" s="24">
        <f>U287-W287</f>
        <v>0</v>
      </c>
      <c r="Y287" s="53" t="str">
        <f>IF(U287&lt;&gt;0,X287/U287,"")</f>
        <v/>
      </c>
      <c r="Z287" s="23">
        <v>7772.37</v>
      </c>
      <c r="AA287" s="25">
        <v>432</v>
      </c>
      <c r="AB287" s="24">
        <v>3810.21</v>
      </c>
      <c r="AC287" s="24">
        <f t="shared" si="80"/>
        <v>3962.16</v>
      </c>
      <c r="AD287" s="53">
        <f t="shared" si="81"/>
        <v>0.50977501071101861</v>
      </c>
      <c r="AE287" s="10"/>
    </row>
    <row r="288" spans="1:31" x14ac:dyDescent="0.25">
      <c r="A288" s="14" t="s">
        <v>109</v>
      </c>
      <c r="C288" s="61" t="str">
        <f t="shared" si="79"/>
        <v>C100025</v>
      </c>
      <c r="F288" s="8" t="str">
        <f>"S100015"</f>
        <v>S100015</v>
      </c>
      <c r="G288" s="9" t="str">
        <f>"Raw-Edge Bucket Hat"</f>
        <v>Raw-Edge Bucket Hat</v>
      </c>
      <c r="H288" s="47"/>
      <c r="I288" s="47"/>
      <c r="J288" s="23">
        <v>6.72</v>
      </c>
      <c r="K288" s="25">
        <v>1</v>
      </c>
      <c r="L288" s="24">
        <v>3.64</v>
      </c>
      <c r="M288" s="24">
        <f>J288-L288</f>
        <v>3.0799999999999996</v>
      </c>
      <c r="N288" s="53">
        <f>IF(J288&lt;&gt;0,M288/J288,"")</f>
        <v>0.45833333333333331</v>
      </c>
      <c r="O288" s="23">
        <v>0</v>
      </c>
      <c r="P288" s="25">
        <v>0</v>
      </c>
      <c r="Q288" s="24">
        <v>0</v>
      </c>
      <c r="R288" s="24">
        <f>O288-Q288</f>
        <v>0</v>
      </c>
      <c r="S288" s="53" t="str">
        <f>IF(O288&lt;&gt;0,R288/O288,"")</f>
        <v/>
      </c>
      <c r="T288" s="10"/>
      <c r="U288" s="23">
        <v>0</v>
      </c>
      <c r="V288" s="25">
        <v>0</v>
      </c>
      <c r="W288" s="24">
        <v>0</v>
      </c>
      <c r="X288" s="24">
        <f>U288-W288</f>
        <v>0</v>
      </c>
      <c r="Y288" s="53" t="str">
        <f>IF(U288&lt;&gt;0,X288/U288,"")</f>
        <v/>
      </c>
      <c r="Z288" s="23">
        <v>1354.81</v>
      </c>
      <c r="AA288" s="25">
        <v>193</v>
      </c>
      <c r="AB288" s="24">
        <v>702.53</v>
      </c>
      <c r="AC288" s="24">
        <f t="shared" si="80"/>
        <v>652.28</v>
      </c>
      <c r="AD288" s="53">
        <f t="shared" si="81"/>
        <v>0.48145496416471684</v>
      </c>
      <c r="AE288" s="10"/>
    </row>
    <row r="289" spans="1:31" x14ac:dyDescent="0.25">
      <c r="A289" s="14" t="s">
        <v>109</v>
      </c>
      <c r="C289" s="61" t="str">
        <f t="shared" si="79"/>
        <v>C100025</v>
      </c>
      <c r="F289" s="8" t="str">
        <f>"S100017"</f>
        <v>S100017</v>
      </c>
      <c r="G289" s="9" t="str">
        <f>"Microfiber Bucket Hat"</f>
        <v>Microfiber Bucket Hat</v>
      </c>
      <c r="H289" s="47"/>
      <c r="I289" s="47"/>
      <c r="J289" s="23">
        <v>0</v>
      </c>
      <c r="K289" s="25">
        <v>0</v>
      </c>
      <c r="L289" s="24">
        <v>0</v>
      </c>
      <c r="M289" s="24">
        <f>J289-L289</f>
        <v>0</v>
      </c>
      <c r="N289" s="53" t="str">
        <f>IF(J289&lt;&gt;0,M289/J289,"")</f>
        <v/>
      </c>
      <c r="O289" s="23">
        <v>-7.23</v>
      </c>
      <c r="P289" s="25">
        <v>-1</v>
      </c>
      <c r="Q289" s="24">
        <v>-4.76</v>
      </c>
      <c r="R289" s="24">
        <f>O289-Q289</f>
        <v>-2.4700000000000006</v>
      </c>
      <c r="S289" s="53">
        <f>IF(O289&lt;&gt;0,R289/O289,"")</f>
        <v>0.34163208852005539</v>
      </c>
      <c r="T289" s="10"/>
      <c r="U289" s="23">
        <v>0</v>
      </c>
      <c r="V289" s="25">
        <v>0</v>
      </c>
      <c r="W289" s="24">
        <v>0</v>
      </c>
      <c r="X289" s="24">
        <f>U289-W289</f>
        <v>0</v>
      </c>
      <c r="Y289" s="53" t="str">
        <f>IF(U289&lt;&gt;0,X289/U289,"")</f>
        <v/>
      </c>
      <c r="Z289" s="23">
        <v>0</v>
      </c>
      <c r="AA289" s="25">
        <v>0</v>
      </c>
      <c r="AB289" s="24">
        <v>0</v>
      </c>
      <c r="AC289" s="24">
        <f t="shared" si="80"/>
        <v>0</v>
      </c>
      <c r="AD289" s="53" t="str">
        <f t="shared" si="81"/>
        <v/>
      </c>
      <c r="AE289" s="10"/>
    </row>
    <row r="290" spans="1:31" x14ac:dyDescent="0.25">
      <c r="A290" s="14" t="s">
        <v>109</v>
      </c>
      <c r="C290" s="61" t="str">
        <f t="shared" si="79"/>
        <v>C100025</v>
      </c>
      <c r="F290" s="8" t="str">
        <f>"S100020"</f>
        <v>S100020</v>
      </c>
      <c r="G290" s="9" t="str">
        <f>"Super Sport Stopwatch"</f>
        <v>Super Sport Stopwatch</v>
      </c>
      <c r="H290" s="47"/>
      <c r="I290" s="47"/>
      <c r="J290" s="23">
        <v>285.67</v>
      </c>
      <c r="K290" s="25">
        <v>144</v>
      </c>
      <c r="L290" s="24">
        <v>151.19999999999999</v>
      </c>
      <c r="M290" s="24">
        <f>J290-L290</f>
        <v>134.47000000000003</v>
      </c>
      <c r="N290" s="53">
        <f>IF(J290&lt;&gt;0,M290/J290,"")</f>
        <v>0.47071796128399906</v>
      </c>
      <c r="O290" s="23">
        <v>0</v>
      </c>
      <c r="P290" s="25">
        <v>0</v>
      </c>
      <c r="Q290" s="24">
        <v>0</v>
      </c>
      <c r="R290" s="24">
        <f>O290-Q290</f>
        <v>0</v>
      </c>
      <c r="S290" s="53" t="str">
        <f>IF(O290&lt;&gt;0,R290/O290,"")</f>
        <v/>
      </c>
      <c r="T290" s="10"/>
      <c r="U290" s="23">
        <v>0</v>
      </c>
      <c r="V290" s="25">
        <v>0</v>
      </c>
      <c r="W290" s="24">
        <v>0</v>
      </c>
      <c r="X290" s="24">
        <f>U290-W290</f>
        <v>0</v>
      </c>
      <c r="Y290" s="53" t="str">
        <f>IF(U290&lt;&gt;0,X290/U290,"")</f>
        <v/>
      </c>
      <c r="Z290" s="23">
        <v>885.25</v>
      </c>
      <c r="AA290" s="25">
        <v>432</v>
      </c>
      <c r="AB290" s="24">
        <v>453.6</v>
      </c>
      <c r="AC290" s="24">
        <f t="shared" si="80"/>
        <v>431.65</v>
      </c>
      <c r="AD290" s="53">
        <f t="shared" si="81"/>
        <v>0.48760237221123975</v>
      </c>
      <c r="AE290" s="10"/>
    </row>
    <row r="291" spans="1:31" x14ac:dyDescent="0.25">
      <c r="A291" s="14" t="s">
        <v>109</v>
      </c>
      <c r="C291" s="61" t="str">
        <f t="shared" si="79"/>
        <v>C100025</v>
      </c>
      <c r="F291" s="8" t="str">
        <f>"S100021"</f>
        <v>S100021</v>
      </c>
      <c r="G291" s="9" t="str">
        <f>"Translucent Stopwatch"</f>
        <v>Translucent Stopwatch</v>
      </c>
      <c r="H291" s="47"/>
      <c r="I291" s="47"/>
      <c r="J291" s="23">
        <v>543.82000000000005</v>
      </c>
      <c r="K291" s="25">
        <v>144</v>
      </c>
      <c r="L291" s="24">
        <v>309.58999999999997</v>
      </c>
      <c r="M291" s="24">
        <f>J291-L291</f>
        <v>234.23000000000008</v>
      </c>
      <c r="N291" s="53">
        <f>IF(J291&lt;&gt;0,M291/J291,"")</f>
        <v>0.43071236806296209</v>
      </c>
      <c r="O291" s="23">
        <v>0</v>
      </c>
      <c r="P291" s="25">
        <v>0</v>
      </c>
      <c r="Q291" s="24">
        <v>0</v>
      </c>
      <c r="R291" s="24">
        <f>O291-Q291</f>
        <v>0</v>
      </c>
      <c r="S291" s="53" t="str">
        <f>IF(O291&lt;&gt;0,R291/O291,"")</f>
        <v/>
      </c>
      <c r="T291" s="10"/>
      <c r="U291" s="23">
        <v>0</v>
      </c>
      <c r="V291" s="25">
        <v>0</v>
      </c>
      <c r="W291" s="24">
        <v>0</v>
      </c>
      <c r="X291" s="24">
        <f>U291-W291</f>
        <v>0</v>
      </c>
      <c r="Y291" s="53" t="str">
        <f>IF(U291&lt;&gt;0,X291/U291,"")</f>
        <v/>
      </c>
      <c r="Z291" s="23">
        <v>2264.61</v>
      </c>
      <c r="AA291" s="25">
        <v>579</v>
      </c>
      <c r="AB291" s="24">
        <v>1244.81</v>
      </c>
      <c r="AC291" s="24">
        <f t="shared" si="80"/>
        <v>1019.8000000000002</v>
      </c>
      <c r="AD291" s="53">
        <f t="shared" si="81"/>
        <v>0.45032036421282257</v>
      </c>
      <c r="AE291" s="10"/>
    </row>
    <row r="292" spans="1:31" ht="15.75" thickBot="1" x14ac:dyDescent="0.3">
      <c r="A292" s="14" t="s">
        <v>109</v>
      </c>
      <c r="C292" s="61" t="str">
        <f>C275</f>
        <v>C100025</v>
      </c>
      <c r="J292" s="10"/>
      <c r="K292" s="11"/>
      <c r="L292" s="11"/>
      <c r="M292" s="11"/>
      <c r="N292" s="12"/>
      <c r="O292" s="10"/>
      <c r="P292" s="11"/>
      <c r="Q292" s="11"/>
      <c r="R292" s="11"/>
      <c r="S292" s="12"/>
      <c r="U292" s="10"/>
      <c r="V292" s="11"/>
      <c r="W292" s="11"/>
      <c r="X292" s="11"/>
      <c r="Y292" s="12"/>
      <c r="Z292" s="10"/>
      <c r="AA292" s="11"/>
      <c r="AB292" s="11"/>
      <c r="AC292" s="11"/>
      <c r="AD292" s="12"/>
    </row>
    <row r="293" spans="1:31" ht="15.75" thickBot="1" x14ac:dyDescent="0.3">
      <c r="A293" s="14" t="s">
        <v>109</v>
      </c>
      <c r="C293" s="61" t="str">
        <f t="shared" si="76"/>
        <v>C100025</v>
      </c>
      <c r="G293" s="48" t="str">
        <f>C293&amp;" TOTAL:"</f>
        <v>C100025 TOTAL:</v>
      </c>
      <c r="H293" s="50"/>
      <c r="I293" s="50"/>
      <c r="J293" s="34">
        <f>SUBTOTAL(9,J274:J292)</f>
        <v>19333.38</v>
      </c>
      <c r="K293" s="35">
        <f>SUBTOTAL(9,K274:K292)</f>
        <v>1711</v>
      </c>
      <c r="L293" s="36">
        <f>SUBTOTAL(9,L274:L292)</f>
        <v>11414.63</v>
      </c>
      <c r="M293" s="36">
        <f>J293-L293</f>
        <v>7918.7500000000018</v>
      </c>
      <c r="N293" s="37">
        <f>IF(J293&lt;&gt;0,M293/J293,"")</f>
        <v>0.40958952857700004</v>
      </c>
      <c r="O293" s="34">
        <f>SUBTOTAL(9,O274:O292)</f>
        <v>-198.82</v>
      </c>
      <c r="P293" s="35">
        <f>SUBTOTAL(9,P274:P292)</f>
        <v>-58</v>
      </c>
      <c r="Q293" s="36">
        <f>SUBTOTAL(9,Q274:Q292)</f>
        <v>-121.66</v>
      </c>
      <c r="R293" s="36">
        <f>O293-Q293</f>
        <v>-77.16</v>
      </c>
      <c r="S293" s="37">
        <f>IF(O293&lt;&gt;0,R293/O293,"")</f>
        <v>0.38808972940348052</v>
      </c>
      <c r="U293" s="34">
        <f>SUBTOTAL(9,U274:U292)</f>
        <v>0</v>
      </c>
      <c r="V293" s="35">
        <f>SUBTOTAL(9,V274:V292)</f>
        <v>0</v>
      </c>
      <c r="W293" s="36">
        <f>SUBTOTAL(9,W274:W292)</f>
        <v>0</v>
      </c>
      <c r="X293" s="36">
        <f>U293-W293</f>
        <v>0</v>
      </c>
      <c r="Y293" s="37" t="str">
        <f>IF(U293&lt;&gt;0,X293/U293,"")</f>
        <v/>
      </c>
      <c r="Z293" s="34">
        <f>SUBTOTAL(9,Z274:Z292)</f>
        <v>20363.170000000002</v>
      </c>
      <c r="AA293" s="35">
        <f>SUBTOTAL(9,AA274:AA292)</f>
        <v>3570</v>
      </c>
      <c r="AB293" s="36">
        <f>SUBTOTAL(9,AB274:AB292)</f>
        <v>11437.31</v>
      </c>
      <c r="AC293" s="36">
        <f t="shared" ref="AC293" si="82">Z293-AB293</f>
        <v>8925.8600000000024</v>
      </c>
      <c r="AD293" s="37">
        <f t="shared" ref="AD293" si="83">IF(Z293&lt;&gt;0,AC293/Z293,"")</f>
        <v>0.43833352076322113</v>
      </c>
    </row>
    <row r="294" spans="1:31" x14ac:dyDescent="0.25">
      <c r="A294" s="14" t="s">
        <v>109</v>
      </c>
      <c r="C294" s="66"/>
      <c r="J294" s="10"/>
      <c r="K294" s="11"/>
      <c r="L294" s="11"/>
      <c r="M294" s="11"/>
      <c r="N294" s="12"/>
      <c r="O294" s="10"/>
      <c r="P294" s="11"/>
      <c r="Q294" s="11"/>
      <c r="R294" s="11"/>
      <c r="S294" s="12"/>
      <c r="U294" s="10"/>
      <c r="V294" s="11"/>
      <c r="W294" s="11"/>
      <c r="X294" s="11"/>
      <c r="Y294" s="12"/>
      <c r="Z294" s="10"/>
      <c r="AA294" s="11"/>
      <c r="AB294" s="11"/>
      <c r="AC294" s="11"/>
      <c r="AD294" s="12"/>
    </row>
    <row r="295" spans="1:31" ht="15.75" x14ac:dyDescent="0.25">
      <c r="A295" s="14" t="s">
        <v>109</v>
      </c>
      <c r="C295" s="66" t="str">
        <f t="shared" ref="C295" si="84">E295</f>
        <v>C100029</v>
      </c>
      <c r="E295" s="13" t="str">
        <f>"C100029"</f>
        <v>C100029</v>
      </c>
      <c r="F295" s="13"/>
      <c r="G295" s="13" t="str">
        <f>"Elkhorn Airport"</f>
        <v>Elkhorn Airport</v>
      </c>
      <c r="H295" s="13"/>
      <c r="I295" s="13"/>
      <c r="J295" s="10"/>
      <c r="K295" s="11"/>
      <c r="L295" s="11"/>
      <c r="M295" s="11"/>
      <c r="N295" s="12"/>
      <c r="O295" s="10"/>
      <c r="P295" s="11"/>
      <c r="Q295" s="11"/>
      <c r="R295" s="11"/>
      <c r="S295" s="12"/>
      <c r="U295" s="10"/>
      <c r="V295" s="11"/>
      <c r="W295" s="11"/>
      <c r="X295" s="11"/>
      <c r="Y295" s="12"/>
      <c r="Z295" s="10"/>
      <c r="AA295" s="11"/>
      <c r="AB295" s="11"/>
      <c r="AC295" s="11"/>
      <c r="AD295" s="12"/>
    </row>
    <row r="296" spans="1:31" ht="6.6" customHeight="1" x14ac:dyDescent="0.25">
      <c r="A296" s="14" t="s">
        <v>109</v>
      </c>
      <c r="C296" s="61" t="str">
        <f t="shared" ref="C296:C311" si="85">C295</f>
        <v>C100029</v>
      </c>
      <c r="J296" s="10"/>
      <c r="K296" s="11"/>
      <c r="L296" s="11"/>
      <c r="M296" s="11"/>
      <c r="N296" s="12"/>
      <c r="O296" s="10"/>
      <c r="P296" s="11"/>
      <c r="Q296" s="11"/>
      <c r="R296" s="11"/>
      <c r="S296" s="12"/>
      <c r="U296" s="10"/>
      <c r="V296" s="11"/>
      <c r="W296" s="11"/>
      <c r="X296" s="11"/>
      <c r="Y296" s="12"/>
      <c r="Z296" s="10"/>
      <c r="AA296" s="11"/>
      <c r="AB296" s="11"/>
      <c r="AC296" s="11"/>
      <c r="AD296" s="12"/>
    </row>
    <row r="297" spans="1:31" x14ac:dyDescent="0.25">
      <c r="A297" s="14" t="s">
        <v>109</v>
      </c>
      <c r="C297" s="61" t="str">
        <f t="shared" si="85"/>
        <v>C100029</v>
      </c>
      <c r="F297" s="8" t="str">
        <f>"C100004"</f>
        <v>C100004</v>
      </c>
      <c r="G297" s="9" t="str">
        <f>"Walnut Medallian Plate"</f>
        <v>Walnut Medallian Plate</v>
      </c>
      <c r="H297" s="47"/>
      <c r="I297" s="47"/>
      <c r="J297" s="23">
        <v>16753.66</v>
      </c>
      <c r="K297" s="25">
        <v>288</v>
      </c>
      <c r="L297" s="24">
        <v>8812.7799999999988</v>
      </c>
      <c r="M297" s="24">
        <f>J297-L297</f>
        <v>7940.880000000001</v>
      </c>
      <c r="N297" s="53">
        <f>IF(J297&lt;&gt;0,M297/J297,"")</f>
        <v>0.47397882015034332</v>
      </c>
      <c r="O297" s="23">
        <v>0</v>
      </c>
      <c r="P297" s="25">
        <v>0</v>
      </c>
      <c r="Q297" s="24">
        <v>0</v>
      </c>
      <c r="R297" s="24">
        <f>O297-Q297</f>
        <v>0</v>
      </c>
      <c r="S297" s="53" t="str">
        <f>IF(O297&lt;&gt;0,R297/O297,"")</f>
        <v/>
      </c>
      <c r="T297" s="10"/>
      <c r="U297" s="23">
        <v>1396.14</v>
      </c>
      <c r="V297" s="25">
        <v>24</v>
      </c>
      <c r="W297" s="24">
        <v>734.4</v>
      </c>
      <c r="X297" s="24">
        <f>U297-W297</f>
        <v>661.74000000000012</v>
      </c>
      <c r="Y297" s="53">
        <f>IF(U297&lt;&gt;0,X297/U297,"")</f>
        <v>0.47397825432979507</v>
      </c>
      <c r="Z297" s="23">
        <v>0</v>
      </c>
      <c r="AA297" s="25">
        <v>0</v>
      </c>
      <c r="AB297" s="24">
        <v>0</v>
      </c>
      <c r="AC297" s="24">
        <f t="shared" ref="AC297" si="86">Z297-AB297</f>
        <v>0</v>
      </c>
      <c r="AD297" s="53" t="str">
        <f t="shared" ref="AD297" si="87">IF(Z297&lt;&gt;0,AC297/Z297,"")</f>
        <v/>
      </c>
      <c r="AE297" s="10"/>
    </row>
    <row r="298" spans="1:31" x14ac:dyDescent="0.25">
      <c r="A298" s="14" t="s">
        <v>109</v>
      </c>
      <c r="C298" s="61" t="str">
        <f t="shared" ref="C298:C309" si="88">C297</f>
        <v>C100029</v>
      </c>
      <c r="F298" s="8" t="str">
        <f>"C100022"</f>
        <v>C100022</v>
      </c>
      <c r="G298" s="9" t="str">
        <f>"Two-Toned Cap"</f>
        <v>Two-Toned Cap</v>
      </c>
      <c r="H298" s="47"/>
      <c r="I298" s="47"/>
      <c r="J298" s="23">
        <v>451.56</v>
      </c>
      <c r="K298" s="25">
        <v>144</v>
      </c>
      <c r="L298" s="24">
        <v>231.82999999999998</v>
      </c>
      <c r="M298" s="24">
        <f>J298-L298</f>
        <v>219.73000000000002</v>
      </c>
      <c r="N298" s="53">
        <f>IF(J298&lt;&gt;0,M298/J298,"")</f>
        <v>0.48660200194879977</v>
      </c>
      <c r="O298" s="23">
        <v>0</v>
      </c>
      <c r="P298" s="25">
        <v>0</v>
      </c>
      <c r="Q298" s="24">
        <v>0</v>
      </c>
      <c r="R298" s="24">
        <f>O298-Q298</f>
        <v>0</v>
      </c>
      <c r="S298" s="53" t="str">
        <f>IF(O298&lt;&gt;0,R298/O298,"")</f>
        <v/>
      </c>
      <c r="T298" s="10"/>
      <c r="U298" s="23">
        <v>18.82</v>
      </c>
      <c r="V298" s="25">
        <v>6</v>
      </c>
      <c r="W298" s="24">
        <v>9.66</v>
      </c>
      <c r="X298" s="24">
        <f>U298-W298</f>
        <v>9.16</v>
      </c>
      <c r="Y298" s="53">
        <f>IF(U298&lt;&gt;0,X298/U298,"")</f>
        <v>0.4867162592986185</v>
      </c>
      <c r="Z298" s="23">
        <v>0</v>
      </c>
      <c r="AA298" s="25">
        <v>0</v>
      </c>
      <c r="AB298" s="24">
        <v>0</v>
      </c>
      <c r="AC298" s="24">
        <f t="shared" ref="AC298:AC309" si="89">Z298-AB298</f>
        <v>0</v>
      </c>
      <c r="AD298" s="53" t="str">
        <f t="shared" ref="AD298:AD309" si="90">IF(Z298&lt;&gt;0,AC298/Z298,"")</f>
        <v/>
      </c>
      <c r="AE298" s="10"/>
    </row>
    <row r="299" spans="1:31" x14ac:dyDescent="0.25">
      <c r="A299" s="14" t="s">
        <v>109</v>
      </c>
      <c r="C299" s="61" t="str">
        <f t="shared" si="88"/>
        <v>C100029</v>
      </c>
      <c r="F299" s="8" t="str">
        <f>"C100025"</f>
        <v>C100025</v>
      </c>
      <c r="G299" s="9" t="str">
        <f>"Striped Knit Hat"</f>
        <v>Striped Knit Hat</v>
      </c>
      <c r="H299" s="47"/>
      <c r="I299" s="47"/>
      <c r="J299" s="23">
        <v>420.54</v>
      </c>
      <c r="K299" s="25">
        <v>144</v>
      </c>
      <c r="L299" s="24">
        <v>198.72</v>
      </c>
      <c r="M299" s="24">
        <f>J299-L299</f>
        <v>221.82000000000002</v>
      </c>
      <c r="N299" s="53">
        <f>IF(J299&lt;&gt;0,M299/J299,"")</f>
        <v>0.52746468825795412</v>
      </c>
      <c r="O299" s="23">
        <v>0</v>
      </c>
      <c r="P299" s="25">
        <v>0</v>
      </c>
      <c r="Q299" s="24">
        <v>0</v>
      </c>
      <c r="R299" s="24">
        <f>O299-Q299</f>
        <v>0</v>
      </c>
      <c r="S299" s="53" t="str">
        <f>IF(O299&lt;&gt;0,R299/O299,"")</f>
        <v/>
      </c>
      <c r="T299" s="10"/>
      <c r="U299" s="23">
        <v>0</v>
      </c>
      <c r="V299" s="25">
        <v>0</v>
      </c>
      <c r="W299" s="24">
        <v>0</v>
      </c>
      <c r="X299" s="24">
        <f>U299-W299</f>
        <v>0</v>
      </c>
      <c r="Y299" s="53" t="str">
        <f>IF(U299&lt;&gt;0,X299/U299,"")</f>
        <v/>
      </c>
      <c r="Z299" s="23">
        <v>0</v>
      </c>
      <c r="AA299" s="25">
        <v>0</v>
      </c>
      <c r="AB299" s="24">
        <v>0</v>
      </c>
      <c r="AC299" s="24">
        <f t="shared" si="89"/>
        <v>0</v>
      </c>
      <c r="AD299" s="53" t="str">
        <f t="shared" si="90"/>
        <v/>
      </c>
      <c r="AE299" s="10"/>
    </row>
    <row r="300" spans="1:31" x14ac:dyDescent="0.25">
      <c r="A300" s="14" t="s">
        <v>109</v>
      </c>
      <c r="C300" s="61" t="str">
        <f t="shared" si="88"/>
        <v>C100029</v>
      </c>
      <c r="F300" s="8" t="str">
        <f>"C100026"</f>
        <v>C100026</v>
      </c>
      <c r="G300" s="9" t="str">
        <f>"Fleece Beanie"</f>
        <v>Fleece Beanie</v>
      </c>
      <c r="H300" s="47"/>
      <c r="I300" s="47"/>
      <c r="J300" s="23">
        <v>440.28000000000003</v>
      </c>
      <c r="K300" s="25">
        <v>144</v>
      </c>
      <c r="L300" s="24">
        <v>287.99</v>
      </c>
      <c r="M300" s="24">
        <f>J300-L300</f>
        <v>152.29000000000002</v>
      </c>
      <c r="N300" s="53">
        <f>IF(J300&lt;&gt;0,M300/J300,"")</f>
        <v>0.3458935223039884</v>
      </c>
      <c r="O300" s="23">
        <v>0</v>
      </c>
      <c r="P300" s="25">
        <v>0</v>
      </c>
      <c r="Q300" s="24">
        <v>0</v>
      </c>
      <c r="R300" s="24">
        <f>O300-Q300</f>
        <v>0</v>
      </c>
      <c r="S300" s="53" t="str">
        <f>IF(O300&lt;&gt;0,R300/O300,"")</f>
        <v/>
      </c>
      <c r="T300" s="10"/>
      <c r="U300" s="23">
        <v>440.28000000000003</v>
      </c>
      <c r="V300" s="25">
        <v>144</v>
      </c>
      <c r="W300" s="24">
        <v>287.99</v>
      </c>
      <c r="X300" s="24">
        <f>U300-W300</f>
        <v>152.29000000000002</v>
      </c>
      <c r="Y300" s="53">
        <f>IF(U300&lt;&gt;0,X300/U300,"")</f>
        <v>0.3458935223039884</v>
      </c>
      <c r="Z300" s="23">
        <v>0</v>
      </c>
      <c r="AA300" s="25">
        <v>0</v>
      </c>
      <c r="AB300" s="24">
        <v>0</v>
      </c>
      <c r="AC300" s="24">
        <f t="shared" si="89"/>
        <v>0</v>
      </c>
      <c r="AD300" s="53" t="str">
        <f t="shared" si="90"/>
        <v/>
      </c>
      <c r="AE300" s="10"/>
    </row>
    <row r="301" spans="1:31" x14ac:dyDescent="0.25">
      <c r="A301" s="14" t="s">
        <v>109</v>
      </c>
      <c r="C301" s="61" t="str">
        <f t="shared" si="88"/>
        <v>C100029</v>
      </c>
      <c r="F301" s="8" t="str">
        <f>"C100032"</f>
        <v>C100032</v>
      </c>
      <c r="G301" s="9" t="str">
        <f>"Clip-on Clock"</f>
        <v>Clip-on Clock</v>
      </c>
      <c r="H301" s="47"/>
      <c r="I301" s="47"/>
      <c r="J301" s="23">
        <v>1162.83</v>
      </c>
      <c r="K301" s="25">
        <v>144</v>
      </c>
      <c r="L301" s="24">
        <v>599.05000000000007</v>
      </c>
      <c r="M301" s="24">
        <f>J301-L301</f>
        <v>563.77999999999986</v>
      </c>
      <c r="N301" s="53">
        <f>IF(J301&lt;&gt;0,M301/J301,"")</f>
        <v>0.48483441259685411</v>
      </c>
      <c r="O301" s="23">
        <v>0</v>
      </c>
      <c r="P301" s="25">
        <v>0</v>
      </c>
      <c r="Q301" s="24">
        <v>0</v>
      </c>
      <c r="R301" s="24">
        <f>O301-Q301</f>
        <v>0</v>
      </c>
      <c r="S301" s="53" t="str">
        <f>IF(O301&lt;&gt;0,R301/O301,"")</f>
        <v/>
      </c>
      <c r="T301" s="10"/>
      <c r="U301" s="23">
        <v>8.08</v>
      </c>
      <c r="V301" s="25">
        <v>1</v>
      </c>
      <c r="W301" s="24">
        <v>4.16</v>
      </c>
      <c r="X301" s="24">
        <f>U301-W301</f>
        <v>3.92</v>
      </c>
      <c r="Y301" s="53">
        <f>IF(U301&lt;&gt;0,X301/U301,"")</f>
        <v>0.48514851485148514</v>
      </c>
      <c r="Z301" s="23">
        <v>0</v>
      </c>
      <c r="AA301" s="25">
        <v>0</v>
      </c>
      <c r="AB301" s="24">
        <v>0</v>
      </c>
      <c r="AC301" s="24">
        <f t="shared" si="89"/>
        <v>0</v>
      </c>
      <c r="AD301" s="53" t="str">
        <f t="shared" si="90"/>
        <v/>
      </c>
      <c r="AE301" s="10"/>
    </row>
    <row r="302" spans="1:31" x14ac:dyDescent="0.25">
      <c r="A302" s="14" t="s">
        <v>109</v>
      </c>
      <c r="C302" s="61" t="str">
        <f t="shared" si="88"/>
        <v>C100029</v>
      </c>
      <c r="F302" s="8" t="str">
        <f>"E100014"</f>
        <v>E100014</v>
      </c>
      <c r="G302" s="9" t="str">
        <f>"Stopwatch with Neck Rope"</f>
        <v>Stopwatch with Neck Rope</v>
      </c>
      <c r="H302" s="47"/>
      <c r="I302" s="47"/>
      <c r="J302" s="23">
        <v>388.08000000000004</v>
      </c>
      <c r="K302" s="25">
        <v>144</v>
      </c>
      <c r="L302" s="24">
        <v>185.75</v>
      </c>
      <c r="M302" s="24">
        <f>J302-L302</f>
        <v>202.33000000000004</v>
      </c>
      <c r="N302" s="53">
        <f>IF(J302&lt;&gt;0,M302/J302,"")</f>
        <v>0.5213615749330035</v>
      </c>
      <c r="O302" s="23">
        <v>0</v>
      </c>
      <c r="P302" s="25">
        <v>0</v>
      </c>
      <c r="Q302" s="24">
        <v>0</v>
      </c>
      <c r="R302" s="24">
        <f>O302-Q302</f>
        <v>0</v>
      </c>
      <c r="S302" s="53" t="str">
        <f>IF(O302&lt;&gt;0,R302/O302,"")</f>
        <v/>
      </c>
      <c r="T302" s="10"/>
      <c r="U302" s="23">
        <v>776.16000000000008</v>
      </c>
      <c r="V302" s="25">
        <v>288</v>
      </c>
      <c r="W302" s="24">
        <v>371.5</v>
      </c>
      <c r="X302" s="24">
        <f>U302-W302</f>
        <v>404.66000000000008</v>
      </c>
      <c r="Y302" s="53">
        <f>IF(U302&lt;&gt;0,X302/U302,"")</f>
        <v>0.5213615749330035</v>
      </c>
      <c r="Z302" s="23">
        <v>0</v>
      </c>
      <c r="AA302" s="25">
        <v>0</v>
      </c>
      <c r="AB302" s="24">
        <v>0</v>
      </c>
      <c r="AC302" s="24">
        <f t="shared" si="89"/>
        <v>0</v>
      </c>
      <c r="AD302" s="53" t="str">
        <f t="shared" si="90"/>
        <v/>
      </c>
      <c r="AE302" s="10"/>
    </row>
    <row r="303" spans="1:31" x14ac:dyDescent="0.25">
      <c r="A303" s="14" t="s">
        <v>109</v>
      </c>
      <c r="C303" s="61" t="str">
        <f t="shared" si="88"/>
        <v>C100029</v>
      </c>
      <c r="F303" s="8" t="str">
        <f>"E100015"</f>
        <v>E100015</v>
      </c>
      <c r="G303" s="9" t="str">
        <f>"360 Clip Watch"</f>
        <v>360 Clip Watch</v>
      </c>
      <c r="H303" s="47"/>
      <c r="I303" s="47"/>
      <c r="J303" s="23">
        <v>-2.11</v>
      </c>
      <c r="K303" s="25">
        <v>-1</v>
      </c>
      <c r="L303" s="24">
        <v>-1.02</v>
      </c>
      <c r="M303" s="24">
        <f>J303-L303</f>
        <v>-1.0899999999999999</v>
      </c>
      <c r="N303" s="53">
        <f>IF(J303&lt;&gt;0,M303/J303,"")</f>
        <v>0.51658767772511849</v>
      </c>
      <c r="O303" s="23">
        <v>0</v>
      </c>
      <c r="P303" s="25">
        <v>0</v>
      </c>
      <c r="Q303" s="24">
        <v>0</v>
      </c>
      <c r="R303" s="24">
        <f>O303-Q303</f>
        <v>0</v>
      </c>
      <c r="S303" s="53" t="str">
        <f>IF(O303&lt;&gt;0,R303/O303,"")</f>
        <v/>
      </c>
      <c r="T303" s="10"/>
      <c r="U303" s="23">
        <v>303.43</v>
      </c>
      <c r="V303" s="25">
        <v>144</v>
      </c>
      <c r="W303" s="24">
        <v>146.88</v>
      </c>
      <c r="X303" s="24">
        <f>U303-W303</f>
        <v>156.55000000000001</v>
      </c>
      <c r="Y303" s="53">
        <f>IF(U303&lt;&gt;0,X303/U303,"")</f>
        <v>0.51593448241769113</v>
      </c>
      <c r="Z303" s="23">
        <v>0</v>
      </c>
      <c r="AA303" s="25">
        <v>0</v>
      </c>
      <c r="AB303" s="24">
        <v>0</v>
      </c>
      <c r="AC303" s="24">
        <f t="shared" si="89"/>
        <v>0</v>
      </c>
      <c r="AD303" s="53" t="str">
        <f t="shared" si="90"/>
        <v/>
      </c>
      <c r="AE303" s="10"/>
    </row>
    <row r="304" spans="1:31" x14ac:dyDescent="0.25">
      <c r="A304" s="14" t="s">
        <v>109</v>
      </c>
      <c r="C304" s="61" t="str">
        <f t="shared" si="88"/>
        <v>C100029</v>
      </c>
      <c r="F304" s="8" t="str">
        <f>"E100017"</f>
        <v>E100017</v>
      </c>
      <c r="G304" s="9" t="str">
        <f>"Clip-on Clock with Compass"</f>
        <v>Clip-on Clock with Compass</v>
      </c>
      <c r="H304" s="47"/>
      <c r="I304" s="47"/>
      <c r="J304" s="23">
        <v>9.18</v>
      </c>
      <c r="K304" s="25">
        <v>6</v>
      </c>
      <c r="L304" s="24">
        <v>5.28</v>
      </c>
      <c r="M304" s="24">
        <f>J304-L304</f>
        <v>3.8999999999999995</v>
      </c>
      <c r="N304" s="53">
        <f>IF(J304&lt;&gt;0,M304/J304,"")</f>
        <v>0.42483660130718948</v>
      </c>
      <c r="O304" s="23">
        <v>0</v>
      </c>
      <c r="P304" s="25">
        <v>0</v>
      </c>
      <c r="Q304" s="24">
        <v>0</v>
      </c>
      <c r="R304" s="24">
        <f>O304-Q304</f>
        <v>0</v>
      </c>
      <c r="S304" s="53" t="str">
        <f>IF(O304&lt;&gt;0,R304/O304,"")</f>
        <v/>
      </c>
      <c r="T304" s="10"/>
      <c r="U304" s="23">
        <v>1.53</v>
      </c>
      <c r="V304" s="25">
        <v>1</v>
      </c>
      <c r="W304" s="24">
        <v>0.88</v>
      </c>
      <c r="X304" s="24">
        <f>U304-W304</f>
        <v>0.65</v>
      </c>
      <c r="Y304" s="53">
        <f>IF(U304&lt;&gt;0,X304/U304,"")</f>
        <v>0.42483660130718953</v>
      </c>
      <c r="Z304" s="23">
        <v>0</v>
      </c>
      <c r="AA304" s="25">
        <v>0</v>
      </c>
      <c r="AB304" s="24">
        <v>0</v>
      </c>
      <c r="AC304" s="24">
        <f t="shared" si="89"/>
        <v>0</v>
      </c>
      <c r="AD304" s="53" t="str">
        <f t="shared" si="90"/>
        <v/>
      </c>
      <c r="AE304" s="10"/>
    </row>
    <row r="305" spans="1:31" x14ac:dyDescent="0.25">
      <c r="A305" s="14" t="s">
        <v>109</v>
      </c>
      <c r="C305" s="61" t="str">
        <f t="shared" si="88"/>
        <v>C100029</v>
      </c>
      <c r="F305" s="8" t="str">
        <f>"S100002"</f>
        <v>S100002</v>
      </c>
      <c r="G305" s="9" t="str">
        <f>"Football Graphic Plaque"</f>
        <v>Football Graphic Plaque</v>
      </c>
      <c r="H305" s="47"/>
      <c r="I305" s="47"/>
      <c r="J305" s="23">
        <v>-145.41</v>
      </c>
      <c r="K305" s="25">
        <v>-6</v>
      </c>
      <c r="L305" s="24">
        <v>-71.34</v>
      </c>
      <c r="M305" s="24">
        <f>J305-L305</f>
        <v>-74.069999999999993</v>
      </c>
      <c r="N305" s="53">
        <f>IF(J305&lt;&gt;0,M305/J305,"")</f>
        <v>0.50938724984526507</v>
      </c>
      <c r="O305" s="23">
        <v>0</v>
      </c>
      <c r="P305" s="25">
        <v>0</v>
      </c>
      <c r="Q305" s="24">
        <v>0</v>
      </c>
      <c r="R305" s="24">
        <f>O305-Q305</f>
        <v>0</v>
      </c>
      <c r="S305" s="53" t="str">
        <f>IF(O305&lt;&gt;0,R305/O305,"")</f>
        <v/>
      </c>
      <c r="T305" s="10"/>
      <c r="U305" s="23">
        <v>3489.8900000000003</v>
      </c>
      <c r="V305" s="25">
        <v>144</v>
      </c>
      <c r="W305" s="24">
        <v>1712.1699999999998</v>
      </c>
      <c r="X305" s="24">
        <f>U305-W305</f>
        <v>1777.7200000000005</v>
      </c>
      <c r="Y305" s="53">
        <f>IF(U305&lt;&gt;0,X305/U305,"")</f>
        <v>0.50939141348294659</v>
      </c>
      <c r="Z305" s="23">
        <v>0</v>
      </c>
      <c r="AA305" s="25">
        <v>0</v>
      </c>
      <c r="AB305" s="24">
        <v>0</v>
      </c>
      <c r="AC305" s="24">
        <f t="shared" si="89"/>
        <v>0</v>
      </c>
      <c r="AD305" s="53" t="str">
        <f t="shared" si="90"/>
        <v/>
      </c>
      <c r="AE305" s="10"/>
    </row>
    <row r="306" spans="1:31" x14ac:dyDescent="0.25">
      <c r="A306" s="14" t="s">
        <v>109</v>
      </c>
      <c r="C306" s="61" t="str">
        <f t="shared" si="88"/>
        <v>C100029</v>
      </c>
      <c r="F306" s="8" t="str">
        <f>"S100008"</f>
        <v>S100008</v>
      </c>
      <c r="G306" s="9" t="str">
        <f>"Soccer Figure Trophy"</f>
        <v>Soccer Figure Trophy</v>
      </c>
      <c r="H306" s="47"/>
      <c r="I306" s="47"/>
      <c r="J306" s="23">
        <v>5.8</v>
      </c>
      <c r="K306" s="25">
        <v>1</v>
      </c>
      <c r="L306" s="24">
        <v>3.68</v>
      </c>
      <c r="M306" s="24">
        <f>J306-L306</f>
        <v>2.1199999999999997</v>
      </c>
      <c r="N306" s="53">
        <f>IF(J306&lt;&gt;0,M306/J306,"")</f>
        <v>0.3655172413793103</v>
      </c>
      <c r="O306" s="23">
        <v>0</v>
      </c>
      <c r="P306" s="25">
        <v>0</v>
      </c>
      <c r="Q306" s="24">
        <v>0</v>
      </c>
      <c r="R306" s="24">
        <f>O306-Q306</f>
        <v>0</v>
      </c>
      <c r="S306" s="53" t="str">
        <f>IF(O306&lt;&gt;0,R306/O306,"")</f>
        <v/>
      </c>
      <c r="T306" s="10"/>
      <c r="U306" s="23">
        <v>0</v>
      </c>
      <c r="V306" s="25">
        <v>0</v>
      </c>
      <c r="W306" s="24">
        <v>0</v>
      </c>
      <c r="X306" s="24">
        <f>U306-W306</f>
        <v>0</v>
      </c>
      <c r="Y306" s="53" t="str">
        <f>IF(U306&lt;&gt;0,X306/U306,"")</f>
        <v/>
      </c>
      <c r="Z306" s="23">
        <v>835.37</v>
      </c>
      <c r="AA306" s="25">
        <v>144</v>
      </c>
      <c r="AB306" s="24">
        <v>529.91999999999996</v>
      </c>
      <c r="AC306" s="24">
        <f t="shared" si="89"/>
        <v>305.45000000000005</v>
      </c>
      <c r="AD306" s="53">
        <f t="shared" si="90"/>
        <v>0.36564636029543801</v>
      </c>
      <c r="AE306" s="10"/>
    </row>
    <row r="307" spans="1:31" x14ac:dyDescent="0.25">
      <c r="A307" s="14" t="s">
        <v>109</v>
      </c>
      <c r="C307" s="61" t="str">
        <f t="shared" si="88"/>
        <v>C100029</v>
      </c>
      <c r="F307" s="8" t="str">
        <f>"S100010"</f>
        <v>S100010</v>
      </c>
      <c r="G307" s="9" t="str">
        <f>"Golf Relaxed Cap"</f>
        <v>Golf Relaxed Cap</v>
      </c>
      <c r="H307" s="47"/>
      <c r="I307" s="47"/>
      <c r="J307" s="23">
        <v>242.02</v>
      </c>
      <c r="K307" s="25">
        <v>24</v>
      </c>
      <c r="L307" s="24">
        <v>146.16</v>
      </c>
      <c r="M307" s="24">
        <f>J307-L307</f>
        <v>95.860000000000014</v>
      </c>
      <c r="N307" s="53">
        <f>IF(J307&lt;&gt;0,M307/J307,"")</f>
        <v>0.39608296834972323</v>
      </c>
      <c r="O307" s="23">
        <v>0</v>
      </c>
      <c r="P307" s="25">
        <v>0</v>
      </c>
      <c r="Q307" s="24">
        <v>0</v>
      </c>
      <c r="R307" s="24">
        <f>O307-Q307</f>
        <v>0</v>
      </c>
      <c r="S307" s="53" t="str">
        <f>IF(O307&lt;&gt;0,R307/O307,"")</f>
        <v/>
      </c>
      <c r="T307" s="10"/>
      <c r="U307" s="23">
        <v>0</v>
      </c>
      <c r="V307" s="25">
        <v>0</v>
      </c>
      <c r="W307" s="24">
        <v>0</v>
      </c>
      <c r="X307" s="24">
        <f>U307-W307</f>
        <v>0</v>
      </c>
      <c r="Y307" s="53" t="str">
        <f>IF(U307&lt;&gt;0,X307/U307,"")</f>
        <v/>
      </c>
      <c r="Z307" s="23">
        <v>0</v>
      </c>
      <c r="AA307" s="25">
        <v>0</v>
      </c>
      <c r="AB307" s="24">
        <v>0</v>
      </c>
      <c r="AC307" s="24">
        <f t="shared" si="89"/>
        <v>0</v>
      </c>
      <c r="AD307" s="53" t="str">
        <f t="shared" si="90"/>
        <v/>
      </c>
      <c r="AE307" s="10"/>
    </row>
    <row r="308" spans="1:31" x14ac:dyDescent="0.25">
      <c r="A308" s="14" t="s">
        <v>109</v>
      </c>
      <c r="C308" s="61" t="str">
        <f t="shared" si="88"/>
        <v>C100029</v>
      </c>
      <c r="F308" s="8" t="str">
        <f>"S100019"</f>
        <v>S100019</v>
      </c>
      <c r="G308" s="9" t="str">
        <f>"Sportsman Bucket Hat"</f>
        <v>Sportsman Bucket Hat</v>
      </c>
      <c r="H308" s="47"/>
      <c r="I308" s="47"/>
      <c r="J308" s="23">
        <v>-53.980000000000004</v>
      </c>
      <c r="K308" s="25">
        <v>-12</v>
      </c>
      <c r="L308" s="24">
        <v>-29.16</v>
      </c>
      <c r="M308" s="24">
        <f>J308-L308</f>
        <v>-24.820000000000004</v>
      </c>
      <c r="N308" s="53">
        <f>IF(J308&lt;&gt;0,M308/J308,"")</f>
        <v>0.45979992589848095</v>
      </c>
      <c r="O308" s="23">
        <v>0</v>
      </c>
      <c r="P308" s="25">
        <v>0</v>
      </c>
      <c r="Q308" s="24">
        <v>0</v>
      </c>
      <c r="R308" s="24">
        <f>O308-Q308</f>
        <v>0</v>
      </c>
      <c r="S308" s="53" t="str">
        <f>IF(O308&lt;&gt;0,R308/O308,"")</f>
        <v/>
      </c>
      <c r="T308" s="10"/>
      <c r="U308" s="23">
        <v>1295.52</v>
      </c>
      <c r="V308" s="25">
        <v>288</v>
      </c>
      <c r="W308" s="24">
        <v>699.85</v>
      </c>
      <c r="X308" s="24">
        <f>U308-W308</f>
        <v>595.66999999999996</v>
      </c>
      <c r="Y308" s="53">
        <f>IF(U308&lt;&gt;0,X308/U308,"")</f>
        <v>0.45979220699024326</v>
      </c>
      <c r="Z308" s="23">
        <v>0</v>
      </c>
      <c r="AA308" s="25">
        <v>0</v>
      </c>
      <c r="AB308" s="24">
        <v>0</v>
      </c>
      <c r="AC308" s="24">
        <f t="shared" si="89"/>
        <v>0</v>
      </c>
      <c r="AD308" s="53" t="str">
        <f t="shared" si="90"/>
        <v/>
      </c>
      <c r="AE308" s="10"/>
    </row>
    <row r="309" spans="1:31" x14ac:dyDescent="0.25">
      <c r="A309" s="14" t="s">
        <v>109</v>
      </c>
      <c r="C309" s="61" t="str">
        <f t="shared" si="88"/>
        <v>C100029</v>
      </c>
      <c r="F309" s="8" t="str">
        <f>"S100020"</f>
        <v>S100020</v>
      </c>
      <c r="G309" s="9" t="str">
        <f>"Super Sport Stopwatch"</f>
        <v>Super Sport Stopwatch</v>
      </c>
      <c r="H309" s="47"/>
      <c r="I309" s="47"/>
      <c r="J309" s="23">
        <v>309.72000000000003</v>
      </c>
      <c r="K309" s="25">
        <v>145</v>
      </c>
      <c r="L309" s="24">
        <v>152.25</v>
      </c>
      <c r="M309" s="24">
        <f>J309-L309</f>
        <v>157.47000000000003</v>
      </c>
      <c r="N309" s="53">
        <f>IF(J309&lt;&gt;0,M309/J309,"")</f>
        <v>0.50842696629213491</v>
      </c>
      <c r="O309" s="23">
        <v>0</v>
      </c>
      <c r="P309" s="25">
        <v>0</v>
      </c>
      <c r="Q309" s="24">
        <v>0</v>
      </c>
      <c r="R309" s="24">
        <f>O309-Q309</f>
        <v>0</v>
      </c>
      <c r="S309" s="53" t="str">
        <f>IF(O309&lt;&gt;0,R309/O309,"")</f>
        <v/>
      </c>
      <c r="T309" s="10"/>
      <c r="U309" s="23">
        <v>0</v>
      </c>
      <c r="V309" s="25">
        <v>0</v>
      </c>
      <c r="W309" s="24">
        <v>0</v>
      </c>
      <c r="X309" s="24">
        <f>U309-W309</f>
        <v>0</v>
      </c>
      <c r="Y309" s="53" t="str">
        <f>IF(U309&lt;&gt;0,X309/U309,"")</f>
        <v/>
      </c>
      <c r="Z309" s="23">
        <v>0</v>
      </c>
      <c r="AA309" s="25">
        <v>0</v>
      </c>
      <c r="AB309" s="24">
        <v>0</v>
      </c>
      <c r="AC309" s="24">
        <f t="shared" si="89"/>
        <v>0</v>
      </c>
      <c r="AD309" s="53" t="str">
        <f t="shared" si="90"/>
        <v/>
      </c>
      <c r="AE309" s="10"/>
    </row>
    <row r="310" spans="1:31" ht="15.75" thickBot="1" x14ac:dyDescent="0.3">
      <c r="A310" s="14" t="s">
        <v>109</v>
      </c>
      <c r="C310" s="61" t="str">
        <f>C297</f>
        <v>C100029</v>
      </c>
      <c r="J310" s="10"/>
      <c r="K310" s="11"/>
      <c r="L310" s="11"/>
      <c r="M310" s="11"/>
      <c r="N310" s="12"/>
      <c r="O310" s="10"/>
      <c r="P310" s="11"/>
      <c r="Q310" s="11"/>
      <c r="R310" s="11"/>
      <c r="S310" s="12"/>
      <c r="U310" s="10"/>
      <c r="V310" s="11"/>
      <c r="W310" s="11"/>
      <c r="X310" s="11"/>
      <c r="Y310" s="12"/>
      <c r="Z310" s="10"/>
      <c r="AA310" s="11"/>
      <c r="AB310" s="11"/>
      <c r="AC310" s="11"/>
      <c r="AD310" s="12"/>
    </row>
    <row r="311" spans="1:31" ht="15.75" thickBot="1" x14ac:dyDescent="0.3">
      <c r="A311" s="14" t="s">
        <v>109</v>
      </c>
      <c r="C311" s="61" t="str">
        <f t="shared" si="85"/>
        <v>C100029</v>
      </c>
      <c r="G311" s="48" t="str">
        <f>C311&amp;" TOTAL:"</f>
        <v>C100029 TOTAL:</v>
      </c>
      <c r="H311" s="50"/>
      <c r="I311" s="50"/>
      <c r="J311" s="34">
        <f>SUBTOTAL(9,J296:J310)</f>
        <v>19982.170000000006</v>
      </c>
      <c r="K311" s="35">
        <f>SUBTOTAL(9,K296:K310)</f>
        <v>1165</v>
      </c>
      <c r="L311" s="36">
        <f>SUBTOTAL(9,L296:L310)</f>
        <v>10521.969999999998</v>
      </c>
      <c r="M311" s="36">
        <f>J311-L311</f>
        <v>9460.200000000008</v>
      </c>
      <c r="N311" s="37">
        <f>IF(J311&lt;&gt;0,M311/J311,"")</f>
        <v>0.47343206468566756</v>
      </c>
      <c r="O311" s="34">
        <f>SUBTOTAL(9,O296:O310)</f>
        <v>0</v>
      </c>
      <c r="P311" s="35">
        <f>SUBTOTAL(9,P296:P310)</f>
        <v>0</v>
      </c>
      <c r="Q311" s="36">
        <f>SUBTOTAL(9,Q296:Q310)</f>
        <v>0</v>
      </c>
      <c r="R311" s="36">
        <f>O311-Q311</f>
        <v>0</v>
      </c>
      <c r="S311" s="37" t="str">
        <f>IF(O311&lt;&gt;0,R311/O311,"")</f>
        <v/>
      </c>
      <c r="U311" s="34">
        <f>SUBTOTAL(9,U296:U310)</f>
        <v>7729.85</v>
      </c>
      <c r="V311" s="35">
        <f>SUBTOTAL(9,V296:V310)</f>
        <v>1040</v>
      </c>
      <c r="W311" s="36">
        <f>SUBTOTAL(9,W296:W310)</f>
        <v>3967.4900000000002</v>
      </c>
      <c r="X311" s="36">
        <f>U311-W311</f>
        <v>3762.36</v>
      </c>
      <c r="Y311" s="37">
        <f>IF(U311&lt;&gt;0,X311/U311,"")</f>
        <v>0.48673130785202817</v>
      </c>
      <c r="Z311" s="34">
        <f>SUBTOTAL(9,Z296:Z310)</f>
        <v>835.37</v>
      </c>
      <c r="AA311" s="35">
        <f>SUBTOTAL(9,AA296:AA310)</f>
        <v>144</v>
      </c>
      <c r="AB311" s="36">
        <f>SUBTOTAL(9,AB296:AB310)</f>
        <v>529.91999999999996</v>
      </c>
      <c r="AC311" s="36">
        <f t="shared" ref="AC311" si="91">Z311-AB311</f>
        <v>305.45000000000005</v>
      </c>
      <c r="AD311" s="37">
        <f t="shared" ref="AD311" si="92">IF(Z311&lt;&gt;0,AC311/Z311,"")</f>
        <v>0.36564636029543801</v>
      </c>
    </row>
    <row r="312" spans="1:31" x14ac:dyDescent="0.25">
      <c r="A312" s="14" t="s">
        <v>109</v>
      </c>
      <c r="C312" s="66"/>
      <c r="J312" s="10"/>
      <c r="K312" s="11"/>
      <c r="L312" s="11"/>
      <c r="M312" s="11"/>
      <c r="N312" s="12"/>
      <c r="O312" s="10"/>
      <c r="P312" s="11"/>
      <c r="Q312" s="11"/>
      <c r="R312" s="11"/>
      <c r="S312" s="12"/>
      <c r="U312" s="10"/>
      <c r="V312" s="11"/>
      <c r="W312" s="11"/>
      <c r="X312" s="11"/>
      <c r="Y312" s="12"/>
      <c r="Z312" s="10"/>
      <c r="AA312" s="11"/>
      <c r="AB312" s="11"/>
      <c r="AC312" s="11"/>
      <c r="AD312" s="12"/>
    </row>
    <row r="313" spans="1:31" ht="15.75" x14ac:dyDescent="0.25">
      <c r="A313" s="14" t="s">
        <v>109</v>
      </c>
      <c r="C313" s="66" t="str">
        <f t="shared" ref="C313" si="93">E313</f>
        <v>C100030</v>
      </c>
      <c r="E313" s="13" t="str">
        <f>"C100030"</f>
        <v>C100030</v>
      </c>
      <c r="F313" s="13"/>
      <c r="G313" s="13" t="str">
        <f>"Stutringers"</f>
        <v>Stutringers</v>
      </c>
      <c r="H313" s="13"/>
      <c r="I313" s="13"/>
      <c r="J313" s="10"/>
      <c r="K313" s="11"/>
      <c r="L313" s="11"/>
      <c r="M313" s="11"/>
      <c r="N313" s="12"/>
      <c r="O313" s="10"/>
      <c r="P313" s="11"/>
      <c r="Q313" s="11"/>
      <c r="R313" s="11"/>
      <c r="S313" s="12"/>
      <c r="U313" s="10"/>
      <c r="V313" s="11"/>
      <c r="W313" s="11"/>
      <c r="X313" s="11"/>
      <c r="Y313" s="12"/>
      <c r="Z313" s="10"/>
      <c r="AA313" s="11"/>
      <c r="AB313" s="11"/>
      <c r="AC313" s="11"/>
      <c r="AD313" s="12"/>
    </row>
    <row r="314" spans="1:31" ht="6.6" customHeight="1" x14ac:dyDescent="0.25">
      <c r="A314" s="14" t="s">
        <v>109</v>
      </c>
      <c r="C314" s="61" t="str">
        <f t="shared" ref="C314:C346" si="94">C313</f>
        <v>C100030</v>
      </c>
      <c r="J314" s="10"/>
      <c r="K314" s="11"/>
      <c r="L314" s="11"/>
      <c r="M314" s="11"/>
      <c r="N314" s="12"/>
      <c r="O314" s="10"/>
      <c r="P314" s="11"/>
      <c r="Q314" s="11"/>
      <c r="R314" s="11"/>
      <c r="S314" s="12"/>
      <c r="U314" s="10"/>
      <c r="V314" s="11"/>
      <c r="W314" s="11"/>
      <c r="X314" s="11"/>
      <c r="Y314" s="12"/>
      <c r="Z314" s="10"/>
      <c r="AA314" s="11"/>
      <c r="AB314" s="11"/>
      <c r="AC314" s="11"/>
      <c r="AD314" s="12"/>
    </row>
    <row r="315" spans="1:31" x14ac:dyDescent="0.25">
      <c r="A315" s="14" t="s">
        <v>109</v>
      </c>
      <c r="C315" s="61" t="str">
        <f t="shared" si="94"/>
        <v>C100030</v>
      </c>
      <c r="F315" s="8" t="str">
        <f>"C100002"</f>
        <v>C100002</v>
      </c>
      <c r="G315" s="9" t="str">
        <f>"Border Style"</f>
        <v>Border Style</v>
      </c>
      <c r="H315" s="47"/>
      <c r="I315" s="47"/>
      <c r="J315" s="23">
        <v>53.059999999999995</v>
      </c>
      <c r="K315" s="25">
        <v>1</v>
      </c>
      <c r="L315" s="24">
        <v>31.950000000000003</v>
      </c>
      <c r="M315" s="24">
        <f>J315-L315</f>
        <v>21.109999999999992</v>
      </c>
      <c r="N315" s="53">
        <f>IF(J315&lt;&gt;0,M315/J315,"")</f>
        <v>0.39785148888051253</v>
      </c>
      <c r="O315" s="23">
        <v>0</v>
      </c>
      <c r="P315" s="25">
        <v>0</v>
      </c>
      <c r="Q315" s="24">
        <v>0</v>
      </c>
      <c r="R315" s="24">
        <f>O315-Q315</f>
        <v>0</v>
      </c>
      <c r="S315" s="53" t="str">
        <f>IF(O315&lt;&gt;0,R315/O315,"")</f>
        <v/>
      </c>
      <c r="T315" s="10"/>
      <c r="U315" s="23">
        <v>0</v>
      </c>
      <c r="V315" s="25">
        <v>0</v>
      </c>
      <c r="W315" s="24">
        <v>0</v>
      </c>
      <c r="X315" s="24">
        <f>U315-W315</f>
        <v>0</v>
      </c>
      <c r="Y315" s="53" t="str">
        <f>IF(U315&lt;&gt;0,X315/U315,"")</f>
        <v/>
      </c>
      <c r="Z315" s="23">
        <v>2573.3700000000003</v>
      </c>
      <c r="AA315" s="25">
        <v>48</v>
      </c>
      <c r="AB315" s="24">
        <v>1533.6</v>
      </c>
      <c r="AC315" s="24">
        <f t="shared" ref="AC315" si="95">Z315-AB315</f>
        <v>1039.7700000000004</v>
      </c>
      <c r="AD315" s="53">
        <f t="shared" ref="AD315" si="96">IF(Z315&lt;&gt;0,AC315/Z315,"")</f>
        <v>0.4040499422935685</v>
      </c>
      <c r="AE315" s="10"/>
    </row>
    <row r="316" spans="1:31" x14ac:dyDescent="0.25">
      <c r="A316" s="14" t="s">
        <v>109</v>
      </c>
      <c r="C316" s="61" t="str">
        <f t="shared" ref="C316:C344" si="97">C315</f>
        <v>C100030</v>
      </c>
      <c r="F316" s="8" t="str">
        <f>"C100005"</f>
        <v>C100005</v>
      </c>
      <c r="G316" s="9" t="str">
        <f>"Cherry Finished Crystal Award"</f>
        <v>Cherry Finished Crystal Award</v>
      </c>
      <c r="H316" s="47"/>
      <c r="I316" s="47"/>
      <c r="J316" s="23">
        <v>6539.5099999999993</v>
      </c>
      <c r="K316" s="25">
        <v>48</v>
      </c>
      <c r="L316" s="24">
        <v>3404.64</v>
      </c>
      <c r="M316" s="24">
        <f>J316-L316</f>
        <v>3134.8699999999994</v>
      </c>
      <c r="N316" s="53">
        <f>IF(J316&lt;&gt;0,M316/J316,"")</f>
        <v>0.47937383687768653</v>
      </c>
      <c r="O316" s="23">
        <v>0</v>
      </c>
      <c r="P316" s="25">
        <v>0</v>
      </c>
      <c r="Q316" s="24">
        <v>0</v>
      </c>
      <c r="R316" s="24">
        <f>O316-Q316</f>
        <v>0</v>
      </c>
      <c r="S316" s="53" t="str">
        <f>IF(O316&lt;&gt;0,R316/O316,"")</f>
        <v/>
      </c>
      <c r="T316" s="10"/>
      <c r="U316" s="23">
        <v>0</v>
      </c>
      <c r="V316" s="25">
        <v>0</v>
      </c>
      <c r="W316" s="24">
        <v>0</v>
      </c>
      <c r="X316" s="24">
        <f>U316-W316</f>
        <v>0</v>
      </c>
      <c r="Y316" s="53" t="str">
        <f>IF(U316&lt;&gt;0,X316/U316,"")</f>
        <v/>
      </c>
      <c r="Z316" s="23">
        <v>0</v>
      </c>
      <c r="AA316" s="25">
        <v>0</v>
      </c>
      <c r="AB316" s="24">
        <v>0</v>
      </c>
      <c r="AC316" s="24">
        <f t="shared" ref="AC316:AC344" si="98">Z316-AB316</f>
        <v>0</v>
      </c>
      <c r="AD316" s="53" t="str">
        <f t="shared" ref="AD316:AD344" si="99">IF(Z316&lt;&gt;0,AC316/Z316,"")</f>
        <v/>
      </c>
      <c r="AE316" s="10"/>
    </row>
    <row r="317" spans="1:31" x14ac:dyDescent="0.25">
      <c r="A317" s="14" t="s">
        <v>109</v>
      </c>
      <c r="C317" s="61" t="str">
        <f t="shared" si="97"/>
        <v>C100030</v>
      </c>
      <c r="F317" s="8" t="str">
        <f>"C100006"</f>
        <v>C100006</v>
      </c>
      <c r="G317" s="9" t="str">
        <f>"Cherry Finished Crystal Award- Large"</f>
        <v>Cherry Finished Crystal Award- Large</v>
      </c>
      <c r="H317" s="47"/>
      <c r="I317" s="47"/>
      <c r="J317" s="23">
        <v>14301.759999999998</v>
      </c>
      <c r="K317" s="25">
        <v>72</v>
      </c>
      <c r="L317" s="24">
        <v>6842.8799999999992</v>
      </c>
      <c r="M317" s="24">
        <f>J317-L317</f>
        <v>7458.8799999999992</v>
      </c>
      <c r="N317" s="53">
        <f>IF(J317&lt;&gt;0,M317/J317,"")</f>
        <v>0.52153581097711055</v>
      </c>
      <c r="O317" s="23">
        <v>0</v>
      </c>
      <c r="P317" s="25">
        <v>0</v>
      </c>
      <c r="Q317" s="24">
        <v>0</v>
      </c>
      <c r="R317" s="24">
        <f>O317-Q317</f>
        <v>0</v>
      </c>
      <c r="S317" s="53" t="str">
        <f>IF(O317&lt;&gt;0,R317/O317,"")</f>
        <v/>
      </c>
      <c r="T317" s="10"/>
      <c r="U317" s="23">
        <v>0</v>
      </c>
      <c r="V317" s="25">
        <v>0</v>
      </c>
      <c r="W317" s="24">
        <v>0</v>
      </c>
      <c r="X317" s="24">
        <f>U317-W317</f>
        <v>0</v>
      </c>
      <c r="Y317" s="53" t="str">
        <f>IF(U317&lt;&gt;0,X317/U317,"")</f>
        <v/>
      </c>
      <c r="Z317" s="23">
        <v>0</v>
      </c>
      <c r="AA317" s="25">
        <v>0</v>
      </c>
      <c r="AB317" s="24">
        <v>0</v>
      </c>
      <c r="AC317" s="24">
        <f t="shared" si="98"/>
        <v>0</v>
      </c>
      <c r="AD317" s="53" t="str">
        <f t="shared" si="99"/>
        <v/>
      </c>
      <c r="AE317" s="10"/>
    </row>
    <row r="318" spans="1:31" x14ac:dyDescent="0.25">
      <c r="A318" s="14" t="s">
        <v>109</v>
      </c>
      <c r="C318" s="61" t="str">
        <f t="shared" si="97"/>
        <v>C100030</v>
      </c>
      <c r="F318" s="8" t="str">
        <f>"C100007"</f>
        <v>C100007</v>
      </c>
      <c r="G318" s="9" t="str">
        <f>"7.5'' Bud Vase"</f>
        <v>7.5'' Bud Vase</v>
      </c>
      <c r="H318" s="47"/>
      <c r="I318" s="47"/>
      <c r="J318" s="23">
        <v>1.63</v>
      </c>
      <c r="K318" s="25">
        <v>1</v>
      </c>
      <c r="L318" s="24">
        <v>1.02</v>
      </c>
      <c r="M318" s="24">
        <f>J318-L318</f>
        <v>0.60999999999999988</v>
      </c>
      <c r="N318" s="53">
        <f>IF(J318&lt;&gt;0,M318/J318,"")</f>
        <v>0.37423312883435578</v>
      </c>
      <c r="O318" s="23">
        <v>0</v>
      </c>
      <c r="P318" s="25">
        <v>0</v>
      </c>
      <c r="Q318" s="24">
        <v>0</v>
      </c>
      <c r="R318" s="24">
        <f>O318-Q318</f>
        <v>0</v>
      </c>
      <c r="S318" s="53" t="str">
        <f>IF(O318&lt;&gt;0,R318/O318,"")</f>
        <v/>
      </c>
      <c r="T318" s="10"/>
      <c r="U318" s="23">
        <v>79.98</v>
      </c>
      <c r="V318" s="25">
        <v>48</v>
      </c>
      <c r="W318" s="24">
        <v>48.96</v>
      </c>
      <c r="X318" s="24">
        <f>U318-W318</f>
        <v>31.020000000000003</v>
      </c>
      <c r="Y318" s="53">
        <f>IF(U318&lt;&gt;0,X318/U318,"")</f>
        <v>0.38784696174043515</v>
      </c>
      <c r="Z318" s="23">
        <v>0</v>
      </c>
      <c r="AA318" s="25">
        <v>0</v>
      </c>
      <c r="AB318" s="24">
        <v>0</v>
      </c>
      <c r="AC318" s="24">
        <f t="shared" si="98"/>
        <v>0</v>
      </c>
      <c r="AD318" s="53" t="str">
        <f t="shared" si="99"/>
        <v/>
      </c>
      <c r="AE318" s="10"/>
    </row>
    <row r="319" spans="1:31" x14ac:dyDescent="0.25">
      <c r="A319" s="14" t="s">
        <v>109</v>
      </c>
      <c r="C319" s="61" t="str">
        <f t="shared" si="97"/>
        <v>C100030</v>
      </c>
      <c r="F319" s="8" t="str">
        <f>"C100008"</f>
        <v>C100008</v>
      </c>
      <c r="G319" s="9" t="str">
        <f>"Glacier Vase"</f>
        <v>Glacier Vase</v>
      </c>
      <c r="H319" s="47"/>
      <c r="I319" s="47"/>
      <c r="J319" s="23">
        <v>8.68</v>
      </c>
      <c r="K319" s="25">
        <v>1</v>
      </c>
      <c r="L319" s="24">
        <v>4.25</v>
      </c>
      <c r="M319" s="24">
        <f>J319-L319</f>
        <v>4.43</v>
      </c>
      <c r="N319" s="53">
        <f>IF(J319&lt;&gt;0,M319/J319,"")</f>
        <v>0.51036866359447008</v>
      </c>
      <c r="O319" s="23">
        <v>2528.08</v>
      </c>
      <c r="P319" s="25">
        <v>288</v>
      </c>
      <c r="Q319" s="24">
        <v>1223.98</v>
      </c>
      <c r="R319" s="24">
        <f>O319-Q319</f>
        <v>1304.0999999999999</v>
      </c>
      <c r="S319" s="53">
        <f>IF(O319&lt;&gt;0,R319/O319,"")</f>
        <v>0.51584601753109072</v>
      </c>
      <c r="T319" s="10"/>
      <c r="U319" s="23">
        <v>0</v>
      </c>
      <c r="V319" s="25">
        <v>0</v>
      </c>
      <c r="W319" s="24">
        <v>0</v>
      </c>
      <c r="X319" s="24">
        <f>U319-W319</f>
        <v>0</v>
      </c>
      <c r="Y319" s="53" t="str">
        <f>IF(U319&lt;&gt;0,X319/U319,"")</f>
        <v/>
      </c>
      <c r="Z319" s="23">
        <v>0</v>
      </c>
      <c r="AA319" s="25">
        <v>0</v>
      </c>
      <c r="AB319" s="24">
        <v>0</v>
      </c>
      <c r="AC319" s="24">
        <f t="shared" si="98"/>
        <v>0</v>
      </c>
      <c r="AD319" s="53" t="str">
        <f t="shared" si="99"/>
        <v/>
      </c>
      <c r="AE319" s="10"/>
    </row>
    <row r="320" spans="1:31" x14ac:dyDescent="0.25">
      <c r="A320" s="14" t="s">
        <v>109</v>
      </c>
      <c r="C320" s="61" t="str">
        <f t="shared" si="97"/>
        <v>C100030</v>
      </c>
      <c r="F320" s="8" t="str">
        <f>"C100009"</f>
        <v>C100009</v>
      </c>
      <c r="G320" s="9" t="str">
        <f>"Normandy Vase"</f>
        <v>Normandy Vase</v>
      </c>
      <c r="H320" s="47"/>
      <c r="I320" s="47"/>
      <c r="J320" s="23">
        <v>0</v>
      </c>
      <c r="K320" s="25">
        <v>0</v>
      </c>
      <c r="L320" s="24">
        <v>0</v>
      </c>
      <c r="M320" s="24">
        <f>J320-L320</f>
        <v>0</v>
      </c>
      <c r="N320" s="53" t="str">
        <f>IF(J320&lt;&gt;0,M320/J320,"")</f>
        <v/>
      </c>
      <c r="O320" s="23">
        <v>38.619999999999997</v>
      </c>
      <c r="P320" s="25">
        <v>1</v>
      </c>
      <c r="Q320" s="24">
        <v>25.52</v>
      </c>
      <c r="R320" s="24">
        <f>O320-Q320</f>
        <v>13.099999999999998</v>
      </c>
      <c r="S320" s="53">
        <f>IF(O320&lt;&gt;0,R320/O320,"")</f>
        <v>0.33920248575867423</v>
      </c>
      <c r="T320" s="10"/>
      <c r="U320" s="23">
        <v>1853.53</v>
      </c>
      <c r="V320" s="25">
        <v>48</v>
      </c>
      <c r="W320" s="24">
        <v>1224.95</v>
      </c>
      <c r="X320" s="24">
        <f>U320-W320</f>
        <v>628.57999999999993</v>
      </c>
      <c r="Y320" s="53">
        <f>IF(U320&lt;&gt;0,X320/U320,"")</f>
        <v>0.33912588412380695</v>
      </c>
      <c r="Z320" s="23">
        <v>0</v>
      </c>
      <c r="AA320" s="25">
        <v>0</v>
      </c>
      <c r="AB320" s="24">
        <v>0</v>
      </c>
      <c r="AC320" s="24">
        <f t="shared" si="98"/>
        <v>0</v>
      </c>
      <c r="AD320" s="53" t="str">
        <f t="shared" si="99"/>
        <v/>
      </c>
      <c r="AE320" s="10"/>
    </row>
    <row r="321" spans="1:31" x14ac:dyDescent="0.25">
      <c r="A321" s="14" t="s">
        <v>109</v>
      </c>
      <c r="C321" s="61" t="str">
        <f t="shared" si="97"/>
        <v>C100030</v>
      </c>
      <c r="F321" s="8" t="str">
        <f>"C100010"</f>
        <v>C100010</v>
      </c>
      <c r="G321" s="9" t="str">
        <f>"Wisper-Cut Vase"</f>
        <v>Wisper-Cut Vase</v>
      </c>
      <c r="H321" s="47"/>
      <c r="I321" s="47"/>
      <c r="J321" s="23">
        <v>0</v>
      </c>
      <c r="K321" s="25">
        <v>0</v>
      </c>
      <c r="L321" s="24">
        <v>0</v>
      </c>
      <c r="M321" s="24">
        <f>J321-L321</f>
        <v>0</v>
      </c>
      <c r="N321" s="53" t="str">
        <f>IF(J321&lt;&gt;0,M321/J321,"")</f>
        <v/>
      </c>
      <c r="O321" s="23">
        <v>4080.6600000000003</v>
      </c>
      <c r="P321" s="25">
        <v>50</v>
      </c>
      <c r="Q321" s="24">
        <v>2012.49</v>
      </c>
      <c r="R321" s="24">
        <f>O321-Q321</f>
        <v>2068.17</v>
      </c>
      <c r="S321" s="53">
        <f>IF(O321&lt;&gt;0,R321/O321,"")</f>
        <v>0.50682242578406433</v>
      </c>
      <c r="T321" s="10"/>
      <c r="U321" s="23">
        <v>0</v>
      </c>
      <c r="V321" s="25">
        <v>0</v>
      </c>
      <c r="W321" s="24">
        <v>0</v>
      </c>
      <c r="X321" s="24">
        <f>U321-W321</f>
        <v>0</v>
      </c>
      <c r="Y321" s="53" t="str">
        <f>IF(U321&lt;&gt;0,X321/U321,"")</f>
        <v/>
      </c>
      <c r="Z321" s="23">
        <v>0</v>
      </c>
      <c r="AA321" s="25">
        <v>0</v>
      </c>
      <c r="AB321" s="24">
        <v>0</v>
      </c>
      <c r="AC321" s="24">
        <f t="shared" si="98"/>
        <v>0</v>
      </c>
      <c r="AD321" s="53" t="str">
        <f t="shared" si="99"/>
        <v/>
      </c>
      <c r="AE321" s="10"/>
    </row>
    <row r="322" spans="1:31" x14ac:dyDescent="0.25">
      <c r="A322" s="14" t="s">
        <v>109</v>
      </c>
      <c r="C322" s="61" t="str">
        <f t="shared" si="97"/>
        <v>C100030</v>
      </c>
      <c r="F322" s="8" t="str">
        <f>"C100031"</f>
        <v>C100031</v>
      </c>
      <c r="G322" s="9" t="str">
        <f>"Carabiner Watch"</f>
        <v>Carabiner Watch</v>
      </c>
      <c r="H322" s="47"/>
      <c r="I322" s="47"/>
      <c r="J322" s="23">
        <v>5453.4000000000005</v>
      </c>
      <c r="K322" s="25">
        <v>301</v>
      </c>
      <c r="L322" s="24">
        <v>2582.59</v>
      </c>
      <c r="M322" s="24">
        <f>J322-L322</f>
        <v>2870.8100000000004</v>
      </c>
      <c r="N322" s="53">
        <f>IF(J322&lt;&gt;0,M322/J322,"")</f>
        <v>0.52642571606704081</v>
      </c>
      <c r="O322" s="23">
        <v>18.510000000000002</v>
      </c>
      <c r="P322" s="25">
        <v>1</v>
      </c>
      <c r="Q322" s="24">
        <v>8.58</v>
      </c>
      <c r="R322" s="24">
        <f>O322-Q322</f>
        <v>9.9300000000000015</v>
      </c>
      <c r="S322" s="53">
        <f>IF(O322&lt;&gt;0,R322/O322,"")</f>
        <v>0.53646677471636961</v>
      </c>
      <c r="T322" s="10"/>
      <c r="U322" s="23">
        <v>2682.8900000000003</v>
      </c>
      <c r="V322" s="25">
        <v>145</v>
      </c>
      <c r="W322" s="24">
        <v>1244.1000000000001</v>
      </c>
      <c r="X322" s="24">
        <f>U322-W322</f>
        <v>1438.7900000000002</v>
      </c>
      <c r="Y322" s="53">
        <f>IF(U322&lt;&gt;0,X322/U322,"")</f>
        <v>0.53628363443898186</v>
      </c>
      <c r="Z322" s="23">
        <v>0</v>
      </c>
      <c r="AA322" s="25">
        <v>0</v>
      </c>
      <c r="AB322" s="24">
        <v>0</v>
      </c>
      <c r="AC322" s="24">
        <f t="shared" si="98"/>
        <v>0</v>
      </c>
      <c r="AD322" s="53" t="str">
        <f t="shared" si="99"/>
        <v/>
      </c>
      <c r="AE322" s="10"/>
    </row>
    <row r="323" spans="1:31" x14ac:dyDescent="0.25">
      <c r="A323" s="14" t="s">
        <v>109</v>
      </c>
      <c r="C323" s="61" t="str">
        <f t="shared" si="97"/>
        <v>C100030</v>
      </c>
      <c r="F323" s="8" t="str">
        <f>"C100032"</f>
        <v>C100032</v>
      </c>
      <c r="G323" s="9" t="str">
        <f>"Clip-on Clock"</f>
        <v>Clip-on Clock</v>
      </c>
      <c r="H323" s="47"/>
      <c r="I323" s="47"/>
      <c r="J323" s="23">
        <v>1611.7300000000002</v>
      </c>
      <c r="K323" s="25">
        <v>204</v>
      </c>
      <c r="L323" s="24">
        <v>848.65</v>
      </c>
      <c r="M323" s="24">
        <f>J323-L323</f>
        <v>763.08000000000027</v>
      </c>
      <c r="N323" s="53">
        <f>IF(J323&lt;&gt;0,M323/J323,"")</f>
        <v>0.4734539904326408</v>
      </c>
      <c r="O323" s="23">
        <v>0</v>
      </c>
      <c r="P323" s="25">
        <v>0</v>
      </c>
      <c r="Q323" s="24">
        <v>0</v>
      </c>
      <c r="R323" s="24">
        <f>O323-Q323</f>
        <v>0</v>
      </c>
      <c r="S323" s="53" t="str">
        <f>IF(O323&lt;&gt;0,R323/O323,"")</f>
        <v/>
      </c>
      <c r="T323" s="10"/>
      <c r="U323" s="23">
        <v>2325.65</v>
      </c>
      <c r="V323" s="25">
        <v>288</v>
      </c>
      <c r="W323" s="24">
        <v>1198.1099999999999</v>
      </c>
      <c r="X323" s="24">
        <f>U323-W323</f>
        <v>1127.5400000000002</v>
      </c>
      <c r="Y323" s="53">
        <f>IF(U323&lt;&gt;0,X323/U323,"")</f>
        <v>0.48482789757702155</v>
      </c>
      <c r="Z323" s="23">
        <v>0</v>
      </c>
      <c r="AA323" s="25">
        <v>0</v>
      </c>
      <c r="AB323" s="24">
        <v>0</v>
      </c>
      <c r="AC323" s="24">
        <f t="shared" si="98"/>
        <v>0</v>
      </c>
      <c r="AD323" s="53" t="str">
        <f t="shared" si="99"/>
        <v/>
      </c>
      <c r="AE323" s="10"/>
    </row>
    <row r="324" spans="1:31" x14ac:dyDescent="0.25">
      <c r="A324" s="14" t="s">
        <v>109</v>
      </c>
      <c r="C324" s="61" t="str">
        <f t="shared" si="97"/>
        <v>C100030</v>
      </c>
      <c r="F324" s="8" t="str">
        <f>"C100033"</f>
        <v>C100033</v>
      </c>
      <c r="G324" s="9" t="str">
        <f>"Frames &amp; Clock"</f>
        <v>Frames &amp; Clock</v>
      </c>
      <c r="H324" s="47"/>
      <c r="I324" s="47"/>
      <c r="J324" s="23">
        <v>1991.25</v>
      </c>
      <c r="K324" s="25">
        <v>433</v>
      </c>
      <c r="L324" s="24">
        <v>1246.99</v>
      </c>
      <c r="M324" s="24">
        <f>J324-L324</f>
        <v>744.26</v>
      </c>
      <c r="N324" s="53">
        <f>IF(J324&lt;&gt;0,M324/J324,"")</f>
        <v>0.3737652228499686</v>
      </c>
      <c r="O324" s="23">
        <v>1352.22</v>
      </c>
      <c r="P324" s="25">
        <v>288</v>
      </c>
      <c r="Q324" s="24">
        <v>829.4</v>
      </c>
      <c r="R324" s="24">
        <f>O324-Q324</f>
        <v>522.82000000000005</v>
      </c>
      <c r="S324" s="53">
        <f>IF(O324&lt;&gt;0,R324/O324,"")</f>
        <v>0.38663826892073777</v>
      </c>
      <c r="T324" s="10"/>
      <c r="U324" s="23">
        <v>0</v>
      </c>
      <c r="V324" s="25">
        <v>0</v>
      </c>
      <c r="W324" s="24">
        <v>0</v>
      </c>
      <c r="X324" s="24">
        <f>U324-W324</f>
        <v>0</v>
      </c>
      <c r="Y324" s="53" t="str">
        <f>IF(U324&lt;&gt;0,X324/U324,"")</f>
        <v/>
      </c>
      <c r="Z324" s="23">
        <v>0</v>
      </c>
      <c r="AA324" s="25">
        <v>0</v>
      </c>
      <c r="AB324" s="24">
        <v>0</v>
      </c>
      <c r="AC324" s="24">
        <f t="shared" si="98"/>
        <v>0</v>
      </c>
      <c r="AD324" s="53" t="str">
        <f t="shared" si="99"/>
        <v/>
      </c>
      <c r="AE324" s="10"/>
    </row>
    <row r="325" spans="1:31" x14ac:dyDescent="0.25">
      <c r="A325" s="14" t="s">
        <v>109</v>
      </c>
      <c r="C325" s="61" t="str">
        <f t="shared" si="97"/>
        <v>C100030</v>
      </c>
      <c r="F325" s="8" t="str">
        <f>"C100034"</f>
        <v>C100034</v>
      </c>
      <c r="G325" s="9" t="str">
        <f>"Clock &amp; Pen Holder"</f>
        <v>Clock &amp; Pen Holder</v>
      </c>
      <c r="H325" s="47"/>
      <c r="I325" s="47"/>
      <c r="J325" s="23">
        <v>2190.1299999999997</v>
      </c>
      <c r="K325" s="25">
        <v>144</v>
      </c>
      <c r="L325" s="24">
        <v>1422.71</v>
      </c>
      <c r="M325" s="24">
        <f>J325-L325</f>
        <v>767.41999999999962</v>
      </c>
      <c r="N325" s="53">
        <f>IF(J325&lt;&gt;0,M325/J325,"")</f>
        <v>0.3503992913662658</v>
      </c>
      <c r="O325" s="23">
        <v>753.09</v>
      </c>
      <c r="P325" s="25">
        <v>48</v>
      </c>
      <c r="Q325" s="24">
        <v>474.24</v>
      </c>
      <c r="R325" s="24">
        <f>O325-Q325</f>
        <v>278.85000000000002</v>
      </c>
      <c r="S325" s="53">
        <f>IF(O325&lt;&gt;0,R325/O325,"")</f>
        <v>0.37027446918694978</v>
      </c>
      <c r="T325" s="10"/>
      <c r="U325" s="23">
        <v>2213.1799999999998</v>
      </c>
      <c r="V325" s="25">
        <v>144</v>
      </c>
      <c r="W325" s="24">
        <v>1422.71</v>
      </c>
      <c r="X325" s="24">
        <f>U325-W325</f>
        <v>790.4699999999998</v>
      </c>
      <c r="Y325" s="53">
        <f>IF(U325&lt;&gt;0,X325/U325,"")</f>
        <v>0.3571648035857905</v>
      </c>
      <c r="Z325" s="23">
        <v>0</v>
      </c>
      <c r="AA325" s="25">
        <v>0</v>
      </c>
      <c r="AB325" s="24">
        <v>0</v>
      </c>
      <c r="AC325" s="24">
        <f t="shared" si="98"/>
        <v>0</v>
      </c>
      <c r="AD325" s="53" t="str">
        <f t="shared" si="99"/>
        <v/>
      </c>
      <c r="AE325" s="10"/>
    </row>
    <row r="326" spans="1:31" x14ac:dyDescent="0.25">
      <c r="A326" s="14" t="s">
        <v>109</v>
      </c>
      <c r="C326" s="61" t="str">
        <f t="shared" si="97"/>
        <v>C100030</v>
      </c>
      <c r="F326" s="8" t="str">
        <f>"C100035"</f>
        <v>C100035</v>
      </c>
      <c r="G326" s="9" t="str">
        <f>"Calculator &amp; World Time Clock"</f>
        <v>Calculator &amp; World Time Clock</v>
      </c>
      <c r="H326" s="47"/>
      <c r="I326" s="47"/>
      <c r="J326" s="23">
        <v>143.94999999999999</v>
      </c>
      <c r="K326" s="25">
        <v>50</v>
      </c>
      <c r="L326" s="24">
        <v>98</v>
      </c>
      <c r="M326" s="24">
        <f>J326-L326</f>
        <v>45.949999999999989</v>
      </c>
      <c r="N326" s="53">
        <f>IF(J326&lt;&gt;0,M326/J326,"")</f>
        <v>0.31920805835359495</v>
      </c>
      <c r="O326" s="23">
        <v>2.85</v>
      </c>
      <c r="P326" s="25">
        <v>1</v>
      </c>
      <c r="Q326" s="24">
        <v>1.96</v>
      </c>
      <c r="R326" s="24">
        <f>O326-Q326</f>
        <v>0.89000000000000012</v>
      </c>
      <c r="S326" s="53">
        <f>IF(O326&lt;&gt;0,R326/O326,"")</f>
        <v>0.31228070175438599</v>
      </c>
      <c r="T326" s="10"/>
      <c r="U326" s="23">
        <v>821.18</v>
      </c>
      <c r="V326" s="25">
        <v>288</v>
      </c>
      <c r="W326" s="24">
        <v>564.47</v>
      </c>
      <c r="X326" s="24">
        <f>U326-W326</f>
        <v>256.70999999999992</v>
      </c>
      <c r="Y326" s="53">
        <f>IF(U326&lt;&gt;0,X326/U326,"")</f>
        <v>0.31261112058257623</v>
      </c>
      <c r="Z326" s="23">
        <v>0</v>
      </c>
      <c r="AA326" s="25">
        <v>0</v>
      </c>
      <c r="AB326" s="24">
        <v>0</v>
      </c>
      <c r="AC326" s="24">
        <f t="shared" si="98"/>
        <v>0</v>
      </c>
      <c r="AD326" s="53" t="str">
        <f t="shared" si="99"/>
        <v/>
      </c>
      <c r="AE326" s="10"/>
    </row>
    <row r="327" spans="1:31" x14ac:dyDescent="0.25">
      <c r="A327" s="14" t="s">
        <v>109</v>
      </c>
      <c r="C327" s="61" t="str">
        <f t="shared" si="97"/>
        <v>C100030</v>
      </c>
      <c r="F327" s="8" t="str">
        <f>"C100037"</f>
        <v>C100037</v>
      </c>
      <c r="G327" s="9" t="str">
        <f>"World Time Travel Alarm"</f>
        <v>World Time Travel Alarm</v>
      </c>
      <c r="H327" s="47"/>
      <c r="I327" s="47"/>
      <c r="J327" s="23">
        <v>3714.8599999999997</v>
      </c>
      <c r="K327" s="25">
        <v>432</v>
      </c>
      <c r="L327" s="24">
        <v>2332.83</v>
      </c>
      <c r="M327" s="24">
        <f>J327-L327</f>
        <v>1382.0299999999997</v>
      </c>
      <c r="N327" s="53">
        <f>IF(J327&lt;&gt;0,M327/J327,"")</f>
        <v>0.37202747882827342</v>
      </c>
      <c r="O327" s="23">
        <v>0</v>
      </c>
      <c r="P327" s="25">
        <v>0</v>
      </c>
      <c r="Q327" s="24">
        <v>0</v>
      </c>
      <c r="R327" s="24">
        <f>O327-Q327</f>
        <v>0</v>
      </c>
      <c r="S327" s="53" t="str">
        <f>IF(O327&lt;&gt;0,R327/O327,"")</f>
        <v/>
      </c>
      <c r="T327" s="10"/>
      <c r="U327" s="23">
        <v>0</v>
      </c>
      <c r="V327" s="25">
        <v>0</v>
      </c>
      <c r="W327" s="24">
        <v>0</v>
      </c>
      <c r="X327" s="24">
        <f>U327-W327</f>
        <v>0</v>
      </c>
      <c r="Y327" s="53" t="str">
        <f>IF(U327&lt;&gt;0,X327/U327,"")</f>
        <v/>
      </c>
      <c r="Z327" s="23">
        <v>0</v>
      </c>
      <c r="AA327" s="25">
        <v>0</v>
      </c>
      <c r="AB327" s="24">
        <v>0</v>
      </c>
      <c r="AC327" s="24">
        <f t="shared" si="98"/>
        <v>0</v>
      </c>
      <c r="AD327" s="53" t="str">
        <f t="shared" si="99"/>
        <v/>
      </c>
      <c r="AE327" s="10"/>
    </row>
    <row r="328" spans="1:31" x14ac:dyDescent="0.25">
      <c r="A328" s="14" t="s">
        <v>109</v>
      </c>
      <c r="C328" s="61" t="str">
        <f t="shared" si="97"/>
        <v>C100030</v>
      </c>
      <c r="F328" s="8" t="str">
        <f>"C100038"</f>
        <v>C100038</v>
      </c>
      <c r="G328" s="9" t="str">
        <f>"Foldable Travel Speakers"</f>
        <v>Foldable Travel Speakers</v>
      </c>
      <c r="H328" s="47"/>
      <c r="I328" s="47"/>
      <c r="J328" s="23">
        <v>0</v>
      </c>
      <c r="K328" s="25">
        <v>0</v>
      </c>
      <c r="L328" s="24">
        <v>0</v>
      </c>
      <c r="M328" s="24">
        <f>J328-L328</f>
        <v>0</v>
      </c>
      <c r="N328" s="53" t="str">
        <f>IF(J328&lt;&gt;0,M328/J328,"")</f>
        <v/>
      </c>
      <c r="O328" s="23">
        <v>677.96</v>
      </c>
      <c r="P328" s="25">
        <v>145</v>
      </c>
      <c r="Q328" s="24">
        <v>462.54</v>
      </c>
      <c r="R328" s="24">
        <f>O328-Q328</f>
        <v>215.42000000000002</v>
      </c>
      <c r="S328" s="53">
        <f>IF(O328&lt;&gt;0,R328/O328,"")</f>
        <v>0.31774735972623752</v>
      </c>
      <c r="T328" s="10"/>
      <c r="U328" s="23">
        <v>673.28</v>
      </c>
      <c r="V328" s="25">
        <v>144</v>
      </c>
      <c r="W328" s="24">
        <v>459.35</v>
      </c>
      <c r="X328" s="24">
        <f>U328-W328</f>
        <v>213.92999999999995</v>
      </c>
      <c r="Y328" s="53">
        <f>IF(U328&lt;&gt;0,X328/U328,"")</f>
        <v>0.31774298954372615</v>
      </c>
      <c r="Z328" s="23">
        <v>0</v>
      </c>
      <c r="AA328" s="25">
        <v>0</v>
      </c>
      <c r="AB328" s="24">
        <v>0</v>
      </c>
      <c r="AC328" s="24">
        <f t="shared" si="98"/>
        <v>0</v>
      </c>
      <c r="AD328" s="53" t="str">
        <f t="shared" si="99"/>
        <v/>
      </c>
      <c r="AE328" s="10"/>
    </row>
    <row r="329" spans="1:31" x14ac:dyDescent="0.25">
      <c r="A329" s="14" t="s">
        <v>109</v>
      </c>
      <c r="C329" s="61" t="str">
        <f t="shared" si="97"/>
        <v>C100030</v>
      </c>
      <c r="F329" s="8" t="str">
        <f>"C100039"</f>
        <v>C100039</v>
      </c>
      <c r="G329" s="9" t="str">
        <f>"Portable Speaker &amp; MP3 Dock"</f>
        <v>Portable Speaker &amp; MP3 Dock</v>
      </c>
      <c r="H329" s="47"/>
      <c r="I329" s="47"/>
      <c r="J329" s="23">
        <v>2119.85</v>
      </c>
      <c r="K329" s="25">
        <v>150</v>
      </c>
      <c r="L329" s="24">
        <v>1260</v>
      </c>
      <c r="M329" s="24">
        <f>J329-L329</f>
        <v>859.84999999999991</v>
      </c>
      <c r="N329" s="53">
        <f>IF(J329&lt;&gt;0,M329/J329,"")</f>
        <v>0.4056183220510885</v>
      </c>
      <c r="O329" s="23">
        <v>0</v>
      </c>
      <c r="P329" s="25">
        <v>0</v>
      </c>
      <c r="Q329" s="24">
        <v>0</v>
      </c>
      <c r="R329" s="24">
        <f>O329-Q329</f>
        <v>0</v>
      </c>
      <c r="S329" s="53" t="str">
        <f>IF(O329&lt;&gt;0,R329/O329,"")</f>
        <v/>
      </c>
      <c r="T329" s="10"/>
      <c r="U329" s="23">
        <v>0</v>
      </c>
      <c r="V329" s="25">
        <v>0</v>
      </c>
      <c r="W329" s="24">
        <v>0</v>
      </c>
      <c r="X329" s="24">
        <f>U329-W329</f>
        <v>0</v>
      </c>
      <c r="Y329" s="53" t="str">
        <f>IF(U329&lt;&gt;0,X329/U329,"")</f>
        <v/>
      </c>
      <c r="Z329" s="23">
        <v>0</v>
      </c>
      <c r="AA329" s="25">
        <v>0</v>
      </c>
      <c r="AB329" s="24">
        <v>0</v>
      </c>
      <c r="AC329" s="24">
        <f t="shared" si="98"/>
        <v>0</v>
      </c>
      <c r="AD329" s="53" t="str">
        <f t="shared" si="99"/>
        <v/>
      </c>
      <c r="AE329" s="10"/>
    </row>
    <row r="330" spans="1:31" x14ac:dyDescent="0.25">
      <c r="A330" s="14" t="s">
        <v>109</v>
      </c>
      <c r="C330" s="61" t="str">
        <f t="shared" si="97"/>
        <v>C100030</v>
      </c>
      <c r="F330" s="8" t="str">
        <f>"C100040"</f>
        <v>C100040</v>
      </c>
      <c r="G330" s="9" t="str">
        <f>"Channel Speaker System"</f>
        <v>Channel Speaker System</v>
      </c>
      <c r="H330" s="47"/>
      <c r="I330" s="47"/>
      <c r="J330" s="23">
        <v>0</v>
      </c>
      <c r="K330" s="25">
        <v>0</v>
      </c>
      <c r="L330" s="24">
        <v>0</v>
      </c>
      <c r="M330" s="24">
        <f>J330-L330</f>
        <v>0</v>
      </c>
      <c r="N330" s="53" t="str">
        <f>IF(J330&lt;&gt;0,M330/J330,"")</f>
        <v/>
      </c>
      <c r="O330" s="23">
        <v>2261.21</v>
      </c>
      <c r="P330" s="25">
        <v>55</v>
      </c>
      <c r="Q330" s="24">
        <v>1142.3400000000001</v>
      </c>
      <c r="R330" s="24">
        <f>O330-Q330</f>
        <v>1118.8699999999999</v>
      </c>
      <c r="S330" s="53">
        <f>IF(O330&lt;&gt;0,R330/O330,"")</f>
        <v>0.49481030067972454</v>
      </c>
      <c r="T330" s="10"/>
      <c r="U330" s="23">
        <v>0</v>
      </c>
      <c r="V330" s="25">
        <v>0</v>
      </c>
      <c r="W330" s="24">
        <v>0</v>
      </c>
      <c r="X330" s="24">
        <f>U330-W330</f>
        <v>0</v>
      </c>
      <c r="Y330" s="53" t="str">
        <f>IF(U330&lt;&gt;0,X330/U330,"")</f>
        <v/>
      </c>
      <c r="Z330" s="23">
        <v>0</v>
      </c>
      <c r="AA330" s="25">
        <v>0</v>
      </c>
      <c r="AB330" s="24">
        <v>0</v>
      </c>
      <c r="AC330" s="24">
        <f t="shared" si="98"/>
        <v>0</v>
      </c>
      <c r="AD330" s="53" t="str">
        <f t="shared" si="99"/>
        <v/>
      </c>
      <c r="AE330" s="10"/>
    </row>
    <row r="331" spans="1:31" x14ac:dyDescent="0.25">
      <c r="A331" s="14" t="s">
        <v>109</v>
      </c>
      <c r="C331" s="61" t="str">
        <f t="shared" si="97"/>
        <v>C100030</v>
      </c>
      <c r="F331" s="8" t="str">
        <f>"C100043"</f>
        <v>C100043</v>
      </c>
      <c r="G331" s="9" t="str">
        <f>"Pro-Travel Technology Set"</f>
        <v>Pro-Travel Technology Set</v>
      </c>
      <c r="H331" s="47"/>
      <c r="I331" s="47"/>
      <c r="J331" s="23">
        <v>0</v>
      </c>
      <c r="K331" s="25">
        <v>0</v>
      </c>
      <c r="L331" s="24">
        <v>0</v>
      </c>
      <c r="M331" s="24">
        <f>J331-L331</f>
        <v>0</v>
      </c>
      <c r="N331" s="53" t="str">
        <f>IF(J331&lt;&gt;0,M331/J331,"")</f>
        <v/>
      </c>
      <c r="O331" s="23">
        <v>380.62</v>
      </c>
      <c r="P331" s="25">
        <v>12</v>
      </c>
      <c r="Q331" s="24">
        <v>180.01</v>
      </c>
      <c r="R331" s="24">
        <f>O331-Q331</f>
        <v>200.61</v>
      </c>
      <c r="S331" s="53">
        <f>IF(O331&lt;&gt;0,R331/O331,"")</f>
        <v>0.52706111081918983</v>
      </c>
      <c r="T331" s="10"/>
      <c r="U331" s="23">
        <v>0</v>
      </c>
      <c r="V331" s="25">
        <v>0</v>
      </c>
      <c r="W331" s="24">
        <v>0</v>
      </c>
      <c r="X331" s="24">
        <f>U331-W331</f>
        <v>0</v>
      </c>
      <c r="Y331" s="53" t="str">
        <f>IF(U331&lt;&gt;0,X331/U331,"")</f>
        <v/>
      </c>
      <c r="Z331" s="23">
        <v>4599.3099999999995</v>
      </c>
      <c r="AA331" s="25">
        <v>145</v>
      </c>
      <c r="AB331" s="24">
        <v>2175.0699999999997</v>
      </c>
      <c r="AC331" s="24">
        <f t="shared" si="98"/>
        <v>2424.2399999999998</v>
      </c>
      <c r="AD331" s="53">
        <f t="shared" si="99"/>
        <v>0.52708775881599634</v>
      </c>
      <c r="AE331" s="10"/>
    </row>
    <row r="332" spans="1:31" x14ac:dyDescent="0.25">
      <c r="A332" s="14" t="s">
        <v>109</v>
      </c>
      <c r="C332" s="61" t="str">
        <f t="shared" si="97"/>
        <v>C100030</v>
      </c>
      <c r="F332" s="8" t="str">
        <f>"C100044"</f>
        <v>C100044</v>
      </c>
      <c r="G332" s="9" t="str">
        <f>"VOIP Headset with Mic"</f>
        <v>VOIP Headset with Mic</v>
      </c>
      <c r="H332" s="47"/>
      <c r="I332" s="47"/>
      <c r="J332" s="23">
        <v>100.31</v>
      </c>
      <c r="K332" s="25">
        <v>48</v>
      </c>
      <c r="L332" s="24">
        <v>57.62</v>
      </c>
      <c r="M332" s="24">
        <f>J332-L332</f>
        <v>42.690000000000005</v>
      </c>
      <c r="N332" s="53">
        <f>IF(J332&lt;&gt;0,M332/J332,"")</f>
        <v>0.42558069983052543</v>
      </c>
      <c r="O332" s="23">
        <v>310.44</v>
      </c>
      <c r="P332" s="25">
        <v>144</v>
      </c>
      <c r="Q332" s="24">
        <v>172.85</v>
      </c>
      <c r="R332" s="24">
        <f>O332-Q332</f>
        <v>137.59</v>
      </c>
      <c r="S332" s="53">
        <f>IF(O332&lt;&gt;0,R332/O332,"")</f>
        <v>0.44320963793325602</v>
      </c>
      <c r="T332" s="10"/>
      <c r="U332" s="23">
        <v>25.87</v>
      </c>
      <c r="V332" s="25">
        <v>12</v>
      </c>
      <c r="W332" s="24">
        <v>14.4</v>
      </c>
      <c r="X332" s="24">
        <f>U332-W332</f>
        <v>11.47</v>
      </c>
      <c r="Y332" s="53">
        <f>IF(U332&lt;&gt;0,X332/U332,"")</f>
        <v>0.44337069965210668</v>
      </c>
      <c r="Z332" s="23">
        <v>0</v>
      </c>
      <c r="AA332" s="25">
        <v>0</v>
      </c>
      <c r="AB332" s="24">
        <v>0</v>
      </c>
      <c r="AC332" s="24">
        <f t="shared" si="98"/>
        <v>0</v>
      </c>
      <c r="AD332" s="53" t="str">
        <f t="shared" si="99"/>
        <v/>
      </c>
      <c r="AE332" s="10"/>
    </row>
    <row r="333" spans="1:31" x14ac:dyDescent="0.25">
      <c r="A333" s="14" t="s">
        <v>109</v>
      </c>
      <c r="C333" s="61" t="str">
        <f t="shared" si="97"/>
        <v>C100030</v>
      </c>
      <c r="F333" s="8" t="str">
        <f>"C100046"</f>
        <v>C100046</v>
      </c>
      <c r="G333" s="9" t="str">
        <f>"1GB MP3 Player"</f>
        <v>1GB MP3 Player</v>
      </c>
      <c r="H333" s="47"/>
      <c r="I333" s="47"/>
      <c r="J333" s="23">
        <v>2738.46</v>
      </c>
      <c r="K333" s="25">
        <v>144</v>
      </c>
      <c r="L333" s="24">
        <v>1658.7900000000002</v>
      </c>
      <c r="M333" s="24">
        <f>J333-L333</f>
        <v>1079.6699999999998</v>
      </c>
      <c r="N333" s="53">
        <f>IF(J333&lt;&gt;0,M333/J333,"")</f>
        <v>0.39426173834929112</v>
      </c>
      <c r="O333" s="23">
        <v>2766.98</v>
      </c>
      <c r="P333" s="25">
        <v>144</v>
      </c>
      <c r="Q333" s="24">
        <v>1658.7900000000002</v>
      </c>
      <c r="R333" s="24">
        <f>O333-Q333</f>
        <v>1108.1899999999998</v>
      </c>
      <c r="S333" s="53">
        <f>IF(O333&lt;&gt;0,R333/O333,"")</f>
        <v>0.40050524398441617</v>
      </c>
      <c r="T333" s="10"/>
      <c r="U333" s="23">
        <v>0</v>
      </c>
      <c r="V333" s="25">
        <v>0</v>
      </c>
      <c r="W333" s="24">
        <v>0</v>
      </c>
      <c r="X333" s="24">
        <f>U333-W333</f>
        <v>0</v>
      </c>
      <c r="Y333" s="53" t="str">
        <f>IF(U333&lt;&gt;0,X333/U333,"")</f>
        <v/>
      </c>
      <c r="Z333" s="23">
        <v>0</v>
      </c>
      <c r="AA333" s="25">
        <v>0</v>
      </c>
      <c r="AB333" s="24">
        <v>0</v>
      </c>
      <c r="AC333" s="24">
        <f t="shared" si="98"/>
        <v>0</v>
      </c>
      <c r="AD333" s="53" t="str">
        <f t="shared" si="99"/>
        <v/>
      </c>
      <c r="AE333" s="10"/>
    </row>
    <row r="334" spans="1:31" x14ac:dyDescent="0.25">
      <c r="A334" s="14" t="s">
        <v>109</v>
      </c>
      <c r="C334" s="61" t="str">
        <f t="shared" si="97"/>
        <v>C100030</v>
      </c>
      <c r="F334" s="8" t="str">
        <f>"C100048"</f>
        <v>C100048</v>
      </c>
      <c r="G334" s="9" t="str">
        <f>"USB MP3 Player"</f>
        <v>USB MP3 Player</v>
      </c>
      <c r="H334" s="47"/>
      <c r="I334" s="47"/>
      <c r="J334" s="23">
        <v>2321.9900000000002</v>
      </c>
      <c r="K334" s="25">
        <v>192</v>
      </c>
      <c r="L334" s="24">
        <v>1478.4099999999999</v>
      </c>
      <c r="M334" s="24">
        <f>J334-L334</f>
        <v>843.58000000000038</v>
      </c>
      <c r="N334" s="53">
        <f>IF(J334&lt;&gt;0,M334/J334,"")</f>
        <v>0.36330044487702373</v>
      </c>
      <c r="O334" s="23">
        <v>735.09</v>
      </c>
      <c r="P334" s="25">
        <v>60</v>
      </c>
      <c r="Q334" s="24">
        <v>462</v>
      </c>
      <c r="R334" s="24">
        <f>O334-Q334</f>
        <v>273.09000000000003</v>
      </c>
      <c r="S334" s="53">
        <f>IF(O334&lt;&gt;0,R334/O334,"")</f>
        <v>0.37150552993510999</v>
      </c>
      <c r="T334" s="10"/>
      <c r="U334" s="23">
        <v>1919.33</v>
      </c>
      <c r="V334" s="25">
        <v>158</v>
      </c>
      <c r="W334" s="24">
        <v>1216.6100000000001</v>
      </c>
      <c r="X334" s="24">
        <f>U334-W334</f>
        <v>702.7199999999998</v>
      </c>
      <c r="Y334" s="53">
        <f>IF(U334&lt;&gt;0,X334/U334,"")</f>
        <v>0.36612776333408004</v>
      </c>
      <c r="Z334" s="23">
        <v>0</v>
      </c>
      <c r="AA334" s="25">
        <v>0</v>
      </c>
      <c r="AB334" s="24">
        <v>0</v>
      </c>
      <c r="AC334" s="24">
        <f t="shared" si="98"/>
        <v>0</v>
      </c>
      <c r="AD334" s="53" t="str">
        <f t="shared" si="99"/>
        <v/>
      </c>
      <c r="AE334" s="10"/>
    </row>
    <row r="335" spans="1:31" x14ac:dyDescent="0.25">
      <c r="A335" s="14" t="s">
        <v>109</v>
      </c>
      <c r="C335" s="61" t="str">
        <f t="shared" si="97"/>
        <v>C100030</v>
      </c>
      <c r="F335" s="8" t="str">
        <f>"C100050"</f>
        <v>C100050</v>
      </c>
      <c r="G335" s="9" t="str">
        <f>"Clip-on MP3 Player"</f>
        <v>Clip-on MP3 Player</v>
      </c>
      <c r="H335" s="47"/>
      <c r="I335" s="47"/>
      <c r="J335" s="23">
        <v>18.41</v>
      </c>
      <c r="K335" s="25">
        <v>1</v>
      </c>
      <c r="L335" s="24">
        <v>8.58</v>
      </c>
      <c r="M335" s="24">
        <f>J335-L335</f>
        <v>9.83</v>
      </c>
      <c r="N335" s="53">
        <f>IF(J335&lt;&gt;0,M335/J335,"")</f>
        <v>0.53394894079304722</v>
      </c>
      <c r="O335" s="23">
        <v>874.87000000000012</v>
      </c>
      <c r="P335" s="25">
        <v>48</v>
      </c>
      <c r="Q335" s="24">
        <v>411.83</v>
      </c>
      <c r="R335" s="24">
        <f>O335-Q335</f>
        <v>463.04000000000013</v>
      </c>
      <c r="S335" s="53">
        <f>IF(O335&lt;&gt;0,R335/O335,"")</f>
        <v>0.5292672054133758</v>
      </c>
      <c r="T335" s="10"/>
      <c r="U335" s="23">
        <v>0</v>
      </c>
      <c r="V335" s="25">
        <v>0</v>
      </c>
      <c r="W335" s="24">
        <v>0</v>
      </c>
      <c r="X335" s="24">
        <f>U335-W335</f>
        <v>0</v>
      </c>
      <c r="Y335" s="53" t="str">
        <f>IF(U335&lt;&gt;0,X335/U335,"")</f>
        <v/>
      </c>
      <c r="Z335" s="23">
        <v>0</v>
      </c>
      <c r="AA335" s="25">
        <v>0</v>
      </c>
      <c r="AB335" s="24">
        <v>0</v>
      </c>
      <c r="AC335" s="24">
        <f t="shared" si="98"/>
        <v>0</v>
      </c>
      <c r="AD335" s="53" t="str">
        <f t="shared" si="99"/>
        <v/>
      </c>
      <c r="AE335" s="10"/>
    </row>
    <row r="336" spans="1:31" x14ac:dyDescent="0.25">
      <c r="A336" s="14" t="s">
        <v>109</v>
      </c>
      <c r="C336" s="61" t="str">
        <f t="shared" si="97"/>
        <v>C100030</v>
      </c>
      <c r="F336" s="8" t="str">
        <f>"C100052"</f>
        <v>C100052</v>
      </c>
      <c r="G336" s="9" t="str">
        <f>"Black Digital Picture Frame"</f>
        <v>Black Digital Picture Frame</v>
      </c>
      <c r="H336" s="47"/>
      <c r="I336" s="47"/>
      <c r="J336" s="23">
        <v>0</v>
      </c>
      <c r="K336" s="25">
        <v>0</v>
      </c>
      <c r="L336" s="24">
        <v>0</v>
      </c>
      <c r="M336" s="24">
        <f>J336-L336</f>
        <v>0</v>
      </c>
      <c r="N336" s="53" t="str">
        <f>IF(J336&lt;&gt;0,M336/J336,"")</f>
        <v/>
      </c>
      <c r="O336" s="23">
        <v>13646.24</v>
      </c>
      <c r="P336" s="25">
        <v>289</v>
      </c>
      <c r="Q336" s="24">
        <v>6450.54</v>
      </c>
      <c r="R336" s="24">
        <f>O336-Q336</f>
        <v>7195.7</v>
      </c>
      <c r="S336" s="53">
        <f>IF(O336&lt;&gt;0,R336/O336,"")</f>
        <v>0.52730275885518652</v>
      </c>
      <c r="T336" s="10"/>
      <c r="U336" s="23">
        <v>0</v>
      </c>
      <c r="V336" s="25">
        <v>0</v>
      </c>
      <c r="W336" s="24">
        <v>0</v>
      </c>
      <c r="X336" s="24">
        <f>U336-W336</f>
        <v>0</v>
      </c>
      <c r="Y336" s="53" t="str">
        <f>IF(U336&lt;&gt;0,X336/U336,"")</f>
        <v/>
      </c>
      <c r="Z336" s="23">
        <v>0</v>
      </c>
      <c r="AA336" s="25">
        <v>0</v>
      </c>
      <c r="AB336" s="24">
        <v>0</v>
      </c>
      <c r="AC336" s="24">
        <f t="shared" si="98"/>
        <v>0</v>
      </c>
      <c r="AD336" s="53" t="str">
        <f t="shared" si="99"/>
        <v/>
      </c>
      <c r="AE336" s="10"/>
    </row>
    <row r="337" spans="1:31" x14ac:dyDescent="0.25">
      <c r="A337" s="14" t="s">
        <v>109</v>
      </c>
      <c r="C337" s="61" t="str">
        <f t="shared" si="97"/>
        <v>C100030</v>
      </c>
      <c r="F337" s="8" t="str">
        <f>"C100053"</f>
        <v>C100053</v>
      </c>
      <c r="G337" s="9" t="str">
        <f>"Book Style Photo Frame &amp; Clock"</f>
        <v>Book Style Photo Frame &amp; Clock</v>
      </c>
      <c r="H337" s="47"/>
      <c r="I337" s="47"/>
      <c r="J337" s="23">
        <v>2939.52</v>
      </c>
      <c r="K337" s="25">
        <v>144</v>
      </c>
      <c r="L337" s="24">
        <v>1733.72</v>
      </c>
      <c r="M337" s="24">
        <f>J337-L337</f>
        <v>1205.8</v>
      </c>
      <c r="N337" s="53">
        <f>IF(J337&lt;&gt;0,M337/J337,"")</f>
        <v>0.41020302634443717</v>
      </c>
      <c r="O337" s="23">
        <v>979.84999999999991</v>
      </c>
      <c r="P337" s="25">
        <v>48</v>
      </c>
      <c r="Q337" s="24">
        <v>577.91</v>
      </c>
      <c r="R337" s="24">
        <f>O337-Q337</f>
        <v>401.93999999999994</v>
      </c>
      <c r="S337" s="53">
        <f>IF(O337&lt;&gt;0,R337/O337,"")</f>
        <v>0.41020564372097768</v>
      </c>
      <c r="T337" s="10"/>
      <c r="U337" s="23">
        <v>969.85</v>
      </c>
      <c r="V337" s="25">
        <v>48</v>
      </c>
      <c r="W337" s="24">
        <v>577.91</v>
      </c>
      <c r="X337" s="24">
        <f>U337-W337</f>
        <v>391.94000000000005</v>
      </c>
      <c r="Y337" s="53">
        <f>IF(U337&lt;&gt;0,X337/U337,"")</f>
        <v>0.40412434912615358</v>
      </c>
      <c r="Z337" s="23">
        <v>0</v>
      </c>
      <c r="AA337" s="25">
        <v>0</v>
      </c>
      <c r="AB337" s="24">
        <v>0</v>
      </c>
      <c r="AC337" s="24">
        <f t="shared" si="98"/>
        <v>0</v>
      </c>
      <c r="AD337" s="53" t="str">
        <f t="shared" si="99"/>
        <v/>
      </c>
      <c r="AE337" s="10"/>
    </row>
    <row r="338" spans="1:31" x14ac:dyDescent="0.25">
      <c r="A338" s="14" t="s">
        <v>109</v>
      </c>
      <c r="C338" s="61" t="str">
        <f t="shared" si="97"/>
        <v>C100030</v>
      </c>
      <c r="F338" s="8" t="str">
        <f>"C100054"</f>
        <v>C100054</v>
      </c>
      <c r="G338" s="9" t="str">
        <f>"Cherry Finish Photo Frame &amp; Clock"</f>
        <v>Cherry Finish Photo Frame &amp; Clock</v>
      </c>
      <c r="H338" s="47"/>
      <c r="I338" s="47"/>
      <c r="J338" s="23">
        <v>992.56000000000006</v>
      </c>
      <c r="K338" s="25">
        <v>48</v>
      </c>
      <c r="L338" s="24">
        <v>645.11</v>
      </c>
      <c r="M338" s="24">
        <f>J338-L338</f>
        <v>347.45000000000005</v>
      </c>
      <c r="N338" s="53">
        <f>IF(J338&lt;&gt;0,M338/J338,"")</f>
        <v>0.35005440477149996</v>
      </c>
      <c r="O338" s="23">
        <v>124.06</v>
      </c>
      <c r="P338" s="25">
        <v>6</v>
      </c>
      <c r="Q338" s="24">
        <v>80.64</v>
      </c>
      <c r="R338" s="24">
        <f>O338-Q338</f>
        <v>43.42</v>
      </c>
      <c r="S338" s="53">
        <f>IF(O338&lt;&gt;0,R338/O338,"")</f>
        <v>0.34999193938416895</v>
      </c>
      <c r="T338" s="10"/>
      <c r="U338" s="23">
        <v>0</v>
      </c>
      <c r="V338" s="25">
        <v>0</v>
      </c>
      <c r="W338" s="24">
        <v>0</v>
      </c>
      <c r="X338" s="24">
        <f>U338-W338</f>
        <v>0</v>
      </c>
      <c r="Y338" s="53" t="str">
        <f>IF(U338&lt;&gt;0,X338/U338,"")</f>
        <v/>
      </c>
      <c r="Z338" s="23">
        <v>0</v>
      </c>
      <c r="AA338" s="25">
        <v>0</v>
      </c>
      <c r="AB338" s="24">
        <v>0</v>
      </c>
      <c r="AC338" s="24">
        <f t="shared" si="98"/>
        <v>0</v>
      </c>
      <c r="AD338" s="53" t="str">
        <f t="shared" si="99"/>
        <v/>
      </c>
      <c r="AE338" s="10"/>
    </row>
    <row r="339" spans="1:31" x14ac:dyDescent="0.25">
      <c r="A339" s="14" t="s">
        <v>109</v>
      </c>
      <c r="C339" s="61" t="str">
        <f t="shared" si="97"/>
        <v>C100030</v>
      </c>
      <c r="F339" s="8" t="str">
        <f>"C100055"</f>
        <v>C100055</v>
      </c>
      <c r="G339" s="9" t="str">
        <f>"Silver Plated Photo Frame"</f>
        <v>Silver Plated Photo Frame</v>
      </c>
      <c r="H339" s="47"/>
      <c r="I339" s="47"/>
      <c r="J339" s="23">
        <v>474.75</v>
      </c>
      <c r="K339" s="25">
        <v>12</v>
      </c>
      <c r="L339" s="24">
        <v>248.41</v>
      </c>
      <c r="M339" s="24">
        <f>J339-L339</f>
        <v>226.34</v>
      </c>
      <c r="N339" s="53">
        <f>IF(J339&lt;&gt;0,M339/J339,"")</f>
        <v>0.47675618746708792</v>
      </c>
      <c r="O339" s="23">
        <v>1879.62</v>
      </c>
      <c r="P339" s="25">
        <v>48</v>
      </c>
      <c r="Q339" s="24">
        <v>993.63000000000011</v>
      </c>
      <c r="R339" s="24">
        <f>O339-Q339</f>
        <v>885.98999999999978</v>
      </c>
      <c r="S339" s="53">
        <f>IF(O339&lt;&gt;0,R339/O339,"")</f>
        <v>0.47136655281386652</v>
      </c>
      <c r="T339" s="10"/>
      <c r="U339" s="23">
        <v>5678.42</v>
      </c>
      <c r="V339" s="25">
        <v>145</v>
      </c>
      <c r="W339" s="24">
        <v>3001.5899999999997</v>
      </c>
      <c r="X339" s="24">
        <f>U339-W339</f>
        <v>2676.8300000000004</v>
      </c>
      <c r="Y339" s="53">
        <f>IF(U339&lt;&gt;0,X339/U339,"")</f>
        <v>0.47140401731467563</v>
      </c>
      <c r="Z339" s="23">
        <v>0</v>
      </c>
      <c r="AA339" s="25">
        <v>0</v>
      </c>
      <c r="AB339" s="24">
        <v>0</v>
      </c>
      <c r="AC339" s="24">
        <f t="shared" si="98"/>
        <v>0</v>
      </c>
      <c r="AD339" s="53" t="str">
        <f t="shared" si="99"/>
        <v/>
      </c>
      <c r="AE339" s="10"/>
    </row>
    <row r="340" spans="1:31" x14ac:dyDescent="0.25">
      <c r="A340" s="14" t="s">
        <v>109</v>
      </c>
      <c r="C340" s="61" t="str">
        <f t="shared" si="97"/>
        <v>C100030</v>
      </c>
      <c r="F340" s="8" t="str">
        <f>"E100018"</f>
        <v>E100018</v>
      </c>
      <c r="G340" s="9" t="str">
        <f>"Flexi-Clock &amp; Clip"</f>
        <v>Flexi-Clock &amp; Clip</v>
      </c>
      <c r="H340" s="47"/>
      <c r="I340" s="47"/>
      <c r="J340" s="23">
        <v>2.2200000000000002</v>
      </c>
      <c r="K340" s="25">
        <v>2</v>
      </c>
      <c r="L340" s="24">
        <v>1.2</v>
      </c>
      <c r="M340" s="24">
        <f>J340-L340</f>
        <v>1.0200000000000002</v>
      </c>
      <c r="N340" s="53">
        <f>IF(J340&lt;&gt;0,M340/J340,"")</f>
        <v>0.45945945945945954</v>
      </c>
      <c r="O340" s="23">
        <v>1.1000000000000001</v>
      </c>
      <c r="P340" s="25">
        <v>1</v>
      </c>
      <c r="Q340" s="24">
        <v>0.6</v>
      </c>
      <c r="R340" s="24">
        <f>O340-Q340</f>
        <v>0.50000000000000011</v>
      </c>
      <c r="S340" s="53">
        <f>IF(O340&lt;&gt;0,R340/O340,"")</f>
        <v>0.45454545454545459</v>
      </c>
      <c r="T340" s="10"/>
      <c r="U340" s="23">
        <v>1.1000000000000001</v>
      </c>
      <c r="V340" s="25">
        <v>1</v>
      </c>
      <c r="W340" s="24">
        <v>0.6</v>
      </c>
      <c r="X340" s="24">
        <f>U340-W340</f>
        <v>0.50000000000000011</v>
      </c>
      <c r="Y340" s="53">
        <f>IF(U340&lt;&gt;0,X340/U340,"")</f>
        <v>0.45454545454545459</v>
      </c>
      <c r="Z340" s="23">
        <v>0</v>
      </c>
      <c r="AA340" s="25">
        <v>0</v>
      </c>
      <c r="AB340" s="24">
        <v>0</v>
      </c>
      <c r="AC340" s="24">
        <f t="shared" si="98"/>
        <v>0</v>
      </c>
      <c r="AD340" s="53" t="str">
        <f t="shared" si="99"/>
        <v/>
      </c>
      <c r="AE340" s="10"/>
    </row>
    <row r="341" spans="1:31" x14ac:dyDescent="0.25">
      <c r="A341" s="14" t="s">
        <v>109</v>
      </c>
      <c r="C341" s="61" t="str">
        <f t="shared" si="97"/>
        <v>C100030</v>
      </c>
      <c r="F341" s="8" t="str">
        <f>"E100019"</f>
        <v>E100019</v>
      </c>
      <c r="G341" s="9" t="str">
        <f>"Mini Travel Alarm"</f>
        <v>Mini Travel Alarm</v>
      </c>
      <c r="H341" s="47"/>
      <c r="I341" s="47"/>
      <c r="J341" s="23">
        <v>3.22</v>
      </c>
      <c r="K341" s="25">
        <v>1</v>
      </c>
      <c r="L341" s="24">
        <v>1.62</v>
      </c>
      <c r="M341" s="24">
        <f>J341-L341</f>
        <v>1.6</v>
      </c>
      <c r="N341" s="53">
        <f>IF(J341&lt;&gt;0,M341/J341,"")</f>
        <v>0.49689440993788819</v>
      </c>
      <c r="O341" s="23">
        <v>0</v>
      </c>
      <c r="P341" s="25">
        <v>0</v>
      </c>
      <c r="Q341" s="24">
        <v>0</v>
      </c>
      <c r="R341" s="24">
        <f>O341-Q341</f>
        <v>0</v>
      </c>
      <c r="S341" s="53" t="str">
        <f>IF(O341&lt;&gt;0,R341/O341,"")</f>
        <v/>
      </c>
      <c r="T341" s="10"/>
      <c r="U341" s="23">
        <v>481.77</v>
      </c>
      <c r="V341" s="25">
        <v>145</v>
      </c>
      <c r="W341" s="24">
        <v>234.89000000000001</v>
      </c>
      <c r="X341" s="24">
        <f>U341-W341</f>
        <v>246.87999999999997</v>
      </c>
      <c r="Y341" s="53">
        <f>IF(U341&lt;&gt;0,X341/U341,"")</f>
        <v>0.51244369719990868</v>
      </c>
      <c r="Z341" s="23">
        <v>0</v>
      </c>
      <c r="AA341" s="25">
        <v>0</v>
      </c>
      <c r="AB341" s="24">
        <v>0</v>
      </c>
      <c r="AC341" s="24">
        <f t="shared" si="98"/>
        <v>0</v>
      </c>
      <c r="AD341" s="53" t="str">
        <f t="shared" si="99"/>
        <v/>
      </c>
      <c r="AE341" s="10"/>
    </row>
    <row r="342" spans="1:31" x14ac:dyDescent="0.25">
      <c r="A342" s="14" t="s">
        <v>109</v>
      </c>
      <c r="C342" s="61" t="str">
        <f t="shared" si="97"/>
        <v>C100030</v>
      </c>
      <c r="F342" s="8" t="str">
        <f>"E100020"</f>
        <v>E100020</v>
      </c>
      <c r="G342" s="9" t="str">
        <f>"Flip-up Travel Alarm"</f>
        <v>Flip-up Travel Alarm</v>
      </c>
      <c r="H342" s="47"/>
      <c r="I342" s="47"/>
      <c r="J342" s="23">
        <v>1301.0899999999999</v>
      </c>
      <c r="K342" s="25">
        <v>144</v>
      </c>
      <c r="L342" s="24">
        <v>673.93000000000006</v>
      </c>
      <c r="M342" s="24">
        <f>J342-L342</f>
        <v>627.15999999999985</v>
      </c>
      <c r="N342" s="53">
        <f>IF(J342&lt;&gt;0,M342/J342,"")</f>
        <v>0.48202660845906115</v>
      </c>
      <c r="O342" s="23">
        <v>0</v>
      </c>
      <c r="P342" s="25">
        <v>0</v>
      </c>
      <c r="Q342" s="24">
        <v>0</v>
      </c>
      <c r="R342" s="24">
        <f>O342-Q342</f>
        <v>0</v>
      </c>
      <c r="S342" s="53" t="str">
        <f>IF(O342&lt;&gt;0,R342/O342,"")</f>
        <v/>
      </c>
      <c r="T342" s="10"/>
      <c r="U342" s="23">
        <v>1920.67</v>
      </c>
      <c r="V342" s="25">
        <v>216</v>
      </c>
      <c r="W342" s="24">
        <v>1010.89</v>
      </c>
      <c r="X342" s="24">
        <f>U342-W342</f>
        <v>909.78000000000009</v>
      </c>
      <c r="Y342" s="53">
        <f>IF(U342&lt;&gt;0,X342/U342,"")</f>
        <v>0.47367845595547392</v>
      </c>
      <c r="Z342" s="23">
        <v>53.660000000000004</v>
      </c>
      <c r="AA342" s="25">
        <v>6</v>
      </c>
      <c r="AB342" s="24">
        <v>28.08</v>
      </c>
      <c r="AC342" s="24">
        <f t="shared" si="98"/>
        <v>25.580000000000005</v>
      </c>
      <c r="AD342" s="53">
        <f t="shared" si="99"/>
        <v>0.47670518076779733</v>
      </c>
      <c r="AE342" s="10"/>
    </row>
    <row r="343" spans="1:31" x14ac:dyDescent="0.25">
      <c r="A343" s="14" t="s">
        <v>109</v>
      </c>
      <c r="C343" s="61" t="str">
        <f t="shared" si="97"/>
        <v>C100030</v>
      </c>
      <c r="F343" s="8" t="str">
        <f>"E100021"</f>
        <v>E100021</v>
      </c>
      <c r="G343" s="9" t="str">
        <f>"Slim Travel Alarm"</f>
        <v>Slim Travel Alarm</v>
      </c>
      <c r="H343" s="47"/>
      <c r="I343" s="47"/>
      <c r="J343" s="23">
        <v>2.77</v>
      </c>
      <c r="K343" s="25">
        <v>1</v>
      </c>
      <c r="L343" s="24">
        <v>1.44</v>
      </c>
      <c r="M343" s="24">
        <f>J343-L343</f>
        <v>1.33</v>
      </c>
      <c r="N343" s="53">
        <f>IF(J343&lt;&gt;0,M343/J343,"")</f>
        <v>0.48014440433212996</v>
      </c>
      <c r="O343" s="23">
        <v>2.78</v>
      </c>
      <c r="P343" s="25">
        <v>1</v>
      </c>
      <c r="Q343" s="24">
        <v>1.44</v>
      </c>
      <c r="R343" s="24">
        <f>O343-Q343</f>
        <v>1.3399999999999999</v>
      </c>
      <c r="S343" s="53">
        <f>IF(O343&lt;&gt;0,R343/O343,"")</f>
        <v>0.48201438848920863</v>
      </c>
      <c r="T343" s="10"/>
      <c r="U343" s="23">
        <v>83.28</v>
      </c>
      <c r="V343" s="25">
        <v>30</v>
      </c>
      <c r="W343" s="24">
        <v>43.2</v>
      </c>
      <c r="X343" s="24">
        <f>U343-W343</f>
        <v>40.08</v>
      </c>
      <c r="Y343" s="53">
        <f>IF(U343&lt;&gt;0,X343/U343,"")</f>
        <v>0.48126801152737747</v>
      </c>
      <c r="Z343" s="23">
        <v>0</v>
      </c>
      <c r="AA343" s="25">
        <v>0</v>
      </c>
      <c r="AB343" s="24">
        <v>0</v>
      </c>
      <c r="AC343" s="24">
        <f t="shared" si="98"/>
        <v>0</v>
      </c>
      <c r="AD343" s="53" t="str">
        <f t="shared" si="99"/>
        <v/>
      </c>
      <c r="AE343" s="10"/>
    </row>
    <row r="344" spans="1:31" x14ac:dyDescent="0.25">
      <c r="A344" s="14" t="s">
        <v>109</v>
      </c>
      <c r="C344" s="61" t="str">
        <f t="shared" si="97"/>
        <v>C100030</v>
      </c>
      <c r="F344" s="8" t="str">
        <f>"E100022"</f>
        <v>E100022</v>
      </c>
      <c r="G344" s="9" t="str">
        <f>"Wide Screen Alarm Clock"</f>
        <v>Wide Screen Alarm Clock</v>
      </c>
      <c r="H344" s="47"/>
      <c r="I344" s="47"/>
      <c r="J344" s="23">
        <v>9.24</v>
      </c>
      <c r="K344" s="25">
        <v>5</v>
      </c>
      <c r="L344" s="24">
        <v>6.4</v>
      </c>
      <c r="M344" s="24">
        <f>J344-L344</f>
        <v>2.84</v>
      </c>
      <c r="N344" s="53">
        <f>IF(J344&lt;&gt;0,M344/J344,"")</f>
        <v>0.30735930735930733</v>
      </c>
      <c r="O344" s="23">
        <v>316.45999999999998</v>
      </c>
      <c r="P344" s="25">
        <v>169</v>
      </c>
      <c r="Q344" s="24">
        <v>216.3</v>
      </c>
      <c r="R344" s="24">
        <f>O344-Q344</f>
        <v>100.15999999999997</v>
      </c>
      <c r="S344" s="53">
        <f>IF(O344&lt;&gt;0,R344/O344,"")</f>
        <v>0.31650129558237999</v>
      </c>
      <c r="T344" s="10"/>
      <c r="U344" s="23">
        <v>362.28</v>
      </c>
      <c r="V344" s="25">
        <v>193.99999999999997</v>
      </c>
      <c r="W344" s="24">
        <v>248.30999999999997</v>
      </c>
      <c r="X344" s="24">
        <f>U344-W344</f>
        <v>113.97</v>
      </c>
      <c r="Y344" s="53">
        <f>IF(U344&lt;&gt;0,X344/U344,"")</f>
        <v>0.31459092414706857</v>
      </c>
      <c r="Z344" s="23">
        <v>0</v>
      </c>
      <c r="AA344" s="25">
        <v>0</v>
      </c>
      <c r="AB344" s="24">
        <v>0</v>
      </c>
      <c r="AC344" s="24">
        <f t="shared" si="98"/>
        <v>0</v>
      </c>
      <c r="AD344" s="53" t="str">
        <f t="shared" si="99"/>
        <v/>
      </c>
      <c r="AE344" s="10"/>
    </row>
    <row r="345" spans="1:31" ht="15.75" thickBot="1" x14ac:dyDescent="0.3">
      <c r="A345" s="14" t="s">
        <v>109</v>
      </c>
      <c r="C345" s="61" t="str">
        <f>C315</f>
        <v>C100030</v>
      </c>
      <c r="J345" s="10"/>
      <c r="K345" s="11"/>
      <c r="L345" s="11"/>
      <c r="M345" s="11"/>
      <c r="N345" s="12"/>
      <c r="O345" s="10"/>
      <c r="P345" s="11"/>
      <c r="Q345" s="11"/>
      <c r="R345" s="11"/>
      <c r="S345" s="12"/>
      <c r="U345" s="10"/>
      <c r="V345" s="11"/>
      <c r="W345" s="11"/>
      <c r="X345" s="11"/>
      <c r="Y345" s="12"/>
      <c r="Z345" s="10"/>
      <c r="AA345" s="11"/>
      <c r="AB345" s="11"/>
      <c r="AC345" s="11"/>
      <c r="AD345" s="12"/>
    </row>
    <row r="346" spans="1:31" ht="15.75" thickBot="1" x14ac:dyDescent="0.3">
      <c r="A346" s="14" t="s">
        <v>109</v>
      </c>
      <c r="C346" s="61" t="str">
        <f t="shared" si="94"/>
        <v>C100030</v>
      </c>
      <c r="G346" s="48" t="str">
        <f>C346&amp;" TOTAL:"</f>
        <v>C100030 TOTAL:</v>
      </c>
      <c r="H346" s="50"/>
      <c r="I346" s="50"/>
      <c r="J346" s="34">
        <f>SUBTOTAL(9,J314:J345)</f>
        <v>49034.349999999984</v>
      </c>
      <c r="K346" s="35">
        <f>SUBTOTAL(9,K314:K345)</f>
        <v>2579</v>
      </c>
      <c r="L346" s="36">
        <f>SUBTOTAL(9,L314:L345)</f>
        <v>26591.740000000005</v>
      </c>
      <c r="M346" s="36">
        <f>J346-L346</f>
        <v>22442.609999999979</v>
      </c>
      <c r="N346" s="37">
        <f>IF(J346&lt;&gt;0,M346/J346,"")</f>
        <v>0.45769159782886865</v>
      </c>
      <c r="O346" s="34">
        <f>SUBTOTAL(9,O314:O345)</f>
        <v>33731.31</v>
      </c>
      <c r="P346" s="35">
        <f>SUBTOTAL(9,P314:P345)</f>
        <v>1847</v>
      </c>
      <c r="Q346" s="36">
        <f>SUBTOTAL(9,Q314:Q345)</f>
        <v>17387.589999999997</v>
      </c>
      <c r="R346" s="36">
        <f>O346-Q346</f>
        <v>16343.720000000001</v>
      </c>
      <c r="S346" s="37">
        <f>IF(O346&lt;&gt;0,R346/O346,"")</f>
        <v>0.48452669048430086</v>
      </c>
      <c r="U346" s="34">
        <f>SUBTOTAL(9,U314:U345)</f>
        <v>22092.260000000002</v>
      </c>
      <c r="V346" s="35">
        <f>SUBTOTAL(9,V314:V345)</f>
        <v>2054</v>
      </c>
      <c r="W346" s="36">
        <f>SUBTOTAL(9,W314:W345)</f>
        <v>12511.05</v>
      </c>
      <c r="X346" s="36">
        <f>U346-W346</f>
        <v>9581.2100000000028</v>
      </c>
      <c r="Y346" s="37">
        <f>IF(U346&lt;&gt;0,X346/U346,"")</f>
        <v>0.43369080392861581</v>
      </c>
      <c r="Z346" s="34">
        <f>SUBTOTAL(9,Z314:Z345)</f>
        <v>7226.34</v>
      </c>
      <c r="AA346" s="35">
        <f>SUBTOTAL(9,AA314:AA345)</f>
        <v>199</v>
      </c>
      <c r="AB346" s="36">
        <f>SUBTOTAL(9,AB314:AB345)</f>
        <v>3736.7499999999995</v>
      </c>
      <c r="AC346" s="36">
        <f t="shared" ref="AC346" si="100">Z346-AB346</f>
        <v>3489.5900000000006</v>
      </c>
      <c r="AD346" s="37">
        <f t="shared" ref="AD346" si="101">IF(Z346&lt;&gt;0,AC346/Z346,"")</f>
        <v>0.48289867346402199</v>
      </c>
    </row>
    <row r="347" spans="1:31" x14ac:dyDescent="0.25">
      <c r="A347" s="14" t="s">
        <v>109</v>
      </c>
      <c r="C347" s="66"/>
      <c r="J347" s="10"/>
      <c r="K347" s="11"/>
      <c r="L347" s="11"/>
      <c r="M347" s="11"/>
      <c r="N347" s="12"/>
      <c r="O347" s="10"/>
      <c r="P347" s="11"/>
      <c r="Q347" s="11"/>
      <c r="R347" s="11"/>
      <c r="S347" s="12"/>
      <c r="U347" s="10"/>
      <c r="V347" s="11"/>
      <c r="W347" s="11"/>
      <c r="X347" s="11"/>
      <c r="Y347" s="12"/>
      <c r="Z347" s="10"/>
      <c r="AA347" s="11"/>
      <c r="AB347" s="11"/>
      <c r="AC347" s="11"/>
      <c r="AD347" s="12"/>
    </row>
    <row r="348" spans="1:31" ht="15.75" x14ac:dyDescent="0.25">
      <c r="A348" s="14" t="s">
        <v>109</v>
      </c>
      <c r="C348" s="66" t="str">
        <f t="shared" ref="C348" si="102">E348</f>
        <v>C100032</v>
      </c>
      <c r="E348" s="13" t="str">
        <f>"C100032"</f>
        <v>C100032</v>
      </c>
      <c r="F348" s="13"/>
      <c r="G348" s="13" t="str">
        <f>"EXPORTLES d.o.o."</f>
        <v>EXPORTLES d.o.o.</v>
      </c>
      <c r="H348" s="13"/>
      <c r="I348" s="13"/>
      <c r="J348" s="10"/>
      <c r="K348" s="11"/>
      <c r="L348" s="11"/>
      <c r="M348" s="11"/>
      <c r="N348" s="12"/>
      <c r="O348" s="10"/>
      <c r="P348" s="11"/>
      <c r="Q348" s="11"/>
      <c r="R348" s="11"/>
      <c r="S348" s="12"/>
      <c r="U348" s="10"/>
      <c r="V348" s="11"/>
      <c r="W348" s="11"/>
      <c r="X348" s="11"/>
      <c r="Y348" s="12"/>
      <c r="Z348" s="10"/>
      <c r="AA348" s="11"/>
      <c r="AB348" s="11"/>
      <c r="AC348" s="11"/>
      <c r="AD348" s="12"/>
    </row>
    <row r="349" spans="1:31" ht="6.6" customHeight="1" x14ac:dyDescent="0.25">
      <c r="A349" s="14" t="s">
        <v>109</v>
      </c>
      <c r="C349" s="61" t="str">
        <f t="shared" ref="C349:C363" si="103">C348</f>
        <v>C100032</v>
      </c>
      <c r="J349" s="10"/>
      <c r="K349" s="11"/>
      <c r="L349" s="11"/>
      <c r="M349" s="11"/>
      <c r="N349" s="12"/>
      <c r="O349" s="10"/>
      <c r="P349" s="11"/>
      <c r="Q349" s="11"/>
      <c r="R349" s="11"/>
      <c r="S349" s="12"/>
      <c r="U349" s="10"/>
      <c r="V349" s="11"/>
      <c r="W349" s="11"/>
      <c r="X349" s="11"/>
      <c r="Y349" s="12"/>
      <c r="Z349" s="10"/>
      <c r="AA349" s="11"/>
      <c r="AB349" s="11"/>
      <c r="AC349" s="11"/>
      <c r="AD349" s="12"/>
    </row>
    <row r="350" spans="1:31" x14ac:dyDescent="0.25">
      <c r="A350" s="14" t="s">
        <v>109</v>
      </c>
      <c r="C350" s="61" t="str">
        <f t="shared" si="103"/>
        <v>C100032</v>
      </c>
      <c r="F350" s="8" t="str">
        <f>"C100004"</f>
        <v>C100004</v>
      </c>
      <c r="G350" s="9" t="str">
        <f>"Walnut Medallian Plate"</f>
        <v>Walnut Medallian Plate</v>
      </c>
      <c r="H350" s="47"/>
      <c r="I350" s="47"/>
      <c r="J350" s="23">
        <v>55.2</v>
      </c>
      <c r="K350" s="25">
        <v>1</v>
      </c>
      <c r="L350" s="24">
        <v>30.6</v>
      </c>
      <c r="M350" s="24">
        <f>J350-L350</f>
        <v>24.6</v>
      </c>
      <c r="N350" s="53">
        <f>IF(J350&lt;&gt;0,M350/J350,"")</f>
        <v>0.44565217391304346</v>
      </c>
      <c r="O350" s="23">
        <v>0</v>
      </c>
      <c r="P350" s="25">
        <v>0</v>
      </c>
      <c r="Q350" s="24">
        <v>0</v>
      </c>
      <c r="R350" s="24">
        <f>O350-Q350</f>
        <v>0</v>
      </c>
      <c r="S350" s="53" t="str">
        <f>IF(O350&lt;&gt;0,R350/O350,"")</f>
        <v/>
      </c>
      <c r="T350" s="10"/>
      <c r="U350" s="23">
        <v>0</v>
      </c>
      <c r="V350" s="25">
        <v>0</v>
      </c>
      <c r="W350" s="24">
        <v>0</v>
      </c>
      <c r="X350" s="24">
        <f>U350-W350</f>
        <v>0</v>
      </c>
      <c r="Y350" s="53" t="str">
        <f>IF(U350&lt;&gt;0,X350/U350,"")</f>
        <v/>
      </c>
      <c r="Z350" s="23">
        <v>0</v>
      </c>
      <c r="AA350" s="25">
        <v>0</v>
      </c>
      <c r="AB350" s="24">
        <v>0</v>
      </c>
      <c r="AC350" s="24">
        <f t="shared" ref="AC350" si="104">Z350-AB350</f>
        <v>0</v>
      </c>
      <c r="AD350" s="53" t="str">
        <f t="shared" ref="AD350" si="105">IF(Z350&lt;&gt;0,AC350/Z350,"")</f>
        <v/>
      </c>
      <c r="AE350" s="10"/>
    </row>
    <row r="351" spans="1:31" x14ac:dyDescent="0.25">
      <c r="A351" s="14" t="s">
        <v>109</v>
      </c>
      <c r="C351" s="61" t="str">
        <f t="shared" ref="C351:C361" si="106">C350</f>
        <v>C100032</v>
      </c>
      <c r="F351" s="8" t="str">
        <f>"C100008"</f>
        <v>C100008</v>
      </c>
      <c r="G351" s="9" t="str">
        <f>"Glacier Vase"</f>
        <v>Glacier Vase</v>
      </c>
      <c r="H351" s="47"/>
      <c r="I351" s="47"/>
      <c r="J351" s="23">
        <v>8.42</v>
      </c>
      <c r="K351" s="25">
        <v>1</v>
      </c>
      <c r="L351" s="24">
        <v>4.25</v>
      </c>
      <c r="M351" s="24">
        <f>J351-L351</f>
        <v>4.17</v>
      </c>
      <c r="N351" s="53">
        <f>IF(J351&lt;&gt;0,M351/J351,"")</f>
        <v>0.49524940617577196</v>
      </c>
      <c r="O351" s="23">
        <v>0</v>
      </c>
      <c r="P351" s="25">
        <v>0</v>
      </c>
      <c r="Q351" s="24">
        <v>0</v>
      </c>
      <c r="R351" s="24">
        <f>O351-Q351</f>
        <v>0</v>
      </c>
      <c r="S351" s="53" t="str">
        <f>IF(O351&lt;&gt;0,R351/O351,"")</f>
        <v/>
      </c>
      <c r="T351" s="10"/>
      <c r="U351" s="23">
        <v>99.91</v>
      </c>
      <c r="V351" s="25">
        <v>12</v>
      </c>
      <c r="W351" s="24">
        <v>51</v>
      </c>
      <c r="X351" s="24">
        <f>U351-W351</f>
        <v>48.91</v>
      </c>
      <c r="Y351" s="53">
        <f>IF(U351&lt;&gt;0,X351/U351,"")</f>
        <v>0.48954058652787508</v>
      </c>
      <c r="Z351" s="23">
        <v>0</v>
      </c>
      <c r="AA351" s="25">
        <v>0</v>
      </c>
      <c r="AB351" s="24">
        <v>0</v>
      </c>
      <c r="AC351" s="24">
        <f t="shared" ref="AC351:AC361" si="107">Z351-AB351</f>
        <v>0</v>
      </c>
      <c r="AD351" s="53" t="str">
        <f t="shared" ref="AD351:AD361" si="108">IF(Z351&lt;&gt;0,AC351/Z351,"")</f>
        <v/>
      </c>
      <c r="AE351" s="10"/>
    </row>
    <row r="352" spans="1:31" x14ac:dyDescent="0.25">
      <c r="A352" s="14" t="s">
        <v>109</v>
      </c>
      <c r="C352" s="61" t="str">
        <f t="shared" si="106"/>
        <v>C100032</v>
      </c>
      <c r="F352" s="8" t="str">
        <f>"C100009"</f>
        <v>C100009</v>
      </c>
      <c r="G352" s="9" t="str">
        <f>"Normandy Vase"</f>
        <v>Normandy Vase</v>
      </c>
      <c r="H352" s="47"/>
      <c r="I352" s="47"/>
      <c r="J352" s="23">
        <v>37.03</v>
      </c>
      <c r="K352" s="25">
        <v>1</v>
      </c>
      <c r="L352" s="24">
        <v>25.52</v>
      </c>
      <c r="M352" s="24">
        <f>J352-L352</f>
        <v>11.510000000000002</v>
      </c>
      <c r="N352" s="53">
        <f>IF(J352&lt;&gt;0,M352/J352,"")</f>
        <v>0.31082905752092899</v>
      </c>
      <c r="O352" s="23">
        <v>0</v>
      </c>
      <c r="P352" s="25">
        <v>0</v>
      </c>
      <c r="Q352" s="24">
        <v>0</v>
      </c>
      <c r="R352" s="24">
        <f>O352-Q352</f>
        <v>0</v>
      </c>
      <c r="S352" s="53" t="str">
        <f>IF(O352&lt;&gt;0,R352/O352,"")</f>
        <v/>
      </c>
      <c r="T352" s="10"/>
      <c r="U352" s="23">
        <v>0</v>
      </c>
      <c r="V352" s="25">
        <v>0</v>
      </c>
      <c r="W352" s="24">
        <v>0</v>
      </c>
      <c r="X352" s="24">
        <f>U352-W352</f>
        <v>0</v>
      </c>
      <c r="Y352" s="53" t="str">
        <f>IF(U352&lt;&gt;0,X352/U352,"")</f>
        <v/>
      </c>
      <c r="Z352" s="23">
        <v>0</v>
      </c>
      <c r="AA352" s="25">
        <v>0</v>
      </c>
      <c r="AB352" s="24">
        <v>0</v>
      </c>
      <c r="AC352" s="24">
        <f t="shared" si="107"/>
        <v>0</v>
      </c>
      <c r="AD352" s="53" t="str">
        <f t="shared" si="108"/>
        <v/>
      </c>
      <c r="AE352" s="10"/>
    </row>
    <row r="353" spans="1:31" x14ac:dyDescent="0.25">
      <c r="A353" s="14" t="s">
        <v>109</v>
      </c>
      <c r="C353" s="61" t="str">
        <f t="shared" si="106"/>
        <v>C100032</v>
      </c>
      <c r="F353" s="8" t="str">
        <f>"C100032"</f>
        <v>C100032</v>
      </c>
      <c r="G353" s="9" t="str">
        <f>"Clip-on Clock"</f>
        <v>Clip-on Clock</v>
      </c>
      <c r="H353" s="47"/>
      <c r="I353" s="47"/>
      <c r="J353" s="23">
        <v>91.96</v>
      </c>
      <c r="K353" s="25">
        <v>12</v>
      </c>
      <c r="L353" s="24">
        <v>49.92</v>
      </c>
      <c r="M353" s="24">
        <f>J353-L353</f>
        <v>42.039999999999992</v>
      </c>
      <c r="N353" s="53">
        <f>IF(J353&lt;&gt;0,M353/J353,"")</f>
        <v>0.457155284906481</v>
      </c>
      <c r="O353" s="23">
        <v>0</v>
      </c>
      <c r="P353" s="25">
        <v>0</v>
      </c>
      <c r="Q353" s="24">
        <v>0</v>
      </c>
      <c r="R353" s="24">
        <f>O353-Q353</f>
        <v>0</v>
      </c>
      <c r="S353" s="53" t="str">
        <f>IF(O353&lt;&gt;0,R353/O353,"")</f>
        <v/>
      </c>
      <c r="T353" s="10"/>
      <c r="U353" s="23">
        <v>0</v>
      </c>
      <c r="V353" s="25">
        <v>0</v>
      </c>
      <c r="W353" s="24">
        <v>0</v>
      </c>
      <c r="X353" s="24">
        <f>U353-W353</f>
        <v>0</v>
      </c>
      <c r="Y353" s="53" t="str">
        <f>IF(U353&lt;&gt;0,X353/U353,"")</f>
        <v/>
      </c>
      <c r="Z353" s="23">
        <v>0</v>
      </c>
      <c r="AA353" s="25">
        <v>0</v>
      </c>
      <c r="AB353" s="24">
        <v>0</v>
      </c>
      <c r="AC353" s="24">
        <f t="shared" si="107"/>
        <v>0</v>
      </c>
      <c r="AD353" s="53" t="str">
        <f t="shared" si="108"/>
        <v/>
      </c>
      <c r="AE353" s="10"/>
    </row>
    <row r="354" spans="1:31" x14ac:dyDescent="0.25">
      <c r="A354" s="14" t="s">
        <v>109</v>
      </c>
      <c r="C354" s="61" t="str">
        <f t="shared" si="106"/>
        <v>C100032</v>
      </c>
      <c r="F354" s="8" t="str">
        <f>"C100035"</f>
        <v>C100035</v>
      </c>
      <c r="G354" s="9" t="str">
        <f>"Calculator &amp; World Time Clock"</f>
        <v>Calculator &amp; World Time Clock</v>
      </c>
      <c r="H354" s="47"/>
      <c r="I354" s="47"/>
      <c r="J354" s="23">
        <v>393.72999999999996</v>
      </c>
      <c r="K354" s="25">
        <v>144</v>
      </c>
      <c r="L354" s="24">
        <v>282.24</v>
      </c>
      <c r="M354" s="24">
        <f>J354-L354</f>
        <v>111.48999999999995</v>
      </c>
      <c r="N354" s="53">
        <f>IF(J354&lt;&gt;0,M354/J354,"")</f>
        <v>0.28316358926167667</v>
      </c>
      <c r="O354" s="23">
        <v>0</v>
      </c>
      <c r="P354" s="25">
        <v>0</v>
      </c>
      <c r="Q354" s="24">
        <v>0</v>
      </c>
      <c r="R354" s="24">
        <f>O354-Q354</f>
        <v>0</v>
      </c>
      <c r="S354" s="53" t="str">
        <f>IF(O354&lt;&gt;0,R354/O354,"")</f>
        <v/>
      </c>
      <c r="T354" s="10"/>
      <c r="U354" s="23">
        <v>2.7</v>
      </c>
      <c r="V354" s="25">
        <v>1</v>
      </c>
      <c r="W354" s="24">
        <v>1.96</v>
      </c>
      <c r="X354" s="24">
        <f>U354-W354</f>
        <v>0.74000000000000021</v>
      </c>
      <c r="Y354" s="53">
        <f>IF(U354&lt;&gt;0,X354/U354,"")</f>
        <v>0.27407407407407414</v>
      </c>
      <c r="Z354" s="23">
        <v>0</v>
      </c>
      <c r="AA354" s="25">
        <v>0</v>
      </c>
      <c r="AB354" s="24">
        <v>0</v>
      </c>
      <c r="AC354" s="24">
        <f t="shared" si="107"/>
        <v>0</v>
      </c>
      <c r="AD354" s="53" t="str">
        <f t="shared" si="108"/>
        <v/>
      </c>
      <c r="AE354" s="10"/>
    </row>
    <row r="355" spans="1:31" x14ac:dyDescent="0.25">
      <c r="A355" s="14" t="s">
        <v>109</v>
      </c>
      <c r="C355" s="61" t="str">
        <f t="shared" si="106"/>
        <v>C100032</v>
      </c>
      <c r="F355" s="8" t="str">
        <f>"C100038"</f>
        <v>C100038</v>
      </c>
      <c r="G355" s="9" t="str">
        <f>"Foldable Travel Speakers"</f>
        <v>Foldable Travel Speakers</v>
      </c>
      <c r="H355" s="47"/>
      <c r="I355" s="47"/>
      <c r="J355" s="23">
        <v>649.97</v>
      </c>
      <c r="K355" s="25">
        <v>145</v>
      </c>
      <c r="L355" s="24">
        <v>462.54</v>
      </c>
      <c r="M355" s="24">
        <f>J355-L355</f>
        <v>187.43</v>
      </c>
      <c r="N355" s="53">
        <f>IF(J355&lt;&gt;0,M355/J355,"")</f>
        <v>0.28836715540717262</v>
      </c>
      <c r="O355" s="23">
        <v>0</v>
      </c>
      <c r="P355" s="25">
        <v>0</v>
      </c>
      <c r="Q355" s="24">
        <v>0</v>
      </c>
      <c r="R355" s="24">
        <f>O355-Q355</f>
        <v>0</v>
      </c>
      <c r="S355" s="53" t="str">
        <f>IF(O355&lt;&gt;0,R355/O355,"")</f>
        <v/>
      </c>
      <c r="T355" s="10"/>
      <c r="U355" s="23">
        <v>0</v>
      </c>
      <c r="V355" s="25">
        <v>0</v>
      </c>
      <c r="W355" s="24">
        <v>0</v>
      </c>
      <c r="X355" s="24">
        <f>U355-W355</f>
        <v>0</v>
      </c>
      <c r="Y355" s="53" t="str">
        <f>IF(U355&lt;&gt;0,X355/U355,"")</f>
        <v/>
      </c>
      <c r="Z355" s="23">
        <v>0</v>
      </c>
      <c r="AA355" s="25">
        <v>0</v>
      </c>
      <c r="AB355" s="24">
        <v>0</v>
      </c>
      <c r="AC355" s="24">
        <f t="shared" si="107"/>
        <v>0</v>
      </c>
      <c r="AD355" s="53" t="str">
        <f t="shared" si="108"/>
        <v/>
      </c>
      <c r="AE355" s="10"/>
    </row>
    <row r="356" spans="1:31" x14ac:dyDescent="0.25">
      <c r="A356" s="14" t="s">
        <v>109</v>
      </c>
      <c r="C356" s="61" t="str">
        <f t="shared" si="106"/>
        <v>C100032</v>
      </c>
      <c r="F356" s="8" t="str">
        <f>"C100044"</f>
        <v>C100044</v>
      </c>
      <c r="G356" s="9" t="str">
        <f>"VOIP Headset with Mic"</f>
        <v>VOIP Headset with Mic</v>
      </c>
      <c r="H356" s="47"/>
      <c r="I356" s="47"/>
      <c r="J356" s="23">
        <v>294.62</v>
      </c>
      <c r="K356" s="25">
        <v>144</v>
      </c>
      <c r="L356" s="24">
        <v>172.85</v>
      </c>
      <c r="M356" s="24">
        <f>J356-L356</f>
        <v>121.77000000000001</v>
      </c>
      <c r="N356" s="53">
        <f>IF(J356&lt;&gt;0,M356/J356,"")</f>
        <v>0.41331206299640216</v>
      </c>
      <c r="O356" s="23">
        <v>0</v>
      </c>
      <c r="P356" s="25">
        <v>0</v>
      </c>
      <c r="Q356" s="24">
        <v>0</v>
      </c>
      <c r="R356" s="24">
        <f>O356-Q356</f>
        <v>0</v>
      </c>
      <c r="S356" s="53" t="str">
        <f>IF(O356&lt;&gt;0,R356/O356,"")</f>
        <v/>
      </c>
      <c r="T356" s="10"/>
      <c r="U356" s="23">
        <v>2.0299999999999998</v>
      </c>
      <c r="V356" s="25">
        <v>1</v>
      </c>
      <c r="W356" s="24">
        <v>1.2</v>
      </c>
      <c r="X356" s="24">
        <f>U356-W356</f>
        <v>0.82999999999999985</v>
      </c>
      <c r="Y356" s="53">
        <f>IF(U356&lt;&gt;0,X356/U356,"")</f>
        <v>0.40886699507389157</v>
      </c>
      <c r="Z356" s="23">
        <v>2.11</v>
      </c>
      <c r="AA356" s="25">
        <v>1</v>
      </c>
      <c r="AB356" s="24">
        <v>1.2</v>
      </c>
      <c r="AC356" s="24">
        <f t="shared" si="107"/>
        <v>0.90999999999999992</v>
      </c>
      <c r="AD356" s="53">
        <f t="shared" si="108"/>
        <v>0.43127962085308058</v>
      </c>
      <c r="AE356" s="10"/>
    </row>
    <row r="357" spans="1:31" x14ac:dyDescent="0.25">
      <c r="A357" s="14" t="s">
        <v>109</v>
      </c>
      <c r="C357" s="61" t="str">
        <f t="shared" si="106"/>
        <v>C100032</v>
      </c>
      <c r="F357" s="8" t="str">
        <f>"C100048"</f>
        <v>C100048</v>
      </c>
      <c r="G357" s="9" t="str">
        <f>"USB MP3 Player"</f>
        <v>USB MP3 Player</v>
      </c>
      <c r="H357" s="47"/>
      <c r="I357" s="47"/>
      <c r="J357" s="23">
        <v>11.74</v>
      </c>
      <c r="K357" s="25">
        <v>1</v>
      </c>
      <c r="L357" s="24">
        <v>7.7</v>
      </c>
      <c r="M357" s="24">
        <f>J357-L357</f>
        <v>4.04</v>
      </c>
      <c r="N357" s="53">
        <f>IF(J357&lt;&gt;0,M357/J357,"")</f>
        <v>0.34412265758091992</v>
      </c>
      <c r="O357" s="23">
        <v>0</v>
      </c>
      <c r="P357" s="25">
        <v>0</v>
      </c>
      <c r="Q357" s="24">
        <v>0</v>
      </c>
      <c r="R357" s="24">
        <f>O357-Q357</f>
        <v>0</v>
      </c>
      <c r="S357" s="53" t="str">
        <f>IF(O357&lt;&gt;0,R357/O357,"")</f>
        <v/>
      </c>
      <c r="T357" s="10"/>
      <c r="U357" s="23">
        <v>0</v>
      </c>
      <c r="V357" s="25">
        <v>0</v>
      </c>
      <c r="W357" s="24">
        <v>0</v>
      </c>
      <c r="X357" s="24">
        <f>U357-W357</f>
        <v>0</v>
      </c>
      <c r="Y357" s="53" t="str">
        <f>IF(U357&lt;&gt;0,X357/U357,"")</f>
        <v/>
      </c>
      <c r="Z357" s="23">
        <v>0</v>
      </c>
      <c r="AA357" s="25">
        <v>0</v>
      </c>
      <c r="AB357" s="24">
        <v>0</v>
      </c>
      <c r="AC357" s="24">
        <f t="shared" si="107"/>
        <v>0</v>
      </c>
      <c r="AD357" s="53" t="str">
        <f t="shared" si="108"/>
        <v/>
      </c>
      <c r="AE357" s="10"/>
    </row>
    <row r="358" spans="1:31" x14ac:dyDescent="0.25">
      <c r="A358" s="14" t="s">
        <v>109</v>
      </c>
      <c r="C358" s="61" t="str">
        <f t="shared" si="106"/>
        <v>C100032</v>
      </c>
      <c r="F358" s="8" t="str">
        <f>"C100051"</f>
        <v>C100051</v>
      </c>
      <c r="G358" s="9" t="str">
        <f>"Bamboo Digital Picutre Frame"</f>
        <v>Bamboo Digital Picutre Frame</v>
      </c>
      <c r="H358" s="47"/>
      <c r="I358" s="47"/>
      <c r="J358" s="23">
        <v>561.80000000000007</v>
      </c>
      <c r="K358" s="25">
        <v>12</v>
      </c>
      <c r="L358" s="24">
        <v>291.83999999999997</v>
      </c>
      <c r="M358" s="24">
        <f>J358-L358</f>
        <v>269.96000000000009</v>
      </c>
      <c r="N358" s="53">
        <f>IF(J358&lt;&gt;0,M358/J358,"")</f>
        <v>0.48052687789248855</v>
      </c>
      <c r="O358" s="23">
        <v>0</v>
      </c>
      <c r="P358" s="25">
        <v>0</v>
      </c>
      <c r="Q358" s="24">
        <v>0</v>
      </c>
      <c r="R358" s="24">
        <f>O358-Q358</f>
        <v>0</v>
      </c>
      <c r="S358" s="53" t="str">
        <f>IF(O358&lt;&gt;0,R358/O358,"")</f>
        <v/>
      </c>
      <c r="T358" s="10"/>
      <c r="U358" s="23">
        <v>0</v>
      </c>
      <c r="V358" s="25">
        <v>0</v>
      </c>
      <c r="W358" s="24">
        <v>0</v>
      </c>
      <c r="X358" s="24">
        <f>U358-W358</f>
        <v>0</v>
      </c>
      <c r="Y358" s="53" t="str">
        <f>IF(U358&lt;&gt;0,X358/U358,"")</f>
        <v/>
      </c>
      <c r="Z358" s="23">
        <v>0</v>
      </c>
      <c r="AA358" s="25">
        <v>0</v>
      </c>
      <c r="AB358" s="24">
        <v>0</v>
      </c>
      <c r="AC358" s="24">
        <f t="shared" si="107"/>
        <v>0</v>
      </c>
      <c r="AD358" s="53" t="str">
        <f t="shared" si="108"/>
        <v/>
      </c>
      <c r="AE358" s="10"/>
    </row>
    <row r="359" spans="1:31" x14ac:dyDescent="0.25">
      <c r="A359" s="14" t="s">
        <v>109</v>
      </c>
      <c r="C359" s="61" t="str">
        <f t="shared" si="106"/>
        <v>C100032</v>
      </c>
      <c r="F359" s="8" t="str">
        <f>"C100055"</f>
        <v>C100055</v>
      </c>
      <c r="G359" s="9" t="str">
        <f>"Silver Plated Photo Frame"</f>
        <v>Silver Plated Photo Frame</v>
      </c>
      <c r="H359" s="47"/>
      <c r="I359" s="47"/>
      <c r="J359" s="23">
        <v>5406.35</v>
      </c>
      <c r="K359" s="25">
        <v>144</v>
      </c>
      <c r="L359" s="24">
        <v>2980.89</v>
      </c>
      <c r="M359" s="24">
        <f>J359-L359</f>
        <v>2425.4600000000005</v>
      </c>
      <c r="N359" s="53">
        <f>IF(J359&lt;&gt;0,M359/J359,"")</f>
        <v>0.44863170161014371</v>
      </c>
      <c r="O359" s="23">
        <v>0</v>
      </c>
      <c r="P359" s="25">
        <v>0</v>
      </c>
      <c r="Q359" s="24">
        <v>0</v>
      </c>
      <c r="R359" s="24">
        <f>O359-Q359</f>
        <v>0</v>
      </c>
      <c r="S359" s="53" t="str">
        <f>IF(O359&lt;&gt;0,R359/O359,"")</f>
        <v/>
      </c>
      <c r="T359" s="10"/>
      <c r="U359" s="23">
        <v>0</v>
      </c>
      <c r="V359" s="25">
        <v>0</v>
      </c>
      <c r="W359" s="24">
        <v>0</v>
      </c>
      <c r="X359" s="24">
        <f>U359-W359</f>
        <v>0</v>
      </c>
      <c r="Y359" s="53" t="str">
        <f>IF(U359&lt;&gt;0,X359/U359,"")</f>
        <v/>
      </c>
      <c r="Z359" s="23">
        <v>0</v>
      </c>
      <c r="AA359" s="25">
        <v>0</v>
      </c>
      <c r="AB359" s="24">
        <v>0</v>
      </c>
      <c r="AC359" s="24">
        <f t="shared" si="107"/>
        <v>0</v>
      </c>
      <c r="AD359" s="53" t="str">
        <f t="shared" si="108"/>
        <v/>
      </c>
      <c r="AE359" s="10"/>
    </row>
    <row r="360" spans="1:31" x14ac:dyDescent="0.25">
      <c r="A360" s="14" t="s">
        <v>109</v>
      </c>
      <c r="C360" s="61" t="str">
        <f t="shared" si="106"/>
        <v>C100032</v>
      </c>
      <c r="F360" s="8" t="str">
        <f>"E100019"</f>
        <v>E100019</v>
      </c>
      <c r="G360" s="9" t="str">
        <f>"Mini Travel Alarm"</f>
        <v>Mini Travel Alarm</v>
      </c>
      <c r="H360" s="47"/>
      <c r="I360" s="47"/>
      <c r="J360" s="23">
        <v>6.3</v>
      </c>
      <c r="K360" s="25">
        <v>2</v>
      </c>
      <c r="L360" s="24">
        <v>3.24</v>
      </c>
      <c r="M360" s="24">
        <f>J360-L360</f>
        <v>3.0599999999999996</v>
      </c>
      <c r="N360" s="53">
        <f>IF(J360&lt;&gt;0,M360/J360,"")</f>
        <v>0.48571428571428565</v>
      </c>
      <c r="O360" s="23">
        <v>0</v>
      </c>
      <c r="P360" s="25">
        <v>0</v>
      </c>
      <c r="Q360" s="24">
        <v>0</v>
      </c>
      <c r="R360" s="24">
        <f>O360-Q360</f>
        <v>0</v>
      </c>
      <c r="S360" s="53" t="str">
        <f>IF(O360&lt;&gt;0,R360/O360,"")</f>
        <v/>
      </c>
      <c r="T360" s="10"/>
      <c r="U360" s="23">
        <v>0</v>
      </c>
      <c r="V360" s="25">
        <v>0</v>
      </c>
      <c r="W360" s="24">
        <v>0</v>
      </c>
      <c r="X360" s="24">
        <f>U360-W360</f>
        <v>0</v>
      </c>
      <c r="Y360" s="53" t="str">
        <f>IF(U360&lt;&gt;0,X360/U360,"")</f>
        <v/>
      </c>
      <c r="Z360" s="23">
        <v>0</v>
      </c>
      <c r="AA360" s="25">
        <v>0</v>
      </c>
      <c r="AB360" s="24">
        <v>0</v>
      </c>
      <c r="AC360" s="24">
        <f t="shared" si="107"/>
        <v>0</v>
      </c>
      <c r="AD360" s="53" t="str">
        <f t="shared" si="108"/>
        <v/>
      </c>
      <c r="AE360" s="10"/>
    </row>
    <row r="361" spans="1:31" x14ac:dyDescent="0.25">
      <c r="A361" s="14" t="s">
        <v>109</v>
      </c>
      <c r="C361" s="61" t="str">
        <f t="shared" si="106"/>
        <v>C100032</v>
      </c>
      <c r="F361" s="8" t="str">
        <f>"E100022"</f>
        <v>E100022</v>
      </c>
      <c r="G361" s="9" t="str">
        <f>"Wide Screen Alarm Clock"</f>
        <v>Wide Screen Alarm Clock</v>
      </c>
      <c r="H361" s="47"/>
      <c r="I361" s="47"/>
      <c r="J361" s="23">
        <v>258.47000000000003</v>
      </c>
      <c r="K361" s="25">
        <v>144</v>
      </c>
      <c r="L361" s="24">
        <v>184.31</v>
      </c>
      <c r="M361" s="24">
        <f>J361-L361</f>
        <v>74.160000000000025</v>
      </c>
      <c r="N361" s="53">
        <f>IF(J361&lt;&gt;0,M361/J361,"")</f>
        <v>0.28691917824118862</v>
      </c>
      <c r="O361" s="23">
        <v>0</v>
      </c>
      <c r="P361" s="25">
        <v>0</v>
      </c>
      <c r="Q361" s="24">
        <v>0</v>
      </c>
      <c r="R361" s="24">
        <f>O361-Q361</f>
        <v>0</v>
      </c>
      <c r="S361" s="53" t="str">
        <f>IF(O361&lt;&gt;0,R361/O361,"")</f>
        <v/>
      </c>
      <c r="T361" s="10"/>
      <c r="U361" s="23">
        <v>1.77</v>
      </c>
      <c r="V361" s="25">
        <v>1</v>
      </c>
      <c r="W361" s="24">
        <v>1.28</v>
      </c>
      <c r="X361" s="24">
        <f>U361-W361</f>
        <v>0.49</v>
      </c>
      <c r="Y361" s="53">
        <f>IF(U361&lt;&gt;0,X361/U361,"")</f>
        <v>0.2768361581920904</v>
      </c>
      <c r="Z361" s="23">
        <v>0</v>
      </c>
      <c r="AA361" s="25">
        <v>0</v>
      </c>
      <c r="AB361" s="24">
        <v>0</v>
      </c>
      <c r="AC361" s="24">
        <f t="shared" si="107"/>
        <v>0</v>
      </c>
      <c r="AD361" s="53" t="str">
        <f t="shared" si="108"/>
        <v/>
      </c>
      <c r="AE361" s="10"/>
    </row>
    <row r="362" spans="1:31" ht="15.75" thickBot="1" x14ac:dyDescent="0.3">
      <c r="A362" s="14" t="s">
        <v>109</v>
      </c>
      <c r="C362" s="61" t="str">
        <f>C350</f>
        <v>C100032</v>
      </c>
      <c r="J362" s="10"/>
      <c r="K362" s="11"/>
      <c r="L362" s="11"/>
      <c r="M362" s="11"/>
      <c r="N362" s="12"/>
      <c r="O362" s="10"/>
      <c r="P362" s="11"/>
      <c r="Q362" s="11"/>
      <c r="R362" s="11"/>
      <c r="S362" s="12"/>
      <c r="U362" s="10"/>
      <c r="V362" s="11"/>
      <c r="W362" s="11"/>
      <c r="X362" s="11"/>
      <c r="Y362" s="12"/>
      <c r="Z362" s="10"/>
      <c r="AA362" s="11"/>
      <c r="AB362" s="11"/>
      <c r="AC362" s="11"/>
      <c r="AD362" s="12"/>
    </row>
    <row r="363" spans="1:31" ht="15.75" thickBot="1" x14ac:dyDescent="0.3">
      <c r="A363" s="14" t="s">
        <v>109</v>
      </c>
      <c r="C363" s="61" t="str">
        <f t="shared" si="103"/>
        <v>C100032</v>
      </c>
      <c r="G363" s="48" t="str">
        <f>C363&amp;" TOTAL:"</f>
        <v>C100032 TOTAL:</v>
      </c>
      <c r="H363" s="50"/>
      <c r="I363" s="50"/>
      <c r="J363" s="34">
        <f>SUBTOTAL(9,J349:J362)</f>
        <v>7775.59</v>
      </c>
      <c r="K363" s="35">
        <f>SUBTOTAL(9,K349:K362)</f>
        <v>751</v>
      </c>
      <c r="L363" s="36">
        <f>SUBTOTAL(9,L349:L362)</f>
        <v>4495.9000000000005</v>
      </c>
      <c r="M363" s="36">
        <f>J363-L363</f>
        <v>3279.6899999999996</v>
      </c>
      <c r="N363" s="37">
        <f>IF(J363&lt;&gt;0,M363/J363,"")</f>
        <v>0.42179307293723045</v>
      </c>
      <c r="O363" s="34">
        <f>SUBTOTAL(9,O349:O362)</f>
        <v>0</v>
      </c>
      <c r="P363" s="35">
        <f>SUBTOTAL(9,P349:P362)</f>
        <v>0</v>
      </c>
      <c r="Q363" s="36">
        <f>SUBTOTAL(9,Q349:Q362)</f>
        <v>0</v>
      </c>
      <c r="R363" s="36">
        <f>O363-Q363</f>
        <v>0</v>
      </c>
      <c r="S363" s="37" t="str">
        <f>IF(O363&lt;&gt;0,R363/O363,"")</f>
        <v/>
      </c>
      <c r="U363" s="34">
        <f>SUBTOTAL(9,U349:U362)</f>
        <v>106.41</v>
      </c>
      <c r="V363" s="35">
        <f>SUBTOTAL(9,V349:V362)</f>
        <v>15</v>
      </c>
      <c r="W363" s="36">
        <f>SUBTOTAL(9,W349:W362)</f>
        <v>55.440000000000005</v>
      </c>
      <c r="X363" s="36">
        <f>U363-W363</f>
        <v>50.969999999999992</v>
      </c>
      <c r="Y363" s="37">
        <f>IF(U363&lt;&gt;0,X363/U363,"")</f>
        <v>0.47899633493092747</v>
      </c>
      <c r="Z363" s="34">
        <f>SUBTOTAL(9,Z349:Z362)</f>
        <v>2.11</v>
      </c>
      <c r="AA363" s="35">
        <f>SUBTOTAL(9,AA349:AA362)</f>
        <v>1</v>
      </c>
      <c r="AB363" s="36">
        <f>SUBTOTAL(9,AB349:AB362)</f>
        <v>1.2</v>
      </c>
      <c r="AC363" s="36">
        <f t="shared" ref="AC363" si="109">Z363-AB363</f>
        <v>0.90999999999999992</v>
      </c>
      <c r="AD363" s="37">
        <f t="shared" ref="AD363" si="110">IF(Z363&lt;&gt;0,AC363/Z363,"")</f>
        <v>0.43127962085308058</v>
      </c>
    </row>
    <row r="364" spans="1:31" x14ac:dyDescent="0.25">
      <c r="A364" s="14" t="s">
        <v>109</v>
      </c>
      <c r="C364" s="66"/>
      <c r="J364" s="10"/>
      <c r="K364" s="11"/>
      <c r="L364" s="11"/>
      <c r="M364" s="11"/>
      <c r="N364" s="12"/>
      <c r="O364" s="10"/>
      <c r="P364" s="11"/>
      <c r="Q364" s="11"/>
      <c r="R364" s="11"/>
      <c r="S364" s="12"/>
      <c r="U364" s="10"/>
      <c r="V364" s="11"/>
      <c r="W364" s="11"/>
      <c r="X364" s="11"/>
      <c r="Y364" s="12"/>
      <c r="Z364" s="10"/>
      <c r="AA364" s="11"/>
      <c r="AB364" s="11"/>
      <c r="AC364" s="11"/>
      <c r="AD364" s="12"/>
    </row>
    <row r="365" spans="1:31" ht="15.75" x14ac:dyDescent="0.25">
      <c r="A365" s="14" t="s">
        <v>109</v>
      </c>
      <c r="C365" s="66" t="str">
        <f t="shared" ref="C365" si="111">E365</f>
        <v>C100033</v>
      </c>
      <c r="E365" s="13" t="str">
        <f>"C100033"</f>
        <v>C100033</v>
      </c>
      <c r="F365" s="13"/>
      <c r="G365" s="13" t="str">
        <f>"Fairway Sound"</f>
        <v>Fairway Sound</v>
      </c>
      <c r="H365" s="13"/>
      <c r="I365" s="13"/>
      <c r="J365" s="10"/>
      <c r="K365" s="11"/>
      <c r="L365" s="11"/>
      <c r="M365" s="11"/>
      <c r="N365" s="12"/>
      <c r="O365" s="10"/>
      <c r="P365" s="11"/>
      <c r="Q365" s="11"/>
      <c r="R365" s="11"/>
      <c r="S365" s="12"/>
      <c r="U365" s="10"/>
      <c r="V365" s="11"/>
      <c r="W365" s="11"/>
      <c r="X365" s="11"/>
      <c r="Y365" s="12"/>
      <c r="Z365" s="10"/>
      <c r="AA365" s="11"/>
      <c r="AB365" s="11"/>
      <c r="AC365" s="11"/>
      <c r="AD365" s="12"/>
    </row>
    <row r="366" spans="1:31" ht="6.6" customHeight="1" x14ac:dyDescent="0.25">
      <c r="A366" s="14" t="s">
        <v>109</v>
      </c>
      <c r="C366" s="61" t="str">
        <f t="shared" ref="C366:C389" si="112">C365</f>
        <v>C100033</v>
      </c>
      <c r="J366" s="10"/>
      <c r="K366" s="11"/>
      <c r="L366" s="11"/>
      <c r="M366" s="11"/>
      <c r="N366" s="12"/>
      <c r="O366" s="10"/>
      <c r="P366" s="11"/>
      <c r="Q366" s="11"/>
      <c r="R366" s="11"/>
      <c r="S366" s="12"/>
      <c r="U366" s="10"/>
      <c r="V366" s="11"/>
      <c r="W366" s="11"/>
      <c r="X366" s="11"/>
      <c r="Y366" s="12"/>
      <c r="Z366" s="10"/>
      <c r="AA366" s="11"/>
      <c r="AB366" s="11"/>
      <c r="AC366" s="11"/>
      <c r="AD366" s="12"/>
    </row>
    <row r="367" spans="1:31" x14ac:dyDescent="0.25">
      <c r="A367" s="14" t="s">
        <v>109</v>
      </c>
      <c r="C367" s="61" t="str">
        <f t="shared" si="112"/>
        <v>C100033</v>
      </c>
      <c r="F367" s="8" t="str">
        <f>"C100004"</f>
        <v>C100004</v>
      </c>
      <c r="G367" s="9" t="str">
        <f>"Walnut Medallian Plate"</f>
        <v>Walnut Medallian Plate</v>
      </c>
      <c r="H367" s="47"/>
      <c r="I367" s="47"/>
      <c r="J367" s="23">
        <v>0</v>
      </c>
      <c r="K367" s="25">
        <v>0</v>
      </c>
      <c r="L367" s="24">
        <v>0</v>
      </c>
      <c r="M367" s="24">
        <f>J367-L367</f>
        <v>0</v>
      </c>
      <c r="N367" s="53" t="str">
        <f>IF(J367&lt;&gt;0,M367/J367,"")</f>
        <v/>
      </c>
      <c r="O367" s="23">
        <v>58.169999999999995</v>
      </c>
      <c r="P367" s="25">
        <v>1</v>
      </c>
      <c r="Q367" s="24">
        <v>30.6</v>
      </c>
      <c r="R367" s="24">
        <f>O367-Q367</f>
        <v>27.569999999999993</v>
      </c>
      <c r="S367" s="53">
        <f>IF(O367&lt;&gt;0,R367/O367,"")</f>
        <v>0.47395564724084571</v>
      </c>
      <c r="T367" s="10"/>
      <c r="U367" s="23">
        <v>0</v>
      </c>
      <c r="V367" s="25">
        <v>0</v>
      </c>
      <c r="W367" s="24">
        <v>0</v>
      </c>
      <c r="X367" s="24">
        <f>U367-W367</f>
        <v>0</v>
      </c>
      <c r="Y367" s="53" t="str">
        <f>IF(U367&lt;&gt;0,X367/U367,"")</f>
        <v/>
      </c>
      <c r="Z367" s="23">
        <v>0</v>
      </c>
      <c r="AA367" s="25">
        <v>0</v>
      </c>
      <c r="AB367" s="24">
        <v>0</v>
      </c>
      <c r="AC367" s="24">
        <f t="shared" ref="AC367" si="113">Z367-AB367</f>
        <v>0</v>
      </c>
      <c r="AD367" s="53" t="str">
        <f t="shared" ref="AD367" si="114">IF(Z367&lt;&gt;0,AC367/Z367,"")</f>
        <v/>
      </c>
      <c r="AE367" s="10"/>
    </row>
    <row r="368" spans="1:31" x14ac:dyDescent="0.25">
      <c r="A368" s="14" t="s">
        <v>109</v>
      </c>
      <c r="C368" s="61" t="str">
        <f t="shared" ref="C368:C387" si="115">C367</f>
        <v>C100033</v>
      </c>
      <c r="F368" s="8" t="str">
        <f>"C100005"</f>
        <v>C100005</v>
      </c>
      <c r="G368" s="9" t="str">
        <f>"Cherry Finished Crystal Award"</f>
        <v>Cherry Finished Crystal Award</v>
      </c>
      <c r="H368" s="47"/>
      <c r="I368" s="47"/>
      <c r="J368" s="23">
        <v>0</v>
      </c>
      <c r="K368" s="25">
        <v>0</v>
      </c>
      <c r="L368" s="24">
        <v>0</v>
      </c>
      <c r="M368" s="24">
        <f>J368-L368</f>
        <v>0</v>
      </c>
      <c r="N368" s="53" t="str">
        <f>IF(J368&lt;&gt;0,M368/J368,"")</f>
        <v/>
      </c>
      <c r="O368" s="23">
        <v>3405.9900000000002</v>
      </c>
      <c r="P368" s="25">
        <v>25</v>
      </c>
      <c r="Q368" s="24">
        <v>1773.25</v>
      </c>
      <c r="R368" s="24">
        <f>O368-Q368</f>
        <v>1632.7400000000002</v>
      </c>
      <c r="S368" s="53">
        <f>IF(O368&lt;&gt;0,R368/O368,"")</f>
        <v>0.47937310444246756</v>
      </c>
      <c r="T368" s="10"/>
      <c r="U368" s="23">
        <v>0</v>
      </c>
      <c r="V368" s="25">
        <v>0</v>
      </c>
      <c r="W368" s="24">
        <v>0</v>
      </c>
      <c r="X368" s="24">
        <f>U368-W368</f>
        <v>0</v>
      </c>
      <c r="Y368" s="53" t="str">
        <f>IF(U368&lt;&gt;0,X368/U368,"")</f>
        <v/>
      </c>
      <c r="Z368" s="23">
        <v>0</v>
      </c>
      <c r="AA368" s="25">
        <v>0</v>
      </c>
      <c r="AB368" s="24">
        <v>0</v>
      </c>
      <c r="AC368" s="24">
        <f t="shared" ref="AC368:AC387" si="116">Z368-AB368</f>
        <v>0</v>
      </c>
      <c r="AD368" s="53" t="str">
        <f t="shared" ref="AD368:AD387" si="117">IF(Z368&lt;&gt;0,AC368/Z368,"")</f>
        <v/>
      </c>
      <c r="AE368" s="10"/>
    </row>
    <row r="369" spans="1:31" x14ac:dyDescent="0.25">
      <c r="A369" s="14" t="s">
        <v>109</v>
      </c>
      <c r="C369" s="61" t="str">
        <f t="shared" si="115"/>
        <v>C100033</v>
      </c>
      <c r="F369" s="8" t="str">
        <f>"C100008"</f>
        <v>C100008</v>
      </c>
      <c r="G369" s="9" t="str">
        <f>"Glacier Vase"</f>
        <v>Glacier Vase</v>
      </c>
      <c r="H369" s="47"/>
      <c r="I369" s="47"/>
      <c r="J369" s="23">
        <v>0</v>
      </c>
      <c r="K369" s="25">
        <v>0</v>
      </c>
      <c r="L369" s="24">
        <v>0</v>
      </c>
      <c r="M369" s="24">
        <f>J369-L369</f>
        <v>0</v>
      </c>
      <c r="N369" s="53" t="str">
        <f>IF(J369&lt;&gt;0,M369/J369,"")</f>
        <v/>
      </c>
      <c r="O369" s="23">
        <v>8.8699999999999992</v>
      </c>
      <c r="P369" s="25">
        <v>1</v>
      </c>
      <c r="Q369" s="24">
        <v>4.25</v>
      </c>
      <c r="R369" s="24">
        <f>O369-Q369</f>
        <v>4.6199999999999992</v>
      </c>
      <c r="S369" s="53">
        <f>IF(O369&lt;&gt;0,R369/O369,"")</f>
        <v>0.52085682074408113</v>
      </c>
      <c r="T369" s="10"/>
      <c r="U369" s="23">
        <v>1286.01</v>
      </c>
      <c r="V369" s="25">
        <v>145</v>
      </c>
      <c r="W369" s="24">
        <v>616.24</v>
      </c>
      <c r="X369" s="24">
        <f>U369-W369</f>
        <v>669.77</v>
      </c>
      <c r="Y369" s="53">
        <f>IF(U369&lt;&gt;0,X369/U369,"")</f>
        <v>0.52081243536208888</v>
      </c>
      <c r="Z369" s="23">
        <v>8.8699999999999992</v>
      </c>
      <c r="AA369" s="25">
        <v>1</v>
      </c>
      <c r="AB369" s="24">
        <v>4.25</v>
      </c>
      <c r="AC369" s="24">
        <f t="shared" si="116"/>
        <v>4.6199999999999992</v>
      </c>
      <c r="AD369" s="53">
        <f t="shared" si="117"/>
        <v>0.52085682074408113</v>
      </c>
      <c r="AE369" s="10"/>
    </row>
    <row r="370" spans="1:31" x14ac:dyDescent="0.25">
      <c r="A370" s="14" t="s">
        <v>109</v>
      </c>
      <c r="C370" s="61" t="str">
        <f t="shared" si="115"/>
        <v>C100033</v>
      </c>
      <c r="F370" s="8" t="str">
        <f>"C100009"</f>
        <v>C100009</v>
      </c>
      <c r="G370" s="9" t="str">
        <f>"Normandy Vase"</f>
        <v>Normandy Vase</v>
      </c>
      <c r="H370" s="47"/>
      <c r="I370" s="47"/>
      <c r="J370" s="23">
        <v>0</v>
      </c>
      <c r="K370" s="25">
        <v>0</v>
      </c>
      <c r="L370" s="24">
        <v>0</v>
      </c>
      <c r="M370" s="24">
        <f>J370-L370</f>
        <v>0</v>
      </c>
      <c r="N370" s="53" t="str">
        <f>IF(J370&lt;&gt;0,M370/J370,"")</f>
        <v/>
      </c>
      <c r="O370" s="23">
        <v>936.32999999999993</v>
      </c>
      <c r="P370" s="25">
        <v>24</v>
      </c>
      <c r="Q370" s="24">
        <v>612.48</v>
      </c>
      <c r="R370" s="24">
        <f>O370-Q370</f>
        <v>323.84999999999991</v>
      </c>
      <c r="S370" s="53">
        <f>IF(O370&lt;&gt;0,R370/O370,"")</f>
        <v>0.34587164781647489</v>
      </c>
      <c r="T370" s="10"/>
      <c r="U370" s="23">
        <v>0</v>
      </c>
      <c r="V370" s="25">
        <v>0</v>
      </c>
      <c r="W370" s="24">
        <v>0</v>
      </c>
      <c r="X370" s="24">
        <f>U370-W370</f>
        <v>0</v>
      </c>
      <c r="Y370" s="53" t="str">
        <f>IF(U370&lt;&gt;0,X370/U370,"")</f>
        <v/>
      </c>
      <c r="Z370" s="23">
        <v>0</v>
      </c>
      <c r="AA370" s="25">
        <v>0</v>
      </c>
      <c r="AB370" s="24">
        <v>0</v>
      </c>
      <c r="AC370" s="24">
        <f t="shared" si="116"/>
        <v>0</v>
      </c>
      <c r="AD370" s="53" t="str">
        <f t="shared" si="117"/>
        <v/>
      </c>
      <c r="AE370" s="10"/>
    </row>
    <row r="371" spans="1:31" x14ac:dyDescent="0.25">
      <c r="A371" s="14" t="s">
        <v>109</v>
      </c>
      <c r="C371" s="61" t="str">
        <f t="shared" si="115"/>
        <v>C100033</v>
      </c>
      <c r="F371" s="8" t="str">
        <f>"C100010"</f>
        <v>C100010</v>
      </c>
      <c r="G371" s="9" t="str">
        <f>"Wisper-Cut Vase"</f>
        <v>Wisper-Cut Vase</v>
      </c>
      <c r="H371" s="47"/>
      <c r="I371" s="47"/>
      <c r="J371" s="23">
        <v>0</v>
      </c>
      <c r="K371" s="25">
        <v>0</v>
      </c>
      <c r="L371" s="24">
        <v>0</v>
      </c>
      <c r="M371" s="24">
        <f>J371-L371</f>
        <v>0</v>
      </c>
      <c r="N371" s="53" t="str">
        <f>IF(J371&lt;&gt;0,M371/J371,"")</f>
        <v/>
      </c>
      <c r="O371" s="23">
        <v>82.44</v>
      </c>
      <c r="P371" s="25">
        <v>1</v>
      </c>
      <c r="Q371" s="24">
        <v>40.25</v>
      </c>
      <c r="R371" s="24">
        <f>O371-Q371</f>
        <v>42.19</v>
      </c>
      <c r="S371" s="53">
        <f>IF(O371&lt;&gt;0,R371/O371,"")</f>
        <v>0.51176613294517226</v>
      </c>
      <c r="T371" s="10"/>
      <c r="U371" s="23">
        <v>7914.0000000000009</v>
      </c>
      <c r="V371" s="25">
        <v>96</v>
      </c>
      <c r="W371" s="24">
        <v>3863.98</v>
      </c>
      <c r="X371" s="24">
        <f>U371-W371</f>
        <v>4050.0200000000009</v>
      </c>
      <c r="Y371" s="53">
        <f>IF(U371&lt;&gt;0,X371/U371,"")</f>
        <v>0.51175385392974482</v>
      </c>
      <c r="Z371" s="23">
        <v>0</v>
      </c>
      <c r="AA371" s="25">
        <v>0</v>
      </c>
      <c r="AB371" s="24">
        <v>0</v>
      </c>
      <c r="AC371" s="24">
        <f t="shared" si="116"/>
        <v>0</v>
      </c>
      <c r="AD371" s="53" t="str">
        <f t="shared" si="117"/>
        <v/>
      </c>
      <c r="AE371" s="10"/>
    </row>
    <row r="372" spans="1:31" x14ac:dyDescent="0.25">
      <c r="A372" s="14" t="s">
        <v>109</v>
      </c>
      <c r="C372" s="61" t="str">
        <f t="shared" si="115"/>
        <v>C100033</v>
      </c>
      <c r="F372" s="8" t="str">
        <f>"C100011"</f>
        <v>C100011</v>
      </c>
      <c r="G372" s="9" t="str">
        <f>"Winter Frost Vase"</f>
        <v>Winter Frost Vase</v>
      </c>
      <c r="H372" s="47"/>
      <c r="I372" s="47"/>
      <c r="J372" s="23">
        <v>0</v>
      </c>
      <c r="K372" s="25">
        <v>0</v>
      </c>
      <c r="L372" s="24">
        <v>0</v>
      </c>
      <c r="M372" s="24">
        <f>J372-L372</f>
        <v>0</v>
      </c>
      <c r="N372" s="53" t="str">
        <f>IF(J372&lt;&gt;0,M372/J372,"")</f>
        <v/>
      </c>
      <c r="O372" s="23">
        <v>59.16</v>
      </c>
      <c r="P372" s="25">
        <v>1</v>
      </c>
      <c r="Q372" s="24">
        <v>38.700000000000003</v>
      </c>
      <c r="R372" s="24">
        <f>O372-Q372</f>
        <v>20.459999999999994</v>
      </c>
      <c r="S372" s="53">
        <f>IF(O372&lt;&gt;0,R372/O372,"")</f>
        <v>0.3458417849898579</v>
      </c>
      <c r="T372" s="10"/>
      <c r="U372" s="23">
        <v>59.16</v>
      </c>
      <c r="V372" s="25">
        <v>1</v>
      </c>
      <c r="W372" s="24">
        <v>38.700000000000003</v>
      </c>
      <c r="X372" s="24">
        <f>U372-W372</f>
        <v>20.459999999999994</v>
      </c>
      <c r="Y372" s="53">
        <f>IF(U372&lt;&gt;0,X372/U372,"")</f>
        <v>0.3458417849898579</v>
      </c>
      <c r="Z372" s="23">
        <v>0</v>
      </c>
      <c r="AA372" s="25">
        <v>0</v>
      </c>
      <c r="AB372" s="24">
        <v>0</v>
      </c>
      <c r="AC372" s="24">
        <f t="shared" si="116"/>
        <v>0</v>
      </c>
      <c r="AD372" s="53" t="str">
        <f t="shared" si="117"/>
        <v/>
      </c>
      <c r="AE372" s="10"/>
    </row>
    <row r="373" spans="1:31" x14ac:dyDescent="0.25">
      <c r="A373" s="14" t="s">
        <v>109</v>
      </c>
      <c r="C373" s="61" t="str">
        <f t="shared" si="115"/>
        <v>C100033</v>
      </c>
      <c r="F373" s="8" t="str">
        <f>"C100034"</f>
        <v>C100034</v>
      </c>
      <c r="G373" s="9" t="str">
        <f>"Clock &amp; Pen Holder"</f>
        <v>Clock &amp; Pen Holder</v>
      </c>
      <c r="H373" s="47"/>
      <c r="I373" s="47"/>
      <c r="J373" s="23">
        <v>0</v>
      </c>
      <c r="K373" s="25">
        <v>0</v>
      </c>
      <c r="L373" s="24">
        <v>0</v>
      </c>
      <c r="M373" s="24">
        <f>J373-L373</f>
        <v>0</v>
      </c>
      <c r="N373" s="53" t="str">
        <f>IF(J373&lt;&gt;0,M373/J373,"")</f>
        <v/>
      </c>
      <c r="O373" s="23">
        <v>15.69</v>
      </c>
      <c r="P373" s="25">
        <v>1</v>
      </c>
      <c r="Q373" s="24">
        <v>9.8800000000000008</v>
      </c>
      <c r="R373" s="24">
        <f>O373-Q373</f>
        <v>5.8099999999999987</v>
      </c>
      <c r="S373" s="53">
        <f>IF(O373&lt;&gt;0,R373/O373,"")</f>
        <v>0.37029955385595914</v>
      </c>
      <c r="T373" s="10"/>
      <c r="U373" s="23">
        <v>0</v>
      </c>
      <c r="V373" s="25">
        <v>0</v>
      </c>
      <c r="W373" s="24">
        <v>0</v>
      </c>
      <c r="X373" s="24">
        <f>U373-W373</f>
        <v>0</v>
      </c>
      <c r="Y373" s="53" t="str">
        <f>IF(U373&lt;&gt;0,X373/U373,"")</f>
        <v/>
      </c>
      <c r="Z373" s="23">
        <v>0</v>
      </c>
      <c r="AA373" s="25">
        <v>0</v>
      </c>
      <c r="AB373" s="24">
        <v>0</v>
      </c>
      <c r="AC373" s="24">
        <f t="shared" si="116"/>
        <v>0</v>
      </c>
      <c r="AD373" s="53" t="str">
        <f t="shared" si="117"/>
        <v/>
      </c>
      <c r="AE373" s="10"/>
    </row>
    <row r="374" spans="1:31" x14ac:dyDescent="0.25">
      <c r="A374" s="14" t="s">
        <v>109</v>
      </c>
      <c r="C374" s="61" t="str">
        <f t="shared" si="115"/>
        <v>C100033</v>
      </c>
      <c r="F374" s="8" t="str">
        <f>"C100035"</f>
        <v>C100035</v>
      </c>
      <c r="G374" s="9" t="str">
        <f>"Calculator &amp; World Time Clock"</f>
        <v>Calculator &amp; World Time Clock</v>
      </c>
      <c r="H374" s="47"/>
      <c r="I374" s="47"/>
      <c r="J374" s="23">
        <v>0</v>
      </c>
      <c r="K374" s="25">
        <v>0</v>
      </c>
      <c r="L374" s="24">
        <v>0</v>
      </c>
      <c r="M374" s="24">
        <f>J374-L374</f>
        <v>0</v>
      </c>
      <c r="N374" s="53" t="str">
        <f>IF(J374&lt;&gt;0,M374/J374,"")</f>
        <v/>
      </c>
      <c r="O374" s="23">
        <v>968.09</v>
      </c>
      <c r="P374" s="25">
        <v>336</v>
      </c>
      <c r="Q374" s="24">
        <v>658.55</v>
      </c>
      <c r="R374" s="24">
        <f>O374-Q374</f>
        <v>309.54000000000008</v>
      </c>
      <c r="S374" s="53">
        <f>IF(O374&lt;&gt;0,R374/O374,"")</f>
        <v>0.31974299910132331</v>
      </c>
      <c r="T374" s="10"/>
      <c r="U374" s="23">
        <v>2.88</v>
      </c>
      <c r="V374" s="25">
        <v>1</v>
      </c>
      <c r="W374" s="24">
        <v>1.96</v>
      </c>
      <c r="X374" s="24">
        <f>U374-W374</f>
        <v>0.91999999999999993</v>
      </c>
      <c r="Y374" s="53">
        <f>IF(U374&lt;&gt;0,X374/U374,"")</f>
        <v>0.31944444444444442</v>
      </c>
      <c r="Z374" s="23">
        <v>0</v>
      </c>
      <c r="AA374" s="25">
        <v>0</v>
      </c>
      <c r="AB374" s="24">
        <v>0</v>
      </c>
      <c r="AC374" s="24">
        <f t="shared" si="116"/>
        <v>0</v>
      </c>
      <c r="AD374" s="53" t="str">
        <f t="shared" si="117"/>
        <v/>
      </c>
      <c r="AE374" s="10"/>
    </row>
    <row r="375" spans="1:31" x14ac:dyDescent="0.25">
      <c r="A375" s="14" t="s">
        <v>109</v>
      </c>
      <c r="C375" s="61" t="str">
        <f t="shared" si="115"/>
        <v>C100033</v>
      </c>
      <c r="F375" s="8" t="str">
        <f>"C100036"</f>
        <v>C100036</v>
      </c>
      <c r="G375" s="9" t="str">
        <f>"Clock &amp; Business Card Holder"</f>
        <v>Clock &amp; Business Card Holder</v>
      </c>
      <c r="H375" s="47"/>
      <c r="I375" s="47"/>
      <c r="J375" s="23">
        <v>0</v>
      </c>
      <c r="K375" s="25">
        <v>0</v>
      </c>
      <c r="L375" s="24">
        <v>0</v>
      </c>
      <c r="M375" s="24">
        <f>J375-L375</f>
        <v>0</v>
      </c>
      <c r="N375" s="53" t="str">
        <f>IF(J375&lt;&gt;0,M375/J375,"")</f>
        <v/>
      </c>
      <c r="O375" s="23">
        <v>8.5299999999999994</v>
      </c>
      <c r="P375" s="25">
        <v>1</v>
      </c>
      <c r="Q375" s="24">
        <v>4.68</v>
      </c>
      <c r="R375" s="24">
        <f>O375-Q375</f>
        <v>3.8499999999999996</v>
      </c>
      <c r="S375" s="53">
        <f>IF(O375&lt;&gt;0,R375/O375,"")</f>
        <v>0.45134818288393902</v>
      </c>
      <c r="T375" s="10"/>
      <c r="U375" s="23">
        <v>1278.9000000000001</v>
      </c>
      <c r="V375" s="25">
        <v>150</v>
      </c>
      <c r="W375" s="24">
        <v>702.01</v>
      </c>
      <c r="X375" s="24">
        <f>U375-W375</f>
        <v>576.8900000000001</v>
      </c>
      <c r="Y375" s="53">
        <f>IF(U375&lt;&gt;0,X375/U375,"")</f>
        <v>0.45108296192040037</v>
      </c>
      <c r="Z375" s="23">
        <v>0</v>
      </c>
      <c r="AA375" s="25">
        <v>0</v>
      </c>
      <c r="AB375" s="24">
        <v>0</v>
      </c>
      <c r="AC375" s="24">
        <f t="shared" si="116"/>
        <v>0</v>
      </c>
      <c r="AD375" s="53" t="str">
        <f t="shared" si="117"/>
        <v/>
      </c>
      <c r="AE375" s="10"/>
    </row>
    <row r="376" spans="1:31" x14ac:dyDescent="0.25">
      <c r="A376" s="14" t="s">
        <v>109</v>
      </c>
      <c r="C376" s="61" t="str">
        <f t="shared" si="115"/>
        <v>C100033</v>
      </c>
      <c r="F376" s="8" t="str">
        <f>"C100037"</f>
        <v>C100037</v>
      </c>
      <c r="G376" s="9" t="str">
        <f>"World Time Travel Alarm"</f>
        <v>World Time Travel Alarm</v>
      </c>
      <c r="H376" s="47"/>
      <c r="I376" s="47"/>
      <c r="J376" s="23">
        <v>0</v>
      </c>
      <c r="K376" s="25">
        <v>0</v>
      </c>
      <c r="L376" s="24">
        <v>0</v>
      </c>
      <c r="M376" s="24">
        <f>J376-L376</f>
        <v>0</v>
      </c>
      <c r="N376" s="53" t="str">
        <f>IF(J376&lt;&gt;0,M376/J376,"")</f>
        <v/>
      </c>
      <c r="O376" s="23">
        <v>424.29999999999995</v>
      </c>
      <c r="P376" s="25">
        <v>48</v>
      </c>
      <c r="Q376" s="24">
        <v>259.2</v>
      </c>
      <c r="R376" s="24">
        <f>O376-Q376</f>
        <v>165.09999999999997</v>
      </c>
      <c r="S376" s="53">
        <f>IF(O376&lt;&gt;0,R376/O376,"")</f>
        <v>0.38911147772802257</v>
      </c>
      <c r="T376" s="10"/>
      <c r="U376" s="23">
        <v>0</v>
      </c>
      <c r="V376" s="25">
        <v>0</v>
      </c>
      <c r="W376" s="24">
        <v>0</v>
      </c>
      <c r="X376" s="24">
        <f>U376-W376</f>
        <v>0</v>
      </c>
      <c r="Y376" s="53" t="str">
        <f>IF(U376&lt;&gt;0,X376/U376,"")</f>
        <v/>
      </c>
      <c r="Z376" s="23">
        <v>212.14999999999998</v>
      </c>
      <c r="AA376" s="25">
        <v>24</v>
      </c>
      <c r="AB376" s="24">
        <v>129.6</v>
      </c>
      <c r="AC376" s="24">
        <f t="shared" si="116"/>
        <v>82.549999999999983</v>
      </c>
      <c r="AD376" s="53">
        <f t="shared" si="117"/>
        <v>0.38911147772802257</v>
      </c>
      <c r="AE376" s="10"/>
    </row>
    <row r="377" spans="1:31" x14ac:dyDescent="0.25">
      <c r="A377" s="14" t="s">
        <v>109</v>
      </c>
      <c r="C377" s="61" t="str">
        <f t="shared" si="115"/>
        <v>C100033</v>
      </c>
      <c r="F377" s="8" t="str">
        <f>"C100038"</f>
        <v>C100038</v>
      </c>
      <c r="G377" s="9" t="str">
        <f>"Foldable Travel Speakers"</f>
        <v>Foldable Travel Speakers</v>
      </c>
      <c r="H377" s="47"/>
      <c r="I377" s="47"/>
      <c r="J377" s="23">
        <v>0</v>
      </c>
      <c r="K377" s="25">
        <v>0</v>
      </c>
      <c r="L377" s="24">
        <v>0</v>
      </c>
      <c r="M377" s="24">
        <f>J377-L377</f>
        <v>0</v>
      </c>
      <c r="N377" s="53" t="str">
        <f>IF(J377&lt;&gt;0,M377/J377,"")</f>
        <v/>
      </c>
      <c r="O377" s="23">
        <v>680.2</v>
      </c>
      <c r="P377" s="25">
        <v>144</v>
      </c>
      <c r="Q377" s="24">
        <v>459.35</v>
      </c>
      <c r="R377" s="24">
        <f>O377-Q377</f>
        <v>220.85000000000002</v>
      </c>
      <c r="S377" s="53">
        <f>IF(O377&lt;&gt;0,R377/O377,"")</f>
        <v>0.32468391649514849</v>
      </c>
      <c r="T377" s="10"/>
      <c r="U377" s="23">
        <v>340.1</v>
      </c>
      <c r="V377" s="25">
        <v>72</v>
      </c>
      <c r="W377" s="24">
        <v>229.68</v>
      </c>
      <c r="X377" s="24">
        <f>U377-W377</f>
        <v>110.42000000000002</v>
      </c>
      <c r="Y377" s="53">
        <f>IF(U377&lt;&gt;0,X377/U377,"")</f>
        <v>0.3246692149367833</v>
      </c>
      <c r="Z377" s="23">
        <v>4.72</v>
      </c>
      <c r="AA377" s="25">
        <v>1</v>
      </c>
      <c r="AB377" s="24">
        <v>3.19</v>
      </c>
      <c r="AC377" s="24">
        <f t="shared" si="116"/>
        <v>1.5299999999999998</v>
      </c>
      <c r="AD377" s="53">
        <f t="shared" si="117"/>
        <v>0.32415254237288132</v>
      </c>
      <c r="AE377" s="10"/>
    </row>
    <row r="378" spans="1:31" x14ac:dyDescent="0.25">
      <c r="A378" s="14" t="s">
        <v>109</v>
      </c>
      <c r="C378" s="61" t="str">
        <f t="shared" si="115"/>
        <v>C100033</v>
      </c>
      <c r="F378" s="8" t="str">
        <f>"C100039"</f>
        <v>C100039</v>
      </c>
      <c r="G378" s="9" t="str">
        <f>"Portable Speaker &amp; MP3 Dock"</f>
        <v>Portable Speaker &amp; MP3 Dock</v>
      </c>
      <c r="H378" s="47"/>
      <c r="I378" s="47"/>
      <c r="J378" s="23">
        <v>0</v>
      </c>
      <c r="K378" s="25">
        <v>0</v>
      </c>
      <c r="L378" s="24">
        <v>0</v>
      </c>
      <c r="M378" s="24">
        <f>J378-L378</f>
        <v>0</v>
      </c>
      <c r="N378" s="53" t="str">
        <f>IF(J378&lt;&gt;0,M378/J378,"")</f>
        <v/>
      </c>
      <c r="O378" s="23">
        <v>2098.4500000000003</v>
      </c>
      <c r="P378" s="25">
        <v>144</v>
      </c>
      <c r="Q378" s="24">
        <v>1209.5999999999999</v>
      </c>
      <c r="R378" s="24">
        <f>O378-Q378</f>
        <v>888.85000000000036</v>
      </c>
      <c r="S378" s="53">
        <f>IF(O378&lt;&gt;0,R378/O378,"")</f>
        <v>0.42357454311515652</v>
      </c>
      <c r="T378" s="10"/>
      <c r="U378" s="23">
        <v>0</v>
      </c>
      <c r="V378" s="25">
        <v>0</v>
      </c>
      <c r="W378" s="24">
        <v>0</v>
      </c>
      <c r="X378" s="24">
        <f>U378-W378</f>
        <v>0</v>
      </c>
      <c r="Y378" s="53" t="str">
        <f>IF(U378&lt;&gt;0,X378/U378,"")</f>
        <v/>
      </c>
      <c r="Z378" s="23">
        <v>0</v>
      </c>
      <c r="AA378" s="25">
        <v>0</v>
      </c>
      <c r="AB378" s="24">
        <v>0</v>
      </c>
      <c r="AC378" s="24">
        <f t="shared" si="116"/>
        <v>0</v>
      </c>
      <c r="AD378" s="53" t="str">
        <f t="shared" si="117"/>
        <v/>
      </c>
      <c r="AE378" s="10"/>
    </row>
    <row r="379" spans="1:31" x14ac:dyDescent="0.25">
      <c r="A379" s="14" t="s">
        <v>109</v>
      </c>
      <c r="C379" s="61" t="str">
        <f t="shared" si="115"/>
        <v>C100033</v>
      </c>
      <c r="F379" s="8" t="str">
        <f>"C100041"</f>
        <v>C100041</v>
      </c>
      <c r="G379" s="9" t="str">
        <f>"Folding Stereo Speakers"</f>
        <v>Folding Stereo Speakers</v>
      </c>
      <c r="H379" s="47"/>
      <c r="I379" s="47"/>
      <c r="J379" s="23">
        <v>0</v>
      </c>
      <c r="K379" s="25">
        <v>0</v>
      </c>
      <c r="L379" s="24">
        <v>0</v>
      </c>
      <c r="M379" s="24">
        <f>J379-L379</f>
        <v>0</v>
      </c>
      <c r="N379" s="53" t="str">
        <f>IF(J379&lt;&gt;0,M379/J379,"")</f>
        <v/>
      </c>
      <c r="O379" s="23">
        <v>366.2</v>
      </c>
      <c r="P379" s="25">
        <v>24</v>
      </c>
      <c r="Q379" s="24">
        <v>200.85999999999999</v>
      </c>
      <c r="R379" s="24">
        <f>O379-Q379</f>
        <v>165.34</v>
      </c>
      <c r="S379" s="53">
        <f>IF(O379&lt;&gt;0,R379/O379,"")</f>
        <v>0.45150191152375752</v>
      </c>
      <c r="T379" s="10"/>
      <c r="U379" s="23">
        <v>0</v>
      </c>
      <c r="V379" s="25">
        <v>0</v>
      </c>
      <c r="W379" s="24">
        <v>0</v>
      </c>
      <c r="X379" s="24">
        <f>U379-W379</f>
        <v>0</v>
      </c>
      <c r="Y379" s="53" t="str">
        <f>IF(U379&lt;&gt;0,X379/U379,"")</f>
        <v/>
      </c>
      <c r="Z379" s="23">
        <v>2197.2400000000002</v>
      </c>
      <c r="AA379" s="25">
        <v>144</v>
      </c>
      <c r="AB379" s="24">
        <v>1205.19</v>
      </c>
      <c r="AC379" s="24">
        <f t="shared" si="116"/>
        <v>992.05000000000018</v>
      </c>
      <c r="AD379" s="53">
        <f t="shared" si="117"/>
        <v>0.45149824325062354</v>
      </c>
      <c r="AE379" s="10"/>
    </row>
    <row r="380" spans="1:31" x14ac:dyDescent="0.25">
      <c r="A380" s="14" t="s">
        <v>109</v>
      </c>
      <c r="C380" s="61" t="str">
        <f t="shared" si="115"/>
        <v>C100033</v>
      </c>
      <c r="F380" s="8" t="str">
        <f>"C100043"</f>
        <v>C100043</v>
      </c>
      <c r="G380" s="9" t="str">
        <f>"Pro-Travel Technology Set"</f>
        <v>Pro-Travel Technology Set</v>
      </c>
      <c r="H380" s="47"/>
      <c r="I380" s="47"/>
      <c r="J380" s="23">
        <v>0</v>
      </c>
      <c r="K380" s="25">
        <v>0</v>
      </c>
      <c r="L380" s="24">
        <v>0</v>
      </c>
      <c r="M380" s="24">
        <f>J380-L380</f>
        <v>0</v>
      </c>
      <c r="N380" s="53" t="str">
        <f>IF(J380&lt;&gt;0,M380/J380,"")</f>
        <v/>
      </c>
      <c r="O380" s="23">
        <v>1538.21</v>
      </c>
      <c r="P380" s="25">
        <v>48</v>
      </c>
      <c r="Q380" s="24">
        <v>720.02</v>
      </c>
      <c r="R380" s="24">
        <f>O380-Q380</f>
        <v>818.19</v>
      </c>
      <c r="S380" s="53">
        <f>IF(O380&lt;&gt;0,R380/O380,"")</f>
        <v>0.53191046736141356</v>
      </c>
      <c r="T380" s="10"/>
      <c r="U380" s="23">
        <v>769.1</v>
      </c>
      <c r="V380" s="25">
        <v>24</v>
      </c>
      <c r="W380" s="24">
        <v>360.01</v>
      </c>
      <c r="X380" s="24">
        <f>U380-W380</f>
        <v>409.09000000000003</v>
      </c>
      <c r="Y380" s="53">
        <f>IF(U380&lt;&gt;0,X380/U380,"")</f>
        <v>0.53190742426212456</v>
      </c>
      <c r="Z380" s="23">
        <v>384.55</v>
      </c>
      <c r="AA380" s="25">
        <v>12</v>
      </c>
      <c r="AB380" s="24">
        <v>180.01</v>
      </c>
      <c r="AC380" s="24">
        <f t="shared" si="116"/>
        <v>204.54000000000002</v>
      </c>
      <c r="AD380" s="53">
        <f t="shared" si="117"/>
        <v>0.53189442205174886</v>
      </c>
      <c r="AE380" s="10"/>
    </row>
    <row r="381" spans="1:31" x14ac:dyDescent="0.25">
      <c r="A381" s="14" t="s">
        <v>109</v>
      </c>
      <c r="C381" s="61" t="str">
        <f t="shared" si="115"/>
        <v>C100033</v>
      </c>
      <c r="F381" s="8" t="str">
        <f>"C100044"</f>
        <v>C100044</v>
      </c>
      <c r="G381" s="9" t="str">
        <f>"VOIP Headset with Mic"</f>
        <v>VOIP Headset with Mic</v>
      </c>
      <c r="H381" s="47"/>
      <c r="I381" s="47"/>
      <c r="J381" s="23">
        <v>0</v>
      </c>
      <c r="K381" s="25">
        <v>0</v>
      </c>
      <c r="L381" s="24">
        <v>0</v>
      </c>
      <c r="M381" s="24">
        <f>J381-L381</f>
        <v>0</v>
      </c>
      <c r="N381" s="53" t="str">
        <f>IF(J381&lt;&gt;0,M381/J381,"")</f>
        <v/>
      </c>
      <c r="O381" s="23">
        <v>314.77999999999997</v>
      </c>
      <c r="P381" s="25">
        <v>146</v>
      </c>
      <c r="Q381" s="24">
        <v>175.25</v>
      </c>
      <c r="R381" s="24">
        <f>O381-Q381</f>
        <v>139.52999999999997</v>
      </c>
      <c r="S381" s="53">
        <f>IF(O381&lt;&gt;0,R381/O381,"")</f>
        <v>0.44326196073448115</v>
      </c>
      <c r="T381" s="10"/>
      <c r="U381" s="23">
        <v>312.62</v>
      </c>
      <c r="V381" s="25">
        <v>145</v>
      </c>
      <c r="W381" s="24">
        <v>174.05</v>
      </c>
      <c r="X381" s="24">
        <f>U381-W381</f>
        <v>138.57</v>
      </c>
      <c r="Y381" s="53">
        <f>IF(U381&lt;&gt;0,X381/U381,"")</f>
        <v>0.44325379054443093</v>
      </c>
      <c r="Z381" s="23">
        <v>310.45999999999998</v>
      </c>
      <c r="AA381" s="25">
        <v>144</v>
      </c>
      <c r="AB381" s="24">
        <v>172.85</v>
      </c>
      <c r="AC381" s="24">
        <f t="shared" si="116"/>
        <v>137.60999999999999</v>
      </c>
      <c r="AD381" s="53">
        <f t="shared" si="117"/>
        <v>0.4432455066675256</v>
      </c>
      <c r="AE381" s="10"/>
    </row>
    <row r="382" spans="1:31" x14ac:dyDescent="0.25">
      <c r="A382" s="14" t="s">
        <v>109</v>
      </c>
      <c r="C382" s="61" t="str">
        <f t="shared" si="115"/>
        <v>C100033</v>
      </c>
      <c r="F382" s="8" t="str">
        <f>"C100045"</f>
        <v>C100045</v>
      </c>
      <c r="G382" s="9" t="str">
        <f>"Wireless Headphones"</f>
        <v>Wireless Headphones</v>
      </c>
      <c r="H382" s="47"/>
      <c r="I382" s="47"/>
      <c r="J382" s="23">
        <v>0</v>
      </c>
      <c r="K382" s="25">
        <v>0</v>
      </c>
      <c r="L382" s="24">
        <v>0</v>
      </c>
      <c r="M382" s="24">
        <f>J382-L382</f>
        <v>0</v>
      </c>
      <c r="N382" s="53" t="str">
        <f>IF(J382&lt;&gt;0,M382/J382,"")</f>
        <v/>
      </c>
      <c r="O382" s="23">
        <v>4012.04</v>
      </c>
      <c r="P382" s="25">
        <v>144</v>
      </c>
      <c r="Q382" s="24">
        <v>1987.2600000000002</v>
      </c>
      <c r="R382" s="24">
        <f>O382-Q382</f>
        <v>2024.7799999999997</v>
      </c>
      <c r="S382" s="53">
        <f>IF(O382&lt;&gt;0,R382/O382,"")</f>
        <v>0.50467592546435225</v>
      </c>
      <c r="T382" s="10"/>
      <c r="U382" s="23">
        <v>27.86</v>
      </c>
      <c r="V382" s="25">
        <v>1</v>
      </c>
      <c r="W382" s="24">
        <v>13.8</v>
      </c>
      <c r="X382" s="24">
        <f>U382-W382</f>
        <v>14.059999999999999</v>
      </c>
      <c r="Y382" s="53">
        <f>IF(U382&lt;&gt;0,X382/U382,"")</f>
        <v>0.50466618808327346</v>
      </c>
      <c r="Z382" s="23">
        <v>0</v>
      </c>
      <c r="AA382" s="25">
        <v>0</v>
      </c>
      <c r="AB382" s="24">
        <v>0</v>
      </c>
      <c r="AC382" s="24">
        <f t="shared" si="116"/>
        <v>0</v>
      </c>
      <c r="AD382" s="53" t="str">
        <f t="shared" si="117"/>
        <v/>
      </c>
      <c r="AE382" s="10"/>
    </row>
    <row r="383" spans="1:31" x14ac:dyDescent="0.25">
      <c r="A383" s="14" t="s">
        <v>109</v>
      </c>
      <c r="C383" s="61" t="str">
        <f t="shared" si="115"/>
        <v>C100033</v>
      </c>
      <c r="F383" s="8" t="str">
        <f>"C100047"</f>
        <v>C100047</v>
      </c>
      <c r="G383" s="9" t="str">
        <f>"2GB MP3 Player"</f>
        <v>2GB MP3 Player</v>
      </c>
      <c r="H383" s="47"/>
      <c r="I383" s="47"/>
      <c r="J383" s="23">
        <v>0</v>
      </c>
      <c r="K383" s="25">
        <v>0</v>
      </c>
      <c r="L383" s="24">
        <v>0</v>
      </c>
      <c r="M383" s="24">
        <f>J383-L383</f>
        <v>0</v>
      </c>
      <c r="N383" s="53" t="str">
        <f>IF(J383&lt;&gt;0,M383/J383,"")</f>
        <v/>
      </c>
      <c r="O383" s="23">
        <v>1985.56</v>
      </c>
      <c r="P383" s="25">
        <v>72</v>
      </c>
      <c r="Q383" s="24">
        <v>1198.77</v>
      </c>
      <c r="R383" s="24">
        <f>O383-Q383</f>
        <v>786.79</v>
      </c>
      <c r="S383" s="53">
        <f>IF(O383&lt;&gt;0,R383/O383,"")</f>
        <v>0.39625596808960695</v>
      </c>
      <c r="T383" s="10"/>
      <c r="U383" s="23">
        <v>0</v>
      </c>
      <c r="V383" s="25">
        <v>0</v>
      </c>
      <c r="W383" s="24">
        <v>0</v>
      </c>
      <c r="X383" s="24">
        <f>U383-W383</f>
        <v>0</v>
      </c>
      <c r="Y383" s="53" t="str">
        <f>IF(U383&lt;&gt;0,X383/U383,"")</f>
        <v/>
      </c>
      <c r="Z383" s="23">
        <v>1323.71</v>
      </c>
      <c r="AA383" s="25">
        <v>48</v>
      </c>
      <c r="AB383" s="24">
        <v>799.18</v>
      </c>
      <c r="AC383" s="24">
        <f t="shared" si="116"/>
        <v>524.53000000000009</v>
      </c>
      <c r="AD383" s="53">
        <f t="shared" si="117"/>
        <v>0.39625748842269082</v>
      </c>
      <c r="AE383" s="10"/>
    </row>
    <row r="384" spans="1:31" x14ac:dyDescent="0.25">
      <c r="A384" s="14" t="s">
        <v>109</v>
      </c>
      <c r="C384" s="61" t="str">
        <f t="shared" si="115"/>
        <v>C100033</v>
      </c>
      <c r="F384" s="8" t="str">
        <f>"C100048"</f>
        <v>C100048</v>
      </c>
      <c r="G384" s="9" t="str">
        <f>"USB MP3 Player"</f>
        <v>USB MP3 Player</v>
      </c>
      <c r="H384" s="47"/>
      <c r="I384" s="47"/>
      <c r="J384" s="23">
        <v>0</v>
      </c>
      <c r="K384" s="25">
        <v>0</v>
      </c>
      <c r="L384" s="24">
        <v>0</v>
      </c>
      <c r="M384" s="24">
        <f>J384-L384</f>
        <v>0</v>
      </c>
      <c r="N384" s="53" t="str">
        <f>IF(J384&lt;&gt;0,M384/J384,"")</f>
        <v/>
      </c>
      <c r="O384" s="23">
        <v>12.38</v>
      </c>
      <c r="P384" s="25">
        <v>1</v>
      </c>
      <c r="Q384" s="24">
        <v>7.7</v>
      </c>
      <c r="R384" s="24">
        <f>O384-Q384</f>
        <v>4.6800000000000006</v>
      </c>
      <c r="S384" s="53">
        <f>IF(O384&lt;&gt;0,R384/O384,"")</f>
        <v>0.37802907915993539</v>
      </c>
      <c r="T384" s="10"/>
      <c r="U384" s="23">
        <v>0</v>
      </c>
      <c r="V384" s="25">
        <v>0</v>
      </c>
      <c r="W384" s="24">
        <v>0</v>
      </c>
      <c r="X384" s="24">
        <f>U384-W384</f>
        <v>0</v>
      </c>
      <c r="Y384" s="53" t="str">
        <f>IF(U384&lt;&gt;0,X384/U384,"")</f>
        <v/>
      </c>
      <c r="Z384" s="23">
        <v>0</v>
      </c>
      <c r="AA384" s="25">
        <v>0</v>
      </c>
      <c r="AB384" s="24">
        <v>0</v>
      </c>
      <c r="AC384" s="24">
        <f t="shared" si="116"/>
        <v>0</v>
      </c>
      <c r="AD384" s="53" t="str">
        <f t="shared" si="117"/>
        <v/>
      </c>
      <c r="AE384" s="10"/>
    </row>
    <row r="385" spans="1:31" x14ac:dyDescent="0.25">
      <c r="A385" s="14" t="s">
        <v>109</v>
      </c>
      <c r="C385" s="61" t="str">
        <f t="shared" si="115"/>
        <v>C100033</v>
      </c>
      <c r="F385" s="8" t="str">
        <f>"C100050"</f>
        <v>C100050</v>
      </c>
      <c r="G385" s="9" t="str">
        <f>"Clip-on MP3 Player"</f>
        <v>Clip-on MP3 Player</v>
      </c>
      <c r="H385" s="47"/>
      <c r="I385" s="47"/>
      <c r="J385" s="23">
        <v>0</v>
      </c>
      <c r="K385" s="25">
        <v>0</v>
      </c>
      <c r="L385" s="24">
        <v>0</v>
      </c>
      <c r="M385" s="24">
        <f>J385-L385</f>
        <v>0</v>
      </c>
      <c r="N385" s="53" t="str">
        <f>IF(J385&lt;&gt;0,M385/J385,"")</f>
        <v/>
      </c>
      <c r="O385" s="23">
        <v>902.3</v>
      </c>
      <c r="P385" s="25">
        <v>49</v>
      </c>
      <c r="Q385" s="24">
        <v>420.41</v>
      </c>
      <c r="R385" s="24">
        <f>O385-Q385</f>
        <v>481.88999999999993</v>
      </c>
      <c r="S385" s="53">
        <f>IF(O385&lt;&gt;0,R385/O385,"")</f>
        <v>0.5340684916324947</v>
      </c>
      <c r="T385" s="10"/>
      <c r="U385" s="23">
        <v>0</v>
      </c>
      <c r="V385" s="25">
        <v>0</v>
      </c>
      <c r="W385" s="24">
        <v>0</v>
      </c>
      <c r="X385" s="24">
        <f>U385-W385</f>
        <v>0</v>
      </c>
      <c r="Y385" s="53" t="str">
        <f>IF(U385&lt;&gt;0,X385/U385,"")</f>
        <v/>
      </c>
      <c r="Z385" s="23">
        <v>2651.64</v>
      </c>
      <c r="AA385" s="25">
        <v>144</v>
      </c>
      <c r="AB385" s="24">
        <v>1235.48</v>
      </c>
      <c r="AC385" s="24">
        <f t="shared" si="116"/>
        <v>1416.1599999999999</v>
      </c>
      <c r="AD385" s="53">
        <f t="shared" si="117"/>
        <v>0.5340694815284126</v>
      </c>
      <c r="AE385" s="10"/>
    </row>
    <row r="386" spans="1:31" x14ac:dyDescent="0.25">
      <c r="A386" s="14" t="s">
        <v>109</v>
      </c>
      <c r="C386" s="61" t="str">
        <f t="shared" si="115"/>
        <v>C100033</v>
      </c>
      <c r="F386" s="8" t="str">
        <f>"E100018"</f>
        <v>E100018</v>
      </c>
      <c r="G386" s="9" t="str">
        <f>"Flexi-Clock &amp; Clip"</f>
        <v>Flexi-Clock &amp; Clip</v>
      </c>
      <c r="H386" s="47"/>
      <c r="I386" s="47"/>
      <c r="J386" s="23">
        <v>0</v>
      </c>
      <c r="K386" s="25">
        <v>0</v>
      </c>
      <c r="L386" s="24">
        <v>0</v>
      </c>
      <c r="M386" s="24">
        <f>J386-L386</f>
        <v>0</v>
      </c>
      <c r="N386" s="53" t="str">
        <f>IF(J386&lt;&gt;0,M386/J386,"")</f>
        <v/>
      </c>
      <c r="O386" s="23">
        <v>7.75</v>
      </c>
      <c r="P386" s="25">
        <v>7</v>
      </c>
      <c r="Q386" s="24">
        <v>4.2</v>
      </c>
      <c r="R386" s="24">
        <f>O386-Q386</f>
        <v>3.55</v>
      </c>
      <c r="S386" s="53">
        <f>IF(O386&lt;&gt;0,R386/O386,"")</f>
        <v>0.45806451612903226</v>
      </c>
      <c r="T386" s="10"/>
      <c r="U386" s="23">
        <v>0</v>
      </c>
      <c r="V386" s="25">
        <v>0</v>
      </c>
      <c r="W386" s="24">
        <v>0</v>
      </c>
      <c r="X386" s="24">
        <f>U386-W386</f>
        <v>0</v>
      </c>
      <c r="Y386" s="53" t="str">
        <f>IF(U386&lt;&gt;0,X386/U386,"")</f>
        <v/>
      </c>
      <c r="Z386" s="23">
        <v>0</v>
      </c>
      <c r="AA386" s="25">
        <v>0</v>
      </c>
      <c r="AB386" s="24">
        <v>0</v>
      </c>
      <c r="AC386" s="24">
        <f t="shared" si="116"/>
        <v>0</v>
      </c>
      <c r="AD386" s="53" t="str">
        <f t="shared" si="117"/>
        <v/>
      </c>
      <c r="AE386" s="10"/>
    </row>
    <row r="387" spans="1:31" x14ac:dyDescent="0.25">
      <c r="A387" s="14" t="s">
        <v>109</v>
      </c>
      <c r="C387" s="61" t="str">
        <f t="shared" si="115"/>
        <v>C100033</v>
      </c>
      <c r="F387" s="8" t="str">
        <f>"E100020"</f>
        <v>E100020</v>
      </c>
      <c r="G387" s="9" t="str">
        <f>"Flip-up Travel Alarm"</f>
        <v>Flip-up Travel Alarm</v>
      </c>
      <c r="H387" s="47"/>
      <c r="I387" s="47"/>
      <c r="J387" s="23">
        <v>-54.21</v>
      </c>
      <c r="K387" s="25">
        <v>-6</v>
      </c>
      <c r="L387" s="24">
        <v>-28.08</v>
      </c>
      <c r="M387" s="24">
        <f>J387-L387</f>
        <v>-26.130000000000003</v>
      </c>
      <c r="N387" s="53">
        <f>IF(J387&lt;&gt;0,M387/J387,"")</f>
        <v>0.48201438848920869</v>
      </c>
      <c r="O387" s="23">
        <v>0</v>
      </c>
      <c r="P387" s="25">
        <v>0</v>
      </c>
      <c r="Q387" s="24">
        <v>0</v>
      </c>
      <c r="R387" s="24">
        <f>O387-Q387</f>
        <v>0</v>
      </c>
      <c r="S387" s="53" t="str">
        <f>IF(O387&lt;&gt;0,R387/O387,"")</f>
        <v/>
      </c>
      <c r="T387" s="10"/>
      <c r="U387" s="23">
        <v>108.42999999999999</v>
      </c>
      <c r="V387" s="25">
        <v>12</v>
      </c>
      <c r="W387" s="24">
        <v>56.16</v>
      </c>
      <c r="X387" s="24">
        <f>U387-W387</f>
        <v>52.269999999999996</v>
      </c>
      <c r="Y387" s="53">
        <f>IF(U387&lt;&gt;0,X387/U387,"")</f>
        <v>0.48206215991884166</v>
      </c>
      <c r="Z387" s="23">
        <v>9.0399999999999991</v>
      </c>
      <c r="AA387" s="25">
        <v>1</v>
      </c>
      <c r="AB387" s="24">
        <v>4.68</v>
      </c>
      <c r="AC387" s="24">
        <f t="shared" si="116"/>
        <v>4.3599999999999994</v>
      </c>
      <c r="AD387" s="53">
        <f t="shared" si="117"/>
        <v>0.48230088495575218</v>
      </c>
      <c r="AE387" s="10"/>
    </row>
    <row r="388" spans="1:31" ht="15.75" thickBot="1" x14ac:dyDescent="0.3">
      <c r="A388" s="14" t="s">
        <v>109</v>
      </c>
      <c r="C388" s="61" t="str">
        <f>C367</f>
        <v>C100033</v>
      </c>
      <c r="J388" s="10"/>
      <c r="K388" s="11"/>
      <c r="L388" s="11"/>
      <c r="M388" s="11"/>
      <c r="N388" s="12"/>
      <c r="O388" s="10"/>
      <c r="P388" s="11"/>
      <c r="Q388" s="11"/>
      <c r="R388" s="11"/>
      <c r="S388" s="12"/>
      <c r="U388" s="10"/>
      <c r="V388" s="11"/>
      <c r="W388" s="11"/>
      <c r="X388" s="11"/>
      <c r="Y388" s="12"/>
      <c r="Z388" s="10"/>
      <c r="AA388" s="11"/>
      <c r="AB388" s="11"/>
      <c r="AC388" s="11"/>
      <c r="AD388" s="12"/>
    </row>
    <row r="389" spans="1:31" ht="15.75" thickBot="1" x14ac:dyDescent="0.3">
      <c r="A389" s="14" t="s">
        <v>109</v>
      </c>
      <c r="C389" s="61" t="str">
        <f t="shared" si="112"/>
        <v>C100033</v>
      </c>
      <c r="G389" s="48" t="str">
        <f>C389&amp;" TOTAL:"</f>
        <v>C100033 TOTAL:</v>
      </c>
      <c r="H389" s="50"/>
      <c r="I389" s="50"/>
      <c r="J389" s="34">
        <f>SUBTOTAL(9,J366:J388)</f>
        <v>-54.21</v>
      </c>
      <c r="K389" s="35">
        <f>SUBTOTAL(9,K366:K388)</f>
        <v>-6</v>
      </c>
      <c r="L389" s="36">
        <f>SUBTOTAL(9,L366:L388)</f>
        <v>-28.08</v>
      </c>
      <c r="M389" s="36">
        <f>J389-L389</f>
        <v>-26.130000000000003</v>
      </c>
      <c r="N389" s="37">
        <f>IF(J389&lt;&gt;0,M389/J389,"")</f>
        <v>0.48201438848920869</v>
      </c>
      <c r="O389" s="34">
        <f>SUBTOTAL(9,O366:O388)</f>
        <v>17885.440000000002</v>
      </c>
      <c r="P389" s="35">
        <f>SUBTOTAL(9,P366:P388)</f>
        <v>1218</v>
      </c>
      <c r="Q389" s="36">
        <f>SUBTOTAL(9,Q366:Q388)</f>
        <v>9815.26</v>
      </c>
      <c r="R389" s="36">
        <f>O389-Q389</f>
        <v>8070.1800000000021</v>
      </c>
      <c r="S389" s="37">
        <f>IF(O389&lt;&gt;0,R389/O389,"")</f>
        <v>0.45121506655693128</v>
      </c>
      <c r="U389" s="34">
        <f>SUBTOTAL(9,U366:U388)</f>
        <v>12099.060000000001</v>
      </c>
      <c r="V389" s="35">
        <f>SUBTOTAL(9,V366:V388)</f>
        <v>647</v>
      </c>
      <c r="W389" s="36">
        <f>SUBTOTAL(9,W366:W388)</f>
        <v>6056.5900000000011</v>
      </c>
      <c r="X389" s="36">
        <f>U389-W389</f>
        <v>6042.47</v>
      </c>
      <c r="Y389" s="37">
        <f>IF(U389&lt;&gt;0,X389/U389,"")</f>
        <v>0.49941648359459329</v>
      </c>
      <c r="Z389" s="34">
        <f>SUBTOTAL(9,Z366:Z388)</f>
        <v>7102.38</v>
      </c>
      <c r="AA389" s="35">
        <f>SUBTOTAL(9,AA366:AA388)</f>
        <v>519</v>
      </c>
      <c r="AB389" s="36">
        <f>SUBTOTAL(9,AB366:AB388)</f>
        <v>3734.43</v>
      </c>
      <c r="AC389" s="36">
        <f t="shared" ref="AC389" si="118">Z389-AB389</f>
        <v>3367.9500000000003</v>
      </c>
      <c r="AD389" s="37">
        <f t="shared" ref="AD389" si="119">IF(Z389&lt;&gt;0,AC389/Z389,"")</f>
        <v>0.47420019768021426</v>
      </c>
    </row>
    <row r="390" spans="1:31" x14ac:dyDescent="0.25">
      <c r="A390" s="14" t="s">
        <v>109</v>
      </c>
      <c r="C390" s="66"/>
      <c r="J390" s="10"/>
      <c r="K390" s="11"/>
      <c r="L390" s="11"/>
      <c r="M390" s="11"/>
      <c r="N390" s="12"/>
      <c r="O390" s="10"/>
      <c r="P390" s="11"/>
      <c r="Q390" s="11"/>
      <c r="R390" s="11"/>
      <c r="S390" s="12"/>
      <c r="U390" s="10"/>
      <c r="V390" s="11"/>
      <c r="W390" s="11"/>
      <c r="X390" s="11"/>
      <c r="Y390" s="12"/>
      <c r="Z390" s="10"/>
      <c r="AA390" s="11"/>
      <c r="AB390" s="11"/>
      <c r="AC390" s="11"/>
      <c r="AD390" s="12"/>
    </row>
    <row r="391" spans="1:31" ht="15.75" x14ac:dyDescent="0.25">
      <c r="A391" s="14" t="s">
        <v>109</v>
      </c>
      <c r="C391" s="66" t="str">
        <f t="shared" ref="C391" si="120">E391</f>
        <v>C100035</v>
      </c>
      <c r="E391" s="13" t="str">
        <f>"C100035"</f>
        <v>C100035</v>
      </c>
      <c r="F391" s="13"/>
      <c r="G391" s="13" t="str">
        <f>"First Touch Marketing"</f>
        <v>First Touch Marketing</v>
      </c>
      <c r="H391" s="13"/>
      <c r="I391" s="13"/>
      <c r="J391" s="10"/>
      <c r="K391" s="11"/>
      <c r="L391" s="11"/>
      <c r="M391" s="11"/>
      <c r="N391" s="12"/>
      <c r="O391" s="10"/>
      <c r="P391" s="11"/>
      <c r="Q391" s="11"/>
      <c r="R391" s="11"/>
      <c r="S391" s="12"/>
      <c r="U391" s="10"/>
      <c r="V391" s="11"/>
      <c r="W391" s="11"/>
      <c r="X391" s="11"/>
      <c r="Y391" s="12"/>
      <c r="Z391" s="10"/>
      <c r="AA391" s="11"/>
      <c r="AB391" s="11"/>
      <c r="AC391" s="11"/>
      <c r="AD391" s="12"/>
    </row>
    <row r="392" spans="1:31" ht="6.6" customHeight="1" x14ac:dyDescent="0.25">
      <c r="A392" s="14" t="s">
        <v>109</v>
      </c>
      <c r="C392" s="61" t="str">
        <f t="shared" ref="C392:C437" si="121">C391</f>
        <v>C100035</v>
      </c>
      <c r="J392" s="10"/>
      <c r="K392" s="11"/>
      <c r="L392" s="11"/>
      <c r="M392" s="11"/>
      <c r="N392" s="12"/>
      <c r="O392" s="10"/>
      <c r="P392" s="11"/>
      <c r="Q392" s="11"/>
      <c r="R392" s="11"/>
      <c r="S392" s="12"/>
      <c r="U392" s="10"/>
      <c r="V392" s="11"/>
      <c r="W392" s="11"/>
      <c r="X392" s="11"/>
      <c r="Y392" s="12"/>
      <c r="Z392" s="10"/>
      <c r="AA392" s="11"/>
      <c r="AB392" s="11"/>
      <c r="AC392" s="11"/>
      <c r="AD392" s="12"/>
    </row>
    <row r="393" spans="1:31" x14ac:dyDescent="0.25">
      <c r="A393" s="14" t="s">
        <v>109</v>
      </c>
      <c r="C393" s="61" t="str">
        <f t="shared" si="121"/>
        <v>C100035</v>
      </c>
      <c r="F393" s="8" t="str">
        <f>"C100003"</f>
        <v>C100003</v>
      </c>
      <c r="G393" s="9" t="str">
        <f>"Cherry Finish Frame"</f>
        <v>Cherry Finish Frame</v>
      </c>
      <c r="H393" s="47"/>
      <c r="I393" s="47"/>
      <c r="J393" s="23">
        <v>757.65000000000009</v>
      </c>
      <c r="K393" s="25">
        <v>12</v>
      </c>
      <c r="L393" s="24">
        <v>391.68</v>
      </c>
      <c r="M393" s="24">
        <f>J393-L393</f>
        <v>365.97000000000008</v>
      </c>
      <c r="N393" s="53">
        <f>IF(J393&lt;&gt;0,M393/J393,"")</f>
        <v>0.48303306275984959</v>
      </c>
      <c r="O393" s="23">
        <v>9482.8799999999992</v>
      </c>
      <c r="P393" s="25">
        <v>144</v>
      </c>
      <c r="Q393" s="24">
        <v>4700.1499999999996</v>
      </c>
      <c r="R393" s="24">
        <f>O393-Q393</f>
        <v>4782.7299999999996</v>
      </c>
      <c r="S393" s="53">
        <f>IF(O393&lt;&gt;0,R393/O393,"")</f>
        <v>0.50435416244853881</v>
      </c>
      <c r="T393" s="10"/>
      <c r="U393" s="23">
        <v>0</v>
      </c>
      <c r="V393" s="25">
        <v>0</v>
      </c>
      <c r="W393" s="24">
        <v>0</v>
      </c>
      <c r="X393" s="24">
        <f>U393-W393</f>
        <v>0</v>
      </c>
      <c r="Y393" s="53" t="str">
        <f>IF(U393&lt;&gt;0,X393/U393,"")</f>
        <v/>
      </c>
      <c r="Z393" s="23">
        <v>0</v>
      </c>
      <c r="AA393" s="25">
        <v>0</v>
      </c>
      <c r="AB393" s="24">
        <v>0</v>
      </c>
      <c r="AC393" s="24">
        <f t="shared" ref="AC393" si="122">Z393-AB393</f>
        <v>0</v>
      </c>
      <c r="AD393" s="53" t="str">
        <f t="shared" ref="AD393" si="123">IF(Z393&lt;&gt;0,AC393/Z393,"")</f>
        <v/>
      </c>
      <c r="AE393" s="10"/>
    </row>
    <row r="394" spans="1:31" x14ac:dyDescent="0.25">
      <c r="A394" s="14" t="s">
        <v>109</v>
      </c>
      <c r="C394" s="61" t="str">
        <f t="shared" ref="C394:C435" si="124">C393</f>
        <v>C100035</v>
      </c>
      <c r="F394" s="8" t="str">
        <f>"C100005"</f>
        <v>C100005</v>
      </c>
      <c r="G394" s="9" t="str">
        <f>"Cherry Finished Crystal Award"</f>
        <v>Cherry Finished Crystal Award</v>
      </c>
      <c r="H394" s="47"/>
      <c r="I394" s="47"/>
      <c r="J394" s="23">
        <v>19017.939999999999</v>
      </c>
      <c r="K394" s="25">
        <v>144</v>
      </c>
      <c r="L394" s="24">
        <v>10213.91</v>
      </c>
      <c r="M394" s="24">
        <f>J394-L394</f>
        <v>8804.0299999999988</v>
      </c>
      <c r="N394" s="53">
        <f>IF(J394&lt;&gt;0,M394/J394,"")</f>
        <v>0.46293289388861253</v>
      </c>
      <c r="O394" s="23">
        <v>0</v>
      </c>
      <c r="P394" s="25">
        <v>0</v>
      </c>
      <c r="Q394" s="24">
        <v>0</v>
      </c>
      <c r="R394" s="24">
        <f>O394-Q394</f>
        <v>0</v>
      </c>
      <c r="S394" s="53" t="str">
        <f>IF(O394&lt;&gt;0,R394/O394,"")</f>
        <v/>
      </c>
      <c r="T394" s="10"/>
      <c r="U394" s="23">
        <v>0</v>
      </c>
      <c r="V394" s="25">
        <v>0</v>
      </c>
      <c r="W394" s="24">
        <v>0</v>
      </c>
      <c r="X394" s="24">
        <f>U394-W394</f>
        <v>0</v>
      </c>
      <c r="Y394" s="53" t="str">
        <f>IF(U394&lt;&gt;0,X394/U394,"")</f>
        <v/>
      </c>
      <c r="Z394" s="23">
        <v>3203.02</v>
      </c>
      <c r="AA394" s="25">
        <v>24</v>
      </c>
      <c r="AB394" s="24">
        <v>1702.32</v>
      </c>
      <c r="AC394" s="24">
        <f t="shared" ref="AC394:AC435" si="125">Z394-AB394</f>
        <v>1500.7</v>
      </c>
      <c r="AD394" s="53">
        <f t="shared" ref="AD394:AD435" si="126">IF(Z394&lt;&gt;0,AC394/Z394,"")</f>
        <v>0.4685265780419729</v>
      </c>
      <c r="AE394" s="10"/>
    </row>
    <row r="395" spans="1:31" x14ac:dyDescent="0.25">
      <c r="A395" s="14" t="s">
        <v>109</v>
      </c>
      <c r="C395" s="61" t="str">
        <f t="shared" si="124"/>
        <v>C100035</v>
      </c>
      <c r="F395" s="8" t="str">
        <f>"C100006"</f>
        <v>C100006</v>
      </c>
      <c r="G395" s="9" t="str">
        <f>"Cherry Finished Crystal Award- Large"</f>
        <v>Cherry Finished Crystal Award- Large</v>
      </c>
      <c r="H395" s="47"/>
      <c r="I395" s="47"/>
      <c r="J395" s="23">
        <v>4867.62</v>
      </c>
      <c r="K395" s="25">
        <v>24</v>
      </c>
      <c r="L395" s="24">
        <v>2280.96</v>
      </c>
      <c r="M395" s="24">
        <f>J395-L395</f>
        <v>2586.66</v>
      </c>
      <c r="N395" s="53">
        <f>IF(J395&lt;&gt;0,M395/J395,"")</f>
        <v>0.53140138301675155</v>
      </c>
      <c r="O395" s="23">
        <v>0</v>
      </c>
      <c r="P395" s="25">
        <v>0</v>
      </c>
      <c r="Q395" s="24">
        <v>0</v>
      </c>
      <c r="R395" s="24">
        <f>O395-Q395</f>
        <v>0</v>
      </c>
      <c r="S395" s="53" t="str">
        <f>IF(O395&lt;&gt;0,R395/O395,"")</f>
        <v/>
      </c>
      <c r="T395" s="10"/>
      <c r="U395" s="23">
        <v>0</v>
      </c>
      <c r="V395" s="25">
        <v>0</v>
      </c>
      <c r="W395" s="24">
        <v>0</v>
      </c>
      <c r="X395" s="24">
        <f>U395-W395</f>
        <v>0</v>
      </c>
      <c r="Y395" s="53" t="str">
        <f>IF(U395&lt;&gt;0,X395/U395,"")</f>
        <v/>
      </c>
      <c r="Z395" s="23">
        <v>9333.7800000000007</v>
      </c>
      <c r="AA395" s="25">
        <v>48</v>
      </c>
      <c r="AB395" s="24">
        <v>4561.92</v>
      </c>
      <c r="AC395" s="24">
        <f t="shared" si="125"/>
        <v>4771.8600000000006</v>
      </c>
      <c r="AD395" s="53">
        <f t="shared" si="126"/>
        <v>0.51124624750101244</v>
      </c>
      <c r="AE395" s="10"/>
    </row>
    <row r="396" spans="1:31" x14ac:dyDescent="0.25">
      <c r="A396" s="14" t="s">
        <v>109</v>
      </c>
      <c r="C396" s="61" t="str">
        <f t="shared" si="124"/>
        <v>C100035</v>
      </c>
      <c r="F396" s="8" t="str">
        <f>"C100017"</f>
        <v>C100017</v>
      </c>
      <c r="G396" s="9" t="str">
        <f>"Wheeled Duffel"</f>
        <v>Wheeled Duffel</v>
      </c>
      <c r="H396" s="47"/>
      <c r="I396" s="47"/>
      <c r="J396" s="23">
        <v>9094.24</v>
      </c>
      <c r="K396" s="25">
        <v>48</v>
      </c>
      <c r="L396" s="24">
        <v>4858.5600000000004</v>
      </c>
      <c r="M396" s="24">
        <f>J396-L396</f>
        <v>4235.6799999999994</v>
      </c>
      <c r="N396" s="53">
        <f>IF(J396&lt;&gt;0,M396/J396,"")</f>
        <v>0.46575414768028989</v>
      </c>
      <c r="O396" s="23">
        <v>9094.24</v>
      </c>
      <c r="P396" s="25">
        <v>48</v>
      </c>
      <c r="Q396" s="24">
        <v>4858.5600000000004</v>
      </c>
      <c r="R396" s="24">
        <f>O396-Q396</f>
        <v>4235.6799999999994</v>
      </c>
      <c r="S396" s="53">
        <f>IF(O396&lt;&gt;0,R396/O396,"")</f>
        <v>0.46575414768028989</v>
      </c>
      <c r="T396" s="10"/>
      <c r="U396" s="23">
        <v>0</v>
      </c>
      <c r="V396" s="25">
        <v>0</v>
      </c>
      <c r="W396" s="24">
        <v>0</v>
      </c>
      <c r="X396" s="24">
        <f>U396-W396</f>
        <v>0</v>
      </c>
      <c r="Y396" s="53" t="str">
        <f>IF(U396&lt;&gt;0,X396/U396,"")</f>
        <v/>
      </c>
      <c r="Z396" s="23">
        <v>0</v>
      </c>
      <c r="AA396" s="25">
        <v>0</v>
      </c>
      <c r="AB396" s="24">
        <v>0</v>
      </c>
      <c r="AC396" s="24">
        <f t="shared" si="125"/>
        <v>0</v>
      </c>
      <c r="AD396" s="53" t="str">
        <f t="shared" si="126"/>
        <v/>
      </c>
      <c r="AE396" s="10"/>
    </row>
    <row r="397" spans="1:31" x14ac:dyDescent="0.25">
      <c r="A397" s="14" t="s">
        <v>109</v>
      </c>
      <c r="C397" s="61" t="str">
        <f t="shared" si="124"/>
        <v>C100035</v>
      </c>
      <c r="F397" s="8" t="str">
        <f>"C100018"</f>
        <v>C100018</v>
      </c>
      <c r="G397" s="9" t="str">
        <f>"Action Sport Duffel"</f>
        <v>Action Sport Duffel</v>
      </c>
      <c r="H397" s="47"/>
      <c r="I397" s="47"/>
      <c r="J397" s="23">
        <v>200.75</v>
      </c>
      <c r="K397" s="25">
        <v>12</v>
      </c>
      <c r="L397" s="24">
        <v>102.6</v>
      </c>
      <c r="M397" s="24">
        <f>J397-L397</f>
        <v>98.15</v>
      </c>
      <c r="N397" s="53">
        <f>IF(J397&lt;&gt;0,M397/J397,"")</f>
        <v>0.48891656288916568</v>
      </c>
      <c r="O397" s="23">
        <v>0</v>
      </c>
      <c r="P397" s="25">
        <v>0</v>
      </c>
      <c r="Q397" s="24">
        <v>0</v>
      </c>
      <c r="R397" s="24">
        <f>O397-Q397</f>
        <v>0</v>
      </c>
      <c r="S397" s="53" t="str">
        <f>IF(O397&lt;&gt;0,R397/O397,"")</f>
        <v/>
      </c>
      <c r="T397" s="10"/>
      <c r="U397" s="23">
        <v>0</v>
      </c>
      <c r="V397" s="25">
        <v>0</v>
      </c>
      <c r="W397" s="24">
        <v>0</v>
      </c>
      <c r="X397" s="24">
        <f>U397-W397</f>
        <v>0</v>
      </c>
      <c r="Y397" s="53" t="str">
        <f>IF(U397&lt;&gt;0,X397/U397,"")</f>
        <v/>
      </c>
      <c r="Z397" s="23">
        <v>2434.4100000000003</v>
      </c>
      <c r="AA397" s="25">
        <v>144</v>
      </c>
      <c r="AB397" s="24">
        <v>1231.21</v>
      </c>
      <c r="AC397" s="24">
        <f t="shared" si="125"/>
        <v>1203.2000000000003</v>
      </c>
      <c r="AD397" s="53">
        <f t="shared" si="126"/>
        <v>0.49424706602421126</v>
      </c>
      <c r="AE397" s="10"/>
    </row>
    <row r="398" spans="1:31" x14ac:dyDescent="0.25">
      <c r="A398" s="14" t="s">
        <v>109</v>
      </c>
      <c r="C398" s="61" t="str">
        <f t="shared" si="124"/>
        <v>C100035</v>
      </c>
      <c r="F398" s="8" t="str">
        <f>"C100019"</f>
        <v>C100019</v>
      </c>
      <c r="G398" s="9" t="str">
        <f>"Black Duffel Bag"</f>
        <v>Black Duffel Bag</v>
      </c>
      <c r="H398" s="47"/>
      <c r="I398" s="47"/>
      <c r="J398" s="23">
        <v>13229.56</v>
      </c>
      <c r="K398" s="25">
        <v>192</v>
      </c>
      <c r="L398" s="24">
        <v>8202.27</v>
      </c>
      <c r="M398" s="24">
        <f>J398-L398</f>
        <v>5027.2899999999991</v>
      </c>
      <c r="N398" s="53">
        <f>IF(J398&lt;&gt;0,M398/J398,"")</f>
        <v>0.38000432365097547</v>
      </c>
      <c r="O398" s="23">
        <v>0</v>
      </c>
      <c r="P398" s="25">
        <v>0</v>
      </c>
      <c r="Q398" s="24">
        <v>0</v>
      </c>
      <c r="R398" s="24">
        <f>O398-Q398</f>
        <v>0</v>
      </c>
      <c r="S398" s="53" t="str">
        <f>IF(O398&lt;&gt;0,R398/O398,"")</f>
        <v/>
      </c>
      <c r="T398" s="10"/>
      <c r="U398" s="23">
        <v>0</v>
      </c>
      <c r="V398" s="25">
        <v>0</v>
      </c>
      <c r="W398" s="24">
        <v>0</v>
      </c>
      <c r="X398" s="24">
        <f>U398-W398</f>
        <v>0</v>
      </c>
      <c r="Y398" s="53" t="str">
        <f>IF(U398&lt;&gt;0,X398/U398,"")</f>
        <v/>
      </c>
      <c r="Z398" s="23">
        <v>0</v>
      </c>
      <c r="AA398" s="25">
        <v>0</v>
      </c>
      <c r="AB398" s="24">
        <v>0</v>
      </c>
      <c r="AC398" s="24">
        <f t="shared" si="125"/>
        <v>0</v>
      </c>
      <c r="AD398" s="53" t="str">
        <f t="shared" si="126"/>
        <v/>
      </c>
      <c r="AE398" s="10"/>
    </row>
    <row r="399" spans="1:31" x14ac:dyDescent="0.25">
      <c r="A399" s="14" t="s">
        <v>109</v>
      </c>
      <c r="C399" s="61" t="str">
        <f t="shared" si="124"/>
        <v>C100035</v>
      </c>
      <c r="F399" s="8" t="str">
        <f>"C100020"</f>
        <v>C100020</v>
      </c>
      <c r="G399" s="9" t="str">
        <f>"Gym Locker Bag"</f>
        <v>Gym Locker Bag</v>
      </c>
      <c r="H399" s="47"/>
      <c r="I399" s="47"/>
      <c r="J399" s="23">
        <v>3869.14</v>
      </c>
      <c r="K399" s="25">
        <v>288</v>
      </c>
      <c r="L399" s="24">
        <v>2229.11</v>
      </c>
      <c r="M399" s="24">
        <f>J399-L399</f>
        <v>1640.0299999999997</v>
      </c>
      <c r="N399" s="53">
        <f>IF(J399&lt;&gt;0,M399/J399,"")</f>
        <v>0.42387455610290653</v>
      </c>
      <c r="O399" s="23">
        <v>0</v>
      </c>
      <c r="P399" s="25">
        <v>0</v>
      </c>
      <c r="Q399" s="24">
        <v>0</v>
      </c>
      <c r="R399" s="24">
        <f>O399-Q399</f>
        <v>0</v>
      </c>
      <c r="S399" s="53" t="str">
        <f>IF(O399&lt;&gt;0,R399/O399,"")</f>
        <v/>
      </c>
      <c r="T399" s="10"/>
      <c r="U399" s="23">
        <v>0</v>
      </c>
      <c r="V399" s="25">
        <v>0</v>
      </c>
      <c r="W399" s="24">
        <v>0</v>
      </c>
      <c r="X399" s="24">
        <f>U399-W399</f>
        <v>0</v>
      </c>
      <c r="Y399" s="53" t="str">
        <f>IF(U399&lt;&gt;0,X399/U399,"")</f>
        <v/>
      </c>
      <c r="Z399" s="23">
        <v>0</v>
      </c>
      <c r="AA399" s="25">
        <v>0</v>
      </c>
      <c r="AB399" s="24">
        <v>0</v>
      </c>
      <c r="AC399" s="24">
        <f t="shared" si="125"/>
        <v>0</v>
      </c>
      <c r="AD399" s="53" t="str">
        <f t="shared" si="126"/>
        <v/>
      </c>
      <c r="AE399" s="10"/>
    </row>
    <row r="400" spans="1:31" x14ac:dyDescent="0.25">
      <c r="A400" s="14" t="s">
        <v>109</v>
      </c>
      <c r="C400" s="61" t="str">
        <f t="shared" si="124"/>
        <v>C100035</v>
      </c>
      <c r="F400" s="8" t="str">
        <f>"C100022"</f>
        <v>C100022</v>
      </c>
      <c r="G400" s="9" t="str">
        <f>"Two-Toned Cap"</f>
        <v>Two-Toned Cap</v>
      </c>
      <c r="H400" s="47"/>
      <c r="I400" s="47"/>
      <c r="J400" s="23">
        <v>0</v>
      </c>
      <c r="K400" s="25">
        <v>0</v>
      </c>
      <c r="L400" s="24">
        <v>0</v>
      </c>
      <c r="M400" s="24">
        <f>J400-L400</f>
        <v>0</v>
      </c>
      <c r="N400" s="53" t="str">
        <f>IF(J400&lt;&gt;0,M400/J400,"")</f>
        <v/>
      </c>
      <c r="O400" s="23">
        <v>446.97999999999996</v>
      </c>
      <c r="P400" s="25">
        <v>144</v>
      </c>
      <c r="Q400" s="24">
        <v>231.82999999999998</v>
      </c>
      <c r="R400" s="24">
        <f>O400-Q400</f>
        <v>215.14999999999998</v>
      </c>
      <c r="S400" s="53">
        <f>IF(O400&lt;&gt;0,R400/O400,"")</f>
        <v>0.48134144704461052</v>
      </c>
      <c r="T400" s="10"/>
      <c r="U400" s="23">
        <v>0</v>
      </c>
      <c r="V400" s="25">
        <v>0</v>
      </c>
      <c r="W400" s="24">
        <v>0</v>
      </c>
      <c r="X400" s="24">
        <f>U400-W400</f>
        <v>0</v>
      </c>
      <c r="Y400" s="53" t="str">
        <f>IF(U400&lt;&gt;0,X400/U400,"")</f>
        <v/>
      </c>
      <c r="Z400" s="23">
        <v>0</v>
      </c>
      <c r="AA400" s="25">
        <v>0</v>
      </c>
      <c r="AB400" s="24">
        <v>0</v>
      </c>
      <c r="AC400" s="24">
        <f t="shared" si="125"/>
        <v>0</v>
      </c>
      <c r="AD400" s="53" t="str">
        <f t="shared" si="126"/>
        <v/>
      </c>
      <c r="AE400" s="10"/>
    </row>
    <row r="401" spans="1:31" x14ac:dyDescent="0.25">
      <c r="A401" s="14" t="s">
        <v>109</v>
      </c>
      <c r="C401" s="61" t="str">
        <f t="shared" si="124"/>
        <v>C100035</v>
      </c>
      <c r="F401" s="8" t="str">
        <f>"C100023"</f>
        <v>C100023</v>
      </c>
      <c r="G401" s="9" t="str">
        <f>"Two-Toned Knit Hat"</f>
        <v>Two-Toned Knit Hat</v>
      </c>
      <c r="H401" s="47"/>
      <c r="I401" s="47"/>
      <c r="J401" s="23">
        <v>0</v>
      </c>
      <c r="K401" s="25">
        <v>0</v>
      </c>
      <c r="L401" s="24">
        <v>0</v>
      </c>
      <c r="M401" s="24">
        <f>J401-L401</f>
        <v>0</v>
      </c>
      <c r="N401" s="53" t="str">
        <f>IF(J401&lt;&gt;0,M401/J401,"")</f>
        <v/>
      </c>
      <c r="O401" s="23">
        <v>124.78</v>
      </c>
      <c r="P401" s="25">
        <v>48</v>
      </c>
      <c r="Q401" s="24">
        <v>60.48</v>
      </c>
      <c r="R401" s="24">
        <f>O401-Q401</f>
        <v>64.300000000000011</v>
      </c>
      <c r="S401" s="53">
        <f>IF(O401&lt;&gt;0,R401/O401,"")</f>
        <v>0.51530694021477808</v>
      </c>
      <c r="T401" s="10"/>
      <c r="U401" s="23">
        <v>0</v>
      </c>
      <c r="V401" s="25">
        <v>0</v>
      </c>
      <c r="W401" s="24">
        <v>0</v>
      </c>
      <c r="X401" s="24">
        <f>U401-W401</f>
        <v>0</v>
      </c>
      <c r="Y401" s="53" t="str">
        <f>IF(U401&lt;&gt;0,X401/U401,"")</f>
        <v/>
      </c>
      <c r="Z401" s="23">
        <v>0</v>
      </c>
      <c r="AA401" s="25">
        <v>0</v>
      </c>
      <c r="AB401" s="24">
        <v>0</v>
      </c>
      <c r="AC401" s="24">
        <f t="shared" si="125"/>
        <v>0</v>
      </c>
      <c r="AD401" s="53" t="str">
        <f t="shared" si="126"/>
        <v/>
      </c>
      <c r="AE401" s="10"/>
    </row>
    <row r="402" spans="1:31" x14ac:dyDescent="0.25">
      <c r="A402" s="14" t="s">
        <v>109</v>
      </c>
      <c r="C402" s="61" t="str">
        <f t="shared" si="124"/>
        <v>C100035</v>
      </c>
      <c r="F402" s="8" t="str">
        <f>"C100024"</f>
        <v>C100024</v>
      </c>
      <c r="G402" s="9" t="str">
        <f>"Knit Hat with Bill"</f>
        <v>Knit Hat with Bill</v>
      </c>
      <c r="H402" s="47"/>
      <c r="I402" s="47"/>
      <c r="J402" s="23">
        <v>9.93</v>
      </c>
      <c r="K402" s="25">
        <v>2</v>
      </c>
      <c r="L402" s="24">
        <v>6</v>
      </c>
      <c r="M402" s="24">
        <f>J402-L402</f>
        <v>3.9299999999999997</v>
      </c>
      <c r="N402" s="53">
        <f>IF(J402&lt;&gt;0,M402/J402,"")</f>
        <v>0.39577039274924469</v>
      </c>
      <c r="O402" s="23">
        <v>5.23</v>
      </c>
      <c r="P402" s="25">
        <v>1</v>
      </c>
      <c r="Q402" s="24">
        <v>3</v>
      </c>
      <c r="R402" s="24">
        <f>O402-Q402</f>
        <v>2.2300000000000004</v>
      </c>
      <c r="S402" s="53">
        <f>IF(O402&lt;&gt;0,R402/O402,"")</f>
        <v>0.42638623326959851</v>
      </c>
      <c r="T402" s="10"/>
      <c r="U402" s="23">
        <v>0</v>
      </c>
      <c r="V402" s="25">
        <v>0</v>
      </c>
      <c r="W402" s="24">
        <v>0</v>
      </c>
      <c r="X402" s="24">
        <f>U402-W402</f>
        <v>0</v>
      </c>
      <c r="Y402" s="53" t="str">
        <f>IF(U402&lt;&gt;0,X402/U402,"")</f>
        <v/>
      </c>
      <c r="Z402" s="23">
        <v>715.13</v>
      </c>
      <c r="AA402" s="25">
        <v>144</v>
      </c>
      <c r="AB402" s="24">
        <v>432</v>
      </c>
      <c r="AC402" s="24">
        <f t="shared" si="125"/>
        <v>283.13</v>
      </c>
      <c r="AD402" s="53">
        <f t="shared" si="126"/>
        <v>0.39591402961699274</v>
      </c>
      <c r="AE402" s="10"/>
    </row>
    <row r="403" spans="1:31" x14ac:dyDescent="0.25">
      <c r="A403" s="14" t="s">
        <v>109</v>
      </c>
      <c r="C403" s="61" t="str">
        <f t="shared" si="124"/>
        <v>C100035</v>
      </c>
      <c r="F403" s="8" t="str">
        <f>"C100025"</f>
        <v>C100025</v>
      </c>
      <c r="G403" s="9" t="str">
        <f>"Striped Knit Hat"</f>
        <v>Striped Knit Hat</v>
      </c>
      <c r="H403" s="47"/>
      <c r="I403" s="47"/>
      <c r="J403" s="23">
        <v>0</v>
      </c>
      <c r="K403" s="25">
        <v>0</v>
      </c>
      <c r="L403" s="24">
        <v>0</v>
      </c>
      <c r="M403" s="24">
        <f>J403-L403</f>
        <v>0</v>
      </c>
      <c r="N403" s="53" t="str">
        <f>IF(J403&lt;&gt;0,M403/J403,"")</f>
        <v/>
      </c>
      <c r="O403" s="23">
        <v>559.29000000000008</v>
      </c>
      <c r="P403" s="25">
        <v>192</v>
      </c>
      <c r="Q403" s="24">
        <v>264.95999999999998</v>
      </c>
      <c r="R403" s="24">
        <f>O403-Q403</f>
        <v>294.3300000000001</v>
      </c>
      <c r="S403" s="53">
        <f>IF(O403&lt;&gt;0,R403/O403,"")</f>
        <v>0.52625650378158029</v>
      </c>
      <c r="T403" s="10"/>
      <c r="U403" s="23">
        <v>0</v>
      </c>
      <c r="V403" s="25">
        <v>0</v>
      </c>
      <c r="W403" s="24">
        <v>0</v>
      </c>
      <c r="X403" s="24">
        <f>U403-W403</f>
        <v>0</v>
      </c>
      <c r="Y403" s="53" t="str">
        <f>IF(U403&lt;&gt;0,X403/U403,"")</f>
        <v/>
      </c>
      <c r="Z403" s="23">
        <v>0</v>
      </c>
      <c r="AA403" s="25">
        <v>0</v>
      </c>
      <c r="AB403" s="24">
        <v>0</v>
      </c>
      <c r="AC403" s="24">
        <f t="shared" si="125"/>
        <v>0</v>
      </c>
      <c r="AD403" s="53" t="str">
        <f t="shared" si="126"/>
        <v/>
      </c>
      <c r="AE403" s="10"/>
    </row>
    <row r="404" spans="1:31" x14ac:dyDescent="0.25">
      <c r="A404" s="14" t="s">
        <v>109</v>
      </c>
      <c r="C404" s="61" t="str">
        <f t="shared" si="124"/>
        <v>C100035</v>
      </c>
      <c r="F404" s="8" t="str">
        <f>"C100026"</f>
        <v>C100026</v>
      </c>
      <c r="G404" s="9" t="str">
        <f>"Fleece Beanie"</f>
        <v>Fleece Beanie</v>
      </c>
      <c r="H404" s="47"/>
      <c r="I404" s="47"/>
      <c r="J404" s="23">
        <v>2.96</v>
      </c>
      <c r="K404" s="25">
        <v>1</v>
      </c>
      <c r="L404" s="24">
        <v>2</v>
      </c>
      <c r="M404" s="24">
        <f>J404-L404</f>
        <v>0.96</v>
      </c>
      <c r="N404" s="53">
        <f>IF(J404&lt;&gt;0,M404/J404,"")</f>
        <v>0.32432432432432434</v>
      </c>
      <c r="O404" s="23">
        <v>0</v>
      </c>
      <c r="P404" s="25">
        <v>0</v>
      </c>
      <c r="Q404" s="24">
        <v>0</v>
      </c>
      <c r="R404" s="24">
        <f>O404-Q404</f>
        <v>0</v>
      </c>
      <c r="S404" s="53" t="str">
        <f>IF(O404&lt;&gt;0,R404/O404,"")</f>
        <v/>
      </c>
      <c r="T404" s="10"/>
      <c r="U404" s="23">
        <v>0</v>
      </c>
      <c r="V404" s="25">
        <v>0</v>
      </c>
      <c r="W404" s="24">
        <v>0</v>
      </c>
      <c r="X404" s="24">
        <f>U404-W404</f>
        <v>0</v>
      </c>
      <c r="Y404" s="53" t="str">
        <f>IF(U404&lt;&gt;0,X404/U404,"")</f>
        <v/>
      </c>
      <c r="Z404" s="23">
        <v>431.31</v>
      </c>
      <c r="AA404" s="25">
        <v>144</v>
      </c>
      <c r="AB404" s="24">
        <v>287.99</v>
      </c>
      <c r="AC404" s="24">
        <f t="shared" si="125"/>
        <v>143.32</v>
      </c>
      <c r="AD404" s="53">
        <f t="shared" si="126"/>
        <v>0.33229000023185179</v>
      </c>
      <c r="AE404" s="10"/>
    </row>
    <row r="405" spans="1:31" x14ac:dyDescent="0.25">
      <c r="A405" s="14" t="s">
        <v>109</v>
      </c>
      <c r="C405" s="61" t="str">
        <f t="shared" si="124"/>
        <v>C100035</v>
      </c>
      <c r="F405" s="8" t="str">
        <f>"C100027"</f>
        <v>C100027</v>
      </c>
      <c r="G405" s="9" t="str">
        <f>"Pique Visor"</f>
        <v>Pique Visor</v>
      </c>
      <c r="H405" s="47"/>
      <c r="I405" s="47"/>
      <c r="J405" s="23">
        <v>2880.4700000000003</v>
      </c>
      <c r="K405" s="25">
        <v>481</v>
      </c>
      <c r="L405" s="24">
        <v>1500.75</v>
      </c>
      <c r="M405" s="24">
        <f>J405-L405</f>
        <v>1379.7200000000003</v>
      </c>
      <c r="N405" s="53">
        <f>IF(J405&lt;&gt;0,M405/J405,"")</f>
        <v>0.47899127572930811</v>
      </c>
      <c r="O405" s="23">
        <v>884.17000000000007</v>
      </c>
      <c r="P405" s="25">
        <v>144</v>
      </c>
      <c r="Q405" s="24">
        <v>449.29</v>
      </c>
      <c r="R405" s="24">
        <f>O405-Q405</f>
        <v>434.88000000000005</v>
      </c>
      <c r="S405" s="53">
        <f>IF(O405&lt;&gt;0,R405/O405,"")</f>
        <v>0.49185111460465747</v>
      </c>
      <c r="T405" s="10"/>
      <c r="U405" s="23">
        <v>0</v>
      </c>
      <c r="V405" s="25">
        <v>0</v>
      </c>
      <c r="W405" s="24">
        <v>0</v>
      </c>
      <c r="X405" s="24">
        <f>U405-W405</f>
        <v>0</v>
      </c>
      <c r="Y405" s="53" t="str">
        <f>IF(U405&lt;&gt;0,X405/U405,"")</f>
        <v/>
      </c>
      <c r="Z405" s="23">
        <v>853.79</v>
      </c>
      <c r="AA405" s="25">
        <v>145</v>
      </c>
      <c r="AB405" s="24">
        <v>452.41</v>
      </c>
      <c r="AC405" s="24">
        <f t="shared" si="125"/>
        <v>401.37999999999994</v>
      </c>
      <c r="AD405" s="53">
        <f t="shared" si="126"/>
        <v>0.47011560219726156</v>
      </c>
      <c r="AE405" s="10"/>
    </row>
    <row r="406" spans="1:31" x14ac:dyDescent="0.25">
      <c r="A406" s="14" t="s">
        <v>109</v>
      </c>
      <c r="C406" s="61" t="str">
        <f t="shared" si="124"/>
        <v>C100035</v>
      </c>
      <c r="F406" s="8" t="str">
        <f>"C100028"</f>
        <v>C100028</v>
      </c>
      <c r="G406" s="9" t="str">
        <f>"Twill Visor"</f>
        <v>Twill Visor</v>
      </c>
      <c r="H406" s="47"/>
      <c r="I406" s="47"/>
      <c r="J406" s="23">
        <v>1405.45</v>
      </c>
      <c r="K406" s="25">
        <v>288</v>
      </c>
      <c r="L406" s="24">
        <v>691.22</v>
      </c>
      <c r="M406" s="24">
        <f>J406-L406</f>
        <v>714.23</v>
      </c>
      <c r="N406" s="53">
        <f>IF(J406&lt;&gt;0,M406/J406,"")</f>
        <v>0.50818599025223232</v>
      </c>
      <c r="O406" s="23">
        <v>4.96</v>
      </c>
      <c r="P406" s="25">
        <v>1</v>
      </c>
      <c r="Q406" s="24">
        <v>2.4</v>
      </c>
      <c r="R406" s="24">
        <f>O406-Q406</f>
        <v>2.56</v>
      </c>
      <c r="S406" s="53">
        <f>IF(O406&lt;&gt;0,R406/O406,"")</f>
        <v>0.5161290322580645</v>
      </c>
      <c r="T406" s="10"/>
      <c r="U406" s="23">
        <v>0</v>
      </c>
      <c r="V406" s="25">
        <v>0</v>
      </c>
      <c r="W406" s="24">
        <v>0</v>
      </c>
      <c r="X406" s="24">
        <f>U406-W406</f>
        <v>0</v>
      </c>
      <c r="Y406" s="53" t="str">
        <f>IF(U406&lt;&gt;0,X406/U406,"")</f>
        <v/>
      </c>
      <c r="Z406" s="23">
        <v>0</v>
      </c>
      <c r="AA406" s="25">
        <v>0</v>
      </c>
      <c r="AB406" s="24">
        <v>0</v>
      </c>
      <c r="AC406" s="24">
        <f t="shared" si="125"/>
        <v>0</v>
      </c>
      <c r="AD406" s="53" t="str">
        <f t="shared" si="126"/>
        <v/>
      </c>
      <c r="AE406" s="10"/>
    </row>
    <row r="407" spans="1:31" x14ac:dyDescent="0.25">
      <c r="A407" s="14" t="s">
        <v>109</v>
      </c>
      <c r="C407" s="61" t="str">
        <f t="shared" si="124"/>
        <v>C100035</v>
      </c>
      <c r="F407" s="8" t="str">
        <f>"C100029"</f>
        <v>C100029</v>
      </c>
      <c r="G407" s="9" t="str">
        <f>"Distressed Twill Visor"</f>
        <v>Distressed Twill Visor</v>
      </c>
      <c r="H407" s="47"/>
      <c r="I407" s="47"/>
      <c r="J407" s="23">
        <v>1980.5900000000001</v>
      </c>
      <c r="K407" s="25">
        <v>600</v>
      </c>
      <c r="L407" s="24">
        <v>1242.04</v>
      </c>
      <c r="M407" s="24">
        <f>J407-L407</f>
        <v>738.55000000000018</v>
      </c>
      <c r="N407" s="53">
        <f>IF(J407&lt;&gt;0,M407/J407,"")</f>
        <v>0.37289393564543905</v>
      </c>
      <c r="O407" s="23">
        <v>0</v>
      </c>
      <c r="P407" s="25">
        <v>0</v>
      </c>
      <c r="Q407" s="24">
        <v>0</v>
      </c>
      <c r="R407" s="24">
        <f>O407-Q407</f>
        <v>0</v>
      </c>
      <c r="S407" s="53" t="str">
        <f>IF(O407&lt;&gt;0,R407/O407,"")</f>
        <v/>
      </c>
      <c r="T407" s="10"/>
      <c r="U407" s="23">
        <v>0</v>
      </c>
      <c r="V407" s="25">
        <v>0</v>
      </c>
      <c r="W407" s="24">
        <v>0</v>
      </c>
      <c r="X407" s="24">
        <f>U407-W407</f>
        <v>0</v>
      </c>
      <c r="Y407" s="53" t="str">
        <f>IF(U407&lt;&gt;0,X407/U407,"")</f>
        <v/>
      </c>
      <c r="Z407" s="23">
        <v>458.01</v>
      </c>
      <c r="AA407" s="25">
        <v>144</v>
      </c>
      <c r="AB407" s="24">
        <v>298.09000000000003</v>
      </c>
      <c r="AC407" s="24">
        <f t="shared" si="125"/>
        <v>159.91999999999996</v>
      </c>
      <c r="AD407" s="53">
        <f t="shared" si="126"/>
        <v>0.34916268203751</v>
      </c>
      <c r="AE407" s="10"/>
    </row>
    <row r="408" spans="1:31" x14ac:dyDescent="0.25">
      <c r="A408" s="14" t="s">
        <v>109</v>
      </c>
      <c r="C408" s="61" t="str">
        <f t="shared" si="124"/>
        <v>C100035</v>
      </c>
      <c r="F408" s="8" t="str">
        <f>"C100031"</f>
        <v>C100031</v>
      </c>
      <c r="G408" s="9" t="str">
        <f>"Carabiner Watch"</f>
        <v>Carabiner Watch</v>
      </c>
      <c r="H408" s="47"/>
      <c r="I408" s="47"/>
      <c r="J408" s="23">
        <v>430.46000000000004</v>
      </c>
      <c r="K408" s="25">
        <v>24</v>
      </c>
      <c r="L408" s="24">
        <v>205.92</v>
      </c>
      <c r="M408" s="24">
        <f>J408-L408</f>
        <v>224.54000000000005</v>
      </c>
      <c r="N408" s="53">
        <f>IF(J408&lt;&gt;0,M408/J408,"")</f>
        <v>0.52162802583283008</v>
      </c>
      <c r="O408" s="23">
        <v>2664.3500000000004</v>
      </c>
      <c r="P408" s="25">
        <v>144</v>
      </c>
      <c r="Q408" s="24">
        <v>1235.52</v>
      </c>
      <c r="R408" s="24">
        <f>O408-Q408</f>
        <v>1428.8300000000004</v>
      </c>
      <c r="S408" s="53">
        <f>IF(O408&lt;&gt;0,R408/O408,"")</f>
        <v>0.53627714076604061</v>
      </c>
      <c r="T408" s="10"/>
      <c r="U408" s="23">
        <v>0</v>
      </c>
      <c r="V408" s="25">
        <v>0</v>
      </c>
      <c r="W408" s="24">
        <v>0</v>
      </c>
      <c r="X408" s="24">
        <f>U408-W408</f>
        <v>0</v>
      </c>
      <c r="Y408" s="53" t="str">
        <f>IF(U408&lt;&gt;0,X408/U408,"")</f>
        <v/>
      </c>
      <c r="Z408" s="23">
        <v>2609.9699999999998</v>
      </c>
      <c r="AA408" s="25">
        <v>144</v>
      </c>
      <c r="AB408" s="24">
        <v>1235.52</v>
      </c>
      <c r="AC408" s="24">
        <f t="shared" si="125"/>
        <v>1374.4499999999998</v>
      </c>
      <c r="AD408" s="53">
        <f t="shared" si="126"/>
        <v>0.52661524845113161</v>
      </c>
      <c r="AE408" s="10"/>
    </row>
    <row r="409" spans="1:31" x14ac:dyDescent="0.25">
      <c r="A409" s="14" t="s">
        <v>109</v>
      </c>
      <c r="C409" s="61" t="str">
        <f t="shared" si="124"/>
        <v>C100035</v>
      </c>
      <c r="F409" s="8" t="str">
        <f>"C100032"</f>
        <v>C100032</v>
      </c>
      <c r="G409" s="9" t="str">
        <f>"Clip-on Clock"</f>
        <v>Clip-on Clock</v>
      </c>
      <c r="H409" s="47"/>
      <c r="I409" s="47"/>
      <c r="J409" s="23">
        <v>1103.5</v>
      </c>
      <c r="K409" s="25">
        <v>144</v>
      </c>
      <c r="L409" s="24">
        <v>599.05000000000007</v>
      </c>
      <c r="M409" s="24">
        <f>J409-L409</f>
        <v>504.44999999999993</v>
      </c>
      <c r="N409" s="53">
        <f>IF(J409&lt;&gt;0,M409/J409,"")</f>
        <v>0.45713638423198905</v>
      </c>
      <c r="O409" s="23">
        <v>0</v>
      </c>
      <c r="P409" s="25">
        <v>0</v>
      </c>
      <c r="Q409" s="24">
        <v>0</v>
      </c>
      <c r="R409" s="24">
        <f>O409-Q409</f>
        <v>0</v>
      </c>
      <c r="S409" s="53" t="str">
        <f>IF(O409&lt;&gt;0,R409/O409,"")</f>
        <v/>
      </c>
      <c r="T409" s="10"/>
      <c r="U409" s="23">
        <v>0</v>
      </c>
      <c r="V409" s="25">
        <v>0</v>
      </c>
      <c r="W409" s="24">
        <v>0</v>
      </c>
      <c r="X409" s="24">
        <f>U409-W409</f>
        <v>0</v>
      </c>
      <c r="Y409" s="53" t="str">
        <f>IF(U409&lt;&gt;0,X409/U409,"")</f>
        <v/>
      </c>
      <c r="Z409" s="23">
        <v>1139.0999999999999</v>
      </c>
      <c r="AA409" s="25">
        <v>144</v>
      </c>
      <c r="AB409" s="24">
        <v>599.05000000000007</v>
      </c>
      <c r="AC409" s="24">
        <f t="shared" si="125"/>
        <v>540.04999999999984</v>
      </c>
      <c r="AD409" s="53">
        <f t="shared" si="126"/>
        <v>0.47410236151347546</v>
      </c>
      <c r="AE409" s="10"/>
    </row>
    <row r="410" spans="1:31" x14ac:dyDescent="0.25">
      <c r="A410" s="14" t="s">
        <v>109</v>
      </c>
      <c r="C410" s="61" t="str">
        <f t="shared" si="124"/>
        <v>C100035</v>
      </c>
      <c r="F410" s="8" t="str">
        <f>"E100011"</f>
        <v>E100011</v>
      </c>
      <c r="G410" s="9" t="str">
        <f>"Plastic Sun Visor"</f>
        <v>Plastic Sun Visor</v>
      </c>
      <c r="H410" s="47"/>
      <c r="I410" s="47"/>
      <c r="J410" s="23">
        <v>109.25000000000001</v>
      </c>
      <c r="K410" s="25">
        <v>145</v>
      </c>
      <c r="L410" s="24">
        <v>60.89</v>
      </c>
      <c r="M410" s="24">
        <f>J410-L410</f>
        <v>48.360000000000014</v>
      </c>
      <c r="N410" s="53">
        <f>IF(J410&lt;&gt;0,M410/J410,"")</f>
        <v>0.442654462242563</v>
      </c>
      <c r="O410" s="23">
        <v>0</v>
      </c>
      <c r="P410" s="25">
        <v>0</v>
      </c>
      <c r="Q410" s="24">
        <v>0</v>
      </c>
      <c r="R410" s="24">
        <f>O410-Q410</f>
        <v>0</v>
      </c>
      <c r="S410" s="53" t="str">
        <f>IF(O410&lt;&gt;0,R410/O410,"")</f>
        <v/>
      </c>
      <c r="T410" s="10"/>
      <c r="U410" s="23">
        <v>0</v>
      </c>
      <c r="V410" s="25">
        <v>0</v>
      </c>
      <c r="W410" s="24">
        <v>0</v>
      </c>
      <c r="X410" s="24">
        <f>U410-W410</f>
        <v>0</v>
      </c>
      <c r="Y410" s="53" t="str">
        <f>IF(U410&lt;&gt;0,X410/U410,"")</f>
        <v/>
      </c>
      <c r="Z410" s="23">
        <v>0</v>
      </c>
      <c r="AA410" s="25">
        <v>0</v>
      </c>
      <c r="AB410" s="24">
        <v>0</v>
      </c>
      <c r="AC410" s="24">
        <f t="shared" si="125"/>
        <v>0</v>
      </c>
      <c r="AD410" s="53" t="str">
        <f t="shared" si="126"/>
        <v/>
      </c>
      <c r="AE410" s="10"/>
    </row>
    <row r="411" spans="1:31" x14ac:dyDescent="0.25">
      <c r="A411" s="14" t="s">
        <v>109</v>
      </c>
      <c r="C411" s="61" t="str">
        <f t="shared" si="124"/>
        <v>C100035</v>
      </c>
      <c r="F411" s="8" t="str">
        <f>"E100012"</f>
        <v>E100012</v>
      </c>
      <c r="G411" s="9" t="str">
        <f>"Canvas Stopwatch"</f>
        <v>Canvas Stopwatch</v>
      </c>
      <c r="H411" s="47"/>
      <c r="I411" s="47"/>
      <c r="J411" s="23">
        <v>1012.54</v>
      </c>
      <c r="K411" s="25">
        <v>294</v>
      </c>
      <c r="L411" s="24">
        <v>576.22</v>
      </c>
      <c r="M411" s="24">
        <f>J411-L411</f>
        <v>436.31999999999994</v>
      </c>
      <c r="N411" s="53">
        <f>IF(J411&lt;&gt;0,M411/J411,"")</f>
        <v>0.43091630947913162</v>
      </c>
      <c r="O411" s="23">
        <v>520.4</v>
      </c>
      <c r="P411" s="25">
        <v>145</v>
      </c>
      <c r="Q411" s="24">
        <v>284.19</v>
      </c>
      <c r="R411" s="24">
        <f>O411-Q411</f>
        <v>236.20999999999998</v>
      </c>
      <c r="S411" s="53">
        <f>IF(O411&lt;&gt;0,R411/O411,"")</f>
        <v>0.45390084550345888</v>
      </c>
      <c r="T411" s="10"/>
      <c r="U411" s="23">
        <v>0</v>
      </c>
      <c r="V411" s="25">
        <v>0</v>
      </c>
      <c r="W411" s="24">
        <v>0</v>
      </c>
      <c r="X411" s="24">
        <f>U411-W411</f>
        <v>0</v>
      </c>
      <c r="Y411" s="53" t="str">
        <f>IF(U411&lt;&gt;0,X411/U411,"")</f>
        <v/>
      </c>
      <c r="Z411" s="23">
        <v>495.5</v>
      </c>
      <c r="AA411" s="25">
        <v>144</v>
      </c>
      <c r="AB411" s="24">
        <v>282.22999999999996</v>
      </c>
      <c r="AC411" s="24">
        <f t="shared" si="125"/>
        <v>213.27000000000004</v>
      </c>
      <c r="AD411" s="53">
        <f t="shared" si="126"/>
        <v>0.43041372351160451</v>
      </c>
      <c r="AE411" s="10"/>
    </row>
    <row r="412" spans="1:31" x14ac:dyDescent="0.25">
      <c r="A412" s="14" t="s">
        <v>109</v>
      </c>
      <c r="C412" s="61" t="str">
        <f t="shared" si="124"/>
        <v>C100035</v>
      </c>
      <c r="F412" s="8" t="str">
        <f>"E100013"</f>
        <v>E100013</v>
      </c>
      <c r="G412" s="9" t="str">
        <f>"Clip-on Stopwatch"</f>
        <v>Clip-on Stopwatch</v>
      </c>
      <c r="H412" s="47"/>
      <c r="I412" s="47"/>
      <c r="J412" s="23">
        <v>739.24</v>
      </c>
      <c r="K412" s="25">
        <v>288</v>
      </c>
      <c r="L412" s="24">
        <v>414.7</v>
      </c>
      <c r="M412" s="24">
        <f>J412-L412</f>
        <v>324.54000000000002</v>
      </c>
      <c r="N412" s="53">
        <f>IF(J412&lt;&gt;0,M412/J412,"")</f>
        <v>0.43901845138250095</v>
      </c>
      <c r="O412" s="23">
        <v>0</v>
      </c>
      <c r="P412" s="25">
        <v>0</v>
      </c>
      <c r="Q412" s="24">
        <v>0</v>
      </c>
      <c r="R412" s="24">
        <f>O412-Q412</f>
        <v>0</v>
      </c>
      <c r="S412" s="53" t="str">
        <f>IF(O412&lt;&gt;0,R412/O412,"")</f>
        <v/>
      </c>
      <c r="T412" s="10"/>
      <c r="U412" s="23">
        <v>0</v>
      </c>
      <c r="V412" s="25">
        <v>0</v>
      </c>
      <c r="W412" s="24">
        <v>0</v>
      </c>
      <c r="X412" s="24">
        <f>U412-W412</f>
        <v>0</v>
      </c>
      <c r="Y412" s="53" t="str">
        <f>IF(U412&lt;&gt;0,X412/U412,"")</f>
        <v/>
      </c>
      <c r="Z412" s="23">
        <v>763.08</v>
      </c>
      <c r="AA412" s="25">
        <v>288</v>
      </c>
      <c r="AB412" s="24">
        <v>414.7</v>
      </c>
      <c r="AC412" s="24">
        <f t="shared" si="125"/>
        <v>348.38000000000005</v>
      </c>
      <c r="AD412" s="53">
        <f t="shared" si="126"/>
        <v>0.45654453006237883</v>
      </c>
      <c r="AE412" s="10"/>
    </row>
    <row r="413" spans="1:31" x14ac:dyDescent="0.25">
      <c r="A413" s="14" t="s">
        <v>109</v>
      </c>
      <c r="C413" s="61" t="str">
        <f t="shared" si="124"/>
        <v>C100035</v>
      </c>
      <c r="F413" s="8" t="str">
        <f>"E100014"</f>
        <v>E100014</v>
      </c>
      <c r="G413" s="9" t="str">
        <f>"Stopwatch with Neck Rope"</f>
        <v>Stopwatch with Neck Rope</v>
      </c>
      <c r="H413" s="47"/>
      <c r="I413" s="47"/>
      <c r="J413" s="23">
        <v>62.7</v>
      </c>
      <c r="K413" s="25">
        <v>24</v>
      </c>
      <c r="L413" s="24">
        <v>30.96</v>
      </c>
      <c r="M413" s="24">
        <f>J413-L413</f>
        <v>31.740000000000002</v>
      </c>
      <c r="N413" s="53">
        <f>IF(J413&lt;&gt;0,M413/J413,"")</f>
        <v>0.5062200956937799</v>
      </c>
      <c r="O413" s="23">
        <v>0</v>
      </c>
      <c r="P413" s="25">
        <v>0</v>
      </c>
      <c r="Q413" s="24">
        <v>0</v>
      </c>
      <c r="R413" s="24">
        <f>O413-Q413</f>
        <v>0</v>
      </c>
      <c r="S413" s="53" t="str">
        <f>IF(O413&lt;&gt;0,R413/O413,"")</f>
        <v/>
      </c>
      <c r="T413" s="10"/>
      <c r="U413" s="23">
        <v>0</v>
      </c>
      <c r="V413" s="25">
        <v>0</v>
      </c>
      <c r="W413" s="24">
        <v>0</v>
      </c>
      <c r="X413" s="24">
        <f>U413-W413</f>
        <v>0</v>
      </c>
      <c r="Y413" s="53" t="str">
        <f>IF(U413&lt;&gt;0,X413/U413,"")</f>
        <v/>
      </c>
      <c r="Z413" s="23">
        <v>429.65999999999997</v>
      </c>
      <c r="AA413" s="25">
        <v>168</v>
      </c>
      <c r="AB413" s="24">
        <v>216.7</v>
      </c>
      <c r="AC413" s="24">
        <f t="shared" si="125"/>
        <v>212.95999999999998</v>
      </c>
      <c r="AD413" s="53">
        <f t="shared" si="126"/>
        <v>0.49564772145417307</v>
      </c>
      <c r="AE413" s="10"/>
    </row>
    <row r="414" spans="1:31" x14ac:dyDescent="0.25">
      <c r="A414" s="14" t="s">
        <v>109</v>
      </c>
      <c r="C414" s="61" t="str">
        <f t="shared" si="124"/>
        <v>C100035</v>
      </c>
      <c r="F414" s="8" t="str">
        <f>"E100015"</f>
        <v>E100015</v>
      </c>
      <c r="G414" s="9" t="str">
        <f>"360 Clip Watch"</f>
        <v>360 Clip Watch</v>
      </c>
      <c r="H414" s="47"/>
      <c r="I414" s="47"/>
      <c r="J414" s="23">
        <v>2</v>
      </c>
      <c r="K414" s="25">
        <v>1</v>
      </c>
      <c r="L414" s="24">
        <v>1.02</v>
      </c>
      <c r="M414" s="24">
        <f>J414-L414</f>
        <v>0.98</v>
      </c>
      <c r="N414" s="53">
        <f>IF(J414&lt;&gt;0,M414/J414,"")</f>
        <v>0.49</v>
      </c>
      <c r="O414" s="23">
        <v>904.03000000000009</v>
      </c>
      <c r="P414" s="25">
        <v>432</v>
      </c>
      <c r="Q414" s="24">
        <v>440.65000000000003</v>
      </c>
      <c r="R414" s="24">
        <f>O414-Q414</f>
        <v>463.38000000000005</v>
      </c>
      <c r="S414" s="53">
        <f>IF(O414&lt;&gt;0,R414/O414,"")</f>
        <v>0.51257148545955333</v>
      </c>
      <c r="T414" s="10"/>
      <c r="U414" s="23">
        <v>0</v>
      </c>
      <c r="V414" s="25">
        <v>0</v>
      </c>
      <c r="W414" s="24">
        <v>0</v>
      </c>
      <c r="X414" s="24">
        <f>U414-W414</f>
        <v>0</v>
      </c>
      <c r="Y414" s="53" t="str">
        <f>IF(U414&lt;&gt;0,X414/U414,"")</f>
        <v/>
      </c>
      <c r="Z414" s="23">
        <v>297.22000000000003</v>
      </c>
      <c r="AA414" s="25">
        <v>144</v>
      </c>
      <c r="AB414" s="24">
        <v>146.88</v>
      </c>
      <c r="AC414" s="24">
        <f t="shared" si="125"/>
        <v>150.34000000000003</v>
      </c>
      <c r="AD414" s="53">
        <f t="shared" si="126"/>
        <v>0.50582060426620024</v>
      </c>
      <c r="AE414" s="10"/>
    </row>
    <row r="415" spans="1:31" x14ac:dyDescent="0.25">
      <c r="A415" s="14" t="s">
        <v>109</v>
      </c>
      <c r="C415" s="61" t="str">
        <f t="shared" si="124"/>
        <v>C100035</v>
      </c>
      <c r="F415" s="8" t="str">
        <f>"E100016"</f>
        <v>E100016</v>
      </c>
      <c r="G415" s="9" t="str">
        <f>"4 Function Rotating Carabiner Watch"</f>
        <v>4 Function Rotating Carabiner Watch</v>
      </c>
      <c r="H415" s="47"/>
      <c r="I415" s="47"/>
      <c r="J415" s="23">
        <v>1244.67</v>
      </c>
      <c r="K415" s="25">
        <v>434</v>
      </c>
      <c r="L415" s="24">
        <v>598.95000000000005</v>
      </c>
      <c r="M415" s="24">
        <f>J415-L415</f>
        <v>645.72</v>
      </c>
      <c r="N415" s="53">
        <f>IF(J415&lt;&gt;0,M415/J415,"")</f>
        <v>0.51878811251175005</v>
      </c>
      <c r="O415" s="23">
        <v>0</v>
      </c>
      <c r="P415" s="25">
        <v>0</v>
      </c>
      <c r="Q415" s="24">
        <v>0</v>
      </c>
      <c r="R415" s="24">
        <f>O415-Q415</f>
        <v>0</v>
      </c>
      <c r="S415" s="53" t="str">
        <f>IF(O415&lt;&gt;0,R415/O415,"")</f>
        <v/>
      </c>
      <c r="T415" s="10"/>
      <c r="U415" s="23">
        <v>0</v>
      </c>
      <c r="V415" s="25">
        <v>0</v>
      </c>
      <c r="W415" s="24">
        <v>0</v>
      </c>
      <c r="X415" s="24">
        <f>U415-W415</f>
        <v>0</v>
      </c>
      <c r="Y415" s="53" t="str">
        <f>IF(U415&lt;&gt;0,X415/U415,"")</f>
        <v/>
      </c>
      <c r="Z415" s="23">
        <v>0</v>
      </c>
      <c r="AA415" s="25">
        <v>0</v>
      </c>
      <c r="AB415" s="24">
        <v>0</v>
      </c>
      <c r="AC415" s="24">
        <f t="shared" si="125"/>
        <v>0</v>
      </c>
      <c r="AD415" s="53" t="str">
        <f t="shared" si="126"/>
        <v/>
      </c>
      <c r="AE415" s="10"/>
    </row>
    <row r="416" spans="1:31" x14ac:dyDescent="0.25">
      <c r="A416" s="14" t="s">
        <v>109</v>
      </c>
      <c r="C416" s="61" t="str">
        <f t="shared" si="124"/>
        <v>C100035</v>
      </c>
      <c r="F416" s="8" t="str">
        <f>"E100017"</f>
        <v>E100017</v>
      </c>
      <c r="G416" s="9" t="str">
        <f>"Clip-on Clock with Compass"</f>
        <v>Clip-on Clock with Compass</v>
      </c>
      <c r="H416" s="47"/>
      <c r="I416" s="47"/>
      <c r="J416" s="23">
        <v>281.55</v>
      </c>
      <c r="K416" s="25">
        <v>192</v>
      </c>
      <c r="L416" s="24">
        <v>168.96</v>
      </c>
      <c r="M416" s="24">
        <f>J416-L416</f>
        <v>112.59</v>
      </c>
      <c r="N416" s="53">
        <f>IF(J416&lt;&gt;0,M416/J416,"")</f>
        <v>0.39989344698987744</v>
      </c>
      <c r="O416" s="23">
        <v>0</v>
      </c>
      <c r="P416" s="25">
        <v>0</v>
      </c>
      <c r="Q416" s="24">
        <v>0</v>
      </c>
      <c r="R416" s="24">
        <f>O416-Q416</f>
        <v>0</v>
      </c>
      <c r="S416" s="53" t="str">
        <f>IF(O416&lt;&gt;0,R416/O416,"")</f>
        <v/>
      </c>
      <c r="T416" s="10"/>
      <c r="U416" s="23">
        <v>0</v>
      </c>
      <c r="V416" s="25">
        <v>0</v>
      </c>
      <c r="W416" s="24">
        <v>0</v>
      </c>
      <c r="X416" s="24">
        <f>U416-W416</f>
        <v>0</v>
      </c>
      <c r="Y416" s="53" t="str">
        <f>IF(U416&lt;&gt;0,X416/U416,"")</f>
        <v/>
      </c>
      <c r="Z416" s="23">
        <v>0</v>
      </c>
      <c r="AA416" s="25">
        <v>0</v>
      </c>
      <c r="AB416" s="24">
        <v>0</v>
      </c>
      <c r="AC416" s="24">
        <f t="shared" si="125"/>
        <v>0</v>
      </c>
      <c r="AD416" s="53" t="str">
        <f t="shared" si="126"/>
        <v/>
      </c>
      <c r="AE416" s="10"/>
    </row>
    <row r="417" spans="1:31" x14ac:dyDescent="0.25">
      <c r="A417" s="14" t="s">
        <v>109</v>
      </c>
      <c r="C417" s="61" t="str">
        <f t="shared" si="124"/>
        <v>C100035</v>
      </c>
      <c r="F417" s="8" t="str">
        <f>"E100018"</f>
        <v>E100018</v>
      </c>
      <c r="G417" s="9" t="str">
        <f>"Flexi-Clock &amp; Clip"</f>
        <v>Flexi-Clock &amp; Clip</v>
      </c>
      <c r="H417" s="47"/>
      <c r="I417" s="47"/>
      <c r="J417" s="23">
        <v>303.77</v>
      </c>
      <c r="K417" s="25">
        <v>289</v>
      </c>
      <c r="L417" s="24">
        <v>173.37</v>
      </c>
      <c r="M417" s="24">
        <f>J417-L417</f>
        <v>130.39999999999998</v>
      </c>
      <c r="N417" s="53">
        <f>IF(J417&lt;&gt;0,M417/J417,"")</f>
        <v>0.42927214668992986</v>
      </c>
      <c r="O417" s="23">
        <v>159.47</v>
      </c>
      <c r="P417" s="25">
        <v>144</v>
      </c>
      <c r="Q417" s="24">
        <v>86.39</v>
      </c>
      <c r="R417" s="24">
        <f>O417-Q417</f>
        <v>73.08</v>
      </c>
      <c r="S417" s="53">
        <f>IF(O417&lt;&gt;0,R417/O417,"")</f>
        <v>0.45826801279237472</v>
      </c>
      <c r="T417" s="10"/>
      <c r="U417" s="23">
        <v>0</v>
      </c>
      <c r="V417" s="25">
        <v>0</v>
      </c>
      <c r="W417" s="24">
        <v>0</v>
      </c>
      <c r="X417" s="24">
        <f>U417-W417</f>
        <v>0</v>
      </c>
      <c r="Y417" s="53" t="str">
        <f>IF(U417&lt;&gt;0,X417/U417,"")</f>
        <v/>
      </c>
      <c r="Z417" s="23">
        <v>6.51</v>
      </c>
      <c r="AA417" s="25">
        <v>6</v>
      </c>
      <c r="AB417" s="24">
        <v>3.6</v>
      </c>
      <c r="AC417" s="24">
        <f t="shared" si="125"/>
        <v>2.9099999999999997</v>
      </c>
      <c r="AD417" s="53">
        <f t="shared" si="126"/>
        <v>0.44700460829493083</v>
      </c>
      <c r="AE417" s="10"/>
    </row>
    <row r="418" spans="1:31" x14ac:dyDescent="0.25">
      <c r="A418" s="14" t="s">
        <v>109</v>
      </c>
      <c r="C418" s="61" t="str">
        <f t="shared" si="124"/>
        <v>C100035</v>
      </c>
      <c r="F418" s="8" t="str">
        <f>"S100002"</f>
        <v>S100002</v>
      </c>
      <c r="G418" s="9" t="str">
        <f>"Football Graphic Plaque"</f>
        <v>Football Graphic Plaque</v>
      </c>
      <c r="H418" s="47"/>
      <c r="I418" s="47"/>
      <c r="J418" s="23">
        <v>0</v>
      </c>
      <c r="K418" s="25">
        <v>0</v>
      </c>
      <c r="L418" s="24">
        <v>0</v>
      </c>
      <c r="M418" s="24">
        <f>J418-L418</f>
        <v>0</v>
      </c>
      <c r="N418" s="53" t="str">
        <f>IF(J418&lt;&gt;0,M418/J418,"")</f>
        <v/>
      </c>
      <c r="O418" s="23">
        <v>575.70999999999992</v>
      </c>
      <c r="P418" s="25">
        <v>24</v>
      </c>
      <c r="Q418" s="24">
        <v>285.36</v>
      </c>
      <c r="R418" s="24">
        <f>O418-Q418</f>
        <v>290.34999999999991</v>
      </c>
      <c r="S418" s="53">
        <f>IF(O418&lt;&gt;0,R418/O418,"")</f>
        <v>0.50433377915964628</v>
      </c>
      <c r="T418" s="10"/>
      <c r="U418" s="23">
        <v>0</v>
      </c>
      <c r="V418" s="25">
        <v>0</v>
      </c>
      <c r="W418" s="24">
        <v>0</v>
      </c>
      <c r="X418" s="24">
        <f>U418-W418</f>
        <v>0</v>
      </c>
      <c r="Y418" s="53" t="str">
        <f>IF(U418&lt;&gt;0,X418/U418,"")</f>
        <v/>
      </c>
      <c r="Z418" s="23">
        <v>3311.8399999999997</v>
      </c>
      <c r="AA418" s="25">
        <v>144</v>
      </c>
      <c r="AB418" s="24">
        <v>1712.1699999999998</v>
      </c>
      <c r="AC418" s="24">
        <f t="shared" si="125"/>
        <v>1599.6699999999998</v>
      </c>
      <c r="AD418" s="53">
        <f t="shared" si="126"/>
        <v>0.48301548383979903</v>
      </c>
      <c r="AE418" s="10"/>
    </row>
    <row r="419" spans="1:31" x14ac:dyDescent="0.25">
      <c r="A419" s="14" t="s">
        <v>109</v>
      </c>
      <c r="C419" s="61" t="str">
        <f t="shared" si="124"/>
        <v>C100035</v>
      </c>
      <c r="F419" s="8" t="str">
        <f>"S100003"</f>
        <v>S100003</v>
      </c>
      <c r="G419" s="9" t="str">
        <f>"Soccer #1 Pin"</f>
        <v>Soccer #1 Pin</v>
      </c>
      <c r="H419" s="47"/>
      <c r="I419" s="47"/>
      <c r="J419" s="23">
        <v>403.22999999999996</v>
      </c>
      <c r="K419" s="25">
        <v>289</v>
      </c>
      <c r="L419" s="24">
        <v>260.10000000000002</v>
      </c>
      <c r="M419" s="24">
        <f>J419-L419</f>
        <v>143.12999999999994</v>
      </c>
      <c r="N419" s="53">
        <f>IF(J419&lt;&gt;0,M419/J419,"")</f>
        <v>0.35495870842943222</v>
      </c>
      <c r="O419" s="23">
        <v>211.68</v>
      </c>
      <c r="P419" s="25">
        <v>144</v>
      </c>
      <c r="Q419" s="24">
        <v>129.6</v>
      </c>
      <c r="R419" s="24">
        <f>O419-Q419</f>
        <v>82.080000000000013</v>
      </c>
      <c r="S419" s="53">
        <f>IF(O419&lt;&gt;0,R419/O419,"")</f>
        <v>0.38775510204081637</v>
      </c>
      <c r="T419" s="10"/>
      <c r="U419" s="23">
        <v>0</v>
      </c>
      <c r="V419" s="25">
        <v>0</v>
      </c>
      <c r="W419" s="24">
        <v>0</v>
      </c>
      <c r="X419" s="24">
        <f>U419-W419</f>
        <v>0</v>
      </c>
      <c r="Y419" s="53" t="str">
        <f>IF(U419&lt;&gt;0,X419/U419,"")</f>
        <v/>
      </c>
      <c r="Z419" s="23">
        <v>0</v>
      </c>
      <c r="AA419" s="25">
        <v>0</v>
      </c>
      <c r="AB419" s="24">
        <v>0</v>
      </c>
      <c r="AC419" s="24">
        <f t="shared" si="125"/>
        <v>0</v>
      </c>
      <c r="AD419" s="53" t="str">
        <f t="shared" si="126"/>
        <v/>
      </c>
      <c r="AE419" s="10"/>
    </row>
    <row r="420" spans="1:31" x14ac:dyDescent="0.25">
      <c r="A420" s="14" t="s">
        <v>109</v>
      </c>
      <c r="C420" s="61" t="str">
        <f t="shared" si="124"/>
        <v>C100035</v>
      </c>
      <c r="F420" s="8" t="str">
        <f>"S100004"</f>
        <v>S100004</v>
      </c>
      <c r="G420" s="9" t="str">
        <f>"Award Medallian - 2''"</f>
        <v>Award Medallian - 2''</v>
      </c>
      <c r="H420" s="47"/>
      <c r="I420" s="47"/>
      <c r="J420" s="23">
        <v>0</v>
      </c>
      <c r="K420" s="25">
        <v>0</v>
      </c>
      <c r="L420" s="24">
        <v>0</v>
      </c>
      <c r="M420" s="24">
        <f>J420-L420</f>
        <v>0</v>
      </c>
      <c r="N420" s="53" t="str">
        <f>IF(J420&lt;&gt;0,M420/J420,"")</f>
        <v/>
      </c>
      <c r="O420" s="23">
        <v>1995.4399999999998</v>
      </c>
      <c r="P420" s="25">
        <v>144</v>
      </c>
      <c r="Q420" s="24">
        <v>960.48</v>
      </c>
      <c r="R420" s="24">
        <f>O420-Q420</f>
        <v>1034.9599999999998</v>
      </c>
      <c r="S420" s="53">
        <f>IF(O420&lt;&gt;0,R420/O420,"")</f>
        <v>0.51866255061540312</v>
      </c>
      <c r="T420" s="10"/>
      <c r="U420" s="23">
        <v>0</v>
      </c>
      <c r="V420" s="25">
        <v>0</v>
      </c>
      <c r="W420" s="24">
        <v>0</v>
      </c>
      <c r="X420" s="24">
        <f>U420-W420</f>
        <v>0</v>
      </c>
      <c r="Y420" s="53" t="str">
        <f>IF(U420&lt;&gt;0,X420/U420,"")</f>
        <v/>
      </c>
      <c r="Z420" s="23">
        <v>1893.6299999999999</v>
      </c>
      <c r="AA420" s="25">
        <v>144</v>
      </c>
      <c r="AB420" s="24">
        <v>960.48</v>
      </c>
      <c r="AC420" s="24">
        <f t="shared" si="125"/>
        <v>933.14999999999986</v>
      </c>
      <c r="AD420" s="53">
        <f t="shared" si="126"/>
        <v>0.49278370114541908</v>
      </c>
      <c r="AE420" s="10"/>
    </row>
    <row r="421" spans="1:31" x14ac:dyDescent="0.25">
      <c r="A421" s="14" t="s">
        <v>109</v>
      </c>
      <c r="C421" s="61" t="str">
        <f t="shared" si="124"/>
        <v>C100035</v>
      </c>
      <c r="F421" s="8" t="str">
        <f>"S100005"</f>
        <v>S100005</v>
      </c>
      <c r="G421" s="9" t="str">
        <f>"Award Medallian - 2.5''"</f>
        <v>Award Medallian - 2.5''</v>
      </c>
      <c r="H421" s="47"/>
      <c r="I421" s="47"/>
      <c r="J421" s="23">
        <v>1161.0899999999999</v>
      </c>
      <c r="K421" s="25">
        <v>144</v>
      </c>
      <c r="L421" s="24">
        <v>751.69</v>
      </c>
      <c r="M421" s="24">
        <f>J421-L421</f>
        <v>409.39999999999986</v>
      </c>
      <c r="N421" s="53">
        <f>IF(J421&lt;&gt;0,M421/J421,"")</f>
        <v>0.35259971233926735</v>
      </c>
      <c r="O421" s="23">
        <v>1211.03</v>
      </c>
      <c r="P421" s="25">
        <v>144</v>
      </c>
      <c r="Q421" s="24">
        <v>751.69</v>
      </c>
      <c r="R421" s="24">
        <f>O421-Q421</f>
        <v>459.33999999999992</v>
      </c>
      <c r="S421" s="53">
        <f>IF(O421&lt;&gt;0,R421/O421,"")</f>
        <v>0.37929696209012159</v>
      </c>
      <c r="T421" s="10"/>
      <c r="U421" s="23">
        <v>0</v>
      </c>
      <c r="V421" s="25">
        <v>0</v>
      </c>
      <c r="W421" s="24">
        <v>0</v>
      </c>
      <c r="X421" s="24">
        <f>U421-W421</f>
        <v>0</v>
      </c>
      <c r="Y421" s="53" t="str">
        <f>IF(U421&lt;&gt;0,X421/U421,"")</f>
        <v/>
      </c>
      <c r="Z421" s="23">
        <v>1198.54</v>
      </c>
      <c r="AA421" s="25">
        <v>144</v>
      </c>
      <c r="AB421" s="24">
        <v>751.69</v>
      </c>
      <c r="AC421" s="24">
        <f t="shared" si="125"/>
        <v>446.84999999999991</v>
      </c>
      <c r="AD421" s="53">
        <f t="shared" si="126"/>
        <v>0.37282860813990348</v>
      </c>
      <c r="AE421" s="10"/>
    </row>
    <row r="422" spans="1:31" x14ac:dyDescent="0.25">
      <c r="A422" s="14" t="s">
        <v>109</v>
      </c>
      <c r="C422" s="61" t="str">
        <f t="shared" si="124"/>
        <v>C100035</v>
      </c>
      <c r="F422" s="8" t="str">
        <f>"S100007"</f>
        <v>S100007</v>
      </c>
      <c r="G422" s="9" t="str">
        <f>"Baseball Figure Trophy"</f>
        <v>Baseball Figure Trophy</v>
      </c>
      <c r="H422" s="47"/>
      <c r="I422" s="47"/>
      <c r="J422" s="23">
        <v>0</v>
      </c>
      <c r="K422" s="25">
        <v>0</v>
      </c>
      <c r="L422" s="24">
        <v>0</v>
      </c>
      <c r="M422" s="24">
        <f>J422-L422</f>
        <v>0</v>
      </c>
      <c r="N422" s="53" t="str">
        <f>IF(J422&lt;&gt;0,M422/J422,"")</f>
        <v/>
      </c>
      <c r="O422" s="23">
        <v>1044.29</v>
      </c>
      <c r="P422" s="25">
        <v>144</v>
      </c>
      <c r="Q422" s="24">
        <v>529.91999999999996</v>
      </c>
      <c r="R422" s="24">
        <f>O422-Q422</f>
        <v>514.37</v>
      </c>
      <c r="S422" s="53">
        <f>IF(O422&lt;&gt;0,R422/O422,"")</f>
        <v>0.4925547501173046</v>
      </c>
      <c r="T422" s="10"/>
      <c r="U422" s="23">
        <v>0</v>
      </c>
      <c r="V422" s="25">
        <v>0</v>
      </c>
      <c r="W422" s="24">
        <v>0</v>
      </c>
      <c r="X422" s="24">
        <f>U422-W422</f>
        <v>0</v>
      </c>
      <c r="Y422" s="53" t="str">
        <f>IF(U422&lt;&gt;0,X422/U422,"")</f>
        <v/>
      </c>
      <c r="Z422" s="23">
        <v>1022.98</v>
      </c>
      <c r="AA422" s="25">
        <v>144</v>
      </c>
      <c r="AB422" s="24">
        <v>529.91999999999996</v>
      </c>
      <c r="AC422" s="24">
        <f t="shared" si="125"/>
        <v>493.06000000000006</v>
      </c>
      <c r="AD422" s="53">
        <f t="shared" si="126"/>
        <v>0.48198400750747822</v>
      </c>
      <c r="AE422" s="10"/>
    </row>
    <row r="423" spans="1:31" x14ac:dyDescent="0.25">
      <c r="A423" s="14" t="s">
        <v>109</v>
      </c>
      <c r="C423" s="61" t="str">
        <f t="shared" si="124"/>
        <v>C100035</v>
      </c>
      <c r="F423" s="8" t="str">
        <f>"S100008"</f>
        <v>S100008</v>
      </c>
      <c r="G423" s="9" t="str">
        <f>"Soccer Figure Trophy"</f>
        <v>Soccer Figure Trophy</v>
      </c>
      <c r="H423" s="47"/>
      <c r="I423" s="47"/>
      <c r="J423" s="23">
        <v>826.91</v>
      </c>
      <c r="K423" s="25">
        <v>144</v>
      </c>
      <c r="L423" s="24">
        <v>529.91999999999996</v>
      </c>
      <c r="M423" s="24">
        <f>J423-L423</f>
        <v>296.99</v>
      </c>
      <c r="N423" s="53">
        <f>IF(J423&lt;&gt;0,M423/J423,"")</f>
        <v>0.35915637735666522</v>
      </c>
      <c r="O423" s="23">
        <v>0</v>
      </c>
      <c r="P423" s="25">
        <v>0</v>
      </c>
      <c r="Q423" s="24">
        <v>0</v>
      </c>
      <c r="R423" s="24">
        <f>O423-Q423</f>
        <v>0</v>
      </c>
      <c r="S423" s="53" t="str">
        <f>IF(O423&lt;&gt;0,R423/O423,"")</f>
        <v/>
      </c>
      <c r="T423" s="10"/>
      <c r="U423" s="23">
        <v>0</v>
      </c>
      <c r="V423" s="25">
        <v>0</v>
      </c>
      <c r="W423" s="24">
        <v>0</v>
      </c>
      <c r="X423" s="24">
        <f>U423-W423</f>
        <v>0</v>
      </c>
      <c r="Y423" s="53" t="str">
        <f>IF(U423&lt;&gt;0,X423/U423,"")</f>
        <v/>
      </c>
      <c r="Z423" s="23">
        <v>1636.76</v>
      </c>
      <c r="AA423" s="25">
        <v>288</v>
      </c>
      <c r="AB423" s="24">
        <v>1059.8399999999999</v>
      </c>
      <c r="AC423" s="24">
        <f t="shared" si="125"/>
        <v>576.92000000000007</v>
      </c>
      <c r="AD423" s="53">
        <f t="shared" si="126"/>
        <v>0.35247684449766614</v>
      </c>
      <c r="AE423" s="10"/>
    </row>
    <row r="424" spans="1:31" x14ac:dyDescent="0.25">
      <c r="A424" s="14" t="s">
        <v>109</v>
      </c>
      <c r="C424" s="61" t="str">
        <f t="shared" si="124"/>
        <v>C100035</v>
      </c>
      <c r="F424" s="8" t="str">
        <f>"S100009"</f>
        <v>S100009</v>
      </c>
      <c r="G424" s="9" t="str">
        <f>"Engraved Basketball Award"</f>
        <v>Engraved Basketball Award</v>
      </c>
      <c r="H424" s="47"/>
      <c r="I424" s="47"/>
      <c r="J424" s="23">
        <v>2563.23</v>
      </c>
      <c r="K424" s="25">
        <v>144</v>
      </c>
      <c r="L424" s="24">
        <v>1270.07</v>
      </c>
      <c r="M424" s="24">
        <f>J424-L424</f>
        <v>1293.1600000000001</v>
      </c>
      <c r="N424" s="53">
        <f>IF(J424&lt;&gt;0,M424/J424,"")</f>
        <v>0.50450408273935621</v>
      </c>
      <c r="O424" s="23">
        <v>2701.04</v>
      </c>
      <c r="P424" s="25">
        <v>144</v>
      </c>
      <c r="Q424" s="24">
        <v>1270.07</v>
      </c>
      <c r="R424" s="24">
        <f>O424-Q424</f>
        <v>1430.97</v>
      </c>
      <c r="S424" s="53">
        <f>IF(O424&lt;&gt;0,R424/O424,"")</f>
        <v>0.52978482362349322</v>
      </c>
      <c r="T424" s="10"/>
      <c r="U424" s="23">
        <v>0</v>
      </c>
      <c r="V424" s="25">
        <v>0</v>
      </c>
      <c r="W424" s="24">
        <v>0</v>
      </c>
      <c r="X424" s="24">
        <f>U424-W424</f>
        <v>0</v>
      </c>
      <c r="Y424" s="53" t="str">
        <f>IF(U424&lt;&gt;0,X424/U424,"")</f>
        <v/>
      </c>
      <c r="Z424" s="23">
        <v>0</v>
      </c>
      <c r="AA424" s="25">
        <v>0</v>
      </c>
      <c r="AB424" s="24">
        <v>0</v>
      </c>
      <c r="AC424" s="24">
        <f t="shared" si="125"/>
        <v>0</v>
      </c>
      <c r="AD424" s="53" t="str">
        <f t="shared" si="126"/>
        <v/>
      </c>
      <c r="AE424" s="10"/>
    </row>
    <row r="425" spans="1:31" x14ac:dyDescent="0.25">
      <c r="A425" s="14" t="s">
        <v>109</v>
      </c>
      <c r="C425" s="61" t="str">
        <f t="shared" si="124"/>
        <v>C100035</v>
      </c>
      <c r="F425" s="8" t="str">
        <f>"S100010"</f>
        <v>S100010</v>
      </c>
      <c r="G425" s="9" t="str">
        <f>"Golf Relaxed Cap"</f>
        <v>Golf Relaxed Cap</v>
      </c>
      <c r="H425" s="47"/>
      <c r="I425" s="47"/>
      <c r="J425" s="23">
        <v>1378.04</v>
      </c>
      <c r="K425" s="25">
        <v>144</v>
      </c>
      <c r="L425" s="24">
        <v>876.97</v>
      </c>
      <c r="M425" s="24">
        <f>J425-L425</f>
        <v>501.06999999999994</v>
      </c>
      <c r="N425" s="53">
        <f>IF(J425&lt;&gt;0,M425/J425,"")</f>
        <v>0.36361063539519894</v>
      </c>
      <c r="O425" s="23">
        <v>2874.61</v>
      </c>
      <c r="P425" s="25">
        <v>288</v>
      </c>
      <c r="Q425" s="24">
        <v>1753.94</v>
      </c>
      <c r="R425" s="24">
        <f>O425-Q425</f>
        <v>1120.67</v>
      </c>
      <c r="S425" s="53">
        <f>IF(O425&lt;&gt;0,R425/O425,"")</f>
        <v>0.38985114502489032</v>
      </c>
      <c r="T425" s="10"/>
      <c r="U425" s="23">
        <v>0</v>
      </c>
      <c r="V425" s="25">
        <v>0</v>
      </c>
      <c r="W425" s="24">
        <v>0</v>
      </c>
      <c r="X425" s="24">
        <f>U425-W425</f>
        <v>0</v>
      </c>
      <c r="Y425" s="53" t="str">
        <f>IF(U425&lt;&gt;0,X425/U425,"")</f>
        <v/>
      </c>
      <c r="Z425" s="23">
        <v>0</v>
      </c>
      <c r="AA425" s="25">
        <v>0</v>
      </c>
      <c r="AB425" s="24">
        <v>0</v>
      </c>
      <c r="AC425" s="24">
        <f t="shared" si="125"/>
        <v>0</v>
      </c>
      <c r="AD425" s="53" t="str">
        <f t="shared" si="126"/>
        <v/>
      </c>
      <c r="AE425" s="10"/>
    </row>
    <row r="426" spans="1:31" x14ac:dyDescent="0.25">
      <c r="A426" s="14" t="s">
        <v>109</v>
      </c>
      <c r="C426" s="61" t="str">
        <f t="shared" si="124"/>
        <v>C100035</v>
      </c>
      <c r="F426" s="8" t="str">
        <f>"S100011"</f>
        <v>S100011</v>
      </c>
      <c r="G426" s="9" t="str">
        <f>"All Star Cap"</f>
        <v>All Star Cap</v>
      </c>
      <c r="H426" s="47"/>
      <c r="I426" s="47"/>
      <c r="J426" s="23">
        <v>212.05</v>
      </c>
      <c r="K426" s="25">
        <v>151</v>
      </c>
      <c r="L426" s="24">
        <v>128.35999999999999</v>
      </c>
      <c r="M426" s="24">
        <f>J426-L426</f>
        <v>83.690000000000026</v>
      </c>
      <c r="N426" s="53">
        <f>IF(J426&lt;&gt;0,M426/J426,"")</f>
        <v>0.39467106814430569</v>
      </c>
      <c r="O426" s="23">
        <v>204.62</v>
      </c>
      <c r="P426" s="25">
        <v>144</v>
      </c>
      <c r="Q426" s="24">
        <v>122.41</v>
      </c>
      <c r="R426" s="24">
        <f>O426-Q426</f>
        <v>82.210000000000008</v>
      </c>
      <c r="S426" s="53">
        <f>IF(O426&lt;&gt;0,R426/O426,"")</f>
        <v>0.40176913302707462</v>
      </c>
      <c r="T426" s="10"/>
      <c r="U426" s="23">
        <v>0</v>
      </c>
      <c r="V426" s="25">
        <v>0</v>
      </c>
      <c r="W426" s="24">
        <v>0</v>
      </c>
      <c r="X426" s="24">
        <f>U426-W426</f>
        <v>0</v>
      </c>
      <c r="Y426" s="53" t="str">
        <f>IF(U426&lt;&gt;0,X426/U426,"")</f>
        <v/>
      </c>
      <c r="Z426" s="23">
        <v>1.35</v>
      </c>
      <c r="AA426" s="25">
        <v>1</v>
      </c>
      <c r="AB426" s="24">
        <v>0.85</v>
      </c>
      <c r="AC426" s="24">
        <f t="shared" si="125"/>
        <v>0.50000000000000011</v>
      </c>
      <c r="AD426" s="53">
        <f t="shared" si="126"/>
        <v>0.37037037037037041</v>
      </c>
      <c r="AE426" s="10"/>
    </row>
    <row r="427" spans="1:31" x14ac:dyDescent="0.25">
      <c r="A427" s="14" t="s">
        <v>109</v>
      </c>
      <c r="C427" s="61" t="str">
        <f t="shared" si="124"/>
        <v>C100035</v>
      </c>
      <c r="F427" s="8" t="str">
        <f>"S100012"</f>
        <v>S100012</v>
      </c>
      <c r="G427" s="9" t="str">
        <f>"Raw-Edge Patch BALL CAP"</f>
        <v>Raw-Edge Patch BALL CAP</v>
      </c>
      <c r="H427" s="47"/>
      <c r="I427" s="47"/>
      <c r="J427" s="23">
        <v>1396.79</v>
      </c>
      <c r="K427" s="25">
        <v>144</v>
      </c>
      <c r="L427" s="24">
        <v>807.83999999999992</v>
      </c>
      <c r="M427" s="24">
        <f>J427-L427</f>
        <v>588.95000000000005</v>
      </c>
      <c r="N427" s="53">
        <f>IF(J427&lt;&gt;0,M427/J427,"")</f>
        <v>0.42164534396723924</v>
      </c>
      <c r="O427" s="23">
        <v>1456.8600000000001</v>
      </c>
      <c r="P427" s="25">
        <v>144</v>
      </c>
      <c r="Q427" s="24">
        <v>807.83999999999992</v>
      </c>
      <c r="R427" s="24">
        <f>O427-Q427</f>
        <v>649.02000000000021</v>
      </c>
      <c r="S427" s="53">
        <f>IF(O427&lt;&gt;0,R427/O427,"")</f>
        <v>0.44549236028170186</v>
      </c>
      <c r="T427" s="10"/>
      <c r="U427" s="23">
        <v>0</v>
      </c>
      <c r="V427" s="25">
        <v>0</v>
      </c>
      <c r="W427" s="24">
        <v>0</v>
      </c>
      <c r="X427" s="24">
        <f>U427-W427</f>
        <v>0</v>
      </c>
      <c r="Y427" s="53" t="str">
        <f>IF(U427&lt;&gt;0,X427/U427,"")</f>
        <v/>
      </c>
      <c r="Z427" s="23">
        <v>0</v>
      </c>
      <c r="AA427" s="25">
        <v>0</v>
      </c>
      <c r="AB427" s="24">
        <v>0</v>
      </c>
      <c r="AC427" s="24">
        <f t="shared" si="125"/>
        <v>0</v>
      </c>
      <c r="AD427" s="53" t="str">
        <f t="shared" si="126"/>
        <v/>
      </c>
      <c r="AE427" s="10"/>
    </row>
    <row r="428" spans="1:31" x14ac:dyDescent="0.25">
      <c r="A428" s="14" t="s">
        <v>109</v>
      </c>
      <c r="C428" s="61" t="str">
        <f t="shared" si="124"/>
        <v>C100035</v>
      </c>
      <c r="F428" s="8" t="str">
        <f>"S100013"</f>
        <v>S100013</v>
      </c>
      <c r="G428" s="9" t="str">
        <f>"Mesh BALL CAP"</f>
        <v>Mesh BALL CAP</v>
      </c>
      <c r="H428" s="47"/>
      <c r="I428" s="47"/>
      <c r="J428" s="23">
        <v>1767.74</v>
      </c>
      <c r="K428" s="25">
        <v>288</v>
      </c>
      <c r="L428" s="24">
        <v>990.75</v>
      </c>
      <c r="M428" s="24">
        <f>J428-L428</f>
        <v>776.99</v>
      </c>
      <c r="N428" s="53">
        <f>IF(J428&lt;&gt;0,M428/J428,"")</f>
        <v>0.43953861993279553</v>
      </c>
      <c r="O428" s="23">
        <v>38.809999999999995</v>
      </c>
      <c r="P428" s="25">
        <v>6</v>
      </c>
      <c r="Q428" s="24">
        <v>20.64</v>
      </c>
      <c r="R428" s="24">
        <f>O428-Q428</f>
        <v>18.169999999999995</v>
      </c>
      <c r="S428" s="53">
        <f>IF(O428&lt;&gt;0,R428/O428,"")</f>
        <v>0.46817830456068016</v>
      </c>
      <c r="T428" s="10"/>
      <c r="U428" s="23">
        <v>0</v>
      </c>
      <c r="V428" s="25">
        <v>0</v>
      </c>
      <c r="W428" s="24">
        <v>0</v>
      </c>
      <c r="X428" s="24">
        <f>U428-W428</f>
        <v>0</v>
      </c>
      <c r="Y428" s="53" t="str">
        <f>IF(U428&lt;&gt;0,X428/U428,"")</f>
        <v/>
      </c>
      <c r="Z428" s="23">
        <v>6.14</v>
      </c>
      <c r="AA428" s="25">
        <v>1</v>
      </c>
      <c r="AB428" s="24">
        <v>3.44</v>
      </c>
      <c r="AC428" s="24">
        <f t="shared" si="125"/>
        <v>2.6999999999999997</v>
      </c>
      <c r="AD428" s="53">
        <f t="shared" si="126"/>
        <v>0.43973941368078173</v>
      </c>
      <c r="AE428" s="10"/>
    </row>
    <row r="429" spans="1:31" x14ac:dyDescent="0.25">
      <c r="A429" s="14" t="s">
        <v>109</v>
      </c>
      <c r="C429" s="61" t="str">
        <f t="shared" si="124"/>
        <v>C100035</v>
      </c>
      <c r="F429" s="8" t="str">
        <f>"S100014"</f>
        <v>S100014</v>
      </c>
      <c r="G429" s="9" t="str">
        <f>"Chunky Knit Hat"</f>
        <v>Chunky Knit Hat</v>
      </c>
      <c r="H429" s="47"/>
      <c r="I429" s="47"/>
      <c r="J429" s="23">
        <v>1597.11</v>
      </c>
      <c r="K429" s="25">
        <v>169</v>
      </c>
      <c r="L429" s="24">
        <v>872.03000000000009</v>
      </c>
      <c r="M429" s="24">
        <f>J429-L429</f>
        <v>725.07999999999981</v>
      </c>
      <c r="N429" s="53">
        <f>IF(J429&lt;&gt;0,M429/J429,"")</f>
        <v>0.45399502852026463</v>
      </c>
      <c r="O429" s="23">
        <v>1368.86</v>
      </c>
      <c r="P429" s="25">
        <v>144</v>
      </c>
      <c r="Q429" s="24">
        <v>743.03</v>
      </c>
      <c r="R429" s="24">
        <f>O429-Q429</f>
        <v>625.82999999999993</v>
      </c>
      <c r="S429" s="53">
        <f>IF(O429&lt;&gt;0,R429/O429,"")</f>
        <v>0.45719065499758921</v>
      </c>
      <c r="T429" s="10"/>
      <c r="U429" s="23">
        <v>0</v>
      </c>
      <c r="V429" s="25">
        <v>0</v>
      </c>
      <c r="W429" s="24">
        <v>0</v>
      </c>
      <c r="X429" s="24">
        <f>U429-W429</f>
        <v>0</v>
      </c>
      <c r="Y429" s="53" t="str">
        <f>IF(U429&lt;&gt;0,X429/U429,"")</f>
        <v/>
      </c>
      <c r="Z429" s="23">
        <v>1354.75</v>
      </c>
      <c r="AA429" s="25">
        <v>144</v>
      </c>
      <c r="AB429" s="24">
        <v>743.03</v>
      </c>
      <c r="AC429" s="24">
        <f t="shared" si="125"/>
        <v>611.72</v>
      </c>
      <c r="AD429" s="53">
        <f t="shared" si="126"/>
        <v>0.4515371839822846</v>
      </c>
      <c r="AE429" s="10"/>
    </row>
    <row r="430" spans="1:31" x14ac:dyDescent="0.25">
      <c r="A430" s="14" t="s">
        <v>109</v>
      </c>
      <c r="C430" s="61" t="str">
        <f t="shared" si="124"/>
        <v>C100035</v>
      </c>
      <c r="F430" s="8" t="str">
        <f>"S100016"</f>
        <v>S100016</v>
      </c>
      <c r="G430" s="9" t="str">
        <f>"Mesh Bucket Hat"</f>
        <v>Mesh Bucket Hat</v>
      </c>
      <c r="H430" s="47"/>
      <c r="I430" s="47"/>
      <c r="J430" s="23">
        <v>2029.45</v>
      </c>
      <c r="K430" s="25">
        <v>432</v>
      </c>
      <c r="L430" s="24">
        <v>1188.03</v>
      </c>
      <c r="M430" s="24">
        <f>J430-L430</f>
        <v>841.42000000000007</v>
      </c>
      <c r="N430" s="53">
        <f>IF(J430&lt;&gt;0,M430/J430,"")</f>
        <v>0.41460494222572619</v>
      </c>
      <c r="O430" s="23">
        <v>0</v>
      </c>
      <c r="P430" s="25">
        <v>0</v>
      </c>
      <c r="Q430" s="24">
        <v>0</v>
      </c>
      <c r="R430" s="24">
        <f>O430-Q430</f>
        <v>0</v>
      </c>
      <c r="S430" s="53" t="str">
        <f>IF(O430&lt;&gt;0,R430/O430,"")</f>
        <v/>
      </c>
      <c r="T430" s="10"/>
      <c r="U430" s="23">
        <v>0</v>
      </c>
      <c r="V430" s="25">
        <v>0</v>
      </c>
      <c r="W430" s="24">
        <v>0</v>
      </c>
      <c r="X430" s="24">
        <f>U430-W430</f>
        <v>0</v>
      </c>
      <c r="Y430" s="53" t="str">
        <f>IF(U430&lt;&gt;0,X430/U430,"")</f>
        <v/>
      </c>
      <c r="Z430" s="23">
        <v>0</v>
      </c>
      <c r="AA430" s="25">
        <v>0</v>
      </c>
      <c r="AB430" s="24">
        <v>0</v>
      </c>
      <c r="AC430" s="24">
        <f t="shared" si="125"/>
        <v>0</v>
      </c>
      <c r="AD430" s="53" t="str">
        <f t="shared" si="126"/>
        <v/>
      </c>
      <c r="AE430" s="10"/>
    </row>
    <row r="431" spans="1:31" x14ac:dyDescent="0.25">
      <c r="A431" s="14" t="s">
        <v>109</v>
      </c>
      <c r="C431" s="61" t="str">
        <f t="shared" si="124"/>
        <v>C100035</v>
      </c>
      <c r="F431" s="8" t="str">
        <f>"S100017"</f>
        <v>S100017</v>
      </c>
      <c r="G431" s="9" t="str">
        <f>"Microfiber Bucket Hat"</f>
        <v>Microfiber Bucket Hat</v>
      </c>
      <c r="H431" s="47"/>
      <c r="I431" s="47"/>
      <c r="J431" s="23">
        <v>7.16</v>
      </c>
      <c r="K431" s="25">
        <v>1</v>
      </c>
      <c r="L431" s="24">
        <v>4.76</v>
      </c>
      <c r="M431" s="24">
        <f>J431-L431</f>
        <v>2.4000000000000004</v>
      </c>
      <c r="N431" s="53">
        <f>IF(J431&lt;&gt;0,M431/J431,"")</f>
        <v>0.33519553072625702</v>
      </c>
      <c r="O431" s="23">
        <v>1041.47</v>
      </c>
      <c r="P431" s="25">
        <v>144</v>
      </c>
      <c r="Q431" s="24">
        <v>685.44</v>
      </c>
      <c r="R431" s="24">
        <f>O431-Q431</f>
        <v>356.03</v>
      </c>
      <c r="S431" s="53">
        <f>IF(O431&lt;&gt;0,R431/O431,"")</f>
        <v>0.34185334191095273</v>
      </c>
      <c r="T431" s="10"/>
      <c r="U431" s="23">
        <v>0</v>
      </c>
      <c r="V431" s="25">
        <v>0</v>
      </c>
      <c r="W431" s="24">
        <v>0</v>
      </c>
      <c r="X431" s="24">
        <f>U431-W431</f>
        <v>0</v>
      </c>
      <c r="Y431" s="53" t="str">
        <f>IF(U431&lt;&gt;0,X431/U431,"")</f>
        <v/>
      </c>
      <c r="Z431" s="23">
        <v>1020.21</v>
      </c>
      <c r="AA431" s="25">
        <v>144</v>
      </c>
      <c r="AB431" s="24">
        <v>685.44</v>
      </c>
      <c r="AC431" s="24">
        <f t="shared" si="125"/>
        <v>334.77</v>
      </c>
      <c r="AD431" s="53">
        <f t="shared" si="126"/>
        <v>0.3281383244626106</v>
      </c>
      <c r="AE431" s="10"/>
    </row>
    <row r="432" spans="1:31" x14ac:dyDescent="0.25">
      <c r="A432" s="14" t="s">
        <v>109</v>
      </c>
      <c r="C432" s="61" t="str">
        <f t="shared" si="124"/>
        <v>C100035</v>
      </c>
      <c r="F432" s="8" t="str">
        <f>"S100018"</f>
        <v>S100018</v>
      </c>
      <c r="G432" s="9" t="str">
        <f>"Crusher Bucket Hat"</f>
        <v>Crusher Bucket Hat</v>
      </c>
      <c r="H432" s="47"/>
      <c r="I432" s="47"/>
      <c r="J432" s="23">
        <v>3077.2299999999996</v>
      </c>
      <c r="K432" s="25">
        <v>432</v>
      </c>
      <c r="L432" s="24">
        <v>1512</v>
      </c>
      <c r="M432" s="24">
        <f>J432-L432</f>
        <v>1565.2299999999996</v>
      </c>
      <c r="N432" s="53">
        <f>IF(J432&lt;&gt;0,M432/J432,"")</f>
        <v>0.50864901226102688</v>
      </c>
      <c r="O432" s="23">
        <v>0</v>
      </c>
      <c r="P432" s="25">
        <v>0</v>
      </c>
      <c r="Q432" s="24">
        <v>0</v>
      </c>
      <c r="R432" s="24">
        <f>O432-Q432</f>
        <v>0</v>
      </c>
      <c r="S432" s="53" t="str">
        <f>IF(O432&lt;&gt;0,R432/O432,"")</f>
        <v/>
      </c>
      <c r="T432" s="10"/>
      <c r="U432" s="23">
        <v>0</v>
      </c>
      <c r="V432" s="25">
        <v>0</v>
      </c>
      <c r="W432" s="24">
        <v>0</v>
      </c>
      <c r="X432" s="24">
        <f>U432-W432</f>
        <v>0</v>
      </c>
      <c r="Y432" s="53" t="str">
        <f>IF(U432&lt;&gt;0,X432/U432,"")</f>
        <v/>
      </c>
      <c r="Z432" s="23">
        <v>0</v>
      </c>
      <c r="AA432" s="25">
        <v>0</v>
      </c>
      <c r="AB432" s="24">
        <v>0</v>
      </c>
      <c r="AC432" s="24">
        <f t="shared" si="125"/>
        <v>0</v>
      </c>
      <c r="AD432" s="53" t="str">
        <f t="shared" si="126"/>
        <v/>
      </c>
      <c r="AE432" s="10"/>
    </row>
    <row r="433" spans="1:31" x14ac:dyDescent="0.25">
      <c r="A433" s="14" t="s">
        <v>109</v>
      </c>
      <c r="C433" s="61" t="str">
        <f t="shared" si="124"/>
        <v>C100035</v>
      </c>
      <c r="F433" s="8" t="str">
        <f>"S100019"</f>
        <v>S100019</v>
      </c>
      <c r="G433" s="9" t="str">
        <f>"Sportsman Bucket Hat"</f>
        <v>Sportsman Bucket Hat</v>
      </c>
      <c r="H433" s="47"/>
      <c r="I433" s="47"/>
      <c r="J433" s="23">
        <v>641.13</v>
      </c>
      <c r="K433" s="25">
        <v>144</v>
      </c>
      <c r="L433" s="24">
        <v>349.93</v>
      </c>
      <c r="M433" s="24">
        <f>J433-L433</f>
        <v>291.2</v>
      </c>
      <c r="N433" s="53">
        <f>IF(J433&lt;&gt;0,M433/J433,"")</f>
        <v>0.45419805655639262</v>
      </c>
      <c r="O433" s="23">
        <v>0</v>
      </c>
      <c r="P433" s="25">
        <v>0</v>
      </c>
      <c r="Q433" s="24">
        <v>0</v>
      </c>
      <c r="R433" s="24">
        <f>O433-Q433</f>
        <v>0</v>
      </c>
      <c r="S433" s="53" t="str">
        <f>IF(O433&lt;&gt;0,R433/O433,"")</f>
        <v/>
      </c>
      <c r="T433" s="10"/>
      <c r="U433" s="23">
        <v>0</v>
      </c>
      <c r="V433" s="25">
        <v>0</v>
      </c>
      <c r="W433" s="24">
        <v>0</v>
      </c>
      <c r="X433" s="24">
        <f>U433-W433</f>
        <v>0</v>
      </c>
      <c r="Y433" s="53" t="str">
        <f>IF(U433&lt;&gt;0,X433/U433,"")</f>
        <v/>
      </c>
      <c r="Z433" s="23">
        <v>644.57000000000005</v>
      </c>
      <c r="AA433" s="25">
        <v>151</v>
      </c>
      <c r="AB433" s="24">
        <v>366.94</v>
      </c>
      <c r="AC433" s="24">
        <f t="shared" si="125"/>
        <v>277.63000000000005</v>
      </c>
      <c r="AD433" s="53">
        <f t="shared" si="126"/>
        <v>0.43072125603115258</v>
      </c>
      <c r="AE433" s="10"/>
    </row>
    <row r="434" spans="1:31" x14ac:dyDescent="0.25">
      <c r="A434" s="14" t="s">
        <v>109</v>
      </c>
      <c r="C434" s="61" t="str">
        <f t="shared" si="124"/>
        <v>C100035</v>
      </c>
      <c r="F434" s="8" t="str">
        <f>"S100020"</f>
        <v>S100020</v>
      </c>
      <c r="G434" s="9" t="str">
        <f>"Super Sport Stopwatch"</f>
        <v>Super Sport Stopwatch</v>
      </c>
      <c r="H434" s="47"/>
      <c r="I434" s="47"/>
      <c r="J434" s="23">
        <v>0</v>
      </c>
      <c r="K434" s="25">
        <v>0</v>
      </c>
      <c r="L434" s="24">
        <v>0</v>
      </c>
      <c r="M434" s="24">
        <f>J434-L434</f>
        <v>0</v>
      </c>
      <c r="N434" s="53" t="str">
        <f>IF(J434&lt;&gt;0,M434/J434,"")</f>
        <v/>
      </c>
      <c r="O434" s="23">
        <v>12.82</v>
      </c>
      <c r="P434" s="25">
        <v>6</v>
      </c>
      <c r="Q434" s="24">
        <v>6.3</v>
      </c>
      <c r="R434" s="24">
        <f>O434-Q434</f>
        <v>6.5200000000000005</v>
      </c>
      <c r="S434" s="53">
        <f>IF(O434&lt;&gt;0,R434/O434,"")</f>
        <v>0.50858034321372858</v>
      </c>
      <c r="T434" s="10"/>
      <c r="U434" s="23">
        <v>0</v>
      </c>
      <c r="V434" s="25">
        <v>0</v>
      </c>
      <c r="W434" s="24">
        <v>0</v>
      </c>
      <c r="X434" s="24">
        <f>U434-W434</f>
        <v>0</v>
      </c>
      <c r="Y434" s="53" t="str">
        <f>IF(U434&lt;&gt;0,X434/U434,"")</f>
        <v/>
      </c>
      <c r="Z434" s="23">
        <v>291.95</v>
      </c>
      <c r="AA434" s="25">
        <v>144</v>
      </c>
      <c r="AB434" s="24">
        <v>151.19999999999999</v>
      </c>
      <c r="AC434" s="24">
        <f t="shared" si="125"/>
        <v>140.75</v>
      </c>
      <c r="AD434" s="53">
        <f t="shared" si="126"/>
        <v>0.48210309984586402</v>
      </c>
      <c r="AE434" s="10"/>
    </row>
    <row r="435" spans="1:31" x14ac:dyDescent="0.25">
      <c r="A435" s="14" t="s">
        <v>109</v>
      </c>
      <c r="C435" s="61" t="str">
        <f t="shared" si="124"/>
        <v>C100035</v>
      </c>
      <c r="F435" s="8" t="str">
        <f>"S100021"</f>
        <v>S100021</v>
      </c>
      <c r="G435" s="9" t="str">
        <f>"Translucent Stopwatch"</f>
        <v>Translucent Stopwatch</v>
      </c>
      <c r="H435" s="47"/>
      <c r="I435" s="47"/>
      <c r="J435" s="23">
        <v>1703.17</v>
      </c>
      <c r="K435" s="25">
        <v>434.99999999999994</v>
      </c>
      <c r="L435" s="24">
        <v>935.22</v>
      </c>
      <c r="M435" s="24">
        <f>J435-L435</f>
        <v>767.95</v>
      </c>
      <c r="N435" s="53">
        <f>IF(J435&lt;&gt;0,M435/J435,"")</f>
        <v>0.45089450847537238</v>
      </c>
      <c r="O435" s="23">
        <v>4.03</v>
      </c>
      <c r="P435" s="25">
        <v>1</v>
      </c>
      <c r="Q435" s="24">
        <v>2.15</v>
      </c>
      <c r="R435" s="24">
        <f>O435-Q435</f>
        <v>1.8800000000000003</v>
      </c>
      <c r="S435" s="53">
        <f>IF(O435&lt;&gt;0,R435/O435,"")</f>
        <v>0.46650124069478915</v>
      </c>
      <c r="T435" s="10"/>
      <c r="U435" s="23">
        <v>0</v>
      </c>
      <c r="V435" s="25">
        <v>0</v>
      </c>
      <c r="W435" s="24">
        <v>0</v>
      </c>
      <c r="X435" s="24">
        <f>U435-W435</f>
        <v>0</v>
      </c>
      <c r="Y435" s="53" t="str">
        <f>IF(U435&lt;&gt;0,X435/U435,"")</f>
        <v/>
      </c>
      <c r="Z435" s="23">
        <v>0</v>
      </c>
      <c r="AA435" s="25">
        <v>0</v>
      </c>
      <c r="AB435" s="24">
        <v>0</v>
      </c>
      <c r="AC435" s="24">
        <f t="shared" si="125"/>
        <v>0</v>
      </c>
      <c r="AD435" s="53" t="str">
        <f t="shared" si="126"/>
        <v/>
      </c>
      <c r="AE435" s="10"/>
    </row>
    <row r="436" spans="1:31" ht="15.75" thickBot="1" x14ac:dyDescent="0.3">
      <c r="A436" s="14" t="s">
        <v>109</v>
      </c>
      <c r="C436" s="61" t="str">
        <f>C393</f>
        <v>C100035</v>
      </c>
      <c r="J436" s="10"/>
      <c r="K436" s="11"/>
      <c r="L436" s="11"/>
      <c r="M436" s="11"/>
      <c r="N436" s="12"/>
      <c r="O436" s="10"/>
      <c r="P436" s="11"/>
      <c r="Q436" s="11"/>
      <c r="R436" s="11"/>
      <c r="S436" s="12"/>
      <c r="U436" s="10"/>
      <c r="V436" s="11"/>
      <c r="W436" s="11"/>
      <c r="X436" s="11"/>
      <c r="Y436" s="12"/>
      <c r="Z436" s="10"/>
      <c r="AA436" s="11"/>
      <c r="AB436" s="11"/>
      <c r="AC436" s="11"/>
      <c r="AD436" s="12"/>
    </row>
    <row r="437" spans="1:31" ht="15.75" thickBot="1" x14ac:dyDescent="0.3">
      <c r="A437" s="14" t="s">
        <v>109</v>
      </c>
      <c r="C437" s="61" t="str">
        <f t="shared" si="121"/>
        <v>C100035</v>
      </c>
      <c r="G437" s="48" t="str">
        <f>C437&amp;" TOTAL:"</f>
        <v>C100035 TOTAL:</v>
      </c>
      <c r="H437" s="50"/>
      <c r="I437" s="50"/>
      <c r="J437" s="34">
        <f>SUBTOTAL(9,J392:J436)</f>
        <v>81370.309999999983</v>
      </c>
      <c r="K437" s="35">
        <f>SUBTOTAL(9,K392:K436)</f>
        <v>6988</v>
      </c>
      <c r="L437" s="36">
        <f>SUBTOTAL(9,L392:L436)</f>
        <v>45028.80999999999</v>
      </c>
      <c r="M437" s="36">
        <f>J437-L437</f>
        <v>36341.499999999993</v>
      </c>
      <c r="N437" s="37">
        <f>IF(J437&lt;&gt;0,M437/J437,"")</f>
        <v>0.44661867455095106</v>
      </c>
      <c r="O437" s="34">
        <f>SUBTOTAL(9,O392:O436)</f>
        <v>39592.049999999996</v>
      </c>
      <c r="P437" s="35">
        <f>SUBTOTAL(9,P392:P436)</f>
        <v>3208</v>
      </c>
      <c r="Q437" s="36">
        <f>SUBTOTAL(9,Q392:Q436)</f>
        <v>20686.289999999997</v>
      </c>
      <c r="R437" s="36">
        <f>O437-Q437</f>
        <v>18905.759999999998</v>
      </c>
      <c r="S437" s="37">
        <f>IF(O437&lt;&gt;0,R437/O437,"")</f>
        <v>0.47751404638052336</v>
      </c>
      <c r="U437" s="34">
        <f>SUBTOTAL(9,U392:U436)</f>
        <v>0</v>
      </c>
      <c r="V437" s="35">
        <f>SUBTOTAL(9,V392:V436)</f>
        <v>0</v>
      </c>
      <c r="W437" s="36">
        <f>SUBTOTAL(9,W392:W436)</f>
        <v>0</v>
      </c>
      <c r="X437" s="36">
        <f>U437-W437</f>
        <v>0</v>
      </c>
      <c r="Y437" s="37" t="str">
        <f>IF(U437&lt;&gt;0,X437/U437,"")</f>
        <v/>
      </c>
      <c r="Z437" s="34">
        <f>SUBTOTAL(9,Z392:Z436)</f>
        <v>35553.209999999992</v>
      </c>
      <c r="AA437" s="35">
        <f>SUBTOTAL(9,AA392:AA436)</f>
        <v>3280</v>
      </c>
      <c r="AB437" s="36">
        <f>SUBTOTAL(9,AB392:AB436)</f>
        <v>18829.619999999995</v>
      </c>
      <c r="AC437" s="36">
        <f t="shared" ref="AC437" si="127">Z437-AB437</f>
        <v>16723.589999999997</v>
      </c>
      <c r="AD437" s="37">
        <f t="shared" ref="AD437" si="128">IF(Z437&lt;&gt;0,AC437/Z437,"")</f>
        <v>0.47038199926251384</v>
      </c>
    </row>
    <row r="438" spans="1:31" x14ac:dyDescent="0.25">
      <c r="A438" s="14" t="s">
        <v>109</v>
      </c>
      <c r="C438" s="66"/>
      <c r="J438" s="10"/>
      <c r="K438" s="11"/>
      <c r="L438" s="11"/>
      <c r="M438" s="11"/>
      <c r="N438" s="12"/>
      <c r="O438" s="10"/>
      <c r="P438" s="11"/>
      <c r="Q438" s="11"/>
      <c r="R438" s="11"/>
      <c r="S438" s="12"/>
      <c r="U438" s="10"/>
      <c r="V438" s="11"/>
      <c r="W438" s="11"/>
      <c r="X438" s="11"/>
      <c r="Y438" s="12"/>
      <c r="Z438" s="10"/>
      <c r="AA438" s="11"/>
      <c r="AB438" s="11"/>
      <c r="AC438" s="11"/>
      <c r="AD438" s="12"/>
    </row>
    <row r="439" spans="1:31" ht="15.75" x14ac:dyDescent="0.25">
      <c r="A439" s="14" t="s">
        <v>109</v>
      </c>
      <c r="C439" s="66" t="str">
        <f t="shared" ref="C439" si="129">E439</f>
        <v>C100036</v>
      </c>
      <c r="E439" s="13" t="str">
        <f>"C100036"</f>
        <v>C100036</v>
      </c>
      <c r="F439" s="13"/>
      <c r="G439" s="13" t="str">
        <f>"Francematic"</f>
        <v>Francematic</v>
      </c>
      <c r="H439" s="13"/>
      <c r="I439" s="13"/>
      <c r="J439" s="10"/>
      <c r="K439" s="11"/>
      <c r="L439" s="11"/>
      <c r="M439" s="11"/>
      <c r="N439" s="12"/>
      <c r="O439" s="10"/>
      <c r="P439" s="11"/>
      <c r="Q439" s="11"/>
      <c r="R439" s="11"/>
      <c r="S439" s="12"/>
      <c r="U439" s="10"/>
      <c r="V439" s="11"/>
      <c r="W439" s="11"/>
      <c r="X439" s="11"/>
      <c r="Y439" s="12"/>
      <c r="Z439" s="10"/>
      <c r="AA439" s="11"/>
      <c r="AB439" s="11"/>
      <c r="AC439" s="11"/>
      <c r="AD439" s="12"/>
    </row>
    <row r="440" spans="1:31" ht="6.6" customHeight="1" x14ac:dyDescent="0.25">
      <c r="A440" s="14" t="s">
        <v>109</v>
      </c>
      <c r="C440" s="61" t="str">
        <f t="shared" ref="C440:C459" si="130">C439</f>
        <v>C100036</v>
      </c>
      <c r="J440" s="10"/>
      <c r="K440" s="11"/>
      <c r="L440" s="11"/>
      <c r="M440" s="11"/>
      <c r="N440" s="12"/>
      <c r="O440" s="10"/>
      <c r="P440" s="11"/>
      <c r="Q440" s="11"/>
      <c r="R440" s="11"/>
      <c r="S440" s="12"/>
      <c r="U440" s="10"/>
      <c r="V440" s="11"/>
      <c r="W440" s="11"/>
      <c r="X440" s="11"/>
      <c r="Y440" s="12"/>
      <c r="Z440" s="10"/>
      <c r="AA440" s="11"/>
      <c r="AB440" s="11"/>
      <c r="AC440" s="11"/>
      <c r="AD440" s="12"/>
    </row>
    <row r="441" spans="1:31" x14ac:dyDescent="0.25">
      <c r="A441" s="14" t="s">
        <v>109</v>
      </c>
      <c r="C441" s="61" t="str">
        <f t="shared" si="130"/>
        <v>C100036</v>
      </c>
      <c r="F441" s="8" t="str">
        <f>"C100005"</f>
        <v>C100005</v>
      </c>
      <c r="G441" s="9" t="str">
        <f>"Cherry Finished Crystal Award"</f>
        <v>Cherry Finished Crystal Award</v>
      </c>
      <c r="H441" s="47"/>
      <c r="I441" s="47"/>
      <c r="J441" s="23">
        <v>0</v>
      </c>
      <c r="K441" s="25">
        <v>0</v>
      </c>
      <c r="L441" s="24">
        <v>0</v>
      </c>
      <c r="M441" s="24">
        <f>J441-L441</f>
        <v>0</v>
      </c>
      <c r="N441" s="53" t="str">
        <f>IF(J441&lt;&gt;0,M441/J441,"")</f>
        <v/>
      </c>
      <c r="O441" s="23">
        <v>136.24</v>
      </c>
      <c r="P441" s="25">
        <v>1</v>
      </c>
      <c r="Q441" s="24">
        <v>70.929999999999993</v>
      </c>
      <c r="R441" s="24">
        <f>O441-Q441</f>
        <v>65.310000000000016</v>
      </c>
      <c r="S441" s="53">
        <f>IF(O441&lt;&gt;0,R441/O441,"")</f>
        <v>0.4793746330005873</v>
      </c>
      <c r="T441" s="10"/>
      <c r="U441" s="23">
        <v>0</v>
      </c>
      <c r="V441" s="25">
        <v>0</v>
      </c>
      <c r="W441" s="24">
        <v>0</v>
      </c>
      <c r="X441" s="24">
        <f>U441-W441</f>
        <v>0</v>
      </c>
      <c r="Y441" s="53" t="str">
        <f>IF(U441&lt;&gt;0,X441/U441,"")</f>
        <v/>
      </c>
      <c r="Z441" s="23">
        <v>0</v>
      </c>
      <c r="AA441" s="25">
        <v>0</v>
      </c>
      <c r="AB441" s="24">
        <v>0</v>
      </c>
      <c r="AC441" s="24">
        <f t="shared" ref="AC441" si="131">Z441-AB441</f>
        <v>0</v>
      </c>
      <c r="AD441" s="53" t="str">
        <f t="shared" ref="AD441" si="132">IF(Z441&lt;&gt;0,AC441/Z441,"")</f>
        <v/>
      </c>
      <c r="AE441" s="10"/>
    </row>
    <row r="442" spans="1:31" x14ac:dyDescent="0.25">
      <c r="A442" s="14" t="s">
        <v>109</v>
      </c>
      <c r="C442" s="61" t="str">
        <f t="shared" ref="C442:C457" si="133">C441</f>
        <v>C100036</v>
      </c>
      <c r="F442" s="8" t="str">
        <f>"C100014"</f>
        <v>C100014</v>
      </c>
      <c r="G442" s="9" t="str">
        <f>"Canvas Field Bag"</f>
        <v>Canvas Field Bag</v>
      </c>
      <c r="H442" s="47"/>
      <c r="I442" s="47"/>
      <c r="J442" s="23">
        <v>0</v>
      </c>
      <c r="K442" s="25">
        <v>0</v>
      </c>
      <c r="L442" s="24">
        <v>0</v>
      </c>
      <c r="M442" s="24">
        <f>J442-L442</f>
        <v>0</v>
      </c>
      <c r="N442" s="53" t="str">
        <f>IF(J442&lt;&gt;0,M442/J442,"")</f>
        <v/>
      </c>
      <c r="O442" s="23">
        <v>1320.81</v>
      </c>
      <c r="P442" s="25">
        <v>144</v>
      </c>
      <c r="Q442" s="24">
        <v>660.96</v>
      </c>
      <c r="R442" s="24">
        <f>O442-Q442</f>
        <v>659.84999999999991</v>
      </c>
      <c r="S442" s="53">
        <f>IF(O442&lt;&gt;0,R442/O442,"")</f>
        <v>0.49957980330251889</v>
      </c>
      <c r="T442" s="10"/>
      <c r="U442" s="23">
        <v>0</v>
      </c>
      <c r="V442" s="25">
        <v>0</v>
      </c>
      <c r="W442" s="24">
        <v>0</v>
      </c>
      <c r="X442" s="24">
        <f>U442-W442</f>
        <v>0</v>
      </c>
      <c r="Y442" s="53" t="str">
        <f>IF(U442&lt;&gt;0,X442/U442,"")</f>
        <v/>
      </c>
      <c r="Z442" s="23">
        <v>0</v>
      </c>
      <c r="AA442" s="25">
        <v>0</v>
      </c>
      <c r="AB442" s="24">
        <v>0</v>
      </c>
      <c r="AC442" s="24">
        <f t="shared" ref="AC442:AC457" si="134">Z442-AB442</f>
        <v>0</v>
      </c>
      <c r="AD442" s="53" t="str">
        <f t="shared" ref="AD442:AD457" si="135">IF(Z442&lt;&gt;0,AC442/Z442,"")</f>
        <v/>
      </c>
      <c r="AE442" s="10"/>
    </row>
    <row r="443" spans="1:31" x14ac:dyDescent="0.25">
      <c r="A443" s="14" t="s">
        <v>109</v>
      </c>
      <c r="C443" s="61" t="str">
        <f t="shared" si="133"/>
        <v>C100036</v>
      </c>
      <c r="F443" s="8" t="str">
        <f>"C100017"</f>
        <v>C100017</v>
      </c>
      <c r="G443" s="9" t="str">
        <f>"Wheeled Duffel"</f>
        <v>Wheeled Duffel</v>
      </c>
      <c r="H443" s="47"/>
      <c r="I443" s="47"/>
      <c r="J443" s="23">
        <v>0</v>
      </c>
      <c r="K443" s="25">
        <v>0</v>
      </c>
      <c r="L443" s="24">
        <v>0</v>
      </c>
      <c r="M443" s="24">
        <f>J443-L443</f>
        <v>0</v>
      </c>
      <c r="N443" s="53" t="str">
        <f>IF(J443&lt;&gt;0,M443/J443,"")</f>
        <v/>
      </c>
      <c r="O443" s="23">
        <v>4736.59</v>
      </c>
      <c r="P443" s="25">
        <v>25</v>
      </c>
      <c r="Q443" s="24">
        <v>2530.5</v>
      </c>
      <c r="R443" s="24">
        <f>O443-Q443</f>
        <v>2206.09</v>
      </c>
      <c r="S443" s="53">
        <f>IF(O443&lt;&gt;0,R443/O443,"")</f>
        <v>0.46575489962187988</v>
      </c>
      <c r="T443" s="10"/>
      <c r="U443" s="23">
        <v>0</v>
      </c>
      <c r="V443" s="25">
        <v>0</v>
      </c>
      <c r="W443" s="24">
        <v>0</v>
      </c>
      <c r="X443" s="24">
        <f>U443-W443</f>
        <v>0</v>
      </c>
      <c r="Y443" s="53" t="str">
        <f>IF(U443&lt;&gt;0,X443/U443,"")</f>
        <v/>
      </c>
      <c r="Z443" s="23">
        <v>0</v>
      </c>
      <c r="AA443" s="25">
        <v>0</v>
      </c>
      <c r="AB443" s="24">
        <v>0</v>
      </c>
      <c r="AC443" s="24">
        <f t="shared" si="134"/>
        <v>0</v>
      </c>
      <c r="AD443" s="53" t="str">
        <f t="shared" si="135"/>
        <v/>
      </c>
      <c r="AE443" s="10"/>
    </row>
    <row r="444" spans="1:31" x14ac:dyDescent="0.25">
      <c r="A444" s="14" t="s">
        <v>109</v>
      </c>
      <c r="C444" s="61" t="str">
        <f t="shared" si="133"/>
        <v>C100036</v>
      </c>
      <c r="F444" s="8" t="str">
        <f>"C100025"</f>
        <v>C100025</v>
      </c>
      <c r="G444" s="9" t="str">
        <f>"Striped Knit Hat"</f>
        <v>Striped Knit Hat</v>
      </c>
      <c r="H444" s="47"/>
      <c r="I444" s="47"/>
      <c r="J444" s="23">
        <v>0</v>
      </c>
      <c r="K444" s="25">
        <v>0</v>
      </c>
      <c r="L444" s="24">
        <v>0</v>
      </c>
      <c r="M444" s="24">
        <f>J444-L444</f>
        <v>0</v>
      </c>
      <c r="N444" s="53" t="str">
        <f>IF(J444&lt;&gt;0,M444/J444,"")</f>
        <v/>
      </c>
      <c r="O444" s="23">
        <v>420.49</v>
      </c>
      <c r="P444" s="25">
        <v>144</v>
      </c>
      <c r="Q444" s="24">
        <v>198.72</v>
      </c>
      <c r="R444" s="24">
        <f>O444-Q444</f>
        <v>221.77</v>
      </c>
      <c r="S444" s="53">
        <f>IF(O444&lt;&gt;0,R444/O444,"")</f>
        <v>0.52740849960760072</v>
      </c>
      <c r="T444" s="10"/>
      <c r="U444" s="23">
        <v>0</v>
      </c>
      <c r="V444" s="25">
        <v>0</v>
      </c>
      <c r="W444" s="24">
        <v>0</v>
      </c>
      <c r="X444" s="24">
        <f>U444-W444</f>
        <v>0</v>
      </c>
      <c r="Y444" s="53" t="str">
        <f>IF(U444&lt;&gt;0,X444/U444,"")</f>
        <v/>
      </c>
      <c r="Z444" s="23">
        <v>0</v>
      </c>
      <c r="AA444" s="25">
        <v>0</v>
      </c>
      <c r="AB444" s="24">
        <v>0</v>
      </c>
      <c r="AC444" s="24">
        <f t="shared" si="134"/>
        <v>0</v>
      </c>
      <c r="AD444" s="53" t="str">
        <f t="shared" si="135"/>
        <v/>
      </c>
      <c r="AE444" s="10"/>
    </row>
    <row r="445" spans="1:31" x14ac:dyDescent="0.25">
      <c r="A445" s="14" t="s">
        <v>109</v>
      </c>
      <c r="C445" s="61" t="str">
        <f t="shared" si="133"/>
        <v>C100036</v>
      </c>
      <c r="F445" s="8" t="str">
        <f>"C100026"</f>
        <v>C100026</v>
      </c>
      <c r="G445" s="9" t="str">
        <f>"Fleece Beanie"</f>
        <v>Fleece Beanie</v>
      </c>
      <c r="H445" s="47"/>
      <c r="I445" s="47"/>
      <c r="J445" s="23">
        <v>0</v>
      </c>
      <c r="K445" s="25">
        <v>0</v>
      </c>
      <c r="L445" s="24">
        <v>0</v>
      </c>
      <c r="M445" s="24">
        <f>J445-L445</f>
        <v>0</v>
      </c>
      <c r="N445" s="53" t="str">
        <f>IF(J445&lt;&gt;0,M445/J445,"")</f>
        <v/>
      </c>
      <c r="O445" s="23">
        <v>440.21</v>
      </c>
      <c r="P445" s="25">
        <v>144</v>
      </c>
      <c r="Q445" s="24">
        <v>287.99</v>
      </c>
      <c r="R445" s="24">
        <f>O445-Q445</f>
        <v>152.21999999999997</v>
      </c>
      <c r="S445" s="53">
        <f>IF(O445&lt;&gt;0,R445/O445,"")</f>
        <v>0.34578950955225912</v>
      </c>
      <c r="T445" s="10"/>
      <c r="U445" s="23">
        <v>0</v>
      </c>
      <c r="V445" s="25">
        <v>0</v>
      </c>
      <c r="W445" s="24">
        <v>0</v>
      </c>
      <c r="X445" s="24">
        <f>U445-W445</f>
        <v>0</v>
      </c>
      <c r="Y445" s="53" t="str">
        <f>IF(U445&lt;&gt;0,X445/U445,"")</f>
        <v/>
      </c>
      <c r="Z445" s="23">
        <v>0</v>
      </c>
      <c r="AA445" s="25">
        <v>0</v>
      </c>
      <c r="AB445" s="24">
        <v>0</v>
      </c>
      <c r="AC445" s="24">
        <f t="shared" si="134"/>
        <v>0</v>
      </c>
      <c r="AD445" s="53" t="str">
        <f t="shared" si="135"/>
        <v/>
      </c>
      <c r="AE445" s="10"/>
    </row>
    <row r="446" spans="1:31" x14ac:dyDescent="0.25">
      <c r="A446" s="14" t="s">
        <v>109</v>
      </c>
      <c r="C446" s="61" t="str">
        <f t="shared" si="133"/>
        <v>C100036</v>
      </c>
      <c r="F446" s="8" t="str">
        <f>"C100029"</f>
        <v>C100029</v>
      </c>
      <c r="G446" s="9" t="str">
        <f>"Distressed Twill Visor"</f>
        <v>Distressed Twill Visor</v>
      </c>
      <c r="H446" s="47"/>
      <c r="I446" s="47"/>
      <c r="J446" s="23">
        <v>0</v>
      </c>
      <c r="K446" s="25">
        <v>0</v>
      </c>
      <c r="L446" s="24">
        <v>0</v>
      </c>
      <c r="M446" s="24">
        <f>J446-L446</f>
        <v>0</v>
      </c>
      <c r="N446" s="53" t="str">
        <f>IF(J446&lt;&gt;0,M446/J446,"")</f>
        <v/>
      </c>
      <c r="O446" s="23">
        <v>482.66</v>
      </c>
      <c r="P446" s="25">
        <v>144</v>
      </c>
      <c r="Q446" s="24">
        <v>298.09000000000003</v>
      </c>
      <c r="R446" s="24">
        <f>O446-Q446</f>
        <v>184.57</v>
      </c>
      <c r="S446" s="53">
        <f>IF(O446&lt;&gt;0,R446/O446,"")</f>
        <v>0.38240169063108603</v>
      </c>
      <c r="T446" s="10"/>
      <c r="U446" s="23">
        <v>0</v>
      </c>
      <c r="V446" s="25">
        <v>0</v>
      </c>
      <c r="W446" s="24">
        <v>0</v>
      </c>
      <c r="X446" s="24">
        <f>U446-W446</f>
        <v>0</v>
      </c>
      <c r="Y446" s="53" t="str">
        <f>IF(U446&lt;&gt;0,X446/U446,"")</f>
        <v/>
      </c>
      <c r="Z446" s="23">
        <v>0</v>
      </c>
      <c r="AA446" s="25">
        <v>0</v>
      </c>
      <c r="AB446" s="24">
        <v>0</v>
      </c>
      <c r="AC446" s="24">
        <f t="shared" si="134"/>
        <v>0</v>
      </c>
      <c r="AD446" s="53" t="str">
        <f t="shared" si="135"/>
        <v/>
      </c>
      <c r="AE446" s="10"/>
    </row>
    <row r="447" spans="1:31" x14ac:dyDescent="0.25">
      <c r="A447" s="14" t="s">
        <v>109</v>
      </c>
      <c r="C447" s="61" t="str">
        <f t="shared" si="133"/>
        <v>C100036</v>
      </c>
      <c r="F447" s="8" t="str">
        <f>"C100032"</f>
        <v>C100032</v>
      </c>
      <c r="G447" s="9" t="str">
        <f>"Clip-on Clock"</f>
        <v>Clip-on Clock</v>
      </c>
      <c r="H447" s="47"/>
      <c r="I447" s="47"/>
      <c r="J447" s="23">
        <v>0</v>
      </c>
      <c r="K447" s="25">
        <v>0</v>
      </c>
      <c r="L447" s="24">
        <v>0</v>
      </c>
      <c r="M447" s="24">
        <f>J447-L447</f>
        <v>0</v>
      </c>
      <c r="N447" s="53" t="str">
        <f>IF(J447&lt;&gt;0,M447/J447,"")</f>
        <v/>
      </c>
      <c r="O447" s="23">
        <v>1162.8800000000001</v>
      </c>
      <c r="P447" s="25">
        <v>144</v>
      </c>
      <c r="Q447" s="24">
        <v>599.05000000000007</v>
      </c>
      <c r="R447" s="24">
        <f>O447-Q447</f>
        <v>563.83000000000004</v>
      </c>
      <c r="S447" s="53">
        <f>IF(O447&lt;&gt;0,R447/O447,"")</f>
        <v>0.48485656301596036</v>
      </c>
      <c r="T447" s="10"/>
      <c r="U447" s="23">
        <v>0</v>
      </c>
      <c r="V447" s="25">
        <v>0</v>
      </c>
      <c r="W447" s="24">
        <v>0</v>
      </c>
      <c r="X447" s="24">
        <f>U447-W447</f>
        <v>0</v>
      </c>
      <c r="Y447" s="53" t="str">
        <f>IF(U447&lt;&gt;0,X447/U447,"")</f>
        <v/>
      </c>
      <c r="Z447" s="23">
        <v>0</v>
      </c>
      <c r="AA447" s="25">
        <v>0</v>
      </c>
      <c r="AB447" s="24">
        <v>0</v>
      </c>
      <c r="AC447" s="24">
        <f t="shared" si="134"/>
        <v>0</v>
      </c>
      <c r="AD447" s="53" t="str">
        <f t="shared" si="135"/>
        <v/>
      </c>
      <c r="AE447" s="10"/>
    </row>
    <row r="448" spans="1:31" x14ac:dyDescent="0.25">
      <c r="A448" s="14" t="s">
        <v>109</v>
      </c>
      <c r="C448" s="61" t="str">
        <f t="shared" si="133"/>
        <v>C100036</v>
      </c>
      <c r="F448" s="8" t="str">
        <f>"E100001"</f>
        <v>E100001</v>
      </c>
      <c r="G448" s="9" t="str">
        <f>"Sport Bag"</f>
        <v>Sport Bag</v>
      </c>
      <c r="H448" s="47"/>
      <c r="I448" s="47"/>
      <c r="J448" s="23">
        <v>0</v>
      </c>
      <c r="K448" s="25">
        <v>0</v>
      </c>
      <c r="L448" s="24">
        <v>0</v>
      </c>
      <c r="M448" s="24">
        <f>J448-L448</f>
        <v>0</v>
      </c>
      <c r="N448" s="53" t="str">
        <f>IF(J448&lt;&gt;0,M448/J448,"")</f>
        <v/>
      </c>
      <c r="O448" s="23">
        <v>1.77</v>
      </c>
      <c r="P448" s="25">
        <v>1</v>
      </c>
      <c r="Q448" s="24">
        <v>0.87</v>
      </c>
      <c r="R448" s="24">
        <f>O448-Q448</f>
        <v>0.9</v>
      </c>
      <c r="S448" s="53">
        <f>IF(O448&lt;&gt;0,R448/O448,"")</f>
        <v>0.50847457627118642</v>
      </c>
      <c r="T448" s="10"/>
      <c r="U448" s="23">
        <v>0</v>
      </c>
      <c r="V448" s="25">
        <v>0</v>
      </c>
      <c r="W448" s="24">
        <v>0</v>
      </c>
      <c r="X448" s="24">
        <f>U448-W448</f>
        <v>0</v>
      </c>
      <c r="Y448" s="53" t="str">
        <f>IF(U448&lt;&gt;0,X448/U448,"")</f>
        <v/>
      </c>
      <c r="Z448" s="23">
        <v>0</v>
      </c>
      <c r="AA448" s="25">
        <v>0</v>
      </c>
      <c r="AB448" s="24">
        <v>0</v>
      </c>
      <c r="AC448" s="24">
        <f t="shared" si="134"/>
        <v>0</v>
      </c>
      <c r="AD448" s="53" t="str">
        <f t="shared" si="135"/>
        <v/>
      </c>
      <c r="AE448" s="10"/>
    </row>
    <row r="449" spans="1:31" x14ac:dyDescent="0.25">
      <c r="A449" s="14" t="s">
        <v>109</v>
      </c>
      <c r="C449" s="61" t="str">
        <f t="shared" si="133"/>
        <v>C100036</v>
      </c>
      <c r="F449" s="8" t="str">
        <f>"E100014"</f>
        <v>E100014</v>
      </c>
      <c r="G449" s="9" t="str">
        <f>"Stopwatch with Neck Rope"</f>
        <v>Stopwatch with Neck Rope</v>
      </c>
      <c r="H449" s="47"/>
      <c r="I449" s="47"/>
      <c r="J449" s="23">
        <v>0</v>
      </c>
      <c r="K449" s="25">
        <v>0</v>
      </c>
      <c r="L449" s="24">
        <v>0</v>
      </c>
      <c r="M449" s="24">
        <f>J449-L449</f>
        <v>0</v>
      </c>
      <c r="N449" s="53" t="str">
        <f>IF(J449&lt;&gt;0,M449/J449,"")</f>
        <v/>
      </c>
      <c r="O449" s="23">
        <v>387.99999999999994</v>
      </c>
      <c r="P449" s="25">
        <v>144</v>
      </c>
      <c r="Q449" s="24">
        <v>185.75</v>
      </c>
      <c r="R449" s="24">
        <f>O449-Q449</f>
        <v>202.24999999999994</v>
      </c>
      <c r="S449" s="53">
        <f>IF(O449&lt;&gt;0,R449/O449,"")</f>
        <v>0.52126288659793807</v>
      </c>
      <c r="T449" s="10"/>
      <c r="U449" s="23">
        <v>0</v>
      </c>
      <c r="V449" s="25">
        <v>0</v>
      </c>
      <c r="W449" s="24">
        <v>0</v>
      </c>
      <c r="X449" s="24">
        <f>U449-W449</f>
        <v>0</v>
      </c>
      <c r="Y449" s="53" t="str">
        <f>IF(U449&lt;&gt;0,X449/U449,"")</f>
        <v/>
      </c>
      <c r="Z449" s="23">
        <v>0</v>
      </c>
      <c r="AA449" s="25">
        <v>0</v>
      </c>
      <c r="AB449" s="24">
        <v>0</v>
      </c>
      <c r="AC449" s="24">
        <f t="shared" si="134"/>
        <v>0</v>
      </c>
      <c r="AD449" s="53" t="str">
        <f t="shared" si="135"/>
        <v/>
      </c>
      <c r="AE449" s="10"/>
    </row>
    <row r="450" spans="1:31" x14ac:dyDescent="0.25">
      <c r="A450" s="14" t="s">
        <v>109</v>
      </c>
      <c r="C450" s="61" t="str">
        <f t="shared" si="133"/>
        <v>C100036</v>
      </c>
      <c r="F450" s="8" t="str">
        <f>"E100017"</f>
        <v>E100017</v>
      </c>
      <c r="G450" s="9" t="str">
        <f>"Clip-on Clock with Compass"</f>
        <v>Clip-on Clock with Compass</v>
      </c>
      <c r="H450" s="47"/>
      <c r="I450" s="47"/>
      <c r="J450" s="23">
        <v>0</v>
      </c>
      <c r="K450" s="25">
        <v>0</v>
      </c>
      <c r="L450" s="24">
        <v>0</v>
      </c>
      <c r="M450" s="24">
        <f>J450-L450</f>
        <v>0</v>
      </c>
      <c r="N450" s="53" t="str">
        <f>IF(J450&lt;&gt;0,M450/J450,"")</f>
        <v/>
      </c>
      <c r="O450" s="23">
        <v>220.10000000000002</v>
      </c>
      <c r="P450" s="25">
        <v>144</v>
      </c>
      <c r="Q450" s="24">
        <v>126.72</v>
      </c>
      <c r="R450" s="24">
        <f>O450-Q450</f>
        <v>93.380000000000024</v>
      </c>
      <c r="S450" s="53">
        <f>IF(O450&lt;&gt;0,R450/O450,"")</f>
        <v>0.42426169922762386</v>
      </c>
      <c r="T450" s="10"/>
      <c r="U450" s="23">
        <v>0</v>
      </c>
      <c r="V450" s="25">
        <v>0</v>
      </c>
      <c r="W450" s="24">
        <v>0</v>
      </c>
      <c r="X450" s="24">
        <f>U450-W450</f>
        <v>0</v>
      </c>
      <c r="Y450" s="53" t="str">
        <f>IF(U450&lt;&gt;0,X450/U450,"")</f>
        <v/>
      </c>
      <c r="Z450" s="23">
        <v>0</v>
      </c>
      <c r="AA450" s="25">
        <v>0</v>
      </c>
      <c r="AB450" s="24">
        <v>0</v>
      </c>
      <c r="AC450" s="24">
        <f t="shared" si="134"/>
        <v>0</v>
      </c>
      <c r="AD450" s="53" t="str">
        <f t="shared" si="135"/>
        <v/>
      </c>
      <c r="AE450" s="10"/>
    </row>
    <row r="451" spans="1:31" x14ac:dyDescent="0.25">
      <c r="A451" s="14" t="s">
        <v>109</v>
      </c>
      <c r="C451" s="61" t="str">
        <f t="shared" si="133"/>
        <v>C100036</v>
      </c>
      <c r="F451" s="8" t="str">
        <f>"E100018"</f>
        <v>E100018</v>
      </c>
      <c r="G451" s="9" t="str">
        <f>"Flexi-Clock &amp; Clip"</f>
        <v>Flexi-Clock &amp; Clip</v>
      </c>
      <c r="H451" s="47"/>
      <c r="I451" s="47"/>
      <c r="J451" s="23">
        <v>0</v>
      </c>
      <c r="K451" s="25">
        <v>0</v>
      </c>
      <c r="L451" s="24">
        <v>0</v>
      </c>
      <c r="M451" s="24">
        <f>J451-L451</f>
        <v>0</v>
      </c>
      <c r="N451" s="53" t="str">
        <f>IF(J451&lt;&gt;0,M451/J451,"")</f>
        <v/>
      </c>
      <c r="O451" s="23">
        <v>53.129999999999995</v>
      </c>
      <c r="P451" s="25">
        <v>48</v>
      </c>
      <c r="Q451" s="24">
        <v>28.8</v>
      </c>
      <c r="R451" s="24">
        <f>O451-Q451</f>
        <v>24.329999999999995</v>
      </c>
      <c r="S451" s="53">
        <f>IF(O451&lt;&gt;0,R451/O451,"")</f>
        <v>0.45793337097684916</v>
      </c>
      <c r="T451" s="10"/>
      <c r="U451" s="23">
        <v>0</v>
      </c>
      <c r="V451" s="25">
        <v>0</v>
      </c>
      <c r="W451" s="24">
        <v>0</v>
      </c>
      <c r="X451" s="24">
        <f>U451-W451</f>
        <v>0</v>
      </c>
      <c r="Y451" s="53" t="str">
        <f>IF(U451&lt;&gt;0,X451/U451,"")</f>
        <v/>
      </c>
      <c r="Z451" s="23">
        <v>0</v>
      </c>
      <c r="AA451" s="25">
        <v>0</v>
      </c>
      <c r="AB451" s="24">
        <v>0</v>
      </c>
      <c r="AC451" s="24">
        <f t="shared" si="134"/>
        <v>0</v>
      </c>
      <c r="AD451" s="53" t="str">
        <f t="shared" si="135"/>
        <v/>
      </c>
      <c r="AE451" s="10"/>
    </row>
    <row r="452" spans="1:31" x14ac:dyDescent="0.25">
      <c r="A452" s="14" t="s">
        <v>109</v>
      </c>
      <c r="C452" s="61" t="str">
        <f t="shared" si="133"/>
        <v>C100036</v>
      </c>
      <c r="F452" s="8" t="str">
        <f>"S100001"</f>
        <v>S100001</v>
      </c>
      <c r="G452" s="9" t="str">
        <f>"Basketball Graphic Plaque"</f>
        <v>Basketball Graphic Plaque</v>
      </c>
      <c r="H452" s="47"/>
      <c r="I452" s="47"/>
      <c r="J452" s="23">
        <v>0</v>
      </c>
      <c r="K452" s="25">
        <v>0</v>
      </c>
      <c r="L452" s="24">
        <v>0</v>
      </c>
      <c r="M452" s="24">
        <f>J452-L452</f>
        <v>0</v>
      </c>
      <c r="N452" s="53" t="str">
        <f>IF(J452&lt;&gt;0,M452/J452,"")</f>
        <v/>
      </c>
      <c r="O452" s="23">
        <v>2362.3700000000003</v>
      </c>
      <c r="P452" s="25">
        <v>144</v>
      </c>
      <c r="Q452" s="24">
        <v>1310.4000000000001</v>
      </c>
      <c r="R452" s="24">
        <f>O452-Q452</f>
        <v>1051.9700000000003</v>
      </c>
      <c r="S452" s="53">
        <f>IF(O452&lt;&gt;0,R452/O452,"")</f>
        <v>0.44530281031337177</v>
      </c>
      <c r="T452" s="10"/>
      <c r="U452" s="23">
        <v>0</v>
      </c>
      <c r="V452" s="25">
        <v>0</v>
      </c>
      <c r="W452" s="24">
        <v>0</v>
      </c>
      <c r="X452" s="24">
        <f>U452-W452</f>
        <v>0</v>
      </c>
      <c r="Y452" s="53" t="str">
        <f>IF(U452&lt;&gt;0,X452/U452,"")</f>
        <v/>
      </c>
      <c r="Z452" s="23">
        <v>0</v>
      </c>
      <c r="AA452" s="25">
        <v>0</v>
      </c>
      <c r="AB452" s="24">
        <v>0</v>
      </c>
      <c r="AC452" s="24">
        <f t="shared" si="134"/>
        <v>0</v>
      </c>
      <c r="AD452" s="53" t="str">
        <f t="shared" si="135"/>
        <v/>
      </c>
      <c r="AE452" s="10"/>
    </row>
    <row r="453" spans="1:31" x14ac:dyDescent="0.25">
      <c r="A453" s="14" t="s">
        <v>109</v>
      </c>
      <c r="C453" s="61" t="str">
        <f t="shared" si="133"/>
        <v>C100036</v>
      </c>
      <c r="F453" s="8" t="str">
        <f>"S100003"</f>
        <v>S100003</v>
      </c>
      <c r="G453" s="9" t="str">
        <f>"Soccer #1 Pin"</f>
        <v>Soccer #1 Pin</v>
      </c>
      <c r="H453" s="47"/>
      <c r="I453" s="47"/>
      <c r="J453" s="23">
        <v>0</v>
      </c>
      <c r="K453" s="25">
        <v>0</v>
      </c>
      <c r="L453" s="24">
        <v>0</v>
      </c>
      <c r="M453" s="24">
        <f>J453-L453</f>
        <v>0</v>
      </c>
      <c r="N453" s="53" t="str">
        <f>IF(J453&lt;&gt;0,M453/J453,"")</f>
        <v/>
      </c>
      <c r="O453" s="23">
        <v>1.48</v>
      </c>
      <c r="P453" s="25">
        <v>1</v>
      </c>
      <c r="Q453" s="24">
        <v>0.9</v>
      </c>
      <c r="R453" s="24">
        <f>O453-Q453</f>
        <v>0.57999999999999996</v>
      </c>
      <c r="S453" s="53">
        <f>IF(O453&lt;&gt;0,R453/O453,"")</f>
        <v>0.39189189189189189</v>
      </c>
      <c r="T453" s="10"/>
      <c r="U453" s="23">
        <v>0</v>
      </c>
      <c r="V453" s="25">
        <v>0</v>
      </c>
      <c r="W453" s="24">
        <v>0</v>
      </c>
      <c r="X453" s="24">
        <f>U453-W453</f>
        <v>0</v>
      </c>
      <c r="Y453" s="53" t="str">
        <f>IF(U453&lt;&gt;0,X453/U453,"")</f>
        <v/>
      </c>
      <c r="Z453" s="23">
        <v>0</v>
      </c>
      <c r="AA453" s="25">
        <v>0</v>
      </c>
      <c r="AB453" s="24">
        <v>0</v>
      </c>
      <c r="AC453" s="24">
        <f t="shared" si="134"/>
        <v>0</v>
      </c>
      <c r="AD453" s="53" t="str">
        <f t="shared" si="135"/>
        <v/>
      </c>
      <c r="AE453" s="10"/>
    </row>
    <row r="454" spans="1:31" x14ac:dyDescent="0.25">
      <c r="A454" s="14" t="s">
        <v>109</v>
      </c>
      <c r="C454" s="61" t="str">
        <f t="shared" si="133"/>
        <v>C100036</v>
      </c>
      <c r="F454" s="8" t="str">
        <f>"S100008"</f>
        <v>S100008</v>
      </c>
      <c r="G454" s="9" t="str">
        <f>"Soccer Figure Trophy"</f>
        <v>Soccer Figure Trophy</v>
      </c>
      <c r="H454" s="47"/>
      <c r="I454" s="47"/>
      <c r="J454" s="23">
        <v>0</v>
      </c>
      <c r="K454" s="25">
        <v>0</v>
      </c>
      <c r="L454" s="24">
        <v>0</v>
      </c>
      <c r="M454" s="24">
        <f>J454-L454</f>
        <v>0</v>
      </c>
      <c r="N454" s="53" t="str">
        <f>IF(J454&lt;&gt;0,M454/J454,"")</f>
        <v/>
      </c>
      <c r="O454" s="23">
        <v>835.33999999999992</v>
      </c>
      <c r="P454" s="25">
        <v>144</v>
      </c>
      <c r="Q454" s="24">
        <v>529.91999999999996</v>
      </c>
      <c r="R454" s="24">
        <f>O454-Q454</f>
        <v>305.41999999999996</v>
      </c>
      <c r="S454" s="53">
        <f>IF(O454&lt;&gt;0,R454/O454,"")</f>
        <v>0.36562357842315701</v>
      </c>
      <c r="T454" s="10"/>
      <c r="U454" s="23">
        <v>0</v>
      </c>
      <c r="V454" s="25">
        <v>0</v>
      </c>
      <c r="W454" s="24">
        <v>0</v>
      </c>
      <c r="X454" s="24">
        <f>U454-W454</f>
        <v>0</v>
      </c>
      <c r="Y454" s="53" t="str">
        <f>IF(U454&lt;&gt;0,X454/U454,"")</f>
        <v/>
      </c>
      <c r="Z454" s="23">
        <v>0</v>
      </c>
      <c r="AA454" s="25">
        <v>0</v>
      </c>
      <c r="AB454" s="24">
        <v>0</v>
      </c>
      <c r="AC454" s="24">
        <f t="shared" si="134"/>
        <v>0</v>
      </c>
      <c r="AD454" s="53" t="str">
        <f t="shared" si="135"/>
        <v/>
      </c>
      <c r="AE454" s="10"/>
    </row>
    <row r="455" spans="1:31" x14ac:dyDescent="0.25">
      <c r="A455" s="14" t="s">
        <v>109</v>
      </c>
      <c r="C455" s="61" t="str">
        <f t="shared" si="133"/>
        <v>C100036</v>
      </c>
      <c r="F455" s="8" t="str">
        <f>"S100011"</f>
        <v>S100011</v>
      </c>
      <c r="G455" s="9" t="str">
        <f>"All Star Cap"</f>
        <v>All Star Cap</v>
      </c>
      <c r="H455" s="47"/>
      <c r="I455" s="47"/>
      <c r="J455" s="23">
        <v>0</v>
      </c>
      <c r="K455" s="25">
        <v>0</v>
      </c>
      <c r="L455" s="24">
        <v>0</v>
      </c>
      <c r="M455" s="24">
        <f>J455-L455</f>
        <v>0</v>
      </c>
      <c r="N455" s="53" t="str">
        <f>IF(J455&lt;&gt;0,M455/J455,"")</f>
        <v/>
      </c>
      <c r="O455" s="23">
        <v>204.7</v>
      </c>
      <c r="P455" s="25">
        <v>144</v>
      </c>
      <c r="Q455" s="24">
        <v>122.41</v>
      </c>
      <c r="R455" s="24">
        <f>O455-Q455</f>
        <v>82.289999999999992</v>
      </c>
      <c r="S455" s="53">
        <f>IF(O455&lt;&gt;0,R455/O455,"")</f>
        <v>0.40200293111871027</v>
      </c>
      <c r="T455" s="10"/>
      <c r="U455" s="23">
        <v>0</v>
      </c>
      <c r="V455" s="25">
        <v>0</v>
      </c>
      <c r="W455" s="24">
        <v>0</v>
      </c>
      <c r="X455" s="24">
        <f>U455-W455</f>
        <v>0</v>
      </c>
      <c r="Y455" s="53" t="str">
        <f>IF(U455&lt;&gt;0,X455/U455,"")</f>
        <v/>
      </c>
      <c r="Z455" s="23">
        <v>0</v>
      </c>
      <c r="AA455" s="25">
        <v>0</v>
      </c>
      <c r="AB455" s="24">
        <v>0</v>
      </c>
      <c r="AC455" s="24">
        <f t="shared" si="134"/>
        <v>0</v>
      </c>
      <c r="AD455" s="53" t="str">
        <f t="shared" si="135"/>
        <v/>
      </c>
      <c r="AE455" s="10"/>
    </row>
    <row r="456" spans="1:31" x14ac:dyDescent="0.25">
      <c r="A456" s="14" t="s">
        <v>109</v>
      </c>
      <c r="C456" s="61" t="str">
        <f t="shared" si="133"/>
        <v>C100036</v>
      </c>
      <c r="F456" s="8" t="str">
        <f>"S100015"</f>
        <v>S100015</v>
      </c>
      <c r="G456" s="9" t="str">
        <f>"Raw-Edge Bucket Hat"</f>
        <v>Raw-Edge Bucket Hat</v>
      </c>
      <c r="H456" s="47"/>
      <c r="I456" s="47"/>
      <c r="J456" s="23">
        <v>0</v>
      </c>
      <c r="K456" s="25">
        <v>0</v>
      </c>
      <c r="L456" s="24">
        <v>0</v>
      </c>
      <c r="M456" s="24">
        <f>J456-L456</f>
        <v>0</v>
      </c>
      <c r="N456" s="53" t="str">
        <f>IF(J456&lt;&gt;0,M456/J456,"")</f>
        <v/>
      </c>
      <c r="O456" s="23">
        <v>1050.1199999999999</v>
      </c>
      <c r="P456" s="25">
        <v>145</v>
      </c>
      <c r="Q456" s="24">
        <v>527.80999999999995</v>
      </c>
      <c r="R456" s="24">
        <f>O456-Q456</f>
        <v>522.30999999999995</v>
      </c>
      <c r="S456" s="53">
        <f>IF(O456&lt;&gt;0,R456/O456,"")</f>
        <v>0.49738125166647623</v>
      </c>
      <c r="T456" s="10"/>
      <c r="U456" s="23">
        <v>0</v>
      </c>
      <c r="V456" s="25">
        <v>0</v>
      </c>
      <c r="W456" s="24">
        <v>0</v>
      </c>
      <c r="X456" s="24">
        <f>U456-W456</f>
        <v>0</v>
      </c>
      <c r="Y456" s="53" t="str">
        <f>IF(U456&lt;&gt;0,X456/U456,"")</f>
        <v/>
      </c>
      <c r="Z456" s="23">
        <v>0</v>
      </c>
      <c r="AA456" s="25">
        <v>0</v>
      </c>
      <c r="AB456" s="24">
        <v>0</v>
      </c>
      <c r="AC456" s="24">
        <f t="shared" si="134"/>
        <v>0</v>
      </c>
      <c r="AD456" s="53" t="str">
        <f t="shared" si="135"/>
        <v/>
      </c>
      <c r="AE456" s="10"/>
    </row>
    <row r="457" spans="1:31" x14ac:dyDescent="0.25">
      <c r="A457" s="14" t="s">
        <v>109</v>
      </c>
      <c r="C457" s="61" t="str">
        <f t="shared" si="133"/>
        <v>C100036</v>
      </c>
      <c r="F457" s="8" t="str">
        <f>"S100018"</f>
        <v>S100018</v>
      </c>
      <c r="G457" s="9" t="str">
        <f>"Crusher Bucket Hat"</f>
        <v>Crusher Bucket Hat</v>
      </c>
      <c r="H457" s="47"/>
      <c r="I457" s="47"/>
      <c r="J457" s="23">
        <v>0</v>
      </c>
      <c r="K457" s="25">
        <v>0</v>
      </c>
      <c r="L457" s="24">
        <v>0</v>
      </c>
      <c r="M457" s="24">
        <f>J457-L457</f>
        <v>0</v>
      </c>
      <c r="N457" s="53" t="str">
        <f>IF(J457&lt;&gt;0,M457/J457,"")</f>
        <v/>
      </c>
      <c r="O457" s="23">
        <v>349.07</v>
      </c>
      <c r="P457" s="25">
        <v>48</v>
      </c>
      <c r="Q457" s="24">
        <v>168</v>
      </c>
      <c r="R457" s="24">
        <f>O457-Q457</f>
        <v>181.07</v>
      </c>
      <c r="S457" s="53">
        <f>IF(O457&lt;&gt;0,R457/O457,"")</f>
        <v>0.51872117340361534</v>
      </c>
      <c r="T457" s="10"/>
      <c r="U457" s="23">
        <v>0</v>
      </c>
      <c r="V457" s="25">
        <v>0</v>
      </c>
      <c r="W457" s="24">
        <v>0</v>
      </c>
      <c r="X457" s="24">
        <f>U457-W457</f>
        <v>0</v>
      </c>
      <c r="Y457" s="53" t="str">
        <f>IF(U457&lt;&gt;0,X457/U457,"")</f>
        <v/>
      </c>
      <c r="Z457" s="23">
        <v>0</v>
      </c>
      <c r="AA457" s="25">
        <v>0</v>
      </c>
      <c r="AB457" s="24">
        <v>0</v>
      </c>
      <c r="AC457" s="24">
        <f t="shared" si="134"/>
        <v>0</v>
      </c>
      <c r="AD457" s="53" t="str">
        <f t="shared" si="135"/>
        <v/>
      </c>
      <c r="AE457" s="10"/>
    </row>
    <row r="458" spans="1:31" ht="15.75" thickBot="1" x14ac:dyDescent="0.3">
      <c r="A458" s="14" t="s">
        <v>109</v>
      </c>
      <c r="C458" s="61" t="str">
        <f>C441</f>
        <v>C100036</v>
      </c>
      <c r="J458" s="10"/>
      <c r="K458" s="11"/>
      <c r="L458" s="11"/>
      <c r="M458" s="11"/>
      <c r="N458" s="12"/>
      <c r="O458" s="10"/>
      <c r="P458" s="11"/>
      <c r="Q458" s="11"/>
      <c r="R458" s="11"/>
      <c r="S458" s="12"/>
      <c r="U458" s="10"/>
      <c r="V458" s="11"/>
      <c r="W458" s="11"/>
      <c r="X458" s="11"/>
      <c r="Y458" s="12"/>
      <c r="Z458" s="10"/>
      <c r="AA458" s="11"/>
      <c r="AB458" s="11"/>
      <c r="AC458" s="11"/>
      <c r="AD458" s="12"/>
    </row>
    <row r="459" spans="1:31" ht="15.75" thickBot="1" x14ac:dyDescent="0.3">
      <c r="A459" s="14" t="s">
        <v>109</v>
      </c>
      <c r="C459" s="61" t="str">
        <f t="shared" si="130"/>
        <v>C100036</v>
      </c>
      <c r="G459" s="48" t="str">
        <f>C459&amp;" TOTAL:"</f>
        <v>C100036 TOTAL:</v>
      </c>
      <c r="H459" s="50"/>
      <c r="I459" s="50"/>
      <c r="J459" s="34">
        <f>SUBTOTAL(9,J440:J458)</f>
        <v>0</v>
      </c>
      <c r="K459" s="35">
        <f>SUBTOTAL(9,K440:K458)</f>
        <v>0</v>
      </c>
      <c r="L459" s="36">
        <f>SUBTOTAL(9,L440:L458)</f>
        <v>0</v>
      </c>
      <c r="M459" s="36">
        <f>J459-L459</f>
        <v>0</v>
      </c>
      <c r="N459" s="37" t="str">
        <f>IF(J459&lt;&gt;0,M459/J459,"")</f>
        <v/>
      </c>
      <c r="O459" s="34">
        <f>SUBTOTAL(9,O440:O458)</f>
        <v>14165.960000000003</v>
      </c>
      <c r="P459" s="35">
        <f>SUBTOTAL(9,P440:P458)</f>
        <v>1709</v>
      </c>
      <c r="Q459" s="36">
        <f>SUBTOTAL(9,Q440:Q458)</f>
        <v>7647.82</v>
      </c>
      <c r="R459" s="36">
        <f>O459-Q459</f>
        <v>6518.1400000000031</v>
      </c>
      <c r="S459" s="37">
        <f>IF(O459&lt;&gt;0,R459/O459,"")</f>
        <v>0.46012695221502825</v>
      </c>
      <c r="U459" s="34">
        <f>SUBTOTAL(9,U440:U458)</f>
        <v>0</v>
      </c>
      <c r="V459" s="35">
        <f>SUBTOTAL(9,V440:V458)</f>
        <v>0</v>
      </c>
      <c r="W459" s="36">
        <f>SUBTOTAL(9,W440:W458)</f>
        <v>0</v>
      </c>
      <c r="X459" s="36">
        <f>U459-W459</f>
        <v>0</v>
      </c>
      <c r="Y459" s="37" t="str">
        <f>IF(U459&lt;&gt;0,X459/U459,"")</f>
        <v/>
      </c>
      <c r="Z459" s="34">
        <f>SUBTOTAL(9,Z440:Z458)</f>
        <v>0</v>
      </c>
      <c r="AA459" s="35">
        <f>SUBTOTAL(9,AA440:AA458)</f>
        <v>0</v>
      </c>
      <c r="AB459" s="36">
        <f>SUBTOTAL(9,AB440:AB458)</f>
        <v>0</v>
      </c>
      <c r="AC459" s="36">
        <f t="shared" ref="AC459" si="136">Z459-AB459</f>
        <v>0</v>
      </c>
      <c r="AD459" s="37" t="str">
        <f t="shared" ref="AD459" si="137">IF(Z459&lt;&gt;0,AC459/Z459,"")</f>
        <v/>
      </c>
    </row>
    <row r="460" spans="1:31" x14ac:dyDescent="0.25">
      <c r="A460" s="14" t="s">
        <v>109</v>
      </c>
      <c r="C460" s="66"/>
      <c r="J460" s="10"/>
      <c r="K460" s="11"/>
      <c r="L460" s="11"/>
      <c r="M460" s="11"/>
      <c r="N460" s="12"/>
      <c r="O460" s="10"/>
      <c r="P460" s="11"/>
      <c r="Q460" s="11"/>
      <c r="R460" s="11"/>
      <c r="S460" s="12"/>
      <c r="U460" s="10"/>
      <c r="V460" s="11"/>
      <c r="W460" s="11"/>
      <c r="X460" s="11"/>
      <c r="Y460" s="12"/>
      <c r="Z460" s="10"/>
      <c r="AA460" s="11"/>
      <c r="AB460" s="11"/>
      <c r="AC460" s="11"/>
      <c r="AD460" s="12"/>
    </row>
    <row r="461" spans="1:31" ht="15.75" x14ac:dyDescent="0.25">
      <c r="A461" s="14" t="s">
        <v>109</v>
      </c>
      <c r="C461" s="66" t="str">
        <f t="shared" ref="C461" si="138">E461</f>
        <v>C100037</v>
      </c>
      <c r="E461" s="13" t="str">
        <f>"C100037"</f>
        <v>C100037</v>
      </c>
      <c r="F461" s="13"/>
      <c r="G461" s="13" t="str">
        <f>"Tempsons Tropies"</f>
        <v>Tempsons Tropies</v>
      </c>
      <c r="H461" s="13"/>
      <c r="I461" s="13"/>
      <c r="J461" s="10"/>
      <c r="K461" s="11"/>
      <c r="L461" s="11"/>
      <c r="M461" s="11"/>
      <c r="N461" s="12"/>
      <c r="O461" s="10"/>
      <c r="P461" s="11"/>
      <c r="Q461" s="11"/>
      <c r="R461" s="11"/>
      <c r="S461" s="12"/>
      <c r="U461" s="10"/>
      <c r="V461" s="11"/>
      <c r="W461" s="11"/>
      <c r="X461" s="11"/>
      <c r="Y461" s="12"/>
      <c r="Z461" s="10"/>
      <c r="AA461" s="11"/>
      <c r="AB461" s="11"/>
      <c r="AC461" s="11"/>
      <c r="AD461" s="12"/>
    </row>
    <row r="462" spans="1:31" ht="6.6" customHeight="1" x14ac:dyDescent="0.25">
      <c r="A462" s="14" t="s">
        <v>109</v>
      </c>
      <c r="C462" s="61" t="str">
        <f t="shared" ref="C462:C494" si="139">C461</f>
        <v>C100037</v>
      </c>
      <c r="J462" s="10"/>
      <c r="K462" s="11"/>
      <c r="L462" s="11"/>
      <c r="M462" s="11"/>
      <c r="N462" s="12"/>
      <c r="O462" s="10"/>
      <c r="P462" s="11"/>
      <c r="Q462" s="11"/>
      <c r="R462" s="11"/>
      <c r="S462" s="12"/>
      <c r="U462" s="10"/>
      <c r="V462" s="11"/>
      <c r="W462" s="11"/>
      <c r="X462" s="11"/>
      <c r="Y462" s="12"/>
      <c r="Z462" s="10"/>
      <c r="AA462" s="11"/>
      <c r="AB462" s="11"/>
      <c r="AC462" s="11"/>
      <c r="AD462" s="12"/>
    </row>
    <row r="463" spans="1:31" x14ac:dyDescent="0.25">
      <c r="A463" s="14" t="s">
        <v>109</v>
      </c>
      <c r="C463" s="61" t="str">
        <f t="shared" si="139"/>
        <v>C100037</v>
      </c>
      <c r="F463" s="8" t="str">
        <f>"C100005"</f>
        <v>C100005</v>
      </c>
      <c r="G463" s="9" t="str">
        <f>"Cherry Finished Crystal Award"</f>
        <v>Cherry Finished Crystal Award</v>
      </c>
      <c r="H463" s="47"/>
      <c r="I463" s="47"/>
      <c r="J463" s="23">
        <v>3203.02</v>
      </c>
      <c r="K463" s="25">
        <v>24</v>
      </c>
      <c r="L463" s="24">
        <v>1702.32</v>
      </c>
      <c r="M463" s="24">
        <f>J463-L463</f>
        <v>1500.7</v>
      </c>
      <c r="N463" s="53">
        <f>IF(J463&lt;&gt;0,M463/J463,"")</f>
        <v>0.4685265780419729</v>
      </c>
      <c r="O463" s="23">
        <v>1584.83</v>
      </c>
      <c r="P463" s="25">
        <v>12</v>
      </c>
      <c r="Q463" s="24">
        <v>851.16</v>
      </c>
      <c r="R463" s="24">
        <f>O463-Q463</f>
        <v>733.67</v>
      </c>
      <c r="S463" s="53">
        <f>IF(O463&lt;&gt;0,R463/O463,"")</f>
        <v>0.4629329328697715</v>
      </c>
      <c r="T463" s="10"/>
      <c r="U463" s="23">
        <v>0</v>
      </c>
      <c r="V463" s="25">
        <v>0</v>
      </c>
      <c r="W463" s="24">
        <v>0</v>
      </c>
      <c r="X463" s="24">
        <f>U463-W463</f>
        <v>0</v>
      </c>
      <c r="Y463" s="53" t="str">
        <f>IF(U463&lt;&gt;0,X463/U463,"")</f>
        <v/>
      </c>
      <c r="Z463" s="23">
        <v>0</v>
      </c>
      <c r="AA463" s="25">
        <v>0</v>
      </c>
      <c r="AB463" s="24">
        <v>0</v>
      </c>
      <c r="AC463" s="24">
        <f t="shared" ref="AC463" si="140">Z463-AB463</f>
        <v>0</v>
      </c>
      <c r="AD463" s="53" t="str">
        <f t="shared" ref="AD463" si="141">IF(Z463&lt;&gt;0,AC463/Z463,"")</f>
        <v/>
      </c>
      <c r="AE463" s="10"/>
    </row>
    <row r="464" spans="1:31" x14ac:dyDescent="0.25">
      <c r="A464" s="14" t="s">
        <v>109</v>
      </c>
      <c r="C464" s="61" t="str">
        <f t="shared" ref="C464:C492" si="142">C463</f>
        <v>C100037</v>
      </c>
      <c r="F464" s="8" t="str">
        <f>"C100007"</f>
        <v>C100007</v>
      </c>
      <c r="G464" s="9" t="str">
        <f>"7.5'' Bud Vase"</f>
        <v>7.5'' Bud Vase</v>
      </c>
      <c r="H464" s="47"/>
      <c r="I464" s="47"/>
      <c r="J464" s="23">
        <v>239.09</v>
      </c>
      <c r="K464" s="25">
        <v>145</v>
      </c>
      <c r="L464" s="24">
        <v>147.91</v>
      </c>
      <c r="M464" s="24">
        <f>J464-L464</f>
        <v>91.18</v>
      </c>
      <c r="N464" s="53">
        <f>IF(J464&lt;&gt;0,M464/J464,"")</f>
        <v>0.38136266677820069</v>
      </c>
      <c r="O464" s="23">
        <v>-1.63</v>
      </c>
      <c r="P464" s="25">
        <v>-1</v>
      </c>
      <c r="Q464" s="24">
        <v>-1.02</v>
      </c>
      <c r="R464" s="24">
        <f>O464-Q464</f>
        <v>-0.60999999999999988</v>
      </c>
      <c r="S464" s="53">
        <f>IF(O464&lt;&gt;0,R464/O464,"")</f>
        <v>0.37423312883435578</v>
      </c>
      <c r="T464" s="10"/>
      <c r="U464" s="23">
        <v>1.65</v>
      </c>
      <c r="V464" s="25">
        <v>1</v>
      </c>
      <c r="W464" s="24">
        <v>1.02</v>
      </c>
      <c r="X464" s="24">
        <f>U464-W464</f>
        <v>0.62999999999999989</v>
      </c>
      <c r="Y464" s="53">
        <f>IF(U464&lt;&gt;0,X464/U464,"")</f>
        <v>0.38181818181818178</v>
      </c>
      <c r="Z464" s="23">
        <v>1.61</v>
      </c>
      <c r="AA464" s="25">
        <v>1</v>
      </c>
      <c r="AB464" s="24">
        <v>1.02</v>
      </c>
      <c r="AC464" s="24">
        <f t="shared" ref="AC464:AC492" si="143">Z464-AB464</f>
        <v>0.59000000000000008</v>
      </c>
      <c r="AD464" s="53">
        <f t="shared" ref="AD464:AD492" si="144">IF(Z464&lt;&gt;0,AC464/Z464,"")</f>
        <v>0.36645962732919257</v>
      </c>
      <c r="AE464" s="10"/>
    </row>
    <row r="465" spans="1:31" x14ac:dyDescent="0.25">
      <c r="A465" s="14" t="s">
        <v>109</v>
      </c>
      <c r="C465" s="61" t="str">
        <f t="shared" si="142"/>
        <v>C100037</v>
      </c>
      <c r="F465" s="8" t="str">
        <f>"C100008"</f>
        <v>C100008</v>
      </c>
      <c r="G465" s="9" t="str">
        <f>"Glacier Vase"</f>
        <v>Glacier Vase</v>
      </c>
      <c r="H465" s="47"/>
      <c r="I465" s="47"/>
      <c r="J465" s="23">
        <v>3753.21</v>
      </c>
      <c r="K465" s="25">
        <v>432</v>
      </c>
      <c r="L465" s="24">
        <v>1835.9699999999998</v>
      </c>
      <c r="M465" s="24">
        <f>J465-L465</f>
        <v>1917.2400000000002</v>
      </c>
      <c r="N465" s="53">
        <f>IF(J465&lt;&gt;0,M465/J465,"")</f>
        <v>0.5108267323171366</v>
      </c>
      <c r="O465" s="23">
        <v>0</v>
      </c>
      <c r="P465" s="25">
        <v>0</v>
      </c>
      <c r="Q465" s="24">
        <v>0</v>
      </c>
      <c r="R465" s="24">
        <f>O465-Q465</f>
        <v>0</v>
      </c>
      <c r="S465" s="53" t="str">
        <f>IF(O465&lt;&gt;0,R465/O465,"")</f>
        <v/>
      </c>
      <c r="T465" s="10"/>
      <c r="U465" s="23">
        <v>106.42999999999999</v>
      </c>
      <c r="V465" s="25">
        <v>12</v>
      </c>
      <c r="W465" s="24">
        <v>51</v>
      </c>
      <c r="X465" s="24">
        <f>U465-W465</f>
        <v>55.429999999999993</v>
      </c>
      <c r="Y465" s="53">
        <f>IF(U465&lt;&gt;0,X465/U465,"")</f>
        <v>0.52081180118387671</v>
      </c>
      <c r="Z465" s="23">
        <v>206.34</v>
      </c>
      <c r="AA465" s="25">
        <v>24</v>
      </c>
      <c r="AB465" s="24">
        <v>102</v>
      </c>
      <c r="AC465" s="24">
        <f t="shared" si="143"/>
        <v>104.34</v>
      </c>
      <c r="AD465" s="53">
        <f t="shared" si="144"/>
        <v>0.5056702529805176</v>
      </c>
      <c r="AE465" s="10"/>
    </row>
    <row r="466" spans="1:31" x14ac:dyDescent="0.25">
      <c r="A466" s="14" t="s">
        <v>109</v>
      </c>
      <c r="C466" s="61" t="str">
        <f t="shared" si="142"/>
        <v>C100037</v>
      </c>
      <c r="F466" s="8" t="str">
        <f>"C100011"</f>
        <v>C100011</v>
      </c>
      <c r="G466" s="9" t="str">
        <f>"Winter Frost Vase"</f>
        <v>Winter Frost Vase</v>
      </c>
      <c r="H466" s="47"/>
      <c r="I466" s="47"/>
      <c r="J466" s="23">
        <v>2694.92</v>
      </c>
      <c r="K466" s="25">
        <v>48</v>
      </c>
      <c r="L466" s="24">
        <v>1857.6100000000001</v>
      </c>
      <c r="M466" s="24">
        <f>J466-L466</f>
        <v>837.31</v>
      </c>
      <c r="N466" s="53">
        <f>IF(J466&lt;&gt;0,M466/J466,"")</f>
        <v>0.3106993899633384</v>
      </c>
      <c r="O466" s="23">
        <v>0</v>
      </c>
      <c r="P466" s="25">
        <v>0</v>
      </c>
      <c r="Q466" s="24">
        <v>0</v>
      </c>
      <c r="R466" s="24">
        <f>O466-Q466</f>
        <v>0</v>
      </c>
      <c r="S466" s="53" t="str">
        <f>IF(O466&lt;&gt;0,R466/O466,"")</f>
        <v/>
      </c>
      <c r="T466" s="10"/>
      <c r="U466" s="23">
        <v>16778.03</v>
      </c>
      <c r="V466" s="25">
        <v>288</v>
      </c>
      <c r="W466" s="24">
        <v>11145.640000000001</v>
      </c>
      <c r="X466" s="24">
        <f>U466-W466</f>
        <v>5632.3899999999976</v>
      </c>
      <c r="Y466" s="53">
        <f>IF(U466&lt;&gt;0,X466/U466,"")</f>
        <v>0.33570031761774166</v>
      </c>
      <c r="Z466" s="23">
        <v>0</v>
      </c>
      <c r="AA466" s="25">
        <v>0</v>
      </c>
      <c r="AB466" s="24">
        <v>0</v>
      </c>
      <c r="AC466" s="24">
        <f t="shared" si="143"/>
        <v>0</v>
      </c>
      <c r="AD466" s="53" t="str">
        <f t="shared" si="144"/>
        <v/>
      </c>
      <c r="AE466" s="10"/>
    </row>
    <row r="467" spans="1:31" x14ac:dyDescent="0.25">
      <c r="A467" s="14" t="s">
        <v>109</v>
      </c>
      <c r="C467" s="61" t="str">
        <f t="shared" si="142"/>
        <v>C100037</v>
      </c>
      <c r="F467" s="8" t="str">
        <f>"C100031"</f>
        <v>C100031</v>
      </c>
      <c r="G467" s="9" t="str">
        <f>"Carabiner Watch"</f>
        <v>Carabiner Watch</v>
      </c>
      <c r="H467" s="47"/>
      <c r="I467" s="47"/>
      <c r="J467" s="23">
        <v>18.12</v>
      </c>
      <c r="K467" s="25">
        <v>1</v>
      </c>
      <c r="L467" s="24">
        <v>8.58</v>
      </c>
      <c r="M467" s="24">
        <f>J467-L467</f>
        <v>9.5400000000000009</v>
      </c>
      <c r="N467" s="53">
        <f>IF(J467&lt;&gt;0,M467/J467,"")</f>
        <v>0.52649006622516559</v>
      </c>
      <c r="O467" s="23">
        <v>0</v>
      </c>
      <c r="P467" s="25">
        <v>0</v>
      </c>
      <c r="Q467" s="24">
        <v>0</v>
      </c>
      <c r="R467" s="24">
        <f>O467-Q467</f>
        <v>0</v>
      </c>
      <c r="S467" s="53" t="str">
        <f>IF(O467&lt;&gt;0,R467/O467,"")</f>
        <v/>
      </c>
      <c r="T467" s="10"/>
      <c r="U467" s="23">
        <v>0</v>
      </c>
      <c r="V467" s="25">
        <v>0</v>
      </c>
      <c r="W467" s="24">
        <v>0</v>
      </c>
      <c r="X467" s="24">
        <f>U467-W467</f>
        <v>0</v>
      </c>
      <c r="Y467" s="53" t="str">
        <f>IF(U467&lt;&gt;0,X467/U467,"")</f>
        <v/>
      </c>
      <c r="Z467" s="23">
        <v>2682.6600000000003</v>
      </c>
      <c r="AA467" s="25">
        <v>145</v>
      </c>
      <c r="AB467" s="24">
        <v>1244.1000000000001</v>
      </c>
      <c r="AC467" s="24">
        <f t="shared" si="143"/>
        <v>1438.5600000000002</v>
      </c>
      <c r="AD467" s="53">
        <f t="shared" si="144"/>
        <v>0.53624387734561962</v>
      </c>
      <c r="AE467" s="10"/>
    </row>
    <row r="468" spans="1:31" x14ac:dyDescent="0.25">
      <c r="A468" s="14" t="s">
        <v>109</v>
      </c>
      <c r="C468" s="61" t="str">
        <f t="shared" si="142"/>
        <v>C100037</v>
      </c>
      <c r="F468" s="8" t="str">
        <f>"C100032"</f>
        <v>C100032</v>
      </c>
      <c r="G468" s="9" t="str">
        <f>"Clip-on Clock"</f>
        <v>Clip-on Clock</v>
      </c>
      <c r="H468" s="47"/>
      <c r="I468" s="47"/>
      <c r="J468" s="23">
        <v>1111.49</v>
      </c>
      <c r="K468" s="25">
        <v>145</v>
      </c>
      <c r="L468" s="24">
        <v>603.21</v>
      </c>
      <c r="M468" s="24">
        <f>J468-L468</f>
        <v>508.28</v>
      </c>
      <c r="N468" s="53">
        <f>IF(J468&lt;&gt;0,M468/J468,"")</f>
        <v>0.45729606204284334</v>
      </c>
      <c r="O468" s="23">
        <v>0</v>
      </c>
      <c r="P468" s="25">
        <v>0</v>
      </c>
      <c r="Q468" s="24">
        <v>0</v>
      </c>
      <c r="R468" s="24">
        <f>O468-Q468</f>
        <v>0</v>
      </c>
      <c r="S468" s="53" t="str">
        <f>IF(O468&lt;&gt;0,R468/O468,"")</f>
        <v/>
      </c>
      <c r="T468" s="10"/>
      <c r="U468" s="23">
        <v>0</v>
      </c>
      <c r="V468" s="25">
        <v>0</v>
      </c>
      <c r="W468" s="24">
        <v>0</v>
      </c>
      <c r="X468" s="24">
        <f>U468-W468</f>
        <v>0</v>
      </c>
      <c r="Y468" s="53" t="str">
        <f>IF(U468&lt;&gt;0,X468/U468,"")</f>
        <v/>
      </c>
      <c r="Z468" s="23">
        <v>0</v>
      </c>
      <c r="AA468" s="25">
        <v>0</v>
      </c>
      <c r="AB468" s="24">
        <v>0</v>
      </c>
      <c r="AC468" s="24">
        <f t="shared" si="143"/>
        <v>0</v>
      </c>
      <c r="AD468" s="53" t="str">
        <f t="shared" si="144"/>
        <v/>
      </c>
      <c r="AE468" s="10"/>
    </row>
    <row r="469" spans="1:31" x14ac:dyDescent="0.25">
      <c r="A469" s="14" t="s">
        <v>109</v>
      </c>
      <c r="C469" s="61" t="str">
        <f t="shared" si="142"/>
        <v>C100037</v>
      </c>
      <c r="F469" s="8" t="str">
        <f>"C100034"</f>
        <v>C100034</v>
      </c>
      <c r="G469" s="9" t="str">
        <f>"Clock &amp; Pen Holder"</f>
        <v>Clock &amp; Pen Holder</v>
      </c>
      <c r="H469" s="47"/>
      <c r="I469" s="47"/>
      <c r="J469" s="23">
        <v>737.74</v>
      </c>
      <c r="K469" s="25">
        <v>48</v>
      </c>
      <c r="L469" s="24">
        <v>474.24</v>
      </c>
      <c r="M469" s="24">
        <f>J469-L469</f>
        <v>263.5</v>
      </c>
      <c r="N469" s="53">
        <f>IF(J469&lt;&gt;0,M469/J469,"")</f>
        <v>0.35717190338059479</v>
      </c>
      <c r="O469" s="23">
        <v>15.21</v>
      </c>
      <c r="P469" s="25">
        <v>1</v>
      </c>
      <c r="Q469" s="24">
        <v>9.8800000000000008</v>
      </c>
      <c r="R469" s="24">
        <f>O469-Q469</f>
        <v>5.33</v>
      </c>
      <c r="S469" s="53">
        <f>IF(O469&lt;&gt;0,R469/O469,"")</f>
        <v>0.3504273504273504</v>
      </c>
      <c r="T469" s="10"/>
      <c r="U469" s="23">
        <v>0</v>
      </c>
      <c r="V469" s="25">
        <v>0</v>
      </c>
      <c r="W469" s="24">
        <v>0</v>
      </c>
      <c r="X469" s="24">
        <f>U469-W469</f>
        <v>0</v>
      </c>
      <c r="Y469" s="53" t="str">
        <f>IF(U469&lt;&gt;0,X469/U469,"")</f>
        <v/>
      </c>
      <c r="Z469" s="23">
        <v>2190.17</v>
      </c>
      <c r="AA469" s="25">
        <v>144</v>
      </c>
      <c r="AB469" s="24">
        <v>1422.71</v>
      </c>
      <c r="AC469" s="24">
        <f t="shared" si="143"/>
        <v>767.46</v>
      </c>
      <c r="AD469" s="53">
        <f t="shared" si="144"/>
        <v>0.35041115529844713</v>
      </c>
      <c r="AE469" s="10"/>
    </row>
    <row r="470" spans="1:31" x14ac:dyDescent="0.25">
      <c r="A470" s="14" t="s">
        <v>109</v>
      </c>
      <c r="C470" s="61" t="str">
        <f t="shared" si="142"/>
        <v>C100037</v>
      </c>
      <c r="F470" s="8" t="str">
        <f>"C100035"</f>
        <v>C100035</v>
      </c>
      <c r="G470" s="9" t="str">
        <f>"Calculator &amp; World Time Clock"</f>
        <v>Calculator &amp; World Time Clock</v>
      </c>
      <c r="H470" s="47"/>
      <c r="I470" s="47"/>
      <c r="J470" s="23">
        <v>818.43999999999994</v>
      </c>
      <c r="K470" s="25">
        <v>290</v>
      </c>
      <c r="L470" s="24">
        <v>568.4</v>
      </c>
      <c r="M470" s="24">
        <f>J470-L470</f>
        <v>250.03999999999996</v>
      </c>
      <c r="N470" s="53">
        <f>IF(J470&lt;&gt;0,M470/J470,"")</f>
        <v>0.30550803968525486</v>
      </c>
      <c r="O470" s="23">
        <v>0</v>
      </c>
      <c r="P470" s="25">
        <v>0</v>
      </c>
      <c r="Q470" s="24">
        <v>0</v>
      </c>
      <c r="R470" s="24">
        <f>O470-Q470</f>
        <v>0</v>
      </c>
      <c r="S470" s="53" t="str">
        <f>IF(O470&lt;&gt;0,R470/O470,"")</f>
        <v/>
      </c>
      <c r="T470" s="10"/>
      <c r="U470" s="23">
        <v>409.30999999999995</v>
      </c>
      <c r="V470" s="25">
        <v>145</v>
      </c>
      <c r="W470" s="24">
        <v>284.2</v>
      </c>
      <c r="X470" s="24">
        <f>U470-W470</f>
        <v>125.10999999999996</v>
      </c>
      <c r="Y470" s="53">
        <f>IF(U470&lt;&gt;0,X470/U470,"")</f>
        <v>0.30566074613373723</v>
      </c>
      <c r="Z470" s="23">
        <v>0</v>
      </c>
      <c r="AA470" s="25">
        <v>0</v>
      </c>
      <c r="AB470" s="24">
        <v>0</v>
      </c>
      <c r="AC470" s="24">
        <f t="shared" si="143"/>
        <v>0</v>
      </c>
      <c r="AD470" s="53" t="str">
        <f t="shared" si="144"/>
        <v/>
      </c>
      <c r="AE470" s="10"/>
    </row>
    <row r="471" spans="1:31" x14ac:dyDescent="0.25">
      <c r="A471" s="14" t="s">
        <v>109</v>
      </c>
      <c r="C471" s="61" t="str">
        <f t="shared" si="142"/>
        <v>C100037</v>
      </c>
      <c r="F471" s="8" t="str">
        <f>"C100036"</f>
        <v>C100036</v>
      </c>
      <c r="G471" s="9" t="str">
        <f>"Clock &amp; Business Card Holder"</f>
        <v>Clock &amp; Business Card Holder</v>
      </c>
      <c r="H471" s="47"/>
      <c r="I471" s="47"/>
      <c r="J471" s="23">
        <v>1259.3300000000002</v>
      </c>
      <c r="K471" s="25">
        <v>151</v>
      </c>
      <c r="L471" s="24">
        <v>706.68999999999994</v>
      </c>
      <c r="M471" s="24">
        <f>J471-L471</f>
        <v>552.64000000000021</v>
      </c>
      <c r="N471" s="53">
        <f>IF(J471&lt;&gt;0,M471/J471,"")</f>
        <v>0.4388365241834945</v>
      </c>
      <c r="O471" s="23">
        <v>0</v>
      </c>
      <c r="P471" s="25">
        <v>0</v>
      </c>
      <c r="Q471" s="24">
        <v>0</v>
      </c>
      <c r="R471" s="24">
        <f>O471-Q471</f>
        <v>0</v>
      </c>
      <c r="S471" s="53" t="str">
        <f>IF(O471&lt;&gt;0,R471/O471,"")</f>
        <v/>
      </c>
      <c r="T471" s="10"/>
      <c r="U471" s="23">
        <v>0</v>
      </c>
      <c r="V471" s="25">
        <v>0</v>
      </c>
      <c r="W471" s="24">
        <v>0</v>
      </c>
      <c r="X471" s="24">
        <f>U471-W471</f>
        <v>0</v>
      </c>
      <c r="Y471" s="53" t="str">
        <f>IF(U471&lt;&gt;0,X471/U471,"")</f>
        <v/>
      </c>
      <c r="Z471" s="23">
        <v>0</v>
      </c>
      <c r="AA471" s="25">
        <v>0</v>
      </c>
      <c r="AB471" s="24">
        <v>0</v>
      </c>
      <c r="AC471" s="24">
        <f t="shared" si="143"/>
        <v>0</v>
      </c>
      <c r="AD471" s="53" t="str">
        <f t="shared" si="144"/>
        <v/>
      </c>
      <c r="AE471" s="10"/>
    </row>
    <row r="472" spans="1:31" x14ac:dyDescent="0.25">
      <c r="A472" s="14" t="s">
        <v>109</v>
      </c>
      <c r="C472" s="61" t="str">
        <f t="shared" si="142"/>
        <v>C100037</v>
      </c>
      <c r="F472" s="8" t="str">
        <f>"C100037"</f>
        <v>C100037</v>
      </c>
      <c r="G472" s="9" t="str">
        <f>"World Time Travel Alarm"</f>
        <v>World Time Travel Alarm</v>
      </c>
      <c r="H472" s="47"/>
      <c r="I472" s="47"/>
      <c r="J472" s="23">
        <v>51.96</v>
      </c>
      <c r="K472" s="25">
        <v>6</v>
      </c>
      <c r="L472" s="24">
        <v>32.4</v>
      </c>
      <c r="M472" s="24">
        <f>J472-L472</f>
        <v>19.560000000000002</v>
      </c>
      <c r="N472" s="53">
        <f>IF(J472&lt;&gt;0,M472/J472,"")</f>
        <v>0.37644341801385683</v>
      </c>
      <c r="O472" s="23">
        <v>0</v>
      </c>
      <c r="P472" s="25">
        <v>0</v>
      </c>
      <c r="Q472" s="24">
        <v>0</v>
      </c>
      <c r="R472" s="24">
        <f>O472-Q472</f>
        <v>0</v>
      </c>
      <c r="S472" s="53" t="str">
        <f>IF(O472&lt;&gt;0,R472/O472,"")</f>
        <v/>
      </c>
      <c r="T472" s="10"/>
      <c r="U472" s="23">
        <v>17.59</v>
      </c>
      <c r="V472" s="25">
        <v>2</v>
      </c>
      <c r="W472" s="24">
        <v>10.8</v>
      </c>
      <c r="X472" s="24">
        <f>U472-W472</f>
        <v>6.7899999999999991</v>
      </c>
      <c r="Y472" s="53">
        <f>IF(U472&lt;&gt;0,X472/U472,"")</f>
        <v>0.38601478112563953</v>
      </c>
      <c r="Z472" s="23">
        <v>0</v>
      </c>
      <c r="AA472" s="25">
        <v>0</v>
      </c>
      <c r="AB472" s="24">
        <v>0</v>
      </c>
      <c r="AC472" s="24">
        <f t="shared" si="143"/>
        <v>0</v>
      </c>
      <c r="AD472" s="53" t="str">
        <f t="shared" si="144"/>
        <v/>
      </c>
      <c r="AE472" s="10"/>
    </row>
    <row r="473" spans="1:31" x14ac:dyDescent="0.25">
      <c r="A473" s="14" t="s">
        <v>109</v>
      </c>
      <c r="C473" s="61" t="str">
        <f t="shared" si="142"/>
        <v>C100037</v>
      </c>
      <c r="F473" s="8" t="str">
        <f>"C100038"</f>
        <v>C100038</v>
      </c>
      <c r="G473" s="9" t="str">
        <f>"Foldable Travel Speakers"</f>
        <v>Foldable Travel Speakers</v>
      </c>
      <c r="H473" s="47"/>
      <c r="I473" s="47"/>
      <c r="J473" s="23">
        <v>680.1</v>
      </c>
      <c r="K473" s="25">
        <v>147</v>
      </c>
      <c r="L473" s="24">
        <v>468.91999999999996</v>
      </c>
      <c r="M473" s="24">
        <f>J473-L473</f>
        <v>211.18000000000006</v>
      </c>
      <c r="N473" s="53">
        <f>IF(J473&lt;&gt;0,M473/J473,"")</f>
        <v>0.31051315982943695</v>
      </c>
      <c r="O473" s="23">
        <v>-4.63</v>
      </c>
      <c r="P473" s="25">
        <v>-1</v>
      </c>
      <c r="Q473" s="24">
        <v>-3.19</v>
      </c>
      <c r="R473" s="24">
        <f>O473-Q473</f>
        <v>-1.44</v>
      </c>
      <c r="S473" s="53">
        <f>IF(O473&lt;&gt;0,R473/O473,"")</f>
        <v>0.31101511879049676</v>
      </c>
      <c r="T473" s="10"/>
      <c r="U473" s="23">
        <v>0</v>
      </c>
      <c r="V473" s="25">
        <v>0</v>
      </c>
      <c r="W473" s="24">
        <v>0</v>
      </c>
      <c r="X473" s="24">
        <f>U473-W473</f>
        <v>0</v>
      </c>
      <c r="Y473" s="53" t="str">
        <f>IF(U473&lt;&gt;0,X473/U473,"")</f>
        <v/>
      </c>
      <c r="Z473" s="23">
        <v>225.58</v>
      </c>
      <c r="AA473" s="25">
        <v>48</v>
      </c>
      <c r="AB473" s="24">
        <v>153.12</v>
      </c>
      <c r="AC473" s="24">
        <f t="shared" si="143"/>
        <v>72.460000000000008</v>
      </c>
      <c r="AD473" s="53">
        <f t="shared" si="144"/>
        <v>0.3212164198953808</v>
      </c>
      <c r="AE473" s="10"/>
    </row>
    <row r="474" spans="1:31" x14ac:dyDescent="0.25">
      <c r="A474" s="14" t="s">
        <v>109</v>
      </c>
      <c r="C474" s="61" t="str">
        <f t="shared" si="142"/>
        <v>C100037</v>
      </c>
      <c r="F474" s="8" t="str">
        <f>"C100039"</f>
        <v>C100039</v>
      </c>
      <c r="G474" s="9" t="str">
        <f>"Portable Speaker &amp; MP3 Dock"</f>
        <v>Portable Speaker &amp; MP3 Dock</v>
      </c>
      <c r="H474" s="47"/>
      <c r="I474" s="47"/>
      <c r="J474" s="23">
        <v>692.35</v>
      </c>
      <c r="K474" s="25">
        <v>48</v>
      </c>
      <c r="L474" s="24">
        <v>403.2</v>
      </c>
      <c r="M474" s="24">
        <f>J474-L474</f>
        <v>289.15000000000003</v>
      </c>
      <c r="N474" s="53">
        <f>IF(J474&lt;&gt;0,M474/J474,"")</f>
        <v>0.41763558893623171</v>
      </c>
      <c r="O474" s="23">
        <v>0</v>
      </c>
      <c r="P474" s="25">
        <v>0</v>
      </c>
      <c r="Q474" s="24">
        <v>0</v>
      </c>
      <c r="R474" s="24">
        <f>O474-Q474</f>
        <v>0</v>
      </c>
      <c r="S474" s="53" t="str">
        <f>IF(O474&lt;&gt;0,R474/O474,"")</f>
        <v/>
      </c>
      <c r="T474" s="10"/>
      <c r="U474" s="23">
        <v>0</v>
      </c>
      <c r="V474" s="25">
        <v>0</v>
      </c>
      <c r="W474" s="24">
        <v>0</v>
      </c>
      <c r="X474" s="24">
        <f>U474-W474</f>
        <v>0</v>
      </c>
      <c r="Y474" s="53" t="str">
        <f>IF(U474&lt;&gt;0,X474/U474,"")</f>
        <v/>
      </c>
      <c r="Z474" s="23">
        <v>2112.87</v>
      </c>
      <c r="AA474" s="25">
        <v>145</v>
      </c>
      <c r="AB474" s="24">
        <v>1218</v>
      </c>
      <c r="AC474" s="24">
        <f t="shared" si="143"/>
        <v>894.86999999999989</v>
      </c>
      <c r="AD474" s="53">
        <f t="shared" si="144"/>
        <v>0.42353291967797352</v>
      </c>
      <c r="AE474" s="10"/>
    </row>
    <row r="475" spans="1:31" x14ac:dyDescent="0.25">
      <c r="A475" s="14" t="s">
        <v>109</v>
      </c>
      <c r="C475" s="61" t="str">
        <f t="shared" si="142"/>
        <v>C100037</v>
      </c>
      <c r="F475" s="8" t="str">
        <f>"C100040"</f>
        <v>C100040</v>
      </c>
      <c r="G475" s="9" t="str">
        <f>"Channel Speaker System"</f>
        <v>Channel Speaker System</v>
      </c>
      <c r="H475" s="47"/>
      <c r="I475" s="47"/>
      <c r="J475" s="23">
        <v>6827.7300000000005</v>
      </c>
      <c r="K475" s="25">
        <v>168</v>
      </c>
      <c r="L475" s="24">
        <v>3489.33</v>
      </c>
      <c r="M475" s="24">
        <f>J475-L475</f>
        <v>3338.4000000000005</v>
      </c>
      <c r="N475" s="53">
        <f>IF(J475&lt;&gt;0,M475/J475,"")</f>
        <v>0.48894727823156459</v>
      </c>
      <c r="O475" s="23">
        <v>7653.5</v>
      </c>
      <c r="P475" s="25">
        <v>192</v>
      </c>
      <c r="Q475" s="24">
        <v>3987.7999999999997</v>
      </c>
      <c r="R475" s="24">
        <f>O475-Q475</f>
        <v>3665.7000000000003</v>
      </c>
      <c r="S475" s="53">
        <f>IF(O475&lt;&gt;0,R475/O475,"")</f>
        <v>0.47895733977918603</v>
      </c>
      <c r="T475" s="10"/>
      <c r="U475" s="23">
        <v>0</v>
      </c>
      <c r="V475" s="25">
        <v>0</v>
      </c>
      <c r="W475" s="24">
        <v>0</v>
      </c>
      <c r="X475" s="24">
        <f>U475-W475</f>
        <v>0</v>
      </c>
      <c r="Y475" s="53" t="str">
        <f>IF(U475&lt;&gt;0,X475/U475,"")</f>
        <v/>
      </c>
      <c r="Z475" s="23">
        <v>1973.8000000000002</v>
      </c>
      <c r="AA475" s="25">
        <v>48</v>
      </c>
      <c r="AB475" s="24">
        <v>996.94999999999993</v>
      </c>
      <c r="AC475" s="24">
        <f t="shared" si="143"/>
        <v>976.85000000000025</v>
      </c>
      <c r="AD475" s="53">
        <f t="shared" si="144"/>
        <v>0.49490829871314224</v>
      </c>
      <c r="AE475" s="10"/>
    </row>
    <row r="476" spans="1:31" x14ac:dyDescent="0.25">
      <c r="A476" s="14" t="s">
        <v>109</v>
      </c>
      <c r="C476" s="61" t="str">
        <f t="shared" si="142"/>
        <v>C100037</v>
      </c>
      <c r="F476" s="8" t="str">
        <f>"C100043"</f>
        <v>C100043</v>
      </c>
      <c r="G476" s="9" t="str">
        <f>"Pro-Travel Technology Set"</f>
        <v>Pro-Travel Technology Set</v>
      </c>
      <c r="H476" s="47"/>
      <c r="I476" s="47"/>
      <c r="J476" s="23">
        <v>568.98</v>
      </c>
      <c r="K476" s="25">
        <v>18</v>
      </c>
      <c r="L476" s="24">
        <v>270.01</v>
      </c>
      <c r="M476" s="24">
        <f>J476-L476</f>
        <v>298.97000000000003</v>
      </c>
      <c r="N476" s="53">
        <f>IF(J476&lt;&gt;0,M476/J476,"")</f>
        <v>0.525449049175718</v>
      </c>
      <c r="O476" s="23">
        <v>4473.3599999999997</v>
      </c>
      <c r="P476" s="25">
        <v>144</v>
      </c>
      <c r="Q476" s="24">
        <v>2160.0699999999997</v>
      </c>
      <c r="R476" s="24">
        <f>O476-Q476</f>
        <v>2313.29</v>
      </c>
      <c r="S476" s="53">
        <f>IF(O476&lt;&gt;0,R476/O476,"")</f>
        <v>0.51712582935422147</v>
      </c>
      <c r="T476" s="10"/>
      <c r="U476" s="23">
        <v>0</v>
      </c>
      <c r="V476" s="25">
        <v>0</v>
      </c>
      <c r="W476" s="24">
        <v>0</v>
      </c>
      <c r="X476" s="24">
        <f>U476-W476</f>
        <v>0</v>
      </c>
      <c r="Y476" s="53" t="str">
        <f>IF(U476&lt;&gt;0,X476/U476,"")</f>
        <v/>
      </c>
      <c r="Z476" s="23">
        <v>4646.67</v>
      </c>
      <c r="AA476" s="25">
        <v>145</v>
      </c>
      <c r="AB476" s="24">
        <v>2175.0699999999997</v>
      </c>
      <c r="AC476" s="24">
        <f t="shared" si="143"/>
        <v>2471.6000000000004</v>
      </c>
      <c r="AD476" s="53">
        <f t="shared" si="144"/>
        <v>0.53190779633587071</v>
      </c>
      <c r="AE476" s="10"/>
    </row>
    <row r="477" spans="1:31" x14ac:dyDescent="0.25">
      <c r="A477" s="14" t="s">
        <v>109</v>
      </c>
      <c r="C477" s="61" t="str">
        <f t="shared" si="142"/>
        <v>C100037</v>
      </c>
      <c r="F477" s="8" t="str">
        <f>"C100044"</f>
        <v>C100044</v>
      </c>
      <c r="G477" s="9" t="str">
        <f>"VOIP Headset with Mic"</f>
        <v>VOIP Headset with Mic</v>
      </c>
      <c r="H477" s="47"/>
      <c r="I477" s="47"/>
      <c r="J477" s="23">
        <v>610.39</v>
      </c>
      <c r="K477" s="25">
        <v>289</v>
      </c>
      <c r="L477" s="24">
        <v>346.9</v>
      </c>
      <c r="M477" s="24">
        <f>J477-L477</f>
        <v>263.49</v>
      </c>
      <c r="N477" s="53">
        <f>IF(J477&lt;&gt;0,M477/J477,"")</f>
        <v>0.43167483084585268</v>
      </c>
      <c r="O477" s="23">
        <v>25.08</v>
      </c>
      <c r="P477" s="25">
        <v>12</v>
      </c>
      <c r="Q477" s="24">
        <v>14.4</v>
      </c>
      <c r="R477" s="24">
        <f>O477-Q477</f>
        <v>10.679999999999998</v>
      </c>
      <c r="S477" s="53">
        <f>IF(O477&lt;&gt;0,R477/O477,"")</f>
        <v>0.42583732057416263</v>
      </c>
      <c r="T477" s="10"/>
      <c r="U477" s="23">
        <v>357.97999999999996</v>
      </c>
      <c r="V477" s="25">
        <v>169</v>
      </c>
      <c r="W477" s="24">
        <v>202.86</v>
      </c>
      <c r="X477" s="24">
        <f>U477-W477</f>
        <v>155.11999999999995</v>
      </c>
      <c r="Y477" s="53">
        <f>IF(U477&lt;&gt;0,X477/U477,"")</f>
        <v>0.43332029722330845</v>
      </c>
      <c r="Z477" s="23">
        <v>327.71999999999997</v>
      </c>
      <c r="AA477" s="25">
        <v>152</v>
      </c>
      <c r="AB477" s="24">
        <v>182.45000000000002</v>
      </c>
      <c r="AC477" s="24">
        <f t="shared" si="143"/>
        <v>145.26999999999995</v>
      </c>
      <c r="AD477" s="53">
        <f t="shared" si="144"/>
        <v>0.4432747467350176</v>
      </c>
      <c r="AE477" s="10"/>
    </row>
    <row r="478" spans="1:31" x14ac:dyDescent="0.25">
      <c r="A478" s="14" t="s">
        <v>109</v>
      </c>
      <c r="C478" s="61" t="str">
        <f t="shared" si="142"/>
        <v>C100037</v>
      </c>
      <c r="F478" s="8" t="str">
        <f>"C100045"</f>
        <v>C100045</v>
      </c>
      <c r="G478" s="9" t="str">
        <f>"Wireless Headphones"</f>
        <v>Wireless Headphones</v>
      </c>
      <c r="H478" s="47"/>
      <c r="I478" s="47"/>
      <c r="J478" s="23">
        <v>4462.38</v>
      </c>
      <c r="K478" s="25">
        <v>168</v>
      </c>
      <c r="L478" s="24">
        <v>2318.4699999999998</v>
      </c>
      <c r="M478" s="24">
        <f>J478-L478</f>
        <v>2143.9100000000003</v>
      </c>
      <c r="N478" s="53">
        <f>IF(J478&lt;&gt;0,M478/J478,"")</f>
        <v>0.48044093062446502</v>
      </c>
      <c r="O478" s="23">
        <v>0</v>
      </c>
      <c r="P478" s="25">
        <v>0</v>
      </c>
      <c r="Q478" s="24">
        <v>0</v>
      </c>
      <c r="R478" s="24">
        <f>O478-Q478</f>
        <v>0</v>
      </c>
      <c r="S478" s="53" t="str">
        <f>IF(O478&lt;&gt;0,R478/O478,"")</f>
        <v/>
      </c>
      <c r="T478" s="10"/>
      <c r="U478" s="23">
        <v>334.34000000000003</v>
      </c>
      <c r="V478" s="25">
        <v>12</v>
      </c>
      <c r="W478" s="24">
        <v>165.6</v>
      </c>
      <c r="X478" s="24">
        <f>U478-W478</f>
        <v>168.74000000000004</v>
      </c>
      <c r="Y478" s="53">
        <f>IF(U478&lt;&gt;0,X478/U478,"")</f>
        <v>0.50469581862774426</v>
      </c>
      <c r="Z478" s="23">
        <v>0</v>
      </c>
      <c r="AA478" s="25">
        <v>0</v>
      </c>
      <c r="AB478" s="24">
        <v>0</v>
      </c>
      <c r="AC478" s="24">
        <f t="shared" si="143"/>
        <v>0</v>
      </c>
      <c r="AD478" s="53" t="str">
        <f t="shared" si="144"/>
        <v/>
      </c>
      <c r="AE478" s="10"/>
    </row>
    <row r="479" spans="1:31" x14ac:dyDescent="0.25">
      <c r="A479" s="14" t="s">
        <v>109</v>
      </c>
      <c r="C479" s="61" t="str">
        <f t="shared" si="142"/>
        <v>C100037</v>
      </c>
      <c r="F479" s="8" t="str">
        <f>"C100047"</f>
        <v>C100047</v>
      </c>
      <c r="G479" s="9" t="str">
        <f>"2GB MP3 Player"</f>
        <v>2GB MP3 Player</v>
      </c>
      <c r="H479" s="47"/>
      <c r="I479" s="47"/>
      <c r="J479" s="23">
        <v>3890.0699999999997</v>
      </c>
      <c r="K479" s="25">
        <v>144</v>
      </c>
      <c r="L479" s="24">
        <v>2397.54</v>
      </c>
      <c r="M479" s="24">
        <f>J479-L479</f>
        <v>1492.5299999999997</v>
      </c>
      <c r="N479" s="53">
        <f>IF(J479&lt;&gt;0,M479/J479,"")</f>
        <v>0.38367690041567371</v>
      </c>
      <c r="O479" s="23">
        <v>0</v>
      </c>
      <c r="P479" s="25">
        <v>0</v>
      </c>
      <c r="Q479" s="24">
        <v>0</v>
      </c>
      <c r="R479" s="24">
        <f>O479-Q479</f>
        <v>0</v>
      </c>
      <c r="S479" s="53" t="str">
        <f>IF(O479&lt;&gt;0,R479/O479,"")</f>
        <v/>
      </c>
      <c r="T479" s="10"/>
      <c r="U479" s="23">
        <v>3890.0699999999997</v>
      </c>
      <c r="V479" s="25">
        <v>144</v>
      </c>
      <c r="W479" s="24">
        <v>2397.54</v>
      </c>
      <c r="X479" s="24">
        <f>U479-W479</f>
        <v>1492.5299999999997</v>
      </c>
      <c r="Y479" s="53">
        <f>IF(U479&lt;&gt;0,X479/U479,"")</f>
        <v>0.38367690041567371</v>
      </c>
      <c r="Z479" s="23">
        <v>27.58</v>
      </c>
      <c r="AA479" s="25">
        <v>1</v>
      </c>
      <c r="AB479" s="24">
        <v>16.649999999999999</v>
      </c>
      <c r="AC479" s="24">
        <f t="shared" si="143"/>
        <v>10.93</v>
      </c>
      <c r="AD479" s="53">
        <f t="shared" si="144"/>
        <v>0.39630166787527193</v>
      </c>
      <c r="AE479" s="10"/>
    </row>
    <row r="480" spans="1:31" x14ac:dyDescent="0.25">
      <c r="A480" s="14" t="s">
        <v>109</v>
      </c>
      <c r="C480" s="61" t="str">
        <f t="shared" si="142"/>
        <v>C100037</v>
      </c>
      <c r="F480" s="8" t="str">
        <f>"C100048"</f>
        <v>C100048</v>
      </c>
      <c r="G480" s="9" t="str">
        <f>"USB MP3 Player"</f>
        <v>USB MP3 Player</v>
      </c>
      <c r="H480" s="47"/>
      <c r="I480" s="47"/>
      <c r="J480" s="23">
        <v>24</v>
      </c>
      <c r="K480" s="25">
        <v>2</v>
      </c>
      <c r="L480" s="24">
        <v>15.4</v>
      </c>
      <c r="M480" s="24">
        <f>J480-L480</f>
        <v>8.6</v>
      </c>
      <c r="N480" s="53">
        <f>IF(J480&lt;&gt;0,M480/J480,"")</f>
        <v>0.35833333333333334</v>
      </c>
      <c r="O480" s="23">
        <v>287.96000000000004</v>
      </c>
      <c r="P480" s="25">
        <v>24</v>
      </c>
      <c r="Q480" s="24">
        <v>184.8</v>
      </c>
      <c r="R480" s="24">
        <f>O480-Q480</f>
        <v>103.16000000000003</v>
      </c>
      <c r="S480" s="53">
        <f>IF(O480&lt;&gt;0,R480/O480,"")</f>
        <v>0.35824420058341438</v>
      </c>
      <c r="T480" s="10"/>
      <c r="U480" s="23">
        <v>0</v>
      </c>
      <c r="V480" s="25">
        <v>0</v>
      </c>
      <c r="W480" s="24">
        <v>0</v>
      </c>
      <c r="X480" s="24">
        <f>U480-W480</f>
        <v>0</v>
      </c>
      <c r="Y480" s="53" t="str">
        <f>IF(U480&lt;&gt;0,X480/U480,"")</f>
        <v/>
      </c>
      <c r="Z480" s="23">
        <v>12.38</v>
      </c>
      <c r="AA480" s="25">
        <v>1</v>
      </c>
      <c r="AB480" s="24">
        <v>7.7</v>
      </c>
      <c r="AC480" s="24">
        <f t="shared" si="143"/>
        <v>4.6800000000000006</v>
      </c>
      <c r="AD480" s="53">
        <f t="shared" si="144"/>
        <v>0.37802907915993539</v>
      </c>
      <c r="AE480" s="10"/>
    </row>
    <row r="481" spans="1:31" x14ac:dyDescent="0.25">
      <c r="A481" s="14" t="s">
        <v>109</v>
      </c>
      <c r="C481" s="61" t="str">
        <f t="shared" si="142"/>
        <v>C100037</v>
      </c>
      <c r="F481" s="8" t="str">
        <f>"C100049"</f>
        <v>C100049</v>
      </c>
      <c r="G481" s="9" t="str">
        <f>"4GB MP3 Player"</f>
        <v>4GB MP3 Player</v>
      </c>
      <c r="H481" s="47"/>
      <c r="I481" s="47"/>
      <c r="J481" s="23">
        <v>6628.04</v>
      </c>
      <c r="K481" s="25">
        <v>433</v>
      </c>
      <c r="L481" s="24">
        <v>4069.93</v>
      </c>
      <c r="M481" s="24">
        <f>J481-L481</f>
        <v>2558.11</v>
      </c>
      <c r="N481" s="53">
        <f>IF(J481&lt;&gt;0,M481/J481,"")</f>
        <v>0.38595271000175019</v>
      </c>
      <c r="O481" s="23">
        <v>0</v>
      </c>
      <c r="P481" s="25">
        <v>0</v>
      </c>
      <c r="Q481" s="24">
        <v>0</v>
      </c>
      <c r="R481" s="24">
        <f>O481-Q481</f>
        <v>0</v>
      </c>
      <c r="S481" s="53" t="str">
        <f>IF(O481&lt;&gt;0,R481/O481,"")</f>
        <v/>
      </c>
      <c r="T481" s="10"/>
      <c r="U481" s="23">
        <v>0</v>
      </c>
      <c r="V481" s="25">
        <v>0</v>
      </c>
      <c r="W481" s="24">
        <v>0</v>
      </c>
      <c r="X481" s="24">
        <f>U481-W481</f>
        <v>0</v>
      </c>
      <c r="Y481" s="53" t="str">
        <f>IF(U481&lt;&gt;0,X481/U481,"")</f>
        <v/>
      </c>
      <c r="Z481" s="23">
        <v>2242.4</v>
      </c>
      <c r="AA481" s="25">
        <v>144</v>
      </c>
      <c r="AB481" s="24">
        <v>1353.51</v>
      </c>
      <c r="AC481" s="24">
        <f t="shared" si="143"/>
        <v>888.8900000000001</v>
      </c>
      <c r="AD481" s="53">
        <f t="shared" si="144"/>
        <v>0.396401177310025</v>
      </c>
      <c r="AE481" s="10"/>
    </row>
    <row r="482" spans="1:31" x14ac:dyDescent="0.25">
      <c r="A482" s="14" t="s">
        <v>109</v>
      </c>
      <c r="C482" s="61" t="str">
        <f t="shared" si="142"/>
        <v>C100037</v>
      </c>
      <c r="F482" s="8" t="str">
        <f>"C100050"</f>
        <v>C100050</v>
      </c>
      <c r="G482" s="9" t="str">
        <f>"Clip-on MP3 Player"</f>
        <v>Clip-on MP3 Player</v>
      </c>
      <c r="H482" s="47"/>
      <c r="I482" s="47"/>
      <c r="J482" s="23">
        <v>2597.5300000000002</v>
      </c>
      <c r="K482" s="25">
        <v>144</v>
      </c>
      <c r="L482" s="24">
        <v>1235.48</v>
      </c>
      <c r="M482" s="24">
        <f>J482-L482</f>
        <v>1362.0500000000002</v>
      </c>
      <c r="N482" s="53">
        <f>IF(J482&lt;&gt;0,M482/J482,"")</f>
        <v>0.52436352996885505</v>
      </c>
      <c r="O482" s="23">
        <v>-18.04</v>
      </c>
      <c r="P482" s="25">
        <v>-1</v>
      </c>
      <c r="Q482" s="24">
        <v>-8.58</v>
      </c>
      <c r="R482" s="24">
        <f>O482-Q482</f>
        <v>-9.4599999999999991</v>
      </c>
      <c r="S482" s="53">
        <f>IF(O482&lt;&gt;0,R482/O482,"")</f>
        <v>0.52439024390243905</v>
      </c>
      <c r="T482" s="10"/>
      <c r="U482" s="23">
        <v>0</v>
      </c>
      <c r="V482" s="25">
        <v>0</v>
      </c>
      <c r="W482" s="24">
        <v>0</v>
      </c>
      <c r="X482" s="24">
        <f>U482-W482</f>
        <v>0</v>
      </c>
      <c r="Y482" s="53" t="str">
        <f>IF(U482&lt;&gt;0,X482/U482,"")</f>
        <v/>
      </c>
      <c r="Z482" s="23">
        <v>2570.4699999999998</v>
      </c>
      <c r="AA482" s="25">
        <v>144</v>
      </c>
      <c r="AB482" s="24">
        <v>1235.48</v>
      </c>
      <c r="AC482" s="24">
        <f t="shared" si="143"/>
        <v>1334.9899999999998</v>
      </c>
      <c r="AD482" s="53">
        <f t="shared" si="144"/>
        <v>0.51935638229584469</v>
      </c>
      <c r="AE482" s="10"/>
    </row>
    <row r="483" spans="1:31" x14ac:dyDescent="0.25">
      <c r="A483" s="14" t="s">
        <v>109</v>
      </c>
      <c r="C483" s="61" t="str">
        <f t="shared" si="142"/>
        <v>C100037</v>
      </c>
      <c r="F483" s="8" t="str">
        <f>"C100051"</f>
        <v>C100051</v>
      </c>
      <c r="G483" s="9" t="str">
        <f>"Bamboo Digital Picutre Frame"</f>
        <v>Bamboo Digital Picutre Frame</v>
      </c>
      <c r="H483" s="47"/>
      <c r="I483" s="47"/>
      <c r="J483" s="23">
        <v>0</v>
      </c>
      <c r="K483" s="25">
        <v>0</v>
      </c>
      <c r="L483" s="24">
        <v>0</v>
      </c>
      <c r="M483" s="24">
        <f>J483-L483</f>
        <v>0</v>
      </c>
      <c r="N483" s="53" t="str">
        <f>IF(J483&lt;&gt;0,M483/J483,"")</f>
        <v/>
      </c>
      <c r="O483" s="23">
        <v>-48.33</v>
      </c>
      <c r="P483" s="25">
        <v>-1</v>
      </c>
      <c r="Q483" s="24">
        <v>-24.32</v>
      </c>
      <c r="R483" s="24">
        <f>O483-Q483</f>
        <v>-24.009999999999998</v>
      </c>
      <c r="S483" s="53">
        <f>IF(O483&lt;&gt;0,R483/O483,"")</f>
        <v>0.4967928822677426</v>
      </c>
      <c r="T483" s="10"/>
      <c r="U483" s="23">
        <v>0</v>
      </c>
      <c r="V483" s="25">
        <v>0</v>
      </c>
      <c r="W483" s="24">
        <v>0</v>
      </c>
      <c r="X483" s="24">
        <f>U483-W483</f>
        <v>0</v>
      </c>
      <c r="Y483" s="53" t="str">
        <f>IF(U483&lt;&gt;0,X483/U483,"")</f>
        <v/>
      </c>
      <c r="Z483" s="23">
        <v>2953.9500000000003</v>
      </c>
      <c r="AA483" s="25">
        <v>60</v>
      </c>
      <c r="AB483" s="24">
        <v>1459.22</v>
      </c>
      <c r="AC483" s="24">
        <f t="shared" si="143"/>
        <v>1494.7300000000002</v>
      </c>
      <c r="AD483" s="53">
        <f t="shared" si="144"/>
        <v>0.50601059598165177</v>
      </c>
      <c r="AE483" s="10"/>
    </row>
    <row r="484" spans="1:31" x14ac:dyDescent="0.25">
      <c r="A484" s="14" t="s">
        <v>109</v>
      </c>
      <c r="C484" s="61" t="str">
        <f t="shared" si="142"/>
        <v>C100037</v>
      </c>
      <c r="F484" s="8" t="str">
        <f>"C100052"</f>
        <v>C100052</v>
      </c>
      <c r="G484" s="9" t="str">
        <f>"Black Digital Picture Frame"</f>
        <v>Black Digital Picture Frame</v>
      </c>
      <c r="H484" s="47"/>
      <c r="I484" s="47"/>
      <c r="J484" s="23">
        <v>6694.96</v>
      </c>
      <c r="K484" s="25">
        <v>144</v>
      </c>
      <c r="L484" s="24">
        <v>3214.11</v>
      </c>
      <c r="M484" s="24">
        <f>J484-L484</f>
        <v>3480.85</v>
      </c>
      <c r="N484" s="53">
        <f>IF(J484&lt;&gt;0,M484/J484,"")</f>
        <v>0.5199209554650065</v>
      </c>
      <c r="O484" s="23">
        <v>-46.489999999999995</v>
      </c>
      <c r="P484" s="25">
        <v>-1</v>
      </c>
      <c r="Q484" s="24">
        <v>-22.32</v>
      </c>
      <c r="R484" s="24">
        <f>O484-Q484</f>
        <v>-24.169999999999995</v>
      </c>
      <c r="S484" s="53">
        <f>IF(O484&lt;&gt;0,R484/O484,"")</f>
        <v>0.51989675198967511</v>
      </c>
      <c r="T484" s="10"/>
      <c r="U484" s="23">
        <v>47.459999999999994</v>
      </c>
      <c r="V484" s="25">
        <v>1</v>
      </c>
      <c r="W484" s="24">
        <v>22.32</v>
      </c>
      <c r="X484" s="24">
        <f>U484-W484</f>
        <v>25.139999999999993</v>
      </c>
      <c r="Y484" s="53">
        <f>IF(U484&lt;&gt;0,X484/U484,"")</f>
        <v>0.52970922882427296</v>
      </c>
      <c r="Z484" s="23">
        <v>6625.2199999999993</v>
      </c>
      <c r="AA484" s="25">
        <v>144</v>
      </c>
      <c r="AB484" s="24">
        <v>3214.11</v>
      </c>
      <c r="AC484" s="24">
        <f t="shared" si="143"/>
        <v>3411.1099999999992</v>
      </c>
      <c r="AD484" s="53">
        <f t="shared" si="144"/>
        <v>0.51486743081739161</v>
      </c>
      <c r="AE484" s="10"/>
    </row>
    <row r="485" spans="1:31" x14ac:dyDescent="0.25">
      <c r="A485" s="14" t="s">
        <v>109</v>
      </c>
      <c r="C485" s="61" t="str">
        <f t="shared" si="142"/>
        <v>C100037</v>
      </c>
      <c r="F485" s="8" t="str">
        <f>"C100053"</f>
        <v>C100053</v>
      </c>
      <c r="G485" s="9" t="str">
        <f>"Book Style Photo Frame &amp; Clock"</f>
        <v>Book Style Photo Frame &amp; Clock</v>
      </c>
      <c r="H485" s="47"/>
      <c r="I485" s="47"/>
      <c r="J485" s="23">
        <v>116.23</v>
      </c>
      <c r="K485" s="25">
        <v>6</v>
      </c>
      <c r="L485" s="24">
        <v>72.239999999999995</v>
      </c>
      <c r="M485" s="24">
        <f>J485-L485</f>
        <v>43.990000000000009</v>
      </c>
      <c r="N485" s="53">
        <f>IF(J485&lt;&gt;0,M485/J485,"")</f>
        <v>0.3784737159081133</v>
      </c>
      <c r="O485" s="23">
        <v>0</v>
      </c>
      <c r="P485" s="25">
        <v>0</v>
      </c>
      <c r="Q485" s="24">
        <v>0</v>
      </c>
      <c r="R485" s="24">
        <f>O485-Q485</f>
        <v>0</v>
      </c>
      <c r="S485" s="53" t="str">
        <f>IF(O485&lt;&gt;0,R485/O485,"")</f>
        <v/>
      </c>
      <c r="T485" s="10"/>
      <c r="U485" s="23">
        <v>979.84</v>
      </c>
      <c r="V485" s="25">
        <v>48</v>
      </c>
      <c r="W485" s="24">
        <v>577.91</v>
      </c>
      <c r="X485" s="24">
        <f>U485-W485</f>
        <v>401.93000000000006</v>
      </c>
      <c r="Y485" s="53">
        <f>IF(U485&lt;&gt;0,X485/U485,"")</f>
        <v>0.41019962442847818</v>
      </c>
      <c r="Z485" s="23">
        <v>3154.49</v>
      </c>
      <c r="AA485" s="25">
        <v>156</v>
      </c>
      <c r="AB485" s="24">
        <v>1878.2</v>
      </c>
      <c r="AC485" s="24">
        <f t="shared" si="143"/>
        <v>1276.2899999999997</v>
      </c>
      <c r="AD485" s="53">
        <f t="shared" si="144"/>
        <v>0.40459472054119677</v>
      </c>
      <c r="AE485" s="10"/>
    </row>
    <row r="486" spans="1:31" x14ac:dyDescent="0.25">
      <c r="A486" s="14" t="s">
        <v>109</v>
      </c>
      <c r="C486" s="61" t="str">
        <f t="shared" si="142"/>
        <v>C100037</v>
      </c>
      <c r="F486" s="8" t="str">
        <f>"C100054"</f>
        <v>C100054</v>
      </c>
      <c r="G486" s="9" t="str">
        <f>"Cherry Finish Photo Frame &amp; Clock"</f>
        <v>Cherry Finish Photo Frame &amp; Clock</v>
      </c>
      <c r="H486" s="47"/>
      <c r="I486" s="47"/>
      <c r="J486" s="23">
        <v>0</v>
      </c>
      <c r="K486" s="25">
        <v>0</v>
      </c>
      <c r="L486" s="24">
        <v>0</v>
      </c>
      <c r="M486" s="24">
        <f>J486-L486</f>
        <v>0</v>
      </c>
      <c r="N486" s="53" t="str">
        <f>IF(J486&lt;&gt;0,M486/J486,"")</f>
        <v/>
      </c>
      <c r="O486" s="23">
        <v>-20.260000000000002</v>
      </c>
      <c r="P486" s="25">
        <v>-1</v>
      </c>
      <c r="Q486" s="24">
        <v>-13.44</v>
      </c>
      <c r="R486" s="24">
        <f>O486-Q486</f>
        <v>-6.8200000000000021</v>
      </c>
      <c r="S486" s="53">
        <f>IF(O486&lt;&gt;0,R486/O486,"")</f>
        <v>0.33662388943731497</v>
      </c>
      <c r="T486" s="10"/>
      <c r="U486" s="23">
        <v>0</v>
      </c>
      <c r="V486" s="25">
        <v>0</v>
      </c>
      <c r="W486" s="24">
        <v>0</v>
      </c>
      <c r="X486" s="24">
        <f>U486-W486</f>
        <v>0</v>
      </c>
      <c r="Y486" s="53" t="str">
        <f>IF(U486&lt;&gt;0,X486/U486,"")</f>
        <v/>
      </c>
      <c r="Z486" s="23">
        <v>0</v>
      </c>
      <c r="AA486" s="25">
        <v>0</v>
      </c>
      <c r="AB486" s="24">
        <v>0</v>
      </c>
      <c r="AC486" s="24">
        <f t="shared" si="143"/>
        <v>0</v>
      </c>
      <c r="AD486" s="53" t="str">
        <f t="shared" si="144"/>
        <v/>
      </c>
      <c r="AE486" s="10"/>
    </row>
    <row r="487" spans="1:31" x14ac:dyDescent="0.25">
      <c r="A487" s="14" t="s">
        <v>109</v>
      </c>
      <c r="C487" s="61" t="str">
        <f t="shared" si="142"/>
        <v>C100037</v>
      </c>
      <c r="F487" s="8" t="str">
        <f>"C100055"</f>
        <v>C100055</v>
      </c>
      <c r="G487" s="9" t="str">
        <f>"Silver Plated Photo Frame"</f>
        <v>Silver Plated Photo Frame</v>
      </c>
      <c r="H487" s="47"/>
      <c r="I487" s="47"/>
      <c r="J487" s="23">
        <v>11045.23</v>
      </c>
      <c r="K487" s="25">
        <v>288</v>
      </c>
      <c r="L487" s="24">
        <v>5961.78</v>
      </c>
      <c r="M487" s="24">
        <f>J487-L487</f>
        <v>5083.45</v>
      </c>
      <c r="N487" s="53">
        <f>IF(J487&lt;&gt;0,M487/J487,"")</f>
        <v>0.46023939745935577</v>
      </c>
      <c r="O487" s="23">
        <v>0</v>
      </c>
      <c r="P487" s="25">
        <v>0</v>
      </c>
      <c r="Q487" s="24">
        <v>0</v>
      </c>
      <c r="R487" s="24">
        <f>O487-Q487</f>
        <v>0</v>
      </c>
      <c r="S487" s="53" t="str">
        <f>IF(O487&lt;&gt;0,R487/O487,"")</f>
        <v/>
      </c>
      <c r="T487" s="10"/>
      <c r="U487" s="23">
        <v>0</v>
      </c>
      <c r="V487" s="25">
        <v>0</v>
      </c>
      <c r="W487" s="24">
        <v>0</v>
      </c>
      <c r="X487" s="24">
        <f>U487-W487</f>
        <v>0</v>
      </c>
      <c r="Y487" s="53" t="str">
        <f>IF(U487&lt;&gt;0,X487/U487,"")</f>
        <v/>
      </c>
      <c r="Z487" s="23">
        <v>5736.17</v>
      </c>
      <c r="AA487" s="25">
        <v>145</v>
      </c>
      <c r="AB487" s="24">
        <v>3001.5899999999997</v>
      </c>
      <c r="AC487" s="24">
        <f t="shared" si="143"/>
        <v>2734.5800000000004</v>
      </c>
      <c r="AD487" s="53">
        <f t="shared" si="144"/>
        <v>0.47672575952246887</v>
      </c>
      <c r="AE487" s="10"/>
    </row>
    <row r="488" spans="1:31" x14ac:dyDescent="0.25">
      <c r="A488" s="14" t="s">
        <v>109</v>
      </c>
      <c r="C488" s="61" t="str">
        <f t="shared" si="142"/>
        <v>C100037</v>
      </c>
      <c r="F488" s="8" t="str">
        <f>"E100018"</f>
        <v>E100018</v>
      </c>
      <c r="G488" s="9" t="str">
        <f>"Flexi-Clock &amp; Clip"</f>
        <v>Flexi-Clock &amp; Clip</v>
      </c>
      <c r="H488" s="47"/>
      <c r="I488" s="47"/>
      <c r="J488" s="23">
        <v>170.86</v>
      </c>
      <c r="K488" s="25">
        <v>156</v>
      </c>
      <c r="L488" s="24">
        <v>93.59</v>
      </c>
      <c r="M488" s="24">
        <f>J488-L488</f>
        <v>77.27000000000001</v>
      </c>
      <c r="N488" s="53">
        <f>IF(J488&lt;&gt;0,M488/J488,"")</f>
        <v>0.45224160131101487</v>
      </c>
      <c r="O488" s="23">
        <v>0</v>
      </c>
      <c r="P488" s="25">
        <v>0</v>
      </c>
      <c r="Q488" s="24">
        <v>0</v>
      </c>
      <c r="R488" s="24">
        <f>O488-Q488</f>
        <v>0</v>
      </c>
      <c r="S488" s="53" t="str">
        <f>IF(O488&lt;&gt;0,R488/O488,"")</f>
        <v/>
      </c>
      <c r="T488" s="10"/>
      <c r="U488" s="23">
        <v>3.27</v>
      </c>
      <c r="V488" s="25">
        <v>3</v>
      </c>
      <c r="W488" s="24">
        <v>1.8</v>
      </c>
      <c r="X488" s="24">
        <f>U488-W488</f>
        <v>1.47</v>
      </c>
      <c r="Y488" s="53">
        <f>IF(U488&lt;&gt;0,X488/U488,"")</f>
        <v>0.44954128440366969</v>
      </c>
      <c r="Z488" s="23">
        <v>317.31</v>
      </c>
      <c r="AA488" s="25">
        <v>291</v>
      </c>
      <c r="AB488" s="24">
        <v>174.57999999999998</v>
      </c>
      <c r="AC488" s="24">
        <f t="shared" si="143"/>
        <v>142.73000000000002</v>
      </c>
      <c r="AD488" s="53">
        <f t="shared" si="144"/>
        <v>0.44981248621222153</v>
      </c>
      <c r="AE488" s="10"/>
    </row>
    <row r="489" spans="1:31" x14ac:dyDescent="0.25">
      <c r="A489" s="14" t="s">
        <v>109</v>
      </c>
      <c r="C489" s="61" t="str">
        <f t="shared" si="142"/>
        <v>C100037</v>
      </c>
      <c r="F489" s="8" t="str">
        <f>"E100019"</f>
        <v>E100019</v>
      </c>
      <c r="G489" s="9" t="str">
        <f>"Mini Travel Alarm"</f>
        <v>Mini Travel Alarm</v>
      </c>
      <c r="H489" s="47"/>
      <c r="I489" s="47"/>
      <c r="J489" s="23">
        <v>457.28</v>
      </c>
      <c r="K489" s="25">
        <v>145</v>
      </c>
      <c r="L489" s="24">
        <v>234.89000000000001</v>
      </c>
      <c r="M489" s="24">
        <f>J489-L489</f>
        <v>222.38999999999996</v>
      </c>
      <c r="N489" s="53">
        <f>IF(J489&lt;&gt;0,M489/J489,"")</f>
        <v>0.48633222533240023</v>
      </c>
      <c r="O489" s="23">
        <v>0</v>
      </c>
      <c r="P489" s="25">
        <v>0</v>
      </c>
      <c r="Q489" s="24">
        <v>0</v>
      </c>
      <c r="R489" s="24">
        <f>O489-Q489</f>
        <v>0</v>
      </c>
      <c r="S489" s="53" t="str">
        <f>IF(O489&lt;&gt;0,R489/O489,"")</f>
        <v/>
      </c>
      <c r="T489" s="10"/>
      <c r="U489" s="23">
        <v>0</v>
      </c>
      <c r="V489" s="25">
        <v>0</v>
      </c>
      <c r="W489" s="24">
        <v>0</v>
      </c>
      <c r="X489" s="24">
        <f>U489-W489</f>
        <v>0</v>
      </c>
      <c r="Y489" s="53" t="str">
        <f>IF(U489&lt;&gt;0,X489/U489,"")</f>
        <v/>
      </c>
      <c r="Z489" s="23">
        <v>25.830000000000002</v>
      </c>
      <c r="AA489" s="25">
        <v>8</v>
      </c>
      <c r="AB489" s="24">
        <v>12.96</v>
      </c>
      <c r="AC489" s="24">
        <f t="shared" si="143"/>
        <v>12.870000000000001</v>
      </c>
      <c r="AD489" s="53">
        <f t="shared" si="144"/>
        <v>0.49825783972125437</v>
      </c>
      <c r="AE489" s="10"/>
    </row>
    <row r="490" spans="1:31" x14ac:dyDescent="0.25">
      <c r="A490" s="14" t="s">
        <v>109</v>
      </c>
      <c r="C490" s="61" t="str">
        <f t="shared" si="142"/>
        <v>C100037</v>
      </c>
      <c r="F490" s="8" t="str">
        <f>"E100020"</f>
        <v>E100020</v>
      </c>
      <c r="G490" s="9" t="str">
        <f>"Flip-up Travel Alarm"</f>
        <v>Flip-up Travel Alarm</v>
      </c>
      <c r="H490" s="47"/>
      <c r="I490" s="47"/>
      <c r="J490" s="23">
        <v>1243.5900000000001</v>
      </c>
      <c r="K490" s="25">
        <v>145</v>
      </c>
      <c r="L490" s="24">
        <v>678.61</v>
      </c>
      <c r="M490" s="24">
        <f>J490-L490</f>
        <v>564.98000000000013</v>
      </c>
      <c r="N490" s="53">
        <f>IF(J490&lt;&gt;0,M490/J490,"")</f>
        <v>0.4543137207600576</v>
      </c>
      <c r="O490" s="23">
        <v>105.11</v>
      </c>
      <c r="P490" s="25">
        <v>12</v>
      </c>
      <c r="Q490" s="24">
        <v>56.16</v>
      </c>
      <c r="R490" s="24">
        <f>O490-Q490</f>
        <v>48.95</v>
      </c>
      <c r="S490" s="53">
        <f>IF(O490&lt;&gt;0,R490/O490,"")</f>
        <v>0.46570259727904101</v>
      </c>
      <c r="T490" s="10"/>
      <c r="U490" s="23">
        <v>106.77000000000001</v>
      </c>
      <c r="V490" s="25">
        <v>12</v>
      </c>
      <c r="W490" s="24">
        <v>56.16</v>
      </c>
      <c r="X490" s="24">
        <f>U490-W490</f>
        <v>50.610000000000014</v>
      </c>
      <c r="Y490" s="53">
        <f>IF(U490&lt;&gt;0,X490/U490,"")</f>
        <v>0.4740095532452937</v>
      </c>
      <c r="Z490" s="23">
        <v>3903.3799999999997</v>
      </c>
      <c r="AA490" s="25">
        <v>432</v>
      </c>
      <c r="AB490" s="24">
        <v>2021.8</v>
      </c>
      <c r="AC490" s="24">
        <f t="shared" si="143"/>
        <v>1881.5799999999997</v>
      </c>
      <c r="AD490" s="53">
        <f t="shared" si="144"/>
        <v>0.4820386434321024</v>
      </c>
      <c r="AE490" s="10"/>
    </row>
    <row r="491" spans="1:31" x14ac:dyDescent="0.25">
      <c r="A491" s="14" t="s">
        <v>109</v>
      </c>
      <c r="C491" s="61" t="str">
        <f t="shared" si="142"/>
        <v>C100037</v>
      </c>
      <c r="F491" s="8" t="str">
        <f>"E100021"</f>
        <v>E100021</v>
      </c>
      <c r="G491" s="9" t="str">
        <f>"Slim Travel Alarm"</f>
        <v>Slim Travel Alarm</v>
      </c>
      <c r="H491" s="47"/>
      <c r="I491" s="47"/>
      <c r="J491" s="23">
        <v>2.68</v>
      </c>
      <c r="K491" s="25">
        <v>1</v>
      </c>
      <c r="L491" s="24">
        <v>1.44</v>
      </c>
      <c r="M491" s="24">
        <f>J491-L491</f>
        <v>1.2400000000000002</v>
      </c>
      <c r="N491" s="53">
        <f>IF(J491&lt;&gt;0,M491/J491,"")</f>
        <v>0.46268656716417916</v>
      </c>
      <c r="O491" s="23">
        <v>-2.76</v>
      </c>
      <c r="P491" s="25">
        <v>-1</v>
      </c>
      <c r="Q491" s="24">
        <v>-1.44</v>
      </c>
      <c r="R491" s="24">
        <f>O491-Q491</f>
        <v>-1.3199999999999998</v>
      </c>
      <c r="S491" s="53">
        <f>IF(O491&lt;&gt;0,R491/O491,"")</f>
        <v>0.47826086956521735</v>
      </c>
      <c r="T491" s="10"/>
      <c r="U491" s="23">
        <v>0</v>
      </c>
      <c r="V491" s="25">
        <v>0</v>
      </c>
      <c r="W491" s="24">
        <v>0</v>
      </c>
      <c r="X491" s="24">
        <f>U491-W491</f>
        <v>0</v>
      </c>
      <c r="Y491" s="53" t="str">
        <f>IF(U491&lt;&gt;0,X491/U491,"")</f>
        <v/>
      </c>
      <c r="Z491" s="23">
        <v>0</v>
      </c>
      <c r="AA491" s="25">
        <v>0</v>
      </c>
      <c r="AB491" s="24">
        <v>0</v>
      </c>
      <c r="AC491" s="24">
        <f t="shared" si="143"/>
        <v>0</v>
      </c>
      <c r="AD491" s="53" t="str">
        <f t="shared" si="144"/>
        <v/>
      </c>
      <c r="AE491" s="10"/>
    </row>
    <row r="492" spans="1:31" x14ac:dyDescent="0.25">
      <c r="A492" s="14" t="s">
        <v>109</v>
      </c>
      <c r="C492" s="61" t="str">
        <f t="shared" si="142"/>
        <v>C100037</v>
      </c>
      <c r="F492" s="8" t="str">
        <f>"E100022"</f>
        <v>E100022</v>
      </c>
      <c r="G492" s="9" t="str">
        <f>"Wide Screen Alarm Clock"</f>
        <v>Wide Screen Alarm Clock</v>
      </c>
      <c r="H492" s="47"/>
      <c r="I492" s="47"/>
      <c r="J492" s="23">
        <v>581.31000000000006</v>
      </c>
      <c r="K492" s="25">
        <v>312</v>
      </c>
      <c r="L492" s="24">
        <v>399.33000000000004</v>
      </c>
      <c r="M492" s="24">
        <f>J492-L492</f>
        <v>181.98000000000002</v>
      </c>
      <c r="N492" s="53">
        <f>IF(J492&lt;&gt;0,M492/J492,"")</f>
        <v>0.31305155596841616</v>
      </c>
      <c r="O492" s="23">
        <v>0</v>
      </c>
      <c r="P492" s="25">
        <v>0</v>
      </c>
      <c r="Q492" s="24">
        <v>0</v>
      </c>
      <c r="R492" s="24">
        <f>O492-Q492</f>
        <v>0</v>
      </c>
      <c r="S492" s="53" t="str">
        <f>IF(O492&lt;&gt;0,R492/O492,"")</f>
        <v/>
      </c>
      <c r="T492" s="10"/>
      <c r="U492" s="23">
        <v>35.78</v>
      </c>
      <c r="V492" s="25">
        <v>19</v>
      </c>
      <c r="W492" s="24">
        <v>24.32</v>
      </c>
      <c r="X492" s="24">
        <f>U492-W492</f>
        <v>11.46</v>
      </c>
      <c r="Y492" s="53">
        <f>IF(U492&lt;&gt;0,X492/U492,"")</f>
        <v>0.32029066517607602</v>
      </c>
      <c r="Z492" s="23">
        <v>15.05</v>
      </c>
      <c r="AA492" s="25">
        <v>8</v>
      </c>
      <c r="AB492" s="24">
        <v>10.24</v>
      </c>
      <c r="AC492" s="24">
        <f t="shared" si="143"/>
        <v>4.8100000000000005</v>
      </c>
      <c r="AD492" s="53">
        <f t="shared" si="144"/>
        <v>0.3196013289036545</v>
      </c>
      <c r="AE492" s="10"/>
    </row>
    <row r="493" spans="1:31" ht="15.75" thickBot="1" x14ac:dyDescent="0.3">
      <c r="A493" s="14" t="s">
        <v>109</v>
      </c>
      <c r="C493" s="61" t="str">
        <f>C463</f>
        <v>C100037</v>
      </c>
      <c r="J493" s="10"/>
      <c r="K493" s="11"/>
      <c r="L493" s="11"/>
      <c r="M493" s="11"/>
      <c r="N493" s="12"/>
      <c r="O493" s="10"/>
      <c r="P493" s="11"/>
      <c r="Q493" s="11"/>
      <c r="R493" s="11"/>
      <c r="S493" s="12"/>
      <c r="U493" s="10"/>
      <c r="V493" s="11"/>
      <c r="W493" s="11"/>
      <c r="X493" s="11"/>
      <c r="Y493" s="12"/>
      <c r="Z493" s="10"/>
      <c r="AA493" s="11"/>
      <c r="AB493" s="11"/>
      <c r="AC493" s="11"/>
      <c r="AD493" s="12"/>
    </row>
    <row r="494" spans="1:31" ht="15.75" thickBot="1" x14ac:dyDescent="0.3">
      <c r="A494" s="14" t="s">
        <v>109</v>
      </c>
      <c r="C494" s="61" t="str">
        <f t="shared" si="139"/>
        <v>C100037</v>
      </c>
      <c r="G494" s="48" t="str">
        <f>C494&amp;" TOTAL:"</f>
        <v>C100037 TOTAL:</v>
      </c>
      <c r="H494" s="50"/>
      <c r="I494" s="50"/>
      <c r="J494" s="34">
        <f>SUBTOTAL(9,J462:J493)</f>
        <v>61181.029999999992</v>
      </c>
      <c r="K494" s="35">
        <f>SUBTOTAL(9,K462:K493)</f>
        <v>4048</v>
      </c>
      <c r="L494" s="36">
        <f>SUBTOTAL(9,L462:L493)</f>
        <v>33608.5</v>
      </c>
      <c r="M494" s="36">
        <f>J494-L494</f>
        <v>27572.529999999992</v>
      </c>
      <c r="N494" s="37">
        <f>IF(J494&lt;&gt;0,M494/J494,"")</f>
        <v>0.45067122930097769</v>
      </c>
      <c r="O494" s="34">
        <f>SUBTOTAL(9,O462:O493)</f>
        <v>14002.91</v>
      </c>
      <c r="P494" s="35">
        <f>SUBTOTAL(9,P462:P493)</f>
        <v>390</v>
      </c>
      <c r="Q494" s="36">
        <f>SUBTOTAL(9,Q462:Q493)</f>
        <v>7189.96</v>
      </c>
      <c r="R494" s="36">
        <f>O494-Q494</f>
        <v>6812.95</v>
      </c>
      <c r="S494" s="37">
        <f>IF(O494&lt;&gt;0,R494/O494,"")</f>
        <v>0.48653815528343752</v>
      </c>
      <c r="U494" s="34">
        <f>SUBTOTAL(9,U462:U493)</f>
        <v>23068.52</v>
      </c>
      <c r="V494" s="35">
        <f>SUBTOTAL(9,V462:V493)</f>
        <v>856</v>
      </c>
      <c r="W494" s="36">
        <f>SUBTOTAL(9,W462:W493)</f>
        <v>14941.170000000002</v>
      </c>
      <c r="X494" s="36">
        <f>U494-W494</f>
        <v>8127.3499999999985</v>
      </c>
      <c r="Y494" s="37">
        <f>IF(U494&lt;&gt;0,X494/U494,"")</f>
        <v>0.35231345573968326</v>
      </c>
      <c r="Z494" s="34">
        <f>SUBTOTAL(9,Z462:Z493)</f>
        <v>41951.649999999994</v>
      </c>
      <c r="AA494" s="35">
        <f>SUBTOTAL(9,AA462:AA493)</f>
        <v>2386</v>
      </c>
      <c r="AB494" s="36">
        <f>SUBTOTAL(9,AB462:AB493)</f>
        <v>21881.46</v>
      </c>
      <c r="AC494" s="36">
        <f t="shared" ref="AC494" si="145">Z494-AB494</f>
        <v>20070.189999999995</v>
      </c>
      <c r="AD494" s="37">
        <f t="shared" ref="AD494" si="146">IF(Z494&lt;&gt;0,AC494/Z494,"")</f>
        <v>0.47841241047729943</v>
      </c>
    </row>
    <row r="495" spans="1:31" x14ac:dyDescent="0.25">
      <c r="A495" s="14" t="s">
        <v>109</v>
      </c>
      <c r="C495" s="66"/>
      <c r="J495" s="10"/>
      <c r="K495" s="11"/>
      <c r="L495" s="11"/>
      <c r="M495" s="11"/>
      <c r="N495" s="12"/>
      <c r="O495" s="10"/>
      <c r="P495" s="11"/>
      <c r="Q495" s="11"/>
      <c r="R495" s="11"/>
      <c r="S495" s="12"/>
      <c r="U495" s="10"/>
      <c r="V495" s="11"/>
      <c r="W495" s="11"/>
      <c r="X495" s="11"/>
      <c r="Y495" s="12"/>
      <c r="Z495" s="10"/>
      <c r="AA495" s="11"/>
      <c r="AB495" s="11"/>
      <c r="AC495" s="11"/>
      <c r="AD495" s="12"/>
    </row>
    <row r="496" spans="1:31" ht="15.75" x14ac:dyDescent="0.25">
      <c r="A496" s="14" t="s">
        <v>109</v>
      </c>
      <c r="C496" s="66" t="str">
        <f t="shared" ref="C496" si="147">E496</f>
        <v>C100038</v>
      </c>
      <c r="E496" s="13" t="str">
        <f>"C100038"</f>
        <v>C100038</v>
      </c>
      <c r="F496" s="13"/>
      <c r="G496" s="13" t="str">
        <f>"Gagn &amp; Gaman"</f>
        <v>Gagn &amp; Gaman</v>
      </c>
      <c r="H496" s="13"/>
      <c r="I496" s="13"/>
      <c r="J496" s="10"/>
      <c r="K496" s="11"/>
      <c r="L496" s="11"/>
      <c r="M496" s="11"/>
      <c r="N496" s="12"/>
      <c r="O496" s="10"/>
      <c r="P496" s="11"/>
      <c r="Q496" s="11"/>
      <c r="R496" s="11"/>
      <c r="S496" s="12"/>
      <c r="U496" s="10"/>
      <c r="V496" s="11"/>
      <c r="W496" s="11"/>
      <c r="X496" s="11"/>
      <c r="Y496" s="12"/>
      <c r="Z496" s="10"/>
      <c r="AA496" s="11"/>
      <c r="AB496" s="11"/>
      <c r="AC496" s="11"/>
      <c r="AD496" s="12"/>
    </row>
    <row r="497" spans="1:31" ht="6.6" customHeight="1" x14ac:dyDescent="0.25">
      <c r="A497" s="14" t="s">
        <v>109</v>
      </c>
      <c r="C497" s="61" t="str">
        <f t="shared" ref="C497:C519" si="148">C496</f>
        <v>C100038</v>
      </c>
      <c r="J497" s="10"/>
      <c r="K497" s="11"/>
      <c r="L497" s="11"/>
      <c r="M497" s="11"/>
      <c r="N497" s="12"/>
      <c r="O497" s="10"/>
      <c r="P497" s="11"/>
      <c r="Q497" s="11"/>
      <c r="R497" s="11"/>
      <c r="S497" s="12"/>
      <c r="U497" s="10"/>
      <c r="V497" s="11"/>
      <c r="W497" s="11"/>
      <c r="X497" s="11"/>
      <c r="Y497" s="12"/>
      <c r="Z497" s="10"/>
      <c r="AA497" s="11"/>
      <c r="AB497" s="11"/>
      <c r="AC497" s="11"/>
      <c r="AD497" s="12"/>
    </row>
    <row r="498" spans="1:31" x14ac:dyDescent="0.25">
      <c r="A498" s="14" t="s">
        <v>109</v>
      </c>
      <c r="C498" s="61" t="str">
        <f t="shared" si="148"/>
        <v>C100038</v>
      </c>
      <c r="F498" s="8" t="str">
        <f>"C100003"</f>
        <v>C100003</v>
      </c>
      <c r="G498" s="9" t="str">
        <f>"Cherry Finish Frame"</f>
        <v>Cherry Finish Frame</v>
      </c>
      <c r="H498" s="47"/>
      <c r="I498" s="47"/>
      <c r="J498" s="23">
        <v>0</v>
      </c>
      <c r="K498" s="25">
        <v>0</v>
      </c>
      <c r="L498" s="24">
        <v>0</v>
      </c>
      <c r="M498" s="24">
        <f>J498-L498</f>
        <v>0</v>
      </c>
      <c r="N498" s="53" t="str">
        <f>IF(J498&lt;&gt;0,M498/J498,"")</f>
        <v/>
      </c>
      <c r="O498" s="23">
        <v>9580.64</v>
      </c>
      <c r="P498" s="25">
        <v>144</v>
      </c>
      <c r="Q498" s="24">
        <v>4700.1499999999996</v>
      </c>
      <c r="R498" s="24">
        <f>O498-Q498</f>
        <v>4880.49</v>
      </c>
      <c r="S498" s="53">
        <f>IF(O498&lt;&gt;0,R498/O498,"")</f>
        <v>0.5094116885719534</v>
      </c>
      <c r="T498" s="10"/>
      <c r="U498" s="23">
        <v>66.53</v>
      </c>
      <c r="V498" s="25">
        <v>1</v>
      </c>
      <c r="W498" s="24">
        <v>32.64</v>
      </c>
      <c r="X498" s="24">
        <f>U498-W498</f>
        <v>33.89</v>
      </c>
      <c r="Y498" s="53">
        <f>IF(U498&lt;&gt;0,X498/U498,"")</f>
        <v>0.50939425822937023</v>
      </c>
      <c r="Z498" s="23">
        <v>3193.5499999999997</v>
      </c>
      <c r="AA498" s="25">
        <v>48</v>
      </c>
      <c r="AB498" s="24">
        <v>1566.72</v>
      </c>
      <c r="AC498" s="24">
        <f t="shared" ref="AC498" si="149">Z498-AB498</f>
        <v>1626.8299999999997</v>
      </c>
      <c r="AD498" s="53">
        <f t="shared" ref="AD498" si="150">IF(Z498&lt;&gt;0,AC498/Z498,"")</f>
        <v>0.50941115686305205</v>
      </c>
      <c r="AE498" s="10"/>
    </row>
    <row r="499" spans="1:31" x14ac:dyDescent="0.25">
      <c r="A499" s="14" t="s">
        <v>109</v>
      </c>
      <c r="C499" s="61" t="str">
        <f t="shared" ref="C499:C517" si="151">C498</f>
        <v>C100038</v>
      </c>
      <c r="F499" s="8" t="str">
        <f>"C100004"</f>
        <v>C100004</v>
      </c>
      <c r="G499" s="9" t="str">
        <f>"Walnut Medallian Plate"</f>
        <v>Walnut Medallian Plate</v>
      </c>
      <c r="H499" s="47"/>
      <c r="I499" s="47"/>
      <c r="J499" s="23">
        <v>8291.4</v>
      </c>
      <c r="K499" s="25">
        <v>144</v>
      </c>
      <c r="L499" s="24">
        <v>4406.3899999999994</v>
      </c>
      <c r="M499" s="24">
        <f>J499-L499</f>
        <v>3885.01</v>
      </c>
      <c r="N499" s="53">
        <f>IF(J499&lt;&gt;0,M499/J499,"")</f>
        <v>0.46855898883180169</v>
      </c>
      <c r="O499" s="23">
        <v>0</v>
      </c>
      <c r="P499" s="25">
        <v>0</v>
      </c>
      <c r="Q499" s="24">
        <v>0</v>
      </c>
      <c r="R499" s="24">
        <f>O499-Q499</f>
        <v>0</v>
      </c>
      <c r="S499" s="53" t="str">
        <f>IF(O499&lt;&gt;0,R499/O499,"")</f>
        <v/>
      </c>
      <c r="T499" s="10"/>
      <c r="U499" s="23">
        <v>0</v>
      </c>
      <c r="V499" s="25">
        <v>0</v>
      </c>
      <c r="W499" s="24">
        <v>0</v>
      </c>
      <c r="X499" s="24">
        <f>U499-W499</f>
        <v>0</v>
      </c>
      <c r="Y499" s="53" t="str">
        <f>IF(U499&lt;&gt;0,X499/U499,"")</f>
        <v/>
      </c>
      <c r="Z499" s="23">
        <v>0</v>
      </c>
      <c r="AA499" s="25">
        <v>0</v>
      </c>
      <c r="AB499" s="24">
        <v>0</v>
      </c>
      <c r="AC499" s="24">
        <f t="shared" ref="AC499:AC517" si="152">Z499-AB499</f>
        <v>0</v>
      </c>
      <c r="AD499" s="53" t="str">
        <f t="shared" ref="AD499:AD517" si="153">IF(Z499&lt;&gt;0,AC499/Z499,"")</f>
        <v/>
      </c>
      <c r="AE499" s="10"/>
    </row>
    <row r="500" spans="1:31" x14ac:dyDescent="0.25">
      <c r="A500" s="14" t="s">
        <v>109</v>
      </c>
      <c r="C500" s="61" t="str">
        <f t="shared" si="151"/>
        <v>C100038</v>
      </c>
      <c r="F500" s="8" t="str">
        <f>"C100006"</f>
        <v>C100006</v>
      </c>
      <c r="G500" s="9" t="str">
        <f>"Cherry Finished Crystal Award- Large"</f>
        <v>Cherry Finished Crystal Award- Large</v>
      </c>
      <c r="H500" s="47"/>
      <c r="I500" s="47"/>
      <c r="J500" s="23">
        <v>2433.81</v>
      </c>
      <c r="K500" s="25">
        <v>12</v>
      </c>
      <c r="L500" s="24">
        <v>1140.48</v>
      </c>
      <c r="M500" s="24">
        <f>J500-L500</f>
        <v>1293.33</v>
      </c>
      <c r="N500" s="53">
        <f>IF(J500&lt;&gt;0,M500/J500,"")</f>
        <v>0.53140138301675155</v>
      </c>
      <c r="O500" s="23">
        <v>0</v>
      </c>
      <c r="P500" s="25">
        <v>0</v>
      </c>
      <c r="Q500" s="24">
        <v>0</v>
      </c>
      <c r="R500" s="24">
        <f>O500-Q500</f>
        <v>0</v>
      </c>
      <c r="S500" s="53" t="str">
        <f>IF(O500&lt;&gt;0,R500/O500,"")</f>
        <v/>
      </c>
      <c r="T500" s="10"/>
      <c r="U500" s="23">
        <v>22004.63</v>
      </c>
      <c r="V500" s="25">
        <v>108</v>
      </c>
      <c r="W500" s="24">
        <v>10264.32</v>
      </c>
      <c r="X500" s="24">
        <f>U500-W500</f>
        <v>11740.310000000001</v>
      </c>
      <c r="Y500" s="53">
        <f>IF(U500&lt;&gt;0,X500/U500,"")</f>
        <v>0.53353816901261242</v>
      </c>
      <c r="Z500" s="23">
        <v>0</v>
      </c>
      <c r="AA500" s="25">
        <v>0</v>
      </c>
      <c r="AB500" s="24">
        <v>0</v>
      </c>
      <c r="AC500" s="24">
        <f t="shared" si="152"/>
        <v>0</v>
      </c>
      <c r="AD500" s="53" t="str">
        <f t="shared" si="153"/>
        <v/>
      </c>
      <c r="AE500" s="10"/>
    </row>
    <row r="501" spans="1:31" x14ac:dyDescent="0.25">
      <c r="A501" s="14" t="s">
        <v>109</v>
      </c>
      <c r="C501" s="61" t="str">
        <f t="shared" si="151"/>
        <v>C100038</v>
      </c>
      <c r="F501" s="8" t="str">
        <f>"C100020"</f>
        <v>C100020</v>
      </c>
      <c r="G501" s="9" t="str">
        <f>"Gym Locker Bag"</f>
        <v>Gym Locker Bag</v>
      </c>
      <c r="H501" s="47"/>
      <c r="I501" s="47"/>
      <c r="J501" s="23">
        <v>80.61</v>
      </c>
      <c r="K501" s="25">
        <v>6</v>
      </c>
      <c r="L501" s="24">
        <v>46.44</v>
      </c>
      <c r="M501" s="24">
        <f>J501-L501</f>
        <v>34.17</v>
      </c>
      <c r="N501" s="53">
        <f>IF(J501&lt;&gt;0,M501/J501,"")</f>
        <v>0.423892817268329</v>
      </c>
      <c r="O501" s="23">
        <v>0</v>
      </c>
      <c r="P501" s="25">
        <v>0</v>
      </c>
      <c r="Q501" s="24">
        <v>0</v>
      </c>
      <c r="R501" s="24">
        <f>O501-Q501</f>
        <v>0</v>
      </c>
      <c r="S501" s="53" t="str">
        <f>IF(O501&lt;&gt;0,R501/O501,"")</f>
        <v/>
      </c>
      <c r="T501" s="10"/>
      <c r="U501" s="23">
        <v>0</v>
      </c>
      <c r="V501" s="25">
        <v>0</v>
      </c>
      <c r="W501" s="24">
        <v>0</v>
      </c>
      <c r="X501" s="24">
        <f>U501-W501</f>
        <v>0</v>
      </c>
      <c r="Y501" s="53" t="str">
        <f>IF(U501&lt;&gt;0,X501/U501,"")</f>
        <v/>
      </c>
      <c r="Z501" s="23">
        <v>0</v>
      </c>
      <c r="AA501" s="25">
        <v>0</v>
      </c>
      <c r="AB501" s="24">
        <v>0</v>
      </c>
      <c r="AC501" s="24">
        <f t="shared" si="152"/>
        <v>0</v>
      </c>
      <c r="AD501" s="53" t="str">
        <f t="shared" si="153"/>
        <v/>
      </c>
      <c r="AE501" s="10"/>
    </row>
    <row r="502" spans="1:31" x14ac:dyDescent="0.25">
      <c r="A502" s="14" t="s">
        <v>109</v>
      </c>
      <c r="C502" s="61" t="str">
        <f t="shared" si="151"/>
        <v>C100038</v>
      </c>
      <c r="F502" s="8" t="str">
        <f>"C100022"</f>
        <v>C100022</v>
      </c>
      <c r="G502" s="9" t="str">
        <f>"Two-Toned Cap"</f>
        <v>Two-Toned Cap</v>
      </c>
      <c r="H502" s="47"/>
      <c r="I502" s="47"/>
      <c r="J502" s="23">
        <v>3.1</v>
      </c>
      <c r="K502" s="25">
        <v>1</v>
      </c>
      <c r="L502" s="24">
        <v>1.61</v>
      </c>
      <c r="M502" s="24">
        <f>J502-L502</f>
        <v>1.49</v>
      </c>
      <c r="N502" s="53">
        <f>IF(J502&lt;&gt;0,M502/J502,"")</f>
        <v>0.48064516129032259</v>
      </c>
      <c r="O502" s="23">
        <v>0</v>
      </c>
      <c r="P502" s="25">
        <v>0</v>
      </c>
      <c r="Q502" s="24">
        <v>0</v>
      </c>
      <c r="R502" s="24">
        <f>O502-Q502</f>
        <v>0</v>
      </c>
      <c r="S502" s="53" t="str">
        <f>IF(O502&lt;&gt;0,R502/O502,"")</f>
        <v/>
      </c>
      <c r="T502" s="10"/>
      <c r="U502" s="23">
        <v>0</v>
      </c>
      <c r="V502" s="25">
        <v>0</v>
      </c>
      <c r="W502" s="24">
        <v>0</v>
      </c>
      <c r="X502" s="24">
        <f>U502-W502</f>
        <v>0</v>
      </c>
      <c r="Y502" s="53" t="str">
        <f>IF(U502&lt;&gt;0,X502/U502,"")</f>
        <v/>
      </c>
      <c r="Z502" s="23">
        <v>451.59</v>
      </c>
      <c r="AA502" s="25">
        <v>144</v>
      </c>
      <c r="AB502" s="24">
        <v>231.82999999999998</v>
      </c>
      <c r="AC502" s="24">
        <f t="shared" si="152"/>
        <v>219.76</v>
      </c>
      <c r="AD502" s="53">
        <f t="shared" si="153"/>
        <v>0.48663610797404727</v>
      </c>
      <c r="AE502" s="10"/>
    </row>
    <row r="503" spans="1:31" x14ac:dyDescent="0.25">
      <c r="A503" s="14" t="s">
        <v>109</v>
      </c>
      <c r="C503" s="61" t="str">
        <f t="shared" si="151"/>
        <v>C100038</v>
      </c>
      <c r="F503" s="8" t="str">
        <f>"C100023"</f>
        <v>C100023</v>
      </c>
      <c r="G503" s="9" t="str">
        <f>"Two-Toned Knit Hat"</f>
        <v>Two-Toned Knit Hat</v>
      </c>
      <c r="H503" s="47"/>
      <c r="I503" s="47"/>
      <c r="J503" s="23">
        <v>2.6</v>
      </c>
      <c r="K503" s="25">
        <v>1</v>
      </c>
      <c r="L503" s="24">
        <v>1.26</v>
      </c>
      <c r="M503" s="24">
        <f>J503-L503</f>
        <v>1.34</v>
      </c>
      <c r="N503" s="53">
        <f>IF(J503&lt;&gt;0,M503/J503,"")</f>
        <v>0.51538461538461544</v>
      </c>
      <c r="O503" s="23">
        <v>0</v>
      </c>
      <c r="P503" s="25">
        <v>0</v>
      </c>
      <c r="Q503" s="24">
        <v>0</v>
      </c>
      <c r="R503" s="24">
        <f>O503-Q503</f>
        <v>0</v>
      </c>
      <c r="S503" s="53" t="str">
        <f>IF(O503&lt;&gt;0,R503/O503,"")</f>
        <v/>
      </c>
      <c r="T503" s="10"/>
      <c r="U503" s="23">
        <v>0</v>
      </c>
      <c r="V503" s="25">
        <v>0</v>
      </c>
      <c r="W503" s="24">
        <v>0</v>
      </c>
      <c r="X503" s="24">
        <f>U503-W503</f>
        <v>0</v>
      </c>
      <c r="Y503" s="53" t="str">
        <f>IF(U503&lt;&gt;0,X503/U503,"")</f>
        <v/>
      </c>
      <c r="Z503" s="23">
        <v>2.63</v>
      </c>
      <c r="AA503" s="25">
        <v>1</v>
      </c>
      <c r="AB503" s="24">
        <v>1.26</v>
      </c>
      <c r="AC503" s="24">
        <f t="shared" si="152"/>
        <v>1.3699999999999999</v>
      </c>
      <c r="AD503" s="53">
        <f t="shared" si="153"/>
        <v>0.52091254752851712</v>
      </c>
      <c r="AE503" s="10"/>
    </row>
    <row r="504" spans="1:31" x14ac:dyDescent="0.25">
      <c r="A504" s="14" t="s">
        <v>109</v>
      </c>
      <c r="C504" s="61" t="str">
        <f t="shared" si="151"/>
        <v>C100038</v>
      </c>
      <c r="F504" s="8" t="str">
        <f>"C100026"</f>
        <v>C100026</v>
      </c>
      <c r="G504" s="9" t="str">
        <f>"Fleece Beanie"</f>
        <v>Fleece Beanie</v>
      </c>
      <c r="H504" s="47"/>
      <c r="I504" s="47"/>
      <c r="J504" s="23">
        <v>0</v>
      </c>
      <c r="K504" s="25">
        <v>0</v>
      </c>
      <c r="L504" s="24">
        <v>0</v>
      </c>
      <c r="M504" s="24">
        <f>J504-L504</f>
        <v>0</v>
      </c>
      <c r="N504" s="53" t="str">
        <f>IF(J504&lt;&gt;0,M504/J504,"")</f>
        <v/>
      </c>
      <c r="O504" s="23">
        <v>440.29</v>
      </c>
      <c r="P504" s="25">
        <v>144</v>
      </c>
      <c r="Q504" s="24">
        <v>287.99</v>
      </c>
      <c r="R504" s="24">
        <f>O504-Q504</f>
        <v>152.30000000000001</v>
      </c>
      <c r="S504" s="53">
        <f>IF(O504&lt;&gt;0,R504/O504,"")</f>
        <v>0.34590837856867068</v>
      </c>
      <c r="T504" s="10"/>
      <c r="U504" s="23">
        <v>0</v>
      </c>
      <c r="V504" s="25">
        <v>0</v>
      </c>
      <c r="W504" s="24">
        <v>0</v>
      </c>
      <c r="X504" s="24">
        <f>U504-W504</f>
        <v>0</v>
      </c>
      <c r="Y504" s="53" t="str">
        <f>IF(U504&lt;&gt;0,X504/U504,"")</f>
        <v/>
      </c>
      <c r="Z504" s="23">
        <v>0</v>
      </c>
      <c r="AA504" s="25">
        <v>0</v>
      </c>
      <c r="AB504" s="24">
        <v>0</v>
      </c>
      <c r="AC504" s="24">
        <f t="shared" si="152"/>
        <v>0</v>
      </c>
      <c r="AD504" s="53" t="str">
        <f t="shared" si="153"/>
        <v/>
      </c>
      <c r="AE504" s="10"/>
    </row>
    <row r="505" spans="1:31" x14ac:dyDescent="0.25">
      <c r="A505" s="14" t="s">
        <v>109</v>
      </c>
      <c r="C505" s="61" t="str">
        <f t="shared" si="151"/>
        <v>C100038</v>
      </c>
      <c r="F505" s="8" t="str">
        <f>"C100028"</f>
        <v>C100028</v>
      </c>
      <c r="G505" s="9" t="str">
        <f>"Twill Visor"</f>
        <v>Twill Visor</v>
      </c>
      <c r="H505" s="47"/>
      <c r="I505" s="47"/>
      <c r="J505" s="23">
        <v>59.48</v>
      </c>
      <c r="K505" s="25">
        <v>12</v>
      </c>
      <c r="L505" s="24">
        <v>28.8</v>
      </c>
      <c r="M505" s="24">
        <f>J505-L505</f>
        <v>30.679999999999996</v>
      </c>
      <c r="N505" s="53">
        <f>IF(J505&lt;&gt;0,M505/J505,"")</f>
        <v>0.51580363147276387</v>
      </c>
      <c r="O505" s="23">
        <v>0</v>
      </c>
      <c r="P505" s="25">
        <v>0</v>
      </c>
      <c r="Q505" s="24">
        <v>0</v>
      </c>
      <c r="R505" s="24">
        <f>O505-Q505</f>
        <v>0</v>
      </c>
      <c r="S505" s="53" t="str">
        <f>IF(O505&lt;&gt;0,R505/O505,"")</f>
        <v/>
      </c>
      <c r="T505" s="10"/>
      <c r="U505" s="23">
        <v>0</v>
      </c>
      <c r="V505" s="25">
        <v>0</v>
      </c>
      <c r="W505" s="24">
        <v>0</v>
      </c>
      <c r="X505" s="24">
        <f>U505-W505</f>
        <v>0</v>
      </c>
      <c r="Y505" s="53" t="str">
        <f>IF(U505&lt;&gt;0,X505/U505,"")</f>
        <v/>
      </c>
      <c r="Z505" s="23">
        <v>0</v>
      </c>
      <c r="AA505" s="25">
        <v>0</v>
      </c>
      <c r="AB505" s="24">
        <v>0</v>
      </c>
      <c r="AC505" s="24">
        <f t="shared" si="152"/>
        <v>0</v>
      </c>
      <c r="AD505" s="53" t="str">
        <f t="shared" si="153"/>
        <v/>
      </c>
      <c r="AE505" s="10"/>
    </row>
    <row r="506" spans="1:31" x14ac:dyDescent="0.25">
      <c r="A506" s="14" t="s">
        <v>109</v>
      </c>
      <c r="C506" s="61" t="str">
        <f t="shared" si="151"/>
        <v>C100038</v>
      </c>
      <c r="F506" s="8" t="str">
        <f>"C100030"</f>
        <v>C100030</v>
      </c>
      <c r="G506" s="9" t="str">
        <f>"Fashion Visor"</f>
        <v>Fashion Visor</v>
      </c>
      <c r="H506" s="47"/>
      <c r="I506" s="47"/>
      <c r="J506" s="23">
        <v>0</v>
      </c>
      <c r="K506" s="25">
        <v>0</v>
      </c>
      <c r="L506" s="24">
        <v>0</v>
      </c>
      <c r="M506" s="24">
        <f>J506-L506</f>
        <v>0</v>
      </c>
      <c r="N506" s="53" t="str">
        <f>IF(J506&lt;&gt;0,M506/J506,"")</f>
        <v/>
      </c>
      <c r="O506" s="23">
        <v>51.510000000000005</v>
      </c>
      <c r="P506" s="25">
        <v>12</v>
      </c>
      <c r="Q506" s="24">
        <v>29.04</v>
      </c>
      <c r="R506" s="24">
        <f>O506-Q506</f>
        <v>22.470000000000006</v>
      </c>
      <c r="S506" s="53">
        <f>IF(O506&lt;&gt;0,R506/O506,"")</f>
        <v>0.43622597553873044</v>
      </c>
      <c r="T506" s="10"/>
      <c r="U506" s="23">
        <v>25.49</v>
      </c>
      <c r="V506" s="25">
        <v>6</v>
      </c>
      <c r="W506" s="24">
        <v>14.52</v>
      </c>
      <c r="X506" s="24">
        <f>U506-W506</f>
        <v>10.969999999999999</v>
      </c>
      <c r="Y506" s="53">
        <f>IF(U506&lt;&gt;0,X506/U506,"")</f>
        <v>0.43036484896037658</v>
      </c>
      <c r="Z506" s="23">
        <v>0</v>
      </c>
      <c r="AA506" s="25">
        <v>0</v>
      </c>
      <c r="AB506" s="24">
        <v>0</v>
      </c>
      <c r="AC506" s="24">
        <f t="shared" si="152"/>
        <v>0</v>
      </c>
      <c r="AD506" s="53" t="str">
        <f t="shared" si="153"/>
        <v/>
      </c>
      <c r="AE506" s="10"/>
    </row>
    <row r="507" spans="1:31" x14ac:dyDescent="0.25">
      <c r="A507" s="14" t="s">
        <v>109</v>
      </c>
      <c r="C507" s="61" t="str">
        <f t="shared" si="151"/>
        <v>C100038</v>
      </c>
      <c r="F507" s="8" t="str">
        <f>"E100001"</f>
        <v>E100001</v>
      </c>
      <c r="G507" s="9" t="str">
        <f>"Sport Bag"</f>
        <v>Sport Bag</v>
      </c>
      <c r="H507" s="47"/>
      <c r="I507" s="47"/>
      <c r="J507" s="23">
        <v>254.57999999999998</v>
      </c>
      <c r="K507" s="25">
        <v>145</v>
      </c>
      <c r="L507" s="24">
        <v>126.15</v>
      </c>
      <c r="M507" s="24">
        <f>J507-L507</f>
        <v>128.42999999999998</v>
      </c>
      <c r="N507" s="53">
        <f>IF(J507&lt;&gt;0,M507/J507,"")</f>
        <v>0.5044779637049257</v>
      </c>
      <c r="O507" s="23">
        <v>0</v>
      </c>
      <c r="P507" s="25">
        <v>0</v>
      </c>
      <c r="Q507" s="24">
        <v>0</v>
      </c>
      <c r="R507" s="24">
        <f>O507-Q507</f>
        <v>0</v>
      </c>
      <c r="S507" s="53" t="str">
        <f>IF(O507&lt;&gt;0,R507/O507,"")</f>
        <v/>
      </c>
      <c r="T507" s="10"/>
      <c r="U507" s="23">
        <v>0</v>
      </c>
      <c r="V507" s="25">
        <v>0</v>
      </c>
      <c r="W507" s="24">
        <v>0</v>
      </c>
      <c r="X507" s="24">
        <f>U507-W507</f>
        <v>0</v>
      </c>
      <c r="Y507" s="53" t="str">
        <f>IF(U507&lt;&gt;0,X507/U507,"")</f>
        <v/>
      </c>
      <c r="Z507" s="23">
        <v>0</v>
      </c>
      <c r="AA507" s="25">
        <v>0</v>
      </c>
      <c r="AB507" s="24">
        <v>0</v>
      </c>
      <c r="AC507" s="24">
        <f t="shared" si="152"/>
        <v>0</v>
      </c>
      <c r="AD507" s="53" t="str">
        <f t="shared" si="153"/>
        <v/>
      </c>
      <c r="AE507" s="10"/>
    </row>
    <row r="508" spans="1:31" x14ac:dyDescent="0.25">
      <c r="A508" s="14" t="s">
        <v>109</v>
      </c>
      <c r="C508" s="61" t="str">
        <f t="shared" si="151"/>
        <v>C100038</v>
      </c>
      <c r="F508" s="8" t="str">
        <f>"E100011"</f>
        <v>E100011</v>
      </c>
      <c r="G508" s="9" t="str">
        <f>"Plastic Sun Visor"</f>
        <v>Plastic Sun Visor</v>
      </c>
      <c r="H508" s="47"/>
      <c r="I508" s="47"/>
      <c r="J508" s="23">
        <v>0.79</v>
      </c>
      <c r="K508" s="25">
        <v>1</v>
      </c>
      <c r="L508" s="24">
        <v>0.42</v>
      </c>
      <c r="M508" s="24">
        <f>J508-L508</f>
        <v>0.37000000000000005</v>
      </c>
      <c r="N508" s="53">
        <f>IF(J508&lt;&gt;0,M508/J508,"")</f>
        <v>0.46835443037974689</v>
      </c>
      <c r="O508" s="23">
        <v>0</v>
      </c>
      <c r="P508" s="25">
        <v>0</v>
      </c>
      <c r="Q508" s="24">
        <v>0</v>
      </c>
      <c r="R508" s="24">
        <f>O508-Q508</f>
        <v>0</v>
      </c>
      <c r="S508" s="53" t="str">
        <f>IF(O508&lt;&gt;0,R508/O508,"")</f>
        <v/>
      </c>
      <c r="T508" s="10"/>
      <c r="U508" s="23">
        <v>0.8</v>
      </c>
      <c r="V508" s="25">
        <v>1</v>
      </c>
      <c r="W508" s="24">
        <v>0.42</v>
      </c>
      <c r="X508" s="24">
        <f>U508-W508</f>
        <v>0.38000000000000006</v>
      </c>
      <c r="Y508" s="53">
        <f>IF(U508&lt;&gt;0,X508/U508,"")</f>
        <v>0.47500000000000003</v>
      </c>
      <c r="Z508" s="23">
        <v>114.31</v>
      </c>
      <c r="AA508" s="25">
        <v>144</v>
      </c>
      <c r="AB508" s="24">
        <v>60.470000000000006</v>
      </c>
      <c r="AC508" s="24">
        <f t="shared" si="152"/>
        <v>53.839999999999996</v>
      </c>
      <c r="AD508" s="53">
        <f t="shared" si="153"/>
        <v>0.47099991251858975</v>
      </c>
      <c r="AE508" s="10"/>
    </row>
    <row r="509" spans="1:31" x14ac:dyDescent="0.25">
      <c r="A509" s="14" t="s">
        <v>109</v>
      </c>
      <c r="C509" s="61" t="str">
        <f t="shared" si="151"/>
        <v>C100038</v>
      </c>
      <c r="F509" s="8" t="str">
        <f>"E100013"</f>
        <v>E100013</v>
      </c>
      <c r="G509" s="9" t="str">
        <f>"Clip-on Stopwatch"</f>
        <v>Clip-on Stopwatch</v>
      </c>
      <c r="H509" s="47"/>
      <c r="I509" s="47"/>
      <c r="J509" s="23">
        <v>2.68</v>
      </c>
      <c r="K509" s="25">
        <v>1</v>
      </c>
      <c r="L509" s="24">
        <v>1.44</v>
      </c>
      <c r="M509" s="24">
        <f>J509-L509</f>
        <v>1.2400000000000002</v>
      </c>
      <c r="N509" s="53">
        <f>IF(J509&lt;&gt;0,M509/J509,"")</f>
        <v>0.46268656716417916</v>
      </c>
      <c r="O509" s="23">
        <v>0</v>
      </c>
      <c r="P509" s="25">
        <v>0</v>
      </c>
      <c r="Q509" s="24">
        <v>0</v>
      </c>
      <c r="R509" s="24">
        <f>O509-Q509</f>
        <v>0</v>
      </c>
      <c r="S509" s="53" t="str">
        <f>IF(O509&lt;&gt;0,R509/O509,"")</f>
        <v/>
      </c>
      <c r="T509" s="10"/>
      <c r="U509" s="23">
        <v>0</v>
      </c>
      <c r="V509" s="25">
        <v>0</v>
      </c>
      <c r="W509" s="24">
        <v>0</v>
      </c>
      <c r="X509" s="24">
        <f>U509-W509</f>
        <v>0</v>
      </c>
      <c r="Y509" s="53" t="str">
        <f>IF(U509&lt;&gt;0,X509/U509,"")</f>
        <v/>
      </c>
      <c r="Z509" s="23">
        <v>389.49</v>
      </c>
      <c r="AA509" s="25">
        <v>144</v>
      </c>
      <c r="AB509" s="24">
        <v>207.35</v>
      </c>
      <c r="AC509" s="24">
        <f t="shared" si="152"/>
        <v>182.14000000000001</v>
      </c>
      <c r="AD509" s="53">
        <f t="shared" si="153"/>
        <v>0.46763716655113097</v>
      </c>
      <c r="AE509" s="10"/>
    </row>
    <row r="510" spans="1:31" x14ac:dyDescent="0.25">
      <c r="A510" s="14" t="s">
        <v>109</v>
      </c>
      <c r="C510" s="61" t="str">
        <f t="shared" si="151"/>
        <v>C100038</v>
      </c>
      <c r="F510" s="8" t="str">
        <f>"E100015"</f>
        <v>E100015</v>
      </c>
      <c r="G510" s="9" t="str">
        <f>"360 Clip Watch"</f>
        <v>360 Clip Watch</v>
      </c>
      <c r="H510" s="47"/>
      <c r="I510" s="47"/>
      <c r="J510" s="23">
        <v>300.31</v>
      </c>
      <c r="K510" s="25">
        <v>144</v>
      </c>
      <c r="L510" s="24">
        <v>146.88</v>
      </c>
      <c r="M510" s="24">
        <f>J510-L510</f>
        <v>153.43</v>
      </c>
      <c r="N510" s="53">
        <f>IF(J510&lt;&gt;0,M510/J510,"")</f>
        <v>0.51090539775565247</v>
      </c>
      <c r="O510" s="23">
        <v>0</v>
      </c>
      <c r="P510" s="25">
        <v>0</v>
      </c>
      <c r="Q510" s="24">
        <v>0</v>
      </c>
      <c r="R510" s="24">
        <f>O510-Q510</f>
        <v>0</v>
      </c>
      <c r="S510" s="53" t="str">
        <f>IF(O510&lt;&gt;0,R510/O510,"")</f>
        <v/>
      </c>
      <c r="T510" s="10"/>
      <c r="U510" s="23">
        <v>0</v>
      </c>
      <c r="V510" s="25">
        <v>0</v>
      </c>
      <c r="W510" s="24">
        <v>0</v>
      </c>
      <c r="X510" s="24">
        <f>U510-W510</f>
        <v>0</v>
      </c>
      <c r="Y510" s="53" t="str">
        <f>IF(U510&lt;&gt;0,X510/U510,"")</f>
        <v/>
      </c>
      <c r="Z510" s="23">
        <v>606.80999999999995</v>
      </c>
      <c r="AA510" s="25">
        <v>288</v>
      </c>
      <c r="AB510" s="24">
        <v>293.77000000000004</v>
      </c>
      <c r="AC510" s="24">
        <f t="shared" si="152"/>
        <v>313.03999999999991</v>
      </c>
      <c r="AD510" s="53">
        <f t="shared" si="153"/>
        <v>0.51587811670868955</v>
      </c>
      <c r="AE510" s="10"/>
    </row>
    <row r="511" spans="1:31" x14ac:dyDescent="0.25">
      <c r="A511" s="14" t="s">
        <v>109</v>
      </c>
      <c r="C511" s="61" t="str">
        <f t="shared" si="151"/>
        <v>C100038</v>
      </c>
      <c r="F511" s="8" t="str">
        <f>"S100003"</f>
        <v>S100003</v>
      </c>
      <c r="G511" s="9" t="str">
        <f>"Soccer #1 Pin"</f>
        <v>Soccer #1 Pin</v>
      </c>
      <c r="H511" s="47"/>
      <c r="I511" s="47"/>
      <c r="J511" s="23">
        <v>209.52</v>
      </c>
      <c r="K511" s="25">
        <v>144</v>
      </c>
      <c r="L511" s="24">
        <v>129.6</v>
      </c>
      <c r="M511" s="24">
        <f>J511-L511</f>
        <v>79.920000000000016</v>
      </c>
      <c r="N511" s="53">
        <f>IF(J511&lt;&gt;0,M511/J511,"")</f>
        <v>0.3814432989690722</v>
      </c>
      <c r="O511" s="23">
        <v>0</v>
      </c>
      <c r="P511" s="25">
        <v>0</v>
      </c>
      <c r="Q511" s="24">
        <v>0</v>
      </c>
      <c r="R511" s="24">
        <f>O511-Q511</f>
        <v>0</v>
      </c>
      <c r="S511" s="53" t="str">
        <f>IF(O511&lt;&gt;0,R511/O511,"")</f>
        <v/>
      </c>
      <c r="T511" s="10"/>
      <c r="U511" s="23">
        <v>0</v>
      </c>
      <c r="V511" s="25">
        <v>0</v>
      </c>
      <c r="W511" s="24">
        <v>0</v>
      </c>
      <c r="X511" s="24">
        <f>U511-W511</f>
        <v>0</v>
      </c>
      <c r="Y511" s="53" t="str">
        <f>IF(U511&lt;&gt;0,X511/U511,"")</f>
        <v/>
      </c>
      <c r="Z511" s="23">
        <v>0</v>
      </c>
      <c r="AA511" s="25">
        <v>0</v>
      </c>
      <c r="AB511" s="24">
        <v>0</v>
      </c>
      <c r="AC511" s="24">
        <f t="shared" si="152"/>
        <v>0</v>
      </c>
      <c r="AD511" s="53" t="str">
        <f t="shared" si="153"/>
        <v/>
      </c>
      <c r="AE511" s="10"/>
    </row>
    <row r="512" spans="1:31" x14ac:dyDescent="0.25">
      <c r="A512" s="14" t="s">
        <v>109</v>
      </c>
      <c r="C512" s="61" t="str">
        <f t="shared" si="151"/>
        <v>C100038</v>
      </c>
      <c r="F512" s="8" t="str">
        <f>"S100007"</f>
        <v>S100007</v>
      </c>
      <c r="G512" s="9" t="str">
        <f>"Baseball Figure Trophy"</f>
        <v>Baseball Figure Trophy</v>
      </c>
      <c r="H512" s="47"/>
      <c r="I512" s="47"/>
      <c r="J512" s="23">
        <v>0</v>
      </c>
      <c r="K512" s="25">
        <v>0</v>
      </c>
      <c r="L512" s="24">
        <v>0</v>
      </c>
      <c r="M512" s="24">
        <f>J512-L512</f>
        <v>0</v>
      </c>
      <c r="N512" s="53" t="str">
        <f>IF(J512&lt;&gt;0,M512/J512,"")</f>
        <v/>
      </c>
      <c r="O512" s="23">
        <v>1044.29</v>
      </c>
      <c r="P512" s="25">
        <v>144</v>
      </c>
      <c r="Q512" s="24">
        <v>529.91999999999996</v>
      </c>
      <c r="R512" s="24">
        <f>O512-Q512</f>
        <v>514.37</v>
      </c>
      <c r="S512" s="53">
        <f>IF(O512&lt;&gt;0,R512/O512,"")</f>
        <v>0.4925547501173046</v>
      </c>
      <c r="T512" s="10"/>
      <c r="U512" s="23">
        <v>0</v>
      </c>
      <c r="V512" s="25">
        <v>0</v>
      </c>
      <c r="W512" s="24">
        <v>0</v>
      </c>
      <c r="X512" s="24">
        <f>U512-W512</f>
        <v>0</v>
      </c>
      <c r="Y512" s="53" t="str">
        <f>IF(U512&lt;&gt;0,X512/U512,"")</f>
        <v/>
      </c>
      <c r="Z512" s="23">
        <v>0</v>
      </c>
      <c r="AA512" s="25">
        <v>0</v>
      </c>
      <c r="AB512" s="24">
        <v>0</v>
      </c>
      <c r="AC512" s="24">
        <f t="shared" si="152"/>
        <v>0</v>
      </c>
      <c r="AD512" s="53" t="str">
        <f t="shared" si="153"/>
        <v/>
      </c>
      <c r="AE512" s="10"/>
    </row>
    <row r="513" spans="1:31" x14ac:dyDescent="0.25">
      <c r="A513" s="14" t="s">
        <v>109</v>
      </c>
      <c r="C513" s="61" t="str">
        <f t="shared" si="151"/>
        <v>C100038</v>
      </c>
      <c r="F513" s="8" t="str">
        <f>"S100011"</f>
        <v>S100011</v>
      </c>
      <c r="G513" s="9" t="str">
        <f>"All Star Cap"</f>
        <v>All Star Cap</v>
      </c>
      <c r="H513" s="47"/>
      <c r="I513" s="47"/>
      <c r="J513" s="23">
        <v>202.52999999999997</v>
      </c>
      <c r="K513" s="25">
        <v>144</v>
      </c>
      <c r="L513" s="24">
        <v>122.41</v>
      </c>
      <c r="M513" s="24">
        <f>J513-L513</f>
        <v>80.119999999999976</v>
      </c>
      <c r="N513" s="53">
        <f>IF(J513&lt;&gt;0,M513/J513,"")</f>
        <v>0.39559571421517792</v>
      </c>
      <c r="O513" s="23">
        <v>1.42</v>
      </c>
      <c r="P513" s="25">
        <v>1</v>
      </c>
      <c r="Q513" s="24">
        <v>0.85</v>
      </c>
      <c r="R513" s="24">
        <f>O513-Q513</f>
        <v>0.56999999999999995</v>
      </c>
      <c r="S513" s="53">
        <f>IF(O513&lt;&gt;0,R513/O513,"")</f>
        <v>0.40140845070422532</v>
      </c>
      <c r="T513" s="10"/>
      <c r="U513" s="23">
        <v>0</v>
      </c>
      <c r="V513" s="25">
        <v>0</v>
      </c>
      <c r="W513" s="24">
        <v>0</v>
      </c>
      <c r="X513" s="24">
        <f>U513-W513</f>
        <v>0</v>
      </c>
      <c r="Y513" s="53" t="str">
        <f>IF(U513&lt;&gt;0,X513/U513,"")</f>
        <v/>
      </c>
      <c r="Z513" s="23">
        <v>0</v>
      </c>
      <c r="AA513" s="25">
        <v>0</v>
      </c>
      <c r="AB513" s="24">
        <v>0</v>
      </c>
      <c r="AC513" s="24">
        <f t="shared" si="152"/>
        <v>0</v>
      </c>
      <c r="AD513" s="53" t="str">
        <f t="shared" si="153"/>
        <v/>
      </c>
      <c r="AE513" s="10"/>
    </row>
    <row r="514" spans="1:31" x14ac:dyDescent="0.25">
      <c r="A514" s="14" t="s">
        <v>109</v>
      </c>
      <c r="C514" s="61" t="str">
        <f t="shared" si="151"/>
        <v>C100038</v>
      </c>
      <c r="F514" s="8" t="str">
        <f>"S100016"</f>
        <v>S100016</v>
      </c>
      <c r="G514" s="9" t="str">
        <f>"Mesh Bucket Hat"</f>
        <v>Mesh Bucket Hat</v>
      </c>
      <c r="H514" s="47"/>
      <c r="I514" s="47"/>
      <c r="J514" s="23">
        <v>695.61</v>
      </c>
      <c r="K514" s="25">
        <v>144</v>
      </c>
      <c r="L514" s="24">
        <v>396.01</v>
      </c>
      <c r="M514" s="24">
        <f>J514-L514</f>
        <v>299.60000000000002</v>
      </c>
      <c r="N514" s="53">
        <f>IF(J514&lt;&gt;0,M514/J514,"")</f>
        <v>0.43070111125486987</v>
      </c>
      <c r="O514" s="23">
        <v>0</v>
      </c>
      <c r="P514" s="25">
        <v>0</v>
      </c>
      <c r="Q514" s="24">
        <v>0</v>
      </c>
      <c r="R514" s="24">
        <f>O514-Q514</f>
        <v>0</v>
      </c>
      <c r="S514" s="53" t="str">
        <f>IF(O514&lt;&gt;0,R514/O514,"")</f>
        <v/>
      </c>
      <c r="T514" s="10"/>
      <c r="U514" s="23">
        <v>702.78</v>
      </c>
      <c r="V514" s="25">
        <v>144</v>
      </c>
      <c r="W514" s="24">
        <v>396.01</v>
      </c>
      <c r="X514" s="24">
        <f>U514-W514</f>
        <v>306.77</v>
      </c>
      <c r="Y514" s="53">
        <f>IF(U514&lt;&gt;0,X514/U514,"")</f>
        <v>0.43650929167022395</v>
      </c>
      <c r="Z514" s="23">
        <v>0</v>
      </c>
      <c r="AA514" s="25">
        <v>0</v>
      </c>
      <c r="AB514" s="24">
        <v>0</v>
      </c>
      <c r="AC514" s="24">
        <f t="shared" si="152"/>
        <v>0</v>
      </c>
      <c r="AD514" s="53" t="str">
        <f t="shared" si="153"/>
        <v/>
      </c>
      <c r="AE514" s="10"/>
    </row>
    <row r="515" spans="1:31" x14ac:dyDescent="0.25">
      <c r="A515" s="14" t="s">
        <v>109</v>
      </c>
      <c r="C515" s="61" t="str">
        <f t="shared" si="151"/>
        <v>C100038</v>
      </c>
      <c r="F515" s="8" t="str">
        <f>"S100017"</f>
        <v>S100017</v>
      </c>
      <c r="G515" s="9" t="str">
        <f>"Microfiber Bucket Hat"</f>
        <v>Microfiber Bucket Hat</v>
      </c>
      <c r="H515" s="47"/>
      <c r="I515" s="47"/>
      <c r="J515" s="23">
        <v>1030.8399999999999</v>
      </c>
      <c r="K515" s="25">
        <v>144</v>
      </c>
      <c r="L515" s="24">
        <v>685.44</v>
      </c>
      <c r="M515" s="24">
        <f>J515-L515</f>
        <v>345.39999999999986</v>
      </c>
      <c r="N515" s="53">
        <f>IF(J515&lt;&gt;0,M515/J515,"")</f>
        <v>0.33506654766986138</v>
      </c>
      <c r="O515" s="23">
        <v>0</v>
      </c>
      <c r="P515" s="25">
        <v>0</v>
      </c>
      <c r="Q515" s="24">
        <v>0</v>
      </c>
      <c r="R515" s="24">
        <f>O515-Q515</f>
        <v>0</v>
      </c>
      <c r="S515" s="53" t="str">
        <f>IF(O515&lt;&gt;0,R515/O515,"")</f>
        <v/>
      </c>
      <c r="T515" s="10"/>
      <c r="U515" s="23">
        <v>0</v>
      </c>
      <c r="V515" s="25">
        <v>0</v>
      </c>
      <c r="W515" s="24">
        <v>0</v>
      </c>
      <c r="X515" s="24">
        <f>U515-W515</f>
        <v>0</v>
      </c>
      <c r="Y515" s="53" t="str">
        <f>IF(U515&lt;&gt;0,X515/U515,"")</f>
        <v/>
      </c>
      <c r="Z515" s="23">
        <v>0</v>
      </c>
      <c r="AA515" s="25">
        <v>0</v>
      </c>
      <c r="AB515" s="24">
        <v>0</v>
      </c>
      <c r="AC515" s="24">
        <f t="shared" si="152"/>
        <v>0</v>
      </c>
      <c r="AD515" s="53" t="str">
        <f t="shared" si="153"/>
        <v/>
      </c>
      <c r="AE515" s="10"/>
    </row>
    <row r="516" spans="1:31" x14ac:dyDescent="0.25">
      <c r="A516" s="14" t="s">
        <v>109</v>
      </c>
      <c r="C516" s="61" t="str">
        <f t="shared" si="151"/>
        <v>C100038</v>
      </c>
      <c r="F516" s="8" t="str">
        <f>"S100019"</f>
        <v>S100019</v>
      </c>
      <c r="G516" s="9" t="str">
        <f>"Sportsman Bucket Hat"</f>
        <v>Sportsman Bucket Hat</v>
      </c>
      <c r="H516" s="47"/>
      <c r="I516" s="47"/>
      <c r="J516" s="23">
        <v>0</v>
      </c>
      <c r="K516" s="25">
        <v>0</v>
      </c>
      <c r="L516" s="24">
        <v>0</v>
      </c>
      <c r="M516" s="24">
        <f>J516-L516</f>
        <v>0</v>
      </c>
      <c r="N516" s="53" t="str">
        <f>IF(J516&lt;&gt;0,M516/J516,"")</f>
        <v/>
      </c>
      <c r="O516" s="23">
        <v>647.74</v>
      </c>
      <c r="P516" s="25">
        <v>144</v>
      </c>
      <c r="Q516" s="24">
        <v>349.93</v>
      </c>
      <c r="R516" s="24">
        <f>O516-Q516</f>
        <v>297.81</v>
      </c>
      <c r="S516" s="53">
        <f>IF(O516&lt;&gt;0,R516/O516,"")</f>
        <v>0.45976780807113965</v>
      </c>
      <c r="T516" s="10"/>
      <c r="U516" s="23">
        <v>854.83999999999992</v>
      </c>
      <c r="V516" s="25">
        <v>192</v>
      </c>
      <c r="W516" s="24">
        <v>466.57</v>
      </c>
      <c r="X516" s="24">
        <f>U516-W516</f>
        <v>388.26999999999992</v>
      </c>
      <c r="Y516" s="53">
        <f>IF(U516&lt;&gt;0,X516/U516,"")</f>
        <v>0.45420195592157592</v>
      </c>
      <c r="Z516" s="23">
        <v>0</v>
      </c>
      <c r="AA516" s="25">
        <v>0</v>
      </c>
      <c r="AB516" s="24">
        <v>0</v>
      </c>
      <c r="AC516" s="24">
        <f t="shared" si="152"/>
        <v>0</v>
      </c>
      <c r="AD516" s="53" t="str">
        <f t="shared" si="153"/>
        <v/>
      </c>
      <c r="AE516" s="10"/>
    </row>
    <row r="517" spans="1:31" x14ac:dyDescent="0.25">
      <c r="A517" s="14" t="s">
        <v>109</v>
      </c>
      <c r="C517" s="61" t="str">
        <f t="shared" si="151"/>
        <v>C100038</v>
      </c>
      <c r="F517" s="8" t="str">
        <f>"S100020"</f>
        <v>S100020</v>
      </c>
      <c r="G517" s="9" t="str">
        <f>"Super Sport Stopwatch"</f>
        <v>Super Sport Stopwatch</v>
      </c>
      <c r="H517" s="47"/>
      <c r="I517" s="47"/>
      <c r="J517" s="23">
        <v>0</v>
      </c>
      <c r="K517" s="25">
        <v>0</v>
      </c>
      <c r="L517" s="24">
        <v>0</v>
      </c>
      <c r="M517" s="24">
        <f>J517-L517</f>
        <v>0</v>
      </c>
      <c r="N517" s="53" t="str">
        <f>IF(J517&lt;&gt;0,M517/J517,"")</f>
        <v/>
      </c>
      <c r="O517" s="23">
        <v>410.19</v>
      </c>
      <c r="P517" s="25">
        <v>192</v>
      </c>
      <c r="Q517" s="24">
        <v>201.6</v>
      </c>
      <c r="R517" s="24">
        <f>O517-Q517</f>
        <v>208.59</v>
      </c>
      <c r="S517" s="53">
        <f>IF(O517&lt;&gt;0,R517/O517,"")</f>
        <v>0.50852044174650768</v>
      </c>
      <c r="T517" s="10"/>
      <c r="U517" s="23">
        <v>0</v>
      </c>
      <c r="V517" s="25">
        <v>0</v>
      </c>
      <c r="W517" s="24">
        <v>0</v>
      </c>
      <c r="X517" s="24">
        <f>U517-W517</f>
        <v>0</v>
      </c>
      <c r="Y517" s="53" t="str">
        <f>IF(U517&lt;&gt;0,X517/U517,"")</f>
        <v/>
      </c>
      <c r="Z517" s="23">
        <v>0</v>
      </c>
      <c r="AA517" s="25">
        <v>0</v>
      </c>
      <c r="AB517" s="24">
        <v>0</v>
      </c>
      <c r="AC517" s="24">
        <f t="shared" si="152"/>
        <v>0</v>
      </c>
      <c r="AD517" s="53" t="str">
        <f t="shared" si="153"/>
        <v/>
      </c>
      <c r="AE517" s="10"/>
    </row>
    <row r="518" spans="1:31" ht="15.75" thickBot="1" x14ac:dyDescent="0.3">
      <c r="A518" s="14" t="s">
        <v>109</v>
      </c>
      <c r="C518" s="61" t="str">
        <f>C498</f>
        <v>C100038</v>
      </c>
      <c r="J518" s="10"/>
      <c r="K518" s="11"/>
      <c r="L518" s="11"/>
      <c r="M518" s="11"/>
      <c r="N518" s="12"/>
      <c r="O518" s="10"/>
      <c r="P518" s="11"/>
      <c r="Q518" s="11"/>
      <c r="R518" s="11"/>
      <c r="S518" s="12"/>
      <c r="U518" s="10"/>
      <c r="V518" s="11"/>
      <c r="W518" s="11"/>
      <c r="X518" s="11"/>
      <c r="Y518" s="12"/>
      <c r="Z518" s="10"/>
      <c r="AA518" s="11"/>
      <c r="AB518" s="11"/>
      <c r="AC518" s="11"/>
      <c r="AD518" s="12"/>
    </row>
    <row r="519" spans="1:31" ht="15.75" thickBot="1" x14ac:dyDescent="0.3">
      <c r="A519" s="14" t="s">
        <v>109</v>
      </c>
      <c r="C519" s="61" t="str">
        <f t="shared" si="148"/>
        <v>C100038</v>
      </c>
      <c r="G519" s="48" t="str">
        <f>C519&amp;" TOTAL:"</f>
        <v>C100038 TOTAL:</v>
      </c>
      <c r="H519" s="50"/>
      <c r="I519" s="50"/>
      <c r="J519" s="34">
        <f>SUBTOTAL(9,J497:J518)</f>
        <v>13567.860000000002</v>
      </c>
      <c r="K519" s="35">
        <f>SUBTOTAL(9,K497:K518)</f>
        <v>1043</v>
      </c>
      <c r="L519" s="36">
        <f>SUBTOTAL(9,L497:L518)</f>
        <v>7233.3299999999981</v>
      </c>
      <c r="M519" s="36">
        <f>J519-L519</f>
        <v>6334.5300000000043</v>
      </c>
      <c r="N519" s="37">
        <f>IF(J519&lt;&gt;0,M519/J519,"")</f>
        <v>0.46687760634322606</v>
      </c>
      <c r="O519" s="34">
        <f>SUBTOTAL(9,O497:O518)</f>
        <v>12176.08</v>
      </c>
      <c r="P519" s="35">
        <f>SUBTOTAL(9,P497:P518)</f>
        <v>781</v>
      </c>
      <c r="Q519" s="36">
        <f>SUBTOTAL(9,Q497:Q518)</f>
        <v>6099.4800000000005</v>
      </c>
      <c r="R519" s="36">
        <f>O519-Q519</f>
        <v>6076.5999999999995</v>
      </c>
      <c r="S519" s="37">
        <f>IF(O519&lt;&gt;0,R519/O519,"")</f>
        <v>0.49906045295365992</v>
      </c>
      <c r="U519" s="34">
        <f>SUBTOTAL(9,U497:U518)</f>
        <v>23655.07</v>
      </c>
      <c r="V519" s="35">
        <f>SUBTOTAL(9,V497:V518)</f>
        <v>452</v>
      </c>
      <c r="W519" s="36">
        <f>SUBTOTAL(9,W497:W518)</f>
        <v>11174.48</v>
      </c>
      <c r="X519" s="36">
        <f>U519-W519</f>
        <v>12480.59</v>
      </c>
      <c r="Y519" s="37">
        <f>IF(U519&lt;&gt;0,X519/U519,"")</f>
        <v>0.52760740086586089</v>
      </c>
      <c r="Z519" s="34">
        <f>SUBTOTAL(9,Z497:Z518)</f>
        <v>4758.3799999999992</v>
      </c>
      <c r="AA519" s="35">
        <f>SUBTOTAL(9,AA497:AA518)</f>
        <v>769</v>
      </c>
      <c r="AB519" s="36">
        <f>SUBTOTAL(9,AB497:AB518)</f>
        <v>2361.4</v>
      </c>
      <c r="AC519" s="36">
        <f t="shared" ref="AC519" si="154">Z519-AB519</f>
        <v>2396.9799999999991</v>
      </c>
      <c r="AD519" s="37">
        <f t="shared" ref="AD519" si="155">IF(Z519&lt;&gt;0,AC519/Z519,"")</f>
        <v>0.50373866736158091</v>
      </c>
    </row>
    <row r="520" spans="1:31" x14ac:dyDescent="0.25">
      <c r="A520" s="14" t="s">
        <v>109</v>
      </c>
      <c r="C520" s="66"/>
      <c r="J520" s="10"/>
      <c r="K520" s="11"/>
      <c r="L520" s="11"/>
      <c r="M520" s="11"/>
      <c r="N520" s="12"/>
      <c r="O520" s="10"/>
      <c r="P520" s="11"/>
      <c r="Q520" s="11"/>
      <c r="R520" s="11"/>
      <c r="S520" s="12"/>
      <c r="U520" s="10"/>
      <c r="V520" s="11"/>
      <c r="W520" s="11"/>
      <c r="X520" s="11"/>
      <c r="Y520" s="12"/>
      <c r="Z520" s="10"/>
      <c r="AA520" s="11"/>
      <c r="AB520" s="11"/>
      <c r="AC520" s="11"/>
      <c r="AD520" s="12"/>
    </row>
    <row r="521" spans="1:31" ht="15.75" x14ac:dyDescent="0.25">
      <c r="A521" s="14" t="s">
        <v>109</v>
      </c>
      <c r="C521" s="66" t="str">
        <f t="shared" ref="C521" si="156">E521</f>
        <v>C100039</v>
      </c>
      <c r="E521" s="13" t="str">
        <f>"C100039"</f>
        <v>C100039</v>
      </c>
      <c r="F521" s="13"/>
      <c r="G521" s="13" t="str">
        <f>"Gary's Sports"</f>
        <v>Gary's Sports</v>
      </c>
      <c r="H521" s="13"/>
      <c r="I521" s="13"/>
      <c r="J521" s="10"/>
      <c r="K521" s="11"/>
      <c r="L521" s="11"/>
      <c r="M521" s="11"/>
      <c r="N521" s="12"/>
      <c r="O521" s="10"/>
      <c r="P521" s="11"/>
      <c r="Q521" s="11"/>
      <c r="R521" s="11"/>
      <c r="S521" s="12"/>
      <c r="U521" s="10"/>
      <c r="V521" s="11"/>
      <c r="W521" s="11"/>
      <c r="X521" s="11"/>
      <c r="Y521" s="12"/>
      <c r="Z521" s="10"/>
      <c r="AA521" s="11"/>
      <c r="AB521" s="11"/>
      <c r="AC521" s="11"/>
      <c r="AD521" s="12"/>
    </row>
    <row r="522" spans="1:31" ht="6.6" customHeight="1" x14ac:dyDescent="0.25">
      <c r="A522" s="14" t="s">
        <v>109</v>
      </c>
      <c r="C522" s="61" t="str">
        <f t="shared" ref="C522:C545" si="157">C521</f>
        <v>C100039</v>
      </c>
      <c r="J522" s="10"/>
      <c r="K522" s="11"/>
      <c r="L522" s="11"/>
      <c r="M522" s="11"/>
      <c r="N522" s="12"/>
      <c r="O522" s="10"/>
      <c r="P522" s="11"/>
      <c r="Q522" s="11"/>
      <c r="R522" s="11"/>
      <c r="S522" s="12"/>
      <c r="U522" s="10"/>
      <c r="V522" s="11"/>
      <c r="W522" s="11"/>
      <c r="X522" s="11"/>
      <c r="Y522" s="12"/>
      <c r="Z522" s="10"/>
      <c r="AA522" s="11"/>
      <c r="AB522" s="11"/>
      <c r="AC522" s="11"/>
      <c r="AD522" s="12"/>
    </row>
    <row r="523" spans="1:31" x14ac:dyDescent="0.25">
      <c r="A523" s="14" t="s">
        <v>109</v>
      </c>
      <c r="C523" s="61" t="str">
        <f t="shared" si="157"/>
        <v>C100039</v>
      </c>
      <c r="F523" s="8" t="str">
        <f>"C100003"</f>
        <v>C100003</v>
      </c>
      <c r="G523" s="9" t="str">
        <f>"Cherry Finish Frame"</f>
        <v>Cherry Finish Frame</v>
      </c>
      <c r="H523" s="47"/>
      <c r="I523" s="47"/>
      <c r="J523" s="23">
        <v>8798.5400000000009</v>
      </c>
      <c r="K523" s="25">
        <v>144</v>
      </c>
      <c r="L523" s="24">
        <v>4700.1499999999996</v>
      </c>
      <c r="M523" s="24">
        <f>J523-L523</f>
        <v>4098.3900000000012</v>
      </c>
      <c r="N523" s="53">
        <f>IF(J523&lt;&gt;0,M523/J523,"")</f>
        <v>0.46580341738515718</v>
      </c>
      <c r="O523" s="23">
        <v>0</v>
      </c>
      <c r="P523" s="25">
        <v>0</v>
      </c>
      <c r="Q523" s="24">
        <v>0</v>
      </c>
      <c r="R523" s="24">
        <f>O523-Q523</f>
        <v>0</v>
      </c>
      <c r="S523" s="53" t="str">
        <f>IF(O523&lt;&gt;0,R523/O523,"")</f>
        <v/>
      </c>
      <c r="T523" s="10"/>
      <c r="U523" s="23">
        <v>0</v>
      </c>
      <c r="V523" s="25">
        <v>0</v>
      </c>
      <c r="W523" s="24">
        <v>0</v>
      </c>
      <c r="X523" s="24">
        <f>U523-W523</f>
        <v>0</v>
      </c>
      <c r="Y523" s="53" t="str">
        <f>IF(U523&lt;&gt;0,X523/U523,"")</f>
        <v/>
      </c>
      <c r="Z523" s="23">
        <v>0</v>
      </c>
      <c r="AA523" s="25">
        <v>0</v>
      </c>
      <c r="AB523" s="24">
        <v>0</v>
      </c>
      <c r="AC523" s="24">
        <f t="shared" ref="AC523" si="158">Z523-AB523</f>
        <v>0</v>
      </c>
      <c r="AD523" s="53" t="str">
        <f t="shared" ref="AD523" si="159">IF(Z523&lt;&gt;0,AC523/Z523,"")</f>
        <v/>
      </c>
      <c r="AE523" s="10"/>
    </row>
    <row r="524" spans="1:31" x14ac:dyDescent="0.25">
      <c r="A524" s="14" t="s">
        <v>109</v>
      </c>
      <c r="C524" s="61" t="str">
        <f t="shared" ref="C524:C543" si="160">C523</f>
        <v>C100039</v>
      </c>
      <c r="F524" s="8" t="str">
        <f>"C100004"</f>
        <v>C100004</v>
      </c>
      <c r="G524" s="9" t="str">
        <f>"Walnut Medallian Plate"</f>
        <v>Walnut Medallian Plate</v>
      </c>
      <c r="H524" s="47"/>
      <c r="I524" s="47"/>
      <c r="J524" s="23">
        <v>7693.06</v>
      </c>
      <c r="K524" s="25">
        <v>144</v>
      </c>
      <c r="L524" s="24">
        <v>4406.3899999999994</v>
      </c>
      <c r="M524" s="24">
        <f>J524-L524</f>
        <v>3286.670000000001</v>
      </c>
      <c r="N524" s="53">
        <f>IF(J524&lt;&gt;0,M524/J524,"")</f>
        <v>0.42722531736396191</v>
      </c>
      <c r="O524" s="23">
        <v>0</v>
      </c>
      <c r="P524" s="25">
        <v>0</v>
      </c>
      <c r="Q524" s="24">
        <v>0</v>
      </c>
      <c r="R524" s="24">
        <f>O524-Q524</f>
        <v>0</v>
      </c>
      <c r="S524" s="53" t="str">
        <f>IF(O524&lt;&gt;0,R524/O524,"")</f>
        <v/>
      </c>
      <c r="T524" s="10"/>
      <c r="U524" s="23">
        <v>0</v>
      </c>
      <c r="V524" s="25">
        <v>0</v>
      </c>
      <c r="W524" s="24">
        <v>0</v>
      </c>
      <c r="X524" s="24">
        <f>U524-W524</f>
        <v>0</v>
      </c>
      <c r="Y524" s="53" t="str">
        <f>IF(U524&lt;&gt;0,X524/U524,"")</f>
        <v/>
      </c>
      <c r="Z524" s="23">
        <v>0</v>
      </c>
      <c r="AA524" s="25">
        <v>0</v>
      </c>
      <c r="AB524" s="24">
        <v>0</v>
      </c>
      <c r="AC524" s="24">
        <f t="shared" ref="AC524:AC543" si="161">Z524-AB524</f>
        <v>0</v>
      </c>
      <c r="AD524" s="53" t="str">
        <f t="shared" ref="AD524:AD543" si="162">IF(Z524&lt;&gt;0,AC524/Z524,"")</f>
        <v/>
      </c>
      <c r="AE524" s="10"/>
    </row>
    <row r="525" spans="1:31" x14ac:dyDescent="0.25">
      <c r="A525" s="14" t="s">
        <v>109</v>
      </c>
      <c r="C525" s="61" t="str">
        <f t="shared" si="160"/>
        <v>C100039</v>
      </c>
      <c r="F525" s="8" t="str">
        <f>"C100005"</f>
        <v>C100005</v>
      </c>
      <c r="G525" s="9" t="str">
        <f>"Cherry Finished Crystal Award"</f>
        <v>Cherry Finished Crystal Award</v>
      </c>
      <c r="H525" s="47"/>
      <c r="I525" s="47"/>
      <c r="J525" s="23">
        <v>6072.3899999999994</v>
      </c>
      <c r="K525" s="25">
        <v>48</v>
      </c>
      <c r="L525" s="24">
        <v>3404.64</v>
      </c>
      <c r="M525" s="24">
        <f>J525-L525</f>
        <v>2667.7499999999995</v>
      </c>
      <c r="N525" s="53">
        <f>IF(J525&lt;&gt;0,M525/J525,"")</f>
        <v>0.43932454931254411</v>
      </c>
      <c r="O525" s="23">
        <v>0</v>
      </c>
      <c r="P525" s="25">
        <v>0</v>
      </c>
      <c r="Q525" s="24">
        <v>0</v>
      </c>
      <c r="R525" s="24">
        <f>O525-Q525</f>
        <v>0</v>
      </c>
      <c r="S525" s="53" t="str">
        <f>IF(O525&lt;&gt;0,R525/O525,"")</f>
        <v/>
      </c>
      <c r="T525" s="10"/>
      <c r="U525" s="23">
        <v>0</v>
      </c>
      <c r="V525" s="25">
        <v>0</v>
      </c>
      <c r="W525" s="24">
        <v>0</v>
      </c>
      <c r="X525" s="24">
        <f>U525-W525</f>
        <v>0</v>
      </c>
      <c r="Y525" s="53" t="str">
        <f>IF(U525&lt;&gt;0,X525/U525,"")</f>
        <v/>
      </c>
      <c r="Z525" s="23">
        <v>0</v>
      </c>
      <c r="AA525" s="25">
        <v>0</v>
      </c>
      <c r="AB525" s="24">
        <v>0</v>
      </c>
      <c r="AC525" s="24">
        <f t="shared" si="161"/>
        <v>0</v>
      </c>
      <c r="AD525" s="53" t="str">
        <f t="shared" si="162"/>
        <v/>
      </c>
      <c r="AE525" s="10"/>
    </row>
    <row r="526" spans="1:31" x14ac:dyDescent="0.25">
      <c r="A526" s="14" t="s">
        <v>109</v>
      </c>
      <c r="C526" s="61" t="str">
        <f t="shared" si="160"/>
        <v>C100039</v>
      </c>
      <c r="F526" s="8" t="str">
        <f>"C100017"</f>
        <v>C100017</v>
      </c>
      <c r="G526" s="9" t="str">
        <f>"Wheeled Duffel"</f>
        <v>Wheeled Duffel</v>
      </c>
      <c r="H526" s="47"/>
      <c r="I526" s="47"/>
      <c r="J526" s="23">
        <v>4222.33</v>
      </c>
      <c r="K526" s="25">
        <v>24</v>
      </c>
      <c r="L526" s="24">
        <v>2429.2800000000002</v>
      </c>
      <c r="M526" s="24">
        <f>J526-L526</f>
        <v>1793.0499999999997</v>
      </c>
      <c r="N526" s="53">
        <f>IF(J526&lt;&gt;0,M526/J526,"")</f>
        <v>0.42465889686500102</v>
      </c>
      <c r="O526" s="23">
        <v>0</v>
      </c>
      <c r="P526" s="25">
        <v>0</v>
      </c>
      <c r="Q526" s="24">
        <v>0</v>
      </c>
      <c r="R526" s="24">
        <f>O526-Q526</f>
        <v>0</v>
      </c>
      <c r="S526" s="53" t="str">
        <f>IF(O526&lt;&gt;0,R526/O526,"")</f>
        <v/>
      </c>
      <c r="T526" s="10"/>
      <c r="U526" s="23">
        <v>0</v>
      </c>
      <c r="V526" s="25">
        <v>0</v>
      </c>
      <c r="W526" s="24">
        <v>0</v>
      </c>
      <c r="X526" s="24">
        <f>U526-W526</f>
        <v>0</v>
      </c>
      <c r="Y526" s="53" t="str">
        <f>IF(U526&lt;&gt;0,X526/U526,"")</f>
        <v/>
      </c>
      <c r="Z526" s="23">
        <v>0</v>
      </c>
      <c r="AA526" s="25">
        <v>0</v>
      </c>
      <c r="AB526" s="24">
        <v>0</v>
      </c>
      <c r="AC526" s="24">
        <f t="shared" si="161"/>
        <v>0</v>
      </c>
      <c r="AD526" s="53" t="str">
        <f t="shared" si="162"/>
        <v/>
      </c>
      <c r="AE526" s="10"/>
    </row>
    <row r="527" spans="1:31" x14ac:dyDescent="0.25">
      <c r="A527" s="14" t="s">
        <v>109</v>
      </c>
      <c r="C527" s="61" t="str">
        <f t="shared" si="160"/>
        <v>C100039</v>
      </c>
      <c r="F527" s="8" t="str">
        <f>"C100021"</f>
        <v>C100021</v>
      </c>
      <c r="G527" s="9" t="str">
        <f>"Canvas Boat Bag"</f>
        <v>Canvas Boat Bag</v>
      </c>
      <c r="H527" s="47"/>
      <c r="I527" s="47"/>
      <c r="J527" s="23">
        <v>445.82000000000005</v>
      </c>
      <c r="K527" s="25">
        <v>48</v>
      </c>
      <c r="L527" s="24">
        <v>330.24</v>
      </c>
      <c r="M527" s="24">
        <f>J527-L527</f>
        <v>115.58000000000004</v>
      </c>
      <c r="N527" s="53">
        <f>IF(J527&lt;&gt;0,M527/J527,"")</f>
        <v>0.25925261316226283</v>
      </c>
      <c r="O527" s="23">
        <v>0</v>
      </c>
      <c r="P527" s="25">
        <v>0</v>
      </c>
      <c r="Q527" s="24">
        <v>0</v>
      </c>
      <c r="R527" s="24">
        <f>O527-Q527</f>
        <v>0</v>
      </c>
      <c r="S527" s="53" t="str">
        <f>IF(O527&lt;&gt;0,R527/O527,"")</f>
        <v/>
      </c>
      <c r="T527" s="10"/>
      <c r="U527" s="23">
        <v>9.8000000000000007</v>
      </c>
      <c r="V527" s="25">
        <v>1</v>
      </c>
      <c r="W527" s="24">
        <v>6.88</v>
      </c>
      <c r="X527" s="24">
        <f>U527-W527</f>
        <v>2.9200000000000008</v>
      </c>
      <c r="Y527" s="53">
        <f>IF(U527&lt;&gt;0,X527/U527,"")</f>
        <v>0.29795918367346946</v>
      </c>
      <c r="Z527" s="23">
        <v>0</v>
      </c>
      <c r="AA527" s="25">
        <v>0</v>
      </c>
      <c r="AB527" s="24">
        <v>0</v>
      </c>
      <c r="AC527" s="24">
        <f t="shared" si="161"/>
        <v>0</v>
      </c>
      <c r="AD527" s="53" t="str">
        <f t="shared" si="162"/>
        <v/>
      </c>
      <c r="AE527" s="10"/>
    </row>
    <row r="528" spans="1:31" x14ac:dyDescent="0.25">
      <c r="A528" s="14" t="s">
        <v>109</v>
      </c>
      <c r="C528" s="61" t="str">
        <f t="shared" si="160"/>
        <v>C100039</v>
      </c>
      <c r="F528" s="8" t="str">
        <f>"C100024"</f>
        <v>C100024</v>
      </c>
      <c r="G528" s="9" t="str">
        <f>"Knit Hat with Bill"</f>
        <v>Knit Hat with Bill</v>
      </c>
      <c r="H528" s="47"/>
      <c r="I528" s="47"/>
      <c r="J528" s="23">
        <v>692.06</v>
      </c>
      <c r="K528" s="25">
        <v>144</v>
      </c>
      <c r="L528" s="24">
        <v>432</v>
      </c>
      <c r="M528" s="24">
        <f>J528-L528</f>
        <v>260.05999999999995</v>
      </c>
      <c r="N528" s="53">
        <f>IF(J528&lt;&gt;0,M528/J528,"")</f>
        <v>0.37577666676299737</v>
      </c>
      <c r="O528" s="23">
        <v>0</v>
      </c>
      <c r="P528" s="25">
        <v>0</v>
      </c>
      <c r="Q528" s="24">
        <v>0</v>
      </c>
      <c r="R528" s="24">
        <f>O528-Q528</f>
        <v>0</v>
      </c>
      <c r="S528" s="53" t="str">
        <f>IF(O528&lt;&gt;0,R528/O528,"")</f>
        <v/>
      </c>
      <c r="T528" s="10"/>
      <c r="U528" s="23">
        <v>0</v>
      </c>
      <c r="V528" s="25">
        <v>0</v>
      </c>
      <c r="W528" s="24">
        <v>0</v>
      </c>
      <c r="X528" s="24">
        <f>U528-W528</f>
        <v>0</v>
      </c>
      <c r="Y528" s="53" t="str">
        <f>IF(U528&lt;&gt;0,X528/U528,"")</f>
        <v/>
      </c>
      <c r="Z528" s="23">
        <v>0</v>
      </c>
      <c r="AA528" s="25">
        <v>0</v>
      </c>
      <c r="AB528" s="24">
        <v>0</v>
      </c>
      <c r="AC528" s="24">
        <f t="shared" si="161"/>
        <v>0</v>
      </c>
      <c r="AD528" s="53" t="str">
        <f t="shared" si="162"/>
        <v/>
      </c>
      <c r="AE528" s="10"/>
    </row>
    <row r="529" spans="1:31" x14ac:dyDescent="0.25">
      <c r="A529" s="14" t="s">
        <v>109</v>
      </c>
      <c r="C529" s="61" t="str">
        <f t="shared" si="160"/>
        <v>C100039</v>
      </c>
      <c r="F529" s="8" t="str">
        <f>"C100025"</f>
        <v>C100025</v>
      </c>
      <c r="G529" s="9" t="str">
        <f>"Striped Knit Hat"</f>
        <v>Striped Knit Hat</v>
      </c>
      <c r="H529" s="47"/>
      <c r="I529" s="47"/>
      <c r="J529" s="23">
        <v>386.21000000000004</v>
      </c>
      <c r="K529" s="25">
        <v>144</v>
      </c>
      <c r="L529" s="24">
        <v>198.72</v>
      </c>
      <c r="M529" s="24">
        <f>J529-L529</f>
        <v>187.49000000000004</v>
      </c>
      <c r="N529" s="53">
        <f>IF(J529&lt;&gt;0,M529/J529,"")</f>
        <v>0.48546127754330548</v>
      </c>
      <c r="O529" s="23">
        <v>0</v>
      </c>
      <c r="P529" s="25">
        <v>0</v>
      </c>
      <c r="Q529" s="24">
        <v>0</v>
      </c>
      <c r="R529" s="24">
        <f>O529-Q529</f>
        <v>0</v>
      </c>
      <c r="S529" s="53" t="str">
        <f>IF(O529&lt;&gt;0,R529/O529,"")</f>
        <v/>
      </c>
      <c r="T529" s="10"/>
      <c r="U529" s="23">
        <v>772.42000000000007</v>
      </c>
      <c r="V529" s="25">
        <v>288</v>
      </c>
      <c r="W529" s="24">
        <v>397.45000000000005</v>
      </c>
      <c r="X529" s="24">
        <f>U529-W529</f>
        <v>374.97</v>
      </c>
      <c r="Y529" s="53">
        <f>IF(U529&lt;&gt;0,X529/U529,"")</f>
        <v>0.48544833121876696</v>
      </c>
      <c r="Z529" s="23">
        <v>0</v>
      </c>
      <c r="AA529" s="25">
        <v>0</v>
      </c>
      <c r="AB529" s="24">
        <v>0</v>
      </c>
      <c r="AC529" s="24">
        <f t="shared" si="161"/>
        <v>0</v>
      </c>
      <c r="AD529" s="53" t="str">
        <f t="shared" si="162"/>
        <v/>
      </c>
      <c r="AE529" s="10"/>
    </row>
    <row r="530" spans="1:31" x14ac:dyDescent="0.25">
      <c r="A530" s="14" t="s">
        <v>109</v>
      </c>
      <c r="C530" s="61" t="str">
        <f t="shared" si="160"/>
        <v>C100039</v>
      </c>
      <c r="F530" s="8" t="str">
        <f>"C100026"</f>
        <v>C100026</v>
      </c>
      <c r="G530" s="9" t="str">
        <f>"Fleece Beanie"</f>
        <v>Fleece Beanie</v>
      </c>
      <c r="H530" s="47"/>
      <c r="I530" s="47"/>
      <c r="J530" s="23">
        <v>408.84000000000003</v>
      </c>
      <c r="K530" s="25">
        <v>144</v>
      </c>
      <c r="L530" s="24">
        <v>287.99</v>
      </c>
      <c r="M530" s="24">
        <f>J530-L530</f>
        <v>120.85000000000002</v>
      </c>
      <c r="N530" s="53">
        <f>IF(J530&lt;&gt;0,M530/J530,"")</f>
        <v>0.2955924077878877</v>
      </c>
      <c r="O530" s="23">
        <v>0</v>
      </c>
      <c r="P530" s="25">
        <v>0</v>
      </c>
      <c r="Q530" s="24">
        <v>0</v>
      </c>
      <c r="R530" s="24">
        <f>O530-Q530</f>
        <v>0</v>
      </c>
      <c r="S530" s="53" t="str">
        <f>IF(O530&lt;&gt;0,R530/O530,"")</f>
        <v/>
      </c>
      <c r="T530" s="10"/>
      <c r="U530" s="23">
        <v>440.29</v>
      </c>
      <c r="V530" s="25">
        <v>144</v>
      </c>
      <c r="W530" s="24">
        <v>287.99</v>
      </c>
      <c r="X530" s="24">
        <f>U530-W530</f>
        <v>152.30000000000001</v>
      </c>
      <c r="Y530" s="53">
        <f>IF(U530&lt;&gt;0,X530/U530,"")</f>
        <v>0.34590837856867068</v>
      </c>
      <c r="Z530" s="23">
        <v>0</v>
      </c>
      <c r="AA530" s="25">
        <v>0</v>
      </c>
      <c r="AB530" s="24">
        <v>0</v>
      </c>
      <c r="AC530" s="24">
        <f t="shared" si="161"/>
        <v>0</v>
      </c>
      <c r="AD530" s="53" t="str">
        <f t="shared" si="162"/>
        <v/>
      </c>
      <c r="AE530" s="10"/>
    </row>
    <row r="531" spans="1:31" x14ac:dyDescent="0.25">
      <c r="A531" s="14" t="s">
        <v>109</v>
      </c>
      <c r="C531" s="61" t="str">
        <f t="shared" si="160"/>
        <v>C100039</v>
      </c>
      <c r="F531" s="8" t="str">
        <f>"C100029"</f>
        <v>C100029</v>
      </c>
      <c r="G531" s="9" t="str">
        <f>"Distressed Twill Visor"</f>
        <v>Distressed Twill Visor</v>
      </c>
      <c r="H531" s="47"/>
      <c r="I531" s="47"/>
      <c r="J531" s="23">
        <v>1339.54</v>
      </c>
      <c r="K531" s="25">
        <v>432</v>
      </c>
      <c r="L531" s="24">
        <v>894.27</v>
      </c>
      <c r="M531" s="24">
        <f>J531-L531</f>
        <v>445.27</v>
      </c>
      <c r="N531" s="53">
        <f>IF(J531&lt;&gt;0,M531/J531,"")</f>
        <v>0.33240515400809234</v>
      </c>
      <c r="O531" s="23">
        <v>0</v>
      </c>
      <c r="P531" s="25">
        <v>0</v>
      </c>
      <c r="Q531" s="24">
        <v>0</v>
      </c>
      <c r="R531" s="24">
        <f>O531-Q531</f>
        <v>0</v>
      </c>
      <c r="S531" s="53" t="str">
        <f>IF(O531&lt;&gt;0,R531/O531,"")</f>
        <v/>
      </c>
      <c r="T531" s="10"/>
      <c r="U531" s="23">
        <v>1005.48</v>
      </c>
      <c r="V531" s="25">
        <v>300</v>
      </c>
      <c r="W531" s="24">
        <v>621.02</v>
      </c>
      <c r="X531" s="24">
        <f>U531-W531</f>
        <v>384.46000000000004</v>
      </c>
      <c r="Y531" s="53">
        <f>IF(U531&lt;&gt;0,X531/U531,"")</f>
        <v>0.38236464176313806</v>
      </c>
      <c r="Z531" s="23">
        <v>0</v>
      </c>
      <c r="AA531" s="25">
        <v>0</v>
      </c>
      <c r="AB531" s="24">
        <v>0</v>
      </c>
      <c r="AC531" s="24">
        <f t="shared" si="161"/>
        <v>0</v>
      </c>
      <c r="AD531" s="53" t="str">
        <f t="shared" si="162"/>
        <v/>
      </c>
      <c r="AE531" s="10"/>
    </row>
    <row r="532" spans="1:31" x14ac:dyDescent="0.25">
      <c r="A532" s="14" t="s">
        <v>109</v>
      </c>
      <c r="C532" s="61" t="str">
        <f t="shared" si="160"/>
        <v>C100039</v>
      </c>
      <c r="F532" s="8" t="str">
        <f>"C100030"</f>
        <v>C100030</v>
      </c>
      <c r="G532" s="9" t="str">
        <f>"Fashion Visor"</f>
        <v>Fashion Visor</v>
      </c>
      <c r="H532" s="47"/>
      <c r="I532" s="47"/>
      <c r="J532" s="23">
        <v>567.65</v>
      </c>
      <c r="K532" s="25">
        <v>144</v>
      </c>
      <c r="L532" s="24">
        <v>348.49</v>
      </c>
      <c r="M532" s="24">
        <f>J532-L532</f>
        <v>219.15999999999997</v>
      </c>
      <c r="N532" s="53">
        <f>IF(J532&lt;&gt;0,M532/J532,"")</f>
        <v>0.38608297366334887</v>
      </c>
      <c r="O532" s="23">
        <v>0</v>
      </c>
      <c r="P532" s="25">
        <v>0</v>
      </c>
      <c r="Q532" s="24">
        <v>0</v>
      </c>
      <c r="R532" s="24">
        <f>O532-Q532</f>
        <v>0</v>
      </c>
      <c r="S532" s="53" t="str">
        <f>IF(O532&lt;&gt;0,R532/O532,"")</f>
        <v/>
      </c>
      <c r="T532" s="10"/>
      <c r="U532" s="23">
        <v>0</v>
      </c>
      <c r="V532" s="25">
        <v>0</v>
      </c>
      <c r="W532" s="24">
        <v>0</v>
      </c>
      <c r="X532" s="24">
        <f>U532-W532</f>
        <v>0</v>
      </c>
      <c r="Y532" s="53" t="str">
        <f>IF(U532&lt;&gt;0,X532/U532,"")</f>
        <v/>
      </c>
      <c r="Z532" s="23">
        <v>0</v>
      </c>
      <c r="AA532" s="25">
        <v>0</v>
      </c>
      <c r="AB532" s="24">
        <v>0</v>
      </c>
      <c r="AC532" s="24">
        <f t="shared" si="161"/>
        <v>0</v>
      </c>
      <c r="AD532" s="53" t="str">
        <f t="shared" si="162"/>
        <v/>
      </c>
      <c r="AE532" s="10"/>
    </row>
    <row r="533" spans="1:31" x14ac:dyDescent="0.25">
      <c r="A533" s="14" t="s">
        <v>109</v>
      </c>
      <c r="C533" s="61" t="str">
        <f t="shared" si="160"/>
        <v>C100039</v>
      </c>
      <c r="F533" s="8" t="str">
        <f>"E100001"</f>
        <v>E100001</v>
      </c>
      <c r="G533" s="9" t="str">
        <f>"Sport Bag"</f>
        <v>Sport Bag</v>
      </c>
      <c r="H533" s="47"/>
      <c r="I533" s="47"/>
      <c r="J533" s="23">
        <v>19.77</v>
      </c>
      <c r="K533" s="25">
        <v>12</v>
      </c>
      <c r="L533" s="24">
        <v>10.44</v>
      </c>
      <c r="M533" s="24">
        <f>J533-L533</f>
        <v>9.33</v>
      </c>
      <c r="N533" s="53">
        <f>IF(J533&lt;&gt;0,M533/J533,"")</f>
        <v>0.4719271623672231</v>
      </c>
      <c r="O533" s="23">
        <v>0</v>
      </c>
      <c r="P533" s="25">
        <v>0</v>
      </c>
      <c r="Q533" s="24">
        <v>0</v>
      </c>
      <c r="R533" s="24">
        <f>O533-Q533</f>
        <v>0</v>
      </c>
      <c r="S533" s="53" t="str">
        <f>IF(O533&lt;&gt;0,R533/O533,"")</f>
        <v/>
      </c>
      <c r="T533" s="10"/>
      <c r="U533" s="23">
        <v>234.57999999999998</v>
      </c>
      <c r="V533" s="25">
        <v>144</v>
      </c>
      <c r="W533" s="24">
        <v>125.28</v>
      </c>
      <c r="X533" s="24">
        <f>U533-W533</f>
        <v>109.29999999999998</v>
      </c>
      <c r="Y533" s="53">
        <f>IF(U533&lt;&gt;0,X533/U533,"")</f>
        <v>0.46593912524511888</v>
      </c>
      <c r="Z533" s="23">
        <v>0</v>
      </c>
      <c r="AA533" s="25">
        <v>0</v>
      </c>
      <c r="AB533" s="24">
        <v>0</v>
      </c>
      <c r="AC533" s="24">
        <f t="shared" si="161"/>
        <v>0</v>
      </c>
      <c r="AD533" s="53" t="str">
        <f t="shared" si="162"/>
        <v/>
      </c>
      <c r="AE533" s="10"/>
    </row>
    <row r="534" spans="1:31" x14ac:dyDescent="0.25">
      <c r="A534" s="14" t="s">
        <v>109</v>
      </c>
      <c r="C534" s="61" t="str">
        <f t="shared" si="160"/>
        <v>C100039</v>
      </c>
      <c r="F534" s="8" t="str">
        <f>"E100017"</f>
        <v>E100017</v>
      </c>
      <c r="G534" s="9" t="str">
        <f>"Clip-on Clock with Compass"</f>
        <v>Clip-on Clock with Compass</v>
      </c>
      <c r="H534" s="47"/>
      <c r="I534" s="47"/>
      <c r="J534" s="23">
        <v>18.25</v>
      </c>
      <c r="K534" s="25">
        <v>13</v>
      </c>
      <c r="L534" s="24">
        <v>11.44</v>
      </c>
      <c r="M534" s="24">
        <f>J534-L534</f>
        <v>6.8100000000000005</v>
      </c>
      <c r="N534" s="53">
        <f>IF(J534&lt;&gt;0,M534/J534,"")</f>
        <v>0.37315068493150688</v>
      </c>
      <c r="O534" s="23">
        <v>0</v>
      </c>
      <c r="P534" s="25">
        <v>0</v>
      </c>
      <c r="Q534" s="24">
        <v>0</v>
      </c>
      <c r="R534" s="24">
        <f>O534-Q534</f>
        <v>0</v>
      </c>
      <c r="S534" s="53" t="str">
        <f>IF(O534&lt;&gt;0,R534/O534,"")</f>
        <v/>
      </c>
      <c r="T534" s="10"/>
      <c r="U534" s="23">
        <v>220.14999999999998</v>
      </c>
      <c r="V534" s="25">
        <v>144</v>
      </c>
      <c r="W534" s="24">
        <v>126.72</v>
      </c>
      <c r="X534" s="24">
        <f>U534-W534</f>
        <v>93.429999999999978</v>
      </c>
      <c r="Y534" s="53">
        <f>IF(U534&lt;&gt;0,X534/U534,"")</f>
        <v>0.42439245968657729</v>
      </c>
      <c r="Z534" s="23">
        <v>0</v>
      </c>
      <c r="AA534" s="25">
        <v>0</v>
      </c>
      <c r="AB534" s="24">
        <v>0</v>
      </c>
      <c r="AC534" s="24">
        <f t="shared" si="161"/>
        <v>0</v>
      </c>
      <c r="AD534" s="53" t="str">
        <f t="shared" si="162"/>
        <v/>
      </c>
      <c r="AE534" s="10"/>
    </row>
    <row r="535" spans="1:31" x14ac:dyDescent="0.25">
      <c r="A535" s="14" t="s">
        <v>109</v>
      </c>
      <c r="C535" s="61" t="str">
        <f t="shared" si="160"/>
        <v>C100039</v>
      </c>
      <c r="F535" s="8" t="str">
        <f>"E100018"</f>
        <v>E100018</v>
      </c>
      <c r="G535" s="9" t="str">
        <f>"Flexi-Clock &amp; Clip"</f>
        <v>Flexi-Clock &amp; Clip</v>
      </c>
      <c r="H535" s="47"/>
      <c r="I535" s="47"/>
      <c r="J535" s="23">
        <v>148.08000000000001</v>
      </c>
      <c r="K535" s="25">
        <v>144</v>
      </c>
      <c r="L535" s="24">
        <v>86.39</v>
      </c>
      <c r="M535" s="24">
        <f>J535-L535</f>
        <v>61.690000000000012</v>
      </c>
      <c r="N535" s="53">
        <f>IF(J535&lt;&gt;0,M535/J535,"")</f>
        <v>0.41659913560237716</v>
      </c>
      <c r="O535" s="23">
        <v>0</v>
      </c>
      <c r="P535" s="25">
        <v>0</v>
      </c>
      <c r="Q535" s="24">
        <v>0</v>
      </c>
      <c r="R535" s="24">
        <f>O535-Q535</f>
        <v>0</v>
      </c>
      <c r="S535" s="53" t="str">
        <f>IF(O535&lt;&gt;0,R535/O535,"")</f>
        <v/>
      </c>
      <c r="T535" s="10"/>
      <c r="U535" s="23">
        <v>319.95</v>
      </c>
      <c r="V535" s="25">
        <v>289</v>
      </c>
      <c r="W535" s="24">
        <v>173.37</v>
      </c>
      <c r="X535" s="24">
        <f>U535-W535</f>
        <v>146.57999999999998</v>
      </c>
      <c r="Y535" s="53">
        <f>IF(U535&lt;&gt;0,X535/U535,"")</f>
        <v>0.45813408345053913</v>
      </c>
      <c r="Z535" s="23">
        <v>0</v>
      </c>
      <c r="AA535" s="25">
        <v>0</v>
      </c>
      <c r="AB535" s="24">
        <v>0</v>
      </c>
      <c r="AC535" s="24">
        <f t="shared" si="161"/>
        <v>0</v>
      </c>
      <c r="AD535" s="53" t="str">
        <f t="shared" si="162"/>
        <v/>
      </c>
      <c r="AE535" s="10"/>
    </row>
    <row r="536" spans="1:31" x14ac:dyDescent="0.25">
      <c r="A536" s="14" t="s">
        <v>109</v>
      </c>
      <c r="C536" s="61" t="str">
        <f t="shared" si="160"/>
        <v>C100039</v>
      </c>
      <c r="F536" s="8" t="str">
        <f>"S100004"</f>
        <v>S100004</v>
      </c>
      <c r="G536" s="9" t="str">
        <f>"Award Medallian - 2''"</f>
        <v>Award Medallian - 2''</v>
      </c>
      <c r="H536" s="47"/>
      <c r="I536" s="47"/>
      <c r="J536" s="23">
        <v>76.36</v>
      </c>
      <c r="K536" s="25">
        <v>6</v>
      </c>
      <c r="L536" s="24">
        <v>40.020000000000003</v>
      </c>
      <c r="M536" s="24">
        <f>J536-L536</f>
        <v>36.339999999999996</v>
      </c>
      <c r="N536" s="53">
        <f>IF(J536&lt;&gt;0,M536/J536,"")</f>
        <v>0.4759036144578313</v>
      </c>
      <c r="O536" s="23">
        <v>0</v>
      </c>
      <c r="P536" s="25">
        <v>0</v>
      </c>
      <c r="Q536" s="24">
        <v>0</v>
      </c>
      <c r="R536" s="24">
        <f>O536-Q536</f>
        <v>0</v>
      </c>
      <c r="S536" s="53" t="str">
        <f>IF(O536&lt;&gt;0,R536/O536,"")</f>
        <v/>
      </c>
      <c r="T536" s="10"/>
      <c r="U536" s="23">
        <v>2317.83</v>
      </c>
      <c r="V536" s="25">
        <v>168</v>
      </c>
      <c r="W536" s="24">
        <v>1120.56</v>
      </c>
      <c r="X536" s="24">
        <f>U536-W536</f>
        <v>1197.27</v>
      </c>
      <c r="Y536" s="53">
        <f>IF(U536&lt;&gt;0,X536/U536,"")</f>
        <v>0.51654780549048029</v>
      </c>
      <c r="Z536" s="23">
        <v>0</v>
      </c>
      <c r="AA536" s="25">
        <v>0</v>
      </c>
      <c r="AB536" s="24">
        <v>0</v>
      </c>
      <c r="AC536" s="24">
        <f t="shared" si="161"/>
        <v>0</v>
      </c>
      <c r="AD536" s="53" t="str">
        <f t="shared" si="162"/>
        <v/>
      </c>
      <c r="AE536" s="10"/>
    </row>
    <row r="537" spans="1:31" x14ac:dyDescent="0.25">
      <c r="A537" s="14" t="s">
        <v>109</v>
      </c>
      <c r="C537" s="61" t="str">
        <f t="shared" si="160"/>
        <v>C100039</v>
      </c>
      <c r="F537" s="8" t="str">
        <f>"S100005"</f>
        <v>S100005</v>
      </c>
      <c r="G537" s="9" t="str">
        <f>"Award Medallian - 2.5''"</f>
        <v>Award Medallian - 2.5''</v>
      </c>
      <c r="H537" s="47"/>
      <c r="I537" s="47"/>
      <c r="J537" s="23">
        <v>378.71000000000004</v>
      </c>
      <c r="K537" s="25">
        <v>48</v>
      </c>
      <c r="L537" s="24">
        <v>250.56</v>
      </c>
      <c r="M537" s="24">
        <f>J537-L537</f>
        <v>128.15000000000003</v>
      </c>
      <c r="N537" s="53">
        <f>IF(J537&lt;&gt;0,M537/J537,"")</f>
        <v>0.33838557207361841</v>
      </c>
      <c r="O537" s="23">
        <v>0</v>
      </c>
      <c r="P537" s="25">
        <v>0</v>
      </c>
      <c r="Q537" s="24">
        <v>0</v>
      </c>
      <c r="R537" s="24">
        <f>O537-Q537</f>
        <v>0</v>
      </c>
      <c r="S537" s="53" t="str">
        <f>IF(O537&lt;&gt;0,R537/O537,"")</f>
        <v/>
      </c>
      <c r="T537" s="10"/>
      <c r="U537" s="23">
        <v>1498.18</v>
      </c>
      <c r="V537" s="25">
        <v>192</v>
      </c>
      <c r="W537" s="24">
        <v>1002.2499999999999</v>
      </c>
      <c r="X537" s="24">
        <f>U537-W537</f>
        <v>495.93000000000018</v>
      </c>
      <c r="Y537" s="53">
        <f>IF(U537&lt;&gt;0,X537/U537,"")</f>
        <v>0.33102163958936853</v>
      </c>
      <c r="Z537" s="23">
        <v>0</v>
      </c>
      <c r="AA537" s="25">
        <v>0</v>
      </c>
      <c r="AB537" s="24">
        <v>0</v>
      </c>
      <c r="AC537" s="24">
        <f t="shared" si="161"/>
        <v>0</v>
      </c>
      <c r="AD537" s="53" t="str">
        <f t="shared" si="162"/>
        <v/>
      </c>
      <c r="AE537" s="10"/>
    </row>
    <row r="538" spans="1:31" x14ac:dyDescent="0.25">
      <c r="A538" s="14" t="s">
        <v>109</v>
      </c>
      <c r="C538" s="61" t="str">
        <f t="shared" si="160"/>
        <v>C100039</v>
      </c>
      <c r="F538" s="8" t="str">
        <f>"S100006"</f>
        <v>S100006</v>
      </c>
      <c r="G538" s="9" t="str">
        <f>"Award Medallian - 3''"</f>
        <v>Award Medallian - 3''</v>
      </c>
      <c r="H538" s="47"/>
      <c r="I538" s="47"/>
      <c r="J538" s="23">
        <v>1556.1000000000001</v>
      </c>
      <c r="K538" s="25">
        <v>150</v>
      </c>
      <c r="L538" s="24">
        <v>1109.99</v>
      </c>
      <c r="M538" s="24">
        <f>J538-L538</f>
        <v>446.11000000000013</v>
      </c>
      <c r="N538" s="53">
        <f>IF(J538&lt;&gt;0,M538/J538,"")</f>
        <v>0.28668466036887097</v>
      </c>
      <c r="O538" s="23">
        <v>0</v>
      </c>
      <c r="P538" s="25">
        <v>0</v>
      </c>
      <c r="Q538" s="24">
        <v>0</v>
      </c>
      <c r="R538" s="24">
        <f>O538-Q538</f>
        <v>0</v>
      </c>
      <c r="S538" s="53" t="str">
        <f>IF(O538&lt;&gt;0,R538/O538,"")</f>
        <v/>
      </c>
      <c r="T538" s="10"/>
      <c r="U538" s="23">
        <v>4694.9800000000005</v>
      </c>
      <c r="V538" s="25">
        <v>432</v>
      </c>
      <c r="W538" s="24">
        <v>3196.77</v>
      </c>
      <c r="X538" s="24">
        <f>U538-W538</f>
        <v>1498.2100000000005</v>
      </c>
      <c r="Y538" s="53">
        <f>IF(U538&lt;&gt;0,X538/U538,"")</f>
        <v>0.31910892059178109</v>
      </c>
      <c r="Z538" s="23">
        <v>0</v>
      </c>
      <c r="AA538" s="25">
        <v>0</v>
      </c>
      <c r="AB538" s="24">
        <v>0</v>
      </c>
      <c r="AC538" s="24">
        <f t="shared" si="161"/>
        <v>0</v>
      </c>
      <c r="AD538" s="53" t="str">
        <f t="shared" si="162"/>
        <v/>
      </c>
      <c r="AE538" s="10"/>
    </row>
    <row r="539" spans="1:31" x14ac:dyDescent="0.25">
      <c r="A539" s="14" t="s">
        <v>109</v>
      </c>
      <c r="C539" s="61" t="str">
        <f t="shared" si="160"/>
        <v>C100039</v>
      </c>
      <c r="F539" s="8" t="str">
        <f>"S100008"</f>
        <v>S100008</v>
      </c>
      <c r="G539" s="9" t="str">
        <f>"Soccer Figure Trophy"</f>
        <v>Soccer Figure Trophy</v>
      </c>
      <c r="H539" s="47"/>
      <c r="I539" s="47"/>
      <c r="J539" s="23">
        <v>775.76</v>
      </c>
      <c r="K539" s="25">
        <v>144</v>
      </c>
      <c r="L539" s="24">
        <v>529.91999999999996</v>
      </c>
      <c r="M539" s="24">
        <f>J539-L539</f>
        <v>245.84000000000003</v>
      </c>
      <c r="N539" s="53">
        <f>IF(J539&lt;&gt;0,M539/J539,"")</f>
        <v>0.31690213468082917</v>
      </c>
      <c r="O539" s="23">
        <v>0</v>
      </c>
      <c r="P539" s="25">
        <v>0</v>
      </c>
      <c r="Q539" s="24">
        <v>0</v>
      </c>
      <c r="R539" s="24">
        <f>O539-Q539</f>
        <v>0</v>
      </c>
      <c r="S539" s="53" t="str">
        <f>IF(O539&lt;&gt;0,R539/O539,"")</f>
        <v/>
      </c>
      <c r="T539" s="10"/>
      <c r="U539" s="23">
        <v>5.8</v>
      </c>
      <c r="V539" s="25">
        <v>1</v>
      </c>
      <c r="W539" s="24">
        <v>3.68</v>
      </c>
      <c r="X539" s="24">
        <f>U539-W539</f>
        <v>2.1199999999999997</v>
      </c>
      <c r="Y539" s="53">
        <f>IF(U539&lt;&gt;0,X539/U539,"")</f>
        <v>0.3655172413793103</v>
      </c>
      <c r="Z539" s="23">
        <v>0</v>
      </c>
      <c r="AA539" s="25">
        <v>0</v>
      </c>
      <c r="AB539" s="24">
        <v>0</v>
      </c>
      <c r="AC539" s="24">
        <f t="shared" si="161"/>
        <v>0</v>
      </c>
      <c r="AD539" s="53" t="str">
        <f t="shared" si="162"/>
        <v/>
      </c>
      <c r="AE539" s="10"/>
    </row>
    <row r="540" spans="1:31" x14ac:dyDescent="0.25">
      <c r="A540" s="14" t="s">
        <v>109</v>
      </c>
      <c r="C540" s="61" t="str">
        <f t="shared" si="160"/>
        <v>C100039</v>
      </c>
      <c r="F540" s="8" t="str">
        <f>"S100009"</f>
        <v>S100009</v>
      </c>
      <c r="G540" s="9" t="str">
        <f>"Engraved Basketball Award"</f>
        <v>Engraved Basketball Award</v>
      </c>
      <c r="H540" s="47"/>
      <c r="I540" s="47"/>
      <c r="J540" s="23">
        <v>2508.11</v>
      </c>
      <c r="K540" s="25">
        <v>144</v>
      </c>
      <c r="L540" s="24">
        <v>1270.07</v>
      </c>
      <c r="M540" s="24">
        <f>J540-L540</f>
        <v>1238.0400000000002</v>
      </c>
      <c r="N540" s="53">
        <f>IF(J540&lt;&gt;0,M540/J540,"")</f>
        <v>0.4936147138682116</v>
      </c>
      <c r="O540" s="23">
        <v>0</v>
      </c>
      <c r="P540" s="25">
        <v>0</v>
      </c>
      <c r="Q540" s="24">
        <v>0</v>
      </c>
      <c r="R540" s="24">
        <f>O540-Q540</f>
        <v>0</v>
      </c>
      <c r="S540" s="53" t="str">
        <f>IF(O540&lt;&gt;0,R540/O540,"")</f>
        <v/>
      </c>
      <c r="T540" s="10"/>
      <c r="U540" s="23">
        <v>0</v>
      </c>
      <c r="V540" s="25">
        <v>0</v>
      </c>
      <c r="W540" s="24">
        <v>0</v>
      </c>
      <c r="X540" s="24">
        <f>U540-W540</f>
        <v>0</v>
      </c>
      <c r="Y540" s="53" t="str">
        <f>IF(U540&lt;&gt;0,X540/U540,"")</f>
        <v/>
      </c>
      <c r="Z540" s="23">
        <v>0</v>
      </c>
      <c r="AA540" s="25">
        <v>0</v>
      </c>
      <c r="AB540" s="24">
        <v>0</v>
      </c>
      <c r="AC540" s="24">
        <f t="shared" si="161"/>
        <v>0</v>
      </c>
      <c r="AD540" s="53" t="str">
        <f t="shared" si="162"/>
        <v/>
      </c>
      <c r="AE540" s="10"/>
    </row>
    <row r="541" spans="1:31" x14ac:dyDescent="0.25">
      <c r="A541" s="14" t="s">
        <v>109</v>
      </c>
      <c r="C541" s="61" t="str">
        <f t="shared" si="160"/>
        <v>C100039</v>
      </c>
      <c r="F541" s="8" t="str">
        <f>"S100010"</f>
        <v>S100010</v>
      </c>
      <c r="G541" s="9" t="str">
        <f>"Golf Relaxed Cap"</f>
        <v>Golf Relaxed Cap</v>
      </c>
      <c r="H541" s="47"/>
      <c r="I541" s="47"/>
      <c r="J541" s="23">
        <v>1348.4</v>
      </c>
      <c r="K541" s="25">
        <v>144</v>
      </c>
      <c r="L541" s="24">
        <v>876.97</v>
      </c>
      <c r="M541" s="24">
        <f>J541-L541</f>
        <v>471.43000000000006</v>
      </c>
      <c r="N541" s="53">
        <f>IF(J541&lt;&gt;0,M541/J541,"")</f>
        <v>0.34962177395431626</v>
      </c>
      <c r="O541" s="23">
        <v>0</v>
      </c>
      <c r="P541" s="25">
        <v>0</v>
      </c>
      <c r="Q541" s="24">
        <v>0</v>
      </c>
      <c r="R541" s="24">
        <f>O541-Q541</f>
        <v>0</v>
      </c>
      <c r="S541" s="53" t="str">
        <f>IF(O541&lt;&gt;0,R541/O541,"")</f>
        <v/>
      </c>
      <c r="T541" s="10"/>
      <c r="U541" s="23">
        <v>2904.25</v>
      </c>
      <c r="V541" s="25">
        <v>288</v>
      </c>
      <c r="W541" s="24">
        <v>1753.94</v>
      </c>
      <c r="X541" s="24">
        <f>U541-W541</f>
        <v>1150.31</v>
      </c>
      <c r="Y541" s="53">
        <f>IF(U541&lt;&gt;0,X541/U541,"")</f>
        <v>0.39607816131531376</v>
      </c>
      <c r="Z541" s="23">
        <v>0</v>
      </c>
      <c r="AA541" s="25">
        <v>0</v>
      </c>
      <c r="AB541" s="24">
        <v>0</v>
      </c>
      <c r="AC541" s="24">
        <f t="shared" si="161"/>
        <v>0</v>
      </c>
      <c r="AD541" s="53" t="str">
        <f t="shared" si="162"/>
        <v/>
      </c>
      <c r="AE541" s="10"/>
    </row>
    <row r="542" spans="1:31" x14ac:dyDescent="0.25">
      <c r="A542" s="14" t="s">
        <v>109</v>
      </c>
      <c r="C542" s="61" t="str">
        <f t="shared" si="160"/>
        <v>C100039</v>
      </c>
      <c r="F542" s="8" t="str">
        <f>"S100011"</f>
        <v>S100011</v>
      </c>
      <c r="G542" s="9" t="str">
        <f>"All Star Cap"</f>
        <v>All Star Cap</v>
      </c>
      <c r="H542" s="47"/>
      <c r="I542" s="47"/>
      <c r="J542" s="23">
        <v>31.67</v>
      </c>
      <c r="K542" s="25">
        <v>24</v>
      </c>
      <c r="L542" s="24">
        <v>20.399999999999999</v>
      </c>
      <c r="M542" s="24">
        <f>J542-L542</f>
        <v>11.270000000000003</v>
      </c>
      <c r="N542" s="53">
        <f>IF(J542&lt;&gt;0,M542/J542,"")</f>
        <v>0.35585727818124419</v>
      </c>
      <c r="O542" s="23">
        <v>0</v>
      </c>
      <c r="P542" s="25">
        <v>0</v>
      </c>
      <c r="Q542" s="24">
        <v>0</v>
      </c>
      <c r="R542" s="24">
        <f>O542-Q542</f>
        <v>0</v>
      </c>
      <c r="S542" s="53" t="str">
        <f>IF(O542&lt;&gt;0,R542/O542,"")</f>
        <v/>
      </c>
      <c r="T542" s="10"/>
      <c r="U542" s="23">
        <v>187.92</v>
      </c>
      <c r="V542" s="25">
        <v>144</v>
      </c>
      <c r="W542" s="24">
        <v>122.41</v>
      </c>
      <c r="X542" s="24">
        <f>U542-W542</f>
        <v>65.509999999999991</v>
      </c>
      <c r="Y542" s="53">
        <f>IF(U542&lt;&gt;0,X542/U542,"")</f>
        <v>0.3486057896977437</v>
      </c>
      <c r="Z542" s="23">
        <v>0</v>
      </c>
      <c r="AA542" s="25">
        <v>0</v>
      </c>
      <c r="AB542" s="24">
        <v>0</v>
      </c>
      <c r="AC542" s="24">
        <f t="shared" si="161"/>
        <v>0</v>
      </c>
      <c r="AD542" s="53" t="str">
        <f t="shared" si="162"/>
        <v/>
      </c>
      <c r="AE542" s="10"/>
    </row>
    <row r="543" spans="1:31" x14ac:dyDescent="0.25">
      <c r="A543" s="14" t="s">
        <v>109</v>
      </c>
      <c r="C543" s="61" t="str">
        <f t="shared" si="160"/>
        <v>C100039</v>
      </c>
      <c r="F543" s="8" t="str">
        <f>"S100017"</f>
        <v>S100017</v>
      </c>
      <c r="G543" s="9" t="str">
        <f>"Microfiber Bucket Hat"</f>
        <v>Microfiber Bucket Hat</v>
      </c>
      <c r="H543" s="47"/>
      <c r="I543" s="47"/>
      <c r="J543" s="23">
        <v>967.08</v>
      </c>
      <c r="K543" s="25">
        <v>144</v>
      </c>
      <c r="L543" s="24">
        <v>685.44</v>
      </c>
      <c r="M543" s="24">
        <f>J543-L543</f>
        <v>281.64</v>
      </c>
      <c r="N543" s="53">
        <f>IF(J543&lt;&gt;0,M543/J543,"")</f>
        <v>0.29122719940439257</v>
      </c>
      <c r="O543" s="23">
        <v>0</v>
      </c>
      <c r="P543" s="25">
        <v>0</v>
      </c>
      <c r="Q543" s="24">
        <v>0</v>
      </c>
      <c r="R543" s="24">
        <f>O543-Q543</f>
        <v>0</v>
      </c>
      <c r="S543" s="53" t="str">
        <f>IF(O543&lt;&gt;0,R543/O543,"")</f>
        <v/>
      </c>
      <c r="T543" s="10"/>
      <c r="U543" s="23">
        <v>1912.8999999999999</v>
      </c>
      <c r="V543" s="25">
        <v>288</v>
      </c>
      <c r="W543" s="24">
        <v>1370.8700000000001</v>
      </c>
      <c r="X543" s="24">
        <f>U543-W543</f>
        <v>542.02999999999975</v>
      </c>
      <c r="Y543" s="53">
        <f>IF(U543&lt;&gt;0,X543/U543,"")</f>
        <v>0.28335511527000878</v>
      </c>
      <c r="Z543" s="23">
        <v>0</v>
      </c>
      <c r="AA543" s="25">
        <v>0</v>
      </c>
      <c r="AB543" s="24">
        <v>0</v>
      </c>
      <c r="AC543" s="24">
        <f t="shared" si="161"/>
        <v>0</v>
      </c>
      <c r="AD543" s="53" t="str">
        <f t="shared" si="162"/>
        <v/>
      </c>
      <c r="AE543" s="10"/>
    </row>
    <row r="544" spans="1:31" ht="15.75" thickBot="1" x14ac:dyDescent="0.3">
      <c r="A544" s="14" t="s">
        <v>109</v>
      </c>
      <c r="C544" s="61" t="str">
        <f>C523</f>
        <v>C100039</v>
      </c>
      <c r="J544" s="10"/>
      <c r="K544" s="11"/>
      <c r="L544" s="11"/>
      <c r="M544" s="11"/>
      <c r="N544" s="12"/>
      <c r="O544" s="10"/>
      <c r="P544" s="11"/>
      <c r="Q544" s="11"/>
      <c r="R544" s="11"/>
      <c r="S544" s="12"/>
      <c r="U544" s="10"/>
      <c r="V544" s="11"/>
      <c r="W544" s="11"/>
      <c r="X544" s="11"/>
      <c r="Y544" s="12"/>
      <c r="Z544" s="10"/>
      <c r="AA544" s="11"/>
      <c r="AB544" s="11"/>
      <c r="AC544" s="11"/>
      <c r="AD544" s="12"/>
    </row>
    <row r="545" spans="1:31" ht="15.75" thickBot="1" x14ac:dyDescent="0.3">
      <c r="A545" s="14" t="s">
        <v>109</v>
      </c>
      <c r="C545" s="61" t="str">
        <f t="shared" si="157"/>
        <v>C100039</v>
      </c>
      <c r="G545" s="48" t="str">
        <f>C545&amp;" TOTAL:"</f>
        <v>C100039 TOTAL:</v>
      </c>
      <c r="H545" s="50"/>
      <c r="I545" s="50"/>
      <c r="J545" s="34">
        <f>SUBTOTAL(9,J522:J544)</f>
        <v>38454.73000000001</v>
      </c>
      <c r="K545" s="35">
        <f>SUBTOTAL(9,K522:K544)</f>
        <v>2389</v>
      </c>
      <c r="L545" s="36">
        <f>SUBTOTAL(9,L522:L544)</f>
        <v>22323.809999999998</v>
      </c>
      <c r="M545" s="36">
        <f>J545-L545</f>
        <v>16130.920000000013</v>
      </c>
      <c r="N545" s="37">
        <f>IF(J545&lt;&gt;0,M545/J545,"")</f>
        <v>0.4194781760267205</v>
      </c>
      <c r="O545" s="34">
        <f>SUBTOTAL(9,O522:O544)</f>
        <v>0</v>
      </c>
      <c r="P545" s="35">
        <f>SUBTOTAL(9,P522:P544)</f>
        <v>0</v>
      </c>
      <c r="Q545" s="36">
        <f>SUBTOTAL(9,Q522:Q544)</f>
        <v>0</v>
      </c>
      <c r="R545" s="36">
        <f>O545-Q545</f>
        <v>0</v>
      </c>
      <c r="S545" s="37" t="str">
        <f>IF(O545&lt;&gt;0,R545/O545,"")</f>
        <v/>
      </c>
      <c r="U545" s="34">
        <f>SUBTOTAL(9,U522:U544)</f>
        <v>16524.53</v>
      </c>
      <c r="V545" s="35">
        <f>SUBTOTAL(9,V522:V544)</f>
        <v>2823</v>
      </c>
      <c r="W545" s="36">
        <f>SUBTOTAL(9,W522:W544)</f>
        <v>10309.19</v>
      </c>
      <c r="X545" s="36">
        <f>U545-W545</f>
        <v>6215.3399999999983</v>
      </c>
      <c r="Y545" s="37">
        <f>IF(U545&lt;&gt;0,X545/U545,"")</f>
        <v>0.37612809562511001</v>
      </c>
      <c r="Z545" s="34">
        <f>SUBTOTAL(9,Z522:Z544)</f>
        <v>0</v>
      </c>
      <c r="AA545" s="35">
        <f>SUBTOTAL(9,AA522:AA544)</f>
        <v>0</v>
      </c>
      <c r="AB545" s="36">
        <f>SUBTOTAL(9,AB522:AB544)</f>
        <v>0</v>
      </c>
      <c r="AC545" s="36">
        <f t="shared" ref="AC545" si="163">Z545-AB545</f>
        <v>0</v>
      </c>
      <c r="AD545" s="37" t="str">
        <f t="shared" ref="AD545" si="164">IF(Z545&lt;&gt;0,AC545/Z545,"")</f>
        <v/>
      </c>
    </row>
    <row r="546" spans="1:31" x14ac:dyDescent="0.25">
      <c r="A546" s="14" t="s">
        <v>109</v>
      </c>
      <c r="C546" s="66"/>
      <c r="J546" s="10"/>
      <c r="K546" s="11"/>
      <c r="L546" s="11"/>
      <c r="M546" s="11"/>
      <c r="N546" s="12"/>
      <c r="O546" s="10"/>
      <c r="P546" s="11"/>
      <c r="Q546" s="11"/>
      <c r="R546" s="11"/>
      <c r="S546" s="12"/>
      <c r="U546" s="10"/>
      <c r="V546" s="11"/>
      <c r="W546" s="11"/>
      <c r="X546" s="11"/>
      <c r="Y546" s="12"/>
      <c r="Z546" s="10"/>
      <c r="AA546" s="11"/>
      <c r="AB546" s="11"/>
      <c r="AC546" s="11"/>
      <c r="AD546" s="12"/>
    </row>
    <row r="547" spans="1:31" ht="15.75" x14ac:dyDescent="0.25">
      <c r="A547" s="14" t="s">
        <v>109</v>
      </c>
      <c r="C547" s="66" t="str">
        <f t="shared" ref="C547" si="165">E547</f>
        <v>C100040</v>
      </c>
      <c r="E547" s="13" t="str">
        <f>"C100040"</f>
        <v>C100040</v>
      </c>
      <c r="F547" s="13"/>
      <c r="G547" s="13" t="str">
        <f>"Guildford Water Department"</f>
        <v>Guildford Water Department</v>
      </c>
      <c r="H547" s="13"/>
      <c r="I547" s="13"/>
      <c r="J547" s="10"/>
      <c r="K547" s="11"/>
      <c r="L547" s="11"/>
      <c r="M547" s="11"/>
      <c r="N547" s="12"/>
      <c r="O547" s="10"/>
      <c r="P547" s="11"/>
      <c r="Q547" s="11"/>
      <c r="R547" s="11"/>
      <c r="S547" s="12"/>
      <c r="U547" s="10"/>
      <c r="V547" s="11"/>
      <c r="W547" s="11"/>
      <c r="X547" s="11"/>
      <c r="Y547" s="12"/>
      <c r="Z547" s="10"/>
      <c r="AA547" s="11"/>
      <c r="AB547" s="11"/>
      <c r="AC547" s="11"/>
      <c r="AD547" s="12"/>
    </row>
    <row r="548" spans="1:31" ht="6.6" customHeight="1" x14ac:dyDescent="0.25">
      <c r="A548" s="14" t="s">
        <v>109</v>
      </c>
      <c r="C548" s="61" t="str">
        <f t="shared" ref="C548:C585" si="166">C547</f>
        <v>C100040</v>
      </c>
      <c r="J548" s="10"/>
      <c r="K548" s="11"/>
      <c r="L548" s="11"/>
      <c r="M548" s="11"/>
      <c r="N548" s="12"/>
      <c r="O548" s="10"/>
      <c r="P548" s="11"/>
      <c r="Q548" s="11"/>
      <c r="R548" s="11"/>
      <c r="S548" s="12"/>
      <c r="U548" s="10"/>
      <c r="V548" s="11"/>
      <c r="W548" s="11"/>
      <c r="X548" s="11"/>
      <c r="Y548" s="12"/>
      <c r="Z548" s="10"/>
      <c r="AA548" s="11"/>
      <c r="AB548" s="11"/>
      <c r="AC548" s="11"/>
      <c r="AD548" s="12"/>
    </row>
    <row r="549" spans="1:31" x14ac:dyDescent="0.25">
      <c r="A549" s="14" t="s">
        <v>109</v>
      </c>
      <c r="C549" s="61" t="str">
        <f t="shared" si="166"/>
        <v>C100040</v>
      </c>
      <c r="F549" s="8" t="str">
        <f>"C100003"</f>
        <v>C100003</v>
      </c>
      <c r="G549" s="9" t="str">
        <f>"Cherry Finish Frame"</f>
        <v>Cherry Finish Frame</v>
      </c>
      <c r="H549" s="47"/>
      <c r="I549" s="47"/>
      <c r="J549" s="23">
        <v>798.39</v>
      </c>
      <c r="K549" s="25">
        <v>12</v>
      </c>
      <c r="L549" s="24">
        <v>391.68</v>
      </c>
      <c r="M549" s="24">
        <f>J549-L549</f>
        <v>406.71</v>
      </c>
      <c r="N549" s="53">
        <f>IF(J549&lt;&gt;0,M549/J549,"")</f>
        <v>0.50941269304475256</v>
      </c>
      <c r="O549" s="23">
        <v>0</v>
      </c>
      <c r="P549" s="25">
        <v>0</v>
      </c>
      <c r="Q549" s="24">
        <v>0</v>
      </c>
      <c r="R549" s="24">
        <f>O549-Q549</f>
        <v>0</v>
      </c>
      <c r="S549" s="53" t="str">
        <f>IF(O549&lt;&gt;0,R549/O549,"")</f>
        <v/>
      </c>
      <c r="T549" s="10"/>
      <c r="U549" s="23">
        <v>9580.64</v>
      </c>
      <c r="V549" s="25">
        <v>144</v>
      </c>
      <c r="W549" s="24">
        <v>4700.1499999999996</v>
      </c>
      <c r="X549" s="24">
        <f>U549-W549</f>
        <v>4880.49</v>
      </c>
      <c r="Y549" s="53">
        <f>IF(U549&lt;&gt;0,X549/U549,"")</f>
        <v>0.5094116885719534</v>
      </c>
      <c r="Z549" s="23">
        <v>0</v>
      </c>
      <c r="AA549" s="25">
        <v>0</v>
      </c>
      <c r="AB549" s="24">
        <v>0</v>
      </c>
      <c r="AC549" s="24">
        <f t="shared" ref="AC549" si="167">Z549-AB549</f>
        <v>0</v>
      </c>
      <c r="AD549" s="53" t="str">
        <f t="shared" ref="AD549" si="168">IF(Z549&lt;&gt;0,AC549/Z549,"")</f>
        <v/>
      </c>
      <c r="AE549" s="10"/>
    </row>
    <row r="550" spans="1:31" x14ac:dyDescent="0.25">
      <c r="A550" s="14" t="s">
        <v>109</v>
      </c>
      <c r="C550" s="61" t="str">
        <f t="shared" ref="C550:C583" si="169">C549</f>
        <v>C100040</v>
      </c>
      <c r="F550" s="8" t="str">
        <f>"C100005"</f>
        <v>C100005</v>
      </c>
      <c r="G550" s="9" t="str">
        <f>"Cherry Finished Crystal Award"</f>
        <v>Cherry Finished Crystal Award</v>
      </c>
      <c r="H550" s="47"/>
      <c r="I550" s="47"/>
      <c r="J550" s="23">
        <v>6539.4999999999991</v>
      </c>
      <c r="K550" s="25">
        <v>48</v>
      </c>
      <c r="L550" s="24">
        <v>3404.64</v>
      </c>
      <c r="M550" s="24">
        <f>J550-L550</f>
        <v>3134.8599999999992</v>
      </c>
      <c r="N550" s="53">
        <f>IF(J550&lt;&gt;0,M550/J550,"")</f>
        <v>0.47937304075235104</v>
      </c>
      <c r="O550" s="23">
        <v>0</v>
      </c>
      <c r="P550" s="25">
        <v>0</v>
      </c>
      <c r="Q550" s="24">
        <v>0</v>
      </c>
      <c r="R550" s="24">
        <f>O550-Q550</f>
        <v>0</v>
      </c>
      <c r="S550" s="53" t="str">
        <f>IF(O550&lt;&gt;0,R550/O550,"")</f>
        <v/>
      </c>
      <c r="T550" s="10"/>
      <c r="U550" s="23">
        <v>3269.7499999999995</v>
      </c>
      <c r="V550" s="25">
        <v>24</v>
      </c>
      <c r="W550" s="24">
        <v>1702.32</v>
      </c>
      <c r="X550" s="24">
        <f>U550-W550</f>
        <v>1567.4299999999996</v>
      </c>
      <c r="Y550" s="53">
        <f>IF(U550&lt;&gt;0,X550/U550,"")</f>
        <v>0.47937304075235104</v>
      </c>
      <c r="Z550" s="23">
        <v>6539.4999999999991</v>
      </c>
      <c r="AA550" s="25">
        <v>48</v>
      </c>
      <c r="AB550" s="24">
        <v>3404.64</v>
      </c>
      <c r="AC550" s="24">
        <f t="shared" ref="AC550:AC583" si="170">Z550-AB550</f>
        <v>3134.8599999999992</v>
      </c>
      <c r="AD550" s="53">
        <f t="shared" ref="AD550:AD583" si="171">IF(Z550&lt;&gt;0,AC550/Z550,"")</f>
        <v>0.47937304075235104</v>
      </c>
      <c r="AE550" s="10"/>
    </row>
    <row r="551" spans="1:31" x14ac:dyDescent="0.25">
      <c r="A551" s="14" t="s">
        <v>109</v>
      </c>
      <c r="C551" s="61" t="str">
        <f t="shared" si="169"/>
        <v>C100040</v>
      </c>
      <c r="F551" s="8" t="str">
        <f>"C100018"</f>
        <v>C100018</v>
      </c>
      <c r="G551" s="9" t="str">
        <f>"Action Sport Duffel"</f>
        <v>Action Sport Duffel</v>
      </c>
      <c r="H551" s="47"/>
      <c r="I551" s="47"/>
      <c r="J551" s="23">
        <v>2485.1200000000003</v>
      </c>
      <c r="K551" s="25">
        <v>144</v>
      </c>
      <c r="L551" s="24">
        <v>1231.21</v>
      </c>
      <c r="M551" s="24">
        <f>J551-L551</f>
        <v>1253.9100000000003</v>
      </c>
      <c r="N551" s="53">
        <f>IF(J551&lt;&gt;0,M551/J551,"")</f>
        <v>0.50456718387844457</v>
      </c>
      <c r="O551" s="23">
        <v>0</v>
      </c>
      <c r="P551" s="25">
        <v>0</v>
      </c>
      <c r="Q551" s="24">
        <v>0</v>
      </c>
      <c r="R551" s="24">
        <f>O551-Q551</f>
        <v>0</v>
      </c>
      <c r="S551" s="53" t="str">
        <f>IF(O551&lt;&gt;0,R551/O551,"")</f>
        <v/>
      </c>
      <c r="T551" s="10"/>
      <c r="U551" s="23">
        <v>-103.55</v>
      </c>
      <c r="V551" s="25">
        <v>-6</v>
      </c>
      <c r="W551" s="24">
        <v>-51.3</v>
      </c>
      <c r="X551" s="24">
        <f>U551-W551</f>
        <v>-52.25</v>
      </c>
      <c r="Y551" s="53">
        <f>IF(U551&lt;&gt;0,X551/U551,"")</f>
        <v>0.50458715596330272</v>
      </c>
      <c r="Z551" s="23">
        <v>2485.1200000000003</v>
      </c>
      <c r="AA551" s="25">
        <v>144</v>
      </c>
      <c r="AB551" s="24">
        <v>1231.21</v>
      </c>
      <c r="AC551" s="24">
        <f t="shared" si="170"/>
        <v>1253.9100000000003</v>
      </c>
      <c r="AD551" s="53">
        <f t="shared" si="171"/>
        <v>0.50456718387844457</v>
      </c>
      <c r="AE551" s="10"/>
    </row>
    <row r="552" spans="1:31" x14ac:dyDescent="0.25">
      <c r="A552" s="14" t="s">
        <v>109</v>
      </c>
      <c r="C552" s="61" t="str">
        <f t="shared" si="169"/>
        <v>C100040</v>
      </c>
      <c r="F552" s="8" t="str">
        <f>"C100019"</f>
        <v>C100019</v>
      </c>
      <c r="G552" s="9" t="str">
        <f>"Black Duffel Bag"</f>
        <v>Black Duffel Bag</v>
      </c>
      <c r="H552" s="47"/>
      <c r="I552" s="47"/>
      <c r="J552" s="23">
        <v>13263.4</v>
      </c>
      <c r="K552" s="25">
        <v>192</v>
      </c>
      <c r="L552" s="24">
        <v>8202.27</v>
      </c>
      <c r="M552" s="24">
        <f>J552-L552</f>
        <v>5061.1299999999992</v>
      </c>
      <c r="N552" s="53">
        <f>IF(J552&lt;&gt;0,M552/J552,"")</f>
        <v>0.38158616945881141</v>
      </c>
      <c r="O552" s="23">
        <v>0</v>
      </c>
      <c r="P552" s="25">
        <v>0</v>
      </c>
      <c r="Q552" s="24">
        <v>0</v>
      </c>
      <c r="R552" s="24">
        <f>O552-Q552</f>
        <v>0</v>
      </c>
      <c r="S552" s="53" t="str">
        <f>IF(O552&lt;&gt;0,R552/O552,"")</f>
        <v/>
      </c>
      <c r="T552" s="10"/>
      <c r="U552" s="23">
        <v>0</v>
      </c>
      <c r="V552" s="25">
        <v>0</v>
      </c>
      <c r="W552" s="24">
        <v>0</v>
      </c>
      <c r="X552" s="24">
        <f>U552-W552</f>
        <v>0</v>
      </c>
      <c r="Y552" s="53" t="str">
        <f>IF(U552&lt;&gt;0,X552/U552,"")</f>
        <v/>
      </c>
      <c r="Z552" s="23">
        <v>0</v>
      </c>
      <c r="AA552" s="25">
        <v>0</v>
      </c>
      <c r="AB552" s="24">
        <v>0</v>
      </c>
      <c r="AC552" s="24">
        <f t="shared" si="170"/>
        <v>0</v>
      </c>
      <c r="AD552" s="53" t="str">
        <f t="shared" si="171"/>
        <v/>
      </c>
      <c r="AE552" s="10"/>
    </row>
    <row r="553" spans="1:31" x14ac:dyDescent="0.25">
      <c r="A553" s="14" t="s">
        <v>109</v>
      </c>
      <c r="C553" s="61" t="str">
        <f t="shared" si="169"/>
        <v>C100040</v>
      </c>
      <c r="F553" s="8" t="str">
        <f>"C100021"</f>
        <v>C100021</v>
      </c>
      <c r="G553" s="9" t="str">
        <f>"Canvas Boat Bag"</f>
        <v>Canvas Boat Bag</v>
      </c>
      <c r="H553" s="47"/>
      <c r="I553" s="47"/>
      <c r="J553" s="23">
        <v>1466.47</v>
      </c>
      <c r="K553" s="25">
        <v>145</v>
      </c>
      <c r="L553" s="24">
        <v>997.58999999999992</v>
      </c>
      <c r="M553" s="24">
        <f>J553-L553</f>
        <v>468.88000000000011</v>
      </c>
      <c r="N553" s="53">
        <f>IF(J553&lt;&gt;0,M553/J553,"")</f>
        <v>0.3197337824844696</v>
      </c>
      <c r="O553" s="23">
        <v>1456.36</v>
      </c>
      <c r="P553" s="25">
        <v>144</v>
      </c>
      <c r="Q553" s="24">
        <v>990.71</v>
      </c>
      <c r="R553" s="24">
        <f>O553-Q553</f>
        <v>465.64999999999986</v>
      </c>
      <c r="S553" s="53">
        <f>IF(O553&lt;&gt;0,R553/O553,"")</f>
        <v>0.31973550495756536</v>
      </c>
      <c r="T553" s="10"/>
      <c r="U553" s="23">
        <v>0</v>
      </c>
      <c r="V553" s="25">
        <v>0</v>
      </c>
      <c r="W553" s="24">
        <v>0</v>
      </c>
      <c r="X553" s="24">
        <f>U553-W553</f>
        <v>0</v>
      </c>
      <c r="Y553" s="53" t="str">
        <f>IF(U553&lt;&gt;0,X553/U553,"")</f>
        <v/>
      </c>
      <c r="Z553" s="23">
        <v>10.11</v>
      </c>
      <c r="AA553" s="25">
        <v>1</v>
      </c>
      <c r="AB553" s="24">
        <v>6.88</v>
      </c>
      <c r="AC553" s="24">
        <f t="shared" si="170"/>
        <v>3.2299999999999995</v>
      </c>
      <c r="AD553" s="53">
        <f t="shared" si="171"/>
        <v>0.31948565776458948</v>
      </c>
      <c r="AE553" s="10"/>
    </row>
    <row r="554" spans="1:31" x14ac:dyDescent="0.25">
      <c r="A554" s="14" t="s">
        <v>109</v>
      </c>
      <c r="C554" s="61" t="str">
        <f t="shared" si="169"/>
        <v>C100040</v>
      </c>
      <c r="F554" s="8" t="str">
        <f>"C100022"</f>
        <v>C100022</v>
      </c>
      <c r="G554" s="9" t="str">
        <f>"Two-Toned Cap"</f>
        <v>Two-Toned Cap</v>
      </c>
      <c r="H554" s="47"/>
      <c r="I554" s="47"/>
      <c r="J554" s="23">
        <v>454.72</v>
      </c>
      <c r="K554" s="25">
        <v>145</v>
      </c>
      <c r="L554" s="24">
        <v>233.44</v>
      </c>
      <c r="M554" s="24">
        <f>J554-L554</f>
        <v>221.28000000000003</v>
      </c>
      <c r="N554" s="53">
        <f>IF(J554&lt;&gt;0,M554/J554,"")</f>
        <v>0.4866291344123857</v>
      </c>
      <c r="O554" s="23">
        <v>451.58000000000004</v>
      </c>
      <c r="P554" s="25">
        <v>144</v>
      </c>
      <c r="Q554" s="24">
        <v>231.82999999999998</v>
      </c>
      <c r="R554" s="24">
        <f>O554-Q554</f>
        <v>219.75000000000006</v>
      </c>
      <c r="S554" s="53">
        <f>IF(O554&lt;&gt;0,R554/O554,"")</f>
        <v>0.4866247398024714</v>
      </c>
      <c r="T554" s="10"/>
      <c r="U554" s="23">
        <v>0</v>
      </c>
      <c r="V554" s="25">
        <v>0</v>
      </c>
      <c r="W554" s="24">
        <v>0</v>
      </c>
      <c r="X554" s="24">
        <f>U554-W554</f>
        <v>0</v>
      </c>
      <c r="Y554" s="53" t="str">
        <f>IF(U554&lt;&gt;0,X554/U554,"")</f>
        <v/>
      </c>
      <c r="Z554" s="23">
        <v>0</v>
      </c>
      <c r="AA554" s="25">
        <v>0</v>
      </c>
      <c r="AB554" s="24">
        <v>0</v>
      </c>
      <c r="AC554" s="24">
        <f t="shared" si="170"/>
        <v>0</v>
      </c>
      <c r="AD554" s="53" t="str">
        <f t="shared" si="171"/>
        <v/>
      </c>
      <c r="AE554" s="10"/>
    </row>
    <row r="555" spans="1:31" x14ac:dyDescent="0.25">
      <c r="A555" s="14" t="s">
        <v>109</v>
      </c>
      <c r="C555" s="61" t="str">
        <f t="shared" si="169"/>
        <v>C100040</v>
      </c>
      <c r="F555" s="8" t="str">
        <f>"C100023"</f>
        <v>C100023</v>
      </c>
      <c r="G555" s="9" t="str">
        <f>"Two-Toned Knit Hat"</f>
        <v>Two-Toned Knit Hat</v>
      </c>
      <c r="H555" s="47"/>
      <c r="I555" s="47"/>
      <c r="J555" s="23">
        <v>378.2</v>
      </c>
      <c r="K555" s="25">
        <v>144</v>
      </c>
      <c r="L555" s="24">
        <v>181.43</v>
      </c>
      <c r="M555" s="24">
        <f>J555-L555</f>
        <v>196.76999999999998</v>
      </c>
      <c r="N555" s="53">
        <f>IF(J555&lt;&gt;0,M555/J555,"")</f>
        <v>0.52028027498677942</v>
      </c>
      <c r="O555" s="23">
        <v>0</v>
      </c>
      <c r="P555" s="25">
        <v>0</v>
      </c>
      <c r="Q555" s="24">
        <v>0</v>
      </c>
      <c r="R555" s="24">
        <f>O555-Q555</f>
        <v>0</v>
      </c>
      <c r="S555" s="53" t="str">
        <f>IF(O555&lt;&gt;0,R555/O555,"")</f>
        <v/>
      </c>
      <c r="T555" s="10"/>
      <c r="U555" s="23">
        <v>0</v>
      </c>
      <c r="V555" s="25">
        <v>0</v>
      </c>
      <c r="W555" s="24">
        <v>0</v>
      </c>
      <c r="X555" s="24">
        <f>U555-W555</f>
        <v>0</v>
      </c>
      <c r="Y555" s="53" t="str">
        <f>IF(U555&lt;&gt;0,X555/U555,"")</f>
        <v/>
      </c>
      <c r="Z555" s="23">
        <v>0</v>
      </c>
      <c r="AA555" s="25">
        <v>0</v>
      </c>
      <c r="AB555" s="24">
        <v>0</v>
      </c>
      <c r="AC555" s="24">
        <f t="shared" si="170"/>
        <v>0</v>
      </c>
      <c r="AD555" s="53" t="str">
        <f t="shared" si="171"/>
        <v/>
      </c>
      <c r="AE555" s="10"/>
    </row>
    <row r="556" spans="1:31" x14ac:dyDescent="0.25">
      <c r="A556" s="14" t="s">
        <v>109</v>
      </c>
      <c r="C556" s="61" t="str">
        <f t="shared" si="169"/>
        <v>C100040</v>
      </c>
      <c r="F556" s="8" t="str">
        <f>"C100024"</f>
        <v>C100024</v>
      </c>
      <c r="G556" s="9" t="str">
        <f>"Knit Hat with Bill"</f>
        <v>Knit Hat with Bill</v>
      </c>
      <c r="H556" s="47"/>
      <c r="I556" s="47"/>
      <c r="J556" s="23">
        <v>-125.6</v>
      </c>
      <c r="K556" s="25">
        <v>-24</v>
      </c>
      <c r="L556" s="24">
        <v>-72</v>
      </c>
      <c r="M556" s="24">
        <f>J556-L556</f>
        <v>-53.599999999999994</v>
      </c>
      <c r="N556" s="53">
        <f>IF(J556&lt;&gt;0,M556/J556,"")</f>
        <v>0.42675159235668786</v>
      </c>
      <c r="O556" s="23">
        <v>0</v>
      </c>
      <c r="P556" s="25">
        <v>0</v>
      </c>
      <c r="Q556" s="24">
        <v>0</v>
      </c>
      <c r="R556" s="24">
        <f>O556-Q556</f>
        <v>0</v>
      </c>
      <c r="S556" s="53" t="str">
        <f>IF(O556&lt;&gt;0,R556/O556,"")</f>
        <v/>
      </c>
      <c r="T556" s="10"/>
      <c r="U556" s="23">
        <v>0</v>
      </c>
      <c r="V556" s="25">
        <v>0</v>
      </c>
      <c r="W556" s="24">
        <v>0</v>
      </c>
      <c r="X556" s="24">
        <f>U556-W556</f>
        <v>0</v>
      </c>
      <c r="Y556" s="53" t="str">
        <f>IF(U556&lt;&gt;0,X556/U556,"")</f>
        <v/>
      </c>
      <c r="Z556" s="23">
        <v>31.4</v>
      </c>
      <c r="AA556" s="25">
        <v>6</v>
      </c>
      <c r="AB556" s="24">
        <v>18</v>
      </c>
      <c r="AC556" s="24">
        <f t="shared" si="170"/>
        <v>13.399999999999999</v>
      </c>
      <c r="AD556" s="53">
        <f t="shared" si="171"/>
        <v>0.42675159235668786</v>
      </c>
      <c r="AE556" s="10"/>
    </row>
    <row r="557" spans="1:31" x14ac:dyDescent="0.25">
      <c r="A557" s="14" t="s">
        <v>109</v>
      </c>
      <c r="C557" s="61" t="str">
        <f t="shared" si="169"/>
        <v>C100040</v>
      </c>
      <c r="F557" s="8" t="str">
        <f>"C100025"</f>
        <v>C100025</v>
      </c>
      <c r="G557" s="9" t="str">
        <f>"Striped Knit Hat"</f>
        <v>Striped Knit Hat</v>
      </c>
      <c r="H557" s="47"/>
      <c r="I557" s="47"/>
      <c r="J557" s="23">
        <v>420.54</v>
      </c>
      <c r="K557" s="25">
        <v>144</v>
      </c>
      <c r="L557" s="24">
        <v>198.72</v>
      </c>
      <c r="M557" s="24">
        <f>J557-L557</f>
        <v>221.82000000000002</v>
      </c>
      <c r="N557" s="53">
        <f>IF(J557&lt;&gt;0,M557/J557,"")</f>
        <v>0.52746468825795412</v>
      </c>
      <c r="O557" s="23">
        <v>0</v>
      </c>
      <c r="P557" s="25">
        <v>0</v>
      </c>
      <c r="Q557" s="24">
        <v>0</v>
      </c>
      <c r="R557" s="24">
        <f>O557-Q557</f>
        <v>0</v>
      </c>
      <c r="S557" s="53" t="str">
        <f>IF(O557&lt;&gt;0,R557/O557,"")</f>
        <v/>
      </c>
      <c r="T557" s="10"/>
      <c r="U557" s="23">
        <v>0</v>
      </c>
      <c r="V557" s="25">
        <v>0</v>
      </c>
      <c r="W557" s="24">
        <v>0</v>
      </c>
      <c r="X557" s="24">
        <f>U557-W557</f>
        <v>0</v>
      </c>
      <c r="Y557" s="53" t="str">
        <f>IF(U557&lt;&gt;0,X557/U557,"")</f>
        <v/>
      </c>
      <c r="Z557" s="23">
        <v>846.92000000000007</v>
      </c>
      <c r="AA557" s="25">
        <v>290</v>
      </c>
      <c r="AB557" s="24">
        <v>400.21</v>
      </c>
      <c r="AC557" s="24">
        <f t="shared" si="170"/>
        <v>446.71000000000009</v>
      </c>
      <c r="AD557" s="53">
        <f t="shared" si="171"/>
        <v>0.52745241581259161</v>
      </c>
      <c r="AE557" s="10"/>
    </row>
    <row r="558" spans="1:31" x14ac:dyDescent="0.25">
      <c r="A558" s="14" t="s">
        <v>109</v>
      </c>
      <c r="C558" s="61" t="str">
        <f t="shared" si="169"/>
        <v>C100040</v>
      </c>
      <c r="F558" s="8" t="str">
        <f>"C100026"</f>
        <v>C100026</v>
      </c>
      <c r="G558" s="9" t="str">
        <f>"Fleece Beanie"</f>
        <v>Fleece Beanie</v>
      </c>
      <c r="H558" s="47"/>
      <c r="I558" s="47"/>
      <c r="J558" s="23">
        <v>440.29</v>
      </c>
      <c r="K558" s="25">
        <v>144</v>
      </c>
      <c r="L558" s="24">
        <v>287.99</v>
      </c>
      <c r="M558" s="24">
        <f>J558-L558</f>
        <v>152.30000000000001</v>
      </c>
      <c r="N558" s="53">
        <f>IF(J558&lt;&gt;0,M558/J558,"")</f>
        <v>0.34590837856867068</v>
      </c>
      <c r="O558" s="23">
        <v>440.29</v>
      </c>
      <c r="P558" s="25">
        <v>144</v>
      </c>
      <c r="Q558" s="24">
        <v>287.99</v>
      </c>
      <c r="R558" s="24">
        <f>O558-Q558</f>
        <v>152.30000000000001</v>
      </c>
      <c r="S558" s="53">
        <f>IF(O558&lt;&gt;0,R558/O558,"")</f>
        <v>0.34590837856867068</v>
      </c>
      <c r="T558" s="10"/>
      <c r="U558" s="23">
        <v>0</v>
      </c>
      <c r="V558" s="25">
        <v>0</v>
      </c>
      <c r="W558" s="24">
        <v>0</v>
      </c>
      <c r="X558" s="24">
        <f>U558-W558</f>
        <v>0</v>
      </c>
      <c r="Y558" s="53" t="str">
        <f>IF(U558&lt;&gt;0,X558/U558,"")</f>
        <v/>
      </c>
      <c r="Z558" s="23">
        <v>440.29</v>
      </c>
      <c r="AA558" s="25">
        <v>144</v>
      </c>
      <c r="AB558" s="24">
        <v>287.99</v>
      </c>
      <c r="AC558" s="24">
        <f t="shared" si="170"/>
        <v>152.30000000000001</v>
      </c>
      <c r="AD558" s="53">
        <f t="shared" si="171"/>
        <v>0.34590837856867068</v>
      </c>
      <c r="AE558" s="10"/>
    </row>
    <row r="559" spans="1:31" x14ac:dyDescent="0.25">
      <c r="A559" s="14" t="s">
        <v>109</v>
      </c>
      <c r="C559" s="61" t="str">
        <f t="shared" si="169"/>
        <v>C100040</v>
      </c>
      <c r="F559" s="8" t="str">
        <f>"C100027"</f>
        <v>C100027</v>
      </c>
      <c r="G559" s="9" t="str">
        <f>"Pique Visor"</f>
        <v>Pique Visor</v>
      </c>
      <c r="H559" s="47"/>
      <c r="I559" s="47"/>
      <c r="J559" s="23">
        <v>893.29</v>
      </c>
      <c r="K559" s="25">
        <v>144</v>
      </c>
      <c r="L559" s="24">
        <v>449.29</v>
      </c>
      <c r="M559" s="24">
        <f>J559-L559</f>
        <v>443.99999999999994</v>
      </c>
      <c r="N559" s="53">
        <f>IF(J559&lt;&gt;0,M559/J559,"")</f>
        <v>0.49703903547560141</v>
      </c>
      <c r="O559" s="23">
        <v>0</v>
      </c>
      <c r="P559" s="25">
        <v>0</v>
      </c>
      <c r="Q559" s="24">
        <v>0</v>
      </c>
      <c r="R559" s="24">
        <f>O559-Q559</f>
        <v>0</v>
      </c>
      <c r="S559" s="53" t="str">
        <f>IF(O559&lt;&gt;0,R559/O559,"")</f>
        <v/>
      </c>
      <c r="T559" s="10"/>
      <c r="U559" s="23">
        <v>893.29</v>
      </c>
      <c r="V559" s="25">
        <v>144</v>
      </c>
      <c r="W559" s="24">
        <v>449.29</v>
      </c>
      <c r="X559" s="24">
        <f>U559-W559</f>
        <v>443.99999999999994</v>
      </c>
      <c r="Y559" s="53">
        <f>IF(U559&lt;&gt;0,X559/U559,"")</f>
        <v>0.49703903547560141</v>
      </c>
      <c r="Z559" s="23">
        <v>2977.63</v>
      </c>
      <c r="AA559" s="25">
        <v>480</v>
      </c>
      <c r="AB559" s="24">
        <v>1497.6299999999999</v>
      </c>
      <c r="AC559" s="24">
        <f t="shared" si="170"/>
        <v>1480.0000000000002</v>
      </c>
      <c r="AD559" s="53">
        <f t="shared" si="171"/>
        <v>0.49703959189019459</v>
      </c>
      <c r="AE559" s="10"/>
    </row>
    <row r="560" spans="1:31" x14ac:dyDescent="0.25">
      <c r="A560" s="14" t="s">
        <v>109</v>
      </c>
      <c r="C560" s="61" t="str">
        <f t="shared" si="169"/>
        <v>C100040</v>
      </c>
      <c r="F560" s="8" t="str">
        <f>"C100029"</f>
        <v>C100029</v>
      </c>
      <c r="G560" s="9" t="str">
        <f>"Distressed Twill Visor"</f>
        <v>Distressed Twill Visor</v>
      </c>
      <c r="H560" s="47"/>
      <c r="I560" s="47"/>
      <c r="J560" s="23">
        <v>482.62999999999994</v>
      </c>
      <c r="K560" s="25">
        <v>144</v>
      </c>
      <c r="L560" s="24">
        <v>298.09000000000003</v>
      </c>
      <c r="M560" s="24">
        <f>J560-L560</f>
        <v>184.53999999999991</v>
      </c>
      <c r="N560" s="53">
        <f>IF(J560&lt;&gt;0,M560/J560,"")</f>
        <v>0.38236330107950173</v>
      </c>
      <c r="O560" s="23">
        <v>0</v>
      </c>
      <c r="P560" s="25">
        <v>0</v>
      </c>
      <c r="Q560" s="24">
        <v>0</v>
      </c>
      <c r="R560" s="24">
        <f>O560-Q560</f>
        <v>0</v>
      </c>
      <c r="S560" s="53" t="str">
        <f>IF(O560&lt;&gt;0,R560/O560,"")</f>
        <v/>
      </c>
      <c r="T560" s="10"/>
      <c r="U560" s="23">
        <v>0</v>
      </c>
      <c r="V560" s="25">
        <v>0</v>
      </c>
      <c r="W560" s="24">
        <v>0</v>
      </c>
      <c r="X560" s="24">
        <f>U560-W560</f>
        <v>0</v>
      </c>
      <c r="Y560" s="53" t="str">
        <f>IF(U560&lt;&gt;0,X560/U560,"")</f>
        <v/>
      </c>
      <c r="Z560" s="23">
        <v>1447.8899999999999</v>
      </c>
      <c r="AA560" s="25">
        <v>432</v>
      </c>
      <c r="AB560" s="24">
        <v>894.27</v>
      </c>
      <c r="AC560" s="24">
        <f t="shared" si="170"/>
        <v>553.61999999999989</v>
      </c>
      <c r="AD560" s="53">
        <f t="shared" si="171"/>
        <v>0.38236330107950184</v>
      </c>
      <c r="AE560" s="10"/>
    </row>
    <row r="561" spans="1:31" x14ac:dyDescent="0.25">
      <c r="A561" s="14" t="s">
        <v>109</v>
      </c>
      <c r="C561" s="61" t="str">
        <f t="shared" si="169"/>
        <v>C100040</v>
      </c>
      <c r="F561" s="8" t="str">
        <f>"C100031"</f>
        <v>C100031</v>
      </c>
      <c r="G561" s="9" t="str">
        <f>"Carabiner Watch"</f>
        <v>Carabiner Watch</v>
      </c>
      <c r="H561" s="47"/>
      <c r="I561" s="47"/>
      <c r="J561" s="23">
        <v>222.03</v>
      </c>
      <c r="K561" s="25">
        <v>12</v>
      </c>
      <c r="L561" s="24">
        <v>102.96</v>
      </c>
      <c r="M561" s="24">
        <f>J561-L561</f>
        <v>119.07000000000001</v>
      </c>
      <c r="N561" s="53">
        <f>IF(J561&lt;&gt;0,M561/J561,"")</f>
        <v>0.53627888123226597</v>
      </c>
      <c r="O561" s="23">
        <v>111.01</v>
      </c>
      <c r="P561" s="25">
        <v>6</v>
      </c>
      <c r="Q561" s="24">
        <v>51.48</v>
      </c>
      <c r="R561" s="24">
        <f>O561-Q561</f>
        <v>59.530000000000008</v>
      </c>
      <c r="S561" s="53">
        <f>IF(O561&lt;&gt;0,R561/O561,"")</f>
        <v>0.53625799477524549</v>
      </c>
      <c r="T561" s="10"/>
      <c r="U561" s="23">
        <v>18.5</v>
      </c>
      <c r="V561" s="25">
        <v>1</v>
      </c>
      <c r="W561" s="24">
        <v>8.58</v>
      </c>
      <c r="X561" s="24">
        <f>U561-W561</f>
        <v>9.92</v>
      </c>
      <c r="Y561" s="53">
        <f>IF(U561&lt;&gt;0,X561/U561,"")</f>
        <v>0.53621621621621618</v>
      </c>
      <c r="Z561" s="23">
        <v>0</v>
      </c>
      <c r="AA561" s="25">
        <v>0</v>
      </c>
      <c r="AB561" s="24">
        <v>0</v>
      </c>
      <c r="AC561" s="24">
        <f t="shared" si="170"/>
        <v>0</v>
      </c>
      <c r="AD561" s="53" t="str">
        <f t="shared" si="171"/>
        <v/>
      </c>
      <c r="AE561" s="10"/>
    </row>
    <row r="562" spans="1:31" x14ac:dyDescent="0.25">
      <c r="A562" s="14" t="s">
        <v>109</v>
      </c>
      <c r="C562" s="61" t="str">
        <f t="shared" si="169"/>
        <v>C100040</v>
      </c>
      <c r="F562" s="8" t="str">
        <f>"E100012"</f>
        <v>E100012</v>
      </c>
      <c r="G562" s="9" t="str">
        <f>"Canvas Stopwatch"</f>
        <v>Canvas Stopwatch</v>
      </c>
      <c r="H562" s="47"/>
      <c r="I562" s="47"/>
      <c r="J562" s="23">
        <v>522.14</v>
      </c>
      <c r="K562" s="25">
        <v>144</v>
      </c>
      <c r="L562" s="24">
        <v>282.22999999999996</v>
      </c>
      <c r="M562" s="24">
        <f>J562-L562</f>
        <v>239.91000000000003</v>
      </c>
      <c r="N562" s="53">
        <f>IF(J562&lt;&gt;0,M562/J562,"")</f>
        <v>0.45947447044853879</v>
      </c>
      <c r="O562" s="23">
        <v>525.77</v>
      </c>
      <c r="P562" s="25">
        <v>145</v>
      </c>
      <c r="Q562" s="24">
        <v>284.19</v>
      </c>
      <c r="R562" s="24">
        <f>O562-Q562</f>
        <v>241.57999999999998</v>
      </c>
      <c r="S562" s="53">
        <f>IF(O562&lt;&gt;0,R562/O562,"")</f>
        <v>0.45947847918291268</v>
      </c>
      <c r="T562" s="10"/>
      <c r="U562" s="23">
        <v>0</v>
      </c>
      <c r="V562" s="25">
        <v>0</v>
      </c>
      <c r="W562" s="24">
        <v>0</v>
      </c>
      <c r="X562" s="24">
        <f>U562-W562</f>
        <v>0</v>
      </c>
      <c r="Y562" s="53" t="str">
        <f>IF(U562&lt;&gt;0,X562/U562,"")</f>
        <v/>
      </c>
      <c r="Z562" s="23">
        <v>0</v>
      </c>
      <c r="AA562" s="25">
        <v>0</v>
      </c>
      <c r="AB562" s="24">
        <v>0</v>
      </c>
      <c r="AC562" s="24">
        <f t="shared" si="170"/>
        <v>0</v>
      </c>
      <c r="AD562" s="53" t="str">
        <f t="shared" si="171"/>
        <v/>
      </c>
      <c r="AE562" s="10"/>
    </row>
    <row r="563" spans="1:31" x14ac:dyDescent="0.25">
      <c r="A563" s="14" t="s">
        <v>109</v>
      </c>
      <c r="C563" s="61" t="str">
        <f t="shared" si="169"/>
        <v>C100040</v>
      </c>
      <c r="F563" s="8" t="str">
        <f>"E100013"</f>
        <v>E100013</v>
      </c>
      <c r="G563" s="9" t="str">
        <f>"Clip-on Stopwatch"</f>
        <v>Clip-on Stopwatch</v>
      </c>
      <c r="H563" s="47"/>
      <c r="I563" s="47"/>
      <c r="J563" s="23">
        <v>373.26</v>
      </c>
      <c r="K563" s="25">
        <v>138</v>
      </c>
      <c r="L563" s="24">
        <v>198.70999999999998</v>
      </c>
      <c r="M563" s="24">
        <f>J563-L563</f>
        <v>174.55</v>
      </c>
      <c r="N563" s="53">
        <f>IF(J563&lt;&gt;0,M563/J563,"")</f>
        <v>0.46763650002679102</v>
      </c>
      <c r="O563" s="23">
        <v>389.49</v>
      </c>
      <c r="P563" s="25">
        <v>144</v>
      </c>
      <c r="Q563" s="24">
        <v>207.35</v>
      </c>
      <c r="R563" s="24">
        <f>O563-Q563</f>
        <v>182.14000000000001</v>
      </c>
      <c r="S563" s="53">
        <f>IF(O563&lt;&gt;0,R563/O563,"")</f>
        <v>0.46763716655113097</v>
      </c>
      <c r="T563" s="10"/>
      <c r="U563" s="23">
        <v>0</v>
      </c>
      <c r="V563" s="25">
        <v>0</v>
      </c>
      <c r="W563" s="24">
        <v>0</v>
      </c>
      <c r="X563" s="24">
        <f>U563-W563</f>
        <v>0</v>
      </c>
      <c r="Y563" s="53" t="str">
        <f>IF(U563&lt;&gt;0,X563/U563,"")</f>
        <v/>
      </c>
      <c r="Z563" s="23">
        <v>389.49</v>
      </c>
      <c r="AA563" s="25">
        <v>144</v>
      </c>
      <c r="AB563" s="24">
        <v>207.35</v>
      </c>
      <c r="AC563" s="24">
        <f t="shared" si="170"/>
        <v>182.14000000000001</v>
      </c>
      <c r="AD563" s="53">
        <f t="shared" si="171"/>
        <v>0.46763716655113097</v>
      </c>
      <c r="AE563" s="10"/>
    </row>
    <row r="564" spans="1:31" x14ac:dyDescent="0.25">
      <c r="A564" s="14" t="s">
        <v>109</v>
      </c>
      <c r="C564" s="61" t="str">
        <f t="shared" si="169"/>
        <v>C100040</v>
      </c>
      <c r="F564" s="8" t="str">
        <f>"E100014"</f>
        <v>E100014</v>
      </c>
      <c r="G564" s="9" t="str">
        <f>"Stopwatch with Neck Rope"</f>
        <v>Stopwatch with Neck Rope</v>
      </c>
      <c r="H564" s="47"/>
      <c r="I564" s="47"/>
      <c r="J564" s="23">
        <v>2.69</v>
      </c>
      <c r="K564" s="25">
        <v>1</v>
      </c>
      <c r="L564" s="24">
        <v>1.29</v>
      </c>
      <c r="M564" s="24">
        <f>J564-L564</f>
        <v>1.4</v>
      </c>
      <c r="N564" s="53">
        <f>IF(J564&lt;&gt;0,M564/J564,"")</f>
        <v>0.5204460966542751</v>
      </c>
      <c r="O564" s="23">
        <v>0</v>
      </c>
      <c r="P564" s="25">
        <v>0</v>
      </c>
      <c r="Q564" s="24">
        <v>0</v>
      </c>
      <c r="R564" s="24">
        <f>O564-Q564</f>
        <v>0</v>
      </c>
      <c r="S564" s="53" t="str">
        <f>IF(O564&lt;&gt;0,R564/O564,"")</f>
        <v/>
      </c>
      <c r="T564" s="10"/>
      <c r="U564" s="23">
        <v>-64.680000000000007</v>
      </c>
      <c r="V564" s="25">
        <v>-24</v>
      </c>
      <c r="W564" s="24">
        <v>-30.96</v>
      </c>
      <c r="X564" s="24">
        <f>U564-W564</f>
        <v>-33.720000000000006</v>
      </c>
      <c r="Y564" s="53">
        <f>IF(U564&lt;&gt;0,X564/U564,"")</f>
        <v>0.52133580705009275</v>
      </c>
      <c r="Z564" s="23">
        <v>0</v>
      </c>
      <c r="AA564" s="25">
        <v>0</v>
      </c>
      <c r="AB564" s="24">
        <v>0</v>
      </c>
      <c r="AC564" s="24">
        <f t="shared" si="170"/>
        <v>0</v>
      </c>
      <c r="AD564" s="53" t="str">
        <f t="shared" si="171"/>
        <v/>
      </c>
      <c r="AE564" s="10"/>
    </row>
    <row r="565" spans="1:31" x14ac:dyDescent="0.25">
      <c r="A565" s="14" t="s">
        <v>109</v>
      </c>
      <c r="C565" s="61" t="str">
        <f t="shared" si="169"/>
        <v>C100040</v>
      </c>
      <c r="F565" s="8" t="str">
        <f>"E100015"</f>
        <v>E100015</v>
      </c>
      <c r="G565" s="9" t="str">
        <f>"360 Clip Watch"</f>
        <v>360 Clip Watch</v>
      </c>
      <c r="H565" s="47"/>
      <c r="I565" s="47"/>
      <c r="J565" s="23">
        <v>303.41000000000003</v>
      </c>
      <c r="K565" s="25">
        <v>144</v>
      </c>
      <c r="L565" s="24">
        <v>146.88</v>
      </c>
      <c r="M565" s="24">
        <f>J565-L565</f>
        <v>156.53000000000003</v>
      </c>
      <c r="N565" s="53">
        <f>IF(J565&lt;&gt;0,M565/J565,"")</f>
        <v>0.51590257407468443</v>
      </c>
      <c r="O565" s="23">
        <v>2.11</v>
      </c>
      <c r="P565" s="25">
        <v>1</v>
      </c>
      <c r="Q565" s="24">
        <v>1.02</v>
      </c>
      <c r="R565" s="24">
        <f>O565-Q565</f>
        <v>1.0899999999999999</v>
      </c>
      <c r="S565" s="53">
        <f>IF(O565&lt;&gt;0,R565/O565,"")</f>
        <v>0.51658767772511849</v>
      </c>
      <c r="T565" s="10"/>
      <c r="U565" s="23">
        <v>0</v>
      </c>
      <c r="V565" s="25">
        <v>0</v>
      </c>
      <c r="W565" s="24">
        <v>0</v>
      </c>
      <c r="X565" s="24">
        <f>U565-W565</f>
        <v>0</v>
      </c>
      <c r="Y565" s="53" t="str">
        <f>IF(U565&lt;&gt;0,X565/U565,"")</f>
        <v/>
      </c>
      <c r="Z565" s="23">
        <v>404.54999999999995</v>
      </c>
      <c r="AA565" s="25">
        <v>192</v>
      </c>
      <c r="AB565" s="24">
        <v>195.84</v>
      </c>
      <c r="AC565" s="24">
        <f t="shared" si="170"/>
        <v>208.70999999999995</v>
      </c>
      <c r="AD565" s="53">
        <f t="shared" si="171"/>
        <v>0.51590656284760839</v>
      </c>
      <c r="AE565" s="10"/>
    </row>
    <row r="566" spans="1:31" x14ac:dyDescent="0.25">
      <c r="A566" s="14" t="s">
        <v>109</v>
      </c>
      <c r="C566" s="61" t="str">
        <f t="shared" si="169"/>
        <v>C100040</v>
      </c>
      <c r="F566" s="8" t="str">
        <f>"E100016"</f>
        <v>E100016</v>
      </c>
      <c r="G566" s="9" t="str">
        <f>"4 Function Rotating Carabiner Watch"</f>
        <v>4 Function Rotating Carabiner Watch</v>
      </c>
      <c r="H566" s="47"/>
      <c r="I566" s="47"/>
      <c r="J566" s="23">
        <v>429.00000000000006</v>
      </c>
      <c r="K566" s="25">
        <v>144</v>
      </c>
      <c r="L566" s="24">
        <v>198.73000000000002</v>
      </c>
      <c r="M566" s="24">
        <f>J566-L566</f>
        <v>230.27000000000004</v>
      </c>
      <c r="N566" s="53">
        <f>IF(J566&lt;&gt;0,M566/J566,"")</f>
        <v>0.53675990675990681</v>
      </c>
      <c r="O566" s="23">
        <v>0</v>
      </c>
      <c r="P566" s="25">
        <v>0</v>
      </c>
      <c r="Q566" s="24">
        <v>0</v>
      </c>
      <c r="R566" s="24">
        <f>O566-Q566</f>
        <v>0</v>
      </c>
      <c r="S566" s="53" t="str">
        <f>IF(O566&lt;&gt;0,R566/O566,"")</f>
        <v/>
      </c>
      <c r="T566" s="10"/>
      <c r="U566" s="23">
        <v>0</v>
      </c>
      <c r="V566" s="25">
        <v>0</v>
      </c>
      <c r="W566" s="24">
        <v>0</v>
      </c>
      <c r="X566" s="24">
        <f>U566-W566</f>
        <v>0</v>
      </c>
      <c r="Y566" s="53" t="str">
        <f>IF(U566&lt;&gt;0,X566/U566,"")</f>
        <v/>
      </c>
      <c r="Z566" s="23">
        <v>2.98</v>
      </c>
      <c r="AA566" s="25">
        <v>1</v>
      </c>
      <c r="AB566" s="24">
        <v>1.38</v>
      </c>
      <c r="AC566" s="24">
        <f t="shared" si="170"/>
        <v>1.6</v>
      </c>
      <c r="AD566" s="53">
        <f t="shared" si="171"/>
        <v>0.53691275167785235</v>
      </c>
      <c r="AE566" s="10"/>
    </row>
    <row r="567" spans="1:31" x14ac:dyDescent="0.25">
      <c r="A567" s="14" t="s">
        <v>109</v>
      </c>
      <c r="C567" s="61" t="str">
        <f t="shared" si="169"/>
        <v>C100040</v>
      </c>
      <c r="F567" s="8" t="str">
        <f>"E100018"</f>
        <v>E100018</v>
      </c>
      <c r="G567" s="9" t="str">
        <f>"Flexi-Clock &amp; Clip"</f>
        <v>Flexi-Clock &amp; Clip</v>
      </c>
      <c r="H567" s="47"/>
      <c r="I567" s="47"/>
      <c r="J567" s="23">
        <v>-1.1100000000000001</v>
      </c>
      <c r="K567" s="25">
        <v>-1</v>
      </c>
      <c r="L567" s="24">
        <v>-0.6</v>
      </c>
      <c r="M567" s="24">
        <f>J567-L567</f>
        <v>-0.51000000000000012</v>
      </c>
      <c r="N567" s="53">
        <f>IF(J567&lt;&gt;0,M567/J567,"")</f>
        <v>0.45945945945945954</v>
      </c>
      <c r="O567" s="23">
        <v>0</v>
      </c>
      <c r="P567" s="25">
        <v>0</v>
      </c>
      <c r="Q567" s="24">
        <v>0</v>
      </c>
      <c r="R567" s="24">
        <f>O567-Q567</f>
        <v>0</v>
      </c>
      <c r="S567" s="53" t="str">
        <f>IF(O567&lt;&gt;0,R567/O567,"")</f>
        <v/>
      </c>
      <c r="T567" s="10"/>
      <c r="U567" s="23">
        <v>0</v>
      </c>
      <c r="V567" s="25">
        <v>0</v>
      </c>
      <c r="W567" s="24">
        <v>0</v>
      </c>
      <c r="X567" s="24">
        <f>U567-W567</f>
        <v>0</v>
      </c>
      <c r="Y567" s="53" t="str">
        <f>IF(U567&lt;&gt;0,X567/U567,"")</f>
        <v/>
      </c>
      <c r="Z567" s="23">
        <v>480.61</v>
      </c>
      <c r="AA567" s="25">
        <v>434</v>
      </c>
      <c r="AB567" s="24">
        <v>260.37</v>
      </c>
      <c r="AC567" s="24">
        <f t="shared" si="170"/>
        <v>220.24</v>
      </c>
      <c r="AD567" s="53">
        <f t="shared" si="171"/>
        <v>0.45825097272216558</v>
      </c>
      <c r="AE567" s="10"/>
    </row>
    <row r="568" spans="1:31" x14ac:dyDescent="0.25">
      <c r="A568" s="14" t="s">
        <v>109</v>
      </c>
      <c r="C568" s="61" t="str">
        <f t="shared" si="169"/>
        <v>C100040</v>
      </c>
      <c r="F568" s="8" t="str">
        <f>"S100001"</f>
        <v>S100001</v>
      </c>
      <c r="G568" s="9" t="str">
        <f>"Basketball Graphic Plaque"</f>
        <v>Basketball Graphic Plaque</v>
      </c>
      <c r="H568" s="47"/>
      <c r="I568" s="47"/>
      <c r="J568" s="23">
        <v>2362.35</v>
      </c>
      <c r="K568" s="25">
        <v>144</v>
      </c>
      <c r="L568" s="24">
        <v>1310.4000000000001</v>
      </c>
      <c r="M568" s="24">
        <f>J568-L568</f>
        <v>1051.9499999999998</v>
      </c>
      <c r="N568" s="53">
        <f>IF(J568&lt;&gt;0,M568/J568,"")</f>
        <v>0.44529811416597875</v>
      </c>
      <c r="O568" s="23">
        <v>2362.35</v>
      </c>
      <c r="P568" s="25">
        <v>144</v>
      </c>
      <c r="Q568" s="24">
        <v>1310.4000000000001</v>
      </c>
      <c r="R568" s="24">
        <f>O568-Q568</f>
        <v>1051.9499999999998</v>
      </c>
      <c r="S568" s="53">
        <f>IF(O568&lt;&gt;0,R568/O568,"")</f>
        <v>0.44529811416597875</v>
      </c>
      <c r="T568" s="10"/>
      <c r="U568" s="23">
        <v>2362.35</v>
      </c>
      <c r="V568" s="25">
        <v>144</v>
      </c>
      <c r="W568" s="24">
        <v>1310.4000000000001</v>
      </c>
      <c r="X568" s="24">
        <f>U568-W568</f>
        <v>1051.9499999999998</v>
      </c>
      <c r="Y568" s="53">
        <f>IF(U568&lt;&gt;0,X568/U568,"")</f>
        <v>0.44529811416597875</v>
      </c>
      <c r="Z568" s="23">
        <v>2362.35</v>
      </c>
      <c r="AA568" s="25">
        <v>144</v>
      </c>
      <c r="AB568" s="24">
        <v>1310.4000000000001</v>
      </c>
      <c r="AC568" s="24">
        <f t="shared" si="170"/>
        <v>1051.9499999999998</v>
      </c>
      <c r="AD568" s="53">
        <f t="shared" si="171"/>
        <v>0.44529811416597875</v>
      </c>
      <c r="AE568" s="10"/>
    </row>
    <row r="569" spans="1:31" x14ac:dyDescent="0.25">
      <c r="A569" s="14" t="s">
        <v>109</v>
      </c>
      <c r="C569" s="61" t="str">
        <f t="shared" si="169"/>
        <v>C100040</v>
      </c>
      <c r="F569" s="8" t="str">
        <f>"S100003"</f>
        <v>S100003</v>
      </c>
      <c r="G569" s="9" t="str">
        <f>"Soccer #1 Pin"</f>
        <v>Soccer #1 Pin</v>
      </c>
      <c r="H569" s="47"/>
      <c r="I569" s="47"/>
      <c r="J569" s="23">
        <v>213.15</v>
      </c>
      <c r="K569" s="25">
        <v>145</v>
      </c>
      <c r="L569" s="24">
        <v>130.5</v>
      </c>
      <c r="M569" s="24">
        <f>J569-L569</f>
        <v>82.65</v>
      </c>
      <c r="N569" s="53">
        <f>IF(J569&lt;&gt;0,M569/J569,"")</f>
        <v>0.38775510204081637</v>
      </c>
      <c r="O569" s="23">
        <v>0</v>
      </c>
      <c r="P569" s="25">
        <v>0</v>
      </c>
      <c r="Q569" s="24">
        <v>0</v>
      </c>
      <c r="R569" s="24">
        <f>O569-Q569</f>
        <v>0</v>
      </c>
      <c r="S569" s="53" t="str">
        <f>IF(O569&lt;&gt;0,R569/O569,"")</f>
        <v/>
      </c>
      <c r="T569" s="10"/>
      <c r="U569" s="23">
        <v>0</v>
      </c>
      <c r="V569" s="25">
        <v>0</v>
      </c>
      <c r="W569" s="24">
        <v>0</v>
      </c>
      <c r="X569" s="24">
        <f>U569-W569</f>
        <v>0</v>
      </c>
      <c r="Y569" s="53" t="str">
        <f>IF(U569&lt;&gt;0,X569/U569,"")</f>
        <v/>
      </c>
      <c r="Z569" s="23">
        <v>70.56</v>
      </c>
      <c r="AA569" s="25">
        <v>48</v>
      </c>
      <c r="AB569" s="24">
        <v>43.2</v>
      </c>
      <c r="AC569" s="24">
        <f t="shared" si="170"/>
        <v>27.36</v>
      </c>
      <c r="AD569" s="53">
        <f t="shared" si="171"/>
        <v>0.38775510204081631</v>
      </c>
      <c r="AE569" s="10"/>
    </row>
    <row r="570" spans="1:31" x14ac:dyDescent="0.25">
      <c r="A570" s="14" t="s">
        <v>109</v>
      </c>
      <c r="C570" s="61" t="str">
        <f t="shared" si="169"/>
        <v>C100040</v>
      </c>
      <c r="F570" s="8" t="str">
        <f>"S100005"</f>
        <v>S100005</v>
      </c>
      <c r="G570" s="9" t="str">
        <f>"Award Medallian - 2.5''"</f>
        <v>Award Medallian - 2.5''</v>
      </c>
      <c r="H570" s="47"/>
      <c r="I570" s="47"/>
      <c r="J570" s="23">
        <v>-50.98</v>
      </c>
      <c r="K570" s="25">
        <v>-6</v>
      </c>
      <c r="L570" s="24">
        <v>-31.32</v>
      </c>
      <c r="M570" s="24">
        <f>J570-L570</f>
        <v>-19.659999999999997</v>
      </c>
      <c r="N570" s="53">
        <f>IF(J570&lt;&gt;0,M570/J570,"")</f>
        <v>0.38564142801098467</v>
      </c>
      <c r="O570" s="23">
        <v>0</v>
      </c>
      <c r="P570" s="25">
        <v>0</v>
      </c>
      <c r="Q570" s="24">
        <v>0</v>
      </c>
      <c r="R570" s="24">
        <f>O570-Q570</f>
        <v>0</v>
      </c>
      <c r="S570" s="53" t="str">
        <f>IF(O570&lt;&gt;0,R570/O570,"")</f>
        <v/>
      </c>
      <c r="T570" s="10"/>
      <c r="U570" s="23">
        <v>0</v>
      </c>
      <c r="V570" s="25">
        <v>0</v>
      </c>
      <c r="W570" s="24">
        <v>0</v>
      </c>
      <c r="X570" s="24">
        <f>U570-W570</f>
        <v>0</v>
      </c>
      <c r="Y570" s="53" t="str">
        <f>IF(U570&lt;&gt;0,X570/U570,"")</f>
        <v/>
      </c>
      <c r="Z570" s="23">
        <v>203.92</v>
      </c>
      <c r="AA570" s="25">
        <v>24</v>
      </c>
      <c r="AB570" s="24">
        <v>125.28</v>
      </c>
      <c r="AC570" s="24">
        <f t="shared" si="170"/>
        <v>78.639999999999986</v>
      </c>
      <c r="AD570" s="53">
        <f t="shared" si="171"/>
        <v>0.38564142801098467</v>
      </c>
      <c r="AE570" s="10"/>
    </row>
    <row r="571" spans="1:31" x14ac:dyDescent="0.25">
      <c r="A571" s="14" t="s">
        <v>109</v>
      </c>
      <c r="C571" s="61" t="str">
        <f t="shared" si="169"/>
        <v>C100040</v>
      </c>
      <c r="F571" s="8" t="str">
        <f>"S100006"</f>
        <v>S100006</v>
      </c>
      <c r="G571" s="9" t="str">
        <f>"Award Medallian - 3''"</f>
        <v>Award Medallian - 3''</v>
      </c>
      <c r="H571" s="47"/>
      <c r="I571" s="47"/>
      <c r="J571" s="23">
        <v>536.26</v>
      </c>
      <c r="K571" s="25">
        <v>48</v>
      </c>
      <c r="L571" s="24">
        <v>355.2</v>
      </c>
      <c r="M571" s="24">
        <f>J571-L571</f>
        <v>181.06</v>
      </c>
      <c r="N571" s="53">
        <f>IF(J571&lt;&gt;0,M571/J571,"")</f>
        <v>0.33763472942229517</v>
      </c>
      <c r="O571" s="23">
        <v>0</v>
      </c>
      <c r="P571" s="25">
        <v>0</v>
      </c>
      <c r="Q571" s="24">
        <v>0</v>
      </c>
      <c r="R571" s="24">
        <f>O571-Q571</f>
        <v>0</v>
      </c>
      <c r="S571" s="53" t="str">
        <f>IF(O571&lt;&gt;0,R571/O571,"")</f>
        <v/>
      </c>
      <c r="T571" s="10"/>
      <c r="U571" s="23">
        <v>0</v>
      </c>
      <c r="V571" s="25">
        <v>0</v>
      </c>
      <c r="W571" s="24">
        <v>0</v>
      </c>
      <c r="X571" s="24">
        <f>U571-W571</f>
        <v>0</v>
      </c>
      <c r="Y571" s="53" t="str">
        <f>IF(U571&lt;&gt;0,X571/U571,"")</f>
        <v/>
      </c>
      <c r="Z571" s="23">
        <v>0</v>
      </c>
      <c r="AA571" s="25">
        <v>0</v>
      </c>
      <c r="AB571" s="24">
        <v>0</v>
      </c>
      <c r="AC571" s="24">
        <f t="shared" si="170"/>
        <v>0</v>
      </c>
      <c r="AD571" s="53" t="str">
        <f t="shared" si="171"/>
        <v/>
      </c>
      <c r="AE571" s="10"/>
    </row>
    <row r="572" spans="1:31" x14ac:dyDescent="0.25">
      <c r="A572" s="14" t="s">
        <v>109</v>
      </c>
      <c r="C572" s="61" t="str">
        <f t="shared" si="169"/>
        <v>C100040</v>
      </c>
      <c r="F572" s="8" t="str">
        <f>"S100007"</f>
        <v>S100007</v>
      </c>
      <c r="G572" s="9" t="str">
        <f>"Baseball Figure Trophy"</f>
        <v>Baseball Figure Trophy</v>
      </c>
      <c r="H572" s="47"/>
      <c r="I572" s="47"/>
      <c r="J572" s="23">
        <v>340.85</v>
      </c>
      <c r="K572" s="25">
        <v>47</v>
      </c>
      <c r="L572" s="24">
        <v>172.96</v>
      </c>
      <c r="M572" s="24">
        <f>J572-L572</f>
        <v>167.89000000000001</v>
      </c>
      <c r="N572" s="53">
        <f>IF(J572&lt;&gt;0,M572/J572,"")</f>
        <v>0.49256271086988412</v>
      </c>
      <c r="O572" s="23">
        <v>0</v>
      </c>
      <c r="P572" s="25">
        <v>0</v>
      </c>
      <c r="Q572" s="24">
        <v>0</v>
      </c>
      <c r="R572" s="24">
        <f>O572-Q572</f>
        <v>0</v>
      </c>
      <c r="S572" s="53" t="str">
        <f>IF(O572&lt;&gt;0,R572/O572,"")</f>
        <v/>
      </c>
      <c r="T572" s="10"/>
      <c r="U572" s="23">
        <v>0</v>
      </c>
      <c r="V572" s="25">
        <v>0</v>
      </c>
      <c r="W572" s="24">
        <v>0</v>
      </c>
      <c r="X572" s="24">
        <f>U572-W572</f>
        <v>0</v>
      </c>
      <c r="Y572" s="53" t="str">
        <f>IF(U572&lt;&gt;0,X572/U572,"")</f>
        <v/>
      </c>
      <c r="Z572" s="23">
        <v>0</v>
      </c>
      <c r="AA572" s="25">
        <v>0</v>
      </c>
      <c r="AB572" s="24">
        <v>0</v>
      </c>
      <c r="AC572" s="24">
        <f t="shared" si="170"/>
        <v>0</v>
      </c>
      <c r="AD572" s="53" t="str">
        <f t="shared" si="171"/>
        <v/>
      </c>
      <c r="AE572" s="10"/>
    </row>
    <row r="573" spans="1:31" x14ac:dyDescent="0.25">
      <c r="A573" s="14" t="s">
        <v>109</v>
      </c>
      <c r="C573" s="61" t="str">
        <f t="shared" si="169"/>
        <v>C100040</v>
      </c>
      <c r="F573" s="8" t="str">
        <f>"S100010"</f>
        <v>S100010</v>
      </c>
      <c r="G573" s="9" t="str">
        <f>"Golf Relaxed Cap"</f>
        <v>Golf Relaxed Cap</v>
      </c>
      <c r="H573" s="47"/>
      <c r="I573" s="47"/>
      <c r="J573" s="23">
        <v>3388.2900000000004</v>
      </c>
      <c r="K573" s="25">
        <v>336</v>
      </c>
      <c r="L573" s="24">
        <v>2046.2700000000002</v>
      </c>
      <c r="M573" s="24">
        <f>J573-L573</f>
        <v>1342.0200000000002</v>
      </c>
      <c r="N573" s="53">
        <f>IF(J573&lt;&gt;0,M573/J573,"")</f>
        <v>0.39607589669125137</v>
      </c>
      <c r="O573" s="23">
        <v>0</v>
      </c>
      <c r="P573" s="25">
        <v>0</v>
      </c>
      <c r="Q573" s="24">
        <v>0</v>
      </c>
      <c r="R573" s="24">
        <f>O573-Q573</f>
        <v>0</v>
      </c>
      <c r="S573" s="53" t="str">
        <f>IF(O573&lt;&gt;0,R573/O573,"")</f>
        <v/>
      </c>
      <c r="T573" s="10"/>
      <c r="U573" s="23">
        <v>0</v>
      </c>
      <c r="V573" s="25">
        <v>0</v>
      </c>
      <c r="W573" s="24">
        <v>0</v>
      </c>
      <c r="X573" s="24">
        <f>U573-W573</f>
        <v>0</v>
      </c>
      <c r="Y573" s="53" t="str">
        <f>IF(U573&lt;&gt;0,X573/U573,"")</f>
        <v/>
      </c>
      <c r="Z573" s="23">
        <v>0</v>
      </c>
      <c r="AA573" s="25">
        <v>0</v>
      </c>
      <c r="AB573" s="24">
        <v>0</v>
      </c>
      <c r="AC573" s="24">
        <f t="shared" si="170"/>
        <v>0</v>
      </c>
      <c r="AD573" s="53" t="str">
        <f t="shared" si="171"/>
        <v/>
      </c>
      <c r="AE573" s="10"/>
    </row>
    <row r="574" spans="1:31" x14ac:dyDescent="0.25">
      <c r="A574" s="14" t="s">
        <v>109</v>
      </c>
      <c r="C574" s="61" t="str">
        <f t="shared" si="169"/>
        <v>C100040</v>
      </c>
      <c r="F574" s="8" t="str">
        <f>"S100011"</f>
        <v>S100011</v>
      </c>
      <c r="G574" s="9" t="str">
        <f>"All Star Cap"</f>
        <v>All Star Cap</v>
      </c>
      <c r="H574" s="47"/>
      <c r="I574" s="47"/>
      <c r="J574" s="23">
        <v>0</v>
      </c>
      <c r="K574" s="25">
        <v>0</v>
      </c>
      <c r="L574" s="24">
        <v>0</v>
      </c>
      <c r="M574" s="24">
        <f>J574-L574</f>
        <v>0</v>
      </c>
      <c r="N574" s="53" t="str">
        <f>IF(J574&lt;&gt;0,M574/J574,"")</f>
        <v/>
      </c>
      <c r="O574" s="23">
        <v>68.209999999999994</v>
      </c>
      <c r="P574" s="25">
        <v>48</v>
      </c>
      <c r="Q574" s="24">
        <v>40.799999999999997</v>
      </c>
      <c r="R574" s="24">
        <f>O574-Q574</f>
        <v>27.409999999999997</v>
      </c>
      <c r="S574" s="53">
        <f>IF(O574&lt;&gt;0,R574/O574,"")</f>
        <v>0.40184723647559006</v>
      </c>
      <c r="T574" s="10"/>
      <c r="U574" s="23">
        <v>0</v>
      </c>
      <c r="V574" s="25">
        <v>0</v>
      </c>
      <c r="W574" s="24">
        <v>0</v>
      </c>
      <c r="X574" s="24">
        <f>U574-W574</f>
        <v>0</v>
      </c>
      <c r="Y574" s="53" t="str">
        <f>IF(U574&lt;&gt;0,X574/U574,"")</f>
        <v/>
      </c>
      <c r="Z574" s="23">
        <v>1.42</v>
      </c>
      <c r="AA574" s="25">
        <v>1</v>
      </c>
      <c r="AB574" s="24">
        <v>0.85</v>
      </c>
      <c r="AC574" s="24">
        <f t="shared" si="170"/>
        <v>0.56999999999999995</v>
      </c>
      <c r="AD574" s="53">
        <f t="shared" si="171"/>
        <v>0.40140845070422532</v>
      </c>
      <c r="AE574" s="10"/>
    </row>
    <row r="575" spans="1:31" x14ac:dyDescent="0.25">
      <c r="A575" s="14" t="s">
        <v>109</v>
      </c>
      <c r="C575" s="61" t="str">
        <f t="shared" si="169"/>
        <v>C100040</v>
      </c>
      <c r="F575" s="8" t="str">
        <f>"S100012"</f>
        <v>S100012</v>
      </c>
      <c r="G575" s="9" t="str">
        <f>"Raw-Edge Patch BALL CAP"</f>
        <v>Raw-Edge Patch BALL CAP</v>
      </c>
      <c r="H575" s="47"/>
      <c r="I575" s="47"/>
      <c r="J575" s="23">
        <v>1471.8799999999999</v>
      </c>
      <c r="K575" s="25">
        <v>144</v>
      </c>
      <c r="L575" s="24">
        <v>807.83999999999992</v>
      </c>
      <c r="M575" s="24">
        <f>J575-L575</f>
        <v>664.04</v>
      </c>
      <c r="N575" s="53">
        <f>IF(J575&lt;&gt;0,M575/J575,"")</f>
        <v>0.45115090904149796</v>
      </c>
      <c r="O575" s="23">
        <v>1471.8799999999999</v>
      </c>
      <c r="P575" s="25">
        <v>144</v>
      </c>
      <c r="Q575" s="24">
        <v>807.83999999999992</v>
      </c>
      <c r="R575" s="24">
        <f>O575-Q575</f>
        <v>664.04</v>
      </c>
      <c r="S575" s="53">
        <f>IF(O575&lt;&gt;0,R575/O575,"")</f>
        <v>0.45115090904149796</v>
      </c>
      <c r="T575" s="10"/>
      <c r="U575" s="23">
        <v>10.220000000000001</v>
      </c>
      <c r="V575" s="25">
        <v>1</v>
      </c>
      <c r="W575" s="24">
        <v>5.61</v>
      </c>
      <c r="X575" s="24">
        <f>U575-W575</f>
        <v>4.6100000000000003</v>
      </c>
      <c r="Y575" s="53">
        <f>IF(U575&lt;&gt;0,X575/U575,"")</f>
        <v>0.45107632093933464</v>
      </c>
      <c r="Z575" s="23">
        <v>10.220000000000001</v>
      </c>
      <c r="AA575" s="25">
        <v>1</v>
      </c>
      <c r="AB575" s="24">
        <v>5.61</v>
      </c>
      <c r="AC575" s="24">
        <f t="shared" si="170"/>
        <v>4.6100000000000003</v>
      </c>
      <c r="AD575" s="53">
        <f t="shared" si="171"/>
        <v>0.45107632093933464</v>
      </c>
      <c r="AE575" s="10"/>
    </row>
    <row r="576" spans="1:31" x14ac:dyDescent="0.25">
      <c r="A576" s="14" t="s">
        <v>109</v>
      </c>
      <c r="C576" s="61" t="str">
        <f t="shared" si="169"/>
        <v>C100040</v>
      </c>
      <c r="F576" s="8" t="str">
        <f>"S100013"</f>
        <v>S100013</v>
      </c>
      <c r="G576" s="9" t="str">
        <f>"Mesh BALL CAP"</f>
        <v>Mesh BALL CAP</v>
      </c>
      <c r="H576" s="47"/>
      <c r="I576" s="47"/>
      <c r="J576" s="23">
        <v>6.47</v>
      </c>
      <c r="K576" s="25">
        <v>1</v>
      </c>
      <c r="L576" s="24">
        <v>3.44</v>
      </c>
      <c r="M576" s="24">
        <f>J576-L576</f>
        <v>3.03</v>
      </c>
      <c r="N576" s="53">
        <f>IF(J576&lt;&gt;0,M576/J576,"")</f>
        <v>0.46831530139103555</v>
      </c>
      <c r="O576" s="23">
        <v>931.38999999999987</v>
      </c>
      <c r="P576" s="25">
        <v>144</v>
      </c>
      <c r="Q576" s="24">
        <v>495.37</v>
      </c>
      <c r="R576" s="24">
        <f>O576-Q576</f>
        <v>436.01999999999987</v>
      </c>
      <c r="S576" s="53">
        <f>IF(O576&lt;&gt;0,R576/O576,"")</f>
        <v>0.46813901802682006</v>
      </c>
      <c r="T576" s="10"/>
      <c r="U576" s="23">
        <v>0</v>
      </c>
      <c r="V576" s="25">
        <v>0</v>
      </c>
      <c r="W576" s="24">
        <v>0</v>
      </c>
      <c r="X576" s="24">
        <f>U576-W576</f>
        <v>0</v>
      </c>
      <c r="Y576" s="53" t="str">
        <f>IF(U576&lt;&gt;0,X576/U576,"")</f>
        <v/>
      </c>
      <c r="Z576" s="23">
        <v>3732.03</v>
      </c>
      <c r="AA576" s="25">
        <v>577</v>
      </c>
      <c r="AB576" s="24">
        <v>1984.9399999999998</v>
      </c>
      <c r="AC576" s="24">
        <f t="shared" si="170"/>
        <v>1747.0900000000004</v>
      </c>
      <c r="AD576" s="53">
        <f t="shared" si="171"/>
        <v>0.46813396462515044</v>
      </c>
      <c r="AE576" s="10"/>
    </row>
    <row r="577" spans="1:31" x14ac:dyDescent="0.25">
      <c r="A577" s="14" t="s">
        <v>109</v>
      </c>
      <c r="C577" s="61" t="str">
        <f t="shared" si="169"/>
        <v>C100040</v>
      </c>
      <c r="F577" s="8" t="str">
        <f>"S100014"</f>
        <v>S100014</v>
      </c>
      <c r="G577" s="9" t="str">
        <f>"Chunky Knit Hat"</f>
        <v>Chunky Knit Hat</v>
      </c>
      <c r="H577" s="47"/>
      <c r="I577" s="47"/>
      <c r="J577" s="23">
        <v>115.25000000000001</v>
      </c>
      <c r="K577" s="25">
        <v>12</v>
      </c>
      <c r="L577" s="24">
        <v>61.92</v>
      </c>
      <c r="M577" s="24">
        <f>J577-L577</f>
        <v>53.330000000000013</v>
      </c>
      <c r="N577" s="53">
        <f>IF(J577&lt;&gt;0,M577/J577,"")</f>
        <v>0.4627331887201736</v>
      </c>
      <c r="O577" s="23">
        <v>2765.95</v>
      </c>
      <c r="P577" s="25">
        <v>288</v>
      </c>
      <c r="Q577" s="24">
        <v>1486.05</v>
      </c>
      <c r="R577" s="24">
        <f>O577-Q577</f>
        <v>1279.8999999999999</v>
      </c>
      <c r="S577" s="53">
        <f>IF(O577&lt;&gt;0,R577/O577,"")</f>
        <v>0.46273432274625353</v>
      </c>
      <c r="T577" s="10"/>
      <c r="U577" s="23">
        <v>0</v>
      </c>
      <c r="V577" s="25">
        <v>0</v>
      </c>
      <c r="W577" s="24">
        <v>0</v>
      </c>
      <c r="X577" s="24">
        <f>U577-W577</f>
        <v>0</v>
      </c>
      <c r="Y577" s="53" t="str">
        <f>IF(U577&lt;&gt;0,X577/U577,"")</f>
        <v/>
      </c>
      <c r="Z577" s="23">
        <v>1382.98</v>
      </c>
      <c r="AA577" s="25">
        <v>144</v>
      </c>
      <c r="AB577" s="24">
        <v>743.03</v>
      </c>
      <c r="AC577" s="24">
        <f t="shared" si="170"/>
        <v>639.95000000000005</v>
      </c>
      <c r="AD577" s="53">
        <f t="shared" si="171"/>
        <v>0.46273264978524636</v>
      </c>
      <c r="AE577" s="10"/>
    </row>
    <row r="578" spans="1:31" x14ac:dyDescent="0.25">
      <c r="A578" s="14" t="s">
        <v>109</v>
      </c>
      <c r="C578" s="61" t="str">
        <f t="shared" si="169"/>
        <v>C100040</v>
      </c>
      <c r="F578" s="8" t="str">
        <f>"S100016"</f>
        <v>S100016</v>
      </c>
      <c r="G578" s="9" t="str">
        <f>"Mesh Bucket Hat"</f>
        <v>Mesh Bucket Hat</v>
      </c>
      <c r="H578" s="47"/>
      <c r="I578" s="47"/>
      <c r="J578" s="23">
        <v>712.54</v>
      </c>
      <c r="K578" s="25">
        <v>146</v>
      </c>
      <c r="L578" s="24">
        <v>401.51</v>
      </c>
      <c r="M578" s="24">
        <f>J578-L578</f>
        <v>311.02999999999997</v>
      </c>
      <c r="N578" s="53">
        <f>IF(J578&lt;&gt;0,M578/J578,"")</f>
        <v>0.43650882757459231</v>
      </c>
      <c r="O578" s="23">
        <v>0</v>
      </c>
      <c r="P578" s="25">
        <v>0</v>
      </c>
      <c r="Q578" s="24">
        <v>0</v>
      </c>
      <c r="R578" s="24">
        <f>O578-Q578</f>
        <v>0</v>
      </c>
      <c r="S578" s="53" t="str">
        <f>IF(O578&lt;&gt;0,R578/O578,"")</f>
        <v/>
      </c>
      <c r="T578" s="10"/>
      <c r="U578" s="23">
        <v>0</v>
      </c>
      <c r="V578" s="25">
        <v>0</v>
      </c>
      <c r="W578" s="24">
        <v>0</v>
      </c>
      <c r="X578" s="24">
        <f>U578-W578</f>
        <v>0</v>
      </c>
      <c r="Y578" s="53" t="str">
        <f>IF(U578&lt;&gt;0,X578/U578,"")</f>
        <v/>
      </c>
      <c r="Z578" s="23">
        <v>1405.56</v>
      </c>
      <c r="AA578" s="25">
        <v>288</v>
      </c>
      <c r="AB578" s="24">
        <v>792.02</v>
      </c>
      <c r="AC578" s="24">
        <f t="shared" si="170"/>
        <v>613.54</v>
      </c>
      <c r="AD578" s="53">
        <f t="shared" si="171"/>
        <v>0.43650929167022395</v>
      </c>
      <c r="AE578" s="10"/>
    </row>
    <row r="579" spans="1:31" x14ac:dyDescent="0.25">
      <c r="A579" s="14" t="s">
        <v>109</v>
      </c>
      <c r="C579" s="61" t="str">
        <f t="shared" si="169"/>
        <v>C100040</v>
      </c>
      <c r="F579" s="8" t="str">
        <f>"S100017"</f>
        <v>S100017</v>
      </c>
      <c r="G579" s="9" t="str">
        <f>"Microfiber Bucket Hat"</f>
        <v>Microfiber Bucket Hat</v>
      </c>
      <c r="H579" s="47"/>
      <c r="I579" s="47"/>
      <c r="J579" s="23">
        <v>0</v>
      </c>
      <c r="K579" s="25">
        <v>0</v>
      </c>
      <c r="L579" s="24">
        <v>0</v>
      </c>
      <c r="M579" s="24">
        <f>J579-L579</f>
        <v>0</v>
      </c>
      <c r="N579" s="53" t="str">
        <f>IF(J579&lt;&gt;0,M579/J579,"")</f>
        <v/>
      </c>
      <c r="O579" s="23">
        <v>2090.16</v>
      </c>
      <c r="P579" s="25">
        <v>289</v>
      </c>
      <c r="Q579" s="24">
        <v>1375.63</v>
      </c>
      <c r="R579" s="24">
        <f>O579-Q579</f>
        <v>714.52999999999975</v>
      </c>
      <c r="S579" s="53">
        <f>IF(O579&lt;&gt;0,R579/O579,"")</f>
        <v>0.34185421211773254</v>
      </c>
      <c r="T579" s="10"/>
      <c r="U579" s="23">
        <v>0</v>
      </c>
      <c r="V579" s="25">
        <v>0</v>
      </c>
      <c r="W579" s="24">
        <v>0</v>
      </c>
      <c r="X579" s="24">
        <f>U579-W579</f>
        <v>0</v>
      </c>
      <c r="Y579" s="53" t="str">
        <f>IF(U579&lt;&gt;0,X579/U579,"")</f>
        <v/>
      </c>
      <c r="Z579" s="23">
        <v>1041.47</v>
      </c>
      <c r="AA579" s="25">
        <v>144</v>
      </c>
      <c r="AB579" s="24">
        <v>685.44</v>
      </c>
      <c r="AC579" s="24">
        <f t="shared" si="170"/>
        <v>356.03</v>
      </c>
      <c r="AD579" s="53">
        <f t="shared" si="171"/>
        <v>0.34185334191095273</v>
      </c>
      <c r="AE579" s="10"/>
    </row>
    <row r="580" spans="1:31" x14ac:dyDescent="0.25">
      <c r="A580" s="14" t="s">
        <v>109</v>
      </c>
      <c r="C580" s="61" t="str">
        <f t="shared" si="169"/>
        <v>C100040</v>
      </c>
      <c r="F580" s="8" t="str">
        <f>"S100018"</f>
        <v>S100018</v>
      </c>
      <c r="G580" s="9" t="str">
        <f>"Crusher Bucket Hat"</f>
        <v>Crusher Bucket Hat</v>
      </c>
      <c r="H580" s="47"/>
      <c r="I580" s="47"/>
      <c r="J580" s="23">
        <v>1047.1100000000001</v>
      </c>
      <c r="K580" s="25">
        <v>144</v>
      </c>
      <c r="L580" s="24">
        <v>504</v>
      </c>
      <c r="M580" s="24">
        <f>J580-L580</f>
        <v>543.11000000000013</v>
      </c>
      <c r="N580" s="53">
        <f>IF(J580&lt;&gt;0,M580/J580,"")</f>
        <v>0.51867521081834767</v>
      </c>
      <c r="O580" s="23">
        <v>1047.1100000000001</v>
      </c>
      <c r="P580" s="25">
        <v>144</v>
      </c>
      <c r="Q580" s="24">
        <v>504</v>
      </c>
      <c r="R580" s="24">
        <f>O580-Q580</f>
        <v>543.11000000000013</v>
      </c>
      <c r="S580" s="53">
        <f>IF(O580&lt;&gt;0,R580/O580,"")</f>
        <v>0.51867521081834767</v>
      </c>
      <c r="T580" s="10"/>
      <c r="U580" s="23">
        <v>7.27</v>
      </c>
      <c r="V580" s="25">
        <v>1</v>
      </c>
      <c r="W580" s="24">
        <v>3.5</v>
      </c>
      <c r="X580" s="24">
        <f>U580-W580</f>
        <v>3.7699999999999996</v>
      </c>
      <c r="Y580" s="53">
        <f>IF(U580&lt;&gt;0,X580/U580,"")</f>
        <v>0.51856946354883082</v>
      </c>
      <c r="Z580" s="23">
        <v>1396.15</v>
      </c>
      <c r="AA580" s="25">
        <v>192</v>
      </c>
      <c r="AB580" s="24">
        <v>672</v>
      </c>
      <c r="AC580" s="24">
        <f t="shared" si="170"/>
        <v>724.15000000000009</v>
      </c>
      <c r="AD580" s="53">
        <f t="shared" si="171"/>
        <v>0.51867635998997241</v>
      </c>
      <c r="AE580" s="10"/>
    </row>
    <row r="581" spans="1:31" x14ac:dyDescent="0.25">
      <c r="A581" s="14" t="s">
        <v>109</v>
      </c>
      <c r="C581" s="61" t="str">
        <f t="shared" si="169"/>
        <v>C100040</v>
      </c>
      <c r="F581" s="8" t="str">
        <f>"S100019"</f>
        <v>S100019</v>
      </c>
      <c r="G581" s="9" t="str">
        <f>"Sportsman Bucket Hat"</f>
        <v>Sportsman Bucket Hat</v>
      </c>
      <c r="H581" s="47"/>
      <c r="I581" s="47"/>
      <c r="J581" s="23">
        <v>647.74</v>
      </c>
      <c r="K581" s="25">
        <v>144</v>
      </c>
      <c r="L581" s="24">
        <v>349.93</v>
      </c>
      <c r="M581" s="24">
        <f>J581-L581</f>
        <v>297.81</v>
      </c>
      <c r="N581" s="53">
        <f>IF(J581&lt;&gt;0,M581/J581,"")</f>
        <v>0.45976780807113965</v>
      </c>
      <c r="O581" s="23">
        <v>0</v>
      </c>
      <c r="P581" s="25">
        <v>0</v>
      </c>
      <c r="Q581" s="24">
        <v>0</v>
      </c>
      <c r="R581" s="24">
        <f>O581-Q581</f>
        <v>0</v>
      </c>
      <c r="S581" s="53" t="str">
        <f>IF(O581&lt;&gt;0,R581/O581,"")</f>
        <v/>
      </c>
      <c r="T581" s="10"/>
      <c r="U581" s="23">
        <v>0</v>
      </c>
      <c r="V581" s="25">
        <v>0</v>
      </c>
      <c r="W581" s="24">
        <v>0</v>
      </c>
      <c r="X581" s="24">
        <f>U581-W581</f>
        <v>0</v>
      </c>
      <c r="Y581" s="53" t="str">
        <f>IF(U581&lt;&gt;0,X581/U581,"")</f>
        <v/>
      </c>
      <c r="Z581" s="23">
        <v>0</v>
      </c>
      <c r="AA581" s="25">
        <v>0</v>
      </c>
      <c r="AB581" s="24">
        <v>0</v>
      </c>
      <c r="AC581" s="24">
        <f t="shared" si="170"/>
        <v>0</v>
      </c>
      <c r="AD581" s="53" t="str">
        <f t="shared" si="171"/>
        <v/>
      </c>
      <c r="AE581" s="10"/>
    </row>
    <row r="582" spans="1:31" x14ac:dyDescent="0.25">
      <c r="A582" s="14" t="s">
        <v>109</v>
      </c>
      <c r="C582" s="61" t="str">
        <f t="shared" si="169"/>
        <v>C100040</v>
      </c>
      <c r="F582" s="8" t="str">
        <f>"S100020"</f>
        <v>S100020</v>
      </c>
      <c r="G582" s="9" t="str">
        <f>"Super Sport Stopwatch"</f>
        <v>Super Sport Stopwatch</v>
      </c>
      <c r="H582" s="47"/>
      <c r="I582" s="47"/>
      <c r="J582" s="23">
        <v>27.78</v>
      </c>
      <c r="K582" s="25">
        <v>13</v>
      </c>
      <c r="L582" s="24">
        <v>13.65</v>
      </c>
      <c r="M582" s="24">
        <f>J582-L582</f>
        <v>14.13</v>
      </c>
      <c r="N582" s="53">
        <f>IF(J582&lt;&gt;0,M582/J582,"")</f>
        <v>0.50863930885529163</v>
      </c>
      <c r="O582" s="23">
        <v>0</v>
      </c>
      <c r="P582" s="25">
        <v>0</v>
      </c>
      <c r="Q582" s="24">
        <v>0</v>
      </c>
      <c r="R582" s="24">
        <f>O582-Q582</f>
        <v>0</v>
      </c>
      <c r="S582" s="53" t="str">
        <f>IF(O582&lt;&gt;0,R582/O582,"")</f>
        <v/>
      </c>
      <c r="T582" s="10"/>
      <c r="U582" s="23">
        <v>0</v>
      </c>
      <c r="V582" s="25">
        <v>0</v>
      </c>
      <c r="W582" s="24">
        <v>0</v>
      </c>
      <c r="X582" s="24">
        <f>U582-W582</f>
        <v>0</v>
      </c>
      <c r="Y582" s="53" t="str">
        <f>IF(U582&lt;&gt;0,X582/U582,"")</f>
        <v/>
      </c>
      <c r="Z582" s="23">
        <v>27.769999999999996</v>
      </c>
      <c r="AA582" s="25">
        <v>13</v>
      </c>
      <c r="AB582" s="24">
        <v>13.65</v>
      </c>
      <c r="AC582" s="24">
        <f t="shared" si="170"/>
        <v>14.119999999999996</v>
      </c>
      <c r="AD582" s="53">
        <f t="shared" si="171"/>
        <v>0.50846236946344969</v>
      </c>
      <c r="AE582" s="10"/>
    </row>
    <row r="583" spans="1:31" x14ac:dyDescent="0.25">
      <c r="A583" s="14" t="s">
        <v>109</v>
      </c>
      <c r="C583" s="61" t="str">
        <f t="shared" si="169"/>
        <v>C100040</v>
      </c>
      <c r="F583" s="8" t="str">
        <f>"S100021"</f>
        <v>S100021</v>
      </c>
      <c r="G583" s="9" t="str">
        <f>"Translucent Stopwatch"</f>
        <v>Translucent Stopwatch</v>
      </c>
      <c r="H583" s="47"/>
      <c r="I583" s="47"/>
      <c r="J583" s="23">
        <v>0</v>
      </c>
      <c r="K583" s="25">
        <v>0</v>
      </c>
      <c r="L583" s="24">
        <v>0</v>
      </c>
      <c r="M583" s="24">
        <f>J583-L583</f>
        <v>0</v>
      </c>
      <c r="N583" s="53" t="str">
        <f>IF(J583&lt;&gt;0,M583/J583,"")</f>
        <v/>
      </c>
      <c r="O583" s="23">
        <v>1171.3</v>
      </c>
      <c r="P583" s="25">
        <v>288</v>
      </c>
      <c r="Q583" s="24">
        <v>619.17999999999995</v>
      </c>
      <c r="R583" s="24">
        <f>O583-Q583</f>
        <v>552.12</v>
      </c>
      <c r="S583" s="53">
        <f>IF(O583&lt;&gt;0,R583/O583,"")</f>
        <v>0.47137368735592933</v>
      </c>
      <c r="T583" s="10"/>
      <c r="U583" s="23">
        <v>585.65</v>
      </c>
      <c r="V583" s="25">
        <v>144</v>
      </c>
      <c r="W583" s="24">
        <v>309.58999999999997</v>
      </c>
      <c r="X583" s="24">
        <f>U583-W583</f>
        <v>276.06</v>
      </c>
      <c r="Y583" s="53">
        <f>IF(U583&lt;&gt;0,X583/U583,"")</f>
        <v>0.47137368735592933</v>
      </c>
      <c r="Z583" s="23">
        <v>2444.27</v>
      </c>
      <c r="AA583" s="25">
        <v>601</v>
      </c>
      <c r="AB583" s="24">
        <v>1292.1099999999999</v>
      </c>
      <c r="AC583" s="24">
        <f t="shared" si="170"/>
        <v>1152.1600000000001</v>
      </c>
      <c r="AD583" s="53">
        <f t="shared" si="171"/>
        <v>0.47137182062538102</v>
      </c>
      <c r="AE583" s="10"/>
    </row>
    <row r="584" spans="1:31" ht="15.75" thickBot="1" x14ac:dyDescent="0.3">
      <c r="A584" s="14" t="s">
        <v>109</v>
      </c>
      <c r="C584" s="61" t="str">
        <f>C549</f>
        <v>C100040</v>
      </c>
      <c r="J584" s="10"/>
      <c r="K584" s="11"/>
      <c r="L584" s="11"/>
      <c r="M584" s="11"/>
      <c r="N584" s="12"/>
      <c r="O584" s="10"/>
      <c r="P584" s="11"/>
      <c r="Q584" s="11"/>
      <c r="R584" s="11"/>
      <c r="S584" s="12"/>
      <c r="U584" s="10"/>
      <c r="V584" s="11"/>
      <c r="W584" s="11"/>
      <c r="X584" s="11"/>
      <c r="Y584" s="12"/>
      <c r="Z584" s="10"/>
      <c r="AA584" s="11"/>
      <c r="AB584" s="11"/>
      <c r="AC584" s="11"/>
      <c r="AD584" s="12"/>
    </row>
    <row r="585" spans="1:31" ht="15.75" thickBot="1" x14ac:dyDescent="0.3">
      <c r="A585" s="14" t="s">
        <v>109</v>
      </c>
      <c r="C585" s="61" t="str">
        <f t="shared" si="166"/>
        <v>C100040</v>
      </c>
      <c r="G585" s="48" t="str">
        <f>C585&amp;" TOTAL:"</f>
        <v>C100040 TOTAL:</v>
      </c>
      <c r="H585" s="50"/>
      <c r="I585" s="50"/>
      <c r="J585" s="34">
        <f>SUBTOTAL(9,J548:J584)</f>
        <v>40167.06</v>
      </c>
      <c r="K585" s="35">
        <f>SUBTOTAL(9,K548:K584)</f>
        <v>3282</v>
      </c>
      <c r="L585" s="36">
        <f>SUBTOTAL(9,L548:L584)</f>
        <v>22860.850000000002</v>
      </c>
      <c r="M585" s="36">
        <f>J585-L585</f>
        <v>17306.209999999995</v>
      </c>
      <c r="N585" s="37">
        <f>IF(J585&lt;&gt;0,M585/J585,"")</f>
        <v>0.43085578083135773</v>
      </c>
      <c r="O585" s="34">
        <f>SUBTOTAL(9,O548:O584)</f>
        <v>15284.96</v>
      </c>
      <c r="P585" s="35">
        <f>SUBTOTAL(9,P548:P584)</f>
        <v>2217</v>
      </c>
      <c r="Q585" s="36">
        <f>SUBTOTAL(9,Q548:Q584)</f>
        <v>8693.84</v>
      </c>
      <c r="R585" s="36">
        <f>O585-Q585</f>
        <v>6591.119999999999</v>
      </c>
      <c r="S585" s="37">
        <f>IF(O585&lt;&gt;0,R585/O585,"")</f>
        <v>0.43121604505343814</v>
      </c>
      <c r="U585" s="34">
        <f>SUBTOTAL(9,U548:U584)</f>
        <v>16559.440000000002</v>
      </c>
      <c r="V585" s="35">
        <f>SUBTOTAL(9,V548:V584)</f>
        <v>573</v>
      </c>
      <c r="W585" s="36">
        <f>SUBTOTAL(9,W548:W584)</f>
        <v>8407.1799999999985</v>
      </c>
      <c r="X585" s="36">
        <f>U585-W585</f>
        <v>8152.2600000000039</v>
      </c>
      <c r="Y585" s="37">
        <f>IF(U585&lt;&gt;0,X585/U585,"")</f>
        <v>0.4923028798075299</v>
      </c>
      <c r="Z585" s="34">
        <f>SUBTOTAL(9,Z548:Z584)</f>
        <v>30135.190000000002</v>
      </c>
      <c r="AA585" s="35">
        <f>SUBTOTAL(9,AA548:AA584)</f>
        <v>4493</v>
      </c>
      <c r="AB585" s="36">
        <f>SUBTOTAL(9,AB548:AB584)</f>
        <v>16074.300000000005</v>
      </c>
      <c r="AC585" s="36">
        <f t="shared" ref="AC585" si="172">Z585-AB585</f>
        <v>14060.889999999998</v>
      </c>
      <c r="AD585" s="37">
        <f t="shared" ref="AD585" si="173">IF(Z585&lt;&gt;0,AC585/Z585,"")</f>
        <v>0.46659370656033683</v>
      </c>
    </row>
    <row r="586" spans="1:31" x14ac:dyDescent="0.25">
      <c r="A586" s="14" t="s">
        <v>109</v>
      </c>
      <c r="C586" s="66"/>
      <c r="J586" s="10"/>
      <c r="K586" s="11"/>
      <c r="L586" s="11"/>
      <c r="M586" s="11"/>
      <c r="N586" s="12"/>
      <c r="O586" s="10"/>
      <c r="P586" s="11"/>
      <c r="Q586" s="11"/>
      <c r="R586" s="11"/>
      <c r="S586" s="12"/>
      <c r="U586" s="10"/>
      <c r="V586" s="11"/>
      <c r="W586" s="11"/>
      <c r="X586" s="11"/>
      <c r="Y586" s="12"/>
      <c r="Z586" s="10"/>
      <c r="AA586" s="11"/>
      <c r="AB586" s="11"/>
      <c r="AC586" s="11"/>
      <c r="AD586" s="12"/>
    </row>
    <row r="587" spans="1:31" ht="15.75" x14ac:dyDescent="0.25">
      <c r="A587" s="14" t="s">
        <v>109</v>
      </c>
      <c r="C587" s="66" t="str">
        <f t="shared" ref="C587" si="174">E587</f>
        <v>C100041</v>
      </c>
      <c r="E587" s="13" t="str">
        <f>"C100041"</f>
        <v>C100041</v>
      </c>
      <c r="F587" s="13"/>
      <c r="G587" s="13" t="str">
        <f>"Heimilisprydi"</f>
        <v>Heimilisprydi</v>
      </c>
      <c r="H587" s="13"/>
      <c r="I587" s="13"/>
      <c r="J587" s="10"/>
      <c r="K587" s="11"/>
      <c r="L587" s="11"/>
      <c r="M587" s="11"/>
      <c r="N587" s="12"/>
      <c r="O587" s="10"/>
      <c r="P587" s="11"/>
      <c r="Q587" s="11"/>
      <c r="R587" s="11"/>
      <c r="S587" s="12"/>
      <c r="U587" s="10"/>
      <c r="V587" s="11"/>
      <c r="W587" s="11"/>
      <c r="X587" s="11"/>
      <c r="Y587" s="12"/>
      <c r="Z587" s="10"/>
      <c r="AA587" s="11"/>
      <c r="AB587" s="11"/>
      <c r="AC587" s="11"/>
      <c r="AD587" s="12"/>
    </row>
    <row r="588" spans="1:31" ht="6.6" customHeight="1" x14ac:dyDescent="0.25">
      <c r="A588" s="14" t="s">
        <v>109</v>
      </c>
      <c r="C588" s="61" t="str">
        <f t="shared" ref="C588:C591" si="175">C587</f>
        <v>C100041</v>
      </c>
      <c r="J588" s="10"/>
      <c r="K588" s="11"/>
      <c r="L588" s="11"/>
      <c r="M588" s="11"/>
      <c r="N588" s="12"/>
      <c r="O588" s="10"/>
      <c r="P588" s="11"/>
      <c r="Q588" s="11"/>
      <c r="R588" s="11"/>
      <c r="S588" s="12"/>
      <c r="U588" s="10"/>
      <c r="V588" s="11"/>
      <c r="W588" s="11"/>
      <c r="X588" s="11"/>
      <c r="Y588" s="12"/>
      <c r="Z588" s="10"/>
      <c r="AA588" s="11"/>
      <c r="AB588" s="11"/>
      <c r="AC588" s="11"/>
      <c r="AD588" s="12"/>
    </row>
    <row r="589" spans="1:31" x14ac:dyDescent="0.25">
      <c r="A589" s="14" t="s">
        <v>109</v>
      </c>
      <c r="C589" s="61" t="str">
        <f t="shared" si="175"/>
        <v>C100041</v>
      </c>
      <c r="F589" s="8" t="str">
        <f>""</f>
        <v/>
      </c>
      <c r="G589" s="9" t="str">
        <f>""</f>
        <v/>
      </c>
      <c r="H589" s="47"/>
      <c r="I589" s="47"/>
      <c r="J589" s="23">
        <v>0</v>
      </c>
      <c r="K589" s="25">
        <v>0</v>
      </c>
      <c r="L589" s="24">
        <v>0</v>
      </c>
      <c r="M589" s="24">
        <f>J589-L589</f>
        <v>0</v>
      </c>
      <c r="N589" s="53" t="str">
        <f>IF(J589&lt;&gt;0,M589/J589,"")</f>
        <v/>
      </c>
      <c r="O589" s="23">
        <v>0</v>
      </c>
      <c r="P589" s="25">
        <v>0</v>
      </c>
      <c r="Q589" s="24">
        <v>0</v>
      </c>
      <c r="R589" s="24">
        <f>O589-Q589</f>
        <v>0</v>
      </c>
      <c r="S589" s="53" t="str">
        <f>IF(O589&lt;&gt;0,R589/O589,"")</f>
        <v/>
      </c>
      <c r="T589" s="10"/>
      <c r="U589" s="23">
        <v>0</v>
      </c>
      <c r="V589" s="25">
        <v>0</v>
      </c>
      <c r="W589" s="24">
        <v>0</v>
      </c>
      <c r="X589" s="24">
        <f>U589-W589</f>
        <v>0</v>
      </c>
      <c r="Y589" s="53" t="str">
        <f>IF(U589&lt;&gt;0,X589/U589,"")</f>
        <v/>
      </c>
      <c r="Z589" s="23">
        <v>0</v>
      </c>
      <c r="AA589" s="25">
        <v>0</v>
      </c>
      <c r="AB589" s="24">
        <v>0</v>
      </c>
      <c r="AC589" s="24">
        <f t="shared" ref="AC589" si="176">Z589-AB589</f>
        <v>0</v>
      </c>
      <c r="AD589" s="53" t="str">
        <f t="shared" ref="AD589" si="177">IF(Z589&lt;&gt;0,AC589/Z589,"")</f>
        <v/>
      </c>
      <c r="AE589" s="10"/>
    </row>
    <row r="590" spans="1:31" ht="15.75" thickBot="1" x14ac:dyDescent="0.3">
      <c r="A590" s="14" t="s">
        <v>109</v>
      </c>
      <c r="C590" s="61" t="str">
        <f t="shared" si="175"/>
        <v>C100041</v>
      </c>
      <c r="J590" s="10"/>
      <c r="K590" s="11"/>
      <c r="L590" s="11"/>
      <c r="M590" s="11"/>
      <c r="N590" s="12"/>
      <c r="O590" s="10"/>
      <c r="P590" s="11"/>
      <c r="Q590" s="11"/>
      <c r="R590" s="11"/>
      <c r="S590" s="12"/>
      <c r="U590" s="10"/>
      <c r="V590" s="11"/>
      <c r="W590" s="11"/>
      <c r="X590" s="11"/>
      <c r="Y590" s="12"/>
      <c r="Z590" s="10"/>
      <c r="AA590" s="11"/>
      <c r="AB590" s="11"/>
      <c r="AC590" s="11"/>
      <c r="AD590" s="12"/>
    </row>
    <row r="591" spans="1:31" ht="15.75" thickBot="1" x14ac:dyDescent="0.3">
      <c r="A591" s="14" t="s">
        <v>109</v>
      </c>
      <c r="C591" s="61" t="str">
        <f t="shared" si="175"/>
        <v>C100041</v>
      </c>
      <c r="G591" s="48" t="str">
        <f>C591&amp;" TOTAL:"</f>
        <v>C100041 TOTAL:</v>
      </c>
      <c r="H591" s="50"/>
      <c r="I591" s="50"/>
      <c r="J591" s="34">
        <f>SUBTOTAL(9,J588:J590)</f>
        <v>0</v>
      </c>
      <c r="K591" s="35">
        <f>SUBTOTAL(9,K588:K590)</f>
        <v>0</v>
      </c>
      <c r="L591" s="36">
        <f>SUBTOTAL(9,L588:L590)</f>
        <v>0</v>
      </c>
      <c r="M591" s="36">
        <f>J591-L591</f>
        <v>0</v>
      </c>
      <c r="N591" s="37" t="str">
        <f>IF(J591&lt;&gt;0,M591/J591,"")</f>
        <v/>
      </c>
      <c r="O591" s="34">
        <f>SUBTOTAL(9,O588:O590)</f>
        <v>0</v>
      </c>
      <c r="P591" s="35">
        <f>SUBTOTAL(9,P588:P590)</f>
        <v>0</v>
      </c>
      <c r="Q591" s="36">
        <f>SUBTOTAL(9,Q588:Q590)</f>
        <v>0</v>
      </c>
      <c r="R591" s="36">
        <f>O591-Q591</f>
        <v>0</v>
      </c>
      <c r="S591" s="37" t="str">
        <f>IF(O591&lt;&gt;0,R591/O591,"")</f>
        <v/>
      </c>
      <c r="U591" s="34">
        <f>SUBTOTAL(9,U588:U590)</f>
        <v>0</v>
      </c>
      <c r="V591" s="35">
        <f>SUBTOTAL(9,V588:V590)</f>
        <v>0</v>
      </c>
      <c r="W591" s="36">
        <f>SUBTOTAL(9,W588:W590)</f>
        <v>0</v>
      </c>
      <c r="X591" s="36">
        <f>U591-W591</f>
        <v>0</v>
      </c>
      <c r="Y591" s="37" t="str">
        <f>IF(U591&lt;&gt;0,X591/U591,"")</f>
        <v/>
      </c>
      <c r="Z591" s="34">
        <f>SUBTOTAL(9,Z588:Z590)</f>
        <v>0</v>
      </c>
      <c r="AA591" s="35">
        <f>SUBTOTAL(9,AA588:AA590)</f>
        <v>0</v>
      </c>
      <c r="AB591" s="36">
        <f>SUBTOTAL(9,AB588:AB590)</f>
        <v>0</v>
      </c>
      <c r="AC591" s="36">
        <f t="shared" ref="AC591" si="178">Z591-AB591</f>
        <v>0</v>
      </c>
      <c r="AD591" s="37" t="str">
        <f t="shared" ref="AD591" si="179">IF(Z591&lt;&gt;0,AC591/Z591,"")</f>
        <v/>
      </c>
    </row>
    <row r="592" spans="1:31" x14ac:dyDescent="0.25">
      <c r="A592" s="14" t="s">
        <v>109</v>
      </c>
      <c r="C592" s="66"/>
      <c r="J592" s="10"/>
      <c r="K592" s="11"/>
      <c r="L592" s="11"/>
      <c r="M592" s="11"/>
      <c r="N592" s="12"/>
      <c r="O592" s="10"/>
      <c r="P592" s="11"/>
      <c r="Q592" s="11"/>
      <c r="R592" s="11"/>
      <c r="S592" s="12"/>
      <c r="U592" s="10"/>
      <c r="V592" s="11"/>
      <c r="W592" s="11"/>
      <c r="X592" s="11"/>
      <c r="Y592" s="12"/>
      <c r="Z592" s="10"/>
      <c r="AA592" s="11"/>
      <c r="AB592" s="11"/>
      <c r="AC592" s="11"/>
      <c r="AD592" s="12"/>
    </row>
    <row r="593" spans="1:31" ht="15.75" x14ac:dyDescent="0.25">
      <c r="A593" s="14" t="s">
        <v>109</v>
      </c>
      <c r="C593" s="66" t="str">
        <f t="shared" ref="C593" si="180">E593</f>
        <v>C100042</v>
      </c>
      <c r="E593" s="13" t="str">
        <f>"C100042"</f>
        <v>C100042</v>
      </c>
      <c r="F593" s="13"/>
      <c r="G593" s="13" t="str">
        <f>"Helguera industrial"</f>
        <v>Helguera industrial</v>
      </c>
      <c r="H593" s="13"/>
      <c r="I593" s="13"/>
      <c r="J593" s="10"/>
      <c r="K593" s="11"/>
      <c r="L593" s="11"/>
      <c r="M593" s="11"/>
      <c r="N593" s="12"/>
      <c r="O593" s="10"/>
      <c r="P593" s="11"/>
      <c r="Q593" s="11"/>
      <c r="R593" s="11"/>
      <c r="S593" s="12"/>
      <c r="U593" s="10"/>
      <c r="V593" s="11"/>
      <c r="W593" s="11"/>
      <c r="X593" s="11"/>
      <c r="Y593" s="12"/>
      <c r="Z593" s="10"/>
      <c r="AA593" s="11"/>
      <c r="AB593" s="11"/>
      <c r="AC593" s="11"/>
      <c r="AD593" s="12"/>
    </row>
    <row r="594" spans="1:31" ht="6.6" customHeight="1" x14ac:dyDescent="0.25">
      <c r="A594" s="14" t="s">
        <v>109</v>
      </c>
      <c r="C594" s="61" t="str">
        <f t="shared" ref="C594:C614" si="181">C593</f>
        <v>C100042</v>
      </c>
      <c r="J594" s="10"/>
      <c r="K594" s="11"/>
      <c r="L594" s="11"/>
      <c r="M594" s="11"/>
      <c r="N594" s="12"/>
      <c r="O594" s="10"/>
      <c r="P594" s="11"/>
      <c r="Q594" s="11"/>
      <c r="R594" s="11"/>
      <c r="S594" s="12"/>
      <c r="U594" s="10"/>
      <c r="V594" s="11"/>
      <c r="W594" s="11"/>
      <c r="X594" s="11"/>
      <c r="Y594" s="12"/>
      <c r="Z594" s="10"/>
      <c r="AA594" s="11"/>
      <c r="AB594" s="11"/>
      <c r="AC594" s="11"/>
      <c r="AD594" s="12"/>
    </row>
    <row r="595" spans="1:31" x14ac:dyDescent="0.25">
      <c r="A595" s="14" t="s">
        <v>109</v>
      </c>
      <c r="C595" s="61" t="str">
        <f t="shared" si="181"/>
        <v>C100042</v>
      </c>
      <c r="F595" s="8" t="str">
        <f>"C100003"</f>
        <v>C100003</v>
      </c>
      <c r="G595" s="9" t="str">
        <f>"Cherry Finish Frame"</f>
        <v>Cherry Finish Frame</v>
      </c>
      <c r="H595" s="47"/>
      <c r="I595" s="47"/>
      <c r="J595" s="23">
        <v>3128.34</v>
      </c>
      <c r="K595" s="25">
        <v>48</v>
      </c>
      <c r="L595" s="24">
        <v>1566.72</v>
      </c>
      <c r="M595" s="24">
        <f>J595-L595</f>
        <v>1561.6200000000001</v>
      </c>
      <c r="N595" s="53">
        <f>IF(J595&lt;&gt;0,M595/J595,"")</f>
        <v>0.49918487120965116</v>
      </c>
      <c r="O595" s="23">
        <v>0</v>
      </c>
      <c r="P595" s="25">
        <v>0</v>
      </c>
      <c r="Q595" s="24">
        <v>0</v>
      </c>
      <c r="R595" s="24">
        <f>O595-Q595</f>
        <v>0</v>
      </c>
      <c r="S595" s="53" t="str">
        <f>IF(O595&lt;&gt;0,R595/O595,"")</f>
        <v/>
      </c>
      <c r="T595" s="10"/>
      <c r="U595" s="23">
        <v>0</v>
      </c>
      <c r="V595" s="25">
        <v>0</v>
      </c>
      <c r="W595" s="24">
        <v>0</v>
      </c>
      <c r="X595" s="24">
        <f>U595-W595</f>
        <v>0</v>
      </c>
      <c r="Y595" s="53" t="str">
        <f>IF(U595&lt;&gt;0,X595/U595,"")</f>
        <v/>
      </c>
      <c r="Z595" s="23">
        <v>1547.8799999999999</v>
      </c>
      <c r="AA595" s="25">
        <v>24</v>
      </c>
      <c r="AB595" s="24">
        <v>783.36</v>
      </c>
      <c r="AC595" s="24">
        <f t="shared" ref="AC595" si="182">Z595-AB595</f>
        <v>764.51999999999987</v>
      </c>
      <c r="AD595" s="53">
        <f t="shared" ref="AD595" si="183">IF(Z595&lt;&gt;0,AC595/Z595,"")</f>
        <v>0.49391425691914098</v>
      </c>
      <c r="AE595" s="10"/>
    </row>
    <row r="596" spans="1:31" x14ac:dyDescent="0.25">
      <c r="A596" s="14" t="s">
        <v>109</v>
      </c>
      <c r="C596" s="61" t="str">
        <f t="shared" ref="C596:C612" si="184">C595</f>
        <v>C100042</v>
      </c>
      <c r="F596" s="8" t="str">
        <f>"C100004"</f>
        <v>C100004</v>
      </c>
      <c r="G596" s="9" t="str">
        <f>"Walnut Medallian Plate"</f>
        <v>Walnut Medallian Plate</v>
      </c>
      <c r="H596" s="47"/>
      <c r="I596" s="47"/>
      <c r="J596" s="23">
        <v>341.90999999999997</v>
      </c>
      <c r="K596" s="25">
        <v>6</v>
      </c>
      <c r="L596" s="24">
        <v>183.6</v>
      </c>
      <c r="M596" s="24">
        <f>J596-L596</f>
        <v>158.30999999999997</v>
      </c>
      <c r="N596" s="53">
        <f>IF(J596&lt;&gt;0,M596/J596,"")</f>
        <v>0.46301658331139772</v>
      </c>
      <c r="O596" s="23">
        <v>0</v>
      </c>
      <c r="P596" s="25">
        <v>0</v>
      </c>
      <c r="Q596" s="24">
        <v>0</v>
      </c>
      <c r="R596" s="24">
        <f>O596-Q596</f>
        <v>0</v>
      </c>
      <c r="S596" s="53" t="str">
        <f>IF(O596&lt;&gt;0,R596/O596,"")</f>
        <v/>
      </c>
      <c r="T596" s="10"/>
      <c r="U596" s="23">
        <v>0</v>
      </c>
      <c r="V596" s="25">
        <v>0</v>
      </c>
      <c r="W596" s="24">
        <v>0</v>
      </c>
      <c r="X596" s="24">
        <f>U596-W596</f>
        <v>0</v>
      </c>
      <c r="Y596" s="53" t="str">
        <f>IF(U596&lt;&gt;0,X596/U596,"")</f>
        <v/>
      </c>
      <c r="Z596" s="23">
        <v>0</v>
      </c>
      <c r="AA596" s="25">
        <v>0</v>
      </c>
      <c r="AB596" s="24">
        <v>0</v>
      </c>
      <c r="AC596" s="24">
        <f t="shared" ref="AC596:AC612" si="185">Z596-AB596</f>
        <v>0</v>
      </c>
      <c r="AD596" s="53" t="str">
        <f t="shared" ref="AD596:AD612" si="186">IF(Z596&lt;&gt;0,AC596/Z596,"")</f>
        <v/>
      </c>
      <c r="AE596" s="10"/>
    </row>
    <row r="597" spans="1:31" x14ac:dyDescent="0.25">
      <c r="A597" s="14" t="s">
        <v>109</v>
      </c>
      <c r="C597" s="61" t="str">
        <f t="shared" si="184"/>
        <v>C100042</v>
      </c>
      <c r="F597" s="8" t="str">
        <f>"C100005"</f>
        <v>C100005</v>
      </c>
      <c r="G597" s="9" t="str">
        <f>"Cherry Finished Crystal Award"</f>
        <v>Cherry Finished Crystal Award</v>
      </c>
      <c r="H597" s="47"/>
      <c r="I597" s="47"/>
      <c r="J597" s="23">
        <v>0</v>
      </c>
      <c r="K597" s="25">
        <v>0</v>
      </c>
      <c r="L597" s="24">
        <v>0</v>
      </c>
      <c r="M597" s="24">
        <f>J597-L597</f>
        <v>0</v>
      </c>
      <c r="N597" s="53" t="str">
        <f>IF(J597&lt;&gt;0,M597/J597,"")</f>
        <v/>
      </c>
      <c r="O597" s="23">
        <v>792.41000000000008</v>
      </c>
      <c r="P597" s="25">
        <v>6</v>
      </c>
      <c r="Q597" s="24">
        <v>425.58</v>
      </c>
      <c r="R597" s="24">
        <f>O597-Q597</f>
        <v>366.8300000000001</v>
      </c>
      <c r="S597" s="53">
        <f>IF(O597&lt;&gt;0,R597/O597,"")</f>
        <v>0.46292954404916653</v>
      </c>
      <c r="T597" s="10"/>
      <c r="U597" s="23">
        <v>0</v>
      </c>
      <c r="V597" s="25">
        <v>0</v>
      </c>
      <c r="W597" s="24">
        <v>0</v>
      </c>
      <c r="X597" s="24">
        <f>U597-W597</f>
        <v>0</v>
      </c>
      <c r="Y597" s="53" t="str">
        <f>IF(U597&lt;&gt;0,X597/U597,"")</f>
        <v/>
      </c>
      <c r="Z597" s="23">
        <v>0</v>
      </c>
      <c r="AA597" s="25">
        <v>0</v>
      </c>
      <c r="AB597" s="24">
        <v>0</v>
      </c>
      <c r="AC597" s="24">
        <f t="shared" si="185"/>
        <v>0</v>
      </c>
      <c r="AD597" s="53" t="str">
        <f t="shared" si="186"/>
        <v/>
      </c>
      <c r="AE597" s="10"/>
    </row>
    <row r="598" spans="1:31" x14ac:dyDescent="0.25">
      <c r="A598" s="14" t="s">
        <v>109</v>
      </c>
      <c r="C598" s="61" t="str">
        <f t="shared" si="184"/>
        <v>C100042</v>
      </c>
      <c r="F598" s="8" t="str">
        <f>"C100008"</f>
        <v>C100008</v>
      </c>
      <c r="G598" s="9" t="str">
        <f>"Glacier Vase"</f>
        <v>Glacier Vase</v>
      </c>
      <c r="H598" s="47"/>
      <c r="I598" s="47"/>
      <c r="J598" s="23">
        <v>0</v>
      </c>
      <c r="K598" s="25">
        <v>0</v>
      </c>
      <c r="L598" s="24">
        <v>0</v>
      </c>
      <c r="M598" s="24">
        <f>J598-L598</f>
        <v>0</v>
      </c>
      <c r="N598" s="53" t="str">
        <f>IF(J598&lt;&gt;0,M598/J598,"")</f>
        <v/>
      </c>
      <c r="O598" s="23">
        <v>0</v>
      </c>
      <c r="P598" s="25">
        <v>0</v>
      </c>
      <c r="Q598" s="24">
        <v>0</v>
      </c>
      <c r="R598" s="24">
        <f>O598-Q598</f>
        <v>0</v>
      </c>
      <c r="S598" s="53" t="str">
        <f>IF(O598&lt;&gt;0,R598/O598,"")</f>
        <v/>
      </c>
      <c r="T598" s="10"/>
      <c r="U598" s="23">
        <v>0</v>
      </c>
      <c r="V598" s="25">
        <v>0</v>
      </c>
      <c r="W598" s="24">
        <v>0</v>
      </c>
      <c r="X598" s="24">
        <f>U598-W598</f>
        <v>0</v>
      </c>
      <c r="Y598" s="53" t="str">
        <f>IF(U598&lt;&gt;0,X598/U598,"")</f>
        <v/>
      </c>
      <c r="Z598" s="23">
        <v>1237.96</v>
      </c>
      <c r="AA598" s="25">
        <v>144</v>
      </c>
      <c r="AB598" s="24">
        <v>611.99</v>
      </c>
      <c r="AC598" s="24">
        <f t="shared" si="185"/>
        <v>625.97</v>
      </c>
      <c r="AD598" s="53">
        <f t="shared" si="186"/>
        <v>0.50564638598985423</v>
      </c>
      <c r="AE598" s="10"/>
    </row>
    <row r="599" spans="1:31" x14ac:dyDescent="0.25">
      <c r="A599" s="14" t="s">
        <v>109</v>
      </c>
      <c r="C599" s="61" t="str">
        <f t="shared" si="184"/>
        <v>C100042</v>
      </c>
      <c r="F599" s="8" t="str">
        <f>"C100011"</f>
        <v>C100011</v>
      </c>
      <c r="G599" s="9" t="str">
        <f>"Winter Frost Vase"</f>
        <v>Winter Frost Vase</v>
      </c>
      <c r="H599" s="47"/>
      <c r="I599" s="47"/>
      <c r="J599" s="23">
        <v>0</v>
      </c>
      <c r="K599" s="25">
        <v>0</v>
      </c>
      <c r="L599" s="24">
        <v>0</v>
      </c>
      <c r="M599" s="24">
        <f>J599-L599</f>
        <v>0</v>
      </c>
      <c r="N599" s="53" t="str">
        <f>IF(J599&lt;&gt;0,M599/J599,"")</f>
        <v/>
      </c>
      <c r="O599" s="23">
        <v>2752.89</v>
      </c>
      <c r="P599" s="25">
        <v>48</v>
      </c>
      <c r="Q599" s="24">
        <v>1857.6100000000001</v>
      </c>
      <c r="R599" s="24">
        <f>O599-Q599</f>
        <v>895.27999999999975</v>
      </c>
      <c r="S599" s="53">
        <f>IF(O599&lt;&gt;0,R599/O599,"")</f>
        <v>0.3252145926644362</v>
      </c>
      <c r="T599" s="10"/>
      <c r="U599" s="23">
        <v>0</v>
      </c>
      <c r="V599" s="25">
        <v>0</v>
      </c>
      <c r="W599" s="24">
        <v>0</v>
      </c>
      <c r="X599" s="24">
        <f>U599-W599</f>
        <v>0</v>
      </c>
      <c r="Y599" s="53" t="str">
        <f>IF(U599&lt;&gt;0,X599/U599,"")</f>
        <v/>
      </c>
      <c r="Z599" s="23">
        <v>0</v>
      </c>
      <c r="AA599" s="25">
        <v>0</v>
      </c>
      <c r="AB599" s="24">
        <v>0</v>
      </c>
      <c r="AC599" s="24">
        <f t="shared" si="185"/>
        <v>0</v>
      </c>
      <c r="AD599" s="53" t="str">
        <f t="shared" si="186"/>
        <v/>
      </c>
      <c r="AE599" s="10"/>
    </row>
    <row r="600" spans="1:31" x14ac:dyDescent="0.25">
      <c r="A600" s="14" t="s">
        <v>109</v>
      </c>
      <c r="C600" s="61" t="str">
        <f t="shared" si="184"/>
        <v>C100042</v>
      </c>
      <c r="F600" s="8" t="str">
        <f>"C100031"</f>
        <v>C100031</v>
      </c>
      <c r="G600" s="9" t="str">
        <f>"Carabiner Watch"</f>
        <v>Carabiner Watch</v>
      </c>
      <c r="H600" s="47"/>
      <c r="I600" s="47"/>
      <c r="J600" s="23">
        <v>869.99999999999989</v>
      </c>
      <c r="K600" s="25">
        <v>48</v>
      </c>
      <c r="L600" s="24">
        <v>411.84</v>
      </c>
      <c r="M600" s="24">
        <f>J600-L600</f>
        <v>458.15999999999991</v>
      </c>
      <c r="N600" s="53">
        <f>IF(J600&lt;&gt;0,M600/J600,"")</f>
        <v>0.52662068965517239</v>
      </c>
      <c r="O600" s="23">
        <v>0</v>
      </c>
      <c r="P600" s="25">
        <v>0</v>
      </c>
      <c r="Q600" s="24">
        <v>0</v>
      </c>
      <c r="R600" s="24">
        <f>O600-Q600</f>
        <v>0</v>
      </c>
      <c r="S600" s="53" t="str">
        <f>IF(O600&lt;&gt;0,R600/O600,"")</f>
        <v/>
      </c>
      <c r="T600" s="10"/>
      <c r="U600" s="23">
        <v>0</v>
      </c>
      <c r="V600" s="25">
        <v>0</v>
      </c>
      <c r="W600" s="24">
        <v>0</v>
      </c>
      <c r="X600" s="24">
        <f>U600-W600</f>
        <v>0</v>
      </c>
      <c r="Y600" s="53" t="str">
        <f>IF(U600&lt;&gt;0,X600/U600,"")</f>
        <v/>
      </c>
      <c r="Z600" s="23">
        <v>0</v>
      </c>
      <c r="AA600" s="25">
        <v>0</v>
      </c>
      <c r="AB600" s="24">
        <v>0</v>
      </c>
      <c r="AC600" s="24">
        <f t="shared" si="185"/>
        <v>0</v>
      </c>
      <c r="AD600" s="53" t="str">
        <f t="shared" si="186"/>
        <v/>
      </c>
      <c r="AE600" s="10"/>
    </row>
    <row r="601" spans="1:31" x14ac:dyDescent="0.25">
      <c r="A601" s="14" t="s">
        <v>109</v>
      </c>
      <c r="C601" s="61" t="str">
        <f t="shared" si="184"/>
        <v>C100042</v>
      </c>
      <c r="F601" s="8" t="str">
        <f>"C100032"</f>
        <v>C100032</v>
      </c>
      <c r="G601" s="9" t="str">
        <f>"Clip-on Clock"</f>
        <v>Clip-on Clock</v>
      </c>
      <c r="H601" s="47"/>
      <c r="I601" s="47"/>
      <c r="J601" s="23">
        <v>0</v>
      </c>
      <c r="K601" s="25">
        <v>0</v>
      </c>
      <c r="L601" s="24">
        <v>0</v>
      </c>
      <c r="M601" s="24">
        <f>J601-L601</f>
        <v>0</v>
      </c>
      <c r="N601" s="53" t="str">
        <f>IF(J601&lt;&gt;0,M601/J601,"")</f>
        <v/>
      </c>
      <c r="O601" s="23">
        <v>0</v>
      </c>
      <c r="P601" s="25">
        <v>0</v>
      </c>
      <c r="Q601" s="24">
        <v>0</v>
      </c>
      <c r="R601" s="24">
        <f>O601-Q601</f>
        <v>0</v>
      </c>
      <c r="S601" s="53" t="str">
        <f>IF(O601&lt;&gt;0,R601/O601,"")</f>
        <v/>
      </c>
      <c r="T601" s="10"/>
      <c r="U601" s="23">
        <v>0</v>
      </c>
      <c r="V601" s="25">
        <v>0</v>
      </c>
      <c r="W601" s="24">
        <v>0</v>
      </c>
      <c r="X601" s="24">
        <f>U601-W601</f>
        <v>0</v>
      </c>
      <c r="Y601" s="53" t="str">
        <f>IF(U601&lt;&gt;0,X601/U601,"")</f>
        <v/>
      </c>
      <c r="Z601" s="23">
        <v>375.76</v>
      </c>
      <c r="AA601" s="25">
        <v>48</v>
      </c>
      <c r="AB601" s="24">
        <v>199.68</v>
      </c>
      <c r="AC601" s="24">
        <f t="shared" si="185"/>
        <v>176.07999999999998</v>
      </c>
      <c r="AD601" s="53">
        <f t="shared" si="186"/>
        <v>0.46859697679369805</v>
      </c>
      <c r="AE601" s="10"/>
    </row>
    <row r="602" spans="1:31" x14ac:dyDescent="0.25">
      <c r="A602" s="14" t="s">
        <v>109</v>
      </c>
      <c r="C602" s="61" t="str">
        <f t="shared" si="184"/>
        <v>C100042</v>
      </c>
      <c r="F602" s="8" t="str">
        <f>"C100035"</f>
        <v>C100035</v>
      </c>
      <c r="G602" s="9" t="str">
        <f>"Calculator &amp; World Time Clock"</f>
        <v>Calculator &amp; World Time Clock</v>
      </c>
      <c r="H602" s="47"/>
      <c r="I602" s="47"/>
      <c r="J602" s="23">
        <v>0</v>
      </c>
      <c r="K602" s="25">
        <v>0</v>
      </c>
      <c r="L602" s="24">
        <v>0</v>
      </c>
      <c r="M602" s="24">
        <f>J602-L602</f>
        <v>0</v>
      </c>
      <c r="N602" s="53" t="str">
        <f>IF(J602&lt;&gt;0,M602/J602,"")</f>
        <v/>
      </c>
      <c r="O602" s="23">
        <v>0</v>
      </c>
      <c r="P602" s="25">
        <v>0</v>
      </c>
      <c r="Q602" s="24">
        <v>0</v>
      </c>
      <c r="R602" s="24">
        <f>O602-Q602</f>
        <v>0</v>
      </c>
      <c r="S602" s="53" t="str">
        <f>IF(O602&lt;&gt;0,R602/O602,"")</f>
        <v/>
      </c>
      <c r="T602" s="10"/>
      <c r="U602" s="23">
        <v>0</v>
      </c>
      <c r="V602" s="25">
        <v>0</v>
      </c>
      <c r="W602" s="24">
        <v>0</v>
      </c>
      <c r="X602" s="24">
        <f>U602-W602</f>
        <v>0</v>
      </c>
      <c r="Y602" s="53" t="str">
        <f>IF(U602&lt;&gt;0,X602/U602,"")</f>
        <v/>
      </c>
      <c r="Z602" s="23">
        <v>2.79</v>
      </c>
      <c r="AA602" s="25">
        <v>1</v>
      </c>
      <c r="AB602" s="24">
        <v>1.96</v>
      </c>
      <c r="AC602" s="24">
        <f t="shared" si="185"/>
        <v>0.83000000000000007</v>
      </c>
      <c r="AD602" s="53">
        <f t="shared" si="186"/>
        <v>0.29749103942652333</v>
      </c>
      <c r="AE602" s="10"/>
    </row>
    <row r="603" spans="1:31" x14ac:dyDescent="0.25">
      <c r="A603" s="14" t="s">
        <v>109</v>
      </c>
      <c r="C603" s="61" t="str">
        <f t="shared" si="184"/>
        <v>C100042</v>
      </c>
      <c r="F603" s="8" t="str">
        <f>"C100036"</f>
        <v>C100036</v>
      </c>
      <c r="G603" s="9" t="str">
        <f>"Clock &amp; Business Card Holder"</f>
        <v>Clock &amp; Business Card Holder</v>
      </c>
      <c r="H603" s="47"/>
      <c r="I603" s="47"/>
      <c r="J603" s="23">
        <v>0</v>
      </c>
      <c r="K603" s="25">
        <v>0</v>
      </c>
      <c r="L603" s="24">
        <v>0</v>
      </c>
      <c r="M603" s="24">
        <f>J603-L603</f>
        <v>0</v>
      </c>
      <c r="N603" s="53" t="str">
        <f>IF(J603&lt;&gt;0,M603/J603,"")</f>
        <v/>
      </c>
      <c r="O603" s="23">
        <v>16.53</v>
      </c>
      <c r="P603" s="25">
        <v>2</v>
      </c>
      <c r="Q603" s="24">
        <v>9.36</v>
      </c>
      <c r="R603" s="24">
        <f>O603-Q603</f>
        <v>7.1700000000000017</v>
      </c>
      <c r="S603" s="53">
        <f>IF(O603&lt;&gt;0,R603/O603,"")</f>
        <v>0.4337568058076226</v>
      </c>
      <c r="T603" s="10"/>
      <c r="U603" s="23">
        <v>0</v>
      </c>
      <c r="V603" s="25">
        <v>0</v>
      </c>
      <c r="W603" s="24">
        <v>0</v>
      </c>
      <c r="X603" s="24">
        <f>U603-W603</f>
        <v>0</v>
      </c>
      <c r="Y603" s="53" t="str">
        <f>IF(U603&lt;&gt;0,X603/U603,"")</f>
        <v/>
      </c>
      <c r="Z603" s="23">
        <v>0</v>
      </c>
      <c r="AA603" s="25">
        <v>0</v>
      </c>
      <c r="AB603" s="24">
        <v>0</v>
      </c>
      <c r="AC603" s="24">
        <f t="shared" si="185"/>
        <v>0</v>
      </c>
      <c r="AD603" s="53" t="str">
        <f t="shared" si="186"/>
        <v/>
      </c>
      <c r="AE603" s="10"/>
    </row>
    <row r="604" spans="1:31" x14ac:dyDescent="0.25">
      <c r="A604" s="14" t="s">
        <v>109</v>
      </c>
      <c r="C604" s="61" t="str">
        <f t="shared" si="184"/>
        <v>C100042</v>
      </c>
      <c r="F604" s="8" t="str">
        <f>"C100037"</f>
        <v>C100037</v>
      </c>
      <c r="G604" s="9" t="str">
        <f>"World Time Travel Alarm"</f>
        <v>World Time Travel Alarm</v>
      </c>
      <c r="H604" s="47"/>
      <c r="I604" s="47"/>
      <c r="J604" s="23">
        <v>0</v>
      </c>
      <c r="K604" s="25">
        <v>0</v>
      </c>
      <c r="L604" s="24">
        <v>0</v>
      </c>
      <c r="M604" s="24">
        <f>J604-L604</f>
        <v>0</v>
      </c>
      <c r="N604" s="53" t="str">
        <f>IF(J604&lt;&gt;0,M604/J604,"")</f>
        <v/>
      </c>
      <c r="O604" s="23">
        <v>0</v>
      </c>
      <c r="P604" s="25">
        <v>0</v>
      </c>
      <c r="Q604" s="24">
        <v>0</v>
      </c>
      <c r="R604" s="24">
        <f>O604-Q604</f>
        <v>0</v>
      </c>
      <c r="S604" s="53" t="str">
        <f>IF(O604&lt;&gt;0,R604/O604,"")</f>
        <v/>
      </c>
      <c r="T604" s="10"/>
      <c r="U604" s="23">
        <v>0</v>
      </c>
      <c r="V604" s="25">
        <v>0</v>
      </c>
      <c r="W604" s="24">
        <v>0</v>
      </c>
      <c r="X604" s="24">
        <f>U604-W604</f>
        <v>0</v>
      </c>
      <c r="Y604" s="53" t="str">
        <f>IF(U604&lt;&gt;0,X604/U604,"")</f>
        <v/>
      </c>
      <c r="Z604" s="23">
        <v>1285.3700000000001</v>
      </c>
      <c r="AA604" s="25">
        <v>150</v>
      </c>
      <c r="AB604" s="24">
        <v>810.01</v>
      </c>
      <c r="AC604" s="24">
        <f t="shared" si="185"/>
        <v>475.36000000000013</v>
      </c>
      <c r="AD604" s="53">
        <f t="shared" si="186"/>
        <v>0.36982347495273743</v>
      </c>
      <c r="AE604" s="10"/>
    </row>
    <row r="605" spans="1:31" x14ac:dyDescent="0.25">
      <c r="A605" s="14" t="s">
        <v>109</v>
      </c>
      <c r="C605" s="61" t="str">
        <f t="shared" si="184"/>
        <v>C100042</v>
      </c>
      <c r="F605" s="8" t="str">
        <f>"C100038"</f>
        <v>C100038</v>
      </c>
      <c r="G605" s="9" t="str">
        <f>"Foldable Travel Speakers"</f>
        <v>Foldable Travel Speakers</v>
      </c>
      <c r="H605" s="47"/>
      <c r="I605" s="47"/>
      <c r="J605" s="23">
        <v>0</v>
      </c>
      <c r="K605" s="25">
        <v>0</v>
      </c>
      <c r="L605" s="24">
        <v>0</v>
      </c>
      <c r="M605" s="24">
        <f>J605-L605</f>
        <v>0</v>
      </c>
      <c r="N605" s="53" t="str">
        <f>IF(J605&lt;&gt;0,M605/J605,"")</f>
        <v/>
      </c>
      <c r="O605" s="23">
        <v>659.4</v>
      </c>
      <c r="P605" s="25">
        <v>144</v>
      </c>
      <c r="Q605" s="24">
        <v>459.35</v>
      </c>
      <c r="R605" s="24">
        <f>O605-Q605</f>
        <v>200.04999999999995</v>
      </c>
      <c r="S605" s="53">
        <f>IF(O605&lt;&gt;0,R605/O605,"")</f>
        <v>0.30338186229905967</v>
      </c>
      <c r="T605" s="10"/>
      <c r="U605" s="23">
        <v>0</v>
      </c>
      <c r="V605" s="25">
        <v>0</v>
      </c>
      <c r="W605" s="24">
        <v>0</v>
      </c>
      <c r="X605" s="24">
        <f>U605-W605</f>
        <v>0</v>
      </c>
      <c r="Y605" s="53" t="str">
        <f>IF(U605&lt;&gt;0,X605/U605,"")</f>
        <v/>
      </c>
      <c r="Z605" s="23">
        <v>0</v>
      </c>
      <c r="AA605" s="25">
        <v>0</v>
      </c>
      <c r="AB605" s="24">
        <v>0</v>
      </c>
      <c r="AC605" s="24">
        <f t="shared" si="185"/>
        <v>0</v>
      </c>
      <c r="AD605" s="53" t="str">
        <f t="shared" si="186"/>
        <v/>
      </c>
      <c r="AE605" s="10"/>
    </row>
    <row r="606" spans="1:31" x14ac:dyDescent="0.25">
      <c r="A606" s="14" t="s">
        <v>109</v>
      </c>
      <c r="C606" s="61" t="str">
        <f t="shared" si="184"/>
        <v>C100042</v>
      </c>
      <c r="F606" s="8" t="str">
        <f>"C100044"</f>
        <v>C100044</v>
      </c>
      <c r="G606" s="9" t="str">
        <f>"VOIP Headset with Mic"</f>
        <v>VOIP Headset with Mic</v>
      </c>
      <c r="H606" s="47"/>
      <c r="I606" s="47"/>
      <c r="J606" s="23">
        <v>0</v>
      </c>
      <c r="K606" s="25">
        <v>0</v>
      </c>
      <c r="L606" s="24">
        <v>0</v>
      </c>
      <c r="M606" s="24">
        <f>J606-L606</f>
        <v>0</v>
      </c>
      <c r="N606" s="53" t="str">
        <f>IF(J606&lt;&gt;0,M606/J606,"")</f>
        <v/>
      </c>
      <c r="O606" s="23">
        <v>2.09</v>
      </c>
      <c r="P606" s="25">
        <v>1</v>
      </c>
      <c r="Q606" s="24">
        <v>1.2</v>
      </c>
      <c r="R606" s="24">
        <f>O606-Q606</f>
        <v>0.8899999999999999</v>
      </c>
      <c r="S606" s="53">
        <f>IF(O606&lt;&gt;0,R606/O606,"")</f>
        <v>0.42583732057416268</v>
      </c>
      <c r="T606" s="10"/>
      <c r="U606" s="23">
        <v>0</v>
      </c>
      <c r="V606" s="25">
        <v>0</v>
      </c>
      <c r="W606" s="24">
        <v>0</v>
      </c>
      <c r="X606" s="24">
        <f>U606-W606</f>
        <v>0</v>
      </c>
      <c r="Y606" s="53" t="str">
        <f>IF(U606&lt;&gt;0,X606/U606,"")</f>
        <v/>
      </c>
      <c r="Z606" s="23">
        <v>2.09</v>
      </c>
      <c r="AA606" s="25">
        <v>1</v>
      </c>
      <c r="AB606" s="24">
        <v>1.2</v>
      </c>
      <c r="AC606" s="24">
        <f t="shared" si="185"/>
        <v>0.8899999999999999</v>
      </c>
      <c r="AD606" s="53">
        <f t="shared" si="186"/>
        <v>0.42583732057416268</v>
      </c>
      <c r="AE606" s="10"/>
    </row>
    <row r="607" spans="1:31" x14ac:dyDescent="0.25">
      <c r="A607" s="14" t="s">
        <v>109</v>
      </c>
      <c r="C607" s="61" t="str">
        <f t="shared" si="184"/>
        <v>C100042</v>
      </c>
      <c r="F607" s="8" t="str">
        <f>"C100048"</f>
        <v>C100048</v>
      </c>
      <c r="G607" s="9" t="str">
        <f>"USB MP3 Player"</f>
        <v>USB MP3 Player</v>
      </c>
      <c r="H607" s="47"/>
      <c r="I607" s="47"/>
      <c r="J607" s="23">
        <v>0</v>
      </c>
      <c r="K607" s="25">
        <v>0</v>
      </c>
      <c r="L607" s="24">
        <v>0</v>
      </c>
      <c r="M607" s="24">
        <f>J607-L607</f>
        <v>0</v>
      </c>
      <c r="N607" s="53" t="str">
        <f>IF(J607&lt;&gt;0,M607/J607,"")</f>
        <v/>
      </c>
      <c r="O607" s="23">
        <v>575.96</v>
      </c>
      <c r="P607" s="25">
        <v>48</v>
      </c>
      <c r="Q607" s="24">
        <v>369.6</v>
      </c>
      <c r="R607" s="24">
        <f>O607-Q607</f>
        <v>206.36</v>
      </c>
      <c r="S607" s="53">
        <f>IF(O607&lt;&gt;0,R607/O607,"")</f>
        <v>0.35828877005347592</v>
      </c>
      <c r="T607" s="10"/>
      <c r="U607" s="23">
        <v>0</v>
      </c>
      <c r="V607" s="25">
        <v>0</v>
      </c>
      <c r="W607" s="24">
        <v>0</v>
      </c>
      <c r="X607" s="24">
        <f>U607-W607</f>
        <v>0</v>
      </c>
      <c r="Y607" s="53" t="str">
        <f>IF(U607&lt;&gt;0,X607/U607,"")</f>
        <v/>
      </c>
      <c r="Z607" s="23">
        <v>0</v>
      </c>
      <c r="AA607" s="25">
        <v>0</v>
      </c>
      <c r="AB607" s="24">
        <v>0</v>
      </c>
      <c r="AC607" s="24">
        <f t="shared" si="185"/>
        <v>0</v>
      </c>
      <c r="AD607" s="53" t="str">
        <f t="shared" si="186"/>
        <v/>
      </c>
      <c r="AE607" s="10"/>
    </row>
    <row r="608" spans="1:31" x14ac:dyDescent="0.25">
      <c r="A608" s="14" t="s">
        <v>109</v>
      </c>
      <c r="C608" s="61" t="str">
        <f t="shared" si="184"/>
        <v>C100042</v>
      </c>
      <c r="F608" s="8" t="str">
        <f>"C100052"</f>
        <v>C100052</v>
      </c>
      <c r="G608" s="9" t="str">
        <f>"Black Digital Picture Frame"</f>
        <v>Black Digital Picture Frame</v>
      </c>
      <c r="H608" s="47"/>
      <c r="I608" s="47"/>
      <c r="J608" s="23">
        <v>1115.83</v>
      </c>
      <c r="K608" s="25">
        <v>24</v>
      </c>
      <c r="L608" s="24">
        <v>535.67999999999995</v>
      </c>
      <c r="M608" s="24">
        <f>J608-L608</f>
        <v>580.15</v>
      </c>
      <c r="N608" s="53">
        <f>IF(J608&lt;&gt;0,M608/J608,"")</f>
        <v>0.51992687058064402</v>
      </c>
      <c r="O608" s="23">
        <v>0</v>
      </c>
      <c r="P608" s="25">
        <v>0</v>
      </c>
      <c r="Q608" s="24">
        <v>0</v>
      </c>
      <c r="R608" s="24">
        <f>O608-Q608</f>
        <v>0</v>
      </c>
      <c r="S608" s="53" t="str">
        <f>IF(O608&lt;&gt;0,R608/O608,"")</f>
        <v/>
      </c>
      <c r="T608" s="10"/>
      <c r="U608" s="23">
        <v>0</v>
      </c>
      <c r="V608" s="25">
        <v>0</v>
      </c>
      <c r="W608" s="24">
        <v>0</v>
      </c>
      <c r="X608" s="24">
        <f>U608-W608</f>
        <v>0</v>
      </c>
      <c r="Y608" s="53" t="str">
        <f>IF(U608&lt;&gt;0,X608/U608,"")</f>
        <v/>
      </c>
      <c r="Z608" s="23">
        <v>0</v>
      </c>
      <c r="AA608" s="25">
        <v>0</v>
      </c>
      <c r="AB608" s="24">
        <v>0</v>
      </c>
      <c r="AC608" s="24">
        <f t="shared" si="185"/>
        <v>0</v>
      </c>
      <c r="AD608" s="53" t="str">
        <f t="shared" si="186"/>
        <v/>
      </c>
      <c r="AE608" s="10"/>
    </row>
    <row r="609" spans="1:31" x14ac:dyDescent="0.25">
      <c r="A609" s="14" t="s">
        <v>109</v>
      </c>
      <c r="C609" s="61" t="str">
        <f t="shared" si="184"/>
        <v>C100042</v>
      </c>
      <c r="F609" s="8" t="str">
        <f>"C100055"</f>
        <v>C100055</v>
      </c>
      <c r="G609" s="9" t="str">
        <f>"Silver Plated Photo Frame"</f>
        <v>Silver Plated Photo Frame</v>
      </c>
      <c r="H609" s="47"/>
      <c r="I609" s="47"/>
      <c r="J609" s="23">
        <v>0</v>
      </c>
      <c r="K609" s="25">
        <v>0</v>
      </c>
      <c r="L609" s="24">
        <v>0</v>
      </c>
      <c r="M609" s="24">
        <f>J609-L609</f>
        <v>0</v>
      </c>
      <c r="N609" s="53" t="str">
        <f>IF(J609&lt;&gt;0,M609/J609,"")</f>
        <v/>
      </c>
      <c r="O609" s="23">
        <v>38.35</v>
      </c>
      <c r="P609" s="25">
        <v>1</v>
      </c>
      <c r="Q609" s="24">
        <v>20.7</v>
      </c>
      <c r="R609" s="24">
        <f>O609-Q609</f>
        <v>17.650000000000002</v>
      </c>
      <c r="S609" s="53">
        <f>IF(O609&lt;&gt;0,R609/O609,"")</f>
        <v>0.46023468057366368</v>
      </c>
      <c r="T609" s="10"/>
      <c r="U609" s="23">
        <v>0</v>
      </c>
      <c r="V609" s="25">
        <v>0</v>
      </c>
      <c r="W609" s="24">
        <v>0</v>
      </c>
      <c r="X609" s="24">
        <f>U609-W609</f>
        <v>0</v>
      </c>
      <c r="Y609" s="53" t="str">
        <f>IF(U609&lt;&gt;0,X609/U609,"")</f>
        <v/>
      </c>
      <c r="Z609" s="23">
        <v>0</v>
      </c>
      <c r="AA609" s="25">
        <v>0</v>
      </c>
      <c r="AB609" s="24">
        <v>0</v>
      </c>
      <c r="AC609" s="24">
        <f t="shared" si="185"/>
        <v>0</v>
      </c>
      <c r="AD609" s="53" t="str">
        <f t="shared" si="186"/>
        <v/>
      </c>
      <c r="AE609" s="10"/>
    </row>
    <row r="610" spans="1:31" x14ac:dyDescent="0.25">
      <c r="A610" s="14" t="s">
        <v>109</v>
      </c>
      <c r="C610" s="61" t="str">
        <f t="shared" si="184"/>
        <v>C100042</v>
      </c>
      <c r="F610" s="8" t="str">
        <f>"E100019"</f>
        <v>E100019</v>
      </c>
      <c r="G610" s="9" t="str">
        <f>"Mini Travel Alarm"</f>
        <v>Mini Travel Alarm</v>
      </c>
      <c r="H610" s="47"/>
      <c r="I610" s="47"/>
      <c r="J610" s="23">
        <v>19.52</v>
      </c>
      <c r="K610" s="25">
        <v>6</v>
      </c>
      <c r="L610" s="24">
        <v>9.7200000000000006</v>
      </c>
      <c r="M610" s="24">
        <f>J610-L610</f>
        <v>9.7999999999999989</v>
      </c>
      <c r="N610" s="53">
        <f>IF(J610&lt;&gt;0,M610/J610,"")</f>
        <v>0.50204918032786883</v>
      </c>
      <c r="O610" s="23">
        <v>0</v>
      </c>
      <c r="P610" s="25">
        <v>0</v>
      </c>
      <c r="Q610" s="24">
        <v>0</v>
      </c>
      <c r="R610" s="24">
        <f>O610-Q610</f>
        <v>0</v>
      </c>
      <c r="S610" s="53" t="str">
        <f>IF(O610&lt;&gt;0,R610/O610,"")</f>
        <v/>
      </c>
      <c r="T610" s="10"/>
      <c r="U610" s="23">
        <v>0</v>
      </c>
      <c r="V610" s="25">
        <v>0</v>
      </c>
      <c r="W610" s="24">
        <v>0</v>
      </c>
      <c r="X610" s="24">
        <f>U610-W610</f>
        <v>0</v>
      </c>
      <c r="Y610" s="53" t="str">
        <f>IF(U610&lt;&gt;0,X610/U610,"")</f>
        <v/>
      </c>
      <c r="Z610" s="23">
        <v>0</v>
      </c>
      <c r="AA610" s="25">
        <v>0</v>
      </c>
      <c r="AB610" s="24">
        <v>0</v>
      </c>
      <c r="AC610" s="24">
        <f t="shared" si="185"/>
        <v>0</v>
      </c>
      <c r="AD610" s="53" t="str">
        <f t="shared" si="186"/>
        <v/>
      </c>
      <c r="AE610" s="10"/>
    </row>
    <row r="611" spans="1:31" x14ac:dyDescent="0.25">
      <c r="A611" s="14" t="s">
        <v>109</v>
      </c>
      <c r="C611" s="61" t="str">
        <f t="shared" si="184"/>
        <v>C100042</v>
      </c>
      <c r="F611" s="8" t="str">
        <f>"E100021"</f>
        <v>E100021</v>
      </c>
      <c r="G611" s="9" t="str">
        <f>"Slim Travel Alarm"</f>
        <v>Slim Travel Alarm</v>
      </c>
      <c r="H611" s="47"/>
      <c r="I611" s="47"/>
      <c r="J611" s="23">
        <v>2.76</v>
      </c>
      <c r="K611" s="25">
        <v>1</v>
      </c>
      <c r="L611" s="24">
        <v>1.44</v>
      </c>
      <c r="M611" s="24">
        <f>J611-L611</f>
        <v>1.3199999999999998</v>
      </c>
      <c r="N611" s="53">
        <f>IF(J611&lt;&gt;0,M611/J611,"")</f>
        <v>0.47826086956521735</v>
      </c>
      <c r="O611" s="23">
        <v>2.73</v>
      </c>
      <c r="P611" s="25">
        <v>1</v>
      </c>
      <c r="Q611" s="24">
        <v>1.44</v>
      </c>
      <c r="R611" s="24">
        <f>O611-Q611</f>
        <v>1.29</v>
      </c>
      <c r="S611" s="53">
        <f>IF(O611&lt;&gt;0,R611/O611,"")</f>
        <v>0.47252747252747257</v>
      </c>
      <c r="T611" s="10"/>
      <c r="U611" s="23">
        <v>0</v>
      </c>
      <c r="V611" s="25">
        <v>0</v>
      </c>
      <c r="W611" s="24">
        <v>0</v>
      </c>
      <c r="X611" s="24">
        <f>U611-W611</f>
        <v>0</v>
      </c>
      <c r="Y611" s="53" t="str">
        <f>IF(U611&lt;&gt;0,X611/U611,"")</f>
        <v/>
      </c>
      <c r="Z611" s="23">
        <v>0</v>
      </c>
      <c r="AA611" s="25">
        <v>0</v>
      </c>
      <c r="AB611" s="24">
        <v>0</v>
      </c>
      <c r="AC611" s="24">
        <f t="shared" si="185"/>
        <v>0</v>
      </c>
      <c r="AD611" s="53" t="str">
        <f t="shared" si="186"/>
        <v/>
      </c>
      <c r="AE611" s="10"/>
    </row>
    <row r="612" spans="1:31" x14ac:dyDescent="0.25">
      <c r="A612" s="14" t="s">
        <v>109</v>
      </c>
      <c r="C612" s="61" t="str">
        <f t="shared" si="184"/>
        <v>C100042</v>
      </c>
      <c r="F612" s="8" t="str">
        <f>"E100022"</f>
        <v>E100022</v>
      </c>
      <c r="G612" s="9" t="str">
        <f>"Wide Screen Alarm Clock"</f>
        <v>Wide Screen Alarm Clock</v>
      </c>
      <c r="H612" s="47"/>
      <c r="I612" s="47"/>
      <c r="J612" s="23">
        <v>0</v>
      </c>
      <c r="K612" s="25">
        <v>0</v>
      </c>
      <c r="L612" s="24">
        <v>0</v>
      </c>
      <c r="M612" s="24">
        <f>J612-L612</f>
        <v>0</v>
      </c>
      <c r="N612" s="53" t="str">
        <f>IF(J612&lt;&gt;0,M612/J612,"")</f>
        <v/>
      </c>
      <c r="O612" s="23">
        <v>0</v>
      </c>
      <c r="P612" s="25">
        <v>0</v>
      </c>
      <c r="Q612" s="24">
        <v>0</v>
      </c>
      <c r="R612" s="24">
        <f>O612-Q612</f>
        <v>0</v>
      </c>
      <c r="S612" s="53" t="str">
        <f>IF(O612&lt;&gt;0,R612/O612,"")</f>
        <v/>
      </c>
      <c r="T612" s="10"/>
      <c r="U612" s="23">
        <v>0</v>
      </c>
      <c r="V612" s="25">
        <v>0</v>
      </c>
      <c r="W612" s="24">
        <v>0</v>
      </c>
      <c r="X612" s="24">
        <f>U612-W612</f>
        <v>0</v>
      </c>
      <c r="Y612" s="53" t="str">
        <f>IF(U612&lt;&gt;0,X612/U612,"")</f>
        <v/>
      </c>
      <c r="Z612" s="23">
        <v>88</v>
      </c>
      <c r="AA612" s="25">
        <v>48</v>
      </c>
      <c r="AB612" s="24">
        <v>61.44</v>
      </c>
      <c r="AC612" s="24">
        <f t="shared" si="185"/>
        <v>26.560000000000002</v>
      </c>
      <c r="AD612" s="53">
        <f t="shared" si="186"/>
        <v>0.30181818181818182</v>
      </c>
      <c r="AE612" s="10"/>
    </row>
    <row r="613" spans="1:31" ht="15.75" thickBot="1" x14ac:dyDescent="0.3">
      <c r="A613" s="14" t="s">
        <v>109</v>
      </c>
      <c r="C613" s="61" t="str">
        <f>C595</f>
        <v>C100042</v>
      </c>
      <c r="J613" s="10"/>
      <c r="K613" s="11"/>
      <c r="L613" s="11"/>
      <c r="M613" s="11"/>
      <c r="N613" s="12"/>
      <c r="O613" s="10"/>
      <c r="P613" s="11"/>
      <c r="Q613" s="11"/>
      <c r="R613" s="11"/>
      <c r="S613" s="12"/>
      <c r="U613" s="10"/>
      <c r="V613" s="11"/>
      <c r="W613" s="11"/>
      <c r="X613" s="11"/>
      <c r="Y613" s="12"/>
      <c r="Z613" s="10"/>
      <c r="AA613" s="11"/>
      <c r="AB613" s="11"/>
      <c r="AC613" s="11"/>
      <c r="AD613" s="12"/>
    </row>
    <row r="614" spans="1:31" ht="15.75" thickBot="1" x14ac:dyDescent="0.3">
      <c r="A614" s="14" t="s">
        <v>109</v>
      </c>
      <c r="C614" s="61" t="str">
        <f t="shared" si="181"/>
        <v>C100042</v>
      </c>
      <c r="G614" s="48" t="str">
        <f>C614&amp;" TOTAL:"</f>
        <v>C100042 TOTAL:</v>
      </c>
      <c r="H614" s="50"/>
      <c r="I614" s="50"/>
      <c r="J614" s="34">
        <f>SUBTOTAL(9,J594:J613)</f>
        <v>5478.3600000000006</v>
      </c>
      <c r="K614" s="35">
        <f>SUBTOTAL(9,K594:K613)</f>
        <v>133</v>
      </c>
      <c r="L614" s="36">
        <f>SUBTOTAL(9,L594:L613)</f>
        <v>2708.9999999999995</v>
      </c>
      <c r="M614" s="36">
        <f>J614-L614</f>
        <v>2769.360000000001</v>
      </c>
      <c r="N614" s="37">
        <f>IF(J614&lt;&gt;0,M614/J614,"")</f>
        <v>0.50550894793332324</v>
      </c>
      <c r="O614" s="34">
        <f>SUBTOTAL(9,O594:O613)</f>
        <v>4840.3600000000006</v>
      </c>
      <c r="P614" s="35">
        <f>SUBTOTAL(9,P594:P613)</f>
        <v>251</v>
      </c>
      <c r="Q614" s="36">
        <f>SUBTOTAL(9,Q594:Q613)</f>
        <v>3144.8399999999997</v>
      </c>
      <c r="R614" s="36">
        <f>O614-Q614</f>
        <v>1695.5200000000009</v>
      </c>
      <c r="S614" s="37">
        <f>IF(O614&lt;&gt;0,R614/O614,"")</f>
        <v>0.35028799510780206</v>
      </c>
      <c r="U614" s="34">
        <f>SUBTOTAL(9,U594:U613)</f>
        <v>0</v>
      </c>
      <c r="V614" s="35">
        <f>SUBTOTAL(9,V594:V613)</f>
        <v>0</v>
      </c>
      <c r="W614" s="36">
        <f>SUBTOTAL(9,W594:W613)</f>
        <v>0</v>
      </c>
      <c r="X614" s="36">
        <f>U614-W614</f>
        <v>0</v>
      </c>
      <c r="Y614" s="37" t="str">
        <f>IF(U614&lt;&gt;0,X614/U614,"")</f>
        <v/>
      </c>
      <c r="Z614" s="34">
        <f>SUBTOTAL(9,Z594:Z613)</f>
        <v>4539.8500000000004</v>
      </c>
      <c r="AA614" s="35">
        <f>SUBTOTAL(9,AA594:AA613)</f>
        <v>416</v>
      </c>
      <c r="AB614" s="36">
        <f>SUBTOTAL(9,AB594:AB613)</f>
        <v>2469.64</v>
      </c>
      <c r="AC614" s="36">
        <f t="shared" ref="AC614" si="187">Z614-AB614</f>
        <v>2070.2100000000005</v>
      </c>
      <c r="AD614" s="37">
        <f t="shared" ref="AD614" si="188">IF(Z614&lt;&gt;0,AC614/Z614,"")</f>
        <v>0.45600845842924331</v>
      </c>
    </row>
    <row r="615" spans="1:31" x14ac:dyDescent="0.25">
      <c r="A615" s="14" t="s">
        <v>109</v>
      </c>
      <c r="C615" s="66"/>
      <c r="J615" s="10"/>
      <c r="K615" s="11"/>
      <c r="L615" s="11"/>
      <c r="M615" s="11"/>
      <c r="N615" s="12"/>
      <c r="O615" s="10"/>
      <c r="P615" s="11"/>
      <c r="Q615" s="11"/>
      <c r="R615" s="11"/>
      <c r="S615" s="12"/>
      <c r="U615" s="10"/>
      <c r="V615" s="11"/>
      <c r="W615" s="11"/>
      <c r="X615" s="11"/>
      <c r="Y615" s="12"/>
      <c r="Z615" s="10"/>
      <c r="AA615" s="11"/>
      <c r="AB615" s="11"/>
      <c r="AC615" s="11"/>
      <c r="AD615" s="12"/>
    </row>
    <row r="616" spans="1:31" ht="15.75" x14ac:dyDescent="0.25">
      <c r="A616" s="14" t="s">
        <v>109</v>
      </c>
      <c r="C616" s="66" t="str">
        <f t="shared" ref="C616" si="189">E616</f>
        <v>C100044</v>
      </c>
      <c r="E616" s="13" t="str">
        <f>"C100044"</f>
        <v>C100044</v>
      </c>
      <c r="F616" s="13"/>
      <c r="G616" s="13" t="str">
        <f>"Hotel Pferdesee"</f>
        <v>Hotel Pferdesee</v>
      </c>
      <c r="H616" s="13"/>
      <c r="I616" s="13"/>
      <c r="J616" s="10"/>
      <c r="K616" s="11"/>
      <c r="L616" s="11"/>
      <c r="M616" s="11"/>
      <c r="N616" s="12"/>
      <c r="O616" s="10"/>
      <c r="P616" s="11"/>
      <c r="Q616" s="11"/>
      <c r="R616" s="11"/>
      <c r="S616" s="12"/>
      <c r="U616" s="10"/>
      <c r="V616" s="11"/>
      <c r="W616" s="11"/>
      <c r="X616" s="11"/>
      <c r="Y616" s="12"/>
      <c r="Z616" s="10"/>
      <c r="AA616" s="11"/>
      <c r="AB616" s="11"/>
      <c r="AC616" s="11"/>
      <c r="AD616" s="12"/>
    </row>
    <row r="617" spans="1:31" ht="6.6" customHeight="1" x14ac:dyDescent="0.25">
      <c r="A617" s="14" t="s">
        <v>109</v>
      </c>
      <c r="C617" s="61" t="str">
        <f t="shared" ref="C617:C629" si="190">C616</f>
        <v>C100044</v>
      </c>
      <c r="J617" s="10"/>
      <c r="K617" s="11"/>
      <c r="L617" s="11"/>
      <c r="M617" s="11"/>
      <c r="N617" s="12"/>
      <c r="O617" s="10"/>
      <c r="P617" s="11"/>
      <c r="Q617" s="11"/>
      <c r="R617" s="11"/>
      <c r="S617" s="12"/>
      <c r="U617" s="10"/>
      <c r="V617" s="11"/>
      <c r="W617" s="11"/>
      <c r="X617" s="11"/>
      <c r="Y617" s="12"/>
      <c r="Z617" s="10"/>
      <c r="AA617" s="11"/>
      <c r="AB617" s="11"/>
      <c r="AC617" s="11"/>
      <c r="AD617" s="12"/>
    </row>
    <row r="618" spans="1:31" x14ac:dyDescent="0.25">
      <c r="A618" s="14" t="s">
        <v>109</v>
      </c>
      <c r="C618" s="61" t="str">
        <f t="shared" si="190"/>
        <v>C100044</v>
      </c>
      <c r="F618" s="8" t="str">
        <f>"C100002"</f>
        <v>C100002</v>
      </c>
      <c r="G618" s="9" t="str">
        <f>"Border Style"</f>
        <v>Border Style</v>
      </c>
      <c r="H618" s="47"/>
      <c r="I618" s="47"/>
      <c r="J618" s="23">
        <v>1246.8799999999999</v>
      </c>
      <c r="K618" s="25">
        <v>24</v>
      </c>
      <c r="L618" s="24">
        <v>766.8</v>
      </c>
      <c r="M618" s="24">
        <f>J618-L618</f>
        <v>480.07999999999993</v>
      </c>
      <c r="N618" s="53">
        <f>IF(J618&lt;&gt;0,M618/J618,"")</f>
        <v>0.3850250224560503</v>
      </c>
      <c r="O618" s="23">
        <v>0</v>
      </c>
      <c r="P618" s="25">
        <v>0</v>
      </c>
      <c r="Q618" s="24">
        <v>0</v>
      </c>
      <c r="R618" s="24">
        <f>O618-Q618</f>
        <v>0</v>
      </c>
      <c r="S618" s="53" t="str">
        <f>IF(O618&lt;&gt;0,R618/O618,"")</f>
        <v/>
      </c>
      <c r="T618" s="10"/>
      <c r="U618" s="23">
        <v>1327.57</v>
      </c>
      <c r="V618" s="25">
        <v>25</v>
      </c>
      <c r="W618" s="24">
        <v>798.75</v>
      </c>
      <c r="X618" s="24">
        <f>U618-W618</f>
        <v>528.81999999999994</v>
      </c>
      <c r="Y618" s="53">
        <f>IF(U618&lt;&gt;0,X618/U618,"")</f>
        <v>0.39833681086496375</v>
      </c>
      <c r="Z618" s="23">
        <v>0</v>
      </c>
      <c r="AA618" s="25">
        <v>0</v>
      </c>
      <c r="AB618" s="24">
        <v>0</v>
      </c>
      <c r="AC618" s="24">
        <f t="shared" ref="AC618" si="191">Z618-AB618</f>
        <v>0</v>
      </c>
      <c r="AD618" s="53" t="str">
        <f t="shared" ref="AD618" si="192">IF(Z618&lt;&gt;0,AC618/Z618,"")</f>
        <v/>
      </c>
      <c r="AE618" s="10"/>
    </row>
    <row r="619" spans="1:31" x14ac:dyDescent="0.25">
      <c r="A619" s="14" t="s">
        <v>109</v>
      </c>
      <c r="C619" s="61" t="str">
        <f t="shared" ref="C619:C627" si="193">C618</f>
        <v>C100044</v>
      </c>
      <c r="F619" s="8" t="str">
        <f>"C100010"</f>
        <v>C100010</v>
      </c>
      <c r="G619" s="9" t="str">
        <f>"Wisper-Cut Vase"</f>
        <v>Wisper-Cut Vase</v>
      </c>
      <c r="H619" s="47"/>
      <c r="I619" s="47"/>
      <c r="J619" s="23">
        <v>0</v>
      </c>
      <c r="K619" s="25">
        <v>0</v>
      </c>
      <c r="L619" s="24">
        <v>0</v>
      </c>
      <c r="M619" s="24">
        <f>J619-L619</f>
        <v>0</v>
      </c>
      <c r="N619" s="53" t="str">
        <f>IF(J619&lt;&gt;0,M619/J619,"")</f>
        <v/>
      </c>
      <c r="O619" s="23">
        <v>-82.44</v>
      </c>
      <c r="P619" s="25">
        <v>-1</v>
      </c>
      <c r="Q619" s="24">
        <v>-40.25</v>
      </c>
      <c r="R619" s="24">
        <f>O619-Q619</f>
        <v>-42.19</v>
      </c>
      <c r="S619" s="53">
        <f>IF(O619&lt;&gt;0,R619/O619,"")</f>
        <v>0.51176613294517226</v>
      </c>
      <c r="T619" s="10"/>
      <c r="U619" s="23">
        <v>0</v>
      </c>
      <c r="V619" s="25">
        <v>0</v>
      </c>
      <c r="W619" s="24">
        <v>0</v>
      </c>
      <c r="X619" s="24">
        <f>U619-W619</f>
        <v>0</v>
      </c>
      <c r="Y619" s="53" t="str">
        <f>IF(U619&lt;&gt;0,X619/U619,"")</f>
        <v/>
      </c>
      <c r="Z619" s="23">
        <v>0</v>
      </c>
      <c r="AA619" s="25">
        <v>0</v>
      </c>
      <c r="AB619" s="24">
        <v>0</v>
      </c>
      <c r="AC619" s="24">
        <f t="shared" ref="AC619:AC627" si="194">Z619-AB619</f>
        <v>0</v>
      </c>
      <c r="AD619" s="53" t="str">
        <f t="shared" ref="AD619:AD627" si="195">IF(Z619&lt;&gt;0,AC619/Z619,"")</f>
        <v/>
      </c>
      <c r="AE619" s="10"/>
    </row>
    <row r="620" spans="1:31" x14ac:dyDescent="0.25">
      <c r="A620" s="14" t="s">
        <v>109</v>
      </c>
      <c r="C620" s="61" t="str">
        <f t="shared" si="193"/>
        <v>C100044</v>
      </c>
      <c r="F620" s="8" t="str">
        <f>"C100032"</f>
        <v>C100032</v>
      </c>
      <c r="G620" s="9" t="str">
        <f>"Clip-on Clock"</f>
        <v>Clip-on Clock</v>
      </c>
      <c r="H620" s="47"/>
      <c r="I620" s="47"/>
      <c r="J620" s="23">
        <v>7.75</v>
      </c>
      <c r="K620" s="25">
        <v>1</v>
      </c>
      <c r="L620" s="24">
        <v>4.16</v>
      </c>
      <c r="M620" s="24">
        <f>J620-L620</f>
        <v>3.59</v>
      </c>
      <c r="N620" s="53">
        <f>IF(J620&lt;&gt;0,M620/J620,"")</f>
        <v>0.46322580645161288</v>
      </c>
      <c r="O620" s="23">
        <v>0</v>
      </c>
      <c r="P620" s="25">
        <v>0</v>
      </c>
      <c r="Q620" s="24">
        <v>0</v>
      </c>
      <c r="R620" s="24">
        <f>O620-Q620</f>
        <v>0</v>
      </c>
      <c r="S620" s="53" t="str">
        <f>IF(O620&lt;&gt;0,R620/O620,"")</f>
        <v/>
      </c>
      <c r="T620" s="10"/>
      <c r="U620" s="23">
        <v>0</v>
      </c>
      <c r="V620" s="25">
        <v>0</v>
      </c>
      <c r="W620" s="24">
        <v>0</v>
      </c>
      <c r="X620" s="24">
        <f>U620-W620</f>
        <v>0</v>
      </c>
      <c r="Y620" s="53" t="str">
        <f>IF(U620&lt;&gt;0,X620/U620,"")</f>
        <v/>
      </c>
      <c r="Z620" s="23">
        <v>0</v>
      </c>
      <c r="AA620" s="25">
        <v>0</v>
      </c>
      <c r="AB620" s="24">
        <v>0</v>
      </c>
      <c r="AC620" s="24">
        <f t="shared" si="194"/>
        <v>0</v>
      </c>
      <c r="AD620" s="53" t="str">
        <f t="shared" si="195"/>
        <v/>
      </c>
      <c r="AE620" s="10"/>
    </row>
    <row r="621" spans="1:31" x14ac:dyDescent="0.25">
      <c r="A621" s="14" t="s">
        <v>109</v>
      </c>
      <c r="C621" s="61" t="str">
        <f t="shared" si="193"/>
        <v>C100044</v>
      </c>
      <c r="F621" s="8" t="str">
        <f>"C100033"</f>
        <v>C100033</v>
      </c>
      <c r="G621" s="9" t="str">
        <f>"Frames &amp; Clock"</f>
        <v>Frames &amp; Clock</v>
      </c>
      <c r="H621" s="47"/>
      <c r="I621" s="47"/>
      <c r="J621" s="23">
        <v>4.55</v>
      </c>
      <c r="K621" s="25">
        <v>1</v>
      </c>
      <c r="L621" s="24">
        <v>2.88</v>
      </c>
      <c r="M621" s="24">
        <f>J621-L621</f>
        <v>1.67</v>
      </c>
      <c r="N621" s="53">
        <f>IF(J621&lt;&gt;0,M621/J621,"")</f>
        <v>0.36703296703296701</v>
      </c>
      <c r="O621" s="23">
        <v>-4.75</v>
      </c>
      <c r="P621" s="25">
        <v>-1</v>
      </c>
      <c r="Q621" s="24">
        <v>-2.88</v>
      </c>
      <c r="R621" s="24">
        <f>O621-Q621</f>
        <v>-1.87</v>
      </c>
      <c r="S621" s="53">
        <f>IF(O621&lt;&gt;0,R621/O621,"")</f>
        <v>0.3936842105263158</v>
      </c>
      <c r="T621" s="10"/>
      <c r="U621" s="23">
        <v>683.04</v>
      </c>
      <c r="V621" s="25">
        <v>144</v>
      </c>
      <c r="W621" s="24">
        <v>414.7</v>
      </c>
      <c r="X621" s="24">
        <f>U621-W621</f>
        <v>268.33999999999997</v>
      </c>
      <c r="Y621" s="53">
        <f>IF(U621&lt;&gt;0,X621/U621,"")</f>
        <v>0.39286132583743266</v>
      </c>
      <c r="Z621" s="23">
        <v>0</v>
      </c>
      <c r="AA621" s="25">
        <v>0</v>
      </c>
      <c r="AB621" s="24">
        <v>0</v>
      </c>
      <c r="AC621" s="24">
        <f t="shared" si="194"/>
        <v>0</v>
      </c>
      <c r="AD621" s="53" t="str">
        <f t="shared" si="195"/>
        <v/>
      </c>
      <c r="AE621" s="10"/>
    </row>
    <row r="622" spans="1:31" x14ac:dyDescent="0.25">
      <c r="A622" s="14" t="s">
        <v>109</v>
      </c>
      <c r="C622" s="61" t="str">
        <f t="shared" si="193"/>
        <v>C100044</v>
      </c>
      <c r="F622" s="8" t="str">
        <f>"C100034"</f>
        <v>C100034</v>
      </c>
      <c r="G622" s="9" t="str">
        <f>"Clock &amp; Pen Holder"</f>
        <v>Clock &amp; Pen Holder</v>
      </c>
      <c r="H622" s="47"/>
      <c r="I622" s="47"/>
      <c r="J622" s="23">
        <v>2167.04</v>
      </c>
      <c r="K622" s="25">
        <v>144</v>
      </c>
      <c r="L622" s="24">
        <v>1422.71</v>
      </c>
      <c r="M622" s="24">
        <f>J622-L622</f>
        <v>744.32999999999993</v>
      </c>
      <c r="N622" s="53">
        <f>IF(J622&lt;&gt;0,M622/J622,"")</f>
        <v>0.34347773922031893</v>
      </c>
      <c r="O622" s="23">
        <v>0</v>
      </c>
      <c r="P622" s="25">
        <v>0</v>
      </c>
      <c r="Q622" s="24">
        <v>0</v>
      </c>
      <c r="R622" s="24">
        <f>O622-Q622</f>
        <v>0</v>
      </c>
      <c r="S622" s="53" t="str">
        <f>IF(O622&lt;&gt;0,R622/O622,"")</f>
        <v/>
      </c>
      <c r="T622" s="10"/>
      <c r="U622" s="23">
        <v>0</v>
      </c>
      <c r="V622" s="25">
        <v>0</v>
      </c>
      <c r="W622" s="24">
        <v>0</v>
      </c>
      <c r="X622" s="24">
        <f>U622-W622</f>
        <v>0</v>
      </c>
      <c r="Y622" s="53" t="str">
        <f>IF(U622&lt;&gt;0,X622/U622,"")</f>
        <v/>
      </c>
      <c r="Z622" s="23">
        <v>0</v>
      </c>
      <c r="AA622" s="25">
        <v>0</v>
      </c>
      <c r="AB622" s="24">
        <v>0</v>
      </c>
      <c r="AC622" s="24">
        <f t="shared" si="194"/>
        <v>0</v>
      </c>
      <c r="AD622" s="53" t="str">
        <f t="shared" si="195"/>
        <v/>
      </c>
      <c r="AE622" s="10"/>
    </row>
    <row r="623" spans="1:31" x14ac:dyDescent="0.25">
      <c r="A623" s="14" t="s">
        <v>109</v>
      </c>
      <c r="C623" s="61" t="str">
        <f t="shared" si="193"/>
        <v>C100044</v>
      </c>
      <c r="F623" s="8" t="str">
        <f>"C100041"</f>
        <v>C100041</v>
      </c>
      <c r="G623" s="9" t="str">
        <f>"Folding Stereo Speakers"</f>
        <v>Folding Stereo Speakers</v>
      </c>
      <c r="H623" s="47"/>
      <c r="I623" s="47"/>
      <c r="J623" s="23">
        <v>2107.6</v>
      </c>
      <c r="K623" s="25">
        <v>144</v>
      </c>
      <c r="L623" s="24">
        <v>1205.19</v>
      </c>
      <c r="M623" s="24">
        <f>J623-L623</f>
        <v>902.40999999999985</v>
      </c>
      <c r="N623" s="53">
        <f>IF(J623&lt;&gt;0,M623/J623,"")</f>
        <v>0.42816948187511855</v>
      </c>
      <c r="O623" s="23">
        <v>0</v>
      </c>
      <c r="P623" s="25">
        <v>0</v>
      </c>
      <c r="Q623" s="24">
        <v>0</v>
      </c>
      <c r="R623" s="24">
        <f>O623-Q623</f>
        <v>0</v>
      </c>
      <c r="S623" s="53" t="str">
        <f>IF(O623&lt;&gt;0,R623/O623,"")</f>
        <v/>
      </c>
      <c r="T623" s="10"/>
      <c r="U623" s="23">
        <v>0</v>
      </c>
      <c r="V623" s="25">
        <v>0</v>
      </c>
      <c r="W623" s="24">
        <v>0</v>
      </c>
      <c r="X623" s="24">
        <f>U623-W623</f>
        <v>0</v>
      </c>
      <c r="Y623" s="53" t="str">
        <f>IF(U623&lt;&gt;0,X623/U623,"")</f>
        <v/>
      </c>
      <c r="Z623" s="23">
        <v>0</v>
      </c>
      <c r="AA623" s="25">
        <v>0</v>
      </c>
      <c r="AB623" s="24">
        <v>0</v>
      </c>
      <c r="AC623" s="24">
        <f t="shared" si="194"/>
        <v>0</v>
      </c>
      <c r="AD623" s="53" t="str">
        <f t="shared" si="195"/>
        <v/>
      </c>
      <c r="AE623" s="10"/>
    </row>
    <row r="624" spans="1:31" x14ac:dyDescent="0.25">
      <c r="A624" s="14" t="s">
        <v>109</v>
      </c>
      <c r="C624" s="61" t="str">
        <f t="shared" si="193"/>
        <v>C100044</v>
      </c>
      <c r="F624" s="8" t="str">
        <f>"C100051"</f>
        <v>C100051</v>
      </c>
      <c r="G624" s="9" t="str">
        <f>"Bamboo Digital Picutre Frame"</f>
        <v>Bamboo Digital Picutre Frame</v>
      </c>
      <c r="H624" s="47"/>
      <c r="I624" s="47"/>
      <c r="J624" s="23">
        <v>2271.3599999999997</v>
      </c>
      <c r="K624" s="25">
        <v>48</v>
      </c>
      <c r="L624" s="24">
        <v>1167.3800000000001</v>
      </c>
      <c r="M624" s="24">
        <f>J624-L624</f>
        <v>1103.9799999999996</v>
      </c>
      <c r="N624" s="53">
        <f>IF(J624&lt;&gt;0,M624/J624,"")</f>
        <v>0.48604360383206524</v>
      </c>
      <c r="O624" s="23">
        <v>0</v>
      </c>
      <c r="P624" s="25">
        <v>0</v>
      </c>
      <c r="Q624" s="24">
        <v>0</v>
      </c>
      <c r="R624" s="24">
        <f>O624-Q624</f>
        <v>0</v>
      </c>
      <c r="S624" s="53" t="str">
        <f>IF(O624&lt;&gt;0,R624/O624,"")</f>
        <v/>
      </c>
      <c r="T624" s="10"/>
      <c r="U624" s="23">
        <v>0</v>
      </c>
      <c r="V624" s="25">
        <v>0</v>
      </c>
      <c r="W624" s="24">
        <v>0</v>
      </c>
      <c r="X624" s="24">
        <f>U624-W624</f>
        <v>0</v>
      </c>
      <c r="Y624" s="53" t="str">
        <f>IF(U624&lt;&gt;0,X624/U624,"")</f>
        <v/>
      </c>
      <c r="Z624" s="23">
        <v>0</v>
      </c>
      <c r="AA624" s="25">
        <v>0</v>
      </c>
      <c r="AB624" s="24">
        <v>0</v>
      </c>
      <c r="AC624" s="24">
        <f t="shared" si="194"/>
        <v>0</v>
      </c>
      <c r="AD624" s="53" t="str">
        <f t="shared" si="195"/>
        <v/>
      </c>
      <c r="AE624" s="10"/>
    </row>
    <row r="625" spans="1:31" x14ac:dyDescent="0.25">
      <c r="A625" s="14" t="s">
        <v>109</v>
      </c>
      <c r="C625" s="61" t="str">
        <f t="shared" si="193"/>
        <v>C100044</v>
      </c>
      <c r="F625" s="8" t="str">
        <f>"C100055"</f>
        <v>C100055</v>
      </c>
      <c r="G625" s="9" t="str">
        <f>"Silver Plated Photo Frame"</f>
        <v>Silver Plated Photo Frame</v>
      </c>
      <c r="H625" s="47"/>
      <c r="I625" s="47"/>
      <c r="J625" s="23">
        <v>37.96</v>
      </c>
      <c r="K625" s="25">
        <v>1</v>
      </c>
      <c r="L625" s="24">
        <v>20.7</v>
      </c>
      <c r="M625" s="24">
        <f>J625-L625</f>
        <v>17.260000000000002</v>
      </c>
      <c r="N625" s="53">
        <f>IF(J625&lt;&gt;0,M625/J625,"")</f>
        <v>0.45468914646996844</v>
      </c>
      <c r="O625" s="23">
        <v>0</v>
      </c>
      <c r="P625" s="25">
        <v>0</v>
      </c>
      <c r="Q625" s="24">
        <v>0</v>
      </c>
      <c r="R625" s="24">
        <f>O625-Q625</f>
        <v>0</v>
      </c>
      <c r="S625" s="53" t="str">
        <f>IF(O625&lt;&gt;0,R625/O625,"")</f>
        <v/>
      </c>
      <c r="T625" s="10"/>
      <c r="U625" s="23">
        <v>2136.37</v>
      </c>
      <c r="V625" s="25">
        <v>54</v>
      </c>
      <c r="W625" s="24">
        <v>1117.83</v>
      </c>
      <c r="X625" s="24">
        <f>U625-W625</f>
        <v>1018.54</v>
      </c>
      <c r="Y625" s="53">
        <f>IF(U625&lt;&gt;0,X625/U625,"")</f>
        <v>0.47676198411323883</v>
      </c>
      <c r="Z625" s="23">
        <v>0</v>
      </c>
      <c r="AA625" s="25">
        <v>0</v>
      </c>
      <c r="AB625" s="24">
        <v>0</v>
      </c>
      <c r="AC625" s="24">
        <f t="shared" si="194"/>
        <v>0</v>
      </c>
      <c r="AD625" s="53" t="str">
        <f t="shared" si="195"/>
        <v/>
      </c>
      <c r="AE625" s="10"/>
    </row>
    <row r="626" spans="1:31" x14ac:dyDescent="0.25">
      <c r="A626" s="14" t="s">
        <v>109</v>
      </c>
      <c r="C626" s="61" t="str">
        <f t="shared" si="193"/>
        <v>C100044</v>
      </c>
      <c r="F626" s="8" t="str">
        <f>"E100021"</f>
        <v>E100021</v>
      </c>
      <c r="G626" s="9" t="str">
        <f>"Slim Travel Alarm"</f>
        <v>Slim Travel Alarm</v>
      </c>
      <c r="H626" s="47"/>
      <c r="I626" s="47"/>
      <c r="J626" s="23">
        <v>16.23</v>
      </c>
      <c r="K626" s="25">
        <v>6</v>
      </c>
      <c r="L626" s="24">
        <v>8.64</v>
      </c>
      <c r="M626" s="24">
        <f>J626-L626</f>
        <v>7.59</v>
      </c>
      <c r="N626" s="53">
        <f>IF(J626&lt;&gt;0,M626/J626,"")</f>
        <v>0.46765249537892789</v>
      </c>
      <c r="O626" s="23">
        <v>-2.83</v>
      </c>
      <c r="P626" s="25">
        <v>-1</v>
      </c>
      <c r="Q626" s="24">
        <v>-1.44</v>
      </c>
      <c r="R626" s="24">
        <f>O626-Q626</f>
        <v>-1.3900000000000001</v>
      </c>
      <c r="S626" s="53">
        <f>IF(O626&lt;&gt;0,R626/O626,"")</f>
        <v>0.49116607773851595</v>
      </c>
      <c r="T626" s="10"/>
      <c r="U626" s="23">
        <v>16.93</v>
      </c>
      <c r="V626" s="25">
        <v>6</v>
      </c>
      <c r="W626" s="24">
        <v>8.64</v>
      </c>
      <c r="X626" s="24">
        <f>U626-W626</f>
        <v>8.2899999999999991</v>
      </c>
      <c r="Y626" s="53">
        <f>IF(U626&lt;&gt;0,X626/U626,"")</f>
        <v>0.48966331955109271</v>
      </c>
      <c r="Z626" s="23">
        <v>0</v>
      </c>
      <c r="AA626" s="25">
        <v>0</v>
      </c>
      <c r="AB626" s="24">
        <v>0</v>
      </c>
      <c r="AC626" s="24">
        <f t="shared" si="194"/>
        <v>0</v>
      </c>
      <c r="AD626" s="53" t="str">
        <f t="shared" si="195"/>
        <v/>
      </c>
      <c r="AE626" s="10"/>
    </row>
    <row r="627" spans="1:31" x14ac:dyDescent="0.25">
      <c r="A627" s="14" t="s">
        <v>109</v>
      </c>
      <c r="C627" s="61" t="str">
        <f t="shared" si="193"/>
        <v>C100044</v>
      </c>
      <c r="F627" s="8" t="str">
        <f>"E100022"</f>
        <v>E100022</v>
      </c>
      <c r="G627" s="9" t="str">
        <f>"Wide Screen Alarm Clock"</f>
        <v>Wide Screen Alarm Clock</v>
      </c>
      <c r="H627" s="47"/>
      <c r="I627" s="47"/>
      <c r="J627" s="23">
        <v>0</v>
      </c>
      <c r="K627" s="25">
        <v>0</v>
      </c>
      <c r="L627" s="24">
        <v>0</v>
      </c>
      <c r="M627" s="24">
        <f>J627-L627</f>
        <v>0</v>
      </c>
      <c r="N627" s="53" t="str">
        <f>IF(J627&lt;&gt;0,M627/J627,"")</f>
        <v/>
      </c>
      <c r="O627" s="23">
        <v>-1.89</v>
      </c>
      <c r="P627" s="25">
        <v>-1</v>
      </c>
      <c r="Q627" s="24">
        <v>-1.28</v>
      </c>
      <c r="R627" s="24">
        <f>O627-Q627</f>
        <v>-0.60999999999999988</v>
      </c>
      <c r="S627" s="53">
        <f>IF(O627&lt;&gt;0,R627/O627,"")</f>
        <v>0.32275132275132268</v>
      </c>
      <c r="T627" s="10"/>
      <c r="U627" s="23">
        <v>0</v>
      </c>
      <c r="V627" s="25">
        <v>0</v>
      </c>
      <c r="W627" s="24">
        <v>0</v>
      </c>
      <c r="X627" s="24">
        <f>U627-W627</f>
        <v>0</v>
      </c>
      <c r="Y627" s="53" t="str">
        <f>IF(U627&lt;&gt;0,X627/U627,"")</f>
        <v/>
      </c>
      <c r="Z627" s="23">
        <v>0</v>
      </c>
      <c r="AA627" s="25">
        <v>0</v>
      </c>
      <c r="AB627" s="24">
        <v>0</v>
      </c>
      <c r="AC627" s="24">
        <f t="shared" si="194"/>
        <v>0</v>
      </c>
      <c r="AD627" s="53" t="str">
        <f t="shared" si="195"/>
        <v/>
      </c>
      <c r="AE627" s="10"/>
    </row>
    <row r="628" spans="1:31" ht="15.75" thickBot="1" x14ac:dyDescent="0.3">
      <c r="A628" s="14" t="s">
        <v>109</v>
      </c>
      <c r="C628" s="61" t="str">
        <f>C618</f>
        <v>C100044</v>
      </c>
      <c r="J628" s="10"/>
      <c r="K628" s="11"/>
      <c r="L628" s="11"/>
      <c r="M628" s="11"/>
      <c r="N628" s="12"/>
      <c r="O628" s="10"/>
      <c r="P628" s="11"/>
      <c r="Q628" s="11"/>
      <c r="R628" s="11"/>
      <c r="S628" s="12"/>
      <c r="U628" s="10"/>
      <c r="V628" s="11"/>
      <c r="W628" s="11"/>
      <c r="X628" s="11"/>
      <c r="Y628" s="12"/>
      <c r="Z628" s="10"/>
      <c r="AA628" s="11"/>
      <c r="AB628" s="11"/>
      <c r="AC628" s="11"/>
      <c r="AD628" s="12"/>
    </row>
    <row r="629" spans="1:31" ht="15.75" thickBot="1" x14ac:dyDescent="0.3">
      <c r="A629" s="14" t="s">
        <v>109</v>
      </c>
      <c r="C629" s="61" t="str">
        <f t="shared" si="190"/>
        <v>C100044</v>
      </c>
      <c r="G629" s="48" t="str">
        <f>C629&amp;" TOTAL:"</f>
        <v>C100044 TOTAL:</v>
      </c>
      <c r="H629" s="50"/>
      <c r="I629" s="50"/>
      <c r="J629" s="34">
        <f>SUBTOTAL(9,J617:J628)</f>
        <v>7859.369999999999</v>
      </c>
      <c r="K629" s="35">
        <f>SUBTOTAL(9,K617:K628)</f>
        <v>369</v>
      </c>
      <c r="L629" s="36">
        <f>SUBTOTAL(9,L617:L628)</f>
        <v>4598.4600000000009</v>
      </c>
      <c r="M629" s="36">
        <f>J629-L629</f>
        <v>3260.909999999998</v>
      </c>
      <c r="N629" s="37">
        <f>IF(J629&lt;&gt;0,M629/J629,"")</f>
        <v>0.41490730173029117</v>
      </c>
      <c r="O629" s="34">
        <f>SUBTOTAL(9,O617:O628)</f>
        <v>-91.91</v>
      </c>
      <c r="P629" s="35">
        <f>SUBTOTAL(9,P617:P628)</f>
        <v>-4</v>
      </c>
      <c r="Q629" s="36">
        <f>SUBTOTAL(9,Q617:Q628)</f>
        <v>-45.85</v>
      </c>
      <c r="R629" s="36">
        <f>O629-Q629</f>
        <v>-46.059999999999995</v>
      </c>
      <c r="S629" s="37">
        <f>IF(O629&lt;&gt;0,R629/O629,"")</f>
        <v>0.50114242193450109</v>
      </c>
      <c r="U629" s="34">
        <f>SUBTOTAL(9,U617:U628)</f>
        <v>4163.91</v>
      </c>
      <c r="V629" s="35">
        <f>SUBTOTAL(9,V617:V628)</f>
        <v>229</v>
      </c>
      <c r="W629" s="36">
        <f>SUBTOTAL(9,W617:W628)</f>
        <v>2339.9199999999996</v>
      </c>
      <c r="X629" s="36">
        <f>U629-W629</f>
        <v>1823.9900000000002</v>
      </c>
      <c r="Y629" s="37">
        <f>IF(U629&lt;&gt;0,X629/U629,"")</f>
        <v>0.43804741216789034</v>
      </c>
      <c r="Z629" s="34">
        <f>SUBTOTAL(9,Z617:Z628)</f>
        <v>0</v>
      </c>
      <c r="AA629" s="35">
        <f>SUBTOTAL(9,AA617:AA628)</f>
        <v>0</v>
      </c>
      <c r="AB629" s="36">
        <f>SUBTOTAL(9,AB617:AB628)</f>
        <v>0</v>
      </c>
      <c r="AC629" s="36">
        <f t="shared" ref="AC629" si="196">Z629-AB629</f>
        <v>0</v>
      </c>
      <c r="AD629" s="37" t="str">
        <f t="shared" ref="AD629" si="197">IF(Z629&lt;&gt;0,AC629/Z629,"")</f>
        <v/>
      </c>
    </row>
    <row r="630" spans="1:31" x14ac:dyDescent="0.25">
      <c r="A630" s="14" t="s">
        <v>109</v>
      </c>
      <c r="C630" s="66"/>
      <c r="J630" s="10"/>
      <c r="K630" s="11"/>
      <c r="L630" s="11"/>
      <c r="M630" s="11"/>
      <c r="N630" s="12"/>
      <c r="O630" s="10"/>
      <c r="P630" s="11"/>
      <c r="Q630" s="11"/>
      <c r="R630" s="11"/>
      <c r="S630" s="12"/>
      <c r="U630" s="10"/>
      <c r="V630" s="11"/>
      <c r="W630" s="11"/>
      <c r="X630" s="11"/>
      <c r="Y630" s="12"/>
      <c r="Z630" s="10"/>
      <c r="AA630" s="11"/>
      <c r="AB630" s="11"/>
      <c r="AC630" s="11"/>
      <c r="AD630" s="12"/>
    </row>
    <row r="631" spans="1:31" ht="15.75" x14ac:dyDescent="0.25">
      <c r="A631" s="14" t="s">
        <v>109</v>
      </c>
      <c r="C631" s="66" t="str">
        <f t="shared" ref="C631" si="198">E631</f>
        <v>C100046</v>
      </c>
      <c r="E631" s="13" t="str">
        <f>"C100046"</f>
        <v>C100046</v>
      </c>
      <c r="F631" s="13"/>
      <c r="G631" s="13" t="str">
        <f>"John Haddock Insurance Co."</f>
        <v>John Haddock Insurance Co.</v>
      </c>
      <c r="H631" s="13"/>
      <c r="I631" s="13"/>
      <c r="J631" s="10"/>
      <c r="K631" s="11"/>
      <c r="L631" s="11"/>
      <c r="M631" s="11"/>
      <c r="N631" s="12"/>
      <c r="O631" s="10"/>
      <c r="P631" s="11"/>
      <c r="Q631" s="11"/>
      <c r="R631" s="11"/>
      <c r="S631" s="12"/>
      <c r="U631" s="10"/>
      <c r="V631" s="11"/>
      <c r="W631" s="11"/>
      <c r="X631" s="11"/>
      <c r="Y631" s="12"/>
      <c r="Z631" s="10"/>
      <c r="AA631" s="11"/>
      <c r="AB631" s="11"/>
      <c r="AC631" s="11"/>
      <c r="AD631" s="12"/>
    </row>
    <row r="632" spans="1:31" ht="6.6" customHeight="1" x14ac:dyDescent="0.25">
      <c r="A632" s="14" t="s">
        <v>109</v>
      </c>
      <c r="C632" s="61" t="str">
        <f t="shared" ref="C632:C686" si="199">C631</f>
        <v>C100046</v>
      </c>
      <c r="J632" s="10"/>
      <c r="K632" s="11"/>
      <c r="L632" s="11"/>
      <c r="M632" s="11"/>
      <c r="N632" s="12"/>
      <c r="O632" s="10"/>
      <c r="P632" s="11"/>
      <c r="Q632" s="11"/>
      <c r="R632" s="11"/>
      <c r="S632" s="12"/>
      <c r="U632" s="10"/>
      <c r="V632" s="11"/>
      <c r="W632" s="11"/>
      <c r="X632" s="11"/>
      <c r="Y632" s="12"/>
      <c r="Z632" s="10"/>
      <c r="AA632" s="11"/>
      <c r="AB632" s="11"/>
      <c r="AC632" s="11"/>
      <c r="AD632" s="12"/>
    </row>
    <row r="633" spans="1:31" x14ac:dyDescent="0.25">
      <c r="A633" s="14" t="s">
        <v>109</v>
      </c>
      <c r="C633" s="61" t="str">
        <f t="shared" si="199"/>
        <v>C100046</v>
      </c>
      <c r="F633" s="8" t="str">
        <f>"C100023"</f>
        <v>C100023</v>
      </c>
      <c r="G633" s="9" t="str">
        <f>"Two-Toned Knit Hat"</f>
        <v>Two-Toned Knit Hat</v>
      </c>
      <c r="H633" s="47"/>
      <c r="I633" s="47"/>
      <c r="J633" s="23">
        <v>378.2</v>
      </c>
      <c r="K633" s="25">
        <v>144</v>
      </c>
      <c r="L633" s="24">
        <v>181.43</v>
      </c>
      <c r="M633" s="24">
        <f>J633-L633</f>
        <v>196.76999999999998</v>
      </c>
      <c r="N633" s="53">
        <f>IF(J633&lt;&gt;0,M633/J633,"")</f>
        <v>0.52028027498677942</v>
      </c>
      <c r="O633" s="23">
        <v>0</v>
      </c>
      <c r="P633" s="25">
        <v>0</v>
      </c>
      <c r="Q633" s="24">
        <v>0</v>
      </c>
      <c r="R633" s="24">
        <f>O633-Q633</f>
        <v>0</v>
      </c>
      <c r="S633" s="53" t="str">
        <f>IF(O633&lt;&gt;0,R633/O633,"")</f>
        <v/>
      </c>
      <c r="T633" s="10"/>
      <c r="U633" s="23">
        <v>0</v>
      </c>
      <c r="V633" s="25">
        <v>0</v>
      </c>
      <c r="W633" s="24">
        <v>0</v>
      </c>
      <c r="X633" s="24">
        <f>U633-W633</f>
        <v>0</v>
      </c>
      <c r="Y633" s="53" t="str">
        <f>IF(U633&lt;&gt;0,X633/U633,"")</f>
        <v/>
      </c>
      <c r="Z633" s="23">
        <v>0</v>
      </c>
      <c r="AA633" s="25">
        <v>0</v>
      </c>
      <c r="AB633" s="24">
        <v>0</v>
      </c>
      <c r="AC633" s="24">
        <f t="shared" ref="AC633" si="200">Z633-AB633</f>
        <v>0</v>
      </c>
      <c r="AD633" s="53" t="str">
        <f t="shared" ref="AD633" si="201">IF(Z633&lt;&gt;0,AC633/Z633,"")</f>
        <v/>
      </c>
      <c r="AE633" s="10"/>
    </row>
    <row r="634" spans="1:31" x14ac:dyDescent="0.25">
      <c r="A634" s="14" t="s">
        <v>109</v>
      </c>
      <c r="C634" s="61" t="str">
        <f t="shared" ref="C634:C684" si="202">C633</f>
        <v>C100046</v>
      </c>
      <c r="F634" s="8" t="str">
        <f>"C100025"</f>
        <v>C100025</v>
      </c>
      <c r="G634" s="9" t="str">
        <f>"Striped Knit Hat"</f>
        <v>Striped Knit Hat</v>
      </c>
      <c r="H634" s="47"/>
      <c r="I634" s="47"/>
      <c r="J634" s="23">
        <v>1244.45</v>
      </c>
      <c r="K634" s="25">
        <v>432</v>
      </c>
      <c r="L634" s="24">
        <v>596.17000000000007</v>
      </c>
      <c r="M634" s="24">
        <f>J634-L634</f>
        <v>648.28</v>
      </c>
      <c r="N634" s="53">
        <f>IF(J634&lt;&gt;0,M634/J634,"")</f>
        <v>0.52093696010285662</v>
      </c>
      <c r="O634" s="23">
        <v>0</v>
      </c>
      <c r="P634" s="25">
        <v>0</v>
      </c>
      <c r="Q634" s="24">
        <v>0</v>
      </c>
      <c r="R634" s="24">
        <f>O634-Q634</f>
        <v>0</v>
      </c>
      <c r="S634" s="53" t="str">
        <f>IF(O634&lt;&gt;0,R634/O634,"")</f>
        <v/>
      </c>
      <c r="T634" s="10"/>
      <c r="U634" s="23">
        <v>416.25000000000006</v>
      </c>
      <c r="V634" s="25">
        <v>144</v>
      </c>
      <c r="W634" s="24">
        <v>198.72</v>
      </c>
      <c r="X634" s="24">
        <f>U634-W634</f>
        <v>217.53000000000006</v>
      </c>
      <c r="Y634" s="53">
        <f>IF(U634&lt;&gt;0,X634/U634,"")</f>
        <v>0.52259459459459467</v>
      </c>
      <c r="Z634" s="23">
        <v>0</v>
      </c>
      <c r="AA634" s="25">
        <v>0</v>
      </c>
      <c r="AB634" s="24">
        <v>0</v>
      </c>
      <c r="AC634" s="24">
        <f t="shared" ref="AC634:AC684" si="203">Z634-AB634</f>
        <v>0</v>
      </c>
      <c r="AD634" s="53" t="str">
        <f t="shared" ref="AD634:AD684" si="204">IF(Z634&lt;&gt;0,AC634/Z634,"")</f>
        <v/>
      </c>
      <c r="AE634" s="10"/>
    </row>
    <row r="635" spans="1:31" x14ac:dyDescent="0.25">
      <c r="A635" s="14" t="s">
        <v>109</v>
      </c>
      <c r="C635" s="61" t="str">
        <f t="shared" si="202"/>
        <v>C100046</v>
      </c>
      <c r="F635" s="8" t="str">
        <f>"C100029"</f>
        <v>C100029</v>
      </c>
      <c r="G635" s="9" t="str">
        <f>"Distressed Twill Visor"</f>
        <v>Distressed Twill Visor</v>
      </c>
      <c r="H635" s="47"/>
      <c r="I635" s="47"/>
      <c r="J635" s="23">
        <v>482.62999999999994</v>
      </c>
      <c r="K635" s="25">
        <v>144</v>
      </c>
      <c r="L635" s="24">
        <v>298.09000000000003</v>
      </c>
      <c r="M635" s="24">
        <f>J635-L635</f>
        <v>184.53999999999991</v>
      </c>
      <c r="N635" s="53">
        <f>IF(J635&lt;&gt;0,M635/J635,"")</f>
        <v>0.38236330107950173</v>
      </c>
      <c r="O635" s="23">
        <v>0</v>
      </c>
      <c r="P635" s="25">
        <v>0</v>
      </c>
      <c r="Q635" s="24">
        <v>0</v>
      </c>
      <c r="R635" s="24">
        <f>O635-Q635</f>
        <v>0</v>
      </c>
      <c r="S635" s="53" t="str">
        <f>IF(O635&lt;&gt;0,R635/O635,"")</f>
        <v/>
      </c>
      <c r="T635" s="10"/>
      <c r="U635" s="23">
        <v>0</v>
      </c>
      <c r="V635" s="25">
        <v>0</v>
      </c>
      <c r="W635" s="24">
        <v>0</v>
      </c>
      <c r="X635" s="24">
        <f>U635-W635</f>
        <v>0</v>
      </c>
      <c r="Y635" s="53" t="str">
        <f>IF(U635&lt;&gt;0,X635/U635,"")</f>
        <v/>
      </c>
      <c r="Z635" s="23">
        <v>0</v>
      </c>
      <c r="AA635" s="25">
        <v>0</v>
      </c>
      <c r="AB635" s="24">
        <v>0</v>
      </c>
      <c r="AC635" s="24">
        <f t="shared" si="203"/>
        <v>0</v>
      </c>
      <c r="AD635" s="53" t="str">
        <f t="shared" si="204"/>
        <v/>
      </c>
      <c r="AE635" s="10"/>
    </row>
    <row r="636" spans="1:31" x14ac:dyDescent="0.25">
      <c r="A636" s="14" t="s">
        <v>109</v>
      </c>
      <c r="C636" s="61" t="str">
        <f t="shared" si="202"/>
        <v>C100046</v>
      </c>
      <c r="F636" s="8" t="str">
        <f>"C100030"</f>
        <v>C100030</v>
      </c>
      <c r="G636" s="9" t="str">
        <f>"Fashion Visor"</f>
        <v>Fashion Visor</v>
      </c>
      <c r="H636" s="47"/>
      <c r="I636" s="47"/>
      <c r="J636" s="23">
        <v>605.49</v>
      </c>
      <c r="K636" s="25">
        <v>144</v>
      </c>
      <c r="L636" s="24">
        <v>348.49</v>
      </c>
      <c r="M636" s="24">
        <f>J636-L636</f>
        <v>257</v>
      </c>
      <c r="N636" s="53">
        <f>IF(J636&lt;&gt;0,M636/J636,"")</f>
        <v>0.42444961931658653</v>
      </c>
      <c r="O636" s="23">
        <v>0</v>
      </c>
      <c r="P636" s="25">
        <v>0</v>
      </c>
      <c r="Q636" s="24">
        <v>0</v>
      </c>
      <c r="R636" s="24">
        <f>O636-Q636</f>
        <v>0</v>
      </c>
      <c r="S636" s="53" t="str">
        <f>IF(O636&lt;&gt;0,R636/O636,"")</f>
        <v/>
      </c>
      <c r="T636" s="10"/>
      <c r="U636" s="23">
        <v>0</v>
      </c>
      <c r="V636" s="25">
        <v>0</v>
      </c>
      <c r="W636" s="24">
        <v>0</v>
      </c>
      <c r="X636" s="24">
        <f>U636-W636</f>
        <v>0</v>
      </c>
      <c r="Y636" s="53" t="str">
        <f>IF(U636&lt;&gt;0,X636/U636,"")</f>
        <v/>
      </c>
      <c r="Z636" s="23">
        <v>0</v>
      </c>
      <c r="AA636" s="25">
        <v>0</v>
      </c>
      <c r="AB636" s="24">
        <v>0</v>
      </c>
      <c r="AC636" s="24">
        <f t="shared" si="203"/>
        <v>0</v>
      </c>
      <c r="AD636" s="53" t="str">
        <f t="shared" si="204"/>
        <v/>
      </c>
      <c r="AE636" s="10"/>
    </row>
    <row r="637" spans="1:31" x14ac:dyDescent="0.25">
      <c r="A637" s="14" t="s">
        <v>109</v>
      </c>
      <c r="C637" s="61" t="str">
        <f t="shared" si="202"/>
        <v>C100046</v>
      </c>
      <c r="F637" s="8" t="str">
        <f>"C100033"</f>
        <v>C100033</v>
      </c>
      <c r="G637" s="9" t="str">
        <f>"Frames &amp; Clock"</f>
        <v>Frames &amp; Clock</v>
      </c>
      <c r="H637" s="47"/>
      <c r="I637" s="47"/>
      <c r="J637" s="23">
        <v>1352.1</v>
      </c>
      <c r="K637" s="25">
        <v>288</v>
      </c>
      <c r="L637" s="24">
        <v>829.4</v>
      </c>
      <c r="M637" s="24">
        <f>J637-L637</f>
        <v>522.69999999999993</v>
      </c>
      <c r="N637" s="53">
        <f>IF(J637&lt;&gt;0,M637/J637,"")</f>
        <v>0.38658383255676354</v>
      </c>
      <c r="O637" s="23">
        <v>1366.04</v>
      </c>
      <c r="P637" s="25">
        <v>288</v>
      </c>
      <c r="Q637" s="24">
        <v>829.4</v>
      </c>
      <c r="R637" s="24">
        <f>O637-Q637</f>
        <v>536.64</v>
      </c>
      <c r="S637" s="53">
        <f>IF(O637&lt;&gt;0,R637/O637,"")</f>
        <v>0.39284354777312525</v>
      </c>
      <c r="T637" s="10"/>
      <c r="U637" s="23">
        <v>676.05</v>
      </c>
      <c r="V637" s="25">
        <v>144</v>
      </c>
      <c r="W637" s="24">
        <v>414.7</v>
      </c>
      <c r="X637" s="24">
        <f>U637-W637</f>
        <v>261.34999999999997</v>
      </c>
      <c r="Y637" s="53">
        <f>IF(U637&lt;&gt;0,X637/U637,"")</f>
        <v>0.38658383255676354</v>
      </c>
      <c r="Z637" s="23">
        <v>0</v>
      </c>
      <c r="AA637" s="25">
        <v>0</v>
      </c>
      <c r="AB637" s="24">
        <v>0</v>
      </c>
      <c r="AC637" s="24">
        <f t="shared" si="203"/>
        <v>0</v>
      </c>
      <c r="AD637" s="53" t="str">
        <f t="shared" si="204"/>
        <v/>
      </c>
      <c r="AE637" s="10"/>
    </row>
    <row r="638" spans="1:31" x14ac:dyDescent="0.25">
      <c r="A638" s="14" t="s">
        <v>109</v>
      </c>
      <c r="C638" s="61" t="str">
        <f t="shared" si="202"/>
        <v>C100046</v>
      </c>
      <c r="F638" s="8" t="str">
        <f>"C100042"</f>
        <v>C100042</v>
      </c>
      <c r="G638" s="9" t="str">
        <f>"Retractable Earbuds"</f>
        <v>Retractable Earbuds</v>
      </c>
      <c r="H638" s="47"/>
      <c r="I638" s="47"/>
      <c r="J638" s="23">
        <v>0</v>
      </c>
      <c r="K638" s="25">
        <v>0</v>
      </c>
      <c r="L638" s="24">
        <v>0</v>
      </c>
      <c r="M638" s="24">
        <f>J638-L638</f>
        <v>0</v>
      </c>
      <c r="N638" s="53" t="str">
        <f>IF(J638&lt;&gt;0,M638/J638,"")</f>
        <v/>
      </c>
      <c r="O638" s="23">
        <v>287.88</v>
      </c>
      <c r="P638" s="25">
        <v>144</v>
      </c>
      <c r="Q638" s="24">
        <v>155.60999999999999</v>
      </c>
      <c r="R638" s="24">
        <f>O638-Q638</f>
        <v>132.27000000000001</v>
      </c>
      <c r="S638" s="53">
        <f>IF(O638&lt;&gt;0,R638/O638,"")</f>
        <v>0.45946227594831185</v>
      </c>
      <c r="T638" s="10"/>
      <c r="U638" s="23">
        <v>569.89</v>
      </c>
      <c r="V638" s="25">
        <v>288</v>
      </c>
      <c r="W638" s="24">
        <v>311.23</v>
      </c>
      <c r="X638" s="24">
        <f>U638-W638</f>
        <v>258.65999999999997</v>
      </c>
      <c r="Y638" s="53">
        <f>IF(U638&lt;&gt;0,X638/U638,"")</f>
        <v>0.45387706399480598</v>
      </c>
      <c r="Z638" s="23">
        <v>0</v>
      </c>
      <c r="AA638" s="25">
        <v>0</v>
      </c>
      <c r="AB638" s="24">
        <v>0</v>
      </c>
      <c r="AC638" s="24">
        <f t="shared" si="203"/>
        <v>0</v>
      </c>
      <c r="AD638" s="53" t="str">
        <f t="shared" si="204"/>
        <v/>
      </c>
      <c r="AE638" s="10"/>
    </row>
    <row r="639" spans="1:31" x14ac:dyDescent="0.25">
      <c r="A639" s="14" t="s">
        <v>109</v>
      </c>
      <c r="C639" s="61" t="str">
        <f t="shared" si="202"/>
        <v>C100046</v>
      </c>
      <c r="F639" s="8" t="str">
        <f>"C100056"</f>
        <v>C100056</v>
      </c>
      <c r="G639" s="9" t="str">
        <f>"Contemporary Desk Calculator"</f>
        <v>Contemporary Desk Calculator</v>
      </c>
      <c r="H639" s="47"/>
      <c r="I639" s="47"/>
      <c r="J639" s="23">
        <v>0</v>
      </c>
      <c r="K639" s="25">
        <v>0</v>
      </c>
      <c r="L639" s="24">
        <v>0</v>
      </c>
      <c r="M639" s="24">
        <f>J639-L639</f>
        <v>0</v>
      </c>
      <c r="N639" s="53" t="str">
        <f>IF(J639&lt;&gt;0,M639/J639,"")</f>
        <v/>
      </c>
      <c r="O639" s="23">
        <v>766.28000000000009</v>
      </c>
      <c r="P639" s="25">
        <v>144</v>
      </c>
      <c r="Q639" s="24">
        <v>383.08</v>
      </c>
      <c r="R639" s="24">
        <f>O639-Q639</f>
        <v>383.2000000000001</v>
      </c>
      <c r="S639" s="53">
        <f>IF(O639&lt;&gt;0,R639/O639,"")</f>
        <v>0.50007830036018175</v>
      </c>
      <c r="T639" s="10"/>
      <c r="U639" s="23">
        <v>758.45999999999992</v>
      </c>
      <c r="V639" s="25">
        <v>144</v>
      </c>
      <c r="W639" s="24">
        <v>383.08</v>
      </c>
      <c r="X639" s="24">
        <f>U639-W639</f>
        <v>375.37999999999994</v>
      </c>
      <c r="Y639" s="53">
        <f>IF(U639&lt;&gt;0,X639/U639,"")</f>
        <v>0.49492392479497926</v>
      </c>
      <c r="Z639" s="23">
        <v>0</v>
      </c>
      <c r="AA639" s="25">
        <v>0</v>
      </c>
      <c r="AB639" s="24">
        <v>0</v>
      </c>
      <c r="AC639" s="24">
        <f t="shared" si="203"/>
        <v>0</v>
      </c>
      <c r="AD639" s="53" t="str">
        <f t="shared" si="204"/>
        <v/>
      </c>
      <c r="AE639" s="10"/>
    </row>
    <row r="640" spans="1:31" x14ac:dyDescent="0.25">
      <c r="A640" s="14" t="s">
        <v>109</v>
      </c>
      <c r="C640" s="61" t="str">
        <f t="shared" si="202"/>
        <v>C100046</v>
      </c>
      <c r="F640" s="8" t="str">
        <f>"C100063"</f>
        <v>C100063</v>
      </c>
      <c r="G640" s="9" t="str">
        <f>"Soup Mug"</f>
        <v>Soup Mug</v>
      </c>
      <c r="H640" s="47"/>
      <c r="I640" s="47"/>
      <c r="J640" s="23">
        <v>234.26</v>
      </c>
      <c r="K640" s="25">
        <v>144</v>
      </c>
      <c r="L640" s="24">
        <v>133.94999999999999</v>
      </c>
      <c r="M640" s="24">
        <f>J640-L640</f>
        <v>100.31</v>
      </c>
      <c r="N640" s="53">
        <f>IF(J640&lt;&gt;0,M640/J640,"")</f>
        <v>0.42819943652352088</v>
      </c>
      <c r="O640" s="23">
        <v>234.26</v>
      </c>
      <c r="P640" s="25">
        <v>144</v>
      </c>
      <c r="Q640" s="24">
        <v>133.94999999999999</v>
      </c>
      <c r="R640" s="24">
        <f>O640-Q640</f>
        <v>100.31</v>
      </c>
      <c r="S640" s="53">
        <f>IF(O640&lt;&gt;0,R640/O640,"")</f>
        <v>0.42819943652352088</v>
      </c>
      <c r="T640" s="10"/>
      <c r="U640" s="23">
        <v>231.87</v>
      </c>
      <c r="V640" s="25">
        <v>144</v>
      </c>
      <c r="W640" s="24">
        <v>133.94999999999999</v>
      </c>
      <c r="X640" s="24">
        <f>U640-W640</f>
        <v>97.920000000000016</v>
      </c>
      <c r="Y640" s="53">
        <f>IF(U640&lt;&gt;0,X640/U640,"")</f>
        <v>0.42230560227713809</v>
      </c>
      <c r="Z640" s="23">
        <v>0</v>
      </c>
      <c r="AA640" s="25">
        <v>0</v>
      </c>
      <c r="AB640" s="24">
        <v>0</v>
      </c>
      <c r="AC640" s="24">
        <f t="shared" si="203"/>
        <v>0</v>
      </c>
      <c r="AD640" s="53" t="str">
        <f t="shared" si="204"/>
        <v/>
      </c>
      <c r="AE640" s="10"/>
    </row>
    <row r="641" spans="1:31" x14ac:dyDescent="0.25">
      <c r="A641" s="14" t="s">
        <v>109</v>
      </c>
      <c r="C641" s="61" t="str">
        <f t="shared" si="202"/>
        <v>C100046</v>
      </c>
      <c r="F641" s="8" t="str">
        <f>"C100066"</f>
        <v>C100066</v>
      </c>
      <c r="G641" s="9" t="str">
        <f>"Fashion Travel Mug"</f>
        <v>Fashion Travel Mug</v>
      </c>
      <c r="H641" s="47"/>
      <c r="I641" s="47"/>
      <c r="J641" s="23">
        <v>508.03000000000003</v>
      </c>
      <c r="K641" s="25">
        <v>144</v>
      </c>
      <c r="L641" s="24">
        <v>237.63000000000002</v>
      </c>
      <c r="M641" s="24">
        <f>J641-L641</f>
        <v>270.39999999999998</v>
      </c>
      <c r="N641" s="53">
        <f>IF(J641&lt;&gt;0,M641/J641,"")</f>
        <v>0.53225203236029361</v>
      </c>
      <c r="O641" s="23">
        <v>0</v>
      </c>
      <c r="P641" s="25">
        <v>0</v>
      </c>
      <c r="Q641" s="24">
        <v>0</v>
      </c>
      <c r="R641" s="24">
        <f>O641-Q641</f>
        <v>0</v>
      </c>
      <c r="S641" s="53" t="str">
        <f>IF(O641&lt;&gt;0,R641/O641,"")</f>
        <v/>
      </c>
      <c r="T641" s="10"/>
      <c r="U641" s="23">
        <v>0</v>
      </c>
      <c r="V641" s="25">
        <v>0</v>
      </c>
      <c r="W641" s="24">
        <v>0</v>
      </c>
      <c r="X641" s="24">
        <f>U641-W641</f>
        <v>0</v>
      </c>
      <c r="Y641" s="53" t="str">
        <f>IF(U641&lt;&gt;0,X641/U641,"")</f>
        <v/>
      </c>
      <c r="Z641" s="23">
        <v>0</v>
      </c>
      <c r="AA641" s="25">
        <v>0</v>
      </c>
      <c r="AB641" s="24">
        <v>0</v>
      </c>
      <c r="AC641" s="24">
        <f t="shared" si="203"/>
        <v>0</v>
      </c>
      <c r="AD641" s="53" t="str">
        <f t="shared" si="204"/>
        <v/>
      </c>
      <c r="AE641" s="10"/>
    </row>
    <row r="642" spans="1:31" x14ac:dyDescent="0.25">
      <c r="A642" s="14" t="s">
        <v>109</v>
      </c>
      <c r="C642" s="61" t="str">
        <f t="shared" si="202"/>
        <v>C100046</v>
      </c>
      <c r="F642" s="8" t="str">
        <f>"C100067"</f>
        <v>C100067</v>
      </c>
      <c r="G642" s="9" t="str">
        <f>"Stainless Thermos"</f>
        <v>Stainless Thermos</v>
      </c>
      <c r="H642" s="47"/>
      <c r="I642" s="47"/>
      <c r="J642" s="23">
        <v>651.11</v>
      </c>
      <c r="K642" s="25">
        <v>144</v>
      </c>
      <c r="L642" s="24">
        <v>368.71</v>
      </c>
      <c r="M642" s="24">
        <f>J642-L642</f>
        <v>282.40000000000003</v>
      </c>
      <c r="N642" s="53">
        <f>IF(J642&lt;&gt;0,M642/J642,"")</f>
        <v>0.43372087665678616</v>
      </c>
      <c r="O642" s="23">
        <v>664.68</v>
      </c>
      <c r="P642" s="25">
        <v>144</v>
      </c>
      <c r="Q642" s="24">
        <v>368.71</v>
      </c>
      <c r="R642" s="24">
        <f>O642-Q642</f>
        <v>295.96999999999997</v>
      </c>
      <c r="S642" s="53">
        <f>IF(O642&lt;&gt;0,R642/O642,"")</f>
        <v>0.44528194018174155</v>
      </c>
      <c r="T642" s="10"/>
      <c r="U642" s="23">
        <v>0</v>
      </c>
      <c r="V642" s="25">
        <v>0</v>
      </c>
      <c r="W642" s="24">
        <v>0</v>
      </c>
      <c r="X642" s="24">
        <f>U642-W642</f>
        <v>0</v>
      </c>
      <c r="Y642" s="53" t="str">
        <f>IF(U642&lt;&gt;0,X642/U642,"")</f>
        <v/>
      </c>
      <c r="Z642" s="23">
        <v>0</v>
      </c>
      <c r="AA642" s="25">
        <v>0</v>
      </c>
      <c r="AB642" s="24">
        <v>0</v>
      </c>
      <c r="AC642" s="24">
        <f t="shared" si="203"/>
        <v>0</v>
      </c>
      <c r="AD642" s="53" t="str">
        <f t="shared" si="204"/>
        <v/>
      </c>
      <c r="AE642" s="10"/>
    </row>
    <row r="643" spans="1:31" x14ac:dyDescent="0.25">
      <c r="A643" s="14" t="s">
        <v>109</v>
      </c>
      <c r="C643" s="61" t="str">
        <f t="shared" si="202"/>
        <v>C100046</v>
      </c>
      <c r="F643" s="8" t="str">
        <f>"E100001"</f>
        <v>E100001</v>
      </c>
      <c r="G643" s="9" t="str">
        <f>"Sport Bag"</f>
        <v>Sport Bag</v>
      </c>
      <c r="H643" s="47"/>
      <c r="I643" s="47"/>
      <c r="J643" s="23">
        <v>505.64</v>
      </c>
      <c r="K643" s="25">
        <v>288</v>
      </c>
      <c r="L643" s="24">
        <v>250.56</v>
      </c>
      <c r="M643" s="24">
        <f>J643-L643</f>
        <v>255.07999999999998</v>
      </c>
      <c r="N643" s="53">
        <f>IF(J643&lt;&gt;0,M643/J643,"")</f>
        <v>0.50446958310260259</v>
      </c>
      <c r="O643" s="23">
        <v>255.43</v>
      </c>
      <c r="P643" s="25">
        <v>144</v>
      </c>
      <c r="Q643" s="24">
        <v>125.28</v>
      </c>
      <c r="R643" s="24">
        <f>O643-Q643</f>
        <v>130.15</v>
      </c>
      <c r="S643" s="53">
        <f>IF(O643&lt;&gt;0,R643/O643,"")</f>
        <v>0.50953294444661945</v>
      </c>
      <c r="T643" s="10"/>
      <c r="U643" s="23">
        <v>505.64</v>
      </c>
      <c r="V643" s="25">
        <v>288</v>
      </c>
      <c r="W643" s="24">
        <v>250.56</v>
      </c>
      <c r="X643" s="24">
        <f>U643-W643</f>
        <v>255.07999999999998</v>
      </c>
      <c r="Y643" s="53">
        <f>IF(U643&lt;&gt;0,X643/U643,"")</f>
        <v>0.50446958310260259</v>
      </c>
      <c r="Z643" s="23">
        <v>0</v>
      </c>
      <c r="AA643" s="25">
        <v>0</v>
      </c>
      <c r="AB643" s="24">
        <v>0</v>
      </c>
      <c r="AC643" s="24">
        <f t="shared" si="203"/>
        <v>0</v>
      </c>
      <c r="AD643" s="53" t="str">
        <f t="shared" si="204"/>
        <v/>
      </c>
      <c r="AE643" s="10"/>
    </row>
    <row r="644" spans="1:31" x14ac:dyDescent="0.25">
      <c r="A644" s="14" t="s">
        <v>109</v>
      </c>
      <c r="C644" s="61" t="str">
        <f t="shared" si="202"/>
        <v>C100046</v>
      </c>
      <c r="F644" s="8" t="str">
        <f>"E100002"</f>
        <v>E100002</v>
      </c>
      <c r="G644" s="9" t="str">
        <f>"Cotton Classic Tote"</f>
        <v>Cotton Classic Tote</v>
      </c>
      <c r="H644" s="47"/>
      <c r="I644" s="47"/>
      <c r="J644" s="23">
        <v>0</v>
      </c>
      <c r="K644" s="25">
        <v>0</v>
      </c>
      <c r="L644" s="24">
        <v>0</v>
      </c>
      <c r="M644" s="24">
        <f>J644-L644</f>
        <v>0</v>
      </c>
      <c r="N644" s="53" t="str">
        <f>IF(J644&lt;&gt;0,M644/J644,"")</f>
        <v/>
      </c>
      <c r="O644" s="23">
        <v>176.4</v>
      </c>
      <c r="P644" s="25">
        <v>144</v>
      </c>
      <c r="Q644" s="24">
        <v>92.17</v>
      </c>
      <c r="R644" s="24">
        <f>O644-Q644</f>
        <v>84.23</v>
      </c>
      <c r="S644" s="53">
        <f>IF(O644&lt;&gt;0,R644/O644,"")</f>
        <v>0.47749433106575967</v>
      </c>
      <c r="T644" s="10"/>
      <c r="U644" s="23">
        <v>0</v>
      </c>
      <c r="V644" s="25">
        <v>0</v>
      </c>
      <c r="W644" s="24">
        <v>0</v>
      </c>
      <c r="X644" s="24">
        <f>U644-W644</f>
        <v>0</v>
      </c>
      <c r="Y644" s="53" t="str">
        <f>IF(U644&lt;&gt;0,X644/U644,"")</f>
        <v/>
      </c>
      <c r="Z644" s="23">
        <v>0</v>
      </c>
      <c r="AA644" s="25">
        <v>0</v>
      </c>
      <c r="AB644" s="24">
        <v>0</v>
      </c>
      <c r="AC644" s="24">
        <f t="shared" si="203"/>
        <v>0</v>
      </c>
      <c r="AD644" s="53" t="str">
        <f t="shared" si="204"/>
        <v/>
      </c>
      <c r="AE644" s="10"/>
    </row>
    <row r="645" spans="1:31" x14ac:dyDescent="0.25">
      <c r="A645" s="14" t="s">
        <v>109</v>
      </c>
      <c r="C645" s="61" t="str">
        <f t="shared" si="202"/>
        <v>C100046</v>
      </c>
      <c r="F645" s="8" t="str">
        <f>"E100004"</f>
        <v>E100004</v>
      </c>
      <c r="G645" s="9" t="str">
        <f>"Laminated Tote"</f>
        <v>Laminated Tote</v>
      </c>
      <c r="H645" s="47"/>
      <c r="I645" s="47"/>
      <c r="J645" s="23">
        <v>259.89</v>
      </c>
      <c r="K645" s="25">
        <v>144</v>
      </c>
      <c r="L645" s="24">
        <v>172.8</v>
      </c>
      <c r="M645" s="24">
        <f>J645-L645</f>
        <v>87.089999999999975</v>
      </c>
      <c r="N645" s="53">
        <f>IF(J645&lt;&gt;0,M645/J645,"")</f>
        <v>0.33510331294008994</v>
      </c>
      <c r="O645" s="23">
        <v>11.05</v>
      </c>
      <c r="P645" s="25">
        <v>6</v>
      </c>
      <c r="Q645" s="24">
        <v>7.2</v>
      </c>
      <c r="R645" s="24">
        <f>O645-Q645</f>
        <v>3.8500000000000005</v>
      </c>
      <c r="S645" s="53">
        <f>IF(O645&lt;&gt;0,R645/O645,"")</f>
        <v>0.34841628959276022</v>
      </c>
      <c r="T645" s="10"/>
      <c r="U645" s="23">
        <v>0</v>
      </c>
      <c r="V645" s="25">
        <v>0</v>
      </c>
      <c r="W645" s="24">
        <v>0</v>
      </c>
      <c r="X645" s="24">
        <f>U645-W645</f>
        <v>0</v>
      </c>
      <c r="Y645" s="53" t="str">
        <f>IF(U645&lt;&gt;0,X645/U645,"")</f>
        <v/>
      </c>
      <c r="Z645" s="23">
        <v>0</v>
      </c>
      <c r="AA645" s="25">
        <v>0</v>
      </c>
      <c r="AB645" s="24">
        <v>0</v>
      </c>
      <c r="AC645" s="24">
        <f t="shared" si="203"/>
        <v>0</v>
      </c>
      <c r="AD645" s="53" t="str">
        <f t="shared" si="204"/>
        <v/>
      </c>
      <c r="AE645" s="10"/>
    </row>
    <row r="646" spans="1:31" x14ac:dyDescent="0.25">
      <c r="A646" s="14" t="s">
        <v>109</v>
      </c>
      <c r="C646" s="61" t="str">
        <f t="shared" si="202"/>
        <v>C100046</v>
      </c>
      <c r="F646" s="8" t="str">
        <f>"E100005"</f>
        <v>E100005</v>
      </c>
      <c r="G646" s="9" t="str">
        <f>"All Purpose Tote"</f>
        <v>All Purpose Tote</v>
      </c>
      <c r="H646" s="47"/>
      <c r="I646" s="47"/>
      <c r="J646" s="23">
        <v>364.09</v>
      </c>
      <c r="K646" s="25">
        <v>144</v>
      </c>
      <c r="L646" s="24">
        <v>178.56</v>
      </c>
      <c r="M646" s="24">
        <f>J646-L646</f>
        <v>185.52999999999997</v>
      </c>
      <c r="N646" s="53">
        <f>IF(J646&lt;&gt;0,M646/J646,"")</f>
        <v>0.50957180916806277</v>
      </c>
      <c r="O646" s="23">
        <v>728.18</v>
      </c>
      <c r="P646" s="25">
        <v>288</v>
      </c>
      <c r="Q646" s="24">
        <v>357.12</v>
      </c>
      <c r="R646" s="24">
        <f>O646-Q646</f>
        <v>371.05999999999995</v>
      </c>
      <c r="S646" s="53">
        <f>IF(O646&lt;&gt;0,R646/O646,"")</f>
        <v>0.50957180916806277</v>
      </c>
      <c r="T646" s="10"/>
      <c r="U646" s="23">
        <v>0</v>
      </c>
      <c r="V646" s="25">
        <v>0</v>
      </c>
      <c r="W646" s="24">
        <v>0</v>
      </c>
      <c r="X646" s="24">
        <f>U646-W646</f>
        <v>0</v>
      </c>
      <c r="Y646" s="53" t="str">
        <f>IF(U646&lt;&gt;0,X646/U646,"")</f>
        <v/>
      </c>
      <c r="Z646" s="23">
        <v>0</v>
      </c>
      <c r="AA646" s="25">
        <v>0</v>
      </c>
      <c r="AB646" s="24">
        <v>0</v>
      </c>
      <c r="AC646" s="24">
        <f t="shared" si="203"/>
        <v>0</v>
      </c>
      <c r="AD646" s="53" t="str">
        <f t="shared" si="204"/>
        <v/>
      </c>
      <c r="AE646" s="10"/>
    </row>
    <row r="647" spans="1:31" x14ac:dyDescent="0.25">
      <c r="A647" s="14" t="s">
        <v>109</v>
      </c>
      <c r="C647" s="61" t="str">
        <f t="shared" si="202"/>
        <v>C100046</v>
      </c>
      <c r="F647" s="8" t="str">
        <f>"E100006"</f>
        <v>E100006</v>
      </c>
      <c r="G647" s="9" t="str">
        <f>"Budget Tote Bag"</f>
        <v>Budget Tote Bag</v>
      </c>
      <c r="H647" s="47"/>
      <c r="I647" s="47"/>
      <c r="J647" s="23">
        <v>0</v>
      </c>
      <c r="K647" s="25">
        <v>0</v>
      </c>
      <c r="L647" s="24">
        <v>0</v>
      </c>
      <c r="M647" s="24">
        <f>J647-L647</f>
        <v>0</v>
      </c>
      <c r="N647" s="53" t="str">
        <f>IF(J647&lt;&gt;0,M647/J647,"")</f>
        <v/>
      </c>
      <c r="O647" s="23">
        <v>0.27</v>
      </c>
      <c r="P647" s="25">
        <v>3</v>
      </c>
      <c r="Q647" s="24">
        <v>0.12</v>
      </c>
      <c r="R647" s="24">
        <f>O647-Q647</f>
        <v>0.15000000000000002</v>
      </c>
      <c r="S647" s="53">
        <f>IF(O647&lt;&gt;0,R647/O647,"")</f>
        <v>0.55555555555555558</v>
      </c>
      <c r="T647" s="10"/>
      <c r="U647" s="23">
        <v>0</v>
      </c>
      <c r="V647" s="25">
        <v>0</v>
      </c>
      <c r="W647" s="24">
        <v>0</v>
      </c>
      <c r="X647" s="24">
        <f>U647-W647</f>
        <v>0</v>
      </c>
      <c r="Y647" s="53" t="str">
        <f>IF(U647&lt;&gt;0,X647/U647,"")</f>
        <v/>
      </c>
      <c r="Z647" s="23">
        <v>0</v>
      </c>
      <c r="AA647" s="25">
        <v>0</v>
      </c>
      <c r="AB647" s="24">
        <v>0</v>
      </c>
      <c r="AC647" s="24">
        <f t="shared" si="203"/>
        <v>0</v>
      </c>
      <c r="AD647" s="53" t="str">
        <f t="shared" si="204"/>
        <v/>
      </c>
      <c r="AE647" s="10"/>
    </row>
    <row r="648" spans="1:31" x14ac:dyDescent="0.25">
      <c r="A648" s="14" t="s">
        <v>109</v>
      </c>
      <c r="C648" s="61" t="str">
        <f t="shared" si="202"/>
        <v>C100046</v>
      </c>
      <c r="F648" s="8" t="str">
        <f>"E100007"</f>
        <v>E100007</v>
      </c>
      <c r="G648" s="9" t="str">
        <f>"Plastic Handle Bag"</f>
        <v>Plastic Handle Bag</v>
      </c>
      <c r="H648" s="47"/>
      <c r="I648" s="47"/>
      <c r="J648" s="23">
        <v>0.32</v>
      </c>
      <c r="K648" s="25">
        <v>1</v>
      </c>
      <c r="L648" s="24">
        <v>0.18</v>
      </c>
      <c r="M648" s="24">
        <f>J648-L648</f>
        <v>0.14000000000000001</v>
      </c>
      <c r="N648" s="53">
        <f>IF(J648&lt;&gt;0,M648/J648,"")</f>
        <v>0.43750000000000006</v>
      </c>
      <c r="O648" s="23">
        <v>46.57</v>
      </c>
      <c r="P648" s="25">
        <v>144</v>
      </c>
      <c r="Q648" s="24">
        <v>25.92</v>
      </c>
      <c r="R648" s="24">
        <f>O648-Q648</f>
        <v>20.65</v>
      </c>
      <c r="S648" s="53">
        <f>IF(O648&lt;&gt;0,R648/O648,"")</f>
        <v>0.44341850977023833</v>
      </c>
      <c r="T648" s="10"/>
      <c r="U648" s="23">
        <v>0</v>
      </c>
      <c r="V648" s="25">
        <v>0</v>
      </c>
      <c r="W648" s="24">
        <v>0</v>
      </c>
      <c r="X648" s="24">
        <f>U648-W648</f>
        <v>0</v>
      </c>
      <c r="Y648" s="53" t="str">
        <f>IF(U648&lt;&gt;0,X648/U648,"")</f>
        <v/>
      </c>
      <c r="Z648" s="23">
        <v>0</v>
      </c>
      <c r="AA648" s="25">
        <v>0</v>
      </c>
      <c r="AB648" s="24">
        <v>0</v>
      </c>
      <c r="AC648" s="24">
        <f t="shared" si="203"/>
        <v>0</v>
      </c>
      <c r="AD648" s="53" t="str">
        <f t="shared" si="204"/>
        <v/>
      </c>
      <c r="AE648" s="10"/>
    </row>
    <row r="649" spans="1:31" x14ac:dyDescent="0.25">
      <c r="A649" s="14" t="s">
        <v>109</v>
      </c>
      <c r="C649" s="61" t="str">
        <f t="shared" si="202"/>
        <v>C100046</v>
      </c>
      <c r="F649" s="8" t="str">
        <f>"E100009"</f>
        <v>E100009</v>
      </c>
      <c r="G649" s="9" t="str">
        <f>"Die-Cut Tote"</f>
        <v>Die-Cut Tote</v>
      </c>
      <c r="H649" s="47"/>
      <c r="I649" s="47"/>
      <c r="J649" s="23">
        <v>0.22</v>
      </c>
      <c r="K649" s="25">
        <v>1</v>
      </c>
      <c r="L649" s="24">
        <v>0.11</v>
      </c>
      <c r="M649" s="24">
        <f>J649-L649</f>
        <v>0.11</v>
      </c>
      <c r="N649" s="53">
        <f>IF(J649&lt;&gt;0,M649/J649,"")</f>
        <v>0.5</v>
      </c>
      <c r="O649" s="23">
        <v>0</v>
      </c>
      <c r="P649" s="25">
        <v>0</v>
      </c>
      <c r="Q649" s="24">
        <v>0</v>
      </c>
      <c r="R649" s="24">
        <f>O649-Q649</f>
        <v>0</v>
      </c>
      <c r="S649" s="53" t="str">
        <f>IF(O649&lt;&gt;0,R649/O649,"")</f>
        <v/>
      </c>
      <c r="T649" s="10"/>
      <c r="U649" s="23">
        <v>0</v>
      </c>
      <c r="V649" s="25">
        <v>0</v>
      </c>
      <c r="W649" s="24">
        <v>0</v>
      </c>
      <c r="X649" s="24">
        <f>U649-W649</f>
        <v>0</v>
      </c>
      <c r="Y649" s="53" t="str">
        <f>IF(U649&lt;&gt;0,X649/U649,"")</f>
        <v/>
      </c>
      <c r="Z649" s="23">
        <v>0</v>
      </c>
      <c r="AA649" s="25">
        <v>0</v>
      </c>
      <c r="AB649" s="24">
        <v>0</v>
      </c>
      <c r="AC649" s="24">
        <f t="shared" si="203"/>
        <v>0</v>
      </c>
      <c r="AD649" s="53" t="str">
        <f t="shared" si="204"/>
        <v/>
      </c>
      <c r="AE649" s="10"/>
    </row>
    <row r="650" spans="1:31" x14ac:dyDescent="0.25">
      <c r="A650" s="14" t="s">
        <v>109</v>
      </c>
      <c r="C650" s="61" t="str">
        <f t="shared" si="202"/>
        <v>C100046</v>
      </c>
      <c r="F650" s="8" t="str">
        <f>"E100010"</f>
        <v>E100010</v>
      </c>
      <c r="G650" s="9" t="str">
        <f>"Vinyl Tote"</f>
        <v>Vinyl Tote</v>
      </c>
      <c r="H650" s="47"/>
      <c r="I650" s="47"/>
      <c r="J650" s="23">
        <v>0.3</v>
      </c>
      <c r="K650" s="25">
        <v>1</v>
      </c>
      <c r="L650" s="24">
        <v>0.18</v>
      </c>
      <c r="M650" s="24">
        <f>J650-L650</f>
        <v>0.12</v>
      </c>
      <c r="N650" s="53">
        <f>IF(J650&lt;&gt;0,M650/J650,"")</f>
        <v>0.4</v>
      </c>
      <c r="O650" s="23">
        <v>45.57</v>
      </c>
      <c r="P650" s="25">
        <v>150</v>
      </c>
      <c r="Q650" s="24">
        <v>27</v>
      </c>
      <c r="R650" s="24">
        <f>O650-Q650</f>
        <v>18.57</v>
      </c>
      <c r="S650" s="53">
        <f>IF(O650&lt;&gt;0,R650/O650,"")</f>
        <v>0.40750493745885452</v>
      </c>
      <c r="T650" s="10"/>
      <c r="U650" s="23">
        <v>0</v>
      </c>
      <c r="V650" s="25">
        <v>0</v>
      </c>
      <c r="W650" s="24">
        <v>0</v>
      </c>
      <c r="X650" s="24">
        <f>U650-W650</f>
        <v>0</v>
      </c>
      <c r="Y650" s="53" t="str">
        <f>IF(U650&lt;&gt;0,X650/U650,"")</f>
        <v/>
      </c>
      <c r="Z650" s="23">
        <v>0</v>
      </c>
      <c r="AA650" s="25">
        <v>0</v>
      </c>
      <c r="AB650" s="24">
        <v>0</v>
      </c>
      <c r="AC650" s="24">
        <f t="shared" si="203"/>
        <v>0</v>
      </c>
      <c r="AD650" s="53" t="str">
        <f t="shared" si="204"/>
        <v/>
      </c>
      <c r="AE650" s="10"/>
    </row>
    <row r="651" spans="1:31" x14ac:dyDescent="0.25">
      <c r="A651" s="14" t="s">
        <v>109</v>
      </c>
      <c r="C651" s="61" t="str">
        <f t="shared" si="202"/>
        <v>C100046</v>
      </c>
      <c r="F651" s="8" t="str">
        <f>"E100011"</f>
        <v>E100011</v>
      </c>
      <c r="G651" s="9" t="str">
        <f>"Plastic Sun Visor"</f>
        <v>Plastic Sun Visor</v>
      </c>
      <c r="H651" s="47"/>
      <c r="I651" s="47"/>
      <c r="J651" s="23">
        <v>115.10000000000001</v>
      </c>
      <c r="K651" s="25">
        <v>145</v>
      </c>
      <c r="L651" s="24">
        <v>60.89</v>
      </c>
      <c r="M651" s="24">
        <f>J651-L651</f>
        <v>54.210000000000008</v>
      </c>
      <c r="N651" s="53">
        <f>IF(J651&lt;&gt;0,M651/J651,"")</f>
        <v>0.47098175499565598</v>
      </c>
      <c r="O651" s="23">
        <v>0</v>
      </c>
      <c r="P651" s="25">
        <v>0</v>
      </c>
      <c r="Q651" s="24">
        <v>0</v>
      </c>
      <c r="R651" s="24">
        <f>O651-Q651</f>
        <v>0</v>
      </c>
      <c r="S651" s="53" t="str">
        <f>IF(O651&lt;&gt;0,R651/O651,"")</f>
        <v/>
      </c>
      <c r="T651" s="10"/>
      <c r="U651" s="23">
        <v>0</v>
      </c>
      <c r="V651" s="25">
        <v>0</v>
      </c>
      <c r="W651" s="24">
        <v>0</v>
      </c>
      <c r="X651" s="24">
        <f>U651-W651</f>
        <v>0</v>
      </c>
      <c r="Y651" s="53" t="str">
        <f>IF(U651&lt;&gt;0,X651/U651,"")</f>
        <v/>
      </c>
      <c r="Z651" s="23">
        <v>0</v>
      </c>
      <c r="AA651" s="25">
        <v>0</v>
      </c>
      <c r="AB651" s="24">
        <v>0</v>
      </c>
      <c r="AC651" s="24">
        <f t="shared" si="203"/>
        <v>0</v>
      </c>
      <c r="AD651" s="53" t="str">
        <f t="shared" si="204"/>
        <v/>
      </c>
      <c r="AE651" s="10"/>
    </row>
    <row r="652" spans="1:31" x14ac:dyDescent="0.25">
      <c r="A652" s="14" t="s">
        <v>109</v>
      </c>
      <c r="C652" s="61" t="str">
        <f t="shared" si="202"/>
        <v>C100046</v>
      </c>
      <c r="F652" s="8" t="str">
        <f>"E100012"</f>
        <v>E100012</v>
      </c>
      <c r="G652" s="9" t="str">
        <f>"Canvas Stopwatch"</f>
        <v>Canvas Stopwatch</v>
      </c>
      <c r="H652" s="47"/>
      <c r="I652" s="47"/>
      <c r="J652" s="23">
        <v>1044.29</v>
      </c>
      <c r="K652" s="25">
        <v>288</v>
      </c>
      <c r="L652" s="24">
        <v>564.45999999999992</v>
      </c>
      <c r="M652" s="24">
        <f>J652-L652</f>
        <v>479.83000000000004</v>
      </c>
      <c r="N652" s="53">
        <f>IF(J652&lt;&gt;0,M652/J652,"")</f>
        <v>0.45947964645835931</v>
      </c>
      <c r="O652" s="23">
        <v>522.14</v>
      </c>
      <c r="P652" s="25">
        <v>144</v>
      </c>
      <c r="Q652" s="24">
        <v>282.22999999999996</v>
      </c>
      <c r="R652" s="24">
        <f>O652-Q652</f>
        <v>239.91000000000003</v>
      </c>
      <c r="S652" s="53">
        <f>IF(O652&lt;&gt;0,R652/O652,"")</f>
        <v>0.45947447044853879</v>
      </c>
      <c r="T652" s="10"/>
      <c r="U652" s="23">
        <v>21.53</v>
      </c>
      <c r="V652" s="25">
        <v>6</v>
      </c>
      <c r="W652" s="24">
        <v>11.76</v>
      </c>
      <c r="X652" s="24">
        <f>U652-W652</f>
        <v>9.7700000000000014</v>
      </c>
      <c r="Y652" s="53">
        <f>IF(U652&lt;&gt;0,X652/U652,"")</f>
        <v>0.45378541569902464</v>
      </c>
      <c r="Z652" s="23">
        <v>0</v>
      </c>
      <c r="AA652" s="25">
        <v>0</v>
      </c>
      <c r="AB652" s="24">
        <v>0</v>
      </c>
      <c r="AC652" s="24">
        <f t="shared" si="203"/>
        <v>0</v>
      </c>
      <c r="AD652" s="53" t="str">
        <f t="shared" si="204"/>
        <v/>
      </c>
      <c r="AE652" s="10"/>
    </row>
    <row r="653" spans="1:31" x14ac:dyDescent="0.25">
      <c r="A653" s="14" t="s">
        <v>109</v>
      </c>
      <c r="C653" s="61" t="str">
        <f t="shared" si="202"/>
        <v>C100046</v>
      </c>
      <c r="F653" s="8" t="str">
        <f>"E100013"</f>
        <v>E100013</v>
      </c>
      <c r="G653" s="9" t="str">
        <f>"Clip-on Stopwatch"</f>
        <v>Clip-on Stopwatch</v>
      </c>
      <c r="H653" s="47"/>
      <c r="I653" s="47"/>
      <c r="J653" s="23">
        <v>389.49</v>
      </c>
      <c r="K653" s="25">
        <v>144</v>
      </c>
      <c r="L653" s="24">
        <v>207.35</v>
      </c>
      <c r="M653" s="24">
        <f>J653-L653</f>
        <v>182.14000000000001</v>
      </c>
      <c r="N653" s="53">
        <f>IF(J653&lt;&gt;0,M653/J653,"")</f>
        <v>0.46763716655113097</v>
      </c>
      <c r="O653" s="23">
        <v>0</v>
      </c>
      <c r="P653" s="25">
        <v>0</v>
      </c>
      <c r="Q653" s="24">
        <v>0</v>
      </c>
      <c r="R653" s="24">
        <f>O653-Q653</f>
        <v>0</v>
      </c>
      <c r="S653" s="53" t="str">
        <f>IF(O653&lt;&gt;0,R653/O653,"")</f>
        <v/>
      </c>
      <c r="T653" s="10"/>
      <c r="U653" s="23">
        <v>0</v>
      </c>
      <c r="V653" s="25">
        <v>0</v>
      </c>
      <c r="W653" s="24">
        <v>0</v>
      </c>
      <c r="X653" s="24">
        <f>U653-W653</f>
        <v>0</v>
      </c>
      <c r="Y653" s="53" t="str">
        <f>IF(U653&lt;&gt;0,X653/U653,"")</f>
        <v/>
      </c>
      <c r="Z653" s="23">
        <v>0</v>
      </c>
      <c r="AA653" s="25">
        <v>0</v>
      </c>
      <c r="AB653" s="24">
        <v>0</v>
      </c>
      <c r="AC653" s="24">
        <f t="shared" si="203"/>
        <v>0</v>
      </c>
      <c r="AD653" s="53" t="str">
        <f t="shared" si="204"/>
        <v/>
      </c>
      <c r="AE653" s="10"/>
    </row>
    <row r="654" spans="1:31" x14ac:dyDescent="0.25">
      <c r="A654" s="14" t="s">
        <v>109</v>
      </c>
      <c r="C654" s="61" t="str">
        <f t="shared" si="202"/>
        <v>C100046</v>
      </c>
      <c r="F654" s="8" t="str">
        <f>"E100015"</f>
        <v>E100015</v>
      </c>
      <c r="G654" s="9" t="str">
        <f>"360 Clip Watch"</f>
        <v>360 Clip Watch</v>
      </c>
      <c r="H654" s="47"/>
      <c r="I654" s="47"/>
      <c r="J654" s="23">
        <v>1201.25</v>
      </c>
      <c r="K654" s="25">
        <v>576</v>
      </c>
      <c r="L654" s="24">
        <v>587.54000000000008</v>
      </c>
      <c r="M654" s="24">
        <f>J654-L654</f>
        <v>613.70999999999992</v>
      </c>
      <c r="N654" s="53">
        <f>IF(J654&lt;&gt;0,M654/J654,"")</f>
        <v>0.51089281997918823</v>
      </c>
      <c r="O654" s="23">
        <v>0</v>
      </c>
      <c r="P654" s="25">
        <v>0</v>
      </c>
      <c r="Q654" s="24">
        <v>0</v>
      </c>
      <c r="R654" s="24">
        <f>O654-Q654</f>
        <v>0</v>
      </c>
      <c r="S654" s="53" t="str">
        <f>IF(O654&lt;&gt;0,R654/O654,"")</f>
        <v/>
      </c>
      <c r="T654" s="10"/>
      <c r="U654" s="23">
        <v>0</v>
      </c>
      <c r="V654" s="25">
        <v>0</v>
      </c>
      <c r="W654" s="24">
        <v>0</v>
      </c>
      <c r="X654" s="24">
        <f>U654-W654</f>
        <v>0</v>
      </c>
      <c r="Y654" s="53" t="str">
        <f>IF(U654&lt;&gt;0,X654/U654,"")</f>
        <v/>
      </c>
      <c r="Z654" s="23">
        <v>0</v>
      </c>
      <c r="AA654" s="25">
        <v>0</v>
      </c>
      <c r="AB654" s="24">
        <v>0</v>
      </c>
      <c r="AC654" s="24">
        <f t="shared" si="203"/>
        <v>0</v>
      </c>
      <c r="AD654" s="53" t="str">
        <f t="shared" si="204"/>
        <v/>
      </c>
      <c r="AE654" s="10"/>
    </row>
    <row r="655" spans="1:31" x14ac:dyDescent="0.25">
      <c r="A655" s="14" t="s">
        <v>109</v>
      </c>
      <c r="C655" s="61" t="str">
        <f t="shared" si="202"/>
        <v>C100046</v>
      </c>
      <c r="F655" s="8" t="str">
        <f>"E100017"</f>
        <v>E100017</v>
      </c>
      <c r="G655" s="9" t="str">
        <f>"Clip-on Clock with Compass"</f>
        <v>Clip-on Clock with Compass</v>
      </c>
      <c r="H655" s="47"/>
      <c r="I655" s="47"/>
      <c r="J655" s="23">
        <v>256.83999999999997</v>
      </c>
      <c r="K655" s="25">
        <v>168</v>
      </c>
      <c r="L655" s="24">
        <v>147.83000000000001</v>
      </c>
      <c r="M655" s="24">
        <f>J655-L655</f>
        <v>109.00999999999996</v>
      </c>
      <c r="N655" s="53">
        <f>IF(J655&lt;&gt;0,M655/J655,"")</f>
        <v>0.42442765924310843</v>
      </c>
      <c r="O655" s="23">
        <v>0</v>
      </c>
      <c r="P655" s="25">
        <v>0</v>
      </c>
      <c r="Q655" s="24">
        <v>0</v>
      </c>
      <c r="R655" s="24">
        <f>O655-Q655</f>
        <v>0</v>
      </c>
      <c r="S655" s="53" t="str">
        <f>IF(O655&lt;&gt;0,R655/O655,"")</f>
        <v/>
      </c>
      <c r="T655" s="10"/>
      <c r="U655" s="23">
        <v>217.9</v>
      </c>
      <c r="V655" s="25">
        <v>144</v>
      </c>
      <c r="W655" s="24">
        <v>126.72</v>
      </c>
      <c r="X655" s="24">
        <f>U655-W655</f>
        <v>91.18</v>
      </c>
      <c r="Y655" s="53">
        <f>IF(U655&lt;&gt;0,X655/U655,"")</f>
        <v>0.41844882973841213</v>
      </c>
      <c r="Z655" s="23">
        <v>0</v>
      </c>
      <c r="AA655" s="25">
        <v>0</v>
      </c>
      <c r="AB655" s="24">
        <v>0</v>
      </c>
      <c r="AC655" s="24">
        <f t="shared" si="203"/>
        <v>0</v>
      </c>
      <c r="AD655" s="53" t="str">
        <f t="shared" si="204"/>
        <v/>
      </c>
      <c r="AE655" s="10"/>
    </row>
    <row r="656" spans="1:31" x14ac:dyDescent="0.25">
      <c r="A656" s="14" t="s">
        <v>109</v>
      </c>
      <c r="C656" s="61" t="str">
        <f t="shared" si="202"/>
        <v>C100046</v>
      </c>
      <c r="F656" s="8" t="str">
        <f>"E100021"</f>
        <v>E100021</v>
      </c>
      <c r="G656" s="9" t="str">
        <f>"Slim Travel Alarm"</f>
        <v>Slim Travel Alarm</v>
      </c>
      <c r="H656" s="47"/>
      <c r="I656" s="47"/>
      <c r="J656" s="23">
        <v>398.13</v>
      </c>
      <c r="K656" s="25">
        <v>144</v>
      </c>
      <c r="L656" s="24">
        <v>207.35</v>
      </c>
      <c r="M656" s="24">
        <f>J656-L656</f>
        <v>190.78</v>
      </c>
      <c r="N656" s="53">
        <f>IF(J656&lt;&gt;0,M656/J656,"")</f>
        <v>0.47919021425162633</v>
      </c>
      <c r="O656" s="23">
        <v>406.42999999999995</v>
      </c>
      <c r="P656" s="25">
        <v>144</v>
      </c>
      <c r="Q656" s="24">
        <v>207.35</v>
      </c>
      <c r="R656" s="24">
        <f>O656-Q656</f>
        <v>199.07999999999996</v>
      </c>
      <c r="S656" s="53">
        <f>IF(O656&lt;&gt;0,R656/O656,"")</f>
        <v>0.48982604630563686</v>
      </c>
      <c r="T656" s="10"/>
      <c r="U656" s="23">
        <v>0</v>
      </c>
      <c r="V656" s="25">
        <v>0</v>
      </c>
      <c r="W656" s="24">
        <v>0</v>
      </c>
      <c r="X656" s="24">
        <f>U656-W656</f>
        <v>0</v>
      </c>
      <c r="Y656" s="53" t="str">
        <f>IF(U656&lt;&gt;0,X656/U656,"")</f>
        <v/>
      </c>
      <c r="Z656" s="23">
        <v>0</v>
      </c>
      <c r="AA656" s="25">
        <v>0</v>
      </c>
      <c r="AB656" s="24">
        <v>0</v>
      </c>
      <c r="AC656" s="24">
        <f t="shared" si="203"/>
        <v>0</v>
      </c>
      <c r="AD656" s="53" t="str">
        <f t="shared" si="204"/>
        <v/>
      </c>
      <c r="AE656" s="10"/>
    </row>
    <row r="657" spans="1:31" x14ac:dyDescent="0.25">
      <c r="A657" s="14" t="s">
        <v>109</v>
      </c>
      <c r="C657" s="61" t="str">
        <f t="shared" si="202"/>
        <v>C100046</v>
      </c>
      <c r="F657" s="8" t="str">
        <f>"E100022"</f>
        <v>E100022</v>
      </c>
      <c r="G657" s="9" t="str">
        <f>"Wide Screen Alarm Clock"</f>
        <v>Wide Screen Alarm Clock</v>
      </c>
      <c r="H657" s="47"/>
      <c r="I657" s="47"/>
      <c r="J657" s="23">
        <v>0</v>
      </c>
      <c r="K657" s="25">
        <v>0</v>
      </c>
      <c r="L657" s="24">
        <v>0</v>
      </c>
      <c r="M657" s="24">
        <f>J657-L657</f>
        <v>0</v>
      </c>
      <c r="N657" s="53" t="str">
        <f>IF(J657&lt;&gt;0,M657/J657,"")</f>
        <v/>
      </c>
      <c r="O657" s="23">
        <v>272.36</v>
      </c>
      <c r="P657" s="25">
        <v>144</v>
      </c>
      <c r="Q657" s="24">
        <v>184.31</v>
      </c>
      <c r="R657" s="24">
        <f>O657-Q657</f>
        <v>88.050000000000011</v>
      </c>
      <c r="S657" s="53">
        <f>IF(O657&lt;&gt;0,R657/O657,"")</f>
        <v>0.32328535761492144</v>
      </c>
      <c r="T657" s="10"/>
      <c r="U657" s="23">
        <v>0</v>
      </c>
      <c r="V657" s="25">
        <v>0</v>
      </c>
      <c r="W657" s="24">
        <v>0</v>
      </c>
      <c r="X657" s="24">
        <f>U657-W657</f>
        <v>0</v>
      </c>
      <c r="Y657" s="53" t="str">
        <f>IF(U657&lt;&gt;0,X657/U657,"")</f>
        <v/>
      </c>
      <c r="Z657" s="23">
        <v>0</v>
      </c>
      <c r="AA657" s="25">
        <v>0</v>
      </c>
      <c r="AB657" s="24">
        <v>0</v>
      </c>
      <c r="AC657" s="24">
        <f t="shared" si="203"/>
        <v>0</v>
      </c>
      <c r="AD657" s="53" t="str">
        <f t="shared" si="204"/>
        <v/>
      </c>
      <c r="AE657" s="10"/>
    </row>
    <row r="658" spans="1:31" x14ac:dyDescent="0.25">
      <c r="A658" s="14" t="s">
        <v>109</v>
      </c>
      <c r="C658" s="61" t="str">
        <f t="shared" si="202"/>
        <v>C100046</v>
      </c>
      <c r="F658" s="8" t="str">
        <f>"E100024"</f>
        <v>E100024</v>
      </c>
      <c r="G658" s="9" t="str">
        <f>"Arch Calculator"</f>
        <v>Arch Calculator</v>
      </c>
      <c r="H658" s="47"/>
      <c r="I658" s="47"/>
      <c r="J658" s="23">
        <v>448.76</v>
      </c>
      <c r="K658" s="25">
        <v>144</v>
      </c>
      <c r="L658" s="24">
        <v>247.59</v>
      </c>
      <c r="M658" s="24">
        <f>J658-L658</f>
        <v>201.17</v>
      </c>
      <c r="N658" s="53">
        <f>IF(J658&lt;&gt;0,M658/J658,"")</f>
        <v>0.44827970407344681</v>
      </c>
      <c r="O658" s="23">
        <v>0</v>
      </c>
      <c r="P658" s="25">
        <v>0</v>
      </c>
      <c r="Q658" s="24">
        <v>0</v>
      </c>
      <c r="R658" s="24">
        <f>O658-Q658</f>
        <v>0</v>
      </c>
      <c r="S658" s="53" t="str">
        <f>IF(O658&lt;&gt;0,R658/O658,"")</f>
        <v/>
      </c>
      <c r="T658" s="10"/>
      <c r="U658" s="23">
        <v>0</v>
      </c>
      <c r="V658" s="25">
        <v>0</v>
      </c>
      <c r="W658" s="24">
        <v>0</v>
      </c>
      <c r="X658" s="24">
        <f>U658-W658</f>
        <v>0</v>
      </c>
      <c r="Y658" s="53" t="str">
        <f>IF(U658&lt;&gt;0,X658/U658,"")</f>
        <v/>
      </c>
      <c r="Z658" s="23">
        <v>0</v>
      </c>
      <c r="AA658" s="25">
        <v>0</v>
      </c>
      <c r="AB658" s="24">
        <v>0</v>
      </c>
      <c r="AC658" s="24">
        <f t="shared" si="203"/>
        <v>0</v>
      </c>
      <c r="AD658" s="53" t="str">
        <f t="shared" si="204"/>
        <v/>
      </c>
      <c r="AE658" s="10"/>
    </row>
    <row r="659" spans="1:31" x14ac:dyDescent="0.25">
      <c r="A659" s="14" t="s">
        <v>109</v>
      </c>
      <c r="C659" s="61" t="str">
        <f t="shared" si="202"/>
        <v>C100046</v>
      </c>
      <c r="F659" s="8" t="str">
        <f>"E100025"</f>
        <v>E100025</v>
      </c>
      <c r="G659" s="9" t="str">
        <f>"Calc-U-Note"</f>
        <v>Calc-U-Note</v>
      </c>
      <c r="H659" s="47"/>
      <c r="I659" s="47"/>
      <c r="J659" s="23">
        <v>0</v>
      </c>
      <c r="K659" s="25">
        <v>0</v>
      </c>
      <c r="L659" s="24">
        <v>0</v>
      </c>
      <c r="M659" s="24">
        <f>J659-L659</f>
        <v>0</v>
      </c>
      <c r="N659" s="53" t="str">
        <f>IF(J659&lt;&gt;0,M659/J659,"")</f>
        <v/>
      </c>
      <c r="O659" s="23">
        <v>462.87999999999994</v>
      </c>
      <c r="P659" s="25">
        <v>288</v>
      </c>
      <c r="Q659" s="24">
        <v>293.60000000000002</v>
      </c>
      <c r="R659" s="24">
        <f>O659-Q659</f>
        <v>169.27999999999992</v>
      </c>
      <c r="S659" s="53">
        <f>IF(O659&lt;&gt;0,R659/O659,"")</f>
        <v>0.36571033529208419</v>
      </c>
      <c r="T659" s="10"/>
      <c r="U659" s="23">
        <v>0</v>
      </c>
      <c r="V659" s="25">
        <v>0</v>
      </c>
      <c r="W659" s="24">
        <v>0</v>
      </c>
      <c r="X659" s="24">
        <f>U659-W659</f>
        <v>0</v>
      </c>
      <c r="Y659" s="53" t="str">
        <f>IF(U659&lt;&gt;0,X659/U659,"")</f>
        <v/>
      </c>
      <c r="Z659" s="23">
        <v>0</v>
      </c>
      <c r="AA659" s="25">
        <v>0</v>
      </c>
      <c r="AB659" s="24">
        <v>0</v>
      </c>
      <c r="AC659" s="24">
        <f t="shared" si="203"/>
        <v>0</v>
      </c>
      <c r="AD659" s="53" t="str">
        <f t="shared" si="204"/>
        <v/>
      </c>
      <c r="AE659" s="10"/>
    </row>
    <row r="660" spans="1:31" x14ac:dyDescent="0.25">
      <c r="A660" s="14" t="s">
        <v>109</v>
      </c>
      <c r="C660" s="61" t="str">
        <f t="shared" si="202"/>
        <v>C100046</v>
      </c>
      <c r="F660" s="8" t="str">
        <f>"E100026"</f>
        <v>E100026</v>
      </c>
      <c r="G660" s="9" t="str">
        <f>"Desk Calculator"</f>
        <v>Desk Calculator</v>
      </c>
      <c r="H660" s="47"/>
      <c r="I660" s="47"/>
      <c r="J660" s="23">
        <v>0</v>
      </c>
      <c r="K660" s="25">
        <v>0</v>
      </c>
      <c r="L660" s="24">
        <v>0</v>
      </c>
      <c r="M660" s="24">
        <f>J660-L660</f>
        <v>0</v>
      </c>
      <c r="N660" s="53" t="str">
        <f>IF(J660&lt;&gt;0,M660/J660,"")</f>
        <v/>
      </c>
      <c r="O660" s="23">
        <v>19.989999999999998</v>
      </c>
      <c r="P660" s="25">
        <v>24</v>
      </c>
      <c r="Q660" s="24">
        <v>11.53</v>
      </c>
      <c r="R660" s="24">
        <f>O660-Q660</f>
        <v>8.4599999999999991</v>
      </c>
      <c r="S660" s="53">
        <f>IF(O660&lt;&gt;0,R660/O660,"")</f>
        <v>0.42321160580290146</v>
      </c>
      <c r="T660" s="10"/>
      <c r="U660" s="23">
        <v>0.82</v>
      </c>
      <c r="V660" s="25">
        <v>1</v>
      </c>
      <c r="W660" s="24">
        <v>0.48</v>
      </c>
      <c r="X660" s="24">
        <f>U660-W660</f>
        <v>0.33999999999999997</v>
      </c>
      <c r="Y660" s="53">
        <f>IF(U660&lt;&gt;0,X660/U660,"")</f>
        <v>0.41463414634146339</v>
      </c>
      <c r="Z660" s="23">
        <v>0</v>
      </c>
      <c r="AA660" s="25">
        <v>0</v>
      </c>
      <c r="AB660" s="24">
        <v>0</v>
      </c>
      <c r="AC660" s="24">
        <f t="shared" si="203"/>
        <v>0</v>
      </c>
      <c r="AD660" s="53" t="str">
        <f t="shared" si="204"/>
        <v/>
      </c>
      <c r="AE660" s="10"/>
    </row>
    <row r="661" spans="1:31" x14ac:dyDescent="0.25">
      <c r="A661" s="14" t="s">
        <v>109</v>
      </c>
      <c r="C661" s="61" t="str">
        <f t="shared" si="202"/>
        <v>C100046</v>
      </c>
      <c r="F661" s="8" t="str">
        <f>"E100027"</f>
        <v>E100027</v>
      </c>
      <c r="G661" s="9" t="str">
        <f>"Ergo-Calculator"</f>
        <v>Ergo-Calculator</v>
      </c>
      <c r="H661" s="47"/>
      <c r="I661" s="47"/>
      <c r="J661" s="23">
        <v>334.54</v>
      </c>
      <c r="K661" s="25">
        <v>144</v>
      </c>
      <c r="L661" s="24">
        <v>184.35</v>
      </c>
      <c r="M661" s="24">
        <f>J661-L661</f>
        <v>150.19000000000003</v>
      </c>
      <c r="N661" s="53">
        <f>IF(J661&lt;&gt;0,M661/J661,"")</f>
        <v>0.448944819752496</v>
      </c>
      <c r="O661" s="23">
        <v>0</v>
      </c>
      <c r="P661" s="25">
        <v>0</v>
      </c>
      <c r="Q661" s="24">
        <v>0</v>
      </c>
      <c r="R661" s="24">
        <f>O661-Q661</f>
        <v>0</v>
      </c>
      <c r="S661" s="53" t="str">
        <f>IF(O661&lt;&gt;0,R661/O661,"")</f>
        <v/>
      </c>
      <c r="T661" s="10"/>
      <c r="U661" s="23">
        <v>0</v>
      </c>
      <c r="V661" s="25">
        <v>0</v>
      </c>
      <c r="W661" s="24">
        <v>0</v>
      </c>
      <c r="X661" s="24">
        <f>U661-W661</f>
        <v>0</v>
      </c>
      <c r="Y661" s="53" t="str">
        <f>IF(U661&lt;&gt;0,X661/U661,"")</f>
        <v/>
      </c>
      <c r="Z661" s="23">
        <v>0</v>
      </c>
      <c r="AA661" s="25">
        <v>0</v>
      </c>
      <c r="AB661" s="24">
        <v>0</v>
      </c>
      <c r="AC661" s="24">
        <f t="shared" si="203"/>
        <v>0</v>
      </c>
      <c r="AD661" s="53" t="str">
        <f t="shared" si="204"/>
        <v/>
      </c>
      <c r="AE661" s="10"/>
    </row>
    <row r="662" spans="1:31" x14ac:dyDescent="0.25">
      <c r="A662" s="14" t="s">
        <v>109</v>
      </c>
      <c r="C662" s="61" t="str">
        <f t="shared" si="202"/>
        <v>C100046</v>
      </c>
      <c r="F662" s="8" t="str">
        <f>"E100028"</f>
        <v>E100028</v>
      </c>
      <c r="G662" s="9" t="str">
        <f>"USB 4-Port Hub"</f>
        <v>USB 4-Port Hub</v>
      </c>
      <c r="H662" s="47"/>
      <c r="I662" s="47"/>
      <c r="J662" s="23">
        <v>406.42999999999995</v>
      </c>
      <c r="K662" s="25">
        <v>144</v>
      </c>
      <c r="L662" s="24">
        <v>267.91000000000003</v>
      </c>
      <c r="M662" s="24">
        <f>J662-L662</f>
        <v>138.51999999999992</v>
      </c>
      <c r="N662" s="53">
        <f>IF(J662&lt;&gt;0,M662/J662,"")</f>
        <v>0.34082129764042995</v>
      </c>
      <c r="O662" s="23">
        <v>2.82</v>
      </c>
      <c r="P662" s="25">
        <v>1</v>
      </c>
      <c r="Q662" s="24">
        <v>1.86</v>
      </c>
      <c r="R662" s="24">
        <f>O662-Q662</f>
        <v>0.95999999999999974</v>
      </c>
      <c r="S662" s="53">
        <f>IF(O662&lt;&gt;0,R662/O662,"")</f>
        <v>0.34042553191489355</v>
      </c>
      <c r="T662" s="10"/>
      <c r="U662" s="23">
        <v>0</v>
      </c>
      <c r="V662" s="25">
        <v>0</v>
      </c>
      <c r="W662" s="24">
        <v>0</v>
      </c>
      <c r="X662" s="24">
        <f>U662-W662</f>
        <v>0</v>
      </c>
      <c r="Y662" s="53" t="str">
        <f>IF(U662&lt;&gt;0,X662/U662,"")</f>
        <v/>
      </c>
      <c r="Z662" s="23">
        <v>0</v>
      </c>
      <c r="AA662" s="25">
        <v>0</v>
      </c>
      <c r="AB662" s="24">
        <v>0</v>
      </c>
      <c r="AC662" s="24">
        <f t="shared" si="203"/>
        <v>0</v>
      </c>
      <c r="AD662" s="53" t="str">
        <f t="shared" si="204"/>
        <v/>
      </c>
      <c r="AE662" s="10"/>
    </row>
    <row r="663" spans="1:31" x14ac:dyDescent="0.25">
      <c r="A663" s="14" t="s">
        <v>109</v>
      </c>
      <c r="C663" s="61" t="str">
        <f t="shared" si="202"/>
        <v>C100046</v>
      </c>
      <c r="F663" s="8" t="str">
        <f>"E100029"</f>
        <v>E100029</v>
      </c>
      <c r="G663" s="9" t="str">
        <f>"LED Flex Light"</f>
        <v>LED Flex Light</v>
      </c>
      <c r="H663" s="47"/>
      <c r="I663" s="47"/>
      <c r="J663" s="23">
        <v>0</v>
      </c>
      <c r="K663" s="25">
        <v>0</v>
      </c>
      <c r="L663" s="24">
        <v>0</v>
      </c>
      <c r="M663" s="24">
        <f>J663-L663</f>
        <v>0</v>
      </c>
      <c r="N663" s="53" t="str">
        <f>IF(J663&lt;&gt;0,M663/J663,"")</f>
        <v/>
      </c>
      <c r="O663" s="23">
        <v>1223.51</v>
      </c>
      <c r="P663" s="25">
        <v>432</v>
      </c>
      <c r="Q663" s="24">
        <v>725.52</v>
      </c>
      <c r="R663" s="24">
        <f>O663-Q663</f>
        <v>497.99</v>
      </c>
      <c r="S663" s="53">
        <f>IF(O663&lt;&gt;0,R663/O663,"")</f>
        <v>0.40701751518173124</v>
      </c>
      <c r="T663" s="10"/>
      <c r="U663" s="23">
        <v>0</v>
      </c>
      <c r="V663" s="25">
        <v>0</v>
      </c>
      <c r="W663" s="24">
        <v>0</v>
      </c>
      <c r="X663" s="24">
        <f>U663-W663</f>
        <v>0</v>
      </c>
      <c r="Y663" s="53" t="str">
        <f>IF(U663&lt;&gt;0,X663/U663,"")</f>
        <v/>
      </c>
      <c r="Z663" s="23">
        <v>0</v>
      </c>
      <c r="AA663" s="25">
        <v>0</v>
      </c>
      <c r="AB663" s="24">
        <v>0</v>
      </c>
      <c r="AC663" s="24">
        <f t="shared" si="203"/>
        <v>0</v>
      </c>
      <c r="AD663" s="53" t="str">
        <f t="shared" si="204"/>
        <v/>
      </c>
      <c r="AE663" s="10"/>
    </row>
    <row r="664" spans="1:31" x14ac:dyDescent="0.25">
      <c r="A664" s="14" t="s">
        <v>109</v>
      </c>
      <c r="C664" s="61" t="str">
        <f t="shared" si="202"/>
        <v>C100046</v>
      </c>
      <c r="F664" s="8" t="str">
        <f>"E100030"</f>
        <v>E100030</v>
      </c>
      <c r="G664" s="9" t="str">
        <f>"LED Keychain"</f>
        <v>LED Keychain</v>
      </c>
      <c r="H664" s="47"/>
      <c r="I664" s="47"/>
      <c r="J664" s="23">
        <v>0</v>
      </c>
      <c r="K664" s="25">
        <v>0</v>
      </c>
      <c r="L664" s="24">
        <v>0</v>
      </c>
      <c r="M664" s="24">
        <f>J664-L664</f>
        <v>0</v>
      </c>
      <c r="N664" s="53" t="str">
        <f>IF(J664&lt;&gt;0,M664/J664,"")</f>
        <v/>
      </c>
      <c r="O664" s="23">
        <v>137.84</v>
      </c>
      <c r="P664" s="25">
        <v>145</v>
      </c>
      <c r="Q664" s="24">
        <v>72.55</v>
      </c>
      <c r="R664" s="24">
        <f>O664-Q664</f>
        <v>65.290000000000006</v>
      </c>
      <c r="S664" s="53">
        <f>IF(O664&lt;&gt;0,R664/O664,"")</f>
        <v>0.47366511897852587</v>
      </c>
      <c r="T664" s="10"/>
      <c r="U664" s="23">
        <v>0</v>
      </c>
      <c r="V664" s="25">
        <v>0</v>
      </c>
      <c r="W664" s="24">
        <v>0</v>
      </c>
      <c r="X664" s="24">
        <f>U664-W664</f>
        <v>0</v>
      </c>
      <c r="Y664" s="53" t="str">
        <f>IF(U664&lt;&gt;0,X664/U664,"")</f>
        <v/>
      </c>
      <c r="Z664" s="23">
        <v>0</v>
      </c>
      <c r="AA664" s="25">
        <v>0</v>
      </c>
      <c r="AB664" s="24">
        <v>0</v>
      </c>
      <c r="AC664" s="24">
        <f t="shared" si="203"/>
        <v>0</v>
      </c>
      <c r="AD664" s="53" t="str">
        <f t="shared" si="204"/>
        <v/>
      </c>
      <c r="AE664" s="10"/>
    </row>
    <row r="665" spans="1:31" x14ac:dyDescent="0.25">
      <c r="A665" s="14" t="s">
        <v>109</v>
      </c>
      <c r="C665" s="61" t="str">
        <f t="shared" si="202"/>
        <v>C100046</v>
      </c>
      <c r="F665" s="8" t="str">
        <f>"E100031"</f>
        <v>E100031</v>
      </c>
      <c r="G665" s="9" t="str">
        <f>"Ad Torch"</f>
        <v>Ad Torch</v>
      </c>
      <c r="H665" s="47"/>
      <c r="I665" s="47"/>
      <c r="J665" s="23">
        <v>779.41000000000008</v>
      </c>
      <c r="K665" s="25">
        <v>288</v>
      </c>
      <c r="L665" s="24">
        <v>397.46000000000004</v>
      </c>
      <c r="M665" s="24">
        <f>J665-L665</f>
        <v>381.95000000000005</v>
      </c>
      <c r="N665" s="53">
        <f>IF(J665&lt;&gt;0,M665/J665,"")</f>
        <v>0.49005016615131958</v>
      </c>
      <c r="O665" s="23">
        <v>787.45</v>
      </c>
      <c r="P665" s="25">
        <v>288</v>
      </c>
      <c r="Q665" s="24">
        <v>397.45000000000005</v>
      </c>
      <c r="R665" s="24">
        <f>O665-Q665</f>
        <v>390</v>
      </c>
      <c r="S665" s="53">
        <f>IF(O665&lt;&gt;0,R665/O665,"")</f>
        <v>0.49526954092323322</v>
      </c>
      <c r="T665" s="10"/>
      <c r="U665" s="23">
        <v>0</v>
      </c>
      <c r="V665" s="25">
        <v>0</v>
      </c>
      <c r="W665" s="24">
        <v>0</v>
      </c>
      <c r="X665" s="24">
        <f>U665-W665</f>
        <v>0</v>
      </c>
      <c r="Y665" s="53" t="str">
        <f>IF(U665&lt;&gt;0,X665/U665,"")</f>
        <v/>
      </c>
      <c r="Z665" s="23">
        <v>0</v>
      </c>
      <c r="AA665" s="25">
        <v>0</v>
      </c>
      <c r="AB665" s="24">
        <v>0</v>
      </c>
      <c r="AC665" s="24">
        <f t="shared" si="203"/>
        <v>0</v>
      </c>
      <c r="AD665" s="53" t="str">
        <f t="shared" si="204"/>
        <v/>
      </c>
      <c r="AE665" s="10"/>
    </row>
    <row r="666" spans="1:31" x14ac:dyDescent="0.25">
      <c r="A666" s="14" t="s">
        <v>109</v>
      </c>
      <c r="C666" s="61" t="str">
        <f t="shared" si="202"/>
        <v>C100046</v>
      </c>
      <c r="F666" s="8" t="str">
        <f>"E100032"</f>
        <v>E100032</v>
      </c>
      <c r="G666" s="9" t="str">
        <f>"Button Key-Light"</f>
        <v>Button Key-Light</v>
      </c>
      <c r="H666" s="47"/>
      <c r="I666" s="47"/>
      <c r="J666" s="23">
        <v>0.49</v>
      </c>
      <c r="K666" s="25">
        <v>1</v>
      </c>
      <c r="L666" s="24">
        <v>0.33</v>
      </c>
      <c r="M666" s="24">
        <f>J666-L666</f>
        <v>0.15999999999999998</v>
      </c>
      <c r="N666" s="53">
        <f>IF(J666&lt;&gt;0,M666/J666,"")</f>
        <v>0.32653061224489793</v>
      </c>
      <c r="O666" s="23">
        <v>6</v>
      </c>
      <c r="P666" s="25">
        <v>12</v>
      </c>
      <c r="Q666" s="24">
        <v>3.96</v>
      </c>
      <c r="R666" s="24">
        <f>O666-Q666</f>
        <v>2.04</v>
      </c>
      <c r="S666" s="53">
        <f>IF(O666&lt;&gt;0,R666/O666,"")</f>
        <v>0.34</v>
      </c>
      <c r="T666" s="10"/>
      <c r="U666" s="23">
        <v>0</v>
      </c>
      <c r="V666" s="25">
        <v>0</v>
      </c>
      <c r="W666" s="24">
        <v>0</v>
      </c>
      <c r="X666" s="24">
        <f>U666-W666</f>
        <v>0</v>
      </c>
      <c r="Y666" s="53" t="str">
        <f>IF(U666&lt;&gt;0,X666/U666,"")</f>
        <v/>
      </c>
      <c r="Z666" s="23">
        <v>0</v>
      </c>
      <c r="AA666" s="25">
        <v>0</v>
      </c>
      <c r="AB666" s="24">
        <v>0</v>
      </c>
      <c r="AC666" s="24">
        <f t="shared" si="203"/>
        <v>0</v>
      </c>
      <c r="AD666" s="53" t="str">
        <f t="shared" si="204"/>
        <v/>
      </c>
      <c r="AE666" s="10"/>
    </row>
    <row r="667" spans="1:31" x14ac:dyDescent="0.25">
      <c r="A667" s="14" t="s">
        <v>109</v>
      </c>
      <c r="C667" s="61" t="str">
        <f t="shared" si="202"/>
        <v>C100046</v>
      </c>
      <c r="F667" s="8" t="str">
        <f>"E100033"</f>
        <v>E100033</v>
      </c>
      <c r="G667" s="9" t="str">
        <f>"Dual Source Flashlight"</f>
        <v>Dual Source Flashlight</v>
      </c>
      <c r="H667" s="47"/>
      <c r="I667" s="47"/>
      <c r="J667" s="23">
        <v>0</v>
      </c>
      <c r="K667" s="25">
        <v>0</v>
      </c>
      <c r="L667" s="24">
        <v>0</v>
      </c>
      <c r="M667" s="24">
        <f>J667-L667</f>
        <v>0</v>
      </c>
      <c r="N667" s="53" t="str">
        <f>IF(J667&lt;&gt;0,M667/J667,"")</f>
        <v/>
      </c>
      <c r="O667" s="23">
        <v>154.29000000000002</v>
      </c>
      <c r="P667" s="25">
        <v>48</v>
      </c>
      <c r="Q667" s="24">
        <v>74.87</v>
      </c>
      <c r="R667" s="24">
        <f>O667-Q667</f>
        <v>79.420000000000016</v>
      </c>
      <c r="S667" s="53">
        <f>IF(O667&lt;&gt;0,R667/O667,"")</f>
        <v>0.51474496078812626</v>
      </c>
      <c r="T667" s="10"/>
      <c r="U667" s="23">
        <v>0</v>
      </c>
      <c r="V667" s="25">
        <v>0</v>
      </c>
      <c r="W667" s="24">
        <v>0</v>
      </c>
      <c r="X667" s="24">
        <f>U667-W667</f>
        <v>0</v>
      </c>
      <c r="Y667" s="53" t="str">
        <f>IF(U667&lt;&gt;0,X667/U667,"")</f>
        <v/>
      </c>
      <c r="Z667" s="23">
        <v>0</v>
      </c>
      <c r="AA667" s="25">
        <v>0</v>
      </c>
      <c r="AB667" s="24">
        <v>0</v>
      </c>
      <c r="AC667" s="24">
        <f t="shared" si="203"/>
        <v>0</v>
      </c>
      <c r="AD667" s="53" t="str">
        <f t="shared" si="204"/>
        <v/>
      </c>
      <c r="AE667" s="10"/>
    </row>
    <row r="668" spans="1:31" x14ac:dyDescent="0.25">
      <c r="A668" s="14" t="s">
        <v>109</v>
      </c>
      <c r="C668" s="61" t="str">
        <f t="shared" si="202"/>
        <v>C100046</v>
      </c>
      <c r="F668" s="8" t="str">
        <f>"E100034"</f>
        <v>E100034</v>
      </c>
      <c r="G668" s="9" t="str">
        <f>"Bamboo 1GB USB Flash Drive"</f>
        <v>Bamboo 1GB USB Flash Drive</v>
      </c>
      <c r="H668" s="47"/>
      <c r="I668" s="47"/>
      <c r="J668" s="23">
        <v>803.17000000000007</v>
      </c>
      <c r="K668" s="25">
        <v>144</v>
      </c>
      <c r="L668" s="24">
        <v>388.83</v>
      </c>
      <c r="M668" s="24">
        <f>J668-L668</f>
        <v>414.34000000000009</v>
      </c>
      <c r="N668" s="53">
        <f>IF(J668&lt;&gt;0,M668/J668,"")</f>
        <v>0.51588082224186671</v>
      </c>
      <c r="O668" s="23">
        <v>0</v>
      </c>
      <c r="P668" s="25">
        <v>0</v>
      </c>
      <c r="Q668" s="24">
        <v>0</v>
      </c>
      <c r="R668" s="24">
        <f>O668-Q668</f>
        <v>0</v>
      </c>
      <c r="S668" s="53" t="str">
        <f>IF(O668&lt;&gt;0,R668/O668,"")</f>
        <v/>
      </c>
      <c r="T668" s="10"/>
      <c r="U668" s="23">
        <v>811.54000000000008</v>
      </c>
      <c r="V668" s="25">
        <v>144</v>
      </c>
      <c r="W668" s="24">
        <v>388.83</v>
      </c>
      <c r="X668" s="24">
        <f>U668-W668</f>
        <v>422.71000000000009</v>
      </c>
      <c r="Y668" s="53">
        <f>IF(U668&lt;&gt;0,X668/U668,"")</f>
        <v>0.52087389407792595</v>
      </c>
      <c r="Z668" s="23">
        <v>0</v>
      </c>
      <c r="AA668" s="25">
        <v>0</v>
      </c>
      <c r="AB668" s="24">
        <v>0</v>
      </c>
      <c r="AC668" s="24">
        <f t="shared" si="203"/>
        <v>0</v>
      </c>
      <c r="AD668" s="53" t="str">
        <f t="shared" si="204"/>
        <v/>
      </c>
      <c r="AE668" s="10"/>
    </row>
    <row r="669" spans="1:31" x14ac:dyDescent="0.25">
      <c r="A669" s="14" t="s">
        <v>109</v>
      </c>
      <c r="C669" s="61" t="str">
        <f t="shared" si="202"/>
        <v>C100046</v>
      </c>
      <c r="F669" s="8" t="str">
        <f>"E100038"</f>
        <v>E100038</v>
      </c>
      <c r="G669" s="9" t="str">
        <f>"1GB USB Flash Drive Pen"</f>
        <v>1GB USB Flash Drive Pen</v>
      </c>
      <c r="H669" s="47"/>
      <c r="I669" s="47"/>
      <c r="J669" s="23">
        <v>1575.94</v>
      </c>
      <c r="K669" s="25">
        <v>288</v>
      </c>
      <c r="L669" s="24">
        <v>855.45999999999992</v>
      </c>
      <c r="M669" s="24">
        <f>J669-L669</f>
        <v>720.48000000000013</v>
      </c>
      <c r="N669" s="53">
        <f>IF(J669&lt;&gt;0,M669/J669,"")</f>
        <v>0.45717476553675906</v>
      </c>
      <c r="O669" s="23">
        <v>0</v>
      </c>
      <c r="P669" s="25">
        <v>0</v>
      </c>
      <c r="Q669" s="24">
        <v>0</v>
      </c>
      <c r="R669" s="24">
        <f>O669-Q669</f>
        <v>0</v>
      </c>
      <c r="S669" s="53" t="str">
        <f>IF(O669&lt;&gt;0,R669/O669,"")</f>
        <v/>
      </c>
      <c r="T669" s="10"/>
      <c r="U669" s="23">
        <v>0</v>
      </c>
      <c r="V669" s="25">
        <v>0</v>
      </c>
      <c r="W669" s="24">
        <v>0</v>
      </c>
      <c r="X669" s="24">
        <f>U669-W669</f>
        <v>0</v>
      </c>
      <c r="Y669" s="53" t="str">
        <f>IF(U669&lt;&gt;0,X669/U669,"")</f>
        <v/>
      </c>
      <c r="Z669" s="23">
        <v>0</v>
      </c>
      <c r="AA669" s="25">
        <v>0</v>
      </c>
      <c r="AB669" s="24">
        <v>0</v>
      </c>
      <c r="AC669" s="24">
        <f t="shared" si="203"/>
        <v>0</v>
      </c>
      <c r="AD669" s="53" t="str">
        <f t="shared" si="204"/>
        <v/>
      </c>
      <c r="AE669" s="10"/>
    </row>
    <row r="670" spans="1:31" x14ac:dyDescent="0.25">
      <c r="A670" s="14" t="s">
        <v>109</v>
      </c>
      <c r="C670" s="61" t="str">
        <f t="shared" si="202"/>
        <v>C100046</v>
      </c>
      <c r="F670" s="8" t="str">
        <f>"E100039"</f>
        <v>E100039</v>
      </c>
      <c r="G670" s="9" t="str">
        <f>"Campfire Mug"</f>
        <v>Campfire Mug</v>
      </c>
      <c r="H670" s="47"/>
      <c r="I670" s="47"/>
      <c r="J670" s="23">
        <v>480.5</v>
      </c>
      <c r="K670" s="25">
        <v>288</v>
      </c>
      <c r="L670" s="24">
        <v>322.72000000000003</v>
      </c>
      <c r="M670" s="24">
        <f>J670-L670</f>
        <v>157.77999999999997</v>
      </c>
      <c r="N670" s="53">
        <f>IF(J670&lt;&gt;0,M670/J670,"")</f>
        <v>0.32836628511966698</v>
      </c>
      <c r="O670" s="23">
        <v>0</v>
      </c>
      <c r="P670" s="25">
        <v>0</v>
      </c>
      <c r="Q670" s="24">
        <v>0</v>
      </c>
      <c r="R670" s="24">
        <f>O670-Q670</f>
        <v>0</v>
      </c>
      <c r="S670" s="53" t="str">
        <f>IF(O670&lt;&gt;0,R670/O670,"")</f>
        <v/>
      </c>
      <c r="T670" s="10"/>
      <c r="U670" s="23">
        <v>0</v>
      </c>
      <c r="V670" s="25">
        <v>0</v>
      </c>
      <c r="W670" s="24">
        <v>0</v>
      </c>
      <c r="X670" s="24">
        <f>U670-W670</f>
        <v>0</v>
      </c>
      <c r="Y670" s="53" t="str">
        <f>IF(U670&lt;&gt;0,X670/U670,"")</f>
        <v/>
      </c>
      <c r="Z670" s="23">
        <v>0</v>
      </c>
      <c r="AA670" s="25">
        <v>0</v>
      </c>
      <c r="AB670" s="24">
        <v>0</v>
      </c>
      <c r="AC670" s="24">
        <f t="shared" si="203"/>
        <v>0</v>
      </c>
      <c r="AD670" s="53" t="str">
        <f t="shared" si="204"/>
        <v/>
      </c>
      <c r="AE670" s="10"/>
    </row>
    <row r="671" spans="1:31" x14ac:dyDescent="0.25">
      <c r="A671" s="14" t="s">
        <v>109</v>
      </c>
      <c r="C671" s="61" t="str">
        <f t="shared" si="202"/>
        <v>C100046</v>
      </c>
      <c r="F671" s="8" t="str">
        <f>"E100040"</f>
        <v>E100040</v>
      </c>
      <c r="G671" s="9" t="str">
        <f>"Wave Mug"</f>
        <v>Wave Mug</v>
      </c>
      <c r="H671" s="47"/>
      <c r="I671" s="47"/>
      <c r="J671" s="23">
        <v>238.49</v>
      </c>
      <c r="K671" s="25">
        <v>144</v>
      </c>
      <c r="L671" s="24">
        <v>161.36000000000001</v>
      </c>
      <c r="M671" s="24">
        <f>J671-L671</f>
        <v>77.13</v>
      </c>
      <c r="N671" s="53">
        <f>IF(J671&lt;&gt;0,M671/J671,"")</f>
        <v>0.32340978657386049</v>
      </c>
      <c r="O671" s="23">
        <v>0</v>
      </c>
      <c r="P671" s="25">
        <v>0</v>
      </c>
      <c r="Q671" s="24">
        <v>0</v>
      </c>
      <c r="R671" s="24">
        <f>O671-Q671</f>
        <v>0</v>
      </c>
      <c r="S671" s="53" t="str">
        <f>IF(O671&lt;&gt;0,R671/O671,"")</f>
        <v/>
      </c>
      <c r="T671" s="10"/>
      <c r="U671" s="23">
        <v>0</v>
      </c>
      <c r="V671" s="25">
        <v>0</v>
      </c>
      <c r="W671" s="24">
        <v>0</v>
      </c>
      <c r="X671" s="24">
        <f>U671-W671</f>
        <v>0</v>
      </c>
      <c r="Y671" s="53" t="str">
        <f>IF(U671&lt;&gt;0,X671/U671,"")</f>
        <v/>
      </c>
      <c r="Z671" s="23">
        <v>0</v>
      </c>
      <c r="AA671" s="25">
        <v>0</v>
      </c>
      <c r="AB671" s="24">
        <v>0</v>
      </c>
      <c r="AC671" s="24">
        <f t="shared" si="203"/>
        <v>0</v>
      </c>
      <c r="AD671" s="53" t="str">
        <f t="shared" si="204"/>
        <v/>
      </c>
      <c r="AE671" s="10"/>
    </row>
    <row r="672" spans="1:31" x14ac:dyDescent="0.25">
      <c r="A672" s="14" t="s">
        <v>109</v>
      </c>
      <c r="C672" s="61" t="str">
        <f t="shared" si="202"/>
        <v>C100046</v>
      </c>
      <c r="F672" s="8" t="str">
        <f>"E100042"</f>
        <v>E100042</v>
      </c>
      <c r="G672" s="9" t="str">
        <f>"Soft Touch Travel Mug"</f>
        <v>Soft Touch Travel Mug</v>
      </c>
      <c r="H672" s="47"/>
      <c r="I672" s="47"/>
      <c r="J672" s="23">
        <v>1081.1199999999999</v>
      </c>
      <c r="K672" s="25">
        <v>288</v>
      </c>
      <c r="L672" s="24">
        <v>619.36</v>
      </c>
      <c r="M672" s="24">
        <f>J672-L672</f>
        <v>461.75999999999988</v>
      </c>
      <c r="N672" s="53">
        <f>IF(J672&lt;&gt;0,M672/J672,"")</f>
        <v>0.42711262394553789</v>
      </c>
      <c r="O672" s="23">
        <v>0</v>
      </c>
      <c r="P672" s="25">
        <v>0</v>
      </c>
      <c r="Q672" s="24">
        <v>0</v>
      </c>
      <c r="R672" s="24">
        <f>O672-Q672</f>
        <v>0</v>
      </c>
      <c r="S672" s="53" t="str">
        <f>IF(O672&lt;&gt;0,R672/O672,"")</f>
        <v/>
      </c>
      <c r="T672" s="10"/>
      <c r="U672" s="23">
        <v>0</v>
      </c>
      <c r="V672" s="25">
        <v>0</v>
      </c>
      <c r="W672" s="24">
        <v>0</v>
      </c>
      <c r="X672" s="24">
        <f>U672-W672</f>
        <v>0</v>
      </c>
      <c r="Y672" s="53" t="str">
        <f>IF(U672&lt;&gt;0,X672/U672,"")</f>
        <v/>
      </c>
      <c r="Z672" s="23">
        <v>0</v>
      </c>
      <c r="AA672" s="25">
        <v>0</v>
      </c>
      <c r="AB672" s="24">
        <v>0</v>
      </c>
      <c r="AC672" s="24">
        <f t="shared" si="203"/>
        <v>0</v>
      </c>
      <c r="AD672" s="53" t="str">
        <f t="shared" si="204"/>
        <v/>
      </c>
      <c r="AE672" s="10"/>
    </row>
    <row r="673" spans="1:31" x14ac:dyDescent="0.25">
      <c r="A673" s="14" t="s">
        <v>109</v>
      </c>
      <c r="C673" s="61" t="str">
        <f t="shared" si="202"/>
        <v>C100046</v>
      </c>
      <c r="F673" s="8" t="str">
        <f>"E100043"</f>
        <v>E100043</v>
      </c>
      <c r="G673" s="9" t="str">
        <f>"Pub Glass"</f>
        <v>Pub Glass</v>
      </c>
      <c r="H673" s="47"/>
      <c r="I673" s="47"/>
      <c r="J673" s="23">
        <v>200.39000000000001</v>
      </c>
      <c r="K673" s="25">
        <v>144</v>
      </c>
      <c r="L673" s="24">
        <v>133.94999999999999</v>
      </c>
      <c r="M673" s="24">
        <f>J673-L673</f>
        <v>66.440000000000026</v>
      </c>
      <c r="N673" s="53">
        <f>IF(J673&lt;&gt;0,M673/J673,"")</f>
        <v>0.33155347073207259</v>
      </c>
      <c r="O673" s="23">
        <v>200.39000000000001</v>
      </c>
      <c r="P673" s="25">
        <v>144</v>
      </c>
      <c r="Q673" s="24">
        <v>133.94999999999999</v>
      </c>
      <c r="R673" s="24">
        <f>O673-Q673</f>
        <v>66.440000000000026</v>
      </c>
      <c r="S673" s="53">
        <f>IF(O673&lt;&gt;0,R673/O673,"")</f>
        <v>0.33155347073207259</v>
      </c>
      <c r="T673" s="10"/>
      <c r="U673" s="23">
        <v>0</v>
      </c>
      <c r="V673" s="25">
        <v>0</v>
      </c>
      <c r="W673" s="24">
        <v>0</v>
      </c>
      <c r="X673" s="24">
        <f>U673-W673</f>
        <v>0</v>
      </c>
      <c r="Y673" s="53" t="str">
        <f>IF(U673&lt;&gt;0,X673/U673,"")</f>
        <v/>
      </c>
      <c r="Z673" s="23">
        <v>0</v>
      </c>
      <c r="AA673" s="25">
        <v>0</v>
      </c>
      <c r="AB673" s="24">
        <v>0</v>
      </c>
      <c r="AC673" s="24">
        <f t="shared" si="203"/>
        <v>0</v>
      </c>
      <c r="AD673" s="53" t="str">
        <f t="shared" si="204"/>
        <v/>
      </c>
      <c r="AE673" s="10"/>
    </row>
    <row r="674" spans="1:31" x14ac:dyDescent="0.25">
      <c r="A674" s="14" t="s">
        <v>109</v>
      </c>
      <c r="C674" s="61" t="str">
        <f t="shared" si="202"/>
        <v>C100046</v>
      </c>
      <c r="F674" s="8" t="str">
        <f>"E100045"</f>
        <v>E100045</v>
      </c>
      <c r="G674" s="9" t="str">
        <f>"Flute"</f>
        <v>Flute</v>
      </c>
      <c r="H674" s="47"/>
      <c r="I674" s="47"/>
      <c r="J674" s="23">
        <v>276.57</v>
      </c>
      <c r="K674" s="25">
        <v>288</v>
      </c>
      <c r="L674" s="24">
        <v>178.6</v>
      </c>
      <c r="M674" s="24">
        <f>J674-L674</f>
        <v>97.97</v>
      </c>
      <c r="N674" s="53">
        <f>IF(J674&lt;&gt;0,M674/J674,"")</f>
        <v>0.35423220161261165</v>
      </c>
      <c r="O674" s="23">
        <v>0</v>
      </c>
      <c r="P674" s="25">
        <v>0</v>
      </c>
      <c r="Q674" s="24">
        <v>0</v>
      </c>
      <c r="R674" s="24">
        <f>O674-Q674</f>
        <v>0</v>
      </c>
      <c r="S674" s="53" t="str">
        <f>IF(O674&lt;&gt;0,R674/O674,"")</f>
        <v/>
      </c>
      <c r="T674" s="10"/>
      <c r="U674" s="23">
        <v>138.28</v>
      </c>
      <c r="V674" s="25">
        <v>144</v>
      </c>
      <c r="W674" s="24">
        <v>89.3</v>
      </c>
      <c r="X674" s="24">
        <f>U674-W674</f>
        <v>48.980000000000004</v>
      </c>
      <c r="Y674" s="53">
        <f>IF(U674&lt;&gt;0,X674/U674,"")</f>
        <v>0.35420885160543825</v>
      </c>
      <c r="Z674" s="23">
        <v>0</v>
      </c>
      <c r="AA674" s="25">
        <v>0</v>
      </c>
      <c r="AB674" s="24">
        <v>0</v>
      </c>
      <c r="AC674" s="24">
        <f t="shared" si="203"/>
        <v>0</v>
      </c>
      <c r="AD674" s="53" t="str">
        <f t="shared" si="204"/>
        <v/>
      </c>
      <c r="AE674" s="10"/>
    </row>
    <row r="675" spans="1:31" x14ac:dyDescent="0.25">
      <c r="A675" s="14" t="s">
        <v>109</v>
      </c>
      <c r="C675" s="61" t="str">
        <f t="shared" si="202"/>
        <v>C100046</v>
      </c>
      <c r="F675" s="8" t="str">
        <f>"E100046"</f>
        <v>E100046</v>
      </c>
      <c r="G675" s="9" t="str">
        <f>"Milk Bottle"</f>
        <v>Milk Bottle</v>
      </c>
      <c r="H675" s="47"/>
      <c r="I675" s="47"/>
      <c r="J675" s="23">
        <v>1044.58</v>
      </c>
      <c r="K675" s="25">
        <v>576</v>
      </c>
      <c r="L675" s="24">
        <v>598.66999999999996</v>
      </c>
      <c r="M675" s="24">
        <f>J675-L675</f>
        <v>445.90999999999997</v>
      </c>
      <c r="N675" s="53">
        <f>IF(J675&lt;&gt;0,M675/J675,"")</f>
        <v>0.42687970284707727</v>
      </c>
      <c r="O675" s="23">
        <v>0</v>
      </c>
      <c r="P675" s="25">
        <v>0</v>
      </c>
      <c r="Q675" s="24">
        <v>0</v>
      </c>
      <c r="R675" s="24">
        <f>O675-Q675</f>
        <v>0</v>
      </c>
      <c r="S675" s="53" t="str">
        <f>IF(O675&lt;&gt;0,R675/O675,"")</f>
        <v/>
      </c>
      <c r="T675" s="10"/>
      <c r="U675" s="23">
        <v>0</v>
      </c>
      <c r="V675" s="25">
        <v>0</v>
      </c>
      <c r="W675" s="24">
        <v>0</v>
      </c>
      <c r="X675" s="24">
        <f>U675-W675</f>
        <v>0</v>
      </c>
      <c r="Y675" s="53" t="str">
        <f>IF(U675&lt;&gt;0,X675/U675,"")</f>
        <v/>
      </c>
      <c r="Z675" s="23">
        <v>0</v>
      </c>
      <c r="AA675" s="25">
        <v>0</v>
      </c>
      <c r="AB675" s="24">
        <v>0</v>
      </c>
      <c r="AC675" s="24">
        <f t="shared" si="203"/>
        <v>0</v>
      </c>
      <c r="AD675" s="53" t="str">
        <f t="shared" si="204"/>
        <v/>
      </c>
      <c r="AE675" s="10"/>
    </row>
    <row r="676" spans="1:31" x14ac:dyDescent="0.25">
      <c r="A676" s="14" t="s">
        <v>109</v>
      </c>
      <c r="C676" s="61" t="str">
        <f t="shared" si="202"/>
        <v>C100046</v>
      </c>
      <c r="F676" s="8" t="str">
        <f>"S100003"</f>
        <v>S100003</v>
      </c>
      <c r="G676" s="9" t="str">
        <f>"Soccer #1 Pin"</f>
        <v>Soccer #1 Pin</v>
      </c>
      <c r="H676" s="47"/>
      <c r="I676" s="47"/>
      <c r="J676" s="23">
        <v>0</v>
      </c>
      <c r="K676" s="25">
        <v>0</v>
      </c>
      <c r="L676" s="24">
        <v>0</v>
      </c>
      <c r="M676" s="24">
        <f>J676-L676</f>
        <v>0</v>
      </c>
      <c r="N676" s="53" t="str">
        <f>IF(J676&lt;&gt;0,M676/J676,"")</f>
        <v/>
      </c>
      <c r="O676" s="23">
        <v>635.04</v>
      </c>
      <c r="P676" s="25">
        <v>432</v>
      </c>
      <c r="Q676" s="24">
        <v>388.8</v>
      </c>
      <c r="R676" s="24">
        <f>O676-Q676</f>
        <v>246.23999999999995</v>
      </c>
      <c r="S676" s="53">
        <f>IF(O676&lt;&gt;0,R676/O676,"")</f>
        <v>0.38775510204081626</v>
      </c>
      <c r="T676" s="10"/>
      <c r="U676" s="23">
        <v>0</v>
      </c>
      <c r="V676" s="25">
        <v>0</v>
      </c>
      <c r="W676" s="24">
        <v>0</v>
      </c>
      <c r="X676" s="24">
        <f>U676-W676</f>
        <v>0</v>
      </c>
      <c r="Y676" s="53" t="str">
        <f>IF(U676&lt;&gt;0,X676/U676,"")</f>
        <v/>
      </c>
      <c r="Z676" s="23">
        <v>0</v>
      </c>
      <c r="AA676" s="25">
        <v>0</v>
      </c>
      <c r="AB676" s="24">
        <v>0</v>
      </c>
      <c r="AC676" s="24">
        <f t="shared" si="203"/>
        <v>0</v>
      </c>
      <c r="AD676" s="53" t="str">
        <f t="shared" si="204"/>
        <v/>
      </c>
      <c r="AE676" s="10"/>
    </row>
    <row r="677" spans="1:31" x14ac:dyDescent="0.25">
      <c r="A677" s="14" t="s">
        <v>109</v>
      </c>
      <c r="C677" s="61" t="str">
        <f t="shared" si="202"/>
        <v>C100046</v>
      </c>
      <c r="F677" s="8" t="str">
        <f>"S100011"</f>
        <v>S100011</v>
      </c>
      <c r="G677" s="9" t="str">
        <f>"All Star Cap"</f>
        <v>All Star Cap</v>
      </c>
      <c r="H677" s="47"/>
      <c r="I677" s="47"/>
      <c r="J677" s="23">
        <v>400.9</v>
      </c>
      <c r="K677" s="25">
        <v>288</v>
      </c>
      <c r="L677" s="24">
        <v>244.81000000000003</v>
      </c>
      <c r="M677" s="24">
        <f>J677-L677</f>
        <v>156.08999999999995</v>
      </c>
      <c r="N677" s="53">
        <f>IF(J677&lt;&gt;0,M677/J677,"")</f>
        <v>0.38934896482913434</v>
      </c>
      <c r="O677" s="23">
        <v>0</v>
      </c>
      <c r="P677" s="25">
        <v>0</v>
      </c>
      <c r="Q677" s="24">
        <v>0</v>
      </c>
      <c r="R677" s="24">
        <f>O677-Q677</f>
        <v>0</v>
      </c>
      <c r="S677" s="53" t="str">
        <f>IF(O677&lt;&gt;0,R677/O677,"")</f>
        <v/>
      </c>
      <c r="T677" s="10"/>
      <c r="U677" s="23">
        <v>0</v>
      </c>
      <c r="V677" s="25">
        <v>0</v>
      </c>
      <c r="W677" s="24">
        <v>0</v>
      </c>
      <c r="X677" s="24">
        <f>U677-W677</f>
        <v>0</v>
      </c>
      <c r="Y677" s="53" t="str">
        <f>IF(U677&lt;&gt;0,X677/U677,"")</f>
        <v/>
      </c>
      <c r="Z677" s="23">
        <v>0</v>
      </c>
      <c r="AA677" s="25">
        <v>0</v>
      </c>
      <c r="AB677" s="24">
        <v>0</v>
      </c>
      <c r="AC677" s="24">
        <f t="shared" si="203"/>
        <v>0</v>
      </c>
      <c r="AD677" s="53" t="str">
        <f t="shared" si="204"/>
        <v/>
      </c>
      <c r="AE677" s="10"/>
    </row>
    <row r="678" spans="1:31" x14ac:dyDescent="0.25">
      <c r="A678" s="14" t="s">
        <v>109</v>
      </c>
      <c r="C678" s="61" t="str">
        <f t="shared" si="202"/>
        <v>C100046</v>
      </c>
      <c r="F678" s="8" t="str">
        <f>"S100016"</f>
        <v>S100016</v>
      </c>
      <c r="G678" s="9" t="str">
        <f>"Mesh Bucket Hat"</f>
        <v>Mesh Bucket Hat</v>
      </c>
      <c r="H678" s="47"/>
      <c r="I678" s="47"/>
      <c r="J678" s="23">
        <v>688.43999999999994</v>
      </c>
      <c r="K678" s="25">
        <v>144</v>
      </c>
      <c r="L678" s="24">
        <v>396.01</v>
      </c>
      <c r="M678" s="24">
        <f>J678-L678</f>
        <v>292.42999999999995</v>
      </c>
      <c r="N678" s="53">
        <f>IF(J678&lt;&gt;0,M678/J678,"")</f>
        <v>0.42477194817268021</v>
      </c>
      <c r="O678" s="23">
        <v>702.78</v>
      </c>
      <c r="P678" s="25">
        <v>144</v>
      </c>
      <c r="Q678" s="24">
        <v>396.01</v>
      </c>
      <c r="R678" s="24">
        <f>O678-Q678</f>
        <v>306.77</v>
      </c>
      <c r="S678" s="53">
        <f>IF(O678&lt;&gt;0,R678/O678,"")</f>
        <v>0.43650929167022395</v>
      </c>
      <c r="T678" s="10"/>
      <c r="U678" s="23">
        <v>0</v>
      </c>
      <c r="V678" s="25">
        <v>0</v>
      </c>
      <c r="W678" s="24">
        <v>0</v>
      </c>
      <c r="X678" s="24">
        <f>U678-W678</f>
        <v>0</v>
      </c>
      <c r="Y678" s="53" t="str">
        <f>IF(U678&lt;&gt;0,X678/U678,"")</f>
        <v/>
      </c>
      <c r="Z678" s="23">
        <v>0</v>
      </c>
      <c r="AA678" s="25">
        <v>0</v>
      </c>
      <c r="AB678" s="24">
        <v>0</v>
      </c>
      <c r="AC678" s="24">
        <f t="shared" si="203"/>
        <v>0</v>
      </c>
      <c r="AD678" s="53" t="str">
        <f t="shared" si="204"/>
        <v/>
      </c>
      <c r="AE678" s="10"/>
    </row>
    <row r="679" spans="1:31" x14ac:dyDescent="0.25">
      <c r="A679" s="14" t="s">
        <v>109</v>
      </c>
      <c r="C679" s="61" t="str">
        <f t="shared" si="202"/>
        <v>C100046</v>
      </c>
      <c r="F679" s="8" t="str">
        <f>"S100019"</f>
        <v>S100019</v>
      </c>
      <c r="G679" s="9" t="str">
        <f>"Sportsman Bucket Hat"</f>
        <v>Sportsman Bucket Hat</v>
      </c>
      <c r="H679" s="47"/>
      <c r="I679" s="47"/>
      <c r="J679" s="23">
        <v>647.74</v>
      </c>
      <c r="K679" s="25">
        <v>144</v>
      </c>
      <c r="L679" s="24">
        <v>349.93</v>
      </c>
      <c r="M679" s="24">
        <f>J679-L679</f>
        <v>297.81</v>
      </c>
      <c r="N679" s="53">
        <f>IF(J679&lt;&gt;0,M679/J679,"")</f>
        <v>0.45976780807113965</v>
      </c>
      <c r="O679" s="23">
        <v>0</v>
      </c>
      <c r="P679" s="25">
        <v>0</v>
      </c>
      <c r="Q679" s="24">
        <v>0</v>
      </c>
      <c r="R679" s="24">
        <f>O679-Q679</f>
        <v>0</v>
      </c>
      <c r="S679" s="53" t="str">
        <f>IF(O679&lt;&gt;0,R679/O679,"")</f>
        <v/>
      </c>
      <c r="T679" s="10"/>
      <c r="U679" s="23">
        <v>0</v>
      </c>
      <c r="V679" s="25">
        <v>0</v>
      </c>
      <c r="W679" s="24">
        <v>0</v>
      </c>
      <c r="X679" s="24">
        <f>U679-W679</f>
        <v>0</v>
      </c>
      <c r="Y679" s="53" t="str">
        <f>IF(U679&lt;&gt;0,X679/U679,"")</f>
        <v/>
      </c>
      <c r="Z679" s="23">
        <v>0</v>
      </c>
      <c r="AA679" s="25">
        <v>0</v>
      </c>
      <c r="AB679" s="24">
        <v>0</v>
      </c>
      <c r="AC679" s="24">
        <f t="shared" si="203"/>
        <v>0</v>
      </c>
      <c r="AD679" s="53" t="str">
        <f t="shared" si="204"/>
        <v/>
      </c>
      <c r="AE679" s="10"/>
    </row>
    <row r="680" spans="1:31" x14ac:dyDescent="0.25">
      <c r="A680" s="14" t="s">
        <v>109</v>
      </c>
      <c r="C680" s="61" t="str">
        <f t="shared" si="202"/>
        <v>C100046</v>
      </c>
      <c r="F680" s="8" t="str">
        <f>"S100021"</f>
        <v>S100021</v>
      </c>
      <c r="G680" s="9" t="str">
        <f>"Translucent Stopwatch"</f>
        <v>Translucent Stopwatch</v>
      </c>
      <c r="H680" s="47"/>
      <c r="I680" s="47"/>
      <c r="J680" s="23">
        <v>0</v>
      </c>
      <c r="K680" s="25">
        <v>0</v>
      </c>
      <c r="L680" s="24">
        <v>0</v>
      </c>
      <c r="M680" s="24">
        <f>J680-L680</f>
        <v>0</v>
      </c>
      <c r="N680" s="53" t="str">
        <f>IF(J680&lt;&gt;0,M680/J680,"")</f>
        <v/>
      </c>
      <c r="O680" s="23">
        <v>585.65</v>
      </c>
      <c r="P680" s="25">
        <v>144</v>
      </c>
      <c r="Q680" s="24">
        <v>309.58999999999997</v>
      </c>
      <c r="R680" s="24">
        <f>O680-Q680</f>
        <v>276.06</v>
      </c>
      <c r="S680" s="53">
        <f>IF(O680&lt;&gt;0,R680/O680,"")</f>
        <v>0.47137368735592933</v>
      </c>
      <c r="T680" s="10"/>
      <c r="U680" s="23">
        <v>0</v>
      </c>
      <c r="V680" s="25">
        <v>0</v>
      </c>
      <c r="W680" s="24">
        <v>0</v>
      </c>
      <c r="X680" s="24">
        <f>U680-W680</f>
        <v>0</v>
      </c>
      <c r="Y680" s="53" t="str">
        <f>IF(U680&lt;&gt;0,X680/U680,"")</f>
        <v/>
      </c>
      <c r="Z680" s="23">
        <v>0</v>
      </c>
      <c r="AA680" s="25">
        <v>0</v>
      </c>
      <c r="AB680" s="24">
        <v>0</v>
      </c>
      <c r="AC680" s="24">
        <f t="shared" si="203"/>
        <v>0</v>
      </c>
      <c r="AD680" s="53" t="str">
        <f t="shared" si="204"/>
        <v/>
      </c>
      <c r="AE680" s="10"/>
    </row>
    <row r="681" spans="1:31" x14ac:dyDescent="0.25">
      <c r="A681" s="14" t="s">
        <v>109</v>
      </c>
      <c r="C681" s="61" t="str">
        <f t="shared" si="202"/>
        <v>C100046</v>
      </c>
      <c r="F681" s="8" t="str">
        <f>"S100024"</f>
        <v>S100024</v>
      </c>
      <c r="G681" s="9" t="str">
        <f>"Aluminum SPORT BOT"</f>
        <v>Aluminum SPORT BOT</v>
      </c>
      <c r="H681" s="47"/>
      <c r="I681" s="47"/>
      <c r="J681" s="23">
        <v>498.15</v>
      </c>
      <c r="K681" s="25">
        <v>144</v>
      </c>
      <c r="L681" s="24">
        <v>302.39999999999998</v>
      </c>
      <c r="M681" s="24">
        <f>J681-L681</f>
        <v>195.75</v>
      </c>
      <c r="N681" s="53">
        <f>IF(J681&lt;&gt;0,M681/J681,"")</f>
        <v>0.39295392953929542</v>
      </c>
      <c r="O681" s="23">
        <v>498.15</v>
      </c>
      <c r="P681" s="25">
        <v>144</v>
      </c>
      <c r="Q681" s="24">
        <v>302.39999999999998</v>
      </c>
      <c r="R681" s="24">
        <f>O681-Q681</f>
        <v>195.75</v>
      </c>
      <c r="S681" s="53">
        <f>IF(O681&lt;&gt;0,R681/O681,"")</f>
        <v>0.39295392953929542</v>
      </c>
      <c r="T681" s="10"/>
      <c r="U681" s="23">
        <v>0</v>
      </c>
      <c r="V681" s="25">
        <v>0</v>
      </c>
      <c r="W681" s="24">
        <v>0</v>
      </c>
      <c r="X681" s="24">
        <f>U681-W681</f>
        <v>0</v>
      </c>
      <c r="Y681" s="53" t="str">
        <f>IF(U681&lt;&gt;0,X681/U681,"")</f>
        <v/>
      </c>
      <c r="Z681" s="23">
        <v>0</v>
      </c>
      <c r="AA681" s="25">
        <v>0</v>
      </c>
      <c r="AB681" s="24">
        <v>0</v>
      </c>
      <c r="AC681" s="24">
        <f t="shared" si="203"/>
        <v>0</v>
      </c>
      <c r="AD681" s="53" t="str">
        <f t="shared" si="204"/>
        <v/>
      </c>
      <c r="AE681" s="10"/>
    </row>
    <row r="682" spans="1:31" x14ac:dyDescent="0.25">
      <c r="A682" s="14" t="s">
        <v>109</v>
      </c>
      <c r="C682" s="61" t="str">
        <f t="shared" si="202"/>
        <v>C100046</v>
      </c>
      <c r="F682" s="8" t="str">
        <f>"S100025"</f>
        <v>S100025</v>
      </c>
      <c r="G682" s="9" t="str">
        <f>"SPORT BOT with Pop Lid"</f>
        <v>SPORT BOT with Pop Lid</v>
      </c>
      <c r="H682" s="47"/>
      <c r="I682" s="47"/>
      <c r="J682" s="23">
        <v>470.02</v>
      </c>
      <c r="K682" s="25">
        <v>288</v>
      </c>
      <c r="L682" s="24">
        <v>276.33999999999997</v>
      </c>
      <c r="M682" s="24">
        <f>J682-L682</f>
        <v>193.68</v>
      </c>
      <c r="N682" s="53">
        <f>IF(J682&lt;&gt;0,M682/J682,"")</f>
        <v>0.41206757159269819</v>
      </c>
      <c r="O682" s="23">
        <v>0</v>
      </c>
      <c r="P682" s="25">
        <v>0</v>
      </c>
      <c r="Q682" s="24">
        <v>0</v>
      </c>
      <c r="R682" s="24">
        <f>O682-Q682</f>
        <v>0</v>
      </c>
      <c r="S682" s="53" t="str">
        <f>IF(O682&lt;&gt;0,R682/O682,"")</f>
        <v/>
      </c>
      <c r="T682" s="10"/>
      <c r="U682" s="23">
        <v>0</v>
      </c>
      <c r="V682" s="25">
        <v>0</v>
      </c>
      <c r="W682" s="24">
        <v>0</v>
      </c>
      <c r="X682" s="24">
        <f>U682-W682</f>
        <v>0</v>
      </c>
      <c r="Y682" s="53" t="str">
        <f>IF(U682&lt;&gt;0,X682/U682,"")</f>
        <v/>
      </c>
      <c r="Z682" s="23">
        <v>0</v>
      </c>
      <c r="AA682" s="25">
        <v>0</v>
      </c>
      <c r="AB682" s="24">
        <v>0</v>
      </c>
      <c r="AC682" s="24">
        <f t="shared" si="203"/>
        <v>0</v>
      </c>
      <c r="AD682" s="53" t="str">
        <f t="shared" si="204"/>
        <v/>
      </c>
      <c r="AE682" s="10"/>
    </row>
    <row r="683" spans="1:31" x14ac:dyDescent="0.25">
      <c r="A683" s="14" t="s">
        <v>109</v>
      </c>
      <c r="C683" s="61" t="str">
        <f t="shared" si="202"/>
        <v>C100046</v>
      </c>
      <c r="F683" s="8" t="str">
        <f>"S100026"</f>
        <v>S100026</v>
      </c>
      <c r="G683" s="9" t="str">
        <f>"Wide SPORT BOT"</f>
        <v>Wide SPORT BOT</v>
      </c>
      <c r="H683" s="47"/>
      <c r="I683" s="47"/>
      <c r="J683" s="23">
        <v>1131.4100000000001</v>
      </c>
      <c r="K683" s="25">
        <v>288</v>
      </c>
      <c r="L683" s="24">
        <v>547.30000000000007</v>
      </c>
      <c r="M683" s="24">
        <f>J683-L683</f>
        <v>584.11</v>
      </c>
      <c r="N683" s="53">
        <f>IF(J683&lt;&gt;0,M683/J683,"")</f>
        <v>0.51626731246851276</v>
      </c>
      <c r="O683" s="23">
        <v>1714.61</v>
      </c>
      <c r="P683" s="25">
        <v>432</v>
      </c>
      <c r="Q683" s="24">
        <v>820.96</v>
      </c>
      <c r="R683" s="24">
        <f>O683-Q683</f>
        <v>893.64999999999986</v>
      </c>
      <c r="S683" s="53">
        <f>IF(O683&lt;&gt;0,R683/O683,"")</f>
        <v>0.52119724018873093</v>
      </c>
      <c r="T683" s="10"/>
      <c r="U683" s="23">
        <v>0</v>
      </c>
      <c r="V683" s="25">
        <v>0</v>
      </c>
      <c r="W683" s="24">
        <v>0</v>
      </c>
      <c r="X683" s="24">
        <f>U683-W683</f>
        <v>0</v>
      </c>
      <c r="Y683" s="53" t="str">
        <f>IF(U683&lt;&gt;0,X683/U683,"")</f>
        <v/>
      </c>
      <c r="Z683" s="23">
        <v>0</v>
      </c>
      <c r="AA683" s="25">
        <v>0</v>
      </c>
      <c r="AB683" s="24">
        <v>0</v>
      </c>
      <c r="AC683" s="24">
        <f t="shared" si="203"/>
        <v>0</v>
      </c>
      <c r="AD683" s="53" t="str">
        <f t="shared" si="204"/>
        <v/>
      </c>
      <c r="AE683" s="10"/>
    </row>
    <row r="684" spans="1:31" x14ac:dyDescent="0.25">
      <c r="A684" s="14" t="s">
        <v>109</v>
      </c>
      <c r="C684" s="61" t="str">
        <f t="shared" si="202"/>
        <v>C100046</v>
      </c>
      <c r="F684" s="8" t="str">
        <f>"S200024"</f>
        <v>S200024</v>
      </c>
      <c r="G684" s="9" t="str">
        <f>"10.75"" Tourch Riser Wrestling Trophy"</f>
        <v>10.75" Tourch Riser Wrestling Trophy</v>
      </c>
      <c r="H684" s="47"/>
      <c r="I684" s="47"/>
      <c r="J684" s="23">
        <v>0</v>
      </c>
      <c r="K684" s="25">
        <v>0</v>
      </c>
      <c r="L684" s="24">
        <v>0</v>
      </c>
      <c r="M684" s="24">
        <f>J684-L684</f>
        <v>0</v>
      </c>
      <c r="N684" s="53" t="str">
        <f>IF(J684&lt;&gt;0,M684/J684,"")</f>
        <v/>
      </c>
      <c r="O684" s="23">
        <v>3528</v>
      </c>
      <c r="P684" s="25">
        <v>288</v>
      </c>
      <c r="Q684" s="24">
        <v>2960.64</v>
      </c>
      <c r="R684" s="24">
        <f>O684-Q684</f>
        <v>567.36000000000013</v>
      </c>
      <c r="S684" s="53">
        <f>IF(O684&lt;&gt;0,R684/O684,"")</f>
        <v>0.16081632653061229</v>
      </c>
      <c r="T684" s="10"/>
      <c r="U684" s="23">
        <v>0</v>
      </c>
      <c r="V684" s="25">
        <v>0</v>
      </c>
      <c r="W684" s="24">
        <v>0</v>
      </c>
      <c r="X684" s="24">
        <f>U684-W684</f>
        <v>0</v>
      </c>
      <c r="Y684" s="53" t="str">
        <f>IF(U684&lt;&gt;0,X684/U684,"")</f>
        <v/>
      </c>
      <c r="Z684" s="23">
        <v>0</v>
      </c>
      <c r="AA684" s="25">
        <v>0</v>
      </c>
      <c r="AB684" s="24">
        <v>0</v>
      </c>
      <c r="AC684" s="24">
        <f t="shared" si="203"/>
        <v>0</v>
      </c>
      <c r="AD684" s="53" t="str">
        <f t="shared" si="204"/>
        <v/>
      </c>
      <c r="AE684" s="10"/>
    </row>
    <row r="685" spans="1:31" ht="15.75" thickBot="1" x14ac:dyDescent="0.3">
      <c r="A685" s="14" t="s">
        <v>109</v>
      </c>
      <c r="C685" s="61" t="str">
        <f>C633</f>
        <v>C100046</v>
      </c>
      <c r="J685" s="10"/>
      <c r="K685" s="11"/>
      <c r="L685" s="11"/>
      <c r="M685" s="11"/>
      <c r="N685" s="12"/>
      <c r="O685" s="10"/>
      <c r="P685" s="11"/>
      <c r="Q685" s="11"/>
      <c r="R685" s="11"/>
      <c r="S685" s="12"/>
      <c r="U685" s="10"/>
      <c r="V685" s="11"/>
      <c r="W685" s="11"/>
      <c r="X685" s="11"/>
      <c r="Y685" s="12"/>
      <c r="Z685" s="10"/>
      <c r="AA685" s="11"/>
      <c r="AB685" s="11"/>
      <c r="AC685" s="11"/>
      <c r="AD685" s="12"/>
    </row>
    <row r="686" spans="1:31" ht="15.75" thickBot="1" x14ac:dyDescent="0.3">
      <c r="A686" s="14" t="s">
        <v>109</v>
      </c>
      <c r="C686" s="61" t="str">
        <f t="shared" si="199"/>
        <v>C100046</v>
      </c>
      <c r="G686" s="48" t="str">
        <f>C686&amp;" TOTAL:"</f>
        <v>C100046 TOTAL:</v>
      </c>
      <c r="H686" s="50"/>
      <c r="I686" s="50"/>
      <c r="J686" s="34">
        <f>SUBTOTAL(9,J632:J685)</f>
        <v>21498.880000000005</v>
      </c>
      <c r="K686" s="35">
        <f>SUBTOTAL(9,K632:K685)</f>
        <v>7805</v>
      </c>
      <c r="L686" s="36">
        <f>SUBTOTAL(9,L632:L685)</f>
        <v>11845.060000000001</v>
      </c>
      <c r="M686" s="36">
        <f>J686-L686</f>
        <v>9653.8200000000033</v>
      </c>
      <c r="N686" s="37">
        <f>IF(J686&lt;&gt;0,M686/J686,"")</f>
        <v>0.44903827548225772</v>
      </c>
      <c r="O686" s="34">
        <f>SUBTOTAL(9,O632:O685)</f>
        <v>16442.940000000002</v>
      </c>
      <c r="P686" s="35">
        <f>SUBTOTAL(9,P632:P685)</f>
        <v>5141</v>
      </c>
      <c r="Q686" s="36">
        <f>SUBTOTAL(9,Q632:Q685)</f>
        <v>10073.14</v>
      </c>
      <c r="R686" s="36">
        <f>O686-Q686</f>
        <v>6369.8000000000029</v>
      </c>
      <c r="S686" s="37">
        <f>IF(O686&lt;&gt;0,R686/O686,"")</f>
        <v>0.38738814348285661</v>
      </c>
      <c r="U686" s="34">
        <f>SUBTOTAL(9,U632:U685)</f>
        <v>4348.2300000000005</v>
      </c>
      <c r="V686" s="35">
        <f>SUBTOTAL(9,V632:V685)</f>
        <v>1591</v>
      </c>
      <c r="W686" s="36">
        <f>SUBTOTAL(9,W632:W685)</f>
        <v>2309.3300000000004</v>
      </c>
      <c r="X686" s="36">
        <f>U686-W686</f>
        <v>2038.9</v>
      </c>
      <c r="Y686" s="37">
        <f>IF(U686&lt;&gt;0,X686/U686,"")</f>
        <v>0.46890343887052888</v>
      </c>
      <c r="Z686" s="34">
        <f>SUBTOTAL(9,Z632:Z685)</f>
        <v>0</v>
      </c>
      <c r="AA686" s="35">
        <f>SUBTOTAL(9,AA632:AA685)</f>
        <v>0</v>
      </c>
      <c r="AB686" s="36">
        <f>SUBTOTAL(9,AB632:AB685)</f>
        <v>0</v>
      </c>
      <c r="AC686" s="36">
        <f t="shared" ref="AC686" si="205">Z686-AB686</f>
        <v>0</v>
      </c>
      <c r="AD686" s="37" t="str">
        <f t="shared" ref="AD686" si="206">IF(Z686&lt;&gt;0,AC686/Z686,"")</f>
        <v/>
      </c>
    </row>
    <row r="687" spans="1:31" x14ac:dyDescent="0.25">
      <c r="A687" s="14" t="s">
        <v>109</v>
      </c>
      <c r="C687" s="66"/>
      <c r="J687" s="10"/>
      <c r="K687" s="11"/>
      <c r="L687" s="11"/>
      <c r="M687" s="11"/>
      <c r="N687" s="12"/>
      <c r="O687" s="10"/>
      <c r="P687" s="11"/>
      <c r="Q687" s="11"/>
      <c r="R687" s="11"/>
      <c r="S687" s="12"/>
      <c r="U687" s="10"/>
      <c r="V687" s="11"/>
      <c r="W687" s="11"/>
      <c r="X687" s="11"/>
      <c r="Y687" s="12"/>
      <c r="Z687" s="10"/>
      <c r="AA687" s="11"/>
      <c r="AB687" s="11"/>
      <c r="AC687" s="11"/>
      <c r="AD687" s="12"/>
    </row>
    <row r="688" spans="1:31" ht="15.75" x14ac:dyDescent="0.25">
      <c r="A688" s="14" t="s">
        <v>109</v>
      </c>
      <c r="C688" s="66" t="str">
        <f t="shared" ref="C688" si="207">E688</f>
        <v>C100049</v>
      </c>
      <c r="E688" s="13" t="str">
        <f>"C100049"</f>
        <v>C100049</v>
      </c>
      <c r="F688" s="13"/>
      <c r="G688" s="13" t="str">
        <f>"Konberg Tapet AB"</f>
        <v>Konberg Tapet AB</v>
      </c>
      <c r="H688" s="13"/>
      <c r="I688" s="13"/>
      <c r="J688" s="10"/>
      <c r="K688" s="11"/>
      <c r="L688" s="11"/>
      <c r="M688" s="11"/>
      <c r="N688" s="12"/>
      <c r="O688" s="10"/>
      <c r="P688" s="11"/>
      <c r="Q688" s="11"/>
      <c r="R688" s="11"/>
      <c r="S688" s="12"/>
      <c r="U688" s="10"/>
      <c r="V688" s="11"/>
      <c r="W688" s="11"/>
      <c r="X688" s="11"/>
      <c r="Y688" s="12"/>
      <c r="Z688" s="10"/>
      <c r="AA688" s="11"/>
      <c r="AB688" s="11"/>
      <c r="AC688" s="11"/>
      <c r="AD688" s="12"/>
    </row>
    <row r="689" spans="1:31" ht="6.6" customHeight="1" x14ac:dyDescent="0.25">
      <c r="A689" s="14" t="s">
        <v>109</v>
      </c>
      <c r="C689" s="61" t="str">
        <f t="shared" ref="C689:C704" si="208">C688</f>
        <v>C100049</v>
      </c>
      <c r="J689" s="10"/>
      <c r="K689" s="11"/>
      <c r="L689" s="11"/>
      <c r="M689" s="11"/>
      <c r="N689" s="12"/>
      <c r="O689" s="10"/>
      <c r="P689" s="11"/>
      <c r="Q689" s="11"/>
      <c r="R689" s="11"/>
      <c r="S689" s="12"/>
      <c r="U689" s="10"/>
      <c r="V689" s="11"/>
      <c r="W689" s="11"/>
      <c r="X689" s="11"/>
      <c r="Y689" s="12"/>
      <c r="Z689" s="10"/>
      <c r="AA689" s="11"/>
      <c r="AB689" s="11"/>
      <c r="AC689" s="11"/>
      <c r="AD689" s="12"/>
    </row>
    <row r="690" spans="1:31" x14ac:dyDescent="0.25">
      <c r="A690" s="14" t="s">
        <v>109</v>
      </c>
      <c r="C690" s="61" t="str">
        <f t="shared" si="208"/>
        <v>C100049</v>
      </c>
      <c r="F690" s="8" t="str">
        <f>"C100002"</f>
        <v>C100002</v>
      </c>
      <c r="G690" s="9" t="str">
        <f>"Border Style"</f>
        <v>Border Style</v>
      </c>
      <c r="H690" s="47"/>
      <c r="I690" s="47"/>
      <c r="J690" s="23">
        <v>1286.68</v>
      </c>
      <c r="K690" s="25">
        <v>24</v>
      </c>
      <c r="L690" s="24">
        <v>766.8</v>
      </c>
      <c r="M690" s="24">
        <f>J690-L690</f>
        <v>519.88000000000011</v>
      </c>
      <c r="N690" s="53">
        <f>IF(J690&lt;&gt;0,M690/J690,"")</f>
        <v>0.4040476264494669</v>
      </c>
      <c r="O690" s="23">
        <v>0</v>
      </c>
      <c r="P690" s="25">
        <v>0</v>
      </c>
      <c r="Q690" s="24">
        <v>0</v>
      </c>
      <c r="R690" s="24">
        <f>O690-Q690</f>
        <v>0</v>
      </c>
      <c r="S690" s="53" t="str">
        <f>IF(O690&lt;&gt;0,R690/O690,"")</f>
        <v/>
      </c>
      <c r="T690" s="10"/>
      <c r="U690" s="23">
        <v>610.17999999999995</v>
      </c>
      <c r="V690" s="25">
        <v>12</v>
      </c>
      <c r="W690" s="24">
        <v>383.4</v>
      </c>
      <c r="X690" s="24">
        <f>U690-W690</f>
        <v>226.77999999999997</v>
      </c>
      <c r="Y690" s="53">
        <f>IF(U690&lt;&gt;0,X690/U690,"")</f>
        <v>0.37166082139696482</v>
      </c>
      <c r="Z690" s="23">
        <v>0</v>
      </c>
      <c r="AA690" s="25">
        <v>0</v>
      </c>
      <c r="AB690" s="24">
        <v>0</v>
      </c>
      <c r="AC690" s="24">
        <f t="shared" ref="AC690" si="209">Z690-AB690</f>
        <v>0</v>
      </c>
      <c r="AD690" s="53" t="str">
        <f t="shared" ref="AD690" si="210">IF(Z690&lt;&gt;0,AC690/Z690,"")</f>
        <v/>
      </c>
      <c r="AE690" s="10"/>
    </row>
    <row r="691" spans="1:31" x14ac:dyDescent="0.25">
      <c r="A691" s="14" t="s">
        <v>109</v>
      </c>
      <c r="C691" s="61" t="str">
        <f t="shared" ref="C691:C702" si="211">C690</f>
        <v>C100049</v>
      </c>
      <c r="F691" s="8" t="str">
        <f>"C100032"</f>
        <v>C100032</v>
      </c>
      <c r="G691" s="9" t="str">
        <f>"Clip-on Clock"</f>
        <v>Clip-on Clock</v>
      </c>
      <c r="H691" s="47"/>
      <c r="I691" s="47"/>
      <c r="J691" s="23">
        <v>98.55</v>
      </c>
      <c r="K691" s="25">
        <v>13</v>
      </c>
      <c r="L691" s="24">
        <v>54.08</v>
      </c>
      <c r="M691" s="24">
        <f>J691-L691</f>
        <v>44.47</v>
      </c>
      <c r="N691" s="53">
        <f>IF(J691&lt;&gt;0,M691/J691,"")</f>
        <v>0.45124302384576359</v>
      </c>
      <c r="O691" s="23">
        <v>0</v>
      </c>
      <c r="P691" s="25">
        <v>0</v>
      </c>
      <c r="Q691" s="24">
        <v>0</v>
      </c>
      <c r="R691" s="24">
        <f>O691-Q691</f>
        <v>0</v>
      </c>
      <c r="S691" s="53" t="str">
        <f>IF(O691&lt;&gt;0,R691/O691,"")</f>
        <v/>
      </c>
      <c r="T691" s="10"/>
      <c r="U691" s="23">
        <v>0</v>
      </c>
      <c r="V691" s="25">
        <v>0</v>
      </c>
      <c r="W691" s="24">
        <v>0</v>
      </c>
      <c r="X691" s="24">
        <f>U691-W691</f>
        <v>0</v>
      </c>
      <c r="Y691" s="53" t="str">
        <f>IF(U691&lt;&gt;0,X691/U691,"")</f>
        <v/>
      </c>
      <c r="Z691" s="23">
        <v>0</v>
      </c>
      <c r="AA691" s="25">
        <v>0</v>
      </c>
      <c r="AB691" s="24">
        <v>0</v>
      </c>
      <c r="AC691" s="24">
        <f t="shared" ref="AC691:AC702" si="212">Z691-AB691</f>
        <v>0</v>
      </c>
      <c r="AD691" s="53" t="str">
        <f t="shared" ref="AD691:AD702" si="213">IF(Z691&lt;&gt;0,AC691/Z691,"")</f>
        <v/>
      </c>
      <c r="AE691" s="10"/>
    </row>
    <row r="692" spans="1:31" x14ac:dyDescent="0.25">
      <c r="A692" s="14" t="s">
        <v>109</v>
      </c>
      <c r="C692" s="61" t="str">
        <f t="shared" si="211"/>
        <v>C100049</v>
      </c>
      <c r="F692" s="8" t="str">
        <f>"C100033"</f>
        <v>C100033</v>
      </c>
      <c r="G692" s="9" t="str">
        <f>"Frames &amp; Clock"</f>
        <v>Frames &amp; Clock</v>
      </c>
      <c r="H692" s="47"/>
      <c r="I692" s="47"/>
      <c r="J692" s="23">
        <v>26.72</v>
      </c>
      <c r="K692" s="25">
        <v>6</v>
      </c>
      <c r="L692" s="24">
        <v>17.28</v>
      </c>
      <c r="M692" s="24">
        <f>J692-L692</f>
        <v>9.4399999999999977</v>
      </c>
      <c r="N692" s="53">
        <f>IF(J692&lt;&gt;0,M692/J692,"")</f>
        <v>0.35329341317365265</v>
      </c>
      <c r="O692" s="23">
        <v>0</v>
      </c>
      <c r="P692" s="25">
        <v>0</v>
      </c>
      <c r="Q692" s="24">
        <v>0</v>
      </c>
      <c r="R692" s="24">
        <f>O692-Q692</f>
        <v>0</v>
      </c>
      <c r="S692" s="53" t="str">
        <f>IF(O692&lt;&gt;0,R692/O692,"")</f>
        <v/>
      </c>
      <c r="T692" s="10"/>
      <c r="U692" s="23">
        <v>106.87</v>
      </c>
      <c r="V692" s="25">
        <v>24</v>
      </c>
      <c r="W692" s="24">
        <v>69.12</v>
      </c>
      <c r="X692" s="24">
        <f>U692-W692</f>
        <v>37.75</v>
      </c>
      <c r="Y692" s="53">
        <f>IF(U692&lt;&gt;0,X692/U692,"")</f>
        <v>0.35323289978478523</v>
      </c>
      <c r="Z692" s="23">
        <v>0</v>
      </c>
      <c r="AA692" s="25">
        <v>0</v>
      </c>
      <c r="AB692" s="24">
        <v>0</v>
      </c>
      <c r="AC692" s="24">
        <f t="shared" si="212"/>
        <v>0</v>
      </c>
      <c r="AD692" s="53" t="str">
        <f t="shared" si="213"/>
        <v/>
      </c>
      <c r="AE692" s="10"/>
    </row>
    <row r="693" spans="1:31" x14ac:dyDescent="0.25">
      <c r="A693" s="14" t="s">
        <v>109</v>
      </c>
      <c r="C693" s="61" t="str">
        <f t="shared" si="211"/>
        <v>C100049</v>
      </c>
      <c r="F693" s="8" t="str">
        <f>"C100036"</f>
        <v>C100036</v>
      </c>
      <c r="G693" s="9" t="str">
        <f>"Clock &amp; Business Card Holder"</f>
        <v>Clock &amp; Business Card Holder</v>
      </c>
      <c r="H693" s="47"/>
      <c r="I693" s="47"/>
      <c r="J693" s="23">
        <v>50.63</v>
      </c>
      <c r="K693" s="25">
        <v>6</v>
      </c>
      <c r="L693" s="24">
        <v>28.08</v>
      </c>
      <c r="M693" s="24">
        <f>J693-L693</f>
        <v>22.550000000000004</v>
      </c>
      <c r="N693" s="53">
        <f>IF(J693&lt;&gt;0,M693/J693,"")</f>
        <v>0.44538810981631449</v>
      </c>
      <c r="O693" s="23">
        <v>0</v>
      </c>
      <c r="P693" s="25">
        <v>0</v>
      </c>
      <c r="Q693" s="24">
        <v>0</v>
      </c>
      <c r="R693" s="24">
        <f>O693-Q693</f>
        <v>0</v>
      </c>
      <c r="S693" s="53" t="str">
        <f>IF(O693&lt;&gt;0,R693/O693,"")</f>
        <v/>
      </c>
      <c r="T693" s="10"/>
      <c r="U693" s="23">
        <v>0</v>
      </c>
      <c r="V693" s="25">
        <v>0</v>
      </c>
      <c r="W693" s="24">
        <v>0</v>
      </c>
      <c r="X693" s="24">
        <f>U693-W693</f>
        <v>0</v>
      </c>
      <c r="Y693" s="53" t="str">
        <f>IF(U693&lt;&gt;0,X693/U693,"")</f>
        <v/>
      </c>
      <c r="Z693" s="23">
        <v>8.44</v>
      </c>
      <c r="AA693" s="25">
        <v>1</v>
      </c>
      <c r="AB693" s="24">
        <v>4.68</v>
      </c>
      <c r="AC693" s="24">
        <f t="shared" si="212"/>
        <v>3.76</v>
      </c>
      <c r="AD693" s="53">
        <f t="shared" si="213"/>
        <v>0.44549763033175355</v>
      </c>
      <c r="AE693" s="10"/>
    </row>
    <row r="694" spans="1:31" x14ac:dyDescent="0.25">
      <c r="A694" s="14" t="s">
        <v>109</v>
      </c>
      <c r="C694" s="61" t="str">
        <f t="shared" si="211"/>
        <v>C100049</v>
      </c>
      <c r="F694" s="8" t="str">
        <f>"C100037"</f>
        <v>C100037</v>
      </c>
      <c r="G694" s="9" t="str">
        <f>"World Time Travel Alarm"</f>
        <v>World Time Travel Alarm</v>
      </c>
      <c r="H694" s="47"/>
      <c r="I694" s="47"/>
      <c r="J694" s="23">
        <v>1259.92</v>
      </c>
      <c r="K694" s="25">
        <v>144</v>
      </c>
      <c r="L694" s="24">
        <v>777.6099999999999</v>
      </c>
      <c r="M694" s="24">
        <f>J694-L694</f>
        <v>482.31000000000017</v>
      </c>
      <c r="N694" s="53">
        <f>IF(J694&lt;&gt;0,M694/J694,"")</f>
        <v>0.38281001968378958</v>
      </c>
      <c r="O694" s="23">
        <v>0</v>
      </c>
      <c r="P694" s="25">
        <v>0</v>
      </c>
      <c r="Q694" s="24">
        <v>0</v>
      </c>
      <c r="R694" s="24">
        <f>O694-Q694</f>
        <v>0</v>
      </c>
      <c r="S694" s="53" t="str">
        <f>IF(O694&lt;&gt;0,R694/O694,"")</f>
        <v/>
      </c>
      <c r="T694" s="10"/>
      <c r="U694" s="23">
        <v>0</v>
      </c>
      <c r="V694" s="25">
        <v>0</v>
      </c>
      <c r="W694" s="24">
        <v>0</v>
      </c>
      <c r="X694" s="24">
        <f>U694-W694</f>
        <v>0</v>
      </c>
      <c r="Y694" s="53" t="str">
        <f>IF(U694&lt;&gt;0,X694/U694,"")</f>
        <v/>
      </c>
      <c r="Z694" s="23">
        <v>0</v>
      </c>
      <c r="AA694" s="25">
        <v>0</v>
      </c>
      <c r="AB694" s="24">
        <v>0</v>
      </c>
      <c r="AC694" s="24">
        <f t="shared" si="212"/>
        <v>0</v>
      </c>
      <c r="AD694" s="53" t="str">
        <f t="shared" si="213"/>
        <v/>
      </c>
      <c r="AE694" s="10"/>
    </row>
    <row r="695" spans="1:31" x14ac:dyDescent="0.25">
      <c r="A695" s="14" t="s">
        <v>109</v>
      </c>
      <c r="C695" s="61" t="str">
        <f t="shared" si="211"/>
        <v>C100049</v>
      </c>
      <c r="F695" s="8" t="str">
        <f>"C100044"</f>
        <v>C100044</v>
      </c>
      <c r="G695" s="9" t="str">
        <f>"VOIP Headset with Mic"</f>
        <v>VOIP Headset with Mic</v>
      </c>
      <c r="H695" s="47"/>
      <c r="I695" s="47"/>
      <c r="J695" s="23">
        <v>48.57</v>
      </c>
      <c r="K695" s="25">
        <v>24</v>
      </c>
      <c r="L695" s="24">
        <v>28.81</v>
      </c>
      <c r="M695" s="24">
        <f>J695-L695</f>
        <v>19.760000000000002</v>
      </c>
      <c r="N695" s="53">
        <f>IF(J695&lt;&gt;0,M695/J695,"")</f>
        <v>0.40683549516162243</v>
      </c>
      <c r="O695" s="23">
        <v>0</v>
      </c>
      <c r="P695" s="25">
        <v>0</v>
      </c>
      <c r="Q695" s="24">
        <v>0</v>
      </c>
      <c r="R695" s="24">
        <f>O695-Q695</f>
        <v>0</v>
      </c>
      <c r="S695" s="53" t="str">
        <f>IF(O695&lt;&gt;0,R695/O695,"")</f>
        <v/>
      </c>
      <c r="T695" s="10"/>
      <c r="U695" s="23">
        <v>0</v>
      </c>
      <c r="V695" s="25">
        <v>0</v>
      </c>
      <c r="W695" s="24">
        <v>0</v>
      </c>
      <c r="X695" s="24">
        <f>U695-W695</f>
        <v>0</v>
      </c>
      <c r="Y695" s="53" t="str">
        <f>IF(U695&lt;&gt;0,X695/U695,"")</f>
        <v/>
      </c>
      <c r="Z695" s="23">
        <v>0</v>
      </c>
      <c r="AA695" s="25">
        <v>0</v>
      </c>
      <c r="AB695" s="24">
        <v>0</v>
      </c>
      <c r="AC695" s="24">
        <f t="shared" si="212"/>
        <v>0</v>
      </c>
      <c r="AD695" s="53" t="str">
        <f t="shared" si="213"/>
        <v/>
      </c>
      <c r="AE695" s="10"/>
    </row>
    <row r="696" spans="1:31" x14ac:dyDescent="0.25">
      <c r="A696" s="14" t="s">
        <v>109</v>
      </c>
      <c r="C696" s="61" t="str">
        <f t="shared" si="211"/>
        <v>C100049</v>
      </c>
      <c r="F696" s="8" t="str">
        <f>"C100045"</f>
        <v>C100045</v>
      </c>
      <c r="G696" s="9" t="str">
        <f>"Wireless Headphones"</f>
        <v>Wireless Headphones</v>
      </c>
      <c r="H696" s="47"/>
      <c r="I696" s="47"/>
      <c r="J696" s="23">
        <v>627.73</v>
      </c>
      <c r="K696" s="25">
        <v>24</v>
      </c>
      <c r="L696" s="24">
        <v>331.21000000000004</v>
      </c>
      <c r="M696" s="24">
        <f>J696-L696</f>
        <v>296.52</v>
      </c>
      <c r="N696" s="53">
        <f>IF(J696&lt;&gt;0,M696/J696,"")</f>
        <v>0.47236869354658845</v>
      </c>
      <c r="O696" s="23">
        <v>0</v>
      </c>
      <c r="P696" s="25">
        <v>0</v>
      </c>
      <c r="Q696" s="24">
        <v>0</v>
      </c>
      <c r="R696" s="24">
        <f>O696-Q696</f>
        <v>0</v>
      </c>
      <c r="S696" s="53" t="str">
        <f>IF(O696&lt;&gt;0,R696/O696,"")</f>
        <v/>
      </c>
      <c r="T696" s="10"/>
      <c r="U696" s="23">
        <v>0</v>
      </c>
      <c r="V696" s="25">
        <v>0</v>
      </c>
      <c r="W696" s="24">
        <v>0</v>
      </c>
      <c r="X696" s="24">
        <f>U696-W696</f>
        <v>0</v>
      </c>
      <c r="Y696" s="53" t="str">
        <f>IF(U696&lt;&gt;0,X696/U696,"")</f>
        <v/>
      </c>
      <c r="Z696" s="23">
        <v>0</v>
      </c>
      <c r="AA696" s="25">
        <v>0</v>
      </c>
      <c r="AB696" s="24">
        <v>0</v>
      </c>
      <c r="AC696" s="24">
        <f t="shared" si="212"/>
        <v>0</v>
      </c>
      <c r="AD696" s="53" t="str">
        <f t="shared" si="213"/>
        <v/>
      </c>
      <c r="AE696" s="10"/>
    </row>
    <row r="697" spans="1:31" x14ac:dyDescent="0.25">
      <c r="A697" s="14" t="s">
        <v>109</v>
      </c>
      <c r="C697" s="61" t="str">
        <f t="shared" si="211"/>
        <v>C100049</v>
      </c>
      <c r="F697" s="8" t="str">
        <f>"C100048"</f>
        <v>C100048</v>
      </c>
      <c r="G697" s="9" t="str">
        <f>"USB MP3 Player"</f>
        <v>USB MP3 Player</v>
      </c>
      <c r="H697" s="47"/>
      <c r="I697" s="47"/>
      <c r="J697" s="23">
        <v>557.75</v>
      </c>
      <c r="K697" s="25">
        <v>48</v>
      </c>
      <c r="L697" s="24">
        <v>369.6</v>
      </c>
      <c r="M697" s="24">
        <f>J697-L697</f>
        <v>188.14999999999998</v>
      </c>
      <c r="N697" s="53">
        <f>IF(J697&lt;&gt;0,M697/J697,"")</f>
        <v>0.33733751680860596</v>
      </c>
      <c r="O697" s="23">
        <v>0</v>
      </c>
      <c r="P697" s="25">
        <v>0</v>
      </c>
      <c r="Q697" s="24">
        <v>0</v>
      </c>
      <c r="R697" s="24">
        <f>O697-Q697</f>
        <v>0</v>
      </c>
      <c r="S697" s="53" t="str">
        <f>IF(O697&lt;&gt;0,R697/O697,"")</f>
        <v/>
      </c>
      <c r="T697" s="10"/>
      <c r="U697" s="23">
        <v>0</v>
      </c>
      <c r="V697" s="25">
        <v>0</v>
      </c>
      <c r="W697" s="24">
        <v>0</v>
      </c>
      <c r="X697" s="24">
        <f>U697-W697</f>
        <v>0</v>
      </c>
      <c r="Y697" s="53" t="str">
        <f>IF(U697&lt;&gt;0,X697/U697,"")</f>
        <v/>
      </c>
      <c r="Z697" s="23">
        <v>0</v>
      </c>
      <c r="AA697" s="25">
        <v>0</v>
      </c>
      <c r="AB697" s="24">
        <v>0</v>
      </c>
      <c r="AC697" s="24">
        <f t="shared" si="212"/>
        <v>0</v>
      </c>
      <c r="AD697" s="53" t="str">
        <f t="shared" si="213"/>
        <v/>
      </c>
      <c r="AE697" s="10"/>
    </row>
    <row r="698" spans="1:31" x14ac:dyDescent="0.25">
      <c r="A698" s="14" t="s">
        <v>109</v>
      </c>
      <c r="C698" s="61" t="str">
        <f t="shared" si="211"/>
        <v>C100049</v>
      </c>
      <c r="F698" s="8" t="str">
        <f>"C100049"</f>
        <v>C100049</v>
      </c>
      <c r="G698" s="9" t="str">
        <f>"4GB MP3 Player"</f>
        <v>4GB MP3 Player</v>
      </c>
      <c r="H698" s="47"/>
      <c r="I698" s="47"/>
      <c r="J698" s="23">
        <v>2120.52</v>
      </c>
      <c r="K698" s="25">
        <v>145</v>
      </c>
      <c r="L698" s="24">
        <v>1362.91</v>
      </c>
      <c r="M698" s="24">
        <f>J698-L698</f>
        <v>757.6099999999999</v>
      </c>
      <c r="N698" s="53">
        <f>IF(J698&lt;&gt;0,M698/J698,"")</f>
        <v>0.35727557391583192</v>
      </c>
      <c r="O698" s="23">
        <v>0</v>
      </c>
      <c r="P698" s="25">
        <v>0</v>
      </c>
      <c r="Q698" s="24">
        <v>0</v>
      </c>
      <c r="R698" s="24">
        <f>O698-Q698</f>
        <v>0</v>
      </c>
      <c r="S698" s="53" t="str">
        <f>IF(O698&lt;&gt;0,R698/O698,"")</f>
        <v/>
      </c>
      <c r="T698" s="10"/>
      <c r="U698" s="23">
        <v>2280.5299999999997</v>
      </c>
      <c r="V698" s="25">
        <v>156</v>
      </c>
      <c r="W698" s="24">
        <v>1466.31</v>
      </c>
      <c r="X698" s="24">
        <f>U698-W698</f>
        <v>814.2199999999998</v>
      </c>
      <c r="Y698" s="53">
        <f>IF(U698&lt;&gt;0,X698/U698,"")</f>
        <v>0.35703104102993599</v>
      </c>
      <c r="Z698" s="23">
        <v>0</v>
      </c>
      <c r="AA698" s="25">
        <v>0</v>
      </c>
      <c r="AB698" s="24">
        <v>0</v>
      </c>
      <c r="AC698" s="24">
        <f t="shared" si="212"/>
        <v>0</v>
      </c>
      <c r="AD698" s="53" t="str">
        <f t="shared" si="213"/>
        <v/>
      </c>
      <c r="AE698" s="10"/>
    </row>
    <row r="699" spans="1:31" x14ac:dyDescent="0.25">
      <c r="A699" s="14" t="s">
        <v>109</v>
      </c>
      <c r="C699" s="61" t="str">
        <f t="shared" si="211"/>
        <v>C100049</v>
      </c>
      <c r="F699" s="8" t="str">
        <f>"C100053"</f>
        <v>C100053</v>
      </c>
      <c r="G699" s="9" t="str">
        <f>"Book Style Photo Frame &amp; Clock"</f>
        <v>Book Style Photo Frame &amp; Clock</v>
      </c>
      <c r="H699" s="47"/>
      <c r="I699" s="47"/>
      <c r="J699" s="23">
        <v>2909.54</v>
      </c>
      <c r="K699" s="25">
        <v>144</v>
      </c>
      <c r="L699" s="24">
        <v>1733.72</v>
      </c>
      <c r="M699" s="24">
        <f>J699-L699</f>
        <v>1175.82</v>
      </c>
      <c r="N699" s="53">
        <f>IF(J699&lt;&gt;0,M699/J699,"")</f>
        <v>0.40412573808918245</v>
      </c>
      <c r="O699" s="23">
        <v>0</v>
      </c>
      <c r="P699" s="25">
        <v>0</v>
      </c>
      <c r="Q699" s="24">
        <v>0</v>
      </c>
      <c r="R699" s="24">
        <f>O699-Q699</f>
        <v>0</v>
      </c>
      <c r="S699" s="53" t="str">
        <f>IF(O699&lt;&gt;0,R699/O699,"")</f>
        <v/>
      </c>
      <c r="T699" s="10"/>
      <c r="U699" s="23">
        <v>0</v>
      </c>
      <c r="V699" s="25">
        <v>0</v>
      </c>
      <c r="W699" s="24">
        <v>0</v>
      </c>
      <c r="X699" s="24">
        <f>U699-W699</f>
        <v>0</v>
      </c>
      <c r="Y699" s="53" t="str">
        <f>IF(U699&lt;&gt;0,X699/U699,"")</f>
        <v/>
      </c>
      <c r="Z699" s="23">
        <v>2909.54</v>
      </c>
      <c r="AA699" s="25">
        <v>144</v>
      </c>
      <c r="AB699" s="24">
        <v>1733.72</v>
      </c>
      <c r="AC699" s="24">
        <f t="shared" si="212"/>
        <v>1175.82</v>
      </c>
      <c r="AD699" s="53">
        <f t="shared" si="213"/>
        <v>0.40412573808918245</v>
      </c>
      <c r="AE699" s="10"/>
    </row>
    <row r="700" spans="1:31" x14ac:dyDescent="0.25">
      <c r="A700" s="14" t="s">
        <v>109</v>
      </c>
      <c r="C700" s="61" t="str">
        <f t="shared" si="211"/>
        <v>C100049</v>
      </c>
      <c r="F700" s="8" t="str">
        <f>"C100055"</f>
        <v>C100055</v>
      </c>
      <c r="G700" s="9" t="str">
        <f>"Silver Plated Photo Frame"</f>
        <v>Silver Plated Photo Frame</v>
      </c>
      <c r="H700" s="47"/>
      <c r="I700" s="47"/>
      <c r="J700" s="23">
        <v>1782.74</v>
      </c>
      <c r="K700" s="25">
        <v>48</v>
      </c>
      <c r="L700" s="24">
        <v>993.63000000000011</v>
      </c>
      <c r="M700" s="24">
        <f>J700-L700</f>
        <v>789.1099999999999</v>
      </c>
      <c r="N700" s="53">
        <f>IF(J700&lt;&gt;0,M700/J700,"")</f>
        <v>0.44263885928402341</v>
      </c>
      <c r="O700" s="23">
        <v>0</v>
      </c>
      <c r="P700" s="25">
        <v>0</v>
      </c>
      <c r="Q700" s="24">
        <v>0</v>
      </c>
      <c r="R700" s="24">
        <f>O700-Q700</f>
        <v>0</v>
      </c>
      <c r="S700" s="53" t="str">
        <f>IF(O700&lt;&gt;0,R700/O700,"")</f>
        <v/>
      </c>
      <c r="T700" s="10"/>
      <c r="U700" s="23">
        <v>0</v>
      </c>
      <c r="V700" s="25">
        <v>0</v>
      </c>
      <c r="W700" s="24">
        <v>0</v>
      </c>
      <c r="X700" s="24">
        <f>U700-W700</f>
        <v>0</v>
      </c>
      <c r="Y700" s="53" t="str">
        <f>IF(U700&lt;&gt;0,X700/U700,"")</f>
        <v/>
      </c>
      <c r="Z700" s="23">
        <v>0</v>
      </c>
      <c r="AA700" s="25">
        <v>0</v>
      </c>
      <c r="AB700" s="24">
        <v>0</v>
      </c>
      <c r="AC700" s="24">
        <f t="shared" si="212"/>
        <v>0</v>
      </c>
      <c r="AD700" s="53" t="str">
        <f t="shared" si="213"/>
        <v/>
      </c>
      <c r="AE700" s="10"/>
    </row>
    <row r="701" spans="1:31" x14ac:dyDescent="0.25">
      <c r="A701" s="14" t="s">
        <v>109</v>
      </c>
      <c r="C701" s="61" t="str">
        <f t="shared" si="211"/>
        <v>C100049</v>
      </c>
      <c r="F701" s="8" t="str">
        <f>"E100018"</f>
        <v>E100018</v>
      </c>
      <c r="G701" s="9" t="str">
        <f>"Flexi-Clock &amp; Clip"</f>
        <v>Flexi-Clock &amp; Clip</v>
      </c>
      <c r="H701" s="47"/>
      <c r="I701" s="47"/>
      <c r="J701" s="23">
        <v>1.04</v>
      </c>
      <c r="K701" s="25">
        <v>1</v>
      </c>
      <c r="L701" s="24">
        <v>0.6</v>
      </c>
      <c r="M701" s="24">
        <f>J701-L701</f>
        <v>0.44000000000000006</v>
      </c>
      <c r="N701" s="53">
        <f>IF(J701&lt;&gt;0,M701/J701,"")</f>
        <v>0.42307692307692313</v>
      </c>
      <c r="O701" s="23">
        <v>0</v>
      </c>
      <c r="P701" s="25">
        <v>0</v>
      </c>
      <c r="Q701" s="24">
        <v>0</v>
      </c>
      <c r="R701" s="24">
        <f>O701-Q701</f>
        <v>0</v>
      </c>
      <c r="S701" s="53" t="str">
        <f>IF(O701&lt;&gt;0,R701/O701,"")</f>
        <v/>
      </c>
      <c r="T701" s="10"/>
      <c r="U701" s="23">
        <v>0</v>
      </c>
      <c r="V701" s="25">
        <v>0</v>
      </c>
      <c r="W701" s="24">
        <v>0</v>
      </c>
      <c r="X701" s="24">
        <f>U701-W701</f>
        <v>0</v>
      </c>
      <c r="Y701" s="53" t="str">
        <f>IF(U701&lt;&gt;0,X701/U701,"")</f>
        <v/>
      </c>
      <c r="Z701" s="23">
        <v>157.83000000000001</v>
      </c>
      <c r="AA701" s="25">
        <v>144</v>
      </c>
      <c r="AB701" s="24">
        <v>86.39</v>
      </c>
      <c r="AC701" s="24">
        <f t="shared" si="212"/>
        <v>71.440000000000012</v>
      </c>
      <c r="AD701" s="53">
        <f t="shared" si="213"/>
        <v>0.45263891528860167</v>
      </c>
      <c r="AE701" s="10"/>
    </row>
    <row r="702" spans="1:31" x14ac:dyDescent="0.25">
      <c r="A702" s="14" t="s">
        <v>109</v>
      </c>
      <c r="C702" s="61" t="str">
        <f t="shared" si="211"/>
        <v>C100049</v>
      </c>
      <c r="F702" s="8" t="str">
        <f>"E100022"</f>
        <v>E100022</v>
      </c>
      <c r="G702" s="9" t="str">
        <f>"Wide Screen Alarm Clock"</f>
        <v>Wide Screen Alarm Clock</v>
      </c>
      <c r="H702" s="47"/>
      <c r="I702" s="47"/>
      <c r="J702" s="23">
        <v>14.88</v>
      </c>
      <c r="K702" s="25">
        <v>8</v>
      </c>
      <c r="L702" s="24">
        <v>10.24</v>
      </c>
      <c r="M702" s="24">
        <f>J702-L702</f>
        <v>4.6400000000000006</v>
      </c>
      <c r="N702" s="53">
        <f>IF(J702&lt;&gt;0,M702/J702,"")</f>
        <v>0.31182795698924731</v>
      </c>
      <c r="O702" s="23">
        <v>0</v>
      </c>
      <c r="P702" s="25">
        <v>0</v>
      </c>
      <c r="Q702" s="24">
        <v>0</v>
      </c>
      <c r="R702" s="24">
        <f>O702-Q702</f>
        <v>0</v>
      </c>
      <c r="S702" s="53" t="str">
        <f>IF(O702&lt;&gt;0,R702/O702,"")</f>
        <v/>
      </c>
      <c r="T702" s="10"/>
      <c r="U702" s="23">
        <v>10.65</v>
      </c>
      <c r="V702" s="25">
        <v>6</v>
      </c>
      <c r="W702" s="24">
        <v>7.68</v>
      </c>
      <c r="X702" s="24">
        <f>U702-W702</f>
        <v>2.9700000000000006</v>
      </c>
      <c r="Y702" s="53">
        <f>IF(U702&lt;&gt;0,X702/U702,"")</f>
        <v>0.27887323943661979</v>
      </c>
      <c r="Z702" s="23">
        <v>0</v>
      </c>
      <c r="AA702" s="25">
        <v>0</v>
      </c>
      <c r="AB702" s="24">
        <v>0</v>
      </c>
      <c r="AC702" s="24">
        <f t="shared" si="212"/>
        <v>0</v>
      </c>
      <c r="AD702" s="53" t="str">
        <f t="shared" si="213"/>
        <v/>
      </c>
      <c r="AE702" s="10"/>
    </row>
    <row r="703" spans="1:31" ht="15.75" thickBot="1" x14ac:dyDescent="0.3">
      <c r="A703" s="14" t="s">
        <v>109</v>
      </c>
      <c r="C703" s="61" t="str">
        <f>C690</f>
        <v>C100049</v>
      </c>
      <c r="J703" s="10"/>
      <c r="K703" s="11"/>
      <c r="L703" s="11"/>
      <c r="M703" s="11"/>
      <c r="N703" s="12"/>
      <c r="O703" s="10"/>
      <c r="P703" s="11"/>
      <c r="Q703" s="11"/>
      <c r="R703" s="11"/>
      <c r="S703" s="12"/>
      <c r="U703" s="10"/>
      <c r="V703" s="11"/>
      <c r="W703" s="11"/>
      <c r="X703" s="11"/>
      <c r="Y703" s="12"/>
      <c r="Z703" s="10"/>
      <c r="AA703" s="11"/>
      <c r="AB703" s="11"/>
      <c r="AC703" s="11"/>
      <c r="AD703" s="12"/>
    </row>
    <row r="704" spans="1:31" ht="15.75" thickBot="1" x14ac:dyDescent="0.3">
      <c r="A704" s="14" t="s">
        <v>109</v>
      </c>
      <c r="C704" s="61" t="str">
        <f t="shared" si="208"/>
        <v>C100049</v>
      </c>
      <c r="G704" s="48" t="str">
        <f>C704&amp;" TOTAL:"</f>
        <v>C100049 TOTAL:</v>
      </c>
      <c r="H704" s="50"/>
      <c r="I704" s="50"/>
      <c r="J704" s="34">
        <f>SUBTOTAL(9,J689:J703)</f>
        <v>10785.27</v>
      </c>
      <c r="K704" s="35">
        <f>SUBTOTAL(9,K689:K703)</f>
        <v>635</v>
      </c>
      <c r="L704" s="36">
        <f>SUBTOTAL(9,L689:L703)</f>
        <v>6474.5700000000006</v>
      </c>
      <c r="M704" s="36">
        <f>J704-L704</f>
        <v>4310.7</v>
      </c>
      <c r="N704" s="37">
        <f>IF(J704&lt;&gt;0,M704/J704,"")</f>
        <v>0.39968401347393245</v>
      </c>
      <c r="O704" s="34">
        <f>SUBTOTAL(9,O689:O703)</f>
        <v>0</v>
      </c>
      <c r="P704" s="35">
        <f>SUBTOTAL(9,P689:P703)</f>
        <v>0</v>
      </c>
      <c r="Q704" s="36">
        <f>SUBTOTAL(9,Q689:Q703)</f>
        <v>0</v>
      </c>
      <c r="R704" s="36">
        <f>O704-Q704</f>
        <v>0</v>
      </c>
      <c r="S704" s="37" t="str">
        <f>IF(O704&lt;&gt;0,R704/O704,"")</f>
        <v/>
      </c>
      <c r="U704" s="34">
        <f>SUBTOTAL(9,U689:U703)</f>
        <v>3008.23</v>
      </c>
      <c r="V704" s="35">
        <f>SUBTOTAL(9,V689:V703)</f>
        <v>198</v>
      </c>
      <c r="W704" s="36">
        <f>SUBTOTAL(9,W689:W703)</f>
        <v>1926.51</v>
      </c>
      <c r="X704" s="36">
        <f>U704-W704</f>
        <v>1081.72</v>
      </c>
      <c r="Y704" s="37">
        <f>IF(U704&lt;&gt;0,X704/U704,"")</f>
        <v>0.35958686669569812</v>
      </c>
      <c r="Z704" s="34">
        <f>SUBTOTAL(9,Z689:Z703)</f>
        <v>3075.81</v>
      </c>
      <c r="AA704" s="35">
        <f>SUBTOTAL(9,AA689:AA703)</f>
        <v>289</v>
      </c>
      <c r="AB704" s="36">
        <f>SUBTOTAL(9,AB689:AB703)</f>
        <v>1824.7900000000002</v>
      </c>
      <c r="AC704" s="36">
        <f t="shared" ref="AC704" si="214">Z704-AB704</f>
        <v>1251.0199999999998</v>
      </c>
      <c r="AD704" s="37">
        <f t="shared" ref="AD704" si="215">IF(Z704&lt;&gt;0,AC704/Z704,"")</f>
        <v>0.40672863408337961</v>
      </c>
    </row>
    <row r="705" spans="1:31" x14ac:dyDescent="0.25">
      <c r="A705" s="14" t="s">
        <v>109</v>
      </c>
      <c r="C705" s="66"/>
      <c r="J705" s="10"/>
      <c r="K705" s="11"/>
      <c r="L705" s="11"/>
      <c r="M705" s="11"/>
      <c r="N705" s="12"/>
      <c r="O705" s="10"/>
      <c r="P705" s="11"/>
      <c r="Q705" s="11"/>
      <c r="R705" s="11"/>
      <c r="S705" s="12"/>
      <c r="U705" s="10"/>
      <c r="V705" s="11"/>
      <c r="W705" s="11"/>
      <c r="X705" s="11"/>
      <c r="Y705" s="12"/>
      <c r="Z705" s="10"/>
      <c r="AA705" s="11"/>
      <c r="AB705" s="11"/>
      <c r="AC705" s="11"/>
      <c r="AD705" s="12"/>
    </row>
    <row r="706" spans="1:31" ht="15.75" x14ac:dyDescent="0.25">
      <c r="A706" s="14" t="s">
        <v>109</v>
      </c>
      <c r="C706" s="66" t="str">
        <f t="shared" ref="C706" si="216">E706</f>
        <v>C100050</v>
      </c>
      <c r="E706" s="13" t="str">
        <f>"C100050"</f>
        <v>C100050</v>
      </c>
      <c r="F706" s="13"/>
      <c r="G706" s="13" t="str">
        <f>"Lauritzen Kontorm¢bler A/S"</f>
        <v>Lauritzen Kontorm¢bler A/S</v>
      </c>
      <c r="H706" s="13"/>
      <c r="I706" s="13"/>
      <c r="J706" s="10"/>
      <c r="K706" s="11"/>
      <c r="L706" s="11"/>
      <c r="M706" s="11"/>
      <c r="N706" s="12"/>
      <c r="O706" s="10"/>
      <c r="P706" s="11"/>
      <c r="Q706" s="11"/>
      <c r="R706" s="11"/>
      <c r="S706" s="12"/>
      <c r="U706" s="10"/>
      <c r="V706" s="11"/>
      <c r="W706" s="11"/>
      <c r="X706" s="11"/>
      <c r="Y706" s="12"/>
      <c r="Z706" s="10"/>
      <c r="AA706" s="11"/>
      <c r="AB706" s="11"/>
      <c r="AC706" s="11"/>
      <c r="AD706" s="12"/>
    </row>
    <row r="707" spans="1:31" ht="6.6" customHeight="1" x14ac:dyDescent="0.25">
      <c r="A707" s="14" t="s">
        <v>109</v>
      </c>
      <c r="C707" s="61" t="str">
        <f t="shared" ref="C707:C741" si="217">C706</f>
        <v>C100050</v>
      </c>
      <c r="J707" s="10"/>
      <c r="K707" s="11"/>
      <c r="L707" s="11"/>
      <c r="M707" s="11"/>
      <c r="N707" s="12"/>
      <c r="O707" s="10"/>
      <c r="P707" s="11"/>
      <c r="Q707" s="11"/>
      <c r="R707" s="11"/>
      <c r="S707" s="12"/>
      <c r="U707" s="10"/>
      <c r="V707" s="11"/>
      <c r="W707" s="11"/>
      <c r="X707" s="11"/>
      <c r="Y707" s="12"/>
      <c r="Z707" s="10"/>
      <c r="AA707" s="11"/>
      <c r="AB707" s="11"/>
      <c r="AC707" s="11"/>
      <c r="AD707" s="12"/>
    </row>
    <row r="708" spans="1:31" x14ac:dyDescent="0.25">
      <c r="A708" s="14" t="s">
        <v>109</v>
      </c>
      <c r="C708" s="61" t="str">
        <f t="shared" si="217"/>
        <v>C100050</v>
      </c>
      <c r="F708" s="8" t="str">
        <f>"C100003"</f>
        <v>C100003</v>
      </c>
      <c r="G708" s="9" t="str">
        <f>"Cherry Finish Frame"</f>
        <v>Cherry Finish Frame</v>
      </c>
      <c r="H708" s="47"/>
      <c r="I708" s="47"/>
      <c r="J708" s="23">
        <v>3706.7999999999997</v>
      </c>
      <c r="K708" s="25">
        <v>60</v>
      </c>
      <c r="L708" s="24">
        <v>1958.4</v>
      </c>
      <c r="M708" s="24">
        <f>J708-L708</f>
        <v>1748.3999999999996</v>
      </c>
      <c r="N708" s="53">
        <f>IF(J708&lt;&gt;0,M708/J708,"")</f>
        <v>0.47167368080284877</v>
      </c>
      <c r="O708" s="23">
        <v>6387.079999999999</v>
      </c>
      <c r="P708" s="25">
        <v>96</v>
      </c>
      <c r="Q708" s="24">
        <v>3133.44</v>
      </c>
      <c r="R708" s="24">
        <f>O708-Q708</f>
        <v>3253.639999999999</v>
      </c>
      <c r="S708" s="53">
        <f>IF(O708&lt;&gt;0,R708/O708,"")</f>
        <v>0.50940962067173101</v>
      </c>
      <c r="T708" s="10"/>
      <c r="U708" s="23">
        <v>63.820000000000007</v>
      </c>
      <c r="V708" s="25">
        <v>1</v>
      </c>
      <c r="W708" s="24">
        <v>32.64</v>
      </c>
      <c r="X708" s="24">
        <f>U708-W708</f>
        <v>31.180000000000007</v>
      </c>
      <c r="Y708" s="53">
        <f>IF(U708&lt;&gt;0,X708/U708,"")</f>
        <v>0.4885615794421812</v>
      </c>
      <c r="Z708" s="23">
        <v>9385.11</v>
      </c>
      <c r="AA708" s="25">
        <v>144</v>
      </c>
      <c r="AB708" s="24">
        <v>4700.1499999999996</v>
      </c>
      <c r="AC708" s="24">
        <f t="shared" ref="AC708" si="218">Z708-AB708</f>
        <v>4684.9600000000009</v>
      </c>
      <c r="AD708" s="53">
        <f t="shared" ref="AD708" si="219">IF(Z708&lt;&gt;0,AC708/Z708,"")</f>
        <v>0.49919073937332653</v>
      </c>
      <c r="AE708" s="10"/>
    </row>
    <row r="709" spans="1:31" x14ac:dyDescent="0.25">
      <c r="A709" s="14" t="s">
        <v>109</v>
      </c>
      <c r="C709" s="61" t="str">
        <f t="shared" ref="C709:C739" si="220">C708</f>
        <v>C100050</v>
      </c>
      <c r="F709" s="8" t="str">
        <f>"C100004"</f>
        <v>C100004</v>
      </c>
      <c r="G709" s="9" t="str">
        <f>"Walnut Medallian Plate"</f>
        <v>Walnut Medallian Plate</v>
      </c>
      <c r="H709" s="47"/>
      <c r="I709" s="47"/>
      <c r="J709" s="23">
        <v>2535.86</v>
      </c>
      <c r="K709" s="25">
        <v>48</v>
      </c>
      <c r="L709" s="24">
        <v>1468.8</v>
      </c>
      <c r="M709" s="24">
        <f>J709-L709</f>
        <v>1067.0600000000002</v>
      </c>
      <c r="N709" s="53">
        <f>IF(J709&lt;&gt;0,M709/J709,"")</f>
        <v>0.42078821386038667</v>
      </c>
      <c r="O709" s="23">
        <v>2792.3</v>
      </c>
      <c r="P709" s="25">
        <v>48</v>
      </c>
      <c r="Q709" s="24">
        <v>1468.8</v>
      </c>
      <c r="R709" s="24">
        <f>O709-Q709</f>
        <v>1323.5000000000002</v>
      </c>
      <c r="S709" s="53">
        <f>IF(O709&lt;&gt;0,R709/O709,"")</f>
        <v>0.47398202198904132</v>
      </c>
      <c r="T709" s="10"/>
      <c r="U709" s="23">
        <v>0</v>
      </c>
      <c r="V709" s="25">
        <v>0</v>
      </c>
      <c r="W709" s="24">
        <v>0</v>
      </c>
      <c r="X709" s="24">
        <f>U709-W709</f>
        <v>0</v>
      </c>
      <c r="Y709" s="53" t="str">
        <f>IF(U709&lt;&gt;0,X709/U709,"")</f>
        <v/>
      </c>
      <c r="Z709" s="23">
        <v>56.98</v>
      </c>
      <c r="AA709" s="25">
        <v>1</v>
      </c>
      <c r="AB709" s="24">
        <v>30.6</v>
      </c>
      <c r="AC709" s="24">
        <f t="shared" ref="AC709:AC739" si="221">Z709-AB709</f>
        <v>26.379999999999995</v>
      </c>
      <c r="AD709" s="53">
        <f t="shared" ref="AD709:AD739" si="222">IF(Z709&lt;&gt;0,AC709/Z709,"")</f>
        <v>0.4629694629694629</v>
      </c>
      <c r="AE709" s="10"/>
    </row>
    <row r="710" spans="1:31" x14ac:dyDescent="0.25">
      <c r="A710" s="14" t="s">
        <v>109</v>
      </c>
      <c r="C710" s="61" t="str">
        <f t="shared" si="220"/>
        <v>C100050</v>
      </c>
      <c r="F710" s="8" t="str">
        <f>"C100005"</f>
        <v>C100005</v>
      </c>
      <c r="G710" s="9" t="str">
        <f>"Cherry Finished Crystal Award"</f>
        <v>Cherry Finished Crystal Award</v>
      </c>
      <c r="H710" s="47"/>
      <c r="I710" s="47"/>
      <c r="J710" s="23">
        <v>12135.05</v>
      </c>
      <c r="K710" s="25">
        <v>96.999999999999986</v>
      </c>
      <c r="L710" s="24">
        <v>6880.21</v>
      </c>
      <c r="M710" s="24">
        <f>J710-L710</f>
        <v>5254.8399999999992</v>
      </c>
      <c r="N710" s="53">
        <f>IF(J710&lt;&gt;0,M710/J710,"")</f>
        <v>0.43302994219224472</v>
      </c>
      <c r="O710" s="23">
        <v>6539.4999999999991</v>
      </c>
      <c r="P710" s="25">
        <v>48</v>
      </c>
      <c r="Q710" s="24">
        <v>3404.64</v>
      </c>
      <c r="R710" s="24">
        <f>O710-Q710</f>
        <v>3134.8599999999992</v>
      </c>
      <c r="S710" s="53">
        <f>IF(O710&lt;&gt;0,R710/O710,"")</f>
        <v>0.47937304075235104</v>
      </c>
      <c r="T710" s="10"/>
      <c r="U710" s="23">
        <v>0</v>
      </c>
      <c r="V710" s="25">
        <v>0</v>
      </c>
      <c r="W710" s="24">
        <v>0</v>
      </c>
      <c r="X710" s="24">
        <f>U710-W710</f>
        <v>0</v>
      </c>
      <c r="Y710" s="53" t="str">
        <f>IF(U710&lt;&gt;0,X710/U710,"")</f>
        <v/>
      </c>
      <c r="Z710" s="23">
        <v>0</v>
      </c>
      <c r="AA710" s="25">
        <v>0</v>
      </c>
      <c r="AB710" s="24">
        <v>0</v>
      </c>
      <c r="AC710" s="24">
        <f t="shared" si="221"/>
        <v>0</v>
      </c>
      <c r="AD710" s="53" t="str">
        <f t="shared" si="222"/>
        <v/>
      </c>
      <c r="AE710" s="10"/>
    </row>
    <row r="711" spans="1:31" x14ac:dyDescent="0.25">
      <c r="A711" s="14" t="s">
        <v>109</v>
      </c>
      <c r="C711" s="61" t="str">
        <f t="shared" si="220"/>
        <v>C100050</v>
      </c>
      <c r="F711" s="8" t="str">
        <f>"C100006"</f>
        <v>C100006</v>
      </c>
      <c r="G711" s="9" t="str">
        <f>"Cherry Finished Crystal Award- Large"</f>
        <v>Cherry Finished Crystal Award- Large</v>
      </c>
      <c r="H711" s="47"/>
      <c r="I711" s="47"/>
      <c r="J711" s="23">
        <v>0</v>
      </c>
      <c r="K711" s="25">
        <v>0</v>
      </c>
      <c r="L711" s="24">
        <v>0</v>
      </c>
      <c r="M711" s="24">
        <f>J711-L711</f>
        <v>0</v>
      </c>
      <c r="N711" s="53" t="str">
        <f>IF(J711&lt;&gt;0,M711/J711,"")</f>
        <v/>
      </c>
      <c r="O711" s="23">
        <v>2458.8900000000003</v>
      </c>
      <c r="P711" s="25">
        <v>12</v>
      </c>
      <c r="Q711" s="24">
        <v>1140.48</v>
      </c>
      <c r="R711" s="24">
        <f>O711-Q711</f>
        <v>1318.4100000000003</v>
      </c>
      <c r="S711" s="53">
        <f>IF(O711&lt;&gt;0,R711/O711,"")</f>
        <v>0.53618095970132873</v>
      </c>
      <c r="T711" s="10"/>
      <c r="U711" s="23">
        <v>4717.07</v>
      </c>
      <c r="V711" s="25">
        <v>24</v>
      </c>
      <c r="W711" s="24">
        <v>2280.96</v>
      </c>
      <c r="X711" s="24">
        <f>U711-W711</f>
        <v>2436.1099999999997</v>
      </c>
      <c r="Y711" s="53">
        <f>IF(U711&lt;&gt;0,X711/U711,"")</f>
        <v>0.51644559016508129</v>
      </c>
      <c r="Z711" s="23">
        <v>0</v>
      </c>
      <c r="AA711" s="25">
        <v>0</v>
      </c>
      <c r="AB711" s="24">
        <v>0</v>
      </c>
      <c r="AC711" s="24">
        <f t="shared" si="221"/>
        <v>0</v>
      </c>
      <c r="AD711" s="53" t="str">
        <f t="shared" si="222"/>
        <v/>
      </c>
      <c r="AE711" s="10"/>
    </row>
    <row r="712" spans="1:31" x14ac:dyDescent="0.25">
      <c r="A712" s="14" t="s">
        <v>109</v>
      </c>
      <c r="C712" s="61" t="str">
        <f t="shared" si="220"/>
        <v>C100050</v>
      </c>
      <c r="F712" s="8" t="str">
        <f>"C100017"</f>
        <v>C100017</v>
      </c>
      <c r="G712" s="9" t="str">
        <f>"Wheeled Duffel"</f>
        <v>Wheeled Duffel</v>
      </c>
      <c r="H712" s="47"/>
      <c r="I712" s="47"/>
      <c r="J712" s="23">
        <v>4129.53</v>
      </c>
      <c r="K712" s="25">
        <v>24</v>
      </c>
      <c r="L712" s="24">
        <v>2429.2800000000002</v>
      </c>
      <c r="M712" s="24">
        <f>J712-L712</f>
        <v>1700.2499999999995</v>
      </c>
      <c r="N712" s="53">
        <f>IF(J712&lt;&gt;0,M712/J712,"")</f>
        <v>0.41172966415064177</v>
      </c>
      <c r="O712" s="23">
        <v>0</v>
      </c>
      <c r="P712" s="25">
        <v>0</v>
      </c>
      <c r="Q712" s="24">
        <v>0</v>
      </c>
      <c r="R712" s="24">
        <f>O712-Q712</f>
        <v>0</v>
      </c>
      <c r="S712" s="53" t="str">
        <f>IF(O712&lt;&gt;0,R712/O712,"")</f>
        <v/>
      </c>
      <c r="T712" s="10"/>
      <c r="U712" s="23">
        <v>0</v>
      </c>
      <c r="V712" s="25">
        <v>0</v>
      </c>
      <c r="W712" s="24">
        <v>0</v>
      </c>
      <c r="X712" s="24">
        <f>U712-W712</f>
        <v>0</v>
      </c>
      <c r="Y712" s="53" t="str">
        <f>IF(U712&lt;&gt;0,X712/U712,"")</f>
        <v/>
      </c>
      <c r="Z712" s="23">
        <v>0</v>
      </c>
      <c r="AA712" s="25">
        <v>0</v>
      </c>
      <c r="AB712" s="24">
        <v>0</v>
      </c>
      <c r="AC712" s="24">
        <f t="shared" si="221"/>
        <v>0</v>
      </c>
      <c r="AD712" s="53" t="str">
        <f t="shared" si="222"/>
        <v/>
      </c>
      <c r="AE712" s="10"/>
    </row>
    <row r="713" spans="1:31" x14ac:dyDescent="0.25">
      <c r="A713" s="14" t="s">
        <v>109</v>
      </c>
      <c r="C713" s="61" t="str">
        <f t="shared" si="220"/>
        <v>C100050</v>
      </c>
      <c r="F713" s="8" t="str">
        <f>"C100018"</f>
        <v>C100018</v>
      </c>
      <c r="G713" s="9" t="str">
        <f>"Action Sport Duffel"</f>
        <v>Action Sport Duffel</v>
      </c>
      <c r="H713" s="47"/>
      <c r="I713" s="47"/>
      <c r="J713" s="23">
        <v>0</v>
      </c>
      <c r="K713" s="25">
        <v>0</v>
      </c>
      <c r="L713" s="24">
        <v>0</v>
      </c>
      <c r="M713" s="24">
        <f>J713-L713</f>
        <v>0</v>
      </c>
      <c r="N713" s="53" t="str">
        <f>IF(J713&lt;&gt;0,M713/J713,"")</f>
        <v/>
      </c>
      <c r="O713" s="23">
        <v>2485.14</v>
      </c>
      <c r="P713" s="25">
        <v>144</v>
      </c>
      <c r="Q713" s="24">
        <v>1231.21</v>
      </c>
      <c r="R713" s="24">
        <f>O713-Q713</f>
        <v>1253.9299999999998</v>
      </c>
      <c r="S713" s="53">
        <f>IF(O713&lt;&gt;0,R713/O713,"")</f>
        <v>0.50457117104066562</v>
      </c>
      <c r="T713" s="10"/>
      <c r="U713" s="23">
        <v>202.86999999999998</v>
      </c>
      <c r="V713" s="25">
        <v>12</v>
      </c>
      <c r="W713" s="24">
        <v>102.6</v>
      </c>
      <c r="X713" s="24">
        <f>U713-W713</f>
        <v>100.26999999999998</v>
      </c>
      <c r="Y713" s="53">
        <f>IF(U713&lt;&gt;0,X713/U713,"")</f>
        <v>0.49425740622073244</v>
      </c>
      <c r="Z713" s="23">
        <v>0</v>
      </c>
      <c r="AA713" s="25">
        <v>0</v>
      </c>
      <c r="AB713" s="24">
        <v>0</v>
      </c>
      <c r="AC713" s="24">
        <f t="shared" si="221"/>
        <v>0</v>
      </c>
      <c r="AD713" s="53" t="str">
        <f t="shared" si="222"/>
        <v/>
      </c>
      <c r="AE713" s="10"/>
    </row>
    <row r="714" spans="1:31" x14ac:dyDescent="0.25">
      <c r="A714" s="14" t="s">
        <v>109</v>
      </c>
      <c r="C714" s="61" t="str">
        <f t="shared" si="220"/>
        <v>C100050</v>
      </c>
      <c r="F714" s="8" t="str">
        <f>"C100022"</f>
        <v>C100022</v>
      </c>
      <c r="G714" s="9" t="str">
        <f>"Two-Toned Cap"</f>
        <v>Two-Toned Cap</v>
      </c>
      <c r="H714" s="47"/>
      <c r="I714" s="47"/>
      <c r="J714" s="23">
        <v>0</v>
      </c>
      <c r="K714" s="25">
        <v>0</v>
      </c>
      <c r="L714" s="24">
        <v>0</v>
      </c>
      <c r="M714" s="24">
        <f>J714-L714</f>
        <v>0</v>
      </c>
      <c r="N714" s="53" t="str">
        <f>IF(J714&lt;&gt;0,M714/J714,"")</f>
        <v/>
      </c>
      <c r="O714" s="23">
        <v>3.13</v>
      </c>
      <c r="P714" s="25">
        <v>1</v>
      </c>
      <c r="Q714" s="24">
        <v>1.61</v>
      </c>
      <c r="R714" s="24">
        <f>O714-Q714</f>
        <v>1.5199999999999998</v>
      </c>
      <c r="S714" s="53">
        <f>IF(O714&lt;&gt;0,R714/O714,"")</f>
        <v>0.4856230031948881</v>
      </c>
      <c r="T714" s="10"/>
      <c r="U714" s="23">
        <v>0</v>
      </c>
      <c r="V714" s="25">
        <v>0</v>
      </c>
      <c r="W714" s="24">
        <v>0</v>
      </c>
      <c r="X714" s="24">
        <f>U714-W714</f>
        <v>0</v>
      </c>
      <c r="Y714" s="53" t="str">
        <f>IF(U714&lt;&gt;0,X714/U714,"")</f>
        <v/>
      </c>
      <c r="Z714" s="23">
        <v>0</v>
      </c>
      <c r="AA714" s="25">
        <v>0</v>
      </c>
      <c r="AB714" s="24">
        <v>0</v>
      </c>
      <c r="AC714" s="24">
        <f t="shared" si="221"/>
        <v>0</v>
      </c>
      <c r="AD714" s="53" t="str">
        <f t="shared" si="222"/>
        <v/>
      </c>
      <c r="AE714" s="10"/>
    </row>
    <row r="715" spans="1:31" x14ac:dyDescent="0.25">
      <c r="A715" s="14" t="s">
        <v>109</v>
      </c>
      <c r="C715" s="61" t="str">
        <f t="shared" si="220"/>
        <v>C100050</v>
      </c>
      <c r="F715" s="8" t="str">
        <f>"C100023"</f>
        <v>C100023</v>
      </c>
      <c r="G715" s="9" t="str">
        <f>"Two-Toned Knit Hat"</f>
        <v>Two-Toned Knit Hat</v>
      </c>
      <c r="H715" s="47"/>
      <c r="I715" s="47"/>
      <c r="J715" s="23">
        <v>409.71000000000004</v>
      </c>
      <c r="K715" s="25">
        <v>168</v>
      </c>
      <c r="L715" s="24">
        <v>211.67</v>
      </c>
      <c r="M715" s="24">
        <f>J715-L715</f>
        <v>198.04000000000005</v>
      </c>
      <c r="N715" s="53">
        <f>IF(J715&lt;&gt;0,M715/J715,"")</f>
        <v>0.48336628346879507</v>
      </c>
      <c r="O715" s="23">
        <v>378.2</v>
      </c>
      <c r="P715" s="25">
        <v>144</v>
      </c>
      <c r="Q715" s="24">
        <v>181.43</v>
      </c>
      <c r="R715" s="24">
        <f>O715-Q715</f>
        <v>196.76999999999998</v>
      </c>
      <c r="S715" s="53">
        <f>IF(O715&lt;&gt;0,R715/O715,"")</f>
        <v>0.52028027498677942</v>
      </c>
      <c r="T715" s="10"/>
      <c r="U715" s="23">
        <v>2.52</v>
      </c>
      <c r="V715" s="25">
        <v>1</v>
      </c>
      <c r="W715" s="24">
        <v>1.26</v>
      </c>
      <c r="X715" s="24">
        <f>U715-W715</f>
        <v>1.26</v>
      </c>
      <c r="Y715" s="53">
        <f>IF(U715&lt;&gt;0,X715/U715,"")</f>
        <v>0.5</v>
      </c>
      <c r="Z715" s="23">
        <v>0</v>
      </c>
      <c r="AA715" s="25">
        <v>0</v>
      </c>
      <c r="AB715" s="24">
        <v>0</v>
      </c>
      <c r="AC715" s="24">
        <f t="shared" si="221"/>
        <v>0</v>
      </c>
      <c r="AD715" s="53" t="str">
        <f t="shared" si="222"/>
        <v/>
      </c>
      <c r="AE715" s="10"/>
    </row>
    <row r="716" spans="1:31" x14ac:dyDescent="0.25">
      <c r="A716" s="14" t="s">
        <v>109</v>
      </c>
      <c r="C716" s="61" t="str">
        <f t="shared" si="220"/>
        <v>C100050</v>
      </c>
      <c r="F716" s="8" t="str">
        <f>"C100024"</f>
        <v>C100024</v>
      </c>
      <c r="G716" s="9" t="str">
        <f>"Knit Hat with Bill"</f>
        <v>Knit Hat with Bill</v>
      </c>
      <c r="H716" s="47"/>
      <c r="I716" s="47"/>
      <c r="J716" s="23">
        <v>0</v>
      </c>
      <c r="K716" s="25">
        <v>0</v>
      </c>
      <c r="L716" s="24">
        <v>0</v>
      </c>
      <c r="M716" s="24">
        <f>J716-L716</f>
        <v>0</v>
      </c>
      <c r="N716" s="53" t="str">
        <f>IF(J716&lt;&gt;0,M716/J716,"")</f>
        <v/>
      </c>
      <c r="O716" s="23">
        <v>753.57999999999993</v>
      </c>
      <c r="P716" s="25">
        <v>144</v>
      </c>
      <c r="Q716" s="24">
        <v>432</v>
      </c>
      <c r="R716" s="24">
        <f>O716-Q716</f>
        <v>321.57999999999993</v>
      </c>
      <c r="S716" s="53">
        <f>IF(O716&lt;&gt;0,R716/O716,"")</f>
        <v>0.42673637835399025</v>
      </c>
      <c r="T716" s="10"/>
      <c r="U716" s="23">
        <v>0</v>
      </c>
      <c r="V716" s="25">
        <v>0</v>
      </c>
      <c r="W716" s="24">
        <v>0</v>
      </c>
      <c r="X716" s="24">
        <f>U716-W716</f>
        <v>0</v>
      </c>
      <c r="Y716" s="53" t="str">
        <f>IF(U716&lt;&gt;0,X716/U716,"")</f>
        <v/>
      </c>
      <c r="Z716" s="23">
        <v>0</v>
      </c>
      <c r="AA716" s="25">
        <v>0</v>
      </c>
      <c r="AB716" s="24">
        <v>0</v>
      </c>
      <c r="AC716" s="24">
        <f t="shared" si="221"/>
        <v>0</v>
      </c>
      <c r="AD716" s="53" t="str">
        <f t="shared" si="222"/>
        <v/>
      </c>
      <c r="AE716" s="10"/>
    </row>
    <row r="717" spans="1:31" x14ac:dyDescent="0.25">
      <c r="A717" s="14" t="s">
        <v>109</v>
      </c>
      <c r="C717" s="61" t="str">
        <f t="shared" si="220"/>
        <v>C100050</v>
      </c>
      <c r="F717" s="8" t="str">
        <f>"C100025"</f>
        <v>C100025</v>
      </c>
      <c r="G717" s="9" t="str">
        <f>"Striped Knit Hat"</f>
        <v>Striped Knit Hat</v>
      </c>
      <c r="H717" s="47"/>
      <c r="I717" s="47"/>
      <c r="J717" s="23">
        <v>5.42</v>
      </c>
      <c r="K717" s="25">
        <v>2</v>
      </c>
      <c r="L717" s="24">
        <v>2.76</v>
      </c>
      <c r="M717" s="24">
        <f>J717-L717</f>
        <v>2.66</v>
      </c>
      <c r="N717" s="53">
        <f>IF(J717&lt;&gt;0,M717/J717,"")</f>
        <v>0.4907749077490775</v>
      </c>
      <c r="O717" s="23">
        <v>420.53000000000003</v>
      </c>
      <c r="P717" s="25">
        <v>144</v>
      </c>
      <c r="Q717" s="24">
        <v>198.72</v>
      </c>
      <c r="R717" s="24">
        <f>O717-Q717</f>
        <v>221.81000000000003</v>
      </c>
      <c r="S717" s="53">
        <f>IF(O717&lt;&gt;0,R717/O717,"")</f>
        <v>0.52745345159679458</v>
      </c>
      <c r="T717" s="10"/>
      <c r="U717" s="23">
        <v>470.59000000000003</v>
      </c>
      <c r="V717" s="25">
        <v>168</v>
      </c>
      <c r="W717" s="24">
        <v>231.84</v>
      </c>
      <c r="X717" s="24">
        <f>U717-W717</f>
        <v>238.75000000000003</v>
      </c>
      <c r="Y717" s="53">
        <f>IF(U717&lt;&gt;0,X717/U717,"")</f>
        <v>0.50734184746807198</v>
      </c>
      <c r="Z717" s="23">
        <v>0</v>
      </c>
      <c r="AA717" s="25">
        <v>0</v>
      </c>
      <c r="AB717" s="24">
        <v>0</v>
      </c>
      <c r="AC717" s="24">
        <f t="shared" si="221"/>
        <v>0</v>
      </c>
      <c r="AD717" s="53" t="str">
        <f t="shared" si="222"/>
        <v/>
      </c>
      <c r="AE717" s="10"/>
    </row>
    <row r="718" spans="1:31" x14ac:dyDescent="0.25">
      <c r="A718" s="14" t="s">
        <v>109</v>
      </c>
      <c r="C718" s="61" t="str">
        <f t="shared" si="220"/>
        <v>C100050</v>
      </c>
      <c r="F718" s="8" t="str">
        <f>"C100026"</f>
        <v>C100026</v>
      </c>
      <c r="G718" s="9" t="str">
        <f>"Fleece Beanie"</f>
        <v>Fleece Beanie</v>
      </c>
      <c r="H718" s="47"/>
      <c r="I718" s="47"/>
      <c r="J718" s="23">
        <v>0</v>
      </c>
      <c r="K718" s="25">
        <v>0</v>
      </c>
      <c r="L718" s="24">
        <v>0</v>
      </c>
      <c r="M718" s="24">
        <f>J718-L718</f>
        <v>0</v>
      </c>
      <c r="N718" s="53" t="str">
        <f>IF(J718&lt;&gt;0,M718/J718,"")</f>
        <v/>
      </c>
      <c r="O718" s="23">
        <v>18.350000000000001</v>
      </c>
      <c r="P718" s="25">
        <v>6</v>
      </c>
      <c r="Q718" s="24">
        <v>12</v>
      </c>
      <c r="R718" s="24">
        <f>O718-Q718</f>
        <v>6.3500000000000014</v>
      </c>
      <c r="S718" s="53">
        <f>IF(O718&lt;&gt;0,R718/O718,"")</f>
        <v>0.34604904632152594</v>
      </c>
      <c r="T718" s="10"/>
      <c r="U718" s="23">
        <v>0</v>
      </c>
      <c r="V718" s="25">
        <v>0</v>
      </c>
      <c r="W718" s="24">
        <v>0</v>
      </c>
      <c r="X718" s="24">
        <f>U718-W718</f>
        <v>0</v>
      </c>
      <c r="Y718" s="53" t="str">
        <f>IF(U718&lt;&gt;0,X718/U718,"")</f>
        <v/>
      </c>
      <c r="Z718" s="23">
        <v>0</v>
      </c>
      <c r="AA718" s="25">
        <v>0</v>
      </c>
      <c r="AB718" s="24">
        <v>0</v>
      </c>
      <c r="AC718" s="24">
        <f t="shared" si="221"/>
        <v>0</v>
      </c>
      <c r="AD718" s="53" t="str">
        <f t="shared" si="222"/>
        <v/>
      </c>
      <c r="AE718" s="10"/>
    </row>
    <row r="719" spans="1:31" x14ac:dyDescent="0.25">
      <c r="A719" s="14" t="s">
        <v>109</v>
      </c>
      <c r="C719" s="61" t="str">
        <f t="shared" si="220"/>
        <v>C100050</v>
      </c>
      <c r="F719" s="8" t="str">
        <f>"C100029"</f>
        <v>C100029</v>
      </c>
      <c r="G719" s="9" t="str">
        <f>"Distressed Twill Visor"</f>
        <v>Distressed Twill Visor</v>
      </c>
      <c r="H719" s="47"/>
      <c r="I719" s="47"/>
      <c r="J719" s="23">
        <v>0</v>
      </c>
      <c r="K719" s="25">
        <v>0</v>
      </c>
      <c r="L719" s="24">
        <v>0</v>
      </c>
      <c r="M719" s="24">
        <f>J719-L719</f>
        <v>0</v>
      </c>
      <c r="N719" s="53" t="str">
        <f>IF(J719&lt;&gt;0,M719/J719,"")</f>
        <v/>
      </c>
      <c r="O719" s="23">
        <v>482.62999999999994</v>
      </c>
      <c r="P719" s="25">
        <v>144</v>
      </c>
      <c r="Q719" s="24">
        <v>298.09000000000003</v>
      </c>
      <c r="R719" s="24">
        <f>O719-Q719</f>
        <v>184.53999999999991</v>
      </c>
      <c r="S719" s="53">
        <f>IF(O719&lt;&gt;0,R719/O719,"")</f>
        <v>0.38236330107950173</v>
      </c>
      <c r="T719" s="10"/>
      <c r="U719" s="23">
        <v>472.78000000000003</v>
      </c>
      <c r="V719" s="25">
        <v>144</v>
      </c>
      <c r="W719" s="24">
        <v>298.09000000000003</v>
      </c>
      <c r="X719" s="24">
        <f>U719-W719</f>
        <v>174.69</v>
      </c>
      <c r="Y719" s="53">
        <f>IF(U719&lt;&gt;0,X719/U719,"")</f>
        <v>0.36949532552138414</v>
      </c>
      <c r="Z719" s="23">
        <v>0</v>
      </c>
      <c r="AA719" s="25">
        <v>0</v>
      </c>
      <c r="AB719" s="24">
        <v>0</v>
      </c>
      <c r="AC719" s="24">
        <f t="shared" si="221"/>
        <v>0</v>
      </c>
      <c r="AD719" s="53" t="str">
        <f t="shared" si="222"/>
        <v/>
      </c>
      <c r="AE719" s="10"/>
    </row>
    <row r="720" spans="1:31" x14ac:dyDescent="0.25">
      <c r="A720" s="14" t="s">
        <v>109</v>
      </c>
      <c r="C720" s="61" t="str">
        <f t="shared" si="220"/>
        <v>C100050</v>
      </c>
      <c r="F720" s="8" t="str">
        <f>"E100001"</f>
        <v>E100001</v>
      </c>
      <c r="G720" s="9" t="str">
        <f>"Sport Bag"</f>
        <v>Sport Bag</v>
      </c>
      <c r="H720" s="47"/>
      <c r="I720" s="47"/>
      <c r="J720" s="23">
        <v>0</v>
      </c>
      <c r="K720" s="25">
        <v>0</v>
      </c>
      <c r="L720" s="24">
        <v>0</v>
      </c>
      <c r="M720" s="24">
        <f>J720-L720</f>
        <v>0</v>
      </c>
      <c r="N720" s="53" t="str">
        <f>IF(J720&lt;&gt;0,M720/J720,"")</f>
        <v/>
      </c>
      <c r="O720" s="23">
        <v>510.86</v>
      </c>
      <c r="P720" s="25">
        <v>288</v>
      </c>
      <c r="Q720" s="24">
        <v>250.56</v>
      </c>
      <c r="R720" s="24">
        <f>O720-Q720</f>
        <v>260.3</v>
      </c>
      <c r="S720" s="53">
        <f>IF(O720&lt;&gt;0,R720/O720,"")</f>
        <v>0.50953294444661945</v>
      </c>
      <c r="T720" s="10"/>
      <c r="U720" s="23">
        <v>246.75</v>
      </c>
      <c r="V720" s="25">
        <v>145</v>
      </c>
      <c r="W720" s="24">
        <v>126.15</v>
      </c>
      <c r="X720" s="24">
        <f>U720-W720</f>
        <v>120.6</v>
      </c>
      <c r="Y720" s="53">
        <f>IF(U720&lt;&gt;0,X720/U720,"")</f>
        <v>0.48875379939209723</v>
      </c>
      <c r="Z720" s="23">
        <v>250.22</v>
      </c>
      <c r="AA720" s="25">
        <v>144</v>
      </c>
      <c r="AB720" s="24">
        <v>125.28</v>
      </c>
      <c r="AC720" s="24">
        <f t="shared" si="221"/>
        <v>124.94</v>
      </c>
      <c r="AD720" s="53">
        <f t="shared" si="222"/>
        <v>0.49932059787387101</v>
      </c>
      <c r="AE720" s="10"/>
    </row>
    <row r="721" spans="1:31" x14ac:dyDescent="0.25">
      <c r="A721" s="14" t="s">
        <v>109</v>
      </c>
      <c r="C721" s="61" t="str">
        <f t="shared" si="220"/>
        <v>C100050</v>
      </c>
      <c r="F721" s="8" t="str">
        <f>"E100011"</f>
        <v>E100011</v>
      </c>
      <c r="G721" s="9" t="str">
        <f>"Plastic Sun Visor"</f>
        <v>Plastic Sun Visor</v>
      </c>
      <c r="H721" s="47"/>
      <c r="I721" s="47"/>
      <c r="J721" s="23">
        <v>0</v>
      </c>
      <c r="K721" s="25">
        <v>0</v>
      </c>
      <c r="L721" s="24">
        <v>0</v>
      </c>
      <c r="M721" s="24">
        <f>J721-L721</f>
        <v>0</v>
      </c>
      <c r="N721" s="53" t="str">
        <f>IF(J721&lt;&gt;0,M721/J721,"")</f>
        <v/>
      </c>
      <c r="O721" s="23">
        <v>115.9</v>
      </c>
      <c r="P721" s="25">
        <v>146</v>
      </c>
      <c r="Q721" s="24">
        <v>61.31</v>
      </c>
      <c r="R721" s="24">
        <f>O721-Q721</f>
        <v>54.59</v>
      </c>
      <c r="S721" s="53">
        <f>IF(O721&lt;&gt;0,R721/O721,"")</f>
        <v>0.4710094909404659</v>
      </c>
      <c r="T721" s="10"/>
      <c r="U721" s="23">
        <v>18.27</v>
      </c>
      <c r="V721" s="25">
        <v>24</v>
      </c>
      <c r="W721" s="24">
        <v>10.08</v>
      </c>
      <c r="X721" s="24">
        <f>U721-W721</f>
        <v>8.19</v>
      </c>
      <c r="Y721" s="53">
        <f>IF(U721&lt;&gt;0,X721/U721,"")</f>
        <v>0.44827586206896552</v>
      </c>
      <c r="Z721" s="23">
        <v>0</v>
      </c>
      <c r="AA721" s="25">
        <v>0</v>
      </c>
      <c r="AB721" s="24">
        <v>0</v>
      </c>
      <c r="AC721" s="24">
        <f t="shared" si="221"/>
        <v>0</v>
      </c>
      <c r="AD721" s="53" t="str">
        <f t="shared" si="222"/>
        <v/>
      </c>
      <c r="AE721" s="10"/>
    </row>
    <row r="722" spans="1:31" x14ac:dyDescent="0.25">
      <c r="A722" s="14" t="s">
        <v>109</v>
      </c>
      <c r="C722" s="61" t="str">
        <f t="shared" si="220"/>
        <v>C100050</v>
      </c>
      <c r="F722" s="8" t="str">
        <f>"E100012"</f>
        <v>E100012</v>
      </c>
      <c r="G722" s="9" t="str">
        <f>"Canvas Stopwatch"</f>
        <v>Canvas Stopwatch</v>
      </c>
      <c r="H722" s="47"/>
      <c r="I722" s="47"/>
      <c r="J722" s="23">
        <v>969.70999999999992</v>
      </c>
      <c r="K722" s="25">
        <v>288</v>
      </c>
      <c r="L722" s="24">
        <v>564.45999999999992</v>
      </c>
      <c r="M722" s="24">
        <f>J722-L722</f>
        <v>405.25</v>
      </c>
      <c r="N722" s="53">
        <f>IF(J722&lt;&gt;0,M722/J722,"")</f>
        <v>0.41790844685524542</v>
      </c>
      <c r="O722" s="23">
        <v>-87.03</v>
      </c>
      <c r="P722" s="25">
        <v>-24</v>
      </c>
      <c r="Q722" s="24">
        <v>-47.04</v>
      </c>
      <c r="R722" s="24">
        <f>O722-Q722</f>
        <v>-39.99</v>
      </c>
      <c r="S722" s="53">
        <f>IF(O722&lt;&gt;0,R722/O722,"")</f>
        <v>0.4594967252671493</v>
      </c>
      <c r="T722" s="10"/>
      <c r="U722" s="23">
        <v>0</v>
      </c>
      <c r="V722" s="25">
        <v>0</v>
      </c>
      <c r="W722" s="24">
        <v>0</v>
      </c>
      <c r="X722" s="24">
        <f>U722-W722</f>
        <v>0</v>
      </c>
      <c r="Y722" s="53" t="str">
        <f>IF(U722&lt;&gt;0,X722/U722,"")</f>
        <v/>
      </c>
      <c r="Z722" s="23">
        <v>0</v>
      </c>
      <c r="AA722" s="25">
        <v>0</v>
      </c>
      <c r="AB722" s="24">
        <v>0</v>
      </c>
      <c r="AC722" s="24">
        <f t="shared" si="221"/>
        <v>0</v>
      </c>
      <c r="AD722" s="53" t="str">
        <f t="shared" si="222"/>
        <v/>
      </c>
      <c r="AE722" s="10"/>
    </row>
    <row r="723" spans="1:31" x14ac:dyDescent="0.25">
      <c r="A723" s="14" t="s">
        <v>109</v>
      </c>
      <c r="C723" s="61" t="str">
        <f t="shared" si="220"/>
        <v>C100050</v>
      </c>
      <c r="F723" s="8" t="str">
        <f>"E100014"</f>
        <v>E100014</v>
      </c>
      <c r="G723" s="9" t="str">
        <f>"Stopwatch with Neck Rope"</f>
        <v>Stopwatch with Neck Rope</v>
      </c>
      <c r="H723" s="47"/>
      <c r="I723" s="47"/>
      <c r="J723" s="23">
        <v>2.4500000000000002</v>
      </c>
      <c r="K723" s="25">
        <v>1</v>
      </c>
      <c r="L723" s="24">
        <v>1.29</v>
      </c>
      <c r="M723" s="24">
        <f>J723-L723</f>
        <v>1.1600000000000001</v>
      </c>
      <c r="N723" s="53">
        <f>IF(J723&lt;&gt;0,M723/J723,"")</f>
        <v>0.47346938775510206</v>
      </c>
      <c r="O723" s="23">
        <v>385.37</v>
      </c>
      <c r="P723" s="25">
        <v>143</v>
      </c>
      <c r="Q723" s="24">
        <v>184.46</v>
      </c>
      <c r="R723" s="24">
        <f>O723-Q723</f>
        <v>200.91</v>
      </c>
      <c r="S723" s="53">
        <f>IF(O723&lt;&gt;0,R723/O723,"")</f>
        <v>0.52134312478916367</v>
      </c>
      <c r="T723" s="10"/>
      <c r="U723" s="23">
        <v>0</v>
      </c>
      <c r="V723" s="25">
        <v>0</v>
      </c>
      <c r="W723" s="24">
        <v>0</v>
      </c>
      <c r="X723" s="24">
        <f>U723-W723</f>
        <v>0</v>
      </c>
      <c r="Y723" s="53" t="str">
        <f>IF(U723&lt;&gt;0,X723/U723,"")</f>
        <v/>
      </c>
      <c r="Z723" s="23">
        <v>0</v>
      </c>
      <c r="AA723" s="25">
        <v>0</v>
      </c>
      <c r="AB723" s="24">
        <v>0</v>
      </c>
      <c r="AC723" s="24">
        <f t="shared" si="221"/>
        <v>0</v>
      </c>
      <c r="AD723" s="53" t="str">
        <f t="shared" si="222"/>
        <v/>
      </c>
      <c r="AE723" s="10"/>
    </row>
    <row r="724" spans="1:31" x14ac:dyDescent="0.25">
      <c r="A724" s="14" t="s">
        <v>109</v>
      </c>
      <c r="C724" s="61" t="str">
        <f t="shared" si="220"/>
        <v>C100050</v>
      </c>
      <c r="F724" s="8" t="str">
        <f>"E100015"</f>
        <v>E100015</v>
      </c>
      <c r="G724" s="9" t="str">
        <f>"360 Clip Watch"</f>
        <v>360 Clip Watch</v>
      </c>
      <c r="H724" s="47"/>
      <c r="I724" s="47"/>
      <c r="J724" s="23">
        <v>563.47</v>
      </c>
      <c r="K724" s="25">
        <v>288</v>
      </c>
      <c r="L724" s="24">
        <v>293.77000000000004</v>
      </c>
      <c r="M724" s="24">
        <f>J724-L724</f>
        <v>269.7</v>
      </c>
      <c r="N724" s="53">
        <f>IF(J724&lt;&gt;0,M724/J724,"")</f>
        <v>0.47864127637673698</v>
      </c>
      <c r="O724" s="23">
        <v>-2.11</v>
      </c>
      <c r="P724" s="25">
        <v>-1</v>
      </c>
      <c r="Q724" s="24">
        <v>-1.02</v>
      </c>
      <c r="R724" s="24">
        <f>O724-Q724</f>
        <v>-1.0899999999999999</v>
      </c>
      <c r="S724" s="53">
        <f>IF(O724&lt;&gt;0,R724/O724,"")</f>
        <v>0.51658767772511849</v>
      </c>
      <c r="T724" s="10"/>
      <c r="U724" s="23">
        <v>0</v>
      </c>
      <c r="V724" s="25">
        <v>0</v>
      </c>
      <c r="W724" s="24">
        <v>0</v>
      </c>
      <c r="X724" s="24">
        <f>U724-W724</f>
        <v>0</v>
      </c>
      <c r="Y724" s="53" t="str">
        <f>IF(U724&lt;&gt;0,X724/U724,"")</f>
        <v/>
      </c>
      <c r="Z724" s="23">
        <v>0</v>
      </c>
      <c r="AA724" s="25">
        <v>0</v>
      </c>
      <c r="AB724" s="24">
        <v>0</v>
      </c>
      <c r="AC724" s="24">
        <f t="shared" si="221"/>
        <v>0</v>
      </c>
      <c r="AD724" s="53" t="str">
        <f t="shared" si="222"/>
        <v/>
      </c>
      <c r="AE724" s="10"/>
    </row>
    <row r="725" spans="1:31" x14ac:dyDescent="0.25">
      <c r="A725" s="14" t="s">
        <v>109</v>
      </c>
      <c r="C725" s="61" t="str">
        <f t="shared" si="220"/>
        <v>C100050</v>
      </c>
      <c r="F725" s="8" t="str">
        <f>"E100016"</f>
        <v>E100016</v>
      </c>
      <c r="G725" s="9" t="str">
        <f>"4 Function Rotating Carabiner Watch"</f>
        <v>4 Function Rotating Carabiner Watch</v>
      </c>
      <c r="H725" s="47"/>
      <c r="I725" s="47"/>
      <c r="J725" s="23">
        <v>2.7</v>
      </c>
      <c r="K725" s="25">
        <v>1</v>
      </c>
      <c r="L725" s="24">
        <v>1.38</v>
      </c>
      <c r="M725" s="24">
        <f>J725-L725</f>
        <v>1.3200000000000003</v>
      </c>
      <c r="N725" s="53">
        <f>IF(J725&lt;&gt;0,M725/J725,"")</f>
        <v>0.48888888888888898</v>
      </c>
      <c r="O725" s="23">
        <v>0</v>
      </c>
      <c r="P725" s="25">
        <v>0</v>
      </c>
      <c r="Q725" s="24">
        <v>0</v>
      </c>
      <c r="R725" s="24">
        <f>O725-Q725</f>
        <v>0</v>
      </c>
      <c r="S725" s="53" t="str">
        <f>IF(O725&lt;&gt;0,R725/O725,"")</f>
        <v/>
      </c>
      <c r="T725" s="10"/>
      <c r="U725" s="23">
        <v>0</v>
      </c>
      <c r="V725" s="25">
        <v>0</v>
      </c>
      <c r="W725" s="24">
        <v>0</v>
      </c>
      <c r="X725" s="24">
        <f>U725-W725</f>
        <v>0</v>
      </c>
      <c r="Y725" s="53" t="str">
        <f>IF(U725&lt;&gt;0,X725/U725,"")</f>
        <v/>
      </c>
      <c r="Z725" s="23">
        <v>420.25</v>
      </c>
      <c r="AA725" s="25">
        <v>144</v>
      </c>
      <c r="AB725" s="24">
        <v>198.73000000000002</v>
      </c>
      <c r="AC725" s="24">
        <f t="shared" si="221"/>
        <v>221.51999999999998</v>
      </c>
      <c r="AD725" s="53">
        <f t="shared" si="222"/>
        <v>0.5271148126115407</v>
      </c>
      <c r="AE725" s="10"/>
    </row>
    <row r="726" spans="1:31" x14ac:dyDescent="0.25">
      <c r="A726" s="14" t="s">
        <v>109</v>
      </c>
      <c r="C726" s="61" t="str">
        <f t="shared" si="220"/>
        <v>C100050</v>
      </c>
      <c r="F726" s="8" t="str">
        <f>"E100017"</f>
        <v>E100017</v>
      </c>
      <c r="G726" s="9" t="str">
        <f>"Clip-on Clock with Compass"</f>
        <v>Clip-on Clock with Compass</v>
      </c>
      <c r="H726" s="47"/>
      <c r="I726" s="47"/>
      <c r="J726" s="23">
        <v>199.93</v>
      </c>
      <c r="K726" s="25">
        <v>144</v>
      </c>
      <c r="L726" s="24">
        <v>126.72</v>
      </c>
      <c r="M726" s="24">
        <f>J726-L726</f>
        <v>73.210000000000008</v>
      </c>
      <c r="N726" s="53">
        <f>IF(J726&lt;&gt;0,M726/J726,"")</f>
        <v>0.36617816235682493</v>
      </c>
      <c r="O726" s="23">
        <v>0</v>
      </c>
      <c r="P726" s="25">
        <v>0</v>
      </c>
      <c r="Q726" s="24">
        <v>0</v>
      </c>
      <c r="R726" s="24">
        <f>O726-Q726</f>
        <v>0</v>
      </c>
      <c r="S726" s="53" t="str">
        <f>IF(O726&lt;&gt;0,R726/O726,"")</f>
        <v/>
      </c>
      <c r="T726" s="10"/>
      <c r="U726" s="23">
        <v>0</v>
      </c>
      <c r="V726" s="25">
        <v>0</v>
      </c>
      <c r="W726" s="24">
        <v>0</v>
      </c>
      <c r="X726" s="24">
        <f>U726-W726</f>
        <v>0</v>
      </c>
      <c r="Y726" s="53" t="str">
        <f>IF(U726&lt;&gt;0,X726/U726,"")</f>
        <v/>
      </c>
      <c r="Z726" s="23">
        <v>215.66</v>
      </c>
      <c r="AA726" s="25">
        <v>144</v>
      </c>
      <c r="AB726" s="24">
        <v>126.72</v>
      </c>
      <c r="AC726" s="24">
        <f t="shared" si="221"/>
        <v>88.94</v>
      </c>
      <c r="AD726" s="53">
        <f t="shared" si="222"/>
        <v>0.41240842066215339</v>
      </c>
      <c r="AE726" s="10"/>
    </row>
    <row r="727" spans="1:31" x14ac:dyDescent="0.25">
      <c r="A727" s="14" t="s">
        <v>109</v>
      </c>
      <c r="C727" s="61" t="str">
        <f t="shared" si="220"/>
        <v>C100050</v>
      </c>
      <c r="F727" s="8" t="str">
        <f>"E100018"</f>
        <v>E100018</v>
      </c>
      <c r="G727" s="9" t="str">
        <f>"Flexi-Clock &amp; Clip"</f>
        <v>Flexi-Clock &amp; Clip</v>
      </c>
      <c r="H727" s="47"/>
      <c r="I727" s="47"/>
      <c r="J727" s="23">
        <v>144.82999999999998</v>
      </c>
      <c r="K727" s="25">
        <v>144</v>
      </c>
      <c r="L727" s="24">
        <v>86.39</v>
      </c>
      <c r="M727" s="24">
        <f>J727-L727</f>
        <v>58.439999999999984</v>
      </c>
      <c r="N727" s="53">
        <f>IF(J727&lt;&gt;0,M727/J727,"")</f>
        <v>0.40350756058827586</v>
      </c>
      <c r="O727" s="23">
        <v>-53.150000000000006</v>
      </c>
      <c r="P727" s="25">
        <v>-48</v>
      </c>
      <c r="Q727" s="24">
        <v>-28.8</v>
      </c>
      <c r="R727" s="24">
        <f>O727-Q727</f>
        <v>-24.350000000000005</v>
      </c>
      <c r="S727" s="53">
        <f>IF(O727&lt;&gt;0,R727/O727,"")</f>
        <v>0.45813734713076204</v>
      </c>
      <c r="T727" s="10"/>
      <c r="U727" s="23">
        <v>0</v>
      </c>
      <c r="V727" s="25">
        <v>0</v>
      </c>
      <c r="W727" s="24">
        <v>0</v>
      </c>
      <c r="X727" s="24">
        <f>U727-W727</f>
        <v>0</v>
      </c>
      <c r="Y727" s="53" t="str">
        <f>IF(U727&lt;&gt;0,X727/U727,"")</f>
        <v/>
      </c>
      <c r="Z727" s="23">
        <v>0</v>
      </c>
      <c r="AA727" s="25">
        <v>0</v>
      </c>
      <c r="AB727" s="24">
        <v>0</v>
      </c>
      <c r="AC727" s="24">
        <f t="shared" si="221"/>
        <v>0</v>
      </c>
      <c r="AD727" s="53" t="str">
        <f t="shared" si="222"/>
        <v/>
      </c>
      <c r="AE727" s="10"/>
    </row>
    <row r="728" spans="1:31" x14ac:dyDescent="0.25">
      <c r="A728" s="14" t="s">
        <v>109</v>
      </c>
      <c r="C728" s="61" t="str">
        <f t="shared" si="220"/>
        <v>C100050</v>
      </c>
      <c r="F728" s="8" t="str">
        <f>"S100001"</f>
        <v>S100001</v>
      </c>
      <c r="G728" s="9" t="str">
        <f>"Basketball Graphic Plaque"</f>
        <v>Basketball Graphic Plaque</v>
      </c>
      <c r="H728" s="47"/>
      <c r="I728" s="47"/>
      <c r="J728" s="23">
        <v>0</v>
      </c>
      <c r="K728" s="25">
        <v>0</v>
      </c>
      <c r="L728" s="24">
        <v>0</v>
      </c>
      <c r="M728" s="24">
        <f>J728-L728</f>
        <v>0</v>
      </c>
      <c r="N728" s="53" t="str">
        <f>IF(J728&lt;&gt;0,M728/J728,"")</f>
        <v/>
      </c>
      <c r="O728" s="23">
        <v>-16.41</v>
      </c>
      <c r="P728" s="25">
        <v>-1</v>
      </c>
      <c r="Q728" s="24">
        <v>-9.1</v>
      </c>
      <c r="R728" s="24">
        <f>O728-Q728</f>
        <v>-7.3100000000000005</v>
      </c>
      <c r="S728" s="53">
        <f>IF(O728&lt;&gt;0,R728/O728,"")</f>
        <v>0.44546008531383308</v>
      </c>
      <c r="T728" s="10"/>
      <c r="U728" s="23">
        <v>15.74</v>
      </c>
      <c r="V728" s="25">
        <v>1</v>
      </c>
      <c r="W728" s="24">
        <v>9.1</v>
      </c>
      <c r="X728" s="24">
        <f>U728-W728</f>
        <v>6.6400000000000006</v>
      </c>
      <c r="Y728" s="53">
        <f>IF(U728&lt;&gt;0,X728/U728,"")</f>
        <v>0.42185514612452352</v>
      </c>
      <c r="Z728" s="23">
        <v>0</v>
      </c>
      <c r="AA728" s="25">
        <v>0</v>
      </c>
      <c r="AB728" s="24">
        <v>0</v>
      </c>
      <c r="AC728" s="24">
        <f t="shared" si="221"/>
        <v>0</v>
      </c>
      <c r="AD728" s="53" t="str">
        <f t="shared" si="222"/>
        <v/>
      </c>
      <c r="AE728" s="10"/>
    </row>
    <row r="729" spans="1:31" x14ac:dyDescent="0.25">
      <c r="A729" s="14" t="s">
        <v>109</v>
      </c>
      <c r="C729" s="61" t="str">
        <f t="shared" si="220"/>
        <v>C100050</v>
      </c>
      <c r="F729" s="8" t="str">
        <f>"S100003"</f>
        <v>S100003</v>
      </c>
      <c r="G729" s="9" t="str">
        <f>"Soccer #1 Pin"</f>
        <v>Soccer #1 Pin</v>
      </c>
      <c r="H729" s="47"/>
      <c r="I729" s="47"/>
      <c r="J729" s="23">
        <v>18.75</v>
      </c>
      <c r="K729" s="25">
        <v>14</v>
      </c>
      <c r="L729" s="24">
        <v>12.6</v>
      </c>
      <c r="M729" s="24">
        <f>J729-L729</f>
        <v>6.15</v>
      </c>
      <c r="N729" s="53">
        <f>IF(J729&lt;&gt;0,M729/J729,"")</f>
        <v>0.32800000000000001</v>
      </c>
      <c r="O729" s="23">
        <v>17.64</v>
      </c>
      <c r="P729" s="25">
        <v>12</v>
      </c>
      <c r="Q729" s="24">
        <v>10.8</v>
      </c>
      <c r="R729" s="24">
        <f>O729-Q729</f>
        <v>6.84</v>
      </c>
      <c r="S729" s="53">
        <f>IF(O729&lt;&gt;0,R729/O729,"")</f>
        <v>0.38775510204081631</v>
      </c>
      <c r="T729" s="10"/>
      <c r="U729" s="23">
        <v>613.44000000000005</v>
      </c>
      <c r="V729" s="25">
        <v>432</v>
      </c>
      <c r="W729" s="24">
        <v>388.8</v>
      </c>
      <c r="X729" s="24">
        <f>U729-W729</f>
        <v>224.64000000000004</v>
      </c>
      <c r="Y729" s="53">
        <f>IF(U729&lt;&gt;0,X729/U729,"")</f>
        <v>0.36619718309859156</v>
      </c>
      <c r="Z729" s="23">
        <v>1.44</v>
      </c>
      <c r="AA729" s="25">
        <v>1</v>
      </c>
      <c r="AB729" s="24">
        <v>0.9</v>
      </c>
      <c r="AC729" s="24">
        <f t="shared" si="221"/>
        <v>0.53999999999999992</v>
      </c>
      <c r="AD729" s="53">
        <f t="shared" si="222"/>
        <v>0.37499999999999994</v>
      </c>
      <c r="AE729" s="10"/>
    </row>
    <row r="730" spans="1:31" x14ac:dyDescent="0.25">
      <c r="A730" s="14" t="s">
        <v>109</v>
      </c>
      <c r="C730" s="61" t="str">
        <f t="shared" si="220"/>
        <v>C100050</v>
      </c>
      <c r="F730" s="8" t="str">
        <f>"S100005"</f>
        <v>S100005</v>
      </c>
      <c r="G730" s="9" t="str">
        <f>"Award Medallian - 2.5''"</f>
        <v>Award Medallian - 2.5''</v>
      </c>
      <c r="H730" s="47"/>
      <c r="I730" s="47"/>
      <c r="J730" s="23">
        <v>0</v>
      </c>
      <c r="K730" s="25">
        <v>0</v>
      </c>
      <c r="L730" s="24">
        <v>0</v>
      </c>
      <c r="M730" s="24">
        <f>J730-L730</f>
        <v>0</v>
      </c>
      <c r="N730" s="53" t="str">
        <f>IF(J730&lt;&gt;0,M730/J730,"")</f>
        <v/>
      </c>
      <c r="O730" s="23">
        <v>2447.02</v>
      </c>
      <c r="P730" s="25">
        <v>288</v>
      </c>
      <c r="Q730" s="24">
        <v>1503.38</v>
      </c>
      <c r="R730" s="24">
        <f>O730-Q730</f>
        <v>943.63999999999987</v>
      </c>
      <c r="S730" s="53">
        <f>IF(O730&lt;&gt;0,R730/O730,"")</f>
        <v>0.38562823352485875</v>
      </c>
      <c r="T730" s="10"/>
      <c r="U730" s="23">
        <v>99.88</v>
      </c>
      <c r="V730" s="25">
        <v>12</v>
      </c>
      <c r="W730" s="24">
        <v>62.64</v>
      </c>
      <c r="X730" s="24">
        <f>U730-W730</f>
        <v>37.239999999999995</v>
      </c>
      <c r="Y730" s="53">
        <f>IF(U730&lt;&gt;0,X730/U730,"")</f>
        <v>0.37284741690028028</v>
      </c>
      <c r="Z730" s="23">
        <v>0</v>
      </c>
      <c r="AA730" s="25">
        <v>0</v>
      </c>
      <c r="AB730" s="24">
        <v>0</v>
      </c>
      <c r="AC730" s="24">
        <f t="shared" si="221"/>
        <v>0</v>
      </c>
      <c r="AD730" s="53" t="str">
        <f t="shared" si="222"/>
        <v/>
      </c>
      <c r="AE730" s="10"/>
    </row>
    <row r="731" spans="1:31" x14ac:dyDescent="0.25">
      <c r="A731" s="14" t="s">
        <v>109</v>
      </c>
      <c r="C731" s="61" t="str">
        <f t="shared" si="220"/>
        <v>C100050</v>
      </c>
      <c r="F731" s="8" t="str">
        <f>"S100008"</f>
        <v>S100008</v>
      </c>
      <c r="G731" s="9" t="str">
        <f>"Soccer Figure Trophy"</f>
        <v>Soccer Figure Trophy</v>
      </c>
      <c r="H731" s="47"/>
      <c r="I731" s="47"/>
      <c r="J731" s="23">
        <v>0</v>
      </c>
      <c r="K731" s="25">
        <v>0</v>
      </c>
      <c r="L731" s="24">
        <v>0</v>
      </c>
      <c r="M731" s="24">
        <f>J731-L731</f>
        <v>0</v>
      </c>
      <c r="N731" s="53" t="str">
        <f>IF(J731&lt;&gt;0,M731/J731,"")</f>
        <v/>
      </c>
      <c r="O731" s="23">
        <v>835.43999999999994</v>
      </c>
      <c r="P731" s="25">
        <v>144</v>
      </c>
      <c r="Q731" s="24">
        <v>529.91999999999996</v>
      </c>
      <c r="R731" s="24">
        <f>O731-Q731</f>
        <v>305.52</v>
      </c>
      <c r="S731" s="53">
        <f>IF(O731&lt;&gt;0,R731/O731,"")</f>
        <v>0.36569951163458775</v>
      </c>
      <c r="T731" s="10"/>
      <c r="U731" s="23">
        <v>0</v>
      </c>
      <c r="V731" s="25">
        <v>0</v>
      </c>
      <c r="W731" s="24">
        <v>0</v>
      </c>
      <c r="X731" s="24">
        <f>U731-W731</f>
        <v>0</v>
      </c>
      <c r="Y731" s="53" t="str">
        <f>IF(U731&lt;&gt;0,X731/U731,"")</f>
        <v/>
      </c>
      <c r="Z731" s="23">
        <v>0</v>
      </c>
      <c r="AA731" s="25">
        <v>0</v>
      </c>
      <c r="AB731" s="24">
        <v>0</v>
      </c>
      <c r="AC731" s="24">
        <f t="shared" si="221"/>
        <v>0</v>
      </c>
      <c r="AD731" s="53" t="str">
        <f t="shared" si="222"/>
        <v/>
      </c>
      <c r="AE731" s="10"/>
    </row>
    <row r="732" spans="1:31" x14ac:dyDescent="0.25">
      <c r="A732" s="14" t="s">
        <v>109</v>
      </c>
      <c r="C732" s="61" t="str">
        <f t="shared" si="220"/>
        <v>C100050</v>
      </c>
      <c r="F732" s="8" t="str">
        <f>"S100009"</f>
        <v>S100009</v>
      </c>
      <c r="G732" s="9" t="str">
        <f>"Engraved Basketball Award"</f>
        <v>Engraved Basketball Award</v>
      </c>
      <c r="H732" s="47"/>
      <c r="I732" s="47"/>
      <c r="J732" s="23">
        <v>0</v>
      </c>
      <c r="K732" s="25">
        <v>0</v>
      </c>
      <c r="L732" s="24">
        <v>0</v>
      </c>
      <c r="M732" s="24">
        <f>J732-L732</f>
        <v>0</v>
      </c>
      <c r="N732" s="53" t="str">
        <f>IF(J732&lt;&gt;0,M732/J732,"")</f>
        <v/>
      </c>
      <c r="O732" s="23">
        <v>18.760000000000002</v>
      </c>
      <c r="P732" s="25">
        <v>1</v>
      </c>
      <c r="Q732" s="24">
        <v>8.82</v>
      </c>
      <c r="R732" s="24">
        <f>O732-Q732</f>
        <v>9.9400000000000013</v>
      </c>
      <c r="S732" s="53">
        <f>IF(O732&lt;&gt;0,R732/O732,"")</f>
        <v>0.52985074626865669</v>
      </c>
      <c r="T732" s="10"/>
      <c r="U732" s="23">
        <v>2645.92</v>
      </c>
      <c r="V732" s="25">
        <v>144</v>
      </c>
      <c r="W732" s="24">
        <v>1270.07</v>
      </c>
      <c r="X732" s="24">
        <f>U732-W732</f>
        <v>1375.8500000000001</v>
      </c>
      <c r="Y732" s="53">
        <f>IF(U732&lt;&gt;0,X732/U732,"")</f>
        <v>0.519989266493318</v>
      </c>
      <c r="Z732" s="23">
        <v>0</v>
      </c>
      <c r="AA732" s="25">
        <v>0</v>
      </c>
      <c r="AB732" s="24">
        <v>0</v>
      </c>
      <c r="AC732" s="24">
        <f t="shared" si="221"/>
        <v>0</v>
      </c>
      <c r="AD732" s="53" t="str">
        <f t="shared" si="222"/>
        <v/>
      </c>
      <c r="AE732" s="10"/>
    </row>
    <row r="733" spans="1:31" x14ac:dyDescent="0.25">
      <c r="A733" s="14" t="s">
        <v>109</v>
      </c>
      <c r="C733" s="61" t="str">
        <f t="shared" si="220"/>
        <v>C100050</v>
      </c>
      <c r="F733" s="8" t="str">
        <f>"S100010"</f>
        <v>S100010</v>
      </c>
      <c r="G733" s="9" t="str">
        <f>"Golf Relaxed Cap"</f>
        <v>Golf Relaxed Cap</v>
      </c>
      <c r="H733" s="47"/>
      <c r="I733" s="47"/>
      <c r="J733" s="23">
        <v>1348.4</v>
      </c>
      <c r="K733" s="25">
        <v>144</v>
      </c>
      <c r="L733" s="24">
        <v>876.97</v>
      </c>
      <c r="M733" s="24">
        <f>J733-L733</f>
        <v>471.43000000000006</v>
      </c>
      <c r="N733" s="53">
        <f>IF(J733&lt;&gt;0,M733/J733,"")</f>
        <v>0.34962177395431626</v>
      </c>
      <c r="O733" s="23">
        <v>1694.1499999999999</v>
      </c>
      <c r="P733" s="25">
        <v>168</v>
      </c>
      <c r="Q733" s="24">
        <v>1023.13</v>
      </c>
      <c r="R733" s="24">
        <f>O733-Q733</f>
        <v>671.01999999999987</v>
      </c>
      <c r="S733" s="53">
        <f>IF(O733&lt;&gt;0,R733/O733,"")</f>
        <v>0.39608063040462765</v>
      </c>
      <c r="T733" s="10"/>
      <c r="U733" s="23">
        <v>0</v>
      </c>
      <c r="V733" s="25">
        <v>0</v>
      </c>
      <c r="W733" s="24">
        <v>0</v>
      </c>
      <c r="X733" s="24">
        <f>U733-W733</f>
        <v>0</v>
      </c>
      <c r="Y733" s="53" t="str">
        <f>IF(U733&lt;&gt;0,X733/U733,"")</f>
        <v/>
      </c>
      <c r="Z733" s="23">
        <v>0</v>
      </c>
      <c r="AA733" s="25">
        <v>0</v>
      </c>
      <c r="AB733" s="24">
        <v>0</v>
      </c>
      <c r="AC733" s="24">
        <f t="shared" si="221"/>
        <v>0</v>
      </c>
      <c r="AD733" s="53" t="str">
        <f t="shared" si="222"/>
        <v/>
      </c>
      <c r="AE733" s="10"/>
    </row>
    <row r="734" spans="1:31" x14ac:dyDescent="0.25">
      <c r="A734" s="14" t="s">
        <v>109</v>
      </c>
      <c r="C734" s="61" t="str">
        <f t="shared" si="220"/>
        <v>C100050</v>
      </c>
      <c r="F734" s="8" t="str">
        <f>"S100014"</f>
        <v>S100014</v>
      </c>
      <c r="G734" s="9" t="str">
        <f>"Chunky Knit Hat"</f>
        <v>Chunky Knit Hat</v>
      </c>
      <c r="H734" s="47"/>
      <c r="I734" s="47"/>
      <c r="J734" s="23">
        <v>0</v>
      </c>
      <c r="K734" s="25">
        <v>0</v>
      </c>
      <c r="L734" s="24">
        <v>0</v>
      </c>
      <c r="M734" s="24">
        <f>J734-L734</f>
        <v>0</v>
      </c>
      <c r="N734" s="53" t="str">
        <f>IF(J734&lt;&gt;0,M734/J734,"")</f>
        <v/>
      </c>
      <c r="O734" s="23">
        <v>1373.37</v>
      </c>
      <c r="P734" s="25">
        <v>143</v>
      </c>
      <c r="Q734" s="24">
        <v>737.87</v>
      </c>
      <c r="R734" s="24">
        <f>O734-Q734</f>
        <v>635.49999999999989</v>
      </c>
      <c r="S734" s="53">
        <f>IF(O734&lt;&gt;0,R734/O734,"")</f>
        <v>0.46273036399513601</v>
      </c>
      <c r="T734" s="10"/>
      <c r="U734" s="23">
        <v>0</v>
      </c>
      <c r="V734" s="25">
        <v>0</v>
      </c>
      <c r="W734" s="24">
        <v>0</v>
      </c>
      <c r="X734" s="24">
        <f>U734-W734</f>
        <v>0</v>
      </c>
      <c r="Y734" s="53" t="str">
        <f>IF(U734&lt;&gt;0,X734/U734,"")</f>
        <v/>
      </c>
      <c r="Z734" s="23">
        <v>1354.75</v>
      </c>
      <c r="AA734" s="25">
        <v>144</v>
      </c>
      <c r="AB734" s="24">
        <v>743.03</v>
      </c>
      <c r="AC734" s="24">
        <f t="shared" si="221"/>
        <v>611.72</v>
      </c>
      <c r="AD734" s="53">
        <f t="shared" si="222"/>
        <v>0.4515371839822846</v>
      </c>
      <c r="AE734" s="10"/>
    </row>
    <row r="735" spans="1:31" x14ac:dyDescent="0.25">
      <c r="A735" s="14" t="s">
        <v>109</v>
      </c>
      <c r="C735" s="61" t="str">
        <f t="shared" si="220"/>
        <v>C100050</v>
      </c>
      <c r="F735" s="8" t="str">
        <f>"S100015"</f>
        <v>S100015</v>
      </c>
      <c r="G735" s="9" t="str">
        <f>"Raw-Edge Bucket Hat"</f>
        <v>Raw-Edge Bucket Hat</v>
      </c>
      <c r="H735" s="47"/>
      <c r="I735" s="47"/>
      <c r="J735" s="23">
        <v>0</v>
      </c>
      <c r="K735" s="25">
        <v>0</v>
      </c>
      <c r="L735" s="24">
        <v>0</v>
      </c>
      <c r="M735" s="24">
        <f>J735-L735</f>
        <v>0</v>
      </c>
      <c r="N735" s="53" t="str">
        <f>IF(J735&lt;&gt;0,M735/J735,"")</f>
        <v/>
      </c>
      <c r="O735" s="23">
        <v>1042.8800000000001</v>
      </c>
      <c r="P735" s="25">
        <v>144</v>
      </c>
      <c r="Q735" s="24">
        <v>524.17000000000007</v>
      </c>
      <c r="R735" s="24">
        <f>O735-Q735</f>
        <v>518.71</v>
      </c>
      <c r="S735" s="53">
        <f>IF(O735&lt;&gt;0,R735/O735,"")</f>
        <v>0.49738224915618284</v>
      </c>
      <c r="T735" s="10"/>
      <c r="U735" s="23">
        <v>0</v>
      </c>
      <c r="V735" s="25">
        <v>0</v>
      </c>
      <c r="W735" s="24">
        <v>0</v>
      </c>
      <c r="X735" s="24">
        <f>U735-W735</f>
        <v>0</v>
      </c>
      <c r="Y735" s="53" t="str">
        <f>IF(U735&lt;&gt;0,X735/U735,"")</f>
        <v/>
      </c>
      <c r="Z735" s="23">
        <v>0</v>
      </c>
      <c r="AA735" s="25">
        <v>0</v>
      </c>
      <c r="AB735" s="24">
        <v>0</v>
      </c>
      <c r="AC735" s="24">
        <f t="shared" si="221"/>
        <v>0</v>
      </c>
      <c r="AD735" s="53" t="str">
        <f t="shared" si="222"/>
        <v/>
      </c>
      <c r="AE735" s="10"/>
    </row>
    <row r="736" spans="1:31" x14ac:dyDescent="0.25">
      <c r="A736" s="14" t="s">
        <v>109</v>
      </c>
      <c r="C736" s="61" t="str">
        <f t="shared" si="220"/>
        <v>C100050</v>
      </c>
      <c r="F736" s="8" t="str">
        <f>"S100016"</f>
        <v>S100016</v>
      </c>
      <c r="G736" s="9" t="str">
        <f>"Mesh Bucket Hat"</f>
        <v>Mesh Bucket Hat</v>
      </c>
      <c r="H736" s="47"/>
      <c r="I736" s="47"/>
      <c r="J736" s="23">
        <v>638.24</v>
      </c>
      <c r="K736" s="25">
        <v>144</v>
      </c>
      <c r="L736" s="24">
        <v>396.01</v>
      </c>
      <c r="M736" s="24">
        <f>J736-L736</f>
        <v>242.23000000000002</v>
      </c>
      <c r="N736" s="53">
        <f>IF(J736&lt;&gt;0,M736/J736,"")</f>
        <v>0.37952807721233395</v>
      </c>
      <c r="O736" s="23">
        <v>0</v>
      </c>
      <c r="P736" s="25">
        <v>0</v>
      </c>
      <c r="Q736" s="24">
        <v>0</v>
      </c>
      <c r="R736" s="24">
        <f>O736-Q736</f>
        <v>0</v>
      </c>
      <c r="S736" s="53" t="str">
        <f>IF(O736&lt;&gt;0,R736/O736,"")</f>
        <v/>
      </c>
      <c r="T736" s="10"/>
      <c r="U736" s="23">
        <v>674.09</v>
      </c>
      <c r="V736" s="25">
        <v>144</v>
      </c>
      <c r="W736" s="24">
        <v>396.01</v>
      </c>
      <c r="X736" s="24">
        <f>U736-W736</f>
        <v>278.08000000000004</v>
      </c>
      <c r="Y736" s="53">
        <f>IF(U736&lt;&gt;0,X736/U736,"")</f>
        <v>0.41252651723063688</v>
      </c>
      <c r="Z736" s="23">
        <v>0</v>
      </c>
      <c r="AA736" s="25">
        <v>0</v>
      </c>
      <c r="AB736" s="24">
        <v>0</v>
      </c>
      <c r="AC736" s="24">
        <f t="shared" si="221"/>
        <v>0</v>
      </c>
      <c r="AD736" s="53" t="str">
        <f t="shared" si="222"/>
        <v/>
      </c>
      <c r="AE736" s="10"/>
    </row>
    <row r="737" spans="1:31" x14ac:dyDescent="0.25">
      <c r="A737" s="14" t="s">
        <v>109</v>
      </c>
      <c r="C737" s="61" t="str">
        <f t="shared" si="220"/>
        <v>C100050</v>
      </c>
      <c r="F737" s="8" t="str">
        <f>"S100017"</f>
        <v>S100017</v>
      </c>
      <c r="G737" s="9" t="str">
        <f>"Microfiber Bucket Hat"</f>
        <v>Microfiber Bucket Hat</v>
      </c>
      <c r="H737" s="47"/>
      <c r="I737" s="47"/>
      <c r="J737" s="23">
        <v>967.09</v>
      </c>
      <c r="K737" s="25">
        <v>144</v>
      </c>
      <c r="L737" s="24">
        <v>685.44</v>
      </c>
      <c r="M737" s="24">
        <f>J737-L737</f>
        <v>281.64999999999998</v>
      </c>
      <c r="N737" s="53">
        <f>IF(J737&lt;&gt;0,M737/J737,"")</f>
        <v>0.29123452832724978</v>
      </c>
      <c r="O737" s="23">
        <v>1041.48</v>
      </c>
      <c r="P737" s="25">
        <v>144</v>
      </c>
      <c r="Q737" s="24">
        <v>685.44</v>
      </c>
      <c r="R737" s="24">
        <f>O737-Q737</f>
        <v>356.03999999999996</v>
      </c>
      <c r="S737" s="53">
        <f>IF(O737&lt;&gt;0,R737/O737,"")</f>
        <v>0.34185966125129619</v>
      </c>
      <c r="T737" s="10"/>
      <c r="U737" s="23">
        <v>0</v>
      </c>
      <c r="V737" s="25">
        <v>0</v>
      </c>
      <c r="W737" s="24">
        <v>0</v>
      </c>
      <c r="X737" s="24">
        <f>U737-W737</f>
        <v>0</v>
      </c>
      <c r="Y737" s="53" t="str">
        <f>IF(U737&lt;&gt;0,X737/U737,"")</f>
        <v/>
      </c>
      <c r="Z737" s="23">
        <v>1020.2199999999999</v>
      </c>
      <c r="AA737" s="25">
        <v>144</v>
      </c>
      <c r="AB737" s="24">
        <v>685.44</v>
      </c>
      <c r="AC737" s="24">
        <f t="shared" si="221"/>
        <v>334.77999999999986</v>
      </c>
      <c r="AD737" s="53">
        <f t="shared" si="222"/>
        <v>0.32814490992138939</v>
      </c>
      <c r="AE737" s="10"/>
    </row>
    <row r="738" spans="1:31" x14ac:dyDescent="0.25">
      <c r="A738" s="14" t="s">
        <v>109</v>
      </c>
      <c r="C738" s="61" t="str">
        <f t="shared" si="220"/>
        <v>C100050</v>
      </c>
      <c r="F738" s="8" t="str">
        <f>"S100020"</f>
        <v>S100020</v>
      </c>
      <c r="G738" s="9" t="str">
        <f>"Super Sport Stopwatch"</f>
        <v>Super Sport Stopwatch</v>
      </c>
      <c r="H738" s="47"/>
      <c r="I738" s="47"/>
      <c r="J738" s="23">
        <v>3.88</v>
      </c>
      <c r="K738" s="25">
        <v>2</v>
      </c>
      <c r="L738" s="24">
        <v>2.1</v>
      </c>
      <c r="M738" s="24">
        <f>J738-L738</f>
        <v>1.7799999999999998</v>
      </c>
      <c r="N738" s="53">
        <f>IF(J738&lt;&gt;0,M738/J738,"")</f>
        <v>0.45876288659793812</v>
      </c>
      <c r="O738" s="23">
        <v>309.77999999999997</v>
      </c>
      <c r="P738" s="25">
        <v>145</v>
      </c>
      <c r="Q738" s="24">
        <v>152.25</v>
      </c>
      <c r="R738" s="24">
        <f>O738-Q738</f>
        <v>157.52999999999997</v>
      </c>
      <c r="S738" s="53">
        <f>IF(O738&lt;&gt;0,R738/O738,"")</f>
        <v>0.50852217702885916</v>
      </c>
      <c r="T738" s="10"/>
      <c r="U738" s="23">
        <v>301.36</v>
      </c>
      <c r="V738" s="25">
        <v>144</v>
      </c>
      <c r="W738" s="24">
        <v>151.19999999999999</v>
      </c>
      <c r="X738" s="24">
        <f>U738-W738</f>
        <v>150.16000000000003</v>
      </c>
      <c r="Y738" s="53">
        <f>IF(U738&lt;&gt;0,X738/U738,"")</f>
        <v>0.49827448898327587</v>
      </c>
      <c r="Z738" s="23">
        <v>0</v>
      </c>
      <c r="AA738" s="25">
        <v>0</v>
      </c>
      <c r="AB738" s="24">
        <v>0</v>
      </c>
      <c r="AC738" s="24">
        <f t="shared" si="221"/>
        <v>0</v>
      </c>
      <c r="AD738" s="53" t="str">
        <f t="shared" si="222"/>
        <v/>
      </c>
      <c r="AE738" s="10"/>
    </row>
    <row r="739" spans="1:31" x14ac:dyDescent="0.25">
      <c r="A739" s="14" t="s">
        <v>109</v>
      </c>
      <c r="C739" s="61" t="str">
        <f t="shared" si="220"/>
        <v>C100050</v>
      </c>
      <c r="F739" s="8" t="str">
        <f>"S100021"</f>
        <v>S100021</v>
      </c>
      <c r="G739" s="9" t="str">
        <f>"Translucent Stopwatch"</f>
        <v>Translucent Stopwatch</v>
      </c>
      <c r="H739" s="47"/>
      <c r="I739" s="47"/>
      <c r="J739" s="23">
        <v>0</v>
      </c>
      <c r="K739" s="25">
        <v>0</v>
      </c>
      <c r="L739" s="24">
        <v>0</v>
      </c>
      <c r="M739" s="24">
        <f>J739-L739</f>
        <v>0</v>
      </c>
      <c r="N739" s="53" t="str">
        <f>IF(J739&lt;&gt;0,M739/J739,"")</f>
        <v/>
      </c>
      <c r="O739" s="23">
        <v>1781.3100000000002</v>
      </c>
      <c r="P739" s="25">
        <v>438</v>
      </c>
      <c r="Q739" s="24">
        <v>941.67</v>
      </c>
      <c r="R739" s="24">
        <f>O739-Q739</f>
        <v>839.64000000000021</v>
      </c>
      <c r="S739" s="53">
        <f>IF(O739&lt;&gt;0,R739/O739,"")</f>
        <v>0.47136096468329497</v>
      </c>
      <c r="T739" s="10"/>
      <c r="U739" s="23">
        <v>1123.47</v>
      </c>
      <c r="V739" s="25">
        <v>288</v>
      </c>
      <c r="W739" s="24">
        <v>619.17999999999995</v>
      </c>
      <c r="X739" s="24">
        <f>U739-W739</f>
        <v>504.29000000000008</v>
      </c>
      <c r="Y739" s="53">
        <f>IF(U739&lt;&gt;0,X739/U739,"")</f>
        <v>0.44886823858224967</v>
      </c>
      <c r="Z739" s="23">
        <v>0</v>
      </c>
      <c r="AA739" s="25">
        <v>0</v>
      </c>
      <c r="AB739" s="24">
        <v>0</v>
      </c>
      <c r="AC739" s="24">
        <f t="shared" si="221"/>
        <v>0</v>
      </c>
      <c r="AD739" s="53" t="str">
        <f t="shared" si="222"/>
        <v/>
      </c>
      <c r="AE739" s="10"/>
    </row>
    <row r="740" spans="1:31" ht="15.75" thickBot="1" x14ac:dyDescent="0.3">
      <c r="A740" s="14" t="s">
        <v>109</v>
      </c>
      <c r="C740" s="61" t="str">
        <f>C708</f>
        <v>C100050</v>
      </c>
      <c r="J740" s="10"/>
      <c r="K740" s="11"/>
      <c r="L740" s="11"/>
      <c r="M740" s="11"/>
      <c r="N740" s="12"/>
      <c r="O740" s="10"/>
      <c r="P740" s="11"/>
      <c r="Q740" s="11"/>
      <c r="R740" s="11"/>
      <c r="S740" s="12"/>
      <c r="U740" s="10"/>
      <c r="V740" s="11"/>
      <c r="W740" s="11"/>
      <c r="X740" s="11"/>
      <c r="Y740" s="12"/>
      <c r="Z740" s="10"/>
      <c r="AA740" s="11"/>
      <c r="AB740" s="11"/>
      <c r="AC740" s="11"/>
      <c r="AD740" s="12"/>
    </row>
    <row r="741" spans="1:31" ht="15.75" thickBot="1" x14ac:dyDescent="0.3">
      <c r="A741" s="14" t="s">
        <v>109</v>
      </c>
      <c r="C741" s="61" t="str">
        <f t="shared" si="217"/>
        <v>C100050</v>
      </c>
      <c r="G741" s="48" t="str">
        <f>C741&amp;" TOTAL:"</f>
        <v>C100050 TOTAL:</v>
      </c>
      <c r="H741" s="50"/>
      <c r="I741" s="50"/>
      <c r="J741" s="34">
        <f>SUBTOTAL(9,J707:J740)</f>
        <v>27781.820000000003</v>
      </c>
      <c r="K741" s="35">
        <f>SUBTOTAL(9,K707:K740)</f>
        <v>1713</v>
      </c>
      <c r="L741" s="36">
        <f>SUBTOTAL(9,L707:L740)</f>
        <v>15998.25</v>
      </c>
      <c r="M741" s="36">
        <f>J741-L741</f>
        <v>11783.570000000003</v>
      </c>
      <c r="N741" s="37">
        <f>IF(J741&lt;&gt;0,M741/J741,"")</f>
        <v>0.4241467981579321</v>
      </c>
      <c r="O741" s="34">
        <f>SUBTOTAL(9,O707:O740)</f>
        <v>34134.589999999997</v>
      </c>
      <c r="P741" s="35">
        <f>SUBTOTAL(9,P707:P740)</f>
        <v>3061</v>
      </c>
      <c r="Q741" s="36">
        <f>SUBTOTAL(9,Q707:Q740)</f>
        <v>18030.239999999994</v>
      </c>
      <c r="R741" s="36">
        <f>O741-Q741</f>
        <v>16104.350000000002</v>
      </c>
      <c r="S741" s="37">
        <f>IF(O741&lt;&gt;0,R741/O741,"")</f>
        <v>0.47178975930280703</v>
      </c>
      <c r="U741" s="34">
        <f>SUBTOTAL(9,U707:U740)</f>
        <v>11668.570000000002</v>
      </c>
      <c r="V741" s="35">
        <f>SUBTOTAL(9,V707:V740)</f>
        <v>1684</v>
      </c>
      <c r="W741" s="36">
        <f>SUBTOTAL(9,W707:W740)</f>
        <v>5980.6200000000008</v>
      </c>
      <c r="X741" s="36">
        <f>U741-W741</f>
        <v>5687.9500000000007</v>
      </c>
      <c r="Y741" s="37">
        <f>IF(U741&lt;&gt;0,X741/U741,"")</f>
        <v>0.48745904596707224</v>
      </c>
      <c r="Z741" s="34">
        <f>SUBTOTAL(9,Z707:Z740)</f>
        <v>12704.63</v>
      </c>
      <c r="AA741" s="35">
        <f>SUBTOTAL(9,AA707:AA740)</f>
        <v>866</v>
      </c>
      <c r="AB741" s="36">
        <f>SUBTOTAL(9,AB707:AB740)</f>
        <v>6610.85</v>
      </c>
      <c r="AC741" s="36">
        <f t="shared" ref="AC741" si="223">Z741-AB741</f>
        <v>6093.7799999999988</v>
      </c>
      <c r="AD741" s="37">
        <f t="shared" ref="AD741" si="224">IF(Z741&lt;&gt;0,AC741/Z741,"")</f>
        <v>0.47965033220172482</v>
      </c>
    </row>
    <row r="742" spans="1:31" x14ac:dyDescent="0.25">
      <c r="A742" s="14" t="s">
        <v>109</v>
      </c>
      <c r="C742" s="66"/>
      <c r="J742" s="10"/>
      <c r="K742" s="11"/>
      <c r="L742" s="11"/>
      <c r="M742" s="11"/>
      <c r="N742" s="12"/>
      <c r="O742" s="10"/>
      <c r="P742" s="11"/>
      <c r="Q742" s="11"/>
      <c r="R742" s="11"/>
      <c r="S742" s="12"/>
      <c r="U742" s="10"/>
      <c r="V742" s="11"/>
      <c r="W742" s="11"/>
      <c r="X742" s="11"/>
      <c r="Y742" s="12"/>
      <c r="Z742" s="10"/>
      <c r="AA742" s="11"/>
      <c r="AB742" s="11"/>
      <c r="AC742" s="11"/>
      <c r="AD742" s="12"/>
    </row>
    <row r="743" spans="1:31" ht="15.75" x14ac:dyDescent="0.25">
      <c r="A743" s="14" t="s">
        <v>109</v>
      </c>
      <c r="C743" s="66" t="str">
        <f t="shared" ref="C743" si="225">E743</f>
        <v>C100053</v>
      </c>
      <c r="E743" s="13" t="str">
        <f>"C100053"</f>
        <v>C100053</v>
      </c>
      <c r="F743" s="13"/>
      <c r="G743" s="13" t="str">
        <f>"London Candoxy Storage Campus"</f>
        <v>London Candoxy Storage Campus</v>
      </c>
      <c r="H743" s="13"/>
      <c r="I743" s="13"/>
      <c r="J743" s="10"/>
      <c r="K743" s="11"/>
      <c r="L743" s="11"/>
      <c r="M743" s="11"/>
      <c r="N743" s="12"/>
      <c r="O743" s="10"/>
      <c r="P743" s="11"/>
      <c r="Q743" s="11"/>
      <c r="R743" s="11"/>
      <c r="S743" s="12"/>
      <c r="U743" s="10"/>
      <c r="V743" s="11"/>
      <c r="W743" s="11"/>
      <c r="X743" s="11"/>
      <c r="Y743" s="12"/>
      <c r="Z743" s="10"/>
      <c r="AA743" s="11"/>
      <c r="AB743" s="11"/>
      <c r="AC743" s="11"/>
      <c r="AD743" s="12"/>
    </row>
    <row r="744" spans="1:31" ht="6.6" customHeight="1" x14ac:dyDescent="0.25">
      <c r="A744" s="14" t="s">
        <v>109</v>
      </c>
      <c r="C744" s="61" t="str">
        <f t="shared" ref="C744:C768" si="226">C743</f>
        <v>C100053</v>
      </c>
      <c r="J744" s="10"/>
      <c r="K744" s="11"/>
      <c r="L744" s="11"/>
      <c r="M744" s="11"/>
      <c r="N744" s="12"/>
      <c r="O744" s="10"/>
      <c r="P744" s="11"/>
      <c r="Q744" s="11"/>
      <c r="R744" s="11"/>
      <c r="S744" s="12"/>
      <c r="U744" s="10"/>
      <c r="V744" s="11"/>
      <c r="W744" s="11"/>
      <c r="X744" s="11"/>
      <c r="Y744" s="12"/>
      <c r="Z744" s="10"/>
      <c r="AA744" s="11"/>
      <c r="AB744" s="11"/>
      <c r="AC744" s="11"/>
      <c r="AD744" s="12"/>
    </row>
    <row r="745" spans="1:31" x14ac:dyDescent="0.25">
      <c r="A745" s="14" t="s">
        <v>109</v>
      </c>
      <c r="C745" s="61" t="str">
        <f t="shared" si="226"/>
        <v>C100053</v>
      </c>
      <c r="F745" s="8" t="str">
        <f>"C100002"</f>
        <v>C100002</v>
      </c>
      <c r="G745" s="9" t="str">
        <f>"Border Style"</f>
        <v>Border Style</v>
      </c>
      <c r="H745" s="47"/>
      <c r="I745" s="47"/>
      <c r="J745" s="23">
        <v>0</v>
      </c>
      <c r="K745" s="25">
        <v>0</v>
      </c>
      <c r="L745" s="24">
        <v>0</v>
      </c>
      <c r="M745" s="24">
        <f>J745-L745</f>
        <v>0</v>
      </c>
      <c r="N745" s="53" t="str">
        <f>IF(J745&lt;&gt;0,M745/J745,"")</f>
        <v/>
      </c>
      <c r="O745" s="23">
        <v>54.169999999999995</v>
      </c>
      <c r="P745" s="25">
        <v>1</v>
      </c>
      <c r="Q745" s="24">
        <v>31.950000000000003</v>
      </c>
      <c r="R745" s="24">
        <f>O745-Q745</f>
        <v>22.219999999999992</v>
      </c>
      <c r="S745" s="53">
        <f>IF(O745&lt;&gt;0,R745/O745,"")</f>
        <v>0.41019014214509864</v>
      </c>
      <c r="T745" s="10"/>
      <c r="U745" s="23">
        <v>0</v>
      </c>
      <c r="V745" s="25">
        <v>0</v>
      </c>
      <c r="W745" s="24">
        <v>0</v>
      </c>
      <c r="X745" s="24">
        <f>U745-W745</f>
        <v>0</v>
      </c>
      <c r="Y745" s="53" t="str">
        <f>IF(U745&lt;&gt;0,X745/U745,"")</f>
        <v/>
      </c>
      <c r="Z745" s="23">
        <v>54.169999999999995</v>
      </c>
      <c r="AA745" s="25">
        <v>1</v>
      </c>
      <c r="AB745" s="24">
        <v>31.950000000000003</v>
      </c>
      <c r="AC745" s="24">
        <f t="shared" ref="AC745" si="227">Z745-AB745</f>
        <v>22.219999999999992</v>
      </c>
      <c r="AD745" s="53">
        <f t="shared" ref="AD745" si="228">IF(Z745&lt;&gt;0,AC745/Z745,"")</f>
        <v>0.41019014214509864</v>
      </c>
      <c r="AE745" s="10"/>
    </row>
    <row r="746" spans="1:31" x14ac:dyDescent="0.25">
      <c r="A746" s="14" t="s">
        <v>109</v>
      </c>
      <c r="C746" s="61" t="str">
        <f t="shared" ref="C746:C766" si="229">C745</f>
        <v>C100053</v>
      </c>
      <c r="F746" s="8" t="str">
        <f>"C100005"</f>
        <v>C100005</v>
      </c>
      <c r="G746" s="9" t="str">
        <f>"Cherry Finished Crystal Award"</f>
        <v>Cherry Finished Crystal Award</v>
      </c>
      <c r="H746" s="47"/>
      <c r="I746" s="47"/>
      <c r="J746" s="23">
        <v>0</v>
      </c>
      <c r="K746" s="25">
        <v>0</v>
      </c>
      <c r="L746" s="24">
        <v>0</v>
      </c>
      <c r="M746" s="24">
        <f>J746-L746</f>
        <v>0</v>
      </c>
      <c r="N746" s="53" t="str">
        <f>IF(J746&lt;&gt;0,M746/J746,"")</f>
        <v/>
      </c>
      <c r="O746" s="23">
        <v>0</v>
      </c>
      <c r="P746" s="25">
        <v>0</v>
      </c>
      <c r="Q746" s="24">
        <v>0</v>
      </c>
      <c r="R746" s="24">
        <f>O746-Q746</f>
        <v>0</v>
      </c>
      <c r="S746" s="53" t="str">
        <f>IF(O746&lt;&gt;0,R746/O746,"")</f>
        <v/>
      </c>
      <c r="T746" s="10"/>
      <c r="U746" s="23">
        <v>0</v>
      </c>
      <c r="V746" s="25">
        <v>0</v>
      </c>
      <c r="W746" s="24">
        <v>0</v>
      </c>
      <c r="X746" s="24">
        <f>U746-W746</f>
        <v>0</v>
      </c>
      <c r="Y746" s="53" t="str">
        <f>IF(U746&lt;&gt;0,X746/U746,"")</f>
        <v/>
      </c>
      <c r="Z746" s="23">
        <v>3269.7499999999995</v>
      </c>
      <c r="AA746" s="25">
        <v>24</v>
      </c>
      <c r="AB746" s="24">
        <v>1702.32</v>
      </c>
      <c r="AC746" s="24">
        <f t="shared" ref="AC746:AC766" si="230">Z746-AB746</f>
        <v>1567.4299999999996</v>
      </c>
      <c r="AD746" s="53">
        <f t="shared" ref="AD746:AD766" si="231">IF(Z746&lt;&gt;0,AC746/Z746,"")</f>
        <v>0.47937304075235104</v>
      </c>
      <c r="AE746" s="10"/>
    </row>
    <row r="747" spans="1:31" x14ac:dyDescent="0.25">
      <c r="A747" s="14" t="s">
        <v>109</v>
      </c>
      <c r="C747" s="61" t="str">
        <f t="shared" si="229"/>
        <v>C100053</v>
      </c>
      <c r="F747" s="8" t="str">
        <f>"C100006"</f>
        <v>C100006</v>
      </c>
      <c r="G747" s="9" t="str">
        <f>"Cherry Finished Crystal Award- Large"</f>
        <v>Cherry Finished Crystal Award- Large</v>
      </c>
      <c r="H747" s="47"/>
      <c r="I747" s="47"/>
      <c r="J747" s="23">
        <v>0</v>
      </c>
      <c r="K747" s="25">
        <v>0</v>
      </c>
      <c r="L747" s="24">
        <v>0</v>
      </c>
      <c r="M747" s="24">
        <f>J747-L747</f>
        <v>0</v>
      </c>
      <c r="N747" s="53" t="str">
        <f>IF(J747&lt;&gt;0,M747/J747,"")</f>
        <v/>
      </c>
      <c r="O747" s="23">
        <v>204.9</v>
      </c>
      <c r="P747" s="25">
        <v>1</v>
      </c>
      <c r="Q747" s="24">
        <v>95.04</v>
      </c>
      <c r="R747" s="24">
        <f>O747-Q747</f>
        <v>109.86</v>
      </c>
      <c r="S747" s="53">
        <f>IF(O747&lt;&gt;0,R747/O747,"")</f>
        <v>0.53616398243045382</v>
      </c>
      <c r="T747" s="10"/>
      <c r="U747" s="23">
        <v>0</v>
      </c>
      <c r="V747" s="25">
        <v>0</v>
      </c>
      <c r="W747" s="24">
        <v>0</v>
      </c>
      <c r="X747" s="24">
        <f>U747-W747</f>
        <v>0</v>
      </c>
      <c r="Y747" s="53" t="str">
        <f>IF(U747&lt;&gt;0,X747/U747,"")</f>
        <v/>
      </c>
      <c r="Z747" s="23">
        <v>0</v>
      </c>
      <c r="AA747" s="25">
        <v>0</v>
      </c>
      <c r="AB747" s="24">
        <v>0</v>
      </c>
      <c r="AC747" s="24">
        <f t="shared" si="230"/>
        <v>0</v>
      </c>
      <c r="AD747" s="53" t="str">
        <f t="shared" si="231"/>
        <v/>
      </c>
      <c r="AE747" s="10"/>
    </row>
    <row r="748" spans="1:31" x14ac:dyDescent="0.25">
      <c r="A748" s="14" t="s">
        <v>109</v>
      </c>
      <c r="C748" s="61" t="str">
        <f t="shared" si="229"/>
        <v>C100053</v>
      </c>
      <c r="F748" s="8" t="str">
        <f>"C100007"</f>
        <v>C100007</v>
      </c>
      <c r="G748" s="9" t="str">
        <f>"7.5'' Bud Vase"</f>
        <v>7.5'' Bud Vase</v>
      </c>
      <c r="H748" s="47"/>
      <c r="I748" s="47"/>
      <c r="J748" s="23">
        <v>0</v>
      </c>
      <c r="K748" s="25">
        <v>0</v>
      </c>
      <c r="L748" s="24">
        <v>0</v>
      </c>
      <c r="M748" s="24">
        <f>J748-L748</f>
        <v>0</v>
      </c>
      <c r="N748" s="53" t="str">
        <f>IF(J748&lt;&gt;0,M748/J748,"")</f>
        <v/>
      </c>
      <c r="O748" s="23">
        <v>1.67</v>
      </c>
      <c r="P748" s="25">
        <v>1</v>
      </c>
      <c r="Q748" s="24">
        <v>1.02</v>
      </c>
      <c r="R748" s="24">
        <f>O748-Q748</f>
        <v>0.64999999999999991</v>
      </c>
      <c r="S748" s="53">
        <f>IF(O748&lt;&gt;0,R748/O748,"")</f>
        <v>0.3892215568862275</v>
      </c>
      <c r="T748" s="10"/>
      <c r="U748" s="23">
        <v>0</v>
      </c>
      <c r="V748" s="25">
        <v>0</v>
      </c>
      <c r="W748" s="24">
        <v>0</v>
      </c>
      <c r="X748" s="24">
        <f>U748-W748</f>
        <v>0</v>
      </c>
      <c r="Y748" s="53" t="str">
        <f>IF(U748&lt;&gt;0,X748/U748,"")</f>
        <v/>
      </c>
      <c r="Z748" s="23">
        <v>241.6</v>
      </c>
      <c r="AA748" s="25">
        <v>145</v>
      </c>
      <c r="AB748" s="24">
        <v>147.91</v>
      </c>
      <c r="AC748" s="24">
        <f t="shared" si="230"/>
        <v>93.69</v>
      </c>
      <c r="AD748" s="53">
        <f t="shared" si="231"/>
        <v>0.38778973509933773</v>
      </c>
      <c r="AE748" s="10"/>
    </row>
    <row r="749" spans="1:31" x14ac:dyDescent="0.25">
      <c r="A749" s="14" t="s">
        <v>109</v>
      </c>
      <c r="C749" s="61" t="str">
        <f t="shared" si="229"/>
        <v>C100053</v>
      </c>
      <c r="F749" s="8" t="str">
        <f>"C100009"</f>
        <v>C100009</v>
      </c>
      <c r="G749" s="9" t="str">
        <f>"Normandy Vase"</f>
        <v>Normandy Vase</v>
      </c>
      <c r="H749" s="47"/>
      <c r="I749" s="47"/>
      <c r="J749" s="23">
        <v>0</v>
      </c>
      <c r="K749" s="25">
        <v>0</v>
      </c>
      <c r="L749" s="24">
        <v>0</v>
      </c>
      <c r="M749" s="24">
        <f>J749-L749</f>
        <v>0</v>
      </c>
      <c r="N749" s="53" t="str">
        <f>IF(J749&lt;&gt;0,M749/J749,"")</f>
        <v/>
      </c>
      <c r="O749" s="23">
        <v>0</v>
      </c>
      <c r="P749" s="25">
        <v>0</v>
      </c>
      <c r="Q749" s="24">
        <v>0</v>
      </c>
      <c r="R749" s="24">
        <f>O749-Q749</f>
        <v>0</v>
      </c>
      <c r="S749" s="53" t="str">
        <f>IF(O749&lt;&gt;0,R749/O749,"")</f>
        <v/>
      </c>
      <c r="T749" s="10"/>
      <c r="U749" s="23">
        <v>0</v>
      </c>
      <c r="V749" s="25">
        <v>0</v>
      </c>
      <c r="W749" s="24">
        <v>0</v>
      </c>
      <c r="X749" s="24">
        <f>U749-W749</f>
        <v>0</v>
      </c>
      <c r="Y749" s="53" t="str">
        <f>IF(U749&lt;&gt;0,X749/U749,"")</f>
        <v/>
      </c>
      <c r="Z749" s="23">
        <v>1872.6299999999999</v>
      </c>
      <c r="AA749" s="25">
        <v>48</v>
      </c>
      <c r="AB749" s="24">
        <v>1224.95</v>
      </c>
      <c r="AC749" s="24">
        <f t="shared" si="230"/>
        <v>647.67999999999984</v>
      </c>
      <c r="AD749" s="53">
        <f t="shared" si="231"/>
        <v>0.3458665086002039</v>
      </c>
      <c r="AE749" s="10"/>
    </row>
    <row r="750" spans="1:31" x14ac:dyDescent="0.25">
      <c r="A750" s="14" t="s">
        <v>109</v>
      </c>
      <c r="C750" s="61" t="str">
        <f t="shared" si="229"/>
        <v>C100053</v>
      </c>
      <c r="F750" s="8" t="str">
        <f>"C100031"</f>
        <v>C100031</v>
      </c>
      <c r="G750" s="9" t="str">
        <f>"Carabiner Watch"</f>
        <v>Carabiner Watch</v>
      </c>
      <c r="H750" s="47"/>
      <c r="I750" s="47"/>
      <c r="J750" s="23">
        <v>0</v>
      </c>
      <c r="K750" s="25">
        <v>0</v>
      </c>
      <c r="L750" s="24">
        <v>0</v>
      </c>
      <c r="M750" s="24">
        <f>J750-L750</f>
        <v>0</v>
      </c>
      <c r="N750" s="53" t="str">
        <f>IF(J750&lt;&gt;0,M750/J750,"")</f>
        <v/>
      </c>
      <c r="O750" s="23">
        <v>2664.4</v>
      </c>
      <c r="P750" s="25">
        <v>144</v>
      </c>
      <c r="Q750" s="24">
        <v>1235.52</v>
      </c>
      <c r="R750" s="24">
        <f>O750-Q750</f>
        <v>1428.88</v>
      </c>
      <c r="S750" s="53">
        <f>IF(O750&lt;&gt;0,R750/O750,"")</f>
        <v>0.5362858429665216</v>
      </c>
      <c r="T750" s="10"/>
      <c r="U750" s="23">
        <v>0</v>
      </c>
      <c r="V750" s="25">
        <v>0</v>
      </c>
      <c r="W750" s="24">
        <v>0</v>
      </c>
      <c r="X750" s="24">
        <f>U750-W750</f>
        <v>0</v>
      </c>
      <c r="Y750" s="53" t="str">
        <f>IF(U750&lt;&gt;0,X750/U750,"")</f>
        <v/>
      </c>
      <c r="Z750" s="23">
        <v>0</v>
      </c>
      <c r="AA750" s="25">
        <v>0</v>
      </c>
      <c r="AB750" s="24">
        <v>0</v>
      </c>
      <c r="AC750" s="24">
        <f t="shared" si="230"/>
        <v>0</v>
      </c>
      <c r="AD750" s="53" t="str">
        <f t="shared" si="231"/>
        <v/>
      </c>
      <c r="AE750" s="10"/>
    </row>
    <row r="751" spans="1:31" x14ac:dyDescent="0.25">
      <c r="A751" s="14" t="s">
        <v>109</v>
      </c>
      <c r="C751" s="61" t="str">
        <f t="shared" si="229"/>
        <v>C100053</v>
      </c>
      <c r="F751" s="8" t="str">
        <f>"C100032"</f>
        <v>C100032</v>
      </c>
      <c r="G751" s="9" t="str">
        <f>"Clip-on Clock"</f>
        <v>Clip-on Clock</v>
      </c>
      <c r="H751" s="47"/>
      <c r="I751" s="47"/>
      <c r="J751" s="23">
        <v>0</v>
      </c>
      <c r="K751" s="25">
        <v>0</v>
      </c>
      <c r="L751" s="24">
        <v>0</v>
      </c>
      <c r="M751" s="24">
        <f>J751-L751</f>
        <v>0</v>
      </c>
      <c r="N751" s="53" t="str">
        <f>IF(J751&lt;&gt;0,M751/J751,"")</f>
        <v/>
      </c>
      <c r="O751" s="23">
        <v>96.899999999999991</v>
      </c>
      <c r="P751" s="25">
        <v>12</v>
      </c>
      <c r="Q751" s="24">
        <v>49.92</v>
      </c>
      <c r="R751" s="24">
        <f>O751-Q751</f>
        <v>46.97999999999999</v>
      </c>
      <c r="S751" s="53">
        <f>IF(O751&lt;&gt;0,R751/O751,"")</f>
        <v>0.48482972136222902</v>
      </c>
      <c r="T751" s="10"/>
      <c r="U751" s="23">
        <v>0</v>
      </c>
      <c r="V751" s="25">
        <v>0</v>
      </c>
      <c r="W751" s="24">
        <v>0</v>
      </c>
      <c r="X751" s="24">
        <f>U751-W751</f>
        <v>0</v>
      </c>
      <c r="Y751" s="53" t="str">
        <f>IF(U751&lt;&gt;0,X751/U751,"")</f>
        <v/>
      </c>
      <c r="Z751" s="23">
        <v>0</v>
      </c>
      <c r="AA751" s="25">
        <v>0</v>
      </c>
      <c r="AB751" s="24">
        <v>0</v>
      </c>
      <c r="AC751" s="24">
        <f t="shared" si="230"/>
        <v>0</v>
      </c>
      <c r="AD751" s="53" t="str">
        <f t="shared" si="231"/>
        <v/>
      </c>
      <c r="AE751" s="10"/>
    </row>
    <row r="752" spans="1:31" x14ac:dyDescent="0.25">
      <c r="A752" s="14" t="s">
        <v>109</v>
      </c>
      <c r="C752" s="61" t="str">
        <f t="shared" si="229"/>
        <v>C100053</v>
      </c>
      <c r="F752" s="8" t="str">
        <f>"C100033"</f>
        <v>C100033</v>
      </c>
      <c r="G752" s="9" t="str">
        <f>"Frames &amp; Clock"</f>
        <v>Frames &amp; Clock</v>
      </c>
      <c r="H752" s="47"/>
      <c r="I752" s="47"/>
      <c r="J752" s="23">
        <v>0</v>
      </c>
      <c r="K752" s="25">
        <v>0</v>
      </c>
      <c r="L752" s="24">
        <v>0</v>
      </c>
      <c r="M752" s="24">
        <f>J752-L752</f>
        <v>0</v>
      </c>
      <c r="N752" s="53" t="str">
        <f>IF(J752&lt;&gt;0,M752/J752,"")</f>
        <v/>
      </c>
      <c r="O752" s="23">
        <v>683.07</v>
      </c>
      <c r="P752" s="25">
        <v>144</v>
      </c>
      <c r="Q752" s="24">
        <v>414.7</v>
      </c>
      <c r="R752" s="24">
        <f>O752-Q752</f>
        <v>268.37000000000006</v>
      </c>
      <c r="S752" s="53">
        <f>IF(O752&lt;&gt;0,R752/O752,"")</f>
        <v>0.39288799098189064</v>
      </c>
      <c r="T752" s="10"/>
      <c r="U752" s="23">
        <v>0</v>
      </c>
      <c r="V752" s="25">
        <v>0</v>
      </c>
      <c r="W752" s="24">
        <v>0</v>
      </c>
      <c r="X752" s="24">
        <f>U752-W752</f>
        <v>0</v>
      </c>
      <c r="Y752" s="53" t="str">
        <f>IF(U752&lt;&gt;0,X752/U752,"")</f>
        <v/>
      </c>
      <c r="Z752" s="23">
        <v>0</v>
      </c>
      <c r="AA752" s="25">
        <v>0</v>
      </c>
      <c r="AB752" s="24">
        <v>0</v>
      </c>
      <c r="AC752" s="24">
        <f t="shared" si="230"/>
        <v>0</v>
      </c>
      <c r="AD752" s="53" t="str">
        <f t="shared" si="231"/>
        <v/>
      </c>
      <c r="AE752" s="10"/>
    </row>
    <row r="753" spans="1:31" x14ac:dyDescent="0.25">
      <c r="A753" s="14" t="s">
        <v>109</v>
      </c>
      <c r="C753" s="61" t="str">
        <f t="shared" si="229"/>
        <v>C100053</v>
      </c>
      <c r="F753" s="8" t="str">
        <f>"C100035"</f>
        <v>C100035</v>
      </c>
      <c r="G753" s="9" t="str">
        <f>"Calculator &amp; World Time Clock"</f>
        <v>Calculator &amp; World Time Clock</v>
      </c>
      <c r="H753" s="47"/>
      <c r="I753" s="47"/>
      <c r="J753" s="23">
        <v>0</v>
      </c>
      <c r="K753" s="25">
        <v>0</v>
      </c>
      <c r="L753" s="24">
        <v>0</v>
      </c>
      <c r="M753" s="24">
        <f>J753-L753</f>
        <v>0</v>
      </c>
      <c r="N753" s="53" t="str">
        <f>IF(J753&lt;&gt;0,M753/J753,"")</f>
        <v/>
      </c>
      <c r="O753" s="23">
        <v>34.56</v>
      </c>
      <c r="P753" s="25">
        <v>12</v>
      </c>
      <c r="Q753" s="24">
        <v>23.52</v>
      </c>
      <c r="R753" s="24">
        <f>O753-Q753</f>
        <v>11.040000000000003</v>
      </c>
      <c r="S753" s="53">
        <f>IF(O753&lt;&gt;0,R753/O753,"")</f>
        <v>0.31944444444444448</v>
      </c>
      <c r="T753" s="10"/>
      <c r="U753" s="23">
        <v>0</v>
      </c>
      <c r="V753" s="25">
        <v>0</v>
      </c>
      <c r="W753" s="24">
        <v>0</v>
      </c>
      <c r="X753" s="24">
        <f>U753-W753</f>
        <v>0</v>
      </c>
      <c r="Y753" s="53" t="str">
        <f>IF(U753&lt;&gt;0,X753/U753,"")</f>
        <v/>
      </c>
      <c r="Z753" s="23">
        <v>2.88</v>
      </c>
      <c r="AA753" s="25">
        <v>1</v>
      </c>
      <c r="AB753" s="24">
        <v>1.96</v>
      </c>
      <c r="AC753" s="24">
        <f t="shared" si="230"/>
        <v>0.91999999999999993</v>
      </c>
      <c r="AD753" s="53">
        <f t="shared" si="231"/>
        <v>0.31944444444444442</v>
      </c>
      <c r="AE753" s="10"/>
    </row>
    <row r="754" spans="1:31" x14ac:dyDescent="0.25">
      <c r="A754" s="14" t="s">
        <v>109</v>
      </c>
      <c r="C754" s="61" t="str">
        <f t="shared" si="229"/>
        <v>C100053</v>
      </c>
      <c r="F754" s="8" t="str">
        <f>"C100036"</f>
        <v>C100036</v>
      </c>
      <c r="G754" s="9" t="str">
        <f>"Clock &amp; Business Card Holder"</f>
        <v>Clock &amp; Business Card Holder</v>
      </c>
      <c r="H754" s="47"/>
      <c r="I754" s="47"/>
      <c r="J754" s="23">
        <v>0</v>
      </c>
      <c r="K754" s="25">
        <v>0</v>
      </c>
      <c r="L754" s="24">
        <v>0</v>
      </c>
      <c r="M754" s="24">
        <f>J754-L754</f>
        <v>0</v>
      </c>
      <c r="N754" s="53" t="str">
        <f>IF(J754&lt;&gt;0,M754/J754,"")</f>
        <v/>
      </c>
      <c r="O754" s="23">
        <v>409.26</v>
      </c>
      <c r="P754" s="25">
        <v>48</v>
      </c>
      <c r="Q754" s="24">
        <v>224.64</v>
      </c>
      <c r="R754" s="24">
        <f>O754-Q754</f>
        <v>184.62</v>
      </c>
      <c r="S754" s="53">
        <f>IF(O754&lt;&gt;0,R754/O754,"")</f>
        <v>0.45110687582465914</v>
      </c>
      <c r="T754" s="10"/>
      <c r="U754" s="23">
        <v>0</v>
      </c>
      <c r="V754" s="25">
        <v>0</v>
      </c>
      <c r="W754" s="24">
        <v>0</v>
      </c>
      <c r="X754" s="24">
        <f>U754-W754</f>
        <v>0</v>
      </c>
      <c r="Y754" s="53" t="str">
        <f>IF(U754&lt;&gt;0,X754/U754,"")</f>
        <v/>
      </c>
      <c r="Z754" s="23">
        <v>0</v>
      </c>
      <c r="AA754" s="25">
        <v>0</v>
      </c>
      <c r="AB754" s="24">
        <v>0</v>
      </c>
      <c r="AC754" s="24">
        <f t="shared" si="230"/>
        <v>0</v>
      </c>
      <c r="AD754" s="53" t="str">
        <f t="shared" si="231"/>
        <v/>
      </c>
      <c r="AE754" s="10"/>
    </row>
    <row r="755" spans="1:31" x14ac:dyDescent="0.25">
      <c r="A755" s="14" t="s">
        <v>109</v>
      </c>
      <c r="C755" s="61" t="str">
        <f t="shared" si="229"/>
        <v>C100053</v>
      </c>
      <c r="F755" s="8" t="str">
        <f>"C100037"</f>
        <v>C100037</v>
      </c>
      <c r="G755" s="9" t="str">
        <f>"World Time Travel Alarm"</f>
        <v>World Time Travel Alarm</v>
      </c>
      <c r="H755" s="47"/>
      <c r="I755" s="47"/>
      <c r="J755" s="23">
        <v>0</v>
      </c>
      <c r="K755" s="25">
        <v>0</v>
      </c>
      <c r="L755" s="24">
        <v>0</v>
      </c>
      <c r="M755" s="24">
        <f>J755-L755</f>
        <v>0</v>
      </c>
      <c r="N755" s="53" t="str">
        <f>IF(J755&lt;&gt;0,M755/J755,"")</f>
        <v/>
      </c>
      <c r="O755" s="23">
        <v>0</v>
      </c>
      <c r="P755" s="25">
        <v>0</v>
      </c>
      <c r="Q755" s="24">
        <v>0</v>
      </c>
      <c r="R755" s="24">
        <f>O755-Q755</f>
        <v>0</v>
      </c>
      <c r="S755" s="53" t="str">
        <f>IF(O755&lt;&gt;0,R755/O755,"")</f>
        <v/>
      </c>
      <c r="T755" s="10"/>
      <c r="U755" s="23">
        <v>0</v>
      </c>
      <c r="V755" s="25">
        <v>0</v>
      </c>
      <c r="W755" s="24">
        <v>0</v>
      </c>
      <c r="X755" s="24">
        <f>U755-W755</f>
        <v>0</v>
      </c>
      <c r="Y755" s="53" t="str">
        <f>IF(U755&lt;&gt;0,X755/U755,"")</f>
        <v/>
      </c>
      <c r="Z755" s="23">
        <v>1272.93</v>
      </c>
      <c r="AA755" s="25">
        <v>144</v>
      </c>
      <c r="AB755" s="24">
        <v>777.6099999999999</v>
      </c>
      <c r="AC755" s="24">
        <f t="shared" si="230"/>
        <v>495.32000000000016</v>
      </c>
      <c r="AD755" s="53">
        <f t="shared" si="231"/>
        <v>0.38911801905839294</v>
      </c>
      <c r="AE755" s="10"/>
    </row>
    <row r="756" spans="1:31" x14ac:dyDescent="0.25">
      <c r="A756" s="14" t="s">
        <v>109</v>
      </c>
      <c r="C756" s="61" t="str">
        <f t="shared" si="229"/>
        <v>C100053</v>
      </c>
      <c r="F756" s="8" t="str">
        <f>"C100040"</f>
        <v>C100040</v>
      </c>
      <c r="G756" s="9" t="str">
        <f>"Channel Speaker System"</f>
        <v>Channel Speaker System</v>
      </c>
      <c r="H756" s="47"/>
      <c r="I756" s="47"/>
      <c r="J756" s="23">
        <v>0</v>
      </c>
      <c r="K756" s="25">
        <v>0</v>
      </c>
      <c r="L756" s="24">
        <v>0</v>
      </c>
      <c r="M756" s="24">
        <f>J756-L756</f>
        <v>0</v>
      </c>
      <c r="N756" s="53" t="str">
        <f>IF(J756&lt;&gt;0,M756/J756,"")</f>
        <v/>
      </c>
      <c r="O756" s="23">
        <v>41.12</v>
      </c>
      <c r="P756" s="25">
        <v>1</v>
      </c>
      <c r="Q756" s="24">
        <v>20.77</v>
      </c>
      <c r="R756" s="24">
        <f>O756-Q756</f>
        <v>20.349999999999998</v>
      </c>
      <c r="S756" s="53">
        <f>IF(O756&lt;&gt;0,R756/O756,"")</f>
        <v>0.49489299610894938</v>
      </c>
      <c r="T756" s="10"/>
      <c r="U756" s="23">
        <v>0</v>
      </c>
      <c r="V756" s="25">
        <v>0</v>
      </c>
      <c r="W756" s="24">
        <v>0</v>
      </c>
      <c r="X756" s="24">
        <f>U756-W756</f>
        <v>0</v>
      </c>
      <c r="Y756" s="53" t="str">
        <f>IF(U756&lt;&gt;0,X756/U756,"")</f>
        <v/>
      </c>
      <c r="Z756" s="23">
        <v>0</v>
      </c>
      <c r="AA756" s="25">
        <v>0</v>
      </c>
      <c r="AB756" s="24">
        <v>0</v>
      </c>
      <c r="AC756" s="24">
        <f t="shared" si="230"/>
        <v>0</v>
      </c>
      <c r="AD756" s="53" t="str">
        <f t="shared" si="231"/>
        <v/>
      </c>
      <c r="AE756" s="10"/>
    </row>
    <row r="757" spans="1:31" x14ac:dyDescent="0.25">
      <c r="A757" s="14" t="s">
        <v>109</v>
      </c>
      <c r="C757" s="61" t="str">
        <f t="shared" si="229"/>
        <v>C100053</v>
      </c>
      <c r="F757" s="8" t="str">
        <f>"C100041"</f>
        <v>C100041</v>
      </c>
      <c r="G757" s="9" t="str">
        <f>"Folding Stereo Speakers"</f>
        <v>Folding Stereo Speakers</v>
      </c>
      <c r="H757" s="47"/>
      <c r="I757" s="47"/>
      <c r="J757" s="23">
        <v>0</v>
      </c>
      <c r="K757" s="25">
        <v>0</v>
      </c>
      <c r="L757" s="24">
        <v>0</v>
      </c>
      <c r="M757" s="24">
        <f>J757-L757</f>
        <v>0</v>
      </c>
      <c r="N757" s="53" t="str">
        <f>IF(J757&lt;&gt;0,M757/J757,"")</f>
        <v/>
      </c>
      <c r="O757" s="23">
        <v>732.41000000000008</v>
      </c>
      <c r="P757" s="25">
        <v>48</v>
      </c>
      <c r="Q757" s="24">
        <v>401.72999999999996</v>
      </c>
      <c r="R757" s="24">
        <f>O757-Q757</f>
        <v>330.68000000000012</v>
      </c>
      <c r="S757" s="53">
        <f>IF(O757&lt;&gt;0,R757/O757,"")</f>
        <v>0.45149574691771016</v>
      </c>
      <c r="T757" s="10"/>
      <c r="U757" s="23">
        <v>0</v>
      </c>
      <c r="V757" s="25">
        <v>0</v>
      </c>
      <c r="W757" s="24">
        <v>0</v>
      </c>
      <c r="X757" s="24">
        <f>U757-W757</f>
        <v>0</v>
      </c>
      <c r="Y757" s="53" t="str">
        <f>IF(U757&lt;&gt;0,X757/U757,"")</f>
        <v/>
      </c>
      <c r="Z757" s="23">
        <v>0</v>
      </c>
      <c r="AA757" s="25">
        <v>0</v>
      </c>
      <c r="AB757" s="24">
        <v>0</v>
      </c>
      <c r="AC757" s="24">
        <f t="shared" si="230"/>
        <v>0</v>
      </c>
      <c r="AD757" s="53" t="str">
        <f t="shared" si="231"/>
        <v/>
      </c>
      <c r="AE757" s="10"/>
    </row>
    <row r="758" spans="1:31" x14ac:dyDescent="0.25">
      <c r="A758" s="14" t="s">
        <v>109</v>
      </c>
      <c r="C758" s="61" t="str">
        <f t="shared" si="229"/>
        <v>C100053</v>
      </c>
      <c r="F758" s="8" t="str">
        <f>"C100048"</f>
        <v>C100048</v>
      </c>
      <c r="G758" s="9" t="str">
        <f>"USB MP3 Player"</f>
        <v>USB MP3 Player</v>
      </c>
      <c r="H758" s="47"/>
      <c r="I758" s="47"/>
      <c r="J758" s="23">
        <v>0</v>
      </c>
      <c r="K758" s="25">
        <v>0</v>
      </c>
      <c r="L758" s="24">
        <v>0</v>
      </c>
      <c r="M758" s="24">
        <f>J758-L758</f>
        <v>0</v>
      </c>
      <c r="N758" s="53" t="str">
        <f>IF(J758&lt;&gt;0,M758/J758,"")</f>
        <v/>
      </c>
      <c r="O758" s="23">
        <v>0</v>
      </c>
      <c r="P758" s="25">
        <v>0</v>
      </c>
      <c r="Q758" s="24">
        <v>0</v>
      </c>
      <c r="R758" s="24">
        <f>O758-Q758</f>
        <v>0</v>
      </c>
      <c r="S758" s="53" t="str">
        <f>IF(O758&lt;&gt;0,R758/O758,"")</f>
        <v/>
      </c>
      <c r="T758" s="10"/>
      <c r="U758" s="23">
        <v>0</v>
      </c>
      <c r="V758" s="25">
        <v>0</v>
      </c>
      <c r="W758" s="24">
        <v>0</v>
      </c>
      <c r="X758" s="24">
        <f>U758-W758</f>
        <v>0</v>
      </c>
      <c r="Y758" s="53" t="str">
        <f>IF(U758&lt;&gt;0,X758/U758,"")</f>
        <v/>
      </c>
      <c r="Z758" s="23">
        <v>1782.4099999999999</v>
      </c>
      <c r="AA758" s="25">
        <v>144</v>
      </c>
      <c r="AB758" s="24">
        <v>1108.81</v>
      </c>
      <c r="AC758" s="24">
        <f t="shared" si="230"/>
        <v>673.59999999999991</v>
      </c>
      <c r="AD758" s="53">
        <f t="shared" si="231"/>
        <v>0.37791529446087035</v>
      </c>
      <c r="AE758" s="10"/>
    </row>
    <row r="759" spans="1:31" x14ac:dyDescent="0.25">
      <c r="A759" s="14" t="s">
        <v>109</v>
      </c>
      <c r="C759" s="61" t="str">
        <f t="shared" si="229"/>
        <v>C100053</v>
      </c>
      <c r="F759" s="8" t="str">
        <f>"C100049"</f>
        <v>C100049</v>
      </c>
      <c r="G759" s="9" t="str">
        <f>"4GB MP3 Player"</f>
        <v>4GB MP3 Player</v>
      </c>
      <c r="H759" s="47"/>
      <c r="I759" s="47"/>
      <c r="J759" s="23">
        <v>0</v>
      </c>
      <c r="K759" s="25">
        <v>0</v>
      </c>
      <c r="L759" s="24">
        <v>0</v>
      </c>
      <c r="M759" s="24">
        <f>J759-L759</f>
        <v>0</v>
      </c>
      <c r="N759" s="53" t="str">
        <f>IF(J759&lt;&gt;0,M759/J759,"")</f>
        <v/>
      </c>
      <c r="O759" s="23">
        <v>2242.4299999999998</v>
      </c>
      <c r="P759" s="25">
        <v>144</v>
      </c>
      <c r="Q759" s="24">
        <v>1353.51</v>
      </c>
      <c r="R759" s="24">
        <f>O759-Q759</f>
        <v>888.91999999999985</v>
      </c>
      <c r="S759" s="53">
        <f>IF(O759&lt;&gt;0,R759/O759,"")</f>
        <v>0.39640925246273012</v>
      </c>
      <c r="T759" s="10"/>
      <c r="U759" s="23">
        <v>0</v>
      </c>
      <c r="V759" s="25">
        <v>0</v>
      </c>
      <c r="W759" s="24">
        <v>0</v>
      </c>
      <c r="X759" s="24">
        <f>U759-W759</f>
        <v>0</v>
      </c>
      <c r="Y759" s="53" t="str">
        <f>IF(U759&lt;&gt;0,X759/U759,"")</f>
        <v/>
      </c>
      <c r="Z759" s="23">
        <v>0</v>
      </c>
      <c r="AA759" s="25">
        <v>0</v>
      </c>
      <c r="AB759" s="24">
        <v>0</v>
      </c>
      <c r="AC759" s="24">
        <f t="shared" si="230"/>
        <v>0</v>
      </c>
      <c r="AD759" s="53" t="str">
        <f t="shared" si="231"/>
        <v/>
      </c>
      <c r="AE759" s="10"/>
    </row>
    <row r="760" spans="1:31" x14ac:dyDescent="0.25">
      <c r="A760" s="14" t="s">
        <v>109</v>
      </c>
      <c r="C760" s="61" t="str">
        <f t="shared" si="229"/>
        <v>C100053</v>
      </c>
      <c r="F760" s="8" t="str">
        <f>"C100050"</f>
        <v>C100050</v>
      </c>
      <c r="G760" s="9" t="str">
        <f>"Clip-on MP3 Player"</f>
        <v>Clip-on MP3 Player</v>
      </c>
      <c r="H760" s="47"/>
      <c r="I760" s="47"/>
      <c r="J760" s="23">
        <v>0</v>
      </c>
      <c r="K760" s="25">
        <v>0</v>
      </c>
      <c r="L760" s="24">
        <v>0</v>
      </c>
      <c r="M760" s="24">
        <f>J760-L760</f>
        <v>0</v>
      </c>
      <c r="N760" s="53" t="str">
        <f>IF(J760&lt;&gt;0,M760/J760,"")</f>
        <v/>
      </c>
      <c r="O760" s="23">
        <v>220.97000000000003</v>
      </c>
      <c r="P760" s="25">
        <v>12</v>
      </c>
      <c r="Q760" s="24">
        <v>102.96</v>
      </c>
      <c r="R760" s="24">
        <f>O760-Q760</f>
        <v>118.01000000000003</v>
      </c>
      <c r="S760" s="53">
        <f>IF(O760&lt;&gt;0,R760/O760,"")</f>
        <v>0.53405439652441522</v>
      </c>
      <c r="T760" s="10"/>
      <c r="U760" s="23">
        <v>0</v>
      </c>
      <c r="V760" s="25">
        <v>0</v>
      </c>
      <c r="W760" s="24">
        <v>0</v>
      </c>
      <c r="X760" s="24">
        <f>U760-W760</f>
        <v>0</v>
      </c>
      <c r="Y760" s="53" t="str">
        <f>IF(U760&lt;&gt;0,X760/U760,"")</f>
        <v/>
      </c>
      <c r="Z760" s="23">
        <v>2651.67</v>
      </c>
      <c r="AA760" s="25">
        <v>144</v>
      </c>
      <c r="AB760" s="24">
        <v>1235.48</v>
      </c>
      <c r="AC760" s="24">
        <f t="shared" si="230"/>
        <v>1416.19</v>
      </c>
      <c r="AD760" s="53">
        <f t="shared" si="231"/>
        <v>0.53407475289157402</v>
      </c>
      <c r="AE760" s="10"/>
    </row>
    <row r="761" spans="1:31" x14ac:dyDescent="0.25">
      <c r="A761" s="14" t="s">
        <v>109</v>
      </c>
      <c r="C761" s="61" t="str">
        <f t="shared" si="229"/>
        <v>C100053</v>
      </c>
      <c r="F761" s="8" t="str">
        <f>"C100051"</f>
        <v>C100051</v>
      </c>
      <c r="G761" s="9" t="str">
        <f>"Bamboo Digital Picutre Frame"</f>
        <v>Bamboo Digital Picutre Frame</v>
      </c>
      <c r="H761" s="47"/>
      <c r="I761" s="47"/>
      <c r="J761" s="23">
        <v>0</v>
      </c>
      <c r="K761" s="25">
        <v>0</v>
      </c>
      <c r="L761" s="24">
        <v>0</v>
      </c>
      <c r="M761" s="24">
        <f>J761-L761</f>
        <v>0</v>
      </c>
      <c r="N761" s="53" t="str">
        <f>IF(J761&lt;&gt;0,M761/J761,"")</f>
        <v/>
      </c>
      <c r="O761" s="23">
        <v>14208.08</v>
      </c>
      <c r="P761" s="25">
        <v>288</v>
      </c>
      <c r="Q761" s="24">
        <v>7004.2599999999993</v>
      </c>
      <c r="R761" s="24">
        <f>O761-Q761</f>
        <v>7203.8200000000006</v>
      </c>
      <c r="S761" s="53">
        <f>IF(O761&lt;&gt;0,R761/O761,"")</f>
        <v>0.50702276451146111</v>
      </c>
      <c r="T761" s="10"/>
      <c r="U761" s="23">
        <v>0</v>
      </c>
      <c r="V761" s="25">
        <v>0</v>
      </c>
      <c r="W761" s="24">
        <v>0</v>
      </c>
      <c r="X761" s="24">
        <f>U761-W761</f>
        <v>0</v>
      </c>
      <c r="Y761" s="53" t="str">
        <f>IF(U761&lt;&gt;0,X761/U761,"")</f>
        <v/>
      </c>
      <c r="Z761" s="23">
        <v>0</v>
      </c>
      <c r="AA761" s="25">
        <v>0</v>
      </c>
      <c r="AB761" s="24">
        <v>0</v>
      </c>
      <c r="AC761" s="24">
        <f t="shared" si="230"/>
        <v>0</v>
      </c>
      <c r="AD761" s="53" t="str">
        <f t="shared" si="231"/>
        <v/>
      </c>
      <c r="AE761" s="10"/>
    </row>
    <row r="762" spans="1:31" x14ac:dyDescent="0.25">
      <c r="A762" s="14" t="s">
        <v>109</v>
      </c>
      <c r="C762" s="61" t="str">
        <f t="shared" si="229"/>
        <v>C100053</v>
      </c>
      <c r="F762" s="8" t="str">
        <f>"C100052"</f>
        <v>C100052</v>
      </c>
      <c r="G762" s="9" t="str">
        <f>"Black Digital Picture Frame"</f>
        <v>Black Digital Picture Frame</v>
      </c>
      <c r="H762" s="47"/>
      <c r="I762" s="47"/>
      <c r="J762" s="23">
        <v>0</v>
      </c>
      <c r="K762" s="25">
        <v>0</v>
      </c>
      <c r="L762" s="24">
        <v>0</v>
      </c>
      <c r="M762" s="24">
        <f>J762-L762</f>
        <v>0</v>
      </c>
      <c r="N762" s="53" t="str">
        <f>IF(J762&lt;&gt;0,M762/J762,"")</f>
        <v/>
      </c>
      <c r="O762" s="23">
        <v>569.54999999999995</v>
      </c>
      <c r="P762" s="25">
        <v>12</v>
      </c>
      <c r="Q762" s="24">
        <v>267.83999999999997</v>
      </c>
      <c r="R762" s="24">
        <f>O762-Q762</f>
        <v>301.70999999999998</v>
      </c>
      <c r="S762" s="53">
        <f>IF(O762&lt;&gt;0,R762/O762,"")</f>
        <v>0.52973400052673159</v>
      </c>
      <c r="T762" s="10"/>
      <c r="U762" s="23">
        <v>0</v>
      </c>
      <c r="V762" s="25">
        <v>0</v>
      </c>
      <c r="W762" s="24">
        <v>0</v>
      </c>
      <c r="X762" s="24">
        <f>U762-W762</f>
        <v>0</v>
      </c>
      <c r="Y762" s="53" t="str">
        <f>IF(U762&lt;&gt;0,X762/U762,"")</f>
        <v/>
      </c>
      <c r="Z762" s="23">
        <v>0</v>
      </c>
      <c r="AA762" s="25">
        <v>0</v>
      </c>
      <c r="AB762" s="24">
        <v>0</v>
      </c>
      <c r="AC762" s="24">
        <f t="shared" si="230"/>
        <v>0</v>
      </c>
      <c r="AD762" s="53" t="str">
        <f t="shared" si="231"/>
        <v/>
      </c>
      <c r="AE762" s="10"/>
    </row>
    <row r="763" spans="1:31" x14ac:dyDescent="0.25">
      <c r="A763" s="14" t="s">
        <v>109</v>
      </c>
      <c r="C763" s="61" t="str">
        <f t="shared" si="229"/>
        <v>C100053</v>
      </c>
      <c r="F763" s="8" t="str">
        <f>"E100018"</f>
        <v>E100018</v>
      </c>
      <c r="G763" s="9" t="str">
        <f>"Flexi-Clock &amp; Clip"</f>
        <v>Flexi-Clock &amp; Clip</v>
      </c>
      <c r="H763" s="47"/>
      <c r="I763" s="47"/>
      <c r="J763" s="23">
        <v>0</v>
      </c>
      <c r="K763" s="25">
        <v>0</v>
      </c>
      <c r="L763" s="24">
        <v>0</v>
      </c>
      <c r="M763" s="24">
        <f>J763-L763</f>
        <v>0</v>
      </c>
      <c r="N763" s="53" t="str">
        <f>IF(J763&lt;&gt;0,M763/J763,"")</f>
        <v/>
      </c>
      <c r="O763" s="23">
        <v>2.2200000000000002</v>
      </c>
      <c r="P763" s="25">
        <v>2</v>
      </c>
      <c r="Q763" s="24">
        <v>1.2</v>
      </c>
      <c r="R763" s="24">
        <f>O763-Q763</f>
        <v>1.0200000000000002</v>
      </c>
      <c r="S763" s="53">
        <f>IF(O763&lt;&gt;0,R763/O763,"")</f>
        <v>0.45945945945945954</v>
      </c>
      <c r="T763" s="10"/>
      <c r="U763" s="23">
        <v>0</v>
      </c>
      <c r="V763" s="25">
        <v>0</v>
      </c>
      <c r="W763" s="24">
        <v>0</v>
      </c>
      <c r="X763" s="24">
        <f>U763-W763</f>
        <v>0</v>
      </c>
      <c r="Y763" s="53" t="str">
        <f>IF(U763&lt;&gt;0,X763/U763,"")</f>
        <v/>
      </c>
      <c r="Z763" s="23">
        <v>159.44</v>
      </c>
      <c r="AA763" s="25">
        <v>144</v>
      </c>
      <c r="AB763" s="24">
        <v>86.39</v>
      </c>
      <c r="AC763" s="24">
        <f t="shared" si="230"/>
        <v>73.05</v>
      </c>
      <c r="AD763" s="53">
        <f t="shared" si="231"/>
        <v>0.45816608128449571</v>
      </c>
      <c r="AE763" s="10"/>
    </row>
    <row r="764" spans="1:31" x14ac:dyDescent="0.25">
      <c r="A764" s="14" t="s">
        <v>109</v>
      </c>
      <c r="C764" s="61" t="str">
        <f t="shared" si="229"/>
        <v>C100053</v>
      </c>
      <c r="F764" s="8" t="str">
        <f>"E100019"</f>
        <v>E100019</v>
      </c>
      <c r="G764" s="9" t="str">
        <f>"Mini Travel Alarm"</f>
        <v>Mini Travel Alarm</v>
      </c>
      <c r="H764" s="47"/>
      <c r="I764" s="47"/>
      <c r="J764" s="23">
        <v>0</v>
      </c>
      <c r="K764" s="25">
        <v>0</v>
      </c>
      <c r="L764" s="24">
        <v>0</v>
      </c>
      <c r="M764" s="24">
        <f>J764-L764</f>
        <v>0</v>
      </c>
      <c r="N764" s="53" t="str">
        <f>IF(J764&lt;&gt;0,M764/J764,"")</f>
        <v/>
      </c>
      <c r="O764" s="23">
        <v>481.78</v>
      </c>
      <c r="P764" s="25">
        <v>145</v>
      </c>
      <c r="Q764" s="24">
        <v>234.89000000000001</v>
      </c>
      <c r="R764" s="24">
        <f>O764-Q764</f>
        <v>246.88999999999996</v>
      </c>
      <c r="S764" s="53">
        <f>IF(O764&lt;&gt;0,R764/O764,"")</f>
        <v>0.51245381709493953</v>
      </c>
      <c r="T764" s="10"/>
      <c r="U764" s="23">
        <v>0</v>
      </c>
      <c r="V764" s="25">
        <v>0</v>
      </c>
      <c r="W764" s="24">
        <v>0</v>
      </c>
      <c r="X764" s="24">
        <f>U764-W764</f>
        <v>0</v>
      </c>
      <c r="Y764" s="53" t="str">
        <f>IF(U764&lt;&gt;0,X764/U764,"")</f>
        <v/>
      </c>
      <c r="Z764" s="23">
        <v>3.32</v>
      </c>
      <c r="AA764" s="25">
        <v>1</v>
      </c>
      <c r="AB764" s="24">
        <v>1.62</v>
      </c>
      <c r="AC764" s="24">
        <f t="shared" si="230"/>
        <v>1.6999999999999997</v>
      </c>
      <c r="AD764" s="53">
        <f t="shared" si="231"/>
        <v>0.51204819277108427</v>
      </c>
      <c r="AE764" s="10"/>
    </row>
    <row r="765" spans="1:31" x14ac:dyDescent="0.25">
      <c r="A765" s="14" t="s">
        <v>109</v>
      </c>
      <c r="C765" s="61" t="str">
        <f t="shared" si="229"/>
        <v>C100053</v>
      </c>
      <c r="F765" s="8" t="str">
        <f>"E100021"</f>
        <v>E100021</v>
      </c>
      <c r="G765" s="9" t="str">
        <f>"Slim Travel Alarm"</f>
        <v>Slim Travel Alarm</v>
      </c>
      <c r="H765" s="47"/>
      <c r="I765" s="47"/>
      <c r="J765" s="23">
        <v>0</v>
      </c>
      <c r="K765" s="25">
        <v>0</v>
      </c>
      <c r="L765" s="24">
        <v>0</v>
      </c>
      <c r="M765" s="24">
        <f>J765-L765</f>
        <v>0</v>
      </c>
      <c r="N765" s="53" t="str">
        <f>IF(J765&lt;&gt;0,M765/J765,"")</f>
        <v/>
      </c>
      <c r="O765" s="23">
        <v>0</v>
      </c>
      <c r="P765" s="25">
        <v>0</v>
      </c>
      <c r="Q765" s="24">
        <v>0</v>
      </c>
      <c r="R765" s="24">
        <f>O765-Q765</f>
        <v>0</v>
      </c>
      <c r="S765" s="53" t="str">
        <f>IF(O765&lt;&gt;0,R765/O765,"")</f>
        <v/>
      </c>
      <c r="T765" s="10"/>
      <c r="U765" s="23">
        <v>0</v>
      </c>
      <c r="V765" s="25">
        <v>0</v>
      </c>
      <c r="W765" s="24">
        <v>0</v>
      </c>
      <c r="X765" s="24">
        <f>U765-W765</f>
        <v>0</v>
      </c>
      <c r="Y765" s="53" t="str">
        <f>IF(U765&lt;&gt;0,X765/U765,"")</f>
        <v/>
      </c>
      <c r="Z765" s="23">
        <v>2.82</v>
      </c>
      <c r="AA765" s="25">
        <v>1</v>
      </c>
      <c r="AB765" s="24">
        <v>1.44</v>
      </c>
      <c r="AC765" s="24">
        <f t="shared" si="230"/>
        <v>1.38</v>
      </c>
      <c r="AD765" s="53">
        <f t="shared" si="231"/>
        <v>0.48936170212765956</v>
      </c>
      <c r="AE765" s="10"/>
    </row>
    <row r="766" spans="1:31" x14ac:dyDescent="0.25">
      <c r="A766" s="14" t="s">
        <v>109</v>
      </c>
      <c r="C766" s="61" t="str">
        <f t="shared" si="229"/>
        <v>C100053</v>
      </c>
      <c r="F766" s="8" t="str">
        <f>"E100022"</f>
        <v>E100022</v>
      </c>
      <c r="G766" s="9" t="str">
        <f>"Wide Screen Alarm Clock"</f>
        <v>Wide Screen Alarm Clock</v>
      </c>
      <c r="H766" s="47"/>
      <c r="I766" s="47"/>
      <c r="J766" s="23">
        <v>0</v>
      </c>
      <c r="K766" s="25">
        <v>0</v>
      </c>
      <c r="L766" s="24">
        <v>0</v>
      </c>
      <c r="M766" s="24">
        <f>J766-L766</f>
        <v>0</v>
      </c>
      <c r="N766" s="53" t="str">
        <f>IF(J766&lt;&gt;0,M766/J766,"")</f>
        <v/>
      </c>
      <c r="O766" s="23">
        <v>1.9</v>
      </c>
      <c r="P766" s="25">
        <v>1</v>
      </c>
      <c r="Q766" s="24">
        <v>1.28</v>
      </c>
      <c r="R766" s="24">
        <f>O766-Q766</f>
        <v>0.61999999999999988</v>
      </c>
      <c r="S766" s="53">
        <f>IF(O766&lt;&gt;0,R766/O766,"")</f>
        <v>0.32631578947368417</v>
      </c>
      <c r="T766" s="10"/>
      <c r="U766" s="23">
        <v>0</v>
      </c>
      <c r="V766" s="25">
        <v>0</v>
      </c>
      <c r="W766" s="24">
        <v>0</v>
      </c>
      <c r="X766" s="24">
        <f>U766-W766</f>
        <v>0</v>
      </c>
      <c r="Y766" s="53" t="str">
        <f>IF(U766&lt;&gt;0,X766/U766,"")</f>
        <v/>
      </c>
      <c r="Z766" s="23">
        <v>0</v>
      </c>
      <c r="AA766" s="25">
        <v>0</v>
      </c>
      <c r="AB766" s="24">
        <v>0</v>
      </c>
      <c r="AC766" s="24">
        <f t="shared" si="230"/>
        <v>0</v>
      </c>
      <c r="AD766" s="53" t="str">
        <f t="shared" si="231"/>
        <v/>
      </c>
      <c r="AE766" s="10"/>
    </row>
    <row r="767" spans="1:31" ht="15.75" thickBot="1" x14ac:dyDescent="0.3">
      <c r="A767" s="14" t="s">
        <v>109</v>
      </c>
      <c r="C767" s="61" t="str">
        <f>C745</f>
        <v>C100053</v>
      </c>
      <c r="J767" s="10"/>
      <c r="K767" s="11"/>
      <c r="L767" s="11"/>
      <c r="M767" s="11"/>
      <c r="N767" s="12"/>
      <c r="O767" s="10"/>
      <c r="P767" s="11"/>
      <c r="Q767" s="11"/>
      <c r="R767" s="11"/>
      <c r="S767" s="12"/>
      <c r="U767" s="10"/>
      <c r="V767" s="11"/>
      <c r="W767" s="11"/>
      <c r="X767" s="11"/>
      <c r="Y767" s="12"/>
      <c r="Z767" s="10"/>
      <c r="AA767" s="11"/>
      <c r="AB767" s="11"/>
      <c r="AC767" s="11"/>
      <c r="AD767" s="12"/>
    </row>
    <row r="768" spans="1:31" ht="15.75" thickBot="1" x14ac:dyDescent="0.3">
      <c r="A768" s="14" t="s">
        <v>109</v>
      </c>
      <c r="C768" s="61" t="str">
        <f t="shared" si="226"/>
        <v>C100053</v>
      </c>
      <c r="G768" s="48" t="str">
        <f>C768&amp;" TOTAL:"</f>
        <v>C100053 TOTAL:</v>
      </c>
      <c r="H768" s="50"/>
      <c r="I768" s="50"/>
      <c r="J768" s="34">
        <f>SUBTOTAL(9,J744:J767)</f>
        <v>0</v>
      </c>
      <c r="K768" s="35">
        <f>SUBTOTAL(9,K744:K767)</f>
        <v>0</v>
      </c>
      <c r="L768" s="36">
        <f>SUBTOTAL(9,L744:L767)</f>
        <v>0</v>
      </c>
      <c r="M768" s="36">
        <f>J768-L768</f>
        <v>0</v>
      </c>
      <c r="N768" s="37" t="str">
        <f>IF(J768&lt;&gt;0,M768/J768,"")</f>
        <v/>
      </c>
      <c r="O768" s="34">
        <f>SUBTOTAL(9,O744:O767)</f>
        <v>22649.39</v>
      </c>
      <c r="P768" s="35">
        <f>SUBTOTAL(9,P744:P767)</f>
        <v>1016</v>
      </c>
      <c r="Q768" s="36">
        <f>SUBTOTAL(9,Q744:Q767)</f>
        <v>11464.75</v>
      </c>
      <c r="R768" s="36">
        <f>O768-Q768</f>
        <v>11184.64</v>
      </c>
      <c r="S768" s="37">
        <f>IF(O768&lt;&gt;0,R768/O768,"")</f>
        <v>0.49381638975707515</v>
      </c>
      <c r="U768" s="34">
        <f>SUBTOTAL(9,U744:U767)</f>
        <v>0</v>
      </c>
      <c r="V768" s="35">
        <f>SUBTOTAL(9,V744:V767)</f>
        <v>0</v>
      </c>
      <c r="W768" s="36">
        <f>SUBTOTAL(9,W744:W767)</f>
        <v>0</v>
      </c>
      <c r="X768" s="36">
        <f>U768-W768</f>
        <v>0</v>
      </c>
      <c r="Y768" s="37" t="str">
        <f>IF(U768&lt;&gt;0,X768/U768,"")</f>
        <v/>
      </c>
      <c r="Z768" s="34">
        <f>SUBTOTAL(9,Z744:Z767)</f>
        <v>11313.619999999999</v>
      </c>
      <c r="AA768" s="35">
        <f>SUBTOTAL(9,AA744:AA767)</f>
        <v>797</v>
      </c>
      <c r="AB768" s="36">
        <f>SUBTOTAL(9,AB744:AB767)</f>
        <v>6320.44</v>
      </c>
      <c r="AC768" s="36">
        <f t="shared" ref="AC768" si="232">Z768-AB768</f>
        <v>4993.1799999999994</v>
      </c>
      <c r="AD768" s="37">
        <f t="shared" ref="AD768" si="233">IF(Z768&lt;&gt;0,AC768/Z768,"")</f>
        <v>0.4413423820138912</v>
      </c>
    </row>
    <row r="769" spans="1:31" x14ac:dyDescent="0.25">
      <c r="A769" s="14" t="s">
        <v>109</v>
      </c>
      <c r="C769" s="66"/>
      <c r="J769" s="10"/>
      <c r="K769" s="11"/>
      <c r="L769" s="11"/>
      <c r="M769" s="11"/>
      <c r="N769" s="12"/>
      <c r="O769" s="10"/>
      <c r="P769" s="11"/>
      <c r="Q769" s="11"/>
      <c r="R769" s="11"/>
      <c r="S769" s="12"/>
      <c r="U769" s="10"/>
      <c r="V769" s="11"/>
      <c r="W769" s="11"/>
      <c r="X769" s="11"/>
      <c r="Y769" s="12"/>
      <c r="Z769" s="10"/>
      <c r="AA769" s="11"/>
      <c r="AB769" s="11"/>
      <c r="AC769" s="11"/>
      <c r="AD769" s="12"/>
    </row>
    <row r="770" spans="1:31" ht="15.75" x14ac:dyDescent="0.25">
      <c r="A770" s="14" t="s">
        <v>109</v>
      </c>
      <c r="C770" s="66" t="str">
        <f t="shared" ref="C770" si="234">E770</f>
        <v>C100054</v>
      </c>
      <c r="E770" s="13" t="str">
        <f>"C100054"</f>
        <v>C100054</v>
      </c>
      <c r="F770" s="13"/>
      <c r="G770" s="13" t="str">
        <f>"London Candoxy Storage Campus"</f>
        <v>London Candoxy Storage Campus</v>
      </c>
      <c r="H770" s="13"/>
      <c r="I770" s="13"/>
      <c r="J770" s="10"/>
      <c r="K770" s="11"/>
      <c r="L770" s="11"/>
      <c r="M770" s="11"/>
      <c r="N770" s="12"/>
      <c r="O770" s="10"/>
      <c r="P770" s="11"/>
      <c r="Q770" s="11"/>
      <c r="R770" s="11"/>
      <c r="S770" s="12"/>
      <c r="U770" s="10"/>
      <c r="V770" s="11"/>
      <c r="W770" s="11"/>
      <c r="X770" s="11"/>
      <c r="Y770" s="12"/>
      <c r="Z770" s="10"/>
      <c r="AA770" s="11"/>
      <c r="AB770" s="11"/>
      <c r="AC770" s="11"/>
      <c r="AD770" s="12"/>
    </row>
    <row r="771" spans="1:31" ht="6.6" customHeight="1" x14ac:dyDescent="0.25">
      <c r="A771" s="14" t="s">
        <v>109</v>
      </c>
      <c r="C771" s="61" t="str">
        <f t="shared" ref="C771:C791" si="235">C770</f>
        <v>C100054</v>
      </c>
      <c r="J771" s="10"/>
      <c r="K771" s="11"/>
      <c r="L771" s="11"/>
      <c r="M771" s="11"/>
      <c r="N771" s="12"/>
      <c r="O771" s="10"/>
      <c r="P771" s="11"/>
      <c r="Q771" s="11"/>
      <c r="R771" s="11"/>
      <c r="S771" s="12"/>
      <c r="U771" s="10"/>
      <c r="V771" s="11"/>
      <c r="W771" s="11"/>
      <c r="X771" s="11"/>
      <c r="Y771" s="12"/>
      <c r="Z771" s="10"/>
      <c r="AA771" s="11"/>
      <c r="AB771" s="11"/>
      <c r="AC771" s="11"/>
      <c r="AD771" s="12"/>
    </row>
    <row r="772" spans="1:31" x14ac:dyDescent="0.25">
      <c r="A772" s="14" t="s">
        <v>109</v>
      </c>
      <c r="C772" s="61" t="str">
        <f t="shared" si="235"/>
        <v>C100054</v>
      </c>
      <c r="F772" s="8" t="str">
        <f>"C100007"</f>
        <v>C100007</v>
      </c>
      <c r="G772" s="9" t="str">
        <f>"7.5'' Bud Vase"</f>
        <v>7.5'' Bud Vase</v>
      </c>
      <c r="H772" s="47"/>
      <c r="I772" s="47"/>
      <c r="J772" s="23">
        <v>20</v>
      </c>
      <c r="K772" s="25">
        <v>12</v>
      </c>
      <c r="L772" s="24">
        <v>12.24</v>
      </c>
      <c r="M772" s="24">
        <f>J772-L772</f>
        <v>7.76</v>
      </c>
      <c r="N772" s="53">
        <f>IF(J772&lt;&gt;0,M772/J772,"")</f>
        <v>0.38800000000000001</v>
      </c>
      <c r="O772" s="23">
        <v>0</v>
      </c>
      <c r="P772" s="25">
        <v>0</v>
      </c>
      <c r="Q772" s="24">
        <v>0</v>
      </c>
      <c r="R772" s="24">
        <f>O772-Q772</f>
        <v>0</v>
      </c>
      <c r="S772" s="53" t="str">
        <f>IF(O772&lt;&gt;0,R772/O772,"")</f>
        <v/>
      </c>
      <c r="T772" s="10"/>
      <c r="U772" s="23">
        <v>0</v>
      </c>
      <c r="V772" s="25">
        <v>0</v>
      </c>
      <c r="W772" s="24">
        <v>0</v>
      </c>
      <c r="X772" s="24">
        <f>U772-W772</f>
        <v>0</v>
      </c>
      <c r="Y772" s="53" t="str">
        <f>IF(U772&lt;&gt;0,X772/U772,"")</f>
        <v/>
      </c>
      <c r="Z772" s="23">
        <v>249.94</v>
      </c>
      <c r="AA772" s="25">
        <v>150</v>
      </c>
      <c r="AB772" s="24">
        <v>153.01000000000002</v>
      </c>
      <c r="AC772" s="24">
        <f t="shared" ref="AC772" si="236">Z772-AB772</f>
        <v>96.929999999999978</v>
      </c>
      <c r="AD772" s="53">
        <f t="shared" ref="AD772" si="237">IF(Z772&lt;&gt;0,AC772/Z772,"")</f>
        <v>0.38781307513803304</v>
      </c>
      <c r="AE772" s="10"/>
    </row>
    <row r="773" spans="1:31" x14ac:dyDescent="0.25">
      <c r="A773" s="14" t="s">
        <v>109</v>
      </c>
      <c r="C773" s="61" t="str">
        <f t="shared" ref="C773:C789" si="238">C772</f>
        <v>C100054</v>
      </c>
      <c r="F773" s="8" t="str">
        <f>"C100008"</f>
        <v>C100008</v>
      </c>
      <c r="G773" s="9" t="str">
        <f>"Glacier Vase"</f>
        <v>Glacier Vase</v>
      </c>
      <c r="H773" s="47"/>
      <c r="I773" s="47"/>
      <c r="J773" s="23">
        <v>106.42</v>
      </c>
      <c r="K773" s="25">
        <v>12</v>
      </c>
      <c r="L773" s="24">
        <v>51</v>
      </c>
      <c r="M773" s="24">
        <f>J773-L773</f>
        <v>55.42</v>
      </c>
      <c r="N773" s="53">
        <f>IF(J773&lt;&gt;0,M773/J773,"")</f>
        <v>0.52076677316293929</v>
      </c>
      <c r="O773" s="23">
        <v>0</v>
      </c>
      <c r="P773" s="25">
        <v>0</v>
      </c>
      <c r="Q773" s="24">
        <v>0</v>
      </c>
      <c r="R773" s="24">
        <f>O773-Q773</f>
        <v>0</v>
      </c>
      <c r="S773" s="53" t="str">
        <f>IF(O773&lt;&gt;0,R773/O773,"")</f>
        <v/>
      </c>
      <c r="T773" s="10"/>
      <c r="U773" s="23">
        <v>-0.01</v>
      </c>
      <c r="V773" s="25">
        <v>0</v>
      </c>
      <c r="W773" s="24">
        <v>0</v>
      </c>
      <c r="X773" s="24">
        <f>U773-W773</f>
        <v>-0.01</v>
      </c>
      <c r="Y773" s="53">
        <f>IF(U773&lt;&gt;0,X773/U773,"")</f>
        <v>1</v>
      </c>
      <c r="Z773" s="23">
        <v>0</v>
      </c>
      <c r="AA773" s="25">
        <v>0</v>
      </c>
      <c r="AB773" s="24">
        <v>0</v>
      </c>
      <c r="AC773" s="24">
        <f t="shared" ref="AC773:AC789" si="239">Z773-AB773</f>
        <v>0</v>
      </c>
      <c r="AD773" s="53" t="str">
        <f t="shared" ref="AD773:AD789" si="240">IF(Z773&lt;&gt;0,AC773/Z773,"")</f>
        <v/>
      </c>
      <c r="AE773" s="10"/>
    </row>
    <row r="774" spans="1:31" x14ac:dyDescent="0.25">
      <c r="A774" s="14" t="s">
        <v>109</v>
      </c>
      <c r="C774" s="61" t="str">
        <f t="shared" si="238"/>
        <v>C100054</v>
      </c>
      <c r="F774" s="8" t="str">
        <f>"C100010"</f>
        <v>C100010</v>
      </c>
      <c r="G774" s="9" t="str">
        <f>"Wisper-Cut Vase"</f>
        <v>Wisper-Cut Vase</v>
      </c>
      <c r="H774" s="47"/>
      <c r="I774" s="47"/>
      <c r="J774" s="23">
        <v>1978.5000000000002</v>
      </c>
      <c r="K774" s="25">
        <v>24</v>
      </c>
      <c r="L774" s="24">
        <v>965.99999999999989</v>
      </c>
      <c r="M774" s="24">
        <f>J774-L774</f>
        <v>1012.5000000000003</v>
      </c>
      <c r="N774" s="53">
        <f>IF(J774&lt;&gt;0,M774/J774,"")</f>
        <v>0.51175132676269908</v>
      </c>
      <c r="O774" s="23">
        <v>0</v>
      </c>
      <c r="P774" s="25">
        <v>0</v>
      </c>
      <c r="Q774" s="24">
        <v>0</v>
      </c>
      <c r="R774" s="24">
        <f>O774-Q774</f>
        <v>0</v>
      </c>
      <c r="S774" s="53" t="str">
        <f>IF(O774&lt;&gt;0,R774/O774,"")</f>
        <v/>
      </c>
      <c r="T774" s="10"/>
      <c r="U774" s="23">
        <v>0</v>
      </c>
      <c r="V774" s="25">
        <v>0</v>
      </c>
      <c r="W774" s="24">
        <v>0</v>
      </c>
      <c r="X774" s="24">
        <f>U774-W774</f>
        <v>0</v>
      </c>
      <c r="Y774" s="53" t="str">
        <f>IF(U774&lt;&gt;0,X774/U774,"")</f>
        <v/>
      </c>
      <c r="Z774" s="23">
        <v>82.44</v>
      </c>
      <c r="AA774" s="25">
        <v>1</v>
      </c>
      <c r="AB774" s="24">
        <v>40.25</v>
      </c>
      <c r="AC774" s="24">
        <f t="shared" si="239"/>
        <v>42.19</v>
      </c>
      <c r="AD774" s="53">
        <f t="shared" si="240"/>
        <v>0.51176613294517226</v>
      </c>
      <c r="AE774" s="10"/>
    </row>
    <row r="775" spans="1:31" x14ac:dyDescent="0.25">
      <c r="A775" s="14" t="s">
        <v>109</v>
      </c>
      <c r="C775" s="61" t="str">
        <f t="shared" si="238"/>
        <v>C100054</v>
      </c>
      <c r="F775" s="8" t="str">
        <f>"C100011"</f>
        <v>C100011</v>
      </c>
      <c r="G775" s="9" t="str">
        <f>"Winter Frost Vase"</f>
        <v>Winter Frost Vase</v>
      </c>
      <c r="H775" s="47"/>
      <c r="I775" s="47"/>
      <c r="J775" s="23">
        <v>2839.79</v>
      </c>
      <c r="K775" s="25">
        <v>48</v>
      </c>
      <c r="L775" s="24">
        <v>1857.6100000000001</v>
      </c>
      <c r="M775" s="24">
        <f>J775-L775</f>
        <v>982.17999999999984</v>
      </c>
      <c r="N775" s="53">
        <f>IF(J775&lt;&gt;0,M775/J775,"")</f>
        <v>0.34586360259033233</v>
      </c>
      <c r="O775" s="23">
        <v>0</v>
      </c>
      <c r="P775" s="25">
        <v>0</v>
      </c>
      <c r="Q775" s="24">
        <v>0</v>
      </c>
      <c r="R775" s="24">
        <f>O775-Q775</f>
        <v>0</v>
      </c>
      <c r="S775" s="53" t="str">
        <f>IF(O775&lt;&gt;0,R775/O775,"")</f>
        <v/>
      </c>
      <c r="T775" s="10"/>
      <c r="U775" s="23">
        <v>709.95</v>
      </c>
      <c r="V775" s="25">
        <v>12</v>
      </c>
      <c r="W775" s="24">
        <v>464.4</v>
      </c>
      <c r="X775" s="24">
        <f>U775-W775</f>
        <v>245.55000000000007</v>
      </c>
      <c r="Y775" s="53">
        <f>IF(U775&lt;&gt;0,X775/U775,"")</f>
        <v>0.34586942742446658</v>
      </c>
      <c r="Z775" s="23">
        <v>0</v>
      </c>
      <c r="AA775" s="25">
        <v>0</v>
      </c>
      <c r="AB775" s="24">
        <v>0</v>
      </c>
      <c r="AC775" s="24">
        <f t="shared" si="239"/>
        <v>0</v>
      </c>
      <c r="AD775" s="53" t="str">
        <f t="shared" si="240"/>
        <v/>
      </c>
      <c r="AE775" s="10"/>
    </row>
    <row r="776" spans="1:31" x14ac:dyDescent="0.25">
      <c r="A776" s="14" t="s">
        <v>109</v>
      </c>
      <c r="C776" s="61" t="str">
        <f t="shared" si="238"/>
        <v>C100054</v>
      </c>
      <c r="F776" s="8" t="str">
        <f>"C100034"</f>
        <v>C100034</v>
      </c>
      <c r="G776" s="9" t="str">
        <f>"Clock &amp; Pen Holder"</f>
        <v>Clock &amp; Pen Holder</v>
      </c>
      <c r="H776" s="47"/>
      <c r="I776" s="47"/>
      <c r="J776" s="23">
        <v>15.68</v>
      </c>
      <c r="K776" s="25">
        <v>1</v>
      </c>
      <c r="L776" s="24">
        <v>9.8800000000000008</v>
      </c>
      <c r="M776" s="24">
        <f>J776-L776</f>
        <v>5.7999999999999989</v>
      </c>
      <c r="N776" s="53">
        <f>IF(J776&lt;&gt;0,M776/J776,"")</f>
        <v>0.36989795918367341</v>
      </c>
      <c r="O776" s="23">
        <v>0</v>
      </c>
      <c r="P776" s="25">
        <v>0</v>
      </c>
      <c r="Q776" s="24">
        <v>0</v>
      </c>
      <c r="R776" s="24">
        <f>O776-Q776</f>
        <v>0</v>
      </c>
      <c r="S776" s="53" t="str">
        <f>IF(O776&lt;&gt;0,R776/O776,"")</f>
        <v/>
      </c>
      <c r="T776" s="10"/>
      <c r="U776" s="23">
        <v>0</v>
      </c>
      <c r="V776" s="25">
        <v>0</v>
      </c>
      <c r="W776" s="24">
        <v>0</v>
      </c>
      <c r="X776" s="24">
        <f>U776-W776</f>
        <v>0</v>
      </c>
      <c r="Y776" s="53" t="str">
        <f>IF(U776&lt;&gt;0,X776/U776,"")</f>
        <v/>
      </c>
      <c r="Z776" s="23">
        <v>0</v>
      </c>
      <c r="AA776" s="25">
        <v>0</v>
      </c>
      <c r="AB776" s="24">
        <v>0</v>
      </c>
      <c r="AC776" s="24">
        <f t="shared" si="239"/>
        <v>0</v>
      </c>
      <c r="AD776" s="53" t="str">
        <f t="shared" si="240"/>
        <v/>
      </c>
      <c r="AE776" s="10"/>
    </row>
    <row r="777" spans="1:31" x14ac:dyDescent="0.25">
      <c r="A777" s="14" t="s">
        <v>109</v>
      </c>
      <c r="C777" s="61" t="str">
        <f t="shared" si="238"/>
        <v>C100054</v>
      </c>
      <c r="F777" s="8" t="str">
        <f>"C100035"</f>
        <v>C100035</v>
      </c>
      <c r="G777" s="9" t="str">
        <f>"Calculator &amp; World Time Clock"</f>
        <v>Calculator &amp; World Time Clock</v>
      </c>
      <c r="H777" s="47"/>
      <c r="I777" s="47"/>
      <c r="J777" s="23">
        <v>2.88</v>
      </c>
      <c r="K777" s="25">
        <v>1</v>
      </c>
      <c r="L777" s="24">
        <v>1.96</v>
      </c>
      <c r="M777" s="24">
        <f>J777-L777</f>
        <v>0.91999999999999993</v>
      </c>
      <c r="N777" s="53">
        <f>IF(J777&lt;&gt;0,M777/J777,"")</f>
        <v>0.31944444444444442</v>
      </c>
      <c r="O777" s="23">
        <v>0</v>
      </c>
      <c r="P777" s="25">
        <v>0</v>
      </c>
      <c r="Q777" s="24">
        <v>0</v>
      </c>
      <c r="R777" s="24">
        <f>O777-Q777</f>
        <v>0</v>
      </c>
      <c r="S777" s="53" t="str">
        <f>IF(O777&lt;&gt;0,R777/O777,"")</f>
        <v/>
      </c>
      <c r="T777" s="10"/>
      <c r="U777" s="23">
        <v>138.28</v>
      </c>
      <c r="V777" s="25">
        <v>48</v>
      </c>
      <c r="W777" s="24">
        <v>94.08</v>
      </c>
      <c r="X777" s="24">
        <f>U777-W777</f>
        <v>44.2</v>
      </c>
      <c r="Y777" s="53">
        <f>IF(U777&lt;&gt;0,X777/U777,"")</f>
        <v>0.31964130749204517</v>
      </c>
      <c r="Z777" s="23">
        <v>414.83000000000004</v>
      </c>
      <c r="AA777" s="25">
        <v>144</v>
      </c>
      <c r="AB777" s="24">
        <v>282.24</v>
      </c>
      <c r="AC777" s="24">
        <f t="shared" si="239"/>
        <v>132.59000000000003</v>
      </c>
      <c r="AD777" s="53">
        <f t="shared" si="240"/>
        <v>0.319624906588241</v>
      </c>
      <c r="AE777" s="10"/>
    </row>
    <row r="778" spans="1:31" x14ac:dyDescent="0.25">
      <c r="A778" s="14" t="s">
        <v>109</v>
      </c>
      <c r="C778" s="61" t="str">
        <f t="shared" si="238"/>
        <v>C100054</v>
      </c>
      <c r="F778" s="8" t="str">
        <f>"C100037"</f>
        <v>C100037</v>
      </c>
      <c r="G778" s="9" t="str">
        <f>"World Time Travel Alarm"</f>
        <v>World Time Travel Alarm</v>
      </c>
      <c r="H778" s="47"/>
      <c r="I778" s="47"/>
      <c r="J778" s="23">
        <v>424.29999999999995</v>
      </c>
      <c r="K778" s="25">
        <v>48</v>
      </c>
      <c r="L778" s="24">
        <v>259.2</v>
      </c>
      <c r="M778" s="24">
        <f>J778-L778</f>
        <v>165.09999999999997</v>
      </c>
      <c r="N778" s="53">
        <f>IF(J778&lt;&gt;0,M778/J778,"")</f>
        <v>0.38911147772802257</v>
      </c>
      <c r="O778" s="23">
        <v>0</v>
      </c>
      <c r="P778" s="25">
        <v>0</v>
      </c>
      <c r="Q778" s="24">
        <v>0</v>
      </c>
      <c r="R778" s="24">
        <f>O778-Q778</f>
        <v>0</v>
      </c>
      <c r="S778" s="53" t="str">
        <f>IF(O778&lt;&gt;0,R778/O778,"")</f>
        <v/>
      </c>
      <c r="T778" s="10"/>
      <c r="U778" s="23">
        <v>229.83999999999997</v>
      </c>
      <c r="V778" s="25">
        <v>26</v>
      </c>
      <c r="W778" s="24">
        <v>140.4</v>
      </c>
      <c r="X778" s="24">
        <f>U778-W778</f>
        <v>89.439999999999969</v>
      </c>
      <c r="Y778" s="53">
        <f>IF(U778&lt;&gt;0,X778/U778,"")</f>
        <v>0.38914027149321256</v>
      </c>
      <c r="Z778" s="23">
        <v>1281.76</v>
      </c>
      <c r="AA778" s="25">
        <v>145</v>
      </c>
      <c r="AB778" s="24">
        <v>783.01</v>
      </c>
      <c r="AC778" s="24">
        <f t="shared" si="239"/>
        <v>498.75</v>
      </c>
      <c r="AD778" s="53">
        <f t="shared" si="240"/>
        <v>0.38911340656597176</v>
      </c>
      <c r="AE778" s="10"/>
    </row>
    <row r="779" spans="1:31" x14ac:dyDescent="0.25">
      <c r="A779" s="14" t="s">
        <v>109</v>
      </c>
      <c r="C779" s="61" t="str">
        <f t="shared" si="238"/>
        <v>C100054</v>
      </c>
      <c r="F779" s="8" t="str">
        <f>"C100039"</f>
        <v>C100039</v>
      </c>
      <c r="G779" s="9" t="str">
        <f>"Portable Speaker &amp; MP3 Dock"</f>
        <v>Portable Speaker &amp; MP3 Dock</v>
      </c>
      <c r="H779" s="47"/>
      <c r="I779" s="47"/>
      <c r="J779" s="23">
        <v>14.58</v>
      </c>
      <c r="K779" s="25">
        <v>1</v>
      </c>
      <c r="L779" s="24">
        <v>8.4</v>
      </c>
      <c r="M779" s="24">
        <f>J779-L779</f>
        <v>6.18</v>
      </c>
      <c r="N779" s="53">
        <f>IF(J779&lt;&gt;0,M779/J779,"")</f>
        <v>0.4238683127572016</v>
      </c>
      <c r="O779" s="23">
        <v>0</v>
      </c>
      <c r="P779" s="25">
        <v>0</v>
      </c>
      <c r="Q779" s="24">
        <v>0</v>
      </c>
      <c r="R779" s="24">
        <f>O779-Q779</f>
        <v>0</v>
      </c>
      <c r="S779" s="53" t="str">
        <f>IF(O779&lt;&gt;0,R779/O779,"")</f>
        <v/>
      </c>
      <c r="T779" s="10"/>
      <c r="U779" s="23">
        <v>0</v>
      </c>
      <c r="V779" s="25">
        <v>0</v>
      </c>
      <c r="W779" s="24">
        <v>0</v>
      </c>
      <c r="X779" s="24">
        <f>U779-W779</f>
        <v>0</v>
      </c>
      <c r="Y779" s="53" t="str">
        <f>IF(U779&lt;&gt;0,X779/U779,"")</f>
        <v/>
      </c>
      <c r="Z779" s="23">
        <v>0</v>
      </c>
      <c r="AA779" s="25">
        <v>0</v>
      </c>
      <c r="AB779" s="24">
        <v>0</v>
      </c>
      <c r="AC779" s="24">
        <f t="shared" si="239"/>
        <v>0</v>
      </c>
      <c r="AD779" s="53" t="str">
        <f t="shared" si="240"/>
        <v/>
      </c>
      <c r="AE779" s="10"/>
    </row>
    <row r="780" spans="1:31" x14ac:dyDescent="0.25">
      <c r="A780" s="14" t="s">
        <v>109</v>
      </c>
      <c r="C780" s="61" t="str">
        <f t="shared" si="238"/>
        <v>C100054</v>
      </c>
      <c r="F780" s="8" t="str">
        <f>"C100040"</f>
        <v>C100040</v>
      </c>
      <c r="G780" s="9" t="str">
        <f>"Channel Speaker System"</f>
        <v>Channel Speaker System</v>
      </c>
      <c r="H780" s="47"/>
      <c r="I780" s="47"/>
      <c r="J780" s="23">
        <v>1973.79</v>
      </c>
      <c r="K780" s="25">
        <v>48</v>
      </c>
      <c r="L780" s="24">
        <v>996.94999999999993</v>
      </c>
      <c r="M780" s="24">
        <f>J780-L780</f>
        <v>976.84</v>
      </c>
      <c r="N780" s="53">
        <f>IF(J780&lt;&gt;0,M780/J780,"")</f>
        <v>0.49490573971901775</v>
      </c>
      <c r="O780" s="23">
        <v>0</v>
      </c>
      <c r="P780" s="25">
        <v>0</v>
      </c>
      <c r="Q780" s="24">
        <v>0</v>
      </c>
      <c r="R780" s="24">
        <f>O780-Q780</f>
        <v>0</v>
      </c>
      <c r="S780" s="53" t="str">
        <f>IF(O780&lt;&gt;0,R780/O780,"")</f>
        <v/>
      </c>
      <c r="T780" s="10"/>
      <c r="U780" s="23">
        <v>0</v>
      </c>
      <c r="V780" s="25">
        <v>0</v>
      </c>
      <c r="W780" s="24">
        <v>0</v>
      </c>
      <c r="X780" s="24">
        <f>U780-W780</f>
        <v>0</v>
      </c>
      <c r="Y780" s="53" t="str">
        <f>IF(U780&lt;&gt;0,X780/U780,"")</f>
        <v/>
      </c>
      <c r="Z780" s="23">
        <v>0</v>
      </c>
      <c r="AA780" s="25">
        <v>0</v>
      </c>
      <c r="AB780" s="24">
        <v>0</v>
      </c>
      <c r="AC780" s="24">
        <f t="shared" si="239"/>
        <v>0</v>
      </c>
      <c r="AD780" s="53" t="str">
        <f t="shared" si="240"/>
        <v/>
      </c>
      <c r="AE780" s="10"/>
    </row>
    <row r="781" spans="1:31" x14ac:dyDescent="0.25">
      <c r="A781" s="14" t="s">
        <v>109</v>
      </c>
      <c r="C781" s="61" t="str">
        <f t="shared" si="238"/>
        <v>C100054</v>
      </c>
      <c r="F781" s="8" t="str">
        <f>"C100041"</f>
        <v>C100041</v>
      </c>
      <c r="G781" s="9" t="str">
        <f>"Folding Stereo Speakers"</f>
        <v>Folding Stereo Speakers</v>
      </c>
      <c r="H781" s="47"/>
      <c r="I781" s="47"/>
      <c r="J781" s="23">
        <v>15.26</v>
      </c>
      <c r="K781" s="25">
        <v>1</v>
      </c>
      <c r="L781" s="24">
        <v>8.3699999999999992</v>
      </c>
      <c r="M781" s="24">
        <f>J781-L781</f>
        <v>6.8900000000000006</v>
      </c>
      <c r="N781" s="53">
        <f>IF(J781&lt;&gt;0,M781/J781,"")</f>
        <v>0.45150720838794239</v>
      </c>
      <c r="O781" s="23">
        <v>0</v>
      </c>
      <c r="P781" s="25">
        <v>0</v>
      </c>
      <c r="Q781" s="24">
        <v>0</v>
      </c>
      <c r="R781" s="24">
        <f>O781-Q781</f>
        <v>0</v>
      </c>
      <c r="S781" s="53" t="str">
        <f>IF(O781&lt;&gt;0,R781/O781,"")</f>
        <v/>
      </c>
      <c r="T781" s="10"/>
      <c r="U781" s="23">
        <v>0</v>
      </c>
      <c r="V781" s="25">
        <v>0</v>
      </c>
      <c r="W781" s="24">
        <v>0</v>
      </c>
      <c r="X781" s="24">
        <f>U781-W781</f>
        <v>0</v>
      </c>
      <c r="Y781" s="53" t="str">
        <f>IF(U781&lt;&gt;0,X781/U781,"")</f>
        <v/>
      </c>
      <c r="Z781" s="23">
        <v>0</v>
      </c>
      <c r="AA781" s="25">
        <v>0</v>
      </c>
      <c r="AB781" s="24">
        <v>0</v>
      </c>
      <c r="AC781" s="24">
        <f t="shared" si="239"/>
        <v>0</v>
      </c>
      <c r="AD781" s="53" t="str">
        <f t="shared" si="240"/>
        <v/>
      </c>
      <c r="AE781" s="10"/>
    </row>
    <row r="782" spans="1:31" x14ac:dyDescent="0.25">
      <c r="A782" s="14" t="s">
        <v>109</v>
      </c>
      <c r="C782" s="61" t="str">
        <f t="shared" si="238"/>
        <v>C100054</v>
      </c>
      <c r="F782" s="8" t="str">
        <f>"C100049"</f>
        <v>C100049</v>
      </c>
      <c r="G782" s="9" t="str">
        <f>"4GB MP3 Player"</f>
        <v>4GB MP3 Player</v>
      </c>
      <c r="H782" s="47"/>
      <c r="I782" s="47"/>
      <c r="J782" s="23">
        <v>186.87</v>
      </c>
      <c r="K782" s="25">
        <v>12</v>
      </c>
      <c r="L782" s="24">
        <v>112.79</v>
      </c>
      <c r="M782" s="24">
        <f>J782-L782</f>
        <v>74.08</v>
      </c>
      <c r="N782" s="53">
        <f>IF(J782&lt;&gt;0,M782/J782,"")</f>
        <v>0.39642532241665329</v>
      </c>
      <c r="O782" s="23">
        <v>0</v>
      </c>
      <c r="P782" s="25">
        <v>0</v>
      </c>
      <c r="Q782" s="24">
        <v>0</v>
      </c>
      <c r="R782" s="24">
        <f>O782-Q782</f>
        <v>0</v>
      </c>
      <c r="S782" s="53" t="str">
        <f>IF(O782&lt;&gt;0,R782/O782,"")</f>
        <v/>
      </c>
      <c r="T782" s="10"/>
      <c r="U782" s="23">
        <v>0</v>
      </c>
      <c r="V782" s="25">
        <v>0</v>
      </c>
      <c r="W782" s="24">
        <v>0</v>
      </c>
      <c r="X782" s="24">
        <f>U782-W782</f>
        <v>0</v>
      </c>
      <c r="Y782" s="53" t="str">
        <f>IF(U782&lt;&gt;0,X782/U782,"")</f>
        <v/>
      </c>
      <c r="Z782" s="23">
        <v>0</v>
      </c>
      <c r="AA782" s="25">
        <v>0</v>
      </c>
      <c r="AB782" s="24">
        <v>0</v>
      </c>
      <c r="AC782" s="24">
        <f t="shared" si="239"/>
        <v>0</v>
      </c>
      <c r="AD782" s="53" t="str">
        <f t="shared" si="240"/>
        <v/>
      </c>
      <c r="AE782" s="10"/>
    </row>
    <row r="783" spans="1:31" x14ac:dyDescent="0.25">
      <c r="A783" s="14" t="s">
        <v>109</v>
      </c>
      <c r="C783" s="61" t="str">
        <f t="shared" si="238"/>
        <v>C100054</v>
      </c>
      <c r="F783" s="8" t="str">
        <f>"C100053"</f>
        <v>C100053</v>
      </c>
      <c r="G783" s="9" t="str">
        <f>"Book Style Photo Frame &amp; Clock"</f>
        <v>Book Style Photo Frame &amp; Clock</v>
      </c>
      <c r="H783" s="47"/>
      <c r="I783" s="47"/>
      <c r="J783" s="23">
        <v>3429.44</v>
      </c>
      <c r="K783" s="25">
        <v>168</v>
      </c>
      <c r="L783" s="24">
        <v>2022.67</v>
      </c>
      <c r="M783" s="24">
        <f>J783-L783</f>
        <v>1406.77</v>
      </c>
      <c r="N783" s="53">
        <f>IF(J783&lt;&gt;0,M783/J783,"")</f>
        <v>0.41020399832042548</v>
      </c>
      <c r="O783" s="23">
        <v>0</v>
      </c>
      <c r="P783" s="25">
        <v>0</v>
      </c>
      <c r="Q783" s="24">
        <v>0</v>
      </c>
      <c r="R783" s="24">
        <f>O783-Q783</f>
        <v>0</v>
      </c>
      <c r="S783" s="53" t="str">
        <f>IF(O783&lt;&gt;0,R783/O783,"")</f>
        <v/>
      </c>
      <c r="T783" s="10"/>
      <c r="U783" s="23">
        <v>0</v>
      </c>
      <c r="V783" s="25">
        <v>0</v>
      </c>
      <c r="W783" s="24">
        <v>0</v>
      </c>
      <c r="X783" s="24">
        <f>U783-W783</f>
        <v>0</v>
      </c>
      <c r="Y783" s="53" t="str">
        <f>IF(U783&lt;&gt;0,X783/U783,"")</f>
        <v/>
      </c>
      <c r="Z783" s="23">
        <v>0</v>
      </c>
      <c r="AA783" s="25">
        <v>0</v>
      </c>
      <c r="AB783" s="24">
        <v>0</v>
      </c>
      <c r="AC783" s="24">
        <f t="shared" si="239"/>
        <v>0</v>
      </c>
      <c r="AD783" s="53" t="str">
        <f t="shared" si="240"/>
        <v/>
      </c>
      <c r="AE783" s="10"/>
    </row>
    <row r="784" spans="1:31" x14ac:dyDescent="0.25">
      <c r="A784" s="14" t="s">
        <v>109</v>
      </c>
      <c r="C784" s="61" t="str">
        <f t="shared" si="238"/>
        <v>C100054</v>
      </c>
      <c r="F784" s="8" t="str">
        <f>"C100054"</f>
        <v>C100054</v>
      </c>
      <c r="G784" s="9" t="str">
        <f>"Cherry Finish Photo Frame &amp; Clock"</f>
        <v>Cherry Finish Photo Frame &amp; Clock</v>
      </c>
      <c r="H784" s="47"/>
      <c r="I784" s="47"/>
      <c r="J784" s="23">
        <v>3970.26</v>
      </c>
      <c r="K784" s="25">
        <v>192</v>
      </c>
      <c r="L784" s="24">
        <v>2580.4300000000003</v>
      </c>
      <c r="M784" s="24">
        <f>J784-L784</f>
        <v>1389.83</v>
      </c>
      <c r="N784" s="53">
        <f>IF(J784&lt;&gt;0,M784/J784,"")</f>
        <v>0.35006019756892492</v>
      </c>
      <c r="O784" s="23">
        <v>0</v>
      </c>
      <c r="P784" s="25">
        <v>0</v>
      </c>
      <c r="Q784" s="24">
        <v>0</v>
      </c>
      <c r="R784" s="24">
        <f>O784-Q784</f>
        <v>0</v>
      </c>
      <c r="S784" s="53" t="str">
        <f>IF(O784&lt;&gt;0,R784/O784,"")</f>
        <v/>
      </c>
      <c r="T784" s="10"/>
      <c r="U784" s="23">
        <v>971.88999999999987</v>
      </c>
      <c r="V784" s="25">
        <v>47</v>
      </c>
      <c r="W784" s="24">
        <v>631.66999999999996</v>
      </c>
      <c r="X784" s="24">
        <f>U784-W784</f>
        <v>340.21999999999991</v>
      </c>
      <c r="Y784" s="53">
        <f>IF(U784&lt;&gt;0,X784/U784,"")</f>
        <v>0.35006019199703664</v>
      </c>
      <c r="Z784" s="23">
        <v>0</v>
      </c>
      <c r="AA784" s="25">
        <v>0</v>
      </c>
      <c r="AB784" s="24">
        <v>0</v>
      </c>
      <c r="AC784" s="24">
        <f t="shared" si="239"/>
        <v>0</v>
      </c>
      <c r="AD784" s="53" t="str">
        <f t="shared" si="240"/>
        <v/>
      </c>
      <c r="AE784" s="10"/>
    </row>
    <row r="785" spans="1:31" x14ac:dyDescent="0.25">
      <c r="A785" s="14" t="s">
        <v>109</v>
      </c>
      <c r="C785" s="61" t="str">
        <f t="shared" si="238"/>
        <v>C100054</v>
      </c>
      <c r="F785" s="8" t="str">
        <f>"C100055"</f>
        <v>C100055</v>
      </c>
      <c r="G785" s="9" t="str">
        <f>"Silver Plated Photo Frame"</f>
        <v>Silver Plated Photo Frame</v>
      </c>
      <c r="H785" s="47"/>
      <c r="I785" s="47"/>
      <c r="J785" s="23">
        <v>39.56</v>
      </c>
      <c r="K785" s="25">
        <v>1</v>
      </c>
      <c r="L785" s="24">
        <v>20.7</v>
      </c>
      <c r="M785" s="24">
        <f>J785-L785</f>
        <v>18.860000000000003</v>
      </c>
      <c r="N785" s="53">
        <f>IF(J785&lt;&gt;0,M785/J785,"")</f>
        <v>0.4767441860465117</v>
      </c>
      <c r="O785" s="23">
        <v>0</v>
      </c>
      <c r="P785" s="25">
        <v>0</v>
      </c>
      <c r="Q785" s="24">
        <v>0</v>
      </c>
      <c r="R785" s="24">
        <f>O785-Q785</f>
        <v>0</v>
      </c>
      <c r="S785" s="53" t="str">
        <f>IF(O785&lt;&gt;0,R785/O785,"")</f>
        <v/>
      </c>
      <c r="T785" s="10"/>
      <c r="U785" s="23">
        <v>1899</v>
      </c>
      <c r="V785" s="25">
        <v>48</v>
      </c>
      <c r="W785" s="24">
        <v>993.63000000000011</v>
      </c>
      <c r="X785" s="24">
        <f>U785-W785</f>
        <v>905.36999999999989</v>
      </c>
      <c r="Y785" s="53">
        <f>IF(U785&lt;&gt;0,X785/U785,"")</f>
        <v>0.47676145339652443</v>
      </c>
      <c r="Z785" s="23">
        <v>1978.13</v>
      </c>
      <c r="AA785" s="25">
        <v>50</v>
      </c>
      <c r="AB785" s="24">
        <v>1035.03</v>
      </c>
      <c r="AC785" s="24">
        <f t="shared" si="239"/>
        <v>943.10000000000014</v>
      </c>
      <c r="AD785" s="53">
        <f t="shared" si="240"/>
        <v>0.47676340786500387</v>
      </c>
      <c r="AE785" s="10"/>
    </row>
    <row r="786" spans="1:31" x14ac:dyDescent="0.25">
      <c r="A786" s="14" t="s">
        <v>109</v>
      </c>
      <c r="C786" s="61" t="str">
        <f t="shared" si="238"/>
        <v>C100054</v>
      </c>
      <c r="F786" s="8" t="str">
        <f>"E100018"</f>
        <v>E100018</v>
      </c>
      <c r="G786" s="9" t="str">
        <f>"Flexi-Clock &amp; Clip"</f>
        <v>Flexi-Clock &amp; Clip</v>
      </c>
      <c r="H786" s="47"/>
      <c r="I786" s="47"/>
      <c r="J786" s="23">
        <v>53.150000000000006</v>
      </c>
      <c r="K786" s="25">
        <v>48</v>
      </c>
      <c r="L786" s="24">
        <v>28.8</v>
      </c>
      <c r="M786" s="24">
        <f>J786-L786</f>
        <v>24.350000000000005</v>
      </c>
      <c r="N786" s="53">
        <f>IF(J786&lt;&gt;0,M786/J786,"")</f>
        <v>0.45813734713076204</v>
      </c>
      <c r="O786" s="23">
        <v>0</v>
      </c>
      <c r="P786" s="25">
        <v>0</v>
      </c>
      <c r="Q786" s="24">
        <v>0</v>
      </c>
      <c r="R786" s="24">
        <f>O786-Q786</f>
        <v>0</v>
      </c>
      <c r="S786" s="53" t="str">
        <f>IF(O786&lt;&gt;0,R786/O786,"")</f>
        <v/>
      </c>
      <c r="T786" s="10"/>
      <c r="U786" s="23">
        <v>25.46</v>
      </c>
      <c r="V786" s="25">
        <v>23</v>
      </c>
      <c r="W786" s="24">
        <v>13.8</v>
      </c>
      <c r="X786" s="24">
        <f>U786-W786</f>
        <v>11.66</v>
      </c>
      <c r="Y786" s="53">
        <f>IF(U786&lt;&gt;0,X786/U786,"")</f>
        <v>0.45797329143754911</v>
      </c>
      <c r="Z786" s="23">
        <v>345.45000000000005</v>
      </c>
      <c r="AA786" s="25">
        <v>312</v>
      </c>
      <c r="AB786" s="24">
        <v>187.18</v>
      </c>
      <c r="AC786" s="24">
        <f t="shared" si="239"/>
        <v>158.27000000000004</v>
      </c>
      <c r="AD786" s="53">
        <f t="shared" si="240"/>
        <v>0.45815602836879438</v>
      </c>
      <c r="AE786" s="10"/>
    </row>
    <row r="787" spans="1:31" x14ac:dyDescent="0.25">
      <c r="A787" s="14" t="s">
        <v>109</v>
      </c>
      <c r="C787" s="61" t="str">
        <f t="shared" si="238"/>
        <v>C100054</v>
      </c>
      <c r="F787" s="8" t="str">
        <f>"E100020"</f>
        <v>E100020</v>
      </c>
      <c r="G787" s="9" t="str">
        <f>"Flip-up Travel Alarm"</f>
        <v>Flip-up Travel Alarm</v>
      </c>
      <c r="H787" s="47"/>
      <c r="I787" s="47"/>
      <c r="J787" s="23">
        <v>1301.0899999999999</v>
      </c>
      <c r="K787" s="25">
        <v>144</v>
      </c>
      <c r="L787" s="24">
        <v>673.93000000000006</v>
      </c>
      <c r="M787" s="24">
        <f>J787-L787</f>
        <v>627.15999999999985</v>
      </c>
      <c r="N787" s="53">
        <f>IF(J787&lt;&gt;0,M787/J787,"")</f>
        <v>0.48202660845906115</v>
      </c>
      <c r="O787" s="23">
        <v>0</v>
      </c>
      <c r="P787" s="25">
        <v>0</v>
      </c>
      <c r="Q787" s="24">
        <v>0</v>
      </c>
      <c r="R787" s="24">
        <f>O787-Q787</f>
        <v>0</v>
      </c>
      <c r="S787" s="53" t="str">
        <f>IF(O787&lt;&gt;0,R787/O787,"")</f>
        <v/>
      </c>
      <c r="T787" s="10"/>
      <c r="U787" s="23">
        <v>-45.169999999999995</v>
      </c>
      <c r="V787" s="25">
        <v>-5</v>
      </c>
      <c r="W787" s="24">
        <v>-23.4</v>
      </c>
      <c r="X787" s="24">
        <f>U787-W787</f>
        <v>-21.769999999999996</v>
      </c>
      <c r="Y787" s="53">
        <f>IF(U787&lt;&gt;0,X787/U787,"")</f>
        <v>0.4819570511401372</v>
      </c>
      <c r="Z787" s="23">
        <v>0</v>
      </c>
      <c r="AA787" s="25">
        <v>0</v>
      </c>
      <c r="AB787" s="24">
        <v>0</v>
      </c>
      <c r="AC787" s="24">
        <f t="shared" si="239"/>
        <v>0</v>
      </c>
      <c r="AD787" s="53" t="str">
        <f t="shared" si="240"/>
        <v/>
      </c>
      <c r="AE787" s="10"/>
    </row>
    <row r="788" spans="1:31" x14ac:dyDescent="0.25">
      <c r="A788" s="14" t="s">
        <v>109</v>
      </c>
      <c r="C788" s="61" t="str">
        <f t="shared" si="238"/>
        <v>C100054</v>
      </c>
      <c r="F788" s="8" t="str">
        <f>"E100021"</f>
        <v>E100021</v>
      </c>
      <c r="G788" s="9" t="str">
        <f>"Slim Travel Alarm"</f>
        <v>Slim Travel Alarm</v>
      </c>
      <c r="H788" s="47"/>
      <c r="I788" s="47"/>
      <c r="J788" s="23">
        <v>2.81</v>
      </c>
      <c r="K788" s="25">
        <v>1</v>
      </c>
      <c r="L788" s="24">
        <v>1.44</v>
      </c>
      <c r="M788" s="24">
        <f>J788-L788</f>
        <v>1.37</v>
      </c>
      <c r="N788" s="53">
        <f>IF(J788&lt;&gt;0,M788/J788,"")</f>
        <v>0.48754448398576516</v>
      </c>
      <c r="O788" s="23">
        <v>0</v>
      </c>
      <c r="P788" s="25">
        <v>0</v>
      </c>
      <c r="Q788" s="24">
        <v>0</v>
      </c>
      <c r="R788" s="24">
        <f>O788-Q788</f>
        <v>0</v>
      </c>
      <c r="S788" s="53" t="str">
        <f>IF(O788&lt;&gt;0,R788/O788,"")</f>
        <v/>
      </c>
      <c r="T788" s="10"/>
      <c r="U788" s="23">
        <v>0</v>
      </c>
      <c r="V788" s="25">
        <v>0</v>
      </c>
      <c r="W788" s="24">
        <v>0</v>
      </c>
      <c r="X788" s="24">
        <f>U788-W788</f>
        <v>0</v>
      </c>
      <c r="Y788" s="53" t="str">
        <f>IF(U788&lt;&gt;0,X788/U788,"")</f>
        <v/>
      </c>
      <c r="Z788" s="23">
        <v>406.37999999999994</v>
      </c>
      <c r="AA788" s="25">
        <v>144</v>
      </c>
      <c r="AB788" s="24">
        <v>207.35</v>
      </c>
      <c r="AC788" s="24">
        <f t="shared" si="239"/>
        <v>199.02999999999994</v>
      </c>
      <c r="AD788" s="53">
        <f t="shared" si="240"/>
        <v>0.48976327575175937</v>
      </c>
      <c r="AE788" s="10"/>
    </row>
    <row r="789" spans="1:31" x14ac:dyDescent="0.25">
      <c r="A789" s="14" t="s">
        <v>109</v>
      </c>
      <c r="C789" s="61" t="str">
        <f t="shared" si="238"/>
        <v>C100054</v>
      </c>
      <c r="F789" s="8" t="str">
        <f>"E100022"</f>
        <v>E100022</v>
      </c>
      <c r="G789" s="9" t="str">
        <f>"Wide Screen Alarm Clock"</f>
        <v>Wide Screen Alarm Clock</v>
      </c>
      <c r="H789" s="47"/>
      <c r="I789" s="47"/>
      <c r="J789" s="23">
        <v>94.6</v>
      </c>
      <c r="K789" s="25">
        <v>50</v>
      </c>
      <c r="L789" s="24">
        <v>64</v>
      </c>
      <c r="M789" s="24">
        <f>J789-L789</f>
        <v>30.599999999999994</v>
      </c>
      <c r="N789" s="53">
        <f>IF(J789&lt;&gt;0,M789/J789,"")</f>
        <v>0.32346723044397457</v>
      </c>
      <c r="O789" s="23">
        <v>0</v>
      </c>
      <c r="P789" s="25">
        <v>0</v>
      </c>
      <c r="Q789" s="24">
        <v>0</v>
      </c>
      <c r="R789" s="24">
        <f>O789-Q789</f>
        <v>0</v>
      </c>
      <c r="S789" s="53" t="str">
        <f>IF(O789&lt;&gt;0,R789/O789,"")</f>
        <v/>
      </c>
      <c r="T789" s="10"/>
      <c r="U789" s="23">
        <v>550.49</v>
      </c>
      <c r="V789" s="25">
        <v>291</v>
      </c>
      <c r="W789" s="24">
        <v>372.45</v>
      </c>
      <c r="X789" s="24">
        <f>U789-W789</f>
        <v>178.04000000000002</v>
      </c>
      <c r="Y789" s="53">
        <f>IF(U789&lt;&gt;0,X789/U789,"")</f>
        <v>0.32342095224254758</v>
      </c>
      <c r="Z789" s="23">
        <v>3.78</v>
      </c>
      <c r="AA789" s="25">
        <v>2</v>
      </c>
      <c r="AB789" s="24">
        <v>2.56</v>
      </c>
      <c r="AC789" s="24">
        <f t="shared" si="239"/>
        <v>1.2199999999999998</v>
      </c>
      <c r="AD789" s="53">
        <f t="shared" si="240"/>
        <v>0.32275132275132268</v>
      </c>
      <c r="AE789" s="10"/>
    </row>
    <row r="790" spans="1:31" ht="15.75" thickBot="1" x14ac:dyDescent="0.3">
      <c r="A790" s="14" t="s">
        <v>109</v>
      </c>
      <c r="C790" s="61" t="str">
        <f>C772</f>
        <v>C100054</v>
      </c>
      <c r="J790" s="10"/>
      <c r="K790" s="11"/>
      <c r="L790" s="11"/>
      <c r="M790" s="11"/>
      <c r="N790" s="12"/>
      <c r="O790" s="10"/>
      <c r="P790" s="11"/>
      <c r="Q790" s="11"/>
      <c r="R790" s="11"/>
      <c r="S790" s="12"/>
      <c r="U790" s="10"/>
      <c r="V790" s="11"/>
      <c r="W790" s="11"/>
      <c r="X790" s="11"/>
      <c r="Y790" s="12"/>
      <c r="Z790" s="10"/>
      <c r="AA790" s="11"/>
      <c r="AB790" s="11"/>
      <c r="AC790" s="11"/>
      <c r="AD790" s="12"/>
    </row>
    <row r="791" spans="1:31" ht="15.75" thickBot="1" x14ac:dyDescent="0.3">
      <c r="A791" s="14" t="s">
        <v>109</v>
      </c>
      <c r="C791" s="61" t="str">
        <f t="shared" si="235"/>
        <v>C100054</v>
      </c>
      <c r="G791" s="48" t="str">
        <f>C791&amp;" TOTAL:"</f>
        <v>C100054 TOTAL:</v>
      </c>
      <c r="H791" s="50"/>
      <c r="I791" s="50"/>
      <c r="J791" s="34">
        <f>SUBTOTAL(9,J771:J790)</f>
        <v>16468.98</v>
      </c>
      <c r="K791" s="35">
        <f>SUBTOTAL(9,K771:K790)</f>
        <v>812</v>
      </c>
      <c r="L791" s="36">
        <f>SUBTOTAL(9,L771:L790)</f>
        <v>9676.3700000000008</v>
      </c>
      <c r="M791" s="36">
        <f>J791-L791</f>
        <v>6792.6099999999988</v>
      </c>
      <c r="N791" s="37">
        <f>IF(J791&lt;&gt;0,M791/J791,"")</f>
        <v>0.41244873695881584</v>
      </c>
      <c r="O791" s="34">
        <f>SUBTOTAL(9,O771:O790)</f>
        <v>0</v>
      </c>
      <c r="P791" s="35">
        <f>SUBTOTAL(9,P771:P790)</f>
        <v>0</v>
      </c>
      <c r="Q791" s="36">
        <f>SUBTOTAL(9,Q771:Q790)</f>
        <v>0</v>
      </c>
      <c r="R791" s="36">
        <f>O791-Q791</f>
        <v>0</v>
      </c>
      <c r="S791" s="37" t="str">
        <f>IF(O791&lt;&gt;0,R791/O791,"")</f>
        <v/>
      </c>
      <c r="U791" s="34">
        <f>SUBTOTAL(9,U771:U790)</f>
        <v>4479.7299999999996</v>
      </c>
      <c r="V791" s="35">
        <f>SUBTOTAL(9,V771:V790)</f>
        <v>490</v>
      </c>
      <c r="W791" s="36">
        <f>SUBTOTAL(9,W771:W790)</f>
        <v>2687.03</v>
      </c>
      <c r="X791" s="36">
        <f>U791-W791</f>
        <v>1792.6999999999994</v>
      </c>
      <c r="Y791" s="37">
        <f>IF(U791&lt;&gt;0,X791/U791,"")</f>
        <v>0.40018036801325069</v>
      </c>
      <c r="Z791" s="34">
        <f>SUBTOTAL(9,Z771:Z790)</f>
        <v>4762.71</v>
      </c>
      <c r="AA791" s="35">
        <f>SUBTOTAL(9,AA771:AA790)</f>
        <v>948</v>
      </c>
      <c r="AB791" s="36">
        <f>SUBTOTAL(9,AB771:AB790)</f>
        <v>2690.6299999999997</v>
      </c>
      <c r="AC791" s="36">
        <f t="shared" ref="AC791" si="241">Z791-AB791</f>
        <v>2072.0800000000004</v>
      </c>
      <c r="AD791" s="37">
        <f t="shared" ref="AD791" si="242">IF(Z791&lt;&gt;0,AC791/Z791,"")</f>
        <v>0.43506323080767051</v>
      </c>
    </row>
    <row r="792" spans="1:31" x14ac:dyDescent="0.25">
      <c r="A792" s="14" t="s">
        <v>109</v>
      </c>
      <c r="C792" s="66"/>
      <c r="J792" s="10"/>
      <c r="K792" s="11"/>
      <c r="L792" s="11"/>
      <c r="M792" s="11"/>
      <c r="N792" s="12"/>
      <c r="O792" s="10"/>
      <c r="P792" s="11"/>
      <c r="Q792" s="11"/>
      <c r="R792" s="11"/>
      <c r="S792" s="12"/>
      <c r="U792" s="10"/>
      <c r="V792" s="11"/>
      <c r="W792" s="11"/>
      <c r="X792" s="11"/>
      <c r="Y792" s="12"/>
      <c r="Z792" s="10"/>
      <c r="AA792" s="11"/>
      <c r="AB792" s="11"/>
      <c r="AC792" s="11"/>
      <c r="AD792" s="12"/>
    </row>
    <row r="793" spans="1:31" ht="15.75" x14ac:dyDescent="0.25">
      <c r="A793" s="14" t="s">
        <v>109</v>
      </c>
      <c r="C793" s="66" t="str">
        <f t="shared" ref="C793" si="243">E793</f>
        <v>C100058</v>
      </c>
      <c r="E793" s="13" t="str">
        <f>"C100058"</f>
        <v>C100058</v>
      </c>
      <c r="F793" s="13"/>
      <c r="G793" s="13" t="str">
        <f>"Marsholm Karmstol"</f>
        <v>Marsholm Karmstol</v>
      </c>
      <c r="H793" s="13"/>
      <c r="I793" s="13"/>
      <c r="J793" s="10"/>
      <c r="K793" s="11"/>
      <c r="L793" s="11"/>
      <c r="M793" s="11"/>
      <c r="N793" s="12"/>
      <c r="O793" s="10"/>
      <c r="P793" s="11"/>
      <c r="Q793" s="11"/>
      <c r="R793" s="11"/>
      <c r="S793" s="12"/>
      <c r="U793" s="10"/>
      <c r="V793" s="11"/>
      <c r="W793" s="11"/>
      <c r="X793" s="11"/>
      <c r="Y793" s="12"/>
      <c r="Z793" s="10"/>
      <c r="AA793" s="11"/>
      <c r="AB793" s="11"/>
      <c r="AC793" s="11"/>
      <c r="AD793" s="12"/>
    </row>
    <row r="794" spans="1:31" ht="6.6" customHeight="1" x14ac:dyDescent="0.25">
      <c r="A794" s="14" t="s">
        <v>109</v>
      </c>
      <c r="C794" s="61" t="str">
        <f t="shared" ref="C794:C825" si="244">C793</f>
        <v>C100058</v>
      </c>
      <c r="J794" s="10"/>
      <c r="K794" s="11"/>
      <c r="L794" s="11"/>
      <c r="M794" s="11"/>
      <c r="N794" s="12"/>
      <c r="O794" s="10"/>
      <c r="P794" s="11"/>
      <c r="Q794" s="11"/>
      <c r="R794" s="11"/>
      <c r="S794" s="12"/>
      <c r="U794" s="10"/>
      <c r="V794" s="11"/>
      <c r="W794" s="11"/>
      <c r="X794" s="11"/>
      <c r="Y794" s="12"/>
      <c r="Z794" s="10"/>
      <c r="AA794" s="11"/>
      <c r="AB794" s="11"/>
      <c r="AC794" s="11"/>
      <c r="AD794" s="12"/>
    </row>
    <row r="795" spans="1:31" x14ac:dyDescent="0.25">
      <c r="A795" s="14" t="s">
        <v>109</v>
      </c>
      <c r="C795" s="61" t="str">
        <f t="shared" si="244"/>
        <v>C100058</v>
      </c>
      <c r="F795" s="8" t="str">
        <f>"C100026"</f>
        <v>C100026</v>
      </c>
      <c r="G795" s="9" t="str">
        <f>"Fleece Beanie"</f>
        <v>Fleece Beanie</v>
      </c>
      <c r="H795" s="47"/>
      <c r="I795" s="47"/>
      <c r="J795" s="23">
        <v>426.82</v>
      </c>
      <c r="K795" s="25">
        <v>144</v>
      </c>
      <c r="L795" s="24">
        <v>287.99</v>
      </c>
      <c r="M795" s="24">
        <f>J795-L795</f>
        <v>138.82999999999998</v>
      </c>
      <c r="N795" s="53">
        <f>IF(J795&lt;&gt;0,M795/J795,"")</f>
        <v>0.3252659200599784</v>
      </c>
      <c r="O795" s="23">
        <v>0</v>
      </c>
      <c r="P795" s="25">
        <v>0</v>
      </c>
      <c r="Q795" s="24">
        <v>0</v>
      </c>
      <c r="R795" s="24">
        <f>O795-Q795</f>
        <v>0</v>
      </c>
      <c r="S795" s="53" t="str">
        <f>IF(O795&lt;&gt;0,R795/O795,"")</f>
        <v/>
      </c>
      <c r="T795" s="10"/>
      <c r="U795" s="23">
        <v>0</v>
      </c>
      <c r="V795" s="25">
        <v>0</v>
      </c>
      <c r="W795" s="24">
        <v>0</v>
      </c>
      <c r="X795" s="24">
        <f>U795-W795</f>
        <v>0</v>
      </c>
      <c r="Y795" s="53" t="str">
        <f>IF(U795&lt;&gt;0,X795/U795,"")</f>
        <v/>
      </c>
      <c r="Z795" s="23">
        <v>0</v>
      </c>
      <c r="AA795" s="25">
        <v>0</v>
      </c>
      <c r="AB795" s="24">
        <v>0</v>
      </c>
      <c r="AC795" s="24">
        <f t="shared" ref="AC795" si="245">Z795-AB795</f>
        <v>0</v>
      </c>
      <c r="AD795" s="53" t="str">
        <f t="shared" ref="AD795" si="246">IF(Z795&lt;&gt;0,AC795/Z795,"")</f>
        <v/>
      </c>
      <c r="AE795" s="10"/>
    </row>
    <row r="796" spans="1:31" x14ac:dyDescent="0.25">
      <c r="A796" s="14" t="s">
        <v>109</v>
      </c>
      <c r="C796" s="61" t="str">
        <f t="shared" ref="C796:C823" si="247">C795</f>
        <v>C100058</v>
      </c>
      <c r="F796" s="8" t="str">
        <f>"C100029"</f>
        <v>C100029</v>
      </c>
      <c r="G796" s="9" t="str">
        <f>"Distressed Twill Visor"</f>
        <v>Distressed Twill Visor</v>
      </c>
      <c r="H796" s="47"/>
      <c r="I796" s="47"/>
      <c r="J796" s="23">
        <v>467.86</v>
      </c>
      <c r="K796" s="25">
        <v>144</v>
      </c>
      <c r="L796" s="24">
        <v>298.09000000000003</v>
      </c>
      <c r="M796" s="24">
        <f>J796-L796</f>
        <v>169.76999999999998</v>
      </c>
      <c r="N796" s="53">
        <f>IF(J796&lt;&gt;0,M796/J796,"")</f>
        <v>0.36286495960330006</v>
      </c>
      <c r="O796" s="23">
        <v>0</v>
      </c>
      <c r="P796" s="25">
        <v>0</v>
      </c>
      <c r="Q796" s="24">
        <v>0</v>
      </c>
      <c r="R796" s="24">
        <f>O796-Q796</f>
        <v>0</v>
      </c>
      <c r="S796" s="53" t="str">
        <f>IF(O796&lt;&gt;0,R796/O796,"")</f>
        <v/>
      </c>
      <c r="T796" s="10"/>
      <c r="U796" s="23">
        <v>19.7</v>
      </c>
      <c r="V796" s="25">
        <v>6</v>
      </c>
      <c r="W796" s="24">
        <v>12.42</v>
      </c>
      <c r="X796" s="24">
        <f>U796-W796</f>
        <v>7.2799999999999994</v>
      </c>
      <c r="Y796" s="53">
        <f>IF(U796&lt;&gt;0,X796/U796,"")</f>
        <v>0.36954314720812181</v>
      </c>
      <c r="Z796" s="23">
        <v>0</v>
      </c>
      <c r="AA796" s="25">
        <v>0</v>
      </c>
      <c r="AB796" s="24">
        <v>0</v>
      </c>
      <c r="AC796" s="24">
        <f t="shared" ref="AC796:AC823" si="248">Z796-AB796</f>
        <v>0</v>
      </c>
      <c r="AD796" s="53" t="str">
        <f t="shared" ref="AD796:AD823" si="249">IF(Z796&lt;&gt;0,AC796/Z796,"")</f>
        <v/>
      </c>
      <c r="AE796" s="10"/>
    </row>
    <row r="797" spans="1:31" x14ac:dyDescent="0.25">
      <c r="A797" s="14" t="s">
        <v>109</v>
      </c>
      <c r="C797" s="61" t="str">
        <f t="shared" si="247"/>
        <v>C100058</v>
      </c>
      <c r="F797" s="8" t="str">
        <f>"C100030"</f>
        <v>C100030</v>
      </c>
      <c r="G797" s="9" t="str">
        <f>"Fashion Visor"</f>
        <v>Fashion Visor</v>
      </c>
      <c r="H797" s="47"/>
      <c r="I797" s="47"/>
      <c r="J797" s="23">
        <v>1198.3699999999999</v>
      </c>
      <c r="K797" s="25">
        <v>288</v>
      </c>
      <c r="L797" s="24">
        <v>696.97</v>
      </c>
      <c r="M797" s="24">
        <f>J797-L797</f>
        <v>501.39999999999986</v>
      </c>
      <c r="N797" s="53">
        <f>IF(J797&lt;&gt;0,M797/J797,"")</f>
        <v>0.41840166225790026</v>
      </c>
      <c r="O797" s="23">
        <v>0</v>
      </c>
      <c r="P797" s="25">
        <v>0</v>
      </c>
      <c r="Q797" s="24">
        <v>0</v>
      </c>
      <c r="R797" s="24">
        <f>O797-Q797</f>
        <v>0</v>
      </c>
      <c r="S797" s="53" t="str">
        <f>IF(O797&lt;&gt;0,R797/O797,"")</f>
        <v/>
      </c>
      <c r="T797" s="10"/>
      <c r="U797" s="23">
        <v>0</v>
      </c>
      <c r="V797" s="25">
        <v>0</v>
      </c>
      <c r="W797" s="24">
        <v>0</v>
      </c>
      <c r="X797" s="24">
        <f>U797-W797</f>
        <v>0</v>
      </c>
      <c r="Y797" s="53" t="str">
        <f>IF(U797&lt;&gt;0,X797/U797,"")</f>
        <v/>
      </c>
      <c r="Z797" s="23">
        <v>0</v>
      </c>
      <c r="AA797" s="25">
        <v>0</v>
      </c>
      <c r="AB797" s="24">
        <v>0</v>
      </c>
      <c r="AC797" s="24">
        <f t="shared" si="248"/>
        <v>0</v>
      </c>
      <c r="AD797" s="53" t="str">
        <f t="shared" si="249"/>
        <v/>
      </c>
      <c r="AE797" s="10"/>
    </row>
    <row r="798" spans="1:31" x14ac:dyDescent="0.25">
      <c r="A798" s="14" t="s">
        <v>109</v>
      </c>
      <c r="C798" s="61" t="str">
        <f t="shared" si="247"/>
        <v>C100058</v>
      </c>
      <c r="F798" s="8" t="str">
        <f>"C100042"</f>
        <v>C100042</v>
      </c>
      <c r="G798" s="9" t="str">
        <f>"Retractable Earbuds"</f>
        <v>Retractable Earbuds</v>
      </c>
      <c r="H798" s="47"/>
      <c r="I798" s="47"/>
      <c r="J798" s="23">
        <v>11.63</v>
      </c>
      <c r="K798" s="25">
        <v>6</v>
      </c>
      <c r="L798" s="24">
        <v>6.48</v>
      </c>
      <c r="M798" s="24">
        <f>J798-L798</f>
        <v>5.15</v>
      </c>
      <c r="N798" s="53">
        <f>IF(J798&lt;&gt;0,M798/J798,"")</f>
        <v>0.44282029234737746</v>
      </c>
      <c r="O798" s="23">
        <v>0</v>
      </c>
      <c r="P798" s="25">
        <v>0</v>
      </c>
      <c r="Q798" s="24">
        <v>0</v>
      </c>
      <c r="R798" s="24">
        <f>O798-Q798</f>
        <v>0</v>
      </c>
      <c r="S798" s="53" t="str">
        <f>IF(O798&lt;&gt;0,R798/O798,"")</f>
        <v/>
      </c>
      <c r="T798" s="10"/>
      <c r="U798" s="23">
        <v>282.01</v>
      </c>
      <c r="V798" s="25">
        <v>144</v>
      </c>
      <c r="W798" s="24">
        <v>155.60999999999999</v>
      </c>
      <c r="X798" s="24">
        <f>U798-W798</f>
        <v>126.4</v>
      </c>
      <c r="Y798" s="53">
        <f>IF(U798&lt;&gt;0,X798/U798,"")</f>
        <v>0.44821105634551972</v>
      </c>
      <c r="Z798" s="23">
        <v>0</v>
      </c>
      <c r="AA798" s="25">
        <v>0</v>
      </c>
      <c r="AB798" s="24">
        <v>0</v>
      </c>
      <c r="AC798" s="24">
        <f t="shared" si="248"/>
        <v>0</v>
      </c>
      <c r="AD798" s="53" t="str">
        <f t="shared" si="249"/>
        <v/>
      </c>
      <c r="AE798" s="10"/>
    </row>
    <row r="799" spans="1:31" x14ac:dyDescent="0.25">
      <c r="A799" s="14" t="s">
        <v>109</v>
      </c>
      <c r="C799" s="61" t="str">
        <f t="shared" si="247"/>
        <v>C100058</v>
      </c>
      <c r="F799" s="8" t="str">
        <f>"C100044"</f>
        <v>C100044</v>
      </c>
      <c r="G799" s="9" t="str">
        <f>"VOIP Headset with Mic"</f>
        <v>VOIP Headset with Mic</v>
      </c>
      <c r="H799" s="47"/>
      <c r="I799" s="47"/>
      <c r="J799" s="23">
        <v>601.91999999999996</v>
      </c>
      <c r="K799" s="25">
        <v>288</v>
      </c>
      <c r="L799" s="24">
        <v>345.7</v>
      </c>
      <c r="M799" s="24">
        <f>J799-L799</f>
        <v>256.21999999999997</v>
      </c>
      <c r="N799" s="53">
        <f>IF(J799&lt;&gt;0,M799/J799,"")</f>
        <v>0.42567118553960659</v>
      </c>
      <c r="O799" s="23">
        <v>0</v>
      </c>
      <c r="P799" s="25">
        <v>0</v>
      </c>
      <c r="Q799" s="24">
        <v>0</v>
      </c>
      <c r="R799" s="24">
        <f>O799-Q799</f>
        <v>0</v>
      </c>
      <c r="S799" s="53" t="str">
        <f>IF(O799&lt;&gt;0,R799/O799,"")</f>
        <v/>
      </c>
      <c r="T799" s="10"/>
      <c r="U799" s="23">
        <v>0</v>
      </c>
      <c r="V799" s="25">
        <v>0</v>
      </c>
      <c r="W799" s="24">
        <v>0</v>
      </c>
      <c r="X799" s="24">
        <f>U799-W799</f>
        <v>0</v>
      </c>
      <c r="Y799" s="53" t="str">
        <f>IF(U799&lt;&gt;0,X799/U799,"")</f>
        <v/>
      </c>
      <c r="Z799" s="23">
        <v>0</v>
      </c>
      <c r="AA799" s="25">
        <v>0</v>
      </c>
      <c r="AB799" s="24">
        <v>0</v>
      </c>
      <c r="AC799" s="24">
        <f t="shared" si="248"/>
        <v>0</v>
      </c>
      <c r="AD799" s="53" t="str">
        <f t="shared" si="249"/>
        <v/>
      </c>
      <c r="AE799" s="10"/>
    </row>
    <row r="800" spans="1:31" x14ac:dyDescent="0.25">
      <c r="A800" s="14" t="s">
        <v>109</v>
      </c>
      <c r="C800" s="61" t="str">
        <f t="shared" si="247"/>
        <v>C100058</v>
      </c>
      <c r="F800" s="8" t="str">
        <f>"C100061"</f>
        <v>C100061</v>
      </c>
      <c r="G800" s="9" t="str">
        <f>"Bistro Mug"</f>
        <v>Bistro Mug</v>
      </c>
      <c r="H800" s="47"/>
      <c r="I800" s="47"/>
      <c r="J800" s="23">
        <v>1.26</v>
      </c>
      <c r="K800" s="25">
        <v>1</v>
      </c>
      <c r="L800" s="24">
        <v>0.69</v>
      </c>
      <c r="M800" s="24">
        <f>J800-L800</f>
        <v>0.57000000000000006</v>
      </c>
      <c r="N800" s="53">
        <f>IF(J800&lt;&gt;0,M800/J800,"")</f>
        <v>0.45238095238095244</v>
      </c>
      <c r="O800" s="23">
        <v>0</v>
      </c>
      <c r="P800" s="25">
        <v>0</v>
      </c>
      <c r="Q800" s="24">
        <v>0</v>
      </c>
      <c r="R800" s="24">
        <f>O800-Q800</f>
        <v>0</v>
      </c>
      <c r="S800" s="53" t="str">
        <f>IF(O800&lt;&gt;0,R800/O800,"")</f>
        <v/>
      </c>
      <c r="T800" s="10"/>
      <c r="U800" s="23">
        <v>0</v>
      </c>
      <c r="V800" s="25">
        <v>0</v>
      </c>
      <c r="W800" s="24">
        <v>0</v>
      </c>
      <c r="X800" s="24">
        <f>U800-W800</f>
        <v>0</v>
      </c>
      <c r="Y800" s="53" t="str">
        <f>IF(U800&lt;&gt;0,X800/U800,"")</f>
        <v/>
      </c>
      <c r="Z800" s="23">
        <v>0</v>
      </c>
      <c r="AA800" s="25">
        <v>0</v>
      </c>
      <c r="AB800" s="24">
        <v>0</v>
      </c>
      <c r="AC800" s="24">
        <f t="shared" si="248"/>
        <v>0</v>
      </c>
      <c r="AD800" s="53" t="str">
        <f t="shared" si="249"/>
        <v/>
      </c>
      <c r="AE800" s="10"/>
    </row>
    <row r="801" spans="1:31" x14ac:dyDescent="0.25">
      <c r="A801" s="14" t="s">
        <v>109</v>
      </c>
      <c r="C801" s="61" t="str">
        <f t="shared" si="247"/>
        <v>C100058</v>
      </c>
      <c r="F801" s="8" t="str">
        <f>"C100062"</f>
        <v>C100062</v>
      </c>
      <c r="G801" s="9" t="str">
        <f>"Tall Matte Finish Mug"</f>
        <v>Tall Matte Finish Mug</v>
      </c>
      <c r="H801" s="47"/>
      <c r="I801" s="47"/>
      <c r="J801" s="23">
        <v>168.26999999999998</v>
      </c>
      <c r="K801" s="25">
        <v>144</v>
      </c>
      <c r="L801" s="24">
        <v>97.929999999999993</v>
      </c>
      <c r="M801" s="24">
        <f>J801-L801</f>
        <v>70.339999999999989</v>
      </c>
      <c r="N801" s="53">
        <f>IF(J801&lt;&gt;0,M801/J801,"")</f>
        <v>0.41801866048612346</v>
      </c>
      <c r="O801" s="23">
        <v>0</v>
      </c>
      <c r="P801" s="25">
        <v>0</v>
      </c>
      <c r="Q801" s="24">
        <v>0</v>
      </c>
      <c r="R801" s="24">
        <f>O801-Q801</f>
        <v>0</v>
      </c>
      <c r="S801" s="53" t="str">
        <f>IF(O801&lt;&gt;0,R801/O801,"")</f>
        <v/>
      </c>
      <c r="T801" s="10"/>
      <c r="U801" s="23">
        <v>0</v>
      </c>
      <c r="V801" s="25">
        <v>0</v>
      </c>
      <c r="W801" s="24">
        <v>0</v>
      </c>
      <c r="X801" s="24">
        <f>U801-W801</f>
        <v>0</v>
      </c>
      <c r="Y801" s="53" t="str">
        <f>IF(U801&lt;&gt;0,X801/U801,"")</f>
        <v/>
      </c>
      <c r="Z801" s="23">
        <v>0</v>
      </c>
      <c r="AA801" s="25">
        <v>0</v>
      </c>
      <c r="AB801" s="24">
        <v>0</v>
      </c>
      <c r="AC801" s="24">
        <f t="shared" si="248"/>
        <v>0</v>
      </c>
      <c r="AD801" s="53" t="str">
        <f t="shared" si="249"/>
        <v/>
      </c>
      <c r="AE801" s="10"/>
    </row>
    <row r="802" spans="1:31" x14ac:dyDescent="0.25">
      <c r="A802" s="14" t="s">
        <v>109</v>
      </c>
      <c r="C802" s="61" t="str">
        <f t="shared" si="247"/>
        <v>C100058</v>
      </c>
      <c r="F802" s="8" t="str">
        <f>"C100063"</f>
        <v>C100063</v>
      </c>
      <c r="G802" s="9" t="str">
        <f>"Soup Mug"</f>
        <v>Soup Mug</v>
      </c>
      <c r="H802" s="47"/>
      <c r="I802" s="47"/>
      <c r="J802" s="23">
        <v>-36.659999999999997</v>
      </c>
      <c r="K802" s="25">
        <v>-24</v>
      </c>
      <c r="L802" s="24">
        <v>-22.33</v>
      </c>
      <c r="M802" s="24">
        <f>J802-L802</f>
        <v>-14.329999999999998</v>
      </c>
      <c r="N802" s="53">
        <f>IF(J802&lt;&gt;0,M802/J802,"")</f>
        <v>0.39088925259138024</v>
      </c>
      <c r="O802" s="23">
        <v>0</v>
      </c>
      <c r="P802" s="25">
        <v>0</v>
      </c>
      <c r="Q802" s="24">
        <v>0</v>
      </c>
      <c r="R802" s="24">
        <f>O802-Q802</f>
        <v>0</v>
      </c>
      <c r="S802" s="53" t="str">
        <f>IF(O802&lt;&gt;0,R802/O802,"")</f>
        <v/>
      </c>
      <c r="T802" s="10"/>
      <c r="U802" s="23">
        <v>0</v>
      </c>
      <c r="V802" s="25">
        <v>0</v>
      </c>
      <c r="W802" s="24">
        <v>0</v>
      </c>
      <c r="X802" s="24">
        <f>U802-W802</f>
        <v>0</v>
      </c>
      <c r="Y802" s="53" t="str">
        <f>IF(U802&lt;&gt;0,X802/U802,"")</f>
        <v/>
      </c>
      <c r="Z802" s="23">
        <v>0</v>
      </c>
      <c r="AA802" s="25">
        <v>0</v>
      </c>
      <c r="AB802" s="24">
        <v>0</v>
      </c>
      <c r="AC802" s="24">
        <f t="shared" si="248"/>
        <v>0</v>
      </c>
      <c r="AD802" s="53" t="str">
        <f t="shared" si="249"/>
        <v/>
      </c>
      <c r="AE802" s="10"/>
    </row>
    <row r="803" spans="1:31" x14ac:dyDescent="0.25">
      <c r="A803" s="14" t="s">
        <v>109</v>
      </c>
      <c r="C803" s="61" t="str">
        <f t="shared" si="247"/>
        <v>C100058</v>
      </c>
      <c r="F803" s="8" t="str">
        <f>"C100066"</f>
        <v>C100066</v>
      </c>
      <c r="G803" s="9" t="str">
        <f>"Fashion Travel Mug"</f>
        <v>Fashion Travel Mug</v>
      </c>
      <c r="H803" s="47"/>
      <c r="I803" s="47"/>
      <c r="J803" s="23">
        <v>41.04</v>
      </c>
      <c r="K803" s="25">
        <v>12</v>
      </c>
      <c r="L803" s="24">
        <v>19.8</v>
      </c>
      <c r="M803" s="24">
        <f>J803-L803</f>
        <v>21.24</v>
      </c>
      <c r="N803" s="53">
        <f>IF(J803&lt;&gt;0,M803/J803,"")</f>
        <v>0.51754385964912275</v>
      </c>
      <c r="O803" s="23">
        <v>0</v>
      </c>
      <c r="P803" s="25">
        <v>0</v>
      </c>
      <c r="Q803" s="24">
        <v>0</v>
      </c>
      <c r="R803" s="24">
        <f>O803-Q803</f>
        <v>0</v>
      </c>
      <c r="S803" s="53" t="str">
        <f>IF(O803&lt;&gt;0,R803/O803,"")</f>
        <v/>
      </c>
      <c r="T803" s="10"/>
      <c r="U803" s="23">
        <v>0</v>
      </c>
      <c r="V803" s="25">
        <v>0</v>
      </c>
      <c r="W803" s="24">
        <v>0</v>
      </c>
      <c r="X803" s="24">
        <f>U803-W803</f>
        <v>0</v>
      </c>
      <c r="Y803" s="53" t="str">
        <f>IF(U803&lt;&gt;0,X803/U803,"")</f>
        <v/>
      </c>
      <c r="Z803" s="23">
        <v>0</v>
      </c>
      <c r="AA803" s="25">
        <v>0</v>
      </c>
      <c r="AB803" s="24">
        <v>0</v>
      </c>
      <c r="AC803" s="24">
        <f t="shared" si="248"/>
        <v>0</v>
      </c>
      <c r="AD803" s="53" t="str">
        <f t="shared" si="249"/>
        <v/>
      </c>
      <c r="AE803" s="10"/>
    </row>
    <row r="804" spans="1:31" x14ac:dyDescent="0.25">
      <c r="A804" s="14" t="s">
        <v>109</v>
      </c>
      <c r="C804" s="61" t="str">
        <f t="shared" si="247"/>
        <v>C100058</v>
      </c>
      <c r="F804" s="8" t="str">
        <f>"E100001"</f>
        <v>E100001</v>
      </c>
      <c r="G804" s="9" t="str">
        <f>"Sport Bag"</f>
        <v>Sport Bag</v>
      </c>
      <c r="H804" s="47"/>
      <c r="I804" s="47"/>
      <c r="J804" s="23">
        <v>1.72</v>
      </c>
      <c r="K804" s="25">
        <v>1</v>
      </c>
      <c r="L804" s="24">
        <v>0.87</v>
      </c>
      <c r="M804" s="24">
        <f>J804-L804</f>
        <v>0.85</v>
      </c>
      <c r="N804" s="53">
        <f>IF(J804&lt;&gt;0,M804/J804,"")</f>
        <v>0.4941860465116279</v>
      </c>
      <c r="O804" s="23">
        <v>0</v>
      </c>
      <c r="P804" s="25">
        <v>0</v>
      </c>
      <c r="Q804" s="24">
        <v>0</v>
      </c>
      <c r="R804" s="24">
        <f>O804-Q804</f>
        <v>0</v>
      </c>
      <c r="S804" s="53" t="str">
        <f>IF(O804&lt;&gt;0,R804/O804,"")</f>
        <v/>
      </c>
      <c r="T804" s="10"/>
      <c r="U804" s="23">
        <v>0</v>
      </c>
      <c r="V804" s="25">
        <v>0</v>
      </c>
      <c r="W804" s="24">
        <v>0</v>
      </c>
      <c r="X804" s="24">
        <f>U804-W804</f>
        <v>0</v>
      </c>
      <c r="Y804" s="53" t="str">
        <f>IF(U804&lt;&gt;0,X804/U804,"")</f>
        <v/>
      </c>
      <c r="Z804" s="23">
        <v>0</v>
      </c>
      <c r="AA804" s="25">
        <v>0</v>
      </c>
      <c r="AB804" s="24">
        <v>0</v>
      </c>
      <c r="AC804" s="24">
        <f t="shared" si="248"/>
        <v>0</v>
      </c>
      <c r="AD804" s="53" t="str">
        <f t="shared" si="249"/>
        <v/>
      </c>
      <c r="AE804" s="10"/>
    </row>
    <row r="805" spans="1:31" x14ac:dyDescent="0.25">
      <c r="A805" s="14" t="s">
        <v>109</v>
      </c>
      <c r="C805" s="61" t="str">
        <f t="shared" si="247"/>
        <v>C100058</v>
      </c>
      <c r="F805" s="8" t="str">
        <f>"E100004"</f>
        <v>E100004</v>
      </c>
      <c r="G805" s="9" t="str">
        <f>"Laminated Tote"</f>
        <v>Laminated Tote</v>
      </c>
      <c r="H805" s="47"/>
      <c r="I805" s="47"/>
      <c r="J805" s="23">
        <v>514.35</v>
      </c>
      <c r="K805" s="25">
        <v>288</v>
      </c>
      <c r="L805" s="24">
        <v>345.61</v>
      </c>
      <c r="M805" s="24">
        <f>J805-L805</f>
        <v>168.74</v>
      </c>
      <c r="N805" s="53">
        <f>IF(J805&lt;&gt;0,M805/J805,"")</f>
        <v>0.32806454748711966</v>
      </c>
      <c r="O805" s="23">
        <v>0</v>
      </c>
      <c r="P805" s="25">
        <v>0</v>
      </c>
      <c r="Q805" s="24">
        <v>0</v>
      </c>
      <c r="R805" s="24">
        <f>O805-Q805</f>
        <v>0</v>
      </c>
      <c r="S805" s="53" t="str">
        <f>IF(O805&lt;&gt;0,R805/O805,"")</f>
        <v/>
      </c>
      <c r="T805" s="10"/>
      <c r="U805" s="23">
        <v>0</v>
      </c>
      <c r="V805" s="25">
        <v>0</v>
      </c>
      <c r="W805" s="24">
        <v>0</v>
      </c>
      <c r="X805" s="24">
        <f>U805-W805</f>
        <v>0</v>
      </c>
      <c r="Y805" s="53" t="str">
        <f>IF(U805&lt;&gt;0,X805/U805,"")</f>
        <v/>
      </c>
      <c r="Z805" s="23">
        <v>0</v>
      </c>
      <c r="AA805" s="25">
        <v>0</v>
      </c>
      <c r="AB805" s="24">
        <v>0</v>
      </c>
      <c r="AC805" s="24">
        <f t="shared" si="248"/>
        <v>0</v>
      </c>
      <c r="AD805" s="53" t="str">
        <f t="shared" si="249"/>
        <v/>
      </c>
      <c r="AE805" s="10"/>
    </row>
    <row r="806" spans="1:31" x14ac:dyDescent="0.25">
      <c r="A806" s="14" t="s">
        <v>109</v>
      </c>
      <c r="C806" s="61" t="str">
        <f t="shared" si="247"/>
        <v>C100058</v>
      </c>
      <c r="F806" s="8" t="str">
        <f>"E100005"</f>
        <v>E100005</v>
      </c>
      <c r="G806" s="9" t="str">
        <f>"All Purpose Tote"</f>
        <v>All Purpose Tote</v>
      </c>
      <c r="H806" s="47"/>
      <c r="I806" s="47"/>
      <c r="J806" s="23">
        <v>352.94</v>
      </c>
      <c r="K806" s="25">
        <v>144</v>
      </c>
      <c r="L806" s="24">
        <v>178.56</v>
      </c>
      <c r="M806" s="24">
        <f>J806-L806</f>
        <v>174.38</v>
      </c>
      <c r="N806" s="53">
        <f>IF(J806&lt;&gt;0,M806/J806,"")</f>
        <v>0.49407831359437865</v>
      </c>
      <c r="O806" s="23">
        <v>0</v>
      </c>
      <c r="P806" s="25">
        <v>0</v>
      </c>
      <c r="Q806" s="24">
        <v>0</v>
      </c>
      <c r="R806" s="24">
        <f>O806-Q806</f>
        <v>0</v>
      </c>
      <c r="S806" s="53" t="str">
        <f>IF(O806&lt;&gt;0,R806/O806,"")</f>
        <v/>
      </c>
      <c r="T806" s="10"/>
      <c r="U806" s="23">
        <v>356.65000000000003</v>
      </c>
      <c r="V806" s="25">
        <v>144</v>
      </c>
      <c r="W806" s="24">
        <v>178.56</v>
      </c>
      <c r="X806" s="24">
        <f>U806-W806</f>
        <v>178.09000000000003</v>
      </c>
      <c r="Y806" s="53">
        <f>IF(U806&lt;&gt;0,X806/U806,"")</f>
        <v>0.49934109070517319</v>
      </c>
      <c r="Z806" s="23">
        <v>0</v>
      </c>
      <c r="AA806" s="25">
        <v>0</v>
      </c>
      <c r="AB806" s="24">
        <v>0</v>
      </c>
      <c r="AC806" s="24">
        <f t="shared" si="248"/>
        <v>0</v>
      </c>
      <c r="AD806" s="53" t="str">
        <f t="shared" si="249"/>
        <v/>
      </c>
      <c r="AE806" s="10"/>
    </row>
    <row r="807" spans="1:31" x14ac:dyDescent="0.25">
      <c r="A807" s="14" t="s">
        <v>109</v>
      </c>
      <c r="C807" s="61" t="str">
        <f t="shared" si="247"/>
        <v>C100058</v>
      </c>
      <c r="F807" s="8" t="str">
        <f>"E100006"</f>
        <v>E100006</v>
      </c>
      <c r="G807" s="9" t="str">
        <f>"Budget Tote Bag"</f>
        <v>Budget Tote Bag</v>
      </c>
      <c r="H807" s="47"/>
      <c r="I807" s="47"/>
      <c r="J807" s="23">
        <v>-0.08</v>
      </c>
      <c r="K807" s="25">
        <v>-1</v>
      </c>
      <c r="L807" s="24">
        <v>-0.04</v>
      </c>
      <c r="M807" s="24">
        <f>J807-L807</f>
        <v>-0.04</v>
      </c>
      <c r="N807" s="53">
        <f>IF(J807&lt;&gt;0,M807/J807,"")</f>
        <v>0.5</v>
      </c>
      <c r="O807" s="23">
        <v>0</v>
      </c>
      <c r="P807" s="25">
        <v>0</v>
      </c>
      <c r="Q807" s="24">
        <v>0</v>
      </c>
      <c r="R807" s="24">
        <f>O807-Q807</f>
        <v>0</v>
      </c>
      <c r="S807" s="53" t="str">
        <f>IF(O807&lt;&gt;0,R807/O807,"")</f>
        <v/>
      </c>
      <c r="T807" s="10"/>
      <c r="U807" s="23">
        <v>0</v>
      </c>
      <c r="V807" s="25">
        <v>0</v>
      </c>
      <c r="W807" s="24">
        <v>0</v>
      </c>
      <c r="X807" s="24">
        <f>U807-W807</f>
        <v>0</v>
      </c>
      <c r="Y807" s="53" t="str">
        <f>IF(U807&lt;&gt;0,X807/U807,"")</f>
        <v/>
      </c>
      <c r="Z807" s="23">
        <v>0</v>
      </c>
      <c r="AA807" s="25">
        <v>0</v>
      </c>
      <c r="AB807" s="24">
        <v>0</v>
      </c>
      <c r="AC807" s="24">
        <f t="shared" si="248"/>
        <v>0</v>
      </c>
      <c r="AD807" s="53" t="str">
        <f t="shared" si="249"/>
        <v/>
      </c>
      <c r="AE807" s="10"/>
    </row>
    <row r="808" spans="1:31" x14ac:dyDescent="0.25">
      <c r="A808" s="14" t="s">
        <v>109</v>
      </c>
      <c r="C808" s="61" t="str">
        <f t="shared" si="247"/>
        <v>C100058</v>
      </c>
      <c r="F808" s="8" t="str">
        <f>"E100014"</f>
        <v>E100014</v>
      </c>
      <c r="G808" s="9" t="str">
        <f>"Stopwatch with Neck Rope"</f>
        <v>Stopwatch with Neck Rope</v>
      </c>
      <c r="H808" s="47"/>
      <c r="I808" s="47"/>
      <c r="J808" s="23">
        <v>-30.36</v>
      </c>
      <c r="K808" s="25">
        <v>-12</v>
      </c>
      <c r="L808" s="24">
        <v>-15.48</v>
      </c>
      <c r="M808" s="24">
        <f>J808-L808</f>
        <v>-14.879999999999999</v>
      </c>
      <c r="N808" s="53">
        <f>IF(J808&lt;&gt;0,M808/J808,"")</f>
        <v>0.49011857707509882</v>
      </c>
      <c r="O808" s="23">
        <v>0</v>
      </c>
      <c r="P808" s="25">
        <v>0</v>
      </c>
      <c r="Q808" s="24">
        <v>0</v>
      </c>
      <c r="R808" s="24">
        <f>O808-Q808</f>
        <v>0</v>
      </c>
      <c r="S808" s="53" t="str">
        <f>IF(O808&lt;&gt;0,R808/O808,"")</f>
        <v/>
      </c>
      <c r="T808" s="10"/>
      <c r="U808" s="23">
        <v>0</v>
      </c>
      <c r="V808" s="25">
        <v>0</v>
      </c>
      <c r="W808" s="24">
        <v>0</v>
      </c>
      <c r="X808" s="24">
        <f>U808-W808</f>
        <v>0</v>
      </c>
      <c r="Y808" s="53" t="str">
        <f>IF(U808&lt;&gt;0,X808/U808,"")</f>
        <v/>
      </c>
      <c r="Z808" s="23">
        <v>0</v>
      </c>
      <c r="AA808" s="25">
        <v>0</v>
      </c>
      <c r="AB808" s="24">
        <v>0</v>
      </c>
      <c r="AC808" s="24">
        <f t="shared" si="248"/>
        <v>0</v>
      </c>
      <c r="AD808" s="53" t="str">
        <f t="shared" si="249"/>
        <v/>
      </c>
      <c r="AE808" s="10"/>
    </row>
    <row r="809" spans="1:31" x14ac:dyDescent="0.25">
      <c r="A809" s="14" t="s">
        <v>109</v>
      </c>
      <c r="C809" s="61" t="str">
        <f t="shared" si="247"/>
        <v>C100058</v>
      </c>
      <c r="F809" s="8" t="str">
        <f>"E100017"</f>
        <v>E100017</v>
      </c>
      <c r="G809" s="9" t="str">
        <f>"Clip-on Clock with Compass"</f>
        <v>Clip-on Clock with Compass</v>
      </c>
      <c r="H809" s="47"/>
      <c r="I809" s="47"/>
      <c r="J809" s="23">
        <v>1.48</v>
      </c>
      <c r="K809" s="25">
        <v>1</v>
      </c>
      <c r="L809" s="24">
        <v>0.88</v>
      </c>
      <c r="M809" s="24">
        <f>J809-L809</f>
        <v>0.6</v>
      </c>
      <c r="N809" s="53">
        <f>IF(J809&lt;&gt;0,M809/J809,"")</f>
        <v>0.40540540540540537</v>
      </c>
      <c r="O809" s="23">
        <v>0</v>
      </c>
      <c r="P809" s="25">
        <v>0</v>
      </c>
      <c r="Q809" s="24">
        <v>0</v>
      </c>
      <c r="R809" s="24">
        <f>O809-Q809</f>
        <v>0</v>
      </c>
      <c r="S809" s="53" t="str">
        <f>IF(O809&lt;&gt;0,R809/O809,"")</f>
        <v/>
      </c>
      <c r="T809" s="10"/>
      <c r="U809" s="23">
        <v>0</v>
      </c>
      <c r="V809" s="25">
        <v>0</v>
      </c>
      <c r="W809" s="24">
        <v>0</v>
      </c>
      <c r="X809" s="24">
        <f>U809-W809</f>
        <v>0</v>
      </c>
      <c r="Y809" s="53" t="str">
        <f>IF(U809&lt;&gt;0,X809/U809,"")</f>
        <v/>
      </c>
      <c r="Z809" s="23">
        <v>0</v>
      </c>
      <c r="AA809" s="25">
        <v>0</v>
      </c>
      <c r="AB809" s="24">
        <v>0</v>
      </c>
      <c r="AC809" s="24">
        <f t="shared" si="248"/>
        <v>0</v>
      </c>
      <c r="AD809" s="53" t="str">
        <f t="shared" si="249"/>
        <v/>
      </c>
      <c r="AE809" s="10"/>
    </row>
    <row r="810" spans="1:31" x14ac:dyDescent="0.25">
      <c r="A810" s="14" t="s">
        <v>109</v>
      </c>
      <c r="C810" s="61" t="str">
        <f t="shared" si="247"/>
        <v>C100058</v>
      </c>
      <c r="F810" s="8" t="str">
        <f>"E100018"</f>
        <v>E100018</v>
      </c>
      <c r="G810" s="9" t="str">
        <f>"Flexi-Clock &amp; Clip"</f>
        <v>Flexi-Clock &amp; Clip</v>
      </c>
      <c r="H810" s="47"/>
      <c r="I810" s="47"/>
      <c r="J810" s="23">
        <v>-1.04</v>
      </c>
      <c r="K810" s="25">
        <v>-1</v>
      </c>
      <c r="L810" s="24">
        <v>-0.6</v>
      </c>
      <c r="M810" s="24">
        <f>J810-L810</f>
        <v>-0.44000000000000006</v>
      </c>
      <c r="N810" s="53">
        <f>IF(J810&lt;&gt;0,M810/J810,"")</f>
        <v>0.42307692307692313</v>
      </c>
      <c r="O810" s="23">
        <v>0</v>
      </c>
      <c r="P810" s="25">
        <v>0</v>
      </c>
      <c r="Q810" s="24">
        <v>0</v>
      </c>
      <c r="R810" s="24">
        <f>O810-Q810</f>
        <v>0</v>
      </c>
      <c r="S810" s="53" t="str">
        <f>IF(O810&lt;&gt;0,R810/O810,"")</f>
        <v/>
      </c>
      <c r="T810" s="10"/>
      <c r="U810" s="23">
        <v>0</v>
      </c>
      <c r="V810" s="25">
        <v>0</v>
      </c>
      <c r="W810" s="24">
        <v>0</v>
      </c>
      <c r="X810" s="24">
        <f>U810-W810</f>
        <v>0</v>
      </c>
      <c r="Y810" s="53" t="str">
        <f>IF(U810&lt;&gt;0,X810/U810,"")</f>
        <v/>
      </c>
      <c r="Z810" s="23">
        <v>0</v>
      </c>
      <c r="AA810" s="25">
        <v>0</v>
      </c>
      <c r="AB810" s="24">
        <v>0</v>
      </c>
      <c r="AC810" s="24">
        <f t="shared" si="248"/>
        <v>0</v>
      </c>
      <c r="AD810" s="53" t="str">
        <f t="shared" si="249"/>
        <v/>
      </c>
      <c r="AE810" s="10"/>
    </row>
    <row r="811" spans="1:31" x14ac:dyDescent="0.25">
      <c r="A811" s="14" t="s">
        <v>109</v>
      </c>
      <c r="C811" s="61" t="str">
        <f t="shared" si="247"/>
        <v>C100058</v>
      </c>
      <c r="F811" s="8" t="str">
        <f>"E100019"</f>
        <v>E100019</v>
      </c>
      <c r="G811" s="9" t="str">
        <f>"Mini Travel Alarm"</f>
        <v>Mini Travel Alarm</v>
      </c>
      <c r="H811" s="47"/>
      <c r="I811" s="47"/>
      <c r="J811" s="23">
        <v>463.74999999999994</v>
      </c>
      <c r="K811" s="25">
        <v>144</v>
      </c>
      <c r="L811" s="24">
        <v>233.26999999999998</v>
      </c>
      <c r="M811" s="24">
        <f>J811-L811</f>
        <v>230.47999999999996</v>
      </c>
      <c r="N811" s="53">
        <f>IF(J811&lt;&gt;0,M811/J811,"")</f>
        <v>0.49699191374663071</v>
      </c>
      <c r="O811" s="23">
        <v>0</v>
      </c>
      <c r="P811" s="25">
        <v>0</v>
      </c>
      <c r="Q811" s="24">
        <v>0</v>
      </c>
      <c r="R811" s="24">
        <f>O811-Q811</f>
        <v>0</v>
      </c>
      <c r="S811" s="53" t="str">
        <f>IF(O811&lt;&gt;0,R811/O811,"")</f>
        <v/>
      </c>
      <c r="T811" s="10"/>
      <c r="U811" s="23">
        <v>0</v>
      </c>
      <c r="V811" s="25">
        <v>0</v>
      </c>
      <c r="W811" s="24">
        <v>0</v>
      </c>
      <c r="X811" s="24">
        <f>U811-W811</f>
        <v>0</v>
      </c>
      <c r="Y811" s="53" t="str">
        <f>IF(U811&lt;&gt;0,X811/U811,"")</f>
        <v/>
      </c>
      <c r="Z811" s="23">
        <v>0</v>
      </c>
      <c r="AA811" s="25">
        <v>0</v>
      </c>
      <c r="AB811" s="24">
        <v>0</v>
      </c>
      <c r="AC811" s="24">
        <f t="shared" si="248"/>
        <v>0</v>
      </c>
      <c r="AD811" s="53" t="str">
        <f t="shared" si="249"/>
        <v/>
      </c>
      <c r="AE811" s="10"/>
    </row>
    <row r="812" spans="1:31" x14ac:dyDescent="0.25">
      <c r="A812" s="14" t="s">
        <v>109</v>
      </c>
      <c r="C812" s="61" t="str">
        <f t="shared" si="247"/>
        <v>C100058</v>
      </c>
      <c r="F812" s="8" t="str">
        <f>"E100024"</f>
        <v>E100024</v>
      </c>
      <c r="G812" s="9" t="str">
        <f>"Arch Calculator"</f>
        <v>Arch Calculator</v>
      </c>
      <c r="H812" s="47"/>
      <c r="I812" s="47"/>
      <c r="J812" s="23">
        <v>435.03000000000003</v>
      </c>
      <c r="K812" s="25">
        <v>144</v>
      </c>
      <c r="L812" s="24">
        <v>247.59</v>
      </c>
      <c r="M812" s="24">
        <f>J812-L812</f>
        <v>187.44000000000003</v>
      </c>
      <c r="N812" s="53">
        <f>IF(J812&lt;&gt;0,M812/J812,"")</f>
        <v>0.43086683676987797</v>
      </c>
      <c r="O812" s="23">
        <v>0</v>
      </c>
      <c r="P812" s="25">
        <v>0</v>
      </c>
      <c r="Q812" s="24">
        <v>0</v>
      </c>
      <c r="R812" s="24">
        <f>O812-Q812</f>
        <v>0</v>
      </c>
      <c r="S812" s="53" t="str">
        <f>IF(O812&lt;&gt;0,R812/O812,"")</f>
        <v/>
      </c>
      <c r="T812" s="10"/>
      <c r="U812" s="23">
        <v>0</v>
      </c>
      <c r="V812" s="25">
        <v>0</v>
      </c>
      <c r="W812" s="24">
        <v>0</v>
      </c>
      <c r="X812" s="24">
        <f>U812-W812</f>
        <v>0</v>
      </c>
      <c r="Y812" s="53" t="str">
        <f>IF(U812&lt;&gt;0,X812/U812,"")</f>
        <v/>
      </c>
      <c r="Z812" s="23">
        <v>0</v>
      </c>
      <c r="AA812" s="25">
        <v>0</v>
      </c>
      <c r="AB812" s="24">
        <v>0</v>
      </c>
      <c r="AC812" s="24">
        <f t="shared" si="248"/>
        <v>0</v>
      </c>
      <c r="AD812" s="53" t="str">
        <f t="shared" si="249"/>
        <v/>
      </c>
      <c r="AE812" s="10"/>
    </row>
    <row r="813" spans="1:31" x14ac:dyDescent="0.25">
      <c r="A813" s="14" t="s">
        <v>109</v>
      </c>
      <c r="C813" s="61" t="str">
        <f t="shared" si="247"/>
        <v>C100058</v>
      </c>
      <c r="F813" s="8" t="str">
        <f>"E100030"</f>
        <v>E100030</v>
      </c>
      <c r="G813" s="9" t="str">
        <f>"LED Keychain"</f>
        <v>LED Keychain</v>
      </c>
      <c r="H813" s="47"/>
      <c r="I813" s="47"/>
      <c r="J813" s="23">
        <v>132.69</v>
      </c>
      <c r="K813" s="25">
        <v>144</v>
      </c>
      <c r="L813" s="24">
        <v>72.05</v>
      </c>
      <c r="M813" s="24">
        <f>J813-L813</f>
        <v>60.64</v>
      </c>
      <c r="N813" s="53">
        <f>IF(J813&lt;&gt;0,M813/J813,"")</f>
        <v>0.45700504936317732</v>
      </c>
      <c r="O813" s="23">
        <v>0</v>
      </c>
      <c r="P813" s="25">
        <v>0</v>
      </c>
      <c r="Q813" s="24">
        <v>0</v>
      </c>
      <c r="R813" s="24">
        <f>O813-Q813</f>
        <v>0</v>
      </c>
      <c r="S813" s="53" t="str">
        <f>IF(O813&lt;&gt;0,R813/O813,"")</f>
        <v/>
      </c>
      <c r="T813" s="10"/>
      <c r="U813" s="23">
        <v>0</v>
      </c>
      <c r="V813" s="25">
        <v>0</v>
      </c>
      <c r="W813" s="24">
        <v>0</v>
      </c>
      <c r="X813" s="24">
        <f>U813-W813</f>
        <v>0</v>
      </c>
      <c r="Y813" s="53" t="str">
        <f>IF(U813&lt;&gt;0,X813/U813,"")</f>
        <v/>
      </c>
      <c r="Z813" s="23">
        <v>0</v>
      </c>
      <c r="AA813" s="25">
        <v>0</v>
      </c>
      <c r="AB813" s="24">
        <v>0</v>
      </c>
      <c r="AC813" s="24">
        <f t="shared" si="248"/>
        <v>0</v>
      </c>
      <c r="AD813" s="53" t="str">
        <f t="shared" si="249"/>
        <v/>
      </c>
      <c r="AE813" s="10"/>
    </row>
    <row r="814" spans="1:31" x14ac:dyDescent="0.25">
      <c r="A814" s="14" t="s">
        <v>109</v>
      </c>
      <c r="C814" s="61" t="str">
        <f t="shared" si="247"/>
        <v>C100058</v>
      </c>
      <c r="F814" s="8" t="str">
        <f>"E100032"</f>
        <v>E100032</v>
      </c>
      <c r="G814" s="9" t="str">
        <f>"Button Key-Light"</f>
        <v>Button Key-Light</v>
      </c>
      <c r="H814" s="47"/>
      <c r="I814" s="47"/>
      <c r="J814" s="23">
        <v>70.25</v>
      </c>
      <c r="K814" s="25">
        <v>145</v>
      </c>
      <c r="L814" s="24">
        <v>47.859999999999992</v>
      </c>
      <c r="M814" s="24">
        <f>J814-L814</f>
        <v>22.390000000000008</v>
      </c>
      <c r="N814" s="53">
        <f>IF(J814&lt;&gt;0,M814/J814,"")</f>
        <v>0.31871886120996451</v>
      </c>
      <c r="O814" s="23">
        <v>0</v>
      </c>
      <c r="P814" s="25">
        <v>0</v>
      </c>
      <c r="Q814" s="24">
        <v>0</v>
      </c>
      <c r="R814" s="24">
        <f>O814-Q814</f>
        <v>0</v>
      </c>
      <c r="S814" s="53" t="str">
        <f>IF(O814&lt;&gt;0,R814/O814,"")</f>
        <v/>
      </c>
      <c r="T814" s="10"/>
      <c r="U814" s="23">
        <v>0</v>
      </c>
      <c r="V814" s="25">
        <v>0</v>
      </c>
      <c r="W814" s="24">
        <v>0</v>
      </c>
      <c r="X814" s="24">
        <f>U814-W814</f>
        <v>0</v>
      </c>
      <c r="Y814" s="53" t="str">
        <f>IF(U814&lt;&gt;0,X814/U814,"")</f>
        <v/>
      </c>
      <c r="Z814" s="23">
        <v>0</v>
      </c>
      <c r="AA814" s="25">
        <v>0</v>
      </c>
      <c r="AB814" s="24">
        <v>0</v>
      </c>
      <c r="AC814" s="24">
        <f t="shared" si="248"/>
        <v>0</v>
      </c>
      <c r="AD814" s="53" t="str">
        <f t="shared" si="249"/>
        <v/>
      </c>
      <c r="AE814" s="10"/>
    </row>
    <row r="815" spans="1:31" x14ac:dyDescent="0.25">
      <c r="A815" s="14" t="s">
        <v>109</v>
      </c>
      <c r="C815" s="61" t="str">
        <f t="shared" si="247"/>
        <v>C100058</v>
      </c>
      <c r="F815" s="8" t="str">
        <f>"E100041"</f>
        <v>E100041</v>
      </c>
      <c r="G815" s="9" t="str">
        <f>"Biodegradable Colored SPORT BOT"</f>
        <v>Biodegradable Colored SPORT BOT</v>
      </c>
      <c r="H815" s="47"/>
      <c r="I815" s="47"/>
      <c r="J815" s="23">
        <v>94.4</v>
      </c>
      <c r="K815" s="25">
        <v>144</v>
      </c>
      <c r="L815" s="24">
        <v>61.900000000000006</v>
      </c>
      <c r="M815" s="24">
        <f>J815-L815</f>
        <v>32.5</v>
      </c>
      <c r="N815" s="53">
        <f>IF(J815&lt;&gt;0,M815/J815,"")</f>
        <v>0.34427966101694912</v>
      </c>
      <c r="O815" s="23">
        <v>0</v>
      </c>
      <c r="P815" s="25">
        <v>0</v>
      </c>
      <c r="Q815" s="24">
        <v>0</v>
      </c>
      <c r="R815" s="24">
        <f>O815-Q815</f>
        <v>0</v>
      </c>
      <c r="S815" s="53" t="str">
        <f>IF(O815&lt;&gt;0,R815/O815,"")</f>
        <v/>
      </c>
      <c r="T815" s="10"/>
      <c r="U815" s="23">
        <v>0</v>
      </c>
      <c r="V815" s="25">
        <v>0</v>
      </c>
      <c r="W815" s="24">
        <v>0</v>
      </c>
      <c r="X815" s="24">
        <f>U815-W815</f>
        <v>0</v>
      </c>
      <c r="Y815" s="53" t="str">
        <f>IF(U815&lt;&gt;0,X815/U815,"")</f>
        <v/>
      </c>
      <c r="Z815" s="23">
        <v>0</v>
      </c>
      <c r="AA815" s="25">
        <v>0</v>
      </c>
      <c r="AB815" s="24">
        <v>0</v>
      </c>
      <c r="AC815" s="24">
        <f t="shared" si="248"/>
        <v>0</v>
      </c>
      <c r="AD815" s="53" t="str">
        <f t="shared" si="249"/>
        <v/>
      </c>
      <c r="AE815" s="10"/>
    </row>
    <row r="816" spans="1:31" x14ac:dyDescent="0.25">
      <c r="A816" s="14" t="s">
        <v>109</v>
      </c>
      <c r="C816" s="61" t="str">
        <f t="shared" si="247"/>
        <v>C100058</v>
      </c>
      <c r="F816" s="8" t="str">
        <f>"E100043"</f>
        <v>E100043</v>
      </c>
      <c r="G816" s="9" t="str">
        <f>"Pub Glass"</f>
        <v>Pub Glass</v>
      </c>
      <c r="H816" s="47"/>
      <c r="I816" s="47"/>
      <c r="J816" s="23">
        <v>1.35</v>
      </c>
      <c r="K816" s="25">
        <v>1</v>
      </c>
      <c r="L816" s="24">
        <v>0.93</v>
      </c>
      <c r="M816" s="24">
        <f>J816-L816</f>
        <v>0.42000000000000004</v>
      </c>
      <c r="N816" s="53">
        <f>IF(J816&lt;&gt;0,M816/J816,"")</f>
        <v>0.31111111111111112</v>
      </c>
      <c r="O816" s="23">
        <v>0</v>
      </c>
      <c r="P816" s="25">
        <v>0</v>
      </c>
      <c r="Q816" s="24">
        <v>0</v>
      </c>
      <c r="R816" s="24">
        <f>O816-Q816</f>
        <v>0</v>
      </c>
      <c r="S816" s="53" t="str">
        <f>IF(O816&lt;&gt;0,R816/O816,"")</f>
        <v/>
      </c>
      <c r="T816" s="10"/>
      <c r="U816" s="23">
        <v>1.36</v>
      </c>
      <c r="V816" s="25">
        <v>1</v>
      </c>
      <c r="W816" s="24">
        <v>0.93</v>
      </c>
      <c r="X816" s="24">
        <f>U816-W816</f>
        <v>0.43000000000000005</v>
      </c>
      <c r="Y816" s="53">
        <f>IF(U816&lt;&gt;0,X816/U816,"")</f>
        <v>0.31617647058823528</v>
      </c>
      <c r="Z816" s="23">
        <v>0</v>
      </c>
      <c r="AA816" s="25">
        <v>0</v>
      </c>
      <c r="AB816" s="24">
        <v>0</v>
      </c>
      <c r="AC816" s="24">
        <f t="shared" si="248"/>
        <v>0</v>
      </c>
      <c r="AD816" s="53" t="str">
        <f t="shared" si="249"/>
        <v/>
      </c>
      <c r="AE816" s="10"/>
    </row>
    <row r="817" spans="1:31" x14ac:dyDescent="0.25">
      <c r="A817" s="14" t="s">
        <v>109</v>
      </c>
      <c r="C817" s="61" t="str">
        <f t="shared" si="247"/>
        <v>C100058</v>
      </c>
      <c r="F817" s="8" t="str">
        <f>"E100044"</f>
        <v>E100044</v>
      </c>
      <c r="G817" s="9" t="str">
        <f>"Juice Glass"</f>
        <v>Juice Glass</v>
      </c>
      <c r="H817" s="47"/>
      <c r="I817" s="47"/>
      <c r="J817" s="23">
        <v>-0.53</v>
      </c>
      <c r="K817" s="25">
        <v>-1</v>
      </c>
      <c r="L817" s="24">
        <v>-0.38</v>
      </c>
      <c r="M817" s="24">
        <f>J817-L817</f>
        <v>-0.15000000000000002</v>
      </c>
      <c r="N817" s="53">
        <f>IF(J817&lt;&gt;0,M817/J817,"")</f>
        <v>0.28301886792452835</v>
      </c>
      <c r="O817" s="23">
        <v>0</v>
      </c>
      <c r="P817" s="25">
        <v>0</v>
      </c>
      <c r="Q817" s="24">
        <v>0</v>
      </c>
      <c r="R817" s="24">
        <f>O817-Q817</f>
        <v>0</v>
      </c>
      <c r="S817" s="53" t="str">
        <f>IF(O817&lt;&gt;0,R817/O817,"")</f>
        <v/>
      </c>
      <c r="T817" s="10"/>
      <c r="U817" s="23">
        <v>80.179999999999993</v>
      </c>
      <c r="V817" s="25">
        <v>144</v>
      </c>
      <c r="W817" s="24">
        <v>54.809999999999995</v>
      </c>
      <c r="X817" s="24">
        <f>U817-W817</f>
        <v>25.369999999999997</v>
      </c>
      <c r="Y817" s="53">
        <f>IF(U817&lt;&gt;0,X817/U817,"")</f>
        <v>0.31641307059116985</v>
      </c>
      <c r="Z817" s="23">
        <v>0</v>
      </c>
      <c r="AA817" s="25">
        <v>0</v>
      </c>
      <c r="AB817" s="24">
        <v>0</v>
      </c>
      <c r="AC817" s="24">
        <f t="shared" si="248"/>
        <v>0</v>
      </c>
      <c r="AD817" s="53" t="str">
        <f t="shared" si="249"/>
        <v/>
      </c>
      <c r="AE817" s="10"/>
    </row>
    <row r="818" spans="1:31" x14ac:dyDescent="0.25">
      <c r="A818" s="14" t="s">
        <v>109</v>
      </c>
      <c r="C818" s="61" t="str">
        <f t="shared" si="247"/>
        <v>C100058</v>
      </c>
      <c r="F818" s="8" t="str">
        <f>"S100011"</f>
        <v>S100011</v>
      </c>
      <c r="G818" s="9" t="str">
        <f>"All Star Cap"</f>
        <v>All Star Cap</v>
      </c>
      <c r="H818" s="47"/>
      <c r="I818" s="47"/>
      <c r="J818" s="23">
        <v>198.36</v>
      </c>
      <c r="K818" s="25">
        <v>144</v>
      </c>
      <c r="L818" s="24">
        <v>122.41</v>
      </c>
      <c r="M818" s="24">
        <f>J818-L818</f>
        <v>75.950000000000017</v>
      </c>
      <c r="N818" s="53">
        <f>IF(J818&lt;&gt;0,M818/J818,"")</f>
        <v>0.38288969550312568</v>
      </c>
      <c r="O818" s="23">
        <v>0</v>
      </c>
      <c r="P818" s="25">
        <v>0</v>
      </c>
      <c r="Q818" s="24">
        <v>0</v>
      </c>
      <c r="R818" s="24">
        <f>O818-Q818</f>
        <v>0</v>
      </c>
      <c r="S818" s="53" t="str">
        <f>IF(O818&lt;&gt;0,R818/O818,"")</f>
        <v/>
      </c>
      <c r="T818" s="10"/>
      <c r="U818" s="23">
        <v>0</v>
      </c>
      <c r="V818" s="25">
        <v>0</v>
      </c>
      <c r="W818" s="24">
        <v>0</v>
      </c>
      <c r="X818" s="24">
        <f>U818-W818</f>
        <v>0</v>
      </c>
      <c r="Y818" s="53" t="str">
        <f>IF(U818&lt;&gt;0,X818/U818,"")</f>
        <v/>
      </c>
      <c r="Z818" s="23">
        <v>0</v>
      </c>
      <c r="AA818" s="25">
        <v>0</v>
      </c>
      <c r="AB818" s="24">
        <v>0</v>
      </c>
      <c r="AC818" s="24">
        <f t="shared" si="248"/>
        <v>0</v>
      </c>
      <c r="AD818" s="53" t="str">
        <f t="shared" si="249"/>
        <v/>
      </c>
      <c r="AE818" s="10"/>
    </row>
    <row r="819" spans="1:31" x14ac:dyDescent="0.25">
      <c r="A819" s="14" t="s">
        <v>109</v>
      </c>
      <c r="C819" s="61" t="str">
        <f t="shared" si="247"/>
        <v>C100058</v>
      </c>
      <c r="F819" s="8" t="str">
        <f>"S100019"</f>
        <v>S100019</v>
      </c>
      <c r="G819" s="9" t="str">
        <f>"Sportsman Bucket Hat"</f>
        <v>Sportsman Bucket Hat</v>
      </c>
      <c r="H819" s="47"/>
      <c r="I819" s="47"/>
      <c r="J819" s="23">
        <v>104.64999999999999</v>
      </c>
      <c r="K819" s="25">
        <v>24</v>
      </c>
      <c r="L819" s="24">
        <v>58.32</v>
      </c>
      <c r="M819" s="24">
        <f>J819-L819</f>
        <v>46.329999999999991</v>
      </c>
      <c r="N819" s="53">
        <f>IF(J819&lt;&gt;0,M819/J819,"")</f>
        <v>0.44271380793119919</v>
      </c>
      <c r="O819" s="23">
        <v>0</v>
      </c>
      <c r="P819" s="25">
        <v>0</v>
      </c>
      <c r="Q819" s="24">
        <v>0</v>
      </c>
      <c r="R819" s="24">
        <f>O819-Q819</f>
        <v>0</v>
      </c>
      <c r="S819" s="53" t="str">
        <f>IF(O819&lt;&gt;0,R819/O819,"")</f>
        <v/>
      </c>
      <c r="T819" s="10"/>
      <c r="U819" s="23">
        <v>0</v>
      </c>
      <c r="V819" s="25">
        <v>0</v>
      </c>
      <c r="W819" s="24">
        <v>0</v>
      </c>
      <c r="X819" s="24">
        <f>U819-W819</f>
        <v>0</v>
      </c>
      <c r="Y819" s="53" t="str">
        <f>IF(U819&lt;&gt;0,X819/U819,"")</f>
        <v/>
      </c>
      <c r="Z819" s="23">
        <v>0</v>
      </c>
      <c r="AA819" s="25">
        <v>0</v>
      </c>
      <c r="AB819" s="24">
        <v>0</v>
      </c>
      <c r="AC819" s="24">
        <f t="shared" si="248"/>
        <v>0</v>
      </c>
      <c r="AD819" s="53" t="str">
        <f t="shared" si="249"/>
        <v/>
      </c>
      <c r="AE819" s="10"/>
    </row>
    <row r="820" spans="1:31" x14ac:dyDescent="0.25">
      <c r="A820" s="14" t="s">
        <v>109</v>
      </c>
      <c r="C820" s="61" t="str">
        <f t="shared" si="247"/>
        <v>C100058</v>
      </c>
      <c r="F820" s="8" t="str">
        <f>"S100023"</f>
        <v>S100023</v>
      </c>
      <c r="G820" s="9" t="str">
        <f>"Gripper SPORT BOT"</f>
        <v>Gripper SPORT BOT</v>
      </c>
      <c r="H820" s="47"/>
      <c r="I820" s="47"/>
      <c r="J820" s="23">
        <v>544.46</v>
      </c>
      <c r="K820" s="25">
        <v>288</v>
      </c>
      <c r="L820" s="24">
        <v>285.15000000000003</v>
      </c>
      <c r="M820" s="24">
        <f>J820-L820</f>
        <v>259.31</v>
      </c>
      <c r="N820" s="53">
        <f>IF(J820&lt;&gt;0,M820/J820,"")</f>
        <v>0.47627006575322334</v>
      </c>
      <c r="O820" s="23">
        <v>0</v>
      </c>
      <c r="P820" s="25">
        <v>0</v>
      </c>
      <c r="Q820" s="24">
        <v>0</v>
      </c>
      <c r="R820" s="24">
        <f>O820-Q820</f>
        <v>0</v>
      </c>
      <c r="S820" s="53" t="str">
        <f>IF(O820&lt;&gt;0,R820/O820,"")</f>
        <v/>
      </c>
      <c r="T820" s="10"/>
      <c r="U820" s="23">
        <v>286.56</v>
      </c>
      <c r="V820" s="25">
        <v>150</v>
      </c>
      <c r="W820" s="24">
        <v>148.51999999999998</v>
      </c>
      <c r="X820" s="24">
        <f>U820-W820</f>
        <v>138.04000000000002</v>
      </c>
      <c r="Y820" s="53">
        <f>IF(U820&lt;&gt;0,X820/U820,"")</f>
        <v>0.48171412618648807</v>
      </c>
      <c r="Z820" s="23">
        <v>0</v>
      </c>
      <c r="AA820" s="25">
        <v>0</v>
      </c>
      <c r="AB820" s="24">
        <v>0</v>
      </c>
      <c r="AC820" s="24">
        <f t="shared" si="248"/>
        <v>0</v>
      </c>
      <c r="AD820" s="53" t="str">
        <f t="shared" si="249"/>
        <v/>
      </c>
      <c r="AE820" s="10"/>
    </row>
    <row r="821" spans="1:31" x14ac:dyDescent="0.25">
      <c r="A821" s="14" t="s">
        <v>109</v>
      </c>
      <c r="C821" s="61" t="str">
        <f t="shared" si="247"/>
        <v>C100058</v>
      </c>
      <c r="F821" s="8" t="str">
        <f>"S100024"</f>
        <v>S100024</v>
      </c>
      <c r="G821" s="9" t="str">
        <f>"Aluminum SPORT BOT"</f>
        <v>Aluminum SPORT BOT</v>
      </c>
      <c r="H821" s="47"/>
      <c r="I821" s="47"/>
      <c r="J821" s="23">
        <v>482.90000000000003</v>
      </c>
      <c r="K821" s="25">
        <v>144</v>
      </c>
      <c r="L821" s="24">
        <v>302.39999999999998</v>
      </c>
      <c r="M821" s="24">
        <f>J821-L821</f>
        <v>180.50000000000006</v>
      </c>
      <c r="N821" s="53">
        <f>IF(J821&lt;&gt;0,M821/J821,"")</f>
        <v>0.37378339200662675</v>
      </c>
      <c r="O821" s="23">
        <v>0</v>
      </c>
      <c r="P821" s="25">
        <v>0</v>
      </c>
      <c r="Q821" s="24">
        <v>0</v>
      </c>
      <c r="R821" s="24">
        <f>O821-Q821</f>
        <v>0</v>
      </c>
      <c r="S821" s="53" t="str">
        <f>IF(O821&lt;&gt;0,R821/O821,"")</f>
        <v/>
      </c>
      <c r="T821" s="10"/>
      <c r="U821" s="23">
        <v>3.39</v>
      </c>
      <c r="V821" s="25">
        <v>1</v>
      </c>
      <c r="W821" s="24">
        <v>2.1</v>
      </c>
      <c r="X821" s="24">
        <f>U821-W821</f>
        <v>1.29</v>
      </c>
      <c r="Y821" s="53">
        <f>IF(U821&lt;&gt;0,X821/U821,"")</f>
        <v>0.38053097345132741</v>
      </c>
      <c r="Z821" s="23">
        <v>0</v>
      </c>
      <c r="AA821" s="25">
        <v>0</v>
      </c>
      <c r="AB821" s="24">
        <v>0</v>
      </c>
      <c r="AC821" s="24">
        <f t="shared" si="248"/>
        <v>0</v>
      </c>
      <c r="AD821" s="53" t="str">
        <f t="shared" si="249"/>
        <v/>
      </c>
      <c r="AE821" s="10"/>
    </row>
    <row r="822" spans="1:31" x14ac:dyDescent="0.25">
      <c r="A822" s="14" t="s">
        <v>109</v>
      </c>
      <c r="C822" s="61" t="str">
        <f t="shared" si="247"/>
        <v>C100058</v>
      </c>
      <c r="F822" s="8" t="str">
        <f>"S100025"</f>
        <v>S100025</v>
      </c>
      <c r="G822" s="9" t="str">
        <f>"SPORT BOT with Pop Lid"</f>
        <v>SPORT BOT with Pop Lid</v>
      </c>
      <c r="H822" s="47"/>
      <c r="I822" s="47"/>
      <c r="J822" s="23">
        <v>232.56000000000003</v>
      </c>
      <c r="K822" s="25">
        <v>144</v>
      </c>
      <c r="L822" s="24">
        <v>138.16999999999999</v>
      </c>
      <c r="M822" s="24">
        <f>J822-L822</f>
        <v>94.390000000000043</v>
      </c>
      <c r="N822" s="53">
        <f>IF(J822&lt;&gt;0,M822/J822,"")</f>
        <v>0.40587375300997608</v>
      </c>
      <c r="O822" s="23">
        <v>0</v>
      </c>
      <c r="P822" s="25">
        <v>0</v>
      </c>
      <c r="Q822" s="24">
        <v>0</v>
      </c>
      <c r="R822" s="24">
        <f>O822-Q822</f>
        <v>0</v>
      </c>
      <c r="S822" s="53" t="str">
        <f>IF(O822&lt;&gt;0,R822/O822,"")</f>
        <v/>
      </c>
      <c r="T822" s="10"/>
      <c r="U822" s="23">
        <v>235.01</v>
      </c>
      <c r="V822" s="25">
        <v>144</v>
      </c>
      <c r="W822" s="24">
        <v>138.16999999999999</v>
      </c>
      <c r="X822" s="24">
        <f>U822-W822</f>
        <v>96.84</v>
      </c>
      <c r="Y822" s="53">
        <f>IF(U822&lt;&gt;0,X822/U822,"")</f>
        <v>0.41206757159269819</v>
      </c>
      <c r="Z822" s="23">
        <v>0</v>
      </c>
      <c r="AA822" s="25">
        <v>0</v>
      </c>
      <c r="AB822" s="24">
        <v>0</v>
      </c>
      <c r="AC822" s="24">
        <f t="shared" si="248"/>
        <v>0</v>
      </c>
      <c r="AD822" s="53" t="str">
        <f t="shared" si="249"/>
        <v/>
      </c>
      <c r="AE822" s="10"/>
    </row>
    <row r="823" spans="1:31" x14ac:dyDescent="0.25">
      <c r="A823" s="14" t="s">
        <v>109</v>
      </c>
      <c r="C823" s="61" t="str">
        <f t="shared" si="247"/>
        <v>C100058</v>
      </c>
      <c r="F823" s="8" t="str">
        <f>"S100026"</f>
        <v>S100026</v>
      </c>
      <c r="G823" s="9" t="str">
        <f>"Wide SPORT BOT"</f>
        <v>Wide SPORT BOT</v>
      </c>
      <c r="H823" s="47"/>
      <c r="I823" s="47"/>
      <c r="J823" s="23">
        <v>554.03000000000009</v>
      </c>
      <c r="K823" s="25">
        <v>144</v>
      </c>
      <c r="L823" s="24">
        <v>273.65000000000003</v>
      </c>
      <c r="M823" s="24">
        <f>J823-L823</f>
        <v>280.38000000000005</v>
      </c>
      <c r="N823" s="53">
        <f>IF(J823&lt;&gt;0,M823/J823,"")</f>
        <v>0.50607367832066852</v>
      </c>
      <c r="O823" s="23">
        <v>0</v>
      </c>
      <c r="P823" s="25">
        <v>0</v>
      </c>
      <c r="Q823" s="24">
        <v>0</v>
      </c>
      <c r="R823" s="24">
        <f>O823-Q823</f>
        <v>0</v>
      </c>
      <c r="S823" s="53" t="str">
        <f>IF(O823&lt;&gt;0,R823/O823,"")</f>
        <v/>
      </c>
      <c r="T823" s="10"/>
      <c r="U823" s="23">
        <v>0</v>
      </c>
      <c r="V823" s="25">
        <v>0</v>
      </c>
      <c r="W823" s="24">
        <v>0</v>
      </c>
      <c r="X823" s="24">
        <f>U823-W823</f>
        <v>0</v>
      </c>
      <c r="Y823" s="53" t="str">
        <f>IF(U823&lt;&gt;0,X823/U823,"")</f>
        <v/>
      </c>
      <c r="Z823" s="23">
        <v>0</v>
      </c>
      <c r="AA823" s="25">
        <v>0</v>
      </c>
      <c r="AB823" s="24">
        <v>0</v>
      </c>
      <c r="AC823" s="24">
        <f t="shared" si="248"/>
        <v>0</v>
      </c>
      <c r="AD823" s="53" t="str">
        <f t="shared" si="249"/>
        <v/>
      </c>
      <c r="AE823" s="10"/>
    </row>
    <row r="824" spans="1:31" ht="15.75" thickBot="1" x14ac:dyDescent="0.3">
      <c r="A824" s="14" t="s">
        <v>109</v>
      </c>
      <c r="C824" s="61" t="str">
        <f>C795</f>
        <v>C100058</v>
      </c>
      <c r="J824" s="10"/>
      <c r="K824" s="11"/>
      <c r="L824" s="11"/>
      <c r="M824" s="11"/>
      <c r="N824" s="12"/>
      <c r="O824" s="10"/>
      <c r="P824" s="11"/>
      <c r="Q824" s="11"/>
      <c r="R824" s="11"/>
      <c r="S824" s="12"/>
      <c r="U824" s="10"/>
      <c r="V824" s="11"/>
      <c r="W824" s="11"/>
      <c r="X824" s="11"/>
      <c r="Y824" s="12"/>
      <c r="Z824" s="10"/>
      <c r="AA824" s="11"/>
      <c r="AB824" s="11"/>
      <c r="AC824" s="11"/>
      <c r="AD824" s="12"/>
    </row>
    <row r="825" spans="1:31" ht="15.75" thickBot="1" x14ac:dyDescent="0.3">
      <c r="A825" s="14" t="s">
        <v>109</v>
      </c>
      <c r="C825" s="61" t="str">
        <f t="shared" si="244"/>
        <v>C100058</v>
      </c>
      <c r="G825" s="48" t="str">
        <f>C825&amp;" TOTAL:"</f>
        <v>C100058 TOTAL:</v>
      </c>
      <c r="H825" s="50"/>
      <c r="I825" s="50"/>
      <c r="J825" s="34">
        <f>SUBTOTAL(9,J794:J824)</f>
        <v>7033.4199999999992</v>
      </c>
      <c r="K825" s="35">
        <f>SUBTOTAL(9,K794:K824)</f>
        <v>3032</v>
      </c>
      <c r="L825" s="36">
        <f>SUBTOTAL(9,L794:L824)</f>
        <v>4084.440000000001</v>
      </c>
      <c r="M825" s="36">
        <f>J825-L825</f>
        <v>2948.9799999999982</v>
      </c>
      <c r="N825" s="37">
        <f>IF(J825&lt;&gt;0,M825/J825,"")</f>
        <v>0.41928108942733389</v>
      </c>
      <c r="O825" s="34">
        <f>SUBTOTAL(9,O794:O824)</f>
        <v>0</v>
      </c>
      <c r="P825" s="35">
        <f>SUBTOTAL(9,P794:P824)</f>
        <v>0</v>
      </c>
      <c r="Q825" s="36">
        <f>SUBTOTAL(9,Q794:Q824)</f>
        <v>0</v>
      </c>
      <c r="R825" s="36">
        <f>O825-Q825</f>
        <v>0</v>
      </c>
      <c r="S825" s="37" t="str">
        <f>IF(O825&lt;&gt;0,R825/O825,"")</f>
        <v/>
      </c>
      <c r="U825" s="34">
        <f>SUBTOTAL(9,U794:U824)</f>
        <v>1264.8600000000001</v>
      </c>
      <c r="V825" s="35">
        <f>SUBTOTAL(9,V794:V824)</f>
        <v>734</v>
      </c>
      <c r="W825" s="36">
        <f>SUBTOTAL(9,W794:W824)</f>
        <v>691.11999999999989</v>
      </c>
      <c r="X825" s="36">
        <f>U825-W825</f>
        <v>573.74000000000024</v>
      </c>
      <c r="Y825" s="37">
        <f>IF(U825&lt;&gt;0,X825/U825,"")</f>
        <v>0.45359960786173981</v>
      </c>
      <c r="Z825" s="34">
        <f>SUBTOTAL(9,Z794:Z824)</f>
        <v>0</v>
      </c>
      <c r="AA825" s="35">
        <f>SUBTOTAL(9,AA794:AA824)</f>
        <v>0</v>
      </c>
      <c r="AB825" s="36">
        <f>SUBTOTAL(9,AB794:AB824)</f>
        <v>0</v>
      </c>
      <c r="AC825" s="36">
        <f t="shared" ref="AC825" si="250">Z825-AB825</f>
        <v>0</v>
      </c>
      <c r="AD825" s="37" t="str">
        <f t="shared" ref="AD825" si="251">IF(Z825&lt;&gt;0,AC825/Z825,"")</f>
        <v/>
      </c>
    </row>
    <row r="826" spans="1:31" x14ac:dyDescent="0.25">
      <c r="A826" s="14" t="s">
        <v>109</v>
      </c>
      <c r="C826" s="66"/>
      <c r="J826" s="10"/>
      <c r="K826" s="11"/>
      <c r="L826" s="11"/>
      <c r="M826" s="11"/>
      <c r="N826" s="12"/>
      <c r="O826" s="10"/>
      <c r="P826" s="11"/>
      <c r="Q826" s="11"/>
      <c r="R826" s="11"/>
      <c r="S826" s="12"/>
      <c r="U826" s="10"/>
      <c r="V826" s="11"/>
      <c r="W826" s="11"/>
      <c r="X826" s="11"/>
      <c r="Y826" s="12"/>
      <c r="Z826" s="10"/>
      <c r="AA826" s="11"/>
      <c r="AB826" s="11"/>
      <c r="AC826" s="11"/>
      <c r="AD826" s="12"/>
    </row>
    <row r="827" spans="1:31" ht="15.75" x14ac:dyDescent="0.25">
      <c r="A827" s="14" t="s">
        <v>109</v>
      </c>
      <c r="C827" s="66" t="str">
        <f t="shared" ref="C827" si="252">E827</f>
        <v>C100059</v>
      </c>
      <c r="E827" s="13" t="str">
        <f>"C100059"</f>
        <v>C100059</v>
      </c>
      <c r="F827" s="13"/>
      <c r="G827" s="13" t="str">
        <f>"Meersen Meubelen"</f>
        <v>Meersen Meubelen</v>
      </c>
      <c r="H827" s="13"/>
      <c r="I827" s="13"/>
      <c r="J827" s="10"/>
      <c r="K827" s="11"/>
      <c r="L827" s="11"/>
      <c r="M827" s="11"/>
      <c r="N827" s="12"/>
      <c r="O827" s="10"/>
      <c r="P827" s="11"/>
      <c r="Q827" s="11"/>
      <c r="R827" s="11"/>
      <c r="S827" s="12"/>
      <c r="U827" s="10"/>
      <c r="V827" s="11"/>
      <c r="W827" s="11"/>
      <c r="X827" s="11"/>
      <c r="Y827" s="12"/>
      <c r="Z827" s="10"/>
      <c r="AA827" s="11"/>
      <c r="AB827" s="11"/>
      <c r="AC827" s="11"/>
      <c r="AD827" s="12"/>
    </row>
    <row r="828" spans="1:31" ht="6.6" customHeight="1" x14ac:dyDescent="0.25">
      <c r="A828" s="14" t="s">
        <v>109</v>
      </c>
      <c r="C828" s="61" t="str">
        <f t="shared" ref="C828:C865" si="253">C827</f>
        <v>C100059</v>
      </c>
      <c r="J828" s="10"/>
      <c r="K828" s="11"/>
      <c r="L828" s="11"/>
      <c r="M828" s="11"/>
      <c r="N828" s="12"/>
      <c r="O828" s="10"/>
      <c r="P828" s="11"/>
      <c r="Q828" s="11"/>
      <c r="R828" s="11"/>
      <c r="S828" s="12"/>
      <c r="U828" s="10"/>
      <c r="V828" s="11"/>
      <c r="W828" s="11"/>
      <c r="X828" s="11"/>
      <c r="Y828" s="12"/>
      <c r="Z828" s="10"/>
      <c r="AA828" s="11"/>
      <c r="AB828" s="11"/>
      <c r="AC828" s="11"/>
      <c r="AD828" s="12"/>
    </row>
    <row r="829" spans="1:31" x14ac:dyDescent="0.25">
      <c r="A829" s="14" t="s">
        <v>109</v>
      </c>
      <c r="C829" s="61" t="str">
        <f t="shared" si="253"/>
        <v>C100059</v>
      </c>
      <c r="F829" s="8" t="str">
        <f>"C100003"</f>
        <v>C100003</v>
      </c>
      <c r="G829" s="9" t="str">
        <f>"Cherry Finish Frame"</f>
        <v>Cherry Finish Frame</v>
      </c>
      <c r="H829" s="47"/>
      <c r="I829" s="47"/>
      <c r="J829" s="23">
        <v>8798.4699999999993</v>
      </c>
      <c r="K829" s="25">
        <v>144</v>
      </c>
      <c r="L829" s="24">
        <v>4700.1499999999996</v>
      </c>
      <c r="M829" s="24">
        <f>J829-L829</f>
        <v>4098.32</v>
      </c>
      <c r="N829" s="53">
        <f>IF(J829&lt;&gt;0,M829/J829,"")</f>
        <v>0.46579916735523336</v>
      </c>
      <c r="O829" s="23">
        <v>0</v>
      </c>
      <c r="P829" s="25">
        <v>0</v>
      </c>
      <c r="Q829" s="24">
        <v>0</v>
      </c>
      <c r="R829" s="24">
        <f>O829-Q829</f>
        <v>0</v>
      </c>
      <c r="S829" s="53" t="str">
        <f>IF(O829&lt;&gt;0,R829/O829,"")</f>
        <v/>
      </c>
      <c r="T829" s="10"/>
      <c r="U829" s="23">
        <v>0</v>
      </c>
      <c r="V829" s="25">
        <v>0</v>
      </c>
      <c r="W829" s="24">
        <v>0</v>
      </c>
      <c r="X829" s="24">
        <f>U829-W829</f>
        <v>0</v>
      </c>
      <c r="Y829" s="53" t="str">
        <f>IF(U829&lt;&gt;0,X829/U829,"")</f>
        <v/>
      </c>
      <c r="Z829" s="23">
        <v>0</v>
      </c>
      <c r="AA829" s="25">
        <v>0</v>
      </c>
      <c r="AB829" s="24">
        <v>0</v>
      </c>
      <c r="AC829" s="24">
        <f t="shared" ref="AC829" si="254">Z829-AB829</f>
        <v>0</v>
      </c>
      <c r="AD829" s="53" t="str">
        <f t="shared" ref="AD829" si="255">IF(Z829&lt;&gt;0,AC829/Z829,"")</f>
        <v/>
      </c>
      <c r="AE829" s="10"/>
    </row>
    <row r="830" spans="1:31" x14ac:dyDescent="0.25">
      <c r="A830" s="14" t="s">
        <v>109</v>
      </c>
      <c r="C830" s="61" t="str">
        <f t="shared" ref="C830:C863" si="256">C829</f>
        <v>C100059</v>
      </c>
      <c r="F830" s="8" t="str">
        <f>"C100004"</f>
        <v>C100004</v>
      </c>
      <c r="G830" s="9" t="str">
        <f>"Walnut Medallian Plate"</f>
        <v>Walnut Medallian Plate</v>
      </c>
      <c r="H830" s="47"/>
      <c r="I830" s="47"/>
      <c r="J830" s="23">
        <v>0</v>
      </c>
      <c r="K830" s="25">
        <v>0</v>
      </c>
      <c r="L830" s="24">
        <v>0</v>
      </c>
      <c r="M830" s="24">
        <f>J830-L830</f>
        <v>0</v>
      </c>
      <c r="N830" s="53" t="str">
        <f>IF(J830&lt;&gt;0,M830/J830,"")</f>
        <v/>
      </c>
      <c r="O830" s="23">
        <v>57</v>
      </c>
      <c r="P830" s="25">
        <v>1</v>
      </c>
      <c r="Q830" s="24">
        <v>30.6</v>
      </c>
      <c r="R830" s="24">
        <f>O830-Q830</f>
        <v>26.4</v>
      </c>
      <c r="S830" s="53">
        <f>IF(O830&lt;&gt;0,R830/O830,"")</f>
        <v>0.4631578947368421</v>
      </c>
      <c r="T830" s="10"/>
      <c r="U830" s="23">
        <v>0</v>
      </c>
      <c r="V830" s="25">
        <v>0</v>
      </c>
      <c r="W830" s="24">
        <v>0</v>
      </c>
      <c r="X830" s="24">
        <f>U830-W830</f>
        <v>0</v>
      </c>
      <c r="Y830" s="53" t="str">
        <f>IF(U830&lt;&gt;0,X830/U830,"")</f>
        <v/>
      </c>
      <c r="Z830" s="23">
        <v>0</v>
      </c>
      <c r="AA830" s="25">
        <v>0</v>
      </c>
      <c r="AB830" s="24">
        <v>0</v>
      </c>
      <c r="AC830" s="24">
        <f t="shared" ref="AC830:AC863" si="257">Z830-AB830</f>
        <v>0</v>
      </c>
      <c r="AD830" s="53" t="str">
        <f t="shared" ref="AD830:AD863" si="258">IF(Z830&lt;&gt;0,AC830/Z830,"")</f>
        <v/>
      </c>
      <c r="AE830" s="10"/>
    </row>
    <row r="831" spans="1:31" x14ac:dyDescent="0.25">
      <c r="A831" s="14" t="s">
        <v>109</v>
      </c>
      <c r="C831" s="61" t="str">
        <f t="shared" si="256"/>
        <v>C100059</v>
      </c>
      <c r="F831" s="8" t="str">
        <f>"C100005"</f>
        <v>C100005</v>
      </c>
      <c r="G831" s="9" t="str">
        <f>"Cherry Finished Crystal Award"</f>
        <v>Cherry Finished Crystal Award</v>
      </c>
      <c r="H831" s="47"/>
      <c r="I831" s="47"/>
      <c r="J831" s="23">
        <v>6339.34</v>
      </c>
      <c r="K831" s="25">
        <v>48</v>
      </c>
      <c r="L831" s="24">
        <v>3404.64</v>
      </c>
      <c r="M831" s="24">
        <f>J831-L831</f>
        <v>2934.7000000000003</v>
      </c>
      <c r="N831" s="53">
        <f>IF(J831&lt;&gt;0,M831/J831,"")</f>
        <v>0.462934627264037</v>
      </c>
      <c r="O831" s="23">
        <v>3236.41</v>
      </c>
      <c r="P831" s="25">
        <v>24</v>
      </c>
      <c r="Q831" s="24">
        <v>1702.32</v>
      </c>
      <c r="R831" s="24">
        <f>O831-Q831</f>
        <v>1534.09</v>
      </c>
      <c r="S831" s="53">
        <f>IF(O831&lt;&gt;0,R831/O831,"")</f>
        <v>0.47400978244412789</v>
      </c>
      <c r="T831" s="10"/>
      <c r="U831" s="23">
        <v>0</v>
      </c>
      <c r="V831" s="25">
        <v>0</v>
      </c>
      <c r="W831" s="24">
        <v>0</v>
      </c>
      <c r="X831" s="24">
        <f>U831-W831</f>
        <v>0</v>
      </c>
      <c r="Y831" s="53" t="str">
        <f>IF(U831&lt;&gt;0,X831/U831,"")</f>
        <v/>
      </c>
      <c r="Z831" s="23">
        <v>0</v>
      </c>
      <c r="AA831" s="25">
        <v>0</v>
      </c>
      <c r="AB831" s="24">
        <v>0</v>
      </c>
      <c r="AC831" s="24">
        <f t="shared" si="257"/>
        <v>0</v>
      </c>
      <c r="AD831" s="53" t="str">
        <f t="shared" si="258"/>
        <v/>
      </c>
      <c r="AE831" s="10"/>
    </row>
    <row r="832" spans="1:31" x14ac:dyDescent="0.25">
      <c r="A832" s="14" t="s">
        <v>109</v>
      </c>
      <c r="C832" s="61" t="str">
        <f t="shared" si="256"/>
        <v>C100059</v>
      </c>
      <c r="F832" s="8" t="str">
        <f>"C100006"</f>
        <v>C100006</v>
      </c>
      <c r="G832" s="9" t="str">
        <f>"Cherry Finished Crystal Award- Large"</f>
        <v>Cherry Finished Crystal Award- Large</v>
      </c>
      <c r="H832" s="47"/>
      <c r="I832" s="47"/>
      <c r="J832" s="23">
        <v>0</v>
      </c>
      <c r="K832" s="25">
        <v>0</v>
      </c>
      <c r="L832" s="24">
        <v>0</v>
      </c>
      <c r="M832" s="24">
        <f>J832-L832</f>
        <v>0</v>
      </c>
      <c r="N832" s="53" t="str">
        <f>IF(J832&lt;&gt;0,M832/J832,"")</f>
        <v/>
      </c>
      <c r="O832" s="23">
        <v>9634.869999999999</v>
      </c>
      <c r="P832" s="25">
        <v>48</v>
      </c>
      <c r="Q832" s="24">
        <v>4561.92</v>
      </c>
      <c r="R832" s="24">
        <f>O832-Q832</f>
        <v>5072.9499999999989</v>
      </c>
      <c r="S832" s="53">
        <f>IF(O832&lt;&gt;0,R832/O832,"")</f>
        <v>0.52651981811897819</v>
      </c>
      <c r="T832" s="10"/>
      <c r="U832" s="23">
        <v>9133.0500000000011</v>
      </c>
      <c r="V832" s="25">
        <v>48</v>
      </c>
      <c r="W832" s="24">
        <v>4561.92</v>
      </c>
      <c r="X832" s="24">
        <f>U832-W832</f>
        <v>4571.130000000001</v>
      </c>
      <c r="Y832" s="53">
        <f>IF(U832&lt;&gt;0,X832/U832,"")</f>
        <v>0.50050421272192758</v>
      </c>
      <c r="Z832" s="23">
        <v>14251.560000000001</v>
      </c>
      <c r="AA832" s="25">
        <v>72</v>
      </c>
      <c r="AB832" s="24">
        <v>6842.8799999999992</v>
      </c>
      <c r="AC832" s="24">
        <f t="shared" si="257"/>
        <v>7408.6800000000021</v>
      </c>
      <c r="AD832" s="53">
        <f t="shared" si="258"/>
        <v>0.51985045847612477</v>
      </c>
      <c r="AE832" s="10"/>
    </row>
    <row r="833" spans="1:31" x14ac:dyDescent="0.25">
      <c r="A833" s="14" t="s">
        <v>109</v>
      </c>
      <c r="C833" s="61" t="str">
        <f t="shared" si="256"/>
        <v>C100059</v>
      </c>
      <c r="F833" s="8" t="str">
        <f>"C100014"</f>
        <v>C100014</v>
      </c>
      <c r="G833" s="9" t="str">
        <f>"Canvas Field Bag"</f>
        <v>Canvas Field Bag</v>
      </c>
      <c r="H833" s="47"/>
      <c r="I833" s="47"/>
      <c r="J833" s="23">
        <v>1212.99</v>
      </c>
      <c r="K833" s="25">
        <v>144</v>
      </c>
      <c r="L833" s="24">
        <v>660.96</v>
      </c>
      <c r="M833" s="24">
        <f>J833-L833</f>
        <v>552.03</v>
      </c>
      <c r="N833" s="53">
        <f>IF(J833&lt;&gt;0,M833/J833,"")</f>
        <v>0.45509855810847571</v>
      </c>
      <c r="O833" s="23">
        <v>0</v>
      </c>
      <c r="P833" s="25">
        <v>0</v>
      </c>
      <c r="Q833" s="24">
        <v>0</v>
      </c>
      <c r="R833" s="24">
        <f>O833-Q833</f>
        <v>0</v>
      </c>
      <c r="S833" s="53" t="str">
        <f>IF(O833&lt;&gt;0,R833/O833,"")</f>
        <v/>
      </c>
      <c r="T833" s="10"/>
      <c r="U833" s="23">
        <v>0</v>
      </c>
      <c r="V833" s="25">
        <v>0</v>
      </c>
      <c r="W833" s="24">
        <v>0</v>
      </c>
      <c r="X833" s="24">
        <f>U833-W833</f>
        <v>0</v>
      </c>
      <c r="Y833" s="53" t="str">
        <f>IF(U833&lt;&gt;0,X833/U833,"")</f>
        <v/>
      </c>
      <c r="Z833" s="23">
        <v>0</v>
      </c>
      <c r="AA833" s="25">
        <v>0</v>
      </c>
      <c r="AB833" s="24">
        <v>0</v>
      </c>
      <c r="AC833" s="24">
        <f t="shared" si="257"/>
        <v>0</v>
      </c>
      <c r="AD833" s="53" t="str">
        <f t="shared" si="258"/>
        <v/>
      </c>
      <c r="AE833" s="10"/>
    </row>
    <row r="834" spans="1:31" x14ac:dyDescent="0.25">
      <c r="A834" s="14" t="s">
        <v>109</v>
      </c>
      <c r="C834" s="61" t="str">
        <f t="shared" si="256"/>
        <v>C100059</v>
      </c>
      <c r="F834" s="8" t="str">
        <f>"C100018"</f>
        <v>C100018</v>
      </c>
      <c r="G834" s="9" t="str">
        <f>"Action Sport Duffel"</f>
        <v>Action Sport Duffel</v>
      </c>
      <c r="H834" s="47"/>
      <c r="I834" s="47"/>
      <c r="J834" s="23">
        <v>0</v>
      </c>
      <c r="K834" s="25">
        <v>0</v>
      </c>
      <c r="L834" s="24">
        <v>0</v>
      </c>
      <c r="M834" s="24">
        <f>J834-L834</f>
        <v>0</v>
      </c>
      <c r="N834" s="53" t="str">
        <f>IF(J834&lt;&gt;0,M834/J834,"")</f>
        <v/>
      </c>
      <c r="O834" s="23">
        <v>2451.38</v>
      </c>
      <c r="P834" s="25">
        <v>145</v>
      </c>
      <c r="Q834" s="24">
        <v>1239.76</v>
      </c>
      <c r="R834" s="24">
        <f>O834-Q834</f>
        <v>1211.6200000000001</v>
      </c>
      <c r="S834" s="53">
        <f>IF(O834&lt;&gt;0,R834/O834,"")</f>
        <v>0.49426037578833149</v>
      </c>
      <c r="T834" s="10"/>
      <c r="U834" s="23">
        <v>0</v>
      </c>
      <c r="V834" s="25">
        <v>0</v>
      </c>
      <c r="W834" s="24">
        <v>0</v>
      </c>
      <c r="X834" s="24">
        <f>U834-W834</f>
        <v>0</v>
      </c>
      <c r="Y834" s="53" t="str">
        <f>IF(U834&lt;&gt;0,X834/U834,"")</f>
        <v/>
      </c>
      <c r="Z834" s="23">
        <v>-82.6</v>
      </c>
      <c r="AA834" s="25">
        <v>-5</v>
      </c>
      <c r="AB834" s="24">
        <v>-42.75</v>
      </c>
      <c r="AC834" s="24">
        <f t="shared" si="257"/>
        <v>-39.849999999999994</v>
      </c>
      <c r="AD834" s="53">
        <f t="shared" si="258"/>
        <v>0.48244552058111378</v>
      </c>
      <c r="AE834" s="10"/>
    </row>
    <row r="835" spans="1:31" x14ac:dyDescent="0.25">
      <c r="A835" s="14" t="s">
        <v>109</v>
      </c>
      <c r="C835" s="61" t="str">
        <f t="shared" si="256"/>
        <v>C100059</v>
      </c>
      <c r="F835" s="8" t="str">
        <f>"C100019"</f>
        <v>C100019</v>
      </c>
      <c r="G835" s="9" t="str">
        <f>"Black Duffel Bag"</f>
        <v>Black Duffel Bag</v>
      </c>
      <c r="H835" s="47"/>
      <c r="I835" s="47"/>
      <c r="J835" s="23">
        <v>1607.17</v>
      </c>
      <c r="K835" s="25">
        <v>24</v>
      </c>
      <c r="L835" s="24">
        <v>1025.28</v>
      </c>
      <c r="M835" s="24">
        <f>J835-L835</f>
        <v>581.8900000000001</v>
      </c>
      <c r="N835" s="53">
        <f>IF(J835&lt;&gt;0,M835/J835,"")</f>
        <v>0.36205877411848159</v>
      </c>
      <c r="O835" s="23">
        <v>67.67</v>
      </c>
      <c r="P835" s="25">
        <v>1</v>
      </c>
      <c r="Q835" s="24">
        <v>42.72</v>
      </c>
      <c r="R835" s="24">
        <f>O835-Q835</f>
        <v>24.950000000000003</v>
      </c>
      <c r="S835" s="53">
        <f>IF(O835&lt;&gt;0,R835/O835,"")</f>
        <v>0.36870104920939856</v>
      </c>
      <c r="T835" s="10"/>
      <c r="U835" s="23">
        <v>0</v>
      </c>
      <c r="V835" s="25">
        <v>0</v>
      </c>
      <c r="W835" s="24">
        <v>0</v>
      </c>
      <c r="X835" s="24">
        <f>U835-W835</f>
        <v>0</v>
      </c>
      <c r="Y835" s="53" t="str">
        <f>IF(U835&lt;&gt;0,X835/U835,"")</f>
        <v/>
      </c>
      <c r="Z835" s="23">
        <v>1590.25</v>
      </c>
      <c r="AA835" s="25">
        <v>24</v>
      </c>
      <c r="AB835" s="24">
        <v>1025.28</v>
      </c>
      <c r="AC835" s="24">
        <f t="shared" si="257"/>
        <v>564.97</v>
      </c>
      <c r="AD835" s="53">
        <f t="shared" si="258"/>
        <v>0.35527118377613587</v>
      </c>
      <c r="AE835" s="10"/>
    </row>
    <row r="836" spans="1:31" x14ac:dyDescent="0.25">
      <c r="A836" s="14" t="s">
        <v>109</v>
      </c>
      <c r="C836" s="61" t="str">
        <f t="shared" si="256"/>
        <v>C100059</v>
      </c>
      <c r="F836" s="8" t="str">
        <f>"C100023"</f>
        <v>C100023</v>
      </c>
      <c r="G836" s="9" t="str">
        <f>"Two-Toned Knit Hat"</f>
        <v>Two-Toned Knit Hat</v>
      </c>
      <c r="H836" s="47"/>
      <c r="I836" s="47"/>
      <c r="J836" s="23">
        <v>0</v>
      </c>
      <c r="K836" s="25">
        <v>0</v>
      </c>
      <c r="L836" s="24">
        <v>0</v>
      </c>
      <c r="M836" s="24">
        <f>J836-L836</f>
        <v>0</v>
      </c>
      <c r="N836" s="53" t="str">
        <f>IF(J836&lt;&gt;0,M836/J836,"")</f>
        <v/>
      </c>
      <c r="O836" s="23">
        <v>374.38</v>
      </c>
      <c r="P836" s="25">
        <v>144</v>
      </c>
      <c r="Q836" s="24">
        <v>181.43</v>
      </c>
      <c r="R836" s="24">
        <f>O836-Q836</f>
        <v>192.95</v>
      </c>
      <c r="S836" s="53">
        <f>IF(O836&lt;&gt;0,R836/O836,"")</f>
        <v>0.51538543725626362</v>
      </c>
      <c r="T836" s="10"/>
      <c r="U836" s="23">
        <v>0</v>
      </c>
      <c r="V836" s="25">
        <v>0</v>
      </c>
      <c r="W836" s="24">
        <v>0</v>
      </c>
      <c r="X836" s="24">
        <f>U836-W836</f>
        <v>0</v>
      </c>
      <c r="Y836" s="53" t="str">
        <f>IF(U836&lt;&gt;0,X836/U836,"")</f>
        <v/>
      </c>
      <c r="Z836" s="23">
        <v>423.26</v>
      </c>
      <c r="AA836" s="25">
        <v>168</v>
      </c>
      <c r="AB836" s="24">
        <v>211.67</v>
      </c>
      <c r="AC836" s="24">
        <f t="shared" si="257"/>
        <v>211.59</v>
      </c>
      <c r="AD836" s="53">
        <f t="shared" si="258"/>
        <v>0.499905495440155</v>
      </c>
      <c r="AE836" s="10"/>
    </row>
    <row r="837" spans="1:31" x14ac:dyDescent="0.25">
      <c r="A837" s="14" t="s">
        <v>109</v>
      </c>
      <c r="C837" s="61" t="str">
        <f t="shared" si="256"/>
        <v>C100059</v>
      </c>
      <c r="F837" s="8" t="str">
        <f>"C100024"</f>
        <v>C100024</v>
      </c>
      <c r="G837" s="9" t="str">
        <f>"Knit Hat with Bill"</f>
        <v>Knit Hat with Bill</v>
      </c>
      <c r="H837" s="47"/>
      <c r="I837" s="47"/>
      <c r="J837" s="23">
        <v>1422.71</v>
      </c>
      <c r="K837" s="25">
        <v>288</v>
      </c>
      <c r="L837" s="24">
        <v>864</v>
      </c>
      <c r="M837" s="24">
        <f>J837-L837</f>
        <v>558.71</v>
      </c>
      <c r="N837" s="53">
        <f>IF(J837&lt;&gt;0,M837/J837,"")</f>
        <v>0.39270828208137992</v>
      </c>
      <c r="O837" s="23">
        <v>0</v>
      </c>
      <c r="P837" s="25">
        <v>0</v>
      </c>
      <c r="Q837" s="24">
        <v>0</v>
      </c>
      <c r="R837" s="24">
        <f>O837-Q837</f>
        <v>0</v>
      </c>
      <c r="S837" s="53" t="str">
        <f>IF(O837&lt;&gt;0,R837/O837,"")</f>
        <v/>
      </c>
      <c r="T837" s="10"/>
      <c r="U837" s="23">
        <v>0</v>
      </c>
      <c r="V837" s="25">
        <v>0</v>
      </c>
      <c r="W837" s="24">
        <v>0</v>
      </c>
      <c r="X837" s="24">
        <f>U837-W837</f>
        <v>0</v>
      </c>
      <c r="Y837" s="53" t="str">
        <f>IF(U837&lt;&gt;0,X837/U837,"")</f>
        <v/>
      </c>
      <c r="Z837" s="23">
        <v>0</v>
      </c>
      <c r="AA837" s="25">
        <v>0</v>
      </c>
      <c r="AB837" s="24">
        <v>0</v>
      </c>
      <c r="AC837" s="24">
        <f t="shared" si="257"/>
        <v>0</v>
      </c>
      <c r="AD837" s="53" t="str">
        <f t="shared" si="258"/>
        <v/>
      </c>
      <c r="AE837" s="10"/>
    </row>
    <row r="838" spans="1:31" x14ac:dyDescent="0.25">
      <c r="A838" s="14" t="s">
        <v>109</v>
      </c>
      <c r="C838" s="61" t="str">
        <f t="shared" si="256"/>
        <v>C100059</v>
      </c>
      <c r="F838" s="8" t="str">
        <f>"C100025"</f>
        <v>C100025</v>
      </c>
      <c r="G838" s="9" t="str">
        <f>"Striped Knit Hat"</f>
        <v>Striped Knit Hat</v>
      </c>
      <c r="H838" s="47"/>
      <c r="I838" s="47"/>
      <c r="J838" s="23">
        <v>-2.89</v>
      </c>
      <c r="K838" s="25">
        <v>-1</v>
      </c>
      <c r="L838" s="24">
        <v>-1.38</v>
      </c>
      <c r="M838" s="24">
        <f>J838-L838</f>
        <v>-1.5100000000000002</v>
      </c>
      <c r="N838" s="53">
        <f>IF(J838&lt;&gt;0,M838/J838,"")</f>
        <v>0.52249134948096887</v>
      </c>
      <c r="O838" s="23">
        <v>416.21</v>
      </c>
      <c r="P838" s="25">
        <v>144</v>
      </c>
      <c r="Q838" s="24">
        <v>198.72</v>
      </c>
      <c r="R838" s="24">
        <f>O838-Q838</f>
        <v>217.48999999999998</v>
      </c>
      <c r="S838" s="53">
        <f>IF(O838&lt;&gt;0,R838/O838,"")</f>
        <v>0.5225487133898753</v>
      </c>
      <c r="T838" s="10"/>
      <c r="U838" s="23">
        <v>0</v>
      </c>
      <c r="V838" s="25">
        <v>0</v>
      </c>
      <c r="W838" s="24">
        <v>0</v>
      </c>
      <c r="X838" s="24">
        <f>U838-W838</f>
        <v>0</v>
      </c>
      <c r="Y838" s="53" t="str">
        <f>IF(U838&lt;&gt;0,X838/U838,"")</f>
        <v/>
      </c>
      <c r="Z838" s="23">
        <v>0</v>
      </c>
      <c r="AA838" s="25">
        <v>0</v>
      </c>
      <c r="AB838" s="24">
        <v>0</v>
      </c>
      <c r="AC838" s="24">
        <f t="shared" si="257"/>
        <v>0</v>
      </c>
      <c r="AD838" s="53" t="str">
        <f t="shared" si="258"/>
        <v/>
      </c>
      <c r="AE838" s="10"/>
    </row>
    <row r="839" spans="1:31" x14ac:dyDescent="0.25">
      <c r="A839" s="14" t="s">
        <v>109</v>
      </c>
      <c r="C839" s="61" t="str">
        <f t="shared" si="256"/>
        <v>C100059</v>
      </c>
      <c r="F839" s="8" t="str">
        <f>"C100026"</f>
        <v>C100026</v>
      </c>
      <c r="G839" s="9" t="str">
        <f>"Fleece Beanie"</f>
        <v>Fleece Beanie</v>
      </c>
      <c r="H839" s="47"/>
      <c r="I839" s="47"/>
      <c r="J839" s="23">
        <v>663.31</v>
      </c>
      <c r="K839" s="25">
        <v>240</v>
      </c>
      <c r="L839" s="24">
        <v>479.97</v>
      </c>
      <c r="M839" s="24">
        <f>J839-L839</f>
        <v>183.33999999999992</v>
      </c>
      <c r="N839" s="53">
        <f>IF(J839&lt;&gt;0,M839/J839,"")</f>
        <v>0.27640168247124258</v>
      </c>
      <c r="O839" s="23">
        <v>0</v>
      </c>
      <c r="P839" s="25">
        <v>0</v>
      </c>
      <c r="Q839" s="24">
        <v>0</v>
      </c>
      <c r="R839" s="24">
        <f>O839-Q839</f>
        <v>0</v>
      </c>
      <c r="S839" s="53" t="str">
        <f>IF(O839&lt;&gt;0,R839/O839,"")</f>
        <v/>
      </c>
      <c r="T839" s="10"/>
      <c r="U839" s="23">
        <v>0</v>
      </c>
      <c r="V839" s="25">
        <v>0</v>
      </c>
      <c r="W839" s="24">
        <v>0</v>
      </c>
      <c r="X839" s="24">
        <f>U839-W839</f>
        <v>0</v>
      </c>
      <c r="Y839" s="53" t="str">
        <f>IF(U839&lt;&gt;0,X839/U839,"")</f>
        <v/>
      </c>
      <c r="Z839" s="23">
        <v>422.25</v>
      </c>
      <c r="AA839" s="25">
        <v>144</v>
      </c>
      <c r="AB839" s="24">
        <v>287.99</v>
      </c>
      <c r="AC839" s="24">
        <f t="shared" si="257"/>
        <v>134.26</v>
      </c>
      <c r="AD839" s="53">
        <f t="shared" si="258"/>
        <v>0.31796329188869149</v>
      </c>
      <c r="AE839" s="10"/>
    </row>
    <row r="840" spans="1:31" x14ac:dyDescent="0.25">
      <c r="A840" s="14" t="s">
        <v>109</v>
      </c>
      <c r="C840" s="61" t="str">
        <f t="shared" si="256"/>
        <v>C100059</v>
      </c>
      <c r="F840" s="8" t="str">
        <f>"C100027"</f>
        <v>C100027</v>
      </c>
      <c r="G840" s="9" t="str">
        <f>"Pique Visor"</f>
        <v>Pique Visor</v>
      </c>
      <c r="H840" s="47"/>
      <c r="I840" s="47"/>
      <c r="J840" s="23">
        <v>0</v>
      </c>
      <c r="K840" s="25">
        <v>0</v>
      </c>
      <c r="L840" s="24">
        <v>0</v>
      </c>
      <c r="M840" s="24">
        <f>J840-L840</f>
        <v>0</v>
      </c>
      <c r="N840" s="53" t="str">
        <f>IF(J840&lt;&gt;0,M840/J840,"")</f>
        <v/>
      </c>
      <c r="O840" s="23">
        <v>884.25999999999988</v>
      </c>
      <c r="P840" s="25">
        <v>144</v>
      </c>
      <c r="Q840" s="24">
        <v>449.29</v>
      </c>
      <c r="R840" s="24">
        <f>O840-Q840</f>
        <v>434.96999999999986</v>
      </c>
      <c r="S840" s="53">
        <f>IF(O840&lt;&gt;0,R840/O840,"")</f>
        <v>0.49190283400809709</v>
      </c>
      <c r="T840" s="10"/>
      <c r="U840" s="23">
        <v>69.12</v>
      </c>
      <c r="V840" s="25">
        <v>12</v>
      </c>
      <c r="W840" s="24">
        <v>37.44</v>
      </c>
      <c r="X840" s="24">
        <f>U840-W840</f>
        <v>31.680000000000007</v>
      </c>
      <c r="Y840" s="53">
        <f>IF(U840&lt;&gt;0,X840/U840,"")</f>
        <v>0.45833333333333343</v>
      </c>
      <c r="Z840" s="23">
        <v>866.03</v>
      </c>
      <c r="AA840" s="25">
        <v>144</v>
      </c>
      <c r="AB840" s="24">
        <v>449.29</v>
      </c>
      <c r="AC840" s="24">
        <f t="shared" si="257"/>
        <v>416.73999999999995</v>
      </c>
      <c r="AD840" s="53">
        <f t="shared" si="258"/>
        <v>0.481207348475226</v>
      </c>
      <c r="AE840" s="10"/>
    </row>
    <row r="841" spans="1:31" x14ac:dyDescent="0.25">
      <c r="A841" s="14" t="s">
        <v>109</v>
      </c>
      <c r="C841" s="61" t="str">
        <f t="shared" si="256"/>
        <v>C100059</v>
      </c>
      <c r="F841" s="8" t="str">
        <f>"E100001"</f>
        <v>E100001</v>
      </c>
      <c r="G841" s="9" t="str">
        <f>"Sport Bag"</f>
        <v>Sport Bag</v>
      </c>
      <c r="H841" s="47"/>
      <c r="I841" s="47"/>
      <c r="J841" s="23">
        <v>0</v>
      </c>
      <c r="K841" s="25">
        <v>0</v>
      </c>
      <c r="L841" s="24">
        <v>0</v>
      </c>
      <c r="M841" s="24">
        <f>J841-L841</f>
        <v>0</v>
      </c>
      <c r="N841" s="53" t="str">
        <f>IF(J841&lt;&gt;0,M841/J841,"")</f>
        <v/>
      </c>
      <c r="O841" s="23">
        <v>337.08</v>
      </c>
      <c r="P841" s="25">
        <v>192</v>
      </c>
      <c r="Q841" s="24">
        <v>167.04</v>
      </c>
      <c r="R841" s="24">
        <f>O841-Q841</f>
        <v>170.04</v>
      </c>
      <c r="S841" s="53">
        <f>IF(O841&lt;&gt;0,R841/O841,"")</f>
        <v>0.5044499822000712</v>
      </c>
      <c r="T841" s="10"/>
      <c r="U841" s="23">
        <v>0</v>
      </c>
      <c r="V841" s="25">
        <v>0</v>
      </c>
      <c r="W841" s="24">
        <v>0</v>
      </c>
      <c r="X841" s="24">
        <f>U841-W841</f>
        <v>0</v>
      </c>
      <c r="Y841" s="53" t="str">
        <f>IF(U841&lt;&gt;0,X841/U841,"")</f>
        <v/>
      </c>
      <c r="Z841" s="23">
        <v>0</v>
      </c>
      <c r="AA841" s="25">
        <v>0</v>
      </c>
      <c r="AB841" s="24">
        <v>0</v>
      </c>
      <c r="AC841" s="24">
        <f t="shared" si="257"/>
        <v>0</v>
      </c>
      <c r="AD841" s="53" t="str">
        <f t="shared" si="258"/>
        <v/>
      </c>
      <c r="AE841" s="10"/>
    </row>
    <row r="842" spans="1:31" x14ac:dyDescent="0.25">
      <c r="A842" s="14" t="s">
        <v>109</v>
      </c>
      <c r="C842" s="61" t="str">
        <f t="shared" si="256"/>
        <v>C100059</v>
      </c>
      <c r="F842" s="8" t="str">
        <f>"E100012"</f>
        <v>E100012</v>
      </c>
      <c r="G842" s="9" t="str">
        <f>"Canvas Stopwatch"</f>
        <v>Canvas Stopwatch</v>
      </c>
      <c r="H842" s="47"/>
      <c r="I842" s="47"/>
      <c r="J842" s="23">
        <v>0</v>
      </c>
      <c r="K842" s="25">
        <v>0</v>
      </c>
      <c r="L842" s="24">
        <v>0</v>
      </c>
      <c r="M842" s="24">
        <f>J842-L842</f>
        <v>0</v>
      </c>
      <c r="N842" s="53" t="str">
        <f>IF(J842&lt;&gt;0,M842/J842,"")</f>
        <v/>
      </c>
      <c r="O842" s="23">
        <v>511.44</v>
      </c>
      <c r="P842" s="25">
        <v>144</v>
      </c>
      <c r="Q842" s="24">
        <v>282.22999999999996</v>
      </c>
      <c r="R842" s="24">
        <f>O842-Q842</f>
        <v>229.21000000000004</v>
      </c>
      <c r="S842" s="53">
        <f>IF(O842&lt;&gt;0,R842/O842,"")</f>
        <v>0.44816596277178172</v>
      </c>
      <c r="T842" s="10"/>
      <c r="U842" s="23">
        <v>484.8</v>
      </c>
      <c r="V842" s="25">
        <v>144</v>
      </c>
      <c r="W842" s="24">
        <v>282.22999999999996</v>
      </c>
      <c r="X842" s="24">
        <f>U842-W842</f>
        <v>202.57000000000005</v>
      </c>
      <c r="Y842" s="53">
        <f>IF(U842&lt;&gt;0,X842/U842,"")</f>
        <v>0.4178424092409242</v>
      </c>
      <c r="Z842" s="23">
        <v>0</v>
      </c>
      <c r="AA842" s="25">
        <v>0</v>
      </c>
      <c r="AB842" s="24">
        <v>0</v>
      </c>
      <c r="AC842" s="24">
        <f t="shared" si="257"/>
        <v>0</v>
      </c>
      <c r="AD842" s="53" t="str">
        <f t="shared" si="258"/>
        <v/>
      </c>
      <c r="AE842" s="10"/>
    </row>
    <row r="843" spans="1:31" x14ac:dyDescent="0.25">
      <c r="A843" s="14" t="s">
        <v>109</v>
      </c>
      <c r="C843" s="61" t="str">
        <f t="shared" si="256"/>
        <v>C100059</v>
      </c>
      <c r="F843" s="8" t="str">
        <f>"E100013"</f>
        <v>E100013</v>
      </c>
      <c r="G843" s="9" t="str">
        <f>"Clip-on Stopwatch"</f>
        <v>Clip-on Stopwatch</v>
      </c>
      <c r="H843" s="47"/>
      <c r="I843" s="47"/>
      <c r="J843" s="23">
        <v>0</v>
      </c>
      <c r="K843" s="25">
        <v>0</v>
      </c>
      <c r="L843" s="24">
        <v>0</v>
      </c>
      <c r="M843" s="24">
        <f>J843-L843</f>
        <v>0</v>
      </c>
      <c r="N843" s="53" t="str">
        <f>IF(J843&lt;&gt;0,M843/J843,"")</f>
        <v/>
      </c>
      <c r="O843" s="23">
        <v>767.08</v>
      </c>
      <c r="P843" s="25">
        <v>288</v>
      </c>
      <c r="Q843" s="24">
        <v>414.7</v>
      </c>
      <c r="R843" s="24">
        <f>O843-Q843</f>
        <v>352.38000000000005</v>
      </c>
      <c r="S843" s="53">
        <f>IF(O843&lt;&gt;0,R843/O843,"")</f>
        <v>0.45937842206810248</v>
      </c>
      <c r="T843" s="10"/>
      <c r="U843" s="23">
        <v>361.68</v>
      </c>
      <c r="V843" s="25">
        <v>144</v>
      </c>
      <c r="W843" s="24">
        <v>207.35</v>
      </c>
      <c r="X843" s="24">
        <f>U843-W843</f>
        <v>154.33000000000001</v>
      </c>
      <c r="Y843" s="53">
        <f>IF(U843&lt;&gt;0,X843/U843,"")</f>
        <v>0.42670316301703165</v>
      </c>
      <c r="Z843" s="23">
        <v>0</v>
      </c>
      <c r="AA843" s="25">
        <v>0</v>
      </c>
      <c r="AB843" s="24">
        <v>0</v>
      </c>
      <c r="AC843" s="24">
        <f t="shared" si="257"/>
        <v>0</v>
      </c>
      <c r="AD843" s="53" t="str">
        <f t="shared" si="258"/>
        <v/>
      </c>
      <c r="AE843" s="10"/>
    </row>
    <row r="844" spans="1:31" x14ac:dyDescent="0.25">
      <c r="A844" s="14" t="s">
        <v>109</v>
      </c>
      <c r="C844" s="61" t="str">
        <f t="shared" si="256"/>
        <v>C100059</v>
      </c>
      <c r="F844" s="8" t="str">
        <f>"E100014"</f>
        <v>E100014</v>
      </c>
      <c r="G844" s="9" t="str">
        <f>"Stopwatch with Neck Rope"</f>
        <v>Stopwatch with Neck Rope</v>
      </c>
      <c r="H844" s="47"/>
      <c r="I844" s="47"/>
      <c r="J844" s="23">
        <v>2.4700000000000002</v>
      </c>
      <c r="K844" s="25">
        <v>1</v>
      </c>
      <c r="L844" s="24">
        <v>1.29</v>
      </c>
      <c r="M844" s="24">
        <f>J844-L844</f>
        <v>1.1800000000000002</v>
      </c>
      <c r="N844" s="53">
        <f>IF(J844&lt;&gt;0,M844/J844,"")</f>
        <v>0.47773279352226722</v>
      </c>
      <c r="O844" s="23">
        <v>0</v>
      </c>
      <c r="P844" s="25">
        <v>0</v>
      </c>
      <c r="Q844" s="24">
        <v>0</v>
      </c>
      <c r="R844" s="24">
        <f>O844-Q844</f>
        <v>0</v>
      </c>
      <c r="S844" s="53" t="str">
        <f>IF(O844&lt;&gt;0,R844/O844,"")</f>
        <v/>
      </c>
      <c r="T844" s="10"/>
      <c r="U844" s="23">
        <v>0</v>
      </c>
      <c r="V844" s="25">
        <v>0</v>
      </c>
      <c r="W844" s="24">
        <v>0</v>
      </c>
      <c r="X844" s="24">
        <f>U844-W844</f>
        <v>0</v>
      </c>
      <c r="Y844" s="53" t="str">
        <f>IF(U844&lt;&gt;0,X844/U844,"")</f>
        <v/>
      </c>
      <c r="Z844" s="23">
        <v>0</v>
      </c>
      <c r="AA844" s="25">
        <v>0</v>
      </c>
      <c r="AB844" s="24">
        <v>0</v>
      </c>
      <c r="AC844" s="24">
        <f t="shared" si="257"/>
        <v>0</v>
      </c>
      <c r="AD844" s="53" t="str">
        <f t="shared" si="258"/>
        <v/>
      </c>
      <c r="AE844" s="10"/>
    </row>
    <row r="845" spans="1:31" x14ac:dyDescent="0.25">
      <c r="A845" s="14" t="s">
        <v>109</v>
      </c>
      <c r="C845" s="61" t="str">
        <f t="shared" si="256"/>
        <v>C100059</v>
      </c>
      <c r="F845" s="8" t="str">
        <f>"E100017"</f>
        <v>E100017</v>
      </c>
      <c r="G845" s="9" t="str">
        <f>"Clip-on Clock with Compass"</f>
        <v>Clip-on Clock with Compass</v>
      </c>
      <c r="H845" s="47"/>
      <c r="I845" s="47"/>
      <c r="J845" s="23">
        <v>213.36</v>
      </c>
      <c r="K845" s="25">
        <v>144</v>
      </c>
      <c r="L845" s="24">
        <v>126.72</v>
      </c>
      <c r="M845" s="24">
        <f>J845-L845</f>
        <v>86.640000000000015</v>
      </c>
      <c r="N845" s="53">
        <f>IF(J845&lt;&gt;0,M845/J845,"")</f>
        <v>0.40607424071991005</v>
      </c>
      <c r="O845" s="23">
        <v>288.24</v>
      </c>
      <c r="P845" s="25">
        <v>192</v>
      </c>
      <c r="Q845" s="24">
        <v>168.96</v>
      </c>
      <c r="R845" s="24">
        <f>O845-Q845</f>
        <v>119.28</v>
      </c>
      <c r="S845" s="53">
        <f>IF(O845&lt;&gt;0,R845/O845,"")</f>
        <v>0.41382181515403832</v>
      </c>
      <c r="T845" s="10"/>
      <c r="U845" s="23">
        <v>0</v>
      </c>
      <c r="V845" s="25">
        <v>0</v>
      </c>
      <c r="W845" s="24">
        <v>0</v>
      </c>
      <c r="X845" s="24">
        <f>U845-W845</f>
        <v>0</v>
      </c>
      <c r="Y845" s="53" t="str">
        <f>IF(U845&lt;&gt;0,X845/U845,"")</f>
        <v/>
      </c>
      <c r="Z845" s="23">
        <v>209.66</v>
      </c>
      <c r="AA845" s="25">
        <v>143</v>
      </c>
      <c r="AB845" s="24">
        <v>125.84</v>
      </c>
      <c r="AC845" s="24">
        <f t="shared" si="257"/>
        <v>83.82</v>
      </c>
      <c r="AD845" s="53">
        <f t="shared" si="258"/>
        <v>0.3997901364113326</v>
      </c>
      <c r="AE845" s="10"/>
    </row>
    <row r="846" spans="1:31" x14ac:dyDescent="0.25">
      <c r="A846" s="14" t="s">
        <v>109</v>
      </c>
      <c r="C846" s="61" t="str">
        <f t="shared" si="256"/>
        <v>C100059</v>
      </c>
      <c r="F846" s="8" t="str">
        <f>"E100018"</f>
        <v>E100018</v>
      </c>
      <c r="G846" s="9" t="str">
        <f>"Flexi-Clock &amp; Clip"</f>
        <v>Flexi-Clock &amp; Clip</v>
      </c>
      <c r="H846" s="47"/>
      <c r="I846" s="47"/>
      <c r="J846" s="23">
        <v>5.01</v>
      </c>
      <c r="K846" s="25">
        <v>5</v>
      </c>
      <c r="L846" s="24">
        <v>3</v>
      </c>
      <c r="M846" s="24">
        <f>J846-L846</f>
        <v>2.0099999999999998</v>
      </c>
      <c r="N846" s="53">
        <f>IF(J846&lt;&gt;0,M846/J846,"")</f>
        <v>0.40119760479041916</v>
      </c>
      <c r="O846" s="23">
        <v>315.62</v>
      </c>
      <c r="P846" s="25">
        <v>288</v>
      </c>
      <c r="Q846" s="24">
        <v>172.77</v>
      </c>
      <c r="R846" s="24">
        <f>O846-Q846</f>
        <v>142.85</v>
      </c>
      <c r="S846" s="53">
        <f>IF(O846&lt;&gt;0,R846/O846,"")</f>
        <v>0.45260122932640512</v>
      </c>
      <c r="T846" s="10"/>
      <c r="U846" s="23">
        <v>0</v>
      </c>
      <c r="V846" s="25">
        <v>0</v>
      </c>
      <c r="W846" s="24">
        <v>0</v>
      </c>
      <c r="X846" s="24">
        <f>U846-W846</f>
        <v>0</v>
      </c>
      <c r="Y846" s="53" t="str">
        <f>IF(U846&lt;&gt;0,X846/U846,"")</f>
        <v/>
      </c>
      <c r="Z846" s="23">
        <v>0</v>
      </c>
      <c r="AA846" s="25">
        <v>0</v>
      </c>
      <c r="AB846" s="24">
        <v>0</v>
      </c>
      <c r="AC846" s="24">
        <f t="shared" si="257"/>
        <v>0</v>
      </c>
      <c r="AD846" s="53" t="str">
        <f t="shared" si="258"/>
        <v/>
      </c>
      <c r="AE846" s="10"/>
    </row>
    <row r="847" spans="1:31" x14ac:dyDescent="0.25">
      <c r="A847" s="14" t="s">
        <v>109</v>
      </c>
      <c r="C847" s="61" t="str">
        <f t="shared" si="256"/>
        <v>C100059</v>
      </c>
      <c r="F847" s="8" t="str">
        <f>"S100001"</f>
        <v>S100001</v>
      </c>
      <c r="G847" s="9" t="str">
        <f>"Basketball Graphic Plaque"</f>
        <v>Basketball Graphic Plaque</v>
      </c>
      <c r="H847" s="47"/>
      <c r="I847" s="47"/>
      <c r="J847" s="23">
        <v>2290.06</v>
      </c>
      <c r="K847" s="25">
        <v>144</v>
      </c>
      <c r="L847" s="24">
        <v>1310.4000000000001</v>
      </c>
      <c r="M847" s="24">
        <f>J847-L847</f>
        <v>979.65999999999985</v>
      </c>
      <c r="N847" s="53">
        <f>IF(J847&lt;&gt;0,M847/J847,"")</f>
        <v>0.42778791822048323</v>
      </c>
      <c r="O847" s="23">
        <v>0</v>
      </c>
      <c r="P847" s="25">
        <v>0</v>
      </c>
      <c r="Q847" s="24">
        <v>0</v>
      </c>
      <c r="R847" s="24">
        <f>O847-Q847</f>
        <v>0</v>
      </c>
      <c r="S847" s="53" t="str">
        <f>IF(O847&lt;&gt;0,R847/O847,"")</f>
        <v/>
      </c>
      <c r="T847" s="10"/>
      <c r="U847" s="23">
        <v>0</v>
      </c>
      <c r="V847" s="25">
        <v>0</v>
      </c>
      <c r="W847" s="24">
        <v>0</v>
      </c>
      <c r="X847" s="24">
        <f>U847-W847</f>
        <v>0</v>
      </c>
      <c r="Y847" s="53" t="str">
        <f>IF(U847&lt;&gt;0,X847/U847,"")</f>
        <v/>
      </c>
      <c r="Z847" s="23">
        <v>763.34999999999991</v>
      </c>
      <c r="AA847" s="25">
        <v>48</v>
      </c>
      <c r="AB847" s="24">
        <v>436.8</v>
      </c>
      <c r="AC847" s="24">
        <f t="shared" si="257"/>
        <v>326.5499999999999</v>
      </c>
      <c r="AD847" s="53">
        <f t="shared" si="258"/>
        <v>0.42778541953232452</v>
      </c>
      <c r="AE847" s="10"/>
    </row>
    <row r="848" spans="1:31" x14ac:dyDescent="0.25">
      <c r="A848" s="14" t="s">
        <v>109</v>
      </c>
      <c r="C848" s="61" t="str">
        <f t="shared" si="256"/>
        <v>C100059</v>
      </c>
      <c r="F848" s="8" t="str">
        <f>"S100003"</f>
        <v>S100003</v>
      </c>
      <c r="G848" s="9" t="str">
        <f>"Soccer #1 Pin"</f>
        <v>Soccer #1 Pin</v>
      </c>
      <c r="H848" s="47"/>
      <c r="I848" s="47"/>
      <c r="J848" s="23">
        <v>17.09</v>
      </c>
      <c r="K848" s="25">
        <v>12</v>
      </c>
      <c r="L848" s="24">
        <v>10.8</v>
      </c>
      <c r="M848" s="24">
        <f>J848-L848</f>
        <v>6.2899999999999991</v>
      </c>
      <c r="N848" s="53">
        <f>IF(J848&lt;&gt;0,M848/J848,"")</f>
        <v>0.36805149210064358</v>
      </c>
      <c r="O848" s="23">
        <v>210.95999999999998</v>
      </c>
      <c r="P848" s="25">
        <v>145</v>
      </c>
      <c r="Q848" s="24">
        <v>130.5</v>
      </c>
      <c r="R848" s="24">
        <f>O848-Q848</f>
        <v>80.45999999999998</v>
      </c>
      <c r="S848" s="53">
        <f>IF(O848&lt;&gt;0,R848/O848,"")</f>
        <v>0.3813993174061433</v>
      </c>
      <c r="T848" s="10"/>
      <c r="U848" s="23">
        <v>0</v>
      </c>
      <c r="V848" s="25">
        <v>0</v>
      </c>
      <c r="W848" s="24">
        <v>0</v>
      </c>
      <c r="X848" s="24">
        <f>U848-W848</f>
        <v>0</v>
      </c>
      <c r="Y848" s="53" t="str">
        <f>IF(U848&lt;&gt;0,X848/U848,"")</f>
        <v/>
      </c>
      <c r="Z848" s="23">
        <v>-1.41</v>
      </c>
      <c r="AA848" s="25">
        <v>-1</v>
      </c>
      <c r="AB848" s="24">
        <v>-0.9</v>
      </c>
      <c r="AC848" s="24">
        <f t="shared" si="257"/>
        <v>-0.5099999999999999</v>
      </c>
      <c r="AD848" s="53">
        <f t="shared" si="258"/>
        <v>0.36170212765957444</v>
      </c>
      <c r="AE848" s="10"/>
    </row>
    <row r="849" spans="1:31" x14ac:dyDescent="0.25">
      <c r="A849" s="14" t="s">
        <v>109</v>
      </c>
      <c r="C849" s="61" t="str">
        <f t="shared" si="256"/>
        <v>C100059</v>
      </c>
      <c r="F849" s="8" t="str">
        <f>"S100006"</f>
        <v>S100006</v>
      </c>
      <c r="G849" s="9" t="str">
        <f>"Award Medallian - 3''"</f>
        <v>Award Medallian - 3''</v>
      </c>
      <c r="H849" s="47"/>
      <c r="I849" s="47"/>
      <c r="J849" s="23">
        <v>0</v>
      </c>
      <c r="K849" s="25">
        <v>0</v>
      </c>
      <c r="L849" s="24">
        <v>0</v>
      </c>
      <c r="M849" s="24">
        <f>J849-L849</f>
        <v>0</v>
      </c>
      <c r="N849" s="53" t="str">
        <f>IF(J849&lt;&gt;0,M849/J849,"")</f>
        <v/>
      </c>
      <c r="O849" s="23">
        <v>1592.29</v>
      </c>
      <c r="P849" s="25">
        <v>144</v>
      </c>
      <c r="Q849" s="24">
        <v>1065.5900000000001</v>
      </c>
      <c r="R849" s="24">
        <f>O849-Q849</f>
        <v>526.69999999999982</v>
      </c>
      <c r="S849" s="53">
        <f>IF(O849&lt;&gt;0,R849/O849,"")</f>
        <v>0.33078145312725687</v>
      </c>
      <c r="T849" s="10"/>
      <c r="U849" s="23">
        <v>0</v>
      </c>
      <c r="V849" s="25">
        <v>0</v>
      </c>
      <c r="W849" s="24">
        <v>0</v>
      </c>
      <c r="X849" s="24">
        <f>U849-W849</f>
        <v>0</v>
      </c>
      <c r="Y849" s="53" t="str">
        <f>IF(U849&lt;&gt;0,X849/U849,"")</f>
        <v/>
      </c>
      <c r="Z849" s="23">
        <v>1559.46</v>
      </c>
      <c r="AA849" s="25">
        <v>144</v>
      </c>
      <c r="AB849" s="24">
        <v>1065.5900000000001</v>
      </c>
      <c r="AC849" s="24">
        <f t="shared" si="257"/>
        <v>493.86999999999989</v>
      </c>
      <c r="AD849" s="53">
        <f t="shared" si="258"/>
        <v>0.31669295781873202</v>
      </c>
      <c r="AE849" s="10"/>
    </row>
    <row r="850" spans="1:31" x14ac:dyDescent="0.25">
      <c r="A850" s="14" t="s">
        <v>109</v>
      </c>
      <c r="C850" s="61" t="str">
        <f t="shared" si="256"/>
        <v>C100059</v>
      </c>
      <c r="F850" s="8" t="str">
        <f>"S100007"</f>
        <v>S100007</v>
      </c>
      <c r="G850" s="9" t="str">
        <f>"Baseball Figure Trophy"</f>
        <v>Baseball Figure Trophy</v>
      </c>
      <c r="H850" s="47"/>
      <c r="I850" s="47"/>
      <c r="J850" s="23">
        <v>2104.7200000000003</v>
      </c>
      <c r="K850" s="25">
        <v>300</v>
      </c>
      <c r="L850" s="24">
        <v>1104</v>
      </c>
      <c r="M850" s="24">
        <f>J850-L850</f>
        <v>1000.7200000000003</v>
      </c>
      <c r="N850" s="53">
        <f>IF(J850&lt;&gt;0,M850/J850,"")</f>
        <v>0.47546466988483033</v>
      </c>
      <c r="O850" s="23">
        <v>0</v>
      </c>
      <c r="P850" s="25">
        <v>0</v>
      </c>
      <c r="Q850" s="24">
        <v>0</v>
      </c>
      <c r="R850" s="24">
        <f>O850-Q850</f>
        <v>0</v>
      </c>
      <c r="S850" s="53" t="str">
        <f>IF(O850&lt;&gt;0,R850/O850,"")</f>
        <v/>
      </c>
      <c r="T850" s="10"/>
      <c r="U850" s="23">
        <v>0</v>
      </c>
      <c r="V850" s="25">
        <v>0</v>
      </c>
      <c r="W850" s="24">
        <v>0</v>
      </c>
      <c r="X850" s="24">
        <f>U850-W850</f>
        <v>0</v>
      </c>
      <c r="Y850" s="53" t="str">
        <f>IF(U850&lt;&gt;0,X850/U850,"")</f>
        <v/>
      </c>
      <c r="Z850" s="23">
        <v>0</v>
      </c>
      <c r="AA850" s="25">
        <v>0</v>
      </c>
      <c r="AB850" s="24">
        <v>0</v>
      </c>
      <c r="AC850" s="24">
        <f t="shared" si="257"/>
        <v>0</v>
      </c>
      <c r="AD850" s="53" t="str">
        <f t="shared" si="258"/>
        <v/>
      </c>
      <c r="AE850" s="10"/>
    </row>
    <row r="851" spans="1:31" x14ac:dyDescent="0.25">
      <c r="A851" s="14" t="s">
        <v>109</v>
      </c>
      <c r="C851" s="61" t="str">
        <f t="shared" si="256"/>
        <v>C100059</v>
      </c>
      <c r="F851" s="8" t="str">
        <f>"S100008"</f>
        <v>S100008</v>
      </c>
      <c r="G851" s="9" t="str">
        <f>"Soccer Figure Trophy"</f>
        <v>Soccer Figure Trophy</v>
      </c>
      <c r="H851" s="47"/>
      <c r="I851" s="47"/>
      <c r="J851" s="23">
        <v>767.15</v>
      </c>
      <c r="K851" s="25">
        <v>144</v>
      </c>
      <c r="L851" s="24">
        <v>529.91999999999996</v>
      </c>
      <c r="M851" s="24">
        <f>J851-L851</f>
        <v>237.23000000000002</v>
      </c>
      <c r="N851" s="53">
        <f>IF(J851&lt;&gt;0,M851/J851,"")</f>
        <v>0.30923548197875256</v>
      </c>
      <c r="O851" s="23">
        <v>0</v>
      </c>
      <c r="P851" s="25">
        <v>0</v>
      </c>
      <c r="Q851" s="24">
        <v>0</v>
      </c>
      <c r="R851" s="24">
        <f>O851-Q851</f>
        <v>0</v>
      </c>
      <c r="S851" s="53" t="str">
        <f>IF(O851&lt;&gt;0,R851/O851,"")</f>
        <v/>
      </c>
      <c r="T851" s="10"/>
      <c r="U851" s="23">
        <v>0</v>
      </c>
      <c r="V851" s="25">
        <v>0</v>
      </c>
      <c r="W851" s="24">
        <v>0</v>
      </c>
      <c r="X851" s="24">
        <f>U851-W851</f>
        <v>0</v>
      </c>
      <c r="Y851" s="53" t="str">
        <f>IF(U851&lt;&gt;0,X851/U851,"")</f>
        <v/>
      </c>
      <c r="Z851" s="23">
        <v>0</v>
      </c>
      <c r="AA851" s="25">
        <v>0</v>
      </c>
      <c r="AB851" s="24">
        <v>0</v>
      </c>
      <c r="AC851" s="24">
        <f t="shared" si="257"/>
        <v>0</v>
      </c>
      <c r="AD851" s="53" t="str">
        <f t="shared" si="258"/>
        <v/>
      </c>
      <c r="AE851" s="10"/>
    </row>
    <row r="852" spans="1:31" x14ac:dyDescent="0.25">
      <c r="A852" s="14" t="s">
        <v>109</v>
      </c>
      <c r="C852" s="61" t="str">
        <f t="shared" si="256"/>
        <v>C100059</v>
      </c>
      <c r="F852" s="8" t="str">
        <f>"S100010"</f>
        <v>S100010</v>
      </c>
      <c r="G852" s="9" t="str">
        <f>"Golf Relaxed Cap"</f>
        <v>Golf Relaxed Cap</v>
      </c>
      <c r="H852" s="47"/>
      <c r="I852" s="47"/>
      <c r="J852" s="23">
        <v>0</v>
      </c>
      <c r="K852" s="25">
        <v>0</v>
      </c>
      <c r="L852" s="24">
        <v>0</v>
      </c>
      <c r="M852" s="24">
        <f>J852-L852</f>
        <v>0</v>
      </c>
      <c r="N852" s="53" t="str">
        <f>IF(J852&lt;&gt;0,M852/J852,"")</f>
        <v/>
      </c>
      <c r="O852" s="23">
        <v>474.15</v>
      </c>
      <c r="P852" s="25">
        <v>48</v>
      </c>
      <c r="Q852" s="24">
        <v>292.32</v>
      </c>
      <c r="R852" s="24">
        <f>O852-Q852</f>
        <v>181.82999999999998</v>
      </c>
      <c r="S852" s="53">
        <f>IF(O852&lt;&gt;0,R852/O852,"")</f>
        <v>0.38348623853211006</v>
      </c>
      <c r="T852" s="10"/>
      <c r="U852" s="23">
        <v>0</v>
      </c>
      <c r="V852" s="25">
        <v>0</v>
      </c>
      <c r="W852" s="24">
        <v>0</v>
      </c>
      <c r="X852" s="24">
        <f>U852-W852</f>
        <v>0</v>
      </c>
      <c r="Y852" s="53" t="str">
        <f>IF(U852&lt;&gt;0,X852/U852,"")</f>
        <v/>
      </c>
      <c r="Z852" s="23">
        <v>1392.83</v>
      </c>
      <c r="AA852" s="25">
        <v>144</v>
      </c>
      <c r="AB852" s="24">
        <v>876.97</v>
      </c>
      <c r="AC852" s="24">
        <f t="shared" si="257"/>
        <v>515.8599999999999</v>
      </c>
      <c r="AD852" s="53">
        <f t="shared" si="258"/>
        <v>0.37036824307345473</v>
      </c>
      <c r="AE852" s="10"/>
    </row>
    <row r="853" spans="1:31" x14ac:dyDescent="0.25">
      <c r="A853" s="14" t="s">
        <v>109</v>
      </c>
      <c r="C853" s="61" t="str">
        <f t="shared" si="256"/>
        <v>C100059</v>
      </c>
      <c r="F853" s="8" t="str">
        <f>"S100011"</f>
        <v>S100011</v>
      </c>
      <c r="G853" s="9" t="str">
        <f>"All Star Cap"</f>
        <v>All Star Cap</v>
      </c>
      <c r="H853" s="47"/>
      <c r="I853" s="47"/>
      <c r="J853" s="23">
        <v>198.44</v>
      </c>
      <c r="K853" s="25">
        <v>144</v>
      </c>
      <c r="L853" s="24">
        <v>122.41</v>
      </c>
      <c r="M853" s="24">
        <f>J853-L853</f>
        <v>76.03</v>
      </c>
      <c r="N853" s="53">
        <f>IF(J853&lt;&gt;0,M853/J853,"")</f>
        <v>0.38313848014513202</v>
      </c>
      <c r="O853" s="23">
        <v>202.61999999999998</v>
      </c>
      <c r="P853" s="25">
        <v>144</v>
      </c>
      <c r="Q853" s="24">
        <v>122.41</v>
      </c>
      <c r="R853" s="24">
        <f>O853-Q853</f>
        <v>80.20999999999998</v>
      </c>
      <c r="S853" s="53">
        <f>IF(O853&lt;&gt;0,R853/O853,"")</f>
        <v>0.39586417925180134</v>
      </c>
      <c r="T853" s="10"/>
      <c r="U853" s="23">
        <v>190.08</v>
      </c>
      <c r="V853" s="25">
        <v>144</v>
      </c>
      <c r="W853" s="24">
        <v>122.41</v>
      </c>
      <c r="X853" s="24">
        <f>U853-W853</f>
        <v>67.670000000000016</v>
      </c>
      <c r="Y853" s="53">
        <f>IF(U853&lt;&gt;0,X853/U853,"")</f>
        <v>0.3560079966329967</v>
      </c>
      <c r="Z853" s="23">
        <v>376.32</v>
      </c>
      <c r="AA853" s="25">
        <v>276</v>
      </c>
      <c r="AB853" s="24">
        <v>234.61</v>
      </c>
      <c r="AC853" s="24">
        <f t="shared" si="257"/>
        <v>141.70999999999998</v>
      </c>
      <c r="AD853" s="53">
        <f t="shared" si="258"/>
        <v>0.37656781462585032</v>
      </c>
      <c r="AE853" s="10"/>
    </row>
    <row r="854" spans="1:31" x14ac:dyDescent="0.25">
      <c r="A854" s="14" t="s">
        <v>109</v>
      </c>
      <c r="C854" s="61" t="str">
        <f t="shared" si="256"/>
        <v>C100059</v>
      </c>
      <c r="F854" s="8" t="str">
        <f>"S100012"</f>
        <v>S100012</v>
      </c>
      <c r="G854" s="9" t="str">
        <f>"Raw-Edge Patch BALL CAP"</f>
        <v>Raw-Edge Patch BALL CAP</v>
      </c>
      <c r="H854" s="47"/>
      <c r="I854" s="47"/>
      <c r="J854" s="23">
        <v>0</v>
      </c>
      <c r="K854" s="25">
        <v>0</v>
      </c>
      <c r="L854" s="24">
        <v>0</v>
      </c>
      <c r="M854" s="24">
        <f>J854-L854</f>
        <v>0</v>
      </c>
      <c r="N854" s="53" t="str">
        <f>IF(J854&lt;&gt;0,M854/J854,"")</f>
        <v/>
      </c>
      <c r="O854" s="23">
        <v>3156.38</v>
      </c>
      <c r="P854" s="25">
        <v>312</v>
      </c>
      <c r="Q854" s="24">
        <v>1750.32</v>
      </c>
      <c r="R854" s="24">
        <f>O854-Q854</f>
        <v>1406.0600000000002</v>
      </c>
      <c r="S854" s="53">
        <f>IF(O854&lt;&gt;0,R854/O854,"")</f>
        <v>0.44546600852875767</v>
      </c>
      <c r="T854" s="10"/>
      <c r="U854" s="23">
        <v>0</v>
      </c>
      <c r="V854" s="25">
        <v>0</v>
      </c>
      <c r="W854" s="24">
        <v>0</v>
      </c>
      <c r="X854" s="24">
        <f>U854-W854</f>
        <v>0</v>
      </c>
      <c r="Y854" s="53" t="str">
        <f>IF(U854&lt;&gt;0,X854/U854,"")</f>
        <v/>
      </c>
      <c r="Z854" s="23">
        <v>0</v>
      </c>
      <c r="AA854" s="25">
        <v>0</v>
      </c>
      <c r="AB854" s="24">
        <v>0</v>
      </c>
      <c r="AC854" s="24">
        <f t="shared" si="257"/>
        <v>0</v>
      </c>
      <c r="AD854" s="53" t="str">
        <f t="shared" si="258"/>
        <v/>
      </c>
      <c r="AE854" s="10"/>
    </row>
    <row r="855" spans="1:31" x14ac:dyDescent="0.25">
      <c r="A855" s="14" t="s">
        <v>109</v>
      </c>
      <c r="C855" s="61" t="str">
        <f t="shared" si="256"/>
        <v>C100059</v>
      </c>
      <c r="F855" s="8" t="str">
        <f>"S100013"</f>
        <v>S100013</v>
      </c>
      <c r="G855" s="9" t="str">
        <f>"Mesh BALL CAP"</f>
        <v>Mesh BALL CAP</v>
      </c>
      <c r="H855" s="47"/>
      <c r="I855" s="47"/>
      <c r="J855" s="23">
        <v>0</v>
      </c>
      <c r="K855" s="25">
        <v>0</v>
      </c>
      <c r="L855" s="24">
        <v>0</v>
      </c>
      <c r="M855" s="24">
        <f>J855-L855</f>
        <v>0</v>
      </c>
      <c r="N855" s="53" t="str">
        <f>IF(J855&lt;&gt;0,M855/J855,"")</f>
        <v/>
      </c>
      <c r="O855" s="23">
        <v>921.82</v>
      </c>
      <c r="P855" s="25">
        <v>144</v>
      </c>
      <c r="Q855" s="24">
        <v>495.37</v>
      </c>
      <c r="R855" s="24">
        <f>O855-Q855</f>
        <v>426.45000000000005</v>
      </c>
      <c r="S855" s="53">
        <f>IF(O855&lt;&gt;0,R855/O855,"")</f>
        <v>0.46261743073485062</v>
      </c>
      <c r="T855" s="10"/>
      <c r="U855" s="23">
        <v>0</v>
      </c>
      <c r="V855" s="25">
        <v>0</v>
      </c>
      <c r="W855" s="24">
        <v>0</v>
      </c>
      <c r="X855" s="24">
        <f>U855-W855</f>
        <v>0</v>
      </c>
      <c r="Y855" s="53" t="str">
        <f>IF(U855&lt;&gt;0,X855/U855,"")</f>
        <v/>
      </c>
      <c r="Z855" s="23">
        <v>902.80000000000007</v>
      </c>
      <c r="AA855" s="25">
        <v>144</v>
      </c>
      <c r="AB855" s="24">
        <v>495.37</v>
      </c>
      <c r="AC855" s="24">
        <f t="shared" si="257"/>
        <v>407.43000000000006</v>
      </c>
      <c r="AD855" s="53">
        <f t="shared" si="258"/>
        <v>0.45129596809924682</v>
      </c>
      <c r="AE855" s="10"/>
    </row>
    <row r="856" spans="1:31" x14ac:dyDescent="0.25">
      <c r="A856" s="14" t="s">
        <v>109</v>
      </c>
      <c r="C856" s="61" t="str">
        <f t="shared" si="256"/>
        <v>C100059</v>
      </c>
      <c r="F856" s="8" t="str">
        <f>"S100014"</f>
        <v>S100014</v>
      </c>
      <c r="G856" s="9" t="str">
        <f>"Chunky Knit Hat"</f>
        <v>Chunky Knit Hat</v>
      </c>
      <c r="H856" s="47"/>
      <c r="I856" s="47"/>
      <c r="J856" s="23">
        <v>0</v>
      </c>
      <c r="K856" s="25">
        <v>0</v>
      </c>
      <c r="L856" s="24">
        <v>0</v>
      </c>
      <c r="M856" s="24">
        <f>J856-L856</f>
        <v>0</v>
      </c>
      <c r="N856" s="53" t="str">
        <f>IF(J856&lt;&gt;0,M856/J856,"")</f>
        <v/>
      </c>
      <c r="O856" s="23">
        <v>4548.7699999999995</v>
      </c>
      <c r="P856" s="25">
        <v>480</v>
      </c>
      <c r="Q856" s="24">
        <v>2476.7599999999998</v>
      </c>
      <c r="R856" s="24">
        <f>O856-Q856</f>
        <v>2072.0099999999998</v>
      </c>
      <c r="S856" s="53">
        <f>IF(O856&lt;&gt;0,R856/O856,"")</f>
        <v>0.45550995104171016</v>
      </c>
      <c r="T856" s="10"/>
      <c r="U856" s="23">
        <v>0</v>
      </c>
      <c r="V856" s="25">
        <v>0</v>
      </c>
      <c r="W856" s="24">
        <v>0</v>
      </c>
      <c r="X856" s="24">
        <f>U856-W856</f>
        <v>0</v>
      </c>
      <c r="Y856" s="53" t="str">
        <f>IF(U856&lt;&gt;0,X856/U856,"")</f>
        <v/>
      </c>
      <c r="Z856" s="23">
        <v>0</v>
      </c>
      <c r="AA856" s="25">
        <v>0</v>
      </c>
      <c r="AB856" s="24">
        <v>0</v>
      </c>
      <c r="AC856" s="24">
        <f t="shared" si="257"/>
        <v>0</v>
      </c>
      <c r="AD856" s="53" t="str">
        <f t="shared" si="258"/>
        <v/>
      </c>
      <c r="AE856" s="10"/>
    </row>
    <row r="857" spans="1:31" x14ac:dyDescent="0.25">
      <c r="A857" s="14" t="s">
        <v>109</v>
      </c>
      <c r="C857" s="61" t="str">
        <f t="shared" si="256"/>
        <v>C100059</v>
      </c>
      <c r="F857" s="8" t="str">
        <f>"S100015"</f>
        <v>S100015</v>
      </c>
      <c r="G857" s="9" t="str">
        <f>"Raw-Edge Bucket Hat"</f>
        <v>Raw-Edge Bucket Hat</v>
      </c>
      <c r="H857" s="47"/>
      <c r="I857" s="47"/>
      <c r="J857" s="23">
        <v>1010.94</v>
      </c>
      <c r="K857" s="25">
        <v>144</v>
      </c>
      <c r="L857" s="24">
        <v>524.17000000000007</v>
      </c>
      <c r="M857" s="24">
        <f>J857-L857</f>
        <v>486.77</v>
      </c>
      <c r="N857" s="53">
        <f>IF(J857&lt;&gt;0,M857/J857,"")</f>
        <v>0.48150236413634828</v>
      </c>
      <c r="O857" s="23">
        <v>0</v>
      </c>
      <c r="P857" s="25">
        <v>0</v>
      </c>
      <c r="Q857" s="24">
        <v>0</v>
      </c>
      <c r="R857" s="24">
        <f>O857-Q857</f>
        <v>0</v>
      </c>
      <c r="S857" s="53" t="str">
        <f>IF(O857&lt;&gt;0,R857/O857,"")</f>
        <v/>
      </c>
      <c r="T857" s="10"/>
      <c r="U857" s="23">
        <v>0</v>
      </c>
      <c r="V857" s="25">
        <v>0</v>
      </c>
      <c r="W857" s="24">
        <v>0</v>
      </c>
      <c r="X857" s="24">
        <f>U857-W857</f>
        <v>0</v>
      </c>
      <c r="Y857" s="53" t="str">
        <f>IF(U857&lt;&gt;0,X857/U857,"")</f>
        <v/>
      </c>
      <c r="Z857" s="23">
        <v>958.62</v>
      </c>
      <c r="AA857" s="25">
        <v>138</v>
      </c>
      <c r="AB857" s="24">
        <v>502.33000000000004</v>
      </c>
      <c r="AC857" s="24">
        <f t="shared" si="257"/>
        <v>456.28999999999996</v>
      </c>
      <c r="AD857" s="53">
        <f t="shared" si="258"/>
        <v>0.4759863136592184</v>
      </c>
      <c r="AE857" s="10"/>
    </row>
    <row r="858" spans="1:31" x14ac:dyDescent="0.25">
      <c r="A858" s="14" t="s">
        <v>109</v>
      </c>
      <c r="C858" s="61" t="str">
        <f t="shared" si="256"/>
        <v>C100059</v>
      </c>
      <c r="F858" s="8" t="str">
        <f>"S100016"</f>
        <v>S100016</v>
      </c>
      <c r="G858" s="9" t="str">
        <f>"Mesh Bucket Hat"</f>
        <v>Mesh Bucket Hat</v>
      </c>
      <c r="H858" s="47"/>
      <c r="I858" s="47"/>
      <c r="J858" s="23">
        <v>645.39</v>
      </c>
      <c r="K858" s="25">
        <v>144</v>
      </c>
      <c r="L858" s="24">
        <v>396.01</v>
      </c>
      <c r="M858" s="24">
        <f>J858-L858</f>
        <v>249.38</v>
      </c>
      <c r="N858" s="53">
        <f>IF(J858&lt;&gt;0,M858/J858,"")</f>
        <v>0.38640202048373851</v>
      </c>
      <c r="O858" s="23">
        <v>0</v>
      </c>
      <c r="P858" s="25">
        <v>0</v>
      </c>
      <c r="Q858" s="24">
        <v>0</v>
      </c>
      <c r="R858" s="24">
        <f>O858-Q858</f>
        <v>0</v>
      </c>
      <c r="S858" s="53" t="str">
        <f>IF(O858&lt;&gt;0,R858/O858,"")</f>
        <v/>
      </c>
      <c r="T858" s="10"/>
      <c r="U858" s="23">
        <v>0</v>
      </c>
      <c r="V858" s="25">
        <v>0</v>
      </c>
      <c r="W858" s="24">
        <v>0</v>
      </c>
      <c r="X858" s="24">
        <f>U858-W858</f>
        <v>0</v>
      </c>
      <c r="Y858" s="53" t="str">
        <f>IF(U858&lt;&gt;0,X858/U858,"")</f>
        <v/>
      </c>
      <c r="Z858" s="23">
        <v>0</v>
      </c>
      <c r="AA858" s="25">
        <v>0</v>
      </c>
      <c r="AB858" s="24">
        <v>0</v>
      </c>
      <c r="AC858" s="24">
        <f t="shared" si="257"/>
        <v>0</v>
      </c>
      <c r="AD858" s="53" t="str">
        <f t="shared" si="258"/>
        <v/>
      </c>
      <c r="AE858" s="10"/>
    </row>
    <row r="859" spans="1:31" x14ac:dyDescent="0.25">
      <c r="A859" s="14" t="s">
        <v>109</v>
      </c>
      <c r="C859" s="61" t="str">
        <f t="shared" si="256"/>
        <v>C100059</v>
      </c>
      <c r="F859" s="8" t="str">
        <f>"S100017"</f>
        <v>S100017</v>
      </c>
      <c r="G859" s="9" t="str">
        <f>"Microfiber Bucket Hat"</f>
        <v>Microfiber Bucket Hat</v>
      </c>
      <c r="H859" s="47"/>
      <c r="I859" s="47"/>
      <c r="J859" s="23">
        <v>42.08</v>
      </c>
      <c r="K859" s="25">
        <v>6</v>
      </c>
      <c r="L859" s="24">
        <v>28.56</v>
      </c>
      <c r="M859" s="24">
        <f>J859-L859</f>
        <v>13.52</v>
      </c>
      <c r="N859" s="53">
        <f>IF(J859&lt;&gt;0,M859/J859,"")</f>
        <v>0.32129277566539927</v>
      </c>
      <c r="O859" s="23">
        <v>1020.3</v>
      </c>
      <c r="P859" s="25">
        <v>144</v>
      </c>
      <c r="Q859" s="24">
        <v>685.44</v>
      </c>
      <c r="R859" s="24">
        <f>O859-Q859</f>
        <v>334.8599999999999</v>
      </c>
      <c r="S859" s="53">
        <f>IF(O859&lt;&gt;0,R859/O859,"")</f>
        <v>0.32819758894442802</v>
      </c>
      <c r="T859" s="10"/>
      <c r="U859" s="23">
        <v>0</v>
      </c>
      <c r="V859" s="25">
        <v>0</v>
      </c>
      <c r="W859" s="24">
        <v>0</v>
      </c>
      <c r="X859" s="24">
        <f>U859-W859</f>
        <v>0</v>
      </c>
      <c r="Y859" s="53" t="str">
        <f>IF(U859&lt;&gt;0,X859/U859,"")</f>
        <v/>
      </c>
      <c r="Z859" s="23">
        <v>1009.67</v>
      </c>
      <c r="AA859" s="25">
        <v>144</v>
      </c>
      <c r="AB859" s="24">
        <v>685.44</v>
      </c>
      <c r="AC859" s="24">
        <f t="shared" si="257"/>
        <v>324.2299999999999</v>
      </c>
      <c r="AD859" s="53">
        <f t="shared" si="258"/>
        <v>0.32112472391969643</v>
      </c>
      <c r="AE859" s="10"/>
    </row>
    <row r="860" spans="1:31" x14ac:dyDescent="0.25">
      <c r="A860" s="14" t="s">
        <v>109</v>
      </c>
      <c r="C860" s="61" t="str">
        <f t="shared" si="256"/>
        <v>C100059</v>
      </c>
      <c r="F860" s="8" t="str">
        <f>"S100018"</f>
        <v>S100018</v>
      </c>
      <c r="G860" s="9" t="str">
        <f>"Crusher Bucket Hat"</f>
        <v>Crusher Bucket Hat</v>
      </c>
      <c r="H860" s="47"/>
      <c r="I860" s="47"/>
      <c r="J860" s="23">
        <v>0</v>
      </c>
      <c r="K860" s="25">
        <v>0</v>
      </c>
      <c r="L860" s="24">
        <v>0</v>
      </c>
      <c r="M860" s="24">
        <f>J860-L860</f>
        <v>0</v>
      </c>
      <c r="N860" s="53" t="str">
        <f>IF(J860&lt;&gt;0,M860/J860,"")</f>
        <v/>
      </c>
      <c r="O860" s="23">
        <v>1036.49</v>
      </c>
      <c r="P860" s="25">
        <v>144</v>
      </c>
      <c r="Q860" s="24">
        <v>504</v>
      </c>
      <c r="R860" s="24">
        <f>O860-Q860</f>
        <v>532.49</v>
      </c>
      <c r="S860" s="53">
        <f>IF(O860&lt;&gt;0,R860/O860,"")</f>
        <v>0.51374349969608968</v>
      </c>
      <c r="T860" s="10"/>
      <c r="U860" s="23">
        <v>0</v>
      </c>
      <c r="V860" s="25">
        <v>0</v>
      </c>
      <c r="W860" s="24">
        <v>0</v>
      </c>
      <c r="X860" s="24">
        <f>U860-W860</f>
        <v>0</v>
      </c>
      <c r="Y860" s="53" t="str">
        <f>IF(U860&lt;&gt;0,X860/U860,"")</f>
        <v/>
      </c>
      <c r="Z860" s="23">
        <v>1004.4300000000001</v>
      </c>
      <c r="AA860" s="25">
        <v>144</v>
      </c>
      <c r="AB860" s="24">
        <v>504</v>
      </c>
      <c r="AC860" s="24">
        <f t="shared" si="257"/>
        <v>500.43000000000006</v>
      </c>
      <c r="AD860" s="53">
        <f t="shared" si="258"/>
        <v>0.49822287267405396</v>
      </c>
      <c r="AE860" s="10"/>
    </row>
    <row r="861" spans="1:31" x14ac:dyDescent="0.25">
      <c r="A861" s="14" t="s">
        <v>109</v>
      </c>
      <c r="C861" s="61" t="str">
        <f t="shared" si="256"/>
        <v>C100059</v>
      </c>
      <c r="F861" s="8" t="str">
        <f>"S100019"</f>
        <v>S100019</v>
      </c>
      <c r="G861" s="9" t="str">
        <f>"Sportsman Bucket Hat"</f>
        <v>Sportsman Bucket Hat</v>
      </c>
      <c r="H861" s="47"/>
      <c r="I861" s="47"/>
      <c r="J861" s="23">
        <v>594.85</v>
      </c>
      <c r="K861" s="25">
        <v>144</v>
      </c>
      <c r="L861" s="24">
        <v>349.93</v>
      </c>
      <c r="M861" s="24">
        <f>J861-L861</f>
        <v>244.92000000000002</v>
      </c>
      <c r="N861" s="53">
        <f>IF(J861&lt;&gt;0,M861/J861,"")</f>
        <v>0.41173405060099183</v>
      </c>
      <c r="O861" s="23">
        <v>1275.6400000000001</v>
      </c>
      <c r="P861" s="25">
        <v>288</v>
      </c>
      <c r="Q861" s="24">
        <v>699.86</v>
      </c>
      <c r="R861" s="24">
        <f>O861-Q861</f>
        <v>575.78000000000009</v>
      </c>
      <c r="S861" s="53">
        <f>IF(O861&lt;&gt;0,R861/O861,"")</f>
        <v>0.45136558903765955</v>
      </c>
      <c r="T861" s="10"/>
      <c r="U861" s="23">
        <v>0</v>
      </c>
      <c r="V861" s="25">
        <v>0</v>
      </c>
      <c r="W861" s="24">
        <v>0</v>
      </c>
      <c r="X861" s="24">
        <f>U861-W861</f>
        <v>0</v>
      </c>
      <c r="Y861" s="53" t="str">
        <f>IF(U861&lt;&gt;0,X861/U861,"")</f>
        <v/>
      </c>
      <c r="Z861" s="23">
        <v>0</v>
      </c>
      <c r="AA861" s="25">
        <v>0</v>
      </c>
      <c r="AB861" s="24">
        <v>0</v>
      </c>
      <c r="AC861" s="24">
        <f t="shared" si="257"/>
        <v>0</v>
      </c>
      <c r="AD861" s="53" t="str">
        <f t="shared" si="258"/>
        <v/>
      </c>
      <c r="AE861" s="10"/>
    </row>
    <row r="862" spans="1:31" x14ac:dyDescent="0.25">
      <c r="A862" s="14" t="s">
        <v>109</v>
      </c>
      <c r="C862" s="61" t="str">
        <f t="shared" si="256"/>
        <v>C100059</v>
      </c>
      <c r="F862" s="8" t="str">
        <f>"S100020"</f>
        <v>S100020</v>
      </c>
      <c r="G862" s="9" t="str">
        <f>"Super Sport Stopwatch"</f>
        <v>Super Sport Stopwatch</v>
      </c>
      <c r="H862" s="47"/>
      <c r="I862" s="47"/>
      <c r="J862" s="23">
        <v>282.5</v>
      </c>
      <c r="K862" s="25">
        <v>144</v>
      </c>
      <c r="L862" s="24">
        <v>151.19999999999999</v>
      </c>
      <c r="M862" s="24">
        <f>J862-L862</f>
        <v>131.30000000000001</v>
      </c>
      <c r="N862" s="53">
        <f>IF(J862&lt;&gt;0,M862/J862,"")</f>
        <v>0.46477876106194693</v>
      </c>
      <c r="O862" s="23">
        <v>0</v>
      </c>
      <c r="P862" s="25">
        <v>0</v>
      </c>
      <c r="Q862" s="24">
        <v>0</v>
      </c>
      <c r="R862" s="24">
        <f>O862-Q862</f>
        <v>0</v>
      </c>
      <c r="S862" s="53" t="str">
        <f>IF(O862&lt;&gt;0,R862/O862,"")</f>
        <v/>
      </c>
      <c r="T862" s="10"/>
      <c r="U862" s="23">
        <v>285.64</v>
      </c>
      <c r="V862" s="25">
        <v>144</v>
      </c>
      <c r="W862" s="24">
        <v>151.19999999999999</v>
      </c>
      <c r="X862" s="24">
        <f>U862-W862</f>
        <v>134.44</v>
      </c>
      <c r="Y862" s="53">
        <f>IF(U862&lt;&gt;0,X862/U862,"")</f>
        <v>0.47066237221677637</v>
      </c>
      <c r="Z862" s="23">
        <v>0</v>
      </c>
      <c r="AA862" s="25">
        <v>0</v>
      </c>
      <c r="AB862" s="24">
        <v>0</v>
      </c>
      <c r="AC862" s="24">
        <f t="shared" si="257"/>
        <v>0</v>
      </c>
      <c r="AD862" s="53" t="str">
        <f t="shared" si="258"/>
        <v/>
      </c>
      <c r="AE862" s="10"/>
    </row>
    <row r="863" spans="1:31" x14ac:dyDescent="0.25">
      <c r="A863" s="14" t="s">
        <v>109</v>
      </c>
      <c r="C863" s="61" t="str">
        <f t="shared" si="256"/>
        <v>C100059</v>
      </c>
      <c r="F863" s="8" t="str">
        <f>"S100021"</f>
        <v>S100021</v>
      </c>
      <c r="G863" s="9" t="str">
        <f>"Translucent Stopwatch"</f>
        <v>Translucent Stopwatch</v>
      </c>
      <c r="H863" s="47"/>
      <c r="I863" s="47"/>
      <c r="J863" s="23">
        <v>189.21</v>
      </c>
      <c r="K863" s="25">
        <v>48</v>
      </c>
      <c r="L863" s="24">
        <v>103.2</v>
      </c>
      <c r="M863" s="24">
        <f>J863-L863</f>
        <v>86.01</v>
      </c>
      <c r="N863" s="53">
        <f>IF(J863&lt;&gt;0,M863/J863,"")</f>
        <v>0.45457428254320598</v>
      </c>
      <c r="O863" s="23">
        <v>0</v>
      </c>
      <c r="P863" s="25">
        <v>0</v>
      </c>
      <c r="Q863" s="24">
        <v>0</v>
      </c>
      <c r="R863" s="24">
        <f>O863-Q863</f>
        <v>0</v>
      </c>
      <c r="S863" s="53" t="str">
        <f>IF(O863&lt;&gt;0,R863/O863,"")</f>
        <v/>
      </c>
      <c r="T863" s="10"/>
      <c r="U863" s="23">
        <v>547.52</v>
      </c>
      <c r="V863" s="25">
        <v>145</v>
      </c>
      <c r="W863" s="24">
        <v>311.74</v>
      </c>
      <c r="X863" s="24">
        <f>U863-W863</f>
        <v>235.77999999999997</v>
      </c>
      <c r="Y863" s="53">
        <f>IF(U863&lt;&gt;0,X863/U863,"")</f>
        <v>0.43063267095265922</v>
      </c>
      <c r="Z863" s="23">
        <v>11.81</v>
      </c>
      <c r="AA863" s="25">
        <v>3</v>
      </c>
      <c r="AB863" s="24">
        <v>6.45</v>
      </c>
      <c r="AC863" s="24">
        <f t="shared" si="257"/>
        <v>5.36</v>
      </c>
      <c r="AD863" s="53">
        <f t="shared" si="258"/>
        <v>0.45385266723116002</v>
      </c>
      <c r="AE863" s="10"/>
    </row>
    <row r="864" spans="1:31" ht="15.75" thickBot="1" x14ac:dyDescent="0.3">
      <c r="A864" s="14" t="s">
        <v>109</v>
      </c>
      <c r="C864" s="61" t="str">
        <f>C829</f>
        <v>C100059</v>
      </c>
      <c r="J864" s="10"/>
      <c r="K864" s="11"/>
      <c r="L864" s="11"/>
      <c r="M864" s="11"/>
      <c r="N864" s="12"/>
      <c r="O864" s="10"/>
      <c r="P864" s="11"/>
      <c r="Q864" s="11"/>
      <c r="R864" s="11"/>
      <c r="S864" s="12"/>
      <c r="U864" s="10"/>
      <c r="V864" s="11"/>
      <c r="W864" s="11"/>
      <c r="X864" s="11"/>
      <c r="Y864" s="12"/>
      <c r="Z864" s="10"/>
      <c r="AA864" s="11"/>
      <c r="AB864" s="11"/>
      <c r="AC864" s="11"/>
      <c r="AD864" s="12"/>
    </row>
    <row r="865" spans="1:31" ht="15.75" thickBot="1" x14ac:dyDescent="0.3">
      <c r="A865" s="14" t="s">
        <v>109</v>
      </c>
      <c r="C865" s="61" t="str">
        <f t="shared" si="253"/>
        <v>C100059</v>
      </c>
      <c r="G865" s="48" t="str">
        <f>C865&amp;" TOTAL:"</f>
        <v>C100059 TOTAL:</v>
      </c>
      <c r="H865" s="50"/>
      <c r="I865" s="50"/>
      <c r="J865" s="34">
        <f>SUBTOTAL(9,J828:J864)</f>
        <v>28404.370000000003</v>
      </c>
      <c r="K865" s="35">
        <f>SUBTOTAL(9,K828:K864)</f>
        <v>2411</v>
      </c>
      <c r="L865" s="36">
        <f>SUBTOTAL(9,L828:L864)</f>
        <v>15895.230000000001</v>
      </c>
      <c r="M865" s="36">
        <f>J865-L865</f>
        <v>12509.140000000001</v>
      </c>
      <c r="N865" s="37">
        <f>IF(J865&lt;&gt;0,M865/J865,"")</f>
        <v>0.4403949110647411</v>
      </c>
      <c r="O865" s="34">
        <f>SUBTOTAL(9,O828:O864)</f>
        <v>33781.060000000005</v>
      </c>
      <c r="P865" s="35">
        <f>SUBTOTAL(9,P828:P864)</f>
        <v>3748</v>
      </c>
      <c r="Q865" s="36">
        <f>SUBTOTAL(9,Q828:Q864)</f>
        <v>17835.030000000002</v>
      </c>
      <c r="R865" s="36">
        <f>O865-Q865</f>
        <v>15946.030000000002</v>
      </c>
      <c r="S865" s="37">
        <f>IF(O865&lt;&gt;0,R865/O865,"")</f>
        <v>0.47204054579696436</v>
      </c>
      <c r="U865" s="34">
        <f>SUBTOTAL(9,U828:U864)</f>
        <v>11071.890000000001</v>
      </c>
      <c r="V865" s="35">
        <f>SUBTOTAL(9,V828:V864)</f>
        <v>781</v>
      </c>
      <c r="W865" s="36">
        <f>SUBTOTAL(9,W828:W864)</f>
        <v>5674.2899999999991</v>
      </c>
      <c r="X865" s="36">
        <f>U865-W865</f>
        <v>5397.6000000000022</v>
      </c>
      <c r="Y865" s="37">
        <f>IF(U865&lt;&gt;0,X865/U865,"")</f>
        <v>0.48750484334652905</v>
      </c>
      <c r="Z865" s="34">
        <f>SUBTOTAL(9,Z828:Z864)</f>
        <v>25658.289999999997</v>
      </c>
      <c r="AA865" s="35">
        <f>SUBTOTAL(9,AA828:AA864)</f>
        <v>1874</v>
      </c>
      <c r="AB865" s="36">
        <f>SUBTOTAL(9,AB828:AB864)</f>
        <v>13706.860000000002</v>
      </c>
      <c r="AC865" s="36">
        <f t="shared" ref="AC865" si="259">Z865-AB865</f>
        <v>11951.429999999995</v>
      </c>
      <c r="AD865" s="37">
        <f t="shared" ref="AD865" si="260">IF(Z865&lt;&gt;0,AC865/Z865,"")</f>
        <v>0.46579214748917391</v>
      </c>
    </row>
    <row r="866" spans="1:31" x14ac:dyDescent="0.25">
      <c r="A866" s="14" t="s">
        <v>109</v>
      </c>
      <c r="C866" s="66"/>
      <c r="J866" s="10"/>
      <c r="K866" s="11"/>
      <c r="L866" s="11"/>
      <c r="M866" s="11"/>
      <c r="N866" s="12"/>
      <c r="O866" s="10"/>
      <c r="P866" s="11"/>
      <c r="Q866" s="11"/>
      <c r="R866" s="11"/>
      <c r="S866" s="12"/>
      <c r="U866" s="10"/>
      <c r="V866" s="11"/>
      <c r="W866" s="11"/>
      <c r="X866" s="11"/>
      <c r="Y866" s="12"/>
      <c r="Z866" s="10"/>
      <c r="AA866" s="11"/>
      <c r="AB866" s="11"/>
      <c r="AC866" s="11"/>
      <c r="AD866" s="12"/>
    </row>
    <row r="867" spans="1:31" ht="15.75" x14ac:dyDescent="0.25">
      <c r="A867" s="14" t="s">
        <v>109</v>
      </c>
      <c r="C867" s="66" t="str">
        <f t="shared" ref="C867" si="261">E867</f>
        <v>C100060</v>
      </c>
      <c r="E867" s="13" t="str">
        <f>"C100060"</f>
        <v>C100060</v>
      </c>
      <c r="F867" s="13"/>
      <c r="G867" s="13" t="str">
        <f>"MEMA Ljubljana d.o.o."</f>
        <v>MEMA Ljubljana d.o.o.</v>
      </c>
      <c r="H867" s="13"/>
      <c r="I867" s="13"/>
      <c r="J867" s="10"/>
      <c r="K867" s="11"/>
      <c r="L867" s="11"/>
      <c r="M867" s="11"/>
      <c r="N867" s="12"/>
      <c r="O867" s="10"/>
      <c r="P867" s="11"/>
      <c r="Q867" s="11"/>
      <c r="R867" s="11"/>
      <c r="S867" s="12"/>
      <c r="U867" s="10"/>
      <c r="V867" s="11"/>
      <c r="W867" s="11"/>
      <c r="X867" s="11"/>
      <c r="Y867" s="12"/>
      <c r="Z867" s="10"/>
      <c r="AA867" s="11"/>
      <c r="AB867" s="11"/>
      <c r="AC867" s="11"/>
      <c r="AD867" s="12"/>
    </row>
    <row r="868" spans="1:31" ht="6.6" customHeight="1" x14ac:dyDescent="0.25">
      <c r="A868" s="14" t="s">
        <v>109</v>
      </c>
      <c r="C868" s="61" t="str">
        <f t="shared" ref="C868:C871" si="262">C867</f>
        <v>C100060</v>
      </c>
      <c r="J868" s="10"/>
      <c r="K868" s="11"/>
      <c r="L868" s="11"/>
      <c r="M868" s="11"/>
      <c r="N868" s="12"/>
      <c r="O868" s="10"/>
      <c r="P868" s="11"/>
      <c r="Q868" s="11"/>
      <c r="R868" s="11"/>
      <c r="S868" s="12"/>
      <c r="U868" s="10"/>
      <c r="V868" s="11"/>
      <c r="W868" s="11"/>
      <c r="X868" s="11"/>
      <c r="Y868" s="12"/>
      <c r="Z868" s="10"/>
      <c r="AA868" s="11"/>
      <c r="AB868" s="11"/>
      <c r="AC868" s="11"/>
      <c r="AD868" s="12"/>
    </row>
    <row r="869" spans="1:31" x14ac:dyDescent="0.25">
      <c r="A869" s="14" t="s">
        <v>109</v>
      </c>
      <c r="C869" s="61" t="str">
        <f t="shared" si="262"/>
        <v>C100060</v>
      </c>
      <c r="F869" s="8" t="str">
        <f>""</f>
        <v/>
      </c>
      <c r="G869" s="9" t="str">
        <f>""</f>
        <v/>
      </c>
      <c r="H869" s="47"/>
      <c r="I869" s="47"/>
      <c r="J869" s="23">
        <v>0</v>
      </c>
      <c r="K869" s="25">
        <v>0</v>
      </c>
      <c r="L869" s="24">
        <v>0</v>
      </c>
      <c r="M869" s="24">
        <f>J869-L869</f>
        <v>0</v>
      </c>
      <c r="N869" s="53" t="str">
        <f>IF(J869&lt;&gt;0,M869/J869,"")</f>
        <v/>
      </c>
      <c r="O869" s="23">
        <v>0</v>
      </c>
      <c r="P869" s="25">
        <v>0</v>
      </c>
      <c r="Q869" s="24">
        <v>0</v>
      </c>
      <c r="R869" s="24">
        <f>O869-Q869</f>
        <v>0</v>
      </c>
      <c r="S869" s="53" t="str">
        <f>IF(O869&lt;&gt;0,R869/O869,"")</f>
        <v/>
      </c>
      <c r="T869" s="10"/>
      <c r="U869" s="23">
        <v>0</v>
      </c>
      <c r="V869" s="25">
        <v>0</v>
      </c>
      <c r="W869" s="24">
        <v>0</v>
      </c>
      <c r="X869" s="24">
        <f>U869-W869</f>
        <v>0</v>
      </c>
      <c r="Y869" s="53" t="str">
        <f>IF(U869&lt;&gt;0,X869/U869,"")</f>
        <v/>
      </c>
      <c r="Z869" s="23">
        <v>0</v>
      </c>
      <c r="AA869" s="25">
        <v>0</v>
      </c>
      <c r="AB869" s="24">
        <v>0</v>
      </c>
      <c r="AC869" s="24">
        <f t="shared" ref="AC869" si="263">Z869-AB869</f>
        <v>0</v>
      </c>
      <c r="AD869" s="53" t="str">
        <f t="shared" ref="AD869" si="264">IF(Z869&lt;&gt;0,AC869/Z869,"")</f>
        <v/>
      </c>
      <c r="AE869" s="10"/>
    </row>
    <row r="870" spans="1:31" ht="15.75" thickBot="1" x14ac:dyDescent="0.3">
      <c r="A870" s="14" t="s">
        <v>109</v>
      </c>
      <c r="C870" s="61" t="str">
        <f t="shared" si="262"/>
        <v>C100060</v>
      </c>
      <c r="J870" s="10"/>
      <c r="K870" s="11"/>
      <c r="L870" s="11"/>
      <c r="M870" s="11"/>
      <c r="N870" s="12"/>
      <c r="O870" s="10"/>
      <c r="P870" s="11"/>
      <c r="Q870" s="11"/>
      <c r="R870" s="11"/>
      <c r="S870" s="12"/>
      <c r="U870" s="10"/>
      <c r="V870" s="11"/>
      <c r="W870" s="11"/>
      <c r="X870" s="11"/>
      <c r="Y870" s="12"/>
      <c r="Z870" s="10"/>
      <c r="AA870" s="11"/>
      <c r="AB870" s="11"/>
      <c r="AC870" s="11"/>
      <c r="AD870" s="12"/>
    </row>
    <row r="871" spans="1:31" ht="15.75" thickBot="1" x14ac:dyDescent="0.3">
      <c r="A871" s="14" t="s">
        <v>109</v>
      </c>
      <c r="C871" s="61" t="str">
        <f t="shared" si="262"/>
        <v>C100060</v>
      </c>
      <c r="G871" s="48" t="str">
        <f>C871&amp;" TOTAL:"</f>
        <v>C100060 TOTAL:</v>
      </c>
      <c r="H871" s="50"/>
      <c r="I871" s="50"/>
      <c r="J871" s="34">
        <f>SUBTOTAL(9,J868:J870)</f>
        <v>0</v>
      </c>
      <c r="K871" s="35">
        <f>SUBTOTAL(9,K868:K870)</f>
        <v>0</v>
      </c>
      <c r="L871" s="36">
        <f>SUBTOTAL(9,L868:L870)</f>
        <v>0</v>
      </c>
      <c r="M871" s="36">
        <f>J871-L871</f>
        <v>0</v>
      </c>
      <c r="N871" s="37" t="str">
        <f>IF(J871&lt;&gt;0,M871/J871,"")</f>
        <v/>
      </c>
      <c r="O871" s="34">
        <f>SUBTOTAL(9,O868:O870)</f>
        <v>0</v>
      </c>
      <c r="P871" s="35">
        <f>SUBTOTAL(9,P868:P870)</f>
        <v>0</v>
      </c>
      <c r="Q871" s="36">
        <f>SUBTOTAL(9,Q868:Q870)</f>
        <v>0</v>
      </c>
      <c r="R871" s="36">
        <f>O871-Q871</f>
        <v>0</v>
      </c>
      <c r="S871" s="37" t="str">
        <f>IF(O871&lt;&gt;0,R871/O871,"")</f>
        <v/>
      </c>
      <c r="U871" s="34">
        <f>SUBTOTAL(9,U868:U870)</f>
        <v>0</v>
      </c>
      <c r="V871" s="35">
        <f>SUBTOTAL(9,V868:V870)</f>
        <v>0</v>
      </c>
      <c r="W871" s="36">
        <f>SUBTOTAL(9,W868:W870)</f>
        <v>0</v>
      </c>
      <c r="X871" s="36">
        <f>U871-W871</f>
        <v>0</v>
      </c>
      <c r="Y871" s="37" t="str">
        <f>IF(U871&lt;&gt;0,X871/U871,"")</f>
        <v/>
      </c>
      <c r="Z871" s="34">
        <f>SUBTOTAL(9,Z868:Z870)</f>
        <v>0</v>
      </c>
      <c r="AA871" s="35">
        <f>SUBTOTAL(9,AA868:AA870)</f>
        <v>0</v>
      </c>
      <c r="AB871" s="36">
        <f>SUBTOTAL(9,AB868:AB870)</f>
        <v>0</v>
      </c>
      <c r="AC871" s="36">
        <f t="shared" ref="AC871" si="265">Z871-AB871</f>
        <v>0</v>
      </c>
      <c r="AD871" s="37" t="str">
        <f t="shared" ref="AD871" si="266">IF(Z871&lt;&gt;0,AC871/Z871,"")</f>
        <v/>
      </c>
    </row>
    <row r="872" spans="1:31" x14ac:dyDescent="0.25">
      <c r="A872" s="14" t="s">
        <v>109</v>
      </c>
      <c r="C872" s="66"/>
      <c r="J872" s="10"/>
      <c r="K872" s="11"/>
      <c r="L872" s="11"/>
      <c r="M872" s="11"/>
      <c r="N872" s="12"/>
      <c r="O872" s="10"/>
      <c r="P872" s="11"/>
      <c r="Q872" s="11"/>
      <c r="R872" s="11"/>
      <c r="S872" s="12"/>
      <c r="U872" s="10"/>
      <c r="V872" s="11"/>
      <c r="W872" s="11"/>
      <c r="X872" s="11"/>
      <c r="Y872" s="12"/>
      <c r="Z872" s="10"/>
      <c r="AA872" s="11"/>
      <c r="AB872" s="11"/>
      <c r="AC872" s="11"/>
      <c r="AD872" s="12"/>
    </row>
    <row r="873" spans="1:31" ht="15.75" x14ac:dyDescent="0.25">
      <c r="A873" s="14" t="s">
        <v>109</v>
      </c>
      <c r="C873" s="66" t="str">
        <f t="shared" ref="C873" si="267">E873</f>
        <v>C100063</v>
      </c>
      <c r="E873" s="13" t="str">
        <f>"C100063"</f>
        <v>C100063</v>
      </c>
      <c r="F873" s="13"/>
      <c r="G873" s="13" t="str">
        <f>"Möbel Scherrer AG"</f>
        <v>Möbel Scherrer AG</v>
      </c>
      <c r="H873" s="13"/>
      <c r="I873" s="13"/>
      <c r="J873" s="10"/>
      <c r="K873" s="11"/>
      <c r="L873" s="11"/>
      <c r="M873" s="11"/>
      <c r="N873" s="12"/>
      <c r="O873" s="10"/>
      <c r="P873" s="11"/>
      <c r="Q873" s="11"/>
      <c r="R873" s="11"/>
      <c r="S873" s="12"/>
      <c r="U873" s="10"/>
      <c r="V873" s="11"/>
      <c r="W873" s="11"/>
      <c r="X873" s="11"/>
      <c r="Y873" s="12"/>
      <c r="Z873" s="10"/>
      <c r="AA873" s="11"/>
      <c r="AB873" s="11"/>
      <c r="AC873" s="11"/>
      <c r="AD873" s="12"/>
    </row>
    <row r="874" spans="1:31" ht="6.6" customHeight="1" x14ac:dyDescent="0.25">
      <c r="A874" s="14" t="s">
        <v>109</v>
      </c>
      <c r="C874" s="61" t="str">
        <f t="shared" ref="C874:C897" si="268">C873</f>
        <v>C100063</v>
      </c>
      <c r="J874" s="10"/>
      <c r="K874" s="11"/>
      <c r="L874" s="11"/>
      <c r="M874" s="11"/>
      <c r="N874" s="12"/>
      <c r="O874" s="10"/>
      <c r="P874" s="11"/>
      <c r="Q874" s="11"/>
      <c r="R874" s="11"/>
      <c r="S874" s="12"/>
      <c r="U874" s="10"/>
      <c r="V874" s="11"/>
      <c r="W874" s="11"/>
      <c r="X874" s="11"/>
      <c r="Y874" s="12"/>
      <c r="Z874" s="10"/>
      <c r="AA874" s="11"/>
      <c r="AB874" s="11"/>
      <c r="AC874" s="11"/>
      <c r="AD874" s="12"/>
    </row>
    <row r="875" spans="1:31" x14ac:dyDescent="0.25">
      <c r="A875" s="14" t="s">
        <v>109</v>
      </c>
      <c r="C875" s="61" t="str">
        <f t="shared" si="268"/>
        <v>C100063</v>
      </c>
      <c r="F875" s="8" t="str">
        <f>"C100004"</f>
        <v>C100004</v>
      </c>
      <c r="G875" s="9" t="str">
        <f>"Walnut Medallian Plate"</f>
        <v>Walnut Medallian Plate</v>
      </c>
      <c r="H875" s="47"/>
      <c r="I875" s="47"/>
      <c r="J875" s="23">
        <v>10998.17</v>
      </c>
      <c r="K875" s="25">
        <v>192</v>
      </c>
      <c r="L875" s="24">
        <v>5875.19</v>
      </c>
      <c r="M875" s="24">
        <f>J875-L875</f>
        <v>5122.9800000000005</v>
      </c>
      <c r="N875" s="53">
        <f>IF(J875&lt;&gt;0,M875/J875,"")</f>
        <v>0.46580294721758259</v>
      </c>
      <c r="O875" s="23">
        <v>0</v>
      </c>
      <c r="P875" s="25">
        <v>0</v>
      </c>
      <c r="Q875" s="24">
        <v>0</v>
      </c>
      <c r="R875" s="24">
        <f>O875-Q875</f>
        <v>0</v>
      </c>
      <c r="S875" s="53" t="str">
        <f>IF(O875&lt;&gt;0,R875/O875,"")</f>
        <v/>
      </c>
      <c r="T875" s="10"/>
      <c r="U875" s="23">
        <v>0</v>
      </c>
      <c r="V875" s="25">
        <v>0</v>
      </c>
      <c r="W875" s="24">
        <v>0</v>
      </c>
      <c r="X875" s="24">
        <f>U875-W875</f>
        <v>0</v>
      </c>
      <c r="Y875" s="53" t="str">
        <f>IF(U875&lt;&gt;0,X875/U875,"")</f>
        <v/>
      </c>
      <c r="Z875" s="23">
        <v>0</v>
      </c>
      <c r="AA875" s="25">
        <v>0</v>
      </c>
      <c r="AB875" s="24">
        <v>0</v>
      </c>
      <c r="AC875" s="24">
        <f t="shared" ref="AC875" si="269">Z875-AB875</f>
        <v>0</v>
      </c>
      <c r="AD875" s="53" t="str">
        <f t="shared" ref="AD875" si="270">IF(Z875&lt;&gt;0,AC875/Z875,"")</f>
        <v/>
      </c>
      <c r="AE875" s="10"/>
    </row>
    <row r="876" spans="1:31" x14ac:dyDescent="0.25">
      <c r="A876" s="14" t="s">
        <v>109</v>
      </c>
      <c r="C876" s="61" t="str">
        <f t="shared" ref="C876:C895" si="271">C875</f>
        <v>C100063</v>
      </c>
      <c r="F876" s="8" t="str">
        <f>"C100005"</f>
        <v>C100005</v>
      </c>
      <c r="G876" s="9" t="str">
        <f>"Cherry Finished Crystal Award"</f>
        <v>Cherry Finished Crystal Award</v>
      </c>
      <c r="H876" s="47"/>
      <c r="I876" s="47"/>
      <c r="J876" s="23">
        <v>6539.4999999999991</v>
      </c>
      <c r="K876" s="25">
        <v>48</v>
      </c>
      <c r="L876" s="24">
        <v>3404.64</v>
      </c>
      <c r="M876" s="24">
        <f>J876-L876</f>
        <v>3134.8599999999992</v>
      </c>
      <c r="N876" s="53">
        <f>IF(J876&lt;&gt;0,M876/J876,"")</f>
        <v>0.47937304075235104</v>
      </c>
      <c r="O876" s="23">
        <v>0</v>
      </c>
      <c r="P876" s="25">
        <v>0</v>
      </c>
      <c r="Q876" s="24">
        <v>0</v>
      </c>
      <c r="R876" s="24">
        <f>O876-Q876</f>
        <v>0</v>
      </c>
      <c r="S876" s="53" t="str">
        <f>IF(O876&lt;&gt;0,R876/O876,"")</f>
        <v/>
      </c>
      <c r="T876" s="10"/>
      <c r="U876" s="23">
        <v>6472.77</v>
      </c>
      <c r="V876" s="25">
        <v>48</v>
      </c>
      <c r="W876" s="24">
        <v>3404.64</v>
      </c>
      <c r="X876" s="24">
        <f>U876-W876</f>
        <v>3068.1300000000006</v>
      </c>
      <c r="Y876" s="53">
        <f>IF(U876&lt;&gt;0,X876/U876,"")</f>
        <v>0.47400571934426844</v>
      </c>
      <c r="Z876" s="23">
        <v>0</v>
      </c>
      <c r="AA876" s="25">
        <v>0</v>
      </c>
      <c r="AB876" s="24">
        <v>0</v>
      </c>
      <c r="AC876" s="24">
        <f t="shared" ref="AC876:AC895" si="272">Z876-AB876</f>
        <v>0</v>
      </c>
      <c r="AD876" s="53" t="str">
        <f t="shared" ref="AD876:AD895" si="273">IF(Z876&lt;&gt;0,AC876/Z876,"")</f>
        <v/>
      </c>
      <c r="AE876" s="10"/>
    </row>
    <row r="877" spans="1:31" x14ac:dyDescent="0.25">
      <c r="A877" s="14" t="s">
        <v>109</v>
      </c>
      <c r="C877" s="61" t="str">
        <f t="shared" si="271"/>
        <v>C100063</v>
      </c>
      <c r="F877" s="8" t="str">
        <f>"C100006"</f>
        <v>C100006</v>
      </c>
      <c r="G877" s="9" t="str">
        <f>"Cherry Finished Crystal Award- Large"</f>
        <v>Cherry Finished Crystal Award- Large</v>
      </c>
      <c r="H877" s="47"/>
      <c r="I877" s="47"/>
      <c r="J877" s="23">
        <v>4817.42</v>
      </c>
      <c r="K877" s="25">
        <v>24</v>
      </c>
      <c r="L877" s="24">
        <v>2280.96</v>
      </c>
      <c r="M877" s="24">
        <f>J877-L877</f>
        <v>2536.46</v>
      </c>
      <c r="N877" s="53">
        <f>IF(J877&lt;&gt;0,M877/J877,"")</f>
        <v>0.52651834384380025</v>
      </c>
      <c r="O877" s="23">
        <v>0</v>
      </c>
      <c r="P877" s="25">
        <v>0</v>
      </c>
      <c r="Q877" s="24">
        <v>0</v>
      </c>
      <c r="R877" s="24">
        <f>O877-Q877</f>
        <v>0</v>
      </c>
      <c r="S877" s="53" t="str">
        <f>IF(O877&lt;&gt;0,R877/O877,"")</f>
        <v/>
      </c>
      <c r="T877" s="10"/>
      <c r="U877" s="23">
        <v>0</v>
      </c>
      <c r="V877" s="25">
        <v>0</v>
      </c>
      <c r="W877" s="24">
        <v>0</v>
      </c>
      <c r="X877" s="24">
        <f>U877-W877</f>
        <v>0</v>
      </c>
      <c r="Y877" s="53" t="str">
        <f>IF(U877&lt;&gt;0,X877/U877,"")</f>
        <v/>
      </c>
      <c r="Z877" s="23">
        <v>0</v>
      </c>
      <c r="AA877" s="25">
        <v>0</v>
      </c>
      <c r="AB877" s="24">
        <v>0</v>
      </c>
      <c r="AC877" s="24">
        <f t="shared" si="272"/>
        <v>0</v>
      </c>
      <c r="AD877" s="53" t="str">
        <f t="shared" si="273"/>
        <v/>
      </c>
      <c r="AE877" s="10"/>
    </row>
    <row r="878" spans="1:31" x14ac:dyDescent="0.25">
      <c r="A878" s="14" t="s">
        <v>109</v>
      </c>
      <c r="C878" s="61" t="str">
        <f t="shared" si="271"/>
        <v>C100063</v>
      </c>
      <c r="F878" s="8" t="str">
        <f>"C100014"</f>
        <v>C100014</v>
      </c>
      <c r="G878" s="9" t="str">
        <f>"Canvas Field Bag"</f>
        <v>Canvas Field Bag</v>
      </c>
      <c r="H878" s="47"/>
      <c r="I878" s="47"/>
      <c r="J878" s="23">
        <v>1293.8900000000001</v>
      </c>
      <c r="K878" s="25">
        <v>144</v>
      </c>
      <c r="L878" s="24">
        <v>660.96</v>
      </c>
      <c r="M878" s="24">
        <f>J878-L878</f>
        <v>632.93000000000006</v>
      </c>
      <c r="N878" s="53">
        <f>IF(J878&lt;&gt;0,M878/J878,"")</f>
        <v>0.48916832188207654</v>
      </c>
      <c r="O878" s="23">
        <v>0</v>
      </c>
      <c r="P878" s="25">
        <v>0</v>
      </c>
      <c r="Q878" s="24">
        <v>0</v>
      </c>
      <c r="R878" s="24">
        <f>O878-Q878</f>
        <v>0</v>
      </c>
      <c r="S878" s="53" t="str">
        <f>IF(O878&lt;&gt;0,R878/O878,"")</f>
        <v/>
      </c>
      <c r="T878" s="10"/>
      <c r="U878" s="23">
        <v>1307.3699999999999</v>
      </c>
      <c r="V878" s="25">
        <v>144</v>
      </c>
      <c r="W878" s="24">
        <v>660.96</v>
      </c>
      <c r="X878" s="24">
        <f>U878-W878</f>
        <v>646.40999999999985</v>
      </c>
      <c r="Y878" s="53">
        <f>IF(U878&lt;&gt;0,X878/U878,"")</f>
        <v>0.49443539319396951</v>
      </c>
      <c r="Z878" s="23">
        <v>0</v>
      </c>
      <c r="AA878" s="25">
        <v>0</v>
      </c>
      <c r="AB878" s="24">
        <v>0</v>
      </c>
      <c r="AC878" s="24">
        <f t="shared" si="272"/>
        <v>0</v>
      </c>
      <c r="AD878" s="53" t="str">
        <f t="shared" si="273"/>
        <v/>
      </c>
      <c r="AE878" s="10"/>
    </row>
    <row r="879" spans="1:31" x14ac:dyDescent="0.25">
      <c r="A879" s="14" t="s">
        <v>109</v>
      </c>
      <c r="C879" s="61" t="str">
        <f t="shared" si="271"/>
        <v>C100063</v>
      </c>
      <c r="F879" s="8" t="str">
        <f>"C100017"</f>
        <v>C100017</v>
      </c>
      <c r="G879" s="9" t="str">
        <f>"Wheeled Duffel"</f>
        <v>Wheeled Duffel</v>
      </c>
      <c r="H879" s="47"/>
      <c r="I879" s="47"/>
      <c r="J879" s="23">
        <v>4547.12</v>
      </c>
      <c r="K879" s="25">
        <v>24</v>
      </c>
      <c r="L879" s="24">
        <v>2429.2800000000002</v>
      </c>
      <c r="M879" s="24">
        <f>J879-L879</f>
        <v>2117.8399999999997</v>
      </c>
      <c r="N879" s="53">
        <f>IF(J879&lt;&gt;0,M879/J879,"")</f>
        <v>0.46575414768028989</v>
      </c>
      <c r="O879" s="23">
        <v>0</v>
      </c>
      <c r="P879" s="25">
        <v>0</v>
      </c>
      <c r="Q879" s="24">
        <v>0</v>
      </c>
      <c r="R879" s="24">
        <f>O879-Q879</f>
        <v>0</v>
      </c>
      <c r="S879" s="53" t="str">
        <f>IF(O879&lt;&gt;0,R879/O879,"")</f>
        <v/>
      </c>
      <c r="T879" s="10"/>
      <c r="U879" s="23">
        <v>0</v>
      </c>
      <c r="V879" s="25">
        <v>0</v>
      </c>
      <c r="W879" s="24">
        <v>0</v>
      </c>
      <c r="X879" s="24">
        <f>U879-W879</f>
        <v>0</v>
      </c>
      <c r="Y879" s="53" t="str">
        <f>IF(U879&lt;&gt;0,X879/U879,"")</f>
        <v/>
      </c>
      <c r="Z879" s="23">
        <v>0</v>
      </c>
      <c r="AA879" s="25">
        <v>0</v>
      </c>
      <c r="AB879" s="24">
        <v>0</v>
      </c>
      <c r="AC879" s="24">
        <f t="shared" si="272"/>
        <v>0</v>
      </c>
      <c r="AD879" s="53" t="str">
        <f t="shared" si="273"/>
        <v/>
      </c>
      <c r="AE879" s="10"/>
    </row>
    <row r="880" spans="1:31" x14ac:dyDescent="0.25">
      <c r="A880" s="14" t="s">
        <v>109</v>
      </c>
      <c r="C880" s="61" t="str">
        <f t="shared" si="271"/>
        <v>C100063</v>
      </c>
      <c r="F880" s="8" t="str">
        <f>"C100020"</f>
        <v>C100020</v>
      </c>
      <c r="G880" s="9" t="str">
        <f>"Gym Locker Bag"</f>
        <v>Gym Locker Bag</v>
      </c>
      <c r="H880" s="47"/>
      <c r="I880" s="47"/>
      <c r="J880" s="23">
        <v>1914.5900000000001</v>
      </c>
      <c r="K880" s="25">
        <v>144</v>
      </c>
      <c r="L880" s="24">
        <v>1114.5600000000002</v>
      </c>
      <c r="M880" s="24">
        <f>J880-L880</f>
        <v>800.03</v>
      </c>
      <c r="N880" s="53">
        <f>IF(J880&lt;&gt;0,M880/J880,"")</f>
        <v>0.41785969842107185</v>
      </c>
      <c r="O880" s="23">
        <v>0</v>
      </c>
      <c r="P880" s="25">
        <v>0</v>
      </c>
      <c r="Q880" s="24">
        <v>0</v>
      </c>
      <c r="R880" s="24">
        <f>O880-Q880</f>
        <v>0</v>
      </c>
      <c r="S880" s="53" t="str">
        <f>IF(O880&lt;&gt;0,R880/O880,"")</f>
        <v/>
      </c>
      <c r="T880" s="10"/>
      <c r="U880" s="23">
        <v>0</v>
      </c>
      <c r="V880" s="25">
        <v>0</v>
      </c>
      <c r="W880" s="24">
        <v>0</v>
      </c>
      <c r="X880" s="24">
        <f>U880-W880</f>
        <v>0</v>
      </c>
      <c r="Y880" s="53" t="str">
        <f>IF(U880&lt;&gt;0,X880/U880,"")</f>
        <v/>
      </c>
      <c r="Z880" s="23">
        <v>0</v>
      </c>
      <c r="AA880" s="25">
        <v>0</v>
      </c>
      <c r="AB880" s="24">
        <v>0</v>
      </c>
      <c r="AC880" s="24">
        <f t="shared" si="272"/>
        <v>0</v>
      </c>
      <c r="AD880" s="53" t="str">
        <f t="shared" si="273"/>
        <v/>
      </c>
      <c r="AE880" s="10"/>
    </row>
    <row r="881" spans="1:31" x14ac:dyDescent="0.25">
      <c r="A881" s="14" t="s">
        <v>109</v>
      </c>
      <c r="C881" s="61" t="str">
        <f t="shared" si="271"/>
        <v>C100063</v>
      </c>
      <c r="F881" s="8" t="str">
        <f>"C100021"</f>
        <v>C100021</v>
      </c>
      <c r="G881" s="9" t="str">
        <f>"Canvas Boat Bag"</f>
        <v>Canvas Boat Bag</v>
      </c>
      <c r="H881" s="47"/>
      <c r="I881" s="47"/>
      <c r="J881" s="23">
        <v>485.46000000000004</v>
      </c>
      <c r="K881" s="25">
        <v>48</v>
      </c>
      <c r="L881" s="24">
        <v>330.24</v>
      </c>
      <c r="M881" s="24">
        <f>J881-L881</f>
        <v>155.22000000000003</v>
      </c>
      <c r="N881" s="53">
        <f>IF(J881&lt;&gt;0,M881/J881,"")</f>
        <v>0.31973798047212953</v>
      </c>
      <c r="O881" s="23">
        <v>0</v>
      </c>
      <c r="P881" s="25">
        <v>0</v>
      </c>
      <c r="Q881" s="24">
        <v>0</v>
      </c>
      <c r="R881" s="24">
        <f>O881-Q881</f>
        <v>0</v>
      </c>
      <c r="S881" s="53" t="str">
        <f>IF(O881&lt;&gt;0,R881/O881,"")</f>
        <v/>
      </c>
      <c r="T881" s="10"/>
      <c r="U881" s="23">
        <v>0</v>
      </c>
      <c r="V881" s="25">
        <v>0</v>
      </c>
      <c r="W881" s="24">
        <v>0</v>
      </c>
      <c r="X881" s="24">
        <f>U881-W881</f>
        <v>0</v>
      </c>
      <c r="Y881" s="53" t="str">
        <f>IF(U881&lt;&gt;0,X881/U881,"")</f>
        <v/>
      </c>
      <c r="Z881" s="23">
        <v>0</v>
      </c>
      <c r="AA881" s="25">
        <v>0</v>
      </c>
      <c r="AB881" s="24">
        <v>0</v>
      </c>
      <c r="AC881" s="24">
        <f t="shared" si="272"/>
        <v>0</v>
      </c>
      <c r="AD881" s="53" t="str">
        <f t="shared" si="273"/>
        <v/>
      </c>
      <c r="AE881" s="10"/>
    </row>
    <row r="882" spans="1:31" x14ac:dyDescent="0.25">
      <c r="A882" s="14" t="s">
        <v>109</v>
      </c>
      <c r="C882" s="61" t="str">
        <f t="shared" si="271"/>
        <v>C100063</v>
      </c>
      <c r="F882" s="8" t="str">
        <f>"C100022"</f>
        <v>C100022</v>
      </c>
      <c r="G882" s="9" t="str">
        <f>"Two-Toned Cap"</f>
        <v>Two-Toned Cap</v>
      </c>
      <c r="H882" s="47"/>
      <c r="I882" s="47"/>
      <c r="J882" s="23">
        <v>37.630000000000003</v>
      </c>
      <c r="K882" s="25">
        <v>12</v>
      </c>
      <c r="L882" s="24">
        <v>19.32</v>
      </c>
      <c r="M882" s="24">
        <f>J882-L882</f>
        <v>18.310000000000002</v>
      </c>
      <c r="N882" s="53">
        <f>IF(J882&lt;&gt;0,M882/J882,"")</f>
        <v>0.48657985649747543</v>
      </c>
      <c r="O882" s="23">
        <v>0</v>
      </c>
      <c r="P882" s="25">
        <v>0</v>
      </c>
      <c r="Q882" s="24">
        <v>0</v>
      </c>
      <c r="R882" s="24">
        <f>O882-Q882</f>
        <v>0</v>
      </c>
      <c r="S882" s="53" t="str">
        <f>IF(O882&lt;&gt;0,R882/O882,"")</f>
        <v/>
      </c>
      <c r="T882" s="10"/>
      <c r="U882" s="23">
        <v>0</v>
      </c>
      <c r="V882" s="25">
        <v>0</v>
      </c>
      <c r="W882" s="24">
        <v>0</v>
      </c>
      <c r="X882" s="24">
        <f>U882-W882</f>
        <v>0</v>
      </c>
      <c r="Y882" s="53" t="str">
        <f>IF(U882&lt;&gt;0,X882/U882,"")</f>
        <v/>
      </c>
      <c r="Z882" s="23">
        <v>0</v>
      </c>
      <c r="AA882" s="25">
        <v>0</v>
      </c>
      <c r="AB882" s="24">
        <v>0</v>
      </c>
      <c r="AC882" s="24">
        <f t="shared" si="272"/>
        <v>0</v>
      </c>
      <c r="AD882" s="53" t="str">
        <f t="shared" si="273"/>
        <v/>
      </c>
      <c r="AE882" s="10"/>
    </row>
    <row r="883" spans="1:31" x14ac:dyDescent="0.25">
      <c r="A883" s="14" t="s">
        <v>109</v>
      </c>
      <c r="C883" s="61" t="str">
        <f t="shared" si="271"/>
        <v>C100063</v>
      </c>
      <c r="F883" s="8" t="str">
        <f>"C100023"</f>
        <v>C100023</v>
      </c>
      <c r="G883" s="9" t="str">
        <f>"Two-Toned Knit Hat"</f>
        <v>Two-Toned Knit Hat</v>
      </c>
      <c r="H883" s="47"/>
      <c r="I883" s="47"/>
      <c r="J883" s="23">
        <v>370.54</v>
      </c>
      <c r="K883" s="25">
        <v>144</v>
      </c>
      <c r="L883" s="24">
        <v>181.43</v>
      </c>
      <c r="M883" s="24">
        <f>J883-L883</f>
        <v>189.11</v>
      </c>
      <c r="N883" s="53">
        <f>IF(J883&lt;&gt;0,M883/J883,"")</f>
        <v>0.51036325362983759</v>
      </c>
      <c r="O883" s="23">
        <v>0</v>
      </c>
      <c r="P883" s="25">
        <v>0</v>
      </c>
      <c r="Q883" s="24">
        <v>0</v>
      </c>
      <c r="R883" s="24">
        <f>O883-Q883</f>
        <v>0</v>
      </c>
      <c r="S883" s="53" t="str">
        <f>IF(O883&lt;&gt;0,R883/O883,"")</f>
        <v/>
      </c>
      <c r="T883" s="10"/>
      <c r="U883" s="23">
        <v>0</v>
      </c>
      <c r="V883" s="25">
        <v>0</v>
      </c>
      <c r="W883" s="24">
        <v>0</v>
      </c>
      <c r="X883" s="24">
        <f>U883-W883</f>
        <v>0</v>
      </c>
      <c r="Y883" s="53" t="str">
        <f>IF(U883&lt;&gt;0,X883/U883,"")</f>
        <v/>
      </c>
      <c r="Z883" s="23">
        <v>0</v>
      </c>
      <c r="AA883" s="25">
        <v>0</v>
      </c>
      <c r="AB883" s="24">
        <v>0</v>
      </c>
      <c r="AC883" s="24">
        <f t="shared" si="272"/>
        <v>0</v>
      </c>
      <c r="AD883" s="53" t="str">
        <f t="shared" si="273"/>
        <v/>
      </c>
      <c r="AE883" s="10"/>
    </row>
    <row r="884" spans="1:31" x14ac:dyDescent="0.25">
      <c r="A884" s="14" t="s">
        <v>109</v>
      </c>
      <c r="C884" s="61" t="str">
        <f t="shared" si="271"/>
        <v>C100063</v>
      </c>
      <c r="F884" s="8" t="str">
        <f>"C100025"</f>
        <v>C100025</v>
      </c>
      <c r="G884" s="9" t="str">
        <f>"Striped Knit Hat"</f>
        <v>Striped Knit Hat</v>
      </c>
      <c r="H884" s="47"/>
      <c r="I884" s="47"/>
      <c r="J884" s="23">
        <v>426.37</v>
      </c>
      <c r="K884" s="25">
        <v>146</v>
      </c>
      <c r="L884" s="24">
        <v>201.48</v>
      </c>
      <c r="M884" s="24">
        <f>J884-L884</f>
        <v>224.89000000000001</v>
      </c>
      <c r="N884" s="53">
        <f>IF(J884&lt;&gt;0,M884/J884,"")</f>
        <v>0.5274526819429135</v>
      </c>
      <c r="O884" s="23">
        <v>0</v>
      </c>
      <c r="P884" s="25">
        <v>0</v>
      </c>
      <c r="Q884" s="24">
        <v>0</v>
      </c>
      <c r="R884" s="24">
        <f>O884-Q884</f>
        <v>0</v>
      </c>
      <c r="S884" s="53" t="str">
        <f>IF(O884&lt;&gt;0,R884/O884,"")</f>
        <v/>
      </c>
      <c r="T884" s="10"/>
      <c r="U884" s="23">
        <v>0</v>
      </c>
      <c r="V884" s="25">
        <v>0</v>
      </c>
      <c r="W884" s="24">
        <v>0</v>
      </c>
      <c r="X884" s="24">
        <f>U884-W884</f>
        <v>0</v>
      </c>
      <c r="Y884" s="53" t="str">
        <f>IF(U884&lt;&gt;0,X884/U884,"")</f>
        <v/>
      </c>
      <c r="Z884" s="23">
        <v>0</v>
      </c>
      <c r="AA884" s="25">
        <v>0</v>
      </c>
      <c r="AB884" s="24">
        <v>0</v>
      </c>
      <c r="AC884" s="24">
        <f t="shared" si="272"/>
        <v>0</v>
      </c>
      <c r="AD884" s="53" t="str">
        <f t="shared" si="273"/>
        <v/>
      </c>
      <c r="AE884" s="10"/>
    </row>
    <row r="885" spans="1:31" x14ac:dyDescent="0.25">
      <c r="A885" s="14" t="s">
        <v>109</v>
      </c>
      <c r="C885" s="61" t="str">
        <f t="shared" si="271"/>
        <v>C100063</v>
      </c>
      <c r="F885" s="8" t="str">
        <f>"C100029"</f>
        <v>C100029</v>
      </c>
      <c r="G885" s="9" t="str">
        <f>"Distressed Twill Visor"</f>
        <v>Distressed Twill Visor</v>
      </c>
      <c r="H885" s="47"/>
      <c r="I885" s="47"/>
      <c r="J885" s="23">
        <v>643.6</v>
      </c>
      <c r="K885" s="25">
        <v>192</v>
      </c>
      <c r="L885" s="24">
        <v>397.45000000000005</v>
      </c>
      <c r="M885" s="24">
        <f>J885-L885</f>
        <v>246.14999999999998</v>
      </c>
      <c r="N885" s="53">
        <f>IF(J885&lt;&gt;0,M885/J885,"")</f>
        <v>0.38245804847731507</v>
      </c>
      <c r="O885" s="23">
        <v>0</v>
      </c>
      <c r="P885" s="25">
        <v>0</v>
      </c>
      <c r="Q885" s="24">
        <v>0</v>
      </c>
      <c r="R885" s="24">
        <f>O885-Q885</f>
        <v>0</v>
      </c>
      <c r="S885" s="53" t="str">
        <f>IF(O885&lt;&gt;0,R885/O885,"")</f>
        <v/>
      </c>
      <c r="T885" s="10"/>
      <c r="U885" s="23">
        <v>0</v>
      </c>
      <c r="V885" s="25">
        <v>0</v>
      </c>
      <c r="W885" s="24">
        <v>0</v>
      </c>
      <c r="X885" s="24">
        <f>U885-W885</f>
        <v>0</v>
      </c>
      <c r="Y885" s="53" t="str">
        <f>IF(U885&lt;&gt;0,X885/U885,"")</f>
        <v/>
      </c>
      <c r="Z885" s="23">
        <v>0</v>
      </c>
      <c r="AA885" s="25">
        <v>0</v>
      </c>
      <c r="AB885" s="24">
        <v>0</v>
      </c>
      <c r="AC885" s="24">
        <f t="shared" si="272"/>
        <v>0</v>
      </c>
      <c r="AD885" s="53" t="str">
        <f t="shared" si="273"/>
        <v/>
      </c>
      <c r="AE885" s="10"/>
    </row>
    <row r="886" spans="1:31" x14ac:dyDescent="0.25">
      <c r="A886" s="14" t="s">
        <v>109</v>
      </c>
      <c r="C886" s="61" t="str">
        <f t="shared" si="271"/>
        <v>C100063</v>
      </c>
      <c r="F886" s="8" t="str">
        <f>"C100032"</f>
        <v>C100032</v>
      </c>
      <c r="G886" s="9" t="str">
        <f>"Clip-on Clock"</f>
        <v>Clip-on Clock</v>
      </c>
      <c r="H886" s="47"/>
      <c r="I886" s="47"/>
      <c r="J886" s="23">
        <v>193.79999999999998</v>
      </c>
      <c r="K886" s="25">
        <v>24</v>
      </c>
      <c r="L886" s="24">
        <v>99.84</v>
      </c>
      <c r="M886" s="24">
        <f>J886-L886</f>
        <v>93.95999999999998</v>
      </c>
      <c r="N886" s="53">
        <f>IF(J886&lt;&gt;0,M886/J886,"")</f>
        <v>0.48482972136222902</v>
      </c>
      <c r="O886" s="23">
        <v>0</v>
      </c>
      <c r="P886" s="25">
        <v>0</v>
      </c>
      <c r="Q886" s="24">
        <v>0</v>
      </c>
      <c r="R886" s="24">
        <f>O886-Q886</f>
        <v>0</v>
      </c>
      <c r="S886" s="53" t="str">
        <f>IF(O886&lt;&gt;0,R886/O886,"")</f>
        <v/>
      </c>
      <c r="T886" s="10"/>
      <c r="U886" s="23">
        <v>0</v>
      </c>
      <c r="V886" s="25">
        <v>0</v>
      </c>
      <c r="W886" s="24">
        <v>0</v>
      </c>
      <c r="X886" s="24">
        <f>U886-W886</f>
        <v>0</v>
      </c>
      <c r="Y886" s="53" t="str">
        <f>IF(U886&lt;&gt;0,X886/U886,"")</f>
        <v/>
      </c>
      <c r="Z886" s="23">
        <v>0</v>
      </c>
      <c r="AA886" s="25">
        <v>0</v>
      </c>
      <c r="AB886" s="24">
        <v>0</v>
      </c>
      <c r="AC886" s="24">
        <f t="shared" si="272"/>
        <v>0</v>
      </c>
      <c r="AD886" s="53" t="str">
        <f t="shared" si="273"/>
        <v/>
      </c>
      <c r="AE886" s="10"/>
    </row>
    <row r="887" spans="1:31" x14ac:dyDescent="0.25">
      <c r="A887" s="14" t="s">
        <v>109</v>
      </c>
      <c r="C887" s="61" t="str">
        <f t="shared" si="271"/>
        <v>C100063</v>
      </c>
      <c r="F887" s="8" t="str">
        <f>"E100012"</f>
        <v>E100012</v>
      </c>
      <c r="G887" s="9" t="str">
        <f>"Canvas Stopwatch"</f>
        <v>Canvas Stopwatch</v>
      </c>
      <c r="H887" s="47"/>
      <c r="I887" s="47"/>
      <c r="J887" s="23">
        <v>1044.4099999999999</v>
      </c>
      <c r="K887" s="25">
        <v>288</v>
      </c>
      <c r="L887" s="24">
        <v>564.45999999999992</v>
      </c>
      <c r="M887" s="24">
        <f>J887-L887</f>
        <v>479.94999999999993</v>
      </c>
      <c r="N887" s="53">
        <f>IF(J887&lt;&gt;0,M887/J887,"")</f>
        <v>0.45954175084497467</v>
      </c>
      <c r="O887" s="23">
        <v>0</v>
      </c>
      <c r="P887" s="25">
        <v>0</v>
      </c>
      <c r="Q887" s="24">
        <v>0</v>
      </c>
      <c r="R887" s="24">
        <f>O887-Q887</f>
        <v>0</v>
      </c>
      <c r="S887" s="53" t="str">
        <f>IF(O887&lt;&gt;0,R887/O887,"")</f>
        <v/>
      </c>
      <c r="T887" s="10"/>
      <c r="U887" s="23">
        <v>0</v>
      </c>
      <c r="V887" s="25">
        <v>0</v>
      </c>
      <c r="W887" s="24">
        <v>0</v>
      </c>
      <c r="X887" s="24">
        <f>U887-W887</f>
        <v>0</v>
      </c>
      <c r="Y887" s="53" t="str">
        <f>IF(U887&lt;&gt;0,X887/U887,"")</f>
        <v/>
      </c>
      <c r="Z887" s="23">
        <v>0</v>
      </c>
      <c r="AA887" s="25">
        <v>0</v>
      </c>
      <c r="AB887" s="24">
        <v>0</v>
      </c>
      <c r="AC887" s="24">
        <f t="shared" si="272"/>
        <v>0</v>
      </c>
      <c r="AD887" s="53" t="str">
        <f t="shared" si="273"/>
        <v/>
      </c>
      <c r="AE887" s="10"/>
    </row>
    <row r="888" spans="1:31" x14ac:dyDescent="0.25">
      <c r="A888" s="14" t="s">
        <v>109</v>
      </c>
      <c r="C888" s="61" t="str">
        <f t="shared" si="271"/>
        <v>C100063</v>
      </c>
      <c r="F888" s="8" t="str">
        <f>"E100014"</f>
        <v>E100014</v>
      </c>
      <c r="G888" s="9" t="str">
        <f>"Stopwatch with Neck Rope"</f>
        <v>Stopwatch with Neck Rope</v>
      </c>
      <c r="H888" s="47"/>
      <c r="I888" s="47"/>
      <c r="J888" s="23">
        <v>380.21</v>
      </c>
      <c r="K888" s="25">
        <v>144</v>
      </c>
      <c r="L888" s="24">
        <v>185.75</v>
      </c>
      <c r="M888" s="24">
        <f>J888-L888</f>
        <v>194.45999999999998</v>
      </c>
      <c r="N888" s="53">
        <f>IF(J888&lt;&gt;0,M888/J888,"")</f>
        <v>0.51145419636516665</v>
      </c>
      <c r="O888" s="23">
        <v>0</v>
      </c>
      <c r="P888" s="25">
        <v>0</v>
      </c>
      <c r="Q888" s="24">
        <v>0</v>
      </c>
      <c r="R888" s="24">
        <f>O888-Q888</f>
        <v>0</v>
      </c>
      <c r="S888" s="53" t="str">
        <f>IF(O888&lt;&gt;0,R888/O888,"")</f>
        <v/>
      </c>
      <c r="T888" s="10"/>
      <c r="U888" s="23">
        <v>0</v>
      </c>
      <c r="V888" s="25">
        <v>0</v>
      </c>
      <c r="W888" s="24">
        <v>0</v>
      </c>
      <c r="X888" s="24">
        <f>U888-W888</f>
        <v>0</v>
      </c>
      <c r="Y888" s="53" t="str">
        <f>IF(U888&lt;&gt;0,X888/U888,"")</f>
        <v/>
      </c>
      <c r="Z888" s="23">
        <v>0</v>
      </c>
      <c r="AA888" s="25">
        <v>0</v>
      </c>
      <c r="AB888" s="24">
        <v>0</v>
      </c>
      <c r="AC888" s="24">
        <f t="shared" si="272"/>
        <v>0</v>
      </c>
      <c r="AD888" s="53" t="str">
        <f t="shared" si="273"/>
        <v/>
      </c>
      <c r="AE888" s="10"/>
    </row>
    <row r="889" spans="1:31" x14ac:dyDescent="0.25">
      <c r="A889" s="14" t="s">
        <v>109</v>
      </c>
      <c r="C889" s="61" t="str">
        <f t="shared" si="271"/>
        <v>C100063</v>
      </c>
      <c r="F889" s="8" t="str">
        <f>"E100016"</f>
        <v>E100016</v>
      </c>
      <c r="G889" s="9" t="str">
        <f>"4 Function Rotating Carabiner Watch"</f>
        <v>4 Function Rotating Carabiner Watch</v>
      </c>
      <c r="H889" s="47"/>
      <c r="I889" s="47"/>
      <c r="J889" s="23">
        <v>71.489999999999995</v>
      </c>
      <c r="K889" s="25">
        <v>24</v>
      </c>
      <c r="L889" s="24">
        <v>33.119999999999997</v>
      </c>
      <c r="M889" s="24">
        <f>J889-L889</f>
        <v>38.369999999999997</v>
      </c>
      <c r="N889" s="53">
        <f>IF(J889&lt;&gt;0,M889/J889,"")</f>
        <v>0.53671842215694499</v>
      </c>
      <c r="O889" s="23">
        <v>0</v>
      </c>
      <c r="P889" s="25">
        <v>0</v>
      </c>
      <c r="Q889" s="24">
        <v>0</v>
      </c>
      <c r="R889" s="24">
        <f>O889-Q889</f>
        <v>0</v>
      </c>
      <c r="S889" s="53" t="str">
        <f>IF(O889&lt;&gt;0,R889/O889,"")</f>
        <v/>
      </c>
      <c r="T889" s="10"/>
      <c r="U889" s="23">
        <v>0</v>
      </c>
      <c r="V889" s="25">
        <v>0</v>
      </c>
      <c r="W889" s="24">
        <v>0</v>
      </c>
      <c r="X889" s="24">
        <f>U889-W889</f>
        <v>0</v>
      </c>
      <c r="Y889" s="53" t="str">
        <f>IF(U889&lt;&gt;0,X889/U889,"")</f>
        <v/>
      </c>
      <c r="Z889" s="23">
        <v>0</v>
      </c>
      <c r="AA889" s="25">
        <v>0</v>
      </c>
      <c r="AB889" s="24">
        <v>0</v>
      </c>
      <c r="AC889" s="24">
        <f t="shared" si="272"/>
        <v>0</v>
      </c>
      <c r="AD889" s="53" t="str">
        <f t="shared" si="273"/>
        <v/>
      </c>
      <c r="AE889" s="10"/>
    </row>
    <row r="890" spans="1:31" x14ac:dyDescent="0.25">
      <c r="A890" s="14" t="s">
        <v>109</v>
      </c>
      <c r="C890" s="61" t="str">
        <f t="shared" si="271"/>
        <v>C100063</v>
      </c>
      <c r="F890" s="8" t="str">
        <f>"E100018"</f>
        <v>E100018</v>
      </c>
      <c r="G890" s="9" t="str">
        <f>"Flexi-Clock &amp; Clip"</f>
        <v>Flexi-Clock &amp; Clip</v>
      </c>
      <c r="H890" s="47"/>
      <c r="I890" s="47"/>
      <c r="J890" s="23">
        <v>1.0900000000000001</v>
      </c>
      <c r="K890" s="25">
        <v>1</v>
      </c>
      <c r="L890" s="24">
        <v>0.6</v>
      </c>
      <c r="M890" s="24">
        <f>J890-L890</f>
        <v>0.4900000000000001</v>
      </c>
      <c r="N890" s="53">
        <f>IF(J890&lt;&gt;0,M890/J890,"")</f>
        <v>0.44954128440366981</v>
      </c>
      <c r="O890" s="23">
        <v>0</v>
      </c>
      <c r="P890" s="25">
        <v>0</v>
      </c>
      <c r="Q890" s="24">
        <v>0</v>
      </c>
      <c r="R890" s="24">
        <f>O890-Q890</f>
        <v>0</v>
      </c>
      <c r="S890" s="53" t="str">
        <f>IF(O890&lt;&gt;0,R890/O890,"")</f>
        <v/>
      </c>
      <c r="T890" s="10"/>
      <c r="U890" s="23">
        <v>0</v>
      </c>
      <c r="V890" s="25">
        <v>0</v>
      </c>
      <c r="W890" s="24">
        <v>0</v>
      </c>
      <c r="X890" s="24">
        <f>U890-W890</f>
        <v>0</v>
      </c>
      <c r="Y890" s="53" t="str">
        <f>IF(U890&lt;&gt;0,X890/U890,"")</f>
        <v/>
      </c>
      <c r="Z890" s="23">
        <v>0</v>
      </c>
      <c r="AA890" s="25">
        <v>0</v>
      </c>
      <c r="AB890" s="24">
        <v>0</v>
      </c>
      <c r="AC890" s="24">
        <f t="shared" si="272"/>
        <v>0</v>
      </c>
      <c r="AD890" s="53" t="str">
        <f t="shared" si="273"/>
        <v/>
      </c>
      <c r="AE890" s="10"/>
    </row>
    <row r="891" spans="1:31" x14ac:dyDescent="0.25">
      <c r="A891" s="14" t="s">
        <v>109</v>
      </c>
      <c r="C891" s="61" t="str">
        <f t="shared" si="271"/>
        <v>C100063</v>
      </c>
      <c r="F891" s="8" t="str">
        <f>"S100007"</f>
        <v>S100007</v>
      </c>
      <c r="G891" s="9" t="str">
        <f>"Baseball Figure Trophy"</f>
        <v>Baseball Figure Trophy</v>
      </c>
      <c r="H891" s="47"/>
      <c r="I891" s="47"/>
      <c r="J891" s="23">
        <v>383.61999999999995</v>
      </c>
      <c r="K891" s="25">
        <v>54</v>
      </c>
      <c r="L891" s="24">
        <v>198.72</v>
      </c>
      <c r="M891" s="24">
        <f>J891-L891</f>
        <v>184.89999999999995</v>
      </c>
      <c r="N891" s="53">
        <f>IF(J891&lt;&gt;0,M891/J891,"")</f>
        <v>0.48198738334810481</v>
      </c>
      <c r="O891" s="23">
        <v>0</v>
      </c>
      <c r="P891" s="25">
        <v>0</v>
      </c>
      <c r="Q891" s="24">
        <v>0</v>
      </c>
      <c r="R891" s="24">
        <f>O891-Q891</f>
        <v>0</v>
      </c>
      <c r="S891" s="53" t="str">
        <f>IF(O891&lt;&gt;0,R891/O891,"")</f>
        <v/>
      </c>
      <c r="T891" s="10"/>
      <c r="U891" s="23">
        <v>0</v>
      </c>
      <c r="V891" s="25">
        <v>0</v>
      </c>
      <c r="W891" s="24">
        <v>0</v>
      </c>
      <c r="X891" s="24">
        <f>U891-W891</f>
        <v>0</v>
      </c>
      <c r="Y891" s="53" t="str">
        <f>IF(U891&lt;&gt;0,X891/U891,"")</f>
        <v/>
      </c>
      <c r="Z891" s="23">
        <v>0</v>
      </c>
      <c r="AA891" s="25">
        <v>0</v>
      </c>
      <c r="AB891" s="24">
        <v>0</v>
      </c>
      <c r="AC891" s="24">
        <f t="shared" si="272"/>
        <v>0</v>
      </c>
      <c r="AD891" s="53" t="str">
        <f t="shared" si="273"/>
        <v/>
      </c>
      <c r="AE891" s="10"/>
    </row>
    <row r="892" spans="1:31" x14ac:dyDescent="0.25">
      <c r="A892" s="14" t="s">
        <v>109</v>
      </c>
      <c r="C892" s="61" t="str">
        <f t="shared" si="271"/>
        <v>C100063</v>
      </c>
      <c r="F892" s="8" t="str">
        <f>"S100010"</f>
        <v>S100010</v>
      </c>
      <c r="G892" s="9" t="str">
        <f>"Golf Relaxed Cap"</f>
        <v>Golf Relaxed Cap</v>
      </c>
      <c r="H892" s="47"/>
      <c r="I892" s="47"/>
      <c r="J892" s="23">
        <v>1867.0700000000002</v>
      </c>
      <c r="K892" s="25">
        <v>186</v>
      </c>
      <c r="L892" s="24">
        <v>1132.75</v>
      </c>
      <c r="M892" s="24">
        <f>J892-L892</f>
        <v>734.32000000000016</v>
      </c>
      <c r="N892" s="53">
        <f>IF(J892&lt;&gt;0,M892/J892,"")</f>
        <v>0.39330073323442616</v>
      </c>
      <c r="O892" s="23">
        <v>0</v>
      </c>
      <c r="P892" s="25">
        <v>0</v>
      </c>
      <c r="Q892" s="24">
        <v>0</v>
      </c>
      <c r="R892" s="24">
        <f>O892-Q892</f>
        <v>0</v>
      </c>
      <c r="S892" s="53" t="str">
        <f>IF(O892&lt;&gt;0,R892/O892,"")</f>
        <v/>
      </c>
      <c r="T892" s="10"/>
      <c r="U892" s="23">
        <v>0</v>
      </c>
      <c r="V892" s="25">
        <v>0</v>
      </c>
      <c r="W892" s="24">
        <v>0</v>
      </c>
      <c r="X892" s="24">
        <f>U892-W892</f>
        <v>0</v>
      </c>
      <c r="Y892" s="53" t="str">
        <f>IF(U892&lt;&gt;0,X892/U892,"")</f>
        <v/>
      </c>
      <c r="Z892" s="23">
        <v>0</v>
      </c>
      <c r="AA892" s="25">
        <v>0</v>
      </c>
      <c r="AB892" s="24">
        <v>0</v>
      </c>
      <c r="AC892" s="24">
        <f t="shared" si="272"/>
        <v>0</v>
      </c>
      <c r="AD892" s="53" t="str">
        <f t="shared" si="273"/>
        <v/>
      </c>
      <c r="AE892" s="10"/>
    </row>
    <row r="893" spans="1:31" x14ac:dyDescent="0.25">
      <c r="A893" s="14" t="s">
        <v>109</v>
      </c>
      <c r="C893" s="61" t="str">
        <f t="shared" si="271"/>
        <v>C100063</v>
      </c>
      <c r="F893" s="8" t="str">
        <f>"S100011"</f>
        <v>S100011</v>
      </c>
      <c r="G893" s="9" t="str">
        <f>"All Star Cap"</f>
        <v>All Star Cap</v>
      </c>
      <c r="H893" s="47"/>
      <c r="I893" s="47"/>
      <c r="J893" s="23">
        <v>201.92</v>
      </c>
      <c r="K893" s="25">
        <v>145</v>
      </c>
      <c r="L893" s="24">
        <v>123.26</v>
      </c>
      <c r="M893" s="24">
        <f>J893-L893</f>
        <v>78.659999999999982</v>
      </c>
      <c r="N893" s="53">
        <f>IF(J893&lt;&gt;0,M893/J893,"")</f>
        <v>0.38956022187004746</v>
      </c>
      <c r="O893" s="23">
        <v>0</v>
      </c>
      <c r="P893" s="25">
        <v>0</v>
      </c>
      <c r="Q893" s="24">
        <v>0</v>
      </c>
      <c r="R893" s="24">
        <f>O893-Q893</f>
        <v>0</v>
      </c>
      <c r="S893" s="53" t="str">
        <f>IF(O893&lt;&gt;0,R893/O893,"")</f>
        <v/>
      </c>
      <c r="T893" s="10"/>
      <c r="U893" s="23">
        <v>0</v>
      </c>
      <c r="V893" s="25">
        <v>0</v>
      </c>
      <c r="W893" s="24">
        <v>0</v>
      </c>
      <c r="X893" s="24">
        <f>U893-W893</f>
        <v>0</v>
      </c>
      <c r="Y893" s="53" t="str">
        <f>IF(U893&lt;&gt;0,X893/U893,"")</f>
        <v/>
      </c>
      <c r="Z893" s="23">
        <v>0</v>
      </c>
      <c r="AA893" s="25">
        <v>0</v>
      </c>
      <c r="AB893" s="24">
        <v>0</v>
      </c>
      <c r="AC893" s="24">
        <f t="shared" si="272"/>
        <v>0</v>
      </c>
      <c r="AD893" s="53" t="str">
        <f t="shared" si="273"/>
        <v/>
      </c>
      <c r="AE893" s="10"/>
    </row>
    <row r="894" spans="1:31" x14ac:dyDescent="0.25">
      <c r="A894" s="14" t="s">
        <v>109</v>
      </c>
      <c r="C894" s="61" t="str">
        <f t="shared" si="271"/>
        <v>C100063</v>
      </c>
      <c r="F894" s="8" t="str">
        <f>"S100016"</f>
        <v>S100016</v>
      </c>
      <c r="G894" s="9" t="str">
        <f>"Mesh Bucket Hat"</f>
        <v>Mesh Bucket Hat</v>
      </c>
      <c r="H894" s="47"/>
      <c r="I894" s="47"/>
      <c r="J894" s="23">
        <v>702.77</v>
      </c>
      <c r="K894" s="25">
        <v>144</v>
      </c>
      <c r="L894" s="24">
        <v>396.01</v>
      </c>
      <c r="M894" s="24">
        <f>J894-L894</f>
        <v>306.76</v>
      </c>
      <c r="N894" s="53">
        <f>IF(J894&lt;&gt;0,M894/J894,"")</f>
        <v>0.43650127353188101</v>
      </c>
      <c r="O894" s="23">
        <v>0</v>
      </c>
      <c r="P894" s="25">
        <v>0</v>
      </c>
      <c r="Q894" s="24">
        <v>0</v>
      </c>
      <c r="R894" s="24">
        <f>O894-Q894</f>
        <v>0</v>
      </c>
      <c r="S894" s="53" t="str">
        <f>IF(O894&lt;&gt;0,R894/O894,"")</f>
        <v/>
      </c>
      <c r="T894" s="10"/>
      <c r="U894" s="23">
        <v>0</v>
      </c>
      <c r="V894" s="25">
        <v>0</v>
      </c>
      <c r="W894" s="24">
        <v>0</v>
      </c>
      <c r="X894" s="24">
        <f>U894-W894</f>
        <v>0</v>
      </c>
      <c r="Y894" s="53" t="str">
        <f>IF(U894&lt;&gt;0,X894/U894,"")</f>
        <v/>
      </c>
      <c r="Z894" s="23">
        <v>0</v>
      </c>
      <c r="AA894" s="25">
        <v>0</v>
      </c>
      <c r="AB894" s="24">
        <v>0</v>
      </c>
      <c r="AC894" s="24">
        <f t="shared" si="272"/>
        <v>0</v>
      </c>
      <c r="AD894" s="53" t="str">
        <f t="shared" si="273"/>
        <v/>
      </c>
      <c r="AE894" s="10"/>
    </row>
    <row r="895" spans="1:31" x14ac:dyDescent="0.25">
      <c r="A895" s="14" t="s">
        <v>109</v>
      </c>
      <c r="C895" s="61" t="str">
        <f t="shared" si="271"/>
        <v>C100063</v>
      </c>
      <c r="F895" s="8" t="str">
        <f>"S100021"</f>
        <v>S100021</v>
      </c>
      <c r="G895" s="9" t="str">
        <f>"Translucent Stopwatch"</f>
        <v>Translucent Stopwatch</v>
      </c>
      <c r="H895" s="47"/>
      <c r="I895" s="47"/>
      <c r="J895" s="23">
        <v>577.80999999999995</v>
      </c>
      <c r="K895" s="25">
        <v>145</v>
      </c>
      <c r="L895" s="24">
        <v>311.74</v>
      </c>
      <c r="M895" s="24">
        <f>J895-L895</f>
        <v>266.06999999999994</v>
      </c>
      <c r="N895" s="53">
        <f>IF(J895&lt;&gt;0,M895/J895,"")</f>
        <v>0.46048008861044282</v>
      </c>
      <c r="O895" s="23">
        <v>0</v>
      </c>
      <c r="P895" s="25">
        <v>0</v>
      </c>
      <c r="Q895" s="24">
        <v>0</v>
      </c>
      <c r="R895" s="24">
        <f>O895-Q895</f>
        <v>0</v>
      </c>
      <c r="S895" s="53" t="str">
        <f>IF(O895&lt;&gt;0,R895/O895,"")</f>
        <v/>
      </c>
      <c r="T895" s="10"/>
      <c r="U895" s="23">
        <v>0</v>
      </c>
      <c r="V895" s="25">
        <v>0</v>
      </c>
      <c r="W895" s="24">
        <v>0</v>
      </c>
      <c r="X895" s="24">
        <f>U895-W895</f>
        <v>0</v>
      </c>
      <c r="Y895" s="53" t="str">
        <f>IF(U895&lt;&gt;0,X895/U895,"")</f>
        <v/>
      </c>
      <c r="Z895" s="23">
        <v>0</v>
      </c>
      <c r="AA895" s="25">
        <v>0</v>
      </c>
      <c r="AB895" s="24">
        <v>0</v>
      </c>
      <c r="AC895" s="24">
        <f t="shared" si="272"/>
        <v>0</v>
      </c>
      <c r="AD895" s="53" t="str">
        <f t="shared" si="273"/>
        <v/>
      </c>
      <c r="AE895" s="10"/>
    </row>
    <row r="896" spans="1:31" ht="15.75" thickBot="1" x14ac:dyDescent="0.3">
      <c r="A896" s="14" t="s">
        <v>109</v>
      </c>
      <c r="C896" s="61" t="str">
        <f>C875</f>
        <v>C100063</v>
      </c>
      <c r="J896" s="10"/>
      <c r="K896" s="11"/>
      <c r="L896" s="11"/>
      <c r="M896" s="11"/>
      <c r="N896" s="12"/>
      <c r="O896" s="10"/>
      <c r="P896" s="11"/>
      <c r="Q896" s="11"/>
      <c r="R896" s="11"/>
      <c r="S896" s="12"/>
      <c r="U896" s="10"/>
      <c r="V896" s="11"/>
      <c r="W896" s="11"/>
      <c r="X896" s="11"/>
      <c r="Y896" s="12"/>
      <c r="Z896" s="10"/>
      <c r="AA896" s="11"/>
      <c r="AB896" s="11"/>
      <c r="AC896" s="11"/>
      <c r="AD896" s="12"/>
    </row>
    <row r="897" spans="1:31" ht="15.75" thickBot="1" x14ac:dyDescent="0.3">
      <c r="A897" s="14" t="s">
        <v>109</v>
      </c>
      <c r="C897" s="61" t="str">
        <f t="shared" si="268"/>
        <v>C100063</v>
      </c>
      <c r="G897" s="48" t="str">
        <f>C897&amp;" TOTAL:"</f>
        <v>C100063 TOTAL:</v>
      </c>
      <c r="H897" s="50"/>
      <c r="I897" s="50"/>
      <c r="J897" s="34">
        <f>SUBTOTAL(9,J874:J896)</f>
        <v>37498.479999999981</v>
      </c>
      <c r="K897" s="35">
        <f>SUBTOTAL(9,K874:K896)</f>
        <v>2273</v>
      </c>
      <c r="L897" s="36">
        <f>SUBTOTAL(9,L874:L896)</f>
        <v>19941.759999999998</v>
      </c>
      <c r="M897" s="36">
        <f>J897-L897</f>
        <v>17556.719999999983</v>
      </c>
      <c r="N897" s="37">
        <f>IF(J897&lt;&gt;0,M897/J897,"")</f>
        <v>0.46819817763279981</v>
      </c>
      <c r="O897" s="34">
        <f>SUBTOTAL(9,O874:O896)</f>
        <v>0</v>
      </c>
      <c r="P897" s="35">
        <f>SUBTOTAL(9,P874:P896)</f>
        <v>0</v>
      </c>
      <c r="Q897" s="36">
        <f>SUBTOTAL(9,Q874:Q896)</f>
        <v>0</v>
      </c>
      <c r="R897" s="36">
        <f>O897-Q897</f>
        <v>0</v>
      </c>
      <c r="S897" s="37" t="str">
        <f>IF(O897&lt;&gt;0,R897/O897,"")</f>
        <v/>
      </c>
      <c r="U897" s="34">
        <f>SUBTOTAL(9,U874:U896)</f>
        <v>7780.14</v>
      </c>
      <c r="V897" s="35">
        <f>SUBTOTAL(9,V874:V896)</f>
        <v>192</v>
      </c>
      <c r="W897" s="36">
        <f>SUBTOTAL(9,W874:W896)</f>
        <v>4065.6</v>
      </c>
      <c r="X897" s="36">
        <f>U897-W897</f>
        <v>3714.5400000000004</v>
      </c>
      <c r="Y897" s="37">
        <f>IF(U897&lt;&gt;0,X897/U897,"")</f>
        <v>0.47743870932913807</v>
      </c>
      <c r="Z897" s="34">
        <f>SUBTOTAL(9,Z874:Z896)</f>
        <v>0</v>
      </c>
      <c r="AA897" s="35">
        <f>SUBTOTAL(9,AA874:AA896)</f>
        <v>0</v>
      </c>
      <c r="AB897" s="36">
        <f>SUBTOTAL(9,AB874:AB896)</f>
        <v>0</v>
      </c>
      <c r="AC897" s="36">
        <f t="shared" ref="AC897" si="274">Z897-AB897</f>
        <v>0</v>
      </c>
      <c r="AD897" s="37" t="str">
        <f t="shared" ref="AD897" si="275">IF(Z897&lt;&gt;0,AC897/Z897,"")</f>
        <v/>
      </c>
    </row>
    <row r="898" spans="1:31" x14ac:dyDescent="0.25">
      <c r="A898" s="14" t="s">
        <v>109</v>
      </c>
      <c r="C898" s="66"/>
      <c r="J898" s="10"/>
      <c r="K898" s="11"/>
      <c r="L898" s="11"/>
      <c r="M898" s="11"/>
      <c r="N898" s="12"/>
      <c r="O898" s="10"/>
      <c r="P898" s="11"/>
      <c r="Q898" s="11"/>
      <c r="R898" s="11"/>
      <c r="S898" s="12"/>
      <c r="U898" s="10"/>
      <c r="V898" s="11"/>
      <c r="W898" s="11"/>
      <c r="X898" s="11"/>
      <c r="Y898" s="12"/>
      <c r="Z898" s="10"/>
      <c r="AA898" s="11"/>
      <c r="AB898" s="11"/>
      <c r="AC898" s="11"/>
      <c r="AD898" s="12"/>
    </row>
    <row r="899" spans="1:31" ht="15.75" x14ac:dyDescent="0.25">
      <c r="A899" s="14" t="s">
        <v>109</v>
      </c>
      <c r="C899" s="66" t="str">
        <f t="shared" ref="C899" si="276">E899</f>
        <v>C100064</v>
      </c>
      <c r="E899" s="13" t="str">
        <f>"C100064"</f>
        <v>C100064</v>
      </c>
      <c r="F899" s="13"/>
      <c r="G899" s="13" t="str">
        <f>"Möbel Siegfried"</f>
        <v>Möbel Siegfried</v>
      </c>
      <c r="H899" s="13"/>
      <c r="I899" s="13"/>
      <c r="J899" s="10"/>
      <c r="K899" s="11"/>
      <c r="L899" s="11"/>
      <c r="M899" s="11"/>
      <c r="N899" s="12"/>
      <c r="O899" s="10"/>
      <c r="P899" s="11"/>
      <c r="Q899" s="11"/>
      <c r="R899" s="11"/>
      <c r="S899" s="12"/>
      <c r="U899" s="10"/>
      <c r="V899" s="11"/>
      <c r="W899" s="11"/>
      <c r="X899" s="11"/>
      <c r="Y899" s="12"/>
      <c r="Z899" s="10"/>
      <c r="AA899" s="11"/>
      <c r="AB899" s="11"/>
      <c r="AC899" s="11"/>
      <c r="AD899" s="12"/>
    </row>
    <row r="900" spans="1:31" ht="6.6" customHeight="1" x14ac:dyDescent="0.25">
      <c r="A900" s="14" t="s">
        <v>109</v>
      </c>
      <c r="C900" s="61" t="str">
        <f t="shared" ref="C900:C903" si="277">C899</f>
        <v>C100064</v>
      </c>
      <c r="J900" s="10"/>
      <c r="K900" s="11"/>
      <c r="L900" s="11"/>
      <c r="M900" s="11"/>
      <c r="N900" s="12"/>
      <c r="O900" s="10"/>
      <c r="P900" s="11"/>
      <c r="Q900" s="11"/>
      <c r="R900" s="11"/>
      <c r="S900" s="12"/>
      <c r="U900" s="10"/>
      <c r="V900" s="11"/>
      <c r="W900" s="11"/>
      <c r="X900" s="11"/>
      <c r="Y900" s="12"/>
      <c r="Z900" s="10"/>
      <c r="AA900" s="11"/>
      <c r="AB900" s="11"/>
      <c r="AC900" s="11"/>
      <c r="AD900" s="12"/>
    </row>
    <row r="901" spans="1:31" x14ac:dyDescent="0.25">
      <c r="A901" s="14" t="s">
        <v>109</v>
      </c>
      <c r="C901" s="61" t="str">
        <f t="shared" si="277"/>
        <v>C100064</v>
      </c>
      <c r="F901" s="8" t="str">
        <f>""</f>
        <v/>
      </c>
      <c r="G901" s="9" t="str">
        <f>""</f>
        <v/>
      </c>
      <c r="H901" s="47"/>
      <c r="I901" s="47"/>
      <c r="J901" s="23">
        <v>0</v>
      </c>
      <c r="K901" s="25">
        <v>0</v>
      </c>
      <c r="L901" s="24">
        <v>0</v>
      </c>
      <c r="M901" s="24">
        <f>J901-L901</f>
        <v>0</v>
      </c>
      <c r="N901" s="53" t="str">
        <f>IF(J901&lt;&gt;0,M901/J901,"")</f>
        <v/>
      </c>
      <c r="O901" s="23">
        <v>0</v>
      </c>
      <c r="P901" s="25">
        <v>0</v>
      </c>
      <c r="Q901" s="24">
        <v>0</v>
      </c>
      <c r="R901" s="24">
        <f>O901-Q901</f>
        <v>0</v>
      </c>
      <c r="S901" s="53" t="str">
        <f>IF(O901&lt;&gt;0,R901/O901,"")</f>
        <v/>
      </c>
      <c r="T901" s="10"/>
      <c r="U901" s="23">
        <v>0</v>
      </c>
      <c r="V901" s="25">
        <v>0</v>
      </c>
      <c r="W901" s="24">
        <v>0</v>
      </c>
      <c r="X901" s="24">
        <f>U901-W901</f>
        <v>0</v>
      </c>
      <c r="Y901" s="53" t="str">
        <f>IF(U901&lt;&gt;0,X901/U901,"")</f>
        <v/>
      </c>
      <c r="Z901" s="23">
        <v>0</v>
      </c>
      <c r="AA901" s="25">
        <v>0</v>
      </c>
      <c r="AB901" s="24">
        <v>0</v>
      </c>
      <c r="AC901" s="24">
        <f t="shared" ref="AC901" si="278">Z901-AB901</f>
        <v>0</v>
      </c>
      <c r="AD901" s="53" t="str">
        <f t="shared" ref="AD901" si="279">IF(Z901&lt;&gt;0,AC901/Z901,"")</f>
        <v/>
      </c>
      <c r="AE901" s="10"/>
    </row>
    <row r="902" spans="1:31" ht="15.75" thickBot="1" x14ac:dyDescent="0.3">
      <c r="A902" s="14" t="s">
        <v>109</v>
      </c>
      <c r="C902" s="61" t="str">
        <f t="shared" si="277"/>
        <v>C100064</v>
      </c>
      <c r="J902" s="10"/>
      <c r="K902" s="11"/>
      <c r="L902" s="11"/>
      <c r="M902" s="11"/>
      <c r="N902" s="12"/>
      <c r="O902" s="10"/>
      <c r="P902" s="11"/>
      <c r="Q902" s="11"/>
      <c r="R902" s="11"/>
      <c r="S902" s="12"/>
      <c r="U902" s="10"/>
      <c r="V902" s="11"/>
      <c r="W902" s="11"/>
      <c r="X902" s="11"/>
      <c r="Y902" s="12"/>
      <c r="Z902" s="10"/>
      <c r="AA902" s="11"/>
      <c r="AB902" s="11"/>
      <c r="AC902" s="11"/>
      <c r="AD902" s="12"/>
    </row>
    <row r="903" spans="1:31" ht="15.75" thickBot="1" x14ac:dyDescent="0.3">
      <c r="A903" s="14" t="s">
        <v>109</v>
      </c>
      <c r="C903" s="61" t="str">
        <f t="shared" si="277"/>
        <v>C100064</v>
      </c>
      <c r="G903" s="48" t="str">
        <f>C903&amp;" TOTAL:"</f>
        <v>C100064 TOTAL:</v>
      </c>
      <c r="H903" s="50"/>
      <c r="I903" s="50"/>
      <c r="J903" s="34">
        <f>SUBTOTAL(9,J900:J902)</f>
        <v>0</v>
      </c>
      <c r="K903" s="35">
        <f>SUBTOTAL(9,K900:K902)</f>
        <v>0</v>
      </c>
      <c r="L903" s="36">
        <f>SUBTOTAL(9,L900:L902)</f>
        <v>0</v>
      </c>
      <c r="M903" s="36">
        <f>J903-L903</f>
        <v>0</v>
      </c>
      <c r="N903" s="37" t="str">
        <f>IF(J903&lt;&gt;0,M903/J903,"")</f>
        <v/>
      </c>
      <c r="O903" s="34">
        <f>SUBTOTAL(9,O900:O902)</f>
        <v>0</v>
      </c>
      <c r="P903" s="35">
        <f>SUBTOTAL(9,P900:P902)</f>
        <v>0</v>
      </c>
      <c r="Q903" s="36">
        <f>SUBTOTAL(9,Q900:Q902)</f>
        <v>0</v>
      </c>
      <c r="R903" s="36">
        <f>O903-Q903</f>
        <v>0</v>
      </c>
      <c r="S903" s="37" t="str">
        <f>IF(O903&lt;&gt;0,R903/O903,"")</f>
        <v/>
      </c>
      <c r="U903" s="34">
        <f>SUBTOTAL(9,U900:U902)</f>
        <v>0</v>
      </c>
      <c r="V903" s="35">
        <f>SUBTOTAL(9,V900:V902)</f>
        <v>0</v>
      </c>
      <c r="W903" s="36">
        <f>SUBTOTAL(9,W900:W902)</f>
        <v>0</v>
      </c>
      <c r="X903" s="36">
        <f>U903-W903</f>
        <v>0</v>
      </c>
      <c r="Y903" s="37" t="str">
        <f>IF(U903&lt;&gt;0,X903/U903,"")</f>
        <v/>
      </c>
      <c r="Z903" s="34">
        <f>SUBTOTAL(9,Z900:Z902)</f>
        <v>0</v>
      </c>
      <c r="AA903" s="35">
        <f>SUBTOTAL(9,AA900:AA902)</f>
        <v>0</v>
      </c>
      <c r="AB903" s="36">
        <f>SUBTOTAL(9,AB900:AB902)</f>
        <v>0</v>
      </c>
      <c r="AC903" s="36">
        <f t="shared" ref="AC903" si="280">Z903-AB903</f>
        <v>0</v>
      </c>
      <c r="AD903" s="37" t="str">
        <f t="shared" ref="AD903" si="281">IF(Z903&lt;&gt;0,AC903/Z903,"")</f>
        <v/>
      </c>
    </row>
    <row r="904" spans="1:31" x14ac:dyDescent="0.25">
      <c r="A904" s="14" t="s">
        <v>109</v>
      </c>
      <c r="C904" s="66"/>
      <c r="J904" s="10"/>
      <c r="K904" s="11"/>
      <c r="L904" s="11"/>
      <c r="M904" s="11"/>
      <c r="N904" s="12"/>
      <c r="O904" s="10"/>
      <c r="P904" s="11"/>
      <c r="Q904" s="11"/>
      <c r="R904" s="11"/>
      <c r="S904" s="12"/>
      <c r="U904" s="10"/>
      <c r="V904" s="11"/>
      <c r="W904" s="11"/>
      <c r="X904" s="11"/>
      <c r="Y904" s="12"/>
      <c r="Z904" s="10"/>
      <c r="AA904" s="11"/>
      <c r="AB904" s="11"/>
      <c r="AC904" s="11"/>
      <c r="AD904" s="12"/>
    </row>
    <row r="905" spans="1:31" ht="15.75" x14ac:dyDescent="0.25">
      <c r="A905" s="14" t="s">
        <v>109</v>
      </c>
      <c r="C905" s="66" t="str">
        <f t="shared" ref="C905" si="282">E905</f>
        <v>C100066</v>
      </c>
      <c r="E905" s="13" t="str">
        <f>"C100066"</f>
        <v>C100066</v>
      </c>
      <c r="F905" s="13"/>
      <c r="G905" s="13" t="str">
        <f>"Office Solutions"</f>
        <v>Office Solutions</v>
      </c>
      <c r="H905" s="13"/>
      <c r="I905" s="13"/>
      <c r="J905" s="10"/>
      <c r="K905" s="11"/>
      <c r="L905" s="11"/>
      <c r="M905" s="11"/>
      <c r="N905" s="12"/>
      <c r="O905" s="10"/>
      <c r="P905" s="11"/>
      <c r="Q905" s="11"/>
      <c r="R905" s="11"/>
      <c r="S905" s="12"/>
      <c r="U905" s="10"/>
      <c r="V905" s="11"/>
      <c r="W905" s="11"/>
      <c r="X905" s="11"/>
      <c r="Y905" s="12"/>
      <c r="Z905" s="10"/>
      <c r="AA905" s="11"/>
      <c r="AB905" s="11"/>
      <c r="AC905" s="11"/>
      <c r="AD905" s="12"/>
    </row>
    <row r="906" spans="1:31" ht="6.6" customHeight="1" x14ac:dyDescent="0.25">
      <c r="A906" s="14" t="s">
        <v>109</v>
      </c>
      <c r="C906" s="61" t="str">
        <f t="shared" ref="C906:C939" si="283">C905</f>
        <v>C100066</v>
      </c>
      <c r="J906" s="10"/>
      <c r="K906" s="11"/>
      <c r="L906" s="11"/>
      <c r="M906" s="11"/>
      <c r="N906" s="12"/>
      <c r="O906" s="10"/>
      <c r="P906" s="11"/>
      <c r="Q906" s="11"/>
      <c r="R906" s="11"/>
      <c r="S906" s="12"/>
      <c r="U906" s="10"/>
      <c r="V906" s="11"/>
      <c r="W906" s="11"/>
      <c r="X906" s="11"/>
      <c r="Y906" s="12"/>
      <c r="Z906" s="10"/>
      <c r="AA906" s="11"/>
      <c r="AB906" s="11"/>
      <c r="AC906" s="11"/>
      <c r="AD906" s="12"/>
    </row>
    <row r="907" spans="1:31" x14ac:dyDescent="0.25">
      <c r="A907" s="14" t="s">
        <v>109</v>
      </c>
      <c r="C907" s="61" t="str">
        <f t="shared" si="283"/>
        <v>C100066</v>
      </c>
      <c r="F907" s="8" t="str">
        <f>"C100003"</f>
        <v>C100003</v>
      </c>
      <c r="G907" s="9" t="str">
        <f>"Cherry Finish Frame"</f>
        <v>Cherry Finish Frame</v>
      </c>
      <c r="H907" s="47"/>
      <c r="I907" s="47"/>
      <c r="J907" s="23">
        <v>798.39</v>
      </c>
      <c r="K907" s="25">
        <v>12</v>
      </c>
      <c r="L907" s="24">
        <v>391.68</v>
      </c>
      <c r="M907" s="24">
        <f>J907-L907</f>
        <v>406.71</v>
      </c>
      <c r="N907" s="53">
        <f>IF(J907&lt;&gt;0,M907/J907,"")</f>
        <v>0.50941269304475256</v>
      </c>
      <c r="O907" s="23">
        <v>0</v>
      </c>
      <c r="P907" s="25">
        <v>0</v>
      </c>
      <c r="Q907" s="24">
        <v>0</v>
      </c>
      <c r="R907" s="24">
        <f>O907-Q907</f>
        <v>0</v>
      </c>
      <c r="S907" s="53" t="str">
        <f>IF(O907&lt;&gt;0,R907/O907,"")</f>
        <v/>
      </c>
      <c r="T907" s="10"/>
      <c r="U907" s="23">
        <v>0</v>
      </c>
      <c r="V907" s="25">
        <v>0</v>
      </c>
      <c r="W907" s="24">
        <v>0</v>
      </c>
      <c r="X907" s="24">
        <f>U907-W907</f>
        <v>0</v>
      </c>
      <c r="Y907" s="53" t="str">
        <f>IF(U907&lt;&gt;0,X907/U907,"")</f>
        <v/>
      </c>
      <c r="Z907" s="23">
        <v>0</v>
      </c>
      <c r="AA907" s="25">
        <v>0</v>
      </c>
      <c r="AB907" s="24">
        <v>0</v>
      </c>
      <c r="AC907" s="24">
        <f t="shared" ref="AC907" si="284">Z907-AB907</f>
        <v>0</v>
      </c>
      <c r="AD907" s="53" t="str">
        <f t="shared" ref="AD907" si="285">IF(Z907&lt;&gt;0,AC907/Z907,"")</f>
        <v/>
      </c>
      <c r="AE907" s="10"/>
    </row>
    <row r="908" spans="1:31" x14ac:dyDescent="0.25">
      <c r="A908" s="14" t="s">
        <v>109</v>
      </c>
      <c r="C908" s="61" t="str">
        <f t="shared" ref="C908:C937" si="286">C907</f>
        <v>C100066</v>
      </c>
      <c r="F908" s="8" t="str">
        <f>"C100004"</f>
        <v>C100004</v>
      </c>
      <c r="G908" s="9" t="str">
        <f>"Walnut Medallian Plate"</f>
        <v>Walnut Medallian Plate</v>
      </c>
      <c r="H908" s="47"/>
      <c r="I908" s="47"/>
      <c r="J908" s="23">
        <v>58.169999999999995</v>
      </c>
      <c r="K908" s="25">
        <v>1</v>
      </c>
      <c r="L908" s="24">
        <v>30.6</v>
      </c>
      <c r="M908" s="24">
        <f>J908-L908</f>
        <v>27.569999999999993</v>
      </c>
      <c r="N908" s="53">
        <f>IF(J908&lt;&gt;0,M908/J908,"")</f>
        <v>0.47395564724084571</v>
      </c>
      <c r="O908" s="23">
        <v>0</v>
      </c>
      <c r="P908" s="25">
        <v>0</v>
      </c>
      <c r="Q908" s="24">
        <v>0</v>
      </c>
      <c r="R908" s="24">
        <f>O908-Q908</f>
        <v>0</v>
      </c>
      <c r="S908" s="53" t="str">
        <f>IF(O908&lt;&gt;0,R908/O908,"")</f>
        <v/>
      </c>
      <c r="T908" s="10"/>
      <c r="U908" s="23">
        <v>0</v>
      </c>
      <c r="V908" s="25">
        <v>0</v>
      </c>
      <c r="W908" s="24">
        <v>0</v>
      </c>
      <c r="X908" s="24">
        <f>U908-W908</f>
        <v>0</v>
      </c>
      <c r="Y908" s="53" t="str">
        <f>IF(U908&lt;&gt;0,X908/U908,"")</f>
        <v/>
      </c>
      <c r="Z908" s="23">
        <v>0</v>
      </c>
      <c r="AA908" s="25">
        <v>0</v>
      </c>
      <c r="AB908" s="24">
        <v>0</v>
      </c>
      <c r="AC908" s="24">
        <f t="shared" ref="AC908:AC937" si="287">Z908-AB908</f>
        <v>0</v>
      </c>
      <c r="AD908" s="53" t="str">
        <f t="shared" ref="AD908:AD937" si="288">IF(Z908&lt;&gt;0,AC908/Z908,"")</f>
        <v/>
      </c>
      <c r="AE908" s="10"/>
    </row>
    <row r="909" spans="1:31" x14ac:dyDescent="0.25">
      <c r="A909" s="14" t="s">
        <v>109</v>
      </c>
      <c r="C909" s="61" t="str">
        <f t="shared" si="286"/>
        <v>C100066</v>
      </c>
      <c r="F909" s="8" t="str">
        <f>"C100007"</f>
        <v>C100007</v>
      </c>
      <c r="G909" s="9" t="str">
        <f>"7.5'' Bud Vase"</f>
        <v>7.5'' Bud Vase</v>
      </c>
      <c r="H909" s="47"/>
      <c r="I909" s="47"/>
      <c r="J909" s="23">
        <v>244.91</v>
      </c>
      <c r="K909" s="25">
        <v>147</v>
      </c>
      <c r="L909" s="24">
        <v>149.94999999999999</v>
      </c>
      <c r="M909" s="24">
        <f>J909-L909</f>
        <v>94.960000000000008</v>
      </c>
      <c r="N909" s="53">
        <f>IF(J909&lt;&gt;0,M909/J909,"")</f>
        <v>0.38773426973173825</v>
      </c>
      <c r="O909" s="23">
        <v>0</v>
      </c>
      <c r="P909" s="25">
        <v>0</v>
      </c>
      <c r="Q909" s="24">
        <v>0</v>
      </c>
      <c r="R909" s="24">
        <f>O909-Q909</f>
        <v>0</v>
      </c>
      <c r="S909" s="53" t="str">
        <f>IF(O909&lt;&gt;0,R909/O909,"")</f>
        <v/>
      </c>
      <c r="T909" s="10"/>
      <c r="U909" s="23">
        <v>11.66</v>
      </c>
      <c r="V909" s="25">
        <v>7</v>
      </c>
      <c r="W909" s="24">
        <v>7.14</v>
      </c>
      <c r="X909" s="24">
        <f>U909-W909</f>
        <v>4.5200000000000005</v>
      </c>
      <c r="Y909" s="53">
        <f>IF(U909&lt;&gt;0,X909/U909,"")</f>
        <v>0.38765008576329335</v>
      </c>
      <c r="Z909" s="23">
        <v>0</v>
      </c>
      <c r="AA909" s="25">
        <v>0</v>
      </c>
      <c r="AB909" s="24">
        <v>0</v>
      </c>
      <c r="AC909" s="24">
        <f t="shared" si="287"/>
        <v>0</v>
      </c>
      <c r="AD909" s="53" t="str">
        <f t="shared" si="288"/>
        <v/>
      </c>
      <c r="AE909" s="10"/>
    </row>
    <row r="910" spans="1:31" x14ac:dyDescent="0.25">
      <c r="A910" s="14" t="s">
        <v>109</v>
      </c>
      <c r="C910" s="61" t="str">
        <f t="shared" si="286"/>
        <v>C100066</v>
      </c>
      <c r="F910" s="8" t="str">
        <f>"C100008"</f>
        <v>C100008</v>
      </c>
      <c r="G910" s="9" t="str">
        <f>"Glacier Vase"</f>
        <v>Glacier Vase</v>
      </c>
      <c r="H910" s="47"/>
      <c r="I910" s="47"/>
      <c r="J910" s="23">
        <v>0</v>
      </c>
      <c r="K910" s="25">
        <v>0</v>
      </c>
      <c r="L910" s="24">
        <v>0</v>
      </c>
      <c r="M910" s="24">
        <f>J910-L910</f>
        <v>0</v>
      </c>
      <c r="N910" s="53" t="str">
        <f>IF(J910&lt;&gt;0,M910/J910,"")</f>
        <v/>
      </c>
      <c r="O910" s="23">
        <v>106.42999999999999</v>
      </c>
      <c r="P910" s="25">
        <v>12</v>
      </c>
      <c r="Q910" s="24">
        <v>51</v>
      </c>
      <c r="R910" s="24">
        <f>O910-Q910</f>
        <v>55.429999999999993</v>
      </c>
      <c r="S910" s="53">
        <f>IF(O910&lt;&gt;0,R910/O910,"")</f>
        <v>0.52081180118387671</v>
      </c>
      <c r="T910" s="10"/>
      <c r="U910" s="23">
        <v>425.71000000000004</v>
      </c>
      <c r="V910" s="25">
        <v>48</v>
      </c>
      <c r="W910" s="24">
        <v>204</v>
      </c>
      <c r="X910" s="24">
        <f>U910-W910</f>
        <v>221.71000000000004</v>
      </c>
      <c r="Y910" s="53">
        <f>IF(U910&lt;&gt;0,X910/U910,"")</f>
        <v>0.52080054497192929</v>
      </c>
      <c r="Z910" s="23">
        <v>0</v>
      </c>
      <c r="AA910" s="25">
        <v>0</v>
      </c>
      <c r="AB910" s="24">
        <v>0</v>
      </c>
      <c r="AC910" s="24">
        <f t="shared" si="287"/>
        <v>0</v>
      </c>
      <c r="AD910" s="53" t="str">
        <f t="shared" si="288"/>
        <v/>
      </c>
      <c r="AE910" s="10"/>
    </row>
    <row r="911" spans="1:31" x14ac:dyDescent="0.25">
      <c r="A911" s="14" t="s">
        <v>109</v>
      </c>
      <c r="C911" s="61" t="str">
        <f t="shared" si="286"/>
        <v>C100066</v>
      </c>
      <c r="F911" s="8" t="str">
        <f>"C100009"</f>
        <v>C100009</v>
      </c>
      <c r="G911" s="9" t="str">
        <f>"Normandy Vase"</f>
        <v>Normandy Vase</v>
      </c>
      <c r="H911" s="47"/>
      <c r="I911" s="47"/>
      <c r="J911" s="23">
        <v>7022.48</v>
      </c>
      <c r="K911" s="25">
        <v>180</v>
      </c>
      <c r="L911" s="24">
        <v>4593.57</v>
      </c>
      <c r="M911" s="24">
        <f>J911-L911</f>
        <v>2428.91</v>
      </c>
      <c r="N911" s="53">
        <f>IF(J911&lt;&gt;0,M911/J911,"")</f>
        <v>0.34587638555040384</v>
      </c>
      <c r="O911" s="23">
        <v>0</v>
      </c>
      <c r="P911" s="25">
        <v>0</v>
      </c>
      <c r="Q911" s="24">
        <v>0</v>
      </c>
      <c r="R911" s="24">
        <f>O911-Q911</f>
        <v>0</v>
      </c>
      <c r="S911" s="53" t="str">
        <f>IF(O911&lt;&gt;0,R911/O911,"")</f>
        <v/>
      </c>
      <c r="T911" s="10"/>
      <c r="U911" s="23">
        <v>0</v>
      </c>
      <c r="V911" s="25">
        <v>0</v>
      </c>
      <c r="W911" s="24">
        <v>0</v>
      </c>
      <c r="X911" s="24">
        <f>U911-W911</f>
        <v>0</v>
      </c>
      <c r="Y911" s="53" t="str">
        <f>IF(U911&lt;&gt;0,X911/U911,"")</f>
        <v/>
      </c>
      <c r="Z911" s="23">
        <v>0</v>
      </c>
      <c r="AA911" s="25">
        <v>0</v>
      </c>
      <c r="AB911" s="24">
        <v>0</v>
      </c>
      <c r="AC911" s="24">
        <f t="shared" si="287"/>
        <v>0</v>
      </c>
      <c r="AD911" s="53" t="str">
        <f t="shared" si="288"/>
        <v/>
      </c>
      <c r="AE911" s="10"/>
    </row>
    <row r="912" spans="1:31" x14ac:dyDescent="0.25">
      <c r="A912" s="14" t="s">
        <v>109</v>
      </c>
      <c r="C912" s="61" t="str">
        <f t="shared" si="286"/>
        <v>C100066</v>
      </c>
      <c r="F912" s="8" t="str">
        <f>"C100011"</f>
        <v>C100011</v>
      </c>
      <c r="G912" s="9" t="str">
        <f>"Winter Frost Vase"</f>
        <v>Winter Frost Vase</v>
      </c>
      <c r="H912" s="47"/>
      <c r="I912" s="47"/>
      <c r="J912" s="23">
        <v>59.16</v>
      </c>
      <c r="K912" s="25">
        <v>1</v>
      </c>
      <c r="L912" s="24">
        <v>38.700000000000003</v>
      </c>
      <c r="M912" s="24">
        <f>J912-L912</f>
        <v>20.459999999999994</v>
      </c>
      <c r="N912" s="53">
        <f>IF(J912&lt;&gt;0,M912/J912,"")</f>
        <v>0.3458417849898579</v>
      </c>
      <c r="O912" s="23">
        <v>0</v>
      </c>
      <c r="P912" s="25">
        <v>0</v>
      </c>
      <c r="Q912" s="24">
        <v>0</v>
      </c>
      <c r="R912" s="24">
        <f>O912-Q912</f>
        <v>0</v>
      </c>
      <c r="S912" s="53" t="str">
        <f>IF(O912&lt;&gt;0,R912/O912,"")</f>
        <v/>
      </c>
      <c r="T912" s="10"/>
      <c r="U912" s="23">
        <v>0</v>
      </c>
      <c r="V912" s="25">
        <v>0</v>
      </c>
      <c r="W912" s="24">
        <v>0</v>
      </c>
      <c r="X912" s="24">
        <f>U912-W912</f>
        <v>0</v>
      </c>
      <c r="Y912" s="53" t="str">
        <f>IF(U912&lt;&gt;0,X912/U912,"")</f>
        <v/>
      </c>
      <c r="Z912" s="23">
        <v>0</v>
      </c>
      <c r="AA912" s="25">
        <v>0</v>
      </c>
      <c r="AB912" s="24">
        <v>0</v>
      </c>
      <c r="AC912" s="24">
        <f t="shared" si="287"/>
        <v>0</v>
      </c>
      <c r="AD912" s="53" t="str">
        <f t="shared" si="288"/>
        <v/>
      </c>
      <c r="AE912" s="10"/>
    </row>
    <row r="913" spans="1:31" x14ac:dyDescent="0.25">
      <c r="A913" s="14" t="s">
        <v>109</v>
      </c>
      <c r="C913" s="61" t="str">
        <f t="shared" si="286"/>
        <v>C100066</v>
      </c>
      <c r="F913" s="8" t="str">
        <f>"C100031"</f>
        <v>C100031</v>
      </c>
      <c r="G913" s="9" t="str">
        <f>"Carabiner Watch"</f>
        <v>Carabiner Watch</v>
      </c>
      <c r="H913" s="47"/>
      <c r="I913" s="47"/>
      <c r="J913" s="23">
        <v>0</v>
      </c>
      <c r="K913" s="25">
        <v>0</v>
      </c>
      <c r="L913" s="24">
        <v>0</v>
      </c>
      <c r="M913" s="24">
        <f>J913-L913</f>
        <v>0</v>
      </c>
      <c r="N913" s="53" t="str">
        <f>IF(J913&lt;&gt;0,M913/J913,"")</f>
        <v/>
      </c>
      <c r="O913" s="23">
        <v>444.06</v>
      </c>
      <c r="P913" s="25">
        <v>24</v>
      </c>
      <c r="Q913" s="24">
        <v>205.92</v>
      </c>
      <c r="R913" s="24">
        <f>O913-Q913</f>
        <v>238.14000000000001</v>
      </c>
      <c r="S913" s="53">
        <f>IF(O913&lt;&gt;0,R913/O913,"")</f>
        <v>0.53627888123226597</v>
      </c>
      <c r="T913" s="10"/>
      <c r="U913" s="23">
        <v>0</v>
      </c>
      <c r="V913" s="25">
        <v>0</v>
      </c>
      <c r="W913" s="24">
        <v>0</v>
      </c>
      <c r="X913" s="24">
        <f>U913-W913</f>
        <v>0</v>
      </c>
      <c r="Y913" s="53" t="str">
        <f>IF(U913&lt;&gt;0,X913/U913,"")</f>
        <v/>
      </c>
      <c r="Z913" s="23">
        <v>0</v>
      </c>
      <c r="AA913" s="25">
        <v>0</v>
      </c>
      <c r="AB913" s="24">
        <v>0</v>
      </c>
      <c r="AC913" s="24">
        <f t="shared" si="287"/>
        <v>0</v>
      </c>
      <c r="AD913" s="53" t="str">
        <f t="shared" si="288"/>
        <v/>
      </c>
      <c r="AE913" s="10"/>
    </row>
    <row r="914" spans="1:31" x14ac:dyDescent="0.25">
      <c r="A914" s="14" t="s">
        <v>109</v>
      </c>
      <c r="C914" s="61" t="str">
        <f t="shared" si="286"/>
        <v>C100066</v>
      </c>
      <c r="F914" s="8" t="str">
        <f>"C100032"</f>
        <v>C100032</v>
      </c>
      <c r="G914" s="9" t="str">
        <f>"Clip-on Clock"</f>
        <v>Clip-on Clock</v>
      </c>
      <c r="H914" s="47"/>
      <c r="I914" s="47"/>
      <c r="J914" s="23">
        <v>0</v>
      </c>
      <c r="K914" s="25">
        <v>0</v>
      </c>
      <c r="L914" s="24">
        <v>0</v>
      </c>
      <c r="M914" s="24">
        <f>J914-L914</f>
        <v>0</v>
      </c>
      <c r="N914" s="53" t="str">
        <f>IF(J914&lt;&gt;0,M914/J914,"")</f>
        <v/>
      </c>
      <c r="O914" s="23">
        <v>96.899999999999991</v>
      </c>
      <c r="P914" s="25">
        <v>12</v>
      </c>
      <c r="Q914" s="24">
        <v>49.92</v>
      </c>
      <c r="R914" s="24">
        <f>O914-Q914</f>
        <v>46.97999999999999</v>
      </c>
      <c r="S914" s="53">
        <f>IF(O914&lt;&gt;0,R914/O914,"")</f>
        <v>0.48482972136222902</v>
      </c>
      <c r="T914" s="10"/>
      <c r="U914" s="23">
        <v>0</v>
      </c>
      <c r="V914" s="25">
        <v>0</v>
      </c>
      <c r="W914" s="24">
        <v>0</v>
      </c>
      <c r="X914" s="24">
        <f>U914-W914</f>
        <v>0</v>
      </c>
      <c r="Y914" s="53" t="str">
        <f>IF(U914&lt;&gt;0,X914/U914,"")</f>
        <v/>
      </c>
      <c r="Z914" s="23">
        <v>0</v>
      </c>
      <c r="AA914" s="25">
        <v>0</v>
      </c>
      <c r="AB914" s="24">
        <v>0</v>
      </c>
      <c r="AC914" s="24">
        <f t="shared" si="287"/>
        <v>0</v>
      </c>
      <c r="AD914" s="53" t="str">
        <f t="shared" si="288"/>
        <v/>
      </c>
      <c r="AE914" s="10"/>
    </row>
    <row r="915" spans="1:31" x14ac:dyDescent="0.25">
      <c r="A915" s="14" t="s">
        <v>109</v>
      </c>
      <c r="C915" s="61" t="str">
        <f t="shared" si="286"/>
        <v>C100066</v>
      </c>
      <c r="F915" s="8" t="str">
        <f>"C100033"</f>
        <v>C100033</v>
      </c>
      <c r="G915" s="9" t="str">
        <f>"Frames &amp; Clock"</f>
        <v>Frames &amp; Clock</v>
      </c>
      <c r="H915" s="47"/>
      <c r="I915" s="47"/>
      <c r="J915" s="23">
        <v>687.76</v>
      </c>
      <c r="K915" s="25">
        <v>145</v>
      </c>
      <c r="L915" s="24">
        <v>417.58</v>
      </c>
      <c r="M915" s="24">
        <f>J915-L915</f>
        <v>270.18</v>
      </c>
      <c r="N915" s="53">
        <f>IF(J915&lt;&gt;0,M915/J915,"")</f>
        <v>0.39284052576480166</v>
      </c>
      <c r="O915" s="23">
        <v>692.5</v>
      </c>
      <c r="P915" s="25">
        <v>146</v>
      </c>
      <c r="Q915" s="24">
        <v>420.46</v>
      </c>
      <c r="R915" s="24">
        <f>O915-Q915</f>
        <v>272.04000000000002</v>
      </c>
      <c r="S915" s="53">
        <f>IF(O915&lt;&gt;0,R915/O915,"")</f>
        <v>0.39283754512635383</v>
      </c>
      <c r="T915" s="10"/>
      <c r="U915" s="23">
        <v>0</v>
      </c>
      <c r="V915" s="25">
        <v>0</v>
      </c>
      <c r="W915" s="24">
        <v>0</v>
      </c>
      <c r="X915" s="24">
        <f>U915-W915</f>
        <v>0</v>
      </c>
      <c r="Y915" s="53" t="str">
        <f>IF(U915&lt;&gt;0,X915/U915,"")</f>
        <v/>
      </c>
      <c r="Z915" s="23">
        <v>56.92</v>
      </c>
      <c r="AA915" s="25">
        <v>12</v>
      </c>
      <c r="AB915" s="24">
        <v>34.56</v>
      </c>
      <c r="AC915" s="24">
        <f t="shared" si="287"/>
        <v>22.36</v>
      </c>
      <c r="AD915" s="53">
        <f t="shared" si="288"/>
        <v>0.39283204497540403</v>
      </c>
      <c r="AE915" s="10"/>
    </row>
    <row r="916" spans="1:31" x14ac:dyDescent="0.25">
      <c r="A916" s="14" t="s">
        <v>109</v>
      </c>
      <c r="C916" s="61" t="str">
        <f t="shared" si="286"/>
        <v>C100066</v>
      </c>
      <c r="F916" s="8" t="str">
        <f>"C100034"</f>
        <v>C100034</v>
      </c>
      <c r="G916" s="9" t="str">
        <f>"Clock &amp; Pen Holder"</f>
        <v>Clock &amp; Pen Holder</v>
      </c>
      <c r="H916" s="47"/>
      <c r="I916" s="47"/>
      <c r="J916" s="23">
        <v>188.28</v>
      </c>
      <c r="K916" s="25">
        <v>12</v>
      </c>
      <c r="L916" s="24">
        <v>118.56</v>
      </c>
      <c r="M916" s="24">
        <f>J916-L916</f>
        <v>69.72</v>
      </c>
      <c r="N916" s="53">
        <f>IF(J916&lt;&gt;0,M916/J916,"")</f>
        <v>0.3702995538559592</v>
      </c>
      <c r="O916" s="23">
        <v>0</v>
      </c>
      <c r="P916" s="25">
        <v>0</v>
      </c>
      <c r="Q916" s="24">
        <v>0</v>
      </c>
      <c r="R916" s="24">
        <f>O916-Q916</f>
        <v>0</v>
      </c>
      <c r="S916" s="53" t="str">
        <f>IF(O916&lt;&gt;0,R916/O916,"")</f>
        <v/>
      </c>
      <c r="T916" s="10"/>
      <c r="U916" s="23">
        <v>0</v>
      </c>
      <c r="V916" s="25">
        <v>0</v>
      </c>
      <c r="W916" s="24">
        <v>0</v>
      </c>
      <c r="X916" s="24">
        <f>U916-W916</f>
        <v>0</v>
      </c>
      <c r="Y916" s="53" t="str">
        <f>IF(U916&lt;&gt;0,X916/U916,"")</f>
        <v/>
      </c>
      <c r="Z916" s="23">
        <v>0</v>
      </c>
      <c r="AA916" s="25">
        <v>0</v>
      </c>
      <c r="AB916" s="24">
        <v>0</v>
      </c>
      <c r="AC916" s="24">
        <f t="shared" si="287"/>
        <v>0</v>
      </c>
      <c r="AD916" s="53" t="str">
        <f t="shared" si="288"/>
        <v/>
      </c>
      <c r="AE916" s="10"/>
    </row>
    <row r="917" spans="1:31" x14ac:dyDescent="0.25">
      <c r="A917" s="14" t="s">
        <v>109</v>
      </c>
      <c r="C917" s="61" t="str">
        <f t="shared" si="286"/>
        <v>C100066</v>
      </c>
      <c r="F917" s="8" t="str">
        <f>"C100035"</f>
        <v>C100035</v>
      </c>
      <c r="G917" s="9" t="str">
        <f>"Calculator &amp; World Time Clock"</f>
        <v>Calculator &amp; World Time Clock</v>
      </c>
      <c r="H917" s="47"/>
      <c r="I917" s="47"/>
      <c r="J917" s="23">
        <v>20.170000000000002</v>
      </c>
      <c r="K917" s="25">
        <v>7</v>
      </c>
      <c r="L917" s="24">
        <v>13.72</v>
      </c>
      <c r="M917" s="24">
        <f>J917-L917</f>
        <v>6.4500000000000011</v>
      </c>
      <c r="N917" s="53">
        <f>IF(J917&lt;&gt;0,M917/J917,"")</f>
        <v>0.31978185423896877</v>
      </c>
      <c r="O917" s="23">
        <v>20.170000000000002</v>
      </c>
      <c r="P917" s="25">
        <v>7</v>
      </c>
      <c r="Q917" s="24">
        <v>13.72</v>
      </c>
      <c r="R917" s="24">
        <f>O917-Q917</f>
        <v>6.4500000000000011</v>
      </c>
      <c r="S917" s="53">
        <f>IF(O917&lt;&gt;0,R917/O917,"")</f>
        <v>0.31978185423896877</v>
      </c>
      <c r="T917" s="10"/>
      <c r="U917" s="23">
        <v>0</v>
      </c>
      <c r="V917" s="25">
        <v>0</v>
      </c>
      <c r="W917" s="24">
        <v>0</v>
      </c>
      <c r="X917" s="24">
        <f>U917-W917</f>
        <v>0</v>
      </c>
      <c r="Y917" s="53" t="str">
        <f>IF(U917&lt;&gt;0,X917/U917,"")</f>
        <v/>
      </c>
      <c r="Z917" s="23">
        <v>2.88</v>
      </c>
      <c r="AA917" s="25">
        <v>1</v>
      </c>
      <c r="AB917" s="24">
        <v>1.96</v>
      </c>
      <c r="AC917" s="24">
        <f t="shared" si="287"/>
        <v>0.91999999999999993</v>
      </c>
      <c r="AD917" s="53">
        <f t="shared" si="288"/>
        <v>0.31944444444444442</v>
      </c>
      <c r="AE917" s="10"/>
    </row>
    <row r="918" spans="1:31" x14ac:dyDescent="0.25">
      <c r="A918" s="14" t="s">
        <v>109</v>
      </c>
      <c r="C918" s="61" t="str">
        <f t="shared" si="286"/>
        <v>C100066</v>
      </c>
      <c r="F918" s="8" t="str">
        <f>"C100036"</f>
        <v>C100036</v>
      </c>
      <c r="G918" s="9" t="str">
        <f>"Clock &amp; Business Card Holder"</f>
        <v>Clock &amp; Business Card Holder</v>
      </c>
      <c r="H918" s="47"/>
      <c r="I918" s="47"/>
      <c r="J918" s="23">
        <v>2660.11</v>
      </c>
      <c r="K918" s="25">
        <v>312</v>
      </c>
      <c r="L918" s="24">
        <v>1460.19</v>
      </c>
      <c r="M918" s="24">
        <f>J918-L918</f>
        <v>1199.92</v>
      </c>
      <c r="N918" s="53">
        <f>IF(J918&lt;&gt;0,M918/J918,"")</f>
        <v>0.45107909071429375</v>
      </c>
      <c r="O918" s="23">
        <v>8.5299999999999994</v>
      </c>
      <c r="P918" s="25">
        <v>1</v>
      </c>
      <c r="Q918" s="24">
        <v>4.68</v>
      </c>
      <c r="R918" s="24">
        <f>O918-Q918</f>
        <v>3.8499999999999996</v>
      </c>
      <c r="S918" s="53">
        <f>IF(O918&lt;&gt;0,R918/O918,"")</f>
        <v>0.45134818288393902</v>
      </c>
      <c r="T918" s="10"/>
      <c r="U918" s="23">
        <v>1227.74</v>
      </c>
      <c r="V918" s="25">
        <v>144</v>
      </c>
      <c r="W918" s="24">
        <v>673.93000000000006</v>
      </c>
      <c r="X918" s="24">
        <f>U918-W918</f>
        <v>553.80999999999995</v>
      </c>
      <c r="Y918" s="53">
        <f>IF(U918&lt;&gt;0,X918/U918,"")</f>
        <v>0.45108084773649137</v>
      </c>
      <c r="Z918" s="23">
        <v>8.5299999999999994</v>
      </c>
      <c r="AA918" s="25">
        <v>1</v>
      </c>
      <c r="AB918" s="24">
        <v>4.68</v>
      </c>
      <c r="AC918" s="24">
        <f t="shared" si="287"/>
        <v>3.8499999999999996</v>
      </c>
      <c r="AD918" s="53">
        <f t="shared" si="288"/>
        <v>0.45134818288393902</v>
      </c>
      <c r="AE918" s="10"/>
    </row>
    <row r="919" spans="1:31" x14ac:dyDescent="0.25">
      <c r="A919" s="14" t="s">
        <v>109</v>
      </c>
      <c r="C919" s="61" t="str">
        <f t="shared" si="286"/>
        <v>C100066</v>
      </c>
      <c r="F919" s="8" t="str">
        <f>"C100037"</f>
        <v>C100037</v>
      </c>
      <c r="G919" s="9" t="str">
        <f>"World Time Travel Alarm"</f>
        <v>World Time Travel Alarm</v>
      </c>
      <c r="H919" s="47"/>
      <c r="I919" s="47"/>
      <c r="J919" s="23">
        <v>1325.94</v>
      </c>
      <c r="K919" s="25">
        <v>150</v>
      </c>
      <c r="L919" s="24">
        <v>810.01</v>
      </c>
      <c r="M919" s="24">
        <f>J919-L919</f>
        <v>515.93000000000006</v>
      </c>
      <c r="N919" s="53">
        <f>IF(J919&lt;&gt;0,M919/J919,"")</f>
        <v>0.38910508771135954</v>
      </c>
      <c r="O919" s="23">
        <v>0</v>
      </c>
      <c r="P919" s="25">
        <v>0</v>
      </c>
      <c r="Q919" s="24">
        <v>0</v>
      </c>
      <c r="R919" s="24">
        <f>O919-Q919</f>
        <v>0</v>
      </c>
      <c r="S919" s="53" t="str">
        <f>IF(O919&lt;&gt;0,R919/O919,"")</f>
        <v/>
      </c>
      <c r="T919" s="10"/>
      <c r="U919" s="23">
        <v>0</v>
      </c>
      <c r="V919" s="25">
        <v>0</v>
      </c>
      <c r="W919" s="24">
        <v>0</v>
      </c>
      <c r="X919" s="24">
        <f>U919-W919</f>
        <v>0</v>
      </c>
      <c r="Y919" s="53" t="str">
        <f>IF(U919&lt;&gt;0,X919/U919,"")</f>
        <v/>
      </c>
      <c r="Z919" s="23">
        <v>0</v>
      </c>
      <c r="AA919" s="25">
        <v>0</v>
      </c>
      <c r="AB919" s="24">
        <v>0</v>
      </c>
      <c r="AC919" s="24">
        <f t="shared" si="287"/>
        <v>0</v>
      </c>
      <c r="AD919" s="53" t="str">
        <f t="shared" si="288"/>
        <v/>
      </c>
      <c r="AE919" s="10"/>
    </row>
    <row r="920" spans="1:31" x14ac:dyDescent="0.25">
      <c r="A920" s="14" t="s">
        <v>109</v>
      </c>
      <c r="C920" s="61" t="str">
        <f t="shared" si="286"/>
        <v>C100066</v>
      </c>
      <c r="F920" s="8" t="str">
        <f>"C100038"</f>
        <v>C100038</v>
      </c>
      <c r="G920" s="9" t="str">
        <f>"Foldable Travel Speakers"</f>
        <v>Foldable Travel Speakers</v>
      </c>
      <c r="H920" s="47"/>
      <c r="I920" s="47"/>
      <c r="J920" s="23">
        <v>0</v>
      </c>
      <c r="K920" s="25">
        <v>0</v>
      </c>
      <c r="L920" s="24">
        <v>0</v>
      </c>
      <c r="M920" s="24">
        <f>J920-L920</f>
        <v>0</v>
      </c>
      <c r="N920" s="53" t="str">
        <f>IF(J920&lt;&gt;0,M920/J920,"")</f>
        <v/>
      </c>
      <c r="O920" s="23">
        <v>9.44</v>
      </c>
      <c r="P920" s="25">
        <v>2</v>
      </c>
      <c r="Q920" s="24">
        <v>6.38</v>
      </c>
      <c r="R920" s="24">
        <f>O920-Q920</f>
        <v>3.0599999999999996</v>
      </c>
      <c r="S920" s="53">
        <f>IF(O920&lt;&gt;0,R920/O920,"")</f>
        <v>0.32415254237288132</v>
      </c>
      <c r="T920" s="10"/>
      <c r="U920" s="23">
        <v>-4.72</v>
      </c>
      <c r="V920" s="25">
        <v>-1</v>
      </c>
      <c r="W920" s="24">
        <v>-3.19</v>
      </c>
      <c r="X920" s="24">
        <f>U920-W920</f>
        <v>-1.5299999999999998</v>
      </c>
      <c r="Y920" s="53">
        <f>IF(U920&lt;&gt;0,X920/U920,"")</f>
        <v>0.32415254237288132</v>
      </c>
      <c r="Z920" s="23">
        <v>4.72</v>
      </c>
      <c r="AA920" s="25">
        <v>1</v>
      </c>
      <c r="AB920" s="24">
        <v>3.19</v>
      </c>
      <c r="AC920" s="24">
        <f t="shared" si="287"/>
        <v>1.5299999999999998</v>
      </c>
      <c r="AD920" s="53">
        <f t="shared" si="288"/>
        <v>0.32415254237288132</v>
      </c>
      <c r="AE920" s="10"/>
    </row>
    <row r="921" spans="1:31" x14ac:dyDescent="0.25">
      <c r="A921" s="14" t="s">
        <v>109</v>
      </c>
      <c r="C921" s="61" t="str">
        <f t="shared" si="286"/>
        <v>C100066</v>
      </c>
      <c r="F921" s="8" t="str">
        <f>"C100039"</f>
        <v>C100039</v>
      </c>
      <c r="G921" s="9" t="str">
        <f>"Portable Speaker &amp; MP3 Dock"</f>
        <v>Portable Speaker &amp; MP3 Dock</v>
      </c>
      <c r="H921" s="47"/>
      <c r="I921" s="47"/>
      <c r="J921" s="23">
        <v>14.57</v>
      </c>
      <c r="K921" s="25">
        <v>1</v>
      </c>
      <c r="L921" s="24">
        <v>8.4</v>
      </c>
      <c r="M921" s="24">
        <f>J921-L921</f>
        <v>6.17</v>
      </c>
      <c r="N921" s="53">
        <f>IF(J921&lt;&gt;0,M921/J921,"")</f>
        <v>0.4234728894989705</v>
      </c>
      <c r="O921" s="23">
        <v>2273.3200000000002</v>
      </c>
      <c r="P921" s="25">
        <v>156</v>
      </c>
      <c r="Q921" s="24">
        <v>1310.4000000000001</v>
      </c>
      <c r="R921" s="24">
        <f>O921-Q921</f>
        <v>962.92000000000007</v>
      </c>
      <c r="S921" s="53">
        <f>IF(O921&lt;&gt;0,R921/O921,"")</f>
        <v>0.42357433181426285</v>
      </c>
      <c r="T921" s="10"/>
      <c r="U921" s="23">
        <v>2098.4500000000003</v>
      </c>
      <c r="V921" s="25">
        <v>144</v>
      </c>
      <c r="W921" s="24">
        <v>1209.5999999999999</v>
      </c>
      <c r="X921" s="24">
        <f>U921-W921</f>
        <v>888.85000000000036</v>
      </c>
      <c r="Y921" s="53">
        <f>IF(U921&lt;&gt;0,X921/U921,"")</f>
        <v>0.42357454311515652</v>
      </c>
      <c r="Z921" s="23">
        <v>0</v>
      </c>
      <c r="AA921" s="25">
        <v>0</v>
      </c>
      <c r="AB921" s="24">
        <v>0</v>
      </c>
      <c r="AC921" s="24">
        <f t="shared" si="287"/>
        <v>0</v>
      </c>
      <c r="AD921" s="53" t="str">
        <f t="shared" si="288"/>
        <v/>
      </c>
      <c r="AE921" s="10"/>
    </row>
    <row r="922" spans="1:31" x14ac:dyDescent="0.25">
      <c r="A922" s="14" t="s">
        <v>109</v>
      </c>
      <c r="C922" s="61" t="str">
        <f t="shared" si="286"/>
        <v>C100066</v>
      </c>
      <c r="F922" s="8" t="str">
        <f>"C100040"</f>
        <v>C100040</v>
      </c>
      <c r="G922" s="9" t="str">
        <f>"Channel Speaker System"</f>
        <v>Channel Speaker System</v>
      </c>
      <c r="H922" s="47"/>
      <c r="I922" s="47"/>
      <c r="J922" s="23">
        <v>1973.8000000000002</v>
      </c>
      <c r="K922" s="25">
        <v>48</v>
      </c>
      <c r="L922" s="24">
        <v>996.94999999999993</v>
      </c>
      <c r="M922" s="24">
        <f>J922-L922</f>
        <v>976.85000000000025</v>
      </c>
      <c r="N922" s="53">
        <f>IF(J922&lt;&gt;0,M922/J922,"")</f>
        <v>0.49490829871314224</v>
      </c>
      <c r="O922" s="23">
        <v>41.12</v>
      </c>
      <c r="P922" s="25">
        <v>1</v>
      </c>
      <c r="Q922" s="24">
        <v>20.77</v>
      </c>
      <c r="R922" s="24">
        <f>O922-Q922</f>
        <v>20.349999999999998</v>
      </c>
      <c r="S922" s="53">
        <f>IF(O922&lt;&gt;0,R922/O922,"")</f>
        <v>0.49489299610894938</v>
      </c>
      <c r="T922" s="10"/>
      <c r="U922" s="23">
        <v>0</v>
      </c>
      <c r="V922" s="25">
        <v>0</v>
      </c>
      <c r="W922" s="24">
        <v>0</v>
      </c>
      <c r="X922" s="24">
        <f>U922-W922</f>
        <v>0</v>
      </c>
      <c r="Y922" s="53" t="str">
        <f>IF(U922&lt;&gt;0,X922/U922,"")</f>
        <v/>
      </c>
      <c r="Z922" s="23">
        <v>0</v>
      </c>
      <c r="AA922" s="25">
        <v>0</v>
      </c>
      <c r="AB922" s="24">
        <v>0</v>
      </c>
      <c r="AC922" s="24">
        <f t="shared" si="287"/>
        <v>0</v>
      </c>
      <c r="AD922" s="53" t="str">
        <f t="shared" si="288"/>
        <v/>
      </c>
      <c r="AE922" s="10"/>
    </row>
    <row r="923" spans="1:31" x14ac:dyDescent="0.25">
      <c r="A923" s="14" t="s">
        <v>109</v>
      </c>
      <c r="C923" s="61" t="str">
        <f t="shared" si="286"/>
        <v>C100066</v>
      </c>
      <c r="F923" s="8" t="str">
        <f>"C100041"</f>
        <v>C100041</v>
      </c>
      <c r="G923" s="9" t="str">
        <f>"Folding Stereo Speakers"</f>
        <v>Folding Stereo Speakers</v>
      </c>
      <c r="H923" s="47"/>
      <c r="I923" s="47"/>
      <c r="J923" s="23">
        <v>2197.2400000000002</v>
      </c>
      <c r="K923" s="25">
        <v>144</v>
      </c>
      <c r="L923" s="24">
        <v>1205.19</v>
      </c>
      <c r="M923" s="24">
        <f>J923-L923</f>
        <v>992.05000000000018</v>
      </c>
      <c r="N923" s="53">
        <f>IF(J923&lt;&gt;0,M923/J923,"")</f>
        <v>0.45149824325062354</v>
      </c>
      <c r="O923" s="23">
        <v>2929.65</v>
      </c>
      <c r="P923" s="25">
        <v>192</v>
      </c>
      <c r="Q923" s="24">
        <v>1606.9199999999998</v>
      </c>
      <c r="R923" s="24">
        <f>O923-Q923</f>
        <v>1322.7300000000002</v>
      </c>
      <c r="S923" s="53">
        <f>IF(O923&lt;&gt;0,R923/O923,"")</f>
        <v>0.45149761916952547</v>
      </c>
      <c r="T923" s="10"/>
      <c r="U923" s="23">
        <v>0</v>
      </c>
      <c r="V923" s="25">
        <v>0</v>
      </c>
      <c r="W923" s="24">
        <v>0</v>
      </c>
      <c r="X923" s="24">
        <f>U923-W923</f>
        <v>0</v>
      </c>
      <c r="Y923" s="53" t="str">
        <f>IF(U923&lt;&gt;0,X923/U923,"")</f>
        <v/>
      </c>
      <c r="Z923" s="23">
        <v>0</v>
      </c>
      <c r="AA923" s="25">
        <v>0</v>
      </c>
      <c r="AB923" s="24">
        <v>0</v>
      </c>
      <c r="AC923" s="24">
        <f t="shared" si="287"/>
        <v>0</v>
      </c>
      <c r="AD923" s="53" t="str">
        <f t="shared" si="288"/>
        <v/>
      </c>
      <c r="AE923" s="10"/>
    </row>
    <row r="924" spans="1:31" x14ac:dyDescent="0.25">
      <c r="A924" s="14" t="s">
        <v>109</v>
      </c>
      <c r="C924" s="61" t="str">
        <f t="shared" si="286"/>
        <v>C100066</v>
      </c>
      <c r="F924" s="8" t="str">
        <f>"C100043"</f>
        <v>C100043</v>
      </c>
      <c r="G924" s="9" t="str">
        <f>"Pro-Travel Technology Set"</f>
        <v>Pro-Travel Technology Set</v>
      </c>
      <c r="H924" s="47"/>
      <c r="I924" s="47"/>
      <c r="J924" s="23">
        <v>4614.62</v>
      </c>
      <c r="K924" s="25">
        <v>144</v>
      </c>
      <c r="L924" s="24">
        <v>2160.0699999999997</v>
      </c>
      <c r="M924" s="24">
        <f>J924-L924</f>
        <v>2454.5500000000002</v>
      </c>
      <c r="N924" s="53">
        <f>IF(J924&lt;&gt;0,M924/J924,"")</f>
        <v>0.53190728597370973</v>
      </c>
      <c r="O924" s="23">
        <v>1538.21</v>
      </c>
      <c r="P924" s="25">
        <v>48</v>
      </c>
      <c r="Q924" s="24">
        <v>720.02</v>
      </c>
      <c r="R924" s="24">
        <f>O924-Q924</f>
        <v>818.19</v>
      </c>
      <c r="S924" s="53">
        <f>IF(O924&lt;&gt;0,R924/O924,"")</f>
        <v>0.53191046736141356</v>
      </c>
      <c r="T924" s="10"/>
      <c r="U924" s="23">
        <v>0</v>
      </c>
      <c r="V924" s="25">
        <v>0</v>
      </c>
      <c r="W924" s="24">
        <v>0</v>
      </c>
      <c r="X924" s="24">
        <f>U924-W924</f>
        <v>0</v>
      </c>
      <c r="Y924" s="53" t="str">
        <f>IF(U924&lt;&gt;0,X924/U924,"")</f>
        <v/>
      </c>
      <c r="Z924" s="23">
        <v>5383.73</v>
      </c>
      <c r="AA924" s="25">
        <v>168</v>
      </c>
      <c r="AB924" s="24">
        <v>2520.08</v>
      </c>
      <c r="AC924" s="24">
        <f t="shared" si="287"/>
        <v>2863.6499999999996</v>
      </c>
      <c r="AD924" s="53">
        <f t="shared" si="288"/>
        <v>0.53190817518709144</v>
      </c>
      <c r="AE924" s="10"/>
    </row>
    <row r="925" spans="1:31" x14ac:dyDescent="0.25">
      <c r="A925" s="14" t="s">
        <v>109</v>
      </c>
      <c r="C925" s="61" t="str">
        <f t="shared" si="286"/>
        <v>C100066</v>
      </c>
      <c r="F925" s="8" t="str">
        <f>"C100044"</f>
        <v>C100044</v>
      </c>
      <c r="G925" s="9" t="str">
        <f>"VOIP Headset with Mic"</f>
        <v>VOIP Headset with Mic</v>
      </c>
      <c r="H925" s="47"/>
      <c r="I925" s="47"/>
      <c r="J925" s="23">
        <v>0</v>
      </c>
      <c r="K925" s="25">
        <v>0</v>
      </c>
      <c r="L925" s="24">
        <v>0</v>
      </c>
      <c r="M925" s="24">
        <f>J925-L925</f>
        <v>0</v>
      </c>
      <c r="N925" s="53" t="str">
        <f>IF(J925&lt;&gt;0,M925/J925,"")</f>
        <v/>
      </c>
      <c r="O925" s="23">
        <v>312.62</v>
      </c>
      <c r="P925" s="25">
        <v>145</v>
      </c>
      <c r="Q925" s="24">
        <v>174.05</v>
      </c>
      <c r="R925" s="24">
        <f>O925-Q925</f>
        <v>138.57</v>
      </c>
      <c r="S925" s="53">
        <f>IF(O925&lt;&gt;0,R925/O925,"")</f>
        <v>0.44325379054443093</v>
      </c>
      <c r="T925" s="10"/>
      <c r="U925" s="23">
        <v>0</v>
      </c>
      <c r="V925" s="25">
        <v>0</v>
      </c>
      <c r="W925" s="24">
        <v>0</v>
      </c>
      <c r="X925" s="24">
        <f>U925-W925</f>
        <v>0</v>
      </c>
      <c r="Y925" s="53" t="str">
        <f>IF(U925&lt;&gt;0,X925/U925,"")</f>
        <v/>
      </c>
      <c r="Z925" s="23">
        <v>2.16</v>
      </c>
      <c r="AA925" s="25">
        <v>1</v>
      </c>
      <c r="AB925" s="24">
        <v>1.2</v>
      </c>
      <c r="AC925" s="24">
        <f t="shared" si="287"/>
        <v>0.96000000000000019</v>
      </c>
      <c r="AD925" s="53">
        <f t="shared" si="288"/>
        <v>0.44444444444444448</v>
      </c>
      <c r="AE925" s="10"/>
    </row>
    <row r="926" spans="1:31" x14ac:dyDescent="0.25">
      <c r="A926" s="14" t="s">
        <v>109</v>
      </c>
      <c r="C926" s="61" t="str">
        <f t="shared" si="286"/>
        <v>C100066</v>
      </c>
      <c r="F926" s="8" t="str">
        <f>"C100048"</f>
        <v>C100048</v>
      </c>
      <c r="G926" s="9" t="str">
        <f>"USB MP3 Player"</f>
        <v>USB MP3 Player</v>
      </c>
      <c r="H926" s="47"/>
      <c r="I926" s="47"/>
      <c r="J926" s="23">
        <v>148.53</v>
      </c>
      <c r="K926" s="25">
        <v>12</v>
      </c>
      <c r="L926" s="24">
        <v>92.4</v>
      </c>
      <c r="M926" s="24">
        <f>J926-L926</f>
        <v>56.129999999999995</v>
      </c>
      <c r="N926" s="53">
        <f>IF(J926&lt;&gt;0,M926/J926,"")</f>
        <v>0.37790345384770752</v>
      </c>
      <c r="O926" s="23">
        <v>0</v>
      </c>
      <c r="P926" s="25">
        <v>0</v>
      </c>
      <c r="Q926" s="24">
        <v>0</v>
      </c>
      <c r="R926" s="24">
        <f>O926-Q926</f>
        <v>0</v>
      </c>
      <c r="S926" s="53" t="str">
        <f>IF(O926&lt;&gt;0,R926/O926,"")</f>
        <v/>
      </c>
      <c r="T926" s="10"/>
      <c r="U926" s="23">
        <v>0</v>
      </c>
      <c r="V926" s="25">
        <v>0</v>
      </c>
      <c r="W926" s="24">
        <v>0</v>
      </c>
      <c r="X926" s="24">
        <f>U926-W926</f>
        <v>0</v>
      </c>
      <c r="Y926" s="53" t="str">
        <f>IF(U926&lt;&gt;0,X926/U926,"")</f>
        <v/>
      </c>
      <c r="Z926" s="23">
        <v>0</v>
      </c>
      <c r="AA926" s="25">
        <v>0</v>
      </c>
      <c r="AB926" s="24">
        <v>0</v>
      </c>
      <c r="AC926" s="24">
        <f t="shared" si="287"/>
        <v>0</v>
      </c>
      <c r="AD926" s="53" t="str">
        <f t="shared" si="288"/>
        <v/>
      </c>
      <c r="AE926" s="10"/>
    </row>
    <row r="927" spans="1:31" x14ac:dyDescent="0.25">
      <c r="A927" s="14" t="s">
        <v>109</v>
      </c>
      <c r="C927" s="61" t="str">
        <f t="shared" si="286"/>
        <v>C100066</v>
      </c>
      <c r="F927" s="8" t="str">
        <f>"C100049"</f>
        <v>C100049</v>
      </c>
      <c r="G927" s="9" t="str">
        <f>"4GB MP3 Player"</f>
        <v>4GB MP3 Player</v>
      </c>
      <c r="H927" s="47"/>
      <c r="I927" s="47"/>
      <c r="J927" s="23">
        <v>93.43</v>
      </c>
      <c r="K927" s="25">
        <v>6</v>
      </c>
      <c r="L927" s="24">
        <v>56.4</v>
      </c>
      <c r="M927" s="24">
        <f>J927-L927</f>
        <v>37.030000000000008</v>
      </c>
      <c r="N927" s="53">
        <f>IF(J927&lt;&gt;0,M927/J927,"")</f>
        <v>0.39633950551214819</v>
      </c>
      <c r="O927" s="23">
        <v>4671.66</v>
      </c>
      <c r="P927" s="25">
        <v>300</v>
      </c>
      <c r="Q927" s="24">
        <v>2819.82</v>
      </c>
      <c r="R927" s="24">
        <f>O927-Q927</f>
        <v>1851.8399999999997</v>
      </c>
      <c r="S927" s="53">
        <f>IF(O927&lt;&gt;0,R927/O927,"")</f>
        <v>0.3963987105225979</v>
      </c>
      <c r="T927" s="10"/>
      <c r="U927" s="23">
        <v>0</v>
      </c>
      <c r="V927" s="25">
        <v>0</v>
      </c>
      <c r="W927" s="24">
        <v>0</v>
      </c>
      <c r="X927" s="24">
        <f>U927-W927</f>
        <v>0</v>
      </c>
      <c r="Y927" s="53" t="str">
        <f>IF(U927&lt;&gt;0,X927/U927,"")</f>
        <v/>
      </c>
      <c r="Z927" s="23">
        <v>0</v>
      </c>
      <c r="AA927" s="25">
        <v>0</v>
      </c>
      <c r="AB927" s="24">
        <v>0</v>
      </c>
      <c r="AC927" s="24">
        <f t="shared" si="287"/>
        <v>0</v>
      </c>
      <c r="AD927" s="53" t="str">
        <f t="shared" si="288"/>
        <v/>
      </c>
      <c r="AE927" s="10"/>
    </row>
    <row r="928" spans="1:31" x14ac:dyDescent="0.25">
      <c r="A928" s="14" t="s">
        <v>109</v>
      </c>
      <c r="C928" s="61" t="str">
        <f t="shared" si="286"/>
        <v>C100066</v>
      </c>
      <c r="F928" s="8" t="str">
        <f>"C100050"</f>
        <v>C100050</v>
      </c>
      <c r="G928" s="9" t="str">
        <f>"Clip-on MP3 Player"</f>
        <v>Clip-on MP3 Player</v>
      </c>
      <c r="H928" s="47"/>
      <c r="I928" s="47"/>
      <c r="J928" s="23">
        <v>0</v>
      </c>
      <c r="K928" s="25">
        <v>0</v>
      </c>
      <c r="L928" s="24">
        <v>0</v>
      </c>
      <c r="M928" s="24">
        <f>J928-L928</f>
        <v>0</v>
      </c>
      <c r="N928" s="53" t="str">
        <f>IF(J928&lt;&gt;0,M928/J928,"")</f>
        <v/>
      </c>
      <c r="O928" s="23">
        <v>3111.9900000000002</v>
      </c>
      <c r="P928" s="25">
        <v>169</v>
      </c>
      <c r="Q928" s="24">
        <v>1449.97</v>
      </c>
      <c r="R928" s="24">
        <f>O928-Q928</f>
        <v>1662.0200000000002</v>
      </c>
      <c r="S928" s="53">
        <f>IF(O928&lt;&gt;0,R928/O928,"")</f>
        <v>0.5340698395560397</v>
      </c>
      <c r="T928" s="10"/>
      <c r="U928" s="23">
        <v>0</v>
      </c>
      <c r="V928" s="25">
        <v>0</v>
      </c>
      <c r="W928" s="24">
        <v>0</v>
      </c>
      <c r="X928" s="24">
        <f>U928-W928</f>
        <v>0</v>
      </c>
      <c r="Y928" s="53" t="str">
        <f>IF(U928&lt;&gt;0,X928/U928,"")</f>
        <v/>
      </c>
      <c r="Z928" s="23">
        <v>0</v>
      </c>
      <c r="AA928" s="25">
        <v>0</v>
      </c>
      <c r="AB928" s="24">
        <v>0</v>
      </c>
      <c r="AC928" s="24">
        <f t="shared" si="287"/>
        <v>0</v>
      </c>
      <c r="AD928" s="53" t="str">
        <f t="shared" si="288"/>
        <v/>
      </c>
      <c r="AE928" s="10"/>
    </row>
    <row r="929" spans="1:31" x14ac:dyDescent="0.25">
      <c r="A929" s="14" t="s">
        <v>109</v>
      </c>
      <c r="C929" s="61" t="str">
        <f t="shared" si="286"/>
        <v>C100066</v>
      </c>
      <c r="F929" s="8" t="str">
        <f>"C100052"</f>
        <v>C100052</v>
      </c>
      <c r="G929" s="9" t="str">
        <f>"Black Digital Picture Frame"</f>
        <v>Black Digital Picture Frame</v>
      </c>
      <c r="H929" s="47"/>
      <c r="I929" s="47"/>
      <c r="J929" s="23">
        <v>3417.2200000000003</v>
      </c>
      <c r="K929" s="25">
        <v>72</v>
      </c>
      <c r="L929" s="24">
        <v>1607.05</v>
      </c>
      <c r="M929" s="24">
        <f>J929-L929</f>
        <v>1810.1700000000003</v>
      </c>
      <c r="N929" s="53">
        <f>IF(J929&lt;&gt;0,M929/J929,"")</f>
        <v>0.52972006484803447</v>
      </c>
      <c r="O929" s="23">
        <v>2325.61</v>
      </c>
      <c r="P929" s="25">
        <v>49</v>
      </c>
      <c r="Q929" s="24">
        <v>1093.69</v>
      </c>
      <c r="R929" s="24">
        <f>O929-Q929</f>
        <v>1231.92</v>
      </c>
      <c r="S929" s="53">
        <f>IF(O929&lt;&gt;0,R929/O929,"")</f>
        <v>0.52971908445526117</v>
      </c>
      <c r="T929" s="10"/>
      <c r="U929" s="23">
        <v>1186.53</v>
      </c>
      <c r="V929" s="25">
        <v>25</v>
      </c>
      <c r="W929" s="24">
        <v>558.01</v>
      </c>
      <c r="X929" s="24">
        <f>U929-W929</f>
        <v>628.52</v>
      </c>
      <c r="Y929" s="53">
        <f>IF(U929&lt;&gt;0,X929/U929,"")</f>
        <v>0.52971269163021584</v>
      </c>
      <c r="Z929" s="23">
        <v>0</v>
      </c>
      <c r="AA929" s="25">
        <v>0</v>
      </c>
      <c r="AB929" s="24">
        <v>0</v>
      </c>
      <c r="AC929" s="24">
        <f t="shared" si="287"/>
        <v>0</v>
      </c>
      <c r="AD929" s="53" t="str">
        <f t="shared" si="288"/>
        <v/>
      </c>
      <c r="AE929" s="10"/>
    </row>
    <row r="930" spans="1:31" x14ac:dyDescent="0.25">
      <c r="A930" s="14" t="s">
        <v>109</v>
      </c>
      <c r="C930" s="61" t="str">
        <f t="shared" si="286"/>
        <v>C100066</v>
      </c>
      <c r="F930" s="8" t="str">
        <f>"C100053"</f>
        <v>C100053</v>
      </c>
      <c r="G930" s="9" t="str">
        <f>"Book Style Photo Frame &amp; Clock"</f>
        <v>Book Style Photo Frame &amp; Clock</v>
      </c>
      <c r="H930" s="47"/>
      <c r="I930" s="47"/>
      <c r="J930" s="23">
        <v>244.96</v>
      </c>
      <c r="K930" s="25">
        <v>12</v>
      </c>
      <c r="L930" s="24">
        <v>144.47999999999999</v>
      </c>
      <c r="M930" s="24">
        <f>J930-L930</f>
        <v>100.48000000000002</v>
      </c>
      <c r="N930" s="53">
        <f>IF(J930&lt;&gt;0,M930/J930,"")</f>
        <v>0.41018941868060099</v>
      </c>
      <c r="O930" s="23">
        <v>979.84</v>
      </c>
      <c r="P930" s="25">
        <v>48</v>
      </c>
      <c r="Q930" s="24">
        <v>577.91</v>
      </c>
      <c r="R930" s="24">
        <f>O930-Q930</f>
        <v>401.93000000000006</v>
      </c>
      <c r="S930" s="53">
        <f>IF(O930&lt;&gt;0,R930/O930,"")</f>
        <v>0.41019962442847818</v>
      </c>
      <c r="T930" s="10"/>
      <c r="U930" s="23">
        <v>0</v>
      </c>
      <c r="V930" s="25">
        <v>0</v>
      </c>
      <c r="W930" s="24">
        <v>0</v>
      </c>
      <c r="X930" s="24">
        <f>U930-W930</f>
        <v>0</v>
      </c>
      <c r="Y930" s="53" t="str">
        <f>IF(U930&lt;&gt;0,X930/U930,"")</f>
        <v/>
      </c>
      <c r="Z930" s="23">
        <v>979.84</v>
      </c>
      <c r="AA930" s="25">
        <v>48</v>
      </c>
      <c r="AB930" s="24">
        <v>577.91</v>
      </c>
      <c r="AC930" s="24">
        <f t="shared" si="287"/>
        <v>401.93000000000006</v>
      </c>
      <c r="AD930" s="53">
        <f t="shared" si="288"/>
        <v>0.41019962442847818</v>
      </c>
      <c r="AE930" s="10"/>
    </row>
    <row r="931" spans="1:31" x14ac:dyDescent="0.25">
      <c r="A931" s="14" t="s">
        <v>109</v>
      </c>
      <c r="C931" s="61" t="str">
        <f t="shared" si="286"/>
        <v>C100066</v>
      </c>
      <c r="F931" s="8" t="str">
        <f>"C100054"</f>
        <v>C100054</v>
      </c>
      <c r="G931" s="9" t="str">
        <f>"Cherry Finish Photo Frame &amp; Clock"</f>
        <v>Cherry Finish Photo Frame &amp; Clock</v>
      </c>
      <c r="H931" s="47"/>
      <c r="I931" s="47"/>
      <c r="J931" s="23">
        <v>20.68</v>
      </c>
      <c r="K931" s="25">
        <v>1</v>
      </c>
      <c r="L931" s="24">
        <v>13.44</v>
      </c>
      <c r="M931" s="24">
        <f>J931-L931</f>
        <v>7.24</v>
      </c>
      <c r="N931" s="53">
        <f>IF(J931&lt;&gt;0,M931/J931,"")</f>
        <v>0.3500967117988395</v>
      </c>
      <c r="O931" s="23">
        <v>0</v>
      </c>
      <c r="P931" s="25">
        <v>0</v>
      </c>
      <c r="Q931" s="24">
        <v>0</v>
      </c>
      <c r="R931" s="24">
        <f>O931-Q931</f>
        <v>0</v>
      </c>
      <c r="S931" s="53" t="str">
        <f>IF(O931&lt;&gt;0,R931/O931,"")</f>
        <v/>
      </c>
      <c r="T931" s="10"/>
      <c r="U931" s="23">
        <v>0</v>
      </c>
      <c r="V931" s="25">
        <v>0</v>
      </c>
      <c r="W931" s="24">
        <v>0</v>
      </c>
      <c r="X931" s="24">
        <f>U931-W931</f>
        <v>0</v>
      </c>
      <c r="Y931" s="53" t="str">
        <f>IF(U931&lt;&gt;0,X931/U931,"")</f>
        <v/>
      </c>
      <c r="Z931" s="23">
        <v>0</v>
      </c>
      <c r="AA931" s="25">
        <v>0</v>
      </c>
      <c r="AB931" s="24">
        <v>0</v>
      </c>
      <c r="AC931" s="24">
        <f t="shared" si="287"/>
        <v>0</v>
      </c>
      <c r="AD931" s="53" t="str">
        <f t="shared" si="288"/>
        <v/>
      </c>
      <c r="AE931" s="10"/>
    </row>
    <row r="932" spans="1:31" x14ac:dyDescent="0.25">
      <c r="A932" s="14" t="s">
        <v>109</v>
      </c>
      <c r="C932" s="61" t="str">
        <f t="shared" si="286"/>
        <v>C100066</v>
      </c>
      <c r="F932" s="8" t="str">
        <f>"C100055"</f>
        <v>C100055</v>
      </c>
      <c r="G932" s="9" t="str">
        <f>"Silver Plated Photo Frame"</f>
        <v>Silver Plated Photo Frame</v>
      </c>
      <c r="H932" s="47"/>
      <c r="I932" s="47"/>
      <c r="J932" s="23">
        <v>39.56</v>
      </c>
      <c r="K932" s="25">
        <v>1</v>
      </c>
      <c r="L932" s="24">
        <v>20.7</v>
      </c>
      <c r="M932" s="24">
        <f>J932-L932</f>
        <v>18.860000000000003</v>
      </c>
      <c r="N932" s="53">
        <f>IF(J932&lt;&gt;0,M932/J932,"")</f>
        <v>0.4767441860465117</v>
      </c>
      <c r="O932" s="23">
        <v>474.75</v>
      </c>
      <c r="P932" s="25">
        <v>12</v>
      </c>
      <c r="Q932" s="24">
        <v>248.41</v>
      </c>
      <c r="R932" s="24">
        <f>O932-Q932</f>
        <v>226.34</v>
      </c>
      <c r="S932" s="53">
        <f>IF(O932&lt;&gt;0,R932/O932,"")</f>
        <v>0.47675618746708792</v>
      </c>
      <c r="T932" s="10"/>
      <c r="U932" s="23">
        <v>0</v>
      </c>
      <c r="V932" s="25">
        <v>0</v>
      </c>
      <c r="W932" s="24">
        <v>0</v>
      </c>
      <c r="X932" s="24">
        <f>U932-W932</f>
        <v>0</v>
      </c>
      <c r="Y932" s="53" t="str">
        <f>IF(U932&lt;&gt;0,X932/U932,"")</f>
        <v/>
      </c>
      <c r="Z932" s="23">
        <v>39.56</v>
      </c>
      <c r="AA932" s="25">
        <v>1</v>
      </c>
      <c r="AB932" s="24">
        <v>20.7</v>
      </c>
      <c r="AC932" s="24">
        <f t="shared" si="287"/>
        <v>18.860000000000003</v>
      </c>
      <c r="AD932" s="53">
        <f t="shared" si="288"/>
        <v>0.4767441860465117</v>
      </c>
      <c r="AE932" s="10"/>
    </row>
    <row r="933" spans="1:31" x14ac:dyDescent="0.25">
      <c r="A933" s="14" t="s">
        <v>109</v>
      </c>
      <c r="C933" s="61" t="str">
        <f t="shared" si="286"/>
        <v>C100066</v>
      </c>
      <c r="F933" s="8" t="str">
        <f>"E100018"</f>
        <v>E100018</v>
      </c>
      <c r="G933" s="9" t="str">
        <f>"Flexi-Clock &amp; Clip"</f>
        <v>Flexi-Clock &amp; Clip</v>
      </c>
      <c r="H933" s="47"/>
      <c r="I933" s="47"/>
      <c r="J933" s="23">
        <v>163.9</v>
      </c>
      <c r="K933" s="25">
        <v>148</v>
      </c>
      <c r="L933" s="24">
        <v>88.79</v>
      </c>
      <c r="M933" s="24">
        <f>J933-L933</f>
        <v>75.11</v>
      </c>
      <c r="N933" s="53">
        <f>IF(J933&lt;&gt;0,M933/J933,"")</f>
        <v>0.45826723611958509</v>
      </c>
      <c r="O933" s="23">
        <v>53.16</v>
      </c>
      <c r="P933" s="25">
        <v>48</v>
      </c>
      <c r="Q933" s="24">
        <v>28.8</v>
      </c>
      <c r="R933" s="24">
        <f>O933-Q933</f>
        <v>24.359999999999996</v>
      </c>
      <c r="S933" s="53">
        <f>IF(O933&lt;&gt;0,R933/O933,"")</f>
        <v>0.45823927765237016</v>
      </c>
      <c r="T933" s="10"/>
      <c r="U933" s="23">
        <v>-13.29</v>
      </c>
      <c r="V933" s="25">
        <v>-12</v>
      </c>
      <c r="W933" s="24">
        <v>-7.2</v>
      </c>
      <c r="X933" s="24">
        <f>U933-W933</f>
        <v>-6.089999999999999</v>
      </c>
      <c r="Y933" s="53">
        <f>IF(U933&lt;&gt;0,X933/U933,"")</f>
        <v>0.45823927765237016</v>
      </c>
      <c r="Z933" s="23">
        <v>0</v>
      </c>
      <c r="AA933" s="25">
        <v>0</v>
      </c>
      <c r="AB933" s="24">
        <v>0</v>
      </c>
      <c r="AC933" s="24">
        <f t="shared" si="287"/>
        <v>0</v>
      </c>
      <c r="AD933" s="53" t="str">
        <f t="shared" si="288"/>
        <v/>
      </c>
      <c r="AE933" s="10"/>
    </row>
    <row r="934" spans="1:31" x14ac:dyDescent="0.25">
      <c r="A934" s="14" t="s">
        <v>109</v>
      </c>
      <c r="C934" s="61" t="str">
        <f t="shared" si="286"/>
        <v>C100066</v>
      </c>
      <c r="F934" s="8" t="str">
        <f>"E100019"</f>
        <v>E100019</v>
      </c>
      <c r="G934" s="9" t="str">
        <f>"Mini Travel Alarm"</f>
        <v>Mini Travel Alarm</v>
      </c>
      <c r="H934" s="47"/>
      <c r="I934" s="47"/>
      <c r="J934" s="23">
        <v>245.83999999999997</v>
      </c>
      <c r="K934" s="25">
        <v>74</v>
      </c>
      <c r="L934" s="24">
        <v>119.88</v>
      </c>
      <c r="M934" s="24">
        <f>J934-L934</f>
        <v>125.95999999999998</v>
      </c>
      <c r="N934" s="53">
        <f>IF(J934&lt;&gt;0,M934/J934,"")</f>
        <v>0.51236576635209885</v>
      </c>
      <c r="O934" s="23">
        <v>0</v>
      </c>
      <c r="P934" s="25">
        <v>0</v>
      </c>
      <c r="Q934" s="24">
        <v>0</v>
      </c>
      <c r="R934" s="24">
        <f>O934-Q934</f>
        <v>0</v>
      </c>
      <c r="S934" s="53" t="str">
        <f>IF(O934&lt;&gt;0,R934/O934,"")</f>
        <v/>
      </c>
      <c r="T934" s="10"/>
      <c r="U934" s="23">
        <v>3.32</v>
      </c>
      <c r="V934" s="25">
        <v>1</v>
      </c>
      <c r="W934" s="24">
        <v>1.62</v>
      </c>
      <c r="X934" s="24">
        <f>U934-W934</f>
        <v>1.6999999999999997</v>
      </c>
      <c r="Y934" s="53">
        <f>IF(U934&lt;&gt;0,X934/U934,"")</f>
        <v>0.51204819277108427</v>
      </c>
      <c r="Z934" s="23">
        <v>159.46</v>
      </c>
      <c r="AA934" s="25">
        <v>48</v>
      </c>
      <c r="AB934" s="24">
        <v>77.760000000000005</v>
      </c>
      <c r="AC934" s="24">
        <f t="shared" si="287"/>
        <v>81.7</v>
      </c>
      <c r="AD934" s="53">
        <f t="shared" si="288"/>
        <v>0.51235419540950711</v>
      </c>
      <c r="AE934" s="10"/>
    </row>
    <row r="935" spans="1:31" x14ac:dyDescent="0.25">
      <c r="A935" s="14" t="s">
        <v>109</v>
      </c>
      <c r="C935" s="61" t="str">
        <f t="shared" si="286"/>
        <v>C100066</v>
      </c>
      <c r="F935" s="8" t="str">
        <f>"E100020"</f>
        <v>E100020</v>
      </c>
      <c r="G935" s="9" t="str">
        <f>"Flip-up Travel Alarm"</f>
        <v>Flip-up Travel Alarm</v>
      </c>
      <c r="H935" s="47"/>
      <c r="I935" s="47"/>
      <c r="J935" s="23">
        <v>433.71000000000004</v>
      </c>
      <c r="K935" s="25">
        <v>48</v>
      </c>
      <c r="L935" s="24">
        <v>224.64</v>
      </c>
      <c r="M935" s="24">
        <f>J935-L935</f>
        <v>209.07000000000005</v>
      </c>
      <c r="N935" s="53">
        <f>IF(J935&lt;&gt;0,M935/J935,"")</f>
        <v>0.48205021788752861</v>
      </c>
      <c r="O935" s="23">
        <v>1301.1299999999999</v>
      </c>
      <c r="P935" s="25">
        <v>144</v>
      </c>
      <c r="Q935" s="24">
        <v>673.93000000000006</v>
      </c>
      <c r="R935" s="24">
        <f>O935-Q935</f>
        <v>627.19999999999982</v>
      </c>
      <c r="S935" s="53">
        <f>IF(O935&lt;&gt;0,R935/O935,"")</f>
        <v>0.48204253226041971</v>
      </c>
      <c r="T935" s="10"/>
      <c r="U935" s="23">
        <v>433.71000000000004</v>
      </c>
      <c r="V935" s="25">
        <v>48</v>
      </c>
      <c r="W935" s="24">
        <v>224.64</v>
      </c>
      <c r="X935" s="24">
        <f>U935-W935</f>
        <v>209.07000000000005</v>
      </c>
      <c r="Y935" s="53">
        <f>IF(U935&lt;&gt;0,X935/U935,"")</f>
        <v>0.48205021788752861</v>
      </c>
      <c r="Z935" s="23">
        <v>0</v>
      </c>
      <c r="AA935" s="25">
        <v>0</v>
      </c>
      <c r="AB935" s="24">
        <v>0</v>
      </c>
      <c r="AC935" s="24">
        <f t="shared" si="287"/>
        <v>0</v>
      </c>
      <c r="AD935" s="53" t="str">
        <f t="shared" si="288"/>
        <v/>
      </c>
      <c r="AE935" s="10"/>
    </row>
    <row r="936" spans="1:31" x14ac:dyDescent="0.25">
      <c r="A936" s="14" t="s">
        <v>109</v>
      </c>
      <c r="C936" s="61" t="str">
        <f t="shared" si="286"/>
        <v>C100066</v>
      </c>
      <c r="F936" s="8" t="str">
        <f>"E100021"</f>
        <v>E100021</v>
      </c>
      <c r="G936" s="9" t="str">
        <f>"Slim Travel Alarm"</f>
        <v>Slim Travel Alarm</v>
      </c>
      <c r="H936" s="47"/>
      <c r="I936" s="47"/>
      <c r="J936" s="23">
        <v>406.42999999999995</v>
      </c>
      <c r="K936" s="25">
        <v>144</v>
      </c>
      <c r="L936" s="24">
        <v>207.35</v>
      </c>
      <c r="M936" s="24">
        <f>J936-L936</f>
        <v>199.07999999999996</v>
      </c>
      <c r="N936" s="53">
        <f>IF(J936&lt;&gt;0,M936/J936,"")</f>
        <v>0.48982604630563686</v>
      </c>
      <c r="O936" s="23">
        <v>818.50000000000011</v>
      </c>
      <c r="P936" s="25">
        <v>290</v>
      </c>
      <c r="Q936" s="24">
        <v>417.58</v>
      </c>
      <c r="R936" s="24">
        <f>O936-Q936</f>
        <v>400.92000000000013</v>
      </c>
      <c r="S936" s="53">
        <f>IF(O936&lt;&gt;0,R936/O936,"")</f>
        <v>0.48982284667073922</v>
      </c>
      <c r="T936" s="10"/>
      <c r="U936" s="23">
        <v>0</v>
      </c>
      <c r="V936" s="25">
        <v>0</v>
      </c>
      <c r="W936" s="24">
        <v>0</v>
      </c>
      <c r="X936" s="24">
        <f>U936-W936</f>
        <v>0</v>
      </c>
      <c r="Y936" s="53" t="str">
        <f>IF(U936&lt;&gt;0,X936/U936,"")</f>
        <v/>
      </c>
      <c r="Z936" s="23">
        <v>2.82</v>
      </c>
      <c r="AA936" s="25">
        <v>1</v>
      </c>
      <c r="AB936" s="24">
        <v>1.44</v>
      </c>
      <c r="AC936" s="24">
        <f t="shared" si="287"/>
        <v>1.38</v>
      </c>
      <c r="AD936" s="53">
        <f t="shared" si="288"/>
        <v>0.48936170212765956</v>
      </c>
      <c r="AE936" s="10"/>
    </row>
    <row r="937" spans="1:31" x14ac:dyDescent="0.25">
      <c r="A937" s="14" t="s">
        <v>109</v>
      </c>
      <c r="C937" s="61" t="str">
        <f t="shared" si="286"/>
        <v>C100066</v>
      </c>
      <c r="F937" s="8" t="str">
        <f>"E100022"</f>
        <v>E100022</v>
      </c>
      <c r="G937" s="9" t="str">
        <f>"Wide Screen Alarm Clock"</f>
        <v>Wide Screen Alarm Clock</v>
      </c>
      <c r="H937" s="47"/>
      <c r="I937" s="47"/>
      <c r="J937" s="23">
        <v>370.71</v>
      </c>
      <c r="K937" s="25">
        <v>196</v>
      </c>
      <c r="L937" s="24">
        <v>250.86999999999998</v>
      </c>
      <c r="M937" s="24">
        <f>J937-L937</f>
        <v>119.84</v>
      </c>
      <c r="N937" s="53">
        <f>IF(J937&lt;&gt;0,M937/J937,"")</f>
        <v>0.3232715599794988</v>
      </c>
      <c r="O937" s="23">
        <v>1636.06</v>
      </c>
      <c r="P937" s="25">
        <v>865</v>
      </c>
      <c r="Q937" s="24">
        <v>1107.1299999999999</v>
      </c>
      <c r="R937" s="24">
        <f>O937-Q937</f>
        <v>528.93000000000006</v>
      </c>
      <c r="S937" s="53">
        <f>IF(O937&lt;&gt;0,R937/O937,"")</f>
        <v>0.32329498918132593</v>
      </c>
      <c r="T937" s="10"/>
      <c r="U937" s="23">
        <v>-3.79</v>
      </c>
      <c r="V937" s="25">
        <v>-2</v>
      </c>
      <c r="W937" s="24">
        <v>-2.56</v>
      </c>
      <c r="X937" s="24">
        <f>U937-W937</f>
        <v>-1.23</v>
      </c>
      <c r="Y937" s="53">
        <f>IF(U937&lt;&gt;0,X937/U937,"")</f>
        <v>0.32453825857519786</v>
      </c>
      <c r="Z937" s="23">
        <v>0</v>
      </c>
      <c r="AA937" s="25">
        <v>0</v>
      </c>
      <c r="AB937" s="24">
        <v>0</v>
      </c>
      <c r="AC937" s="24">
        <f t="shared" si="287"/>
        <v>0</v>
      </c>
      <c r="AD937" s="53" t="str">
        <f t="shared" si="288"/>
        <v/>
      </c>
      <c r="AE937" s="10"/>
    </row>
    <row r="938" spans="1:31" ht="15.75" thickBot="1" x14ac:dyDescent="0.3">
      <c r="A938" s="14" t="s">
        <v>109</v>
      </c>
      <c r="C938" s="61" t="str">
        <f>C907</f>
        <v>C100066</v>
      </c>
      <c r="J938" s="10"/>
      <c r="K938" s="11"/>
      <c r="L938" s="11"/>
      <c r="M938" s="11"/>
      <c r="N938" s="12"/>
      <c r="O938" s="10"/>
      <c r="P938" s="11"/>
      <c r="Q938" s="11"/>
      <c r="R938" s="11"/>
      <c r="S938" s="12"/>
      <c r="U938" s="10"/>
      <c r="V938" s="11"/>
      <c r="W938" s="11"/>
      <c r="X938" s="11"/>
      <c r="Y938" s="12"/>
      <c r="Z938" s="10"/>
      <c r="AA938" s="11"/>
      <c r="AB938" s="11"/>
      <c r="AC938" s="11"/>
      <c r="AD938" s="12"/>
    </row>
    <row r="939" spans="1:31" ht="15.75" thickBot="1" x14ac:dyDescent="0.3">
      <c r="A939" s="14" t="s">
        <v>109</v>
      </c>
      <c r="C939" s="61" t="str">
        <f t="shared" si="283"/>
        <v>C100066</v>
      </c>
      <c r="G939" s="48" t="str">
        <f>C939&amp;" TOTAL:"</f>
        <v>C100066 TOTAL:</v>
      </c>
      <c r="H939" s="50"/>
      <c r="I939" s="50"/>
      <c r="J939" s="34">
        <f>SUBTOTAL(9,J906:J938)</f>
        <v>27450.570000000003</v>
      </c>
      <c r="K939" s="35">
        <f>SUBTOTAL(9,K906:K938)</f>
        <v>2018</v>
      </c>
      <c r="L939" s="36">
        <f>SUBTOTAL(9,L906:L938)</f>
        <v>15221.17</v>
      </c>
      <c r="M939" s="36">
        <f>J939-L939</f>
        <v>12229.400000000003</v>
      </c>
      <c r="N939" s="37">
        <f>IF(J939&lt;&gt;0,M939/J939,"")</f>
        <v>0.44550623174673609</v>
      </c>
      <c r="O939" s="34">
        <f>SUBTOTAL(9,O906:O938)</f>
        <v>23845.65</v>
      </c>
      <c r="P939" s="35">
        <f>SUBTOTAL(9,P906:P938)</f>
        <v>2671</v>
      </c>
      <c r="Q939" s="36">
        <f>SUBTOTAL(9,Q906:Q938)</f>
        <v>13001.48</v>
      </c>
      <c r="R939" s="36">
        <f>O939-Q939</f>
        <v>10844.170000000002</v>
      </c>
      <c r="S939" s="37">
        <f>IF(O939&lt;&gt;0,R939/O939,"")</f>
        <v>0.45476512487602566</v>
      </c>
      <c r="U939" s="34">
        <f>SUBTOTAL(9,U906:U938)</f>
        <v>5365.32</v>
      </c>
      <c r="V939" s="35">
        <f>SUBTOTAL(9,V906:V938)</f>
        <v>402</v>
      </c>
      <c r="W939" s="36">
        <f>SUBTOTAL(9,W906:W938)</f>
        <v>2865.99</v>
      </c>
      <c r="X939" s="36">
        <f>U939-W939</f>
        <v>2499.33</v>
      </c>
      <c r="Y939" s="37">
        <f>IF(U939&lt;&gt;0,X939/U939,"")</f>
        <v>0.46583055623895686</v>
      </c>
      <c r="Z939" s="34">
        <f>SUBTOTAL(9,Z906:Z938)</f>
        <v>6640.62</v>
      </c>
      <c r="AA939" s="35">
        <f>SUBTOTAL(9,AA906:AA938)</f>
        <v>282</v>
      </c>
      <c r="AB939" s="36">
        <f>SUBTOTAL(9,AB906:AB938)</f>
        <v>3243.4799999999996</v>
      </c>
      <c r="AC939" s="36">
        <f t="shared" ref="AC939" si="289">Z939-AB939</f>
        <v>3397.1400000000003</v>
      </c>
      <c r="AD939" s="37">
        <f t="shared" ref="AD939" si="290">IF(Z939&lt;&gt;0,AC939/Z939,"")</f>
        <v>0.51156970282895275</v>
      </c>
    </row>
    <row r="940" spans="1:31" x14ac:dyDescent="0.25">
      <c r="A940" s="14" t="s">
        <v>109</v>
      </c>
      <c r="C940" s="66"/>
      <c r="J940" s="10"/>
      <c r="K940" s="11"/>
      <c r="L940" s="11"/>
      <c r="M940" s="11"/>
      <c r="N940" s="12"/>
      <c r="O940" s="10"/>
      <c r="P940" s="11"/>
      <c r="Q940" s="11"/>
      <c r="R940" s="11"/>
      <c r="S940" s="12"/>
      <c r="U940" s="10"/>
      <c r="V940" s="11"/>
      <c r="W940" s="11"/>
      <c r="X940" s="11"/>
      <c r="Y940" s="12"/>
      <c r="Z940" s="10"/>
      <c r="AA940" s="11"/>
      <c r="AB940" s="11"/>
      <c r="AC940" s="11"/>
      <c r="AD940" s="12"/>
    </row>
    <row r="941" spans="1:31" ht="15.75" x14ac:dyDescent="0.25">
      <c r="A941" s="14" t="s">
        <v>109</v>
      </c>
      <c r="C941" s="66" t="str">
        <f t="shared" ref="C941" si="291">E941</f>
        <v>C100068</v>
      </c>
      <c r="E941" s="13" t="str">
        <f>"C100068"</f>
        <v>C100068</v>
      </c>
      <c r="F941" s="13"/>
      <c r="G941" s="13" t="str">
        <f>"Outdoor Gear Unlimited"</f>
        <v>Outdoor Gear Unlimited</v>
      </c>
      <c r="H941" s="13"/>
      <c r="I941" s="13"/>
      <c r="J941" s="10"/>
      <c r="K941" s="11"/>
      <c r="L941" s="11"/>
      <c r="M941" s="11"/>
      <c r="N941" s="12"/>
      <c r="O941" s="10"/>
      <c r="P941" s="11"/>
      <c r="Q941" s="11"/>
      <c r="R941" s="11"/>
      <c r="S941" s="12"/>
      <c r="U941" s="10"/>
      <c r="V941" s="11"/>
      <c r="W941" s="11"/>
      <c r="X941" s="11"/>
      <c r="Y941" s="12"/>
      <c r="Z941" s="10"/>
      <c r="AA941" s="11"/>
      <c r="AB941" s="11"/>
      <c r="AC941" s="11"/>
      <c r="AD941" s="12"/>
    </row>
    <row r="942" spans="1:31" ht="6.6" customHeight="1" x14ac:dyDescent="0.25">
      <c r="A942" s="14" t="s">
        <v>109</v>
      </c>
      <c r="C942" s="61" t="str">
        <f t="shared" ref="C942:C973" si="292">C941</f>
        <v>C100068</v>
      </c>
      <c r="J942" s="10"/>
      <c r="K942" s="11"/>
      <c r="L942" s="11"/>
      <c r="M942" s="11"/>
      <c r="N942" s="12"/>
      <c r="O942" s="10"/>
      <c r="P942" s="11"/>
      <c r="Q942" s="11"/>
      <c r="R942" s="11"/>
      <c r="S942" s="12"/>
      <c r="U942" s="10"/>
      <c r="V942" s="11"/>
      <c r="W942" s="11"/>
      <c r="X942" s="11"/>
      <c r="Y942" s="12"/>
      <c r="Z942" s="10"/>
      <c r="AA942" s="11"/>
      <c r="AB942" s="11"/>
      <c r="AC942" s="11"/>
      <c r="AD942" s="12"/>
    </row>
    <row r="943" spans="1:31" x14ac:dyDescent="0.25">
      <c r="A943" s="14" t="s">
        <v>109</v>
      </c>
      <c r="C943" s="61" t="str">
        <f t="shared" si="292"/>
        <v>C100068</v>
      </c>
      <c r="F943" s="8" t="str">
        <f>"C100023"</f>
        <v>C100023</v>
      </c>
      <c r="G943" s="9" t="str">
        <f>"Two-Toned Knit Hat"</f>
        <v>Two-Toned Knit Hat</v>
      </c>
      <c r="H943" s="47"/>
      <c r="I943" s="47"/>
      <c r="J943" s="23">
        <v>0</v>
      </c>
      <c r="K943" s="25">
        <v>0</v>
      </c>
      <c r="L943" s="24">
        <v>0</v>
      </c>
      <c r="M943" s="24">
        <f>J943-L943</f>
        <v>0</v>
      </c>
      <c r="N943" s="53" t="str">
        <f>IF(J943&lt;&gt;0,M943/J943,"")</f>
        <v/>
      </c>
      <c r="O943" s="23">
        <v>126.05000000000001</v>
      </c>
      <c r="P943" s="25">
        <v>48</v>
      </c>
      <c r="Q943" s="24">
        <v>60.48</v>
      </c>
      <c r="R943" s="24">
        <f>O943-Q943</f>
        <v>65.570000000000022</v>
      </c>
      <c r="S943" s="53">
        <f>IF(O943&lt;&gt;0,R943/O943,"")</f>
        <v>0.52019040063466893</v>
      </c>
      <c r="T943" s="10"/>
      <c r="U943" s="23">
        <v>0</v>
      </c>
      <c r="V943" s="25">
        <v>0</v>
      </c>
      <c r="W943" s="24">
        <v>0</v>
      </c>
      <c r="X943" s="24">
        <f>U943-W943</f>
        <v>0</v>
      </c>
      <c r="Y943" s="53" t="str">
        <f>IF(U943&lt;&gt;0,X943/U943,"")</f>
        <v/>
      </c>
      <c r="Z943" s="23">
        <v>0</v>
      </c>
      <c r="AA943" s="25">
        <v>0</v>
      </c>
      <c r="AB943" s="24">
        <v>0</v>
      </c>
      <c r="AC943" s="24">
        <f t="shared" ref="AC943" si="293">Z943-AB943</f>
        <v>0</v>
      </c>
      <c r="AD943" s="53" t="str">
        <f t="shared" ref="AD943" si="294">IF(Z943&lt;&gt;0,AC943/Z943,"")</f>
        <v/>
      </c>
      <c r="AE943" s="10"/>
    </row>
    <row r="944" spans="1:31" x14ac:dyDescent="0.25">
      <c r="A944" s="14" t="s">
        <v>109</v>
      </c>
      <c r="C944" s="61" t="str">
        <f t="shared" ref="C944:C971" si="295">C943</f>
        <v>C100068</v>
      </c>
      <c r="F944" s="8" t="str">
        <f>"C100028"</f>
        <v>C100028</v>
      </c>
      <c r="G944" s="9" t="str">
        <f>"Twill Visor"</f>
        <v>Twill Visor</v>
      </c>
      <c r="H944" s="47"/>
      <c r="I944" s="47"/>
      <c r="J944" s="23">
        <v>0</v>
      </c>
      <c r="K944" s="25">
        <v>0</v>
      </c>
      <c r="L944" s="24">
        <v>0</v>
      </c>
      <c r="M944" s="24">
        <f>J944-L944</f>
        <v>0</v>
      </c>
      <c r="N944" s="53" t="str">
        <f>IF(J944&lt;&gt;0,M944/J944,"")</f>
        <v/>
      </c>
      <c r="O944" s="23">
        <v>721.12</v>
      </c>
      <c r="P944" s="25">
        <v>144</v>
      </c>
      <c r="Q944" s="24">
        <v>345.61</v>
      </c>
      <c r="R944" s="24">
        <f>O944-Q944</f>
        <v>375.51</v>
      </c>
      <c r="S944" s="53">
        <f>IF(O944&lt;&gt;0,R944/O944,"")</f>
        <v>0.52073163967162195</v>
      </c>
      <c r="T944" s="10"/>
      <c r="U944" s="23">
        <v>0</v>
      </c>
      <c r="V944" s="25">
        <v>0</v>
      </c>
      <c r="W944" s="24">
        <v>0</v>
      </c>
      <c r="X944" s="24">
        <f>U944-W944</f>
        <v>0</v>
      </c>
      <c r="Y944" s="53" t="str">
        <f>IF(U944&lt;&gt;0,X944/U944,"")</f>
        <v/>
      </c>
      <c r="Z944" s="23">
        <v>4.8499999999999996</v>
      </c>
      <c r="AA944" s="25">
        <v>1</v>
      </c>
      <c r="AB944" s="24">
        <v>2.4</v>
      </c>
      <c r="AC944" s="24">
        <f t="shared" ref="AC944:AC971" si="296">Z944-AB944</f>
        <v>2.4499999999999997</v>
      </c>
      <c r="AD944" s="53">
        <f t="shared" ref="AD944:AD971" si="297">IF(Z944&lt;&gt;0,AC944/Z944,"")</f>
        <v>0.50515463917525771</v>
      </c>
      <c r="AE944" s="10"/>
    </row>
    <row r="945" spans="1:31" x14ac:dyDescent="0.25">
      <c r="A945" s="14" t="s">
        <v>109</v>
      </c>
      <c r="C945" s="61" t="str">
        <f t="shared" si="295"/>
        <v>C100068</v>
      </c>
      <c r="F945" s="8" t="str">
        <f>"C100035"</f>
        <v>C100035</v>
      </c>
      <c r="G945" s="9" t="str">
        <f>"Calculator &amp; World Time Clock"</f>
        <v>Calculator &amp; World Time Clock</v>
      </c>
      <c r="H945" s="47"/>
      <c r="I945" s="47"/>
      <c r="J945" s="23">
        <v>0</v>
      </c>
      <c r="K945" s="25">
        <v>0</v>
      </c>
      <c r="L945" s="24">
        <v>0</v>
      </c>
      <c r="M945" s="24">
        <f>J945-L945</f>
        <v>0</v>
      </c>
      <c r="N945" s="53" t="str">
        <f>IF(J945&lt;&gt;0,M945/J945,"")</f>
        <v/>
      </c>
      <c r="O945" s="23">
        <v>414.89</v>
      </c>
      <c r="P945" s="25">
        <v>144</v>
      </c>
      <c r="Q945" s="24">
        <v>282.24</v>
      </c>
      <c r="R945" s="24">
        <f>O945-Q945</f>
        <v>132.64999999999998</v>
      </c>
      <c r="S945" s="53">
        <f>IF(O945&lt;&gt;0,R945/O945,"")</f>
        <v>0.31972330015184741</v>
      </c>
      <c r="T945" s="10"/>
      <c r="U945" s="23">
        <v>0</v>
      </c>
      <c r="V945" s="25">
        <v>0</v>
      </c>
      <c r="W945" s="24">
        <v>0</v>
      </c>
      <c r="X945" s="24">
        <f>U945-W945</f>
        <v>0</v>
      </c>
      <c r="Y945" s="53" t="str">
        <f>IF(U945&lt;&gt;0,X945/U945,"")</f>
        <v/>
      </c>
      <c r="Z945" s="23">
        <v>0</v>
      </c>
      <c r="AA945" s="25">
        <v>0</v>
      </c>
      <c r="AB945" s="24">
        <v>0</v>
      </c>
      <c r="AC945" s="24">
        <f t="shared" si="296"/>
        <v>0</v>
      </c>
      <c r="AD945" s="53" t="str">
        <f t="shared" si="297"/>
        <v/>
      </c>
      <c r="AE945" s="10"/>
    </row>
    <row r="946" spans="1:31" x14ac:dyDescent="0.25">
      <c r="A946" s="14" t="s">
        <v>109</v>
      </c>
      <c r="C946" s="61" t="str">
        <f t="shared" si="295"/>
        <v>C100068</v>
      </c>
      <c r="F946" s="8" t="str">
        <f>"C100042"</f>
        <v>C100042</v>
      </c>
      <c r="G946" s="9" t="str">
        <f>"Retractable Earbuds"</f>
        <v>Retractable Earbuds</v>
      </c>
      <c r="H946" s="47"/>
      <c r="I946" s="47"/>
      <c r="J946" s="23">
        <v>0</v>
      </c>
      <c r="K946" s="25">
        <v>0</v>
      </c>
      <c r="L946" s="24">
        <v>0</v>
      </c>
      <c r="M946" s="24">
        <f>J946-L946</f>
        <v>0</v>
      </c>
      <c r="N946" s="53" t="str">
        <f>IF(J946&lt;&gt;0,M946/J946,"")</f>
        <v/>
      </c>
      <c r="O946" s="23">
        <v>1.99</v>
      </c>
      <c r="P946" s="25">
        <v>1</v>
      </c>
      <c r="Q946" s="24">
        <v>1.08</v>
      </c>
      <c r="R946" s="24">
        <f>O946-Q946</f>
        <v>0.90999999999999992</v>
      </c>
      <c r="S946" s="53">
        <f>IF(O946&lt;&gt;0,R946/O946,"")</f>
        <v>0.457286432160804</v>
      </c>
      <c r="T946" s="10"/>
      <c r="U946" s="23">
        <v>0</v>
      </c>
      <c r="V946" s="25">
        <v>0</v>
      </c>
      <c r="W946" s="24">
        <v>0</v>
      </c>
      <c r="X946" s="24">
        <f>U946-W946</f>
        <v>0</v>
      </c>
      <c r="Y946" s="53" t="str">
        <f>IF(U946&lt;&gt;0,X946/U946,"")</f>
        <v/>
      </c>
      <c r="Z946" s="23">
        <v>0</v>
      </c>
      <c r="AA946" s="25">
        <v>0</v>
      </c>
      <c r="AB946" s="24">
        <v>0</v>
      </c>
      <c r="AC946" s="24">
        <f t="shared" si="296"/>
        <v>0</v>
      </c>
      <c r="AD946" s="53" t="str">
        <f t="shared" si="297"/>
        <v/>
      </c>
      <c r="AE946" s="10"/>
    </row>
    <row r="947" spans="1:31" x14ac:dyDescent="0.25">
      <c r="A947" s="14" t="s">
        <v>109</v>
      </c>
      <c r="C947" s="61" t="str">
        <f t="shared" si="295"/>
        <v>C100068</v>
      </c>
      <c r="F947" s="8" t="str">
        <f>"C100044"</f>
        <v>C100044</v>
      </c>
      <c r="G947" s="9" t="str">
        <f>"VOIP Headset with Mic"</f>
        <v>VOIP Headset with Mic</v>
      </c>
      <c r="H947" s="47"/>
      <c r="I947" s="47"/>
      <c r="J947" s="23">
        <v>0</v>
      </c>
      <c r="K947" s="25">
        <v>0</v>
      </c>
      <c r="L947" s="24">
        <v>0</v>
      </c>
      <c r="M947" s="24">
        <f>J947-L947</f>
        <v>0</v>
      </c>
      <c r="N947" s="53" t="str">
        <f>IF(J947&lt;&gt;0,M947/J947,"")</f>
        <v/>
      </c>
      <c r="O947" s="23">
        <v>310.45</v>
      </c>
      <c r="P947" s="25">
        <v>144</v>
      </c>
      <c r="Q947" s="24">
        <v>172.85</v>
      </c>
      <c r="R947" s="24">
        <f>O947-Q947</f>
        <v>137.6</v>
      </c>
      <c r="S947" s="53">
        <f>IF(O947&lt;&gt;0,R947/O947,"")</f>
        <v>0.44322757287808018</v>
      </c>
      <c r="T947" s="10"/>
      <c r="U947" s="23">
        <v>0</v>
      </c>
      <c r="V947" s="25">
        <v>0</v>
      </c>
      <c r="W947" s="24">
        <v>0</v>
      </c>
      <c r="X947" s="24">
        <f>U947-W947</f>
        <v>0</v>
      </c>
      <c r="Y947" s="53" t="str">
        <f>IF(U947&lt;&gt;0,X947/U947,"")</f>
        <v/>
      </c>
      <c r="Z947" s="23">
        <v>2.08</v>
      </c>
      <c r="AA947" s="25">
        <v>1</v>
      </c>
      <c r="AB947" s="24">
        <v>1.2</v>
      </c>
      <c r="AC947" s="24">
        <f t="shared" si="296"/>
        <v>0.88000000000000012</v>
      </c>
      <c r="AD947" s="53">
        <f t="shared" si="297"/>
        <v>0.42307692307692313</v>
      </c>
      <c r="AE947" s="10"/>
    </row>
    <row r="948" spans="1:31" x14ac:dyDescent="0.25">
      <c r="A948" s="14" t="s">
        <v>109</v>
      </c>
      <c r="C948" s="61" t="str">
        <f t="shared" si="295"/>
        <v>C100068</v>
      </c>
      <c r="F948" s="8" t="str">
        <f>"C100056"</f>
        <v>C100056</v>
      </c>
      <c r="G948" s="9" t="str">
        <f>"Contemporary Desk Calculator"</f>
        <v>Contemporary Desk Calculator</v>
      </c>
      <c r="H948" s="47"/>
      <c r="I948" s="47"/>
      <c r="J948" s="23">
        <v>0</v>
      </c>
      <c r="K948" s="25">
        <v>0</v>
      </c>
      <c r="L948" s="24">
        <v>0</v>
      </c>
      <c r="M948" s="24">
        <f>J948-L948</f>
        <v>0</v>
      </c>
      <c r="N948" s="53" t="str">
        <f>IF(J948&lt;&gt;0,M948/J948,"")</f>
        <v/>
      </c>
      <c r="O948" s="23">
        <v>766.29</v>
      </c>
      <c r="P948" s="25">
        <v>144</v>
      </c>
      <c r="Q948" s="24">
        <v>383.08</v>
      </c>
      <c r="R948" s="24">
        <f>O948-Q948</f>
        <v>383.21</v>
      </c>
      <c r="S948" s="53">
        <f>IF(O948&lt;&gt;0,R948/O948,"")</f>
        <v>0.50008482428323475</v>
      </c>
      <c r="T948" s="10"/>
      <c r="U948" s="23">
        <v>0</v>
      </c>
      <c r="V948" s="25">
        <v>0</v>
      </c>
      <c r="W948" s="24">
        <v>0</v>
      </c>
      <c r="X948" s="24">
        <f>U948-W948</f>
        <v>0</v>
      </c>
      <c r="Y948" s="53" t="str">
        <f>IF(U948&lt;&gt;0,X948/U948,"")</f>
        <v/>
      </c>
      <c r="Z948" s="23">
        <v>742.83</v>
      </c>
      <c r="AA948" s="25">
        <v>144</v>
      </c>
      <c r="AB948" s="24">
        <v>383.08</v>
      </c>
      <c r="AC948" s="24">
        <f t="shared" si="296"/>
        <v>359.75000000000006</v>
      </c>
      <c r="AD948" s="53">
        <f t="shared" si="297"/>
        <v>0.48429654160440483</v>
      </c>
      <c r="AE948" s="10"/>
    </row>
    <row r="949" spans="1:31" x14ac:dyDescent="0.25">
      <c r="A949" s="14" t="s">
        <v>109</v>
      </c>
      <c r="C949" s="61" t="str">
        <f t="shared" si="295"/>
        <v>C100068</v>
      </c>
      <c r="F949" s="8" t="str">
        <f>"C100062"</f>
        <v>C100062</v>
      </c>
      <c r="G949" s="9" t="str">
        <f>"Tall Matte Finish Mug"</f>
        <v>Tall Matte Finish Mug</v>
      </c>
      <c r="H949" s="47"/>
      <c r="I949" s="47"/>
      <c r="J949" s="23">
        <v>0</v>
      </c>
      <c r="K949" s="25">
        <v>0</v>
      </c>
      <c r="L949" s="24">
        <v>0</v>
      </c>
      <c r="M949" s="24">
        <f>J949-L949</f>
        <v>0</v>
      </c>
      <c r="N949" s="53" t="str">
        <f>IF(J949&lt;&gt;0,M949/J949,"")</f>
        <v/>
      </c>
      <c r="O949" s="23">
        <v>173.57000000000002</v>
      </c>
      <c r="P949" s="25">
        <v>144</v>
      </c>
      <c r="Q949" s="24">
        <v>97.929999999999993</v>
      </c>
      <c r="R949" s="24">
        <f>O949-Q949</f>
        <v>75.640000000000029</v>
      </c>
      <c r="S949" s="53">
        <f>IF(O949&lt;&gt;0,R949/O949,"")</f>
        <v>0.43578959497609043</v>
      </c>
      <c r="T949" s="10"/>
      <c r="U949" s="23">
        <v>0</v>
      </c>
      <c r="V949" s="25">
        <v>0</v>
      </c>
      <c r="W949" s="24">
        <v>0</v>
      </c>
      <c r="X949" s="24">
        <f>U949-W949</f>
        <v>0</v>
      </c>
      <c r="Y949" s="53" t="str">
        <f>IF(U949&lt;&gt;0,X949/U949,"")</f>
        <v/>
      </c>
      <c r="Z949" s="23">
        <v>168.26</v>
      </c>
      <c r="AA949" s="25">
        <v>144</v>
      </c>
      <c r="AB949" s="24">
        <v>97.929999999999993</v>
      </c>
      <c r="AC949" s="24">
        <f t="shared" si="296"/>
        <v>70.33</v>
      </c>
      <c r="AD949" s="53">
        <f t="shared" si="297"/>
        <v>0.41798407226910733</v>
      </c>
      <c r="AE949" s="10"/>
    </row>
    <row r="950" spans="1:31" x14ac:dyDescent="0.25">
      <c r="A950" s="14" t="s">
        <v>109</v>
      </c>
      <c r="C950" s="61" t="str">
        <f t="shared" si="295"/>
        <v>C100068</v>
      </c>
      <c r="F950" s="8" t="str">
        <f>"C100066"</f>
        <v>C100066</v>
      </c>
      <c r="G950" s="9" t="str">
        <f>"Fashion Travel Mug"</f>
        <v>Fashion Travel Mug</v>
      </c>
      <c r="H950" s="47"/>
      <c r="I950" s="47"/>
      <c r="J950" s="23">
        <v>0</v>
      </c>
      <c r="K950" s="25">
        <v>0</v>
      </c>
      <c r="L950" s="24">
        <v>0</v>
      </c>
      <c r="M950" s="24">
        <f>J950-L950</f>
        <v>0</v>
      </c>
      <c r="N950" s="53" t="str">
        <f>IF(J950&lt;&gt;0,M950/J950,"")</f>
        <v/>
      </c>
      <c r="O950" s="23">
        <v>508.04</v>
      </c>
      <c r="P950" s="25">
        <v>144</v>
      </c>
      <c r="Q950" s="24">
        <v>237.63000000000002</v>
      </c>
      <c r="R950" s="24">
        <f>O950-Q950</f>
        <v>270.40999999999997</v>
      </c>
      <c r="S950" s="53">
        <f>IF(O950&lt;&gt;0,R950/O950,"")</f>
        <v>0.53226123927249813</v>
      </c>
      <c r="T950" s="10"/>
      <c r="U950" s="23">
        <v>0</v>
      </c>
      <c r="V950" s="25">
        <v>0</v>
      </c>
      <c r="W950" s="24">
        <v>0</v>
      </c>
      <c r="X950" s="24">
        <f>U950-W950</f>
        <v>0</v>
      </c>
      <c r="Y950" s="53" t="str">
        <f>IF(U950&lt;&gt;0,X950/U950,"")</f>
        <v/>
      </c>
      <c r="Z950" s="23">
        <v>0</v>
      </c>
      <c r="AA950" s="25">
        <v>0</v>
      </c>
      <c r="AB950" s="24">
        <v>0</v>
      </c>
      <c r="AC950" s="24">
        <f t="shared" si="296"/>
        <v>0</v>
      </c>
      <c r="AD950" s="53" t="str">
        <f t="shared" si="297"/>
        <v/>
      </c>
      <c r="AE950" s="10"/>
    </row>
    <row r="951" spans="1:31" x14ac:dyDescent="0.25">
      <c r="A951" s="14" t="s">
        <v>109</v>
      </c>
      <c r="C951" s="61" t="str">
        <f t="shared" si="295"/>
        <v>C100068</v>
      </c>
      <c r="F951" s="8" t="str">
        <f>"E100006"</f>
        <v>E100006</v>
      </c>
      <c r="G951" s="9" t="str">
        <f>"Budget Tote Bag"</f>
        <v>Budget Tote Bag</v>
      </c>
      <c r="H951" s="47"/>
      <c r="I951" s="47"/>
      <c r="J951" s="23">
        <v>0</v>
      </c>
      <c r="K951" s="25">
        <v>0</v>
      </c>
      <c r="L951" s="24">
        <v>0</v>
      </c>
      <c r="M951" s="24">
        <f>J951-L951</f>
        <v>0</v>
      </c>
      <c r="N951" s="53" t="str">
        <f>IF(J951&lt;&gt;0,M951/J951,"")</f>
        <v/>
      </c>
      <c r="O951" s="23">
        <v>0.44</v>
      </c>
      <c r="P951" s="25">
        <v>5</v>
      </c>
      <c r="Q951" s="24">
        <v>0.2</v>
      </c>
      <c r="R951" s="24">
        <f>O951-Q951</f>
        <v>0.24</v>
      </c>
      <c r="S951" s="53">
        <f>IF(O951&lt;&gt;0,R951/O951,"")</f>
        <v>0.54545454545454541</v>
      </c>
      <c r="T951" s="10"/>
      <c r="U951" s="23">
        <v>0</v>
      </c>
      <c r="V951" s="25">
        <v>0</v>
      </c>
      <c r="W951" s="24">
        <v>0</v>
      </c>
      <c r="X951" s="24">
        <f>U951-W951</f>
        <v>0</v>
      </c>
      <c r="Y951" s="53" t="str">
        <f>IF(U951&lt;&gt;0,X951/U951,"")</f>
        <v/>
      </c>
      <c r="Z951" s="23">
        <v>12.32</v>
      </c>
      <c r="AA951" s="25">
        <v>144</v>
      </c>
      <c r="AB951" s="24">
        <v>5.75</v>
      </c>
      <c r="AC951" s="24">
        <f t="shared" si="296"/>
        <v>6.57</v>
      </c>
      <c r="AD951" s="53">
        <f t="shared" si="297"/>
        <v>0.53327922077922074</v>
      </c>
      <c r="AE951" s="10"/>
    </row>
    <row r="952" spans="1:31" x14ac:dyDescent="0.25">
      <c r="A952" s="14" t="s">
        <v>109</v>
      </c>
      <c r="C952" s="61" t="str">
        <f t="shared" si="295"/>
        <v>C100068</v>
      </c>
      <c r="F952" s="8" t="str">
        <f>"E100007"</f>
        <v>E100007</v>
      </c>
      <c r="G952" s="9" t="str">
        <f>"Plastic Handle Bag"</f>
        <v>Plastic Handle Bag</v>
      </c>
      <c r="H952" s="47"/>
      <c r="I952" s="47"/>
      <c r="J952" s="23">
        <v>0</v>
      </c>
      <c r="K952" s="25">
        <v>0</v>
      </c>
      <c r="L952" s="24">
        <v>0</v>
      </c>
      <c r="M952" s="24">
        <f>J952-L952</f>
        <v>0</v>
      </c>
      <c r="N952" s="53" t="str">
        <f>IF(J952&lt;&gt;0,M952/J952,"")</f>
        <v/>
      </c>
      <c r="O952" s="23">
        <v>46.58</v>
      </c>
      <c r="P952" s="25">
        <v>144</v>
      </c>
      <c r="Q952" s="24">
        <v>25.92</v>
      </c>
      <c r="R952" s="24">
        <f>O952-Q952</f>
        <v>20.659999999999997</v>
      </c>
      <c r="S952" s="53">
        <f>IF(O952&lt;&gt;0,R952/O952,"")</f>
        <v>0.4435379991412623</v>
      </c>
      <c r="T952" s="10"/>
      <c r="U952" s="23">
        <v>0</v>
      </c>
      <c r="V952" s="25">
        <v>0</v>
      </c>
      <c r="W952" s="24">
        <v>0</v>
      </c>
      <c r="X952" s="24">
        <f>U952-W952</f>
        <v>0</v>
      </c>
      <c r="Y952" s="53" t="str">
        <f>IF(U952&lt;&gt;0,X952/U952,"")</f>
        <v/>
      </c>
      <c r="Z952" s="23">
        <v>0</v>
      </c>
      <c r="AA952" s="25">
        <v>0</v>
      </c>
      <c r="AB952" s="24">
        <v>0</v>
      </c>
      <c r="AC952" s="24">
        <f t="shared" si="296"/>
        <v>0</v>
      </c>
      <c r="AD952" s="53" t="str">
        <f t="shared" si="297"/>
        <v/>
      </c>
      <c r="AE952" s="10"/>
    </row>
    <row r="953" spans="1:31" x14ac:dyDescent="0.25">
      <c r="A953" s="14" t="s">
        <v>109</v>
      </c>
      <c r="C953" s="61" t="str">
        <f t="shared" si="295"/>
        <v>C100068</v>
      </c>
      <c r="F953" s="8" t="str">
        <f>"E100008"</f>
        <v>E100008</v>
      </c>
      <c r="G953" s="9" t="str">
        <f>"Super Shopper"</f>
        <v>Super Shopper</v>
      </c>
      <c r="H953" s="47"/>
      <c r="I953" s="47"/>
      <c r="J953" s="23">
        <v>0</v>
      </c>
      <c r="K953" s="25">
        <v>0</v>
      </c>
      <c r="L953" s="24">
        <v>0</v>
      </c>
      <c r="M953" s="24">
        <f>J953-L953</f>
        <v>0</v>
      </c>
      <c r="N953" s="53" t="str">
        <f>IF(J953&lt;&gt;0,M953/J953,"")</f>
        <v/>
      </c>
      <c r="O953" s="23">
        <v>-0.23</v>
      </c>
      <c r="P953" s="25">
        <v>-1</v>
      </c>
      <c r="Q953" s="24">
        <v>-0.12</v>
      </c>
      <c r="R953" s="24">
        <f>O953-Q953</f>
        <v>-0.11000000000000001</v>
      </c>
      <c r="S953" s="53">
        <f>IF(O953&lt;&gt;0,R953/O953,"")</f>
        <v>0.47826086956521741</v>
      </c>
      <c r="T953" s="10"/>
      <c r="U953" s="23">
        <v>0</v>
      </c>
      <c r="V953" s="25">
        <v>0</v>
      </c>
      <c r="W953" s="24">
        <v>0</v>
      </c>
      <c r="X953" s="24">
        <f>U953-W953</f>
        <v>0</v>
      </c>
      <c r="Y953" s="53" t="str">
        <f>IF(U953&lt;&gt;0,X953/U953,"")</f>
        <v/>
      </c>
      <c r="Z953" s="23">
        <v>0</v>
      </c>
      <c r="AA953" s="25">
        <v>0</v>
      </c>
      <c r="AB953" s="24">
        <v>0</v>
      </c>
      <c r="AC953" s="24">
        <f t="shared" si="296"/>
        <v>0</v>
      </c>
      <c r="AD953" s="53" t="str">
        <f t="shared" si="297"/>
        <v/>
      </c>
      <c r="AE953" s="10"/>
    </row>
    <row r="954" spans="1:31" x14ac:dyDescent="0.25">
      <c r="A954" s="14" t="s">
        <v>109</v>
      </c>
      <c r="C954" s="61" t="str">
        <f t="shared" si="295"/>
        <v>C100068</v>
      </c>
      <c r="F954" s="8" t="str">
        <f>"E100009"</f>
        <v>E100009</v>
      </c>
      <c r="G954" s="9" t="str">
        <f>"Die-Cut Tote"</f>
        <v>Die-Cut Tote</v>
      </c>
      <c r="H954" s="47"/>
      <c r="I954" s="47"/>
      <c r="J954" s="23">
        <v>0</v>
      </c>
      <c r="K954" s="25">
        <v>0</v>
      </c>
      <c r="L954" s="24">
        <v>0</v>
      </c>
      <c r="M954" s="24">
        <f>J954-L954</f>
        <v>0</v>
      </c>
      <c r="N954" s="53" t="str">
        <f>IF(J954&lt;&gt;0,M954/J954,"")</f>
        <v/>
      </c>
      <c r="O954" s="23">
        <v>64.460000000000008</v>
      </c>
      <c r="P954" s="25">
        <v>286</v>
      </c>
      <c r="Q954" s="24">
        <v>31.49</v>
      </c>
      <c r="R954" s="24">
        <f>O954-Q954</f>
        <v>32.970000000000013</v>
      </c>
      <c r="S954" s="53">
        <f>IF(O954&lt;&gt;0,R954/O954,"")</f>
        <v>0.51147998758920277</v>
      </c>
      <c r="T954" s="10"/>
      <c r="U954" s="23">
        <v>0</v>
      </c>
      <c r="V954" s="25">
        <v>0</v>
      </c>
      <c r="W954" s="24">
        <v>0</v>
      </c>
      <c r="X954" s="24">
        <f>U954-W954</f>
        <v>0</v>
      </c>
      <c r="Y954" s="53" t="str">
        <f>IF(U954&lt;&gt;0,X954/U954,"")</f>
        <v/>
      </c>
      <c r="Z954" s="23">
        <v>0.21</v>
      </c>
      <c r="AA954" s="25">
        <v>1</v>
      </c>
      <c r="AB954" s="24">
        <v>0.11</v>
      </c>
      <c r="AC954" s="24">
        <f t="shared" si="296"/>
        <v>9.9999999999999992E-2</v>
      </c>
      <c r="AD954" s="53">
        <f t="shared" si="297"/>
        <v>0.47619047619047616</v>
      </c>
      <c r="AE954" s="10"/>
    </row>
    <row r="955" spans="1:31" x14ac:dyDescent="0.25">
      <c r="A955" s="14" t="s">
        <v>109</v>
      </c>
      <c r="C955" s="61" t="str">
        <f t="shared" si="295"/>
        <v>C100068</v>
      </c>
      <c r="F955" s="8" t="str">
        <f>"E100017"</f>
        <v>E100017</v>
      </c>
      <c r="G955" s="9" t="str">
        <f>"Clip-on Clock with Compass"</f>
        <v>Clip-on Clock with Compass</v>
      </c>
      <c r="H955" s="47"/>
      <c r="I955" s="47"/>
      <c r="J955" s="23">
        <v>0</v>
      </c>
      <c r="K955" s="25">
        <v>0</v>
      </c>
      <c r="L955" s="24">
        <v>0</v>
      </c>
      <c r="M955" s="24">
        <f>J955-L955</f>
        <v>0</v>
      </c>
      <c r="N955" s="53" t="str">
        <f>IF(J955&lt;&gt;0,M955/J955,"")</f>
        <v/>
      </c>
      <c r="O955" s="23">
        <v>221.68</v>
      </c>
      <c r="P955" s="25">
        <v>145</v>
      </c>
      <c r="Q955" s="24">
        <v>127.6</v>
      </c>
      <c r="R955" s="24">
        <f>O955-Q955</f>
        <v>94.080000000000013</v>
      </c>
      <c r="S955" s="53">
        <f>IF(O955&lt;&gt;0,R955/O955,"")</f>
        <v>0.42439552508119815</v>
      </c>
      <c r="T955" s="10"/>
      <c r="U955" s="23">
        <v>0</v>
      </c>
      <c r="V955" s="25">
        <v>0</v>
      </c>
      <c r="W955" s="24">
        <v>0</v>
      </c>
      <c r="X955" s="24">
        <f>U955-W955</f>
        <v>0</v>
      </c>
      <c r="Y955" s="53" t="str">
        <f>IF(U955&lt;&gt;0,X955/U955,"")</f>
        <v/>
      </c>
      <c r="Z955" s="23">
        <v>0</v>
      </c>
      <c r="AA955" s="25">
        <v>0</v>
      </c>
      <c r="AB955" s="24">
        <v>0</v>
      </c>
      <c r="AC955" s="24">
        <f t="shared" si="296"/>
        <v>0</v>
      </c>
      <c r="AD955" s="53" t="str">
        <f t="shared" si="297"/>
        <v/>
      </c>
      <c r="AE955" s="10"/>
    </row>
    <row r="956" spans="1:31" x14ac:dyDescent="0.25">
      <c r="A956" s="14" t="s">
        <v>109</v>
      </c>
      <c r="C956" s="61" t="str">
        <f t="shared" si="295"/>
        <v>C100068</v>
      </c>
      <c r="F956" s="8" t="str">
        <f>"E100018"</f>
        <v>E100018</v>
      </c>
      <c r="G956" s="9" t="str">
        <f>"Flexi-Clock &amp; Clip"</f>
        <v>Flexi-Clock &amp; Clip</v>
      </c>
      <c r="H956" s="47"/>
      <c r="I956" s="47"/>
      <c r="J956" s="23">
        <v>0</v>
      </c>
      <c r="K956" s="25">
        <v>0</v>
      </c>
      <c r="L956" s="24">
        <v>0</v>
      </c>
      <c r="M956" s="24">
        <f>J956-L956</f>
        <v>0</v>
      </c>
      <c r="N956" s="53" t="str">
        <f>IF(J956&lt;&gt;0,M956/J956,"")</f>
        <v/>
      </c>
      <c r="O956" s="23">
        <v>159.47</v>
      </c>
      <c r="P956" s="25">
        <v>144</v>
      </c>
      <c r="Q956" s="24">
        <v>86.39</v>
      </c>
      <c r="R956" s="24">
        <f>O956-Q956</f>
        <v>73.08</v>
      </c>
      <c r="S956" s="53">
        <f>IF(O956&lt;&gt;0,R956/O956,"")</f>
        <v>0.45826801279237472</v>
      </c>
      <c r="T956" s="10"/>
      <c r="U956" s="23">
        <v>0</v>
      </c>
      <c r="V956" s="25">
        <v>0</v>
      </c>
      <c r="W956" s="24">
        <v>0</v>
      </c>
      <c r="X956" s="24">
        <f>U956-W956</f>
        <v>0</v>
      </c>
      <c r="Y956" s="53" t="str">
        <f>IF(U956&lt;&gt;0,X956/U956,"")</f>
        <v/>
      </c>
      <c r="Z956" s="23">
        <v>0</v>
      </c>
      <c r="AA956" s="25">
        <v>0</v>
      </c>
      <c r="AB956" s="24">
        <v>0</v>
      </c>
      <c r="AC956" s="24">
        <f t="shared" si="296"/>
        <v>0</v>
      </c>
      <c r="AD956" s="53" t="str">
        <f t="shared" si="297"/>
        <v/>
      </c>
      <c r="AE956" s="10"/>
    </row>
    <row r="957" spans="1:31" x14ac:dyDescent="0.25">
      <c r="A957" s="14" t="s">
        <v>109</v>
      </c>
      <c r="C957" s="61" t="str">
        <f t="shared" si="295"/>
        <v>C100068</v>
      </c>
      <c r="F957" s="8" t="str">
        <f>"E100023"</f>
        <v>E100023</v>
      </c>
      <c r="G957" s="9" t="str">
        <f>"Sport Earbuds"</f>
        <v>Sport Earbuds</v>
      </c>
      <c r="H957" s="47"/>
      <c r="I957" s="47"/>
      <c r="J957" s="23">
        <v>0</v>
      </c>
      <c r="K957" s="25">
        <v>0</v>
      </c>
      <c r="L957" s="24">
        <v>0</v>
      </c>
      <c r="M957" s="24">
        <f>J957-L957</f>
        <v>0</v>
      </c>
      <c r="N957" s="53" t="str">
        <f>IF(J957&lt;&gt;0,M957/J957,"")</f>
        <v/>
      </c>
      <c r="O957" s="23">
        <v>637.86</v>
      </c>
      <c r="P957" s="25">
        <v>144</v>
      </c>
      <c r="Q957" s="24">
        <v>302.39999999999998</v>
      </c>
      <c r="R957" s="24">
        <f>O957-Q957</f>
        <v>335.46000000000004</v>
      </c>
      <c r="S957" s="53">
        <f>IF(O957&lt;&gt;0,R957/O957,"")</f>
        <v>0.52591477753739069</v>
      </c>
      <c r="T957" s="10"/>
      <c r="U957" s="23">
        <v>0</v>
      </c>
      <c r="V957" s="25">
        <v>0</v>
      </c>
      <c r="W957" s="24">
        <v>0</v>
      </c>
      <c r="X957" s="24">
        <f>U957-W957</f>
        <v>0</v>
      </c>
      <c r="Y957" s="53" t="str">
        <f>IF(U957&lt;&gt;0,X957/U957,"")</f>
        <v/>
      </c>
      <c r="Z957" s="23">
        <v>618.33000000000004</v>
      </c>
      <c r="AA957" s="25">
        <v>144</v>
      </c>
      <c r="AB957" s="24">
        <v>302.39999999999998</v>
      </c>
      <c r="AC957" s="24">
        <f t="shared" si="296"/>
        <v>315.93000000000006</v>
      </c>
      <c r="AD957" s="53">
        <f t="shared" si="297"/>
        <v>0.51094075978846254</v>
      </c>
      <c r="AE957" s="10"/>
    </row>
    <row r="958" spans="1:31" x14ac:dyDescent="0.25">
      <c r="A958" s="14" t="s">
        <v>109</v>
      </c>
      <c r="C958" s="61" t="str">
        <f t="shared" si="295"/>
        <v>C100068</v>
      </c>
      <c r="F958" s="8" t="str">
        <f>"E100026"</f>
        <v>E100026</v>
      </c>
      <c r="G958" s="9" t="str">
        <f>"Desk Calculator"</f>
        <v>Desk Calculator</v>
      </c>
      <c r="H958" s="47"/>
      <c r="I958" s="47"/>
      <c r="J958" s="23">
        <v>0</v>
      </c>
      <c r="K958" s="25">
        <v>0</v>
      </c>
      <c r="L958" s="24">
        <v>0</v>
      </c>
      <c r="M958" s="24">
        <f>J958-L958</f>
        <v>0</v>
      </c>
      <c r="N958" s="53" t="str">
        <f>IF(J958&lt;&gt;0,M958/J958,"")</f>
        <v/>
      </c>
      <c r="O958" s="23">
        <v>119.96000000000001</v>
      </c>
      <c r="P958" s="25">
        <v>144</v>
      </c>
      <c r="Q958" s="24">
        <v>69.180000000000007</v>
      </c>
      <c r="R958" s="24">
        <f>O958-Q958</f>
        <v>50.78</v>
      </c>
      <c r="S958" s="53">
        <f>IF(O958&lt;&gt;0,R958/O958,"")</f>
        <v>0.42330776925641878</v>
      </c>
      <c r="T958" s="10"/>
      <c r="U958" s="23">
        <v>0</v>
      </c>
      <c r="V958" s="25">
        <v>0</v>
      </c>
      <c r="W958" s="24">
        <v>0</v>
      </c>
      <c r="X958" s="24">
        <f>U958-W958</f>
        <v>0</v>
      </c>
      <c r="Y958" s="53" t="str">
        <f>IF(U958&lt;&gt;0,X958/U958,"")</f>
        <v/>
      </c>
      <c r="Z958" s="23">
        <v>0</v>
      </c>
      <c r="AA958" s="25">
        <v>0</v>
      </c>
      <c r="AB958" s="24">
        <v>0</v>
      </c>
      <c r="AC958" s="24">
        <f t="shared" si="296"/>
        <v>0</v>
      </c>
      <c r="AD958" s="53" t="str">
        <f t="shared" si="297"/>
        <v/>
      </c>
      <c r="AE958" s="10"/>
    </row>
    <row r="959" spans="1:31" x14ac:dyDescent="0.25">
      <c r="A959" s="14" t="s">
        <v>109</v>
      </c>
      <c r="C959" s="61" t="str">
        <f t="shared" si="295"/>
        <v>C100068</v>
      </c>
      <c r="F959" s="8" t="str">
        <f>"E100027"</f>
        <v>E100027</v>
      </c>
      <c r="G959" s="9" t="str">
        <f>"Ergo-Calculator"</f>
        <v>Ergo-Calculator</v>
      </c>
      <c r="H959" s="47"/>
      <c r="I959" s="47"/>
      <c r="J959" s="23">
        <v>0</v>
      </c>
      <c r="K959" s="25">
        <v>0</v>
      </c>
      <c r="L959" s="24">
        <v>0</v>
      </c>
      <c r="M959" s="24">
        <f>J959-L959</f>
        <v>0</v>
      </c>
      <c r="N959" s="53" t="str">
        <f>IF(J959&lt;&gt;0,M959/J959,"")</f>
        <v/>
      </c>
      <c r="O959" s="23">
        <v>341.52</v>
      </c>
      <c r="P959" s="25">
        <v>144</v>
      </c>
      <c r="Q959" s="24">
        <v>184.35</v>
      </c>
      <c r="R959" s="24">
        <f>O959-Q959</f>
        <v>157.16999999999999</v>
      </c>
      <c r="S959" s="53">
        <f>IF(O959&lt;&gt;0,R959/O959,"")</f>
        <v>0.46020730850316233</v>
      </c>
      <c r="T959" s="10"/>
      <c r="U959" s="23">
        <v>0</v>
      </c>
      <c r="V959" s="25">
        <v>0</v>
      </c>
      <c r="W959" s="24">
        <v>0</v>
      </c>
      <c r="X959" s="24">
        <f>U959-W959</f>
        <v>0</v>
      </c>
      <c r="Y959" s="53" t="str">
        <f>IF(U959&lt;&gt;0,X959/U959,"")</f>
        <v/>
      </c>
      <c r="Z959" s="23">
        <v>0</v>
      </c>
      <c r="AA959" s="25">
        <v>0</v>
      </c>
      <c r="AB959" s="24">
        <v>0</v>
      </c>
      <c r="AC959" s="24">
        <f t="shared" si="296"/>
        <v>0</v>
      </c>
      <c r="AD959" s="53" t="str">
        <f t="shared" si="297"/>
        <v/>
      </c>
      <c r="AE959" s="10"/>
    </row>
    <row r="960" spans="1:31" x14ac:dyDescent="0.25">
      <c r="A960" s="14" t="s">
        <v>109</v>
      </c>
      <c r="C960" s="61" t="str">
        <f t="shared" si="295"/>
        <v>C100068</v>
      </c>
      <c r="F960" s="8" t="str">
        <f>"E100033"</f>
        <v>E100033</v>
      </c>
      <c r="G960" s="9" t="str">
        <f>"Dual Source Flashlight"</f>
        <v>Dual Source Flashlight</v>
      </c>
      <c r="H960" s="47"/>
      <c r="I960" s="47"/>
      <c r="J960" s="23">
        <v>0</v>
      </c>
      <c r="K960" s="25">
        <v>0</v>
      </c>
      <c r="L960" s="24">
        <v>0</v>
      </c>
      <c r="M960" s="24">
        <f>J960-L960</f>
        <v>0</v>
      </c>
      <c r="N960" s="53" t="str">
        <f>IF(J960&lt;&gt;0,M960/J960,"")</f>
        <v/>
      </c>
      <c r="O960" s="23">
        <v>462.87999999999994</v>
      </c>
      <c r="P960" s="25">
        <v>144</v>
      </c>
      <c r="Q960" s="24">
        <v>224.60000000000002</v>
      </c>
      <c r="R960" s="24">
        <f>O960-Q960</f>
        <v>238.27999999999992</v>
      </c>
      <c r="S960" s="53">
        <f>IF(O960&lt;&gt;0,R960/O960,"")</f>
        <v>0.51477704804700986</v>
      </c>
      <c r="T960" s="10"/>
      <c r="U960" s="23">
        <v>0</v>
      </c>
      <c r="V960" s="25">
        <v>0</v>
      </c>
      <c r="W960" s="24">
        <v>0</v>
      </c>
      <c r="X960" s="24">
        <f>U960-W960</f>
        <v>0</v>
      </c>
      <c r="Y960" s="53" t="str">
        <f>IF(U960&lt;&gt;0,X960/U960,"")</f>
        <v/>
      </c>
      <c r="Z960" s="23">
        <v>0</v>
      </c>
      <c r="AA960" s="25">
        <v>0</v>
      </c>
      <c r="AB960" s="24">
        <v>0</v>
      </c>
      <c r="AC960" s="24">
        <f t="shared" si="296"/>
        <v>0</v>
      </c>
      <c r="AD960" s="53" t="str">
        <f t="shared" si="297"/>
        <v/>
      </c>
      <c r="AE960" s="10"/>
    </row>
    <row r="961" spans="1:31" x14ac:dyDescent="0.25">
      <c r="A961" s="14" t="s">
        <v>109</v>
      </c>
      <c r="C961" s="61" t="str">
        <f t="shared" si="295"/>
        <v>C100068</v>
      </c>
      <c r="F961" s="8" t="str">
        <f>"E100034"</f>
        <v>E100034</v>
      </c>
      <c r="G961" s="9" t="str">
        <f>"Bamboo 1GB USB Flash Drive"</f>
        <v>Bamboo 1GB USB Flash Drive</v>
      </c>
      <c r="H961" s="47"/>
      <c r="I961" s="47"/>
      <c r="J961" s="23">
        <v>0</v>
      </c>
      <c r="K961" s="25">
        <v>0</v>
      </c>
      <c r="L961" s="24">
        <v>0</v>
      </c>
      <c r="M961" s="24">
        <f>J961-L961</f>
        <v>0</v>
      </c>
      <c r="N961" s="53" t="str">
        <f>IF(J961&lt;&gt;0,M961/J961,"")</f>
        <v/>
      </c>
      <c r="O961" s="23">
        <v>5.7</v>
      </c>
      <c r="P961" s="25">
        <v>1</v>
      </c>
      <c r="Q961" s="24">
        <v>2.7</v>
      </c>
      <c r="R961" s="24">
        <f>O961-Q961</f>
        <v>3</v>
      </c>
      <c r="S961" s="53">
        <f>IF(O961&lt;&gt;0,R961/O961,"")</f>
        <v>0.52631578947368418</v>
      </c>
      <c r="T961" s="10"/>
      <c r="U961" s="23">
        <v>0</v>
      </c>
      <c r="V961" s="25">
        <v>0</v>
      </c>
      <c r="W961" s="24">
        <v>0</v>
      </c>
      <c r="X961" s="24">
        <f>U961-W961</f>
        <v>0</v>
      </c>
      <c r="Y961" s="53" t="str">
        <f>IF(U961&lt;&gt;0,X961/U961,"")</f>
        <v/>
      </c>
      <c r="Z961" s="23">
        <v>794.81</v>
      </c>
      <c r="AA961" s="25">
        <v>144</v>
      </c>
      <c r="AB961" s="24">
        <v>388.83</v>
      </c>
      <c r="AC961" s="24">
        <f t="shared" si="296"/>
        <v>405.97999999999996</v>
      </c>
      <c r="AD961" s="53">
        <f t="shared" si="297"/>
        <v>0.51078874196348811</v>
      </c>
      <c r="AE961" s="10"/>
    </row>
    <row r="962" spans="1:31" x14ac:dyDescent="0.25">
      <c r="A962" s="14" t="s">
        <v>109</v>
      </c>
      <c r="C962" s="61" t="str">
        <f t="shared" si="295"/>
        <v>C100068</v>
      </c>
      <c r="F962" s="8" t="str">
        <f>"E100035"</f>
        <v>E100035</v>
      </c>
      <c r="G962" s="9" t="str">
        <f>"2GB Foldout USB Flash Drive"</f>
        <v>2GB Foldout USB Flash Drive</v>
      </c>
      <c r="H962" s="47"/>
      <c r="I962" s="47"/>
      <c r="J962" s="23">
        <v>0</v>
      </c>
      <c r="K962" s="25">
        <v>0</v>
      </c>
      <c r="L962" s="24">
        <v>0</v>
      </c>
      <c r="M962" s="24">
        <f>J962-L962</f>
        <v>0</v>
      </c>
      <c r="N962" s="53" t="str">
        <f>IF(J962&lt;&gt;0,M962/J962,"")</f>
        <v/>
      </c>
      <c r="O962" s="23">
        <v>-45.52</v>
      </c>
      <c r="P962" s="25">
        <v>-12</v>
      </c>
      <c r="Q962" s="24">
        <v>-27</v>
      </c>
      <c r="R962" s="24">
        <f>O962-Q962</f>
        <v>-18.520000000000003</v>
      </c>
      <c r="S962" s="53">
        <f>IF(O962&lt;&gt;0,R962/O962,"")</f>
        <v>0.40685413005272414</v>
      </c>
      <c r="T962" s="10"/>
      <c r="U962" s="23">
        <v>0</v>
      </c>
      <c r="V962" s="25">
        <v>0</v>
      </c>
      <c r="W962" s="24">
        <v>0</v>
      </c>
      <c r="X962" s="24">
        <f>U962-W962</f>
        <v>0</v>
      </c>
      <c r="Y962" s="53" t="str">
        <f>IF(U962&lt;&gt;0,X962/U962,"")</f>
        <v/>
      </c>
      <c r="Z962" s="23">
        <v>705.87</v>
      </c>
      <c r="AA962" s="25">
        <v>192</v>
      </c>
      <c r="AB962" s="24">
        <v>432.06999999999994</v>
      </c>
      <c r="AC962" s="24">
        <f t="shared" si="296"/>
        <v>273.80000000000007</v>
      </c>
      <c r="AD962" s="53">
        <f t="shared" si="297"/>
        <v>0.38789012141045809</v>
      </c>
      <c r="AE962" s="10"/>
    </row>
    <row r="963" spans="1:31" x14ac:dyDescent="0.25">
      <c r="A963" s="14" t="s">
        <v>109</v>
      </c>
      <c r="C963" s="61" t="str">
        <f t="shared" si="295"/>
        <v>C100068</v>
      </c>
      <c r="F963" s="8" t="str">
        <f>"E100040"</f>
        <v>E100040</v>
      </c>
      <c r="G963" s="9" t="str">
        <f>"Wave Mug"</f>
        <v>Wave Mug</v>
      </c>
      <c r="H963" s="47"/>
      <c r="I963" s="47"/>
      <c r="J963" s="23">
        <v>0</v>
      </c>
      <c r="K963" s="25">
        <v>0</v>
      </c>
      <c r="L963" s="24">
        <v>0</v>
      </c>
      <c r="M963" s="24">
        <f>J963-L963</f>
        <v>0</v>
      </c>
      <c r="N963" s="53" t="str">
        <f>IF(J963&lt;&gt;0,M963/J963,"")</f>
        <v/>
      </c>
      <c r="O963" s="23">
        <v>238.49</v>
      </c>
      <c r="P963" s="25">
        <v>144</v>
      </c>
      <c r="Q963" s="24">
        <v>161.36000000000001</v>
      </c>
      <c r="R963" s="24">
        <f>O963-Q963</f>
        <v>77.13</v>
      </c>
      <c r="S963" s="53">
        <f>IF(O963&lt;&gt;0,R963/O963,"")</f>
        <v>0.32340978657386049</v>
      </c>
      <c r="T963" s="10"/>
      <c r="U963" s="23">
        <v>0</v>
      </c>
      <c r="V963" s="25">
        <v>0</v>
      </c>
      <c r="W963" s="24">
        <v>0</v>
      </c>
      <c r="X963" s="24">
        <f>U963-W963</f>
        <v>0</v>
      </c>
      <c r="Y963" s="53" t="str">
        <f>IF(U963&lt;&gt;0,X963/U963,"")</f>
        <v/>
      </c>
      <c r="Z963" s="23">
        <v>0</v>
      </c>
      <c r="AA963" s="25">
        <v>0</v>
      </c>
      <c r="AB963" s="24">
        <v>0</v>
      </c>
      <c r="AC963" s="24">
        <f t="shared" si="296"/>
        <v>0</v>
      </c>
      <c r="AD963" s="53" t="str">
        <f t="shared" si="297"/>
        <v/>
      </c>
      <c r="AE963" s="10"/>
    </row>
    <row r="964" spans="1:31" x14ac:dyDescent="0.25">
      <c r="A964" s="14" t="s">
        <v>109</v>
      </c>
      <c r="C964" s="61" t="str">
        <f t="shared" si="295"/>
        <v>C100068</v>
      </c>
      <c r="F964" s="8" t="str">
        <f>"E100045"</f>
        <v>E100045</v>
      </c>
      <c r="G964" s="9" t="str">
        <f>"Flute"</f>
        <v>Flute</v>
      </c>
      <c r="H964" s="47"/>
      <c r="I964" s="47"/>
      <c r="J964" s="23">
        <v>0</v>
      </c>
      <c r="K964" s="25">
        <v>0</v>
      </c>
      <c r="L964" s="24">
        <v>0</v>
      </c>
      <c r="M964" s="24">
        <f>J964-L964</f>
        <v>0</v>
      </c>
      <c r="N964" s="53" t="str">
        <f>IF(J964&lt;&gt;0,M964/J964,"")</f>
        <v/>
      </c>
      <c r="O964" s="23">
        <v>-13.58</v>
      </c>
      <c r="P964" s="25">
        <v>-14</v>
      </c>
      <c r="Q964" s="24">
        <v>-8.68</v>
      </c>
      <c r="R964" s="24">
        <f>O964-Q964</f>
        <v>-4.9000000000000004</v>
      </c>
      <c r="S964" s="53">
        <f>IF(O964&lt;&gt;0,R964/O964,"")</f>
        <v>0.36082474226804129</v>
      </c>
      <c r="T964" s="10"/>
      <c r="U964" s="23">
        <v>0</v>
      </c>
      <c r="V964" s="25">
        <v>0</v>
      </c>
      <c r="W964" s="24">
        <v>0</v>
      </c>
      <c r="X964" s="24">
        <f>U964-W964</f>
        <v>0</v>
      </c>
      <c r="Y964" s="53" t="str">
        <f>IF(U964&lt;&gt;0,X964/U964,"")</f>
        <v/>
      </c>
      <c r="Z964" s="23">
        <v>135.44</v>
      </c>
      <c r="AA964" s="25">
        <v>144</v>
      </c>
      <c r="AB964" s="24">
        <v>89.3</v>
      </c>
      <c r="AC964" s="24">
        <f t="shared" si="296"/>
        <v>46.14</v>
      </c>
      <c r="AD964" s="53">
        <f t="shared" si="297"/>
        <v>0.34066745422327233</v>
      </c>
      <c r="AE964" s="10"/>
    </row>
    <row r="965" spans="1:31" x14ac:dyDescent="0.25">
      <c r="A965" s="14" t="s">
        <v>109</v>
      </c>
      <c r="C965" s="61" t="str">
        <f t="shared" si="295"/>
        <v>C100068</v>
      </c>
      <c r="F965" s="8" t="str">
        <f>"E100047"</f>
        <v>E100047</v>
      </c>
      <c r="G965" s="9" t="str">
        <f>"Chardonnay Glass"</f>
        <v>Chardonnay Glass</v>
      </c>
      <c r="H965" s="47"/>
      <c r="I965" s="47"/>
      <c r="J965" s="23">
        <v>0</v>
      </c>
      <c r="K965" s="25">
        <v>0</v>
      </c>
      <c r="L965" s="24">
        <v>0</v>
      </c>
      <c r="M965" s="24">
        <f>J965-L965</f>
        <v>0</v>
      </c>
      <c r="N965" s="53" t="str">
        <f>IF(J965&lt;&gt;0,M965/J965,"")</f>
        <v/>
      </c>
      <c r="O965" s="23">
        <v>21.17</v>
      </c>
      <c r="P965" s="25">
        <v>12</v>
      </c>
      <c r="Q965" s="24">
        <v>12.6</v>
      </c>
      <c r="R965" s="24">
        <f>O965-Q965</f>
        <v>8.5700000000000021</v>
      </c>
      <c r="S965" s="53">
        <f>IF(O965&lt;&gt;0,R965/O965,"")</f>
        <v>0.40481813887576767</v>
      </c>
      <c r="T965" s="10"/>
      <c r="U965" s="23">
        <v>0</v>
      </c>
      <c r="V965" s="25">
        <v>0</v>
      </c>
      <c r="W965" s="24">
        <v>0</v>
      </c>
      <c r="X965" s="24">
        <f>U965-W965</f>
        <v>0</v>
      </c>
      <c r="Y965" s="53" t="str">
        <f>IF(U965&lt;&gt;0,X965/U965,"")</f>
        <v/>
      </c>
      <c r="Z965" s="23">
        <v>246.23</v>
      </c>
      <c r="AA965" s="25">
        <v>144</v>
      </c>
      <c r="AB965" s="24">
        <v>151.19999999999999</v>
      </c>
      <c r="AC965" s="24">
        <f t="shared" si="296"/>
        <v>95.03</v>
      </c>
      <c r="AD965" s="53">
        <f t="shared" si="297"/>
        <v>0.38593997482028997</v>
      </c>
      <c r="AE965" s="10"/>
    </row>
    <row r="966" spans="1:31" x14ac:dyDescent="0.25">
      <c r="A966" s="14" t="s">
        <v>109</v>
      </c>
      <c r="C966" s="61" t="str">
        <f t="shared" si="295"/>
        <v>C100068</v>
      </c>
      <c r="F966" s="8" t="str">
        <f>"S100011"</f>
        <v>S100011</v>
      </c>
      <c r="G966" s="9" t="str">
        <f>"All Star Cap"</f>
        <v>All Star Cap</v>
      </c>
      <c r="H966" s="47"/>
      <c r="I966" s="47"/>
      <c r="J966" s="23">
        <v>0</v>
      </c>
      <c r="K966" s="25">
        <v>0</v>
      </c>
      <c r="L966" s="24">
        <v>0</v>
      </c>
      <c r="M966" s="24">
        <f>J966-L966</f>
        <v>0</v>
      </c>
      <c r="N966" s="53" t="str">
        <f>IF(J966&lt;&gt;0,M966/J966,"")</f>
        <v/>
      </c>
      <c r="O966" s="23">
        <v>204.62</v>
      </c>
      <c r="P966" s="25">
        <v>144</v>
      </c>
      <c r="Q966" s="24">
        <v>122.41</v>
      </c>
      <c r="R966" s="24">
        <f>O966-Q966</f>
        <v>82.210000000000008</v>
      </c>
      <c r="S966" s="53">
        <f>IF(O966&lt;&gt;0,R966/O966,"")</f>
        <v>0.40176913302707462</v>
      </c>
      <c r="T966" s="10"/>
      <c r="U966" s="23">
        <v>0</v>
      </c>
      <c r="V966" s="25">
        <v>0</v>
      </c>
      <c r="W966" s="24">
        <v>0</v>
      </c>
      <c r="X966" s="24">
        <f>U966-W966</f>
        <v>0</v>
      </c>
      <c r="Y966" s="53" t="str">
        <f>IF(U966&lt;&gt;0,X966/U966,"")</f>
        <v/>
      </c>
      <c r="Z966" s="23">
        <v>0</v>
      </c>
      <c r="AA966" s="25">
        <v>0</v>
      </c>
      <c r="AB966" s="24">
        <v>0</v>
      </c>
      <c r="AC966" s="24">
        <f t="shared" si="296"/>
        <v>0</v>
      </c>
      <c r="AD966" s="53" t="str">
        <f t="shared" si="297"/>
        <v/>
      </c>
      <c r="AE966" s="10"/>
    </row>
    <row r="967" spans="1:31" x14ac:dyDescent="0.25">
      <c r="A967" s="14" t="s">
        <v>109</v>
      </c>
      <c r="C967" s="61" t="str">
        <f t="shared" si="295"/>
        <v>C100068</v>
      </c>
      <c r="F967" s="8" t="str">
        <f>"S100016"</f>
        <v>S100016</v>
      </c>
      <c r="G967" s="9" t="str">
        <f>"Mesh Bucket Hat"</f>
        <v>Mesh Bucket Hat</v>
      </c>
      <c r="H967" s="47"/>
      <c r="I967" s="47"/>
      <c r="J967" s="23">
        <v>0</v>
      </c>
      <c r="K967" s="25">
        <v>0</v>
      </c>
      <c r="L967" s="24">
        <v>0</v>
      </c>
      <c r="M967" s="24">
        <f>J967-L967</f>
        <v>0</v>
      </c>
      <c r="N967" s="53" t="str">
        <f>IF(J967&lt;&gt;0,M967/J967,"")</f>
        <v/>
      </c>
      <c r="O967" s="23">
        <v>702.77</v>
      </c>
      <c r="P967" s="25">
        <v>144</v>
      </c>
      <c r="Q967" s="24">
        <v>396.01</v>
      </c>
      <c r="R967" s="24">
        <f>O967-Q967</f>
        <v>306.76</v>
      </c>
      <c r="S967" s="53">
        <f>IF(O967&lt;&gt;0,R967/O967,"")</f>
        <v>0.43650127353188101</v>
      </c>
      <c r="T967" s="10"/>
      <c r="U967" s="23">
        <v>0</v>
      </c>
      <c r="V967" s="25">
        <v>0</v>
      </c>
      <c r="W967" s="24">
        <v>0</v>
      </c>
      <c r="X967" s="24">
        <f>U967-W967</f>
        <v>0</v>
      </c>
      <c r="Y967" s="53" t="str">
        <f>IF(U967&lt;&gt;0,X967/U967,"")</f>
        <v/>
      </c>
      <c r="Z967" s="23">
        <v>681.27</v>
      </c>
      <c r="AA967" s="25">
        <v>144</v>
      </c>
      <c r="AB967" s="24">
        <v>396.01</v>
      </c>
      <c r="AC967" s="24">
        <f t="shared" si="296"/>
        <v>285.26</v>
      </c>
      <c r="AD967" s="53">
        <f t="shared" si="297"/>
        <v>0.41871798259133675</v>
      </c>
      <c r="AE967" s="10"/>
    </row>
    <row r="968" spans="1:31" x14ac:dyDescent="0.25">
      <c r="A968" s="14" t="s">
        <v>109</v>
      </c>
      <c r="C968" s="61" t="str">
        <f t="shared" si="295"/>
        <v>C100068</v>
      </c>
      <c r="F968" s="8" t="str">
        <f>"S100020"</f>
        <v>S100020</v>
      </c>
      <c r="G968" s="9" t="str">
        <f>"Super Sport Stopwatch"</f>
        <v>Super Sport Stopwatch</v>
      </c>
      <c r="H968" s="47"/>
      <c r="I968" s="47"/>
      <c r="J968" s="23">
        <v>0</v>
      </c>
      <c r="K968" s="25">
        <v>0</v>
      </c>
      <c r="L968" s="24">
        <v>0</v>
      </c>
      <c r="M968" s="24">
        <f>J968-L968</f>
        <v>0</v>
      </c>
      <c r="N968" s="53" t="str">
        <f>IF(J968&lt;&gt;0,M968/J968,"")</f>
        <v/>
      </c>
      <c r="O968" s="23">
        <v>102.54</v>
      </c>
      <c r="P968" s="25">
        <v>48</v>
      </c>
      <c r="Q968" s="24">
        <v>50.4</v>
      </c>
      <c r="R968" s="24">
        <f>O968-Q968</f>
        <v>52.140000000000008</v>
      </c>
      <c r="S968" s="53">
        <f>IF(O968&lt;&gt;0,R968/O968,"")</f>
        <v>0.50848449385605621</v>
      </c>
      <c r="T968" s="10"/>
      <c r="U968" s="23">
        <v>0</v>
      </c>
      <c r="V968" s="25">
        <v>0</v>
      </c>
      <c r="W968" s="24">
        <v>0</v>
      </c>
      <c r="X968" s="24">
        <f>U968-W968</f>
        <v>0</v>
      </c>
      <c r="Y968" s="53" t="str">
        <f>IF(U968&lt;&gt;0,X968/U968,"")</f>
        <v/>
      </c>
      <c r="Z968" s="23">
        <v>0</v>
      </c>
      <c r="AA968" s="25">
        <v>0</v>
      </c>
      <c r="AB968" s="24">
        <v>0</v>
      </c>
      <c r="AC968" s="24">
        <f t="shared" si="296"/>
        <v>0</v>
      </c>
      <c r="AD968" s="53" t="str">
        <f t="shared" si="297"/>
        <v/>
      </c>
      <c r="AE968" s="10"/>
    </row>
    <row r="969" spans="1:31" x14ac:dyDescent="0.25">
      <c r="A969" s="14" t="s">
        <v>109</v>
      </c>
      <c r="C969" s="61" t="str">
        <f t="shared" si="295"/>
        <v>C100068</v>
      </c>
      <c r="F969" s="8" t="str">
        <f>"S100023"</f>
        <v>S100023</v>
      </c>
      <c r="G969" s="9" t="str">
        <f>"Gripper SPORT BOT"</f>
        <v>Gripper SPORT BOT</v>
      </c>
      <c r="H969" s="47"/>
      <c r="I969" s="47"/>
      <c r="J969" s="23">
        <v>0</v>
      </c>
      <c r="K969" s="25">
        <v>0</v>
      </c>
      <c r="L969" s="24">
        <v>0</v>
      </c>
      <c r="M969" s="24">
        <f>J969-L969</f>
        <v>0</v>
      </c>
      <c r="N969" s="53" t="str">
        <f>IF(J969&lt;&gt;0,M969/J969,"")</f>
        <v/>
      </c>
      <c r="O969" s="23">
        <v>280.83000000000004</v>
      </c>
      <c r="P969" s="25">
        <v>144</v>
      </c>
      <c r="Q969" s="24">
        <v>142.57999999999998</v>
      </c>
      <c r="R969" s="24">
        <f>O969-Q969</f>
        <v>138.25000000000006</v>
      </c>
      <c r="S969" s="53">
        <f>IF(O969&lt;&gt;0,R969/O969,"")</f>
        <v>0.49229070968201416</v>
      </c>
      <c r="T969" s="10"/>
      <c r="U969" s="23">
        <v>0</v>
      </c>
      <c r="V969" s="25">
        <v>0</v>
      </c>
      <c r="W969" s="24">
        <v>0</v>
      </c>
      <c r="X969" s="24">
        <f>U969-W969</f>
        <v>0</v>
      </c>
      <c r="Y969" s="53" t="str">
        <f>IF(U969&lt;&gt;0,X969/U969,"")</f>
        <v/>
      </c>
      <c r="Z969" s="23">
        <v>0</v>
      </c>
      <c r="AA969" s="25">
        <v>0</v>
      </c>
      <c r="AB969" s="24">
        <v>0</v>
      </c>
      <c r="AC969" s="24">
        <f t="shared" si="296"/>
        <v>0</v>
      </c>
      <c r="AD969" s="53" t="str">
        <f t="shared" si="297"/>
        <v/>
      </c>
      <c r="AE969" s="10"/>
    </row>
    <row r="970" spans="1:31" x14ac:dyDescent="0.25">
      <c r="A970" s="14" t="s">
        <v>109</v>
      </c>
      <c r="C970" s="61" t="str">
        <f t="shared" si="295"/>
        <v>C100068</v>
      </c>
      <c r="F970" s="8" t="str">
        <f>"S100025"</f>
        <v>S100025</v>
      </c>
      <c r="G970" s="9" t="str">
        <f>"SPORT BOT with Pop Lid"</f>
        <v>SPORT BOT with Pop Lid</v>
      </c>
      <c r="H970" s="47"/>
      <c r="I970" s="47"/>
      <c r="J970" s="23">
        <v>0</v>
      </c>
      <c r="K970" s="25">
        <v>0</v>
      </c>
      <c r="L970" s="24">
        <v>0</v>
      </c>
      <c r="M970" s="24">
        <f>J970-L970</f>
        <v>0</v>
      </c>
      <c r="N970" s="53" t="str">
        <f>IF(J970&lt;&gt;0,M970/J970,"")</f>
        <v/>
      </c>
      <c r="O970" s="23">
        <v>39.99</v>
      </c>
      <c r="P970" s="25">
        <v>24</v>
      </c>
      <c r="Q970" s="24">
        <v>23.03</v>
      </c>
      <c r="R970" s="24">
        <f>O970-Q970</f>
        <v>16.96</v>
      </c>
      <c r="S970" s="53">
        <f>IF(O970&lt;&gt;0,R970/O970,"")</f>
        <v>0.42410602650662665</v>
      </c>
      <c r="T970" s="10"/>
      <c r="U970" s="23">
        <v>0</v>
      </c>
      <c r="V970" s="25">
        <v>0</v>
      </c>
      <c r="W970" s="24">
        <v>0</v>
      </c>
      <c r="X970" s="24">
        <f>U970-W970</f>
        <v>0</v>
      </c>
      <c r="Y970" s="53" t="str">
        <f>IF(U970&lt;&gt;0,X970/U970,"")</f>
        <v/>
      </c>
      <c r="Z970" s="23">
        <v>0</v>
      </c>
      <c r="AA970" s="25">
        <v>0</v>
      </c>
      <c r="AB970" s="24">
        <v>0</v>
      </c>
      <c r="AC970" s="24">
        <f t="shared" si="296"/>
        <v>0</v>
      </c>
      <c r="AD970" s="53" t="str">
        <f t="shared" si="297"/>
        <v/>
      </c>
      <c r="AE970" s="10"/>
    </row>
    <row r="971" spans="1:31" x14ac:dyDescent="0.25">
      <c r="A971" s="14" t="s">
        <v>109</v>
      </c>
      <c r="C971" s="61" t="str">
        <f t="shared" si="295"/>
        <v>C100068</v>
      </c>
      <c r="F971" s="8" t="str">
        <f>"S100026"</f>
        <v>S100026</v>
      </c>
      <c r="G971" s="9" t="str">
        <f>"Wide SPORT BOT"</f>
        <v>Wide SPORT BOT</v>
      </c>
      <c r="H971" s="47"/>
      <c r="I971" s="47"/>
      <c r="J971" s="23">
        <v>0</v>
      </c>
      <c r="K971" s="25">
        <v>0</v>
      </c>
      <c r="L971" s="24">
        <v>0</v>
      </c>
      <c r="M971" s="24">
        <f>J971-L971</f>
        <v>0</v>
      </c>
      <c r="N971" s="53" t="str">
        <f>IF(J971&lt;&gt;0,M971/J971,"")</f>
        <v/>
      </c>
      <c r="O971" s="23">
        <v>571.54000000000008</v>
      </c>
      <c r="P971" s="25">
        <v>144</v>
      </c>
      <c r="Q971" s="24">
        <v>273.65000000000003</v>
      </c>
      <c r="R971" s="24">
        <f>O971-Q971</f>
        <v>297.89000000000004</v>
      </c>
      <c r="S971" s="53">
        <f>IF(O971&lt;&gt;0,R971/O971,"")</f>
        <v>0.52120586485635301</v>
      </c>
      <c r="T971" s="10"/>
      <c r="U971" s="23">
        <v>0</v>
      </c>
      <c r="V971" s="25">
        <v>0</v>
      </c>
      <c r="W971" s="24">
        <v>0</v>
      </c>
      <c r="X971" s="24">
        <f>U971-W971</f>
        <v>0</v>
      </c>
      <c r="Y971" s="53" t="str">
        <f>IF(U971&lt;&gt;0,X971/U971,"")</f>
        <v/>
      </c>
      <c r="Z971" s="23">
        <v>0</v>
      </c>
      <c r="AA971" s="25">
        <v>0</v>
      </c>
      <c r="AB971" s="24">
        <v>0</v>
      </c>
      <c r="AC971" s="24">
        <f t="shared" si="296"/>
        <v>0</v>
      </c>
      <c r="AD971" s="53" t="str">
        <f t="shared" si="297"/>
        <v/>
      </c>
      <c r="AE971" s="10"/>
    </row>
    <row r="972" spans="1:31" ht="15.75" thickBot="1" x14ac:dyDescent="0.3">
      <c r="A972" s="14" t="s">
        <v>109</v>
      </c>
      <c r="C972" s="61" t="str">
        <f>C943</f>
        <v>C100068</v>
      </c>
      <c r="J972" s="10"/>
      <c r="K972" s="11"/>
      <c r="L972" s="11"/>
      <c r="M972" s="11"/>
      <c r="N972" s="12"/>
      <c r="O972" s="10"/>
      <c r="P972" s="11"/>
      <c r="Q972" s="11"/>
      <c r="R972" s="11"/>
      <c r="S972" s="12"/>
      <c r="U972" s="10"/>
      <c r="V972" s="11"/>
      <c r="W972" s="11"/>
      <c r="X972" s="11"/>
      <c r="Y972" s="12"/>
      <c r="Z972" s="10"/>
      <c r="AA972" s="11"/>
      <c r="AB972" s="11"/>
      <c r="AC972" s="11"/>
      <c r="AD972" s="12"/>
    </row>
    <row r="973" spans="1:31" ht="15.75" thickBot="1" x14ac:dyDescent="0.3">
      <c r="A973" s="14" t="s">
        <v>109</v>
      </c>
      <c r="C973" s="61" t="str">
        <f t="shared" si="292"/>
        <v>C100068</v>
      </c>
      <c r="G973" s="48" t="str">
        <f>C973&amp;" TOTAL:"</f>
        <v>C100068 TOTAL:</v>
      </c>
      <c r="H973" s="50"/>
      <c r="I973" s="50"/>
      <c r="J973" s="34">
        <f>SUBTOTAL(9,J942:J972)</f>
        <v>0</v>
      </c>
      <c r="K973" s="35">
        <f>SUBTOTAL(9,K942:K972)</f>
        <v>0</v>
      </c>
      <c r="L973" s="36">
        <f>SUBTOTAL(9,L942:L972)</f>
        <v>0</v>
      </c>
      <c r="M973" s="36">
        <f>J973-L973</f>
        <v>0</v>
      </c>
      <c r="N973" s="37" t="str">
        <f>IF(J973&lt;&gt;0,M973/J973,"")</f>
        <v/>
      </c>
      <c r="O973" s="34">
        <f>SUBTOTAL(9,O942:O972)</f>
        <v>7185.5699999999979</v>
      </c>
      <c r="P973" s="35">
        <f>SUBTOTAL(9,P942:P972)</f>
        <v>2991</v>
      </c>
      <c r="Q973" s="36">
        <f>SUBTOTAL(9,Q942:Q972)</f>
        <v>3781.9700000000007</v>
      </c>
      <c r="R973" s="36">
        <f>O973-Q973</f>
        <v>3403.5999999999972</v>
      </c>
      <c r="S973" s="37">
        <f>IF(O973&lt;&gt;0,R973/O973,"")</f>
        <v>0.47367153893149716</v>
      </c>
      <c r="U973" s="34">
        <f>SUBTOTAL(9,U942:U972)</f>
        <v>0</v>
      </c>
      <c r="V973" s="35">
        <f>SUBTOTAL(9,V942:V972)</f>
        <v>0</v>
      </c>
      <c r="W973" s="36">
        <f>SUBTOTAL(9,W942:W972)</f>
        <v>0</v>
      </c>
      <c r="X973" s="36">
        <f>U973-W973</f>
        <v>0</v>
      </c>
      <c r="Y973" s="37" t="str">
        <f>IF(U973&lt;&gt;0,X973/U973,"")</f>
        <v/>
      </c>
      <c r="Z973" s="34">
        <f>SUBTOTAL(9,Z942:Z972)</f>
        <v>4112.5</v>
      </c>
      <c r="AA973" s="35">
        <f>SUBTOTAL(9,AA942:AA972)</f>
        <v>1347</v>
      </c>
      <c r="AB973" s="36">
        <f>SUBTOTAL(9,AB942:AB972)</f>
        <v>2250.2799999999997</v>
      </c>
      <c r="AC973" s="36">
        <f t="shared" ref="AC973" si="298">Z973-AB973</f>
        <v>1862.2200000000003</v>
      </c>
      <c r="AD973" s="37">
        <f t="shared" ref="AD973" si="299">IF(Z973&lt;&gt;0,AC973/Z973,"")</f>
        <v>0.45281945288753805</v>
      </c>
    </row>
    <row r="974" spans="1:31" x14ac:dyDescent="0.25">
      <c r="A974" s="14" t="s">
        <v>109</v>
      </c>
      <c r="C974" s="66"/>
      <c r="J974" s="10"/>
      <c r="K974" s="11"/>
      <c r="L974" s="11"/>
      <c r="M974" s="11"/>
      <c r="N974" s="12"/>
      <c r="O974" s="10"/>
      <c r="P974" s="11"/>
      <c r="Q974" s="11"/>
      <c r="R974" s="11"/>
      <c r="S974" s="12"/>
      <c r="U974" s="10"/>
      <c r="V974" s="11"/>
      <c r="W974" s="11"/>
      <c r="X974" s="11"/>
      <c r="Y974" s="12"/>
      <c r="Z974" s="10"/>
      <c r="AA974" s="11"/>
      <c r="AB974" s="11"/>
      <c r="AC974" s="11"/>
      <c r="AD974" s="12"/>
    </row>
    <row r="975" spans="1:31" ht="15.75" x14ac:dyDescent="0.25">
      <c r="A975" s="14" t="s">
        <v>109</v>
      </c>
      <c r="C975" s="66" t="str">
        <f t="shared" ref="C975" si="300">E975</f>
        <v>C100069</v>
      </c>
      <c r="E975" s="13" t="str">
        <f>"C100069"</f>
        <v>C100069</v>
      </c>
      <c r="F975" s="13"/>
      <c r="G975" s="13" t="str">
        <f>"Parmentier Boutique"</f>
        <v>Parmentier Boutique</v>
      </c>
      <c r="H975" s="13"/>
      <c r="I975" s="13"/>
      <c r="J975" s="10"/>
      <c r="K975" s="11"/>
      <c r="L975" s="11"/>
      <c r="M975" s="11"/>
      <c r="N975" s="12"/>
      <c r="O975" s="10"/>
      <c r="P975" s="11"/>
      <c r="Q975" s="11"/>
      <c r="R975" s="11"/>
      <c r="S975" s="12"/>
      <c r="U975" s="10"/>
      <c r="V975" s="11"/>
      <c r="W975" s="11"/>
      <c r="X975" s="11"/>
      <c r="Y975" s="12"/>
      <c r="Z975" s="10"/>
      <c r="AA975" s="11"/>
      <c r="AB975" s="11"/>
      <c r="AC975" s="11"/>
      <c r="AD975" s="12"/>
    </row>
    <row r="976" spans="1:31" ht="6.6" customHeight="1" x14ac:dyDescent="0.25">
      <c r="A976" s="14" t="s">
        <v>109</v>
      </c>
      <c r="C976" s="61" t="str">
        <f t="shared" ref="C976:C988" si="301">C975</f>
        <v>C100069</v>
      </c>
      <c r="J976" s="10"/>
      <c r="K976" s="11"/>
      <c r="L976" s="11"/>
      <c r="M976" s="11"/>
      <c r="N976" s="12"/>
      <c r="O976" s="10"/>
      <c r="P976" s="11"/>
      <c r="Q976" s="11"/>
      <c r="R976" s="11"/>
      <c r="S976" s="12"/>
      <c r="U976" s="10"/>
      <c r="V976" s="11"/>
      <c r="W976" s="11"/>
      <c r="X976" s="11"/>
      <c r="Y976" s="12"/>
      <c r="Z976" s="10"/>
      <c r="AA976" s="11"/>
      <c r="AB976" s="11"/>
      <c r="AC976" s="11"/>
      <c r="AD976" s="12"/>
    </row>
    <row r="977" spans="1:31" x14ac:dyDescent="0.25">
      <c r="A977" s="14" t="s">
        <v>109</v>
      </c>
      <c r="C977" s="61" t="str">
        <f t="shared" si="301"/>
        <v>C100069</v>
      </c>
      <c r="F977" s="8" t="str">
        <f>"C100002"</f>
        <v>C100002</v>
      </c>
      <c r="G977" s="9" t="str">
        <f>"Border Style"</f>
        <v>Border Style</v>
      </c>
      <c r="H977" s="47"/>
      <c r="I977" s="47"/>
      <c r="J977" s="23">
        <v>0</v>
      </c>
      <c r="K977" s="25">
        <v>0</v>
      </c>
      <c r="L977" s="24">
        <v>0</v>
      </c>
      <c r="M977" s="24">
        <f>J977-L977</f>
        <v>0</v>
      </c>
      <c r="N977" s="53" t="str">
        <f>IF(J977&lt;&gt;0,M977/J977,"")</f>
        <v/>
      </c>
      <c r="O977" s="23">
        <v>53.61</v>
      </c>
      <c r="P977" s="25">
        <v>1</v>
      </c>
      <c r="Q977" s="24">
        <v>31.950000000000003</v>
      </c>
      <c r="R977" s="24">
        <f>O977-Q977</f>
        <v>21.659999999999997</v>
      </c>
      <c r="S977" s="53">
        <f>IF(O977&lt;&gt;0,R977/O977,"")</f>
        <v>0.40402909904868489</v>
      </c>
      <c r="T977" s="10"/>
      <c r="U977" s="23">
        <v>0</v>
      </c>
      <c r="V977" s="25">
        <v>0</v>
      </c>
      <c r="W977" s="24">
        <v>0</v>
      </c>
      <c r="X977" s="24">
        <f>U977-W977</f>
        <v>0</v>
      </c>
      <c r="Y977" s="53" t="str">
        <f>IF(U977&lt;&gt;0,X977/U977,"")</f>
        <v/>
      </c>
      <c r="Z977" s="23">
        <v>0</v>
      </c>
      <c r="AA977" s="25">
        <v>0</v>
      </c>
      <c r="AB977" s="24">
        <v>0</v>
      </c>
      <c r="AC977" s="24">
        <f t="shared" ref="AC977" si="302">Z977-AB977</f>
        <v>0</v>
      </c>
      <c r="AD977" s="53" t="str">
        <f t="shared" ref="AD977" si="303">IF(Z977&lt;&gt;0,AC977/Z977,"")</f>
        <v/>
      </c>
      <c r="AE977" s="10"/>
    </row>
    <row r="978" spans="1:31" x14ac:dyDescent="0.25">
      <c r="A978" s="14" t="s">
        <v>109</v>
      </c>
      <c r="C978" s="61" t="str">
        <f t="shared" ref="C978:C986" si="304">C977</f>
        <v>C100069</v>
      </c>
      <c r="F978" s="8" t="str">
        <f>"C100031"</f>
        <v>C100031</v>
      </c>
      <c r="G978" s="9" t="str">
        <f>"Carabiner Watch"</f>
        <v>Carabiner Watch</v>
      </c>
      <c r="H978" s="47"/>
      <c r="I978" s="47"/>
      <c r="J978" s="23">
        <v>0</v>
      </c>
      <c r="K978" s="25">
        <v>0</v>
      </c>
      <c r="L978" s="24">
        <v>0</v>
      </c>
      <c r="M978" s="24">
        <f>J978-L978</f>
        <v>0</v>
      </c>
      <c r="N978" s="53" t="str">
        <f>IF(J978&lt;&gt;0,M978/J978,"")</f>
        <v/>
      </c>
      <c r="O978" s="23">
        <v>2637.16</v>
      </c>
      <c r="P978" s="25">
        <v>144</v>
      </c>
      <c r="Q978" s="24">
        <v>1235.52</v>
      </c>
      <c r="R978" s="24">
        <f>O978-Q978</f>
        <v>1401.6399999999999</v>
      </c>
      <c r="S978" s="53">
        <f>IF(O978&lt;&gt;0,R978/O978,"")</f>
        <v>0.53149600327625168</v>
      </c>
      <c r="T978" s="10"/>
      <c r="U978" s="23">
        <v>0</v>
      </c>
      <c r="V978" s="25">
        <v>0</v>
      </c>
      <c r="W978" s="24">
        <v>0</v>
      </c>
      <c r="X978" s="24">
        <f>U978-W978</f>
        <v>0</v>
      </c>
      <c r="Y978" s="53" t="str">
        <f>IF(U978&lt;&gt;0,X978/U978,"")</f>
        <v/>
      </c>
      <c r="Z978" s="23">
        <v>0</v>
      </c>
      <c r="AA978" s="25">
        <v>0</v>
      </c>
      <c r="AB978" s="24">
        <v>0</v>
      </c>
      <c r="AC978" s="24">
        <f t="shared" ref="AC978:AC986" si="305">Z978-AB978</f>
        <v>0</v>
      </c>
      <c r="AD978" s="53" t="str">
        <f t="shared" ref="AD978:AD986" si="306">IF(Z978&lt;&gt;0,AC978/Z978,"")</f>
        <v/>
      </c>
      <c r="AE978" s="10"/>
    </row>
    <row r="979" spans="1:31" x14ac:dyDescent="0.25">
      <c r="A979" s="14" t="s">
        <v>109</v>
      </c>
      <c r="C979" s="61" t="str">
        <f t="shared" si="304"/>
        <v>C100069</v>
      </c>
      <c r="F979" s="8" t="str">
        <f>"C100032"</f>
        <v>C100032</v>
      </c>
      <c r="G979" s="9" t="str">
        <f>"Clip-on Clock"</f>
        <v>Clip-on Clock</v>
      </c>
      <c r="H979" s="47"/>
      <c r="I979" s="47"/>
      <c r="J979" s="23">
        <v>0</v>
      </c>
      <c r="K979" s="25">
        <v>0</v>
      </c>
      <c r="L979" s="24">
        <v>0</v>
      </c>
      <c r="M979" s="24">
        <f>J979-L979</f>
        <v>0</v>
      </c>
      <c r="N979" s="53" t="str">
        <f>IF(J979&lt;&gt;0,M979/J979,"")</f>
        <v/>
      </c>
      <c r="O979" s="23">
        <v>383.66999999999996</v>
      </c>
      <c r="P979" s="25">
        <v>48</v>
      </c>
      <c r="Q979" s="24">
        <v>199.68</v>
      </c>
      <c r="R979" s="24">
        <f>O979-Q979</f>
        <v>183.98999999999995</v>
      </c>
      <c r="S979" s="53">
        <f>IF(O979&lt;&gt;0,R979/O979,"")</f>
        <v>0.4795527406364844</v>
      </c>
      <c r="T979" s="10"/>
      <c r="U979" s="23">
        <v>0</v>
      </c>
      <c r="V979" s="25">
        <v>0</v>
      </c>
      <c r="W979" s="24">
        <v>0</v>
      </c>
      <c r="X979" s="24">
        <f>U979-W979</f>
        <v>0</v>
      </c>
      <c r="Y979" s="53" t="str">
        <f>IF(U979&lt;&gt;0,X979/U979,"")</f>
        <v/>
      </c>
      <c r="Z979" s="23">
        <v>0</v>
      </c>
      <c r="AA979" s="25">
        <v>0</v>
      </c>
      <c r="AB979" s="24">
        <v>0</v>
      </c>
      <c r="AC979" s="24">
        <f t="shared" si="305"/>
        <v>0</v>
      </c>
      <c r="AD979" s="53" t="str">
        <f t="shared" si="306"/>
        <v/>
      </c>
      <c r="AE979" s="10"/>
    </row>
    <row r="980" spans="1:31" x14ac:dyDescent="0.25">
      <c r="A980" s="14" t="s">
        <v>109</v>
      </c>
      <c r="C980" s="61" t="str">
        <f t="shared" si="304"/>
        <v>C100069</v>
      </c>
      <c r="F980" s="8" t="str">
        <f>"C100036"</f>
        <v>C100036</v>
      </c>
      <c r="G980" s="9" t="str">
        <f>"Clock &amp; Business Card Holder"</f>
        <v>Clock &amp; Business Card Holder</v>
      </c>
      <c r="H980" s="47"/>
      <c r="I980" s="47"/>
      <c r="J980" s="23">
        <v>0</v>
      </c>
      <c r="K980" s="25">
        <v>0</v>
      </c>
      <c r="L980" s="24">
        <v>0</v>
      </c>
      <c r="M980" s="24">
        <f>J980-L980</f>
        <v>0</v>
      </c>
      <c r="N980" s="53" t="str">
        <f>IF(J980&lt;&gt;0,M980/J980,"")</f>
        <v/>
      </c>
      <c r="O980" s="23">
        <v>8.44</v>
      </c>
      <c r="P980" s="25">
        <v>1</v>
      </c>
      <c r="Q980" s="24">
        <v>4.68</v>
      </c>
      <c r="R980" s="24">
        <f>O980-Q980</f>
        <v>3.76</v>
      </c>
      <c r="S980" s="53">
        <f>IF(O980&lt;&gt;0,R980/O980,"")</f>
        <v>0.44549763033175355</v>
      </c>
      <c r="T980" s="10"/>
      <c r="U980" s="23">
        <v>0</v>
      </c>
      <c r="V980" s="25">
        <v>0</v>
      </c>
      <c r="W980" s="24">
        <v>0</v>
      </c>
      <c r="X980" s="24">
        <f>U980-W980</f>
        <v>0</v>
      </c>
      <c r="Y980" s="53" t="str">
        <f>IF(U980&lt;&gt;0,X980/U980,"")</f>
        <v/>
      </c>
      <c r="Z980" s="23">
        <v>0</v>
      </c>
      <c r="AA980" s="25">
        <v>0</v>
      </c>
      <c r="AB980" s="24">
        <v>0</v>
      </c>
      <c r="AC980" s="24">
        <f t="shared" si="305"/>
        <v>0</v>
      </c>
      <c r="AD980" s="53" t="str">
        <f t="shared" si="306"/>
        <v/>
      </c>
      <c r="AE980" s="10"/>
    </row>
    <row r="981" spans="1:31" x14ac:dyDescent="0.25">
      <c r="A981" s="14" t="s">
        <v>109</v>
      </c>
      <c r="C981" s="61" t="str">
        <f t="shared" si="304"/>
        <v>C100069</v>
      </c>
      <c r="F981" s="8" t="str">
        <f>"C100041"</f>
        <v>C100041</v>
      </c>
      <c r="G981" s="9" t="str">
        <f>"Folding Stereo Speakers"</f>
        <v>Folding Stereo Speakers</v>
      </c>
      <c r="H981" s="47"/>
      <c r="I981" s="47"/>
      <c r="J981" s="23">
        <v>0</v>
      </c>
      <c r="K981" s="25">
        <v>0</v>
      </c>
      <c r="L981" s="24">
        <v>0</v>
      </c>
      <c r="M981" s="24">
        <f>J981-L981</f>
        <v>0</v>
      </c>
      <c r="N981" s="53" t="str">
        <f>IF(J981&lt;&gt;0,M981/J981,"")</f>
        <v/>
      </c>
      <c r="O981" s="23">
        <v>90.61</v>
      </c>
      <c r="P981" s="25">
        <v>6</v>
      </c>
      <c r="Q981" s="24">
        <v>50.220000000000006</v>
      </c>
      <c r="R981" s="24">
        <f>O981-Q981</f>
        <v>40.389999999999993</v>
      </c>
      <c r="S981" s="53">
        <f>IF(O981&lt;&gt;0,R981/O981,"")</f>
        <v>0.44575653901335388</v>
      </c>
      <c r="T981" s="10"/>
      <c r="U981" s="23">
        <v>0</v>
      </c>
      <c r="V981" s="25">
        <v>0</v>
      </c>
      <c r="W981" s="24">
        <v>0</v>
      </c>
      <c r="X981" s="24">
        <f>U981-W981</f>
        <v>0</v>
      </c>
      <c r="Y981" s="53" t="str">
        <f>IF(U981&lt;&gt;0,X981/U981,"")</f>
        <v/>
      </c>
      <c r="Z981" s="23">
        <v>0</v>
      </c>
      <c r="AA981" s="25">
        <v>0</v>
      </c>
      <c r="AB981" s="24">
        <v>0</v>
      </c>
      <c r="AC981" s="24">
        <f t="shared" si="305"/>
        <v>0</v>
      </c>
      <c r="AD981" s="53" t="str">
        <f t="shared" si="306"/>
        <v/>
      </c>
      <c r="AE981" s="10"/>
    </row>
    <row r="982" spans="1:31" x14ac:dyDescent="0.25">
      <c r="A982" s="14" t="s">
        <v>109</v>
      </c>
      <c r="C982" s="61" t="str">
        <f t="shared" si="304"/>
        <v>C100069</v>
      </c>
      <c r="F982" s="8" t="str">
        <f>"C100043"</f>
        <v>C100043</v>
      </c>
      <c r="G982" s="9" t="str">
        <f>"Pro-Travel Technology Set"</f>
        <v>Pro-Travel Technology Set</v>
      </c>
      <c r="H982" s="47"/>
      <c r="I982" s="47"/>
      <c r="J982" s="23">
        <v>0</v>
      </c>
      <c r="K982" s="25">
        <v>0</v>
      </c>
      <c r="L982" s="24">
        <v>0</v>
      </c>
      <c r="M982" s="24">
        <f>J982-L982</f>
        <v>0</v>
      </c>
      <c r="N982" s="53" t="str">
        <f>IF(J982&lt;&gt;0,M982/J982,"")</f>
        <v/>
      </c>
      <c r="O982" s="23">
        <v>4567.5999999999995</v>
      </c>
      <c r="P982" s="25">
        <v>144</v>
      </c>
      <c r="Q982" s="24">
        <v>2160.0699999999997</v>
      </c>
      <c r="R982" s="24">
        <f>O982-Q982</f>
        <v>2407.5299999999997</v>
      </c>
      <c r="S982" s="53">
        <f>IF(O982&lt;&gt;0,R982/O982,"")</f>
        <v>0.52708862422278657</v>
      </c>
      <c r="T982" s="10"/>
      <c r="U982" s="23">
        <v>0</v>
      </c>
      <c r="V982" s="25">
        <v>0</v>
      </c>
      <c r="W982" s="24">
        <v>0</v>
      </c>
      <c r="X982" s="24">
        <f>U982-W982</f>
        <v>0</v>
      </c>
      <c r="Y982" s="53" t="str">
        <f>IF(U982&lt;&gt;0,X982/U982,"")</f>
        <v/>
      </c>
      <c r="Z982" s="23">
        <v>0</v>
      </c>
      <c r="AA982" s="25">
        <v>0</v>
      </c>
      <c r="AB982" s="24">
        <v>0</v>
      </c>
      <c r="AC982" s="24">
        <f t="shared" si="305"/>
        <v>0</v>
      </c>
      <c r="AD982" s="53" t="str">
        <f t="shared" si="306"/>
        <v/>
      </c>
      <c r="AE982" s="10"/>
    </row>
    <row r="983" spans="1:31" x14ac:dyDescent="0.25">
      <c r="A983" s="14" t="s">
        <v>109</v>
      </c>
      <c r="C983" s="61" t="str">
        <f t="shared" si="304"/>
        <v>C100069</v>
      </c>
      <c r="F983" s="8" t="str">
        <f>"C100050"</f>
        <v>C100050</v>
      </c>
      <c r="G983" s="9" t="str">
        <f>"Clip-on MP3 Player"</f>
        <v>Clip-on MP3 Player</v>
      </c>
      <c r="H983" s="47"/>
      <c r="I983" s="47"/>
      <c r="J983" s="23">
        <v>0</v>
      </c>
      <c r="K983" s="25">
        <v>0</v>
      </c>
      <c r="L983" s="24">
        <v>0</v>
      </c>
      <c r="M983" s="24">
        <f>J983-L983</f>
        <v>0</v>
      </c>
      <c r="N983" s="53" t="str">
        <f>IF(J983&lt;&gt;0,M983/J983,"")</f>
        <v/>
      </c>
      <c r="O983" s="23">
        <v>874.83999999999992</v>
      </c>
      <c r="P983" s="25">
        <v>48</v>
      </c>
      <c r="Q983" s="24">
        <v>411.83</v>
      </c>
      <c r="R983" s="24">
        <f>O983-Q983</f>
        <v>463.00999999999993</v>
      </c>
      <c r="S983" s="53">
        <f>IF(O983&lt;&gt;0,R983/O983,"")</f>
        <v>0.52925106305152936</v>
      </c>
      <c r="T983" s="10"/>
      <c r="U983" s="23">
        <v>0</v>
      </c>
      <c r="V983" s="25">
        <v>0</v>
      </c>
      <c r="W983" s="24">
        <v>0</v>
      </c>
      <c r="X983" s="24">
        <f>U983-W983</f>
        <v>0</v>
      </c>
      <c r="Y983" s="53" t="str">
        <f>IF(U983&lt;&gt;0,X983/U983,"")</f>
        <v/>
      </c>
      <c r="Z983" s="23">
        <v>0</v>
      </c>
      <c r="AA983" s="25">
        <v>0</v>
      </c>
      <c r="AB983" s="24">
        <v>0</v>
      </c>
      <c r="AC983" s="24">
        <f t="shared" si="305"/>
        <v>0</v>
      </c>
      <c r="AD983" s="53" t="str">
        <f t="shared" si="306"/>
        <v/>
      </c>
      <c r="AE983" s="10"/>
    </row>
    <row r="984" spans="1:31" x14ac:dyDescent="0.25">
      <c r="A984" s="14" t="s">
        <v>109</v>
      </c>
      <c r="C984" s="61" t="str">
        <f t="shared" si="304"/>
        <v>C100069</v>
      </c>
      <c r="F984" s="8" t="str">
        <f>"C100052"</f>
        <v>C100052</v>
      </c>
      <c r="G984" s="9" t="str">
        <f>"Black Digital Picture Frame"</f>
        <v>Black Digital Picture Frame</v>
      </c>
      <c r="H984" s="47"/>
      <c r="I984" s="47"/>
      <c r="J984" s="23">
        <v>0</v>
      </c>
      <c r="K984" s="25">
        <v>0</v>
      </c>
      <c r="L984" s="24">
        <v>0</v>
      </c>
      <c r="M984" s="24">
        <f>J984-L984</f>
        <v>0</v>
      </c>
      <c r="N984" s="53" t="str">
        <f>IF(J984&lt;&gt;0,M984/J984,"")</f>
        <v/>
      </c>
      <c r="O984" s="23">
        <v>563.73</v>
      </c>
      <c r="P984" s="25">
        <v>12</v>
      </c>
      <c r="Q984" s="24">
        <v>267.83999999999997</v>
      </c>
      <c r="R984" s="24">
        <f>O984-Q984</f>
        <v>295.89000000000004</v>
      </c>
      <c r="S984" s="53">
        <f>IF(O984&lt;&gt;0,R984/O984,"")</f>
        <v>0.52487893140333142</v>
      </c>
      <c r="T984" s="10"/>
      <c r="U984" s="23">
        <v>0</v>
      </c>
      <c r="V984" s="25">
        <v>0</v>
      </c>
      <c r="W984" s="24">
        <v>0</v>
      </c>
      <c r="X984" s="24">
        <f>U984-W984</f>
        <v>0</v>
      </c>
      <c r="Y984" s="53" t="str">
        <f>IF(U984&lt;&gt;0,X984/U984,"")</f>
        <v/>
      </c>
      <c r="Z984" s="23">
        <v>0</v>
      </c>
      <c r="AA984" s="25">
        <v>0</v>
      </c>
      <c r="AB984" s="24">
        <v>0</v>
      </c>
      <c r="AC984" s="24">
        <f t="shared" si="305"/>
        <v>0</v>
      </c>
      <c r="AD984" s="53" t="str">
        <f t="shared" si="306"/>
        <v/>
      </c>
      <c r="AE984" s="10"/>
    </row>
    <row r="985" spans="1:31" x14ac:dyDescent="0.25">
      <c r="A985" s="14" t="s">
        <v>109</v>
      </c>
      <c r="C985" s="61" t="str">
        <f t="shared" si="304"/>
        <v>C100069</v>
      </c>
      <c r="F985" s="8" t="str">
        <f>"E100018"</f>
        <v>E100018</v>
      </c>
      <c r="G985" s="9" t="str">
        <f>"Flexi-Clock &amp; Clip"</f>
        <v>Flexi-Clock &amp; Clip</v>
      </c>
      <c r="H985" s="47"/>
      <c r="I985" s="47"/>
      <c r="J985" s="23">
        <v>0</v>
      </c>
      <c r="K985" s="25">
        <v>0</v>
      </c>
      <c r="L985" s="24">
        <v>0</v>
      </c>
      <c r="M985" s="24">
        <f>J985-L985</f>
        <v>0</v>
      </c>
      <c r="N985" s="53" t="str">
        <f>IF(J985&lt;&gt;0,M985/J985,"")</f>
        <v/>
      </c>
      <c r="O985" s="23">
        <v>2.19</v>
      </c>
      <c r="P985" s="25">
        <v>2</v>
      </c>
      <c r="Q985" s="24">
        <v>1.2</v>
      </c>
      <c r="R985" s="24">
        <f>O985-Q985</f>
        <v>0.99</v>
      </c>
      <c r="S985" s="53">
        <f>IF(O985&lt;&gt;0,R985/O985,"")</f>
        <v>0.45205479452054798</v>
      </c>
      <c r="T985" s="10"/>
      <c r="U985" s="23">
        <v>0</v>
      </c>
      <c r="V985" s="25">
        <v>0</v>
      </c>
      <c r="W985" s="24">
        <v>0</v>
      </c>
      <c r="X985" s="24">
        <f>U985-W985</f>
        <v>0</v>
      </c>
      <c r="Y985" s="53" t="str">
        <f>IF(U985&lt;&gt;0,X985/U985,"")</f>
        <v/>
      </c>
      <c r="Z985" s="23">
        <v>0</v>
      </c>
      <c r="AA985" s="25">
        <v>0</v>
      </c>
      <c r="AB985" s="24">
        <v>0</v>
      </c>
      <c r="AC985" s="24">
        <f t="shared" si="305"/>
        <v>0</v>
      </c>
      <c r="AD985" s="53" t="str">
        <f t="shared" si="306"/>
        <v/>
      </c>
      <c r="AE985" s="10"/>
    </row>
    <row r="986" spans="1:31" x14ac:dyDescent="0.25">
      <c r="A986" s="14" t="s">
        <v>109</v>
      </c>
      <c r="C986" s="61" t="str">
        <f t="shared" si="304"/>
        <v>C100069</v>
      </c>
      <c r="F986" s="8" t="str">
        <f>"E100022"</f>
        <v>E100022</v>
      </c>
      <c r="G986" s="9" t="str">
        <f>"Wide Screen Alarm Clock"</f>
        <v>Wide Screen Alarm Clock</v>
      </c>
      <c r="H986" s="47"/>
      <c r="I986" s="47"/>
      <c r="J986" s="23">
        <v>0</v>
      </c>
      <c r="K986" s="25">
        <v>0</v>
      </c>
      <c r="L986" s="24">
        <v>0</v>
      </c>
      <c r="M986" s="24">
        <f>J986-L986</f>
        <v>0</v>
      </c>
      <c r="N986" s="53" t="str">
        <f>IF(J986&lt;&gt;0,M986/J986,"")</f>
        <v/>
      </c>
      <c r="O986" s="23">
        <v>1.88</v>
      </c>
      <c r="P986" s="25">
        <v>1</v>
      </c>
      <c r="Q986" s="24">
        <v>1.28</v>
      </c>
      <c r="R986" s="24">
        <f>O986-Q986</f>
        <v>0.59999999999999987</v>
      </c>
      <c r="S986" s="53">
        <f>IF(O986&lt;&gt;0,R986/O986,"")</f>
        <v>0.31914893617021273</v>
      </c>
      <c r="T986" s="10"/>
      <c r="U986" s="23">
        <v>0</v>
      </c>
      <c r="V986" s="25">
        <v>0</v>
      </c>
      <c r="W986" s="24">
        <v>0</v>
      </c>
      <c r="X986" s="24">
        <f>U986-W986</f>
        <v>0</v>
      </c>
      <c r="Y986" s="53" t="str">
        <f>IF(U986&lt;&gt;0,X986/U986,"")</f>
        <v/>
      </c>
      <c r="Z986" s="23">
        <v>0</v>
      </c>
      <c r="AA986" s="25">
        <v>0</v>
      </c>
      <c r="AB986" s="24">
        <v>0</v>
      </c>
      <c r="AC986" s="24">
        <f t="shared" si="305"/>
        <v>0</v>
      </c>
      <c r="AD986" s="53" t="str">
        <f t="shared" si="306"/>
        <v/>
      </c>
      <c r="AE986" s="10"/>
    </row>
    <row r="987" spans="1:31" ht="15.75" thickBot="1" x14ac:dyDescent="0.3">
      <c r="A987" s="14" t="s">
        <v>109</v>
      </c>
      <c r="C987" s="61" t="str">
        <f>C977</f>
        <v>C100069</v>
      </c>
      <c r="J987" s="10"/>
      <c r="K987" s="11"/>
      <c r="L987" s="11"/>
      <c r="M987" s="11"/>
      <c r="N987" s="12"/>
      <c r="O987" s="10"/>
      <c r="P987" s="11"/>
      <c r="Q987" s="11"/>
      <c r="R987" s="11"/>
      <c r="S987" s="12"/>
      <c r="U987" s="10"/>
      <c r="V987" s="11"/>
      <c r="W987" s="11"/>
      <c r="X987" s="11"/>
      <c r="Y987" s="12"/>
      <c r="Z987" s="10"/>
      <c r="AA987" s="11"/>
      <c r="AB987" s="11"/>
      <c r="AC987" s="11"/>
      <c r="AD987" s="12"/>
    </row>
    <row r="988" spans="1:31" ht="15.75" thickBot="1" x14ac:dyDescent="0.3">
      <c r="A988" s="14" t="s">
        <v>109</v>
      </c>
      <c r="C988" s="61" t="str">
        <f t="shared" si="301"/>
        <v>C100069</v>
      </c>
      <c r="G988" s="48" t="str">
        <f>C988&amp;" TOTAL:"</f>
        <v>C100069 TOTAL:</v>
      </c>
      <c r="H988" s="50"/>
      <c r="I988" s="50"/>
      <c r="J988" s="34">
        <f>SUBTOTAL(9,J976:J987)</f>
        <v>0</v>
      </c>
      <c r="K988" s="35">
        <f>SUBTOTAL(9,K976:K987)</f>
        <v>0</v>
      </c>
      <c r="L988" s="36">
        <f>SUBTOTAL(9,L976:L987)</f>
        <v>0</v>
      </c>
      <c r="M988" s="36">
        <f>J988-L988</f>
        <v>0</v>
      </c>
      <c r="N988" s="37" t="str">
        <f>IF(J988&lt;&gt;0,M988/J988,"")</f>
        <v/>
      </c>
      <c r="O988" s="34">
        <f>SUBTOTAL(9,O976:O987)</f>
        <v>9183.73</v>
      </c>
      <c r="P988" s="35">
        <f>SUBTOTAL(9,P976:P987)</f>
        <v>407</v>
      </c>
      <c r="Q988" s="36">
        <f>SUBTOTAL(9,Q976:Q987)</f>
        <v>4364.2699999999995</v>
      </c>
      <c r="R988" s="36">
        <f>O988-Q988</f>
        <v>4819.46</v>
      </c>
      <c r="S988" s="37">
        <f>IF(O988&lt;&gt;0,R988/O988,"")</f>
        <v>0.52478241411713977</v>
      </c>
      <c r="U988" s="34">
        <f>SUBTOTAL(9,U976:U987)</f>
        <v>0</v>
      </c>
      <c r="V988" s="35">
        <f>SUBTOTAL(9,V976:V987)</f>
        <v>0</v>
      </c>
      <c r="W988" s="36">
        <f>SUBTOTAL(9,W976:W987)</f>
        <v>0</v>
      </c>
      <c r="X988" s="36">
        <f>U988-W988</f>
        <v>0</v>
      </c>
      <c r="Y988" s="37" t="str">
        <f>IF(U988&lt;&gt;0,X988/U988,"")</f>
        <v/>
      </c>
      <c r="Z988" s="34">
        <f>SUBTOTAL(9,Z976:Z987)</f>
        <v>0</v>
      </c>
      <c r="AA988" s="35">
        <f>SUBTOTAL(9,AA976:AA987)</f>
        <v>0</v>
      </c>
      <c r="AB988" s="36">
        <f>SUBTOTAL(9,AB976:AB987)</f>
        <v>0</v>
      </c>
      <c r="AC988" s="36">
        <f t="shared" ref="AC988" si="307">Z988-AB988</f>
        <v>0</v>
      </c>
      <c r="AD988" s="37" t="str">
        <f t="shared" ref="AD988" si="308">IF(Z988&lt;&gt;0,AC988/Z988,"")</f>
        <v/>
      </c>
    </row>
    <row r="989" spans="1:31" x14ac:dyDescent="0.25">
      <c r="A989" s="14" t="s">
        <v>109</v>
      </c>
      <c r="C989" s="66"/>
      <c r="J989" s="10"/>
      <c r="K989" s="11"/>
      <c r="L989" s="11"/>
      <c r="M989" s="11"/>
      <c r="N989" s="12"/>
      <c r="O989" s="10"/>
      <c r="P989" s="11"/>
      <c r="Q989" s="11"/>
      <c r="R989" s="11"/>
      <c r="S989" s="12"/>
      <c r="U989" s="10"/>
      <c r="V989" s="11"/>
      <c r="W989" s="11"/>
      <c r="X989" s="11"/>
      <c r="Y989" s="12"/>
      <c r="Z989" s="10"/>
      <c r="AA989" s="11"/>
      <c r="AB989" s="11"/>
      <c r="AC989" s="11"/>
      <c r="AD989" s="12"/>
    </row>
    <row r="990" spans="1:31" ht="15.75" x14ac:dyDescent="0.25">
      <c r="A990" s="14" t="s">
        <v>109</v>
      </c>
      <c r="C990" s="66" t="str">
        <f t="shared" ref="C990" si="309">E990</f>
        <v>C100070</v>
      </c>
      <c r="E990" s="13" t="str">
        <f>"C100070"</f>
        <v>C100070</v>
      </c>
      <c r="F990" s="13"/>
      <c r="G990" s="13" t="str">
        <f>"Pilatus AG"</f>
        <v>Pilatus AG</v>
      </c>
      <c r="H990" s="13"/>
      <c r="I990" s="13"/>
      <c r="J990" s="10"/>
      <c r="K990" s="11"/>
      <c r="L990" s="11"/>
      <c r="M990" s="11"/>
      <c r="N990" s="12"/>
      <c r="O990" s="10"/>
      <c r="P990" s="11"/>
      <c r="Q990" s="11"/>
      <c r="R990" s="11"/>
      <c r="S990" s="12"/>
      <c r="U990" s="10"/>
      <c r="V990" s="11"/>
      <c r="W990" s="11"/>
      <c r="X990" s="11"/>
      <c r="Y990" s="12"/>
      <c r="Z990" s="10"/>
      <c r="AA990" s="11"/>
      <c r="AB990" s="11"/>
      <c r="AC990" s="11"/>
      <c r="AD990" s="12"/>
    </row>
    <row r="991" spans="1:31" ht="6.6" customHeight="1" x14ac:dyDescent="0.25">
      <c r="A991" s="14" t="s">
        <v>109</v>
      </c>
      <c r="C991" s="61" t="str">
        <f t="shared" ref="C991:C1014" si="310">C990</f>
        <v>C100070</v>
      </c>
      <c r="J991" s="10"/>
      <c r="K991" s="11"/>
      <c r="L991" s="11"/>
      <c r="M991" s="11"/>
      <c r="N991" s="12"/>
      <c r="O991" s="10"/>
      <c r="P991" s="11"/>
      <c r="Q991" s="11"/>
      <c r="R991" s="11"/>
      <c r="S991" s="12"/>
      <c r="U991" s="10"/>
      <c r="V991" s="11"/>
      <c r="W991" s="11"/>
      <c r="X991" s="11"/>
      <c r="Y991" s="12"/>
      <c r="Z991" s="10"/>
      <c r="AA991" s="11"/>
      <c r="AB991" s="11"/>
      <c r="AC991" s="11"/>
      <c r="AD991" s="12"/>
    </row>
    <row r="992" spans="1:31" x14ac:dyDescent="0.25">
      <c r="A992" s="14" t="s">
        <v>109</v>
      </c>
      <c r="C992" s="61" t="str">
        <f t="shared" si="310"/>
        <v>C100070</v>
      </c>
      <c r="F992" s="8" t="str">
        <f>"C100002"</f>
        <v>C100002</v>
      </c>
      <c r="G992" s="9" t="str">
        <f>"Border Style"</f>
        <v>Border Style</v>
      </c>
      <c r="H992" s="47"/>
      <c r="I992" s="47"/>
      <c r="J992" s="23">
        <v>2599.9</v>
      </c>
      <c r="K992" s="25">
        <v>48</v>
      </c>
      <c r="L992" s="24">
        <v>1533.6</v>
      </c>
      <c r="M992" s="24">
        <f>J992-L992</f>
        <v>1066.3000000000002</v>
      </c>
      <c r="N992" s="53">
        <f>IF(J992&lt;&gt;0,M992/J992,"")</f>
        <v>0.4101311588907266</v>
      </c>
      <c r="O992" s="23">
        <v>0</v>
      </c>
      <c r="P992" s="25">
        <v>0</v>
      </c>
      <c r="Q992" s="24">
        <v>0</v>
      </c>
      <c r="R992" s="24">
        <f>O992-Q992</f>
        <v>0</v>
      </c>
      <c r="S992" s="53" t="str">
        <f>IF(O992&lt;&gt;0,R992/O992,"")</f>
        <v/>
      </c>
      <c r="T992" s="10"/>
      <c r="U992" s="23">
        <v>0</v>
      </c>
      <c r="V992" s="25">
        <v>0</v>
      </c>
      <c r="W992" s="24">
        <v>0</v>
      </c>
      <c r="X992" s="24">
        <f>U992-W992</f>
        <v>0</v>
      </c>
      <c r="Y992" s="53" t="str">
        <f>IF(U992&lt;&gt;0,X992/U992,"")</f>
        <v/>
      </c>
      <c r="Z992" s="23">
        <v>0</v>
      </c>
      <c r="AA992" s="25">
        <v>0</v>
      </c>
      <c r="AB992" s="24">
        <v>0</v>
      </c>
      <c r="AC992" s="24">
        <f t="shared" ref="AC992" si="311">Z992-AB992</f>
        <v>0</v>
      </c>
      <c r="AD992" s="53" t="str">
        <f t="shared" ref="AD992" si="312">IF(Z992&lt;&gt;0,AC992/Z992,"")</f>
        <v/>
      </c>
      <c r="AE992" s="10"/>
    </row>
    <row r="993" spans="1:31" x14ac:dyDescent="0.25">
      <c r="A993" s="14" t="s">
        <v>109</v>
      </c>
      <c r="C993" s="61" t="str">
        <f t="shared" ref="C993:C1012" si="313">C992</f>
        <v>C100070</v>
      </c>
      <c r="F993" s="8" t="str">
        <f>"C100003"</f>
        <v>C100003</v>
      </c>
      <c r="G993" s="9" t="str">
        <f>"Cherry Finish Frame"</f>
        <v>Cherry Finish Frame</v>
      </c>
      <c r="H993" s="47"/>
      <c r="I993" s="47"/>
      <c r="J993" s="23">
        <v>66.53</v>
      </c>
      <c r="K993" s="25">
        <v>1</v>
      </c>
      <c r="L993" s="24">
        <v>32.64</v>
      </c>
      <c r="M993" s="24">
        <f>J993-L993</f>
        <v>33.89</v>
      </c>
      <c r="N993" s="53">
        <f>IF(J993&lt;&gt;0,M993/J993,"")</f>
        <v>0.50939425822937023</v>
      </c>
      <c r="O993" s="23">
        <v>0</v>
      </c>
      <c r="P993" s="25">
        <v>0</v>
      </c>
      <c r="Q993" s="24">
        <v>0</v>
      </c>
      <c r="R993" s="24">
        <f>O993-Q993</f>
        <v>0</v>
      </c>
      <c r="S993" s="53" t="str">
        <f>IF(O993&lt;&gt;0,R993/O993,"")</f>
        <v/>
      </c>
      <c r="T993" s="10"/>
      <c r="U993" s="23">
        <v>0</v>
      </c>
      <c r="V993" s="25">
        <v>0</v>
      </c>
      <c r="W993" s="24">
        <v>0</v>
      </c>
      <c r="X993" s="24">
        <f>U993-W993</f>
        <v>0</v>
      </c>
      <c r="Y993" s="53" t="str">
        <f>IF(U993&lt;&gt;0,X993/U993,"")</f>
        <v/>
      </c>
      <c r="Z993" s="23">
        <v>0</v>
      </c>
      <c r="AA993" s="25">
        <v>0</v>
      </c>
      <c r="AB993" s="24">
        <v>0</v>
      </c>
      <c r="AC993" s="24">
        <f t="shared" ref="AC993:AC1012" si="314">Z993-AB993</f>
        <v>0</v>
      </c>
      <c r="AD993" s="53" t="str">
        <f t="shared" ref="AD993:AD1012" si="315">IF(Z993&lt;&gt;0,AC993/Z993,"")</f>
        <v/>
      </c>
      <c r="AE993" s="10"/>
    </row>
    <row r="994" spans="1:31" x14ac:dyDescent="0.25">
      <c r="A994" s="14" t="s">
        <v>109</v>
      </c>
      <c r="C994" s="61" t="str">
        <f t="shared" si="313"/>
        <v>C100070</v>
      </c>
      <c r="F994" s="8" t="str">
        <f>"C100007"</f>
        <v>C100007</v>
      </c>
      <c r="G994" s="9" t="str">
        <f>"7.5'' Bud Vase"</f>
        <v>7.5'' Bud Vase</v>
      </c>
      <c r="H994" s="47"/>
      <c r="I994" s="47"/>
      <c r="J994" s="23">
        <v>0</v>
      </c>
      <c r="K994" s="25">
        <v>0</v>
      </c>
      <c r="L994" s="24">
        <v>0</v>
      </c>
      <c r="M994" s="24">
        <f>J994-L994</f>
        <v>0</v>
      </c>
      <c r="N994" s="53" t="str">
        <f>IF(J994&lt;&gt;0,M994/J994,"")</f>
        <v/>
      </c>
      <c r="O994" s="23">
        <v>10</v>
      </c>
      <c r="P994" s="25">
        <v>6</v>
      </c>
      <c r="Q994" s="24">
        <v>6.12</v>
      </c>
      <c r="R994" s="24">
        <f>O994-Q994</f>
        <v>3.88</v>
      </c>
      <c r="S994" s="53">
        <f>IF(O994&lt;&gt;0,R994/O994,"")</f>
        <v>0.38800000000000001</v>
      </c>
      <c r="T994" s="10"/>
      <c r="U994" s="23">
        <v>0</v>
      </c>
      <c r="V994" s="25">
        <v>0</v>
      </c>
      <c r="W994" s="24">
        <v>0</v>
      </c>
      <c r="X994" s="24">
        <f>U994-W994</f>
        <v>0</v>
      </c>
      <c r="Y994" s="53" t="str">
        <f>IF(U994&lt;&gt;0,X994/U994,"")</f>
        <v/>
      </c>
      <c r="Z994" s="23">
        <v>0</v>
      </c>
      <c r="AA994" s="25">
        <v>0</v>
      </c>
      <c r="AB994" s="24">
        <v>0</v>
      </c>
      <c r="AC994" s="24">
        <f t="shared" si="314"/>
        <v>0</v>
      </c>
      <c r="AD994" s="53" t="str">
        <f t="shared" si="315"/>
        <v/>
      </c>
      <c r="AE994" s="10"/>
    </row>
    <row r="995" spans="1:31" x14ac:dyDescent="0.25">
      <c r="A995" s="14" t="s">
        <v>109</v>
      </c>
      <c r="C995" s="61" t="str">
        <f t="shared" si="313"/>
        <v>C100070</v>
      </c>
      <c r="F995" s="8" t="str">
        <f>"C100009"</f>
        <v>C100009</v>
      </c>
      <c r="G995" s="9" t="str">
        <f>"Normandy Vase"</f>
        <v>Normandy Vase</v>
      </c>
      <c r="H995" s="47"/>
      <c r="I995" s="47"/>
      <c r="J995" s="23">
        <v>2848</v>
      </c>
      <c r="K995" s="25">
        <v>73</v>
      </c>
      <c r="L995" s="24">
        <v>1862.9499999999998</v>
      </c>
      <c r="M995" s="24">
        <f>J995-L995</f>
        <v>985.05000000000018</v>
      </c>
      <c r="N995" s="53">
        <f>IF(J995&lt;&gt;0,M995/J995,"")</f>
        <v>0.34587429775280903</v>
      </c>
      <c r="O995" s="23">
        <v>0</v>
      </c>
      <c r="P995" s="25">
        <v>0</v>
      </c>
      <c r="Q995" s="24">
        <v>0</v>
      </c>
      <c r="R995" s="24">
        <f>O995-Q995</f>
        <v>0</v>
      </c>
      <c r="S995" s="53" t="str">
        <f>IF(O995&lt;&gt;0,R995/O995,"")</f>
        <v/>
      </c>
      <c r="T995" s="10"/>
      <c r="U995" s="23">
        <v>0</v>
      </c>
      <c r="V995" s="25">
        <v>0</v>
      </c>
      <c r="W995" s="24">
        <v>0</v>
      </c>
      <c r="X995" s="24">
        <f>U995-W995</f>
        <v>0</v>
      </c>
      <c r="Y995" s="53" t="str">
        <f>IF(U995&lt;&gt;0,X995/U995,"")</f>
        <v/>
      </c>
      <c r="Z995" s="23">
        <v>0</v>
      </c>
      <c r="AA995" s="25">
        <v>0</v>
      </c>
      <c r="AB995" s="24">
        <v>0</v>
      </c>
      <c r="AC995" s="24">
        <f t="shared" si="314"/>
        <v>0</v>
      </c>
      <c r="AD995" s="53" t="str">
        <f t="shared" si="315"/>
        <v/>
      </c>
      <c r="AE995" s="10"/>
    </row>
    <row r="996" spans="1:31" x14ac:dyDescent="0.25">
      <c r="A996" s="14" t="s">
        <v>109</v>
      </c>
      <c r="C996" s="61" t="str">
        <f t="shared" si="313"/>
        <v>C100070</v>
      </c>
      <c r="F996" s="8" t="str">
        <f>"C100010"</f>
        <v>C100010</v>
      </c>
      <c r="G996" s="9" t="str">
        <f>"Wisper-Cut Vase"</f>
        <v>Wisper-Cut Vase</v>
      </c>
      <c r="H996" s="47"/>
      <c r="I996" s="47"/>
      <c r="J996" s="23">
        <v>577.07000000000005</v>
      </c>
      <c r="K996" s="25">
        <v>7</v>
      </c>
      <c r="L996" s="24">
        <v>281.75</v>
      </c>
      <c r="M996" s="24">
        <f>J996-L996</f>
        <v>295.32000000000005</v>
      </c>
      <c r="N996" s="53">
        <f>IF(J996&lt;&gt;0,M996/J996,"")</f>
        <v>0.51175767237943404</v>
      </c>
      <c r="O996" s="23">
        <v>0</v>
      </c>
      <c r="P996" s="25">
        <v>0</v>
      </c>
      <c r="Q996" s="24">
        <v>0</v>
      </c>
      <c r="R996" s="24">
        <f>O996-Q996</f>
        <v>0</v>
      </c>
      <c r="S996" s="53" t="str">
        <f>IF(O996&lt;&gt;0,R996/O996,"")</f>
        <v/>
      </c>
      <c r="T996" s="10"/>
      <c r="U996" s="23">
        <v>0</v>
      </c>
      <c r="V996" s="25">
        <v>0</v>
      </c>
      <c r="W996" s="24">
        <v>0</v>
      </c>
      <c r="X996" s="24">
        <f>U996-W996</f>
        <v>0</v>
      </c>
      <c r="Y996" s="53" t="str">
        <f>IF(U996&lt;&gt;0,X996/U996,"")</f>
        <v/>
      </c>
      <c r="Z996" s="23">
        <v>0</v>
      </c>
      <c r="AA996" s="25">
        <v>0</v>
      </c>
      <c r="AB996" s="24">
        <v>0</v>
      </c>
      <c r="AC996" s="24">
        <f t="shared" si="314"/>
        <v>0</v>
      </c>
      <c r="AD996" s="53" t="str">
        <f t="shared" si="315"/>
        <v/>
      </c>
      <c r="AE996" s="10"/>
    </row>
    <row r="997" spans="1:31" x14ac:dyDescent="0.25">
      <c r="A997" s="14" t="s">
        <v>109</v>
      </c>
      <c r="C997" s="61" t="str">
        <f t="shared" si="313"/>
        <v>C100070</v>
      </c>
      <c r="F997" s="8" t="str">
        <f>"C100031"</f>
        <v>C100031</v>
      </c>
      <c r="G997" s="9" t="str">
        <f>"Carabiner Watch"</f>
        <v>Carabiner Watch</v>
      </c>
      <c r="H997" s="47"/>
      <c r="I997" s="47"/>
      <c r="J997" s="23">
        <v>0</v>
      </c>
      <c r="K997" s="25">
        <v>0</v>
      </c>
      <c r="L997" s="24">
        <v>0</v>
      </c>
      <c r="M997" s="24">
        <f>J997-L997</f>
        <v>0</v>
      </c>
      <c r="N997" s="53" t="str">
        <f>IF(J997&lt;&gt;0,M997/J997,"")</f>
        <v/>
      </c>
      <c r="O997" s="23">
        <v>2664.3500000000004</v>
      </c>
      <c r="P997" s="25">
        <v>144</v>
      </c>
      <c r="Q997" s="24">
        <v>1235.52</v>
      </c>
      <c r="R997" s="24">
        <f>O997-Q997</f>
        <v>1428.8300000000004</v>
      </c>
      <c r="S997" s="53">
        <f>IF(O997&lt;&gt;0,R997/O997,"")</f>
        <v>0.53627714076604061</v>
      </c>
      <c r="T997" s="10"/>
      <c r="U997" s="23">
        <v>0</v>
      </c>
      <c r="V997" s="25">
        <v>0</v>
      </c>
      <c r="W997" s="24">
        <v>0</v>
      </c>
      <c r="X997" s="24">
        <f>U997-W997</f>
        <v>0</v>
      </c>
      <c r="Y997" s="53" t="str">
        <f>IF(U997&lt;&gt;0,X997/U997,"")</f>
        <v/>
      </c>
      <c r="Z997" s="23">
        <v>0</v>
      </c>
      <c r="AA997" s="25">
        <v>0</v>
      </c>
      <c r="AB997" s="24">
        <v>0</v>
      </c>
      <c r="AC997" s="24">
        <f t="shared" si="314"/>
        <v>0</v>
      </c>
      <c r="AD997" s="53" t="str">
        <f t="shared" si="315"/>
        <v/>
      </c>
      <c r="AE997" s="10"/>
    </row>
    <row r="998" spans="1:31" x14ac:dyDescent="0.25">
      <c r="A998" s="14" t="s">
        <v>109</v>
      </c>
      <c r="C998" s="61" t="str">
        <f t="shared" si="313"/>
        <v>C100070</v>
      </c>
      <c r="F998" s="8" t="str">
        <f>"C100033"</f>
        <v>C100033</v>
      </c>
      <c r="G998" s="9" t="str">
        <f>"Frames &amp; Clock"</f>
        <v>Frames &amp; Clock</v>
      </c>
      <c r="H998" s="47"/>
      <c r="I998" s="47"/>
      <c r="J998" s="23">
        <v>4.74</v>
      </c>
      <c r="K998" s="25">
        <v>1</v>
      </c>
      <c r="L998" s="24">
        <v>2.88</v>
      </c>
      <c r="M998" s="24">
        <f>J998-L998</f>
        <v>1.8600000000000003</v>
      </c>
      <c r="N998" s="53">
        <f>IF(J998&lt;&gt;0,M998/J998,"")</f>
        <v>0.39240506329113928</v>
      </c>
      <c r="O998" s="23">
        <v>0</v>
      </c>
      <c r="P998" s="25">
        <v>0</v>
      </c>
      <c r="Q998" s="24">
        <v>0</v>
      </c>
      <c r="R998" s="24">
        <f>O998-Q998</f>
        <v>0</v>
      </c>
      <c r="S998" s="53" t="str">
        <f>IF(O998&lt;&gt;0,R998/O998,"")</f>
        <v/>
      </c>
      <c r="T998" s="10"/>
      <c r="U998" s="23">
        <v>4.75</v>
      </c>
      <c r="V998" s="25">
        <v>1</v>
      </c>
      <c r="W998" s="24">
        <v>2.88</v>
      </c>
      <c r="X998" s="24">
        <f>U998-W998</f>
        <v>1.87</v>
      </c>
      <c r="Y998" s="53">
        <f>IF(U998&lt;&gt;0,X998/U998,"")</f>
        <v>0.3936842105263158</v>
      </c>
      <c r="Z998" s="23">
        <v>0</v>
      </c>
      <c r="AA998" s="25">
        <v>0</v>
      </c>
      <c r="AB998" s="24">
        <v>0</v>
      </c>
      <c r="AC998" s="24">
        <f t="shared" si="314"/>
        <v>0</v>
      </c>
      <c r="AD998" s="53" t="str">
        <f t="shared" si="315"/>
        <v/>
      </c>
      <c r="AE998" s="10"/>
    </row>
    <row r="999" spans="1:31" x14ac:dyDescent="0.25">
      <c r="A999" s="14" t="s">
        <v>109</v>
      </c>
      <c r="C999" s="61" t="str">
        <f t="shared" si="313"/>
        <v>C100070</v>
      </c>
      <c r="F999" s="8" t="str">
        <f>"C100034"</f>
        <v>C100034</v>
      </c>
      <c r="G999" s="9" t="str">
        <f>"Clock &amp; Pen Holder"</f>
        <v>Clock &amp; Pen Holder</v>
      </c>
      <c r="H999" s="47"/>
      <c r="I999" s="47"/>
      <c r="J999" s="23">
        <v>2259.37</v>
      </c>
      <c r="K999" s="25">
        <v>144</v>
      </c>
      <c r="L999" s="24">
        <v>1422.71</v>
      </c>
      <c r="M999" s="24">
        <f>J999-L999</f>
        <v>836.65999999999985</v>
      </c>
      <c r="N999" s="53">
        <f>IF(J999&lt;&gt;0,M999/J999,"")</f>
        <v>0.37030676693060449</v>
      </c>
      <c r="O999" s="23">
        <v>0</v>
      </c>
      <c r="P999" s="25">
        <v>0</v>
      </c>
      <c r="Q999" s="24">
        <v>0</v>
      </c>
      <c r="R999" s="24">
        <f>O999-Q999</f>
        <v>0</v>
      </c>
      <c r="S999" s="53" t="str">
        <f>IF(O999&lt;&gt;0,R999/O999,"")</f>
        <v/>
      </c>
      <c r="T999" s="10"/>
      <c r="U999" s="23">
        <v>0</v>
      </c>
      <c r="V999" s="25">
        <v>0</v>
      </c>
      <c r="W999" s="24">
        <v>0</v>
      </c>
      <c r="X999" s="24">
        <f>U999-W999</f>
        <v>0</v>
      </c>
      <c r="Y999" s="53" t="str">
        <f>IF(U999&lt;&gt;0,X999/U999,"")</f>
        <v/>
      </c>
      <c r="Z999" s="23">
        <v>0</v>
      </c>
      <c r="AA999" s="25">
        <v>0</v>
      </c>
      <c r="AB999" s="24">
        <v>0</v>
      </c>
      <c r="AC999" s="24">
        <f t="shared" si="314"/>
        <v>0</v>
      </c>
      <c r="AD999" s="53" t="str">
        <f t="shared" si="315"/>
        <v/>
      </c>
      <c r="AE999" s="10"/>
    </row>
    <row r="1000" spans="1:31" x14ac:dyDescent="0.25">
      <c r="A1000" s="14" t="s">
        <v>109</v>
      </c>
      <c r="C1000" s="61" t="str">
        <f t="shared" si="313"/>
        <v>C100070</v>
      </c>
      <c r="F1000" s="8" t="str">
        <f>"C100035"</f>
        <v>C100035</v>
      </c>
      <c r="G1000" s="9" t="str">
        <f>"Calculator &amp; World Time Clock"</f>
        <v>Calculator &amp; World Time Clock</v>
      </c>
      <c r="H1000" s="47"/>
      <c r="I1000" s="47"/>
      <c r="J1000" s="23">
        <v>847</v>
      </c>
      <c r="K1000" s="25">
        <v>294</v>
      </c>
      <c r="L1000" s="24">
        <v>576.24</v>
      </c>
      <c r="M1000" s="24">
        <f>J1000-L1000</f>
        <v>270.76</v>
      </c>
      <c r="N1000" s="53">
        <f>IF(J1000&lt;&gt;0,M1000/J1000,"")</f>
        <v>0.3196694214876033</v>
      </c>
      <c r="O1000" s="23">
        <v>0</v>
      </c>
      <c r="P1000" s="25">
        <v>0</v>
      </c>
      <c r="Q1000" s="24">
        <v>0</v>
      </c>
      <c r="R1000" s="24">
        <f>O1000-Q1000</f>
        <v>0</v>
      </c>
      <c r="S1000" s="53" t="str">
        <f>IF(O1000&lt;&gt;0,R1000/O1000,"")</f>
        <v/>
      </c>
      <c r="T1000" s="10"/>
      <c r="U1000" s="23">
        <v>0</v>
      </c>
      <c r="V1000" s="25">
        <v>0</v>
      </c>
      <c r="W1000" s="24">
        <v>0</v>
      </c>
      <c r="X1000" s="24">
        <f>U1000-W1000</f>
        <v>0</v>
      </c>
      <c r="Y1000" s="53" t="str">
        <f>IF(U1000&lt;&gt;0,X1000/U1000,"")</f>
        <v/>
      </c>
      <c r="Z1000" s="23">
        <v>0</v>
      </c>
      <c r="AA1000" s="25">
        <v>0</v>
      </c>
      <c r="AB1000" s="24">
        <v>0</v>
      </c>
      <c r="AC1000" s="24">
        <f t="shared" si="314"/>
        <v>0</v>
      </c>
      <c r="AD1000" s="53" t="str">
        <f t="shared" si="315"/>
        <v/>
      </c>
      <c r="AE1000" s="10"/>
    </row>
    <row r="1001" spans="1:31" x14ac:dyDescent="0.25">
      <c r="A1001" s="14" t="s">
        <v>109</v>
      </c>
      <c r="C1001" s="61" t="str">
        <f t="shared" si="313"/>
        <v>C100070</v>
      </c>
      <c r="F1001" s="8" t="str">
        <f>"C100036"</f>
        <v>C100036</v>
      </c>
      <c r="G1001" s="9" t="str">
        <f>"Clock &amp; Business Card Holder"</f>
        <v>Clock &amp; Business Card Holder</v>
      </c>
      <c r="H1001" s="47"/>
      <c r="I1001" s="47"/>
      <c r="J1001" s="23">
        <v>0</v>
      </c>
      <c r="K1001" s="25">
        <v>0</v>
      </c>
      <c r="L1001" s="24">
        <v>0</v>
      </c>
      <c r="M1001" s="24">
        <f>J1001-L1001</f>
        <v>0</v>
      </c>
      <c r="N1001" s="53" t="str">
        <f>IF(J1001&lt;&gt;0,M1001/J1001,"")</f>
        <v/>
      </c>
      <c r="O1001" s="23">
        <v>1227.74</v>
      </c>
      <c r="P1001" s="25">
        <v>144</v>
      </c>
      <c r="Q1001" s="24">
        <v>673.93000000000006</v>
      </c>
      <c r="R1001" s="24">
        <f>O1001-Q1001</f>
        <v>553.80999999999995</v>
      </c>
      <c r="S1001" s="53">
        <f>IF(O1001&lt;&gt;0,R1001/O1001,"")</f>
        <v>0.45108084773649137</v>
      </c>
      <c r="T1001" s="10"/>
      <c r="U1001" s="23">
        <v>0</v>
      </c>
      <c r="V1001" s="25">
        <v>0</v>
      </c>
      <c r="W1001" s="24">
        <v>0</v>
      </c>
      <c r="X1001" s="24">
        <f>U1001-W1001</f>
        <v>0</v>
      </c>
      <c r="Y1001" s="53" t="str">
        <f>IF(U1001&lt;&gt;0,X1001/U1001,"")</f>
        <v/>
      </c>
      <c r="Z1001" s="23">
        <v>0</v>
      </c>
      <c r="AA1001" s="25">
        <v>0</v>
      </c>
      <c r="AB1001" s="24">
        <v>0</v>
      </c>
      <c r="AC1001" s="24">
        <f t="shared" si="314"/>
        <v>0</v>
      </c>
      <c r="AD1001" s="53" t="str">
        <f t="shared" si="315"/>
        <v/>
      </c>
      <c r="AE1001" s="10"/>
    </row>
    <row r="1002" spans="1:31" x14ac:dyDescent="0.25">
      <c r="A1002" s="14" t="s">
        <v>109</v>
      </c>
      <c r="C1002" s="61" t="str">
        <f t="shared" si="313"/>
        <v>C100070</v>
      </c>
      <c r="F1002" s="8" t="str">
        <f>"C100038"</f>
        <v>C100038</v>
      </c>
      <c r="G1002" s="9" t="str">
        <f>"Foldable Travel Speakers"</f>
        <v>Foldable Travel Speakers</v>
      </c>
      <c r="H1002" s="47"/>
      <c r="I1002" s="47"/>
      <c r="J1002" s="23">
        <v>1365.24</v>
      </c>
      <c r="K1002" s="25">
        <v>289</v>
      </c>
      <c r="L1002" s="24">
        <v>921.90000000000009</v>
      </c>
      <c r="M1002" s="24">
        <f>J1002-L1002</f>
        <v>443.33999999999992</v>
      </c>
      <c r="N1002" s="53">
        <f>IF(J1002&lt;&gt;0,M1002/J1002,"")</f>
        <v>0.32473411268348418</v>
      </c>
      <c r="O1002" s="23">
        <v>0</v>
      </c>
      <c r="P1002" s="25">
        <v>0</v>
      </c>
      <c r="Q1002" s="24">
        <v>0</v>
      </c>
      <c r="R1002" s="24">
        <f>O1002-Q1002</f>
        <v>0</v>
      </c>
      <c r="S1002" s="53" t="str">
        <f>IF(O1002&lt;&gt;0,R1002/O1002,"")</f>
        <v/>
      </c>
      <c r="T1002" s="10"/>
      <c r="U1002" s="23">
        <v>0</v>
      </c>
      <c r="V1002" s="25">
        <v>0</v>
      </c>
      <c r="W1002" s="24">
        <v>0</v>
      </c>
      <c r="X1002" s="24">
        <f>U1002-W1002</f>
        <v>0</v>
      </c>
      <c r="Y1002" s="53" t="str">
        <f>IF(U1002&lt;&gt;0,X1002/U1002,"")</f>
        <v/>
      </c>
      <c r="Z1002" s="23">
        <v>0</v>
      </c>
      <c r="AA1002" s="25">
        <v>0</v>
      </c>
      <c r="AB1002" s="24">
        <v>0</v>
      </c>
      <c r="AC1002" s="24">
        <f t="shared" si="314"/>
        <v>0</v>
      </c>
      <c r="AD1002" s="53" t="str">
        <f t="shared" si="315"/>
        <v/>
      </c>
      <c r="AE1002" s="10"/>
    </row>
    <row r="1003" spans="1:31" x14ac:dyDescent="0.25">
      <c r="A1003" s="14" t="s">
        <v>109</v>
      </c>
      <c r="C1003" s="61" t="str">
        <f t="shared" si="313"/>
        <v>C100070</v>
      </c>
      <c r="F1003" s="8" t="str">
        <f>"C100041"</f>
        <v>C100041</v>
      </c>
      <c r="G1003" s="9" t="str">
        <f>"Folding Stereo Speakers"</f>
        <v>Folding Stereo Speakers</v>
      </c>
      <c r="H1003" s="47"/>
      <c r="I1003" s="47"/>
      <c r="J1003" s="23">
        <v>2197.1999999999998</v>
      </c>
      <c r="K1003" s="25">
        <v>144</v>
      </c>
      <c r="L1003" s="24">
        <v>1205.19</v>
      </c>
      <c r="M1003" s="24">
        <f>J1003-L1003</f>
        <v>992.00999999999976</v>
      </c>
      <c r="N1003" s="53">
        <f>IF(J1003&lt;&gt;0,M1003/J1003,"")</f>
        <v>0.45148825778263235</v>
      </c>
      <c r="O1003" s="23">
        <v>0</v>
      </c>
      <c r="P1003" s="25">
        <v>0</v>
      </c>
      <c r="Q1003" s="24">
        <v>0</v>
      </c>
      <c r="R1003" s="24">
        <f>O1003-Q1003</f>
        <v>0</v>
      </c>
      <c r="S1003" s="53" t="str">
        <f>IF(O1003&lt;&gt;0,R1003/O1003,"")</f>
        <v/>
      </c>
      <c r="T1003" s="10"/>
      <c r="U1003" s="23">
        <v>0</v>
      </c>
      <c r="V1003" s="25">
        <v>0</v>
      </c>
      <c r="W1003" s="24">
        <v>0</v>
      </c>
      <c r="X1003" s="24">
        <f>U1003-W1003</f>
        <v>0</v>
      </c>
      <c r="Y1003" s="53" t="str">
        <f>IF(U1003&lt;&gt;0,X1003/U1003,"")</f>
        <v/>
      </c>
      <c r="Z1003" s="23">
        <v>0</v>
      </c>
      <c r="AA1003" s="25">
        <v>0</v>
      </c>
      <c r="AB1003" s="24">
        <v>0</v>
      </c>
      <c r="AC1003" s="24">
        <f t="shared" si="314"/>
        <v>0</v>
      </c>
      <c r="AD1003" s="53" t="str">
        <f t="shared" si="315"/>
        <v/>
      </c>
      <c r="AE1003" s="10"/>
    </row>
    <row r="1004" spans="1:31" x14ac:dyDescent="0.25">
      <c r="A1004" s="14" t="s">
        <v>109</v>
      </c>
      <c r="C1004" s="61" t="str">
        <f t="shared" si="313"/>
        <v>C100070</v>
      </c>
      <c r="F1004" s="8" t="str">
        <f>"C100043"</f>
        <v>C100043</v>
      </c>
      <c r="G1004" s="9" t="str">
        <f>"Pro-Travel Technology Set"</f>
        <v>Pro-Travel Technology Set</v>
      </c>
      <c r="H1004" s="47"/>
      <c r="I1004" s="47"/>
      <c r="J1004" s="23">
        <v>0</v>
      </c>
      <c r="K1004" s="25">
        <v>0</v>
      </c>
      <c r="L1004" s="24">
        <v>0</v>
      </c>
      <c r="M1004" s="24">
        <f>J1004-L1004</f>
        <v>0</v>
      </c>
      <c r="N1004" s="53" t="str">
        <f>IF(J1004&lt;&gt;0,M1004/J1004,"")</f>
        <v/>
      </c>
      <c r="O1004" s="23">
        <v>384.56</v>
      </c>
      <c r="P1004" s="25">
        <v>12</v>
      </c>
      <c r="Q1004" s="24">
        <v>180.01</v>
      </c>
      <c r="R1004" s="24">
        <f>O1004-Q1004</f>
        <v>204.55</v>
      </c>
      <c r="S1004" s="53">
        <f>IF(O1004&lt;&gt;0,R1004/O1004,"")</f>
        <v>0.5319065945496152</v>
      </c>
      <c r="T1004" s="10"/>
      <c r="U1004" s="23">
        <v>0</v>
      </c>
      <c r="V1004" s="25">
        <v>0</v>
      </c>
      <c r="W1004" s="24">
        <v>0</v>
      </c>
      <c r="X1004" s="24">
        <f>U1004-W1004</f>
        <v>0</v>
      </c>
      <c r="Y1004" s="53" t="str">
        <f>IF(U1004&lt;&gt;0,X1004/U1004,"")</f>
        <v/>
      </c>
      <c r="Z1004" s="23">
        <v>0</v>
      </c>
      <c r="AA1004" s="25">
        <v>0</v>
      </c>
      <c r="AB1004" s="24">
        <v>0</v>
      </c>
      <c r="AC1004" s="24">
        <f t="shared" si="314"/>
        <v>0</v>
      </c>
      <c r="AD1004" s="53" t="str">
        <f t="shared" si="315"/>
        <v/>
      </c>
      <c r="AE1004" s="10"/>
    </row>
    <row r="1005" spans="1:31" x14ac:dyDescent="0.25">
      <c r="A1005" s="14" t="s">
        <v>109</v>
      </c>
      <c r="C1005" s="61" t="str">
        <f t="shared" si="313"/>
        <v>C100070</v>
      </c>
      <c r="F1005" s="8" t="str">
        <f>"C100044"</f>
        <v>C100044</v>
      </c>
      <c r="G1005" s="9" t="str">
        <f>"VOIP Headset with Mic"</f>
        <v>VOIP Headset with Mic</v>
      </c>
      <c r="H1005" s="47"/>
      <c r="I1005" s="47"/>
      <c r="J1005" s="23">
        <v>933.42000000000007</v>
      </c>
      <c r="K1005" s="25">
        <v>433</v>
      </c>
      <c r="L1005" s="24">
        <v>519.75</v>
      </c>
      <c r="M1005" s="24">
        <f>J1005-L1005</f>
        <v>413.67000000000007</v>
      </c>
      <c r="N1005" s="53">
        <f>IF(J1005&lt;&gt;0,M1005/J1005,"")</f>
        <v>0.44317670502024814</v>
      </c>
      <c r="O1005" s="23">
        <v>0</v>
      </c>
      <c r="P1005" s="25">
        <v>0</v>
      </c>
      <c r="Q1005" s="24">
        <v>0</v>
      </c>
      <c r="R1005" s="24">
        <f>O1005-Q1005</f>
        <v>0</v>
      </c>
      <c r="S1005" s="53" t="str">
        <f>IF(O1005&lt;&gt;0,R1005/O1005,"")</f>
        <v/>
      </c>
      <c r="T1005" s="10"/>
      <c r="U1005" s="23">
        <v>0</v>
      </c>
      <c r="V1005" s="25">
        <v>0</v>
      </c>
      <c r="W1005" s="24">
        <v>0</v>
      </c>
      <c r="X1005" s="24">
        <f>U1005-W1005</f>
        <v>0</v>
      </c>
      <c r="Y1005" s="53" t="str">
        <f>IF(U1005&lt;&gt;0,X1005/U1005,"")</f>
        <v/>
      </c>
      <c r="Z1005" s="23">
        <v>0</v>
      </c>
      <c r="AA1005" s="25">
        <v>0</v>
      </c>
      <c r="AB1005" s="24">
        <v>0</v>
      </c>
      <c r="AC1005" s="24">
        <f t="shared" si="314"/>
        <v>0</v>
      </c>
      <c r="AD1005" s="53" t="str">
        <f t="shared" si="315"/>
        <v/>
      </c>
      <c r="AE1005" s="10"/>
    </row>
    <row r="1006" spans="1:31" x14ac:dyDescent="0.25">
      <c r="A1006" s="14" t="s">
        <v>109</v>
      </c>
      <c r="C1006" s="61" t="str">
        <f t="shared" si="313"/>
        <v>C100070</v>
      </c>
      <c r="F1006" s="8" t="str">
        <f>"C100047"</f>
        <v>C100047</v>
      </c>
      <c r="G1006" s="9" t="str">
        <f>"2GB MP3 Player"</f>
        <v>2GB MP3 Player</v>
      </c>
      <c r="H1006" s="47"/>
      <c r="I1006" s="47"/>
      <c r="J1006" s="23">
        <v>0</v>
      </c>
      <c r="K1006" s="25">
        <v>0</v>
      </c>
      <c r="L1006" s="24">
        <v>0</v>
      </c>
      <c r="M1006" s="24">
        <f>J1006-L1006</f>
        <v>0</v>
      </c>
      <c r="N1006" s="53" t="str">
        <f>IF(J1006&lt;&gt;0,M1006/J1006,"")</f>
        <v/>
      </c>
      <c r="O1006" s="23">
        <v>3971.12</v>
      </c>
      <c r="P1006" s="25">
        <v>144</v>
      </c>
      <c r="Q1006" s="24">
        <v>2397.54</v>
      </c>
      <c r="R1006" s="24">
        <f>O1006-Q1006</f>
        <v>1573.58</v>
      </c>
      <c r="S1006" s="53">
        <f>IF(O1006&lt;&gt;0,R1006/O1006,"")</f>
        <v>0.39625596808960695</v>
      </c>
      <c r="T1006" s="10"/>
      <c r="U1006" s="23">
        <v>0</v>
      </c>
      <c r="V1006" s="25">
        <v>0</v>
      </c>
      <c r="W1006" s="24">
        <v>0</v>
      </c>
      <c r="X1006" s="24">
        <f>U1006-W1006</f>
        <v>0</v>
      </c>
      <c r="Y1006" s="53" t="str">
        <f>IF(U1006&lt;&gt;0,X1006/U1006,"")</f>
        <v/>
      </c>
      <c r="Z1006" s="23">
        <v>0</v>
      </c>
      <c r="AA1006" s="25">
        <v>0</v>
      </c>
      <c r="AB1006" s="24">
        <v>0</v>
      </c>
      <c r="AC1006" s="24">
        <f t="shared" si="314"/>
        <v>0</v>
      </c>
      <c r="AD1006" s="53" t="str">
        <f t="shared" si="315"/>
        <v/>
      </c>
      <c r="AE1006" s="10"/>
    </row>
    <row r="1007" spans="1:31" x14ac:dyDescent="0.25">
      <c r="A1007" s="14" t="s">
        <v>109</v>
      </c>
      <c r="C1007" s="61" t="str">
        <f t="shared" si="313"/>
        <v>C100070</v>
      </c>
      <c r="F1007" s="8" t="str">
        <f>"C100048"</f>
        <v>C100048</v>
      </c>
      <c r="G1007" s="9" t="str">
        <f>"USB MP3 Player"</f>
        <v>USB MP3 Player</v>
      </c>
      <c r="H1007" s="47"/>
      <c r="I1007" s="47"/>
      <c r="J1007" s="23">
        <v>86.64</v>
      </c>
      <c r="K1007" s="25">
        <v>7</v>
      </c>
      <c r="L1007" s="24">
        <v>53.900000000000006</v>
      </c>
      <c r="M1007" s="24">
        <f>J1007-L1007</f>
        <v>32.739999999999995</v>
      </c>
      <c r="N1007" s="53">
        <f>IF(J1007&lt;&gt;0,M1007/J1007,"")</f>
        <v>0.37788550323176356</v>
      </c>
      <c r="O1007" s="23">
        <v>0</v>
      </c>
      <c r="P1007" s="25">
        <v>0</v>
      </c>
      <c r="Q1007" s="24">
        <v>0</v>
      </c>
      <c r="R1007" s="24">
        <f>O1007-Q1007</f>
        <v>0</v>
      </c>
      <c r="S1007" s="53" t="str">
        <f>IF(O1007&lt;&gt;0,R1007/O1007,"")</f>
        <v/>
      </c>
      <c r="T1007" s="10"/>
      <c r="U1007" s="23">
        <v>0</v>
      </c>
      <c r="V1007" s="25">
        <v>0</v>
      </c>
      <c r="W1007" s="24">
        <v>0</v>
      </c>
      <c r="X1007" s="24">
        <f>U1007-W1007</f>
        <v>0</v>
      </c>
      <c r="Y1007" s="53" t="str">
        <f>IF(U1007&lt;&gt;0,X1007/U1007,"")</f>
        <v/>
      </c>
      <c r="Z1007" s="23">
        <v>0</v>
      </c>
      <c r="AA1007" s="25">
        <v>0</v>
      </c>
      <c r="AB1007" s="24">
        <v>0</v>
      </c>
      <c r="AC1007" s="24">
        <f t="shared" si="314"/>
        <v>0</v>
      </c>
      <c r="AD1007" s="53" t="str">
        <f t="shared" si="315"/>
        <v/>
      </c>
      <c r="AE1007" s="10"/>
    </row>
    <row r="1008" spans="1:31" x14ac:dyDescent="0.25">
      <c r="A1008" s="14" t="s">
        <v>109</v>
      </c>
      <c r="C1008" s="61" t="str">
        <f t="shared" si="313"/>
        <v>C100070</v>
      </c>
      <c r="F1008" s="8" t="str">
        <f>"C100052"</f>
        <v>C100052</v>
      </c>
      <c r="G1008" s="9" t="str">
        <f>"Black Digital Picture Frame"</f>
        <v>Black Digital Picture Frame</v>
      </c>
      <c r="H1008" s="47"/>
      <c r="I1008" s="47"/>
      <c r="J1008" s="23">
        <v>1139.08</v>
      </c>
      <c r="K1008" s="25">
        <v>24</v>
      </c>
      <c r="L1008" s="24">
        <v>535.67999999999995</v>
      </c>
      <c r="M1008" s="24">
        <f>J1008-L1008</f>
        <v>603.4</v>
      </c>
      <c r="N1008" s="53">
        <f>IF(J1008&lt;&gt;0,M1008/J1008,"")</f>
        <v>0.52972574358254032</v>
      </c>
      <c r="O1008" s="23">
        <v>0</v>
      </c>
      <c r="P1008" s="25">
        <v>0</v>
      </c>
      <c r="Q1008" s="24">
        <v>0</v>
      </c>
      <c r="R1008" s="24">
        <f>O1008-Q1008</f>
        <v>0</v>
      </c>
      <c r="S1008" s="53" t="str">
        <f>IF(O1008&lt;&gt;0,R1008/O1008,"")</f>
        <v/>
      </c>
      <c r="T1008" s="10"/>
      <c r="U1008" s="23">
        <v>0</v>
      </c>
      <c r="V1008" s="25">
        <v>0</v>
      </c>
      <c r="W1008" s="24">
        <v>0</v>
      </c>
      <c r="X1008" s="24">
        <f>U1008-W1008</f>
        <v>0</v>
      </c>
      <c r="Y1008" s="53" t="str">
        <f>IF(U1008&lt;&gt;0,X1008/U1008,"")</f>
        <v/>
      </c>
      <c r="Z1008" s="23">
        <v>0</v>
      </c>
      <c r="AA1008" s="25">
        <v>0</v>
      </c>
      <c r="AB1008" s="24">
        <v>0</v>
      </c>
      <c r="AC1008" s="24">
        <f t="shared" si="314"/>
        <v>0</v>
      </c>
      <c r="AD1008" s="53" t="str">
        <f t="shared" si="315"/>
        <v/>
      </c>
      <c r="AE1008" s="10"/>
    </row>
    <row r="1009" spans="1:31" x14ac:dyDescent="0.25">
      <c r="A1009" s="14" t="s">
        <v>109</v>
      </c>
      <c r="C1009" s="61" t="str">
        <f t="shared" si="313"/>
        <v>C100070</v>
      </c>
      <c r="F1009" s="8" t="str">
        <f>"C100053"</f>
        <v>C100053</v>
      </c>
      <c r="G1009" s="9" t="str">
        <f>"Book Style Photo Frame &amp; Clock"</f>
        <v>Book Style Photo Frame &amp; Clock</v>
      </c>
      <c r="H1009" s="47"/>
      <c r="I1009" s="47"/>
      <c r="J1009" s="23">
        <v>0</v>
      </c>
      <c r="K1009" s="25">
        <v>0</v>
      </c>
      <c r="L1009" s="24">
        <v>0</v>
      </c>
      <c r="M1009" s="24">
        <f>J1009-L1009</f>
        <v>0</v>
      </c>
      <c r="N1009" s="53" t="str">
        <f>IF(J1009&lt;&gt;0,M1009/J1009,"")</f>
        <v/>
      </c>
      <c r="O1009" s="23">
        <v>979.83</v>
      </c>
      <c r="P1009" s="25">
        <v>48</v>
      </c>
      <c r="Q1009" s="24">
        <v>577.91</v>
      </c>
      <c r="R1009" s="24">
        <f>O1009-Q1009</f>
        <v>401.92000000000007</v>
      </c>
      <c r="S1009" s="53">
        <f>IF(O1009&lt;&gt;0,R1009/O1009,"")</f>
        <v>0.41019360501311458</v>
      </c>
      <c r="T1009" s="10"/>
      <c r="U1009" s="23">
        <v>0</v>
      </c>
      <c r="V1009" s="25">
        <v>0</v>
      </c>
      <c r="W1009" s="24">
        <v>0</v>
      </c>
      <c r="X1009" s="24">
        <f>U1009-W1009</f>
        <v>0</v>
      </c>
      <c r="Y1009" s="53" t="str">
        <f>IF(U1009&lt;&gt;0,X1009/U1009,"")</f>
        <v/>
      </c>
      <c r="Z1009" s="23">
        <v>0</v>
      </c>
      <c r="AA1009" s="25">
        <v>0</v>
      </c>
      <c r="AB1009" s="24">
        <v>0</v>
      </c>
      <c r="AC1009" s="24">
        <f t="shared" si="314"/>
        <v>0</v>
      </c>
      <c r="AD1009" s="53" t="str">
        <f t="shared" si="315"/>
        <v/>
      </c>
      <c r="AE1009" s="10"/>
    </row>
    <row r="1010" spans="1:31" x14ac:dyDescent="0.25">
      <c r="A1010" s="14" t="s">
        <v>109</v>
      </c>
      <c r="C1010" s="61" t="str">
        <f t="shared" si="313"/>
        <v>C100070</v>
      </c>
      <c r="F1010" s="8" t="str">
        <f>"C100055"</f>
        <v>C100055</v>
      </c>
      <c r="G1010" s="9" t="str">
        <f>"Silver Plated Photo Frame"</f>
        <v>Silver Plated Photo Frame</v>
      </c>
      <c r="H1010" s="47"/>
      <c r="I1010" s="47"/>
      <c r="J1010" s="23">
        <v>0</v>
      </c>
      <c r="K1010" s="25">
        <v>0</v>
      </c>
      <c r="L1010" s="24">
        <v>0</v>
      </c>
      <c r="M1010" s="24">
        <f>J1010-L1010</f>
        <v>0</v>
      </c>
      <c r="N1010" s="53" t="str">
        <f>IF(J1010&lt;&gt;0,M1010/J1010,"")</f>
        <v/>
      </c>
      <c r="O1010" s="23">
        <v>39.56</v>
      </c>
      <c r="P1010" s="25">
        <v>1</v>
      </c>
      <c r="Q1010" s="24">
        <v>20.7</v>
      </c>
      <c r="R1010" s="24">
        <f>O1010-Q1010</f>
        <v>18.860000000000003</v>
      </c>
      <c r="S1010" s="53">
        <f>IF(O1010&lt;&gt;0,R1010/O1010,"")</f>
        <v>0.4767441860465117</v>
      </c>
      <c r="T1010" s="10"/>
      <c r="U1010" s="23">
        <v>0</v>
      </c>
      <c r="V1010" s="25">
        <v>0</v>
      </c>
      <c r="W1010" s="24">
        <v>0</v>
      </c>
      <c r="X1010" s="24">
        <f>U1010-W1010</f>
        <v>0</v>
      </c>
      <c r="Y1010" s="53" t="str">
        <f>IF(U1010&lt;&gt;0,X1010/U1010,"")</f>
        <v/>
      </c>
      <c r="Z1010" s="23">
        <v>0</v>
      </c>
      <c r="AA1010" s="25">
        <v>0</v>
      </c>
      <c r="AB1010" s="24">
        <v>0</v>
      </c>
      <c r="AC1010" s="24">
        <f t="shared" si="314"/>
        <v>0</v>
      </c>
      <c r="AD1010" s="53" t="str">
        <f t="shared" si="315"/>
        <v/>
      </c>
      <c r="AE1010" s="10"/>
    </row>
    <row r="1011" spans="1:31" x14ac:dyDescent="0.25">
      <c r="A1011" s="14" t="s">
        <v>109</v>
      </c>
      <c r="C1011" s="61" t="str">
        <f t="shared" si="313"/>
        <v>C100070</v>
      </c>
      <c r="F1011" s="8" t="str">
        <f>"E100018"</f>
        <v>E100018</v>
      </c>
      <c r="G1011" s="9" t="str">
        <f>"Flexi-Clock &amp; Clip"</f>
        <v>Flexi-Clock &amp; Clip</v>
      </c>
      <c r="H1011" s="47"/>
      <c r="I1011" s="47"/>
      <c r="J1011" s="23">
        <v>161.70999999999998</v>
      </c>
      <c r="K1011" s="25">
        <v>146</v>
      </c>
      <c r="L1011" s="24">
        <v>87.59</v>
      </c>
      <c r="M1011" s="24">
        <f>J1011-L1011</f>
        <v>74.119999999999976</v>
      </c>
      <c r="N1011" s="53">
        <f>IF(J1011&lt;&gt;0,M1011/J1011,"")</f>
        <v>0.45835136973594698</v>
      </c>
      <c r="O1011" s="23">
        <v>1.1100000000000001</v>
      </c>
      <c r="P1011" s="25">
        <v>1</v>
      </c>
      <c r="Q1011" s="24">
        <v>0.6</v>
      </c>
      <c r="R1011" s="24">
        <f>O1011-Q1011</f>
        <v>0.51000000000000012</v>
      </c>
      <c r="S1011" s="53">
        <f>IF(O1011&lt;&gt;0,R1011/O1011,"")</f>
        <v>0.45945945945945954</v>
      </c>
      <c r="T1011" s="10"/>
      <c r="U1011" s="23">
        <v>0</v>
      </c>
      <c r="V1011" s="25">
        <v>0</v>
      </c>
      <c r="W1011" s="24">
        <v>0</v>
      </c>
      <c r="X1011" s="24">
        <f>U1011-W1011</f>
        <v>0</v>
      </c>
      <c r="Y1011" s="53" t="str">
        <f>IF(U1011&lt;&gt;0,X1011/U1011,"")</f>
        <v/>
      </c>
      <c r="Z1011" s="23">
        <v>0</v>
      </c>
      <c r="AA1011" s="25">
        <v>0</v>
      </c>
      <c r="AB1011" s="24">
        <v>0</v>
      </c>
      <c r="AC1011" s="24">
        <f t="shared" si="314"/>
        <v>0</v>
      </c>
      <c r="AD1011" s="53" t="str">
        <f t="shared" si="315"/>
        <v/>
      </c>
      <c r="AE1011" s="10"/>
    </row>
    <row r="1012" spans="1:31" x14ac:dyDescent="0.25">
      <c r="A1012" s="14" t="s">
        <v>109</v>
      </c>
      <c r="C1012" s="61" t="str">
        <f t="shared" si="313"/>
        <v>C100070</v>
      </c>
      <c r="F1012" s="8" t="str">
        <f>"E100020"</f>
        <v>E100020</v>
      </c>
      <c r="G1012" s="9" t="str">
        <f>"Flip-up Travel Alarm"</f>
        <v>Flip-up Travel Alarm</v>
      </c>
      <c r="H1012" s="47"/>
      <c r="I1012" s="47"/>
      <c r="J1012" s="23">
        <v>1301.0899999999999</v>
      </c>
      <c r="K1012" s="25">
        <v>144</v>
      </c>
      <c r="L1012" s="24">
        <v>673.93000000000006</v>
      </c>
      <c r="M1012" s="24">
        <f>J1012-L1012</f>
        <v>627.15999999999985</v>
      </c>
      <c r="N1012" s="53">
        <f>IF(J1012&lt;&gt;0,M1012/J1012,"")</f>
        <v>0.48202660845906115</v>
      </c>
      <c r="O1012" s="23">
        <v>0</v>
      </c>
      <c r="P1012" s="25">
        <v>0</v>
      </c>
      <c r="Q1012" s="24">
        <v>0</v>
      </c>
      <c r="R1012" s="24">
        <f>O1012-Q1012</f>
        <v>0</v>
      </c>
      <c r="S1012" s="53" t="str">
        <f>IF(O1012&lt;&gt;0,R1012/O1012,"")</f>
        <v/>
      </c>
      <c r="T1012" s="10"/>
      <c r="U1012" s="23">
        <v>0</v>
      </c>
      <c r="V1012" s="25">
        <v>0</v>
      </c>
      <c r="W1012" s="24">
        <v>0</v>
      </c>
      <c r="X1012" s="24">
        <f>U1012-W1012</f>
        <v>0</v>
      </c>
      <c r="Y1012" s="53" t="str">
        <f>IF(U1012&lt;&gt;0,X1012/U1012,"")</f>
        <v/>
      </c>
      <c r="Z1012" s="23">
        <v>0</v>
      </c>
      <c r="AA1012" s="25">
        <v>0</v>
      </c>
      <c r="AB1012" s="24">
        <v>0</v>
      </c>
      <c r="AC1012" s="24">
        <f t="shared" si="314"/>
        <v>0</v>
      </c>
      <c r="AD1012" s="53" t="str">
        <f t="shared" si="315"/>
        <v/>
      </c>
      <c r="AE1012" s="10"/>
    </row>
    <row r="1013" spans="1:31" ht="15.75" thickBot="1" x14ac:dyDescent="0.3">
      <c r="A1013" s="14" t="s">
        <v>109</v>
      </c>
      <c r="C1013" s="61" t="str">
        <f>C992</f>
        <v>C100070</v>
      </c>
      <c r="J1013" s="10"/>
      <c r="K1013" s="11"/>
      <c r="L1013" s="11"/>
      <c r="M1013" s="11"/>
      <c r="N1013" s="12"/>
      <c r="O1013" s="10"/>
      <c r="P1013" s="11"/>
      <c r="Q1013" s="11"/>
      <c r="R1013" s="11"/>
      <c r="S1013" s="12"/>
      <c r="U1013" s="10"/>
      <c r="V1013" s="11"/>
      <c r="W1013" s="11"/>
      <c r="X1013" s="11"/>
      <c r="Y1013" s="12"/>
      <c r="Z1013" s="10"/>
      <c r="AA1013" s="11"/>
      <c r="AB1013" s="11"/>
      <c r="AC1013" s="11"/>
      <c r="AD1013" s="12"/>
    </row>
    <row r="1014" spans="1:31" ht="15.75" thickBot="1" x14ac:dyDescent="0.3">
      <c r="A1014" s="14" t="s">
        <v>109</v>
      </c>
      <c r="C1014" s="61" t="str">
        <f t="shared" si="310"/>
        <v>C100070</v>
      </c>
      <c r="G1014" s="48" t="str">
        <f>C1014&amp;" TOTAL:"</f>
        <v>C100070 TOTAL:</v>
      </c>
      <c r="H1014" s="50"/>
      <c r="I1014" s="50"/>
      <c r="J1014" s="34">
        <f>SUBTOTAL(9,J991:J1013)</f>
        <v>16386.989999999998</v>
      </c>
      <c r="K1014" s="35">
        <f>SUBTOTAL(9,K991:K1013)</f>
        <v>1755</v>
      </c>
      <c r="L1014" s="36">
        <f>SUBTOTAL(9,L991:L1013)</f>
        <v>9710.7100000000009</v>
      </c>
      <c r="M1014" s="36">
        <f>J1014-L1014</f>
        <v>6676.279999999997</v>
      </c>
      <c r="N1014" s="37">
        <f>IF(J1014&lt;&gt;0,M1014/J1014,"")</f>
        <v>0.40741344200490742</v>
      </c>
      <c r="O1014" s="34">
        <f>SUBTOTAL(9,O991:O1013)</f>
        <v>9278.27</v>
      </c>
      <c r="P1014" s="35">
        <f>SUBTOTAL(9,P991:P1013)</f>
        <v>500</v>
      </c>
      <c r="Q1014" s="36">
        <f>SUBTOTAL(9,Q991:Q1013)</f>
        <v>5092.33</v>
      </c>
      <c r="R1014" s="36">
        <f>O1014-Q1014</f>
        <v>4185.9400000000005</v>
      </c>
      <c r="S1014" s="37">
        <f>IF(O1014&lt;&gt;0,R1014/O1014,"")</f>
        <v>0.45115522613590686</v>
      </c>
      <c r="U1014" s="34">
        <f>SUBTOTAL(9,U991:U1013)</f>
        <v>4.75</v>
      </c>
      <c r="V1014" s="35">
        <f>SUBTOTAL(9,V991:V1013)</f>
        <v>1</v>
      </c>
      <c r="W1014" s="36">
        <f>SUBTOTAL(9,W991:W1013)</f>
        <v>2.88</v>
      </c>
      <c r="X1014" s="36">
        <f>U1014-W1014</f>
        <v>1.87</v>
      </c>
      <c r="Y1014" s="37">
        <f>IF(U1014&lt;&gt;0,X1014/U1014,"")</f>
        <v>0.3936842105263158</v>
      </c>
      <c r="Z1014" s="34">
        <f>SUBTOTAL(9,Z991:Z1013)</f>
        <v>0</v>
      </c>
      <c r="AA1014" s="35">
        <f>SUBTOTAL(9,AA991:AA1013)</f>
        <v>0</v>
      </c>
      <c r="AB1014" s="36">
        <f>SUBTOTAL(9,AB991:AB1013)</f>
        <v>0</v>
      </c>
      <c r="AC1014" s="36">
        <f t="shared" ref="AC1014" si="316">Z1014-AB1014</f>
        <v>0</v>
      </c>
      <c r="AD1014" s="37" t="str">
        <f t="shared" ref="AD1014" si="317">IF(Z1014&lt;&gt;0,AC1014/Z1014,"")</f>
        <v/>
      </c>
    </row>
    <row r="1015" spans="1:31" x14ac:dyDescent="0.25">
      <c r="A1015" s="14" t="s">
        <v>109</v>
      </c>
      <c r="C1015" s="66"/>
      <c r="J1015" s="10"/>
      <c r="K1015" s="11"/>
      <c r="L1015" s="11"/>
      <c r="M1015" s="11"/>
      <c r="N1015" s="12"/>
      <c r="O1015" s="10"/>
      <c r="P1015" s="11"/>
      <c r="Q1015" s="11"/>
      <c r="R1015" s="11"/>
      <c r="S1015" s="12"/>
      <c r="U1015" s="10"/>
      <c r="V1015" s="11"/>
      <c r="W1015" s="11"/>
      <c r="X1015" s="11"/>
      <c r="Y1015" s="12"/>
      <c r="Z1015" s="10"/>
      <c r="AA1015" s="11"/>
      <c r="AB1015" s="11"/>
      <c r="AC1015" s="11"/>
      <c r="AD1015" s="12"/>
    </row>
    <row r="1016" spans="1:31" ht="15.75" x14ac:dyDescent="0.25">
      <c r="A1016" s="14" t="s">
        <v>109</v>
      </c>
      <c r="C1016" s="66" t="str">
        <f t="shared" ref="C1016" si="318">E1016</f>
        <v>C100072</v>
      </c>
      <c r="E1016" s="13" t="str">
        <f>"C100072"</f>
        <v>C100072</v>
      </c>
      <c r="F1016" s="13"/>
      <c r="G1016" s="13" t="str">
        <f>"Danger Unlimited"</f>
        <v>Danger Unlimited</v>
      </c>
      <c r="H1016" s="13"/>
      <c r="I1016" s="13"/>
      <c r="J1016" s="10"/>
      <c r="K1016" s="11"/>
      <c r="L1016" s="11"/>
      <c r="M1016" s="11"/>
      <c r="N1016" s="12"/>
      <c r="O1016" s="10"/>
      <c r="P1016" s="11"/>
      <c r="Q1016" s="11"/>
      <c r="R1016" s="11"/>
      <c r="S1016" s="12"/>
      <c r="U1016" s="10"/>
      <c r="V1016" s="11"/>
      <c r="W1016" s="11"/>
      <c r="X1016" s="11"/>
      <c r="Y1016" s="12"/>
      <c r="Z1016" s="10"/>
      <c r="AA1016" s="11"/>
      <c r="AB1016" s="11"/>
      <c r="AC1016" s="11"/>
      <c r="AD1016" s="12"/>
    </row>
    <row r="1017" spans="1:31" ht="6.6" customHeight="1" x14ac:dyDescent="0.25">
      <c r="A1017" s="14" t="s">
        <v>109</v>
      </c>
      <c r="C1017" s="61" t="str">
        <f t="shared" ref="C1017:C1059" si="319">C1016</f>
        <v>C100072</v>
      </c>
      <c r="J1017" s="10"/>
      <c r="K1017" s="11"/>
      <c r="L1017" s="11"/>
      <c r="M1017" s="11"/>
      <c r="N1017" s="12"/>
      <c r="O1017" s="10"/>
      <c r="P1017" s="11"/>
      <c r="Q1017" s="11"/>
      <c r="R1017" s="11"/>
      <c r="S1017" s="12"/>
      <c r="U1017" s="10"/>
      <c r="V1017" s="11"/>
      <c r="W1017" s="11"/>
      <c r="X1017" s="11"/>
      <c r="Y1017" s="12"/>
      <c r="Z1017" s="10"/>
      <c r="AA1017" s="11"/>
      <c r="AB1017" s="11"/>
      <c r="AC1017" s="11"/>
      <c r="AD1017" s="12"/>
    </row>
    <row r="1018" spans="1:31" x14ac:dyDescent="0.25">
      <c r="A1018" s="14" t="s">
        <v>109</v>
      </c>
      <c r="C1018" s="61" t="str">
        <f t="shared" si="319"/>
        <v>C100072</v>
      </c>
      <c r="F1018" s="8" t="str">
        <f>"C100003"</f>
        <v>C100003</v>
      </c>
      <c r="G1018" s="9" t="str">
        <f>"Cherry Finish Frame"</f>
        <v>Cherry Finish Frame</v>
      </c>
      <c r="H1018" s="47"/>
      <c r="I1018" s="47"/>
      <c r="J1018" s="23">
        <v>12774.19</v>
      </c>
      <c r="K1018" s="25">
        <v>192</v>
      </c>
      <c r="L1018" s="24">
        <v>6266.87</v>
      </c>
      <c r="M1018" s="24">
        <f>J1018-L1018</f>
        <v>6507.3200000000006</v>
      </c>
      <c r="N1018" s="53">
        <f>IF(J1018&lt;&gt;0,M1018/J1018,"")</f>
        <v>0.50941155564462404</v>
      </c>
      <c r="O1018" s="23">
        <v>6387.0999999999995</v>
      </c>
      <c r="P1018" s="25">
        <v>96</v>
      </c>
      <c r="Q1018" s="24">
        <v>3133.44</v>
      </c>
      <c r="R1018" s="24">
        <f>O1018-Q1018</f>
        <v>3253.6599999999994</v>
      </c>
      <c r="S1018" s="53">
        <f>IF(O1018&lt;&gt;0,R1018/O1018,"")</f>
        <v>0.50941115686305205</v>
      </c>
      <c r="T1018" s="10"/>
      <c r="U1018" s="23">
        <v>9580.64</v>
      </c>
      <c r="V1018" s="25">
        <v>144</v>
      </c>
      <c r="W1018" s="24">
        <v>4700.1499999999996</v>
      </c>
      <c r="X1018" s="24">
        <f>U1018-W1018</f>
        <v>4880.49</v>
      </c>
      <c r="Y1018" s="53">
        <f>IF(U1018&lt;&gt;0,X1018/U1018,"")</f>
        <v>0.5094116885719534</v>
      </c>
      <c r="Z1018" s="23">
        <v>3193.5499999999997</v>
      </c>
      <c r="AA1018" s="25">
        <v>48</v>
      </c>
      <c r="AB1018" s="24">
        <v>1566.72</v>
      </c>
      <c r="AC1018" s="24">
        <f t="shared" ref="AC1018" si="320">Z1018-AB1018</f>
        <v>1626.8299999999997</v>
      </c>
      <c r="AD1018" s="53">
        <f t="shared" ref="AD1018" si="321">IF(Z1018&lt;&gt;0,AC1018/Z1018,"")</f>
        <v>0.50941115686305205</v>
      </c>
      <c r="AE1018" s="10"/>
    </row>
    <row r="1019" spans="1:31" x14ac:dyDescent="0.25">
      <c r="A1019" s="14" t="s">
        <v>109</v>
      </c>
      <c r="C1019" s="61" t="str">
        <f t="shared" ref="C1019:C1057" si="322">C1018</f>
        <v>C100072</v>
      </c>
      <c r="F1019" s="8" t="str">
        <f>"C100005"</f>
        <v>C100005</v>
      </c>
      <c r="G1019" s="9" t="str">
        <f>"Cherry Finished Crystal Award"</f>
        <v>Cherry Finished Crystal Award</v>
      </c>
      <c r="H1019" s="47"/>
      <c r="I1019" s="47"/>
      <c r="J1019" s="23">
        <v>0</v>
      </c>
      <c r="K1019" s="25">
        <v>0</v>
      </c>
      <c r="L1019" s="24">
        <v>0</v>
      </c>
      <c r="M1019" s="24">
        <f>J1019-L1019</f>
        <v>0</v>
      </c>
      <c r="N1019" s="53" t="str">
        <f>IF(J1019&lt;&gt;0,M1019/J1019,"")</f>
        <v/>
      </c>
      <c r="O1019" s="23">
        <v>13078.999999999998</v>
      </c>
      <c r="P1019" s="25">
        <v>96</v>
      </c>
      <c r="Q1019" s="24">
        <v>6809.28</v>
      </c>
      <c r="R1019" s="24">
        <f>O1019-Q1019</f>
        <v>6269.7199999999984</v>
      </c>
      <c r="S1019" s="53">
        <f>IF(O1019&lt;&gt;0,R1019/O1019,"")</f>
        <v>0.47937304075235104</v>
      </c>
      <c r="T1019" s="10"/>
      <c r="U1019" s="23">
        <v>0</v>
      </c>
      <c r="V1019" s="25">
        <v>0</v>
      </c>
      <c r="W1019" s="24">
        <v>0</v>
      </c>
      <c r="X1019" s="24">
        <f>U1019-W1019</f>
        <v>0</v>
      </c>
      <c r="Y1019" s="53" t="str">
        <f>IF(U1019&lt;&gt;0,X1019/U1019,"")</f>
        <v/>
      </c>
      <c r="Z1019" s="23">
        <v>0</v>
      </c>
      <c r="AA1019" s="25">
        <v>0</v>
      </c>
      <c r="AB1019" s="24">
        <v>0</v>
      </c>
      <c r="AC1019" s="24">
        <f t="shared" ref="AC1019:AC1057" si="323">Z1019-AB1019</f>
        <v>0</v>
      </c>
      <c r="AD1019" s="53" t="str">
        <f t="shared" ref="AD1019:AD1057" si="324">IF(Z1019&lt;&gt;0,AC1019/Z1019,"")</f>
        <v/>
      </c>
      <c r="AE1019" s="10"/>
    </row>
    <row r="1020" spans="1:31" x14ac:dyDescent="0.25">
      <c r="A1020" s="14" t="s">
        <v>109</v>
      </c>
      <c r="C1020" s="61" t="str">
        <f t="shared" si="322"/>
        <v>C100072</v>
      </c>
      <c r="F1020" s="8" t="str">
        <f>"C100006"</f>
        <v>C100006</v>
      </c>
      <c r="G1020" s="9" t="str">
        <f>"Cherry Finished Crystal Award- Large"</f>
        <v>Cherry Finished Crystal Award- Large</v>
      </c>
      <c r="H1020" s="47"/>
      <c r="I1020" s="47"/>
      <c r="J1020" s="23">
        <v>2458.9</v>
      </c>
      <c r="K1020" s="25">
        <v>12</v>
      </c>
      <c r="L1020" s="24">
        <v>1140.48</v>
      </c>
      <c r="M1020" s="24">
        <f>J1020-L1020</f>
        <v>1318.42</v>
      </c>
      <c r="N1020" s="53">
        <f>IF(J1020&lt;&gt;0,M1020/J1020,"")</f>
        <v>0.53618284598804344</v>
      </c>
      <c r="O1020" s="23">
        <v>204.91</v>
      </c>
      <c r="P1020" s="25">
        <v>1</v>
      </c>
      <c r="Q1020" s="24">
        <v>95.04</v>
      </c>
      <c r="R1020" s="24">
        <f>O1020-Q1020</f>
        <v>109.86999999999999</v>
      </c>
      <c r="S1020" s="53">
        <f>IF(O1020&lt;&gt;0,R1020/O1020,"")</f>
        <v>0.5361866185154458</v>
      </c>
      <c r="T1020" s="10"/>
      <c r="U1020" s="23">
        <v>2458.9</v>
      </c>
      <c r="V1020" s="25">
        <v>12</v>
      </c>
      <c r="W1020" s="24">
        <v>1140.48</v>
      </c>
      <c r="X1020" s="24">
        <f>U1020-W1020</f>
        <v>1318.42</v>
      </c>
      <c r="Y1020" s="53">
        <f>IF(U1020&lt;&gt;0,X1020/U1020,"")</f>
        <v>0.53618284598804344</v>
      </c>
      <c r="Z1020" s="23">
        <v>0</v>
      </c>
      <c r="AA1020" s="25">
        <v>0</v>
      </c>
      <c r="AB1020" s="24">
        <v>0</v>
      </c>
      <c r="AC1020" s="24">
        <f t="shared" si="323"/>
        <v>0</v>
      </c>
      <c r="AD1020" s="53" t="str">
        <f t="shared" si="324"/>
        <v/>
      </c>
      <c r="AE1020" s="10"/>
    </row>
    <row r="1021" spans="1:31" x14ac:dyDescent="0.25">
      <c r="A1021" s="14" t="s">
        <v>109</v>
      </c>
      <c r="C1021" s="61" t="str">
        <f t="shared" si="322"/>
        <v>C100072</v>
      </c>
      <c r="F1021" s="8" t="str">
        <f>"C100017"</f>
        <v>C100017</v>
      </c>
      <c r="G1021" s="9" t="str">
        <f>"Wheeled Duffel"</f>
        <v>Wheeled Duffel</v>
      </c>
      <c r="H1021" s="47"/>
      <c r="I1021" s="47"/>
      <c r="J1021" s="23">
        <v>1136.78</v>
      </c>
      <c r="K1021" s="25">
        <v>6</v>
      </c>
      <c r="L1021" s="24">
        <v>607.32000000000005</v>
      </c>
      <c r="M1021" s="24">
        <f>J1021-L1021</f>
        <v>529.45999999999992</v>
      </c>
      <c r="N1021" s="53">
        <f>IF(J1021&lt;&gt;0,M1021/J1021,"")</f>
        <v>0.46575414768028989</v>
      </c>
      <c r="O1021" s="23">
        <v>6820.68</v>
      </c>
      <c r="P1021" s="25">
        <v>36</v>
      </c>
      <c r="Q1021" s="24">
        <v>3643.92</v>
      </c>
      <c r="R1021" s="24">
        <f>O1021-Q1021</f>
        <v>3176.76</v>
      </c>
      <c r="S1021" s="53">
        <f>IF(O1021&lt;&gt;0,R1021/O1021,"")</f>
        <v>0.46575414768028994</v>
      </c>
      <c r="T1021" s="10"/>
      <c r="U1021" s="23">
        <v>3410.34</v>
      </c>
      <c r="V1021" s="25">
        <v>18</v>
      </c>
      <c r="W1021" s="24">
        <v>1821.96</v>
      </c>
      <c r="X1021" s="24">
        <f>U1021-W1021</f>
        <v>1588.38</v>
      </c>
      <c r="Y1021" s="53">
        <f>IF(U1021&lt;&gt;0,X1021/U1021,"")</f>
        <v>0.46575414768028994</v>
      </c>
      <c r="Z1021" s="23">
        <v>0</v>
      </c>
      <c r="AA1021" s="25">
        <v>0</v>
      </c>
      <c r="AB1021" s="24">
        <v>0</v>
      </c>
      <c r="AC1021" s="24">
        <f t="shared" si="323"/>
        <v>0</v>
      </c>
      <c r="AD1021" s="53" t="str">
        <f t="shared" si="324"/>
        <v/>
      </c>
      <c r="AE1021" s="10"/>
    </row>
    <row r="1022" spans="1:31" x14ac:dyDescent="0.25">
      <c r="A1022" s="14" t="s">
        <v>109</v>
      </c>
      <c r="C1022" s="61" t="str">
        <f t="shared" si="322"/>
        <v>C100072</v>
      </c>
      <c r="F1022" s="8" t="str">
        <f>"C100019"</f>
        <v>C100019</v>
      </c>
      <c r="G1022" s="9" t="str">
        <f>"Black Duffel Bag"</f>
        <v>Black Duffel Bag</v>
      </c>
      <c r="H1022" s="47"/>
      <c r="I1022" s="47"/>
      <c r="J1022" s="23">
        <v>9947.5500000000011</v>
      </c>
      <c r="K1022" s="25">
        <v>144</v>
      </c>
      <c r="L1022" s="24">
        <v>6151.7</v>
      </c>
      <c r="M1022" s="24">
        <f>J1022-L1022</f>
        <v>3795.8500000000013</v>
      </c>
      <c r="N1022" s="53">
        <f>IF(J1022&lt;&gt;0,M1022/J1022,"")</f>
        <v>0.3815864207769753</v>
      </c>
      <c r="O1022" s="23">
        <v>3315.85</v>
      </c>
      <c r="P1022" s="25">
        <v>48</v>
      </c>
      <c r="Q1022" s="24">
        <v>2050.5700000000002</v>
      </c>
      <c r="R1022" s="24">
        <f>O1022-Q1022</f>
        <v>1265.2799999999997</v>
      </c>
      <c r="S1022" s="53">
        <f>IF(O1022&lt;&gt;0,R1022/O1022,"")</f>
        <v>0.38158541550432007</v>
      </c>
      <c r="T1022" s="10"/>
      <c r="U1022" s="23">
        <v>0</v>
      </c>
      <c r="V1022" s="25">
        <v>0</v>
      </c>
      <c r="W1022" s="24">
        <v>0</v>
      </c>
      <c r="X1022" s="24">
        <f>U1022-W1022</f>
        <v>0</v>
      </c>
      <c r="Y1022" s="53" t="str">
        <f>IF(U1022&lt;&gt;0,X1022/U1022,"")</f>
        <v/>
      </c>
      <c r="Z1022" s="23">
        <v>1657.9199999999998</v>
      </c>
      <c r="AA1022" s="25">
        <v>24</v>
      </c>
      <c r="AB1022" s="24">
        <v>1025.28</v>
      </c>
      <c r="AC1022" s="24">
        <f t="shared" si="323"/>
        <v>632.63999999999987</v>
      </c>
      <c r="AD1022" s="53">
        <f t="shared" si="324"/>
        <v>0.38158656629994203</v>
      </c>
      <c r="AE1022" s="10"/>
    </row>
    <row r="1023" spans="1:31" x14ac:dyDescent="0.25">
      <c r="A1023" s="14" t="s">
        <v>109</v>
      </c>
      <c r="C1023" s="61" t="str">
        <f t="shared" si="322"/>
        <v>C100072</v>
      </c>
      <c r="F1023" s="8" t="str">
        <f>"C100021"</f>
        <v>C100021</v>
      </c>
      <c r="G1023" s="9" t="str">
        <f>"Canvas Boat Bag"</f>
        <v>Canvas Boat Bag</v>
      </c>
      <c r="H1023" s="47"/>
      <c r="I1023" s="47"/>
      <c r="J1023" s="23">
        <v>0</v>
      </c>
      <c r="K1023" s="25">
        <v>0</v>
      </c>
      <c r="L1023" s="24">
        <v>0</v>
      </c>
      <c r="M1023" s="24">
        <f>J1023-L1023</f>
        <v>0</v>
      </c>
      <c r="N1023" s="53" t="str">
        <f>IF(J1023&lt;&gt;0,M1023/J1023,"")</f>
        <v/>
      </c>
      <c r="O1023" s="23">
        <v>1951.93</v>
      </c>
      <c r="P1023" s="25">
        <v>193</v>
      </c>
      <c r="Q1023" s="24">
        <v>1327.83</v>
      </c>
      <c r="R1023" s="24">
        <f>O1023-Q1023</f>
        <v>624.10000000000014</v>
      </c>
      <c r="S1023" s="53">
        <f>IF(O1023&lt;&gt;0,R1023/O1023,"")</f>
        <v>0.31973482655628027</v>
      </c>
      <c r="T1023" s="10"/>
      <c r="U1023" s="23">
        <v>1456.36</v>
      </c>
      <c r="V1023" s="25">
        <v>144</v>
      </c>
      <c r="W1023" s="24">
        <v>990.71</v>
      </c>
      <c r="X1023" s="24">
        <f>U1023-W1023</f>
        <v>465.64999999999986</v>
      </c>
      <c r="Y1023" s="53">
        <f>IF(U1023&lt;&gt;0,X1023/U1023,"")</f>
        <v>0.31973550495756536</v>
      </c>
      <c r="Z1023" s="23">
        <v>0</v>
      </c>
      <c r="AA1023" s="25">
        <v>0</v>
      </c>
      <c r="AB1023" s="24">
        <v>0</v>
      </c>
      <c r="AC1023" s="24">
        <f t="shared" si="323"/>
        <v>0</v>
      </c>
      <c r="AD1023" s="53" t="str">
        <f t="shared" si="324"/>
        <v/>
      </c>
      <c r="AE1023" s="10"/>
    </row>
    <row r="1024" spans="1:31" x14ac:dyDescent="0.25">
      <c r="A1024" s="14" t="s">
        <v>109</v>
      </c>
      <c r="C1024" s="61" t="str">
        <f t="shared" si="322"/>
        <v>C100072</v>
      </c>
      <c r="F1024" s="8" t="str">
        <f>"C100022"</f>
        <v>C100022</v>
      </c>
      <c r="G1024" s="9" t="str">
        <f>"Two-Toned Cap"</f>
        <v>Two-Toned Cap</v>
      </c>
      <c r="H1024" s="47"/>
      <c r="I1024" s="47"/>
      <c r="J1024" s="23">
        <v>451.58000000000004</v>
      </c>
      <c r="K1024" s="25">
        <v>144</v>
      </c>
      <c r="L1024" s="24">
        <v>231.82999999999998</v>
      </c>
      <c r="M1024" s="24">
        <f>J1024-L1024</f>
        <v>219.75000000000006</v>
      </c>
      <c r="N1024" s="53">
        <f>IF(J1024&lt;&gt;0,M1024/J1024,"")</f>
        <v>0.4866247398024714</v>
      </c>
      <c r="O1024" s="23">
        <v>451.58000000000004</v>
      </c>
      <c r="P1024" s="25">
        <v>144</v>
      </c>
      <c r="Q1024" s="24">
        <v>231.82999999999998</v>
      </c>
      <c r="R1024" s="24">
        <f>O1024-Q1024</f>
        <v>219.75000000000006</v>
      </c>
      <c r="S1024" s="53">
        <f>IF(O1024&lt;&gt;0,R1024/O1024,"")</f>
        <v>0.4866247398024714</v>
      </c>
      <c r="T1024" s="10"/>
      <c r="U1024" s="23">
        <v>153.67000000000002</v>
      </c>
      <c r="V1024" s="25">
        <v>49</v>
      </c>
      <c r="W1024" s="24">
        <v>78.89</v>
      </c>
      <c r="X1024" s="24">
        <f>U1024-W1024</f>
        <v>74.780000000000015</v>
      </c>
      <c r="Y1024" s="53">
        <f>IF(U1024&lt;&gt;0,X1024/U1024,"")</f>
        <v>0.48662718813040939</v>
      </c>
      <c r="Z1024" s="23">
        <v>0</v>
      </c>
      <c r="AA1024" s="25">
        <v>0</v>
      </c>
      <c r="AB1024" s="24">
        <v>0</v>
      </c>
      <c r="AC1024" s="24">
        <f t="shared" si="323"/>
        <v>0</v>
      </c>
      <c r="AD1024" s="53" t="str">
        <f t="shared" si="324"/>
        <v/>
      </c>
      <c r="AE1024" s="10"/>
    </row>
    <row r="1025" spans="1:31" x14ac:dyDescent="0.25">
      <c r="A1025" s="14" t="s">
        <v>109</v>
      </c>
      <c r="C1025" s="61" t="str">
        <f t="shared" si="322"/>
        <v>C100072</v>
      </c>
      <c r="F1025" s="8" t="str">
        <f>"C100024"</f>
        <v>C100024</v>
      </c>
      <c r="G1025" s="9" t="str">
        <f>"Knit Hat with Bill"</f>
        <v>Knit Hat with Bill</v>
      </c>
      <c r="H1025" s="47"/>
      <c r="I1025" s="47"/>
      <c r="J1025" s="23">
        <v>251.18999999999997</v>
      </c>
      <c r="K1025" s="25">
        <v>48</v>
      </c>
      <c r="L1025" s="24">
        <v>144</v>
      </c>
      <c r="M1025" s="24">
        <f>J1025-L1025</f>
        <v>107.18999999999997</v>
      </c>
      <c r="N1025" s="53">
        <f>IF(J1025&lt;&gt;0,M1025/J1025,"")</f>
        <v>0.42672877104980289</v>
      </c>
      <c r="O1025" s="23">
        <v>758.81</v>
      </c>
      <c r="P1025" s="25">
        <v>145</v>
      </c>
      <c r="Q1025" s="24">
        <v>434.99999999999994</v>
      </c>
      <c r="R1025" s="24">
        <f>O1025-Q1025</f>
        <v>323.81</v>
      </c>
      <c r="S1025" s="53">
        <f>IF(O1025&lt;&gt;0,R1025/O1025,"")</f>
        <v>0.42673396502418265</v>
      </c>
      <c r="T1025" s="10"/>
      <c r="U1025" s="23">
        <v>0</v>
      </c>
      <c r="V1025" s="25">
        <v>0</v>
      </c>
      <c r="W1025" s="24">
        <v>0</v>
      </c>
      <c r="X1025" s="24">
        <f>U1025-W1025</f>
        <v>0</v>
      </c>
      <c r="Y1025" s="53" t="str">
        <f>IF(U1025&lt;&gt;0,X1025/U1025,"")</f>
        <v/>
      </c>
      <c r="Z1025" s="23">
        <v>0</v>
      </c>
      <c r="AA1025" s="25">
        <v>0</v>
      </c>
      <c r="AB1025" s="24">
        <v>0</v>
      </c>
      <c r="AC1025" s="24">
        <f t="shared" si="323"/>
        <v>0</v>
      </c>
      <c r="AD1025" s="53" t="str">
        <f t="shared" si="324"/>
        <v/>
      </c>
      <c r="AE1025" s="10"/>
    </row>
    <row r="1026" spans="1:31" x14ac:dyDescent="0.25">
      <c r="A1026" s="14" t="s">
        <v>109</v>
      </c>
      <c r="C1026" s="61" t="str">
        <f t="shared" si="322"/>
        <v>C100072</v>
      </c>
      <c r="F1026" s="8" t="str">
        <f>"C100025"</f>
        <v>C100025</v>
      </c>
      <c r="G1026" s="9" t="str">
        <f>"Striped Knit Hat"</f>
        <v>Striped Knit Hat</v>
      </c>
      <c r="H1026" s="47"/>
      <c r="I1026" s="47"/>
      <c r="J1026" s="23">
        <v>0</v>
      </c>
      <c r="K1026" s="25">
        <v>0</v>
      </c>
      <c r="L1026" s="24">
        <v>0</v>
      </c>
      <c r="M1026" s="24">
        <f>J1026-L1026</f>
        <v>0</v>
      </c>
      <c r="N1026" s="53" t="str">
        <f>IF(J1026&lt;&gt;0,M1026/J1026,"")</f>
        <v/>
      </c>
      <c r="O1026" s="23">
        <v>140.18</v>
      </c>
      <c r="P1026" s="25">
        <v>48</v>
      </c>
      <c r="Q1026" s="24">
        <v>66.239999999999995</v>
      </c>
      <c r="R1026" s="24">
        <f>O1026-Q1026</f>
        <v>73.940000000000012</v>
      </c>
      <c r="S1026" s="53">
        <f>IF(O1026&lt;&gt;0,R1026/O1026,"")</f>
        <v>0.52746468825795412</v>
      </c>
      <c r="T1026" s="10"/>
      <c r="U1026" s="23">
        <v>0</v>
      </c>
      <c r="V1026" s="25">
        <v>0</v>
      </c>
      <c r="W1026" s="24">
        <v>0</v>
      </c>
      <c r="X1026" s="24">
        <f>U1026-W1026</f>
        <v>0</v>
      </c>
      <c r="Y1026" s="53" t="str">
        <f>IF(U1026&lt;&gt;0,X1026/U1026,"")</f>
        <v/>
      </c>
      <c r="Z1026" s="23">
        <v>0</v>
      </c>
      <c r="AA1026" s="25">
        <v>0</v>
      </c>
      <c r="AB1026" s="24">
        <v>0</v>
      </c>
      <c r="AC1026" s="24">
        <f t="shared" si="323"/>
        <v>0</v>
      </c>
      <c r="AD1026" s="53" t="str">
        <f t="shared" si="324"/>
        <v/>
      </c>
      <c r="AE1026" s="10"/>
    </row>
    <row r="1027" spans="1:31" x14ac:dyDescent="0.25">
      <c r="A1027" s="14" t="s">
        <v>109</v>
      </c>
      <c r="C1027" s="61" t="str">
        <f t="shared" si="322"/>
        <v>C100072</v>
      </c>
      <c r="F1027" s="8" t="str">
        <f>"C100026"</f>
        <v>C100026</v>
      </c>
      <c r="G1027" s="9" t="str">
        <f>"Fleece Beanie"</f>
        <v>Fleece Beanie</v>
      </c>
      <c r="H1027" s="47"/>
      <c r="I1027" s="47"/>
      <c r="J1027" s="23">
        <v>0</v>
      </c>
      <c r="K1027" s="25">
        <v>0</v>
      </c>
      <c r="L1027" s="24">
        <v>0</v>
      </c>
      <c r="M1027" s="24">
        <f>J1027-L1027</f>
        <v>0</v>
      </c>
      <c r="N1027" s="53" t="str">
        <f>IF(J1027&lt;&gt;0,M1027/J1027,"")</f>
        <v/>
      </c>
      <c r="O1027" s="23">
        <v>446.41</v>
      </c>
      <c r="P1027" s="25">
        <v>146</v>
      </c>
      <c r="Q1027" s="24">
        <v>291.99</v>
      </c>
      <c r="R1027" s="24">
        <f>O1027-Q1027</f>
        <v>154.42000000000002</v>
      </c>
      <c r="S1027" s="53">
        <f>IF(O1027&lt;&gt;0,R1027/O1027,"")</f>
        <v>0.34591519007190702</v>
      </c>
      <c r="T1027" s="10"/>
      <c r="U1027" s="23">
        <v>183.45</v>
      </c>
      <c r="V1027" s="25">
        <v>60</v>
      </c>
      <c r="W1027" s="24">
        <v>120</v>
      </c>
      <c r="X1027" s="24">
        <f>U1027-W1027</f>
        <v>63.449999999999989</v>
      </c>
      <c r="Y1027" s="53">
        <f>IF(U1027&lt;&gt;0,X1027/U1027,"")</f>
        <v>0.3458708094848732</v>
      </c>
      <c r="Z1027" s="23">
        <v>0</v>
      </c>
      <c r="AA1027" s="25">
        <v>0</v>
      </c>
      <c r="AB1027" s="24">
        <v>0</v>
      </c>
      <c r="AC1027" s="24">
        <f t="shared" si="323"/>
        <v>0</v>
      </c>
      <c r="AD1027" s="53" t="str">
        <f t="shared" si="324"/>
        <v/>
      </c>
      <c r="AE1027" s="10"/>
    </row>
    <row r="1028" spans="1:31" x14ac:dyDescent="0.25">
      <c r="A1028" s="14" t="s">
        <v>109</v>
      </c>
      <c r="C1028" s="61" t="str">
        <f t="shared" si="322"/>
        <v>C100072</v>
      </c>
      <c r="F1028" s="8" t="str">
        <f>"C100027"</f>
        <v>C100027</v>
      </c>
      <c r="G1028" s="9" t="str">
        <f>"Pique Visor"</f>
        <v>Pique Visor</v>
      </c>
      <c r="H1028" s="47"/>
      <c r="I1028" s="47"/>
      <c r="J1028" s="23">
        <v>0</v>
      </c>
      <c r="K1028" s="25">
        <v>0</v>
      </c>
      <c r="L1028" s="24">
        <v>0</v>
      </c>
      <c r="M1028" s="24">
        <f>J1028-L1028</f>
        <v>0</v>
      </c>
      <c r="N1028" s="53" t="str">
        <f>IF(J1028&lt;&gt;0,M1028/J1028,"")</f>
        <v/>
      </c>
      <c r="O1028" s="23">
        <v>893.29</v>
      </c>
      <c r="P1028" s="25">
        <v>144</v>
      </c>
      <c r="Q1028" s="24">
        <v>449.29</v>
      </c>
      <c r="R1028" s="24">
        <f>O1028-Q1028</f>
        <v>443.99999999999994</v>
      </c>
      <c r="S1028" s="53">
        <f>IF(O1028&lt;&gt;0,R1028/O1028,"")</f>
        <v>0.49703903547560141</v>
      </c>
      <c r="T1028" s="10"/>
      <c r="U1028" s="23">
        <v>893.29</v>
      </c>
      <c r="V1028" s="25">
        <v>144</v>
      </c>
      <c r="W1028" s="24">
        <v>449.29</v>
      </c>
      <c r="X1028" s="24">
        <f>U1028-W1028</f>
        <v>443.99999999999994</v>
      </c>
      <c r="Y1028" s="53">
        <f>IF(U1028&lt;&gt;0,X1028/U1028,"")</f>
        <v>0.49703903547560141</v>
      </c>
      <c r="Z1028" s="23">
        <v>893.29</v>
      </c>
      <c r="AA1028" s="25">
        <v>144</v>
      </c>
      <c r="AB1028" s="24">
        <v>449.29</v>
      </c>
      <c r="AC1028" s="24">
        <f t="shared" si="323"/>
        <v>443.99999999999994</v>
      </c>
      <c r="AD1028" s="53">
        <f t="shared" si="324"/>
        <v>0.49703903547560141</v>
      </c>
      <c r="AE1028" s="10"/>
    </row>
    <row r="1029" spans="1:31" x14ac:dyDescent="0.25">
      <c r="A1029" s="14" t="s">
        <v>109</v>
      </c>
      <c r="C1029" s="61" t="str">
        <f t="shared" si="322"/>
        <v>C100072</v>
      </c>
      <c r="F1029" s="8" t="str">
        <f>"C100028"</f>
        <v>C100028</v>
      </c>
      <c r="G1029" s="9" t="str">
        <f>"Twill Visor"</f>
        <v>Twill Visor</v>
      </c>
      <c r="H1029" s="47"/>
      <c r="I1029" s="47"/>
      <c r="J1029" s="23">
        <v>240.37</v>
      </c>
      <c r="K1029" s="25">
        <v>48</v>
      </c>
      <c r="L1029" s="24">
        <v>115.2</v>
      </c>
      <c r="M1029" s="24">
        <f>J1029-L1029</f>
        <v>125.17</v>
      </c>
      <c r="N1029" s="53">
        <f>IF(J1029&lt;&gt;0,M1029/J1029,"")</f>
        <v>0.52073886092274413</v>
      </c>
      <c r="O1029" s="23">
        <v>2223.4499999999998</v>
      </c>
      <c r="P1029" s="25">
        <v>444.00000000000006</v>
      </c>
      <c r="Q1029" s="24">
        <v>1065.6299999999999</v>
      </c>
      <c r="R1029" s="24">
        <f>O1029-Q1029</f>
        <v>1157.82</v>
      </c>
      <c r="S1029" s="53">
        <f>IF(O1029&lt;&gt;0,R1029/O1029,"")</f>
        <v>0.52073129595898271</v>
      </c>
      <c r="T1029" s="10"/>
      <c r="U1029" s="23">
        <v>0</v>
      </c>
      <c r="V1029" s="25">
        <v>0</v>
      </c>
      <c r="W1029" s="24">
        <v>0</v>
      </c>
      <c r="X1029" s="24">
        <f>U1029-W1029</f>
        <v>0</v>
      </c>
      <c r="Y1029" s="53" t="str">
        <f>IF(U1029&lt;&gt;0,X1029/U1029,"")</f>
        <v/>
      </c>
      <c r="Z1029" s="23">
        <v>0</v>
      </c>
      <c r="AA1029" s="25">
        <v>0</v>
      </c>
      <c r="AB1029" s="24">
        <v>0</v>
      </c>
      <c r="AC1029" s="24">
        <f t="shared" si="323"/>
        <v>0</v>
      </c>
      <c r="AD1029" s="53" t="str">
        <f t="shared" si="324"/>
        <v/>
      </c>
      <c r="AE1029" s="10"/>
    </row>
    <row r="1030" spans="1:31" x14ac:dyDescent="0.25">
      <c r="A1030" s="14" t="s">
        <v>109</v>
      </c>
      <c r="C1030" s="61" t="str">
        <f t="shared" si="322"/>
        <v>C100072</v>
      </c>
      <c r="F1030" s="8" t="str">
        <f>"C100029"</f>
        <v>C100029</v>
      </c>
      <c r="G1030" s="9" t="str">
        <f>"Distressed Twill Visor"</f>
        <v>Distressed Twill Visor</v>
      </c>
      <c r="H1030" s="47"/>
      <c r="I1030" s="47"/>
      <c r="J1030" s="23">
        <v>482.62999999999994</v>
      </c>
      <c r="K1030" s="25">
        <v>144</v>
      </c>
      <c r="L1030" s="24">
        <v>298.09000000000003</v>
      </c>
      <c r="M1030" s="24">
        <f>J1030-L1030</f>
        <v>184.53999999999991</v>
      </c>
      <c r="N1030" s="53">
        <f>IF(J1030&lt;&gt;0,M1030/J1030,"")</f>
        <v>0.38236330107950173</v>
      </c>
      <c r="O1030" s="23">
        <v>482.62999999999994</v>
      </c>
      <c r="P1030" s="25">
        <v>144</v>
      </c>
      <c r="Q1030" s="24">
        <v>298.09000000000003</v>
      </c>
      <c r="R1030" s="24">
        <f>O1030-Q1030</f>
        <v>184.53999999999991</v>
      </c>
      <c r="S1030" s="53">
        <f>IF(O1030&lt;&gt;0,R1030/O1030,"")</f>
        <v>0.38236330107950173</v>
      </c>
      <c r="T1030" s="10"/>
      <c r="U1030" s="23">
        <v>0</v>
      </c>
      <c r="V1030" s="25">
        <v>0</v>
      </c>
      <c r="W1030" s="24">
        <v>0</v>
      </c>
      <c r="X1030" s="24">
        <f>U1030-W1030</f>
        <v>0</v>
      </c>
      <c r="Y1030" s="53" t="str">
        <f>IF(U1030&lt;&gt;0,X1030/U1030,"")</f>
        <v/>
      </c>
      <c r="Z1030" s="23">
        <v>3.35</v>
      </c>
      <c r="AA1030" s="25">
        <v>1</v>
      </c>
      <c r="AB1030" s="24">
        <v>2.0699999999999998</v>
      </c>
      <c r="AC1030" s="24">
        <f t="shared" si="323"/>
        <v>1.2800000000000002</v>
      </c>
      <c r="AD1030" s="53">
        <f t="shared" si="324"/>
        <v>0.38208955223880603</v>
      </c>
      <c r="AE1030" s="10"/>
    </row>
    <row r="1031" spans="1:31" x14ac:dyDescent="0.25">
      <c r="A1031" s="14" t="s">
        <v>109</v>
      </c>
      <c r="C1031" s="61" t="str">
        <f t="shared" si="322"/>
        <v>C100072</v>
      </c>
      <c r="F1031" s="8" t="str">
        <f>"C100030"</f>
        <v>C100030</v>
      </c>
      <c r="G1031" s="9" t="str">
        <f>"Fashion Visor"</f>
        <v>Fashion Visor</v>
      </c>
      <c r="H1031" s="47"/>
      <c r="I1031" s="47"/>
      <c r="J1031" s="23">
        <v>4.29</v>
      </c>
      <c r="K1031" s="25">
        <v>1</v>
      </c>
      <c r="L1031" s="24">
        <v>2.42</v>
      </c>
      <c r="M1031" s="24">
        <f>J1031-L1031</f>
        <v>1.87</v>
      </c>
      <c r="N1031" s="53">
        <f>IF(J1031&lt;&gt;0,M1031/J1031,"")</f>
        <v>0.4358974358974359</v>
      </c>
      <c r="O1031" s="23">
        <v>622.4</v>
      </c>
      <c r="P1031" s="25">
        <v>145</v>
      </c>
      <c r="Q1031" s="24">
        <v>350.91</v>
      </c>
      <c r="R1031" s="24">
        <f>O1031-Q1031</f>
        <v>271.48999999999995</v>
      </c>
      <c r="S1031" s="53">
        <f>IF(O1031&lt;&gt;0,R1031/O1031,"")</f>
        <v>0.43619858611825185</v>
      </c>
      <c r="T1031" s="10"/>
      <c r="U1031" s="23">
        <v>622.4</v>
      </c>
      <c r="V1031" s="25">
        <v>145</v>
      </c>
      <c r="W1031" s="24">
        <v>350.91</v>
      </c>
      <c r="X1031" s="24">
        <f>U1031-W1031</f>
        <v>271.48999999999995</v>
      </c>
      <c r="Y1031" s="53">
        <f>IF(U1031&lt;&gt;0,X1031/U1031,"")</f>
        <v>0.43619858611825185</v>
      </c>
      <c r="Z1031" s="23">
        <v>0</v>
      </c>
      <c r="AA1031" s="25">
        <v>0</v>
      </c>
      <c r="AB1031" s="24">
        <v>0</v>
      </c>
      <c r="AC1031" s="24">
        <f t="shared" si="323"/>
        <v>0</v>
      </c>
      <c r="AD1031" s="53" t="str">
        <f t="shared" si="324"/>
        <v/>
      </c>
      <c r="AE1031" s="10"/>
    </row>
    <row r="1032" spans="1:31" x14ac:dyDescent="0.25">
      <c r="A1032" s="14" t="s">
        <v>109</v>
      </c>
      <c r="C1032" s="61" t="str">
        <f t="shared" si="322"/>
        <v>C100072</v>
      </c>
      <c r="F1032" s="8" t="str">
        <f>"C100032"</f>
        <v>C100032</v>
      </c>
      <c r="G1032" s="9" t="str">
        <f>"Clip-on Clock"</f>
        <v>Clip-on Clock</v>
      </c>
      <c r="H1032" s="47"/>
      <c r="I1032" s="47"/>
      <c r="J1032" s="23">
        <v>0</v>
      </c>
      <c r="K1032" s="25">
        <v>0</v>
      </c>
      <c r="L1032" s="24">
        <v>0</v>
      </c>
      <c r="M1032" s="24">
        <f>J1032-L1032</f>
        <v>0</v>
      </c>
      <c r="N1032" s="53" t="str">
        <f>IF(J1032&lt;&gt;0,M1032/J1032,"")</f>
        <v/>
      </c>
      <c r="O1032" s="23">
        <v>1170.8999999999999</v>
      </c>
      <c r="P1032" s="25">
        <v>145</v>
      </c>
      <c r="Q1032" s="24">
        <v>603.21</v>
      </c>
      <c r="R1032" s="24">
        <f>O1032-Q1032</f>
        <v>567.68999999999983</v>
      </c>
      <c r="S1032" s="53">
        <f>IF(O1032&lt;&gt;0,R1032/O1032,"")</f>
        <v>0.48483218037407111</v>
      </c>
      <c r="T1032" s="10"/>
      <c r="U1032" s="23">
        <v>0</v>
      </c>
      <c r="V1032" s="25">
        <v>0</v>
      </c>
      <c r="W1032" s="24">
        <v>0</v>
      </c>
      <c r="X1032" s="24">
        <f>U1032-W1032</f>
        <v>0</v>
      </c>
      <c r="Y1032" s="53" t="str">
        <f>IF(U1032&lt;&gt;0,X1032/U1032,"")</f>
        <v/>
      </c>
      <c r="Z1032" s="23">
        <v>0</v>
      </c>
      <c r="AA1032" s="25">
        <v>0</v>
      </c>
      <c r="AB1032" s="24">
        <v>0</v>
      </c>
      <c r="AC1032" s="24">
        <f t="shared" si="323"/>
        <v>0</v>
      </c>
      <c r="AD1032" s="53" t="str">
        <f t="shared" si="324"/>
        <v/>
      </c>
      <c r="AE1032" s="10"/>
    </row>
    <row r="1033" spans="1:31" x14ac:dyDescent="0.25">
      <c r="A1033" s="14" t="s">
        <v>109</v>
      </c>
      <c r="C1033" s="61" t="str">
        <f t="shared" si="322"/>
        <v>C100072</v>
      </c>
      <c r="F1033" s="8" t="str">
        <f>"E100001"</f>
        <v>E100001</v>
      </c>
      <c r="G1033" s="9" t="str">
        <f>"Sport Bag"</f>
        <v>Sport Bag</v>
      </c>
      <c r="H1033" s="47"/>
      <c r="I1033" s="47"/>
      <c r="J1033" s="23">
        <v>512.63</v>
      </c>
      <c r="K1033" s="25">
        <v>289</v>
      </c>
      <c r="L1033" s="24">
        <v>251.43</v>
      </c>
      <c r="M1033" s="24">
        <f>J1033-L1033</f>
        <v>261.2</v>
      </c>
      <c r="N1033" s="53">
        <f>IF(J1033&lt;&gt;0,M1033/J1033,"")</f>
        <v>0.50952929013128379</v>
      </c>
      <c r="O1033" s="23">
        <v>510.86</v>
      </c>
      <c r="P1033" s="25">
        <v>288</v>
      </c>
      <c r="Q1033" s="24">
        <v>250.56</v>
      </c>
      <c r="R1033" s="24">
        <f>O1033-Q1033</f>
        <v>260.3</v>
      </c>
      <c r="S1033" s="53">
        <f>IF(O1033&lt;&gt;0,R1033/O1033,"")</f>
        <v>0.50953294444661945</v>
      </c>
      <c r="T1033" s="10"/>
      <c r="U1033" s="23">
        <v>0</v>
      </c>
      <c r="V1033" s="25">
        <v>0</v>
      </c>
      <c r="W1033" s="24">
        <v>0</v>
      </c>
      <c r="X1033" s="24">
        <f>U1033-W1033</f>
        <v>0</v>
      </c>
      <c r="Y1033" s="53" t="str">
        <f>IF(U1033&lt;&gt;0,X1033/U1033,"")</f>
        <v/>
      </c>
      <c r="Z1033" s="23">
        <v>1.77</v>
      </c>
      <c r="AA1033" s="25">
        <v>1</v>
      </c>
      <c r="AB1033" s="24">
        <v>0.87</v>
      </c>
      <c r="AC1033" s="24">
        <f t="shared" si="323"/>
        <v>0.9</v>
      </c>
      <c r="AD1033" s="53">
        <f t="shared" si="324"/>
        <v>0.50847457627118642</v>
      </c>
      <c r="AE1033" s="10"/>
    </row>
    <row r="1034" spans="1:31" x14ac:dyDescent="0.25">
      <c r="A1034" s="14" t="s">
        <v>109</v>
      </c>
      <c r="C1034" s="61" t="str">
        <f t="shared" si="322"/>
        <v>C100072</v>
      </c>
      <c r="F1034" s="8" t="str">
        <f>"E100011"</f>
        <v>E100011</v>
      </c>
      <c r="G1034" s="9" t="str">
        <f>"Plastic Sun Visor"</f>
        <v>Plastic Sun Visor</v>
      </c>
      <c r="H1034" s="47"/>
      <c r="I1034" s="47"/>
      <c r="J1034" s="23">
        <v>114.31</v>
      </c>
      <c r="K1034" s="25">
        <v>144</v>
      </c>
      <c r="L1034" s="24">
        <v>60.470000000000006</v>
      </c>
      <c r="M1034" s="24">
        <f>J1034-L1034</f>
        <v>53.839999999999996</v>
      </c>
      <c r="N1034" s="53">
        <f>IF(J1034&lt;&gt;0,M1034/J1034,"")</f>
        <v>0.47099991251858975</v>
      </c>
      <c r="O1034" s="23">
        <v>1.58</v>
      </c>
      <c r="P1034" s="25">
        <v>2</v>
      </c>
      <c r="Q1034" s="24">
        <v>0.84</v>
      </c>
      <c r="R1034" s="24">
        <f>O1034-Q1034</f>
        <v>0.7400000000000001</v>
      </c>
      <c r="S1034" s="53">
        <f>IF(O1034&lt;&gt;0,R1034/O1034,"")</f>
        <v>0.46835443037974689</v>
      </c>
      <c r="T1034" s="10"/>
      <c r="U1034" s="23">
        <v>114.31</v>
      </c>
      <c r="V1034" s="25">
        <v>144</v>
      </c>
      <c r="W1034" s="24">
        <v>60.470000000000006</v>
      </c>
      <c r="X1034" s="24">
        <f>U1034-W1034</f>
        <v>53.839999999999996</v>
      </c>
      <c r="Y1034" s="53">
        <f>IF(U1034&lt;&gt;0,X1034/U1034,"")</f>
        <v>0.47099991251858975</v>
      </c>
      <c r="Z1034" s="23">
        <v>0</v>
      </c>
      <c r="AA1034" s="25">
        <v>0</v>
      </c>
      <c r="AB1034" s="24">
        <v>0</v>
      </c>
      <c r="AC1034" s="24">
        <f t="shared" si="323"/>
        <v>0</v>
      </c>
      <c r="AD1034" s="53" t="str">
        <f t="shared" si="324"/>
        <v/>
      </c>
      <c r="AE1034" s="10"/>
    </row>
    <row r="1035" spans="1:31" x14ac:dyDescent="0.25">
      <c r="A1035" s="14" t="s">
        <v>109</v>
      </c>
      <c r="C1035" s="61" t="str">
        <f t="shared" si="322"/>
        <v>C100072</v>
      </c>
      <c r="F1035" s="8" t="str">
        <f>"E100012"</f>
        <v>E100012</v>
      </c>
      <c r="G1035" s="9" t="str">
        <f>"Canvas Stopwatch"</f>
        <v>Canvas Stopwatch</v>
      </c>
      <c r="H1035" s="47"/>
      <c r="I1035" s="47"/>
      <c r="J1035" s="23">
        <v>522.14</v>
      </c>
      <c r="K1035" s="25">
        <v>144</v>
      </c>
      <c r="L1035" s="24">
        <v>282.22999999999996</v>
      </c>
      <c r="M1035" s="24">
        <f>J1035-L1035</f>
        <v>239.91000000000003</v>
      </c>
      <c r="N1035" s="53">
        <f>IF(J1035&lt;&gt;0,M1035/J1035,"")</f>
        <v>0.45947447044853879</v>
      </c>
      <c r="O1035" s="23">
        <v>1047.9100000000001</v>
      </c>
      <c r="P1035" s="25">
        <v>289</v>
      </c>
      <c r="Q1035" s="24">
        <v>566.42000000000007</v>
      </c>
      <c r="R1035" s="24">
        <f>O1035-Q1035</f>
        <v>481.49</v>
      </c>
      <c r="S1035" s="53">
        <f>IF(O1035&lt;&gt;0,R1035/O1035,"")</f>
        <v>0.45947648175892963</v>
      </c>
      <c r="T1035" s="10"/>
      <c r="U1035" s="23">
        <v>0</v>
      </c>
      <c r="V1035" s="25">
        <v>0</v>
      </c>
      <c r="W1035" s="24">
        <v>0</v>
      </c>
      <c r="X1035" s="24">
        <f>U1035-W1035</f>
        <v>0</v>
      </c>
      <c r="Y1035" s="53" t="str">
        <f>IF(U1035&lt;&gt;0,X1035/U1035,"")</f>
        <v/>
      </c>
      <c r="Z1035" s="23">
        <v>0</v>
      </c>
      <c r="AA1035" s="25">
        <v>0</v>
      </c>
      <c r="AB1035" s="24">
        <v>0</v>
      </c>
      <c r="AC1035" s="24">
        <f t="shared" si="323"/>
        <v>0</v>
      </c>
      <c r="AD1035" s="53" t="str">
        <f t="shared" si="324"/>
        <v/>
      </c>
      <c r="AE1035" s="10"/>
    </row>
    <row r="1036" spans="1:31" x14ac:dyDescent="0.25">
      <c r="A1036" s="14" t="s">
        <v>109</v>
      </c>
      <c r="C1036" s="61" t="str">
        <f t="shared" si="322"/>
        <v>C100072</v>
      </c>
      <c r="F1036" s="8" t="str">
        <f>"E100013"</f>
        <v>E100013</v>
      </c>
      <c r="G1036" s="9" t="str">
        <f>"Clip-on Stopwatch"</f>
        <v>Clip-on Stopwatch</v>
      </c>
      <c r="H1036" s="47"/>
      <c r="I1036" s="47"/>
      <c r="J1036" s="23">
        <v>0</v>
      </c>
      <c r="K1036" s="25">
        <v>0</v>
      </c>
      <c r="L1036" s="24">
        <v>0</v>
      </c>
      <c r="M1036" s="24">
        <f>J1036-L1036</f>
        <v>0</v>
      </c>
      <c r="N1036" s="53" t="str">
        <f>IF(J1036&lt;&gt;0,M1036/J1036,"")</f>
        <v/>
      </c>
      <c r="O1036" s="23">
        <v>129.83000000000001</v>
      </c>
      <c r="P1036" s="25">
        <v>48</v>
      </c>
      <c r="Q1036" s="24">
        <v>69.12</v>
      </c>
      <c r="R1036" s="24">
        <f>O1036-Q1036</f>
        <v>60.710000000000008</v>
      </c>
      <c r="S1036" s="53">
        <f>IF(O1036&lt;&gt;0,R1036/O1036,"")</f>
        <v>0.46761149195101287</v>
      </c>
      <c r="T1036" s="10"/>
      <c r="U1036" s="23">
        <v>0</v>
      </c>
      <c r="V1036" s="25">
        <v>0</v>
      </c>
      <c r="W1036" s="24">
        <v>0</v>
      </c>
      <c r="X1036" s="24">
        <f>U1036-W1036</f>
        <v>0</v>
      </c>
      <c r="Y1036" s="53" t="str">
        <f>IF(U1036&lt;&gt;0,X1036/U1036,"")</f>
        <v/>
      </c>
      <c r="Z1036" s="23">
        <v>0</v>
      </c>
      <c r="AA1036" s="25">
        <v>0</v>
      </c>
      <c r="AB1036" s="24">
        <v>0</v>
      </c>
      <c r="AC1036" s="24">
        <f t="shared" si="323"/>
        <v>0</v>
      </c>
      <c r="AD1036" s="53" t="str">
        <f t="shared" si="324"/>
        <v/>
      </c>
      <c r="AE1036" s="10"/>
    </row>
    <row r="1037" spans="1:31" x14ac:dyDescent="0.25">
      <c r="A1037" s="14" t="s">
        <v>109</v>
      </c>
      <c r="C1037" s="61" t="str">
        <f t="shared" si="322"/>
        <v>C100072</v>
      </c>
      <c r="F1037" s="8" t="str">
        <f>"E100014"</f>
        <v>E100014</v>
      </c>
      <c r="G1037" s="9" t="str">
        <f>"Stopwatch with Neck Rope"</f>
        <v>Stopwatch with Neck Rope</v>
      </c>
      <c r="H1037" s="47"/>
      <c r="I1037" s="47"/>
      <c r="J1037" s="23">
        <v>132.05000000000001</v>
      </c>
      <c r="K1037" s="25">
        <v>49</v>
      </c>
      <c r="L1037" s="24">
        <v>63.21</v>
      </c>
      <c r="M1037" s="24">
        <f>J1037-L1037</f>
        <v>68.84</v>
      </c>
      <c r="N1037" s="53">
        <f>IF(J1037&lt;&gt;0,M1037/J1037,"")</f>
        <v>0.52131768269594847</v>
      </c>
      <c r="O1037" s="23">
        <v>388.08000000000004</v>
      </c>
      <c r="P1037" s="25">
        <v>144</v>
      </c>
      <c r="Q1037" s="24">
        <v>185.75</v>
      </c>
      <c r="R1037" s="24">
        <f>O1037-Q1037</f>
        <v>202.33000000000004</v>
      </c>
      <c r="S1037" s="53">
        <f>IF(O1037&lt;&gt;0,R1037/O1037,"")</f>
        <v>0.5213615749330035</v>
      </c>
      <c r="T1037" s="10"/>
      <c r="U1037" s="23">
        <v>0</v>
      </c>
      <c r="V1037" s="25">
        <v>0</v>
      </c>
      <c r="W1037" s="24">
        <v>0</v>
      </c>
      <c r="X1037" s="24">
        <f>U1037-W1037</f>
        <v>0</v>
      </c>
      <c r="Y1037" s="53" t="str">
        <f>IF(U1037&lt;&gt;0,X1037/U1037,"")</f>
        <v/>
      </c>
      <c r="Z1037" s="23">
        <v>0</v>
      </c>
      <c r="AA1037" s="25">
        <v>0</v>
      </c>
      <c r="AB1037" s="24">
        <v>0</v>
      </c>
      <c r="AC1037" s="24">
        <f t="shared" si="323"/>
        <v>0</v>
      </c>
      <c r="AD1037" s="53" t="str">
        <f t="shared" si="324"/>
        <v/>
      </c>
      <c r="AE1037" s="10"/>
    </row>
    <row r="1038" spans="1:31" x14ac:dyDescent="0.25">
      <c r="A1038" s="14" t="s">
        <v>109</v>
      </c>
      <c r="C1038" s="61" t="str">
        <f t="shared" si="322"/>
        <v>C100072</v>
      </c>
      <c r="F1038" s="8" t="str">
        <f>"E100015"</f>
        <v>E100015</v>
      </c>
      <c r="G1038" s="9" t="str">
        <f>"360 Clip Watch"</f>
        <v>360 Clip Watch</v>
      </c>
      <c r="H1038" s="47"/>
      <c r="I1038" s="47"/>
      <c r="J1038" s="23">
        <v>0</v>
      </c>
      <c r="K1038" s="25">
        <v>0</v>
      </c>
      <c r="L1038" s="24">
        <v>0</v>
      </c>
      <c r="M1038" s="24">
        <f>J1038-L1038</f>
        <v>0</v>
      </c>
      <c r="N1038" s="53" t="str">
        <f>IF(J1038&lt;&gt;0,M1038/J1038,"")</f>
        <v/>
      </c>
      <c r="O1038" s="23">
        <v>404.54999999999995</v>
      </c>
      <c r="P1038" s="25">
        <v>192</v>
      </c>
      <c r="Q1038" s="24">
        <v>195.84</v>
      </c>
      <c r="R1038" s="24">
        <f>O1038-Q1038</f>
        <v>208.70999999999995</v>
      </c>
      <c r="S1038" s="53">
        <f>IF(O1038&lt;&gt;0,R1038/O1038,"")</f>
        <v>0.51590656284760839</v>
      </c>
      <c r="T1038" s="10"/>
      <c r="U1038" s="23">
        <v>0</v>
      </c>
      <c r="V1038" s="25">
        <v>0</v>
      </c>
      <c r="W1038" s="24">
        <v>0</v>
      </c>
      <c r="X1038" s="24">
        <f>U1038-W1038</f>
        <v>0</v>
      </c>
      <c r="Y1038" s="53" t="str">
        <f>IF(U1038&lt;&gt;0,X1038/U1038,"")</f>
        <v/>
      </c>
      <c r="Z1038" s="23">
        <v>0</v>
      </c>
      <c r="AA1038" s="25">
        <v>0</v>
      </c>
      <c r="AB1038" s="24">
        <v>0</v>
      </c>
      <c r="AC1038" s="24">
        <f t="shared" si="323"/>
        <v>0</v>
      </c>
      <c r="AD1038" s="53" t="str">
        <f t="shared" si="324"/>
        <v/>
      </c>
      <c r="AE1038" s="10"/>
    </row>
    <row r="1039" spans="1:31" x14ac:dyDescent="0.25">
      <c r="A1039" s="14" t="s">
        <v>109</v>
      </c>
      <c r="C1039" s="61" t="str">
        <f t="shared" si="322"/>
        <v>C100072</v>
      </c>
      <c r="F1039" s="8" t="str">
        <f>"E100017"</f>
        <v>E100017</v>
      </c>
      <c r="G1039" s="9" t="str">
        <f>"Clip-on Clock with Compass"</f>
        <v>Clip-on Clock with Compass</v>
      </c>
      <c r="H1039" s="47"/>
      <c r="I1039" s="47"/>
      <c r="J1039" s="23">
        <v>220.14999999999998</v>
      </c>
      <c r="K1039" s="25">
        <v>144</v>
      </c>
      <c r="L1039" s="24">
        <v>126.72</v>
      </c>
      <c r="M1039" s="24">
        <f>J1039-L1039</f>
        <v>93.429999999999978</v>
      </c>
      <c r="N1039" s="53">
        <f>IF(J1039&lt;&gt;0,M1039/J1039,"")</f>
        <v>0.42439245968657729</v>
      </c>
      <c r="O1039" s="23">
        <v>660.44</v>
      </c>
      <c r="P1039" s="25">
        <v>432</v>
      </c>
      <c r="Q1039" s="24">
        <v>380.15</v>
      </c>
      <c r="R1039" s="24">
        <f>O1039-Q1039</f>
        <v>280.29000000000008</v>
      </c>
      <c r="S1039" s="53">
        <f>IF(O1039&lt;&gt;0,R1039/O1039,"")</f>
        <v>0.42439888559142397</v>
      </c>
      <c r="T1039" s="10"/>
      <c r="U1039" s="23">
        <v>0</v>
      </c>
      <c r="V1039" s="25">
        <v>0</v>
      </c>
      <c r="W1039" s="24">
        <v>0</v>
      </c>
      <c r="X1039" s="24">
        <f>U1039-W1039</f>
        <v>0</v>
      </c>
      <c r="Y1039" s="53" t="str">
        <f>IF(U1039&lt;&gt;0,X1039/U1039,"")</f>
        <v/>
      </c>
      <c r="Z1039" s="23">
        <v>0</v>
      </c>
      <c r="AA1039" s="25">
        <v>0</v>
      </c>
      <c r="AB1039" s="24">
        <v>0</v>
      </c>
      <c r="AC1039" s="24">
        <f t="shared" si="323"/>
        <v>0</v>
      </c>
      <c r="AD1039" s="53" t="str">
        <f t="shared" si="324"/>
        <v/>
      </c>
      <c r="AE1039" s="10"/>
    </row>
    <row r="1040" spans="1:31" x14ac:dyDescent="0.25">
      <c r="A1040" s="14" t="s">
        <v>109</v>
      </c>
      <c r="C1040" s="61" t="str">
        <f t="shared" si="322"/>
        <v>C100072</v>
      </c>
      <c r="F1040" s="8" t="str">
        <f>"E100018"</f>
        <v>E100018</v>
      </c>
      <c r="G1040" s="9" t="str">
        <f>"Flexi-Clock &amp; Clip"</f>
        <v>Flexi-Clock &amp; Clip</v>
      </c>
      <c r="H1040" s="47"/>
      <c r="I1040" s="47"/>
      <c r="J1040" s="23">
        <v>186.05</v>
      </c>
      <c r="K1040" s="25">
        <v>168</v>
      </c>
      <c r="L1040" s="24">
        <v>100.79</v>
      </c>
      <c r="M1040" s="24">
        <f>J1040-L1040</f>
        <v>85.26</v>
      </c>
      <c r="N1040" s="53">
        <f>IF(J1040&lt;&gt;0,M1040/J1040,"")</f>
        <v>0.45826390755173341</v>
      </c>
      <c r="O1040" s="23">
        <v>7.75</v>
      </c>
      <c r="P1040" s="25">
        <v>7</v>
      </c>
      <c r="Q1040" s="24">
        <v>4.2</v>
      </c>
      <c r="R1040" s="24">
        <f>O1040-Q1040</f>
        <v>3.55</v>
      </c>
      <c r="S1040" s="53">
        <f>IF(O1040&lt;&gt;0,R1040/O1040,"")</f>
        <v>0.45806451612903226</v>
      </c>
      <c r="T1040" s="10"/>
      <c r="U1040" s="23">
        <v>0</v>
      </c>
      <c r="V1040" s="25">
        <v>0</v>
      </c>
      <c r="W1040" s="24">
        <v>0</v>
      </c>
      <c r="X1040" s="24">
        <f>U1040-W1040</f>
        <v>0</v>
      </c>
      <c r="Y1040" s="53" t="str">
        <f>IF(U1040&lt;&gt;0,X1040/U1040,"")</f>
        <v/>
      </c>
      <c r="Z1040" s="23">
        <v>0</v>
      </c>
      <c r="AA1040" s="25">
        <v>0</v>
      </c>
      <c r="AB1040" s="24">
        <v>0</v>
      </c>
      <c r="AC1040" s="24">
        <f t="shared" si="323"/>
        <v>0</v>
      </c>
      <c r="AD1040" s="53" t="str">
        <f t="shared" si="324"/>
        <v/>
      </c>
      <c r="AE1040" s="10"/>
    </row>
    <row r="1041" spans="1:31" x14ac:dyDescent="0.25">
      <c r="A1041" s="14" t="s">
        <v>109</v>
      </c>
      <c r="C1041" s="61" t="str">
        <f t="shared" si="322"/>
        <v>C100072</v>
      </c>
      <c r="F1041" s="8" t="str">
        <f>"S100001"</f>
        <v>S100001</v>
      </c>
      <c r="G1041" s="9" t="str">
        <f>"Basketball Graphic Plaque"</f>
        <v>Basketball Graphic Plaque</v>
      </c>
      <c r="H1041" s="47"/>
      <c r="I1041" s="47"/>
      <c r="J1041" s="23">
        <v>0</v>
      </c>
      <c r="K1041" s="25">
        <v>0</v>
      </c>
      <c r="L1041" s="24">
        <v>0</v>
      </c>
      <c r="M1041" s="24">
        <f>J1041-L1041</f>
        <v>0</v>
      </c>
      <c r="N1041" s="53" t="str">
        <f>IF(J1041&lt;&gt;0,M1041/J1041,"")</f>
        <v/>
      </c>
      <c r="O1041" s="23">
        <v>7087.05</v>
      </c>
      <c r="P1041" s="25">
        <v>432</v>
      </c>
      <c r="Q1041" s="24">
        <v>3931.2000000000003</v>
      </c>
      <c r="R1041" s="24">
        <f>O1041-Q1041</f>
        <v>3155.85</v>
      </c>
      <c r="S1041" s="53">
        <f>IF(O1041&lt;&gt;0,R1041/O1041,"")</f>
        <v>0.44529811416597875</v>
      </c>
      <c r="T1041" s="10"/>
      <c r="U1041" s="23">
        <v>0</v>
      </c>
      <c r="V1041" s="25">
        <v>0</v>
      </c>
      <c r="W1041" s="24">
        <v>0</v>
      </c>
      <c r="X1041" s="24">
        <f>U1041-W1041</f>
        <v>0</v>
      </c>
      <c r="Y1041" s="53" t="str">
        <f>IF(U1041&lt;&gt;0,X1041/U1041,"")</f>
        <v/>
      </c>
      <c r="Z1041" s="23">
        <v>2362.35</v>
      </c>
      <c r="AA1041" s="25">
        <v>144</v>
      </c>
      <c r="AB1041" s="24">
        <v>1310.4000000000001</v>
      </c>
      <c r="AC1041" s="24">
        <f t="shared" si="323"/>
        <v>1051.9499999999998</v>
      </c>
      <c r="AD1041" s="53">
        <f t="shared" si="324"/>
        <v>0.44529811416597875</v>
      </c>
      <c r="AE1041" s="10"/>
    </row>
    <row r="1042" spans="1:31" x14ac:dyDescent="0.25">
      <c r="A1042" s="14" t="s">
        <v>109</v>
      </c>
      <c r="C1042" s="61" t="str">
        <f t="shared" si="322"/>
        <v>C100072</v>
      </c>
      <c r="F1042" s="8" t="str">
        <f>"S100002"</f>
        <v>S100002</v>
      </c>
      <c r="G1042" s="9" t="str">
        <f>"Football Graphic Plaque"</f>
        <v>Football Graphic Plaque</v>
      </c>
      <c r="H1042" s="47"/>
      <c r="I1042" s="47"/>
      <c r="J1042" s="23">
        <v>1163.3</v>
      </c>
      <c r="K1042" s="25">
        <v>48</v>
      </c>
      <c r="L1042" s="24">
        <v>570.72</v>
      </c>
      <c r="M1042" s="24">
        <f>J1042-L1042</f>
        <v>592.57999999999993</v>
      </c>
      <c r="N1042" s="53">
        <f>IF(J1042&lt;&gt;0,M1042/J1042,"")</f>
        <v>0.50939568469010565</v>
      </c>
      <c r="O1042" s="23">
        <v>0</v>
      </c>
      <c r="P1042" s="25">
        <v>0</v>
      </c>
      <c r="Q1042" s="24">
        <v>0</v>
      </c>
      <c r="R1042" s="24">
        <f>O1042-Q1042</f>
        <v>0</v>
      </c>
      <c r="S1042" s="53" t="str">
        <f>IF(O1042&lt;&gt;0,R1042/O1042,"")</f>
        <v/>
      </c>
      <c r="T1042" s="10"/>
      <c r="U1042" s="23">
        <v>0</v>
      </c>
      <c r="V1042" s="25">
        <v>0</v>
      </c>
      <c r="W1042" s="24">
        <v>0</v>
      </c>
      <c r="X1042" s="24">
        <f>U1042-W1042</f>
        <v>0</v>
      </c>
      <c r="Y1042" s="53" t="str">
        <f>IF(U1042&lt;&gt;0,X1042/U1042,"")</f>
        <v/>
      </c>
      <c r="Z1042" s="23">
        <v>0</v>
      </c>
      <c r="AA1042" s="25">
        <v>0</v>
      </c>
      <c r="AB1042" s="24">
        <v>0</v>
      </c>
      <c r="AC1042" s="24">
        <f t="shared" si="323"/>
        <v>0</v>
      </c>
      <c r="AD1042" s="53" t="str">
        <f t="shared" si="324"/>
        <v/>
      </c>
      <c r="AE1042" s="10"/>
    </row>
    <row r="1043" spans="1:31" x14ac:dyDescent="0.25">
      <c r="A1043" s="14" t="s">
        <v>109</v>
      </c>
      <c r="C1043" s="61" t="str">
        <f t="shared" si="322"/>
        <v>C100072</v>
      </c>
      <c r="F1043" s="8" t="str">
        <f>"S100003"</f>
        <v>S100003</v>
      </c>
      <c r="G1043" s="9" t="str">
        <f>"Soccer #1 Pin"</f>
        <v>Soccer #1 Pin</v>
      </c>
      <c r="H1043" s="47"/>
      <c r="I1043" s="47"/>
      <c r="J1043" s="23">
        <v>10.29</v>
      </c>
      <c r="K1043" s="25">
        <v>7</v>
      </c>
      <c r="L1043" s="24">
        <v>6.3</v>
      </c>
      <c r="M1043" s="24">
        <f>J1043-L1043</f>
        <v>3.9899999999999993</v>
      </c>
      <c r="N1043" s="53">
        <f>IF(J1043&lt;&gt;0,M1043/J1043,"")</f>
        <v>0.38775510204081631</v>
      </c>
      <c r="O1043" s="23">
        <v>213.15</v>
      </c>
      <c r="P1043" s="25">
        <v>145</v>
      </c>
      <c r="Q1043" s="24">
        <v>130.5</v>
      </c>
      <c r="R1043" s="24">
        <f>O1043-Q1043</f>
        <v>82.65</v>
      </c>
      <c r="S1043" s="53">
        <f>IF(O1043&lt;&gt;0,R1043/O1043,"")</f>
        <v>0.38775510204081637</v>
      </c>
      <c r="T1043" s="10"/>
      <c r="U1043" s="23">
        <v>211.68</v>
      </c>
      <c r="V1043" s="25">
        <v>144</v>
      </c>
      <c r="W1043" s="24">
        <v>129.6</v>
      </c>
      <c r="X1043" s="24">
        <f>U1043-W1043</f>
        <v>82.080000000000013</v>
      </c>
      <c r="Y1043" s="53">
        <f>IF(U1043&lt;&gt;0,X1043/U1043,"")</f>
        <v>0.38775510204081637</v>
      </c>
      <c r="Z1043" s="23">
        <v>0</v>
      </c>
      <c r="AA1043" s="25">
        <v>0</v>
      </c>
      <c r="AB1043" s="24">
        <v>0</v>
      </c>
      <c r="AC1043" s="24">
        <f t="shared" si="323"/>
        <v>0</v>
      </c>
      <c r="AD1043" s="53" t="str">
        <f t="shared" si="324"/>
        <v/>
      </c>
      <c r="AE1043" s="10"/>
    </row>
    <row r="1044" spans="1:31" x14ac:dyDescent="0.25">
      <c r="A1044" s="14" t="s">
        <v>109</v>
      </c>
      <c r="C1044" s="61" t="str">
        <f t="shared" si="322"/>
        <v>C100072</v>
      </c>
      <c r="F1044" s="8" t="str">
        <f>"S100004"</f>
        <v>S100004</v>
      </c>
      <c r="G1044" s="9" t="str">
        <f>"Award Medallian - 2''"</f>
        <v>Award Medallian - 2''</v>
      </c>
      <c r="H1044" s="47"/>
      <c r="I1044" s="47"/>
      <c r="J1044" s="23">
        <v>1995.4399999999998</v>
      </c>
      <c r="K1044" s="25">
        <v>144</v>
      </c>
      <c r="L1044" s="24">
        <v>960.48</v>
      </c>
      <c r="M1044" s="24">
        <f>J1044-L1044</f>
        <v>1034.9599999999998</v>
      </c>
      <c r="N1044" s="53">
        <f>IF(J1044&lt;&gt;0,M1044/J1044,"")</f>
        <v>0.51866255061540312</v>
      </c>
      <c r="O1044" s="23">
        <v>3990.8700000000003</v>
      </c>
      <c r="P1044" s="25">
        <v>288</v>
      </c>
      <c r="Q1044" s="24">
        <v>1920.96</v>
      </c>
      <c r="R1044" s="24">
        <f>O1044-Q1044</f>
        <v>2069.9100000000003</v>
      </c>
      <c r="S1044" s="53">
        <f>IF(O1044&lt;&gt;0,R1044/O1044,"")</f>
        <v>0.51866134451886436</v>
      </c>
      <c r="T1044" s="10"/>
      <c r="U1044" s="23">
        <v>1995.4399999999998</v>
      </c>
      <c r="V1044" s="25">
        <v>144</v>
      </c>
      <c r="W1044" s="24">
        <v>960.48</v>
      </c>
      <c r="X1044" s="24">
        <f>U1044-W1044</f>
        <v>1034.9599999999998</v>
      </c>
      <c r="Y1044" s="53">
        <f>IF(U1044&lt;&gt;0,X1044/U1044,"")</f>
        <v>0.51866255061540312</v>
      </c>
      <c r="Z1044" s="23">
        <v>1995.4399999999998</v>
      </c>
      <c r="AA1044" s="25">
        <v>144</v>
      </c>
      <c r="AB1044" s="24">
        <v>960.48</v>
      </c>
      <c r="AC1044" s="24">
        <f t="shared" si="323"/>
        <v>1034.9599999999998</v>
      </c>
      <c r="AD1044" s="53">
        <f t="shared" si="324"/>
        <v>0.51866255061540312</v>
      </c>
      <c r="AE1044" s="10"/>
    </row>
    <row r="1045" spans="1:31" x14ac:dyDescent="0.25">
      <c r="A1045" s="14" t="s">
        <v>109</v>
      </c>
      <c r="C1045" s="61" t="str">
        <f t="shared" si="322"/>
        <v>C100072</v>
      </c>
      <c r="F1045" s="8" t="str">
        <f>"S100005"</f>
        <v>S100005</v>
      </c>
      <c r="G1045" s="9" t="str">
        <f>"Award Medallian - 2.5''"</f>
        <v>Award Medallian - 2.5''</v>
      </c>
      <c r="H1045" s="47"/>
      <c r="I1045" s="47"/>
      <c r="J1045" s="23">
        <v>1232.01</v>
      </c>
      <c r="K1045" s="25">
        <v>145</v>
      </c>
      <c r="L1045" s="24">
        <v>756.91000000000008</v>
      </c>
      <c r="M1045" s="24">
        <f>J1045-L1045</f>
        <v>475.09999999999991</v>
      </c>
      <c r="N1045" s="53">
        <f>IF(J1045&lt;&gt;0,M1045/J1045,"")</f>
        <v>0.38562998676958782</v>
      </c>
      <c r="O1045" s="23">
        <v>1223.51</v>
      </c>
      <c r="P1045" s="25">
        <v>144</v>
      </c>
      <c r="Q1045" s="24">
        <v>751.69</v>
      </c>
      <c r="R1045" s="24">
        <f>O1045-Q1045</f>
        <v>471.81999999999994</v>
      </c>
      <c r="S1045" s="53">
        <f>IF(O1045&lt;&gt;0,R1045/O1045,"")</f>
        <v>0.38562823352485875</v>
      </c>
      <c r="T1045" s="10"/>
      <c r="U1045" s="23">
        <v>0</v>
      </c>
      <c r="V1045" s="25">
        <v>0</v>
      </c>
      <c r="W1045" s="24">
        <v>0</v>
      </c>
      <c r="X1045" s="24">
        <f>U1045-W1045</f>
        <v>0</v>
      </c>
      <c r="Y1045" s="53" t="str">
        <f>IF(U1045&lt;&gt;0,X1045/U1045,"")</f>
        <v/>
      </c>
      <c r="Z1045" s="23">
        <v>1223.51</v>
      </c>
      <c r="AA1045" s="25">
        <v>144</v>
      </c>
      <c r="AB1045" s="24">
        <v>751.69</v>
      </c>
      <c r="AC1045" s="24">
        <f t="shared" si="323"/>
        <v>471.81999999999994</v>
      </c>
      <c r="AD1045" s="53">
        <f t="shared" si="324"/>
        <v>0.38562823352485875</v>
      </c>
      <c r="AE1045" s="10"/>
    </row>
    <row r="1046" spans="1:31" x14ac:dyDescent="0.25">
      <c r="A1046" s="14" t="s">
        <v>109</v>
      </c>
      <c r="C1046" s="61" t="str">
        <f t="shared" si="322"/>
        <v>C100072</v>
      </c>
      <c r="F1046" s="8" t="str">
        <f>"S100006"</f>
        <v>S100006</v>
      </c>
      <c r="G1046" s="9" t="str">
        <f>"Award Medallian - 3''"</f>
        <v>Award Medallian - 3''</v>
      </c>
      <c r="H1046" s="47"/>
      <c r="I1046" s="47"/>
      <c r="J1046" s="23">
        <v>3217.54</v>
      </c>
      <c r="K1046" s="25">
        <v>288</v>
      </c>
      <c r="L1046" s="24">
        <v>2131.1800000000003</v>
      </c>
      <c r="M1046" s="24">
        <f>J1046-L1046</f>
        <v>1086.3599999999997</v>
      </c>
      <c r="N1046" s="53">
        <f>IF(J1046&lt;&gt;0,M1046/J1046,"")</f>
        <v>0.33763682813578066</v>
      </c>
      <c r="O1046" s="23">
        <v>603.29</v>
      </c>
      <c r="P1046" s="25">
        <v>54</v>
      </c>
      <c r="Q1046" s="24">
        <v>399.6</v>
      </c>
      <c r="R1046" s="24">
        <f>O1046-Q1046</f>
        <v>203.68999999999994</v>
      </c>
      <c r="S1046" s="53">
        <f>IF(O1046&lt;&gt;0,R1046/O1046,"")</f>
        <v>0.33763198461767963</v>
      </c>
      <c r="T1046" s="10"/>
      <c r="U1046" s="23">
        <v>1608.77</v>
      </c>
      <c r="V1046" s="25">
        <v>144</v>
      </c>
      <c r="W1046" s="24">
        <v>1065.5900000000001</v>
      </c>
      <c r="X1046" s="24">
        <f>U1046-W1046</f>
        <v>543.17999999999984</v>
      </c>
      <c r="Y1046" s="53">
        <f>IF(U1046&lt;&gt;0,X1046/U1046,"")</f>
        <v>0.33763682813578066</v>
      </c>
      <c r="Z1046" s="23">
        <v>0</v>
      </c>
      <c r="AA1046" s="25">
        <v>0</v>
      </c>
      <c r="AB1046" s="24">
        <v>0</v>
      </c>
      <c r="AC1046" s="24">
        <f t="shared" si="323"/>
        <v>0</v>
      </c>
      <c r="AD1046" s="53" t="str">
        <f t="shared" si="324"/>
        <v/>
      </c>
      <c r="AE1046" s="10"/>
    </row>
    <row r="1047" spans="1:31" x14ac:dyDescent="0.25">
      <c r="A1047" s="14" t="s">
        <v>109</v>
      </c>
      <c r="C1047" s="61" t="str">
        <f t="shared" si="322"/>
        <v>C100072</v>
      </c>
      <c r="F1047" s="8" t="str">
        <f>"S100008"</f>
        <v>S100008</v>
      </c>
      <c r="G1047" s="9" t="str">
        <f>"Soccer Figure Trophy"</f>
        <v>Soccer Figure Trophy</v>
      </c>
      <c r="H1047" s="47"/>
      <c r="I1047" s="47"/>
      <c r="J1047" s="23">
        <v>0</v>
      </c>
      <c r="K1047" s="25">
        <v>0</v>
      </c>
      <c r="L1047" s="24">
        <v>0</v>
      </c>
      <c r="M1047" s="24">
        <f>J1047-L1047</f>
        <v>0</v>
      </c>
      <c r="N1047" s="53" t="str">
        <f>IF(J1047&lt;&gt;0,M1047/J1047,"")</f>
        <v/>
      </c>
      <c r="O1047" s="23">
        <v>847.03</v>
      </c>
      <c r="P1047" s="25">
        <v>146</v>
      </c>
      <c r="Q1047" s="24">
        <v>537.28</v>
      </c>
      <c r="R1047" s="24">
        <f>O1047-Q1047</f>
        <v>309.75</v>
      </c>
      <c r="S1047" s="53">
        <f>IF(O1047&lt;&gt;0,R1047/O1047,"")</f>
        <v>0.36568952693529155</v>
      </c>
      <c r="T1047" s="10"/>
      <c r="U1047" s="23">
        <v>835.43</v>
      </c>
      <c r="V1047" s="25">
        <v>144</v>
      </c>
      <c r="W1047" s="24">
        <v>529.91999999999996</v>
      </c>
      <c r="X1047" s="24">
        <f>U1047-W1047</f>
        <v>305.51</v>
      </c>
      <c r="Y1047" s="53">
        <f>IF(U1047&lt;&gt;0,X1047/U1047,"")</f>
        <v>0.36569191913146526</v>
      </c>
      <c r="Z1047" s="23">
        <v>0</v>
      </c>
      <c r="AA1047" s="25">
        <v>0</v>
      </c>
      <c r="AB1047" s="24">
        <v>0</v>
      </c>
      <c r="AC1047" s="24">
        <f t="shared" si="323"/>
        <v>0</v>
      </c>
      <c r="AD1047" s="53" t="str">
        <f t="shared" si="324"/>
        <v/>
      </c>
      <c r="AE1047" s="10"/>
    </row>
    <row r="1048" spans="1:31" x14ac:dyDescent="0.25">
      <c r="A1048" s="14" t="s">
        <v>109</v>
      </c>
      <c r="C1048" s="61" t="str">
        <f t="shared" si="322"/>
        <v>C100072</v>
      </c>
      <c r="F1048" s="8" t="str">
        <f>"S100009"</f>
        <v>S100009</v>
      </c>
      <c r="G1048" s="9" t="str">
        <f>"Engraved Basketball Award"</f>
        <v>Engraved Basketball Award</v>
      </c>
      <c r="H1048" s="47"/>
      <c r="I1048" s="47"/>
      <c r="J1048" s="23">
        <v>0</v>
      </c>
      <c r="K1048" s="25">
        <v>0</v>
      </c>
      <c r="L1048" s="24">
        <v>0</v>
      </c>
      <c r="M1048" s="24">
        <f>J1048-L1048</f>
        <v>0</v>
      </c>
      <c r="N1048" s="53" t="str">
        <f>IF(J1048&lt;&gt;0,M1048/J1048,"")</f>
        <v/>
      </c>
      <c r="O1048" s="23">
        <v>14405.53</v>
      </c>
      <c r="P1048" s="25">
        <v>768</v>
      </c>
      <c r="Q1048" s="24">
        <v>6773.7099999999991</v>
      </c>
      <c r="R1048" s="24">
        <f>O1048-Q1048</f>
        <v>7631.8200000000015</v>
      </c>
      <c r="S1048" s="53">
        <f>IF(O1048&lt;&gt;0,R1048/O1048,"")</f>
        <v>0.52978404820926417</v>
      </c>
      <c r="T1048" s="10"/>
      <c r="U1048" s="23">
        <v>2719.79</v>
      </c>
      <c r="V1048" s="25">
        <v>145</v>
      </c>
      <c r="W1048" s="24">
        <v>1278.8900000000001</v>
      </c>
      <c r="X1048" s="24">
        <f>U1048-W1048</f>
        <v>1440.8999999999999</v>
      </c>
      <c r="Y1048" s="53">
        <f>IF(U1048&lt;&gt;0,X1048/U1048,"")</f>
        <v>0.529783549465216</v>
      </c>
      <c r="Z1048" s="23">
        <v>0</v>
      </c>
      <c r="AA1048" s="25">
        <v>0</v>
      </c>
      <c r="AB1048" s="24">
        <v>0</v>
      </c>
      <c r="AC1048" s="24">
        <f t="shared" si="323"/>
        <v>0</v>
      </c>
      <c r="AD1048" s="53" t="str">
        <f t="shared" si="324"/>
        <v/>
      </c>
      <c r="AE1048" s="10"/>
    </row>
    <row r="1049" spans="1:31" x14ac:dyDescent="0.25">
      <c r="A1049" s="14" t="s">
        <v>109</v>
      </c>
      <c r="C1049" s="61" t="str">
        <f t="shared" si="322"/>
        <v>C100072</v>
      </c>
      <c r="F1049" s="8" t="str">
        <f>"S100010"</f>
        <v>S100010</v>
      </c>
      <c r="G1049" s="9" t="str">
        <f>"Golf Relaxed Cap"</f>
        <v>Golf Relaxed Cap</v>
      </c>
      <c r="H1049" s="47"/>
      <c r="I1049" s="47"/>
      <c r="J1049" s="23">
        <v>1452.12</v>
      </c>
      <c r="K1049" s="25">
        <v>144</v>
      </c>
      <c r="L1049" s="24">
        <v>876.97</v>
      </c>
      <c r="M1049" s="24">
        <f>J1049-L1049</f>
        <v>575.14999999999986</v>
      </c>
      <c r="N1049" s="53">
        <f>IF(J1049&lt;&gt;0,M1049/J1049,"")</f>
        <v>0.39607608186651233</v>
      </c>
      <c r="O1049" s="23">
        <v>1452.12</v>
      </c>
      <c r="P1049" s="25">
        <v>144</v>
      </c>
      <c r="Q1049" s="24">
        <v>876.97</v>
      </c>
      <c r="R1049" s="24">
        <f>O1049-Q1049</f>
        <v>575.14999999999986</v>
      </c>
      <c r="S1049" s="53">
        <f>IF(O1049&lt;&gt;0,R1049/O1049,"")</f>
        <v>0.39607608186651233</v>
      </c>
      <c r="T1049" s="10"/>
      <c r="U1049" s="23">
        <v>0</v>
      </c>
      <c r="V1049" s="25">
        <v>0</v>
      </c>
      <c r="W1049" s="24">
        <v>0</v>
      </c>
      <c r="X1049" s="24">
        <f>U1049-W1049</f>
        <v>0</v>
      </c>
      <c r="Y1049" s="53" t="str">
        <f>IF(U1049&lt;&gt;0,X1049/U1049,"")</f>
        <v/>
      </c>
      <c r="Z1049" s="23">
        <v>0</v>
      </c>
      <c r="AA1049" s="25">
        <v>0</v>
      </c>
      <c r="AB1049" s="24">
        <v>0</v>
      </c>
      <c r="AC1049" s="24">
        <f t="shared" si="323"/>
        <v>0</v>
      </c>
      <c r="AD1049" s="53" t="str">
        <f t="shared" si="324"/>
        <v/>
      </c>
      <c r="AE1049" s="10"/>
    </row>
    <row r="1050" spans="1:31" x14ac:dyDescent="0.25">
      <c r="A1050" s="14" t="s">
        <v>109</v>
      </c>
      <c r="C1050" s="61" t="str">
        <f t="shared" si="322"/>
        <v>C100072</v>
      </c>
      <c r="F1050" s="8" t="str">
        <f>"S100011"</f>
        <v>S100011</v>
      </c>
      <c r="G1050" s="9" t="str">
        <f>"All Star Cap"</f>
        <v>All Star Cap</v>
      </c>
      <c r="H1050" s="47"/>
      <c r="I1050" s="47"/>
      <c r="J1050" s="23">
        <v>2.84</v>
      </c>
      <c r="K1050" s="25">
        <v>2</v>
      </c>
      <c r="L1050" s="24">
        <v>1.7</v>
      </c>
      <c r="M1050" s="24">
        <f>J1050-L1050</f>
        <v>1.1399999999999999</v>
      </c>
      <c r="N1050" s="53">
        <f>IF(J1050&lt;&gt;0,M1050/J1050,"")</f>
        <v>0.40140845070422532</v>
      </c>
      <c r="O1050" s="23">
        <v>0</v>
      </c>
      <c r="P1050" s="25">
        <v>0</v>
      </c>
      <c r="Q1050" s="24">
        <v>0</v>
      </c>
      <c r="R1050" s="24">
        <f>O1050-Q1050</f>
        <v>0</v>
      </c>
      <c r="S1050" s="53" t="str">
        <f>IF(O1050&lt;&gt;0,R1050/O1050,"")</f>
        <v/>
      </c>
      <c r="T1050" s="10"/>
      <c r="U1050" s="23">
        <v>409.24</v>
      </c>
      <c r="V1050" s="25">
        <v>288</v>
      </c>
      <c r="W1050" s="24">
        <v>244.82</v>
      </c>
      <c r="X1050" s="24">
        <f>U1050-W1050</f>
        <v>164.42000000000002</v>
      </c>
      <c r="Y1050" s="53">
        <f>IF(U1050&lt;&gt;0,X1050/U1050,"")</f>
        <v>0.40176913302707462</v>
      </c>
      <c r="Z1050" s="23">
        <v>206.04000000000002</v>
      </c>
      <c r="AA1050" s="25">
        <v>145</v>
      </c>
      <c r="AB1050" s="24">
        <v>123.26</v>
      </c>
      <c r="AC1050" s="24">
        <f t="shared" si="323"/>
        <v>82.780000000000015</v>
      </c>
      <c r="AD1050" s="53">
        <f t="shared" si="324"/>
        <v>0.40176664725296063</v>
      </c>
      <c r="AE1050" s="10"/>
    </row>
    <row r="1051" spans="1:31" x14ac:dyDescent="0.25">
      <c r="A1051" s="14" t="s">
        <v>109</v>
      </c>
      <c r="C1051" s="61" t="str">
        <f t="shared" si="322"/>
        <v>C100072</v>
      </c>
      <c r="F1051" s="8" t="str">
        <f>"S100012"</f>
        <v>S100012</v>
      </c>
      <c r="G1051" s="9" t="str">
        <f>"Raw-Edge Patch BALL CAP"</f>
        <v>Raw-Edge Patch BALL CAP</v>
      </c>
      <c r="H1051" s="47"/>
      <c r="I1051" s="47"/>
      <c r="J1051" s="23">
        <v>0</v>
      </c>
      <c r="K1051" s="25">
        <v>0</v>
      </c>
      <c r="L1051" s="24">
        <v>0</v>
      </c>
      <c r="M1051" s="24">
        <f>J1051-L1051</f>
        <v>0</v>
      </c>
      <c r="N1051" s="53" t="str">
        <f>IF(J1051&lt;&gt;0,M1051/J1051,"")</f>
        <v/>
      </c>
      <c r="O1051" s="23">
        <v>490.62999999999994</v>
      </c>
      <c r="P1051" s="25">
        <v>48</v>
      </c>
      <c r="Q1051" s="24">
        <v>269.27999999999997</v>
      </c>
      <c r="R1051" s="24">
        <f>O1051-Q1051</f>
        <v>221.34999999999997</v>
      </c>
      <c r="S1051" s="53">
        <f>IF(O1051&lt;&gt;0,R1051/O1051,"")</f>
        <v>0.45115463791451804</v>
      </c>
      <c r="T1051" s="10"/>
      <c r="U1051" s="23">
        <v>0</v>
      </c>
      <c r="V1051" s="25">
        <v>0</v>
      </c>
      <c r="W1051" s="24">
        <v>0</v>
      </c>
      <c r="X1051" s="24">
        <f>U1051-W1051</f>
        <v>0</v>
      </c>
      <c r="Y1051" s="53" t="str">
        <f>IF(U1051&lt;&gt;0,X1051/U1051,"")</f>
        <v/>
      </c>
      <c r="Z1051" s="23">
        <v>0</v>
      </c>
      <c r="AA1051" s="25">
        <v>0</v>
      </c>
      <c r="AB1051" s="24">
        <v>0</v>
      </c>
      <c r="AC1051" s="24">
        <f t="shared" si="323"/>
        <v>0</v>
      </c>
      <c r="AD1051" s="53" t="str">
        <f t="shared" si="324"/>
        <v/>
      </c>
      <c r="AE1051" s="10"/>
    </row>
    <row r="1052" spans="1:31" x14ac:dyDescent="0.25">
      <c r="A1052" s="14" t="s">
        <v>109</v>
      </c>
      <c r="C1052" s="61" t="str">
        <f t="shared" si="322"/>
        <v>C100072</v>
      </c>
      <c r="F1052" s="8" t="str">
        <f>"S100015"</f>
        <v>S100015</v>
      </c>
      <c r="G1052" s="9" t="str">
        <f>"Raw-Edge Bucket Hat"</f>
        <v>Raw-Edge Bucket Hat</v>
      </c>
      <c r="H1052" s="47"/>
      <c r="I1052" s="47"/>
      <c r="J1052" s="23">
        <v>7.24</v>
      </c>
      <c r="K1052" s="25">
        <v>1</v>
      </c>
      <c r="L1052" s="24">
        <v>3.64</v>
      </c>
      <c r="M1052" s="24">
        <f>J1052-L1052</f>
        <v>3.6</v>
      </c>
      <c r="N1052" s="53">
        <f>IF(J1052&lt;&gt;0,M1052/J1052,"")</f>
        <v>0.49723756906077349</v>
      </c>
      <c r="O1052" s="23">
        <v>354.87</v>
      </c>
      <c r="P1052" s="25">
        <v>49</v>
      </c>
      <c r="Q1052" s="24">
        <v>178.36</v>
      </c>
      <c r="R1052" s="24">
        <f>O1052-Q1052</f>
        <v>176.51</v>
      </c>
      <c r="S1052" s="53">
        <f>IF(O1052&lt;&gt;0,R1052/O1052,"")</f>
        <v>0.49739341167187984</v>
      </c>
      <c r="T1052" s="10"/>
      <c r="U1052" s="23">
        <v>1042.8800000000001</v>
      </c>
      <c r="V1052" s="25">
        <v>144</v>
      </c>
      <c r="W1052" s="24">
        <v>524.17000000000007</v>
      </c>
      <c r="X1052" s="24">
        <f>U1052-W1052</f>
        <v>518.71</v>
      </c>
      <c r="Y1052" s="53">
        <f>IF(U1052&lt;&gt;0,X1052/U1052,"")</f>
        <v>0.49738224915618284</v>
      </c>
      <c r="Z1052" s="23">
        <v>0</v>
      </c>
      <c r="AA1052" s="25">
        <v>0</v>
      </c>
      <c r="AB1052" s="24">
        <v>0</v>
      </c>
      <c r="AC1052" s="24">
        <f t="shared" si="323"/>
        <v>0</v>
      </c>
      <c r="AD1052" s="53" t="str">
        <f t="shared" si="324"/>
        <v/>
      </c>
      <c r="AE1052" s="10"/>
    </row>
    <row r="1053" spans="1:31" x14ac:dyDescent="0.25">
      <c r="A1053" s="14" t="s">
        <v>109</v>
      </c>
      <c r="C1053" s="61" t="str">
        <f t="shared" si="322"/>
        <v>C100072</v>
      </c>
      <c r="F1053" s="8" t="str">
        <f>"S100016"</f>
        <v>S100016</v>
      </c>
      <c r="G1053" s="9" t="str">
        <f>"Mesh Bucket Hat"</f>
        <v>Mesh Bucket Hat</v>
      </c>
      <c r="H1053" s="47"/>
      <c r="I1053" s="47"/>
      <c r="J1053" s="23">
        <v>702.78</v>
      </c>
      <c r="K1053" s="25">
        <v>144</v>
      </c>
      <c r="L1053" s="24">
        <v>396.01</v>
      </c>
      <c r="M1053" s="24">
        <f>J1053-L1053</f>
        <v>306.77</v>
      </c>
      <c r="N1053" s="53">
        <f>IF(J1053&lt;&gt;0,M1053/J1053,"")</f>
        <v>0.43650929167022395</v>
      </c>
      <c r="O1053" s="23">
        <v>2108.34</v>
      </c>
      <c r="P1053" s="25">
        <v>432</v>
      </c>
      <c r="Q1053" s="24">
        <v>1188.03</v>
      </c>
      <c r="R1053" s="24">
        <f>O1053-Q1053</f>
        <v>920.31000000000017</v>
      </c>
      <c r="S1053" s="53">
        <f>IF(O1053&lt;&gt;0,R1053/O1053,"")</f>
        <v>0.43650929167022401</v>
      </c>
      <c r="T1053" s="10"/>
      <c r="U1053" s="23">
        <v>1405.56</v>
      </c>
      <c r="V1053" s="25">
        <v>288</v>
      </c>
      <c r="W1053" s="24">
        <v>792.02</v>
      </c>
      <c r="X1053" s="24">
        <f>U1053-W1053</f>
        <v>613.54</v>
      </c>
      <c r="Y1053" s="53">
        <f>IF(U1053&lt;&gt;0,X1053/U1053,"")</f>
        <v>0.43650929167022395</v>
      </c>
      <c r="Z1053" s="23">
        <v>0</v>
      </c>
      <c r="AA1053" s="25">
        <v>0</v>
      </c>
      <c r="AB1053" s="24">
        <v>0</v>
      </c>
      <c r="AC1053" s="24">
        <f t="shared" si="323"/>
        <v>0</v>
      </c>
      <c r="AD1053" s="53" t="str">
        <f t="shared" si="324"/>
        <v/>
      </c>
      <c r="AE1053" s="10"/>
    </row>
    <row r="1054" spans="1:31" x14ac:dyDescent="0.25">
      <c r="A1054" s="14" t="s">
        <v>109</v>
      </c>
      <c r="C1054" s="61" t="str">
        <f t="shared" si="322"/>
        <v>C100072</v>
      </c>
      <c r="F1054" s="8" t="str">
        <f>"S100017"</f>
        <v>S100017</v>
      </c>
      <c r="G1054" s="9" t="str">
        <f>"Microfiber Bucket Hat"</f>
        <v>Microfiber Bucket Hat</v>
      </c>
      <c r="H1054" s="47"/>
      <c r="I1054" s="47"/>
      <c r="J1054" s="23">
        <v>1041.47</v>
      </c>
      <c r="K1054" s="25">
        <v>144</v>
      </c>
      <c r="L1054" s="24">
        <v>685.44</v>
      </c>
      <c r="M1054" s="24">
        <f>J1054-L1054</f>
        <v>356.03</v>
      </c>
      <c r="N1054" s="53">
        <f>IF(J1054&lt;&gt;0,M1054/J1054,"")</f>
        <v>0.34185334191095273</v>
      </c>
      <c r="O1054" s="23">
        <v>0</v>
      </c>
      <c r="P1054" s="25">
        <v>0</v>
      </c>
      <c r="Q1054" s="24">
        <v>0</v>
      </c>
      <c r="R1054" s="24">
        <f>O1054-Q1054</f>
        <v>0</v>
      </c>
      <c r="S1054" s="53" t="str">
        <f>IF(O1054&lt;&gt;0,R1054/O1054,"")</f>
        <v/>
      </c>
      <c r="T1054" s="10"/>
      <c r="U1054" s="23">
        <v>0</v>
      </c>
      <c r="V1054" s="25">
        <v>0</v>
      </c>
      <c r="W1054" s="24">
        <v>0</v>
      </c>
      <c r="X1054" s="24">
        <f>U1054-W1054</f>
        <v>0</v>
      </c>
      <c r="Y1054" s="53" t="str">
        <f>IF(U1054&lt;&gt;0,X1054/U1054,"")</f>
        <v/>
      </c>
      <c r="Z1054" s="23">
        <v>1041.47</v>
      </c>
      <c r="AA1054" s="25">
        <v>144</v>
      </c>
      <c r="AB1054" s="24">
        <v>685.44</v>
      </c>
      <c r="AC1054" s="24">
        <f t="shared" si="323"/>
        <v>356.03</v>
      </c>
      <c r="AD1054" s="53">
        <f t="shared" si="324"/>
        <v>0.34185334191095273</v>
      </c>
      <c r="AE1054" s="10"/>
    </row>
    <row r="1055" spans="1:31" x14ac:dyDescent="0.25">
      <c r="A1055" s="14" t="s">
        <v>109</v>
      </c>
      <c r="C1055" s="61" t="str">
        <f t="shared" si="322"/>
        <v>C100072</v>
      </c>
      <c r="F1055" s="8" t="str">
        <f>"S100019"</f>
        <v>S100019</v>
      </c>
      <c r="G1055" s="9" t="str">
        <f>"Sportsman Bucket Hat"</f>
        <v>Sportsman Bucket Hat</v>
      </c>
      <c r="H1055" s="47"/>
      <c r="I1055" s="47"/>
      <c r="J1055" s="23">
        <v>0</v>
      </c>
      <c r="K1055" s="25">
        <v>0</v>
      </c>
      <c r="L1055" s="24">
        <v>0</v>
      </c>
      <c r="M1055" s="24">
        <f>J1055-L1055</f>
        <v>0</v>
      </c>
      <c r="N1055" s="53" t="str">
        <f>IF(J1055&lt;&gt;0,M1055/J1055,"")</f>
        <v/>
      </c>
      <c r="O1055" s="23">
        <v>647.74</v>
      </c>
      <c r="P1055" s="25">
        <v>144</v>
      </c>
      <c r="Q1055" s="24">
        <v>349.93</v>
      </c>
      <c r="R1055" s="24">
        <f>O1055-Q1055</f>
        <v>297.81</v>
      </c>
      <c r="S1055" s="53">
        <f>IF(O1055&lt;&gt;0,R1055/O1055,"")</f>
        <v>0.45976780807113965</v>
      </c>
      <c r="T1055" s="10"/>
      <c r="U1055" s="23">
        <v>9</v>
      </c>
      <c r="V1055" s="25">
        <v>2</v>
      </c>
      <c r="W1055" s="24">
        <v>4.8600000000000003</v>
      </c>
      <c r="X1055" s="24">
        <f>U1055-W1055</f>
        <v>4.1399999999999997</v>
      </c>
      <c r="Y1055" s="53">
        <f>IF(U1055&lt;&gt;0,X1055/U1055,"")</f>
        <v>0.45999999999999996</v>
      </c>
      <c r="Z1055" s="23">
        <v>647.74</v>
      </c>
      <c r="AA1055" s="25">
        <v>144</v>
      </c>
      <c r="AB1055" s="24">
        <v>349.93</v>
      </c>
      <c r="AC1055" s="24">
        <f t="shared" si="323"/>
        <v>297.81</v>
      </c>
      <c r="AD1055" s="53">
        <f t="shared" si="324"/>
        <v>0.45976780807113965</v>
      </c>
      <c r="AE1055" s="10"/>
    </row>
    <row r="1056" spans="1:31" x14ac:dyDescent="0.25">
      <c r="A1056" s="14" t="s">
        <v>109</v>
      </c>
      <c r="C1056" s="61" t="str">
        <f t="shared" si="322"/>
        <v>C100072</v>
      </c>
      <c r="F1056" s="8" t="str">
        <f>"S100020"</f>
        <v>S100020</v>
      </c>
      <c r="G1056" s="9" t="str">
        <f>"Super Sport Stopwatch"</f>
        <v>Super Sport Stopwatch</v>
      </c>
      <c r="H1056" s="47"/>
      <c r="I1056" s="47"/>
      <c r="J1056" s="23">
        <v>108.95</v>
      </c>
      <c r="K1056" s="25">
        <v>51</v>
      </c>
      <c r="L1056" s="24">
        <v>53.550000000000004</v>
      </c>
      <c r="M1056" s="24">
        <f>J1056-L1056</f>
        <v>55.4</v>
      </c>
      <c r="N1056" s="53">
        <f>IF(J1056&lt;&gt;0,M1056/J1056,"")</f>
        <v>0.50849013308857272</v>
      </c>
      <c r="O1056" s="23">
        <v>307.64</v>
      </c>
      <c r="P1056" s="25">
        <v>144</v>
      </c>
      <c r="Q1056" s="24">
        <v>151.19999999999999</v>
      </c>
      <c r="R1056" s="24">
        <f>O1056-Q1056</f>
        <v>156.44</v>
      </c>
      <c r="S1056" s="53">
        <f>IF(O1056&lt;&gt;0,R1056/O1056,"")</f>
        <v>0.50851644779612537</v>
      </c>
      <c r="T1056" s="10"/>
      <c r="U1056" s="23">
        <v>719.97</v>
      </c>
      <c r="V1056" s="25">
        <v>337</v>
      </c>
      <c r="W1056" s="24">
        <v>353.85</v>
      </c>
      <c r="X1056" s="24">
        <f>U1056-W1056</f>
        <v>366.12</v>
      </c>
      <c r="Y1056" s="53">
        <f>IF(U1056&lt;&gt;0,X1056/U1056,"")</f>
        <v>0.50852118838284932</v>
      </c>
      <c r="Z1056" s="23">
        <v>0</v>
      </c>
      <c r="AA1056" s="25">
        <v>0</v>
      </c>
      <c r="AB1056" s="24">
        <v>0</v>
      </c>
      <c r="AC1056" s="24">
        <f t="shared" si="323"/>
        <v>0</v>
      </c>
      <c r="AD1056" s="53" t="str">
        <f t="shared" si="324"/>
        <v/>
      </c>
      <c r="AE1056" s="10"/>
    </row>
    <row r="1057" spans="1:31" x14ac:dyDescent="0.25">
      <c r="A1057" s="14" t="s">
        <v>109</v>
      </c>
      <c r="C1057" s="61" t="str">
        <f t="shared" si="322"/>
        <v>C100072</v>
      </c>
      <c r="F1057" s="8" t="str">
        <f>"S100021"</f>
        <v>S100021</v>
      </c>
      <c r="G1057" s="9" t="str">
        <f>"Translucent Stopwatch"</f>
        <v>Translucent Stopwatch</v>
      </c>
      <c r="H1057" s="47"/>
      <c r="I1057" s="47"/>
      <c r="J1057" s="23">
        <v>0</v>
      </c>
      <c r="K1057" s="25">
        <v>0</v>
      </c>
      <c r="L1057" s="24">
        <v>0</v>
      </c>
      <c r="M1057" s="24">
        <f>J1057-L1057</f>
        <v>0</v>
      </c>
      <c r="N1057" s="53" t="str">
        <f>IF(J1057&lt;&gt;0,M1057/J1057,"")</f>
        <v/>
      </c>
      <c r="O1057" s="23">
        <v>589.72</v>
      </c>
      <c r="P1057" s="25">
        <v>145</v>
      </c>
      <c r="Q1057" s="24">
        <v>311.74</v>
      </c>
      <c r="R1057" s="24">
        <f>O1057-Q1057</f>
        <v>277.98</v>
      </c>
      <c r="S1057" s="53">
        <f>IF(O1057&lt;&gt;0,R1057/O1057,"")</f>
        <v>0.471376246354202</v>
      </c>
      <c r="T1057" s="10"/>
      <c r="U1057" s="23">
        <v>593.78</v>
      </c>
      <c r="V1057" s="25">
        <v>146</v>
      </c>
      <c r="W1057" s="24">
        <v>313.89</v>
      </c>
      <c r="X1057" s="24">
        <f>U1057-W1057</f>
        <v>279.89</v>
      </c>
      <c r="Y1057" s="53">
        <f>IF(U1057&lt;&gt;0,X1057/U1057,"")</f>
        <v>0.47136986762774091</v>
      </c>
      <c r="Z1057" s="23">
        <v>0</v>
      </c>
      <c r="AA1057" s="25">
        <v>0</v>
      </c>
      <c r="AB1057" s="24">
        <v>0</v>
      </c>
      <c r="AC1057" s="24">
        <f t="shared" si="323"/>
        <v>0</v>
      </c>
      <c r="AD1057" s="53" t="str">
        <f t="shared" si="324"/>
        <v/>
      </c>
      <c r="AE1057" s="10"/>
    </row>
    <row r="1058" spans="1:31" ht="15.75" thickBot="1" x14ac:dyDescent="0.3">
      <c r="A1058" s="14" t="s">
        <v>109</v>
      </c>
      <c r="C1058" s="61" t="str">
        <f>C1018</f>
        <v>C100072</v>
      </c>
      <c r="J1058" s="10"/>
      <c r="K1058" s="11"/>
      <c r="L1058" s="11"/>
      <c r="M1058" s="11"/>
      <c r="N1058" s="12"/>
      <c r="O1058" s="10"/>
      <c r="P1058" s="11"/>
      <c r="Q1058" s="11"/>
      <c r="R1058" s="11"/>
      <c r="S1058" s="12"/>
      <c r="U1058" s="10"/>
      <c r="V1058" s="11"/>
      <c r="W1058" s="11"/>
      <c r="X1058" s="11"/>
      <c r="Y1058" s="12"/>
      <c r="Z1058" s="10"/>
      <c r="AA1058" s="11"/>
      <c r="AB1058" s="11"/>
      <c r="AC1058" s="11"/>
      <c r="AD1058" s="12"/>
    </row>
    <row r="1059" spans="1:31" ht="15.75" thickBot="1" x14ac:dyDescent="0.3">
      <c r="A1059" s="14" t="s">
        <v>109</v>
      </c>
      <c r="C1059" s="61" t="str">
        <f t="shared" si="319"/>
        <v>C100072</v>
      </c>
      <c r="G1059" s="48" t="str">
        <f>C1059&amp;" TOTAL:"</f>
        <v>C100072 TOTAL:</v>
      </c>
      <c r="H1059" s="50"/>
      <c r="I1059" s="50"/>
      <c r="J1059" s="34">
        <f>SUBTOTAL(9,J1017:J1058)</f>
        <v>40368.79</v>
      </c>
      <c r="K1059" s="35">
        <f>SUBTOTAL(9,K1017:K1058)</f>
        <v>2795</v>
      </c>
      <c r="L1059" s="36">
        <f>SUBTOTAL(9,L1017:L1058)</f>
        <v>22285.659999999996</v>
      </c>
      <c r="M1059" s="36">
        <f>J1059-L1059</f>
        <v>18083.130000000005</v>
      </c>
      <c r="N1059" s="37">
        <f>IF(J1059&lt;&gt;0,M1059/J1059,"")</f>
        <v>0.44794827885601735</v>
      </c>
      <c r="O1059" s="34">
        <f>SUBTOTAL(9,O1017:O1058)</f>
        <v>76421.61000000003</v>
      </c>
      <c r="P1059" s="35">
        <f>SUBTOTAL(9,P1017:P1058)</f>
        <v>6460</v>
      </c>
      <c r="Q1059" s="36">
        <f>SUBTOTAL(9,Q1017:Q1058)</f>
        <v>40275.600000000006</v>
      </c>
      <c r="R1059" s="36">
        <f>O1059-Q1059</f>
        <v>36146.010000000024</v>
      </c>
      <c r="S1059" s="37">
        <f>IF(O1059&lt;&gt;0,R1059/O1059,"")</f>
        <v>0.47298152970082691</v>
      </c>
      <c r="U1059" s="34">
        <f>SUBTOTAL(9,U1017:U1058)</f>
        <v>30424.900000000005</v>
      </c>
      <c r="V1059" s="35">
        <f>SUBTOTAL(9,V1017:V1058)</f>
        <v>2786</v>
      </c>
      <c r="W1059" s="36">
        <f>SUBTOTAL(9,W1017:W1058)</f>
        <v>15910.949999999999</v>
      </c>
      <c r="X1059" s="36">
        <f>U1059-W1059</f>
        <v>14513.950000000006</v>
      </c>
      <c r="Y1059" s="37">
        <f>IF(U1059&lt;&gt;0,X1059/U1059,"")</f>
        <v>0.47704183086879509</v>
      </c>
      <c r="Z1059" s="34">
        <f>SUBTOTAL(9,Z1017:Z1058)</f>
        <v>13226.43</v>
      </c>
      <c r="AA1059" s="35">
        <f>SUBTOTAL(9,AA1017:AA1058)</f>
        <v>1083</v>
      </c>
      <c r="AB1059" s="36">
        <f>SUBTOTAL(9,AB1017:AB1058)</f>
        <v>7225.4300000000021</v>
      </c>
      <c r="AC1059" s="36">
        <f t="shared" ref="AC1059" si="325">Z1059-AB1059</f>
        <v>6000.9999999999982</v>
      </c>
      <c r="AD1059" s="37">
        <f t="shared" ref="AD1059" si="326">IF(Z1059&lt;&gt;0,AC1059/Z1059,"")</f>
        <v>0.45371275544496875</v>
      </c>
    </row>
    <row r="1060" spans="1:31" x14ac:dyDescent="0.25">
      <c r="A1060" s="14" t="s">
        <v>109</v>
      </c>
      <c r="C1060" s="66"/>
      <c r="J1060" s="10"/>
      <c r="K1060" s="11"/>
      <c r="L1060" s="11"/>
      <c r="M1060" s="11"/>
      <c r="N1060" s="12"/>
      <c r="O1060" s="10"/>
      <c r="P1060" s="11"/>
      <c r="Q1060" s="11"/>
      <c r="R1060" s="11"/>
      <c r="S1060" s="12"/>
      <c r="U1060" s="10"/>
      <c r="V1060" s="11"/>
      <c r="W1060" s="11"/>
      <c r="X1060" s="11"/>
      <c r="Y1060" s="12"/>
      <c r="Z1060" s="10"/>
      <c r="AA1060" s="11"/>
      <c r="AB1060" s="11"/>
      <c r="AC1060" s="11"/>
      <c r="AD1060" s="12"/>
    </row>
    <row r="1061" spans="1:31" ht="15.75" x14ac:dyDescent="0.25">
      <c r="A1061" s="14" t="s">
        <v>109</v>
      </c>
      <c r="C1061" s="66" t="str">
        <f t="shared" ref="C1061" si="327">E1061</f>
        <v>C100073</v>
      </c>
      <c r="E1061" s="13" t="str">
        <f>"C100073"</f>
        <v>C100073</v>
      </c>
      <c r="F1061" s="13"/>
      <c r="G1061" s="13" t="str">
        <f>"Ravel M¢bler"</f>
        <v>Ravel M¢bler</v>
      </c>
      <c r="H1061" s="13"/>
      <c r="I1061" s="13"/>
      <c r="J1061" s="10"/>
      <c r="K1061" s="11"/>
      <c r="L1061" s="11"/>
      <c r="M1061" s="11"/>
      <c r="N1061" s="12"/>
      <c r="O1061" s="10"/>
      <c r="P1061" s="11"/>
      <c r="Q1061" s="11"/>
      <c r="R1061" s="11"/>
      <c r="S1061" s="12"/>
      <c r="U1061" s="10"/>
      <c r="V1061" s="11"/>
      <c r="W1061" s="11"/>
      <c r="X1061" s="11"/>
      <c r="Y1061" s="12"/>
      <c r="Z1061" s="10"/>
      <c r="AA1061" s="11"/>
      <c r="AB1061" s="11"/>
      <c r="AC1061" s="11"/>
      <c r="AD1061" s="12"/>
    </row>
    <row r="1062" spans="1:31" ht="6.6" customHeight="1" x14ac:dyDescent="0.25">
      <c r="A1062" s="14" t="s">
        <v>109</v>
      </c>
      <c r="C1062" s="61" t="str">
        <f t="shared" ref="C1062:C1080" si="328">C1061</f>
        <v>C100073</v>
      </c>
      <c r="J1062" s="10"/>
      <c r="K1062" s="11"/>
      <c r="L1062" s="11"/>
      <c r="M1062" s="11"/>
      <c r="N1062" s="12"/>
      <c r="O1062" s="10"/>
      <c r="P1062" s="11"/>
      <c r="Q1062" s="11"/>
      <c r="R1062" s="11"/>
      <c r="S1062" s="12"/>
      <c r="U1062" s="10"/>
      <c r="V1062" s="11"/>
      <c r="W1062" s="11"/>
      <c r="X1062" s="11"/>
      <c r="Y1062" s="12"/>
      <c r="Z1062" s="10"/>
      <c r="AA1062" s="11"/>
      <c r="AB1062" s="11"/>
      <c r="AC1062" s="11"/>
      <c r="AD1062" s="12"/>
    </row>
    <row r="1063" spans="1:31" x14ac:dyDescent="0.25">
      <c r="A1063" s="14" t="s">
        <v>109</v>
      </c>
      <c r="C1063" s="61" t="str">
        <f t="shared" si="328"/>
        <v>C100073</v>
      </c>
      <c r="F1063" s="8" t="str">
        <f>"C100018"</f>
        <v>C100018</v>
      </c>
      <c r="G1063" s="9" t="str">
        <f>"Action Sport Duffel"</f>
        <v>Action Sport Duffel</v>
      </c>
      <c r="H1063" s="47"/>
      <c r="I1063" s="47"/>
      <c r="J1063" s="23">
        <v>0</v>
      </c>
      <c r="K1063" s="25">
        <v>0</v>
      </c>
      <c r="L1063" s="24">
        <v>0</v>
      </c>
      <c r="M1063" s="24">
        <f>J1063-L1063</f>
        <v>0</v>
      </c>
      <c r="N1063" s="53" t="str">
        <f>IF(J1063&lt;&gt;0,M1063/J1063,"")</f>
        <v/>
      </c>
      <c r="O1063" s="23">
        <v>2485.13</v>
      </c>
      <c r="P1063" s="25">
        <v>144</v>
      </c>
      <c r="Q1063" s="24">
        <v>1231.21</v>
      </c>
      <c r="R1063" s="24">
        <f>O1063-Q1063</f>
        <v>1253.92</v>
      </c>
      <c r="S1063" s="53">
        <f>IF(O1063&lt;&gt;0,R1063/O1063,"")</f>
        <v>0.50456917746757712</v>
      </c>
      <c r="T1063" s="10"/>
      <c r="U1063" s="23">
        <v>0</v>
      </c>
      <c r="V1063" s="25">
        <v>0</v>
      </c>
      <c r="W1063" s="24">
        <v>0</v>
      </c>
      <c r="X1063" s="24">
        <f>U1063-W1063</f>
        <v>0</v>
      </c>
      <c r="Y1063" s="53" t="str">
        <f>IF(U1063&lt;&gt;0,X1063/U1063,"")</f>
        <v/>
      </c>
      <c r="Z1063" s="23">
        <v>0</v>
      </c>
      <c r="AA1063" s="25">
        <v>0</v>
      </c>
      <c r="AB1063" s="24">
        <v>0</v>
      </c>
      <c r="AC1063" s="24">
        <f t="shared" ref="AC1063" si="329">Z1063-AB1063</f>
        <v>0</v>
      </c>
      <c r="AD1063" s="53" t="str">
        <f t="shared" ref="AD1063" si="330">IF(Z1063&lt;&gt;0,AC1063/Z1063,"")</f>
        <v/>
      </c>
      <c r="AE1063" s="10"/>
    </row>
    <row r="1064" spans="1:31" x14ac:dyDescent="0.25">
      <c r="A1064" s="14" t="s">
        <v>109</v>
      </c>
      <c r="C1064" s="61" t="str">
        <f t="shared" ref="C1064:C1078" si="331">C1063</f>
        <v>C100073</v>
      </c>
      <c r="F1064" s="8" t="str">
        <f>"C100020"</f>
        <v>C100020</v>
      </c>
      <c r="G1064" s="9" t="str">
        <f>"Gym Locker Bag"</f>
        <v>Gym Locker Bag</v>
      </c>
      <c r="H1064" s="47"/>
      <c r="I1064" s="47"/>
      <c r="J1064" s="23">
        <v>0</v>
      </c>
      <c r="K1064" s="25">
        <v>0</v>
      </c>
      <c r="L1064" s="24">
        <v>0</v>
      </c>
      <c r="M1064" s="24">
        <f>J1064-L1064</f>
        <v>0</v>
      </c>
      <c r="N1064" s="53" t="str">
        <f>IF(J1064&lt;&gt;0,M1064/J1064,"")</f>
        <v/>
      </c>
      <c r="O1064" s="23">
        <v>1954.5100000000002</v>
      </c>
      <c r="P1064" s="25">
        <v>144</v>
      </c>
      <c r="Q1064" s="24">
        <v>1114.5600000000002</v>
      </c>
      <c r="R1064" s="24">
        <f>O1064-Q1064</f>
        <v>839.95</v>
      </c>
      <c r="S1064" s="53">
        <f>IF(O1064&lt;&gt;0,R1064/O1064,"")</f>
        <v>0.42974965592399117</v>
      </c>
      <c r="T1064" s="10"/>
      <c r="U1064" s="23">
        <v>0</v>
      </c>
      <c r="V1064" s="25">
        <v>0</v>
      </c>
      <c r="W1064" s="24">
        <v>0</v>
      </c>
      <c r="X1064" s="24">
        <f>U1064-W1064</f>
        <v>0</v>
      </c>
      <c r="Y1064" s="53" t="str">
        <f>IF(U1064&lt;&gt;0,X1064/U1064,"")</f>
        <v/>
      </c>
      <c r="Z1064" s="23">
        <v>0</v>
      </c>
      <c r="AA1064" s="25">
        <v>0</v>
      </c>
      <c r="AB1064" s="24">
        <v>0</v>
      </c>
      <c r="AC1064" s="24">
        <f t="shared" ref="AC1064:AC1078" si="332">Z1064-AB1064</f>
        <v>0</v>
      </c>
      <c r="AD1064" s="53" t="str">
        <f t="shared" ref="AD1064:AD1078" si="333">IF(Z1064&lt;&gt;0,AC1064/Z1064,"")</f>
        <v/>
      </c>
      <c r="AE1064" s="10"/>
    </row>
    <row r="1065" spans="1:31" x14ac:dyDescent="0.25">
      <c r="A1065" s="14" t="s">
        <v>109</v>
      </c>
      <c r="C1065" s="61" t="str">
        <f t="shared" si="331"/>
        <v>C100073</v>
      </c>
      <c r="F1065" s="8" t="str">
        <f>"C100021"</f>
        <v>C100021</v>
      </c>
      <c r="G1065" s="9" t="str">
        <f>"Canvas Boat Bag"</f>
        <v>Canvas Boat Bag</v>
      </c>
      <c r="H1065" s="47"/>
      <c r="I1065" s="47"/>
      <c r="J1065" s="23">
        <v>0</v>
      </c>
      <c r="K1065" s="25">
        <v>0</v>
      </c>
      <c r="L1065" s="24">
        <v>0</v>
      </c>
      <c r="M1065" s="24">
        <f>J1065-L1065</f>
        <v>0</v>
      </c>
      <c r="N1065" s="53" t="str">
        <f>IF(J1065&lt;&gt;0,M1065/J1065,"")</f>
        <v/>
      </c>
      <c r="O1065" s="23">
        <v>1456.36</v>
      </c>
      <c r="P1065" s="25">
        <v>144</v>
      </c>
      <c r="Q1065" s="24">
        <v>990.71</v>
      </c>
      <c r="R1065" s="24">
        <f>O1065-Q1065</f>
        <v>465.64999999999986</v>
      </c>
      <c r="S1065" s="53">
        <f>IF(O1065&lt;&gt;0,R1065/O1065,"")</f>
        <v>0.31973550495756536</v>
      </c>
      <c r="T1065" s="10"/>
      <c r="U1065" s="23">
        <v>485.45000000000005</v>
      </c>
      <c r="V1065" s="25">
        <v>48</v>
      </c>
      <c r="W1065" s="24">
        <v>330.24</v>
      </c>
      <c r="X1065" s="24">
        <f>U1065-W1065</f>
        <v>155.21000000000004</v>
      </c>
      <c r="Y1065" s="53">
        <f>IF(U1065&lt;&gt;0,X1065/U1065,"")</f>
        <v>0.31972396745287884</v>
      </c>
      <c r="Z1065" s="23">
        <v>0</v>
      </c>
      <c r="AA1065" s="25">
        <v>0</v>
      </c>
      <c r="AB1065" s="24">
        <v>0</v>
      </c>
      <c r="AC1065" s="24">
        <f t="shared" si="332"/>
        <v>0</v>
      </c>
      <c r="AD1065" s="53" t="str">
        <f t="shared" si="333"/>
        <v/>
      </c>
      <c r="AE1065" s="10"/>
    </row>
    <row r="1066" spans="1:31" x14ac:dyDescent="0.25">
      <c r="A1066" s="14" t="s">
        <v>109</v>
      </c>
      <c r="C1066" s="61" t="str">
        <f t="shared" si="331"/>
        <v>C100073</v>
      </c>
      <c r="F1066" s="8" t="str">
        <f>"C100022"</f>
        <v>C100022</v>
      </c>
      <c r="G1066" s="9" t="str">
        <f>"Two-Toned Cap"</f>
        <v>Two-Toned Cap</v>
      </c>
      <c r="H1066" s="47"/>
      <c r="I1066" s="47"/>
      <c r="J1066" s="23">
        <v>0</v>
      </c>
      <c r="K1066" s="25">
        <v>0</v>
      </c>
      <c r="L1066" s="24">
        <v>0</v>
      </c>
      <c r="M1066" s="24">
        <f>J1066-L1066</f>
        <v>0</v>
      </c>
      <c r="N1066" s="53" t="str">
        <f>IF(J1066&lt;&gt;0,M1066/J1066,"")</f>
        <v/>
      </c>
      <c r="O1066" s="23">
        <v>451.58000000000004</v>
      </c>
      <c r="P1066" s="25">
        <v>144</v>
      </c>
      <c r="Q1066" s="24">
        <v>231.82999999999998</v>
      </c>
      <c r="R1066" s="24">
        <f>O1066-Q1066</f>
        <v>219.75000000000006</v>
      </c>
      <c r="S1066" s="53">
        <f>IF(O1066&lt;&gt;0,R1066/O1066,"")</f>
        <v>0.4866247398024714</v>
      </c>
      <c r="T1066" s="10"/>
      <c r="U1066" s="23">
        <v>451.58000000000004</v>
      </c>
      <c r="V1066" s="25">
        <v>144</v>
      </c>
      <c r="W1066" s="24">
        <v>231.82999999999998</v>
      </c>
      <c r="X1066" s="24">
        <f>U1066-W1066</f>
        <v>219.75000000000006</v>
      </c>
      <c r="Y1066" s="53">
        <f>IF(U1066&lt;&gt;0,X1066/U1066,"")</f>
        <v>0.4866247398024714</v>
      </c>
      <c r="Z1066" s="23">
        <v>0</v>
      </c>
      <c r="AA1066" s="25">
        <v>0</v>
      </c>
      <c r="AB1066" s="24">
        <v>0</v>
      </c>
      <c r="AC1066" s="24">
        <f t="shared" si="332"/>
        <v>0</v>
      </c>
      <c r="AD1066" s="53" t="str">
        <f t="shared" si="333"/>
        <v/>
      </c>
      <c r="AE1066" s="10"/>
    </row>
    <row r="1067" spans="1:31" x14ac:dyDescent="0.25">
      <c r="A1067" s="14" t="s">
        <v>109</v>
      </c>
      <c r="C1067" s="61" t="str">
        <f t="shared" si="331"/>
        <v>C100073</v>
      </c>
      <c r="F1067" s="8" t="str">
        <f>"C100026"</f>
        <v>C100026</v>
      </c>
      <c r="G1067" s="9" t="str">
        <f>"Fleece Beanie"</f>
        <v>Fleece Beanie</v>
      </c>
      <c r="H1067" s="47"/>
      <c r="I1067" s="47"/>
      <c r="J1067" s="23">
        <v>0</v>
      </c>
      <c r="K1067" s="25">
        <v>0</v>
      </c>
      <c r="L1067" s="24">
        <v>0</v>
      </c>
      <c r="M1067" s="24">
        <f>J1067-L1067</f>
        <v>0</v>
      </c>
      <c r="N1067" s="53" t="str">
        <f>IF(J1067&lt;&gt;0,M1067/J1067,"")</f>
        <v/>
      </c>
      <c r="O1067" s="23">
        <v>18.350000000000001</v>
      </c>
      <c r="P1067" s="25">
        <v>6</v>
      </c>
      <c r="Q1067" s="24">
        <v>12</v>
      </c>
      <c r="R1067" s="24">
        <f>O1067-Q1067</f>
        <v>6.3500000000000014</v>
      </c>
      <c r="S1067" s="53">
        <f>IF(O1067&lt;&gt;0,R1067/O1067,"")</f>
        <v>0.34604904632152594</v>
      </c>
      <c r="T1067" s="10"/>
      <c r="U1067" s="23">
        <v>0</v>
      </c>
      <c r="V1067" s="25">
        <v>0</v>
      </c>
      <c r="W1067" s="24">
        <v>0</v>
      </c>
      <c r="X1067" s="24">
        <f>U1067-W1067</f>
        <v>0</v>
      </c>
      <c r="Y1067" s="53" t="str">
        <f>IF(U1067&lt;&gt;0,X1067/U1067,"")</f>
        <v/>
      </c>
      <c r="Z1067" s="23">
        <v>-3.06</v>
      </c>
      <c r="AA1067" s="25">
        <v>-1</v>
      </c>
      <c r="AB1067" s="24">
        <v>-2</v>
      </c>
      <c r="AC1067" s="24">
        <f t="shared" si="332"/>
        <v>-1.06</v>
      </c>
      <c r="AD1067" s="53">
        <f t="shared" si="333"/>
        <v>0.34640522875816993</v>
      </c>
      <c r="AE1067" s="10"/>
    </row>
    <row r="1068" spans="1:31" x14ac:dyDescent="0.25">
      <c r="A1068" s="14" t="s">
        <v>109</v>
      </c>
      <c r="C1068" s="61" t="str">
        <f t="shared" si="331"/>
        <v>C100073</v>
      </c>
      <c r="F1068" s="8" t="str">
        <f>"C100029"</f>
        <v>C100029</v>
      </c>
      <c r="G1068" s="9" t="str">
        <f>"Distressed Twill Visor"</f>
        <v>Distressed Twill Visor</v>
      </c>
      <c r="H1068" s="47"/>
      <c r="I1068" s="47"/>
      <c r="J1068" s="23">
        <v>0</v>
      </c>
      <c r="K1068" s="25">
        <v>0</v>
      </c>
      <c r="L1068" s="24">
        <v>0</v>
      </c>
      <c r="M1068" s="24">
        <f>J1068-L1068</f>
        <v>0</v>
      </c>
      <c r="N1068" s="53" t="str">
        <f>IF(J1068&lt;&gt;0,M1068/J1068,"")</f>
        <v/>
      </c>
      <c r="O1068" s="23">
        <v>482.62999999999994</v>
      </c>
      <c r="P1068" s="25">
        <v>144</v>
      </c>
      <c r="Q1068" s="24">
        <v>298.09000000000003</v>
      </c>
      <c r="R1068" s="24">
        <f>O1068-Q1068</f>
        <v>184.53999999999991</v>
      </c>
      <c r="S1068" s="53">
        <f>IF(O1068&lt;&gt;0,R1068/O1068,"")</f>
        <v>0.38236330107950173</v>
      </c>
      <c r="T1068" s="10"/>
      <c r="U1068" s="23">
        <v>0</v>
      </c>
      <c r="V1068" s="25">
        <v>0</v>
      </c>
      <c r="W1068" s="24">
        <v>0</v>
      </c>
      <c r="X1068" s="24">
        <f>U1068-W1068</f>
        <v>0</v>
      </c>
      <c r="Y1068" s="53" t="str">
        <f>IF(U1068&lt;&gt;0,X1068/U1068,"")</f>
        <v/>
      </c>
      <c r="Z1068" s="23">
        <v>0</v>
      </c>
      <c r="AA1068" s="25">
        <v>0</v>
      </c>
      <c r="AB1068" s="24">
        <v>0</v>
      </c>
      <c r="AC1068" s="24">
        <f t="shared" si="332"/>
        <v>0</v>
      </c>
      <c r="AD1068" s="53" t="str">
        <f t="shared" si="333"/>
        <v/>
      </c>
      <c r="AE1068" s="10"/>
    </row>
    <row r="1069" spans="1:31" x14ac:dyDescent="0.25">
      <c r="A1069" s="14" t="s">
        <v>109</v>
      </c>
      <c r="C1069" s="61" t="str">
        <f t="shared" si="331"/>
        <v>C100073</v>
      </c>
      <c r="F1069" s="8" t="str">
        <f>"C100031"</f>
        <v>C100031</v>
      </c>
      <c r="G1069" s="9" t="str">
        <f>"Carabiner Watch"</f>
        <v>Carabiner Watch</v>
      </c>
      <c r="H1069" s="47"/>
      <c r="I1069" s="47"/>
      <c r="J1069" s="23">
        <v>0</v>
      </c>
      <c r="K1069" s="25">
        <v>0</v>
      </c>
      <c r="L1069" s="24">
        <v>0</v>
      </c>
      <c r="M1069" s="24">
        <f>J1069-L1069</f>
        <v>0</v>
      </c>
      <c r="N1069" s="53" t="str">
        <f>IF(J1069&lt;&gt;0,M1069/J1069,"")</f>
        <v/>
      </c>
      <c r="O1069" s="23">
        <v>2664.36</v>
      </c>
      <c r="P1069" s="25">
        <v>144</v>
      </c>
      <c r="Q1069" s="24">
        <v>1235.52</v>
      </c>
      <c r="R1069" s="24">
        <f>O1069-Q1069</f>
        <v>1428.8400000000001</v>
      </c>
      <c r="S1069" s="53">
        <f>IF(O1069&lt;&gt;0,R1069/O1069,"")</f>
        <v>0.53627888123226597</v>
      </c>
      <c r="T1069" s="10"/>
      <c r="U1069" s="23">
        <v>2664.3500000000004</v>
      </c>
      <c r="V1069" s="25">
        <v>144</v>
      </c>
      <c r="W1069" s="24">
        <v>1235.52</v>
      </c>
      <c r="X1069" s="24">
        <f>U1069-W1069</f>
        <v>1428.8300000000004</v>
      </c>
      <c r="Y1069" s="53">
        <f>IF(U1069&lt;&gt;0,X1069/U1069,"")</f>
        <v>0.53627714076604061</v>
      </c>
      <c r="Z1069" s="23">
        <v>0</v>
      </c>
      <c r="AA1069" s="25">
        <v>0</v>
      </c>
      <c r="AB1069" s="24">
        <v>0</v>
      </c>
      <c r="AC1069" s="24">
        <f t="shared" si="332"/>
        <v>0</v>
      </c>
      <c r="AD1069" s="53" t="str">
        <f t="shared" si="333"/>
        <v/>
      </c>
      <c r="AE1069" s="10"/>
    </row>
    <row r="1070" spans="1:31" x14ac:dyDescent="0.25">
      <c r="A1070" s="14" t="s">
        <v>109</v>
      </c>
      <c r="C1070" s="61" t="str">
        <f t="shared" si="331"/>
        <v>C100073</v>
      </c>
      <c r="F1070" s="8" t="str">
        <f>"E100011"</f>
        <v>E100011</v>
      </c>
      <c r="G1070" s="9" t="str">
        <f>"Plastic Sun Visor"</f>
        <v>Plastic Sun Visor</v>
      </c>
      <c r="H1070" s="47"/>
      <c r="I1070" s="47"/>
      <c r="J1070" s="23">
        <v>0</v>
      </c>
      <c r="K1070" s="25">
        <v>0</v>
      </c>
      <c r="L1070" s="24">
        <v>0</v>
      </c>
      <c r="M1070" s="24">
        <f>J1070-L1070</f>
        <v>0</v>
      </c>
      <c r="N1070" s="53" t="str">
        <f>IF(J1070&lt;&gt;0,M1070/J1070,"")</f>
        <v/>
      </c>
      <c r="O1070" s="23">
        <v>114.31</v>
      </c>
      <c r="P1070" s="25">
        <v>144</v>
      </c>
      <c r="Q1070" s="24">
        <v>60.470000000000006</v>
      </c>
      <c r="R1070" s="24">
        <f>O1070-Q1070</f>
        <v>53.839999999999996</v>
      </c>
      <c r="S1070" s="53">
        <f>IF(O1070&lt;&gt;0,R1070/O1070,"")</f>
        <v>0.47099991251858975</v>
      </c>
      <c r="T1070" s="10"/>
      <c r="U1070" s="23">
        <v>0</v>
      </c>
      <c r="V1070" s="25">
        <v>0</v>
      </c>
      <c r="W1070" s="24">
        <v>0</v>
      </c>
      <c r="X1070" s="24">
        <f>U1070-W1070</f>
        <v>0</v>
      </c>
      <c r="Y1070" s="53" t="str">
        <f>IF(U1070&lt;&gt;0,X1070/U1070,"")</f>
        <v/>
      </c>
      <c r="Z1070" s="23">
        <v>0</v>
      </c>
      <c r="AA1070" s="25">
        <v>0</v>
      </c>
      <c r="AB1070" s="24">
        <v>0</v>
      </c>
      <c r="AC1070" s="24">
        <f t="shared" si="332"/>
        <v>0</v>
      </c>
      <c r="AD1070" s="53" t="str">
        <f t="shared" si="333"/>
        <v/>
      </c>
      <c r="AE1070" s="10"/>
    </row>
    <row r="1071" spans="1:31" x14ac:dyDescent="0.25">
      <c r="A1071" s="14" t="s">
        <v>109</v>
      </c>
      <c r="C1071" s="61" t="str">
        <f t="shared" si="331"/>
        <v>C100073</v>
      </c>
      <c r="F1071" s="8" t="str">
        <f>"E100013"</f>
        <v>E100013</v>
      </c>
      <c r="G1071" s="9" t="str">
        <f>"Clip-on Stopwatch"</f>
        <v>Clip-on Stopwatch</v>
      </c>
      <c r="H1071" s="47"/>
      <c r="I1071" s="47"/>
      <c r="J1071" s="23">
        <v>0</v>
      </c>
      <c r="K1071" s="25">
        <v>0</v>
      </c>
      <c r="L1071" s="24">
        <v>0</v>
      </c>
      <c r="M1071" s="24">
        <f>J1071-L1071</f>
        <v>0</v>
      </c>
      <c r="N1071" s="53" t="str">
        <f>IF(J1071&lt;&gt;0,M1071/J1071,"")</f>
        <v/>
      </c>
      <c r="O1071" s="23">
        <v>129.83000000000001</v>
      </c>
      <c r="P1071" s="25">
        <v>48</v>
      </c>
      <c r="Q1071" s="24">
        <v>69.12</v>
      </c>
      <c r="R1071" s="24">
        <f>O1071-Q1071</f>
        <v>60.710000000000008</v>
      </c>
      <c r="S1071" s="53">
        <f>IF(O1071&lt;&gt;0,R1071/O1071,"")</f>
        <v>0.46761149195101287</v>
      </c>
      <c r="T1071" s="10"/>
      <c r="U1071" s="23">
        <v>0</v>
      </c>
      <c r="V1071" s="25">
        <v>0</v>
      </c>
      <c r="W1071" s="24">
        <v>0</v>
      </c>
      <c r="X1071" s="24">
        <f>U1071-W1071</f>
        <v>0</v>
      </c>
      <c r="Y1071" s="53" t="str">
        <f>IF(U1071&lt;&gt;0,X1071/U1071,"")</f>
        <v/>
      </c>
      <c r="Z1071" s="23">
        <v>0</v>
      </c>
      <c r="AA1071" s="25">
        <v>0</v>
      </c>
      <c r="AB1071" s="24">
        <v>0</v>
      </c>
      <c r="AC1071" s="24">
        <f t="shared" si="332"/>
        <v>0</v>
      </c>
      <c r="AD1071" s="53" t="str">
        <f t="shared" si="333"/>
        <v/>
      </c>
      <c r="AE1071" s="10"/>
    </row>
    <row r="1072" spans="1:31" x14ac:dyDescent="0.25">
      <c r="A1072" s="14" t="s">
        <v>109</v>
      </c>
      <c r="C1072" s="61" t="str">
        <f t="shared" si="331"/>
        <v>C100073</v>
      </c>
      <c r="F1072" s="8" t="str">
        <f>"E100018"</f>
        <v>E100018</v>
      </c>
      <c r="G1072" s="9" t="str">
        <f>"Flexi-Clock &amp; Clip"</f>
        <v>Flexi-Clock &amp; Clip</v>
      </c>
      <c r="H1072" s="47"/>
      <c r="I1072" s="47"/>
      <c r="J1072" s="23">
        <v>0</v>
      </c>
      <c r="K1072" s="25">
        <v>0</v>
      </c>
      <c r="L1072" s="24">
        <v>0</v>
      </c>
      <c r="M1072" s="24">
        <f>J1072-L1072</f>
        <v>0</v>
      </c>
      <c r="N1072" s="53" t="str">
        <f>IF(J1072&lt;&gt;0,M1072/J1072,"")</f>
        <v/>
      </c>
      <c r="O1072" s="23">
        <v>2.21</v>
      </c>
      <c r="P1072" s="25">
        <v>2</v>
      </c>
      <c r="Q1072" s="24">
        <v>1.2</v>
      </c>
      <c r="R1072" s="24">
        <f>O1072-Q1072</f>
        <v>1.01</v>
      </c>
      <c r="S1072" s="53">
        <f>IF(O1072&lt;&gt;0,R1072/O1072,"")</f>
        <v>0.45701357466063347</v>
      </c>
      <c r="T1072" s="10"/>
      <c r="U1072" s="23">
        <v>0</v>
      </c>
      <c r="V1072" s="25">
        <v>0</v>
      </c>
      <c r="W1072" s="24">
        <v>0</v>
      </c>
      <c r="X1072" s="24">
        <f>U1072-W1072</f>
        <v>0</v>
      </c>
      <c r="Y1072" s="53" t="str">
        <f>IF(U1072&lt;&gt;0,X1072/U1072,"")</f>
        <v/>
      </c>
      <c r="Z1072" s="23">
        <v>0</v>
      </c>
      <c r="AA1072" s="25">
        <v>0</v>
      </c>
      <c r="AB1072" s="24">
        <v>0</v>
      </c>
      <c r="AC1072" s="24">
        <f t="shared" si="332"/>
        <v>0</v>
      </c>
      <c r="AD1072" s="53" t="str">
        <f t="shared" si="333"/>
        <v/>
      </c>
      <c r="AE1072" s="10"/>
    </row>
    <row r="1073" spans="1:31" x14ac:dyDescent="0.25">
      <c r="A1073" s="14" t="s">
        <v>109</v>
      </c>
      <c r="C1073" s="61" t="str">
        <f t="shared" si="331"/>
        <v>C100073</v>
      </c>
      <c r="F1073" s="8" t="str">
        <f>"S100003"</f>
        <v>S100003</v>
      </c>
      <c r="G1073" s="9" t="str">
        <f>"Soccer #1 Pin"</f>
        <v>Soccer #1 Pin</v>
      </c>
      <c r="H1073" s="47"/>
      <c r="I1073" s="47"/>
      <c r="J1073" s="23">
        <v>0</v>
      </c>
      <c r="K1073" s="25">
        <v>0</v>
      </c>
      <c r="L1073" s="24">
        <v>0</v>
      </c>
      <c r="M1073" s="24">
        <f>J1073-L1073</f>
        <v>0</v>
      </c>
      <c r="N1073" s="53" t="str">
        <f>IF(J1073&lt;&gt;0,M1073/J1073,"")</f>
        <v/>
      </c>
      <c r="O1073" s="23">
        <v>35.28</v>
      </c>
      <c r="P1073" s="25">
        <v>24</v>
      </c>
      <c r="Q1073" s="24">
        <v>21.6</v>
      </c>
      <c r="R1073" s="24">
        <f>O1073-Q1073</f>
        <v>13.68</v>
      </c>
      <c r="S1073" s="53">
        <f>IF(O1073&lt;&gt;0,R1073/O1073,"")</f>
        <v>0.38775510204081631</v>
      </c>
      <c r="T1073" s="10"/>
      <c r="U1073" s="23">
        <v>211.68</v>
      </c>
      <c r="V1073" s="25">
        <v>144</v>
      </c>
      <c r="W1073" s="24">
        <v>129.6</v>
      </c>
      <c r="X1073" s="24">
        <f>U1073-W1073</f>
        <v>82.080000000000013</v>
      </c>
      <c r="Y1073" s="53">
        <f>IF(U1073&lt;&gt;0,X1073/U1073,"")</f>
        <v>0.38775510204081637</v>
      </c>
      <c r="Z1073" s="23">
        <v>0</v>
      </c>
      <c r="AA1073" s="25">
        <v>0</v>
      </c>
      <c r="AB1073" s="24">
        <v>0</v>
      </c>
      <c r="AC1073" s="24">
        <f t="shared" si="332"/>
        <v>0</v>
      </c>
      <c r="AD1073" s="53" t="str">
        <f t="shared" si="333"/>
        <v/>
      </c>
      <c r="AE1073" s="10"/>
    </row>
    <row r="1074" spans="1:31" x14ac:dyDescent="0.25">
      <c r="A1074" s="14" t="s">
        <v>109</v>
      </c>
      <c r="C1074" s="61" t="str">
        <f t="shared" si="331"/>
        <v>C100073</v>
      </c>
      <c r="F1074" s="8" t="str">
        <f>"S100004"</f>
        <v>S100004</v>
      </c>
      <c r="G1074" s="9" t="str">
        <f>"Award Medallian - 2''"</f>
        <v>Award Medallian - 2''</v>
      </c>
      <c r="H1074" s="47"/>
      <c r="I1074" s="47"/>
      <c r="J1074" s="23">
        <v>0</v>
      </c>
      <c r="K1074" s="25">
        <v>0</v>
      </c>
      <c r="L1074" s="24">
        <v>0</v>
      </c>
      <c r="M1074" s="24">
        <f>J1074-L1074</f>
        <v>0</v>
      </c>
      <c r="N1074" s="53" t="str">
        <f>IF(J1074&lt;&gt;0,M1074/J1074,"")</f>
        <v/>
      </c>
      <c r="O1074" s="23">
        <v>1995.43</v>
      </c>
      <c r="P1074" s="25">
        <v>144</v>
      </c>
      <c r="Q1074" s="24">
        <v>960.48</v>
      </c>
      <c r="R1074" s="24">
        <f>O1074-Q1074</f>
        <v>1034.95</v>
      </c>
      <c r="S1074" s="53">
        <f>IF(O1074&lt;&gt;0,R1074/O1074,"")</f>
        <v>0.51866013841628122</v>
      </c>
      <c r="T1074" s="10"/>
      <c r="U1074" s="23">
        <v>0</v>
      </c>
      <c r="V1074" s="25">
        <v>0</v>
      </c>
      <c r="W1074" s="24">
        <v>0</v>
      </c>
      <c r="X1074" s="24">
        <f>U1074-W1074</f>
        <v>0</v>
      </c>
      <c r="Y1074" s="53" t="str">
        <f>IF(U1074&lt;&gt;0,X1074/U1074,"")</f>
        <v/>
      </c>
      <c r="Z1074" s="23">
        <v>0</v>
      </c>
      <c r="AA1074" s="25">
        <v>0</v>
      </c>
      <c r="AB1074" s="24">
        <v>0</v>
      </c>
      <c r="AC1074" s="24">
        <f t="shared" si="332"/>
        <v>0</v>
      </c>
      <c r="AD1074" s="53" t="str">
        <f t="shared" si="333"/>
        <v/>
      </c>
      <c r="AE1074" s="10"/>
    </row>
    <row r="1075" spans="1:31" x14ac:dyDescent="0.25">
      <c r="A1075" s="14" t="s">
        <v>109</v>
      </c>
      <c r="C1075" s="61" t="str">
        <f t="shared" si="331"/>
        <v>C100073</v>
      </c>
      <c r="F1075" s="8" t="str">
        <f>"S100005"</f>
        <v>S100005</v>
      </c>
      <c r="G1075" s="9" t="str">
        <f>"Award Medallian - 2.5''"</f>
        <v>Award Medallian - 2.5''</v>
      </c>
      <c r="H1075" s="47"/>
      <c r="I1075" s="47"/>
      <c r="J1075" s="23">
        <v>0</v>
      </c>
      <c r="K1075" s="25">
        <v>0</v>
      </c>
      <c r="L1075" s="24">
        <v>0</v>
      </c>
      <c r="M1075" s="24">
        <f>J1075-L1075</f>
        <v>0</v>
      </c>
      <c r="N1075" s="53" t="str">
        <f>IF(J1075&lt;&gt;0,M1075/J1075,"")</f>
        <v/>
      </c>
      <c r="O1075" s="23">
        <v>1223.51</v>
      </c>
      <c r="P1075" s="25">
        <v>144</v>
      </c>
      <c r="Q1075" s="24">
        <v>751.69</v>
      </c>
      <c r="R1075" s="24">
        <f>O1075-Q1075</f>
        <v>471.81999999999994</v>
      </c>
      <c r="S1075" s="53">
        <f>IF(O1075&lt;&gt;0,R1075/O1075,"")</f>
        <v>0.38562823352485875</v>
      </c>
      <c r="T1075" s="10"/>
      <c r="U1075" s="23">
        <v>0</v>
      </c>
      <c r="V1075" s="25">
        <v>0</v>
      </c>
      <c r="W1075" s="24">
        <v>0</v>
      </c>
      <c r="X1075" s="24">
        <f>U1075-W1075</f>
        <v>0</v>
      </c>
      <c r="Y1075" s="53" t="str">
        <f>IF(U1075&lt;&gt;0,X1075/U1075,"")</f>
        <v/>
      </c>
      <c r="Z1075" s="23">
        <v>0</v>
      </c>
      <c r="AA1075" s="25">
        <v>0</v>
      </c>
      <c r="AB1075" s="24">
        <v>0</v>
      </c>
      <c r="AC1075" s="24">
        <f t="shared" si="332"/>
        <v>0</v>
      </c>
      <c r="AD1075" s="53" t="str">
        <f t="shared" si="333"/>
        <v/>
      </c>
      <c r="AE1075" s="10"/>
    </row>
    <row r="1076" spans="1:31" x14ac:dyDescent="0.25">
      <c r="A1076" s="14" t="s">
        <v>109</v>
      </c>
      <c r="C1076" s="61" t="str">
        <f t="shared" si="331"/>
        <v>C100073</v>
      </c>
      <c r="F1076" s="8" t="str">
        <f>"S100006"</f>
        <v>S100006</v>
      </c>
      <c r="G1076" s="9" t="str">
        <f>"Award Medallian - 3''"</f>
        <v>Award Medallian - 3''</v>
      </c>
      <c r="H1076" s="47"/>
      <c r="I1076" s="47"/>
      <c r="J1076" s="23">
        <v>0</v>
      </c>
      <c r="K1076" s="25">
        <v>0</v>
      </c>
      <c r="L1076" s="24">
        <v>0</v>
      </c>
      <c r="M1076" s="24">
        <f>J1076-L1076</f>
        <v>0</v>
      </c>
      <c r="N1076" s="53" t="str">
        <f>IF(J1076&lt;&gt;0,M1076/J1076,"")</f>
        <v/>
      </c>
      <c r="O1076" s="23">
        <v>11.17</v>
      </c>
      <c r="P1076" s="25">
        <v>1</v>
      </c>
      <c r="Q1076" s="24">
        <v>7.4</v>
      </c>
      <c r="R1076" s="24">
        <f>O1076-Q1076</f>
        <v>3.7699999999999996</v>
      </c>
      <c r="S1076" s="53">
        <f>IF(O1076&lt;&gt;0,R1076/O1076,"")</f>
        <v>0.33751119068934643</v>
      </c>
      <c r="T1076" s="10"/>
      <c r="U1076" s="23">
        <v>0</v>
      </c>
      <c r="V1076" s="25">
        <v>0</v>
      </c>
      <c r="W1076" s="24">
        <v>0</v>
      </c>
      <c r="X1076" s="24">
        <f>U1076-W1076</f>
        <v>0</v>
      </c>
      <c r="Y1076" s="53" t="str">
        <f>IF(U1076&lt;&gt;0,X1076/U1076,"")</f>
        <v/>
      </c>
      <c r="Z1076" s="23">
        <v>0</v>
      </c>
      <c r="AA1076" s="25">
        <v>0</v>
      </c>
      <c r="AB1076" s="24">
        <v>0</v>
      </c>
      <c r="AC1076" s="24">
        <f t="shared" si="332"/>
        <v>0</v>
      </c>
      <c r="AD1076" s="53" t="str">
        <f t="shared" si="333"/>
        <v/>
      </c>
      <c r="AE1076" s="10"/>
    </row>
    <row r="1077" spans="1:31" x14ac:dyDescent="0.25">
      <c r="A1077" s="14" t="s">
        <v>109</v>
      </c>
      <c r="C1077" s="61" t="str">
        <f t="shared" si="331"/>
        <v>C100073</v>
      </c>
      <c r="F1077" s="8" t="str">
        <f>"S100008"</f>
        <v>S100008</v>
      </c>
      <c r="G1077" s="9" t="str">
        <f>"Soccer Figure Trophy"</f>
        <v>Soccer Figure Trophy</v>
      </c>
      <c r="H1077" s="47"/>
      <c r="I1077" s="47"/>
      <c r="J1077" s="23">
        <v>0</v>
      </c>
      <c r="K1077" s="25">
        <v>0</v>
      </c>
      <c r="L1077" s="24">
        <v>0</v>
      </c>
      <c r="M1077" s="24">
        <f>J1077-L1077</f>
        <v>0</v>
      </c>
      <c r="N1077" s="53" t="str">
        <f>IF(J1077&lt;&gt;0,M1077/J1077,"")</f>
        <v/>
      </c>
      <c r="O1077" s="23">
        <v>835.43</v>
      </c>
      <c r="P1077" s="25">
        <v>144</v>
      </c>
      <c r="Q1077" s="24">
        <v>529.91999999999996</v>
      </c>
      <c r="R1077" s="24">
        <f>O1077-Q1077</f>
        <v>305.51</v>
      </c>
      <c r="S1077" s="53">
        <f>IF(O1077&lt;&gt;0,R1077/O1077,"")</f>
        <v>0.36569191913146526</v>
      </c>
      <c r="T1077" s="10"/>
      <c r="U1077" s="23">
        <v>0</v>
      </c>
      <c r="V1077" s="25">
        <v>0</v>
      </c>
      <c r="W1077" s="24">
        <v>0</v>
      </c>
      <c r="X1077" s="24">
        <f>U1077-W1077</f>
        <v>0</v>
      </c>
      <c r="Y1077" s="53" t="str">
        <f>IF(U1077&lt;&gt;0,X1077/U1077,"")</f>
        <v/>
      </c>
      <c r="Z1077" s="23">
        <v>0</v>
      </c>
      <c r="AA1077" s="25">
        <v>0</v>
      </c>
      <c r="AB1077" s="24">
        <v>0</v>
      </c>
      <c r="AC1077" s="24">
        <f t="shared" si="332"/>
        <v>0</v>
      </c>
      <c r="AD1077" s="53" t="str">
        <f t="shared" si="333"/>
        <v/>
      </c>
      <c r="AE1077" s="10"/>
    </row>
    <row r="1078" spans="1:31" x14ac:dyDescent="0.25">
      <c r="A1078" s="14" t="s">
        <v>109</v>
      </c>
      <c r="C1078" s="61" t="str">
        <f t="shared" si="331"/>
        <v>C100073</v>
      </c>
      <c r="F1078" s="8" t="str">
        <f>"S100020"</f>
        <v>S100020</v>
      </c>
      <c r="G1078" s="9" t="str">
        <f>"Super Sport Stopwatch"</f>
        <v>Super Sport Stopwatch</v>
      </c>
      <c r="H1078" s="47"/>
      <c r="I1078" s="47"/>
      <c r="J1078" s="23">
        <v>0</v>
      </c>
      <c r="K1078" s="25">
        <v>0</v>
      </c>
      <c r="L1078" s="24">
        <v>0</v>
      </c>
      <c r="M1078" s="24">
        <f>J1078-L1078</f>
        <v>0</v>
      </c>
      <c r="N1078" s="53" t="str">
        <f>IF(J1078&lt;&gt;0,M1078/J1078,"")</f>
        <v/>
      </c>
      <c r="O1078" s="23">
        <v>307.64999999999998</v>
      </c>
      <c r="P1078" s="25">
        <v>144</v>
      </c>
      <c r="Q1078" s="24">
        <v>151.19999999999999</v>
      </c>
      <c r="R1078" s="24">
        <f>O1078-Q1078</f>
        <v>156.44999999999999</v>
      </c>
      <c r="S1078" s="53">
        <f>IF(O1078&lt;&gt;0,R1078/O1078,"")</f>
        <v>0.50853242320819114</v>
      </c>
      <c r="T1078" s="10"/>
      <c r="U1078" s="23">
        <v>0</v>
      </c>
      <c r="V1078" s="25">
        <v>0</v>
      </c>
      <c r="W1078" s="24">
        <v>0</v>
      </c>
      <c r="X1078" s="24">
        <f>U1078-W1078</f>
        <v>0</v>
      </c>
      <c r="Y1078" s="53" t="str">
        <f>IF(U1078&lt;&gt;0,X1078/U1078,"")</f>
        <v/>
      </c>
      <c r="Z1078" s="23">
        <v>0</v>
      </c>
      <c r="AA1078" s="25">
        <v>0</v>
      </c>
      <c r="AB1078" s="24">
        <v>0</v>
      </c>
      <c r="AC1078" s="24">
        <f t="shared" si="332"/>
        <v>0</v>
      </c>
      <c r="AD1078" s="53" t="str">
        <f t="shared" si="333"/>
        <v/>
      </c>
      <c r="AE1078" s="10"/>
    </row>
    <row r="1079" spans="1:31" ht="15.75" thickBot="1" x14ac:dyDescent="0.3">
      <c r="A1079" s="14" t="s">
        <v>109</v>
      </c>
      <c r="C1079" s="61" t="str">
        <f>C1063</f>
        <v>C100073</v>
      </c>
      <c r="J1079" s="10"/>
      <c r="K1079" s="11"/>
      <c r="L1079" s="11"/>
      <c r="M1079" s="11"/>
      <c r="N1079" s="12"/>
      <c r="O1079" s="10"/>
      <c r="P1079" s="11"/>
      <c r="Q1079" s="11"/>
      <c r="R1079" s="11"/>
      <c r="S1079" s="12"/>
      <c r="U1079" s="10"/>
      <c r="V1079" s="11"/>
      <c r="W1079" s="11"/>
      <c r="X1079" s="11"/>
      <c r="Y1079" s="12"/>
      <c r="Z1079" s="10"/>
      <c r="AA1079" s="11"/>
      <c r="AB1079" s="11"/>
      <c r="AC1079" s="11"/>
      <c r="AD1079" s="12"/>
    </row>
    <row r="1080" spans="1:31" ht="15.75" thickBot="1" x14ac:dyDescent="0.3">
      <c r="A1080" s="14" t="s">
        <v>109</v>
      </c>
      <c r="C1080" s="61" t="str">
        <f t="shared" si="328"/>
        <v>C100073</v>
      </c>
      <c r="G1080" s="48" t="str">
        <f>C1080&amp;" TOTAL:"</f>
        <v>C100073 TOTAL:</v>
      </c>
      <c r="H1080" s="50"/>
      <c r="I1080" s="50"/>
      <c r="J1080" s="34">
        <f>SUBTOTAL(9,J1062:J1079)</f>
        <v>0</v>
      </c>
      <c r="K1080" s="35">
        <f>SUBTOTAL(9,K1062:K1079)</f>
        <v>0</v>
      </c>
      <c r="L1080" s="36">
        <f>SUBTOTAL(9,L1062:L1079)</f>
        <v>0</v>
      </c>
      <c r="M1080" s="36">
        <f>J1080-L1080</f>
        <v>0</v>
      </c>
      <c r="N1080" s="37" t="str">
        <f>IF(J1080&lt;&gt;0,M1080/J1080,"")</f>
        <v/>
      </c>
      <c r="O1080" s="34">
        <f>SUBTOTAL(9,O1062:O1079)</f>
        <v>14167.74</v>
      </c>
      <c r="P1080" s="35">
        <f>SUBTOTAL(9,P1062:P1079)</f>
        <v>1665</v>
      </c>
      <c r="Q1080" s="36">
        <f>SUBTOTAL(9,Q1062:Q1079)</f>
        <v>7667.0000000000009</v>
      </c>
      <c r="R1080" s="36">
        <f>O1080-Q1080</f>
        <v>6500.7399999999989</v>
      </c>
      <c r="S1080" s="37">
        <f>IF(O1080&lt;&gt;0,R1080/O1080,"")</f>
        <v>0.45884100075241352</v>
      </c>
      <c r="U1080" s="34">
        <f>SUBTOTAL(9,U1062:U1079)</f>
        <v>3813.0600000000004</v>
      </c>
      <c r="V1080" s="35">
        <f>SUBTOTAL(9,V1062:V1079)</f>
        <v>480</v>
      </c>
      <c r="W1080" s="36">
        <f>SUBTOTAL(9,W1062:W1079)</f>
        <v>1927.1899999999998</v>
      </c>
      <c r="X1080" s="36">
        <f>U1080-W1080</f>
        <v>1885.8700000000006</v>
      </c>
      <c r="Y1080" s="37">
        <f>IF(U1080&lt;&gt;0,X1080/U1080,"")</f>
        <v>0.49458177946321336</v>
      </c>
      <c r="Z1080" s="34">
        <f>SUBTOTAL(9,Z1062:Z1079)</f>
        <v>-3.06</v>
      </c>
      <c r="AA1080" s="35">
        <f>SUBTOTAL(9,AA1062:AA1079)</f>
        <v>-1</v>
      </c>
      <c r="AB1080" s="36">
        <f>SUBTOTAL(9,AB1062:AB1079)</f>
        <v>-2</v>
      </c>
      <c r="AC1080" s="36">
        <f t="shared" ref="AC1080" si="334">Z1080-AB1080</f>
        <v>-1.06</v>
      </c>
      <c r="AD1080" s="37">
        <f t="shared" ref="AD1080" si="335">IF(Z1080&lt;&gt;0,AC1080/Z1080,"")</f>
        <v>0.34640522875816993</v>
      </c>
    </row>
    <row r="1081" spans="1:31" x14ac:dyDescent="0.25">
      <c r="A1081" s="14" t="s">
        <v>109</v>
      </c>
      <c r="C1081" s="66"/>
      <c r="J1081" s="10"/>
      <c r="K1081" s="11"/>
      <c r="L1081" s="11"/>
      <c r="M1081" s="11"/>
      <c r="N1081" s="12"/>
      <c r="O1081" s="10"/>
      <c r="P1081" s="11"/>
      <c r="Q1081" s="11"/>
      <c r="R1081" s="11"/>
      <c r="S1081" s="12"/>
      <c r="U1081" s="10"/>
      <c r="V1081" s="11"/>
      <c r="W1081" s="11"/>
      <c r="X1081" s="11"/>
      <c r="Y1081" s="12"/>
      <c r="Z1081" s="10"/>
      <c r="AA1081" s="11"/>
      <c r="AB1081" s="11"/>
      <c r="AC1081" s="11"/>
      <c r="AD1081" s="12"/>
    </row>
    <row r="1082" spans="1:31" ht="15.75" x14ac:dyDescent="0.25">
      <c r="A1082" s="14" t="s">
        <v>109</v>
      </c>
      <c r="C1082" s="66" t="str">
        <f t="shared" ref="C1082" si="336">E1082</f>
        <v>C100075</v>
      </c>
      <c r="E1082" s="13" t="str">
        <f>"C100075"</f>
        <v>C100075</v>
      </c>
      <c r="F1082" s="13"/>
      <c r="G1082" s="13" t="str">
        <f>"Selangorian Ltd."</f>
        <v>Selangorian Ltd.</v>
      </c>
      <c r="H1082" s="13"/>
      <c r="I1082" s="13"/>
      <c r="J1082" s="10"/>
      <c r="K1082" s="11"/>
      <c r="L1082" s="11"/>
      <c r="M1082" s="11"/>
      <c r="N1082" s="12"/>
      <c r="O1082" s="10"/>
      <c r="P1082" s="11"/>
      <c r="Q1082" s="11"/>
      <c r="R1082" s="11"/>
      <c r="S1082" s="12"/>
      <c r="U1082" s="10"/>
      <c r="V1082" s="11"/>
      <c r="W1082" s="11"/>
      <c r="X1082" s="11"/>
      <c r="Y1082" s="12"/>
      <c r="Z1082" s="10"/>
      <c r="AA1082" s="11"/>
      <c r="AB1082" s="11"/>
      <c r="AC1082" s="11"/>
      <c r="AD1082" s="12"/>
    </row>
    <row r="1083" spans="1:31" ht="6.6" customHeight="1" x14ac:dyDescent="0.25">
      <c r="A1083" s="14" t="s">
        <v>109</v>
      </c>
      <c r="C1083" s="61" t="str">
        <f t="shared" ref="C1083:C1111" si="337">C1082</f>
        <v>C100075</v>
      </c>
      <c r="J1083" s="10"/>
      <c r="K1083" s="11"/>
      <c r="L1083" s="11"/>
      <c r="M1083" s="11"/>
      <c r="N1083" s="12"/>
      <c r="O1083" s="10"/>
      <c r="P1083" s="11"/>
      <c r="Q1083" s="11"/>
      <c r="R1083" s="11"/>
      <c r="S1083" s="12"/>
      <c r="U1083" s="10"/>
      <c r="V1083" s="11"/>
      <c r="W1083" s="11"/>
      <c r="X1083" s="11"/>
      <c r="Y1083" s="12"/>
      <c r="Z1083" s="10"/>
      <c r="AA1083" s="11"/>
      <c r="AB1083" s="11"/>
      <c r="AC1083" s="11"/>
      <c r="AD1083" s="12"/>
    </row>
    <row r="1084" spans="1:31" x14ac:dyDescent="0.25">
      <c r="A1084" s="14" t="s">
        <v>109</v>
      </c>
      <c r="C1084" s="61" t="str">
        <f t="shared" si="337"/>
        <v>C100075</v>
      </c>
      <c r="F1084" s="8" t="str">
        <f>"C100002"</f>
        <v>C100002</v>
      </c>
      <c r="G1084" s="9" t="str">
        <f>"Border Style"</f>
        <v>Border Style</v>
      </c>
      <c r="H1084" s="47"/>
      <c r="I1084" s="47"/>
      <c r="J1084" s="23">
        <v>2599.9</v>
      </c>
      <c r="K1084" s="25">
        <v>48</v>
      </c>
      <c r="L1084" s="24">
        <v>1533.6</v>
      </c>
      <c r="M1084" s="24">
        <f>J1084-L1084</f>
        <v>1066.3000000000002</v>
      </c>
      <c r="N1084" s="53">
        <f>IF(J1084&lt;&gt;0,M1084/J1084,"")</f>
        <v>0.4101311588907266</v>
      </c>
      <c r="O1084" s="23">
        <v>53.61</v>
      </c>
      <c r="P1084" s="25">
        <v>1</v>
      </c>
      <c r="Q1084" s="24">
        <v>31.950000000000003</v>
      </c>
      <c r="R1084" s="24">
        <f>O1084-Q1084</f>
        <v>21.659999999999997</v>
      </c>
      <c r="S1084" s="53">
        <f>IF(O1084&lt;&gt;0,R1084/O1084,"")</f>
        <v>0.40402909904868489</v>
      </c>
      <c r="T1084" s="10"/>
      <c r="U1084" s="23">
        <v>7322.17</v>
      </c>
      <c r="V1084" s="25">
        <v>144</v>
      </c>
      <c r="W1084" s="24">
        <v>4600.8</v>
      </c>
      <c r="X1084" s="24">
        <f>U1084-W1084</f>
        <v>2721.37</v>
      </c>
      <c r="Y1084" s="53">
        <f>IF(U1084&lt;&gt;0,X1084/U1084,"")</f>
        <v>0.37166167952942908</v>
      </c>
      <c r="Z1084" s="23">
        <v>0</v>
      </c>
      <c r="AA1084" s="25">
        <v>0</v>
      </c>
      <c r="AB1084" s="24">
        <v>0</v>
      </c>
      <c r="AC1084" s="24">
        <f t="shared" ref="AC1084" si="338">Z1084-AB1084</f>
        <v>0</v>
      </c>
      <c r="AD1084" s="53" t="str">
        <f t="shared" ref="AD1084" si="339">IF(Z1084&lt;&gt;0,AC1084/Z1084,"")</f>
        <v/>
      </c>
      <c r="AE1084" s="10"/>
    </row>
    <row r="1085" spans="1:31" x14ac:dyDescent="0.25">
      <c r="A1085" s="14" t="s">
        <v>109</v>
      </c>
      <c r="C1085" s="61" t="str">
        <f t="shared" ref="C1085:C1109" si="340">C1084</f>
        <v>C100075</v>
      </c>
      <c r="F1085" s="8" t="str">
        <f>"C100004"</f>
        <v>C100004</v>
      </c>
      <c r="G1085" s="9" t="str">
        <f>"Walnut Medallian Plate"</f>
        <v>Walnut Medallian Plate</v>
      </c>
      <c r="H1085" s="47"/>
      <c r="I1085" s="47"/>
      <c r="J1085" s="23">
        <v>8376.880000000001</v>
      </c>
      <c r="K1085" s="25">
        <v>144</v>
      </c>
      <c r="L1085" s="24">
        <v>4406.3899999999994</v>
      </c>
      <c r="M1085" s="24">
        <f>J1085-L1085</f>
        <v>3970.4900000000016</v>
      </c>
      <c r="N1085" s="53">
        <f>IF(J1085&lt;&gt;0,M1085/J1085,"")</f>
        <v>0.47398195987050085</v>
      </c>
      <c r="O1085" s="23">
        <v>0</v>
      </c>
      <c r="P1085" s="25">
        <v>0</v>
      </c>
      <c r="Q1085" s="24">
        <v>0</v>
      </c>
      <c r="R1085" s="24">
        <f>O1085-Q1085</f>
        <v>0</v>
      </c>
      <c r="S1085" s="53" t="str">
        <f>IF(O1085&lt;&gt;0,R1085/O1085,"")</f>
        <v/>
      </c>
      <c r="T1085" s="10"/>
      <c r="U1085" s="23">
        <v>345.47999999999996</v>
      </c>
      <c r="V1085" s="25">
        <v>6</v>
      </c>
      <c r="W1085" s="24">
        <v>183.6</v>
      </c>
      <c r="X1085" s="24">
        <f>U1085-W1085</f>
        <v>161.87999999999997</v>
      </c>
      <c r="Y1085" s="53">
        <f>IF(U1085&lt;&gt;0,X1085/U1085,"")</f>
        <v>0.46856547412295929</v>
      </c>
      <c r="Z1085" s="23">
        <v>0</v>
      </c>
      <c r="AA1085" s="25">
        <v>0</v>
      </c>
      <c r="AB1085" s="24">
        <v>0</v>
      </c>
      <c r="AC1085" s="24">
        <f t="shared" ref="AC1085:AC1109" si="341">Z1085-AB1085</f>
        <v>0</v>
      </c>
      <c r="AD1085" s="53" t="str">
        <f t="shared" ref="AD1085:AD1109" si="342">IF(Z1085&lt;&gt;0,AC1085/Z1085,"")</f>
        <v/>
      </c>
      <c r="AE1085" s="10"/>
    </row>
    <row r="1086" spans="1:31" x14ac:dyDescent="0.25">
      <c r="A1086" s="14" t="s">
        <v>109</v>
      </c>
      <c r="C1086" s="61" t="str">
        <f t="shared" si="340"/>
        <v>C100075</v>
      </c>
      <c r="F1086" s="8" t="str">
        <f>"C100006"</f>
        <v>C100006</v>
      </c>
      <c r="G1086" s="9" t="str">
        <f>"Cherry Finished Crystal Award- Large"</f>
        <v>Cherry Finished Crystal Award- Large</v>
      </c>
      <c r="H1086" s="47"/>
      <c r="I1086" s="47"/>
      <c r="J1086" s="23">
        <v>204.91</v>
      </c>
      <c r="K1086" s="25">
        <v>1</v>
      </c>
      <c r="L1086" s="24">
        <v>95.04</v>
      </c>
      <c r="M1086" s="24">
        <f>J1086-L1086</f>
        <v>109.86999999999999</v>
      </c>
      <c r="N1086" s="53">
        <f>IF(J1086&lt;&gt;0,M1086/J1086,"")</f>
        <v>0.5361866185154458</v>
      </c>
      <c r="O1086" s="23">
        <v>0</v>
      </c>
      <c r="P1086" s="25">
        <v>0</v>
      </c>
      <c r="Q1086" s="24">
        <v>0</v>
      </c>
      <c r="R1086" s="24">
        <f>O1086-Q1086</f>
        <v>0</v>
      </c>
      <c r="S1086" s="53" t="str">
        <f>IF(O1086&lt;&gt;0,R1086/O1086,"")</f>
        <v/>
      </c>
      <c r="T1086" s="10"/>
      <c r="U1086" s="23">
        <v>1216.8999999999999</v>
      </c>
      <c r="V1086" s="25">
        <v>6</v>
      </c>
      <c r="W1086" s="24">
        <v>570.24</v>
      </c>
      <c r="X1086" s="24">
        <f>U1086-W1086</f>
        <v>646.65999999999985</v>
      </c>
      <c r="Y1086" s="53">
        <f>IF(U1086&lt;&gt;0,X1086/U1086,"")</f>
        <v>0.53139945763826113</v>
      </c>
      <c r="Z1086" s="23">
        <v>1191.81</v>
      </c>
      <c r="AA1086" s="25">
        <v>6</v>
      </c>
      <c r="AB1086" s="24">
        <v>570.24</v>
      </c>
      <c r="AC1086" s="24">
        <f t="shared" si="341"/>
        <v>621.56999999999994</v>
      </c>
      <c r="AD1086" s="53">
        <f t="shared" si="342"/>
        <v>0.52153447277670095</v>
      </c>
      <c r="AE1086" s="10"/>
    </row>
    <row r="1087" spans="1:31" x14ac:dyDescent="0.25">
      <c r="A1087" s="14" t="s">
        <v>109</v>
      </c>
      <c r="C1087" s="61" t="str">
        <f t="shared" si="340"/>
        <v>C100075</v>
      </c>
      <c r="F1087" s="8" t="str">
        <f>"C100007"</f>
        <v>C100007</v>
      </c>
      <c r="G1087" s="9" t="str">
        <f>"7.5'' Bud Vase"</f>
        <v>7.5'' Bud Vase</v>
      </c>
      <c r="H1087" s="47"/>
      <c r="I1087" s="47"/>
      <c r="J1087" s="23">
        <v>239.89999999999998</v>
      </c>
      <c r="K1087" s="25">
        <v>144</v>
      </c>
      <c r="L1087" s="24">
        <v>146.88999999999999</v>
      </c>
      <c r="M1087" s="24">
        <f>J1087-L1087</f>
        <v>93.009999999999991</v>
      </c>
      <c r="N1087" s="53">
        <f>IF(J1087&lt;&gt;0,M1087/J1087,"")</f>
        <v>0.3877032096706961</v>
      </c>
      <c r="O1087" s="23">
        <v>1.65</v>
      </c>
      <c r="P1087" s="25">
        <v>1</v>
      </c>
      <c r="Q1087" s="24">
        <v>1.02</v>
      </c>
      <c r="R1087" s="24">
        <f>O1087-Q1087</f>
        <v>0.62999999999999989</v>
      </c>
      <c r="S1087" s="53">
        <f>IF(O1087&lt;&gt;0,R1087/O1087,"")</f>
        <v>0.38181818181818178</v>
      </c>
      <c r="T1087" s="10"/>
      <c r="U1087" s="23">
        <v>226.86999999999998</v>
      </c>
      <c r="V1087" s="25">
        <v>145</v>
      </c>
      <c r="W1087" s="24">
        <v>147.91</v>
      </c>
      <c r="X1087" s="24">
        <f>U1087-W1087</f>
        <v>78.95999999999998</v>
      </c>
      <c r="Y1087" s="53">
        <f>IF(U1087&lt;&gt;0,X1087/U1087,"")</f>
        <v>0.34804072817031773</v>
      </c>
      <c r="Z1087" s="23">
        <v>232.56000000000003</v>
      </c>
      <c r="AA1087" s="25">
        <v>144</v>
      </c>
      <c r="AB1087" s="24">
        <v>146.88999999999999</v>
      </c>
      <c r="AC1087" s="24">
        <f t="shared" si="341"/>
        <v>85.670000000000044</v>
      </c>
      <c r="AD1087" s="53">
        <f t="shared" si="342"/>
        <v>0.36837805297557635</v>
      </c>
      <c r="AE1087" s="10"/>
    </row>
    <row r="1088" spans="1:31" x14ac:dyDescent="0.25">
      <c r="A1088" s="14" t="s">
        <v>109</v>
      </c>
      <c r="C1088" s="61" t="str">
        <f t="shared" si="340"/>
        <v>C100075</v>
      </c>
      <c r="F1088" s="8" t="str">
        <f>"C100008"</f>
        <v>C100008</v>
      </c>
      <c r="G1088" s="9" t="str">
        <f>"Glacier Vase"</f>
        <v>Glacier Vase</v>
      </c>
      <c r="H1088" s="47"/>
      <c r="I1088" s="47"/>
      <c r="J1088" s="23">
        <v>0</v>
      </c>
      <c r="K1088" s="25">
        <v>0</v>
      </c>
      <c r="L1088" s="24">
        <v>0</v>
      </c>
      <c r="M1088" s="24">
        <f>J1088-L1088</f>
        <v>0</v>
      </c>
      <c r="N1088" s="53" t="str">
        <f>IF(J1088&lt;&gt;0,M1088/J1088,"")</f>
        <v/>
      </c>
      <c r="O1088" s="23">
        <v>8.7799999999999994</v>
      </c>
      <c r="P1088" s="25">
        <v>1</v>
      </c>
      <c r="Q1088" s="24">
        <v>4.25</v>
      </c>
      <c r="R1088" s="24">
        <f>O1088-Q1088</f>
        <v>4.5299999999999994</v>
      </c>
      <c r="S1088" s="53">
        <f>IF(O1088&lt;&gt;0,R1088/O1088,"")</f>
        <v>0.51594533029612755</v>
      </c>
      <c r="T1088" s="10"/>
      <c r="U1088" s="23">
        <v>0</v>
      </c>
      <c r="V1088" s="25">
        <v>0</v>
      </c>
      <c r="W1088" s="24">
        <v>0</v>
      </c>
      <c r="X1088" s="24">
        <f>U1088-W1088</f>
        <v>0</v>
      </c>
      <c r="Y1088" s="53" t="str">
        <f>IF(U1088&lt;&gt;0,X1088/U1088,"")</f>
        <v/>
      </c>
      <c r="Z1088" s="23">
        <v>0</v>
      </c>
      <c r="AA1088" s="25">
        <v>0</v>
      </c>
      <c r="AB1088" s="24">
        <v>0</v>
      </c>
      <c r="AC1088" s="24">
        <f t="shared" si="341"/>
        <v>0</v>
      </c>
      <c r="AD1088" s="53" t="str">
        <f t="shared" si="342"/>
        <v/>
      </c>
      <c r="AE1088" s="10"/>
    </row>
    <row r="1089" spans="1:31" x14ac:dyDescent="0.25">
      <c r="A1089" s="14" t="s">
        <v>109</v>
      </c>
      <c r="C1089" s="61" t="str">
        <f t="shared" si="340"/>
        <v>C100075</v>
      </c>
      <c r="F1089" s="8" t="str">
        <f>"C100009"</f>
        <v>C100009</v>
      </c>
      <c r="G1089" s="9" t="str">
        <f>"Normandy Vase"</f>
        <v>Normandy Vase</v>
      </c>
      <c r="H1089" s="47"/>
      <c r="I1089" s="47"/>
      <c r="J1089" s="23">
        <v>0</v>
      </c>
      <c r="K1089" s="25">
        <v>0</v>
      </c>
      <c r="L1089" s="24">
        <v>0</v>
      </c>
      <c r="M1089" s="24">
        <f>J1089-L1089</f>
        <v>0</v>
      </c>
      <c r="N1089" s="53" t="str">
        <f>IF(J1089&lt;&gt;0,M1089/J1089,"")</f>
        <v/>
      </c>
      <c r="O1089" s="23">
        <v>38.619999999999997</v>
      </c>
      <c r="P1089" s="25">
        <v>1</v>
      </c>
      <c r="Q1089" s="24">
        <v>25.52</v>
      </c>
      <c r="R1089" s="24">
        <f>O1089-Q1089</f>
        <v>13.099999999999998</v>
      </c>
      <c r="S1089" s="53">
        <f>IF(O1089&lt;&gt;0,R1089/O1089,"")</f>
        <v>0.33920248575867423</v>
      </c>
      <c r="T1089" s="10"/>
      <c r="U1089" s="23">
        <v>38.619999999999997</v>
      </c>
      <c r="V1089" s="25">
        <v>1</v>
      </c>
      <c r="W1089" s="24">
        <v>25.52</v>
      </c>
      <c r="X1089" s="24">
        <f>U1089-W1089</f>
        <v>13.099999999999998</v>
      </c>
      <c r="Y1089" s="53">
        <f>IF(U1089&lt;&gt;0,X1089/U1089,"")</f>
        <v>0.33920248575867423</v>
      </c>
      <c r="Z1089" s="23">
        <v>7261.35</v>
      </c>
      <c r="AA1089" s="25">
        <v>192</v>
      </c>
      <c r="AB1089" s="24">
        <v>4899.8099999999995</v>
      </c>
      <c r="AC1089" s="24">
        <f t="shared" si="341"/>
        <v>2361.5400000000009</v>
      </c>
      <c r="AD1089" s="53">
        <f t="shared" si="342"/>
        <v>0.32522051684604114</v>
      </c>
      <c r="AE1089" s="10"/>
    </row>
    <row r="1090" spans="1:31" x14ac:dyDescent="0.25">
      <c r="A1090" s="14" t="s">
        <v>109</v>
      </c>
      <c r="C1090" s="61" t="str">
        <f t="shared" si="340"/>
        <v>C100075</v>
      </c>
      <c r="F1090" s="8" t="str">
        <f>"C100010"</f>
        <v>C100010</v>
      </c>
      <c r="G1090" s="9" t="str">
        <f>"Wisper-Cut Vase"</f>
        <v>Wisper-Cut Vase</v>
      </c>
      <c r="H1090" s="47"/>
      <c r="I1090" s="47"/>
      <c r="J1090" s="23">
        <v>0</v>
      </c>
      <c r="K1090" s="25">
        <v>0</v>
      </c>
      <c r="L1090" s="24">
        <v>0</v>
      </c>
      <c r="M1090" s="24">
        <f>J1090-L1090</f>
        <v>0</v>
      </c>
      <c r="N1090" s="53" t="str">
        <f>IF(J1090&lt;&gt;0,M1090/J1090,"")</f>
        <v/>
      </c>
      <c r="O1090" s="23">
        <v>11749.88</v>
      </c>
      <c r="P1090" s="25">
        <v>144</v>
      </c>
      <c r="Q1090" s="24">
        <v>5795.9800000000005</v>
      </c>
      <c r="R1090" s="24">
        <f>O1090-Q1090</f>
        <v>5953.8999999999987</v>
      </c>
      <c r="S1090" s="53">
        <f>IF(O1090&lt;&gt;0,R1090/O1090,"")</f>
        <v>0.50672006863048802</v>
      </c>
      <c r="T1090" s="10"/>
      <c r="U1090" s="23">
        <v>1857.37</v>
      </c>
      <c r="V1090" s="25">
        <v>24</v>
      </c>
      <c r="W1090" s="24">
        <v>965.99999999999989</v>
      </c>
      <c r="X1090" s="24">
        <f>U1090-W1090</f>
        <v>891.37</v>
      </c>
      <c r="Y1090" s="53">
        <f>IF(U1090&lt;&gt;0,X1090/U1090,"")</f>
        <v>0.47990976488260284</v>
      </c>
      <c r="Z1090" s="23">
        <v>3835.87</v>
      </c>
      <c r="AA1090" s="25">
        <v>48</v>
      </c>
      <c r="AB1090" s="24">
        <v>1931.99</v>
      </c>
      <c r="AC1090" s="24">
        <f t="shared" si="341"/>
        <v>1903.8799999999999</v>
      </c>
      <c r="AD1090" s="53">
        <f t="shared" si="342"/>
        <v>0.49633590293727364</v>
      </c>
      <c r="AE1090" s="10"/>
    </row>
    <row r="1091" spans="1:31" x14ac:dyDescent="0.25">
      <c r="A1091" s="14" t="s">
        <v>109</v>
      </c>
      <c r="C1091" s="61" t="str">
        <f t="shared" si="340"/>
        <v>C100075</v>
      </c>
      <c r="F1091" s="8" t="str">
        <f>"C100032"</f>
        <v>C100032</v>
      </c>
      <c r="G1091" s="9" t="str">
        <f>"Clip-on Clock"</f>
        <v>Clip-on Clock</v>
      </c>
      <c r="H1091" s="47"/>
      <c r="I1091" s="47"/>
      <c r="J1091" s="23">
        <v>8.08</v>
      </c>
      <c r="K1091" s="25">
        <v>1</v>
      </c>
      <c r="L1091" s="24">
        <v>4.16</v>
      </c>
      <c r="M1091" s="24">
        <f>J1091-L1091</f>
        <v>3.92</v>
      </c>
      <c r="N1091" s="53">
        <f>IF(J1091&lt;&gt;0,M1091/J1091,"")</f>
        <v>0.48514851485148514</v>
      </c>
      <c r="O1091" s="23">
        <v>0</v>
      </c>
      <c r="P1091" s="25">
        <v>0</v>
      </c>
      <c r="Q1091" s="24">
        <v>0</v>
      </c>
      <c r="R1091" s="24">
        <f>O1091-Q1091</f>
        <v>0</v>
      </c>
      <c r="S1091" s="53" t="str">
        <f>IF(O1091&lt;&gt;0,R1091/O1091,"")</f>
        <v/>
      </c>
      <c r="T1091" s="10"/>
      <c r="U1091" s="23">
        <v>0</v>
      </c>
      <c r="V1091" s="25">
        <v>0</v>
      </c>
      <c r="W1091" s="24">
        <v>0</v>
      </c>
      <c r="X1091" s="24">
        <f>U1091-W1091</f>
        <v>0</v>
      </c>
      <c r="Y1091" s="53" t="str">
        <f>IF(U1091&lt;&gt;0,X1091/U1091,"")</f>
        <v/>
      </c>
      <c r="Z1091" s="23">
        <v>1135.06</v>
      </c>
      <c r="AA1091" s="25">
        <v>145</v>
      </c>
      <c r="AB1091" s="24">
        <v>603.21</v>
      </c>
      <c r="AC1091" s="24">
        <f t="shared" si="341"/>
        <v>531.84999999999991</v>
      </c>
      <c r="AD1091" s="53">
        <f t="shared" si="342"/>
        <v>0.46856553838563597</v>
      </c>
      <c r="AE1091" s="10"/>
    </row>
    <row r="1092" spans="1:31" x14ac:dyDescent="0.25">
      <c r="A1092" s="14" t="s">
        <v>109</v>
      </c>
      <c r="C1092" s="61" t="str">
        <f t="shared" si="340"/>
        <v>C100075</v>
      </c>
      <c r="F1092" s="8" t="str">
        <f>"C100033"</f>
        <v>C100033</v>
      </c>
      <c r="G1092" s="9" t="str">
        <f>"Frames &amp; Clock"</f>
        <v>Frames &amp; Clock</v>
      </c>
      <c r="H1092" s="47"/>
      <c r="I1092" s="47"/>
      <c r="J1092" s="23">
        <v>0</v>
      </c>
      <c r="K1092" s="25">
        <v>0</v>
      </c>
      <c r="L1092" s="24">
        <v>0</v>
      </c>
      <c r="M1092" s="24">
        <f>J1092-L1092</f>
        <v>0</v>
      </c>
      <c r="N1092" s="53" t="str">
        <f>IF(J1092&lt;&gt;0,M1092/J1092,"")</f>
        <v/>
      </c>
      <c r="O1092" s="23">
        <v>676.05</v>
      </c>
      <c r="P1092" s="25">
        <v>144</v>
      </c>
      <c r="Q1092" s="24">
        <v>414.7</v>
      </c>
      <c r="R1092" s="24">
        <f>O1092-Q1092</f>
        <v>261.34999999999997</v>
      </c>
      <c r="S1092" s="53">
        <f>IF(O1092&lt;&gt;0,R1092/O1092,"")</f>
        <v>0.38658383255676354</v>
      </c>
      <c r="T1092" s="10"/>
      <c r="U1092" s="23">
        <v>0</v>
      </c>
      <c r="V1092" s="25">
        <v>0</v>
      </c>
      <c r="W1092" s="24">
        <v>0</v>
      </c>
      <c r="X1092" s="24">
        <f>U1092-W1092</f>
        <v>0</v>
      </c>
      <c r="Y1092" s="53" t="str">
        <f>IF(U1092&lt;&gt;0,X1092/U1092,"")</f>
        <v/>
      </c>
      <c r="Z1092" s="23">
        <v>4.5999999999999996</v>
      </c>
      <c r="AA1092" s="25">
        <v>1</v>
      </c>
      <c r="AB1092" s="24">
        <v>2.88</v>
      </c>
      <c r="AC1092" s="24">
        <f t="shared" si="341"/>
        <v>1.7199999999999998</v>
      </c>
      <c r="AD1092" s="53">
        <f t="shared" si="342"/>
        <v>0.37391304347826082</v>
      </c>
      <c r="AE1092" s="10"/>
    </row>
    <row r="1093" spans="1:31" x14ac:dyDescent="0.25">
      <c r="A1093" s="14" t="s">
        <v>109</v>
      </c>
      <c r="C1093" s="61" t="str">
        <f t="shared" si="340"/>
        <v>C100075</v>
      </c>
      <c r="F1093" s="8" t="str">
        <f>"C100035"</f>
        <v>C100035</v>
      </c>
      <c r="G1093" s="9" t="str">
        <f>"Calculator &amp; World Time Clock"</f>
        <v>Calculator &amp; World Time Clock</v>
      </c>
      <c r="H1093" s="47"/>
      <c r="I1093" s="47"/>
      <c r="J1093" s="23">
        <v>414.89</v>
      </c>
      <c r="K1093" s="25">
        <v>144</v>
      </c>
      <c r="L1093" s="24">
        <v>282.24</v>
      </c>
      <c r="M1093" s="24">
        <f>J1093-L1093</f>
        <v>132.64999999999998</v>
      </c>
      <c r="N1093" s="53">
        <f>IF(J1093&lt;&gt;0,M1093/J1093,"")</f>
        <v>0.31972330015184741</v>
      </c>
      <c r="O1093" s="23">
        <v>-131.21</v>
      </c>
      <c r="P1093" s="25">
        <v>-47</v>
      </c>
      <c r="Q1093" s="24">
        <v>-92.12</v>
      </c>
      <c r="R1093" s="24">
        <f>O1093-Q1093</f>
        <v>-39.090000000000003</v>
      </c>
      <c r="S1093" s="53">
        <f>IF(O1093&lt;&gt;0,R1093/O1093,"")</f>
        <v>0.2979193659019892</v>
      </c>
      <c r="T1093" s="10"/>
      <c r="U1093" s="23">
        <v>-2.85</v>
      </c>
      <c r="V1093" s="25">
        <v>-1</v>
      </c>
      <c r="W1093" s="24">
        <v>-1.96</v>
      </c>
      <c r="X1093" s="24">
        <f>U1093-W1093</f>
        <v>-0.89000000000000012</v>
      </c>
      <c r="Y1093" s="53">
        <f>IF(U1093&lt;&gt;0,X1093/U1093,"")</f>
        <v>0.31228070175438599</v>
      </c>
      <c r="Z1093" s="23">
        <v>0</v>
      </c>
      <c r="AA1093" s="25">
        <v>0</v>
      </c>
      <c r="AB1093" s="24">
        <v>0</v>
      </c>
      <c r="AC1093" s="24">
        <f t="shared" si="341"/>
        <v>0</v>
      </c>
      <c r="AD1093" s="53" t="str">
        <f t="shared" si="342"/>
        <v/>
      </c>
      <c r="AE1093" s="10"/>
    </row>
    <row r="1094" spans="1:31" x14ac:dyDescent="0.25">
      <c r="A1094" s="14" t="s">
        <v>109</v>
      </c>
      <c r="C1094" s="61" t="str">
        <f t="shared" si="340"/>
        <v>C100075</v>
      </c>
      <c r="F1094" s="8" t="str">
        <f>"C100036"</f>
        <v>C100036</v>
      </c>
      <c r="G1094" s="9" t="str">
        <f>"Clock &amp; Business Card Holder"</f>
        <v>Clock &amp; Business Card Holder</v>
      </c>
      <c r="H1094" s="47"/>
      <c r="I1094" s="47"/>
      <c r="J1094" s="23">
        <v>1227.74</v>
      </c>
      <c r="K1094" s="25">
        <v>144</v>
      </c>
      <c r="L1094" s="24">
        <v>673.93000000000006</v>
      </c>
      <c r="M1094" s="24">
        <f>J1094-L1094</f>
        <v>553.80999999999995</v>
      </c>
      <c r="N1094" s="53">
        <f>IF(J1094&lt;&gt;0,M1094/J1094,"")</f>
        <v>0.45108084773649137</v>
      </c>
      <c r="O1094" s="23">
        <v>0</v>
      </c>
      <c r="P1094" s="25">
        <v>0</v>
      </c>
      <c r="Q1094" s="24">
        <v>0</v>
      </c>
      <c r="R1094" s="24">
        <f>O1094-Q1094</f>
        <v>0</v>
      </c>
      <c r="S1094" s="53" t="str">
        <f>IF(O1094&lt;&gt;0,R1094/O1094,"")</f>
        <v/>
      </c>
      <c r="T1094" s="10"/>
      <c r="U1094" s="23">
        <v>0</v>
      </c>
      <c r="V1094" s="25">
        <v>0</v>
      </c>
      <c r="W1094" s="24">
        <v>0</v>
      </c>
      <c r="X1094" s="24">
        <f>U1094-W1094</f>
        <v>0</v>
      </c>
      <c r="Y1094" s="53" t="str">
        <f>IF(U1094&lt;&gt;0,X1094/U1094,"")</f>
        <v/>
      </c>
      <c r="Z1094" s="23">
        <v>0</v>
      </c>
      <c r="AA1094" s="25">
        <v>0</v>
      </c>
      <c r="AB1094" s="24">
        <v>0</v>
      </c>
      <c r="AC1094" s="24">
        <f t="shared" si="341"/>
        <v>0</v>
      </c>
      <c r="AD1094" s="53" t="str">
        <f t="shared" si="342"/>
        <v/>
      </c>
      <c r="AE1094" s="10"/>
    </row>
    <row r="1095" spans="1:31" x14ac:dyDescent="0.25">
      <c r="A1095" s="14" t="s">
        <v>109</v>
      </c>
      <c r="C1095" s="61" t="str">
        <f t="shared" si="340"/>
        <v>C100075</v>
      </c>
      <c r="F1095" s="8" t="str">
        <f>"C100037"</f>
        <v>C100037</v>
      </c>
      <c r="G1095" s="9" t="str">
        <f>"World Time Travel Alarm"</f>
        <v>World Time Travel Alarm</v>
      </c>
      <c r="H1095" s="47"/>
      <c r="I1095" s="47"/>
      <c r="J1095" s="23">
        <v>8.84</v>
      </c>
      <c r="K1095" s="25">
        <v>1</v>
      </c>
      <c r="L1095" s="24">
        <v>5.4</v>
      </c>
      <c r="M1095" s="24">
        <f>J1095-L1095</f>
        <v>3.4399999999999995</v>
      </c>
      <c r="N1095" s="53">
        <f>IF(J1095&lt;&gt;0,M1095/J1095,"")</f>
        <v>0.38914027149321262</v>
      </c>
      <c r="O1095" s="23">
        <v>0</v>
      </c>
      <c r="P1095" s="25">
        <v>0</v>
      </c>
      <c r="Q1095" s="24">
        <v>0</v>
      </c>
      <c r="R1095" s="24">
        <f>O1095-Q1095</f>
        <v>0</v>
      </c>
      <c r="S1095" s="53" t="str">
        <f>IF(O1095&lt;&gt;0,R1095/O1095,"")</f>
        <v/>
      </c>
      <c r="T1095" s="10"/>
      <c r="U1095" s="23">
        <v>-104.99</v>
      </c>
      <c r="V1095" s="25">
        <v>-12</v>
      </c>
      <c r="W1095" s="24">
        <v>-64.8</v>
      </c>
      <c r="X1095" s="24">
        <f>U1095-W1095</f>
        <v>-40.19</v>
      </c>
      <c r="Y1095" s="53">
        <f>IF(U1095&lt;&gt;0,X1095/U1095,"")</f>
        <v>0.38279836174873799</v>
      </c>
      <c r="Z1095" s="23">
        <v>205.66</v>
      </c>
      <c r="AA1095" s="25">
        <v>24</v>
      </c>
      <c r="AB1095" s="24">
        <v>129.6</v>
      </c>
      <c r="AC1095" s="24">
        <f t="shared" si="341"/>
        <v>76.06</v>
      </c>
      <c r="AD1095" s="53">
        <f t="shared" si="342"/>
        <v>0.36983370611689198</v>
      </c>
      <c r="AE1095" s="10"/>
    </row>
    <row r="1096" spans="1:31" x14ac:dyDescent="0.25">
      <c r="A1096" s="14" t="s">
        <v>109</v>
      </c>
      <c r="C1096" s="61" t="str">
        <f t="shared" si="340"/>
        <v>C100075</v>
      </c>
      <c r="F1096" s="8" t="str">
        <f>"C100038"</f>
        <v>C100038</v>
      </c>
      <c r="G1096" s="9" t="str">
        <f>"Foldable Travel Speakers"</f>
        <v>Foldable Travel Speakers</v>
      </c>
      <c r="H1096" s="47"/>
      <c r="I1096" s="47"/>
      <c r="J1096" s="23">
        <v>4.72</v>
      </c>
      <c r="K1096" s="25">
        <v>1</v>
      </c>
      <c r="L1096" s="24">
        <v>3.19</v>
      </c>
      <c r="M1096" s="24">
        <f>J1096-L1096</f>
        <v>1.5299999999999998</v>
      </c>
      <c r="N1096" s="53">
        <f>IF(J1096&lt;&gt;0,M1096/J1096,"")</f>
        <v>0.32415254237288132</v>
      </c>
      <c r="O1096" s="23">
        <v>-28.34</v>
      </c>
      <c r="P1096" s="25">
        <v>-6</v>
      </c>
      <c r="Q1096" s="24">
        <v>-19.14</v>
      </c>
      <c r="R1096" s="24">
        <f>O1096-Q1096</f>
        <v>-9.1999999999999993</v>
      </c>
      <c r="S1096" s="53">
        <f>IF(O1096&lt;&gt;0,R1096/O1096,"")</f>
        <v>0.32462949894142551</v>
      </c>
      <c r="T1096" s="10"/>
      <c r="U1096" s="23">
        <v>4.68</v>
      </c>
      <c r="V1096" s="25">
        <v>1</v>
      </c>
      <c r="W1096" s="24">
        <v>3.19</v>
      </c>
      <c r="X1096" s="24">
        <f>U1096-W1096</f>
        <v>1.4899999999999998</v>
      </c>
      <c r="Y1096" s="53">
        <f>IF(U1096&lt;&gt;0,X1096/U1096,"")</f>
        <v>0.31837606837606836</v>
      </c>
      <c r="Z1096" s="23">
        <v>0</v>
      </c>
      <c r="AA1096" s="25">
        <v>0</v>
      </c>
      <c r="AB1096" s="24">
        <v>0</v>
      </c>
      <c r="AC1096" s="24">
        <f t="shared" si="341"/>
        <v>0</v>
      </c>
      <c r="AD1096" s="53" t="str">
        <f t="shared" si="342"/>
        <v/>
      </c>
      <c r="AE1096" s="10"/>
    </row>
    <row r="1097" spans="1:31" x14ac:dyDescent="0.25">
      <c r="A1097" s="14" t="s">
        <v>109</v>
      </c>
      <c r="C1097" s="61" t="str">
        <f t="shared" si="340"/>
        <v>C100075</v>
      </c>
      <c r="F1097" s="8" t="str">
        <f>"C100040"</f>
        <v>C100040</v>
      </c>
      <c r="G1097" s="9" t="str">
        <f>"Channel Speaker System"</f>
        <v>Channel Speaker System</v>
      </c>
      <c r="H1097" s="47"/>
      <c r="I1097" s="47"/>
      <c r="J1097" s="23">
        <v>1973.8000000000002</v>
      </c>
      <c r="K1097" s="25">
        <v>48</v>
      </c>
      <c r="L1097" s="24">
        <v>996.94999999999993</v>
      </c>
      <c r="M1097" s="24">
        <f>J1097-L1097</f>
        <v>976.85000000000025</v>
      </c>
      <c r="N1097" s="53">
        <f>IF(J1097&lt;&gt;0,M1097/J1097,"")</f>
        <v>0.49490829871314224</v>
      </c>
      <c r="O1097" s="23">
        <v>0</v>
      </c>
      <c r="P1097" s="25">
        <v>0</v>
      </c>
      <c r="Q1097" s="24">
        <v>0</v>
      </c>
      <c r="R1097" s="24">
        <f>O1097-Q1097</f>
        <v>0</v>
      </c>
      <c r="S1097" s="53" t="str">
        <f>IF(O1097&lt;&gt;0,R1097/O1097,"")</f>
        <v/>
      </c>
      <c r="T1097" s="10"/>
      <c r="U1097" s="23">
        <v>1891.5600000000002</v>
      </c>
      <c r="V1097" s="25">
        <v>49</v>
      </c>
      <c r="W1097" s="24">
        <v>1017.72</v>
      </c>
      <c r="X1097" s="24">
        <f>U1097-W1097</f>
        <v>873.84000000000015</v>
      </c>
      <c r="Y1097" s="53">
        <f>IF(U1097&lt;&gt;0,X1097/U1097,"")</f>
        <v>0.46196789951151435</v>
      </c>
      <c r="Z1097" s="23">
        <v>0</v>
      </c>
      <c r="AA1097" s="25">
        <v>0</v>
      </c>
      <c r="AB1097" s="24">
        <v>0</v>
      </c>
      <c r="AC1097" s="24">
        <f t="shared" si="341"/>
        <v>0</v>
      </c>
      <c r="AD1097" s="53" t="str">
        <f t="shared" si="342"/>
        <v/>
      </c>
      <c r="AE1097" s="10"/>
    </row>
    <row r="1098" spans="1:31" x14ac:dyDescent="0.25">
      <c r="A1098" s="14" t="s">
        <v>109</v>
      </c>
      <c r="C1098" s="61" t="str">
        <f t="shared" si="340"/>
        <v>C100075</v>
      </c>
      <c r="F1098" s="8" t="str">
        <f>"C100041"</f>
        <v>C100041</v>
      </c>
      <c r="G1098" s="9" t="str">
        <f>"Folding Stereo Speakers"</f>
        <v>Folding Stereo Speakers</v>
      </c>
      <c r="H1098" s="47"/>
      <c r="I1098" s="47"/>
      <c r="J1098" s="23">
        <v>15.26</v>
      </c>
      <c r="K1098" s="25">
        <v>1</v>
      </c>
      <c r="L1098" s="24">
        <v>8.3699999999999992</v>
      </c>
      <c r="M1098" s="24">
        <f>J1098-L1098</f>
        <v>6.8900000000000006</v>
      </c>
      <c r="N1098" s="53">
        <f>IF(J1098&lt;&gt;0,M1098/J1098,"")</f>
        <v>0.45150720838794239</v>
      </c>
      <c r="O1098" s="23">
        <v>-15.26</v>
      </c>
      <c r="P1098" s="25">
        <v>-1</v>
      </c>
      <c r="Q1098" s="24">
        <v>-8.3699999999999992</v>
      </c>
      <c r="R1098" s="24">
        <f>O1098-Q1098</f>
        <v>-6.8900000000000006</v>
      </c>
      <c r="S1098" s="53">
        <f>IF(O1098&lt;&gt;0,R1098/O1098,"")</f>
        <v>0.45150720838794239</v>
      </c>
      <c r="T1098" s="10"/>
      <c r="U1098" s="23">
        <v>28.65</v>
      </c>
      <c r="V1098" s="25">
        <v>2</v>
      </c>
      <c r="W1098" s="24">
        <v>16.739999999999998</v>
      </c>
      <c r="X1098" s="24">
        <f>U1098-W1098</f>
        <v>11.91</v>
      </c>
      <c r="Y1098" s="53">
        <f>IF(U1098&lt;&gt;0,X1098/U1098,"")</f>
        <v>0.41570680628272255</v>
      </c>
      <c r="Z1098" s="23">
        <v>2129.98</v>
      </c>
      <c r="AA1098" s="25">
        <v>144</v>
      </c>
      <c r="AB1098" s="24">
        <v>1205.19</v>
      </c>
      <c r="AC1098" s="24">
        <f t="shared" si="341"/>
        <v>924.79</v>
      </c>
      <c r="AD1098" s="53">
        <f t="shared" si="342"/>
        <v>0.43417778570690801</v>
      </c>
      <c r="AE1098" s="10"/>
    </row>
    <row r="1099" spans="1:31" x14ac:dyDescent="0.25">
      <c r="A1099" s="14" t="s">
        <v>109</v>
      </c>
      <c r="C1099" s="61" t="str">
        <f t="shared" si="340"/>
        <v>C100075</v>
      </c>
      <c r="F1099" s="8" t="str">
        <f>"C100045"</f>
        <v>C100045</v>
      </c>
      <c r="G1099" s="9" t="str">
        <f>"Wireless Headphones"</f>
        <v>Wireless Headphones</v>
      </c>
      <c r="H1099" s="47"/>
      <c r="I1099" s="47"/>
      <c r="J1099" s="23">
        <v>0</v>
      </c>
      <c r="K1099" s="25">
        <v>0</v>
      </c>
      <c r="L1099" s="24">
        <v>0</v>
      </c>
      <c r="M1099" s="24">
        <f>J1099-L1099</f>
        <v>0</v>
      </c>
      <c r="N1099" s="53" t="str">
        <f>IF(J1099&lt;&gt;0,M1099/J1099,"")</f>
        <v/>
      </c>
      <c r="O1099" s="23">
        <v>1323.7</v>
      </c>
      <c r="P1099" s="25">
        <v>48</v>
      </c>
      <c r="Q1099" s="24">
        <v>662.42000000000007</v>
      </c>
      <c r="R1099" s="24">
        <f>O1099-Q1099</f>
        <v>661.28</v>
      </c>
      <c r="S1099" s="53">
        <f>IF(O1099&lt;&gt;0,R1099/O1099,"")</f>
        <v>0.499569388834328</v>
      </c>
      <c r="T1099" s="10"/>
      <c r="U1099" s="23">
        <v>-27.58</v>
      </c>
      <c r="V1099" s="25">
        <v>-1</v>
      </c>
      <c r="W1099" s="24">
        <v>-13.8</v>
      </c>
      <c r="X1099" s="24">
        <f>U1099-W1099</f>
        <v>-13.779999999999998</v>
      </c>
      <c r="Y1099" s="53">
        <f>IF(U1099&lt;&gt;0,X1099/U1099,"")</f>
        <v>0.49963741841914427</v>
      </c>
      <c r="Z1099" s="23">
        <v>0</v>
      </c>
      <c r="AA1099" s="25">
        <v>0</v>
      </c>
      <c r="AB1099" s="24">
        <v>0</v>
      </c>
      <c r="AC1099" s="24">
        <f t="shared" si="341"/>
        <v>0</v>
      </c>
      <c r="AD1099" s="53" t="str">
        <f t="shared" si="342"/>
        <v/>
      </c>
      <c r="AE1099" s="10"/>
    </row>
    <row r="1100" spans="1:31" x14ac:dyDescent="0.25">
      <c r="A1100" s="14" t="s">
        <v>109</v>
      </c>
      <c r="C1100" s="61" t="str">
        <f t="shared" si="340"/>
        <v>C100075</v>
      </c>
      <c r="F1100" s="8" t="str">
        <f>"C100046"</f>
        <v>C100046</v>
      </c>
      <c r="G1100" s="9" t="str">
        <f>"1GB MP3 Player"</f>
        <v>1GB MP3 Player</v>
      </c>
      <c r="H1100" s="47"/>
      <c r="I1100" s="47"/>
      <c r="J1100" s="23">
        <v>135.9</v>
      </c>
      <c r="K1100" s="25">
        <v>7</v>
      </c>
      <c r="L1100" s="24">
        <v>80.64</v>
      </c>
      <c r="M1100" s="24">
        <f>J1100-L1100</f>
        <v>55.260000000000005</v>
      </c>
      <c r="N1100" s="53">
        <f>IF(J1100&lt;&gt;0,M1100/J1100,"")</f>
        <v>0.40662251655629139</v>
      </c>
      <c r="O1100" s="23">
        <v>0</v>
      </c>
      <c r="P1100" s="25">
        <v>0</v>
      </c>
      <c r="Q1100" s="24">
        <v>0</v>
      </c>
      <c r="R1100" s="24">
        <f>O1100-Q1100</f>
        <v>0</v>
      </c>
      <c r="S1100" s="53" t="str">
        <f>IF(O1100&lt;&gt;0,R1100/O1100,"")</f>
        <v/>
      </c>
      <c r="T1100" s="10"/>
      <c r="U1100" s="23">
        <v>0</v>
      </c>
      <c r="V1100" s="25">
        <v>0</v>
      </c>
      <c r="W1100" s="24">
        <v>0</v>
      </c>
      <c r="X1100" s="24">
        <f>U1100-W1100</f>
        <v>0</v>
      </c>
      <c r="Y1100" s="53" t="str">
        <f>IF(U1100&lt;&gt;0,X1100/U1100,"")</f>
        <v/>
      </c>
      <c r="Z1100" s="23">
        <v>0</v>
      </c>
      <c r="AA1100" s="25">
        <v>0</v>
      </c>
      <c r="AB1100" s="24">
        <v>0</v>
      </c>
      <c r="AC1100" s="24">
        <f t="shared" si="341"/>
        <v>0</v>
      </c>
      <c r="AD1100" s="53" t="str">
        <f t="shared" si="342"/>
        <v/>
      </c>
      <c r="AE1100" s="10"/>
    </row>
    <row r="1101" spans="1:31" x14ac:dyDescent="0.25">
      <c r="A1101" s="14" t="s">
        <v>109</v>
      </c>
      <c r="C1101" s="61" t="str">
        <f t="shared" si="340"/>
        <v>C100075</v>
      </c>
      <c r="F1101" s="8" t="str">
        <f>"C100048"</f>
        <v>C100048</v>
      </c>
      <c r="G1101" s="9" t="str">
        <f>"USB MP3 Player"</f>
        <v>USB MP3 Player</v>
      </c>
      <c r="H1101" s="47"/>
      <c r="I1101" s="47"/>
      <c r="J1101" s="23">
        <v>0</v>
      </c>
      <c r="K1101" s="25">
        <v>0</v>
      </c>
      <c r="L1101" s="24">
        <v>0</v>
      </c>
      <c r="M1101" s="24">
        <f>J1101-L1101</f>
        <v>0</v>
      </c>
      <c r="N1101" s="53" t="str">
        <f>IF(J1101&lt;&gt;0,M1101/J1101,"")</f>
        <v/>
      </c>
      <c r="O1101" s="23">
        <v>588.04999999999995</v>
      </c>
      <c r="P1101" s="25">
        <v>48</v>
      </c>
      <c r="Q1101" s="24">
        <v>369.6</v>
      </c>
      <c r="R1101" s="24">
        <f>O1101-Q1101</f>
        <v>218.44999999999993</v>
      </c>
      <c r="S1101" s="53">
        <f>IF(O1101&lt;&gt;0,R1101/O1101,"")</f>
        <v>0.37148201683530302</v>
      </c>
      <c r="T1101" s="10"/>
      <c r="U1101" s="23">
        <v>0</v>
      </c>
      <c r="V1101" s="25">
        <v>0</v>
      </c>
      <c r="W1101" s="24">
        <v>0</v>
      </c>
      <c r="X1101" s="24">
        <f>U1101-W1101</f>
        <v>0</v>
      </c>
      <c r="Y1101" s="53" t="str">
        <f>IF(U1101&lt;&gt;0,X1101/U1101,"")</f>
        <v/>
      </c>
      <c r="Z1101" s="23">
        <v>0</v>
      </c>
      <c r="AA1101" s="25">
        <v>0</v>
      </c>
      <c r="AB1101" s="24">
        <v>0</v>
      </c>
      <c r="AC1101" s="24">
        <f t="shared" si="341"/>
        <v>0</v>
      </c>
      <c r="AD1101" s="53" t="str">
        <f t="shared" si="342"/>
        <v/>
      </c>
      <c r="AE1101" s="10"/>
    </row>
    <row r="1102" spans="1:31" x14ac:dyDescent="0.25">
      <c r="A1102" s="14" t="s">
        <v>109</v>
      </c>
      <c r="C1102" s="61" t="str">
        <f t="shared" si="340"/>
        <v>C100075</v>
      </c>
      <c r="F1102" s="8" t="str">
        <f>"C100049"</f>
        <v>C100049</v>
      </c>
      <c r="G1102" s="9" t="str">
        <f>"4GB MP3 Player"</f>
        <v>4GB MP3 Player</v>
      </c>
      <c r="H1102" s="47"/>
      <c r="I1102" s="47"/>
      <c r="J1102" s="23">
        <v>0</v>
      </c>
      <c r="K1102" s="25">
        <v>0</v>
      </c>
      <c r="L1102" s="24">
        <v>0</v>
      </c>
      <c r="M1102" s="24">
        <f>J1102-L1102</f>
        <v>0</v>
      </c>
      <c r="N1102" s="53" t="str">
        <f>IF(J1102&lt;&gt;0,M1102/J1102,"")</f>
        <v/>
      </c>
      <c r="O1102" s="23">
        <v>-93.43</v>
      </c>
      <c r="P1102" s="25">
        <v>-6</v>
      </c>
      <c r="Q1102" s="24">
        <v>-56.4</v>
      </c>
      <c r="R1102" s="24">
        <f>O1102-Q1102</f>
        <v>-37.030000000000008</v>
      </c>
      <c r="S1102" s="53">
        <f>IF(O1102&lt;&gt;0,R1102/O1102,"")</f>
        <v>0.39633950551214819</v>
      </c>
      <c r="T1102" s="10"/>
      <c r="U1102" s="23">
        <v>0</v>
      </c>
      <c r="V1102" s="25">
        <v>0</v>
      </c>
      <c r="W1102" s="24">
        <v>0</v>
      </c>
      <c r="X1102" s="24">
        <f>U1102-W1102</f>
        <v>0</v>
      </c>
      <c r="Y1102" s="53" t="str">
        <f>IF(U1102&lt;&gt;0,X1102/U1102,"")</f>
        <v/>
      </c>
      <c r="Z1102" s="23">
        <v>724.58</v>
      </c>
      <c r="AA1102" s="25">
        <v>48</v>
      </c>
      <c r="AB1102" s="24">
        <v>451.17</v>
      </c>
      <c r="AC1102" s="24">
        <f t="shared" si="341"/>
        <v>273.41000000000003</v>
      </c>
      <c r="AD1102" s="53">
        <f t="shared" si="342"/>
        <v>0.37733583593254022</v>
      </c>
      <c r="AE1102" s="10"/>
    </row>
    <row r="1103" spans="1:31" x14ac:dyDescent="0.25">
      <c r="A1103" s="14" t="s">
        <v>109</v>
      </c>
      <c r="C1103" s="61" t="str">
        <f t="shared" si="340"/>
        <v>C100075</v>
      </c>
      <c r="F1103" s="8" t="str">
        <f>"C100051"</f>
        <v>C100051</v>
      </c>
      <c r="G1103" s="9" t="str">
        <f>"Bamboo Digital Picutre Frame"</f>
        <v>Bamboo Digital Picutre Frame</v>
      </c>
      <c r="H1103" s="47"/>
      <c r="I1103" s="47"/>
      <c r="J1103" s="23">
        <v>2367.9899999999998</v>
      </c>
      <c r="K1103" s="25">
        <v>48</v>
      </c>
      <c r="L1103" s="24">
        <v>1167.3800000000001</v>
      </c>
      <c r="M1103" s="24">
        <f>J1103-L1103</f>
        <v>1200.6099999999997</v>
      </c>
      <c r="N1103" s="53">
        <f>IF(J1103&lt;&gt;0,M1103/J1103,"")</f>
        <v>0.50701649922508107</v>
      </c>
      <c r="O1103" s="23">
        <v>0</v>
      </c>
      <c r="P1103" s="25">
        <v>0</v>
      </c>
      <c r="Q1103" s="24">
        <v>0</v>
      </c>
      <c r="R1103" s="24">
        <f>O1103-Q1103</f>
        <v>0</v>
      </c>
      <c r="S1103" s="53" t="str">
        <f>IF(O1103&lt;&gt;0,R1103/O1103,"")</f>
        <v/>
      </c>
      <c r="T1103" s="10"/>
      <c r="U1103" s="23">
        <v>2343.83</v>
      </c>
      <c r="V1103" s="25">
        <v>48</v>
      </c>
      <c r="W1103" s="24">
        <v>1167.3800000000001</v>
      </c>
      <c r="X1103" s="24">
        <f>U1103-W1103</f>
        <v>1176.4499999999998</v>
      </c>
      <c r="Y1103" s="53">
        <f>IF(U1103&lt;&gt;0,X1103/U1103,"")</f>
        <v>0.50193486728986314</v>
      </c>
      <c r="Z1103" s="23">
        <v>0</v>
      </c>
      <c r="AA1103" s="25">
        <v>0</v>
      </c>
      <c r="AB1103" s="24">
        <v>0</v>
      </c>
      <c r="AC1103" s="24">
        <f t="shared" si="341"/>
        <v>0</v>
      </c>
      <c r="AD1103" s="53" t="str">
        <f t="shared" si="342"/>
        <v/>
      </c>
      <c r="AE1103" s="10"/>
    </row>
    <row r="1104" spans="1:31" x14ac:dyDescent="0.25">
      <c r="A1104" s="14" t="s">
        <v>109</v>
      </c>
      <c r="C1104" s="61" t="str">
        <f t="shared" si="340"/>
        <v>C100075</v>
      </c>
      <c r="F1104" s="8" t="str">
        <f>"C100052"</f>
        <v>C100052</v>
      </c>
      <c r="G1104" s="9" t="str">
        <f>"Black Digital Picture Frame"</f>
        <v>Black Digital Picture Frame</v>
      </c>
      <c r="H1104" s="47"/>
      <c r="I1104" s="47"/>
      <c r="J1104" s="23">
        <v>13716.34</v>
      </c>
      <c r="K1104" s="25">
        <v>289</v>
      </c>
      <c r="L1104" s="24">
        <v>6450.54</v>
      </c>
      <c r="M1104" s="24">
        <f>J1104-L1104</f>
        <v>7265.8</v>
      </c>
      <c r="N1104" s="53">
        <f>IF(J1104&lt;&gt;0,M1104/J1104,"")</f>
        <v>0.52971856923931604</v>
      </c>
      <c r="O1104" s="23">
        <v>0</v>
      </c>
      <c r="P1104" s="25">
        <v>0</v>
      </c>
      <c r="Q1104" s="24">
        <v>0</v>
      </c>
      <c r="R1104" s="24">
        <f>O1104-Q1104</f>
        <v>0</v>
      </c>
      <c r="S1104" s="53" t="str">
        <f>IF(O1104&lt;&gt;0,R1104/O1104,"")</f>
        <v/>
      </c>
      <c r="T1104" s="10"/>
      <c r="U1104" s="23">
        <v>0</v>
      </c>
      <c r="V1104" s="25">
        <v>0</v>
      </c>
      <c r="W1104" s="24">
        <v>0</v>
      </c>
      <c r="X1104" s="24">
        <f>U1104-W1104</f>
        <v>0</v>
      </c>
      <c r="Y1104" s="53" t="str">
        <f>IF(U1104&lt;&gt;0,X1104/U1104,"")</f>
        <v/>
      </c>
      <c r="Z1104" s="23">
        <v>0</v>
      </c>
      <c r="AA1104" s="25">
        <v>0</v>
      </c>
      <c r="AB1104" s="24">
        <v>0</v>
      </c>
      <c r="AC1104" s="24">
        <f t="shared" si="341"/>
        <v>0</v>
      </c>
      <c r="AD1104" s="53" t="str">
        <f t="shared" si="342"/>
        <v/>
      </c>
      <c r="AE1104" s="10"/>
    </row>
    <row r="1105" spans="1:31" x14ac:dyDescent="0.25">
      <c r="A1105" s="14" t="s">
        <v>109</v>
      </c>
      <c r="C1105" s="61" t="str">
        <f t="shared" si="340"/>
        <v>C100075</v>
      </c>
      <c r="F1105" s="8" t="str">
        <f>"C100053"</f>
        <v>C100053</v>
      </c>
      <c r="G1105" s="9" t="str">
        <f>"Book Style Photo Frame &amp; Clock"</f>
        <v>Book Style Photo Frame &amp; Clock</v>
      </c>
      <c r="H1105" s="47"/>
      <c r="I1105" s="47"/>
      <c r="J1105" s="23">
        <v>40.830000000000005</v>
      </c>
      <c r="K1105" s="25">
        <v>2</v>
      </c>
      <c r="L1105" s="24">
        <v>24.08</v>
      </c>
      <c r="M1105" s="24">
        <f>J1105-L1105</f>
        <v>16.750000000000007</v>
      </c>
      <c r="N1105" s="53">
        <f>IF(J1105&lt;&gt;0,M1105/J1105,"")</f>
        <v>0.41023757041391146</v>
      </c>
      <c r="O1105" s="23">
        <v>0</v>
      </c>
      <c r="P1105" s="25">
        <v>0</v>
      </c>
      <c r="Q1105" s="24">
        <v>0</v>
      </c>
      <c r="R1105" s="24">
        <f>O1105-Q1105</f>
        <v>0</v>
      </c>
      <c r="S1105" s="53" t="str">
        <f>IF(O1105&lt;&gt;0,R1105/O1105,"")</f>
        <v/>
      </c>
      <c r="T1105" s="10"/>
      <c r="U1105" s="23">
        <v>-20.21</v>
      </c>
      <c r="V1105" s="25">
        <v>-1</v>
      </c>
      <c r="W1105" s="24">
        <v>-12.04</v>
      </c>
      <c r="X1105" s="24">
        <f>U1105-W1105</f>
        <v>-8.1700000000000017</v>
      </c>
      <c r="Y1105" s="53">
        <f>IF(U1105&lt;&gt;0,X1105/U1105,"")</f>
        <v>0.40425531914893625</v>
      </c>
      <c r="Z1105" s="23">
        <v>2849.54</v>
      </c>
      <c r="AA1105" s="25">
        <v>144</v>
      </c>
      <c r="AB1105" s="24">
        <v>1733.72</v>
      </c>
      <c r="AC1105" s="24">
        <f t="shared" si="341"/>
        <v>1115.82</v>
      </c>
      <c r="AD1105" s="53">
        <f t="shared" si="342"/>
        <v>0.39157899169690547</v>
      </c>
      <c r="AE1105" s="10"/>
    </row>
    <row r="1106" spans="1:31" x14ac:dyDescent="0.25">
      <c r="A1106" s="14" t="s">
        <v>109</v>
      </c>
      <c r="C1106" s="61" t="str">
        <f t="shared" si="340"/>
        <v>C100075</v>
      </c>
      <c r="F1106" s="8" t="str">
        <f>"E100018"</f>
        <v>E100018</v>
      </c>
      <c r="G1106" s="9" t="str">
        <f>"Flexi-Clock &amp; Clip"</f>
        <v>Flexi-Clock &amp; Clip</v>
      </c>
      <c r="H1106" s="47"/>
      <c r="I1106" s="47"/>
      <c r="J1106" s="23">
        <v>0</v>
      </c>
      <c r="K1106" s="25">
        <v>0</v>
      </c>
      <c r="L1106" s="24">
        <v>0</v>
      </c>
      <c r="M1106" s="24">
        <f>J1106-L1106</f>
        <v>0</v>
      </c>
      <c r="N1106" s="53" t="str">
        <f>IF(J1106&lt;&gt;0,M1106/J1106,"")</f>
        <v/>
      </c>
      <c r="O1106" s="23">
        <v>-2.21</v>
      </c>
      <c r="P1106" s="25">
        <v>-2</v>
      </c>
      <c r="Q1106" s="24">
        <v>-1.2</v>
      </c>
      <c r="R1106" s="24">
        <f>O1106-Q1106</f>
        <v>-1.01</v>
      </c>
      <c r="S1106" s="53">
        <f>IF(O1106&lt;&gt;0,R1106/O1106,"")</f>
        <v>0.45701357466063347</v>
      </c>
      <c r="T1106" s="10"/>
      <c r="U1106" s="23">
        <v>1.1000000000000001</v>
      </c>
      <c r="V1106" s="25">
        <v>1</v>
      </c>
      <c r="W1106" s="24">
        <v>0.6</v>
      </c>
      <c r="X1106" s="24">
        <f>U1106-W1106</f>
        <v>0.50000000000000011</v>
      </c>
      <c r="Y1106" s="53">
        <f>IF(U1106&lt;&gt;0,X1106/U1106,"")</f>
        <v>0.45454545454545459</v>
      </c>
      <c r="Z1106" s="23">
        <v>1.07</v>
      </c>
      <c r="AA1106" s="25">
        <v>1</v>
      </c>
      <c r="AB1106" s="24">
        <v>0.6</v>
      </c>
      <c r="AC1106" s="24">
        <f t="shared" si="341"/>
        <v>0.47000000000000008</v>
      </c>
      <c r="AD1106" s="53">
        <f t="shared" si="342"/>
        <v>0.43925233644859818</v>
      </c>
      <c r="AE1106" s="10"/>
    </row>
    <row r="1107" spans="1:31" x14ac:dyDescent="0.25">
      <c r="A1107" s="14" t="s">
        <v>109</v>
      </c>
      <c r="C1107" s="61" t="str">
        <f t="shared" si="340"/>
        <v>C100075</v>
      </c>
      <c r="F1107" s="8" t="str">
        <f>"E100019"</f>
        <v>E100019</v>
      </c>
      <c r="G1107" s="9" t="str">
        <f>"Mini Travel Alarm"</f>
        <v>Mini Travel Alarm</v>
      </c>
      <c r="H1107" s="47"/>
      <c r="I1107" s="47"/>
      <c r="J1107" s="23">
        <v>39.870000000000005</v>
      </c>
      <c r="K1107" s="25">
        <v>12</v>
      </c>
      <c r="L1107" s="24">
        <v>19.440000000000001</v>
      </c>
      <c r="M1107" s="24">
        <f>J1107-L1107</f>
        <v>20.430000000000003</v>
      </c>
      <c r="N1107" s="53">
        <f>IF(J1107&lt;&gt;0,M1107/J1107,"")</f>
        <v>0.51241534988713322</v>
      </c>
      <c r="O1107" s="23">
        <v>-9.86</v>
      </c>
      <c r="P1107" s="25">
        <v>-3</v>
      </c>
      <c r="Q1107" s="24">
        <v>-4.8600000000000003</v>
      </c>
      <c r="R1107" s="24">
        <f>O1107-Q1107</f>
        <v>-4.9999999999999991</v>
      </c>
      <c r="S1107" s="53">
        <f>IF(O1107&lt;&gt;0,R1107/O1107,"")</f>
        <v>0.50709939148073013</v>
      </c>
      <c r="T1107" s="10"/>
      <c r="U1107" s="23">
        <v>-0.17</v>
      </c>
      <c r="V1107" s="25">
        <v>0</v>
      </c>
      <c r="W1107" s="24">
        <v>0</v>
      </c>
      <c r="X1107" s="24">
        <f>U1107-W1107</f>
        <v>-0.17</v>
      </c>
      <c r="Y1107" s="53">
        <f>IF(U1107&lt;&gt;0,X1107/U1107,"")</f>
        <v>1</v>
      </c>
      <c r="Z1107" s="23">
        <v>463.74999999999994</v>
      </c>
      <c r="AA1107" s="25">
        <v>144</v>
      </c>
      <c r="AB1107" s="24">
        <v>233.26999999999998</v>
      </c>
      <c r="AC1107" s="24">
        <f t="shared" si="341"/>
        <v>230.47999999999996</v>
      </c>
      <c r="AD1107" s="53">
        <f t="shared" si="342"/>
        <v>0.49699191374663071</v>
      </c>
      <c r="AE1107" s="10"/>
    </row>
    <row r="1108" spans="1:31" x14ac:dyDescent="0.25">
      <c r="A1108" s="14" t="s">
        <v>109</v>
      </c>
      <c r="C1108" s="61" t="str">
        <f t="shared" si="340"/>
        <v>C100075</v>
      </c>
      <c r="F1108" s="8" t="str">
        <f>"E100021"</f>
        <v>E100021</v>
      </c>
      <c r="G1108" s="9" t="str">
        <f>"Slim Travel Alarm"</f>
        <v>Slim Travel Alarm</v>
      </c>
      <c r="H1108" s="47"/>
      <c r="I1108" s="47"/>
      <c r="J1108" s="23">
        <v>2.82</v>
      </c>
      <c r="K1108" s="25">
        <v>1</v>
      </c>
      <c r="L1108" s="24">
        <v>1.44</v>
      </c>
      <c r="M1108" s="24">
        <f>J1108-L1108</f>
        <v>1.38</v>
      </c>
      <c r="N1108" s="53">
        <f>IF(J1108&lt;&gt;0,M1108/J1108,"")</f>
        <v>0.48936170212765956</v>
      </c>
      <c r="O1108" s="23">
        <v>0</v>
      </c>
      <c r="P1108" s="25">
        <v>0</v>
      </c>
      <c r="Q1108" s="24">
        <v>0</v>
      </c>
      <c r="R1108" s="24">
        <f>O1108-Q1108</f>
        <v>0</v>
      </c>
      <c r="S1108" s="53" t="str">
        <f>IF(O1108&lt;&gt;0,R1108/O1108,"")</f>
        <v/>
      </c>
      <c r="T1108" s="10"/>
      <c r="U1108" s="23">
        <v>15.9</v>
      </c>
      <c r="V1108" s="25">
        <v>6</v>
      </c>
      <c r="W1108" s="24">
        <v>8.64</v>
      </c>
      <c r="X1108" s="24">
        <f>U1108-W1108</f>
        <v>7.26</v>
      </c>
      <c r="Y1108" s="53">
        <f>IF(U1108&lt;&gt;0,X1108/U1108,"")</f>
        <v>0.45660377358490561</v>
      </c>
      <c r="Z1108" s="23">
        <v>393.98</v>
      </c>
      <c r="AA1108" s="25">
        <v>144</v>
      </c>
      <c r="AB1108" s="24">
        <v>207.35</v>
      </c>
      <c r="AC1108" s="24">
        <f t="shared" si="341"/>
        <v>186.63000000000002</v>
      </c>
      <c r="AD1108" s="53">
        <f t="shared" si="342"/>
        <v>0.47370424894664709</v>
      </c>
      <c r="AE1108" s="10"/>
    </row>
    <row r="1109" spans="1:31" x14ac:dyDescent="0.25">
      <c r="A1109" s="14" t="s">
        <v>109</v>
      </c>
      <c r="C1109" s="61" t="str">
        <f t="shared" si="340"/>
        <v>C100075</v>
      </c>
      <c r="F1109" s="8" t="str">
        <f>"E100022"</f>
        <v>E100022</v>
      </c>
      <c r="G1109" s="9" t="str">
        <f>"Wide Screen Alarm Clock"</f>
        <v>Wide Screen Alarm Clock</v>
      </c>
      <c r="H1109" s="47"/>
      <c r="I1109" s="47"/>
      <c r="J1109" s="23">
        <v>11.35</v>
      </c>
      <c r="K1109" s="25">
        <v>6</v>
      </c>
      <c r="L1109" s="24">
        <v>7.68</v>
      </c>
      <c r="M1109" s="24">
        <f>J1109-L1109</f>
        <v>3.67</v>
      </c>
      <c r="N1109" s="53">
        <f>IF(J1109&lt;&gt;0,M1109/J1109,"")</f>
        <v>0.3233480176211454</v>
      </c>
      <c r="O1109" s="23">
        <v>-1.83</v>
      </c>
      <c r="P1109" s="25">
        <v>-1</v>
      </c>
      <c r="Q1109" s="24">
        <v>-1.28</v>
      </c>
      <c r="R1109" s="24">
        <f>O1109-Q1109</f>
        <v>-0.55000000000000004</v>
      </c>
      <c r="S1109" s="53">
        <f>IF(O1109&lt;&gt;0,R1109/O1109,"")</f>
        <v>0.30054644808743169</v>
      </c>
      <c r="T1109" s="10"/>
      <c r="U1109" s="23">
        <v>516.79</v>
      </c>
      <c r="V1109" s="25">
        <v>291</v>
      </c>
      <c r="W1109" s="24">
        <v>372.45</v>
      </c>
      <c r="X1109" s="24">
        <f>U1109-W1109</f>
        <v>144.33999999999997</v>
      </c>
      <c r="Y1109" s="53">
        <f>IF(U1109&lt;&gt;0,X1109/U1109,"")</f>
        <v>0.27930107006714522</v>
      </c>
      <c r="Z1109" s="23">
        <v>836.07999999999993</v>
      </c>
      <c r="AA1109" s="25">
        <v>456</v>
      </c>
      <c r="AB1109" s="24">
        <v>583.63</v>
      </c>
      <c r="AC1109" s="24">
        <f t="shared" si="341"/>
        <v>252.44999999999993</v>
      </c>
      <c r="AD1109" s="53">
        <f t="shared" si="342"/>
        <v>0.30194478997225138</v>
      </c>
      <c r="AE1109" s="10"/>
    </row>
    <row r="1110" spans="1:31" ht="15.75" thickBot="1" x14ac:dyDescent="0.3">
      <c r="A1110" s="14" t="s">
        <v>109</v>
      </c>
      <c r="C1110" s="61" t="str">
        <f>C1084</f>
        <v>C100075</v>
      </c>
      <c r="J1110" s="10"/>
      <c r="K1110" s="11"/>
      <c r="L1110" s="11"/>
      <c r="M1110" s="11"/>
      <c r="N1110" s="12"/>
      <c r="O1110" s="10"/>
      <c r="P1110" s="11"/>
      <c r="Q1110" s="11"/>
      <c r="R1110" s="11"/>
      <c r="S1110" s="12"/>
      <c r="U1110" s="10"/>
      <c r="V1110" s="11"/>
      <c r="W1110" s="11"/>
      <c r="X1110" s="11"/>
      <c r="Y1110" s="12"/>
      <c r="Z1110" s="10"/>
      <c r="AA1110" s="11"/>
      <c r="AB1110" s="11"/>
      <c r="AC1110" s="11"/>
      <c r="AD1110" s="12"/>
    </row>
    <row r="1111" spans="1:31" ht="15.75" thickBot="1" x14ac:dyDescent="0.3">
      <c r="A1111" s="14" t="s">
        <v>109</v>
      </c>
      <c r="C1111" s="61" t="str">
        <f t="shared" si="337"/>
        <v>C100075</v>
      </c>
      <c r="G1111" s="48" t="str">
        <f>C1111&amp;" TOTAL:"</f>
        <v>C100075 TOTAL:</v>
      </c>
      <c r="H1111" s="50"/>
      <c r="I1111" s="50"/>
      <c r="J1111" s="34">
        <f>SUBTOTAL(9,J1083:J1110)</f>
        <v>31390.019999999997</v>
      </c>
      <c r="K1111" s="35">
        <f>SUBTOTAL(9,K1083:K1110)</f>
        <v>1042</v>
      </c>
      <c r="L1111" s="36">
        <f>SUBTOTAL(9,L1083:L1110)</f>
        <v>15907.360000000002</v>
      </c>
      <c r="M1111" s="36">
        <f>J1111-L1111</f>
        <v>15482.659999999994</v>
      </c>
      <c r="N1111" s="37">
        <f>IF(J1111&lt;&gt;0,M1111/J1111,"")</f>
        <v>0.49323511103210499</v>
      </c>
      <c r="O1111" s="34">
        <f>SUBTOTAL(9,O1083:O1110)</f>
        <v>14158.199999999999</v>
      </c>
      <c r="P1111" s="35">
        <f>SUBTOTAL(9,P1083:P1110)</f>
        <v>322</v>
      </c>
      <c r="Q1111" s="36">
        <f>SUBTOTAL(9,Q1083:Q1110)</f>
        <v>7122.0700000000015</v>
      </c>
      <c r="R1111" s="36">
        <f>O1111-Q1111</f>
        <v>7036.1299999999974</v>
      </c>
      <c r="S1111" s="37">
        <f>IF(O1111&lt;&gt;0,R1111/O1111,"")</f>
        <v>0.49696500967637114</v>
      </c>
      <c r="U1111" s="34">
        <f>SUBTOTAL(9,U1083:U1110)</f>
        <v>15654.119999999999</v>
      </c>
      <c r="V1111" s="35">
        <f>SUBTOTAL(9,V1083:V1110)</f>
        <v>709</v>
      </c>
      <c r="W1111" s="36">
        <f>SUBTOTAL(9,W1083:W1110)</f>
        <v>8988.19</v>
      </c>
      <c r="X1111" s="36">
        <f>U1111-W1111</f>
        <v>6665.9299999999985</v>
      </c>
      <c r="Y1111" s="37">
        <f>IF(U1111&lt;&gt;0,X1111/U1111,"")</f>
        <v>0.42582591675546111</v>
      </c>
      <c r="Z1111" s="34">
        <f>SUBTOTAL(9,Z1083:Z1110)</f>
        <v>21265.89</v>
      </c>
      <c r="AA1111" s="35">
        <f>SUBTOTAL(9,AA1083:AA1110)</f>
        <v>1641</v>
      </c>
      <c r="AB1111" s="36">
        <f>SUBTOTAL(9,AB1083:AB1110)</f>
        <v>12699.55</v>
      </c>
      <c r="AC1111" s="36">
        <f t="shared" ref="AC1111" si="343">Z1111-AB1111</f>
        <v>8566.34</v>
      </c>
      <c r="AD1111" s="37">
        <f t="shared" ref="AD1111" si="344">IF(Z1111&lt;&gt;0,AC1111/Z1111,"")</f>
        <v>0.40282066727515287</v>
      </c>
    </row>
    <row r="1112" spans="1:31" x14ac:dyDescent="0.25">
      <c r="A1112" s="14" t="s">
        <v>109</v>
      </c>
      <c r="C1112" s="66"/>
      <c r="J1112" s="10"/>
      <c r="K1112" s="11"/>
      <c r="L1112" s="11"/>
      <c r="M1112" s="11"/>
      <c r="N1112" s="12"/>
      <c r="O1112" s="10"/>
      <c r="P1112" s="11"/>
      <c r="Q1112" s="11"/>
      <c r="R1112" s="11"/>
      <c r="S1112" s="12"/>
      <c r="U1112" s="10"/>
      <c r="V1112" s="11"/>
      <c r="W1112" s="11"/>
      <c r="X1112" s="11"/>
      <c r="Y1112" s="12"/>
      <c r="Z1112" s="10"/>
      <c r="AA1112" s="11"/>
      <c r="AB1112" s="11"/>
      <c r="AC1112" s="11"/>
      <c r="AD1112" s="12"/>
    </row>
    <row r="1113" spans="1:31" ht="15.75" x14ac:dyDescent="0.25">
      <c r="A1113" s="14" t="s">
        <v>109</v>
      </c>
      <c r="C1113" s="66" t="str">
        <f t="shared" ref="C1113" si="345">E1113</f>
        <v>C100076</v>
      </c>
      <c r="E1113" s="13" t="str">
        <f>"C100076"</f>
        <v>C100076</v>
      </c>
      <c r="F1113" s="13"/>
      <c r="G1113" s="13" t="str">
        <f>"Showmasters"</f>
        <v>Showmasters</v>
      </c>
      <c r="H1113" s="13"/>
      <c r="I1113" s="13"/>
      <c r="J1113" s="10"/>
      <c r="K1113" s="11"/>
      <c r="L1113" s="11"/>
      <c r="M1113" s="11"/>
      <c r="N1113" s="12"/>
      <c r="O1113" s="10"/>
      <c r="P1113" s="11"/>
      <c r="Q1113" s="11"/>
      <c r="R1113" s="11"/>
      <c r="S1113" s="12"/>
      <c r="U1113" s="10"/>
      <c r="V1113" s="11"/>
      <c r="W1113" s="11"/>
      <c r="X1113" s="11"/>
      <c r="Y1113" s="12"/>
      <c r="Z1113" s="10"/>
      <c r="AA1113" s="11"/>
      <c r="AB1113" s="11"/>
      <c r="AC1113" s="11"/>
      <c r="AD1113" s="12"/>
    </row>
    <row r="1114" spans="1:31" ht="6.6" customHeight="1" x14ac:dyDescent="0.25">
      <c r="A1114" s="14" t="s">
        <v>109</v>
      </c>
      <c r="C1114" s="61" t="str">
        <f t="shared" ref="C1114:C1137" si="346">C1113</f>
        <v>C100076</v>
      </c>
      <c r="J1114" s="10"/>
      <c r="K1114" s="11"/>
      <c r="L1114" s="11"/>
      <c r="M1114" s="11"/>
      <c r="N1114" s="12"/>
      <c r="O1114" s="10"/>
      <c r="P1114" s="11"/>
      <c r="Q1114" s="11"/>
      <c r="R1114" s="11"/>
      <c r="S1114" s="12"/>
      <c r="U1114" s="10"/>
      <c r="V1114" s="11"/>
      <c r="W1114" s="11"/>
      <c r="X1114" s="11"/>
      <c r="Y1114" s="12"/>
      <c r="Z1114" s="10"/>
      <c r="AA1114" s="11"/>
      <c r="AB1114" s="11"/>
      <c r="AC1114" s="11"/>
      <c r="AD1114" s="12"/>
    </row>
    <row r="1115" spans="1:31" x14ac:dyDescent="0.25">
      <c r="A1115" s="14" t="s">
        <v>109</v>
      </c>
      <c r="C1115" s="61" t="str">
        <f t="shared" si="346"/>
        <v>C100076</v>
      </c>
      <c r="F1115" s="8" t="str">
        <f>"C100004"</f>
        <v>C100004</v>
      </c>
      <c r="G1115" s="9" t="str">
        <f>"Walnut Medallian Plate"</f>
        <v>Walnut Medallian Plate</v>
      </c>
      <c r="H1115" s="47"/>
      <c r="I1115" s="47"/>
      <c r="J1115" s="23">
        <v>58.169999999999995</v>
      </c>
      <c r="K1115" s="25">
        <v>1</v>
      </c>
      <c r="L1115" s="24">
        <v>30.6</v>
      </c>
      <c r="M1115" s="24">
        <f>J1115-L1115</f>
        <v>27.569999999999993</v>
      </c>
      <c r="N1115" s="53">
        <f>IF(J1115&lt;&gt;0,M1115/J1115,"")</f>
        <v>0.47395564724084571</v>
      </c>
      <c r="O1115" s="23">
        <v>0</v>
      </c>
      <c r="P1115" s="25">
        <v>0</v>
      </c>
      <c r="Q1115" s="24">
        <v>0</v>
      </c>
      <c r="R1115" s="24">
        <f>O1115-Q1115</f>
        <v>0</v>
      </c>
      <c r="S1115" s="53" t="str">
        <f>IF(O1115&lt;&gt;0,R1115/O1115,"")</f>
        <v/>
      </c>
      <c r="T1115" s="10"/>
      <c r="U1115" s="23">
        <v>0</v>
      </c>
      <c r="V1115" s="25">
        <v>0</v>
      </c>
      <c r="W1115" s="24">
        <v>0</v>
      </c>
      <c r="X1115" s="24">
        <f>U1115-W1115</f>
        <v>0</v>
      </c>
      <c r="Y1115" s="53" t="str">
        <f>IF(U1115&lt;&gt;0,X1115/U1115,"")</f>
        <v/>
      </c>
      <c r="Z1115" s="23">
        <v>0</v>
      </c>
      <c r="AA1115" s="25">
        <v>0</v>
      </c>
      <c r="AB1115" s="24">
        <v>0</v>
      </c>
      <c r="AC1115" s="24">
        <f t="shared" ref="AC1115" si="347">Z1115-AB1115</f>
        <v>0</v>
      </c>
      <c r="AD1115" s="53" t="str">
        <f t="shared" ref="AD1115" si="348">IF(Z1115&lt;&gt;0,AC1115/Z1115,"")</f>
        <v/>
      </c>
      <c r="AE1115" s="10"/>
    </row>
    <row r="1116" spans="1:31" x14ac:dyDescent="0.25">
      <c r="A1116" s="14" t="s">
        <v>109</v>
      </c>
      <c r="C1116" s="61" t="str">
        <f t="shared" ref="C1116:C1135" si="349">C1115</f>
        <v>C100076</v>
      </c>
      <c r="F1116" s="8" t="str">
        <f>"C100005"</f>
        <v>C100005</v>
      </c>
      <c r="G1116" s="9" t="str">
        <f>"Cherry Finished Crystal Award"</f>
        <v>Cherry Finished Crystal Award</v>
      </c>
      <c r="H1116" s="47"/>
      <c r="I1116" s="47"/>
      <c r="J1116" s="23">
        <v>6339.3099999999995</v>
      </c>
      <c r="K1116" s="25">
        <v>48</v>
      </c>
      <c r="L1116" s="24">
        <v>3404.64</v>
      </c>
      <c r="M1116" s="24">
        <f>J1116-L1116</f>
        <v>2934.6699999999996</v>
      </c>
      <c r="N1116" s="53">
        <f>IF(J1116&lt;&gt;0,M1116/J1116,"")</f>
        <v>0.46293208566862953</v>
      </c>
      <c r="O1116" s="23">
        <v>0</v>
      </c>
      <c r="P1116" s="25">
        <v>0</v>
      </c>
      <c r="Q1116" s="24">
        <v>0</v>
      </c>
      <c r="R1116" s="24">
        <f>O1116-Q1116</f>
        <v>0</v>
      </c>
      <c r="S1116" s="53" t="str">
        <f>IF(O1116&lt;&gt;0,R1116/O1116,"")</f>
        <v/>
      </c>
      <c r="T1116" s="10"/>
      <c r="U1116" s="23">
        <v>0</v>
      </c>
      <c r="V1116" s="25">
        <v>0</v>
      </c>
      <c r="W1116" s="24">
        <v>0</v>
      </c>
      <c r="X1116" s="24">
        <f>U1116-W1116</f>
        <v>0</v>
      </c>
      <c r="Y1116" s="53" t="str">
        <f>IF(U1116&lt;&gt;0,X1116/U1116,"")</f>
        <v/>
      </c>
      <c r="Z1116" s="23">
        <v>0</v>
      </c>
      <c r="AA1116" s="25">
        <v>0</v>
      </c>
      <c r="AB1116" s="24">
        <v>0</v>
      </c>
      <c r="AC1116" s="24">
        <f t="shared" ref="AC1116:AC1135" si="350">Z1116-AB1116</f>
        <v>0</v>
      </c>
      <c r="AD1116" s="53" t="str">
        <f t="shared" ref="AD1116:AD1135" si="351">IF(Z1116&lt;&gt;0,AC1116/Z1116,"")</f>
        <v/>
      </c>
      <c r="AE1116" s="10"/>
    </row>
    <row r="1117" spans="1:31" x14ac:dyDescent="0.25">
      <c r="A1117" s="14" t="s">
        <v>109</v>
      </c>
      <c r="C1117" s="61" t="str">
        <f t="shared" si="349"/>
        <v>C100076</v>
      </c>
      <c r="F1117" s="8" t="str">
        <f>"C100006"</f>
        <v>C100006</v>
      </c>
      <c r="G1117" s="9" t="str">
        <f>"Cherry Finished Crystal Award- Large"</f>
        <v>Cherry Finished Crystal Award- Large</v>
      </c>
      <c r="H1117" s="47"/>
      <c r="I1117" s="47"/>
      <c r="J1117" s="23">
        <v>5116.4399999999996</v>
      </c>
      <c r="K1117" s="25">
        <v>25</v>
      </c>
      <c r="L1117" s="24">
        <v>2376</v>
      </c>
      <c r="M1117" s="24">
        <f>J1117-L1117</f>
        <v>2740.4399999999996</v>
      </c>
      <c r="N1117" s="53">
        <f>IF(J1117&lt;&gt;0,M1117/J1117,"")</f>
        <v>0.53561460703145147</v>
      </c>
      <c r="O1117" s="23">
        <v>0</v>
      </c>
      <c r="P1117" s="25">
        <v>0</v>
      </c>
      <c r="Q1117" s="24">
        <v>0</v>
      </c>
      <c r="R1117" s="24">
        <f>O1117-Q1117</f>
        <v>0</v>
      </c>
      <c r="S1117" s="53" t="str">
        <f>IF(O1117&lt;&gt;0,R1117/O1117,"")</f>
        <v/>
      </c>
      <c r="T1117" s="10"/>
      <c r="U1117" s="23">
        <v>0</v>
      </c>
      <c r="V1117" s="25">
        <v>0</v>
      </c>
      <c r="W1117" s="24">
        <v>0</v>
      </c>
      <c r="X1117" s="24">
        <f>U1117-W1117</f>
        <v>0</v>
      </c>
      <c r="Y1117" s="53" t="str">
        <f>IF(U1117&lt;&gt;0,X1117/U1117,"")</f>
        <v/>
      </c>
      <c r="Z1117" s="23">
        <v>0</v>
      </c>
      <c r="AA1117" s="25">
        <v>0</v>
      </c>
      <c r="AB1117" s="24">
        <v>0</v>
      </c>
      <c r="AC1117" s="24">
        <f t="shared" si="350"/>
        <v>0</v>
      </c>
      <c r="AD1117" s="53" t="str">
        <f t="shared" si="351"/>
        <v/>
      </c>
      <c r="AE1117" s="10"/>
    </row>
    <row r="1118" spans="1:31" x14ac:dyDescent="0.25">
      <c r="A1118" s="14" t="s">
        <v>109</v>
      </c>
      <c r="C1118" s="61" t="str">
        <f t="shared" si="349"/>
        <v>C100076</v>
      </c>
      <c r="F1118" s="8" t="str">
        <f>"C100007"</f>
        <v>C100007</v>
      </c>
      <c r="G1118" s="9" t="str">
        <f>"7.5'' Bud Vase"</f>
        <v>7.5'' Bud Vase</v>
      </c>
      <c r="H1118" s="47"/>
      <c r="I1118" s="47"/>
      <c r="J1118" s="23">
        <v>1.67</v>
      </c>
      <c r="K1118" s="25">
        <v>1</v>
      </c>
      <c r="L1118" s="24">
        <v>1.02</v>
      </c>
      <c r="M1118" s="24">
        <f>J1118-L1118</f>
        <v>0.64999999999999991</v>
      </c>
      <c r="N1118" s="53">
        <f>IF(J1118&lt;&gt;0,M1118/J1118,"")</f>
        <v>0.3892215568862275</v>
      </c>
      <c r="O1118" s="23">
        <v>0</v>
      </c>
      <c r="P1118" s="25">
        <v>0</v>
      </c>
      <c r="Q1118" s="24">
        <v>0</v>
      </c>
      <c r="R1118" s="24">
        <f>O1118-Q1118</f>
        <v>0</v>
      </c>
      <c r="S1118" s="53" t="str">
        <f>IF(O1118&lt;&gt;0,R1118/O1118,"")</f>
        <v/>
      </c>
      <c r="T1118" s="10"/>
      <c r="U1118" s="23">
        <v>0</v>
      </c>
      <c r="V1118" s="25">
        <v>0</v>
      </c>
      <c r="W1118" s="24">
        <v>0</v>
      </c>
      <c r="X1118" s="24">
        <f>U1118-W1118</f>
        <v>0</v>
      </c>
      <c r="Y1118" s="53" t="str">
        <f>IF(U1118&lt;&gt;0,X1118/U1118,"")</f>
        <v/>
      </c>
      <c r="Z1118" s="23">
        <v>1.67</v>
      </c>
      <c r="AA1118" s="25">
        <v>1</v>
      </c>
      <c r="AB1118" s="24">
        <v>1.02</v>
      </c>
      <c r="AC1118" s="24">
        <f t="shared" si="350"/>
        <v>0.64999999999999991</v>
      </c>
      <c r="AD1118" s="53">
        <f t="shared" si="351"/>
        <v>0.3892215568862275</v>
      </c>
      <c r="AE1118" s="10"/>
    </row>
    <row r="1119" spans="1:31" x14ac:dyDescent="0.25">
      <c r="A1119" s="14" t="s">
        <v>109</v>
      </c>
      <c r="C1119" s="61" t="str">
        <f t="shared" si="349"/>
        <v>C100076</v>
      </c>
      <c r="F1119" s="8" t="str">
        <f>"C100008"</f>
        <v>C100008</v>
      </c>
      <c r="G1119" s="9" t="str">
        <f>"Glacier Vase"</f>
        <v>Glacier Vase</v>
      </c>
      <c r="H1119" s="47"/>
      <c r="I1119" s="47"/>
      <c r="J1119" s="23">
        <v>3792.3100000000004</v>
      </c>
      <c r="K1119" s="25">
        <v>432</v>
      </c>
      <c r="L1119" s="24">
        <v>1835.9699999999998</v>
      </c>
      <c r="M1119" s="24">
        <f>J1119-L1119</f>
        <v>1956.3400000000006</v>
      </c>
      <c r="N1119" s="53">
        <f>IF(J1119&lt;&gt;0,M1119/J1119,"")</f>
        <v>0.51587027431829158</v>
      </c>
      <c r="O1119" s="23">
        <v>0</v>
      </c>
      <c r="P1119" s="25">
        <v>0</v>
      </c>
      <c r="Q1119" s="24">
        <v>0</v>
      </c>
      <c r="R1119" s="24">
        <f>O1119-Q1119</f>
        <v>0</v>
      </c>
      <c r="S1119" s="53" t="str">
        <f>IF(O1119&lt;&gt;0,R1119/O1119,"")</f>
        <v/>
      </c>
      <c r="T1119" s="10"/>
      <c r="U1119" s="23">
        <v>0</v>
      </c>
      <c r="V1119" s="25">
        <v>0</v>
      </c>
      <c r="W1119" s="24">
        <v>0</v>
      </c>
      <c r="X1119" s="24">
        <f>U1119-W1119</f>
        <v>0</v>
      </c>
      <c r="Y1119" s="53" t="str">
        <f>IF(U1119&lt;&gt;0,X1119/U1119,"")</f>
        <v/>
      </c>
      <c r="Z1119" s="23">
        <v>0</v>
      </c>
      <c r="AA1119" s="25">
        <v>0</v>
      </c>
      <c r="AB1119" s="24">
        <v>0</v>
      </c>
      <c r="AC1119" s="24">
        <f t="shared" si="350"/>
        <v>0</v>
      </c>
      <c r="AD1119" s="53" t="str">
        <f t="shared" si="351"/>
        <v/>
      </c>
      <c r="AE1119" s="10"/>
    </row>
    <row r="1120" spans="1:31" x14ac:dyDescent="0.25">
      <c r="A1120" s="14" t="s">
        <v>109</v>
      </c>
      <c r="C1120" s="61" t="str">
        <f t="shared" si="349"/>
        <v>C100076</v>
      </c>
      <c r="F1120" s="8" t="str">
        <f>"C100009"</f>
        <v>C100009</v>
      </c>
      <c r="G1120" s="9" t="str">
        <f>"Normandy Vase"</f>
        <v>Normandy Vase</v>
      </c>
      <c r="H1120" s="47"/>
      <c r="I1120" s="47"/>
      <c r="J1120" s="23">
        <v>453.83</v>
      </c>
      <c r="K1120" s="25">
        <v>12</v>
      </c>
      <c r="L1120" s="24">
        <v>306.24</v>
      </c>
      <c r="M1120" s="24">
        <f>J1120-L1120</f>
        <v>147.58999999999997</v>
      </c>
      <c r="N1120" s="53">
        <f>IF(J1120&lt;&gt;0,M1120/J1120,"")</f>
        <v>0.32520988035167347</v>
      </c>
      <c r="O1120" s="23">
        <v>0</v>
      </c>
      <c r="P1120" s="25">
        <v>0</v>
      </c>
      <c r="Q1120" s="24">
        <v>0</v>
      </c>
      <c r="R1120" s="24">
        <f>O1120-Q1120</f>
        <v>0</v>
      </c>
      <c r="S1120" s="53" t="str">
        <f>IF(O1120&lt;&gt;0,R1120/O1120,"")</f>
        <v/>
      </c>
      <c r="T1120" s="10"/>
      <c r="U1120" s="23">
        <v>0</v>
      </c>
      <c r="V1120" s="25">
        <v>0</v>
      </c>
      <c r="W1120" s="24">
        <v>0</v>
      </c>
      <c r="X1120" s="24">
        <f>U1120-W1120</f>
        <v>0</v>
      </c>
      <c r="Y1120" s="53" t="str">
        <f>IF(U1120&lt;&gt;0,X1120/U1120,"")</f>
        <v/>
      </c>
      <c r="Z1120" s="23">
        <v>0</v>
      </c>
      <c r="AA1120" s="25">
        <v>0</v>
      </c>
      <c r="AB1120" s="24">
        <v>0</v>
      </c>
      <c r="AC1120" s="24">
        <f t="shared" si="350"/>
        <v>0</v>
      </c>
      <c r="AD1120" s="53" t="str">
        <f t="shared" si="351"/>
        <v/>
      </c>
      <c r="AE1120" s="10"/>
    </row>
    <row r="1121" spans="1:31" x14ac:dyDescent="0.25">
      <c r="A1121" s="14" t="s">
        <v>109</v>
      </c>
      <c r="C1121" s="61" t="str">
        <f t="shared" si="349"/>
        <v>C100076</v>
      </c>
      <c r="F1121" s="8" t="str">
        <f>"C100035"</f>
        <v>C100035</v>
      </c>
      <c r="G1121" s="9" t="str">
        <f>"Calculator &amp; World Time Clock"</f>
        <v>Calculator &amp; World Time Clock</v>
      </c>
      <c r="H1121" s="47"/>
      <c r="I1121" s="47"/>
      <c r="J1121" s="23">
        <v>484.04</v>
      </c>
      <c r="K1121" s="25">
        <v>168</v>
      </c>
      <c r="L1121" s="24">
        <v>329.27</v>
      </c>
      <c r="M1121" s="24">
        <f>J1121-L1121</f>
        <v>154.77000000000004</v>
      </c>
      <c r="N1121" s="53">
        <f>IF(J1121&lt;&gt;0,M1121/J1121,"")</f>
        <v>0.31974630195851589</v>
      </c>
      <c r="O1121" s="23">
        <v>0</v>
      </c>
      <c r="P1121" s="25">
        <v>0</v>
      </c>
      <c r="Q1121" s="24">
        <v>0</v>
      </c>
      <c r="R1121" s="24">
        <f>O1121-Q1121</f>
        <v>0</v>
      </c>
      <c r="S1121" s="53" t="str">
        <f>IF(O1121&lt;&gt;0,R1121/O1121,"")</f>
        <v/>
      </c>
      <c r="T1121" s="10"/>
      <c r="U1121" s="23">
        <v>0</v>
      </c>
      <c r="V1121" s="25">
        <v>0</v>
      </c>
      <c r="W1121" s="24">
        <v>0</v>
      </c>
      <c r="X1121" s="24">
        <f>U1121-W1121</f>
        <v>0</v>
      </c>
      <c r="Y1121" s="53" t="str">
        <f>IF(U1121&lt;&gt;0,X1121/U1121,"")</f>
        <v/>
      </c>
      <c r="Z1121" s="23">
        <v>2.88</v>
      </c>
      <c r="AA1121" s="25">
        <v>1</v>
      </c>
      <c r="AB1121" s="24">
        <v>1.96</v>
      </c>
      <c r="AC1121" s="24">
        <f t="shared" si="350"/>
        <v>0.91999999999999993</v>
      </c>
      <c r="AD1121" s="53">
        <f t="shared" si="351"/>
        <v>0.31944444444444442</v>
      </c>
      <c r="AE1121" s="10"/>
    </row>
    <row r="1122" spans="1:31" x14ac:dyDescent="0.25">
      <c r="A1122" s="14" t="s">
        <v>109</v>
      </c>
      <c r="C1122" s="61" t="str">
        <f t="shared" si="349"/>
        <v>C100076</v>
      </c>
      <c r="F1122" s="8" t="str">
        <f>"C100037"</f>
        <v>C100037</v>
      </c>
      <c r="G1122" s="9" t="str">
        <f>"World Time Travel Alarm"</f>
        <v>World Time Travel Alarm</v>
      </c>
      <c r="H1122" s="47"/>
      <c r="I1122" s="47"/>
      <c r="J1122" s="23">
        <v>8.84</v>
      </c>
      <c r="K1122" s="25">
        <v>1</v>
      </c>
      <c r="L1122" s="24">
        <v>5.4</v>
      </c>
      <c r="M1122" s="24">
        <f>J1122-L1122</f>
        <v>3.4399999999999995</v>
      </c>
      <c r="N1122" s="53">
        <f>IF(J1122&lt;&gt;0,M1122/J1122,"")</f>
        <v>0.38914027149321262</v>
      </c>
      <c r="O1122" s="23">
        <v>0</v>
      </c>
      <c r="P1122" s="25">
        <v>0</v>
      </c>
      <c r="Q1122" s="24">
        <v>0</v>
      </c>
      <c r="R1122" s="24">
        <f>O1122-Q1122</f>
        <v>0</v>
      </c>
      <c r="S1122" s="53" t="str">
        <f>IF(O1122&lt;&gt;0,R1122/O1122,"")</f>
        <v/>
      </c>
      <c r="T1122" s="10"/>
      <c r="U1122" s="23">
        <v>0</v>
      </c>
      <c r="V1122" s="25">
        <v>0</v>
      </c>
      <c r="W1122" s="24">
        <v>0</v>
      </c>
      <c r="X1122" s="24">
        <f>U1122-W1122</f>
        <v>0</v>
      </c>
      <c r="Y1122" s="53" t="str">
        <f>IF(U1122&lt;&gt;0,X1122/U1122,"")</f>
        <v/>
      </c>
      <c r="Z1122" s="23">
        <v>0</v>
      </c>
      <c r="AA1122" s="25">
        <v>0</v>
      </c>
      <c r="AB1122" s="24">
        <v>0</v>
      </c>
      <c r="AC1122" s="24">
        <f t="shared" si="350"/>
        <v>0</v>
      </c>
      <c r="AD1122" s="53" t="str">
        <f t="shared" si="351"/>
        <v/>
      </c>
      <c r="AE1122" s="10"/>
    </row>
    <row r="1123" spans="1:31" x14ac:dyDescent="0.25">
      <c r="A1123" s="14" t="s">
        <v>109</v>
      </c>
      <c r="C1123" s="61" t="str">
        <f t="shared" si="349"/>
        <v>C100076</v>
      </c>
      <c r="F1123" s="8" t="str">
        <f>"C100038"</f>
        <v>C100038</v>
      </c>
      <c r="G1123" s="9" t="str">
        <f>"Foldable Travel Speakers"</f>
        <v>Foldable Travel Speakers</v>
      </c>
      <c r="H1123" s="47"/>
      <c r="I1123" s="47"/>
      <c r="J1123" s="23">
        <v>56.68</v>
      </c>
      <c r="K1123" s="25">
        <v>12</v>
      </c>
      <c r="L1123" s="24">
        <v>38.28</v>
      </c>
      <c r="M1123" s="24">
        <f>J1123-L1123</f>
        <v>18.399999999999999</v>
      </c>
      <c r="N1123" s="53">
        <f>IF(J1123&lt;&gt;0,M1123/J1123,"")</f>
        <v>0.32462949894142551</v>
      </c>
      <c r="O1123" s="23">
        <v>0</v>
      </c>
      <c r="P1123" s="25">
        <v>0</v>
      </c>
      <c r="Q1123" s="24">
        <v>0</v>
      </c>
      <c r="R1123" s="24">
        <f>O1123-Q1123</f>
        <v>0</v>
      </c>
      <c r="S1123" s="53" t="str">
        <f>IF(O1123&lt;&gt;0,R1123/O1123,"")</f>
        <v/>
      </c>
      <c r="T1123" s="10"/>
      <c r="U1123" s="23">
        <v>0</v>
      </c>
      <c r="V1123" s="25">
        <v>0</v>
      </c>
      <c r="W1123" s="24">
        <v>0</v>
      </c>
      <c r="X1123" s="24">
        <f>U1123-W1123</f>
        <v>0</v>
      </c>
      <c r="Y1123" s="53" t="str">
        <f>IF(U1123&lt;&gt;0,X1123/U1123,"")</f>
        <v/>
      </c>
      <c r="Z1123" s="23">
        <v>0</v>
      </c>
      <c r="AA1123" s="25">
        <v>0</v>
      </c>
      <c r="AB1123" s="24">
        <v>0</v>
      </c>
      <c r="AC1123" s="24">
        <f t="shared" si="350"/>
        <v>0</v>
      </c>
      <c r="AD1123" s="53" t="str">
        <f t="shared" si="351"/>
        <v/>
      </c>
      <c r="AE1123" s="10"/>
    </row>
    <row r="1124" spans="1:31" x14ac:dyDescent="0.25">
      <c r="A1124" s="14" t="s">
        <v>109</v>
      </c>
      <c r="C1124" s="61" t="str">
        <f t="shared" si="349"/>
        <v>C100076</v>
      </c>
      <c r="F1124" s="8" t="str">
        <f>"C100039"</f>
        <v>C100039</v>
      </c>
      <c r="G1124" s="9" t="str">
        <f>"Portable Speaker &amp; MP3 Dock"</f>
        <v>Portable Speaker &amp; MP3 Dock</v>
      </c>
      <c r="H1124" s="47"/>
      <c r="I1124" s="47"/>
      <c r="J1124" s="23">
        <v>14.57</v>
      </c>
      <c r="K1124" s="25">
        <v>1</v>
      </c>
      <c r="L1124" s="24">
        <v>8.4</v>
      </c>
      <c r="M1124" s="24">
        <f>J1124-L1124</f>
        <v>6.17</v>
      </c>
      <c r="N1124" s="53">
        <f>IF(J1124&lt;&gt;0,M1124/J1124,"")</f>
        <v>0.4234728894989705</v>
      </c>
      <c r="O1124" s="23">
        <v>0</v>
      </c>
      <c r="P1124" s="25">
        <v>0</v>
      </c>
      <c r="Q1124" s="24">
        <v>0</v>
      </c>
      <c r="R1124" s="24">
        <f>O1124-Q1124</f>
        <v>0</v>
      </c>
      <c r="S1124" s="53" t="str">
        <f>IF(O1124&lt;&gt;0,R1124/O1124,"")</f>
        <v/>
      </c>
      <c r="T1124" s="10"/>
      <c r="U1124" s="23">
        <v>0</v>
      </c>
      <c r="V1124" s="25">
        <v>0</v>
      </c>
      <c r="W1124" s="24">
        <v>0</v>
      </c>
      <c r="X1124" s="24">
        <f>U1124-W1124</f>
        <v>0</v>
      </c>
      <c r="Y1124" s="53" t="str">
        <f>IF(U1124&lt;&gt;0,X1124/U1124,"")</f>
        <v/>
      </c>
      <c r="Z1124" s="23">
        <v>0</v>
      </c>
      <c r="AA1124" s="25">
        <v>0</v>
      </c>
      <c r="AB1124" s="24">
        <v>0</v>
      </c>
      <c r="AC1124" s="24">
        <f t="shared" si="350"/>
        <v>0</v>
      </c>
      <c r="AD1124" s="53" t="str">
        <f t="shared" si="351"/>
        <v/>
      </c>
      <c r="AE1124" s="10"/>
    </row>
    <row r="1125" spans="1:31" x14ac:dyDescent="0.25">
      <c r="A1125" s="14" t="s">
        <v>109</v>
      </c>
      <c r="C1125" s="61" t="str">
        <f t="shared" si="349"/>
        <v>C100076</v>
      </c>
      <c r="F1125" s="8" t="str">
        <f>"C100040"</f>
        <v>C100040</v>
      </c>
      <c r="G1125" s="9" t="str">
        <f>"Channel Speaker System"</f>
        <v>Channel Speaker System</v>
      </c>
      <c r="H1125" s="47"/>
      <c r="I1125" s="47"/>
      <c r="J1125" s="23">
        <v>986.90000000000009</v>
      </c>
      <c r="K1125" s="25">
        <v>24</v>
      </c>
      <c r="L1125" s="24">
        <v>498.48</v>
      </c>
      <c r="M1125" s="24">
        <f>J1125-L1125</f>
        <v>488.42000000000007</v>
      </c>
      <c r="N1125" s="53">
        <f>IF(J1125&lt;&gt;0,M1125/J1125,"")</f>
        <v>0.49490323234370254</v>
      </c>
      <c r="O1125" s="23">
        <v>0</v>
      </c>
      <c r="P1125" s="25">
        <v>0</v>
      </c>
      <c r="Q1125" s="24">
        <v>0</v>
      </c>
      <c r="R1125" s="24">
        <f>O1125-Q1125</f>
        <v>0</v>
      </c>
      <c r="S1125" s="53" t="str">
        <f>IF(O1125&lt;&gt;0,R1125/O1125,"")</f>
        <v/>
      </c>
      <c r="T1125" s="10"/>
      <c r="U1125" s="23">
        <v>0</v>
      </c>
      <c r="V1125" s="25">
        <v>0</v>
      </c>
      <c r="W1125" s="24">
        <v>0</v>
      </c>
      <c r="X1125" s="24">
        <f>U1125-W1125</f>
        <v>0</v>
      </c>
      <c r="Y1125" s="53" t="str">
        <f>IF(U1125&lt;&gt;0,X1125/U1125,"")</f>
        <v/>
      </c>
      <c r="Z1125" s="23">
        <v>0</v>
      </c>
      <c r="AA1125" s="25">
        <v>0</v>
      </c>
      <c r="AB1125" s="24">
        <v>0</v>
      </c>
      <c r="AC1125" s="24">
        <f t="shared" si="350"/>
        <v>0</v>
      </c>
      <c r="AD1125" s="53" t="str">
        <f t="shared" si="351"/>
        <v/>
      </c>
      <c r="AE1125" s="10"/>
    </row>
    <row r="1126" spans="1:31" x14ac:dyDescent="0.25">
      <c r="A1126" s="14" t="s">
        <v>109</v>
      </c>
      <c r="C1126" s="61" t="str">
        <f t="shared" si="349"/>
        <v>C100076</v>
      </c>
      <c r="F1126" s="8" t="str">
        <f>"C100041"</f>
        <v>C100041</v>
      </c>
      <c r="G1126" s="9" t="str">
        <f>"Folding Stereo Speakers"</f>
        <v>Folding Stereo Speakers</v>
      </c>
      <c r="H1126" s="47"/>
      <c r="I1126" s="47"/>
      <c r="J1126" s="23">
        <v>2129.98</v>
      </c>
      <c r="K1126" s="25">
        <v>144</v>
      </c>
      <c r="L1126" s="24">
        <v>1205.19</v>
      </c>
      <c r="M1126" s="24">
        <f>J1126-L1126</f>
        <v>924.79</v>
      </c>
      <c r="N1126" s="53">
        <f>IF(J1126&lt;&gt;0,M1126/J1126,"")</f>
        <v>0.43417778570690801</v>
      </c>
      <c r="O1126" s="23">
        <v>0</v>
      </c>
      <c r="P1126" s="25">
        <v>0</v>
      </c>
      <c r="Q1126" s="24">
        <v>0</v>
      </c>
      <c r="R1126" s="24">
        <f>O1126-Q1126</f>
        <v>0</v>
      </c>
      <c r="S1126" s="53" t="str">
        <f>IF(O1126&lt;&gt;0,R1126/O1126,"")</f>
        <v/>
      </c>
      <c r="T1126" s="10"/>
      <c r="U1126" s="23">
        <v>0</v>
      </c>
      <c r="V1126" s="25">
        <v>0</v>
      </c>
      <c r="W1126" s="24">
        <v>0</v>
      </c>
      <c r="X1126" s="24">
        <f>U1126-W1126</f>
        <v>0</v>
      </c>
      <c r="Y1126" s="53" t="str">
        <f>IF(U1126&lt;&gt;0,X1126/U1126,"")</f>
        <v/>
      </c>
      <c r="Z1126" s="23">
        <v>0</v>
      </c>
      <c r="AA1126" s="25">
        <v>0</v>
      </c>
      <c r="AB1126" s="24">
        <v>0</v>
      </c>
      <c r="AC1126" s="24">
        <f t="shared" si="350"/>
        <v>0</v>
      </c>
      <c r="AD1126" s="53" t="str">
        <f t="shared" si="351"/>
        <v/>
      </c>
      <c r="AE1126" s="10"/>
    </row>
    <row r="1127" spans="1:31" x14ac:dyDescent="0.25">
      <c r="A1127" s="14" t="s">
        <v>109</v>
      </c>
      <c r="C1127" s="61" t="str">
        <f t="shared" si="349"/>
        <v>C100076</v>
      </c>
      <c r="F1127" s="8" t="str">
        <f>"C100046"</f>
        <v>C100046</v>
      </c>
      <c r="G1127" s="9" t="str">
        <f>"1GB MP3 Player"</f>
        <v>1GB MP3 Player</v>
      </c>
      <c r="H1127" s="47"/>
      <c r="I1127" s="47"/>
      <c r="J1127" s="23">
        <v>2815</v>
      </c>
      <c r="K1127" s="25">
        <v>145</v>
      </c>
      <c r="L1127" s="24">
        <v>1670.3100000000002</v>
      </c>
      <c r="M1127" s="24">
        <f>J1127-L1127</f>
        <v>1144.6899999999998</v>
      </c>
      <c r="N1127" s="53">
        <f>IF(J1127&lt;&gt;0,M1127/J1127,"")</f>
        <v>0.40663943161634097</v>
      </c>
      <c r="O1127" s="23">
        <v>0</v>
      </c>
      <c r="P1127" s="25">
        <v>0</v>
      </c>
      <c r="Q1127" s="24">
        <v>0</v>
      </c>
      <c r="R1127" s="24">
        <f>O1127-Q1127</f>
        <v>0</v>
      </c>
      <c r="S1127" s="53" t="str">
        <f>IF(O1127&lt;&gt;0,R1127/O1127,"")</f>
        <v/>
      </c>
      <c r="T1127" s="10"/>
      <c r="U1127" s="23">
        <v>0</v>
      </c>
      <c r="V1127" s="25">
        <v>0</v>
      </c>
      <c r="W1127" s="24">
        <v>0</v>
      </c>
      <c r="X1127" s="24">
        <f>U1127-W1127</f>
        <v>0</v>
      </c>
      <c r="Y1127" s="53" t="str">
        <f>IF(U1127&lt;&gt;0,X1127/U1127,"")</f>
        <v/>
      </c>
      <c r="Z1127" s="23">
        <v>0</v>
      </c>
      <c r="AA1127" s="25">
        <v>0</v>
      </c>
      <c r="AB1127" s="24">
        <v>0</v>
      </c>
      <c r="AC1127" s="24">
        <f t="shared" si="350"/>
        <v>0</v>
      </c>
      <c r="AD1127" s="53" t="str">
        <f t="shared" si="351"/>
        <v/>
      </c>
      <c r="AE1127" s="10"/>
    </row>
    <row r="1128" spans="1:31" x14ac:dyDescent="0.25">
      <c r="A1128" s="14" t="s">
        <v>109</v>
      </c>
      <c r="C1128" s="61" t="str">
        <f t="shared" si="349"/>
        <v>C100076</v>
      </c>
      <c r="F1128" s="8" t="str">
        <f>"C100047"</f>
        <v>C100047</v>
      </c>
      <c r="G1128" s="9" t="str">
        <f>"2GB MP3 Player"</f>
        <v>2GB MP3 Player</v>
      </c>
      <c r="H1128" s="47"/>
      <c r="I1128" s="47"/>
      <c r="J1128" s="23">
        <v>1283.18</v>
      </c>
      <c r="K1128" s="25">
        <v>48</v>
      </c>
      <c r="L1128" s="24">
        <v>799.18</v>
      </c>
      <c r="M1128" s="24">
        <f>J1128-L1128</f>
        <v>484.00000000000011</v>
      </c>
      <c r="N1128" s="53">
        <f>IF(J1128&lt;&gt;0,M1128/J1128,"")</f>
        <v>0.37718792375192889</v>
      </c>
      <c r="O1128" s="23">
        <v>0</v>
      </c>
      <c r="P1128" s="25">
        <v>0</v>
      </c>
      <c r="Q1128" s="24">
        <v>0</v>
      </c>
      <c r="R1128" s="24">
        <f>O1128-Q1128</f>
        <v>0</v>
      </c>
      <c r="S1128" s="53" t="str">
        <f>IF(O1128&lt;&gt;0,R1128/O1128,"")</f>
        <v/>
      </c>
      <c r="T1128" s="10"/>
      <c r="U1128" s="23">
        <v>0</v>
      </c>
      <c r="V1128" s="25">
        <v>0</v>
      </c>
      <c r="W1128" s="24">
        <v>0</v>
      </c>
      <c r="X1128" s="24">
        <f>U1128-W1128</f>
        <v>0</v>
      </c>
      <c r="Y1128" s="53" t="str">
        <f>IF(U1128&lt;&gt;0,X1128/U1128,"")</f>
        <v/>
      </c>
      <c r="Z1128" s="23">
        <v>0</v>
      </c>
      <c r="AA1128" s="25">
        <v>0</v>
      </c>
      <c r="AB1128" s="24">
        <v>0</v>
      </c>
      <c r="AC1128" s="24">
        <f t="shared" si="350"/>
        <v>0</v>
      </c>
      <c r="AD1128" s="53" t="str">
        <f t="shared" si="351"/>
        <v/>
      </c>
      <c r="AE1128" s="10"/>
    </row>
    <row r="1129" spans="1:31" x14ac:dyDescent="0.25">
      <c r="A1129" s="14" t="s">
        <v>109</v>
      </c>
      <c r="C1129" s="61" t="str">
        <f t="shared" si="349"/>
        <v>C100076</v>
      </c>
      <c r="F1129" s="8" t="str">
        <f>"C100051"</f>
        <v>C100051</v>
      </c>
      <c r="G1129" s="9" t="str">
        <f>"Bamboo Digital Picutre Frame"</f>
        <v>Bamboo Digital Picutre Frame</v>
      </c>
      <c r="H1129" s="47"/>
      <c r="I1129" s="47"/>
      <c r="J1129" s="23">
        <v>7103.9800000000005</v>
      </c>
      <c r="K1129" s="25">
        <v>144</v>
      </c>
      <c r="L1129" s="24">
        <v>3502.1299999999997</v>
      </c>
      <c r="M1129" s="24">
        <f>J1129-L1129</f>
        <v>3601.8500000000008</v>
      </c>
      <c r="N1129" s="53">
        <f>IF(J1129&lt;&gt;0,M1129/J1129,"")</f>
        <v>0.50701860084065564</v>
      </c>
      <c r="O1129" s="23">
        <v>0</v>
      </c>
      <c r="P1129" s="25">
        <v>0</v>
      </c>
      <c r="Q1129" s="24">
        <v>0</v>
      </c>
      <c r="R1129" s="24">
        <f>O1129-Q1129</f>
        <v>0</v>
      </c>
      <c r="S1129" s="53" t="str">
        <f>IF(O1129&lt;&gt;0,R1129/O1129,"")</f>
        <v/>
      </c>
      <c r="T1129" s="10"/>
      <c r="U1129" s="23">
        <v>0</v>
      </c>
      <c r="V1129" s="25">
        <v>0</v>
      </c>
      <c r="W1129" s="24">
        <v>0</v>
      </c>
      <c r="X1129" s="24">
        <f>U1129-W1129</f>
        <v>0</v>
      </c>
      <c r="Y1129" s="53" t="str">
        <f>IF(U1129&lt;&gt;0,X1129/U1129,"")</f>
        <v/>
      </c>
      <c r="Z1129" s="23">
        <v>7103.9800000000005</v>
      </c>
      <c r="AA1129" s="25">
        <v>144</v>
      </c>
      <c r="AB1129" s="24">
        <v>3502.1299999999997</v>
      </c>
      <c r="AC1129" s="24">
        <f t="shared" si="350"/>
        <v>3601.8500000000008</v>
      </c>
      <c r="AD1129" s="53">
        <f t="shared" si="351"/>
        <v>0.50701860084065564</v>
      </c>
      <c r="AE1129" s="10"/>
    </row>
    <row r="1130" spans="1:31" x14ac:dyDescent="0.25">
      <c r="A1130" s="14" t="s">
        <v>109</v>
      </c>
      <c r="C1130" s="61" t="str">
        <f t="shared" si="349"/>
        <v>C100076</v>
      </c>
      <c r="F1130" s="8" t="str">
        <f>"C100054"</f>
        <v>C100054</v>
      </c>
      <c r="G1130" s="9" t="str">
        <f>"Cherry Finish Photo Frame &amp; Clock"</f>
        <v>Cherry Finish Photo Frame &amp; Clock</v>
      </c>
      <c r="H1130" s="47"/>
      <c r="I1130" s="47"/>
      <c r="J1130" s="23">
        <v>4094.2400000000002</v>
      </c>
      <c r="K1130" s="25">
        <v>198.00000000000003</v>
      </c>
      <c r="L1130" s="24">
        <v>2661.07</v>
      </c>
      <c r="M1130" s="24">
        <f>J1130-L1130</f>
        <v>1433.17</v>
      </c>
      <c r="N1130" s="53">
        <f>IF(J1130&lt;&gt;0,M1130/J1130,"")</f>
        <v>0.35004542967681423</v>
      </c>
      <c r="O1130" s="23">
        <v>0</v>
      </c>
      <c r="P1130" s="25">
        <v>0</v>
      </c>
      <c r="Q1130" s="24">
        <v>0</v>
      </c>
      <c r="R1130" s="24">
        <f>O1130-Q1130</f>
        <v>0</v>
      </c>
      <c r="S1130" s="53" t="str">
        <f>IF(O1130&lt;&gt;0,R1130/O1130,"")</f>
        <v/>
      </c>
      <c r="T1130" s="10"/>
      <c r="U1130" s="23">
        <v>0</v>
      </c>
      <c r="V1130" s="25">
        <v>0</v>
      </c>
      <c r="W1130" s="24">
        <v>0</v>
      </c>
      <c r="X1130" s="24">
        <f>U1130-W1130</f>
        <v>0</v>
      </c>
      <c r="Y1130" s="53" t="str">
        <f>IF(U1130&lt;&gt;0,X1130/U1130,"")</f>
        <v/>
      </c>
      <c r="Z1130" s="23">
        <v>0</v>
      </c>
      <c r="AA1130" s="25">
        <v>0</v>
      </c>
      <c r="AB1130" s="24">
        <v>0</v>
      </c>
      <c r="AC1130" s="24">
        <f t="shared" si="350"/>
        <v>0</v>
      </c>
      <c r="AD1130" s="53" t="str">
        <f t="shared" si="351"/>
        <v/>
      </c>
      <c r="AE1130" s="10"/>
    </row>
    <row r="1131" spans="1:31" x14ac:dyDescent="0.25">
      <c r="A1131" s="14" t="s">
        <v>109</v>
      </c>
      <c r="C1131" s="61" t="str">
        <f t="shared" si="349"/>
        <v>C100076</v>
      </c>
      <c r="F1131" s="8" t="str">
        <f>"E100018"</f>
        <v>E100018</v>
      </c>
      <c r="G1131" s="9" t="str">
        <f>"Flexi-Clock &amp; Clip"</f>
        <v>Flexi-Clock &amp; Clip</v>
      </c>
      <c r="H1131" s="47"/>
      <c r="I1131" s="47"/>
      <c r="J1131" s="23">
        <v>6.44</v>
      </c>
      <c r="K1131" s="25">
        <v>6</v>
      </c>
      <c r="L1131" s="24">
        <v>3.6</v>
      </c>
      <c r="M1131" s="24">
        <f>J1131-L1131</f>
        <v>2.8400000000000003</v>
      </c>
      <c r="N1131" s="53">
        <f>IF(J1131&lt;&gt;0,M1131/J1131,"")</f>
        <v>0.44099378881987578</v>
      </c>
      <c r="O1131" s="23">
        <v>0</v>
      </c>
      <c r="P1131" s="25">
        <v>0</v>
      </c>
      <c r="Q1131" s="24">
        <v>0</v>
      </c>
      <c r="R1131" s="24">
        <f>O1131-Q1131</f>
        <v>0</v>
      </c>
      <c r="S1131" s="53" t="str">
        <f>IF(O1131&lt;&gt;0,R1131/O1131,"")</f>
        <v/>
      </c>
      <c r="T1131" s="10"/>
      <c r="U1131" s="23">
        <v>0</v>
      </c>
      <c r="V1131" s="25">
        <v>0</v>
      </c>
      <c r="W1131" s="24">
        <v>0</v>
      </c>
      <c r="X1131" s="24">
        <f>U1131-W1131</f>
        <v>0</v>
      </c>
      <c r="Y1131" s="53" t="str">
        <f>IF(U1131&lt;&gt;0,X1131/U1131,"")</f>
        <v/>
      </c>
      <c r="Z1131" s="23">
        <v>0</v>
      </c>
      <c r="AA1131" s="25">
        <v>0</v>
      </c>
      <c r="AB1131" s="24">
        <v>0</v>
      </c>
      <c r="AC1131" s="24">
        <f t="shared" si="350"/>
        <v>0</v>
      </c>
      <c r="AD1131" s="53" t="str">
        <f t="shared" si="351"/>
        <v/>
      </c>
      <c r="AE1131" s="10"/>
    </row>
    <row r="1132" spans="1:31" x14ac:dyDescent="0.25">
      <c r="A1132" s="14" t="s">
        <v>109</v>
      </c>
      <c r="C1132" s="61" t="str">
        <f t="shared" si="349"/>
        <v>C100076</v>
      </c>
      <c r="F1132" s="8" t="str">
        <f>"E100019"</f>
        <v>E100019</v>
      </c>
      <c r="G1132" s="9" t="str">
        <f>"Mini Travel Alarm"</f>
        <v>Mini Travel Alarm</v>
      </c>
      <c r="H1132" s="47"/>
      <c r="I1132" s="47"/>
      <c r="J1132" s="23">
        <v>478.4</v>
      </c>
      <c r="K1132" s="25">
        <v>144</v>
      </c>
      <c r="L1132" s="24">
        <v>233.26999999999998</v>
      </c>
      <c r="M1132" s="24">
        <f>J1132-L1132</f>
        <v>245.13</v>
      </c>
      <c r="N1132" s="53">
        <f>IF(J1132&lt;&gt;0,M1132/J1132,"")</f>
        <v>0.51239548494983278</v>
      </c>
      <c r="O1132" s="23">
        <v>0</v>
      </c>
      <c r="P1132" s="25">
        <v>0</v>
      </c>
      <c r="Q1132" s="24">
        <v>0</v>
      </c>
      <c r="R1132" s="24">
        <f>O1132-Q1132</f>
        <v>0</v>
      </c>
      <c r="S1132" s="53" t="str">
        <f>IF(O1132&lt;&gt;0,R1132/O1132,"")</f>
        <v/>
      </c>
      <c r="T1132" s="10"/>
      <c r="U1132" s="23">
        <v>0</v>
      </c>
      <c r="V1132" s="25">
        <v>0</v>
      </c>
      <c r="W1132" s="24">
        <v>0</v>
      </c>
      <c r="X1132" s="24">
        <f>U1132-W1132</f>
        <v>0</v>
      </c>
      <c r="Y1132" s="53" t="str">
        <f>IF(U1132&lt;&gt;0,X1132/U1132,"")</f>
        <v/>
      </c>
      <c r="Z1132" s="23">
        <v>3.32</v>
      </c>
      <c r="AA1132" s="25">
        <v>1</v>
      </c>
      <c r="AB1132" s="24">
        <v>1.62</v>
      </c>
      <c r="AC1132" s="24">
        <f t="shared" si="350"/>
        <v>1.6999999999999997</v>
      </c>
      <c r="AD1132" s="53">
        <f t="shared" si="351"/>
        <v>0.51204819277108427</v>
      </c>
      <c r="AE1132" s="10"/>
    </row>
    <row r="1133" spans="1:31" x14ac:dyDescent="0.25">
      <c r="A1133" s="14" t="s">
        <v>109</v>
      </c>
      <c r="C1133" s="61" t="str">
        <f t="shared" si="349"/>
        <v>C100076</v>
      </c>
      <c r="F1133" s="8" t="str">
        <f>"E100020"</f>
        <v>E100020</v>
      </c>
      <c r="G1133" s="9" t="str">
        <f>"Flip-up Travel Alarm"</f>
        <v>Flip-up Travel Alarm</v>
      </c>
      <c r="H1133" s="47"/>
      <c r="I1133" s="47"/>
      <c r="J1133" s="23">
        <v>1301.1299999999999</v>
      </c>
      <c r="K1133" s="25">
        <v>144</v>
      </c>
      <c r="L1133" s="24">
        <v>673.93000000000006</v>
      </c>
      <c r="M1133" s="24">
        <f>J1133-L1133</f>
        <v>627.19999999999982</v>
      </c>
      <c r="N1133" s="53">
        <f>IF(J1133&lt;&gt;0,M1133/J1133,"")</f>
        <v>0.48204253226041971</v>
      </c>
      <c r="O1133" s="23">
        <v>0</v>
      </c>
      <c r="P1133" s="25">
        <v>0</v>
      </c>
      <c r="Q1133" s="24">
        <v>0</v>
      </c>
      <c r="R1133" s="24">
        <f>O1133-Q1133</f>
        <v>0</v>
      </c>
      <c r="S1133" s="53" t="str">
        <f>IF(O1133&lt;&gt;0,R1133/O1133,"")</f>
        <v/>
      </c>
      <c r="T1133" s="10"/>
      <c r="U1133" s="23">
        <v>0</v>
      </c>
      <c r="V1133" s="25">
        <v>0</v>
      </c>
      <c r="W1133" s="24">
        <v>0</v>
      </c>
      <c r="X1133" s="24">
        <f>U1133-W1133</f>
        <v>0</v>
      </c>
      <c r="Y1133" s="53" t="str">
        <f>IF(U1133&lt;&gt;0,X1133/U1133,"")</f>
        <v/>
      </c>
      <c r="Z1133" s="23">
        <v>0</v>
      </c>
      <c r="AA1133" s="25">
        <v>0</v>
      </c>
      <c r="AB1133" s="24">
        <v>0</v>
      </c>
      <c r="AC1133" s="24">
        <f t="shared" si="350"/>
        <v>0</v>
      </c>
      <c r="AD1133" s="53" t="str">
        <f t="shared" si="351"/>
        <v/>
      </c>
      <c r="AE1133" s="10"/>
    </row>
    <row r="1134" spans="1:31" x14ac:dyDescent="0.25">
      <c r="A1134" s="14" t="s">
        <v>109</v>
      </c>
      <c r="C1134" s="61" t="str">
        <f t="shared" si="349"/>
        <v>C100076</v>
      </c>
      <c r="F1134" s="8" t="str">
        <f>"E100021"</f>
        <v>E100021</v>
      </c>
      <c r="G1134" s="9" t="str">
        <f>"Slim Travel Alarm"</f>
        <v>Slim Travel Alarm</v>
      </c>
      <c r="H1134" s="47"/>
      <c r="I1134" s="47"/>
      <c r="J1134" s="23">
        <v>546.39</v>
      </c>
      <c r="K1134" s="25">
        <v>198.00000000000003</v>
      </c>
      <c r="L1134" s="24">
        <v>285.10999999999996</v>
      </c>
      <c r="M1134" s="24">
        <f>J1134-L1134</f>
        <v>261.28000000000003</v>
      </c>
      <c r="N1134" s="53">
        <f>IF(J1134&lt;&gt;0,M1134/J1134,"")</f>
        <v>0.47819323194055535</v>
      </c>
      <c r="O1134" s="23">
        <v>0</v>
      </c>
      <c r="P1134" s="25">
        <v>0</v>
      </c>
      <c r="Q1134" s="24">
        <v>0</v>
      </c>
      <c r="R1134" s="24">
        <f>O1134-Q1134</f>
        <v>0</v>
      </c>
      <c r="S1134" s="53" t="str">
        <f>IF(O1134&lt;&gt;0,R1134/O1134,"")</f>
        <v/>
      </c>
      <c r="T1134" s="10"/>
      <c r="U1134" s="23">
        <v>0</v>
      </c>
      <c r="V1134" s="25">
        <v>0</v>
      </c>
      <c r="W1134" s="24">
        <v>0</v>
      </c>
      <c r="X1134" s="24">
        <f>U1134-W1134</f>
        <v>0</v>
      </c>
      <c r="Y1134" s="53" t="str">
        <f>IF(U1134&lt;&gt;0,X1134/U1134,"")</f>
        <v/>
      </c>
      <c r="Z1134" s="23">
        <v>0</v>
      </c>
      <c r="AA1134" s="25">
        <v>0</v>
      </c>
      <c r="AB1134" s="24">
        <v>0</v>
      </c>
      <c r="AC1134" s="24">
        <f t="shared" si="350"/>
        <v>0</v>
      </c>
      <c r="AD1134" s="53" t="str">
        <f t="shared" si="351"/>
        <v/>
      </c>
      <c r="AE1134" s="10"/>
    </row>
    <row r="1135" spans="1:31" x14ac:dyDescent="0.25">
      <c r="A1135" s="14" t="s">
        <v>109</v>
      </c>
      <c r="C1135" s="61" t="str">
        <f t="shared" si="349"/>
        <v>C100076</v>
      </c>
      <c r="F1135" s="8" t="str">
        <f>"E100022"</f>
        <v>E100022</v>
      </c>
      <c r="G1135" s="9" t="str">
        <f>"Wide Screen Alarm Clock"</f>
        <v>Wide Screen Alarm Clock</v>
      </c>
      <c r="H1135" s="47"/>
      <c r="I1135" s="47"/>
      <c r="J1135" s="23">
        <v>88.009999999999991</v>
      </c>
      <c r="K1135" s="25">
        <v>48</v>
      </c>
      <c r="L1135" s="24">
        <v>61.44</v>
      </c>
      <c r="M1135" s="24">
        <f>J1135-L1135</f>
        <v>26.569999999999993</v>
      </c>
      <c r="N1135" s="53">
        <f>IF(J1135&lt;&gt;0,M1135/J1135,"")</f>
        <v>0.30189751164640377</v>
      </c>
      <c r="O1135" s="23">
        <v>0</v>
      </c>
      <c r="P1135" s="25">
        <v>0</v>
      </c>
      <c r="Q1135" s="24">
        <v>0</v>
      </c>
      <c r="R1135" s="24">
        <f>O1135-Q1135</f>
        <v>0</v>
      </c>
      <c r="S1135" s="53" t="str">
        <f>IF(O1135&lt;&gt;0,R1135/O1135,"")</f>
        <v/>
      </c>
      <c r="T1135" s="10"/>
      <c r="U1135" s="23">
        <v>0</v>
      </c>
      <c r="V1135" s="25">
        <v>0</v>
      </c>
      <c r="W1135" s="24">
        <v>0</v>
      </c>
      <c r="X1135" s="24">
        <f>U1135-W1135</f>
        <v>0</v>
      </c>
      <c r="Y1135" s="53" t="str">
        <f>IF(U1135&lt;&gt;0,X1135/U1135,"")</f>
        <v/>
      </c>
      <c r="Z1135" s="23">
        <v>0</v>
      </c>
      <c r="AA1135" s="25">
        <v>0</v>
      </c>
      <c r="AB1135" s="24">
        <v>0</v>
      </c>
      <c r="AC1135" s="24">
        <f t="shared" si="350"/>
        <v>0</v>
      </c>
      <c r="AD1135" s="53" t="str">
        <f t="shared" si="351"/>
        <v/>
      </c>
      <c r="AE1135" s="10"/>
    </row>
    <row r="1136" spans="1:31" ht="15.75" thickBot="1" x14ac:dyDescent="0.3">
      <c r="A1136" s="14" t="s">
        <v>109</v>
      </c>
      <c r="C1136" s="61" t="str">
        <f>C1115</f>
        <v>C100076</v>
      </c>
      <c r="J1136" s="10"/>
      <c r="K1136" s="11"/>
      <c r="L1136" s="11"/>
      <c r="M1136" s="11"/>
      <c r="N1136" s="12"/>
      <c r="O1136" s="10"/>
      <c r="P1136" s="11"/>
      <c r="Q1136" s="11"/>
      <c r="R1136" s="11"/>
      <c r="S1136" s="12"/>
      <c r="U1136" s="10"/>
      <c r="V1136" s="11"/>
      <c r="W1136" s="11"/>
      <c r="X1136" s="11"/>
      <c r="Y1136" s="12"/>
      <c r="Z1136" s="10"/>
      <c r="AA1136" s="11"/>
      <c r="AB1136" s="11"/>
      <c r="AC1136" s="11"/>
      <c r="AD1136" s="12"/>
    </row>
    <row r="1137" spans="1:31" ht="15.75" thickBot="1" x14ac:dyDescent="0.3">
      <c r="A1137" s="14" t="s">
        <v>109</v>
      </c>
      <c r="C1137" s="61" t="str">
        <f t="shared" si="346"/>
        <v>C100076</v>
      </c>
      <c r="G1137" s="48" t="str">
        <f>C1137&amp;" TOTAL:"</f>
        <v>C100076 TOTAL:</v>
      </c>
      <c r="H1137" s="50"/>
      <c r="I1137" s="50"/>
      <c r="J1137" s="34">
        <f>SUBTOTAL(9,J1114:J1136)</f>
        <v>37159.51</v>
      </c>
      <c r="K1137" s="35">
        <f>SUBTOTAL(9,K1114:K1136)</f>
        <v>1944</v>
      </c>
      <c r="L1137" s="36">
        <f>SUBTOTAL(9,L1114:L1136)</f>
        <v>19929.53</v>
      </c>
      <c r="M1137" s="36">
        <f>J1137-L1137</f>
        <v>17229.980000000003</v>
      </c>
      <c r="N1137" s="37">
        <f>IF(J1137&lt;&gt;0,M1137/J1137,"")</f>
        <v>0.46367618948689049</v>
      </c>
      <c r="O1137" s="34">
        <f>SUBTOTAL(9,O1114:O1136)</f>
        <v>0</v>
      </c>
      <c r="P1137" s="35">
        <f>SUBTOTAL(9,P1114:P1136)</f>
        <v>0</v>
      </c>
      <c r="Q1137" s="36">
        <f>SUBTOTAL(9,Q1114:Q1136)</f>
        <v>0</v>
      </c>
      <c r="R1137" s="36">
        <f>O1137-Q1137</f>
        <v>0</v>
      </c>
      <c r="S1137" s="37" t="str">
        <f>IF(O1137&lt;&gt;0,R1137/O1137,"")</f>
        <v/>
      </c>
      <c r="U1137" s="34">
        <f>SUBTOTAL(9,U1114:U1136)</f>
        <v>0</v>
      </c>
      <c r="V1137" s="35">
        <f>SUBTOTAL(9,V1114:V1136)</f>
        <v>0</v>
      </c>
      <c r="W1137" s="36">
        <f>SUBTOTAL(9,W1114:W1136)</f>
        <v>0</v>
      </c>
      <c r="X1137" s="36">
        <f>U1137-W1137</f>
        <v>0</v>
      </c>
      <c r="Y1137" s="37" t="str">
        <f>IF(U1137&lt;&gt;0,X1137/U1137,"")</f>
        <v/>
      </c>
      <c r="Z1137" s="34">
        <f>SUBTOTAL(9,Z1114:Z1136)</f>
        <v>7111.85</v>
      </c>
      <c r="AA1137" s="35">
        <f>SUBTOTAL(9,AA1114:AA1136)</f>
        <v>147</v>
      </c>
      <c r="AB1137" s="36">
        <f>SUBTOTAL(9,AB1114:AB1136)</f>
        <v>3506.7299999999996</v>
      </c>
      <c r="AC1137" s="36">
        <f t="shared" ref="AC1137" si="352">Z1137-AB1137</f>
        <v>3605.1200000000008</v>
      </c>
      <c r="AD1137" s="37">
        <f t="shared" ref="AD1137" si="353">IF(Z1137&lt;&gt;0,AC1137/Z1137,"")</f>
        <v>0.50691732812137502</v>
      </c>
    </row>
    <row r="1138" spans="1:31" x14ac:dyDescent="0.25">
      <c r="A1138" s="14" t="s">
        <v>109</v>
      </c>
      <c r="C1138" s="66"/>
      <c r="J1138" s="10"/>
      <c r="K1138" s="11"/>
      <c r="L1138" s="11"/>
      <c r="M1138" s="11"/>
      <c r="N1138" s="12"/>
      <c r="O1138" s="10"/>
      <c r="P1138" s="11"/>
      <c r="Q1138" s="11"/>
      <c r="R1138" s="11"/>
      <c r="S1138" s="12"/>
      <c r="U1138" s="10"/>
      <c r="V1138" s="11"/>
      <c r="W1138" s="11"/>
      <c r="X1138" s="11"/>
      <c r="Y1138" s="12"/>
      <c r="Z1138" s="10"/>
      <c r="AA1138" s="11"/>
      <c r="AB1138" s="11"/>
      <c r="AC1138" s="11"/>
      <c r="AD1138" s="12"/>
    </row>
    <row r="1139" spans="1:31" ht="15.75" x14ac:dyDescent="0.25">
      <c r="A1139" s="14" t="s">
        <v>109</v>
      </c>
      <c r="C1139" s="66" t="str">
        <f t="shared" ref="C1139" si="354">E1139</f>
        <v>C100081</v>
      </c>
      <c r="E1139" s="13" t="str">
        <f>"C100081"</f>
        <v>C100081</v>
      </c>
      <c r="F1139" s="13"/>
      <c r="G1139" s="13" t="str">
        <f>"Sonnmatt Design"</f>
        <v>Sonnmatt Design</v>
      </c>
      <c r="H1139" s="13"/>
      <c r="I1139" s="13"/>
      <c r="J1139" s="10"/>
      <c r="K1139" s="11"/>
      <c r="L1139" s="11"/>
      <c r="M1139" s="11"/>
      <c r="N1139" s="12"/>
      <c r="O1139" s="10"/>
      <c r="P1139" s="11"/>
      <c r="Q1139" s="11"/>
      <c r="R1139" s="11"/>
      <c r="S1139" s="12"/>
      <c r="U1139" s="10"/>
      <c r="V1139" s="11"/>
      <c r="W1139" s="11"/>
      <c r="X1139" s="11"/>
      <c r="Y1139" s="12"/>
      <c r="Z1139" s="10"/>
      <c r="AA1139" s="11"/>
      <c r="AB1139" s="11"/>
      <c r="AC1139" s="11"/>
      <c r="AD1139" s="12"/>
    </row>
    <row r="1140" spans="1:31" ht="6.6" customHeight="1" x14ac:dyDescent="0.25">
      <c r="A1140" s="14" t="s">
        <v>109</v>
      </c>
      <c r="C1140" s="61" t="str">
        <f t="shared" ref="C1140:C1151" si="355">C1139</f>
        <v>C100081</v>
      </c>
      <c r="J1140" s="10"/>
      <c r="K1140" s="11"/>
      <c r="L1140" s="11"/>
      <c r="M1140" s="11"/>
      <c r="N1140" s="12"/>
      <c r="O1140" s="10"/>
      <c r="P1140" s="11"/>
      <c r="Q1140" s="11"/>
      <c r="R1140" s="11"/>
      <c r="S1140" s="12"/>
      <c r="U1140" s="10"/>
      <c r="V1140" s="11"/>
      <c r="W1140" s="11"/>
      <c r="X1140" s="11"/>
      <c r="Y1140" s="12"/>
      <c r="Z1140" s="10"/>
      <c r="AA1140" s="11"/>
      <c r="AB1140" s="11"/>
      <c r="AC1140" s="11"/>
      <c r="AD1140" s="12"/>
    </row>
    <row r="1141" spans="1:31" x14ac:dyDescent="0.25">
      <c r="A1141" s="14" t="s">
        <v>109</v>
      </c>
      <c r="C1141" s="61" t="str">
        <f t="shared" si="355"/>
        <v>C100081</v>
      </c>
      <c r="F1141" s="8" t="str">
        <f>"C100018"</f>
        <v>C100018</v>
      </c>
      <c r="G1141" s="9" t="str">
        <f>"Action Sport Duffel"</f>
        <v>Action Sport Duffel</v>
      </c>
      <c r="H1141" s="47"/>
      <c r="I1141" s="47"/>
      <c r="J1141" s="23">
        <v>0</v>
      </c>
      <c r="K1141" s="25">
        <v>0</v>
      </c>
      <c r="L1141" s="24">
        <v>0</v>
      </c>
      <c r="M1141" s="24">
        <f>J1141-L1141</f>
        <v>0</v>
      </c>
      <c r="N1141" s="53" t="str">
        <f>IF(J1141&lt;&gt;0,M1141/J1141,"")</f>
        <v/>
      </c>
      <c r="O1141" s="23">
        <v>17.27</v>
      </c>
      <c r="P1141" s="25">
        <v>1</v>
      </c>
      <c r="Q1141" s="24">
        <v>8.5500000000000007</v>
      </c>
      <c r="R1141" s="24">
        <f>O1141-Q1141</f>
        <v>8.7199999999999989</v>
      </c>
      <c r="S1141" s="53">
        <f>IF(O1141&lt;&gt;0,R1141/O1141,"")</f>
        <v>0.50492182976259403</v>
      </c>
      <c r="T1141" s="10"/>
      <c r="U1141" s="23">
        <v>0</v>
      </c>
      <c r="V1141" s="25">
        <v>0</v>
      </c>
      <c r="W1141" s="24">
        <v>0</v>
      </c>
      <c r="X1141" s="24">
        <f>U1141-W1141</f>
        <v>0</v>
      </c>
      <c r="Y1141" s="53" t="str">
        <f>IF(U1141&lt;&gt;0,X1141/U1141,"")</f>
        <v/>
      </c>
      <c r="Z1141" s="23">
        <v>0</v>
      </c>
      <c r="AA1141" s="25">
        <v>0</v>
      </c>
      <c r="AB1141" s="24">
        <v>0</v>
      </c>
      <c r="AC1141" s="24">
        <f t="shared" ref="AC1141" si="356">Z1141-AB1141</f>
        <v>0</v>
      </c>
      <c r="AD1141" s="53" t="str">
        <f t="shared" ref="AD1141" si="357">IF(Z1141&lt;&gt;0,AC1141/Z1141,"")</f>
        <v/>
      </c>
      <c r="AE1141" s="10"/>
    </row>
    <row r="1142" spans="1:31" x14ac:dyDescent="0.25">
      <c r="A1142" s="14" t="s">
        <v>109</v>
      </c>
      <c r="C1142" s="61" t="str">
        <f t="shared" ref="C1142:C1149" si="358">C1141</f>
        <v>C100081</v>
      </c>
      <c r="F1142" s="8" t="str">
        <f>"C100019"</f>
        <v>C100019</v>
      </c>
      <c r="G1142" s="9" t="str">
        <f>"Black Duffel Bag"</f>
        <v>Black Duffel Bag</v>
      </c>
      <c r="H1142" s="47"/>
      <c r="I1142" s="47"/>
      <c r="J1142" s="23">
        <v>0</v>
      </c>
      <c r="K1142" s="25">
        <v>0</v>
      </c>
      <c r="L1142" s="24">
        <v>0</v>
      </c>
      <c r="M1142" s="24">
        <f>J1142-L1142</f>
        <v>0</v>
      </c>
      <c r="N1142" s="53" t="str">
        <f>IF(J1142&lt;&gt;0,M1142/J1142,"")</f>
        <v/>
      </c>
      <c r="O1142" s="23">
        <v>9947.5300000000007</v>
      </c>
      <c r="P1142" s="25">
        <v>144</v>
      </c>
      <c r="Q1142" s="24">
        <v>6151.7</v>
      </c>
      <c r="R1142" s="24">
        <f>O1142-Q1142</f>
        <v>3795.8300000000008</v>
      </c>
      <c r="S1142" s="53">
        <f>IF(O1142&lt;&gt;0,R1142/O1142,"")</f>
        <v>0.38158517742595405</v>
      </c>
      <c r="T1142" s="10"/>
      <c r="U1142" s="23">
        <v>0</v>
      </c>
      <c r="V1142" s="25">
        <v>0</v>
      </c>
      <c r="W1142" s="24">
        <v>0</v>
      </c>
      <c r="X1142" s="24">
        <f>U1142-W1142</f>
        <v>0</v>
      </c>
      <c r="Y1142" s="53" t="str">
        <f>IF(U1142&lt;&gt;0,X1142/U1142,"")</f>
        <v/>
      </c>
      <c r="Z1142" s="23">
        <v>0</v>
      </c>
      <c r="AA1142" s="25">
        <v>0</v>
      </c>
      <c r="AB1142" s="24">
        <v>0</v>
      </c>
      <c r="AC1142" s="24">
        <f t="shared" ref="AC1142:AC1149" si="359">Z1142-AB1142</f>
        <v>0</v>
      </c>
      <c r="AD1142" s="53" t="str">
        <f t="shared" ref="AD1142:AD1149" si="360">IF(Z1142&lt;&gt;0,AC1142/Z1142,"")</f>
        <v/>
      </c>
      <c r="AE1142" s="10"/>
    </row>
    <row r="1143" spans="1:31" x14ac:dyDescent="0.25">
      <c r="A1143" s="14" t="s">
        <v>109</v>
      </c>
      <c r="C1143" s="61" t="str">
        <f t="shared" si="358"/>
        <v>C100081</v>
      </c>
      <c r="F1143" s="8" t="str">
        <f>"C100030"</f>
        <v>C100030</v>
      </c>
      <c r="G1143" s="9" t="str">
        <f>"Fashion Visor"</f>
        <v>Fashion Visor</v>
      </c>
      <c r="H1143" s="47"/>
      <c r="I1143" s="47"/>
      <c r="J1143" s="23">
        <v>0</v>
      </c>
      <c r="K1143" s="25">
        <v>0</v>
      </c>
      <c r="L1143" s="24">
        <v>0</v>
      </c>
      <c r="M1143" s="24">
        <f>J1143-L1143</f>
        <v>0</v>
      </c>
      <c r="N1143" s="53" t="str">
        <f>IF(J1143&lt;&gt;0,M1143/J1143,"")</f>
        <v/>
      </c>
      <c r="O1143" s="23">
        <v>618.09</v>
      </c>
      <c r="P1143" s="25">
        <v>144</v>
      </c>
      <c r="Q1143" s="24">
        <v>348.49</v>
      </c>
      <c r="R1143" s="24">
        <f>O1143-Q1143</f>
        <v>269.60000000000002</v>
      </c>
      <c r="S1143" s="53">
        <f>IF(O1143&lt;&gt;0,R1143/O1143,"")</f>
        <v>0.43618243297901599</v>
      </c>
      <c r="T1143" s="10"/>
      <c r="U1143" s="23">
        <v>0</v>
      </c>
      <c r="V1143" s="25">
        <v>0</v>
      </c>
      <c r="W1143" s="24">
        <v>0</v>
      </c>
      <c r="X1143" s="24">
        <f>U1143-W1143</f>
        <v>0</v>
      </c>
      <c r="Y1143" s="53" t="str">
        <f>IF(U1143&lt;&gt;0,X1143/U1143,"")</f>
        <v/>
      </c>
      <c r="Z1143" s="23">
        <v>0</v>
      </c>
      <c r="AA1143" s="25">
        <v>0</v>
      </c>
      <c r="AB1143" s="24">
        <v>0</v>
      </c>
      <c r="AC1143" s="24">
        <f t="shared" si="359"/>
        <v>0</v>
      </c>
      <c r="AD1143" s="53" t="str">
        <f t="shared" si="360"/>
        <v/>
      </c>
      <c r="AE1143" s="10"/>
    </row>
    <row r="1144" spans="1:31" x14ac:dyDescent="0.25">
      <c r="A1144" s="14" t="s">
        <v>109</v>
      </c>
      <c r="C1144" s="61" t="str">
        <f t="shared" si="358"/>
        <v>C100081</v>
      </c>
      <c r="F1144" s="8" t="str">
        <f>"C100032"</f>
        <v>C100032</v>
      </c>
      <c r="G1144" s="9" t="str">
        <f>"Clip-on Clock"</f>
        <v>Clip-on Clock</v>
      </c>
      <c r="H1144" s="47"/>
      <c r="I1144" s="47"/>
      <c r="J1144" s="23">
        <v>0</v>
      </c>
      <c r="K1144" s="25">
        <v>0</v>
      </c>
      <c r="L1144" s="24">
        <v>0</v>
      </c>
      <c r="M1144" s="24">
        <f>J1144-L1144</f>
        <v>0</v>
      </c>
      <c r="N1144" s="53" t="str">
        <f>IF(J1144&lt;&gt;0,M1144/J1144,"")</f>
        <v/>
      </c>
      <c r="O1144" s="23">
        <v>96.899999999999991</v>
      </c>
      <c r="P1144" s="25">
        <v>12</v>
      </c>
      <c r="Q1144" s="24">
        <v>49.92</v>
      </c>
      <c r="R1144" s="24">
        <f>O1144-Q1144</f>
        <v>46.97999999999999</v>
      </c>
      <c r="S1144" s="53">
        <f>IF(O1144&lt;&gt;0,R1144/O1144,"")</f>
        <v>0.48482972136222902</v>
      </c>
      <c r="T1144" s="10"/>
      <c r="U1144" s="23">
        <v>0</v>
      </c>
      <c r="V1144" s="25">
        <v>0</v>
      </c>
      <c r="W1144" s="24">
        <v>0</v>
      </c>
      <c r="X1144" s="24">
        <f>U1144-W1144</f>
        <v>0</v>
      </c>
      <c r="Y1144" s="53" t="str">
        <f>IF(U1144&lt;&gt;0,X1144/U1144,"")</f>
        <v/>
      </c>
      <c r="Z1144" s="23">
        <v>0</v>
      </c>
      <c r="AA1144" s="25">
        <v>0</v>
      </c>
      <c r="AB1144" s="24">
        <v>0</v>
      </c>
      <c r="AC1144" s="24">
        <f t="shared" si="359"/>
        <v>0</v>
      </c>
      <c r="AD1144" s="53" t="str">
        <f t="shared" si="360"/>
        <v/>
      </c>
      <c r="AE1144" s="10"/>
    </row>
    <row r="1145" spans="1:31" x14ac:dyDescent="0.25">
      <c r="A1145" s="14" t="s">
        <v>109</v>
      </c>
      <c r="C1145" s="61" t="str">
        <f t="shared" si="358"/>
        <v>C100081</v>
      </c>
      <c r="F1145" s="8" t="str">
        <f>"E100011"</f>
        <v>E100011</v>
      </c>
      <c r="G1145" s="9" t="str">
        <f>"Plastic Sun Visor"</f>
        <v>Plastic Sun Visor</v>
      </c>
      <c r="H1145" s="47"/>
      <c r="I1145" s="47"/>
      <c r="J1145" s="23">
        <v>0</v>
      </c>
      <c r="K1145" s="25">
        <v>0</v>
      </c>
      <c r="L1145" s="24">
        <v>0</v>
      </c>
      <c r="M1145" s="24">
        <f>J1145-L1145</f>
        <v>0</v>
      </c>
      <c r="N1145" s="53" t="str">
        <f>IF(J1145&lt;&gt;0,M1145/J1145,"")</f>
        <v/>
      </c>
      <c r="O1145" s="23">
        <v>0.79</v>
      </c>
      <c r="P1145" s="25">
        <v>1</v>
      </c>
      <c r="Q1145" s="24">
        <v>0.42</v>
      </c>
      <c r="R1145" s="24">
        <f>O1145-Q1145</f>
        <v>0.37000000000000005</v>
      </c>
      <c r="S1145" s="53">
        <f>IF(O1145&lt;&gt;0,R1145/O1145,"")</f>
        <v>0.46835443037974689</v>
      </c>
      <c r="T1145" s="10"/>
      <c r="U1145" s="23">
        <v>0</v>
      </c>
      <c r="V1145" s="25">
        <v>0</v>
      </c>
      <c r="W1145" s="24">
        <v>0</v>
      </c>
      <c r="X1145" s="24">
        <f>U1145-W1145</f>
        <v>0</v>
      </c>
      <c r="Y1145" s="53" t="str">
        <f>IF(U1145&lt;&gt;0,X1145/U1145,"")</f>
        <v/>
      </c>
      <c r="Z1145" s="23">
        <v>0</v>
      </c>
      <c r="AA1145" s="25">
        <v>0</v>
      </c>
      <c r="AB1145" s="24">
        <v>0</v>
      </c>
      <c r="AC1145" s="24">
        <f t="shared" si="359"/>
        <v>0</v>
      </c>
      <c r="AD1145" s="53" t="str">
        <f t="shared" si="360"/>
        <v/>
      </c>
      <c r="AE1145" s="10"/>
    </row>
    <row r="1146" spans="1:31" x14ac:dyDescent="0.25">
      <c r="A1146" s="14" t="s">
        <v>109</v>
      </c>
      <c r="C1146" s="61" t="str">
        <f t="shared" si="358"/>
        <v>C100081</v>
      </c>
      <c r="F1146" s="8" t="str">
        <f>"E100013"</f>
        <v>E100013</v>
      </c>
      <c r="G1146" s="9" t="str">
        <f>"Clip-on Stopwatch"</f>
        <v>Clip-on Stopwatch</v>
      </c>
      <c r="H1146" s="47"/>
      <c r="I1146" s="47"/>
      <c r="J1146" s="23">
        <v>0</v>
      </c>
      <c r="K1146" s="25">
        <v>0</v>
      </c>
      <c r="L1146" s="24">
        <v>0</v>
      </c>
      <c r="M1146" s="24">
        <f>J1146-L1146</f>
        <v>0</v>
      </c>
      <c r="N1146" s="53" t="str">
        <f>IF(J1146&lt;&gt;0,M1146/J1146,"")</f>
        <v/>
      </c>
      <c r="O1146" s="23">
        <v>389.44</v>
      </c>
      <c r="P1146" s="25">
        <v>144</v>
      </c>
      <c r="Q1146" s="24">
        <v>207.35</v>
      </c>
      <c r="R1146" s="24">
        <f>O1146-Q1146</f>
        <v>182.09</v>
      </c>
      <c r="S1146" s="53">
        <f>IF(O1146&lt;&gt;0,R1146/O1146,"")</f>
        <v>0.46756881676253081</v>
      </c>
      <c r="T1146" s="10"/>
      <c r="U1146" s="23">
        <v>0</v>
      </c>
      <c r="V1146" s="25">
        <v>0</v>
      </c>
      <c r="W1146" s="24">
        <v>0</v>
      </c>
      <c r="X1146" s="24">
        <f>U1146-W1146</f>
        <v>0</v>
      </c>
      <c r="Y1146" s="53" t="str">
        <f>IF(U1146&lt;&gt;0,X1146/U1146,"")</f>
        <v/>
      </c>
      <c r="Z1146" s="23">
        <v>0</v>
      </c>
      <c r="AA1146" s="25">
        <v>0</v>
      </c>
      <c r="AB1146" s="24">
        <v>0</v>
      </c>
      <c r="AC1146" s="24">
        <f t="shared" si="359"/>
        <v>0</v>
      </c>
      <c r="AD1146" s="53" t="str">
        <f t="shared" si="360"/>
        <v/>
      </c>
      <c r="AE1146" s="10"/>
    </row>
    <row r="1147" spans="1:31" x14ac:dyDescent="0.25">
      <c r="A1147" s="14" t="s">
        <v>109</v>
      </c>
      <c r="C1147" s="61" t="str">
        <f t="shared" si="358"/>
        <v>C100081</v>
      </c>
      <c r="F1147" s="8" t="str">
        <f>"E100017"</f>
        <v>E100017</v>
      </c>
      <c r="G1147" s="9" t="str">
        <f>"Clip-on Clock with Compass"</f>
        <v>Clip-on Clock with Compass</v>
      </c>
      <c r="H1147" s="47"/>
      <c r="I1147" s="47"/>
      <c r="J1147" s="23">
        <v>0</v>
      </c>
      <c r="K1147" s="25">
        <v>0</v>
      </c>
      <c r="L1147" s="24">
        <v>0</v>
      </c>
      <c r="M1147" s="24">
        <f>J1147-L1147</f>
        <v>0</v>
      </c>
      <c r="N1147" s="53" t="str">
        <f>IF(J1147&lt;&gt;0,M1147/J1147,"")</f>
        <v/>
      </c>
      <c r="O1147" s="23">
        <v>36.69</v>
      </c>
      <c r="P1147" s="25">
        <v>24</v>
      </c>
      <c r="Q1147" s="24">
        <v>21.12</v>
      </c>
      <c r="R1147" s="24">
        <f>O1147-Q1147</f>
        <v>15.569999999999997</v>
      </c>
      <c r="S1147" s="53">
        <f>IF(O1147&lt;&gt;0,R1147/O1147,"")</f>
        <v>0.42436631234668842</v>
      </c>
      <c r="T1147" s="10"/>
      <c r="U1147" s="23">
        <v>0</v>
      </c>
      <c r="V1147" s="25">
        <v>0</v>
      </c>
      <c r="W1147" s="24">
        <v>0</v>
      </c>
      <c r="X1147" s="24">
        <f>U1147-W1147</f>
        <v>0</v>
      </c>
      <c r="Y1147" s="53" t="str">
        <f>IF(U1147&lt;&gt;0,X1147/U1147,"")</f>
        <v/>
      </c>
      <c r="Z1147" s="23">
        <v>440.43</v>
      </c>
      <c r="AA1147" s="25">
        <v>288</v>
      </c>
      <c r="AB1147" s="24">
        <v>253.42999999999998</v>
      </c>
      <c r="AC1147" s="24">
        <f t="shared" si="359"/>
        <v>187.00000000000003</v>
      </c>
      <c r="AD1147" s="53">
        <f t="shared" si="360"/>
        <v>0.42458506459596307</v>
      </c>
      <c r="AE1147" s="10"/>
    </row>
    <row r="1148" spans="1:31" x14ac:dyDescent="0.25">
      <c r="A1148" s="14" t="s">
        <v>109</v>
      </c>
      <c r="C1148" s="61" t="str">
        <f t="shared" si="358"/>
        <v>C100081</v>
      </c>
      <c r="F1148" s="8" t="str">
        <f>"S100010"</f>
        <v>S100010</v>
      </c>
      <c r="G1148" s="9" t="str">
        <f>"Golf Relaxed Cap"</f>
        <v>Golf Relaxed Cap</v>
      </c>
      <c r="H1148" s="47"/>
      <c r="I1148" s="47"/>
      <c r="J1148" s="23">
        <v>0</v>
      </c>
      <c r="K1148" s="25">
        <v>0</v>
      </c>
      <c r="L1148" s="24">
        <v>0</v>
      </c>
      <c r="M1148" s="24">
        <f>J1148-L1148</f>
        <v>0</v>
      </c>
      <c r="N1148" s="53" t="str">
        <f>IF(J1148&lt;&gt;0,M1148/J1148,"")</f>
        <v/>
      </c>
      <c r="O1148" s="23">
        <v>484.06</v>
      </c>
      <c r="P1148" s="25">
        <v>48</v>
      </c>
      <c r="Q1148" s="24">
        <v>292.32</v>
      </c>
      <c r="R1148" s="24">
        <f>O1148-Q1148</f>
        <v>191.74</v>
      </c>
      <c r="S1148" s="53">
        <f>IF(O1148&lt;&gt;0,R1148/O1148,"")</f>
        <v>0.39610792050572247</v>
      </c>
      <c r="T1148" s="10"/>
      <c r="U1148" s="23">
        <v>0</v>
      </c>
      <c r="V1148" s="25">
        <v>0</v>
      </c>
      <c r="W1148" s="24">
        <v>0</v>
      </c>
      <c r="X1148" s="24">
        <f>U1148-W1148</f>
        <v>0</v>
      </c>
      <c r="Y1148" s="53" t="str">
        <f>IF(U1148&lt;&gt;0,X1148/U1148,"")</f>
        <v/>
      </c>
      <c r="Z1148" s="23">
        <v>0</v>
      </c>
      <c r="AA1148" s="25">
        <v>0</v>
      </c>
      <c r="AB1148" s="24">
        <v>0</v>
      </c>
      <c r="AC1148" s="24">
        <f t="shared" si="359"/>
        <v>0</v>
      </c>
      <c r="AD1148" s="53" t="str">
        <f t="shared" si="360"/>
        <v/>
      </c>
      <c r="AE1148" s="10"/>
    </row>
    <row r="1149" spans="1:31" x14ac:dyDescent="0.25">
      <c r="A1149" s="14" t="s">
        <v>109</v>
      </c>
      <c r="C1149" s="61" t="str">
        <f t="shared" si="358"/>
        <v>C100081</v>
      </c>
      <c r="F1149" s="8" t="str">
        <f>"S100021"</f>
        <v>S100021</v>
      </c>
      <c r="G1149" s="9" t="str">
        <f>"Translucent Stopwatch"</f>
        <v>Translucent Stopwatch</v>
      </c>
      <c r="H1149" s="47"/>
      <c r="I1149" s="47"/>
      <c r="J1149" s="23">
        <v>0</v>
      </c>
      <c r="K1149" s="25">
        <v>0</v>
      </c>
      <c r="L1149" s="24">
        <v>0</v>
      </c>
      <c r="M1149" s="24">
        <f>J1149-L1149</f>
        <v>0</v>
      </c>
      <c r="N1149" s="53" t="str">
        <f>IF(J1149&lt;&gt;0,M1149/J1149,"")</f>
        <v/>
      </c>
      <c r="O1149" s="23">
        <v>585.68999999999994</v>
      </c>
      <c r="P1149" s="25">
        <v>144</v>
      </c>
      <c r="Q1149" s="24">
        <v>309.58999999999997</v>
      </c>
      <c r="R1149" s="24">
        <f>O1149-Q1149</f>
        <v>276.09999999999997</v>
      </c>
      <c r="S1149" s="53">
        <f>IF(O1149&lt;&gt;0,R1149/O1149,"")</f>
        <v>0.47140979016203111</v>
      </c>
      <c r="T1149" s="10"/>
      <c r="U1149" s="23">
        <v>0</v>
      </c>
      <c r="V1149" s="25">
        <v>0</v>
      </c>
      <c r="W1149" s="24">
        <v>0</v>
      </c>
      <c r="X1149" s="24">
        <f>U1149-W1149</f>
        <v>0</v>
      </c>
      <c r="Y1149" s="53" t="str">
        <f>IF(U1149&lt;&gt;0,X1149/U1149,"")</f>
        <v/>
      </c>
      <c r="Z1149" s="23">
        <v>1175.46</v>
      </c>
      <c r="AA1149" s="25">
        <v>289</v>
      </c>
      <c r="AB1149" s="24">
        <v>621.32999999999993</v>
      </c>
      <c r="AC1149" s="24">
        <f t="shared" si="359"/>
        <v>554.13000000000011</v>
      </c>
      <c r="AD1149" s="53">
        <f t="shared" si="360"/>
        <v>0.47141544586800072</v>
      </c>
      <c r="AE1149" s="10"/>
    </row>
    <row r="1150" spans="1:31" ht="15.75" thickBot="1" x14ac:dyDescent="0.3">
      <c r="A1150" s="14" t="s">
        <v>109</v>
      </c>
      <c r="C1150" s="61" t="str">
        <f>C1141</f>
        <v>C100081</v>
      </c>
      <c r="J1150" s="10"/>
      <c r="K1150" s="11"/>
      <c r="L1150" s="11"/>
      <c r="M1150" s="11"/>
      <c r="N1150" s="12"/>
      <c r="O1150" s="10"/>
      <c r="P1150" s="11"/>
      <c r="Q1150" s="11"/>
      <c r="R1150" s="11"/>
      <c r="S1150" s="12"/>
      <c r="U1150" s="10"/>
      <c r="V1150" s="11"/>
      <c r="W1150" s="11"/>
      <c r="X1150" s="11"/>
      <c r="Y1150" s="12"/>
      <c r="Z1150" s="10"/>
      <c r="AA1150" s="11"/>
      <c r="AB1150" s="11"/>
      <c r="AC1150" s="11"/>
      <c r="AD1150" s="12"/>
    </row>
    <row r="1151" spans="1:31" ht="15.75" thickBot="1" x14ac:dyDescent="0.3">
      <c r="A1151" s="14" t="s">
        <v>109</v>
      </c>
      <c r="C1151" s="61" t="str">
        <f t="shared" si="355"/>
        <v>C100081</v>
      </c>
      <c r="G1151" s="48" t="str">
        <f>C1151&amp;" TOTAL:"</f>
        <v>C100081 TOTAL:</v>
      </c>
      <c r="H1151" s="50"/>
      <c r="I1151" s="50"/>
      <c r="J1151" s="34">
        <f>SUBTOTAL(9,J1140:J1150)</f>
        <v>0</v>
      </c>
      <c r="K1151" s="35">
        <f>SUBTOTAL(9,K1140:K1150)</f>
        <v>0</v>
      </c>
      <c r="L1151" s="36">
        <f>SUBTOTAL(9,L1140:L1150)</f>
        <v>0</v>
      </c>
      <c r="M1151" s="36">
        <f>J1151-L1151</f>
        <v>0</v>
      </c>
      <c r="N1151" s="37" t="str">
        <f>IF(J1151&lt;&gt;0,M1151/J1151,"")</f>
        <v/>
      </c>
      <c r="O1151" s="34">
        <f>SUBTOTAL(9,O1140:O1150)</f>
        <v>12176.460000000003</v>
      </c>
      <c r="P1151" s="35">
        <f>SUBTOTAL(9,P1140:P1150)</f>
        <v>662</v>
      </c>
      <c r="Q1151" s="36">
        <f>SUBTOTAL(9,Q1140:Q1150)</f>
        <v>7389.46</v>
      </c>
      <c r="R1151" s="36">
        <f>O1151-Q1151</f>
        <v>4787.0000000000027</v>
      </c>
      <c r="S1151" s="37">
        <f>IF(O1151&lt;&gt;0,R1151/O1151,"")</f>
        <v>0.3931356075575333</v>
      </c>
      <c r="U1151" s="34">
        <f>SUBTOTAL(9,U1140:U1150)</f>
        <v>0</v>
      </c>
      <c r="V1151" s="35">
        <f>SUBTOTAL(9,V1140:V1150)</f>
        <v>0</v>
      </c>
      <c r="W1151" s="36">
        <f>SUBTOTAL(9,W1140:W1150)</f>
        <v>0</v>
      </c>
      <c r="X1151" s="36">
        <f>U1151-W1151</f>
        <v>0</v>
      </c>
      <c r="Y1151" s="37" t="str">
        <f>IF(U1151&lt;&gt;0,X1151/U1151,"")</f>
        <v/>
      </c>
      <c r="Z1151" s="34">
        <f>SUBTOTAL(9,Z1140:Z1150)</f>
        <v>1615.89</v>
      </c>
      <c r="AA1151" s="35">
        <f>SUBTOTAL(9,AA1140:AA1150)</f>
        <v>577</v>
      </c>
      <c r="AB1151" s="36">
        <f>SUBTOTAL(9,AB1140:AB1150)</f>
        <v>874.75999999999988</v>
      </c>
      <c r="AC1151" s="36">
        <f t="shared" ref="AC1151" si="361">Z1151-AB1151</f>
        <v>741.13000000000022</v>
      </c>
      <c r="AD1151" s="37">
        <f t="shared" ref="AD1151" si="362">IF(Z1151&lt;&gt;0,AC1151/Z1151,"")</f>
        <v>0.45865126957899371</v>
      </c>
    </row>
    <row r="1152" spans="1:31" x14ac:dyDescent="0.25">
      <c r="A1152" s="14" t="s">
        <v>109</v>
      </c>
      <c r="C1152" s="66"/>
      <c r="J1152" s="10"/>
      <c r="K1152" s="11"/>
      <c r="L1152" s="11"/>
      <c r="M1152" s="11"/>
      <c r="N1152" s="12"/>
      <c r="O1152" s="10"/>
      <c r="P1152" s="11"/>
      <c r="Q1152" s="11"/>
      <c r="R1152" s="11"/>
      <c r="S1152" s="12"/>
      <c r="U1152" s="10"/>
      <c r="V1152" s="11"/>
      <c r="W1152" s="11"/>
      <c r="X1152" s="11"/>
      <c r="Y1152" s="12"/>
      <c r="Z1152" s="10"/>
      <c r="AA1152" s="11"/>
      <c r="AB1152" s="11"/>
      <c r="AC1152" s="11"/>
      <c r="AD1152" s="12"/>
    </row>
    <row r="1153" spans="1:31" ht="15.75" x14ac:dyDescent="0.25">
      <c r="A1153" s="14" t="s">
        <v>109</v>
      </c>
      <c r="C1153" s="66" t="str">
        <f t="shared" ref="C1153" si="363">E1153</f>
        <v>C100082</v>
      </c>
      <c r="E1153" s="13" t="str">
        <f>"C100082"</f>
        <v>C100082</v>
      </c>
      <c r="F1153" s="13"/>
      <c r="G1153" s="13" t="str">
        <f>"Sporting Goods Emporium"</f>
        <v>Sporting Goods Emporium</v>
      </c>
      <c r="H1153" s="13"/>
      <c r="I1153" s="13"/>
      <c r="J1153" s="10"/>
      <c r="K1153" s="11"/>
      <c r="L1153" s="11"/>
      <c r="M1153" s="11"/>
      <c r="N1153" s="12"/>
      <c r="O1153" s="10"/>
      <c r="P1153" s="11"/>
      <c r="Q1153" s="11"/>
      <c r="R1153" s="11"/>
      <c r="S1153" s="12"/>
      <c r="U1153" s="10"/>
      <c r="V1153" s="11"/>
      <c r="W1153" s="11"/>
      <c r="X1153" s="11"/>
      <c r="Y1153" s="12"/>
      <c r="Z1153" s="10"/>
      <c r="AA1153" s="11"/>
      <c r="AB1153" s="11"/>
      <c r="AC1153" s="11"/>
      <c r="AD1153" s="12"/>
    </row>
    <row r="1154" spans="1:31" ht="6.6" customHeight="1" x14ac:dyDescent="0.25">
      <c r="A1154" s="14" t="s">
        <v>109</v>
      </c>
      <c r="C1154" s="61" t="str">
        <f t="shared" ref="C1154:C1192" si="364">C1153</f>
        <v>C100082</v>
      </c>
      <c r="J1154" s="10"/>
      <c r="K1154" s="11"/>
      <c r="L1154" s="11"/>
      <c r="M1154" s="11"/>
      <c r="N1154" s="12"/>
      <c r="O1154" s="10"/>
      <c r="P1154" s="11"/>
      <c r="Q1154" s="11"/>
      <c r="R1154" s="11"/>
      <c r="S1154" s="12"/>
      <c r="U1154" s="10"/>
      <c r="V1154" s="11"/>
      <c r="W1154" s="11"/>
      <c r="X1154" s="11"/>
      <c r="Y1154" s="12"/>
      <c r="Z1154" s="10"/>
      <c r="AA1154" s="11"/>
      <c r="AB1154" s="11"/>
      <c r="AC1154" s="11"/>
      <c r="AD1154" s="12"/>
    </row>
    <row r="1155" spans="1:31" x14ac:dyDescent="0.25">
      <c r="A1155" s="14" t="s">
        <v>109</v>
      </c>
      <c r="C1155" s="61" t="str">
        <f t="shared" si="364"/>
        <v>C100082</v>
      </c>
      <c r="F1155" s="8" t="str">
        <f>"C100006"</f>
        <v>C100006</v>
      </c>
      <c r="G1155" s="9" t="str">
        <f>"Cherry Finished Crystal Award- Large"</f>
        <v>Cherry Finished Crystal Award- Large</v>
      </c>
      <c r="H1155" s="47"/>
      <c r="I1155" s="47"/>
      <c r="J1155" s="23">
        <v>9835.59</v>
      </c>
      <c r="K1155" s="25">
        <v>48</v>
      </c>
      <c r="L1155" s="24">
        <v>4561.92</v>
      </c>
      <c r="M1155" s="24">
        <f>J1155-L1155</f>
        <v>5273.67</v>
      </c>
      <c r="N1155" s="53">
        <f>IF(J1155&lt;&gt;0,M1155/J1155,"")</f>
        <v>0.53618237441780314</v>
      </c>
      <c r="O1155" s="23">
        <v>0</v>
      </c>
      <c r="P1155" s="25">
        <v>0</v>
      </c>
      <c r="Q1155" s="24">
        <v>0</v>
      </c>
      <c r="R1155" s="24">
        <f>O1155-Q1155</f>
        <v>0</v>
      </c>
      <c r="S1155" s="53" t="str">
        <f>IF(O1155&lt;&gt;0,R1155/O1155,"")</f>
        <v/>
      </c>
      <c r="T1155" s="10"/>
      <c r="U1155" s="23">
        <v>0</v>
      </c>
      <c r="V1155" s="25">
        <v>0</v>
      </c>
      <c r="W1155" s="24">
        <v>0</v>
      </c>
      <c r="X1155" s="24">
        <f>U1155-W1155</f>
        <v>0</v>
      </c>
      <c r="Y1155" s="53" t="str">
        <f>IF(U1155&lt;&gt;0,X1155/U1155,"")</f>
        <v/>
      </c>
      <c r="Z1155" s="23">
        <v>0</v>
      </c>
      <c r="AA1155" s="25">
        <v>0</v>
      </c>
      <c r="AB1155" s="24">
        <v>0</v>
      </c>
      <c r="AC1155" s="24">
        <f t="shared" ref="AC1155" si="365">Z1155-AB1155</f>
        <v>0</v>
      </c>
      <c r="AD1155" s="53" t="str">
        <f t="shared" ref="AD1155" si="366">IF(Z1155&lt;&gt;0,AC1155/Z1155,"")</f>
        <v/>
      </c>
      <c r="AE1155" s="10"/>
    </row>
    <row r="1156" spans="1:31" x14ac:dyDescent="0.25">
      <c r="A1156" s="14" t="s">
        <v>109</v>
      </c>
      <c r="C1156" s="61" t="str">
        <f t="shared" ref="C1156:C1190" si="367">C1155</f>
        <v>C100082</v>
      </c>
      <c r="F1156" s="8" t="str">
        <f>"C100017"</f>
        <v>C100017</v>
      </c>
      <c r="G1156" s="9" t="str">
        <f>"Wheeled Duffel"</f>
        <v>Wheeled Duffel</v>
      </c>
      <c r="H1156" s="47"/>
      <c r="I1156" s="47"/>
      <c r="J1156" s="23">
        <v>9094.24</v>
      </c>
      <c r="K1156" s="25">
        <v>48</v>
      </c>
      <c r="L1156" s="24">
        <v>4858.5600000000004</v>
      </c>
      <c r="M1156" s="24">
        <f>J1156-L1156</f>
        <v>4235.6799999999994</v>
      </c>
      <c r="N1156" s="53">
        <f>IF(J1156&lt;&gt;0,M1156/J1156,"")</f>
        <v>0.46575414768028989</v>
      </c>
      <c r="O1156" s="23">
        <v>1136.78</v>
      </c>
      <c r="P1156" s="25">
        <v>6</v>
      </c>
      <c r="Q1156" s="24">
        <v>607.32000000000005</v>
      </c>
      <c r="R1156" s="24">
        <f>O1156-Q1156</f>
        <v>529.45999999999992</v>
      </c>
      <c r="S1156" s="53">
        <f>IF(O1156&lt;&gt;0,R1156/O1156,"")</f>
        <v>0.46575414768028989</v>
      </c>
      <c r="T1156" s="10"/>
      <c r="U1156" s="23">
        <v>18188.48</v>
      </c>
      <c r="V1156" s="25">
        <v>96</v>
      </c>
      <c r="W1156" s="24">
        <v>9717.1200000000008</v>
      </c>
      <c r="X1156" s="24">
        <f>U1156-W1156</f>
        <v>8471.3599999999988</v>
      </c>
      <c r="Y1156" s="53">
        <f>IF(U1156&lt;&gt;0,X1156/U1156,"")</f>
        <v>0.46575414768028989</v>
      </c>
      <c r="Z1156" s="23">
        <v>0</v>
      </c>
      <c r="AA1156" s="25">
        <v>0</v>
      </c>
      <c r="AB1156" s="24">
        <v>0</v>
      </c>
      <c r="AC1156" s="24">
        <f t="shared" ref="AC1156:AC1190" si="368">Z1156-AB1156</f>
        <v>0</v>
      </c>
      <c r="AD1156" s="53" t="str">
        <f t="shared" ref="AD1156:AD1190" si="369">IF(Z1156&lt;&gt;0,AC1156/Z1156,"")</f>
        <v/>
      </c>
      <c r="AE1156" s="10"/>
    </row>
    <row r="1157" spans="1:31" x14ac:dyDescent="0.25">
      <c r="A1157" s="14" t="s">
        <v>109</v>
      </c>
      <c r="C1157" s="61" t="str">
        <f t="shared" si="367"/>
        <v>C100082</v>
      </c>
      <c r="F1157" s="8" t="str">
        <f>"C100019"</f>
        <v>C100019</v>
      </c>
      <c r="G1157" s="9" t="str">
        <f>"Black Duffel Bag"</f>
        <v>Black Duffel Bag</v>
      </c>
      <c r="H1157" s="47"/>
      <c r="I1157" s="47"/>
      <c r="J1157" s="23">
        <v>8289.619999999999</v>
      </c>
      <c r="K1157" s="25">
        <v>120</v>
      </c>
      <c r="L1157" s="24">
        <v>5126.42</v>
      </c>
      <c r="M1157" s="24">
        <f>J1157-L1157</f>
        <v>3163.1999999999989</v>
      </c>
      <c r="N1157" s="53">
        <f>IF(J1157&lt;&gt;0,M1157/J1157,"")</f>
        <v>0.38158564566288916</v>
      </c>
      <c r="O1157" s="23">
        <v>0</v>
      </c>
      <c r="P1157" s="25">
        <v>0</v>
      </c>
      <c r="Q1157" s="24">
        <v>0</v>
      </c>
      <c r="R1157" s="24">
        <f>O1157-Q1157</f>
        <v>0</v>
      </c>
      <c r="S1157" s="53" t="str">
        <f>IF(O1157&lt;&gt;0,R1157/O1157,"")</f>
        <v/>
      </c>
      <c r="T1157" s="10"/>
      <c r="U1157" s="23">
        <v>4213.8900000000003</v>
      </c>
      <c r="V1157" s="25">
        <v>61</v>
      </c>
      <c r="W1157" s="24">
        <v>2605.9300000000003</v>
      </c>
      <c r="X1157" s="24">
        <f>U1157-W1157</f>
        <v>1607.96</v>
      </c>
      <c r="Y1157" s="53">
        <f>IF(U1157&lt;&gt;0,X1157/U1157,"")</f>
        <v>0.38158566075526412</v>
      </c>
      <c r="Z1157" s="23">
        <v>3315.85</v>
      </c>
      <c r="AA1157" s="25">
        <v>48</v>
      </c>
      <c r="AB1157" s="24">
        <v>2050.5700000000002</v>
      </c>
      <c r="AC1157" s="24">
        <f t="shared" si="368"/>
        <v>1265.2799999999997</v>
      </c>
      <c r="AD1157" s="53">
        <f t="shared" si="369"/>
        <v>0.38158541550432007</v>
      </c>
      <c r="AE1157" s="10"/>
    </row>
    <row r="1158" spans="1:31" x14ac:dyDescent="0.25">
      <c r="A1158" s="14" t="s">
        <v>109</v>
      </c>
      <c r="C1158" s="61" t="str">
        <f t="shared" si="367"/>
        <v>C100082</v>
      </c>
      <c r="F1158" s="8" t="str">
        <f>"C100020"</f>
        <v>C100020</v>
      </c>
      <c r="G1158" s="9" t="str">
        <f>"Gym Locker Bag"</f>
        <v>Gym Locker Bag</v>
      </c>
      <c r="H1158" s="47"/>
      <c r="I1158" s="47"/>
      <c r="J1158" s="23">
        <v>0</v>
      </c>
      <c r="K1158" s="25">
        <v>0</v>
      </c>
      <c r="L1158" s="24">
        <v>0</v>
      </c>
      <c r="M1158" s="24">
        <f>J1158-L1158</f>
        <v>0</v>
      </c>
      <c r="N1158" s="53" t="str">
        <f>IF(J1158&lt;&gt;0,M1158/J1158,"")</f>
        <v/>
      </c>
      <c r="O1158" s="23">
        <v>1954.5100000000002</v>
      </c>
      <c r="P1158" s="25">
        <v>144</v>
      </c>
      <c r="Q1158" s="24">
        <v>1114.5600000000002</v>
      </c>
      <c r="R1158" s="24">
        <f>O1158-Q1158</f>
        <v>839.95</v>
      </c>
      <c r="S1158" s="53">
        <f>IF(O1158&lt;&gt;0,R1158/O1158,"")</f>
        <v>0.42974965592399117</v>
      </c>
      <c r="T1158" s="10"/>
      <c r="U1158" s="23">
        <v>0</v>
      </c>
      <c r="V1158" s="25">
        <v>0</v>
      </c>
      <c r="W1158" s="24">
        <v>0</v>
      </c>
      <c r="X1158" s="24">
        <f>U1158-W1158</f>
        <v>0</v>
      </c>
      <c r="Y1158" s="53" t="str">
        <f>IF(U1158&lt;&gt;0,X1158/U1158,"")</f>
        <v/>
      </c>
      <c r="Z1158" s="23">
        <v>0</v>
      </c>
      <c r="AA1158" s="25">
        <v>0</v>
      </c>
      <c r="AB1158" s="24">
        <v>0</v>
      </c>
      <c r="AC1158" s="24">
        <f t="shared" si="368"/>
        <v>0</v>
      </c>
      <c r="AD1158" s="53" t="str">
        <f t="shared" si="369"/>
        <v/>
      </c>
      <c r="AE1158" s="10"/>
    </row>
    <row r="1159" spans="1:31" x14ac:dyDescent="0.25">
      <c r="A1159" s="14" t="s">
        <v>109</v>
      </c>
      <c r="C1159" s="61" t="str">
        <f t="shared" si="367"/>
        <v>C100082</v>
      </c>
      <c r="F1159" s="8" t="str">
        <f>"C100021"</f>
        <v>C100021</v>
      </c>
      <c r="G1159" s="9" t="str">
        <f>"Canvas Boat Bag"</f>
        <v>Canvas Boat Bag</v>
      </c>
      <c r="H1159" s="47"/>
      <c r="I1159" s="47"/>
      <c r="J1159" s="23">
        <v>0</v>
      </c>
      <c r="K1159" s="25">
        <v>0</v>
      </c>
      <c r="L1159" s="24">
        <v>0</v>
      </c>
      <c r="M1159" s="24">
        <f>J1159-L1159</f>
        <v>0</v>
      </c>
      <c r="N1159" s="53" t="str">
        <f>IF(J1159&lt;&gt;0,M1159/J1159,"")</f>
        <v/>
      </c>
      <c r="O1159" s="23">
        <v>485.45000000000005</v>
      </c>
      <c r="P1159" s="25">
        <v>48</v>
      </c>
      <c r="Q1159" s="24">
        <v>330.24</v>
      </c>
      <c r="R1159" s="24">
        <f>O1159-Q1159</f>
        <v>155.21000000000004</v>
      </c>
      <c r="S1159" s="53">
        <f>IF(O1159&lt;&gt;0,R1159/O1159,"")</f>
        <v>0.31972396745287884</v>
      </c>
      <c r="T1159" s="10"/>
      <c r="U1159" s="23">
        <v>0</v>
      </c>
      <c r="V1159" s="25">
        <v>0</v>
      </c>
      <c r="W1159" s="24">
        <v>0</v>
      </c>
      <c r="X1159" s="24">
        <f>U1159-W1159</f>
        <v>0</v>
      </c>
      <c r="Y1159" s="53" t="str">
        <f>IF(U1159&lt;&gt;0,X1159/U1159,"")</f>
        <v/>
      </c>
      <c r="Z1159" s="23">
        <v>1456.36</v>
      </c>
      <c r="AA1159" s="25">
        <v>144</v>
      </c>
      <c r="AB1159" s="24">
        <v>990.71</v>
      </c>
      <c r="AC1159" s="24">
        <f t="shared" si="368"/>
        <v>465.64999999999986</v>
      </c>
      <c r="AD1159" s="53">
        <f t="shared" si="369"/>
        <v>0.31973550495756536</v>
      </c>
      <c r="AE1159" s="10"/>
    </row>
    <row r="1160" spans="1:31" x14ac:dyDescent="0.25">
      <c r="A1160" s="14" t="s">
        <v>109</v>
      </c>
      <c r="C1160" s="61" t="str">
        <f t="shared" si="367"/>
        <v>C100082</v>
      </c>
      <c r="F1160" s="8" t="str">
        <f>"C100022"</f>
        <v>C100022</v>
      </c>
      <c r="G1160" s="9" t="str">
        <f>"Two-Toned Cap"</f>
        <v>Two-Toned Cap</v>
      </c>
      <c r="H1160" s="47"/>
      <c r="I1160" s="47"/>
      <c r="J1160" s="23">
        <v>1354.75</v>
      </c>
      <c r="K1160" s="25">
        <v>432</v>
      </c>
      <c r="L1160" s="24">
        <v>695.49</v>
      </c>
      <c r="M1160" s="24">
        <f>J1160-L1160</f>
        <v>659.26</v>
      </c>
      <c r="N1160" s="53">
        <f>IF(J1160&lt;&gt;0,M1160/J1160,"")</f>
        <v>0.4866285292489389</v>
      </c>
      <c r="O1160" s="23">
        <v>451.58000000000004</v>
      </c>
      <c r="P1160" s="25">
        <v>144</v>
      </c>
      <c r="Q1160" s="24">
        <v>231.82999999999998</v>
      </c>
      <c r="R1160" s="24">
        <f>O1160-Q1160</f>
        <v>219.75000000000006</v>
      </c>
      <c r="S1160" s="53">
        <f>IF(O1160&lt;&gt;0,R1160/O1160,"")</f>
        <v>0.4866247398024714</v>
      </c>
      <c r="T1160" s="10"/>
      <c r="U1160" s="23">
        <v>0</v>
      </c>
      <c r="V1160" s="25">
        <v>0</v>
      </c>
      <c r="W1160" s="24">
        <v>0</v>
      </c>
      <c r="X1160" s="24">
        <f>U1160-W1160</f>
        <v>0</v>
      </c>
      <c r="Y1160" s="53" t="str">
        <f>IF(U1160&lt;&gt;0,X1160/U1160,"")</f>
        <v/>
      </c>
      <c r="Z1160" s="23">
        <v>0</v>
      </c>
      <c r="AA1160" s="25">
        <v>0</v>
      </c>
      <c r="AB1160" s="24">
        <v>0</v>
      </c>
      <c r="AC1160" s="24">
        <f t="shared" si="368"/>
        <v>0</v>
      </c>
      <c r="AD1160" s="53" t="str">
        <f t="shared" si="369"/>
        <v/>
      </c>
      <c r="AE1160" s="10"/>
    </row>
    <row r="1161" spans="1:31" x14ac:dyDescent="0.25">
      <c r="A1161" s="14" t="s">
        <v>109</v>
      </c>
      <c r="C1161" s="61" t="str">
        <f t="shared" si="367"/>
        <v>C100082</v>
      </c>
      <c r="F1161" s="8" t="str">
        <f>"C100023"</f>
        <v>C100023</v>
      </c>
      <c r="G1161" s="9" t="str">
        <f>"Two-Toned Knit Hat"</f>
        <v>Two-Toned Knit Hat</v>
      </c>
      <c r="H1161" s="47"/>
      <c r="I1161" s="47"/>
      <c r="J1161" s="23">
        <v>756.4</v>
      </c>
      <c r="K1161" s="25">
        <v>288</v>
      </c>
      <c r="L1161" s="24">
        <v>362.87</v>
      </c>
      <c r="M1161" s="24">
        <f>J1161-L1161</f>
        <v>393.53</v>
      </c>
      <c r="N1161" s="53">
        <f>IF(J1161&lt;&gt;0,M1161/J1161,"")</f>
        <v>0.52026705446853516</v>
      </c>
      <c r="O1161" s="23">
        <v>126.07000000000001</v>
      </c>
      <c r="P1161" s="25">
        <v>48</v>
      </c>
      <c r="Q1161" s="24">
        <v>60.48</v>
      </c>
      <c r="R1161" s="24">
        <f>O1161-Q1161</f>
        <v>65.59</v>
      </c>
      <c r="S1161" s="53">
        <f>IF(O1161&lt;&gt;0,R1161/O1161,"")</f>
        <v>0.52026651860077733</v>
      </c>
      <c r="T1161" s="10"/>
      <c r="U1161" s="23">
        <v>0</v>
      </c>
      <c r="V1161" s="25">
        <v>0</v>
      </c>
      <c r="W1161" s="24">
        <v>0</v>
      </c>
      <c r="X1161" s="24">
        <f>U1161-W1161</f>
        <v>0</v>
      </c>
      <c r="Y1161" s="53" t="str">
        <f>IF(U1161&lt;&gt;0,X1161/U1161,"")</f>
        <v/>
      </c>
      <c r="Z1161" s="23">
        <v>0</v>
      </c>
      <c r="AA1161" s="25">
        <v>0</v>
      </c>
      <c r="AB1161" s="24">
        <v>0</v>
      </c>
      <c r="AC1161" s="24">
        <f t="shared" si="368"/>
        <v>0</v>
      </c>
      <c r="AD1161" s="53" t="str">
        <f t="shared" si="369"/>
        <v/>
      </c>
      <c r="AE1161" s="10"/>
    </row>
    <row r="1162" spans="1:31" x14ac:dyDescent="0.25">
      <c r="A1162" s="14" t="s">
        <v>109</v>
      </c>
      <c r="C1162" s="61" t="str">
        <f t="shared" si="367"/>
        <v>C100082</v>
      </c>
      <c r="F1162" s="8" t="str">
        <f>"C100024"</f>
        <v>C100024</v>
      </c>
      <c r="G1162" s="9" t="str">
        <f>"Knit Hat with Bill"</f>
        <v>Knit Hat with Bill</v>
      </c>
      <c r="H1162" s="47"/>
      <c r="I1162" s="47"/>
      <c r="J1162" s="23">
        <v>5.23</v>
      </c>
      <c r="K1162" s="25">
        <v>1</v>
      </c>
      <c r="L1162" s="24">
        <v>3</v>
      </c>
      <c r="M1162" s="24">
        <f>J1162-L1162</f>
        <v>2.2300000000000004</v>
      </c>
      <c r="N1162" s="53">
        <f>IF(J1162&lt;&gt;0,M1162/J1162,"")</f>
        <v>0.42638623326959851</v>
      </c>
      <c r="O1162" s="23">
        <v>31.4</v>
      </c>
      <c r="P1162" s="25">
        <v>6</v>
      </c>
      <c r="Q1162" s="24">
        <v>18</v>
      </c>
      <c r="R1162" s="24">
        <f>O1162-Q1162</f>
        <v>13.399999999999999</v>
      </c>
      <c r="S1162" s="53">
        <f>IF(O1162&lt;&gt;0,R1162/O1162,"")</f>
        <v>0.42675159235668786</v>
      </c>
      <c r="T1162" s="10"/>
      <c r="U1162" s="23">
        <v>753.57999999999993</v>
      </c>
      <c r="V1162" s="25">
        <v>144</v>
      </c>
      <c r="W1162" s="24">
        <v>432</v>
      </c>
      <c r="X1162" s="24">
        <f>U1162-W1162</f>
        <v>321.57999999999993</v>
      </c>
      <c r="Y1162" s="53">
        <f>IF(U1162&lt;&gt;0,X1162/U1162,"")</f>
        <v>0.42673637835399025</v>
      </c>
      <c r="Z1162" s="23">
        <v>0</v>
      </c>
      <c r="AA1162" s="25">
        <v>0</v>
      </c>
      <c r="AB1162" s="24">
        <v>0</v>
      </c>
      <c r="AC1162" s="24">
        <f t="shared" si="368"/>
        <v>0</v>
      </c>
      <c r="AD1162" s="53" t="str">
        <f t="shared" si="369"/>
        <v/>
      </c>
      <c r="AE1162" s="10"/>
    </row>
    <row r="1163" spans="1:31" x14ac:dyDescent="0.25">
      <c r="A1163" s="14" t="s">
        <v>109</v>
      </c>
      <c r="C1163" s="61" t="str">
        <f t="shared" si="367"/>
        <v>C100082</v>
      </c>
      <c r="F1163" s="8" t="str">
        <f>"C100025"</f>
        <v>C100025</v>
      </c>
      <c r="G1163" s="9" t="str">
        <f>"Striped Knit Hat"</f>
        <v>Striped Knit Hat</v>
      </c>
      <c r="H1163" s="47"/>
      <c r="I1163" s="47"/>
      <c r="J1163" s="23">
        <v>423.46000000000004</v>
      </c>
      <c r="K1163" s="25">
        <v>145</v>
      </c>
      <c r="L1163" s="24">
        <v>200.10000000000002</v>
      </c>
      <c r="M1163" s="24">
        <f>J1163-L1163</f>
        <v>223.36</v>
      </c>
      <c r="N1163" s="53">
        <f>IF(J1163&lt;&gt;0,M1163/J1163,"")</f>
        <v>0.52746422330326359</v>
      </c>
      <c r="O1163" s="23">
        <v>2.92</v>
      </c>
      <c r="P1163" s="25">
        <v>1</v>
      </c>
      <c r="Q1163" s="24">
        <v>1.38</v>
      </c>
      <c r="R1163" s="24">
        <f>O1163-Q1163</f>
        <v>1.54</v>
      </c>
      <c r="S1163" s="53">
        <f>IF(O1163&lt;&gt;0,R1163/O1163,"")</f>
        <v>0.5273972602739726</v>
      </c>
      <c r="T1163" s="10"/>
      <c r="U1163" s="23">
        <v>420.54</v>
      </c>
      <c r="V1163" s="25">
        <v>144</v>
      </c>
      <c r="W1163" s="24">
        <v>198.72</v>
      </c>
      <c r="X1163" s="24">
        <f>U1163-W1163</f>
        <v>221.82000000000002</v>
      </c>
      <c r="Y1163" s="53">
        <f>IF(U1163&lt;&gt;0,X1163/U1163,"")</f>
        <v>0.52746468825795412</v>
      </c>
      <c r="Z1163" s="23">
        <v>0</v>
      </c>
      <c r="AA1163" s="25">
        <v>0</v>
      </c>
      <c r="AB1163" s="24">
        <v>0</v>
      </c>
      <c r="AC1163" s="24">
        <f t="shared" si="368"/>
        <v>0</v>
      </c>
      <c r="AD1163" s="53" t="str">
        <f t="shared" si="369"/>
        <v/>
      </c>
      <c r="AE1163" s="10"/>
    </row>
    <row r="1164" spans="1:31" x14ac:dyDescent="0.25">
      <c r="A1164" s="14" t="s">
        <v>109</v>
      </c>
      <c r="C1164" s="61" t="str">
        <f t="shared" si="367"/>
        <v>C100082</v>
      </c>
      <c r="F1164" s="8" t="str">
        <f>"C100028"</f>
        <v>C100028</v>
      </c>
      <c r="G1164" s="9" t="str">
        <f>"Twill Visor"</f>
        <v>Twill Visor</v>
      </c>
      <c r="H1164" s="47"/>
      <c r="I1164" s="47"/>
      <c r="J1164" s="23">
        <v>30.049999999999997</v>
      </c>
      <c r="K1164" s="25">
        <v>6</v>
      </c>
      <c r="L1164" s="24">
        <v>14.4</v>
      </c>
      <c r="M1164" s="24">
        <f>J1164-L1164</f>
        <v>15.649999999999997</v>
      </c>
      <c r="N1164" s="53">
        <f>IF(J1164&lt;&gt;0,M1164/J1164,"")</f>
        <v>0.52079866888519133</v>
      </c>
      <c r="O1164" s="23">
        <v>-5.01</v>
      </c>
      <c r="P1164" s="25">
        <v>-1</v>
      </c>
      <c r="Q1164" s="24">
        <v>-2.4</v>
      </c>
      <c r="R1164" s="24">
        <f>O1164-Q1164</f>
        <v>-2.61</v>
      </c>
      <c r="S1164" s="53">
        <f>IF(O1164&lt;&gt;0,R1164/O1164,"")</f>
        <v>0.52095808383233533</v>
      </c>
      <c r="T1164" s="10"/>
      <c r="U1164" s="23">
        <v>721.12</v>
      </c>
      <c r="V1164" s="25">
        <v>144</v>
      </c>
      <c r="W1164" s="24">
        <v>345.61</v>
      </c>
      <c r="X1164" s="24">
        <f>U1164-W1164</f>
        <v>375.51</v>
      </c>
      <c r="Y1164" s="53">
        <f>IF(U1164&lt;&gt;0,X1164/U1164,"")</f>
        <v>0.52073163967162195</v>
      </c>
      <c r="Z1164" s="23">
        <v>0</v>
      </c>
      <c r="AA1164" s="25">
        <v>0</v>
      </c>
      <c r="AB1164" s="24">
        <v>0</v>
      </c>
      <c r="AC1164" s="24">
        <f t="shared" si="368"/>
        <v>0</v>
      </c>
      <c r="AD1164" s="53" t="str">
        <f t="shared" si="369"/>
        <v/>
      </c>
      <c r="AE1164" s="10"/>
    </row>
    <row r="1165" spans="1:31" x14ac:dyDescent="0.25">
      <c r="A1165" s="14" t="s">
        <v>109</v>
      </c>
      <c r="C1165" s="61" t="str">
        <f t="shared" si="367"/>
        <v>C100082</v>
      </c>
      <c r="F1165" s="8" t="str">
        <f>"C100031"</f>
        <v>C100031</v>
      </c>
      <c r="G1165" s="9" t="str">
        <f>"Carabiner Watch"</f>
        <v>Carabiner Watch</v>
      </c>
      <c r="H1165" s="47"/>
      <c r="I1165" s="47"/>
      <c r="J1165" s="23">
        <v>2664.3500000000004</v>
      </c>
      <c r="K1165" s="25">
        <v>144</v>
      </c>
      <c r="L1165" s="24">
        <v>1235.52</v>
      </c>
      <c r="M1165" s="24">
        <f>J1165-L1165</f>
        <v>1428.8300000000004</v>
      </c>
      <c r="N1165" s="53">
        <f>IF(J1165&lt;&gt;0,M1165/J1165,"")</f>
        <v>0.53627714076604061</v>
      </c>
      <c r="O1165" s="23">
        <v>-37</v>
      </c>
      <c r="P1165" s="25">
        <v>-2</v>
      </c>
      <c r="Q1165" s="24">
        <v>-17.16</v>
      </c>
      <c r="R1165" s="24">
        <f>O1165-Q1165</f>
        <v>-19.84</v>
      </c>
      <c r="S1165" s="53">
        <f>IF(O1165&lt;&gt;0,R1165/O1165,"")</f>
        <v>0.53621621621621618</v>
      </c>
      <c r="T1165" s="10"/>
      <c r="U1165" s="23">
        <v>111.01</v>
      </c>
      <c r="V1165" s="25">
        <v>6</v>
      </c>
      <c r="W1165" s="24">
        <v>51.48</v>
      </c>
      <c r="X1165" s="24">
        <f>U1165-W1165</f>
        <v>59.530000000000008</v>
      </c>
      <c r="Y1165" s="53">
        <f>IF(U1165&lt;&gt;0,X1165/U1165,"")</f>
        <v>0.53625799477524549</v>
      </c>
      <c r="Z1165" s="23">
        <v>0</v>
      </c>
      <c r="AA1165" s="25">
        <v>0</v>
      </c>
      <c r="AB1165" s="24">
        <v>0</v>
      </c>
      <c r="AC1165" s="24">
        <f t="shared" si="368"/>
        <v>0</v>
      </c>
      <c r="AD1165" s="53" t="str">
        <f t="shared" si="369"/>
        <v/>
      </c>
      <c r="AE1165" s="10"/>
    </row>
    <row r="1166" spans="1:31" x14ac:dyDescent="0.25">
      <c r="A1166" s="14" t="s">
        <v>109</v>
      </c>
      <c r="C1166" s="61" t="str">
        <f t="shared" si="367"/>
        <v>C100082</v>
      </c>
      <c r="F1166" s="8" t="str">
        <f>"C100032"</f>
        <v>C100032</v>
      </c>
      <c r="G1166" s="9" t="str">
        <f>"Clip-on Clock"</f>
        <v>Clip-on Clock</v>
      </c>
      <c r="H1166" s="47"/>
      <c r="I1166" s="47"/>
      <c r="J1166" s="23">
        <v>8.08</v>
      </c>
      <c r="K1166" s="25">
        <v>1</v>
      </c>
      <c r="L1166" s="24">
        <v>4.16</v>
      </c>
      <c r="M1166" s="24">
        <f>J1166-L1166</f>
        <v>3.92</v>
      </c>
      <c r="N1166" s="53">
        <f>IF(J1166&lt;&gt;0,M1166/J1166,"")</f>
        <v>0.48514851485148514</v>
      </c>
      <c r="O1166" s="23">
        <v>2325.66</v>
      </c>
      <c r="P1166" s="25">
        <v>288</v>
      </c>
      <c r="Q1166" s="24">
        <v>1198.1000000000001</v>
      </c>
      <c r="R1166" s="24">
        <f>O1166-Q1166</f>
        <v>1127.5599999999997</v>
      </c>
      <c r="S1166" s="53">
        <f>IF(O1166&lt;&gt;0,R1166/O1166,"")</f>
        <v>0.48483441259685411</v>
      </c>
      <c r="T1166" s="10"/>
      <c r="U1166" s="23">
        <v>0</v>
      </c>
      <c r="V1166" s="25">
        <v>0</v>
      </c>
      <c r="W1166" s="24">
        <v>0</v>
      </c>
      <c r="X1166" s="24">
        <f>U1166-W1166</f>
        <v>0</v>
      </c>
      <c r="Y1166" s="53" t="str">
        <f>IF(U1166&lt;&gt;0,X1166/U1166,"")</f>
        <v/>
      </c>
      <c r="Z1166" s="23">
        <v>0</v>
      </c>
      <c r="AA1166" s="25">
        <v>0</v>
      </c>
      <c r="AB1166" s="24">
        <v>0</v>
      </c>
      <c r="AC1166" s="24">
        <f t="shared" si="368"/>
        <v>0</v>
      </c>
      <c r="AD1166" s="53" t="str">
        <f t="shared" si="369"/>
        <v/>
      </c>
      <c r="AE1166" s="10"/>
    </row>
    <row r="1167" spans="1:31" x14ac:dyDescent="0.25">
      <c r="A1167" s="14" t="s">
        <v>109</v>
      </c>
      <c r="C1167" s="61" t="str">
        <f t="shared" si="367"/>
        <v>C100082</v>
      </c>
      <c r="F1167" s="8" t="str">
        <f>"E100001"</f>
        <v>E100001</v>
      </c>
      <c r="G1167" s="9" t="str">
        <f>"Sport Bag"</f>
        <v>Sport Bag</v>
      </c>
      <c r="H1167" s="47"/>
      <c r="I1167" s="47"/>
      <c r="J1167" s="23">
        <v>0</v>
      </c>
      <c r="K1167" s="25">
        <v>0</v>
      </c>
      <c r="L1167" s="24">
        <v>0</v>
      </c>
      <c r="M1167" s="24">
        <f>J1167-L1167</f>
        <v>0</v>
      </c>
      <c r="N1167" s="53" t="str">
        <f>IF(J1167&lt;&gt;0,M1167/J1167,"")</f>
        <v/>
      </c>
      <c r="O1167" s="23">
        <v>-1.77</v>
      </c>
      <c r="P1167" s="25">
        <v>-1</v>
      </c>
      <c r="Q1167" s="24">
        <v>-0.87</v>
      </c>
      <c r="R1167" s="24">
        <f>O1167-Q1167</f>
        <v>-0.9</v>
      </c>
      <c r="S1167" s="53">
        <f>IF(O1167&lt;&gt;0,R1167/O1167,"")</f>
        <v>0.50847457627118642</v>
      </c>
      <c r="T1167" s="10"/>
      <c r="U1167" s="23">
        <v>0</v>
      </c>
      <c r="V1167" s="25">
        <v>0</v>
      </c>
      <c r="W1167" s="24">
        <v>0</v>
      </c>
      <c r="X1167" s="24">
        <f>U1167-W1167</f>
        <v>0</v>
      </c>
      <c r="Y1167" s="53" t="str">
        <f>IF(U1167&lt;&gt;0,X1167/U1167,"")</f>
        <v/>
      </c>
      <c r="Z1167" s="23">
        <v>255.43</v>
      </c>
      <c r="AA1167" s="25">
        <v>144</v>
      </c>
      <c r="AB1167" s="24">
        <v>125.28</v>
      </c>
      <c r="AC1167" s="24">
        <f t="shared" si="368"/>
        <v>130.15</v>
      </c>
      <c r="AD1167" s="53">
        <f t="shared" si="369"/>
        <v>0.50953294444661945</v>
      </c>
      <c r="AE1167" s="10"/>
    </row>
    <row r="1168" spans="1:31" x14ac:dyDescent="0.25">
      <c r="A1168" s="14" t="s">
        <v>109</v>
      </c>
      <c r="C1168" s="61" t="str">
        <f t="shared" si="367"/>
        <v>C100082</v>
      </c>
      <c r="F1168" s="8" t="str">
        <f>"E100011"</f>
        <v>E100011</v>
      </c>
      <c r="G1168" s="9" t="str">
        <f>"Plastic Sun Visor"</f>
        <v>Plastic Sun Visor</v>
      </c>
      <c r="H1168" s="47"/>
      <c r="I1168" s="47"/>
      <c r="J1168" s="23">
        <v>114.31</v>
      </c>
      <c r="K1168" s="25">
        <v>144</v>
      </c>
      <c r="L1168" s="24">
        <v>60.470000000000006</v>
      </c>
      <c r="M1168" s="24">
        <f>J1168-L1168</f>
        <v>53.839999999999996</v>
      </c>
      <c r="N1168" s="53">
        <f>IF(J1168&lt;&gt;0,M1168/J1168,"")</f>
        <v>0.47099991251858975</v>
      </c>
      <c r="O1168" s="23">
        <v>123.05</v>
      </c>
      <c r="P1168" s="25">
        <v>155</v>
      </c>
      <c r="Q1168" s="24">
        <v>65.09</v>
      </c>
      <c r="R1168" s="24">
        <f>O1168-Q1168</f>
        <v>57.959999999999994</v>
      </c>
      <c r="S1168" s="53">
        <f>IF(O1168&lt;&gt;0,R1168/O1168,"")</f>
        <v>0.47102803738317756</v>
      </c>
      <c r="T1168" s="10"/>
      <c r="U1168" s="23">
        <v>114.31</v>
      </c>
      <c r="V1168" s="25">
        <v>144</v>
      </c>
      <c r="W1168" s="24">
        <v>60.470000000000006</v>
      </c>
      <c r="X1168" s="24">
        <f>U1168-W1168</f>
        <v>53.839999999999996</v>
      </c>
      <c r="Y1168" s="53">
        <f>IF(U1168&lt;&gt;0,X1168/U1168,"")</f>
        <v>0.47099991251858975</v>
      </c>
      <c r="Z1168" s="23">
        <v>115.10000000000001</v>
      </c>
      <c r="AA1168" s="25">
        <v>145</v>
      </c>
      <c r="AB1168" s="24">
        <v>60.89</v>
      </c>
      <c r="AC1168" s="24">
        <f t="shared" si="368"/>
        <v>54.210000000000008</v>
      </c>
      <c r="AD1168" s="53">
        <f t="shared" si="369"/>
        <v>0.47098175499565598</v>
      </c>
      <c r="AE1168" s="10"/>
    </row>
    <row r="1169" spans="1:31" x14ac:dyDescent="0.25">
      <c r="A1169" s="14" t="s">
        <v>109</v>
      </c>
      <c r="C1169" s="61" t="str">
        <f t="shared" si="367"/>
        <v>C100082</v>
      </c>
      <c r="F1169" s="8" t="str">
        <f>"E100012"</f>
        <v>E100012</v>
      </c>
      <c r="G1169" s="9" t="str">
        <f>"Canvas Stopwatch"</f>
        <v>Canvas Stopwatch</v>
      </c>
      <c r="H1169" s="47"/>
      <c r="I1169" s="47"/>
      <c r="J1169" s="23">
        <v>525.77</v>
      </c>
      <c r="K1169" s="25">
        <v>145</v>
      </c>
      <c r="L1169" s="24">
        <v>284.19</v>
      </c>
      <c r="M1169" s="24">
        <f>J1169-L1169</f>
        <v>241.57999999999998</v>
      </c>
      <c r="N1169" s="53">
        <f>IF(J1169&lt;&gt;0,M1169/J1169,"")</f>
        <v>0.45947847918291268</v>
      </c>
      <c r="O1169" s="23">
        <v>522.14</v>
      </c>
      <c r="P1169" s="25">
        <v>144</v>
      </c>
      <c r="Q1169" s="24">
        <v>282.22999999999996</v>
      </c>
      <c r="R1169" s="24">
        <f>O1169-Q1169</f>
        <v>239.91000000000003</v>
      </c>
      <c r="S1169" s="53">
        <f>IF(O1169&lt;&gt;0,R1169/O1169,"")</f>
        <v>0.45947447044853879</v>
      </c>
      <c r="T1169" s="10"/>
      <c r="U1169" s="23">
        <v>1044.28</v>
      </c>
      <c r="V1169" s="25">
        <v>288</v>
      </c>
      <c r="W1169" s="24">
        <v>564.45999999999992</v>
      </c>
      <c r="X1169" s="24">
        <f>U1169-W1169</f>
        <v>479.82000000000005</v>
      </c>
      <c r="Y1169" s="53">
        <f>IF(U1169&lt;&gt;0,X1169/U1169,"")</f>
        <v>0.45947447044853879</v>
      </c>
      <c r="Z1169" s="23">
        <v>0</v>
      </c>
      <c r="AA1169" s="25">
        <v>0</v>
      </c>
      <c r="AB1169" s="24">
        <v>0</v>
      </c>
      <c r="AC1169" s="24">
        <f t="shared" si="368"/>
        <v>0</v>
      </c>
      <c r="AD1169" s="53" t="str">
        <f t="shared" si="369"/>
        <v/>
      </c>
      <c r="AE1169" s="10"/>
    </row>
    <row r="1170" spans="1:31" x14ac:dyDescent="0.25">
      <c r="A1170" s="14" t="s">
        <v>109</v>
      </c>
      <c r="C1170" s="61" t="str">
        <f t="shared" si="367"/>
        <v>C100082</v>
      </c>
      <c r="F1170" s="8" t="str">
        <f>"E100013"</f>
        <v>E100013</v>
      </c>
      <c r="G1170" s="9" t="str">
        <f>"Clip-on Stopwatch"</f>
        <v>Clip-on Stopwatch</v>
      </c>
      <c r="H1170" s="47"/>
      <c r="I1170" s="47"/>
      <c r="J1170" s="23">
        <v>389.49</v>
      </c>
      <c r="K1170" s="25">
        <v>144</v>
      </c>
      <c r="L1170" s="24">
        <v>207.35</v>
      </c>
      <c r="M1170" s="24">
        <f>J1170-L1170</f>
        <v>182.14000000000001</v>
      </c>
      <c r="N1170" s="53">
        <f>IF(J1170&lt;&gt;0,M1170/J1170,"")</f>
        <v>0.46763716655113097</v>
      </c>
      <c r="O1170" s="23">
        <v>0</v>
      </c>
      <c r="P1170" s="25">
        <v>0</v>
      </c>
      <c r="Q1170" s="24">
        <v>0</v>
      </c>
      <c r="R1170" s="24">
        <f>O1170-Q1170</f>
        <v>0</v>
      </c>
      <c r="S1170" s="53" t="str">
        <f>IF(O1170&lt;&gt;0,R1170/O1170,"")</f>
        <v/>
      </c>
      <c r="T1170" s="10"/>
      <c r="U1170" s="23">
        <v>778.98</v>
      </c>
      <c r="V1170" s="25">
        <v>288</v>
      </c>
      <c r="W1170" s="24">
        <v>414.7</v>
      </c>
      <c r="X1170" s="24">
        <f>U1170-W1170</f>
        <v>364.28000000000003</v>
      </c>
      <c r="Y1170" s="53">
        <f>IF(U1170&lt;&gt;0,X1170/U1170,"")</f>
        <v>0.46763716655113097</v>
      </c>
      <c r="Z1170" s="23">
        <v>0</v>
      </c>
      <c r="AA1170" s="25">
        <v>0</v>
      </c>
      <c r="AB1170" s="24">
        <v>0</v>
      </c>
      <c r="AC1170" s="24">
        <f t="shared" si="368"/>
        <v>0</v>
      </c>
      <c r="AD1170" s="53" t="str">
        <f t="shared" si="369"/>
        <v/>
      </c>
      <c r="AE1170" s="10"/>
    </row>
    <row r="1171" spans="1:31" x14ac:dyDescent="0.25">
      <c r="A1171" s="14" t="s">
        <v>109</v>
      </c>
      <c r="C1171" s="61" t="str">
        <f t="shared" si="367"/>
        <v>C100082</v>
      </c>
      <c r="F1171" s="8" t="str">
        <f>"E100014"</f>
        <v>E100014</v>
      </c>
      <c r="G1171" s="9" t="str">
        <f>"Stopwatch with Neck Rope"</f>
        <v>Stopwatch with Neck Rope</v>
      </c>
      <c r="H1171" s="47"/>
      <c r="I1171" s="47"/>
      <c r="J1171" s="23">
        <v>0</v>
      </c>
      <c r="K1171" s="25">
        <v>0</v>
      </c>
      <c r="L1171" s="24">
        <v>0</v>
      </c>
      <c r="M1171" s="24">
        <f>J1171-L1171</f>
        <v>0</v>
      </c>
      <c r="N1171" s="53" t="str">
        <f>IF(J1171&lt;&gt;0,M1171/J1171,"")</f>
        <v/>
      </c>
      <c r="O1171" s="23">
        <v>129.36000000000001</v>
      </c>
      <c r="P1171" s="25">
        <v>48</v>
      </c>
      <c r="Q1171" s="24">
        <v>61.92</v>
      </c>
      <c r="R1171" s="24">
        <f>O1171-Q1171</f>
        <v>67.440000000000012</v>
      </c>
      <c r="S1171" s="53">
        <f>IF(O1171&lt;&gt;0,R1171/O1171,"")</f>
        <v>0.52133580705009275</v>
      </c>
      <c r="T1171" s="10"/>
      <c r="U1171" s="23">
        <v>390.77</v>
      </c>
      <c r="V1171" s="25">
        <v>145</v>
      </c>
      <c r="W1171" s="24">
        <v>187.04</v>
      </c>
      <c r="X1171" s="24">
        <f>U1171-W1171</f>
        <v>203.73</v>
      </c>
      <c r="Y1171" s="53">
        <f>IF(U1171&lt;&gt;0,X1171/U1171,"")</f>
        <v>0.52135527292269113</v>
      </c>
      <c r="Z1171" s="23">
        <v>0</v>
      </c>
      <c r="AA1171" s="25">
        <v>0</v>
      </c>
      <c r="AB1171" s="24">
        <v>0</v>
      </c>
      <c r="AC1171" s="24">
        <f t="shared" si="368"/>
        <v>0</v>
      </c>
      <c r="AD1171" s="53" t="str">
        <f t="shared" si="369"/>
        <v/>
      </c>
      <c r="AE1171" s="10"/>
    </row>
    <row r="1172" spans="1:31" x14ac:dyDescent="0.25">
      <c r="A1172" s="14" t="s">
        <v>109</v>
      </c>
      <c r="C1172" s="61" t="str">
        <f t="shared" si="367"/>
        <v>C100082</v>
      </c>
      <c r="F1172" s="8" t="str">
        <f>"E100017"</f>
        <v>E100017</v>
      </c>
      <c r="G1172" s="9" t="str">
        <f>"Clip-on Clock with Compass"</f>
        <v>Clip-on Clock with Compass</v>
      </c>
      <c r="H1172" s="47"/>
      <c r="I1172" s="47"/>
      <c r="J1172" s="23">
        <v>440.29</v>
      </c>
      <c r="K1172" s="25">
        <v>288</v>
      </c>
      <c r="L1172" s="24">
        <v>253.42999999999998</v>
      </c>
      <c r="M1172" s="24">
        <f>J1172-L1172</f>
        <v>186.86000000000004</v>
      </c>
      <c r="N1172" s="53">
        <f>IF(J1172&lt;&gt;0,M1172/J1172,"")</f>
        <v>0.42440209861682082</v>
      </c>
      <c r="O1172" s="23">
        <v>0</v>
      </c>
      <c r="P1172" s="25">
        <v>0</v>
      </c>
      <c r="Q1172" s="24">
        <v>0</v>
      </c>
      <c r="R1172" s="24">
        <f>O1172-Q1172</f>
        <v>0</v>
      </c>
      <c r="S1172" s="53" t="str">
        <f>IF(O1172&lt;&gt;0,R1172/O1172,"")</f>
        <v/>
      </c>
      <c r="T1172" s="10"/>
      <c r="U1172" s="23">
        <v>0</v>
      </c>
      <c r="V1172" s="25">
        <v>0</v>
      </c>
      <c r="W1172" s="24">
        <v>0</v>
      </c>
      <c r="X1172" s="24">
        <f>U1172-W1172</f>
        <v>0</v>
      </c>
      <c r="Y1172" s="53" t="str">
        <f>IF(U1172&lt;&gt;0,X1172/U1172,"")</f>
        <v/>
      </c>
      <c r="Z1172" s="23">
        <v>1.53</v>
      </c>
      <c r="AA1172" s="25">
        <v>1</v>
      </c>
      <c r="AB1172" s="24">
        <v>0.88</v>
      </c>
      <c r="AC1172" s="24">
        <f t="shared" si="368"/>
        <v>0.65</v>
      </c>
      <c r="AD1172" s="53">
        <f t="shared" si="369"/>
        <v>0.42483660130718953</v>
      </c>
      <c r="AE1172" s="10"/>
    </row>
    <row r="1173" spans="1:31" x14ac:dyDescent="0.25">
      <c r="A1173" s="14" t="s">
        <v>109</v>
      </c>
      <c r="C1173" s="61" t="str">
        <f t="shared" si="367"/>
        <v>C100082</v>
      </c>
      <c r="F1173" s="8" t="str">
        <f>"E100018"</f>
        <v>E100018</v>
      </c>
      <c r="G1173" s="9" t="str">
        <f>"Flexi-Clock &amp; Clip"</f>
        <v>Flexi-Clock &amp; Clip</v>
      </c>
      <c r="H1173" s="47"/>
      <c r="I1173" s="47"/>
      <c r="J1173" s="23">
        <v>0</v>
      </c>
      <c r="K1173" s="25">
        <v>0</v>
      </c>
      <c r="L1173" s="24">
        <v>0</v>
      </c>
      <c r="M1173" s="24">
        <f>J1173-L1173</f>
        <v>0</v>
      </c>
      <c r="N1173" s="53" t="str">
        <f>IF(J1173&lt;&gt;0,M1173/J1173,"")</f>
        <v/>
      </c>
      <c r="O1173" s="23">
        <v>-25.470000000000002</v>
      </c>
      <c r="P1173" s="25">
        <v>-23</v>
      </c>
      <c r="Q1173" s="24">
        <v>-13.8</v>
      </c>
      <c r="R1173" s="24">
        <f>O1173-Q1173</f>
        <v>-11.670000000000002</v>
      </c>
      <c r="S1173" s="53">
        <f>IF(O1173&lt;&gt;0,R1173/O1173,"")</f>
        <v>0.45818610129564197</v>
      </c>
      <c r="T1173" s="10"/>
      <c r="U1173" s="23">
        <v>452.93</v>
      </c>
      <c r="V1173" s="25">
        <v>409</v>
      </c>
      <c r="W1173" s="24">
        <v>245.37</v>
      </c>
      <c r="X1173" s="24">
        <f>U1173-W1173</f>
        <v>207.56</v>
      </c>
      <c r="Y1173" s="53">
        <f>IF(U1173&lt;&gt;0,X1173/U1173,"")</f>
        <v>0.45826065837988211</v>
      </c>
      <c r="Z1173" s="23">
        <v>0</v>
      </c>
      <c r="AA1173" s="25">
        <v>0</v>
      </c>
      <c r="AB1173" s="24">
        <v>0</v>
      </c>
      <c r="AC1173" s="24">
        <f t="shared" si="368"/>
        <v>0</v>
      </c>
      <c r="AD1173" s="53" t="str">
        <f t="shared" si="369"/>
        <v/>
      </c>
      <c r="AE1173" s="10"/>
    </row>
    <row r="1174" spans="1:31" x14ac:dyDescent="0.25">
      <c r="A1174" s="14" t="s">
        <v>109</v>
      </c>
      <c r="C1174" s="61" t="str">
        <f t="shared" si="367"/>
        <v>C100082</v>
      </c>
      <c r="F1174" s="8" t="str">
        <f>"S100001"</f>
        <v>S100001</v>
      </c>
      <c r="G1174" s="9" t="str">
        <f>"Basketball Graphic Plaque"</f>
        <v>Basketball Graphic Plaque</v>
      </c>
      <c r="H1174" s="47"/>
      <c r="I1174" s="47"/>
      <c r="J1174" s="23">
        <v>0</v>
      </c>
      <c r="K1174" s="25">
        <v>0</v>
      </c>
      <c r="L1174" s="24">
        <v>0</v>
      </c>
      <c r="M1174" s="24">
        <f>J1174-L1174</f>
        <v>0</v>
      </c>
      <c r="N1174" s="53" t="str">
        <f>IF(J1174&lt;&gt;0,M1174/J1174,"")</f>
        <v/>
      </c>
      <c r="O1174" s="23">
        <v>4724.7</v>
      </c>
      <c r="P1174" s="25">
        <v>288</v>
      </c>
      <c r="Q1174" s="24">
        <v>2620.8000000000002</v>
      </c>
      <c r="R1174" s="24">
        <f>O1174-Q1174</f>
        <v>2103.8999999999996</v>
      </c>
      <c r="S1174" s="53">
        <f>IF(O1174&lt;&gt;0,R1174/O1174,"")</f>
        <v>0.44529811416597875</v>
      </c>
      <c r="T1174" s="10"/>
      <c r="U1174" s="23">
        <v>4724.7</v>
      </c>
      <c r="V1174" s="25">
        <v>288</v>
      </c>
      <c r="W1174" s="24">
        <v>2620.8000000000002</v>
      </c>
      <c r="X1174" s="24">
        <f>U1174-W1174</f>
        <v>2103.8999999999996</v>
      </c>
      <c r="Y1174" s="53">
        <f>IF(U1174&lt;&gt;0,X1174/U1174,"")</f>
        <v>0.44529811416597875</v>
      </c>
      <c r="Z1174" s="23">
        <v>0</v>
      </c>
      <c r="AA1174" s="25">
        <v>0</v>
      </c>
      <c r="AB1174" s="24">
        <v>0</v>
      </c>
      <c r="AC1174" s="24">
        <f t="shared" si="368"/>
        <v>0</v>
      </c>
      <c r="AD1174" s="53" t="str">
        <f t="shared" si="369"/>
        <v/>
      </c>
      <c r="AE1174" s="10"/>
    </row>
    <row r="1175" spans="1:31" x14ac:dyDescent="0.25">
      <c r="A1175" s="14" t="s">
        <v>109</v>
      </c>
      <c r="C1175" s="61" t="str">
        <f t="shared" si="367"/>
        <v>C100082</v>
      </c>
      <c r="F1175" s="8" t="str">
        <f>"S100002"</f>
        <v>S100002</v>
      </c>
      <c r="G1175" s="9" t="str">
        <f>"Football Graphic Plaque"</f>
        <v>Football Graphic Plaque</v>
      </c>
      <c r="H1175" s="47"/>
      <c r="I1175" s="47"/>
      <c r="J1175" s="23">
        <v>0</v>
      </c>
      <c r="K1175" s="25">
        <v>0</v>
      </c>
      <c r="L1175" s="24">
        <v>0</v>
      </c>
      <c r="M1175" s="24">
        <f>J1175-L1175</f>
        <v>0</v>
      </c>
      <c r="N1175" s="53" t="str">
        <f>IF(J1175&lt;&gt;0,M1175/J1175,"")</f>
        <v/>
      </c>
      <c r="O1175" s="23">
        <v>6979.8</v>
      </c>
      <c r="P1175" s="25">
        <v>288</v>
      </c>
      <c r="Q1175" s="24">
        <v>3424.3399999999997</v>
      </c>
      <c r="R1175" s="24">
        <f>O1175-Q1175</f>
        <v>3555.4600000000005</v>
      </c>
      <c r="S1175" s="53">
        <f>IF(O1175&lt;&gt;0,R1175/O1175,"")</f>
        <v>0.50939281927848945</v>
      </c>
      <c r="T1175" s="10"/>
      <c r="U1175" s="23">
        <v>48.48</v>
      </c>
      <c r="V1175" s="25">
        <v>2</v>
      </c>
      <c r="W1175" s="24">
        <v>23.78</v>
      </c>
      <c r="X1175" s="24">
        <f>U1175-W1175</f>
        <v>24.699999999999996</v>
      </c>
      <c r="Y1175" s="53">
        <f>IF(U1175&lt;&gt;0,X1175/U1175,"")</f>
        <v>0.50948844884488442</v>
      </c>
      <c r="Z1175" s="23">
        <v>3489.9</v>
      </c>
      <c r="AA1175" s="25">
        <v>144</v>
      </c>
      <c r="AB1175" s="24">
        <v>1712.1699999999998</v>
      </c>
      <c r="AC1175" s="24">
        <f t="shared" si="368"/>
        <v>1777.7300000000002</v>
      </c>
      <c r="AD1175" s="53">
        <f t="shared" si="369"/>
        <v>0.50939281927848945</v>
      </c>
      <c r="AE1175" s="10"/>
    </row>
    <row r="1176" spans="1:31" x14ac:dyDescent="0.25">
      <c r="A1176" s="14" t="s">
        <v>109</v>
      </c>
      <c r="C1176" s="61" t="str">
        <f t="shared" si="367"/>
        <v>C100082</v>
      </c>
      <c r="F1176" s="8" t="str">
        <f>"S100004"</f>
        <v>S100004</v>
      </c>
      <c r="G1176" s="9" t="str">
        <f>"Award Medallian - 2''"</f>
        <v>Award Medallian - 2''</v>
      </c>
      <c r="H1176" s="47"/>
      <c r="I1176" s="47"/>
      <c r="J1176" s="23">
        <v>0</v>
      </c>
      <c r="K1176" s="25">
        <v>0</v>
      </c>
      <c r="L1176" s="24">
        <v>0</v>
      </c>
      <c r="M1176" s="24">
        <f>J1176-L1176</f>
        <v>0</v>
      </c>
      <c r="N1176" s="53" t="str">
        <f>IF(J1176&lt;&gt;0,M1176/J1176,"")</f>
        <v/>
      </c>
      <c r="O1176" s="23">
        <v>1995.4399999999998</v>
      </c>
      <c r="P1176" s="25">
        <v>144</v>
      </c>
      <c r="Q1176" s="24">
        <v>960.48</v>
      </c>
      <c r="R1176" s="24">
        <f>O1176-Q1176</f>
        <v>1034.9599999999998</v>
      </c>
      <c r="S1176" s="53">
        <f>IF(O1176&lt;&gt;0,R1176/O1176,"")</f>
        <v>0.51866255061540312</v>
      </c>
      <c r="T1176" s="10"/>
      <c r="U1176" s="23">
        <v>0</v>
      </c>
      <c r="V1176" s="25">
        <v>0</v>
      </c>
      <c r="W1176" s="24">
        <v>0</v>
      </c>
      <c r="X1176" s="24">
        <f>U1176-W1176</f>
        <v>0</v>
      </c>
      <c r="Y1176" s="53" t="str">
        <f>IF(U1176&lt;&gt;0,X1176/U1176,"")</f>
        <v/>
      </c>
      <c r="Z1176" s="23">
        <v>0</v>
      </c>
      <c r="AA1176" s="25">
        <v>0</v>
      </c>
      <c r="AB1176" s="24">
        <v>0</v>
      </c>
      <c r="AC1176" s="24">
        <f t="shared" si="368"/>
        <v>0</v>
      </c>
      <c r="AD1176" s="53" t="str">
        <f t="shared" si="369"/>
        <v/>
      </c>
      <c r="AE1176" s="10"/>
    </row>
    <row r="1177" spans="1:31" x14ac:dyDescent="0.25">
      <c r="A1177" s="14" t="s">
        <v>109</v>
      </c>
      <c r="C1177" s="61" t="str">
        <f t="shared" si="367"/>
        <v>C100082</v>
      </c>
      <c r="F1177" s="8" t="str">
        <f>"S100005"</f>
        <v>S100005</v>
      </c>
      <c r="G1177" s="9" t="str">
        <f>"Award Medallian - 2.5''"</f>
        <v>Award Medallian - 2.5''</v>
      </c>
      <c r="H1177" s="47"/>
      <c r="I1177" s="47"/>
      <c r="J1177" s="23">
        <v>0</v>
      </c>
      <c r="K1177" s="25">
        <v>0</v>
      </c>
      <c r="L1177" s="24">
        <v>0</v>
      </c>
      <c r="M1177" s="24">
        <f>J1177-L1177</f>
        <v>0</v>
      </c>
      <c r="N1177" s="53" t="str">
        <f>IF(J1177&lt;&gt;0,M1177/J1177,"")</f>
        <v/>
      </c>
      <c r="O1177" s="23">
        <v>1223.51</v>
      </c>
      <c r="P1177" s="25">
        <v>144</v>
      </c>
      <c r="Q1177" s="24">
        <v>751.69</v>
      </c>
      <c r="R1177" s="24">
        <f>O1177-Q1177</f>
        <v>471.81999999999994</v>
      </c>
      <c r="S1177" s="53">
        <f>IF(O1177&lt;&gt;0,R1177/O1177,"")</f>
        <v>0.38562823352485875</v>
      </c>
      <c r="T1177" s="10"/>
      <c r="U1177" s="23">
        <v>1427.43</v>
      </c>
      <c r="V1177" s="25">
        <v>168</v>
      </c>
      <c r="W1177" s="24">
        <v>876.97</v>
      </c>
      <c r="X1177" s="24">
        <f>U1177-W1177</f>
        <v>550.46</v>
      </c>
      <c r="Y1177" s="53">
        <f>IF(U1177&lt;&gt;0,X1177/U1177,"")</f>
        <v>0.38563011846465328</v>
      </c>
      <c r="Z1177" s="23">
        <v>1223.51</v>
      </c>
      <c r="AA1177" s="25">
        <v>144</v>
      </c>
      <c r="AB1177" s="24">
        <v>751.69</v>
      </c>
      <c r="AC1177" s="24">
        <f t="shared" si="368"/>
        <v>471.81999999999994</v>
      </c>
      <c r="AD1177" s="53">
        <f t="shared" si="369"/>
        <v>0.38562823352485875</v>
      </c>
      <c r="AE1177" s="10"/>
    </row>
    <row r="1178" spans="1:31" x14ac:dyDescent="0.25">
      <c r="A1178" s="14" t="s">
        <v>109</v>
      </c>
      <c r="C1178" s="61" t="str">
        <f t="shared" si="367"/>
        <v>C100082</v>
      </c>
      <c r="F1178" s="8" t="str">
        <f>"S100006"</f>
        <v>S100006</v>
      </c>
      <c r="G1178" s="9" t="str">
        <f>"Award Medallian - 3''"</f>
        <v>Award Medallian - 3''</v>
      </c>
      <c r="H1178" s="47"/>
      <c r="I1178" s="47"/>
      <c r="J1178" s="23">
        <v>0</v>
      </c>
      <c r="K1178" s="25">
        <v>0</v>
      </c>
      <c r="L1178" s="24">
        <v>0</v>
      </c>
      <c r="M1178" s="24">
        <f>J1178-L1178</f>
        <v>0</v>
      </c>
      <c r="N1178" s="53" t="str">
        <f>IF(J1178&lt;&gt;0,M1178/J1178,"")</f>
        <v/>
      </c>
      <c r="O1178" s="23">
        <v>1619.9399999999998</v>
      </c>
      <c r="P1178" s="25">
        <v>145</v>
      </c>
      <c r="Q1178" s="24">
        <v>1072.99</v>
      </c>
      <c r="R1178" s="24">
        <f>O1178-Q1178</f>
        <v>546.94999999999982</v>
      </c>
      <c r="S1178" s="53">
        <f>IF(O1178&lt;&gt;0,R1178/O1178,"")</f>
        <v>0.33763596182574657</v>
      </c>
      <c r="T1178" s="10"/>
      <c r="U1178" s="23">
        <v>1675.8</v>
      </c>
      <c r="V1178" s="25">
        <v>150</v>
      </c>
      <c r="W1178" s="24">
        <v>1109.99</v>
      </c>
      <c r="X1178" s="24">
        <f>U1178-W1178</f>
        <v>565.80999999999995</v>
      </c>
      <c r="Y1178" s="53">
        <f>IF(U1178&lt;&gt;0,X1178/U1178,"")</f>
        <v>0.33763575605680868</v>
      </c>
      <c r="Z1178" s="23">
        <v>134.06</v>
      </c>
      <c r="AA1178" s="25">
        <v>12</v>
      </c>
      <c r="AB1178" s="24">
        <v>88.8</v>
      </c>
      <c r="AC1178" s="24">
        <f t="shared" si="368"/>
        <v>45.260000000000005</v>
      </c>
      <c r="AD1178" s="53">
        <f t="shared" si="369"/>
        <v>0.33761002536177837</v>
      </c>
      <c r="AE1178" s="10"/>
    </row>
    <row r="1179" spans="1:31" x14ac:dyDescent="0.25">
      <c r="A1179" s="14" t="s">
        <v>109</v>
      </c>
      <c r="C1179" s="61" t="str">
        <f t="shared" si="367"/>
        <v>C100082</v>
      </c>
      <c r="F1179" s="8" t="str">
        <f>"S100008"</f>
        <v>S100008</v>
      </c>
      <c r="G1179" s="9" t="str">
        <f>"Soccer Figure Trophy"</f>
        <v>Soccer Figure Trophy</v>
      </c>
      <c r="H1179" s="47"/>
      <c r="I1179" s="47"/>
      <c r="J1179" s="23">
        <v>5.8</v>
      </c>
      <c r="K1179" s="25">
        <v>1</v>
      </c>
      <c r="L1179" s="24">
        <v>3.68</v>
      </c>
      <c r="M1179" s="24">
        <f>J1179-L1179</f>
        <v>2.1199999999999997</v>
      </c>
      <c r="N1179" s="53">
        <f>IF(J1179&lt;&gt;0,M1179/J1179,"")</f>
        <v>0.3655172413793103</v>
      </c>
      <c r="O1179" s="23">
        <v>835.43</v>
      </c>
      <c r="P1179" s="25">
        <v>144</v>
      </c>
      <c r="Q1179" s="24">
        <v>529.91999999999996</v>
      </c>
      <c r="R1179" s="24">
        <f>O1179-Q1179</f>
        <v>305.51</v>
      </c>
      <c r="S1179" s="53">
        <f>IF(O1179&lt;&gt;0,R1179/O1179,"")</f>
        <v>0.36569191913146526</v>
      </c>
      <c r="T1179" s="10"/>
      <c r="U1179" s="23">
        <v>69.61999999999999</v>
      </c>
      <c r="V1179" s="25">
        <v>12</v>
      </c>
      <c r="W1179" s="24">
        <v>44.16</v>
      </c>
      <c r="X1179" s="24">
        <f>U1179-W1179</f>
        <v>25.459999999999994</v>
      </c>
      <c r="Y1179" s="53">
        <f>IF(U1179&lt;&gt;0,X1179/U1179,"")</f>
        <v>0.36569951163458775</v>
      </c>
      <c r="Z1179" s="23">
        <v>0</v>
      </c>
      <c r="AA1179" s="25">
        <v>0</v>
      </c>
      <c r="AB1179" s="24">
        <v>0</v>
      </c>
      <c r="AC1179" s="24">
        <f t="shared" si="368"/>
        <v>0</v>
      </c>
      <c r="AD1179" s="53" t="str">
        <f t="shared" si="369"/>
        <v/>
      </c>
      <c r="AE1179" s="10"/>
    </row>
    <row r="1180" spans="1:31" x14ac:dyDescent="0.25">
      <c r="A1180" s="14" t="s">
        <v>109</v>
      </c>
      <c r="C1180" s="61" t="str">
        <f t="shared" si="367"/>
        <v>C100082</v>
      </c>
      <c r="F1180" s="8" t="str">
        <f>"S100009"</f>
        <v>S100009</v>
      </c>
      <c r="G1180" s="9" t="str">
        <f>"Engraved Basketball Award"</f>
        <v>Engraved Basketball Award</v>
      </c>
      <c r="H1180" s="47"/>
      <c r="I1180" s="47"/>
      <c r="J1180" s="23">
        <v>0</v>
      </c>
      <c r="K1180" s="25">
        <v>0</v>
      </c>
      <c r="L1180" s="24">
        <v>0</v>
      </c>
      <c r="M1180" s="24">
        <f>J1180-L1180</f>
        <v>0</v>
      </c>
      <c r="N1180" s="53" t="str">
        <f>IF(J1180&lt;&gt;0,M1180/J1180,"")</f>
        <v/>
      </c>
      <c r="O1180" s="23">
        <v>2701.04</v>
      </c>
      <c r="P1180" s="25">
        <v>144</v>
      </c>
      <c r="Q1180" s="24">
        <v>1270.07</v>
      </c>
      <c r="R1180" s="24">
        <f>O1180-Q1180</f>
        <v>1430.97</v>
      </c>
      <c r="S1180" s="53">
        <f>IF(O1180&lt;&gt;0,R1180/O1180,"")</f>
        <v>0.52978482362349322</v>
      </c>
      <c r="T1180" s="10"/>
      <c r="U1180" s="23">
        <v>0</v>
      </c>
      <c r="V1180" s="25">
        <v>0</v>
      </c>
      <c r="W1180" s="24">
        <v>0</v>
      </c>
      <c r="X1180" s="24">
        <f>U1180-W1180</f>
        <v>0</v>
      </c>
      <c r="Y1180" s="53" t="str">
        <f>IF(U1180&lt;&gt;0,X1180/U1180,"")</f>
        <v/>
      </c>
      <c r="Z1180" s="23">
        <v>0</v>
      </c>
      <c r="AA1180" s="25">
        <v>0</v>
      </c>
      <c r="AB1180" s="24">
        <v>0</v>
      </c>
      <c r="AC1180" s="24">
        <f t="shared" si="368"/>
        <v>0</v>
      </c>
      <c r="AD1180" s="53" t="str">
        <f t="shared" si="369"/>
        <v/>
      </c>
      <c r="AE1180" s="10"/>
    </row>
    <row r="1181" spans="1:31" x14ac:dyDescent="0.25">
      <c r="A1181" s="14" t="s">
        <v>109</v>
      </c>
      <c r="C1181" s="61" t="str">
        <f t="shared" si="367"/>
        <v>C100082</v>
      </c>
      <c r="F1181" s="8" t="str">
        <f>"S100010"</f>
        <v>S100010</v>
      </c>
      <c r="G1181" s="9" t="str">
        <f>"Golf Relaxed Cap"</f>
        <v>Golf Relaxed Cap</v>
      </c>
      <c r="H1181" s="47"/>
      <c r="I1181" s="47"/>
      <c r="J1181" s="23">
        <v>1452.12</v>
      </c>
      <c r="K1181" s="25">
        <v>144</v>
      </c>
      <c r="L1181" s="24">
        <v>876.97</v>
      </c>
      <c r="M1181" s="24">
        <f>J1181-L1181</f>
        <v>575.14999999999986</v>
      </c>
      <c r="N1181" s="53">
        <f>IF(J1181&lt;&gt;0,M1181/J1181,"")</f>
        <v>0.39607608186651233</v>
      </c>
      <c r="O1181" s="23">
        <v>0</v>
      </c>
      <c r="P1181" s="25">
        <v>0</v>
      </c>
      <c r="Q1181" s="24">
        <v>0</v>
      </c>
      <c r="R1181" s="24">
        <f>O1181-Q1181</f>
        <v>0</v>
      </c>
      <c r="S1181" s="53" t="str">
        <f>IF(O1181&lt;&gt;0,R1181/O1181,"")</f>
        <v/>
      </c>
      <c r="T1181" s="10"/>
      <c r="U1181" s="23">
        <v>1391.6100000000001</v>
      </c>
      <c r="V1181" s="25">
        <v>138</v>
      </c>
      <c r="W1181" s="24">
        <v>840.43</v>
      </c>
      <c r="X1181" s="24">
        <f>U1181-W1181</f>
        <v>551.18000000000018</v>
      </c>
      <c r="Y1181" s="53">
        <f>IF(U1181&lt;&gt;0,X1181/U1181,"")</f>
        <v>0.39607361257823681</v>
      </c>
      <c r="Z1181" s="23">
        <v>0</v>
      </c>
      <c r="AA1181" s="25">
        <v>0</v>
      </c>
      <c r="AB1181" s="24">
        <v>0</v>
      </c>
      <c r="AC1181" s="24">
        <f t="shared" si="368"/>
        <v>0</v>
      </c>
      <c r="AD1181" s="53" t="str">
        <f t="shared" si="369"/>
        <v/>
      </c>
      <c r="AE1181" s="10"/>
    </row>
    <row r="1182" spans="1:31" x14ac:dyDescent="0.25">
      <c r="A1182" s="14" t="s">
        <v>109</v>
      </c>
      <c r="C1182" s="61" t="str">
        <f t="shared" si="367"/>
        <v>C100082</v>
      </c>
      <c r="F1182" s="8" t="str">
        <f>"S100011"</f>
        <v>S100011</v>
      </c>
      <c r="G1182" s="9" t="str">
        <f>"All Star Cap"</f>
        <v>All Star Cap</v>
      </c>
      <c r="H1182" s="47"/>
      <c r="I1182" s="47"/>
      <c r="J1182" s="23">
        <v>1.42</v>
      </c>
      <c r="K1182" s="25">
        <v>1</v>
      </c>
      <c r="L1182" s="24">
        <v>0.85</v>
      </c>
      <c r="M1182" s="24">
        <f>J1182-L1182</f>
        <v>0.56999999999999995</v>
      </c>
      <c r="N1182" s="53">
        <f>IF(J1182&lt;&gt;0,M1182/J1182,"")</f>
        <v>0.40140845070422532</v>
      </c>
      <c r="O1182" s="23">
        <v>0</v>
      </c>
      <c r="P1182" s="25">
        <v>0</v>
      </c>
      <c r="Q1182" s="24">
        <v>0</v>
      </c>
      <c r="R1182" s="24">
        <f>O1182-Q1182</f>
        <v>0</v>
      </c>
      <c r="S1182" s="53" t="str">
        <f>IF(O1182&lt;&gt;0,R1182/O1182,"")</f>
        <v/>
      </c>
      <c r="T1182" s="10"/>
      <c r="U1182" s="23">
        <v>204.62</v>
      </c>
      <c r="V1182" s="25">
        <v>144</v>
      </c>
      <c r="W1182" s="24">
        <v>122.41</v>
      </c>
      <c r="X1182" s="24">
        <f>U1182-W1182</f>
        <v>82.210000000000008</v>
      </c>
      <c r="Y1182" s="53">
        <f>IF(U1182&lt;&gt;0,X1182/U1182,"")</f>
        <v>0.40176913302707462</v>
      </c>
      <c r="Z1182" s="23">
        <v>0</v>
      </c>
      <c r="AA1182" s="25">
        <v>0</v>
      </c>
      <c r="AB1182" s="24">
        <v>0</v>
      </c>
      <c r="AC1182" s="24">
        <f t="shared" si="368"/>
        <v>0</v>
      </c>
      <c r="AD1182" s="53" t="str">
        <f t="shared" si="369"/>
        <v/>
      </c>
      <c r="AE1182" s="10"/>
    </row>
    <row r="1183" spans="1:31" x14ac:dyDescent="0.25">
      <c r="A1183" s="14" t="s">
        <v>109</v>
      </c>
      <c r="C1183" s="61" t="str">
        <f t="shared" si="367"/>
        <v>C100082</v>
      </c>
      <c r="F1183" s="8" t="str">
        <f>"S100012"</f>
        <v>S100012</v>
      </c>
      <c r="G1183" s="9" t="str">
        <f>"Raw-Edge Patch BALL CAP"</f>
        <v>Raw-Edge Patch BALL CAP</v>
      </c>
      <c r="H1183" s="47"/>
      <c r="I1183" s="47"/>
      <c r="J1183" s="23">
        <v>0</v>
      </c>
      <c r="K1183" s="25">
        <v>0</v>
      </c>
      <c r="L1183" s="24">
        <v>0</v>
      </c>
      <c r="M1183" s="24">
        <f>J1183-L1183</f>
        <v>0</v>
      </c>
      <c r="N1183" s="53" t="str">
        <f>IF(J1183&lt;&gt;0,M1183/J1183,"")</f>
        <v/>
      </c>
      <c r="O1183" s="23">
        <v>1471.8799999999999</v>
      </c>
      <c r="P1183" s="25">
        <v>144</v>
      </c>
      <c r="Q1183" s="24">
        <v>807.83999999999992</v>
      </c>
      <c r="R1183" s="24">
        <f>O1183-Q1183</f>
        <v>664.04</v>
      </c>
      <c r="S1183" s="53">
        <f>IF(O1183&lt;&gt;0,R1183/O1183,"")</f>
        <v>0.45115090904149796</v>
      </c>
      <c r="T1183" s="10"/>
      <c r="U1183" s="23">
        <v>0</v>
      </c>
      <c r="V1183" s="25">
        <v>0</v>
      </c>
      <c r="W1183" s="24">
        <v>0</v>
      </c>
      <c r="X1183" s="24">
        <f>U1183-W1183</f>
        <v>0</v>
      </c>
      <c r="Y1183" s="53" t="str">
        <f>IF(U1183&lt;&gt;0,X1183/U1183,"")</f>
        <v/>
      </c>
      <c r="Z1183" s="23">
        <v>0</v>
      </c>
      <c r="AA1183" s="25">
        <v>0</v>
      </c>
      <c r="AB1183" s="24">
        <v>0</v>
      </c>
      <c r="AC1183" s="24">
        <f t="shared" si="368"/>
        <v>0</v>
      </c>
      <c r="AD1183" s="53" t="str">
        <f t="shared" si="369"/>
        <v/>
      </c>
      <c r="AE1183" s="10"/>
    </row>
    <row r="1184" spans="1:31" x14ac:dyDescent="0.25">
      <c r="A1184" s="14" t="s">
        <v>109</v>
      </c>
      <c r="C1184" s="61" t="str">
        <f t="shared" si="367"/>
        <v>C100082</v>
      </c>
      <c r="F1184" s="8" t="str">
        <f>"S100013"</f>
        <v>S100013</v>
      </c>
      <c r="G1184" s="9" t="str">
        <f>"Mesh BALL CAP"</f>
        <v>Mesh BALL CAP</v>
      </c>
      <c r="H1184" s="47"/>
      <c r="I1184" s="47"/>
      <c r="J1184" s="23">
        <v>1901.59</v>
      </c>
      <c r="K1184" s="25">
        <v>294</v>
      </c>
      <c r="L1184" s="24">
        <v>1011.3899999999999</v>
      </c>
      <c r="M1184" s="24">
        <f>J1184-L1184</f>
        <v>890.2</v>
      </c>
      <c r="N1184" s="53">
        <f>IF(J1184&lt;&gt;0,M1184/J1184,"")</f>
        <v>0.46813456107783491</v>
      </c>
      <c r="O1184" s="23">
        <v>0</v>
      </c>
      <c r="P1184" s="25">
        <v>0</v>
      </c>
      <c r="Q1184" s="24">
        <v>0</v>
      </c>
      <c r="R1184" s="24">
        <f>O1184-Q1184</f>
        <v>0</v>
      </c>
      <c r="S1184" s="53" t="str">
        <f>IF(O1184&lt;&gt;0,R1184/O1184,"")</f>
        <v/>
      </c>
      <c r="T1184" s="10"/>
      <c r="U1184" s="23">
        <v>0</v>
      </c>
      <c r="V1184" s="25">
        <v>0</v>
      </c>
      <c r="W1184" s="24">
        <v>0</v>
      </c>
      <c r="X1184" s="24">
        <f>U1184-W1184</f>
        <v>0</v>
      </c>
      <c r="Y1184" s="53" t="str">
        <f>IF(U1184&lt;&gt;0,X1184/U1184,"")</f>
        <v/>
      </c>
      <c r="Z1184" s="23">
        <v>0</v>
      </c>
      <c r="AA1184" s="25">
        <v>0</v>
      </c>
      <c r="AB1184" s="24">
        <v>0</v>
      </c>
      <c r="AC1184" s="24">
        <f t="shared" si="368"/>
        <v>0</v>
      </c>
      <c r="AD1184" s="53" t="str">
        <f t="shared" si="369"/>
        <v/>
      </c>
      <c r="AE1184" s="10"/>
    </row>
    <row r="1185" spans="1:31" x14ac:dyDescent="0.25">
      <c r="A1185" s="14" t="s">
        <v>109</v>
      </c>
      <c r="C1185" s="61" t="str">
        <f t="shared" si="367"/>
        <v>C100082</v>
      </c>
      <c r="F1185" s="8" t="str">
        <f>"S100014"</f>
        <v>S100014</v>
      </c>
      <c r="G1185" s="9" t="str">
        <f>"Chunky Knit Hat"</f>
        <v>Chunky Knit Hat</v>
      </c>
      <c r="H1185" s="47"/>
      <c r="I1185" s="47"/>
      <c r="J1185" s="23">
        <v>1382.98</v>
      </c>
      <c r="K1185" s="25">
        <v>144</v>
      </c>
      <c r="L1185" s="24">
        <v>743.03</v>
      </c>
      <c r="M1185" s="24">
        <f>J1185-L1185</f>
        <v>639.95000000000005</v>
      </c>
      <c r="N1185" s="53">
        <f>IF(J1185&lt;&gt;0,M1185/J1185,"")</f>
        <v>0.46273264978524636</v>
      </c>
      <c r="O1185" s="23">
        <v>0</v>
      </c>
      <c r="P1185" s="25">
        <v>0</v>
      </c>
      <c r="Q1185" s="24">
        <v>0</v>
      </c>
      <c r="R1185" s="24">
        <f>O1185-Q1185</f>
        <v>0</v>
      </c>
      <c r="S1185" s="53" t="str">
        <f>IF(O1185&lt;&gt;0,R1185/O1185,"")</f>
        <v/>
      </c>
      <c r="T1185" s="10"/>
      <c r="U1185" s="23">
        <v>1382.98</v>
      </c>
      <c r="V1185" s="25">
        <v>144</v>
      </c>
      <c r="W1185" s="24">
        <v>743.03</v>
      </c>
      <c r="X1185" s="24">
        <f>U1185-W1185</f>
        <v>639.95000000000005</v>
      </c>
      <c r="Y1185" s="53">
        <f>IF(U1185&lt;&gt;0,X1185/U1185,"")</f>
        <v>0.46273264978524636</v>
      </c>
      <c r="Z1185" s="23">
        <v>0</v>
      </c>
      <c r="AA1185" s="25">
        <v>0</v>
      </c>
      <c r="AB1185" s="24">
        <v>0</v>
      </c>
      <c r="AC1185" s="24">
        <f t="shared" si="368"/>
        <v>0</v>
      </c>
      <c r="AD1185" s="53" t="str">
        <f t="shared" si="369"/>
        <v/>
      </c>
      <c r="AE1185" s="10"/>
    </row>
    <row r="1186" spans="1:31" x14ac:dyDescent="0.25">
      <c r="A1186" s="14" t="s">
        <v>109</v>
      </c>
      <c r="C1186" s="61" t="str">
        <f t="shared" si="367"/>
        <v>C100082</v>
      </c>
      <c r="F1186" s="8" t="str">
        <f>"S100015"</f>
        <v>S100015</v>
      </c>
      <c r="G1186" s="9" t="str">
        <f>"Raw-Edge Bucket Hat"</f>
        <v>Raw-Edge Bucket Hat</v>
      </c>
      <c r="H1186" s="47"/>
      <c r="I1186" s="47"/>
      <c r="J1186" s="23">
        <v>1042.8800000000001</v>
      </c>
      <c r="K1186" s="25">
        <v>144</v>
      </c>
      <c r="L1186" s="24">
        <v>524.17000000000007</v>
      </c>
      <c r="M1186" s="24">
        <f>J1186-L1186</f>
        <v>518.71</v>
      </c>
      <c r="N1186" s="53">
        <f>IF(J1186&lt;&gt;0,M1186/J1186,"")</f>
        <v>0.49738224915618284</v>
      </c>
      <c r="O1186" s="23">
        <v>0</v>
      </c>
      <c r="P1186" s="25">
        <v>0</v>
      </c>
      <c r="Q1186" s="24">
        <v>0</v>
      </c>
      <c r="R1186" s="24">
        <f>O1186-Q1186</f>
        <v>0</v>
      </c>
      <c r="S1186" s="53" t="str">
        <f>IF(O1186&lt;&gt;0,R1186/O1186,"")</f>
        <v/>
      </c>
      <c r="T1186" s="10"/>
      <c r="U1186" s="23">
        <v>0</v>
      </c>
      <c r="V1186" s="25">
        <v>0</v>
      </c>
      <c r="W1186" s="24">
        <v>0</v>
      </c>
      <c r="X1186" s="24">
        <f>U1186-W1186</f>
        <v>0</v>
      </c>
      <c r="Y1186" s="53" t="str">
        <f>IF(U1186&lt;&gt;0,X1186/U1186,"")</f>
        <v/>
      </c>
      <c r="Z1186" s="23">
        <v>1042.8800000000001</v>
      </c>
      <c r="AA1186" s="25">
        <v>144</v>
      </c>
      <c r="AB1186" s="24">
        <v>524.17000000000007</v>
      </c>
      <c r="AC1186" s="24">
        <f t="shared" si="368"/>
        <v>518.71</v>
      </c>
      <c r="AD1186" s="53">
        <f t="shared" si="369"/>
        <v>0.49738224915618284</v>
      </c>
      <c r="AE1186" s="10"/>
    </row>
    <row r="1187" spans="1:31" x14ac:dyDescent="0.25">
      <c r="A1187" s="14" t="s">
        <v>109</v>
      </c>
      <c r="C1187" s="61" t="str">
        <f t="shared" si="367"/>
        <v>C100082</v>
      </c>
      <c r="F1187" s="8" t="str">
        <f>"S100018"</f>
        <v>S100018</v>
      </c>
      <c r="G1187" s="9" t="str">
        <f>"Crusher Bucket Hat"</f>
        <v>Crusher Bucket Hat</v>
      </c>
      <c r="H1187" s="47"/>
      <c r="I1187" s="47"/>
      <c r="J1187" s="23">
        <v>0</v>
      </c>
      <c r="K1187" s="25">
        <v>0</v>
      </c>
      <c r="L1187" s="24">
        <v>0</v>
      </c>
      <c r="M1187" s="24">
        <f>J1187-L1187</f>
        <v>0</v>
      </c>
      <c r="N1187" s="53" t="str">
        <f>IF(J1187&lt;&gt;0,M1187/J1187,"")</f>
        <v/>
      </c>
      <c r="O1187" s="23">
        <v>1047.1100000000001</v>
      </c>
      <c r="P1187" s="25">
        <v>144</v>
      </c>
      <c r="Q1187" s="24">
        <v>504</v>
      </c>
      <c r="R1187" s="24">
        <f>O1187-Q1187</f>
        <v>543.11000000000013</v>
      </c>
      <c r="S1187" s="53">
        <f>IF(O1187&lt;&gt;0,R1187/O1187,"")</f>
        <v>0.51867521081834767</v>
      </c>
      <c r="T1187" s="10"/>
      <c r="U1187" s="23">
        <v>1047.1100000000001</v>
      </c>
      <c r="V1187" s="25">
        <v>144</v>
      </c>
      <c r="W1187" s="24">
        <v>504</v>
      </c>
      <c r="X1187" s="24">
        <f>U1187-W1187</f>
        <v>543.11000000000013</v>
      </c>
      <c r="Y1187" s="53">
        <f>IF(U1187&lt;&gt;0,X1187/U1187,"")</f>
        <v>0.51867521081834767</v>
      </c>
      <c r="Z1187" s="23">
        <v>0</v>
      </c>
      <c r="AA1187" s="25">
        <v>0</v>
      </c>
      <c r="AB1187" s="24">
        <v>0</v>
      </c>
      <c r="AC1187" s="24">
        <f t="shared" si="368"/>
        <v>0</v>
      </c>
      <c r="AD1187" s="53" t="str">
        <f t="shared" si="369"/>
        <v/>
      </c>
      <c r="AE1187" s="10"/>
    </row>
    <row r="1188" spans="1:31" x14ac:dyDescent="0.25">
      <c r="A1188" s="14" t="s">
        <v>109</v>
      </c>
      <c r="C1188" s="61" t="str">
        <f t="shared" si="367"/>
        <v>C100082</v>
      </c>
      <c r="F1188" s="8" t="str">
        <f>"S100019"</f>
        <v>S100019</v>
      </c>
      <c r="G1188" s="9" t="str">
        <f>"Sportsman Bucket Hat"</f>
        <v>Sportsman Bucket Hat</v>
      </c>
      <c r="H1188" s="47"/>
      <c r="I1188" s="47"/>
      <c r="J1188" s="23">
        <v>647.74</v>
      </c>
      <c r="K1188" s="25">
        <v>144</v>
      </c>
      <c r="L1188" s="24">
        <v>349.93</v>
      </c>
      <c r="M1188" s="24">
        <f>J1188-L1188</f>
        <v>297.81</v>
      </c>
      <c r="N1188" s="53">
        <f>IF(J1188&lt;&gt;0,M1188/J1188,"")</f>
        <v>0.45976780807113965</v>
      </c>
      <c r="O1188" s="23">
        <v>593.76</v>
      </c>
      <c r="P1188" s="25">
        <v>132</v>
      </c>
      <c r="Q1188" s="24">
        <v>320.77</v>
      </c>
      <c r="R1188" s="24">
        <f>O1188-Q1188</f>
        <v>272.99</v>
      </c>
      <c r="S1188" s="53">
        <f>IF(O1188&lt;&gt;0,R1188/O1188,"")</f>
        <v>0.45976488817030453</v>
      </c>
      <c r="T1188" s="10"/>
      <c r="U1188" s="23">
        <v>1304.48</v>
      </c>
      <c r="V1188" s="25">
        <v>290</v>
      </c>
      <c r="W1188" s="24">
        <v>704.72</v>
      </c>
      <c r="X1188" s="24">
        <f>U1188-W1188</f>
        <v>599.76</v>
      </c>
      <c r="Y1188" s="53">
        <f>IF(U1188&lt;&gt;0,X1188/U1188,"")</f>
        <v>0.45976941003311661</v>
      </c>
      <c r="Z1188" s="23">
        <v>0</v>
      </c>
      <c r="AA1188" s="25">
        <v>0</v>
      </c>
      <c r="AB1188" s="24">
        <v>0</v>
      </c>
      <c r="AC1188" s="24">
        <f t="shared" si="368"/>
        <v>0</v>
      </c>
      <c r="AD1188" s="53" t="str">
        <f t="shared" si="369"/>
        <v/>
      </c>
      <c r="AE1188" s="10"/>
    </row>
    <row r="1189" spans="1:31" x14ac:dyDescent="0.25">
      <c r="A1189" s="14" t="s">
        <v>109</v>
      </c>
      <c r="C1189" s="61" t="str">
        <f t="shared" si="367"/>
        <v>C100082</v>
      </c>
      <c r="F1189" s="8" t="str">
        <f>"S100020"</f>
        <v>S100020</v>
      </c>
      <c r="G1189" s="9" t="str">
        <f>"Super Sport Stopwatch"</f>
        <v>Super Sport Stopwatch</v>
      </c>
      <c r="H1189" s="47"/>
      <c r="I1189" s="47"/>
      <c r="J1189" s="23">
        <v>2.14</v>
      </c>
      <c r="K1189" s="25">
        <v>1</v>
      </c>
      <c r="L1189" s="24">
        <v>1.05</v>
      </c>
      <c r="M1189" s="24">
        <f>J1189-L1189</f>
        <v>1.0900000000000001</v>
      </c>
      <c r="N1189" s="53">
        <f>IF(J1189&lt;&gt;0,M1189/J1189,"")</f>
        <v>0.50934579439252337</v>
      </c>
      <c r="O1189" s="23">
        <v>0</v>
      </c>
      <c r="P1189" s="25">
        <v>0</v>
      </c>
      <c r="Q1189" s="24">
        <v>0</v>
      </c>
      <c r="R1189" s="24">
        <f>O1189-Q1189</f>
        <v>0</v>
      </c>
      <c r="S1189" s="53" t="str">
        <f>IF(O1189&lt;&gt;0,R1189/O1189,"")</f>
        <v/>
      </c>
      <c r="T1189" s="10"/>
      <c r="U1189" s="23">
        <v>0</v>
      </c>
      <c r="V1189" s="25">
        <v>0</v>
      </c>
      <c r="W1189" s="24">
        <v>0</v>
      </c>
      <c r="X1189" s="24">
        <f>U1189-W1189</f>
        <v>0</v>
      </c>
      <c r="Y1189" s="53" t="str">
        <f>IF(U1189&lt;&gt;0,X1189/U1189,"")</f>
        <v/>
      </c>
      <c r="Z1189" s="23">
        <v>0</v>
      </c>
      <c r="AA1189" s="25">
        <v>0</v>
      </c>
      <c r="AB1189" s="24">
        <v>0</v>
      </c>
      <c r="AC1189" s="24">
        <f t="shared" si="368"/>
        <v>0</v>
      </c>
      <c r="AD1189" s="53" t="str">
        <f t="shared" si="369"/>
        <v/>
      </c>
      <c r="AE1189" s="10"/>
    </row>
    <row r="1190" spans="1:31" x14ac:dyDescent="0.25">
      <c r="A1190" s="14" t="s">
        <v>109</v>
      </c>
      <c r="C1190" s="61" t="str">
        <f t="shared" si="367"/>
        <v>C100082</v>
      </c>
      <c r="F1190" s="8" t="str">
        <f>"S100021"</f>
        <v>S100021</v>
      </c>
      <c r="G1190" s="9" t="str">
        <f>"Translucent Stopwatch"</f>
        <v>Translucent Stopwatch</v>
      </c>
      <c r="H1190" s="47"/>
      <c r="I1190" s="47"/>
      <c r="J1190" s="23">
        <v>0</v>
      </c>
      <c r="K1190" s="25">
        <v>0</v>
      </c>
      <c r="L1190" s="24">
        <v>0</v>
      </c>
      <c r="M1190" s="24">
        <f>J1190-L1190</f>
        <v>0</v>
      </c>
      <c r="N1190" s="53" t="str">
        <f>IF(J1190&lt;&gt;0,M1190/J1190,"")</f>
        <v/>
      </c>
      <c r="O1190" s="23">
        <v>4.07</v>
      </c>
      <c r="P1190" s="25">
        <v>1</v>
      </c>
      <c r="Q1190" s="24">
        <v>2.15</v>
      </c>
      <c r="R1190" s="24">
        <f>O1190-Q1190</f>
        <v>1.9200000000000004</v>
      </c>
      <c r="S1190" s="53">
        <f>IF(O1190&lt;&gt;0,R1190/O1190,"")</f>
        <v>0.47174447174447182</v>
      </c>
      <c r="T1190" s="10"/>
      <c r="U1190" s="23">
        <v>512.43999999999994</v>
      </c>
      <c r="V1190" s="25">
        <v>126</v>
      </c>
      <c r="W1190" s="24">
        <v>270.89000000000004</v>
      </c>
      <c r="X1190" s="24">
        <f>U1190-W1190</f>
        <v>241.5499999999999</v>
      </c>
      <c r="Y1190" s="53">
        <f>IF(U1190&lt;&gt;0,X1190/U1190,"")</f>
        <v>0.47137225821559581</v>
      </c>
      <c r="Z1190" s="23">
        <v>610.04999999999995</v>
      </c>
      <c r="AA1190" s="25">
        <v>150</v>
      </c>
      <c r="AB1190" s="24">
        <v>322.49</v>
      </c>
      <c r="AC1190" s="24">
        <f t="shared" si="368"/>
        <v>287.55999999999995</v>
      </c>
      <c r="AD1190" s="53">
        <f t="shared" si="369"/>
        <v>0.47137119908204239</v>
      </c>
      <c r="AE1190" s="10"/>
    </row>
    <row r="1191" spans="1:31" ht="15.75" thickBot="1" x14ac:dyDescent="0.3">
      <c r="A1191" s="14" t="s">
        <v>109</v>
      </c>
      <c r="C1191" s="61" t="str">
        <f>C1155</f>
        <v>C100082</v>
      </c>
      <c r="J1191" s="10"/>
      <c r="K1191" s="11"/>
      <c r="L1191" s="11"/>
      <c r="M1191" s="11"/>
      <c r="N1191" s="12"/>
      <c r="O1191" s="10"/>
      <c r="P1191" s="11"/>
      <c r="Q1191" s="11"/>
      <c r="R1191" s="11"/>
      <c r="S1191" s="12"/>
      <c r="U1191" s="10"/>
      <c r="V1191" s="11"/>
      <c r="W1191" s="11"/>
      <c r="X1191" s="11"/>
      <c r="Y1191" s="12"/>
      <c r="Z1191" s="10"/>
      <c r="AA1191" s="11"/>
      <c r="AB1191" s="11"/>
      <c r="AC1191" s="11"/>
      <c r="AD1191" s="12"/>
    </row>
    <row r="1192" spans="1:31" ht="15.75" thickBot="1" x14ac:dyDescent="0.3">
      <c r="A1192" s="14" t="s">
        <v>109</v>
      </c>
      <c r="C1192" s="61" t="str">
        <f t="shared" si="364"/>
        <v>C100082</v>
      </c>
      <c r="G1192" s="48" t="str">
        <f>C1192&amp;" TOTAL:"</f>
        <v>C100082 TOTAL:</v>
      </c>
      <c r="H1192" s="50"/>
      <c r="I1192" s="50"/>
      <c r="J1192" s="34">
        <f>SUBTOTAL(9,J1154:J1191)</f>
        <v>40368.300000000003</v>
      </c>
      <c r="K1192" s="35">
        <f>SUBTOTAL(9,K1154:K1191)</f>
        <v>2827</v>
      </c>
      <c r="L1192" s="36">
        <f>SUBTOTAL(9,L1154:L1191)</f>
        <v>21378.949999999993</v>
      </c>
      <c r="M1192" s="36">
        <f>J1192-L1192</f>
        <v>18989.350000000009</v>
      </c>
      <c r="N1192" s="37">
        <f>IF(J1192&lt;&gt;0,M1192/J1192,"")</f>
        <v>0.47040251880807488</v>
      </c>
      <c r="O1192" s="34">
        <f>SUBTOTAL(9,O1154:O1191)</f>
        <v>30416.349999999995</v>
      </c>
      <c r="P1192" s="35">
        <f>SUBTOTAL(9,P1154:P1191)</f>
        <v>2723</v>
      </c>
      <c r="Q1192" s="36">
        <f>SUBTOTAL(9,Q1154:Q1191)</f>
        <v>16201.970000000001</v>
      </c>
      <c r="R1192" s="36">
        <f>O1192-Q1192</f>
        <v>14214.379999999994</v>
      </c>
      <c r="S1192" s="37">
        <f>IF(O1192&lt;&gt;0,R1192/O1192,"")</f>
        <v>0.46732694751342602</v>
      </c>
      <c r="U1192" s="34">
        <f>SUBTOTAL(9,U1154:U1191)</f>
        <v>40979.160000000011</v>
      </c>
      <c r="V1192" s="35">
        <f>SUBTOTAL(9,V1154:V1191)</f>
        <v>3475</v>
      </c>
      <c r="W1192" s="36">
        <f>SUBTOTAL(9,W1154:W1191)</f>
        <v>22684.080000000002</v>
      </c>
      <c r="X1192" s="36">
        <f>U1192-W1192</f>
        <v>18295.080000000009</v>
      </c>
      <c r="Y1192" s="37">
        <f>IF(U1192&lt;&gt;0,X1192/U1192,"")</f>
        <v>0.44644838986450686</v>
      </c>
      <c r="Z1192" s="34">
        <f>SUBTOTAL(9,Z1154:Z1191)</f>
        <v>11644.669999999998</v>
      </c>
      <c r="AA1192" s="35">
        <f>SUBTOTAL(9,AA1154:AA1191)</f>
        <v>1076</v>
      </c>
      <c r="AB1192" s="36">
        <f>SUBTOTAL(9,AB1154:AB1191)</f>
        <v>6627.6500000000005</v>
      </c>
      <c r="AC1192" s="36">
        <f t="shared" ref="AC1192" si="370">Z1192-AB1192</f>
        <v>5017.0199999999977</v>
      </c>
      <c r="AD1192" s="37">
        <f t="shared" ref="AD1192" si="371">IF(Z1192&lt;&gt;0,AC1192/Z1192,"")</f>
        <v>0.43084260867847679</v>
      </c>
    </row>
    <row r="1193" spans="1:31" x14ac:dyDescent="0.25">
      <c r="A1193" s="14" t="s">
        <v>109</v>
      </c>
      <c r="C1193" s="66"/>
      <c r="J1193" s="10"/>
      <c r="K1193" s="11"/>
      <c r="L1193" s="11"/>
      <c r="M1193" s="11"/>
      <c r="N1193" s="12"/>
      <c r="O1193" s="10"/>
      <c r="P1193" s="11"/>
      <c r="Q1193" s="11"/>
      <c r="R1193" s="11"/>
      <c r="S1193" s="12"/>
      <c r="U1193" s="10"/>
      <c r="V1193" s="11"/>
      <c r="W1193" s="11"/>
      <c r="X1193" s="11"/>
      <c r="Y1193" s="12"/>
      <c r="Z1193" s="10"/>
      <c r="AA1193" s="11"/>
      <c r="AB1193" s="11"/>
      <c r="AC1193" s="11"/>
      <c r="AD1193" s="12"/>
    </row>
    <row r="1194" spans="1:31" ht="15.75" x14ac:dyDescent="0.25">
      <c r="A1194" s="14" t="s">
        <v>109</v>
      </c>
      <c r="C1194" s="66" t="str">
        <f t="shared" ref="C1194" si="372">E1194</f>
        <v>C100083</v>
      </c>
      <c r="E1194" s="13" t="str">
        <f>"C100083"</f>
        <v>C100083</v>
      </c>
      <c r="F1194" s="13"/>
      <c r="G1194" s="13" t="str">
        <f>"Stanfords"</f>
        <v>Stanfords</v>
      </c>
      <c r="H1194" s="13"/>
      <c r="I1194" s="13"/>
      <c r="J1194" s="10"/>
      <c r="K1194" s="11"/>
      <c r="L1194" s="11"/>
      <c r="M1194" s="11"/>
      <c r="N1194" s="12"/>
      <c r="O1194" s="10"/>
      <c r="P1194" s="11"/>
      <c r="Q1194" s="11"/>
      <c r="R1194" s="11"/>
      <c r="S1194" s="12"/>
      <c r="U1194" s="10"/>
      <c r="V1194" s="11"/>
      <c r="W1194" s="11"/>
      <c r="X1194" s="11"/>
      <c r="Y1194" s="12"/>
      <c r="Z1194" s="10"/>
      <c r="AA1194" s="11"/>
      <c r="AB1194" s="11"/>
      <c r="AC1194" s="11"/>
      <c r="AD1194" s="12"/>
    </row>
    <row r="1195" spans="1:31" ht="6.6" customHeight="1" x14ac:dyDescent="0.25">
      <c r="A1195" s="14" t="s">
        <v>109</v>
      </c>
      <c r="C1195" s="61" t="str">
        <f t="shared" ref="C1195:C1228" si="373">C1194</f>
        <v>C100083</v>
      </c>
      <c r="J1195" s="10"/>
      <c r="K1195" s="11"/>
      <c r="L1195" s="11"/>
      <c r="M1195" s="11"/>
      <c r="N1195" s="12"/>
      <c r="O1195" s="10"/>
      <c r="P1195" s="11"/>
      <c r="Q1195" s="11"/>
      <c r="R1195" s="11"/>
      <c r="S1195" s="12"/>
      <c r="U1195" s="10"/>
      <c r="V1195" s="11"/>
      <c r="W1195" s="11"/>
      <c r="X1195" s="11"/>
      <c r="Y1195" s="12"/>
      <c r="Z1195" s="10"/>
      <c r="AA1195" s="11"/>
      <c r="AB1195" s="11"/>
      <c r="AC1195" s="11"/>
      <c r="AD1195" s="12"/>
    </row>
    <row r="1196" spans="1:31" x14ac:dyDescent="0.25">
      <c r="A1196" s="14" t="s">
        <v>109</v>
      </c>
      <c r="C1196" s="61" t="str">
        <f t="shared" si="373"/>
        <v>C100083</v>
      </c>
      <c r="F1196" s="8" t="str">
        <f>"C100002"</f>
        <v>C100002</v>
      </c>
      <c r="G1196" s="9" t="str">
        <f>"Border Style"</f>
        <v>Border Style</v>
      </c>
      <c r="H1196" s="47"/>
      <c r="I1196" s="47"/>
      <c r="J1196" s="23">
        <v>0</v>
      </c>
      <c r="K1196" s="25">
        <v>0</v>
      </c>
      <c r="L1196" s="24">
        <v>0</v>
      </c>
      <c r="M1196" s="24">
        <f>J1196-L1196</f>
        <v>0</v>
      </c>
      <c r="N1196" s="53" t="str">
        <f>IF(J1196&lt;&gt;0,M1196/J1196,"")</f>
        <v/>
      </c>
      <c r="O1196" s="23">
        <v>1340.3</v>
      </c>
      <c r="P1196" s="25">
        <v>25</v>
      </c>
      <c r="Q1196" s="24">
        <v>798.75</v>
      </c>
      <c r="R1196" s="24">
        <f>O1196-Q1196</f>
        <v>541.54999999999995</v>
      </c>
      <c r="S1196" s="53">
        <f>IF(O1196&lt;&gt;0,R1196/O1196,"")</f>
        <v>0.40405133179138997</v>
      </c>
      <c r="T1196" s="10"/>
      <c r="U1196" s="23">
        <v>704.14</v>
      </c>
      <c r="V1196" s="25">
        <v>13</v>
      </c>
      <c r="W1196" s="24">
        <v>415.34999999999997</v>
      </c>
      <c r="X1196" s="24">
        <f>U1196-W1196</f>
        <v>288.79000000000002</v>
      </c>
      <c r="Y1196" s="53">
        <f>IF(U1196&lt;&gt;0,X1196/U1196,"")</f>
        <v>0.41013150793876224</v>
      </c>
      <c r="Z1196" s="23">
        <v>0</v>
      </c>
      <c r="AA1196" s="25">
        <v>0</v>
      </c>
      <c r="AB1196" s="24">
        <v>0</v>
      </c>
      <c r="AC1196" s="24">
        <f t="shared" ref="AC1196" si="374">Z1196-AB1196</f>
        <v>0</v>
      </c>
      <c r="AD1196" s="53" t="str">
        <f t="shared" ref="AD1196" si="375">IF(Z1196&lt;&gt;0,AC1196/Z1196,"")</f>
        <v/>
      </c>
      <c r="AE1196" s="10"/>
    </row>
    <row r="1197" spans="1:31" x14ac:dyDescent="0.25">
      <c r="A1197" s="14" t="s">
        <v>109</v>
      </c>
      <c r="C1197" s="61" t="str">
        <f t="shared" ref="C1197:C1226" si="376">C1196</f>
        <v>C100083</v>
      </c>
      <c r="F1197" s="8" t="str">
        <f>"C100003"</f>
        <v>C100003</v>
      </c>
      <c r="G1197" s="9" t="str">
        <f>"Cherry Finish Frame"</f>
        <v>Cherry Finish Frame</v>
      </c>
      <c r="H1197" s="47"/>
      <c r="I1197" s="47"/>
      <c r="J1197" s="23">
        <v>0</v>
      </c>
      <c r="K1197" s="25">
        <v>0</v>
      </c>
      <c r="L1197" s="24">
        <v>0</v>
      </c>
      <c r="M1197" s="24">
        <f>J1197-L1197</f>
        <v>0</v>
      </c>
      <c r="N1197" s="53" t="str">
        <f>IF(J1197&lt;&gt;0,M1197/J1197,"")</f>
        <v/>
      </c>
      <c r="O1197" s="23">
        <v>3193.5499999999997</v>
      </c>
      <c r="P1197" s="25">
        <v>48</v>
      </c>
      <c r="Q1197" s="24">
        <v>1566.72</v>
      </c>
      <c r="R1197" s="24">
        <f>O1197-Q1197</f>
        <v>1626.8299999999997</v>
      </c>
      <c r="S1197" s="53">
        <f>IF(O1197&lt;&gt;0,R1197/O1197,"")</f>
        <v>0.50941115686305205</v>
      </c>
      <c r="T1197" s="10"/>
      <c r="U1197" s="23">
        <v>64.5</v>
      </c>
      <c r="V1197" s="25">
        <v>1</v>
      </c>
      <c r="W1197" s="24">
        <v>32.64</v>
      </c>
      <c r="X1197" s="24">
        <f>U1197-W1197</f>
        <v>31.86</v>
      </c>
      <c r="Y1197" s="53">
        <f>IF(U1197&lt;&gt;0,X1197/U1197,"")</f>
        <v>0.49395348837209302</v>
      </c>
      <c r="Z1197" s="23">
        <v>3193.5499999999997</v>
      </c>
      <c r="AA1197" s="25">
        <v>48</v>
      </c>
      <c r="AB1197" s="24">
        <v>1566.72</v>
      </c>
      <c r="AC1197" s="24">
        <f t="shared" ref="AC1197:AC1226" si="377">Z1197-AB1197</f>
        <v>1626.8299999999997</v>
      </c>
      <c r="AD1197" s="53">
        <f t="shared" ref="AD1197:AD1226" si="378">IF(Z1197&lt;&gt;0,AC1197/Z1197,"")</f>
        <v>0.50941115686305205</v>
      </c>
      <c r="AE1197" s="10"/>
    </row>
    <row r="1198" spans="1:31" x14ac:dyDescent="0.25">
      <c r="A1198" s="14" t="s">
        <v>109</v>
      </c>
      <c r="C1198" s="61" t="str">
        <f t="shared" si="376"/>
        <v>C100083</v>
      </c>
      <c r="F1198" s="8" t="str">
        <f>"C100004"</f>
        <v>C100004</v>
      </c>
      <c r="G1198" s="9" t="str">
        <f>"Walnut Medallian Plate"</f>
        <v>Walnut Medallian Plate</v>
      </c>
      <c r="H1198" s="47"/>
      <c r="I1198" s="47"/>
      <c r="J1198" s="23">
        <v>8120.45</v>
      </c>
      <c r="K1198" s="25">
        <v>144</v>
      </c>
      <c r="L1198" s="24">
        <v>4406.3899999999994</v>
      </c>
      <c r="M1198" s="24">
        <f>J1198-L1198</f>
        <v>3714.0600000000004</v>
      </c>
      <c r="N1198" s="53">
        <f>IF(J1198&lt;&gt;0,M1198/J1198,"")</f>
        <v>0.45737120479776372</v>
      </c>
      <c r="O1198" s="23">
        <v>8291.4</v>
      </c>
      <c r="P1198" s="25">
        <v>144</v>
      </c>
      <c r="Q1198" s="24">
        <v>4406.3899999999994</v>
      </c>
      <c r="R1198" s="24">
        <f>O1198-Q1198</f>
        <v>3885.01</v>
      </c>
      <c r="S1198" s="53">
        <f>IF(O1198&lt;&gt;0,R1198/O1198,"")</f>
        <v>0.46855898883180169</v>
      </c>
      <c r="T1198" s="10"/>
      <c r="U1198" s="23">
        <v>0</v>
      </c>
      <c r="V1198" s="25">
        <v>0</v>
      </c>
      <c r="W1198" s="24">
        <v>0</v>
      </c>
      <c r="X1198" s="24">
        <f>U1198-W1198</f>
        <v>0</v>
      </c>
      <c r="Y1198" s="53" t="str">
        <f>IF(U1198&lt;&gt;0,X1198/U1198,"")</f>
        <v/>
      </c>
      <c r="Z1198" s="23">
        <v>0</v>
      </c>
      <c r="AA1198" s="25">
        <v>0</v>
      </c>
      <c r="AB1198" s="24">
        <v>0</v>
      </c>
      <c r="AC1198" s="24">
        <f t="shared" si="377"/>
        <v>0</v>
      </c>
      <c r="AD1198" s="53" t="str">
        <f t="shared" si="378"/>
        <v/>
      </c>
      <c r="AE1198" s="10"/>
    </row>
    <row r="1199" spans="1:31" x14ac:dyDescent="0.25">
      <c r="A1199" s="14" t="s">
        <v>109</v>
      </c>
      <c r="C1199" s="61" t="str">
        <f t="shared" si="376"/>
        <v>C100083</v>
      </c>
      <c r="F1199" s="8" t="str">
        <f>"C100005"</f>
        <v>C100005</v>
      </c>
      <c r="G1199" s="9" t="str">
        <f>"Cherry Finished Crystal Award"</f>
        <v>Cherry Finished Crystal Award</v>
      </c>
      <c r="H1199" s="47"/>
      <c r="I1199" s="47"/>
      <c r="J1199" s="23">
        <v>6472.77</v>
      </c>
      <c r="K1199" s="25">
        <v>48</v>
      </c>
      <c r="L1199" s="24">
        <v>3404.64</v>
      </c>
      <c r="M1199" s="24">
        <f>J1199-L1199</f>
        <v>3068.1300000000006</v>
      </c>
      <c r="N1199" s="53">
        <f>IF(J1199&lt;&gt;0,M1199/J1199,"")</f>
        <v>0.47400571934426844</v>
      </c>
      <c r="O1199" s="23">
        <v>6472.77</v>
      </c>
      <c r="P1199" s="25">
        <v>48</v>
      </c>
      <c r="Q1199" s="24">
        <v>3404.64</v>
      </c>
      <c r="R1199" s="24">
        <f>O1199-Q1199</f>
        <v>3068.1300000000006</v>
      </c>
      <c r="S1199" s="53">
        <f>IF(O1199&lt;&gt;0,R1199/O1199,"")</f>
        <v>0.47400571934426844</v>
      </c>
      <c r="T1199" s="10"/>
      <c r="U1199" s="23">
        <v>0</v>
      </c>
      <c r="V1199" s="25">
        <v>0</v>
      </c>
      <c r="W1199" s="24">
        <v>0</v>
      </c>
      <c r="X1199" s="24">
        <f>U1199-W1199</f>
        <v>0</v>
      </c>
      <c r="Y1199" s="53" t="str">
        <f>IF(U1199&lt;&gt;0,X1199/U1199,"")</f>
        <v/>
      </c>
      <c r="Z1199" s="23">
        <v>136.24</v>
      </c>
      <c r="AA1199" s="25">
        <v>1</v>
      </c>
      <c r="AB1199" s="24">
        <v>70.929999999999993</v>
      </c>
      <c r="AC1199" s="24">
        <f t="shared" si="377"/>
        <v>65.310000000000016</v>
      </c>
      <c r="AD1199" s="53">
        <f t="shared" si="378"/>
        <v>0.4793746330005873</v>
      </c>
      <c r="AE1199" s="10"/>
    </row>
    <row r="1200" spans="1:31" x14ac:dyDescent="0.25">
      <c r="A1200" s="14" t="s">
        <v>109</v>
      </c>
      <c r="C1200" s="61" t="str">
        <f t="shared" si="376"/>
        <v>C100083</v>
      </c>
      <c r="F1200" s="8" t="str">
        <f>"C100007"</f>
        <v>C100007</v>
      </c>
      <c r="G1200" s="9" t="str">
        <f>"7.5'' Bud Vase"</f>
        <v>7.5'' Bud Vase</v>
      </c>
      <c r="H1200" s="47"/>
      <c r="I1200" s="47"/>
      <c r="J1200" s="23">
        <v>1.61</v>
      </c>
      <c r="K1200" s="25">
        <v>1</v>
      </c>
      <c r="L1200" s="24">
        <v>1.02</v>
      </c>
      <c r="M1200" s="24">
        <f>J1200-L1200</f>
        <v>0.59000000000000008</v>
      </c>
      <c r="N1200" s="53">
        <f>IF(J1200&lt;&gt;0,M1200/J1200,"")</f>
        <v>0.36645962732919257</v>
      </c>
      <c r="O1200" s="23">
        <v>1.65</v>
      </c>
      <c r="P1200" s="25">
        <v>1</v>
      </c>
      <c r="Q1200" s="24">
        <v>1.02</v>
      </c>
      <c r="R1200" s="24">
        <f>O1200-Q1200</f>
        <v>0.62999999999999989</v>
      </c>
      <c r="S1200" s="53">
        <f>IF(O1200&lt;&gt;0,R1200/O1200,"")</f>
        <v>0.38181818181818178</v>
      </c>
      <c r="T1200" s="10"/>
      <c r="U1200" s="23">
        <v>1.67</v>
      </c>
      <c r="V1200" s="25">
        <v>1</v>
      </c>
      <c r="W1200" s="24">
        <v>1.02</v>
      </c>
      <c r="X1200" s="24">
        <f>U1200-W1200</f>
        <v>0.64999999999999991</v>
      </c>
      <c r="Y1200" s="53">
        <f>IF(U1200&lt;&gt;0,X1200/U1200,"")</f>
        <v>0.3892215568862275</v>
      </c>
      <c r="Z1200" s="23">
        <v>0</v>
      </c>
      <c r="AA1200" s="25">
        <v>0</v>
      </c>
      <c r="AB1200" s="24">
        <v>0</v>
      </c>
      <c r="AC1200" s="24">
        <f t="shared" si="377"/>
        <v>0</v>
      </c>
      <c r="AD1200" s="53" t="str">
        <f t="shared" si="378"/>
        <v/>
      </c>
      <c r="AE1200" s="10"/>
    </row>
    <row r="1201" spans="1:31" x14ac:dyDescent="0.25">
      <c r="A1201" s="14" t="s">
        <v>109</v>
      </c>
      <c r="C1201" s="61" t="str">
        <f t="shared" si="376"/>
        <v>C100083</v>
      </c>
      <c r="F1201" s="8" t="str">
        <f>"C100008"</f>
        <v>C100008</v>
      </c>
      <c r="G1201" s="9" t="str">
        <f>"Glacier Vase"</f>
        <v>Glacier Vase</v>
      </c>
      <c r="H1201" s="47"/>
      <c r="I1201" s="47"/>
      <c r="J1201" s="23">
        <v>0</v>
      </c>
      <c r="K1201" s="25">
        <v>0</v>
      </c>
      <c r="L1201" s="24">
        <v>0</v>
      </c>
      <c r="M1201" s="24">
        <f>J1201-L1201</f>
        <v>0</v>
      </c>
      <c r="N1201" s="53" t="str">
        <f>IF(J1201&lt;&gt;0,M1201/J1201,"")</f>
        <v/>
      </c>
      <c r="O1201" s="23">
        <v>105.34</v>
      </c>
      <c r="P1201" s="25">
        <v>12</v>
      </c>
      <c r="Q1201" s="24">
        <v>51</v>
      </c>
      <c r="R1201" s="24">
        <f>O1201-Q1201</f>
        <v>54.34</v>
      </c>
      <c r="S1201" s="53">
        <f>IF(O1201&lt;&gt;0,R1201/O1201,"")</f>
        <v>0.51585342699829129</v>
      </c>
      <c r="T1201" s="10"/>
      <c r="U1201" s="23">
        <v>412.68</v>
      </c>
      <c r="V1201" s="25">
        <v>48</v>
      </c>
      <c r="W1201" s="24">
        <v>204</v>
      </c>
      <c r="X1201" s="24">
        <f>U1201-W1201</f>
        <v>208.68</v>
      </c>
      <c r="Y1201" s="53">
        <f>IF(U1201&lt;&gt;0,X1201/U1201,"")</f>
        <v>0.5056702529805176</v>
      </c>
      <c r="Z1201" s="23">
        <v>1264.0999999999999</v>
      </c>
      <c r="AA1201" s="25">
        <v>144</v>
      </c>
      <c r="AB1201" s="24">
        <v>611.99</v>
      </c>
      <c r="AC1201" s="24">
        <f t="shared" si="377"/>
        <v>652.1099999999999</v>
      </c>
      <c r="AD1201" s="53">
        <f t="shared" si="378"/>
        <v>0.51586899770587769</v>
      </c>
      <c r="AE1201" s="10"/>
    </row>
    <row r="1202" spans="1:31" x14ac:dyDescent="0.25">
      <c r="A1202" s="14" t="s">
        <v>109</v>
      </c>
      <c r="C1202" s="61" t="str">
        <f t="shared" si="376"/>
        <v>C100083</v>
      </c>
      <c r="F1202" s="8" t="str">
        <f>"C100010"</f>
        <v>C100010</v>
      </c>
      <c r="G1202" s="9" t="str">
        <f>"Wisper-Cut Vase"</f>
        <v>Wisper-Cut Vase</v>
      </c>
      <c r="H1202" s="47"/>
      <c r="I1202" s="47"/>
      <c r="J1202" s="23">
        <v>0</v>
      </c>
      <c r="K1202" s="25">
        <v>0</v>
      </c>
      <c r="L1202" s="24">
        <v>0</v>
      </c>
      <c r="M1202" s="24">
        <f>J1202-L1202</f>
        <v>0</v>
      </c>
      <c r="N1202" s="53" t="str">
        <f>IF(J1202&lt;&gt;0,M1202/J1202,"")</f>
        <v/>
      </c>
      <c r="O1202" s="23">
        <v>3916.63</v>
      </c>
      <c r="P1202" s="25">
        <v>48</v>
      </c>
      <c r="Q1202" s="24">
        <v>1931.99</v>
      </c>
      <c r="R1202" s="24">
        <f>O1202-Q1202</f>
        <v>1984.64</v>
      </c>
      <c r="S1202" s="53">
        <f>IF(O1202&lt;&gt;0,R1202/O1202,"")</f>
        <v>0.50672133951892318</v>
      </c>
      <c r="T1202" s="10"/>
      <c r="U1202" s="23">
        <v>0</v>
      </c>
      <c r="V1202" s="25">
        <v>0</v>
      </c>
      <c r="W1202" s="24">
        <v>0</v>
      </c>
      <c r="X1202" s="24">
        <f>U1202-W1202</f>
        <v>0</v>
      </c>
      <c r="Y1202" s="53" t="str">
        <f>IF(U1202&lt;&gt;0,X1202/U1202,"")</f>
        <v/>
      </c>
      <c r="Z1202" s="23">
        <v>3957.0000000000005</v>
      </c>
      <c r="AA1202" s="25">
        <v>48</v>
      </c>
      <c r="AB1202" s="24">
        <v>1931.99</v>
      </c>
      <c r="AC1202" s="24">
        <f t="shared" si="377"/>
        <v>2025.0100000000004</v>
      </c>
      <c r="AD1202" s="53">
        <f t="shared" si="378"/>
        <v>0.51175385392974482</v>
      </c>
      <c r="AE1202" s="10"/>
    </row>
    <row r="1203" spans="1:31" x14ac:dyDescent="0.25">
      <c r="A1203" s="14" t="s">
        <v>109</v>
      </c>
      <c r="C1203" s="61" t="str">
        <f t="shared" si="376"/>
        <v>C100083</v>
      </c>
      <c r="F1203" s="8" t="str">
        <f>"C100011"</f>
        <v>C100011</v>
      </c>
      <c r="G1203" s="9" t="str">
        <f>"Winter Frost Vase"</f>
        <v>Winter Frost Vase</v>
      </c>
      <c r="H1203" s="47"/>
      <c r="I1203" s="47"/>
      <c r="J1203" s="23">
        <v>0</v>
      </c>
      <c r="K1203" s="25">
        <v>0</v>
      </c>
      <c r="L1203" s="24">
        <v>0</v>
      </c>
      <c r="M1203" s="24">
        <f>J1203-L1203</f>
        <v>0</v>
      </c>
      <c r="N1203" s="53" t="str">
        <f>IF(J1203&lt;&gt;0,M1203/J1203,"")</f>
        <v/>
      </c>
      <c r="O1203" s="23">
        <v>2839.8</v>
      </c>
      <c r="P1203" s="25">
        <v>48</v>
      </c>
      <c r="Q1203" s="24">
        <v>1857.6100000000001</v>
      </c>
      <c r="R1203" s="24">
        <f>O1203-Q1203</f>
        <v>982.19</v>
      </c>
      <c r="S1203" s="53">
        <f>IF(O1203&lt;&gt;0,R1203/O1203,"")</f>
        <v>0.34586590604972178</v>
      </c>
      <c r="T1203" s="10"/>
      <c r="U1203" s="23">
        <v>0</v>
      </c>
      <c r="V1203" s="25">
        <v>0</v>
      </c>
      <c r="W1203" s="24">
        <v>0</v>
      </c>
      <c r="X1203" s="24">
        <f>U1203-W1203</f>
        <v>0</v>
      </c>
      <c r="Y1203" s="53" t="str">
        <f>IF(U1203&lt;&gt;0,X1203/U1203,"")</f>
        <v/>
      </c>
      <c r="Z1203" s="23">
        <v>8432.48</v>
      </c>
      <c r="AA1203" s="25">
        <v>144</v>
      </c>
      <c r="AB1203" s="24">
        <v>5572.8200000000006</v>
      </c>
      <c r="AC1203" s="24">
        <f t="shared" si="377"/>
        <v>2859.6599999999989</v>
      </c>
      <c r="AD1203" s="53">
        <f t="shared" si="378"/>
        <v>0.33912443314422319</v>
      </c>
      <c r="AE1203" s="10"/>
    </row>
    <row r="1204" spans="1:31" x14ac:dyDescent="0.25">
      <c r="A1204" s="14" t="s">
        <v>109</v>
      </c>
      <c r="C1204" s="61" t="str">
        <f t="shared" si="376"/>
        <v>C100083</v>
      </c>
      <c r="F1204" s="8" t="str">
        <f>"C100033"</f>
        <v>C100033</v>
      </c>
      <c r="G1204" s="9" t="str">
        <f>"Frames &amp; Clock"</f>
        <v>Frames &amp; Clock</v>
      </c>
      <c r="H1204" s="47"/>
      <c r="I1204" s="47"/>
      <c r="J1204" s="23">
        <v>0</v>
      </c>
      <c r="K1204" s="25">
        <v>0</v>
      </c>
      <c r="L1204" s="24">
        <v>0</v>
      </c>
      <c r="M1204" s="24">
        <f>J1204-L1204</f>
        <v>0</v>
      </c>
      <c r="N1204" s="53" t="str">
        <f>IF(J1204&lt;&gt;0,M1204/J1204,"")</f>
        <v/>
      </c>
      <c r="O1204" s="23">
        <v>676.05</v>
      </c>
      <c r="P1204" s="25">
        <v>144</v>
      </c>
      <c r="Q1204" s="24">
        <v>414.7</v>
      </c>
      <c r="R1204" s="24">
        <f>O1204-Q1204</f>
        <v>261.34999999999997</v>
      </c>
      <c r="S1204" s="53">
        <f>IF(O1204&lt;&gt;0,R1204/O1204,"")</f>
        <v>0.38658383255676354</v>
      </c>
      <c r="T1204" s="10"/>
      <c r="U1204" s="23">
        <v>915.43</v>
      </c>
      <c r="V1204" s="25">
        <v>193</v>
      </c>
      <c r="W1204" s="24">
        <v>555.81000000000006</v>
      </c>
      <c r="X1204" s="24">
        <f>U1204-W1204</f>
        <v>359.61999999999989</v>
      </c>
      <c r="Y1204" s="53">
        <f>IF(U1204&lt;&gt;0,X1204/U1204,"")</f>
        <v>0.39284270779852082</v>
      </c>
      <c r="Z1204" s="23">
        <v>0</v>
      </c>
      <c r="AA1204" s="25">
        <v>0</v>
      </c>
      <c r="AB1204" s="24">
        <v>0</v>
      </c>
      <c r="AC1204" s="24">
        <f t="shared" si="377"/>
        <v>0</v>
      </c>
      <c r="AD1204" s="53" t="str">
        <f t="shared" si="378"/>
        <v/>
      </c>
      <c r="AE1204" s="10"/>
    </row>
    <row r="1205" spans="1:31" x14ac:dyDescent="0.25">
      <c r="A1205" s="14" t="s">
        <v>109</v>
      </c>
      <c r="C1205" s="61" t="str">
        <f t="shared" si="376"/>
        <v>C100083</v>
      </c>
      <c r="F1205" s="8" t="str">
        <f>"C100035"</f>
        <v>C100035</v>
      </c>
      <c r="G1205" s="9" t="str">
        <f>"Calculator &amp; World Time Clock"</f>
        <v>Calculator &amp; World Time Clock</v>
      </c>
      <c r="H1205" s="47"/>
      <c r="I1205" s="47"/>
      <c r="J1205" s="23">
        <v>407.78000000000003</v>
      </c>
      <c r="K1205" s="25">
        <v>146</v>
      </c>
      <c r="L1205" s="24">
        <v>286.15999999999997</v>
      </c>
      <c r="M1205" s="24">
        <f>J1205-L1205</f>
        <v>121.62000000000006</v>
      </c>
      <c r="N1205" s="53">
        <f>IF(J1205&lt;&gt;0,M1205/J1205,"")</f>
        <v>0.2982490558634559</v>
      </c>
      <c r="O1205" s="23">
        <v>410.66</v>
      </c>
      <c r="P1205" s="25">
        <v>144</v>
      </c>
      <c r="Q1205" s="24">
        <v>282.24</v>
      </c>
      <c r="R1205" s="24">
        <f>O1205-Q1205</f>
        <v>128.42000000000002</v>
      </c>
      <c r="S1205" s="53">
        <f>IF(O1205&lt;&gt;0,R1205/O1205,"")</f>
        <v>0.31271611552135586</v>
      </c>
      <c r="T1205" s="10"/>
      <c r="U1205" s="23">
        <v>558.89</v>
      </c>
      <c r="V1205" s="25">
        <v>193.99999999999997</v>
      </c>
      <c r="W1205" s="24">
        <v>380.23999999999995</v>
      </c>
      <c r="X1205" s="24">
        <f>U1205-W1205</f>
        <v>178.65000000000003</v>
      </c>
      <c r="Y1205" s="53">
        <f>IF(U1205&lt;&gt;0,X1205/U1205,"")</f>
        <v>0.31965145198518496</v>
      </c>
      <c r="Z1205" s="23">
        <v>0</v>
      </c>
      <c r="AA1205" s="25">
        <v>0</v>
      </c>
      <c r="AB1205" s="24">
        <v>0</v>
      </c>
      <c r="AC1205" s="24">
        <f t="shared" si="377"/>
        <v>0</v>
      </c>
      <c r="AD1205" s="53" t="str">
        <f t="shared" si="378"/>
        <v/>
      </c>
      <c r="AE1205" s="10"/>
    </row>
    <row r="1206" spans="1:31" x14ac:dyDescent="0.25">
      <c r="A1206" s="14" t="s">
        <v>109</v>
      </c>
      <c r="C1206" s="61" t="str">
        <f t="shared" si="376"/>
        <v>C100083</v>
      </c>
      <c r="F1206" s="8" t="str">
        <f>"C100036"</f>
        <v>C100036</v>
      </c>
      <c r="G1206" s="9" t="str">
        <f>"Clock &amp; Business Card Holder"</f>
        <v>Clock &amp; Business Card Holder</v>
      </c>
      <c r="H1206" s="47"/>
      <c r="I1206" s="47"/>
      <c r="J1206" s="23">
        <v>1215.22</v>
      </c>
      <c r="K1206" s="25">
        <v>144</v>
      </c>
      <c r="L1206" s="24">
        <v>673.93000000000006</v>
      </c>
      <c r="M1206" s="24">
        <f>J1206-L1206</f>
        <v>541.29</v>
      </c>
      <c r="N1206" s="53">
        <f>IF(J1206&lt;&gt;0,M1206/J1206,"")</f>
        <v>0.44542551965899174</v>
      </c>
      <c r="O1206" s="23">
        <v>51.16</v>
      </c>
      <c r="P1206" s="25">
        <v>6</v>
      </c>
      <c r="Q1206" s="24">
        <v>28.08</v>
      </c>
      <c r="R1206" s="24">
        <f>O1206-Q1206</f>
        <v>23.08</v>
      </c>
      <c r="S1206" s="53">
        <f>IF(O1206&lt;&gt;0,R1206/O1206,"")</f>
        <v>0.45113369820172011</v>
      </c>
      <c r="T1206" s="10"/>
      <c r="U1206" s="23">
        <v>8.35</v>
      </c>
      <c r="V1206" s="25">
        <v>1</v>
      </c>
      <c r="W1206" s="24">
        <v>4.68</v>
      </c>
      <c r="X1206" s="24">
        <f>U1206-W1206</f>
        <v>3.67</v>
      </c>
      <c r="Y1206" s="53">
        <f>IF(U1206&lt;&gt;0,X1206/U1206,"")</f>
        <v>0.43952095808383235</v>
      </c>
      <c r="Z1206" s="23">
        <v>405.07</v>
      </c>
      <c r="AA1206" s="25">
        <v>48</v>
      </c>
      <c r="AB1206" s="24">
        <v>224.64</v>
      </c>
      <c r="AC1206" s="24">
        <f t="shared" si="377"/>
        <v>180.43</v>
      </c>
      <c r="AD1206" s="53">
        <f t="shared" si="378"/>
        <v>0.44542918507912216</v>
      </c>
      <c r="AE1206" s="10"/>
    </row>
    <row r="1207" spans="1:31" x14ac:dyDescent="0.25">
      <c r="A1207" s="14" t="s">
        <v>109</v>
      </c>
      <c r="C1207" s="61" t="str">
        <f t="shared" si="376"/>
        <v>C100083</v>
      </c>
      <c r="F1207" s="8" t="str">
        <f>"C100037"</f>
        <v>C100037</v>
      </c>
      <c r="G1207" s="9" t="str">
        <f>"World Time Travel Alarm"</f>
        <v>World Time Travel Alarm</v>
      </c>
      <c r="H1207" s="47"/>
      <c r="I1207" s="47"/>
      <c r="J1207" s="23">
        <v>104.99</v>
      </c>
      <c r="K1207" s="25">
        <v>12</v>
      </c>
      <c r="L1207" s="24">
        <v>64.8</v>
      </c>
      <c r="M1207" s="24">
        <f>J1207-L1207</f>
        <v>40.19</v>
      </c>
      <c r="N1207" s="53">
        <f>IF(J1207&lt;&gt;0,M1207/J1207,"")</f>
        <v>0.38279836174873799</v>
      </c>
      <c r="O1207" s="23">
        <v>8.84</v>
      </c>
      <c r="P1207" s="25">
        <v>1</v>
      </c>
      <c r="Q1207" s="24">
        <v>5.4</v>
      </c>
      <c r="R1207" s="24">
        <f>O1207-Q1207</f>
        <v>3.4399999999999995</v>
      </c>
      <c r="S1207" s="53">
        <f>IF(O1207&lt;&gt;0,R1207/O1207,"")</f>
        <v>0.38914027149321262</v>
      </c>
      <c r="T1207" s="10"/>
      <c r="U1207" s="23">
        <v>2519.8199999999997</v>
      </c>
      <c r="V1207" s="25">
        <v>288</v>
      </c>
      <c r="W1207" s="24">
        <v>1555.2199999999998</v>
      </c>
      <c r="X1207" s="24">
        <f>U1207-W1207</f>
        <v>964.59999999999991</v>
      </c>
      <c r="Y1207" s="53">
        <f>IF(U1207&lt;&gt;0,X1207/U1207,"")</f>
        <v>0.38280512100070641</v>
      </c>
      <c r="Z1207" s="23">
        <v>2594.69</v>
      </c>
      <c r="AA1207" s="25">
        <v>295</v>
      </c>
      <c r="AB1207" s="24">
        <v>1593.0200000000002</v>
      </c>
      <c r="AC1207" s="24">
        <f t="shared" si="377"/>
        <v>1001.6699999999998</v>
      </c>
      <c r="AD1207" s="53">
        <f t="shared" si="378"/>
        <v>0.3860461172625631</v>
      </c>
      <c r="AE1207" s="10"/>
    </row>
    <row r="1208" spans="1:31" x14ac:dyDescent="0.25">
      <c r="A1208" s="14" t="s">
        <v>109</v>
      </c>
      <c r="C1208" s="61" t="str">
        <f t="shared" si="376"/>
        <v>C100083</v>
      </c>
      <c r="F1208" s="8" t="str">
        <f>"C100038"</f>
        <v>C100038</v>
      </c>
      <c r="G1208" s="9" t="str">
        <f>"Foldable Travel Speakers"</f>
        <v>Foldable Travel Speakers</v>
      </c>
      <c r="H1208" s="47"/>
      <c r="I1208" s="47"/>
      <c r="J1208" s="23">
        <v>1318.76</v>
      </c>
      <c r="K1208" s="25">
        <v>288</v>
      </c>
      <c r="L1208" s="24">
        <v>918.7</v>
      </c>
      <c r="M1208" s="24">
        <f>J1208-L1208</f>
        <v>400.05999999999995</v>
      </c>
      <c r="N1208" s="53">
        <f>IF(J1208&lt;&gt;0,M1208/J1208,"")</f>
        <v>0.30336073280960901</v>
      </c>
      <c r="O1208" s="23">
        <v>673.26</v>
      </c>
      <c r="P1208" s="25">
        <v>144</v>
      </c>
      <c r="Q1208" s="24">
        <v>459.35</v>
      </c>
      <c r="R1208" s="24">
        <f>O1208-Q1208</f>
        <v>213.90999999999997</v>
      </c>
      <c r="S1208" s="53">
        <f>IF(O1208&lt;&gt;0,R1208/O1208,"")</f>
        <v>0.31772272227668358</v>
      </c>
      <c r="T1208" s="10"/>
      <c r="U1208" s="23">
        <v>680.2</v>
      </c>
      <c r="V1208" s="25">
        <v>144</v>
      </c>
      <c r="W1208" s="24">
        <v>459.35</v>
      </c>
      <c r="X1208" s="24">
        <f>U1208-W1208</f>
        <v>220.85000000000002</v>
      </c>
      <c r="Y1208" s="53">
        <f>IF(U1208&lt;&gt;0,X1208/U1208,"")</f>
        <v>0.32468391649514849</v>
      </c>
      <c r="Z1208" s="23">
        <v>0</v>
      </c>
      <c r="AA1208" s="25">
        <v>0</v>
      </c>
      <c r="AB1208" s="24">
        <v>0</v>
      </c>
      <c r="AC1208" s="24">
        <f t="shared" si="377"/>
        <v>0</v>
      </c>
      <c r="AD1208" s="53" t="str">
        <f t="shared" si="378"/>
        <v/>
      </c>
      <c r="AE1208" s="10"/>
    </row>
    <row r="1209" spans="1:31" x14ac:dyDescent="0.25">
      <c r="A1209" s="14" t="s">
        <v>109</v>
      </c>
      <c r="C1209" s="61" t="str">
        <f t="shared" si="376"/>
        <v>C100083</v>
      </c>
      <c r="F1209" s="8" t="str">
        <f>"C100039"</f>
        <v>C100039</v>
      </c>
      <c r="G1209" s="9" t="str">
        <f>"Portable Speaker &amp; MP3 Dock"</f>
        <v>Portable Speaker &amp; MP3 Dock</v>
      </c>
      <c r="H1209" s="47"/>
      <c r="I1209" s="47"/>
      <c r="J1209" s="23">
        <v>2048.64</v>
      </c>
      <c r="K1209" s="25">
        <v>145</v>
      </c>
      <c r="L1209" s="24">
        <v>1218</v>
      </c>
      <c r="M1209" s="24">
        <f>J1209-L1209</f>
        <v>830.63999999999987</v>
      </c>
      <c r="N1209" s="53">
        <f>IF(J1209&lt;&gt;0,M1209/J1209,"")</f>
        <v>0.40545923149015928</v>
      </c>
      <c r="O1209" s="23">
        <v>0</v>
      </c>
      <c r="P1209" s="25">
        <v>0</v>
      </c>
      <c r="Q1209" s="24">
        <v>0</v>
      </c>
      <c r="R1209" s="24">
        <f>O1209-Q1209</f>
        <v>0</v>
      </c>
      <c r="S1209" s="53" t="str">
        <f>IF(O1209&lt;&gt;0,R1209/O1209,"")</f>
        <v/>
      </c>
      <c r="T1209" s="10"/>
      <c r="U1209" s="23">
        <v>2373.25</v>
      </c>
      <c r="V1209" s="25">
        <v>168</v>
      </c>
      <c r="W1209" s="24">
        <v>1411.2</v>
      </c>
      <c r="X1209" s="24">
        <f>U1209-W1209</f>
        <v>962.05</v>
      </c>
      <c r="Y1209" s="53">
        <f>IF(U1209&lt;&gt;0,X1209/U1209,"")</f>
        <v>0.40537237964816181</v>
      </c>
      <c r="Z1209" s="23">
        <v>0</v>
      </c>
      <c r="AA1209" s="25">
        <v>0</v>
      </c>
      <c r="AB1209" s="24">
        <v>0</v>
      </c>
      <c r="AC1209" s="24">
        <f t="shared" si="377"/>
        <v>0</v>
      </c>
      <c r="AD1209" s="53" t="str">
        <f t="shared" si="378"/>
        <v/>
      </c>
      <c r="AE1209" s="10"/>
    </row>
    <row r="1210" spans="1:31" x14ac:dyDescent="0.25">
      <c r="A1210" s="14" t="s">
        <v>109</v>
      </c>
      <c r="C1210" s="61" t="str">
        <f t="shared" si="376"/>
        <v>C100083</v>
      </c>
      <c r="F1210" s="8" t="str">
        <f>"C100040"</f>
        <v>C100040</v>
      </c>
      <c r="G1210" s="9" t="str">
        <f>"Channel Speaker System"</f>
        <v>Channel Speaker System</v>
      </c>
      <c r="H1210" s="47"/>
      <c r="I1210" s="47"/>
      <c r="J1210" s="23">
        <v>40.700000000000003</v>
      </c>
      <c r="K1210" s="25">
        <v>1</v>
      </c>
      <c r="L1210" s="24">
        <v>20.77</v>
      </c>
      <c r="M1210" s="24">
        <f>J1210-L1210</f>
        <v>19.930000000000003</v>
      </c>
      <c r="N1210" s="53">
        <f>IF(J1210&lt;&gt;0,M1210/J1210,"")</f>
        <v>0.48968058968058975</v>
      </c>
      <c r="O1210" s="23">
        <v>0</v>
      </c>
      <c r="P1210" s="25">
        <v>0</v>
      </c>
      <c r="Q1210" s="24">
        <v>0</v>
      </c>
      <c r="R1210" s="24">
        <f>O1210-Q1210</f>
        <v>0</v>
      </c>
      <c r="S1210" s="53" t="str">
        <f>IF(O1210&lt;&gt;0,R1210/O1210,"")</f>
        <v/>
      </c>
      <c r="T1210" s="10"/>
      <c r="U1210" s="23">
        <v>0</v>
      </c>
      <c r="V1210" s="25">
        <v>0</v>
      </c>
      <c r="W1210" s="24">
        <v>0</v>
      </c>
      <c r="X1210" s="24">
        <f>U1210-W1210</f>
        <v>0</v>
      </c>
      <c r="Y1210" s="53" t="str">
        <f>IF(U1210&lt;&gt;0,X1210/U1210,"")</f>
        <v/>
      </c>
      <c r="Z1210" s="23">
        <v>976.82999999999993</v>
      </c>
      <c r="AA1210" s="25">
        <v>24</v>
      </c>
      <c r="AB1210" s="24">
        <v>498.48</v>
      </c>
      <c r="AC1210" s="24">
        <f t="shared" si="377"/>
        <v>478.34999999999991</v>
      </c>
      <c r="AD1210" s="53">
        <f t="shared" si="378"/>
        <v>0.48969626239980341</v>
      </c>
      <c r="AE1210" s="10"/>
    </row>
    <row r="1211" spans="1:31" x14ac:dyDescent="0.25">
      <c r="A1211" s="14" t="s">
        <v>109</v>
      </c>
      <c r="C1211" s="61" t="str">
        <f t="shared" si="376"/>
        <v>C100083</v>
      </c>
      <c r="F1211" s="8" t="str">
        <f>"C100041"</f>
        <v>C100041</v>
      </c>
      <c r="G1211" s="9" t="str">
        <f>"Folding Stereo Speakers"</f>
        <v>Folding Stereo Speakers</v>
      </c>
      <c r="H1211" s="47"/>
      <c r="I1211" s="47"/>
      <c r="J1211" s="23">
        <v>2129.98</v>
      </c>
      <c r="K1211" s="25">
        <v>144</v>
      </c>
      <c r="L1211" s="24">
        <v>1205.19</v>
      </c>
      <c r="M1211" s="24">
        <f>J1211-L1211</f>
        <v>924.79</v>
      </c>
      <c r="N1211" s="53">
        <f>IF(J1211&lt;&gt;0,M1211/J1211,"")</f>
        <v>0.43417778570690801</v>
      </c>
      <c r="O1211" s="23">
        <v>2174.8200000000002</v>
      </c>
      <c r="P1211" s="25">
        <v>144</v>
      </c>
      <c r="Q1211" s="24">
        <v>1205.19</v>
      </c>
      <c r="R1211" s="24">
        <f>O1211-Q1211</f>
        <v>969.63000000000011</v>
      </c>
      <c r="S1211" s="53">
        <f>IF(O1211&lt;&gt;0,R1211/O1211,"")</f>
        <v>0.44584379396915608</v>
      </c>
      <c r="T1211" s="10"/>
      <c r="U1211" s="23">
        <v>2197.2400000000002</v>
      </c>
      <c r="V1211" s="25">
        <v>144</v>
      </c>
      <c r="W1211" s="24">
        <v>1205.19</v>
      </c>
      <c r="X1211" s="24">
        <f>U1211-W1211</f>
        <v>992.05000000000018</v>
      </c>
      <c r="Y1211" s="53">
        <f>IF(U1211&lt;&gt;0,X1211/U1211,"")</f>
        <v>0.45149824325062354</v>
      </c>
      <c r="Z1211" s="23">
        <v>90.62</v>
      </c>
      <c r="AA1211" s="25">
        <v>6</v>
      </c>
      <c r="AB1211" s="24">
        <v>50.220000000000006</v>
      </c>
      <c r="AC1211" s="24">
        <f t="shared" si="377"/>
        <v>40.4</v>
      </c>
      <c r="AD1211" s="53">
        <f t="shared" si="378"/>
        <v>0.44581770028691237</v>
      </c>
      <c r="AE1211" s="10"/>
    </row>
    <row r="1212" spans="1:31" x14ac:dyDescent="0.25">
      <c r="A1212" s="14" t="s">
        <v>109</v>
      </c>
      <c r="C1212" s="61" t="str">
        <f t="shared" si="376"/>
        <v>C100083</v>
      </c>
      <c r="F1212" s="8" t="str">
        <f>"C100043"</f>
        <v>C100043</v>
      </c>
      <c r="G1212" s="9" t="str">
        <f>"Pro-Travel Technology Set"</f>
        <v>Pro-Travel Technology Set</v>
      </c>
      <c r="H1212" s="47"/>
      <c r="I1212" s="47"/>
      <c r="J1212" s="23">
        <v>31.06</v>
      </c>
      <c r="K1212" s="25">
        <v>1</v>
      </c>
      <c r="L1212" s="24">
        <v>15</v>
      </c>
      <c r="M1212" s="24">
        <f>J1212-L1212</f>
        <v>16.059999999999999</v>
      </c>
      <c r="N1212" s="53">
        <f>IF(J1212&lt;&gt;0,M1212/J1212,"")</f>
        <v>0.5170637475853187</v>
      </c>
      <c r="O1212" s="23">
        <v>31.72</v>
      </c>
      <c r="P1212" s="25">
        <v>1</v>
      </c>
      <c r="Q1212" s="24">
        <v>15</v>
      </c>
      <c r="R1212" s="24">
        <f>O1212-Q1212</f>
        <v>16.72</v>
      </c>
      <c r="S1212" s="53">
        <f>IF(O1212&lt;&gt;0,R1212/O1212,"")</f>
        <v>0.5271122320302648</v>
      </c>
      <c r="T1212" s="10"/>
      <c r="U1212" s="23">
        <v>0</v>
      </c>
      <c r="V1212" s="25">
        <v>0</v>
      </c>
      <c r="W1212" s="24">
        <v>0</v>
      </c>
      <c r="X1212" s="24">
        <f>U1212-W1212</f>
        <v>0</v>
      </c>
      <c r="Y1212" s="53" t="str">
        <f>IF(U1212&lt;&gt;0,X1212/U1212,"")</f>
        <v/>
      </c>
      <c r="Z1212" s="23">
        <v>1538.21</v>
      </c>
      <c r="AA1212" s="25">
        <v>48</v>
      </c>
      <c r="AB1212" s="24">
        <v>720.02</v>
      </c>
      <c r="AC1212" s="24">
        <f t="shared" si="377"/>
        <v>818.19</v>
      </c>
      <c r="AD1212" s="53">
        <f t="shared" si="378"/>
        <v>0.53191046736141356</v>
      </c>
      <c r="AE1212" s="10"/>
    </row>
    <row r="1213" spans="1:31" x14ac:dyDescent="0.25">
      <c r="A1213" s="14" t="s">
        <v>109</v>
      </c>
      <c r="C1213" s="61" t="str">
        <f t="shared" si="376"/>
        <v>C100083</v>
      </c>
      <c r="F1213" s="8" t="str">
        <f>"C100044"</f>
        <v>C100044</v>
      </c>
      <c r="G1213" s="9" t="str">
        <f>"VOIP Headset with Mic"</f>
        <v>VOIP Headset with Mic</v>
      </c>
      <c r="H1213" s="47"/>
      <c r="I1213" s="47"/>
      <c r="J1213" s="23">
        <v>309.40999999999997</v>
      </c>
      <c r="K1213" s="25">
        <v>148</v>
      </c>
      <c r="L1213" s="24">
        <v>177.65</v>
      </c>
      <c r="M1213" s="24">
        <f>J1213-L1213</f>
        <v>131.75999999999996</v>
      </c>
      <c r="N1213" s="53">
        <f>IF(J1213&lt;&gt;0,M1213/J1213,"")</f>
        <v>0.42584273294334368</v>
      </c>
      <c r="O1213" s="23">
        <v>12.8</v>
      </c>
      <c r="P1213" s="25">
        <v>6</v>
      </c>
      <c r="Q1213" s="24">
        <v>7.2</v>
      </c>
      <c r="R1213" s="24">
        <f>O1213-Q1213</f>
        <v>5.6000000000000005</v>
      </c>
      <c r="S1213" s="53">
        <f>IF(O1213&lt;&gt;0,R1213/O1213,"")</f>
        <v>0.4375</v>
      </c>
      <c r="T1213" s="10"/>
      <c r="U1213" s="23">
        <v>27.430000000000003</v>
      </c>
      <c r="V1213" s="25">
        <v>13</v>
      </c>
      <c r="W1213" s="24">
        <v>15.6</v>
      </c>
      <c r="X1213" s="24">
        <f>U1213-W1213</f>
        <v>11.830000000000004</v>
      </c>
      <c r="Y1213" s="53">
        <f>IF(U1213&lt;&gt;0,X1213/U1213,"")</f>
        <v>0.43127962085308064</v>
      </c>
      <c r="Z1213" s="23">
        <v>14.96</v>
      </c>
      <c r="AA1213" s="25">
        <v>7</v>
      </c>
      <c r="AB1213" s="24">
        <v>8.4</v>
      </c>
      <c r="AC1213" s="24">
        <f t="shared" si="377"/>
        <v>6.5600000000000005</v>
      </c>
      <c r="AD1213" s="53">
        <f t="shared" si="378"/>
        <v>0.43850267379679148</v>
      </c>
      <c r="AE1213" s="10"/>
    </row>
    <row r="1214" spans="1:31" x14ac:dyDescent="0.25">
      <c r="A1214" s="14" t="s">
        <v>109</v>
      </c>
      <c r="C1214" s="61" t="str">
        <f t="shared" si="376"/>
        <v>C100083</v>
      </c>
      <c r="F1214" s="8" t="str">
        <f>"C100045"</f>
        <v>C100045</v>
      </c>
      <c r="G1214" s="9" t="str">
        <f>"Wireless Headphones"</f>
        <v>Wireless Headphones</v>
      </c>
      <c r="H1214" s="47"/>
      <c r="I1214" s="47"/>
      <c r="J1214" s="23">
        <v>3889.22</v>
      </c>
      <c r="K1214" s="25">
        <v>144</v>
      </c>
      <c r="L1214" s="24">
        <v>1987.2600000000002</v>
      </c>
      <c r="M1214" s="24">
        <f>J1214-L1214</f>
        <v>1901.9599999999996</v>
      </c>
      <c r="N1214" s="53">
        <f>IF(J1214&lt;&gt;0,M1214/J1214,"")</f>
        <v>0.48903379083723719</v>
      </c>
      <c r="O1214" s="23">
        <v>193.04</v>
      </c>
      <c r="P1214" s="25">
        <v>7</v>
      </c>
      <c r="Q1214" s="24">
        <v>96.600000000000009</v>
      </c>
      <c r="R1214" s="24">
        <f>O1214-Q1214</f>
        <v>96.439999999999984</v>
      </c>
      <c r="S1214" s="53">
        <f>IF(O1214&lt;&gt;0,R1214/O1214,"")</f>
        <v>0.49958557811852461</v>
      </c>
      <c r="T1214" s="10"/>
      <c r="U1214" s="23">
        <v>3957.4600000000005</v>
      </c>
      <c r="V1214" s="25">
        <v>145</v>
      </c>
      <c r="W1214" s="24">
        <v>2001.06</v>
      </c>
      <c r="X1214" s="24">
        <f>U1214-W1214</f>
        <v>1956.4000000000005</v>
      </c>
      <c r="Y1214" s="53">
        <f>IF(U1214&lt;&gt;0,X1214/U1214,"")</f>
        <v>0.49435749192663991</v>
      </c>
      <c r="Z1214" s="23">
        <v>0</v>
      </c>
      <c r="AA1214" s="25">
        <v>0</v>
      </c>
      <c r="AB1214" s="24">
        <v>0</v>
      </c>
      <c r="AC1214" s="24">
        <f t="shared" si="377"/>
        <v>0</v>
      </c>
      <c r="AD1214" s="53" t="str">
        <f t="shared" si="378"/>
        <v/>
      </c>
      <c r="AE1214" s="10"/>
    </row>
    <row r="1215" spans="1:31" x14ac:dyDescent="0.25">
      <c r="A1215" s="14" t="s">
        <v>109</v>
      </c>
      <c r="C1215" s="61" t="str">
        <f t="shared" si="376"/>
        <v>C100083</v>
      </c>
      <c r="F1215" s="8" t="str">
        <f>"C100046"</f>
        <v>C100046</v>
      </c>
      <c r="G1215" s="9" t="str">
        <f>"1GB MP3 Player"</f>
        <v>1GB MP3 Player</v>
      </c>
      <c r="H1215" s="47"/>
      <c r="I1215" s="47"/>
      <c r="J1215" s="23">
        <v>2767.06</v>
      </c>
      <c r="K1215" s="25">
        <v>144</v>
      </c>
      <c r="L1215" s="24">
        <v>1658.7900000000002</v>
      </c>
      <c r="M1215" s="24">
        <f>J1215-L1215</f>
        <v>1108.2699999999998</v>
      </c>
      <c r="N1215" s="53">
        <f>IF(J1215&lt;&gt;0,M1215/J1215,"")</f>
        <v>0.40052257630842836</v>
      </c>
      <c r="O1215" s="23">
        <v>0</v>
      </c>
      <c r="P1215" s="25">
        <v>0</v>
      </c>
      <c r="Q1215" s="24">
        <v>0</v>
      </c>
      <c r="R1215" s="24">
        <f>O1215-Q1215</f>
        <v>0</v>
      </c>
      <c r="S1215" s="53" t="str">
        <f>IF(O1215&lt;&gt;0,R1215/O1215,"")</f>
        <v/>
      </c>
      <c r="T1215" s="10"/>
      <c r="U1215" s="23">
        <v>5650.6</v>
      </c>
      <c r="V1215" s="25">
        <v>294</v>
      </c>
      <c r="W1215" s="24">
        <v>3386.7000000000003</v>
      </c>
      <c r="X1215" s="24">
        <f>U1215-W1215</f>
        <v>2263.9</v>
      </c>
      <c r="Y1215" s="53">
        <f>IF(U1215&lt;&gt;0,X1215/U1215,"")</f>
        <v>0.40064771882631933</v>
      </c>
      <c r="Z1215" s="23">
        <v>2795.59</v>
      </c>
      <c r="AA1215" s="25">
        <v>144</v>
      </c>
      <c r="AB1215" s="24">
        <v>1658.7900000000002</v>
      </c>
      <c r="AC1215" s="24">
        <f t="shared" si="377"/>
        <v>1136.8</v>
      </c>
      <c r="AD1215" s="53">
        <f t="shared" si="378"/>
        <v>0.40664045872248789</v>
      </c>
      <c r="AE1215" s="10"/>
    </row>
    <row r="1216" spans="1:31" x14ac:dyDescent="0.25">
      <c r="A1216" s="14" t="s">
        <v>109</v>
      </c>
      <c r="C1216" s="61" t="str">
        <f t="shared" si="376"/>
        <v>C100083</v>
      </c>
      <c r="F1216" s="8" t="str">
        <f>"C100048"</f>
        <v>C100048</v>
      </c>
      <c r="G1216" s="9" t="str">
        <f>"USB MP3 Player"</f>
        <v>USB MP3 Player</v>
      </c>
      <c r="H1216" s="47"/>
      <c r="I1216" s="47"/>
      <c r="J1216" s="23">
        <v>1836.15</v>
      </c>
      <c r="K1216" s="25">
        <v>150</v>
      </c>
      <c r="L1216" s="24">
        <v>1155.01</v>
      </c>
      <c r="M1216" s="24">
        <f>J1216-L1216</f>
        <v>681.1400000000001</v>
      </c>
      <c r="N1216" s="53">
        <f>IF(J1216&lt;&gt;0,M1216/J1216,"")</f>
        <v>0.3709609781335948</v>
      </c>
      <c r="O1216" s="23">
        <v>2364.46</v>
      </c>
      <c r="P1216" s="25">
        <v>193</v>
      </c>
      <c r="Q1216" s="24">
        <v>1486.11</v>
      </c>
      <c r="R1216" s="24">
        <f>O1216-Q1216</f>
        <v>878.35000000000014</v>
      </c>
      <c r="S1216" s="53">
        <f>IF(O1216&lt;&gt;0,R1216/O1216,"")</f>
        <v>0.37148016883347579</v>
      </c>
      <c r="T1216" s="10"/>
      <c r="U1216" s="23">
        <v>3638.96</v>
      </c>
      <c r="V1216" s="25">
        <v>294</v>
      </c>
      <c r="W1216" s="24">
        <v>2263.8199999999997</v>
      </c>
      <c r="X1216" s="24">
        <f>U1216-W1216</f>
        <v>1375.1400000000003</v>
      </c>
      <c r="Y1216" s="53">
        <f>IF(U1216&lt;&gt;0,X1216/U1216,"")</f>
        <v>0.37789368390968858</v>
      </c>
      <c r="Z1216" s="23">
        <v>0</v>
      </c>
      <c r="AA1216" s="25">
        <v>0</v>
      </c>
      <c r="AB1216" s="24">
        <v>0</v>
      </c>
      <c r="AC1216" s="24">
        <f t="shared" si="377"/>
        <v>0</v>
      </c>
      <c r="AD1216" s="53" t="str">
        <f t="shared" si="378"/>
        <v/>
      </c>
      <c r="AE1216" s="10"/>
    </row>
    <row r="1217" spans="1:31" x14ac:dyDescent="0.25">
      <c r="A1217" s="14" t="s">
        <v>109</v>
      </c>
      <c r="C1217" s="61" t="str">
        <f t="shared" si="376"/>
        <v>C100083</v>
      </c>
      <c r="F1217" s="8" t="str">
        <f>"C100049"</f>
        <v>C100049</v>
      </c>
      <c r="G1217" s="9" t="str">
        <f>"4GB MP3 Player"</f>
        <v>4GB MP3 Player</v>
      </c>
      <c r="H1217" s="47"/>
      <c r="I1217" s="47"/>
      <c r="J1217" s="23">
        <v>181.15</v>
      </c>
      <c r="K1217" s="25">
        <v>12</v>
      </c>
      <c r="L1217" s="24">
        <v>112.79</v>
      </c>
      <c r="M1217" s="24">
        <f>J1217-L1217</f>
        <v>68.36</v>
      </c>
      <c r="N1217" s="53">
        <f>IF(J1217&lt;&gt;0,M1217/J1217,"")</f>
        <v>0.37736682307479985</v>
      </c>
      <c r="O1217" s="23">
        <v>2589.44</v>
      </c>
      <c r="P1217" s="25">
        <v>168</v>
      </c>
      <c r="Q1217" s="24">
        <v>1579.1000000000001</v>
      </c>
      <c r="R1217" s="24">
        <f>O1217-Q1217</f>
        <v>1010.3399999999999</v>
      </c>
      <c r="S1217" s="53">
        <f>IF(O1217&lt;&gt;0,R1217/O1217,"")</f>
        <v>0.39017702669303012</v>
      </c>
      <c r="T1217" s="10"/>
      <c r="U1217" s="23">
        <v>0</v>
      </c>
      <c r="V1217" s="25">
        <v>0</v>
      </c>
      <c r="W1217" s="24">
        <v>0</v>
      </c>
      <c r="X1217" s="24">
        <f>U1217-W1217</f>
        <v>0</v>
      </c>
      <c r="Y1217" s="53" t="str">
        <f>IF(U1217&lt;&gt;0,X1217/U1217,"")</f>
        <v/>
      </c>
      <c r="Z1217" s="23">
        <v>747.47</v>
      </c>
      <c r="AA1217" s="25">
        <v>48</v>
      </c>
      <c r="AB1217" s="24">
        <v>451.17</v>
      </c>
      <c r="AC1217" s="24">
        <f t="shared" si="377"/>
        <v>296.3</v>
      </c>
      <c r="AD1217" s="53">
        <f t="shared" si="378"/>
        <v>0.39640386905160074</v>
      </c>
      <c r="AE1217" s="10"/>
    </row>
    <row r="1218" spans="1:31" x14ac:dyDescent="0.25">
      <c r="A1218" s="14" t="s">
        <v>109</v>
      </c>
      <c r="C1218" s="61" t="str">
        <f t="shared" si="376"/>
        <v>C100083</v>
      </c>
      <c r="F1218" s="8" t="str">
        <f>"C100050"</f>
        <v>C100050</v>
      </c>
      <c r="G1218" s="9" t="str">
        <f>"Clip-on MP3 Player"</f>
        <v>Clip-on MP3 Player</v>
      </c>
      <c r="H1218" s="47"/>
      <c r="I1218" s="47"/>
      <c r="J1218" s="23">
        <v>2570.4699999999998</v>
      </c>
      <c r="K1218" s="25">
        <v>144</v>
      </c>
      <c r="L1218" s="24">
        <v>1235.48</v>
      </c>
      <c r="M1218" s="24">
        <f>J1218-L1218</f>
        <v>1334.9899999999998</v>
      </c>
      <c r="N1218" s="53">
        <f>IF(J1218&lt;&gt;0,M1218/J1218,"")</f>
        <v>0.51935638229584469</v>
      </c>
      <c r="O1218" s="23">
        <v>2670.06</v>
      </c>
      <c r="P1218" s="25">
        <v>145</v>
      </c>
      <c r="Q1218" s="24">
        <v>1244.06</v>
      </c>
      <c r="R1218" s="24">
        <f>O1218-Q1218</f>
        <v>1426</v>
      </c>
      <c r="S1218" s="53">
        <f>IF(O1218&lt;&gt;0,R1218/O1218,"")</f>
        <v>0.53407039542182577</v>
      </c>
      <c r="T1218" s="10"/>
      <c r="U1218" s="23">
        <v>5384.46</v>
      </c>
      <c r="V1218" s="25">
        <v>300</v>
      </c>
      <c r="W1218" s="24">
        <v>2573.91</v>
      </c>
      <c r="X1218" s="24">
        <f>U1218-W1218</f>
        <v>2810.55</v>
      </c>
      <c r="Y1218" s="53">
        <f>IF(U1218&lt;&gt;0,X1218/U1218,"")</f>
        <v>0.52197434840262535</v>
      </c>
      <c r="Z1218" s="23">
        <v>883.88000000000011</v>
      </c>
      <c r="AA1218" s="25">
        <v>48</v>
      </c>
      <c r="AB1218" s="24">
        <v>411.83</v>
      </c>
      <c r="AC1218" s="24">
        <f t="shared" si="377"/>
        <v>472.05000000000013</v>
      </c>
      <c r="AD1218" s="53">
        <f t="shared" si="378"/>
        <v>0.53406571027741334</v>
      </c>
      <c r="AE1218" s="10"/>
    </row>
    <row r="1219" spans="1:31" x14ac:dyDescent="0.25">
      <c r="A1219" s="14" t="s">
        <v>109</v>
      </c>
      <c r="C1219" s="61" t="str">
        <f t="shared" si="376"/>
        <v>C100083</v>
      </c>
      <c r="F1219" s="8" t="str">
        <f>"C100051"</f>
        <v>C100051</v>
      </c>
      <c r="G1219" s="9" t="str">
        <f>"Bamboo Digital Picutre Frame"</f>
        <v>Bamboo Digital Picutre Frame</v>
      </c>
      <c r="H1219" s="47"/>
      <c r="I1219" s="47"/>
      <c r="J1219" s="23">
        <v>0</v>
      </c>
      <c r="K1219" s="25">
        <v>0</v>
      </c>
      <c r="L1219" s="24">
        <v>0</v>
      </c>
      <c r="M1219" s="24">
        <f>J1219-L1219</f>
        <v>0</v>
      </c>
      <c r="N1219" s="53" t="str">
        <f>IF(J1219&lt;&gt;0,M1219/J1219,"")</f>
        <v/>
      </c>
      <c r="O1219" s="23">
        <v>2343.83</v>
      </c>
      <c r="P1219" s="25">
        <v>48</v>
      </c>
      <c r="Q1219" s="24">
        <v>1167.3800000000001</v>
      </c>
      <c r="R1219" s="24">
        <f>O1219-Q1219</f>
        <v>1176.4499999999998</v>
      </c>
      <c r="S1219" s="53">
        <f>IF(O1219&lt;&gt;0,R1219/O1219,"")</f>
        <v>0.50193486728986314</v>
      </c>
      <c r="T1219" s="10"/>
      <c r="U1219" s="23">
        <v>13990.49</v>
      </c>
      <c r="V1219" s="25">
        <v>288</v>
      </c>
      <c r="W1219" s="24">
        <v>7004.2599999999993</v>
      </c>
      <c r="X1219" s="24">
        <f>U1219-W1219</f>
        <v>6986.2300000000005</v>
      </c>
      <c r="Y1219" s="53">
        <f>IF(U1219&lt;&gt;0,X1219/U1219,"")</f>
        <v>0.49935563371976255</v>
      </c>
      <c r="Z1219" s="23">
        <v>49.33</v>
      </c>
      <c r="AA1219" s="25">
        <v>1</v>
      </c>
      <c r="AB1219" s="24">
        <v>24.32</v>
      </c>
      <c r="AC1219" s="24">
        <f t="shared" si="377"/>
        <v>25.009999999999998</v>
      </c>
      <c r="AD1219" s="53">
        <f t="shared" si="378"/>
        <v>0.50699371579160757</v>
      </c>
      <c r="AE1219" s="10"/>
    </row>
    <row r="1220" spans="1:31" x14ac:dyDescent="0.25">
      <c r="A1220" s="14" t="s">
        <v>109</v>
      </c>
      <c r="C1220" s="61" t="str">
        <f t="shared" si="376"/>
        <v>C100083</v>
      </c>
      <c r="F1220" s="8" t="str">
        <f>"C100052"</f>
        <v>C100052</v>
      </c>
      <c r="G1220" s="9" t="str">
        <f>"Black Digital Picture Frame"</f>
        <v>Black Digital Picture Frame</v>
      </c>
      <c r="H1220" s="47"/>
      <c r="I1220" s="47"/>
      <c r="J1220" s="23">
        <v>0</v>
      </c>
      <c r="K1220" s="25">
        <v>0</v>
      </c>
      <c r="L1220" s="24">
        <v>0</v>
      </c>
      <c r="M1220" s="24">
        <f>J1220-L1220</f>
        <v>0</v>
      </c>
      <c r="N1220" s="53" t="str">
        <f>IF(J1220&lt;&gt;0,M1220/J1220,"")</f>
        <v/>
      </c>
      <c r="O1220" s="23">
        <v>2278.15</v>
      </c>
      <c r="P1220" s="25">
        <v>48</v>
      </c>
      <c r="Q1220" s="24">
        <v>1071.3699999999999</v>
      </c>
      <c r="R1220" s="24">
        <f>O1220-Q1220</f>
        <v>1206.7800000000002</v>
      </c>
      <c r="S1220" s="53">
        <f>IF(O1220&lt;&gt;0,R1220/O1220,"")</f>
        <v>0.52971928977459792</v>
      </c>
      <c r="T1220" s="10"/>
      <c r="U1220" s="23">
        <v>46.489999999999995</v>
      </c>
      <c r="V1220" s="25">
        <v>1</v>
      </c>
      <c r="W1220" s="24">
        <v>22.32</v>
      </c>
      <c r="X1220" s="24">
        <f>U1220-W1220</f>
        <v>24.169999999999995</v>
      </c>
      <c r="Y1220" s="53">
        <f>IF(U1220&lt;&gt;0,X1220/U1220,"")</f>
        <v>0.51989675198967511</v>
      </c>
      <c r="Z1220" s="23">
        <v>0</v>
      </c>
      <c r="AA1220" s="25">
        <v>0</v>
      </c>
      <c r="AB1220" s="24">
        <v>0</v>
      </c>
      <c r="AC1220" s="24">
        <f t="shared" si="377"/>
        <v>0</v>
      </c>
      <c r="AD1220" s="53" t="str">
        <f t="shared" si="378"/>
        <v/>
      </c>
      <c r="AE1220" s="10"/>
    </row>
    <row r="1221" spans="1:31" x14ac:dyDescent="0.25">
      <c r="A1221" s="14" t="s">
        <v>109</v>
      </c>
      <c r="C1221" s="61" t="str">
        <f t="shared" si="376"/>
        <v>C100083</v>
      </c>
      <c r="F1221" s="8" t="str">
        <f>"C100053"</f>
        <v>C100053</v>
      </c>
      <c r="G1221" s="9" t="str">
        <f>"Book Style Photo Frame &amp; Clock"</f>
        <v>Book Style Photo Frame &amp; Clock</v>
      </c>
      <c r="H1221" s="47"/>
      <c r="I1221" s="47"/>
      <c r="J1221" s="23">
        <v>0</v>
      </c>
      <c r="K1221" s="25">
        <v>0</v>
      </c>
      <c r="L1221" s="24">
        <v>0</v>
      </c>
      <c r="M1221" s="24">
        <f>J1221-L1221</f>
        <v>0</v>
      </c>
      <c r="N1221" s="53" t="str">
        <f>IF(J1221&lt;&gt;0,M1221/J1221,"")</f>
        <v/>
      </c>
      <c r="O1221" s="23">
        <v>121.22999999999999</v>
      </c>
      <c r="P1221" s="25">
        <v>6</v>
      </c>
      <c r="Q1221" s="24">
        <v>72.239999999999995</v>
      </c>
      <c r="R1221" s="24">
        <f>O1221-Q1221</f>
        <v>48.989999999999995</v>
      </c>
      <c r="S1221" s="53">
        <f>IF(O1221&lt;&gt;0,R1221/O1221,"")</f>
        <v>0.40410789408562237</v>
      </c>
      <c r="T1221" s="10"/>
      <c r="U1221" s="23">
        <v>999.63</v>
      </c>
      <c r="V1221" s="25">
        <v>49</v>
      </c>
      <c r="W1221" s="24">
        <v>589.95000000000005</v>
      </c>
      <c r="X1221" s="24">
        <f>U1221-W1221</f>
        <v>409.67999999999995</v>
      </c>
      <c r="Y1221" s="53">
        <f>IF(U1221&lt;&gt;0,X1221/U1221,"")</f>
        <v>0.40983163770595116</v>
      </c>
      <c r="Z1221" s="23">
        <v>0</v>
      </c>
      <c r="AA1221" s="25">
        <v>0</v>
      </c>
      <c r="AB1221" s="24">
        <v>0</v>
      </c>
      <c r="AC1221" s="24">
        <f t="shared" si="377"/>
        <v>0</v>
      </c>
      <c r="AD1221" s="53" t="str">
        <f t="shared" si="378"/>
        <v/>
      </c>
      <c r="AE1221" s="10"/>
    </row>
    <row r="1222" spans="1:31" x14ac:dyDescent="0.25">
      <c r="A1222" s="14" t="s">
        <v>109</v>
      </c>
      <c r="C1222" s="61" t="str">
        <f t="shared" si="376"/>
        <v>C100083</v>
      </c>
      <c r="F1222" s="8" t="str">
        <f>"C100054"</f>
        <v>C100054</v>
      </c>
      <c r="G1222" s="9" t="str">
        <f>"Cherry Finish Photo Frame &amp; Clock"</f>
        <v>Cherry Finish Photo Frame &amp; Clock</v>
      </c>
      <c r="H1222" s="47"/>
      <c r="I1222" s="47"/>
      <c r="J1222" s="23">
        <v>2886.48</v>
      </c>
      <c r="K1222" s="25">
        <v>144</v>
      </c>
      <c r="L1222" s="24">
        <v>1935.32</v>
      </c>
      <c r="M1222" s="24">
        <f>J1222-L1222</f>
        <v>951.16000000000008</v>
      </c>
      <c r="N1222" s="53">
        <f>IF(J1222&lt;&gt;0,M1222/J1222,"")</f>
        <v>0.3295224633463596</v>
      </c>
      <c r="O1222" s="23">
        <v>124.07000000000001</v>
      </c>
      <c r="P1222" s="25">
        <v>6</v>
      </c>
      <c r="Q1222" s="24">
        <v>80.64</v>
      </c>
      <c r="R1222" s="24">
        <f>O1222-Q1222</f>
        <v>43.430000000000007</v>
      </c>
      <c r="S1222" s="53">
        <f>IF(O1222&lt;&gt;0,R1222/O1222,"")</f>
        <v>0.35004432981381484</v>
      </c>
      <c r="T1222" s="10"/>
      <c r="U1222" s="23">
        <v>0</v>
      </c>
      <c r="V1222" s="25">
        <v>0</v>
      </c>
      <c r="W1222" s="24">
        <v>0</v>
      </c>
      <c r="X1222" s="24">
        <f>U1222-W1222</f>
        <v>0</v>
      </c>
      <c r="Y1222" s="53" t="str">
        <f>IF(U1222&lt;&gt;0,X1222/U1222,"")</f>
        <v/>
      </c>
      <c r="Z1222" s="23">
        <v>5924.88</v>
      </c>
      <c r="AA1222" s="25">
        <v>288</v>
      </c>
      <c r="AB1222" s="24">
        <v>3870.64</v>
      </c>
      <c r="AC1222" s="24">
        <f t="shared" si="377"/>
        <v>2054.2400000000002</v>
      </c>
      <c r="AD1222" s="53">
        <f t="shared" si="378"/>
        <v>0.34671419505542733</v>
      </c>
      <c r="AE1222" s="10"/>
    </row>
    <row r="1223" spans="1:31" x14ac:dyDescent="0.25">
      <c r="A1223" s="14" t="s">
        <v>109</v>
      </c>
      <c r="C1223" s="61" t="str">
        <f t="shared" si="376"/>
        <v>C100083</v>
      </c>
      <c r="F1223" s="8" t="str">
        <f>"E100018"</f>
        <v>E100018</v>
      </c>
      <c r="G1223" s="9" t="str">
        <f>"Flexi-Clock &amp; Clip"</f>
        <v>Flexi-Clock &amp; Clip</v>
      </c>
      <c r="H1223" s="47"/>
      <c r="I1223" s="47"/>
      <c r="J1223" s="23">
        <v>182.52</v>
      </c>
      <c r="K1223" s="25">
        <v>170</v>
      </c>
      <c r="L1223" s="24">
        <v>101.98</v>
      </c>
      <c r="M1223" s="24">
        <f>J1223-L1223</f>
        <v>80.540000000000006</v>
      </c>
      <c r="N1223" s="53">
        <f>IF(J1223&lt;&gt;0,M1223/J1223,"")</f>
        <v>0.44126671049747973</v>
      </c>
      <c r="O1223" s="23">
        <v>371.02</v>
      </c>
      <c r="P1223" s="25">
        <v>337</v>
      </c>
      <c r="Q1223" s="24">
        <v>202.18</v>
      </c>
      <c r="R1223" s="24">
        <f>O1223-Q1223</f>
        <v>168.83999999999997</v>
      </c>
      <c r="S1223" s="53">
        <f>IF(O1223&lt;&gt;0,R1223/O1223,"")</f>
        <v>0.455069807557544</v>
      </c>
      <c r="T1223" s="10"/>
      <c r="U1223" s="23">
        <v>-0.81</v>
      </c>
      <c r="V1223" s="25">
        <v>-1</v>
      </c>
      <c r="W1223" s="24">
        <v>-0.6</v>
      </c>
      <c r="X1223" s="24">
        <f>U1223-W1223</f>
        <v>-0.21000000000000008</v>
      </c>
      <c r="Y1223" s="53">
        <f>IF(U1223&lt;&gt;0,X1223/U1223,"")</f>
        <v>0.25925925925925936</v>
      </c>
      <c r="Z1223" s="23">
        <v>315.68</v>
      </c>
      <c r="AA1223" s="25">
        <v>288</v>
      </c>
      <c r="AB1223" s="24">
        <v>172.77</v>
      </c>
      <c r="AC1223" s="24">
        <f t="shared" si="377"/>
        <v>142.91</v>
      </c>
      <c r="AD1223" s="53">
        <f t="shared" si="378"/>
        <v>0.452705271160669</v>
      </c>
      <c r="AE1223" s="10"/>
    </row>
    <row r="1224" spans="1:31" x14ac:dyDescent="0.25">
      <c r="A1224" s="14" t="s">
        <v>109</v>
      </c>
      <c r="C1224" s="61" t="str">
        <f t="shared" si="376"/>
        <v>C100083</v>
      </c>
      <c r="F1224" s="8" t="str">
        <f>"E100019"</f>
        <v>E100019</v>
      </c>
      <c r="G1224" s="9" t="str">
        <f>"Mini Travel Alarm"</f>
        <v>Mini Travel Alarm</v>
      </c>
      <c r="H1224" s="47"/>
      <c r="I1224" s="47"/>
      <c r="J1224" s="23">
        <v>0</v>
      </c>
      <c r="K1224" s="25">
        <v>0</v>
      </c>
      <c r="L1224" s="24">
        <v>0</v>
      </c>
      <c r="M1224" s="24">
        <f>J1224-L1224</f>
        <v>0</v>
      </c>
      <c r="N1224" s="53" t="str">
        <f>IF(J1224&lt;&gt;0,M1224/J1224,"")</f>
        <v/>
      </c>
      <c r="O1224" s="23">
        <v>1427.1200000000001</v>
      </c>
      <c r="P1224" s="25">
        <v>434</v>
      </c>
      <c r="Q1224" s="24">
        <v>703.05000000000007</v>
      </c>
      <c r="R1224" s="24">
        <f>O1224-Q1224</f>
        <v>724.07</v>
      </c>
      <c r="S1224" s="53">
        <f>IF(O1224&lt;&gt;0,R1224/O1224,"")</f>
        <v>0.50736448231403108</v>
      </c>
      <c r="T1224" s="10"/>
      <c r="U1224" s="23">
        <v>0</v>
      </c>
      <c r="V1224" s="25">
        <v>0</v>
      </c>
      <c r="W1224" s="24">
        <v>0</v>
      </c>
      <c r="X1224" s="24">
        <f>U1224-W1224</f>
        <v>0</v>
      </c>
      <c r="Y1224" s="53" t="str">
        <f>IF(U1224&lt;&gt;0,X1224/U1224,"")</f>
        <v/>
      </c>
      <c r="Z1224" s="23">
        <v>0</v>
      </c>
      <c r="AA1224" s="25">
        <v>0</v>
      </c>
      <c r="AB1224" s="24">
        <v>0</v>
      </c>
      <c r="AC1224" s="24">
        <f t="shared" si="377"/>
        <v>0</v>
      </c>
      <c r="AD1224" s="53" t="str">
        <f t="shared" si="378"/>
        <v/>
      </c>
      <c r="AE1224" s="10"/>
    </row>
    <row r="1225" spans="1:31" x14ac:dyDescent="0.25">
      <c r="A1225" s="14" t="s">
        <v>109</v>
      </c>
      <c r="C1225" s="61" t="str">
        <f t="shared" si="376"/>
        <v>C100083</v>
      </c>
      <c r="F1225" s="8" t="str">
        <f>"E100021"</f>
        <v>E100021</v>
      </c>
      <c r="G1225" s="9" t="str">
        <f>"Slim Travel Alarm"</f>
        <v>Slim Travel Alarm</v>
      </c>
      <c r="H1225" s="47"/>
      <c r="I1225" s="47"/>
      <c r="J1225" s="23">
        <v>131.33000000000001</v>
      </c>
      <c r="K1225" s="25">
        <v>48</v>
      </c>
      <c r="L1225" s="24">
        <v>69.12</v>
      </c>
      <c r="M1225" s="24">
        <f>J1225-L1225</f>
        <v>62.210000000000008</v>
      </c>
      <c r="N1225" s="53">
        <f>IF(J1225&lt;&gt;0,M1225/J1225,"")</f>
        <v>0.47369222569100738</v>
      </c>
      <c r="O1225" s="23">
        <v>0</v>
      </c>
      <c r="P1225" s="25">
        <v>0</v>
      </c>
      <c r="Q1225" s="24">
        <v>0</v>
      </c>
      <c r="R1225" s="24">
        <f>O1225-Q1225</f>
        <v>0</v>
      </c>
      <c r="S1225" s="53" t="str">
        <f>IF(O1225&lt;&gt;0,R1225/O1225,"")</f>
        <v/>
      </c>
      <c r="T1225" s="10"/>
      <c r="U1225" s="23">
        <v>409.25000000000006</v>
      </c>
      <c r="V1225" s="25">
        <v>145</v>
      </c>
      <c r="W1225" s="24">
        <v>208.79</v>
      </c>
      <c r="X1225" s="24">
        <f>U1225-W1225</f>
        <v>200.46000000000006</v>
      </c>
      <c r="Y1225" s="53">
        <f>IF(U1225&lt;&gt;0,X1225/U1225,"")</f>
        <v>0.48982284667073922</v>
      </c>
      <c r="Z1225" s="23">
        <v>405.09999999999997</v>
      </c>
      <c r="AA1225" s="25">
        <v>145</v>
      </c>
      <c r="AB1225" s="24">
        <v>208.79</v>
      </c>
      <c r="AC1225" s="24">
        <f t="shared" si="377"/>
        <v>196.30999999999997</v>
      </c>
      <c r="AD1225" s="53">
        <f t="shared" si="378"/>
        <v>0.48459639595161685</v>
      </c>
      <c r="AE1225" s="10"/>
    </row>
    <row r="1226" spans="1:31" x14ac:dyDescent="0.25">
      <c r="A1226" s="14" t="s">
        <v>109</v>
      </c>
      <c r="C1226" s="61" t="str">
        <f t="shared" si="376"/>
        <v>C100083</v>
      </c>
      <c r="F1226" s="8" t="str">
        <f>"E100022"</f>
        <v>E100022</v>
      </c>
      <c r="G1226" s="9" t="str">
        <f>"Wide Screen Alarm Clock"</f>
        <v>Wide Screen Alarm Clock</v>
      </c>
      <c r="H1226" s="47"/>
      <c r="I1226" s="47"/>
      <c r="J1226" s="23">
        <v>3.7</v>
      </c>
      <c r="K1226" s="25">
        <v>2</v>
      </c>
      <c r="L1226" s="24">
        <v>2.56</v>
      </c>
      <c r="M1226" s="24">
        <f>J1226-L1226</f>
        <v>1.1400000000000001</v>
      </c>
      <c r="N1226" s="53">
        <f>IF(J1226&lt;&gt;0,M1226/J1226,"")</f>
        <v>0.30810810810810813</v>
      </c>
      <c r="O1226" s="23">
        <v>269.58</v>
      </c>
      <c r="P1226" s="25">
        <v>144</v>
      </c>
      <c r="Q1226" s="24">
        <v>184.31</v>
      </c>
      <c r="R1226" s="24">
        <f>O1226-Q1226</f>
        <v>85.269999999999982</v>
      </c>
      <c r="S1226" s="53">
        <f>IF(O1226&lt;&gt;0,R1226/O1226,"")</f>
        <v>0.31630684768899764</v>
      </c>
      <c r="T1226" s="10"/>
      <c r="U1226" s="23">
        <v>300.69</v>
      </c>
      <c r="V1226" s="25">
        <v>159</v>
      </c>
      <c r="W1226" s="24">
        <v>203.51</v>
      </c>
      <c r="X1226" s="24">
        <f>U1226-W1226</f>
        <v>97.18</v>
      </c>
      <c r="Y1226" s="53">
        <f>IF(U1226&lt;&gt;0,X1226/U1226,"")</f>
        <v>0.32318999634174733</v>
      </c>
      <c r="Z1226" s="23">
        <v>839.88</v>
      </c>
      <c r="AA1226" s="25">
        <v>447</v>
      </c>
      <c r="AB1226" s="24">
        <v>572.12</v>
      </c>
      <c r="AC1226" s="24">
        <f t="shared" si="377"/>
        <v>267.76</v>
      </c>
      <c r="AD1226" s="53">
        <f t="shared" si="378"/>
        <v>0.3188074486831452</v>
      </c>
      <c r="AE1226" s="10"/>
    </row>
    <row r="1227" spans="1:31" ht="15.75" thickBot="1" x14ac:dyDescent="0.3">
      <c r="A1227" s="14" t="s">
        <v>109</v>
      </c>
      <c r="C1227" s="61" t="str">
        <f>C1196</f>
        <v>C100083</v>
      </c>
      <c r="J1227" s="10"/>
      <c r="K1227" s="11"/>
      <c r="L1227" s="11"/>
      <c r="M1227" s="11"/>
      <c r="N1227" s="12"/>
      <c r="O1227" s="10"/>
      <c r="P1227" s="11"/>
      <c r="Q1227" s="11"/>
      <c r="R1227" s="11"/>
      <c r="S1227" s="12"/>
      <c r="U1227" s="10"/>
      <c r="V1227" s="11"/>
      <c r="W1227" s="11"/>
      <c r="X1227" s="11"/>
      <c r="Y1227" s="12"/>
      <c r="Z1227" s="10"/>
      <c r="AA1227" s="11"/>
      <c r="AB1227" s="11"/>
      <c r="AC1227" s="11"/>
      <c r="AD1227" s="12"/>
    </row>
    <row r="1228" spans="1:31" ht="15.75" thickBot="1" x14ac:dyDescent="0.3">
      <c r="A1228" s="14" t="s">
        <v>109</v>
      </c>
      <c r="C1228" s="61" t="str">
        <f t="shared" si="373"/>
        <v>C100083</v>
      </c>
      <c r="G1228" s="48" t="str">
        <f>C1228&amp;" TOTAL:"</f>
        <v>C100083 TOTAL:</v>
      </c>
      <c r="H1228" s="50"/>
      <c r="I1228" s="50"/>
      <c r="J1228" s="34">
        <f>SUBTOTAL(9,J1195:J1227)</f>
        <v>36649.450000000004</v>
      </c>
      <c r="K1228" s="35">
        <f>SUBTOTAL(9,K1195:K1227)</f>
        <v>2180</v>
      </c>
      <c r="L1228" s="36">
        <f>SUBTOTAL(9,L1195:L1227)</f>
        <v>20650.560000000001</v>
      </c>
      <c r="M1228" s="36">
        <f>J1228-L1228</f>
        <v>15998.890000000003</v>
      </c>
      <c r="N1228" s="37">
        <f>IF(J1228&lt;&gt;0,M1228/J1228,"")</f>
        <v>0.43653833822881383</v>
      </c>
      <c r="O1228" s="34">
        <f>SUBTOTAL(9,O1195:O1227)</f>
        <v>44952.750000000007</v>
      </c>
      <c r="P1228" s="35">
        <f>SUBTOTAL(9,P1195:P1227)</f>
        <v>2500</v>
      </c>
      <c r="Q1228" s="36">
        <f>SUBTOTAL(9,Q1195:Q1227)</f>
        <v>24322.320000000003</v>
      </c>
      <c r="R1228" s="36">
        <f>O1228-Q1228</f>
        <v>20630.430000000004</v>
      </c>
      <c r="S1228" s="37">
        <f>IF(O1228&lt;&gt;0,R1228/O1228,"")</f>
        <v>0.45893588267681068</v>
      </c>
      <c r="U1228" s="34">
        <f>SUBTOTAL(9,U1195:U1227)</f>
        <v>44840.82</v>
      </c>
      <c r="V1228" s="35">
        <f>SUBTOTAL(9,V1195:V1227)</f>
        <v>2882</v>
      </c>
      <c r="W1228" s="36">
        <f>SUBTOTAL(9,W1195:W1227)</f>
        <v>24494.02</v>
      </c>
      <c r="X1228" s="36">
        <f>U1228-W1228</f>
        <v>20346.8</v>
      </c>
      <c r="Y1228" s="37">
        <f>IF(U1228&lt;&gt;0,X1228/U1228,"")</f>
        <v>0.45375619803562911</v>
      </c>
      <c r="Z1228" s="34">
        <f>SUBTOTAL(9,Z1195:Z1227)</f>
        <v>34565.56</v>
      </c>
      <c r="AA1228" s="35">
        <f>SUBTOTAL(9,AA1195:AA1227)</f>
        <v>2222</v>
      </c>
      <c r="AB1228" s="36">
        <f>SUBTOTAL(9,AB1195:AB1227)</f>
        <v>20219.66</v>
      </c>
      <c r="AC1228" s="36">
        <f t="shared" ref="AC1228" si="379">Z1228-AB1228</f>
        <v>14345.899999999998</v>
      </c>
      <c r="AD1228" s="37">
        <f t="shared" ref="AD1228" si="380">IF(Z1228&lt;&gt;0,AC1228/Z1228,"")</f>
        <v>0.4150345025510942</v>
      </c>
    </row>
    <row r="1229" spans="1:31" x14ac:dyDescent="0.25">
      <c r="A1229" s="14" t="s">
        <v>109</v>
      </c>
      <c r="C1229" s="66"/>
      <c r="J1229" s="10"/>
      <c r="K1229" s="11"/>
      <c r="L1229" s="11"/>
      <c r="M1229" s="11"/>
      <c r="N1229" s="12"/>
      <c r="O1229" s="10"/>
      <c r="P1229" s="11"/>
      <c r="Q1229" s="11"/>
      <c r="R1229" s="11"/>
      <c r="S1229" s="12"/>
      <c r="U1229" s="10"/>
      <c r="V1229" s="11"/>
      <c r="W1229" s="11"/>
      <c r="X1229" s="11"/>
      <c r="Y1229" s="12"/>
      <c r="Z1229" s="10"/>
      <c r="AA1229" s="11"/>
      <c r="AB1229" s="11"/>
      <c r="AC1229" s="11"/>
      <c r="AD1229" s="12"/>
    </row>
    <row r="1230" spans="1:31" ht="15.75" x14ac:dyDescent="0.25">
      <c r="A1230" s="14" t="s">
        <v>109</v>
      </c>
      <c r="C1230" s="66" t="str">
        <f t="shared" ref="C1230" si="381">E1230</f>
        <v>C100084</v>
      </c>
      <c r="E1230" s="13" t="str">
        <f>"C100084"</f>
        <v>C100084</v>
      </c>
      <c r="F1230" s="13"/>
      <c r="G1230" s="13" t="str">
        <f>"The Cannon Group PLC"</f>
        <v>The Cannon Group PLC</v>
      </c>
      <c r="H1230" s="13"/>
      <c r="I1230" s="13"/>
      <c r="J1230" s="10"/>
      <c r="K1230" s="11"/>
      <c r="L1230" s="11"/>
      <c r="M1230" s="11"/>
      <c r="N1230" s="12"/>
      <c r="O1230" s="10"/>
      <c r="P1230" s="11"/>
      <c r="Q1230" s="11"/>
      <c r="R1230" s="11"/>
      <c r="S1230" s="12"/>
      <c r="U1230" s="10"/>
      <c r="V1230" s="11"/>
      <c r="W1230" s="11"/>
      <c r="X1230" s="11"/>
      <c r="Y1230" s="12"/>
      <c r="Z1230" s="10"/>
      <c r="AA1230" s="11"/>
      <c r="AB1230" s="11"/>
      <c r="AC1230" s="11"/>
      <c r="AD1230" s="12"/>
    </row>
    <row r="1231" spans="1:31" ht="6.6" customHeight="1" x14ac:dyDescent="0.25">
      <c r="A1231" s="14" t="s">
        <v>109</v>
      </c>
      <c r="C1231" s="61" t="str">
        <f t="shared" ref="C1231:C1262" si="382">C1230</f>
        <v>C100084</v>
      </c>
      <c r="J1231" s="10"/>
      <c r="K1231" s="11"/>
      <c r="L1231" s="11"/>
      <c r="M1231" s="11"/>
      <c r="N1231" s="12"/>
      <c r="O1231" s="10"/>
      <c r="P1231" s="11"/>
      <c r="Q1231" s="11"/>
      <c r="R1231" s="11"/>
      <c r="S1231" s="12"/>
      <c r="U1231" s="10"/>
      <c r="V1231" s="11"/>
      <c r="W1231" s="11"/>
      <c r="X1231" s="11"/>
      <c r="Y1231" s="12"/>
      <c r="Z1231" s="10"/>
      <c r="AA1231" s="11"/>
      <c r="AB1231" s="11"/>
      <c r="AC1231" s="11"/>
      <c r="AD1231" s="12"/>
    </row>
    <row r="1232" spans="1:31" x14ac:dyDescent="0.25">
      <c r="A1232" s="14" t="s">
        <v>109</v>
      </c>
      <c r="C1232" s="61" t="str">
        <f t="shared" si="382"/>
        <v>C100084</v>
      </c>
      <c r="F1232" s="8" t="str">
        <f>"C100029"</f>
        <v>C100029</v>
      </c>
      <c r="G1232" s="9" t="str">
        <f>"Distressed Twill Visor"</f>
        <v>Distressed Twill Visor</v>
      </c>
      <c r="H1232" s="47"/>
      <c r="I1232" s="47"/>
      <c r="J1232" s="23">
        <v>482.62999999999994</v>
      </c>
      <c r="K1232" s="25">
        <v>144</v>
      </c>
      <c r="L1232" s="24">
        <v>298.09000000000003</v>
      </c>
      <c r="M1232" s="24">
        <f>J1232-L1232</f>
        <v>184.53999999999991</v>
      </c>
      <c r="N1232" s="53">
        <f>IF(J1232&lt;&gt;0,M1232/J1232,"")</f>
        <v>0.38236330107950173</v>
      </c>
      <c r="O1232" s="23">
        <v>0</v>
      </c>
      <c r="P1232" s="25">
        <v>0</v>
      </c>
      <c r="Q1232" s="24">
        <v>0</v>
      </c>
      <c r="R1232" s="24">
        <f>O1232-Q1232</f>
        <v>0</v>
      </c>
      <c r="S1232" s="53" t="str">
        <f>IF(O1232&lt;&gt;0,R1232/O1232,"")</f>
        <v/>
      </c>
      <c r="T1232" s="10"/>
      <c r="U1232" s="23">
        <v>0</v>
      </c>
      <c r="V1232" s="25">
        <v>0</v>
      </c>
      <c r="W1232" s="24">
        <v>0</v>
      </c>
      <c r="X1232" s="24">
        <f>U1232-W1232</f>
        <v>0</v>
      </c>
      <c r="Y1232" s="53" t="str">
        <f>IF(U1232&lt;&gt;0,X1232/U1232,"")</f>
        <v/>
      </c>
      <c r="Z1232" s="23">
        <v>0</v>
      </c>
      <c r="AA1232" s="25">
        <v>0</v>
      </c>
      <c r="AB1232" s="24">
        <v>0</v>
      </c>
      <c r="AC1232" s="24">
        <f t="shared" ref="AC1232" si="383">Z1232-AB1232</f>
        <v>0</v>
      </c>
      <c r="AD1232" s="53" t="str">
        <f t="shared" ref="AD1232" si="384">IF(Z1232&lt;&gt;0,AC1232/Z1232,"")</f>
        <v/>
      </c>
      <c r="AE1232" s="10"/>
    </row>
    <row r="1233" spans="1:31" x14ac:dyDescent="0.25">
      <c r="A1233" s="14" t="s">
        <v>109</v>
      </c>
      <c r="C1233" s="61" t="str">
        <f t="shared" ref="C1233:C1260" si="385">C1232</f>
        <v>C100084</v>
      </c>
      <c r="F1233" s="8" t="str">
        <f>"C100030"</f>
        <v>C100030</v>
      </c>
      <c r="G1233" s="9" t="str">
        <f>"Fashion Visor"</f>
        <v>Fashion Visor</v>
      </c>
      <c r="H1233" s="47"/>
      <c r="I1233" s="47"/>
      <c r="J1233" s="23">
        <v>618.11</v>
      </c>
      <c r="K1233" s="25">
        <v>144</v>
      </c>
      <c r="L1233" s="24">
        <v>348.49</v>
      </c>
      <c r="M1233" s="24">
        <f>J1233-L1233</f>
        <v>269.62</v>
      </c>
      <c r="N1233" s="53">
        <f>IF(J1233&lt;&gt;0,M1233/J1233,"")</f>
        <v>0.4362006762550355</v>
      </c>
      <c r="O1233" s="23">
        <v>0</v>
      </c>
      <c r="P1233" s="25">
        <v>0</v>
      </c>
      <c r="Q1233" s="24">
        <v>0</v>
      </c>
      <c r="R1233" s="24">
        <f>O1233-Q1233</f>
        <v>0</v>
      </c>
      <c r="S1233" s="53" t="str">
        <f>IF(O1233&lt;&gt;0,R1233/O1233,"")</f>
        <v/>
      </c>
      <c r="T1233" s="10"/>
      <c r="U1233" s="23">
        <v>0</v>
      </c>
      <c r="V1233" s="25">
        <v>0</v>
      </c>
      <c r="W1233" s="24">
        <v>0</v>
      </c>
      <c r="X1233" s="24">
        <f>U1233-W1233</f>
        <v>0</v>
      </c>
      <c r="Y1233" s="53" t="str">
        <f>IF(U1233&lt;&gt;0,X1233/U1233,"")</f>
        <v/>
      </c>
      <c r="Z1233" s="23">
        <v>0</v>
      </c>
      <c r="AA1233" s="25">
        <v>0</v>
      </c>
      <c r="AB1233" s="24">
        <v>0</v>
      </c>
      <c r="AC1233" s="24">
        <f t="shared" ref="AC1233:AC1260" si="386">Z1233-AB1233</f>
        <v>0</v>
      </c>
      <c r="AD1233" s="53" t="str">
        <f t="shared" ref="AD1233:AD1260" si="387">IF(Z1233&lt;&gt;0,AC1233/Z1233,"")</f>
        <v/>
      </c>
      <c r="AE1233" s="10"/>
    </row>
    <row r="1234" spans="1:31" x14ac:dyDescent="0.25">
      <c r="A1234" s="14" t="s">
        <v>109</v>
      </c>
      <c r="C1234" s="61" t="str">
        <f t="shared" si="385"/>
        <v>C100084</v>
      </c>
      <c r="F1234" s="8" t="str">
        <f>"C100035"</f>
        <v>C100035</v>
      </c>
      <c r="G1234" s="9" t="str">
        <f>"Calculator &amp; World Time Clock"</f>
        <v>Calculator &amp; World Time Clock</v>
      </c>
      <c r="H1234" s="47"/>
      <c r="I1234" s="47"/>
      <c r="J1234" s="23">
        <v>414.89</v>
      </c>
      <c r="K1234" s="25">
        <v>144</v>
      </c>
      <c r="L1234" s="24">
        <v>282.24</v>
      </c>
      <c r="M1234" s="24">
        <f>J1234-L1234</f>
        <v>132.64999999999998</v>
      </c>
      <c r="N1234" s="53">
        <f>IF(J1234&lt;&gt;0,M1234/J1234,"")</f>
        <v>0.31972330015184741</v>
      </c>
      <c r="O1234" s="23">
        <v>0</v>
      </c>
      <c r="P1234" s="25">
        <v>0</v>
      </c>
      <c r="Q1234" s="24">
        <v>0</v>
      </c>
      <c r="R1234" s="24">
        <f>O1234-Q1234</f>
        <v>0</v>
      </c>
      <c r="S1234" s="53" t="str">
        <f>IF(O1234&lt;&gt;0,R1234/O1234,"")</f>
        <v/>
      </c>
      <c r="T1234" s="10"/>
      <c r="U1234" s="23">
        <v>0</v>
      </c>
      <c r="V1234" s="25">
        <v>0</v>
      </c>
      <c r="W1234" s="24">
        <v>0</v>
      </c>
      <c r="X1234" s="24">
        <f>U1234-W1234</f>
        <v>0</v>
      </c>
      <c r="Y1234" s="53" t="str">
        <f>IF(U1234&lt;&gt;0,X1234/U1234,"")</f>
        <v/>
      </c>
      <c r="Z1234" s="23">
        <v>0</v>
      </c>
      <c r="AA1234" s="25">
        <v>0</v>
      </c>
      <c r="AB1234" s="24">
        <v>0</v>
      </c>
      <c r="AC1234" s="24">
        <f t="shared" si="386"/>
        <v>0</v>
      </c>
      <c r="AD1234" s="53" t="str">
        <f t="shared" si="387"/>
        <v/>
      </c>
      <c r="AE1234" s="10"/>
    </row>
    <row r="1235" spans="1:31" x14ac:dyDescent="0.25">
      <c r="A1235" s="14" t="s">
        <v>109</v>
      </c>
      <c r="C1235" s="61" t="str">
        <f t="shared" si="385"/>
        <v>C100084</v>
      </c>
      <c r="F1235" s="8" t="str">
        <f>"C100062"</f>
        <v>C100062</v>
      </c>
      <c r="G1235" s="9" t="str">
        <f>"Tall Matte Finish Mug"</f>
        <v>Tall Matte Finish Mug</v>
      </c>
      <c r="H1235" s="47"/>
      <c r="I1235" s="47"/>
      <c r="J1235" s="23">
        <v>173.58</v>
      </c>
      <c r="K1235" s="25">
        <v>144</v>
      </c>
      <c r="L1235" s="24">
        <v>97.929999999999993</v>
      </c>
      <c r="M1235" s="24">
        <f>J1235-L1235</f>
        <v>75.65000000000002</v>
      </c>
      <c r="N1235" s="53">
        <f>IF(J1235&lt;&gt;0,M1235/J1235,"")</f>
        <v>0.43582209932019828</v>
      </c>
      <c r="O1235" s="23">
        <v>0</v>
      </c>
      <c r="P1235" s="25">
        <v>0</v>
      </c>
      <c r="Q1235" s="24">
        <v>0</v>
      </c>
      <c r="R1235" s="24">
        <f>O1235-Q1235</f>
        <v>0</v>
      </c>
      <c r="S1235" s="53" t="str">
        <f>IF(O1235&lt;&gt;0,R1235/O1235,"")</f>
        <v/>
      </c>
      <c r="T1235" s="10"/>
      <c r="U1235" s="23">
        <v>343.61</v>
      </c>
      <c r="V1235" s="25">
        <v>288</v>
      </c>
      <c r="W1235" s="24">
        <v>195.85000000000002</v>
      </c>
      <c r="X1235" s="24">
        <f>U1235-W1235</f>
        <v>147.76</v>
      </c>
      <c r="Y1235" s="53">
        <f>IF(U1235&lt;&gt;0,X1235/U1235,"")</f>
        <v>0.43002240912662609</v>
      </c>
      <c r="Z1235" s="23">
        <v>0</v>
      </c>
      <c r="AA1235" s="25">
        <v>0</v>
      </c>
      <c r="AB1235" s="24">
        <v>0</v>
      </c>
      <c r="AC1235" s="24">
        <f t="shared" si="386"/>
        <v>0</v>
      </c>
      <c r="AD1235" s="53" t="str">
        <f t="shared" si="387"/>
        <v/>
      </c>
      <c r="AE1235" s="10"/>
    </row>
    <row r="1236" spans="1:31" x14ac:dyDescent="0.25">
      <c r="A1236" s="14" t="s">
        <v>109</v>
      </c>
      <c r="C1236" s="61" t="str">
        <f t="shared" si="385"/>
        <v>C100084</v>
      </c>
      <c r="F1236" s="8" t="str">
        <f>"E100002"</f>
        <v>E100002</v>
      </c>
      <c r="G1236" s="9" t="str">
        <f>"Cotton Classic Tote"</f>
        <v>Cotton Classic Tote</v>
      </c>
      <c r="H1236" s="47"/>
      <c r="I1236" s="47"/>
      <c r="J1236" s="23">
        <v>352.8</v>
      </c>
      <c r="K1236" s="25">
        <v>288</v>
      </c>
      <c r="L1236" s="24">
        <v>184.35</v>
      </c>
      <c r="M1236" s="24">
        <f>J1236-L1236</f>
        <v>168.45000000000002</v>
      </c>
      <c r="N1236" s="53">
        <f>IF(J1236&lt;&gt;0,M1236/J1236,"")</f>
        <v>0.47746598639455784</v>
      </c>
      <c r="O1236" s="23">
        <v>0</v>
      </c>
      <c r="P1236" s="25">
        <v>0</v>
      </c>
      <c r="Q1236" s="24">
        <v>0</v>
      </c>
      <c r="R1236" s="24">
        <f>O1236-Q1236</f>
        <v>0</v>
      </c>
      <c r="S1236" s="53" t="str">
        <f>IF(O1236&lt;&gt;0,R1236/O1236,"")</f>
        <v/>
      </c>
      <c r="T1236" s="10"/>
      <c r="U1236" s="23">
        <v>183.75</v>
      </c>
      <c r="V1236" s="25">
        <v>150</v>
      </c>
      <c r="W1236" s="24">
        <v>96.02</v>
      </c>
      <c r="X1236" s="24">
        <f>U1236-W1236</f>
        <v>87.73</v>
      </c>
      <c r="Y1236" s="53">
        <f>IF(U1236&lt;&gt;0,X1236/U1236,"")</f>
        <v>0.4774421768707483</v>
      </c>
      <c r="Z1236" s="23">
        <v>0</v>
      </c>
      <c r="AA1236" s="25">
        <v>0</v>
      </c>
      <c r="AB1236" s="24">
        <v>0</v>
      </c>
      <c r="AC1236" s="24">
        <f t="shared" si="386"/>
        <v>0</v>
      </c>
      <c r="AD1236" s="53" t="str">
        <f t="shared" si="387"/>
        <v/>
      </c>
      <c r="AE1236" s="10"/>
    </row>
    <row r="1237" spans="1:31" x14ac:dyDescent="0.25">
      <c r="A1237" s="14" t="s">
        <v>109</v>
      </c>
      <c r="C1237" s="61" t="str">
        <f t="shared" si="385"/>
        <v>C100084</v>
      </c>
      <c r="F1237" s="8" t="str">
        <f>"E100003"</f>
        <v>E100003</v>
      </c>
      <c r="G1237" s="9" t="str">
        <f>"Recycled Tote"</f>
        <v>Recycled Tote</v>
      </c>
      <c r="H1237" s="47"/>
      <c r="I1237" s="47"/>
      <c r="J1237" s="23">
        <v>436.06</v>
      </c>
      <c r="K1237" s="25">
        <v>144</v>
      </c>
      <c r="L1237" s="24">
        <v>244.81000000000003</v>
      </c>
      <c r="M1237" s="24">
        <f>J1237-L1237</f>
        <v>191.24999999999997</v>
      </c>
      <c r="N1237" s="53">
        <f>IF(J1237&lt;&gt;0,M1237/J1237,"")</f>
        <v>0.4385864330596706</v>
      </c>
      <c r="O1237" s="23">
        <v>0</v>
      </c>
      <c r="P1237" s="25">
        <v>0</v>
      </c>
      <c r="Q1237" s="24">
        <v>0</v>
      </c>
      <c r="R1237" s="24">
        <f>O1237-Q1237</f>
        <v>0</v>
      </c>
      <c r="S1237" s="53" t="str">
        <f>IF(O1237&lt;&gt;0,R1237/O1237,"")</f>
        <v/>
      </c>
      <c r="T1237" s="10"/>
      <c r="U1237" s="23">
        <v>431.61</v>
      </c>
      <c r="V1237" s="25">
        <v>144</v>
      </c>
      <c r="W1237" s="24">
        <v>244.81000000000003</v>
      </c>
      <c r="X1237" s="24">
        <f>U1237-W1237</f>
        <v>186.79999999999998</v>
      </c>
      <c r="Y1237" s="53">
        <f>IF(U1237&lt;&gt;0,X1237/U1237,"")</f>
        <v>0.43279812793957501</v>
      </c>
      <c r="Z1237" s="23">
        <v>0</v>
      </c>
      <c r="AA1237" s="25">
        <v>0</v>
      </c>
      <c r="AB1237" s="24">
        <v>0</v>
      </c>
      <c r="AC1237" s="24">
        <f t="shared" si="386"/>
        <v>0</v>
      </c>
      <c r="AD1237" s="53" t="str">
        <f t="shared" si="387"/>
        <v/>
      </c>
      <c r="AE1237" s="10"/>
    </row>
    <row r="1238" spans="1:31" x14ac:dyDescent="0.25">
      <c r="A1238" s="14" t="s">
        <v>109</v>
      </c>
      <c r="C1238" s="61" t="str">
        <f t="shared" si="385"/>
        <v>C100084</v>
      </c>
      <c r="F1238" s="8" t="str">
        <f>"E100004"</f>
        <v>E100004</v>
      </c>
      <c r="G1238" s="9" t="str">
        <f>"Laminated Tote"</f>
        <v>Laminated Tote</v>
      </c>
      <c r="H1238" s="47"/>
      <c r="I1238" s="47"/>
      <c r="J1238" s="23">
        <v>530.61</v>
      </c>
      <c r="K1238" s="25">
        <v>288</v>
      </c>
      <c r="L1238" s="24">
        <v>345.61</v>
      </c>
      <c r="M1238" s="24">
        <f>J1238-L1238</f>
        <v>185</v>
      </c>
      <c r="N1238" s="53">
        <f>IF(J1238&lt;&gt;0,M1238/J1238,"")</f>
        <v>0.34865532123405135</v>
      </c>
      <c r="O1238" s="23">
        <v>0</v>
      </c>
      <c r="P1238" s="25">
        <v>0</v>
      </c>
      <c r="Q1238" s="24">
        <v>0</v>
      </c>
      <c r="R1238" s="24">
        <f>O1238-Q1238</f>
        <v>0</v>
      </c>
      <c r="S1238" s="53" t="str">
        <f>IF(O1238&lt;&gt;0,R1238/O1238,"")</f>
        <v/>
      </c>
      <c r="T1238" s="10"/>
      <c r="U1238" s="23">
        <v>0</v>
      </c>
      <c r="V1238" s="25">
        <v>0</v>
      </c>
      <c r="W1238" s="24">
        <v>0</v>
      </c>
      <c r="X1238" s="24">
        <f>U1238-W1238</f>
        <v>0</v>
      </c>
      <c r="Y1238" s="53" t="str">
        <f>IF(U1238&lt;&gt;0,X1238/U1238,"")</f>
        <v/>
      </c>
      <c r="Z1238" s="23">
        <v>0</v>
      </c>
      <c r="AA1238" s="25">
        <v>0</v>
      </c>
      <c r="AB1238" s="24">
        <v>0</v>
      </c>
      <c r="AC1238" s="24">
        <f t="shared" si="386"/>
        <v>0</v>
      </c>
      <c r="AD1238" s="53" t="str">
        <f t="shared" si="387"/>
        <v/>
      </c>
      <c r="AE1238" s="10"/>
    </row>
    <row r="1239" spans="1:31" x14ac:dyDescent="0.25">
      <c r="A1239" s="14" t="s">
        <v>109</v>
      </c>
      <c r="C1239" s="61" t="str">
        <f t="shared" si="385"/>
        <v>C100084</v>
      </c>
      <c r="F1239" s="8" t="str">
        <f>"E100006"</f>
        <v>E100006</v>
      </c>
      <c r="G1239" s="9" t="str">
        <f>"Budget Tote Bag"</f>
        <v>Budget Tote Bag</v>
      </c>
      <c r="H1239" s="47"/>
      <c r="I1239" s="47"/>
      <c r="J1239" s="23">
        <v>30.16</v>
      </c>
      <c r="K1239" s="25">
        <v>342</v>
      </c>
      <c r="L1239" s="24">
        <v>13.66</v>
      </c>
      <c r="M1239" s="24">
        <f>J1239-L1239</f>
        <v>16.5</v>
      </c>
      <c r="N1239" s="53">
        <f>IF(J1239&lt;&gt;0,M1239/J1239,"")</f>
        <v>0.54708222811671092</v>
      </c>
      <c r="O1239" s="23">
        <v>0</v>
      </c>
      <c r="P1239" s="25">
        <v>0</v>
      </c>
      <c r="Q1239" s="24">
        <v>0</v>
      </c>
      <c r="R1239" s="24">
        <f>O1239-Q1239</f>
        <v>0</v>
      </c>
      <c r="S1239" s="53" t="str">
        <f>IF(O1239&lt;&gt;0,R1239/O1239,"")</f>
        <v/>
      </c>
      <c r="T1239" s="10"/>
      <c r="U1239" s="23">
        <v>0.09</v>
      </c>
      <c r="V1239" s="25">
        <v>1</v>
      </c>
      <c r="W1239" s="24">
        <v>0.04</v>
      </c>
      <c r="X1239" s="24">
        <f>U1239-W1239</f>
        <v>4.9999999999999996E-2</v>
      </c>
      <c r="Y1239" s="53">
        <f>IF(U1239&lt;&gt;0,X1239/U1239,"")</f>
        <v>0.55555555555555558</v>
      </c>
      <c r="Z1239" s="23">
        <v>25.4</v>
      </c>
      <c r="AA1239" s="25">
        <v>288</v>
      </c>
      <c r="AB1239" s="24">
        <v>11.5</v>
      </c>
      <c r="AC1239" s="24">
        <f t="shared" si="386"/>
        <v>13.899999999999999</v>
      </c>
      <c r="AD1239" s="53">
        <f t="shared" si="387"/>
        <v>0.547244094488189</v>
      </c>
      <c r="AE1239" s="10"/>
    </row>
    <row r="1240" spans="1:31" x14ac:dyDescent="0.25">
      <c r="A1240" s="14" t="s">
        <v>109</v>
      </c>
      <c r="C1240" s="61" t="str">
        <f t="shared" si="385"/>
        <v>C100084</v>
      </c>
      <c r="F1240" s="8" t="str">
        <f>"E100007"</f>
        <v>E100007</v>
      </c>
      <c r="G1240" s="9" t="str">
        <f>"Plastic Handle Bag"</f>
        <v>Plastic Handle Bag</v>
      </c>
      <c r="H1240" s="47"/>
      <c r="I1240" s="47"/>
      <c r="J1240" s="23">
        <v>93.14</v>
      </c>
      <c r="K1240" s="25">
        <v>288</v>
      </c>
      <c r="L1240" s="24">
        <v>51.84</v>
      </c>
      <c r="M1240" s="24">
        <f>J1240-L1240</f>
        <v>41.3</v>
      </c>
      <c r="N1240" s="53">
        <f>IF(J1240&lt;&gt;0,M1240/J1240,"")</f>
        <v>0.44341850977023833</v>
      </c>
      <c r="O1240" s="23">
        <v>0</v>
      </c>
      <c r="P1240" s="25">
        <v>0</v>
      </c>
      <c r="Q1240" s="24">
        <v>0</v>
      </c>
      <c r="R1240" s="24">
        <f>O1240-Q1240</f>
        <v>0</v>
      </c>
      <c r="S1240" s="53" t="str">
        <f>IF(O1240&lt;&gt;0,R1240/O1240,"")</f>
        <v/>
      </c>
      <c r="T1240" s="10"/>
      <c r="U1240" s="23">
        <v>0</v>
      </c>
      <c r="V1240" s="25">
        <v>0</v>
      </c>
      <c r="W1240" s="24">
        <v>0</v>
      </c>
      <c r="X1240" s="24">
        <f>U1240-W1240</f>
        <v>0</v>
      </c>
      <c r="Y1240" s="53" t="str">
        <f>IF(U1240&lt;&gt;0,X1240/U1240,"")</f>
        <v/>
      </c>
      <c r="Z1240" s="23">
        <v>0.32</v>
      </c>
      <c r="AA1240" s="25">
        <v>1</v>
      </c>
      <c r="AB1240" s="24">
        <v>0.18</v>
      </c>
      <c r="AC1240" s="24">
        <f t="shared" si="386"/>
        <v>0.14000000000000001</v>
      </c>
      <c r="AD1240" s="53">
        <f t="shared" si="387"/>
        <v>0.43750000000000006</v>
      </c>
      <c r="AE1240" s="10"/>
    </row>
    <row r="1241" spans="1:31" x14ac:dyDescent="0.25">
      <c r="A1241" s="14" t="s">
        <v>109</v>
      </c>
      <c r="C1241" s="61" t="str">
        <f t="shared" si="385"/>
        <v>C100084</v>
      </c>
      <c r="F1241" s="8" t="str">
        <f>"E100009"</f>
        <v>E100009</v>
      </c>
      <c r="G1241" s="9" t="str">
        <f>"Die-Cut Tote"</f>
        <v>Die-Cut Tote</v>
      </c>
      <c r="H1241" s="47"/>
      <c r="I1241" s="47"/>
      <c r="J1241" s="23">
        <v>32.46</v>
      </c>
      <c r="K1241" s="25">
        <v>144</v>
      </c>
      <c r="L1241" s="24">
        <v>15.85</v>
      </c>
      <c r="M1241" s="24">
        <f>J1241-L1241</f>
        <v>16.61</v>
      </c>
      <c r="N1241" s="53">
        <f>IF(J1241&lt;&gt;0,M1241/J1241,"")</f>
        <v>0.51170671595810224</v>
      </c>
      <c r="O1241" s="23">
        <v>0</v>
      </c>
      <c r="P1241" s="25">
        <v>0</v>
      </c>
      <c r="Q1241" s="24">
        <v>0</v>
      </c>
      <c r="R1241" s="24">
        <f>O1241-Q1241</f>
        <v>0</v>
      </c>
      <c r="S1241" s="53" t="str">
        <f>IF(O1241&lt;&gt;0,R1241/O1241,"")</f>
        <v/>
      </c>
      <c r="T1241" s="10"/>
      <c r="U1241" s="23">
        <v>32.129999999999995</v>
      </c>
      <c r="V1241" s="25">
        <v>144</v>
      </c>
      <c r="W1241" s="24">
        <v>15.85</v>
      </c>
      <c r="X1241" s="24">
        <f>U1241-W1241</f>
        <v>16.279999999999994</v>
      </c>
      <c r="Y1241" s="53">
        <f>IF(U1241&lt;&gt;0,X1241/U1241,"")</f>
        <v>0.50669156551509487</v>
      </c>
      <c r="Z1241" s="23">
        <v>0.23</v>
      </c>
      <c r="AA1241" s="25">
        <v>1</v>
      </c>
      <c r="AB1241" s="24">
        <v>0.11</v>
      </c>
      <c r="AC1241" s="24">
        <f t="shared" si="386"/>
        <v>0.12000000000000001</v>
      </c>
      <c r="AD1241" s="53">
        <f t="shared" si="387"/>
        <v>0.52173913043478259</v>
      </c>
      <c r="AE1241" s="10"/>
    </row>
    <row r="1242" spans="1:31" x14ac:dyDescent="0.25">
      <c r="A1242" s="14" t="s">
        <v>109</v>
      </c>
      <c r="C1242" s="61" t="str">
        <f t="shared" si="385"/>
        <v>C100084</v>
      </c>
      <c r="F1242" s="8" t="str">
        <f>"E100011"</f>
        <v>E100011</v>
      </c>
      <c r="G1242" s="9" t="str">
        <f>"Plastic Sun Visor"</f>
        <v>Plastic Sun Visor</v>
      </c>
      <c r="H1242" s="47"/>
      <c r="I1242" s="47"/>
      <c r="J1242" s="23">
        <v>114.31</v>
      </c>
      <c r="K1242" s="25">
        <v>144</v>
      </c>
      <c r="L1242" s="24">
        <v>60.470000000000006</v>
      </c>
      <c r="M1242" s="24">
        <f>J1242-L1242</f>
        <v>53.839999999999996</v>
      </c>
      <c r="N1242" s="53">
        <f>IF(J1242&lt;&gt;0,M1242/J1242,"")</f>
        <v>0.47099991251858975</v>
      </c>
      <c r="O1242" s="23">
        <v>0</v>
      </c>
      <c r="P1242" s="25">
        <v>0</v>
      </c>
      <c r="Q1242" s="24">
        <v>0</v>
      </c>
      <c r="R1242" s="24">
        <f>O1242-Q1242</f>
        <v>0</v>
      </c>
      <c r="S1242" s="53" t="str">
        <f>IF(O1242&lt;&gt;0,R1242/O1242,"")</f>
        <v/>
      </c>
      <c r="T1242" s="10"/>
      <c r="U1242" s="23">
        <v>0</v>
      </c>
      <c r="V1242" s="25">
        <v>0</v>
      </c>
      <c r="W1242" s="24">
        <v>0</v>
      </c>
      <c r="X1242" s="24">
        <f>U1242-W1242</f>
        <v>0</v>
      </c>
      <c r="Y1242" s="53" t="str">
        <f>IF(U1242&lt;&gt;0,X1242/U1242,"")</f>
        <v/>
      </c>
      <c r="Z1242" s="23">
        <v>0</v>
      </c>
      <c r="AA1242" s="25">
        <v>0</v>
      </c>
      <c r="AB1242" s="24">
        <v>0</v>
      </c>
      <c r="AC1242" s="24">
        <f t="shared" si="386"/>
        <v>0</v>
      </c>
      <c r="AD1242" s="53" t="str">
        <f t="shared" si="387"/>
        <v/>
      </c>
      <c r="AE1242" s="10"/>
    </row>
    <row r="1243" spans="1:31" x14ac:dyDescent="0.25">
      <c r="A1243" s="14" t="s">
        <v>109</v>
      </c>
      <c r="C1243" s="61" t="str">
        <f t="shared" si="385"/>
        <v>C100084</v>
      </c>
      <c r="F1243" s="8" t="str">
        <f>"E100017"</f>
        <v>E100017</v>
      </c>
      <c r="G1243" s="9" t="str">
        <f>"Clip-on Clock with Compass"</f>
        <v>Clip-on Clock with Compass</v>
      </c>
      <c r="H1243" s="47"/>
      <c r="I1243" s="47"/>
      <c r="J1243" s="23">
        <v>220.14999999999998</v>
      </c>
      <c r="K1243" s="25">
        <v>144</v>
      </c>
      <c r="L1243" s="24">
        <v>126.72</v>
      </c>
      <c r="M1243" s="24">
        <f>J1243-L1243</f>
        <v>93.429999999999978</v>
      </c>
      <c r="N1243" s="53">
        <f>IF(J1243&lt;&gt;0,M1243/J1243,"")</f>
        <v>0.42439245968657729</v>
      </c>
      <c r="O1243" s="23">
        <v>0</v>
      </c>
      <c r="P1243" s="25">
        <v>0</v>
      </c>
      <c r="Q1243" s="24">
        <v>0</v>
      </c>
      <c r="R1243" s="24">
        <f>O1243-Q1243</f>
        <v>0</v>
      </c>
      <c r="S1243" s="53" t="str">
        <f>IF(O1243&lt;&gt;0,R1243/O1243,"")</f>
        <v/>
      </c>
      <c r="T1243" s="10"/>
      <c r="U1243" s="23">
        <v>0</v>
      </c>
      <c r="V1243" s="25">
        <v>0</v>
      </c>
      <c r="W1243" s="24">
        <v>0</v>
      </c>
      <c r="X1243" s="24">
        <f>U1243-W1243</f>
        <v>0</v>
      </c>
      <c r="Y1243" s="53" t="str">
        <f>IF(U1243&lt;&gt;0,X1243/U1243,"")</f>
        <v/>
      </c>
      <c r="Z1243" s="23">
        <v>0</v>
      </c>
      <c r="AA1243" s="25">
        <v>0</v>
      </c>
      <c r="AB1243" s="24">
        <v>0</v>
      </c>
      <c r="AC1243" s="24">
        <f t="shared" si="386"/>
        <v>0</v>
      </c>
      <c r="AD1243" s="53" t="str">
        <f t="shared" si="387"/>
        <v/>
      </c>
      <c r="AE1243" s="10"/>
    </row>
    <row r="1244" spans="1:31" x14ac:dyDescent="0.25">
      <c r="A1244" s="14" t="s">
        <v>109</v>
      </c>
      <c r="C1244" s="61" t="str">
        <f t="shared" si="385"/>
        <v>C100084</v>
      </c>
      <c r="F1244" s="8" t="str">
        <f>"E100018"</f>
        <v>E100018</v>
      </c>
      <c r="G1244" s="9" t="str">
        <f>"Flexi-Clock &amp; Clip"</f>
        <v>Flexi-Clock &amp; Clip</v>
      </c>
      <c r="H1244" s="47"/>
      <c r="I1244" s="47"/>
      <c r="J1244" s="23">
        <v>159.47</v>
      </c>
      <c r="K1244" s="25">
        <v>144</v>
      </c>
      <c r="L1244" s="24">
        <v>86.39</v>
      </c>
      <c r="M1244" s="24">
        <f>J1244-L1244</f>
        <v>73.08</v>
      </c>
      <c r="N1244" s="53">
        <f>IF(J1244&lt;&gt;0,M1244/J1244,"")</f>
        <v>0.45826801279237472</v>
      </c>
      <c r="O1244" s="23">
        <v>0</v>
      </c>
      <c r="P1244" s="25">
        <v>0</v>
      </c>
      <c r="Q1244" s="24">
        <v>0</v>
      </c>
      <c r="R1244" s="24">
        <f>O1244-Q1244</f>
        <v>0</v>
      </c>
      <c r="S1244" s="53" t="str">
        <f>IF(O1244&lt;&gt;0,R1244/O1244,"")</f>
        <v/>
      </c>
      <c r="T1244" s="10"/>
      <c r="U1244" s="23">
        <v>0</v>
      </c>
      <c r="V1244" s="25">
        <v>0</v>
      </c>
      <c r="W1244" s="24">
        <v>0</v>
      </c>
      <c r="X1244" s="24">
        <f>U1244-W1244</f>
        <v>0</v>
      </c>
      <c r="Y1244" s="53" t="str">
        <f>IF(U1244&lt;&gt;0,X1244/U1244,"")</f>
        <v/>
      </c>
      <c r="Z1244" s="23">
        <v>318.93</v>
      </c>
      <c r="AA1244" s="25">
        <v>288</v>
      </c>
      <c r="AB1244" s="24">
        <v>172.77</v>
      </c>
      <c r="AC1244" s="24">
        <f t="shared" si="386"/>
        <v>146.16</v>
      </c>
      <c r="AD1244" s="53">
        <f t="shared" si="387"/>
        <v>0.45828238171385566</v>
      </c>
      <c r="AE1244" s="10"/>
    </row>
    <row r="1245" spans="1:31" x14ac:dyDescent="0.25">
      <c r="A1245" s="14" t="s">
        <v>109</v>
      </c>
      <c r="C1245" s="61" t="str">
        <f t="shared" si="385"/>
        <v>C100084</v>
      </c>
      <c r="F1245" s="8" t="str">
        <f>"E100027"</f>
        <v>E100027</v>
      </c>
      <c r="G1245" s="9" t="str">
        <f>"Ergo-Calculator"</f>
        <v>Ergo-Calculator</v>
      </c>
      <c r="H1245" s="47"/>
      <c r="I1245" s="47"/>
      <c r="J1245" s="23">
        <v>341.51</v>
      </c>
      <c r="K1245" s="25">
        <v>144</v>
      </c>
      <c r="L1245" s="24">
        <v>184.35</v>
      </c>
      <c r="M1245" s="24">
        <f>J1245-L1245</f>
        <v>157.16</v>
      </c>
      <c r="N1245" s="53">
        <f>IF(J1245&lt;&gt;0,M1245/J1245,"")</f>
        <v>0.46019150244502355</v>
      </c>
      <c r="O1245" s="23">
        <v>0</v>
      </c>
      <c r="P1245" s="25">
        <v>0</v>
      </c>
      <c r="Q1245" s="24">
        <v>0</v>
      </c>
      <c r="R1245" s="24">
        <f>O1245-Q1245</f>
        <v>0</v>
      </c>
      <c r="S1245" s="53" t="str">
        <f>IF(O1245&lt;&gt;0,R1245/O1245,"")</f>
        <v/>
      </c>
      <c r="T1245" s="10"/>
      <c r="U1245" s="23">
        <v>0</v>
      </c>
      <c r="V1245" s="25">
        <v>0</v>
      </c>
      <c r="W1245" s="24">
        <v>0</v>
      </c>
      <c r="X1245" s="24">
        <f>U1245-W1245</f>
        <v>0</v>
      </c>
      <c r="Y1245" s="53" t="str">
        <f>IF(U1245&lt;&gt;0,X1245/U1245,"")</f>
        <v/>
      </c>
      <c r="Z1245" s="23">
        <v>0</v>
      </c>
      <c r="AA1245" s="25">
        <v>0</v>
      </c>
      <c r="AB1245" s="24">
        <v>0</v>
      </c>
      <c r="AC1245" s="24">
        <f t="shared" si="386"/>
        <v>0</v>
      </c>
      <c r="AD1245" s="53" t="str">
        <f t="shared" si="387"/>
        <v/>
      </c>
      <c r="AE1245" s="10"/>
    </row>
    <row r="1246" spans="1:31" x14ac:dyDescent="0.25">
      <c r="A1246" s="14" t="s">
        <v>109</v>
      </c>
      <c r="C1246" s="61" t="str">
        <f t="shared" si="385"/>
        <v>C100084</v>
      </c>
      <c r="F1246" s="8" t="str">
        <f>"E100028"</f>
        <v>E100028</v>
      </c>
      <c r="G1246" s="9" t="str">
        <f>"USB 4-Port Hub"</f>
        <v>USB 4-Port Hub</v>
      </c>
      <c r="H1246" s="47"/>
      <c r="I1246" s="47"/>
      <c r="J1246" s="23">
        <v>406.42999999999995</v>
      </c>
      <c r="K1246" s="25">
        <v>144</v>
      </c>
      <c r="L1246" s="24">
        <v>267.91000000000003</v>
      </c>
      <c r="M1246" s="24">
        <f>J1246-L1246</f>
        <v>138.51999999999992</v>
      </c>
      <c r="N1246" s="53">
        <f>IF(J1246&lt;&gt;0,M1246/J1246,"")</f>
        <v>0.34082129764042995</v>
      </c>
      <c r="O1246" s="23">
        <v>0</v>
      </c>
      <c r="P1246" s="25">
        <v>0</v>
      </c>
      <c r="Q1246" s="24">
        <v>0</v>
      </c>
      <c r="R1246" s="24">
        <f>O1246-Q1246</f>
        <v>0</v>
      </c>
      <c r="S1246" s="53" t="str">
        <f>IF(O1246&lt;&gt;0,R1246/O1246,"")</f>
        <v/>
      </c>
      <c r="T1246" s="10"/>
      <c r="U1246" s="23">
        <v>808.70999999999992</v>
      </c>
      <c r="V1246" s="25">
        <v>288</v>
      </c>
      <c r="W1246" s="24">
        <v>535.82000000000005</v>
      </c>
      <c r="X1246" s="24">
        <f>U1246-W1246</f>
        <v>272.88999999999987</v>
      </c>
      <c r="Y1246" s="53">
        <f>IF(U1246&lt;&gt;0,X1246/U1246,"")</f>
        <v>0.33743863684138925</v>
      </c>
      <c r="Z1246" s="23">
        <v>0</v>
      </c>
      <c r="AA1246" s="25">
        <v>0</v>
      </c>
      <c r="AB1246" s="24">
        <v>0</v>
      </c>
      <c r="AC1246" s="24">
        <f t="shared" si="386"/>
        <v>0</v>
      </c>
      <c r="AD1246" s="53" t="str">
        <f t="shared" si="387"/>
        <v/>
      </c>
      <c r="AE1246" s="10"/>
    </row>
    <row r="1247" spans="1:31" x14ac:dyDescent="0.25">
      <c r="A1247" s="14" t="s">
        <v>109</v>
      </c>
      <c r="C1247" s="61" t="str">
        <f t="shared" si="385"/>
        <v>C100084</v>
      </c>
      <c r="F1247" s="8" t="str">
        <f>"E100030"</f>
        <v>E100030</v>
      </c>
      <c r="G1247" s="9" t="str">
        <f>"LED Keychain"</f>
        <v>LED Keychain</v>
      </c>
      <c r="H1247" s="47"/>
      <c r="I1247" s="47"/>
      <c r="J1247" s="23">
        <v>136.88999999999999</v>
      </c>
      <c r="K1247" s="25">
        <v>144</v>
      </c>
      <c r="L1247" s="24">
        <v>72.05</v>
      </c>
      <c r="M1247" s="24">
        <f>J1247-L1247</f>
        <v>64.839999999999989</v>
      </c>
      <c r="N1247" s="53">
        <f>IF(J1247&lt;&gt;0,M1247/J1247,"")</f>
        <v>0.47366498648549926</v>
      </c>
      <c r="O1247" s="23">
        <v>0</v>
      </c>
      <c r="P1247" s="25">
        <v>0</v>
      </c>
      <c r="Q1247" s="24">
        <v>0</v>
      </c>
      <c r="R1247" s="24">
        <f>O1247-Q1247</f>
        <v>0</v>
      </c>
      <c r="S1247" s="53" t="str">
        <f>IF(O1247&lt;&gt;0,R1247/O1247,"")</f>
        <v/>
      </c>
      <c r="T1247" s="10"/>
      <c r="U1247" s="23">
        <v>135.49</v>
      </c>
      <c r="V1247" s="25">
        <v>144</v>
      </c>
      <c r="W1247" s="24">
        <v>72.05</v>
      </c>
      <c r="X1247" s="24">
        <f>U1247-W1247</f>
        <v>63.440000000000012</v>
      </c>
      <c r="Y1247" s="53">
        <f>IF(U1247&lt;&gt;0,X1247/U1247,"")</f>
        <v>0.46822643737545211</v>
      </c>
      <c r="Z1247" s="23">
        <v>0</v>
      </c>
      <c r="AA1247" s="25">
        <v>0</v>
      </c>
      <c r="AB1247" s="24">
        <v>0</v>
      </c>
      <c r="AC1247" s="24">
        <f t="shared" si="386"/>
        <v>0</v>
      </c>
      <c r="AD1247" s="53" t="str">
        <f t="shared" si="387"/>
        <v/>
      </c>
      <c r="AE1247" s="10"/>
    </row>
    <row r="1248" spans="1:31" x14ac:dyDescent="0.25">
      <c r="A1248" s="14" t="s">
        <v>109</v>
      </c>
      <c r="C1248" s="61" t="str">
        <f t="shared" si="385"/>
        <v>C100084</v>
      </c>
      <c r="F1248" s="8" t="str">
        <f>"E100032"</f>
        <v>E100032</v>
      </c>
      <c r="G1248" s="9" t="str">
        <f>"Button Key-Light"</f>
        <v>Button Key-Light</v>
      </c>
      <c r="H1248" s="47"/>
      <c r="I1248" s="47"/>
      <c r="J1248" s="23">
        <v>71.97</v>
      </c>
      <c r="K1248" s="25">
        <v>144</v>
      </c>
      <c r="L1248" s="24">
        <v>47.529999999999994</v>
      </c>
      <c r="M1248" s="24">
        <f>J1248-L1248</f>
        <v>24.440000000000005</v>
      </c>
      <c r="N1248" s="53">
        <f>IF(J1248&lt;&gt;0,M1248/J1248,"")</f>
        <v>0.33958593858552183</v>
      </c>
      <c r="O1248" s="23">
        <v>0</v>
      </c>
      <c r="P1248" s="25">
        <v>0</v>
      </c>
      <c r="Q1248" s="24">
        <v>0</v>
      </c>
      <c r="R1248" s="24">
        <f>O1248-Q1248</f>
        <v>0</v>
      </c>
      <c r="S1248" s="53" t="str">
        <f>IF(O1248&lt;&gt;0,R1248/O1248,"")</f>
        <v/>
      </c>
      <c r="T1248" s="10"/>
      <c r="U1248" s="23">
        <v>71.239999999999995</v>
      </c>
      <c r="V1248" s="25">
        <v>144</v>
      </c>
      <c r="W1248" s="24">
        <v>47.529999999999994</v>
      </c>
      <c r="X1248" s="24">
        <f>U1248-W1248</f>
        <v>23.71</v>
      </c>
      <c r="Y1248" s="53">
        <f>IF(U1248&lt;&gt;0,X1248/U1248,"")</f>
        <v>0.33281864121280186</v>
      </c>
      <c r="Z1248" s="23">
        <v>6.5</v>
      </c>
      <c r="AA1248" s="25">
        <v>13</v>
      </c>
      <c r="AB1248" s="24">
        <v>4.29</v>
      </c>
      <c r="AC1248" s="24">
        <f t="shared" si="386"/>
        <v>2.21</v>
      </c>
      <c r="AD1248" s="53">
        <f t="shared" si="387"/>
        <v>0.33999999999999997</v>
      </c>
      <c r="AE1248" s="10"/>
    </row>
    <row r="1249" spans="1:31" x14ac:dyDescent="0.25">
      <c r="A1249" s="14" t="s">
        <v>109</v>
      </c>
      <c r="C1249" s="61" t="str">
        <f t="shared" si="385"/>
        <v>C100084</v>
      </c>
      <c r="F1249" s="8" t="str">
        <f>"E100033"</f>
        <v>E100033</v>
      </c>
      <c r="G1249" s="9" t="str">
        <f>"Dual Source Flashlight"</f>
        <v>Dual Source Flashlight</v>
      </c>
      <c r="H1249" s="47"/>
      <c r="I1249" s="47"/>
      <c r="J1249" s="23">
        <v>1388.6200000000001</v>
      </c>
      <c r="K1249" s="25">
        <v>432</v>
      </c>
      <c r="L1249" s="24">
        <v>673.79</v>
      </c>
      <c r="M1249" s="24">
        <f>J1249-L1249</f>
        <v>714.83000000000015</v>
      </c>
      <c r="N1249" s="53">
        <f>IF(J1249&lt;&gt;0,M1249/J1249,"")</f>
        <v>0.51477726087770603</v>
      </c>
      <c r="O1249" s="23">
        <v>0</v>
      </c>
      <c r="P1249" s="25">
        <v>0</v>
      </c>
      <c r="Q1249" s="24">
        <v>0</v>
      </c>
      <c r="R1249" s="24">
        <f>O1249-Q1249</f>
        <v>0</v>
      </c>
      <c r="S1249" s="53" t="str">
        <f>IF(O1249&lt;&gt;0,R1249/O1249,"")</f>
        <v/>
      </c>
      <c r="T1249" s="10"/>
      <c r="U1249" s="23">
        <v>0</v>
      </c>
      <c r="V1249" s="25">
        <v>0</v>
      </c>
      <c r="W1249" s="24">
        <v>0</v>
      </c>
      <c r="X1249" s="24">
        <f>U1249-W1249</f>
        <v>0</v>
      </c>
      <c r="Y1249" s="53" t="str">
        <f>IF(U1249&lt;&gt;0,X1249/U1249,"")</f>
        <v/>
      </c>
      <c r="Z1249" s="23">
        <v>0</v>
      </c>
      <c r="AA1249" s="25">
        <v>0</v>
      </c>
      <c r="AB1249" s="24">
        <v>0</v>
      </c>
      <c r="AC1249" s="24">
        <f t="shared" si="386"/>
        <v>0</v>
      </c>
      <c r="AD1249" s="53" t="str">
        <f t="shared" si="387"/>
        <v/>
      </c>
      <c r="AE1249" s="10"/>
    </row>
    <row r="1250" spans="1:31" x14ac:dyDescent="0.25">
      <c r="A1250" s="14" t="s">
        <v>109</v>
      </c>
      <c r="C1250" s="61" t="str">
        <f t="shared" si="385"/>
        <v>C100084</v>
      </c>
      <c r="F1250" s="8" t="str">
        <f>"E100034"</f>
        <v>E100034</v>
      </c>
      <c r="G1250" s="9" t="str">
        <f>"Bamboo 1GB USB Flash Drive"</f>
        <v>Bamboo 1GB USB Flash Drive</v>
      </c>
      <c r="H1250" s="47"/>
      <c r="I1250" s="47"/>
      <c r="J1250" s="23">
        <v>819.91000000000008</v>
      </c>
      <c r="K1250" s="25">
        <v>144</v>
      </c>
      <c r="L1250" s="24">
        <v>388.83</v>
      </c>
      <c r="M1250" s="24">
        <f>J1250-L1250</f>
        <v>431.0800000000001</v>
      </c>
      <c r="N1250" s="53">
        <f>IF(J1250&lt;&gt;0,M1250/J1250,"")</f>
        <v>0.52576502299032823</v>
      </c>
      <c r="O1250" s="23">
        <v>0</v>
      </c>
      <c r="P1250" s="25">
        <v>0</v>
      </c>
      <c r="Q1250" s="24">
        <v>0</v>
      </c>
      <c r="R1250" s="24">
        <f>O1250-Q1250</f>
        <v>0</v>
      </c>
      <c r="S1250" s="53" t="str">
        <f>IF(O1250&lt;&gt;0,R1250/O1250,"")</f>
        <v/>
      </c>
      <c r="T1250" s="10"/>
      <c r="U1250" s="23">
        <v>1623.0800000000002</v>
      </c>
      <c r="V1250" s="25">
        <v>288</v>
      </c>
      <c r="W1250" s="24">
        <v>777.66</v>
      </c>
      <c r="X1250" s="24">
        <f>U1250-W1250</f>
        <v>845.42000000000019</v>
      </c>
      <c r="Y1250" s="53">
        <f>IF(U1250&lt;&gt;0,X1250/U1250,"")</f>
        <v>0.52087389407792595</v>
      </c>
      <c r="Z1250" s="23">
        <v>0</v>
      </c>
      <c r="AA1250" s="25">
        <v>0</v>
      </c>
      <c r="AB1250" s="24">
        <v>0</v>
      </c>
      <c r="AC1250" s="24">
        <f t="shared" si="386"/>
        <v>0</v>
      </c>
      <c r="AD1250" s="53" t="str">
        <f t="shared" si="387"/>
        <v/>
      </c>
      <c r="AE1250" s="10"/>
    </row>
    <row r="1251" spans="1:31" x14ac:dyDescent="0.25">
      <c r="A1251" s="14" t="s">
        <v>109</v>
      </c>
      <c r="C1251" s="61" t="str">
        <f t="shared" si="385"/>
        <v>C100084</v>
      </c>
      <c r="F1251" s="8" t="str">
        <f>"E100035"</f>
        <v>E100035</v>
      </c>
      <c r="G1251" s="9" t="str">
        <f>"2GB Foldout USB Flash Drive"</f>
        <v>2GB Foldout USB Flash Drive</v>
      </c>
      <c r="H1251" s="47"/>
      <c r="I1251" s="47"/>
      <c r="J1251" s="23">
        <v>546.13</v>
      </c>
      <c r="K1251" s="25">
        <v>144</v>
      </c>
      <c r="L1251" s="24">
        <v>324.05</v>
      </c>
      <c r="M1251" s="24">
        <f>J1251-L1251</f>
        <v>222.07999999999998</v>
      </c>
      <c r="N1251" s="53">
        <f>IF(J1251&lt;&gt;0,M1251/J1251,"")</f>
        <v>0.40664310695255707</v>
      </c>
      <c r="O1251" s="23">
        <v>0</v>
      </c>
      <c r="P1251" s="25">
        <v>0</v>
      </c>
      <c r="Q1251" s="24">
        <v>0</v>
      </c>
      <c r="R1251" s="24">
        <f>O1251-Q1251</f>
        <v>0</v>
      </c>
      <c r="S1251" s="53" t="str">
        <f>IF(O1251&lt;&gt;0,R1251/O1251,"")</f>
        <v/>
      </c>
      <c r="T1251" s="10"/>
      <c r="U1251" s="23">
        <v>0</v>
      </c>
      <c r="V1251" s="25">
        <v>0</v>
      </c>
      <c r="W1251" s="24">
        <v>0</v>
      </c>
      <c r="X1251" s="24">
        <f>U1251-W1251</f>
        <v>0</v>
      </c>
      <c r="Y1251" s="53" t="str">
        <f>IF(U1251&lt;&gt;0,X1251/U1251,"")</f>
        <v/>
      </c>
      <c r="Z1251" s="23">
        <v>546.13</v>
      </c>
      <c r="AA1251" s="25">
        <v>144</v>
      </c>
      <c r="AB1251" s="24">
        <v>324.05</v>
      </c>
      <c r="AC1251" s="24">
        <f t="shared" si="386"/>
        <v>222.07999999999998</v>
      </c>
      <c r="AD1251" s="53">
        <f t="shared" si="387"/>
        <v>0.40664310695255707</v>
      </c>
      <c r="AE1251" s="10"/>
    </row>
    <row r="1252" spans="1:31" x14ac:dyDescent="0.25">
      <c r="A1252" s="14" t="s">
        <v>109</v>
      </c>
      <c r="C1252" s="61" t="str">
        <f t="shared" si="385"/>
        <v>C100084</v>
      </c>
      <c r="F1252" s="8" t="str">
        <f>"E100040"</f>
        <v>E100040</v>
      </c>
      <c r="G1252" s="9" t="str">
        <f>"Wave Mug"</f>
        <v>Wave Mug</v>
      </c>
      <c r="H1252" s="47"/>
      <c r="I1252" s="47"/>
      <c r="J1252" s="23">
        <v>476.99</v>
      </c>
      <c r="K1252" s="25">
        <v>288</v>
      </c>
      <c r="L1252" s="24">
        <v>322.72000000000003</v>
      </c>
      <c r="M1252" s="24">
        <f>J1252-L1252</f>
        <v>154.26999999999998</v>
      </c>
      <c r="N1252" s="53">
        <f>IF(J1252&lt;&gt;0,M1252/J1252,"")</f>
        <v>0.32342397115243504</v>
      </c>
      <c r="O1252" s="23">
        <v>0</v>
      </c>
      <c r="P1252" s="25">
        <v>0</v>
      </c>
      <c r="Q1252" s="24">
        <v>0</v>
      </c>
      <c r="R1252" s="24">
        <f>O1252-Q1252</f>
        <v>0</v>
      </c>
      <c r="S1252" s="53" t="str">
        <f>IF(O1252&lt;&gt;0,R1252/O1252,"")</f>
        <v/>
      </c>
      <c r="T1252" s="10"/>
      <c r="U1252" s="23">
        <v>0</v>
      </c>
      <c r="V1252" s="25">
        <v>0</v>
      </c>
      <c r="W1252" s="24">
        <v>0</v>
      </c>
      <c r="X1252" s="24">
        <f>U1252-W1252</f>
        <v>0</v>
      </c>
      <c r="Y1252" s="53" t="str">
        <f>IF(U1252&lt;&gt;0,X1252/U1252,"")</f>
        <v/>
      </c>
      <c r="Z1252" s="23">
        <v>0</v>
      </c>
      <c r="AA1252" s="25">
        <v>0</v>
      </c>
      <c r="AB1252" s="24">
        <v>0</v>
      </c>
      <c r="AC1252" s="24">
        <f t="shared" si="386"/>
        <v>0</v>
      </c>
      <c r="AD1252" s="53" t="str">
        <f t="shared" si="387"/>
        <v/>
      </c>
      <c r="AE1252" s="10"/>
    </row>
    <row r="1253" spans="1:31" x14ac:dyDescent="0.25">
      <c r="A1253" s="14" t="s">
        <v>109</v>
      </c>
      <c r="C1253" s="61" t="str">
        <f t="shared" si="385"/>
        <v>C100084</v>
      </c>
      <c r="F1253" s="8" t="str">
        <f>"E100041"</f>
        <v>E100041</v>
      </c>
      <c r="G1253" s="9" t="str">
        <f>"Biodegradable Colored SPORT BOT"</f>
        <v>Biodegradable Colored SPORT BOT</v>
      </c>
      <c r="H1253" s="47"/>
      <c r="I1253" s="47"/>
      <c r="J1253" s="23">
        <v>98.050000000000011</v>
      </c>
      <c r="K1253" s="25">
        <v>145</v>
      </c>
      <c r="L1253" s="24">
        <v>62.33</v>
      </c>
      <c r="M1253" s="24">
        <f>J1253-L1253</f>
        <v>35.720000000000013</v>
      </c>
      <c r="N1253" s="53">
        <f>IF(J1253&lt;&gt;0,M1253/J1253,"")</f>
        <v>0.36430392656807759</v>
      </c>
      <c r="O1253" s="23">
        <v>0</v>
      </c>
      <c r="P1253" s="25">
        <v>0</v>
      </c>
      <c r="Q1253" s="24">
        <v>0</v>
      </c>
      <c r="R1253" s="24">
        <f>O1253-Q1253</f>
        <v>0</v>
      </c>
      <c r="S1253" s="53" t="str">
        <f>IF(O1253&lt;&gt;0,R1253/O1253,"")</f>
        <v/>
      </c>
      <c r="T1253" s="10"/>
      <c r="U1253" s="23">
        <v>96.38000000000001</v>
      </c>
      <c r="V1253" s="25">
        <v>144</v>
      </c>
      <c r="W1253" s="24">
        <v>61.900000000000006</v>
      </c>
      <c r="X1253" s="24">
        <f>U1253-W1253</f>
        <v>34.480000000000004</v>
      </c>
      <c r="Y1253" s="53">
        <f>IF(U1253&lt;&gt;0,X1253/U1253,"")</f>
        <v>0.35775057065781285</v>
      </c>
      <c r="Z1253" s="23">
        <v>0</v>
      </c>
      <c r="AA1253" s="25">
        <v>0</v>
      </c>
      <c r="AB1253" s="24">
        <v>0</v>
      </c>
      <c r="AC1253" s="24">
        <f t="shared" si="386"/>
        <v>0</v>
      </c>
      <c r="AD1253" s="53" t="str">
        <f t="shared" si="387"/>
        <v/>
      </c>
      <c r="AE1253" s="10"/>
    </row>
    <row r="1254" spans="1:31" x14ac:dyDescent="0.25">
      <c r="A1254" s="14" t="s">
        <v>109</v>
      </c>
      <c r="C1254" s="61" t="str">
        <f t="shared" si="385"/>
        <v>C100084</v>
      </c>
      <c r="F1254" s="8" t="str">
        <f>"E100044"</f>
        <v>E100044</v>
      </c>
      <c r="G1254" s="9" t="str">
        <f>"Juice Glass"</f>
        <v>Juice Glass</v>
      </c>
      <c r="H1254" s="47"/>
      <c r="I1254" s="47"/>
      <c r="J1254" s="23">
        <v>81.849999999999994</v>
      </c>
      <c r="K1254" s="25">
        <v>144</v>
      </c>
      <c r="L1254" s="24">
        <v>54.809999999999995</v>
      </c>
      <c r="M1254" s="24">
        <f>J1254-L1254</f>
        <v>27.04</v>
      </c>
      <c r="N1254" s="53">
        <f>IF(J1254&lt;&gt;0,M1254/J1254,"")</f>
        <v>0.33036041539401345</v>
      </c>
      <c r="O1254" s="23">
        <v>0</v>
      </c>
      <c r="P1254" s="25">
        <v>0</v>
      </c>
      <c r="Q1254" s="24">
        <v>0</v>
      </c>
      <c r="R1254" s="24">
        <f>O1254-Q1254</f>
        <v>0</v>
      </c>
      <c r="S1254" s="53" t="str">
        <f>IF(O1254&lt;&gt;0,R1254/O1254,"")</f>
        <v/>
      </c>
      <c r="T1254" s="10"/>
      <c r="U1254" s="23">
        <v>0</v>
      </c>
      <c r="V1254" s="25">
        <v>0</v>
      </c>
      <c r="W1254" s="24">
        <v>0</v>
      </c>
      <c r="X1254" s="24">
        <f>U1254-W1254</f>
        <v>0</v>
      </c>
      <c r="Y1254" s="53" t="str">
        <f>IF(U1254&lt;&gt;0,X1254/U1254,"")</f>
        <v/>
      </c>
      <c r="Z1254" s="23">
        <v>0</v>
      </c>
      <c r="AA1254" s="25">
        <v>0</v>
      </c>
      <c r="AB1254" s="24">
        <v>0</v>
      </c>
      <c r="AC1254" s="24">
        <f t="shared" si="386"/>
        <v>0</v>
      </c>
      <c r="AD1254" s="53" t="str">
        <f t="shared" si="387"/>
        <v/>
      </c>
      <c r="AE1254" s="10"/>
    </row>
    <row r="1255" spans="1:31" x14ac:dyDescent="0.25">
      <c r="A1255" s="14" t="s">
        <v>109</v>
      </c>
      <c r="C1255" s="61" t="str">
        <f t="shared" si="385"/>
        <v>C100084</v>
      </c>
      <c r="F1255" s="8" t="str">
        <f>"E100047"</f>
        <v>E100047</v>
      </c>
      <c r="G1255" s="9" t="str">
        <f>"Chardonnay Glass"</f>
        <v>Chardonnay Glass</v>
      </c>
      <c r="H1255" s="47"/>
      <c r="I1255" s="47"/>
      <c r="J1255" s="23">
        <v>254.02</v>
      </c>
      <c r="K1255" s="25">
        <v>144</v>
      </c>
      <c r="L1255" s="24">
        <v>151.19999999999999</v>
      </c>
      <c r="M1255" s="24">
        <f>J1255-L1255</f>
        <v>102.82000000000002</v>
      </c>
      <c r="N1255" s="53">
        <f>IF(J1255&lt;&gt;0,M1255/J1255,"")</f>
        <v>0.40477127785213768</v>
      </c>
      <c r="O1255" s="23">
        <v>0</v>
      </c>
      <c r="P1255" s="25">
        <v>0</v>
      </c>
      <c r="Q1255" s="24">
        <v>0</v>
      </c>
      <c r="R1255" s="24">
        <f>O1255-Q1255</f>
        <v>0</v>
      </c>
      <c r="S1255" s="53" t="str">
        <f>IF(O1255&lt;&gt;0,R1255/O1255,"")</f>
        <v/>
      </c>
      <c r="T1255" s="10"/>
      <c r="U1255" s="23">
        <v>504.59</v>
      </c>
      <c r="V1255" s="25">
        <v>289</v>
      </c>
      <c r="W1255" s="24">
        <v>303.45</v>
      </c>
      <c r="X1255" s="24">
        <f>U1255-W1255</f>
        <v>201.14</v>
      </c>
      <c r="Y1255" s="53">
        <f>IF(U1255&lt;&gt;0,X1255/U1255,"")</f>
        <v>0.39862066231990329</v>
      </c>
      <c r="Z1255" s="23">
        <v>0</v>
      </c>
      <c r="AA1255" s="25">
        <v>0</v>
      </c>
      <c r="AB1255" s="24">
        <v>0</v>
      </c>
      <c r="AC1255" s="24">
        <f t="shared" si="386"/>
        <v>0</v>
      </c>
      <c r="AD1255" s="53" t="str">
        <f t="shared" si="387"/>
        <v/>
      </c>
      <c r="AE1255" s="10"/>
    </row>
    <row r="1256" spans="1:31" x14ac:dyDescent="0.25">
      <c r="A1256" s="14" t="s">
        <v>109</v>
      </c>
      <c r="C1256" s="61" t="str">
        <f t="shared" si="385"/>
        <v>C100084</v>
      </c>
      <c r="F1256" s="8" t="str">
        <f>"S100003"</f>
        <v>S100003</v>
      </c>
      <c r="G1256" s="9" t="str">
        <f>"Soccer #1 Pin"</f>
        <v>Soccer #1 Pin</v>
      </c>
      <c r="H1256" s="47"/>
      <c r="I1256" s="47"/>
      <c r="J1256" s="23">
        <v>211.68</v>
      </c>
      <c r="K1256" s="25">
        <v>144</v>
      </c>
      <c r="L1256" s="24">
        <v>129.6</v>
      </c>
      <c r="M1256" s="24">
        <f>J1256-L1256</f>
        <v>82.080000000000013</v>
      </c>
      <c r="N1256" s="53">
        <f>IF(J1256&lt;&gt;0,M1256/J1256,"")</f>
        <v>0.38775510204081637</v>
      </c>
      <c r="O1256" s="23">
        <v>0</v>
      </c>
      <c r="P1256" s="25">
        <v>0</v>
      </c>
      <c r="Q1256" s="24">
        <v>0</v>
      </c>
      <c r="R1256" s="24">
        <f>O1256-Q1256</f>
        <v>0</v>
      </c>
      <c r="S1256" s="53" t="str">
        <f>IF(O1256&lt;&gt;0,R1256/O1256,"")</f>
        <v/>
      </c>
      <c r="T1256" s="10"/>
      <c r="U1256" s="23">
        <v>0</v>
      </c>
      <c r="V1256" s="25">
        <v>0</v>
      </c>
      <c r="W1256" s="24">
        <v>0</v>
      </c>
      <c r="X1256" s="24">
        <f>U1256-W1256</f>
        <v>0</v>
      </c>
      <c r="Y1256" s="53" t="str">
        <f>IF(U1256&lt;&gt;0,X1256/U1256,"")</f>
        <v/>
      </c>
      <c r="Z1256" s="23">
        <v>0</v>
      </c>
      <c r="AA1256" s="25">
        <v>0</v>
      </c>
      <c r="AB1256" s="24">
        <v>0</v>
      </c>
      <c r="AC1256" s="24">
        <f t="shared" si="386"/>
        <v>0</v>
      </c>
      <c r="AD1256" s="53" t="str">
        <f t="shared" si="387"/>
        <v/>
      </c>
      <c r="AE1256" s="10"/>
    </row>
    <row r="1257" spans="1:31" x14ac:dyDescent="0.25">
      <c r="A1257" s="14" t="s">
        <v>109</v>
      </c>
      <c r="C1257" s="61" t="str">
        <f t="shared" si="385"/>
        <v>C100084</v>
      </c>
      <c r="F1257" s="8" t="str">
        <f>"S100011"</f>
        <v>S100011</v>
      </c>
      <c r="G1257" s="9" t="str">
        <f>"All Star Cap"</f>
        <v>All Star Cap</v>
      </c>
      <c r="H1257" s="47"/>
      <c r="I1257" s="47"/>
      <c r="J1257" s="23">
        <v>204.62</v>
      </c>
      <c r="K1257" s="25">
        <v>144</v>
      </c>
      <c r="L1257" s="24">
        <v>122.41</v>
      </c>
      <c r="M1257" s="24">
        <f>J1257-L1257</f>
        <v>82.210000000000008</v>
      </c>
      <c r="N1257" s="53">
        <f>IF(J1257&lt;&gt;0,M1257/J1257,"")</f>
        <v>0.40176913302707462</v>
      </c>
      <c r="O1257" s="23">
        <v>0</v>
      </c>
      <c r="P1257" s="25">
        <v>0</v>
      </c>
      <c r="Q1257" s="24">
        <v>0</v>
      </c>
      <c r="R1257" s="24">
        <f>O1257-Q1257</f>
        <v>0</v>
      </c>
      <c r="S1257" s="53" t="str">
        <f>IF(O1257&lt;&gt;0,R1257/O1257,"")</f>
        <v/>
      </c>
      <c r="T1257" s="10"/>
      <c r="U1257" s="23">
        <v>405.07</v>
      </c>
      <c r="V1257" s="25">
        <v>288</v>
      </c>
      <c r="W1257" s="24">
        <v>244.81000000000003</v>
      </c>
      <c r="X1257" s="24">
        <f>U1257-W1257</f>
        <v>160.25999999999996</v>
      </c>
      <c r="Y1257" s="53">
        <f>IF(U1257&lt;&gt;0,X1257/U1257,"")</f>
        <v>0.3956353222899745</v>
      </c>
      <c r="Z1257" s="23">
        <v>0</v>
      </c>
      <c r="AA1257" s="25">
        <v>0</v>
      </c>
      <c r="AB1257" s="24">
        <v>0</v>
      </c>
      <c r="AC1257" s="24">
        <f t="shared" si="386"/>
        <v>0</v>
      </c>
      <c r="AD1257" s="53" t="str">
        <f t="shared" si="387"/>
        <v/>
      </c>
      <c r="AE1257" s="10"/>
    </row>
    <row r="1258" spans="1:31" x14ac:dyDescent="0.25">
      <c r="A1258" s="14" t="s">
        <v>109</v>
      </c>
      <c r="C1258" s="61" t="str">
        <f t="shared" si="385"/>
        <v>C100084</v>
      </c>
      <c r="F1258" s="8" t="str">
        <f>"S100019"</f>
        <v>S100019</v>
      </c>
      <c r="G1258" s="9" t="str">
        <f>"Sportsman Bucket Hat"</f>
        <v>Sportsman Bucket Hat</v>
      </c>
      <c r="H1258" s="47"/>
      <c r="I1258" s="47"/>
      <c r="J1258" s="23">
        <v>647.74</v>
      </c>
      <c r="K1258" s="25">
        <v>144</v>
      </c>
      <c r="L1258" s="24">
        <v>349.93</v>
      </c>
      <c r="M1258" s="24">
        <f>J1258-L1258</f>
        <v>297.81</v>
      </c>
      <c r="N1258" s="53">
        <f>IF(J1258&lt;&gt;0,M1258/J1258,"")</f>
        <v>0.45976780807113965</v>
      </c>
      <c r="O1258" s="23">
        <v>0</v>
      </c>
      <c r="P1258" s="25">
        <v>0</v>
      </c>
      <c r="Q1258" s="24">
        <v>0</v>
      </c>
      <c r="R1258" s="24">
        <f>O1258-Q1258</f>
        <v>0</v>
      </c>
      <c r="S1258" s="53" t="str">
        <f>IF(O1258&lt;&gt;0,R1258/O1258,"")</f>
        <v/>
      </c>
      <c r="T1258" s="10"/>
      <c r="U1258" s="23">
        <v>0</v>
      </c>
      <c r="V1258" s="25">
        <v>0</v>
      </c>
      <c r="W1258" s="24">
        <v>0</v>
      </c>
      <c r="X1258" s="24">
        <f>U1258-W1258</f>
        <v>0</v>
      </c>
      <c r="Y1258" s="53" t="str">
        <f>IF(U1258&lt;&gt;0,X1258/U1258,"")</f>
        <v/>
      </c>
      <c r="Z1258" s="23">
        <v>0</v>
      </c>
      <c r="AA1258" s="25">
        <v>0</v>
      </c>
      <c r="AB1258" s="24">
        <v>0</v>
      </c>
      <c r="AC1258" s="24">
        <f t="shared" si="386"/>
        <v>0</v>
      </c>
      <c r="AD1258" s="53" t="str">
        <f t="shared" si="387"/>
        <v/>
      </c>
      <c r="AE1258" s="10"/>
    </row>
    <row r="1259" spans="1:31" x14ac:dyDescent="0.25">
      <c r="A1259" s="14" t="s">
        <v>109</v>
      </c>
      <c r="C1259" s="61" t="str">
        <f t="shared" si="385"/>
        <v>C100084</v>
      </c>
      <c r="F1259" s="8" t="str">
        <f>"S100023"</f>
        <v>S100023</v>
      </c>
      <c r="G1259" s="9" t="str">
        <f>"Gripper SPORT BOT"</f>
        <v>Gripper SPORT BOT</v>
      </c>
      <c r="H1259" s="47"/>
      <c r="I1259" s="47"/>
      <c r="J1259" s="23">
        <v>280.83000000000004</v>
      </c>
      <c r="K1259" s="25">
        <v>144</v>
      </c>
      <c r="L1259" s="24">
        <v>142.57999999999998</v>
      </c>
      <c r="M1259" s="24">
        <f>J1259-L1259</f>
        <v>138.25000000000006</v>
      </c>
      <c r="N1259" s="53">
        <f>IF(J1259&lt;&gt;0,M1259/J1259,"")</f>
        <v>0.49229070968201416</v>
      </c>
      <c r="O1259" s="23">
        <v>0</v>
      </c>
      <c r="P1259" s="25">
        <v>0</v>
      </c>
      <c r="Q1259" s="24">
        <v>0</v>
      </c>
      <c r="R1259" s="24">
        <f>O1259-Q1259</f>
        <v>0</v>
      </c>
      <c r="S1259" s="53" t="str">
        <f>IF(O1259&lt;&gt;0,R1259/O1259,"")</f>
        <v/>
      </c>
      <c r="T1259" s="10"/>
      <c r="U1259" s="23">
        <v>0</v>
      </c>
      <c r="V1259" s="25">
        <v>0</v>
      </c>
      <c r="W1259" s="24">
        <v>0</v>
      </c>
      <c r="X1259" s="24">
        <f>U1259-W1259</f>
        <v>0</v>
      </c>
      <c r="Y1259" s="53" t="str">
        <f>IF(U1259&lt;&gt;0,X1259/U1259,"")</f>
        <v/>
      </c>
      <c r="Z1259" s="23">
        <v>0</v>
      </c>
      <c r="AA1259" s="25">
        <v>0</v>
      </c>
      <c r="AB1259" s="24">
        <v>0</v>
      </c>
      <c r="AC1259" s="24">
        <f t="shared" si="386"/>
        <v>0</v>
      </c>
      <c r="AD1259" s="53" t="str">
        <f t="shared" si="387"/>
        <v/>
      </c>
      <c r="AE1259" s="10"/>
    </row>
    <row r="1260" spans="1:31" x14ac:dyDescent="0.25">
      <c r="A1260" s="14" t="s">
        <v>109</v>
      </c>
      <c r="C1260" s="61" t="str">
        <f t="shared" si="385"/>
        <v>C100084</v>
      </c>
      <c r="F1260" s="8" t="str">
        <f>"S100026"</f>
        <v>S100026</v>
      </c>
      <c r="G1260" s="9" t="str">
        <f>"Wide SPORT BOT"</f>
        <v>Wide SPORT BOT</v>
      </c>
      <c r="H1260" s="47"/>
      <c r="I1260" s="47"/>
      <c r="J1260" s="23">
        <v>571.54000000000008</v>
      </c>
      <c r="K1260" s="25">
        <v>144</v>
      </c>
      <c r="L1260" s="24">
        <v>273.65000000000003</v>
      </c>
      <c r="M1260" s="24">
        <f>J1260-L1260</f>
        <v>297.89000000000004</v>
      </c>
      <c r="N1260" s="53">
        <f>IF(J1260&lt;&gt;0,M1260/J1260,"")</f>
        <v>0.52120586485635301</v>
      </c>
      <c r="O1260" s="23">
        <v>0</v>
      </c>
      <c r="P1260" s="25">
        <v>0</v>
      </c>
      <c r="Q1260" s="24">
        <v>0</v>
      </c>
      <c r="R1260" s="24">
        <f>O1260-Q1260</f>
        <v>0</v>
      </c>
      <c r="S1260" s="53" t="str">
        <f>IF(O1260&lt;&gt;0,R1260/O1260,"")</f>
        <v/>
      </c>
      <c r="T1260" s="10"/>
      <c r="U1260" s="23">
        <v>565.69999999999993</v>
      </c>
      <c r="V1260" s="25">
        <v>144</v>
      </c>
      <c r="W1260" s="24">
        <v>273.65000000000003</v>
      </c>
      <c r="X1260" s="24">
        <f>U1260-W1260</f>
        <v>292.0499999999999</v>
      </c>
      <c r="Y1260" s="53">
        <f>IF(U1260&lt;&gt;0,X1260/U1260,"")</f>
        <v>0.51626303694537734</v>
      </c>
      <c r="Z1260" s="23">
        <v>1143.07</v>
      </c>
      <c r="AA1260" s="25">
        <v>288</v>
      </c>
      <c r="AB1260" s="24">
        <v>547.31000000000006</v>
      </c>
      <c r="AC1260" s="24">
        <f t="shared" si="386"/>
        <v>595.75999999999988</v>
      </c>
      <c r="AD1260" s="53">
        <f t="shared" si="387"/>
        <v>0.52119292781719395</v>
      </c>
      <c r="AE1260" s="10"/>
    </row>
    <row r="1261" spans="1:31" ht="15.75" thickBot="1" x14ac:dyDescent="0.3">
      <c r="A1261" s="14" t="s">
        <v>109</v>
      </c>
      <c r="C1261" s="61" t="str">
        <f>C1232</f>
        <v>C100084</v>
      </c>
      <c r="J1261" s="10"/>
      <c r="K1261" s="11"/>
      <c r="L1261" s="11"/>
      <c r="M1261" s="11"/>
      <c r="N1261" s="12"/>
      <c r="O1261" s="10"/>
      <c r="P1261" s="11"/>
      <c r="Q1261" s="11"/>
      <c r="R1261" s="11"/>
      <c r="S1261" s="12"/>
      <c r="U1261" s="10"/>
      <c r="V1261" s="11"/>
      <c r="W1261" s="11"/>
      <c r="X1261" s="11"/>
      <c r="Y1261" s="12"/>
      <c r="Z1261" s="10"/>
      <c r="AA1261" s="11"/>
      <c r="AB1261" s="11"/>
      <c r="AC1261" s="11"/>
      <c r="AD1261" s="12"/>
    </row>
    <row r="1262" spans="1:31" ht="15.75" thickBot="1" x14ac:dyDescent="0.3">
      <c r="A1262" s="14" t="s">
        <v>109</v>
      </c>
      <c r="C1262" s="61" t="str">
        <f t="shared" si="382"/>
        <v>C100084</v>
      </c>
      <c r="G1262" s="48" t="str">
        <f>C1262&amp;" TOTAL:"</f>
        <v>C100084 TOTAL:</v>
      </c>
      <c r="H1262" s="50"/>
      <c r="I1262" s="50"/>
      <c r="J1262" s="34">
        <f>SUBTOTAL(9,J1231:J1261)</f>
        <v>10197.150000000003</v>
      </c>
      <c r="K1262" s="35">
        <f>SUBTOTAL(9,K1231:K1261)</f>
        <v>5239</v>
      </c>
      <c r="L1262" s="36">
        <f>SUBTOTAL(9,L1231:L1261)</f>
        <v>5724.1900000000005</v>
      </c>
      <c r="M1262" s="36">
        <f>J1262-L1262</f>
        <v>4472.9600000000028</v>
      </c>
      <c r="N1262" s="37">
        <f>IF(J1262&lt;&gt;0,M1262/J1262,"")</f>
        <v>0.43864805362282611</v>
      </c>
      <c r="O1262" s="34">
        <f>SUBTOTAL(9,O1231:O1261)</f>
        <v>0</v>
      </c>
      <c r="P1262" s="35">
        <f>SUBTOTAL(9,P1231:P1261)</f>
        <v>0</v>
      </c>
      <c r="Q1262" s="36">
        <f>SUBTOTAL(9,Q1231:Q1261)</f>
        <v>0</v>
      </c>
      <c r="R1262" s="36">
        <f>O1262-Q1262</f>
        <v>0</v>
      </c>
      <c r="S1262" s="37" t="str">
        <f>IF(O1262&lt;&gt;0,R1262/O1262,"")</f>
        <v/>
      </c>
      <c r="U1262" s="34">
        <f>SUBTOTAL(9,U1231:U1261)</f>
        <v>5201.45</v>
      </c>
      <c r="V1262" s="35">
        <f>SUBTOTAL(9,V1231:V1261)</f>
        <v>2456</v>
      </c>
      <c r="W1262" s="36">
        <f>SUBTOTAL(9,W1231:W1261)</f>
        <v>2869.44</v>
      </c>
      <c r="X1262" s="36">
        <f>U1262-W1262</f>
        <v>2332.0099999999998</v>
      </c>
      <c r="Y1262" s="37">
        <f>IF(U1262&lt;&gt;0,X1262/U1262,"")</f>
        <v>0.44833844408770629</v>
      </c>
      <c r="Z1262" s="34">
        <f>SUBTOTAL(9,Z1231:Z1261)</f>
        <v>2040.58</v>
      </c>
      <c r="AA1262" s="35">
        <f>SUBTOTAL(9,AA1231:AA1261)</f>
        <v>1023</v>
      </c>
      <c r="AB1262" s="36">
        <f>SUBTOTAL(9,AB1231:AB1261)</f>
        <v>1060.21</v>
      </c>
      <c r="AC1262" s="36">
        <f t="shared" ref="AC1262" si="388">Z1262-AB1262</f>
        <v>980.36999999999989</v>
      </c>
      <c r="AD1262" s="37">
        <f t="shared" ref="AD1262" si="389">IF(Z1262&lt;&gt;0,AC1262/Z1262,"")</f>
        <v>0.4804369345970263</v>
      </c>
    </row>
    <row r="1263" spans="1:31" x14ac:dyDescent="0.25">
      <c r="A1263" s="14" t="s">
        <v>109</v>
      </c>
      <c r="C1263" s="66"/>
      <c r="J1263" s="10"/>
      <c r="K1263" s="11"/>
      <c r="L1263" s="11"/>
      <c r="M1263" s="11"/>
      <c r="N1263" s="12"/>
      <c r="O1263" s="10"/>
      <c r="P1263" s="11"/>
      <c r="Q1263" s="11"/>
      <c r="R1263" s="11"/>
      <c r="S1263" s="12"/>
      <c r="U1263" s="10"/>
      <c r="V1263" s="11"/>
      <c r="W1263" s="11"/>
      <c r="X1263" s="11"/>
      <c r="Y1263" s="12"/>
      <c r="Z1263" s="10"/>
      <c r="AA1263" s="11"/>
      <c r="AB1263" s="11"/>
      <c r="AC1263" s="11"/>
      <c r="AD1263" s="12"/>
    </row>
    <row r="1264" spans="1:31" ht="15.75" x14ac:dyDescent="0.25">
      <c r="A1264" s="14" t="s">
        <v>109</v>
      </c>
      <c r="C1264" s="66" t="str">
        <f t="shared" ref="C1264" si="390">E1264</f>
        <v>C100085</v>
      </c>
      <c r="E1264" s="13" t="str">
        <f>"C100085"</f>
        <v>C100085</v>
      </c>
      <c r="F1264" s="13"/>
      <c r="G1264" s="13" t="str">
        <f>"The Device Shop"</f>
        <v>The Device Shop</v>
      </c>
      <c r="H1264" s="13"/>
      <c r="I1264" s="13"/>
      <c r="J1264" s="10"/>
      <c r="K1264" s="11"/>
      <c r="L1264" s="11"/>
      <c r="M1264" s="11"/>
      <c r="N1264" s="12"/>
      <c r="O1264" s="10"/>
      <c r="P1264" s="11"/>
      <c r="Q1264" s="11"/>
      <c r="R1264" s="11"/>
      <c r="S1264" s="12"/>
      <c r="U1264" s="10"/>
      <c r="V1264" s="11"/>
      <c r="W1264" s="11"/>
      <c r="X1264" s="11"/>
      <c r="Y1264" s="12"/>
      <c r="Z1264" s="10"/>
      <c r="AA1264" s="11"/>
      <c r="AB1264" s="11"/>
      <c r="AC1264" s="11"/>
      <c r="AD1264" s="12"/>
    </row>
    <row r="1265" spans="1:31" ht="6.6" customHeight="1" x14ac:dyDescent="0.25">
      <c r="A1265" s="14" t="s">
        <v>109</v>
      </c>
      <c r="C1265" s="61" t="str">
        <f t="shared" ref="C1265:C1296" si="391">C1264</f>
        <v>C100085</v>
      </c>
      <c r="J1265" s="10"/>
      <c r="K1265" s="11"/>
      <c r="L1265" s="11"/>
      <c r="M1265" s="11"/>
      <c r="N1265" s="12"/>
      <c r="O1265" s="10"/>
      <c r="P1265" s="11"/>
      <c r="Q1265" s="11"/>
      <c r="R1265" s="11"/>
      <c r="S1265" s="12"/>
      <c r="U1265" s="10"/>
      <c r="V1265" s="11"/>
      <c r="W1265" s="11"/>
      <c r="X1265" s="11"/>
      <c r="Y1265" s="12"/>
      <c r="Z1265" s="10"/>
      <c r="AA1265" s="11"/>
      <c r="AB1265" s="11"/>
      <c r="AC1265" s="11"/>
      <c r="AD1265" s="12"/>
    </row>
    <row r="1266" spans="1:31" x14ac:dyDescent="0.25">
      <c r="A1266" s="14" t="s">
        <v>109</v>
      </c>
      <c r="C1266" s="61" t="str">
        <f t="shared" si="391"/>
        <v>C100085</v>
      </c>
      <c r="F1266" s="8" t="str">
        <f>"C100023"</f>
        <v>C100023</v>
      </c>
      <c r="G1266" s="9" t="str">
        <f>"Two-Toned Knit Hat"</f>
        <v>Two-Toned Knit Hat</v>
      </c>
      <c r="H1266" s="47"/>
      <c r="I1266" s="47"/>
      <c r="J1266" s="23">
        <v>0</v>
      </c>
      <c r="K1266" s="25">
        <v>0</v>
      </c>
      <c r="L1266" s="24">
        <v>0</v>
      </c>
      <c r="M1266" s="24">
        <f>J1266-L1266</f>
        <v>0</v>
      </c>
      <c r="N1266" s="53" t="str">
        <f>IF(J1266&lt;&gt;0,M1266/J1266,"")</f>
        <v/>
      </c>
      <c r="O1266" s="23">
        <v>378.2</v>
      </c>
      <c r="P1266" s="25">
        <v>144</v>
      </c>
      <c r="Q1266" s="24">
        <v>181.43</v>
      </c>
      <c r="R1266" s="24">
        <f>O1266-Q1266</f>
        <v>196.76999999999998</v>
      </c>
      <c r="S1266" s="53">
        <f>IF(O1266&lt;&gt;0,R1266/O1266,"")</f>
        <v>0.52028027498677942</v>
      </c>
      <c r="T1266" s="10"/>
      <c r="U1266" s="23">
        <v>0</v>
      </c>
      <c r="V1266" s="25">
        <v>0</v>
      </c>
      <c r="W1266" s="24">
        <v>0</v>
      </c>
      <c r="X1266" s="24">
        <f>U1266-W1266</f>
        <v>0</v>
      </c>
      <c r="Y1266" s="53" t="str">
        <f>IF(U1266&lt;&gt;0,X1266/U1266,"")</f>
        <v/>
      </c>
      <c r="Z1266" s="23">
        <v>0</v>
      </c>
      <c r="AA1266" s="25">
        <v>0</v>
      </c>
      <c r="AB1266" s="24">
        <v>0</v>
      </c>
      <c r="AC1266" s="24">
        <f t="shared" ref="AC1266" si="392">Z1266-AB1266</f>
        <v>0</v>
      </c>
      <c r="AD1266" s="53" t="str">
        <f t="shared" ref="AD1266" si="393">IF(Z1266&lt;&gt;0,AC1266/Z1266,"")</f>
        <v/>
      </c>
      <c r="AE1266" s="10"/>
    </row>
    <row r="1267" spans="1:31" x14ac:dyDescent="0.25">
      <c r="A1267" s="14" t="s">
        <v>109</v>
      </c>
      <c r="C1267" s="61" t="str">
        <f t="shared" ref="C1267:C1294" si="394">C1266</f>
        <v>C100085</v>
      </c>
      <c r="F1267" s="8" t="str">
        <f>"C100025"</f>
        <v>C100025</v>
      </c>
      <c r="G1267" s="9" t="str">
        <f>"Striped Knit Hat"</f>
        <v>Striped Knit Hat</v>
      </c>
      <c r="H1267" s="47"/>
      <c r="I1267" s="47"/>
      <c r="J1267" s="23">
        <v>0</v>
      </c>
      <c r="K1267" s="25">
        <v>0</v>
      </c>
      <c r="L1267" s="24">
        <v>0</v>
      </c>
      <c r="M1267" s="24">
        <f>J1267-L1267</f>
        <v>0</v>
      </c>
      <c r="N1267" s="53" t="str">
        <f>IF(J1267&lt;&gt;0,M1267/J1267,"")</f>
        <v/>
      </c>
      <c r="O1267" s="23">
        <v>420.53000000000003</v>
      </c>
      <c r="P1267" s="25">
        <v>144</v>
      </c>
      <c r="Q1267" s="24">
        <v>198.72</v>
      </c>
      <c r="R1267" s="24">
        <f>O1267-Q1267</f>
        <v>221.81000000000003</v>
      </c>
      <c r="S1267" s="53">
        <f>IF(O1267&lt;&gt;0,R1267/O1267,"")</f>
        <v>0.52745345159679458</v>
      </c>
      <c r="T1267" s="10"/>
      <c r="U1267" s="23">
        <v>0</v>
      </c>
      <c r="V1267" s="25">
        <v>0</v>
      </c>
      <c r="W1267" s="24">
        <v>0</v>
      </c>
      <c r="X1267" s="24">
        <f>U1267-W1267</f>
        <v>0</v>
      </c>
      <c r="Y1267" s="53" t="str">
        <f>IF(U1267&lt;&gt;0,X1267/U1267,"")</f>
        <v/>
      </c>
      <c r="Z1267" s="23">
        <v>0</v>
      </c>
      <c r="AA1267" s="25">
        <v>0</v>
      </c>
      <c r="AB1267" s="24">
        <v>0</v>
      </c>
      <c r="AC1267" s="24">
        <f t="shared" ref="AC1267:AC1294" si="395">Z1267-AB1267</f>
        <v>0</v>
      </c>
      <c r="AD1267" s="53" t="str">
        <f t="shared" ref="AD1267:AD1294" si="396">IF(Z1267&lt;&gt;0,AC1267/Z1267,"")</f>
        <v/>
      </c>
      <c r="AE1267" s="10"/>
    </row>
    <row r="1268" spans="1:31" x14ac:dyDescent="0.25">
      <c r="A1268" s="14" t="s">
        <v>109</v>
      </c>
      <c r="C1268" s="61" t="str">
        <f t="shared" si="394"/>
        <v>C100085</v>
      </c>
      <c r="F1268" s="8" t="str">
        <f>"C100035"</f>
        <v>C100035</v>
      </c>
      <c r="G1268" s="9" t="str">
        <f>"Calculator &amp; World Time Clock"</f>
        <v>Calculator &amp; World Time Clock</v>
      </c>
      <c r="H1268" s="47"/>
      <c r="I1268" s="47"/>
      <c r="J1268" s="23">
        <v>0</v>
      </c>
      <c r="K1268" s="25">
        <v>0</v>
      </c>
      <c r="L1268" s="24">
        <v>0</v>
      </c>
      <c r="M1268" s="24">
        <f>J1268-L1268</f>
        <v>0</v>
      </c>
      <c r="N1268" s="53" t="str">
        <f>IF(J1268&lt;&gt;0,M1268/J1268,"")</f>
        <v/>
      </c>
      <c r="O1268" s="23">
        <v>414.9</v>
      </c>
      <c r="P1268" s="25">
        <v>144</v>
      </c>
      <c r="Q1268" s="24">
        <v>282.24</v>
      </c>
      <c r="R1268" s="24">
        <f>O1268-Q1268</f>
        <v>132.65999999999997</v>
      </c>
      <c r="S1268" s="53">
        <f>IF(O1268&lt;&gt;0,R1268/O1268,"")</f>
        <v>0.31973969631236437</v>
      </c>
      <c r="T1268" s="10"/>
      <c r="U1268" s="23">
        <v>0</v>
      </c>
      <c r="V1268" s="25">
        <v>0</v>
      </c>
      <c r="W1268" s="24">
        <v>0</v>
      </c>
      <c r="X1268" s="24">
        <f>U1268-W1268</f>
        <v>0</v>
      </c>
      <c r="Y1268" s="53" t="str">
        <f>IF(U1268&lt;&gt;0,X1268/U1268,"")</f>
        <v/>
      </c>
      <c r="Z1268" s="23">
        <v>0</v>
      </c>
      <c r="AA1268" s="25">
        <v>0</v>
      </c>
      <c r="AB1268" s="24">
        <v>0</v>
      </c>
      <c r="AC1268" s="24">
        <f t="shared" si="395"/>
        <v>0</v>
      </c>
      <c r="AD1268" s="53" t="str">
        <f t="shared" si="396"/>
        <v/>
      </c>
      <c r="AE1268" s="10"/>
    </row>
    <row r="1269" spans="1:31" x14ac:dyDescent="0.25">
      <c r="A1269" s="14" t="s">
        <v>109</v>
      </c>
      <c r="C1269" s="61" t="str">
        <f t="shared" si="394"/>
        <v>C100085</v>
      </c>
      <c r="F1269" s="8" t="str">
        <f>"C100042"</f>
        <v>C100042</v>
      </c>
      <c r="G1269" s="9" t="str">
        <f>"Retractable Earbuds"</f>
        <v>Retractable Earbuds</v>
      </c>
      <c r="H1269" s="47"/>
      <c r="I1269" s="47"/>
      <c r="J1269" s="23">
        <v>0</v>
      </c>
      <c r="K1269" s="25">
        <v>0</v>
      </c>
      <c r="L1269" s="24">
        <v>0</v>
      </c>
      <c r="M1269" s="24">
        <f>J1269-L1269</f>
        <v>0</v>
      </c>
      <c r="N1269" s="53" t="str">
        <f>IF(J1269&lt;&gt;0,M1269/J1269,"")</f>
        <v/>
      </c>
      <c r="O1269" s="23">
        <v>287.87</v>
      </c>
      <c r="P1269" s="25">
        <v>144</v>
      </c>
      <c r="Q1269" s="24">
        <v>155.60999999999999</v>
      </c>
      <c r="R1269" s="24">
        <f>O1269-Q1269</f>
        <v>132.26000000000002</v>
      </c>
      <c r="S1269" s="53">
        <f>IF(O1269&lt;&gt;0,R1269/O1269,"")</f>
        <v>0.45944349880154245</v>
      </c>
      <c r="T1269" s="10"/>
      <c r="U1269" s="23">
        <v>0</v>
      </c>
      <c r="V1269" s="25">
        <v>0</v>
      </c>
      <c r="W1269" s="24">
        <v>0</v>
      </c>
      <c r="X1269" s="24">
        <f>U1269-W1269</f>
        <v>0</v>
      </c>
      <c r="Y1269" s="53" t="str">
        <f>IF(U1269&lt;&gt;0,X1269/U1269,"")</f>
        <v/>
      </c>
      <c r="Z1269" s="23">
        <v>0</v>
      </c>
      <c r="AA1269" s="25">
        <v>0</v>
      </c>
      <c r="AB1269" s="24">
        <v>0</v>
      </c>
      <c r="AC1269" s="24">
        <f t="shared" si="395"/>
        <v>0</v>
      </c>
      <c r="AD1269" s="53" t="str">
        <f t="shared" si="396"/>
        <v/>
      </c>
      <c r="AE1269" s="10"/>
    </row>
    <row r="1270" spans="1:31" x14ac:dyDescent="0.25">
      <c r="A1270" s="14" t="s">
        <v>109</v>
      </c>
      <c r="C1270" s="61" t="str">
        <f t="shared" si="394"/>
        <v>C100085</v>
      </c>
      <c r="F1270" s="8" t="str">
        <f>"C100061"</f>
        <v>C100061</v>
      </c>
      <c r="G1270" s="9" t="str">
        <f>"Bistro Mug"</f>
        <v>Bistro Mug</v>
      </c>
      <c r="H1270" s="47"/>
      <c r="I1270" s="47"/>
      <c r="J1270" s="23">
        <v>0</v>
      </c>
      <c r="K1270" s="25">
        <v>0</v>
      </c>
      <c r="L1270" s="24">
        <v>0</v>
      </c>
      <c r="M1270" s="24">
        <f>J1270-L1270</f>
        <v>0</v>
      </c>
      <c r="N1270" s="53" t="str">
        <f>IF(J1270&lt;&gt;0,M1270/J1270,"")</f>
        <v/>
      </c>
      <c r="O1270" s="23">
        <v>372.55</v>
      </c>
      <c r="P1270" s="25">
        <v>288</v>
      </c>
      <c r="Q1270" s="24">
        <v>198.54</v>
      </c>
      <c r="R1270" s="24">
        <f>O1270-Q1270</f>
        <v>174.01000000000002</v>
      </c>
      <c r="S1270" s="53">
        <f>IF(O1270&lt;&gt;0,R1270/O1270,"")</f>
        <v>0.46707824453093549</v>
      </c>
      <c r="T1270" s="10"/>
      <c r="U1270" s="23">
        <v>0</v>
      </c>
      <c r="V1270" s="25">
        <v>0</v>
      </c>
      <c r="W1270" s="24">
        <v>0</v>
      </c>
      <c r="X1270" s="24">
        <f>U1270-W1270</f>
        <v>0</v>
      </c>
      <c r="Y1270" s="53" t="str">
        <f>IF(U1270&lt;&gt;0,X1270/U1270,"")</f>
        <v/>
      </c>
      <c r="Z1270" s="23">
        <v>0</v>
      </c>
      <c r="AA1270" s="25">
        <v>0</v>
      </c>
      <c r="AB1270" s="24">
        <v>0</v>
      </c>
      <c r="AC1270" s="24">
        <f t="shared" si="395"/>
        <v>0</v>
      </c>
      <c r="AD1270" s="53" t="str">
        <f t="shared" si="396"/>
        <v/>
      </c>
      <c r="AE1270" s="10"/>
    </row>
    <row r="1271" spans="1:31" x14ac:dyDescent="0.25">
      <c r="A1271" s="14" t="s">
        <v>109</v>
      </c>
      <c r="C1271" s="61" t="str">
        <f t="shared" si="394"/>
        <v>C100085</v>
      </c>
      <c r="F1271" s="8" t="str">
        <f>"C100063"</f>
        <v>C100063</v>
      </c>
      <c r="G1271" s="9" t="str">
        <f>"Soup Mug"</f>
        <v>Soup Mug</v>
      </c>
      <c r="H1271" s="47"/>
      <c r="I1271" s="47"/>
      <c r="J1271" s="23">
        <v>0</v>
      </c>
      <c r="K1271" s="25">
        <v>0</v>
      </c>
      <c r="L1271" s="24">
        <v>0</v>
      </c>
      <c r="M1271" s="24">
        <f>J1271-L1271</f>
        <v>0</v>
      </c>
      <c r="N1271" s="53" t="str">
        <f>IF(J1271&lt;&gt;0,M1271/J1271,"")</f>
        <v/>
      </c>
      <c r="O1271" s="23">
        <v>87.84</v>
      </c>
      <c r="P1271" s="25">
        <v>54</v>
      </c>
      <c r="Q1271" s="24">
        <v>50.230000000000004</v>
      </c>
      <c r="R1271" s="24">
        <f>O1271-Q1271</f>
        <v>37.61</v>
      </c>
      <c r="S1271" s="53">
        <f>IF(O1271&lt;&gt;0,R1271/O1271,"")</f>
        <v>0.42816484517304187</v>
      </c>
      <c r="T1271" s="10"/>
      <c r="U1271" s="23">
        <v>0</v>
      </c>
      <c r="V1271" s="25">
        <v>0</v>
      </c>
      <c r="W1271" s="24">
        <v>0</v>
      </c>
      <c r="X1271" s="24">
        <f>U1271-W1271</f>
        <v>0</v>
      </c>
      <c r="Y1271" s="53" t="str">
        <f>IF(U1271&lt;&gt;0,X1271/U1271,"")</f>
        <v/>
      </c>
      <c r="Z1271" s="23">
        <v>0</v>
      </c>
      <c r="AA1271" s="25">
        <v>0</v>
      </c>
      <c r="AB1271" s="24">
        <v>0</v>
      </c>
      <c r="AC1271" s="24">
        <f t="shared" si="395"/>
        <v>0</v>
      </c>
      <c r="AD1271" s="53" t="str">
        <f t="shared" si="396"/>
        <v/>
      </c>
      <c r="AE1271" s="10"/>
    </row>
    <row r="1272" spans="1:31" x14ac:dyDescent="0.25">
      <c r="A1272" s="14" t="s">
        <v>109</v>
      </c>
      <c r="C1272" s="61" t="str">
        <f t="shared" si="394"/>
        <v>C100085</v>
      </c>
      <c r="F1272" s="8" t="str">
        <f>"E100001"</f>
        <v>E100001</v>
      </c>
      <c r="G1272" s="9" t="str">
        <f>"Sport Bag"</f>
        <v>Sport Bag</v>
      </c>
      <c r="H1272" s="47"/>
      <c r="I1272" s="47"/>
      <c r="J1272" s="23">
        <v>0</v>
      </c>
      <c r="K1272" s="25">
        <v>0</v>
      </c>
      <c r="L1272" s="24">
        <v>0</v>
      </c>
      <c r="M1272" s="24">
        <f>J1272-L1272</f>
        <v>0</v>
      </c>
      <c r="N1272" s="53" t="str">
        <f>IF(J1272&lt;&gt;0,M1272/J1272,"")</f>
        <v/>
      </c>
      <c r="O1272" s="23">
        <v>-1.71</v>
      </c>
      <c r="P1272" s="25">
        <v>-1</v>
      </c>
      <c r="Q1272" s="24">
        <v>-0.87</v>
      </c>
      <c r="R1272" s="24">
        <f>O1272-Q1272</f>
        <v>-0.84</v>
      </c>
      <c r="S1272" s="53">
        <f>IF(O1272&lt;&gt;0,R1272/O1272,"")</f>
        <v>0.49122807017543857</v>
      </c>
      <c r="T1272" s="10"/>
      <c r="U1272" s="23">
        <v>0</v>
      </c>
      <c r="V1272" s="25">
        <v>0</v>
      </c>
      <c r="W1272" s="24">
        <v>0</v>
      </c>
      <c r="X1272" s="24">
        <f>U1272-W1272</f>
        <v>0</v>
      </c>
      <c r="Y1272" s="53" t="str">
        <f>IF(U1272&lt;&gt;0,X1272/U1272,"")</f>
        <v/>
      </c>
      <c r="Z1272" s="23">
        <v>0</v>
      </c>
      <c r="AA1272" s="25">
        <v>0</v>
      </c>
      <c r="AB1272" s="24">
        <v>0</v>
      </c>
      <c r="AC1272" s="24">
        <f t="shared" si="395"/>
        <v>0</v>
      </c>
      <c r="AD1272" s="53" t="str">
        <f t="shared" si="396"/>
        <v/>
      </c>
      <c r="AE1272" s="10"/>
    </row>
    <row r="1273" spans="1:31" x14ac:dyDescent="0.25">
      <c r="A1273" s="14" t="s">
        <v>109</v>
      </c>
      <c r="C1273" s="61" t="str">
        <f t="shared" si="394"/>
        <v>C100085</v>
      </c>
      <c r="F1273" s="8" t="str">
        <f>"E100002"</f>
        <v>E100002</v>
      </c>
      <c r="G1273" s="9" t="str">
        <f>"Cotton Classic Tote"</f>
        <v>Cotton Classic Tote</v>
      </c>
      <c r="H1273" s="47"/>
      <c r="I1273" s="47"/>
      <c r="J1273" s="23">
        <v>0</v>
      </c>
      <c r="K1273" s="25">
        <v>0</v>
      </c>
      <c r="L1273" s="24">
        <v>0</v>
      </c>
      <c r="M1273" s="24">
        <f>J1273-L1273</f>
        <v>0</v>
      </c>
      <c r="N1273" s="53" t="str">
        <f>IF(J1273&lt;&gt;0,M1273/J1273,"")</f>
        <v/>
      </c>
      <c r="O1273" s="23">
        <v>176.39000000000001</v>
      </c>
      <c r="P1273" s="25">
        <v>144</v>
      </c>
      <c r="Q1273" s="24">
        <v>92.17</v>
      </c>
      <c r="R1273" s="24">
        <f>O1273-Q1273</f>
        <v>84.220000000000013</v>
      </c>
      <c r="S1273" s="53">
        <f>IF(O1273&lt;&gt;0,R1273/O1273,"")</f>
        <v>0.47746470888372361</v>
      </c>
      <c r="T1273" s="10"/>
      <c r="U1273" s="23">
        <v>0</v>
      </c>
      <c r="V1273" s="25">
        <v>0</v>
      </c>
      <c r="W1273" s="24">
        <v>0</v>
      </c>
      <c r="X1273" s="24">
        <f>U1273-W1273</f>
        <v>0</v>
      </c>
      <c r="Y1273" s="53" t="str">
        <f>IF(U1273&lt;&gt;0,X1273/U1273,"")</f>
        <v/>
      </c>
      <c r="Z1273" s="23">
        <v>0</v>
      </c>
      <c r="AA1273" s="25">
        <v>0</v>
      </c>
      <c r="AB1273" s="24">
        <v>0</v>
      </c>
      <c r="AC1273" s="24">
        <f t="shared" si="395"/>
        <v>0</v>
      </c>
      <c r="AD1273" s="53" t="str">
        <f t="shared" si="396"/>
        <v/>
      </c>
      <c r="AE1273" s="10"/>
    </row>
    <row r="1274" spans="1:31" x14ac:dyDescent="0.25">
      <c r="A1274" s="14" t="s">
        <v>109</v>
      </c>
      <c r="C1274" s="61" t="str">
        <f t="shared" si="394"/>
        <v>C100085</v>
      </c>
      <c r="F1274" s="8" t="str">
        <f>"E100003"</f>
        <v>E100003</v>
      </c>
      <c r="G1274" s="9" t="str">
        <f>"Recycled Tote"</f>
        <v>Recycled Tote</v>
      </c>
      <c r="H1274" s="47"/>
      <c r="I1274" s="47"/>
      <c r="J1274" s="23">
        <v>0</v>
      </c>
      <c r="K1274" s="25">
        <v>0</v>
      </c>
      <c r="L1274" s="24">
        <v>0</v>
      </c>
      <c r="M1274" s="24">
        <f>J1274-L1274</f>
        <v>0</v>
      </c>
      <c r="N1274" s="53" t="str">
        <f>IF(J1274&lt;&gt;0,M1274/J1274,"")</f>
        <v/>
      </c>
      <c r="O1274" s="23">
        <v>436.04999999999995</v>
      </c>
      <c r="P1274" s="25">
        <v>144</v>
      </c>
      <c r="Q1274" s="24">
        <v>244.81000000000003</v>
      </c>
      <c r="R1274" s="24">
        <f>O1274-Q1274</f>
        <v>191.23999999999992</v>
      </c>
      <c r="S1274" s="53">
        <f>IF(O1274&lt;&gt;0,R1274/O1274,"")</f>
        <v>0.43857355807820192</v>
      </c>
      <c r="T1274" s="10"/>
      <c r="U1274" s="23">
        <v>0</v>
      </c>
      <c r="V1274" s="25">
        <v>0</v>
      </c>
      <c r="W1274" s="24">
        <v>0</v>
      </c>
      <c r="X1274" s="24">
        <f>U1274-W1274</f>
        <v>0</v>
      </c>
      <c r="Y1274" s="53" t="str">
        <f>IF(U1274&lt;&gt;0,X1274/U1274,"")</f>
        <v/>
      </c>
      <c r="Z1274" s="23">
        <v>0</v>
      </c>
      <c r="AA1274" s="25">
        <v>0</v>
      </c>
      <c r="AB1274" s="24">
        <v>0</v>
      </c>
      <c r="AC1274" s="24">
        <f t="shared" si="395"/>
        <v>0</v>
      </c>
      <c r="AD1274" s="53" t="str">
        <f t="shared" si="396"/>
        <v/>
      </c>
      <c r="AE1274" s="10"/>
    </row>
    <row r="1275" spans="1:31" x14ac:dyDescent="0.25">
      <c r="A1275" s="14" t="s">
        <v>109</v>
      </c>
      <c r="C1275" s="61" t="str">
        <f t="shared" si="394"/>
        <v>C100085</v>
      </c>
      <c r="F1275" s="8" t="str">
        <f>"E100004"</f>
        <v>E100004</v>
      </c>
      <c r="G1275" s="9" t="str">
        <f>"Laminated Tote"</f>
        <v>Laminated Tote</v>
      </c>
      <c r="H1275" s="47"/>
      <c r="I1275" s="47"/>
      <c r="J1275" s="23">
        <v>0</v>
      </c>
      <c r="K1275" s="25">
        <v>0</v>
      </c>
      <c r="L1275" s="24">
        <v>0</v>
      </c>
      <c r="M1275" s="24">
        <f>J1275-L1275</f>
        <v>0</v>
      </c>
      <c r="N1275" s="53" t="str">
        <f>IF(J1275&lt;&gt;0,M1275/J1275,"")</f>
        <v/>
      </c>
      <c r="O1275" s="23">
        <v>88.44</v>
      </c>
      <c r="P1275" s="25">
        <v>48</v>
      </c>
      <c r="Q1275" s="24">
        <v>57.6</v>
      </c>
      <c r="R1275" s="24">
        <f>O1275-Q1275</f>
        <v>30.839999999999996</v>
      </c>
      <c r="S1275" s="53">
        <f>IF(O1275&lt;&gt;0,R1275/O1275,"")</f>
        <v>0.34871099050203525</v>
      </c>
      <c r="T1275" s="10"/>
      <c r="U1275" s="23">
        <v>0</v>
      </c>
      <c r="V1275" s="25">
        <v>0</v>
      </c>
      <c r="W1275" s="24">
        <v>0</v>
      </c>
      <c r="X1275" s="24">
        <f>U1275-W1275</f>
        <v>0</v>
      </c>
      <c r="Y1275" s="53" t="str">
        <f>IF(U1275&lt;&gt;0,X1275/U1275,"")</f>
        <v/>
      </c>
      <c r="Z1275" s="23">
        <v>0</v>
      </c>
      <c r="AA1275" s="25">
        <v>0</v>
      </c>
      <c r="AB1275" s="24">
        <v>0</v>
      </c>
      <c r="AC1275" s="24">
        <f t="shared" si="395"/>
        <v>0</v>
      </c>
      <c r="AD1275" s="53" t="str">
        <f t="shared" si="396"/>
        <v/>
      </c>
      <c r="AE1275" s="10"/>
    </row>
    <row r="1276" spans="1:31" x14ac:dyDescent="0.25">
      <c r="A1276" s="14" t="s">
        <v>109</v>
      </c>
      <c r="C1276" s="61" t="str">
        <f t="shared" si="394"/>
        <v>C100085</v>
      </c>
      <c r="F1276" s="8" t="str">
        <f>"E100005"</f>
        <v>E100005</v>
      </c>
      <c r="G1276" s="9" t="str">
        <f>"All Purpose Tote"</f>
        <v>All Purpose Tote</v>
      </c>
      <c r="H1276" s="47"/>
      <c r="I1276" s="47"/>
      <c r="J1276" s="23">
        <v>0</v>
      </c>
      <c r="K1276" s="25">
        <v>0</v>
      </c>
      <c r="L1276" s="24">
        <v>0</v>
      </c>
      <c r="M1276" s="24">
        <f>J1276-L1276</f>
        <v>0</v>
      </c>
      <c r="N1276" s="53" t="str">
        <f>IF(J1276&lt;&gt;0,M1276/J1276,"")</f>
        <v/>
      </c>
      <c r="O1276" s="23">
        <v>364.1</v>
      </c>
      <c r="P1276" s="25">
        <v>144</v>
      </c>
      <c r="Q1276" s="24">
        <v>178.56</v>
      </c>
      <c r="R1276" s="24">
        <f>O1276-Q1276</f>
        <v>185.54000000000002</v>
      </c>
      <c r="S1276" s="53">
        <f>IF(O1276&lt;&gt;0,R1276/O1276,"")</f>
        <v>0.50958527876956883</v>
      </c>
      <c r="T1276" s="10"/>
      <c r="U1276" s="23">
        <v>0</v>
      </c>
      <c r="V1276" s="25">
        <v>0</v>
      </c>
      <c r="W1276" s="24">
        <v>0</v>
      </c>
      <c r="X1276" s="24">
        <f>U1276-W1276</f>
        <v>0</v>
      </c>
      <c r="Y1276" s="53" t="str">
        <f>IF(U1276&lt;&gt;0,X1276/U1276,"")</f>
        <v/>
      </c>
      <c r="Z1276" s="23">
        <v>360.37</v>
      </c>
      <c r="AA1276" s="25">
        <v>144</v>
      </c>
      <c r="AB1276" s="24">
        <v>178.56</v>
      </c>
      <c r="AC1276" s="24">
        <f t="shared" si="395"/>
        <v>181.81</v>
      </c>
      <c r="AD1276" s="53">
        <f t="shared" si="396"/>
        <v>0.50450925437744543</v>
      </c>
      <c r="AE1276" s="10"/>
    </row>
    <row r="1277" spans="1:31" x14ac:dyDescent="0.25">
      <c r="A1277" s="14" t="s">
        <v>109</v>
      </c>
      <c r="C1277" s="61" t="str">
        <f t="shared" si="394"/>
        <v>C100085</v>
      </c>
      <c r="F1277" s="8" t="str">
        <f>"E100006"</f>
        <v>E100006</v>
      </c>
      <c r="G1277" s="9" t="str">
        <f>"Budget Tote Bag"</f>
        <v>Budget Tote Bag</v>
      </c>
      <c r="H1277" s="47"/>
      <c r="I1277" s="47"/>
      <c r="J1277" s="23">
        <v>0</v>
      </c>
      <c r="K1277" s="25">
        <v>0</v>
      </c>
      <c r="L1277" s="24">
        <v>0</v>
      </c>
      <c r="M1277" s="24">
        <f>J1277-L1277</f>
        <v>0</v>
      </c>
      <c r="N1277" s="53" t="str">
        <f>IF(J1277&lt;&gt;0,M1277/J1277,"")</f>
        <v/>
      </c>
      <c r="O1277" s="23">
        <v>13.27</v>
      </c>
      <c r="P1277" s="25">
        <v>150</v>
      </c>
      <c r="Q1277" s="24">
        <v>5.99</v>
      </c>
      <c r="R1277" s="24">
        <f>O1277-Q1277</f>
        <v>7.2799999999999994</v>
      </c>
      <c r="S1277" s="53">
        <f>IF(O1277&lt;&gt;0,R1277/O1277,"")</f>
        <v>0.5486058779201205</v>
      </c>
      <c r="T1277" s="10"/>
      <c r="U1277" s="23">
        <v>0</v>
      </c>
      <c r="V1277" s="25">
        <v>0</v>
      </c>
      <c r="W1277" s="24">
        <v>0</v>
      </c>
      <c r="X1277" s="24">
        <f>U1277-W1277</f>
        <v>0</v>
      </c>
      <c r="Y1277" s="53" t="str">
        <f>IF(U1277&lt;&gt;0,X1277/U1277,"")</f>
        <v/>
      </c>
      <c r="Z1277" s="23">
        <v>12.67</v>
      </c>
      <c r="AA1277" s="25">
        <v>145</v>
      </c>
      <c r="AB1277" s="24">
        <v>5.79</v>
      </c>
      <c r="AC1277" s="24">
        <f t="shared" si="395"/>
        <v>6.88</v>
      </c>
      <c r="AD1277" s="53">
        <f t="shared" si="396"/>
        <v>0.5430149960536701</v>
      </c>
      <c r="AE1277" s="10"/>
    </row>
    <row r="1278" spans="1:31" x14ac:dyDescent="0.25">
      <c r="A1278" s="14" t="s">
        <v>109</v>
      </c>
      <c r="C1278" s="61" t="str">
        <f t="shared" si="394"/>
        <v>C100085</v>
      </c>
      <c r="F1278" s="8" t="str">
        <f>"E100008"</f>
        <v>E100008</v>
      </c>
      <c r="G1278" s="9" t="str">
        <f>"Super Shopper"</f>
        <v>Super Shopper</v>
      </c>
      <c r="H1278" s="47"/>
      <c r="I1278" s="47"/>
      <c r="J1278" s="23">
        <v>0</v>
      </c>
      <c r="K1278" s="25">
        <v>0</v>
      </c>
      <c r="L1278" s="24">
        <v>0</v>
      </c>
      <c r="M1278" s="24">
        <f>J1278-L1278</f>
        <v>0</v>
      </c>
      <c r="N1278" s="53" t="str">
        <f>IF(J1278&lt;&gt;0,M1278/J1278,"")</f>
        <v/>
      </c>
      <c r="O1278" s="23">
        <v>32.46</v>
      </c>
      <c r="P1278" s="25">
        <v>144</v>
      </c>
      <c r="Q1278" s="24">
        <v>17.29</v>
      </c>
      <c r="R1278" s="24">
        <f>O1278-Q1278</f>
        <v>15.170000000000002</v>
      </c>
      <c r="S1278" s="53">
        <f>IF(O1278&lt;&gt;0,R1278/O1278,"")</f>
        <v>0.46734442390634634</v>
      </c>
      <c r="T1278" s="10"/>
      <c r="U1278" s="23">
        <v>0</v>
      </c>
      <c r="V1278" s="25">
        <v>0</v>
      </c>
      <c r="W1278" s="24">
        <v>0</v>
      </c>
      <c r="X1278" s="24">
        <f>U1278-W1278</f>
        <v>0</v>
      </c>
      <c r="Y1278" s="53" t="str">
        <f>IF(U1278&lt;&gt;0,X1278/U1278,"")</f>
        <v/>
      </c>
      <c r="Z1278" s="23">
        <v>0</v>
      </c>
      <c r="AA1278" s="25">
        <v>0</v>
      </c>
      <c r="AB1278" s="24">
        <v>0</v>
      </c>
      <c r="AC1278" s="24">
        <f t="shared" si="395"/>
        <v>0</v>
      </c>
      <c r="AD1278" s="53" t="str">
        <f t="shared" si="396"/>
        <v/>
      </c>
      <c r="AE1278" s="10"/>
    </row>
    <row r="1279" spans="1:31" x14ac:dyDescent="0.25">
      <c r="A1279" s="14" t="s">
        <v>109</v>
      </c>
      <c r="C1279" s="61" t="str">
        <f t="shared" si="394"/>
        <v>C100085</v>
      </c>
      <c r="F1279" s="8" t="str">
        <f>"E100009"</f>
        <v>E100009</v>
      </c>
      <c r="G1279" s="9" t="str">
        <f>"Die-Cut Tote"</f>
        <v>Die-Cut Tote</v>
      </c>
      <c r="H1279" s="47"/>
      <c r="I1279" s="47"/>
      <c r="J1279" s="23">
        <v>0</v>
      </c>
      <c r="K1279" s="25">
        <v>0</v>
      </c>
      <c r="L1279" s="24">
        <v>0</v>
      </c>
      <c r="M1279" s="24">
        <f>J1279-L1279</f>
        <v>0</v>
      </c>
      <c r="N1279" s="53" t="str">
        <f>IF(J1279&lt;&gt;0,M1279/J1279,"")</f>
        <v/>
      </c>
      <c r="O1279" s="23">
        <v>-0.21</v>
      </c>
      <c r="P1279" s="25">
        <v>-1</v>
      </c>
      <c r="Q1279" s="24">
        <v>-0.11</v>
      </c>
      <c r="R1279" s="24">
        <f>O1279-Q1279</f>
        <v>-9.9999999999999992E-2</v>
      </c>
      <c r="S1279" s="53">
        <f>IF(O1279&lt;&gt;0,R1279/O1279,"")</f>
        <v>0.47619047619047616</v>
      </c>
      <c r="T1279" s="10"/>
      <c r="U1279" s="23">
        <v>0</v>
      </c>
      <c r="V1279" s="25">
        <v>0</v>
      </c>
      <c r="W1279" s="24">
        <v>0</v>
      </c>
      <c r="X1279" s="24">
        <f>U1279-W1279</f>
        <v>0</v>
      </c>
      <c r="Y1279" s="53" t="str">
        <f>IF(U1279&lt;&gt;0,X1279/U1279,"")</f>
        <v/>
      </c>
      <c r="Z1279" s="23">
        <v>0</v>
      </c>
      <c r="AA1279" s="25">
        <v>0</v>
      </c>
      <c r="AB1279" s="24">
        <v>0</v>
      </c>
      <c r="AC1279" s="24">
        <f t="shared" si="395"/>
        <v>0</v>
      </c>
      <c r="AD1279" s="53" t="str">
        <f t="shared" si="396"/>
        <v/>
      </c>
      <c r="AE1279" s="10"/>
    </row>
    <row r="1280" spans="1:31" x14ac:dyDescent="0.25">
      <c r="A1280" s="14" t="s">
        <v>109</v>
      </c>
      <c r="C1280" s="61" t="str">
        <f t="shared" si="394"/>
        <v>C100085</v>
      </c>
      <c r="F1280" s="8" t="str">
        <f>"E100017"</f>
        <v>E100017</v>
      </c>
      <c r="G1280" s="9" t="str">
        <f>"Clip-on Clock with Compass"</f>
        <v>Clip-on Clock with Compass</v>
      </c>
      <c r="H1280" s="47"/>
      <c r="I1280" s="47"/>
      <c r="J1280" s="23">
        <v>0</v>
      </c>
      <c r="K1280" s="25">
        <v>0</v>
      </c>
      <c r="L1280" s="24">
        <v>0</v>
      </c>
      <c r="M1280" s="24">
        <f>J1280-L1280</f>
        <v>0</v>
      </c>
      <c r="N1280" s="53" t="str">
        <f>IF(J1280&lt;&gt;0,M1280/J1280,"")</f>
        <v/>
      </c>
      <c r="O1280" s="23">
        <v>18.36</v>
      </c>
      <c r="P1280" s="25">
        <v>12</v>
      </c>
      <c r="Q1280" s="24">
        <v>10.56</v>
      </c>
      <c r="R1280" s="24">
        <f>O1280-Q1280</f>
        <v>7.7999999999999989</v>
      </c>
      <c r="S1280" s="53">
        <f>IF(O1280&lt;&gt;0,R1280/O1280,"")</f>
        <v>0.42483660130718948</v>
      </c>
      <c r="T1280" s="10"/>
      <c r="U1280" s="23">
        <v>0</v>
      </c>
      <c r="V1280" s="25">
        <v>0</v>
      </c>
      <c r="W1280" s="24">
        <v>0</v>
      </c>
      <c r="X1280" s="24">
        <f>U1280-W1280</f>
        <v>0</v>
      </c>
      <c r="Y1280" s="53" t="str">
        <f>IF(U1280&lt;&gt;0,X1280/U1280,"")</f>
        <v/>
      </c>
      <c r="Z1280" s="23">
        <v>0</v>
      </c>
      <c r="AA1280" s="25">
        <v>0</v>
      </c>
      <c r="AB1280" s="24">
        <v>0</v>
      </c>
      <c r="AC1280" s="24">
        <f t="shared" si="395"/>
        <v>0</v>
      </c>
      <c r="AD1280" s="53" t="str">
        <f t="shared" si="396"/>
        <v/>
      </c>
      <c r="AE1280" s="10"/>
    </row>
    <row r="1281" spans="1:31" x14ac:dyDescent="0.25">
      <c r="A1281" s="14" t="s">
        <v>109</v>
      </c>
      <c r="C1281" s="61" t="str">
        <f t="shared" si="394"/>
        <v>C100085</v>
      </c>
      <c r="F1281" s="8" t="str">
        <f>"E100018"</f>
        <v>E100018</v>
      </c>
      <c r="G1281" s="9" t="str">
        <f>"Flexi-Clock &amp; Clip"</f>
        <v>Flexi-Clock &amp; Clip</v>
      </c>
      <c r="H1281" s="47"/>
      <c r="I1281" s="47"/>
      <c r="J1281" s="23">
        <v>0</v>
      </c>
      <c r="K1281" s="25">
        <v>0</v>
      </c>
      <c r="L1281" s="24">
        <v>0</v>
      </c>
      <c r="M1281" s="24">
        <f>J1281-L1281</f>
        <v>0</v>
      </c>
      <c r="N1281" s="53" t="str">
        <f>IF(J1281&lt;&gt;0,M1281/J1281,"")</f>
        <v/>
      </c>
      <c r="O1281" s="23">
        <v>159.46</v>
      </c>
      <c r="P1281" s="25">
        <v>144</v>
      </c>
      <c r="Q1281" s="24">
        <v>86.39</v>
      </c>
      <c r="R1281" s="24">
        <f>O1281-Q1281</f>
        <v>73.070000000000007</v>
      </c>
      <c r="S1281" s="53">
        <f>IF(O1281&lt;&gt;0,R1281/O1281,"")</f>
        <v>0.45823403988461059</v>
      </c>
      <c r="T1281" s="10"/>
      <c r="U1281" s="23">
        <v>0</v>
      </c>
      <c r="V1281" s="25">
        <v>0</v>
      </c>
      <c r="W1281" s="24">
        <v>0</v>
      </c>
      <c r="X1281" s="24">
        <f>U1281-W1281</f>
        <v>0</v>
      </c>
      <c r="Y1281" s="53" t="str">
        <f>IF(U1281&lt;&gt;0,X1281/U1281,"")</f>
        <v/>
      </c>
      <c r="Z1281" s="23">
        <v>0</v>
      </c>
      <c r="AA1281" s="25">
        <v>0</v>
      </c>
      <c r="AB1281" s="24">
        <v>0</v>
      </c>
      <c r="AC1281" s="24">
        <f t="shared" si="395"/>
        <v>0</v>
      </c>
      <c r="AD1281" s="53" t="str">
        <f t="shared" si="396"/>
        <v/>
      </c>
      <c r="AE1281" s="10"/>
    </row>
    <row r="1282" spans="1:31" x14ac:dyDescent="0.25">
      <c r="A1282" s="14" t="s">
        <v>109</v>
      </c>
      <c r="C1282" s="61" t="str">
        <f t="shared" si="394"/>
        <v>C100085</v>
      </c>
      <c r="F1282" s="8" t="str">
        <f>"E100022"</f>
        <v>E100022</v>
      </c>
      <c r="G1282" s="9" t="str">
        <f>"Wide Screen Alarm Clock"</f>
        <v>Wide Screen Alarm Clock</v>
      </c>
      <c r="H1282" s="47"/>
      <c r="I1282" s="47"/>
      <c r="J1282" s="23">
        <v>0</v>
      </c>
      <c r="K1282" s="25">
        <v>0</v>
      </c>
      <c r="L1282" s="24">
        <v>0</v>
      </c>
      <c r="M1282" s="24">
        <f>J1282-L1282</f>
        <v>0</v>
      </c>
      <c r="N1282" s="53" t="str">
        <f>IF(J1282&lt;&gt;0,M1282/J1282,"")</f>
        <v/>
      </c>
      <c r="O1282" s="23">
        <v>270.52000000000004</v>
      </c>
      <c r="P1282" s="25">
        <v>143</v>
      </c>
      <c r="Q1282" s="24">
        <v>183.03</v>
      </c>
      <c r="R1282" s="24">
        <f>O1282-Q1282</f>
        <v>87.490000000000038</v>
      </c>
      <c r="S1282" s="53">
        <f>IF(O1282&lt;&gt;0,R1282/O1282,"")</f>
        <v>0.3234141653112525</v>
      </c>
      <c r="T1282" s="10"/>
      <c r="U1282" s="23">
        <v>0</v>
      </c>
      <c r="V1282" s="25">
        <v>0</v>
      </c>
      <c r="W1282" s="24">
        <v>0</v>
      </c>
      <c r="X1282" s="24">
        <f>U1282-W1282</f>
        <v>0</v>
      </c>
      <c r="Y1282" s="53" t="str">
        <f>IF(U1282&lt;&gt;0,X1282/U1282,"")</f>
        <v/>
      </c>
      <c r="Z1282" s="23">
        <v>0</v>
      </c>
      <c r="AA1282" s="25">
        <v>0</v>
      </c>
      <c r="AB1282" s="24">
        <v>0</v>
      </c>
      <c r="AC1282" s="24">
        <f t="shared" si="395"/>
        <v>0</v>
      </c>
      <c r="AD1282" s="53" t="str">
        <f t="shared" si="396"/>
        <v/>
      </c>
      <c r="AE1282" s="10"/>
    </row>
    <row r="1283" spans="1:31" x14ac:dyDescent="0.25">
      <c r="A1283" s="14" t="s">
        <v>109</v>
      </c>
      <c r="C1283" s="61" t="str">
        <f t="shared" si="394"/>
        <v>C100085</v>
      </c>
      <c r="F1283" s="8" t="str">
        <f>"E100023"</f>
        <v>E100023</v>
      </c>
      <c r="G1283" s="9" t="str">
        <f>"Sport Earbuds"</f>
        <v>Sport Earbuds</v>
      </c>
      <c r="H1283" s="47"/>
      <c r="I1283" s="47"/>
      <c r="J1283" s="23">
        <v>0</v>
      </c>
      <c r="K1283" s="25">
        <v>0</v>
      </c>
      <c r="L1283" s="24">
        <v>0</v>
      </c>
      <c r="M1283" s="24">
        <f>J1283-L1283</f>
        <v>0</v>
      </c>
      <c r="N1283" s="53" t="str">
        <f>IF(J1283&lt;&gt;0,M1283/J1283,"")</f>
        <v/>
      </c>
      <c r="O1283" s="23">
        <v>637.86</v>
      </c>
      <c r="P1283" s="25">
        <v>144</v>
      </c>
      <c r="Q1283" s="24">
        <v>302.39999999999998</v>
      </c>
      <c r="R1283" s="24">
        <f>O1283-Q1283</f>
        <v>335.46000000000004</v>
      </c>
      <c r="S1283" s="53">
        <f>IF(O1283&lt;&gt;0,R1283/O1283,"")</f>
        <v>0.52591477753739069</v>
      </c>
      <c r="T1283" s="10"/>
      <c r="U1283" s="23">
        <v>0</v>
      </c>
      <c r="V1283" s="25">
        <v>0</v>
      </c>
      <c r="W1283" s="24">
        <v>0</v>
      </c>
      <c r="X1283" s="24">
        <f>U1283-W1283</f>
        <v>0</v>
      </c>
      <c r="Y1283" s="53" t="str">
        <f>IF(U1283&lt;&gt;0,X1283/U1283,"")</f>
        <v/>
      </c>
      <c r="Z1283" s="23">
        <v>0</v>
      </c>
      <c r="AA1283" s="25">
        <v>0</v>
      </c>
      <c r="AB1283" s="24">
        <v>0</v>
      </c>
      <c r="AC1283" s="24">
        <f t="shared" si="395"/>
        <v>0</v>
      </c>
      <c r="AD1283" s="53" t="str">
        <f t="shared" si="396"/>
        <v/>
      </c>
      <c r="AE1283" s="10"/>
    </row>
    <row r="1284" spans="1:31" x14ac:dyDescent="0.25">
      <c r="A1284" s="14" t="s">
        <v>109</v>
      </c>
      <c r="C1284" s="61" t="str">
        <f t="shared" si="394"/>
        <v>C100085</v>
      </c>
      <c r="F1284" s="8" t="str">
        <f>"E100026"</f>
        <v>E100026</v>
      </c>
      <c r="G1284" s="9" t="str">
        <f>"Desk Calculator"</f>
        <v>Desk Calculator</v>
      </c>
      <c r="H1284" s="47"/>
      <c r="I1284" s="47"/>
      <c r="J1284" s="23">
        <v>0</v>
      </c>
      <c r="K1284" s="25">
        <v>0</v>
      </c>
      <c r="L1284" s="24">
        <v>0</v>
      </c>
      <c r="M1284" s="24">
        <f>J1284-L1284</f>
        <v>0</v>
      </c>
      <c r="N1284" s="53" t="str">
        <f>IF(J1284&lt;&gt;0,M1284/J1284,"")</f>
        <v/>
      </c>
      <c r="O1284" s="23">
        <v>119.96000000000001</v>
      </c>
      <c r="P1284" s="25">
        <v>144</v>
      </c>
      <c r="Q1284" s="24">
        <v>69.180000000000007</v>
      </c>
      <c r="R1284" s="24">
        <f>O1284-Q1284</f>
        <v>50.78</v>
      </c>
      <c r="S1284" s="53">
        <f>IF(O1284&lt;&gt;0,R1284/O1284,"")</f>
        <v>0.42330776925641878</v>
      </c>
      <c r="T1284" s="10"/>
      <c r="U1284" s="23">
        <v>0</v>
      </c>
      <c r="V1284" s="25">
        <v>0</v>
      </c>
      <c r="W1284" s="24">
        <v>0</v>
      </c>
      <c r="X1284" s="24">
        <f>U1284-W1284</f>
        <v>0</v>
      </c>
      <c r="Y1284" s="53" t="str">
        <f>IF(U1284&lt;&gt;0,X1284/U1284,"")</f>
        <v/>
      </c>
      <c r="Z1284" s="23">
        <v>0</v>
      </c>
      <c r="AA1284" s="25">
        <v>0</v>
      </c>
      <c r="AB1284" s="24">
        <v>0</v>
      </c>
      <c r="AC1284" s="24">
        <f t="shared" si="395"/>
        <v>0</v>
      </c>
      <c r="AD1284" s="53" t="str">
        <f t="shared" si="396"/>
        <v/>
      </c>
      <c r="AE1284" s="10"/>
    </row>
    <row r="1285" spans="1:31" x14ac:dyDescent="0.25">
      <c r="A1285" s="14" t="s">
        <v>109</v>
      </c>
      <c r="C1285" s="61" t="str">
        <f t="shared" si="394"/>
        <v>C100085</v>
      </c>
      <c r="F1285" s="8" t="str">
        <f>"E100028"</f>
        <v>E100028</v>
      </c>
      <c r="G1285" s="9" t="str">
        <f>"USB 4-Port Hub"</f>
        <v>USB 4-Port Hub</v>
      </c>
      <c r="H1285" s="47"/>
      <c r="I1285" s="47"/>
      <c r="J1285" s="23">
        <v>0</v>
      </c>
      <c r="K1285" s="25">
        <v>0</v>
      </c>
      <c r="L1285" s="24">
        <v>0</v>
      </c>
      <c r="M1285" s="24">
        <f>J1285-L1285</f>
        <v>0</v>
      </c>
      <c r="N1285" s="53" t="str">
        <f>IF(J1285&lt;&gt;0,M1285/J1285,"")</f>
        <v/>
      </c>
      <c r="O1285" s="23">
        <v>406.42</v>
      </c>
      <c r="P1285" s="25">
        <v>144</v>
      </c>
      <c r="Q1285" s="24">
        <v>267.91000000000003</v>
      </c>
      <c r="R1285" s="24">
        <f>O1285-Q1285</f>
        <v>138.51</v>
      </c>
      <c r="S1285" s="53">
        <f>IF(O1285&lt;&gt;0,R1285/O1285,"")</f>
        <v>0.34080507849023173</v>
      </c>
      <c r="T1285" s="10"/>
      <c r="U1285" s="23">
        <v>0</v>
      </c>
      <c r="V1285" s="25">
        <v>0</v>
      </c>
      <c r="W1285" s="24">
        <v>0</v>
      </c>
      <c r="X1285" s="24">
        <f>U1285-W1285</f>
        <v>0</v>
      </c>
      <c r="Y1285" s="53" t="str">
        <f>IF(U1285&lt;&gt;0,X1285/U1285,"")</f>
        <v/>
      </c>
      <c r="Z1285" s="23">
        <v>402.27</v>
      </c>
      <c r="AA1285" s="25">
        <v>144</v>
      </c>
      <c r="AB1285" s="24">
        <v>267.91000000000003</v>
      </c>
      <c r="AC1285" s="24">
        <f t="shared" si="395"/>
        <v>134.35999999999996</v>
      </c>
      <c r="AD1285" s="53">
        <f t="shared" si="396"/>
        <v>0.3340045243244586</v>
      </c>
      <c r="AE1285" s="10"/>
    </row>
    <row r="1286" spans="1:31" x14ac:dyDescent="0.25">
      <c r="A1286" s="14" t="s">
        <v>109</v>
      </c>
      <c r="C1286" s="61" t="str">
        <f t="shared" si="394"/>
        <v>C100085</v>
      </c>
      <c r="F1286" s="8" t="str">
        <f>"E100029"</f>
        <v>E100029</v>
      </c>
      <c r="G1286" s="9" t="str">
        <f>"LED Flex Light"</f>
        <v>LED Flex Light</v>
      </c>
      <c r="H1286" s="47"/>
      <c r="I1286" s="47"/>
      <c r="J1286" s="23">
        <v>0</v>
      </c>
      <c r="K1286" s="25">
        <v>0</v>
      </c>
      <c r="L1286" s="24">
        <v>0</v>
      </c>
      <c r="M1286" s="24">
        <f>J1286-L1286</f>
        <v>0</v>
      </c>
      <c r="N1286" s="53" t="str">
        <f>IF(J1286&lt;&gt;0,M1286/J1286,"")</f>
        <v/>
      </c>
      <c r="O1286" s="23">
        <v>407.83000000000004</v>
      </c>
      <c r="P1286" s="25">
        <v>144</v>
      </c>
      <c r="Q1286" s="24">
        <v>241.84000000000003</v>
      </c>
      <c r="R1286" s="24">
        <f>O1286-Q1286</f>
        <v>165.99</v>
      </c>
      <c r="S1286" s="53">
        <f>IF(O1286&lt;&gt;0,R1286/O1286,"")</f>
        <v>0.40700782188657036</v>
      </c>
      <c r="T1286" s="10"/>
      <c r="U1286" s="23">
        <v>0</v>
      </c>
      <c r="V1286" s="25">
        <v>0</v>
      </c>
      <c r="W1286" s="24">
        <v>0</v>
      </c>
      <c r="X1286" s="24">
        <f>U1286-W1286</f>
        <v>0</v>
      </c>
      <c r="Y1286" s="53" t="str">
        <f>IF(U1286&lt;&gt;0,X1286/U1286,"")</f>
        <v/>
      </c>
      <c r="Z1286" s="23">
        <v>2.81</v>
      </c>
      <c r="AA1286" s="25">
        <v>1</v>
      </c>
      <c r="AB1286" s="24">
        <v>1.68</v>
      </c>
      <c r="AC1286" s="24">
        <f t="shared" si="395"/>
        <v>1.1300000000000001</v>
      </c>
      <c r="AD1286" s="53">
        <f t="shared" si="396"/>
        <v>0.40213523131672602</v>
      </c>
      <c r="AE1286" s="10"/>
    </row>
    <row r="1287" spans="1:31" x14ac:dyDescent="0.25">
      <c r="A1287" s="14" t="s">
        <v>109</v>
      </c>
      <c r="C1287" s="61" t="str">
        <f t="shared" si="394"/>
        <v>C100085</v>
      </c>
      <c r="F1287" s="8" t="str">
        <f>"E100032"</f>
        <v>E100032</v>
      </c>
      <c r="G1287" s="9" t="str">
        <f>"Button Key-Light"</f>
        <v>Button Key-Light</v>
      </c>
      <c r="H1287" s="47"/>
      <c r="I1287" s="47"/>
      <c r="J1287" s="23">
        <v>0</v>
      </c>
      <c r="K1287" s="25">
        <v>0</v>
      </c>
      <c r="L1287" s="24">
        <v>0</v>
      </c>
      <c r="M1287" s="24">
        <f>J1287-L1287</f>
        <v>0</v>
      </c>
      <c r="N1287" s="53" t="str">
        <f>IF(J1287&lt;&gt;0,M1287/J1287,"")</f>
        <v/>
      </c>
      <c r="O1287" s="23">
        <v>143.94999999999999</v>
      </c>
      <c r="P1287" s="25">
        <v>288</v>
      </c>
      <c r="Q1287" s="24">
        <v>95.05</v>
      </c>
      <c r="R1287" s="24">
        <f>O1287-Q1287</f>
        <v>48.899999999999991</v>
      </c>
      <c r="S1287" s="53">
        <f>IF(O1287&lt;&gt;0,R1287/O1287,"")</f>
        <v>0.33970128516846126</v>
      </c>
      <c r="T1287" s="10"/>
      <c r="U1287" s="23">
        <v>0</v>
      </c>
      <c r="V1287" s="25">
        <v>0</v>
      </c>
      <c r="W1287" s="24">
        <v>0</v>
      </c>
      <c r="X1287" s="24">
        <f>U1287-W1287</f>
        <v>0</v>
      </c>
      <c r="Y1287" s="53" t="str">
        <f>IF(U1287&lt;&gt;0,X1287/U1287,"")</f>
        <v/>
      </c>
      <c r="Z1287" s="23">
        <v>0</v>
      </c>
      <c r="AA1287" s="25">
        <v>0</v>
      </c>
      <c r="AB1287" s="24">
        <v>0</v>
      </c>
      <c r="AC1287" s="24">
        <f t="shared" si="395"/>
        <v>0</v>
      </c>
      <c r="AD1287" s="53" t="str">
        <f t="shared" si="396"/>
        <v/>
      </c>
      <c r="AE1287" s="10"/>
    </row>
    <row r="1288" spans="1:31" x14ac:dyDescent="0.25">
      <c r="A1288" s="14" t="s">
        <v>109</v>
      </c>
      <c r="C1288" s="61" t="str">
        <f t="shared" si="394"/>
        <v>C100085</v>
      </c>
      <c r="F1288" s="8" t="str">
        <f>"E100040"</f>
        <v>E100040</v>
      </c>
      <c r="G1288" s="9" t="str">
        <f>"Wave Mug"</f>
        <v>Wave Mug</v>
      </c>
      <c r="H1288" s="47"/>
      <c r="I1288" s="47"/>
      <c r="J1288" s="23">
        <v>0</v>
      </c>
      <c r="K1288" s="25">
        <v>0</v>
      </c>
      <c r="L1288" s="24">
        <v>0</v>
      </c>
      <c r="M1288" s="24">
        <f>J1288-L1288</f>
        <v>0</v>
      </c>
      <c r="N1288" s="53" t="str">
        <f>IF(J1288&lt;&gt;0,M1288/J1288,"")</f>
        <v/>
      </c>
      <c r="O1288" s="23">
        <v>238.48</v>
      </c>
      <c r="P1288" s="25">
        <v>144</v>
      </c>
      <c r="Q1288" s="24">
        <v>161.36000000000001</v>
      </c>
      <c r="R1288" s="24">
        <f>O1288-Q1288</f>
        <v>77.119999999999976</v>
      </c>
      <c r="S1288" s="53">
        <f>IF(O1288&lt;&gt;0,R1288/O1288,"")</f>
        <v>0.32338141563233808</v>
      </c>
      <c r="T1288" s="10"/>
      <c r="U1288" s="23">
        <v>0</v>
      </c>
      <c r="V1288" s="25">
        <v>0</v>
      </c>
      <c r="W1288" s="24">
        <v>0</v>
      </c>
      <c r="X1288" s="24">
        <f>U1288-W1288</f>
        <v>0</v>
      </c>
      <c r="Y1288" s="53" t="str">
        <f>IF(U1288&lt;&gt;0,X1288/U1288,"")</f>
        <v/>
      </c>
      <c r="Z1288" s="23">
        <v>0</v>
      </c>
      <c r="AA1288" s="25">
        <v>0</v>
      </c>
      <c r="AB1288" s="24">
        <v>0</v>
      </c>
      <c r="AC1288" s="24">
        <f t="shared" si="395"/>
        <v>0</v>
      </c>
      <c r="AD1288" s="53" t="str">
        <f t="shared" si="396"/>
        <v/>
      </c>
      <c r="AE1288" s="10"/>
    </row>
    <row r="1289" spans="1:31" x14ac:dyDescent="0.25">
      <c r="A1289" s="14" t="s">
        <v>109</v>
      </c>
      <c r="C1289" s="61" t="str">
        <f t="shared" si="394"/>
        <v>C100085</v>
      </c>
      <c r="F1289" s="8" t="str">
        <f>"E100041"</f>
        <v>E100041</v>
      </c>
      <c r="G1289" s="9" t="str">
        <f>"Biodegradable Colored SPORT BOT"</f>
        <v>Biodegradable Colored SPORT BOT</v>
      </c>
      <c r="H1289" s="47"/>
      <c r="I1289" s="47"/>
      <c r="J1289" s="23">
        <v>0</v>
      </c>
      <c r="K1289" s="25">
        <v>0</v>
      </c>
      <c r="L1289" s="24">
        <v>0</v>
      </c>
      <c r="M1289" s="24">
        <f>J1289-L1289</f>
        <v>0</v>
      </c>
      <c r="N1289" s="53" t="str">
        <f>IF(J1289&lt;&gt;0,M1289/J1289,"")</f>
        <v/>
      </c>
      <c r="O1289" s="23">
        <v>97.36999999999999</v>
      </c>
      <c r="P1289" s="25">
        <v>144</v>
      </c>
      <c r="Q1289" s="24">
        <v>61.900000000000006</v>
      </c>
      <c r="R1289" s="24">
        <f>O1289-Q1289</f>
        <v>35.469999999999985</v>
      </c>
      <c r="S1289" s="53">
        <f>IF(O1289&lt;&gt;0,R1289/O1289,"")</f>
        <v>0.36428057923385015</v>
      </c>
      <c r="T1289" s="10"/>
      <c r="U1289" s="23">
        <v>0</v>
      </c>
      <c r="V1289" s="25">
        <v>0</v>
      </c>
      <c r="W1289" s="24">
        <v>0</v>
      </c>
      <c r="X1289" s="24">
        <f>U1289-W1289</f>
        <v>0</v>
      </c>
      <c r="Y1289" s="53" t="str">
        <f>IF(U1289&lt;&gt;0,X1289/U1289,"")</f>
        <v/>
      </c>
      <c r="Z1289" s="23">
        <v>0</v>
      </c>
      <c r="AA1289" s="25">
        <v>0</v>
      </c>
      <c r="AB1289" s="24">
        <v>0</v>
      </c>
      <c r="AC1289" s="24">
        <f t="shared" si="395"/>
        <v>0</v>
      </c>
      <c r="AD1289" s="53" t="str">
        <f t="shared" si="396"/>
        <v/>
      </c>
      <c r="AE1289" s="10"/>
    </row>
    <row r="1290" spans="1:31" x14ac:dyDescent="0.25">
      <c r="A1290" s="14" t="s">
        <v>109</v>
      </c>
      <c r="C1290" s="61" t="str">
        <f t="shared" si="394"/>
        <v>C100085</v>
      </c>
      <c r="F1290" s="8" t="str">
        <f>"E100047"</f>
        <v>E100047</v>
      </c>
      <c r="G1290" s="9" t="str">
        <f>"Chardonnay Glass"</f>
        <v>Chardonnay Glass</v>
      </c>
      <c r="H1290" s="47"/>
      <c r="I1290" s="47"/>
      <c r="J1290" s="23">
        <v>0</v>
      </c>
      <c r="K1290" s="25">
        <v>0</v>
      </c>
      <c r="L1290" s="24">
        <v>0</v>
      </c>
      <c r="M1290" s="24">
        <f>J1290-L1290</f>
        <v>0</v>
      </c>
      <c r="N1290" s="53" t="str">
        <f>IF(J1290&lt;&gt;0,M1290/J1290,"")</f>
        <v/>
      </c>
      <c r="O1290" s="23">
        <v>254.00000000000003</v>
      </c>
      <c r="P1290" s="25">
        <v>144</v>
      </c>
      <c r="Q1290" s="24">
        <v>151.19999999999999</v>
      </c>
      <c r="R1290" s="24">
        <f>O1290-Q1290</f>
        <v>102.80000000000004</v>
      </c>
      <c r="S1290" s="53">
        <f>IF(O1290&lt;&gt;0,R1290/O1290,"")</f>
        <v>0.40472440944881899</v>
      </c>
      <c r="T1290" s="10"/>
      <c r="U1290" s="23">
        <v>0</v>
      </c>
      <c r="V1290" s="25">
        <v>0</v>
      </c>
      <c r="W1290" s="24">
        <v>0</v>
      </c>
      <c r="X1290" s="24">
        <f>U1290-W1290</f>
        <v>0</v>
      </c>
      <c r="Y1290" s="53" t="str">
        <f>IF(U1290&lt;&gt;0,X1290/U1290,"")</f>
        <v/>
      </c>
      <c r="Z1290" s="23">
        <v>0</v>
      </c>
      <c r="AA1290" s="25">
        <v>0</v>
      </c>
      <c r="AB1290" s="24">
        <v>0</v>
      </c>
      <c r="AC1290" s="24">
        <f t="shared" si="395"/>
        <v>0</v>
      </c>
      <c r="AD1290" s="53" t="str">
        <f t="shared" si="396"/>
        <v/>
      </c>
      <c r="AE1290" s="10"/>
    </row>
    <row r="1291" spans="1:31" x14ac:dyDescent="0.25">
      <c r="A1291" s="14" t="s">
        <v>109</v>
      </c>
      <c r="C1291" s="61" t="str">
        <f t="shared" si="394"/>
        <v>C100085</v>
      </c>
      <c r="F1291" s="8" t="str">
        <f>"S100011"</f>
        <v>S100011</v>
      </c>
      <c r="G1291" s="9" t="str">
        <f>"All Star Cap"</f>
        <v>All Star Cap</v>
      </c>
      <c r="H1291" s="47"/>
      <c r="I1291" s="47"/>
      <c r="J1291" s="23">
        <v>0</v>
      </c>
      <c r="K1291" s="25">
        <v>0</v>
      </c>
      <c r="L1291" s="24">
        <v>0</v>
      </c>
      <c r="M1291" s="24">
        <f>J1291-L1291</f>
        <v>0</v>
      </c>
      <c r="N1291" s="53" t="str">
        <f>IF(J1291&lt;&gt;0,M1291/J1291,"")</f>
        <v/>
      </c>
      <c r="O1291" s="23">
        <v>138.49</v>
      </c>
      <c r="P1291" s="25">
        <v>96</v>
      </c>
      <c r="Q1291" s="24">
        <v>81.61</v>
      </c>
      <c r="R1291" s="24">
        <f>O1291-Q1291</f>
        <v>56.88000000000001</v>
      </c>
      <c r="S1291" s="53">
        <f>IF(O1291&lt;&gt;0,R1291/O1291,"")</f>
        <v>0.41071557513177853</v>
      </c>
      <c r="T1291" s="10"/>
      <c r="U1291" s="23">
        <v>0</v>
      </c>
      <c r="V1291" s="25">
        <v>0</v>
      </c>
      <c r="W1291" s="24">
        <v>0</v>
      </c>
      <c r="X1291" s="24">
        <f>U1291-W1291</f>
        <v>0</v>
      </c>
      <c r="Y1291" s="53" t="str">
        <f>IF(U1291&lt;&gt;0,X1291/U1291,"")</f>
        <v/>
      </c>
      <c r="Z1291" s="23">
        <v>202.52999999999997</v>
      </c>
      <c r="AA1291" s="25">
        <v>144</v>
      </c>
      <c r="AB1291" s="24">
        <v>122.41</v>
      </c>
      <c r="AC1291" s="24">
        <f t="shared" si="395"/>
        <v>80.119999999999976</v>
      </c>
      <c r="AD1291" s="53">
        <f t="shared" si="396"/>
        <v>0.39559571421517792</v>
      </c>
      <c r="AE1291" s="10"/>
    </row>
    <row r="1292" spans="1:31" x14ac:dyDescent="0.25">
      <c r="A1292" s="14" t="s">
        <v>109</v>
      </c>
      <c r="C1292" s="61" t="str">
        <f t="shared" si="394"/>
        <v>C100085</v>
      </c>
      <c r="F1292" s="8" t="str">
        <f>"S100016"</f>
        <v>S100016</v>
      </c>
      <c r="G1292" s="9" t="str">
        <f>"Mesh Bucket Hat"</f>
        <v>Mesh Bucket Hat</v>
      </c>
      <c r="H1292" s="47"/>
      <c r="I1292" s="47"/>
      <c r="J1292" s="23">
        <v>0</v>
      </c>
      <c r="K1292" s="25">
        <v>0</v>
      </c>
      <c r="L1292" s="24">
        <v>0</v>
      </c>
      <c r="M1292" s="24">
        <f>J1292-L1292</f>
        <v>0</v>
      </c>
      <c r="N1292" s="53" t="str">
        <f>IF(J1292&lt;&gt;0,M1292/J1292,"")</f>
        <v/>
      </c>
      <c r="O1292" s="23">
        <v>702.77</v>
      </c>
      <c r="P1292" s="25">
        <v>144</v>
      </c>
      <c r="Q1292" s="24">
        <v>396.01</v>
      </c>
      <c r="R1292" s="24">
        <f>O1292-Q1292</f>
        <v>306.76</v>
      </c>
      <c r="S1292" s="53">
        <f>IF(O1292&lt;&gt;0,R1292/O1292,"")</f>
        <v>0.43650127353188101</v>
      </c>
      <c r="T1292" s="10"/>
      <c r="U1292" s="23">
        <v>0</v>
      </c>
      <c r="V1292" s="25">
        <v>0</v>
      </c>
      <c r="W1292" s="24">
        <v>0</v>
      </c>
      <c r="X1292" s="24">
        <f>U1292-W1292</f>
        <v>0</v>
      </c>
      <c r="Y1292" s="53" t="str">
        <f>IF(U1292&lt;&gt;0,X1292/U1292,"")</f>
        <v/>
      </c>
      <c r="Z1292" s="23">
        <v>695.61</v>
      </c>
      <c r="AA1292" s="25">
        <v>144</v>
      </c>
      <c r="AB1292" s="24">
        <v>396.01</v>
      </c>
      <c r="AC1292" s="24">
        <f t="shared" si="395"/>
        <v>299.60000000000002</v>
      </c>
      <c r="AD1292" s="53">
        <f t="shared" si="396"/>
        <v>0.43070111125486987</v>
      </c>
      <c r="AE1292" s="10"/>
    </row>
    <row r="1293" spans="1:31" x14ac:dyDescent="0.25">
      <c r="A1293" s="14" t="s">
        <v>109</v>
      </c>
      <c r="C1293" s="61" t="str">
        <f t="shared" si="394"/>
        <v>C100085</v>
      </c>
      <c r="F1293" s="8" t="str">
        <f>"S100023"</f>
        <v>S100023</v>
      </c>
      <c r="G1293" s="9" t="str">
        <f>"Gripper SPORT BOT"</f>
        <v>Gripper SPORT BOT</v>
      </c>
      <c r="H1293" s="47"/>
      <c r="I1293" s="47"/>
      <c r="J1293" s="23">
        <v>0</v>
      </c>
      <c r="K1293" s="25">
        <v>0</v>
      </c>
      <c r="L1293" s="24">
        <v>0</v>
      </c>
      <c r="M1293" s="24">
        <f>J1293-L1293</f>
        <v>0</v>
      </c>
      <c r="N1293" s="53" t="str">
        <f>IF(J1293&lt;&gt;0,M1293/J1293,"")</f>
        <v/>
      </c>
      <c r="O1293" s="23">
        <v>280.83000000000004</v>
      </c>
      <c r="P1293" s="25">
        <v>144</v>
      </c>
      <c r="Q1293" s="24">
        <v>142.57999999999998</v>
      </c>
      <c r="R1293" s="24">
        <f>O1293-Q1293</f>
        <v>138.25000000000006</v>
      </c>
      <c r="S1293" s="53">
        <f>IF(O1293&lt;&gt;0,R1293/O1293,"")</f>
        <v>0.49229070968201416</v>
      </c>
      <c r="T1293" s="10"/>
      <c r="U1293" s="23">
        <v>0</v>
      </c>
      <c r="V1293" s="25">
        <v>0</v>
      </c>
      <c r="W1293" s="24">
        <v>0</v>
      </c>
      <c r="X1293" s="24">
        <f>U1293-W1293</f>
        <v>0</v>
      </c>
      <c r="Y1293" s="53" t="str">
        <f>IF(U1293&lt;&gt;0,X1293/U1293,"")</f>
        <v/>
      </c>
      <c r="Z1293" s="23">
        <v>0</v>
      </c>
      <c r="AA1293" s="25">
        <v>0</v>
      </c>
      <c r="AB1293" s="24">
        <v>0</v>
      </c>
      <c r="AC1293" s="24">
        <f t="shared" si="395"/>
        <v>0</v>
      </c>
      <c r="AD1293" s="53" t="str">
        <f t="shared" si="396"/>
        <v/>
      </c>
      <c r="AE1293" s="10"/>
    </row>
    <row r="1294" spans="1:31" x14ac:dyDescent="0.25">
      <c r="A1294" s="14" t="s">
        <v>109</v>
      </c>
      <c r="C1294" s="61" t="str">
        <f t="shared" si="394"/>
        <v>C100085</v>
      </c>
      <c r="F1294" s="8" t="str">
        <f>"S100025"</f>
        <v>S100025</v>
      </c>
      <c r="G1294" s="9" t="str">
        <f>"SPORT BOT with Pop Lid"</f>
        <v>SPORT BOT with Pop Lid</v>
      </c>
      <c r="H1294" s="47"/>
      <c r="I1294" s="47"/>
      <c r="J1294" s="23">
        <v>0</v>
      </c>
      <c r="K1294" s="25">
        <v>0</v>
      </c>
      <c r="L1294" s="24">
        <v>0</v>
      </c>
      <c r="M1294" s="24">
        <f>J1294-L1294</f>
        <v>0</v>
      </c>
      <c r="N1294" s="53" t="str">
        <f>IF(J1294&lt;&gt;0,M1294/J1294,"")</f>
        <v/>
      </c>
      <c r="O1294" s="23">
        <v>239.89999999999998</v>
      </c>
      <c r="P1294" s="25">
        <v>144</v>
      </c>
      <c r="Q1294" s="24">
        <v>138.16999999999999</v>
      </c>
      <c r="R1294" s="24">
        <f>O1294-Q1294</f>
        <v>101.72999999999999</v>
      </c>
      <c r="S1294" s="53">
        <f>IF(O1294&lt;&gt;0,R1294/O1294,"")</f>
        <v>0.4240516882034181</v>
      </c>
      <c r="T1294" s="10"/>
      <c r="U1294" s="23">
        <v>0</v>
      </c>
      <c r="V1294" s="25">
        <v>0</v>
      </c>
      <c r="W1294" s="24">
        <v>0</v>
      </c>
      <c r="X1294" s="24">
        <f>U1294-W1294</f>
        <v>0</v>
      </c>
      <c r="Y1294" s="53" t="str">
        <f>IF(U1294&lt;&gt;0,X1294/U1294,"")</f>
        <v/>
      </c>
      <c r="Z1294" s="23">
        <v>237.44</v>
      </c>
      <c r="AA1294" s="25">
        <v>144</v>
      </c>
      <c r="AB1294" s="24">
        <v>138.16999999999999</v>
      </c>
      <c r="AC1294" s="24">
        <f t="shared" si="395"/>
        <v>99.27000000000001</v>
      </c>
      <c r="AD1294" s="53">
        <f t="shared" si="396"/>
        <v>0.41808456873315369</v>
      </c>
      <c r="AE1294" s="10"/>
    </row>
    <row r="1295" spans="1:31" ht="15.75" thickBot="1" x14ac:dyDescent="0.3">
      <c r="A1295" s="14" t="s">
        <v>109</v>
      </c>
      <c r="C1295" s="61" t="str">
        <f>C1266</f>
        <v>C100085</v>
      </c>
      <c r="J1295" s="10"/>
      <c r="K1295" s="11"/>
      <c r="L1295" s="11"/>
      <c r="M1295" s="11"/>
      <c r="N1295" s="12"/>
      <c r="O1295" s="10"/>
      <c r="P1295" s="11"/>
      <c r="Q1295" s="11"/>
      <c r="R1295" s="11"/>
      <c r="S1295" s="12"/>
      <c r="U1295" s="10"/>
      <c r="V1295" s="11"/>
      <c r="W1295" s="11"/>
      <c r="X1295" s="11"/>
      <c r="Y1295" s="12"/>
      <c r="Z1295" s="10"/>
      <c r="AA1295" s="11"/>
      <c r="AB1295" s="11"/>
      <c r="AC1295" s="11"/>
      <c r="AD1295" s="12"/>
    </row>
    <row r="1296" spans="1:31" ht="15.75" thickBot="1" x14ac:dyDescent="0.3">
      <c r="A1296" s="14" t="s">
        <v>109</v>
      </c>
      <c r="C1296" s="61" t="str">
        <f t="shared" si="391"/>
        <v>C100085</v>
      </c>
      <c r="G1296" s="48" t="str">
        <f>C1296&amp;" TOTAL:"</f>
        <v>C100085 TOTAL:</v>
      </c>
      <c r="H1296" s="50"/>
      <c r="I1296" s="50"/>
      <c r="J1296" s="34">
        <f>SUBTOTAL(9,J1265:J1295)</f>
        <v>0</v>
      </c>
      <c r="K1296" s="35">
        <f>SUBTOTAL(9,K1265:K1295)</f>
        <v>0</v>
      </c>
      <c r="L1296" s="36">
        <f>SUBTOTAL(9,L1265:L1295)</f>
        <v>0</v>
      </c>
      <c r="M1296" s="36">
        <f>J1296-L1296</f>
        <v>0</v>
      </c>
      <c r="N1296" s="37" t="str">
        <f>IF(J1296&lt;&gt;0,M1296/J1296,"")</f>
        <v/>
      </c>
      <c r="O1296" s="34">
        <f>SUBTOTAL(9,O1265:O1295)</f>
        <v>7186.8799999999992</v>
      </c>
      <c r="P1296" s="35">
        <f>SUBTOTAL(9,P1265:P1295)</f>
        <v>3813</v>
      </c>
      <c r="Q1296" s="36">
        <f>SUBTOTAL(9,Q1265:Q1295)</f>
        <v>4051.4000000000005</v>
      </c>
      <c r="R1296" s="36">
        <f>O1296-Q1296</f>
        <v>3135.4799999999987</v>
      </c>
      <c r="S1296" s="37">
        <f>IF(O1296&lt;&gt;0,R1296/O1296,"")</f>
        <v>0.43627832940024031</v>
      </c>
      <c r="U1296" s="34">
        <f>SUBTOTAL(9,U1265:U1295)</f>
        <v>0</v>
      </c>
      <c r="V1296" s="35">
        <f>SUBTOTAL(9,V1265:V1295)</f>
        <v>0</v>
      </c>
      <c r="W1296" s="36">
        <f>SUBTOTAL(9,W1265:W1295)</f>
        <v>0</v>
      </c>
      <c r="X1296" s="36">
        <f>U1296-W1296</f>
        <v>0</v>
      </c>
      <c r="Y1296" s="37" t="str">
        <f>IF(U1296&lt;&gt;0,X1296/U1296,"")</f>
        <v/>
      </c>
      <c r="Z1296" s="34">
        <f>SUBTOTAL(9,Z1265:Z1295)</f>
        <v>1913.6999999999998</v>
      </c>
      <c r="AA1296" s="35">
        <f>SUBTOTAL(9,AA1265:AA1295)</f>
        <v>866</v>
      </c>
      <c r="AB1296" s="36">
        <f>SUBTOTAL(9,AB1265:AB1295)</f>
        <v>1110.53</v>
      </c>
      <c r="AC1296" s="36">
        <f t="shared" ref="AC1296" si="397">Z1296-AB1296</f>
        <v>803.16999999999985</v>
      </c>
      <c r="AD1296" s="37">
        <f t="shared" ref="AD1296" si="398">IF(Z1296&lt;&gt;0,AC1296/Z1296,"")</f>
        <v>0.41969483200083602</v>
      </c>
    </row>
    <row r="1297" spans="1:31" x14ac:dyDescent="0.25">
      <c r="A1297" s="14" t="s">
        <v>109</v>
      </c>
      <c r="C1297" s="66"/>
      <c r="J1297" s="10"/>
      <c r="K1297" s="11"/>
      <c r="L1297" s="11"/>
      <c r="M1297" s="11"/>
      <c r="N1297" s="12"/>
      <c r="O1297" s="10"/>
      <c r="P1297" s="11"/>
      <c r="Q1297" s="11"/>
      <c r="R1297" s="11"/>
      <c r="S1297" s="12"/>
      <c r="U1297" s="10"/>
      <c r="V1297" s="11"/>
      <c r="W1297" s="11"/>
      <c r="X1297" s="11"/>
      <c r="Y1297" s="12"/>
      <c r="Z1297" s="10"/>
      <c r="AA1297" s="11"/>
      <c r="AB1297" s="11"/>
      <c r="AC1297" s="11"/>
      <c r="AD1297" s="12"/>
    </row>
    <row r="1298" spans="1:31" ht="15.75" x14ac:dyDescent="0.25">
      <c r="A1298" s="14" t="s">
        <v>109</v>
      </c>
      <c r="C1298" s="66" t="str">
        <f t="shared" ref="C1298" si="399">E1298</f>
        <v>C100086</v>
      </c>
      <c r="E1298" s="13" t="str">
        <f>"C100086"</f>
        <v>C100086</v>
      </c>
      <c r="F1298" s="13"/>
      <c r="G1298" s="13" t="str">
        <f>"Top Action Sports"</f>
        <v>Top Action Sports</v>
      </c>
      <c r="H1298" s="13"/>
      <c r="I1298" s="13"/>
      <c r="J1298" s="10"/>
      <c r="K1298" s="11"/>
      <c r="L1298" s="11"/>
      <c r="M1298" s="11"/>
      <c r="N1298" s="12"/>
      <c r="O1298" s="10"/>
      <c r="P1298" s="11"/>
      <c r="Q1298" s="11"/>
      <c r="R1298" s="11"/>
      <c r="S1298" s="12"/>
      <c r="U1298" s="10"/>
      <c r="V1298" s="11"/>
      <c r="W1298" s="11"/>
      <c r="X1298" s="11"/>
      <c r="Y1298" s="12"/>
      <c r="Z1298" s="10"/>
      <c r="AA1298" s="11"/>
      <c r="AB1298" s="11"/>
      <c r="AC1298" s="11"/>
      <c r="AD1298" s="12"/>
    </row>
    <row r="1299" spans="1:31" ht="6.6" customHeight="1" x14ac:dyDescent="0.25">
      <c r="A1299" s="14" t="s">
        <v>109</v>
      </c>
      <c r="C1299" s="61" t="str">
        <f t="shared" ref="C1299:C1344" si="400">C1298</f>
        <v>C100086</v>
      </c>
      <c r="J1299" s="10"/>
      <c r="K1299" s="11"/>
      <c r="L1299" s="11"/>
      <c r="M1299" s="11"/>
      <c r="N1299" s="12"/>
      <c r="O1299" s="10"/>
      <c r="P1299" s="11"/>
      <c r="Q1299" s="11"/>
      <c r="R1299" s="11"/>
      <c r="S1299" s="12"/>
      <c r="U1299" s="10"/>
      <c r="V1299" s="11"/>
      <c r="W1299" s="11"/>
      <c r="X1299" s="11"/>
      <c r="Y1299" s="12"/>
      <c r="Z1299" s="10"/>
      <c r="AA1299" s="11"/>
      <c r="AB1299" s="11"/>
      <c r="AC1299" s="11"/>
      <c r="AD1299" s="12"/>
    </row>
    <row r="1300" spans="1:31" x14ac:dyDescent="0.25">
      <c r="A1300" s="14" t="s">
        <v>109</v>
      </c>
      <c r="C1300" s="61" t="str">
        <f t="shared" si="400"/>
        <v>C100086</v>
      </c>
      <c r="F1300" s="8" t="str">
        <f>"C100003"</f>
        <v>C100003</v>
      </c>
      <c r="G1300" s="9" t="str">
        <f>"Cherry Finish Frame"</f>
        <v>Cherry Finish Frame</v>
      </c>
      <c r="H1300" s="47"/>
      <c r="I1300" s="47"/>
      <c r="J1300" s="23">
        <v>9580.64</v>
      </c>
      <c r="K1300" s="25">
        <v>144</v>
      </c>
      <c r="L1300" s="24">
        <v>4700.1499999999996</v>
      </c>
      <c r="M1300" s="24">
        <f>J1300-L1300</f>
        <v>4880.49</v>
      </c>
      <c r="N1300" s="53">
        <f>IF(J1300&lt;&gt;0,M1300/J1300,"")</f>
        <v>0.5094116885719534</v>
      </c>
      <c r="O1300" s="23">
        <v>0</v>
      </c>
      <c r="P1300" s="25">
        <v>0</v>
      </c>
      <c r="Q1300" s="24">
        <v>0</v>
      </c>
      <c r="R1300" s="24">
        <f>O1300-Q1300</f>
        <v>0</v>
      </c>
      <c r="S1300" s="53" t="str">
        <f>IF(O1300&lt;&gt;0,R1300/O1300,"")</f>
        <v/>
      </c>
      <c r="T1300" s="10"/>
      <c r="U1300" s="23">
        <v>0</v>
      </c>
      <c r="V1300" s="25">
        <v>0</v>
      </c>
      <c r="W1300" s="24">
        <v>0</v>
      </c>
      <c r="X1300" s="24">
        <f>U1300-W1300</f>
        <v>0</v>
      </c>
      <c r="Y1300" s="53" t="str">
        <f>IF(U1300&lt;&gt;0,X1300/U1300,"")</f>
        <v/>
      </c>
      <c r="Z1300" s="23">
        <v>3193.5499999999997</v>
      </c>
      <c r="AA1300" s="25">
        <v>48</v>
      </c>
      <c r="AB1300" s="24">
        <v>1566.72</v>
      </c>
      <c r="AC1300" s="24">
        <f t="shared" ref="AC1300" si="401">Z1300-AB1300</f>
        <v>1626.8299999999997</v>
      </c>
      <c r="AD1300" s="53">
        <f t="shared" ref="AD1300" si="402">IF(Z1300&lt;&gt;0,AC1300/Z1300,"")</f>
        <v>0.50941115686305205</v>
      </c>
      <c r="AE1300" s="10"/>
    </row>
    <row r="1301" spans="1:31" x14ac:dyDescent="0.25">
      <c r="A1301" s="14" t="s">
        <v>109</v>
      </c>
      <c r="C1301" s="61" t="str">
        <f t="shared" ref="C1301:C1342" si="403">C1300</f>
        <v>C100086</v>
      </c>
      <c r="F1301" s="8" t="str">
        <f>"C100004"</f>
        <v>C100004</v>
      </c>
      <c r="G1301" s="9" t="str">
        <f>"Walnut Medallian Plate"</f>
        <v>Walnut Medallian Plate</v>
      </c>
      <c r="H1301" s="47"/>
      <c r="I1301" s="47"/>
      <c r="J1301" s="23">
        <v>-58.169999999999995</v>
      </c>
      <c r="K1301" s="25">
        <v>-1</v>
      </c>
      <c r="L1301" s="24">
        <v>-30.6</v>
      </c>
      <c r="M1301" s="24">
        <f>J1301-L1301</f>
        <v>-27.569999999999993</v>
      </c>
      <c r="N1301" s="53">
        <f>IF(J1301&lt;&gt;0,M1301/J1301,"")</f>
        <v>0.47395564724084571</v>
      </c>
      <c r="O1301" s="23">
        <v>0</v>
      </c>
      <c r="P1301" s="25">
        <v>0</v>
      </c>
      <c r="Q1301" s="24">
        <v>0</v>
      </c>
      <c r="R1301" s="24">
        <f>O1301-Q1301</f>
        <v>0</v>
      </c>
      <c r="S1301" s="53" t="str">
        <f>IF(O1301&lt;&gt;0,R1301/O1301,"")</f>
        <v/>
      </c>
      <c r="T1301" s="10"/>
      <c r="U1301" s="23">
        <v>698.07</v>
      </c>
      <c r="V1301" s="25">
        <v>12</v>
      </c>
      <c r="W1301" s="24">
        <v>367.2</v>
      </c>
      <c r="X1301" s="24">
        <f>U1301-W1301</f>
        <v>330.87000000000006</v>
      </c>
      <c r="Y1301" s="53">
        <f>IF(U1301&lt;&gt;0,X1301/U1301,"")</f>
        <v>0.47397825432979507</v>
      </c>
      <c r="Z1301" s="23">
        <v>8376.880000000001</v>
      </c>
      <c r="AA1301" s="25">
        <v>144</v>
      </c>
      <c r="AB1301" s="24">
        <v>4406.3899999999994</v>
      </c>
      <c r="AC1301" s="24">
        <f t="shared" ref="AC1301:AC1342" si="404">Z1301-AB1301</f>
        <v>3970.4900000000016</v>
      </c>
      <c r="AD1301" s="53">
        <f t="shared" ref="AD1301:AD1342" si="405">IF(Z1301&lt;&gt;0,AC1301/Z1301,"")</f>
        <v>0.47398195987050085</v>
      </c>
      <c r="AE1301" s="10"/>
    </row>
    <row r="1302" spans="1:31" x14ac:dyDescent="0.25">
      <c r="A1302" s="14" t="s">
        <v>109</v>
      </c>
      <c r="C1302" s="61" t="str">
        <f t="shared" si="403"/>
        <v>C100086</v>
      </c>
      <c r="F1302" s="8" t="str">
        <f>"C100005"</f>
        <v>C100005</v>
      </c>
      <c r="G1302" s="9" t="str">
        <f>"Cherry Finished Crystal Award"</f>
        <v>Cherry Finished Crystal Award</v>
      </c>
      <c r="H1302" s="47"/>
      <c r="I1302" s="47"/>
      <c r="J1302" s="23">
        <v>6539.4999999999991</v>
      </c>
      <c r="K1302" s="25">
        <v>48</v>
      </c>
      <c r="L1302" s="24">
        <v>3404.64</v>
      </c>
      <c r="M1302" s="24">
        <f>J1302-L1302</f>
        <v>3134.8599999999992</v>
      </c>
      <c r="N1302" s="53">
        <f>IF(J1302&lt;&gt;0,M1302/J1302,"")</f>
        <v>0.47937304075235104</v>
      </c>
      <c r="O1302" s="23">
        <v>6539.4999999999991</v>
      </c>
      <c r="P1302" s="25">
        <v>48</v>
      </c>
      <c r="Q1302" s="24">
        <v>3404.64</v>
      </c>
      <c r="R1302" s="24">
        <f>O1302-Q1302</f>
        <v>3134.8599999999992</v>
      </c>
      <c r="S1302" s="53">
        <f>IF(O1302&lt;&gt;0,R1302/O1302,"")</f>
        <v>0.47937304075235104</v>
      </c>
      <c r="T1302" s="10"/>
      <c r="U1302" s="23">
        <v>0</v>
      </c>
      <c r="V1302" s="25">
        <v>0</v>
      </c>
      <c r="W1302" s="24">
        <v>0</v>
      </c>
      <c r="X1302" s="24">
        <f>U1302-W1302</f>
        <v>0</v>
      </c>
      <c r="Y1302" s="53" t="str">
        <f>IF(U1302&lt;&gt;0,X1302/U1302,"")</f>
        <v/>
      </c>
      <c r="Z1302" s="23">
        <v>136.24</v>
      </c>
      <c r="AA1302" s="25">
        <v>1</v>
      </c>
      <c r="AB1302" s="24">
        <v>70.929999999999993</v>
      </c>
      <c r="AC1302" s="24">
        <f t="shared" si="404"/>
        <v>65.310000000000016</v>
      </c>
      <c r="AD1302" s="53">
        <f t="shared" si="405"/>
        <v>0.4793746330005873</v>
      </c>
      <c r="AE1302" s="10"/>
    </row>
    <row r="1303" spans="1:31" x14ac:dyDescent="0.25">
      <c r="A1303" s="14" t="s">
        <v>109</v>
      </c>
      <c r="C1303" s="61" t="str">
        <f t="shared" si="403"/>
        <v>C100086</v>
      </c>
      <c r="F1303" s="8" t="str">
        <f>"C100014"</f>
        <v>C100014</v>
      </c>
      <c r="G1303" s="9" t="str">
        <f>"Canvas Field Bag"</f>
        <v>Canvas Field Bag</v>
      </c>
      <c r="H1303" s="47"/>
      <c r="I1303" s="47"/>
      <c r="J1303" s="23">
        <v>440.29</v>
      </c>
      <c r="K1303" s="25">
        <v>48</v>
      </c>
      <c r="L1303" s="24">
        <v>220.32</v>
      </c>
      <c r="M1303" s="24">
        <f>J1303-L1303</f>
        <v>219.97000000000003</v>
      </c>
      <c r="N1303" s="53">
        <f>IF(J1303&lt;&gt;0,M1303/J1303,"")</f>
        <v>0.49960253469304328</v>
      </c>
      <c r="O1303" s="23">
        <v>1330.06</v>
      </c>
      <c r="P1303" s="25">
        <v>145</v>
      </c>
      <c r="Q1303" s="24">
        <v>665.55</v>
      </c>
      <c r="R1303" s="24">
        <f>O1303-Q1303</f>
        <v>664.51</v>
      </c>
      <c r="S1303" s="53">
        <f>IF(O1303&lt;&gt;0,R1303/O1303,"")</f>
        <v>0.49960904019367547</v>
      </c>
      <c r="T1303" s="10"/>
      <c r="U1303" s="23">
        <v>0</v>
      </c>
      <c r="V1303" s="25">
        <v>0</v>
      </c>
      <c r="W1303" s="24">
        <v>0</v>
      </c>
      <c r="X1303" s="24">
        <f>U1303-W1303</f>
        <v>0</v>
      </c>
      <c r="Y1303" s="53" t="str">
        <f>IF(U1303&lt;&gt;0,X1303/U1303,"")</f>
        <v/>
      </c>
      <c r="Z1303" s="23">
        <v>440.29</v>
      </c>
      <c r="AA1303" s="25">
        <v>48</v>
      </c>
      <c r="AB1303" s="24">
        <v>220.32</v>
      </c>
      <c r="AC1303" s="24">
        <f t="shared" si="404"/>
        <v>219.97000000000003</v>
      </c>
      <c r="AD1303" s="53">
        <f t="shared" si="405"/>
        <v>0.49960253469304328</v>
      </c>
      <c r="AE1303" s="10"/>
    </row>
    <row r="1304" spans="1:31" x14ac:dyDescent="0.25">
      <c r="A1304" s="14" t="s">
        <v>109</v>
      </c>
      <c r="C1304" s="61" t="str">
        <f t="shared" si="403"/>
        <v>C100086</v>
      </c>
      <c r="F1304" s="8" t="str">
        <f>"C100017"</f>
        <v>C100017</v>
      </c>
      <c r="G1304" s="9" t="str">
        <f>"Wheeled Duffel"</f>
        <v>Wheeled Duffel</v>
      </c>
      <c r="H1304" s="47"/>
      <c r="I1304" s="47"/>
      <c r="J1304" s="23">
        <v>189.46</v>
      </c>
      <c r="K1304" s="25">
        <v>1</v>
      </c>
      <c r="L1304" s="24">
        <v>101.22</v>
      </c>
      <c r="M1304" s="24">
        <f>J1304-L1304</f>
        <v>88.240000000000009</v>
      </c>
      <c r="N1304" s="53">
        <f>IF(J1304&lt;&gt;0,M1304/J1304,"")</f>
        <v>0.46574474823181677</v>
      </c>
      <c r="O1304" s="23">
        <v>0</v>
      </c>
      <c r="P1304" s="25">
        <v>0</v>
      </c>
      <c r="Q1304" s="24">
        <v>0</v>
      </c>
      <c r="R1304" s="24">
        <f>O1304-Q1304</f>
        <v>0</v>
      </c>
      <c r="S1304" s="53" t="str">
        <f>IF(O1304&lt;&gt;0,R1304/O1304,"")</f>
        <v/>
      </c>
      <c r="T1304" s="10"/>
      <c r="U1304" s="23">
        <v>9094.24</v>
      </c>
      <c r="V1304" s="25">
        <v>48</v>
      </c>
      <c r="W1304" s="24">
        <v>4858.5600000000004</v>
      </c>
      <c r="X1304" s="24">
        <f>U1304-W1304</f>
        <v>4235.6799999999994</v>
      </c>
      <c r="Y1304" s="53">
        <f>IF(U1304&lt;&gt;0,X1304/U1304,"")</f>
        <v>0.46575414768028989</v>
      </c>
      <c r="Z1304" s="23">
        <v>0</v>
      </c>
      <c r="AA1304" s="25">
        <v>0</v>
      </c>
      <c r="AB1304" s="24">
        <v>0</v>
      </c>
      <c r="AC1304" s="24">
        <f t="shared" si="404"/>
        <v>0</v>
      </c>
      <c r="AD1304" s="53" t="str">
        <f t="shared" si="405"/>
        <v/>
      </c>
      <c r="AE1304" s="10"/>
    </row>
    <row r="1305" spans="1:31" x14ac:dyDescent="0.25">
      <c r="A1305" s="14" t="s">
        <v>109</v>
      </c>
      <c r="C1305" s="61" t="str">
        <f t="shared" si="403"/>
        <v>C100086</v>
      </c>
      <c r="F1305" s="8" t="str">
        <f>"C100018"</f>
        <v>C100018</v>
      </c>
      <c r="G1305" s="9" t="str">
        <f>"Action Sport Duffel"</f>
        <v>Action Sport Duffel</v>
      </c>
      <c r="H1305" s="47"/>
      <c r="I1305" s="47"/>
      <c r="J1305" s="23">
        <v>5384.43</v>
      </c>
      <c r="K1305" s="25">
        <v>312</v>
      </c>
      <c r="L1305" s="24">
        <v>2667.62</v>
      </c>
      <c r="M1305" s="24">
        <f>J1305-L1305</f>
        <v>2716.8100000000004</v>
      </c>
      <c r="N1305" s="53">
        <f>IF(J1305&lt;&gt;0,M1305/J1305,"")</f>
        <v>0.5045678001199756</v>
      </c>
      <c r="O1305" s="23">
        <v>0</v>
      </c>
      <c r="P1305" s="25">
        <v>0</v>
      </c>
      <c r="Q1305" s="24">
        <v>0</v>
      </c>
      <c r="R1305" s="24">
        <f>O1305-Q1305</f>
        <v>0</v>
      </c>
      <c r="S1305" s="53" t="str">
        <f>IF(O1305&lt;&gt;0,R1305/O1305,"")</f>
        <v/>
      </c>
      <c r="T1305" s="10"/>
      <c r="U1305" s="23">
        <v>0</v>
      </c>
      <c r="V1305" s="25">
        <v>0</v>
      </c>
      <c r="W1305" s="24">
        <v>0</v>
      </c>
      <c r="X1305" s="24">
        <f>U1305-W1305</f>
        <v>0</v>
      </c>
      <c r="Y1305" s="53" t="str">
        <f>IF(U1305&lt;&gt;0,X1305/U1305,"")</f>
        <v/>
      </c>
      <c r="Z1305" s="23">
        <v>2485.1200000000003</v>
      </c>
      <c r="AA1305" s="25">
        <v>144</v>
      </c>
      <c r="AB1305" s="24">
        <v>1231.21</v>
      </c>
      <c r="AC1305" s="24">
        <f t="shared" si="404"/>
        <v>1253.9100000000003</v>
      </c>
      <c r="AD1305" s="53">
        <f t="shared" si="405"/>
        <v>0.50456718387844457</v>
      </c>
      <c r="AE1305" s="10"/>
    </row>
    <row r="1306" spans="1:31" x14ac:dyDescent="0.25">
      <c r="A1306" s="14" t="s">
        <v>109</v>
      </c>
      <c r="C1306" s="61" t="str">
        <f t="shared" si="403"/>
        <v>C100086</v>
      </c>
      <c r="F1306" s="8" t="str">
        <f>"C100019"</f>
        <v>C100019</v>
      </c>
      <c r="G1306" s="9" t="str">
        <f>"Black Duffel Bag"</f>
        <v>Black Duffel Bag</v>
      </c>
      <c r="H1306" s="47"/>
      <c r="I1306" s="47"/>
      <c r="J1306" s="23">
        <v>23210.949999999997</v>
      </c>
      <c r="K1306" s="25">
        <v>336</v>
      </c>
      <c r="L1306" s="24">
        <v>14353.960000000001</v>
      </c>
      <c r="M1306" s="24">
        <f>J1306-L1306</f>
        <v>8856.9899999999961</v>
      </c>
      <c r="N1306" s="53">
        <f>IF(J1306&lt;&gt;0,M1306/J1306,"")</f>
        <v>0.3815867079977337</v>
      </c>
      <c r="O1306" s="23">
        <v>0</v>
      </c>
      <c r="P1306" s="25">
        <v>0</v>
      </c>
      <c r="Q1306" s="24">
        <v>0</v>
      </c>
      <c r="R1306" s="24">
        <f>O1306-Q1306</f>
        <v>0</v>
      </c>
      <c r="S1306" s="53" t="str">
        <f>IF(O1306&lt;&gt;0,R1306/O1306,"")</f>
        <v/>
      </c>
      <c r="T1306" s="10"/>
      <c r="U1306" s="23">
        <v>0</v>
      </c>
      <c r="V1306" s="25">
        <v>0</v>
      </c>
      <c r="W1306" s="24">
        <v>0</v>
      </c>
      <c r="X1306" s="24">
        <f>U1306-W1306</f>
        <v>0</v>
      </c>
      <c r="Y1306" s="53" t="str">
        <f>IF(U1306&lt;&gt;0,X1306/U1306,"")</f>
        <v/>
      </c>
      <c r="Z1306" s="23">
        <v>0</v>
      </c>
      <c r="AA1306" s="25">
        <v>0</v>
      </c>
      <c r="AB1306" s="24">
        <v>0</v>
      </c>
      <c r="AC1306" s="24">
        <f t="shared" si="404"/>
        <v>0</v>
      </c>
      <c r="AD1306" s="53" t="str">
        <f t="shared" si="405"/>
        <v/>
      </c>
      <c r="AE1306" s="10"/>
    </row>
    <row r="1307" spans="1:31" x14ac:dyDescent="0.25">
      <c r="A1307" s="14" t="s">
        <v>109</v>
      </c>
      <c r="C1307" s="61" t="str">
        <f t="shared" si="403"/>
        <v>C100086</v>
      </c>
      <c r="F1307" s="8" t="str">
        <f>"C100020"</f>
        <v>C100020</v>
      </c>
      <c r="G1307" s="9" t="str">
        <f>"Gym Locker Bag"</f>
        <v>Gym Locker Bag</v>
      </c>
      <c r="H1307" s="47"/>
      <c r="I1307" s="47"/>
      <c r="J1307" s="23">
        <v>5863.53</v>
      </c>
      <c r="K1307" s="25">
        <v>432</v>
      </c>
      <c r="L1307" s="24">
        <v>3343.68</v>
      </c>
      <c r="M1307" s="24">
        <f>J1307-L1307</f>
        <v>2519.85</v>
      </c>
      <c r="N1307" s="53">
        <f>IF(J1307&lt;&gt;0,M1307/J1307,"")</f>
        <v>0.42974965592399117</v>
      </c>
      <c r="O1307" s="23">
        <v>-67.87</v>
      </c>
      <c r="P1307" s="25">
        <v>-5</v>
      </c>
      <c r="Q1307" s="24">
        <v>-38.700000000000003</v>
      </c>
      <c r="R1307" s="24">
        <f>O1307-Q1307</f>
        <v>-29.17</v>
      </c>
      <c r="S1307" s="53">
        <f>IF(O1307&lt;&gt;0,R1307/O1307,"")</f>
        <v>0.4297922498894946</v>
      </c>
      <c r="T1307" s="10"/>
      <c r="U1307" s="23">
        <v>0</v>
      </c>
      <c r="V1307" s="25">
        <v>0</v>
      </c>
      <c r="W1307" s="24">
        <v>0</v>
      </c>
      <c r="X1307" s="24">
        <f>U1307-W1307</f>
        <v>0</v>
      </c>
      <c r="Y1307" s="53" t="str">
        <f>IF(U1307&lt;&gt;0,X1307/U1307,"")</f>
        <v/>
      </c>
      <c r="Z1307" s="23">
        <v>95.01</v>
      </c>
      <c r="AA1307" s="25">
        <v>7</v>
      </c>
      <c r="AB1307" s="24">
        <v>54.179999999999993</v>
      </c>
      <c r="AC1307" s="24">
        <f t="shared" si="404"/>
        <v>40.830000000000013</v>
      </c>
      <c r="AD1307" s="53">
        <f t="shared" si="405"/>
        <v>0.42974423744868973</v>
      </c>
      <c r="AE1307" s="10"/>
    </row>
    <row r="1308" spans="1:31" x14ac:dyDescent="0.25">
      <c r="A1308" s="14" t="s">
        <v>109</v>
      </c>
      <c r="C1308" s="61" t="str">
        <f t="shared" si="403"/>
        <v>C100086</v>
      </c>
      <c r="F1308" s="8" t="str">
        <f>"C100021"</f>
        <v>C100021</v>
      </c>
      <c r="G1308" s="9" t="str">
        <f>"Canvas Boat Bag"</f>
        <v>Canvas Boat Bag</v>
      </c>
      <c r="H1308" s="47"/>
      <c r="I1308" s="47"/>
      <c r="J1308" s="23">
        <v>10.11</v>
      </c>
      <c r="K1308" s="25">
        <v>1</v>
      </c>
      <c r="L1308" s="24">
        <v>6.88</v>
      </c>
      <c r="M1308" s="24">
        <f>J1308-L1308</f>
        <v>3.2299999999999995</v>
      </c>
      <c r="N1308" s="53">
        <f>IF(J1308&lt;&gt;0,M1308/J1308,"")</f>
        <v>0.31948565776458948</v>
      </c>
      <c r="O1308" s="23">
        <v>0</v>
      </c>
      <c r="P1308" s="25">
        <v>0</v>
      </c>
      <c r="Q1308" s="24">
        <v>0</v>
      </c>
      <c r="R1308" s="24">
        <f>O1308-Q1308</f>
        <v>0</v>
      </c>
      <c r="S1308" s="53" t="str">
        <f>IF(O1308&lt;&gt;0,R1308/O1308,"")</f>
        <v/>
      </c>
      <c r="T1308" s="10"/>
      <c r="U1308" s="23">
        <v>2912.72</v>
      </c>
      <c r="V1308" s="25">
        <v>288</v>
      </c>
      <c r="W1308" s="24">
        <v>1981.42</v>
      </c>
      <c r="X1308" s="24">
        <f>U1308-W1308</f>
        <v>931.29999999999973</v>
      </c>
      <c r="Y1308" s="53">
        <f>IF(U1308&lt;&gt;0,X1308/U1308,"")</f>
        <v>0.31973550495756536</v>
      </c>
      <c r="Z1308" s="23">
        <v>0</v>
      </c>
      <c r="AA1308" s="25">
        <v>0</v>
      </c>
      <c r="AB1308" s="24">
        <v>0</v>
      </c>
      <c r="AC1308" s="24">
        <f t="shared" si="404"/>
        <v>0</v>
      </c>
      <c r="AD1308" s="53" t="str">
        <f t="shared" si="405"/>
        <v/>
      </c>
      <c r="AE1308" s="10"/>
    </row>
    <row r="1309" spans="1:31" x14ac:dyDescent="0.25">
      <c r="A1309" s="14" t="s">
        <v>109</v>
      </c>
      <c r="C1309" s="61" t="str">
        <f t="shared" si="403"/>
        <v>C100086</v>
      </c>
      <c r="F1309" s="8" t="str">
        <f>"C100022"</f>
        <v>C100022</v>
      </c>
      <c r="G1309" s="9" t="str">
        <f>"Two-Toned Cap"</f>
        <v>Two-Toned Cap</v>
      </c>
      <c r="H1309" s="47"/>
      <c r="I1309" s="47"/>
      <c r="J1309" s="23">
        <v>451.58000000000004</v>
      </c>
      <c r="K1309" s="25">
        <v>144</v>
      </c>
      <c r="L1309" s="24">
        <v>231.82999999999998</v>
      </c>
      <c r="M1309" s="24">
        <f>J1309-L1309</f>
        <v>219.75000000000006</v>
      </c>
      <c r="N1309" s="53">
        <f>IF(J1309&lt;&gt;0,M1309/J1309,"")</f>
        <v>0.4866247398024714</v>
      </c>
      <c r="O1309" s="23">
        <v>0</v>
      </c>
      <c r="P1309" s="25">
        <v>0</v>
      </c>
      <c r="Q1309" s="24">
        <v>0</v>
      </c>
      <c r="R1309" s="24">
        <f>O1309-Q1309</f>
        <v>0</v>
      </c>
      <c r="S1309" s="53" t="str">
        <f>IF(O1309&lt;&gt;0,R1309/O1309,"")</f>
        <v/>
      </c>
      <c r="T1309" s="10"/>
      <c r="U1309" s="23">
        <v>72.12</v>
      </c>
      <c r="V1309" s="25">
        <v>23</v>
      </c>
      <c r="W1309" s="24">
        <v>37.03</v>
      </c>
      <c r="X1309" s="24">
        <f>U1309-W1309</f>
        <v>35.090000000000003</v>
      </c>
      <c r="Y1309" s="53">
        <f>IF(U1309&lt;&gt;0,X1309/U1309,"")</f>
        <v>0.48655019412090961</v>
      </c>
      <c r="Z1309" s="23">
        <v>451.58000000000004</v>
      </c>
      <c r="AA1309" s="25">
        <v>144</v>
      </c>
      <c r="AB1309" s="24">
        <v>231.82999999999998</v>
      </c>
      <c r="AC1309" s="24">
        <f t="shared" si="404"/>
        <v>219.75000000000006</v>
      </c>
      <c r="AD1309" s="53">
        <f t="shared" si="405"/>
        <v>0.4866247398024714</v>
      </c>
      <c r="AE1309" s="10"/>
    </row>
    <row r="1310" spans="1:31" x14ac:dyDescent="0.25">
      <c r="A1310" s="14" t="s">
        <v>109</v>
      </c>
      <c r="C1310" s="61" t="str">
        <f t="shared" si="403"/>
        <v>C100086</v>
      </c>
      <c r="F1310" s="8" t="str">
        <f>"C100023"</f>
        <v>C100023</v>
      </c>
      <c r="G1310" s="9" t="str">
        <f>"Two-Toned Knit Hat"</f>
        <v>Two-Toned Knit Hat</v>
      </c>
      <c r="H1310" s="47"/>
      <c r="I1310" s="47"/>
      <c r="J1310" s="23">
        <v>-2.63</v>
      </c>
      <c r="K1310" s="25">
        <v>-1</v>
      </c>
      <c r="L1310" s="24">
        <v>-1.26</v>
      </c>
      <c r="M1310" s="24">
        <f>J1310-L1310</f>
        <v>-1.3699999999999999</v>
      </c>
      <c r="N1310" s="53">
        <f>IF(J1310&lt;&gt;0,M1310/J1310,"")</f>
        <v>0.52091254752851712</v>
      </c>
      <c r="O1310" s="23">
        <v>0</v>
      </c>
      <c r="P1310" s="25">
        <v>0</v>
      </c>
      <c r="Q1310" s="24">
        <v>0</v>
      </c>
      <c r="R1310" s="24">
        <f>O1310-Q1310</f>
        <v>0</v>
      </c>
      <c r="S1310" s="53" t="str">
        <f>IF(O1310&lt;&gt;0,R1310/O1310,"")</f>
        <v/>
      </c>
      <c r="T1310" s="10"/>
      <c r="U1310" s="23">
        <v>0</v>
      </c>
      <c r="V1310" s="25">
        <v>0</v>
      </c>
      <c r="W1310" s="24">
        <v>0</v>
      </c>
      <c r="X1310" s="24">
        <f>U1310-W1310</f>
        <v>0</v>
      </c>
      <c r="Y1310" s="53" t="str">
        <f>IF(U1310&lt;&gt;0,X1310/U1310,"")</f>
        <v/>
      </c>
      <c r="Z1310" s="23">
        <v>0</v>
      </c>
      <c r="AA1310" s="25">
        <v>0</v>
      </c>
      <c r="AB1310" s="24">
        <v>0</v>
      </c>
      <c r="AC1310" s="24">
        <f t="shared" si="404"/>
        <v>0</v>
      </c>
      <c r="AD1310" s="53" t="str">
        <f t="shared" si="405"/>
        <v/>
      </c>
      <c r="AE1310" s="10"/>
    </row>
    <row r="1311" spans="1:31" x14ac:dyDescent="0.25">
      <c r="A1311" s="14" t="s">
        <v>109</v>
      </c>
      <c r="C1311" s="61" t="str">
        <f t="shared" si="403"/>
        <v>C100086</v>
      </c>
      <c r="F1311" s="8" t="str">
        <f>"C100024"</f>
        <v>C100024</v>
      </c>
      <c r="G1311" s="9" t="str">
        <f>"Knit Hat with Bill"</f>
        <v>Knit Hat with Bill</v>
      </c>
      <c r="H1311" s="47"/>
      <c r="I1311" s="47"/>
      <c r="J1311" s="23">
        <v>1507.1599999999999</v>
      </c>
      <c r="K1311" s="25">
        <v>288</v>
      </c>
      <c r="L1311" s="24">
        <v>864</v>
      </c>
      <c r="M1311" s="24">
        <f>J1311-L1311</f>
        <v>643.15999999999985</v>
      </c>
      <c r="N1311" s="53">
        <f>IF(J1311&lt;&gt;0,M1311/J1311,"")</f>
        <v>0.42673637835399025</v>
      </c>
      <c r="O1311" s="23">
        <v>0</v>
      </c>
      <c r="P1311" s="25">
        <v>0</v>
      </c>
      <c r="Q1311" s="24">
        <v>0</v>
      </c>
      <c r="R1311" s="24">
        <f>O1311-Q1311</f>
        <v>0</v>
      </c>
      <c r="S1311" s="53" t="str">
        <f>IF(O1311&lt;&gt;0,R1311/O1311,"")</f>
        <v/>
      </c>
      <c r="T1311" s="10"/>
      <c r="U1311" s="23">
        <v>0</v>
      </c>
      <c r="V1311" s="25">
        <v>0</v>
      </c>
      <c r="W1311" s="24">
        <v>0</v>
      </c>
      <c r="X1311" s="24">
        <f>U1311-W1311</f>
        <v>0</v>
      </c>
      <c r="Y1311" s="53" t="str">
        <f>IF(U1311&lt;&gt;0,X1311/U1311,"")</f>
        <v/>
      </c>
      <c r="Z1311" s="23">
        <v>0</v>
      </c>
      <c r="AA1311" s="25">
        <v>0</v>
      </c>
      <c r="AB1311" s="24">
        <v>0</v>
      </c>
      <c r="AC1311" s="24">
        <f t="shared" si="404"/>
        <v>0</v>
      </c>
      <c r="AD1311" s="53" t="str">
        <f t="shared" si="405"/>
        <v/>
      </c>
      <c r="AE1311" s="10"/>
    </row>
    <row r="1312" spans="1:31" x14ac:dyDescent="0.25">
      <c r="A1312" s="14" t="s">
        <v>109</v>
      </c>
      <c r="C1312" s="61" t="str">
        <f t="shared" si="403"/>
        <v>C100086</v>
      </c>
      <c r="F1312" s="8" t="str">
        <f>"C100025"</f>
        <v>C100025</v>
      </c>
      <c r="G1312" s="9" t="str">
        <f>"Striped Knit Hat"</f>
        <v>Striped Knit Hat</v>
      </c>
      <c r="H1312" s="47"/>
      <c r="I1312" s="47"/>
      <c r="J1312" s="23">
        <v>140.18</v>
      </c>
      <c r="K1312" s="25">
        <v>48</v>
      </c>
      <c r="L1312" s="24">
        <v>66.239999999999995</v>
      </c>
      <c r="M1312" s="24">
        <f>J1312-L1312</f>
        <v>73.940000000000012</v>
      </c>
      <c r="N1312" s="53">
        <f>IF(J1312&lt;&gt;0,M1312/J1312,"")</f>
        <v>0.52746468825795412</v>
      </c>
      <c r="O1312" s="23">
        <v>420.54</v>
      </c>
      <c r="P1312" s="25">
        <v>144</v>
      </c>
      <c r="Q1312" s="24">
        <v>198.72</v>
      </c>
      <c r="R1312" s="24">
        <f>O1312-Q1312</f>
        <v>221.82000000000002</v>
      </c>
      <c r="S1312" s="53">
        <f>IF(O1312&lt;&gt;0,R1312/O1312,"")</f>
        <v>0.52746468825795412</v>
      </c>
      <c r="T1312" s="10"/>
      <c r="U1312" s="23">
        <v>-2.92</v>
      </c>
      <c r="V1312" s="25">
        <v>-1</v>
      </c>
      <c r="W1312" s="24">
        <v>-1.38</v>
      </c>
      <c r="X1312" s="24">
        <f>U1312-W1312</f>
        <v>-1.54</v>
      </c>
      <c r="Y1312" s="53">
        <f>IF(U1312&lt;&gt;0,X1312/U1312,"")</f>
        <v>0.5273972602739726</v>
      </c>
      <c r="Z1312" s="23">
        <v>0</v>
      </c>
      <c r="AA1312" s="25">
        <v>0</v>
      </c>
      <c r="AB1312" s="24">
        <v>0</v>
      </c>
      <c r="AC1312" s="24">
        <f t="shared" si="404"/>
        <v>0</v>
      </c>
      <c r="AD1312" s="53" t="str">
        <f t="shared" si="405"/>
        <v/>
      </c>
      <c r="AE1312" s="10"/>
    </row>
    <row r="1313" spans="1:31" x14ac:dyDescent="0.25">
      <c r="A1313" s="14" t="s">
        <v>109</v>
      </c>
      <c r="C1313" s="61" t="str">
        <f t="shared" si="403"/>
        <v>C100086</v>
      </c>
      <c r="F1313" s="8" t="str">
        <f>"C100026"</f>
        <v>C100026</v>
      </c>
      <c r="G1313" s="9" t="str">
        <f>"Fleece Beanie"</f>
        <v>Fleece Beanie</v>
      </c>
      <c r="H1313" s="47"/>
      <c r="I1313" s="47"/>
      <c r="J1313" s="23">
        <v>1323.9399999999998</v>
      </c>
      <c r="K1313" s="25">
        <v>433</v>
      </c>
      <c r="L1313" s="24">
        <v>865.96</v>
      </c>
      <c r="M1313" s="24">
        <f>J1313-L1313</f>
        <v>457.97999999999979</v>
      </c>
      <c r="N1313" s="53">
        <f>IF(J1313&lt;&gt;0,M1313/J1313,"")</f>
        <v>0.34592202063537614</v>
      </c>
      <c r="O1313" s="23">
        <v>0</v>
      </c>
      <c r="P1313" s="25">
        <v>0</v>
      </c>
      <c r="Q1313" s="24">
        <v>0</v>
      </c>
      <c r="R1313" s="24">
        <f>O1313-Q1313</f>
        <v>0</v>
      </c>
      <c r="S1313" s="53" t="str">
        <f>IF(O1313&lt;&gt;0,R1313/O1313,"")</f>
        <v/>
      </c>
      <c r="T1313" s="10"/>
      <c r="U1313" s="23">
        <v>-3.06</v>
      </c>
      <c r="V1313" s="25">
        <v>-1</v>
      </c>
      <c r="W1313" s="24">
        <v>-2</v>
      </c>
      <c r="X1313" s="24">
        <f>U1313-W1313</f>
        <v>-1.06</v>
      </c>
      <c r="Y1313" s="53">
        <f>IF(U1313&lt;&gt;0,X1313/U1313,"")</f>
        <v>0.34640522875816993</v>
      </c>
      <c r="Z1313" s="23">
        <v>440.29</v>
      </c>
      <c r="AA1313" s="25">
        <v>144</v>
      </c>
      <c r="AB1313" s="24">
        <v>287.99</v>
      </c>
      <c r="AC1313" s="24">
        <f t="shared" si="404"/>
        <v>152.30000000000001</v>
      </c>
      <c r="AD1313" s="53">
        <f t="shared" si="405"/>
        <v>0.34590837856867068</v>
      </c>
      <c r="AE1313" s="10"/>
    </row>
    <row r="1314" spans="1:31" x14ac:dyDescent="0.25">
      <c r="A1314" s="14" t="s">
        <v>109</v>
      </c>
      <c r="C1314" s="61" t="str">
        <f t="shared" si="403"/>
        <v>C100086</v>
      </c>
      <c r="F1314" s="8" t="str">
        <f>"C100027"</f>
        <v>C100027</v>
      </c>
      <c r="G1314" s="9" t="str">
        <f>"Pique Visor"</f>
        <v>Pique Visor</v>
      </c>
      <c r="H1314" s="47"/>
      <c r="I1314" s="47"/>
      <c r="J1314" s="23">
        <v>899.4899999999999</v>
      </c>
      <c r="K1314" s="25">
        <v>145</v>
      </c>
      <c r="L1314" s="24">
        <v>452.41</v>
      </c>
      <c r="M1314" s="24">
        <f>J1314-L1314</f>
        <v>447.07999999999987</v>
      </c>
      <c r="N1314" s="53">
        <f>IF(J1314&lt;&gt;0,M1314/J1314,"")</f>
        <v>0.49703720997454104</v>
      </c>
      <c r="O1314" s="23">
        <v>0</v>
      </c>
      <c r="P1314" s="25">
        <v>0</v>
      </c>
      <c r="Q1314" s="24">
        <v>0</v>
      </c>
      <c r="R1314" s="24">
        <f>O1314-Q1314</f>
        <v>0</v>
      </c>
      <c r="S1314" s="53" t="str">
        <f>IF(O1314&lt;&gt;0,R1314/O1314,"")</f>
        <v/>
      </c>
      <c r="T1314" s="10"/>
      <c r="U1314" s="23">
        <v>0</v>
      </c>
      <c r="V1314" s="25">
        <v>0</v>
      </c>
      <c r="W1314" s="24">
        <v>0</v>
      </c>
      <c r="X1314" s="24">
        <f>U1314-W1314</f>
        <v>0</v>
      </c>
      <c r="Y1314" s="53" t="str">
        <f>IF(U1314&lt;&gt;0,X1314/U1314,"")</f>
        <v/>
      </c>
      <c r="Z1314" s="23">
        <v>0</v>
      </c>
      <c r="AA1314" s="25">
        <v>0</v>
      </c>
      <c r="AB1314" s="24">
        <v>0</v>
      </c>
      <c r="AC1314" s="24">
        <f t="shared" si="404"/>
        <v>0</v>
      </c>
      <c r="AD1314" s="53" t="str">
        <f t="shared" si="405"/>
        <v/>
      </c>
      <c r="AE1314" s="10"/>
    </row>
    <row r="1315" spans="1:31" x14ac:dyDescent="0.25">
      <c r="A1315" s="14" t="s">
        <v>109</v>
      </c>
      <c r="C1315" s="61" t="str">
        <f t="shared" si="403"/>
        <v>C100086</v>
      </c>
      <c r="F1315" s="8" t="str">
        <f>"C100028"</f>
        <v>C100028</v>
      </c>
      <c r="G1315" s="9" t="str">
        <f>"Twill Visor"</f>
        <v>Twill Visor</v>
      </c>
      <c r="H1315" s="47"/>
      <c r="I1315" s="47"/>
      <c r="J1315" s="23">
        <v>-120.19</v>
      </c>
      <c r="K1315" s="25">
        <v>-24</v>
      </c>
      <c r="L1315" s="24">
        <v>-57.6</v>
      </c>
      <c r="M1315" s="24">
        <f>J1315-L1315</f>
        <v>-62.589999999999996</v>
      </c>
      <c r="N1315" s="53">
        <f>IF(J1315&lt;&gt;0,M1315/J1315,"")</f>
        <v>0.52075879856893248</v>
      </c>
      <c r="O1315" s="23">
        <v>0</v>
      </c>
      <c r="P1315" s="25">
        <v>0</v>
      </c>
      <c r="Q1315" s="24">
        <v>0</v>
      </c>
      <c r="R1315" s="24">
        <f>O1315-Q1315</f>
        <v>0</v>
      </c>
      <c r="S1315" s="53" t="str">
        <f>IF(O1315&lt;&gt;0,R1315/O1315,"")</f>
        <v/>
      </c>
      <c r="T1315" s="10"/>
      <c r="U1315" s="23">
        <v>0</v>
      </c>
      <c r="V1315" s="25">
        <v>0</v>
      </c>
      <c r="W1315" s="24">
        <v>0</v>
      </c>
      <c r="X1315" s="24">
        <f>U1315-W1315</f>
        <v>0</v>
      </c>
      <c r="Y1315" s="53" t="str">
        <f>IF(U1315&lt;&gt;0,X1315/U1315,"")</f>
        <v/>
      </c>
      <c r="Z1315" s="23">
        <v>0</v>
      </c>
      <c r="AA1315" s="25">
        <v>0</v>
      </c>
      <c r="AB1315" s="24">
        <v>0</v>
      </c>
      <c r="AC1315" s="24">
        <f t="shared" si="404"/>
        <v>0</v>
      </c>
      <c r="AD1315" s="53" t="str">
        <f t="shared" si="405"/>
        <v/>
      </c>
      <c r="AE1315" s="10"/>
    </row>
    <row r="1316" spans="1:31" x14ac:dyDescent="0.25">
      <c r="A1316" s="14" t="s">
        <v>109</v>
      </c>
      <c r="C1316" s="61" t="str">
        <f t="shared" si="403"/>
        <v>C100086</v>
      </c>
      <c r="F1316" s="8" t="str">
        <f>"C100029"</f>
        <v>C100029</v>
      </c>
      <c r="G1316" s="9" t="str">
        <f>"Distressed Twill Visor"</f>
        <v>Distressed Twill Visor</v>
      </c>
      <c r="H1316" s="47"/>
      <c r="I1316" s="47"/>
      <c r="J1316" s="23">
        <v>482.62999999999994</v>
      </c>
      <c r="K1316" s="25">
        <v>144</v>
      </c>
      <c r="L1316" s="24">
        <v>298.09000000000003</v>
      </c>
      <c r="M1316" s="24">
        <f>J1316-L1316</f>
        <v>184.53999999999991</v>
      </c>
      <c r="N1316" s="53">
        <f>IF(J1316&lt;&gt;0,M1316/J1316,"")</f>
        <v>0.38236330107950173</v>
      </c>
      <c r="O1316" s="23">
        <v>-20.11</v>
      </c>
      <c r="P1316" s="25">
        <v>-6</v>
      </c>
      <c r="Q1316" s="24">
        <v>-12.42</v>
      </c>
      <c r="R1316" s="24">
        <f>O1316-Q1316</f>
        <v>-7.6899999999999995</v>
      </c>
      <c r="S1316" s="53">
        <f>IF(O1316&lt;&gt;0,R1316/O1316,"")</f>
        <v>0.38239681750372945</v>
      </c>
      <c r="T1316" s="10"/>
      <c r="U1316" s="23">
        <v>20.11</v>
      </c>
      <c r="V1316" s="25">
        <v>6</v>
      </c>
      <c r="W1316" s="24">
        <v>12.42</v>
      </c>
      <c r="X1316" s="24">
        <f>U1316-W1316</f>
        <v>7.6899999999999995</v>
      </c>
      <c r="Y1316" s="53">
        <f>IF(U1316&lt;&gt;0,X1316/U1316,"")</f>
        <v>0.38239681750372945</v>
      </c>
      <c r="Z1316" s="23">
        <v>0</v>
      </c>
      <c r="AA1316" s="25">
        <v>0</v>
      </c>
      <c r="AB1316" s="24">
        <v>0</v>
      </c>
      <c r="AC1316" s="24">
        <f t="shared" si="404"/>
        <v>0</v>
      </c>
      <c r="AD1316" s="53" t="str">
        <f t="shared" si="405"/>
        <v/>
      </c>
      <c r="AE1316" s="10"/>
    </row>
    <row r="1317" spans="1:31" x14ac:dyDescent="0.25">
      <c r="A1317" s="14" t="s">
        <v>109</v>
      </c>
      <c r="C1317" s="61" t="str">
        <f t="shared" si="403"/>
        <v>C100086</v>
      </c>
      <c r="F1317" s="8" t="str">
        <f>"E100001"</f>
        <v>E100001</v>
      </c>
      <c r="G1317" s="9" t="str">
        <f>"Sport Bag"</f>
        <v>Sport Bag</v>
      </c>
      <c r="H1317" s="47"/>
      <c r="I1317" s="47"/>
      <c r="J1317" s="23">
        <v>510.86</v>
      </c>
      <c r="K1317" s="25">
        <v>288</v>
      </c>
      <c r="L1317" s="24">
        <v>250.56</v>
      </c>
      <c r="M1317" s="24">
        <f>J1317-L1317</f>
        <v>260.3</v>
      </c>
      <c r="N1317" s="53">
        <f>IF(J1317&lt;&gt;0,M1317/J1317,"")</f>
        <v>0.50953294444661945</v>
      </c>
      <c r="O1317" s="23">
        <v>-1.77</v>
      </c>
      <c r="P1317" s="25">
        <v>-1</v>
      </c>
      <c r="Q1317" s="24">
        <v>-0.87</v>
      </c>
      <c r="R1317" s="24">
        <f>O1317-Q1317</f>
        <v>-0.9</v>
      </c>
      <c r="S1317" s="53">
        <f>IF(O1317&lt;&gt;0,R1317/O1317,"")</f>
        <v>0.50847457627118642</v>
      </c>
      <c r="T1317" s="10"/>
      <c r="U1317" s="23">
        <v>0</v>
      </c>
      <c r="V1317" s="25">
        <v>0</v>
      </c>
      <c r="W1317" s="24">
        <v>0</v>
      </c>
      <c r="X1317" s="24">
        <f>U1317-W1317</f>
        <v>0</v>
      </c>
      <c r="Y1317" s="53" t="str">
        <f>IF(U1317&lt;&gt;0,X1317/U1317,"")</f>
        <v/>
      </c>
      <c r="Z1317" s="23">
        <v>257.20000000000005</v>
      </c>
      <c r="AA1317" s="25">
        <v>145</v>
      </c>
      <c r="AB1317" s="24">
        <v>126.15</v>
      </c>
      <c r="AC1317" s="24">
        <f t="shared" si="404"/>
        <v>131.05000000000004</v>
      </c>
      <c r="AD1317" s="53">
        <f t="shared" si="405"/>
        <v>0.50952566096423024</v>
      </c>
      <c r="AE1317" s="10"/>
    </row>
    <row r="1318" spans="1:31" x14ac:dyDescent="0.25">
      <c r="A1318" s="14" t="s">
        <v>109</v>
      </c>
      <c r="C1318" s="61" t="str">
        <f t="shared" si="403"/>
        <v>C100086</v>
      </c>
      <c r="F1318" s="8" t="str">
        <f>"E100011"</f>
        <v>E100011</v>
      </c>
      <c r="G1318" s="9" t="str">
        <f>"Plastic Sun Visor"</f>
        <v>Plastic Sun Visor</v>
      </c>
      <c r="H1318" s="47"/>
      <c r="I1318" s="47"/>
      <c r="J1318" s="23">
        <v>-1.58</v>
      </c>
      <c r="K1318" s="25">
        <v>-2</v>
      </c>
      <c r="L1318" s="24">
        <v>-0.84</v>
      </c>
      <c r="M1318" s="24">
        <f>J1318-L1318</f>
        <v>-0.7400000000000001</v>
      </c>
      <c r="N1318" s="53">
        <f>IF(J1318&lt;&gt;0,M1318/J1318,"")</f>
        <v>0.46835443037974689</v>
      </c>
      <c r="O1318" s="23">
        <v>75.41</v>
      </c>
      <c r="P1318" s="25">
        <v>95.000000000000014</v>
      </c>
      <c r="Q1318" s="24">
        <v>39.89</v>
      </c>
      <c r="R1318" s="24">
        <f>O1318-Q1318</f>
        <v>35.519999999999996</v>
      </c>
      <c r="S1318" s="53">
        <f>IF(O1318&lt;&gt;0,R1318/O1318,"")</f>
        <v>0.47102506298899349</v>
      </c>
      <c r="T1318" s="10"/>
      <c r="U1318" s="23">
        <v>-112.73</v>
      </c>
      <c r="V1318" s="25">
        <v>-142</v>
      </c>
      <c r="W1318" s="24">
        <v>-59.63</v>
      </c>
      <c r="X1318" s="24">
        <f>U1318-W1318</f>
        <v>-53.1</v>
      </c>
      <c r="Y1318" s="53">
        <f>IF(U1318&lt;&gt;0,X1318/U1318,"")</f>
        <v>0.47103699104053931</v>
      </c>
      <c r="Z1318" s="23">
        <v>228.62</v>
      </c>
      <c r="AA1318" s="25">
        <v>288</v>
      </c>
      <c r="AB1318" s="24">
        <v>120.94000000000001</v>
      </c>
      <c r="AC1318" s="24">
        <f t="shared" si="404"/>
        <v>107.67999999999999</v>
      </c>
      <c r="AD1318" s="53">
        <f t="shared" si="405"/>
        <v>0.47099991251858975</v>
      </c>
      <c r="AE1318" s="10"/>
    </row>
    <row r="1319" spans="1:31" x14ac:dyDescent="0.25">
      <c r="A1319" s="14" t="s">
        <v>109</v>
      </c>
      <c r="C1319" s="61" t="str">
        <f t="shared" si="403"/>
        <v>C100086</v>
      </c>
      <c r="F1319" s="8" t="str">
        <f>"E100012"</f>
        <v>E100012</v>
      </c>
      <c r="G1319" s="9" t="str">
        <f>"Canvas Stopwatch"</f>
        <v>Canvas Stopwatch</v>
      </c>
      <c r="H1319" s="47"/>
      <c r="I1319" s="47"/>
      <c r="J1319" s="23">
        <v>0</v>
      </c>
      <c r="K1319" s="25">
        <v>0</v>
      </c>
      <c r="L1319" s="24">
        <v>0</v>
      </c>
      <c r="M1319" s="24">
        <f>J1319-L1319</f>
        <v>0</v>
      </c>
      <c r="N1319" s="53" t="str">
        <f>IF(J1319&lt;&gt;0,M1319/J1319,"")</f>
        <v/>
      </c>
      <c r="O1319" s="23">
        <v>-43.510000000000005</v>
      </c>
      <c r="P1319" s="25">
        <v>-12</v>
      </c>
      <c r="Q1319" s="24">
        <v>-23.52</v>
      </c>
      <c r="R1319" s="24">
        <f>O1319-Q1319</f>
        <v>-19.990000000000006</v>
      </c>
      <c r="S1319" s="53">
        <f>IF(O1319&lt;&gt;0,R1319/O1319,"")</f>
        <v>0.45943461273270519</v>
      </c>
      <c r="T1319" s="10"/>
      <c r="U1319" s="23">
        <v>0</v>
      </c>
      <c r="V1319" s="25">
        <v>0</v>
      </c>
      <c r="W1319" s="24">
        <v>0</v>
      </c>
      <c r="X1319" s="24">
        <f>U1319-W1319</f>
        <v>0</v>
      </c>
      <c r="Y1319" s="53" t="str">
        <f>IF(U1319&lt;&gt;0,X1319/U1319,"")</f>
        <v/>
      </c>
      <c r="Z1319" s="23">
        <v>0</v>
      </c>
      <c r="AA1319" s="25">
        <v>0</v>
      </c>
      <c r="AB1319" s="24">
        <v>0</v>
      </c>
      <c r="AC1319" s="24">
        <f t="shared" si="404"/>
        <v>0</v>
      </c>
      <c r="AD1319" s="53" t="str">
        <f t="shared" si="405"/>
        <v/>
      </c>
      <c r="AE1319" s="10"/>
    </row>
    <row r="1320" spans="1:31" x14ac:dyDescent="0.25">
      <c r="A1320" s="14" t="s">
        <v>109</v>
      </c>
      <c r="C1320" s="61" t="str">
        <f t="shared" si="403"/>
        <v>C100086</v>
      </c>
      <c r="F1320" s="8" t="str">
        <f>"E100014"</f>
        <v>E100014</v>
      </c>
      <c r="G1320" s="9" t="str">
        <f>"Stopwatch with Neck Rope"</f>
        <v>Stopwatch with Neck Rope</v>
      </c>
      <c r="H1320" s="47"/>
      <c r="I1320" s="47"/>
      <c r="J1320" s="23">
        <v>0</v>
      </c>
      <c r="K1320" s="25">
        <v>0</v>
      </c>
      <c r="L1320" s="24">
        <v>0</v>
      </c>
      <c r="M1320" s="24">
        <f>J1320-L1320</f>
        <v>0</v>
      </c>
      <c r="N1320" s="53" t="str">
        <f>IF(J1320&lt;&gt;0,M1320/J1320,"")</f>
        <v/>
      </c>
      <c r="O1320" s="23">
        <v>67.36999999999999</v>
      </c>
      <c r="P1320" s="25">
        <v>25</v>
      </c>
      <c r="Q1320" s="24">
        <v>32.25</v>
      </c>
      <c r="R1320" s="24">
        <f>O1320-Q1320</f>
        <v>35.11999999999999</v>
      </c>
      <c r="S1320" s="53">
        <f>IF(O1320&lt;&gt;0,R1320/O1320,"")</f>
        <v>0.52130028202463996</v>
      </c>
      <c r="T1320" s="10"/>
      <c r="U1320" s="23">
        <v>388.08000000000004</v>
      </c>
      <c r="V1320" s="25">
        <v>144</v>
      </c>
      <c r="W1320" s="24">
        <v>185.75</v>
      </c>
      <c r="X1320" s="24">
        <f>U1320-W1320</f>
        <v>202.33000000000004</v>
      </c>
      <c r="Y1320" s="53">
        <f>IF(U1320&lt;&gt;0,X1320/U1320,"")</f>
        <v>0.5213615749330035</v>
      </c>
      <c r="Z1320" s="23">
        <v>0</v>
      </c>
      <c r="AA1320" s="25">
        <v>0</v>
      </c>
      <c r="AB1320" s="24">
        <v>0</v>
      </c>
      <c r="AC1320" s="24">
        <f t="shared" si="404"/>
        <v>0</v>
      </c>
      <c r="AD1320" s="53" t="str">
        <f t="shared" si="405"/>
        <v/>
      </c>
      <c r="AE1320" s="10"/>
    </row>
    <row r="1321" spans="1:31" x14ac:dyDescent="0.25">
      <c r="A1321" s="14" t="s">
        <v>109</v>
      </c>
      <c r="C1321" s="61" t="str">
        <f t="shared" si="403"/>
        <v>C100086</v>
      </c>
      <c r="F1321" s="8" t="str">
        <f>"E100015"</f>
        <v>E100015</v>
      </c>
      <c r="G1321" s="9" t="str">
        <f>"360 Clip Watch"</f>
        <v>360 Clip Watch</v>
      </c>
      <c r="H1321" s="47"/>
      <c r="I1321" s="47"/>
      <c r="J1321" s="23">
        <v>301.3</v>
      </c>
      <c r="K1321" s="25">
        <v>143</v>
      </c>
      <c r="L1321" s="24">
        <v>145.85999999999999</v>
      </c>
      <c r="M1321" s="24">
        <f>J1321-L1321</f>
        <v>155.44000000000003</v>
      </c>
      <c r="N1321" s="53">
        <f>IF(J1321&lt;&gt;0,M1321/J1321,"")</f>
        <v>0.5158977763026884</v>
      </c>
      <c r="O1321" s="23">
        <v>303.41000000000003</v>
      </c>
      <c r="P1321" s="25">
        <v>144</v>
      </c>
      <c r="Q1321" s="24">
        <v>146.88</v>
      </c>
      <c r="R1321" s="24">
        <f>O1321-Q1321</f>
        <v>156.53000000000003</v>
      </c>
      <c r="S1321" s="53">
        <f>IF(O1321&lt;&gt;0,R1321/O1321,"")</f>
        <v>0.51590257407468443</v>
      </c>
      <c r="T1321" s="10"/>
      <c r="U1321" s="23">
        <v>305.52000000000004</v>
      </c>
      <c r="V1321" s="25">
        <v>145</v>
      </c>
      <c r="W1321" s="24">
        <v>147.9</v>
      </c>
      <c r="X1321" s="24">
        <f>U1321-W1321</f>
        <v>157.62000000000003</v>
      </c>
      <c r="Y1321" s="53">
        <f>IF(U1321&lt;&gt;0,X1321/U1321,"")</f>
        <v>0.5159073055773763</v>
      </c>
      <c r="Z1321" s="23">
        <v>2.11</v>
      </c>
      <c r="AA1321" s="25">
        <v>1</v>
      </c>
      <c r="AB1321" s="24">
        <v>1.02</v>
      </c>
      <c r="AC1321" s="24">
        <f t="shared" si="404"/>
        <v>1.0899999999999999</v>
      </c>
      <c r="AD1321" s="53">
        <f t="shared" si="405"/>
        <v>0.51658767772511849</v>
      </c>
      <c r="AE1321" s="10"/>
    </row>
    <row r="1322" spans="1:31" x14ac:dyDescent="0.25">
      <c r="A1322" s="14" t="s">
        <v>109</v>
      </c>
      <c r="C1322" s="61" t="str">
        <f t="shared" si="403"/>
        <v>C100086</v>
      </c>
      <c r="F1322" s="8" t="str">
        <f>"E100016"</f>
        <v>E100016</v>
      </c>
      <c r="G1322" s="9" t="str">
        <f>"4 Function Rotating Carabiner Watch"</f>
        <v>4 Function Rotating Carabiner Watch</v>
      </c>
      <c r="H1322" s="47"/>
      <c r="I1322" s="47"/>
      <c r="J1322" s="23">
        <v>17.88</v>
      </c>
      <c r="K1322" s="25">
        <v>6</v>
      </c>
      <c r="L1322" s="24">
        <v>8.2799999999999994</v>
      </c>
      <c r="M1322" s="24">
        <f>J1322-L1322</f>
        <v>9.6</v>
      </c>
      <c r="N1322" s="53">
        <f>IF(J1322&lt;&gt;0,M1322/J1322,"")</f>
        <v>0.53691275167785235</v>
      </c>
      <c r="O1322" s="23">
        <v>411.12</v>
      </c>
      <c r="P1322" s="25">
        <v>138</v>
      </c>
      <c r="Q1322" s="24">
        <v>190.45000000000002</v>
      </c>
      <c r="R1322" s="24">
        <f>O1322-Q1322</f>
        <v>220.67</v>
      </c>
      <c r="S1322" s="53">
        <f>IF(O1322&lt;&gt;0,R1322/O1322,"")</f>
        <v>0.5367532593889861</v>
      </c>
      <c r="T1322" s="10"/>
      <c r="U1322" s="23">
        <v>429.00000000000006</v>
      </c>
      <c r="V1322" s="25">
        <v>144</v>
      </c>
      <c r="W1322" s="24">
        <v>198.73000000000002</v>
      </c>
      <c r="X1322" s="24">
        <f>U1322-W1322</f>
        <v>230.27000000000004</v>
      </c>
      <c r="Y1322" s="53">
        <f>IF(U1322&lt;&gt;0,X1322/U1322,"")</f>
        <v>0.53675990675990681</v>
      </c>
      <c r="Z1322" s="23">
        <v>2.98</v>
      </c>
      <c r="AA1322" s="25">
        <v>1</v>
      </c>
      <c r="AB1322" s="24">
        <v>1.38</v>
      </c>
      <c r="AC1322" s="24">
        <f t="shared" si="404"/>
        <v>1.6</v>
      </c>
      <c r="AD1322" s="53">
        <f t="shared" si="405"/>
        <v>0.53691275167785235</v>
      </c>
      <c r="AE1322" s="10"/>
    </row>
    <row r="1323" spans="1:31" x14ac:dyDescent="0.25">
      <c r="A1323" s="14" t="s">
        <v>109</v>
      </c>
      <c r="C1323" s="61" t="str">
        <f t="shared" si="403"/>
        <v>C100086</v>
      </c>
      <c r="F1323" s="8" t="str">
        <f>"E100017"</f>
        <v>E100017</v>
      </c>
      <c r="G1323" s="9" t="str">
        <f>"Clip-on Clock with Compass"</f>
        <v>Clip-on Clock with Compass</v>
      </c>
      <c r="H1323" s="47"/>
      <c r="I1323" s="47"/>
      <c r="J1323" s="23">
        <v>440.29999999999995</v>
      </c>
      <c r="K1323" s="25">
        <v>288</v>
      </c>
      <c r="L1323" s="24">
        <v>253.44</v>
      </c>
      <c r="M1323" s="24">
        <f>J1323-L1323</f>
        <v>186.85999999999996</v>
      </c>
      <c r="N1323" s="53">
        <f>IF(J1323&lt;&gt;0,M1323/J1323,"")</f>
        <v>0.42439245968657729</v>
      </c>
      <c r="O1323" s="23">
        <v>0</v>
      </c>
      <c r="P1323" s="25">
        <v>0</v>
      </c>
      <c r="Q1323" s="24">
        <v>0</v>
      </c>
      <c r="R1323" s="24">
        <f>O1323-Q1323</f>
        <v>0</v>
      </c>
      <c r="S1323" s="53" t="str">
        <f>IF(O1323&lt;&gt;0,R1323/O1323,"")</f>
        <v/>
      </c>
      <c r="T1323" s="10"/>
      <c r="U1323" s="23">
        <v>-1.53</v>
      </c>
      <c r="V1323" s="25">
        <v>-1</v>
      </c>
      <c r="W1323" s="24">
        <v>-0.88</v>
      </c>
      <c r="X1323" s="24">
        <f>U1323-W1323</f>
        <v>-0.65</v>
      </c>
      <c r="Y1323" s="53">
        <f>IF(U1323&lt;&gt;0,X1323/U1323,"")</f>
        <v>0.42483660130718953</v>
      </c>
      <c r="Z1323" s="23">
        <v>220.14999999999998</v>
      </c>
      <c r="AA1323" s="25">
        <v>144</v>
      </c>
      <c r="AB1323" s="24">
        <v>126.72</v>
      </c>
      <c r="AC1323" s="24">
        <f t="shared" si="404"/>
        <v>93.429999999999978</v>
      </c>
      <c r="AD1323" s="53">
        <f t="shared" si="405"/>
        <v>0.42439245968657729</v>
      </c>
      <c r="AE1323" s="10"/>
    </row>
    <row r="1324" spans="1:31" x14ac:dyDescent="0.25">
      <c r="A1324" s="14" t="s">
        <v>109</v>
      </c>
      <c r="C1324" s="61" t="str">
        <f t="shared" si="403"/>
        <v>C100086</v>
      </c>
      <c r="F1324" s="8" t="str">
        <f>"E100018"</f>
        <v>E100018</v>
      </c>
      <c r="G1324" s="9" t="str">
        <f>"Flexi-Clock &amp; Clip"</f>
        <v>Flexi-Clock &amp; Clip</v>
      </c>
      <c r="H1324" s="47"/>
      <c r="I1324" s="47"/>
      <c r="J1324" s="23">
        <v>1.1100000000000001</v>
      </c>
      <c r="K1324" s="25">
        <v>1</v>
      </c>
      <c r="L1324" s="24">
        <v>0.6</v>
      </c>
      <c r="M1324" s="24">
        <f>J1324-L1324</f>
        <v>0.51000000000000012</v>
      </c>
      <c r="N1324" s="53">
        <f>IF(J1324&lt;&gt;0,M1324/J1324,"")</f>
        <v>0.45945945945945954</v>
      </c>
      <c r="O1324" s="23">
        <v>0</v>
      </c>
      <c r="P1324" s="25">
        <v>0</v>
      </c>
      <c r="Q1324" s="24">
        <v>0</v>
      </c>
      <c r="R1324" s="24">
        <f>O1324-Q1324</f>
        <v>0</v>
      </c>
      <c r="S1324" s="53" t="str">
        <f>IF(O1324&lt;&gt;0,R1324/O1324,"")</f>
        <v/>
      </c>
      <c r="T1324" s="10"/>
      <c r="U1324" s="23">
        <v>0</v>
      </c>
      <c r="V1324" s="25">
        <v>0</v>
      </c>
      <c r="W1324" s="24">
        <v>0</v>
      </c>
      <c r="X1324" s="24">
        <f>U1324-W1324</f>
        <v>0</v>
      </c>
      <c r="Y1324" s="53" t="str">
        <f>IF(U1324&lt;&gt;0,X1324/U1324,"")</f>
        <v/>
      </c>
      <c r="Z1324" s="23">
        <v>318.93</v>
      </c>
      <c r="AA1324" s="25">
        <v>288</v>
      </c>
      <c r="AB1324" s="24">
        <v>172.77</v>
      </c>
      <c r="AC1324" s="24">
        <f t="shared" si="404"/>
        <v>146.16</v>
      </c>
      <c r="AD1324" s="53">
        <f t="shared" si="405"/>
        <v>0.45828238171385566</v>
      </c>
      <c r="AE1324" s="10"/>
    </row>
    <row r="1325" spans="1:31" x14ac:dyDescent="0.25">
      <c r="A1325" s="14" t="s">
        <v>109</v>
      </c>
      <c r="C1325" s="61" t="str">
        <f t="shared" si="403"/>
        <v>C100086</v>
      </c>
      <c r="F1325" s="8" t="str">
        <f>"S100001"</f>
        <v>S100001</v>
      </c>
      <c r="G1325" s="9" t="str">
        <f>"Basketball Graphic Plaque"</f>
        <v>Basketball Graphic Plaque</v>
      </c>
      <c r="H1325" s="47"/>
      <c r="I1325" s="47"/>
      <c r="J1325" s="23">
        <v>4724.7</v>
      </c>
      <c r="K1325" s="25">
        <v>288</v>
      </c>
      <c r="L1325" s="24">
        <v>2620.8000000000002</v>
      </c>
      <c r="M1325" s="24">
        <f>J1325-L1325</f>
        <v>2103.8999999999996</v>
      </c>
      <c r="N1325" s="53">
        <f>IF(J1325&lt;&gt;0,M1325/J1325,"")</f>
        <v>0.44529811416597875</v>
      </c>
      <c r="O1325" s="23">
        <v>0</v>
      </c>
      <c r="P1325" s="25">
        <v>0</v>
      </c>
      <c r="Q1325" s="24">
        <v>0</v>
      </c>
      <c r="R1325" s="24">
        <f>O1325-Q1325</f>
        <v>0</v>
      </c>
      <c r="S1325" s="53" t="str">
        <f>IF(O1325&lt;&gt;0,R1325/O1325,"")</f>
        <v/>
      </c>
      <c r="T1325" s="10"/>
      <c r="U1325" s="23">
        <v>0</v>
      </c>
      <c r="V1325" s="25">
        <v>0</v>
      </c>
      <c r="W1325" s="24">
        <v>0</v>
      </c>
      <c r="X1325" s="24">
        <f>U1325-W1325</f>
        <v>0</v>
      </c>
      <c r="Y1325" s="53" t="str">
        <f>IF(U1325&lt;&gt;0,X1325/U1325,"")</f>
        <v/>
      </c>
      <c r="Z1325" s="23">
        <v>2362.35</v>
      </c>
      <c r="AA1325" s="25">
        <v>144</v>
      </c>
      <c r="AB1325" s="24">
        <v>1310.4000000000001</v>
      </c>
      <c r="AC1325" s="24">
        <f t="shared" si="404"/>
        <v>1051.9499999999998</v>
      </c>
      <c r="AD1325" s="53">
        <f t="shared" si="405"/>
        <v>0.44529811416597875</v>
      </c>
      <c r="AE1325" s="10"/>
    </row>
    <row r="1326" spans="1:31" x14ac:dyDescent="0.25">
      <c r="A1326" s="14" t="s">
        <v>109</v>
      </c>
      <c r="C1326" s="61" t="str">
        <f t="shared" si="403"/>
        <v>C100086</v>
      </c>
      <c r="F1326" s="8" t="str">
        <f>"S100002"</f>
        <v>S100002</v>
      </c>
      <c r="G1326" s="9" t="str">
        <f>"Football Graphic Plaque"</f>
        <v>Football Graphic Plaque</v>
      </c>
      <c r="H1326" s="47"/>
      <c r="I1326" s="47"/>
      <c r="J1326" s="23">
        <v>1163.3</v>
      </c>
      <c r="K1326" s="25">
        <v>48</v>
      </c>
      <c r="L1326" s="24">
        <v>570.72</v>
      </c>
      <c r="M1326" s="24">
        <f>J1326-L1326</f>
        <v>592.57999999999993</v>
      </c>
      <c r="N1326" s="53">
        <f>IF(J1326&lt;&gt;0,M1326/J1326,"")</f>
        <v>0.50939568469010565</v>
      </c>
      <c r="O1326" s="23">
        <v>3489.9</v>
      </c>
      <c r="P1326" s="25">
        <v>144</v>
      </c>
      <c r="Q1326" s="24">
        <v>1712.1699999999998</v>
      </c>
      <c r="R1326" s="24">
        <f>O1326-Q1326</f>
        <v>1777.7300000000002</v>
      </c>
      <c r="S1326" s="53">
        <f>IF(O1326&lt;&gt;0,R1326/O1326,"")</f>
        <v>0.50939281927848945</v>
      </c>
      <c r="T1326" s="10"/>
      <c r="U1326" s="23">
        <v>1163.3</v>
      </c>
      <c r="V1326" s="25">
        <v>48</v>
      </c>
      <c r="W1326" s="24">
        <v>570.72</v>
      </c>
      <c r="X1326" s="24">
        <f>U1326-W1326</f>
        <v>592.57999999999993</v>
      </c>
      <c r="Y1326" s="53">
        <f>IF(U1326&lt;&gt;0,X1326/U1326,"")</f>
        <v>0.50939568469010565</v>
      </c>
      <c r="Z1326" s="23">
        <v>48.48</v>
      </c>
      <c r="AA1326" s="25">
        <v>2</v>
      </c>
      <c r="AB1326" s="24">
        <v>23.78</v>
      </c>
      <c r="AC1326" s="24">
        <f t="shared" si="404"/>
        <v>24.699999999999996</v>
      </c>
      <c r="AD1326" s="53">
        <f t="shared" si="405"/>
        <v>0.50948844884488442</v>
      </c>
      <c r="AE1326" s="10"/>
    </row>
    <row r="1327" spans="1:31" x14ac:dyDescent="0.25">
      <c r="A1327" s="14" t="s">
        <v>109</v>
      </c>
      <c r="C1327" s="61" t="str">
        <f t="shared" si="403"/>
        <v>C100086</v>
      </c>
      <c r="F1327" s="8" t="str">
        <f>"S100003"</f>
        <v>S100003</v>
      </c>
      <c r="G1327" s="9" t="str">
        <f>"Soccer #1 Pin"</f>
        <v>Soccer #1 Pin</v>
      </c>
      <c r="H1327" s="47"/>
      <c r="I1327" s="47"/>
      <c r="J1327" s="23">
        <v>248.42999999999998</v>
      </c>
      <c r="K1327" s="25">
        <v>169</v>
      </c>
      <c r="L1327" s="24">
        <v>152.1</v>
      </c>
      <c r="M1327" s="24">
        <f>J1327-L1327</f>
        <v>96.329999999999984</v>
      </c>
      <c r="N1327" s="53">
        <f>IF(J1327&lt;&gt;0,M1327/J1327,"")</f>
        <v>0.38775510204081631</v>
      </c>
      <c r="O1327" s="23">
        <v>1.47</v>
      </c>
      <c r="P1327" s="25">
        <v>1</v>
      </c>
      <c r="Q1327" s="24">
        <v>0.9</v>
      </c>
      <c r="R1327" s="24">
        <f>O1327-Q1327</f>
        <v>0.56999999999999995</v>
      </c>
      <c r="S1327" s="53">
        <f>IF(O1327&lt;&gt;0,R1327/O1327,"")</f>
        <v>0.38775510204081631</v>
      </c>
      <c r="T1327" s="10"/>
      <c r="U1327" s="23">
        <v>141.12</v>
      </c>
      <c r="V1327" s="25">
        <v>96</v>
      </c>
      <c r="W1327" s="24">
        <v>86.4</v>
      </c>
      <c r="X1327" s="24">
        <f>U1327-W1327</f>
        <v>54.72</v>
      </c>
      <c r="Y1327" s="53">
        <f>IF(U1327&lt;&gt;0,X1327/U1327,"")</f>
        <v>0.38775510204081631</v>
      </c>
      <c r="Z1327" s="23">
        <v>1.47</v>
      </c>
      <c r="AA1327" s="25">
        <v>1</v>
      </c>
      <c r="AB1327" s="24">
        <v>0.9</v>
      </c>
      <c r="AC1327" s="24">
        <f t="shared" si="404"/>
        <v>0.56999999999999995</v>
      </c>
      <c r="AD1327" s="53">
        <f t="shared" si="405"/>
        <v>0.38775510204081631</v>
      </c>
      <c r="AE1327" s="10"/>
    </row>
    <row r="1328" spans="1:31" x14ac:dyDescent="0.25">
      <c r="A1328" s="14" t="s">
        <v>109</v>
      </c>
      <c r="C1328" s="61" t="str">
        <f t="shared" si="403"/>
        <v>C100086</v>
      </c>
      <c r="F1328" s="8" t="str">
        <f>"S100004"</f>
        <v>S100004</v>
      </c>
      <c r="G1328" s="9" t="str">
        <f>"Award Medallian - 2''"</f>
        <v>Award Medallian - 2''</v>
      </c>
      <c r="H1328" s="47"/>
      <c r="I1328" s="47"/>
      <c r="J1328" s="23">
        <v>3990.8799999999997</v>
      </c>
      <c r="K1328" s="25">
        <v>288</v>
      </c>
      <c r="L1328" s="24">
        <v>1920.96</v>
      </c>
      <c r="M1328" s="24">
        <f>J1328-L1328</f>
        <v>2069.9199999999996</v>
      </c>
      <c r="N1328" s="53">
        <f>IF(J1328&lt;&gt;0,M1328/J1328,"")</f>
        <v>0.51866255061540312</v>
      </c>
      <c r="O1328" s="23">
        <v>-13.86</v>
      </c>
      <c r="P1328" s="25">
        <v>-1</v>
      </c>
      <c r="Q1328" s="24">
        <v>-6.67</v>
      </c>
      <c r="R1328" s="24">
        <f>O1328-Q1328</f>
        <v>-7.1899999999999995</v>
      </c>
      <c r="S1328" s="53">
        <f>IF(O1328&lt;&gt;0,R1328/O1328,"")</f>
        <v>0.51875901875901875</v>
      </c>
      <c r="T1328" s="10"/>
      <c r="U1328" s="23">
        <v>0</v>
      </c>
      <c r="V1328" s="25">
        <v>0</v>
      </c>
      <c r="W1328" s="24">
        <v>0</v>
      </c>
      <c r="X1328" s="24">
        <f>U1328-W1328</f>
        <v>0</v>
      </c>
      <c r="Y1328" s="53" t="str">
        <f>IF(U1328&lt;&gt;0,X1328/U1328,"")</f>
        <v/>
      </c>
      <c r="Z1328" s="23">
        <v>2078.58</v>
      </c>
      <c r="AA1328" s="25">
        <v>150</v>
      </c>
      <c r="AB1328" s="24">
        <v>1000.5</v>
      </c>
      <c r="AC1328" s="24">
        <f t="shared" si="404"/>
        <v>1078.08</v>
      </c>
      <c r="AD1328" s="53">
        <f t="shared" si="405"/>
        <v>0.51866177871431451</v>
      </c>
      <c r="AE1328" s="10"/>
    </row>
    <row r="1329" spans="1:31" x14ac:dyDescent="0.25">
      <c r="A1329" s="14" t="s">
        <v>109</v>
      </c>
      <c r="C1329" s="61" t="str">
        <f t="shared" si="403"/>
        <v>C100086</v>
      </c>
      <c r="F1329" s="8" t="str">
        <f>"S100005"</f>
        <v>S100005</v>
      </c>
      <c r="G1329" s="9" t="str">
        <f>"Award Medallian - 2.5''"</f>
        <v>Award Medallian - 2.5''</v>
      </c>
      <c r="H1329" s="47"/>
      <c r="I1329" s="47"/>
      <c r="J1329" s="23">
        <v>42.48</v>
      </c>
      <c r="K1329" s="25">
        <v>5</v>
      </c>
      <c r="L1329" s="24">
        <v>26.1</v>
      </c>
      <c r="M1329" s="24">
        <f>J1329-L1329</f>
        <v>16.379999999999995</v>
      </c>
      <c r="N1329" s="53">
        <f>IF(J1329&lt;&gt;0,M1329/J1329,"")</f>
        <v>0.38559322033898297</v>
      </c>
      <c r="O1329" s="23">
        <v>1223.51</v>
      </c>
      <c r="P1329" s="25">
        <v>144</v>
      </c>
      <c r="Q1329" s="24">
        <v>751.69</v>
      </c>
      <c r="R1329" s="24">
        <f>O1329-Q1329</f>
        <v>471.81999999999994</v>
      </c>
      <c r="S1329" s="53">
        <f>IF(O1329&lt;&gt;0,R1329/O1329,"")</f>
        <v>0.38562823352485875</v>
      </c>
      <c r="T1329" s="10"/>
      <c r="U1329" s="23">
        <v>1232.01</v>
      </c>
      <c r="V1329" s="25">
        <v>145</v>
      </c>
      <c r="W1329" s="24">
        <v>756.91000000000008</v>
      </c>
      <c r="X1329" s="24">
        <f>U1329-W1329</f>
        <v>475.09999999999991</v>
      </c>
      <c r="Y1329" s="53">
        <f>IF(U1329&lt;&gt;0,X1329/U1329,"")</f>
        <v>0.38562998676958782</v>
      </c>
      <c r="Z1329" s="23">
        <v>0</v>
      </c>
      <c r="AA1329" s="25">
        <v>0</v>
      </c>
      <c r="AB1329" s="24">
        <v>0</v>
      </c>
      <c r="AC1329" s="24">
        <f t="shared" si="404"/>
        <v>0</v>
      </c>
      <c r="AD1329" s="53" t="str">
        <f t="shared" si="405"/>
        <v/>
      </c>
      <c r="AE1329" s="10"/>
    </row>
    <row r="1330" spans="1:31" x14ac:dyDescent="0.25">
      <c r="A1330" s="14" t="s">
        <v>109</v>
      </c>
      <c r="C1330" s="61" t="str">
        <f t="shared" si="403"/>
        <v>C100086</v>
      </c>
      <c r="F1330" s="8" t="str">
        <f>"S100006"</f>
        <v>S100006</v>
      </c>
      <c r="G1330" s="9" t="str">
        <f>"Award Medallian - 3''"</f>
        <v>Award Medallian - 3''</v>
      </c>
      <c r="H1330" s="47"/>
      <c r="I1330" s="47"/>
      <c r="J1330" s="23">
        <v>1608.77</v>
      </c>
      <c r="K1330" s="25">
        <v>144</v>
      </c>
      <c r="L1330" s="24">
        <v>1065.5900000000001</v>
      </c>
      <c r="M1330" s="24">
        <f>J1330-L1330</f>
        <v>543.17999999999984</v>
      </c>
      <c r="N1330" s="53">
        <f>IF(J1330&lt;&gt;0,M1330/J1330,"")</f>
        <v>0.33763682813578066</v>
      </c>
      <c r="O1330" s="23">
        <v>0</v>
      </c>
      <c r="P1330" s="25">
        <v>0</v>
      </c>
      <c r="Q1330" s="24">
        <v>0</v>
      </c>
      <c r="R1330" s="24">
        <f>O1330-Q1330</f>
        <v>0</v>
      </c>
      <c r="S1330" s="53" t="str">
        <f>IF(O1330&lt;&gt;0,R1330/O1330,"")</f>
        <v/>
      </c>
      <c r="T1330" s="10"/>
      <c r="U1330" s="23">
        <v>11.17</v>
      </c>
      <c r="V1330" s="25">
        <v>1</v>
      </c>
      <c r="W1330" s="24">
        <v>7.4</v>
      </c>
      <c r="X1330" s="24">
        <f>U1330-W1330</f>
        <v>3.7699999999999996</v>
      </c>
      <c r="Y1330" s="53">
        <f>IF(U1330&lt;&gt;0,X1330/U1330,"")</f>
        <v>0.33751119068934643</v>
      </c>
      <c r="Z1330" s="23">
        <v>1608.77</v>
      </c>
      <c r="AA1330" s="25">
        <v>144</v>
      </c>
      <c r="AB1330" s="24">
        <v>1065.5900000000001</v>
      </c>
      <c r="AC1330" s="24">
        <f t="shared" si="404"/>
        <v>543.17999999999984</v>
      </c>
      <c r="AD1330" s="53">
        <f t="shared" si="405"/>
        <v>0.33763682813578066</v>
      </c>
      <c r="AE1330" s="10"/>
    </row>
    <row r="1331" spans="1:31" x14ac:dyDescent="0.25">
      <c r="A1331" s="14" t="s">
        <v>109</v>
      </c>
      <c r="C1331" s="61" t="str">
        <f t="shared" si="403"/>
        <v>C100086</v>
      </c>
      <c r="F1331" s="8" t="str">
        <f>"S100007"</f>
        <v>S100007</v>
      </c>
      <c r="G1331" s="9" t="str">
        <f>"Baseball Figure Trophy"</f>
        <v>Baseball Figure Trophy</v>
      </c>
      <c r="H1331" s="47"/>
      <c r="I1331" s="47"/>
      <c r="J1331" s="23">
        <v>0</v>
      </c>
      <c r="K1331" s="25">
        <v>0</v>
      </c>
      <c r="L1331" s="24">
        <v>0</v>
      </c>
      <c r="M1331" s="24">
        <f>J1331-L1331</f>
        <v>0</v>
      </c>
      <c r="N1331" s="53" t="str">
        <f>IF(J1331&lt;&gt;0,M1331/J1331,"")</f>
        <v/>
      </c>
      <c r="O1331" s="23">
        <v>-87.02000000000001</v>
      </c>
      <c r="P1331" s="25">
        <v>-12</v>
      </c>
      <c r="Q1331" s="24">
        <v>-44.16</v>
      </c>
      <c r="R1331" s="24">
        <f>O1331-Q1331</f>
        <v>-42.860000000000014</v>
      </c>
      <c r="S1331" s="53">
        <f>IF(O1331&lt;&gt;0,R1331/O1331,"")</f>
        <v>0.49253045276947838</v>
      </c>
      <c r="T1331" s="10"/>
      <c r="U1331" s="23">
        <v>7.25</v>
      </c>
      <c r="V1331" s="25">
        <v>1</v>
      </c>
      <c r="W1331" s="24">
        <v>3.68</v>
      </c>
      <c r="X1331" s="24">
        <f>U1331-W1331</f>
        <v>3.57</v>
      </c>
      <c r="Y1331" s="53">
        <f>IF(U1331&lt;&gt;0,X1331/U1331,"")</f>
        <v>0.49241379310344824</v>
      </c>
      <c r="Z1331" s="23">
        <v>1044.29</v>
      </c>
      <c r="AA1331" s="25">
        <v>144</v>
      </c>
      <c r="AB1331" s="24">
        <v>529.91999999999996</v>
      </c>
      <c r="AC1331" s="24">
        <f t="shared" si="404"/>
        <v>514.37</v>
      </c>
      <c r="AD1331" s="53">
        <f t="shared" si="405"/>
        <v>0.4925547501173046</v>
      </c>
      <c r="AE1331" s="10"/>
    </row>
    <row r="1332" spans="1:31" x14ac:dyDescent="0.25">
      <c r="A1332" s="14" t="s">
        <v>109</v>
      </c>
      <c r="C1332" s="61" t="str">
        <f t="shared" si="403"/>
        <v>C100086</v>
      </c>
      <c r="F1332" s="8" t="str">
        <f>"S100008"</f>
        <v>S100008</v>
      </c>
      <c r="G1332" s="9" t="str">
        <f>"Soccer Figure Trophy"</f>
        <v>Soccer Figure Trophy</v>
      </c>
      <c r="H1332" s="47"/>
      <c r="I1332" s="47"/>
      <c r="J1332" s="23">
        <v>-5.8</v>
      </c>
      <c r="K1332" s="25">
        <v>-1</v>
      </c>
      <c r="L1332" s="24">
        <v>-3.68</v>
      </c>
      <c r="M1332" s="24">
        <f>J1332-L1332</f>
        <v>-2.1199999999999997</v>
      </c>
      <c r="N1332" s="53">
        <f>IF(J1332&lt;&gt;0,M1332/J1332,"")</f>
        <v>0.3655172413793103</v>
      </c>
      <c r="O1332" s="23">
        <v>0</v>
      </c>
      <c r="P1332" s="25">
        <v>0</v>
      </c>
      <c r="Q1332" s="24">
        <v>0</v>
      </c>
      <c r="R1332" s="24">
        <f>O1332-Q1332</f>
        <v>0</v>
      </c>
      <c r="S1332" s="53" t="str">
        <f>IF(O1332&lt;&gt;0,R1332/O1332,"")</f>
        <v/>
      </c>
      <c r="T1332" s="10"/>
      <c r="U1332" s="23">
        <v>0</v>
      </c>
      <c r="V1332" s="25">
        <v>0</v>
      </c>
      <c r="W1332" s="24">
        <v>0</v>
      </c>
      <c r="X1332" s="24">
        <f>U1332-W1332</f>
        <v>0</v>
      </c>
      <c r="Y1332" s="53" t="str">
        <f>IF(U1332&lt;&gt;0,X1332/U1332,"")</f>
        <v/>
      </c>
      <c r="Z1332" s="23">
        <v>0</v>
      </c>
      <c r="AA1332" s="25">
        <v>0</v>
      </c>
      <c r="AB1332" s="24">
        <v>0</v>
      </c>
      <c r="AC1332" s="24">
        <f t="shared" si="404"/>
        <v>0</v>
      </c>
      <c r="AD1332" s="53" t="str">
        <f t="shared" si="405"/>
        <v/>
      </c>
      <c r="AE1332" s="10"/>
    </row>
    <row r="1333" spans="1:31" x14ac:dyDescent="0.25">
      <c r="A1333" s="14" t="s">
        <v>109</v>
      </c>
      <c r="C1333" s="61" t="str">
        <f t="shared" si="403"/>
        <v>C100086</v>
      </c>
      <c r="F1333" s="8" t="str">
        <f>"S100011"</f>
        <v>S100011</v>
      </c>
      <c r="G1333" s="9" t="str">
        <f>"All Star Cap"</f>
        <v>All Star Cap</v>
      </c>
      <c r="H1333" s="47"/>
      <c r="I1333" s="47"/>
      <c r="J1333" s="23">
        <v>197.51999999999998</v>
      </c>
      <c r="K1333" s="25">
        <v>139</v>
      </c>
      <c r="L1333" s="24">
        <v>118.16</v>
      </c>
      <c r="M1333" s="24">
        <f>J1333-L1333</f>
        <v>79.359999999999985</v>
      </c>
      <c r="N1333" s="53">
        <f>IF(J1333&lt;&gt;0,M1333/J1333,"")</f>
        <v>0.40178209801539083</v>
      </c>
      <c r="O1333" s="23">
        <v>0</v>
      </c>
      <c r="P1333" s="25">
        <v>0</v>
      </c>
      <c r="Q1333" s="24">
        <v>0</v>
      </c>
      <c r="R1333" s="24">
        <f>O1333-Q1333</f>
        <v>0</v>
      </c>
      <c r="S1333" s="53" t="str">
        <f>IF(O1333&lt;&gt;0,R1333/O1333,"")</f>
        <v/>
      </c>
      <c r="T1333" s="10"/>
      <c r="U1333" s="23">
        <v>204.62</v>
      </c>
      <c r="V1333" s="25">
        <v>144</v>
      </c>
      <c r="W1333" s="24">
        <v>122.41</v>
      </c>
      <c r="X1333" s="24">
        <f>U1333-W1333</f>
        <v>82.210000000000008</v>
      </c>
      <c r="Y1333" s="53">
        <f>IF(U1333&lt;&gt;0,X1333/U1333,"")</f>
        <v>0.40176913302707462</v>
      </c>
      <c r="Z1333" s="23">
        <v>409.25000000000006</v>
      </c>
      <c r="AA1333" s="25">
        <v>288</v>
      </c>
      <c r="AB1333" s="24">
        <v>244.81000000000003</v>
      </c>
      <c r="AC1333" s="24">
        <f t="shared" si="404"/>
        <v>164.44000000000003</v>
      </c>
      <c r="AD1333" s="53">
        <f t="shared" si="405"/>
        <v>0.40180818570555898</v>
      </c>
      <c r="AE1333" s="10"/>
    </row>
    <row r="1334" spans="1:31" x14ac:dyDescent="0.25">
      <c r="A1334" s="14" t="s">
        <v>109</v>
      </c>
      <c r="C1334" s="61" t="str">
        <f t="shared" si="403"/>
        <v>C100086</v>
      </c>
      <c r="F1334" s="8" t="str">
        <f>"S100012"</f>
        <v>S100012</v>
      </c>
      <c r="G1334" s="9" t="str">
        <f>"Raw-Edge Patch BALL CAP"</f>
        <v>Raw-Edge Patch BALL CAP</v>
      </c>
      <c r="H1334" s="47"/>
      <c r="I1334" s="47"/>
      <c r="J1334" s="23">
        <v>-10.220000000000001</v>
      </c>
      <c r="K1334" s="25">
        <v>-1</v>
      </c>
      <c r="L1334" s="24">
        <v>-5.61</v>
      </c>
      <c r="M1334" s="24">
        <f>J1334-L1334</f>
        <v>-4.6100000000000003</v>
      </c>
      <c r="N1334" s="53">
        <f>IF(J1334&lt;&gt;0,M1334/J1334,"")</f>
        <v>0.45107632093933464</v>
      </c>
      <c r="O1334" s="23">
        <v>0</v>
      </c>
      <c r="P1334" s="25">
        <v>0</v>
      </c>
      <c r="Q1334" s="24">
        <v>0</v>
      </c>
      <c r="R1334" s="24">
        <f>O1334-Q1334</f>
        <v>0</v>
      </c>
      <c r="S1334" s="53" t="str">
        <f>IF(O1334&lt;&gt;0,R1334/O1334,"")</f>
        <v/>
      </c>
      <c r="T1334" s="10"/>
      <c r="U1334" s="23">
        <v>0</v>
      </c>
      <c r="V1334" s="25">
        <v>0</v>
      </c>
      <c r="W1334" s="24">
        <v>0</v>
      </c>
      <c r="X1334" s="24">
        <f>U1334-W1334</f>
        <v>0</v>
      </c>
      <c r="Y1334" s="53" t="str">
        <f>IF(U1334&lt;&gt;0,X1334/U1334,"")</f>
        <v/>
      </c>
      <c r="Z1334" s="23">
        <v>0</v>
      </c>
      <c r="AA1334" s="25">
        <v>0</v>
      </c>
      <c r="AB1334" s="24">
        <v>0</v>
      </c>
      <c r="AC1334" s="24">
        <f t="shared" si="404"/>
        <v>0</v>
      </c>
      <c r="AD1334" s="53" t="str">
        <f t="shared" si="405"/>
        <v/>
      </c>
      <c r="AE1334" s="10"/>
    </row>
    <row r="1335" spans="1:31" x14ac:dyDescent="0.25">
      <c r="A1335" s="14" t="s">
        <v>109</v>
      </c>
      <c r="C1335" s="61" t="str">
        <f t="shared" si="403"/>
        <v>C100086</v>
      </c>
      <c r="F1335" s="8" t="str">
        <f>"S100013"</f>
        <v>S100013</v>
      </c>
      <c r="G1335" s="9" t="str">
        <f>"Mesh BALL CAP"</f>
        <v>Mesh BALL CAP</v>
      </c>
      <c r="H1335" s="47"/>
      <c r="I1335" s="47"/>
      <c r="J1335" s="23">
        <v>931.38999999999987</v>
      </c>
      <c r="K1335" s="25">
        <v>144</v>
      </c>
      <c r="L1335" s="24">
        <v>495.37</v>
      </c>
      <c r="M1335" s="24">
        <f>J1335-L1335</f>
        <v>436.01999999999987</v>
      </c>
      <c r="N1335" s="53">
        <f>IF(J1335&lt;&gt;0,M1335/J1335,"")</f>
        <v>0.46813901802682006</v>
      </c>
      <c r="O1335" s="23">
        <v>310.45999999999998</v>
      </c>
      <c r="P1335" s="25">
        <v>48</v>
      </c>
      <c r="Q1335" s="24">
        <v>165.12</v>
      </c>
      <c r="R1335" s="24">
        <f>O1335-Q1335</f>
        <v>145.33999999999997</v>
      </c>
      <c r="S1335" s="53">
        <f>IF(O1335&lt;&gt;0,R1335/O1335,"")</f>
        <v>0.46814404432132961</v>
      </c>
      <c r="T1335" s="10"/>
      <c r="U1335" s="23">
        <v>310.45999999999998</v>
      </c>
      <c r="V1335" s="25">
        <v>48</v>
      </c>
      <c r="W1335" s="24">
        <v>165.12</v>
      </c>
      <c r="X1335" s="24">
        <f>U1335-W1335</f>
        <v>145.33999999999997</v>
      </c>
      <c r="Y1335" s="53">
        <f>IF(U1335&lt;&gt;0,X1335/U1335,"")</f>
        <v>0.46814404432132961</v>
      </c>
      <c r="Z1335" s="23">
        <v>0</v>
      </c>
      <c r="AA1335" s="25">
        <v>0</v>
      </c>
      <c r="AB1335" s="24">
        <v>0</v>
      </c>
      <c r="AC1335" s="24">
        <f t="shared" si="404"/>
        <v>0</v>
      </c>
      <c r="AD1335" s="53" t="str">
        <f t="shared" si="405"/>
        <v/>
      </c>
      <c r="AE1335" s="10"/>
    </row>
    <row r="1336" spans="1:31" x14ac:dyDescent="0.25">
      <c r="A1336" s="14" t="s">
        <v>109</v>
      </c>
      <c r="C1336" s="61" t="str">
        <f t="shared" si="403"/>
        <v>C100086</v>
      </c>
      <c r="F1336" s="8" t="str">
        <f>"S100014"</f>
        <v>S100014</v>
      </c>
      <c r="G1336" s="9" t="str">
        <f>"Chunky Knit Hat"</f>
        <v>Chunky Knit Hat</v>
      </c>
      <c r="H1336" s="47"/>
      <c r="I1336" s="47"/>
      <c r="J1336" s="23">
        <v>6847.67</v>
      </c>
      <c r="K1336" s="25">
        <v>713</v>
      </c>
      <c r="L1336" s="24">
        <v>3679.0199999999995</v>
      </c>
      <c r="M1336" s="24">
        <f>J1336-L1336</f>
        <v>3168.6500000000005</v>
      </c>
      <c r="N1336" s="53">
        <f>IF(J1336&lt;&gt;0,M1336/J1336,"")</f>
        <v>0.46273403946159797</v>
      </c>
      <c r="O1336" s="23">
        <v>0</v>
      </c>
      <c r="P1336" s="25">
        <v>0</v>
      </c>
      <c r="Q1336" s="24">
        <v>0</v>
      </c>
      <c r="R1336" s="24">
        <f>O1336-Q1336</f>
        <v>0</v>
      </c>
      <c r="S1336" s="53" t="str">
        <f>IF(O1336&lt;&gt;0,R1336/O1336,"")</f>
        <v/>
      </c>
      <c r="T1336" s="10"/>
      <c r="U1336" s="23">
        <v>0</v>
      </c>
      <c r="V1336" s="25">
        <v>0</v>
      </c>
      <c r="W1336" s="24">
        <v>0</v>
      </c>
      <c r="X1336" s="24">
        <f>U1336-W1336</f>
        <v>0</v>
      </c>
      <c r="Y1336" s="53" t="str">
        <f>IF(U1336&lt;&gt;0,X1336/U1336,"")</f>
        <v/>
      </c>
      <c r="Z1336" s="23">
        <v>460.99</v>
      </c>
      <c r="AA1336" s="25">
        <v>48</v>
      </c>
      <c r="AB1336" s="24">
        <v>247.68</v>
      </c>
      <c r="AC1336" s="24">
        <f t="shared" si="404"/>
        <v>213.31</v>
      </c>
      <c r="AD1336" s="53">
        <f t="shared" si="405"/>
        <v>0.46272153408967653</v>
      </c>
      <c r="AE1336" s="10"/>
    </row>
    <row r="1337" spans="1:31" x14ac:dyDescent="0.25">
      <c r="A1337" s="14" t="s">
        <v>109</v>
      </c>
      <c r="C1337" s="61" t="str">
        <f t="shared" si="403"/>
        <v>C100086</v>
      </c>
      <c r="F1337" s="8" t="str">
        <f>"S100015"</f>
        <v>S100015</v>
      </c>
      <c r="G1337" s="9" t="str">
        <f>"Raw-Edge Bucket Hat"</f>
        <v>Raw-Edge Bucket Hat</v>
      </c>
      <c r="H1337" s="47"/>
      <c r="I1337" s="47"/>
      <c r="J1337" s="23">
        <v>7.24</v>
      </c>
      <c r="K1337" s="25">
        <v>1</v>
      </c>
      <c r="L1337" s="24">
        <v>3.64</v>
      </c>
      <c r="M1337" s="24">
        <f>J1337-L1337</f>
        <v>3.6</v>
      </c>
      <c r="N1337" s="53">
        <f>IF(J1337&lt;&gt;0,M1337/J1337,"")</f>
        <v>0.49723756906077349</v>
      </c>
      <c r="O1337" s="23">
        <v>0</v>
      </c>
      <c r="P1337" s="25">
        <v>0</v>
      </c>
      <c r="Q1337" s="24">
        <v>0</v>
      </c>
      <c r="R1337" s="24">
        <f>O1337-Q1337</f>
        <v>0</v>
      </c>
      <c r="S1337" s="53" t="str">
        <f>IF(O1337&lt;&gt;0,R1337/O1337,"")</f>
        <v/>
      </c>
      <c r="T1337" s="10"/>
      <c r="U1337" s="23">
        <v>0</v>
      </c>
      <c r="V1337" s="25">
        <v>0</v>
      </c>
      <c r="W1337" s="24">
        <v>0</v>
      </c>
      <c r="X1337" s="24">
        <f>U1337-W1337</f>
        <v>0</v>
      </c>
      <c r="Y1337" s="53" t="str">
        <f>IF(U1337&lt;&gt;0,X1337/U1337,"")</f>
        <v/>
      </c>
      <c r="Z1337" s="23">
        <v>0</v>
      </c>
      <c r="AA1337" s="25">
        <v>0</v>
      </c>
      <c r="AB1337" s="24">
        <v>0</v>
      </c>
      <c r="AC1337" s="24">
        <f t="shared" si="404"/>
        <v>0</v>
      </c>
      <c r="AD1337" s="53" t="str">
        <f t="shared" si="405"/>
        <v/>
      </c>
      <c r="AE1337" s="10"/>
    </row>
    <row r="1338" spans="1:31" x14ac:dyDescent="0.25">
      <c r="A1338" s="14" t="s">
        <v>109</v>
      </c>
      <c r="C1338" s="61" t="str">
        <f t="shared" si="403"/>
        <v>C100086</v>
      </c>
      <c r="F1338" s="8" t="str">
        <f>"S100016"</f>
        <v>S100016</v>
      </c>
      <c r="G1338" s="9" t="str">
        <f>"Mesh Bucket Hat"</f>
        <v>Mesh Bucket Hat</v>
      </c>
      <c r="H1338" s="47"/>
      <c r="I1338" s="47"/>
      <c r="J1338" s="23">
        <v>117.13</v>
      </c>
      <c r="K1338" s="25">
        <v>24</v>
      </c>
      <c r="L1338" s="24">
        <v>66</v>
      </c>
      <c r="M1338" s="24">
        <f>J1338-L1338</f>
        <v>51.129999999999995</v>
      </c>
      <c r="N1338" s="53">
        <f>IF(J1338&lt;&gt;0,M1338/J1338,"")</f>
        <v>0.43652352087424229</v>
      </c>
      <c r="O1338" s="23">
        <v>0</v>
      </c>
      <c r="P1338" s="25">
        <v>0</v>
      </c>
      <c r="Q1338" s="24">
        <v>0</v>
      </c>
      <c r="R1338" s="24">
        <f>O1338-Q1338</f>
        <v>0</v>
      </c>
      <c r="S1338" s="53" t="str">
        <f>IF(O1338&lt;&gt;0,R1338/O1338,"")</f>
        <v/>
      </c>
      <c r="T1338" s="10"/>
      <c r="U1338" s="23">
        <v>0</v>
      </c>
      <c r="V1338" s="25">
        <v>0</v>
      </c>
      <c r="W1338" s="24">
        <v>0</v>
      </c>
      <c r="X1338" s="24">
        <f>U1338-W1338</f>
        <v>0</v>
      </c>
      <c r="Y1338" s="53" t="str">
        <f>IF(U1338&lt;&gt;0,X1338/U1338,"")</f>
        <v/>
      </c>
      <c r="Z1338" s="23">
        <v>4.88</v>
      </c>
      <c r="AA1338" s="25">
        <v>1</v>
      </c>
      <c r="AB1338" s="24">
        <v>2.75</v>
      </c>
      <c r="AC1338" s="24">
        <f t="shared" si="404"/>
        <v>2.13</v>
      </c>
      <c r="AD1338" s="53">
        <f t="shared" si="405"/>
        <v>0.43647540983606559</v>
      </c>
      <c r="AE1338" s="10"/>
    </row>
    <row r="1339" spans="1:31" x14ac:dyDescent="0.25">
      <c r="A1339" s="14" t="s">
        <v>109</v>
      </c>
      <c r="C1339" s="61" t="str">
        <f t="shared" si="403"/>
        <v>C100086</v>
      </c>
      <c r="F1339" s="8" t="str">
        <f>"S100017"</f>
        <v>S100017</v>
      </c>
      <c r="G1339" s="9" t="str">
        <f>"Microfiber Bucket Hat"</f>
        <v>Microfiber Bucket Hat</v>
      </c>
      <c r="H1339" s="47"/>
      <c r="I1339" s="47"/>
      <c r="J1339" s="23">
        <v>7.23</v>
      </c>
      <c r="K1339" s="25">
        <v>1</v>
      </c>
      <c r="L1339" s="24">
        <v>4.76</v>
      </c>
      <c r="M1339" s="24">
        <f>J1339-L1339</f>
        <v>2.4700000000000006</v>
      </c>
      <c r="N1339" s="53">
        <f>IF(J1339&lt;&gt;0,M1339/J1339,"")</f>
        <v>0.34163208852005539</v>
      </c>
      <c r="O1339" s="23">
        <v>1041.47</v>
      </c>
      <c r="P1339" s="25">
        <v>144</v>
      </c>
      <c r="Q1339" s="24">
        <v>685.44</v>
      </c>
      <c r="R1339" s="24">
        <f>O1339-Q1339</f>
        <v>356.03</v>
      </c>
      <c r="S1339" s="53">
        <f>IF(O1339&lt;&gt;0,R1339/O1339,"")</f>
        <v>0.34185334191095273</v>
      </c>
      <c r="T1339" s="10"/>
      <c r="U1339" s="23">
        <v>0</v>
      </c>
      <c r="V1339" s="25">
        <v>0</v>
      </c>
      <c r="W1339" s="24">
        <v>0</v>
      </c>
      <c r="X1339" s="24">
        <f>U1339-W1339</f>
        <v>0</v>
      </c>
      <c r="Y1339" s="53" t="str">
        <f>IF(U1339&lt;&gt;0,X1339/U1339,"")</f>
        <v/>
      </c>
      <c r="Z1339" s="23">
        <v>1041.47</v>
      </c>
      <c r="AA1339" s="25">
        <v>144</v>
      </c>
      <c r="AB1339" s="24">
        <v>685.44</v>
      </c>
      <c r="AC1339" s="24">
        <f t="shared" si="404"/>
        <v>356.03</v>
      </c>
      <c r="AD1339" s="53">
        <f t="shared" si="405"/>
        <v>0.34185334191095273</v>
      </c>
      <c r="AE1339" s="10"/>
    </row>
    <row r="1340" spans="1:31" x14ac:dyDescent="0.25">
      <c r="A1340" s="14" t="s">
        <v>109</v>
      </c>
      <c r="C1340" s="61" t="str">
        <f t="shared" si="403"/>
        <v>C100086</v>
      </c>
      <c r="F1340" s="8" t="str">
        <f>"S100018"</f>
        <v>S100018</v>
      </c>
      <c r="G1340" s="9" t="str">
        <f>"Crusher Bucket Hat"</f>
        <v>Crusher Bucket Hat</v>
      </c>
      <c r="H1340" s="47"/>
      <c r="I1340" s="47"/>
      <c r="J1340" s="23">
        <v>1047.1100000000001</v>
      </c>
      <c r="K1340" s="25">
        <v>144</v>
      </c>
      <c r="L1340" s="24">
        <v>504</v>
      </c>
      <c r="M1340" s="24">
        <f>J1340-L1340</f>
        <v>543.11000000000013</v>
      </c>
      <c r="N1340" s="53">
        <f>IF(J1340&lt;&gt;0,M1340/J1340,"")</f>
        <v>0.51867521081834767</v>
      </c>
      <c r="O1340" s="23">
        <v>0</v>
      </c>
      <c r="P1340" s="25">
        <v>0</v>
      </c>
      <c r="Q1340" s="24">
        <v>0</v>
      </c>
      <c r="R1340" s="24">
        <f>O1340-Q1340</f>
        <v>0</v>
      </c>
      <c r="S1340" s="53" t="str">
        <f>IF(O1340&lt;&gt;0,R1340/O1340,"")</f>
        <v/>
      </c>
      <c r="T1340" s="10"/>
      <c r="U1340" s="23">
        <v>-174.52</v>
      </c>
      <c r="V1340" s="25">
        <v>-24</v>
      </c>
      <c r="W1340" s="24">
        <v>-84</v>
      </c>
      <c r="X1340" s="24">
        <f>U1340-W1340</f>
        <v>-90.52000000000001</v>
      </c>
      <c r="Y1340" s="53">
        <f>IF(U1340&lt;&gt;0,X1340/U1340,"")</f>
        <v>0.51867980747192299</v>
      </c>
      <c r="Z1340" s="23">
        <v>0</v>
      </c>
      <c r="AA1340" s="25">
        <v>0</v>
      </c>
      <c r="AB1340" s="24">
        <v>0</v>
      </c>
      <c r="AC1340" s="24">
        <f t="shared" si="404"/>
        <v>0</v>
      </c>
      <c r="AD1340" s="53" t="str">
        <f t="shared" si="405"/>
        <v/>
      </c>
      <c r="AE1340" s="10"/>
    </row>
    <row r="1341" spans="1:31" x14ac:dyDescent="0.25">
      <c r="A1341" s="14" t="s">
        <v>109</v>
      </c>
      <c r="C1341" s="61" t="str">
        <f t="shared" si="403"/>
        <v>C100086</v>
      </c>
      <c r="F1341" s="8" t="str">
        <f>"S100020"</f>
        <v>S100020</v>
      </c>
      <c r="G1341" s="9" t="str">
        <f>"Super Sport Stopwatch"</f>
        <v>Super Sport Stopwatch</v>
      </c>
      <c r="H1341" s="47"/>
      <c r="I1341" s="47"/>
      <c r="J1341" s="23">
        <v>1128.01</v>
      </c>
      <c r="K1341" s="25">
        <v>528</v>
      </c>
      <c r="L1341" s="24">
        <v>554.4</v>
      </c>
      <c r="M1341" s="24">
        <f>J1341-L1341</f>
        <v>573.61</v>
      </c>
      <c r="N1341" s="53">
        <f>IF(J1341&lt;&gt;0,M1341/J1341,"")</f>
        <v>0.50851499543443768</v>
      </c>
      <c r="O1341" s="23">
        <v>0</v>
      </c>
      <c r="P1341" s="25">
        <v>0</v>
      </c>
      <c r="Q1341" s="24">
        <v>0</v>
      </c>
      <c r="R1341" s="24">
        <f>O1341-Q1341</f>
        <v>0</v>
      </c>
      <c r="S1341" s="53" t="str">
        <f>IF(O1341&lt;&gt;0,R1341/O1341,"")</f>
        <v/>
      </c>
      <c r="T1341" s="10"/>
      <c r="U1341" s="23">
        <v>0</v>
      </c>
      <c r="V1341" s="25">
        <v>0</v>
      </c>
      <c r="W1341" s="24">
        <v>0</v>
      </c>
      <c r="X1341" s="24">
        <f>U1341-W1341</f>
        <v>0</v>
      </c>
      <c r="Y1341" s="53" t="str">
        <f>IF(U1341&lt;&gt;0,X1341/U1341,"")</f>
        <v/>
      </c>
      <c r="Z1341" s="23">
        <v>617.41999999999996</v>
      </c>
      <c r="AA1341" s="25">
        <v>289</v>
      </c>
      <c r="AB1341" s="24">
        <v>303.45</v>
      </c>
      <c r="AC1341" s="24">
        <f t="shared" si="404"/>
        <v>313.96999999999997</v>
      </c>
      <c r="AD1341" s="53">
        <f t="shared" si="405"/>
        <v>0.50851932234135599</v>
      </c>
      <c r="AE1341" s="10"/>
    </row>
    <row r="1342" spans="1:31" x14ac:dyDescent="0.25">
      <c r="A1342" s="14" t="s">
        <v>109</v>
      </c>
      <c r="C1342" s="61" t="str">
        <f t="shared" si="403"/>
        <v>C100086</v>
      </c>
      <c r="F1342" s="8" t="str">
        <f>"S100021"</f>
        <v>S100021</v>
      </c>
      <c r="G1342" s="9" t="str">
        <f>"Translucent Stopwatch"</f>
        <v>Translucent Stopwatch</v>
      </c>
      <c r="H1342" s="47"/>
      <c r="I1342" s="47"/>
      <c r="J1342" s="23">
        <v>1175.3599999999999</v>
      </c>
      <c r="K1342" s="25">
        <v>289</v>
      </c>
      <c r="L1342" s="24">
        <v>621.32999999999993</v>
      </c>
      <c r="M1342" s="24">
        <f>J1342-L1342</f>
        <v>554.03</v>
      </c>
      <c r="N1342" s="53">
        <f>IF(J1342&lt;&gt;0,M1342/J1342,"")</f>
        <v>0.47137047372719848</v>
      </c>
      <c r="O1342" s="23">
        <v>0</v>
      </c>
      <c r="P1342" s="25">
        <v>0</v>
      </c>
      <c r="Q1342" s="24">
        <v>0</v>
      </c>
      <c r="R1342" s="24">
        <f>O1342-Q1342</f>
        <v>0</v>
      </c>
      <c r="S1342" s="53" t="str">
        <f>IF(O1342&lt;&gt;0,R1342/O1342,"")</f>
        <v/>
      </c>
      <c r="T1342" s="10"/>
      <c r="U1342" s="23">
        <v>585.65</v>
      </c>
      <c r="V1342" s="25">
        <v>144</v>
      </c>
      <c r="W1342" s="24">
        <v>309.58999999999997</v>
      </c>
      <c r="X1342" s="24">
        <f>U1342-W1342</f>
        <v>276.06</v>
      </c>
      <c r="Y1342" s="53">
        <f>IF(U1342&lt;&gt;0,X1342/U1342,"")</f>
        <v>0.47137368735592933</v>
      </c>
      <c r="Z1342" s="23">
        <v>1175.3599999999999</v>
      </c>
      <c r="AA1342" s="25">
        <v>289</v>
      </c>
      <c r="AB1342" s="24">
        <v>621.32999999999993</v>
      </c>
      <c r="AC1342" s="24">
        <f t="shared" si="404"/>
        <v>554.03</v>
      </c>
      <c r="AD1342" s="53">
        <f t="shared" si="405"/>
        <v>0.47137047372719848</v>
      </c>
      <c r="AE1342" s="10"/>
    </row>
    <row r="1343" spans="1:31" ht="15.75" thickBot="1" x14ac:dyDescent="0.3">
      <c r="A1343" s="14" t="s">
        <v>109</v>
      </c>
      <c r="C1343" s="61" t="str">
        <f>C1300</f>
        <v>C100086</v>
      </c>
      <c r="J1343" s="10"/>
      <c r="K1343" s="11"/>
      <c r="L1343" s="11"/>
      <c r="M1343" s="11"/>
      <c r="N1343" s="12"/>
      <c r="O1343" s="10"/>
      <c r="P1343" s="11"/>
      <c r="Q1343" s="11"/>
      <c r="R1343" s="11"/>
      <c r="S1343" s="12"/>
      <c r="U1343" s="10"/>
      <c r="V1343" s="11"/>
      <c r="W1343" s="11"/>
      <c r="X1343" s="11"/>
      <c r="Y1343" s="12"/>
      <c r="Z1343" s="10"/>
      <c r="AA1343" s="11"/>
      <c r="AB1343" s="11"/>
      <c r="AC1343" s="11"/>
      <c r="AD1343" s="12"/>
    </row>
    <row r="1344" spans="1:31" ht="15.75" thickBot="1" x14ac:dyDescent="0.3">
      <c r="A1344" s="14" t="s">
        <v>109</v>
      </c>
      <c r="C1344" s="61" t="str">
        <f t="shared" si="400"/>
        <v>C100086</v>
      </c>
      <c r="G1344" s="48" t="str">
        <f>C1344&amp;" TOTAL:"</f>
        <v>C100086 TOTAL:</v>
      </c>
      <c r="H1344" s="50"/>
      <c r="I1344" s="50"/>
      <c r="J1344" s="34">
        <f>SUBTOTAL(9,J1299:J1343)</f>
        <v>80333.969999999987</v>
      </c>
      <c r="K1344" s="35">
        <f>SUBTOTAL(9,K1299:K1343)</f>
        <v>6145</v>
      </c>
      <c r="L1344" s="36">
        <f>SUBTOTAL(9,L1299:L1343)</f>
        <v>44539.100000000013</v>
      </c>
      <c r="M1344" s="36">
        <f>J1344-L1344</f>
        <v>35794.869999999974</v>
      </c>
      <c r="N1344" s="37">
        <f>IF(J1344&lt;&gt;0,M1344/J1344,"")</f>
        <v>0.44557576327922022</v>
      </c>
      <c r="O1344" s="34">
        <f>SUBTOTAL(9,O1299:O1343)</f>
        <v>14980.079999999996</v>
      </c>
      <c r="P1344" s="35">
        <f>SUBTOTAL(9,P1299:P1343)</f>
        <v>1183</v>
      </c>
      <c r="Q1344" s="36">
        <f>SUBTOTAL(9,Q1299:Q1343)</f>
        <v>7867.3599999999988</v>
      </c>
      <c r="R1344" s="36">
        <f>O1344-Q1344</f>
        <v>7112.7199999999975</v>
      </c>
      <c r="S1344" s="37">
        <f>IF(O1344&lt;&gt;0,R1344/O1344,"")</f>
        <v>0.47481188351464071</v>
      </c>
      <c r="U1344" s="34">
        <f>SUBTOTAL(9,U1299:U1343)</f>
        <v>17280.68</v>
      </c>
      <c r="V1344" s="35">
        <f>SUBTOTAL(9,V1299:V1343)</f>
        <v>1268</v>
      </c>
      <c r="W1344" s="36">
        <f>SUBTOTAL(9,W1299:W1343)</f>
        <v>9663.35</v>
      </c>
      <c r="X1344" s="36">
        <f>U1344-W1344</f>
        <v>7617.33</v>
      </c>
      <c r="Y1344" s="37">
        <f>IF(U1344&lt;&gt;0,X1344/U1344,"")</f>
        <v>0.44080036202279077</v>
      </c>
      <c r="Z1344" s="34">
        <f>SUBTOTAL(9,Z1299:Z1343)</f>
        <v>27502.260000000006</v>
      </c>
      <c r="AA1344" s="35">
        <f>SUBTOTAL(9,AA1299:AA1343)</f>
        <v>3191</v>
      </c>
      <c r="AB1344" s="36">
        <f>SUBTOTAL(9,AB1299:AB1343)</f>
        <v>14655.1</v>
      </c>
      <c r="AC1344" s="36">
        <f t="shared" ref="AC1344" si="406">Z1344-AB1344</f>
        <v>12847.160000000005</v>
      </c>
      <c r="AD1344" s="37">
        <f t="shared" ref="AD1344" si="407">IF(Z1344&lt;&gt;0,AC1344/Z1344,"")</f>
        <v>0.46713106486521483</v>
      </c>
    </row>
    <row r="1345" spans="1:31" x14ac:dyDescent="0.25">
      <c r="A1345" s="14" t="s">
        <v>109</v>
      </c>
      <c r="C1345" s="66"/>
      <c r="J1345" s="10"/>
      <c r="K1345" s="11"/>
      <c r="L1345" s="11"/>
      <c r="M1345" s="11"/>
      <c r="N1345" s="12"/>
      <c r="O1345" s="10"/>
      <c r="P1345" s="11"/>
      <c r="Q1345" s="11"/>
      <c r="R1345" s="11"/>
      <c r="S1345" s="12"/>
      <c r="U1345" s="10"/>
      <c r="V1345" s="11"/>
      <c r="W1345" s="11"/>
      <c r="X1345" s="11"/>
      <c r="Y1345" s="12"/>
      <c r="Z1345" s="10"/>
      <c r="AA1345" s="11"/>
      <c r="AB1345" s="11"/>
      <c r="AC1345" s="11"/>
      <c r="AD1345" s="12"/>
    </row>
    <row r="1346" spans="1:31" ht="15.75" x14ac:dyDescent="0.25">
      <c r="A1346" s="14" t="s">
        <v>109</v>
      </c>
      <c r="C1346" s="66" t="str">
        <f t="shared" ref="C1346" si="408">E1346</f>
        <v>C100088</v>
      </c>
      <c r="E1346" s="13" t="str">
        <f>"C100088"</f>
        <v>C100088</v>
      </c>
      <c r="F1346" s="13"/>
      <c r="G1346" s="13" t="str">
        <f>"Triton Industries"</f>
        <v>Triton Industries</v>
      </c>
      <c r="H1346" s="13"/>
      <c r="I1346" s="13"/>
      <c r="J1346" s="10"/>
      <c r="K1346" s="11"/>
      <c r="L1346" s="11"/>
      <c r="M1346" s="11"/>
      <c r="N1346" s="12"/>
      <c r="O1346" s="10"/>
      <c r="P1346" s="11"/>
      <c r="Q1346" s="11"/>
      <c r="R1346" s="11"/>
      <c r="S1346" s="12"/>
      <c r="U1346" s="10"/>
      <c r="V1346" s="11"/>
      <c r="W1346" s="11"/>
      <c r="X1346" s="11"/>
      <c r="Y1346" s="12"/>
      <c r="Z1346" s="10"/>
      <c r="AA1346" s="11"/>
      <c r="AB1346" s="11"/>
      <c r="AC1346" s="11"/>
      <c r="AD1346" s="12"/>
    </row>
    <row r="1347" spans="1:31" ht="6.6" customHeight="1" x14ac:dyDescent="0.25">
      <c r="A1347" s="14" t="s">
        <v>109</v>
      </c>
      <c r="C1347" s="61" t="str">
        <f t="shared" ref="C1347:C1358" si="409">C1346</f>
        <v>C100088</v>
      </c>
      <c r="J1347" s="10"/>
      <c r="K1347" s="11"/>
      <c r="L1347" s="11"/>
      <c r="M1347" s="11"/>
      <c r="N1347" s="12"/>
      <c r="O1347" s="10"/>
      <c r="P1347" s="11"/>
      <c r="Q1347" s="11"/>
      <c r="R1347" s="11"/>
      <c r="S1347" s="12"/>
      <c r="U1347" s="10"/>
      <c r="V1347" s="11"/>
      <c r="W1347" s="11"/>
      <c r="X1347" s="11"/>
      <c r="Y1347" s="12"/>
      <c r="Z1347" s="10"/>
      <c r="AA1347" s="11"/>
      <c r="AB1347" s="11"/>
      <c r="AC1347" s="11"/>
      <c r="AD1347" s="12"/>
    </row>
    <row r="1348" spans="1:31" x14ac:dyDescent="0.25">
      <c r="A1348" s="14" t="s">
        <v>109</v>
      </c>
      <c r="C1348" s="61" t="str">
        <f t="shared" si="409"/>
        <v>C100088</v>
      </c>
      <c r="F1348" s="8" t="str">
        <f>"C100002"</f>
        <v>C100002</v>
      </c>
      <c r="G1348" s="9" t="str">
        <f>"Border Style"</f>
        <v>Border Style</v>
      </c>
      <c r="H1348" s="47"/>
      <c r="I1348" s="47"/>
      <c r="J1348" s="23">
        <v>0</v>
      </c>
      <c r="K1348" s="25">
        <v>0</v>
      </c>
      <c r="L1348" s="24">
        <v>0</v>
      </c>
      <c r="M1348" s="24">
        <f>J1348-L1348</f>
        <v>0</v>
      </c>
      <c r="N1348" s="53" t="str">
        <f>IF(J1348&lt;&gt;0,M1348/J1348,"")</f>
        <v/>
      </c>
      <c r="O1348" s="23">
        <v>1260.1600000000001</v>
      </c>
      <c r="P1348" s="25">
        <v>24</v>
      </c>
      <c r="Q1348" s="24">
        <v>766.8</v>
      </c>
      <c r="R1348" s="24">
        <f>O1348-Q1348</f>
        <v>493.36000000000013</v>
      </c>
      <c r="S1348" s="53">
        <f>IF(O1348&lt;&gt;0,R1348/O1348,"")</f>
        <v>0.39150584052818699</v>
      </c>
      <c r="T1348" s="10"/>
      <c r="U1348" s="23">
        <v>0</v>
      </c>
      <c r="V1348" s="25">
        <v>0</v>
      </c>
      <c r="W1348" s="24">
        <v>0</v>
      </c>
      <c r="X1348" s="24">
        <f>U1348-W1348</f>
        <v>0</v>
      </c>
      <c r="Y1348" s="53" t="str">
        <f>IF(U1348&lt;&gt;0,X1348/U1348,"")</f>
        <v/>
      </c>
      <c r="Z1348" s="23">
        <v>0</v>
      </c>
      <c r="AA1348" s="25">
        <v>0</v>
      </c>
      <c r="AB1348" s="24">
        <v>0</v>
      </c>
      <c r="AC1348" s="24">
        <f t="shared" ref="AC1348" si="410">Z1348-AB1348</f>
        <v>0</v>
      </c>
      <c r="AD1348" s="53" t="str">
        <f t="shared" ref="AD1348" si="411">IF(Z1348&lt;&gt;0,AC1348/Z1348,"")</f>
        <v/>
      </c>
      <c r="AE1348" s="10"/>
    </row>
    <row r="1349" spans="1:31" x14ac:dyDescent="0.25">
      <c r="A1349" s="14" t="s">
        <v>109</v>
      </c>
      <c r="C1349" s="61" t="str">
        <f t="shared" ref="C1349:C1356" si="412">C1348</f>
        <v>C100088</v>
      </c>
      <c r="F1349" s="8" t="str">
        <f>"C100007"</f>
        <v>C100007</v>
      </c>
      <c r="G1349" s="9" t="str">
        <f>"7.5'' Bud Vase"</f>
        <v>7.5'' Bud Vase</v>
      </c>
      <c r="H1349" s="47"/>
      <c r="I1349" s="47"/>
      <c r="J1349" s="23">
        <v>0</v>
      </c>
      <c r="K1349" s="25">
        <v>0</v>
      </c>
      <c r="L1349" s="24">
        <v>0</v>
      </c>
      <c r="M1349" s="24">
        <f>J1349-L1349</f>
        <v>0</v>
      </c>
      <c r="N1349" s="53" t="str">
        <f>IF(J1349&lt;&gt;0,M1349/J1349,"")</f>
        <v/>
      </c>
      <c r="O1349" s="23">
        <v>1.61</v>
      </c>
      <c r="P1349" s="25">
        <v>1</v>
      </c>
      <c r="Q1349" s="24">
        <v>1.02</v>
      </c>
      <c r="R1349" s="24">
        <f>O1349-Q1349</f>
        <v>0.59000000000000008</v>
      </c>
      <c r="S1349" s="53">
        <f>IF(O1349&lt;&gt;0,R1349/O1349,"")</f>
        <v>0.36645962732919257</v>
      </c>
      <c r="T1349" s="10"/>
      <c r="U1349" s="23">
        <v>0</v>
      </c>
      <c r="V1349" s="25">
        <v>0</v>
      </c>
      <c r="W1349" s="24">
        <v>0</v>
      </c>
      <c r="X1349" s="24">
        <f>U1349-W1349</f>
        <v>0</v>
      </c>
      <c r="Y1349" s="53" t="str">
        <f>IF(U1349&lt;&gt;0,X1349/U1349,"")</f>
        <v/>
      </c>
      <c r="Z1349" s="23">
        <v>0</v>
      </c>
      <c r="AA1349" s="25">
        <v>0</v>
      </c>
      <c r="AB1349" s="24">
        <v>0</v>
      </c>
      <c r="AC1349" s="24">
        <f t="shared" ref="AC1349:AC1356" si="413">Z1349-AB1349</f>
        <v>0</v>
      </c>
      <c r="AD1349" s="53" t="str">
        <f t="shared" ref="AD1349:AD1356" si="414">IF(Z1349&lt;&gt;0,AC1349/Z1349,"")</f>
        <v/>
      </c>
      <c r="AE1349" s="10"/>
    </row>
    <row r="1350" spans="1:31" x14ac:dyDescent="0.25">
      <c r="A1350" s="14" t="s">
        <v>109</v>
      </c>
      <c r="C1350" s="61" t="str">
        <f t="shared" si="412"/>
        <v>C100088</v>
      </c>
      <c r="F1350" s="8" t="str">
        <f>"C100010"</f>
        <v>C100010</v>
      </c>
      <c r="G1350" s="9" t="str">
        <f>"Wisper-Cut Vase"</f>
        <v>Wisper-Cut Vase</v>
      </c>
      <c r="H1350" s="47"/>
      <c r="I1350" s="47"/>
      <c r="J1350" s="23">
        <v>0</v>
      </c>
      <c r="K1350" s="25">
        <v>0</v>
      </c>
      <c r="L1350" s="24">
        <v>0</v>
      </c>
      <c r="M1350" s="24">
        <f>J1350-L1350</f>
        <v>0</v>
      </c>
      <c r="N1350" s="53" t="str">
        <f>IF(J1350&lt;&gt;0,M1350/J1350,"")</f>
        <v/>
      </c>
      <c r="O1350" s="23">
        <v>11507.619999999999</v>
      </c>
      <c r="P1350" s="25">
        <v>144</v>
      </c>
      <c r="Q1350" s="24">
        <v>5795.9800000000005</v>
      </c>
      <c r="R1350" s="24">
        <f>O1350-Q1350</f>
        <v>5711.6399999999985</v>
      </c>
      <c r="S1350" s="53">
        <f>IF(O1350&lt;&gt;0,R1350/O1350,"")</f>
        <v>0.49633547162662645</v>
      </c>
      <c r="T1350" s="10"/>
      <c r="U1350" s="23">
        <v>11265.35</v>
      </c>
      <c r="V1350" s="25">
        <v>144</v>
      </c>
      <c r="W1350" s="24">
        <v>5795.9800000000005</v>
      </c>
      <c r="X1350" s="24">
        <f>U1350-W1350</f>
        <v>5469.37</v>
      </c>
      <c r="Y1350" s="53">
        <f>IF(U1350&lt;&gt;0,X1350/U1350,"")</f>
        <v>0.48550377928781613</v>
      </c>
      <c r="Z1350" s="23">
        <v>0</v>
      </c>
      <c r="AA1350" s="25">
        <v>0</v>
      </c>
      <c r="AB1350" s="24">
        <v>0</v>
      </c>
      <c r="AC1350" s="24">
        <f t="shared" si="413"/>
        <v>0</v>
      </c>
      <c r="AD1350" s="53" t="str">
        <f t="shared" si="414"/>
        <v/>
      </c>
      <c r="AE1350" s="10"/>
    </row>
    <row r="1351" spans="1:31" x14ac:dyDescent="0.25">
      <c r="A1351" s="14" t="s">
        <v>109</v>
      </c>
      <c r="C1351" s="61" t="str">
        <f t="shared" si="412"/>
        <v>C100088</v>
      </c>
      <c r="F1351" s="8" t="str">
        <f>"C100031"</f>
        <v>C100031</v>
      </c>
      <c r="G1351" s="9" t="str">
        <f>"Carabiner Watch"</f>
        <v>Carabiner Watch</v>
      </c>
      <c r="H1351" s="47"/>
      <c r="I1351" s="47"/>
      <c r="J1351" s="23">
        <v>0</v>
      </c>
      <c r="K1351" s="25">
        <v>0</v>
      </c>
      <c r="L1351" s="24">
        <v>0</v>
      </c>
      <c r="M1351" s="24">
        <f>J1351-L1351</f>
        <v>0</v>
      </c>
      <c r="N1351" s="53" t="str">
        <f>IF(J1351&lt;&gt;0,M1351/J1351,"")</f>
        <v/>
      </c>
      <c r="O1351" s="23">
        <v>233.17000000000002</v>
      </c>
      <c r="P1351" s="25">
        <v>13</v>
      </c>
      <c r="Q1351" s="24">
        <v>111.53999999999999</v>
      </c>
      <c r="R1351" s="24">
        <f>O1351-Q1351</f>
        <v>121.63000000000002</v>
      </c>
      <c r="S1351" s="53">
        <f>IF(O1351&lt;&gt;0,R1351/O1351,"")</f>
        <v>0.52163657417334997</v>
      </c>
      <c r="T1351" s="10"/>
      <c r="U1351" s="23">
        <v>0</v>
      </c>
      <c r="V1351" s="25">
        <v>0</v>
      </c>
      <c r="W1351" s="24">
        <v>0</v>
      </c>
      <c r="X1351" s="24">
        <f>U1351-W1351</f>
        <v>0</v>
      </c>
      <c r="Y1351" s="53" t="str">
        <f>IF(U1351&lt;&gt;0,X1351/U1351,"")</f>
        <v/>
      </c>
      <c r="Z1351" s="23">
        <v>0</v>
      </c>
      <c r="AA1351" s="25">
        <v>0</v>
      </c>
      <c r="AB1351" s="24">
        <v>0</v>
      </c>
      <c r="AC1351" s="24">
        <f t="shared" si="413"/>
        <v>0</v>
      </c>
      <c r="AD1351" s="53" t="str">
        <f t="shared" si="414"/>
        <v/>
      </c>
      <c r="AE1351" s="10"/>
    </row>
    <row r="1352" spans="1:31" x14ac:dyDescent="0.25">
      <c r="A1352" s="14" t="s">
        <v>109</v>
      </c>
      <c r="C1352" s="61" t="str">
        <f t="shared" si="412"/>
        <v>C100088</v>
      </c>
      <c r="F1352" s="8" t="str">
        <f>"C100037"</f>
        <v>C100037</v>
      </c>
      <c r="G1352" s="9" t="str">
        <f>"World Time Travel Alarm"</f>
        <v>World Time Travel Alarm</v>
      </c>
      <c r="H1352" s="47"/>
      <c r="I1352" s="47"/>
      <c r="J1352" s="23">
        <v>0</v>
      </c>
      <c r="K1352" s="25">
        <v>0</v>
      </c>
      <c r="L1352" s="24">
        <v>0</v>
      </c>
      <c r="M1352" s="24">
        <f>J1352-L1352</f>
        <v>0</v>
      </c>
      <c r="N1352" s="53" t="str">
        <f>IF(J1352&lt;&gt;0,M1352/J1352,"")</f>
        <v/>
      </c>
      <c r="O1352" s="23">
        <v>8.57</v>
      </c>
      <c r="P1352" s="25">
        <v>1</v>
      </c>
      <c r="Q1352" s="24">
        <v>5.4</v>
      </c>
      <c r="R1352" s="24">
        <f>O1352-Q1352</f>
        <v>3.17</v>
      </c>
      <c r="S1352" s="53">
        <f>IF(O1352&lt;&gt;0,R1352/O1352,"")</f>
        <v>0.3698949824970828</v>
      </c>
      <c r="T1352" s="10"/>
      <c r="U1352" s="23">
        <v>0</v>
      </c>
      <c r="V1352" s="25">
        <v>0</v>
      </c>
      <c r="W1352" s="24">
        <v>0</v>
      </c>
      <c r="X1352" s="24">
        <f>U1352-W1352</f>
        <v>0</v>
      </c>
      <c r="Y1352" s="53" t="str">
        <f>IF(U1352&lt;&gt;0,X1352/U1352,"")</f>
        <v/>
      </c>
      <c r="Z1352" s="23">
        <v>0</v>
      </c>
      <c r="AA1352" s="25">
        <v>0</v>
      </c>
      <c r="AB1352" s="24">
        <v>0</v>
      </c>
      <c r="AC1352" s="24">
        <f t="shared" si="413"/>
        <v>0</v>
      </c>
      <c r="AD1352" s="53" t="str">
        <f t="shared" si="414"/>
        <v/>
      </c>
      <c r="AE1352" s="10"/>
    </row>
    <row r="1353" spans="1:31" x14ac:dyDescent="0.25">
      <c r="A1353" s="14" t="s">
        <v>109</v>
      </c>
      <c r="C1353" s="61" t="str">
        <f t="shared" si="412"/>
        <v>C100088</v>
      </c>
      <c r="F1353" s="8" t="str">
        <f>"C100038"</f>
        <v>C100038</v>
      </c>
      <c r="G1353" s="9" t="str">
        <f>"Foldable Travel Speakers"</f>
        <v>Foldable Travel Speakers</v>
      </c>
      <c r="H1353" s="47"/>
      <c r="I1353" s="47"/>
      <c r="J1353" s="23">
        <v>0</v>
      </c>
      <c r="K1353" s="25">
        <v>0</v>
      </c>
      <c r="L1353" s="24">
        <v>0</v>
      </c>
      <c r="M1353" s="24">
        <f>J1353-L1353</f>
        <v>0</v>
      </c>
      <c r="N1353" s="53" t="str">
        <f>IF(J1353&lt;&gt;0,M1353/J1353,"")</f>
        <v/>
      </c>
      <c r="O1353" s="23">
        <v>274.74</v>
      </c>
      <c r="P1353" s="25">
        <v>60</v>
      </c>
      <c r="Q1353" s="24">
        <v>191.39999999999998</v>
      </c>
      <c r="R1353" s="24">
        <f>O1353-Q1353</f>
        <v>83.340000000000032</v>
      </c>
      <c r="S1353" s="53">
        <f>IF(O1353&lt;&gt;0,R1353/O1353,"")</f>
        <v>0.30334134090412762</v>
      </c>
      <c r="T1353" s="10"/>
      <c r="U1353" s="23">
        <v>0</v>
      </c>
      <c r="V1353" s="25">
        <v>0</v>
      </c>
      <c r="W1353" s="24">
        <v>0</v>
      </c>
      <c r="X1353" s="24">
        <f>U1353-W1353</f>
        <v>0</v>
      </c>
      <c r="Y1353" s="53" t="str">
        <f>IF(U1353&lt;&gt;0,X1353/U1353,"")</f>
        <v/>
      </c>
      <c r="Z1353" s="23">
        <v>219.79</v>
      </c>
      <c r="AA1353" s="25">
        <v>48</v>
      </c>
      <c r="AB1353" s="24">
        <v>153.12</v>
      </c>
      <c r="AC1353" s="24">
        <f t="shared" si="413"/>
        <v>66.669999999999987</v>
      </c>
      <c r="AD1353" s="53">
        <f t="shared" si="414"/>
        <v>0.3033350015924291</v>
      </c>
      <c r="AE1353" s="10"/>
    </row>
    <row r="1354" spans="1:31" x14ac:dyDescent="0.25">
      <c r="A1354" s="14" t="s">
        <v>109</v>
      </c>
      <c r="C1354" s="61" t="str">
        <f t="shared" si="412"/>
        <v>C100088</v>
      </c>
      <c r="F1354" s="8" t="str">
        <f>"C100054"</f>
        <v>C100054</v>
      </c>
      <c r="G1354" s="9" t="str">
        <f>"Cherry Finish Photo Frame &amp; Clock"</f>
        <v>Cherry Finish Photo Frame &amp; Clock</v>
      </c>
      <c r="H1354" s="47"/>
      <c r="I1354" s="47"/>
      <c r="J1354" s="23">
        <v>0</v>
      </c>
      <c r="K1354" s="25">
        <v>0</v>
      </c>
      <c r="L1354" s="24">
        <v>0</v>
      </c>
      <c r="M1354" s="24">
        <f>J1354-L1354</f>
        <v>0</v>
      </c>
      <c r="N1354" s="53" t="str">
        <f>IF(J1354&lt;&gt;0,M1354/J1354,"")</f>
        <v/>
      </c>
      <c r="O1354" s="23">
        <v>120.27</v>
      </c>
      <c r="P1354" s="25">
        <v>6</v>
      </c>
      <c r="Q1354" s="24">
        <v>80.64</v>
      </c>
      <c r="R1354" s="24">
        <f>O1354-Q1354</f>
        <v>39.629999999999995</v>
      </c>
      <c r="S1354" s="53">
        <f>IF(O1354&lt;&gt;0,R1354/O1354,"")</f>
        <v>0.32950860563731599</v>
      </c>
      <c r="T1354" s="10"/>
      <c r="U1354" s="23">
        <v>0</v>
      </c>
      <c r="V1354" s="25">
        <v>0</v>
      </c>
      <c r="W1354" s="24">
        <v>0</v>
      </c>
      <c r="X1354" s="24">
        <f>U1354-W1354</f>
        <v>0</v>
      </c>
      <c r="Y1354" s="53" t="str">
        <f>IF(U1354&lt;&gt;0,X1354/U1354,"")</f>
        <v/>
      </c>
      <c r="Z1354" s="23">
        <v>0</v>
      </c>
      <c r="AA1354" s="25">
        <v>0</v>
      </c>
      <c r="AB1354" s="24">
        <v>0</v>
      </c>
      <c r="AC1354" s="24">
        <f t="shared" si="413"/>
        <v>0</v>
      </c>
      <c r="AD1354" s="53" t="str">
        <f t="shared" si="414"/>
        <v/>
      </c>
      <c r="AE1354" s="10"/>
    </row>
    <row r="1355" spans="1:31" x14ac:dyDescent="0.25">
      <c r="A1355" s="14" t="s">
        <v>109</v>
      </c>
      <c r="C1355" s="61" t="str">
        <f t="shared" si="412"/>
        <v>C100088</v>
      </c>
      <c r="F1355" s="8" t="str">
        <f>"E100019"</f>
        <v>E100019</v>
      </c>
      <c r="G1355" s="9" t="str">
        <f>"Mini Travel Alarm"</f>
        <v>Mini Travel Alarm</v>
      </c>
      <c r="H1355" s="47"/>
      <c r="I1355" s="47"/>
      <c r="J1355" s="23">
        <v>0</v>
      </c>
      <c r="K1355" s="25">
        <v>0</v>
      </c>
      <c r="L1355" s="24">
        <v>0</v>
      </c>
      <c r="M1355" s="24">
        <f>J1355-L1355</f>
        <v>0</v>
      </c>
      <c r="N1355" s="53" t="str">
        <f>IF(J1355&lt;&gt;0,M1355/J1355,"")</f>
        <v/>
      </c>
      <c r="O1355" s="23">
        <v>463.74999999999994</v>
      </c>
      <c r="P1355" s="25">
        <v>144</v>
      </c>
      <c r="Q1355" s="24">
        <v>233.26999999999998</v>
      </c>
      <c r="R1355" s="24">
        <f>O1355-Q1355</f>
        <v>230.47999999999996</v>
      </c>
      <c r="S1355" s="53">
        <f>IF(O1355&lt;&gt;0,R1355/O1355,"")</f>
        <v>0.49699191374663071</v>
      </c>
      <c r="T1355" s="10"/>
      <c r="U1355" s="23">
        <v>0</v>
      </c>
      <c r="V1355" s="25">
        <v>0</v>
      </c>
      <c r="W1355" s="24">
        <v>0</v>
      </c>
      <c r="X1355" s="24">
        <f>U1355-W1355</f>
        <v>0</v>
      </c>
      <c r="Y1355" s="53" t="str">
        <f>IF(U1355&lt;&gt;0,X1355/U1355,"")</f>
        <v/>
      </c>
      <c r="Z1355" s="23">
        <v>0</v>
      </c>
      <c r="AA1355" s="25">
        <v>0</v>
      </c>
      <c r="AB1355" s="24">
        <v>0</v>
      </c>
      <c r="AC1355" s="24">
        <f t="shared" si="413"/>
        <v>0</v>
      </c>
      <c r="AD1355" s="53" t="str">
        <f t="shared" si="414"/>
        <v/>
      </c>
      <c r="AE1355" s="10"/>
    </row>
    <row r="1356" spans="1:31" x14ac:dyDescent="0.25">
      <c r="A1356" s="14" t="s">
        <v>109</v>
      </c>
      <c r="C1356" s="61" t="str">
        <f t="shared" si="412"/>
        <v>C100088</v>
      </c>
      <c r="F1356" s="8" t="str">
        <f>"E100022"</f>
        <v>E100022</v>
      </c>
      <c r="G1356" s="9" t="str">
        <f>"Wide Screen Alarm Clock"</f>
        <v>Wide Screen Alarm Clock</v>
      </c>
      <c r="H1356" s="47"/>
      <c r="I1356" s="47"/>
      <c r="J1356" s="23">
        <v>0</v>
      </c>
      <c r="K1356" s="25">
        <v>0</v>
      </c>
      <c r="L1356" s="24">
        <v>0</v>
      </c>
      <c r="M1356" s="24">
        <f>J1356-L1356</f>
        <v>0</v>
      </c>
      <c r="N1356" s="53" t="str">
        <f>IF(J1356&lt;&gt;0,M1356/J1356,"")</f>
        <v/>
      </c>
      <c r="O1356" s="23">
        <v>275.02</v>
      </c>
      <c r="P1356" s="25">
        <v>150</v>
      </c>
      <c r="Q1356" s="24">
        <v>191.98999999999998</v>
      </c>
      <c r="R1356" s="24">
        <f>O1356-Q1356</f>
        <v>83.03</v>
      </c>
      <c r="S1356" s="53">
        <f>IF(O1356&lt;&gt;0,R1356/O1356,"")</f>
        <v>0.30190531597701986</v>
      </c>
      <c r="T1356" s="10"/>
      <c r="U1356" s="23">
        <v>0</v>
      </c>
      <c r="V1356" s="25">
        <v>0</v>
      </c>
      <c r="W1356" s="24">
        <v>0</v>
      </c>
      <c r="X1356" s="24">
        <f>U1356-W1356</f>
        <v>0</v>
      </c>
      <c r="Y1356" s="53" t="str">
        <f>IF(U1356&lt;&gt;0,X1356/U1356,"")</f>
        <v/>
      </c>
      <c r="Z1356" s="23">
        <v>300.69</v>
      </c>
      <c r="AA1356" s="25">
        <v>164</v>
      </c>
      <c r="AB1356" s="24">
        <v>209.90999999999997</v>
      </c>
      <c r="AC1356" s="24">
        <f t="shared" si="413"/>
        <v>90.78000000000003</v>
      </c>
      <c r="AD1356" s="53">
        <f t="shared" si="414"/>
        <v>0.30190561708071445</v>
      </c>
      <c r="AE1356" s="10"/>
    </row>
    <row r="1357" spans="1:31" ht="15.75" thickBot="1" x14ac:dyDescent="0.3">
      <c r="A1357" s="14" t="s">
        <v>109</v>
      </c>
      <c r="C1357" s="61" t="str">
        <f>C1348</f>
        <v>C100088</v>
      </c>
      <c r="J1357" s="10"/>
      <c r="K1357" s="11"/>
      <c r="L1357" s="11"/>
      <c r="M1357" s="11"/>
      <c r="N1357" s="12"/>
      <c r="O1357" s="10"/>
      <c r="P1357" s="11"/>
      <c r="Q1357" s="11"/>
      <c r="R1357" s="11"/>
      <c r="S1357" s="12"/>
      <c r="U1357" s="10"/>
      <c r="V1357" s="11"/>
      <c r="W1357" s="11"/>
      <c r="X1357" s="11"/>
      <c r="Y1357" s="12"/>
      <c r="Z1357" s="10"/>
      <c r="AA1357" s="11"/>
      <c r="AB1357" s="11"/>
      <c r="AC1357" s="11"/>
      <c r="AD1357" s="12"/>
    </row>
    <row r="1358" spans="1:31" ht="15.75" thickBot="1" x14ac:dyDescent="0.3">
      <c r="A1358" s="14" t="s">
        <v>109</v>
      </c>
      <c r="C1358" s="61" t="str">
        <f t="shared" si="409"/>
        <v>C100088</v>
      </c>
      <c r="G1358" s="48" t="str">
        <f>C1358&amp;" TOTAL:"</f>
        <v>C100088 TOTAL:</v>
      </c>
      <c r="H1358" s="50"/>
      <c r="I1358" s="50"/>
      <c r="J1358" s="34">
        <f>SUBTOTAL(9,J1347:J1357)</f>
        <v>0</v>
      </c>
      <c r="K1358" s="35">
        <f>SUBTOTAL(9,K1347:K1357)</f>
        <v>0</v>
      </c>
      <c r="L1358" s="36">
        <f>SUBTOTAL(9,L1347:L1357)</f>
        <v>0</v>
      </c>
      <c r="M1358" s="36">
        <f>J1358-L1358</f>
        <v>0</v>
      </c>
      <c r="N1358" s="37" t="str">
        <f>IF(J1358&lt;&gt;0,M1358/J1358,"")</f>
        <v/>
      </c>
      <c r="O1358" s="34">
        <f>SUBTOTAL(9,O1347:O1357)</f>
        <v>14144.91</v>
      </c>
      <c r="P1358" s="35">
        <f>SUBTOTAL(9,P1347:P1357)</f>
        <v>543</v>
      </c>
      <c r="Q1358" s="36">
        <f>SUBTOTAL(9,Q1347:Q1357)</f>
        <v>7378.0399999999991</v>
      </c>
      <c r="R1358" s="36">
        <f>O1358-Q1358</f>
        <v>6766.8700000000008</v>
      </c>
      <c r="S1358" s="37">
        <f>IF(O1358&lt;&gt;0,R1358/O1358,"")</f>
        <v>0.47839611563452866</v>
      </c>
      <c r="U1358" s="34">
        <f>SUBTOTAL(9,U1347:U1357)</f>
        <v>11265.35</v>
      </c>
      <c r="V1358" s="35">
        <f>SUBTOTAL(9,V1347:V1357)</f>
        <v>144</v>
      </c>
      <c r="W1358" s="36">
        <f>SUBTOTAL(9,W1347:W1357)</f>
        <v>5795.9800000000005</v>
      </c>
      <c r="X1358" s="36">
        <f>U1358-W1358</f>
        <v>5469.37</v>
      </c>
      <c r="Y1358" s="37">
        <f>IF(U1358&lt;&gt;0,X1358/U1358,"")</f>
        <v>0.48550377928781613</v>
      </c>
      <c r="Z1358" s="34">
        <f>SUBTOTAL(9,Z1347:Z1357)</f>
        <v>520.48</v>
      </c>
      <c r="AA1358" s="35">
        <f>SUBTOTAL(9,AA1347:AA1357)</f>
        <v>212</v>
      </c>
      <c r="AB1358" s="36">
        <f>SUBTOTAL(9,AB1347:AB1357)</f>
        <v>363.03</v>
      </c>
      <c r="AC1358" s="36">
        <f t="shared" ref="AC1358" si="415">Z1358-AB1358</f>
        <v>157.45000000000005</v>
      </c>
      <c r="AD1358" s="37">
        <f t="shared" ref="AD1358" si="416">IF(Z1358&lt;&gt;0,AC1358/Z1358,"")</f>
        <v>0.30250922225637883</v>
      </c>
    </row>
    <row r="1359" spans="1:31" x14ac:dyDescent="0.25">
      <c r="A1359" s="14" t="s">
        <v>109</v>
      </c>
      <c r="C1359" s="66"/>
      <c r="J1359" s="10"/>
      <c r="K1359" s="11"/>
      <c r="L1359" s="11"/>
      <c r="M1359" s="11"/>
      <c r="N1359" s="12"/>
      <c r="O1359" s="10"/>
      <c r="P1359" s="11"/>
      <c r="Q1359" s="11"/>
      <c r="R1359" s="11"/>
      <c r="S1359" s="12"/>
      <c r="U1359" s="10"/>
      <c r="V1359" s="11"/>
      <c r="W1359" s="11"/>
      <c r="X1359" s="11"/>
      <c r="Y1359" s="12"/>
      <c r="Z1359" s="10"/>
      <c r="AA1359" s="11"/>
      <c r="AB1359" s="11"/>
      <c r="AC1359" s="11"/>
      <c r="AD1359" s="12"/>
    </row>
    <row r="1360" spans="1:31" ht="15.75" x14ac:dyDescent="0.25">
      <c r="A1360" s="14" t="s">
        <v>109</v>
      </c>
      <c r="C1360" s="66" t="str">
        <f t="shared" ref="C1360" si="417">E1360</f>
        <v>C100089</v>
      </c>
      <c r="E1360" s="13" t="str">
        <f>"C100089"</f>
        <v>C100089</v>
      </c>
      <c r="F1360" s="13"/>
      <c r="G1360" s="13" t="str">
        <f>"University of Oregon"</f>
        <v>University of Oregon</v>
      </c>
      <c r="H1360" s="13"/>
      <c r="I1360" s="13"/>
      <c r="J1360" s="10"/>
      <c r="K1360" s="11"/>
      <c r="L1360" s="11"/>
      <c r="M1360" s="11"/>
      <c r="N1360" s="12"/>
      <c r="O1360" s="10"/>
      <c r="P1360" s="11"/>
      <c r="Q1360" s="11"/>
      <c r="R1360" s="11"/>
      <c r="S1360" s="12"/>
      <c r="U1360" s="10"/>
      <c r="V1360" s="11"/>
      <c r="W1360" s="11"/>
      <c r="X1360" s="11"/>
      <c r="Y1360" s="12"/>
      <c r="Z1360" s="10"/>
      <c r="AA1360" s="11"/>
      <c r="AB1360" s="11"/>
      <c r="AC1360" s="11"/>
      <c r="AD1360" s="12"/>
    </row>
    <row r="1361" spans="1:31" ht="6.6" customHeight="1" x14ac:dyDescent="0.25">
      <c r="A1361" s="14" t="s">
        <v>109</v>
      </c>
      <c r="C1361" s="61" t="str">
        <f t="shared" ref="C1361:C1391" si="418">C1360</f>
        <v>C100089</v>
      </c>
      <c r="J1361" s="10"/>
      <c r="K1361" s="11"/>
      <c r="L1361" s="11"/>
      <c r="M1361" s="11"/>
      <c r="N1361" s="12"/>
      <c r="O1361" s="10"/>
      <c r="P1361" s="11"/>
      <c r="Q1361" s="11"/>
      <c r="R1361" s="11"/>
      <c r="S1361" s="12"/>
      <c r="U1361" s="10"/>
      <c r="V1361" s="11"/>
      <c r="W1361" s="11"/>
      <c r="X1361" s="11"/>
      <c r="Y1361" s="12"/>
      <c r="Z1361" s="10"/>
      <c r="AA1361" s="11"/>
      <c r="AB1361" s="11"/>
      <c r="AC1361" s="11"/>
      <c r="AD1361" s="12"/>
    </row>
    <row r="1362" spans="1:31" x14ac:dyDescent="0.25">
      <c r="A1362" s="14" t="s">
        <v>109</v>
      </c>
      <c r="C1362" s="61" t="str">
        <f t="shared" si="418"/>
        <v>C100089</v>
      </c>
      <c r="F1362" s="8" t="str">
        <f>"C100023"</f>
        <v>C100023</v>
      </c>
      <c r="G1362" s="9" t="str">
        <f>"Two-Toned Knit Hat"</f>
        <v>Two-Toned Knit Hat</v>
      </c>
      <c r="H1362" s="47"/>
      <c r="I1362" s="47"/>
      <c r="J1362" s="23">
        <v>0</v>
      </c>
      <c r="K1362" s="25">
        <v>0</v>
      </c>
      <c r="L1362" s="24">
        <v>0</v>
      </c>
      <c r="M1362" s="24">
        <f>J1362-L1362</f>
        <v>0</v>
      </c>
      <c r="N1362" s="53" t="str">
        <f>IF(J1362&lt;&gt;0,M1362/J1362,"")</f>
        <v/>
      </c>
      <c r="O1362" s="23">
        <v>378.2</v>
      </c>
      <c r="P1362" s="25">
        <v>144</v>
      </c>
      <c r="Q1362" s="24">
        <v>181.43</v>
      </c>
      <c r="R1362" s="24">
        <f>O1362-Q1362</f>
        <v>196.76999999999998</v>
      </c>
      <c r="S1362" s="53">
        <f>IF(O1362&lt;&gt;0,R1362/O1362,"")</f>
        <v>0.52028027498677942</v>
      </c>
      <c r="T1362" s="10"/>
      <c r="U1362" s="23">
        <v>0</v>
      </c>
      <c r="V1362" s="25">
        <v>0</v>
      </c>
      <c r="W1362" s="24">
        <v>0</v>
      </c>
      <c r="X1362" s="24">
        <f>U1362-W1362</f>
        <v>0</v>
      </c>
      <c r="Y1362" s="53" t="str">
        <f>IF(U1362&lt;&gt;0,X1362/U1362,"")</f>
        <v/>
      </c>
      <c r="Z1362" s="23">
        <v>0</v>
      </c>
      <c r="AA1362" s="25">
        <v>0</v>
      </c>
      <c r="AB1362" s="24">
        <v>0</v>
      </c>
      <c r="AC1362" s="24">
        <f t="shared" ref="AC1362" si="419">Z1362-AB1362</f>
        <v>0</v>
      </c>
      <c r="AD1362" s="53" t="str">
        <f t="shared" ref="AD1362" si="420">IF(Z1362&lt;&gt;0,AC1362/Z1362,"")</f>
        <v/>
      </c>
      <c r="AE1362" s="10"/>
    </row>
    <row r="1363" spans="1:31" x14ac:dyDescent="0.25">
      <c r="A1363" s="14" t="s">
        <v>109</v>
      </c>
      <c r="C1363" s="61" t="str">
        <f t="shared" ref="C1363:C1389" si="421">C1362</f>
        <v>C100089</v>
      </c>
      <c r="F1363" s="8" t="str">
        <f>"C100025"</f>
        <v>C100025</v>
      </c>
      <c r="G1363" s="9" t="str">
        <f>"Striped Knit Hat"</f>
        <v>Striped Knit Hat</v>
      </c>
      <c r="H1363" s="47"/>
      <c r="I1363" s="47"/>
      <c r="J1363" s="23">
        <v>0</v>
      </c>
      <c r="K1363" s="25">
        <v>0</v>
      </c>
      <c r="L1363" s="24">
        <v>0</v>
      </c>
      <c r="M1363" s="24">
        <f>J1363-L1363</f>
        <v>0</v>
      </c>
      <c r="N1363" s="53" t="str">
        <f>IF(J1363&lt;&gt;0,M1363/J1363,"")</f>
        <v/>
      </c>
      <c r="O1363" s="23">
        <v>2.92</v>
      </c>
      <c r="P1363" s="25">
        <v>1</v>
      </c>
      <c r="Q1363" s="24">
        <v>1.38</v>
      </c>
      <c r="R1363" s="24">
        <f>O1363-Q1363</f>
        <v>1.54</v>
      </c>
      <c r="S1363" s="53">
        <f>IF(O1363&lt;&gt;0,R1363/O1363,"")</f>
        <v>0.5273972602739726</v>
      </c>
      <c r="T1363" s="10"/>
      <c r="U1363" s="23">
        <v>2.92</v>
      </c>
      <c r="V1363" s="25">
        <v>1</v>
      </c>
      <c r="W1363" s="24">
        <v>1.38</v>
      </c>
      <c r="X1363" s="24">
        <f>U1363-W1363</f>
        <v>1.54</v>
      </c>
      <c r="Y1363" s="53">
        <f>IF(U1363&lt;&gt;0,X1363/U1363,"")</f>
        <v>0.5273972602739726</v>
      </c>
      <c r="Z1363" s="23">
        <v>0</v>
      </c>
      <c r="AA1363" s="25">
        <v>0</v>
      </c>
      <c r="AB1363" s="24">
        <v>0</v>
      </c>
      <c r="AC1363" s="24">
        <f t="shared" ref="AC1363:AC1389" si="422">Z1363-AB1363</f>
        <v>0</v>
      </c>
      <c r="AD1363" s="53" t="str">
        <f t="shared" ref="AD1363:AD1389" si="423">IF(Z1363&lt;&gt;0,AC1363/Z1363,"")</f>
        <v/>
      </c>
      <c r="AE1363" s="10"/>
    </row>
    <row r="1364" spans="1:31" x14ac:dyDescent="0.25">
      <c r="A1364" s="14" t="s">
        <v>109</v>
      </c>
      <c r="C1364" s="61" t="str">
        <f t="shared" si="421"/>
        <v>C100089</v>
      </c>
      <c r="F1364" s="8" t="str">
        <f>"C100026"</f>
        <v>C100026</v>
      </c>
      <c r="G1364" s="9" t="str">
        <f>"Fleece Beanie"</f>
        <v>Fleece Beanie</v>
      </c>
      <c r="H1364" s="47"/>
      <c r="I1364" s="47"/>
      <c r="J1364" s="23">
        <v>0</v>
      </c>
      <c r="K1364" s="25">
        <v>0</v>
      </c>
      <c r="L1364" s="24">
        <v>0</v>
      </c>
      <c r="M1364" s="24">
        <f>J1364-L1364</f>
        <v>0</v>
      </c>
      <c r="N1364" s="53" t="str">
        <f>IF(J1364&lt;&gt;0,M1364/J1364,"")</f>
        <v/>
      </c>
      <c r="O1364" s="23">
        <v>440.29</v>
      </c>
      <c r="P1364" s="25">
        <v>144</v>
      </c>
      <c r="Q1364" s="24">
        <v>287.99</v>
      </c>
      <c r="R1364" s="24">
        <f>O1364-Q1364</f>
        <v>152.30000000000001</v>
      </c>
      <c r="S1364" s="53">
        <f>IF(O1364&lt;&gt;0,R1364/O1364,"")</f>
        <v>0.34590837856867068</v>
      </c>
      <c r="T1364" s="10"/>
      <c r="U1364" s="23">
        <v>0</v>
      </c>
      <c r="V1364" s="25">
        <v>0</v>
      </c>
      <c r="W1364" s="24">
        <v>0</v>
      </c>
      <c r="X1364" s="24">
        <f>U1364-W1364</f>
        <v>0</v>
      </c>
      <c r="Y1364" s="53" t="str">
        <f>IF(U1364&lt;&gt;0,X1364/U1364,"")</f>
        <v/>
      </c>
      <c r="Z1364" s="23">
        <v>0</v>
      </c>
      <c r="AA1364" s="25">
        <v>0</v>
      </c>
      <c r="AB1364" s="24">
        <v>0</v>
      </c>
      <c r="AC1364" s="24">
        <f t="shared" si="422"/>
        <v>0</v>
      </c>
      <c r="AD1364" s="53" t="str">
        <f t="shared" si="423"/>
        <v/>
      </c>
      <c r="AE1364" s="10"/>
    </row>
    <row r="1365" spans="1:31" x14ac:dyDescent="0.25">
      <c r="A1365" s="14" t="s">
        <v>109</v>
      </c>
      <c r="C1365" s="61" t="str">
        <f t="shared" si="421"/>
        <v>C100089</v>
      </c>
      <c r="F1365" s="8" t="str">
        <f>"C100028"</f>
        <v>C100028</v>
      </c>
      <c r="G1365" s="9" t="str">
        <f>"Twill Visor"</f>
        <v>Twill Visor</v>
      </c>
      <c r="H1365" s="47"/>
      <c r="I1365" s="47"/>
      <c r="J1365" s="23">
        <v>0</v>
      </c>
      <c r="K1365" s="25">
        <v>0</v>
      </c>
      <c r="L1365" s="24">
        <v>0</v>
      </c>
      <c r="M1365" s="24">
        <f>J1365-L1365</f>
        <v>0</v>
      </c>
      <c r="N1365" s="53" t="str">
        <f>IF(J1365&lt;&gt;0,M1365/J1365,"")</f>
        <v/>
      </c>
      <c r="O1365" s="23">
        <v>721.12</v>
      </c>
      <c r="P1365" s="25">
        <v>144</v>
      </c>
      <c r="Q1365" s="24">
        <v>345.61</v>
      </c>
      <c r="R1365" s="24">
        <f>O1365-Q1365</f>
        <v>375.51</v>
      </c>
      <c r="S1365" s="53">
        <f>IF(O1365&lt;&gt;0,R1365/O1365,"")</f>
        <v>0.52073163967162195</v>
      </c>
      <c r="T1365" s="10"/>
      <c r="U1365" s="23">
        <v>0</v>
      </c>
      <c r="V1365" s="25">
        <v>0</v>
      </c>
      <c r="W1365" s="24">
        <v>0</v>
      </c>
      <c r="X1365" s="24">
        <f>U1365-W1365</f>
        <v>0</v>
      </c>
      <c r="Y1365" s="53" t="str">
        <f>IF(U1365&lt;&gt;0,X1365/U1365,"")</f>
        <v/>
      </c>
      <c r="Z1365" s="23">
        <v>0</v>
      </c>
      <c r="AA1365" s="25">
        <v>0</v>
      </c>
      <c r="AB1365" s="24">
        <v>0</v>
      </c>
      <c r="AC1365" s="24">
        <f t="shared" si="422"/>
        <v>0</v>
      </c>
      <c r="AD1365" s="53" t="str">
        <f t="shared" si="423"/>
        <v/>
      </c>
      <c r="AE1365" s="10"/>
    </row>
    <row r="1366" spans="1:31" x14ac:dyDescent="0.25">
      <c r="A1366" s="14" t="s">
        <v>109</v>
      </c>
      <c r="C1366" s="61" t="str">
        <f t="shared" si="421"/>
        <v>C100089</v>
      </c>
      <c r="F1366" s="8" t="str">
        <f>"C100029"</f>
        <v>C100029</v>
      </c>
      <c r="G1366" s="9" t="str">
        <f>"Distressed Twill Visor"</f>
        <v>Distressed Twill Visor</v>
      </c>
      <c r="H1366" s="47"/>
      <c r="I1366" s="47"/>
      <c r="J1366" s="23">
        <v>0</v>
      </c>
      <c r="K1366" s="25">
        <v>0</v>
      </c>
      <c r="L1366" s="24">
        <v>0</v>
      </c>
      <c r="M1366" s="24">
        <f>J1366-L1366</f>
        <v>0</v>
      </c>
      <c r="N1366" s="53" t="str">
        <f>IF(J1366&lt;&gt;0,M1366/J1366,"")</f>
        <v/>
      </c>
      <c r="O1366" s="23">
        <v>482.62999999999994</v>
      </c>
      <c r="P1366" s="25">
        <v>144</v>
      </c>
      <c r="Q1366" s="24">
        <v>298.09000000000003</v>
      </c>
      <c r="R1366" s="24">
        <f>O1366-Q1366</f>
        <v>184.53999999999991</v>
      </c>
      <c r="S1366" s="53">
        <f>IF(O1366&lt;&gt;0,R1366/O1366,"")</f>
        <v>0.38236330107950173</v>
      </c>
      <c r="T1366" s="10"/>
      <c r="U1366" s="23">
        <v>965.25999999999988</v>
      </c>
      <c r="V1366" s="25">
        <v>288</v>
      </c>
      <c r="W1366" s="24">
        <v>596.18000000000006</v>
      </c>
      <c r="X1366" s="24">
        <f>U1366-W1366</f>
        <v>369.07999999999981</v>
      </c>
      <c r="Y1366" s="53">
        <f>IF(U1366&lt;&gt;0,X1366/U1366,"")</f>
        <v>0.38236330107950173</v>
      </c>
      <c r="Z1366" s="23">
        <v>0</v>
      </c>
      <c r="AA1366" s="25">
        <v>0</v>
      </c>
      <c r="AB1366" s="24">
        <v>0</v>
      </c>
      <c r="AC1366" s="24">
        <f t="shared" si="422"/>
        <v>0</v>
      </c>
      <c r="AD1366" s="53" t="str">
        <f t="shared" si="423"/>
        <v/>
      </c>
      <c r="AE1366" s="10"/>
    </row>
    <row r="1367" spans="1:31" x14ac:dyDescent="0.25">
      <c r="A1367" s="14" t="s">
        <v>109</v>
      </c>
      <c r="C1367" s="61" t="str">
        <f t="shared" si="421"/>
        <v>C100089</v>
      </c>
      <c r="F1367" s="8" t="str">
        <f>"C100044"</f>
        <v>C100044</v>
      </c>
      <c r="G1367" s="9" t="str">
        <f>"VOIP Headset with Mic"</f>
        <v>VOIP Headset with Mic</v>
      </c>
      <c r="H1367" s="47"/>
      <c r="I1367" s="47"/>
      <c r="J1367" s="23">
        <v>0</v>
      </c>
      <c r="K1367" s="25">
        <v>0</v>
      </c>
      <c r="L1367" s="24">
        <v>0</v>
      </c>
      <c r="M1367" s="24">
        <f>J1367-L1367</f>
        <v>0</v>
      </c>
      <c r="N1367" s="53" t="str">
        <f>IF(J1367&lt;&gt;0,M1367/J1367,"")</f>
        <v/>
      </c>
      <c r="O1367" s="23">
        <v>310.45999999999998</v>
      </c>
      <c r="P1367" s="25">
        <v>144</v>
      </c>
      <c r="Q1367" s="24">
        <v>172.85</v>
      </c>
      <c r="R1367" s="24">
        <f>O1367-Q1367</f>
        <v>137.60999999999999</v>
      </c>
      <c r="S1367" s="53">
        <f>IF(O1367&lt;&gt;0,R1367/O1367,"")</f>
        <v>0.4432455066675256</v>
      </c>
      <c r="T1367" s="10"/>
      <c r="U1367" s="23">
        <v>0</v>
      </c>
      <c r="V1367" s="25">
        <v>0</v>
      </c>
      <c r="W1367" s="24">
        <v>0</v>
      </c>
      <c r="X1367" s="24">
        <f>U1367-W1367</f>
        <v>0</v>
      </c>
      <c r="Y1367" s="53" t="str">
        <f>IF(U1367&lt;&gt;0,X1367/U1367,"")</f>
        <v/>
      </c>
      <c r="Z1367" s="23">
        <v>0</v>
      </c>
      <c r="AA1367" s="25">
        <v>0</v>
      </c>
      <c r="AB1367" s="24">
        <v>0</v>
      </c>
      <c r="AC1367" s="24">
        <f t="shared" si="422"/>
        <v>0</v>
      </c>
      <c r="AD1367" s="53" t="str">
        <f t="shared" si="423"/>
        <v/>
      </c>
      <c r="AE1367" s="10"/>
    </row>
    <row r="1368" spans="1:31" x14ac:dyDescent="0.25">
      <c r="A1368" s="14" t="s">
        <v>109</v>
      </c>
      <c r="C1368" s="61" t="str">
        <f t="shared" si="421"/>
        <v>C100089</v>
      </c>
      <c r="F1368" s="8" t="str">
        <f>"C100063"</f>
        <v>C100063</v>
      </c>
      <c r="G1368" s="9" t="str">
        <f>"Soup Mug"</f>
        <v>Soup Mug</v>
      </c>
      <c r="H1368" s="47"/>
      <c r="I1368" s="47"/>
      <c r="J1368" s="23">
        <v>0</v>
      </c>
      <c r="K1368" s="25">
        <v>0</v>
      </c>
      <c r="L1368" s="24">
        <v>0</v>
      </c>
      <c r="M1368" s="24">
        <f>J1368-L1368</f>
        <v>0</v>
      </c>
      <c r="N1368" s="53" t="str">
        <f>IF(J1368&lt;&gt;0,M1368/J1368,"")</f>
        <v/>
      </c>
      <c r="O1368" s="23">
        <v>234.26</v>
      </c>
      <c r="P1368" s="25">
        <v>144</v>
      </c>
      <c r="Q1368" s="24">
        <v>133.94999999999999</v>
      </c>
      <c r="R1368" s="24">
        <f>O1368-Q1368</f>
        <v>100.31</v>
      </c>
      <c r="S1368" s="53">
        <f>IF(O1368&lt;&gt;0,R1368/O1368,"")</f>
        <v>0.42819943652352088</v>
      </c>
      <c r="T1368" s="10"/>
      <c r="U1368" s="23">
        <v>0</v>
      </c>
      <c r="V1368" s="25">
        <v>0</v>
      </c>
      <c r="W1368" s="24">
        <v>0</v>
      </c>
      <c r="X1368" s="24">
        <f>U1368-W1368</f>
        <v>0</v>
      </c>
      <c r="Y1368" s="53" t="str">
        <f>IF(U1368&lt;&gt;0,X1368/U1368,"")</f>
        <v/>
      </c>
      <c r="Z1368" s="23">
        <v>0</v>
      </c>
      <c r="AA1368" s="25">
        <v>0</v>
      </c>
      <c r="AB1368" s="24">
        <v>0</v>
      </c>
      <c r="AC1368" s="24">
        <f t="shared" si="422"/>
        <v>0</v>
      </c>
      <c r="AD1368" s="53" t="str">
        <f t="shared" si="423"/>
        <v/>
      </c>
      <c r="AE1368" s="10"/>
    </row>
    <row r="1369" spans="1:31" x14ac:dyDescent="0.25">
      <c r="A1369" s="14" t="s">
        <v>109</v>
      </c>
      <c r="C1369" s="61" t="str">
        <f t="shared" si="421"/>
        <v>C100089</v>
      </c>
      <c r="F1369" s="8" t="str">
        <f>"E100002"</f>
        <v>E100002</v>
      </c>
      <c r="G1369" s="9" t="str">
        <f>"Cotton Classic Tote"</f>
        <v>Cotton Classic Tote</v>
      </c>
      <c r="H1369" s="47"/>
      <c r="I1369" s="47"/>
      <c r="J1369" s="23">
        <v>0</v>
      </c>
      <c r="K1369" s="25">
        <v>0</v>
      </c>
      <c r="L1369" s="24">
        <v>0</v>
      </c>
      <c r="M1369" s="24">
        <f>J1369-L1369</f>
        <v>0</v>
      </c>
      <c r="N1369" s="53" t="str">
        <f>IF(J1369&lt;&gt;0,M1369/J1369,"")</f>
        <v/>
      </c>
      <c r="O1369" s="23">
        <v>176.4</v>
      </c>
      <c r="P1369" s="25">
        <v>144</v>
      </c>
      <c r="Q1369" s="24">
        <v>92.17</v>
      </c>
      <c r="R1369" s="24">
        <f>O1369-Q1369</f>
        <v>84.23</v>
      </c>
      <c r="S1369" s="53">
        <f>IF(O1369&lt;&gt;0,R1369/O1369,"")</f>
        <v>0.47749433106575967</v>
      </c>
      <c r="T1369" s="10"/>
      <c r="U1369" s="23">
        <v>176.4</v>
      </c>
      <c r="V1369" s="25">
        <v>144</v>
      </c>
      <c r="W1369" s="24">
        <v>92.17</v>
      </c>
      <c r="X1369" s="24">
        <f>U1369-W1369</f>
        <v>84.23</v>
      </c>
      <c r="Y1369" s="53">
        <f>IF(U1369&lt;&gt;0,X1369/U1369,"")</f>
        <v>0.47749433106575967</v>
      </c>
      <c r="Z1369" s="23">
        <v>0</v>
      </c>
      <c r="AA1369" s="25">
        <v>0</v>
      </c>
      <c r="AB1369" s="24">
        <v>0</v>
      </c>
      <c r="AC1369" s="24">
        <f t="shared" si="422"/>
        <v>0</v>
      </c>
      <c r="AD1369" s="53" t="str">
        <f t="shared" si="423"/>
        <v/>
      </c>
      <c r="AE1369" s="10"/>
    </row>
    <row r="1370" spans="1:31" x14ac:dyDescent="0.25">
      <c r="A1370" s="14" t="s">
        <v>109</v>
      </c>
      <c r="C1370" s="61" t="str">
        <f t="shared" si="421"/>
        <v>C100089</v>
      </c>
      <c r="F1370" s="8" t="str">
        <f>"E100005"</f>
        <v>E100005</v>
      </c>
      <c r="G1370" s="9" t="str">
        <f>"All Purpose Tote"</f>
        <v>All Purpose Tote</v>
      </c>
      <c r="H1370" s="47"/>
      <c r="I1370" s="47"/>
      <c r="J1370" s="23">
        <v>0</v>
      </c>
      <c r="K1370" s="25">
        <v>0</v>
      </c>
      <c r="L1370" s="24">
        <v>0</v>
      </c>
      <c r="M1370" s="24">
        <f>J1370-L1370</f>
        <v>0</v>
      </c>
      <c r="N1370" s="53" t="str">
        <f>IF(J1370&lt;&gt;0,M1370/J1370,"")</f>
        <v/>
      </c>
      <c r="O1370" s="23">
        <v>364.09</v>
      </c>
      <c r="P1370" s="25">
        <v>144</v>
      </c>
      <c r="Q1370" s="24">
        <v>178.56</v>
      </c>
      <c r="R1370" s="24">
        <f>O1370-Q1370</f>
        <v>185.52999999999997</v>
      </c>
      <c r="S1370" s="53">
        <f>IF(O1370&lt;&gt;0,R1370/O1370,"")</f>
        <v>0.50957180916806277</v>
      </c>
      <c r="T1370" s="10"/>
      <c r="U1370" s="23">
        <v>0</v>
      </c>
      <c r="V1370" s="25">
        <v>0</v>
      </c>
      <c r="W1370" s="24">
        <v>0</v>
      </c>
      <c r="X1370" s="24">
        <f>U1370-W1370</f>
        <v>0</v>
      </c>
      <c r="Y1370" s="53" t="str">
        <f>IF(U1370&lt;&gt;0,X1370/U1370,"")</f>
        <v/>
      </c>
      <c r="Z1370" s="23">
        <v>0</v>
      </c>
      <c r="AA1370" s="25">
        <v>0</v>
      </c>
      <c r="AB1370" s="24">
        <v>0</v>
      </c>
      <c r="AC1370" s="24">
        <f t="shared" si="422"/>
        <v>0</v>
      </c>
      <c r="AD1370" s="53" t="str">
        <f t="shared" si="423"/>
        <v/>
      </c>
      <c r="AE1370" s="10"/>
    </row>
    <row r="1371" spans="1:31" x14ac:dyDescent="0.25">
      <c r="A1371" s="14" t="s">
        <v>109</v>
      </c>
      <c r="C1371" s="61" t="str">
        <f t="shared" si="421"/>
        <v>C100089</v>
      </c>
      <c r="F1371" s="8" t="str">
        <f>"E100008"</f>
        <v>E100008</v>
      </c>
      <c r="G1371" s="9" t="str">
        <f>"Super Shopper"</f>
        <v>Super Shopper</v>
      </c>
      <c r="H1371" s="47"/>
      <c r="I1371" s="47"/>
      <c r="J1371" s="23">
        <v>-0.23</v>
      </c>
      <c r="K1371" s="25">
        <v>-1</v>
      </c>
      <c r="L1371" s="24">
        <v>-0.12</v>
      </c>
      <c r="M1371" s="24">
        <f>J1371-L1371</f>
        <v>-0.11000000000000001</v>
      </c>
      <c r="N1371" s="53">
        <f>IF(J1371&lt;&gt;0,M1371/J1371,"")</f>
        <v>0.47826086956521741</v>
      </c>
      <c r="O1371" s="23">
        <v>2.7</v>
      </c>
      <c r="P1371" s="25">
        <v>12</v>
      </c>
      <c r="Q1371" s="24">
        <v>1.44</v>
      </c>
      <c r="R1371" s="24">
        <f>O1371-Q1371</f>
        <v>1.2600000000000002</v>
      </c>
      <c r="S1371" s="53">
        <f>IF(O1371&lt;&gt;0,R1371/O1371,"")</f>
        <v>0.46666666666666673</v>
      </c>
      <c r="T1371" s="10"/>
      <c r="U1371" s="23">
        <v>0.23</v>
      </c>
      <c r="V1371" s="25">
        <v>1</v>
      </c>
      <c r="W1371" s="24">
        <v>0.12</v>
      </c>
      <c r="X1371" s="24">
        <f>U1371-W1371</f>
        <v>0.11000000000000001</v>
      </c>
      <c r="Y1371" s="53">
        <f>IF(U1371&lt;&gt;0,X1371/U1371,"")</f>
        <v>0.47826086956521741</v>
      </c>
      <c r="Z1371" s="23">
        <v>0</v>
      </c>
      <c r="AA1371" s="25">
        <v>0</v>
      </c>
      <c r="AB1371" s="24">
        <v>0</v>
      </c>
      <c r="AC1371" s="24">
        <f t="shared" si="422"/>
        <v>0</v>
      </c>
      <c r="AD1371" s="53" t="str">
        <f t="shared" si="423"/>
        <v/>
      </c>
      <c r="AE1371" s="10"/>
    </row>
    <row r="1372" spans="1:31" x14ac:dyDescent="0.25">
      <c r="A1372" s="14" t="s">
        <v>109</v>
      </c>
      <c r="C1372" s="61" t="str">
        <f t="shared" si="421"/>
        <v>C100089</v>
      </c>
      <c r="F1372" s="8" t="str">
        <f>"E100010"</f>
        <v>E100010</v>
      </c>
      <c r="G1372" s="9" t="str">
        <f>"Vinyl Tote"</f>
        <v>Vinyl Tote</v>
      </c>
      <c r="H1372" s="47"/>
      <c r="I1372" s="47"/>
      <c r="J1372" s="23">
        <v>-0.3</v>
      </c>
      <c r="K1372" s="25">
        <v>-1</v>
      </c>
      <c r="L1372" s="24">
        <v>-0.18</v>
      </c>
      <c r="M1372" s="24">
        <f>J1372-L1372</f>
        <v>-0.12</v>
      </c>
      <c r="N1372" s="53">
        <f>IF(J1372&lt;&gt;0,M1372/J1372,"")</f>
        <v>0.4</v>
      </c>
      <c r="O1372" s="23">
        <v>0.61</v>
      </c>
      <c r="P1372" s="25">
        <v>2</v>
      </c>
      <c r="Q1372" s="24">
        <v>0.36</v>
      </c>
      <c r="R1372" s="24">
        <f>O1372-Q1372</f>
        <v>0.25</v>
      </c>
      <c r="S1372" s="53">
        <f>IF(O1372&lt;&gt;0,R1372/O1372,"")</f>
        <v>0.4098360655737705</v>
      </c>
      <c r="T1372" s="10"/>
      <c r="U1372" s="23">
        <v>0.3</v>
      </c>
      <c r="V1372" s="25">
        <v>1</v>
      </c>
      <c r="W1372" s="24">
        <v>0.18</v>
      </c>
      <c r="X1372" s="24">
        <f>U1372-W1372</f>
        <v>0.12</v>
      </c>
      <c r="Y1372" s="53">
        <f>IF(U1372&lt;&gt;0,X1372/U1372,"")</f>
        <v>0.4</v>
      </c>
      <c r="Z1372" s="23">
        <v>0</v>
      </c>
      <c r="AA1372" s="25">
        <v>0</v>
      </c>
      <c r="AB1372" s="24">
        <v>0</v>
      </c>
      <c r="AC1372" s="24">
        <f t="shared" si="422"/>
        <v>0</v>
      </c>
      <c r="AD1372" s="53" t="str">
        <f t="shared" si="423"/>
        <v/>
      </c>
      <c r="AE1372" s="10"/>
    </row>
    <row r="1373" spans="1:31" x14ac:dyDescent="0.25">
      <c r="A1373" s="14" t="s">
        <v>109</v>
      </c>
      <c r="C1373" s="61" t="str">
        <f t="shared" si="421"/>
        <v>C100089</v>
      </c>
      <c r="F1373" s="8" t="str">
        <f>"E100016"</f>
        <v>E100016</v>
      </c>
      <c r="G1373" s="9" t="str">
        <f>"4 Function Rotating Carabiner Watch"</f>
        <v>4 Function Rotating Carabiner Watch</v>
      </c>
      <c r="H1373" s="47"/>
      <c r="I1373" s="47"/>
      <c r="J1373" s="23">
        <v>0</v>
      </c>
      <c r="K1373" s="25">
        <v>0</v>
      </c>
      <c r="L1373" s="24">
        <v>0</v>
      </c>
      <c r="M1373" s="24">
        <f>J1373-L1373</f>
        <v>0</v>
      </c>
      <c r="N1373" s="53" t="str">
        <f>IF(J1373&lt;&gt;0,M1373/J1373,"")</f>
        <v/>
      </c>
      <c r="O1373" s="23">
        <v>429.00000000000006</v>
      </c>
      <c r="P1373" s="25">
        <v>144</v>
      </c>
      <c r="Q1373" s="24">
        <v>198.73000000000002</v>
      </c>
      <c r="R1373" s="24">
        <f>O1373-Q1373</f>
        <v>230.27000000000004</v>
      </c>
      <c r="S1373" s="53">
        <f>IF(O1373&lt;&gt;0,R1373/O1373,"")</f>
        <v>0.53675990675990681</v>
      </c>
      <c r="T1373" s="10"/>
      <c r="U1373" s="23">
        <v>0</v>
      </c>
      <c r="V1373" s="25">
        <v>0</v>
      </c>
      <c r="W1373" s="24">
        <v>0</v>
      </c>
      <c r="X1373" s="24">
        <f>U1373-W1373</f>
        <v>0</v>
      </c>
      <c r="Y1373" s="53" t="str">
        <f>IF(U1373&lt;&gt;0,X1373/U1373,"")</f>
        <v/>
      </c>
      <c r="Z1373" s="23">
        <v>0</v>
      </c>
      <c r="AA1373" s="25">
        <v>0</v>
      </c>
      <c r="AB1373" s="24">
        <v>0</v>
      </c>
      <c r="AC1373" s="24">
        <f t="shared" si="422"/>
        <v>0</v>
      </c>
      <c r="AD1373" s="53" t="str">
        <f t="shared" si="423"/>
        <v/>
      </c>
      <c r="AE1373" s="10"/>
    </row>
    <row r="1374" spans="1:31" x14ac:dyDescent="0.25">
      <c r="A1374" s="14" t="s">
        <v>109</v>
      </c>
      <c r="C1374" s="61" t="str">
        <f t="shared" si="421"/>
        <v>C100089</v>
      </c>
      <c r="F1374" s="8" t="str">
        <f>"E100017"</f>
        <v>E100017</v>
      </c>
      <c r="G1374" s="9" t="str">
        <f>"Clip-on Clock with Compass"</f>
        <v>Clip-on Clock with Compass</v>
      </c>
      <c r="H1374" s="47"/>
      <c r="I1374" s="47"/>
      <c r="J1374" s="23">
        <v>-18.350000000000001</v>
      </c>
      <c r="K1374" s="25">
        <v>-12</v>
      </c>
      <c r="L1374" s="24">
        <v>-10.56</v>
      </c>
      <c r="M1374" s="24">
        <f>J1374-L1374</f>
        <v>-7.7900000000000009</v>
      </c>
      <c r="N1374" s="53">
        <f>IF(J1374&lt;&gt;0,M1374/J1374,"")</f>
        <v>0.42452316076294278</v>
      </c>
      <c r="O1374" s="23">
        <v>0</v>
      </c>
      <c r="P1374" s="25">
        <v>0</v>
      </c>
      <c r="Q1374" s="24">
        <v>0</v>
      </c>
      <c r="R1374" s="24">
        <f>O1374-Q1374</f>
        <v>0</v>
      </c>
      <c r="S1374" s="53" t="str">
        <f>IF(O1374&lt;&gt;0,R1374/O1374,"")</f>
        <v/>
      </c>
      <c r="T1374" s="10"/>
      <c r="U1374" s="23">
        <v>1.53</v>
      </c>
      <c r="V1374" s="25">
        <v>1</v>
      </c>
      <c r="W1374" s="24">
        <v>0.88</v>
      </c>
      <c r="X1374" s="24">
        <f>U1374-W1374</f>
        <v>0.65</v>
      </c>
      <c r="Y1374" s="53">
        <f>IF(U1374&lt;&gt;0,X1374/U1374,"")</f>
        <v>0.42483660130718953</v>
      </c>
      <c r="Z1374" s="23">
        <v>0</v>
      </c>
      <c r="AA1374" s="25">
        <v>0</v>
      </c>
      <c r="AB1374" s="24">
        <v>0</v>
      </c>
      <c r="AC1374" s="24">
        <f t="shared" si="422"/>
        <v>0</v>
      </c>
      <c r="AD1374" s="53" t="str">
        <f t="shared" si="423"/>
        <v/>
      </c>
      <c r="AE1374" s="10"/>
    </row>
    <row r="1375" spans="1:31" x14ac:dyDescent="0.25">
      <c r="A1375" s="14" t="s">
        <v>109</v>
      </c>
      <c r="C1375" s="61" t="str">
        <f t="shared" si="421"/>
        <v>C100089</v>
      </c>
      <c r="F1375" s="8" t="str">
        <f>"E100021"</f>
        <v>E100021</v>
      </c>
      <c r="G1375" s="9" t="str">
        <f>"Slim Travel Alarm"</f>
        <v>Slim Travel Alarm</v>
      </c>
      <c r="H1375" s="47"/>
      <c r="I1375" s="47"/>
      <c r="J1375" s="23">
        <v>0</v>
      </c>
      <c r="K1375" s="25">
        <v>0</v>
      </c>
      <c r="L1375" s="24">
        <v>0</v>
      </c>
      <c r="M1375" s="24">
        <f>J1375-L1375</f>
        <v>0</v>
      </c>
      <c r="N1375" s="53" t="str">
        <f>IF(J1375&lt;&gt;0,M1375/J1375,"")</f>
        <v/>
      </c>
      <c r="O1375" s="23">
        <v>406.42999999999995</v>
      </c>
      <c r="P1375" s="25">
        <v>144</v>
      </c>
      <c r="Q1375" s="24">
        <v>207.35</v>
      </c>
      <c r="R1375" s="24">
        <f>O1375-Q1375</f>
        <v>199.07999999999996</v>
      </c>
      <c r="S1375" s="53">
        <f>IF(O1375&lt;&gt;0,R1375/O1375,"")</f>
        <v>0.48982604630563686</v>
      </c>
      <c r="T1375" s="10"/>
      <c r="U1375" s="23">
        <v>406.42999999999995</v>
      </c>
      <c r="V1375" s="25">
        <v>144</v>
      </c>
      <c r="W1375" s="24">
        <v>207.35</v>
      </c>
      <c r="X1375" s="24">
        <f>U1375-W1375</f>
        <v>199.07999999999996</v>
      </c>
      <c r="Y1375" s="53">
        <f>IF(U1375&lt;&gt;0,X1375/U1375,"")</f>
        <v>0.48982604630563686</v>
      </c>
      <c r="Z1375" s="23">
        <v>0</v>
      </c>
      <c r="AA1375" s="25">
        <v>0</v>
      </c>
      <c r="AB1375" s="24">
        <v>0</v>
      </c>
      <c r="AC1375" s="24">
        <f t="shared" si="422"/>
        <v>0</v>
      </c>
      <c r="AD1375" s="53" t="str">
        <f t="shared" si="423"/>
        <v/>
      </c>
      <c r="AE1375" s="10"/>
    </row>
    <row r="1376" spans="1:31" x14ac:dyDescent="0.25">
      <c r="A1376" s="14" t="s">
        <v>109</v>
      </c>
      <c r="C1376" s="61" t="str">
        <f t="shared" si="421"/>
        <v>C100089</v>
      </c>
      <c r="F1376" s="8" t="str">
        <f>"E100022"</f>
        <v>E100022</v>
      </c>
      <c r="G1376" s="9" t="str">
        <f>"Wide Screen Alarm Clock"</f>
        <v>Wide Screen Alarm Clock</v>
      </c>
      <c r="H1376" s="47"/>
      <c r="I1376" s="47"/>
      <c r="J1376" s="23">
        <v>0</v>
      </c>
      <c r="K1376" s="25">
        <v>0</v>
      </c>
      <c r="L1376" s="24">
        <v>0</v>
      </c>
      <c r="M1376" s="24">
        <f>J1376-L1376</f>
        <v>0</v>
      </c>
      <c r="N1376" s="53" t="str">
        <f>IF(J1376&lt;&gt;0,M1376/J1376,"")</f>
        <v/>
      </c>
      <c r="O1376" s="23">
        <v>544.72</v>
      </c>
      <c r="P1376" s="25">
        <v>288</v>
      </c>
      <c r="Q1376" s="24">
        <v>368.61</v>
      </c>
      <c r="R1376" s="24">
        <f>O1376-Q1376</f>
        <v>176.11</v>
      </c>
      <c r="S1376" s="53">
        <f>IF(O1376&lt;&gt;0,R1376/O1376,"")</f>
        <v>0.3233037156704362</v>
      </c>
      <c r="T1376" s="10"/>
      <c r="U1376" s="23">
        <v>0</v>
      </c>
      <c r="V1376" s="25">
        <v>0</v>
      </c>
      <c r="W1376" s="24">
        <v>0</v>
      </c>
      <c r="X1376" s="24">
        <f>U1376-W1376</f>
        <v>0</v>
      </c>
      <c r="Y1376" s="53" t="str">
        <f>IF(U1376&lt;&gt;0,X1376/U1376,"")</f>
        <v/>
      </c>
      <c r="Z1376" s="23">
        <v>0</v>
      </c>
      <c r="AA1376" s="25">
        <v>0</v>
      </c>
      <c r="AB1376" s="24">
        <v>0</v>
      </c>
      <c r="AC1376" s="24">
        <f t="shared" si="422"/>
        <v>0</v>
      </c>
      <c r="AD1376" s="53" t="str">
        <f t="shared" si="423"/>
        <v/>
      </c>
      <c r="AE1376" s="10"/>
    </row>
    <row r="1377" spans="1:31" x14ac:dyDescent="0.25">
      <c r="A1377" s="14" t="s">
        <v>109</v>
      </c>
      <c r="C1377" s="61" t="str">
        <f t="shared" si="421"/>
        <v>C100089</v>
      </c>
      <c r="F1377" s="8" t="str">
        <f>"E100024"</f>
        <v>E100024</v>
      </c>
      <c r="G1377" s="9" t="str">
        <f>"Arch Calculator"</f>
        <v>Arch Calculator</v>
      </c>
      <c r="H1377" s="47"/>
      <c r="I1377" s="47"/>
      <c r="J1377" s="23">
        <v>0</v>
      </c>
      <c r="K1377" s="25">
        <v>0</v>
      </c>
      <c r="L1377" s="24">
        <v>0</v>
      </c>
      <c r="M1377" s="24">
        <f>J1377-L1377</f>
        <v>0</v>
      </c>
      <c r="N1377" s="53" t="str">
        <f>IF(J1377&lt;&gt;0,M1377/J1377,"")</f>
        <v/>
      </c>
      <c r="O1377" s="23">
        <v>3.12</v>
      </c>
      <c r="P1377" s="25">
        <v>1</v>
      </c>
      <c r="Q1377" s="24">
        <v>1.72</v>
      </c>
      <c r="R1377" s="24">
        <f>O1377-Q1377</f>
        <v>1.4000000000000001</v>
      </c>
      <c r="S1377" s="53">
        <f>IF(O1377&lt;&gt;0,R1377/O1377,"")</f>
        <v>0.44871794871794873</v>
      </c>
      <c r="T1377" s="10"/>
      <c r="U1377" s="23">
        <v>0</v>
      </c>
      <c r="V1377" s="25">
        <v>0</v>
      </c>
      <c r="W1377" s="24">
        <v>0</v>
      </c>
      <c r="X1377" s="24">
        <f>U1377-W1377</f>
        <v>0</v>
      </c>
      <c r="Y1377" s="53" t="str">
        <f>IF(U1377&lt;&gt;0,X1377/U1377,"")</f>
        <v/>
      </c>
      <c r="Z1377" s="23">
        <v>0</v>
      </c>
      <c r="AA1377" s="25">
        <v>0</v>
      </c>
      <c r="AB1377" s="24">
        <v>0</v>
      </c>
      <c r="AC1377" s="24">
        <f t="shared" si="422"/>
        <v>0</v>
      </c>
      <c r="AD1377" s="53" t="str">
        <f t="shared" si="423"/>
        <v/>
      </c>
      <c r="AE1377" s="10"/>
    </row>
    <row r="1378" spans="1:31" x14ac:dyDescent="0.25">
      <c r="A1378" s="14" t="s">
        <v>109</v>
      </c>
      <c r="C1378" s="61" t="str">
        <f t="shared" si="421"/>
        <v>C100089</v>
      </c>
      <c r="F1378" s="8" t="str">
        <f>"E100027"</f>
        <v>E100027</v>
      </c>
      <c r="G1378" s="9" t="str">
        <f>"Ergo-Calculator"</f>
        <v>Ergo-Calculator</v>
      </c>
      <c r="H1378" s="47"/>
      <c r="I1378" s="47"/>
      <c r="J1378" s="23">
        <v>0</v>
      </c>
      <c r="K1378" s="25">
        <v>0</v>
      </c>
      <c r="L1378" s="24">
        <v>0</v>
      </c>
      <c r="M1378" s="24">
        <f>J1378-L1378</f>
        <v>0</v>
      </c>
      <c r="N1378" s="53" t="str">
        <f>IF(J1378&lt;&gt;0,M1378/J1378,"")</f>
        <v/>
      </c>
      <c r="O1378" s="23">
        <v>341.51</v>
      </c>
      <c r="P1378" s="25">
        <v>144</v>
      </c>
      <c r="Q1378" s="24">
        <v>184.35</v>
      </c>
      <c r="R1378" s="24">
        <f>O1378-Q1378</f>
        <v>157.16</v>
      </c>
      <c r="S1378" s="53">
        <f>IF(O1378&lt;&gt;0,R1378/O1378,"")</f>
        <v>0.46019150244502355</v>
      </c>
      <c r="T1378" s="10"/>
      <c r="U1378" s="23">
        <v>0</v>
      </c>
      <c r="V1378" s="25">
        <v>0</v>
      </c>
      <c r="W1378" s="24">
        <v>0</v>
      </c>
      <c r="X1378" s="24">
        <f>U1378-W1378</f>
        <v>0</v>
      </c>
      <c r="Y1378" s="53" t="str">
        <f>IF(U1378&lt;&gt;0,X1378/U1378,"")</f>
        <v/>
      </c>
      <c r="Z1378" s="23">
        <v>0</v>
      </c>
      <c r="AA1378" s="25">
        <v>0</v>
      </c>
      <c r="AB1378" s="24">
        <v>0</v>
      </c>
      <c r="AC1378" s="24">
        <f t="shared" si="422"/>
        <v>0</v>
      </c>
      <c r="AD1378" s="53" t="str">
        <f t="shared" si="423"/>
        <v/>
      </c>
      <c r="AE1378" s="10"/>
    </row>
    <row r="1379" spans="1:31" x14ac:dyDescent="0.25">
      <c r="A1379" s="14" t="s">
        <v>109</v>
      </c>
      <c r="C1379" s="61" t="str">
        <f t="shared" si="421"/>
        <v>C100089</v>
      </c>
      <c r="F1379" s="8" t="str">
        <f>"E100032"</f>
        <v>E100032</v>
      </c>
      <c r="G1379" s="9" t="str">
        <f>"Button Key-Light"</f>
        <v>Button Key-Light</v>
      </c>
      <c r="H1379" s="47"/>
      <c r="I1379" s="47"/>
      <c r="J1379" s="23">
        <v>0</v>
      </c>
      <c r="K1379" s="25">
        <v>0</v>
      </c>
      <c r="L1379" s="24">
        <v>0</v>
      </c>
      <c r="M1379" s="24">
        <f>J1379-L1379</f>
        <v>0</v>
      </c>
      <c r="N1379" s="53" t="str">
        <f>IF(J1379&lt;&gt;0,M1379/J1379,"")</f>
        <v/>
      </c>
      <c r="O1379" s="23">
        <v>71.97</v>
      </c>
      <c r="P1379" s="25">
        <v>144</v>
      </c>
      <c r="Q1379" s="24">
        <v>47.529999999999994</v>
      </c>
      <c r="R1379" s="24">
        <f>O1379-Q1379</f>
        <v>24.440000000000005</v>
      </c>
      <c r="S1379" s="53">
        <f>IF(O1379&lt;&gt;0,R1379/O1379,"")</f>
        <v>0.33958593858552183</v>
      </c>
      <c r="T1379" s="10"/>
      <c r="U1379" s="23">
        <v>0.5</v>
      </c>
      <c r="V1379" s="25">
        <v>1</v>
      </c>
      <c r="W1379" s="24">
        <v>0.33</v>
      </c>
      <c r="X1379" s="24">
        <f>U1379-W1379</f>
        <v>0.16999999999999998</v>
      </c>
      <c r="Y1379" s="53">
        <f>IF(U1379&lt;&gt;0,X1379/U1379,"")</f>
        <v>0.33999999999999997</v>
      </c>
      <c r="Z1379" s="23">
        <v>0</v>
      </c>
      <c r="AA1379" s="25">
        <v>0</v>
      </c>
      <c r="AB1379" s="24">
        <v>0</v>
      </c>
      <c r="AC1379" s="24">
        <f t="shared" si="422"/>
        <v>0</v>
      </c>
      <c r="AD1379" s="53" t="str">
        <f t="shared" si="423"/>
        <v/>
      </c>
      <c r="AE1379" s="10"/>
    </row>
    <row r="1380" spans="1:31" x14ac:dyDescent="0.25">
      <c r="A1380" s="14" t="s">
        <v>109</v>
      </c>
      <c r="C1380" s="61" t="str">
        <f t="shared" si="421"/>
        <v>C100089</v>
      </c>
      <c r="F1380" s="8" t="str">
        <f>"E100034"</f>
        <v>E100034</v>
      </c>
      <c r="G1380" s="9" t="str">
        <f>"Bamboo 1GB USB Flash Drive"</f>
        <v>Bamboo 1GB USB Flash Drive</v>
      </c>
      <c r="H1380" s="47"/>
      <c r="I1380" s="47"/>
      <c r="J1380" s="23">
        <v>0</v>
      </c>
      <c r="K1380" s="25">
        <v>0</v>
      </c>
      <c r="L1380" s="24">
        <v>0</v>
      </c>
      <c r="M1380" s="24">
        <f>J1380-L1380</f>
        <v>0</v>
      </c>
      <c r="N1380" s="53" t="str">
        <f>IF(J1380&lt;&gt;0,M1380/J1380,"")</f>
        <v/>
      </c>
      <c r="O1380" s="23">
        <v>819.91000000000008</v>
      </c>
      <c r="P1380" s="25">
        <v>144</v>
      </c>
      <c r="Q1380" s="24">
        <v>388.83</v>
      </c>
      <c r="R1380" s="24">
        <f>O1380-Q1380</f>
        <v>431.0800000000001</v>
      </c>
      <c r="S1380" s="53">
        <f>IF(O1380&lt;&gt;0,R1380/O1380,"")</f>
        <v>0.52576502299032823</v>
      </c>
      <c r="T1380" s="10"/>
      <c r="U1380" s="23">
        <v>819.91000000000008</v>
      </c>
      <c r="V1380" s="25">
        <v>144</v>
      </c>
      <c r="W1380" s="24">
        <v>388.83</v>
      </c>
      <c r="X1380" s="24">
        <f>U1380-W1380</f>
        <v>431.0800000000001</v>
      </c>
      <c r="Y1380" s="53">
        <f>IF(U1380&lt;&gt;0,X1380/U1380,"")</f>
        <v>0.52576502299032823</v>
      </c>
      <c r="Z1380" s="23">
        <v>0</v>
      </c>
      <c r="AA1380" s="25">
        <v>0</v>
      </c>
      <c r="AB1380" s="24">
        <v>0</v>
      </c>
      <c r="AC1380" s="24">
        <f t="shared" si="422"/>
        <v>0</v>
      </c>
      <c r="AD1380" s="53" t="str">
        <f t="shared" si="423"/>
        <v/>
      </c>
      <c r="AE1380" s="10"/>
    </row>
    <row r="1381" spans="1:31" x14ac:dyDescent="0.25">
      <c r="A1381" s="14" t="s">
        <v>109</v>
      </c>
      <c r="C1381" s="61" t="str">
        <f t="shared" si="421"/>
        <v>C100089</v>
      </c>
      <c r="F1381" s="8" t="str">
        <f>"E100038"</f>
        <v>E100038</v>
      </c>
      <c r="G1381" s="9" t="str">
        <f>"1GB USB Flash Drive Pen"</f>
        <v>1GB USB Flash Drive Pen</v>
      </c>
      <c r="H1381" s="47"/>
      <c r="I1381" s="47"/>
      <c r="J1381" s="23">
        <v>0</v>
      </c>
      <c r="K1381" s="25">
        <v>0</v>
      </c>
      <c r="L1381" s="24">
        <v>0</v>
      </c>
      <c r="M1381" s="24">
        <f>J1381-L1381</f>
        <v>0</v>
      </c>
      <c r="N1381" s="53" t="str">
        <f>IF(J1381&lt;&gt;0,M1381/J1381,"")</f>
        <v/>
      </c>
      <c r="O1381" s="23">
        <v>804.38</v>
      </c>
      <c r="P1381" s="25">
        <v>144</v>
      </c>
      <c r="Q1381" s="24">
        <v>427.72999999999996</v>
      </c>
      <c r="R1381" s="24">
        <f>O1381-Q1381</f>
        <v>376.65000000000003</v>
      </c>
      <c r="S1381" s="53">
        <f>IF(O1381&lt;&gt;0,R1381/O1381,"")</f>
        <v>0.46824883761406305</v>
      </c>
      <c r="T1381" s="10"/>
      <c r="U1381" s="23">
        <v>0</v>
      </c>
      <c r="V1381" s="25">
        <v>0</v>
      </c>
      <c r="W1381" s="24">
        <v>0</v>
      </c>
      <c r="X1381" s="24">
        <f>U1381-W1381</f>
        <v>0</v>
      </c>
      <c r="Y1381" s="53" t="str">
        <f>IF(U1381&lt;&gt;0,X1381/U1381,"")</f>
        <v/>
      </c>
      <c r="Z1381" s="23">
        <v>0</v>
      </c>
      <c r="AA1381" s="25">
        <v>0</v>
      </c>
      <c r="AB1381" s="24">
        <v>0</v>
      </c>
      <c r="AC1381" s="24">
        <f t="shared" si="422"/>
        <v>0</v>
      </c>
      <c r="AD1381" s="53" t="str">
        <f t="shared" si="423"/>
        <v/>
      </c>
      <c r="AE1381" s="10"/>
    </row>
    <row r="1382" spans="1:31" x14ac:dyDescent="0.25">
      <c r="A1382" s="14" t="s">
        <v>109</v>
      </c>
      <c r="C1382" s="61" t="str">
        <f t="shared" si="421"/>
        <v>C100089</v>
      </c>
      <c r="F1382" s="8" t="str">
        <f>"E100040"</f>
        <v>E100040</v>
      </c>
      <c r="G1382" s="9" t="str">
        <f>"Wave Mug"</f>
        <v>Wave Mug</v>
      </c>
      <c r="H1382" s="47"/>
      <c r="I1382" s="47"/>
      <c r="J1382" s="23">
        <v>0</v>
      </c>
      <c r="K1382" s="25">
        <v>0</v>
      </c>
      <c r="L1382" s="24">
        <v>0</v>
      </c>
      <c r="M1382" s="24">
        <f>J1382-L1382</f>
        <v>0</v>
      </c>
      <c r="N1382" s="53" t="str">
        <f>IF(J1382&lt;&gt;0,M1382/J1382,"")</f>
        <v/>
      </c>
      <c r="O1382" s="23">
        <v>79.5</v>
      </c>
      <c r="P1382" s="25">
        <v>48</v>
      </c>
      <c r="Q1382" s="24">
        <v>53.79</v>
      </c>
      <c r="R1382" s="24">
        <f>O1382-Q1382</f>
        <v>25.71</v>
      </c>
      <c r="S1382" s="53">
        <f>IF(O1382&lt;&gt;0,R1382/O1382,"")</f>
        <v>0.32339622641509436</v>
      </c>
      <c r="T1382" s="10"/>
      <c r="U1382" s="23">
        <v>1.66</v>
      </c>
      <c r="V1382" s="25">
        <v>1</v>
      </c>
      <c r="W1382" s="24">
        <v>1.1200000000000001</v>
      </c>
      <c r="X1382" s="24">
        <f>U1382-W1382</f>
        <v>0.53999999999999981</v>
      </c>
      <c r="Y1382" s="53">
        <f>IF(U1382&lt;&gt;0,X1382/U1382,"")</f>
        <v>0.32530120481927699</v>
      </c>
      <c r="Z1382" s="23">
        <v>0</v>
      </c>
      <c r="AA1382" s="25">
        <v>0</v>
      </c>
      <c r="AB1382" s="24">
        <v>0</v>
      </c>
      <c r="AC1382" s="24">
        <f t="shared" si="422"/>
        <v>0</v>
      </c>
      <c r="AD1382" s="53" t="str">
        <f t="shared" si="423"/>
        <v/>
      </c>
      <c r="AE1382" s="10"/>
    </row>
    <row r="1383" spans="1:31" x14ac:dyDescent="0.25">
      <c r="A1383" s="14" t="s">
        <v>109</v>
      </c>
      <c r="C1383" s="61" t="str">
        <f t="shared" si="421"/>
        <v>C100089</v>
      </c>
      <c r="F1383" s="8" t="str">
        <f>"E100042"</f>
        <v>E100042</v>
      </c>
      <c r="G1383" s="9" t="str">
        <f>"Soft Touch Travel Mug"</f>
        <v>Soft Touch Travel Mug</v>
      </c>
      <c r="H1383" s="47"/>
      <c r="I1383" s="47"/>
      <c r="J1383" s="23">
        <v>0</v>
      </c>
      <c r="K1383" s="25">
        <v>0</v>
      </c>
      <c r="L1383" s="24">
        <v>0</v>
      </c>
      <c r="M1383" s="24">
        <f>J1383-L1383</f>
        <v>0</v>
      </c>
      <c r="N1383" s="53" t="str">
        <f>IF(J1383&lt;&gt;0,M1383/J1383,"")</f>
        <v/>
      </c>
      <c r="O1383" s="23">
        <v>22.76</v>
      </c>
      <c r="P1383" s="25">
        <v>6</v>
      </c>
      <c r="Q1383" s="24">
        <v>12.9</v>
      </c>
      <c r="R1383" s="24">
        <f>O1383-Q1383</f>
        <v>9.8600000000000012</v>
      </c>
      <c r="S1383" s="53">
        <f>IF(O1383&lt;&gt;0,R1383/O1383,"")</f>
        <v>0.43321616871704749</v>
      </c>
      <c r="T1383" s="10"/>
      <c r="U1383" s="23">
        <v>546.13</v>
      </c>
      <c r="V1383" s="25">
        <v>144</v>
      </c>
      <c r="W1383" s="24">
        <v>309.68</v>
      </c>
      <c r="X1383" s="24">
        <f>U1383-W1383</f>
        <v>236.45</v>
      </c>
      <c r="Y1383" s="53">
        <f>IF(U1383&lt;&gt;0,X1383/U1383,"")</f>
        <v>0.43295552341017707</v>
      </c>
      <c r="Z1383" s="23">
        <v>0</v>
      </c>
      <c r="AA1383" s="25">
        <v>0</v>
      </c>
      <c r="AB1383" s="24">
        <v>0</v>
      </c>
      <c r="AC1383" s="24">
        <f t="shared" si="422"/>
        <v>0</v>
      </c>
      <c r="AD1383" s="53" t="str">
        <f t="shared" si="423"/>
        <v/>
      </c>
      <c r="AE1383" s="10"/>
    </row>
    <row r="1384" spans="1:31" x14ac:dyDescent="0.25">
      <c r="A1384" s="14" t="s">
        <v>109</v>
      </c>
      <c r="C1384" s="61" t="str">
        <f t="shared" si="421"/>
        <v>C100089</v>
      </c>
      <c r="F1384" s="8" t="str">
        <f>"E100045"</f>
        <v>E100045</v>
      </c>
      <c r="G1384" s="9" t="str">
        <f>"Flute"</f>
        <v>Flute</v>
      </c>
      <c r="H1384" s="47"/>
      <c r="I1384" s="47"/>
      <c r="J1384" s="23">
        <v>0</v>
      </c>
      <c r="K1384" s="25">
        <v>0</v>
      </c>
      <c r="L1384" s="24">
        <v>0</v>
      </c>
      <c r="M1384" s="24">
        <f>J1384-L1384</f>
        <v>0</v>
      </c>
      <c r="N1384" s="53" t="str">
        <f>IF(J1384&lt;&gt;0,M1384/J1384,"")</f>
        <v/>
      </c>
      <c r="O1384" s="23">
        <v>46.57</v>
      </c>
      <c r="P1384" s="25">
        <v>48</v>
      </c>
      <c r="Q1384" s="24">
        <v>29.769999999999996</v>
      </c>
      <c r="R1384" s="24">
        <f>O1384-Q1384</f>
        <v>16.800000000000004</v>
      </c>
      <c r="S1384" s="53">
        <f>IF(O1384&lt;&gt;0,R1384/O1384,"")</f>
        <v>0.36074726218595671</v>
      </c>
      <c r="T1384" s="10"/>
      <c r="U1384" s="23">
        <v>0</v>
      </c>
      <c r="V1384" s="25">
        <v>0</v>
      </c>
      <c r="W1384" s="24">
        <v>0</v>
      </c>
      <c r="X1384" s="24">
        <f>U1384-W1384</f>
        <v>0</v>
      </c>
      <c r="Y1384" s="53" t="str">
        <f>IF(U1384&lt;&gt;0,X1384/U1384,"")</f>
        <v/>
      </c>
      <c r="Z1384" s="23">
        <v>0</v>
      </c>
      <c r="AA1384" s="25">
        <v>0</v>
      </c>
      <c r="AB1384" s="24">
        <v>0</v>
      </c>
      <c r="AC1384" s="24">
        <f t="shared" si="422"/>
        <v>0</v>
      </c>
      <c r="AD1384" s="53" t="str">
        <f t="shared" si="423"/>
        <v/>
      </c>
      <c r="AE1384" s="10"/>
    </row>
    <row r="1385" spans="1:31" x14ac:dyDescent="0.25">
      <c r="A1385" s="14" t="s">
        <v>109</v>
      </c>
      <c r="C1385" s="61" t="str">
        <f t="shared" si="421"/>
        <v>C100089</v>
      </c>
      <c r="F1385" s="8" t="str">
        <f>"E100047"</f>
        <v>E100047</v>
      </c>
      <c r="G1385" s="9" t="str">
        <f>"Chardonnay Glass"</f>
        <v>Chardonnay Glass</v>
      </c>
      <c r="H1385" s="47"/>
      <c r="I1385" s="47"/>
      <c r="J1385" s="23">
        <v>0</v>
      </c>
      <c r="K1385" s="25">
        <v>0</v>
      </c>
      <c r="L1385" s="24">
        <v>0</v>
      </c>
      <c r="M1385" s="24">
        <f>J1385-L1385</f>
        <v>0</v>
      </c>
      <c r="N1385" s="53" t="str">
        <f>IF(J1385&lt;&gt;0,M1385/J1385,"")</f>
        <v/>
      </c>
      <c r="O1385" s="23">
        <v>508.03000000000003</v>
      </c>
      <c r="P1385" s="25">
        <v>288</v>
      </c>
      <c r="Q1385" s="24">
        <v>302.39999999999998</v>
      </c>
      <c r="R1385" s="24">
        <f>O1385-Q1385</f>
        <v>205.63000000000005</v>
      </c>
      <c r="S1385" s="53">
        <f>IF(O1385&lt;&gt;0,R1385/O1385,"")</f>
        <v>0.40475956144322195</v>
      </c>
      <c r="T1385" s="10"/>
      <c r="U1385" s="23">
        <v>0</v>
      </c>
      <c r="V1385" s="25">
        <v>0</v>
      </c>
      <c r="W1385" s="24">
        <v>0</v>
      </c>
      <c r="X1385" s="24">
        <f>U1385-W1385</f>
        <v>0</v>
      </c>
      <c r="Y1385" s="53" t="str">
        <f>IF(U1385&lt;&gt;0,X1385/U1385,"")</f>
        <v/>
      </c>
      <c r="Z1385" s="23">
        <v>0</v>
      </c>
      <c r="AA1385" s="25">
        <v>0</v>
      </c>
      <c r="AB1385" s="24">
        <v>0</v>
      </c>
      <c r="AC1385" s="24">
        <f t="shared" si="422"/>
        <v>0</v>
      </c>
      <c r="AD1385" s="53" t="str">
        <f t="shared" si="423"/>
        <v/>
      </c>
      <c r="AE1385" s="10"/>
    </row>
    <row r="1386" spans="1:31" x14ac:dyDescent="0.25">
      <c r="A1386" s="14" t="s">
        <v>109</v>
      </c>
      <c r="C1386" s="61" t="str">
        <f t="shared" si="421"/>
        <v>C100089</v>
      </c>
      <c r="F1386" s="8" t="str">
        <f>"S100011"</f>
        <v>S100011</v>
      </c>
      <c r="G1386" s="9" t="str">
        <f>"All Star Cap"</f>
        <v>All Star Cap</v>
      </c>
      <c r="H1386" s="47"/>
      <c r="I1386" s="47"/>
      <c r="J1386" s="23">
        <v>0</v>
      </c>
      <c r="K1386" s="25">
        <v>0</v>
      </c>
      <c r="L1386" s="24">
        <v>0</v>
      </c>
      <c r="M1386" s="24">
        <f>J1386-L1386</f>
        <v>0</v>
      </c>
      <c r="N1386" s="53" t="str">
        <f>IF(J1386&lt;&gt;0,M1386/J1386,"")</f>
        <v/>
      </c>
      <c r="O1386" s="23">
        <v>1.42</v>
      </c>
      <c r="P1386" s="25">
        <v>1</v>
      </c>
      <c r="Q1386" s="24">
        <v>0.85</v>
      </c>
      <c r="R1386" s="24">
        <f>O1386-Q1386</f>
        <v>0.56999999999999995</v>
      </c>
      <c r="S1386" s="53">
        <f>IF(O1386&lt;&gt;0,R1386/O1386,"")</f>
        <v>0.40140845070422532</v>
      </c>
      <c r="T1386" s="10"/>
      <c r="U1386" s="23">
        <v>0</v>
      </c>
      <c r="V1386" s="25">
        <v>0</v>
      </c>
      <c r="W1386" s="24">
        <v>0</v>
      </c>
      <c r="X1386" s="24">
        <f>U1386-W1386</f>
        <v>0</v>
      </c>
      <c r="Y1386" s="53" t="str">
        <f>IF(U1386&lt;&gt;0,X1386/U1386,"")</f>
        <v/>
      </c>
      <c r="Z1386" s="23">
        <v>0</v>
      </c>
      <c r="AA1386" s="25">
        <v>0</v>
      </c>
      <c r="AB1386" s="24">
        <v>0</v>
      </c>
      <c r="AC1386" s="24">
        <f t="shared" si="422"/>
        <v>0</v>
      </c>
      <c r="AD1386" s="53" t="str">
        <f t="shared" si="423"/>
        <v/>
      </c>
      <c r="AE1386" s="10"/>
    </row>
    <row r="1387" spans="1:31" x14ac:dyDescent="0.25">
      <c r="A1387" s="14" t="s">
        <v>109</v>
      </c>
      <c r="C1387" s="61" t="str">
        <f t="shared" si="421"/>
        <v>C100089</v>
      </c>
      <c r="F1387" s="8" t="str">
        <f>"S100020"</f>
        <v>S100020</v>
      </c>
      <c r="G1387" s="9" t="str">
        <f>"Super Sport Stopwatch"</f>
        <v>Super Sport Stopwatch</v>
      </c>
      <c r="H1387" s="47"/>
      <c r="I1387" s="47"/>
      <c r="J1387" s="23">
        <v>0</v>
      </c>
      <c r="K1387" s="25">
        <v>0</v>
      </c>
      <c r="L1387" s="24">
        <v>0</v>
      </c>
      <c r="M1387" s="24">
        <f>J1387-L1387</f>
        <v>0</v>
      </c>
      <c r="N1387" s="53" t="str">
        <f>IF(J1387&lt;&gt;0,M1387/J1387,"")</f>
        <v/>
      </c>
      <c r="O1387" s="23">
        <v>51.27</v>
      </c>
      <c r="P1387" s="25">
        <v>24</v>
      </c>
      <c r="Q1387" s="24">
        <v>25.2</v>
      </c>
      <c r="R1387" s="24">
        <f>O1387-Q1387</f>
        <v>26.070000000000004</v>
      </c>
      <c r="S1387" s="53">
        <f>IF(O1387&lt;&gt;0,R1387/O1387,"")</f>
        <v>0.50848449385605621</v>
      </c>
      <c r="T1387" s="10"/>
      <c r="U1387" s="23">
        <v>615.28</v>
      </c>
      <c r="V1387" s="25">
        <v>288</v>
      </c>
      <c r="W1387" s="24">
        <v>302.39999999999998</v>
      </c>
      <c r="X1387" s="24">
        <f>U1387-W1387</f>
        <v>312.88</v>
      </c>
      <c r="Y1387" s="53">
        <f>IF(U1387&lt;&gt;0,X1387/U1387,"")</f>
        <v>0.50851644779612537</v>
      </c>
      <c r="Z1387" s="23">
        <v>0</v>
      </c>
      <c r="AA1387" s="25">
        <v>0</v>
      </c>
      <c r="AB1387" s="24">
        <v>0</v>
      </c>
      <c r="AC1387" s="24">
        <f t="shared" si="422"/>
        <v>0</v>
      </c>
      <c r="AD1387" s="53" t="str">
        <f t="shared" si="423"/>
        <v/>
      </c>
      <c r="AE1387" s="10"/>
    </row>
    <row r="1388" spans="1:31" x14ac:dyDescent="0.25">
      <c r="A1388" s="14" t="s">
        <v>109</v>
      </c>
      <c r="C1388" s="61" t="str">
        <f t="shared" si="421"/>
        <v>C100089</v>
      </c>
      <c r="F1388" s="8" t="str">
        <f>"S100023"</f>
        <v>S100023</v>
      </c>
      <c r="G1388" s="9" t="str">
        <f>"Gripper SPORT BOT"</f>
        <v>Gripper SPORT BOT</v>
      </c>
      <c r="H1388" s="47"/>
      <c r="I1388" s="47"/>
      <c r="J1388" s="23">
        <v>0</v>
      </c>
      <c r="K1388" s="25">
        <v>0</v>
      </c>
      <c r="L1388" s="24">
        <v>0</v>
      </c>
      <c r="M1388" s="24">
        <f>J1388-L1388</f>
        <v>0</v>
      </c>
      <c r="N1388" s="53" t="str">
        <f>IF(J1388&lt;&gt;0,M1388/J1388,"")</f>
        <v/>
      </c>
      <c r="O1388" s="23">
        <v>280.83000000000004</v>
      </c>
      <c r="P1388" s="25">
        <v>144</v>
      </c>
      <c r="Q1388" s="24">
        <v>142.57999999999998</v>
      </c>
      <c r="R1388" s="24">
        <f>O1388-Q1388</f>
        <v>138.25000000000006</v>
      </c>
      <c r="S1388" s="53">
        <f>IF(O1388&lt;&gt;0,R1388/O1388,"")</f>
        <v>0.49229070968201416</v>
      </c>
      <c r="T1388" s="10"/>
      <c r="U1388" s="23">
        <v>93.61</v>
      </c>
      <c r="V1388" s="25">
        <v>48</v>
      </c>
      <c r="W1388" s="24">
        <v>47.529999999999994</v>
      </c>
      <c r="X1388" s="24">
        <f>U1388-W1388</f>
        <v>46.080000000000005</v>
      </c>
      <c r="Y1388" s="53">
        <f>IF(U1388&lt;&gt;0,X1388/U1388,"")</f>
        <v>0.4922551009507532</v>
      </c>
      <c r="Z1388" s="23">
        <v>0</v>
      </c>
      <c r="AA1388" s="25">
        <v>0</v>
      </c>
      <c r="AB1388" s="24">
        <v>0</v>
      </c>
      <c r="AC1388" s="24">
        <f t="shared" si="422"/>
        <v>0</v>
      </c>
      <c r="AD1388" s="53" t="str">
        <f t="shared" si="423"/>
        <v/>
      </c>
      <c r="AE1388" s="10"/>
    </row>
    <row r="1389" spans="1:31" x14ac:dyDescent="0.25">
      <c r="A1389" s="14" t="s">
        <v>109</v>
      </c>
      <c r="C1389" s="61" t="str">
        <f t="shared" si="421"/>
        <v>C100089</v>
      </c>
      <c r="F1389" s="8" t="str">
        <f>"S100024"</f>
        <v>S100024</v>
      </c>
      <c r="G1389" s="9" t="str">
        <f>"Aluminum SPORT BOT"</f>
        <v>Aluminum SPORT BOT</v>
      </c>
      <c r="H1389" s="47"/>
      <c r="I1389" s="47"/>
      <c r="J1389" s="23">
        <v>-83.03</v>
      </c>
      <c r="K1389" s="25">
        <v>-24</v>
      </c>
      <c r="L1389" s="24">
        <v>-50.4</v>
      </c>
      <c r="M1389" s="24">
        <f>J1389-L1389</f>
        <v>-32.630000000000003</v>
      </c>
      <c r="N1389" s="53">
        <f>IF(J1389&lt;&gt;0,M1389/J1389,"")</f>
        <v>0.39299048536673492</v>
      </c>
      <c r="O1389" s="23">
        <v>0</v>
      </c>
      <c r="P1389" s="25">
        <v>0</v>
      </c>
      <c r="Q1389" s="24">
        <v>0</v>
      </c>
      <c r="R1389" s="24">
        <f>O1389-Q1389</f>
        <v>0</v>
      </c>
      <c r="S1389" s="53" t="str">
        <f>IF(O1389&lt;&gt;0,R1389/O1389,"")</f>
        <v/>
      </c>
      <c r="T1389" s="10"/>
      <c r="U1389" s="23">
        <v>498.15</v>
      </c>
      <c r="V1389" s="25">
        <v>144</v>
      </c>
      <c r="W1389" s="24">
        <v>302.39999999999998</v>
      </c>
      <c r="X1389" s="24">
        <f>U1389-W1389</f>
        <v>195.75</v>
      </c>
      <c r="Y1389" s="53">
        <f>IF(U1389&lt;&gt;0,X1389/U1389,"")</f>
        <v>0.39295392953929542</v>
      </c>
      <c r="Z1389" s="23">
        <v>0</v>
      </c>
      <c r="AA1389" s="25">
        <v>0</v>
      </c>
      <c r="AB1389" s="24">
        <v>0</v>
      </c>
      <c r="AC1389" s="24">
        <f t="shared" si="422"/>
        <v>0</v>
      </c>
      <c r="AD1389" s="53" t="str">
        <f t="shared" si="423"/>
        <v/>
      </c>
      <c r="AE1389" s="10"/>
    </row>
    <row r="1390" spans="1:31" ht="15.75" thickBot="1" x14ac:dyDescent="0.3">
      <c r="A1390" s="14" t="s">
        <v>109</v>
      </c>
      <c r="C1390" s="61" t="str">
        <f>C1362</f>
        <v>C100089</v>
      </c>
      <c r="J1390" s="10"/>
      <c r="K1390" s="11"/>
      <c r="L1390" s="11"/>
      <c r="M1390" s="11"/>
      <c r="N1390" s="12"/>
      <c r="O1390" s="10"/>
      <c r="P1390" s="11"/>
      <c r="Q1390" s="11"/>
      <c r="R1390" s="11"/>
      <c r="S1390" s="12"/>
      <c r="U1390" s="10"/>
      <c r="V1390" s="11"/>
      <c r="W1390" s="11"/>
      <c r="X1390" s="11"/>
      <c r="Y1390" s="12"/>
      <c r="Z1390" s="10"/>
      <c r="AA1390" s="11"/>
      <c r="AB1390" s="11"/>
      <c r="AC1390" s="11"/>
      <c r="AD1390" s="12"/>
    </row>
    <row r="1391" spans="1:31" ht="15.75" thickBot="1" x14ac:dyDescent="0.3">
      <c r="A1391" s="14" t="s">
        <v>109</v>
      </c>
      <c r="C1391" s="61" t="str">
        <f t="shared" si="418"/>
        <v>C100089</v>
      </c>
      <c r="G1391" s="48" t="str">
        <f>C1391&amp;" TOTAL:"</f>
        <v>C100089 TOTAL:</v>
      </c>
      <c r="H1391" s="50"/>
      <c r="I1391" s="50"/>
      <c r="J1391" s="34">
        <f>SUBTOTAL(9,J1361:J1390)</f>
        <v>-101.91</v>
      </c>
      <c r="K1391" s="35">
        <f>SUBTOTAL(9,K1361:K1390)</f>
        <v>-38</v>
      </c>
      <c r="L1391" s="36">
        <f>SUBTOTAL(9,L1361:L1390)</f>
        <v>-61.26</v>
      </c>
      <c r="M1391" s="36">
        <f>J1391-L1391</f>
        <v>-40.65</v>
      </c>
      <c r="N1391" s="37">
        <f>IF(J1391&lt;&gt;0,M1391/J1391,"")</f>
        <v>0.39888136591109802</v>
      </c>
      <c r="O1391" s="34">
        <f>SUBTOTAL(9,O1361:O1390)</f>
        <v>7525.1</v>
      </c>
      <c r="P1391" s="35">
        <f>SUBTOTAL(9,P1361:P1390)</f>
        <v>2879</v>
      </c>
      <c r="Q1391" s="36">
        <f>SUBTOTAL(9,Q1361:Q1390)</f>
        <v>4086.1699999999996</v>
      </c>
      <c r="R1391" s="36">
        <f>O1391-Q1391</f>
        <v>3438.9300000000007</v>
      </c>
      <c r="S1391" s="37">
        <f>IF(O1391&lt;&gt;0,R1391/O1391,"")</f>
        <v>0.45699459143400095</v>
      </c>
      <c r="U1391" s="34">
        <f>SUBTOTAL(9,U1361:U1390)</f>
        <v>4128.3099999999995</v>
      </c>
      <c r="V1391" s="35">
        <f>SUBTOTAL(9,V1361:V1390)</f>
        <v>1350</v>
      </c>
      <c r="W1391" s="36">
        <f>SUBTOTAL(9,W1361:W1390)</f>
        <v>2250.5499999999997</v>
      </c>
      <c r="X1391" s="36">
        <f>U1391-W1391</f>
        <v>1877.7599999999998</v>
      </c>
      <c r="Y1391" s="37">
        <f>IF(U1391&lt;&gt;0,X1391/U1391,"")</f>
        <v>0.45484956313842712</v>
      </c>
      <c r="Z1391" s="34">
        <f>SUBTOTAL(9,Z1361:Z1390)</f>
        <v>0</v>
      </c>
      <c r="AA1391" s="35">
        <f>SUBTOTAL(9,AA1361:AA1390)</f>
        <v>0</v>
      </c>
      <c r="AB1391" s="36">
        <f>SUBTOTAL(9,AB1361:AB1390)</f>
        <v>0</v>
      </c>
      <c r="AC1391" s="36">
        <f t="shared" ref="AC1391" si="424">Z1391-AB1391</f>
        <v>0</v>
      </c>
      <c r="AD1391" s="37" t="str">
        <f t="shared" ref="AD1391" si="425">IF(Z1391&lt;&gt;0,AC1391/Z1391,"")</f>
        <v/>
      </c>
    </row>
    <row r="1392" spans="1:31" x14ac:dyDescent="0.25">
      <c r="A1392" s="14" t="s">
        <v>109</v>
      </c>
      <c r="C1392" s="66"/>
      <c r="J1392" s="10"/>
      <c r="K1392" s="11"/>
      <c r="L1392" s="11"/>
      <c r="M1392" s="11"/>
      <c r="N1392" s="12"/>
      <c r="O1392" s="10"/>
      <c r="P1392" s="11"/>
      <c r="Q1392" s="11"/>
      <c r="R1392" s="11"/>
      <c r="S1392" s="12"/>
      <c r="U1392" s="10"/>
      <c r="V1392" s="11"/>
      <c r="W1392" s="11"/>
      <c r="X1392" s="11"/>
      <c r="Y1392" s="12"/>
      <c r="Z1392" s="10"/>
      <c r="AA1392" s="11"/>
      <c r="AB1392" s="11"/>
      <c r="AC1392" s="11"/>
      <c r="AD1392" s="12"/>
    </row>
    <row r="1393" spans="1:31" ht="15.75" x14ac:dyDescent="0.25">
      <c r="A1393" s="14" t="s">
        <v>109</v>
      </c>
      <c r="C1393" s="66" t="str">
        <f t="shared" ref="C1393" si="426">E1393</f>
        <v>C100092</v>
      </c>
      <c r="E1393" s="13" t="str">
        <f>"C100092"</f>
        <v>C100092</v>
      </c>
      <c r="F1393" s="13"/>
      <c r="G1393" s="13" t="str">
        <f>"Zuni Home Crafts Ltd."</f>
        <v>Zuni Home Crafts Ltd.</v>
      </c>
      <c r="H1393" s="13"/>
      <c r="I1393" s="13"/>
      <c r="J1393" s="10"/>
      <c r="K1393" s="11"/>
      <c r="L1393" s="11"/>
      <c r="M1393" s="11"/>
      <c r="N1393" s="12"/>
      <c r="O1393" s="10"/>
      <c r="P1393" s="11"/>
      <c r="Q1393" s="11"/>
      <c r="R1393" s="11"/>
      <c r="S1393" s="12"/>
      <c r="U1393" s="10"/>
      <c r="V1393" s="11"/>
      <c r="W1393" s="11"/>
      <c r="X1393" s="11"/>
      <c r="Y1393" s="12"/>
      <c r="Z1393" s="10"/>
      <c r="AA1393" s="11"/>
      <c r="AB1393" s="11"/>
      <c r="AC1393" s="11"/>
      <c r="AD1393" s="12"/>
    </row>
    <row r="1394" spans="1:31" ht="6.6" customHeight="1" x14ac:dyDescent="0.25">
      <c r="A1394" s="14" t="s">
        <v>109</v>
      </c>
      <c r="C1394" s="61" t="str">
        <f t="shared" ref="C1394:C1405" si="427">C1393</f>
        <v>C100092</v>
      </c>
      <c r="J1394" s="10"/>
      <c r="K1394" s="11"/>
      <c r="L1394" s="11"/>
      <c r="M1394" s="11"/>
      <c r="N1394" s="12"/>
      <c r="O1394" s="10"/>
      <c r="P1394" s="11"/>
      <c r="Q1394" s="11"/>
      <c r="R1394" s="11"/>
      <c r="S1394" s="12"/>
      <c r="U1394" s="10"/>
      <c r="V1394" s="11"/>
      <c r="W1394" s="11"/>
      <c r="X1394" s="11"/>
      <c r="Y1394" s="12"/>
      <c r="Z1394" s="10"/>
      <c r="AA1394" s="11"/>
      <c r="AB1394" s="11"/>
      <c r="AC1394" s="11"/>
      <c r="AD1394" s="12"/>
    </row>
    <row r="1395" spans="1:31" x14ac:dyDescent="0.25">
      <c r="A1395" s="14" t="s">
        <v>109</v>
      </c>
      <c r="C1395" s="61" t="str">
        <f t="shared" si="427"/>
        <v>C100092</v>
      </c>
      <c r="F1395" s="8" t="str">
        <f>"C100003"</f>
        <v>C100003</v>
      </c>
      <c r="G1395" s="9" t="str">
        <f>"Cherry Finish Frame"</f>
        <v>Cherry Finish Frame</v>
      </c>
      <c r="H1395" s="47"/>
      <c r="I1395" s="47"/>
      <c r="J1395" s="23">
        <v>9482.8599999999988</v>
      </c>
      <c r="K1395" s="25">
        <v>144</v>
      </c>
      <c r="L1395" s="24">
        <v>4700.1499999999996</v>
      </c>
      <c r="M1395" s="24">
        <f>J1395-L1395</f>
        <v>4782.7099999999991</v>
      </c>
      <c r="N1395" s="53">
        <f>IF(J1395&lt;&gt;0,M1395/J1395,"")</f>
        <v>0.50435311709758446</v>
      </c>
      <c r="O1395" s="23">
        <v>0</v>
      </c>
      <c r="P1395" s="25">
        <v>0</v>
      </c>
      <c r="Q1395" s="24">
        <v>0</v>
      </c>
      <c r="R1395" s="24">
        <f>O1395-Q1395</f>
        <v>0</v>
      </c>
      <c r="S1395" s="53" t="str">
        <f>IF(O1395&lt;&gt;0,R1395/O1395,"")</f>
        <v/>
      </c>
      <c r="T1395" s="10"/>
      <c r="U1395" s="23">
        <v>0</v>
      </c>
      <c r="V1395" s="25">
        <v>0</v>
      </c>
      <c r="W1395" s="24">
        <v>0</v>
      </c>
      <c r="X1395" s="24">
        <f>U1395-W1395</f>
        <v>0</v>
      </c>
      <c r="Y1395" s="53" t="str">
        <f>IF(U1395&lt;&gt;0,X1395/U1395,"")</f>
        <v/>
      </c>
      <c r="Z1395" s="23">
        <v>66.53</v>
      </c>
      <c r="AA1395" s="25">
        <v>1</v>
      </c>
      <c r="AB1395" s="24">
        <v>32.64</v>
      </c>
      <c r="AC1395" s="24">
        <f t="shared" ref="AC1395" si="428">Z1395-AB1395</f>
        <v>33.89</v>
      </c>
      <c r="AD1395" s="53">
        <f t="shared" ref="AD1395" si="429">IF(Z1395&lt;&gt;0,AC1395/Z1395,"")</f>
        <v>0.50939425822937023</v>
      </c>
      <c r="AE1395" s="10"/>
    </row>
    <row r="1396" spans="1:31" x14ac:dyDescent="0.25">
      <c r="A1396" s="14" t="s">
        <v>109</v>
      </c>
      <c r="C1396" s="61" t="str">
        <f t="shared" ref="C1396:C1403" si="430">C1395</f>
        <v>C100092</v>
      </c>
      <c r="F1396" s="8" t="str">
        <f>"E100018"</f>
        <v>E100018</v>
      </c>
      <c r="G1396" s="9" t="str">
        <f>"Flexi-Clock &amp; Clip"</f>
        <v>Flexi-Clock &amp; Clip</v>
      </c>
      <c r="H1396" s="47"/>
      <c r="I1396" s="47"/>
      <c r="J1396" s="23">
        <v>157.83000000000001</v>
      </c>
      <c r="K1396" s="25">
        <v>144</v>
      </c>
      <c r="L1396" s="24">
        <v>86.39</v>
      </c>
      <c r="M1396" s="24">
        <f>J1396-L1396</f>
        <v>71.440000000000012</v>
      </c>
      <c r="N1396" s="53">
        <f>IF(J1396&lt;&gt;0,M1396/J1396,"")</f>
        <v>0.45263891528860167</v>
      </c>
      <c r="O1396" s="23">
        <v>0</v>
      </c>
      <c r="P1396" s="25">
        <v>0</v>
      </c>
      <c r="Q1396" s="24">
        <v>0</v>
      </c>
      <c r="R1396" s="24">
        <f>O1396-Q1396</f>
        <v>0</v>
      </c>
      <c r="S1396" s="53" t="str">
        <f>IF(O1396&lt;&gt;0,R1396/O1396,"")</f>
        <v/>
      </c>
      <c r="T1396" s="10"/>
      <c r="U1396" s="23">
        <v>0</v>
      </c>
      <c r="V1396" s="25">
        <v>0</v>
      </c>
      <c r="W1396" s="24">
        <v>0</v>
      </c>
      <c r="X1396" s="24">
        <f>U1396-W1396</f>
        <v>0</v>
      </c>
      <c r="Y1396" s="53" t="str">
        <f>IF(U1396&lt;&gt;0,X1396/U1396,"")</f>
        <v/>
      </c>
      <c r="Z1396" s="23">
        <v>1.1200000000000001</v>
      </c>
      <c r="AA1396" s="25">
        <v>1</v>
      </c>
      <c r="AB1396" s="24">
        <v>0.6</v>
      </c>
      <c r="AC1396" s="24">
        <f t="shared" ref="AC1396:AC1403" si="431">Z1396-AB1396</f>
        <v>0.52000000000000013</v>
      </c>
      <c r="AD1396" s="53">
        <f t="shared" ref="AD1396:AD1403" si="432">IF(Z1396&lt;&gt;0,AC1396/Z1396,"")</f>
        <v>0.46428571428571436</v>
      </c>
      <c r="AE1396" s="10"/>
    </row>
    <row r="1397" spans="1:31" x14ac:dyDescent="0.25">
      <c r="A1397" s="14" t="s">
        <v>109</v>
      </c>
      <c r="C1397" s="61" t="str">
        <f t="shared" si="430"/>
        <v>C100092</v>
      </c>
      <c r="F1397" s="8" t="str">
        <f>"S100005"</f>
        <v>S100005</v>
      </c>
      <c r="G1397" s="9" t="str">
        <f>"Award Medallian - 2.5''"</f>
        <v>Award Medallian - 2.5''</v>
      </c>
      <c r="H1397" s="47"/>
      <c r="I1397" s="47"/>
      <c r="J1397" s="23">
        <v>2422.06</v>
      </c>
      <c r="K1397" s="25">
        <v>288</v>
      </c>
      <c r="L1397" s="24">
        <v>1503.38</v>
      </c>
      <c r="M1397" s="24">
        <f>J1397-L1397</f>
        <v>918.67999999999984</v>
      </c>
      <c r="N1397" s="53">
        <f>IF(J1397&lt;&gt;0,M1397/J1397,"")</f>
        <v>0.37929696209012159</v>
      </c>
      <c r="O1397" s="23">
        <v>0</v>
      </c>
      <c r="P1397" s="25">
        <v>0</v>
      </c>
      <c r="Q1397" s="24">
        <v>0</v>
      </c>
      <c r="R1397" s="24">
        <f>O1397-Q1397</f>
        <v>0</v>
      </c>
      <c r="S1397" s="53" t="str">
        <f>IF(O1397&lt;&gt;0,R1397/O1397,"")</f>
        <v/>
      </c>
      <c r="T1397" s="10"/>
      <c r="U1397" s="23">
        <v>0</v>
      </c>
      <c r="V1397" s="25">
        <v>0</v>
      </c>
      <c r="W1397" s="24">
        <v>0</v>
      </c>
      <c r="X1397" s="24">
        <f>U1397-W1397</f>
        <v>0</v>
      </c>
      <c r="Y1397" s="53" t="str">
        <f>IF(U1397&lt;&gt;0,X1397/U1397,"")</f>
        <v/>
      </c>
      <c r="Z1397" s="23">
        <v>0</v>
      </c>
      <c r="AA1397" s="25">
        <v>0</v>
      </c>
      <c r="AB1397" s="24">
        <v>0</v>
      </c>
      <c r="AC1397" s="24">
        <f t="shared" si="431"/>
        <v>0</v>
      </c>
      <c r="AD1397" s="53" t="str">
        <f t="shared" si="432"/>
        <v/>
      </c>
      <c r="AE1397" s="10"/>
    </row>
    <row r="1398" spans="1:31" x14ac:dyDescent="0.25">
      <c r="A1398" s="14" t="s">
        <v>109</v>
      </c>
      <c r="C1398" s="61" t="str">
        <f t="shared" si="430"/>
        <v>C100092</v>
      </c>
      <c r="F1398" s="8" t="str">
        <f>"S100008"</f>
        <v>S100008</v>
      </c>
      <c r="G1398" s="9" t="str">
        <f>"Soccer Figure Trophy"</f>
        <v>Soccer Figure Trophy</v>
      </c>
      <c r="H1398" s="47"/>
      <c r="I1398" s="47"/>
      <c r="J1398" s="23">
        <v>826.91</v>
      </c>
      <c r="K1398" s="25">
        <v>144</v>
      </c>
      <c r="L1398" s="24">
        <v>529.91999999999996</v>
      </c>
      <c r="M1398" s="24">
        <f>J1398-L1398</f>
        <v>296.99</v>
      </c>
      <c r="N1398" s="53">
        <f>IF(J1398&lt;&gt;0,M1398/J1398,"")</f>
        <v>0.35915637735666522</v>
      </c>
      <c r="O1398" s="23">
        <v>0</v>
      </c>
      <c r="P1398" s="25">
        <v>0</v>
      </c>
      <c r="Q1398" s="24">
        <v>0</v>
      </c>
      <c r="R1398" s="24">
        <f>O1398-Q1398</f>
        <v>0</v>
      </c>
      <c r="S1398" s="53" t="str">
        <f>IF(O1398&lt;&gt;0,R1398/O1398,"")</f>
        <v/>
      </c>
      <c r="T1398" s="10"/>
      <c r="U1398" s="23">
        <v>0</v>
      </c>
      <c r="V1398" s="25">
        <v>0</v>
      </c>
      <c r="W1398" s="24">
        <v>0</v>
      </c>
      <c r="X1398" s="24">
        <f>U1398-W1398</f>
        <v>0</v>
      </c>
      <c r="Y1398" s="53" t="str">
        <f>IF(U1398&lt;&gt;0,X1398/U1398,"")</f>
        <v/>
      </c>
      <c r="Z1398" s="23">
        <v>0</v>
      </c>
      <c r="AA1398" s="25">
        <v>0</v>
      </c>
      <c r="AB1398" s="24">
        <v>0</v>
      </c>
      <c r="AC1398" s="24">
        <f t="shared" si="431"/>
        <v>0</v>
      </c>
      <c r="AD1398" s="53" t="str">
        <f t="shared" si="432"/>
        <v/>
      </c>
      <c r="AE1398" s="10"/>
    </row>
    <row r="1399" spans="1:31" x14ac:dyDescent="0.25">
      <c r="A1399" s="14" t="s">
        <v>109</v>
      </c>
      <c r="C1399" s="61" t="str">
        <f t="shared" si="430"/>
        <v>C100092</v>
      </c>
      <c r="F1399" s="8" t="str">
        <f>"S100009"</f>
        <v>S100009</v>
      </c>
      <c r="G1399" s="9" t="str">
        <f>"Engraved Basketball Award"</f>
        <v>Engraved Basketball Award</v>
      </c>
      <c r="H1399" s="47"/>
      <c r="I1399" s="47"/>
      <c r="J1399" s="23">
        <v>2673.48</v>
      </c>
      <c r="K1399" s="25">
        <v>144</v>
      </c>
      <c r="L1399" s="24">
        <v>1270.07</v>
      </c>
      <c r="M1399" s="24">
        <f>J1399-L1399</f>
        <v>1403.41</v>
      </c>
      <c r="N1399" s="53">
        <f>IF(J1399&lt;&gt;0,M1399/J1399,"")</f>
        <v>0.52493753459909931</v>
      </c>
      <c r="O1399" s="23">
        <v>0</v>
      </c>
      <c r="P1399" s="25">
        <v>0</v>
      </c>
      <c r="Q1399" s="24">
        <v>0</v>
      </c>
      <c r="R1399" s="24">
        <f>O1399-Q1399</f>
        <v>0</v>
      </c>
      <c r="S1399" s="53" t="str">
        <f>IF(O1399&lt;&gt;0,R1399/O1399,"")</f>
        <v/>
      </c>
      <c r="T1399" s="10"/>
      <c r="U1399" s="23">
        <v>0</v>
      </c>
      <c r="V1399" s="25">
        <v>0</v>
      </c>
      <c r="W1399" s="24">
        <v>0</v>
      </c>
      <c r="X1399" s="24">
        <f>U1399-W1399</f>
        <v>0</v>
      </c>
      <c r="Y1399" s="53" t="str">
        <f>IF(U1399&lt;&gt;0,X1399/U1399,"")</f>
        <v/>
      </c>
      <c r="Z1399" s="23">
        <v>900.35</v>
      </c>
      <c r="AA1399" s="25">
        <v>48</v>
      </c>
      <c r="AB1399" s="24">
        <v>423.36</v>
      </c>
      <c r="AC1399" s="24">
        <f t="shared" si="431"/>
        <v>476.99</v>
      </c>
      <c r="AD1399" s="53">
        <f t="shared" si="432"/>
        <v>0.52978286222024773</v>
      </c>
      <c r="AE1399" s="10"/>
    </row>
    <row r="1400" spans="1:31" x14ac:dyDescent="0.25">
      <c r="A1400" s="14" t="s">
        <v>109</v>
      </c>
      <c r="C1400" s="61" t="str">
        <f t="shared" si="430"/>
        <v>C100092</v>
      </c>
      <c r="F1400" s="8" t="str">
        <f>"S100014"</f>
        <v>S100014</v>
      </c>
      <c r="G1400" s="9" t="str">
        <f>"Chunky Knit Hat"</f>
        <v>Chunky Knit Hat</v>
      </c>
      <c r="H1400" s="47"/>
      <c r="I1400" s="47"/>
      <c r="J1400" s="23">
        <v>1425.89</v>
      </c>
      <c r="K1400" s="25">
        <v>150</v>
      </c>
      <c r="L1400" s="24">
        <v>773.99</v>
      </c>
      <c r="M1400" s="24">
        <f>J1400-L1400</f>
        <v>651.90000000000009</v>
      </c>
      <c r="N1400" s="53">
        <f>IF(J1400&lt;&gt;0,M1400/J1400,"")</f>
        <v>0.45718814214280207</v>
      </c>
      <c r="O1400" s="23">
        <v>0</v>
      </c>
      <c r="P1400" s="25">
        <v>0</v>
      </c>
      <c r="Q1400" s="24">
        <v>0</v>
      </c>
      <c r="R1400" s="24">
        <f>O1400-Q1400</f>
        <v>0</v>
      </c>
      <c r="S1400" s="53" t="str">
        <f>IF(O1400&lt;&gt;0,R1400/O1400,"")</f>
        <v/>
      </c>
      <c r="T1400" s="10"/>
      <c r="U1400" s="23">
        <v>0</v>
      </c>
      <c r="V1400" s="25">
        <v>0</v>
      </c>
      <c r="W1400" s="24">
        <v>0</v>
      </c>
      <c r="X1400" s="24">
        <f>U1400-W1400</f>
        <v>0</v>
      </c>
      <c r="Y1400" s="53" t="str">
        <f>IF(U1400&lt;&gt;0,X1400/U1400,"")</f>
        <v/>
      </c>
      <c r="Z1400" s="23">
        <v>0</v>
      </c>
      <c r="AA1400" s="25">
        <v>0</v>
      </c>
      <c r="AB1400" s="24">
        <v>0</v>
      </c>
      <c r="AC1400" s="24">
        <f t="shared" si="431"/>
        <v>0</v>
      </c>
      <c r="AD1400" s="53" t="str">
        <f t="shared" si="432"/>
        <v/>
      </c>
      <c r="AE1400" s="10"/>
    </row>
    <row r="1401" spans="1:31" x14ac:dyDescent="0.25">
      <c r="A1401" s="14" t="s">
        <v>109</v>
      </c>
      <c r="C1401" s="61" t="str">
        <f t="shared" si="430"/>
        <v>C100092</v>
      </c>
      <c r="F1401" s="8" t="str">
        <f>"S100016"</f>
        <v>S100016</v>
      </c>
      <c r="G1401" s="9" t="str">
        <f>"Mesh Bucket Hat"</f>
        <v>Mesh Bucket Hat</v>
      </c>
      <c r="H1401" s="47"/>
      <c r="I1401" s="47"/>
      <c r="J1401" s="23">
        <v>705.27</v>
      </c>
      <c r="K1401" s="25">
        <v>146</v>
      </c>
      <c r="L1401" s="24">
        <v>401.51</v>
      </c>
      <c r="M1401" s="24">
        <f>J1401-L1401</f>
        <v>303.76</v>
      </c>
      <c r="N1401" s="53">
        <f>IF(J1401&lt;&gt;0,M1401/J1401,"")</f>
        <v>0.43070029917620201</v>
      </c>
      <c r="O1401" s="23">
        <v>0</v>
      </c>
      <c r="P1401" s="25">
        <v>0</v>
      </c>
      <c r="Q1401" s="24">
        <v>0</v>
      </c>
      <c r="R1401" s="24">
        <f>O1401-Q1401</f>
        <v>0</v>
      </c>
      <c r="S1401" s="53" t="str">
        <f>IF(O1401&lt;&gt;0,R1401/O1401,"")</f>
        <v/>
      </c>
      <c r="T1401" s="10"/>
      <c r="U1401" s="23">
        <v>0</v>
      </c>
      <c r="V1401" s="25">
        <v>0</v>
      </c>
      <c r="W1401" s="24">
        <v>0</v>
      </c>
      <c r="X1401" s="24">
        <f>U1401-W1401</f>
        <v>0</v>
      </c>
      <c r="Y1401" s="53" t="str">
        <f>IF(U1401&lt;&gt;0,X1401/U1401,"")</f>
        <v/>
      </c>
      <c r="Z1401" s="23">
        <v>0</v>
      </c>
      <c r="AA1401" s="25">
        <v>0</v>
      </c>
      <c r="AB1401" s="24">
        <v>0</v>
      </c>
      <c r="AC1401" s="24">
        <f t="shared" si="431"/>
        <v>0</v>
      </c>
      <c r="AD1401" s="53" t="str">
        <f t="shared" si="432"/>
        <v/>
      </c>
      <c r="AE1401" s="10"/>
    </row>
    <row r="1402" spans="1:31" x14ac:dyDescent="0.25">
      <c r="A1402" s="14" t="s">
        <v>109</v>
      </c>
      <c r="C1402" s="61" t="str">
        <f t="shared" si="430"/>
        <v>C100092</v>
      </c>
      <c r="F1402" s="8" t="str">
        <f>"S100017"</f>
        <v>S100017</v>
      </c>
      <c r="G1402" s="9" t="str">
        <f>"Microfiber Bucket Hat"</f>
        <v>Microfiber Bucket Hat</v>
      </c>
      <c r="H1402" s="47"/>
      <c r="I1402" s="47"/>
      <c r="J1402" s="23">
        <v>1030.83</v>
      </c>
      <c r="K1402" s="25">
        <v>144</v>
      </c>
      <c r="L1402" s="24">
        <v>685.44</v>
      </c>
      <c r="M1402" s="24">
        <f>J1402-L1402</f>
        <v>345.38999999999987</v>
      </c>
      <c r="N1402" s="53">
        <f>IF(J1402&lt;&gt;0,M1402/J1402,"")</f>
        <v>0.33506009720322449</v>
      </c>
      <c r="O1402" s="23">
        <v>0</v>
      </c>
      <c r="P1402" s="25">
        <v>0</v>
      </c>
      <c r="Q1402" s="24">
        <v>0</v>
      </c>
      <c r="R1402" s="24">
        <f>O1402-Q1402</f>
        <v>0</v>
      </c>
      <c r="S1402" s="53" t="str">
        <f>IF(O1402&lt;&gt;0,R1402/O1402,"")</f>
        <v/>
      </c>
      <c r="T1402" s="10"/>
      <c r="U1402" s="23">
        <v>0</v>
      </c>
      <c r="V1402" s="25">
        <v>0</v>
      </c>
      <c r="W1402" s="24">
        <v>0</v>
      </c>
      <c r="X1402" s="24">
        <f>U1402-W1402</f>
        <v>0</v>
      </c>
      <c r="Y1402" s="53" t="str">
        <f>IF(U1402&lt;&gt;0,X1402/U1402,"")</f>
        <v/>
      </c>
      <c r="Z1402" s="23">
        <v>0</v>
      </c>
      <c r="AA1402" s="25">
        <v>0</v>
      </c>
      <c r="AB1402" s="24">
        <v>0</v>
      </c>
      <c r="AC1402" s="24">
        <f t="shared" si="431"/>
        <v>0</v>
      </c>
      <c r="AD1402" s="53" t="str">
        <f t="shared" si="432"/>
        <v/>
      </c>
      <c r="AE1402" s="10"/>
    </row>
    <row r="1403" spans="1:31" x14ac:dyDescent="0.25">
      <c r="A1403" s="14" t="s">
        <v>109</v>
      </c>
      <c r="C1403" s="61" t="str">
        <f t="shared" si="430"/>
        <v>C100092</v>
      </c>
      <c r="F1403" s="8" t="str">
        <f>"S100021"</f>
        <v>S100021</v>
      </c>
      <c r="G1403" s="9" t="str">
        <f>"Translucent Stopwatch"</f>
        <v>Translucent Stopwatch</v>
      </c>
      <c r="H1403" s="47"/>
      <c r="I1403" s="47"/>
      <c r="J1403" s="23">
        <v>24.150000000000002</v>
      </c>
      <c r="K1403" s="25">
        <v>6</v>
      </c>
      <c r="L1403" s="24">
        <v>12.9</v>
      </c>
      <c r="M1403" s="24">
        <f>J1403-L1403</f>
        <v>11.250000000000002</v>
      </c>
      <c r="N1403" s="53">
        <f>IF(J1403&lt;&gt;0,M1403/J1403,"")</f>
        <v>0.46583850931677023</v>
      </c>
      <c r="O1403" s="23">
        <v>0</v>
      </c>
      <c r="P1403" s="25">
        <v>0</v>
      </c>
      <c r="Q1403" s="24">
        <v>0</v>
      </c>
      <c r="R1403" s="24">
        <f>O1403-Q1403</f>
        <v>0</v>
      </c>
      <c r="S1403" s="53" t="str">
        <f>IF(O1403&lt;&gt;0,R1403/O1403,"")</f>
        <v/>
      </c>
      <c r="T1403" s="10"/>
      <c r="U1403" s="23">
        <v>0</v>
      </c>
      <c r="V1403" s="25">
        <v>0</v>
      </c>
      <c r="W1403" s="24">
        <v>0</v>
      </c>
      <c r="X1403" s="24">
        <f>U1403-W1403</f>
        <v>0</v>
      </c>
      <c r="Y1403" s="53" t="str">
        <f>IF(U1403&lt;&gt;0,X1403/U1403,"")</f>
        <v/>
      </c>
      <c r="Z1403" s="23">
        <v>4.07</v>
      </c>
      <c r="AA1403" s="25">
        <v>1</v>
      </c>
      <c r="AB1403" s="24">
        <v>2.15</v>
      </c>
      <c r="AC1403" s="24">
        <f t="shared" si="431"/>
        <v>1.9200000000000004</v>
      </c>
      <c r="AD1403" s="53">
        <f t="shared" si="432"/>
        <v>0.47174447174447182</v>
      </c>
      <c r="AE1403" s="10"/>
    </row>
    <row r="1404" spans="1:31" ht="15.75" thickBot="1" x14ac:dyDescent="0.3">
      <c r="A1404" s="14" t="s">
        <v>109</v>
      </c>
      <c r="C1404" s="61" t="str">
        <f>C1395</f>
        <v>C100092</v>
      </c>
      <c r="J1404" s="10"/>
      <c r="K1404" s="11"/>
      <c r="L1404" s="11"/>
      <c r="M1404" s="11"/>
      <c r="N1404" s="12"/>
      <c r="O1404" s="10"/>
      <c r="P1404" s="11"/>
      <c r="Q1404" s="11"/>
      <c r="R1404" s="11"/>
      <c r="S1404" s="12"/>
      <c r="U1404" s="10"/>
      <c r="V1404" s="11"/>
      <c r="W1404" s="11"/>
      <c r="X1404" s="11"/>
      <c r="Y1404" s="12"/>
      <c r="Z1404" s="10"/>
      <c r="AA1404" s="11"/>
      <c r="AB1404" s="11"/>
      <c r="AC1404" s="11"/>
      <c r="AD1404" s="12"/>
    </row>
    <row r="1405" spans="1:31" ht="15.75" thickBot="1" x14ac:dyDescent="0.3">
      <c r="A1405" s="14" t="s">
        <v>109</v>
      </c>
      <c r="C1405" s="61" t="str">
        <f t="shared" si="427"/>
        <v>C100092</v>
      </c>
      <c r="G1405" s="48" t="str">
        <f>C1405&amp;" TOTAL:"</f>
        <v>C100092 TOTAL:</v>
      </c>
      <c r="H1405" s="50"/>
      <c r="I1405" s="50"/>
      <c r="J1405" s="34">
        <f>SUBTOTAL(9,J1394:J1404)</f>
        <v>18749.28</v>
      </c>
      <c r="K1405" s="35">
        <f>SUBTOTAL(9,K1394:K1404)</f>
        <v>1310</v>
      </c>
      <c r="L1405" s="36">
        <f>SUBTOTAL(9,L1394:L1404)</f>
        <v>9963.75</v>
      </c>
      <c r="M1405" s="36">
        <f>J1405-L1405</f>
        <v>8785.5299999999988</v>
      </c>
      <c r="N1405" s="37">
        <f>IF(J1405&lt;&gt;0,M1405/J1405,"")</f>
        <v>0.46857959345638867</v>
      </c>
      <c r="O1405" s="34">
        <f>SUBTOTAL(9,O1394:O1404)</f>
        <v>0</v>
      </c>
      <c r="P1405" s="35">
        <f>SUBTOTAL(9,P1394:P1404)</f>
        <v>0</v>
      </c>
      <c r="Q1405" s="36">
        <f>SUBTOTAL(9,Q1394:Q1404)</f>
        <v>0</v>
      </c>
      <c r="R1405" s="36">
        <f>O1405-Q1405</f>
        <v>0</v>
      </c>
      <c r="S1405" s="37" t="str">
        <f>IF(O1405&lt;&gt;0,R1405/O1405,"")</f>
        <v/>
      </c>
      <c r="U1405" s="34">
        <f>SUBTOTAL(9,U1394:U1404)</f>
        <v>0</v>
      </c>
      <c r="V1405" s="35">
        <f>SUBTOTAL(9,V1394:V1404)</f>
        <v>0</v>
      </c>
      <c r="W1405" s="36">
        <f>SUBTOTAL(9,W1394:W1404)</f>
        <v>0</v>
      </c>
      <c r="X1405" s="36">
        <f>U1405-W1405</f>
        <v>0</v>
      </c>
      <c r="Y1405" s="37" t="str">
        <f>IF(U1405&lt;&gt;0,X1405/U1405,"")</f>
        <v/>
      </c>
      <c r="Z1405" s="34">
        <f>SUBTOTAL(9,Z1394:Z1404)</f>
        <v>972.07</v>
      </c>
      <c r="AA1405" s="35">
        <f>SUBTOTAL(9,AA1394:AA1404)</f>
        <v>51</v>
      </c>
      <c r="AB1405" s="36">
        <f>SUBTOTAL(9,AB1394:AB1404)</f>
        <v>458.75</v>
      </c>
      <c r="AC1405" s="36">
        <f t="shared" ref="AC1405" si="433">Z1405-AB1405</f>
        <v>513.32000000000005</v>
      </c>
      <c r="AD1405" s="37">
        <f t="shared" ref="AD1405" si="434">IF(Z1405&lt;&gt;0,AC1405/Z1405,"")</f>
        <v>0.52806896622671207</v>
      </c>
    </row>
    <row r="1406" spans="1:31" x14ac:dyDescent="0.25">
      <c r="A1406" s="14" t="s">
        <v>109</v>
      </c>
      <c r="C1406" s="66"/>
      <c r="J1406" s="10"/>
      <c r="K1406" s="11"/>
      <c r="L1406" s="11"/>
      <c r="M1406" s="11"/>
      <c r="N1406" s="12"/>
      <c r="O1406" s="10"/>
      <c r="P1406" s="11"/>
      <c r="Q1406" s="11"/>
      <c r="R1406" s="11"/>
      <c r="S1406" s="12"/>
      <c r="U1406" s="10"/>
      <c r="V1406" s="11"/>
      <c r="W1406" s="11"/>
      <c r="X1406" s="11"/>
      <c r="Y1406" s="12"/>
      <c r="Z1406" s="10"/>
      <c r="AA1406" s="11"/>
      <c r="AB1406" s="11"/>
      <c r="AC1406" s="11"/>
      <c r="AD1406" s="12"/>
    </row>
    <row r="1407" spans="1:31" ht="15.75" x14ac:dyDescent="0.25">
      <c r="A1407" s="14" t="s">
        <v>109</v>
      </c>
      <c r="C1407" s="66" t="str">
        <f t="shared" ref="C1407" si="435">E1407</f>
        <v>C100094</v>
      </c>
      <c r="E1407" s="13" t="str">
        <f>"C100094"</f>
        <v>C100094</v>
      </c>
      <c r="F1407" s="13"/>
      <c r="G1407" s="13" t="str">
        <f>"Ranice Sports"</f>
        <v>Ranice Sports</v>
      </c>
      <c r="H1407" s="13"/>
      <c r="I1407" s="13"/>
      <c r="J1407" s="10"/>
      <c r="K1407" s="11"/>
      <c r="L1407" s="11"/>
      <c r="M1407" s="11"/>
      <c r="N1407" s="12"/>
      <c r="O1407" s="10"/>
      <c r="P1407" s="11"/>
      <c r="Q1407" s="11"/>
      <c r="R1407" s="11"/>
      <c r="S1407" s="12"/>
      <c r="U1407" s="10"/>
      <c r="V1407" s="11"/>
      <c r="W1407" s="11"/>
      <c r="X1407" s="11"/>
      <c r="Y1407" s="12"/>
      <c r="Z1407" s="10"/>
      <c r="AA1407" s="11"/>
      <c r="AB1407" s="11"/>
      <c r="AC1407" s="11"/>
      <c r="AD1407" s="12"/>
    </row>
    <row r="1408" spans="1:31" ht="6.6" customHeight="1" x14ac:dyDescent="0.25">
      <c r="A1408" s="14" t="s">
        <v>109</v>
      </c>
      <c r="C1408" s="61" t="str">
        <f t="shared" ref="C1408:C1428" si="436">C1407</f>
        <v>C100094</v>
      </c>
      <c r="J1408" s="10"/>
      <c r="K1408" s="11"/>
      <c r="L1408" s="11"/>
      <c r="M1408" s="11"/>
      <c r="N1408" s="12"/>
      <c r="O1408" s="10"/>
      <c r="P1408" s="11"/>
      <c r="Q1408" s="11"/>
      <c r="R1408" s="11"/>
      <c r="S1408" s="12"/>
      <c r="U1408" s="10"/>
      <c r="V1408" s="11"/>
      <c r="W1408" s="11"/>
      <c r="X1408" s="11"/>
      <c r="Y1408" s="12"/>
      <c r="Z1408" s="10"/>
      <c r="AA1408" s="11"/>
      <c r="AB1408" s="11"/>
      <c r="AC1408" s="11"/>
      <c r="AD1408" s="12"/>
    </row>
    <row r="1409" spans="1:31" x14ac:dyDescent="0.25">
      <c r="A1409" s="14" t="s">
        <v>109</v>
      </c>
      <c r="C1409" s="61" t="str">
        <f t="shared" si="436"/>
        <v>C100094</v>
      </c>
      <c r="F1409" s="8" t="str">
        <f>"C100030"</f>
        <v>C100030</v>
      </c>
      <c r="G1409" s="9" t="str">
        <f>"Fashion Visor"</f>
        <v>Fashion Visor</v>
      </c>
      <c r="H1409" s="47"/>
      <c r="I1409" s="47"/>
      <c r="J1409" s="23">
        <v>927.16</v>
      </c>
      <c r="K1409" s="25">
        <v>216</v>
      </c>
      <c r="L1409" s="24">
        <v>522.73</v>
      </c>
      <c r="M1409" s="24">
        <f>J1409-L1409</f>
        <v>404.42999999999995</v>
      </c>
      <c r="N1409" s="53">
        <f>IF(J1409&lt;&gt;0,M1409/J1409,"")</f>
        <v>0.43620302860347726</v>
      </c>
      <c r="O1409" s="23">
        <v>0</v>
      </c>
      <c r="P1409" s="25">
        <v>0</v>
      </c>
      <c r="Q1409" s="24">
        <v>0</v>
      </c>
      <c r="R1409" s="24">
        <f>O1409-Q1409</f>
        <v>0</v>
      </c>
      <c r="S1409" s="53" t="str">
        <f>IF(O1409&lt;&gt;0,R1409/O1409,"")</f>
        <v/>
      </c>
      <c r="T1409" s="10"/>
      <c r="U1409" s="23">
        <v>99.86999999999999</v>
      </c>
      <c r="V1409" s="25">
        <v>24</v>
      </c>
      <c r="W1409" s="24">
        <v>58.08</v>
      </c>
      <c r="X1409" s="24">
        <f>U1409-W1409</f>
        <v>41.789999999999992</v>
      </c>
      <c r="Y1409" s="53">
        <f>IF(U1409&lt;&gt;0,X1409/U1409,"")</f>
        <v>0.41844397717032139</v>
      </c>
      <c r="Z1409" s="23">
        <v>0</v>
      </c>
      <c r="AA1409" s="25">
        <v>0</v>
      </c>
      <c r="AB1409" s="24">
        <v>0</v>
      </c>
      <c r="AC1409" s="24">
        <f t="shared" ref="AC1409" si="437">Z1409-AB1409</f>
        <v>0</v>
      </c>
      <c r="AD1409" s="53" t="str">
        <f t="shared" ref="AD1409" si="438">IF(Z1409&lt;&gt;0,AC1409/Z1409,"")</f>
        <v/>
      </c>
      <c r="AE1409" s="10"/>
    </row>
    <row r="1410" spans="1:31" x14ac:dyDescent="0.25">
      <c r="A1410" s="14" t="s">
        <v>109</v>
      </c>
      <c r="C1410" s="61" t="str">
        <f t="shared" ref="C1410:C1426" si="439">C1409</f>
        <v>C100094</v>
      </c>
      <c r="F1410" s="8" t="str">
        <f>"C100062"</f>
        <v>C100062</v>
      </c>
      <c r="G1410" s="9" t="str">
        <f>"Tall Matte Finish Mug"</f>
        <v>Tall Matte Finish Mug</v>
      </c>
      <c r="H1410" s="47"/>
      <c r="I1410" s="47"/>
      <c r="J1410" s="23">
        <v>173.57000000000002</v>
      </c>
      <c r="K1410" s="25">
        <v>144</v>
      </c>
      <c r="L1410" s="24">
        <v>97.929999999999993</v>
      </c>
      <c r="M1410" s="24">
        <f>J1410-L1410</f>
        <v>75.640000000000029</v>
      </c>
      <c r="N1410" s="53">
        <f>IF(J1410&lt;&gt;0,M1410/J1410,"")</f>
        <v>0.43578959497609043</v>
      </c>
      <c r="O1410" s="23">
        <v>0</v>
      </c>
      <c r="P1410" s="25">
        <v>0</v>
      </c>
      <c r="Q1410" s="24">
        <v>0</v>
      </c>
      <c r="R1410" s="24">
        <f>O1410-Q1410</f>
        <v>0</v>
      </c>
      <c r="S1410" s="53" t="str">
        <f>IF(O1410&lt;&gt;0,R1410/O1410,"")</f>
        <v/>
      </c>
      <c r="T1410" s="10"/>
      <c r="U1410" s="23">
        <v>0</v>
      </c>
      <c r="V1410" s="25">
        <v>0</v>
      </c>
      <c r="W1410" s="24">
        <v>0</v>
      </c>
      <c r="X1410" s="24">
        <f>U1410-W1410</f>
        <v>0</v>
      </c>
      <c r="Y1410" s="53" t="str">
        <f>IF(U1410&lt;&gt;0,X1410/U1410,"")</f>
        <v/>
      </c>
      <c r="Z1410" s="23">
        <v>1.2</v>
      </c>
      <c r="AA1410" s="25">
        <v>1</v>
      </c>
      <c r="AB1410" s="24">
        <v>0.68</v>
      </c>
      <c r="AC1410" s="24">
        <f t="shared" ref="AC1410:AC1426" si="440">Z1410-AB1410</f>
        <v>0.51999999999999991</v>
      </c>
      <c r="AD1410" s="53">
        <f t="shared" ref="AD1410:AD1426" si="441">IF(Z1410&lt;&gt;0,AC1410/Z1410,"")</f>
        <v>0.43333333333333329</v>
      </c>
      <c r="AE1410" s="10"/>
    </row>
    <row r="1411" spans="1:31" x14ac:dyDescent="0.25">
      <c r="A1411" s="14" t="s">
        <v>109</v>
      </c>
      <c r="C1411" s="61" t="str">
        <f t="shared" si="439"/>
        <v>C100094</v>
      </c>
      <c r="F1411" s="8" t="str">
        <f>"C100066"</f>
        <v>C100066</v>
      </c>
      <c r="G1411" s="9" t="str">
        <f>"Fashion Travel Mug"</f>
        <v>Fashion Travel Mug</v>
      </c>
      <c r="H1411" s="47"/>
      <c r="I1411" s="47"/>
      <c r="J1411" s="23">
        <v>508.04</v>
      </c>
      <c r="K1411" s="25">
        <v>144</v>
      </c>
      <c r="L1411" s="24">
        <v>237.63000000000002</v>
      </c>
      <c r="M1411" s="24">
        <f>J1411-L1411</f>
        <v>270.40999999999997</v>
      </c>
      <c r="N1411" s="53">
        <f>IF(J1411&lt;&gt;0,M1411/J1411,"")</f>
        <v>0.53226123927249813</v>
      </c>
      <c r="O1411" s="23">
        <v>0</v>
      </c>
      <c r="P1411" s="25">
        <v>0</v>
      </c>
      <c r="Q1411" s="24">
        <v>0</v>
      </c>
      <c r="R1411" s="24">
        <f>O1411-Q1411</f>
        <v>0</v>
      </c>
      <c r="S1411" s="53" t="str">
        <f>IF(O1411&lt;&gt;0,R1411/O1411,"")</f>
        <v/>
      </c>
      <c r="T1411" s="10"/>
      <c r="U1411" s="23">
        <v>0</v>
      </c>
      <c r="V1411" s="25">
        <v>0</v>
      </c>
      <c r="W1411" s="24">
        <v>0</v>
      </c>
      <c r="X1411" s="24">
        <f>U1411-W1411</f>
        <v>0</v>
      </c>
      <c r="Y1411" s="53" t="str">
        <f>IF(U1411&lt;&gt;0,X1411/U1411,"")</f>
        <v/>
      </c>
      <c r="Z1411" s="23">
        <v>0</v>
      </c>
      <c r="AA1411" s="25">
        <v>0</v>
      </c>
      <c r="AB1411" s="24">
        <v>0</v>
      </c>
      <c r="AC1411" s="24">
        <f t="shared" si="440"/>
        <v>0</v>
      </c>
      <c r="AD1411" s="53" t="str">
        <f t="shared" si="441"/>
        <v/>
      </c>
      <c r="AE1411" s="10"/>
    </row>
    <row r="1412" spans="1:31" x14ac:dyDescent="0.25">
      <c r="A1412" s="14" t="s">
        <v>109</v>
      </c>
      <c r="C1412" s="61" t="str">
        <f t="shared" si="439"/>
        <v>C100094</v>
      </c>
      <c r="F1412" s="8" t="str">
        <f>"C100067"</f>
        <v>C100067</v>
      </c>
      <c r="G1412" s="9" t="str">
        <f>"Stainless Thermos"</f>
        <v>Stainless Thermos</v>
      </c>
      <c r="H1412" s="47"/>
      <c r="I1412" s="47"/>
      <c r="J1412" s="23">
        <v>669.28000000000009</v>
      </c>
      <c r="K1412" s="25">
        <v>145</v>
      </c>
      <c r="L1412" s="24">
        <v>371.27</v>
      </c>
      <c r="M1412" s="24">
        <f>J1412-L1412</f>
        <v>298.0100000000001</v>
      </c>
      <c r="N1412" s="53">
        <f>IF(J1412&lt;&gt;0,M1412/J1412,"")</f>
        <v>0.44526954338991165</v>
      </c>
      <c r="O1412" s="23">
        <v>0</v>
      </c>
      <c r="P1412" s="25">
        <v>0</v>
      </c>
      <c r="Q1412" s="24">
        <v>0</v>
      </c>
      <c r="R1412" s="24">
        <f>O1412-Q1412</f>
        <v>0</v>
      </c>
      <c r="S1412" s="53" t="str">
        <f>IF(O1412&lt;&gt;0,R1412/O1412,"")</f>
        <v/>
      </c>
      <c r="T1412" s="10"/>
      <c r="U1412" s="23">
        <v>0</v>
      </c>
      <c r="V1412" s="25">
        <v>0</v>
      </c>
      <c r="W1412" s="24">
        <v>0</v>
      </c>
      <c r="X1412" s="24">
        <f>U1412-W1412</f>
        <v>0</v>
      </c>
      <c r="Y1412" s="53" t="str">
        <f>IF(U1412&lt;&gt;0,X1412/U1412,"")</f>
        <v/>
      </c>
      <c r="Z1412" s="23">
        <v>0</v>
      </c>
      <c r="AA1412" s="25">
        <v>0</v>
      </c>
      <c r="AB1412" s="24">
        <v>0</v>
      </c>
      <c r="AC1412" s="24">
        <f t="shared" si="440"/>
        <v>0</v>
      </c>
      <c r="AD1412" s="53" t="str">
        <f t="shared" si="441"/>
        <v/>
      </c>
      <c r="AE1412" s="10"/>
    </row>
    <row r="1413" spans="1:31" x14ac:dyDescent="0.25">
      <c r="A1413" s="14" t="s">
        <v>109</v>
      </c>
      <c r="C1413" s="61" t="str">
        <f t="shared" si="439"/>
        <v>C100094</v>
      </c>
      <c r="F1413" s="8" t="str">
        <f>"E100003"</f>
        <v>E100003</v>
      </c>
      <c r="G1413" s="9" t="str">
        <f>"Recycled Tote"</f>
        <v>Recycled Tote</v>
      </c>
      <c r="H1413" s="47"/>
      <c r="I1413" s="47"/>
      <c r="J1413" s="23">
        <v>439.08</v>
      </c>
      <c r="K1413" s="25">
        <v>145</v>
      </c>
      <c r="L1413" s="24">
        <v>246.51</v>
      </c>
      <c r="M1413" s="24">
        <f>J1413-L1413</f>
        <v>192.57</v>
      </c>
      <c r="N1413" s="53">
        <f>IF(J1413&lt;&gt;0,M1413/J1413,"")</f>
        <v>0.43857611369226562</v>
      </c>
      <c r="O1413" s="23">
        <v>0</v>
      </c>
      <c r="P1413" s="25">
        <v>0</v>
      </c>
      <c r="Q1413" s="24">
        <v>0</v>
      </c>
      <c r="R1413" s="24">
        <f>O1413-Q1413</f>
        <v>0</v>
      </c>
      <c r="S1413" s="53" t="str">
        <f>IF(O1413&lt;&gt;0,R1413/O1413,"")</f>
        <v/>
      </c>
      <c r="T1413" s="10"/>
      <c r="U1413" s="23">
        <v>0</v>
      </c>
      <c r="V1413" s="25">
        <v>0</v>
      </c>
      <c r="W1413" s="24">
        <v>0</v>
      </c>
      <c r="X1413" s="24">
        <f>U1413-W1413</f>
        <v>0</v>
      </c>
      <c r="Y1413" s="53" t="str">
        <f>IF(U1413&lt;&gt;0,X1413/U1413,"")</f>
        <v/>
      </c>
      <c r="Z1413" s="23">
        <v>0</v>
      </c>
      <c r="AA1413" s="25">
        <v>0</v>
      </c>
      <c r="AB1413" s="24">
        <v>0</v>
      </c>
      <c r="AC1413" s="24">
        <f t="shared" si="440"/>
        <v>0</v>
      </c>
      <c r="AD1413" s="53" t="str">
        <f t="shared" si="441"/>
        <v/>
      </c>
      <c r="AE1413" s="10"/>
    </row>
    <row r="1414" spans="1:31" x14ac:dyDescent="0.25">
      <c r="A1414" s="14" t="s">
        <v>109</v>
      </c>
      <c r="C1414" s="61" t="str">
        <f t="shared" si="439"/>
        <v>C100094</v>
      </c>
      <c r="F1414" s="8" t="str">
        <f>"E100006"</f>
        <v>E100006</v>
      </c>
      <c r="G1414" s="9" t="str">
        <f>"Budget Tote Bag"</f>
        <v>Budget Tote Bag</v>
      </c>
      <c r="H1414" s="47"/>
      <c r="I1414" s="47"/>
      <c r="J1414" s="23">
        <v>0.09</v>
      </c>
      <c r="K1414" s="25">
        <v>1</v>
      </c>
      <c r="L1414" s="24">
        <v>0.04</v>
      </c>
      <c r="M1414" s="24">
        <f>J1414-L1414</f>
        <v>4.9999999999999996E-2</v>
      </c>
      <c r="N1414" s="53">
        <f>IF(J1414&lt;&gt;0,M1414/J1414,"")</f>
        <v>0.55555555555555558</v>
      </c>
      <c r="O1414" s="23">
        <v>0</v>
      </c>
      <c r="P1414" s="25">
        <v>0</v>
      </c>
      <c r="Q1414" s="24">
        <v>0</v>
      </c>
      <c r="R1414" s="24">
        <f>O1414-Q1414</f>
        <v>0</v>
      </c>
      <c r="S1414" s="53" t="str">
        <f>IF(O1414&lt;&gt;0,R1414/O1414,"")</f>
        <v/>
      </c>
      <c r="T1414" s="10"/>
      <c r="U1414" s="23">
        <v>0</v>
      </c>
      <c r="V1414" s="25">
        <v>0</v>
      </c>
      <c r="W1414" s="24">
        <v>0</v>
      </c>
      <c r="X1414" s="24">
        <f>U1414-W1414</f>
        <v>0</v>
      </c>
      <c r="Y1414" s="53" t="str">
        <f>IF(U1414&lt;&gt;0,X1414/U1414,"")</f>
        <v/>
      </c>
      <c r="Z1414" s="23">
        <v>0.1</v>
      </c>
      <c r="AA1414" s="25">
        <v>1</v>
      </c>
      <c r="AB1414" s="24">
        <v>0.04</v>
      </c>
      <c r="AC1414" s="24">
        <f t="shared" si="440"/>
        <v>6.0000000000000005E-2</v>
      </c>
      <c r="AD1414" s="53">
        <f t="shared" si="441"/>
        <v>0.6</v>
      </c>
      <c r="AE1414" s="10"/>
    </row>
    <row r="1415" spans="1:31" x14ac:dyDescent="0.25">
      <c r="A1415" s="14" t="s">
        <v>109</v>
      </c>
      <c r="C1415" s="61" t="str">
        <f t="shared" si="439"/>
        <v>C100094</v>
      </c>
      <c r="F1415" s="8" t="str">
        <f>"E100009"</f>
        <v>E100009</v>
      </c>
      <c r="G1415" s="9" t="str">
        <f>"Die-Cut Tote"</f>
        <v>Die-Cut Tote</v>
      </c>
      <c r="H1415" s="47"/>
      <c r="I1415" s="47"/>
      <c r="J1415" s="23">
        <v>32.470000000000006</v>
      </c>
      <c r="K1415" s="25">
        <v>144</v>
      </c>
      <c r="L1415" s="24">
        <v>15.85</v>
      </c>
      <c r="M1415" s="24">
        <f>J1415-L1415</f>
        <v>16.620000000000005</v>
      </c>
      <c r="N1415" s="53">
        <f>IF(J1415&lt;&gt;0,M1415/J1415,"")</f>
        <v>0.51185709886048669</v>
      </c>
      <c r="O1415" s="23">
        <v>0</v>
      </c>
      <c r="P1415" s="25">
        <v>0</v>
      </c>
      <c r="Q1415" s="24">
        <v>0</v>
      </c>
      <c r="R1415" s="24">
        <f>O1415-Q1415</f>
        <v>0</v>
      </c>
      <c r="S1415" s="53" t="str">
        <f>IF(O1415&lt;&gt;0,R1415/O1415,"")</f>
        <v/>
      </c>
      <c r="T1415" s="10"/>
      <c r="U1415" s="23">
        <v>31.470000000000002</v>
      </c>
      <c r="V1415" s="25">
        <v>144</v>
      </c>
      <c r="W1415" s="24">
        <v>15.85</v>
      </c>
      <c r="X1415" s="24">
        <f>U1415-W1415</f>
        <v>15.620000000000003</v>
      </c>
      <c r="Y1415" s="53">
        <f>IF(U1415&lt;&gt;0,X1415/U1415,"")</f>
        <v>0.49634572608833816</v>
      </c>
      <c r="Z1415" s="23">
        <v>0</v>
      </c>
      <c r="AA1415" s="25">
        <v>0</v>
      </c>
      <c r="AB1415" s="24">
        <v>0</v>
      </c>
      <c r="AC1415" s="24">
        <f t="shared" si="440"/>
        <v>0</v>
      </c>
      <c r="AD1415" s="53" t="str">
        <f t="shared" si="441"/>
        <v/>
      </c>
      <c r="AE1415" s="10"/>
    </row>
    <row r="1416" spans="1:31" x14ac:dyDescent="0.25">
      <c r="A1416" s="14" t="s">
        <v>109</v>
      </c>
      <c r="C1416" s="61" t="str">
        <f t="shared" si="439"/>
        <v>C100094</v>
      </c>
      <c r="F1416" s="8" t="str">
        <f>"E100015"</f>
        <v>E100015</v>
      </c>
      <c r="G1416" s="9" t="str">
        <f>"360 Clip Watch"</f>
        <v>360 Clip Watch</v>
      </c>
      <c r="H1416" s="47"/>
      <c r="I1416" s="47"/>
      <c r="J1416" s="23">
        <v>303.39999999999998</v>
      </c>
      <c r="K1416" s="25">
        <v>144</v>
      </c>
      <c r="L1416" s="24">
        <v>146.88</v>
      </c>
      <c r="M1416" s="24">
        <f>J1416-L1416</f>
        <v>156.51999999999998</v>
      </c>
      <c r="N1416" s="53">
        <f>IF(J1416&lt;&gt;0,M1416/J1416,"")</f>
        <v>0.51588661832564264</v>
      </c>
      <c r="O1416" s="23">
        <v>0</v>
      </c>
      <c r="P1416" s="25">
        <v>0</v>
      </c>
      <c r="Q1416" s="24">
        <v>0</v>
      </c>
      <c r="R1416" s="24">
        <f>O1416-Q1416</f>
        <v>0</v>
      </c>
      <c r="S1416" s="53" t="str">
        <f>IF(O1416&lt;&gt;0,R1416/O1416,"")</f>
        <v/>
      </c>
      <c r="T1416" s="10"/>
      <c r="U1416" s="23">
        <v>0</v>
      </c>
      <c r="V1416" s="25">
        <v>0</v>
      </c>
      <c r="W1416" s="24">
        <v>0</v>
      </c>
      <c r="X1416" s="24">
        <f>U1416-W1416</f>
        <v>0</v>
      </c>
      <c r="Y1416" s="53" t="str">
        <f>IF(U1416&lt;&gt;0,X1416/U1416,"")</f>
        <v/>
      </c>
      <c r="Z1416" s="23">
        <v>305.52000000000004</v>
      </c>
      <c r="AA1416" s="25">
        <v>145</v>
      </c>
      <c r="AB1416" s="24">
        <v>147.9</v>
      </c>
      <c r="AC1416" s="24">
        <f t="shared" si="440"/>
        <v>157.62000000000003</v>
      </c>
      <c r="AD1416" s="53">
        <f t="shared" si="441"/>
        <v>0.5159073055773763</v>
      </c>
      <c r="AE1416" s="10"/>
    </row>
    <row r="1417" spans="1:31" x14ac:dyDescent="0.25">
      <c r="A1417" s="14" t="s">
        <v>109</v>
      </c>
      <c r="C1417" s="61" t="str">
        <f t="shared" si="439"/>
        <v>C100094</v>
      </c>
      <c r="F1417" s="8" t="str">
        <f>"E100016"</f>
        <v>E100016</v>
      </c>
      <c r="G1417" s="9" t="str">
        <f>"4 Function Rotating Carabiner Watch"</f>
        <v>4 Function Rotating Carabiner Watch</v>
      </c>
      <c r="H1417" s="47"/>
      <c r="I1417" s="47"/>
      <c r="J1417" s="23">
        <v>429.00000000000006</v>
      </c>
      <c r="K1417" s="25">
        <v>144</v>
      </c>
      <c r="L1417" s="24">
        <v>198.73000000000002</v>
      </c>
      <c r="M1417" s="24">
        <f>J1417-L1417</f>
        <v>230.27000000000004</v>
      </c>
      <c r="N1417" s="53">
        <f>IF(J1417&lt;&gt;0,M1417/J1417,"")</f>
        <v>0.53675990675990681</v>
      </c>
      <c r="O1417" s="23">
        <v>0</v>
      </c>
      <c r="P1417" s="25">
        <v>0</v>
      </c>
      <c r="Q1417" s="24">
        <v>0</v>
      </c>
      <c r="R1417" s="24">
        <f>O1417-Q1417</f>
        <v>0</v>
      </c>
      <c r="S1417" s="53" t="str">
        <f>IF(O1417&lt;&gt;0,R1417/O1417,"")</f>
        <v/>
      </c>
      <c r="T1417" s="10"/>
      <c r="U1417" s="23">
        <v>0</v>
      </c>
      <c r="V1417" s="25">
        <v>0</v>
      </c>
      <c r="W1417" s="24">
        <v>0</v>
      </c>
      <c r="X1417" s="24">
        <f>U1417-W1417</f>
        <v>0</v>
      </c>
      <c r="Y1417" s="53" t="str">
        <f>IF(U1417&lt;&gt;0,X1417/U1417,"")</f>
        <v/>
      </c>
      <c r="Z1417" s="23">
        <v>858.02</v>
      </c>
      <c r="AA1417" s="25">
        <v>288</v>
      </c>
      <c r="AB1417" s="24">
        <v>397.46000000000004</v>
      </c>
      <c r="AC1417" s="24">
        <f t="shared" si="440"/>
        <v>460.55999999999995</v>
      </c>
      <c r="AD1417" s="53">
        <f t="shared" si="441"/>
        <v>0.5367707046455793</v>
      </c>
      <c r="AE1417" s="10"/>
    </row>
    <row r="1418" spans="1:31" x14ac:dyDescent="0.25">
      <c r="A1418" s="14" t="s">
        <v>109</v>
      </c>
      <c r="C1418" s="61" t="str">
        <f t="shared" si="439"/>
        <v>C100094</v>
      </c>
      <c r="F1418" s="8" t="str">
        <f>"E100017"</f>
        <v>E100017</v>
      </c>
      <c r="G1418" s="9" t="str">
        <f>"Clip-on Clock with Compass"</f>
        <v>Clip-on Clock with Compass</v>
      </c>
      <c r="H1418" s="47"/>
      <c r="I1418" s="47"/>
      <c r="J1418" s="23">
        <v>220.13</v>
      </c>
      <c r="K1418" s="25">
        <v>144</v>
      </c>
      <c r="L1418" s="24">
        <v>126.72</v>
      </c>
      <c r="M1418" s="24">
        <f>J1418-L1418</f>
        <v>93.41</v>
      </c>
      <c r="N1418" s="53">
        <f>IF(J1418&lt;&gt;0,M1418/J1418,"")</f>
        <v>0.42434016263117247</v>
      </c>
      <c r="O1418" s="23">
        <v>0</v>
      </c>
      <c r="P1418" s="25">
        <v>0</v>
      </c>
      <c r="Q1418" s="24">
        <v>0</v>
      </c>
      <c r="R1418" s="24">
        <f>O1418-Q1418</f>
        <v>0</v>
      </c>
      <c r="S1418" s="53" t="str">
        <f>IF(O1418&lt;&gt;0,R1418/O1418,"")</f>
        <v/>
      </c>
      <c r="T1418" s="10"/>
      <c r="U1418" s="23">
        <v>0</v>
      </c>
      <c r="V1418" s="25">
        <v>0</v>
      </c>
      <c r="W1418" s="24">
        <v>0</v>
      </c>
      <c r="X1418" s="24">
        <f>U1418-W1418</f>
        <v>0</v>
      </c>
      <c r="Y1418" s="53" t="str">
        <f>IF(U1418&lt;&gt;0,X1418/U1418,"")</f>
        <v/>
      </c>
      <c r="Z1418" s="23">
        <v>73.36</v>
      </c>
      <c r="AA1418" s="25">
        <v>48</v>
      </c>
      <c r="AB1418" s="24">
        <v>42.24</v>
      </c>
      <c r="AC1418" s="24">
        <f t="shared" si="440"/>
        <v>31.119999999999997</v>
      </c>
      <c r="AD1418" s="53">
        <f t="shared" si="441"/>
        <v>0.42420937840785167</v>
      </c>
      <c r="AE1418" s="10"/>
    </row>
    <row r="1419" spans="1:31" x14ac:dyDescent="0.25">
      <c r="A1419" s="14" t="s">
        <v>109</v>
      </c>
      <c r="C1419" s="61" t="str">
        <f t="shared" si="439"/>
        <v>C100094</v>
      </c>
      <c r="F1419" s="8" t="str">
        <f>"E100022"</f>
        <v>E100022</v>
      </c>
      <c r="G1419" s="9" t="str">
        <f>"Wide Screen Alarm Clock"</f>
        <v>Wide Screen Alarm Clock</v>
      </c>
      <c r="H1419" s="47"/>
      <c r="I1419" s="47"/>
      <c r="J1419" s="23">
        <v>272.36</v>
      </c>
      <c r="K1419" s="25">
        <v>144</v>
      </c>
      <c r="L1419" s="24">
        <v>184.31</v>
      </c>
      <c r="M1419" s="24">
        <f>J1419-L1419</f>
        <v>88.050000000000011</v>
      </c>
      <c r="N1419" s="53">
        <f>IF(J1419&lt;&gt;0,M1419/J1419,"")</f>
        <v>0.32328535761492144</v>
      </c>
      <c r="O1419" s="23">
        <v>0</v>
      </c>
      <c r="P1419" s="25">
        <v>0</v>
      </c>
      <c r="Q1419" s="24">
        <v>0</v>
      </c>
      <c r="R1419" s="24">
        <f>O1419-Q1419</f>
        <v>0</v>
      </c>
      <c r="S1419" s="53" t="str">
        <f>IF(O1419&lt;&gt;0,R1419/O1419,"")</f>
        <v/>
      </c>
      <c r="T1419" s="10"/>
      <c r="U1419" s="23">
        <v>0</v>
      </c>
      <c r="V1419" s="25">
        <v>0</v>
      </c>
      <c r="W1419" s="24">
        <v>0</v>
      </c>
      <c r="X1419" s="24">
        <f>U1419-W1419</f>
        <v>0</v>
      </c>
      <c r="Y1419" s="53" t="str">
        <f>IF(U1419&lt;&gt;0,X1419/U1419,"")</f>
        <v/>
      </c>
      <c r="Z1419" s="23">
        <v>272.36</v>
      </c>
      <c r="AA1419" s="25">
        <v>144</v>
      </c>
      <c r="AB1419" s="24">
        <v>184.31</v>
      </c>
      <c r="AC1419" s="24">
        <f t="shared" si="440"/>
        <v>88.050000000000011</v>
      </c>
      <c r="AD1419" s="53">
        <f t="shared" si="441"/>
        <v>0.32328535761492144</v>
      </c>
      <c r="AE1419" s="10"/>
    </row>
    <row r="1420" spans="1:31" x14ac:dyDescent="0.25">
      <c r="A1420" s="14" t="s">
        <v>109</v>
      </c>
      <c r="C1420" s="61" t="str">
        <f t="shared" si="439"/>
        <v>C100094</v>
      </c>
      <c r="F1420" s="8" t="str">
        <f>"E100023"</f>
        <v>E100023</v>
      </c>
      <c r="G1420" s="9" t="str">
        <f>"Sport Earbuds"</f>
        <v>Sport Earbuds</v>
      </c>
      <c r="H1420" s="47"/>
      <c r="I1420" s="47"/>
      <c r="J1420" s="23">
        <v>1275.72</v>
      </c>
      <c r="K1420" s="25">
        <v>288</v>
      </c>
      <c r="L1420" s="24">
        <v>604.79999999999995</v>
      </c>
      <c r="M1420" s="24">
        <f>J1420-L1420</f>
        <v>670.92000000000007</v>
      </c>
      <c r="N1420" s="53">
        <f>IF(J1420&lt;&gt;0,M1420/J1420,"")</f>
        <v>0.52591477753739069</v>
      </c>
      <c r="O1420" s="23">
        <v>0</v>
      </c>
      <c r="P1420" s="25">
        <v>0</v>
      </c>
      <c r="Q1420" s="24">
        <v>0</v>
      </c>
      <c r="R1420" s="24">
        <f>O1420-Q1420</f>
        <v>0</v>
      </c>
      <c r="S1420" s="53" t="str">
        <f>IF(O1420&lt;&gt;0,R1420/O1420,"")</f>
        <v/>
      </c>
      <c r="T1420" s="10"/>
      <c r="U1420" s="23">
        <v>0</v>
      </c>
      <c r="V1420" s="25">
        <v>0</v>
      </c>
      <c r="W1420" s="24">
        <v>0</v>
      </c>
      <c r="X1420" s="24">
        <f>U1420-W1420</f>
        <v>0</v>
      </c>
      <c r="Y1420" s="53" t="str">
        <f>IF(U1420&lt;&gt;0,X1420/U1420,"")</f>
        <v/>
      </c>
      <c r="Z1420" s="23">
        <v>0</v>
      </c>
      <c r="AA1420" s="25">
        <v>0</v>
      </c>
      <c r="AB1420" s="24">
        <v>0</v>
      </c>
      <c r="AC1420" s="24">
        <f t="shared" si="440"/>
        <v>0</v>
      </c>
      <c r="AD1420" s="53" t="str">
        <f t="shared" si="441"/>
        <v/>
      </c>
      <c r="AE1420" s="10"/>
    </row>
    <row r="1421" spans="1:31" x14ac:dyDescent="0.25">
      <c r="A1421" s="14" t="s">
        <v>109</v>
      </c>
      <c r="C1421" s="61" t="str">
        <f t="shared" si="439"/>
        <v>C100094</v>
      </c>
      <c r="F1421" s="8" t="str">
        <f>"E100026"</f>
        <v>E100026</v>
      </c>
      <c r="G1421" s="9" t="str">
        <f>"Desk Calculator"</f>
        <v>Desk Calculator</v>
      </c>
      <c r="H1421" s="47"/>
      <c r="I1421" s="47"/>
      <c r="J1421" s="23">
        <v>0.84</v>
      </c>
      <c r="K1421" s="25">
        <v>1</v>
      </c>
      <c r="L1421" s="24">
        <v>0.48</v>
      </c>
      <c r="M1421" s="24">
        <f>J1421-L1421</f>
        <v>0.36</v>
      </c>
      <c r="N1421" s="53">
        <f>IF(J1421&lt;&gt;0,M1421/J1421,"")</f>
        <v>0.42857142857142855</v>
      </c>
      <c r="O1421" s="23">
        <v>0</v>
      </c>
      <c r="P1421" s="25">
        <v>0</v>
      </c>
      <c r="Q1421" s="24">
        <v>0</v>
      </c>
      <c r="R1421" s="24">
        <f>O1421-Q1421</f>
        <v>0</v>
      </c>
      <c r="S1421" s="53" t="str">
        <f>IF(O1421&lt;&gt;0,R1421/O1421,"")</f>
        <v/>
      </c>
      <c r="T1421" s="10"/>
      <c r="U1421" s="23">
        <v>155.03</v>
      </c>
      <c r="V1421" s="25">
        <v>192</v>
      </c>
      <c r="W1421" s="24">
        <v>92.24</v>
      </c>
      <c r="X1421" s="24">
        <f>U1421-W1421</f>
        <v>62.790000000000006</v>
      </c>
      <c r="Y1421" s="53">
        <f>IF(U1421&lt;&gt;0,X1421/U1421,"")</f>
        <v>0.40501838353866998</v>
      </c>
      <c r="Z1421" s="23">
        <v>239.89000000000001</v>
      </c>
      <c r="AA1421" s="25">
        <v>288</v>
      </c>
      <c r="AB1421" s="24">
        <v>138.36000000000001</v>
      </c>
      <c r="AC1421" s="24">
        <f t="shared" si="440"/>
        <v>101.53</v>
      </c>
      <c r="AD1421" s="53">
        <f t="shared" si="441"/>
        <v>0.42323564967276667</v>
      </c>
      <c r="AE1421" s="10"/>
    </row>
    <row r="1422" spans="1:31" x14ac:dyDescent="0.25">
      <c r="A1422" s="14" t="s">
        <v>109</v>
      </c>
      <c r="C1422" s="61" t="str">
        <f t="shared" si="439"/>
        <v>C100094</v>
      </c>
      <c r="F1422" s="8" t="str">
        <f>"E100028"</f>
        <v>E100028</v>
      </c>
      <c r="G1422" s="9" t="str">
        <f>"USB 4-Port Hub"</f>
        <v>USB 4-Port Hub</v>
      </c>
      <c r="H1422" s="47"/>
      <c r="I1422" s="47"/>
      <c r="J1422" s="23">
        <v>2.81</v>
      </c>
      <c r="K1422" s="25">
        <v>1</v>
      </c>
      <c r="L1422" s="24">
        <v>1.86</v>
      </c>
      <c r="M1422" s="24">
        <f>J1422-L1422</f>
        <v>0.95</v>
      </c>
      <c r="N1422" s="53">
        <f>IF(J1422&lt;&gt;0,M1422/J1422,"")</f>
        <v>0.33807829181494659</v>
      </c>
      <c r="O1422" s="23">
        <v>0</v>
      </c>
      <c r="P1422" s="25">
        <v>0</v>
      </c>
      <c r="Q1422" s="24">
        <v>0</v>
      </c>
      <c r="R1422" s="24">
        <f>O1422-Q1422</f>
        <v>0</v>
      </c>
      <c r="S1422" s="53" t="str">
        <f>IF(O1422&lt;&gt;0,R1422/O1422,"")</f>
        <v/>
      </c>
      <c r="T1422" s="10"/>
      <c r="U1422" s="23">
        <v>393.97</v>
      </c>
      <c r="V1422" s="25">
        <v>144</v>
      </c>
      <c r="W1422" s="24">
        <v>267.91000000000003</v>
      </c>
      <c r="X1422" s="24">
        <f>U1422-W1422</f>
        <v>126.06</v>
      </c>
      <c r="Y1422" s="53">
        <f>IF(U1422&lt;&gt;0,X1422/U1422,"")</f>
        <v>0.31997360205091757</v>
      </c>
      <c r="Z1422" s="23">
        <v>0</v>
      </c>
      <c r="AA1422" s="25">
        <v>0</v>
      </c>
      <c r="AB1422" s="24">
        <v>0</v>
      </c>
      <c r="AC1422" s="24">
        <f t="shared" si="440"/>
        <v>0</v>
      </c>
      <c r="AD1422" s="53" t="str">
        <f t="shared" si="441"/>
        <v/>
      </c>
      <c r="AE1422" s="10"/>
    </row>
    <row r="1423" spans="1:31" x14ac:dyDescent="0.25">
      <c r="A1423" s="14" t="s">
        <v>109</v>
      </c>
      <c r="C1423" s="61" t="str">
        <f t="shared" si="439"/>
        <v>C100094</v>
      </c>
      <c r="F1423" s="8" t="str">
        <f>"E100034"</f>
        <v>E100034</v>
      </c>
      <c r="G1423" s="9" t="str">
        <f>"Bamboo 1GB USB Flash Drive"</f>
        <v>Bamboo 1GB USB Flash Drive</v>
      </c>
      <c r="H1423" s="47"/>
      <c r="I1423" s="47"/>
      <c r="J1423" s="23">
        <v>819.91000000000008</v>
      </c>
      <c r="K1423" s="25">
        <v>144</v>
      </c>
      <c r="L1423" s="24">
        <v>388.83</v>
      </c>
      <c r="M1423" s="24">
        <f>J1423-L1423</f>
        <v>431.0800000000001</v>
      </c>
      <c r="N1423" s="53">
        <f>IF(J1423&lt;&gt;0,M1423/J1423,"")</f>
        <v>0.52576502299032823</v>
      </c>
      <c r="O1423" s="23">
        <v>0</v>
      </c>
      <c r="P1423" s="25">
        <v>0</v>
      </c>
      <c r="Q1423" s="24">
        <v>0</v>
      </c>
      <c r="R1423" s="24">
        <f>O1423-Q1423</f>
        <v>0</v>
      </c>
      <c r="S1423" s="53" t="str">
        <f>IF(O1423&lt;&gt;0,R1423/O1423,"")</f>
        <v/>
      </c>
      <c r="T1423" s="10"/>
      <c r="U1423" s="23">
        <v>794.81</v>
      </c>
      <c r="V1423" s="25">
        <v>144</v>
      </c>
      <c r="W1423" s="24">
        <v>388.83</v>
      </c>
      <c r="X1423" s="24">
        <f>U1423-W1423</f>
        <v>405.97999999999996</v>
      </c>
      <c r="Y1423" s="53">
        <f>IF(U1423&lt;&gt;0,X1423/U1423,"")</f>
        <v>0.51078874196348811</v>
      </c>
      <c r="Z1423" s="23">
        <v>0</v>
      </c>
      <c r="AA1423" s="25">
        <v>0</v>
      </c>
      <c r="AB1423" s="24">
        <v>0</v>
      </c>
      <c r="AC1423" s="24">
        <f t="shared" si="440"/>
        <v>0</v>
      </c>
      <c r="AD1423" s="53" t="str">
        <f t="shared" si="441"/>
        <v/>
      </c>
      <c r="AE1423" s="10"/>
    </row>
    <row r="1424" spans="1:31" x14ac:dyDescent="0.25">
      <c r="A1424" s="14" t="s">
        <v>109</v>
      </c>
      <c r="C1424" s="61" t="str">
        <f t="shared" si="439"/>
        <v>C100094</v>
      </c>
      <c r="F1424" s="8" t="str">
        <f>"E100042"</f>
        <v>E100042</v>
      </c>
      <c r="G1424" s="9" t="str">
        <f>"Soft Touch Travel Mug"</f>
        <v>Soft Touch Travel Mug</v>
      </c>
      <c r="H1424" s="47"/>
      <c r="I1424" s="47"/>
      <c r="J1424" s="23">
        <v>546.14</v>
      </c>
      <c r="K1424" s="25">
        <v>144</v>
      </c>
      <c r="L1424" s="24">
        <v>309.68</v>
      </c>
      <c r="M1424" s="24">
        <f>J1424-L1424</f>
        <v>236.45999999999998</v>
      </c>
      <c r="N1424" s="53">
        <f>IF(J1424&lt;&gt;0,M1424/J1424,"")</f>
        <v>0.43296590617790309</v>
      </c>
      <c r="O1424" s="23">
        <v>0</v>
      </c>
      <c r="P1424" s="25">
        <v>0</v>
      </c>
      <c r="Q1424" s="24">
        <v>0</v>
      </c>
      <c r="R1424" s="24">
        <f>O1424-Q1424</f>
        <v>0</v>
      </c>
      <c r="S1424" s="53" t="str">
        <f>IF(O1424&lt;&gt;0,R1424/O1424,"")</f>
        <v/>
      </c>
      <c r="T1424" s="10"/>
      <c r="U1424" s="23">
        <v>0</v>
      </c>
      <c r="V1424" s="25">
        <v>0</v>
      </c>
      <c r="W1424" s="24">
        <v>0</v>
      </c>
      <c r="X1424" s="24">
        <f>U1424-W1424</f>
        <v>0</v>
      </c>
      <c r="Y1424" s="53" t="str">
        <f>IF(U1424&lt;&gt;0,X1424/U1424,"")</f>
        <v/>
      </c>
      <c r="Z1424" s="23">
        <v>0</v>
      </c>
      <c r="AA1424" s="25">
        <v>0</v>
      </c>
      <c r="AB1424" s="24">
        <v>0</v>
      </c>
      <c r="AC1424" s="24">
        <f t="shared" si="440"/>
        <v>0</v>
      </c>
      <c r="AD1424" s="53" t="str">
        <f t="shared" si="441"/>
        <v/>
      </c>
      <c r="AE1424" s="10"/>
    </row>
    <row r="1425" spans="1:31" x14ac:dyDescent="0.25">
      <c r="A1425" s="14" t="s">
        <v>109</v>
      </c>
      <c r="C1425" s="61" t="str">
        <f t="shared" si="439"/>
        <v>C100094</v>
      </c>
      <c r="F1425" s="8" t="str">
        <f>"S100016"</f>
        <v>S100016</v>
      </c>
      <c r="G1425" s="9" t="str">
        <f>"Mesh Bucket Hat"</f>
        <v>Mesh Bucket Hat</v>
      </c>
      <c r="H1425" s="47"/>
      <c r="I1425" s="47"/>
      <c r="J1425" s="23">
        <v>702.77</v>
      </c>
      <c r="K1425" s="25">
        <v>144</v>
      </c>
      <c r="L1425" s="24">
        <v>396.01</v>
      </c>
      <c r="M1425" s="24">
        <f>J1425-L1425</f>
        <v>306.76</v>
      </c>
      <c r="N1425" s="53">
        <f>IF(J1425&lt;&gt;0,M1425/J1425,"")</f>
        <v>0.43650127353188101</v>
      </c>
      <c r="O1425" s="23">
        <v>0</v>
      </c>
      <c r="P1425" s="25">
        <v>0</v>
      </c>
      <c r="Q1425" s="24">
        <v>0</v>
      </c>
      <c r="R1425" s="24">
        <f>O1425-Q1425</f>
        <v>0</v>
      </c>
      <c r="S1425" s="53" t="str">
        <f>IF(O1425&lt;&gt;0,R1425/O1425,"")</f>
        <v/>
      </c>
      <c r="T1425" s="10"/>
      <c r="U1425" s="23">
        <v>681.27</v>
      </c>
      <c r="V1425" s="25">
        <v>144</v>
      </c>
      <c r="W1425" s="24">
        <v>396.01</v>
      </c>
      <c r="X1425" s="24">
        <f>U1425-W1425</f>
        <v>285.26</v>
      </c>
      <c r="Y1425" s="53">
        <f>IF(U1425&lt;&gt;0,X1425/U1425,"")</f>
        <v>0.41871798259133675</v>
      </c>
      <c r="Z1425" s="23">
        <v>0</v>
      </c>
      <c r="AA1425" s="25">
        <v>0</v>
      </c>
      <c r="AB1425" s="24">
        <v>0</v>
      </c>
      <c r="AC1425" s="24">
        <f t="shared" si="440"/>
        <v>0</v>
      </c>
      <c r="AD1425" s="53" t="str">
        <f t="shared" si="441"/>
        <v/>
      </c>
      <c r="AE1425" s="10"/>
    </row>
    <row r="1426" spans="1:31" x14ac:dyDescent="0.25">
      <c r="A1426" s="14" t="s">
        <v>109</v>
      </c>
      <c r="C1426" s="61" t="str">
        <f t="shared" si="439"/>
        <v>C100094</v>
      </c>
      <c r="F1426" s="8" t="str">
        <f>"S100024"</f>
        <v>S100024</v>
      </c>
      <c r="G1426" s="9" t="str">
        <f>"Aluminum SPORT BOT"</f>
        <v>Aluminum SPORT BOT</v>
      </c>
      <c r="H1426" s="47"/>
      <c r="I1426" s="47"/>
      <c r="J1426" s="23">
        <v>3.46</v>
      </c>
      <c r="K1426" s="25">
        <v>1</v>
      </c>
      <c r="L1426" s="24">
        <v>2.1</v>
      </c>
      <c r="M1426" s="24">
        <f>J1426-L1426</f>
        <v>1.3599999999999999</v>
      </c>
      <c r="N1426" s="53">
        <f>IF(J1426&lt;&gt;0,M1426/J1426,"")</f>
        <v>0.39306358381502887</v>
      </c>
      <c r="O1426" s="23">
        <v>0</v>
      </c>
      <c r="P1426" s="25">
        <v>0</v>
      </c>
      <c r="Q1426" s="24">
        <v>0</v>
      </c>
      <c r="R1426" s="24">
        <f>O1426-Q1426</f>
        <v>0</v>
      </c>
      <c r="S1426" s="53" t="str">
        <f>IF(O1426&lt;&gt;0,R1426/O1426,"")</f>
        <v/>
      </c>
      <c r="T1426" s="10"/>
      <c r="U1426" s="23">
        <v>0</v>
      </c>
      <c r="V1426" s="25">
        <v>0</v>
      </c>
      <c r="W1426" s="24">
        <v>0</v>
      </c>
      <c r="X1426" s="24">
        <f>U1426-W1426</f>
        <v>0</v>
      </c>
      <c r="Y1426" s="53" t="str">
        <f>IF(U1426&lt;&gt;0,X1426/U1426,"")</f>
        <v/>
      </c>
      <c r="Z1426" s="23">
        <v>166.05</v>
      </c>
      <c r="AA1426" s="25">
        <v>48</v>
      </c>
      <c r="AB1426" s="24">
        <v>100.8</v>
      </c>
      <c r="AC1426" s="24">
        <f t="shared" si="440"/>
        <v>65.250000000000014</v>
      </c>
      <c r="AD1426" s="53">
        <f t="shared" si="441"/>
        <v>0.39295392953929548</v>
      </c>
      <c r="AE1426" s="10"/>
    </row>
    <row r="1427" spans="1:31" ht="15.75" thickBot="1" x14ac:dyDescent="0.3">
      <c r="A1427" s="14" t="s">
        <v>109</v>
      </c>
      <c r="C1427" s="61" t="str">
        <f>C1409</f>
        <v>C100094</v>
      </c>
      <c r="J1427" s="10"/>
      <c r="K1427" s="11"/>
      <c r="L1427" s="11"/>
      <c r="M1427" s="11"/>
      <c r="N1427" s="12"/>
      <c r="O1427" s="10"/>
      <c r="P1427" s="11"/>
      <c r="Q1427" s="11"/>
      <c r="R1427" s="11"/>
      <c r="S1427" s="12"/>
      <c r="U1427" s="10"/>
      <c r="V1427" s="11"/>
      <c r="W1427" s="11"/>
      <c r="X1427" s="11"/>
      <c r="Y1427" s="12"/>
      <c r="Z1427" s="10"/>
      <c r="AA1427" s="11"/>
      <c r="AB1427" s="11"/>
      <c r="AC1427" s="11"/>
      <c r="AD1427" s="12"/>
    </row>
    <row r="1428" spans="1:31" ht="15.75" thickBot="1" x14ac:dyDescent="0.3">
      <c r="A1428" s="14" t="s">
        <v>109</v>
      </c>
      <c r="C1428" s="61" t="str">
        <f t="shared" si="436"/>
        <v>C100094</v>
      </c>
      <c r="G1428" s="48" t="str">
        <f>C1428&amp;" TOTAL:"</f>
        <v>C100094 TOTAL:</v>
      </c>
      <c r="H1428" s="50"/>
      <c r="I1428" s="50"/>
      <c r="J1428" s="34">
        <f>SUBTOTAL(9,J1408:J1427)</f>
        <v>7326.2300000000005</v>
      </c>
      <c r="K1428" s="35">
        <f>SUBTOTAL(9,K1408:K1427)</f>
        <v>2238</v>
      </c>
      <c r="L1428" s="36">
        <f>SUBTOTAL(9,L1408:L1427)</f>
        <v>3852.3599999999992</v>
      </c>
      <c r="M1428" s="36">
        <f>J1428-L1428</f>
        <v>3473.8700000000013</v>
      </c>
      <c r="N1428" s="37">
        <f>IF(J1428&lt;&gt;0,M1428/J1428,"")</f>
        <v>0.47416884263802817</v>
      </c>
      <c r="O1428" s="34">
        <f>SUBTOTAL(9,O1408:O1427)</f>
        <v>0</v>
      </c>
      <c r="P1428" s="35">
        <f>SUBTOTAL(9,P1408:P1427)</f>
        <v>0</v>
      </c>
      <c r="Q1428" s="36">
        <f>SUBTOTAL(9,Q1408:Q1427)</f>
        <v>0</v>
      </c>
      <c r="R1428" s="36">
        <f>O1428-Q1428</f>
        <v>0</v>
      </c>
      <c r="S1428" s="37" t="str">
        <f>IF(O1428&lt;&gt;0,R1428/O1428,"")</f>
        <v/>
      </c>
      <c r="U1428" s="34">
        <f>SUBTOTAL(9,U1408:U1427)</f>
        <v>2156.42</v>
      </c>
      <c r="V1428" s="35">
        <f>SUBTOTAL(9,V1408:V1427)</f>
        <v>792</v>
      </c>
      <c r="W1428" s="36">
        <f>SUBTOTAL(9,W1408:W1427)</f>
        <v>1218.92</v>
      </c>
      <c r="X1428" s="36">
        <f>U1428-W1428</f>
        <v>937.5</v>
      </c>
      <c r="Y1428" s="37">
        <f>IF(U1428&lt;&gt;0,X1428/U1428,"")</f>
        <v>0.43474833288505949</v>
      </c>
      <c r="Z1428" s="34">
        <f>SUBTOTAL(9,Z1408:Z1427)</f>
        <v>1916.5</v>
      </c>
      <c r="AA1428" s="35">
        <f>SUBTOTAL(9,AA1408:AA1427)</f>
        <v>963</v>
      </c>
      <c r="AB1428" s="36">
        <f>SUBTOTAL(9,AB1408:AB1427)</f>
        <v>1011.7900000000001</v>
      </c>
      <c r="AC1428" s="36">
        <f t="shared" ref="AC1428" si="442">Z1428-AB1428</f>
        <v>904.70999999999992</v>
      </c>
      <c r="AD1428" s="37">
        <f t="shared" ref="AD1428" si="443">IF(Z1428&lt;&gt;0,AC1428/Z1428,"")</f>
        <v>0.47206365770936598</v>
      </c>
    </row>
    <row r="1429" spans="1:31" x14ac:dyDescent="0.25">
      <c r="A1429" s="14" t="s">
        <v>109</v>
      </c>
      <c r="C1429" s="66"/>
      <c r="J1429" s="10"/>
      <c r="K1429" s="11"/>
      <c r="L1429" s="11"/>
      <c r="M1429" s="11"/>
      <c r="N1429" s="12"/>
      <c r="O1429" s="10"/>
      <c r="P1429" s="11"/>
      <c r="Q1429" s="11"/>
      <c r="R1429" s="11"/>
      <c r="S1429" s="12"/>
      <c r="U1429" s="10"/>
      <c r="V1429" s="11"/>
      <c r="W1429" s="11"/>
      <c r="X1429" s="11"/>
      <c r="Y1429" s="12"/>
      <c r="Z1429" s="10"/>
      <c r="AA1429" s="11"/>
      <c r="AB1429" s="11"/>
      <c r="AC1429" s="11"/>
      <c r="AD1429" s="12"/>
    </row>
    <row r="1430" spans="1:31" ht="15.75" x14ac:dyDescent="0.25">
      <c r="A1430" s="14" t="s">
        <v>109</v>
      </c>
      <c r="C1430" s="66" t="str">
        <f t="shared" ref="C1430" si="444">E1430</f>
        <v>C100095</v>
      </c>
      <c r="E1430" s="13" t="str">
        <f>"C100095"</f>
        <v>C100095</v>
      </c>
      <c r="F1430" s="13"/>
      <c r="G1430" s="13" t="str">
        <f>"Randotax Outfitters"</f>
        <v>Randotax Outfitters</v>
      </c>
      <c r="H1430" s="13"/>
      <c r="I1430" s="13"/>
      <c r="J1430" s="10"/>
      <c r="K1430" s="11"/>
      <c r="L1430" s="11"/>
      <c r="M1430" s="11"/>
      <c r="N1430" s="12"/>
      <c r="O1430" s="10"/>
      <c r="P1430" s="11"/>
      <c r="Q1430" s="11"/>
      <c r="R1430" s="11"/>
      <c r="S1430" s="12"/>
      <c r="U1430" s="10"/>
      <c r="V1430" s="11"/>
      <c r="W1430" s="11"/>
      <c r="X1430" s="11"/>
      <c r="Y1430" s="12"/>
      <c r="Z1430" s="10"/>
      <c r="AA1430" s="11"/>
      <c r="AB1430" s="11"/>
      <c r="AC1430" s="11"/>
      <c r="AD1430" s="12"/>
    </row>
    <row r="1431" spans="1:31" ht="6.6" customHeight="1" x14ac:dyDescent="0.25">
      <c r="A1431" s="14" t="s">
        <v>109</v>
      </c>
      <c r="C1431" s="61" t="str">
        <f t="shared" ref="C1431:C1456" si="445">C1430</f>
        <v>C100095</v>
      </c>
      <c r="J1431" s="10"/>
      <c r="K1431" s="11"/>
      <c r="L1431" s="11"/>
      <c r="M1431" s="11"/>
      <c r="N1431" s="12"/>
      <c r="O1431" s="10"/>
      <c r="P1431" s="11"/>
      <c r="Q1431" s="11"/>
      <c r="R1431" s="11"/>
      <c r="S1431" s="12"/>
      <c r="U1431" s="10"/>
      <c r="V1431" s="11"/>
      <c r="W1431" s="11"/>
      <c r="X1431" s="11"/>
      <c r="Y1431" s="12"/>
      <c r="Z1431" s="10"/>
      <c r="AA1431" s="11"/>
      <c r="AB1431" s="11"/>
      <c r="AC1431" s="11"/>
      <c r="AD1431" s="12"/>
    </row>
    <row r="1432" spans="1:31" x14ac:dyDescent="0.25">
      <c r="A1432" s="14" t="s">
        <v>109</v>
      </c>
      <c r="C1432" s="61" t="str">
        <f t="shared" si="445"/>
        <v>C100095</v>
      </c>
      <c r="F1432" s="8" t="str">
        <f>"C100003"</f>
        <v>C100003</v>
      </c>
      <c r="G1432" s="9" t="str">
        <f>"Cherry Finish Frame"</f>
        <v>Cherry Finish Frame</v>
      </c>
      <c r="H1432" s="47"/>
      <c r="I1432" s="47"/>
      <c r="J1432" s="23">
        <v>0</v>
      </c>
      <c r="K1432" s="25">
        <v>0</v>
      </c>
      <c r="L1432" s="24">
        <v>0</v>
      </c>
      <c r="M1432" s="24">
        <f>J1432-L1432</f>
        <v>0</v>
      </c>
      <c r="N1432" s="53" t="str">
        <f>IF(J1432&lt;&gt;0,M1432/J1432,"")</f>
        <v/>
      </c>
      <c r="O1432" s="23">
        <v>9580.64</v>
      </c>
      <c r="P1432" s="25">
        <v>144</v>
      </c>
      <c r="Q1432" s="24">
        <v>4700.1499999999996</v>
      </c>
      <c r="R1432" s="24">
        <f>O1432-Q1432</f>
        <v>4880.49</v>
      </c>
      <c r="S1432" s="53">
        <f>IF(O1432&lt;&gt;0,R1432/O1432,"")</f>
        <v>0.5094116885719534</v>
      </c>
      <c r="T1432" s="10"/>
      <c r="U1432" s="23">
        <v>0</v>
      </c>
      <c r="V1432" s="25">
        <v>0</v>
      </c>
      <c r="W1432" s="24">
        <v>0</v>
      </c>
      <c r="X1432" s="24">
        <f>U1432-W1432</f>
        <v>0</v>
      </c>
      <c r="Y1432" s="53" t="str">
        <f>IF(U1432&lt;&gt;0,X1432/U1432,"")</f>
        <v/>
      </c>
      <c r="Z1432" s="23">
        <v>0</v>
      </c>
      <c r="AA1432" s="25">
        <v>0</v>
      </c>
      <c r="AB1432" s="24">
        <v>0</v>
      </c>
      <c r="AC1432" s="24">
        <f t="shared" ref="AC1432" si="446">Z1432-AB1432</f>
        <v>0</v>
      </c>
      <c r="AD1432" s="53" t="str">
        <f t="shared" ref="AD1432" si="447">IF(Z1432&lt;&gt;0,AC1432/Z1432,"")</f>
        <v/>
      </c>
      <c r="AE1432" s="10"/>
    </row>
    <row r="1433" spans="1:31" x14ac:dyDescent="0.25">
      <c r="A1433" s="14" t="s">
        <v>109</v>
      </c>
      <c r="C1433" s="61" t="str">
        <f t="shared" ref="C1433:C1454" si="448">C1432</f>
        <v>C100095</v>
      </c>
      <c r="F1433" s="8" t="str">
        <f>"C100005"</f>
        <v>C100005</v>
      </c>
      <c r="G1433" s="9" t="str">
        <f>"Cherry Finished Crystal Award"</f>
        <v>Cherry Finished Crystal Award</v>
      </c>
      <c r="H1433" s="47"/>
      <c r="I1433" s="47"/>
      <c r="J1433" s="23">
        <v>6675.7400000000007</v>
      </c>
      <c r="K1433" s="25">
        <v>49</v>
      </c>
      <c r="L1433" s="24">
        <v>3475.57</v>
      </c>
      <c r="M1433" s="24">
        <f>J1433-L1433</f>
        <v>3200.1700000000005</v>
      </c>
      <c r="N1433" s="53">
        <f>IF(J1433&lt;&gt;0,M1433/J1433,"")</f>
        <v>0.47937307324731043</v>
      </c>
      <c r="O1433" s="23">
        <v>0</v>
      </c>
      <c r="P1433" s="25">
        <v>0</v>
      </c>
      <c r="Q1433" s="24">
        <v>0</v>
      </c>
      <c r="R1433" s="24">
        <f>O1433-Q1433</f>
        <v>0</v>
      </c>
      <c r="S1433" s="53" t="str">
        <f>IF(O1433&lt;&gt;0,R1433/O1433,"")</f>
        <v/>
      </c>
      <c r="T1433" s="10"/>
      <c r="U1433" s="23">
        <v>0</v>
      </c>
      <c r="V1433" s="25">
        <v>0</v>
      </c>
      <c r="W1433" s="24">
        <v>0</v>
      </c>
      <c r="X1433" s="24">
        <f>U1433-W1433</f>
        <v>0</v>
      </c>
      <c r="Y1433" s="53" t="str">
        <f>IF(U1433&lt;&gt;0,X1433/U1433,"")</f>
        <v/>
      </c>
      <c r="Z1433" s="23">
        <v>0</v>
      </c>
      <c r="AA1433" s="25">
        <v>0</v>
      </c>
      <c r="AB1433" s="24">
        <v>0</v>
      </c>
      <c r="AC1433" s="24">
        <f t="shared" ref="AC1433:AC1454" si="449">Z1433-AB1433</f>
        <v>0</v>
      </c>
      <c r="AD1433" s="53" t="str">
        <f t="shared" ref="AD1433:AD1454" si="450">IF(Z1433&lt;&gt;0,AC1433/Z1433,"")</f>
        <v/>
      </c>
      <c r="AE1433" s="10"/>
    </row>
    <row r="1434" spans="1:31" x14ac:dyDescent="0.25">
      <c r="A1434" s="14" t="s">
        <v>109</v>
      </c>
      <c r="C1434" s="61" t="str">
        <f t="shared" si="448"/>
        <v>C100095</v>
      </c>
      <c r="F1434" s="8" t="str">
        <f>"C100006"</f>
        <v>C100006</v>
      </c>
      <c r="G1434" s="9" t="str">
        <f>"Cherry Finished Crystal Award- Large"</f>
        <v>Cherry Finished Crystal Award- Large</v>
      </c>
      <c r="H1434" s="47"/>
      <c r="I1434" s="47"/>
      <c r="J1434" s="23">
        <v>9835.59</v>
      </c>
      <c r="K1434" s="25">
        <v>48</v>
      </c>
      <c r="L1434" s="24">
        <v>4561.92</v>
      </c>
      <c r="M1434" s="24">
        <f>J1434-L1434</f>
        <v>5273.67</v>
      </c>
      <c r="N1434" s="53">
        <f>IF(J1434&lt;&gt;0,M1434/J1434,"")</f>
        <v>0.53618237441780314</v>
      </c>
      <c r="O1434" s="23">
        <v>0</v>
      </c>
      <c r="P1434" s="25">
        <v>0</v>
      </c>
      <c r="Q1434" s="24">
        <v>0</v>
      </c>
      <c r="R1434" s="24">
        <f>O1434-Q1434</f>
        <v>0</v>
      </c>
      <c r="S1434" s="53" t="str">
        <f>IF(O1434&lt;&gt;0,R1434/O1434,"")</f>
        <v/>
      </c>
      <c r="T1434" s="10"/>
      <c r="U1434" s="23">
        <v>0</v>
      </c>
      <c r="V1434" s="25">
        <v>0</v>
      </c>
      <c r="W1434" s="24">
        <v>0</v>
      </c>
      <c r="X1434" s="24">
        <f>U1434-W1434</f>
        <v>0</v>
      </c>
      <c r="Y1434" s="53" t="str">
        <f>IF(U1434&lt;&gt;0,X1434/U1434,"")</f>
        <v/>
      </c>
      <c r="Z1434" s="23">
        <v>0</v>
      </c>
      <c r="AA1434" s="25">
        <v>0</v>
      </c>
      <c r="AB1434" s="24">
        <v>0</v>
      </c>
      <c r="AC1434" s="24">
        <f t="shared" si="449"/>
        <v>0</v>
      </c>
      <c r="AD1434" s="53" t="str">
        <f t="shared" si="450"/>
        <v/>
      </c>
      <c r="AE1434" s="10"/>
    </row>
    <row r="1435" spans="1:31" x14ac:dyDescent="0.25">
      <c r="A1435" s="14" t="s">
        <v>109</v>
      </c>
      <c r="C1435" s="61" t="str">
        <f t="shared" si="448"/>
        <v>C100095</v>
      </c>
      <c r="F1435" s="8" t="str">
        <f>"C100014"</f>
        <v>C100014</v>
      </c>
      <c r="G1435" s="9" t="str">
        <f>"Canvas Field Bag"</f>
        <v>Canvas Field Bag</v>
      </c>
      <c r="H1435" s="47"/>
      <c r="I1435" s="47"/>
      <c r="J1435" s="23">
        <v>0</v>
      </c>
      <c r="K1435" s="25">
        <v>0</v>
      </c>
      <c r="L1435" s="24">
        <v>0</v>
      </c>
      <c r="M1435" s="24">
        <f>J1435-L1435</f>
        <v>0</v>
      </c>
      <c r="N1435" s="53" t="str">
        <f>IF(J1435&lt;&gt;0,M1435/J1435,"")</f>
        <v/>
      </c>
      <c r="O1435" s="23">
        <v>110.07000000000001</v>
      </c>
      <c r="P1435" s="25">
        <v>12</v>
      </c>
      <c r="Q1435" s="24">
        <v>55.08</v>
      </c>
      <c r="R1435" s="24">
        <f>O1435-Q1435</f>
        <v>54.990000000000009</v>
      </c>
      <c r="S1435" s="53">
        <f>IF(O1435&lt;&gt;0,R1435/O1435,"")</f>
        <v>0.49959116925592811</v>
      </c>
      <c r="T1435" s="10"/>
      <c r="U1435" s="23">
        <v>0</v>
      </c>
      <c r="V1435" s="25">
        <v>0</v>
      </c>
      <c r="W1435" s="24">
        <v>0</v>
      </c>
      <c r="X1435" s="24">
        <f>U1435-W1435</f>
        <v>0</v>
      </c>
      <c r="Y1435" s="53" t="str">
        <f>IF(U1435&lt;&gt;0,X1435/U1435,"")</f>
        <v/>
      </c>
      <c r="Z1435" s="23">
        <v>0</v>
      </c>
      <c r="AA1435" s="25">
        <v>0</v>
      </c>
      <c r="AB1435" s="24">
        <v>0</v>
      </c>
      <c r="AC1435" s="24">
        <f t="shared" si="449"/>
        <v>0</v>
      </c>
      <c r="AD1435" s="53" t="str">
        <f t="shared" si="450"/>
        <v/>
      </c>
      <c r="AE1435" s="10"/>
    </row>
    <row r="1436" spans="1:31" x14ac:dyDescent="0.25">
      <c r="A1436" s="14" t="s">
        <v>109</v>
      </c>
      <c r="C1436" s="61" t="str">
        <f t="shared" si="448"/>
        <v>C100095</v>
      </c>
      <c r="F1436" s="8" t="str">
        <f>"C100019"</f>
        <v>C100019</v>
      </c>
      <c r="G1436" s="9" t="str">
        <f>"Black Duffel Bag"</f>
        <v>Black Duffel Bag</v>
      </c>
      <c r="H1436" s="47"/>
      <c r="I1436" s="47"/>
      <c r="J1436" s="23">
        <v>1657.9199999999998</v>
      </c>
      <c r="K1436" s="25">
        <v>24</v>
      </c>
      <c r="L1436" s="24">
        <v>1025.28</v>
      </c>
      <c r="M1436" s="24">
        <f>J1436-L1436</f>
        <v>632.63999999999987</v>
      </c>
      <c r="N1436" s="53">
        <f>IF(J1436&lt;&gt;0,M1436/J1436,"")</f>
        <v>0.38158656629994203</v>
      </c>
      <c r="O1436" s="23">
        <v>11605.47</v>
      </c>
      <c r="P1436" s="25">
        <v>168</v>
      </c>
      <c r="Q1436" s="24">
        <v>7176.9800000000005</v>
      </c>
      <c r="R1436" s="24">
        <f>O1436-Q1436</f>
        <v>4428.4899999999989</v>
      </c>
      <c r="S1436" s="53">
        <f>IF(O1436&lt;&gt;0,R1436/O1436,"")</f>
        <v>0.3815864415659167</v>
      </c>
      <c r="T1436" s="10"/>
      <c r="U1436" s="23">
        <v>-69.08</v>
      </c>
      <c r="V1436" s="25">
        <v>-1</v>
      </c>
      <c r="W1436" s="24">
        <v>-42.72</v>
      </c>
      <c r="X1436" s="24">
        <f>U1436-W1436</f>
        <v>-26.36</v>
      </c>
      <c r="Y1436" s="53">
        <f>IF(U1436&lt;&gt;0,X1436/U1436,"")</f>
        <v>0.38158656629994209</v>
      </c>
      <c r="Z1436" s="23">
        <v>0</v>
      </c>
      <c r="AA1436" s="25">
        <v>0</v>
      </c>
      <c r="AB1436" s="24">
        <v>0</v>
      </c>
      <c r="AC1436" s="24">
        <f t="shared" si="449"/>
        <v>0</v>
      </c>
      <c r="AD1436" s="53" t="str">
        <f t="shared" si="450"/>
        <v/>
      </c>
      <c r="AE1436" s="10"/>
    </row>
    <row r="1437" spans="1:31" x14ac:dyDescent="0.25">
      <c r="A1437" s="14" t="s">
        <v>109</v>
      </c>
      <c r="C1437" s="61" t="str">
        <f t="shared" si="448"/>
        <v>C100095</v>
      </c>
      <c r="F1437" s="8" t="str">
        <f>"C100025"</f>
        <v>C100025</v>
      </c>
      <c r="G1437" s="9" t="str">
        <f>"Striped Knit Hat"</f>
        <v>Striped Knit Hat</v>
      </c>
      <c r="H1437" s="47"/>
      <c r="I1437" s="47"/>
      <c r="J1437" s="23">
        <v>0</v>
      </c>
      <c r="K1437" s="25">
        <v>0</v>
      </c>
      <c r="L1437" s="24">
        <v>0</v>
      </c>
      <c r="M1437" s="24">
        <f>J1437-L1437</f>
        <v>0</v>
      </c>
      <c r="N1437" s="53" t="str">
        <f>IF(J1437&lt;&gt;0,M1437/J1437,"")</f>
        <v/>
      </c>
      <c r="O1437" s="23">
        <v>140.18</v>
      </c>
      <c r="P1437" s="25">
        <v>48</v>
      </c>
      <c r="Q1437" s="24">
        <v>66.239999999999995</v>
      </c>
      <c r="R1437" s="24">
        <f>O1437-Q1437</f>
        <v>73.940000000000012</v>
      </c>
      <c r="S1437" s="53">
        <f>IF(O1437&lt;&gt;0,R1437/O1437,"")</f>
        <v>0.52746468825795412</v>
      </c>
      <c r="T1437" s="10"/>
      <c r="U1437" s="23">
        <v>0</v>
      </c>
      <c r="V1437" s="25">
        <v>0</v>
      </c>
      <c r="W1437" s="24">
        <v>0</v>
      </c>
      <c r="X1437" s="24">
        <f>U1437-W1437</f>
        <v>0</v>
      </c>
      <c r="Y1437" s="53" t="str">
        <f>IF(U1437&lt;&gt;0,X1437/U1437,"")</f>
        <v/>
      </c>
      <c r="Z1437" s="23">
        <v>0</v>
      </c>
      <c r="AA1437" s="25">
        <v>0</v>
      </c>
      <c r="AB1437" s="24">
        <v>0</v>
      </c>
      <c r="AC1437" s="24">
        <f t="shared" si="449"/>
        <v>0</v>
      </c>
      <c r="AD1437" s="53" t="str">
        <f t="shared" si="450"/>
        <v/>
      </c>
      <c r="AE1437" s="10"/>
    </row>
    <row r="1438" spans="1:31" x14ac:dyDescent="0.25">
      <c r="A1438" s="14" t="s">
        <v>109</v>
      </c>
      <c r="C1438" s="61" t="str">
        <f t="shared" si="448"/>
        <v>C100095</v>
      </c>
      <c r="F1438" s="8" t="str">
        <f>"C100028"</f>
        <v>C100028</v>
      </c>
      <c r="G1438" s="9" t="str">
        <f>"Twill Visor"</f>
        <v>Twill Visor</v>
      </c>
      <c r="H1438" s="47"/>
      <c r="I1438" s="47"/>
      <c r="J1438" s="23">
        <v>721.12</v>
      </c>
      <c r="K1438" s="25">
        <v>144</v>
      </c>
      <c r="L1438" s="24">
        <v>345.61</v>
      </c>
      <c r="M1438" s="24">
        <f>J1438-L1438</f>
        <v>375.51</v>
      </c>
      <c r="N1438" s="53">
        <f>IF(J1438&lt;&gt;0,M1438/J1438,"")</f>
        <v>0.52073163967162195</v>
      </c>
      <c r="O1438" s="23">
        <v>0</v>
      </c>
      <c r="P1438" s="25">
        <v>0</v>
      </c>
      <c r="Q1438" s="24">
        <v>0</v>
      </c>
      <c r="R1438" s="24">
        <f>O1438-Q1438</f>
        <v>0</v>
      </c>
      <c r="S1438" s="53" t="str">
        <f>IF(O1438&lt;&gt;0,R1438/O1438,"")</f>
        <v/>
      </c>
      <c r="T1438" s="10"/>
      <c r="U1438" s="23">
        <v>0</v>
      </c>
      <c r="V1438" s="25">
        <v>0</v>
      </c>
      <c r="W1438" s="24">
        <v>0</v>
      </c>
      <c r="X1438" s="24">
        <f>U1438-W1438</f>
        <v>0</v>
      </c>
      <c r="Y1438" s="53" t="str">
        <f>IF(U1438&lt;&gt;0,X1438/U1438,"")</f>
        <v/>
      </c>
      <c r="Z1438" s="23">
        <v>0</v>
      </c>
      <c r="AA1438" s="25">
        <v>0</v>
      </c>
      <c r="AB1438" s="24">
        <v>0</v>
      </c>
      <c r="AC1438" s="24">
        <f t="shared" si="449"/>
        <v>0</v>
      </c>
      <c r="AD1438" s="53" t="str">
        <f t="shared" si="450"/>
        <v/>
      </c>
      <c r="AE1438" s="10"/>
    </row>
    <row r="1439" spans="1:31" x14ac:dyDescent="0.25">
      <c r="A1439" s="14" t="s">
        <v>109</v>
      </c>
      <c r="C1439" s="61" t="str">
        <f t="shared" si="448"/>
        <v>C100095</v>
      </c>
      <c r="F1439" s="8" t="str">
        <f>"C100030"</f>
        <v>C100030</v>
      </c>
      <c r="G1439" s="9" t="str">
        <f>"Fashion Visor"</f>
        <v>Fashion Visor</v>
      </c>
      <c r="H1439" s="47"/>
      <c r="I1439" s="47"/>
      <c r="J1439" s="23">
        <v>0</v>
      </c>
      <c r="K1439" s="25">
        <v>0</v>
      </c>
      <c r="L1439" s="24">
        <v>0</v>
      </c>
      <c r="M1439" s="24">
        <f>J1439-L1439</f>
        <v>0</v>
      </c>
      <c r="N1439" s="53" t="str">
        <f>IF(J1439&lt;&gt;0,M1439/J1439,"")</f>
        <v/>
      </c>
      <c r="O1439" s="23">
        <v>103.02000000000001</v>
      </c>
      <c r="P1439" s="25">
        <v>24</v>
      </c>
      <c r="Q1439" s="24">
        <v>58.08</v>
      </c>
      <c r="R1439" s="24">
        <f>O1439-Q1439</f>
        <v>44.940000000000012</v>
      </c>
      <c r="S1439" s="53">
        <f>IF(O1439&lt;&gt;0,R1439/O1439,"")</f>
        <v>0.43622597553873044</v>
      </c>
      <c r="T1439" s="10"/>
      <c r="U1439" s="23">
        <v>0</v>
      </c>
      <c r="V1439" s="25">
        <v>0</v>
      </c>
      <c r="W1439" s="24">
        <v>0</v>
      </c>
      <c r="X1439" s="24">
        <f>U1439-W1439</f>
        <v>0</v>
      </c>
      <c r="Y1439" s="53" t="str">
        <f>IF(U1439&lt;&gt;0,X1439/U1439,"")</f>
        <v/>
      </c>
      <c r="Z1439" s="23">
        <v>0</v>
      </c>
      <c r="AA1439" s="25">
        <v>0</v>
      </c>
      <c r="AB1439" s="24">
        <v>0</v>
      </c>
      <c r="AC1439" s="24">
        <f t="shared" si="449"/>
        <v>0</v>
      </c>
      <c r="AD1439" s="53" t="str">
        <f t="shared" si="450"/>
        <v/>
      </c>
      <c r="AE1439" s="10"/>
    </row>
    <row r="1440" spans="1:31" x14ac:dyDescent="0.25">
      <c r="A1440" s="14" t="s">
        <v>109</v>
      </c>
      <c r="C1440" s="61" t="str">
        <f t="shared" si="448"/>
        <v>C100095</v>
      </c>
      <c r="F1440" s="8" t="str">
        <f>"C100031"</f>
        <v>C100031</v>
      </c>
      <c r="G1440" s="9" t="str">
        <f>"Carabiner Watch"</f>
        <v>Carabiner Watch</v>
      </c>
      <c r="H1440" s="47"/>
      <c r="I1440" s="47"/>
      <c r="J1440" s="23">
        <v>0</v>
      </c>
      <c r="K1440" s="25">
        <v>0</v>
      </c>
      <c r="L1440" s="24">
        <v>0</v>
      </c>
      <c r="M1440" s="24">
        <f>J1440-L1440</f>
        <v>0</v>
      </c>
      <c r="N1440" s="53" t="str">
        <f>IF(J1440&lt;&gt;0,M1440/J1440,"")</f>
        <v/>
      </c>
      <c r="O1440" s="23">
        <v>2664.3500000000004</v>
      </c>
      <c r="P1440" s="25">
        <v>144</v>
      </c>
      <c r="Q1440" s="24">
        <v>1235.52</v>
      </c>
      <c r="R1440" s="24">
        <f>O1440-Q1440</f>
        <v>1428.8300000000004</v>
      </c>
      <c r="S1440" s="53">
        <f>IF(O1440&lt;&gt;0,R1440/O1440,"")</f>
        <v>0.53627714076604061</v>
      </c>
      <c r="T1440" s="10"/>
      <c r="U1440" s="23">
        <v>0</v>
      </c>
      <c r="V1440" s="25">
        <v>0</v>
      </c>
      <c r="W1440" s="24">
        <v>0</v>
      </c>
      <c r="X1440" s="24">
        <f>U1440-W1440</f>
        <v>0</v>
      </c>
      <c r="Y1440" s="53" t="str">
        <f>IF(U1440&lt;&gt;0,X1440/U1440,"")</f>
        <v/>
      </c>
      <c r="Z1440" s="23">
        <v>0</v>
      </c>
      <c r="AA1440" s="25">
        <v>0</v>
      </c>
      <c r="AB1440" s="24">
        <v>0</v>
      </c>
      <c r="AC1440" s="24">
        <f t="shared" si="449"/>
        <v>0</v>
      </c>
      <c r="AD1440" s="53" t="str">
        <f t="shared" si="450"/>
        <v/>
      </c>
      <c r="AE1440" s="10"/>
    </row>
    <row r="1441" spans="1:31" x14ac:dyDescent="0.25">
      <c r="A1441" s="14" t="s">
        <v>109</v>
      </c>
      <c r="C1441" s="61" t="str">
        <f t="shared" si="448"/>
        <v>C100095</v>
      </c>
      <c r="F1441" s="8" t="str">
        <f>"C100032"</f>
        <v>C100032</v>
      </c>
      <c r="G1441" s="9" t="str">
        <f>"Clip-on Clock"</f>
        <v>Clip-on Clock</v>
      </c>
      <c r="H1441" s="47"/>
      <c r="I1441" s="47"/>
      <c r="J1441" s="23">
        <v>0</v>
      </c>
      <c r="K1441" s="25">
        <v>0</v>
      </c>
      <c r="L1441" s="24">
        <v>0</v>
      </c>
      <c r="M1441" s="24">
        <f>J1441-L1441</f>
        <v>0</v>
      </c>
      <c r="N1441" s="53" t="str">
        <f>IF(J1441&lt;&gt;0,M1441/J1441,"")</f>
        <v/>
      </c>
      <c r="O1441" s="23">
        <v>8.08</v>
      </c>
      <c r="P1441" s="25">
        <v>1</v>
      </c>
      <c r="Q1441" s="24">
        <v>4.16</v>
      </c>
      <c r="R1441" s="24">
        <f>O1441-Q1441</f>
        <v>3.92</v>
      </c>
      <c r="S1441" s="53">
        <f>IF(O1441&lt;&gt;0,R1441/O1441,"")</f>
        <v>0.48514851485148514</v>
      </c>
      <c r="T1441" s="10"/>
      <c r="U1441" s="23">
        <v>0</v>
      </c>
      <c r="V1441" s="25">
        <v>0</v>
      </c>
      <c r="W1441" s="24">
        <v>0</v>
      </c>
      <c r="X1441" s="24">
        <f>U1441-W1441</f>
        <v>0</v>
      </c>
      <c r="Y1441" s="53" t="str">
        <f>IF(U1441&lt;&gt;0,X1441/U1441,"")</f>
        <v/>
      </c>
      <c r="Z1441" s="23">
        <v>0</v>
      </c>
      <c r="AA1441" s="25">
        <v>0</v>
      </c>
      <c r="AB1441" s="24">
        <v>0</v>
      </c>
      <c r="AC1441" s="24">
        <f t="shared" si="449"/>
        <v>0</v>
      </c>
      <c r="AD1441" s="53" t="str">
        <f t="shared" si="450"/>
        <v/>
      </c>
      <c r="AE1441" s="10"/>
    </row>
    <row r="1442" spans="1:31" x14ac:dyDescent="0.25">
      <c r="A1442" s="14" t="s">
        <v>109</v>
      </c>
      <c r="C1442" s="61" t="str">
        <f t="shared" si="448"/>
        <v>C100095</v>
      </c>
      <c r="F1442" s="8" t="str">
        <f>"E100001"</f>
        <v>E100001</v>
      </c>
      <c r="G1442" s="9" t="str">
        <f>"Sport Bag"</f>
        <v>Sport Bag</v>
      </c>
      <c r="H1442" s="47"/>
      <c r="I1442" s="47"/>
      <c r="J1442" s="23">
        <v>0</v>
      </c>
      <c r="K1442" s="25">
        <v>0</v>
      </c>
      <c r="L1442" s="24">
        <v>0</v>
      </c>
      <c r="M1442" s="24">
        <f>J1442-L1442</f>
        <v>0</v>
      </c>
      <c r="N1442" s="53" t="str">
        <f>IF(J1442&lt;&gt;0,M1442/J1442,"")</f>
        <v/>
      </c>
      <c r="O1442" s="23">
        <v>255.43</v>
      </c>
      <c r="P1442" s="25">
        <v>144</v>
      </c>
      <c r="Q1442" s="24">
        <v>125.28</v>
      </c>
      <c r="R1442" s="24">
        <f>O1442-Q1442</f>
        <v>130.15</v>
      </c>
      <c r="S1442" s="53">
        <f>IF(O1442&lt;&gt;0,R1442/O1442,"")</f>
        <v>0.50953294444661945</v>
      </c>
      <c r="T1442" s="10"/>
      <c r="U1442" s="23">
        <v>0</v>
      </c>
      <c r="V1442" s="25">
        <v>0</v>
      </c>
      <c r="W1442" s="24">
        <v>0</v>
      </c>
      <c r="X1442" s="24">
        <f>U1442-W1442</f>
        <v>0</v>
      </c>
      <c r="Y1442" s="53" t="str">
        <f>IF(U1442&lt;&gt;0,X1442/U1442,"")</f>
        <v/>
      </c>
      <c r="Z1442" s="23">
        <v>0</v>
      </c>
      <c r="AA1442" s="25">
        <v>0</v>
      </c>
      <c r="AB1442" s="24">
        <v>0</v>
      </c>
      <c r="AC1442" s="24">
        <f t="shared" si="449"/>
        <v>0</v>
      </c>
      <c r="AD1442" s="53" t="str">
        <f t="shared" si="450"/>
        <v/>
      </c>
      <c r="AE1442" s="10"/>
    </row>
    <row r="1443" spans="1:31" x14ac:dyDescent="0.25">
      <c r="A1443" s="14" t="s">
        <v>109</v>
      </c>
      <c r="C1443" s="61" t="str">
        <f t="shared" si="448"/>
        <v>C100095</v>
      </c>
      <c r="F1443" s="8" t="str">
        <f>"E100012"</f>
        <v>E100012</v>
      </c>
      <c r="G1443" s="9" t="str">
        <f>"Canvas Stopwatch"</f>
        <v>Canvas Stopwatch</v>
      </c>
      <c r="H1443" s="47"/>
      <c r="I1443" s="47"/>
      <c r="J1443" s="23">
        <v>0</v>
      </c>
      <c r="K1443" s="25">
        <v>0</v>
      </c>
      <c r="L1443" s="24">
        <v>0</v>
      </c>
      <c r="M1443" s="24">
        <f>J1443-L1443</f>
        <v>0</v>
      </c>
      <c r="N1443" s="53" t="str">
        <f>IF(J1443&lt;&gt;0,M1443/J1443,"")</f>
        <v/>
      </c>
      <c r="O1443" s="23">
        <v>522.14</v>
      </c>
      <c r="P1443" s="25">
        <v>144</v>
      </c>
      <c r="Q1443" s="24">
        <v>282.22999999999996</v>
      </c>
      <c r="R1443" s="24">
        <f>O1443-Q1443</f>
        <v>239.91000000000003</v>
      </c>
      <c r="S1443" s="53">
        <f>IF(O1443&lt;&gt;0,R1443/O1443,"")</f>
        <v>0.45947447044853879</v>
      </c>
      <c r="T1443" s="10"/>
      <c r="U1443" s="23">
        <v>0</v>
      </c>
      <c r="V1443" s="25">
        <v>0</v>
      </c>
      <c r="W1443" s="24">
        <v>0</v>
      </c>
      <c r="X1443" s="24">
        <f>U1443-W1443</f>
        <v>0</v>
      </c>
      <c r="Y1443" s="53" t="str">
        <f>IF(U1443&lt;&gt;0,X1443/U1443,"")</f>
        <v/>
      </c>
      <c r="Z1443" s="23">
        <v>0</v>
      </c>
      <c r="AA1443" s="25">
        <v>0</v>
      </c>
      <c r="AB1443" s="24">
        <v>0</v>
      </c>
      <c r="AC1443" s="24">
        <f t="shared" si="449"/>
        <v>0</v>
      </c>
      <c r="AD1443" s="53" t="str">
        <f t="shared" si="450"/>
        <v/>
      </c>
      <c r="AE1443" s="10"/>
    </row>
    <row r="1444" spans="1:31" x14ac:dyDescent="0.25">
      <c r="A1444" s="14" t="s">
        <v>109</v>
      </c>
      <c r="C1444" s="61" t="str">
        <f t="shared" si="448"/>
        <v>C100095</v>
      </c>
      <c r="F1444" s="8" t="str">
        <f>"E100015"</f>
        <v>E100015</v>
      </c>
      <c r="G1444" s="9" t="str">
        <f>"360 Clip Watch"</f>
        <v>360 Clip Watch</v>
      </c>
      <c r="H1444" s="47"/>
      <c r="I1444" s="47"/>
      <c r="J1444" s="23">
        <v>0</v>
      </c>
      <c r="K1444" s="25">
        <v>0</v>
      </c>
      <c r="L1444" s="24">
        <v>0</v>
      </c>
      <c r="M1444" s="24">
        <f>J1444-L1444</f>
        <v>0</v>
      </c>
      <c r="N1444" s="53" t="str">
        <f>IF(J1444&lt;&gt;0,M1444/J1444,"")</f>
        <v/>
      </c>
      <c r="O1444" s="23">
        <v>303.41000000000003</v>
      </c>
      <c r="P1444" s="25">
        <v>144</v>
      </c>
      <c r="Q1444" s="24">
        <v>146.88</v>
      </c>
      <c r="R1444" s="24">
        <f>O1444-Q1444</f>
        <v>156.53000000000003</v>
      </c>
      <c r="S1444" s="53">
        <f>IF(O1444&lt;&gt;0,R1444/O1444,"")</f>
        <v>0.51590257407468443</v>
      </c>
      <c r="T1444" s="10"/>
      <c r="U1444" s="23">
        <v>0</v>
      </c>
      <c r="V1444" s="25">
        <v>0</v>
      </c>
      <c r="W1444" s="24">
        <v>0</v>
      </c>
      <c r="X1444" s="24">
        <f>U1444-W1444</f>
        <v>0</v>
      </c>
      <c r="Y1444" s="53" t="str">
        <f>IF(U1444&lt;&gt;0,X1444/U1444,"")</f>
        <v/>
      </c>
      <c r="Z1444" s="23">
        <v>0</v>
      </c>
      <c r="AA1444" s="25">
        <v>0</v>
      </c>
      <c r="AB1444" s="24">
        <v>0</v>
      </c>
      <c r="AC1444" s="24">
        <f t="shared" si="449"/>
        <v>0</v>
      </c>
      <c r="AD1444" s="53" t="str">
        <f t="shared" si="450"/>
        <v/>
      </c>
      <c r="AE1444" s="10"/>
    </row>
    <row r="1445" spans="1:31" x14ac:dyDescent="0.25">
      <c r="A1445" s="14" t="s">
        <v>109</v>
      </c>
      <c r="C1445" s="61" t="str">
        <f t="shared" si="448"/>
        <v>C100095</v>
      </c>
      <c r="F1445" s="8" t="str">
        <f>"E100018"</f>
        <v>E100018</v>
      </c>
      <c r="G1445" s="9" t="str">
        <f>"Flexi-Clock &amp; Clip"</f>
        <v>Flexi-Clock &amp; Clip</v>
      </c>
      <c r="H1445" s="47"/>
      <c r="I1445" s="47"/>
      <c r="J1445" s="23">
        <v>166.10999999999999</v>
      </c>
      <c r="K1445" s="25">
        <v>150</v>
      </c>
      <c r="L1445" s="24">
        <v>89.990000000000009</v>
      </c>
      <c r="M1445" s="24">
        <f>J1445-L1445</f>
        <v>76.119999999999976</v>
      </c>
      <c r="N1445" s="53">
        <f>IF(J1445&lt;&gt;0,M1445/J1445,"")</f>
        <v>0.45825055685991201</v>
      </c>
      <c r="O1445" s="23">
        <v>0</v>
      </c>
      <c r="P1445" s="25">
        <v>0</v>
      </c>
      <c r="Q1445" s="24">
        <v>0</v>
      </c>
      <c r="R1445" s="24">
        <f>O1445-Q1445</f>
        <v>0</v>
      </c>
      <c r="S1445" s="53" t="str">
        <f>IF(O1445&lt;&gt;0,R1445/O1445,"")</f>
        <v/>
      </c>
      <c r="T1445" s="10"/>
      <c r="U1445" s="23">
        <v>0</v>
      </c>
      <c r="V1445" s="25">
        <v>0</v>
      </c>
      <c r="W1445" s="24">
        <v>0</v>
      </c>
      <c r="X1445" s="24">
        <f>U1445-W1445</f>
        <v>0</v>
      </c>
      <c r="Y1445" s="53" t="str">
        <f>IF(U1445&lt;&gt;0,X1445/U1445,"")</f>
        <v/>
      </c>
      <c r="Z1445" s="23">
        <v>0</v>
      </c>
      <c r="AA1445" s="25">
        <v>0</v>
      </c>
      <c r="AB1445" s="24">
        <v>0</v>
      </c>
      <c r="AC1445" s="24">
        <f t="shared" si="449"/>
        <v>0</v>
      </c>
      <c r="AD1445" s="53" t="str">
        <f t="shared" si="450"/>
        <v/>
      </c>
      <c r="AE1445" s="10"/>
    </row>
    <row r="1446" spans="1:31" x14ac:dyDescent="0.25">
      <c r="A1446" s="14" t="s">
        <v>109</v>
      </c>
      <c r="C1446" s="61" t="str">
        <f t="shared" si="448"/>
        <v>C100095</v>
      </c>
      <c r="F1446" s="8" t="str">
        <f>"S100004"</f>
        <v>S100004</v>
      </c>
      <c r="G1446" s="9" t="str">
        <f>"Award Medallian - 2''"</f>
        <v>Award Medallian - 2''</v>
      </c>
      <c r="H1446" s="47"/>
      <c r="I1446" s="47"/>
      <c r="J1446" s="23">
        <v>0</v>
      </c>
      <c r="K1446" s="25">
        <v>0</v>
      </c>
      <c r="L1446" s="24">
        <v>0</v>
      </c>
      <c r="M1446" s="24">
        <f>J1446-L1446</f>
        <v>0</v>
      </c>
      <c r="N1446" s="53" t="str">
        <f>IF(J1446&lt;&gt;0,M1446/J1446,"")</f>
        <v/>
      </c>
      <c r="O1446" s="23">
        <v>1995.4399999999998</v>
      </c>
      <c r="P1446" s="25">
        <v>144</v>
      </c>
      <c r="Q1446" s="24">
        <v>960.48</v>
      </c>
      <c r="R1446" s="24">
        <f>O1446-Q1446</f>
        <v>1034.9599999999998</v>
      </c>
      <c r="S1446" s="53">
        <f>IF(O1446&lt;&gt;0,R1446/O1446,"")</f>
        <v>0.51866255061540312</v>
      </c>
      <c r="T1446" s="10"/>
      <c r="U1446" s="23">
        <v>0</v>
      </c>
      <c r="V1446" s="25">
        <v>0</v>
      </c>
      <c r="W1446" s="24">
        <v>0</v>
      </c>
      <c r="X1446" s="24">
        <f>U1446-W1446</f>
        <v>0</v>
      </c>
      <c r="Y1446" s="53" t="str">
        <f>IF(U1446&lt;&gt;0,X1446/U1446,"")</f>
        <v/>
      </c>
      <c r="Z1446" s="23">
        <v>0</v>
      </c>
      <c r="AA1446" s="25">
        <v>0</v>
      </c>
      <c r="AB1446" s="24">
        <v>0</v>
      </c>
      <c r="AC1446" s="24">
        <f t="shared" si="449"/>
        <v>0</v>
      </c>
      <c r="AD1446" s="53" t="str">
        <f t="shared" si="450"/>
        <v/>
      </c>
      <c r="AE1446" s="10"/>
    </row>
    <row r="1447" spans="1:31" x14ac:dyDescent="0.25">
      <c r="A1447" s="14" t="s">
        <v>109</v>
      </c>
      <c r="C1447" s="61" t="str">
        <f t="shared" si="448"/>
        <v>C100095</v>
      </c>
      <c r="F1447" s="8" t="str">
        <f>"S100006"</f>
        <v>S100006</v>
      </c>
      <c r="G1447" s="9" t="str">
        <f>"Award Medallian - 3''"</f>
        <v>Award Medallian - 3''</v>
      </c>
      <c r="H1447" s="47"/>
      <c r="I1447" s="47"/>
      <c r="J1447" s="23">
        <v>547.42999999999995</v>
      </c>
      <c r="K1447" s="25">
        <v>49</v>
      </c>
      <c r="L1447" s="24">
        <v>362.59999999999997</v>
      </c>
      <c r="M1447" s="24">
        <f>J1447-L1447</f>
        <v>184.82999999999998</v>
      </c>
      <c r="N1447" s="53">
        <f>IF(J1447&lt;&gt;0,M1447/J1447,"")</f>
        <v>0.33763220868421534</v>
      </c>
      <c r="O1447" s="23">
        <v>0</v>
      </c>
      <c r="P1447" s="25">
        <v>0</v>
      </c>
      <c r="Q1447" s="24">
        <v>0</v>
      </c>
      <c r="R1447" s="24">
        <f>O1447-Q1447</f>
        <v>0</v>
      </c>
      <c r="S1447" s="53" t="str">
        <f>IF(O1447&lt;&gt;0,R1447/O1447,"")</f>
        <v/>
      </c>
      <c r="T1447" s="10"/>
      <c r="U1447" s="23">
        <v>0</v>
      </c>
      <c r="V1447" s="25">
        <v>0</v>
      </c>
      <c r="W1447" s="24">
        <v>0</v>
      </c>
      <c r="X1447" s="24">
        <f>U1447-W1447</f>
        <v>0</v>
      </c>
      <c r="Y1447" s="53" t="str">
        <f>IF(U1447&lt;&gt;0,X1447/U1447,"")</f>
        <v/>
      </c>
      <c r="Z1447" s="23">
        <v>0</v>
      </c>
      <c r="AA1447" s="25">
        <v>0</v>
      </c>
      <c r="AB1447" s="24">
        <v>0</v>
      </c>
      <c r="AC1447" s="24">
        <f t="shared" si="449"/>
        <v>0</v>
      </c>
      <c r="AD1447" s="53" t="str">
        <f t="shared" si="450"/>
        <v/>
      </c>
      <c r="AE1447" s="10"/>
    </row>
    <row r="1448" spans="1:31" x14ac:dyDescent="0.25">
      <c r="A1448" s="14" t="s">
        <v>109</v>
      </c>
      <c r="C1448" s="61" t="str">
        <f t="shared" si="448"/>
        <v>C100095</v>
      </c>
      <c r="F1448" s="8" t="str">
        <f>"S100008"</f>
        <v>S100008</v>
      </c>
      <c r="G1448" s="9" t="str">
        <f>"Soccer Figure Trophy"</f>
        <v>Soccer Figure Trophy</v>
      </c>
      <c r="H1448" s="47"/>
      <c r="I1448" s="47"/>
      <c r="J1448" s="23">
        <v>5.8</v>
      </c>
      <c r="K1448" s="25">
        <v>1</v>
      </c>
      <c r="L1448" s="24">
        <v>3.68</v>
      </c>
      <c r="M1448" s="24">
        <f>J1448-L1448</f>
        <v>2.1199999999999997</v>
      </c>
      <c r="N1448" s="53">
        <f>IF(J1448&lt;&gt;0,M1448/J1448,"")</f>
        <v>0.3655172413793103</v>
      </c>
      <c r="O1448" s="23">
        <v>835.43</v>
      </c>
      <c r="P1448" s="25">
        <v>144</v>
      </c>
      <c r="Q1448" s="24">
        <v>529.91999999999996</v>
      </c>
      <c r="R1448" s="24">
        <f>O1448-Q1448</f>
        <v>305.51</v>
      </c>
      <c r="S1448" s="53">
        <f>IF(O1448&lt;&gt;0,R1448/O1448,"")</f>
        <v>0.36569191913146526</v>
      </c>
      <c r="T1448" s="10"/>
      <c r="U1448" s="23">
        <v>0</v>
      </c>
      <c r="V1448" s="25">
        <v>0</v>
      </c>
      <c r="W1448" s="24">
        <v>0</v>
      </c>
      <c r="X1448" s="24">
        <f>U1448-W1448</f>
        <v>0</v>
      </c>
      <c r="Y1448" s="53" t="str">
        <f>IF(U1448&lt;&gt;0,X1448/U1448,"")</f>
        <v/>
      </c>
      <c r="Z1448" s="23">
        <v>0</v>
      </c>
      <c r="AA1448" s="25">
        <v>0</v>
      </c>
      <c r="AB1448" s="24">
        <v>0</v>
      </c>
      <c r="AC1448" s="24">
        <f t="shared" si="449"/>
        <v>0</v>
      </c>
      <c r="AD1448" s="53" t="str">
        <f t="shared" si="450"/>
        <v/>
      </c>
      <c r="AE1448" s="10"/>
    </row>
    <row r="1449" spans="1:31" x14ac:dyDescent="0.25">
      <c r="A1449" s="14" t="s">
        <v>109</v>
      </c>
      <c r="C1449" s="61" t="str">
        <f t="shared" si="448"/>
        <v>C100095</v>
      </c>
      <c r="F1449" s="8" t="str">
        <f>"S100011"</f>
        <v>S100011</v>
      </c>
      <c r="G1449" s="9" t="str">
        <f>"All Star Cap"</f>
        <v>All Star Cap</v>
      </c>
      <c r="H1449" s="47"/>
      <c r="I1449" s="47"/>
      <c r="J1449" s="23">
        <v>0</v>
      </c>
      <c r="K1449" s="25">
        <v>0</v>
      </c>
      <c r="L1449" s="24">
        <v>0</v>
      </c>
      <c r="M1449" s="24">
        <f>J1449-L1449</f>
        <v>0</v>
      </c>
      <c r="N1449" s="53" t="str">
        <f>IF(J1449&lt;&gt;0,M1449/J1449,"")</f>
        <v/>
      </c>
      <c r="O1449" s="23">
        <v>1.42</v>
      </c>
      <c r="P1449" s="25">
        <v>1</v>
      </c>
      <c r="Q1449" s="24">
        <v>0.85</v>
      </c>
      <c r="R1449" s="24">
        <f>O1449-Q1449</f>
        <v>0.56999999999999995</v>
      </c>
      <c r="S1449" s="53">
        <f>IF(O1449&lt;&gt;0,R1449/O1449,"")</f>
        <v>0.40140845070422532</v>
      </c>
      <c r="T1449" s="10"/>
      <c r="U1449" s="23">
        <v>-1.42</v>
      </c>
      <c r="V1449" s="25">
        <v>-1</v>
      </c>
      <c r="W1449" s="24">
        <v>-0.85</v>
      </c>
      <c r="X1449" s="24">
        <f>U1449-W1449</f>
        <v>-0.56999999999999995</v>
      </c>
      <c r="Y1449" s="53">
        <f>IF(U1449&lt;&gt;0,X1449/U1449,"")</f>
        <v>0.40140845070422532</v>
      </c>
      <c r="Z1449" s="23">
        <v>0</v>
      </c>
      <c r="AA1449" s="25">
        <v>0</v>
      </c>
      <c r="AB1449" s="24">
        <v>0</v>
      </c>
      <c r="AC1449" s="24">
        <f t="shared" si="449"/>
        <v>0</v>
      </c>
      <c r="AD1449" s="53" t="str">
        <f t="shared" si="450"/>
        <v/>
      </c>
      <c r="AE1449" s="10"/>
    </row>
    <row r="1450" spans="1:31" x14ac:dyDescent="0.25">
      <c r="A1450" s="14" t="s">
        <v>109</v>
      </c>
      <c r="C1450" s="61" t="str">
        <f t="shared" si="448"/>
        <v>C100095</v>
      </c>
      <c r="F1450" s="8" t="str">
        <f>"S100015"</f>
        <v>S100015</v>
      </c>
      <c r="G1450" s="9" t="str">
        <f>"Raw-Edge Bucket Hat"</f>
        <v>Raw-Edge Bucket Hat</v>
      </c>
      <c r="H1450" s="47"/>
      <c r="I1450" s="47"/>
      <c r="J1450" s="23">
        <v>0</v>
      </c>
      <c r="K1450" s="25">
        <v>0</v>
      </c>
      <c r="L1450" s="24">
        <v>0</v>
      </c>
      <c r="M1450" s="24">
        <f>J1450-L1450</f>
        <v>0</v>
      </c>
      <c r="N1450" s="53" t="str">
        <f>IF(J1450&lt;&gt;0,M1450/J1450,"")</f>
        <v/>
      </c>
      <c r="O1450" s="23">
        <v>1042.8800000000001</v>
      </c>
      <c r="P1450" s="25">
        <v>144</v>
      </c>
      <c r="Q1450" s="24">
        <v>524.17000000000007</v>
      </c>
      <c r="R1450" s="24">
        <f>O1450-Q1450</f>
        <v>518.71</v>
      </c>
      <c r="S1450" s="53">
        <f>IF(O1450&lt;&gt;0,R1450/O1450,"")</f>
        <v>0.49738224915618284</v>
      </c>
      <c r="T1450" s="10"/>
      <c r="U1450" s="23">
        <v>0</v>
      </c>
      <c r="V1450" s="25">
        <v>0</v>
      </c>
      <c r="W1450" s="24">
        <v>0</v>
      </c>
      <c r="X1450" s="24">
        <f>U1450-W1450</f>
        <v>0</v>
      </c>
      <c r="Y1450" s="53" t="str">
        <f>IF(U1450&lt;&gt;0,X1450/U1450,"")</f>
        <v/>
      </c>
      <c r="Z1450" s="23">
        <v>0</v>
      </c>
      <c r="AA1450" s="25">
        <v>0</v>
      </c>
      <c r="AB1450" s="24">
        <v>0</v>
      </c>
      <c r="AC1450" s="24">
        <f t="shared" si="449"/>
        <v>0</v>
      </c>
      <c r="AD1450" s="53" t="str">
        <f t="shared" si="450"/>
        <v/>
      </c>
      <c r="AE1450" s="10"/>
    </row>
    <row r="1451" spans="1:31" x14ac:dyDescent="0.25">
      <c r="A1451" s="14" t="s">
        <v>109</v>
      </c>
      <c r="C1451" s="61" t="str">
        <f t="shared" si="448"/>
        <v>C100095</v>
      </c>
      <c r="F1451" s="8" t="str">
        <f>"S100016"</f>
        <v>S100016</v>
      </c>
      <c r="G1451" s="9" t="str">
        <f>"Mesh Bucket Hat"</f>
        <v>Mesh Bucket Hat</v>
      </c>
      <c r="H1451" s="47"/>
      <c r="I1451" s="47"/>
      <c r="J1451" s="23">
        <v>0</v>
      </c>
      <c r="K1451" s="25">
        <v>0</v>
      </c>
      <c r="L1451" s="24">
        <v>0</v>
      </c>
      <c r="M1451" s="24">
        <f>J1451-L1451</f>
        <v>0</v>
      </c>
      <c r="N1451" s="53" t="str">
        <f>IF(J1451&lt;&gt;0,M1451/J1451,"")</f>
        <v/>
      </c>
      <c r="O1451" s="23">
        <v>702.78</v>
      </c>
      <c r="P1451" s="25">
        <v>144</v>
      </c>
      <c r="Q1451" s="24">
        <v>396.01</v>
      </c>
      <c r="R1451" s="24">
        <f>O1451-Q1451</f>
        <v>306.77</v>
      </c>
      <c r="S1451" s="53">
        <f>IF(O1451&lt;&gt;0,R1451/O1451,"")</f>
        <v>0.43650929167022395</v>
      </c>
      <c r="T1451" s="10"/>
      <c r="U1451" s="23">
        <v>-117.13</v>
      </c>
      <c r="V1451" s="25">
        <v>-24</v>
      </c>
      <c r="W1451" s="24">
        <v>-66</v>
      </c>
      <c r="X1451" s="24">
        <f>U1451-W1451</f>
        <v>-51.129999999999995</v>
      </c>
      <c r="Y1451" s="53">
        <f>IF(U1451&lt;&gt;0,X1451/U1451,"")</f>
        <v>0.43652352087424229</v>
      </c>
      <c r="Z1451" s="23">
        <v>0</v>
      </c>
      <c r="AA1451" s="25">
        <v>0</v>
      </c>
      <c r="AB1451" s="24">
        <v>0</v>
      </c>
      <c r="AC1451" s="24">
        <f t="shared" si="449"/>
        <v>0</v>
      </c>
      <c r="AD1451" s="53" t="str">
        <f t="shared" si="450"/>
        <v/>
      </c>
      <c r="AE1451" s="10"/>
    </row>
    <row r="1452" spans="1:31" x14ac:dyDescent="0.25">
      <c r="A1452" s="14" t="s">
        <v>109</v>
      </c>
      <c r="C1452" s="61" t="str">
        <f t="shared" si="448"/>
        <v>C100095</v>
      </c>
      <c r="F1452" s="8" t="str">
        <f>"S100018"</f>
        <v>S100018</v>
      </c>
      <c r="G1452" s="9" t="str">
        <f>"Crusher Bucket Hat"</f>
        <v>Crusher Bucket Hat</v>
      </c>
      <c r="H1452" s="47"/>
      <c r="I1452" s="47"/>
      <c r="J1452" s="23">
        <v>0</v>
      </c>
      <c r="K1452" s="25">
        <v>0</v>
      </c>
      <c r="L1452" s="24">
        <v>0</v>
      </c>
      <c r="M1452" s="24">
        <f>J1452-L1452</f>
        <v>0</v>
      </c>
      <c r="N1452" s="53" t="str">
        <f>IF(J1452&lt;&gt;0,M1452/J1452,"")</f>
        <v/>
      </c>
      <c r="O1452" s="23">
        <v>1047.1100000000001</v>
      </c>
      <c r="P1452" s="25">
        <v>144</v>
      </c>
      <c r="Q1452" s="24">
        <v>504</v>
      </c>
      <c r="R1452" s="24">
        <f>O1452-Q1452</f>
        <v>543.11000000000013</v>
      </c>
      <c r="S1452" s="53">
        <f>IF(O1452&lt;&gt;0,R1452/O1452,"")</f>
        <v>0.51867521081834767</v>
      </c>
      <c r="T1452" s="10"/>
      <c r="U1452" s="23">
        <v>0</v>
      </c>
      <c r="V1452" s="25">
        <v>0</v>
      </c>
      <c r="W1452" s="24">
        <v>0</v>
      </c>
      <c r="X1452" s="24">
        <f>U1452-W1452</f>
        <v>0</v>
      </c>
      <c r="Y1452" s="53" t="str">
        <f>IF(U1452&lt;&gt;0,X1452/U1452,"")</f>
        <v/>
      </c>
      <c r="Z1452" s="23">
        <v>0</v>
      </c>
      <c r="AA1452" s="25">
        <v>0</v>
      </c>
      <c r="AB1452" s="24">
        <v>0</v>
      </c>
      <c r="AC1452" s="24">
        <f t="shared" si="449"/>
        <v>0</v>
      </c>
      <c r="AD1452" s="53" t="str">
        <f t="shared" si="450"/>
        <v/>
      </c>
      <c r="AE1452" s="10"/>
    </row>
    <row r="1453" spans="1:31" x14ac:dyDescent="0.25">
      <c r="A1453" s="14" t="s">
        <v>109</v>
      </c>
      <c r="C1453" s="61" t="str">
        <f t="shared" si="448"/>
        <v>C100095</v>
      </c>
      <c r="F1453" s="8" t="str">
        <f>"S100020"</f>
        <v>S100020</v>
      </c>
      <c r="G1453" s="9" t="str">
        <f>"Super Sport Stopwatch"</f>
        <v>Super Sport Stopwatch</v>
      </c>
      <c r="H1453" s="47"/>
      <c r="I1453" s="47"/>
      <c r="J1453" s="23">
        <v>0</v>
      </c>
      <c r="K1453" s="25">
        <v>0</v>
      </c>
      <c r="L1453" s="24">
        <v>0</v>
      </c>
      <c r="M1453" s="24">
        <f>J1453-L1453</f>
        <v>0</v>
      </c>
      <c r="N1453" s="53" t="str">
        <f>IF(J1453&lt;&gt;0,M1453/J1453,"")</f>
        <v/>
      </c>
      <c r="O1453" s="23">
        <v>25.64</v>
      </c>
      <c r="P1453" s="25">
        <v>12</v>
      </c>
      <c r="Q1453" s="24">
        <v>12.6</v>
      </c>
      <c r="R1453" s="24">
        <f>O1453-Q1453</f>
        <v>13.040000000000001</v>
      </c>
      <c r="S1453" s="53">
        <f>IF(O1453&lt;&gt;0,R1453/O1453,"")</f>
        <v>0.50858034321372858</v>
      </c>
      <c r="T1453" s="10"/>
      <c r="U1453" s="23">
        <v>0</v>
      </c>
      <c r="V1453" s="25">
        <v>0</v>
      </c>
      <c r="W1453" s="24">
        <v>0</v>
      </c>
      <c r="X1453" s="24">
        <f>U1453-W1453</f>
        <v>0</v>
      </c>
      <c r="Y1453" s="53" t="str">
        <f>IF(U1453&lt;&gt;0,X1453/U1453,"")</f>
        <v/>
      </c>
      <c r="Z1453" s="23">
        <v>0</v>
      </c>
      <c r="AA1453" s="25">
        <v>0</v>
      </c>
      <c r="AB1453" s="24">
        <v>0</v>
      </c>
      <c r="AC1453" s="24">
        <f t="shared" si="449"/>
        <v>0</v>
      </c>
      <c r="AD1453" s="53" t="str">
        <f t="shared" si="450"/>
        <v/>
      </c>
      <c r="AE1453" s="10"/>
    </row>
    <row r="1454" spans="1:31" x14ac:dyDescent="0.25">
      <c r="A1454" s="14" t="s">
        <v>109</v>
      </c>
      <c r="C1454" s="61" t="str">
        <f t="shared" si="448"/>
        <v>C100095</v>
      </c>
      <c r="F1454" s="8" t="str">
        <f>"S100021"</f>
        <v>S100021</v>
      </c>
      <c r="G1454" s="9" t="str">
        <f>"Translucent Stopwatch"</f>
        <v>Translucent Stopwatch</v>
      </c>
      <c r="H1454" s="47"/>
      <c r="I1454" s="47"/>
      <c r="J1454" s="23">
        <v>0</v>
      </c>
      <c r="K1454" s="25">
        <v>0</v>
      </c>
      <c r="L1454" s="24">
        <v>0</v>
      </c>
      <c r="M1454" s="24">
        <f>J1454-L1454</f>
        <v>0</v>
      </c>
      <c r="N1454" s="53" t="str">
        <f>IF(J1454&lt;&gt;0,M1454/J1454,"")</f>
        <v/>
      </c>
      <c r="O1454" s="23">
        <v>48.8</v>
      </c>
      <c r="P1454" s="25">
        <v>12</v>
      </c>
      <c r="Q1454" s="24">
        <v>25.8</v>
      </c>
      <c r="R1454" s="24">
        <f>O1454-Q1454</f>
        <v>22.999999999999996</v>
      </c>
      <c r="S1454" s="53">
        <f>IF(O1454&lt;&gt;0,R1454/O1454,"")</f>
        <v>0.47131147540983603</v>
      </c>
      <c r="T1454" s="10"/>
      <c r="U1454" s="23">
        <v>0</v>
      </c>
      <c r="V1454" s="25">
        <v>0</v>
      </c>
      <c r="W1454" s="24">
        <v>0</v>
      </c>
      <c r="X1454" s="24">
        <f>U1454-W1454</f>
        <v>0</v>
      </c>
      <c r="Y1454" s="53" t="str">
        <f>IF(U1454&lt;&gt;0,X1454/U1454,"")</f>
        <v/>
      </c>
      <c r="Z1454" s="23">
        <v>0</v>
      </c>
      <c r="AA1454" s="25">
        <v>0</v>
      </c>
      <c r="AB1454" s="24">
        <v>0</v>
      </c>
      <c r="AC1454" s="24">
        <f t="shared" si="449"/>
        <v>0</v>
      </c>
      <c r="AD1454" s="53" t="str">
        <f t="shared" si="450"/>
        <v/>
      </c>
      <c r="AE1454" s="10"/>
    </row>
    <row r="1455" spans="1:31" ht="15.75" thickBot="1" x14ac:dyDescent="0.3">
      <c r="A1455" s="14" t="s">
        <v>109</v>
      </c>
      <c r="C1455" s="61" t="str">
        <f>C1432</f>
        <v>C100095</v>
      </c>
      <c r="J1455" s="10"/>
      <c r="K1455" s="11"/>
      <c r="L1455" s="11"/>
      <c r="M1455" s="11"/>
      <c r="N1455" s="12"/>
      <c r="O1455" s="10"/>
      <c r="P1455" s="11"/>
      <c r="Q1455" s="11"/>
      <c r="R1455" s="11"/>
      <c r="S1455" s="12"/>
      <c r="U1455" s="10"/>
      <c r="V1455" s="11"/>
      <c r="W1455" s="11"/>
      <c r="X1455" s="11"/>
      <c r="Y1455" s="12"/>
      <c r="Z1455" s="10"/>
      <c r="AA1455" s="11"/>
      <c r="AB1455" s="11"/>
      <c r="AC1455" s="11"/>
      <c r="AD1455" s="12"/>
    </row>
    <row r="1456" spans="1:31" ht="15.75" thickBot="1" x14ac:dyDescent="0.3">
      <c r="A1456" s="14" t="s">
        <v>109</v>
      </c>
      <c r="C1456" s="61" t="str">
        <f t="shared" si="445"/>
        <v>C100095</v>
      </c>
      <c r="G1456" s="48" t="str">
        <f>C1456&amp;" TOTAL:"</f>
        <v>C100095 TOTAL:</v>
      </c>
      <c r="H1456" s="50"/>
      <c r="I1456" s="50"/>
      <c r="J1456" s="34">
        <f>SUBTOTAL(9,J1431:J1455)</f>
        <v>19609.71</v>
      </c>
      <c r="K1456" s="35">
        <f>SUBTOTAL(9,K1431:K1455)</f>
        <v>465</v>
      </c>
      <c r="L1456" s="36">
        <f>SUBTOTAL(9,L1431:L1455)</f>
        <v>9864.6500000000015</v>
      </c>
      <c r="M1456" s="36">
        <f>J1456-L1456</f>
        <v>9745.0599999999977</v>
      </c>
      <c r="N1456" s="37">
        <f>IF(J1456&lt;&gt;0,M1456/J1456,"")</f>
        <v>0.49695074531953803</v>
      </c>
      <c r="O1456" s="34">
        <f>SUBTOTAL(9,O1431:O1455)</f>
        <v>30992.29</v>
      </c>
      <c r="P1456" s="35">
        <f>SUBTOTAL(9,P1431:P1455)</f>
        <v>1718</v>
      </c>
      <c r="Q1456" s="36">
        <f>SUBTOTAL(9,Q1431:Q1455)</f>
        <v>16804.429999999997</v>
      </c>
      <c r="R1456" s="36">
        <f>O1456-Q1456</f>
        <v>14187.860000000004</v>
      </c>
      <c r="S1456" s="37">
        <f>IF(O1456&lt;&gt;0,R1456/O1456,"")</f>
        <v>0.45778675922301976</v>
      </c>
      <c r="U1456" s="34">
        <f>SUBTOTAL(9,U1431:U1455)</f>
        <v>-187.63</v>
      </c>
      <c r="V1456" s="35">
        <f>SUBTOTAL(9,V1431:V1455)</f>
        <v>-26</v>
      </c>
      <c r="W1456" s="36">
        <f>SUBTOTAL(9,W1431:W1455)</f>
        <v>-109.57</v>
      </c>
      <c r="X1456" s="36">
        <f>U1456-W1456</f>
        <v>-78.06</v>
      </c>
      <c r="Y1456" s="37">
        <f>IF(U1456&lt;&gt;0,X1456/U1456,"")</f>
        <v>0.41603155145765602</v>
      </c>
      <c r="Z1456" s="34">
        <f>SUBTOTAL(9,Z1431:Z1455)</f>
        <v>0</v>
      </c>
      <c r="AA1456" s="35">
        <f>SUBTOTAL(9,AA1431:AA1455)</f>
        <v>0</v>
      </c>
      <c r="AB1456" s="36">
        <f>SUBTOTAL(9,AB1431:AB1455)</f>
        <v>0</v>
      </c>
      <c r="AC1456" s="36">
        <f t="shared" ref="AC1456" si="451">Z1456-AB1456</f>
        <v>0</v>
      </c>
      <c r="AD1456" s="37" t="str">
        <f t="shared" ref="AD1456" si="452">IF(Z1456&lt;&gt;0,AC1456/Z1456,"")</f>
        <v/>
      </c>
    </row>
    <row r="1457" spans="1:31" x14ac:dyDescent="0.25">
      <c r="A1457" s="14" t="s">
        <v>109</v>
      </c>
      <c r="C1457" s="66"/>
      <c r="J1457" s="10"/>
      <c r="K1457" s="11"/>
      <c r="L1457" s="11"/>
      <c r="M1457" s="11"/>
      <c r="N1457" s="12"/>
      <c r="O1457" s="10"/>
      <c r="P1457" s="11"/>
      <c r="Q1457" s="11"/>
      <c r="R1457" s="11"/>
      <c r="S1457" s="12"/>
      <c r="U1457" s="10"/>
      <c r="V1457" s="11"/>
      <c r="W1457" s="11"/>
      <c r="X1457" s="11"/>
      <c r="Y1457" s="12"/>
      <c r="Z1457" s="10"/>
      <c r="AA1457" s="11"/>
      <c r="AB1457" s="11"/>
      <c r="AC1457" s="11"/>
      <c r="AD1457" s="12"/>
    </row>
    <row r="1458" spans="1:31" ht="15.75" x14ac:dyDescent="0.25">
      <c r="A1458" s="14" t="s">
        <v>109</v>
      </c>
      <c r="C1458" s="66" t="str">
        <f t="shared" ref="C1458" si="453">E1458</f>
        <v>C100096</v>
      </c>
      <c r="E1458" s="13" t="str">
        <f>"C100096"</f>
        <v>C100096</v>
      </c>
      <c r="F1458" s="13"/>
      <c r="G1458" s="13" t="str">
        <f>"D-Com Industries"</f>
        <v>D-Com Industries</v>
      </c>
      <c r="H1458" s="13"/>
      <c r="I1458" s="13"/>
      <c r="J1458" s="10"/>
      <c r="K1458" s="11"/>
      <c r="L1458" s="11"/>
      <c r="M1458" s="11"/>
      <c r="N1458" s="12"/>
      <c r="O1458" s="10"/>
      <c r="P1458" s="11"/>
      <c r="Q1458" s="11"/>
      <c r="R1458" s="11"/>
      <c r="S1458" s="12"/>
      <c r="U1458" s="10"/>
      <c r="V1458" s="11"/>
      <c r="W1458" s="11"/>
      <c r="X1458" s="11"/>
      <c r="Y1458" s="12"/>
      <c r="Z1458" s="10"/>
      <c r="AA1458" s="11"/>
      <c r="AB1458" s="11"/>
      <c r="AC1458" s="11"/>
      <c r="AD1458" s="12"/>
    </row>
    <row r="1459" spans="1:31" ht="6.6" customHeight="1" x14ac:dyDescent="0.25">
      <c r="A1459" s="14" t="s">
        <v>109</v>
      </c>
      <c r="C1459" s="61" t="str">
        <f t="shared" ref="C1459:C1510" si="454">C1458</f>
        <v>C100096</v>
      </c>
      <c r="J1459" s="10"/>
      <c r="K1459" s="11"/>
      <c r="L1459" s="11"/>
      <c r="M1459" s="11"/>
      <c r="N1459" s="12"/>
      <c r="O1459" s="10"/>
      <c r="P1459" s="11"/>
      <c r="Q1459" s="11"/>
      <c r="R1459" s="11"/>
      <c r="S1459" s="12"/>
      <c r="U1459" s="10"/>
      <c r="V1459" s="11"/>
      <c r="W1459" s="11"/>
      <c r="X1459" s="11"/>
      <c r="Y1459" s="12"/>
      <c r="Z1459" s="10"/>
      <c r="AA1459" s="11"/>
      <c r="AB1459" s="11"/>
      <c r="AC1459" s="11"/>
      <c r="AD1459" s="12"/>
    </row>
    <row r="1460" spans="1:31" x14ac:dyDescent="0.25">
      <c r="A1460" s="14" t="s">
        <v>109</v>
      </c>
      <c r="C1460" s="61" t="str">
        <f t="shared" si="454"/>
        <v>C100096</v>
      </c>
      <c r="F1460" s="8" t="str">
        <f>"C100025"</f>
        <v>C100025</v>
      </c>
      <c r="G1460" s="9" t="str">
        <f>"Striped Knit Hat"</f>
        <v>Striped Knit Hat</v>
      </c>
      <c r="H1460" s="47"/>
      <c r="I1460" s="47"/>
      <c r="J1460" s="23">
        <v>901.86</v>
      </c>
      <c r="K1460" s="25">
        <v>312</v>
      </c>
      <c r="L1460" s="24">
        <v>430.57</v>
      </c>
      <c r="M1460" s="24">
        <f>J1460-L1460</f>
        <v>471.29</v>
      </c>
      <c r="N1460" s="53">
        <f>IF(J1460&lt;&gt;0,M1460/J1460,"")</f>
        <v>0.52257556605238065</v>
      </c>
      <c r="O1460" s="23">
        <v>0</v>
      </c>
      <c r="P1460" s="25">
        <v>0</v>
      </c>
      <c r="Q1460" s="24">
        <v>0</v>
      </c>
      <c r="R1460" s="24">
        <f>O1460-Q1460</f>
        <v>0</v>
      </c>
      <c r="S1460" s="53" t="str">
        <f>IF(O1460&lt;&gt;0,R1460/O1460,"")</f>
        <v/>
      </c>
      <c r="T1460" s="10"/>
      <c r="U1460" s="23">
        <v>420.54</v>
      </c>
      <c r="V1460" s="25">
        <v>144</v>
      </c>
      <c r="W1460" s="24">
        <v>198.72</v>
      </c>
      <c r="X1460" s="24">
        <f>U1460-W1460</f>
        <v>221.82000000000002</v>
      </c>
      <c r="Y1460" s="53">
        <f>IF(U1460&lt;&gt;0,X1460/U1460,"")</f>
        <v>0.52746468825795412</v>
      </c>
      <c r="Z1460" s="23">
        <v>0</v>
      </c>
      <c r="AA1460" s="25">
        <v>0</v>
      </c>
      <c r="AB1460" s="24">
        <v>0</v>
      </c>
      <c r="AC1460" s="24">
        <f t="shared" ref="AC1460" si="455">Z1460-AB1460</f>
        <v>0</v>
      </c>
      <c r="AD1460" s="53" t="str">
        <f t="shared" ref="AD1460" si="456">IF(Z1460&lt;&gt;0,AC1460/Z1460,"")</f>
        <v/>
      </c>
      <c r="AE1460" s="10"/>
    </row>
    <row r="1461" spans="1:31" x14ac:dyDescent="0.25">
      <c r="A1461" s="14" t="s">
        <v>109</v>
      </c>
      <c r="C1461" s="61" t="str">
        <f t="shared" ref="C1461:C1508" si="457">C1460</f>
        <v>C100096</v>
      </c>
      <c r="F1461" s="8" t="str">
        <f>"C100028"</f>
        <v>C100028</v>
      </c>
      <c r="G1461" s="9" t="str">
        <f>"Twill Visor"</f>
        <v>Twill Visor</v>
      </c>
      <c r="H1461" s="47"/>
      <c r="I1461" s="47"/>
      <c r="J1461" s="23">
        <v>713.76</v>
      </c>
      <c r="K1461" s="25">
        <v>144</v>
      </c>
      <c r="L1461" s="24">
        <v>345.61</v>
      </c>
      <c r="M1461" s="24">
        <f>J1461-L1461</f>
        <v>368.15</v>
      </c>
      <c r="N1461" s="53">
        <f>IF(J1461&lt;&gt;0,M1461/J1461,"")</f>
        <v>0.51578962116117455</v>
      </c>
      <c r="O1461" s="23">
        <v>0</v>
      </c>
      <c r="P1461" s="25">
        <v>0</v>
      </c>
      <c r="Q1461" s="24">
        <v>0</v>
      </c>
      <c r="R1461" s="24">
        <f>O1461-Q1461</f>
        <v>0</v>
      </c>
      <c r="S1461" s="53" t="str">
        <f>IF(O1461&lt;&gt;0,R1461/O1461,"")</f>
        <v/>
      </c>
      <c r="T1461" s="10"/>
      <c r="U1461" s="23">
        <v>0</v>
      </c>
      <c r="V1461" s="25">
        <v>0</v>
      </c>
      <c r="W1461" s="24">
        <v>0</v>
      </c>
      <c r="X1461" s="24">
        <f>U1461-W1461</f>
        <v>0</v>
      </c>
      <c r="Y1461" s="53" t="str">
        <f>IF(U1461&lt;&gt;0,X1461/U1461,"")</f>
        <v/>
      </c>
      <c r="Z1461" s="23">
        <v>0</v>
      </c>
      <c r="AA1461" s="25">
        <v>0</v>
      </c>
      <c r="AB1461" s="24">
        <v>0</v>
      </c>
      <c r="AC1461" s="24">
        <f t="shared" ref="AC1461:AC1508" si="458">Z1461-AB1461</f>
        <v>0</v>
      </c>
      <c r="AD1461" s="53" t="str">
        <f t="shared" ref="AD1461:AD1508" si="459">IF(Z1461&lt;&gt;0,AC1461/Z1461,"")</f>
        <v/>
      </c>
      <c r="AE1461" s="10"/>
    </row>
    <row r="1462" spans="1:31" x14ac:dyDescent="0.25">
      <c r="A1462" s="14" t="s">
        <v>109</v>
      </c>
      <c r="C1462" s="61" t="str">
        <f t="shared" si="457"/>
        <v>C100096</v>
      </c>
      <c r="F1462" s="8" t="str">
        <f>"C100029"</f>
        <v>C100029</v>
      </c>
      <c r="G1462" s="9" t="str">
        <f>"Distressed Twill Visor"</f>
        <v>Distressed Twill Visor</v>
      </c>
      <c r="H1462" s="47"/>
      <c r="I1462" s="47"/>
      <c r="J1462" s="23">
        <v>477.71</v>
      </c>
      <c r="K1462" s="25">
        <v>144</v>
      </c>
      <c r="L1462" s="24">
        <v>298.09000000000003</v>
      </c>
      <c r="M1462" s="24">
        <f>J1462-L1462</f>
        <v>179.61999999999995</v>
      </c>
      <c r="N1462" s="53">
        <f>IF(J1462&lt;&gt;0,M1462/J1462,"")</f>
        <v>0.37600217705302369</v>
      </c>
      <c r="O1462" s="23">
        <v>0</v>
      </c>
      <c r="P1462" s="25">
        <v>0</v>
      </c>
      <c r="Q1462" s="24">
        <v>0</v>
      </c>
      <c r="R1462" s="24">
        <f>O1462-Q1462</f>
        <v>0</v>
      </c>
      <c r="S1462" s="53" t="str">
        <f>IF(O1462&lt;&gt;0,R1462/O1462,"")</f>
        <v/>
      </c>
      <c r="T1462" s="10"/>
      <c r="U1462" s="23">
        <v>0</v>
      </c>
      <c r="V1462" s="25">
        <v>0</v>
      </c>
      <c r="W1462" s="24">
        <v>0</v>
      </c>
      <c r="X1462" s="24">
        <f>U1462-W1462</f>
        <v>0</v>
      </c>
      <c r="Y1462" s="53" t="str">
        <f>IF(U1462&lt;&gt;0,X1462/U1462,"")</f>
        <v/>
      </c>
      <c r="Z1462" s="23">
        <v>0</v>
      </c>
      <c r="AA1462" s="25">
        <v>0</v>
      </c>
      <c r="AB1462" s="24">
        <v>0</v>
      </c>
      <c r="AC1462" s="24">
        <f t="shared" si="458"/>
        <v>0</v>
      </c>
      <c r="AD1462" s="53" t="str">
        <f t="shared" si="459"/>
        <v/>
      </c>
      <c r="AE1462" s="10"/>
    </row>
    <row r="1463" spans="1:31" x14ac:dyDescent="0.25">
      <c r="A1463" s="14" t="s">
        <v>109</v>
      </c>
      <c r="C1463" s="61" t="str">
        <f t="shared" si="457"/>
        <v>C100096</v>
      </c>
      <c r="F1463" s="8" t="str">
        <f>"C100030"</f>
        <v>C100030</v>
      </c>
      <c r="G1463" s="9" t="str">
        <f>"Fashion Visor"</f>
        <v>Fashion Visor</v>
      </c>
      <c r="H1463" s="47"/>
      <c r="I1463" s="47"/>
      <c r="J1463" s="23">
        <v>1835.4</v>
      </c>
      <c r="K1463" s="25">
        <v>432</v>
      </c>
      <c r="L1463" s="24">
        <v>1045.46</v>
      </c>
      <c r="M1463" s="24">
        <f>J1463-L1463</f>
        <v>789.94</v>
      </c>
      <c r="N1463" s="53">
        <f>IF(J1463&lt;&gt;0,M1463/J1463,"")</f>
        <v>0.43039119537975373</v>
      </c>
      <c r="O1463" s="23">
        <v>0</v>
      </c>
      <c r="P1463" s="25">
        <v>0</v>
      </c>
      <c r="Q1463" s="24">
        <v>0</v>
      </c>
      <c r="R1463" s="24">
        <f>O1463-Q1463</f>
        <v>0</v>
      </c>
      <c r="S1463" s="53" t="str">
        <f>IF(O1463&lt;&gt;0,R1463/O1463,"")</f>
        <v/>
      </c>
      <c r="T1463" s="10"/>
      <c r="U1463" s="23">
        <v>0</v>
      </c>
      <c r="V1463" s="25">
        <v>0</v>
      </c>
      <c r="W1463" s="24">
        <v>0</v>
      </c>
      <c r="X1463" s="24">
        <f>U1463-W1463</f>
        <v>0</v>
      </c>
      <c r="Y1463" s="53" t="str">
        <f>IF(U1463&lt;&gt;0,X1463/U1463,"")</f>
        <v/>
      </c>
      <c r="Z1463" s="23">
        <v>0</v>
      </c>
      <c r="AA1463" s="25">
        <v>0</v>
      </c>
      <c r="AB1463" s="24">
        <v>0</v>
      </c>
      <c r="AC1463" s="24">
        <f t="shared" si="458"/>
        <v>0</v>
      </c>
      <c r="AD1463" s="53" t="str">
        <f t="shared" si="459"/>
        <v/>
      </c>
      <c r="AE1463" s="10"/>
    </row>
    <row r="1464" spans="1:31" x14ac:dyDescent="0.25">
      <c r="A1464" s="14" t="s">
        <v>109</v>
      </c>
      <c r="C1464" s="61" t="str">
        <f t="shared" si="457"/>
        <v>C100096</v>
      </c>
      <c r="F1464" s="8" t="str">
        <f>"C100033"</f>
        <v>C100033</v>
      </c>
      <c r="G1464" s="9" t="str">
        <f>"Frames &amp; Clock"</f>
        <v>Frames &amp; Clock</v>
      </c>
      <c r="H1464" s="47"/>
      <c r="I1464" s="47"/>
      <c r="J1464" s="23">
        <v>676.05</v>
      </c>
      <c r="K1464" s="25">
        <v>144</v>
      </c>
      <c r="L1464" s="24">
        <v>414.7</v>
      </c>
      <c r="M1464" s="24">
        <f>J1464-L1464</f>
        <v>261.34999999999997</v>
      </c>
      <c r="N1464" s="53">
        <f>IF(J1464&lt;&gt;0,M1464/J1464,"")</f>
        <v>0.38658383255676354</v>
      </c>
      <c r="O1464" s="23">
        <v>0</v>
      </c>
      <c r="P1464" s="25">
        <v>0</v>
      </c>
      <c r="Q1464" s="24">
        <v>0</v>
      </c>
      <c r="R1464" s="24">
        <f>O1464-Q1464</f>
        <v>0</v>
      </c>
      <c r="S1464" s="53" t="str">
        <f>IF(O1464&lt;&gt;0,R1464/O1464,"")</f>
        <v/>
      </c>
      <c r="T1464" s="10"/>
      <c r="U1464" s="23">
        <v>910.69</v>
      </c>
      <c r="V1464" s="25">
        <v>192</v>
      </c>
      <c r="W1464" s="24">
        <v>552.93999999999994</v>
      </c>
      <c r="X1464" s="24">
        <f>U1464-W1464</f>
        <v>357.75000000000011</v>
      </c>
      <c r="Y1464" s="53">
        <f>IF(U1464&lt;&gt;0,X1464/U1464,"")</f>
        <v>0.39283400498523108</v>
      </c>
      <c r="Z1464" s="23">
        <v>0</v>
      </c>
      <c r="AA1464" s="25">
        <v>0</v>
      </c>
      <c r="AB1464" s="24">
        <v>0</v>
      </c>
      <c r="AC1464" s="24">
        <f t="shared" si="458"/>
        <v>0</v>
      </c>
      <c r="AD1464" s="53" t="str">
        <f t="shared" si="459"/>
        <v/>
      </c>
      <c r="AE1464" s="10"/>
    </row>
    <row r="1465" spans="1:31" x14ac:dyDescent="0.25">
      <c r="A1465" s="14" t="s">
        <v>109</v>
      </c>
      <c r="C1465" s="61" t="str">
        <f t="shared" si="457"/>
        <v>C100096</v>
      </c>
      <c r="F1465" s="8" t="str">
        <f>"C100035"</f>
        <v>C100035</v>
      </c>
      <c r="G1465" s="9" t="str">
        <f>"Calculator &amp; World Time Clock"</f>
        <v>Calculator &amp; World Time Clock</v>
      </c>
      <c r="H1465" s="47"/>
      <c r="I1465" s="47"/>
      <c r="J1465" s="23">
        <v>413.47999999999996</v>
      </c>
      <c r="K1465" s="25">
        <v>145</v>
      </c>
      <c r="L1465" s="24">
        <v>284.2</v>
      </c>
      <c r="M1465" s="24">
        <f>J1465-L1465</f>
        <v>129.27999999999997</v>
      </c>
      <c r="N1465" s="53">
        <f>IF(J1465&lt;&gt;0,M1465/J1465,"")</f>
        <v>0.312663248524717</v>
      </c>
      <c r="O1465" s="23">
        <v>0</v>
      </c>
      <c r="P1465" s="25">
        <v>0</v>
      </c>
      <c r="Q1465" s="24">
        <v>0</v>
      </c>
      <c r="R1465" s="24">
        <f>O1465-Q1465</f>
        <v>0</v>
      </c>
      <c r="S1465" s="53" t="str">
        <f>IF(O1465&lt;&gt;0,R1465/O1465,"")</f>
        <v/>
      </c>
      <c r="T1465" s="10"/>
      <c r="U1465" s="23">
        <v>414.89</v>
      </c>
      <c r="V1465" s="25">
        <v>144</v>
      </c>
      <c r="W1465" s="24">
        <v>282.24</v>
      </c>
      <c r="X1465" s="24">
        <f>U1465-W1465</f>
        <v>132.64999999999998</v>
      </c>
      <c r="Y1465" s="53">
        <f>IF(U1465&lt;&gt;0,X1465/U1465,"")</f>
        <v>0.31972330015184741</v>
      </c>
      <c r="Z1465" s="23">
        <v>0</v>
      </c>
      <c r="AA1465" s="25">
        <v>0</v>
      </c>
      <c r="AB1465" s="24">
        <v>0</v>
      </c>
      <c r="AC1465" s="24">
        <f t="shared" si="458"/>
        <v>0</v>
      </c>
      <c r="AD1465" s="53" t="str">
        <f t="shared" si="459"/>
        <v/>
      </c>
      <c r="AE1465" s="10"/>
    </row>
    <row r="1466" spans="1:31" x14ac:dyDescent="0.25">
      <c r="A1466" s="14" t="s">
        <v>109</v>
      </c>
      <c r="C1466" s="61" t="str">
        <f t="shared" si="457"/>
        <v>C100096</v>
      </c>
      <c r="F1466" s="8" t="str">
        <f>"C100061"</f>
        <v>C100061</v>
      </c>
      <c r="G1466" s="9" t="str">
        <f>"Bistro Mug"</f>
        <v>Bistro Mug</v>
      </c>
      <c r="H1466" s="47"/>
      <c r="I1466" s="47"/>
      <c r="J1466" s="23">
        <v>184.38</v>
      </c>
      <c r="K1466" s="25">
        <v>144</v>
      </c>
      <c r="L1466" s="24">
        <v>99.27</v>
      </c>
      <c r="M1466" s="24">
        <f>J1466-L1466</f>
        <v>85.11</v>
      </c>
      <c r="N1466" s="53">
        <f>IF(J1466&lt;&gt;0,M1466/J1466,"")</f>
        <v>0.46160104132769281</v>
      </c>
      <c r="O1466" s="23">
        <v>0</v>
      </c>
      <c r="P1466" s="25">
        <v>0</v>
      </c>
      <c r="Q1466" s="24">
        <v>0</v>
      </c>
      <c r="R1466" s="24">
        <f>O1466-Q1466</f>
        <v>0</v>
      </c>
      <c r="S1466" s="53" t="str">
        <f>IF(O1466&lt;&gt;0,R1466/O1466,"")</f>
        <v/>
      </c>
      <c r="T1466" s="10"/>
      <c r="U1466" s="23">
        <v>0</v>
      </c>
      <c r="V1466" s="25">
        <v>0</v>
      </c>
      <c r="W1466" s="24">
        <v>0</v>
      </c>
      <c r="X1466" s="24">
        <f>U1466-W1466</f>
        <v>0</v>
      </c>
      <c r="Y1466" s="53" t="str">
        <f>IF(U1466&lt;&gt;0,X1466/U1466,"")</f>
        <v/>
      </c>
      <c r="Z1466" s="23">
        <v>0</v>
      </c>
      <c r="AA1466" s="25">
        <v>0</v>
      </c>
      <c r="AB1466" s="24">
        <v>0</v>
      </c>
      <c r="AC1466" s="24">
        <f t="shared" si="458"/>
        <v>0</v>
      </c>
      <c r="AD1466" s="53" t="str">
        <f t="shared" si="459"/>
        <v/>
      </c>
      <c r="AE1466" s="10"/>
    </row>
    <row r="1467" spans="1:31" x14ac:dyDescent="0.25">
      <c r="A1467" s="14" t="s">
        <v>109</v>
      </c>
      <c r="C1467" s="61" t="str">
        <f t="shared" si="457"/>
        <v>C100096</v>
      </c>
      <c r="F1467" s="8" t="str">
        <f>"C100066"</f>
        <v>C100066</v>
      </c>
      <c r="G1467" s="9" t="str">
        <f>"Fashion Travel Mug"</f>
        <v>Fashion Travel Mug</v>
      </c>
      <c r="H1467" s="47"/>
      <c r="I1467" s="47"/>
      <c r="J1467" s="23">
        <v>506.30999999999995</v>
      </c>
      <c r="K1467" s="25">
        <v>145</v>
      </c>
      <c r="L1467" s="24">
        <v>239.28000000000003</v>
      </c>
      <c r="M1467" s="24">
        <f>J1467-L1467</f>
        <v>267.02999999999992</v>
      </c>
      <c r="N1467" s="53">
        <f>IF(J1467&lt;&gt;0,M1467/J1467,"")</f>
        <v>0.52740415950702124</v>
      </c>
      <c r="O1467" s="23">
        <v>0</v>
      </c>
      <c r="P1467" s="25">
        <v>0</v>
      </c>
      <c r="Q1467" s="24">
        <v>0</v>
      </c>
      <c r="R1467" s="24">
        <f>O1467-Q1467</f>
        <v>0</v>
      </c>
      <c r="S1467" s="53" t="str">
        <f>IF(O1467&lt;&gt;0,R1467/O1467,"")</f>
        <v/>
      </c>
      <c r="T1467" s="10"/>
      <c r="U1467" s="23">
        <v>508.03000000000003</v>
      </c>
      <c r="V1467" s="25">
        <v>144</v>
      </c>
      <c r="W1467" s="24">
        <v>237.63000000000002</v>
      </c>
      <c r="X1467" s="24">
        <f>U1467-W1467</f>
        <v>270.39999999999998</v>
      </c>
      <c r="Y1467" s="53">
        <f>IF(U1467&lt;&gt;0,X1467/U1467,"")</f>
        <v>0.53225203236029361</v>
      </c>
      <c r="Z1467" s="23">
        <v>0</v>
      </c>
      <c r="AA1467" s="25">
        <v>0</v>
      </c>
      <c r="AB1467" s="24">
        <v>0</v>
      </c>
      <c r="AC1467" s="24">
        <f t="shared" si="458"/>
        <v>0</v>
      </c>
      <c r="AD1467" s="53" t="str">
        <f t="shared" si="459"/>
        <v/>
      </c>
      <c r="AE1467" s="10"/>
    </row>
    <row r="1468" spans="1:31" x14ac:dyDescent="0.25">
      <c r="A1468" s="14" t="s">
        <v>109</v>
      </c>
      <c r="C1468" s="61" t="str">
        <f t="shared" si="457"/>
        <v>C100096</v>
      </c>
      <c r="F1468" s="8" t="str">
        <f>"C100067"</f>
        <v>C100067</v>
      </c>
      <c r="G1468" s="9" t="str">
        <f>"Stainless Thermos"</f>
        <v>Stainless Thermos</v>
      </c>
      <c r="H1468" s="47"/>
      <c r="I1468" s="47"/>
      <c r="J1468" s="23">
        <v>1973.6799999999998</v>
      </c>
      <c r="K1468" s="25">
        <v>432</v>
      </c>
      <c r="L1468" s="24">
        <v>1106.1200000000001</v>
      </c>
      <c r="M1468" s="24">
        <f>J1468-L1468</f>
        <v>867.55999999999972</v>
      </c>
      <c r="N1468" s="53">
        <f>IF(J1468&lt;&gt;0,M1468/J1468,"")</f>
        <v>0.43956467107129815</v>
      </c>
      <c r="O1468" s="23">
        <v>0</v>
      </c>
      <c r="P1468" s="25">
        <v>0</v>
      </c>
      <c r="Q1468" s="24">
        <v>0</v>
      </c>
      <c r="R1468" s="24">
        <f>O1468-Q1468</f>
        <v>0</v>
      </c>
      <c r="S1468" s="53" t="str">
        <f>IF(O1468&lt;&gt;0,R1468/O1468,"")</f>
        <v/>
      </c>
      <c r="T1468" s="10"/>
      <c r="U1468" s="23">
        <v>0</v>
      </c>
      <c r="V1468" s="25">
        <v>0</v>
      </c>
      <c r="W1468" s="24">
        <v>0</v>
      </c>
      <c r="X1468" s="24">
        <f>U1468-W1468</f>
        <v>0</v>
      </c>
      <c r="Y1468" s="53" t="str">
        <f>IF(U1468&lt;&gt;0,X1468/U1468,"")</f>
        <v/>
      </c>
      <c r="Z1468" s="23">
        <v>0</v>
      </c>
      <c r="AA1468" s="25">
        <v>0</v>
      </c>
      <c r="AB1468" s="24">
        <v>0</v>
      </c>
      <c r="AC1468" s="24">
        <f t="shared" si="458"/>
        <v>0</v>
      </c>
      <c r="AD1468" s="53" t="str">
        <f t="shared" si="459"/>
        <v/>
      </c>
      <c r="AE1468" s="10"/>
    </row>
    <row r="1469" spans="1:31" x14ac:dyDescent="0.25">
      <c r="A1469" s="14" t="s">
        <v>109</v>
      </c>
      <c r="C1469" s="61" t="str">
        <f t="shared" si="457"/>
        <v>C100096</v>
      </c>
      <c r="F1469" s="8" t="str">
        <f>"E100001"</f>
        <v>E100001</v>
      </c>
      <c r="G1469" s="9" t="str">
        <f>"Sport Bag"</f>
        <v>Sport Bag</v>
      </c>
      <c r="H1469" s="47"/>
      <c r="I1469" s="47"/>
      <c r="J1469" s="23">
        <v>252.82</v>
      </c>
      <c r="K1469" s="25">
        <v>144</v>
      </c>
      <c r="L1469" s="24">
        <v>125.28</v>
      </c>
      <c r="M1469" s="24">
        <f>J1469-L1469</f>
        <v>127.53999999999999</v>
      </c>
      <c r="N1469" s="53">
        <f>IF(J1469&lt;&gt;0,M1469/J1469,"")</f>
        <v>0.50446958310260259</v>
      </c>
      <c r="O1469" s="23">
        <v>0</v>
      </c>
      <c r="P1469" s="25">
        <v>0</v>
      </c>
      <c r="Q1469" s="24">
        <v>0</v>
      </c>
      <c r="R1469" s="24">
        <f>O1469-Q1469</f>
        <v>0</v>
      </c>
      <c r="S1469" s="53" t="str">
        <f>IF(O1469&lt;&gt;0,R1469/O1469,"")</f>
        <v/>
      </c>
      <c r="T1469" s="10"/>
      <c r="U1469" s="23">
        <v>0</v>
      </c>
      <c r="V1469" s="25">
        <v>0</v>
      </c>
      <c r="W1469" s="24">
        <v>0</v>
      </c>
      <c r="X1469" s="24">
        <f>U1469-W1469</f>
        <v>0</v>
      </c>
      <c r="Y1469" s="53" t="str">
        <f>IF(U1469&lt;&gt;0,X1469/U1469,"")</f>
        <v/>
      </c>
      <c r="Z1469" s="23">
        <v>0</v>
      </c>
      <c r="AA1469" s="25">
        <v>0</v>
      </c>
      <c r="AB1469" s="24">
        <v>0</v>
      </c>
      <c r="AC1469" s="24">
        <f t="shared" si="458"/>
        <v>0</v>
      </c>
      <c r="AD1469" s="53" t="str">
        <f t="shared" si="459"/>
        <v/>
      </c>
      <c r="AE1469" s="10"/>
    </row>
    <row r="1470" spans="1:31" x14ac:dyDescent="0.25">
      <c r="A1470" s="14" t="s">
        <v>109</v>
      </c>
      <c r="C1470" s="61" t="str">
        <f t="shared" si="457"/>
        <v>C100096</v>
      </c>
      <c r="F1470" s="8" t="str">
        <f>"E100002"</f>
        <v>E100002</v>
      </c>
      <c r="G1470" s="9" t="str">
        <f>"Cotton Classic Tote"</f>
        <v>Cotton Classic Tote</v>
      </c>
      <c r="H1470" s="47"/>
      <c r="I1470" s="47"/>
      <c r="J1470" s="23">
        <v>523.79999999999995</v>
      </c>
      <c r="K1470" s="25">
        <v>432</v>
      </c>
      <c r="L1470" s="24">
        <v>276.52</v>
      </c>
      <c r="M1470" s="24">
        <f>J1470-L1470</f>
        <v>247.27999999999997</v>
      </c>
      <c r="N1470" s="53">
        <f>IF(J1470&lt;&gt;0,M1470/J1470,"")</f>
        <v>0.47208858342878962</v>
      </c>
      <c r="O1470" s="23">
        <v>0</v>
      </c>
      <c r="P1470" s="25">
        <v>0</v>
      </c>
      <c r="Q1470" s="24">
        <v>0</v>
      </c>
      <c r="R1470" s="24">
        <f>O1470-Q1470</f>
        <v>0</v>
      </c>
      <c r="S1470" s="53" t="str">
        <f>IF(O1470&lt;&gt;0,R1470/O1470,"")</f>
        <v/>
      </c>
      <c r="T1470" s="10"/>
      <c r="U1470" s="23">
        <v>0</v>
      </c>
      <c r="V1470" s="25">
        <v>0</v>
      </c>
      <c r="W1470" s="24">
        <v>0</v>
      </c>
      <c r="X1470" s="24">
        <f>U1470-W1470</f>
        <v>0</v>
      </c>
      <c r="Y1470" s="53" t="str">
        <f>IF(U1470&lt;&gt;0,X1470/U1470,"")</f>
        <v/>
      </c>
      <c r="Z1470" s="23">
        <v>0</v>
      </c>
      <c r="AA1470" s="25">
        <v>0</v>
      </c>
      <c r="AB1470" s="24">
        <v>0</v>
      </c>
      <c r="AC1470" s="24">
        <f t="shared" si="458"/>
        <v>0</v>
      </c>
      <c r="AD1470" s="53" t="str">
        <f t="shared" si="459"/>
        <v/>
      </c>
      <c r="AE1470" s="10"/>
    </row>
    <row r="1471" spans="1:31" x14ac:dyDescent="0.25">
      <c r="A1471" s="14" t="s">
        <v>109</v>
      </c>
      <c r="C1471" s="61" t="str">
        <f t="shared" si="457"/>
        <v>C100096</v>
      </c>
      <c r="F1471" s="8" t="str">
        <f>"E100005"</f>
        <v>E100005</v>
      </c>
      <c r="G1471" s="9" t="str">
        <f>"All Purpose Tote"</f>
        <v>All Purpose Tote</v>
      </c>
      <c r="H1471" s="47"/>
      <c r="I1471" s="47"/>
      <c r="J1471" s="23">
        <v>360.37</v>
      </c>
      <c r="K1471" s="25">
        <v>144</v>
      </c>
      <c r="L1471" s="24">
        <v>178.56</v>
      </c>
      <c r="M1471" s="24">
        <f>J1471-L1471</f>
        <v>181.81</v>
      </c>
      <c r="N1471" s="53">
        <f>IF(J1471&lt;&gt;0,M1471/J1471,"")</f>
        <v>0.50450925437744543</v>
      </c>
      <c r="O1471" s="23">
        <v>0</v>
      </c>
      <c r="P1471" s="25">
        <v>0</v>
      </c>
      <c r="Q1471" s="24">
        <v>0</v>
      </c>
      <c r="R1471" s="24">
        <f>O1471-Q1471</f>
        <v>0</v>
      </c>
      <c r="S1471" s="53" t="str">
        <f>IF(O1471&lt;&gt;0,R1471/O1471,"")</f>
        <v/>
      </c>
      <c r="T1471" s="10"/>
      <c r="U1471" s="23">
        <v>0</v>
      </c>
      <c r="V1471" s="25">
        <v>0</v>
      </c>
      <c r="W1471" s="24">
        <v>0</v>
      </c>
      <c r="X1471" s="24">
        <f>U1471-W1471</f>
        <v>0</v>
      </c>
      <c r="Y1471" s="53" t="str">
        <f>IF(U1471&lt;&gt;0,X1471/U1471,"")</f>
        <v/>
      </c>
      <c r="Z1471" s="23">
        <v>0</v>
      </c>
      <c r="AA1471" s="25">
        <v>0</v>
      </c>
      <c r="AB1471" s="24">
        <v>0</v>
      </c>
      <c r="AC1471" s="24">
        <f t="shared" si="458"/>
        <v>0</v>
      </c>
      <c r="AD1471" s="53" t="str">
        <f t="shared" si="459"/>
        <v/>
      </c>
      <c r="AE1471" s="10"/>
    </row>
    <row r="1472" spans="1:31" x14ac:dyDescent="0.25">
      <c r="A1472" s="14" t="s">
        <v>109</v>
      </c>
      <c r="C1472" s="61" t="str">
        <f t="shared" si="457"/>
        <v>C100096</v>
      </c>
      <c r="F1472" s="8" t="str">
        <f>"E100006"</f>
        <v>E100006</v>
      </c>
      <c r="G1472" s="9" t="str">
        <f>"Budget Tote Bag"</f>
        <v>Budget Tote Bag</v>
      </c>
      <c r="H1472" s="47"/>
      <c r="I1472" s="47"/>
      <c r="J1472" s="23">
        <v>0.26</v>
      </c>
      <c r="K1472" s="25">
        <v>3</v>
      </c>
      <c r="L1472" s="24">
        <v>0.12</v>
      </c>
      <c r="M1472" s="24">
        <f>J1472-L1472</f>
        <v>0.14000000000000001</v>
      </c>
      <c r="N1472" s="53">
        <f>IF(J1472&lt;&gt;0,M1472/J1472,"")</f>
        <v>0.53846153846153855</v>
      </c>
      <c r="O1472" s="23">
        <v>0</v>
      </c>
      <c r="P1472" s="25">
        <v>0</v>
      </c>
      <c r="Q1472" s="24">
        <v>0</v>
      </c>
      <c r="R1472" s="24">
        <f>O1472-Q1472</f>
        <v>0</v>
      </c>
      <c r="S1472" s="53" t="str">
        <f>IF(O1472&lt;&gt;0,R1472/O1472,"")</f>
        <v/>
      </c>
      <c r="T1472" s="10"/>
      <c r="U1472" s="23">
        <v>0</v>
      </c>
      <c r="V1472" s="25">
        <v>0</v>
      </c>
      <c r="W1472" s="24">
        <v>0</v>
      </c>
      <c r="X1472" s="24">
        <f>U1472-W1472</f>
        <v>0</v>
      </c>
      <c r="Y1472" s="53" t="str">
        <f>IF(U1472&lt;&gt;0,X1472/U1472,"")</f>
        <v/>
      </c>
      <c r="Z1472" s="23">
        <v>0</v>
      </c>
      <c r="AA1472" s="25">
        <v>0</v>
      </c>
      <c r="AB1472" s="24">
        <v>0</v>
      </c>
      <c r="AC1472" s="24">
        <f t="shared" si="458"/>
        <v>0</v>
      </c>
      <c r="AD1472" s="53" t="str">
        <f t="shared" si="459"/>
        <v/>
      </c>
      <c r="AE1472" s="10"/>
    </row>
    <row r="1473" spans="1:31" x14ac:dyDescent="0.25">
      <c r="A1473" s="14" t="s">
        <v>109</v>
      </c>
      <c r="C1473" s="61" t="str">
        <f t="shared" si="457"/>
        <v>C100096</v>
      </c>
      <c r="F1473" s="8" t="str">
        <f>"E100007"</f>
        <v>E100007</v>
      </c>
      <c r="G1473" s="9" t="str">
        <f>"Plastic Handle Bag"</f>
        <v>Plastic Handle Bag</v>
      </c>
      <c r="H1473" s="47"/>
      <c r="I1473" s="47"/>
      <c r="J1473" s="23">
        <v>138.28</v>
      </c>
      <c r="K1473" s="25">
        <v>432</v>
      </c>
      <c r="L1473" s="24">
        <v>77.760000000000005</v>
      </c>
      <c r="M1473" s="24">
        <f>J1473-L1473</f>
        <v>60.519999999999996</v>
      </c>
      <c r="N1473" s="53">
        <f>IF(J1473&lt;&gt;0,M1473/J1473,"")</f>
        <v>0.43766271333526174</v>
      </c>
      <c r="O1473" s="23">
        <v>0</v>
      </c>
      <c r="P1473" s="25">
        <v>0</v>
      </c>
      <c r="Q1473" s="24">
        <v>0</v>
      </c>
      <c r="R1473" s="24">
        <f>O1473-Q1473</f>
        <v>0</v>
      </c>
      <c r="S1473" s="53" t="str">
        <f>IF(O1473&lt;&gt;0,R1473/O1473,"")</f>
        <v/>
      </c>
      <c r="T1473" s="10"/>
      <c r="U1473" s="23">
        <v>7.76</v>
      </c>
      <c r="V1473" s="25">
        <v>24</v>
      </c>
      <c r="W1473" s="24">
        <v>4.32</v>
      </c>
      <c r="X1473" s="24">
        <f>U1473-W1473</f>
        <v>3.4399999999999995</v>
      </c>
      <c r="Y1473" s="53">
        <f>IF(U1473&lt;&gt;0,X1473/U1473,"")</f>
        <v>0.44329896907216487</v>
      </c>
      <c r="Z1473" s="23">
        <v>0</v>
      </c>
      <c r="AA1473" s="25">
        <v>0</v>
      </c>
      <c r="AB1473" s="24">
        <v>0</v>
      </c>
      <c r="AC1473" s="24">
        <f t="shared" si="458"/>
        <v>0</v>
      </c>
      <c r="AD1473" s="53" t="str">
        <f t="shared" si="459"/>
        <v/>
      </c>
      <c r="AE1473" s="10"/>
    </row>
    <row r="1474" spans="1:31" x14ac:dyDescent="0.25">
      <c r="A1474" s="14" t="s">
        <v>109</v>
      </c>
      <c r="C1474" s="61" t="str">
        <f t="shared" si="457"/>
        <v>C100096</v>
      </c>
      <c r="F1474" s="8" t="str">
        <f>"E100008"</f>
        <v>E100008</v>
      </c>
      <c r="G1474" s="9" t="str">
        <f>"Super Shopper"</f>
        <v>Super Shopper</v>
      </c>
      <c r="H1474" s="47"/>
      <c r="I1474" s="47"/>
      <c r="J1474" s="23">
        <v>32.35</v>
      </c>
      <c r="K1474" s="25">
        <v>145</v>
      </c>
      <c r="L1474" s="24">
        <v>17.41</v>
      </c>
      <c r="M1474" s="24">
        <f>J1474-L1474</f>
        <v>14.940000000000001</v>
      </c>
      <c r="N1474" s="53">
        <f>IF(J1474&lt;&gt;0,M1474/J1474,"")</f>
        <v>0.46182380216383312</v>
      </c>
      <c r="O1474" s="23">
        <v>0</v>
      </c>
      <c r="P1474" s="25">
        <v>0</v>
      </c>
      <c r="Q1474" s="24">
        <v>0</v>
      </c>
      <c r="R1474" s="24">
        <f>O1474-Q1474</f>
        <v>0</v>
      </c>
      <c r="S1474" s="53" t="str">
        <f>IF(O1474&lt;&gt;0,R1474/O1474,"")</f>
        <v/>
      </c>
      <c r="T1474" s="10"/>
      <c r="U1474" s="23">
        <v>0</v>
      </c>
      <c r="V1474" s="25">
        <v>0</v>
      </c>
      <c r="W1474" s="24">
        <v>0</v>
      </c>
      <c r="X1474" s="24">
        <f>U1474-W1474</f>
        <v>0</v>
      </c>
      <c r="Y1474" s="53" t="str">
        <f>IF(U1474&lt;&gt;0,X1474/U1474,"")</f>
        <v/>
      </c>
      <c r="Z1474" s="23">
        <v>0</v>
      </c>
      <c r="AA1474" s="25">
        <v>0</v>
      </c>
      <c r="AB1474" s="24">
        <v>0</v>
      </c>
      <c r="AC1474" s="24">
        <f t="shared" si="458"/>
        <v>0</v>
      </c>
      <c r="AD1474" s="53" t="str">
        <f t="shared" si="459"/>
        <v/>
      </c>
      <c r="AE1474" s="10"/>
    </row>
    <row r="1475" spans="1:31" x14ac:dyDescent="0.25">
      <c r="A1475" s="14" t="s">
        <v>109</v>
      </c>
      <c r="C1475" s="61" t="str">
        <f t="shared" si="457"/>
        <v>C100096</v>
      </c>
      <c r="F1475" s="8" t="str">
        <f>"E100009"</f>
        <v>E100009</v>
      </c>
      <c r="G1475" s="9" t="str">
        <f>"Die-Cut Tote"</f>
        <v>Die-Cut Tote</v>
      </c>
      <c r="H1475" s="47"/>
      <c r="I1475" s="47"/>
      <c r="J1475" s="23">
        <v>32.129999999999995</v>
      </c>
      <c r="K1475" s="25">
        <v>144</v>
      </c>
      <c r="L1475" s="24">
        <v>15.85</v>
      </c>
      <c r="M1475" s="24">
        <f>J1475-L1475</f>
        <v>16.279999999999994</v>
      </c>
      <c r="N1475" s="53">
        <f>IF(J1475&lt;&gt;0,M1475/J1475,"")</f>
        <v>0.50669156551509487</v>
      </c>
      <c r="O1475" s="23">
        <v>0</v>
      </c>
      <c r="P1475" s="25">
        <v>0</v>
      </c>
      <c r="Q1475" s="24">
        <v>0</v>
      </c>
      <c r="R1475" s="24">
        <f>O1475-Q1475</f>
        <v>0</v>
      </c>
      <c r="S1475" s="53" t="str">
        <f>IF(O1475&lt;&gt;0,R1475/O1475,"")</f>
        <v/>
      </c>
      <c r="T1475" s="10"/>
      <c r="U1475" s="23">
        <v>32.46</v>
      </c>
      <c r="V1475" s="25">
        <v>144</v>
      </c>
      <c r="W1475" s="24">
        <v>15.85</v>
      </c>
      <c r="X1475" s="24">
        <f>U1475-W1475</f>
        <v>16.61</v>
      </c>
      <c r="Y1475" s="53">
        <f>IF(U1475&lt;&gt;0,X1475/U1475,"")</f>
        <v>0.51170671595810224</v>
      </c>
      <c r="Z1475" s="23">
        <v>0</v>
      </c>
      <c r="AA1475" s="25">
        <v>0</v>
      </c>
      <c r="AB1475" s="24">
        <v>0</v>
      </c>
      <c r="AC1475" s="24">
        <f t="shared" si="458"/>
        <v>0</v>
      </c>
      <c r="AD1475" s="53" t="str">
        <f t="shared" si="459"/>
        <v/>
      </c>
      <c r="AE1475" s="10"/>
    </row>
    <row r="1476" spans="1:31" x14ac:dyDescent="0.25">
      <c r="A1476" s="14" t="s">
        <v>109</v>
      </c>
      <c r="C1476" s="61" t="str">
        <f t="shared" si="457"/>
        <v>C100096</v>
      </c>
      <c r="F1476" s="8" t="str">
        <f>"E100010"</f>
        <v>E100010</v>
      </c>
      <c r="G1476" s="9" t="str">
        <f>"Vinyl Tote"</f>
        <v>Vinyl Tote</v>
      </c>
      <c r="H1476" s="47"/>
      <c r="I1476" s="47"/>
      <c r="J1476" s="23">
        <v>43.3</v>
      </c>
      <c r="K1476" s="25">
        <v>144</v>
      </c>
      <c r="L1476" s="24">
        <v>25.92</v>
      </c>
      <c r="M1476" s="24">
        <f>J1476-L1476</f>
        <v>17.379999999999995</v>
      </c>
      <c r="N1476" s="53">
        <f>IF(J1476&lt;&gt;0,M1476/J1476,"")</f>
        <v>0.40138568129330249</v>
      </c>
      <c r="O1476" s="23">
        <v>0</v>
      </c>
      <c r="P1476" s="25">
        <v>0</v>
      </c>
      <c r="Q1476" s="24">
        <v>0</v>
      </c>
      <c r="R1476" s="24">
        <f>O1476-Q1476</f>
        <v>0</v>
      </c>
      <c r="S1476" s="53" t="str">
        <f>IF(O1476&lt;&gt;0,R1476/O1476,"")</f>
        <v/>
      </c>
      <c r="T1476" s="10"/>
      <c r="U1476" s="23">
        <v>0</v>
      </c>
      <c r="V1476" s="25">
        <v>0</v>
      </c>
      <c r="W1476" s="24">
        <v>0</v>
      </c>
      <c r="X1476" s="24">
        <f>U1476-W1476</f>
        <v>0</v>
      </c>
      <c r="Y1476" s="53" t="str">
        <f>IF(U1476&lt;&gt;0,X1476/U1476,"")</f>
        <v/>
      </c>
      <c r="Z1476" s="23">
        <v>0</v>
      </c>
      <c r="AA1476" s="25">
        <v>0</v>
      </c>
      <c r="AB1476" s="24">
        <v>0</v>
      </c>
      <c r="AC1476" s="24">
        <f t="shared" si="458"/>
        <v>0</v>
      </c>
      <c r="AD1476" s="53" t="str">
        <f t="shared" si="459"/>
        <v/>
      </c>
      <c r="AE1476" s="10"/>
    </row>
    <row r="1477" spans="1:31" x14ac:dyDescent="0.25">
      <c r="A1477" s="14" t="s">
        <v>109</v>
      </c>
      <c r="C1477" s="61" t="str">
        <f t="shared" si="457"/>
        <v>C100096</v>
      </c>
      <c r="F1477" s="8" t="str">
        <f>"E100011"</f>
        <v>E100011</v>
      </c>
      <c r="G1477" s="9" t="str">
        <f>"Plastic Sun Visor"</f>
        <v>Plastic Sun Visor</v>
      </c>
      <c r="H1477" s="47"/>
      <c r="I1477" s="47"/>
      <c r="J1477" s="23">
        <v>339.41999999999996</v>
      </c>
      <c r="K1477" s="25">
        <v>432</v>
      </c>
      <c r="L1477" s="24">
        <v>181.4</v>
      </c>
      <c r="M1477" s="24">
        <f>J1477-L1477</f>
        <v>158.01999999999995</v>
      </c>
      <c r="N1477" s="53">
        <f>IF(J1477&lt;&gt;0,M1477/J1477,"")</f>
        <v>0.46555889458488003</v>
      </c>
      <c r="O1477" s="23">
        <v>0</v>
      </c>
      <c r="P1477" s="25">
        <v>0</v>
      </c>
      <c r="Q1477" s="24">
        <v>0</v>
      </c>
      <c r="R1477" s="24">
        <f>O1477-Q1477</f>
        <v>0</v>
      </c>
      <c r="S1477" s="53" t="str">
        <f>IF(O1477&lt;&gt;0,R1477/O1477,"")</f>
        <v/>
      </c>
      <c r="T1477" s="10"/>
      <c r="U1477" s="23">
        <v>114.31</v>
      </c>
      <c r="V1477" s="25">
        <v>144</v>
      </c>
      <c r="W1477" s="24">
        <v>60.470000000000006</v>
      </c>
      <c r="X1477" s="24">
        <f>U1477-W1477</f>
        <v>53.839999999999996</v>
      </c>
      <c r="Y1477" s="53">
        <f>IF(U1477&lt;&gt;0,X1477/U1477,"")</f>
        <v>0.47099991251858975</v>
      </c>
      <c r="Z1477" s="23">
        <v>0</v>
      </c>
      <c r="AA1477" s="25">
        <v>0</v>
      </c>
      <c r="AB1477" s="24">
        <v>0</v>
      </c>
      <c r="AC1477" s="24">
        <f t="shared" si="458"/>
        <v>0</v>
      </c>
      <c r="AD1477" s="53" t="str">
        <f t="shared" si="459"/>
        <v/>
      </c>
      <c r="AE1477" s="10"/>
    </row>
    <row r="1478" spans="1:31" x14ac:dyDescent="0.25">
      <c r="A1478" s="14" t="s">
        <v>109</v>
      </c>
      <c r="C1478" s="61" t="str">
        <f t="shared" si="457"/>
        <v>C100096</v>
      </c>
      <c r="F1478" s="8" t="str">
        <f>"E100013"</f>
        <v>E100013</v>
      </c>
      <c r="G1478" s="9" t="str">
        <f>"Clip-on Stopwatch"</f>
        <v>Clip-on Stopwatch</v>
      </c>
      <c r="H1478" s="47"/>
      <c r="I1478" s="47"/>
      <c r="J1478" s="23">
        <v>385.52000000000004</v>
      </c>
      <c r="K1478" s="25">
        <v>144</v>
      </c>
      <c r="L1478" s="24">
        <v>207.35</v>
      </c>
      <c r="M1478" s="24">
        <f>J1478-L1478</f>
        <v>178.17000000000004</v>
      </c>
      <c r="N1478" s="53">
        <f>IF(J1478&lt;&gt;0,M1478/J1478,"")</f>
        <v>0.46215501141315635</v>
      </c>
      <c r="O1478" s="23">
        <v>0</v>
      </c>
      <c r="P1478" s="25">
        <v>0</v>
      </c>
      <c r="Q1478" s="24">
        <v>0</v>
      </c>
      <c r="R1478" s="24">
        <f>O1478-Q1478</f>
        <v>0</v>
      </c>
      <c r="S1478" s="53" t="str">
        <f>IF(O1478&lt;&gt;0,R1478/O1478,"")</f>
        <v/>
      </c>
      <c r="T1478" s="10"/>
      <c r="U1478" s="23">
        <v>0</v>
      </c>
      <c r="V1478" s="25">
        <v>0</v>
      </c>
      <c r="W1478" s="24">
        <v>0</v>
      </c>
      <c r="X1478" s="24">
        <f>U1478-W1478</f>
        <v>0</v>
      </c>
      <c r="Y1478" s="53" t="str">
        <f>IF(U1478&lt;&gt;0,X1478/U1478,"")</f>
        <v/>
      </c>
      <c r="Z1478" s="23">
        <v>0</v>
      </c>
      <c r="AA1478" s="25">
        <v>0</v>
      </c>
      <c r="AB1478" s="24">
        <v>0</v>
      </c>
      <c r="AC1478" s="24">
        <f t="shared" si="458"/>
        <v>0</v>
      </c>
      <c r="AD1478" s="53" t="str">
        <f t="shared" si="459"/>
        <v/>
      </c>
      <c r="AE1478" s="10"/>
    </row>
    <row r="1479" spans="1:31" x14ac:dyDescent="0.25">
      <c r="A1479" s="14" t="s">
        <v>109</v>
      </c>
      <c r="C1479" s="61" t="str">
        <f t="shared" si="457"/>
        <v>C100096</v>
      </c>
      <c r="F1479" s="8" t="str">
        <f>"E100014"</f>
        <v>E100014</v>
      </c>
      <c r="G1479" s="9" t="str">
        <f>"Stopwatch with Neck Rope"</f>
        <v>Stopwatch with Neck Rope</v>
      </c>
      <c r="H1479" s="47"/>
      <c r="I1479" s="47"/>
      <c r="J1479" s="23">
        <v>380.16</v>
      </c>
      <c r="K1479" s="25">
        <v>144</v>
      </c>
      <c r="L1479" s="24">
        <v>185.75</v>
      </c>
      <c r="M1479" s="24">
        <f>J1479-L1479</f>
        <v>194.41000000000003</v>
      </c>
      <c r="N1479" s="53">
        <f>IF(J1479&lt;&gt;0,M1479/J1479,"")</f>
        <v>0.51138994107744107</v>
      </c>
      <c r="O1479" s="23">
        <v>0</v>
      </c>
      <c r="P1479" s="25">
        <v>0</v>
      </c>
      <c r="Q1479" s="24">
        <v>0</v>
      </c>
      <c r="R1479" s="24">
        <f>O1479-Q1479</f>
        <v>0</v>
      </c>
      <c r="S1479" s="53" t="str">
        <f>IF(O1479&lt;&gt;0,R1479/O1479,"")</f>
        <v/>
      </c>
      <c r="T1479" s="10"/>
      <c r="U1479" s="23">
        <v>388.08000000000004</v>
      </c>
      <c r="V1479" s="25">
        <v>144</v>
      </c>
      <c r="W1479" s="24">
        <v>185.75</v>
      </c>
      <c r="X1479" s="24">
        <f>U1479-W1479</f>
        <v>202.33000000000004</v>
      </c>
      <c r="Y1479" s="53">
        <f>IF(U1479&lt;&gt;0,X1479/U1479,"")</f>
        <v>0.5213615749330035</v>
      </c>
      <c r="Z1479" s="23">
        <v>0</v>
      </c>
      <c r="AA1479" s="25">
        <v>0</v>
      </c>
      <c r="AB1479" s="24">
        <v>0</v>
      </c>
      <c r="AC1479" s="24">
        <f t="shared" si="458"/>
        <v>0</v>
      </c>
      <c r="AD1479" s="53" t="str">
        <f t="shared" si="459"/>
        <v/>
      </c>
      <c r="AE1479" s="10"/>
    </row>
    <row r="1480" spans="1:31" x14ac:dyDescent="0.25">
      <c r="A1480" s="14" t="s">
        <v>109</v>
      </c>
      <c r="C1480" s="61" t="str">
        <f t="shared" si="457"/>
        <v>C100096</v>
      </c>
      <c r="F1480" s="8" t="str">
        <f>"E100015"</f>
        <v>E100015</v>
      </c>
      <c r="G1480" s="9" t="str">
        <f>"360 Clip Watch"</f>
        <v>360 Clip Watch</v>
      </c>
      <c r="H1480" s="47"/>
      <c r="I1480" s="47"/>
      <c r="J1480" s="23">
        <v>300.31</v>
      </c>
      <c r="K1480" s="25">
        <v>144</v>
      </c>
      <c r="L1480" s="24">
        <v>146.88</v>
      </c>
      <c r="M1480" s="24">
        <f>J1480-L1480</f>
        <v>153.43</v>
      </c>
      <c r="N1480" s="53">
        <f>IF(J1480&lt;&gt;0,M1480/J1480,"")</f>
        <v>0.51090539775565247</v>
      </c>
      <c r="O1480" s="23">
        <v>0</v>
      </c>
      <c r="P1480" s="25">
        <v>0</v>
      </c>
      <c r="Q1480" s="24">
        <v>0</v>
      </c>
      <c r="R1480" s="24">
        <f>O1480-Q1480</f>
        <v>0</v>
      </c>
      <c r="S1480" s="53" t="str">
        <f>IF(O1480&lt;&gt;0,R1480/O1480,"")</f>
        <v/>
      </c>
      <c r="T1480" s="10"/>
      <c r="U1480" s="23">
        <v>303.41000000000003</v>
      </c>
      <c r="V1480" s="25">
        <v>144</v>
      </c>
      <c r="W1480" s="24">
        <v>146.88</v>
      </c>
      <c r="X1480" s="24">
        <f>U1480-W1480</f>
        <v>156.53000000000003</v>
      </c>
      <c r="Y1480" s="53">
        <f>IF(U1480&lt;&gt;0,X1480/U1480,"")</f>
        <v>0.51590257407468443</v>
      </c>
      <c r="Z1480" s="23">
        <v>0</v>
      </c>
      <c r="AA1480" s="25">
        <v>0</v>
      </c>
      <c r="AB1480" s="24">
        <v>0</v>
      </c>
      <c r="AC1480" s="24">
        <f t="shared" si="458"/>
        <v>0</v>
      </c>
      <c r="AD1480" s="53" t="str">
        <f t="shared" si="459"/>
        <v/>
      </c>
      <c r="AE1480" s="10"/>
    </row>
    <row r="1481" spans="1:31" x14ac:dyDescent="0.25">
      <c r="A1481" s="14" t="s">
        <v>109</v>
      </c>
      <c r="C1481" s="61" t="str">
        <f t="shared" si="457"/>
        <v>C100096</v>
      </c>
      <c r="F1481" s="8" t="str">
        <f>"E100018"</f>
        <v>E100018</v>
      </c>
      <c r="G1481" s="9" t="str">
        <f>"Flexi-Clock &amp; Clip"</f>
        <v>Flexi-Clock &amp; Clip</v>
      </c>
      <c r="H1481" s="47"/>
      <c r="I1481" s="47"/>
      <c r="J1481" s="23">
        <v>315.68</v>
      </c>
      <c r="K1481" s="25">
        <v>288</v>
      </c>
      <c r="L1481" s="24">
        <v>172.77</v>
      </c>
      <c r="M1481" s="24">
        <f>J1481-L1481</f>
        <v>142.91</v>
      </c>
      <c r="N1481" s="53">
        <f>IF(J1481&lt;&gt;0,M1481/J1481,"")</f>
        <v>0.452705271160669</v>
      </c>
      <c r="O1481" s="23">
        <v>0</v>
      </c>
      <c r="P1481" s="25">
        <v>0</v>
      </c>
      <c r="Q1481" s="24">
        <v>0</v>
      </c>
      <c r="R1481" s="24">
        <f>O1481-Q1481</f>
        <v>0</v>
      </c>
      <c r="S1481" s="53" t="str">
        <f>IF(O1481&lt;&gt;0,R1481/O1481,"")</f>
        <v/>
      </c>
      <c r="T1481" s="10"/>
      <c r="U1481" s="23">
        <v>0</v>
      </c>
      <c r="V1481" s="25">
        <v>0</v>
      </c>
      <c r="W1481" s="24">
        <v>0</v>
      </c>
      <c r="X1481" s="24">
        <f>U1481-W1481</f>
        <v>0</v>
      </c>
      <c r="Y1481" s="53" t="str">
        <f>IF(U1481&lt;&gt;0,X1481/U1481,"")</f>
        <v/>
      </c>
      <c r="Z1481" s="23">
        <v>0</v>
      </c>
      <c r="AA1481" s="25">
        <v>0</v>
      </c>
      <c r="AB1481" s="24">
        <v>0</v>
      </c>
      <c r="AC1481" s="24">
        <f t="shared" si="458"/>
        <v>0</v>
      </c>
      <c r="AD1481" s="53" t="str">
        <f t="shared" si="459"/>
        <v/>
      </c>
      <c r="AE1481" s="10"/>
    </row>
    <row r="1482" spans="1:31" x14ac:dyDescent="0.25">
      <c r="A1482" s="14" t="s">
        <v>109</v>
      </c>
      <c r="C1482" s="61" t="str">
        <f t="shared" si="457"/>
        <v>C100096</v>
      </c>
      <c r="F1482" s="8" t="str">
        <f>"E100019"</f>
        <v>E100019</v>
      </c>
      <c r="G1482" s="9" t="str">
        <f>"Mini Travel Alarm"</f>
        <v>Mini Travel Alarm</v>
      </c>
      <c r="H1482" s="47"/>
      <c r="I1482" s="47"/>
      <c r="J1482" s="23">
        <v>157.84</v>
      </c>
      <c r="K1482" s="25">
        <v>48</v>
      </c>
      <c r="L1482" s="24">
        <v>77.760000000000005</v>
      </c>
      <c r="M1482" s="24">
        <f>J1482-L1482</f>
        <v>80.08</v>
      </c>
      <c r="N1482" s="53">
        <f>IF(J1482&lt;&gt;0,M1482/J1482,"")</f>
        <v>0.50734921439432334</v>
      </c>
      <c r="O1482" s="23">
        <v>0</v>
      </c>
      <c r="P1482" s="25">
        <v>0</v>
      </c>
      <c r="Q1482" s="24">
        <v>0</v>
      </c>
      <c r="R1482" s="24">
        <f>O1482-Q1482</f>
        <v>0</v>
      </c>
      <c r="S1482" s="53" t="str">
        <f>IF(O1482&lt;&gt;0,R1482/O1482,"")</f>
        <v/>
      </c>
      <c r="T1482" s="10"/>
      <c r="U1482" s="23">
        <v>0</v>
      </c>
      <c r="V1482" s="25">
        <v>0</v>
      </c>
      <c r="W1482" s="24">
        <v>0</v>
      </c>
      <c r="X1482" s="24">
        <f>U1482-W1482</f>
        <v>0</v>
      </c>
      <c r="Y1482" s="53" t="str">
        <f>IF(U1482&lt;&gt;0,X1482/U1482,"")</f>
        <v/>
      </c>
      <c r="Z1482" s="23">
        <v>0</v>
      </c>
      <c r="AA1482" s="25">
        <v>0</v>
      </c>
      <c r="AB1482" s="24">
        <v>0</v>
      </c>
      <c r="AC1482" s="24">
        <f t="shared" si="458"/>
        <v>0</v>
      </c>
      <c r="AD1482" s="53" t="str">
        <f t="shared" si="459"/>
        <v/>
      </c>
      <c r="AE1482" s="10"/>
    </row>
    <row r="1483" spans="1:31" x14ac:dyDescent="0.25">
      <c r="A1483" s="14" t="s">
        <v>109</v>
      </c>
      <c r="C1483" s="61" t="str">
        <f t="shared" si="457"/>
        <v>C100096</v>
      </c>
      <c r="F1483" s="8" t="str">
        <f>"E100021"</f>
        <v>E100021</v>
      </c>
      <c r="G1483" s="9" t="str">
        <f>"Slim Travel Alarm"</f>
        <v>Slim Travel Alarm</v>
      </c>
      <c r="H1483" s="47"/>
      <c r="I1483" s="47"/>
      <c r="J1483" s="23">
        <v>1202.69</v>
      </c>
      <c r="K1483" s="25">
        <v>432</v>
      </c>
      <c r="L1483" s="24">
        <v>622.05000000000007</v>
      </c>
      <c r="M1483" s="24">
        <f>J1483-L1483</f>
        <v>580.64</v>
      </c>
      <c r="N1483" s="53">
        <f>IF(J1483&lt;&gt;0,M1483/J1483,"")</f>
        <v>0.48278442491415074</v>
      </c>
      <c r="O1483" s="23">
        <v>0</v>
      </c>
      <c r="P1483" s="25">
        <v>0</v>
      </c>
      <c r="Q1483" s="24">
        <v>0</v>
      </c>
      <c r="R1483" s="24">
        <f>O1483-Q1483</f>
        <v>0</v>
      </c>
      <c r="S1483" s="53" t="str">
        <f>IF(O1483&lt;&gt;0,R1483/O1483,"")</f>
        <v/>
      </c>
      <c r="T1483" s="10"/>
      <c r="U1483" s="23">
        <v>0</v>
      </c>
      <c r="V1483" s="25">
        <v>0</v>
      </c>
      <c r="W1483" s="24">
        <v>0</v>
      </c>
      <c r="X1483" s="24">
        <f>U1483-W1483</f>
        <v>0</v>
      </c>
      <c r="Y1483" s="53" t="str">
        <f>IF(U1483&lt;&gt;0,X1483/U1483,"")</f>
        <v/>
      </c>
      <c r="Z1483" s="23">
        <v>0</v>
      </c>
      <c r="AA1483" s="25">
        <v>0</v>
      </c>
      <c r="AB1483" s="24">
        <v>0</v>
      </c>
      <c r="AC1483" s="24">
        <f t="shared" si="458"/>
        <v>0</v>
      </c>
      <c r="AD1483" s="53" t="str">
        <f t="shared" si="459"/>
        <v/>
      </c>
      <c r="AE1483" s="10"/>
    </row>
    <row r="1484" spans="1:31" x14ac:dyDescent="0.25">
      <c r="A1484" s="14" t="s">
        <v>109</v>
      </c>
      <c r="C1484" s="61" t="str">
        <f t="shared" si="457"/>
        <v>C100096</v>
      </c>
      <c r="F1484" s="8" t="str">
        <f>"E100022"</f>
        <v>E100022</v>
      </c>
      <c r="G1484" s="9" t="str">
        <f>"Wide Screen Alarm Clock"</f>
        <v>Wide Screen Alarm Clock</v>
      </c>
      <c r="H1484" s="47"/>
      <c r="I1484" s="47"/>
      <c r="J1484" s="23">
        <v>269.58</v>
      </c>
      <c r="K1484" s="25">
        <v>144</v>
      </c>
      <c r="L1484" s="24">
        <v>184.31</v>
      </c>
      <c r="M1484" s="24">
        <f>J1484-L1484</f>
        <v>85.269999999999982</v>
      </c>
      <c r="N1484" s="53">
        <f>IF(J1484&lt;&gt;0,M1484/J1484,"")</f>
        <v>0.31630684768899764</v>
      </c>
      <c r="O1484" s="23">
        <v>0</v>
      </c>
      <c r="P1484" s="25">
        <v>0</v>
      </c>
      <c r="Q1484" s="24">
        <v>0</v>
      </c>
      <c r="R1484" s="24">
        <f>O1484-Q1484</f>
        <v>0</v>
      </c>
      <c r="S1484" s="53" t="str">
        <f>IF(O1484&lt;&gt;0,R1484/O1484,"")</f>
        <v/>
      </c>
      <c r="T1484" s="10"/>
      <c r="U1484" s="23">
        <v>0</v>
      </c>
      <c r="V1484" s="25">
        <v>0</v>
      </c>
      <c r="W1484" s="24">
        <v>0</v>
      </c>
      <c r="X1484" s="24">
        <f>U1484-W1484</f>
        <v>0</v>
      </c>
      <c r="Y1484" s="53" t="str">
        <f>IF(U1484&lt;&gt;0,X1484/U1484,"")</f>
        <v/>
      </c>
      <c r="Z1484" s="23">
        <v>0</v>
      </c>
      <c r="AA1484" s="25">
        <v>0</v>
      </c>
      <c r="AB1484" s="24">
        <v>0</v>
      </c>
      <c r="AC1484" s="24">
        <f t="shared" si="458"/>
        <v>0</v>
      </c>
      <c r="AD1484" s="53" t="str">
        <f t="shared" si="459"/>
        <v/>
      </c>
      <c r="AE1484" s="10"/>
    </row>
    <row r="1485" spans="1:31" x14ac:dyDescent="0.25">
      <c r="A1485" s="14" t="s">
        <v>109</v>
      </c>
      <c r="C1485" s="61" t="str">
        <f t="shared" si="457"/>
        <v>C100096</v>
      </c>
      <c r="F1485" s="8" t="str">
        <f>"E100023"</f>
        <v>E100023</v>
      </c>
      <c r="G1485" s="9" t="str">
        <f>"Sport Earbuds"</f>
        <v>Sport Earbuds</v>
      </c>
      <c r="H1485" s="47"/>
      <c r="I1485" s="47"/>
      <c r="J1485" s="23">
        <v>1262.7</v>
      </c>
      <c r="K1485" s="25">
        <v>288</v>
      </c>
      <c r="L1485" s="24">
        <v>604.79999999999995</v>
      </c>
      <c r="M1485" s="24">
        <f>J1485-L1485</f>
        <v>657.90000000000009</v>
      </c>
      <c r="N1485" s="53">
        <f>IF(J1485&lt;&gt;0,M1485/J1485,"")</f>
        <v>0.52102637205987179</v>
      </c>
      <c r="O1485" s="23">
        <v>0</v>
      </c>
      <c r="P1485" s="25">
        <v>0</v>
      </c>
      <c r="Q1485" s="24">
        <v>0</v>
      </c>
      <c r="R1485" s="24">
        <f>O1485-Q1485</f>
        <v>0</v>
      </c>
      <c r="S1485" s="53" t="str">
        <f>IF(O1485&lt;&gt;0,R1485/O1485,"")</f>
        <v/>
      </c>
      <c r="T1485" s="10"/>
      <c r="U1485" s="23">
        <v>637.86</v>
      </c>
      <c r="V1485" s="25">
        <v>144</v>
      </c>
      <c r="W1485" s="24">
        <v>302.39999999999998</v>
      </c>
      <c r="X1485" s="24">
        <f>U1485-W1485</f>
        <v>335.46000000000004</v>
      </c>
      <c r="Y1485" s="53">
        <f>IF(U1485&lt;&gt;0,X1485/U1485,"")</f>
        <v>0.52591477753739069</v>
      </c>
      <c r="Z1485" s="23">
        <v>0</v>
      </c>
      <c r="AA1485" s="25">
        <v>0</v>
      </c>
      <c r="AB1485" s="24">
        <v>0</v>
      </c>
      <c r="AC1485" s="24">
        <f t="shared" si="458"/>
        <v>0</v>
      </c>
      <c r="AD1485" s="53" t="str">
        <f t="shared" si="459"/>
        <v/>
      </c>
      <c r="AE1485" s="10"/>
    </row>
    <row r="1486" spans="1:31" x14ac:dyDescent="0.25">
      <c r="A1486" s="14" t="s">
        <v>109</v>
      </c>
      <c r="C1486" s="61" t="str">
        <f t="shared" si="457"/>
        <v>C100096</v>
      </c>
      <c r="F1486" s="8" t="str">
        <f>"E100024"</f>
        <v>E100024</v>
      </c>
      <c r="G1486" s="9" t="str">
        <f>"Arch Calculator"</f>
        <v>Arch Calculator</v>
      </c>
      <c r="H1486" s="47"/>
      <c r="I1486" s="47"/>
      <c r="J1486" s="23">
        <v>444.18000000000006</v>
      </c>
      <c r="K1486" s="25">
        <v>144</v>
      </c>
      <c r="L1486" s="24">
        <v>247.59</v>
      </c>
      <c r="M1486" s="24">
        <f>J1486-L1486</f>
        <v>196.59000000000006</v>
      </c>
      <c r="N1486" s="53">
        <f>IF(J1486&lt;&gt;0,M1486/J1486,"")</f>
        <v>0.44259084155072276</v>
      </c>
      <c r="O1486" s="23">
        <v>0</v>
      </c>
      <c r="P1486" s="25">
        <v>0</v>
      </c>
      <c r="Q1486" s="24">
        <v>0</v>
      </c>
      <c r="R1486" s="24">
        <f>O1486-Q1486</f>
        <v>0</v>
      </c>
      <c r="S1486" s="53" t="str">
        <f>IF(O1486&lt;&gt;0,R1486/O1486,"")</f>
        <v/>
      </c>
      <c r="T1486" s="10"/>
      <c r="U1486" s="23">
        <v>448.76</v>
      </c>
      <c r="V1486" s="25">
        <v>144</v>
      </c>
      <c r="W1486" s="24">
        <v>247.59</v>
      </c>
      <c r="X1486" s="24">
        <f>U1486-W1486</f>
        <v>201.17</v>
      </c>
      <c r="Y1486" s="53">
        <f>IF(U1486&lt;&gt;0,X1486/U1486,"")</f>
        <v>0.44827970407344681</v>
      </c>
      <c r="Z1486" s="23">
        <v>0</v>
      </c>
      <c r="AA1486" s="25">
        <v>0</v>
      </c>
      <c r="AB1486" s="24">
        <v>0</v>
      </c>
      <c r="AC1486" s="24">
        <f t="shared" si="458"/>
        <v>0</v>
      </c>
      <c r="AD1486" s="53" t="str">
        <f t="shared" si="459"/>
        <v/>
      </c>
      <c r="AE1486" s="10"/>
    </row>
    <row r="1487" spans="1:31" x14ac:dyDescent="0.25">
      <c r="A1487" s="14" t="s">
        <v>109</v>
      </c>
      <c r="C1487" s="61" t="str">
        <f t="shared" si="457"/>
        <v>C100096</v>
      </c>
      <c r="F1487" s="8" t="str">
        <f>"E100025"</f>
        <v>E100025</v>
      </c>
      <c r="G1487" s="9" t="str">
        <f>"Calc-U-Note"</f>
        <v>Calc-U-Note</v>
      </c>
      <c r="H1487" s="47"/>
      <c r="I1487" s="47"/>
      <c r="J1487" s="23">
        <v>230.67</v>
      </c>
      <c r="K1487" s="25">
        <v>145</v>
      </c>
      <c r="L1487" s="24">
        <v>147.82</v>
      </c>
      <c r="M1487" s="24">
        <f>J1487-L1487</f>
        <v>82.85</v>
      </c>
      <c r="N1487" s="53">
        <f>IF(J1487&lt;&gt;0,M1487/J1487,"")</f>
        <v>0.35917111024407161</v>
      </c>
      <c r="O1487" s="23">
        <v>0</v>
      </c>
      <c r="P1487" s="25">
        <v>0</v>
      </c>
      <c r="Q1487" s="24">
        <v>0</v>
      </c>
      <c r="R1487" s="24">
        <f>O1487-Q1487</f>
        <v>0</v>
      </c>
      <c r="S1487" s="53" t="str">
        <f>IF(O1487&lt;&gt;0,R1487/O1487,"")</f>
        <v/>
      </c>
      <c r="T1487" s="10"/>
      <c r="U1487" s="23">
        <v>231.43999999999997</v>
      </c>
      <c r="V1487" s="25">
        <v>144</v>
      </c>
      <c r="W1487" s="24">
        <v>146.80000000000001</v>
      </c>
      <c r="X1487" s="24">
        <f>U1487-W1487</f>
        <v>84.639999999999958</v>
      </c>
      <c r="Y1487" s="53">
        <f>IF(U1487&lt;&gt;0,X1487/U1487,"")</f>
        <v>0.36571033529208419</v>
      </c>
      <c r="Z1487" s="23">
        <v>0</v>
      </c>
      <c r="AA1487" s="25">
        <v>0</v>
      </c>
      <c r="AB1487" s="24">
        <v>0</v>
      </c>
      <c r="AC1487" s="24">
        <f t="shared" si="458"/>
        <v>0</v>
      </c>
      <c r="AD1487" s="53" t="str">
        <f t="shared" si="459"/>
        <v/>
      </c>
      <c r="AE1487" s="10"/>
    </row>
    <row r="1488" spans="1:31" x14ac:dyDescent="0.25">
      <c r="A1488" s="14" t="s">
        <v>109</v>
      </c>
      <c r="C1488" s="61" t="str">
        <f t="shared" si="457"/>
        <v>C100096</v>
      </c>
      <c r="F1488" s="8" t="str">
        <f>"E100030"</f>
        <v>E100030</v>
      </c>
      <c r="G1488" s="9" t="str">
        <f>"LED Keychain"</f>
        <v>LED Keychain</v>
      </c>
      <c r="H1488" s="47"/>
      <c r="I1488" s="47"/>
      <c r="J1488" s="23">
        <v>136.42999999999998</v>
      </c>
      <c r="K1488" s="25">
        <v>145</v>
      </c>
      <c r="L1488" s="24">
        <v>72.55</v>
      </c>
      <c r="M1488" s="24">
        <f>J1488-L1488</f>
        <v>63.879999999999981</v>
      </c>
      <c r="N1488" s="53">
        <f>IF(J1488&lt;&gt;0,M1488/J1488,"")</f>
        <v>0.46822546360771083</v>
      </c>
      <c r="O1488" s="23">
        <v>0</v>
      </c>
      <c r="P1488" s="25">
        <v>0</v>
      </c>
      <c r="Q1488" s="24">
        <v>0</v>
      </c>
      <c r="R1488" s="24">
        <f>O1488-Q1488</f>
        <v>0</v>
      </c>
      <c r="S1488" s="53" t="str">
        <f>IF(O1488&lt;&gt;0,R1488/O1488,"")</f>
        <v/>
      </c>
      <c r="T1488" s="10"/>
      <c r="U1488" s="23">
        <v>136.88999999999999</v>
      </c>
      <c r="V1488" s="25">
        <v>144</v>
      </c>
      <c r="W1488" s="24">
        <v>72.05</v>
      </c>
      <c r="X1488" s="24">
        <f>U1488-W1488</f>
        <v>64.839999999999989</v>
      </c>
      <c r="Y1488" s="53">
        <f>IF(U1488&lt;&gt;0,X1488/U1488,"")</f>
        <v>0.47366498648549926</v>
      </c>
      <c r="Z1488" s="23">
        <v>0</v>
      </c>
      <c r="AA1488" s="25">
        <v>0</v>
      </c>
      <c r="AB1488" s="24">
        <v>0</v>
      </c>
      <c r="AC1488" s="24">
        <f t="shared" si="458"/>
        <v>0</v>
      </c>
      <c r="AD1488" s="53" t="str">
        <f t="shared" si="459"/>
        <v/>
      </c>
      <c r="AE1488" s="10"/>
    </row>
    <row r="1489" spans="1:31" x14ac:dyDescent="0.25">
      <c r="A1489" s="14" t="s">
        <v>109</v>
      </c>
      <c r="C1489" s="61" t="str">
        <f t="shared" si="457"/>
        <v>C100096</v>
      </c>
      <c r="F1489" s="8" t="str">
        <f>"E100031"</f>
        <v>E100031</v>
      </c>
      <c r="G1489" s="9" t="str">
        <f>"Ad Torch"</f>
        <v>Ad Torch</v>
      </c>
      <c r="H1489" s="47"/>
      <c r="I1489" s="47"/>
      <c r="J1489" s="23">
        <v>519.61</v>
      </c>
      <c r="K1489" s="25">
        <v>192</v>
      </c>
      <c r="L1489" s="24">
        <v>264.97000000000003</v>
      </c>
      <c r="M1489" s="24">
        <f>J1489-L1489</f>
        <v>254.64</v>
      </c>
      <c r="N1489" s="53">
        <f>IF(J1489&lt;&gt;0,M1489/J1489,"")</f>
        <v>0.49005985258174395</v>
      </c>
      <c r="O1489" s="23">
        <v>0</v>
      </c>
      <c r="P1489" s="25">
        <v>0</v>
      </c>
      <c r="Q1489" s="24">
        <v>0</v>
      </c>
      <c r="R1489" s="24">
        <f>O1489-Q1489</f>
        <v>0</v>
      </c>
      <c r="S1489" s="53" t="str">
        <f>IF(O1489&lt;&gt;0,R1489/O1489,"")</f>
        <v/>
      </c>
      <c r="T1489" s="10"/>
      <c r="U1489" s="23">
        <v>0</v>
      </c>
      <c r="V1489" s="25">
        <v>0</v>
      </c>
      <c r="W1489" s="24">
        <v>0</v>
      </c>
      <c r="X1489" s="24">
        <f>U1489-W1489</f>
        <v>0</v>
      </c>
      <c r="Y1489" s="53" t="str">
        <f>IF(U1489&lt;&gt;0,X1489/U1489,"")</f>
        <v/>
      </c>
      <c r="Z1489" s="23">
        <v>0</v>
      </c>
      <c r="AA1489" s="25">
        <v>0</v>
      </c>
      <c r="AB1489" s="24">
        <v>0</v>
      </c>
      <c r="AC1489" s="24">
        <f t="shared" si="458"/>
        <v>0</v>
      </c>
      <c r="AD1489" s="53" t="str">
        <f t="shared" si="459"/>
        <v/>
      </c>
      <c r="AE1489" s="10"/>
    </row>
    <row r="1490" spans="1:31" x14ac:dyDescent="0.25">
      <c r="A1490" s="14" t="s">
        <v>109</v>
      </c>
      <c r="C1490" s="61" t="str">
        <f t="shared" si="457"/>
        <v>C100096</v>
      </c>
      <c r="F1490" s="8" t="str">
        <f>"E100033"</f>
        <v>E100033</v>
      </c>
      <c r="G1490" s="9" t="str">
        <f>"Dual Source Flashlight"</f>
        <v>Dual Source Flashlight</v>
      </c>
      <c r="H1490" s="47"/>
      <c r="I1490" s="47"/>
      <c r="J1490" s="23">
        <v>458.15</v>
      </c>
      <c r="K1490" s="25">
        <v>144</v>
      </c>
      <c r="L1490" s="24">
        <v>224.60000000000002</v>
      </c>
      <c r="M1490" s="24">
        <f>J1490-L1490</f>
        <v>233.54999999999995</v>
      </c>
      <c r="N1490" s="53">
        <f>IF(J1490&lt;&gt;0,M1490/J1490,"")</f>
        <v>0.50976754338098873</v>
      </c>
      <c r="O1490" s="23">
        <v>0</v>
      </c>
      <c r="P1490" s="25">
        <v>0</v>
      </c>
      <c r="Q1490" s="24">
        <v>0</v>
      </c>
      <c r="R1490" s="24">
        <f>O1490-Q1490</f>
        <v>0</v>
      </c>
      <c r="S1490" s="53" t="str">
        <f>IF(O1490&lt;&gt;0,R1490/O1490,"")</f>
        <v/>
      </c>
      <c r="T1490" s="10"/>
      <c r="U1490" s="23">
        <v>462.87</v>
      </c>
      <c r="V1490" s="25">
        <v>144</v>
      </c>
      <c r="W1490" s="24">
        <v>224.60000000000002</v>
      </c>
      <c r="X1490" s="24">
        <f>U1490-W1490</f>
        <v>238.26999999999998</v>
      </c>
      <c r="Y1490" s="53">
        <f>IF(U1490&lt;&gt;0,X1490/U1490,"")</f>
        <v>0.51476656512627728</v>
      </c>
      <c r="Z1490" s="23">
        <v>0</v>
      </c>
      <c r="AA1490" s="25">
        <v>0</v>
      </c>
      <c r="AB1490" s="24">
        <v>0</v>
      </c>
      <c r="AC1490" s="24">
        <f t="shared" si="458"/>
        <v>0</v>
      </c>
      <c r="AD1490" s="53" t="str">
        <f t="shared" si="459"/>
        <v/>
      </c>
      <c r="AE1490" s="10"/>
    </row>
    <row r="1491" spans="1:31" x14ac:dyDescent="0.25">
      <c r="A1491" s="14" t="s">
        <v>109</v>
      </c>
      <c r="C1491" s="61" t="str">
        <f t="shared" si="457"/>
        <v>C100096</v>
      </c>
      <c r="F1491" s="8" t="str">
        <f>"E100038"</f>
        <v>E100038</v>
      </c>
      <c r="G1491" s="9" t="str">
        <f>"1GB USB Flash Drive Pen"</f>
        <v>1GB USB Flash Drive Pen</v>
      </c>
      <c r="H1491" s="47"/>
      <c r="I1491" s="47"/>
      <c r="J1491" s="23">
        <v>1592.35</v>
      </c>
      <c r="K1491" s="25">
        <v>288</v>
      </c>
      <c r="L1491" s="24">
        <v>855.45999999999992</v>
      </c>
      <c r="M1491" s="24">
        <f>J1491-L1491</f>
        <v>736.89</v>
      </c>
      <c r="N1491" s="53">
        <f>IF(J1491&lt;&gt;0,M1491/J1491,"")</f>
        <v>0.46276886362922726</v>
      </c>
      <c r="O1491" s="23">
        <v>0</v>
      </c>
      <c r="P1491" s="25">
        <v>0</v>
      </c>
      <c r="Q1491" s="24">
        <v>0</v>
      </c>
      <c r="R1491" s="24">
        <f>O1491-Q1491</f>
        <v>0</v>
      </c>
      <c r="S1491" s="53" t="str">
        <f>IF(O1491&lt;&gt;0,R1491/O1491,"")</f>
        <v/>
      </c>
      <c r="T1491" s="10"/>
      <c r="U1491" s="23">
        <v>804.38</v>
      </c>
      <c r="V1491" s="25">
        <v>144</v>
      </c>
      <c r="W1491" s="24">
        <v>427.72999999999996</v>
      </c>
      <c r="X1491" s="24">
        <f>U1491-W1491</f>
        <v>376.65000000000003</v>
      </c>
      <c r="Y1491" s="53">
        <f>IF(U1491&lt;&gt;0,X1491/U1491,"")</f>
        <v>0.46824883761406305</v>
      </c>
      <c r="Z1491" s="23">
        <v>0</v>
      </c>
      <c r="AA1491" s="25">
        <v>0</v>
      </c>
      <c r="AB1491" s="24">
        <v>0</v>
      </c>
      <c r="AC1491" s="24">
        <f t="shared" si="458"/>
        <v>0</v>
      </c>
      <c r="AD1491" s="53" t="str">
        <f t="shared" si="459"/>
        <v/>
      </c>
      <c r="AE1491" s="10"/>
    </row>
    <row r="1492" spans="1:31" x14ac:dyDescent="0.25">
      <c r="A1492" s="14" t="s">
        <v>109</v>
      </c>
      <c r="C1492" s="61" t="str">
        <f t="shared" si="457"/>
        <v>C100096</v>
      </c>
      <c r="F1492" s="8" t="str">
        <f>"E100039"</f>
        <v>E100039</v>
      </c>
      <c r="G1492" s="9" t="str">
        <f>"Campfire Mug"</f>
        <v>Campfire Mug</v>
      </c>
      <c r="H1492" s="47"/>
      <c r="I1492" s="47"/>
      <c r="J1492" s="23">
        <v>240.25</v>
      </c>
      <c r="K1492" s="25">
        <v>144</v>
      </c>
      <c r="L1492" s="24">
        <v>161.36000000000001</v>
      </c>
      <c r="M1492" s="24">
        <f>J1492-L1492</f>
        <v>78.889999999999986</v>
      </c>
      <c r="N1492" s="53">
        <f>IF(J1492&lt;&gt;0,M1492/J1492,"")</f>
        <v>0.32836628511966698</v>
      </c>
      <c r="O1492" s="23">
        <v>0</v>
      </c>
      <c r="P1492" s="25">
        <v>0</v>
      </c>
      <c r="Q1492" s="24">
        <v>0</v>
      </c>
      <c r="R1492" s="24">
        <f>O1492-Q1492</f>
        <v>0</v>
      </c>
      <c r="S1492" s="53" t="str">
        <f>IF(O1492&lt;&gt;0,R1492/O1492,"")</f>
        <v/>
      </c>
      <c r="T1492" s="10"/>
      <c r="U1492" s="23">
        <v>0</v>
      </c>
      <c r="V1492" s="25">
        <v>0</v>
      </c>
      <c r="W1492" s="24">
        <v>0</v>
      </c>
      <c r="X1492" s="24">
        <f>U1492-W1492</f>
        <v>0</v>
      </c>
      <c r="Y1492" s="53" t="str">
        <f>IF(U1492&lt;&gt;0,X1492/U1492,"")</f>
        <v/>
      </c>
      <c r="Z1492" s="23">
        <v>0</v>
      </c>
      <c r="AA1492" s="25">
        <v>0</v>
      </c>
      <c r="AB1492" s="24">
        <v>0</v>
      </c>
      <c r="AC1492" s="24">
        <f t="shared" si="458"/>
        <v>0</v>
      </c>
      <c r="AD1492" s="53" t="str">
        <f t="shared" si="459"/>
        <v/>
      </c>
      <c r="AE1492" s="10"/>
    </row>
    <row r="1493" spans="1:31" x14ac:dyDescent="0.25">
      <c r="A1493" s="14" t="s">
        <v>109</v>
      </c>
      <c r="C1493" s="61" t="str">
        <f t="shared" si="457"/>
        <v>C100096</v>
      </c>
      <c r="F1493" s="8" t="str">
        <f>"E100040"</f>
        <v>E100040</v>
      </c>
      <c r="G1493" s="9" t="str">
        <f>"Wave Mug"</f>
        <v>Wave Mug</v>
      </c>
      <c r="H1493" s="47"/>
      <c r="I1493" s="47"/>
      <c r="J1493" s="23">
        <v>481.95</v>
      </c>
      <c r="K1493" s="25">
        <v>294</v>
      </c>
      <c r="L1493" s="24">
        <v>329.44</v>
      </c>
      <c r="M1493" s="24">
        <f>J1493-L1493</f>
        <v>152.51</v>
      </c>
      <c r="N1493" s="53">
        <f>IF(J1493&lt;&gt;0,M1493/J1493,"")</f>
        <v>0.31644361448283015</v>
      </c>
      <c r="O1493" s="23">
        <v>0</v>
      </c>
      <c r="P1493" s="25">
        <v>0</v>
      </c>
      <c r="Q1493" s="24">
        <v>0</v>
      </c>
      <c r="R1493" s="24">
        <f>O1493-Q1493</f>
        <v>0</v>
      </c>
      <c r="S1493" s="53" t="str">
        <f>IF(O1493&lt;&gt;0,R1493/O1493,"")</f>
        <v/>
      </c>
      <c r="T1493" s="10"/>
      <c r="U1493" s="23">
        <v>0</v>
      </c>
      <c r="V1493" s="25">
        <v>0</v>
      </c>
      <c r="W1493" s="24">
        <v>0</v>
      </c>
      <c r="X1493" s="24">
        <f>U1493-W1493</f>
        <v>0</v>
      </c>
      <c r="Y1493" s="53" t="str">
        <f>IF(U1493&lt;&gt;0,X1493/U1493,"")</f>
        <v/>
      </c>
      <c r="Z1493" s="23">
        <v>0</v>
      </c>
      <c r="AA1493" s="25">
        <v>0</v>
      </c>
      <c r="AB1493" s="24">
        <v>0</v>
      </c>
      <c r="AC1493" s="24">
        <f t="shared" si="458"/>
        <v>0</v>
      </c>
      <c r="AD1493" s="53" t="str">
        <f t="shared" si="459"/>
        <v/>
      </c>
      <c r="AE1493" s="10"/>
    </row>
    <row r="1494" spans="1:31" x14ac:dyDescent="0.25">
      <c r="A1494" s="14" t="s">
        <v>109</v>
      </c>
      <c r="C1494" s="61" t="str">
        <f t="shared" si="457"/>
        <v>C100096</v>
      </c>
      <c r="F1494" s="8" t="str">
        <f>"E100041"</f>
        <v>E100041</v>
      </c>
      <c r="G1494" s="9" t="str">
        <f>"Biodegradable Colored SPORT BOT"</f>
        <v>Biodegradable Colored SPORT BOT</v>
      </c>
      <c r="H1494" s="47"/>
      <c r="I1494" s="47"/>
      <c r="J1494" s="23">
        <v>96.38000000000001</v>
      </c>
      <c r="K1494" s="25">
        <v>144</v>
      </c>
      <c r="L1494" s="24">
        <v>61.900000000000006</v>
      </c>
      <c r="M1494" s="24">
        <f>J1494-L1494</f>
        <v>34.480000000000004</v>
      </c>
      <c r="N1494" s="53">
        <f>IF(J1494&lt;&gt;0,M1494/J1494,"")</f>
        <v>0.35775057065781285</v>
      </c>
      <c r="O1494" s="23">
        <v>0</v>
      </c>
      <c r="P1494" s="25">
        <v>0</v>
      </c>
      <c r="Q1494" s="24">
        <v>0</v>
      </c>
      <c r="R1494" s="24">
        <f>O1494-Q1494</f>
        <v>0</v>
      </c>
      <c r="S1494" s="53" t="str">
        <f>IF(O1494&lt;&gt;0,R1494/O1494,"")</f>
        <v/>
      </c>
      <c r="T1494" s="10"/>
      <c r="U1494" s="23">
        <v>97.36999999999999</v>
      </c>
      <c r="V1494" s="25">
        <v>144</v>
      </c>
      <c r="W1494" s="24">
        <v>61.900000000000006</v>
      </c>
      <c r="X1494" s="24">
        <f>U1494-W1494</f>
        <v>35.469999999999985</v>
      </c>
      <c r="Y1494" s="53">
        <f>IF(U1494&lt;&gt;0,X1494/U1494,"")</f>
        <v>0.36428057923385015</v>
      </c>
      <c r="Z1494" s="23">
        <v>0</v>
      </c>
      <c r="AA1494" s="25">
        <v>0</v>
      </c>
      <c r="AB1494" s="24">
        <v>0</v>
      </c>
      <c r="AC1494" s="24">
        <f t="shared" si="458"/>
        <v>0</v>
      </c>
      <c r="AD1494" s="53" t="str">
        <f t="shared" si="459"/>
        <v/>
      </c>
      <c r="AE1494" s="10"/>
    </row>
    <row r="1495" spans="1:31" x14ac:dyDescent="0.25">
      <c r="A1495" s="14" t="s">
        <v>109</v>
      </c>
      <c r="C1495" s="61" t="str">
        <f t="shared" si="457"/>
        <v>C100096</v>
      </c>
      <c r="F1495" s="8" t="str">
        <f>"E100042"</f>
        <v>E100042</v>
      </c>
      <c r="G1495" s="9" t="str">
        <f>"Soft Touch Travel Mug"</f>
        <v>Soft Touch Travel Mug</v>
      </c>
      <c r="H1495" s="47"/>
      <c r="I1495" s="47"/>
      <c r="J1495" s="23">
        <v>540.55999999999995</v>
      </c>
      <c r="K1495" s="25">
        <v>144</v>
      </c>
      <c r="L1495" s="24">
        <v>309.68</v>
      </c>
      <c r="M1495" s="24">
        <f>J1495-L1495</f>
        <v>230.87999999999994</v>
      </c>
      <c r="N1495" s="53">
        <f>IF(J1495&lt;&gt;0,M1495/J1495,"")</f>
        <v>0.42711262394553789</v>
      </c>
      <c r="O1495" s="23">
        <v>0</v>
      </c>
      <c r="P1495" s="25">
        <v>0</v>
      </c>
      <c r="Q1495" s="24">
        <v>0</v>
      </c>
      <c r="R1495" s="24">
        <f>O1495-Q1495</f>
        <v>0</v>
      </c>
      <c r="S1495" s="53" t="str">
        <f>IF(O1495&lt;&gt;0,R1495/O1495,"")</f>
        <v/>
      </c>
      <c r="T1495" s="10"/>
      <c r="U1495" s="23">
        <v>546.13</v>
      </c>
      <c r="V1495" s="25">
        <v>144</v>
      </c>
      <c r="W1495" s="24">
        <v>309.68</v>
      </c>
      <c r="X1495" s="24">
        <f>U1495-W1495</f>
        <v>236.45</v>
      </c>
      <c r="Y1495" s="53">
        <f>IF(U1495&lt;&gt;0,X1495/U1495,"")</f>
        <v>0.43295552341017707</v>
      </c>
      <c r="Z1495" s="23">
        <v>0</v>
      </c>
      <c r="AA1495" s="25">
        <v>0</v>
      </c>
      <c r="AB1495" s="24">
        <v>0</v>
      </c>
      <c r="AC1495" s="24">
        <f t="shared" si="458"/>
        <v>0</v>
      </c>
      <c r="AD1495" s="53" t="str">
        <f t="shared" si="459"/>
        <v/>
      </c>
      <c r="AE1495" s="10"/>
    </row>
    <row r="1496" spans="1:31" x14ac:dyDescent="0.25">
      <c r="A1496" s="14" t="s">
        <v>109</v>
      </c>
      <c r="C1496" s="61" t="str">
        <f t="shared" si="457"/>
        <v>C100096</v>
      </c>
      <c r="F1496" s="8" t="str">
        <f>"E100043"</f>
        <v>E100043</v>
      </c>
      <c r="G1496" s="9" t="str">
        <f>"Pub Glass"</f>
        <v>Pub Glass</v>
      </c>
      <c r="H1496" s="47"/>
      <c r="I1496" s="47"/>
      <c r="J1496" s="23">
        <v>396.02</v>
      </c>
      <c r="K1496" s="25">
        <v>289</v>
      </c>
      <c r="L1496" s="24">
        <v>268.83000000000004</v>
      </c>
      <c r="M1496" s="24">
        <f>J1496-L1496</f>
        <v>127.18999999999994</v>
      </c>
      <c r="N1496" s="53">
        <f>IF(J1496&lt;&gt;0,M1496/J1496,"")</f>
        <v>0.32117064794707323</v>
      </c>
      <c r="O1496" s="23">
        <v>0</v>
      </c>
      <c r="P1496" s="25">
        <v>0</v>
      </c>
      <c r="Q1496" s="24">
        <v>0</v>
      </c>
      <c r="R1496" s="24">
        <f>O1496-Q1496</f>
        <v>0</v>
      </c>
      <c r="S1496" s="53" t="str">
        <f>IF(O1496&lt;&gt;0,R1496/O1496,"")</f>
        <v/>
      </c>
      <c r="T1496" s="10"/>
      <c r="U1496" s="23">
        <v>200.39000000000001</v>
      </c>
      <c r="V1496" s="25">
        <v>144</v>
      </c>
      <c r="W1496" s="24">
        <v>133.94999999999999</v>
      </c>
      <c r="X1496" s="24">
        <f>U1496-W1496</f>
        <v>66.440000000000026</v>
      </c>
      <c r="Y1496" s="53">
        <f>IF(U1496&lt;&gt;0,X1496/U1496,"")</f>
        <v>0.33155347073207259</v>
      </c>
      <c r="Z1496" s="23">
        <v>0</v>
      </c>
      <c r="AA1496" s="25">
        <v>0</v>
      </c>
      <c r="AB1496" s="24">
        <v>0</v>
      </c>
      <c r="AC1496" s="24">
        <f t="shared" si="458"/>
        <v>0</v>
      </c>
      <c r="AD1496" s="53" t="str">
        <f t="shared" si="459"/>
        <v/>
      </c>
      <c r="AE1496" s="10"/>
    </row>
    <row r="1497" spans="1:31" x14ac:dyDescent="0.25">
      <c r="A1497" s="14" t="s">
        <v>109</v>
      </c>
      <c r="C1497" s="61" t="str">
        <f t="shared" si="457"/>
        <v>C100096</v>
      </c>
      <c r="F1497" s="8" t="str">
        <f>"E100044"</f>
        <v>E100044</v>
      </c>
      <c r="G1497" s="9" t="str">
        <f>"Juice Glass"</f>
        <v>Juice Glass</v>
      </c>
      <c r="H1497" s="47"/>
      <c r="I1497" s="47"/>
      <c r="J1497" s="23">
        <v>81.009999999999991</v>
      </c>
      <c r="K1497" s="25">
        <v>144</v>
      </c>
      <c r="L1497" s="24">
        <v>54.809999999999995</v>
      </c>
      <c r="M1497" s="24">
        <f>J1497-L1497</f>
        <v>26.199999999999996</v>
      </c>
      <c r="N1497" s="53">
        <f>IF(J1497&lt;&gt;0,M1497/J1497,"")</f>
        <v>0.32341686211578818</v>
      </c>
      <c r="O1497" s="23">
        <v>0</v>
      </c>
      <c r="P1497" s="25">
        <v>0</v>
      </c>
      <c r="Q1497" s="24">
        <v>0</v>
      </c>
      <c r="R1497" s="24">
        <f>O1497-Q1497</f>
        <v>0</v>
      </c>
      <c r="S1497" s="53" t="str">
        <f>IF(O1497&lt;&gt;0,R1497/O1497,"")</f>
        <v/>
      </c>
      <c r="T1497" s="10"/>
      <c r="U1497" s="23">
        <v>81.849999999999994</v>
      </c>
      <c r="V1497" s="25">
        <v>144</v>
      </c>
      <c r="W1497" s="24">
        <v>54.809999999999995</v>
      </c>
      <c r="X1497" s="24">
        <f>U1497-W1497</f>
        <v>27.04</v>
      </c>
      <c r="Y1497" s="53">
        <f>IF(U1497&lt;&gt;0,X1497/U1497,"")</f>
        <v>0.33036041539401345</v>
      </c>
      <c r="Z1497" s="23">
        <v>0</v>
      </c>
      <c r="AA1497" s="25">
        <v>0</v>
      </c>
      <c r="AB1497" s="24">
        <v>0</v>
      </c>
      <c r="AC1497" s="24">
        <f t="shared" si="458"/>
        <v>0</v>
      </c>
      <c r="AD1497" s="53" t="str">
        <f t="shared" si="459"/>
        <v/>
      </c>
      <c r="AE1497" s="10"/>
    </row>
    <row r="1498" spans="1:31" x14ac:dyDescent="0.25">
      <c r="A1498" s="14" t="s">
        <v>109</v>
      </c>
      <c r="C1498" s="61" t="str">
        <f t="shared" si="457"/>
        <v>C100096</v>
      </c>
      <c r="F1498" s="8" t="str">
        <f>"E100045"</f>
        <v>E100045</v>
      </c>
      <c r="G1498" s="9" t="str">
        <f>"Flute"</f>
        <v>Flute</v>
      </c>
      <c r="H1498" s="47"/>
      <c r="I1498" s="47"/>
      <c r="J1498" s="23">
        <v>0.96</v>
      </c>
      <c r="K1498" s="25">
        <v>1</v>
      </c>
      <c r="L1498" s="24">
        <v>0.62</v>
      </c>
      <c r="M1498" s="24">
        <f>J1498-L1498</f>
        <v>0.33999999999999997</v>
      </c>
      <c r="N1498" s="53">
        <f>IF(J1498&lt;&gt;0,M1498/J1498,"")</f>
        <v>0.35416666666666663</v>
      </c>
      <c r="O1498" s="23">
        <v>0</v>
      </c>
      <c r="P1498" s="25">
        <v>0</v>
      </c>
      <c r="Q1498" s="24">
        <v>0</v>
      </c>
      <c r="R1498" s="24">
        <f>O1498-Q1498</f>
        <v>0</v>
      </c>
      <c r="S1498" s="53" t="str">
        <f>IF(O1498&lt;&gt;0,R1498/O1498,"")</f>
        <v/>
      </c>
      <c r="T1498" s="10"/>
      <c r="U1498" s="23">
        <v>139.70999999999998</v>
      </c>
      <c r="V1498" s="25">
        <v>144</v>
      </c>
      <c r="W1498" s="24">
        <v>89.3</v>
      </c>
      <c r="X1498" s="24">
        <f>U1498-W1498</f>
        <v>50.409999999999982</v>
      </c>
      <c r="Y1498" s="53">
        <f>IF(U1498&lt;&gt;0,X1498/U1498,"")</f>
        <v>0.36081883902369188</v>
      </c>
      <c r="Z1498" s="23">
        <v>0</v>
      </c>
      <c r="AA1498" s="25">
        <v>0</v>
      </c>
      <c r="AB1498" s="24">
        <v>0</v>
      </c>
      <c r="AC1498" s="24">
        <f t="shared" si="458"/>
        <v>0</v>
      </c>
      <c r="AD1498" s="53" t="str">
        <f t="shared" si="459"/>
        <v/>
      </c>
      <c r="AE1498" s="10"/>
    </row>
    <row r="1499" spans="1:31" x14ac:dyDescent="0.25">
      <c r="A1499" s="14" t="s">
        <v>109</v>
      </c>
      <c r="C1499" s="61" t="str">
        <f t="shared" si="457"/>
        <v>C100096</v>
      </c>
      <c r="F1499" s="8" t="str">
        <f>"E100046"</f>
        <v>E100046</v>
      </c>
      <c r="G1499" s="9" t="str">
        <f>"Milk Bottle"</f>
        <v>Milk Bottle</v>
      </c>
      <c r="H1499" s="47"/>
      <c r="I1499" s="47"/>
      <c r="J1499" s="23">
        <v>257.13</v>
      </c>
      <c r="K1499" s="25">
        <v>144</v>
      </c>
      <c r="L1499" s="24">
        <v>149.67000000000002</v>
      </c>
      <c r="M1499" s="24">
        <f>J1499-L1499</f>
        <v>107.45999999999998</v>
      </c>
      <c r="N1499" s="53">
        <f>IF(J1499&lt;&gt;0,M1499/J1499,"")</f>
        <v>0.41792089604480215</v>
      </c>
      <c r="O1499" s="23">
        <v>0</v>
      </c>
      <c r="P1499" s="25">
        <v>0</v>
      </c>
      <c r="Q1499" s="24">
        <v>0</v>
      </c>
      <c r="R1499" s="24">
        <f>O1499-Q1499</f>
        <v>0</v>
      </c>
      <c r="S1499" s="53" t="str">
        <f>IF(O1499&lt;&gt;0,R1499/O1499,"")</f>
        <v/>
      </c>
      <c r="T1499" s="10"/>
      <c r="U1499" s="23">
        <v>262.47999999999996</v>
      </c>
      <c r="V1499" s="25">
        <v>144</v>
      </c>
      <c r="W1499" s="24">
        <v>149.67000000000002</v>
      </c>
      <c r="X1499" s="24">
        <f>U1499-W1499</f>
        <v>112.80999999999995</v>
      </c>
      <c r="Y1499" s="53">
        <f>IF(U1499&lt;&gt;0,X1499/U1499,"")</f>
        <v>0.42978512648582734</v>
      </c>
      <c r="Z1499" s="23">
        <v>0</v>
      </c>
      <c r="AA1499" s="25">
        <v>0</v>
      </c>
      <c r="AB1499" s="24">
        <v>0</v>
      </c>
      <c r="AC1499" s="24">
        <f t="shared" si="458"/>
        <v>0</v>
      </c>
      <c r="AD1499" s="53" t="str">
        <f t="shared" si="459"/>
        <v/>
      </c>
      <c r="AE1499" s="10"/>
    </row>
    <row r="1500" spans="1:31" x14ac:dyDescent="0.25">
      <c r="A1500" s="14" t="s">
        <v>109</v>
      </c>
      <c r="C1500" s="61" t="str">
        <f t="shared" si="457"/>
        <v>C100096</v>
      </c>
      <c r="F1500" s="8" t="str">
        <f>"S100003"</f>
        <v>S100003</v>
      </c>
      <c r="G1500" s="9" t="str">
        <f>"Soccer #1 Pin"</f>
        <v>Soccer #1 Pin</v>
      </c>
      <c r="H1500" s="47"/>
      <c r="I1500" s="47"/>
      <c r="J1500" s="23">
        <v>419.04</v>
      </c>
      <c r="K1500" s="25">
        <v>288</v>
      </c>
      <c r="L1500" s="24">
        <v>259.2</v>
      </c>
      <c r="M1500" s="24">
        <f>J1500-L1500</f>
        <v>159.84000000000003</v>
      </c>
      <c r="N1500" s="53">
        <f>IF(J1500&lt;&gt;0,M1500/J1500,"")</f>
        <v>0.3814432989690722</v>
      </c>
      <c r="O1500" s="23">
        <v>0</v>
      </c>
      <c r="P1500" s="25">
        <v>0</v>
      </c>
      <c r="Q1500" s="24">
        <v>0</v>
      </c>
      <c r="R1500" s="24">
        <f>O1500-Q1500</f>
        <v>0</v>
      </c>
      <c r="S1500" s="53" t="str">
        <f>IF(O1500&lt;&gt;0,R1500/O1500,"")</f>
        <v/>
      </c>
      <c r="T1500" s="10"/>
      <c r="U1500" s="23">
        <v>423.36</v>
      </c>
      <c r="V1500" s="25">
        <v>288</v>
      </c>
      <c r="W1500" s="24">
        <v>259.2</v>
      </c>
      <c r="X1500" s="24">
        <f>U1500-W1500</f>
        <v>164.16000000000003</v>
      </c>
      <c r="Y1500" s="53">
        <f>IF(U1500&lt;&gt;0,X1500/U1500,"")</f>
        <v>0.38775510204081637</v>
      </c>
      <c r="Z1500" s="23">
        <v>0</v>
      </c>
      <c r="AA1500" s="25">
        <v>0</v>
      </c>
      <c r="AB1500" s="24">
        <v>0</v>
      </c>
      <c r="AC1500" s="24">
        <f t="shared" si="458"/>
        <v>0</v>
      </c>
      <c r="AD1500" s="53" t="str">
        <f t="shared" si="459"/>
        <v/>
      </c>
      <c r="AE1500" s="10"/>
    </row>
    <row r="1501" spans="1:31" x14ac:dyDescent="0.25">
      <c r="A1501" s="14" t="s">
        <v>109</v>
      </c>
      <c r="C1501" s="61" t="str">
        <f t="shared" si="457"/>
        <v>C100096</v>
      </c>
      <c r="F1501" s="8" t="str">
        <f>"S100020"</f>
        <v>S100020</v>
      </c>
      <c r="G1501" s="9" t="str">
        <f>"Super Sport Stopwatch"</f>
        <v>Super Sport Stopwatch</v>
      </c>
      <c r="H1501" s="47"/>
      <c r="I1501" s="47"/>
      <c r="J1501" s="23">
        <v>304.5</v>
      </c>
      <c r="K1501" s="25">
        <v>144</v>
      </c>
      <c r="L1501" s="24">
        <v>151.19999999999999</v>
      </c>
      <c r="M1501" s="24">
        <f>J1501-L1501</f>
        <v>153.30000000000001</v>
      </c>
      <c r="N1501" s="53">
        <f>IF(J1501&lt;&gt;0,M1501/J1501,"")</f>
        <v>0.50344827586206897</v>
      </c>
      <c r="O1501" s="23">
        <v>0</v>
      </c>
      <c r="P1501" s="25">
        <v>0</v>
      </c>
      <c r="Q1501" s="24">
        <v>0</v>
      </c>
      <c r="R1501" s="24">
        <f>O1501-Q1501</f>
        <v>0</v>
      </c>
      <c r="S1501" s="53" t="str">
        <f>IF(O1501&lt;&gt;0,R1501/O1501,"")</f>
        <v/>
      </c>
      <c r="T1501" s="10"/>
      <c r="U1501" s="23">
        <v>615.28</v>
      </c>
      <c r="V1501" s="25">
        <v>288</v>
      </c>
      <c r="W1501" s="24">
        <v>302.39999999999998</v>
      </c>
      <c r="X1501" s="24">
        <f>U1501-W1501</f>
        <v>312.88</v>
      </c>
      <c r="Y1501" s="53">
        <f>IF(U1501&lt;&gt;0,X1501/U1501,"")</f>
        <v>0.50851644779612537</v>
      </c>
      <c r="Z1501" s="23">
        <v>0</v>
      </c>
      <c r="AA1501" s="25">
        <v>0</v>
      </c>
      <c r="AB1501" s="24">
        <v>0</v>
      </c>
      <c r="AC1501" s="24">
        <f t="shared" si="458"/>
        <v>0</v>
      </c>
      <c r="AD1501" s="53" t="str">
        <f t="shared" si="459"/>
        <v/>
      </c>
      <c r="AE1501" s="10"/>
    </row>
    <row r="1502" spans="1:31" x14ac:dyDescent="0.25">
      <c r="A1502" s="14" t="s">
        <v>109</v>
      </c>
      <c r="C1502" s="61" t="str">
        <f t="shared" si="457"/>
        <v>C100096</v>
      </c>
      <c r="F1502" s="8" t="str">
        <f>"S100021"</f>
        <v>S100021</v>
      </c>
      <c r="G1502" s="9" t="str">
        <f>"Translucent Stopwatch"</f>
        <v>Translucent Stopwatch</v>
      </c>
      <c r="H1502" s="47"/>
      <c r="I1502" s="47"/>
      <c r="J1502" s="23">
        <v>1727.0600000000002</v>
      </c>
      <c r="K1502" s="25">
        <v>432</v>
      </c>
      <c r="L1502" s="24">
        <v>928.77</v>
      </c>
      <c r="M1502" s="24">
        <f>J1502-L1502</f>
        <v>798.29000000000019</v>
      </c>
      <c r="N1502" s="53">
        <f>IF(J1502&lt;&gt;0,M1502/J1502,"")</f>
        <v>0.46222482137273757</v>
      </c>
      <c r="O1502" s="23">
        <v>0</v>
      </c>
      <c r="P1502" s="25">
        <v>0</v>
      </c>
      <c r="Q1502" s="24">
        <v>0</v>
      </c>
      <c r="R1502" s="24">
        <f>O1502-Q1502</f>
        <v>0</v>
      </c>
      <c r="S1502" s="53" t="str">
        <f>IF(O1502&lt;&gt;0,R1502/O1502,"")</f>
        <v/>
      </c>
      <c r="T1502" s="10"/>
      <c r="U1502" s="23">
        <v>0</v>
      </c>
      <c r="V1502" s="25">
        <v>0</v>
      </c>
      <c r="W1502" s="24">
        <v>0</v>
      </c>
      <c r="X1502" s="24">
        <f>U1502-W1502</f>
        <v>0</v>
      </c>
      <c r="Y1502" s="53" t="str">
        <f>IF(U1502&lt;&gt;0,X1502/U1502,"")</f>
        <v/>
      </c>
      <c r="Z1502" s="23">
        <v>0</v>
      </c>
      <c r="AA1502" s="25">
        <v>0</v>
      </c>
      <c r="AB1502" s="24">
        <v>0</v>
      </c>
      <c r="AC1502" s="24">
        <f t="shared" si="458"/>
        <v>0</v>
      </c>
      <c r="AD1502" s="53" t="str">
        <f t="shared" si="459"/>
        <v/>
      </c>
      <c r="AE1502" s="10"/>
    </row>
    <row r="1503" spans="1:31" x14ac:dyDescent="0.25">
      <c r="A1503" s="14" t="s">
        <v>109</v>
      </c>
      <c r="C1503" s="61" t="str">
        <f t="shared" si="457"/>
        <v>C100096</v>
      </c>
      <c r="F1503" s="8" t="str">
        <f>"S100023"</f>
        <v>S100023</v>
      </c>
      <c r="G1503" s="9" t="str">
        <f>"Gripper SPORT BOT"</f>
        <v>Gripper SPORT BOT</v>
      </c>
      <c r="H1503" s="47"/>
      <c r="I1503" s="47"/>
      <c r="J1503" s="23">
        <v>277.95999999999998</v>
      </c>
      <c r="K1503" s="25">
        <v>144</v>
      </c>
      <c r="L1503" s="24">
        <v>142.57999999999998</v>
      </c>
      <c r="M1503" s="24">
        <f>J1503-L1503</f>
        <v>135.38</v>
      </c>
      <c r="N1503" s="53">
        <f>IF(J1503&lt;&gt;0,M1503/J1503,"")</f>
        <v>0.4870484961865017</v>
      </c>
      <c r="O1503" s="23">
        <v>0</v>
      </c>
      <c r="P1503" s="25">
        <v>0</v>
      </c>
      <c r="Q1503" s="24">
        <v>0</v>
      </c>
      <c r="R1503" s="24">
        <f>O1503-Q1503</f>
        <v>0</v>
      </c>
      <c r="S1503" s="53" t="str">
        <f>IF(O1503&lt;&gt;0,R1503/O1503,"")</f>
        <v/>
      </c>
      <c r="T1503" s="10"/>
      <c r="U1503" s="23">
        <v>280.83000000000004</v>
      </c>
      <c r="V1503" s="25">
        <v>144</v>
      </c>
      <c r="W1503" s="24">
        <v>142.57999999999998</v>
      </c>
      <c r="X1503" s="24">
        <f>U1503-W1503</f>
        <v>138.25000000000006</v>
      </c>
      <c r="Y1503" s="53">
        <f>IF(U1503&lt;&gt;0,X1503/U1503,"")</f>
        <v>0.49229070968201416</v>
      </c>
      <c r="Z1503" s="23">
        <v>0</v>
      </c>
      <c r="AA1503" s="25">
        <v>0</v>
      </c>
      <c r="AB1503" s="24">
        <v>0</v>
      </c>
      <c r="AC1503" s="24">
        <f t="shared" si="458"/>
        <v>0</v>
      </c>
      <c r="AD1503" s="53" t="str">
        <f t="shared" si="459"/>
        <v/>
      </c>
      <c r="AE1503" s="10"/>
    </row>
    <row r="1504" spans="1:31" x14ac:dyDescent="0.25">
      <c r="A1504" s="14" t="s">
        <v>109</v>
      </c>
      <c r="C1504" s="61" t="str">
        <f t="shared" si="457"/>
        <v>C100096</v>
      </c>
      <c r="F1504" s="8" t="str">
        <f>"S100026"</f>
        <v>S100026</v>
      </c>
      <c r="G1504" s="9" t="str">
        <f>"Wide SPORT BOT"</f>
        <v>Wide SPORT BOT</v>
      </c>
      <c r="H1504" s="47"/>
      <c r="I1504" s="47"/>
      <c r="J1504" s="23">
        <v>1697.11</v>
      </c>
      <c r="K1504" s="25">
        <v>432</v>
      </c>
      <c r="L1504" s="24">
        <v>820.96</v>
      </c>
      <c r="M1504" s="24">
        <f>J1504-L1504</f>
        <v>876.14999999999986</v>
      </c>
      <c r="N1504" s="53">
        <f>IF(J1504&lt;&gt;0,M1504/J1504,"")</f>
        <v>0.51625999493256181</v>
      </c>
      <c r="O1504" s="23">
        <v>0</v>
      </c>
      <c r="P1504" s="25">
        <v>0</v>
      </c>
      <c r="Q1504" s="24">
        <v>0</v>
      </c>
      <c r="R1504" s="24">
        <f>O1504-Q1504</f>
        <v>0</v>
      </c>
      <c r="S1504" s="53" t="str">
        <f>IF(O1504&lt;&gt;0,R1504/O1504,"")</f>
        <v/>
      </c>
      <c r="T1504" s="10"/>
      <c r="U1504" s="23">
        <v>0</v>
      </c>
      <c r="V1504" s="25">
        <v>0</v>
      </c>
      <c r="W1504" s="24">
        <v>0</v>
      </c>
      <c r="X1504" s="24">
        <f>U1504-W1504</f>
        <v>0</v>
      </c>
      <c r="Y1504" s="53" t="str">
        <f>IF(U1504&lt;&gt;0,X1504/U1504,"")</f>
        <v/>
      </c>
      <c r="Z1504" s="23">
        <v>0</v>
      </c>
      <c r="AA1504" s="25">
        <v>0</v>
      </c>
      <c r="AB1504" s="24">
        <v>0</v>
      </c>
      <c r="AC1504" s="24">
        <f t="shared" si="458"/>
        <v>0</v>
      </c>
      <c r="AD1504" s="53" t="str">
        <f t="shared" si="459"/>
        <v/>
      </c>
      <c r="AE1504" s="10"/>
    </row>
    <row r="1505" spans="1:31" x14ac:dyDescent="0.25">
      <c r="A1505" s="14" t="s">
        <v>109</v>
      </c>
      <c r="C1505" s="61" t="str">
        <f t="shared" si="457"/>
        <v>C100096</v>
      </c>
      <c r="F1505" s="8" t="str">
        <f>"S200012"</f>
        <v>S200012</v>
      </c>
      <c r="G1505" s="9" t="str">
        <f>"10.75"" Star Riser Apple Trophy"</f>
        <v>10.75" Star Riser Apple Trophy</v>
      </c>
      <c r="H1505" s="47"/>
      <c r="I1505" s="47"/>
      <c r="J1505" s="23">
        <v>1728</v>
      </c>
      <c r="K1505" s="25">
        <v>144</v>
      </c>
      <c r="L1505" s="24">
        <v>1509.12</v>
      </c>
      <c r="M1505" s="24">
        <f>J1505-L1505</f>
        <v>218.88000000000011</v>
      </c>
      <c r="N1505" s="53">
        <f>IF(J1505&lt;&gt;0,M1505/J1505,"")</f>
        <v>0.12666666666666673</v>
      </c>
      <c r="O1505" s="23">
        <v>0</v>
      </c>
      <c r="P1505" s="25">
        <v>0</v>
      </c>
      <c r="Q1505" s="24">
        <v>0</v>
      </c>
      <c r="R1505" s="24">
        <f>O1505-Q1505</f>
        <v>0</v>
      </c>
      <c r="S1505" s="53" t="str">
        <f>IF(O1505&lt;&gt;0,R1505/O1505,"")</f>
        <v/>
      </c>
      <c r="T1505" s="10"/>
      <c r="U1505" s="23">
        <v>0</v>
      </c>
      <c r="V1505" s="25">
        <v>0</v>
      </c>
      <c r="W1505" s="24">
        <v>0</v>
      </c>
      <c r="X1505" s="24">
        <f>U1505-W1505</f>
        <v>0</v>
      </c>
      <c r="Y1505" s="53" t="str">
        <f>IF(U1505&lt;&gt;0,X1505/U1505,"")</f>
        <v/>
      </c>
      <c r="Z1505" s="23">
        <v>0</v>
      </c>
      <c r="AA1505" s="25">
        <v>0</v>
      </c>
      <c r="AB1505" s="24">
        <v>0</v>
      </c>
      <c r="AC1505" s="24">
        <f t="shared" si="458"/>
        <v>0</v>
      </c>
      <c r="AD1505" s="53" t="str">
        <f t="shared" si="459"/>
        <v/>
      </c>
      <c r="AE1505" s="10"/>
    </row>
    <row r="1506" spans="1:31" x14ac:dyDescent="0.25">
      <c r="A1506" s="14" t="s">
        <v>109</v>
      </c>
      <c r="C1506" s="61" t="str">
        <f t="shared" si="457"/>
        <v>C100096</v>
      </c>
      <c r="F1506" s="8" t="str">
        <f>"S200016"</f>
        <v>S200016</v>
      </c>
      <c r="G1506" s="9" t="str">
        <f>"10.75"" Star Riser Volleyball Trophy"</f>
        <v>10.75" Star Riser Volleyball Trophy</v>
      </c>
      <c r="H1506" s="47"/>
      <c r="I1506" s="47"/>
      <c r="J1506" s="23">
        <v>1728</v>
      </c>
      <c r="K1506" s="25">
        <v>144</v>
      </c>
      <c r="L1506" s="24">
        <v>1429.9199999999998</v>
      </c>
      <c r="M1506" s="24">
        <f>J1506-L1506</f>
        <v>298.08000000000015</v>
      </c>
      <c r="N1506" s="53">
        <f>IF(J1506&lt;&gt;0,M1506/J1506,"")</f>
        <v>0.1725000000000001</v>
      </c>
      <c r="O1506" s="23">
        <v>0</v>
      </c>
      <c r="P1506" s="25">
        <v>0</v>
      </c>
      <c r="Q1506" s="24">
        <v>0</v>
      </c>
      <c r="R1506" s="24">
        <f>O1506-Q1506</f>
        <v>0</v>
      </c>
      <c r="S1506" s="53" t="str">
        <f>IF(O1506&lt;&gt;0,R1506/O1506,"")</f>
        <v/>
      </c>
      <c r="T1506" s="10"/>
      <c r="U1506" s="23">
        <v>0</v>
      </c>
      <c r="V1506" s="25">
        <v>0</v>
      </c>
      <c r="W1506" s="24">
        <v>0</v>
      </c>
      <c r="X1506" s="24">
        <f>U1506-W1506</f>
        <v>0</v>
      </c>
      <c r="Y1506" s="53" t="str">
        <f>IF(U1506&lt;&gt;0,X1506/U1506,"")</f>
        <v/>
      </c>
      <c r="Z1506" s="23">
        <v>0</v>
      </c>
      <c r="AA1506" s="25">
        <v>0</v>
      </c>
      <c r="AB1506" s="24">
        <v>0</v>
      </c>
      <c r="AC1506" s="24">
        <f t="shared" si="458"/>
        <v>0</v>
      </c>
      <c r="AD1506" s="53" t="str">
        <f t="shared" si="459"/>
        <v/>
      </c>
      <c r="AE1506" s="10"/>
    </row>
    <row r="1507" spans="1:31" x14ac:dyDescent="0.25">
      <c r="A1507" s="14" t="s">
        <v>109</v>
      </c>
      <c r="C1507" s="61" t="str">
        <f t="shared" si="457"/>
        <v>C100096</v>
      </c>
      <c r="F1507" s="8" t="str">
        <f>"S200019"</f>
        <v>S200019</v>
      </c>
      <c r="G1507" s="9" t="str">
        <f>"10.75"" Tourch Riser Apple Trophy"</f>
        <v>10.75" Tourch Riser Apple Trophy</v>
      </c>
      <c r="H1507" s="47"/>
      <c r="I1507" s="47"/>
      <c r="J1507" s="23">
        <v>2073.6</v>
      </c>
      <c r="K1507" s="25">
        <v>144</v>
      </c>
      <c r="L1507" s="24">
        <v>1559.52</v>
      </c>
      <c r="M1507" s="24">
        <f>J1507-L1507</f>
        <v>514.07999999999993</v>
      </c>
      <c r="N1507" s="53">
        <f>IF(J1507&lt;&gt;0,M1507/J1507,"")</f>
        <v>0.24791666666666665</v>
      </c>
      <c r="O1507" s="23">
        <v>0</v>
      </c>
      <c r="P1507" s="25">
        <v>0</v>
      </c>
      <c r="Q1507" s="24">
        <v>0</v>
      </c>
      <c r="R1507" s="24">
        <f>O1507-Q1507</f>
        <v>0</v>
      </c>
      <c r="S1507" s="53" t="str">
        <f>IF(O1507&lt;&gt;0,R1507/O1507,"")</f>
        <v/>
      </c>
      <c r="T1507" s="10"/>
      <c r="U1507" s="23">
        <v>0</v>
      </c>
      <c r="V1507" s="25">
        <v>0</v>
      </c>
      <c r="W1507" s="24">
        <v>0</v>
      </c>
      <c r="X1507" s="24">
        <f>U1507-W1507</f>
        <v>0</v>
      </c>
      <c r="Y1507" s="53" t="str">
        <f>IF(U1507&lt;&gt;0,X1507/U1507,"")</f>
        <v/>
      </c>
      <c r="Z1507" s="23">
        <v>0</v>
      </c>
      <c r="AA1507" s="25">
        <v>0</v>
      </c>
      <c r="AB1507" s="24">
        <v>0</v>
      </c>
      <c r="AC1507" s="24">
        <f t="shared" si="458"/>
        <v>0</v>
      </c>
      <c r="AD1507" s="53" t="str">
        <f t="shared" si="459"/>
        <v/>
      </c>
      <c r="AE1507" s="10"/>
    </row>
    <row r="1508" spans="1:31" x14ac:dyDescent="0.25">
      <c r="A1508" s="14" t="s">
        <v>109</v>
      </c>
      <c r="C1508" s="61" t="str">
        <f t="shared" si="457"/>
        <v>C100096</v>
      </c>
      <c r="F1508" s="8" t="str">
        <f>"S200031"</f>
        <v>S200031</v>
      </c>
      <c r="G1508" s="9" t="str">
        <f>"10.75"" Column Wrestling Trophy"</f>
        <v>10.75" Column Wrestling Trophy</v>
      </c>
      <c r="H1508" s="47"/>
      <c r="I1508" s="47"/>
      <c r="J1508" s="23">
        <v>2073.6</v>
      </c>
      <c r="K1508" s="25">
        <v>144</v>
      </c>
      <c r="L1508" s="24">
        <v>1547.9999999999998</v>
      </c>
      <c r="M1508" s="24">
        <f>J1508-L1508</f>
        <v>525.60000000000014</v>
      </c>
      <c r="N1508" s="53">
        <f>IF(J1508&lt;&gt;0,M1508/J1508,"")</f>
        <v>0.25347222222222232</v>
      </c>
      <c r="O1508" s="23">
        <v>0</v>
      </c>
      <c r="P1508" s="25">
        <v>0</v>
      </c>
      <c r="Q1508" s="24">
        <v>0</v>
      </c>
      <c r="R1508" s="24">
        <f>O1508-Q1508</f>
        <v>0</v>
      </c>
      <c r="S1508" s="53" t="str">
        <f>IF(O1508&lt;&gt;0,R1508/O1508,"")</f>
        <v/>
      </c>
      <c r="T1508" s="10"/>
      <c r="U1508" s="23">
        <v>0</v>
      </c>
      <c r="V1508" s="25">
        <v>0</v>
      </c>
      <c r="W1508" s="24">
        <v>0</v>
      </c>
      <c r="X1508" s="24">
        <f>U1508-W1508</f>
        <v>0</v>
      </c>
      <c r="Y1508" s="53" t="str">
        <f>IF(U1508&lt;&gt;0,X1508/U1508,"")</f>
        <v/>
      </c>
      <c r="Z1508" s="23">
        <v>0</v>
      </c>
      <c r="AA1508" s="25">
        <v>0</v>
      </c>
      <c r="AB1508" s="24">
        <v>0</v>
      </c>
      <c r="AC1508" s="24">
        <f t="shared" si="458"/>
        <v>0</v>
      </c>
      <c r="AD1508" s="53" t="str">
        <f t="shared" si="459"/>
        <v/>
      </c>
      <c r="AE1508" s="10"/>
    </row>
    <row r="1509" spans="1:31" ht="15.75" thickBot="1" x14ac:dyDescent="0.3">
      <c r="A1509" s="14" t="s">
        <v>109</v>
      </c>
      <c r="C1509" s="61" t="str">
        <f>C1460</f>
        <v>C100096</v>
      </c>
      <c r="J1509" s="10"/>
      <c r="K1509" s="11"/>
      <c r="L1509" s="11"/>
      <c r="M1509" s="11"/>
      <c r="N1509" s="12"/>
      <c r="O1509" s="10"/>
      <c r="P1509" s="11"/>
      <c r="Q1509" s="11"/>
      <c r="R1509" s="11"/>
      <c r="S1509" s="12"/>
      <c r="U1509" s="10"/>
      <c r="V1509" s="11"/>
      <c r="W1509" s="11"/>
      <c r="X1509" s="11"/>
      <c r="Y1509" s="12"/>
      <c r="Z1509" s="10"/>
      <c r="AA1509" s="11"/>
      <c r="AB1509" s="11"/>
      <c r="AC1509" s="11"/>
      <c r="AD1509" s="12"/>
    </row>
    <row r="1510" spans="1:31" ht="15.75" thickBot="1" x14ac:dyDescent="0.3">
      <c r="A1510" s="14" t="s">
        <v>109</v>
      </c>
      <c r="C1510" s="61" t="str">
        <f t="shared" si="454"/>
        <v>C100096</v>
      </c>
      <c r="G1510" s="48" t="str">
        <f>C1510&amp;" TOTAL:"</f>
        <v>C100096 TOTAL:</v>
      </c>
      <c r="H1510" s="50"/>
      <c r="I1510" s="50"/>
      <c r="J1510" s="34">
        <f>SUBTOTAL(9,J1459:J1509)</f>
        <v>31184.36</v>
      </c>
      <c r="K1510" s="35">
        <f>SUBTOTAL(9,K1459:K1509)</f>
        <v>10072</v>
      </c>
      <c r="L1510" s="36">
        <f>SUBTOTAL(9,L1459:L1509)</f>
        <v>18862.360000000004</v>
      </c>
      <c r="M1510" s="36">
        <f>J1510-L1510</f>
        <v>12321.999999999996</v>
      </c>
      <c r="N1510" s="37">
        <f>IF(J1510&lt;&gt;0,M1510/J1510,"")</f>
        <v>0.39513397100341313</v>
      </c>
      <c r="O1510" s="34">
        <f>SUBTOTAL(9,O1459:O1509)</f>
        <v>0</v>
      </c>
      <c r="P1510" s="35">
        <f>SUBTOTAL(9,P1459:P1509)</f>
        <v>0</v>
      </c>
      <c r="Q1510" s="36">
        <f>SUBTOTAL(9,Q1459:Q1509)</f>
        <v>0</v>
      </c>
      <c r="R1510" s="36">
        <f>O1510-Q1510</f>
        <v>0</v>
      </c>
      <c r="S1510" s="37" t="str">
        <f>IF(O1510&lt;&gt;0,R1510/O1510,"")</f>
        <v/>
      </c>
      <c r="U1510" s="34">
        <f>SUBTOTAL(9,U1459:U1509)</f>
        <v>8469.77</v>
      </c>
      <c r="V1510" s="35">
        <f>SUBTOTAL(9,V1459:V1509)</f>
        <v>3672</v>
      </c>
      <c r="W1510" s="36">
        <f>SUBTOTAL(9,W1459:W1509)</f>
        <v>4609.46</v>
      </c>
      <c r="X1510" s="36">
        <f>U1510-W1510</f>
        <v>3860.3100000000004</v>
      </c>
      <c r="Y1510" s="37">
        <f>IF(U1510&lt;&gt;0,X1510/U1510,"")</f>
        <v>0.45577506827221992</v>
      </c>
      <c r="Z1510" s="34">
        <f>SUBTOTAL(9,Z1459:Z1509)</f>
        <v>0</v>
      </c>
      <c r="AA1510" s="35">
        <f>SUBTOTAL(9,AA1459:AA1509)</f>
        <v>0</v>
      </c>
      <c r="AB1510" s="36">
        <f>SUBTOTAL(9,AB1459:AB1509)</f>
        <v>0</v>
      </c>
      <c r="AC1510" s="36">
        <f t="shared" ref="AC1510" si="460">Z1510-AB1510</f>
        <v>0</v>
      </c>
      <c r="AD1510" s="37" t="str">
        <f t="shared" ref="AD1510" si="461">IF(Z1510&lt;&gt;0,AC1510/Z1510,"")</f>
        <v/>
      </c>
    </row>
    <row r="1511" spans="1:31" x14ac:dyDescent="0.25">
      <c r="A1511" s="14" t="s">
        <v>109</v>
      </c>
      <c r="C1511" s="66"/>
      <c r="J1511" s="10"/>
      <c r="K1511" s="11"/>
      <c r="L1511" s="11"/>
      <c r="M1511" s="11"/>
      <c r="N1511" s="12"/>
      <c r="O1511" s="10"/>
      <c r="P1511" s="11"/>
      <c r="Q1511" s="11"/>
      <c r="R1511" s="11"/>
      <c r="S1511" s="12"/>
      <c r="U1511" s="10"/>
      <c r="V1511" s="11"/>
      <c r="W1511" s="11"/>
      <c r="X1511" s="11"/>
      <c r="Y1511" s="12"/>
      <c r="Z1511" s="10"/>
      <c r="AA1511" s="11"/>
      <c r="AB1511" s="11"/>
      <c r="AC1511" s="11"/>
      <c r="AD1511" s="12"/>
    </row>
    <row r="1512" spans="1:31" ht="15.75" x14ac:dyDescent="0.25">
      <c r="A1512" s="14" t="s">
        <v>109</v>
      </c>
      <c r="C1512" s="66" t="str">
        <f t="shared" ref="C1512" si="462">E1512</f>
        <v>C100097</v>
      </c>
      <c r="E1512" s="13" t="str">
        <f>"C100097"</f>
        <v>C100097</v>
      </c>
      <c r="F1512" s="13"/>
      <c r="G1512" s="13" t="str">
        <f>"Solotech"</f>
        <v>Solotech</v>
      </c>
      <c r="H1512" s="13"/>
      <c r="I1512" s="13"/>
      <c r="J1512" s="10"/>
      <c r="K1512" s="11"/>
      <c r="L1512" s="11"/>
      <c r="M1512" s="11"/>
      <c r="N1512" s="12"/>
      <c r="O1512" s="10"/>
      <c r="P1512" s="11"/>
      <c r="Q1512" s="11"/>
      <c r="R1512" s="11"/>
      <c r="S1512" s="12"/>
      <c r="U1512" s="10"/>
      <c r="V1512" s="11"/>
      <c r="W1512" s="11"/>
      <c r="X1512" s="11"/>
      <c r="Y1512" s="12"/>
      <c r="Z1512" s="10"/>
      <c r="AA1512" s="11"/>
      <c r="AB1512" s="11"/>
      <c r="AC1512" s="11"/>
      <c r="AD1512" s="12"/>
    </row>
    <row r="1513" spans="1:31" ht="6.6" customHeight="1" x14ac:dyDescent="0.25">
      <c r="A1513" s="14" t="s">
        <v>109</v>
      </c>
      <c r="C1513" s="61" t="str">
        <f t="shared" ref="C1513:C1562" si="463">C1512</f>
        <v>C100097</v>
      </c>
      <c r="J1513" s="10"/>
      <c r="K1513" s="11"/>
      <c r="L1513" s="11"/>
      <c r="M1513" s="11"/>
      <c r="N1513" s="12"/>
      <c r="O1513" s="10"/>
      <c r="P1513" s="11"/>
      <c r="Q1513" s="11"/>
      <c r="R1513" s="11"/>
      <c r="S1513" s="12"/>
      <c r="U1513" s="10"/>
      <c r="V1513" s="11"/>
      <c r="W1513" s="11"/>
      <c r="X1513" s="11"/>
      <c r="Y1513" s="12"/>
      <c r="Z1513" s="10"/>
      <c r="AA1513" s="11"/>
      <c r="AB1513" s="11"/>
      <c r="AC1513" s="11"/>
      <c r="AD1513" s="12"/>
    </row>
    <row r="1514" spans="1:31" x14ac:dyDescent="0.25">
      <c r="A1514" s="14" t="s">
        <v>109</v>
      </c>
      <c r="C1514" s="61" t="str">
        <f t="shared" si="463"/>
        <v>C100097</v>
      </c>
      <c r="F1514" s="8" t="str">
        <f>"C100003"</f>
        <v>C100003</v>
      </c>
      <c r="G1514" s="9" t="str">
        <f>"Cherry Finish Frame"</f>
        <v>Cherry Finish Frame</v>
      </c>
      <c r="H1514" s="47"/>
      <c r="I1514" s="47"/>
      <c r="J1514" s="23">
        <v>0</v>
      </c>
      <c r="K1514" s="25">
        <v>0</v>
      </c>
      <c r="L1514" s="24">
        <v>0</v>
      </c>
      <c r="M1514" s="24">
        <f>J1514-L1514</f>
        <v>0</v>
      </c>
      <c r="N1514" s="53" t="str">
        <f>IF(J1514&lt;&gt;0,M1514/J1514,"")</f>
        <v/>
      </c>
      <c r="O1514" s="23">
        <v>9482.8799999999992</v>
      </c>
      <c r="P1514" s="25">
        <v>144</v>
      </c>
      <c r="Q1514" s="24">
        <v>4700.1499999999996</v>
      </c>
      <c r="R1514" s="24">
        <f>O1514-Q1514</f>
        <v>4782.7299999999996</v>
      </c>
      <c r="S1514" s="53">
        <f>IF(O1514&lt;&gt;0,R1514/O1514,"")</f>
        <v>0.50435416244853881</v>
      </c>
      <c r="T1514" s="10"/>
      <c r="U1514" s="23">
        <v>3193.5499999999997</v>
      </c>
      <c r="V1514" s="25">
        <v>48</v>
      </c>
      <c r="W1514" s="24">
        <v>1566.72</v>
      </c>
      <c r="X1514" s="24">
        <f>U1514-W1514</f>
        <v>1626.8299999999997</v>
      </c>
      <c r="Y1514" s="53">
        <f>IF(U1514&lt;&gt;0,X1514/U1514,"")</f>
        <v>0.50941115686305205</v>
      </c>
      <c r="Z1514" s="23">
        <v>1580.48</v>
      </c>
      <c r="AA1514" s="25">
        <v>24</v>
      </c>
      <c r="AB1514" s="24">
        <v>783.36</v>
      </c>
      <c r="AC1514" s="24">
        <f t="shared" ref="AC1514" si="464">Z1514-AB1514</f>
        <v>797.12</v>
      </c>
      <c r="AD1514" s="53">
        <f t="shared" ref="AD1514" si="465">IF(Z1514&lt;&gt;0,AC1514/Z1514,"")</f>
        <v>0.50435310791658228</v>
      </c>
      <c r="AE1514" s="10"/>
    </row>
    <row r="1515" spans="1:31" x14ac:dyDescent="0.25">
      <c r="A1515" s="14" t="s">
        <v>109</v>
      </c>
      <c r="C1515" s="61" t="str">
        <f t="shared" ref="C1515:C1560" si="466">C1514</f>
        <v>C100097</v>
      </c>
      <c r="F1515" s="8" t="str">
        <f>"C100004"</f>
        <v>C100004</v>
      </c>
      <c r="G1515" s="9" t="str">
        <f>"Walnut Medallian Plate"</f>
        <v>Walnut Medallian Plate</v>
      </c>
      <c r="H1515" s="47"/>
      <c r="I1515" s="47"/>
      <c r="J1515" s="23">
        <v>7607.5800000000008</v>
      </c>
      <c r="K1515" s="25">
        <v>144</v>
      </c>
      <c r="L1515" s="24">
        <v>4406.3899999999994</v>
      </c>
      <c r="M1515" s="24">
        <f>J1515-L1515</f>
        <v>3201.1900000000014</v>
      </c>
      <c r="N1515" s="53">
        <f>IF(J1515&lt;&gt;0,M1515/J1515,"")</f>
        <v>0.42078952833884115</v>
      </c>
      <c r="O1515" s="23">
        <v>17708.28</v>
      </c>
      <c r="P1515" s="25">
        <v>312</v>
      </c>
      <c r="Q1515" s="24">
        <v>9547.18</v>
      </c>
      <c r="R1515" s="24">
        <f>O1515-Q1515</f>
        <v>8161.0999999999985</v>
      </c>
      <c r="S1515" s="53">
        <f>IF(O1515&lt;&gt;0,R1515/O1515,"")</f>
        <v>0.46086350565949935</v>
      </c>
      <c r="T1515" s="10"/>
      <c r="U1515" s="23">
        <v>8376.880000000001</v>
      </c>
      <c r="V1515" s="25">
        <v>144</v>
      </c>
      <c r="W1515" s="24">
        <v>4406.3899999999994</v>
      </c>
      <c r="X1515" s="24">
        <f>U1515-W1515</f>
        <v>3970.4900000000016</v>
      </c>
      <c r="Y1515" s="53">
        <f>IF(U1515&lt;&gt;0,X1515/U1515,"")</f>
        <v>0.47398195987050085</v>
      </c>
      <c r="Z1515" s="23">
        <v>0</v>
      </c>
      <c r="AA1515" s="25">
        <v>0</v>
      </c>
      <c r="AB1515" s="24">
        <v>0</v>
      </c>
      <c r="AC1515" s="24">
        <f t="shared" ref="AC1515:AC1560" si="467">Z1515-AB1515</f>
        <v>0</v>
      </c>
      <c r="AD1515" s="53" t="str">
        <f t="shared" ref="AD1515:AD1560" si="468">IF(Z1515&lt;&gt;0,AC1515/Z1515,"")</f>
        <v/>
      </c>
      <c r="AE1515" s="10"/>
    </row>
    <row r="1516" spans="1:31" x14ac:dyDescent="0.25">
      <c r="A1516" s="14" t="s">
        <v>109</v>
      </c>
      <c r="C1516" s="61" t="str">
        <f t="shared" si="466"/>
        <v>C100097</v>
      </c>
      <c r="F1516" s="8" t="str">
        <f>"C100005"</f>
        <v>C100005</v>
      </c>
      <c r="G1516" s="9" t="str">
        <f>"Cherry Finished Crystal Award"</f>
        <v>Cherry Finished Crystal Award</v>
      </c>
      <c r="H1516" s="47"/>
      <c r="I1516" s="47"/>
      <c r="J1516" s="23">
        <v>0</v>
      </c>
      <c r="K1516" s="25">
        <v>0</v>
      </c>
      <c r="L1516" s="24">
        <v>0</v>
      </c>
      <c r="M1516" s="24">
        <f>J1516-L1516</f>
        <v>0</v>
      </c>
      <c r="N1516" s="53" t="str">
        <f>IF(J1516&lt;&gt;0,M1516/J1516,"")</f>
        <v/>
      </c>
      <c r="O1516" s="23">
        <v>134.85</v>
      </c>
      <c r="P1516" s="25">
        <v>1</v>
      </c>
      <c r="Q1516" s="24">
        <v>70.929999999999993</v>
      </c>
      <c r="R1516" s="24">
        <f>O1516-Q1516</f>
        <v>63.92</v>
      </c>
      <c r="S1516" s="53">
        <f>IF(O1516&lt;&gt;0,R1516/O1516,"")</f>
        <v>0.47400815721171674</v>
      </c>
      <c r="T1516" s="10"/>
      <c r="U1516" s="23">
        <v>18417.37</v>
      </c>
      <c r="V1516" s="25">
        <v>144</v>
      </c>
      <c r="W1516" s="24">
        <v>10213.91</v>
      </c>
      <c r="X1516" s="24">
        <f>U1516-W1516</f>
        <v>8203.4599999999991</v>
      </c>
      <c r="Y1516" s="53">
        <f>IF(U1516&lt;&gt;0,X1516/U1516,"")</f>
        <v>0.4454197314817479</v>
      </c>
      <c r="Z1516" s="23">
        <v>16316.78</v>
      </c>
      <c r="AA1516" s="25">
        <v>120.99999999999999</v>
      </c>
      <c r="AB1516" s="24">
        <v>8582.52</v>
      </c>
      <c r="AC1516" s="24">
        <f t="shared" si="467"/>
        <v>7734.26</v>
      </c>
      <c r="AD1516" s="53">
        <f t="shared" si="468"/>
        <v>0.47400651354004897</v>
      </c>
      <c r="AE1516" s="10"/>
    </row>
    <row r="1517" spans="1:31" x14ac:dyDescent="0.25">
      <c r="A1517" s="14" t="s">
        <v>109</v>
      </c>
      <c r="C1517" s="61" t="str">
        <f t="shared" si="466"/>
        <v>C100097</v>
      </c>
      <c r="F1517" s="8" t="str">
        <f>"C100006"</f>
        <v>C100006</v>
      </c>
      <c r="G1517" s="9" t="str">
        <f>"Cherry Finished Crystal Award- Large"</f>
        <v>Cherry Finished Crystal Award- Large</v>
      </c>
      <c r="H1517" s="47"/>
      <c r="I1517" s="47"/>
      <c r="J1517" s="23">
        <v>0</v>
      </c>
      <c r="K1517" s="25">
        <v>0</v>
      </c>
      <c r="L1517" s="24">
        <v>0</v>
      </c>
      <c r="M1517" s="24">
        <f>J1517-L1517</f>
        <v>0</v>
      </c>
      <c r="N1517" s="53" t="str">
        <f>IF(J1517&lt;&gt;0,M1517/J1517,"")</f>
        <v/>
      </c>
      <c r="O1517" s="23">
        <v>2433.81</v>
      </c>
      <c r="P1517" s="25">
        <v>12</v>
      </c>
      <c r="Q1517" s="24">
        <v>1140.48</v>
      </c>
      <c r="R1517" s="24">
        <f>O1517-Q1517</f>
        <v>1293.33</v>
      </c>
      <c r="S1517" s="53">
        <f>IF(O1517&lt;&gt;0,R1517/O1517,"")</f>
        <v>0.53140138301675155</v>
      </c>
      <c r="T1517" s="10"/>
      <c r="U1517" s="23">
        <v>0</v>
      </c>
      <c r="V1517" s="25">
        <v>0</v>
      </c>
      <c r="W1517" s="24">
        <v>0</v>
      </c>
      <c r="X1517" s="24">
        <f>U1517-W1517</f>
        <v>0</v>
      </c>
      <c r="Y1517" s="53" t="str">
        <f>IF(U1517&lt;&gt;0,X1517/U1517,"")</f>
        <v/>
      </c>
      <c r="Z1517" s="23">
        <v>0</v>
      </c>
      <c r="AA1517" s="25">
        <v>0</v>
      </c>
      <c r="AB1517" s="24">
        <v>0</v>
      </c>
      <c r="AC1517" s="24">
        <f t="shared" si="467"/>
        <v>0</v>
      </c>
      <c r="AD1517" s="53" t="str">
        <f t="shared" si="468"/>
        <v/>
      </c>
      <c r="AE1517" s="10"/>
    </row>
    <row r="1518" spans="1:31" x14ac:dyDescent="0.25">
      <c r="A1518" s="14" t="s">
        <v>109</v>
      </c>
      <c r="C1518" s="61" t="str">
        <f t="shared" si="466"/>
        <v>C100097</v>
      </c>
      <c r="F1518" s="8" t="str">
        <f>"C100014"</f>
        <v>C100014</v>
      </c>
      <c r="G1518" s="9" t="str">
        <f>"Canvas Field Bag"</f>
        <v>Canvas Field Bag</v>
      </c>
      <c r="H1518" s="47"/>
      <c r="I1518" s="47"/>
      <c r="J1518" s="23">
        <v>1607.77</v>
      </c>
      <c r="K1518" s="25">
        <v>193</v>
      </c>
      <c r="L1518" s="24">
        <v>885.87</v>
      </c>
      <c r="M1518" s="24">
        <f>J1518-L1518</f>
        <v>721.9</v>
      </c>
      <c r="N1518" s="53">
        <f>IF(J1518&lt;&gt;0,M1518/J1518,"")</f>
        <v>0.44900700970910018</v>
      </c>
      <c r="O1518" s="23">
        <v>1307.3999999999999</v>
      </c>
      <c r="P1518" s="25">
        <v>144</v>
      </c>
      <c r="Q1518" s="24">
        <v>660.96</v>
      </c>
      <c r="R1518" s="24">
        <f>O1518-Q1518</f>
        <v>646.43999999999983</v>
      </c>
      <c r="S1518" s="53">
        <f>IF(O1518&lt;&gt;0,R1518/O1518,"")</f>
        <v>0.49444699403396047</v>
      </c>
      <c r="T1518" s="10"/>
      <c r="U1518" s="23">
        <v>0</v>
      </c>
      <c r="V1518" s="25">
        <v>0</v>
      </c>
      <c r="W1518" s="24">
        <v>0</v>
      </c>
      <c r="X1518" s="24">
        <f>U1518-W1518</f>
        <v>0</v>
      </c>
      <c r="Y1518" s="53" t="str">
        <f>IF(U1518&lt;&gt;0,X1518/U1518,"")</f>
        <v/>
      </c>
      <c r="Z1518" s="23">
        <v>0</v>
      </c>
      <c r="AA1518" s="25">
        <v>0</v>
      </c>
      <c r="AB1518" s="24">
        <v>0</v>
      </c>
      <c r="AC1518" s="24">
        <f t="shared" si="467"/>
        <v>0</v>
      </c>
      <c r="AD1518" s="53" t="str">
        <f t="shared" si="468"/>
        <v/>
      </c>
      <c r="AE1518" s="10"/>
    </row>
    <row r="1519" spans="1:31" x14ac:dyDescent="0.25">
      <c r="A1519" s="14" t="s">
        <v>109</v>
      </c>
      <c r="C1519" s="61" t="str">
        <f t="shared" si="466"/>
        <v>C100097</v>
      </c>
      <c r="F1519" s="8" t="str">
        <f>"C100018"</f>
        <v>C100018</v>
      </c>
      <c r="G1519" s="9" t="str">
        <f>"Action Sport Duffel"</f>
        <v>Action Sport Duffel</v>
      </c>
      <c r="H1519" s="47"/>
      <c r="I1519" s="47"/>
      <c r="J1519" s="23">
        <v>2459.7599999999998</v>
      </c>
      <c r="K1519" s="25">
        <v>144</v>
      </c>
      <c r="L1519" s="24">
        <v>1231.21</v>
      </c>
      <c r="M1519" s="24">
        <f>J1519-L1519</f>
        <v>1228.5499999999997</v>
      </c>
      <c r="N1519" s="53">
        <f>IF(J1519&lt;&gt;0,M1519/J1519,"")</f>
        <v>0.49945929684196827</v>
      </c>
      <c r="O1519" s="23">
        <v>0</v>
      </c>
      <c r="P1519" s="25">
        <v>0</v>
      </c>
      <c r="Q1519" s="24">
        <v>0</v>
      </c>
      <c r="R1519" s="24">
        <f>O1519-Q1519</f>
        <v>0</v>
      </c>
      <c r="S1519" s="53" t="str">
        <f>IF(O1519&lt;&gt;0,R1519/O1519,"")</f>
        <v/>
      </c>
      <c r="T1519" s="10"/>
      <c r="U1519" s="23">
        <v>0</v>
      </c>
      <c r="V1519" s="25">
        <v>0</v>
      </c>
      <c r="W1519" s="24">
        <v>0</v>
      </c>
      <c r="X1519" s="24">
        <f>U1519-W1519</f>
        <v>0</v>
      </c>
      <c r="Y1519" s="53" t="str">
        <f>IF(U1519&lt;&gt;0,X1519/U1519,"")</f>
        <v/>
      </c>
      <c r="Z1519" s="23">
        <v>0</v>
      </c>
      <c r="AA1519" s="25">
        <v>0</v>
      </c>
      <c r="AB1519" s="24">
        <v>0</v>
      </c>
      <c r="AC1519" s="24">
        <f t="shared" si="467"/>
        <v>0</v>
      </c>
      <c r="AD1519" s="53" t="str">
        <f t="shared" si="468"/>
        <v/>
      </c>
      <c r="AE1519" s="10"/>
    </row>
    <row r="1520" spans="1:31" x14ac:dyDescent="0.25">
      <c r="A1520" s="14" t="s">
        <v>109</v>
      </c>
      <c r="C1520" s="61" t="str">
        <f t="shared" si="466"/>
        <v>C100097</v>
      </c>
      <c r="F1520" s="8" t="str">
        <f>"C100020"</f>
        <v>C100020</v>
      </c>
      <c r="G1520" s="9" t="str">
        <f>"Gym Locker Bag"</f>
        <v>Gym Locker Bag</v>
      </c>
      <c r="H1520" s="47"/>
      <c r="I1520" s="47"/>
      <c r="J1520" s="23">
        <v>0</v>
      </c>
      <c r="K1520" s="25">
        <v>0</v>
      </c>
      <c r="L1520" s="24">
        <v>0</v>
      </c>
      <c r="M1520" s="24">
        <f>J1520-L1520</f>
        <v>0</v>
      </c>
      <c r="N1520" s="53" t="str">
        <f>IF(J1520&lt;&gt;0,M1520/J1520,"")</f>
        <v/>
      </c>
      <c r="O1520" s="23">
        <v>13.02</v>
      </c>
      <c r="P1520" s="25">
        <v>1</v>
      </c>
      <c r="Q1520" s="24">
        <v>7.74</v>
      </c>
      <c r="R1520" s="24">
        <f>O1520-Q1520</f>
        <v>5.2799999999999994</v>
      </c>
      <c r="S1520" s="53">
        <f>IF(O1520&lt;&gt;0,R1520/O1520,"")</f>
        <v>0.40552995391705066</v>
      </c>
      <c r="T1520" s="10"/>
      <c r="U1520" s="23">
        <v>0</v>
      </c>
      <c r="V1520" s="25">
        <v>0</v>
      </c>
      <c r="W1520" s="24">
        <v>0</v>
      </c>
      <c r="X1520" s="24">
        <f>U1520-W1520</f>
        <v>0</v>
      </c>
      <c r="Y1520" s="53" t="str">
        <f>IF(U1520&lt;&gt;0,X1520/U1520,"")</f>
        <v/>
      </c>
      <c r="Z1520" s="23">
        <v>3869.14</v>
      </c>
      <c r="AA1520" s="25">
        <v>288</v>
      </c>
      <c r="AB1520" s="24">
        <v>2229.1200000000003</v>
      </c>
      <c r="AC1520" s="24">
        <f t="shared" si="467"/>
        <v>1640.0199999999995</v>
      </c>
      <c r="AD1520" s="53">
        <f t="shared" si="468"/>
        <v>0.42387197154923306</v>
      </c>
      <c r="AE1520" s="10"/>
    </row>
    <row r="1521" spans="1:31" x14ac:dyDescent="0.25">
      <c r="A1521" s="14" t="s">
        <v>109</v>
      </c>
      <c r="C1521" s="61" t="str">
        <f t="shared" si="466"/>
        <v>C100097</v>
      </c>
      <c r="F1521" s="8" t="str">
        <f>"C100022"</f>
        <v>C100022</v>
      </c>
      <c r="G1521" s="9" t="str">
        <f>"Two-Toned Cap"</f>
        <v>Two-Toned Cap</v>
      </c>
      <c r="H1521" s="47"/>
      <c r="I1521" s="47"/>
      <c r="J1521" s="23">
        <v>410.11</v>
      </c>
      <c r="K1521" s="25">
        <v>144</v>
      </c>
      <c r="L1521" s="24">
        <v>231.82999999999998</v>
      </c>
      <c r="M1521" s="24">
        <f>J1521-L1521</f>
        <v>178.28000000000003</v>
      </c>
      <c r="N1521" s="53">
        <f>IF(J1521&lt;&gt;0,M1521/J1521,"")</f>
        <v>0.43471263807271227</v>
      </c>
      <c r="O1521" s="23">
        <v>0</v>
      </c>
      <c r="P1521" s="25">
        <v>0</v>
      </c>
      <c r="Q1521" s="24">
        <v>0</v>
      </c>
      <c r="R1521" s="24">
        <f>O1521-Q1521</f>
        <v>0</v>
      </c>
      <c r="S1521" s="53" t="str">
        <f>IF(O1521&lt;&gt;0,R1521/O1521,"")</f>
        <v/>
      </c>
      <c r="T1521" s="10"/>
      <c r="U1521" s="23">
        <v>414.72</v>
      </c>
      <c r="V1521" s="25">
        <v>144</v>
      </c>
      <c r="W1521" s="24">
        <v>231.82999999999998</v>
      </c>
      <c r="X1521" s="24">
        <f>U1521-W1521</f>
        <v>182.89000000000004</v>
      </c>
      <c r="Y1521" s="53">
        <f>IF(U1521&lt;&gt;0,X1521/U1521,"")</f>
        <v>0.44099633487654327</v>
      </c>
      <c r="Z1521" s="23">
        <v>0</v>
      </c>
      <c r="AA1521" s="25">
        <v>0</v>
      </c>
      <c r="AB1521" s="24">
        <v>0</v>
      </c>
      <c r="AC1521" s="24">
        <f t="shared" si="467"/>
        <v>0</v>
      </c>
      <c r="AD1521" s="53" t="str">
        <f t="shared" si="468"/>
        <v/>
      </c>
      <c r="AE1521" s="10"/>
    </row>
    <row r="1522" spans="1:31" x14ac:dyDescent="0.25">
      <c r="A1522" s="14" t="s">
        <v>109</v>
      </c>
      <c r="C1522" s="61" t="str">
        <f t="shared" si="466"/>
        <v>C100097</v>
      </c>
      <c r="F1522" s="8" t="str">
        <f>"C100023"</f>
        <v>C100023</v>
      </c>
      <c r="G1522" s="9" t="str">
        <f>"Two-Toned Knit Hat"</f>
        <v>Two-Toned Knit Hat</v>
      </c>
      <c r="H1522" s="47"/>
      <c r="I1522" s="47"/>
      <c r="J1522" s="23">
        <v>114.49</v>
      </c>
      <c r="K1522" s="25">
        <v>48</v>
      </c>
      <c r="L1522" s="24">
        <v>60.48</v>
      </c>
      <c r="M1522" s="24">
        <f>J1522-L1522</f>
        <v>54.01</v>
      </c>
      <c r="N1522" s="53">
        <f>IF(J1522&lt;&gt;0,M1522/J1522,"")</f>
        <v>0.47174425714036161</v>
      </c>
      <c r="O1522" s="23">
        <v>737.1</v>
      </c>
      <c r="P1522" s="25">
        <v>288</v>
      </c>
      <c r="Q1522" s="24">
        <v>362.86</v>
      </c>
      <c r="R1522" s="24">
        <f>O1522-Q1522</f>
        <v>374.24</v>
      </c>
      <c r="S1522" s="53">
        <f>IF(O1522&lt;&gt;0,R1522/O1522,"")</f>
        <v>0.50771944105277433</v>
      </c>
      <c r="T1522" s="10"/>
      <c r="U1522" s="23">
        <v>0</v>
      </c>
      <c r="V1522" s="25">
        <v>0</v>
      </c>
      <c r="W1522" s="24">
        <v>0</v>
      </c>
      <c r="X1522" s="24">
        <f>U1522-W1522</f>
        <v>0</v>
      </c>
      <c r="Y1522" s="53" t="str">
        <f>IF(U1522&lt;&gt;0,X1522/U1522,"")</f>
        <v/>
      </c>
      <c r="Z1522" s="23">
        <v>374.34000000000003</v>
      </c>
      <c r="AA1522" s="25">
        <v>144</v>
      </c>
      <c r="AB1522" s="24">
        <v>181.43</v>
      </c>
      <c r="AC1522" s="24">
        <f t="shared" si="467"/>
        <v>192.91000000000003</v>
      </c>
      <c r="AD1522" s="53">
        <f t="shared" si="468"/>
        <v>0.51533365389752639</v>
      </c>
      <c r="AE1522" s="10"/>
    </row>
    <row r="1523" spans="1:31" x14ac:dyDescent="0.25">
      <c r="A1523" s="14" t="s">
        <v>109</v>
      </c>
      <c r="C1523" s="61" t="str">
        <f t="shared" si="466"/>
        <v>C100097</v>
      </c>
      <c r="F1523" s="8" t="str">
        <f>"C100024"</f>
        <v>C100024</v>
      </c>
      <c r="G1523" s="9" t="str">
        <f>"Knit Hat with Bill"</f>
        <v>Knit Hat with Bill</v>
      </c>
      <c r="H1523" s="47"/>
      <c r="I1523" s="47"/>
      <c r="J1523" s="23">
        <v>0</v>
      </c>
      <c r="K1523" s="25">
        <v>0</v>
      </c>
      <c r="L1523" s="24">
        <v>0</v>
      </c>
      <c r="M1523" s="24">
        <f>J1523-L1523</f>
        <v>0</v>
      </c>
      <c r="N1523" s="53" t="str">
        <f>IF(J1523&lt;&gt;0,M1523/J1523,"")</f>
        <v/>
      </c>
      <c r="O1523" s="23">
        <v>784.9799999999999</v>
      </c>
      <c r="P1523" s="25">
        <v>156</v>
      </c>
      <c r="Q1523" s="24">
        <v>467.99999999999994</v>
      </c>
      <c r="R1523" s="24">
        <f>O1523-Q1523</f>
        <v>316.97999999999996</v>
      </c>
      <c r="S1523" s="53">
        <f>IF(O1523&lt;&gt;0,R1523/O1523,"")</f>
        <v>0.40380646640678741</v>
      </c>
      <c r="T1523" s="10"/>
      <c r="U1523" s="23">
        <v>0</v>
      </c>
      <c r="V1523" s="25">
        <v>0</v>
      </c>
      <c r="W1523" s="24">
        <v>0</v>
      </c>
      <c r="X1523" s="24">
        <f>U1523-W1523</f>
        <v>0</v>
      </c>
      <c r="Y1523" s="53" t="str">
        <f>IF(U1523&lt;&gt;0,X1523/U1523,"")</f>
        <v/>
      </c>
      <c r="Z1523" s="23">
        <v>0</v>
      </c>
      <c r="AA1523" s="25">
        <v>0</v>
      </c>
      <c r="AB1523" s="24">
        <v>0</v>
      </c>
      <c r="AC1523" s="24">
        <f t="shared" si="467"/>
        <v>0</v>
      </c>
      <c r="AD1523" s="53" t="str">
        <f t="shared" si="468"/>
        <v/>
      </c>
      <c r="AE1523" s="10"/>
    </row>
    <row r="1524" spans="1:31" x14ac:dyDescent="0.25">
      <c r="A1524" s="14" t="s">
        <v>109</v>
      </c>
      <c r="C1524" s="61" t="str">
        <f t="shared" si="466"/>
        <v>C100097</v>
      </c>
      <c r="F1524" s="8" t="str">
        <f>"C100025"</f>
        <v>C100025</v>
      </c>
      <c r="G1524" s="9" t="str">
        <f>"Striped Knit Hat"</f>
        <v>Striped Knit Hat</v>
      </c>
      <c r="H1524" s="47"/>
      <c r="I1524" s="47"/>
      <c r="J1524" s="23">
        <v>381.92</v>
      </c>
      <c r="K1524" s="25">
        <v>144</v>
      </c>
      <c r="L1524" s="24">
        <v>198.72</v>
      </c>
      <c r="M1524" s="24">
        <f>J1524-L1524</f>
        <v>183.20000000000002</v>
      </c>
      <c r="N1524" s="53">
        <f>IF(J1524&lt;&gt;0,M1524/J1524,"")</f>
        <v>0.47968160871386678</v>
      </c>
      <c r="O1524" s="23">
        <v>2.8</v>
      </c>
      <c r="P1524" s="25">
        <v>1</v>
      </c>
      <c r="Q1524" s="24">
        <v>1.38</v>
      </c>
      <c r="R1524" s="24">
        <f>O1524-Q1524</f>
        <v>1.42</v>
      </c>
      <c r="S1524" s="53">
        <f>IF(O1524&lt;&gt;0,R1524/O1524,"")</f>
        <v>0.50714285714285712</v>
      </c>
      <c r="T1524" s="10"/>
      <c r="U1524" s="23">
        <v>0</v>
      </c>
      <c r="V1524" s="25">
        <v>0</v>
      </c>
      <c r="W1524" s="24">
        <v>0</v>
      </c>
      <c r="X1524" s="24">
        <f>U1524-W1524</f>
        <v>0</v>
      </c>
      <c r="Y1524" s="53" t="str">
        <f>IF(U1524&lt;&gt;0,X1524/U1524,"")</f>
        <v/>
      </c>
      <c r="Z1524" s="23">
        <v>0</v>
      </c>
      <c r="AA1524" s="25">
        <v>0</v>
      </c>
      <c r="AB1524" s="24">
        <v>0</v>
      </c>
      <c r="AC1524" s="24">
        <f t="shared" si="467"/>
        <v>0</v>
      </c>
      <c r="AD1524" s="53" t="str">
        <f t="shared" si="468"/>
        <v/>
      </c>
      <c r="AE1524" s="10"/>
    </row>
    <row r="1525" spans="1:31" x14ac:dyDescent="0.25">
      <c r="A1525" s="14" t="s">
        <v>109</v>
      </c>
      <c r="C1525" s="61" t="str">
        <f t="shared" si="466"/>
        <v>C100097</v>
      </c>
      <c r="F1525" s="8" t="str">
        <f>"C100027"</f>
        <v>C100027</v>
      </c>
      <c r="G1525" s="9" t="str">
        <f>"Pique Visor"</f>
        <v>Pique Visor</v>
      </c>
      <c r="H1525" s="47"/>
      <c r="I1525" s="47"/>
      <c r="J1525" s="23">
        <v>1701.06</v>
      </c>
      <c r="K1525" s="25">
        <v>289</v>
      </c>
      <c r="L1525" s="24">
        <v>901.7</v>
      </c>
      <c r="M1525" s="24">
        <f>J1525-L1525</f>
        <v>799.3599999999999</v>
      </c>
      <c r="N1525" s="53">
        <f>IF(J1525&lt;&gt;0,M1525/J1525,"")</f>
        <v>0.46991875654003967</v>
      </c>
      <c r="O1525" s="23">
        <v>2053.9500000000003</v>
      </c>
      <c r="P1525" s="25">
        <v>336</v>
      </c>
      <c r="Q1525" s="24">
        <v>1048.3400000000001</v>
      </c>
      <c r="R1525" s="24">
        <f>O1525-Q1525</f>
        <v>1005.6100000000001</v>
      </c>
      <c r="S1525" s="53">
        <f>IF(O1525&lt;&gt;0,R1525/O1525,"")</f>
        <v>0.48959809148226585</v>
      </c>
      <c r="T1525" s="10"/>
      <c r="U1525" s="23">
        <v>0</v>
      </c>
      <c r="V1525" s="25">
        <v>0</v>
      </c>
      <c r="W1525" s="24">
        <v>0</v>
      </c>
      <c r="X1525" s="24">
        <f>U1525-W1525</f>
        <v>0</v>
      </c>
      <c r="Y1525" s="53" t="str">
        <f>IF(U1525&lt;&gt;0,X1525/U1525,"")</f>
        <v/>
      </c>
      <c r="Z1525" s="23">
        <v>6.14</v>
      </c>
      <c r="AA1525" s="25">
        <v>1</v>
      </c>
      <c r="AB1525" s="24">
        <v>3.12</v>
      </c>
      <c r="AC1525" s="24">
        <f t="shared" si="467"/>
        <v>3.0199999999999996</v>
      </c>
      <c r="AD1525" s="53">
        <f t="shared" si="468"/>
        <v>0.49185667752442991</v>
      </c>
      <c r="AE1525" s="10"/>
    </row>
    <row r="1526" spans="1:31" x14ac:dyDescent="0.25">
      <c r="A1526" s="14" t="s">
        <v>109</v>
      </c>
      <c r="C1526" s="61" t="str">
        <f t="shared" si="466"/>
        <v>C100097</v>
      </c>
      <c r="F1526" s="8" t="str">
        <f>"C100028"</f>
        <v>C100028</v>
      </c>
      <c r="G1526" s="9" t="str">
        <f>"Twill Visor"</f>
        <v>Twill Visor</v>
      </c>
      <c r="H1526" s="47"/>
      <c r="I1526" s="47"/>
      <c r="J1526" s="23">
        <v>0</v>
      </c>
      <c r="K1526" s="25">
        <v>0</v>
      </c>
      <c r="L1526" s="24">
        <v>0</v>
      </c>
      <c r="M1526" s="24">
        <f>J1526-L1526</f>
        <v>0</v>
      </c>
      <c r="N1526" s="53" t="str">
        <f>IF(J1526&lt;&gt;0,M1526/J1526,"")</f>
        <v/>
      </c>
      <c r="O1526" s="23">
        <v>86.460000000000008</v>
      </c>
      <c r="P1526" s="25">
        <v>18</v>
      </c>
      <c r="Q1526" s="24">
        <v>43.2</v>
      </c>
      <c r="R1526" s="24">
        <f>O1526-Q1526</f>
        <v>43.260000000000005</v>
      </c>
      <c r="S1526" s="53">
        <f>IF(O1526&lt;&gt;0,R1526/O1526,"")</f>
        <v>0.5003469812630118</v>
      </c>
      <c r="T1526" s="10"/>
      <c r="U1526" s="23">
        <v>0</v>
      </c>
      <c r="V1526" s="25">
        <v>0</v>
      </c>
      <c r="W1526" s="24">
        <v>0</v>
      </c>
      <c r="X1526" s="24">
        <f>U1526-W1526</f>
        <v>0</v>
      </c>
      <c r="Y1526" s="53" t="str">
        <f>IF(U1526&lt;&gt;0,X1526/U1526,"")</f>
        <v/>
      </c>
      <c r="Z1526" s="23">
        <v>0</v>
      </c>
      <c r="AA1526" s="25">
        <v>0</v>
      </c>
      <c r="AB1526" s="24">
        <v>0</v>
      </c>
      <c r="AC1526" s="24">
        <f t="shared" si="467"/>
        <v>0</v>
      </c>
      <c r="AD1526" s="53" t="str">
        <f t="shared" si="468"/>
        <v/>
      </c>
      <c r="AE1526" s="10"/>
    </row>
    <row r="1527" spans="1:31" x14ac:dyDescent="0.25">
      <c r="A1527" s="14" t="s">
        <v>109</v>
      </c>
      <c r="C1527" s="61" t="str">
        <f t="shared" si="466"/>
        <v>C100097</v>
      </c>
      <c r="F1527" s="8" t="str">
        <f>"C100029"</f>
        <v>C100029</v>
      </c>
      <c r="G1527" s="9" t="str">
        <f>"Distressed Twill Visor"</f>
        <v>Distressed Twill Visor</v>
      </c>
      <c r="H1527" s="47"/>
      <c r="I1527" s="47"/>
      <c r="J1527" s="23">
        <v>444.67</v>
      </c>
      <c r="K1527" s="25">
        <v>146</v>
      </c>
      <c r="L1527" s="24">
        <v>302.22999999999996</v>
      </c>
      <c r="M1527" s="24">
        <f>J1527-L1527</f>
        <v>142.44000000000005</v>
      </c>
      <c r="N1527" s="53">
        <f>IF(J1527&lt;&gt;0,M1527/J1527,"")</f>
        <v>0.32032743382733275</v>
      </c>
      <c r="O1527" s="23">
        <v>0</v>
      </c>
      <c r="P1527" s="25">
        <v>0</v>
      </c>
      <c r="Q1527" s="24">
        <v>0</v>
      </c>
      <c r="R1527" s="24">
        <f>O1527-Q1527</f>
        <v>0</v>
      </c>
      <c r="S1527" s="53" t="str">
        <f>IF(O1527&lt;&gt;0,R1527/O1527,"")</f>
        <v/>
      </c>
      <c r="T1527" s="10"/>
      <c r="U1527" s="23">
        <v>0</v>
      </c>
      <c r="V1527" s="25">
        <v>0</v>
      </c>
      <c r="W1527" s="24">
        <v>0</v>
      </c>
      <c r="X1527" s="24">
        <f>U1527-W1527</f>
        <v>0</v>
      </c>
      <c r="Y1527" s="53" t="str">
        <f>IF(U1527&lt;&gt;0,X1527/U1527,"")</f>
        <v/>
      </c>
      <c r="Z1527" s="23">
        <v>39.809999999999995</v>
      </c>
      <c r="AA1527" s="25">
        <v>12</v>
      </c>
      <c r="AB1527" s="24">
        <v>24.84</v>
      </c>
      <c r="AC1527" s="24">
        <f t="shared" si="467"/>
        <v>14.969999999999995</v>
      </c>
      <c r="AD1527" s="53">
        <f t="shared" si="468"/>
        <v>0.37603617181612653</v>
      </c>
      <c r="AE1527" s="10"/>
    </row>
    <row r="1528" spans="1:31" x14ac:dyDescent="0.25">
      <c r="A1528" s="14" t="s">
        <v>109</v>
      </c>
      <c r="C1528" s="61" t="str">
        <f t="shared" si="466"/>
        <v>C100097</v>
      </c>
      <c r="F1528" s="8" t="str">
        <f>"C100030"</f>
        <v>C100030</v>
      </c>
      <c r="G1528" s="9" t="str">
        <f>"Fashion Visor"</f>
        <v>Fashion Visor</v>
      </c>
      <c r="H1528" s="47"/>
      <c r="I1528" s="47"/>
      <c r="J1528" s="23">
        <v>0</v>
      </c>
      <c r="K1528" s="25">
        <v>0</v>
      </c>
      <c r="L1528" s="24">
        <v>0</v>
      </c>
      <c r="M1528" s="24">
        <f>J1528-L1528</f>
        <v>0</v>
      </c>
      <c r="N1528" s="53" t="str">
        <f>IF(J1528&lt;&gt;0,M1528/J1528,"")</f>
        <v/>
      </c>
      <c r="O1528" s="23">
        <v>25.49</v>
      </c>
      <c r="P1528" s="25">
        <v>6</v>
      </c>
      <c r="Q1528" s="24">
        <v>14.52</v>
      </c>
      <c r="R1528" s="24">
        <f>O1528-Q1528</f>
        <v>10.969999999999999</v>
      </c>
      <c r="S1528" s="53">
        <f>IF(O1528&lt;&gt;0,R1528/O1528,"")</f>
        <v>0.43036484896037658</v>
      </c>
      <c r="T1528" s="10"/>
      <c r="U1528" s="23">
        <v>1753.41</v>
      </c>
      <c r="V1528" s="25">
        <v>432</v>
      </c>
      <c r="W1528" s="24">
        <v>1045.46</v>
      </c>
      <c r="X1528" s="24">
        <f>U1528-W1528</f>
        <v>707.95</v>
      </c>
      <c r="Y1528" s="53">
        <f>IF(U1528&lt;&gt;0,X1528/U1528,"")</f>
        <v>0.40375610952372804</v>
      </c>
      <c r="Z1528" s="23">
        <v>611.79999999999995</v>
      </c>
      <c r="AA1528" s="25">
        <v>144</v>
      </c>
      <c r="AB1528" s="24">
        <v>348.49</v>
      </c>
      <c r="AC1528" s="24">
        <f t="shared" si="467"/>
        <v>263.30999999999995</v>
      </c>
      <c r="AD1528" s="53">
        <f t="shared" si="468"/>
        <v>0.43038574697613591</v>
      </c>
      <c r="AE1528" s="10"/>
    </row>
    <row r="1529" spans="1:31" x14ac:dyDescent="0.25">
      <c r="A1529" s="14" t="s">
        <v>109</v>
      </c>
      <c r="C1529" s="61" t="str">
        <f t="shared" si="466"/>
        <v>C100097</v>
      </c>
      <c r="F1529" s="8" t="str">
        <f>"C100031"</f>
        <v>C100031</v>
      </c>
      <c r="G1529" s="9" t="str">
        <f>"Carabiner Watch"</f>
        <v>Carabiner Watch</v>
      </c>
      <c r="H1529" s="47"/>
      <c r="I1529" s="47"/>
      <c r="J1529" s="23">
        <v>2637.16</v>
      </c>
      <c r="K1529" s="25">
        <v>144</v>
      </c>
      <c r="L1529" s="24">
        <v>1235.52</v>
      </c>
      <c r="M1529" s="24">
        <f>J1529-L1529</f>
        <v>1401.6399999999999</v>
      </c>
      <c r="N1529" s="53">
        <f>IF(J1529&lt;&gt;0,M1529/J1529,"")</f>
        <v>0.53149600327625168</v>
      </c>
      <c r="O1529" s="23">
        <v>2637.16</v>
      </c>
      <c r="P1529" s="25">
        <v>144</v>
      </c>
      <c r="Q1529" s="24">
        <v>1235.52</v>
      </c>
      <c r="R1529" s="24">
        <f>O1529-Q1529</f>
        <v>1401.6399999999999</v>
      </c>
      <c r="S1529" s="53">
        <f>IF(O1529&lt;&gt;0,R1529/O1529,"")</f>
        <v>0.53149600327625168</v>
      </c>
      <c r="T1529" s="10"/>
      <c r="U1529" s="23">
        <v>0</v>
      </c>
      <c r="V1529" s="25">
        <v>0</v>
      </c>
      <c r="W1529" s="24">
        <v>0</v>
      </c>
      <c r="X1529" s="24">
        <f>U1529-W1529</f>
        <v>0</v>
      </c>
      <c r="Y1529" s="53" t="str">
        <f>IF(U1529&lt;&gt;0,X1529/U1529,"")</f>
        <v/>
      </c>
      <c r="Z1529" s="23">
        <v>2637.16</v>
      </c>
      <c r="AA1529" s="25">
        <v>144</v>
      </c>
      <c r="AB1529" s="24">
        <v>1235.52</v>
      </c>
      <c r="AC1529" s="24">
        <f t="shared" si="467"/>
        <v>1401.6399999999999</v>
      </c>
      <c r="AD1529" s="53">
        <f t="shared" si="468"/>
        <v>0.53149600327625168</v>
      </c>
      <c r="AE1529" s="10"/>
    </row>
    <row r="1530" spans="1:31" x14ac:dyDescent="0.25">
      <c r="A1530" s="14" t="s">
        <v>109</v>
      </c>
      <c r="C1530" s="61" t="str">
        <f t="shared" si="466"/>
        <v>C100097</v>
      </c>
      <c r="F1530" s="8" t="str">
        <f>"C100032"</f>
        <v>C100032</v>
      </c>
      <c r="G1530" s="9" t="str">
        <f>"Clip-on Clock"</f>
        <v>Clip-on Clock</v>
      </c>
      <c r="H1530" s="47"/>
      <c r="I1530" s="47"/>
      <c r="J1530" s="23">
        <v>0</v>
      </c>
      <c r="K1530" s="25">
        <v>0</v>
      </c>
      <c r="L1530" s="24">
        <v>0</v>
      </c>
      <c r="M1530" s="24">
        <f>J1530-L1530</f>
        <v>0</v>
      </c>
      <c r="N1530" s="53" t="str">
        <f>IF(J1530&lt;&gt;0,M1530/J1530,"")</f>
        <v/>
      </c>
      <c r="O1530" s="23">
        <v>1115.3699999999999</v>
      </c>
      <c r="P1530" s="25">
        <v>144</v>
      </c>
      <c r="Q1530" s="24">
        <v>599.05000000000007</v>
      </c>
      <c r="R1530" s="24">
        <f>O1530-Q1530</f>
        <v>516.31999999999982</v>
      </c>
      <c r="S1530" s="53">
        <f>IF(O1530&lt;&gt;0,R1530/O1530,"")</f>
        <v>0.46291365197199125</v>
      </c>
      <c r="T1530" s="10"/>
      <c r="U1530" s="23">
        <v>1067.9000000000001</v>
      </c>
      <c r="V1530" s="25">
        <v>144</v>
      </c>
      <c r="W1530" s="24">
        <v>599.05000000000007</v>
      </c>
      <c r="X1530" s="24">
        <f>U1530-W1530</f>
        <v>468.85</v>
      </c>
      <c r="Y1530" s="53">
        <f>IF(U1530&lt;&gt;0,X1530/U1530,"")</f>
        <v>0.43903923588350968</v>
      </c>
      <c r="Z1530" s="23">
        <v>47.96</v>
      </c>
      <c r="AA1530" s="25">
        <v>6</v>
      </c>
      <c r="AB1530" s="24">
        <v>24.96</v>
      </c>
      <c r="AC1530" s="24">
        <f t="shared" si="467"/>
        <v>23</v>
      </c>
      <c r="AD1530" s="53">
        <f t="shared" si="468"/>
        <v>0.47956630525437866</v>
      </c>
      <c r="AE1530" s="10"/>
    </row>
    <row r="1531" spans="1:31" x14ac:dyDescent="0.25">
      <c r="A1531" s="14" t="s">
        <v>109</v>
      </c>
      <c r="C1531" s="61" t="str">
        <f t="shared" si="466"/>
        <v>C100097</v>
      </c>
      <c r="F1531" s="8" t="str">
        <f>"E100001"</f>
        <v>E100001</v>
      </c>
      <c r="G1531" s="9" t="str">
        <f>"Sport Bag"</f>
        <v>Sport Bag</v>
      </c>
      <c r="H1531" s="47"/>
      <c r="I1531" s="47"/>
      <c r="J1531" s="23">
        <v>231.97</v>
      </c>
      <c r="K1531" s="25">
        <v>144</v>
      </c>
      <c r="L1531" s="24">
        <v>125.28</v>
      </c>
      <c r="M1531" s="24">
        <f>J1531-L1531</f>
        <v>106.69</v>
      </c>
      <c r="N1531" s="53">
        <f>IF(J1531&lt;&gt;0,M1531/J1531,"")</f>
        <v>0.45993016338319609</v>
      </c>
      <c r="O1531" s="23">
        <v>0</v>
      </c>
      <c r="P1531" s="25">
        <v>0</v>
      </c>
      <c r="Q1531" s="24">
        <v>0</v>
      </c>
      <c r="R1531" s="24">
        <f>O1531-Q1531</f>
        <v>0</v>
      </c>
      <c r="S1531" s="53" t="str">
        <f>IF(O1531&lt;&gt;0,R1531/O1531,"")</f>
        <v/>
      </c>
      <c r="T1531" s="10"/>
      <c r="U1531" s="23">
        <v>255.43</v>
      </c>
      <c r="V1531" s="25">
        <v>144</v>
      </c>
      <c r="W1531" s="24">
        <v>125.28</v>
      </c>
      <c r="X1531" s="24">
        <f>U1531-W1531</f>
        <v>130.15</v>
      </c>
      <c r="Y1531" s="53">
        <f>IF(U1531&lt;&gt;0,X1531/U1531,"")</f>
        <v>0.50953294444661945</v>
      </c>
      <c r="Z1531" s="23">
        <v>252.82</v>
      </c>
      <c r="AA1531" s="25">
        <v>144</v>
      </c>
      <c r="AB1531" s="24">
        <v>125.28</v>
      </c>
      <c r="AC1531" s="24">
        <f t="shared" si="467"/>
        <v>127.53999999999999</v>
      </c>
      <c r="AD1531" s="53">
        <f t="shared" si="468"/>
        <v>0.50446958310260259</v>
      </c>
      <c r="AE1531" s="10"/>
    </row>
    <row r="1532" spans="1:31" x14ac:dyDescent="0.25">
      <c r="A1532" s="14" t="s">
        <v>109</v>
      </c>
      <c r="C1532" s="61" t="str">
        <f t="shared" si="466"/>
        <v>C100097</v>
      </c>
      <c r="F1532" s="8" t="str">
        <f>"E100011"</f>
        <v>E100011</v>
      </c>
      <c r="G1532" s="9" t="str">
        <f>"Plastic Sun Visor"</f>
        <v>Plastic Sun Visor</v>
      </c>
      <c r="H1532" s="47"/>
      <c r="I1532" s="47"/>
      <c r="J1532" s="23">
        <v>9.43</v>
      </c>
      <c r="K1532" s="25">
        <v>12</v>
      </c>
      <c r="L1532" s="24">
        <v>5.04</v>
      </c>
      <c r="M1532" s="24">
        <f>J1532-L1532</f>
        <v>4.3899999999999997</v>
      </c>
      <c r="N1532" s="53">
        <f>IF(J1532&lt;&gt;0,M1532/J1532,"")</f>
        <v>0.46553552492046657</v>
      </c>
      <c r="O1532" s="23">
        <v>113.14</v>
      </c>
      <c r="P1532" s="25">
        <v>144</v>
      </c>
      <c r="Q1532" s="24">
        <v>60.470000000000006</v>
      </c>
      <c r="R1532" s="24">
        <f>O1532-Q1532</f>
        <v>52.669999999999995</v>
      </c>
      <c r="S1532" s="53">
        <f>IF(O1532&lt;&gt;0,R1532/O1532,"")</f>
        <v>0.46552943256142826</v>
      </c>
      <c r="T1532" s="10"/>
      <c r="U1532" s="23">
        <v>328.06</v>
      </c>
      <c r="V1532" s="25">
        <v>434</v>
      </c>
      <c r="W1532" s="24">
        <v>182.25</v>
      </c>
      <c r="X1532" s="24">
        <f>U1532-W1532</f>
        <v>145.81</v>
      </c>
      <c r="Y1532" s="53">
        <f>IF(U1532&lt;&gt;0,X1532/U1532,"")</f>
        <v>0.44446137901603366</v>
      </c>
      <c r="Z1532" s="23">
        <v>113.14</v>
      </c>
      <c r="AA1532" s="25">
        <v>144</v>
      </c>
      <c r="AB1532" s="24">
        <v>60.470000000000006</v>
      </c>
      <c r="AC1532" s="24">
        <f t="shared" si="467"/>
        <v>52.669999999999995</v>
      </c>
      <c r="AD1532" s="53">
        <f t="shared" si="468"/>
        <v>0.46552943256142826</v>
      </c>
      <c r="AE1532" s="10"/>
    </row>
    <row r="1533" spans="1:31" x14ac:dyDescent="0.25">
      <c r="A1533" s="14" t="s">
        <v>109</v>
      </c>
      <c r="C1533" s="61" t="str">
        <f t="shared" si="466"/>
        <v>C100097</v>
      </c>
      <c r="F1533" s="8" t="str">
        <f>"E100012"</f>
        <v>E100012</v>
      </c>
      <c r="G1533" s="9" t="str">
        <f>"Canvas Stopwatch"</f>
        <v>Canvas Stopwatch</v>
      </c>
      <c r="H1533" s="47"/>
      <c r="I1533" s="47"/>
      <c r="J1533" s="23">
        <v>3.59</v>
      </c>
      <c r="K1533" s="25">
        <v>1</v>
      </c>
      <c r="L1533" s="24">
        <v>1.96</v>
      </c>
      <c r="M1533" s="24">
        <f>J1533-L1533</f>
        <v>1.63</v>
      </c>
      <c r="N1533" s="53">
        <f>IF(J1533&lt;&gt;0,M1533/J1533,"")</f>
        <v>0.45403899721448465</v>
      </c>
      <c r="O1533" s="23">
        <v>86.14</v>
      </c>
      <c r="P1533" s="25">
        <v>24</v>
      </c>
      <c r="Q1533" s="24">
        <v>47.04</v>
      </c>
      <c r="R1533" s="24">
        <f>O1533-Q1533</f>
        <v>39.1</v>
      </c>
      <c r="S1533" s="53">
        <f>IF(O1533&lt;&gt;0,R1533/O1533,"")</f>
        <v>0.45391223589505458</v>
      </c>
      <c r="T1533" s="10"/>
      <c r="U1533" s="23">
        <v>0</v>
      </c>
      <c r="V1533" s="25">
        <v>0</v>
      </c>
      <c r="W1533" s="24">
        <v>0</v>
      </c>
      <c r="X1533" s="24">
        <f>U1533-W1533</f>
        <v>0</v>
      </c>
      <c r="Y1533" s="53" t="str">
        <f>IF(U1533&lt;&gt;0,X1533/U1533,"")</f>
        <v/>
      </c>
      <c r="Z1533" s="23">
        <v>1550.45</v>
      </c>
      <c r="AA1533" s="25">
        <v>432</v>
      </c>
      <c r="AB1533" s="24">
        <v>846.69</v>
      </c>
      <c r="AC1533" s="24">
        <f t="shared" si="467"/>
        <v>703.76</v>
      </c>
      <c r="AD1533" s="53">
        <f t="shared" si="468"/>
        <v>0.45390693024605755</v>
      </c>
      <c r="AE1533" s="10"/>
    </row>
    <row r="1534" spans="1:31" x14ac:dyDescent="0.25">
      <c r="A1534" s="14" t="s">
        <v>109</v>
      </c>
      <c r="C1534" s="61" t="str">
        <f t="shared" si="466"/>
        <v>C100097</v>
      </c>
      <c r="F1534" s="8" t="str">
        <f>"E100013"</f>
        <v>E100013</v>
      </c>
      <c r="G1534" s="9" t="str">
        <f>"Clip-on Stopwatch"</f>
        <v>Clip-on Stopwatch</v>
      </c>
      <c r="H1534" s="47"/>
      <c r="I1534" s="47"/>
      <c r="J1534" s="23">
        <v>0</v>
      </c>
      <c r="K1534" s="25">
        <v>0</v>
      </c>
      <c r="L1534" s="24">
        <v>0</v>
      </c>
      <c r="M1534" s="24">
        <f>J1534-L1534</f>
        <v>0</v>
      </c>
      <c r="N1534" s="53" t="str">
        <f>IF(J1534&lt;&gt;0,M1534/J1534,"")</f>
        <v/>
      </c>
      <c r="O1534" s="23">
        <v>759.11</v>
      </c>
      <c r="P1534" s="25">
        <v>288</v>
      </c>
      <c r="Q1534" s="24">
        <v>414.7</v>
      </c>
      <c r="R1534" s="24">
        <f>O1534-Q1534</f>
        <v>344.41</v>
      </c>
      <c r="S1534" s="53">
        <f>IF(O1534&lt;&gt;0,R1534/O1534,"")</f>
        <v>0.45370236197652519</v>
      </c>
      <c r="T1534" s="10"/>
      <c r="U1534" s="23">
        <v>0</v>
      </c>
      <c r="V1534" s="25">
        <v>0</v>
      </c>
      <c r="W1534" s="24">
        <v>0</v>
      </c>
      <c r="X1534" s="24">
        <f>U1534-W1534</f>
        <v>0</v>
      </c>
      <c r="Y1534" s="53" t="str">
        <f>IF(U1534&lt;&gt;0,X1534/U1534,"")</f>
        <v/>
      </c>
      <c r="Z1534" s="23">
        <v>385.52000000000004</v>
      </c>
      <c r="AA1534" s="25">
        <v>144</v>
      </c>
      <c r="AB1534" s="24">
        <v>207.35</v>
      </c>
      <c r="AC1534" s="24">
        <f t="shared" si="467"/>
        <v>178.17000000000004</v>
      </c>
      <c r="AD1534" s="53">
        <f t="shared" si="468"/>
        <v>0.46215501141315635</v>
      </c>
      <c r="AE1534" s="10"/>
    </row>
    <row r="1535" spans="1:31" x14ac:dyDescent="0.25">
      <c r="A1535" s="14" t="s">
        <v>109</v>
      </c>
      <c r="C1535" s="61" t="str">
        <f t="shared" si="466"/>
        <v>C100097</v>
      </c>
      <c r="F1535" s="8" t="str">
        <f>"E100014"</f>
        <v>E100014</v>
      </c>
      <c r="G1535" s="9" t="str">
        <f>"Stopwatch with Neck Rope"</f>
        <v>Stopwatch with Neck Rope</v>
      </c>
      <c r="H1535" s="47"/>
      <c r="I1535" s="47"/>
      <c r="J1535" s="23">
        <v>0</v>
      </c>
      <c r="K1535" s="25">
        <v>0</v>
      </c>
      <c r="L1535" s="24">
        <v>0</v>
      </c>
      <c r="M1535" s="24">
        <f>J1535-L1535</f>
        <v>0</v>
      </c>
      <c r="N1535" s="53" t="str">
        <f>IF(J1535&lt;&gt;0,M1535/J1535,"")</f>
        <v/>
      </c>
      <c r="O1535" s="23">
        <v>377.49</v>
      </c>
      <c r="P1535" s="25">
        <v>146</v>
      </c>
      <c r="Q1535" s="24">
        <v>188.32999999999998</v>
      </c>
      <c r="R1535" s="24">
        <f>O1535-Q1535</f>
        <v>189.16000000000003</v>
      </c>
      <c r="S1535" s="53">
        <f>IF(O1535&lt;&gt;0,R1535/O1535,"")</f>
        <v>0.5010993668706456</v>
      </c>
      <c r="T1535" s="10"/>
      <c r="U1535" s="23">
        <v>0</v>
      </c>
      <c r="V1535" s="25">
        <v>0</v>
      </c>
      <c r="W1535" s="24">
        <v>0</v>
      </c>
      <c r="X1535" s="24">
        <f>U1535-W1535</f>
        <v>0</v>
      </c>
      <c r="Y1535" s="53" t="str">
        <f>IF(U1535&lt;&gt;0,X1535/U1535,"")</f>
        <v/>
      </c>
      <c r="Z1535" s="23">
        <v>0</v>
      </c>
      <c r="AA1535" s="25">
        <v>0</v>
      </c>
      <c r="AB1535" s="24">
        <v>0</v>
      </c>
      <c r="AC1535" s="24">
        <f t="shared" si="467"/>
        <v>0</v>
      </c>
      <c r="AD1535" s="53" t="str">
        <f t="shared" si="468"/>
        <v/>
      </c>
      <c r="AE1535" s="10"/>
    </row>
    <row r="1536" spans="1:31" x14ac:dyDescent="0.25">
      <c r="A1536" s="14" t="s">
        <v>109</v>
      </c>
      <c r="C1536" s="61" t="str">
        <f t="shared" si="466"/>
        <v>C100097</v>
      </c>
      <c r="F1536" s="8" t="str">
        <f>"E100015"</f>
        <v>E100015</v>
      </c>
      <c r="G1536" s="9" t="str">
        <f>"360 Clip Watch"</f>
        <v>360 Clip Watch</v>
      </c>
      <c r="H1536" s="47"/>
      <c r="I1536" s="47"/>
      <c r="J1536" s="23">
        <v>275.54000000000002</v>
      </c>
      <c r="K1536" s="25">
        <v>144</v>
      </c>
      <c r="L1536" s="24">
        <v>146.88</v>
      </c>
      <c r="M1536" s="24">
        <f>J1536-L1536</f>
        <v>128.66000000000003</v>
      </c>
      <c r="N1536" s="53">
        <f>IF(J1536&lt;&gt;0,M1536/J1536,"")</f>
        <v>0.46693764970603185</v>
      </c>
      <c r="O1536" s="23">
        <v>0</v>
      </c>
      <c r="P1536" s="25">
        <v>0</v>
      </c>
      <c r="Q1536" s="24">
        <v>0</v>
      </c>
      <c r="R1536" s="24">
        <f>O1536-Q1536</f>
        <v>0</v>
      </c>
      <c r="S1536" s="53" t="str">
        <f>IF(O1536&lt;&gt;0,R1536/O1536,"")</f>
        <v/>
      </c>
      <c r="T1536" s="10"/>
      <c r="U1536" s="23">
        <v>278.64000000000004</v>
      </c>
      <c r="V1536" s="25">
        <v>144</v>
      </c>
      <c r="W1536" s="24">
        <v>146.88</v>
      </c>
      <c r="X1536" s="24">
        <f>U1536-W1536</f>
        <v>131.76000000000005</v>
      </c>
      <c r="Y1536" s="53">
        <f>IF(U1536&lt;&gt;0,X1536/U1536,"")</f>
        <v>0.47286821705426368</v>
      </c>
      <c r="Z1536" s="23">
        <v>0</v>
      </c>
      <c r="AA1536" s="25">
        <v>0</v>
      </c>
      <c r="AB1536" s="24">
        <v>0</v>
      </c>
      <c r="AC1536" s="24">
        <f t="shared" si="467"/>
        <v>0</v>
      </c>
      <c r="AD1536" s="53" t="str">
        <f t="shared" si="468"/>
        <v/>
      </c>
      <c r="AE1536" s="10"/>
    </row>
    <row r="1537" spans="1:31" x14ac:dyDescent="0.25">
      <c r="A1537" s="14" t="s">
        <v>109</v>
      </c>
      <c r="C1537" s="61" t="str">
        <f t="shared" si="466"/>
        <v>C100097</v>
      </c>
      <c r="F1537" s="8" t="str">
        <f>"E100016"</f>
        <v>E100016</v>
      </c>
      <c r="G1537" s="9" t="str">
        <f>"4 Function Rotating Carabiner Watch"</f>
        <v>4 Function Rotating Carabiner Watch</v>
      </c>
      <c r="H1537" s="47"/>
      <c r="I1537" s="47"/>
      <c r="J1537" s="23">
        <v>424.63</v>
      </c>
      <c r="K1537" s="25">
        <v>144</v>
      </c>
      <c r="L1537" s="24">
        <v>198.73000000000002</v>
      </c>
      <c r="M1537" s="24">
        <f>J1537-L1537</f>
        <v>225.89999999999998</v>
      </c>
      <c r="N1537" s="53">
        <f>IF(J1537&lt;&gt;0,M1537/J1537,"")</f>
        <v>0.5319925582271624</v>
      </c>
      <c r="O1537" s="23">
        <v>0</v>
      </c>
      <c r="P1537" s="25">
        <v>0</v>
      </c>
      <c r="Q1537" s="24">
        <v>0</v>
      </c>
      <c r="R1537" s="24">
        <f>O1537-Q1537</f>
        <v>0</v>
      </c>
      <c r="S1537" s="53" t="str">
        <f>IF(O1537&lt;&gt;0,R1537/O1537,"")</f>
        <v/>
      </c>
      <c r="T1537" s="10"/>
      <c r="U1537" s="23">
        <v>0</v>
      </c>
      <c r="V1537" s="25">
        <v>0</v>
      </c>
      <c r="W1537" s="24">
        <v>0</v>
      </c>
      <c r="X1537" s="24">
        <f>U1537-W1537</f>
        <v>0</v>
      </c>
      <c r="Y1537" s="53" t="str">
        <f>IF(U1537&lt;&gt;0,X1537/U1537,"")</f>
        <v/>
      </c>
      <c r="Z1537" s="23">
        <v>424.63</v>
      </c>
      <c r="AA1537" s="25">
        <v>144</v>
      </c>
      <c r="AB1537" s="24">
        <v>198.73000000000002</v>
      </c>
      <c r="AC1537" s="24">
        <f t="shared" si="467"/>
        <v>225.89999999999998</v>
      </c>
      <c r="AD1537" s="53">
        <f t="shared" si="468"/>
        <v>0.5319925582271624</v>
      </c>
      <c r="AE1537" s="10"/>
    </row>
    <row r="1538" spans="1:31" x14ac:dyDescent="0.25">
      <c r="A1538" s="14" t="s">
        <v>109</v>
      </c>
      <c r="C1538" s="61" t="str">
        <f t="shared" si="466"/>
        <v>C100097</v>
      </c>
      <c r="F1538" s="8" t="str">
        <f>"E100017"</f>
        <v>E100017</v>
      </c>
      <c r="G1538" s="9" t="str">
        <f>"Clip-on Clock with Compass"</f>
        <v>Clip-on Clock with Compass</v>
      </c>
      <c r="H1538" s="47"/>
      <c r="I1538" s="47"/>
      <c r="J1538" s="23">
        <v>199.93</v>
      </c>
      <c r="K1538" s="25">
        <v>144</v>
      </c>
      <c r="L1538" s="24">
        <v>126.72</v>
      </c>
      <c r="M1538" s="24">
        <f>J1538-L1538</f>
        <v>73.210000000000008</v>
      </c>
      <c r="N1538" s="53">
        <f>IF(J1538&lt;&gt;0,M1538/J1538,"")</f>
        <v>0.36617816235682493</v>
      </c>
      <c r="O1538" s="23">
        <v>1.51</v>
      </c>
      <c r="P1538" s="25">
        <v>1</v>
      </c>
      <c r="Q1538" s="24">
        <v>0.88</v>
      </c>
      <c r="R1538" s="24">
        <f>O1538-Q1538</f>
        <v>0.63</v>
      </c>
      <c r="S1538" s="53">
        <f>IF(O1538&lt;&gt;0,R1538/O1538,"")</f>
        <v>0.41721854304635764</v>
      </c>
      <c r="T1538" s="10"/>
      <c r="U1538" s="23">
        <v>0</v>
      </c>
      <c r="V1538" s="25">
        <v>0</v>
      </c>
      <c r="W1538" s="24">
        <v>0</v>
      </c>
      <c r="X1538" s="24">
        <f>U1538-W1538</f>
        <v>0</v>
      </c>
      <c r="Y1538" s="53" t="str">
        <f>IF(U1538&lt;&gt;0,X1538/U1538,"")</f>
        <v/>
      </c>
      <c r="Z1538" s="23">
        <v>435.8</v>
      </c>
      <c r="AA1538" s="25">
        <v>288</v>
      </c>
      <c r="AB1538" s="24">
        <v>253.44</v>
      </c>
      <c r="AC1538" s="24">
        <f t="shared" si="467"/>
        <v>182.36</v>
      </c>
      <c r="AD1538" s="53">
        <f t="shared" si="468"/>
        <v>0.41844882973841213</v>
      </c>
      <c r="AE1538" s="10"/>
    </row>
    <row r="1539" spans="1:31" x14ac:dyDescent="0.25">
      <c r="A1539" s="14" t="s">
        <v>109</v>
      </c>
      <c r="C1539" s="61" t="str">
        <f t="shared" si="466"/>
        <v>C100097</v>
      </c>
      <c r="F1539" s="8" t="str">
        <f>"E100018"</f>
        <v>E100018</v>
      </c>
      <c r="G1539" s="9" t="str">
        <f>"Flexi-Clock &amp; Clip"</f>
        <v>Flexi-Clock &amp; Clip</v>
      </c>
      <c r="H1539" s="47"/>
      <c r="I1539" s="47"/>
      <c r="J1539" s="23">
        <v>0</v>
      </c>
      <c r="K1539" s="25">
        <v>0</v>
      </c>
      <c r="L1539" s="24">
        <v>0</v>
      </c>
      <c r="M1539" s="24">
        <f>J1539-L1539</f>
        <v>0</v>
      </c>
      <c r="N1539" s="53" t="str">
        <f>IF(J1539&lt;&gt;0,M1539/J1539,"")</f>
        <v/>
      </c>
      <c r="O1539" s="23">
        <v>158.93</v>
      </c>
      <c r="P1539" s="25">
        <v>145</v>
      </c>
      <c r="Q1539" s="24">
        <v>86.990000000000009</v>
      </c>
      <c r="R1539" s="24">
        <f>O1539-Q1539</f>
        <v>71.94</v>
      </c>
      <c r="S1539" s="53">
        <f>IF(O1539&lt;&gt;0,R1539/O1539,"")</f>
        <v>0.45265211099226071</v>
      </c>
      <c r="T1539" s="10"/>
      <c r="U1539" s="23">
        <v>0</v>
      </c>
      <c r="V1539" s="25">
        <v>0</v>
      </c>
      <c r="W1539" s="24">
        <v>0</v>
      </c>
      <c r="X1539" s="24">
        <f>U1539-W1539</f>
        <v>0</v>
      </c>
      <c r="Y1539" s="53" t="str">
        <f>IF(U1539&lt;&gt;0,X1539/U1539,"")</f>
        <v/>
      </c>
      <c r="Z1539" s="23">
        <v>26.310000000000002</v>
      </c>
      <c r="AA1539" s="25">
        <v>24</v>
      </c>
      <c r="AB1539" s="24">
        <v>14.4</v>
      </c>
      <c r="AC1539" s="24">
        <f t="shared" si="467"/>
        <v>11.910000000000002</v>
      </c>
      <c r="AD1539" s="53">
        <f t="shared" si="468"/>
        <v>0.45267958950969217</v>
      </c>
      <c r="AE1539" s="10"/>
    </row>
    <row r="1540" spans="1:31" x14ac:dyDescent="0.25">
      <c r="A1540" s="14" t="s">
        <v>109</v>
      </c>
      <c r="C1540" s="61" t="str">
        <f t="shared" si="466"/>
        <v>C100097</v>
      </c>
      <c r="F1540" s="8" t="str">
        <f>"S100001"</f>
        <v>S100001</v>
      </c>
      <c r="G1540" s="9" t="str">
        <f>"Basketball Graphic Plaque"</f>
        <v>Basketball Graphic Plaque</v>
      </c>
      <c r="H1540" s="47"/>
      <c r="I1540" s="47"/>
      <c r="J1540" s="23">
        <v>0</v>
      </c>
      <c r="K1540" s="25">
        <v>0</v>
      </c>
      <c r="L1540" s="24">
        <v>0</v>
      </c>
      <c r="M1540" s="24">
        <f>J1540-L1540</f>
        <v>0</v>
      </c>
      <c r="N1540" s="53" t="str">
        <f>IF(J1540&lt;&gt;0,M1540/J1540,"")</f>
        <v/>
      </c>
      <c r="O1540" s="23">
        <v>2338.2400000000002</v>
      </c>
      <c r="P1540" s="25">
        <v>144</v>
      </c>
      <c r="Q1540" s="24">
        <v>1310.4000000000001</v>
      </c>
      <c r="R1540" s="24">
        <f>O1540-Q1540</f>
        <v>1027.8400000000001</v>
      </c>
      <c r="S1540" s="53">
        <f>IF(O1540&lt;&gt;0,R1540/O1540,"")</f>
        <v>0.43957848638292052</v>
      </c>
      <c r="T1540" s="10"/>
      <c r="U1540" s="23">
        <v>2362.35</v>
      </c>
      <c r="V1540" s="25">
        <v>144</v>
      </c>
      <c r="W1540" s="24">
        <v>1310.4000000000001</v>
      </c>
      <c r="X1540" s="24">
        <f>U1540-W1540</f>
        <v>1051.9499999999998</v>
      </c>
      <c r="Y1540" s="53">
        <f>IF(U1540&lt;&gt;0,X1540/U1540,"")</f>
        <v>0.44529811416597875</v>
      </c>
      <c r="Z1540" s="23">
        <v>2338.2400000000002</v>
      </c>
      <c r="AA1540" s="25">
        <v>144</v>
      </c>
      <c r="AB1540" s="24">
        <v>1310.4000000000001</v>
      </c>
      <c r="AC1540" s="24">
        <f t="shared" si="467"/>
        <v>1027.8400000000001</v>
      </c>
      <c r="AD1540" s="53">
        <f t="shared" si="468"/>
        <v>0.43957848638292052</v>
      </c>
      <c r="AE1540" s="10"/>
    </row>
    <row r="1541" spans="1:31" x14ac:dyDescent="0.25">
      <c r="A1541" s="14" t="s">
        <v>109</v>
      </c>
      <c r="C1541" s="61" t="str">
        <f t="shared" si="466"/>
        <v>C100097</v>
      </c>
      <c r="F1541" s="8" t="str">
        <f>"S100002"</f>
        <v>S100002</v>
      </c>
      <c r="G1541" s="9" t="str">
        <f>"Football Graphic Plaque"</f>
        <v>Football Graphic Plaque</v>
      </c>
      <c r="H1541" s="47"/>
      <c r="I1541" s="47"/>
      <c r="J1541" s="23">
        <v>0</v>
      </c>
      <c r="K1541" s="25">
        <v>0</v>
      </c>
      <c r="L1541" s="24">
        <v>0</v>
      </c>
      <c r="M1541" s="24">
        <f>J1541-L1541</f>
        <v>0</v>
      </c>
      <c r="N1541" s="53" t="str">
        <f>IF(J1541&lt;&gt;0,M1541/J1541,"")</f>
        <v/>
      </c>
      <c r="O1541" s="23">
        <v>287.86</v>
      </c>
      <c r="P1541" s="25">
        <v>12</v>
      </c>
      <c r="Q1541" s="24">
        <v>142.68</v>
      </c>
      <c r="R1541" s="24">
        <f>O1541-Q1541</f>
        <v>145.18</v>
      </c>
      <c r="S1541" s="53">
        <f>IF(O1541&lt;&gt;0,R1541/O1541,"")</f>
        <v>0.50434238866115477</v>
      </c>
      <c r="T1541" s="10"/>
      <c r="U1541" s="23">
        <v>3205.01</v>
      </c>
      <c r="V1541" s="25">
        <v>144</v>
      </c>
      <c r="W1541" s="24">
        <v>1712.1699999999998</v>
      </c>
      <c r="X1541" s="24">
        <f>U1541-W1541</f>
        <v>1492.8400000000004</v>
      </c>
      <c r="Y1541" s="53">
        <f>IF(U1541&lt;&gt;0,X1541/U1541,"")</f>
        <v>0.46578325808655829</v>
      </c>
      <c r="Z1541" s="23">
        <v>0</v>
      </c>
      <c r="AA1541" s="25">
        <v>0</v>
      </c>
      <c r="AB1541" s="24">
        <v>0</v>
      </c>
      <c r="AC1541" s="24">
        <f t="shared" si="467"/>
        <v>0</v>
      </c>
      <c r="AD1541" s="53" t="str">
        <f t="shared" si="468"/>
        <v/>
      </c>
      <c r="AE1541" s="10"/>
    </row>
    <row r="1542" spans="1:31" x14ac:dyDescent="0.25">
      <c r="A1542" s="14" t="s">
        <v>109</v>
      </c>
      <c r="C1542" s="61" t="str">
        <f t="shared" si="466"/>
        <v>C100097</v>
      </c>
      <c r="F1542" s="8" t="str">
        <f>"S100003"</f>
        <v>S100003</v>
      </c>
      <c r="G1542" s="9" t="str">
        <f>"Soccer #1 Pin"</f>
        <v>Soccer #1 Pin</v>
      </c>
      <c r="H1542" s="47"/>
      <c r="I1542" s="47"/>
      <c r="J1542" s="23">
        <v>0</v>
      </c>
      <c r="K1542" s="25">
        <v>0</v>
      </c>
      <c r="L1542" s="24">
        <v>0</v>
      </c>
      <c r="M1542" s="24">
        <f>J1542-L1542</f>
        <v>0</v>
      </c>
      <c r="N1542" s="53" t="str">
        <f>IF(J1542&lt;&gt;0,M1542/J1542,"")</f>
        <v/>
      </c>
      <c r="O1542" s="23">
        <v>278.64999999999998</v>
      </c>
      <c r="P1542" s="25">
        <v>193</v>
      </c>
      <c r="Q1542" s="24">
        <v>173.7</v>
      </c>
      <c r="R1542" s="24">
        <f>O1542-Q1542</f>
        <v>104.94999999999999</v>
      </c>
      <c r="S1542" s="53">
        <f>IF(O1542&lt;&gt;0,R1542/O1542,"")</f>
        <v>0.37663735869370174</v>
      </c>
      <c r="T1542" s="10"/>
      <c r="U1542" s="23">
        <v>2.73</v>
      </c>
      <c r="V1542" s="25">
        <v>2</v>
      </c>
      <c r="W1542" s="24">
        <v>1.8</v>
      </c>
      <c r="X1542" s="24">
        <f>U1542-W1542</f>
        <v>0.92999999999999994</v>
      </c>
      <c r="Y1542" s="53">
        <f>IF(U1542&lt;&gt;0,X1542/U1542,"")</f>
        <v>0.34065934065934061</v>
      </c>
      <c r="Z1542" s="23">
        <v>280.81</v>
      </c>
      <c r="AA1542" s="25">
        <v>193</v>
      </c>
      <c r="AB1542" s="24">
        <v>173.7</v>
      </c>
      <c r="AC1542" s="24">
        <f t="shared" si="467"/>
        <v>107.11000000000001</v>
      </c>
      <c r="AD1542" s="53">
        <f t="shared" si="468"/>
        <v>0.38143228517502942</v>
      </c>
      <c r="AE1542" s="10"/>
    </row>
    <row r="1543" spans="1:31" x14ac:dyDescent="0.25">
      <c r="A1543" s="14" t="s">
        <v>109</v>
      </c>
      <c r="C1543" s="61" t="str">
        <f t="shared" si="466"/>
        <v>C100097</v>
      </c>
      <c r="F1543" s="8" t="str">
        <f>"S100004"</f>
        <v>S100004</v>
      </c>
      <c r="G1543" s="9" t="str">
        <f>"Award Medallian - 2''"</f>
        <v>Award Medallian - 2''</v>
      </c>
      <c r="H1543" s="47"/>
      <c r="I1543" s="47"/>
      <c r="J1543" s="23">
        <v>1975.0800000000002</v>
      </c>
      <c r="K1543" s="25">
        <v>144</v>
      </c>
      <c r="L1543" s="24">
        <v>960.48</v>
      </c>
      <c r="M1543" s="24">
        <f>J1543-L1543</f>
        <v>1014.6000000000001</v>
      </c>
      <c r="N1543" s="53">
        <f>IF(J1543&lt;&gt;0,M1543/J1543,"")</f>
        <v>0.51370071085728175</v>
      </c>
      <c r="O1543" s="23">
        <v>3827.98</v>
      </c>
      <c r="P1543" s="25">
        <v>288</v>
      </c>
      <c r="Q1543" s="24">
        <v>1920.96</v>
      </c>
      <c r="R1543" s="24">
        <f>O1543-Q1543</f>
        <v>1907.02</v>
      </c>
      <c r="S1543" s="53">
        <f>IF(O1543&lt;&gt;0,R1543/O1543,"")</f>
        <v>0.49817919633853885</v>
      </c>
      <c r="T1543" s="10"/>
      <c r="U1543" s="23">
        <v>0</v>
      </c>
      <c r="V1543" s="25">
        <v>0</v>
      </c>
      <c r="W1543" s="24">
        <v>0</v>
      </c>
      <c r="X1543" s="24">
        <f>U1543-W1543</f>
        <v>0</v>
      </c>
      <c r="Y1543" s="53" t="str">
        <f>IF(U1543&lt;&gt;0,X1543/U1543,"")</f>
        <v/>
      </c>
      <c r="Z1543" s="23">
        <v>3950.15</v>
      </c>
      <c r="AA1543" s="25">
        <v>288</v>
      </c>
      <c r="AB1543" s="24">
        <v>1920.96</v>
      </c>
      <c r="AC1543" s="24">
        <f t="shared" si="467"/>
        <v>2029.19</v>
      </c>
      <c r="AD1543" s="53">
        <f t="shared" si="468"/>
        <v>0.51369947976659114</v>
      </c>
      <c r="AE1543" s="10"/>
    </row>
    <row r="1544" spans="1:31" x14ac:dyDescent="0.25">
      <c r="A1544" s="14" t="s">
        <v>109</v>
      </c>
      <c r="C1544" s="61" t="str">
        <f t="shared" si="466"/>
        <v>C100097</v>
      </c>
      <c r="F1544" s="8" t="str">
        <f>"S100005"</f>
        <v>S100005</v>
      </c>
      <c r="G1544" s="9" t="str">
        <f>"Award Medallian - 2.5''"</f>
        <v>Award Medallian - 2.5''</v>
      </c>
      <c r="H1544" s="47"/>
      <c r="I1544" s="47"/>
      <c r="J1544" s="23">
        <v>1211.03</v>
      </c>
      <c r="K1544" s="25">
        <v>144</v>
      </c>
      <c r="L1544" s="24">
        <v>751.69</v>
      </c>
      <c r="M1544" s="24">
        <f>J1544-L1544</f>
        <v>459.33999999999992</v>
      </c>
      <c r="N1544" s="53">
        <f>IF(J1544&lt;&gt;0,M1544/J1544,"")</f>
        <v>0.37929696209012159</v>
      </c>
      <c r="O1544" s="23">
        <v>8.15</v>
      </c>
      <c r="P1544" s="25">
        <v>1</v>
      </c>
      <c r="Q1544" s="24">
        <v>5.22</v>
      </c>
      <c r="R1544" s="24">
        <f>O1544-Q1544</f>
        <v>2.9300000000000006</v>
      </c>
      <c r="S1544" s="53">
        <f>IF(O1544&lt;&gt;0,R1544/O1544,"")</f>
        <v>0.35950920245398776</v>
      </c>
      <c r="T1544" s="10"/>
      <c r="U1544" s="23">
        <v>0</v>
      </c>
      <c r="V1544" s="25">
        <v>0</v>
      </c>
      <c r="W1544" s="24">
        <v>0</v>
      </c>
      <c r="X1544" s="24">
        <f>U1544-W1544</f>
        <v>0</v>
      </c>
      <c r="Y1544" s="53" t="str">
        <f>IF(U1544&lt;&gt;0,X1544/U1544,"")</f>
        <v/>
      </c>
      <c r="Z1544" s="23">
        <v>0</v>
      </c>
      <c r="AA1544" s="25">
        <v>0</v>
      </c>
      <c r="AB1544" s="24">
        <v>0</v>
      </c>
      <c r="AC1544" s="24">
        <f t="shared" si="467"/>
        <v>0</v>
      </c>
      <c r="AD1544" s="53" t="str">
        <f t="shared" si="468"/>
        <v/>
      </c>
      <c r="AE1544" s="10"/>
    </row>
    <row r="1545" spans="1:31" x14ac:dyDescent="0.25">
      <c r="A1545" s="14" t="s">
        <v>109</v>
      </c>
      <c r="C1545" s="61" t="str">
        <f t="shared" si="466"/>
        <v>C100097</v>
      </c>
      <c r="F1545" s="8" t="str">
        <f>"S100006"</f>
        <v>S100006</v>
      </c>
      <c r="G1545" s="9" t="str">
        <f>"Award Medallian - 3''"</f>
        <v>Award Medallian - 3''</v>
      </c>
      <c r="H1545" s="47"/>
      <c r="I1545" s="47"/>
      <c r="J1545" s="23">
        <v>6106.75</v>
      </c>
      <c r="K1545" s="25">
        <v>576</v>
      </c>
      <c r="L1545" s="24">
        <v>4262.3600000000006</v>
      </c>
      <c r="M1545" s="24">
        <f>J1545-L1545</f>
        <v>1844.3899999999994</v>
      </c>
      <c r="N1545" s="53">
        <f>IF(J1545&lt;&gt;0,M1545/J1545,"")</f>
        <v>0.30202480861341946</v>
      </c>
      <c r="O1545" s="23">
        <v>0</v>
      </c>
      <c r="P1545" s="25">
        <v>0</v>
      </c>
      <c r="Q1545" s="24">
        <v>0</v>
      </c>
      <c r="R1545" s="24">
        <f>O1545-Q1545</f>
        <v>0</v>
      </c>
      <c r="S1545" s="53" t="str">
        <f>IF(O1545&lt;&gt;0,R1545/O1545,"")</f>
        <v/>
      </c>
      <c r="T1545" s="10"/>
      <c r="U1545" s="23">
        <v>0</v>
      </c>
      <c r="V1545" s="25">
        <v>0</v>
      </c>
      <c r="W1545" s="24">
        <v>0</v>
      </c>
      <c r="X1545" s="24">
        <f>U1545-W1545</f>
        <v>0</v>
      </c>
      <c r="Y1545" s="53" t="str">
        <f>IF(U1545&lt;&gt;0,X1545/U1545,"")</f>
        <v/>
      </c>
      <c r="Z1545" s="23">
        <v>0</v>
      </c>
      <c r="AA1545" s="25">
        <v>0</v>
      </c>
      <c r="AB1545" s="24">
        <v>0</v>
      </c>
      <c r="AC1545" s="24">
        <f t="shared" si="467"/>
        <v>0</v>
      </c>
      <c r="AD1545" s="53" t="str">
        <f t="shared" si="468"/>
        <v/>
      </c>
      <c r="AE1545" s="10"/>
    </row>
    <row r="1546" spans="1:31" x14ac:dyDescent="0.25">
      <c r="A1546" s="14" t="s">
        <v>109</v>
      </c>
      <c r="C1546" s="61" t="str">
        <f t="shared" si="466"/>
        <v>C100097</v>
      </c>
      <c r="F1546" s="8" t="str">
        <f>"S100007"</f>
        <v>S100007</v>
      </c>
      <c r="G1546" s="9" t="str">
        <f>"Baseball Figure Trophy"</f>
        <v>Baseball Figure Trophy</v>
      </c>
      <c r="H1546" s="47"/>
      <c r="I1546" s="47"/>
      <c r="J1546" s="23">
        <v>1033.6299999999999</v>
      </c>
      <c r="K1546" s="25">
        <v>144</v>
      </c>
      <c r="L1546" s="24">
        <v>529.91999999999996</v>
      </c>
      <c r="M1546" s="24">
        <f>J1546-L1546</f>
        <v>503.70999999999992</v>
      </c>
      <c r="N1546" s="53">
        <f>IF(J1546&lt;&gt;0,M1546/J1546,"")</f>
        <v>0.48732138192583419</v>
      </c>
      <c r="O1546" s="23">
        <v>0</v>
      </c>
      <c r="P1546" s="25">
        <v>0</v>
      </c>
      <c r="Q1546" s="24">
        <v>0</v>
      </c>
      <c r="R1546" s="24">
        <f>O1546-Q1546</f>
        <v>0</v>
      </c>
      <c r="S1546" s="53" t="str">
        <f>IF(O1546&lt;&gt;0,R1546/O1546,"")</f>
        <v/>
      </c>
      <c r="T1546" s="10"/>
      <c r="U1546" s="23">
        <v>163.38999999999999</v>
      </c>
      <c r="V1546" s="25">
        <v>24</v>
      </c>
      <c r="W1546" s="24">
        <v>88.32</v>
      </c>
      <c r="X1546" s="24">
        <f>U1546-W1546</f>
        <v>75.069999999999993</v>
      </c>
      <c r="Y1546" s="53">
        <f>IF(U1546&lt;&gt;0,X1546/U1546,"")</f>
        <v>0.45945284289124183</v>
      </c>
      <c r="Z1546" s="23">
        <v>0</v>
      </c>
      <c r="AA1546" s="25">
        <v>0</v>
      </c>
      <c r="AB1546" s="24">
        <v>0</v>
      </c>
      <c r="AC1546" s="24">
        <f t="shared" si="467"/>
        <v>0</v>
      </c>
      <c r="AD1546" s="53" t="str">
        <f t="shared" si="468"/>
        <v/>
      </c>
      <c r="AE1546" s="10"/>
    </row>
    <row r="1547" spans="1:31" x14ac:dyDescent="0.25">
      <c r="A1547" s="14" t="s">
        <v>109</v>
      </c>
      <c r="C1547" s="61" t="str">
        <f t="shared" si="466"/>
        <v>C100097</v>
      </c>
      <c r="F1547" s="8" t="str">
        <f>"S100008"</f>
        <v>S100008</v>
      </c>
      <c r="G1547" s="9" t="str">
        <f>"Soccer Figure Trophy"</f>
        <v>Soccer Figure Trophy</v>
      </c>
      <c r="H1547" s="47"/>
      <c r="I1547" s="47"/>
      <c r="J1547" s="23">
        <v>826.91</v>
      </c>
      <c r="K1547" s="25">
        <v>144</v>
      </c>
      <c r="L1547" s="24">
        <v>529.91999999999996</v>
      </c>
      <c r="M1547" s="24">
        <f>J1547-L1547</f>
        <v>296.99</v>
      </c>
      <c r="N1547" s="53">
        <f>IF(J1547&lt;&gt;0,M1547/J1547,"")</f>
        <v>0.35915637735666522</v>
      </c>
      <c r="O1547" s="23">
        <v>826.91</v>
      </c>
      <c r="P1547" s="25">
        <v>144</v>
      </c>
      <c r="Q1547" s="24">
        <v>529.91999999999996</v>
      </c>
      <c r="R1547" s="24">
        <f>O1547-Q1547</f>
        <v>296.99</v>
      </c>
      <c r="S1547" s="53">
        <f>IF(O1547&lt;&gt;0,R1547/O1547,"")</f>
        <v>0.35915637735666522</v>
      </c>
      <c r="T1547" s="10"/>
      <c r="U1547" s="23">
        <v>835.43</v>
      </c>
      <c r="V1547" s="25">
        <v>144</v>
      </c>
      <c r="W1547" s="24">
        <v>529.91999999999996</v>
      </c>
      <c r="X1547" s="24">
        <f>U1547-W1547</f>
        <v>305.51</v>
      </c>
      <c r="Y1547" s="53">
        <f>IF(U1547&lt;&gt;0,X1547/U1547,"")</f>
        <v>0.36569191913146526</v>
      </c>
      <c r="Z1547" s="23">
        <v>826.91</v>
      </c>
      <c r="AA1547" s="25">
        <v>144</v>
      </c>
      <c r="AB1547" s="24">
        <v>529.91999999999996</v>
      </c>
      <c r="AC1547" s="24">
        <f t="shared" si="467"/>
        <v>296.99</v>
      </c>
      <c r="AD1547" s="53">
        <f t="shared" si="468"/>
        <v>0.35915637735666522</v>
      </c>
      <c r="AE1547" s="10"/>
    </row>
    <row r="1548" spans="1:31" x14ac:dyDescent="0.25">
      <c r="A1548" s="14" t="s">
        <v>109</v>
      </c>
      <c r="C1548" s="61" t="str">
        <f t="shared" si="466"/>
        <v>C100097</v>
      </c>
      <c r="F1548" s="8" t="str">
        <f>"S100009"</f>
        <v>S100009</v>
      </c>
      <c r="G1548" s="9" t="str">
        <f>"Engraved Basketball Award"</f>
        <v>Engraved Basketball Award</v>
      </c>
      <c r="H1548" s="47"/>
      <c r="I1548" s="47"/>
      <c r="J1548" s="23">
        <v>0</v>
      </c>
      <c r="K1548" s="25">
        <v>0</v>
      </c>
      <c r="L1548" s="24">
        <v>0</v>
      </c>
      <c r="M1548" s="24">
        <f>J1548-L1548</f>
        <v>0</v>
      </c>
      <c r="N1548" s="53" t="str">
        <f>IF(J1548&lt;&gt;0,M1548/J1548,"")</f>
        <v/>
      </c>
      <c r="O1548" s="23">
        <v>2673.48</v>
      </c>
      <c r="P1548" s="25">
        <v>144</v>
      </c>
      <c r="Q1548" s="24">
        <v>1270.07</v>
      </c>
      <c r="R1548" s="24">
        <f>O1548-Q1548</f>
        <v>1403.41</v>
      </c>
      <c r="S1548" s="53">
        <f>IF(O1548&lt;&gt;0,R1548/O1548,"")</f>
        <v>0.52493753459909931</v>
      </c>
      <c r="T1548" s="10"/>
      <c r="U1548" s="23">
        <v>0</v>
      </c>
      <c r="V1548" s="25">
        <v>0</v>
      </c>
      <c r="W1548" s="24">
        <v>0</v>
      </c>
      <c r="X1548" s="24">
        <f>U1548-W1548</f>
        <v>0</v>
      </c>
      <c r="Y1548" s="53" t="str">
        <f>IF(U1548&lt;&gt;0,X1548/U1548,"")</f>
        <v/>
      </c>
      <c r="Z1548" s="23">
        <v>222.79</v>
      </c>
      <c r="AA1548" s="25">
        <v>12</v>
      </c>
      <c r="AB1548" s="24">
        <v>105.84</v>
      </c>
      <c r="AC1548" s="24">
        <f t="shared" si="467"/>
        <v>116.94999999999999</v>
      </c>
      <c r="AD1548" s="53">
        <f t="shared" si="468"/>
        <v>0.52493379415593155</v>
      </c>
      <c r="AE1548" s="10"/>
    </row>
    <row r="1549" spans="1:31" x14ac:dyDescent="0.25">
      <c r="A1549" s="14" t="s">
        <v>109</v>
      </c>
      <c r="C1549" s="61" t="str">
        <f t="shared" si="466"/>
        <v>C100097</v>
      </c>
      <c r="F1549" s="8" t="str">
        <f>"S100010"</f>
        <v>S100010</v>
      </c>
      <c r="G1549" s="9" t="str">
        <f>"Golf Relaxed Cap"</f>
        <v>Golf Relaxed Cap</v>
      </c>
      <c r="H1549" s="47"/>
      <c r="I1549" s="47"/>
      <c r="J1549" s="23">
        <v>1437.31</v>
      </c>
      <c r="K1549" s="25">
        <v>144</v>
      </c>
      <c r="L1549" s="24">
        <v>876.97</v>
      </c>
      <c r="M1549" s="24">
        <f>J1549-L1549</f>
        <v>560.33999999999992</v>
      </c>
      <c r="N1549" s="53">
        <f>IF(J1549&lt;&gt;0,M1549/J1549,"")</f>
        <v>0.38985326756232125</v>
      </c>
      <c r="O1549" s="23">
        <v>1392.85</v>
      </c>
      <c r="P1549" s="25">
        <v>144</v>
      </c>
      <c r="Q1549" s="24">
        <v>876.97</v>
      </c>
      <c r="R1549" s="24">
        <f>O1549-Q1549</f>
        <v>515.87999999999988</v>
      </c>
      <c r="S1549" s="53">
        <f>IF(O1549&lt;&gt;0,R1549/O1549,"")</f>
        <v>0.37037728398607167</v>
      </c>
      <c r="T1549" s="10"/>
      <c r="U1549" s="23">
        <v>0</v>
      </c>
      <c r="V1549" s="25">
        <v>0</v>
      </c>
      <c r="W1549" s="24">
        <v>0</v>
      </c>
      <c r="X1549" s="24">
        <f>U1549-W1549</f>
        <v>0</v>
      </c>
      <c r="Y1549" s="53" t="str">
        <f>IF(U1549&lt;&gt;0,X1549/U1549,"")</f>
        <v/>
      </c>
      <c r="Z1549" s="23">
        <v>0</v>
      </c>
      <c r="AA1549" s="25">
        <v>0</v>
      </c>
      <c r="AB1549" s="24">
        <v>0</v>
      </c>
      <c r="AC1549" s="24">
        <f t="shared" si="467"/>
        <v>0</v>
      </c>
      <c r="AD1549" s="53" t="str">
        <f t="shared" si="468"/>
        <v/>
      </c>
      <c r="AE1549" s="10"/>
    </row>
    <row r="1550" spans="1:31" x14ac:dyDescent="0.25">
      <c r="A1550" s="14" t="s">
        <v>109</v>
      </c>
      <c r="C1550" s="61" t="str">
        <f t="shared" si="466"/>
        <v>C100097</v>
      </c>
      <c r="F1550" s="8" t="str">
        <f>"S100011"</f>
        <v>S100011</v>
      </c>
      <c r="G1550" s="9" t="str">
        <f>"All Star Cap"</f>
        <v>All Star Cap</v>
      </c>
      <c r="H1550" s="47"/>
      <c r="I1550" s="47"/>
      <c r="J1550" s="23">
        <v>388.36999999999995</v>
      </c>
      <c r="K1550" s="25">
        <v>288</v>
      </c>
      <c r="L1550" s="24">
        <v>244.82</v>
      </c>
      <c r="M1550" s="24">
        <f>J1550-L1550</f>
        <v>143.54999999999995</v>
      </c>
      <c r="N1550" s="53">
        <f>IF(J1550&lt;&gt;0,M1550/J1550,"")</f>
        <v>0.36962175245255807</v>
      </c>
      <c r="O1550" s="23">
        <v>8.44</v>
      </c>
      <c r="P1550" s="25">
        <v>6</v>
      </c>
      <c r="Q1550" s="24">
        <v>5.0999999999999996</v>
      </c>
      <c r="R1550" s="24">
        <f>O1550-Q1550</f>
        <v>3.34</v>
      </c>
      <c r="S1550" s="53">
        <f>IF(O1550&lt;&gt;0,R1550/O1550,"")</f>
        <v>0.39573459715639814</v>
      </c>
      <c r="T1550" s="10"/>
      <c r="U1550" s="23">
        <v>222.02</v>
      </c>
      <c r="V1550" s="25">
        <v>168</v>
      </c>
      <c r="W1550" s="24">
        <v>142.81</v>
      </c>
      <c r="X1550" s="24">
        <f>U1550-W1550</f>
        <v>79.210000000000008</v>
      </c>
      <c r="Y1550" s="53">
        <f>IF(U1550&lt;&gt;0,X1550/U1550,"")</f>
        <v>0.35676966039095581</v>
      </c>
      <c r="Z1550" s="23">
        <v>481.02000000000004</v>
      </c>
      <c r="AA1550" s="25">
        <v>342</v>
      </c>
      <c r="AB1550" s="24">
        <v>290.70999999999998</v>
      </c>
      <c r="AC1550" s="24">
        <f t="shared" si="467"/>
        <v>190.31000000000006</v>
      </c>
      <c r="AD1550" s="53">
        <f t="shared" si="468"/>
        <v>0.39563843499230811</v>
      </c>
      <c r="AE1550" s="10"/>
    </row>
    <row r="1551" spans="1:31" x14ac:dyDescent="0.25">
      <c r="A1551" s="14" t="s">
        <v>109</v>
      </c>
      <c r="C1551" s="61" t="str">
        <f t="shared" si="466"/>
        <v>C100097</v>
      </c>
      <c r="F1551" s="8" t="str">
        <f>"S100012"</f>
        <v>S100012</v>
      </c>
      <c r="G1551" s="9" t="str">
        <f>"Raw-Edge Patch BALL CAP"</f>
        <v>Raw-Edge Patch BALL CAP</v>
      </c>
      <c r="H1551" s="47"/>
      <c r="I1551" s="47"/>
      <c r="J1551" s="23">
        <v>0</v>
      </c>
      <c r="K1551" s="25">
        <v>0</v>
      </c>
      <c r="L1551" s="24">
        <v>0</v>
      </c>
      <c r="M1551" s="24">
        <f>J1551-L1551</f>
        <v>0</v>
      </c>
      <c r="N1551" s="53" t="str">
        <f>IF(J1551&lt;&gt;0,M1551/J1551,"")</f>
        <v/>
      </c>
      <c r="O1551" s="23">
        <v>2888.9</v>
      </c>
      <c r="P1551" s="25">
        <v>290</v>
      </c>
      <c r="Q1551" s="24">
        <v>1626.8999999999999</v>
      </c>
      <c r="R1551" s="24">
        <f>O1551-Q1551</f>
        <v>1262.0000000000002</v>
      </c>
      <c r="S1551" s="53">
        <f>IF(O1551&lt;&gt;0,R1551/O1551,"")</f>
        <v>0.43684447367510132</v>
      </c>
      <c r="T1551" s="10"/>
      <c r="U1551" s="23">
        <v>0</v>
      </c>
      <c r="V1551" s="25">
        <v>0</v>
      </c>
      <c r="W1551" s="24">
        <v>0</v>
      </c>
      <c r="X1551" s="24">
        <f>U1551-W1551</f>
        <v>0</v>
      </c>
      <c r="Y1551" s="53" t="str">
        <f>IF(U1551&lt;&gt;0,X1551/U1551,"")</f>
        <v/>
      </c>
      <c r="Z1551" s="23">
        <v>0</v>
      </c>
      <c r="AA1551" s="25">
        <v>0</v>
      </c>
      <c r="AB1551" s="24">
        <v>0</v>
      </c>
      <c r="AC1551" s="24">
        <f t="shared" si="467"/>
        <v>0</v>
      </c>
      <c r="AD1551" s="53" t="str">
        <f t="shared" si="468"/>
        <v/>
      </c>
      <c r="AE1551" s="10"/>
    </row>
    <row r="1552" spans="1:31" x14ac:dyDescent="0.25">
      <c r="A1552" s="14" t="s">
        <v>109</v>
      </c>
      <c r="C1552" s="61" t="str">
        <f t="shared" si="466"/>
        <v>C100097</v>
      </c>
      <c r="F1552" s="8" t="str">
        <f>"S100013"</f>
        <v>S100013</v>
      </c>
      <c r="G1552" s="9" t="str">
        <f>"Mesh BALL CAP"</f>
        <v>Mesh BALL CAP</v>
      </c>
      <c r="H1552" s="47"/>
      <c r="I1552" s="47"/>
      <c r="J1552" s="23">
        <v>0</v>
      </c>
      <c r="K1552" s="25">
        <v>0</v>
      </c>
      <c r="L1552" s="24">
        <v>0</v>
      </c>
      <c r="M1552" s="24">
        <f>J1552-L1552</f>
        <v>0</v>
      </c>
      <c r="N1552" s="53" t="str">
        <f>IF(J1552&lt;&gt;0,M1552/J1552,"")</f>
        <v/>
      </c>
      <c r="O1552" s="23">
        <v>1229.18</v>
      </c>
      <c r="P1552" s="25">
        <v>192</v>
      </c>
      <c r="Q1552" s="24">
        <v>660.5</v>
      </c>
      <c r="R1552" s="24">
        <f>O1552-Q1552</f>
        <v>568.68000000000006</v>
      </c>
      <c r="S1552" s="53">
        <f>IF(O1552&lt;&gt;0,R1552/O1552,"")</f>
        <v>0.4626498966790869</v>
      </c>
      <c r="T1552" s="10"/>
      <c r="U1552" s="23">
        <v>0</v>
      </c>
      <c r="V1552" s="25">
        <v>0</v>
      </c>
      <c r="W1552" s="24">
        <v>0</v>
      </c>
      <c r="X1552" s="24">
        <f>U1552-W1552</f>
        <v>0</v>
      </c>
      <c r="Y1552" s="53" t="str">
        <f>IF(U1552&lt;&gt;0,X1552/U1552,"")</f>
        <v/>
      </c>
      <c r="Z1552" s="23">
        <v>0</v>
      </c>
      <c r="AA1552" s="25">
        <v>0</v>
      </c>
      <c r="AB1552" s="24">
        <v>0</v>
      </c>
      <c r="AC1552" s="24">
        <f t="shared" si="467"/>
        <v>0</v>
      </c>
      <c r="AD1552" s="53" t="str">
        <f t="shared" si="468"/>
        <v/>
      </c>
      <c r="AE1552" s="10"/>
    </row>
    <row r="1553" spans="1:31" x14ac:dyDescent="0.25">
      <c r="A1553" s="14" t="s">
        <v>109</v>
      </c>
      <c r="C1553" s="61" t="str">
        <f t="shared" si="466"/>
        <v>C100097</v>
      </c>
      <c r="F1553" s="8" t="str">
        <f>"S100014"</f>
        <v>S100014</v>
      </c>
      <c r="G1553" s="9" t="str">
        <f>"Chunky Knit Hat"</f>
        <v>Chunky Knit Hat</v>
      </c>
      <c r="H1553" s="47"/>
      <c r="I1553" s="47"/>
      <c r="J1553" s="23">
        <v>2624.83</v>
      </c>
      <c r="K1553" s="25">
        <v>288</v>
      </c>
      <c r="L1553" s="24">
        <v>1486.06</v>
      </c>
      <c r="M1553" s="24">
        <f>J1553-L1553</f>
        <v>1138.77</v>
      </c>
      <c r="N1553" s="53">
        <f>IF(J1553&lt;&gt;0,M1553/J1553,"")</f>
        <v>0.43384523950122483</v>
      </c>
      <c r="O1553" s="23">
        <v>0</v>
      </c>
      <c r="P1553" s="25">
        <v>0</v>
      </c>
      <c r="Q1553" s="24">
        <v>0</v>
      </c>
      <c r="R1553" s="24">
        <f>O1553-Q1553</f>
        <v>0</v>
      </c>
      <c r="S1553" s="53" t="str">
        <f>IF(O1553&lt;&gt;0,R1553/O1553,"")</f>
        <v/>
      </c>
      <c r="T1553" s="10"/>
      <c r="U1553" s="23">
        <v>9.02</v>
      </c>
      <c r="V1553" s="25">
        <v>1</v>
      </c>
      <c r="W1553" s="24">
        <v>5.16</v>
      </c>
      <c r="X1553" s="24">
        <f>U1553-W1553</f>
        <v>3.8599999999999994</v>
      </c>
      <c r="Y1553" s="53">
        <f>IF(U1553&lt;&gt;0,X1553/U1553,"")</f>
        <v>0.42793791574279377</v>
      </c>
      <c r="Z1553" s="23">
        <v>0</v>
      </c>
      <c r="AA1553" s="25">
        <v>0</v>
      </c>
      <c r="AB1553" s="24">
        <v>0</v>
      </c>
      <c r="AC1553" s="24">
        <f t="shared" si="467"/>
        <v>0</v>
      </c>
      <c r="AD1553" s="53" t="str">
        <f t="shared" si="468"/>
        <v/>
      </c>
      <c r="AE1553" s="10"/>
    </row>
    <row r="1554" spans="1:31" x14ac:dyDescent="0.25">
      <c r="A1554" s="14" t="s">
        <v>109</v>
      </c>
      <c r="C1554" s="61" t="str">
        <f t="shared" si="466"/>
        <v>C100097</v>
      </c>
      <c r="F1554" s="8" t="str">
        <f>"S100015"</f>
        <v>S100015</v>
      </c>
      <c r="G1554" s="9" t="str">
        <f>"Raw-Edge Bucket Hat"</f>
        <v>Raw-Edge Bucket Hat</v>
      </c>
      <c r="H1554" s="47"/>
      <c r="I1554" s="47"/>
      <c r="J1554" s="23">
        <v>947.1</v>
      </c>
      <c r="K1554" s="25">
        <v>144</v>
      </c>
      <c r="L1554" s="24">
        <v>524.17000000000007</v>
      </c>
      <c r="M1554" s="24">
        <f>J1554-L1554</f>
        <v>422.92999999999995</v>
      </c>
      <c r="N1554" s="53">
        <f>IF(J1554&lt;&gt;0,M1554/J1554,"")</f>
        <v>0.44655263435751236</v>
      </c>
      <c r="O1554" s="23">
        <v>0</v>
      </c>
      <c r="P1554" s="25">
        <v>0</v>
      </c>
      <c r="Q1554" s="24">
        <v>0</v>
      </c>
      <c r="R1554" s="24">
        <f>O1554-Q1554</f>
        <v>0</v>
      </c>
      <c r="S1554" s="53" t="str">
        <f>IF(O1554&lt;&gt;0,R1554/O1554,"")</f>
        <v/>
      </c>
      <c r="T1554" s="10"/>
      <c r="U1554" s="23">
        <v>2000.6200000000001</v>
      </c>
      <c r="V1554" s="25">
        <v>288</v>
      </c>
      <c r="W1554" s="24">
        <v>1048.3400000000001</v>
      </c>
      <c r="X1554" s="24">
        <f>U1554-W1554</f>
        <v>952.28</v>
      </c>
      <c r="Y1554" s="53">
        <f>IF(U1554&lt;&gt;0,X1554/U1554,"")</f>
        <v>0.47599244234287369</v>
      </c>
      <c r="Z1554" s="23">
        <v>0</v>
      </c>
      <c r="AA1554" s="25">
        <v>0</v>
      </c>
      <c r="AB1554" s="24">
        <v>0</v>
      </c>
      <c r="AC1554" s="24">
        <f t="shared" si="467"/>
        <v>0</v>
      </c>
      <c r="AD1554" s="53" t="str">
        <f t="shared" si="468"/>
        <v/>
      </c>
      <c r="AE1554" s="10"/>
    </row>
    <row r="1555" spans="1:31" x14ac:dyDescent="0.25">
      <c r="A1555" s="14" t="s">
        <v>109</v>
      </c>
      <c r="C1555" s="61" t="str">
        <f t="shared" si="466"/>
        <v>C100097</v>
      </c>
      <c r="F1555" s="8" t="str">
        <f>"S100016"</f>
        <v>S100016</v>
      </c>
      <c r="G1555" s="9" t="str">
        <f>"Mesh Bucket Hat"</f>
        <v>Mesh Bucket Hat</v>
      </c>
      <c r="H1555" s="47"/>
      <c r="I1555" s="47"/>
      <c r="J1555" s="23">
        <v>106.37</v>
      </c>
      <c r="K1555" s="25">
        <v>24</v>
      </c>
      <c r="L1555" s="24">
        <v>66</v>
      </c>
      <c r="M1555" s="24">
        <f>J1555-L1555</f>
        <v>40.370000000000005</v>
      </c>
      <c r="N1555" s="53">
        <f>IF(J1555&lt;&gt;0,M1555/J1555,"")</f>
        <v>0.37952430196483972</v>
      </c>
      <c r="O1555" s="23">
        <v>0</v>
      </c>
      <c r="P1555" s="25">
        <v>0</v>
      </c>
      <c r="Q1555" s="24">
        <v>0</v>
      </c>
      <c r="R1555" s="24">
        <f>O1555-Q1555</f>
        <v>0</v>
      </c>
      <c r="S1555" s="53" t="str">
        <f>IF(O1555&lt;&gt;0,R1555/O1555,"")</f>
        <v/>
      </c>
      <c r="T1555" s="10"/>
      <c r="U1555" s="23">
        <v>1290.8200000000002</v>
      </c>
      <c r="V1555" s="25">
        <v>288</v>
      </c>
      <c r="W1555" s="24">
        <v>792.02</v>
      </c>
      <c r="X1555" s="24">
        <f>U1555-W1555</f>
        <v>498.80000000000018</v>
      </c>
      <c r="Y1555" s="53">
        <f>IF(U1555&lt;&gt;0,X1555/U1555,"")</f>
        <v>0.38642103469112665</v>
      </c>
      <c r="Z1555" s="23">
        <v>4.83</v>
      </c>
      <c r="AA1555" s="25">
        <v>1</v>
      </c>
      <c r="AB1555" s="24">
        <v>2.75</v>
      </c>
      <c r="AC1555" s="24">
        <f t="shared" si="467"/>
        <v>2.08</v>
      </c>
      <c r="AD1555" s="53">
        <f t="shared" si="468"/>
        <v>0.43064182194616979</v>
      </c>
      <c r="AE1555" s="10"/>
    </row>
    <row r="1556" spans="1:31" x14ac:dyDescent="0.25">
      <c r="A1556" s="14" t="s">
        <v>109</v>
      </c>
      <c r="C1556" s="61" t="str">
        <f t="shared" si="466"/>
        <v>C100097</v>
      </c>
      <c r="F1556" s="8" t="str">
        <f>"S100017"</f>
        <v>S100017</v>
      </c>
      <c r="G1556" s="9" t="str">
        <f>"Microfiber Bucket Hat"</f>
        <v>Microfiber Bucket Hat</v>
      </c>
      <c r="H1556" s="47"/>
      <c r="I1556" s="47"/>
      <c r="J1556" s="23">
        <v>2061.6799999999998</v>
      </c>
      <c r="K1556" s="25">
        <v>288</v>
      </c>
      <c r="L1556" s="24">
        <v>1370.8700000000001</v>
      </c>
      <c r="M1556" s="24">
        <f>J1556-L1556</f>
        <v>690.80999999999972</v>
      </c>
      <c r="N1556" s="53">
        <f>IF(J1556&lt;&gt;0,M1556/J1556,"")</f>
        <v>0.33507139808311659</v>
      </c>
      <c r="O1556" s="23">
        <v>0</v>
      </c>
      <c r="P1556" s="25">
        <v>0</v>
      </c>
      <c r="Q1556" s="24">
        <v>0</v>
      </c>
      <c r="R1556" s="24">
        <f>O1556-Q1556</f>
        <v>0</v>
      </c>
      <c r="S1556" s="53" t="str">
        <f>IF(O1556&lt;&gt;0,R1556/O1556,"")</f>
        <v/>
      </c>
      <c r="T1556" s="10"/>
      <c r="U1556" s="23">
        <v>1041.47</v>
      </c>
      <c r="V1556" s="25">
        <v>144</v>
      </c>
      <c r="W1556" s="24">
        <v>685.44</v>
      </c>
      <c r="X1556" s="24">
        <f>U1556-W1556</f>
        <v>356.03</v>
      </c>
      <c r="Y1556" s="53">
        <f>IF(U1556&lt;&gt;0,X1556/U1556,"")</f>
        <v>0.34185334191095273</v>
      </c>
      <c r="Z1556" s="23">
        <v>0</v>
      </c>
      <c r="AA1556" s="25">
        <v>0</v>
      </c>
      <c r="AB1556" s="24">
        <v>0</v>
      </c>
      <c r="AC1556" s="24">
        <f t="shared" si="467"/>
        <v>0</v>
      </c>
      <c r="AD1556" s="53" t="str">
        <f t="shared" si="468"/>
        <v/>
      </c>
      <c r="AE1556" s="10"/>
    </row>
    <row r="1557" spans="1:31" x14ac:dyDescent="0.25">
      <c r="A1557" s="14" t="s">
        <v>109</v>
      </c>
      <c r="C1557" s="61" t="str">
        <f t="shared" si="466"/>
        <v>C100097</v>
      </c>
      <c r="F1557" s="8" t="str">
        <f>"S100018"</f>
        <v>S100018</v>
      </c>
      <c r="G1557" s="9" t="str">
        <f>"Crusher Bucket Hat"</f>
        <v>Crusher Bucket Hat</v>
      </c>
      <c r="H1557" s="47"/>
      <c r="I1557" s="47"/>
      <c r="J1557" s="23">
        <v>0</v>
      </c>
      <c r="K1557" s="25">
        <v>0</v>
      </c>
      <c r="L1557" s="24">
        <v>0</v>
      </c>
      <c r="M1557" s="24">
        <f>J1557-L1557</f>
        <v>0</v>
      </c>
      <c r="N1557" s="53" t="str">
        <f>IF(J1557&lt;&gt;0,M1557/J1557,"")</f>
        <v/>
      </c>
      <c r="O1557" s="23">
        <v>2048</v>
      </c>
      <c r="P1557" s="25">
        <v>289</v>
      </c>
      <c r="Q1557" s="24">
        <v>1011.5</v>
      </c>
      <c r="R1557" s="24">
        <f>O1557-Q1557</f>
        <v>1036.5</v>
      </c>
      <c r="S1557" s="53">
        <f>IF(O1557&lt;&gt;0,R1557/O1557,"")</f>
        <v>0.506103515625</v>
      </c>
      <c r="T1557" s="10"/>
      <c r="U1557" s="23">
        <v>0</v>
      </c>
      <c r="V1557" s="25">
        <v>0</v>
      </c>
      <c r="W1557" s="24">
        <v>0</v>
      </c>
      <c r="X1557" s="24">
        <f>U1557-W1557</f>
        <v>0</v>
      </c>
      <c r="Y1557" s="53" t="str">
        <f>IF(U1557&lt;&gt;0,X1557/U1557,"")</f>
        <v/>
      </c>
      <c r="Z1557" s="23">
        <v>0</v>
      </c>
      <c r="AA1557" s="25">
        <v>0</v>
      </c>
      <c r="AB1557" s="24">
        <v>0</v>
      </c>
      <c r="AC1557" s="24">
        <f t="shared" si="467"/>
        <v>0</v>
      </c>
      <c r="AD1557" s="53" t="str">
        <f t="shared" si="468"/>
        <v/>
      </c>
      <c r="AE1557" s="10"/>
    </row>
    <row r="1558" spans="1:31" x14ac:dyDescent="0.25">
      <c r="A1558" s="14" t="s">
        <v>109</v>
      </c>
      <c r="C1558" s="61" t="str">
        <f t="shared" si="466"/>
        <v>C100097</v>
      </c>
      <c r="F1558" s="8" t="str">
        <f>"S100019"</f>
        <v>S100019</v>
      </c>
      <c r="G1558" s="9" t="str">
        <f>"Sportsman Bucket Hat"</f>
        <v>Sportsman Bucket Hat</v>
      </c>
      <c r="H1558" s="47"/>
      <c r="I1558" s="47"/>
      <c r="J1558" s="23">
        <v>588.25</v>
      </c>
      <c r="K1558" s="25">
        <v>144</v>
      </c>
      <c r="L1558" s="24">
        <v>349.93</v>
      </c>
      <c r="M1558" s="24">
        <f>J1558-L1558</f>
        <v>238.32</v>
      </c>
      <c r="N1558" s="53">
        <f>IF(J1558&lt;&gt;0,M1558/J1558,"")</f>
        <v>0.40513387165320863</v>
      </c>
      <c r="O1558" s="23">
        <v>645.58000000000004</v>
      </c>
      <c r="P1558" s="25">
        <v>145</v>
      </c>
      <c r="Q1558" s="24">
        <v>352.36</v>
      </c>
      <c r="R1558" s="24">
        <f>O1558-Q1558</f>
        <v>293.22000000000003</v>
      </c>
      <c r="S1558" s="53">
        <f>IF(O1558&lt;&gt;0,R1558/O1558,"")</f>
        <v>0.45419622664890485</v>
      </c>
      <c r="T1558" s="10"/>
      <c r="U1558" s="23">
        <v>0</v>
      </c>
      <c r="V1558" s="25">
        <v>0</v>
      </c>
      <c r="W1558" s="24">
        <v>0</v>
      </c>
      <c r="X1558" s="24">
        <f>U1558-W1558</f>
        <v>0</v>
      </c>
      <c r="Y1558" s="53" t="str">
        <f>IF(U1558&lt;&gt;0,X1558/U1558,"")</f>
        <v/>
      </c>
      <c r="Z1558" s="23">
        <v>641.13</v>
      </c>
      <c r="AA1558" s="25">
        <v>144</v>
      </c>
      <c r="AB1558" s="24">
        <v>349.93</v>
      </c>
      <c r="AC1558" s="24">
        <f t="shared" si="467"/>
        <v>291.2</v>
      </c>
      <c r="AD1558" s="53">
        <f t="shared" si="468"/>
        <v>0.45419805655639262</v>
      </c>
      <c r="AE1558" s="10"/>
    </row>
    <row r="1559" spans="1:31" x14ac:dyDescent="0.25">
      <c r="A1559" s="14" t="s">
        <v>109</v>
      </c>
      <c r="C1559" s="61" t="str">
        <f t="shared" si="466"/>
        <v>C100097</v>
      </c>
      <c r="F1559" s="8" t="str">
        <f>"S100020"</f>
        <v>S100020</v>
      </c>
      <c r="G1559" s="9" t="str">
        <f>"Super Sport Stopwatch"</f>
        <v>Super Sport Stopwatch</v>
      </c>
      <c r="H1559" s="47"/>
      <c r="I1559" s="47"/>
      <c r="J1559" s="23">
        <v>583.89</v>
      </c>
      <c r="K1559" s="25">
        <v>288</v>
      </c>
      <c r="L1559" s="24">
        <v>302.39999999999998</v>
      </c>
      <c r="M1559" s="24">
        <f>J1559-L1559</f>
        <v>281.49</v>
      </c>
      <c r="N1559" s="53">
        <f>IF(J1559&lt;&gt;0,M1559/J1559,"")</f>
        <v>0.48209423007758312</v>
      </c>
      <c r="O1559" s="23">
        <v>0</v>
      </c>
      <c r="P1559" s="25">
        <v>0</v>
      </c>
      <c r="Q1559" s="24">
        <v>0</v>
      </c>
      <c r="R1559" s="24">
        <f>O1559-Q1559</f>
        <v>0</v>
      </c>
      <c r="S1559" s="53" t="str">
        <f>IF(O1559&lt;&gt;0,R1559/O1559,"")</f>
        <v/>
      </c>
      <c r="T1559" s="10"/>
      <c r="U1559" s="23">
        <v>0</v>
      </c>
      <c r="V1559" s="25">
        <v>0</v>
      </c>
      <c r="W1559" s="24">
        <v>0</v>
      </c>
      <c r="X1559" s="24">
        <f>U1559-W1559</f>
        <v>0</v>
      </c>
      <c r="Y1559" s="53" t="str">
        <f>IF(U1559&lt;&gt;0,X1559/U1559,"")</f>
        <v/>
      </c>
      <c r="Z1559" s="23">
        <v>0</v>
      </c>
      <c r="AA1559" s="25">
        <v>0</v>
      </c>
      <c r="AB1559" s="24">
        <v>0</v>
      </c>
      <c r="AC1559" s="24">
        <f t="shared" si="467"/>
        <v>0</v>
      </c>
      <c r="AD1559" s="53" t="str">
        <f t="shared" si="468"/>
        <v/>
      </c>
      <c r="AE1559" s="10"/>
    </row>
    <row r="1560" spans="1:31" x14ac:dyDescent="0.25">
      <c r="A1560" s="14" t="s">
        <v>109</v>
      </c>
      <c r="C1560" s="61" t="str">
        <f t="shared" si="466"/>
        <v>C100097</v>
      </c>
      <c r="F1560" s="8" t="str">
        <f>"S100021"</f>
        <v>S100021</v>
      </c>
      <c r="G1560" s="9" t="str">
        <f>"Translucent Stopwatch"</f>
        <v>Translucent Stopwatch</v>
      </c>
      <c r="H1560" s="47"/>
      <c r="I1560" s="47"/>
      <c r="J1560" s="23">
        <v>1115.23</v>
      </c>
      <c r="K1560" s="25">
        <v>289</v>
      </c>
      <c r="L1560" s="24">
        <v>621.32999999999993</v>
      </c>
      <c r="M1560" s="24">
        <f>J1560-L1560</f>
        <v>493.90000000000009</v>
      </c>
      <c r="N1560" s="53">
        <f>IF(J1560&lt;&gt;0,M1560/J1560,"")</f>
        <v>0.44286828725913047</v>
      </c>
      <c r="O1560" s="23">
        <v>0</v>
      </c>
      <c r="P1560" s="25">
        <v>0</v>
      </c>
      <c r="Q1560" s="24">
        <v>0</v>
      </c>
      <c r="R1560" s="24">
        <f>O1560-Q1560</f>
        <v>0</v>
      </c>
      <c r="S1560" s="53" t="str">
        <f>IF(O1560&lt;&gt;0,R1560/O1560,"")</f>
        <v/>
      </c>
      <c r="T1560" s="10"/>
      <c r="U1560" s="23">
        <v>195.22</v>
      </c>
      <c r="V1560" s="25">
        <v>48</v>
      </c>
      <c r="W1560" s="24">
        <v>103.2</v>
      </c>
      <c r="X1560" s="24">
        <f>U1560-W1560</f>
        <v>92.02</v>
      </c>
      <c r="Y1560" s="53">
        <f>IF(U1560&lt;&gt;0,X1560/U1560,"")</f>
        <v>0.47136563876651982</v>
      </c>
      <c r="Z1560" s="23">
        <v>583.70000000000005</v>
      </c>
      <c r="AA1560" s="25">
        <v>145</v>
      </c>
      <c r="AB1560" s="24">
        <v>311.74</v>
      </c>
      <c r="AC1560" s="24">
        <f t="shared" si="467"/>
        <v>271.96000000000004</v>
      </c>
      <c r="AD1560" s="53">
        <f t="shared" si="468"/>
        <v>0.46592427616926507</v>
      </c>
      <c r="AE1560" s="10"/>
    </row>
    <row r="1561" spans="1:31" ht="15.75" thickBot="1" x14ac:dyDescent="0.3">
      <c r="A1561" s="14" t="s">
        <v>109</v>
      </c>
      <c r="C1561" s="61" t="str">
        <f>C1514</f>
        <v>C100097</v>
      </c>
      <c r="J1561" s="10"/>
      <c r="K1561" s="11"/>
      <c r="L1561" s="11"/>
      <c r="M1561" s="11"/>
      <c r="N1561" s="12"/>
      <c r="O1561" s="10"/>
      <c r="P1561" s="11"/>
      <c r="Q1561" s="11"/>
      <c r="R1561" s="11"/>
      <c r="S1561" s="12"/>
      <c r="U1561" s="10"/>
      <c r="V1561" s="11"/>
      <c r="W1561" s="11"/>
      <c r="X1561" s="11"/>
      <c r="Y1561" s="12"/>
      <c r="Z1561" s="10"/>
      <c r="AA1561" s="11"/>
      <c r="AB1561" s="11"/>
      <c r="AC1561" s="11"/>
      <c r="AD1561" s="12"/>
    </row>
    <row r="1562" spans="1:31" ht="15.75" thickBot="1" x14ac:dyDescent="0.3">
      <c r="A1562" s="14" t="s">
        <v>109</v>
      </c>
      <c r="C1562" s="61" t="str">
        <f t="shared" si="463"/>
        <v>C100097</v>
      </c>
      <c r="G1562" s="48" t="str">
        <f>C1562&amp;" TOTAL:"</f>
        <v>C100097 TOTAL:</v>
      </c>
      <c r="H1562" s="50"/>
      <c r="I1562" s="50"/>
      <c r="J1562" s="34">
        <f>SUBTOTAL(9,J1513:J1561)</f>
        <v>39516.040000000008</v>
      </c>
      <c r="K1562" s="35">
        <f>SUBTOTAL(9,K1513:K1561)</f>
        <v>5034</v>
      </c>
      <c r="L1562" s="36">
        <f>SUBTOTAL(9,L1513:L1561)</f>
        <v>22935.479999999996</v>
      </c>
      <c r="M1562" s="36">
        <f>J1562-L1562</f>
        <v>16580.560000000012</v>
      </c>
      <c r="N1562" s="37">
        <f>IF(J1562&lt;&gt;0,M1562/J1562,"")</f>
        <v>0.41959062699602512</v>
      </c>
      <c r="O1562" s="34">
        <f>SUBTOTAL(9,O1513:O1561)</f>
        <v>58474.090000000011</v>
      </c>
      <c r="P1562" s="35">
        <f>SUBTOTAL(9,P1513:P1561)</f>
        <v>4447</v>
      </c>
      <c r="Q1562" s="36">
        <f>SUBTOTAL(9,Q1513:Q1561)</f>
        <v>30585.000000000011</v>
      </c>
      <c r="R1562" s="36">
        <f>O1562-Q1562</f>
        <v>27889.09</v>
      </c>
      <c r="S1562" s="37">
        <f>IF(O1562&lt;&gt;0,R1562/O1562,"")</f>
        <v>0.47694782424147164</v>
      </c>
      <c r="U1562" s="34">
        <f>SUBTOTAL(9,U1513:U1561)</f>
        <v>45414.04</v>
      </c>
      <c r="V1562" s="35">
        <f>SUBTOTAL(9,V1513:V1561)</f>
        <v>3173</v>
      </c>
      <c r="W1562" s="36">
        <f>SUBTOTAL(9,W1513:W1561)</f>
        <v>24937.35</v>
      </c>
      <c r="X1562" s="36">
        <f>U1562-W1562</f>
        <v>20476.690000000002</v>
      </c>
      <c r="Y1562" s="37">
        <f>IF(U1562&lt;&gt;0,X1562/U1562,"")</f>
        <v>0.45088897618445756</v>
      </c>
      <c r="Z1562" s="34">
        <f>SUBTOTAL(9,Z1513:Z1561)</f>
        <v>38001.86</v>
      </c>
      <c r="AA1562" s="35">
        <f>SUBTOTAL(9,AA1513:AA1561)</f>
        <v>3617</v>
      </c>
      <c r="AB1562" s="36">
        <f>SUBTOTAL(9,AB1513:AB1561)</f>
        <v>20115.670000000002</v>
      </c>
      <c r="AC1562" s="36">
        <f t="shared" ref="AC1562" si="469">Z1562-AB1562</f>
        <v>17886.189999999999</v>
      </c>
      <c r="AD1562" s="37">
        <f t="shared" ref="AD1562" si="470">IF(Z1562&lt;&gt;0,AC1562/Z1562,"")</f>
        <v>0.47066617265575944</v>
      </c>
    </row>
    <row r="1563" spans="1:31" x14ac:dyDescent="0.25">
      <c r="A1563" s="14" t="s">
        <v>109</v>
      </c>
      <c r="C1563" s="66"/>
      <c r="J1563" s="10"/>
      <c r="K1563" s="11"/>
      <c r="L1563" s="11"/>
      <c r="M1563" s="11"/>
      <c r="N1563" s="12"/>
      <c r="O1563" s="10"/>
      <c r="P1563" s="11"/>
      <c r="Q1563" s="11"/>
      <c r="R1563" s="11"/>
      <c r="S1563" s="12"/>
      <c r="U1563" s="10"/>
      <c r="V1563" s="11"/>
      <c r="W1563" s="11"/>
      <c r="X1563" s="11"/>
      <c r="Y1563" s="12"/>
      <c r="Z1563" s="10"/>
      <c r="AA1563" s="11"/>
      <c r="AB1563" s="11"/>
      <c r="AC1563" s="11"/>
      <c r="AD1563" s="12"/>
    </row>
    <row r="1564" spans="1:31" ht="15.75" x14ac:dyDescent="0.25">
      <c r="A1564" s="14" t="s">
        <v>109</v>
      </c>
      <c r="C1564" s="66" t="str">
        <f t="shared" ref="C1564" si="471">E1564</f>
        <v>C100098</v>
      </c>
      <c r="E1564" s="13" t="str">
        <f>"C100098"</f>
        <v>C100098</v>
      </c>
      <c r="F1564" s="13"/>
      <c r="G1564" s="13" t="str">
        <f>"BlackCane Motor Works"</f>
        <v>BlackCane Motor Works</v>
      </c>
      <c r="H1564" s="13"/>
      <c r="I1564" s="13"/>
      <c r="J1564" s="10"/>
      <c r="K1564" s="11"/>
      <c r="L1564" s="11"/>
      <c r="M1564" s="11"/>
      <c r="N1564" s="12"/>
      <c r="O1564" s="10"/>
      <c r="P1564" s="11"/>
      <c r="Q1564" s="11"/>
      <c r="R1564" s="11"/>
      <c r="S1564" s="12"/>
      <c r="U1564" s="10"/>
      <c r="V1564" s="11"/>
      <c r="W1564" s="11"/>
      <c r="X1564" s="11"/>
      <c r="Y1564" s="12"/>
      <c r="Z1564" s="10"/>
      <c r="AA1564" s="11"/>
      <c r="AB1564" s="11"/>
      <c r="AC1564" s="11"/>
      <c r="AD1564" s="12"/>
    </row>
    <row r="1565" spans="1:31" ht="6.6" customHeight="1" x14ac:dyDescent="0.25">
      <c r="A1565" s="14" t="s">
        <v>109</v>
      </c>
      <c r="C1565" s="61" t="str">
        <f t="shared" ref="C1565:C1593" si="472">C1564</f>
        <v>C100098</v>
      </c>
      <c r="J1565" s="10"/>
      <c r="K1565" s="11"/>
      <c r="L1565" s="11"/>
      <c r="M1565" s="11"/>
      <c r="N1565" s="12"/>
      <c r="O1565" s="10"/>
      <c r="P1565" s="11"/>
      <c r="Q1565" s="11"/>
      <c r="R1565" s="11"/>
      <c r="S1565" s="12"/>
      <c r="U1565" s="10"/>
      <c r="V1565" s="11"/>
      <c r="W1565" s="11"/>
      <c r="X1565" s="11"/>
      <c r="Y1565" s="12"/>
      <c r="Z1565" s="10"/>
      <c r="AA1565" s="11"/>
      <c r="AB1565" s="11"/>
      <c r="AC1565" s="11"/>
      <c r="AD1565" s="12"/>
    </row>
    <row r="1566" spans="1:31" x14ac:dyDescent="0.25">
      <c r="A1566" s="14" t="s">
        <v>109</v>
      </c>
      <c r="C1566" s="61" t="str">
        <f t="shared" si="472"/>
        <v>C100098</v>
      </c>
      <c r="F1566" s="8" t="str">
        <f>"C100003"</f>
        <v>C100003</v>
      </c>
      <c r="G1566" s="9" t="str">
        <f>"Cherry Finish Frame"</f>
        <v>Cherry Finish Frame</v>
      </c>
      <c r="H1566" s="47"/>
      <c r="I1566" s="47"/>
      <c r="J1566" s="23">
        <v>3128.37</v>
      </c>
      <c r="K1566" s="25">
        <v>48</v>
      </c>
      <c r="L1566" s="24">
        <v>1566.72</v>
      </c>
      <c r="M1566" s="24">
        <f>J1566-L1566</f>
        <v>1561.6499999999999</v>
      </c>
      <c r="N1566" s="53">
        <f>IF(J1566&lt;&gt;0,M1566/J1566,"")</f>
        <v>0.49918967385571394</v>
      </c>
      <c r="O1566" s="23">
        <v>0</v>
      </c>
      <c r="P1566" s="25">
        <v>0</v>
      </c>
      <c r="Q1566" s="24">
        <v>0</v>
      </c>
      <c r="R1566" s="24">
        <f>O1566-Q1566</f>
        <v>0</v>
      </c>
      <c r="S1566" s="53" t="str">
        <f>IF(O1566&lt;&gt;0,R1566/O1566,"")</f>
        <v/>
      </c>
      <c r="T1566" s="10"/>
      <c r="U1566" s="23">
        <v>0</v>
      </c>
      <c r="V1566" s="25">
        <v>0</v>
      </c>
      <c r="W1566" s="24">
        <v>0</v>
      </c>
      <c r="X1566" s="24">
        <f>U1566-W1566</f>
        <v>0</v>
      </c>
      <c r="Y1566" s="53" t="str">
        <f>IF(U1566&lt;&gt;0,X1566/U1566,"")</f>
        <v/>
      </c>
      <c r="Z1566" s="23">
        <v>0</v>
      </c>
      <c r="AA1566" s="25">
        <v>0</v>
      </c>
      <c r="AB1566" s="24">
        <v>0</v>
      </c>
      <c r="AC1566" s="24">
        <f t="shared" ref="AC1566" si="473">Z1566-AB1566</f>
        <v>0</v>
      </c>
      <c r="AD1566" s="53" t="str">
        <f t="shared" ref="AD1566" si="474">IF(Z1566&lt;&gt;0,AC1566/Z1566,"")</f>
        <v/>
      </c>
      <c r="AE1566" s="10"/>
    </row>
    <row r="1567" spans="1:31" x14ac:dyDescent="0.25">
      <c r="A1567" s="14" t="s">
        <v>109</v>
      </c>
      <c r="C1567" s="61" t="str">
        <f t="shared" ref="C1567:C1591" si="475">C1566</f>
        <v>C100098</v>
      </c>
      <c r="F1567" s="8" t="str">
        <f>"C100005"</f>
        <v>C100005</v>
      </c>
      <c r="G1567" s="9" t="str">
        <f>"Cherry Finished Crystal Award"</f>
        <v>Cherry Finished Crystal Award</v>
      </c>
      <c r="H1567" s="47"/>
      <c r="I1567" s="47"/>
      <c r="J1567" s="23">
        <v>0</v>
      </c>
      <c r="K1567" s="25">
        <v>0</v>
      </c>
      <c r="L1567" s="24">
        <v>0</v>
      </c>
      <c r="M1567" s="24">
        <f>J1567-L1567</f>
        <v>0</v>
      </c>
      <c r="N1567" s="53" t="str">
        <f>IF(J1567&lt;&gt;0,M1567/J1567,"")</f>
        <v/>
      </c>
      <c r="O1567" s="23">
        <v>6539.4999999999991</v>
      </c>
      <c r="P1567" s="25">
        <v>48</v>
      </c>
      <c r="Q1567" s="24">
        <v>3404.64</v>
      </c>
      <c r="R1567" s="24">
        <f>O1567-Q1567</f>
        <v>3134.8599999999992</v>
      </c>
      <c r="S1567" s="53">
        <f>IF(O1567&lt;&gt;0,R1567/O1567,"")</f>
        <v>0.47937304075235104</v>
      </c>
      <c r="T1567" s="10"/>
      <c r="U1567" s="23">
        <v>6539.4999999999991</v>
      </c>
      <c r="V1567" s="25">
        <v>48</v>
      </c>
      <c r="W1567" s="24">
        <v>3404.64</v>
      </c>
      <c r="X1567" s="24">
        <f>U1567-W1567</f>
        <v>3134.8599999999992</v>
      </c>
      <c r="Y1567" s="53">
        <f>IF(U1567&lt;&gt;0,X1567/U1567,"")</f>
        <v>0.47937304075235104</v>
      </c>
      <c r="Z1567" s="23">
        <v>0</v>
      </c>
      <c r="AA1567" s="25">
        <v>0</v>
      </c>
      <c r="AB1567" s="24">
        <v>0</v>
      </c>
      <c r="AC1567" s="24">
        <f t="shared" ref="AC1567:AC1591" si="476">Z1567-AB1567</f>
        <v>0</v>
      </c>
      <c r="AD1567" s="53" t="str">
        <f t="shared" ref="AD1567:AD1591" si="477">IF(Z1567&lt;&gt;0,AC1567/Z1567,"")</f>
        <v/>
      </c>
      <c r="AE1567" s="10"/>
    </row>
    <row r="1568" spans="1:31" x14ac:dyDescent="0.25">
      <c r="A1568" s="14" t="s">
        <v>109</v>
      </c>
      <c r="C1568" s="61" t="str">
        <f t="shared" si="475"/>
        <v>C100098</v>
      </c>
      <c r="F1568" s="8" t="str">
        <f>"C100006"</f>
        <v>C100006</v>
      </c>
      <c r="G1568" s="9" t="str">
        <f>"Cherry Finished Crystal Award- Large"</f>
        <v>Cherry Finished Crystal Award- Large</v>
      </c>
      <c r="H1568" s="47"/>
      <c r="I1568" s="47"/>
      <c r="J1568" s="23">
        <v>9634.869999999999</v>
      </c>
      <c r="K1568" s="25">
        <v>48</v>
      </c>
      <c r="L1568" s="24">
        <v>4561.92</v>
      </c>
      <c r="M1568" s="24">
        <f>J1568-L1568</f>
        <v>5072.9499999999989</v>
      </c>
      <c r="N1568" s="53">
        <f>IF(J1568&lt;&gt;0,M1568/J1568,"")</f>
        <v>0.52651981811897819</v>
      </c>
      <c r="O1568" s="23">
        <v>0</v>
      </c>
      <c r="P1568" s="25">
        <v>0</v>
      </c>
      <c r="Q1568" s="24">
        <v>0</v>
      </c>
      <c r="R1568" s="24">
        <f>O1568-Q1568</f>
        <v>0</v>
      </c>
      <c r="S1568" s="53" t="str">
        <f>IF(O1568&lt;&gt;0,R1568/O1568,"")</f>
        <v/>
      </c>
      <c r="T1568" s="10"/>
      <c r="U1568" s="23">
        <v>0</v>
      </c>
      <c r="V1568" s="25">
        <v>0</v>
      </c>
      <c r="W1568" s="24">
        <v>0</v>
      </c>
      <c r="X1568" s="24">
        <f>U1568-W1568</f>
        <v>0</v>
      </c>
      <c r="Y1568" s="53" t="str">
        <f>IF(U1568&lt;&gt;0,X1568/U1568,"")</f>
        <v/>
      </c>
      <c r="Z1568" s="23">
        <v>0</v>
      </c>
      <c r="AA1568" s="25">
        <v>0</v>
      </c>
      <c r="AB1568" s="24">
        <v>0</v>
      </c>
      <c r="AC1568" s="24">
        <f t="shared" si="476"/>
        <v>0</v>
      </c>
      <c r="AD1568" s="53" t="str">
        <f t="shared" si="477"/>
        <v/>
      </c>
      <c r="AE1568" s="10"/>
    </row>
    <row r="1569" spans="1:31" x14ac:dyDescent="0.25">
      <c r="A1569" s="14" t="s">
        <v>109</v>
      </c>
      <c r="C1569" s="61" t="str">
        <f t="shared" si="475"/>
        <v>C100098</v>
      </c>
      <c r="F1569" s="8" t="str">
        <f>"C100017"</f>
        <v>C100017</v>
      </c>
      <c r="G1569" s="9" t="str">
        <f>"Wheeled Duffel"</f>
        <v>Wheeled Duffel</v>
      </c>
      <c r="H1569" s="47"/>
      <c r="I1569" s="47"/>
      <c r="J1569" s="23">
        <v>0</v>
      </c>
      <c r="K1569" s="25">
        <v>0</v>
      </c>
      <c r="L1569" s="24">
        <v>0</v>
      </c>
      <c r="M1569" s="24">
        <f>J1569-L1569</f>
        <v>0</v>
      </c>
      <c r="N1569" s="53" t="str">
        <f>IF(J1569&lt;&gt;0,M1569/J1569,"")</f>
        <v/>
      </c>
      <c r="O1569" s="23">
        <v>4547.12</v>
      </c>
      <c r="P1569" s="25">
        <v>24</v>
      </c>
      <c r="Q1569" s="24">
        <v>2429.2800000000002</v>
      </c>
      <c r="R1569" s="24">
        <f>O1569-Q1569</f>
        <v>2117.8399999999997</v>
      </c>
      <c r="S1569" s="53">
        <f>IF(O1569&lt;&gt;0,R1569/O1569,"")</f>
        <v>0.46575414768028989</v>
      </c>
      <c r="T1569" s="10"/>
      <c r="U1569" s="23">
        <v>0</v>
      </c>
      <c r="V1569" s="25">
        <v>0</v>
      </c>
      <c r="W1569" s="24">
        <v>0</v>
      </c>
      <c r="X1569" s="24">
        <f>U1569-W1569</f>
        <v>0</v>
      </c>
      <c r="Y1569" s="53" t="str">
        <f>IF(U1569&lt;&gt;0,X1569/U1569,"")</f>
        <v/>
      </c>
      <c r="Z1569" s="23">
        <v>9094.24</v>
      </c>
      <c r="AA1569" s="25">
        <v>48</v>
      </c>
      <c r="AB1569" s="24">
        <v>4858.5600000000004</v>
      </c>
      <c r="AC1569" s="24">
        <f t="shared" si="476"/>
        <v>4235.6799999999994</v>
      </c>
      <c r="AD1569" s="53">
        <f t="shared" si="477"/>
        <v>0.46575414768028989</v>
      </c>
      <c r="AE1569" s="10"/>
    </row>
    <row r="1570" spans="1:31" x14ac:dyDescent="0.25">
      <c r="A1570" s="14" t="s">
        <v>109</v>
      </c>
      <c r="C1570" s="61" t="str">
        <f t="shared" si="475"/>
        <v>C100098</v>
      </c>
      <c r="F1570" s="8" t="str">
        <f>"C100022"</f>
        <v>C100022</v>
      </c>
      <c r="G1570" s="9" t="str">
        <f>"Two-Toned Cap"</f>
        <v>Two-Toned Cap</v>
      </c>
      <c r="H1570" s="47"/>
      <c r="I1570" s="47"/>
      <c r="J1570" s="23">
        <v>0</v>
      </c>
      <c r="K1570" s="25">
        <v>0</v>
      </c>
      <c r="L1570" s="24">
        <v>0</v>
      </c>
      <c r="M1570" s="24">
        <f>J1570-L1570</f>
        <v>0</v>
      </c>
      <c r="N1570" s="53" t="str">
        <f>IF(J1570&lt;&gt;0,M1570/J1570,"")</f>
        <v/>
      </c>
      <c r="O1570" s="23">
        <v>451.58000000000004</v>
      </c>
      <c r="P1570" s="25">
        <v>144</v>
      </c>
      <c r="Q1570" s="24">
        <v>231.82999999999998</v>
      </c>
      <c r="R1570" s="24">
        <f>O1570-Q1570</f>
        <v>219.75000000000006</v>
      </c>
      <c r="S1570" s="53">
        <f>IF(O1570&lt;&gt;0,R1570/O1570,"")</f>
        <v>0.4866247398024714</v>
      </c>
      <c r="T1570" s="10"/>
      <c r="U1570" s="23">
        <v>3.14</v>
      </c>
      <c r="V1570" s="25">
        <v>1</v>
      </c>
      <c r="W1570" s="24">
        <v>1.61</v>
      </c>
      <c r="X1570" s="24">
        <f>U1570-W1570</f>
        <v>1.53</v>
      </c>
      <c r="Y1570" s="53">
        <f>IF(U1570&lt;&gt;0,X1570/U1570,"")</f>
        <v>0.48726114649681529</v>
      </c>
      <c r="Z1570" s="23">
        <v>0</v>
      </c>
      <c r="AA1570" s="25">
        <v>0</v>
      </c>
      <c r="AB1570" s="24">
        <v>0</v>
      </c>
      <c r="AC1570" s="24">
        <f t="shared" si="476"/>
        <v>0</v>
      </c>
      <c r="AD1570" s="53" t="str">
        <f t="shared" si="477"/>
        <v/>
      </c>
      <c r="AE1570" s="10"/>
    </row>
    <row r="1571" spans="1:31" x14ac:dyDescent="0.25">
      <c r="A1571" s="14" t="s">
        <v>109</v>
      </c>
      <c r="C1571" s="61" t="str">
        <f t="shared" si="475"/>
        <v>C100098</v>
      </c>
      <c r="F1571" s="8" t="str">
        <f>"C100023"</f>
        <v>C100023</v>
      </c>
      <c r="G1571" s="9" t="str">
        <f>"Two-Toned Knit Hat"</f>
        <v>Two-Toned Knit Hat</v>
      </c>
      <c r="H1571" s="47"/>
      <c r="I1571" s="47"/>
      <c r="J1571" s="23">
        <v>0</v>
      </c>
      <c r="K1571" s="25">
        <v>0</v>
      </c>
      <c r="L1571" s="24">
        <v>0</v>
      </c>
      <c r="M1571" s="24">
        <f>J1571-L1571</f>
        <v>0</v>
      </c>
      <c r="N1571" s="53" t="str">
        <f>IF(J1571&lt;&gt;0,M1571/J1571,"")</f>
        <v/>
      </c>
      <c r="O1571" s="23">
        <v>5.26</v>
      </c>
      <c r="P1571" s="25">
        <v>2</v>
      </c>
      <c r="Q1571" s="24">
        <v>2.52</v>
      </c>
      <c r="R1571" s="24">
        <f>O1571-Q1571</f>
        <v>2.7399999999999998</v>
      </c>
      <c r="S1571" s="53">
        <f>IF(O1571&lt;&gt;0,R1571/O1571,"")</f>
        <v>0.52091254752851712</v>
      </c>
      <c r="T1571" s="10"/>
      <c r="U1571" s="23">
        <v>63.03</v>
      </c>
      <c r="V1571" s="25">
        <v>24</v>
      </c>
      <c r="W1571" s="24">
        <v>30.24</v>
      </c>
      <c r="X1571" s="24">
        <f>U1571-W1571</f>
        <v>32.790000000000006</v>
      </c>
      <c r="Y1571" s="53">
        <f>IF(U1571&lt;&gt;0,X1571/U1571,"")</f>
        <v>0.52022846263683964</v>
      </c>
      <c r="Z1571" s="23">
        <v>0</v>
      </c>
      <c r="AA1571" s="25">
        <v>0</v>
      </c>
      <c r="AB1571" s="24">
        <v>0</v>
      </c>
      <c r="AC1571" s="24">
        <f t="shared" si="476"/>
        <v>0</v>
      </c>
      <c r="AD1571" s="53" t="str">
        <f t="shared" si="477"/>
        <v/>
      </c>
      <c r="AE1571" s="10"/>
    </row>
    <row r="1572" spans="1:31" x14ac:dyDescent="0.25">
      <c r="A1572" s="14" t="s">
        <v>109</v>
      </c>
      <c r="C1572" s="61" t="str">
        <f t="shared" si="475"/>
        <v>C100098</v>
      </c>
      <c r="F1572" s="8" t="str">
        <f>"C100025"</f>
        <v>C100025</v>
      </c>
      <c r="G1572" s="9" t="str">
        <f>"Striped Knit Hat"</f>
        <v>Striped Knit Hat</v>
      </c>
      <c r="H1572" s="47"/>
      <c r="I1572" s="47"/>
      <c r="J1572" s="23">
        <v>411.96</v>
      </c>
      <c r="K1572" s="25">
        <v>144</v>
      </c>
      <c r="L1572" s="24">
        <v>198.72</v>
      </c>
      <c r="M1572" s="24">
        <f>J1572-L1572</f>
        <v>213.23999999999998</v>
      </c>
      <c r="N1572" s="53">
        <f>IF(J1572&lt;&gt;0,M1572/J1572,"")</f>
        <v>0.51762307020099041</v>
      </c>
      <c r="O1572" s="23">
        <v>1261.6199999999999</v>
      </c>
      <c r="P1572" s="25">
        <v>432</v>
      </c>
      <c r="Q1572" s="24">
        <v>596.17000000000007</v>
      </c>
      <c r="R1572" s="24">
        <f>O1572-Q1572</f>
        <v>665.44999999999982</v>
      </c>
      <c r="S1572" s="53">
        <f>IF(O1572&lt;&gt;0,R1572/O1572,"")</f>
        <v>0.52745676194099644</v>
      </c>
      <c r="T1572" s="10"/>
      <c r="U1572" s="23">
        <v>0</v>
      </c>
      <c r="V1572" s="25">
        <v>0</v>
      </c>
      <c r="W1572" s="24">
        <v>0</v>
      </c>
      <c r="X1572" s="24">
        <f>U1572-W1572</f>
        <v>0</v>
      </c>
      <c r="Y1572" s="53" t="str">
        <f>IF(U1572&lt;&gt;0,X1572/U1572,"")</f>
        <v/>
      </c>
      <c r="Z1572" s="23">
        <v>70.09</v>
      </c>
      <c r="AA1572" s="25">
        <v>24</v>
      </c>
      <c r="AB1572" s="24">
        <v>33.119999999999997</v>
      </c>
      <c r="AC1572" s="24">
        <f t="shared" si="476"/>
        <v>36.970000000000006</v>
      </c>
      <c r="AD1572" s="53">
        <f t="shared" si="477"/>
        <v>0.52746468825795412</v>
      </c>
      <c r="AE1572" s="10"/>
    </row>
    <row r="1573" spans="1:31" x14ac:dyDescent="0.25">
      <c r="A1573" s="14" t="s">
        <v>109</v>
      </c>
      <c r="C1573" s="61" t="str">
        <f t="shared" si="475"/>
        <v>C100098</v>
      </c>
      <c r="F1573" s="8" t="str">
        <f>"C100029"</f>
        <v>C100029</v>
      </c>
      <c r="G1573" s="9" t="str">
        <f>"Distressed Twill Visor"</f>
        <v>Distressed Twill Visor</v>
      </c>
      <c r="H1573" s="47"/>
      <c r="I1573" s="47"/>
      <c r="J1573" s="23">
        <v>0</v>
      </c>
      <c r="K1573" s="25">
        <v>0</v>
      </c>
      <c r="L1573" s="24">
        <v>0</v>
      </c>
      <c r="M1573" s="24">
        <f>J1573-L1573</f>
        <v>0</v>
      </c>
      <c r="N1573" s="53" t="str">
        <f>IF(J1573&lt;&gt;0,M1573/J1573,"")</f>
        <v/>
      </c>
      <c r="O1573" s="23">
        <v>1608.77</v>
      </c>
      <c r="P1573" s="25">
        <v>480</v>
      </c>
      <c r="Q1573" s="24">
        <v>993.63000000000011</v>
      </c>
      <c r="R1573" s="24">
        <f>O1573-Q1573</f>
        <v>615.13999999999987</v>
      </c>
      <c r="S1573" s="53">
        <f>IF(O1573&lt;&gt;0,R1573/O1573,"")</f>
        <v>0.38236665278442528</v>
      </c>
      <c r="T1573" s="10"/>
      <c r="U1573" s="23">
        <v>0</v>
      </c>
      <c r="V1573" s="25">
        <v>0</v>
      </c>
      <c r="W1573" s="24">
        <v>0</v>
      </c>
      <c r="X1573" s="24">
        <f>U1573-W1573</f>
        <v>0</v>
      </c>
      <c r="Y1573" s="53" t="str">
        <f>IF(U1573&lt;&gt;0,X1573/U1573,"")</f>
        <v/>
      </c>
      <c r="Z1573" s="23">
        <v>160.88</v>
      </c>
      <c r="AA1573" s="25">
        <v>48</v>
      </c>
      <c r="AB1573" s="24">
        <v>99.36</v>
      </c>
      <c r="AC1573" s="24">
        <f t="shared" si="476"/>
        <v>61.519999999999996</v>
      </c>
      <c r="AD1573" s="53">
        <f t="shared" si="477"/>
        <v>0.38239681750372945</v>
      </c>
      <c r="AE1573" s="10"/>
    </row>
    <row r="1574" spans="1:31" x14ac:dyDescent="0.25">
      <c r="A1574" s="14" t="s">
        <v>109</v>
      </c>
      <c r="C1574" s="61" t="str">
        <f t="shared" si="475"/>
        <v>C100098</v>
      </c>
      <c r="F1574" s="8" t="str">
        <f>"C100031"</f>
        <v>C100031</v>
      </c>
      <c r="G1574" s="9" t="str">
        <f>"Carabiner Watch"</f>
        <v>Carabiner Watch</v>
      </c>
      <c r="H1574" s="47"/>
      <c r="I1574" s="47"/>
      <c r="J1574" s="23">
        <v>0</v>
      </c>
      <c r="K1574" s="25">
        <v>0</v>
      </c>
      <c r="L1574" s="24">
        <v>0</v>
      </c>
      <c r="M1574" s="24">
        <f>J1574-L1574</f>
        <v>0</v>
      </c>
      <c r="N1574" s="53" t="str">
        <f>IF(J1574&lt;&gt;0,M1574/J1574,"")</f>
        <v/>
      </c>
      <c r="O1574" s="23">
        <v>2664.3500000000004</v>
      </c>
      <c r="P1574" s="25">
        <v>144</v>
      </c>
      <c r="Q1574" s="24">
        <v>1235.52</v>
      </c>
      <c r="R1574" s="24">
        <f>O1574-Q1574</f>
        <v>1428.8300000000004</v>
      </c>
      <c r="S1574" s="53">
        <f>IF(O1574&lt;&gt;0,R1574/O1574,"")</f>
        <v>0.53627714076604061</v>
      </c>
      <c r="T1574" s="10"/>
      <c r="U1574" s="23">
        <v>0</v>
      </c>
      <c r="V1574" s="25">
        <v>0</v>
      </c>
      <c r="W1574" s="24">
        <v>0</v>
      </c>
      <c r="X1574" s="24">
        <f>U1574-W1574</f>
        <v>0</v>
      </c>
      <c r="Y1574" s="53" t="str">
        <f>IF(U1574&lt;&gt;0,X1574/U1574,"")</f>
        <v/>
      </c>
      <c r="Z1574" s="23">
        <v>0</v>
      </c>
      <c r="AA1574" s="25">
        <v>0</v>
      </c>
      <c r="AB1574" s="24">
        <v>0</v>
      </c>
      <c r="AC1574" s="24">
        <f t="shared" si="476"/>
        <v>0</v>
      </c>
      <c r="AD1574" s="53" t="str">
        <f t="shared" si="477"/>
        <v/>
      </c>
      <c r="AE1574" s="10"/>
    </row>
    <row r="1575" spans="1:31" x14ac:dyDescent="0.25">
      <c r="A1575" s="14" t="s">
        <v>109</v>
      </c>
      <c r="C1575" s="61" t="str">
        <f t="shared" si="475"/>
        <v>C100098</v>
      </c>
      <c r="F1575" s="8" t="str">
        <f>"E100001"</f>
        <v>E100001</v>
      </c>
      <c r="G1575" s="9" t="str">
        <f>"Sport Bag"</f>
        <v>Sport Bag</v>
      </c>
      <c r="H1575" s="47"/>
      <c r="I1575" s="47"/>
      <c r="J1575" s="23">
        <v>0</v>
      </c>
      <c r="K1575" s="25">
        <v>0</v>
      </c>
      <c r="L1575" s="24">
        <v>0</v>
      </c>
      <c r="M1575" s="24">
        <f>J1575-L1575</f>
        <v>0</v>
      </c>
      <c r="N1575" s="53" t="str">
        <f>IF(J1575&lt;&gt;0,M1575/J1575,"")</f>
        <v/>
      </c>
      <c r="O1575" s="23">
        <v>255.43</v>
      </c>
      <c r="P1575" s="25">
        <v>144</v>
      </c>
      <c r="Q1575" s="24">
        <v>125.28</v>
      </c>
      <c r="R1575" s="24">
        <f>O1575-Q1575</f>
        <v>130.15</v>
      </c>
      <c r="S1575" s="53">
        <f>IF(O1575&lt;&gt;0,R1575/O1575,"")</f>
        <v>0.50953294444661945</v>
      </c>
      <c r="T1575" s="10"/>
      <c r="U1575" s="23">
        <v>0</v>
      </c>
      <c r="V1575" s="25">
        <v>0</v>
      </c>
      <c r="W1575" s="24">
        <v>0</v>
      </c>
      <c r="X1575" s="24">
        <f>U1575-W1575</f>
        <v>0</v>
      </c>
      <c r="Y1575" s="53" t="str">
        <f>IF(U1575&lt;&gt;0,X1575/U1575,"")</f>
        <v/>
      </c>
      <c r="Z1575" s="23">
        <v>257.20000000000005</v>
      </c>
      <c r="AA1575" s="25">
        <v>145</v>
      </c>
      <c r="AB1575" s="24">
        <v>126.15</v>
      </c>
      <c r="AC1575" s="24">
        <f t="shared" si="476"/>
        <v>131.05000000000004</v>
      </c>
      <c r="AD1575" s="53">
        <f t="shared" si="477"/>
        <v>0.50952566096423024</v>
      </c>
      <c r="AE1575" s="10"/>
    </row>
    <row r="1576" spans="1:31" x14ac:dyDescent="0.25">
      <c r="A1576" s="14" t="s">
        <v>109</v>
      </c>
      <c r="C1576" s="61" t="str">
        <f t="shared" si="475"/>
        <v>C100098</v>
      </c>
      <c r="F1576" s="8" t="str">
        <f>"E100011"</f>
        <v>E100011</v>
      </c>
      <c r="G1576" s="9" t="str">
        <f>"Plastic Sun Visor"</f>
        <v>Plastic Sun Visor</v>
      </c>
      <c r="H1576" s="47"/>
      <c r="I1576" s="47"/>
      <c r="J1576" s="23">
        <v>111.97000000000001</v>
      </c>
      <c r="K1576" s="25">
        <v>144</v>
      </c>
      <c r="L1576" s="24">
        <v>60.470000000000006</v>
      </c>
      <c r="M1576" s="24">
        <f>J1576-L1576</f>
        <v>51.500000000000007</v>
      </c>
      <c r="N1576" s="53">
        <f>IF(J1576&lt;&gt;0,M1576/J1576,"")</f>
        <v>0.45994462802536396</v>
      </c>
      <c r="O1576" s="23">
        <v>228.62</v>
      </c>
      <c r="P1576" s="25">
        <v>288</v>
      </c>
      <c r="Q1576" s="24">
        <v>120.94000000000001</v>
      </c>
      <c r="R1576" s="24">
        <f>O1576-Q1576</f>
        <v>107.67999999999999</v>
      </c>
      <c r="S1576" s="53">
        <f>IF(O1576&lt;&gt;0,R1576/O1576,"")</f>
        <v>0.47099991251858975</v>
      </c>
      <c r="T1576" s="10"/>
      <c r="U1576" s="23">
        <v>0</v>
      </c>
      <c r="V1576" s="25">
        <v>0</v>
      </c>
      <c r="W1576" s="24">
        <v>0</v>
      </c>
      <c r="X1576" s="24">
        <f>U1576-W1576</f>
        <v>0</v>
      </c>
      <c r="Y1576" s="53" t="str">
        <f>IF(U1576&lt;&gt;0,X1576/U1576,"")</f>
        <v/>
      </c>
      <c r="Z1576" s="23">
        <v>114.31</v>
      </c>
      <c r="AA1576" s="25">
        <v>144</v>
      </c>
      <c r="AB1576" s="24">
        <v>60.470000000000006</v>
      </c>
      <c r="AC1576" s="24">
        <f t="shared" si="476"/>
        <v>53.839999999999996</v>
      </c>
      <c r="AD1576" s="53">
        <f t="shared" si="477"/>
        <v>0.47099991251858975</v>
      </c>
      <c r="AE1576" s="10"/>
    </row>
    <row r="1577" spans="1:31" x14ac:dyDescent="0.25">
      <c r="A1577" s="14" t="s">
        <v>109</v>
      </c>
      <c r="C1577" s="61" t="str">
        <f t="shared" si="475"/>
        <v>C100098</v>
      </c>
      <c r="F1577" s="8" t="str">
        <f>"E100012"</f>
        <v>E100012</v>
      </c>
      <c r="G1577" s="9" t="str">
        <f>"Canvas Stopwatch"</f>
        <v>Canvas Stopwatch</v>
      </c>
      <c r="H1577" s="47"/>
      <c r="I1577" s="47"/>
      <c r="J1577" s="23">
        <v>0</v>
      </c>
      <c r="K1577" s="25">
        <v>0</v>
      </c>
      <c r="L1577" s="24">
        <v>0</v>
      </c>
      <c r="M1577" s="24">
        <f>J1577-L1577</f>
        <v>0</v>
      </c>
      <c r="N1577" s="53" t="str">
        <f>IF(J1577&lt;&gt;0,M1577/J1577,"")</f>
        <v/>
      </c>
      <c r="O1577" s="23">
        <v>522.14</v>
      </c>
      <c r="P1577" s="25">
        <v>144</v>
      </c>
      <c r="Q1577" s="24">
        <v>282.22999999999996</v>
      </c>
      <c r="R1577" s="24">
        <f>O1577-Q1577</f>
        <v>239.91000000000003</v>
      </c>
      <c r="S1577" s="53">
        <f>IF(O1577&lt;&gt;0,R1577/O1577,"")</f>
        <v>0.45947447044853879</v>
      </c>
      <c r="T1577" s="10"/>
      <c r="U1577" s="23">
        <v>0</v>
      </c>
      <c r="V1577" s="25">
        <v>0</v>
      </c>
      <c r="W1577" s="24">
        <v>0</v>
      </c>
      <c r="X1577" s="24">
        <f>U1577-W1577</f>
        <v>0</v>
      </c>
      <c r="Y1577" s="53" t="str">
        <f>IF(U1577&lt;&gt;0,X1577/U1577,"")</f>
        <v/>
      </c>
      <c r="Z1577" s="23">
        <v>21.76</v>
      </c>
      <c r="AA1577" s="25">
        <v>6</v>
      </c>
      <c r="AB1577" s="24">
        <v>11.76</v>
      </c>
      <c r="AC1577" s="24">
        <f t="shared" si="476"/>
        <v>10.000000000000002</v>
      </c>
      <c r="AD1577" s="53">
        <f t="shared" si="477"/>
        <v>0.4595588235294118</v>
      </c>
      <c r="AE1577" s="10"/>
    </row>
    <row r="1578" spans="1:31" x14ac:dyDescent="0.25">
      <c r="A1578" s="14" t="s">
        <v>109</v>
      </c>
      <c r="C1578" s="61" t="str">
        <f t="shared" si="475"/>
        <v>C100098</v>
      </c>
      <c r="F1578" s="8" t="str">
        <f>"E100014"</f>
        <v>E100014</v>
      </c>
      <c r="G1578" s="9" t="str">
        <f>"Stopwatch with Neck Rope"</f>
        <v>Stopwatch with Neck Rope</v>
      </c>
      <c r="H1578" s="47"/>
      <c r="I1578" s="47"/>
      <c r="J1578" s="23">
        <v>0</v>
      </c>
      <c r="K1578" s="25">
        <v>0</v>
      </c>
      <c r="L1578" s="24">
        <v>0</v>
      </c>
      <c r="M1578" s="24">
        <f>J1578-L1578</f>
        <v>0</v>
      </c>
      <c r="N1578" s="53" t="str">
        <f>IF(J1578&lt;&gt;0,M1578/J1578,"")</f>
        <v/>
      </c>
      <c r="O1578" s="23">
        <v>776.16000000000008</v>
      </c>
      <c r="P1578" s="25">
        <v>288</v>
      </c>
      <c r="Q1578" s="24">
        <v>371.5</v>
      </c>
      <c r="R1578" s="24">
        <f>O1578-Q1578</f>
        <v>404.66000000000008</v>
      </c>
      <c r="S1578" s="53">
        <f>IF(O1578&lt;&gt;0,R1578/O1578,"")</f>
        <v>0.5213615749330035</v>
      </c>
      <c r="T1578" s="10"/>
      <c r="U1578" s="23">
        <v>0</v>
      </c>
      <c r="V1578" s="25">
        <v>0</v>
      </c>
      <c r="W1578" s="24">
        <v>0</v>
      </c>
      <c r="X1578" s="24">
        <f>U1578-W1578</f>
        <v>0</v>
      </c>
      <c r="Y1578" s="53" t="str">
        <f>IF(U1578&lt;&gt;0,X1578/U1578,"")</f>
        <v/>
      </c>
      <c r="Z1578" s="23">
        <v>0</v>
      </c>
      <c r="AA1578" s="25">
        <v>0</v>
      </c>
      <c r="AB1578" s="24">
        <v>0</v>
      </c>
      <c r="AC1578" s="24">
        <f t="shared" si="476"/>
        <v>0</v>
      </c>
      <c r="AD1578" s="53" t="str">
        <f t="shared" si="477"/>
        <v/>
      </c>
      <c r="AE1578" s="10"/>
    </row>
    <row r="1579" spans="1:31" x14ac:dyDescent="0.25">
      <c r="A1579" s="14" t="s">
        <v>109</v>
      </c>
      <c r="C1579" s="61" t="str">
        <f t="shared" si="475"/>
        <v>C100098</v>
      </c>
      <c r="F1579" s="8" t="str">
        <f>"E100015"</f>
        <v>E100015</v>
      </c>
      <c r="G1579" s="9" t="str">
        <f>"360 Clip Watch"</f>
        <v>360 Clip Watch</v>
      </c>
      <c r="H1579" s="47"/>
      <c r="I1579" s="47"/>
      <c r="J1579" s="23">
        <v>0</v>
      </c>
      <c r="K1579" s="25">
        <v>0</v>
      </c>
      <c r="L1579" s="24">
        <v>0</v>
      </c>
      <c r="M1579" s="24">
        <f>J1579-L1579</f>
        <v>0</v>
      </c>
      <c r="N1579" s="53" t="str">
        <f>IF(J1579&lt;&gt;0,M1579/J1579,"")</f>
        <v/>
      </c>
      <c r="O1579" s="23">
        <v>12.64</v>
      </c>
      <c r="P1579" s="25">
        <v>6</v>
      </c>
      <c r="Q1579" s="24">
        <v>6.12</v>
      </c>
      <c r="R1579" s="24">
        <f>O1579-Q1579</f>
        <v>6.5200000000000005</v>
      </c>
      <c r="S1579" s="53">
        <f>IF(O1579&lt;&gt;0,R1579/O1579,"")</f>
        <v>0.51582278481012656</v>
      </c>
      <c r="T1579" s="10"/>
      <c r="U1579" s="23">
        <v>0</v>
      </c>
      <c r="V1579" s="25">
        <v>0</v>
      </c>
      <c r="W1579" s="24">
        <v>0</v>
      </c>
      <c r="X1579" s="24">
        <f>U1579-W1579</f>
        <v>0</v>
      </c>
      <c r="Y1579" s="53" t="str">
        <f>IF(U1579&lt;&gt;0,X1579/U1579,"")</f>
        <v/>
      </c>
      <c r="Z1579" s="23">
        <v>0</v>
      </c>
      <c r="AA1579" s="25">
        <v>0</v>
      </c>
      <c r="AB1579" s="24">
        <v>0</v>
      </c>
      <c r="AC1579" s="24">
        <f t="shared" si="476"/>
        <v>0</v>
      </c>
      <c r="AD1579" s="53" t="str">
        <f t="shared" si="477"/>
        <v/>
      </c>
      <c r="AE1579" s="10"/>
    </row>
    <row r="1580" spans="1:31" x14ac:dyDescent="0.25">
      <c r="A1580" s="14" t="s">
        <v>109</v>
      </c>
      <c r="C1580" s="61" t="str">
        <f t="shared" si="475"/>
        <v>C100098</v>
      </c>
      <c r="F1580" s="8" t="str">
        <f>"E100018"</f>
        <v>E100018</v>
      </c>
      <c r="G1580" s="9" t="str">
        <f>"Flexi-Clock &amp; Clip"</f>
        <v>Flexi-Clock &amp; Clip</v>
      </c>
      <c r="H1580" s="47"/>
      <c r="I1580" s="47"/>
      <c r="J1580" s="23">
        <v>313.51</v>
      </c>
      <c r="K1580" s="25">
        <v>289</v>
      </c>
      <c r="L1580" s="24">
        <v>173.37</v>
      </c>
      <c r="M1580" s="24">
        <f>J1580-L1580</f>
        <v>140.13999999999999</v>
      </c>
      <c r="N1580" s="53">
        <f>IF(J1580&lt;&gt;0,M1580/J1580,"")</f>
        <v>0.44700328538164646</v>
      </c>
      <c r="O1580" s="23">
        <v>0</v>
      </c>
      <c r="P1580" s="25">
        <v>0</v>
      </c>
      <c r="Q1580" s="24">
        <v>0</v>
      </c>
      <c r="R1580" s="24">
        <f>O1580-Q1580</f>
        <v>0</v>
      </c>
      <c r="S1580" s="53" t="str">
        <f>IF(O1580&lt;&gt;0,R1580/O1580,"")</f>
        <v/>
      </c>
      <c r="T1580" s="10"/>
      <c r="U1580" s="23">
        <v>0</v>
      </c>
      <c r="V1580" s="25">
        <v>0</v>
      </c>
      <c r="W1580" s="24">
        <v>0</v>
      </c>
      <c r="X1580" s="24">
        <f>U1580-W1580</f>
        <v>0</v>
      </c>
      <c r="Y1580" s="53" t="str">
        <f>IF(U1580&lt;&gt;0,X1580/U1580,"")</f>
        <v/>
      </c>
      <c r="Z1580" s="23">
        <v>0</v>
      </c>
      <c r="AA1580" s="25">
        <v>0</v>
      </c>
      <c r="AB1580" s="24">
        <v>0</v>
      </c>
      <c r="AC1580" s="24">
        <f t="shared" si="476"/>
        <v>0</v>
      </c>
      <c r="AD1580" s="53" t="str">
        <f t="shared" si="477"/>
        <v/>
      </c>
      <c r="AE1580" s="10"/>
    </row>
    <row r="1581" spans="1:31" x14ac:dyDescent="0.25">
      <c r="A1581" s="14" t="s">
        <v>109</v>
      </c>
      <c r="C1581" s="61" t="str">
        <f t="shared" si="475"/>
        <v>C100098</v>
      </c>
      <c r="F1581" s="8" t="str">
        <f>"S100001"</f>
        <v>S100001</v>
      </c>
      <c r="G1581" s="9" t="str">
        <f>"Basketball Graphic Plaque"</f>
        <v>Basketball Graphic Plaque</v>
      </c>
      <c r="H1581" s="47"/>
      <c r="I1581" s="47"/>
      <c r="J1581" s="23">
        <v>0</v>
      </c>
      <c r="K1581" s="25">
        <v>0</v>
      </c>
      <c r="L1581" s="24">
        <v>0</v>
      </c>
      <c r="M1581" s="24">
        <f>J1581-L1581</f>
        <v>0</v>
      </c>
      <c r="N1581" s="53" t="str">
        <f>IF(J1581&lt;&gt;0,M1581/J1581,"")</f>
        <v/>
      </c>
      <c r="O1581" s="23">
        <v>2362.35</v>
      </c>
      <c r="P1581" s="25">
        <v>144</v>
      </c>
      <c r="Q1581" s="24">
        <v>1310.4000000000001</v>
      </c>
      <c r="R1581" s="24">
        <f>O1581-Q1581</f>
        <v>1051.9499999999998</v>
      </c>
      <c r="S1581" s="53">
        <f>IF(O1581&lt;&gt;0,R1581/O1581,"")</f>
        <v>0.44529811416597875</v>
      </c>
      <c r="T1581" s="10"/>
      <c r="U1581" s="23">
        <v>0</v>
      </c>
      <c r="V1581" s="25">
        <v>0</v>
      </c>
      <c r="W1581" s="24">
        <v>0</v>
      </c>
      <c r="X1581" s="24">
        <f>U1581-W1581</f>
        <v>0</v>
      </c>
      <c r="Y1581" s="53" t="str">
        <f>IF(U1581&lt;&gt;0,X1581/U1581,"")</f>
        <v/>
      </c>
      <c r="Z1581" s="23">
        <v>2362.35</v>
      </c>
      <c r="AA1581" s="25">
        <v>144</v>
      </c>
      <c r="AB1581" s="24">
        <v>1310.4000000000001</v>
      </c>
      <c r="AC1581" s="24">
        <f t="shared" si="476"/>
        <v>1051.9499999999998</v>
      </c>
      <c r="AD1581" s="53">
        <f t="shared" si="477"/>
        <v>0.44529811416597875</v>
      </c>
      <c r="AE1581" s="10"/>
    </row>
    <row r="1582" spans="1:31" x14ac:dyDescent="0.25">
      <c r="A1582" s="14" t="s">
        <v>109</v>
      </c>
      <c r="C1582" s="61" t="str">
        <f t="shared" si="475"/>
        <v>C100098</v>
      </c>
      <c r="F1582" s="8" t="str">
        <f>"S100010"</f>
        <v>S100010</v>
      </c>
      <c r="G1582" s="9" t="str">
        <f>"Golf Relaxed Cap"</f>
        <v>Golf Relaxed Cap</v>
      </c>
      <c r="H1582" s="47"/>
      <c r="I1582" s="47"/>
      <c r="J1582" s="23">
        <v>1896.6499999999999</v>
      </c>
      <c r="K1582" s="25">
        <v>192</v>
      </c>
      <c r="L1582" s="24">
        <v>1169.3</v>
      </c>
      <c r="M1582" s="24">
        <f>J1582-L1582</f>
        <v>727.34999999999991</v>
      </c>
      <c r="N1582" s="53">
        <f>IF(J1582&lt;&gt;0,M1582/J1582,"")</f>
        <v>0.38349194632641759</v>
      </c>
      <c r="O1582" s="23">
        <v>0</v>
      </c>
      <c r="P1582" s="25">
        <v>0</v>
      </c>
      <c r="Q1582" s="24">
        <v>0</v>
      </c>
      <c r="R1582" s="24">
        <f>O1582-Q1582</f>
        <v>0</v>
      </c>
      <c r="S1582" s="53" t="str">
        <f>IF(O1582&lt;&gt;0,R1582/O1582,"")</f>
        <v/>
      </c>
      <c r="T1582" s="10"/>
      <c r="U1582" s="23">
        <v>2904.25</v>
      </c>
      <c r="V1582" s="25">
        <v>288</v>
      </c>
      <c r="W1582" s="24">
        <v>1753.94</v>
      </c>
      <c r="X1582" s="24">
        <f>U1582-W1582</f>
        <v>1150.31</v>
      </c>
      <c r="Y1582" s="53">
        <f>IF(U1582&lt;&gt;0,X1582/U1582,"")</f>
        <v>0.39607816131531376</v>
      </c>
      <c r="Z1582" s="23">
        <v>0</v>
      </c>
      <c r="AA1582" s="25">
        <v>0</v>
      </c>
      <c r="AB1582" s="24">
        <v>0</v>
      </c>
      <c r="AC1582" s="24">
        <f t="shared" si="476"/>
        <v>0</v>
      </c>
      <c r="AD1582" s="53" t="str">
        <f t="shared" si="477"/>
        <v/>
      </c>
      <c r="AE1582" s="10"/>
    </row>
    <row r="1583" spans="1:31" x14ac:dyDescent="0.25">
      <c r="A1583" s="14" t="s">
        <v>109</v>
      </c>
      <c r="C1583" s="61" t="str">
        <f t="shared" si="475"/>
        <v>C100098</v>
      </c>
      <c r="F1583" s="8" t="str">
        <f>"S100011"</f>
        <v>S100011</v>
      </c>
      <c r="G1583" s="9" t="str">
        <f>"All Star Cap"</f>
        <v>All Star Cap</v>
      </c>
      <c r="H1583" s="47"/>
      <c r="I1583" s="47"/>
      <c r="J1583" s="23">
        <v>66.819999999999993</v>
      </c>
      <c r="K1583" s="25">
        <v>48</v>
      </c>
      <c r="L1583" s="24">
        <v>40.799999999999997</v>
      </c>
      <c r="M1583" s="24">
        <f>J1583-L1583</f>
        <v>26.019999999999996</v>
      </c>
      <c r="N1583" s="53">
        <f>IF(J1583&lt;&gt;0,M1583/J1583,"")</f>
        <v>0.38940436994911704</v>
      </c>
      <c r="O1583" s="23">
        <v>1.42</v>
      </c>
      <c r="P1583" s="25">
        <v>1</v>
      </c>
      <c r="Q1583" s="24">
        <v>0.85</v>
      </c>
      <c r="R1583" s="24">
        <f>O1583-Q1583</f>
        <v>0.56999999999999995</v>
      </c>
      <c r="S1583" s="53">
        <f>IF(O1583&lt;&gt;0,R1583/O1583,"")</f>
        <v>0.40140845070422532</v>
      </c>
      <c r="T1583" s="10"/>
      <c r="U1583" s="23">
        <v>0</v>
      </c>
      <c r="V1583" s="25">
        <v>0</v>
      </c>
      <c r="W1583" s="24">
        <v>0</v>
      </c>
      <c r="X1583" s="24">
        <f>U1583-W1583</f>
        <v>0</v>
      </c>
      <c r="Y1583" s="53" t="str">
        <f>IF(U1583&lt;&gt;0,X1583/U1583,"")</f>
        <v/>
      </c>
      <c r="Z1583" s="23">
        <v>410.67</v>
      </c>
      <c r="AA1583" s="25">
        <v>289</v>
      </c>
      <c r="AB1583" s="24">
        <v>245.66</v>
      </c>
      <c r="AC1583" s="24">
        <f t="shared" si="476"/>
        <v>165.01000000000002</v>
      </c>
      <c r="AD1583" s="53">
        <f t="shared" si="477"/>
        <v>0.40180680351620524</v>
      </c>
      <c r="AE1583" s="10"/>
    </row>
    <row r="1584" spans="1:31" x14ac:dyDescent="0.25">
      <c r="A1584" s="14" t="s">
        <v>109</v>
      </c>
      <c r="C1584" s="61" t="str">
        <f t="shared" si="475"/>
        <v>C100098</v>
      </c>
      <c r="F1584" s="8" t="str">
        <f>"S100014"</f>
        <v>S100014</v>
      </c>
      <c r="G1584" s="9" t="str">
        <f>"Chunky Knit Hat"</f>
        <v>Chunky Knit Hat</v>
      </c>
      <c r="H1584" s="47"/>
      <c r="I1584" s="47"/>
      <c r="J1584" s="23">
        <v>0</v>
      </c>
      <c r="K1584" s="25">
        <v>0</v>
      </c>
      <c r="L1584" s="24">
        <v>0</v>
      </c>
      <c r="M1584" s="24">
        <f>J1584-L1584</f>
        <v>0</v>
      </c>
      <c r="N1584" s="53" t="str">
        <f>IF(J1584&lt;&gt;0,M1584/J1584,"")</f>
        <v/>
      </c>
      <c r="O1584" s="23">
        <v>4148.93</v>
      </c>
      <c r="P1584" s="25">
        <v>432</v>
      </c>
      <c r="Q1584" s="24">
        <v>2229.08</v>
      </c>
      <c r="R1584" s="24">
        <f>O1584-Q1584</f>
        <v>1919.8500000000004</v>
      </c>
      <c r="S1584" s="53">
        <f>IF(O1584&lt;&gt;0,R1584/O1584,"")</f>
        <v>0.46273376509124042</v>
      </c>
      <c r="T1584" s="10"/>
      <c r="U1584" s="23">
        <v>0</v>
      </c>
      <c r="V1584" s="25">
        <v>0</v>
      </c>
      <c r="W1584" s="24">
        <v>0</v>
      </c>
      <c r="X1584" s="24">
        <f>U1584-W1584</f>
        <v>0</v>
      </c>
      <c r="Y1584" s="53" t="str">
        <f>IF(U1584&lt;&gt;0,X1584/U1584,"")</f>
        <v/>
      </c>
      <c r="Z1584" s="23">
        <v>0</v>
      </c>
      <c r="AA1584" s="25">
        <v>0</v>
      </c>
      <c r="AB1584" s="24">
        <v>0</v>
      </c>
      <c r="AC1584" s="24">
        <f t="shared" si="476"/>
        <v>0</v>
      </c>
      <c r="AD1584" s="53" t="str">
        <f t="shared" si="477"/>
        <v/>
      </c>
      <c r="AE1584" s="10"/>
    </row>
    <row r="1585" spans="1:31" x14ac:dyDescent="0.25">
      <c r="A1585" s="14" t="s">
        <v>109</v>
      </c>
      <c r="C1585" s="61" t="str">
        <f t="shared" si="475"/>
        <v>C100098</v>
      </c>
      <c r="F1585" s="8" t="str">
        <f>"S100015"</f>
        <v>S100015</v>
      </c>
      <c r="G1585" s="9" t="str">
        <f>"Raw-Edge Bucket Hat"</f>
        <v>Raw-Edge Bucket Hat</v>
      </c>
      <c r="H1585" s="47"/>
      <c r="I1585" s="47"/>
      <c r="J1585" s="23">
        <v>0</v>
      </c>
      <c r="K1585" s="25">
        <v>0</v>
      </c>
      <c r="L1585" s="24">
        <v>0</v>
      </c>
      <c r="M1585" s="24">
        <f>J1585-L1585</f>
        <v>0</v>
      </c>
      <c r="N1585" s="53" t="str">
        <f>IF(J1585&lt;&gt;0,M1585/J1585,"")</f>
        <v/>
      </c>
      <c r="O1585" s="23">
        <v>2085.7600000000002</v>
      </c>
      <c r="P1585" s="25">
        <v>288</v>
      </c>
      <c r="Q1585" s="24">
        <v>1048.3400000000001</v>
      </c>
      <c r="R1585" s="24">
        <f>O1585-Q1585</f>
        <v>1037.42</v>
      </c>
      <c r="S1585" s="53">
        <f>IF(O1585&lt;&gt;0,R1585/O1585,"")</f>
        <v>0.49738224915618284</v>
      </c>
      <c r="T1585" s="10"/>
      <c r="U1585" s="23">
        <v>1042.8800000000001</v>
      </c>
      <c r="V1585" s="25">
        <v>144</v>
      </c>
      <c r="W1585" s="24">
        <v>524.17000000000007</v>
      </c>
      <c r="X1585" s="24">
        <f>U1585-W1585</f>
        <v>518.71</v>
      </c>
      <c r="Y1585" s="53">
        <f>IF(U1585&lt;&gt;0,X1585/U1585,"")</f>
        <v>0.49738224915618284</v>
      </c>
      <c r="Z1585" s="23">
        <v>0</v>
      </c>
      <c r="AA1585" s="25">
        <v>0</v>
      </c>
      <c r="AB1585" s="24">
        <v>0</v>
      </c>
      <c r="AC1585" s="24">
        <f t="shared" si="476"/>
        <v>0</v>
      </c>
      <c r="AD1585" s="53" t="str">
        <f t="shared" si="477"/>
        <v/>
      </c>
      <c r="AE1585" s="10"/>
    </row>
    <row r="1586" spans="1:31" x14ac:dyDescent="0.25">
      <c r="A1586" s="14" t="s">
        <v>109</v>
      </c>
      <c r="C1586" s="61" t="str">
        <f t="shared" si="475"/>
        <v>C100098</v>
      </c>
      <c r="F1586" s="8" t="str">
        <f>"S100016"</f>
        <v>S100016</v>
      </c>
      <c r="G1586" s="9" t="str">
        <f>"Mesh Bucket Hat"</f>
        <v>Mesh Bucket Hat</v>
      </c>
      <c r="H1586" s="47"/>
      <c r="I1586" s="47"/>
      <c r="J1586" s="23">
        <v>0</v>
      </c>
      <c r="K1586" s="25">
        <v>0</v>
      </c>
      <c r="L1586" s="24">
        <v>0</v>
      </c>
      <c r="M1586" s="24">
        <f>J1586-L1586</f>
        <v>0</v>
      </c>
      <c r="N1586" s="53" t="str">
        <f>IF(J1586&lt;&gt;0,M1586/J1586,"")</f>
        <v/>
      </c>
      <c r="O1586" s="23">
        <v>702.78</v>
      </c>
      <c r="P1586" s="25">
        <v>144</v>
      </c>
      <c r="Q1586" s="24">
        <v>396.01</v>
      </c>
      <c r="R1586" s="24">
        <f>O1586-Q1586</f>
        <v>306.77</v>
      </c>
      <c r="S1586" s="53">
        <f>IF(O1586&lt;&gt;0,R1586/O1586,"")</f>
        <v>0.43650929167022395</v>
      </c>
      <c r="T1586" s="10"/>
      <c r="U1586" s="23">
        <v>0</v>
      </c>
      <c r="V1586" s="25">
        <v>0</v>
      </c>
      <c r="W1586" s="24">
        <v>0</v>
      </c>
      <c r="X1586" s="24">
        <f>U1586-W1586</f>
        <v>0</v>
      </c>
      <c r="Y1586" s="53" t="str">
        <f>IF(U1586&lt;&gt;0,X1586/U1586,"")</f>
        <v/>
      </c>
      <c r="Z1586" s="23">
        <v>0</v>
      </c>
      <c r="AA1586" s="25">
        <v>0</v>
      </c>
      <c r="AB1586" s="24">
        <v>0</v>
      </c>
      <c r="AC1586" s="24">
        <f t="shared" si="476"/>
        <v>0</v>
      </c>
      <c r="AD1586" s="53" t="str">
        <f t="shared" si="477"/>
        <v/>
      </c>
      <c r="AE1586" s="10"/>
    </row>
    <row r="1587" spans="1:31" x14ac:dyDescent="0.25">
      <c r="A1587" s="14" t="s">
        <v>109</v>
      </c>
      <c r="C1587" s="61" t="str">
        <f t="shared" si="475"/>
        <v>C100098</v>
      </c>
      <c r="F1587" s="8" t="str">
        <f>"S100017"</f>
        <v>S100017</v>
      </c>
      <c r="G1587" s="9" t="str">
        <f>"Microfiber Bucket Hat"</f>
        <v>Microfiber Bucket Hat</v>
      </c>
      <c r="H1587" s="47"/>
      <c r="I1587" s="47"/>
      <c r="J1587" s="23">
        <v>1020.21</v>
      </c>
      <c r="K1587" s="25">
        <v>144</v>
      </c>
      <c r="L1587" s="24">
        <v>685.44</v>
      </c>
      <c r="M1587" s="24">
        <f>J1587-L1587</f>
        <v>334.77</v>
      </c>
      <c r="N1587" s="53">
        <f>IF(J1587&lt;&gt;0,M1587/J1587,"")</f>
        <v>0.3281383244626106</v>
      </c>
      <c r="O1587" s="23">
        <v>1215.04</v>
      </c>
      <c r="P1587" s="25">
        <v>168</v>
      </c>
      <c r="Q1587" s="24">
        <v>799.68000000000006</v>
      </c>
      <c r="R1587" s="24">
        <f>O1587-Q1587</f>
        <v>415.3599999999999</v>
      </c>
      <c r="S1587" s="53">
        <f>IF(O1587&lt;&gt;0,R1587/O1587,"")</f>
        <v>0.34184882802212263</v>
      </c>
      <c r="T1587" s="10"/>
      <c r="U1587" s="23">
        <v>0</v>
      </c>
      <c r="V1587" s="25">
        <v>0</v>
      </c>
      <c r="W1587" s="24">
        <v>0</v>
      </c>
      <c r="X1587" s="24">
        <f>U1587-W1587</f>
        <v>0</v>
      </c>
      <c r="Y1587" s="53" t="str">
        <f>IF(U1587&lt;&gt;0,X1587/U1587,"")</f>
        <v/>
      </c>
      <c r="Z1587" s="23">
        <v>0</v>
      </c>
      <c r="AA1587" s="25">
        <v>0</v>
      </c>
      <c r="AB1587" s="24">
        <v>0</v>
      </c>
      <c r="AC1587" s="24">
        <f t="shared" si="476"/>
        <v>0</v>
      </c>
      <c r="AD1587" s="53" t="str">
        <f t="shared" si="477"/>
        <v/>
      </c>
      <c r="AE1587" s="10"/>
    </row>
    <row r="1588" spans="1:31" x14ac:dyDescent="0.25">
      <c r="A1588" s="14" t="s">
        <v>109</v>
      </c>
      <c r="C1588" s="61" t="str">
        <f t="shared" si="475"/>
        <v>C100098</v>
      </c>
      <c r="F1588" s="8" t="str">
        <f>"S100018"</f>
        <v>S100018</v>
      </c>
      <c r="G1588" s="9" t="str">
        <f>"Crusher Bucket Hat"</f>
        <v>Crusher Bucket Hat</v>
      </c>
      <c r="H1588" s="47"/>
      <c r="I1588" s="47"/>
      <c r="J1588" s="23">
        <v>2051.48</v>
      </c>
      <c r="K1588" s="25">
        <v>288</v>
      </c>
      <c r="L1588" s="24">
        <v>1008</v>
      </c>
      <c r="M1588" s="24">
        <f>J1588-L1588</f>
        <v>1043.48</v>
      </c>
      <c r="N1588" s="53">
        <f>IF(J1588&lt;&gt;0,M1588/J1588,"")</f>
        <v>0.50864741552440185</v>
      </c>
      <c r="O1588" s="23">
        <v>0</v>
      </c>
      <c r="P1588" s="25">
        <v>0</v>
      </c>
      <c r="Q1588" s="24">
        <v>0</v>
      </c>
      <c r="R1588" s="24">
        <f>O1588-Q1588</f>
        <v>0</v>
      </c>
      <c r="S1588" s="53" t="str">
        <f>IF(O1588&lt;&gt;0,R1588/O1588,"")</f>
        <v/>
      </c>
      <c r="T1588" s="10"/>
      <c r="U1588" s="23">
        <v>1221.6300000000001</v>
      </c>
      <c r="V1588" s="25">
        <v>168</v>
      </c>
      <c r="W1588" s="24">
        <v>588</v>
      </c>
      <c r="X1588" s="24">
        <f>U1588-W1588</f>
        <v>633.63000000000011</v>
      </c>
      <c r="Y1588" s="53">
        <f>IF(U1588&lt;&gt;0,X1588/U1588,"")</f>
        <v>0.51867586748851946</v>
      </c>
      <c r="Z1588" s="23">
        <v>0</v>
      </c>
      <c r="AA1588" s="25">
        <v>0</v>
      </c>
      <c r="AB1588" s="24">
        <v>0</v>
      </c>
      <c r="AC1588" s="24">
        <f t="shared" si="476"/>
        <v>0</v>
      </c>
      <c r="AD1588" s="53" t="str">
        <f t="shared" si="477"/>
        <v/>
      </c>
      <c r="AE1588" s="10"/>
    </row>
    <row r="1589" spans="1:31" x14ac:dyDescent="0.25">
      <c r="A1589" s="14" t="s">
        <v>109</v>
      </c>
      <c r="C1589" s="61" t="str">
        <f t="shared" si="475"/>
        <v>C100098</v>
      </c>
      <c r="F1589" s="8" t="str">
        <f>"S100019"</f>
        <v>S100019</v>
      </c>
      <c r="G1589" s="9" t="str">
        <f>"Sportsman Bucket Hat"</f>
        <v>Sportsman Bucket Hat</v>
      </c>
      <c r="H1589" s="47"/>
      <c r="I1589" s="47"/>
      <c r="J1589" s="23">
        <v>0</v>
      </c>
      <c r="K1589" s="25">
        <v>0</v>
      </c>
      <c r="L1589" s="24">
        <v>0</v>
      </c>
      <c r="M1589" s="24">
        <f>J1589-L1589</f>
        <v>0</v>
      </c>
      <c r="N1589" s="53" t="str">
        <f>IF(J1589&lt;&gt;0,M1589/J1589,"")</f>
        <v/>
      </c>
      <c r="O1589" s="23">
        <v>1295.48</v>
      </c>
      <c r="P1589" s="25">
        <v>288</v>
      </c>
      <c r="Q1589" s="24">
        <v>699.85</v>
      </c>
      <c r="R1589" s="24">
        <f>O1589-Q1589</f>
        <v>595.63</v>
      </c>
      <c r="S1589" s="53">
        <f>IF(O1589&lt;&gt;0,R1589/O1589,"")</f>
        <v>0.45977552721771081</v>
      </c>
      <c r="T1589" s="10"/>
      <c r="U1589" s="23">
        <v>0</v>
      </c>
      <c r="V1589" s="25">
        <v>0</v>
      </c>
      <c r="W1589" s="24">
        <v>0</v>
      </c>
      <c r="X1589" s="24">
        <f>U1589-W1589</f>
        <v>0</v>
      </c>
      <c r="Y1589" s="53" t="str">
        <f>IF(U1589&lt;&gt;0,X1589/U1589,"")</f>
        <v/>
      </c>
      <c r="Z1589" s="23">
        <v>0</v>
      </c>
      <c r="AA1589" s="25">
        <v>0</v>
      </c>
      <c r="AB1589" s="24">
        <v>0</v>
      </c>
      <c r="AC1589" s="24">
        <f t="shared" si="476"/>
        <v>0</v>
      </c>
      <c r="AD1589" s="53" t="str">
        <f t="shared" si="477"/>
        <v/>
      </c>
      <c r="AE1589" s="10"/>
    </row>
    <row r="1590" spans="1:31" x14ac:dyDescent="0.25">
      <c r="A1590" s="14" t="s">
        <v>109</v>
      </c>
      <c r="C1590" s="61" t="str">
        <f t="shared" si="475"/>
        <v>C100098</v>
      </c>
      <c r="F1590" s="8" t="str">
        <f>"S100020"</f>
        <v>S100020</v>
      </c>
      <c r="G1590" s="9" t="str">
        <f>"Super Sport Stopwatch"</f>
        <v>Super Sport Stopwatch</v>
      </c>
      <c r="H1590" s="47"/>
      <c r="I1590" s="47"/>
      <c r="J1590" s="23">
        <v>0</v>
      </c>
      <c r="K1590" s="25">
        <v>0</v>
      </c>
      <c r="L1590" s="24">
        <v>0</v>
      </c>
      <c r="M1590" s="24">
        <f>J1590-L1590</f>
        <v>0</v>
      </c>
      <c r="N1590" s="53" t="str">
        <f>IF(J1590&lt;&gt;0,M1590/J1590,"")</f>
        <v/>
      </c>
      <c r="O1590" s="23">
        <v>307.64</v>
      </c>
      <c r="P1590" s="25">
        <v>144</v>
      </c>
      <c r="Q1590" s="24">
        <v>151.19999999999999</v>
      </c>
      <c r="R1590" s="24">
        <f>O1590-Q1590</f>
        <v>156.44</v>
      </c>
      <c r="S1590" s="53">
        <f>IF(O1590&lt;&gt;0,R1590/O1590,"")</f>
        <v>0.50851644779612537</v>
      </c>
      <c r="T1590" s="10"/>
      <c r="U1590" s="23">
        <v>0</v>
      </c>
      <c r="V1590" s="25">
        <v>0</v>
      </c>
      <c r="W1590" s="24">
        <v>0</v>
      </c>
      <c r="X1590" s="24">
        <f>U1590-W1590</f>
        <v>0</v>
      </c>
      <c r="Y1590" s="53" t="str">
        <f>IF(U1590&lt;&gt;0,X1590/U1590,"")</f>
        <v/>
      </c>
      <c r="Z1590" s="23">
        <v>0</v>
      </c>
      <c r="AA1590" s="25">
        <v>0</v>
      </c>
      <c r="AB1590" s="24">
        <v>0</v>
      </c>
      <c r="AC1590" s="24">
        <f t="shared" si="476"/>
        <v>0</v>
      </c>
      <c r="AD1590" s="53" t="str">
        <f t="shared" si="477"/>
        <v/>
      </c>
      <c r="AE1590" s="10"/>
    </row>
    <row r="1591" spans="1:31" x14ac:dyDescent="0.25">
      <c r="A1591" s="14" t="s">
        <v>109</v>
      </c>
      <c r="C1591" s="61" t="str">
        <f t="shared" si="475"/>
        <v>C100098</v>
      </c>
      <c r="F1591" s="8" t="str">
        <f>"S100021"</f>
        <v>S100021</v>
      </c>
      <c r="G1591" s="9" t="str">
        <f>"Translucent Stopwatch"</f>
        <v>Translucent Stopwatch</v>
      </c>
      <c r="H1591" s="47"/>
      <c r="I1591" s="47"/>
      <c r="J1591" s="23">
        <v>573.69999999999993</v>
      </c>
      <c r="K1591" s="25">
        <v>144</v>
      </c>
      <c r="L1591" s="24">
        <v>309.58999999999997</v>
      </c>
      <c r="M1591" s="24">
        <f>J1591-L1591</f>
        <v>264.10999999999996</v>
      </c>
      <c r="N1591" s="53">
        <f>IF(J1591&lt;&gt;0,M1591/J1591,"")</f>
        <v>0.46036255882865607</v>
      </c>
      <c r="O1591" s="23">
        <v>0</v>
      </c>
      <c r="P1591" s="25">
        <v>0</v>
      </c>
      <c r="Q1591" s="24">
        <v>0</v>
      </c>
      <c r="R1591" s="24">
        <f>O1591-Q1591</f>
        <v>0</v>
      </c>
      <c r="S1591" s="53" t="str">
        <f>IF(O1591&lt;&gt;0,R1591/O1591,"")</f>
        <v/>
      </c>
      <c r="T1591" s="10"/>
      <c r="U1591" s="23">
        <v>0</v>
      </c>
      <c r="V1591" s="25">
        <v>0</v>
      </c>
      <c r="W1591" s="24">
        <v>0</v>
      </c>
      <c r="X1591" s="24">
        <f>U1591-W1591</f>
        <v>0</v>
      </c>
      <c r="Y1591" s="53" t="str">
        <f>IF(U1591&lt;&gt;0,X1591/U1591,"")</f>
        <v/>
      </c>
      <c r="Z1591" s="23">
        <v>683.26</v>
      </c>
      <c r="AA1591" s="25">
        <v>168</v>
      </c>
      <c r="AB1591" s="24">
        <v>361.19</v>
      </c>
      <c r="AC1591" s="24">
        <f t="shared" si="476"/>
        <v>322.07</v>
      </c>
      <c r="AD1591" s="53">
        <f t="shared" si="477"/>
        <v>0.47137253754061409</v>
      </c>
      <c r="AE1591" s="10"/>
    </row>
    <row r="1592" spans="1:31" ht="15.75" thickBot="1" x14ac:dyDescent="0.3">
      <c r="A1592" s="14" t="s">
        <v>109</v>
      </c>
      <c r="C1592" s="61" t="str">
        <f>C1566</f>
        <v>C100098</v>
      </c>
      <c r="J1592" s="10"/>
      <c r="K1592" s="11"/>
      <c r="L1592" s="11"/>
      <c r="M1592" s="11"/>
      <c r="N1592" s="12"/>
      <c r="O1592" s="10"/>
      <c r="P1592" s="11"/>
      <c r="Q1592" s="11"/>
      <c r="R1592" s="11"/>
      <c r="S1592" s="12"/>
      <c r="U1592" s="10"/>
      <c r="V1592" s="11"/>
      <c r="W1592" s="11"/>
      <c r="X1592" s="11"/>
      <c r="Y1592" s="12"/>
      <c r="Z1592" s="10"/>
      <c r="AA1592" s="11"/>
      <c r="AB1592" s="11"/>
      <c r="AC1592" s="11"/>
      <c r="AD1592" s="12"/>
    </row>
    <row r="1593" spans="1:31" ht="15.75" thickBot="1" x14ac:dyDescent="0.3">
      <c r="A1593" s="14" t="s">
        <v>109</v>
      </c>
      <c r="C1593" s="61" t="str">
        <f t="shared" si="472"/>
        <v>C100098</v>
      </c>
      <c r="G1593" s="48" t="str">
        <f>C1593&amp;" TOTAL:"</f>
        <v>C100098 TOTAL:</v>
      </c>
      <c r="H1593" s="50"/>
      <c r="I1593" s="50"/>
      <c r="J1593" s="34">
        <f>SUBTOTAL(9,J1565:J1592)</f>
        <v>19209.539999999997</v>
      </c>
      <c r="K1593" s="35">
        <f>SUBTOTAL(9,K1565:K1592)</f>
        <v>1489</v>
      </c>
      <c r="L1593" s="36">
        <f>SUBTOTAL(9,L1565:L1592)</f>
        <v>9774.3300000000017</v>
      </c>
      <c r="M1593" s="36">
        <f>J1593-L1593</f>
        <v>9435.2099999999955</v>
      </c>
      <c r="N1593" s="37">
        <f>IF(J1593&lt;&gt;0,M1593/J1593,"")</f>
        <v>0.49117313584812528</v>
      </c>
      <c r="O1593" s="34">
        <f>SUBTOTAL(9,O1565:O1592)</f>
        <v>30992.589999999993</v>
      </c>
      <c r="P1593" s="35">
        <f>SUBTOTAL(9,P1565:P1592)</f>
        <v>3753</v>
      </c>
      <c r="Q1593" s="36">
        <f>SUBTOTAL(9,Q1565:Q1592)</f>
        <v>16435.070000000003</v>
      </c>
      <c r="R1593" s="36">
        <f>O1593-Q1593</f>
        <v>14557.51999999999</v>
      </c>
      <c r="S1593" s="37">
        <f>IF(O1593&lt;&gt;0,R1593/O1593,"")</f>
        <v>0.46970969512389876</v>
      </c>
      <c r="U1593" s="34">
        <f>SUBTOTAL(9,U1565:U1592)</f>
        <v>11774.43</v>
      </c>
      <c r="V1593" s="35">
        <f>SUBTOTAL(9,V1565:V1592)</f>
        <v>673</v>
      </c>
      <c r="W1593" s="36">
        <f>SUBTOTAL(9,W1565:W1592)</f>
        <v>6302.6</v>
      </c>
      <c r="X1593" s="36">
        <f>U1593-W1593</f>
        <v>5471.83</v>
      </c>
      <c r="Y1593" s="37">
        <f>IF(U1593&lt;&gt;0,X1593/U1593,"")</f>
        <v>0.46472143449831538</v>
      </c>
      <c r="Z1593" s="34">
        <f>SUBTOTAL(9,Z1565:Z1592)</f>
        <v>13174.76</v>
      </c>
      <c r="AA1593" s="35">
        <f>SUBTOTAL(9,AA1565:AA1592)</f>
        <v>1016</v>
      </c>
      <c r="AB1593" s="36">
        <f>SUBTOTAL(9,AB1565:AB1592)</f>
        <v>7106.6699999999992</v>
      </c>
      <c r="AC1593" s="36">
        <f t="shared" ref="AC1593" si="478">Z1593-AB1593</f>
        <v>6068.0900000000011</v>
      </c>
      <c r="AD1593" s="37">
        <f t="shared" ref="AD1593" si="479">IF(Z1593&lt;&gt;0,AC1593/Z1593,"")</f>
        <v>0.46058448123533186</v>
      </c>
    </row>
    <row r="1594" spans="1:31" x14ac:dyDescent="0.25">
      <c r="A1594" s="14" t="s">
        <v>109</v>
      </c>
      <c r="C1594" s="66"/>
      <c r="J1594" s="10"/>
      <c r="K1594" s="11"/>
      <c r="L1594" s="11"/>
      <c r="M1594" s="11"/>
      <c r="N1594" s="12"/>
      <c r="O1594" s="10"/>
      <c r="P1594" s="11"/>
      <c r="Q1594" s="11"/>
      <c r="R1594" s="11"/>
      <c r="S1594" s="12"/>
      <c r="U1594" s="10"/>
      <c r="V1594" s="11"/>
      <c r="W1594" s="11"/>
      <c r="X1594" s="11"/>
      <c r="Y1594" s="12"/>
      <c r="Z1594" s="10"/>
      <c r="AA1594" s="11"/>
      <c r="AB1594" s="11"/>
      <c r="AC1594" s="11"/>
      <c r="AD1594" s="12"/>
    </row>
    <row r="1595" spans="1:31" ht="15.75" x14ac:dyDescent="0.25">
      <c r="A1595" s="14" t="s">
        <v>109</v>
      </c>
      <c r="C1595" s="66" t="str">
        <f t="shared" ref="C1595" si="480">E1595</f>
        <v>C100099</v>
      </c>
      <c r="E1595" s="13" t="str">
        <f>"C100099"</f>
        <v>C100099</v>
      </c>
      <c r="F1595" s="13"/>
      <c r="G1595" s="13" t="str">
        <f>"Voltive Systems"</f>
        <v>Voltive Systems</v>
      </c>
      <c r="H1595" s="13"/>
      <c r="I1595" s="13"/>
      <c r="J1595" s="10"/>
      <c r="K1595" s="11"/>
      <c r="L1595" s="11"/>
      <c r="M1595" s="11"/>
      <c r="N1595" s="12"/>
      <c r="O1595" s="10"/>
      <c r="P1595" s="11"/>
      <c r="Q1595" s="11"/>
      <c r="R1595" s="11"/>
      <c r="S1595" s="12"/>
      <c r="U1595" s="10"/>
      <c r="V1595" s="11"/>
      <c r="W1595" s="11"/>
      <c r="X1595" s="11"/>
      <c r="Y1595" s="12"/>
      <c r="Z1595" s="10"/>
      <c r="AA1595" s="11"/>
      <c r="AB1595" s="11"/>
      <c r="AC1595" s="11"/>
      <c r="AD1595" s="12"/>
    </row>
    <row r="1596" spans="1:31" ht="6.6" customHeight="1" x14ac:dyDescent="0.25">
      <c r="A1596" s="14" t="s">
        <v>109</v>
      </c>
      <c r="C1596" s="61" t="str">
        <f t="shared" ref="C1596:C1636" si="481">C1595</f>
        <v>C100099</v>
      </c>
      <c r="J1596" s="10"/>
      <c r="K1596" s="11"/>
      <c r="L1596" s="11"/>
      <c r="M1596" s="11"/>
      <c r="N1596" s="12"/>
      <c r="O1596" s="10"/>
      <c r="P1596" s="11"/>
      <c r="Q1596" s="11"/>
      <c r="R1596" s="11"/>
      <c r="S1596" s="12"/>
      <c r="U1596" s="10"/>
      <c r="V1596" s="11"/>
      <c r="W1596" s="11"/>
      <c r="X1596" s="11"/>
      <c r="Y1596" s="12"/>
      <c r="Z1596" s="10"/>
      <c r="AA1596" s="11"/>
      <c r="AB1596" s="11"/>
      <c r="AC1596" s="11"/>
      <c r="AD1596" s="12"/>
    </row>
    <row r="1597" spans="1:31" x14ac:dyDescent="0.25">
      <c r="A1597" s="14" t="s">
        <v>109</v>
      </c>
      <c r="C1597" s="61" t="str">
        <f t="shared" si="481"/>
        <v>C100099</v>
      </c>
      <c r="F1597" s="8" t="str">
        <f>"C100002"</f>
        <v>C100002</v>
      </c>
      <c r="G1597" s="9" t="str">
        <f>"Border Style"</f>
        <v>Border Style</v>
      </c>
      <c r="H1597" s="47"/>
      <c r="I1597" s="47"/>
      <c r="J1597" s="23">
        <v>7322.17</v>
      </c>
      <c r="K1597" s="25">
        <v>144</v>
      </c>
      <c r="L1597" s="24">
        <v>4600.8</v>
      </c>
      <c r="M1597" s="24">
        <f>J1597-L1597</f>
        <v>2721.37</v>
      </c>
      <c r="N1597" s="53">
        <f>IF(J1597&lt;&gt;0,M1597/J1597,"")</f>
        <v>0.37166167952942908</v>
      </c>
      <c r="O1597" s="23">
        <v>7720.11</v>
      </c>
      <c r="P1597" s="25">
        <v>144</v>
      </c>
      <c r="Q1597" s="24">
        <v>4600.8</v>
      </c>
      <c r="R1597" s="24">
        <f>O1597-Q1597</f>
        <v>3119.3099999999995</v>
      </c>
      <c r="S1597" s="53">
        <f>IF(O1597&lt;&gt;0,R1597/O1597,"")</f>
        <v>0.40404994229356833</v>
      </c>
      <c r="T1597" s="10"/>
      <c r="U1597" s="23">
        <v>0</v>
      </c>
      <c r="V1597" s="25">
        <v>0</v>
      </c>
      <c r="W1597" s="24">
        <v>0</v>
      </c>
      <c r="X1597" s="24">
        <f>U1597-W1597</f>
        <v>0</v>
      </c>
      <c r="Y1597" s="53" t="str">
        <f>IF(U1597&lt;&gt;0,X1597/U1597,"")</f>
        <v/>
      </c>
      <c r="Z1597" s="23">
        <v>0</v>
      </c>
      <c r="AA1597" s="25">
        <v>0</v>
      </c>
      <c r="AB1597" s="24">
        <v>0</v>
      </c>
      <c r="AC1597" s="24">
        <f t="shared" ref="AC1597" si="482">Z1597-AB1597</f>
        <v>0</v>
      </c>
      <c r="AD1597" s="53" t="str">
        <f t="shared" ref="AD1597" si="483">IF(Z1597&lt;&gt;0,AC1597/Z1597,"")</f>
        <v/>
      </c>
      <c r="AE1597" s="10"/>
    </row>
    <row r="1598" spans="1:31" x14ac:dyDescent="0.25">
      <c r="A1598" s="14" t="s">
        <v>109</v>
      </c>
      <c r="C1598" s="61" t="str">
        <f t="shared" ref="C1598:C1634" si="484">C1597</f>
        <v>C100099</v>
      </c>
      <c r="F1598" s="8" t="str">
        <f>"C100003"</f>
        <v>C100003</v>
      </c>
      <c r="G1598" s="9" t="str">
        <f>"Cherry Finish Frame"</f>
        <v>Cherry Finish Frame</v>
      </c>
      <c r="H1598" s="47"/>
      <c r="I1598" s="47"/>
      <c r="J1598" s="23">
        <v>0</v>
      </c>
      <c r="K1598" s="25">
        <v>0</v>
      </c>
      <c r="L1598" s="24">
        <v>0</v>
      </c>
      <c r="M1598" s="24">
        <f>J1598-L1598</f>
        <v>0</v>
      </c>
      <c r="N1598" s="53" t="str">
        <f>IF(J1598&lt;&gt;0,M1598/J1598,"")</f>
        <v/>
      </c>
      <c r="O1598" s="23">
        <v>9712.35</v>
      </c>
      <c r="P1598" s="25">
        <v>146</v>
      </c>
      <c r="Q1598" s="24">
        <v>4765.43</v>
      </c>
      <c r="R1598" s="24">
        <f>O1598-Q1598</f>
        <v>4946.92</v>
      </c>
      <c r="S1598" s="53">
        <f>IF(O1598&lt;&gt;0,R1598/O1598,"")</f>
        <v>0.50934325884054832</v>
      </c>
      <c r="T1598" s="10"/>
      <c r="U1598" s="23">
        <v>6254.03</v>
      </c>
      <c r="V1598" s="25">
        <v>96.999999999999986</v>
      </c>
      <c r="W1598" s="24">
        <v>3166.0800000000004</v>
      </c>
      <c r="X1598" s="24">
        <f>U1598-W1598</f>
        <v>3087.9499999999994</v>
      </c>
      <c r="Y1598" s="53">
        <f>IF(U1598&lt;&gt;0,X1598/U1598,"")</f>
        <v>0.49375362766088415</v>
      </c>
      <c r="Z1598" s="23">
        <v>0</v>
      </c>
      <c r="AA1598" s="25">
        <v>0</v>
      </c>
      <c r="AB1598" s="24">
        <v>0</v>
      </c>
      <c r="AC1598" s="24">
        <f t="shared" ref="AC1598:AC1634" si="485">Z1598-AB1598</f>
        <v>0</v>
      </c>
      <c r="AD1598" s="53" t="str">
        <f t="shared" ref="AD1598:AD1634" si="486">IF(Z1598&lt;&gt;0,AC1598/Z1598,"")</f>
        <v/>
      </c>
      <c r="AE1598" s="10"/>
    </row>
    <row r="1599" spans="1:31" x14ac:dyDescent="0.25">
      <c r="A1599" s="14" t="s">
        <v>109</v>
      </c>
      <c r="C1599" s="61" t="str">
        <f t="shared" si="484"/>
        <v>C100099</v>
      </c>
      <c r="F1599" s="8" t="str">
        <f>"C100004"</f>
        <v>C100004</v>
      </c>
      <c r="G1599" s="9" t="str">
        <f>"Walnut Medallian Plate"</f>
        <v>Walnut Medallian Plate</v>
      </c>
      <c r="H1599" s="47"/>
      <c r="I1599" s="47"/>
      <c r="J1599" s="23">
        <v>2735.31</v>
      </c>
      <c r="K1599" s="25">
        <v>48</v>
      </c>
      <c r="L1599" s="24">
        <v>1468.8</v>
      </c>
      <c r="M1599" s="24">
        <f>J1599-L1599</f>
        <v>1266.51</v>
      </c>
      <c r="N1599" s="53">
        <f>IF(J1599&lt;&gt;0,M1599/J1599,"")</f>
        <v>0.46302247277273872</v>
      </c>
      <c r="O1599" s="23">
        <v>690.94999999999993</v>
      </c>
      <c r="P1599" s="25">
        <v>12</v>
      </c>
      <c r="Q1599" s="24">
        <v>367.2</v>
      </c>
      <c r="R1599" s="24">
        <f>O1599-Q1599</f>
        <v>323.74999999999994</v>
      </c>
      <c r="S1599" s="53">
        <f>IF(O1599&lt;&gt;0,R1599/O1599,"")</f>
        <v>0.4685577827628627</v>
      </c>
      <c r="T1599" s="10"/>
      <c r="U1599" s="23">
        <v>8205.93</v>
      </c>
      <c r="V1599" s="25">
        <v>144</v>
      </c>
      <c r="W1599" s="24">
        <v>4406.3899999999994</v>
      </c>
      <c r="X1599" s="24">
        <f>U1599-W1599</f>
        <v>3799.5400000000009</v>
      </c>
      <c r="Y1599" s="53">
        <f>IF(U1599&lt;&gt;0,X1599/U1599,"")</f>
        <v>0.46302369140365573</v>
      </c>
      <c r="Z1599" s="23">
        <v>698.08</v>
      </c>
      <c r="AA1599" s="25">
        <v>12</v>
      </c>
      <c r="AB1599" s="24">
        <v>367.2</v>
      </c>
      <c r="AC1599" s="24">
        <f t="shared" si="485"/>
        <v>330.88000000000005</v>
      </c>
      <c r="AD1599" s="53">
        <f t="shared" si="486"/>
        <v>0.47398578959431586</v>
      </c>
      <c r="AE1599" s="10"/>
    </row>
    <row r="1600" spans="1:31" x14ac:dyDescent="0.25">
      <c r="A1600" s="14" t="s">
        <v>109</v>
      </c>
      <c r="C1600" s="61" t="str">
        <f t="shared" si="484"/>
        <v>C100099</v>
      </c>
      <c r="F1600" s="8" t="str">
        <f>"C100005"</f>
        <v>C100005</v>
      </c>
      <c r="G1600" s="9" t="str">
        <f>"Cherry Finished Crystal Award"</f>
        <v>Cherry Finished Crystal Award</v>
      </c>
      <c r="H1600" s="47"/>
      <c r="I1600" s="47"/>
      <c r="J1600" s="23">
        <v>4073.29</v>
      </c>
      <c r="K1600" s="25">
        <v>31</v>
      </c>
      <c r="L1600" s="24">
        <v>2198.83</v>
      </c>
      <c r="M1600" s="24">
        <f>J1600-L1600</f>
        <v>1874.46</v>
      </c>
      <c r="N1600" s="53">
        <f>IF(J1600&lt;&gt;0,M1600/J1600,"")</f>
        <v>0.46018329163894545</v>
      </c>
      <c r="O1600" s="23">
        <v>13012.27</v>
      </c>
      <c r="P1600" s="25">
        <v>96</v>
      </c>
      <c r="Q1600" s="24">
        <v>6809.28</v>
      </c>
      <c r="R1600" s="24">
        <f>O1600-Q1600</f>
        <v>6202.9900000000007</v>
      </c>
      <c r="S1600" s="53">
        <f>IF(O1600&lt;&gt;0,R1600/O1600,"")</f>
        <v>0.47670314249550622</v>
      </c>
      <c r="T1600" s="10"/>
      <c r="U1600" s="23">
        <v>0</v>
      </c>
      <c r="V1600" s="25">
        <v>0</v>
      </c>
      <c r="W1600" s="24">
        <v>0</v>
      </c>
      <c r="X1600" s="24">
        <f>U1600-W1600</f>
        <v>0</v>
      </c>
      <c r="Y1600" s="53" t="str">
        <f>IF(U1600&lt;&gt;0,X1600/U1600,"")</f>
        <v/>
      </c>
      <c r="Z1600" s="23">
        <v>3269.7499999999995</v>
      </c>
      <c r="AA1600" s="25">
        <v>24</v>
      </c>
      <c r="AB1600" s="24">
        <v>1702.32</v>
      </c>
      <c r="AC1600" s="24">
        <f t="shared" si="485"/>
        <v>1567.4299999999996</v>
      </c>
      <c r="AD1600" s="53">
        <f t="shared" si="486"/>
        <v>0.47937304075235104</v>
      </c>
      <c r="AE1600" s="10"/>
    </row>
    <row r="1601" spans="1:31" x14ac:dyDescent="0.25">
      <c r="A1601" s="14" t="s">
        <v>109</v>
      </c>
      <c r="C1601" s="61" t="str">
        <f t="shared" si="484"/>
        <v>C100099</v>
      </c>
      <c r="F1601" s="8" t="str">
        <f>"C100006"</f>
        <v>C100006</v>
      </c>
      <c r="G1601" s="9" t="str">
        <f>"Cherry Finished Crystal Award- Large"</f>
        <v>Cherry Finished Crystal Award- Large</v>
      </c>
      <c r="H1601" s="47"/>
      <c r="I1601" s="47"/>
      <c r="J1601" s="23">
        <v>14303.85</v>
      </c>
      <c r="K1601" s="25">
        <v>73</v>
      </c>
      <c r="L1601" s="24">
        <v>6937.920000000001</v>
      </c>
      <c r="M1601" s="24">
        <f>J1601-L1601</f>
        <v>7365.9299999999994</v>
      </c>
      <c r="N1601" s="53">
        <f>IF(J1601&lt;&gt;0,M1601/J1601,"")</f>
        <v>0.5149613565578498</v>
      </c>
      <c r="O1601" s="23">
        <v>7301.43</v>
      </c>
      <c r="P1601" s="25">
        <v>36</v>
      </c>
      <c r="Q1601" s="24">
        <v>3421.4399999999996</v>
      </c>
      <c r="R1601" s="24">
        <f>O1601-Q1601</f>
        <v>3879.9900000000007</v>
      </c>
      <c r="S1601" s="53">
        <f>IF(O1601&lt;&gt;0,R1601/O1601,"")</f>
        <v>0.53140138301675155</v>
      </c>
      <c r="T1601" s="10"/>
      <c r="U1601" s="23">
        <v>0</v>
      </c>
      <c r="V1601" s="25">
        <v>0</v>
      </c>
      <c r="W1601" s="24">
        <v>0</v>
      </c>
      <c r="X1601" s="24">
        <f>U1601-W1601</f>
        <v>0</v>
      </c>
      <c r="Y1601" s="53" t="str">
        <f>IF(U1601&lt;&gt;0,X1601/U1601,"")</f>
        <v/>
      </c>
      <c r="Z1601" s="23">
        <v>198.64000000000001</v>
      </c>
      <c r="AA1601" s="25">
        <v>1</v>
      </c>
      <c r="AB1601" s="24">
        <v>95.04</v>
      </c>
      <c r="AC1601" s="24">
        <f t="shared" si="485"/>
        <v>103.60000000000001</v>
      </c>
      <c r="AD1601" s="53">
        <f t="shared" si="486"/>
        <v>0.5215465163109142</v>
      </c>
      <c r="AE1601" s="10"/>
    </row>
    <row r="1602" spans="1:31" x14ac:dyDescent="0.25">
      <c r="A1602" s="14" t="s">
        <v>109</v>
      </c>
      <c r="C1602" s="61" t="str">
        <f t="shared" si="484"/>
        <v>C100099</v>
      </c>
      <c r="F1602" s="8" t="str">
        <f>"C100007"</f>
        <v>C100007</v>
      </c>
      <c r="G1602" s="9" t="str">
        <f>"7.5'' Bud Vase"</f>
        <v>7.5'' Bud Vase</v>
      </c>
      <c r="H1602" s="47"/>
      <c r="I1602" s="47"/>
      <c r="J1602" s="23">
        <v>279.69</v>
      </c>
      <c r="K1602" s="25">
        <v>168</v>
      </c>
      <c r="L1602" s="24">
        <v>171.37</v>
      </c>
      <c r="M1602" s="24">
        <f>J1602-L1602</f>
        <v>108.32</v>
      </c>
      <c r="N1602" s="53">
        <f>IF(J1602&lt;&gt;0,M1602/J1602,"")</f>
        <v>0.38728592370124065</v>
      </c>
      <c r="O1602" s="23">
        <v>645.35</v>
      </c>
      <c r="P1602" s="25">
        <v>390</v>
      </c>
      <c r="Q1602" s="24">
        <v>397.82000000000005</v>
      </c>
      <c r="R1602" s="24">
        <f>O1602-Q1602</f>
        <v>247.52999999999997</v>
      </c>
      <c r="S1602" s="53">
        <f>IF(O1602&lt;&gt;0,R1602/O1602,"")</f>
        <v>0.38355930890214607</v>
      </c>
      <c r="T1602" s="10"/>
      <c r="U1602" s="23">
        <v>0</v>
      </c>
      <c r="V1602" s="25">
        <v>0</v>
      </c>
      <c r="W1602" s="24">
        <v>0</v>
      </c>
      <c r="X1602" s="24">
        <f>U1602-W1602</f>
        <v>0</v>
      </c>
      <c r="Y1602" s="53" t="str">
        <f>IF(U1602&lt;&gt;0,X1602/U1602,"")</f>
        <v/>
      </c>
      <c r="Z1602" s="23">
        <v>79.97</v>
      </c>
      <c r="AA1602" s="25">
        <v>49</v>
      </c>
      <c r="AB1602" s="24">
        <v>49.980000000000004</v>
      </c>
      <c r="AC1602" s="24">
        <f t="shared" si="485"/>
        <v>29.989999999999995</v>
      </c>
      <c r="AD1602" s="53">
        <f t="shared" si="486"/>
        <v>0.37501563086157302</v>
      </c>
      <c r="AE1602" s="10"/>
    </row>
    <row r="1603" spans="1:31" x14ac:dyDescent="0.25">
      <c r="A1603" s="14" t="s">
        <v>109</v>
      </c>
      <c r="C1603" s="61" t="str">
        <f t="shared" si="484"/>
        <v>C100099</v>
      </c>
      <c r="F1603" s="8" t="str">
        <f>"C100008"</f>
        <v>C100008</v>
      </c>
      <c r="G1603" s="9" t="str">
        <f>"Glacier Vase"</f>
        <v>Glacier Vase</v>
      </c>
      <c r="H1603" s="47"/>
      <c r="I1603" s="47"/>
      <c r="J1603" s="23">
        <v>8.33</v>
      </c>
      <c r="K1603" s="25">
        <v>1</v>
      </c>
      <c r="L1603" s="24">
        <v>4.25</v>
      </c>
      <c r="M1603" s="24">
        <f>J1603-L1603</f>
        <v>4.08</v>
      </c>
      <c r="N1603" s="53">
        <f>IF(J1603&lt;&gt;0,M1603/J1603,"")</f>
        <v>0.48979591836734693</v>
      </c>
      <c r="O1603" s="23">
        <v>0</v>
      </c>
      <c r="P1603" s="25">
        <v>0</v>
      </c>
      <c r="Q1603" s="24">
        <v>0</v>
      </c>
      <c r="R1603" s="24">
        <f>O1603-Q1603</f>
        <v>0</v>
      </c>
      <c r="S1603" s="53" t="str">
        <f>IF(O1603&lt;&gt;0,R1603/O1603,"")</f>
        <v/>
      </c>
      <c r="T1603" s="10"/>
      <c r="U1603" s="23">
        <v>152.04</v>
      </c>
      <c r="V1603" s="25">
        <v>18</v>
      </c>
      <c r="W1603" s="24">
        <v>76.5</v>
      </c>
      <c r="X1603" s="24">
        <f>U1603-W1603</f>
        <v>75.539999999999992</v>
      </c>
      <c r="Y1603" s="53">
        <f>IF(U1603&lt;&gt;0,X1603/U1603,"")</f>
        <v>0.4968429360694554</v>
      </c>
      <c r="Z1603" s="23">
        <v>425.71000000000004</v>
      </c>
      <c r="AA1603" s="25">
        <v>48</v>
      </c>
      <c r="AB1603" s="24">
        <v>204</v>
      </c>
      <c r="AC1603" s="24">
        <f t="shared" si="485"/>
        <v>221.71000000000004</v>
      </c>
      <c r="AD1603" s="53">
        <f t="shared" si="486"/>
        <v>0.52080054497192929</v>
      </c>
      <c r="AE1603" s="10"/>
    </row>
    <row r="1604" spans="1:31" x14ac:dyDescent="0.25">
      <c r="A1604" s="14" t="s">
        <v>109</v>
      </c>
      <c r="C1604" s="61" t="str">
        <f t="shared" si="484"/>
        <v>C100099</v>
      </c>
      <c r="F1604" s="8" t="str">
        <f>"C100009"</f>
        <v>C100009</v>
      </c>
      <c r="G1604" s="9" t="str">
        <f>"Normandy Vase"</f>
        <v>Normandy Vase</v>
      </c>
      <c r="H1604" s="47"/>
      <c r="I1604" s="47"/>
      <c r="J1604" s="23">
        <v>5483.03</v>
      </c>
      <c r="K1604" s="25">
        <v>145</v>
      </c>
      <c r="L1604" s="24">
        <v>3700.38</v>
      </c>
      <c r="M1604" s="24">
        <f>J1604-L1604</f>
        <v>1782.6499999999996</v>
      </c>
      <c r="N1604" s="53">
        <f>IF(J1604&lt;&gt;0,M1604/J1604,"")</f>
        <v>0.3251213289002613</v>
      </c>
      <c r="O1604" s="23">
        <v>4671.7000000000007</v>
      </c>
      <c r="P1604" s="25">
        <v>120.99999999999999</v>
      </c>
      <c r="Q1604" s="24">
        <v>3087.9</v>
      </c>
      <c r="R1604" s="24">
        <f>O1604-Q1604</f>
        <v>1583.8000000000006</v>
      </c>
      <c r="S1604" s="53">
        <f>IF(O1604&lt;&gt;0,R1604/O1604,"")</f>
        <v>0.33902005693858778</v>
      </c>
      <c r="T1604" s="10"/>
      <c r="U1604" s="23">
        <v>10892.019999999999</v>
      </c>
      <c r="V1604" s="25">
        <v>288</v>
      </c>
      <c r="W1604" s="24">
        <v>7349.72</v>
      </c>
      <c r="X1604" s="24">
        <f>U1604-W1604</f>
        <v>3542.2999999999984</v>
      </c>
      <c r="Y1604" s="53">
        <f>IF(U1604&lt;&gt;0,X1604/U1604,"")</f>
        <v>0.32521974803571779</v>
      </c>
      <c r="Z1604" s="23">
        <v>0</v>
      </c>
      <c r="AA1604" s="25">
        <v>0</v>
      </c>
      <c r="AB1604" s="24">
        <v>0</v>
      </c>
      <c r="AC1604" s="24">
        <f t="shared" si="485"/>
        <v>0</v>
      </c>
      <c r="AD1604" s="53" t="str">
        <f t="shared" si="486"/>
        <v/>
      </c>
      <c r="AE1604" s="10"/>
    </row>
    <row r="1605" spans="1:31" x14ac:dyDescent="0.25">
      <c r="A1605" s="14" t="s">
        <v>109</v>
      </c>
      <c r="C1605" s="61" t="str">
        <f t="shared" si="484"/>
        <v>C100099</v>
      </c>
      <c r="F1605" s="8" t="str">
        <f>"C100010"</f>
        <v>C100010</v>
      </c>
      <c r="G1605" s="9" t="str">
        <f>"Wisper-Cut Vase"</f>
        <v>Wisper-Cut Vase</v>
      </c>
      <c r="H1605" s="47"/>
      <c r="I1605" s="47"/>
      <c r="J1605" s="23">
        <v>3957.0000000000005</v>
      </c>
      <c r="K1605" s="25">
        <v>48</v>
      </c>
      <c r="L1605" s="24">
        <v>1931.99</v>
      </c>
      <c r="M1605" s="24">
        <f>J1605-L1605</f>
        <v>2025.0100000000004</v>
      </c>
      <c r="N1605" s="53">
        <f>IF(J1605&lt;&gt;0,M1605/J1605,"")</f>
        <v>0.51175385392974482</v>
      </c>
      <c r="O1605" s="23">
        <v>0</v>
      </c>
      <c r="P1605" s="25">
        <v>0</v>
      </c>
      <c r="Q1605" s="24">
        <v>0</v>
      </c>
      <c r="R1605" s="24">
        <f>O1605-Q1605</f>
        <v>0</v>
      </c>
      <c r="S1605" s="53" t="str">
        <f>IF(O1605&lt;&gt;0,R1605/O1605,"")</f>
        <v/>
      </c>
      <c r="T1605" s="10"/>
      <c r="U1605" s="23">
        <v>0</v>
      </c>
      <c r="V1605" s="25">
        <v>0</v>
      </c>
      <c r="W1605" s="24">
        <v>0</v>
      </c>
      <c r="X1605" s="24">
        <f>U1605-W1605</f>
        <v>0</v>
      </c>
      <c r="Y1605" s="53" t="str">
        <f>IF(U1605&lt;&gt;0,X1605/U1605,"")</f>
        <v/>
      </c>
      <c r="Z1605" s="23">
        <v>82.44</v>
      </c>
      <c r="AA1605" s="25">
        <v>1</v>
      </c>
      <c r="AB1605" s="24">
        <v>40.25</v>
      </c>
      <c r="AC1605" s="24">
        <f t="shared" si="485"/>
        <v>42.19</v>
      </c>
      <c r="AD1605" s="53">
        <f t="shared" si="486"/>
        <v>0.51176613294517226</v>
      </c>
      <c r="AE1605" s="10"/>
    </row>
    <row r="1606" spans="1:31" x14ac:dyDescent="0.25">
      <c r="A1606" s="14" t="s">
        <v>109</v>
      </c>
      <c r="C1606" s="61" t="str">
        <f t="shared" si="484"/>
        <v>C100099</v>
      </c>
      <c r="F1606" s="8" t="str">
        <f>"C100011"</f>
        <v>C100011</v>
      </c>
      <c r="G1606" s="9" t="str">
        <f>"Winter Frost Vase"</f>
        <v>Winter Frost Vase</v>
      </c>
      <c r="H1606" s="47"/>
      <c r="I1606" s="47"/>
      <c r="J1606" s="23">
        <v>2723.9</v>
      </c>
      <c r="K1606" s="25">
        <v>49</v>
      </c>
      <c r="L1606" s="24">
        <v>1896.3100000000002</v>
      </c>
      <c r="M1606" s="24">
        <f>J1606-L1606</f>
        <v>827.58999999999992</v>
      </c>
      <c r="N1606" s="53">
        <f>IF(J1606&lt;&gt;0,M1606/J1606,"")</f>
        <v>0.30382539740812803</v>
      </c>
      <c r="O1606" s="23">
        <v>0</v>
      </c>
      <c r="P1606" s="25">
        <v>0</v>
      </c>
      <c r="Q1606" s="24">
        <v>0</v>
      </c>
      <c r="R1606" s="24">
        <f>O1606-Q1606</f>
        <v>0</v>
      </c>
      <c r="S1606" s="53" t="str">
        <f>IF(O1606&lt;&gt;0,R1606/O1606,"")</f>
        <v/>
      </c>
      <c r="T1606" s="10"/>
      <c r="U1606" s="23">
        <v>11070.05</v>
      </c>
      <c r="V1606" s="25">
        <v>193</v>
      </c>
      <c r="W1606" s="24">
        <v>7469.13</v>
      </c>
      <c r="X1606" s="24">
        <f>U1606-W1606</f>
        <v>3600.9199999999992</v>
      </c>
      <c r="Y1606" s="53">
        <f>IF(U1606&lt;&gt;0,X1606/U1606,"")</f>
        <v>0.32528489031214847</v>
      </c>
      <c r="Z1606" s="23">
        <v>0</v>
      </c>
      <c r="AA1606" s="25">
        <v>0</v>
      </c>
      <c r="AB1606" s="24">
        <v>0</v>
      </c>
      <c r="AC1606" s="24">
        <f t="shared" si="485"/>
        <v>0</v>
      </c>
      <c r="AD1606" s="53" t="str">
        <f t="shared" si="486"/>
        <v/>
      </c>
      <c r="AE1606" s="10"/>
    </row>
    <row r="1607" spans="1:31" x14ac:dyDescent="0.25">
      <c r="A1607" s="14" t="s">
        <v>109</v>
      </c>
      <c r="C1607" s="61" t="str">
        <f t="shared" si="484"/>
        <v>C100099</v>
      </c>
      <c r="F1607" s="8" t="str">
        <f>"C100032"</f>
        <v>C100032</v>
      </c>
      <c r="G1607" s="9" t="str">
        <f>"Clip-on Clock"</f>
        <v>Clip-on Clock</v>
      </c>
      <c r="H1607" s="47"/>
      <c r="I1607" s="47"/>
      <c r="J1607" s="23">
        <v>383.65000000000003</v>
      </c>
      <c r="K1607" s="25">
        <v>48</v>
      </c>
      <c r="L1607" s="24">
        <v>199.68</v>
      </c>
      <c r="M1607" s="24">
        <f>J1607-L1607</f>
        <v>183.97000000000003</v>
      </c>
      <c r="N1607" s="53">
        <f>IF(J1607&lt;&gt;0,M1607/J1607,"")</f>
        <v>0.47952560927929105</v>
      </c>
      <c r="O1607" s="23">
        <v>2301.9299999999998</v>
      </c>
      <c r="P1607" s="25">
        <v>288</v>
      </c>
      <c r="Q1607" s="24">
        <v>1198.1099999999999</v>
      </c>
      <c r="R1607" s="24">
        <f>O1607-Q1607</f>
        <v>1103.82</v>
      </c>
      <c r="S1607" s="53">
        <f>IF(O1607&lt;&gt;0,R1607/O1607,"")</f>
        <v>0.47951935984152427</v>
      </c>
      <c r="T1607" s="10"/>
      <c r="U1607" s="23">
        <v>0</v>
      </c>
      <c r="V1607" s="25">
        <v>0</v>
      </c>
      <c r="W1607" s="24">
        <v>0</v>
      </c>
      <c r="X1607" s="24">
        <f>U1607-W1607</f>
        <v>0</v>
      </c>
      <c r="Y1607" s="53" t="str">
        <f>IF(U1607&lt;&gt;0,X1607/U1607,"")</f>
        <v/>
      </c>
      <c r="Z1607" s="23">
        <v>1139.0999999999999</v>
      </c>
      <c r="AA1607" s="25">
        <v>144</v>
      </c>
      <c r="AB1607" s="24">
        <v>599.05000000000007</v>
      </c>
      <c r="AC1607" s="24">
        <f t="shared" si="485"/>
        <v>540.04999999999984</v>
      </c>
      <c r="AD1607" s="53">
        <f t="shared" si="486"/>
        <v>0.47410236151347546</v>
      </c>
      <c r="AE1607" s="10"/>
    </row>
    <row r="1608" spans="1:31" x14ac:dyDescent="0.25">
      <c r="A1608" s="14" t="s">
        <v>109</v>
      </c>
      <c r="C1608" s="61" t="str">
        <f t="shared" si="484"/>
        <v>C100099</v>
      </c>
      <c r="F1608" s="8" t="str">
        <f>"C100033"</f>
        <v>C100033</v>
      </c>
      <c r="G1608" s="9" t="str">
        <f>"Frames &amp; Clock"</f>
        <v>Frames &amp; Clock</v>
      </c>
      <c r="H1608" s="47"/>
      <c r="I1608" s="47"/>
      <c r="J1608" s="23">
        <v>27.3</v>
      </c>
      <c r="K1608" s="25">
        <v>6</v>
      </c>
      <c r="L1608" s="24">
        <v>17.28</v>
      </c>
      <c r="M1608" s="24">
        <f>J1608-L1608</f>
        <v>10.02</v>
      </c>
      <c r="N1608" s="53">
        <f>IF(J1608&lt;&gt;0,M1608/J1608,"")</f>
        <v>0.36703296703296701</v>
      </c>
      <c r="O1608" s="23">
        <v>0</v>
      </c>
      <c r="P1608" s="25">
        <v>0</v>
      </c>
      <c r="Q1608" s="24">
        <v>0</v>
      </c>
      <c r="R1608" s="24">
        <f>O1608-Q1608</f>
        <v>0</v>
      </c>
      <c r="S1608" s="53" t="str">
        <f>IF(O1608&lt;&gt;0,R1608/O1608,"")</f>
        <v/>
      </c>
      <c r="T1608" s="10"/>
      <c r="U1608" s="23">
        <v>110.35</v>
      </c>
      <c r="V1608" s="25">
        <v>24</v>
      </c>
      <c r="W1608" s="24">
        <v>69.12</v>
      </c>
      <c r="X1608" s="24">
        <f>U1608-W1608</f>
        <v>41.22999999999999</v>
      </c>
      <c r="Y1608" s="53">
        <f>IF(U1608&lt;&gt;0,X1608/U1608,"")</f>
        <v>0.37362936112369727</v>
      </c>
      <c r="Z1608" s="23">
        <v>1352.1</v>
      </c>
      <c r="AA1608" s="25">
        <v>288</v>
      </c>
      <c r="AB1608" s="24">
        <v>829.4</v>
      </c>
      <c r="AC1608" s="24">
        <f t="shared" si="485"/>
        <v>522.69999999999993</v>
      </c>
      <c r="AD1608" s="53">
        <f t="shared" si="486"/>
        <v>0.38658383255676354</v>
      </c>
      <c r="AE1608" s="10"/>
    </row>
    <row r="1609" spans="1:31" x14ac:dyDescent="0.25">
      <c r="A1609" s="14" t="s">
        <v>109</v>
      </c>
      <c r="C1609" s="61" t="str">
        <f t="shared" si="484"/>
        <v>C100099</v>
      </c>
      <c r="F1609" s="8" t="str">
        <f>"C100034"</f>
        <v>C100034</v>
      </c>
      <c r="G1609" s="9" t="str">
        <f>"Clock &amp; Pen Holder"</f>
        <v>Clock &amp; Pen Holder</v>
      </c>
      <c r="H1609" s="47"/>
      <c r="I1609" s="47"/>
      <c r="J1609" s="23">
        <v>0</v>
      </c>
      <c r="K1609" s="25">
        <v>0</v>
      </c>
      <c r="L1609" s="24">
        <v>0</v>
      </c>
      <c r="M1609" s="24">
        <f>J1609-L1609</f>
        <v>0</v>
      </c>
      <c r="N1609" s="53" t="str">
        <f>IF(J1609&lt;&gt;0,M1609/J1609,"")</f>
        <v/>
      </c>
      <c r="O1609" s="23">
        <v>31.06</v>
      </c>
      <c r="P1609" s="25">
        <v>2</v>
      </c>
      <c r="Q1609" s="24">
        <v>19.760000000000002</v>
      </c>
      <c r="R1609" s="24">
        <f>O1609-Q1609</f>
        <v>11.299999999999997</v>
      </c>
      <c r="S1609" s="53">
        <f>IF(O1609&lt;&gt;0,R1609/O1609,"")</f>
        <v>0.3638119768190598</v>
      </c>
      <c r="T1609" s="10"/>
      <c r="U1609" s="23">
        <v>2274.06</v>
      </c>
      <c r="V1609" s="25">
        <v>145</v>
      </c>
      <c r="W1609" s="24">
        <v>1432.5900000000001</v>
      </c>
      <c r="X1609" s="24">
        <f>U1609-W1609</f>
        <v>841.4699999999998</v>
      </c>
      <c r="Y1609" s="53">
        <f>IF(U1609&lt;&gt;0,X1609/U1609,"")</f>
        <v>0.37002981451676731</v>
      </c>
      <c r="Z1609" s="23">
        <v>2463.2999999999997</v>
      </c>
      <c r="AA1609" s="25">
        <v>157</v>
      </c>
      <c r="AB1609" s="24">
        <v>1551.1499999999999</v>
      </c>
      <c r="AC1609" s="24">
        <f t="shared" si="485"/>
        <v>912.14999999999986</v>
      </c>
      <c r="AD1609" s="53">
        <f t="shared" si="486"/>
        <v>0.3702959444647424</v>
      </c>
      <c r="AE1609" s="10"/>
    </row>
    <row r="1610" spans="1:31" x14ac:dyDescent="0.25">
      <c r="A1610" s="14" t="s">
        <v>109</v>
      </c>
      <c r="C1610" s="61" t="str">
        <f t="shared" si="484"/>
        <v>C100099</v>
      </c>
      <c r="F1610" s="8" t="str">
        <f>"C100035"</f>
        <v>C100035</v>
      </c>
      <c r="G1610" s="9" t="str">
        <f>"Calculator &amp; World Time Clock"</f>
        <v>Calculator &amp; World Time Clock</v>
      </c>
      <c r="H1610" s="47"/>
      <c r="I1610" s="47"/>
      <c r="J1610" s="23">
        <v>420.32000000000005</v>
      </c>
      <c r="K1610" s="25">
        <v>146</v>
      </c>
      <c r="L1610" s="24">
        <v>286.15999999999997</v>
      </c>
      <c r="M1610" s="24">
        <f>J1610-L1610</f>
        <v>134.16000000000008</v>
      </c>
      <c r="N1610" s="53">
        <f>IF(J1610&lt;&gt;0,M1610/J1610,"")</f>
        <v>0.31918538256566442</v>
      </c>
      <c r="O1610" s="23">
        <v>163.60999999999999</v>
      </c>
      <c r="P1610" s="25">
        <v>57</v>
      </c>
      <c r="Q1610" s="24">
        <v>111.71999999999998</v>
      </c>
      <c r="R1610" s="24">
        <f>O1610-Q1610</f>
        <v>51.89</v>
      </c>
      <c r="S1610" s="53">
        <f>IF(O1610&lt;&gt;0,R1610/O1610,"")</f>
        <v>0.31715665301631935</v>
      </c>
      <c r="T1610" s="10"/>
      <c r="U1610" s="23">
        <v>417.71000000000004</v>
      </c>
      <c r="V1610" s="25">
        <v>145</v>
      </c>
      <c r="W1610" s="24">
        <v>284.2</v>
      </c>
      <c r="X1610" s="24">
        <f>U1610-W1610</f>
        <v>133.51000000000005</v>
      </c>
      <c r="Y1610" s="53">
        <f>IF(U1610&lt;&gt;0,X1610/U1610,"")</f>
        <v>0.31962366234947698</v>
      </c>
      <c r="Z1610" s="23">
        <v>0</v>
      </c>
      <c r="AA1610" s="25">
        <v>0</v>
      </c>
      <c r="AB1610" s="24">
        <v>0</v>
      </c>
      <c r="AC1610" s="24">
        <f t="shared" si="485"/>
        <v>0</v>
      </c>
      <c r="AD1610" s="53" t="str">
        <f t="shared" si="486"/>
        <v/>
      </c>
      <c r="AE1610" s="10"/>
    </row>
    <row r="1611" spans="1:31" x14ac:dyDescent="0.25">
      <c r="A1611" s="14" t="s">
        <v>109</v>
      </c>
      <c r="C1611" s="61" t="str">
        <f t="shared" si="484"/>
        <v>C100099</v>
      </c>
      <c r="F1611" s="8" t="str">
        <f>"C100036"</f>
        <v>C100036</v>
      </c>
      <c r="G1611" s="9" t="str">
        <f>"Clock &amp; Business Card Holder"</f>
        <v>Clock &amp; Business Card Holder</v>
      </c>
      <c r="H1611" s="47"/>
      <c r="I1611" s="47"/>
      <c r="J1611" s="23">
        <v>8.44</v>
      </c>
      <c r="K1611" s="25">
        <v>1</v>
      </c>
      <c r="L1611" s="24">
        <v>4.68</v>
      </c>
      <c r="M1611" s="24">
        <f>J1611-L1611</f>
        <v>3.76</v>
      </c>
      <c r="N1611" s="53">
        <f>IF(J1611&lt;&gt;0,M1611/J1611,"")</f>
        <v>0.44549763033175355</v>
      </c>
      <c r="O1611" s="23">
        <v>1521.0199999999998</v>
      </c>
      <c r="P1611" s="25">
        <v>181</v>
      </c>
      <c r="Q1611" s="24">
        <v>847.08999999999992</v>
      </c>
      <c r="R1611" s="24">
        <f>O1611-Q1611</f>
        <v>673.92999999999984</v>
      </c>
      <c r="S1611" s="53">
        <f>IF(O1611&lt;&gt;0,R1611/O1611,"")</f>
        <v>0.44307767156250405</v>
      </c>
      <c r="T1611" s="10"/>
      <c r="U1611" s="23">
        <v>400.9</v>
      </c>
      <c r="V1611" s="25">
        <v>48</v>
      </c>
      <c r="W1611" s="24">
        <v>224.64</v>
      </c>
      <c r="X1611" s="24">
        <f>U1611-W1611</f>
        <v>176.26</v>
      </c>
      <c r="Y1611" s="53">
        <f>IF(U1611&lt;&gt;0,X1611/U1611,"")</f>
        <v>0.43966076328261411</v>
      </c>
      <c r="Z1611" s="23">
        <v>8.26</v>
      </c>
      <c r="AA1611" s="25">
        <v>1</v>
      </c>
      <c r="AB1611" s="24">
        <v>4.68</v>
      </c>
      <c r="AC1611" s="24">
        <f t="shared" si="485"/>
        <v>3.58</v>
      </c>
      <c r="AD1611" s="53">
        <f t="shared" si="486"/>
        <v>0.43341404358353514</v>
      </c>
      <c r="AE1611" s="10"/>
    </row>
    <row r="1612" spans="1:31" x14ac:dyDescent="0.25">
      <c r="A1612" s="14" t="s">
        <v>109</v>
      </c>
      <c r="C1612" s="61" t="str">
        <f t="shared" si="484"/>
        <v>C100099</v>
      </c>
      <c r="F1612" s="8" t="str">
        <f>"C100037"</f>
        <v>C100037</v>
      </c>
      <c r="G1612" s="9" t="str">
        <f>"World Time Travel Alarm"</f>
        <v>World Time Travel Alarm</v>
      </c>
      <c r="H1612" s="47"/>
      <c r="I1612" s="47"/>
      <c r="J1612" s="23">
        <v>2607.41</v>
      </c>
      <c r="K1612" s="25">
        <v>301</v>
      </c>
      <c r="L1612" s="24">
        <v>1625.4199999999998</v>
      </c>
      <c r="M1612" s="24">
        <f>J1612-L1612</f>
        <v>981.99</v>
      </c>
      <c r="N1612" s="53">
        <f>IF(J1612&lt;&gt;0,M1612/J1612,"")</f>
        <v>0.37661510847929558</v>
      </c>
      <c r="O1612" s="23">
        <v>0</v>
      </c>
      <c r="P1612" s="25">
        <v>0</v>
      </c>
      <c r="Q1612" s="24">
        <v>0</v>
      </c>
      <c r="R1612" s="24">
        <f>O1612-Q1612</f>
        <v>0</v>
      </c>
      <c r="S1612" s="53" t="str">
        <f>IF(O1612&lt;&gt;0,R1612/O1612,"")</f>
        <v/>
      </c>
      <c r="T1612" s="10"/>
      <c r="U1612" s="23">
        <v>3511.3</v>
      </c>
      <c r="V1612" s="25">
        <v>409</v>
      </c>
      <c r="W1612" s="24">
        <v>2208.62</v>
      </c>
      <c r="X1612" s="24">
        <f>U1612-W1612</f>
        <v>1302.6800000000003</v>
      </c>
      <c r="Y1612" s="53">
        <f>IF(U1612&lt;&gt;0,X1612/U1612,"")</f>
        <v>0.37099649702389437</v>
      </c>
      <c r="Z1612" s="23">
        <v>2623.7400000000002</v>
      </c>
      <c r="AA1612" s="25">
        <v>300</v>
      </c>
      <c r="AB1612" s="24">
        <v>1620.02</v>
      </c>
      <c r="AC1612" s="24">
        <f t="shared" si="485"/>
        <v>1003.7200000000003</v>
      </c>
      <c r="AD1612" s="53">
        <f t="shared" si="486"/>
        <v>0.38255314932119805</v>
      </c>
      <c r="AE1612" s="10"/>
    </row>
    <row r="1613" spans="1:31" x14ac:dyDescent="0.25">
      <c r="A1613" s="14" t="s">
        <v>109</v>
      </c>
      <c r="C1613" s="61" t="str">
        <f t="shared" si="484"/>
        <v>C100099</v>
      </c>
      <c r="F1613" s="8" t="str">
        <f>"C100038"</f>
        <v>C100038</v>
      </c>
      <c r="G1613" s="9" t="str">
        <f>"Foldable Travel Speakers"</f>
        <v>Foldable Travel Speakers</v>
      </c>
      <c r="H1613" s="47"/>
      <c r="I1613" s="47"/>
      <c r="J1613" s="23">
        <v>883.8</v>
      </c>
      <c r="K1613" s="25">
        <v>192</v>
      </c>
      <c r="L1613" s="24">
        <v>612.47</v>
      </c>
      <c r="M1613" s="24">
        <f>J1613-L1613</f>
        <v>271.32999999999993</v>
      </c>
      <c r="N1613" s="53">
        <f>IF(J1613&lt;&gt;0,M1613/J1613,"")</f>
        <v>0.30700384702421357</v>
      </c>
      <c r="O1613" s="23">
        <v>797.13</v>
      </c>
      <c r="P1613" s="25">
        <v>169</v>
      </c>
      <c r="Q1613" s="24">
        <v>539.1</v>
      </c>
      <c r="R1613" s="24">
        <f>O1613-Q1613</f>
        <v>258.02999999999997</v>
      </c>
      <c r="S1613" s="53">
        <f>IF(O1613&lt;&gt;0,R1613/O1613,"")</f>
        <v>0.32369876933498926</v>
      </c>
      <c r="T1613" s="10"/>
      <c r="U1613" s="23">
        <v>684.82999999999993</v>
      </c>
      <c r="V1613" s="25">
        <v>145</v>
      </c>
      <c r="W1613" s="24">
        <v>462.54</v>
      </c>
      <c r="X1613" s="24">
        <f>U1613-W1613</f>
        <v>222.28999999999991</v>
      </c>
      <c r="Y1613" s="53">
        <f>IF(U1613&lt;&gt;0,X1613/U1613,"")</f>
        <v>0.32459150446096102</v>
      </c>
      <c r="Z1613" s="23">
        <v>899.99</v>
      </c>
      <c r="AA1613" s="25">
        <v>192</v>
      </c>
      <c r="AB1613" s="24">
        <v>612.47</v>
      </c>
      <c r="AC1613" s="24">
        <f t="shared" si="485"/>
        <v>287.52</v>
      </c>
      <c r="AD1613" s="53">
        <f t="shared" si="486"/>
        <v>0.31947021633573702</v>
      </c>
      <c r="AE1613" s="10"/>
    </row>
    <row r="1614" spans="1:31" x14ac:dyDescent="0.25">
      <c r="A1614" s="14" t="s">
        <v>109</v>
      </c>
      <c r="C1614" s="61" t="str">
        <f t="shared" si="484"/>
        <v>C100099</v>
      </c>
      <c r="F1614" s="8" t="str">
        <f>"C100039"</f>
        <v>C100039</v>
      </c>
      <c r="G1614" s="9" t="str">
        <f>"Portable Speaker &amp; MP3 Dock"</f>
        <v>Portable Speaker &amp; MP3 Dock</v>
      </c>
      <c r="H1614" s="47"/>
      <c r="I1614" s="47"/>
      <c r="J1614" s="23">
        <v>0</v>
      </c>
      <c r="K1614" s="25">
        <v>0</v>
      </c>
      <c r="L1614" s="24">
        <v>0</v>
      </c>
      <c r="M1614" s="24">
        <f>J1614-L1614</f>
        <v>0</v>
      </c>
      <c r="N1614" s="53" t="str">
        <f>IF(J1614&lt;&gt;0,M1614/J1614,"")</f>
        <v/>
      </c>
      <c r="O1614" s="23">
        <v>713.9</v>
      </c>
      <c r="P1614" s="25">
        <v>49</v>
      </c>
      <c r="Q1614" s="24">
        <v>411.59999999999997</v>
      </c>
      <c r="R1614" s="24">
        <f>O1614-Q1614</f>
        <v>302.3</v>
      </c>
      <c r="S1614" s="53">
        <f>IF(O1614&lt;&gt;0,R1614/O1614,"")</f>
        <v>0.42344866227762995</v>
      </c>
      <c r="T1614" s="10"/>
      <c r="U1614" s="23">
        <v>0</v>
      </c>
      <c r="V1614" s="25">
        <v>0</v>
      </c>
      <c r="W1614" s="24">
        <v>0</v>
      </c>
      <c r="X1614" s="24">
        <f>U1614-W1614</f>
        <v>0</v>
      </c>
      <c r="Y1614" s="53" t="str">
        <f>IF(U1614&lt;&gt;0,X1614/U1614,"")</f>
        <v/>
      </c>
      <c r="Z1614" s="23">
        <v>4168.6499999999996</v>
      </c>
      <c r="AA1614" s="25">
        <v>289</v>
      </c>
      <c r="AB1614" s="24">
        <v>2427.6</v>
      </c>
      <c r="AC1614" s="24">
        <f t="shared" si="485"/>
        <v>1741.0499999999997</v>
      </c>
      <c r="AD1614" s="53">
        <f t="shared" si="486"/>
        <v>0.41765319707819076</v>
      </c>
      <c r="AE1614" s="10"/>
    </row>
    <row r="1615" spans="1:31" x14ac:dyDescent="0.25">
      <c r="A1615" s="14" t="s">
        <v>109</v>
      </c>
      <c r="C1615" s="61" t="str">
        <f t="shared" si="484"/>
        <v>C100099</v>
      </c>
      <c r="F1615" s="8" t="str">
        <f>"C100040"</f>
        <v>C100040</v>
      </c>
      <c r="G1615" s="9" t="str">
        <f>"Channel Speaker System"</f>
        <v>Channel Speaker System</v>
      </c>
      <c r="H1615" s="47"/>
      <c r="I1615" s="47"/>
      <c r="J1615" s="23">
        <v>13756.16</v>
      </c>
      <c r="K1615" s="25">
        <v>336</v>
      </c>
      <c r="L1615" s="24">
        <v>6978.65</v>
      </c>
      <c r="M1615" s="24">
        <f>J1615-L1615</f>
        <v>6777.51</v>
      </c>
      <c r="N1615" s="53">
        <f>IF(J1615&lt;&gt;0,M1615/J1615,"")</f>
        <v>0.49268909346794454</v>
      </c>
      <c r="O1615" s="23">
        <v>41.12</v>
      </c>
      <c r="P1615" s="25">
        <v>1</v>
      </c>
      <c r="Q1615" s="24">
        <v>20.77</v>
      </c>
      <c r="R1615" s="24">
        <f>O1615-Q1615</f>
        <v>20.349999999999998</v>
      </c>
      <c r="S1615" s="53">
        <f>IF(O1615&lt;&gt;0,R1615/O1615,"")</f>
        <v>0.49489299610894938</v>
      </c>
      <c r="T1615" s="10"/>
      <c r="U1615" s="23">
        <v>11661.52</v>
      </c>
      <c r="V1615" s="25">
        <v>288</v>
      </c>
      <c r="W1615" s="24">
        <v>5981.7000000000007</v>
      </c>
      <c r="X1615" s="24">
        <f>U1615-W1615</f>
        <v>5679.82</v>
      </c>
      <c r="Y1615" s="53">
        <f>IF(U1615&lt;&gt;0,X1615/U1615,"")</f>
        <v>0.48705657581515954</v>
      </c>
      <c r="Z1615" s="23">
        <v>493.45000000000005</v>
      </c>
      <c r="AA1615" s="25">
        <v>12</v>
      </c>
      <c r="AB1615" s="24">
        <v>249.24</v>
      </c>
      <c r="AC1615" s="24">
        <f t="shared" si="485"/>
        <v>244.21000000000004</v>
      </c>
      <c r="AD1615" s="53">
        <f t="shared" si="486"/>
        <v>0.49490323234370254</v>
      </c>
      <c r="AE1615" s="10"/>
    </row>
    <row r="1616" spans="1:31" x14ac:dyDescent="0.25">
      <c r="A1616" s="14" t="s">
        <v>109</v>
      </c>
      <c r="C1616" s="61" t="str">
        <f t="shared" si="484"/>
        <v>C100099</v>
      </c>
      <c r="F1616" s="8" t="str">
        <f>"C100041"</f>
        <v>C100041</v>
      </c>
      <c r="G1616" s="9" t="str">
        <f>"Folding Stereo Speakers"</f>
        <v>Folding Stereo Speakers</v>
      </c>
      <c r="H1616" s="47"/>
      <c r="I1616" s="47"/>
      <c r="J1616" s="23">
        <v>2601.4499999999998</v>
      </c>
      <c r="K1616" s="25">
        <v>175</v>
      </c>
      <c r="L1616" s="24">
        <v>1464.6399999999999</v>
      </c>
      <c r="M1616" s="24">
        <f>J1616-L1616</f>
        <v>1136.81</v>
      </c>
      <c r="N1616" s="53">
        <f>IF(J1616&lt;&gt;0,M1616/J1616,"")</f>
        <v>0.43699090891618136</v>
      </c>
      <c r="O1616" s="23">
        <v>15.26</v>
      </c>
      <c r="P1616" s="25">
        <v>1</v>
      </c>
      <c r="Q1616" s="24">
        <v>8.3699999999999992</v>
      </c>
      <c r="R1616" s="24">
        <f>O1616-Q1616</f>
        <v>6.8900000000000006</v>
      </c>
      <c r="S1616" s="53">
        <f>IF(O1616&lt;&gt;0,R1616/O1616,"")</f>
        <v>0.45150720838794239</v>
      </c>
      <c r="T1616" s="10"/>
      <c r="U1616" s="23">
        <v>0</v>
      </c>
      <c r="V1616" s="25">
        <v>0</v>
      </c>
      <c r="W1616" s="24">
        <v>0</v>
      </c>
      <c r="X1616" s="24">
        <f>U1616-W1616</f>
        <v>0</v>
      </c>
      <c r="Y1616" s="53" t="str">
        <f>IF(U1616&lt;&gt;0,X1616/U1616,"")</f>
        <v/>
      </c>
      <c r="Z1616" s="23">
        <v>2152.4</v>
      </c>
      <c r="AA1616" s="25">
        <v>144</v>
      </c>
      <c r="AB1616" s="24">
        <v>1205.19</v>
      </c>
      <c r="AC1616" s="24">
        <f t="shared" si="485"/>
        <v>947.21</v>
      </c>
      <c r="AD1616" s="53">
        <f t="shared" si="486"/>
        <v>0.44007154803939785</v>
      </c>
      <c r="AE1616" s="10"/>
    </row>
    <row r="1617" spans="1:31" x14ac:dyDescent="0.25">
      <c r="A1617" s="14" t="s">
        <v>109</v>
      </c>
      <c r="C1617" s="61" t="str">
        <f t="shared" si="484"/>
        <v>C100099</v>
      </c>
      <c r="F1617" s="8" t="str">
        <f>"C100043"</f>
        <v>C100043</v>
      </c>
      <c r="G1617" s="9" t="str">
        <f>"Pro-Travel Technology Set"</f>
        <v>Pro-Travel Technology Set</v>
      </c>
      <c r="H1617" s="47"/>
      <c r="I1617" s="47"/>
      <c r="J1617" s="23">
        <v>4810.82</v>
      </c>
      <c r="K1617" s="25">
        <v>156</v>
      </c>
      <c r="L1617" s="24">
        <v>2340.08</v>
      </c>
      <c r="M1617" s="24">
        <f>J1617-L1617</f>
        <v>2470.7399999999998</v>
      </c>
      <c r="N1617" s="53">
        <f>IF(J1617&lt;&gt;0,M1617/J1617,"")</f>
        <v>0.51357980552171978</v>
      </c>
      <c r="O1617" s="23">
        <v>4567.54</v>
      </c>
      <c r="P1617" s="25">
        <v>144</v>
      </c>
      <c r="Q1617" s="24">
        <v>2160.0699999999997</v>
      </c>
      <c r="R1617" s="24">
        <f>O1617-Q1617</f>
        <v>2407.4700000000003</v>
      </c>
      <c r="S1617" s="53">
        <f>IF(O1617&lt;&gt;0,R1617/O1617,"")</f>
        <v>0.5270824119766877</v>
      </c>
      <c r="T1617" s="10"/>
      <c r="U1617" s="23">
        <v>4520.45</v>
      </c>
      <c r="V1617" s="25">
        <v>144</v>
      </c>
      <c r="W1617" s="24">
        <v>2160.0699999999997</v>
      </c>
      <c r="X1617" s="24">
        <f>U1617-W1617</f>
        <v>2360.38</v>
      </c>
      <c r="Y1617" s="53">
        <f>IF(U1617&lt;&gt;0,X1617/U1617,"")</f>
        <v>0.52215598004623442</v>
      </c>
      <c r="Z1617" s="23">
        <v>4504.42</v>
      </c>
      <c r="AA1617" s="25">
        <v>145</v>
      </c>
      <c r="AB1617" s="24">
        <v>2175.0699999999997</v>
      </c>
      <c r="AC1617" s="24">
        <f t="shared" si="485"/>
        <v>2329.3500000000004</v>
      </c>
      <c r="AD1617" s="53">
        <f t="shared" si="486"/>
        <v>0.51712540127252793</v>
      </c>
      <c r="AE1617" s="10"/>
    </row>
    <row r="1618" spans="1:31" x14ac:dyDescent="0.25">
      <c r="A1618" s="14" t="s">
        <v>109</v>
      </c>
      <c r="C1618" s="61" t="str">
        <f t="shared" si="484"/>
        <v>C100099</v>
      </c>
      <c r="F1618" s="8" t="str">
        <f>"C100044"</f>
        <v>C100044</v>
      </c>
      <c r="G1618" s="9" t="str">
        <f>"VOIP Headset with Mic"</f>
        <v>VOIP Headset with Mic</v>
      </c>
      <c r="H1618" s="47"/>
      <c r="I1618" s="47"/>
      <c r="J1618" s="23">
        <v>669.51</v>
      </c>
      <c r="K1618" s="25">
        <v>312</v>
      </c>
      <c r="L1618" s="24">
        <v>374.51</v>
      </c>
      <c r="M1618" s="24">
        <f>J1618-L1618</f>
        <v>295</v>
      </c>
      <c r="N1618" s="53">
        <f>IF(J1618&lt;&gt;0,M1618/J1618,"")</f>
        <v>0.44062075249062749</v>
      </c>
      <c r="O1618" s="23">
        <v>931.45</v>
      </c>
      <c r="P1618" s="25">
        <v>434.99999999999994</v>
      </c>
      <c r="Q1618" s="24">
        <v>522.15</v>
      </c>
      <c r="R1618" s="24">
        <f>O1618-Q1618</f>
        <v>409.30000000000007</v>
      </c>
      <c r="S1618" s="53">
        <f>IF(O1618&lt;&gt;0,R1618/O1618,"")</f>
        <v>0.4394224059262441</v>
      </c>
      <c r="T1618" s="10"/>
      <c r="U1618" s="23">
        <v>1193.3399999999999</v>
      </c>
      <c r="V1618" s="25">
        <v>577</v>
      </c>
      <c r="W1618" s="24">
        <v>692.6</v>
      </c>
      <c r="X1618" s="24">
        <f>U1618-W1618</f>
        <v>500.7399999999999</v>
      </c>
      <c r="Y1618" s="53">
        <f>IF(U1618&lt;&gt;0,X1618/U1618,"")</f>
        <v>0.41961218093753661</v>
      </c>
      <c r="Z1618" s="23">
        <v>306.24</v>
      </c>
      <c r="AA1618" s="25">
        <v>145</v>
      </c>
      <c r="AB1618" s="24">
        <v>174.05</v>
      </c>
      <c r="AC1618" s="24">
        <f t="shared" si="485"/>
        <v>132.19</v>
      </c>
      <c r="AD1618" s="53">
        <f t="shared" si="486"/>
        <v>0.4316549111807732</v>
      </c>
      <c r="AE1618" s="10"/>
    </row>
    <row r="1619" spans="1:31" x14ac:dyDescent="0.25">
      <c r="A1619" s="14" t="s">
        <v>109</v>
      </c>
      <c r="C1619" s="61" t="str">
        <f t="shared" si="484"/>
        <v>C100099</v>
      </c>
      <c r="F1619" s="8" t="str">
        <f>"C100045"</f>
        <v>C100045</v>
      </c>
      <c r="G1619" s="9" t="str">
        <f>"Wireless Headphones"</f>
        <v>Wireless Headphones</v>
      </c>
      <c r="H1619" s="47"/>
      <c r="I1619" s="47"/>
      <c r="J1619" s="23">
        <v>8129.8399999999992</v>
      </c>
      <c r="K1619" s="25">
        <v>301</v>
      </c>
      <c r="L1619" s="24">
        <v>4153.92</v>
      </c>
      <c r="M1619" s="24">
        <f>J1619-L1619</f>
        <v>3975.9199999999992</v>
      </c>
      <c r="N1619" s="53">
        <f>IF(J1619&lt;&gt;0,M1619/J1619,"")</f>
        <v>0.48905267508339639</v>
      </c>
      <c r="O1619" s="23">
        <v>27.58</v>
      </c>
      <c r="P1619" s="25">
        <v>1</v>
      </c>
      <c r="Q1619" s="24">
        <v>13.8</v>
      </c>
      <c r="R1619" s="24">
        <f>O1619-Q1619</f>
        <v>13.779999999999998</v>
      </c>
      <c r="S1619" s="53">
        <f>IF(O1619&lt;&gt;0,R1619/O1619,"")</f>
        <v>0.49963741841914427</v>
      </c>
      <c r="T1619" s="10"/>
      <c r="U1619" s="23">
        <v>1337.35</v>
      </c>
      <c r="V1619" s="25">
        <v>48</v>
      </c>
      <c r="W1619" s="24">
        <v>662.42000000000007</v>
      </c>
      <c r="X1619" s="24">
        <f>U1619-W1619</f>
        <v>674.92999999999984</v>
      </c>
      <c r="Y1619" s="53">
        <f>IF(U1619&lt;&gt;0,X1619/U1619,"")</f>
        <v>0.50467716005533325</v>
      </c>
      <c r="Z1619" s="23">
        <v>27.86</v>
      </c>
      <c r="AA1619" s="25">
        <v>1</v>
      </c>
      <c r="AB1619" s="24">
        <v>13.8</v>
      </c>
      <c r="AC1619" s="24">
        <f t="shared" si="485"/>
        <v>14.059999999999999</v>
      </c>
      <c r="AD1619" s="53">
        <f t="shared" si="486"/>
        <v>0.50466618808327346</v>
      </c>
      <c r="AE1619" s="10"/>
    </row>
    <row r="1620" spans="1:31" x14ac:dyDescent="0.25">
      <c r="A1620" s="14" t="s">
        <v>109</v>
      </c>
      <c r="C1620" s="61" t="str">
        <f t="shared" si="484"/>
        <v>C100099</v>
      </c>
      <c r="F1620" s="8" t="str">
        <f>"C100046"</f>
        <v>C100046</v>
      </c>
      <c r="G1620" s="9" t="str">
        <f>"1GB MP3 Player"</f>
        <v>1GB MP3 Player</v>
      </c>
      <c r="H1620" s="47"/>
      <c r="I1620" s="47"/>
      <c r="J1620" s="23">
        <v>2946.94</v>
      </c>
      <c r="K1620" s="25">
        <v>157</v>
      </c>
      <c r="L1620" s="24">
        <v>1808.54</v>
      </c>
      <c r="M1620" s="24">
        <f>J1620-L1620</f>
        <v>1138.4000000000001</v>
      </c>
      <c r="N1620" s="53">
        <f>IF(J1620&lt;&gt;0,M1620/J1620,"")</f>
        <v>0.3862990084630159</v>
      </c>
      <c r="O1620" s="23">
        <v>0</v>
      </c>
      <c r="P1620" s="25">
        <v>0</v>
      </c>
      <c r="Q1620" s="24">
        <v>0</v>
      </c>
      <c r="R1620" s="24">
        <f>O1620-Q1620</f>
        <v>0</v>
      </c>
      <c r="S1620" s="53" t="str">
        <f>IF(O1620&lt;&gt;0,R1620/O1620,"")</f>
        <v/>
      </c>
      <c r="T1620" s="10"/>
      <c r="U1620" s="23">
        <v>0</v>
      </c>
      <c r="V1620" s="25">
        <v>0</v>
      </c>
      <c r="W1620" s="24">
        <v>0</v>
      </c>
      <c r="X1620" s="24">
        <f>U1620-W1620</f>
        <v>0</v>
      </c>
      <c r="Y1620" s="53" t="str">
        <f>IF(U1620&lt;&gt;0,X1620/U1620,"")</f>
        <v/>
      </c>
      <c r="Z1620" s="23">
        <v>112.92000000000002</v>
      </c>
      <c r="AA1620" s="25">
        <v>6</v>
      </c>
      <c r="AB1620" s="24">
        <v>69.12</v>
      </c>
      <c r="AC1620" s="24">
        <f t="shared" si="485"/>
        <v>43.800000000000011</v>
      </c>
      <c r="AD1620" s="53">
        <f t="shared" si="486"/>
        <v>0.38788522848034013</v>
      </c>
      <c r="AE1620" s="10"/>
    </row>
    <row r="1621" spans="1:31" x14ac:dyDescent="0.25">
      <c r="A1621" s="14" t="s">
        <v>109</v>
      </c>
      <c r="C1621" s="61" t="str">
        <f t="shared" si="484"/>
        <v>C100099</v>
      </c>
      <c r="F1621" s="8" t="str">
        <f>"C100047"</f>
        <v>C100047</v>
      </c>
      <c r="G1621" s="9" t="str">
        <f>"2GB MP3 Player"</f>
        <v>2GB MP3 Player</v>
      </c>
      <c r="H1621" s="47"/>
      <c r="I1621" s="47"/>
      <c r="J1621" s="23">
        <v>1496.21</v>
      </c>
      <c r="K1621" s="25">
        <v>55</v>
      </c>
      <c r="L1621" s="24">
        <v>915.73</v>
      </c>
      <c r="M1621" s="24">
        <f>J1621-L1621</f>
        <v>580.48</v>
      </c>
      <c r="N1621" s="53">
        <f>IF(J1621&lt;&gt;0,M1621/J1621,"")</f>
        <v>0.38796692977590047</v>
      </c>
      <c r="O1621" s="23">
        <v>27.3</v>
      </c>
      <c r="P1621" s="25">
        <v>1</v>
      </c>
      <c r="Q1621" s="24">
        <v>16.649999999999999</v>
      </c>
      <c r="R1621" s="24">
        <f>O1621-Q1621</f>
        <v>10.650000000000002</v>
      </c>
      <c r="S1621" s="53">
        <f>IF(O1621&lt;&gt;0,R1621/O1621,"")</f>
        <v>0.39010989010989017</v>
      </c>
      <c r="T1621" s="10"/>
      <c r="U1621" s="23">
        <v>3727.99</v>
      </c>
      <c r="V1621" s="25">
        <v>144</v>
      </c>
      <c r="W1621" s="24">
        <v>2397.54</v>
      </c>
      <c r="X1621" s="24">
        <f>U1621-W1621</f>
        <v>1330.4499999999998</v>
      </c>
      <c r="Y1621" s="53">
        <f>IF(U1621&lt;&gt;0,X1621/U1621,"")</f>
        <v>0.35688132210655071</v>
      </c>
      <c r="Z1621" s="23">
        <v>15831</v>
      </c>
      <c r="AA1621" s="25">
        <v>577</v>
      </c>
      <c r="AB1621" s="24">
        <v>9606.81</v>
      </c>
      <c r="AC1621" s="24">
        <f t="shared" si="485"/>
        <v>6224.1900000000005</v>
      </c>
      <c r="AD1621" s="53">
        <f t="shared" si="486"/>
        <v>0.39316467689975371</v>
      </c>
      <c r="AE1621" s="10"/>
    </row>
    <row r="1622" spans="1:31" x14ac:dyDescent="0.25">
      <c r="A1622" s="14" t="s">
        <v>109</v>
      </c>
      <c r="C1622" s="61" t="str">
        <f t="shared" si="484"/>
        <v>C100099</v>
      </c>
      <c r="F1622" s="8" t="str">
        <f>"C100048"</f>
        <v>C100048</v>
      </c>
      <c r="G1622" s="9" t="str">
        <f>"USB MP3 Player"</f>
        <v>USB MP3 Player</v>
      </c>
      <c r="H1622" s="47"/>
      <c r="I1622" s="47"/>
      <c r="J1622" s="23">
        <v>1764.1599999999999</v>
      </c>
      <c r="K1622" s="25">
        <v>144</v>
      </c>
      <c r="L1622" s="24">
        <v>1108.81</v>
      </c>
      <c r="M1622" s="24">
        <f>J1622-L1622</f>
        <v>655.34999999999991</v>
      </c>
      <c r="N1622" s="53">
        <f>IF(J1622&lt;&gt;0,M1622/J1622,"")</f>
        <v>0.37147991111917283</v>
      </c>
      <c r="O1622" s="23">
        <v>2076.38</v>
      </c>
      <c r="P1622" s="25">
        <v>168</v>
      </c>
      <c r="Q1622" s="24">
        <v>1293.6100000000001</v>
      </c>
      <c r="R1622" s="24">
        <f>O1622-Q1622</f>
        <v>782.77</v>
      </c>
      <c r="S1622" s="53">
        <f>IF(O1622&lt;&gt;0,R1622/O1622,"")</f>
        <v>0.37698783459675006</v>
      </c>
      <c r="T1622" s="10"/>
      <c r="U1622" s="23">
        <v>0</v>
      </c>
      <c r="V1622" s="25">
        <v>0</v>
      </c>
      <c r="W1622" s="24">
        <v>0</v>
      </c>
      <c r="X1622" s="24">
        <f>U1622-W1622</f>
        <v>0</v>
      </c>
      <c r="Y1622" s="53" t="str">
        <f>IF(U1622&lt;&gt;0,X1622/U1622,"")</f>
        <v/>
      </c>
      <c r="Z1622" s="23">
        <v>0</v>
      </c>
      <c r="AA1622" s="25">
        <v>0</v>
      </c>
      <c r="AB1622" s="24">
        <v>0</v>
      </c>
      <c r="AC1622" s="24">
        <f t="shared" si="485"/>
        <v>0</v>
      </c>
      <c r="AD1622" s="53" t="str">
        <f t="shared" si="486"/>
        <v/>
      </c>
      <c r="AE1622" s="10"/>
    </row>
    <row r="1623" spans="1:31" x14ac:dyDescent="0.25">
      <c r="A1623" s="14" t="s">
        <v>109</v>
      </c>
      <c r="C1623" s="61" t="str">
        <f t="shared" si="484"/>
        <v>C100099</v>
      </c>
      <c r="F1623" s="8" t="str">
        <f>"C100049"</f>
        <v>C100049</v>
      </c>
      <c r="G1623" s="9" t="str">
        <f>"4GB MP3 Player"</f>
        <v>4GB MP3 Player</v>
      </c>
      <c r="H1623" s="47"/>
      <c r="I1623" s="47"/>
      <c r="J1623" s="23">
        <v>2150.87</v>
      </c>
      <c r="K1623" s="25">
        <v>144</v>
      </c>
      <c r="L1623" s="24">
        <v>1353.51</v>
      </c>
      <c r="M1623" s="24">
        <f>J1623-L1623</f>
        <v>797.3599999999999</v>
      </c>
      <c r="N1623" s="53">
        <f>IF(J1623&lt;&gt;0,M1623/J1623,"")</f>
        <v>0.37071510598037072</v>
      </c>
      <c r="O1623" s="23">
        <v>2242.4</v>
      </c>
      <c r="P1623" s="25">
        <v>144</v>
      </c>
      <c r="Q1623" s="24">
        <v>1353.51</v>
      </c>
      <c r="R1623" s="24">
        <f>O1623-Q1623</f>
        <v>888.8900000000001</v>
      </c>
      <c r="S1623" s="53">
        <f>IF(O1623&lt;&gt;0,R1623/O1623,"")</f>
        <v>0.396401177310025</v>
      </c>
      <c r="T1623" s="10"/>
      <c r="U1623" s="23">
        <v>5043.4800000000005</v>
      </c>
      <c r="V1623" s="25">
        <v>324</v>
      </c>
      <c r="W1623" s="24">
        <v>3045.41</v>
      </c>
      <c r="X1623" s="24">
        <f>U1623-W1623</f>
        <v>1998.0700000000006</v>
      </c>
      <c r="Y1623" s="53">
        <f>IF(U1623&lt;&gt;0,X1623/U1623,"")</f>
        <v>0.3961689151141673</v>
      </c>
      <c r="Z1623" s="23">
        <v>0</v>
      </c>
      <c r="AA1623" s="25">
        <v>0</v>
      </c>
      <c r="AB1623" s="24">
        <v>0</v>
      </c>
      <c r="AC1623" s="24">
        <f t="shared" si="485"/>
        <v>0</v>
      </c>
      <c r="AD1623" s="53" t="str">
        <f t="shared" si="486"/>
        <v/>
      </c>
      <c r="AE1623" s="10"/>
    </row>
    <row r="1624" spans="1:31" x14ac:dyDescent="0.25">
      <c r="A1624" s="14" t="s">
        <v>109</v>
      </c>
      <c r="C1624" s="61" t="str">
        <f t="shared" si="484"/>
        <v>C100099</v>
      </c>
      <c r="F1624" s="8" t="str">
        <f>"C100050"</f>
        <v>C100050</v>
      </c>
      <c r="G1624" s="9" t="str">
        <f>"Clip-on MP3 Player"</f>
        <v>Clip-on MP3 Player</v>
      </c>
      <c r="H1624" s="47"/>
      <c r="I1624" s="47"/>
      <c r="J1624" s="23">
        <v>2624.59</v>
      </c>
      <c r="K1624" s="25">
        <v>144</v>
      </c>
      <c r="L1624" s="24">
        <v>1235.48</v>
      </c>
      <c r="M1624" s="24">
        <f>J1624-L1624</f>
        <v>1389.1100000000001</v>
      </c>
      <c r="N1624" s="53">
        <f>IF(J1624&lt;&gt;0,M1624/J1624,"")</f>
        <v>0.52926742843644148</v>
      </c>
      <c r="O1624" s="23">
        <v>2624.59</v>
      </c>
      <c r="P1624" s="25">
        <v>144</v>
      </c>
      <c r="Q1624" s="24">
        <v>1235.48</v>
      </c>
      <c r="R1624" s="24">
        <f>O1624-Q1624</f>
        <v>1389.1100000000001</v>
      </c>
      <c r="S1624" s="53">
        <f>IF(O1624&lt;&gt;0,R1624/O1624,"")</f>
        <v>0.52926742843644148</v>
      </c>
      <c r="T1624" s="10"/>
      <c r="U1624" s="23">
        <v>2489.2999999999997</v>
      </c>
      <c r="V1624" s="25">
        <v>144</v>
      </c>
      <c r="W1624" s="24">
        <v>1235.48</v>
      </c>
      <c r="X1624" s="24">
        <f>U1624-W1624</f>
        <v>1253.8199999999997</v>
      </c>
      <c r="Y1624" s="53">
        <f>IF(U1624&lt;&gt;0,X1624/U1624,"")</f>
        <v>0.50368376652070856</v>
      </c>
      <c r="Z1624" s="23">
        <v>2708.02</v>
      </c>
      <c r="AA1624" s="25">
        <v>150</v>
      </c>
      <c r="AB1624" s="24">
        <v>1286.96</v>
      </c>
      <c r="AC1624" s="24">
        <f t="shared" si="485"/>
        <v>1421.06</v>
      </c>
      <c r="AD1624" s="53">
        <f t="shared" si="486"/>
        <v>0.52475978759388775</v>
      </c>
      <c r="AE1624" s="10"/>
    </row>
    <row r="1625" spans="1:31" x14ac:dyDescent="0.25">
      <c r="A1625" s="14" t="s">
        <v>109</v>
      </c>
      <c r="C1625" s="61" t="str">
        <f t="shared" si="484"/>
        <v>C100099</v>
      </c>
      <c r="F1625" s="8" t="str">
        <f>"C100051"</f>
        <v>C100051</v>
      </c>
      <c r="G1625" s="9" t="str">
        <f>"Bamboo Digital Picutre Frame"</f>
        <v>Bamboo Digital Picutre Frame</v>
      </c>
      <c r="H1625" s="47"/>
      <c r="I1625" s="47"/>
      <c r="J1625" s="23">
        <v>14062.980000000001</v>
      </c>
      <c r="K1625" s="25">
        <v>288</v>
      </c>
      <c r="L1625" s="24">
        <v>7004.2599999999993</v>
      </c>
      <c r="M1625" s="24">
        <f>J1625-L1625</f>
        <v>7058.7200000000021</v>
      </c>
      <c r="N1625" s="53">
        <f>IF(J1625&lt;&gt;0,M1625/J1625,"")</f>
        <v>0.50193628946354196</v>
      </c>
      <c r="O1625" s="23">
        <v>14957.02</v>
      </c>
      <c r="P1625" s="25">
        <v>312</v>
      </c>
      <c r="Q1625" s="24">
        <v>7587.95</v>
      </c>
      <c r="R1625" s="24">
        <f>O1625-Q1625</f>
        <v>7369.0700000000006</v>
      </c>
      <c r="S1625" s="53">
        <f>IF(O1625&lt;&gt;0,R1625/O1625,"")</f>
        <v>0.49268303445472428</v>
      </c>
      <c r="T1625" s="10"/>
      <c r="U1625" s="23">
        <v>6669.0400000000009</v>
      </c>
      <c r="V1625" s="25">
        <v>144</v>
      </c>
      <c r="W1625" s="24">
        <v>3502.1299999999997</v>
      </c>
      <c r="X1625" s="24">
        <f>U1625-W1625</f>
        <v>3166.9100000000012</v>
      </c>
      <c r="Y1625" s="53">
        <f>IF(U1625&lt;&gt;0,X1625/U1625,"")</f>
        <v>0.47486744718880092</v>
      </c>
      <c r="Z1625" s="23">
        <v>7153.31</v>
      </c>
      <c r="AA1625" s="25">
        <v>145</v>
      </c>
      <c r="AB1625" s="24">
        <v>3526.4500000000003</v>
      </c>
      <c r="AC1625" s="24">
        <f t="shared" si="485"/>
        <v>3626.86</v>
      </c>
      <c r="AD1625" s="53">
        <f t="shared" si="486"/>
        <v>0.50701842923066387</v>
      </c>
      <c r="AE1625" s="10"/>
    </row>
    <row r="1626" spans="1:31" x14ac:dyDescent="0.25">
      <c r="A1626" s="14" t="s">
        <v>109</v>
      </c>
      <c r="C1626" s="61" t="str">
        <f t="shared" si="484"/>
        <v>C100099</v>
      </c>
      <c r="F1626" s="8" t="str">
        <f>"C100052"</f>
        <v>C100052</v>
      </c>
      <c r="G1626" s="9" t="str">
        <f>"Black Digital Picture Frame"</f>
        <v>Black Digital Picture Frame</v>
      </c>
      <c r="H1626" s="47"/>
      <c r="I1626" s="47"/>
      <c r="J1626" s="23">
        <v>0</v>
      </c>
      <c r="K1626" s="25">
        <v>0</v>
      </c>
      <c r="L1626" s="24">
        <v>0</v>
      </c>
      <c r="M1626" s="24">
        <f>J1626-L1626</f>
        <v>0</v>
      </c>
      <c r="N1626" s="53" t="str">
        <f>IF(J1626&lt;&gt;0,M1626/J1626,"")</f>
        <v/>
      </c>
      <c r="O1626" s="23">
        <v>1127.45</v>
      </c>
      <c r="P1626" s="25">
        <v>24</v>
      </c>
      <c r="Q1626" s="24">
        <v>535.67999999999995</v>
      </c>
      <c r="R1626" s="24">
        <f>O1626-Q1626</f>
        <v>591.7700000000001</v>
      </c>
      <c r="S1626" s="53">
        <f>IF(O1626&lt;&gt;0,R1626/O1626,"")</f>
        <v>0.5248747172823629</v>
      </c>
      <c r="T1626" s="10"/>
      <c r="U1626" s="23">
        <v>2231.6499999999996</v>
      </c>
      <c r="V1626" s="25">
        <v>48</v>
      </c>
      <c r="W1626" s="24">
        <v>1071.3699999999999</v>
      </c>
      <c r="X1626" s="24">
        <f>U1626-W1626</f>
        <v>1160.2799999999997</v>
      </c>
      <c r="Y1626" s="53">
        <f>IF(U1626&lt;&gt;0,X1626/U1626,"")</f>
        <v>0.51992023838863621</v>
      </c>
      <c r="Z1626" s="23">
        <v>13459.660000000002</v>
      </c>
      <c r="AA1626" s="25">
        <v>288</v>
      </c>
      <c r="AB1626" s="24">
        <v>6428.22</v>
      </c>
      <c r="AC1626" s="24">
        <f t="shared" si="485"/>
        <v>7031.4400000000014</v>
      </c>
      <c r="AD1626" s="53">
        <f t="shared" si="486"/>
        <v>0.52240844122362684</v>
      </c>
      <c r="AE1626" s="10"/>
    </row>
    <row r="1627" spans="1:31" x14ac:dyDescent="0.25">
      <c r="A1627" s="14" t="s">
        <v>109</v>
      </c>
      <c r="C1627" s="61" t="str">
        <f t="shared" si="484"/>
        <v>C100099</v>
      </c>
      <c r="F1627" s="8" t="str">
        <f>"C100053"</f>
        <v>C100053</v>
      </c>
      <c r="G1627" s="9" t="str">
        <f>"Book Style Photo Frame &amp; Clock"</f>
        <v>Book Style Photo Frame &amp; Clock</v>
      </c>
      <c r="H1627" s="47"/>
      <c r="I1627" s="47"/>
      <c r="J1627" s="23">
        <v>1459.76</v>
      </c>
      <c r="K1627" s="25">
        <v>72</v>
      </c>
      <c r="L1627" s="24">
        <v>866.86</v>
      </c>
      <c r="M1627" s="24">
        <f>J1627-L1627</f>
        <v>592.9</v>
      </c>
      <c r="N1627" s="53">
        <f>IF(J1627&lt;&gt;0,M1627/J1627,"")</f>
        <v>0.40616265687510272</v>
      </c>
      <c r="O1627" s="23">
        <v>3899.79</v>
      </c>
      <c r="P1627" s="25">
        <v>193</v>
      </c>
      <c r="Q1627" s="24">
        <v>2323.66</v>
      </c>
      <c r="R1627" s="24">
        <f>O1627-Q1627</f>
        <v>1576.13</v>
      </c>
      <c r="S1627" s="53">
        <f>IF(O1627&lt;&gt;0,R1627/O1627,"")</f>
        <v>0.40415765977142359</v>
      </c>
      <c r="T1627" s="10"/>
      <c r="U1627" s="23">
        <v>250.36999999999998</v>
      </c>
      <c r="V1627" s="25">
        <v>13</v>
      </c>
      <c r="W1627" s="24">
        <v>156.51999999999998</v>
      </c>
      <c r="X1627" s="24">
        <f>U1627-W1627</f>
        <v>93.85</v>
      </c>
      <c r="Y1627" s="53">
        <f>IF(U1627&lt;&gt;0,X1627/U1627,"")</f>
        <v>0.37484522906098977</v>
      </c>
      <c r="Z1627" s="23">
        <v>0</v>
      </c>
      <c r="AA1627" s="25">
        <v>0</v>
      </c>
      <c r="AB1627" s="24">
        <v>0</v>
      </c>
      <c r="AC1627" s="24">
        <f t="shared" si="485"/>
        <v>0</v>
      </c>
      <c r="AD1627" s="53" t="str">
        <f t="shared" si="486"/>
        <v/>
      </c>
      <c r="AE1627" s="10"/>
    </row>
    <row r="1628" spans="1:31" x14ac:dyDescent="0.25">
      <c r="A1628" s="14" t="s">
        <v>109</v>
      </c>
      <c r="C1628" s="61" t="str">
        <f t="shared" si="484"/>
        <v>C100099</v>
      </c>
      <c r="F1628" s="8" t="str">
        <f>"C100054"</f>
        <v>C100054</v>
      </c>
      <c r="G1628" s="9" t="str">
        <f>"Cherry Finish Photo Frame &amp; Clock"</f>
        <v>Cherry Finish Photo Frame &amp; Clock</v>
      </c>
      <c r="H1628" s="47"/>
      <c r="I1628" s="47"/>
      <c r="J1628" s="23">
        <v>8659.4399999999987</v>
      </c>
      <c r="K1628" s="25">
        <v>432</v>
      </c>
      <c r="L1628" s="24">
        <v>5805.96</v>
      </c>
      <c r="M1628" s="24">
        <f>J1628-L1628</f>
        <v>2853.4799999999987</v>
      </c>
      <c r="N1628" s="53">
        <f>IF(J1628&lt;&gt;0,M1628/J1628,"")</f>
        <v>0.32952246334635948</v>
      </c>
      <c r="O1628" s="23">
        <v>20.47</v>
      </c>
      <c r="P1628" s="25">
        <v>1</v>
      </c>
      <c r="Q1628" s="24">
        <v>13.44</v>
      </c>
      <c r="R1628" s="24">
        <f>O1628-Q1628</f>
        <v>7.0299999999999994</v>
      </c>
      <c r="S1628" s="53">
        <f>IF(O1628&lt;&gt;0,R1628/O1628,"")</f>
        <v>0.34342940889106005</v>
      </c>
      <c r="T1628" s="10"/>
      <c r="U1628" s="23">
        <v>3960.0499999999997</v>
      </c>
      <c r="V1628" s="25">
        <v>192</v>
      </c>
      <c r="W1628" s="24">
        <v>2580.4300000000003</v>
      </c>
      <c r="X1628" s="24">
        <f>U1628-W1628</f>
        <v>1379.6199999999994</v>
      </c>
      <c r="Y1628" s="53">
        <f>IF(U1628&lt;&gt;0,X1628/U1628,"")</f>
        <v>0.34838449009482192</v>
      </c>
      <c r="Z1628" s="23">
        <v>962.16</v>
      </c>
      <c r="AA1628" s="25">
        <v>48</v>
      </c>
      <c r="AB1628" s="24">
        <v>645.11</v>
      </c>
      <c r="AC1628" s="24">
        <f t="shared" si="485"/>
        <v>317.04999999999995</v>
      </c>
      <c r="AD1628" s="53">
        <f t="shared" si="486"/>
        <v>0.32951899891909864</v>
      </c>
      <c r="AE1628" s="10"/>
    </row>
    <row r="1629" spans="1:31" x14ac:dyDescent="0.25">
      <c r="A1629" s="14" t="s">
        <v>109</v>
      </c>
      <c r="C1629" s="61" t="str">
        <f t="shared" si="484"/>
        <v>C100099</v>
      </c>
      <c r="F1629" s="8" t="str">
        <f>"C100055"</f>
        <v>C100055</v>
      </c>
      <c r="G1629" s="9" t="str">
        <f>"Silver Plated Photo Frame"</f>
        <v>Silver Plated Photo Frame</v>
      </c>
      <c r="H1629" s="47"/>
      <c r="I1629" s="47"/>
      <c r="J1629" s="23">
        <v>7247.22</v>
      </c>
      <c r="K1629" s="25">
        <v>192</v>
      </c>
      <c r="L1629" s="24">
        <v>3974.5200000000004</v>
      </c>
      <c r="M1629" s="24">
        <f>J1629-L1629</f>
        <v>3272.7</v>
      </c>
      <c r="N1629" s="53">
        <f>IF(J1629&lt;&gt;0,M1629/J1629,"")</f>
        <v>0.45158005414489966</v>
      </c>
      <c r="O1629" s="23">
        <v>16974.77</v>
      </c>
      <c r="P1629" s="25">
        <v>432</v>
      </c>
      <c r="Q1629" s="24">
        <v>8942.67</v>
      </c>
      <c r="R1629" s="24">
        <f>O1629-Q1629</f>
        <v>8032.1</v>
      </c>
      <c r="S1629" s="53">
        <f>IF(O1629&lt;&gt;0,R1629/O1629,"")</f>
        <v>0.47317872348196766</v>
      </c>
      <c r="T1629" s="10"/>
      <c r="U1629" s="23">
        <v>13272.039999999999</v>
      </c>
      <c r="V1629" s="25">
        <v>337</v>
      </c>
      <c r="W1629" s="24">
        <v>6976.1100000000006</v>
      </c>
      <c r="X1629" s="24">
        <f>U1629-W1629</f>
        <v>6295.9299999999985</v>
      </c>
      <c r="Y1629" s="53">
        <f>IF(U1629&lt;&gt;0,X1629/U1629,"")</f>
        <v>0.47437545396186259</v>
      </c>
      <c r="Z1629" s="23">
        <v>5697.01</v>
      </c>
      <c r="AA1629" s="25">
        <v>144</v>
      </c>
      <c r="AB1629" s="24">
        <v>2980.89</v>
      </c>
      <c r="AC1629" s="24">
        <f t="shared" si="485"/>
        <v>2716.1200000000003</v>
      </c>
      <c r="AD1629" s="53">
        <f t="shared" si="486"/>
        <v>0.47676237184066733</v>
      </c>
      <c r="AE1629" s="10"/>
    </row>
    <row r="1630" spans="1:31" x14ac:dyDescent="0.25">
      <c r="A1630" s="14" t="s">
        <v>109</v>
      </c>
      <c r="C1630" s="61" t="str">
        <f t="shared" si="484"/>
        <v>C100099</v>
      </c>
      <c r="F1630" s="8" t="str">
        <f>"E100018"</f>
        <v>E100018</v>
      </c>
      <c r="G1630" s="9" t="str">
        <f>"Flexi-Clock &amp; Clip"</f>
        <v>Flexi-Clock &amp; Clip</v>
      </c>
      <c r="H1630" s="47"/>
      <c r="I1630" s="47"/>
      <c r="J1630" s="23">
        <v>169.13</v>
      </c>
      <c r="K1630" s="25">
        <v>153</v>
      </c>
      <c r="L1630" s="24">
        <v>91.79</v>
      </c>
      <c r="M1630" s="24">
        <f>J1630-L1630</f>
        <v>77.339999999999989</v>
      </c>
      <c r="N1630" s="53">
        <f>IF(J1630&lt;&gt;0,M1630/J1630,"")</f>
        <v>0.45728138118606981</v>
      </c>
      <c r="O1630" s="23">
        <v>176.44</v>
      </c>
      <c r="P1630" s="25">
        <v>161</v>
      </c>
      <c r="Q1630" s="24">
        <v>96.589999999999989</v>
      </c>
      <c r="R1630" s="24">
        <f>O1630-Q1630</f>
        <v>79.850000000000009</v>
      </c>
      <c r="S1630" s="53">
        <f>IF(O1630&lt;&gt;0,R1630/O1630,"")</f>
        <v>0.45256177737474501</v>
      </c>
      <c r="T1630" s="10"/>
      <c r="U1630" s="23">
        <v>569.03</v>
      </c>
      <c r="V1630" s="25">
        <v>519</v>
      </c>
      <c r="W1630" s="24">
        <v>311.37</v>
      </c>
      <c r="X1630" s="24">
        <f>U1630-W1630</f>
        <v>257.65999999999997</v>
      </c>
      <c r="Y1630" s="53">
        <f>IF(U1630&lt;&gt;0,X1630/U1630,"")</f>
        <v>0.45280565172310772</v>
      </c>
      <c r="Z1630" s="23">
        <v>213.70999999999998</v>
      </c>
      <c r="AA1630" s="25">
        <v>193</v>
      </c>
      <c r="AB1630" s="24">
        <v>115.78999999999999</v>
      </c>
      <c r="AC1630" s="24">
        <f t="shared" si="485"/>
        <v>97.919999999999987</v>
      </c>
      <c r="AD1630" s="53">
        <f t="shared" si="486"/>
        <v>0.45819100650414113</v>
      </c>
      <c r="AE1630" s="10"/>
    </row>
    <row r="1631" spans="1:31" x14ac:dyDescent="0.25">
      <c r="A1631" s="14" t="s">
        <v>109</v>
      </c>
      <c r="C1631" s="61" t="str">
        <f t="shared" si="484"/>
        <v>C100099</v>
      </c>
      <c r="F1631" s="8" t="str">
        <f>"E100019"</f>
        <v>E100019</v>
      </c>
      <c r="G1631" s="9" t="str">
        <f>"Mini Travel Alarm"</f>
        <v>Mini Travel Alarm</v>
      </c>
      <c r="H1631" s="47"/>
      <c r="I1631" s="47"/>
      <c r="J1631" s="23">
        <v>471.78000000000003</v>
      </c>
      <c r="K1631" s="25">
        <v>145</v>
      </c>
      <c r="L1631" s="24">
        <v>234.89000000000001</v>
      </c>
      <c r="M1631" s="24">
        <f>J1631-L1631</f>
        <v>236.89000000000001</v>
      </c>
      <c r="N1631" s="53">
        <f>IF(J1631&lt;&gt;0,M1631/J1631,"")</f>
        <v>0.50211963203187926</v>
      </c>
      <c r="O1631" s="23">
        <v>3.29</v>
      </c>
      <c r="P1631" s="25">
        <v>1</v>
      </c>
      <c r="Q1631" s="24">
        <v>1.62</v>
      </c>
      <c r="R1631" s="24">
        <f>O1631-Q1631</f>
        <v>1.67</v>
      </c>
      <c r="S1631" s="53">
        <f>IF(O1631&lt;&gt;0,R1631/O1631,"")</f>
        <v>0.50759878419452886</v>
      </c>
      <c r="T1631" s="10"/>
      <c r="U1631" s="23">
        <v>1376.6100000000001</v>
      </c>
      <c r="V1631" s="25">
        <v>432</v>
      </c>
      <c r="W1631" s="24">
        <v>699.81000000000006</v>
      </c>
      <c r="X1631" s="24">
        <f>U1631-W1631</f>
        <v>676.80000000000007</v>
      </c>
      <c r="Y1631" s="53">
        <f>IF(U1631&lt;&gt;0,X1631/U1631,"")</f>
        <v>0.49164251313008039</v>
      </c>
      <c r="Z1631" s="23">
        <v>463.74999999999994</v>
      </c>
      <c r="AA1631" s="25">
        <v>144</v>
      </c>
      <c r="AB1631" s="24">
        <v>233.26999999999998</v>
      </c>
      <c r="AC1631" s="24">
        <f t="shared" si="485"/>
        <v>230.47999999999996</v>
      </c>
      <c r="AD1631" s="53">
        <f t="shared" si="486"/>
        <v>0.49699191374663071</v>
      </c>
      <c r="AE1631" s="10"/>
    </row>
    <row r="1632" spans="1:31" x14ac:dyDescent="0.25">
      <c r="A1632" s="14" t="s">
        <v>109</v>
      </c>
      <c r="C1632" s="61" t="str">
        <f t="shared" si="484"/>
        <v>C100099</v>
      </c>
      <c r="F1632" s="8" t="str">
        <f>"E100020"</f>
        <v>E100020</v>
      </c>
      <c r="G1632" s="9" t="str">
        <f>"Flip-up Travel Alarm"</f>
        <v>Flip-up Travel Alarm</v>
      </c>
      <c r="H1632" s="47"/>
      <c r="I1632" s="47"/>
      <c r="J1632" s="23">
        <v>2513.2800000000002</v>
      </c>
      <c r="K1632" s="25">
        <v>290</v>
      </c>
      <c r="L1632" s="24">
        <v>1357.22</v>
      </c>
      <c r="M1632" s="24">
        <f>J1632-L1632</f>
        <v>1156.0600000000002</v>
      </c>
      <c r="N1632" s="53">
        <f>IF(J1632&lt;&gt;0,M1632/J1632,"")</f>
        <v>0.45998058314234785</v>
      </c>
      <c r="O1632" s="23">
        <v>1287.8500000000001</v>
      </c>
      <c r="P1632" s="25">
        <v>144</v>
      </c>
      <c r="Q1632" s="24">
        <v>673.93000000000006</v>
      </c>
      <c r="R1632" s="24">
        <f>O1632-Q1632</f>
        <v>613.92000000000007</v>
      </c>
      <c r="S1632" s="53">
        <f>IF(O1632&lt;&gt;0,R1632/O1632,"")</f>
        <v>0.47670147920953526</v>
      </c>
      <c r="T1632" s="10"/>
      <c r="U1632" s="23">
        <v>1274.57</v>
      </c>
      <c r="V1632" s="25">
        <v>144</v>
      </c>
      <c r="W1632" s="24">
        <v>673.93000000000006</v>
      </c>
      <c r="X1632" s="24">
        <f>U1632-W1632</f>
        <v>600.63999999999987</v>
      </c>
      <c r="Y1632" s="53">
        <f>IF(U1632&lt;&gt;0,X1632/U1632,"")</f>
        <v>0.4712491271566096</v>
      </c>
      <c r="Z1632" s="23">
        <v>1270.3400000000001</v>
      </c>
      <c r="AA1632" s="25">
        <v>145</v>
      </c>
      <c r="AB1632" s="24">
        <v>678.61</v>
      </c>
      <c r="AC1632" s="24">
        <f t="shared" si="485"/>
        <v>591.73000000000013</v>
      </c>
      <c r="AD1632" s="53">
        <f t="shared" si="486"/>
        <v>0.4658044303099958</v>
      </c>
      <c r="AE1632" s="10"/>
    </row>
    <row r="1633" spans="1:31" x14ac:dyDescent="0.25">
      <c r="A1633" s="14" t="s">
        <v>109</v>
      </c>
      <c r="C1633" s="61" t="str">
        <f t="shared" si="484"/>
        <v>C100099</v>
      </c>
      <c r="F1633" s="8" t="str">
        <f>"E100021"</f>
        <v>E100021</v>
      </c>
      <c r="G1633" s="9" t="str">
        <f>"Slim Travel Alarm"</f>
        <v>Slim Travel Alarm</v>
      </c>
      <c r="H1633" s="47"/>
      <c r="I1633" s="47"/>
      <c r="J1633" s="23">
        <v>468.59999999999997</v>
      </c>
      <c r="K1633" s="25">
        <v>170</v>
      </c>
      <c r="L1633" s="24">
        <v>244.79</v>
      </c>
      <c r="M1633" s="24">
        <f>J1633-L1633</f>
        <v>223.80999999999997</v>
      </c>
      <c r="N1633" s="53">
        <f>IF(J1633&lt;&gt;0,M1633/J1633,"")</f>
        <v>0.47761416986769095</v>
      </c>
      <c r="O1633" s="23">
        <v>407.92</v>
      </c>
      <c r="P1633" s="25">
        <v>146</v>
      </c>
      <c r="Q1633" s="24">
        <v>210.23</v>
      </c>
      <c r="R1633" s="24">
        <f>O1633-Q1633</f>
        <v>197.69000000000003</v>
      </c>
      <c r="S1633" s="53">
        <f>IF(O1633&lt;&gt;0,R1633/O1633,"")</f>
        <v>0.48462933908609535</v>
      </c>
      <c r="T1633" s="10"/>
      <c r="U1633" s="23">
        <v>842.57</v>
      </c>
      <c r="V1633" s="25">
        <v>300</v>
      </c>
      <c r="W1633" s="24">
        <v>431.97999999999996</v>
      </c>
      <c r="X1633" s="24">
        <f>U1633-W1633</f>
        <v>410.59000000000009</v>
      </c>
      <c r="Y1633" s="53">
        <f>IF(U1633&lt;&gt;0,X1633/U1633,"")</f>
        <v>0.48730669261901094</v>
      </c>
      <c r="Z1633" s="23">
        <v>5.64</v>
      </c>
      <c r="AA1633" s="25">
        <v>2</v>
      </c>
      <c r="AB1633" s="24">
        <v>2.88</v>
      </c>
      <c r="AC1633" s="24">
        <f t="shared" si="485"/>
        <v>2.76</v>
      </c>
      <c r="AD1633" s="53">
        <f t="shared" si="486"/>
        <v>0.48936170212765956</v>
      </c>
      <c r="AE1633" s="10"/>
    </row>
    <row r="1634" spans="1:31" x14ac:dyDescent="0.25">
      <c r="A1634" s="14" t="s">
        <v>109</v>
      </c>
      <c r="C1634" s="61" t="str">
        <f t="shared" si="484"/>
        <v>C100099</v>
      </c>
      <c r="F1634" s="8" t="str">
        <f>"E100022"</f>
        <v>E100022</v>
      </c>
      <c r="G1634" s="9" t="str">
        <f>"Wide Screen Alarm Clock"</f>
        <v>Wide Screen Alarm Clock</v>
      </c>
      <c r="H1634" s="47"/>
      <c r="I1634" s="47"/>
      <c r="J1634" s="23">
        <v>818.94999999999993</v>
      </c>
      <c r="K1634" s="25">
        <v>439</v>
      </c>
      <c r="L1634" s="24">
        <v>561.88</v>
      </c>
      <c r="M1634" s="24">
        <f>J1634-L1634</f>
        <v>257.06999999999994</v>
      </c>
      <c r="N1634" s="53">
        <f>IF(J1634&lt;&gt;0,M1634/J1634,"")</f>
        <v>0.3139019476158495</v>
      </c>
      <c r="O1634" s="23">
        <v>406.25</v>
      </c>
      <c r="P1634" s="25">
        <v>217</v>
      </c>
      <c r="Q1634" s="24">
        <v>277.74</v>
      </c>
      <c r="R1634" s="24">
        <f>O1634-Q1634</f>
        <v>128.51</v>
      </c>
      <c r="S1634" s="53">
        <f>IF(O1634&lt;&gt;0,R1634/O1634,"")</f>
        <v>0.31633230769230769</v>
      </c>
      <c r="T1634" s="10"/>
      <c r="U1634" s="23">
        <v>292.90000000000003</v>
      </c>
      <c r="V1634" s="25">
        <v>164</v>
      </c>
      <c r="W1634" s="24">
        <v>209.90999999999997</v>
      </c>
      <c r="X1634" s="24">
        <f>U1634-W1634</f>
        <v>82.990000000000066</v>
      </c>
      <c r="Y1634" s="53">
        <f>IF(U1634&lt;&gt;0,X1634/U1634,"")</f>
        <v>0.28333902355752838</v>
      </c>
      <c r="Z1634" s="23">
        <v>315.96999999999997</v>
      </c>
      <c r="AA1634" s="25">
        <v>170</v>
      </c>
      <c r="AB1634" s="24">
        <v>217.58999999999997</v>
      </c>
      <c r="AC1634" s="24">
        <f t="shared" si="485"/>
        <v>98.38</v>
      </c>
      <c r="AD1634" s="53">
        <f t="shared" si="486"/>
        <v>0.3113586732917682</v>
      </c>
      <c r="AE1634" s="10"/>
    </row>
    <row r="1635" spans="1:31" ht="15.75" thickBot="1" x14ac:dyDescent="0.3">
      <c r="A1635" s="14" t="s">
        <v>109</v>
      </c>
      <c r="C1635" s="61" t="str">
        <f>C1597</f>
        <v>C100099</v>
      </c>
      <c r="J1635" s="10"/>
      <c r="K1635" s="11"/>
      <c r="L1635" s="11"/>
      <c r="M1635" s="11"/>
      <c r="N1635" s="12"/>
      <c r="O1635" s="10"/>
      <c r="P1635" s="11"/>
      <c r="Q1635" s="11"/>
      <c r="R1635" s="11"/>
      <c r="S1635" s="12"/>
      <c r="U1635" s="10"/>
      <c r="V1635" s="11"/>
      <c r="W1635" s="11"/>
      <c r="X1635" s="11"/>
      <c r="Y1635" s="12"/>
      <c r="Z1635" s="10"/>
      <c r="AA1635" s="11"/>
      <c r="AB1635" s="11"/>
      <c r="AC1635" s="11"/>
      <c r="AD1635" s="12"/>
    </row>
    <row r="1636" spans="1:31" ht="15.75" thickBot="1" x14ac:dyDescent="0.3">
      <c r="A1636" s="14" t="s">
        <v>109</v>
      </c>
      <c r="C1636" s="61" t="str">
        <f t="shared" si="481"/>
        <v>C100099</v>
      </c>
      <c r="G1636" s="48" t="str">
        <f>C1636&amp;" TOTAL:"</f>
        <v>C100099 TOTAL:</v>
      </c>
      <c r="H1636" s="50"/>
      <c r="I1636" s="50"/>
      <c r="J1636" s="34">
        <f>SUBTOTAL(9,J1596:J1635)</f>
        <v>122039.18000000001</v>
      </c>
      <c r="K1636" s="35">
        <f>SUBTOTAL(9,K1596:K1635)</f>
        <v>5506</v>
      </c>
      <c r="L1636" s="36">
        <f>SUBTOTAL(9,L1596:L1635)</f>
        <v>67532.38</v>
      </c>
      <c r="M1636" s="36">
        <f>J1636-L1636</f>
        <v>54506.8</v>
      </c>
      <c r="N1636" s="37">
        <f>IF(J1636&lt;&gt;0,M1636/J1636,"")</f>
        <v>0.44663361389350537</v>
      </c>
      <c r="O1636" s="34">
        <f>SUBTOTAL(9,O1596:O1635)</f>
        <v>101097.68000000001</v>
      </c>
      <c r="P1636" s="35">
        <f>SUBTOTAL(9,P1596:P1635)</f>
        <v>4361</v>
      </c>
      <c r="Q1636" s="36">
        <f>SUBTOTAL(9,Q1596:Q1635)</f>
        <v>53865.17</v>
      </c>
      <c r="R1636" s="36">
        <f>O1636-Q1636</f>
        <v>47232.510000000009</v>
      </c>
      <c r="S1636" s="37">
        <f>IF(O1636&lt;&gt;0,R1636/O1636,"")</f>
        <v>0.46719677444625834</v>
      </c>
      <c r="U1636" s="34">
        <f>SUBTOTAL(9,U1596:U1635)</f>
        <v>104685.47999999997</v>
      </c>
      <c r="V1636" s="35">
        <f>SUBTOTAL(9,V1596:V1635)</f>
        <v>5618</v>
      </c>
      <c r="W1636" s="36">
        <f>SUBTOTAL(9,W1596:W1635)</f>
        <v>59938.31</v>
      </c>
      <c r="X1636" s="36">
        <f>U1636-W1636</f>
        <v>44747.169999999969</v>
      </c>
      <c r="Y1636" s="37">
        <f>IF(U1636&lt;&gt;0,X1636/U1636,"")</f>
        <v>0.42744390148471384</v>
      </c>
      <c r="Z1636" s="34">
        <f>SUBTOTAL(9,Z1596:Z1635)</f>
        <v>73087.590000000011</v>
      </c>
      <c r="AA1636" s="35">
        <f>SUBTOTAL(9,AA1596:AA1635)</f>
        <v>3965</v>
      </c>
      <c r="AB1636" s="36">
        <f>SUBTOTAL(9,AB1596:AB1635)</f>
        <v>39712.209999999992</v>
      </c>
      <c r="AC1636" s="36">
        <f t="shared" ref="AC1636" si="487">Z1636-AB1636</f>
        <v>33375.380000000019</v>
      </c>
      <c r="AD1636" s="37">
        <f t="shared" ref="AD1636" si="488">IF(Z1636&lt;&gt;0,AC1636/Z1636,"")</f>
        <v>0.45664906997207066</v>
      </c>
    </row>
    <row r="1637" spans="1:31" x14ac:dyDescent="0.25">
      <c r="A1637" s="14" t="s">
        <v>109</v>
      </c>
      <c r="C1637" s="66"/>
      <c r="J1637" s="10"/>
      <c r="K1637" s="11"/>
      <c r="L1637" s="11"/>
      <c r="M1637" s="11"/>
      <c r="N1637" s="12"/>
      <c r="O1637" s="10"/>
      <c r="P1637" s="11"/>
      <c r="Q1637" s="11"/>
      <c r="R1637" s="11"/>
      <c r="S1637" s="12"/>
      <c r="U1637" s="10"/>
      <c r="V1637" s="11"/>
      <c r="W1637" s="11"/>
      <c r="X1637" s="11"/>
      <c r="Y1637" s="12"/>
      <c r="Z1637" s="10"/>
      <c r="AA1637" s="11"/>
      <c r="AB1637" s="11"/>
      <c r="AC1637" s="11"/>
      <c r="AD1637" s="12"/>
    </row>
    <row r="1638" spans="1:31" ht="15.75" x14ac:dyDescent="0.25">
      <c r="A1638" s="14" t="s">
        <v>109</v>
      </c>
      <c r="C1638" s="66" t="str">
        <f t="shared" ref="C1638" si="489">E1638</f>
        <v>C100100</v>
      </c>
      <c r="E1638" s="13" t="str">
        <f>"C100100"</f>
        <v>C100100</v>
      </c>
      <c r="F1638" s="13"/>
      <c r="G1638" s="13" t="str">
        <f>"Keybase, Inc."</f>
        <v>Keybase, Inc.</v>
      </c>
      <c r="H1638" s="13"/>
      <c r="I1638" s="13"/>
      <c r="J1638" s="10"/>
      <c r="K1638" s="11"/>
      <c r="L1638" s="11"/>
      <c r="M1638" s="11"/>
      <c r="N1638" s="12"/>
      <c r="O1638" s="10"/>
      <c r="P1638" s="11"/>
      <c r="Q1638" s="11"/>
      <c r="R1638" s="11"/>
      <c r="S1638" s="12"/>
      <c r="U1638" s="10"/>
      <c r="V1638" s="11"/>
      <c r="W1638" s="11"/>
      <c r="X1638" s="11"/>
      <c r="Y1638" s="12"/>
      <c r="Z1638" s="10"/>
      <c r="AA1638" s="11"/>
      <c r="AB1638" s="11"/>
      <c r="AC1638" s="11"/>
      <c r="AD1638" s="12"/>
    </row>
    <row r="1639" spans="1:31" ht="6.6" customHeight="1" x14ac:dyDescent="0.25">
      <c r="A1639" s="14" t="s">
        <v>109</v>
      </c>
      <c r="C1639" s="61" t="str">
        <f t="shared" ref="C1639:C1689" si="490">C1638</f>
        <v>C100100</v>
      </c>
      <c r="J1639" s="10"/>
      <c r="K1639" s="11"/>
      <c r="L1639" s="11"/>
      <c r="M1639" s="11"/>
      <c r="N1639" s="12"/>
      <c r="O1639" s="10"/>
      <c r="P1639" s="11"/>
      <c r="Q1639" s="11"/>
      <c r="R1639" s="11"/>
      <c r="S1639" s="12"/>
      <c r="U1639" s="10"/>
      <c r="V1639" s="11"/>
      <c r="W1639" s="11"/>
      <c r="X1639" s="11"/>
      <c r="Y1639" s="12"/>
      <c r="Z1639" s="10"/>
      <c r="AA1639" s="11"/>
      <c r="AB1639" s="11"/>
      <c r="AC1639" s="11"/>
      <c r="AD1639" s="12"/>
    </row>
    <row r="1640" spans="1:31" x14ac:dyDescent="0.25">
      <c r="A1640" s="14" t="s">
        <v>109</v>
      </c>
      <c r="C1640" s="61" t="str">
        <f t="shared" si="490"/>
        <v>C100100</v>
      </c>
      <c r="F1640" s="8" t="str">
        <f>"C100028"</f>
        <v>C100028</v>
      </c>
      <c r="G1640" s="9" t="str">
        <f>"Twill Visor"</f>
        <v>Twill Visor</v>
      </c>
      <c r="H1640" s="47"/>
      <c r="I1640" s="47"/>
      <c r="J1640" s="23">
        <v>0</v>
      </c>
      <c r="K1640" s="25">
        <v>0</v>
      </c>
      <c r="L1640" s="24">
        <v>0</v>
      </c>
      <c r="M1640" s="24">
        <f>J1640-L1640</f>
        <v>0</v>
      </c>
      <c r="N1640" s="53" t="str">
        <f>IF(J1640&lt;&gt;0,M1640/J1640,"")</f>
        <v/>
      </c>
      <c r="O1640" s="23">
        <v>240.37</v>
      </c>
      <c r="P1640" s="25">
        <v>48</v>
      </c>
      <c r="Q1640" s="24">
        <v>115.2</v>
      </c>
      <c r="R1640" s="24">
        <f>O1640-Q1640</f>
        <v>125.17</v>
      </c>
      <c r="S1640" s="53">
        <f>IF(O1640&lt;&gt;0,R1640/O1640,"")</f>
        <v>0.52073886092274413</v>
      </c>
      <c r="T1640" s="10"/>
      <c r="U1640" s="23">
        <v>0</v>
      </c>
      <c r="V1640" s="25">
        <v>0</v>
      </c>
      <c r="W1640" s="24">
        <v>0</v>
      </c>
      <c r="X1640" s="24">
        <f>U1640-W1640</f>
        <v>0</v>
      </c>
      <c r="Y1640" s="53" t="str">
        <f>IF(U1640&lt;&gt;0,X1640/U1640,"")</f>
        <v/>
      </c>
      <c r="Z1640" s="23">
        <v>0</v>
      </c>
      <c r="AA1640" s="25">
        <v>0</v>
      </c>
      <c r="AB1640" s="24">
        <v>0</v>
      </c>
      <c r="AC1640" s="24">
        <f t="shared" ref="AC1640" si="491">Z1640-AB1640</f>
        <v>0</v>
      </c>
      <c r="AD1640" s="53" t="str">
        <f t="shared" ref="AD1640" si="492">IF(Z1640&lt;&gt;0,AC1640/Z1640,"")</f>
        <v/>
      </c>
      <c r="AE1640" s="10"/>
    </row>
    <row r="1641" spans="1:31" x14ac:dyDescent="0.25">
      <c r="A1641" s="14" t="s">
        <v>109</v>
      </c>
      <c r="C1641" s="61" t="str">
        <f t="shared" ref="C1641:C1687" si="493">C1640</f>
        <v>C100100</v>
      </c>
      <c r="F1641" s="8" t="str">
        <f>"C100029"</f>
        <v>C100029</v>
      </c>
      <c r="G1641" s="9" t="str">
        <f>"Distressed Twill Visor"</f>
        <v>Distressed Twill Visor</v>
      </c>
      <c r="H1641" s="47"/>
      <c r="I1641" s="47"/>
      <c r="J1641" s="23">
        <v>0</v>
      </c>
      <c r="K1641" s="25">
        <v>0</v>
      </c>
      <c r="L1641" s="24">
        <v>0</v>
      </c>
      <c r="M1641" s="24">
        <f>J1641-L1641</f>
        <v>0</v>
      </c>
      <c r="N1641" s="53" t="str">
        <f>IF(J1641&lt;&gt;0,M1641/J1641,"")</f>
        <v/>
      </c>
      <c r="O1641" s="23">
        <v>482.62999999999994</v>
      </c>
      <c r="P1641" s="25">
        <v>144</v>
      </c>
      <c r="Q1641" s="24">
        <v>298.09000000000003</v>
      </c>
      <c r="R1641" s="24">
        <f>O1641-Q1641</f>
        <v>184.53999999999991</v>
      </c>
      <c r="S1641" s="53">
        <f>IF(O1641&lt;&gt;0,R1641/O1641,"")</f>
        <v>0.38236330107950173</v>
      </c>
      <c r="T1641" s="10"/>
      <c r="U1641" s="23">
        <v>0</v>
      </c>
      <c r="V1641" s="25">
        <v>0</v>
      </c>
      <c r="W1641" s="24">
        <v>0</v>
      </c>
      <c r="X1641" s="24">
        <f>U1641-W1641</f>
        <v>0</v>
      </c>
      <c r="Y1641" s="53" t="str">
        <f>IF(U1641&lt;&gt;0,X1641/U1641,"")</f>
        <v/>
      </c>
      <c r="Z1641" s="23">
        <v>0</v>
      </c>
      <c r="AA1641" s="25">
        <v>0</v>
      </c>
      <c r="AB1641" s="24">
        <v>0</v>
      </c>
      <c r="AC1641" s="24">
        <f t="shared" ref="AC1641:AC1687" si="494">Z1641-AB1641</f>
        <v>0</v>
      </c>
      <c r="AD1641" s="53" t="str">
        <f t="shared" ref="AD1641:AD1687" si="495">IF(Z1641&lt;&gt;0,AC1641/Z1641,"")</f>
        <v/>
      </c>
      <c r="AE1641" s="10"/>
    </row>
    <row r="1642" spans="1:31" x14ac:dyDescent="0.25">
      <c r="A1642" s="14" t="s">
        <v>109</v>
      </c>
      <c r="C1642" s="61" t="str">
        <f t="shared" si="493"/>
        <v>C100100</v>
      </c>
      <c r="F1642" s="8" t="str">
        <f>"C100042"</f>
        <v>C100042</v>
      </c>
      <c r="G1642" s="9" t="str">
        <f>"Retractable Earbuds"</f>
        <v>Retractable Earbuds</v>
      </c>
      <c r="H1642" s="47"/>
      <c r="I1642" s="47"/>
      <c r="J1642" s="23">
        <v>0</v>
      </c>
      <c r="K1642" s="25">
        <v>0</v>
      </c>
      <c r="L1642" s="24">
        <v>0</v>
      </c>
      <c r="M1642" s="24">
        <f>J1642-L1642</f>
        <v>0</v>
      </c>
      <c r="N1642" s="53" t="str">
        <f>IF(J1642&lt;&gt;0,M1642/J1642,"")</f>
        <v/>
      </c>
      <c r="O1642" s="23">
        <v>287.88</v>
      </c>
      <c r="P1642" s="25">
        <v>144</v>
      </c>
      <c r="Q1642" s="24">
        <v>155.60999999999999</v>
      </c>
      <c r="R1642" s="24">
        <f>O1642-Q1642</f>
        <v>132.27000000000001</v>
      </c>
      <c r="S1642" s="53">
        <f>IF(O1642&lt;&gt;0,R1642/O1642,"")</f>
        <v>0.45946227594831185</v>
      </c>
      <c r="T1642" s="10"/>
      <c r="U1642" s="23">
        <v>0</v>
      </c>
      <c r="V1642" s="25">
        <v>0</v>
      </c>
      <c r="W1642" s="24">
        <v>0</v>
      </c>
      <c r="X1642" s="24">
        <f>U1642-W1642</f>
        <v>0</v>
      </c>
      <c r="Y1642" s="53" t="str">
        <f>IF(U1642&lt;&gt;0,X1642/U1642,"")</f>
        <v/>
      </c>
      <c r="Z1642" s="23">
        <v>0</v>
      </c>
      <c r="AA1642" s="25">
        <v>0</v>
      </c>
      <c r="AB1642" s="24">
        <v>0</v>
      </c>
      <c r="AC1642" s="24">
        <f t="shared" si="494"/>
        <v>0</v>
      </c>
      <c r="AD1642" s="53" t="str">
        <f t="shared" si="495"/>
        <v/>
      </c>
      <c r="AE1642" s="10"/>
    </row>
    <row r="1643" spans="1:31" x14ac:dyDescent="0.25">
      <c r="A1643" s="14" t="s">
        <v>109</v>
      </c>
      <c r="C1643" s="61" t="str">
        <f t="shared" si="493"/>
        <v>C100100</v>
      </c>
      <c r="F1643" s="8" t="str">
        <f>"C100044"</f>
        <v>C100044</v>
      </c>
      <c r="G1643" s="9" t="str">
        <f>"VOIP Headset with Mic"</f>
        <v>VOIP Headset with Mic</v>
      </c>
      <c r="H1643" s="47"/>
      <c r="I1643" s="47"/>
      <c r="J1643" s="23">
        <v>0</v>
      </c>
      <c r="K1643" s="25">
        <v>0</v>
      </c>
      <c r="L1643" s="24">
        <v>0</v>
      </c>
      <c r="M1643" s="24">
        <f>J1643-L1643</f>
        <v>0</v>
      </c>
      <c r="N1643" s="53" t="str">
        <f>IF(J1643&lt;&gt;0,M1643/J1643,"")</f>
        <v/>
      </c>
      <c r="O1643" s="23">
        <v>310.45999999999998</v>
      </c>
      <c r="P1643" s="25">
        <v>144</v>
      </c>
      <c r="Q1643" s="24">
        <v>172.85</v>
      </c>
      <c r="R1643" s="24">
        <f>O1643-Q1643</f>
        <v>137.60999999999999</v>
      </c>
      <c r="S1643" s="53">
        <f>IF(O1643&lt;&gt;0,R1643/O1643,"")</f>
        <v>0.4432455066675256</v>
      </c>
      <c r="T1643" s="10"/>
      <c r="U1643" s="23">
        <v>0</v>
      </c>
      <c r="V1643" s="25">
        <v>0</v>
      </c>
      <c r="W1643" s="24">
        <v>0</v>
      </c>
      <c r="X1643" s="24">
        <f>U1643-W1643</f>
        <v>0</v>
      </c>
      <c r="Y1643" s="53" t="str">
        <f>IF(U1643&lt;&gt;0,X1643/U1643,"")</f>
        <v/>
      </c>
      <c r="Z1643" s="23">
        <v>0</v>
      </c>
      <c r="AA1643" s="25">
        <v>0</v>
      </c>
      <c r="AB1643" s="24">
        <v>0</v>
      </c>
      <c r="AC1643" s="24">
        <f t="shared" si="494"/>
        <v>0</v>
      </c>
      <c r="AD1643" s="53" t="str">
        <f t="shared" si="495"/>
        <v/>
      </c>
      <c r="AE1643" s="10"/>
    </row>
    <row r="1644" spans="1:31" x14ac:dyDescent="0.25">
      <c r="A1644" s="14" t="s">
        <v>109</v>
      </c>
      <c r="C1644" s="61" t="str">
        <f t="shared" si="493"/>
        <v>C100100</v>
      </c>
      <c r="F1644" s="8" t="str">
        <f>"C100063"</f>
        <v>C100063</v>
      </c>
      <c r="G1644" s="9" t="str">
        <f>"Soup Mug"</f>
        <v>Soup Mug</v>
      </c>
      <c r="H1644" s="47"/>
      <c r="I1644" s="47"/>
      <c r="J1644" s="23">
        <v>0</v>
      </c>
      <c r="K1644" s="25">
        <v>0</v>
      </c>
      <c r="L1644" s="24">
        <v>0</v>
      </c>
      <c r="M1644" s="24">
        <f>J1644-L1644</f>
        <v>0</v>
      </c>
      <c r="N1644" s="53" t="str">
        <f>IF(J1644&lt;&gt;0,M1644/J1644,"")</f>
        <v/>
      </c>
      <c r="O1644" s="23">
        <v>234.26</v>
      </c>
      <c r="P1644" s="25">
        <v>144</v>
      </c>
      <c r="Q1644" s="24">
        <v>133.94999999999999</v>
      </c>
      <c r="R1644" s="24">
        <f>O1644-Q1644</f>
        <v>100.31</v>
      </c>
      <c r="S1644" s="53">
        <f>IF(O1644&lt;&gt;0,R1644/O1644,"")</f>
        <v>0.42819943652352088</v>
      </c>
      <c r="T1644" s="10"/>
      <c r="U1644" s="23">
        <v>0</v>
      </c>
      <c r="V1644" s="25">
        <v>0</v>
      </c>
      <c r="W1644" s="24">
        <v>0</v>
      </c>
      <c r="X1644" s="24">
        <f>U1644-W1644</f>
        <v>0</v>
      </c>
      <c r="Y1644" s="53" t="str">
        <f>IF(U1644&lt;&gt;0,X1644/U1644,"")</f>
        <v/>
      </c>
      <c r="Z1644" s="23">
        <v>0</v>
      </c>
      <c r="AA1644" s="25">
        <v>0</v>
      </c>
      <c r="AB1644" s="24">
        <v>0</v>
      </c>
      <c r="AC1644" s="24">
        <f t="shared" si="494"/>
        <v>0</v>
      </c>
      <c r="AD1644" s="53" t="str">
        <f t="shared" si="495"/>
        <v/>
      </c>
      <c r="AE1644" s="10"/>
    </row>
    <row r="1645" spans="1:31" x14ac:dyDescent="0.25">
      <c r="A1645" s="14" t="s">
        <v>109</v>
      </c>
      <c r="C1645" s="61" t="str">
        <f t="shared" si="493"/>
        <v>C100100</v>
      </c>
      <c r="F1645" s="8" t="str">
        <f>"E100001"</f>
        <v>E100001</v>
      </c>
      <c r="G1645" s="9" t="str">
        <f>"Sport Bag"</f>
        <v>Sport Bag</v>
      </c>
      <c r="H1645" s="47"/>
      <c r="I1645" s="47"/>
      <c r="J1645" s="23">
        <v>252.82</v>
      </c>
      <c r="K1645" s="25">
        <v>144</v>
      </c>
      <c r="L1645" s="24">
        <v>125.28</v>
      </c>
      <c r="M1645" s="24">
        <f>J1645-L1645</f>
        <v>127.53999999999999</v>
      </c>
      <c r="N1645" s="53">
        <f>IF(J1645&lt;&gt;0,M1645/J1645,"")</f>
        <v>0.50446958310260259</v>
      </c>
      <c r="O1645" s="23">
        <v>255.43</v>
      </c>
      <c r="P1645" s="25">
        <v>144</v>
      </c>
      <c r="Q1645" s="24">
        <v>125.28</v>
      </c>
      <c r="R1645" s="24">
        <f>O1645-Q1645</f>
        <v>130.15</v>
      </c>
      <c r="S1645" s="53">
        <f>IF(O1645&lt;&gt;0,R1645/O1645,"")</f>
        <v>0.50953294444661945</v>
      </c>
      <c r="T1645" s="10"/>
      <c r="U1645" s="23">
        <v>0</v>
      </c>
      <c r="V1645" s="25">
        <v>0</v>
      </c>
      <c r="W1645" s="24">
        <v>0</v>
      </c>
      <c r="X1645" s="24">
        <f>U1645-W1645</f>
        <v>0</v>
      </c>
      <c r="Y1645" s="53" t="str">
        <f>IF(U1645&lt;&gt;0,X1645/U1645,"")</f>
        <v/>
      </c>
      <c r="Z1645" s="23">
        <v>0</v>
      </c>
      <c r="AA1645" s="25">
        <v>0</v>
      </c>
      <c r="AB1645" s="24">
        <v>0</v>
      </c>
      <c r="AC1645" s="24">
        <f t="shared" si="494"/>
        <v>0</v>
      </c>
      <c r="AD1645" s="53" t="str">
        <f t="shared" si="495"/>
        <v/>
      </c>
      <c r="AE1645" s="10"/>
    </row>
    <row r="1646" spans="1:31" x14ac:dyDescent="0.25">
      <c r="A1646" s="14" t="s">
        <v>109</v>
      </c>
      <c r="C1646" s="61" t="str">
        <f t="shared" si="493"/>
        <v>C100100</v>
      </c>
      <c r="F1646" s="8" t="str">
        <f>"E100003"</f>
        <v>E100003</v>
      </c>
      <c r="G1646" s="9" t="str">
        <f>"Recycled Tote"</f>
        <v>Recycled Tote</v>
      </c>
      <c r="H1646" s="47"/>
      <c r="I1646" s="47"/>
      <c r="J1646" s="23">
        <v>0</v>
      </c>
      <c r="K1646" s="25">
        <v>0</v>
      </c>
      <c r="L1646" s="24">
        <v>0</v>
      </c>
      <c r="M1646" s="24">
        <f>J1646-L1646</f>
        <v>0</v>
      </c>
      <c r="N1646" s="53" t="str">
        <f>IF(J1646&lt;&gt;0,M1646/J1646,"")</f>
        <v/>
      </c>
      <c r="O1646" s="23">
        <v>436.06</v>
      </c>
      <c r="P1646" s="25">
        <v>144</v>
      </c>
      <c r="Q1646" s="24">
        <v>244.81000000000003</v>
      </c>
      <c r="R1646" s="24">
        <f>O1646-Q1646</f>
        <v>191.24999999999997</v>
      </c>
      <c r="S1646" s="53">
        <f>IF(O1646&lt;&gt;0,R1646/O1646,"")</f>
        <v>0.4385864330596706</v>
      </c>
      <c r="T1646" s="10"/>
      <c r="U1646" s="23">
        <v>0</v>
      </c>
      <c r="V1646" s="25">
        <v>0</v>
      </c>
      <c r="W1646" s="24">
        <v>0</v>
      </c>
      <c r="X1646" s="24">
        <f>U1646-W1646</f>
        <v>0</v>
      </c>
      <c r="Y1646" s="53" t="str">
        <f>IF(U1646&lt;&gt;0,X1646/U1646,"")</f>
        <v/>
      </c>
      <c r="Z1646" s="23">
        <v>0</v>
      </c>
      <c r="AA1646" s="25">
        <v>0</v>
      </c>
      <c r="AB1646" s="24">
        <v>0</v>
      </c>
      <c r="AC1646" s="24">
        <f t="shared" si="494"/>
        <v>0</v>
      </c>
      <c r="AD1646" s="53" t="str">
        <f t="shared" si="495"/>
        <v/>
      </c>
      <c r="AE1646" s="10"/>
    </row>
    <row r="1647" spans="1:31" x14ac:dyDescent="0.25">
      <c r="A1647" s="14" t="s">
        <v>109</v>
      </c>
      <c r="C1647" s="61" t="str">
        <f t="shared" si="493"/>
        <v>C100100</v>
      </c>
      <c r="F1647" s="8" t="str">
        <f>"E100004"</f>
        <v>E100004</v>
      </c>
      <c r="G1647" s="9" t="str">
        <f>"Laminated Tote"</f>
        <v>Laminated Tote</v>
      </c>
      <c r="H1647" s="47"/>
      <c r="I1647" s="47"/>
      <c r="J1647" s="23">
        <v>0</v>
      </c>
      <c r="K1647" s="25">
        <v>0</v>
      </c>
      <c r="L1647" s="24">
        <v>0</v>
      </c>
      <c r="M1647" s="24">
        <f>J1647-L1647</f>
        <v>0</v>
      </c>
      <c r="N1647" s="53" t="str">
        <f>IF(J1647&lt;&gt;0,M1647/J1647,"")</f>
        <v/>
      </c>
      <c r="O1647" s="23">
        <v>530.62</v>
      </c>
      <c r="P1647" s="25">
        <v>288</v>
      </c>
      <c r="Q1647" s="24">
        <v>345.6</v>
      </c>
      <c r="R1647" s="24">
        <f>O1647-Q1647</f>
        <v>185.01999999999998</v>
      </c>
      <c r="S1647" s="53">
        <f>IF(O1647&lt;&gt;0,R1647/O1647,"")</f>
        <v>0.34868644227507439</v>
      </c>
      <c r="T1647" s="10"/>
      <c r="U1647" s="23">
        <v>0</v>
      </c>
      <c r="V1647" s="25">
        <v>0</v>
      </c>
      <c r="W1647" s="24">
        <v>0</v>
      </c>
      <c r="X1647" s="24">
        <f>U1647-W1647</f>
        <v>0</v>
      </c>
      <c r="Y1647" s="53" t="str">
        <f>IF(U1647&lt;&gt;0,X1647/U1647,"")</f>
        <v/>
      </c>
      <c r="Z1647" s="23">
        <v>0</v>
      </c>
      <c r="AA1647" s="25">
        <v>0</v>
      </c>
      <c r="AB1647" s="24">
        <v>0</v>
      </c>
      <c r="AC1647" s="24">
        <f t="shared" si="494"/>
        <v>0</v>
      </c>
      <c r="AD1647" s="53" t="str">
        <f t="shared" si="495"/>
        <v/>
      </c>
      <c r="AE1647" s="10"/>
    </row>
    <row r="1648" spans="1:31" x14ac:dyDescent="0.25">
      <c r="A1648" s="14" t="s">
        <v>109</v>
      </c>
      <c r="C1648" s="61" t="str">
        <f t="shared" si="493"/>
        <v>C100100</v>
      </c>
      <c r="F1648" s="8" t="str">
        <f>"E100005"</f>
        <v>E100005</v>
      </c>
      <c r="G1648" s="9" t="str">
        <f>"All Purpose Tote"</f>
        <v>All Purpose Tote</v>
      </c>
      <c r="H1648" s="47"/>
      <c r="I1648" s="47"/>
      <c r="J1648" s="23">
        <v>360.37</v>
      </c>
      <c r="K1648" s="25">
        <v>144</v>
      </c>
      <c r="L1648" s="24">
        <v>178.56</v>
      </c>
      <c r="M1648" s="24">
        <f>J1648-L1648</f>
        <v>181.81</v>
      </c>
      <c r="N1648" s="53">
        <f>IF(J1648&lt;&gt;0,M1648/J1648,"")</f>
        <v>0.50450925437744543</v>
      </c>
      <c r="O1648" s="23">
        <v>0</v>
      </c>
      <c r="P1648" s="25">
        <v>0</v>
      </c>
      <c r="Q1648" s="24">
        <v>0</v>
      </c>
      <c r="R1648" s="24">
        <f>O1648-Q1648</f>
        <v>0</v>
      </c>
      <c r="S1648" s="53" t="str">
        <f>IF(O1648&lt;&gt;0,R1648/O1648,"")</f>
        <v/>
      </c>
      <c r="T1648" s="10"/>
      <c r="U1648" s="23">
        <v>0</v>
      </c>
      <c r="V1648" s="25">
        <v>0</v>
      </c>
      <c r="W1648" s="24">
        <v>0</v>
      </c>
      <c r="X1648" s="24">
        <f>U1648-W1648</f>
        <v>0</v>
      </c>
      <c r="Y1648" s="53" t="str">
        <f>IF(U1648&lt;&gt;0,X1648/U1648,"")</f>
        <v/>
      </c>
      <c r="Z1648" s="23">
        <v>0</v>
      </c>
      <c r="AA1648" s="25">
        <v>0</v>
      </c>
      <c r="AB1648" s="24">
        <v>0</v>
      </c>
      <c r="AC1648" s="24">
        <f t="shared" si="494"/>
        <v>0</v>
      </c>
      <c r="AD1648" s="53" t="str">
        <f t="shared" si="495"/>
        <v/>
      </c>
      <c r="AE1648" s="10"/>
    </row>
    <row r="1649" spans="1:31" x14ac:dyDescent="0.25">
      <c r="A1649" s="14" t="s">
        <v>109</v>
      </c>
      <c r="C1649" s="61" t="str">
        <f t="shared" si="493"/>
        <v>C100100</v>
      </c>
      <c r="F1649" s="8" t="str">
        <f>"E100006"</f>
        <v>E100006</v>
      </c>
      <c r="G1649" s="9" t="str">
        <f>"Budget Tote Bag"</f>
        <v>Budget Tote Bag</v>
      </c>
      <c r="H1649" s="47"/>
      <c r="I1649" s="47"/>
      <c r="J1649" s="23">
        <v>0</v>
      </c>
      <c r="K1649" s="25">
        <v>0</v>
      </c>
      <c r="L1649" s="24">
        <v>0</v>
      </c>
      <c r="M1649" s="24">
        <f>J1649-L1649</f>
        <v>0</v>
      </c>
      <c r="N1649" s="53" t="str">
        <f>IF(J1649&lt;&gt;0,M1649/J1649,"")</f>
        <v/>
      </c>
      <c r="O1649" s="23">
        <v>2.12</v>
      </c>
      <c r="P1649" s="25">
        <v>24</v>
      </c>
      <c r="Q1649" s="24">
        <v>0.96</v>
      </c>
      <c r="R1649" s="24">
        <f>O1649-Q1649</f>
        <v>1.1600000000000001</v>
      </c>
      <c r="S1649" s="53">
        <f>IF(O1649&lt;&gt;0,R1649/O1649,"")</f>
        <v>0.54716981132075471</v>
      </c>
      <c r="T1649" s="10"/>
      <c r="U1649" s="23">
        <v>0</v>
      </c>
      <c r="V1649" s="25">
        <v>0</v>
      </c>
      <c r="W1649" s="24">
        <v>0</v>
      </c>
      <c r="X1649" s="24">
        <f>U1649-W1649</f>
        <v>0</v>
      </c>
      <c r="Y1649" s="53" t="str">
        <f>IF(U1649&lt;&gt;0,X1649/U1649,"")</f>
        <v/>
      </c>
      <c r="Z1649" s="23">
        <v>0</v>
      </c>
      <c r="AA1649" s="25">
        <v>0</v>
      </c>
      <c r="AB1649" s="24">
        <v>0</v>
      </c>
      <c r="AC1649" s="24">
        <f t="shared" si="494"/>
        <v>0</v>
      </c>
      <c r="AD1649" s="53" t="str">
        <f t="shared" si="495"/>
        <v/>
      </c>
      <c r="AE1649" s="10"/>
    </row>
    <row r="1650" spans="1:31" x14ac:dyDescent="0.25">
      <c r="A1650" s="14" t="s">
        <v>109</v>
      </c>
      <c r="C1650" s="61" t="str">
        <f t="shared" si="493"/>
        <v>C100100</v>
      </c>
      <c r="F1650" s="8" t="str">
        <f>"E100009"</f>
        <v>E100009</v>
      </c>
      <c r="G1650" s="9" t="str">
        <f>"Die-Cut Tote"</f>
        <v>Die-Cut Tote</v>
      </c>
      <c r="H1650" s="47"/>
      <c r="I1650" s="47"/>
      <c r="J1650" s="23">
        <v>64.25</v>
      </c>
      <c r="K1650" s="25">
        <v>288</v>
      </c>
      <c r="L1650" s="24">
        <v>31.71</v>
      </c>
      <c r="M1650" s="24">
        <f>J1650-L1650</f>
        <v>32.54</v>
      </c>
      <c r="N1650" s="53">
        <f>IF(J1650&lt;&gt;0,M1650/J1650,"")</f>
        <v>0.50645914396887159</v>
      </c>
      <c r="O1650" s="23">
        <v>6.99</v>
      </c>
      <c r="P1650" s="25">
        <v>31</v>
      </c>
      <c r="Q1650" s="24">
        <v>3.41</v>
      </c>
      <c r="R1650" s="24">
        <f>O1650-Q1650</f>
        <v>3.58</v>
      </c>
      <c r="S1650" s="53">
        <f>IF(O1650&lt;&gt;0,R1650/O1650,"")</f>
        <v>0.51216022889842627</v>
      </c>
      <c r="T1650" s="10"/>
      <c r="U1650" s="23">
        <v>0</v>
      </c>
      <c r="V1650" s="25">
        <v>0</v>
      </c>
      <c r="W1650" s="24">
        <v>0</v>
      </c>
      <c r="X1650" s="24">
        <f>U1650-W1650</f>
        <v>0</v>
      </c>
      <c r="Y1650" s="53" t="str">
        <f>IF(U1650&lt;&gt;0,X1650/U1650,"")</f>
        <v/>
      </c>
      <c r="Z1650" s="23">
        <v>0</v>
      </c>
      <c r="AA1650" s="25">
        <v>0</v>
      </c>
      <c r="AB1650" s="24">
        <v>0</v>
      </c>
      <c r="AC1650" s="24">
        <f t="shared" si="494"/>
        <v>0</v>
      </c>
      <c r="AD1650" s="53" t="str">
        <f t="shared" si="495"/>
        <v/>
      </c>
      <c r="AE1650" s="10"/>
    </row>
    <row r="1651" spans="1:31" x14ac:dyDescent="0.25">
      <c r="A1651" s="14" t="s">
        <v>109</v>
      </c>
      <c r="C1651" s="61" t="str">
        <f t="shared" si="493"/>
        <v>C100100</v>
      </c>
      <c r="F1651" s="8" t="str">
        <f>"E100011"</f>
        <v>E100011</v>
      </c>
      <c r="G1651" s="9" t="str">
        <f>"Plastic Sun Visor"</f>
        <v>Plastic Sun Visor</v>
      </c>
      <c r="H1651" s="47"/>
      <c r="I1651" s="47"/>
      <c r="J1651" s="23">
        <v>0.79</v>
      </c>
      <c r="K1651" s="25">
        <v>1</v>
      </c>
      <c r="L1651" s="24">
        <v>0.42</v>
      </c>
      <c r="M1651" s="24">
        <f>J1651-L1651</f>
        <v>0.37000000000000005</v>
      </c>
      <c r="N1651" s="53">
        <f>IF(J1651&lt;&gt;0,M1651/J1651,"")</f>
        <v>0.46835443037974689</v>
      </c>
      <c r="O1651" s="23">
        <v>114.31</v>
      </c>
      <c r="P1651" s="25">
        <v>144</v>
      </c>
      <c r="Q1651" s="24">
        <v>60.470000000000006</v>
      </c>
      <c r="R1651" s="24">
        <f>O1651-Q1651</f>
        <v>53.839999999999996</v>
      </c>
      <c r="S1651" s="53">
        <f>IF(O1651&lt;&gt;0,R1651/O1651,"")</f>
        <v>0.47099991251858975</v>
      </c>
      <c r="T1651" s="10"/>
      <c r="U1651" s="23">
        <v>0</v>
      </c>
      <c r="V1651" s="25">
        <v>0</v>
      </c>
      <c r="W1651" s="24">
        <v>0</v>
      </c>
      <c r="X1651" s="24">
        <f>U1651-W1651</f>
        <v>0</v>
      </c>
      <c r="Y1651" s="53" t="str">
        <f>IF(U1651&lt;&gt;0,X1651/U1651,"")</f>
        <v/>
      </c>
      <c r="Z1651" s="23">
        <v>0</v>
      </c>
      <c r="AA1651" s="25">
        <v>0</v>
      </c>
      <c r="AB1651" s="24">
        <v>0</v>
      </c>
      <c r="AC1651" s="24">
        <f t="shared" si="494"/>
        <v>0</v>
      </c>
      <c r="AD1651" s="53" t="str">
        <f t="shared" si="495"/>
        <v/>
      </c>
      <c r="AE1651" s="10"/>
    </row>
    <row r="1652" spans="1:31" x14ac:dyDescent="0.25">
      <c r="A1652" s="14" t="s">
        <v>109</v>
      </c>
      <c r="C1652" s="61" t="str">
        <f t="shared" si="493"/>
        <v>C100100</v>
      </c>
      <c r="F1652" s="8" t="str">
        <f>"E100012"</f>
        <v>E100012</v>
      </c>
      <c r="G1652" s="9" t="str">
        <f>"Canvas Stopwatch"</f>
        <v>Canvas Stopwatch</v>
      </c>
      <c r="H1652" s="47"/>
      <c r="I1652" s="47"/>
      <c r="J1652" s="23">
        <v>0</v>
      </c>
      <c r="K1652" s="25">
        <v>0</v>
      </c>
      <c r="L1652" s="24">
        <v>0</v>
      </c>
      <c r="M1652" s="24">
        <f>J1652-L1652</f>
        <v>0</v>
      </c>
      <c r="N1652" s="53" t="str">
        <f>IF(J1652&lt;&gt;0,M1652/J1652,"")</f>
        <v/>
      </c>
      <c r="O1652" s="23">
        <v>3.63</v>
      </c>
      <c r="P1652" s="25">
        <v>1</v>
      </c>
      <c r="Q1652" s="24">
        <v>1.96</v>
      </c>
      <c r="R1652" s="24">
        <f>O1652-Q1652</f>
        <v>1.67</v>
      </c>
      <c r="S1652" s="53">
        <f>IF(O1652&lt;&gt;0,R1652/O1652,"")</f>
        <v>0.46005509641873277</v>
      </c>
      <c r="T1652" s="10"/>
      <c r="U1652" s="23">
        <v>0</v>
      </c>
      <c r="V1652" s="25">
        <v>0</v>
      </c>
      <c r="W1652" s="24">
        <v>0</v>
      </c>
      <c r="X1652" s="24">
        <f>U1652-W1652</f>
        <v>0</v>
      </c>
      <c r="Y1652" s="53" t="str">
        <f>IF(U1652&lt;&gt;0,X1652/U1652,"")</f>
        <v/>
      </c>
      <c r="Z1652" s="23">
        <v>0</v>
      </c>
      <c r="AA1652" s="25">
        <v>0</v>
      </c>
      <c r="AB1652" s="24">
        <v>0</v>
      </c>
      <c r="AC1652" s="24">
        <f t="shared" si="494"/>
        <v>0</v>
      </c>
      <c r="AD1652" s="53" t="str">
        <f t="shared" si="495"/>
        <v/>
      </c>
      <c r="AE1652" s="10"/>
    </row>
    <row r="1653" spans="1:31" x14ac:dyDescent="0.25">
      <c r="A1653" s="14" t="s">
        <v>109</v>
      </c>
      <c r="C1653" s="61" t="str">
        <f t="shared" si="493"/>
        <v>C100100</v>
      </c>
      <c r="F1653" s="8" t="str">
        <f>"E100013"</f>
        <v>E100013</v>
      </c>
      <c r="G1653" s="9" t="str">
        <f>"Clip-on Stopwatch"</f>
        <v>Clip-on Stopwatch</v>
      </c>
      <c r="H1653" s="47"/>
      <c r="I1653" s="47"/>
      <c r="J1653" s="23">
        <v>385.52000000000004</v>
      </c>
      <c r="K1653" s="25">
        <v>144</v>
      </c>
      <c r="L1653" s="24">
        <v>207.35</v>
      </c>
      <c r="M1653" s="24">
        <f>J1653-L1653</f>
        <v>178.17000000000004</v>
      </c>
      <c r="N1653" s="53">
        <f>IF(J1653&lt;&gt;0,M1653/J1653,"")</f>
        <v>0.46215501141315635</v>
      </c>
      <c r="O1653" s="23">
        <v>0</v>
      </c>
      <c r="P1653" s="25">
        <v>0</v>
      </c>
      <c r="Q1653" s="24">
        <v>0</v>
      </c>
      <c r="R1653" s="24">
        <f>O1653-Q1653</f>
        <v>0</v>
      </c>
      <c r="S1653" s="53" t="str">
        <f>IF(O1653&lt;&gt;0,R1653/O1653,"")</f>
        <v/>
      </c>
      <c r="T1653" s="10"/>
      <c r="U1653" s="23">
        <v>0</v>
      </c>
      <c r="V1653" s="25">
        <v>0</v>
      </c>
      <c r="W1653" s="24">
        <v>0</v>
      </c>
      <c r="X1653" s="24">
        <f>U1653-W1653</f>
        <v>0</v>
      </c>
      <c r="Y1653" s="53" t="str">
        <f>IF(U1653&lt;&gt;0,X1653/U1653,"")</f>
        <v/>
      </c>
      <c r="Z1653" s="23">
        <v>0</v>
      </c>
      <c r="AA1653" s="25">
        <v>0</v>
      </c>
      <c r="AB1653" s="24">
        <v>0</v>
      </c>
      <c r="AC1653" s="24">
        <f t="shared" si="494"/>
        <v>0</v>
      </c>
      <c r="AD1653" s="53" t="str">
        <f t="shared" si="495"/>
        <v/>
      </c>
      <c r="AE1653" s="10"/>
    </row>
    <row r="1654" spans="1:31" x14ac:dyDescent="0.25">
      <c r="A1654" s="14" t="s">
        <v>109</v>
      </c>
      <c r="C1654" s="61" t="str">
        <f t="shared" si="493"/>
        <v>C100100</v>
      </c>
      <c r="F1654" s="8" t="str">
        <f>"E100018"</f>
        <v>E100018</v>
      </c>
      <c r="G1654" s="9" t="str">
        <f>"Flexi-Clock &amp; Clip"</f>
        <v>Flexi-Clock &amp; Clip</v>
      </c>
      <c r="H1654" s="47"/>
      <c r="I1654" s="47"/>
      <c r="J1654" s="23">
        <v>184.14000000000001</v>
      </c>
      <c r="K1654" s="25">
        <v>168</v>
      </c>
      <c r="L1654" s="24">
        <v>100.78</v>
      </c>
      <c r="M1654" s="24">
        <f>J1654-L1654</f>
        <v>83.360000000000014</v>
      </c>
      <c r="N1654" s="53">
        <f>IF(J1654&lt;&gt;0,M1654/J1654,"")</f>
        <v>0.45269903334419465</v>
      </c>
      <c r="O1654" s="23">
        <v>0</v>
      </c>
      <c r="P1654" s="25">
        <v>0</v>
      </c>
      <c r="Q1654" s="24">
        <v>0</v>
      </c>
      <c r="R1654" s="24">
        <f>O1654-Q1654</f>
        <v>0</v>
      </c>
      <c r="S1654" s="53" t="str">
        <f>IF(O1654&lt;&gt;0,R1654/O1654,"")</f>
        <v/>
      </c>
      <c r="T1654" s="10"/>
      <c r="U1654" s="23">
        <v>0</v>
      </c>
      <c r="V1654" s="25">
        <v>0</v>
      </c>
      <c r="W1654" s="24">
        <v>0</v>
      </c>
      <c r="X1654" s="24">
        <f>U1654-W1654</f>
        <v>0</v>
      </c>
      <c r="Y1654" s="53" t="str">
        <f>IF(U1654&lt;&gt;0,X1654/U1654,"")</f>
        <v/>
      </c>
      <c r="Z1654" s="23">
        <v>0</v>
      </c>
      <c r="AA1654" s="25">
        <v>0</v>
      </c>
      <c r="AB1654" s="24">
        <v>0</v>
      </c>
      <c r="AC1654" s="24">
        <f t="shared" si="494"/>
        <v>0</v>
      </c>
      <c r="AD1654" s="53" t="str">
        <f t="shared" si="495"/>
        <v/>
      </c>
      <c r="AE1654" s="10"/>
    </row>
    <row r="1655" spans="1:31" x14ac:dyDescent="0.25">
      <c r="A1655" s="14" t="s">
        <v>109</v>
      </c>
      <c r="C1655" s="61" t="str">
        <f t="shared" si="493"/>
        <v>C100100</v>
      </c>
      <c r="F1655" s="8" t="str">
        <f>"E100019"</f>
        <v>E100019</v>
      </c>
      <c r="G1655" s="9" t="str">
        <f>"Mini Travel Alarm"</f>
        <v>Mini Travel Alarm</v>
      </c>
      <c r="H1655" s="47"/>
      <c r="I1655" s="47"/>
      <c r="J1655" s="23">
        <v>0</v>
      </c>
      <c r="K1655" s="25">
        <v>0</v>
      </c>
      <c r="L1655" s="24">
        <v>0</v>
      </c>
      <c r="M1655" s="24">
        <f>J1655-L1655</f>
        <v>0</v>
      </c>
      <c r="N1655" s="53" t="str">
        <f>IF(J1655&lt;&gt;0,M1655/J1655,"")</f>
        <v/>
      </c>
      <c r="O1655" s="23">
        <v>478.4</v>
      </c>
      <c r="P1655" s="25">
        <v>144</v>
      </c>
      <c r="Q1655" s="24">
        <v>233.26999999999998</v>
      </c>
      <c r="R1655" s="24">
        <f>O1655-Q1655</f>
        <v>245.13</v>
      </c>
      <c r="S1655" s="53">
        <f>IF(O1655&lt;&gt;0,R1655/O1655,"")</f>
        <v>0.51239548494983278</v>
      </c>
      <c r="T1655" s="10"/>
      <c r="U1655" s="23">
        <v>0</v>
      </c>
      <c r="V1655" s="25">
        <v>0</v>
      </c>
      <c r="W1655" s="24">
        <v>0</v>
      </c>
      <c r="X1655" s="24">
        <f>U1655-W1655</f>
        <v>0</v>
      </c>
      <c r="Y1655" s="53" t="str">
        <f>IF(U1655&lt;&gt;0,X1655/U1655,"")</f>
        <v/>
      </c>
      <c r="Z1655" s="23">
        <v>0</v>
      </c>
      <c r="AA1655" s="25">
        <v>0</v>
      </c>
      <c r="AB1655" s="24">
        <v>0</v>
      </c>
      <c r="AC1655" s="24">
        <f t="shared" si="494"/>
        <v>0</v>
      </c>
      <c r="AD1655" s="53" t="str">
        <f t="shared" si="495"/>
        <v/>
      </c>
      <c r="AE1655" s="10"/>
    </row>
    <row r="1656" spans="1:31" x14ac:dyDescent="0.25">
      <c r="A1656" s="14" t="s">
        <v>109</v>
      </c>
      <c r="C1656" s="61" t="str">
        <f t="shared" si="493"/>
        <v>C100100</v>
      </c>
      <c r="F1656" s="8" t="str">
        <f>"E100023"</f>
        <v>E100023</v>
      </c>
      <c r="G1656" s="9" t="str">
        <f>"Sport Earbuds"</f>
        <v>Sport Earbuds</v>
      </c>
      <c r="H1656" s="47"/>
      <c r="I1656" s="47"/>
      <c r="J1656" s="23">
        <v>0</v>
      </c>
      <c r="K1656" s="25">
        <v>0</v>
      </c>
      <c r="L1656" s="24">
        <v>0</v>
      </c>
      <c r="M1656" s="24">
        <f>J1656-L1656</f>
        <v>0</v>
      </c>
      <c r="N1656" s="53" t="str">
        <f>IF(J1656&lt;&gt;0,M1656/J1656,"")</f>
        <v/>
      </c>
      <c r="O1656" s="23">
        <v>637.86</v>
      </c>
      <c r="P1656" s="25">
        <v>144</v>
      </c>
      <c r="Q1656" s="24">
        <v>302.39999999999998</v>
      </c>
      <c r="R1656" s="24">
        <f>O1656-Q1656</f>
        <v>335.46000000000004</v>
      </c>
      <c r="S1656" s="53">
        <f>IF(O1656&lt;&gt;0,R1656/O1656,"")</f>
        <v>0.52591477753739069</v>
      </c>
      <c r="T1656" s="10"/>
      <c r="U1656" s="23">
        <v>0</v>
      </c>
      <c r="V1656" s="25">
        <v>0</v>
      </c>
      <c r="W1656" s="24">
        <v>0</v>
      </c>
      <c r="X1656" s="24">
        <f>U1656-W1656</f>
        <v>0</v>
      </c>
      <c r="Y1656" s="53" t="str">
        <f>IF(U1656&lt;&gt;0,X1656/U1656,"")</f>
        <v/>
      </c>
      <c r="Z1656" s="23">
        <v>0</v>
      </c>
      <c r="AA1656" s="25">
        <v>0</v>
      </c>
      <c r="AB1656" s="24">
        <v>0</v>
      </c>
      <c r="AC1656" s="24">
        <f t="shared" si="494"/>
        <v>0</v>
      </c>
      <c r="AD1656" s="53" t="str">
        <f t="shared" si="495"/>
        <v/>
      </c>
      <c r="AE1656" s="10"/>
    </row>
    <row r="1657" spans="1:31" x14ac:dyDescent="0.25">
      <c r="A1657" s="14" t="s">
        <v>109</v>
      </c>
      <c r="C1657" s="61" t="str">
        <f t="shared" si="493"/>
        <v>C100100</v>
      </c>
      <c r="F1657" s="8" t="str">
        <f>"E100024"</f>
        <v>E100024</v>
      </c>
      <c r="G1657" s="9" t="str">
        <f>"Arch Calculator"</f>
        <v>Arch Calculator</v>
      </c>
      <c r="H1657" s="47"/>
      <c r="I1657" s="47"/>
      <c r="J1657" s="23">
        <v>0</v>
      </c>
      <c r="K1657" s="25">
        <v>0</v>
      </c>
      <c r="L1657" s="24">
        <v>0</v>
      </c>
      <c r="M1657" s="24">
        <f>J1657-L1657</f>
        <v>0</v>
      </c>
      <c r="N1657" s="53" t="str">
        <f>IF(J1657&lt;&gt;0,M1657/J1657,"")</f>
        <v/>
      </c>
      <c r="O1657" s="23">
        <v>448.76</v>
      </c>
      <c r="P1657" s="25">
        <v>144</v>
      </c>
      <c r="Q1657" s="24">
        <v>247.59</v>
      </c>
      <c r="R1657" s="24">
        <f>O1657-Q1657</f>
        <v>201.17</v>
      </c>
      <c r="S1657" s="53">
        <f>IF(O1657&lt;&gt;0,R1657/O1657,"")</f>
        <v>0.44827970407344681</v>
      </c>
      <c r="T1657" s="10"/>
      <c r="U1657" s="23">
        <v>0</v>
      </c>
      <c r="V1657" s="25">
        <v>0</v>
      </c>
      <c r="W1657" s="24">
        <v>0</v>
      </c>
      <c r="X1657" s="24">
        <f>U1657-W1657</f>
        <v>0</v>
      </c>
      <c r="Y1657" s="53" t="str">
        <f>IF(U1657&lt;&gt;0,X1657/U1657,"")</f>
        <v/>
      </c>
      <c r="Z1657" s="23">
        <v>0</v>
      </c>
      <c r="AA1657" s="25">
        <v>0</v>
      </c>
      <c r="AB1657" s="24">
        <v>0</v>
      </c>
      <c r="AC1657" s="24">
        <f t="shared" si="494"/>
        <v>0</v>
      </c>
      <c r="AD1657" s="53" t="str">
        <f t="shared" si="495"/>
        <v/>
      </c>
      <c r="AE1657" s="10"/>
    </row>
    <row r="1658" spans="1:31" x14ac:dyDescent="0.25">
      <c r="A1658" s="14" t="s">
        <v>109</v>
      </c>
      <c r="C1658" s="61" t="str">
        <f t="shared" si="493"/>
        <v>C100100</v>
      </c>
      <c r="F1658" s="8" t="str">
        <f>"E100025"</f>
        <v>E100025</v>
      </c>
      <c r="G1658" s="9" t="str">
        <f>"Calc-U-Note"</f>
        <v>Calc-U-Note</v>
      </c>
      <c r="H1658" s="47"/>
      <c r="I1658" s="47"/>
      <c r="J1658" s="23">
        <v>0</v>
      </c>
      <c r="K1658" s="25">
        <v>0</v>
      </c>
      <c r="L1658" s="24">
        <v>0</v>
      </c>
      <c r="M1658" s="24">
        <f>J1658-L1658</f>
        <v>0</v>
      </c>
      <c r="N1658" s="53" t="str">
        <f>IF(J1658&lt;&gt;0,M1658/J1658,"")</f>
        <v/>
      </c>
      <c r="O1658" s="23">
        <v>462.87</v>
      </c>
      <c r="P1658" s="25">
        <v>288</v>
      </c>
      <c r="Q1658" s="24">
        <v>293.58999999999997</v>
      </c>
      <c r="R1658" s="24">
        <f>O1658-Q1658</f>
        <v>169.28000000000003</v>
      </c>
      <c r="S1658" s="53">
        <f>IF(O1658&lt;&gt;0,R1658/O1658,"")</f>
        <v>0.36571823622183341</v>
      </c>
      <c r="T1658" s="10"/>
      <c r="U1658" s="23">
        <v>0</v>
      </c>
      <c r="V1658" s="25">
        <v>0</v>
      </c>
      <c r="W1658" s="24">
        <v>0</v>
      </c>
      <c r="X1658" s="24">
        <f>U1658-W1658</f>
        <v>0</v>
      </c>
      <c r="Y1658" s="53" t="str">
        <f>IF(U1658&lt;&gt;0,X1658/U1658,"")</f>
        <v/>
      </c>
      <c r="Z1658" s="23">
        <v>0</v>
      </c>
      <c r="AA1658" s="25">
        <v>0</v>
      </c>
      <c r="AB1658" s="24">
        <v>0</v>
      </c>
      <c r="AC1658" s="24">
        <f t="shared" si="494"/>
        <v>0</v>
      </c>
      <c r="AD1658" s="53" t="str">
        <f t="shared" si="495"/>
        <v/>
      </c>
      <c r="AE1658" s="10"/>
    </row>
    <row r="1659" spans="1:31" x14ac:dyDescent="0.25">
      <c r="A1659" s="14" t="s">
        <v>109</v>
      </c>
      <c r="C1659" s="61" t="str">
        <f t="shared" si="493"/>
        <v>C100100</v>
      </c>
      <c r="F1659" s="8" t="str">
        <f>"E100027"</f>
        <v>E100027</v>
      </c>
      <c r="G1659" s="9" t="str">
        <f>"Ergo-Calculator"</f>
        <v>Ergo-Calculator</v>
      </c>
      <c r="H1659" s="47"/>
      <c r="I1659" s="47"/>
      <c r="J1659" s="23">
        <v>0</v>
      </c>
      <c r="K1659" s="25">
        <v>0</v>
      </c>
      <c r="L1659" s="24">
        <v>0</v>
      </c>
      <c r="M1659" s="24">
        <f>J1659-L1659</f>
        <v>0</v>
      </c>
      <c r="N1659" s="53" t="str">
        <f>IF(J1659&lt;&gt;0,M1659/J1659,"")</f>
        <v/>
      </c>
      <c r="O1659" s="23">
        <v>341.51</v>
      </c>
      <c r="P1659" s="25">
        <v>144</v>
      </c>
      <c r="Q1659" s="24">
        <v>184.35</v>
      </c>
      <c r="R1659" s="24">
        <f>O1659-Q1659</f>
        <v>157.16</v>
      </c>
      <c r="S1659" s="53">
        <f>IF(O1659&lt;&gt;0,R1659/O1659,"")</f>
        <v>0.46019150244502355</v>
      </c>
      <c r="T1659" s="10"/>
      <c r="U1659" s="23">
        <v>0</v>
      </c>
      <c r="V1659" s="25">
        <v>0</v>
      </c>
      <c r="W1659" s="24">
        <v>0</v>
      </c>
      <c r="X1659" s="24">
        <f>U1659-W1659</f>
        <v>0</v>
      </c>
      <c r="Y1659" s="53" t="str">
        <f>IF(U1659&lt;&gt;0,X1659/U1659,"")</f>
        <v/>
      </c>
      <c r="Z1659" s="23">
        <v>0</v>
      </c>
      <c r="AA1659" s="25">
        <v>0</v>
      </c>
      <c r="AB1659" s="24">
        <v>0</v>
      </c>
      <c r="AC1659" s="24">
        <f t="shared" si="494"/>
        <v>0</v>
      </c>
      <c r="AD1659" s="53" t="str">
        <f t="shared" si="495"/>
        <v/>
      </c>
      <c r="AE1659" s="10"/>
    </row>
    <row r="1660" spans="1:31" x14ac:dyDescent="0.25">
      <c r="A1660" s="14" t="s">
        <v>109</v>
      </c>
      <c r="C1660" s="61" t="str">
        <f t="shared" si="493"/>
        <v>C100100</v>
      </c>
      <c r="F1660" s="8" t="str">
        <f>"E100031"</f>
        <v>E100031</v>
      </c>
      <c r="G1660" s="9" t="str">
        <f>"Ad Torch"</f>
        <v>Ad Torch</v>
      </c>
      <c r="H1660" s="47"/>
      <c r="I1660" s="47"/>
      <c r="J1660" s="23">
        <v>0</v>
      </c>
      <c r="K1660" s="25">
        <v>0</v>
      </c>
      <c r="L1660" s="24">
        <v>0</v>
      </c>
      <c r="M1660" s="24">
        <f>J1660-L1660</f>
        <v>0</v>
      </c>
      <c r="N1660" s="53" t="str">
        <f>IF(J1660&lt;&gt;0,M1660/J1660,"")</f>
        <v/>
      </c>
      <c r="O1660" s="23">
        <v>787.45</v>
      </c>
      <c r="P1660" s="25">
        <v>288</v>
      </c>
      <c r="Q1660" s="24">
        <v>397.45000000000005</v>
      </c>
      <c r="R1660" s="24">
        <f>O1660-Q1660</f>
        <v>390</v>
      </c>
      <c r="S1660" s="53">
        <f>IF(O1660&lt;&gt;0,R1660/O1660,"")</f>
        <v>0.49526954092323322</v>
      </c>
      <c r="T1660" s="10"/>
      <c r="U1660" s="23">
        <v>0</v>
      </c>
      <c r="V1660" s="25">
        <v>0</v>
      </c>
      <c r="W1660" s="24">
        <v>0</v>
      </c>
      <c r="X1660" s="24">
        <f>U1660-W1660</f>
        <v>0</v>
      </c>
      <c r="Y1660" s="53" t="str">
        <f>IF(U1660&lt;&gt;0,X1660/U1660,"")</f>
        <v/>
      </c>
      <c r="Z1660" s="23">
        <v>0</v>
      </c>
      <c r="AA1660" s="25">
        <v>0</v>
      </c>
      <c r="AB1660" s="24">
        <v>0</v>
      </c>
      <c r="AC1660" s="24">
        <f t="shared" si="494"/>
        <v>0</v>
      </c>
      <c r="AD1660" s="53" t="str">
        <f t="shared" si="495"/>
        <v/>
      </c>
      <c r="AE1660" s="10"/>
    </row>
    <row r="1661" spans="1:31" x14ac:dyDescent="0.25">
      <c r="A1661" s="14" t="s">
        <v>109</v>
      </c>
      <c r="C1661" s="61" t="str">
        <f t="shared" si="493"/>
        <v>C100100</v>
      </c>
      <c r="F1661" s="8" t="str">
        <f>"E100032"</f>
        <v>E100032</v>
      </c>
      <c r="G1661" s="9" t="str">
        <f>"Button Key-Light"</f>
        <v>Button Key-Light</v>
      </c>
      <c r="H1661" s="47"/>
      <c r="I1661" s="47"/>
      <c r="J1661" s="23">
        <v>0</v>
      </c>
      <c r="K1661" s="25">
        <v>0</v>
      </c>
      <c r="L1661" s="24">
        <v>0</v>
      </c>
      <c r="M1661" s="24">
        <f>J1661-L1661</f>
        <v>0</v>
      </c>
      <c r="N1661" s="53" t="str">
        <f>IF(J1661&lt;&gt;0,M1661/J1661,"")</f>
        <v/>
      </c>
      <c r="O1661" s="23">
        <v>0.5</v>
      </c>
      <c r="P1661" s="25">
        <v>1</v>
      </c>
      <c r="Q1661" s="24">
        <v>0.33</v>
      </c>
      <c r="R1661" s="24">
        <f>O1661-Q1661</f>
        <v>0.16999999999999998</v>
      </c>
      <c r="S1661" s="53">
        <f>IF(O1661&lt;&gt;0,R1661/O1661,"")</f>
        <v>0.33999999999999997</v>
      </c>
      <c r="T1661" s="10"/>
      <c r="U1661" s="23">
        <v>0</v>
      </c>
      <c r="V1661" s="25">
        <v>0</v>
      </c>
      <c r="W1661" s="24">
        <v>0</v>
      </c>
      <c r="X1661" s="24">
        <f>U1661-W1661</f>
        <v>0</v>
      </c>
      <c r="Y1661" s="53" t="str">
        <f>IF(U1661&lt;&gt;0,X1661/U1661,"")</f>
        <v/>
      </c>
      <c r="Z1661" s="23">
        <v>0</v>
      </c>
      <c r="AA1661" s="25">
        <v>0</v>
      </c>
      <c r="AB1661" s="24">
        <v>0</v>
      </c>
      <c r="AC1661" s="24">
        <f t="shared" si="494"/>
        <v>0</v>
      </c>
      <c r="AD1661" s="53" t="str">
        <f t="shared" si="495"/>
        <v/>
      </c>
      <c r="AE1661" s="10"/>
    </row>
    <row r="1662" spans="1:31" x14ac:dyDescent="0.25">
      <c r="A1662" s="14" t="s">
        <v>109</v>
      </c>
      <c r="C1662" s="61" t="str">
        <f t="shared" si="493"/>
        <v>C100100</v>
      </c>
      <c r="F1662" s="8" t="str">
        <f>"E100035"</f>
        <v>E100035</v>
      </c>
      <c r="G1662" s="9" t="str">
        <f>"2GB Foldout USB Flash Drive"</f>
        <v>2GB Foldout USB Flash Drive</v>
      </c>
      <c r="H1662" s="47"/>
      <c r="I1662" s="47"/>
      <c r="J1662" s="23">
        <v>0</v>
      </c>
      <c r="K1662" s="25">
        <v>0</v>
      </c>
      <c r="L1662" s="24">
        <v>0</v>
      </c>
      <c r="M1662" s="24">
        <f>J1662-L1662</f>
        <v>0</v>
      </c>
      <c r="N1662" s="53" t="str">
        <f>IF(J1662&lt;&gt;0,M1662/J1662,"")</f>
        <v/>
      </c>
      <c r="O1662" s="23">
        <v>728.18</v>
      </c>
      <c r="P1662" s="25">
        <v>192</v>
      </c>
      <c r="Q1662" s="24">
        <v>432.06999999999994</v>
      </c>
      <c r="R1662" s="24">
        <f>O1662-Q1662</f>
        <v>296.11</v>
      </c>
      <c r="S1662" s="53">
        <f>IF(O1662&lt;&gt;0,R1662/O1662,"")</f>
        <v>0.4066439616578319</v>
      </c>
      <c r="T1662" s="10"/>
      <c r="U1662" s="23">
        <v>0</v>
      </c>
      <c r="V1662" s="25">
        <v>0</v>
      </c>
      <c r="W1662" s="24">
        <v>0</v>
      </c>
      <c r="X1662" s="24">
        <f>U1662-W1662</f>
        <v>0</v>
      </c>
      <c r="Y1662" s="53" t="str">
        <f>IF(U1662&lt;&gt;0,X1662/U1662,"")</f>
        <v/>
      </c>
      <c r="Z1662" s="23">
        <v>0</v>
      </c>
      <c r="AA1662" s="25">
        <v>0</v>
      </c>
      <c r="AB1662" s="24">
        <v>0</v>
      </c>
      <c r="AC1662" s="24">
        <f t="shared" si="494"/>
        <v>0</v>
      </c>
      <c r="AD1662" s="53" t="str">
        <f t="shared" si="495"/>
        <v/>
      </c>
      <c r="AE1662" s="10"/>
    </row>
    <row r="1663" spans="1:31" x14ac:dyDescent="0.25">
      <c r="A1663" s="14" t="s">
        <v>109</v>
      </c>
      <c r="C1663" s="61" t="str">
        <f t="shared" si="493"/>
        <v>C100100</v>
      </c>
      <c r="F1663" s="8" t="str">
        <f>"E100039"</f>
        <v>E100039</v>
      </c>
      <c r="G1663" s="9" t="str">
        <f>"Campfire Mug"</f>
        <v>Campfire Mug</v>
      </c>
      <c r="H1663" s="47"/>
      <c r="I1663" s="47"/>
      <c r="J1663" s="23">
        <v>0</v>
      </c>
      <c r="K1663" s="25">
        <v>0</v>
      </c>
      <c r="L1663" s="24">
        <v>0</v>
      </c>
      <c r="M1663" s="24">
        <f>J1663-L1663</f>
        <v>0</v>
      </c>
      <c r="N1663" s="53" t="str">
        <f>IF(J1663&lt;&gt;0,M1663/J1663,"")</f>
        <v/>
      </c>
      <c r="O1663" s="23">
        <v>244.41</v>
      </c>
      <c r="P1663" s="25">
        <v>145</v>
      </c>
      <c r="Q1663" s="24">
        <v>162.47999999999999</v>
      </c>
      <c r="R1663" s="24">
        <f>O1663-Q1663</f>
        <v>81.93</v>
      </c>
      <c r="S1663" s="53">
        <f>IF(O1663&lt;&gt;0,R1663/O1663,"")</f>
        <v>0.33521541671781024</v>
      </c>
      <c r="T1663" s="10"/>
      <c r="U1663" s="23">
        <v>0</v>
      </c>
      <c r="V1663" s="25">
        <v>0</v>
      </c>
      <c r="W1663" s="24">
        <v>0</v>
      </c>
      <c r="X1663" s="24">
        <f>U1663-W1663</f>
        <v>0</v>
      </c>
      <c r="Y1663" s="53" t="str">
        <f>IF(U1663&lt;&gt;0,X1663/U1663,"")</f>
        <v/>
      </c>
      <c r="Z1663" s="23">
        <v>0</v>
      </c>
      <c r="AA1663" s="25">
        <v>0</v>
      </c>
      <c r="AB1663" s="24">
        <v>0</v>
      </c>
      <c r="AC1663" s="24">
        <f t="shared" si="494"/>
        <v>0</v>
      </c>
      <c r="AD1663" s="53" t="str">
        <f t="shared" si="495"/>
        <v/>
      </c>
      <c r="AE1663" s="10"/>
    </row>
    <row r="1664" spans="1:31" x14ac:dyDescent="0.25">
      <c r="A1664" s="14" t="s">
        <v>109</v>
      </c>
      <c r="C1664" s="61" t="str">
        <f t="shared" si="493"/>
        <v>C100100</v>
      </c>
      <c r="F1664" s="8" t="str">
        <f>"E100040"</f>
        <v>E100040</v>
      </c>
      <c r="G1664" s="9" t="str">
        <f>"Wave Mug"</f>
        <v>Wave Mug</v>
      </c>
      <c r="H1664" s="47"/>
      <c r="I1664" s="47"/>
      <c r="J1664" s="23">
        <v>0</v>
      </c>
      <c r="K1664" s="25">
        <v>0</v>
      </c>
      <c r="L1664" s="24">
        <v>0</v>
      </c>
      <c r="M1664" s="24">
        <f>J1664-L1664</f>
        <v>0</v>
      </c>
      <c r="N1664" s="53" t="str">
        <f>IF(J1664&lt;&gt;0,M1664/J1664,"")</f>
        <v/>
      </c>
      <c r="O1664" s="23">
        <v>238.49</v>
      </c>
      <c r="P1664" s="25">
        <v>144</v>
      </c>
      <c r="Q1664" s="24">
        <v>161.36000000000001</v>
      </c>
      <c r="R1664" s="24">
        <f>O1664-Q1664</f>
        <v>77.13</v>
      </c>
      <c r="S1664" s="53">
        <f>IF(O1664&lt;&gt;0,R1664/O1664,"")</f>
        <v>0.32340978657386049</v>
      </c>
      <c r="T1664" s="10"/>
      <c r="U1664" s="23">
        <v>0</v>
      </c>
      <c r="V1664" s="25">
        <v>0</v>
      </c>
      <c r="W1664" s="24">
        <v>0</v>
      </c>
      <c r="X1664" s="24">
        <f>U1664-W1664</f>
        <v>0</v>
      </c>
      <c r="Y1664" s="53" t="str">
        <f>IF(U1664&lt;&gt;0,X1664/U1664,"")</f>
        <v/>
      </c>
      <c r="Z1664" s="23">
        <v>0</v>
      </c>
      <c r="AA1664" s="25">
        <v>0</v>
      </c>
      <c r="AB1664" s="24">
        <v>0</v>
      </c>
      <c r="AC1664" s="24">
        <f t="shared" si="494"/>
        <v>0</v>
      </c>
      <c r="AD1664" s="53" t="str">
        <f t="shared" si="495"/>
        <v/>
      </c>
      <c r="AE1664" s="10"/>
    </row>
    <row r="1665" spans="1:31" x14ac:dyDescent="0.25">
      <c r="A1665" s="14" t="s">
        <v>109</v>
      </c>
      <c r="C1665" s="61" t="str">
        <f t="shared" si="493"/>
        <v>C100100</v>
      </c>
      <c r="F1665" s="8" t="str">
        <f>"E100042"</f>
        <v>E100042</v>
      </c>
      <c r="G1665" s="9" t="str">
        <f>"Soft Touch Travel Mug"</f>
        <v>Soft Touch Travel Mug</v>
      </c>
      <c r="H1665" s="47"/>
      <c r="I1665" s="47"/>
      <c r="J1665" s="23">
        <v>0</v>
      </c>
      <c r="K1665" s="25">
        <v>0</v>
      </c>
      <c r="L1665" s="24">
        <v>0</v>
      </c>
      <c r="M1665" s="24">
        <f>J1665-L1665</f>
        <v>0</v>
      </c>
      <c r="N1665" s="53" t="str">
        <f>IF(J1665&lt;&gt;0,M1665/J1665,"")</f>
        <v/>
      </c>
      <c r="O1665" s="23">
        <v>3.79</v>
      </c>
      <c r="P1665" s="25">
        <v>1</v>
      </c>
      <c r="Q1665" s="24">
        <v>2.15</v>
      </c>
      <c r="R1665" s="24">
        <f>O1665-Q1665</f>
        <v>1.6400000000000001</v>
      </c>
      <c r="S1665" s="53">
        <f>IF(O1665&lt;&gt;0,R1665/O1665,"")</f>
        <v>0.4327176781002639</v>
      </c>
      <c r="T1665" s="10"/>
      <c r="U1665" s="23">
        <v>0</v>
      </c>
      <c r="V1665" s="25">
        <v>0</v>
      </c>
      <c r="W1665" s="24">
        <v>0</v>
      </c>
      <c r="X1665" s="24">
        <f>U1665-W1665</f>
        <v>0</v>
      </c>
      <c r="Y1665" s="53" t="str">
        <f>IF(U1665&lt;&gt;0,X1665/U1665,"")</f>
        <v/>
      </c>
      <c r="Z1665" s="23">
        <v>0</v>
      </c>
      <c r="AA1665" s="25">
        <v>0</v>
      </c>
      <c r="AB1665" s="24">
        <v>0</v>
      </c>
      <c r="AC1665" s="24">
        <f t="shared" si="494"/>
        <v>0</v>
      </c>
      <c r="AD1665" s="53" t="str">
        <f t="shared" si="495"/>
        <v/>
      </c>
      <c r="AE1665" s="10"/>
    </row>
    <row r="1666" spans="1:31" x14ac:dyDescent="0.25">
      <c r="A1666" s="14" t="s">
        <v>109</v>
      </c>
      <c r="C1666" s="61" t="str">
        <f t="shared" si="493"/>
        <v>C100100</v>
      </c>
      <c r="F1666" s="8" t="str">
        <f>"E100043"</f>
        <v>E100043</v>
      </c>
      <c r="G1666" s="9" t="str">
        <f>"Pub Glass"</f>
        <v>Pub Glass</v>
      </c>
      <c r="H1666" s="47"/>
      <c r="I1666" s="47"/>
      <c r="J1666" s="23">
        <v>1.38</v>
      </c>
      <c r="K1666" s="25">
        <v>1</v>
      </c>
      <c r="L1666" s="24">
        <v>0.93</v>
      </c>
      <c r="M1666" s="24">
        <f>J1666-L1666</f>
        <v>0.44999999999999984</v>
      </c>
      <c r="N1666" s="53">
        <f>IF(J1666&lt;&gt;0,M1666/J1666,"")</f>
        <v>0.32608695652173902</v>
      </c>
      <c r="O1666" s="23">
        <v>200.39000000000001</v>
      </c>
      <c r="P1666" s="25">
        <v>144</v>
      </c>
      <c r="Q1666" s="24">
        <v>133.94999999999999</v>
      </c>
      <c r="R1666" s="24">
        <f>O1666-Q1666</f>
        <v>66.440000000000026</v>
      </c>
      <c r="S1666" s="53">
        <f>IF(O1666&lt;&gt;0,R1666/O1666,"")</f>
        <v>0.33155347073207259</v>
      </c>
      <c r="T1666" s="10"/>
      <c r="U1666" s="23">
        <v>0</v>
      </c>
      <c r="V1666" s="25">
        <v>0</v>
      </c>
      <c r="W1666" s="24">
        <v>0</v>
      </c>
      <c r="X1666" s="24">
        <f>U1666-W1666</f>
        <v>0</v>
      </c>
      <c r="Y1666" s="53" t="str">
        <f>IF(U1666&lt;&gt;0,X1666/U1666,"")</f>
        <v/>
      </c>
      <c r="Z1666" s="23">
        <v>0</v>
      </c>
      <c r="AA1666" s="25">
        <v>0</v>
      </c>
      <c r="AB1666" s="24">
        <v>0</v>
      </c>
      <c r="AC1666" s="24">
        <f t="shared" si="494"/>
        <v>0</v>
      </c>
      <c r="AD1666" s="53" t="str">
        <f t="shared" si="495"/>
        <v/>
      </c>
      <c r="AE1666" s="10"/>
    </row>
    <row r="1667" spans="1:31" x14ac:dyDescent="0.25">
      <c r="A1667" s="14" t="s">
        <v>109</v>
      </c>
      <c r="C1667" s="61" t="str">
        <f t="shared" si="493"/>
        <v>C100100</v>
      </c>
      <c r="F1667" s="8" t="str">
        <f>"E100044"</f>
        <v>E100044</v>
      </c>
      <c r="G1667" s="9" t="str">
        <f>"Juice Glass"</f>
        <v>Juice Glass</v>
      </c>
      <c r="H1667" s="47"/>
      <c r="I1667" s="47"/>
      <c r="J1667" s="23">
        <v>0</v>
      </c>
      <c r="K1667" s="25">
        <v>0</v>
      </c>
      <c r="L1667" s="24">
        <v>0</v>
      </c>
      <c r="M1667" s="24">
        <f>J1667-L1667</f>
        <v>0</v>
      </c>
      <c r="N1667" s="53" t="str">
        <f>IF(J1667&lt;&gt;0,M1667/J1667,"")</f>
        <v/>
      </c>
      <c r="O1667" s="23">
        <v>245.54999999999998</v>
      </c>
      <c r="P1667" s="25">
        <v>432</v>
      </c>
      <c r="Q1667" s="24">
        <v>164.42</v>
      </c>
      <c r="R1667" s="24">
        <f>O1667-Q1667</f>
        <v>81.13</v>
      </c>
      <c r="S1667" s="53">
        <f>IF(O1667&lt;&gt;0,R1667/O1667,"")</f>
        <v>0.33040114029729178</v>
      </c>
      <c r="T1667" s="10"/>
      <c r="U1667" s="23">
        <v>0</v>
      </c>
      <c r="V1667" s="25">
        <v>0</v>
      </c>
      <c r="W1667" s="24">
        <v>0</v>
      </c>
      <c r="X1667" s="24">
        <f>U1667-W1667</f>
        <v>0</v>
      </c>
      <c r="Y1667" s="53" t="str">
        <f>IF(U1667&lt;&gt;0,X1667/U1667,"")</f>
        <v/>
      </c>
      <c r="Z1667" s="23">
        <v>0</v>
      </c>
      <c r="AA1667" s="25">
        <v>0</v>
      </c>
      <c r="AB1667" s="24">
        <v>0</v>
      </c>
      <c r="AC1667" s="24">
        <f t="shared" si="494"/>
        <v>0</v>
      </c>
      <c r="AD1667" s="53" t="str">
        <f t="shared" si="495"/>
        <v/>
      </c>
      <c r="AE1667" s="10"/>
    </row>
    <row r="1668" spans="1:31" x14ac:dyDescent="0.25">
      <c r="A1668" s="14" t="s">
        <v>109</v>
      </c>
      <c r="C1668" s="61" t="str">
        <f t="shared" si="493"/>
        <v>C100100</v>
      </c>
      <c r="F1668" s="8" t="str">
        <f>"E100045"</f>
        <v>E100045</v>
      </c>
      <c r="G1668" s="9" t="str">
        <f>"Flute"</f>
        <v>Flute</v>
      </c>
      <c r="H1668" s="47"/>
      <c r="I1668" s="47"/>
      <c r="J1668" s="23">
        <v>0</v>
      </c>
      <c r="K1668" s="25">
        <v>0</v>
      </c>
      <c r="L1668" s="24">
        <v>0</v>
      </c>
      <c r="M1668" s="24">
        <f>J1668-L1668</f>
        <v>0</v>
      </c>
      <c r="N1668" s="53" t="str">
        <f>IF(J1668&lt;&gt;0,M1668/J1668,"")</f>
        <v/>
      </c>
      <c r="O1668" s="23">
        <v>0.97</v>
      </c>
      <c r="P1668" s="25">
        <v>1</v>
      </c>
      <c r="Q1668" s="24">
        <v>0.62</v>
      </c>
      <c r="R1668" s="24">
        <f>O1668-Q1668</f>
        <v>0.35</v>
      </c>
      <c r="S1668" s="53">
        <f>IF(O1668&lt;&gt;0,R1668/O1668,"")</f>
        <v>0.36082474226804123</v>
      </c>
      <c r="T1668" s="10"/>
      <c r="U1668" s="23">
        <v>0</v>
      </c>
      <c r="V1668" s="25">
        <v>0</v>
      </c>
      <c r="W1668" s="24">
        <v>0</v>
      </c>
      <c r="X1668" s="24">
        <f>U1668-W1668</f>
        <v>0</v>
      </c>
      <c r="Y1668" s="53" t="str">
        <f>IF(U1668&lt;&gt;0,X1668/U1668,"")</f>
        <v/>
      </c>
      <c r="Z1668" s="23">
        <v>0</v>
      </c>
      <c r="AA1668" s="25">
        <v>0</v>
      </c>
      <c r="AB1668" s="24">
        <v>0</v>
      </c>
      <c r="AC1668" s="24">
        <f t="shared" si="494"/>
        <v>0</v>
      </c>
      <c r="AD1668" s="53" t="str">
        <f t="shared" si="495"/>
        <v/>
      </c>
      <c r="AE1668" s="10"/>
    </row>
    <row r="1669" spans="1:31" x14ac:dyDescent="0.25">
      <c r="A1669" s="14" t="s">
        <v>109</v>
      </c>
      <c r="C1669" s="61" t="str">
        <f t="shared" si="493"/>
        <v>C100100</v>
      </c>
      <c r="F1669" s="8" t="str">
        <f>"E100046"</f>
        <v>E100046</v>
      </c>
      <c r="G1669" s="9" t="str">
        <f>"Milk Bottle"</f>
        <v>Milk Bottle</v>
      </c>
      <c r="H1669" s="47"/>
      <c r="I1669" s="47"/>
      <c r="J1669" s="23">
        <v>0</v>
      </c>
      <c r="K1669" s="25">
        <v>0</v>
      </c>
      <c r="L1669" s="24">
        <v>0</v>
      </c>
      <c r="M1669" s="24">
        <f>J1669-L1669</f>
        <v>0</v>
      </c>
      <c r="N1669" s="53" t="str">
        <f>IF(J1669&lt;&gt;0,M1669/J1669,"")</f>
        <v/>
      </c>
      <c r="O1669" s="23">
        <v>262.47999999999996</v>
      </c>
      <c r="P1669" s="25">
        <v>144</v>
      </c>
      <c r="Q1669" s="24">
        <v>149.67000000000002</v>
      </c>
      <c r="R1669" s="24">
        <f>O1669-Q1669</f>
        <v>112.80999999999995</v>
      </c>
      <c r="S1669" s="53">
        <f>IF(O1669&lt;&gt;0,R1669/O1669,"")</f>
        <v>0.42978512648582734</v>
      </c>
      <c r="T1669" s="10"/>
      <c r="U1669" s="23">
        <v>0</v>
      </c>
      <c r="V1669" s="25">
        <v>0</v>
      </c>
      <c r="W1669" s="24">
        <v>0</v>
      </c>
      <c r="X1669" s="24">
        <f>U1669-W1669</f>
        <v>0</v>
      </c>
      <c r="Y1669" s="53" t="str">
        <f>IF(U1669&lt;&gt;0,X1669/U1669,"")</f>
        <v/>
      </c>
      <c r="Z1669" s="23">
        <v>0</v>
      </c>
      <c r="AA1669" s="25">
        <v>0</v>
      </c>
      <c r="AB1669" s="24">
        <v>0</v>
      </c>
      <c r="AC1669" s="24">
        <f t="shared" si="494"/>
        <v>0</v>
      </c>
      <c r="AD1669" s="53" t="str">
        <f t="shared" si="495"/>
        <v/>
      </c>
      <c r="AE1669" s="10"/>
    </row>
    <row r="1670" spans="1:31" x14ac:dyDescent="0.25">
      <c r="A1670" s="14" t="s">
        <v>109</v>
      </c>
      <c r="C1670" s="61" t="str">
        <f t="shared" si="493"/>
        <v>C100100</v>
      </c>
      <c r="F1670" s="8" t="str">
        <f>"E100047"</f>
        <v>E100047</v>
      </c>
      <c r="G1670" s="9" t="str">
        <f>"Chardonnay Glass"</f>
        <v>Chardonnay Glass</v>
      </c>
      <c r="H1670" s="47"/>
      <c r="I1670" s="47"/>
      <c r="J1670" s="23">
        <v>0</v>
      </c>
      <c r="K1670" s="25">
        <v>0</v>
      </c>
      <c r="L1670" s="24">
        <v>0</v>
      </c>
      <c r="M1670" s="24">
        <f>J1670-L1670</f>
        <v>0</v>
      </c>
      <c r="N1670" s="53" t="str">
        <f>IF(J1670&lt;&gt;0,M1670/J1670,"")</f>
        <v/>
      </c>
      <c r="O1670" s="23">
        <v>254.02</v>
      </c>
      <c r="P1670" s="25">
        <v>144</v>
      </c>
      <c r="Q1670" s="24">
        <v>151.19999999999999</v>
      </c>
      <c r="R1670" s="24">
        <f>O1670-Q1670</f>
        <v>102.82000000000002</v>
      </c>
      <c r="S1670" s="53">
        <f>IF(O1670&lt;&gt;0,R1670/O1670,"")</f>
        <v>0.40477127785213768</v>
      </c>
      <c r="T1670" s="10"/>
      <c r="U1670" s="23">
        <v>0</v>
      </c>
      <c r="V1670" s="25">
        <v>0</v>
      </c>
      <c r="W1670" s="24">
        <v>0</v>
      </c>
      <c r="X1670" s="24">
        <f>U1670-W1670</f>
        <v>0</v>
      </c>
      <c r="Y1670" s="53" t="str">
        <f>IF(U1670&lt;&gt;0,X1670/U1670,"")</f>
        <v/>
      </c>
      <c r="Z1670" s="23">
        <v>0</v>
      </c>
      <c r="AA1670" s="25">
        <v>0</v>
      </c>
      <c r="AB1670" s="24">
        <v>0</v>
      </c>
      <c r="AC1670" s="24">
        <f t="shared" si="494"/>
        <v>0</v>
      </c>
      <c r="AD1670" s="53" t="str">
        <f t="shared" si="495"/>
        <v/>
      </c>
      <c r="AE1670" s="10"/>
    </row>
    <row r="1671" spans="1:31" x14ac:dyDescent="0.25">
      <c r="A1671" s="14" t="s">
        <v>109</v>
      </c>
      <c r="C1671" s="61" t="str">
        <f t="shared" si="493"/>
        <v>C100100</v>
      </c>
      <c r="F1671" s="8" t="str">
        <f>"S100016"</f>
        <v>S100016</v>
      </c>
      <c r="G1671" s="9" t="str">
        <f>"Mesh Bucket Hat"</f>
        <v>Mesh Bucket Hat</v>
      </c>
      <c r="H1671" s="47"/>
      <c r="I1671" s="47"/>
      <c r="J1671" s="23">
        <v>0</v>
      </c>
      <c r="K1671" s="25">
        <v>0</v>
      </c>
      <c r="L1671" s="24">
        <v>0</v>
      </c>
      <c r="M1671" s="24">
        <f>J1671-L1671</f>
        <v>0</v>
      </c>
      <c r="N1671" s="53" t="str">
        <f>IF(J1671&lt;&gt;0,M1671/J1671,"")</f>
        <v/>
      </c>
      <c r="O1671" s="23">
        <v>702.78</v>
      </c>
      <c r="P1671" s="25">
        <v>144</v>
      </c>
      <c r="Q1671" s="24">
        <v>396.01</v>
      </c>
      <c r="R1671" s="24">
        <f>O1671-Q1671</f>
        <v>306.77</v>
      </c>
      <c r="S1671" s="53">
        <f>IF(O1671&lt;&gt;0,R1671/O1671,"")</f>
        <v>0.43650929167022395</v>
      </c>
      <c r="T1671" s="10"/>
      <c r="U1671" s="23">
        <v>0</v>
      </c>
      <c r="V1671" s="25">
        <v>0</v>
      </c>
      <c r="W1671" s="24">
        <v>0</v>
      </c>
      <c r="X1671" s="24">
        <f>U1671-W1671</f>
        <v>0</v>
      </c>
      <c r="Y1671" s="53" t="str">
        <f>IF(U1671&lt;&gt;0,X1671/U1671,"")</f>
        <v/>
      </c>
      <c r="Z1671" s="23">
        <v>0</v>
      </c>
      <c r="AA1671" s="25">
        <v>0</v>
      </c>
      <c r="AB1671" s="24">
        <v>0</v>
      </c>
      <c r="AC1671" s="24">
        <f t="shared" si="494"/>
        <v>0</v>
      </c>
      <c r="AD1671" s="53" t="str">
        <f t="shared" si="495"/>
        <v/>
      </c>
      <c r="AE1671" s="10"/>
    </row>
    <row r="1672" spans="1:31" x14ac:dyDescent="0.25">
      <c r="A1672" s="14" t="s">
        <v>109</v>
      </c>
      <c r="C1672" s="61" t="str">
        <f t="shared" si="493"/>
        <v>C100100</v>
      </c>
      <c r="F1672" s="8" t="str">
        <f>"S100019"</f>
        <v>S100019</v>
      </c>
      <c r="G1672" s="9" t="str">
        <f>"Sportsman Bucket Hat"</f>
        <v>Sportsman Bucket Hat</v>
      </c>
      <c r="H1672" s="47"/>
      <c r="I1672" s="47"/>
      <c r="J1672" s="23">
        <v>0</v>
      </c>
      <c r="K1672" s="25">
        <v>0</v>
      </c>
      <c r="L1672" s="24">
        <v>0</v>
      </c>
      <c r="M1672" s="24">
        <f>J1672-L1672</f>
        <v>0</v>
      </c>
      <c r="N1672" s="53" t="str">
        <f>IF(J1672&lt;&gt;0,M1672/J1672,"")</f>
        <v/>
      </c>
      <c r="O1672" s="23">
        <v>647.74</v>
      </c>
      <c r="P1672" s="25">
        <v>144</v>
      </c>
      <c r="Q1672" s="24">
        <v>349.93</v>
      </c>
      <c r="R1672" s="24">
        <f>O1672-Q1672</f>
        <v>297.81</v>
      </c>
      <c r="S1672" s="53">
        <f>IF(O1672&lt;&gt;0,R1672/O1672,"")</f>
        <v>0.45976780807113965</v>
      </c>
      <c r="T1672" s="10"/>
      <c r="U1672" s="23">
        <v>0</v>
      </c>
      <c r="V1672" s="25">
        <v>0</v>
      </c>
      <c r="W1672" s="24">
        <v>0</v>
      </c>
      <c r="X1672" s="24">
        <f>U1672-W1672</f>
        <v>0</v>
      </c>
      <c r="Y1672" s="53" t="str">
        <f>IF(U1672&lt;&gt;0,X1672/U1672,"")</f>
        <v/>
      </c>
      <c r="Z1672" s="23">
        <v>0</v>
      </c>
      <c r="AA1672" s="25">
        <v>0</v>
      </c>
      <c r="AB1672" s="24">
        <v>0</v>
      </c>
      <c r="AC1672" s="24">
        <f t="shared" si="494"/>
        <v>0</v>
      </c>
      <c r="AD1672" s="53" t="str">
        <f t="shared" si="495"/>
        <v/>
      </c>
      <c r="AE1672" s="10"/>
    </row>
    <row r="1673" spans="1:31" x14ac:dyDescent="0.25">
      <c r="A1673" s="14" t="s">
        <v>109</v>
      </c>
      <c r="C1673" s="61" t="str">
        <f t="shared" si="493"/>
        <v>C100100</v>
      </c>
      <c r="F1673" s="8" t="str">
        <f>"S100020"</f>
        <v>S100020</v>
      </c>
      <c r="G1673" s="9" t="str">
        <f>"Super Sport Stopwatch"</f>
        <v>Super Sport Stopwatch</v>
      </c>
      <c r="H1673" s="47"/>
      <c r="I1673" s="47"/>
      <c r="J1673" s="23">
        <v>304.5</v>
      </c>
      <c r="K1673" s="25">
        <v>144</v>
      </c>
      <c r="L1673" s="24">
        <v>151.19999999999999</v>
      </c>
      <c r="M1673" s="24">
        <f>J1673-L1673</f>
        <v>153.30000000000001</v>
      </c>
      <c r="N1673" s="53">
        <f>IF(J1673&lt;&gt;0,M1673/J1673,"")</f>
        <v>0.50344827586206897</v>
      </c>
      <c r="O1673" s="23">
        <v>0</v>
      </c>
      <c r="P1673" s="25">
        <v>0</v>
      </c>
      <c r="Q1673" s="24">
        <v>0</v>
      </c>
      <c r="R1673" s="24">
        <f>O1673-Q1673</f>
        <v>0</v>
      </c>
      <c r="S1673" s="53" t="str">
        <f>IF(O1673&lt;&gt;0,R1673/O1673,"")</f>
        <v/>
      </c>
      <c r="T1673" s="10"/>
      <c r="U1673" s="23">
        <v>0</v>
      </c>
      <c r="V1673" s="25">
        <v>0</v>
      </c>
      <c r="W1673" s="24">
        <v>0</v>
      </c>
      <c r="X1673" s="24">
        <f>U1673-W1673</f>
        <v>0</v>
      </c>
      <c r="Y1673" s="53" t="str">
        <f>IF(U1673&lt;&gt;0,X1673/U1673,"")</f>
        <v/>
      </c>
      <c r="Z1673" s="23">
        <v>0</v>
      </c>
      <c r="AA1673" s="25">
        <v>0</v>
      </c>
      <c r="AB1673" s="24">
        <v>0</v>
      </c>
      <c r="AC1673" s="24">
        <f t="shared" si="494"/>
        <v>0</v>
      </c>
      <c r="AD1673" s="53" t="str">
        <f t="shared" si="495"/>
        <v/>
      </c>
      <c r="AE1673" s="10"/>
    </row>
    <row r="1674" spans="1:31" x14ac:dyDescent="0.25">
      <c r="A1674" s="14" t="s">
        <v>109</v>
      </c>
      <c r="C1674" s="61" t="str">
        <f t="shared" si="493"/>
        <v>C100100</v>
      </c>
      <c r="F1674" s="8" t="str">
        <f>"S100021"</f>
        <v>S100021</v>
      </c>
      <c r="G1674" s="9" t="str">
        <f>"Translucent Stopwatch"</f>
        <v>Translucent Stopwatch</v>
      </c>
      <c r="H1674" s="47"/>
      <c r="I1674" s="47"/>
      <c r="J1674" s="23">
        <v>0</v>
      </c>
      <c r="K1674" s="25">
        <v>0</v>
      </c>
      <c r="L1674" s="24">
        <v>0</v>
      </c>
      <c r="M1674" s="24">
        <f>J1674-L1674</f>
        <v>0</v>
      </c>
      <c r="N1674" s="53" t="str">
        <f>IF(J1674&lt;&gt;0,M1674/J1674,"")</f>
        <v/>
      </c>
      <c r="O1674" s="23">
        <v>585.65</v>
      </c>
      <c r="P1674" s="25">
        <v>144</v>
      </c>
      <c r="Q1674" s="24">
        <v>309.58999999999997</v>
      </c>
      <c r="R1674" s="24">
        <f>O1674-Q1674</f>
        <v>276.06</v>
      </c>
      <c r="S1674" s="53">
        <f>IF(O1674&lt;&gt;0,R1674/O1674,"")</f>
        <v>0.47137368735592933</v>
      </c>
      <c r="T1674" s="10"/>
      <c r="U1674" s="23">
        <v>0</v>
      </c>
      <c r="V1674" s="25">
        <v>0</v>
      </c>
      <c r="W1674" s="24">
        <v>0</v>
      </c>
      <c r="X1674" s="24">
        <f>U1674-W1674</f>
        <v>0</v>
      </c>
      <c r="Y1674" s="53" t="str">
        <f>IF(U1674&lt;&gt;0,X1674/U1674,"")</f>
        <v/>
      </c>
      <c r="Z1674" s="23">
        <v>0</v>
      </c>
      <c r="AA1674" s="25">
        <v>0</v>
      </c>
      <c r="AB1674" s="24">
        <v>0</v>
      </c>
      <c r="AC1674" s="24">
        <f t="shared" si="494"/>
        <v>0</v>
      </c>
      <c r="AD1674" s="53" t="str">
        <f t="shared" si="495"/>
        <v/>
      </c>
      <c r="AE1674" s="10"/>
    </row>
    <row r="1675" spans="1:31" x14ac:dyDescent="0.25">
      <c r="A1675" s="14" t="s">
        <v>109</v>
      </c>
      <c r="C1675" s="61" t="str">
        <f t="shared" si="493"/>
        <v>C100100</v>
      </c>
      <c r="F1675" s="8" t="str">
        <f>"S100023"</f>
        <v>S100023</v>
      </c>
      <c r="G1675" s="9" t="str">
        <f>"Gripper SPORT BOT"</f>
        <v>Gripper SPORT BOT</v>
      </c>
      <c r="H1675" s="47"/>
      <c r="I1675" s="47"/>
      <c r="J1675" s="23">
        <v>0</v>
      </c>
      <c r="K1675" s="25">
        <v>0</v>
      </c>
      <c r="L1675" s="24">
        <v>0</v>
      </c>
      <c r="M1675" s="24">
        <f>J1675-L1675</f>
        <v>0</v>
      </c>
      <c r="N1675" s="53" t="str">
        <f>IF(J1675&lt;&gt;0,M1675/J1675,"")</f>
        <v/>
      </c>
      <c r="O1675" s="23">
        <v>1.95</v>
      </c>
      <c r="P1675" s="25">
        <v>1</v>
      </c>
      <c r="Q1675" s="24">
        <v>0.99</v>
      </c>
      <c r="R1675" s="24">
        <f>O1675-Q1675</f>
        <v>0.96</v>
      </c>
      <c r="S1675" s="53">
        <f>IF(O1675&lt;&gt;0,R1675/O1675,"")</f>
        <v>0.49230769230769228</v>
      </c>
      <c r="T1675" s="10"/>
      <c r="U1675" s="23">
        <v>0</v>
      </c>
      <c r="V1675" s="25">
        <v>0</v>
      </c>
      <c r="W1675" s="24">
        <v>0</v>
      </c>
      <c r="X1675" s="24">
        <f>U1675-W1675</f>
        <v>0</v>
      </c>
      <c r="Y1675" s="53" t="str">
        <f>IF(U1675&lt;&gt;0,X1675/U1675,"")</f>
        <v/>
      </c>
      <c r="Z1675" s="23">
        <v>0</v>
      </c>
      <c r="AA1675" s="25">
        <v>0</v>
      </c>
      <c r="AB1675" s="24">
        <v>0</v>
      </c>
      <c r="AC1675" s="24">
        <f t="shared" si="494"/>
        <v>0</v>
      </c>
      <c r="AD1675" s="53" t="str">
        <f t="shared" si="495"/>
        <v/>
      </c>
      <c r="AE1675" s="10"/>
    </row>
    <row r="1676" spans="1:31" x14ac:dyDescent="0.25">
      <c r="A1676" s="14" t="s">
        <v>109</v>
      </c>
      <c r="C1676" s="61" t="str">
        <f t="shared" si="493"/>
        <v>C100100</v>
      </c>
      <c r="F1676" s="8" t="str">
        <f>"S100025"</f>
        <v>S100025</v>
      </c>
      <c r="G1676" s="9" t="str">
        <f>"SPORT BOT with Pop Lid"</f>
        <v>SPORT BOT with Pop Lid</v>
      </c>
      <c r="H1676" s="47"/>
      <c r="I1676" s="47"/>
      <c r="J1676" s="23">
        <v>0</v>
      </c>
      <c r="K1676" s="25">
        <v>0</v>
      </c>
      <c r="L1676" s="24">
        <v>0</v>
      </c>
      <c r="M1676" s="24">
        <f>J1676-L1676</f>
        <v>0</v>
      </c>
      <c r="N1676" s="53" t="str">
        <f>IF(J1676&lt;&gt;0,M1676/J1676,"")</f>
        <v/>
      </c>
      <c r="O1676" s="23">
        <v>239.89999999999998</v>
      </c>
      <c r="P1676" s="25">
        <v>144</v>
      </c>
      <c r="Q1676" s="24">
        <v>138.16999999999999</v>
      </c>
      <c r="R1676" s="24">
        <f>O1676-Q1676</f>
        <v>101.72999999999999</v>
      </c>
      <c r="S1676" s="53">
        <f>IF(O1676&lt;&gt;0,R1676/O1676,"")</f>
        <v>0.4240516882034181</v>
      </c>
      <c r="T1676" s="10"/>
      <c r="U1676" s="23">
        <v>0</v>
      </c>
      <c r="V1676" s="25">
        <v>0</v>
      </c>
      <c r="W1676" s="24">
        <v>0</v>
      </c>
      <c r="X1676" s="24">
        <f>U1676-W1676</f>
        <v>0</v>
      </c>
      <c r="Y1676" s="53" t="str">
        <f>IF(U1676&lt;&gt;0,X1676/U1676,"")</f>
        <v/>
      </c>
      <c r="Z1676" s="23">
        <v>0</v>
      </c>
      <c r="AA1676" s="25">
        <v>0</v>
      </c>
      <c r="AB1676" s="24">
        <v>0</v>
      </c>
      <c r="AC1676" s="24">
        <f t="shared" si="494"/>
        <v>0</v>
      </c>
      <c r="AD1676" s="53" t="str">
        <f t="shared" si="495"/>
        <v/>
      </c>
      <c r="AE1676" s="10"/>
    </row>
    <row r="1677" spans="1:31" x14ac:dyDescent="0.25">
      <c r="A1677" s="14" t="s">
        <v>109</v>
      </c>
      <c r="C1677" s="61" t="str">
        <f t="shared" si="493"/>
        <v>C100100</v>
      </c>
      <c r="F1677" s="8" t="str">
        <f>"S200006"</f>
        <v>S200006</v>
      </c>
      <c r="G1677" s="9" t="str">
        <f>"3.75"" Soccer Trophy"</f>
        <v>3.75" Soccer Trophy</v>
      </c>
      <c r="H1677" s="47"/>
      <c r="I1677" s="47"/>
      <c r="J1677" s="23">
        <v>465.6</v>
      </c>
      <c r="K1677" s="25">
        <v>48</v>
      </c>
      <c r="L1677" s="24">
        <v>360.48</v>
      </c>
      <c r="M1677" s="24">
        <f>J1677-L1677</f>
        <v>105.12</v>
      </c>
      <c r="N1677" s="53">
        <f>IF(J1677&lt;&gt;0,M1677/J1677,"")</f>
        <v>0.22577319587628866</v>
      </c>
      <c r="O1677" s="23">
        <v>0</v>
      </c>
      <c r="P1677" s="25">
        <v>0</v>
      </c>
      <c r="Q1677" s="24">
        <v>0</v>
      </c>
      <c r="R1677" s="24">
        <f>O1677-Q1677</f>
        <v>0</v>
      </c>
      <c r="S1677" s="53" t="str">
        <f>IF(O1677&lt;&gt;0,R1677/O1677,"")</f>
        <v/>
      </c>
      <c r="T1677" s="10"/>
      <c r="U1677" s="23">
        <v>0</v>
      </c>
      <c r="V1677" s="25">
        <v>0</v>
      </c>
      <c r="W1677" s="24">
        <v>0</v>
      </c>
      <c r="X1677" s="24">
        <f>U1677-W1677</f>
        <v>0</v>
      </c>
      <c r="Y1677" s="53" t="str">
        <f>IF(U1677&lt;&gt;0,X1677/U1677,"")</f>
        <v/>
      </c>
      <c r="Z1677" s="23">
        <v>0</v>
      </c>
      <c r="AA1677" s="25">
        <v>0</v>
      </c>
      <c r="AB1677" s="24">
        <v>0</v>
      </c>
      <c r="AC1677" s="24">
        <f t="shared" si="494"/>
        <v>0</v>
      </c>
      <c r="AD1677" s="53" t="str">
        <f t="shared" si="495"/>
        <v/>
      </c>
      <c r="AE1677" s="10"/>
    </row>
    <row r="1678" spans="1:31" x14ac:dyDescent="0.25">
      <c r="A1678" s="14" t="s">
        <v>109</v>
      </c>
      <c r="C1678" s="61" t="str">
        <f t="shared" si="493"/>
        <v>C100100</v>
      </c>
      <c r="F1678" s="8" t="str">
        <f>"S200007"</f>
        <v>S200007</v>
      </c>
      <c r="G1678" s="9" t="str">
        <f>"3.75"" Football Trophy"</f>
        <v>3.75" Football Trophy</v>
      </c>
      <c r="H1678" s="47"/>
      <c r="I1678" s="47"/>
      <c r="J1678" s="23">
        <v>1396.8</v>
      </c>
      <c r="K1678" s="25">
        <v>144</v>
      </c>
      <c r="L1678" s="24">
        <v>1081.44</v>
      </c>
      <c r="M1678" s="24">
        <f>J1678-L1678</f>
        <v>315.3599999999999</v>
      </c>
      <c r="N1678" s="53">
        <f>IF(J1678&lt;&gt;0,M1678/J1678,"")</f>
        <v>0.22577319587628861</v>
      </c>
      <c r="O1678" s="23">
        <v>0</v>
      </c>
      <c r="P1678" s="25">
        <v>0</v>
      </c>
      <c r="Q1678" s="24">
        <v>0</v>
      </c>
      <c r="R1678" s="24">
        <f>O1678-Q1678</f>
        <v>0</v>
      </c>
      <c r="S1678" s="53" t="str">
        <f>IF(O1678&lt;&gt;0,R1678/O1678,"")</f>
        <v/>
      </c>
      <c r="T1678" s="10"/>
      <c r="U1678" s="23">
        <v>0</v>
      </c>
      <c r="V1678" s="25">
        <v>0</v>
      </c>
      <c r="W1678" s="24">
        <v>0</v>
      </c>
      <c r="X1678" s="24">
        <f>U1678-W1678</f>
        <v>0</v>
      </c>
      <c r="Y1678" s="53" t="str">
        <f>IF(U1678&lt;&gt;0,X1678/U1678,"")</f>
        <v/>
      </c>
      <c r="Z1678" s="23">
        <v>0</v>
      </c>
      <c r="AA1678" s="25">
        <v>0</v>
      </c>
      <c r="AB1678" s="24">
        <v>0</v>
      </c>
      <c r="AC1678" s="24">
        <f t="shared" si="494"/>
        <v>0</v>
      </c>
      <c r="AD1678" s="53" t="str">
        <f t="shared" si="495"/>
        <v/>
      </c>
      <c r="AE1678" s="10"/>
    </row>
    <row r="1679" spans="1:31" x14ac:dyDescent="0.25">
      <c r="A1679" s="14" t="s">
        <v>109</v>
      </c>
      <c r="C1679" s="61" t="str">
        <f t="shared" si="493"/>
        <v>C100100</v>
      </c>
      <c r="F1679" s="8" t="str">
        <f>"S200012"</f>
        <v>S200012</v>
      </c>
      <c r="G1679" s="9" t="str">
        <f>"10.75"" Star Riser Apple Trophy"</f>
        <v>10.75" Star Riser Apple Trophy</v>
      </c>
      <c r="H1679" s="47"/>
      <c r="I1679" s="47"/>
      <c r="J1679" s="23">
        <v>1746.0000000000002</v>
      </c>
      <c r="K1679" s="25">
        <v>144</v>
      </c>
      <c r="L1679" s="24">
        <v>1509.12</v>
      </c>
      <c r="M1679" s="24">
        <f>J1679-L1679</f>
        <v>236.88000000000034</v>
      </c>
      <c r="N1679" s="53">
        <f>IF(J1679&lt;&gt;0,M1679/J1679,"")</f>
        <v>0.13567010309278368</v>
      </c>
      <c r="O1679" s="23">
        <v>0</v>
      </c>
      <c r="P1679" s="25">
        <v>0</v>
      </c>
      <c r="Q1679" s="24">
        <v>0</v>
      </c>
      <c r="R1679" s="24">
        <f>O1679-Q1679</f>
        <v>0</v>
      </c>
      <c r="S1679" s="53" t="str">
        <f>IF(O1679&lt;&gt;0,R1679/O1679,"")</f>
        <v/>
      </c>
      <c r="T1679" s="10"/>
      <c r="U1679" s="23">
        <v>0</v>
      </c>
      <c r="V1679" s="25">
        <v>0</v>
      </c>
      <c r="W1679" s="24">
        <v>0</v>
      </c>
      <c r="X1679" s="24">
        <f>U1679-W1679</f>
        <v>0</v>
      </c>
      <c r="Y1679" s="53" t="str">
        <f>IF(U1679&lt;&gt;0,X1679/U1679,"")</f>
        <v/>
      </c>
      <c r="Z1679" s="23">
        <v>0</v>
      </c>
      <c r="AA1679" s="25">
        <v>0</v>
      </c>
      <c r="AB1679" s="24">
        <v>0</v>
      </c>
      <c r="AC1679" s="24">
        <f t="shared" si="494"/>
        <v>0</v>
      </c>
      <c r="AD1679" s="53" t="str">
        <f t="shared" si="495"/>
        <v/>
      </c>
      <c r="AE1679" s="10"/>
    </row>
    <row r="1680" spans="1:31" x14ac:dyDescent="0.25">
      <c r="A1680" s="14" t="s">
        <v>109</v>
      </c>
      <c r="C1680" s="61" t="str">
        <f t="shared" si="493"/>
        <v>C100100</v>
      </c>
      <c r="F1680" s="8" t="str">
        <f>"S200013"</f>
        <v>S200013</v>
      </c>
      <c r="G1680" s="9" t="str">
        <f>"10.75"" Star Riser Soccer Trophy"</f>
        <v>10.75" Star Riser Soccer Trophy</v>
      </c>
      <c r="H1680" s="47"/>
      <c r="I1680" s="47"/>
      <c r="J1680" s="23">
        <v>0</v>
      </c>
      <c r="K1680" s="25">
        <v>0</v>
      </c>
      <c r="L1680" s="24">
        <v>0</v>
      </c>
      <c r="M1680" s="24">
        <f>J1680-L1680</f>
        <v>0</v>
      </c>
      <c r="N1680" s="53" t="str">
        <f>IF(J1680&lt;&gt;0,M1680/J1680,"")</f>
        <v/>
      </c>
      <c r="O1680" s="23">
        <v>1764</v>
      </c>
      <c r="P1680" s="25">
        <v>144</v>
      </c>
      <c r="Q1680" s="24">
        <v>1429.9199999999998</v>
      </c>
      <c r="R1680" s="24">
        <f>O1680-Q1680</f>
        <v>334.08000000000015</v>
      </c>
      <c r="S1680" s="53">
        <f>IF(O1680&lt;&gt;0,R1680/O1680,"")</f>
        <v>0.18938775510204089</v>
      </c>
      <c r="T1680" s="10"/>
      <c r="U1680" s="23">
        <v>0</v>
      </c>
      <c r="V1680" s="25">
        <v>0</v>
      </c>
      <c r="W1680" s="24">
        <v>0</v>
      </c>
      <c r="X1680" s="24">
        <f>U1680-W1680</f>
        <v>0</v>
      </c>
      <c r="Y1680" s="53" t="str">
        <f>IF(U1680&lt;&gt;0,X1680/U1680,"")</f>
        <v/>
      </c>
      <c r="Z1680" s="23">
        <v>0</v>
      </c>
      <c r="AA1680" s="25">
        <v>0</v>
      </c>
      <c r="AB1680" s="24">
        <v>0</v>
      </c>
      <c r="AC1680" s="24">
        <f t="shared" si="494"/>
        <v>0</v>
      </c>
      <c r="AD1680" s="53" t="str">
        <f t="shared" si="495"/>
        <v/>
      </c>
      <c r="AE1680" s="10"/>
    </row>
    <row r="1681" spans="1:31" x14ac:dyDescent="0.25">
      <c r="A1681" s="14" t="s">
        <v>109</v>
      </c>
      <c r="C1681" s="61" t="str">
        <f t="shared" si="493"/>
        <v>C100100</v>
      </c>
      <c r="F1681" s="8" t="str">
        <f>"S200015"</f>
        <v>S200015</v>
      </c>
      <c r="G1681" s="9" t="str">
        <f>"10.75"" Star Riser Basketball Trophy"</f>
        <v>10.75" Star Riser Basketball Trophy</v>
      </c>
      <c r="H1681" s="47"/>
      <c r="I1681" s="47"/>
      <c r="J1681" s="23">
        <v>1746.0000000000002</v>
      </c>
      <c r="K1681" s="25">
        <v>144</v>
      </c>
      <c r="L1681" s="24">
        <v>1429.9199999999998</v>
      </c>
      <c r="M1681" s="24">
        <f>J1681-L1681</f>
        <v>316.08000000000038</v>
      </c>
      <c r="N1681" s="53">
        <f>IF(J1681&lt;&gt;0,M1681/J1681,"")</f>
        <v>0.18103092783505173</v>
      </c>
      <c r="O1681" s="23">
        <v>0</v>
      </c>
      <c r="P1681" s="25">
        <v>0</v>
      </c>
      <c r="Q1681" s="24">
        <v>0</v>
      </c>
      <c r="R1681" s="24">
        <f>O1681-Q1681</f>
        <v>0</v>
      </c>
      <c r="S1681" s="53" t="str">
        <f>IF(O1681&lt;&gt;0,R1681/O1681,"")</f>
        <v/>
      </c>
      <c r="T1681" s="10"/>
      <c r="U1681" s="23">
        <v>0</v>
      </c>
      <c r="V1681" s="25">
        <v>0</v>
      </c>
      <c r="W1681" s="24">
        <v>0</v>
      </c>
      <c r="X1681" s="24">
        <f>U1681-W1681</f>
        <v>0</v>
      </c>
      <c r="Y1681" s="53" t="str">
        <f>IF(U1681&lt;&gt;0,X1681/U1681,"")</f>
        <v/>
      </c>
      <c r="Z1681" s="23">
        <v>0</v>
      </c>
      <c r="AA1681" s="25">
        <v>0</v>
      </c>
      <c r="AB1681" s="24">
        <v>0</v>
      </c>
      <c r="AC1681" s="24">
        <f t="shared" si="494"/>
        <v>0</v>
      </c>
      <c r="AD1681" s="53" t="str">
        <f t="shared" si="495"/>
        <v/>
      </c>
      <c r="AE1681" s="10"/>
    </row>
    <row r="1682" spans="1:31" x14ac:dyDescent="0.25">
      <c r="A1682" s="14" t="s">
        <v>109</v>
      </c>
      <c r="C1682" s="61" t="str">
        <f t="shared" si="493"/>
        <v>C100100</v>
      </c>
      <c r="F1682" s="8" t="str">
        <f>"S200016"</f>
        <v>S200016</v>
      </c>
      <c r="G1682" s="9" t="str">
        <f>"10.75"" Star Riser Volleyball Trophy"</f>
        <v>10.75" Star Riser Volleyball Trophy</v>
      </c>
      <c r="H1682" s="47"/>
      <c r="I1682" s="47"/>
      <c r="J1682" s="23">
        <v>0</v>
      </c>
      <c r="K1682" s="25">
        <v>0</v>
      </c>
      <c r="L1682" s="24">
        <v>0</v>
      </c>
      <c r="M1682" s="24">
        <f>J1682-L1682</f>
        <v>0</v>
      </c>
      <c r="N1682" s="53" t="str">
        <f>IF(J1682&lt;&gt;0,M1682/J1682,"")</f>
        <v/>
      </c>
      <c r="O1682" s="23">
        <v>12.25</v>
      </c>
      <c r="P1682" s="25">
        <v>1</v>
      </c>
      <c r="Q1682" s="24">
        <v>9.93</v>
      </c>
      <c r="R1682" s="24">
        <f>O1682-Q1682</f>
        <v>2.3200000000000003</v>
      </c>
      <c r="S1682" s="53">
        <f>IF(O1682&lt;&gt;0,R1682/O1682,"")</f>
        <v>0.18938775510204084</v>
      </c>
      <c r="T1682" s="10"/>
      <c r="U1682" s="23">
        <v>0</v>
      </c>
      <c r="V1682" s="25">
        <v>0</v>
      </c>
      <c r="W1682" s="24">
        <v>0</v>
      </c>
      <c r="X1682" s="24">
        <f>U1682-W1682</f>
        <v>0</v>
      </c>
      <c r="Y1682" s="53" t="str">
        <f>IF(U1682&lt;&gt;0,X1682/U1682,"")</f>
        <v/>
      </c>
      <c r="Z1682" s="23">
        <v>0</v>
      </c>
      <c r="AA1682" s="25">
        <v>0</v>
      </c>
      <c r="AB1682" s="24">
        <v>0</v>
      </c>
      <c r="AC1682" s="24">
        <f t="shared" si="494"/>
        <v>0</v>
      </c>
      <c r="AD1682" s="53" t="str">
        <f t="shared" si="495"/>
        <v/>
      </c>
      <c r="AE1682" s="10"/>
    </row>
    <row r="1683" spans="1:31" x14ac:dyDescent="0.25">
      <c r="A1683" s="14" t="s">
        <v>109</v>
      </c>
      <c r="C1683" s="61" t="str">
        <f t="shared" si="493"/>
        <v>C100100</v>
      </c>
      <c r="F1683" s="8" t="str">
        <f>"S200017"</f>
        <v>S200017</v>
      </c>
      <c r="G1683" s="9" t="str">
        <f>"10.75"" Tourch Riser WrestlingTrophy"</f>
        <v>10.75" Tourch Riser WrestlingTrophy</v>
      </c>
      <c r="H1683" s="47"/>
      <c r="I1683" s="47"/>
      <c r="J1683" s="23">
        <v>1746.0000000000002</v>
      </c>
      <c r="K1683" s="25">
        <v>144</v>
      </c>
      <c r="L1683" s="24">
        <v>1429.9199999999998</v>
      </c>
      <c r="M1683" s="24">
        <f>J1683-L1683</f>
        <v>316.08000000000038</v>
      </c>
      <c r="N1683" s="53">
        <f>IF(J1683&lt;&gt;0,M1683/J1683,"")</f>
        <v>0.18103092783505173</v>
      </c>
      <c r="O1683" s="23">
        <v>0</v>
      </c>
      <c r="P1683" s="25">
        <v>0</v>
      </c>
      <c r="Q1683" s="24">
        <v>0</v>
      </c>
      <c r="R1683" s="24">
        <f>O1683-Q1683</f>
        <v>0</v>
      </c>
      <c r="S1683" s="53" t="str">
        <f>IF(O1683&lt;&gt;0,R1683/O1683,"")</f>
        <v/>
      </c>
      <c r="T1683" s="10"/>
      <c r="U1683" s="23">
        <v>0</v>
      </c>
      <c r="V1683" s="25">
        <v>0</v>
      </c>
      <c r="W1683" s="24">
        <v>0</v>
      </c>
      <c r="X1683" s="24">
        <f>U1683-W1683</f>
        <v>0</v>
      </c>
      <c r="Y1683" s="53" t="str">
        <f>IF(U1683&lt;&gt;0,X1683/U1683,"")</f>
        <v/>
      </c>
      <c r="Z1683" s="23">
        <v>0</v>
      </c>
      <c r="AA1683" s="25">
        <v>0</v>
      </c>
      <c r="AB1683" s="24">
        <v>0</v>
      </c>
      <c r="AC1683" s="24">
        <f t="shared" si="494"/>
        <v>0</v>
      </c>
      <c r="AD1683" s="53" t="str">
        <f t="shared" si="495"/>
        <v/>
      </c>
      <c r="AE1683" s="10"/>
    </row>
    <row r="1684" spans="1:31" x14ac:dyDescent="0.25">
      <c r="A1684" s="14" t="s">
        <v>109</v>
      </c>
      <c r="C1684" s="61" t="str">
        <f t="shared" si="493"/>
        <v>C100100</v>
      </c>
      <c r="F1684" s="8" t="str">
        <f>"S200019"</f>
        <v>S200019</v>
      </c>
      <c r="G1684" s="9" t="str">
        <f>"10.75"" Tourch Riser Apple Trophy"</f>
        <v>10.75" Tourch Riser Apple Trophy</v>
      </c>
      <c r="H1684" s="47"/>
      <c r="I1684" s="47"/>
      <c r="J1684" s="23">
        <v>2095.1999999999998</v>
      </c>
      <c r="K1684" s="25">
        <v>144</v>
      </c>
      <c r="L1684" s="24">
        <v>1559.52</v>
      </c>
      <c r="M1684" s="24">
        <f>J1684-L1684</f>
        <v>535.67999999999984</v>
      </c>
      <c r="N1684" s="53">
        <f>IF(J1684&lt;&gt;0,M1684/J1684,"")</f>
        <v>0.25567010309278343</v>
      </c>
      <c r="O1684" s="23">
        <v>0</v>
      </c>
      <c r="P1684" s="25">
        <v>0</v>
      </c>
      <c r="Q1684" s="24">
        <v>0</v>
      </c>
      <c r="R1684" s="24">
        <f>O1684-Q1684</f>
        <v>0</v>
      </c>
      <c r="S1684" s="53" t="str">
        <f>IF(O1684&lt;&gt;0,R1684/O1684,"")</f>
        <v/>
      </c>
      <c r="T1684" s="10"/>
      <c r="U1684" s="23">
        <v>0</v>
      </c>
      <c r="V1684" s="25">
        <v>0</v>
      </c>
      <c r="W1684" s="24">
        <v>0</v>
      </c>
      <c r="X1684" s="24">
        <f>U1684-W1684</f>
        <v>0</v>
      </c>
      <c r="Y1684" s="53" t="str">
        <f>IF(U1684&lt;&gt;0,X1684/U1684,"")</f>
        <v/>
      </c>
      <c r="Z1684" s="23">
        <v>0</v>
      </c>
      <c r="AA1684" s="25">
        <v>0</v>
      </c>
      <c r="AB1684" s="24">
        <v>0</v>
      </c>
      <c r="AC1684" s="24">
        <f t="shared" si="494"/>
        <v>0</v>
      </c>
      <c r="AD1684" s="53" t="str">
        <f t="shared" si="495"/>
        <v/>
      </c>
      <c r="AE1684" s="10"/>
    </row>
    <row r="1685" spans="1:31" x14ac:dyDescent="0.25">
      <c r="A1685" s="14" t="s">
        <v>109</v>
      </c>
      <c r="C1685" s="61" t="str">
        <f t="shared" si="493"/>
        <v>C100100</v>
      </c>
      <c r="F1685" s="8" t="str">
        <f>"S200027"</f>
        <v>S200027</v>
      </c>
      <c r="G1685" s="9" t="str">
        <f>"10.75"" Column Soccer Trophy"</f>
        <v>10.75" Column Soccer Trophy</v>
      </c>
      <c r="H1685" s="47"/>
      <c r="I1685" s="47"/>
      <c r="J1685" s="23">
        <v>0</v>
      </c>
      <c r="K1685" s="25">
        <v>0</v>
      </c>
      <c r="L1685" s="24">
        <v>0</v>
      </c>
      <c r="M1685" s="24">
        <f>J1685-L1685</f>
        <v>0</v>
      </c>
      <c r="N1685" s="53" t="str">
        <f>IF(J1685&lt;&gt;0,M1685/J1685,"")</f>
        <v/>
      </c>
      <c r="O1685" s="23">
        <v>2116.8000000000002</v>
      </c>
      <c r="P1685" s="25">
        <v>144</v>
      </c>
      <c r="Q1685" s="24">
        <v>1547.9999999999998</v>
      </c>
      <c r="R1685" s="24">
        <f>O1685-Q1685</f>
        <v>568.80000000000041</v>
      </c>
      <c r="S1685" s="53">
        <f>IF(O1685&lt;&gt;0,R1685/O1685,"")</f>
        <v>0.26870748299319747</v>
      </c>
      <c r="T1685" s="10"/>
      <c r="U1685" s="23">
        <v>0</v>
      </c>
      <c r="V1685" s="25">
        <v>0</v>
      </c>
      <c r="W1685" s="24">
        <v>0</v>
      </c>
      <c r="X1685" s="24">
        <f>U1685-W1685</f>
        <v>0</v>
      </c>
      <c r="Y1685" s="53" t="str">
        <f>IF(U1685&lt;&gt;0,X1685/U1685,"")</f>
        <v/>
      </c>
      <c r="Z1685" s="23">
        <v>0</v>
      </c>
      <c r="AA1685" s="25">
        <v>0</v>
      </c>
      <c r="AB1685" s="24">
        <v>0</v>
      </c>
      <c r="AC1685" s="24">
        <f t="shared" si="494"/>
        <v>0</v>
      </c>
      <c r="AD1685" s="53" t="str">
        <f t="shared" si="495"/>
        <v/>
      </c>
      <c r="AE1685" s="10"/>
    </row>
    <row r="1686" spans="1:31" x14ac:dyDescent="0.25">
      <c r="A1686" s="14" t="s">
        <v>109</v>
      </c>
      <c r="C1686" s="61" t="str">
        <f t="shared" si="493"/>
        <v>C100100</v>
      </c>
      <c r="F1686" s="8" t="str">
        <f>"S200028"</f>
        <v>S200028</v>
      </c>
      <c r="G1686" s="9" t="str">
        <f>"10.75"" Column Football Trophy"</f>
        <v>10.75" Column Football Trophy</v>
      </c>
      <c r="H1686" s="47"/>
      <c r="I1686" s="47"/>
      <c r="J1686" s="23">
        <v>0</v>
      </c>
      <c r="K1686" s="25">
        <v>0</v>
      </c>
      <c r="L1686" s="24">
        <v>0</v>
      </c>
      <c r="M1686" s="24">
        <f>J1686-L1686</f>
        <v>0</v>
      </c>
      <c r="N1686" s="53" t="str">
        <f>IF(J1686&lt;&gt;0,M1686/J1686,"")</f>
        <v/>
      </c>
      <c r="O1686" s="23">
        <v>2116.8000000000002</v>
      </c>
      <c r="P1686" s="25">
        <v>144</v>
      </c>
      <c r="Q1686" s="24">
        <v>1547.9999999999998</v>
      </c>
      <c r="R1686" s="24">
        <f>O1686-Q1686</f>
        <v>568.80000000000041</v>
      </c>
      <c r="S1686" s="53">
        <f>IF(O1686&lt;&gt;0,R1686/O1686,"")</f>
        <v>0.26870748299319747</v>
      </c>
      <c r="T1686" s="10"/>
      <c r="U1686" s="23">
        <v>0</v>
      </c>
      <c r="V1686" s="25">
        <v>0</v>
      </c>
      <c r="W1686" s="24">
        <v>0</v>
      </c>
      <c r="X1686" s="24">
        <f>U1686-W1686</f>
        <v>0</v>
      </c>
      <c r="Y1686" s="53" t="str">
        <f>IF(U1686&lt;&gt;0,X1686/U1686,"")</f>
        <v/>
      </c>
      <c r="Z1686" s="23">
        <v>0</v>
      </c>
      <c r="AA1686" s="25">
        <v>0</v>
      </c>
      <c r="AB1686" s="24">
        <v>0</v>
      </c>
      <c r="AC1686" s="24">
        <f t="shared" si="494"/>
        <v>0</v>
      </c>
      <c r="AD1686" s="53" t="str">
        <f t="shared" si="495"/>
        <v/>
      </c>
      <c r="AE1686" s="10"/>
    </row>
    <row r="1687" spans="1:31" x14ac:dyDescent="0.25">
      <c r="A1687" s="14" t="s">
        <v>109</v>
      </c>
      <c r="C1687" s="61" t="str">
        <f t="shared" si="493"/>
        <v>C100100</v>
      </c>
      <c r="F1687" s="8" t="str">
        <f>"S200030"</f>
        <v>S200030</v>
      </c>
      <c r="G1687" s="9" t="str">
        <f>"10.75"" Column Volleyball Trophy"</f>
        <v>10.75" Column Volleyball Trophy</v>
      </c>
      <c r="H1687" s="47"/>
      <c r="I1687" s="47"/>
      <c r="J1687" s="23">
        <v>0</v>
      </c>
      <c r="K1687" s="25">
        <v>0</v>
      </c>
      <c r="L1687" s="24">
        <v>0</v>
      </c>
      <c r="M1687" s="24">
        <f>J1687-L1687</f>
        <v>0</v>
      </c>
      <c r="N1687" s="53" t="str">
        <f>IF(J1687&lt;&gt;0,M1687/J1687,"")</f>
        <v/>
      </c>
      <c r="O1687" s="23">
        <v>14.7</v>
      </c>
      <c r="P1687" s="25">
        <v>1</v>
      </c>
      <c r="Q1687" s="24">
        <v>10.75</v>
      </c>
      <c r="R1687" s="24">
        <f>O1687-Q1687</f>
        <v>3.9499999999999993</v>
      </c>
      <c r="S1687" s="53">
        <f>IF(O1687&lt;&gt;0,R1687/O1687,"")</f>
        <v>0.26870748299319724</v>
      </c>
      <c r="T1687" s="10"/>
      <c r="U1687" s="23">
        <v>0</v>
      </c>
      <c r="V1687" s="25">
        <v>0</v>
      </c>
      <c r="W1687" s="24">
        <v>0</v>
      </c>
      <c r="X1687" s="24">
        <f>U1687-W1687</f>
        <v>0</v>
      </c>
      <c r="Y1687" s="53" t="str">
        <f>IF(U1687&lt;&gt;0,X1687/U1687,"")</f>
        <v/>
      </c>
      <c r="Z1687" s="23">
        <v>0</v>
      </c>
      <c r="AA1687" s="25">
        <v>0</v>
      </c>
      <c r="AB1687" s="24">
        <v>0</v>
      </c>
      <c r="AC1687" s="24">
        <f t="shared" si="494"/>
        <v>0</v>
      </c>
      <c r="AD1687" s="53" t="str">
        <f t="shared" si="495"/>
        <v/>
      </c>
      <c r="AE1687" s="10"/>
    </row>
    <row r="1688" spans="1:31" ht="15.75" thickBot="1" x14ac:dyDescent="0.3">
      <c r="A1688" s="14" t="s">
        <v>109</v>
      </c>
      <c r="C1688" s="61" t="str">
        <f>C1640</f>
        <v>C100100</v>
      </c>
      <c r="J1688" s="10"/>
      <c r="K1688" s="11"/>
      <c r="L1688" s="11"/>
      <c r="M1688" s="11"/>
      <c r="N1688" s="12"/>
      <c r="O1688" s="10"/>
      <c r="P1688" s="11"/>
      <c r="Q1688" s="11"/>
      <c r="R1688" s="11"/>
      <c r="S1688" s="12"/>
      <c r="U1688" s="10"/>
      <c r="V1688" s="11"/>
      <c r="W1688" s="11"/>
      <c r="X1688" s="11"/>
      <c r="Y1688" s="12"/>
      <c r="Z1688" s="10"/>
      <c r="AA1688" s="11"/>
      <c r="AB1688" s="11"/>
      <c r="AC1688" s="11"/>
      <c r="AD1688" s="12"/>
    </row>
    <row r="1689" spans="1:31" ht="15.75" thickBot="1" x14ac:dyDescent="0.3">
      <c r="A1689" s="14" t="s">
        <v>109</v>
      </c>
      <c r="C1689" s="61" t="str">
        <f t="shared" si="490"/>
        <v>C100100</v>
      </c>
      <c r="G1689" s="48" t="str">
        <f>C1689&amp;" TOTAL:"</f>
        <v>C100100 TOTAL:</v>
      </c>
      <c r="H1689" s="50"/>
      <c r="I1689" s="50"/>
      <c r="J1689" s="34">
        <f>SUBTOTAL(9,J1639:J1688)</f>
        <v>10749.369999999999</v>
      </c>
      <c r="K1689" s="35">
        <f>SUBTOTAL(9,K1639:K1688)</f>
        <v>1802</v>
      </c>
      <c r="L1689" s="36">
        <f>SUBTOTAL(9,L1639:L1688)</f>
        <v>8166.6299999999992</v>
      </c>
      <c r="M1689" s="36">
        <f>J1689-L1689</f>
        <v>2582.7399999999998</v>
      </c>
      <c r="N1689" s="37">
        <f>IF(J1689&lt;&gt;0,M1689/J1689,"")</f>
        <v>0.24026896459978586</v>
      </c>
      <c r="O1689" s="34">
        <f>SUBTOTAL(9,O1639:O1688)</f>
        <v>16442.96</v>
      </c>
      <c r="P1689" s="35">
        <f>SUBTOTAL(9,P1639:P1688)</f>
        <v>4911</v>
      </c>
      <c r="Q1689" s="36">
        <f>SUBTOTAL(9,Q1639:Q1688)</f>
        <v>10416.380000000001</v>
      </c>
      <c r="R1689" s="36">
        <f>O1689-Q1689</f>
        <v>6026.5799999999981</v>
      </c>
      <c r="S1689" s="37">
        <f>IF(O1689&lt;&gt;0,R1689/O1689,"")</f>
        <v>0.36651430156127596</v>
      </c>
      <c r="U1689" s="34">
        <f>SUBTOTAL(9,U1639:U1688)</f>
        <v>0</v>
      </c>
      <c r="V1689" s="35">
        <f>SUBTOTAL(9,V1639:V1688)</f>
        <v>0</v>
      </c>
      <c r="W1689" s="36">
        <f>SUBTOTAL(9,W1639:W1688)</f>
        <v>0</v>
      </c>
      <c r="X1689" s="36">
        <f>U1689-W1689</f>
        <v>0</v>
      </c>
      <c r="Y1689" s="37" t="str">
        <f>IF(U1689&lt;&gt;0,X1689/U1689,"")</f>
        <v/>
      </c>
      <c r="Z1689" s="34">
        <f>SUBTOTAL(9,Z1639:Z1688)</f>
        <v>0</v>
      </c>
      <c r="AA1689" s="35">
        <f>SUBTOTAL(9,AA1639:AA1688)</f>
        <v>0</v>
      </c>
      <c r="AB1689" s="36">
        <f>SUBTOTAL(9,AB1639:AB1688)</f>
        <v>0</v>
      </c>
      <c r="AC1689" s="36">
        <f t="shared" ref="AC1689" si="496">Z1689-AB1689</f>
        <v>0</v>
      </c>
      <c r="AD1689" s="37" t="str">
        <f t="shared" ref="AD1689" si="497">IF(Z1689&lt;&gt;0,AC1689/Z1689,"")</f>
        <v/>
      </c>
    </row>
    <row r="1690" spans="1:31" x14ac:dyDescent="0.25">
      <c r="A1690" s="14" t="s">
        <v>109</v>
      </c>
      <c r="C1690" s="66"/>
      <c r="J1690" s="10"/>
      <c r="K1690" s="11"/>
      <c r="L1690" s="11"/>
      <c r="M1690" s="11"/>
      <c r="N1690" s="12"/>
      <c r="O1690" s="10"/>
      <c r="P1690" s="11"/>
      <c r="Q1690" s="11"/>
      <c r="R1690" s="11"/>
      <c r="S1690" s="12"/>
      <c r="U1690" s="10"/>
      <c r="V1690" s="11"/>
      <c r="W1690" s="11"/>
      <c r="X1690" s="11"/>
      <c r="Y1690" s="12"/>
      <c r="Z1690" s="10"/>
      <c r="AA1690" s="11"/>
      <c r="AB1690" s="11"/>
      <c r="AC1690" s="11"/>
      <c r="AD1690" s="12"/>
    </row>
    <row r="1691" spans="1:31" ht="15.75" x14ac:dyDescent="0.25">
      <c r="A1691" s="14" t="s">
        <v>109</v>
      </c>
      <c r="C1691" s="66" t="str">
        <f t="shared" ref="C1691" si="498">E1691</f>
        <v>C100101</v>
      </c>
      <c r="E1691" s="13" t="str">
        <f>"C100101"</f>
        <v>C100101</v>
      </c>
      <c r="F1691" s="13"/>
      <c r="G1691" s="13" t="str">
        <f>"ZoomTrax Systems"</f>
        <v>ZoomTrax Systems</v>
      </c>
      <c r="H1691" s="13"/>
      <c r="I1691" s="13"/>
      <c r="J1691" s="10"/>
      <c r="K1691" s="11"/>
      <c r="L1691" s="11"/>
      <c r="M1691" s="11"/>
      <c r="N1691" s="12"/>
      <c r="O1691" s="10"/>
      <c r="P1691" s="11"/>
      <c r="Q1691" s="11"/>
      <c r="R1691" s="11"/>
      <c r="S1691" s="12"/>
      <c r="U1691" s="10"/>
      <c r="V1691" s="11"/>
      <c r="W1691" s="11"/>
      <c r="X1691" s="11"/>
      <c r="Y1691" s="12"/>
      <c r="Z1691" s="10"/>
      <c r="AA1691" s="11"/>
      <c r="AB1691" s="11"/>
      <c r="AC1691" s="11"/>
      <c r="AD1691" s="12"/>
    </row>
    <row r="1692" spans="1:31" ht="6.6" customHeight="1" x14ac:dyDescent="0.25">
      <c r="A1692" s="14" t="s">
        <v>109</v>
      </c>
      <c r="C1692" s="61" t="str">
        <f t="shared" ref="C1692:C1724" si="499">C1691</f>
        <v>C100101</v>
      </c>
      <c r="J1692" s="10"/>
      <c r="K1692" s="11"/>
      <c r="L1692" s="11"/>
      <c r="M1692" s="11"/>
      <c r="N1692" s="12"/>
      <c r="O1692" s="10"/>
      <c r="P1692" s="11"/>
      <c r="Q1692" s="11"/>
      <c r="R1692" s="11"/>
      <c r="S1692" s="12"/>
      <c r="U1692" s="10"/>
      <c r="V1692" s="11"/>
      <c r="W1692" s="11"/>
      <c r="X1692" s="11"/>
      <c r="Y1692" s="12"/>
      <c r="Z1692" s="10"/>
      <c r="AA1692" s="11"/>
      <c r="AB1692" s="11"/>
      <c r="AC1692" s="11"/>
      <c r="AD1692" s="12"/>
    </row>
    <row r="1693" spans="1:31" x14ac:dyDescent="0.25">
      <c r="A1693" s="14" t="s">
        <v>109</v>
      </c>
      <c r="C1693" s="61" t="str">
        <f t="shared" si="499"/>
        <v>C100101</v>
      </c>
      <c r="F1693" s="8" t="str">
        <f>"C100033"</f>
        <v>C100033</v>
      </c>
      <c r="G1693" s="9" t="str">
        <f>"Frames &amp; Clock"</f>
        <v>Frames &amp; Clock</v>
      </c>
      <c r="H1693" s="47"/>
      <c r="I1693" s="47"/>
      <c r="J1693" s="23">
        <v>0</v>
      </c>
      <c r="K1693" s="25">
        <v>0</v>
      </c>
      <c r="L1693" s="24">
        <v>0</v>
      </c>
      <c r="M1693" s="24">
        <f>J1693-L1693</f>
        <v>0</v>
      </c>
      <c r="N1693" s="53" t="str">
        <f>IF(J1693&lt;&gt;0,M1693/J1693,"")</f>
        <v/>
      </c>
      <c r="O1693" s="23">
        <v>4.74</v>
      </c>
      <c r="P1693" s="25">
        <v>1</v>
      </c>
      <c r="Q1693" s="24">
        <v>2.88</v>
      </c>
      <c r="R1693" s="24">
        <f>O1693-Q1693</f>
        <v>1.8600000000000003</v>
      </c>
      <c r="S1693" s="53">
        <f>IF(O1693&lt;&gt;0,R1693/O1693,"")</f>
        <v>0.39240506329113928</v>
      </c>
      <c r="T1693" s="10"/>
      <c r="U1693" s="23">
        <v>0</v>
      </c>
      <c r="V1693" s="25">
        <v>0</v>
      </c>
      <c r="W1693" s="24">
        <v>0</v>
      </c>
      <c r="X1693" s="24">
        <f>U1693-W1693</f>
        <v>0</v>
      </c>
      <c r="Y1693" s="53" t="str">
        <f>IF(U1693&lt;&gt;0,X1693/U1693,"")</f>
        <v/>
      </c>
      <c r="Z1693" s="23">
        <v>0</v>
      </c>
      <c r="AA1693" s="25">
        <v>0</v>
      </c>
      <c r="AB1693" s="24">
        <v>0</v>
      </c>
      <c r="AC1693" s="24">
        <f t="shared" ref="AC1693" si="500">Z1693-AB1693</f>
        <v>0</v>
      </c>
      <c r="AD1693" s="53" t="str">
        <f t="shared" ref="AD1693" si="501">IF(Z1693&lt;&gt;0,AC1693/Z1693,"")</f>
        <v/>
      </c>
      <c r="AE1693" s="10"/>
    </row>
    <row r="1694" spans="1:31" x14ac:dyDescent="0.25">
      <c r="A1694" s="14" t="s">
        <v>109</v>
      </c>
      <c r="C1694" s="61" t="str">
        <f t="shared" ref="C1694:C1722" si="502">C1693</f>
        <v>C100101</v>
      </c>
      <c r="F1694" s="8" t="str">
        <f>"C100042"</f>
        <v>C100042</v>
      </c>
      <c r="G1694" s="9" t="str">
        <f>"Retractable Earbuds"</f>
        <v>Retractable Earbuds</v>
      </c>
      <c r="H1694" s="47"/>
      <c r="I1694" s="47"/>
      <c r="J1694" s="23">
        <v>0</v>
      </c>
      <c r="K1694" s="25">
        <v>0</v>
      </c>
      <c r="L1694" s="24">
        <v>0</v>
      </c>
      <c r="M1694" s="24">
        <f>J1694-L1694</f>
        <v>0</v>
      </c>
      <c r="N1694" s="53" t="str">
        <f>IF(J1694&lt;&gt;0,M1694/J1694,"")</f>
        <v/>
      </c>
      <c r="O1694" s="23">
        <v>335.87</v>
      </c>
      <c r="P1694" s="25">
        <v>168</v>
      </c>
      <c r="Q1694" s="24">
        <v>181.54999999999998</v>
      </c>
      <c r="R1694" s="24">
        <f>O1694-Q1694</f>
        <v>154.32000000000002</v>
      </c>
      <c r="S1694" s="53">
        <f>IF(O1694&lt;&gt;0,R1694/O1694,"")</f>
        <v>0.45946348289516781</v>
      </c>
      <c r="T1694" s="10"/>
      <c r="U1694" s="23">
        <v>0</v>
      </c>
      <c r="V1694" s="25">
        <v>0</v>
      </c>
      <c r="W1694" s="24">
        <v>0</v>
      </c>
      <c r="X1694" s="24">
        <f>U1694-W1694</f>
        <v>0</v>
      </c>
      <c r="Y1694" s="53" t="str">
        <f>IF(U1694&lt;&gt;0,X1694/U1694,"")</f>
        <v/>
      </c>
      <c r="Z1694" s="23">
        <v>287.88</v>
      </c>
      <c r="AA1694" s="25">
        <v>144</v>
      </c>
      <c r="AB1694" s="24">
        <v>155.60999999999999</v>
      </c>
      <c r="AC1694" s="24">
        <f t="shared" ref="AC1694:AC1722" si="503">Z1694-AB1694</f>
        <v>132.27000000000001</v>
      </c>
      <c r="AD1694" s="53">
        <f t="shared" ref="AD1694:AD1722" si="504">IF(Z1694&lt;&gt;0,AC1694/Z1694,"")</f>
        <v>0.45946227594831185</v>
      </c>
      <c r="AE1694" s="10"/>
    </row>
    <row r="1695" spans="1:31" x14ac:dyDescent="0.25">
      <c r="A1695" s="14" t="s">
        <v>109</v>
      </c>
      <c r="C1695" s="61" t="str">
        <f t="shared" si="502"/>
        <v>C100101</v>
      </c>
      <c r="F1695" s="8" t="str">
        <f>"C100044"</f>
        <v>C100044</v>
      </c>
      <c r="G1695" s="9" t="str">
        <f>"VOIP Headset with Mic"</f>
        <v>VOIP Headset with Mic</v>
      </c>
      <c r="H1695" s="47"/>
      <c r="I1695" s="47"/>
      <c r="J1695" s="23">
        <v>0</v>
      </c>
      <c r="K1695" s="25">
        <v>0</v>
      </c>
      <c r="L1695" s="24">
        <v>0</v>
      </c>
      <c r="M1695" s="24">
        <f>J1695-L1695</f>
        <v>0</v>
      </c>
      <c r="N1695" s="53" t="str">
        <f>IF(J1695&lt;&gt;0,M1695/J1695,"")</f>
        <v/>
      </c>
      <c r="O1695" s="23">
        <v>2.16</v>
      </c>
      <c r="P1695" s="25">
        <v>1</v>
      </c>
      <c r="Q1695" s="24">
        <v>1.2</v>
      </c>
      <c r="R1695" s="24">
        <f>O1695-Q1695</f>
        <v>0.96000000000000019</v>
      </c>
      <c r="S1695" s="53">
        <f>IF(O1695&lt;&gt;0,R1695/O1695,"")</f>
        <v>0.44444444444444448</v>
      </c>
      <c r="T1695" s="10"/>
      <c r="U1695" s="23">
        <v>0</v>
      </c>
      <c r="V1695" s="25">
        <v>0</v>
      </c>
      <c r="W1695" s="24">
        <v>0</v>
      </c>
      <c r="X1695" s="24">
        <f>U1695-W1695</f>
        <v>0</v>
      </c>
      <c r="Y1695" s="53" t="str">
        <f>IF(U1695&lt;&gt;0,X1695/U1695,"")</f>
        <v/>
      </c>
      <c r="Z1695" s="23">
        <v>620.92999999999995</v>
      </c>
      <c r="AA1695" s="25">
        <v>288</v>
      </c>
      <c r="AB1695" s="24">
        <v>345.7</v>
      </c>
      <c r="AC1695" s="24">
        <f t="shared" si="503"/>
        <v>275.22999999999996</v>
      </c>
      <c r="AD1695" s="53">
        <f t="shared" si="504"/>
        <v>0.44325447312901611</v>
      </c>
      <c r="AE1695" s="10"/>
    </row>
    <row r="1696" spans="1:31" x14ac:dyDescent="0.25">
      <c r="A1696" s="14" t="s">
        <v>109</v>
      </c>
      <c r="C1696" s="61" t="str">
        <f t="shared" si="502"/>
        <v>C100101</v>
      </c>
      <c r="F1696" s="8" t="str">
        <f>"C100066"</f>
        <v>C100066</v>
      </c>
      <c r="G1696" s="9" t="str">
        <f>"Fashion Travel Mug"</f>
        <v>Fashion Travel Mug</v>
      </c>
      <c r="H1696" s="47"/>
      <c r="I1696" s="47"/>
      <c r="J1696" s="23">
        <v>0</v>
      </c>
      <c r="K1696" s="25">
        <v>0</v>
      </c>
      <c r="L1696" s="24">
        <v>0</v>
      </c>
      <c r="M1696" s="24">
        <f>J1696-L1696</f>
        <v>0</v>
      </c>
      <c r="N1696" s="53" t="str">
        <f>IF(J1696&lt;&gt;0,M1696/J1696,"")</f>
        <v/>
      </c>
      <c r="O1696" s="23">
        <v>508.03000000000003</v>
      </c>
      <c r="P1696" s="25">
        <v>144</v>
      </c>
      <c r="Q1696" s="24">
        <v>237.63000000000002</v>
      </c>
      <c r="R1696" s="24">
        <f>O1696-Q1696</f>
        <v>270.39999999999998</v>
      </c>
      <c r="S1696" s="53">
        <f>IF(O1696&lt;&gt;0,R1696/O1696,"")</f>
        <v>0.53225203236029361</v>
      </c>
      <c r="T1696" s="10"/>
      <c r="U1696" s="23">
        <v>0</v>
      </c>
      <c r="V1696" s="25">
        <v>0</v>
      </c>
      <c r="W1696" s="24">
        <v>0</v>
      </c>
      <c r="X1696" s="24">
        <f>U1696-W1696</f>
        <v>0</v>
      </c>
      <c r="Y1696" s="53" t="str">
        <f>IF(U1696&lt;&gt;0,X1696/U1696,"")</f>
        <v/>
      </c>
      <c r="Z1696" s="23">
        <v>0</v>
      </c>
      <c r="AA1696" s="25">
        <v>0</v>
      </c>
      <c r="AB1696" s="24">
        <v>0</v>
      </c>
      <c r="AC1696" s="24">
        <f t="shared" si="503"/>
        <v>0</v>
      </c>
      <c r="AD1696" s="53" t="str">
        <f t="shared" si="504"/>
        <v/>
      </c>
      <c r="AE1696" s="10"/>
    </row>
    <row r="1697" spans="1:31" x14ac:dyDescent="0.25">
      <c r="A1697" s="14" t="s">
        <v>109</v>
      </c>
      <c r="C1697" s="61" t="str">
        <f t="shared" si="502"/>
        <v>C100101</v>
      </c>
      <c r="F1697" s="8" t="str">
        <f>"E100001"</f>
        <v>E100001</v>
      </c>
      <c r="G1697" s="9" t="str">
        <f>"Sport Bag"</f>
        <v>Sport Bag</v>
      </c>
      <c r="H1697" s="47"/>
      <c r="I1697" s="47"/>
      <c r="J1697" s="23">
        <v>0</v>
      </c>
      <c r="K1697" s="25">
        <v>0</v>
      </c>
      <c r="L1697" s="24">
        <v>0</v>
      </c>
      <c r="M1697" s="24">
        <f>J1697-L1697</f>
        <v>0</v>
      </c>
      <c r="N1697" s="53" t="str">
        <f>IF(J1697&lt;&gt;0,M1697/J1697,"")</f>
        <v/>
      </c>
      <c r="O1697" s="23">
        <v>1.77</v>
      </c>
      <c r="P1697" s="25">
        <v>1</v>
      </c>
      <c r="Q1697" s="24">
        <v>0.87</v>
      </c>
      <c r="R1697" s="24">
        <f>O1697-Q1697</f>
        <v>0.9</v>
      </c>
      <c r="S1697" s="53">
        <f>IF(O1697&lt;&gt;0,R1697/O1697,"")</f>
        <v>0.50847457627118642</v>
      </c>
      <c r="T1697" s="10"/>
      <c r="U1697" s="23">
        <v>0</v>
      </c>
      <c r="V1697" s="25">
        <v>0</v>
      </c>
      <c r="W1697" s="24">
        <v>0</v>
      </c>
      <c r="X1697" s="24">
        <f>U1697-W1697</f>
        <v>0</v>
      </c>
      <c r="Y1697" s="53" t="str">
        <f>IF(U1697&lt;&gt;0,X1697/U1697,"")</f>
        <v/>
      </c>
      <c r="Z1697" s="23">
        <v>0</v>
      </c>
      <c r="AA1697" s="25">
        <v>0</v>
      </c>
      <c r="AB1697" s="24">
        <v>0</v>
      </c>
      <c r="AC1697" s="24">
        <f t="shared" si="503"/>
        <v>0</v>
      </c>
      <c r="AD1697" s="53" t="str">
        <f t="shared" si="504"/>
        <v/>
      </c>
      <c r="AE1697" s="10"/>
    </row>
    <row r="1698" spans="1:31" x14ac:dyDescent="0.25">
      <c r="A1698" s="14" t="s">
        <v>109</v>
      </c>
      <c r="C1698" s="61" t="str">
        <f t="shared" si="502"/>
        <v>C100101</v>
      </c>
      <c r="F1698" s="8" t="str">
        <f>"E100004"</f>
        <v>E100004</v>
      </c>
      <c r="G1698" s="9" t="str">
        <f>"Laminated Tote"</f>
        <v>Laminated Tote</v>
      </c>
      <c r="H1698" s="47"/>
      <c r="I1698" s="47"/>
      <c r="J1698" s="23">
        <v>0</v>
      </c>
      <c r="K1698" s="25">
        <v>0</v>
      </c>
      <c r="L1698" s="24">
        <v>0</v>
      </c>
      <c r="M1698" s="24">
        <f>J1698-L1698</f>
        <v>0</v>
      </c>
      <c r="N1698" s="53" t="str">
        <f>IF(J1698&lt;&gt;0,M1698/J1698,"")</f>
        <v/>
      </c>
      <c r="O1698" s="23">
        <v>265.31</v>
      </c>
      <c r="P1698" s="25">
        <v>144</v>
      </c>
      <c r="Q1698" s="24">
        <v>172.8</v>
      </c>
      <c r="R1698" s="24">
        <f>O1698-Q1698</f>
        <v>92.509999999999991</v>
      </c>
      <c r="S1698" s="53">
        <f>IF(O1698&lt;&gt;0,R1698/O1698,"")</f>
        <v>0.34868644227507439</v>
      </c>
      <c r="T1698" s="10"/>
      <c r="U1698" s="23">
        <v>0</v>
      </c>
      <c r="V1698" s="25">
        <v>0</v>
      </c>
      <c r="W1698" s="24">
        <v>0</v>
      </c>
      <c r="X1698" s="24">
        <f>U1698-W1698</f>
        <v>0</v>
      </c>
      <c r="Y1698" s="53" t="str">
        <f>IF(U1698&lt;&gt;0,X1698/U1698,"")</f>
        <v/>
      </c>
      <c r="Z1698" s="23">
        <v>0</v>
      </c>
      <c r="AA1698" s="25">
        <v>0</v>
      </c>
      <c r="AB1698" s="24">
        <v>0</v>
      </c>
      <c r="AC1698" s="24">
        <f t="shared" si="503"/>
        <v>0</v>
      </c>
      <c r="AD1698" s="53" t="str">
        <f t="shared" si="504"/>
        <v/>
      </c>
      <c r="AE1698" s="10"/>
    </row>
    <row r="1699" spans="1:31" x14ac:dyDescent="0.25">
      <c r="A1699" s="14" t="s">
        <v>109</v>
      </c>
      <c r="C1699" s="61" t="str">
        <f t="shared" si="502"/>
        <v>C100101</v>
      </c>
      <c r="F1699" s="8" t="str">
        <f>"E100005"</f>
        <v>E100005</v>
      </c>
      <c r="G1699" s="9" t="str">
        <f>"All Purpose Tote"</f>
        <v>All Purpose Tote</v>
      </c>
      <c r="H1699" s="47"/>
      <c r="I1699" s="47"/>
      <c r="J1699" s="23">
        <v>0</v>
      </c>
      <c r="K1699" s="25">
        <v>0</v>
      </c>
      <c r="L1699" s="24">
        <v>0</v>
      </c>
      <c r="M1699" s="24">
        <f>J1699-L1699</f>
        <v>0</v>
      </c>
      <c r="N1699" s="53" t="str">
        <f>IF(J1699&lt;&gt;0,M1699/J1699,"")</f>
        <v/>
      </c>
      <c r="O1699" s="23">
        <v>364.09</v>
      </c>
      <c r="P1699" s="25">
        <v>144</v>
      </c>
      <c r="Q1699" s="24">
        <v>178.56</v>
      </c>
      <c r="R1699" s="24">
        <f>O1699-Q1699</f>
        <v>185.52999999999997</v>
      </c>
      <c r="S1699" s="53">
        <f>IF(O1699&lt;&gt;0,R1699/O1699,"")</f>
        <v>0.50957180916806277</v>
      </c>
      <c r="T1699" s="10"/>
      <c r="U1699" s="23">
        <v>0</v>
      </c>
      <c r="V1699" s="25">
        <v>0</v>
      </c>
      <c r="W1699" s="24">
        <v>0</v>
      </c>
      <c r="X1699" s="24">
        <f>U1699-W1699</f>
        <v>0</v>
      </c>
      <c r="Y1699" s="53" t="str">
        <f>IF(U1699&lt;&gt;0,X1699/U1699,"")</f>
        <v/>
      </c>
      <c r="Z1699" s="23">
        <v>0</v>
      </c>
      <c r="AA1699" s="25">
        <v>0</v>
      </c>
      <c r="AB1699" s="24">
        <v>0</v>
      </c>
      <c r="AC1699" s="24">
        <f t="shared" si="503"/>
        <v>0</v>
      </c>
      <c r="AD1699" s="53" t="str">
        <f t="shared" si="504"/>
        <v/>
      </c>
      <c r="AE1699" s="10"/>
    </row>
    <row r="1700" spans="1:31" x14ac:dyDescent="0.25">
      <c r="A1700" s="14" t="s">
        <v>109</v>
      </c>
      <c r="C1700" s="61" t="str">
        <f t="shared" si="502"/>
        <v>C100101</v>
      </c>
      <c r="F1700" s="8" t="str">
        <f>"E100006"</f>
        <v>E100006</v>
      </c>
      <c r="G1700" s="9" t="str">
        <f>"Budget Tote Bag"</f>
        <v>Budget Tote Bag</v>
      </c>
      <c r="H1700" s="47"/>
      <c r="I1700" s="47"/>
      <c r="J1700" s="23">
        <v>0</v>
      </c>
      <c r="K1700" s="25">
        <v>0</v>
      </c>
      <c r="L1700" s="24">
        <v>0</v>
      </c>
      <c r="M1700" s="24">
        <f>J1700-L1700</f>
        <v>0</v>
      </c>
      <c r="N1700" s="53" t="str">
        <f>IF(J1700&lt;&gt;0,M1700/J1700,"")</f>
        <v/>
      </c>
      <c r="O1700" s="23">
        <v>1.68</v>
      </c>
      <c r="P1700" s="25">
        <v>19</v>
      </c>
      <c r="Q1700" s="24">
        <v>0.76</v>
      </c>
      <c r="R1700" s="24">
        <f>O1700-Q1700</f>
        <v>0.91999999999999993</v>
      </c>
      <c r="S1700" s="53">
        <f>IF(O1700&lt;&gt;0,R1700/O1700,"")</f>
        <v>0.54761904761904756</v>
      </c>
      <c r="T1700" s="10"/>
      <c r="U1700" s="23">
        <v>0</v>
      </c>
      <c r="V1700" s="25">
        <v>0</v>
      </c>
      <c r="W1700" s="24">
        <v>0</v>
      </c>
      <c r="X1700" s="24">
        <f>U1700-W1700</f>
        <v>0</v>
      </c>
      <c r="Y1700" s="53" t="str">
        <f>IF(U1700&lt;&gt;0,X1700/U1700,"")</f>
        <v/>
      </c>
      <c r="Z1700" s="23">
        <v>0</v>
      </c>
      <c r="AA1700" s="25">
        <v>0</v>
      </c>
      <c r="AB1700" s="24">
        <v>0</v>
      </c>
      <c r="AC1700" s="24">
        <f t="shared" si="503"/>
        <v>0</v>
      </c>
      <c r="AD1700" s="53" t="str">
        <f t="shared" si="504"/>
        <v/>
      </c>
      <c r="AE1700" s="10"/>
    </row>
    <row r="1701" spans="1:31" x14ac:dyDescent="0.25">
      <c r="A1701" s="14" t="s">
        <v>109</v>
      </c>
      <c r="C1701" s="61" t="str">
        <f t="shared" si="502"/>
        <v>C100101</v>
      </c>
      <c r="F1701" s="8" t="str">
        <f>"E100009"</f>
        <v>E100009</v>
      </c>
      <c r="G1701" s="9" t="str">
        <f>"Die-Cut Tote"</f>
        <v>Die-Cut Tote</v>
      </c>
      <c r="H1701" s="47"/>
      <c r="I1701" s="47"/>
      <c r="J1701" s="23">
        <v>0</v>
      </c>
      <c r="K1701" s="25">
        <v>0</v>
      </c>
      <c r="L1701" s="24">
        <v>0</v>
      </c>
      <c r="M1701" s="24">
        <f>J1701-L1701</f>
        <v>0</v>
      </c>
      <c r="N1701" s="53" t="str">
        <f>IF(J1701&lt;&gt;0,M1701/J1701,"")</f>
        <v/>
      </c>
      <c r="O1701" s="23">
        <v>11.05</v>
      </c>
      <c r="P1701" s="25">
        <v>49</v>
      </c>
      <c r="Q1701" s="24">
        <v>5.39</v>
      </c>
      <c r="R1701" s="24">
        <f>O1701-Q1701</f>
        <v>5.660000000000001</v>
      </c>
      <c r="S1701" s="53">
        <f>IF(O1701&lt;&gt;0,R1701/O1701,"")</f>
        <v>0.51221719457013581</v>
      </c>
      <c r="T1701" s="10"/>
      <c r="U1701" s="23">
        <v>0</v>
      </c>
      <c r="V1701" s="25">
        <v>0</v>
      </c>
      <c r="W1701" s="24">
        <v>0</v>
      </c>
      <c r="X1701" s="24">
        <f>U1701-W1701</f>
        <v>0</v>
      </c>
      <c r="Y1701" s="53" t="str">
        <f>IF(U1701&lt;&gt;0,X1701/U1701,"")</f>
        <v/>
      </c>
      <c r="Z1701" s="23">
        <v>32.46</v>
      </c>
      <c r="AA1701" s="25">
        <v>144</v>
      </c>
      <c r="AB1701" s="24">
        <v>15.85</v>
      </c>
      <c r="AC1701" s="24">
        <f t="shared" si="503"/>
        <v>16.61</v>
      </c>
      <c r="AD1701" s="53">
        <f t="shared" si="504"/>
        <v>0.51170671595810224</v>
      </c>
      <c r="AE1701" s="10"/>
    </row>
    <row r="1702" spans="1:31" x14ac:dyDescent="0.25">
      <c r="A1702" s="14" t="s">
        <v>109</v>
      </c>
      <c r="C1702" s="61" t="str">
        <f t="shared" si="502"/>
        <v>C100101</v>
      </c>
      <c r="F1702" s="8" t="str">
        <f>"E100013"</f>
        <v>E100013</v>
      </c>
      <c r="G1702" s="9" t="str">
        <f>"Clip-on Stopwatch"</f>
        <v>Clip-on Stopwatch</v>
      </c>
      <c r="H1702" s="47"/>
      <c r="I1702" s="47"/>
      <c r="J1702" s="23">
        <v>0</v>
      </c>
      <c r="K1702" s="25">
        <v>0</v>
      </c>
      <c r="L1702" s="24">
        <v>0</v>
      </c>
      <c r="M1702" s="24">
        <f>J1702-L1702</f>
        <v>0</v>
      </c>
      <c r="N1702" s="53" t="str">
        <f>IF(J1702&lt;&gt;0,M1702/J1702,"")</f>
        <v/>
      </c>
      <c r="O1702" s="23">
        <v>389.49</v>
      </c>
      <c r="P1702" s="25">
        <v>144</v>
      </c>
      <c r="Q1702" s="24">
        <v>207.35</v>
      </c>
      <c r="R1702" s="24">
        <f>O1702-Q1702</f>
        <v>182.14000000000001</v>
      </c>
      <c r="S1702" s="53">
        <f>IF(O1702&lt;&gt;0,R1702/O1702,"")</f>
        <v>0.46763716655113097</v>
      </c>
      <c r="T1702" s="10"/>
      <c r="U1702" s="23">
        <v>0</v>
      </c>
      <c r="V1702" s="25">
        <v>0</v>
      </c>
      <c r="W1702" s="24">
        <v>0</v>
      </c>
      <c r="X1702" s="24">
        <f>U1702-W1702</f>
        <v>0</v>
      </c>
      <c r="Y1702" s="53" t="str">
        <f>IF(U1702&lt;&gt;0,X1702/U1702,"")</f>
        <v/>
      </c>
      <c r="Z1702" s="23">
        <v>0</v>
      </c>
      <c r="AA1702" s="25">
        <v>0</v>
      </c>
      <c r="AB1702" s="24">
        <v>0</v>
      </c>
      <c r="AC1702" s="24">
        <f t="shared" si="503"/>
        <v>0</v>
      </c>
      <c r="AD1702" s="53" t="str">
        <f t="shared" si="504"/>
        <v/>
      </c>
      <c r="AE1702" s="10"/>
    </row>
    <row r="1703" spans="1:31" x14ac:dyDescent="0.25">
      <c r="A1703" s="14" t="s">
        <v>109</v>
      </c>
      <c r="C1703" s="61" t="str">
        <f t="shared" si="502"/>
        <v>C100101</v>
      </c>
      <c r="F1703" s="8" t="str">
        <f>"E100016"</f>
        <v>E100016</v>
      </c>
      <c r="G1703" s="9" t="str">
        <f>"4 Function Rotating Carabiner Watch"</f>
        <v>4 Function Rotating Carabiner Watch</v>
      </c>
      <c r="H1703" s="47"/>
      <c r="I1703" s="47"/>
      <c r="J1703" s="23">
        <v>0</v>
      </c>
      <c r="K1703" s="25">
        <v>0</v>
      </c>
      <c r="L1703" s="24">
        <v>0</v>
      </c>
      <c r="M1703" s="24">
        <f>J1703-L1703</f>
        <v>0</v>
      </c>
      <c r="N1703" s="53" t="str">
        <f>IF(J1703&lt;&gt;0,M1703/J1703,"")</f>
        <v/>
      </c>
      <c r="O1703" s="23">
        <v>429.00000000000006</v>
      </c>
      <c r="P1703" s="25">
        <v>144</v>
      </c>
      <c r="Q1703" s="24">
        <v>198.73000000000002</v>
      </c>
      <c r="R1703" s="24">
        <f>O1703-Q1703</f>
        <v>230.27000000000004</v>
      </c>
      <c r="S1703" s="53">
        <f>IF(O1703&lt;&gt;0,R1703/O1703,"")</f>
        <v>0.53675990675990681</v>
      </c>
      <c r="T1703" s="10"/>
      <c r="U1703" s="23">
        <v>0</v>
      </c>
      <c r="V1703" s="25">
        <v>0</v>
      </c>
      <c r="W1703" s="24">
        <v>0</v>
      </c>
      <c r="X1703" s="24">
        <f>U1703-W1703</f>
        <v>0</v>
      </c>
      <c r="Y1703" s="53" t="str">
        <f>IF(U1703&lt;&gt;0,X1703/U1703,"")</f>
        <v/>
      </c>
      <c r="Z1703" s="23">
        <v>0</v>
      </c>
      <c r="AA1703" s="25">
        <v>0</v>
      </c>
      <c r="AB1703" s="24">
        <v>0</v>
      </c>
      <c r="AC1703" s="24">
        <f t="shared" si="503"/>
        <v>0</v>
      </c>
      <c r="AD1703" s="53" t="str">
        <f t="shared" si="504"/>
        <v/>
      </c>
      <c r="AE1703" s="10"/>
    </row>
    <row r="1704" spans="1:31" x14ac:dyDescent="0.25">
      <c r="A1704" s="14" t="s">
        <v>109</v>
      </c>
      <c r="C1704" s="61" t="str">
        <f t="shared" si="502"/>
        <v>C100101</v>
      </c>
      <c r="F1704" s="8" t="str">
        <f>"E100017"</f>
        <v>E100017</v>
      </c>
      <c r="G1704" s="9" t="str">
        <f>"Clip-on Clock with Compass"</f>
        <v>Clip-on Clock with Compass</v>
      </c>
      <c r="H1704" s="47"/>
      <c r="I1704" s="47"/>
      <c r="J1704" s="23">
        <v>0</v>
      </c>
      <c r="K1704" s="25">
        <v>0</v>
      </c>
      <c r="L1704" s="24">
        <v>0</v>
      </c>
      <c r="M1704" s="24">
        <f>J1704-L1704</f>
        <v>0</v>
      </c>
      <c r="N1704" s="53" t="str">
        <f>IF(J1704&lt;&gt;0,M1704/J1704,"")</f>
        <v/>
      </c>
      <c r="O1704" s="23">
        <v>220.14999999999998</v>
      </c>
      <c r="P1704" s="25">
        <v>144</v>
      </c>
      <c r="Q1704" s="24">
        <v>126.72</v>
      </c>
      <c r="R1704" s="24">
        <f>O1704-Q1704</f>
        <v>93.429999999999978</v>
      </c>
      <c r="S1704" s="53">
        <f>IF(O1704&lt;&gt;0,R1704/O1704,"")</f>
        <v>0.42439245968657729</v>
      </c>
      <c r="T1704" s="10"/>
      <c r="U1704" s="23">
        <v>0</v>
      </c>
      <c r="V1704" s="25">
        <v>0</v>
      </c>
      <c r="W1704" s="24">
        <v>0</v>
      </c>
      <c r="X1704" s="24">
        <f>U1704-W1704</f>
        <v>0</v>
      </c>
      <c r="Y1704" s="53" t="str">
        <f>IF(U1704&lt;&gt;0,X1704/U1704,"")</f>
        <v/>
      </c>
      <c r="Z1704" s="23">
        <v>0</v>
      </c>
      <c r="AA1704" s="25">
        <v>0</v>
      </c>
      <c r="AB1704" s="24">
        <v>0</v>
      </c>
      <c r="AC1704" s="24">
        <f t="shared" si="503"/>
        <v>0</v>
      </c>
      <c r="AD1704" s="53" t="str">
        <f t="shared" si="504"/>
        <v/>
      </c>
      <c r="AE1704" s="10"/>
    </row>
    <row r="1705" spans="1:31" x14ac:dyDescent="0.25">
      <c r="A1705" s="14" t="s">
        <v>109</v>
      </c>
      <c r="C1705" s="61" t="str">
        <f t="shared" si="502"/>
        <v>C100101</v>
      </c>
      <c r="F1705" s="8" t="str">
        <f>"E100018"</f>
        <v>E100018</v>
      </c>
      <c r="G1705" s="9" t="str">
        <f>"Flexi-Clock &amp; Clip"</f>
        <v>Flexi-Clock &amp; Clip</v>
      </c>
      <c r="H1705" s="47"/>
      <c r="I1705" s="47"/>
      <c r="J1705" s="23">
        <v>0</v>
      </c>
      <c r="K1705" s="25">
        <v>0</v>
      </c>
      <c r="L1705" s="24">
        <v>0</v>
      </c>
      <c r="M1705" s="24">
        <f>J1705-L1705</f>
        <v>0</v>
      </c>
      <c r="N1705" s="53" t="str">
        <f>IF(J1705&lt;&gt;0,M1705/J1705,"")</f>
        <v/>
      </c>
      <c r="O1705" s="23">
        <v>212.63</v>
      </c>
      <c r="P1705" s="25">
        <v>192</v>
      </c>
      <c r="Q1705" s="24">
        <v>115.19</v>
      </c>
      <c r="R1705" s="24">
        <f>O1705-Q1705</f>
        <v>97.44</v>
      </c>
      <c r="S1705" s="53">
        <f>IF(O1705&lt;&gt;0,R1705/O1705,"")</f>
        <v>0.45826082866951984</v>
      </c>
      <c r="T1705" s="10"/>
      <c r="U1705" s="23">
        <v>0</v>
      </c>
      <c r="V1705" s="25">
        <v>0</v>
      </c>
      <c r="W1705" s="24">
        <v>0</v>
      </c>
      <c r="X1705" s="24">
        <f>U1705-W1705</f>
        <v>0</v>
      </c>
      <c r="Y1705" s="53" t="str">
        <f>IF(U1705&lt;&gt;0,X1705/U1705,"")</f>
        <v/>
      </c>
      <c r="Z1705" s="23">
        <v>0</v>
      </c>
      <c r="AA1705" s="25">
        <v>0</v>
      </c>
      <c r="AB1705" s="24">
        <v>0</v>
      </c>
      <c r="AC1705" s="24">
        <f t="shared" si="503"/>
        <v>0</v>
      </c>
      <c r="AD1705" s="53" t="str">
        <f t="shared" si="504"/>
        <v/>
      </c>
      <c r="AE1705" s="10"/>
    </row>
    <row r="1706" spans="1:31" x14ac:dyDescent="0.25">
      <c r="A1706" s="14" t="s">
        <v>109</v>
      </c>
      <c r="C1706" s="61" t="str">
        <f t="shared" si="502"/>
        <v>C100101</v>
      </c>
      <c r="F1706" s="8" t="str">
        <f>"E100019"</f>
        <v>E100019</v>
      </c>
      <c r="G1706" s="9" t="str">
        <f>"Mini Travel Alarm"</f>
        <v>Mini Travel Alarm</v>
      </c>
      <c r="H1706" s="47"/>
      <c r="I1706" s="47"/>
      <c r="J1706" s="23">
        <v>0</v>
      </c>
      <c r="K1706" s="25">
        <v>0</v>
      </c>
      <c r="L1706" s="24">
        <v>0</v>
      </c>
      <c r="M1706" s="24">
        <f>J1706-L1706</f>
        <v>0</v>
      </c>
      <c r="N1706" s="53" t="str">
        <f>IF(J1706&lt;&gt;0,M1706/J1706,"")</f>
        <v/>
      </c>
      <c r="O1706" s="23">
        <v>478.4</v>
      </c>
      <c r="P1706" s="25">
        <v>144</v>
      </c>
      <c r="Q1706" s="24">
        <v>233.26999999999998</v>
      </c>
      <c r="R1706" s="24">
        <f>O1706-Q1706</f>
        <v>245.13</v>
      </c>
      <c r="S1706" s="53">
        <f>IF(O1706&lt;&gt;0,R1706/O1706,"")</f>
        <v>0.51239548494983278</v>
      </c>
      <c r="T1706" s="10"/>
      <c r="U1706" s="23">
        <v>0</v>
      </c>
      <c r="V1706" s="25">
        <v>0</v>
      </c>
      <c r="W1706" s="24">
        <v>0</v>
      </c>
      <c r="X1706" s="24">
        <f>U1706-W1706</f>
        <v>0</v>
      </c>
      <c r="Y1706" s="53" t="str">
        <f>IF(U1706&lt;&gt;0,X1706/U1706,"")</f>
        <v/>
      </c>
      <c r="Z1706" s="23">
        <v>956.79000000000008</v>
      </c>
      <c r="AA1706" s="25">
        <v>288</v>
      </c>
      <c r="AB1706" s="24">
        <v>466.53999999999996</v>
      </c>
      <c r="AC1706" s="24">
        <f t="shared" si="503"/>
        <v>490.25000000000011</v>
      </c>
      <c r="AD1706" s="53">
        <f t="shared" si="504"/>
        <v>0.5123903886955341</v>
      </c>
      <c r="AE1706" s="10"/>
    </row>
    <row r="1707" spans="1:31" x14ac:dyDescent="0.25">
      <c r="A1707" s="14" t="s">
        <v>109</v>
      </c>
      <c r="C1707" s="61" t="str">
        <f t="shared" si="502"/>
        <v>C100101</v>
      </c>
      <c r="F1707" s="8" t="str">
        <f>"E100023"</f>
        <v>E100023</v>
      </c>
      <c r="G1707" s="9" t="str">
        <f>"Sport Earbuds"</f>
        <v>Sport Earbuds</v>
      </c>
      <c r="H1707" s="47"/>
      <c r="I1707" s="47"/>
      <c r="J1707" s="23">
        <v>0</v>
      </c>
      <c r="K1707" s="25">
        <v>0</v>
      </c>
      <c r="L1707" s="24">
        <v>0</v>
      </c>
      <c r="M1707" s="24">
        <f>J1707-L1707</f>
        <v>0</v>
      </c>
      <c r="N1707" s="53" t="str">
        <f>IF(J1707&lt;&gt;0,M1707/J1707,"")</f>
        <v/>
      </c>
      <c r="O1707" s="23">
        <v>637.86</v>
      </c>
      <c r="P1707" s="25">
        <v>144</v>
      </c>
      <c r="Q1707" s="24">
        <v>302.39999999999998</v>
      </c>
      <c r="R1707" s="24">
        <f>O1707-Q1707</f>
        <v>335.46000000000004</v>
      </c>
      <c r="S1707" s="53">
        <f>IF(O1707&lt;&gt;0,R1707/O1707,"")</f>
        <v>0.52591477753739069</v>
      </c>
      <c r="T1707" s="10"/>
      <c r="U1707" s="23">
        <v>0</v>
      </c>
      <c r="V1707" s="25">
        <v>0</v>
      </c>
      <c r="W1707" s="24">
        <v>0</v>
      </c>
      <c r="X1707" s="24">
        <f>U1707-W1707</f>
        <v>0</v>
      </c>
      <c r="Y1707" s="53" t="str">
        <f>IF(U1707&lt;&gt;0,X1707/U1707,"")</f>
        <v/>
      </c>
      <c r="Z1707" s="23">
        <v>0</v>
      </c>
      <c r="AA1707" s="25">
        <v>0</v>
      </c>
      <c r="AB1707" s="24">
        <v>0</v>
      </c>
      <c r="AC1707" s="24">
        <f t="shared" si="503"/>
        <v>0</v>
      </c>
      <c r="AD1707" s="53" t="str">
        <f t="shared" si="504"/>
        <v/>
      </c>
      <c r="AE1707" s="10"/>
    </row>
    <row r="1708" spans="1:31" x14ac:dyDescent="0.25">
      <c r="A1708" s="14" t="s">
        <v>109</v>
      </c>
      <c r="C1708" s="61" t="str">
        <f t="shared" si="502"/>
        <v>C100101</v>
      </c>
      <c r="F1708" s="8" t="str">
        <f>"E100028"</f>
        <v>E100028</v>
      </c>
      <c r="G1708" s="9" t="str">
        <f>"USB 4-Port Hub"</f>
        <v>USB 4-Port Hub</v>
      </c>
      <c r="H1708" s="47"/>
      <c r="I1708" s="47"/>
      <c r="J1708" s="23">
        <v>0</v>
      </c>
      <c r="K1708" s="25">
        <v>0</v>
      </c>
      <c r="L1708" s="24">
        <v>0</v>
      </c>
      <c r="M1708" s="24">
        <f>J1708-L1708</f>
        <v>0</v>
      </c>
      <c r="N1708" s="53" t="str">
        <f>IF(J1708&lt;&gt;0,M1708/J1708,"")</f>
        <v/>
      </c>
      <c r="O1708" s="23">
        <v>406.42999999999995</v>
      </c>
      <c r="P1708" s="25">
        <v>144</v>
      </c>
      <c r="Q1708" s="24">
        <v>267.91000000000003</v>
      </c>
      <c r="R1708" s="24">
        <f>O1708-Q1708</f>
        <v>138.51999999999992</v>
      </c>
      <c r="S1708" s="53">
        <f>IF(O1708&lt;&gt;0,R1708/O1708,"")</f>
        <v>0.34082129764042995</v>
      </c>
      <c r="T1708" s="10"/>
      <c r="U1708" s="23">
        <v>0</v>
      </c>
      <c r="V1708" s="25">
        <v>0</v>
      </c>
      <c r="W1708" s="24">
        <v>0</v>
      </c>
      <c r="X1708" s="24">
        <f>U1708-W1708</f>
        <v>0</v>
      </c>
      <c r="Y1708" s="53" t="str">
        <f>IF(U1708&lt;&gt;0,X1708/U1708,"")</f>
        <v/>
      </c>
      <c r="Z1708" s="23">
        <v>406.42999999999995</v>
      </c>
      <c r="AA1708" s="25">
        <v>144</v>
      </c>
      <c r="AB1708" s="24">
        <v>267.91000000000003</v>
      </c>
      <c r="AC1708" s="24">
        <f t="shared" si="503"/>
        <v>138.51999999999992</v>
      </c>
      <c r="AD1708" s="53">
        <f t="shared" si="504"/>
        <v>0.34082129764042995</v>
      </c>
      <c r="AE1708" s="10"/>
    </row>
    <row r="1709" spans="1:31" x14ac:dyDescent="0.25">
      <c r="A1709" s="14" t="s">
        <v>109</v>
      </c>
      <c r="C1709" s="61" t="str">
        <f t="shared" si="502"/>
        <v>C100101</v>
      </c>
      <c r="F1709" s="8" t="str">
        <f>"E100029"</f>
        <v>E100029</v>
      </c>
      <c r="G1709" s="9" t="str">
        <f>"LED Flex Light"</f>
        <v>LED Flex Light</v>
      </c>
      <c r="H1709" s="47"/>
      <c r="I1709" s="47"/>
      <c r="J1709" s="23">
        <v>0</v>
      </c>
      <c r="K1709" s="25">
        <v>0</v>
      </c>
      <c r="L1709" s="24">
        <v>0</v>
      </c>
      <c r="M1709" s="24">
        <f>J1709-L1709</f>
        <v>0</v>
      </c>
      <c r="N1709" s="53" t="str">
        <f>IF(J1709&lt;&gt;0,M1709/J1709,"")</f>
        <v/>
      </c>
      <c r="O1709" s="23">
        <v>407.84</v>
      </c>
      <c r="P1709" s="25">
        <v>144</v>
      </c>
      <c r="Q1709" s="24">
        <v>241.84000000000003</v>
      </c>
      <c r="R1709" s="24">
        <f>O1709-Q1709</f>
        <v>165.99999999999994</v>
      </c>
      <c r="S1709" s="53">
        <f>IF(O1709&lt;&gt;0,R1709/O1709,"")</f>
        <v>0.40702236171047457</v>
      </c>
      <c r="T1709" s="10"/>
      <c r="U1709" s="23">
        <v>0</v>
      </c>
      <c r="V1709" s="25">
        <v>0</v>
      </c>
      <c r="W1709" s="24">
        <v>0</v>
      </c>
      <c r="X1709" s="24">
        <f>U1709-W1709</f>
        <v>0</v>
      </c>
      <c r="Y1709" s="53" t="str">
        <f>IF(U1709&lt;&gt;0,X1709/U1709,"")</f>
        <v/>
      </c>
      <c r="Z1709" s="23">
        <v>0</v>
      </c>
      <c r="AA1709" s="25">
        <v>0</v>
      </c>
      <c r="AB1709" s="24">
        <v>0</v>
      </c>
      <c r="AC1709" s="24">
        <f t="shared" si="503"/>
        <v>0</v>
      </c>
      <c r="AD1709" s="53" t="str">
        <f t="shared" si="504"/>
        <v/>
      </c>
      <c r="AE1709" s="10"/>
    </row>
    <row r="1710" spans="1:31" x14ac:dyDescent="0.25">
      <c r="A1710" s="14" t="s">
        <v>109</v>
      </c>
      <c r="C1710" s="61" t="str">
        <f t="shared" si="502"/>
        <v>C100101</v>
      </c>
      <c r="F1710" s="8" t="str">
        <f>"E100030"</f>
        <v>E100030</v>
      </c>
      <c r="G1710" s="9" t="str">
        <f>"LED Keychain"</f>
        <v>LED Keychain</v>
      </c>
      <c r="H1710" s="47"/>
      <c r="I1710" s="47"/>
      <c r="J1710" s="23">
        <v>0</v>
      </c>
      <c r="K1710" s="25">
        <v>0</v>
      </c>
      <c r="L1710" s="24">
        <v>0</v>
      </c>
      <c r="M1710" s="24">
        <f>J1710-L1710</f>
        <v>0</v>
      </c>
      <c r="N1710" s="53" t="str">
        <f>IF(J1710&lt;&gt;0,M1710/J1710,"")</f>
        <v/>
      </c>
      <c r="O1710" s="23">
        <v>136.88999999999999</v>
      </c>
      <c r="P1710" s="25">
        <v>144</v>
      </c>
      <c r="Q1710" s="24">
        <v>72.05</v>
      </c>
      <c r="R1710" s="24">
        <f>O1710-Q1710</f>
        <v>64.839999999999989</v>
      </c>
      <c r="S1710" s="53">
        <f>IF(O1710&lt;&gt;0,R1710/O1710,"")</f>
        <v>0.47366498648549926</v>
      </c>
      <c r="T1710" s="10"/>
      <c r="U1710" s="23">
        <v>0</v>
      </c>
      <c r="V1710" s="25">
        <v>0</v>
      </c>
      <c r="W1710" s="24">
        <v>0</v>
      </c>
      <c r="X1710" s="24">
        <f>U1710-W1710</f>
        <v>0</v>
      </c>
      <c r="Y1710" s="53" t="str">
        <f>IF(U1710&lt;&gt;0,X1710/U1710,"")</f>
        <v/>
      </c>
      <c r="Z1710" s="23">
        <v>136.88999999999999</v>
      </c>
      <c r="AA1710" s="25">
        <v>144</v>
      </c>
      <c r="AB1710" s="24">
        <v>72.05</v>
      </c>
      <c r="AC1710" s="24">
        <f t="shared" si="503"/>
        <v>64.839999999999989</v>
      </c>
      <c r="AD1710" s="53">
        <f t="shared" si="504"/>
        <v>0.47366498648549926</v>
      </c>
      <c r="AE1710" s="10"/>
    </row>
    <row r="1711" spans="1:31" x14ac:dyDescent="0.25">
      <c r="A1711" s="14" t="s">
        <v>109</v>
      </c>
      <c r="C1711" s="61" t="str">
        <f t="shared" si="502"/>
        <v>C100101</v>
      </c>
      <c r="F1711" s="8" t="str">
        <f>"E100032"</f>
        <v>E100032</v>
      </c>
      <c r="G1711" s="9" t="str">
        <f>"Button Key-Light"</f>
        <v>Button Key-Light</v>
      </c>
      <c r="H1711" s="47"/>
      <c r="I1711" s="47"/>
      <c r="J1711" s="23">
        <v>0</v>
      </c>
      <c r="K1711" s="25">
        <v>0</v>
      </c>
      <c r="L1711" s="24">
        <v>0</v>
      </c>
      <c r="M1711" s="24">
        <f>J1711-L1711</f>
        <v>0</v>
      </c>
      <c r="N1711" s="53" t="str">
        <f>IF(J1711&lt;&gt;0,M1711/J1711,"")</f>
        <v/>
      </c>
      <c r="O1711" s="23">
        <v>12</v>
      </c>
      <c r="P1711" s="25">
        <v>24</v>
      </c>
      <c r="Q1711" s="24">
        <v>7.92</v>
      </c>
      <c r="R1711" s="24">
        <f>O1711-Q1711</f>
        <v>4.08</v>
      </c>
      <c r="S1711" s="53">
        <f>IF(O1711&lt;&gt;0,R1711/O1711,"")</f>
        <v>0.34</v>
      </c>
      <c r="T1711" s="10"/>
      <c r="U1711" s="23">
        <v>0</v>
      </c>
      <c r="V1711" s="25">
        <v>0</v>
      </c>
      <c r="W1711" s="24">
        <v>0</v>
      </c>
      <c r="X1711" s="24">
        <f>U1711-W1711</f>
        <v>0</v>
      </c>
      <c r="Y1711" s="53" t="str">
        <f>IF(U1711&lt;&gt;0,X1711/U1711,"")</f>
        <v/>
      </c>
      <c r="Z1711" s="23">
        <v>71.97</v>
      </c>
      <c r="AA1711" s="25">
        <v>144</v>
      </c>
      <c r="AB1711" s="24">
        <v>47.529999999999994</v>
      </c>
      <c r="AC1711" s="24">
        <f t="shared" si="503"/>
        <v>24.440000000000005</v>
      </c>
      <c r="AD1711" s="53">
        <f t="shared" si="504"/>
        <v>0.33958593858552183</v>
      </c>
      <c r="AE1711" s="10"/>
    </row>
    <row r="1712" spans="1:31" x14ac:dyDescent="0.25">
      <c r="A1712" s="14" t="s">
        <v>109</v>
      </c>
      <c r="C1712" s="61" t="str">
        <f t="shared" si="502"/>
        <v>C100101</v>
      </c>
      <c r="F1712" s="8" t="str">
        <f>"E100041"</f>
        <v>E100041</v>
      </c>
      <c r="G1712" s="9" t="str">
        <f>"Biodegradable Colored SPORT BOT"</f>
        <v>Biodegradable Colored SPORT BOT</v>
      </c>
      <c r="H1712" s="47"/>
      <c r="I1712" s="47"/>
      <c r="J1712" s="23">
        <v>0</v>
      </c>
      <c r="K1712" s="25">
        <v>0</v>
      </c>
      <c r="L1712" s="24">
        <v>0</v>
      </c>
      <c r="M1712" s="24">
        <f>J1712-L1712</f>
        <v>0</v>
      </c>
      <c r="N1712" s="53" t="str">
        <f>IF(J1712&lt;&gt;0,M1712/J1712,"")</f>
        <v/>
      </c>
      <c r="O1712" s="23">
        <v>97.36999999999999</v>
      </c>
      <c r="P1712" s="25">
        <v>144</v>
      </c>
      <c r="Q1712" s="24">
        <v>61.900000000000006</v>
      </c>
      <c r="R1712" s="24">
        <f>O1712-Q1712</f>
        <v>35.469999999999985</v>
      </c>
      <c r="S1712" s="53">
        <f>IF(O1712&lt;&gt;0,R1712/O1712,"")</f>
        <v>0.36428057923385015</v>
      </c>
      <c r="T1712" s="10"/>
      <c r="U1712" s="23">
        <v>0</v>
      </c>
      <c r="V1712" s="25">
        <v>0</v>
      </c>
      <c r="W1712" s="24">
        <v>0</v>
      </c>
      <c r="X1712" s="24">
        <f>U1712-W1712</f>
        <v>0</v>
      </c>
      <c r="Y1712" s="53" t="str">
        <f>IF(U1712&lt;&gt;0,X1712/U1712,"")</f>
        <v/>
      </c>
      <c r="Z1712" s="23">
        <v>97.36999999999999</v>
      </c>
      <c r="AA1712" s="25">
        <v>144</v>
      </c>
      <c r="AB1712" s="24">
        <v>61.900000000000006</v>
      </c>
      <c r="AC1712" s="24">
        <f t="shared" si="503"/>
        <v>35.469999999999985</v>
      </c>
      <c r="AD1712" s="53">
        <f t="shared" si="504"/>
        <v>0.36428057923385015</v>
      </c>
      <c r="AE1712" s="10"/>
    </row>
    <row r="1713" spans="1:31" x14ac:dyDescent="0.25">
      <c r="A1713" s="14" t="s">
        <v>109</v>
      </c>
      <c r="C1713" s="61" t="str">
        <f t="shared" si="502"/>
        <v>C100101</v>
      </c>
      <c r="F1713" s="8" t="str">
        <f>"E100045"</f>
        <v>E100045</v>
      </c>
      <c r="G1713" s="9" t="str">
        <f>"Flute"</f>
        <v>Flute</v>
      </c>
      <c r="H1713" s="47"/>
      <c r="I1713" s="47"/>
      <c r="J1713" s="23">
        <v>0</v>
      </c>
      <c r="K1713" s="25">
        <v>0</v>
      </c>
      <c r="L1713" s="24">
        <v>0</v>
      </c>
      <c r="M1713" s="24">
        <f>J1713-L1713</f>
        <v>0</v>
      </c>
      <c r="N1713" s="53" t="str">
        <f>IF(J1713&lt;&gt;0,M1713/J1713,"")</f>
        <v/>
      </c>
      <c r="O1713" s="23">
        <v>139.70999999999998</v>
      </c>
      <c r="P1713" s="25">
        <v>144</v>
      </c>
      <c r="Q1713" s="24">
        <v>89.3</v>
      </c>
      <c r="R1713" s="24">
        <f>O1713-Q1713</f>
        <v>50.409999999999982</v>
      </c>
      <c r="S1713" s="53">
        <f>IF(O1713&lt;&gt;0,R1713/O1713,"")</f>
        <v>0.36081883902369188</v>
      </c>
      <c r="T1713" s="10"/>
      <c r="U1713" s="23">
        <v>0</v>
      </c>
      <c r="V1713" s="25">
        <v>0</v>
      </c>
      <c r="W1713" s="24">
        <v>0</v>
      </c>
      <c r="X1713" s="24">
        <f>U1713-W1713</f>
        <v>0</v>
      </c>
      <c r="Y1713" s="53" t="str">
        <f>IF(U1713&lt;&gt;0,X1713/U1713,"")</f>
        <v/>
      </c>
      <c r="Z1713" s="23">
        <v>140.67999999999998</v>
      </c>
      <c r="AA1713" s="25">
        <v>145</v>
      </c>
      <c r="AB1713" s="24">
        <v>89.92</v>
      </c>
      <c r="AC1713" s="24">
        <f t="shared" si="503"/>
        <v>50.759999999999977</v>
      </c>
      <c r="AD1713" s="53">
        <f t="shared" si="504"/>
        <v>0.36081887972703997</v>
      </c>
      <c r="AE1713" s="10"/>
    </row>
    <row r="1714" spans="1:31" x14ac:dyDescent="0.25">
      <c r="A1714" s="14" t="s">
        <v>109</v>
      </c>
      <c r="C1714" s="61" t="str">
        <f t="shared" si="502"/>
        <v>C100101</v>
      </c>
      <c r="F1714" s="8" t="str">
        <f>"E100046"</f>
        <v>E100046</v>
      </c>
      <c r="G1714" s="9" t="str">
        <f>"Milk Bottle"</f>
        <v>Milk Bottle</v>
      </c>
      <c r="H1714" s="47"/>
      <c r="I1714" s="47"/>
      <c r="J1714" s="23">
        <v>0</v>
      </c>
      <c r="K1714" s="25">
        <v>0</v>
      </c>
      <c r="L1714" s="24">
        <v>0</v>
      </c>
      <c r="M1714" s="24">
        <f>J1714-L1714</f>
        <v>0</v>
      </c>
      <c r="N1714" s="53" t="str">
        <f>IF(J1714&lt;&gt;0,M1714/J1714,"")</f>
        <v/>
      </c>
      <c r="O1714" s="23">
        <v>262.47999999999996</v>
      </c>
      <c r="P1714" s="25">
        <v>144</v>
      </c>
      <c r="Q1714" s="24">
        <v>149.67000000000002</v>
      </c>
      <c r="R1714" s="24">
        <f>O1714-Q1714</f>
        <v>112.80999999999995</v>
      </c>
      <c r="S1714" s="53">
        <f>IF(O1714&lt;&gt;0,R1714/O1714,"")</f>
        <v>0.42978512648582734</v>
      </c>
      <c r="T1714" s="10"/>
      <c r="U1714" s="23">
        <v>0</v>
      </c>
      <c r="V1714" s="25">
        <v>0</v>
      </c>
      <c r="W1714" s="24">
        <v>0</v>
      </c>
      <c r="X1714" s="24">
        <f>U1714-W1714</f>
        <v>0</v>
      </c>
      <c r="Y1714" s="53" t="str">
        <f>IF(U1714&lt;&gt;0,X1714/U1714,"")</f>
        <v/>
      </c>
      <c r="Z1714" s="23">
        <v>273.42</v>
      </c>
      <c r="AA1714" s="25">
        <v>150</v>
      </c>
      <c r="AB1714" s="24">
        <v>155.9</v>
      </c>
      <c r="AC1714" s="24">
        <f t="shared" si="503"/>
        <v>117.52000000000001</v>
      </c>
      <c r="AD1714" s="53">
        <f t="shared" si="504"/>
        <v>0.42981493672737914</v>
      </c>
      <c r="AE1714" s="10"/>
    </row>
    <row r="1715" spans="1:31" x14ac:dyDescent="0.25">
      <c r="A1715" s="14" t="s">
        <v>109</v>
      </c>
      <c r="C1715" s="61" t="str">
        <f t="shared" si="502"/>
        <v>C100101</v>
      </c>
      <c r="F1715" s="8" t="str">
        <f>"E100047"</f>
        <v>E100047</v>
      </c>
      <c r="G1715" s="9" t="str">
        <f>"Chardonnay Glass"</f>
        <v>Chardonnay Glass</v>
      </c>
      <c r="H1715" s="47"/>
      <c r="I1715" s="47"/>
      <c r="J1715" s="23">
        <v>0</v>
      </c>
      <c r="K1715" s="25">
        <v>0</v>
      </c>
      <c r="L1715" s="24">
        <v>0</v>
      </c>
      <c r="M1715" s="24">
        <f>J1715-L1715</f>
        <v>0</v>
      </c>
      <c r="N1715" s="53" t="str">
        <f>IF(J1715&lt;&gt;0,M1715/J1715,"")</f>
        <v/>
      </c>
      <c r="O1715" s="23">
        <v>254.02</v>
      </c>
      <c r="P1715" s="25">
        <v>144</v>
      </c>
      <c r="Q1715" s="24">
        <v>151.19999999999999</v>
      </c>
      <c r="R1715" s="24">
        <f>O1715-Q1715</f>
        <v>102.82000000000002</v>
      </c>
      <c r="S1715" s="53">
        <f>IF(O1715&lt;&gt;0,R1715/O1715,"")</f>
        <v>0.40477127785213768</v>
      </c>
      <c r="T1715" s="10"/>
      <c r="U1715" s="23">
        <v>0</v>
      </c>
      <c r="V1715" s="25">
        <v>0</v>
      </c>
      <c r="W1715" s="24">
        <v>0</v>
      </c>
      <c r="X1715" s="24">
        <f>U1715-W1715</f>
        <v>0</v>
      </c>
      <c r="Y1715" s="53" t="str">
        <f>IF(U1715&lt;&gt;0,X1715/U1715,"")</f>
        <v/>
      </c>
      <c r="Z1715" s="23">
        <v>0</v>
      </c>
      <c r="AA1715" s="25">
        <v>0</v>
      </c>
      <c r="AB1715" s="24">
        <v>0</v>
      </c>
      <c r="AC1715" s="24">
        <f t="shared" si="503"/>
        <v>0</v>
      </c>
      <c r="AD1715" s="53" t="str">
        <f t="shared" si="504"/>
        <v/>
      </c>
      <c r="AE1715" s="10"/>
    </row>
    <row r="1716" spans="1:31" x14ac:dyDescent="0.25">
      <c r="A1716" s="14" t="s">
        <v>109</v>
      </c>
      <c r="C1716" s="61" t="str">
        <f t="shared" si="502"/>
        <v>C100101</v>
      </c>
      <c r="F1716" s="8" t="str">
        <f>"S100003"</f>
        <v>S100003</v>
      </c>
      <c r="G1716" s="9" t="str">
        <f>"Soccer #1 Pin"</f>
        <v>Soccer #1 Pin</v>
      </c>
      <c r="H1716" s="47"/>
      <c r="I1716" s="47"/>
      <c r="J1716" s="23">
        <v>0</v>
      </c>
      <c r="K1716" s="25">
        <v>0</v>
      </c>
      <c r="L1716" s="24">
        <v>0</v>
      </c>
      <c r="M1716" s="24">
        <f>J1716-L1716</f>
        <v>0</v>
      </c>
      <c r="N1716" s="53" t="str">
        <f>IF(J1716&lt;&gt;0,M1716/J1716,"")</f>
        <v/>
      </c>
      <c r="O1716" s="23">
        <v>211.68</v>
      </c>
      <c r="P1716" s="25">
        <v>144</v>
      </c>
      <c r="Q1716" s="24">
        <v>129.6</v>
      </c>
      <c r="R1716" s="24">
        <f>O1716-Q1716</f>
        <v>82.080000000000013</v>
      </c>
      <c r="S1716" s="53">
        <f>IF(O1716&lt;&gt;0,R1716/O1716,"")</f>
        <v>0.38775510204081637</v>
      </c>
      <c r="T1716" s="10"/>
      <c r="U1716" s="23">
        <v>0</v>
      </c>
      <c r="V1716" s="25">
        <v>0</v>
      </c>
      <c r="W1716" s="24">
        <v>0</v>
      </c>
      <c r="X1716" s="24">
        <f>U1716-W1716</f>
        <v>0</v>
      </c>
      <c r="Y1716" s="53" t="str">
        <f>IF(U1716&lt;&gt;0,X1716/U1716,"")</f>
        <v/>
      </c>
      <c r="Z1716" s="23">
        <v>0</v>
      </c>
      <c r="AA1716" s="25">
        <v>0</v>
      </c>
      <c r="AB1716" s="24">
        <v>0</v>
      </c>
      <c r="AC1716" s="24">
        <f t="shared" si="503"/>
        <v>0</v>
      </c>
      <c r="AD1716" s="53" t="str">
        <f t="shared" si="504"/>
        <v/>
      </c>
      <c r="AE1716" s="10"/>
    </row>
    <row r="1717" spans="1:31" x14ac:dyDescent="0.25">
      <c r="A1717" s="14" t="s">
        <v>109</v>
      </c>
      <c r="C1717" s="61" t="str">
        <f t="shared" si="502"/>
        <v>C100101</v>
      </c>
      <c r="F1717" s="8" t="str">
        <f>"S200010"</f>
        <v>S200010</v>
      </c>
      <c r="G1717" s="9" t="str">
        <f>"3.75"" Wrestling Trophy"</f>
        <v>3.75" Wrestling Trophy</v>
      </c>
      <c r="H1717" s="47"/>
      <c r="I1717" s="47"/>
      <c r="J1717" s="23">
        <v>0</v>
      </c>
      <c r="K1717" s="25">
        <v>0</v>
      </c>
      <c r="L1717" s="24">
        <v>0</v>
      </c>
      <c r="M1717" s="24">
        <f>J1717-L1717</f>
        <v>0</v>
      </c>
      <c r="N1717" s="53" t="str">
        <f>IF(J1717&lt;&gt;0,M1717/J1717,"")</f>
        <v/>
      </c>
      <c r="O1717" s="23">
        <v>1411.2</v>
      </c>
      <c r="P1717" s="25">
        <v>144</v>
      </c>
      <c r="Q1717" s="24">
        <v>1081.44</v>
      </c>
      <c r="R1717" s="24">
        <f>O1717-Q1717</f>
        <v>329.76</v>
      </c>
      <c r="S1717" s="53">
        <f>IF(O1717&lt;&gt;0,R1717/O1717,"")</f>
        <v>0.2336734693877551</v>
      </c>
      <c r="T1717" s="10"/>
      <c r="U1717" s="23">
        <v>0</v>
      </c>
      <c r="V1717" s="25">
        <v>0</v>
      </c>
      <c r="W1717" s="24">
        <v>0</v>
      </c>
      <c r="X1717" s="24">
        <f>U1717-W1717</f>
        <v>0</v>
      </c>
      <c r="Y1717" s="53" t="str">
        <f>IF(U1717&lt;&gt;0,X1717/U1717,"")</f>
        <v/>
      </c>
      <c r="Z1717" s="23">
        <v>0</v>
      </c>
      <c r="AA1717" s="25">
        <v>0</v>
      </c>
      <c r="AB1717" s="24">
        <v>0</v>
      </c>
      <c r="AC1717" s="24">
        <f t="shared" si="503"/>
        <v>0</v>
      </c>
      <c r="AD1717" s="53" t="str">
        <f t="shared" si="504"/>
        <v/>
      </c>
      <c r="AE1717" s="10"/>
    </row>
    <row r="1718" spans="1:31" x14ac:dyDescent="0.25">
      <c r="A1718" s="14" t="s">
        <v>109</v>
      </c>
      <c r="C1718" s="61" t="str">
        <f t="shared" si="502"/>
        <v>C100101</v>
      </c>
      <c r="F1718" s="8" t="str">
        <f>"S200011"</f>
        <v>S200011</v>
      </c>
      <c r="G1718" s="9" t="str">
        <f>"10.75"" Star Riser Lamp of Knowledge Trophy"</f>
        <v>10.75" Star Riser Lamp of Knowledge Trophy</v>
      </c>
      <c r="H1718" s="47"/>
      <c r="I1718" s="47"/>
      <c r="J1718" s="23">
        <v>0</v>
      </c>
      <c r="K1718" s="25">
        <v>0</v>
      </c>
      <c r="L1718" s="24">
        <v>0</v>
      </c>
      <c r="M1718" s="24">
        <f>J1718-L1718</f>
        <v>0</v>
      </c>
      <c r="N1718" s="53" t="str">
        <f>IF(J1718&lt;&gt;0,M1718/J1718,"")</f>
        <v/>
      </c>
      <c r="O1718" s="23">
        <v>1764</v>
      </c>
      <c r="P1718" s="25">
        <v>144</v>
      </c>
      <c r="Q1718" s="24">
        <v>1357.92</v>
      </c>
      <c r="R1718" s="24">
        <f>O1718-Q1718</f>
        <v>406.07999999999993</v>
      </c>
      <c r="S1718" s="53">
        <f>IF(O1718&lt;&gt;0,R1718/O1718,"")</f>
        <v>0.23020408163265302</v>
      </c>
      <c r="T1718" s="10"/>
      <c r="U1718" s="23">
        <v>0</v>
      </c>
      <c r="V1718" s="25">
        <v>0</v>
      </c>
      <c r="W1718" s="24">
        <v>0</v>
      </c>
      <c r="X1718" s="24">
        <f>U1718-W1718</f>
        <v>0</v>
      </c>
      <c r="Y1718" s="53" t="str">
        <f>IF(U1718&lt;&gt;0,X1718/U1718,"")</f>
        <v/>
      </c>
      <c r="Z1718" s="23">
        <v>0</v>
      </c>
      <c r="AA1718" s="25">
        <v>0</v>
      </c>
      <c r="AB1718" s="24">
        <v>0</v>
      </c>
      <c r="AC1718" s="24">
        <f t="shared" si="503"/>
        <v>0</v>
      </c>
      <c r="AD1718" s="53" t="str">
        <f t="shared" si="504"/>
        <v/>
      </c>
      <c r="AE1718" s="10"/>
    </row>
    <row r="1719" spans="1:31" x14ac:dyDescent="0.25">
      <c r="A1719" s="14" t="s">
        <v>109</v>
      </c>
      <c r="C1719" s="61" t="str">
        <f t="shared" si="502"/>
        <v>C100101</v>
      </c>
      <c r="F1719" s="8" t="str">
        <f>"S200012"</f>
        <v>S200012</v>
      </c>
      <c r="G1719" s="9" t="str">
        <f>"10.75"" Star Riser Apple Trophy"</f>
        <v>10.75" Star Riser Apple Trophy</v>
      </c>
      <c r="H1719" s="47"/>
      <c r="I1719" s="47"/>
      <c r="J1719" s="23">
        <v>0</v>
      </c>
      <c r="K1719" s="25">
        <v>0</v>
      </c>
      <c r="L1719" s="24">
        <v>0</v>
      </c>
      <c r="M1719" s="24">
        <f>J1719-L1719</f>
        <v>0</v>
      </c>
      <c r="N1719" s="53" t="str">
        <f>IF(J1719&lt;&gt;0,M1719/J1719,"")</f>
        <v/>
      </c>
      <c r="O1719" s="23">
        <v>1911</v>
      </c>
      <c r="P1719" s="25">
        <v>156</v>
      </c>
      <c r="Q1719" s="24">
        <v>1634.8799999999999</v>
      </c>
      <c r="R1719" s="24">
        <f>O1719-Q1719</f>
        <v>276.12000000000012</v>
      </c>
      <c r="S1719" s="53">
        <f>IF(O1719&lt;&gt;0,R1719/O1719,"")</f>
        <v>0.14448979591836741</v>
      </c>
      <c r="T1719" s="10"/>
      <c r="U1719" s="23">
        <v>0</v>
      </c>
      <c r="V1719" s="25">
        <v>0</v>
      </c>
      <c r="W1719" s="24">
        <v>0</v>
      </c>
      <c r="X1719" s="24">
        <f>U1719-W1719</f>
        <v>0</v>
      </c>
      <c r="Y1719" s="53" t="str">
        <f>IF(U1719&lt;&gt;0,X1719/U1719,"")</f>
        <v/>
      </c>
      <c r="Z1719" s="23">
        <v>0</v>
      </c>
      <c r="AA1719" s="25">
        <v>0</v>
      </c>
      <c r="AB1719" s="24">
        <v>0</v>
      </c>
      <c r="AC1719" s="24">
        <f t="shared" si="503"/>
        <v>0</v>
      </c>
      <c r="AD1719" s="53" t="str">
        <f t="shared" si="504"/>
        <v/>
      </c>
      <c r="AE1719" s="10"/>
    </row>
    <row r="1720" spans="1:31" x14ac:dyDescent="0.25">
      <c r="A1720" s="14" t="s">
        <v>109</v>
      </c>
      <c r="C1720" s="61" t="str">
        <f t="shared" si="502"/>
        <v>C100101</v>
      </c>
      <c r="F1720" s="8" t="str">
        <f>"S200014"</f>
        <v>S200014</v>
      </c>
      <c r="G1720" s="9" t="str">
        <f>"10.75"" Star Riser FootballTrophy"</f>
        <v>10.75" Star Riser FootballTrophy</v>
      </c>
      <c r="H1720" s="47"/>
      <c r="I1720" s="47"/>
      <c r="J1720" s="23">
        <v>0</v>
      </c>
      <c r="K1720" s="25">
        <v>0</v>
      </c>
      <c r="L1720" s="24">
        <v>0</v>
      </c>
      <c r="M1720" s="24">
        <f>J1720-L1720</f>
        <v>0</v>
      </c>
      <c r="N1720" s="53" t="str">
        <f>IF(J1720&lt;&gt;0,M1720/J1720,"")</f>
        <v/>
      </c>
      <c r="O1720" s="23">
        <v>1764</v>
      </c>
      <c r="P1720" s="25">
        <v>144</v>
      </c>
      <c r="Q1720" s="24">
        <v>1429.9199999999998</v>
      </c>
      <c r="R1720" s="24">
        <f>O1720-Q1720</f>
        <v>334.08000000000015</v>
      </c>
      <c r="S1720" s="53">
        <f>IF(O1720&lt;&gt;0,R1720/O1720,"")</f>
        <v>0.18938775510204089</v>
      </c>
      <c r="T1720" s="10"/>
      <c r="U1720" s="23">
        <v>0</v>
      </c>
      <c r="V1720" s="25">
        <v>0</v>
      </c>
      <c r="W1720" s="24">
        <v>0</v>
      </c>
      <c r="X1720" s="24">
        <f>U1720-W1720</f>
        <v>0</v>
      </c>
      <c r="Y1720" s="53" t="str">
        <f>IF(U1720&lt;&gt;0,X1720/U1720,"")</f>
        <v/>
      </c>
      <c r="Z1720" s="23">
        <v>0</v>
      </c>
      <c r="AA1720" s="25">
        <v>0</v>
      </c>
      <c r="AB1720" s="24">
        <v>0</v>
      </c>
      <c r="AC1720" s="24">
        <f t="shared" si="503"/>
        <v>0</v>
      </c>
      <c r="AD1720" s="53" t="str">
        <f t="shared" si="504"/>
        <v/>
      </c>
      <c r="AE1720" s="10"/>
    </row>
    <row r="1721" spans="1:31" x14ac:dyDescent="0.25">
      <c r="A1721" s="14" t="s">
        <v>109</v>
      </c>
      <c r="C1721" s="61" t="str">
        <f t="shared" si="502"/>
        <v>C100101</v>
      </c>
      <c r="F1721" s="8" t="str">
        <f>"S200016"</f>
        <v>S200016</v>
      </c>
      <c r="G1721" s="9" t="str">
        <f>"10.75"" Star Riser Volleyball Trophy"</f>
        <v>10.75" Star Riser Volleyball Trophy</v>
      </c>
      <c r="H1721" s="47"/>
      <c r="I1721" s="47"/>
      <c r="J1721" s="23">
        <v>0</v>
      </c>
      <c r="K1721" s="25">
        <v>0</v>
      </c>
      <c r="L1721" s="24">
        <v>0</v>
      </c>
      <c r="M1721" s="24">
        <f>J1721-L1721</f>
        <v>0</v>
      </c>
      <c r="N1721" s="53" t="str">
        <f>IF(J1721&lt;&gt;0,M1721/J1721,"")</f>
        <v/>
      </c>
      <c r="O1721" s="23">
        <v>1764</v>
      </c>
      <c r="P1721" s="25">
        <v>144</v>
      </c>
      <c r="Q1721" s="24">
        <v>1429.9199999999998</v>
      </c>
      <c r="R1721" s="24">
        <f>O1721-Q1721</f>
        <v>334.08000000000015</v>
      </c>
      <c r="S1721" s="53">
        <f>IF(O1721&lt;&gt;0,R1721/O1721,"")</f>
        <v>0.18938775510204089</v>
      </c>
      <c r="T1721" s="10"/>
      <c r="U1721" s="23">
        <v>0</v>
      </c>
      <c r="V1721" s="25">
        <v>0</v>
      </c>
      <c r="W1721" s="24">
        <v>0</v>
      </c>
      <c r="X1721" s="24">
        <f>U1721-W1721</f>
        <v>0</v>
      </c>
      <c r="Y1721" s="53" t="str">
        <f>IF(U1721&lt;&gt;0,X1721/U1721,"")</f>
        <v/>
      </c>
      <c r="Z1721" s="23">
        <v>0</v>
      </c>
      <c r="AA1721" s="25">
        <v>0</v>
      </c>
      <c r="AB1721" s="24">
        <v>0</v>
      </c>
      <c r="AC1721" s="24">
        <f t="shared" si="503"/>
        <v>0</v>
      </c>
      <c r="AD1721" s="53" t="str">
        <f t="shared" si="504"/>
        <v/>
      </c>
      <c r="AE1721" s="10"/>
    </row>
    <row r="1722" spans="1:31" x14ac:dyDescent="0.25">
      <c r="A1722" s="14" t="s">
        <v>109</v>
      </c>
      <c r="C1722" s="61" t="str">
        <f t="shared" si="502"/>
        <v>C100101</v>
      </c>
      <c r="F1722" s="8" t="str">
        <f>"S200030"</f>
        <v>S200030</v>
      </c>
      <c r="G1722" s="9" t="str">
        <f>"10.75"" Column Volleyball Trophy"</f>
        <v>10.75" Column Volleyball Trophy</v>
      </c>
      <c r="H1722" s="47"/>
      <c r="I1722" s="47"/>
      <c r="J1722" s="23">
        <v>0</v>
      </c>
      <c r="K1722" s="25">
        <v>0</v>
      </c>
      <c r="L1722" s="24">
        <v>0</v>
      </c>
      <c r="M1722" s="24">
        <f>J1722-L1722</f>
        <v>0</v>
      </c>
      <c r="N1722" s="53" t="str">
        <f>IF(J1722&lt;&gt;0,M1722/J1722,"")</f>
        <v/>
      </c>
      <c r="O1722" s="23">
        <v>705.6</v>
      </c>
      <c r="P1722" s="25">
        <v>48</v>
      </c>
      <c r="Q1722" s="24">
        <v>516</v>
      </c>
      <c r="R1722" s="24">
        <f>O1722-Q1722</f>
        <v>189.60000000000002</v>
      </c>
      <c r="S1722" s="53">
        <f>IF(O1722&lt;&gt;0,R1722/O1722,"")</f>
        <v>0.2687074829931973</v>
      </c>
      <c r="T1722" s="10"/>
      <c r="U1722" s="23">
        <v>0</v>
      </c>
      <c r="V1722" s="25">
        <v>0</v>
      </c>
      <c r="W1722" s="24">
        <v>0</v>
      </c>
      <c r="X1722" s="24">
        <f>U1722-W1722</f>
        <v>0</v>
      </c>
      <c r="Y1722" s="53" t="str">
        <f>IF(U1722&lt;&gt;0,X1722/U1722,"")</f>
        <v/>
      </c>
      <c r="Z1722" s="23">
        <v>0</v>
      </c>
      <c r="AA1722" s="25">
        <v>0</v>
      </c>
      <c r="AB1722" s="24">
        <v>0</v>
      </c>
      <c r="AC1722" s="24">
        <f t="shared" si="503"/>
        <v>0</v>
      </c>
      <c r="AD1722" s="53" t="str">
        <f t="shared" si="504"/>
        <v/>
      </c>
      <c r="AE1722" s="10"/>
    </row>
    <row r="1723" spans="1:31" ht="15.75" thickBot="1" x14ac:dyDescent="0.3">
      <c r="A1723" s="14" t="s">
        <v>109</v>
      </c>
      <c r="C1723" s="61" t="str">
        <f>C1693</f>
        <v>C100101</v>
      </c>
      <c r="J1723" s="10"/>
      <c r="K1723" s="11"/>
      <c r="L1723" s="11"/>
      <c r="M1723" s="11"/>
      <c r="N1723" s="12"/>
      <c r="O1723" s="10"/>
      <c r="P1723" s="11"/>
      <c r="Q1723" s="11"/>
      <c r="R1723" s="11"/>
      <c r="S1723" s="12"/>
      <c r="U1723" s="10"/>
      <c r="V1723" s="11"/>
      <c r="W1723" s="11"/>
      <c r="X1723" s="11"/>
      <c r="Y1723" s="12"/>
      <c r="Z1723" s="10"/>
      <c r="AA1723" s="11"/>
      <c r="AB1723" s="11"/>
      <c r="AC1723" s="11"/>
      <c r="AD1723" s="12"/>
    </row>
    <row r="1724" spans="1:31" ht="15.75" thickBot="1" x14ac:dyDescent="0.3">
      <c r="A1724" s="14" t="s">
        <v>109</v>
      </c>
      <c r="C1724" s="61" t="str">
        <f t="shared" si="499"/>
        <v>C100101</v>
      </c>
      <c r="G1724" s="48" t="str">
        <f>C1724&amp;" TOTAL:"</f>
        <v>C100101 TOTAL:</v>
      </c>
      <c r="H1724" s="50"/>
      <c r="I1724" s="50"/>
      <c r="J1724" s="34">
        <f>SUBTOTAL(9,J1692:J1723)</f>
        <v>0</v>
      </c>
      <c r="K1724" s="35">
        <f>SUBTOTAL(9,K1692:K1723)</f>
        <v>0</v>
      </c>
      <c r="L1724" s="36">
        <f>SUBTOTAL(9,L1692:L1723)</f>
        <v>0</v>
      </c>
      <c r="M1724" s="36">
        <f>J1724-L1724</f>
        <v>0</v>
      </c>
      <c r="N1724" s="37" t="str">
        <f>IF(J1724&lt;&gt;0,M1724/J1724,"")</f>
        <v/>
      </c>
      <c r="O1724" s="34">
        <f>SUBTOTAL(9,O1692:O1723)</f>
        <v>15110.450000000003</v>
      </c>
      <c r="P1724" s="35">
        <f>SUBTOTAL(9,P1692:P1723)</f>
        <v>3539</v>
      </c>
      <c r="Q1724" s="36">
        <f>SUBTOTAL(9,Q1692:Q1723)</f>
        <v>10586.77</v>
      </c>
      <c r="R1724" s="36">
        <f>O1724-Q1724</f>
        <v>4523.6800000000021</v>
      </c>
      <c r="S1724" s="37">
        <f>IF(O1724&lt;&gt;0,R1724/O1724,"")</f>
        <v>0.29937427409508</v>
      </c>
      <c r="U1724" s="34">
        <f>SUBTOTAL(9,U1692:U1723)</f>
        <v>0</v>
      </c>
      <c r="V1724" s="35">
        <f>SUBTOTAL(9,V1692:V1723)</f>
        <v>0</v>
      </c>
      <c r="W1724" s="36">
        <f>SUBTOTAL(9,W1692:W1723)</f>
        <v>0</v>
      </c>
      <c r="X1724" s="36">
        <f>U1724-W1724</f>
        <v>0</v>
      </c>
      <c r="Y1724" s="37" t="str">
        <f>IF(U1724&lt;&gt;0,X1724/U1724,"")</f>
        <v/>
      </c>
      <c r="Z1724" s="34">
        <f>SUBTOTAL(9,Z1692:Z1723)</f>
        <v>3024.8199999999993</v>
      </c>
      <c r="AA1724" s="35">
        <f>SUBTOTAL(9,AA1692:AA1723)</f>
        <v>1735</v>
      </c>
      <c r="AB1724" s="36">
        <f>SUBTOTAL(9,AB1692:AB1723)</f>
        <v>1678.91</v>
      </c>
      <c r="AC1724" s="36">
        <f t="shared" ref="AC1724" si="505">Z1724-AB1724</f>
        <v>1345.9099999999992</v>
      </c>
      <c r="AD1724" s="37">
        <f t="shared" ref="AD1724" si="506">IF(Z1724&lt;&gt;0,AC1724/Z1724,"")</f>
        <v>0.44495540230493036</v>
      </c>
    </row>
    <row r="1725" spans="1:31" x14ac:dyDescent="0.25">
      <c r="A1725" s="14" t="s">
        <v>109</v>
      </c>
      <c r="C1725" s="66"/>
      <c r="J1725" s="10"/>
      <c r="K1725" s="11"/>
      <c r="L1725" s="11"/>
      <c r="M1725" s="11"/>
      <c r="N1725" s="12"/>
      <c r="O1725" s="10"/>
      <c r="P1725" s="11"/>
      <c r="Q1725" s="11"/>
      <c r="R1725" s="11"/>
      <c r="S1725" s="12"/>
      <c r="U1725" s="10"/>
      <c r="V1725" s="11"/>
      <c r="W1725" s="11"/>
      <c r="X1725" s="11"/>
      <c r="Y1725" s="12"/>
      <c r="Z1725" s="10"/>
      <c r="AA1725" s="11"/>
      <c r="AB1725" s="11"/>
      <c r="AC1725" s="11"/>
      <c r="AD1725" s="12"/>
    </row>
    <row r="1726" spans="1:31" ht="15.75" x14ac:dyDescent="0.25">
      <c r="A1726" s="14" t="s">
        <v>109</v>
      </c>
      <c r="C1726" s="66" t="str">
        <f t="shared" ref="C1726" si="507">E1726</f>
        <v>C100102</v>
      </c>
      <c r="E1726" s="13" t="str">
        <f>"C100102"</f>
        <v>C100102</v>
      </c>
      <c r="F1726" s="13"/>
      <c r="G1726" s="13" t="str">
        <f>"BEI Outfitters "</f>
        <v xml:space="preserve">BEI Outfitters </v>
      </c>
      <c r="H1726" s="13"/>
      <c r="I1726" s="13"/>
      <c r="J1726" s="10"/>
      <c r="K1726" s="11"/>
      <c r="L1726" s="11"/>
      <c r="M1726" s="11"/>
      <c r="N1726" s="12"/>
      <c r="O1726" s="10"/>
      <c r="P1726" s="11"/>
      <c r="Q1726" s="11"/>
      <c r="R1726" s="11"/>
      <c r="S1726" s="12"/>
      <c r="U1726" s="10"/>
      <c r="V1726" s="11"/>
      <c r="W1726" s="11"/>
      <c r="X1726" s="11"/>
      <c r="Y1726" s="12"/>
      <c r="Z1726" s="10"/>
      <c r="AA1726" s="11"/>
      <c r="AB1726" s="11"/>
      <c r="AC1726" s="11"/>
      <c r="AD1726" s="12"/>
    </row>
    <row r="1727" spans="1:31" ht="6.6" customHeight="1" x14ac:dyDescent="0.25">
      <c r="A1727" s="14" t="s">
        <v>109</v>
      </c>
      <c r="C1727" s="61" t="str">
        <f t="shared" ref="C1727:C1758" si="508">C1726</f>
        <v>C100102</v>
      </c>
      <c r="J1727" s="10"/>
      <c r="K1727" s="11"/>
      <c r="L1727" s="11"/>
      <c r="M1727" s="11"/>
      <c r="N1727" s="12"/>
      <c r="O1727" s="10"/>
      <c r="P1727" s="11"/>
      <c r="Q1727" s="11"/>
      <c r="R1727" s="11"/>
      <c r="S1727" s="12"/>
      <c r="U1727" s="10"/>
      <c r="V1727" s="11"/>
      <c r="W1727" s="11"/>
      <c r="X1727" s="11"/>
      <c r="Y1727" s="12"/>
      <c r="Z1727" s="10"/>
      <c r="AA1727" s="11"/>
      <c r="AB1727" s="11"/>
      <c r="AC1727" s="11"/>
      <c r="AD1727" s="12"/>
    </row>
    <row r="1728" spans="1:31" x14ac:dyDescent="0.25">
      <c r="A1728" s="14" t="s">
        <v>109</v>
      </c>
      <c r="C1728" s="61" t="str">
        <f t="shared" si="508"/>
        <v>C100102</v>
      </c>
      <c r="F1728" s="8" t="str">
        <f>"C100004"</f>
        <v>C100004</v>
      </c>
      <c r="G1728" s="9" t="str">
        <f>"Walnut Medallian Plate"</f>
        <v>Walnut Medallian Plate</v>
      </c>
      <c r="H1728" s="47"/>
      <c r="I1728" s="47"/>
      <c r="J1728" s="23">
        <v>8989.4700000000012</v>
      </c>
      <c r="K1728" s="25">
        <v>156</v>
      </c>
      <c r="L1728" s="24">
        <v>4773.59</v>
      </c>
      <c r="M1728" s="24">
        <f>J1728-L1728</f>
        <v>4215.880000000001</v>
      </c>
      <c r="N1728" s="53">
        <f>IF(J1728&lt;&gt;0,M1728/J1728,"")</f>
        <v>0.46897981749758333</v>
      </c>
      <c r="O1728" s="23">
        <v>0</v>
      </c>
      <c r="P1728" s="25">
        <v>0</v>
      </c>
      <c r="Q1728" s="24">
        <v>0</v>
      </c>
      <c r="R1728" s="24">
        <f>O1728-Q1728</f>
        <v>0</v>
      </c>
      <c r="S1728" s="53" t="str">
        <f>IF(O1728&lt;&gt;0,R1728/O1728,"")</f>
        <v/>
      </c>
      <c r="T1728" s="10"/>
      <c r="U1728" s="23">
        <v>349.04</v>
      </c>
      <c r="V1728" s="25">
        <v>6</v>
      </c>
      <c r="W1728" s="24">
        <v>183.6</v>
      </c>
      <c r="X1728" s="24">
        <f>U1728-W1728</f>
        <v>165.44000000000003</v>
      </c>
      <c r="Y1728" s="53">
        <f>IF(U1728&lt;&gt;0,X1728/U1728,"")</f>
        <v>0.47398578959431586</v>
      </c>
      <c r="Z1728" s="23">
        <v>0</v>
      </c>
      <c r="AA1728" s="25">
        <v>0</v>
      </c>
      <c r="AB1728" s="24">
        <v>0</v>
      </c>
      <c r="AC1728" s="24">
        <f t="shared" ref="AC1728" si="509">Z1728-AB1728</f>
        <v>0</v>
      </c>
      <c r="AD1728" s="53" t="str">
        <f t="shared" ref="AD1728" si="510">IF(Z1728&lt;&gt;0,AC1728/Z1728,"")</f>
        <v/>
      </c>
      <c r="AE1728" s="10"/>
    </row>
    <row r="1729" spans="1:31" x14ac:dyDescent="0.25">
      <c r="A1729" s="14" t="s">
        <v>109</v>
      </c>
      <c r="C1729" s="61" t="str">
        <f t="shared" ref="C1729:C1756" si="511">C1728</f>
        <v>C100102</v>
      </c>
      <c r="F1729" s="8" t="str">
        <f>"C100005"</f>
        <v>C100005</v>
      </c>
      <c r="G1729" s="9" t="str">
        <f>"Cherry Finished Crystal Award"</f>
        <v>Cherry Finished Crystal Award</v>
      </c>
      <c r="H1729" s="47"/>
      <c r="I1729" s="47"/>
      <c r="J1729" s="23">
        <v>6539.4999999999991</v>
      </c>
      <c r="K1729" s="25">
        <v>48</v>
      </c>
      <c r="L1729" s="24">
        <v>3404.64</v>
      </c>
      <c r="M1729" s="24">
        <f>J1729-L1729</f>
        <v>3134.8599999999992</v>
      </c>
      <c r="N1729" s="53">
        <f>IF(J1729&lt;&gt;0,M1729/J1729,"")</f>
        <v>0.47937304075235104</v>
      </c>
      <c r="O1729" s="23">
        <v>0</v>
      </c>
      <c r="P1729" s="25">
        <v>0</v>
      </c>
      <c r="Q1729" s="24">
        <v>0</v>
      </c>
      <c r="R1729" s="24">
        <f>O1729-Q1729</f>
        <v>0</v>
      </c>
      <c r="S1729" s="53" t="str">
        <f>IF(O1729&lt;&gt;0,R1729/O1729,"")</f>
        <v/>
      </c>
      <c r="T1729" s="10"/>
      <c r="U1729" s="23">
        <v>6674.3499999999995</v>
      </c>
      <c r="V1729" s="25">
        <v>49</v>
      </c>
      <c r="W1729" s="24">
        <v>3475.57</v>
      </c>
      <c r="X1729" s="24">
        <f>U1729-W1729</f>
        <v>3198.7799999999993</v>
      </c>
      <c r="Y1729" s="53">
        <f>IF(U1729&lt;&gt;0,X1729/U1729,"")</f>
        <v>0.47926464749376335</v>
      </c>
      <c r="Z1729" s="23">
        <v>0</v>
      </c>
      <c r="AA1729" s="25">
        <v>0</v>
      </c>
      <c r="AB1729" s="24">
        <v>0</v>
      </c>
      <c r="AC1729" s="24">
        <f t="shared" ref="AC1729:AC1756" si="512">Z1729-AB1729</f>
        <v>0</v>
      </c>
      <c r="AD1729" s="53" t="str">
        <f t="shared" ref="AD1729:AD1756" si="513">IF(Z1729&lt;&gt;0,AC1729/Z1729,"")</f>
        <v/>
      </c>
      <c r="AE1729" s="10"/>
    </row>
    <row r="1730" spans="1:31" x14ac:dyDescent="0.25">
      <c r="A1730" s="14" t="s">
        <v>109</v>
      </c>
      <c r="C1730" s="61" t="str">
        <f t="shared" si="511"/>
        <v>C100102</v>
      </c>
      <c r="F1730" s="8" t="str">
        <f>"C100018"</f>
        <v>C100018</v>
      </c>
      <c r="G1730" s="9" t="str">
        <f>"Action Sport Duffel"</f>
        <v>Action Sport Duffel</v>
      </c>
      <c r="H1730" s="47"/>
      <c r="I1730" s="47"/>
      <c r="J1730" s="23">
        <v>207.09</v>
      </c>
      <c r="K1730" s="25">
        <v>12</v>
      </c>
      <c r="L1730" s="24">
        <v>102.6</v>
      </c>
      <c r="M1730" s="24">
        <f>J1730-L1730</f>
        <v>104.49000000000001</v>
      </c>
      <c r="N1730" s="53">
        <f>IF(J1730&lt;&gt;0,M1730/J1730,"")</f>
        <v>0.50456323337679276</v>
      </c>
      <c r="O1730" s="23">
        <v>0</v>
      </c>
      <c r="P1730" s="25">
        <v>0</v>
      </c>
      <c r="Q1730" s="24">
        <v>0</v>
      </c>
      <c r="R1730" s="24">
        <f>O1730-Q1730</f>
        <v>0</v>
      </c>
      <c r="S1730" s="53" t="str">
        <f>IF(O1730&lt;&gt;0,R1730/O1730,"")</f>
        <v/>
      </c>
      <c r="T1730" s="10"/>
      <c r="U1730" s="23">
        <v>0</v>
      </c>
      <c r="V1730" s="25">
        <v>0</v>
      </c>
      <c r="W1730" s="24">
        <v>0</v>
      </c>
      <c r="X1730" s="24">
        <f>U1730-W1730</f>
        <v>0</v>
      </c>
      <c r="Y1730" s="53" t="str">
        <f>IF(U1730&lt;&gt;0,X1730/U1730,"")</f>
        <v/>
      </c>
      <c r="Z1730" s="23">
        <v>0</v>
      </c>
      <c r="AA1730" s="25">
        <v>0</v>
      </c>
      <c r="AB1730" s="24">
        <v>0</v>
      </c>
      <c r="AC1730" s="24">
        <f t="shared" si="512"/>
        <v>0</v>
      </c>
      <c r="AD1730" s="53" t="str">
        <f t="shared" si="513"/>
        <v/>
      </c>
      <c r="AE1730" s="10"/>
    </row>
    <row r="1731" spans="1:31" x14ac:dyDescent="0.25">
      <c r="A1731" s="14" t="s">
        <v>109</v>
      </c>
      <c r="C1731" s="61" t="str">
        <f t="shared" si="511"/>
        <v>C100102</v>
      </c>
      <c r="F1731" s="8" t="str">
        <f>"C100020"</f>
        <v>C100020</v>
      </c>
      <c r="G1731" s="9" t="str">
        <f>"Gym Locker Bag"</f>
        <v>Gym Locker Bag</v>
      </c>
      <c r="H1731" s="47"/>
      <c r="I1731" s="47"/>
      <c r="J1731" s="23">
        <v>1954.5100000000002</v>
      </c>
      <c r="K1731" s="25">
        <v>144</v>
      </c>
      <c r="L1731" s="24">
        <v>1114.5600000000002</v>
      </c>
      <c r="M1731" s="24">
        <f>J1731-L1731</f>
        <v>839.95</v>
      </c>
      <c r="N1731" s="53">
        <f>IF(J1731&lt;&gt;0,M1731/J1731,"")</f>
        <v>0.42974965592399117</v>
      </c>
      <c r="O1731" s="23">
        <v>0</v>
      </c>
      <c r="P1731" s="25">
        <v>0</v>
      </c>
      <c r="Q1731" s="24">
        <v>0</v>
      </c>
      <c r="R1731" s="24">
        <f>O1731-Q1731</f>
        <v>0</v>
      </c>
      <c r="S1731" s="53" t="str">
        <f>IF(O1731&lt;&gt;0,R1731/O1731,"")</f>
        <v/>
      </c>
      <c r="T1731" s="10"/>
      <c r="U1731" s="23">
        <v>0</v>
      </c>
      <c r="V1731" s="25">
        <v>0</v>
      </c>
      <c r="W1731" s="24">
        <v>0</v>
      </c>
      <c r="X1731" s="24">
        <f>U1731-W1731</f>
        <v>0</v>
      </c>
      <c r="Y1731" s="53" t="str">
        <f>IF(U1731&lt;&gt;0,X1731/U1731,"")</f>
        <v/>
      </c>
      <c r="Z1731" s="23">
        <v>-13.57</v>
      </c>
      <c r="AA1731" s="25">
        <v>-1</v>
      </c>
      <c r="AB1731" s="24">
        <v>-7.74</v>
      </c>
      <c r="AC1731" s="24">
        <f t="shared" si="512"/>
        <v>-5.83</v>
      </c>
      <c r="AD1731" s="53">
        <f t="shared" si="513"/>
        <v>0.42962417096536476</v>
      </c>
      <c r="AE1731" s="10"/>
    </row>
    <row r="1732" spans="1:31" x14ac:dyDescent="0.25">
      <c r="A1732" s="14" t="s">
        <v>109</v>
      </c>
      <c r="C1732" s="61" t="str">
        <f t="shared" si="511"/>
        <v>C100102</v>
      </c>
      <c r="F1732" s="8" t="str">
        <f>"C100022"</f>
        <v>C100022</v>
      </c>
      <c r="G1732" s="9" t="str">
        <f>"Two-Toned Cap"</f>
        <v>Two-Toned Cap</v>
      </c>
      <c r="H1732" s="47"/>
      <c r="I1732" s="47"/>
      <c r="J1732" s="23">
        <v>901.66</v>
      </c>
      <c r="K1732" s="25">
        <v>289</v>
      </c>
      <c r="L1732" s="24">
        <v>465.27</v>
      </c>
      <c r="M1732" s="24">
        <f>J1732-L1732</f>
        <v>436.39</v>
      </c>
      <c r="N1732" s="53">
        <f>IF(J1732&lt;&gt;0,M1732/J1732,"")</f>
        <v>0.48398509415966107</v>
      </c>
      <c r="O1732" s="23">
        <v>0</v>
      </c>
      <c r="P1732" s="25">
        <v>0</v>
      </c>
      <c r="Q1732" s="24">
        <v>0</v>
      </c>
      <c r="R1732" s="24">
        <f>O1732-Q1732</f>
        <v>0</v>
      </c>
      <c r="S1732" s="53" t="str">
        <f>IF(O1732&lt;&gt;0,R1732/O1732,"")</f>
        <v/>
      </c>
      <c r="T1732" s="10"/>
      <c r="U1732" s="23">
        <v>0</v>
      </c>
      <c r="V1732" s="25">
        <v>0</v>
      </c>
      <c r="W1732" s="24">
        <v>0</v>
      </c>
      <c r="X1732" s="24">
        <f>U1732-W1732</f>
        <v>0</v>
      </c>
      <c r="Y1732" s="53" t="str">
        <f>IF(U1732&lt;&gt;0,X1732/U1732,"")</f>
        <v/>
      </c>
      <c r="Z1732" s="23">
        <v>0</v>
      </c>
      <c r="AA1732" s="25">
        <v>0</v>
      </c>
      <c r="AB1732" s="24">
        <v>0</v>
      </c>
      <c r="AC1732" s="24">
        <f t="shared" si="512"/>
        <v>0</v>
      </c>
      <c r="AD1732" s="53" t="str">
        <f t="shared" si="513"/>
        <v/>
      </c>
      <c r="AE1732" s="10"/>
    </row>
    <row r="1733" spans="1:31" x14ac:dyDescent="0.25">
      <c r="A1733" s="14" t="s">
        <v>109</v>
      </c>
      <c r="C1733" s="61" t="str">
        <f t="shared" si="511"/>
        <v>C100102</v>
      </c>
      <c r="F1733" s="8" t="str">
        <f>"C100023"</f>
        <v>C100023</v>
      </c>
      <c r="G1733" s="9" t="str">
        <f>"Two-Toned Knit Hat"</f>
        <v>Two-Toned Knit Hat</v>
      </c>
      <c r="H1733" s="47"/>
      <c r="I1733" s="47"/>
      <c r="J1733" s="23">
        <v>374.34000000000003</v>
      </c>
      <c r="K1733" s="25">
        <v>144</v>
      </c>
      <c r="L1733" s="24">
        <v>181.43</v>
      </c>
      <c r="M1733" s="24">
        <f>J1733-L1733</f>
        <v>192.91000000000003</v>
      </c>
      <c r="N1733" s="53">
        <f>IF(J1733&lt;&gt;0,M1733/J1733,"")</f>
        <v>0.51533365389752639</v>
      </c>
      <c r="O1733" s="23">
        <v>0</v>
      </c>
      <c r="P1733" s="25">
        <v>0</v>
      </c>
      <c r="Q1733" s="24">
        <v>0</v>
      </c>
      <c r="R1733" s="24">
        <f>O1733-Q1733</f>
        <v>0</v>
      </c>
      <c r="S1733" s="53" t="str">
        <f>IF(O1733&lt;&gt;0,R1733/O1733,"")</f>
        <v/>
      </c>
      <c r="T1733" s="10"/>
      <c r="U1733" s="23">
        <v>752.54</v>
      </c>
      <c r="V1733" s="25">
        <v>288</v>
      </c>
      <c r="W1733" s="24">
        <v>362.86</v>
      </c>
      <c r="X1733" s="24">
        <f>U1733-W1733</f>
        <v>389.67999999999995</v>
      </c>
      <c r="Y1733" s="53">
        <f>IF(U1733&lt;&gt;0,X1733/U1733,"")</f>
        <v>0.51781965078268266</v>
      </c>
      <c r="Z1733" s="23">
        <v>-2.63</v>
      </c>
      <c r="AA1733" s="25">
        <v>-1</v>
      </c>
      <c r="AB1733" s="24">
        <v>-1.26</v>
      </c>
      <c r="AC1733" s="24">
        <f t="shared" si="512"/>
        <v>-1.3699999999999999</v>
      </c>
      <c r="AD1733" s="53">
        <f t="shared" si="513"/>
        <v>0.52091254752851712</v>
      </c>
      <c r="AE1733" s="10"/>
    </row>
    <row r="1734" spans="1:31" x14ac:dyDescent="0.25">
      <c r="A1734" s="14" t="s">
        <v>109</v>
      </c>
      <c r="C1734" s="61" t="str">
        <f t="shared" si="511"/>
        <v>C100102</v>
      </c>
      <c r="F1734" s="8" t="str">
        <f>"C100026"</f>
        <v>C100026</v>
      </c>
      <c r="G1734" s="9" t="str">
        <f>"Fleece Beanie"</f>
        <v>Fleece Beanie</v>
      </c>
      <c r="H1734" s="47"/>
      <c r="I1734" s="47"/>
      <c r="J1734" s="23">
        <v>145.27000000000001</v>
      </c>
      <c r="K1734" s="25">
        <v>48</v>
      </c>
      <c r="L1734" s="24">
        <v>96</v>
      </c>
      <c r="M1734" s="24">
        <f>J1734-L1734</f>
        <v>49.27000000000001</v>
      </c>
      <c r="N1734" s="53">
        <f>IF(J1734&lt;&gt;0,M1734/J1734,"")</f>
        <v>0.33916156123081165</v>
      </c>
      <c r="O1734" s="23">
        <v>0</v>
      </c>
      <c r="P1734" s="25">
        <v>0</v>
      </c>
      <c r="Q1734" s="24">
        <v>0</v>
      </c>
      <c r="R1734" s="24">
        <f>O1734-Q1734</f>
        <v>0</v>
      </c>
      <c r="S1734" s="53" t="str">
        <f>IF(O1734&lt;&gt;0,R1734/O1734,"")</f>
        <v/>
      </c>
      <c r="T1734" s="10"/>
      <c r="U1734" s="23">
        <v>953.96999999999991</v>
      </c>
      <c r="V1734" s="25">
        <v>312</v>
      </c>
      <c r="W1734" s="24">
        <v>623.97</v>
      </c>
      <c r="X1734" s="24">
        <f>U1734-W1734</f>
        <v>329.99999999999989</v>
      </c>
      <c r="Y1734" s="53">
        <f>IF(U1734&lt;&gt;0,X1734/U1734,"")</f>
        <v>0.34592282776187921</v>
      </c>
      <c r="Z1734" s="23">
        <v>0</v>
      </c>
      <c r="AA1734" s="25">
        <v>0</v>
      </c>
      <c r="AB1734" s="24">
        <v>0</v>
      </c>
      <c r="AC1734" s="24">
        <f t="shared" si="512"/>
        <v>0</v>
      </c>
      <c r="AD1734" s="53" t="str">
        <f t="shared" si="513"/>
        <v/>
      </c>
      <c r="AE1734" s="10"/>
    </row>
    <row r="1735" spans="1:31" x14ac:dyDescent="0.25">
      <c r="A1735" s="14" t="s">
        <v>109</v>
      </c>
      <c r="C1735" s="61" t="str">
        <f t="shared" si="511"/>
        <v>C100102</v>
      </c>
      <c r="F1735" s="8" t="str">
        <f>"C100028"</f>
        <v>C100028</v>
      </c>
      <c r="G1735" s="9" t="str">
        <f>"Twill Visor"</f>
        <v>Twill Visor</v>
      </c>
      <c r="H1735" s="47"/>
      <c r="I1735" s="47"/>
      <c r="J1735" s="23">
        <v>713.76</v>
      </c>
      <c r="K1735" s="25">
        <v>144</v>
      </c>
      <c r="L1735" s="24">
        <v>345.61</v>
      </c>
      <c r="M1735" s="24">
        <f>J1735-L1735</f>
        <v>368.15</v>
      </c>
      <c r="N1735" s="53">
        <f>IF(J1735&lt;&gt;0,M1735/J1735,"")</f>
        <v>0.51578962116117455</v>
      </c>
      <c r="O1735" s="23">
        <v>0</v>
      </c>
      <c r="P1735" s="25">
        <v>0</v>
      </c>
      <c r="Q1735" s="24">
        <v>0</v>
      </c>
      <c r="R1735" s="24">
        <f>O1735-Q1735</f>
        <v>0</v>
      </c>
      <c r="S1735" s="53" t="str">
        <f>IF(O1735&lt;&gt;0,R1735/O1735,"")</f>
        <v/>
      </c>
      <c r="T1735" s="10"/>
      <c r="U1735" s="23">
        <v>0</v>
      </c>
      <c r="V1735" s="25">
        <v>0</v>
      </c>
      <c r="W1735" s="24">
        <v>0</v>
      </c>
      <c r="X1735" s="24">
        <f>U1735-W1735</f>
        <v>0</v>
      </c>
      <c r="Y1735" s="53" t="str">
        <f>IF(U1735&lt;&gt;0,X1735/U1735,"")</f>
        <v/>
      </c>
      <c r="Z1735" s="23">
        <v>0</v>
      </c>
      <c r="AA1735" s="25">
        <v>0</v>
      </c>
      <c r="AB1735" s="24">
        <v>0</v>
      </c>
      <c r="AC1735" s="24">
        <f t="shared" si="512"/>
        <v>0</v>
      </c>
      <c r="AD1735" s="53" t="str">
        <f t="shared" si="513"/>
        <v/>
      </c>
      <c r="AE1735" s="10"/>
    </row>
    <row r="1736" spans="1:31" x14ac:dyDescent="0.25">
      <c r="A1736" s="14" t="s">
        <v>109</v>
      </c>
      <c r="C1736" s="61" t="str">
        <f t="shared" si="511"/>
        <v>C100102</v>
      </c>
      <c r="F1736" s="8" t="str">
        <f>"C100029"</f>
        <v>C100029</v>
      </c>
      <c r="G1736" s="9" t="str">
        <f>"Distressed Twill Visor"</f>
        <v>Distressed Twill Visor</v>
      </c>
      <c r="H1736" s="47"/>
      <c r="I1736" s="47"/>
      <c r="J1736" s="23">
        <v>960.33999999999992</v>
      </c>
      <c r="K1736" s="25">
        <v>288</v>
      </c>
      <c r="L1736" s="24">
        <v>596.18000000000006</v>
      </c>
      <c r="M1736" s="24">
        <f>J1736-L1736</f>
        <v>364.15999999999985</v>
      </c>
      <c r="N1736" s="53">
        <f>IF(J1736&lt;&gt;0,M1736/J1736,"")</f>
        <v>0.37919903367557312</v>
      </c>
      <c r="O1736" s="23">
        <v>0</v>
      </c>
      <c r="P1736" s="25">
        <v>0</v>
      </c>
      <c r="Q1736" s="24">
        <v>0</v>
      </c>
      <c r="R1736" s="24">
        <f>O1736-Q1736</f>
        <v>0</v>
      </c>
      <c r="S1736" s="53" t="str">
        <f>IF(O1736&lt;&gt;0,R1736/O1736,"")</f>
        <v/>
      </c>
      <c r="T1736" s="10"/>
      <c r="U1736" s="23">
        <v>477.71</v>
      </c>
      <c r="V1736" s="25">
        <v>144</v>
      </c>
      <c r="W1736" s="24">
        <v>298.09000000000003</v>
      </c>
      <c r="X1736" s="24">
        <f>U1736-W1736</f>
        <v>179.61999999999995</v>
      </c>
      <c r="Y1736" s="53">
        <f>IF(U1736&lt;&gt;0,X1736/U1736,"")</f>
        <v>0.37600217705302369</v>
      </c>
      <c r="Z1736" s="23">
        <v>0</v>
      </c>
      <c r="AA1736" s="25">
        <v>0</v>
      </c>
      <c r="AB1736" s="24">
        <v>0</v>
      </c>
      <c r="AC1736" s="24">
        <f t="shared" si="512"/>
        <v>0</v>
      </c>
      <c r="AD1736" s="53" t="str">
        <f t="shared" si="513"/>
        <v/>
      </c>
      <c r="AE1736" s="10"/>
    </row>
    <row r="1737" spans="1:31" x14ac:dyDescent="0.25">
      <c r="A1737" s="14" t="s">
        <v>109</v>
      </c>
      <c r="C1737" s="61" t="str">
        <f t="shared" si="511"/>
        <v>C100102</v>
      </c>
      <c r="F1737" s="8" t="str">
        <f>"C100030"</f>
        <v>C100030</v>
      </c>
      <c r="G1737" s="9" t="str">
        <f>"Fashion Visor"</f>
        <v>Fashion Visor</v>
      </c>
      <c r="H1737" s="47"/>
      <c r="I1737" s="47"/>
      <c r="J1737" s="23">
        <v>618.11</v>
      </c>
      <c r="K1737" s="25">
        <v>144</v>
      </c>
      <c r="L1737" s="24">
        <v>348.49</v>
      </c>
      <c r="M1737" s="24">
        <f>J1737-L1737</f>
        <v>269.62</v>
      </c>
      <c r="N1737" s="53">
        <f>IF(J1737&lt;&gt;0,M1737/J1737,"")</f>
        <v>0.4362006762550355</v>
      </c>
      <c r="O1737" s="23">
        <v>0</v>
      </c>
      <c r="P1737" s="25">
        <v>0</v>
      </c>
      <c r="Q1737" s="24">
        <v>0</v>
      </c>
      <c r="R1737" s="24">
        <f>O1737-Q1737</f>
        <v>0</v>
      </c>
      <c r="S1737" s="53" t="str">
        <f>IF(O1737&lt;&gt;0,R1737/O1737,"")</f>
        <v/>
      </c>
      <c r="T1737" s="10"/>
      <c r="U1737" s="23">
        <v>0</v>
      </c>
      <c r="V1737" s="25">
        <v>0</v>
      </c>
      <c r="W1737" s="24">
        <v>0</v>
      </c>
      <c r="X1737" s="24">
        <f>U1737-W1737</f>
        <v>0</v>
      </c>
      <c r="Y1737" s="53" t="str">
        <f>IF(U1737&lt;&gt;0,X1737/U1737,"")</f>
        <v/>
      </c>
      <c r="Z1737" s="23">
        <v>0</v>
      </c>
      <c r="AA1737" s="25">
        <v>0</v>
      </c>
      <c r="AB1737" s="24">
        <v>0</v>
      </c>
      <c r="AC1737" s="24">
        <f t="shared" si="512"/>
        <v>0</v>
      </c>
      <c r="AD1737" s="53" t="str">
        <f t="shared" si="513"/>
        <v/>
      </c>
      <c r="AE1737" s="10"/>
    </row>
    <row r="1738" spans="1:31" x14ac:dyDescent="0.25">
      <c r="A1738" s="14" t="s">
        <v>109</v>
      </c>
      <c r="C1738" s="61" t="str">
        <f t="shared" si="511"/>
        <v>C100102</v>
      </c>
      <c r="F1738" s="8" t="str">
        <f>"C100032"</f>
        <v>C100032</v>
      </c>
      <c r="G1738" s="9" t="str">
        <f>"Clip-on Clock"</f>
        <v>Clip-on Clock</v>
      </c>
      <c r="H1738" s="47"/>
      <c r="I1738" s="47"/>
      <c r="J1738" s="23">
        <v>2325.66</v>
      </c>
      <c r="K1738" s="25">
        <v>288</v>
      </c>
      <c r="L1738" s="24">
        <v>1198.1099999999999</v>
      </c>
      <c r="M1738" s="24">
        <f>J1738-L1738</f>
        <v>1127.55</v>
      </c>
      <c r="N1738" s="53">
        <f>IF(J1738&lt;&gt;0,M1738/J1738,"")</f>
        <v>0.48483011274218935</v>
      </c>
      <c r="O1738" s="23">
        <v>0</v>
      </c>
      <c r="P1738" s="25">
        <v>0</v>
      </c>
      <c r="Q1738" s="24">
        <v>0</v>
      </c>
      <c r="R1738" s="24">
        <f>O1738-Q1738</f>
        <v>0</v>
      </c>
      <c r="S1738" s="53" t="str">
        <f>IF(O1738&lt;&gt;0,R1738/O1738,"")</f>
        <v/>
      </c>
      <c r="T1738" s="10"/>
      <c r="U1738" s="23">
        <v>0</v>
      </c>
      <c r="V1738" s="25">
        <v>0</v>
      </c>
      <c r="W1738" s="24">
        <v>0</v>
      </c>
      <c r="X1738" s="24">
        <f>U1738-W1738</f>
        <v>0</v>
      </c>
      <c r="Y1738" s="53" t="str">
        <f>IF(U1738&lt;&gt;0,X1738/U1738,"")</f>
        <v/>
      </c>
      <c r="Z1738" s="23">
        <v>0</v>
      </c>
      <c r="AA1738" s="25">
        <v>0</v>
      </c>
      <c r="AB1738" s="24">
        <v>0</v>
      </c>
      <c r="AC1738" s="24">
        <f t="shared" si="512"/>
        <v>0</v>
      </c>
      <c r="AD1738" s="53" t="str">
        <f t="shared" si="513"/>
        <v/>
      </c>
      <c r="AE1738" s="10"/>
    </row>
    <row r="1739" spans="1:31" x14ac:dyDescent="0.25">
      <c r="A1739" s="14" t="s">
        <v>109</v>
      </c>
      <c r="C1739" s="61" t="str">
        <f t="shared" si="511"/>
        <v>C100102</v>
      </c>
      <c r="F1739" s="8" t="str">
        <f>"E100001"</f>
        <v>E100001</v>
      </c>
      <c r="G1739" s="9" t="str">
        <f>"Sport Bag"</f>
        <v>Sport Bag</v>
      </c>
      <c r="H1739" s="47"/>
      <c r="I1739" s="47"/>
      <c r="J1739" s="23">
        <v>258.94</v>
      </c>
      <c r="K1739" s="25">
        <v>146</v>
      </c>
      <c r="L1739" s="24">
        <v>127.02000000000001</v>
      </c>
      <c r="M1739" s="24">
        <f>J1739-L1739</f>
        <v>131.91999999999999</v>
      </c>
      <c r="N1739" s="53">
        <f>IF(J1739&lt;&gt;0,M1739/J1739,"")</f>
        <v>0.50946165134780252</v>
      </c>
      <c r="O1739" s="23">
        <v>0</v>
      </c>
      <c r="P1739" s="25">
        <v>0</v>
      </c>
      <c r="Q1739" s="24">
        <v>0</v>
      </c>
      <c r="R1739" s="24">
        <f>O1739-Q1739</f>
        <v>0</v>
      </c>
      <c r="S1739" s="53" t="str">
        <f>IF(O1739&lt;&gt;0,R1739/O1739,"")</f>
        <v/>
      </c>
      <c r="T1739" s="10"/>
      <c r="U1739" s="23">
        <v>0</v>
      </c>
      <c r="V1739" s="25">
        <v>0</v>
      </c>
      <c r="W1739" s="24">
        <v>0</v>
      </c>
      <c r="X1739" s="24">
        <f>U1739-W1739</f>
        <v>0</v>
      </c>
      <c r="Y1739" s="53" t="str">
        <f>IF(U1739&lt;&gt;0,X1739/U1739,"")</f>
        <v/>
      </c>
      <c r="Z1739" s="23">
        <v>0</v>
      </c>
      <c r="AA1739" s="25">
        <v>0</v>
      </c>
      <c r="AB1739" s="24">
        <v>0</v>
      </c>
      <c r="AC1739" s="24">
        <f t="shared" si="512"/>
        <v>0</v>
      </c>
      <c r="AD1739" s="53" t="str">
        <f t="shared" si="513"/>
        <v/>
      </c>
      <c r="AE1739" s="10"/>
    </row>
    <row r="1740" spans="1:31" x14ac:dyDescent="0.25">
      <c r="A1740" s="14" t="s">
        <v>109</v>
      </c>
      <c r="C1740" s="61" t="str">
        <f t="shared" si="511"/>
        <v>C100102</v>
      </c>
      <c r="F1740" s="8" t="str">
        <f>"E100011"</f>
        <v>E100011</v>
      </c>
      <c r="G1740" s="9" t="str">
        <f>"Plastic Sun Visor"</f>
        <v>Plastic Sun Visor</v>
      </c>
      <c r="H1740" s="47"/>
      <c r="I1740" s="47"/>
      <c r="J1740" s="23">
        <v>4.76</v>
      </c>
      <c r="K1740" s="25">
        <v>6</v>
      </c>
      <c r="L1740" s="24">
        <v>2.52</v>
      </c>
      <c r="M1740" s="24">
        <f>J1740-L1740</f>
        <v>2.2399999999999998</v>
      </c>
      <c r="N1740" s="53">
        <f>IF(J1740&lt;&gt;0,M1740/J1740,"")</f>
        <v>0.47058823529411764</v>
      </c>
      <c r="O1740" s="23">
        <v>0</v>
      </c>
      <c r="P1740" s="25">
        <v>0</v>
      </c>
      <c r="Q1740" s="24">
        <v>0</v>
      </c>
      <c r="R1740" s="24">
        <f>O1740-Q1740</f>
        <v>0</v>
      </c>
      <c r="S1740" s="53" t="str">
        <f>IF(O1740&lt;&gt;0,R1740/O1740,"")</f>
        <v/>
      </c>
      <c r="T1740" s="10"/>
      <c r="U1740" s="23">
        <v>568.83000000000004</v>
      </c>
      <c r="V1740" s="25">
        <v>721</v>
      </c>
      <c r="W1740" s="24">
        <v>302.76</v>
      </c>
      <c r="X1740" s="24">
        <f>U1740-W1740</f>
        <v>266.07000000000005</v>
      </c>
      <c r="Y1740" s="53">
        <f>IF(U1740&lt;&gt;0,X1740/U1740,"")</f>
        <v>0.46774959126628346</v>
      </c>
      <c r="Z1740" s="23">
        <v>38.1</v>
      </c>
      <c r="AA1740" s="25">
        <v>48</v>
      </c>
      <c r="AB1740" s="24">
        <v>20.16</v>
      </c>
      <c r="AC1740" s="24">
        <f t="shared" si="512"/>
        <v>17.940000000000001</v>
      </c>
      <c r="AD1740" s="53">
        <f t="shared" si="513"/>
        <v>0.47086614173228347</v>
      </c>
      <c r="AE1740" s="10"/>
    </row>
    <row r="1741" spans="1:31" x14ac:dyDescent="0.25">
      <c r="A1741" s="14" t="s">
        <v>109</v>
      </c>
      <c r="C1741" s="61" t="str">
        <f t="shared" si="511"/>
        <v>C100102</v>
      </c>
      <c r="F1741" s="8" t="str">
        <f>"E100016"</f>
        <v>E100016</v>
      </c>
      <c r="G1741" s="9" t="str">
        <f>"4 Function Rotating Carabiner Watch"</f>
        <v>4 Function Rotating Carabiner Watch</v>
      </c>
      <c r="H1741" s="47"/>
      <c r="I1741" s="47"/>
      <c r="J1741" s="23">
        <v>424.63</v>
      </c>
      <c r="K1741" s="25">
        <v>144</v>
      </c>
      <c r="L1741" s="24">
        <v>198.73000000000002</v>
      </c>
      <c r="M1741" s="24">
        <f>J1741-L1741</f>
        <v>225.89999999999998</v>
      </c>
      <c r="N1741" s="53">
        <f>IF(J1741&lt;&gt;0,M1741/J1741,"")</f>
        <v>0.5319925582271624</v>
      </c>
      <c r="O1741" s="23">
        <v>0</v>
      </c>
      <c r="P1741" s="25">
        <v>0</v>
      </c>
      <c r="Q1741" s="24">
        <v>0</v>
      </c>
      <c r="R1741" s="24">
        <f>O1741-Q1741</f>
        <v>0</v>
      </c>
      <c r="S1741" s="53" t="str">
        <f>IF(O1741&lt;&gt;0,R1741/O1741,"")</f>
        <v/>
      </c>
      <c r="T1741" s="10"/>
      <c r="U1741" s="23">
        <v>482.62999999999994</v>
      </c>
      <c r="V1741" s="25">
        <v>162</v>
      </c>
      <c r="W1741" s="24">
        <v>223.57000000000002</v>
      </c>
      <c r="X1741" s="24">
        <f>U1741-W1741</f>
        <v>259.05999999999995</v>
      </c>
      <c r="Y1741" s="53">
        <f>IF(U1741&lt;&gt;0,X1741/U1741,"")</f>
        <v>0.53676729585811067</v>
      </c>
      <c r="Z1741" s="23">
        <v>429.00000000000006</v>
      </c>
      <c r="AA1741" s="25">
        <v>144</v>
      </c>
      <c r="AB1741" s="24">
        <v>198.73000000000002</v>
      </c>
      <c r="AC1741" s="24">
        <f t="shared" si="512"/>
        <v>230.27000000000004</v>
      </c>
      <c r="AD1741" s="53">
        <f t="shared" si="513"/>
        <v>0.53675990675990681</v>
      </c>
      <c r="AE1741" s="10"/>
    </row>
    <row r="1742" spans="1:31" x14ac:dyDescent="0.25">
      <c r="A1742" s="14" t="s">
        <v>109</v>
      </c>
      <c r="C1742" s="61" t="str">
        <f t="shared" si="511"/>
        <v>C100102</v>
      </c>
      <c r="F1742" s="8" t="str">
        <f>"E100018"</f>
        <v>E100018</v>
      </c>
      <c r="G1742" s="9" t="str">
        <f>"Flexi-Clock &amp; Clip"</f>
        <v>Flexi-Clock &amp; Clip</v>
      </c>
      <c r="H1742" s="47"/>
      <c r="I1742" s="47"/>
      <c r="J1742" s="23">
        <v>2.19</v>
      </c>
      <c r="K1742" s="25">
        <v>2</v>
      </c>
      <c r="L1742" s="24">
        <v>1.2</v>
      </c>
      <c r="M1742" s="24">
        <f>J1742-L1742</f>
        <v>0.99</v>
      </c>
      <c r="N1742" s="53">
        <f>IF(J1742&lt;&gt;0,M1742/J1742,"")</f>
        <v>0.45205479452054798</v>
      </c>
      <c r="O1742" s="23">
        <v>0</v>
      </c>
      <c r="P1742" s="25">
        <v>0</v>
      </c>
      <c r="Q1742" s="24">
        <v>0</v>
      </c>
      <c r="R1742" s="24">
        <f>O1742-Q1742</f>
        <v>0</v>
      </c>
      <c r="S1742" s="53" t="str">
        <f>IF(O1742&lt;&gt;0,R1742/O1742,"")</f>
        <v/>
      </c>
      <c r="T1742" s="10"/>
      <c r="U1742" s="23">
        <v>318.94</v>
      </c>
      <c r="V1742" s="25">
        <v>288</v>
      </c>
      <c r="W1742" s="24">
        <v>172.78</v>
      </c>
      <c r="X1742" s="24">
        <f>U1742-W1742</f>
        <v>146.16</v>
      </c>
      <c r="Y1742" s="53">
        <f>IF(U1742&lt;&gt;0,X1742/U1742,"")</f>
        <v>0.45826801279237472</v>
      </c>
      <c r="Z1742" s="23">
        <v>0</v>
      </c>
      <c r="AA1742" s="25">
        <v>0</v>
      </c>
      <c r="AB1742" s="24">
        <v>0</v>
      </c>
      <c r="AC1742" s="24">
        <f t="shared" si="512"/>
        <v>0</v>
      </c>
      <c r="AD1742" s="53" t="str">
        <f t="shared" si="513"/>
        <v/>
      </c>
      <c r="AE1742" s="10"/>
    </row>
    <row r="1743" spans="1:31" x14ac:dyDescent="0.25">
      <c r="A1743" s="14" t="s">
        <v>109</v>
      </c>
      <c r="C1743" s="61" t="str">
        <f t="shared" si="511"/>
        <v>C100102</v>
      </c>
      <c r="F1743" s="8" t="str">
        <f>"S100001"</f>
        <v>S100001</v>
      </c>
      <c r="G1743" s="9" t="str">
        <f>"Basketball Graphic Plaque"</f>
        <v>Basketball Graphic Plaque</v>
      </c>
      <c r="H1743" s="47"/>
      <c r="I1743" s="47"/>
      <c r="J1743" s="23">
        <v>2394.8300000000004</v>
      </c>
      <c r="K1743" s="25">
        <v>146</v>
      </c>
      <c r="L1743" s="24">
        <v>1328.6</v>
      </c>
      <c r="M1743" s="24">
        <f>J1743-L1743</f>
        <v>1066.2300000000005</v>
      </c>
      <c r="N1743" s="53">
        <f>IF(J1743&lt;&gt;0,M1743/J1743,"")</f>
        <v>0.44522158149012675</v>
      </c>
      <c r="O1743" s="23">
        <v>0</v>
      </c>
      <c r="P1743" s="25">
        <v>0</v>
      </c>
      <c r="Q1743" s="24">
        <v>0</v>
      </c>
      <c r="R1743" s="24">
        <f>O1743-Q1743</f>
        <v>0</v>
      </c>
      <c r="S1743" s="53" t="str">
        <f>IF(O1743&lt;&gt;0,R1743/O1743,"")</f>
        <v/>
      </c>
      <c r="T1743" s="10"/>
      <c r="U1743" s="23">
        <v>0</v>
      </c>
      <c r="V1743" s="25">
        <v>0</v>
      </c>
      <c r="W1743" s="24">
        <v>0</v>
      </c>
      <c r="X1743" s="24">
        <f>U1743-W1743</f>
        <v>0</v>
      </c>
      <c r="Y1743" s="53" t="str">
        <f>IF(U1743&lt;&gt;0,X1743/U1743,"")</f>
        <v/>
      </c>
      <c r="Z1743" s="23">
        <v>787.45</v>
      </c>
      <c r="AA1743" s="25">
        <v>48</v>
      </c>
      <c r="AB1743" s="24">
        <v>436.8</v>
      </c>
      <c r="AC1743" s="24">
        <f t="shared" si="512"/>
        <v>350.65000000000003</v>
      </c>
      <c r="AD1743" s="53">
        <f t="shared" si="513"/>
        <v>0.44529811416597881</v>
      </c>
      <c r="AE1743" s="10"/>
    </row>
    <row r="1744" spans="1:31" x14ac:dyDescent="0.25">
      <c r="A1744" s="14" t="s">
        <v>109</v>
      </c>
      <c r="C1744" s="61" t="str">
        <f t="shared" si="511"/>
        <v>C100102</v>
      </c>
      <c r="F1744" s="8" t="str">
        <f>"S100002"</f>
        <v>S100002</v>
      </c>
      <c r="G1744" s="9" t="str">
        <f>"Football Graphic Plaque"</f>
        <v>Football Graphic Plaque</v>
      </c>
      <c r="H1744" s="47"/>
      <c r="I1744" s="47"/>
      <c r="J1744" s="23">
        <v>1151.43</v>
      </c>
      <c r="K1744" s="25">
        <v>48</v>
      </c>
      <c r="L1744" s="24">
        <v>570.72</v>
      </c>
      <c r="M1744" s="24">
        <f>J1744-L1744</f>
        <v>580.71</v>
      </c>
      <c r="N1744" s="53">
        <f>IF(J1744&lt;&gt;0,M1744/J1744,"")</f>
        <v>0.50433808394778668</v>
      </c>
      <c r="O1744" s="23">
        <v>0</v>
      </c>
      <c r="P1744" s="25">
        <v>0</v>
      </c>
      <c r="Q1744" s="24">
        <v>0</v>
      </c>
      <c r="R1744" s="24">
        <f>O1744-Q1744</f>
        <v>0</v>
      </c>
      <c r="S1744" s="53" t="str">
        <f>IF(O1744&lt;&gt;0,R1744/O1744,"")</f>
        <v/>
      </c>
      <c r="T1744" s="10"/>
      <c r="U1744" s="23">
        <v>3489.9</v>
      </c>
      <c r="V1744" s="25">
        <v>144</v>
      </c>
      <c r="W1744" s="24">
        <v>1712.1699999999998</v>
      </c>
      <c r="X1744" s="24">
        <f>U1744-W1744</f>
        <v>1777.7300000000002</v>
      </c>
      <c r="Y1744" s="53">
        <f>IF(U1744&lt;&gt;0,X1744/U1744,"")</f>
        <v>0.50939281927848945</v>
      </c>
      <c r="Z1744" s="23">
        <v>0</v>
      </c>
      <c r="AA1744" s="25">
        <v>0</v>
      </c>
      <c r="AB1744" s="24">
        <v>0</v>
      </c>
      <c r="AC1744" s="24">
        <f t="shared" si="512"/>
        <v>0</v>
      </c>
      <c r="AD1744" s="53" t="str">
        <f t="shared" si="513"/>
        <v/>
      </c>
      <c r="AE1744" s="10"/>
    </row>
    <row r="1745" spans="1:31" x14ac:dyDescent="0.25">
      <c r="A1745" s="14" t="s">
        <v>109</v>
      </c>
      <c r="C1745" s="61" t="str">
        <f t="shared" si="511"/>
        <v>C100102</v>
      </c>
      <c r="F1745" s="8" t="str">
        <f>"S100003"</f>
        <v>S100003</v>
      </c>
      <c r="G1745" s="9" t="str">
        <f>"Soccer #1 Pin"</f>
        <v>Soccer #1 Pin</v>
      </c>
      <c r="H1745" s="47"/>
      <c r="I1745" s="47"/>
      <c r="J1745" s="23">
        <v>209.52</v>
      </c>
      <c r="K1745" s="25">
        <v>144</v>
      </c>
      <c r="L1745" s="24">
        <v>129.6</v>
      </c>
      <c r="M1745" s="24">
        <f>J1745-L1745</f>
        <v>79.920000000000016</v>
      </c>
      <c r="N1745" s="53">
        <f>IF(J1745&lt;&gt;0,M1745/J1745,"")</f>
        <v>0.3814432989690722</v>
      </c>
      <c r="O1745" s="23">
        <v>0</v>
      </c>
      <c r="P1745" s="25">
        <v>0</v>
      </c>
      <c r="Q1745" s="24">
        <v>0</v>
      </c>
      <c r="R1745" s="24">
        <f>O1745-Q1745</f>
        <v>0</v>
      </c>
      <c r="S1745" s="53" t="str">
        <f>IF(O1745&lt;&gt;0,R1745/O1745,"")</f>
        <v/>
      </c>
      <c r="T1745" s="10"/>
      <c r="U1745" s="23">
        <v>220.41</v>
      </c>
      <c r="V1745" s="25">
        <v>150</v>
      </c>
      <c r="W1745" s="24">
        <v>135</v>
      </c>
      <c r="X1745" s="24">
        <f>U1745-W1745</f>
        <v>85.41</v>
      </c>
      <c r="Y1745" s="53">
        <f>IF(U1745&lt;&gt;0,X1745/U1745,"")</f>
        <v>0.3875051041241323</v>
      </c>
      <c r="Z1745" s="23">
        <v>0</v>
      </c>
      <c r="AA1745" s="25">
        <v>0</v>
      </c>
      <c r="AB1745" s="24">
        <v>0</v>
      </c>
      <c r="AC1745" s="24">
        <f t="shared" si="512"/>
        <v>0</v>
      </c>
      <c r="AD1745" s="53" t="str">
        <f t="shared" si="513"/>
        <v/>
      </c>
      <c r="AE1745" s="10"/>
    </row>
    <row r="1746" spans="1:31" x14ac:dyDescent="0.25">
      <c r="A1746" s="14" t="s">
        <v>109</v>
      </c>
      <c r="C1746" s="61" t="str">
        <f t="shared" si="511"/>
        <v>C100102</v>
      </c>
      <c r="F1746" s="8" t="str">
        <f>"S100004"</f>
        <v>S100004</v>
      </c>
      <c r="G1746" s="9" t="str">
        <f>"Award Medallian - 2''"</f>
        <v>Award Medallian - 2''</v>
      </c>
      <c r="H1746" s="47"/>
      <c r="I1746" s="47"/>
      <c r="J1746" s="23">
        <v>1988.9399999999998</v>
      </c>
      <c r="K1746" s="25">
        <v>145</v>
      </c>
      <c r="L1746" s="24">
        <v>967.15</v>
      </c>
      <c r="M1746" s="24">
        <f>J1746-L1746</f>
        <v>1021.7899999999998</v>
      </c>
      <c r="N1746" s="53">
        <f>IF(J1746&lt;&gt;0,M1746/J1746,"")</f>
        <v>0.51373595985801479</v>
      </c>
      <c r="O1746" s="23">
        <v>0</v>
      </c>
      <c r="P1746" s="25">
        <v>0</v>
      </c>
      <c r="Q1746" s="24">
        <v>0</v>
      </c>
      <c r="R1746" s="24">
        <f>O1746-Q1746</f>
        <v>0</v>
      </c>
      <c r="S1746" s="53" t="str">
        <f>IF(O1746&lt;&gt;0,R1746/O1746,"")</f>
        <v/>
      </c>
      <c r="T1746" s="10"/>
      <c r="U1746" s="23">
        <v>1995.4399999999998</v>
      </c>
      <c r="V1746" s="25">
        <v>144</v>
      </c>
      <c r="W1746" s="24">
        <v>960.48</v>
      </c>
      <c r="X1746" s="24">
        <f>U1746-W1746</f>
        <v>1034.9599999999998</v>
      </c>
      <c r="Y1746" s="53">
        <f>IF(U1746&lt;&gt;0,X1746/U1746,"")</f>
        <v>0.51866255061540312</v>
      </c>
      <c r="Z1746" s="23">
        <v>0</v>
      </c>
      <c r="AA1746" s="25">
        <v>0</v>
      </c>
      <c r="AB1746" s="24">
        <v>0</v>
      </c>
      <c r="AC1746" s="24">
        <f t="shared" si="512"/>
        <v>0</v>
      </c>
      <c r="AD1746" s="53" t="str">
        <f t="shared" si="513"/>
        <v/>
      </c>
      <c r="AE1746" s="10"/>
    </row>
    <row r="1747" spans="1:31" x14ac:dyDescent="0.25">
      <c r="A1747" s="14" t="s">
        <v>109</v>
      </c>
      <c r="C1747" s="61" t="str">
        <f t="shared" si="511"/>
        <v>C100102</v>
      </c>
      <c r="F1747" s="8" t="str">
        <f>"S100006"</f>
        <v>S100006</v>
      </c>
      <c r="G1747" s="9" t="str">
        <f>"Award Medallian - 3''"</f>
        <v>Award Medallian - 3''</v>
      </c>
      <c r="H1747" s="47"/>
      <c r="I1747" s="47"/>
      <c r="J1747" s="23">
        <v>1608.77</v>
      </c>
      <c r="K1747" s="25">
        <v>144</v>
      </c>
      <c r="L1747" s="24">
        <v>1065.5900000000001</v>
      </c>
      <c r="M1747" s="24">
        <f>J1747-L1747</f>
        <v>543.17999999999984</v>
      </c>
      <c r="N1747" s="53">
        <f>IF(J1747&lt;&gt;0,M1747/J1747,"")</f>
        <v>0.33763682813578066</v>
      </c>
      <c r="O1747" s="23">
        <v>0</v>
      </c>
      <c r="P1747" s="25">
        <v>0</v>
      </c>
      <c r="Q1747" s="24">
        <v>0</v>
      </c>
      <c r="R1747" s="24">
        <f>O1747-Q1747</f>
        <v>0</v>
      </c>
      <c r="S1747" s="53" t="str">
        <f>IF(O1747&lt;&gt;0,R1747/O1747,"")</f>
        <v/>
      </c>
      <c r="T1747" s="10"/>
      <c r="U1747" s="23">
        <v>1592.35</v>
      </c>
      <c r="V1747" s="25">
        <v>144</v>
      </c>
      <c r="W1747" s="24">
        <v>1065.5900000000001</v>
      </c>
      <c r="X1747" s="24">
        <f>U1747-W1747</f>
        <v>526.75999999999976</v>
      </c>
      <c r="Y1747" s="53">
        <f>IF(U1747&lt;&gt;0,X1747/U1747,"")</f>
        <v>0.33080666938801129</v>
      </c>
      <c r="Z1747" s="23">
        <v>0</v>
      </c>
      <c r="AA1747" s="25">
        <v>0</v>
      </c>
      <c r="AB1747" s="24">
        <v>0</v>
      </c>
      <c r="AC1747" s="24">
        <f t="shared" si="512"/>
        <v>0</v>
      </c>
      <c r="AD1747" s="53" t="str">
        <f t="shared" si="513"/>
        <v/>
      </c>
      <c r="AE1747" s="10"/>
    </row>
    <row r="1748" spans="1:31" x14ac:dyDescent="0.25">
      <c r="A1748" s="14" t="s">
        <v>109</v>
      </c>
      <c r="C1748" s="61" t="str">
        <f t="shared" si="511"/>
        <v>C100102</v>
      </c>
      <c r="F1748" s="8" t="str">
        <f>"S100007"</f>
        <v>S100007</v>
      </c>
      <c r="G1748" s="9" t="str">
        <f>"Baseball Figure Trophy"</f>
        <v>Baseball Figure Trophy</v>
      </c>
      <c r="H1748" s="47"/>
      <c r="I1748" s="47"/>
      <c r="J1748" s="23">
        <v>7.25</v>
      </c>
      <c r="K1748" s="25">
        <v>1</v>
      </c>
      <c r="L1748" s="24">
        <v>3.68</v>
      </c>
      <c r="M1748" s="24">
        <f>J1748-L1748</f>
        <v>3.57</v>
      </c>
      <c r="N1748" s="53">
        <f>IF(J1748&lt;&gt;0,M1748/J1748,"")</f>
        <v>0.49241379310344824</v>
      </c>
      <c r="O1748" s="23">
        <v>0</v>
      </c>
      <c r="P1748" s="25">
        <v>0</v>
      </c>
      <c r="Q1748" s="24">
        <v>0</v>
      </c>
      <c r="R1748" s="24">
        <f>O1748-Q1748</f>
        <v>0</v>
      </c>
      <c r="S1748" s="53" t="str">
        <f>IF(O1748&lt;&gt;0,R1748/O1748,"")</f>
        <v/>
      </c>
      <c r="T1748" s="10"/>
      <c r="U1748" s="23">
        <v>1033.6299999999999</v>
      </c>
      <c r="V1748" s="25">
        <v>144</v>
      </c>
      <c r="W1748" s="24">
        <v>529.91999999999996</v>
      </c>
      <c r="X1748" s="24">
        <f>U1748-W1748</f>
        <v>503.70999999999992</v>
      </c>
      <c r="Y1748" s="53">
        <f>IF(U1748&lt;&gt;0,X1748/U1748,"")</f>
        <v>0.48732138192583419</v>
      </c>
      <c r="Z1748" s="23">
        <v>0</v>
      </c>
      <c r="AA1748" s="25">
        <v>0</v>
      </c>
      <c r="AB1748" s="24">
        <v>0</v>
      </c>
      <c r="AC1748" s="24">
        <f t="shared" si="512"/>
        <v>0</v>
      </c>
      <c r="AD1748" s="53" t="str">
        <f t="shared" si="513"/>
        <v/>
      </c>
      <c r="AE1748" s="10"/>
    </row>
    <row r="1749" spans="1:31" x14ac:dyDescent="0.25">
      <c r="A1749" s="14" t="s">
        <v>109</v>
      </c>
      <c r="C1749" s="61" t="str">
        <f t="shared" si="511"/>
        <v>C100102</v>
      </c>
      <c r="F1749" s="8" t="str">
        <f>"S100009"</f>
        <v>S100009</v>
      </c>
      <c r="G1749" s="9" t="str">
        <f>"Engraved Basketball Award"</f>
        <v>Engraved Basketball Award</v>
      </c>
      <c r="H1749" s="47"/>
      <c r="I1749" s="47"/>
      <c r="J1749" s="23">
        <v>2673.48</v>
      </c>
      <c r="K1749" s="25">
        <v>144</v>
      </c>
      <c r="L1749" s="24">
        <v>1270.07</v>
      </c>
      <c r="M1749" s="24">
        <f>J1749-L1749</f>
        <v>1403.41</v>
      </c>
      <c r="N1749" s="53">
        <f>IF(J1749&lt;&gt;0,M1749/J1749,"")</f>
        <v>0.52493753459909931</v>
      </c>
      <c r="O1749" s="23">
        <v>0</v>
      </c>
      <c r="P1749" s="25">
        <v>0</v>
      </c>
      <c r="Q1749" s="24">
        <v>0</v>
      </c>
      <c r="R1749" s="24">
        <f>O1749-Q1749</f>
        <v>0</v>
      </c>
      <c r="S1749" s="53" t="str">
        <f>IF(O1749&lt;&gt;0,R1749/O1749,"")</f>
        <v/>
      </c>
      <c r="T1749" s="10"/>
      <c r="U1749" s="23">
        <v>5374.52</v>
      </c>
      <c r="V1749" s="25">
        <v>288</v>
      </c>
      <c r="W1749" s="24">
        <v>2540.14</v>
      </c>
      <c r="X1749" s="24">
        <f>U1749-W1749</f>
        <v>2834.3800000000006</v>
      </c>
      <c r="Y1749" s="53">
        <f>IF(U1749&lt;&gt;0,X1749/U1749,"")</f>
        <v>0.52737360731749072</v>
      </c>
      <c r="Z1749" s="23">
        <v>0</v>
      </c>
      <c r="AA1749" s="25">
        <v>0</v>
      </c>
      <c r="AB1749" s="24">
        <v>0</v>
      </c>
      <c r="AC1749" s="24">
        <f t="shared" si="512"/>
        <v>0</v>
      </c>
      <c r="AD1749" s="53" t="str">
        <f t="shared" si="513"/>
        <v/>
      </c>
      <c r="AE1749" s="10"/>
    </row>
    <row r="1750" spans="1:31" x14ac:dyDescent="0.25">
      <c r="A1750" s="14" t="s">
        <v>109</v>
      </c>
      <c r="C1750" s="61" t="str">
        <f t="shared" si="511"/>
        <v>C100102</v>
      </c>
      <c r="F1750" s="8" t="str">
        <f>"S100010"</f>
        <v>S100010</v>
      </c>
      <c r="G1750" s="9" t="str">
        <f>"Golf Relaxed Cap"</f>
        <v>Golf Relaxed Cap</v>
      </c>
      <c r="H1750" s="47"/>
      <c r="I1750" s="47"/>
      <c r="J1750" s="23">
        <v>1437.31</v>
      </c>
      <c r="K1750" s="25">
        <v>144</v>
      </c>
      <c r="L1750" s="24">
        <v>876.97</v>
      </c>
      <c r="M1750" s="24">
        <f>J1750-L1750</f>
        <v>560.33999999999992</v>
      </c>
      <c r="N1750" s="53">
        <f>IF(J1750&lt;&gt;0,M1750/J1750,"")</f>
        <v>0.38985326756232125</v>
      </c>
      <c r="O1750" s="23">
        <v>0</v>
      </c>
      <c r="P1750" s="25">
        <v>0</v>
      </c>
      <c r="Q1750" s="24">
        <v>0</v>
      </c>
      <c r="R1750" s="24">
        <f>O1750-Q1750</f>
        <v>0</v>
      </c>
      <c r="S1750" s="53" t="str">
        <f>IF(O1750&lt;&gt;0,R1750/O1750,"")</f>
        <v/>
      </c>
      <c r="T1750" s="10"/>
      <c r="U1750" s="23">
        <v>0</v>
      </c>
      <c r="V1750" s="25">
        <v>0</v>
      </c>
      <c r="W1750" s="24">
        <v>0</v>
      </c>
      <c r="X1750" s="24">
        <f>U1750-W1750</f>
        <v>0</v>
      </c>
      <c r="Y1750" s="53" t="str">
        <f>IF(U1750&lt;&gt;0,X1750/U1750,"")</f>
        <v/>
      </c>
      <c r="Z1750" s="23">
        <v>121.01</v>
      </c>
      <c r="AA1750" s="25">
        <v>12</v>
      </c>
      <c r="AB1750" s="24">
        <v>73.08</v>
      </c>
      <c r="AC1750" s="24">
        <f t="shared" si="512"/>
        <v>47.930000000000007</v>
      </c>
      <c r="AD1750" s="53">
        <f t="shared" si="513"/>
        <v>0.39608296834972323</v>
      </c>
      <c r="AE1750" s="10"/>
    </row>
    <row r="1751" spans="1:31" x14ac:dyDescent="0.25">
      <c r="A1751" s="14" t="s">
        <v>109</v>
      </c>
      <c r="C1751" s="61" t="str">
        <f t="shared" si="511"/>
        <v>C100102</v>
      </c>
      <c r="F1751" s="8" t="str">
        <f>"S100011"</f>
        <v>S100011</v>
      </c>
      <c r="G1751" s="9" t="str">
        <f>"All Star Cap"</f>
        <v>All Star Cap</v>
      </c>
      <c r="H1751" s="47"/>
      <c r="I1751" s="47"/>
      <c r="J1751" s="23">
        <v>33.93</v>
      </c>
      <c r="K1751" s="25">
        <v>24</v>
      </c>
      <c r="L1751" s="24">
        <v>20.399999999999999</v>
      </c>
      <c r="M1751" s="24">
        <f>J1751-L1751</f>
        <v>13.530000000000001</v>
      </c>
      <c r="N1751" s="53">
        <f>IF(J1751&lt;&gt;0,M1751/J1751,"")</f>
        <v>0.39876215738284709</v>
      </c>
      <c r="O1751" s="23">
        <v>0</v>
      </c>
      <c r="P1751" s="25">
        <v>0</v>
      </c>
      <c r="Q1751" s="24">
        <v>0</v>
      </c>
      <c r="R1751" s="24">
        <f>O1751-Q1751</f>
        <v>0</v>
      </c>
      <c r="S1751" s="53" t="str">
        <f>IF(O1751&lt;&gt;0,R1751/O1751,"")</f>
        <v/>
      </c>
      <c r="T1751" s="10"/>
      <c r="U1751" s="23">
        <v>8.5299999999999994</v>
      </c>
      <c r="V1751" s="25">
        <v>6</v>
      </c>
      <c r="W1751" s="24">
        <v>5.0999999999999996</v>
      </c>
      <c r="X1751" s="24">
        <f>U1751-W1751</f>
        <v>3.4299999999999997</v>
      </c>
      <c r="Y1751" s="53">
        <f>IF(U1751&lt;&gt;0,X1751/U1751,"")</f>
        <v>0.40211019929660025</v>
      </c>
      <c r="Z1751" s="23">
        <v>0</v>
      </c>
      <c r="AA1751" s="25">
        <v>0</v>
      </c>
      <c r="AB1751" s="24">
        <v>0</v>
      </c>
      <c r="AC1751" s="24">
        <f t="shared" si="512"/>
        <v>0</v>
      </c>
      <c r="AD1751" s="53" t="str">
        <f t="shared" si="513"/>
        <v/>
      </c>
      <c r="AE1751" s="10"/>
    </row>
    <row r="1752" spans="1:31" x14ac:dyDescent="0.25">
      <c r="A1752" s="14" t="s">
        <v>109</v>
      </c>
      <c r="C1752" s="61" t="str">
        <f t="shared" si="511"/>
        <v>C100102</v>
      </c>
      <c r="F1752" s="8" t="str">
        <f>"S100014"</f>
        <v>S100014</v>
      </c>
      <c r="G1752" s="9" t="str">
        <f>"Chunky Knit Hat"</f>
        <v>Chunky Knit Hat</v>
      </c>
      <c r="H1752" s="47"/>
      <c r="I1752" s="47"/>
      <c r="J1752" s="23">
        <v>9.6</v>
      </c>
      <c r="K1752" s="25">
        <v>1</v>
      </c>
      <c r="L1752" s="24">
        <v>5.16</v>
      </c>
      <c r="M1752" s="24">
        <f>J1752-L1752</f>
        <v>4.4399999999999995</v>
      </c>
      <c r="N1752" s="53">
        <f>IF(J1752&lt;&gt;0,M1752/J1752,"")</f>
        <v>0.46249999999999997</v>
      </c>
      <c r="O1752" s="23">
        <v>0</v>
      </c>
      <c r="P1752" s="25">
        <v>0</v>
      </c>
      <c r="Q1752" s="24">
        <v>0</v>
      </c>
      <c r="R1752" s="24">
        <f>O1752-Q1752</f>
        <v>0</v>
      </c>
      <c r="S1752" s="53" t="str">
        <f>IF(O1752&lt;&gt;0,R1752/O1752,"")</f>
        <v/>
      </c>
      <c r="T1752" s="10"/>
      <c r="U1752" s="23">
        <v>9.51</v>
      </c>
      <c r="V1752" s="25">
        <v>1</v>
      </c>
      <c r="W1752" s="24">
        <v>5.16</v>
      </c>
      <c r="X1752" s="24">
        <f>U1752-W1752</f>
        <v>4.3499999999999996</v>
      </c>
      <c r="Y1752" s="53">
        <f>IF(U1752&lt;&gt;0,X1752/U1752,"")</f>
        <v>0.45741324921135645</v>
      </c>
      <c r="Z1752" s="23">
        <v>0</v>
      </c>
      <c r="AA1752" s="25">
        <v>0</v>
      </c>
      <c r="AB1752" s="24">
        <v>0</v>
      </c>
      <c r="AC1752" s="24">
        <f t="shared" si="512"/>
        <v>0</v>
      </c>
      <c r="AD1752" s="53" t="str">
        <f t="shared" si="513"/>
        <v/>
      </c>
      <c r="AE1752" s="10"/>
    </row>
    <row r="1753" spans="1:31" x14ac:dyDescent="0.25">
      <c r="A1753" s="14" t="s">
        <v>109</v>
      </c>
      <c r="C1753" s="61" t="str">
        <f t="shared" si="511"/>
        <v>C100102</v>
      </c>
      <c r="F1753" s="8" t="str">
        <f>"S100015"</f>
        <v>S100015</v>
      </c>
      <c r="G1753" s="9" t="str">
        <f>"Raw-Edge Bucket Hat"</f>
        <v>Raw-Edge Bucket Hat</v>
      </c>
      <c r="H1753" s="47"/>
      <c r="I1753" s="47"/>
      <c r="J1753" s="23">
        <v>1042.8800000000001</v>
      </c>
      <c r="K1753" s="25">
        <v>144</v>
      </c>
      <c r="L1753" s="24">
        <v>524.17000000000007</v>
      </c>
      <c r="M1753" s="24">
        <f>J1753-L1753</f>
        <v>518.71</v>
      </c>
      <c r="N1753" s="53">
        <f>IF(J1753&lt;&gt;0,M1753/J1753,"")</f>
        <v>0.49738224915618284</v>
      </c>
      <c r="O1753" s="23">
        <v>0</v>
      </c>
      <c r="P1753" s="25">
        <v>0</v>
      </c>
      <c r="Q1753" s="24">
        <v>0</v>
      </c>
      <c r="R1753" s="24">
        <f>O1753-Q1753</f>
        <v>0</v>
      </c>
      <c r="S1753" s="53" t="str">
        <f>IF(O1753&lt;&gt;0,R1753/O1753,"")</f>
        <v/>
      </c>
      <c r="T1753" s="10"/>
      <c r="U1753" s="23">
        <v>2085.75</v>
      </c>
      <c r="V1753" s="25">
        <v>288</v>
      </c>
      <c r="W1753" s="24">
        <v>1048.3400000000001</v>
      </c>
      <c r="X1753" s="24">
        <f>U1753-W1753</f>
        <v>1037.4099999999999</v>
      </c>
      <c r="Y1753" s="53">
        <f>IF(U1753&lt;&gt;0,X1753/U1753,"")</f>
        <v>0.49737983938631181</v>
      </c>
      <c r="Z1753" s="23">
        <v>0</v>
      </c>
      <c r="AA1753" s="25">
        <v>0</v>
      </c>
      <c r="AB1753" s="24">
        <v>0</v>
      </c>
      <c r="AC1753" s="24">
        <f t="shared" si="512"/>
        <v>0</v>
      </c>
      <c r="AD1753" s="53" t="str">
        <f t="shared" si="513"/>
        <v/>
      </c>
      <c r="AE1753" s="10"/>
    </row>
    <row r="1754" spans="1:31" x14ac:dyDescent="0.25">
      <c r="A1754" s="14" t="s">
        <v>109</v>
      </c>
      <c r="C1754" s="61" t="str">
        <f t="shared" si="511"/>
        <v>C100102</v>
      </c>
      <c r="F1754" s="8" t="str">
        <f>"S100016"</f>
        <v>S100016</v>
      </c>
      <c r="G1754" s="9" t="str">
        <f>"Mesh Bucket Hat"</f>
        <v>Mesh Bucket Hat</v>
      </c>
      <c r="H1754" s="47"/>
      <c r="I1754" s="47"/>
      <c r="J1754" s="23">
        <v>702.78</v>
      </c>
      <c r="K1754" s="25">
        <v>144</v>
      </c>
      <c r="L1754" s="24">
        <v>396.01</v>
      </c>
      <c r="M1754" s="24">
        <f>J1754-L1754</f>
        <v>306.77</v>
      </c>
      <c r="N1754" s="53">
        <f>IF(J1754&lt;&gt;0,M1754/J1754,"")</f>
        <v>0.43650929167022395</v>
      </c>
      <c r="O1754" s="23">
        <v>0</v>
      </c>
      <c r="P1754" s="25">
        <v>0</v>
      </c>
      <c r="Q1754" s="24">
        <v>0</v>
      </c>
      <c r="R1754" s="24">
        <f>O1754-Q1754</f>
        <v>0</v>
      </c>
      <c r="S1754" s="53" t="str">
        <f>IF(O1754&lt;&gt;0,R1754/O1754,"")</f>
        <v/>
      </c>
      <c r="T1754" s="10"/>
      <c r="U1754" s="23">
        <v>0</v>
      </c>
      <c r="V1754" s="25">
        <v>0</v>
      </c>
      <c r="W1754" s="24">
        <v>0</v>
      </c>
      <c r="X1754" s="24">
        <f>U1754-W1754</f>
        <v>0</v>
      </c>
      <c r="Y1754" s="53" t="str">
        <f>IF(U1754&lt;&gt;0,X1754/U1754,"")</f>
        <v/>
      </c>
      <c r="Z1754" s="23">
        <v>702.78</v>
      </c>
      <c r="AA1754" s="25">
        <v>144</v>
      </c>
      <c r="AB1754" s="24">
        <v>396.01</v>
      </c>
      <c r="AC1754" s="24">
        <f t="shared" si="512"/>
        <v>306.77</v>
      </c>
      <c r="AD1754" s="53">
        <f t="shared" si="513"/>
        <v>0.43650929167022395</v>
      </c>
      <c r="AE1754" s="10"/>
    </row>
    <row r="1755" spans="1:31" x14ac:dyDescent="0.25">
      <c r="A1755" s="14" t="s">
        <v>109</v>
      </c>
      <c r="C1755" s="61" t="str">
        <f t="shared" si="511"/>
        <v>C100102</v>
      </c>
      <c r="F1755" s="8" t="str">
        <f>"S100017"</f>
        <v>S100017</v>
      </c>
      <c r="G1755" s="9" t="str">
        <f>"Microfiber Bucket Hat"</f>
        <v>Microfiber Bucket Hat</v>
      </c>
      <c r="H1755" s="47"/>
      <c r="I1755" s="47"/>
      <c r="J1755" s="23">
        <v>1030.8399999999999</v>
      </c>
      <c r="K1755" s="25">
        <v>144</v>
      </c>
      <c r="L1755" s="24">
        <v>685.44</v>
      </c>
      <c r="M1755" s="24">
        <f>J1755-L1755</f>
        <v>345.39999999999986</v>
      </c>
      <c r="N1755" s="53">
        <f>IF(J1755&lt;&gt;0,M1755/J1755,"")</f>
        <v>0.33506654766986138</v>
      </c>
      <c r="O1755" s="23">
        <v>0</v>
      </c>
      <c r="P1755" s="25">
        <v>0</v>
      </c>
      <c r="Q1755" s="24">
        <v>0</v>
      </c>
      <c r="R1755" s="24">
        <f>O1755-Q1755</f>
        <v>0</v>
      </c>
      <c r="S1755" s="53" t="str">
        <f>IF(O1755&lt;&gt;0,R1755/O1755,"")</f>
        <v/>
      </c>
      <c r="T1755" s="10"/>
      <c r="U1755" s="23">
        <v>701.48</v>
      </c>
      <c r="V1755" s="25">
        <v>96.999999999999986</v>
      </c>
      <c r="W1755" s="24">
        <v>461.72</v>
      </c>
      <c r="X1755" s="24">
        <f>U1755-W1755</f>
        <v>239.76</v>
      </c>
      <c r="Y1755" s="53">
        <f>IF(U1755&lt;&gt;0,X1755/U1755,"")</f>
        <v>0.34179164053144778</v>
      </c>
      <c r="Z1755" s="23">
        <v>0</v>
      </c>
      <c r="AA1755" s="25">
        <v>0</v>
      </c>
      <c r="AB1755" s="24">
        <v>0</v>
      </c>
      <c r="AC1755" s="24">
        <f t="shared" si="512"/>
        <v>0</v>
      </c>
      <c r="AD1755" s="53" t="str">
        <f t="shared" si="513"/>
        <v/>
      </c>
      <c r="AE1755" s="10"/>
    </row>
    <row r="1756" spans="1:31" x14ac:dyDescent="0.25">
      <c r="A1756" s="14" t="s">
        <v>109</v>
      </c>
      <c r="C1756" s="61" t="str">
        <f t="shared" si="511"/>
        <v>C100102</v>
      </c>
      <c r="F1756" s="8" t="str">
        <f>"S100020"</f>
        <v>S100020</v>
      </c>
      <c r="G1756" s="9" t="str">
        <f>"Super Sport Stopwatch"</f>
        <v>Super Sport Stopwatch</v>
      </c>
      <c r="H1756" s="47"/>
      <c r="I1756" s="47"/>
      <c r="J1756" s="23">
        <v>307.64</v>
      </c>
      <c r="K1756" s="25">
        <v>144</v>
      </c>
      <c r="L1756" s="24">
        <v>151.19999999999999</v>
      </c>
      <c r="M1756" s="24">
        <f>J1756-L1756</f>
        <v>156.44</v>
      </c>
      <c r="N1756" s="53">
        <f>IF(J1756&lt;&gt;0,M1756/J1756,"")</f>
        <v>0.50851644779612537</v>
      </c>
      <c r="O1756" s="23">
        <v>0</v>
      </c>
      <c r="P1756" s="25">
        <v>0</v>
      </c>
      <c r="Q1756" s="24">
        <v>0</v>
      </c>
      <c r="R1756" s="24">
        <f>O1756-Q1756</f>
        <v>0</v>
      </c>
      <c r="S1756" s="53" t="str">
        <f>IF(O1756&lt;&gt;0,R1756/O1756,"")</f>
        <v/>
      </c>
      <c r="T1756" s="10"/>
      <c r="U1756" s="23">
        <v>2.14</v>
      </c>
      <c r="V1756" s="25">
        <v>1</v>
      </c>
      <c r="W1756" s="24">
        <v>1.05</v>
      </c>
      <c r="X1756" s="24">
        <f>U1756-W1756</f>
        <v>1.0900000000000001</v>
      </c>
      <c r="Y1756" s="53">
        <f>IF(U1756&lt;&gt;0,X1756/U1756,"")</f>
        <v>0.50934579439252337</v>
      </c>
      <c r="Z1756" s="23">
        <v>307.64</v>
      </c>
      <c r="AA1756" s="25">
        <v>144</v>
      </c>
      <c r="AB1756" s="24">
        <v>151.19999999999999</v>
      </c>
      <c r="AC1756" s="24">
        <f t="shared" si="512"/>
        <v>156.44</v>
      </c>
      <c r="AD1756" s="53">
        <f t="shared" si="513"/>
        <v>0.50851644779612537</v>
      </c>
      <c r="AE1756" s="10"/>
    </row>
    <row r="1757" spans="1:31" ht="15.75" thickBot="1" x14ac:dyDescent="0.3">
      <c r="A1757" s="14" t="s">
        <v>109</v>
      </c>
      <c r="C1757" s="61" t="str">
        <f>C1728</f>
        <v>C100102</v>
      </c>
      <c r="J1757" s="10"/>
      <c r="K1757" s="11"/>
      <c r="L1757" s="11"/>
      <c r="M1757" s="11"/>
      <c r="N1757" s="12"/>
      <c r="O1757" s="10"/>
      <c r="P1757" s="11"/>
      <c r="Q1757" s="11"/>
      <c r="R1757" s="11"/>
      <c r="S1757" s="12"/>
      <c r="U1757" s="10"/>
      <c r="V1757" s="11"/>
      <c r="W1757" s="11"/>
      <c r="X1757" s="11"/>
      <c r="Y1757" s="12"/>
      <c r="Z1757" s="10"/>
      <c r="AA1757" s="11"/>
      <c r="AB1757" s="11"/>
      <c r="AC1757" s="11"/>
      <c r="AD1757" s="12"/>
    </row>
    <row r="1758" spans="1:31" ht="15.75" thickBot="1" x14ac:dyDescent="0.3">
      <c r="A1758" s="14" t="s">
        <v>109</v>
      </c>
      <c r="C1758" s="61" t="str">
        <f t="shared" si="508"/>
        <v>C100102</v>
      </c>
      <c r="G1758" s="48" t="str">
        <f>C1758&amp;" TOTAL:"</f>
        <v>C100102 TOTAL:</v>
      </c>
      <c r="H1758" s="50"/>
      <c r="I1758" s="50"/>
      <c r="J1758" s="34">
        <f>SUBTOTAL(9,J1727:J1757)</f>
        <v>39019.429999999986</v>
      </c>
      <c r="K1758" s="35">
        <f>SUBTOTAL(9,K1727:K1757)</f>
        <v>3520</v>
      </c>
      <c r="L1758" s="36">
        <f>SUBTOTAL(9,L1727:L1757)</f>
        <v>20950.710000000003</v>
      </c>
      <c r="M1758" s="36">
        <f>J1758-L1758</f>
        <v>18068.719999999983</v>
      </c>
      <c r="N1758" s="37">
        <f>IF(J1758&lt;&gt;0,M1758/J1758,"")</f>
        <v>0.46306980906691847</v>
      </c>
      <c r="O1758" s="34">
        <f>SUBTOTAL(9,O1727:O1757)</f>
        <v>0</v>
      </c>
      <c r="P1758" s="35">
        <f>SUBTOTAL(9,P1727:P1757)</f>
        <v>0</v>
      </c>
      <c r="Q1758" s="36">
        <f>SUBTOTAL(9,Q1727:Q1757)</f>
        <v>0</v>
      </c>
      <c r="R1758" s="36">
        <f>O1758-Q1758</f>
        <v>0</v>
      </c>
      <c r="S1758" s="37" t="str">
        <f>IF(O1758&lt;&gt;0,R1758/O1758,"")</f>
        <v/>
      </c>
      <c r="U1758" s="34">
        <f>SUBTOTAL(9,U1727:U1757)</f>
        <v>27091.669999999995</v>
      </c>
      <c r="V1758" s="35">
        <f>SUBTOTAL(9,V1727:V1757)</f>
        <v>3377</v>
      </c>
      <c r="W1758" s="36">
        <f>SUBTOTAL(9,W1727:W1757)</f>
        <v>14107.869999999999</v>
      </c>
      <c r="X1758" s="36">
        <f>U1758-W1758</f>
        <v>12983.799999999996</v>
      </c>
      <c r="Y1758" s="37">
        <f>IF(U1758&lt;&gt;0,X1758/U1758,"")</f>
        <v>0.47925432429968318</v>
      </c>
      <c r="Z1758" s="34">
        <f>SUBTOTAL(9,Z1727:Z1757)</f>
        <v>2369.7800000000002</v>
      </c>
      <c r="AA1758" s="35">
        <f>SUBTOTAL(9,AA1727:AA1757)</f>
        <v>538</v>
      </c>
      <c r="AB1758" s="36">
        <f>SUBTOTAL(9,AB1727:AB1757)</f>
        <v>1266.9800000000002</v>
      </c>
      <c r="AC1758" s="36">
        <f t="shared" ref="AC1758" si="514">Z1758-AB1758</f>
        <v>1102.8</v>
      </c>
      <c r="AD1758" s="37">
        <f t="shared" ref="AD1758" si="515">IF(Z1758&lt;&gt;0,AC1758/Z1758,"")</f>
        <v>0.46535965363873433</v>
      </c>
    </row>
    <row r="1759" spans="1:31" x14ac:dyDescent="0.25">
      <c r="A1759" s="14" t="s">
        <v>109</v>
      </c>
      <c r="C1759" s="66"/>
      <c r="J1759" s="10"/>
      <c r="K1759" s="11"/>
      <c r="L1759" s="11"/>
      <c r="M1759" s="11"/>
      <c r="N1759" s="12"/>
      <c r="O1759" s="10"/>
      <c r="P1759" s="11"/>
      <c r="Q1759" s="11"/>
      <c r="R1759" s="11"/>
      <c r="S1759" s="12"/>
      <c r="U1759" s="10"/>
      <c r="V1759" s="11"/>
      <c r="W1759" s="11"/>
      <c r="X1759" s="11"/>
      <c r="Y1759" s="12"/>
      <c r="Z1759" s="10"/>
      <c r="AA1759" s="11"/>
      <c r="AB1759" s="11"/>
      <c r="AC1759" s="11"/>
      <c r="AD1759" s="12"/>
    </row>
    <row r="1760" spans="1:31" ht="15.75" x14ac:dyDescent="0.25">
      <c r="A1760" s="14" t="s">
        <v>109</v>
      </c>
      <c r="C1760" s="66" t="str">
        <f t="shared" ref="C1760" si="516">E1760</f>
        <v>C100104</v>
      </c>
      <c r="E1760" s="13" t="str">
        <f>"C100104"</f>
        <v>C100104</v>
      </c>
      <c r="F1760" s="13"/>
      <c r="G1760" s="13" t="str">
        <f>"DenoTech"</f>
        <v>DenoTech</v>
      </c>
      <c r="H1760" s="13"/>
      <c r="I1760" s="13"/>
      <c r="J1760" s="10"/>
      <c r="K1760" s="11"/>
      <c r="L1760" s="11"/>
      <c r="M1760" s="11"/>
      <c r="N1760" s="12"/>
      <c r="O1760" s="10"/>
      <c r="P1760" s="11"/>
      <c r="Q1760" s="11"/>
      <c r="R1760" s="11"/>
      <c r="S1760" s="12"/>
      <c r="U1760" s="10"/>
      <c r="V1760" s="11"/>
      <c r="W1760" s="11"/>
      <c r="X1760" s="11"/>
      <c r="Y1760" s="12"/>
      <c r="Z1760" s="10"/>
      <c r="AA1760" s="11"/>
      <c r="AB1760" s="11"/>
      <c r="AC1760" s="11"/>
      <c r="AD1760" s="12"/>
    </row>
    <row r="1761" spans="1:31" ht="6.6" customHeight="1" x14ac:dyDescent="0.25">
      <c r="A1761" s="14" t="s">
        <v>109</v>
      </c>
      <c r="C1761" s="61" t="str">
        <f t="shared" ref="C1761:C1798" si="517">C1760</f>
        <v>C100104</v>
      </c>
      <c r="J1761" s="10"/>
      <c r="K1761" s="11"/>
      <c r="L1761" s="11"/>
      <c r="M1761" s="11"/>
      <c r="N1761" s="12"/>
      <c r="O1761" s="10"/>
      <c r="P1761" s="11"/>
      <c r="Q1761" s="11"/>
      <c r="R1761" s="11"/>
      <c r="S1761" s="12"/>
      <c r="U1761" s="10"/>
      <c r="V1761" s="11"/>
      <c r="W1761" s="11"/>
      <c r="X1761" s="11"/>
      <c r="Y1761" s="12"/>
      <c r="Z1761" s="10"/>
      <c r="AA1761" s="11"/>
      <c r="AB1761" s="11"/>
      <c r="AC1761" s="11"/>
      <c r="AD1761" s="12"/>
    </row>
    <row r="1762" spans="1:31" x14ac:dyDescent="0.25">
      <c r="A1762" s="14" t="s">
        <v>109</v>
      </c>
      <c r="C1762" s="61" t="str">
        <f t="shared" si="517"/>
        <v>C100104</v>
      </c>
      <c r="F1762" s="8" t="str">
        <f>"C100004"</f>
        <v>C100004</v>
      </c>
      <c r="G1762" s="9" t="str">
        <f>"Walnut Medallian Plate"</f>
        <v>Walnut Medallian Plate</v>
      </c>
      <c r="H1762" s="47"/>
      <c r="I1762" s="47"/>
      <c r="J1762" s="23">
        <v>0</v>
      </c>
      <c r="K1762" s="25">
        <v>0</v>
      </c>
      <c r="L1762" s="24">
        <v>0</v>
      </c>
      <c r="M1762" s="24">
        <f>J1762-L1762</f>
        <v>0</v>
      </c>
      <c r="N1762" s="53" t="str">
        <f>IF(J1762&lt;&gt;0,M1762/J1762,"")</f>
        <v/>
      </c>
      <c r="O1762" s="23">
        <v>7949.49</v>
      </c>
      <c r="P1762" s="25">
        <v>144</v>
      </c>
      <c r="Q1762" s="24">
        <v>4406.3899999999994</v>
      </c>
      <c r="R1762" s="24">
        <f>O1762-Q1762</f>
        <v>3543.1000000000004</v>
      </c>
      <c r="S1762" s="53">
        <f>IF(O1762&lt;&gt;0,R1762/O1762,"")</f>
        <v>0.44570154814962976</v>
      </c>
      <c r="T1762" s="10"/>
      <c r="U1762" s="23">
        <v>0</v>
      </c>
      <c r="V1762" s="25">
        <v>0</v>
      </c>
      <c r="W1762" s="24">
        <v>0</v>
      </c>
      <c r="X1762" s="24">
        <f>U1762-W1762</f>
        <v>0</v>
      </c>
      <c r="Y1762" s="53" t="str">
        <f>IF(U1762&lt;&gt;0,X1762/U1762,"")</f>
        <v/>
      </c>
      <c r="Z1762" s="23">
        <v>8708.11</v>
      </c>
      <c r="AA1762" s="25">
        <v>150</v>
      </c>
      <c r="AB1762" s="24">
        <v>4589.99</v>
      </c>
      <c r="AC1762" s="24">
        <f t="shared" ref="AC1762" si="518">Z1762-AB1762</f>
        <v>4118.1200000000008</v>
      </c>
      <c r="AD1762" s="53">
        <f t="shared" ref="AD1762" si="519">IF(Z1762&lt;&gt;0,AC1762/Z1762,"")</f>
        <v>0.47290629080248187</v>
      </c>
      <c r="AE1762" s="10"/>
    </row>
    <row r="1763" spans="1:31" x14ac:dyDescent="0.25">
      <c r="A1763" s="14" t="s">
        <v>109</v>
      </c>
      <c r="C1763" s="61" t="str">
        <f t="shared" ref="C1763:C1796" si="520">C1762</f>
        <v>C100104</v>
      </c>
      <c r="F1763" s="8" t="str">
        <f>"C100005"</f>
        <v>C100005</v>
      </c>
      <c r="G1763" s="9" t="str">
        <f>"Cherry Finished Crystal Award"</f>
        <v>Cherry Finished Crystal Award</v>
      </c>
      <c r="H1763" s="47"/>
      <c r="I1763" s="47"/>
      <c r="J1763" s="23">
        <v>0</v>
      </c>
      <c r="K1763" s="25">
        <v>0</v>
      </c>
      <c r="L1763" s="24">
        <v>0</v>
      </c>
      <c r="M1763" s="24">
        <f>J1763-L1763</f>
        <v>0</v>
      </c>
      <c r="N1763" s="53" t="str">
        <f>IF(J1763&lt;&gt;0,M1763/J1763,"")</f>
        <v/>
      </c>
      <c r="O1763" s="23">
        <v>19418.310000000001</v>
      </c>
      <c r="P1763" s="25">
        <v>144</v>
      </c>
      <c r="Q1763" s="24">
        <v>10213.91</v>
      </c>
      <c r="R1763" s="24">
        <f>O1763-Q1763</f>
        <v>9204.4000000000015</v>
      </c>
      <c r="S1763" s="53">
        <f>IF(O1763&lt;&gt;0,R1763/O1763,"")</f>
        <v>0.47400623432214239</v>
      </c>
      <c r="T1763" s="10"/>
      <c r="U1763" s="23">
        <v>0</v>
      </c>
      <c r="V1763" s="25">
        <v>0</v>
      </c>
      <c r="W1763" s="24">
        <v>0</v>
      </c>
      <c r="X1763" s="24">
        <f>U1763-W1763</f>
        <v>0</v>
      </c>
      <c r="Y1763" s="53" t="str">
        <f>IF(U1763&lt;&gt;0,X1763/U1763,"")</f>
        <v/>
      </c>
      <c r="Z1763" s="23">
        <v>-136.24</v>
      </c>
      <c r="AA1763" s="25">
        <v>-1</v>
      </c>
      <c r="AB1763" s="24">
        <v>-70.929999999999993</v>
      </c>
      <c r="AC1763" s="24">
        <f t="shared" ref="AC1763:AC1796" si="521">Z1763-AB1763</f>
        <v>-65.310000000000016</v>
      </c>
      <c r="AD1763" s="53">
        <f t="shared" ref="AD1763:AD1796" si="522">IF(Z1763&lt;&gt;0,AC1763/Z1763,"")</f>
        <v>0.4793746330005873</v>
      </c>
      <c r="AE1763" s="10"/>
    </row>
    <row r="1764" spans="1:31" x14ac:dyDescent="0.25">
      <c r="A1764" s="14" t="s">
        <v>109</v>
      </c>
      <c r="C1764" s="61" t="str">
        <f t="shared" si="520"/>
        <v>C100104</v>
      </c>
      <c r="F1764" s="8" t="str">
        <f>"C100006"</f>
        <v>C100006</v>
      </c>
      <c r="G1764" s="9" t="str">
        <f>"Cherry Finished Crystal Award- Large"</f>
        <v>Cherry Finished Crystal Award- Large</v>
      </c>
      <c r="H1764" s="47"/>
      <c r="I1764" s="47"/>
      <c r="J1764" s="23">
        <v>9434.14</v>
      </c>
      <c r="K1764" s="25">
        <v>48</v>
      </c>
      <c r="L1764" s="24">
        <v>4561.92</v>
      </c>
      <c r="M1764" s="24">
        <f>J1764-L1764</f>
        <v>4872.2199999999993</v>
      </c>
      <c r="N1764" s="53">
        <f>IF(J1764&lt;&gt;0,M1764/J1764,"")</f>
        <v>0.51644559016508129</v>
      </c>
      <c r="O1764" s="23">
        <v>1166.72</v>
      </c>
      <c r="P1764" s="25">
        <v>6</v>
      </c>
      <c r="Q1764" s="24">
        <v>570.24</v>
      </c>
      <c r="R1764" s="24">
        <f>O1764-Q1764</f>
        <v>596.48</v>
      </c>
      <c r="S1764" s="53">
        <f>IF(O1764&lt;&gt;0,R1764/O1764,"")</f>
        <v>0.51124520021941855</v>
      </c>
      <c r="T1764" s="10"/>
      <c r="U1764" s="23">
        <v>0</v>
      </c>
      <c r="V1764" s="25">
        <v>0</v>
      </c>
      <c r="W1764" s="24">
        <v>0</v>
      </c>
      <c r="X1764" s="24">
        <f>U1764-W1764</f>
        <v>0</v>
      </c>
      <c r="Y1764" s="53" t="str">
        <f>IF(U1764&lt;&gt;0,X1764/U1764,"")</f>
        <v/>
      </c>
      <c r="Z1764" s="23">
        <v>14446.029999999999</v>
      </c>
      <c r="AA1764" s="25">
        <v>73</v>
      </c>
      <c r="AB1764" s="24">
        <v>6937.920000000001</v>
      </c>
      <c r="AC1764" s="24">
        <f t="shared" si="521"/>
        <v>7508.1099999999979</v>
      </c>
      <c r="AD1764" s="53">
        <f t="shared" si="522"/>
        <v>0.51973517983833606</v>
      </c>
      <c r="AE1764" s="10"/>
    </row>
    <row r="1765" spans="1:31" x14ac:dyDescent="0.25">
      <c r="A1765" s="14" t="s">
        <v>109</v>
      </c>
      <c r="C1765" s="61" t="str">
        <f t="shared" si="520"/>
        <v>C100104</v>
      </c>
      <c r="F1765" s="8" t="str">
        <f>"C100017"</f>
        <v>C100017</v>
      </c>
      <c r="G1765" s="9" t="str">
        <f>"Wheeled Duffel"</f>
        <v>Wheeled Duffel</v>
      </c>
      <c r="H1765" s="47"/>
      <c r="I1765" s="47"/>
      <c r="J1765" s="23">
        <v>0</v>
      </c>
      <c r="K1765" s="25">
        <v>0</v>
      </c>
      <c r="L1765" s="24">
        <v>0</v>
      </c>
      <c r="M1765" s="24">
        <f>J1765-L1765</f>
        <v>0</v>
      </c>
      <c r="N1765" s="53" t="str">
        <f>IF(J1765&lt;&gt;0,M1765/J1765,"")</f>
        <v/>
      </c>
      <c r="O1765" s="23">
        <v>9094.24</v>
      </c>
      <c r="P1765" s="25">
        <v>48</v>
      </c>
      <c r="Q1765" s="24">
        <v>4858.5600000000004</v>
      </c>
      <c r="R1765" s="24">
        <f>O1765-Q1765</f>
        <v>4235.6799999999994</v>
      </c>
      <c r="S1765" s="53">
        <f>IF(O1765&lt;&gt;0,R1765/O1765,"")</f>
        <v>0.46575414768028989</v>
      </c>
      <c r="T1765" s="10"/>
      <c r="U1765" s="23">
        <v>0</v>
      </c>
      <c r="V1765" s="25">
        <v>0</v>
      </c>
      <c r="W1765" s="24">
        <v>0</v>
      </c>
      <c r="X1765" s="24">
        <f>U1765-W1765</f>
        <v>0</v>
      </c>
      <c r="Y1765" s="53" t="str">
        <f>IF(U1765&lt;&gt;0,X1765/U1765,"")</f>
        <v/>
      </c>
      <c r="Z1765" s="23">
        <v>4315.13</v>
      </c>
      <c r="AA1765" s="25">
        <v>24</v>
      </c>
      <c r="AB1765" s="24">
        <v>2429.2800000000002</v>
      </c>
      <c r="AC1765" s="24">
        <f t="shared" si="521"/>
        <v>1885.85</v>
      </c>
      <c r="AD1765" s="53">
        <f t="shared" si="522"/>
        <v>0.43703202452765033</v>
      </c>
      <c r="AE1765" s="10"/>
    </row>
    <row r="1766" spans="1:31" x14ac:dyDescent="0.25">
      <c r="A1766" s="14" t="s">
        <v>109</v>
      </c>
      <c r="C1766" s="61" t="str">
        <f t="shared" si="520"/>
        <v>C100104</v>
      </c>
      <c r="F1766" s="8" t="str">
        <f>"C100018"</f>
        <v>C100018</v>
      </c>
      <c r="G1766" s="9" t="str">
        <f>"Action Sport Duffel"</f>
        <v>Action Sport Duffel</v>
      </c>
      <c r="H1766" s="47"/>
      <c r="I1766" s="47"/>
      <c r="J1766" s="23">
        <v>16.55</v>
      </c>
      <c r="K1766" s="25">
        <v>1</v>
      </c>
      <c r="L1766" s="24">
        <v>8.5500000000000007</v>
      </c>
      <c r="M1766" s="24">
        <f>J1766-L1766</f>
        <v>8</v>
      </c>
      <c r="N1766" s="53">
        <f>IF(J1766&lt;&gt;0,M1766/J1766,"")</f>
        <v>0.4833836858006042</v>
      </c>
      <c r="O1766" s="23">
        <v>2485.1200000000003</v>
      </c>
      <c r="P1766" s="25">
        <v>144</v>
      </c>
      <c r="Q1766" s="24">
        <v>1231.21</v>
      </c>
      <c r="R1766" s="24">
        <f>O1766-Q1766</f>
        <v>1253.9100000000003</v>
      </c>
      <c r="S1766" s="53">
        <f>IF(O1766&lt;&gt;0,R1766/O1766,"")</f>
        <v>0.50456718387844457</v>
      </c>
      <c r="T1766" s="10"/>
      <c r="U1766" s="23">
        <v>0</v>
      </c>
      <c r="V1766" s="25">
        <v>0</v>
      </c>
      <c r="W1766" s="24">
        <v>0</v>
      </c>
      <c r="X1766" s="24">
        <f>U1766-W1766</f>
        <v>0</v>
      </c>
      <c r="Y1766" s="53" t="str">
        <f>IF(U1766&lt;&gt;0,X1766/U1766,"")</f>
        <v/>
      </c>
      <c r="Z1766" s="23">
        <v>0</v>
      </c>
      <c r="AA1766" s="25">
        <v>0</v>
      </c>
      <c r="AB1766" s="24">
        <v>0</v>
      </c>
      <c r="AC1766" s="24">
        <f t="shared" si="521"/>
        <v>0</v>
      </c>
      <c r="AD1766" s="53" t="str">
        <f t="shared" si="522"/>
        <v/>
      </c>
      <c r="AE1766" s="10"/>
    </row>
    <row r="1767" spans="1:31" x14ac:dyDescent="0.25">
      <c r="A1767" s="14" t="s">
        <v>109</v>
      </c>
      <c r="C1767" s="61" t="str">
        <f t="shared" si="520"/>
        <v>C100104</v>
      </c>
      <c r="F1767" s="8" t="str">
        <f>"C100019"</f>
        <v>C100019</v>
      </c>
      <c r="G1767" s="9" t="str">
        <f>"Black Duffel Bag"</f>
        <v>Black Duffel Bag</v>
      </c>
      <c r="H1767" s="47"/>
      <c r="I1767" s="47"/>
      <c r="J1767" s="23">
        <v>0</v>
      </c>
      <c r="K1767" s="25">
        <v>0</v>
      </c>
      <c r="L1767" s="24">
        <v>0</v>
      </c>
      <c r="M1767" s="24">
        <f>J1767-L1767</f>
        <v>0</v>
      </c>
      <c r="N1767" s="53" t="str">
        <f>IF(J1767&lt;&gt;0,M1767/J1767,"")</f>
        <v/>
      </c>
      <c r="O1767" s="23">
        <v>4889.1899999999996</v>
      </c>
      <c r="P1767" s="25">
        <v>72</v>
      </c>
      <c r="Q1767" s="24">
        <v>3075.85</v>
      </c>
      <c r="R1767" s="24">
        <f>O1767-Q1767</f>
        <v>1813.3399999999997</v>
      </c>
      <c r="S1767" s="53">
        <f>IF(O1767&lt;&gt;0,R1767/O1767,"")</f>
        <v>0.37088761124030767</v>
      </c>
      <c r="T1767" s="10"/>
      <c r="U1767" s="23">
        <v>0</v>
      </c>
      <c r="V1767" s="25">
        <v>0</v>
      </c>
      <c r="W1767" s="24">
        <v>0</v>
      </c>
      <c r="X1767" s="24">
        <f>U1767-W1767</f>
        <v>0</v>
      </c>
      <c r="Y1767" s="53" t="str">
        <f>IF(U1767&lt;&gt;0,X1767/U1767,"")</f>
        <v/>
      </c>
      <c r="Z1767" s="23">
        <v>414.47999999999996</v>
      </c>
      <c r="AA1767" s="25">
        <v>6</v>
      </c>
      <c r="AB1767" s="24">
        <v>256.32</v>
      </c>
      <c r="AC1767" s="24">
        <f t="shared" si="521"/>
        <v>158.15999999999997</v>
      </c>
      <c r="AD1767" s="53">
        <f t="shared" si="522"/>
        <v>0.38158656629994203</v>
      </c>
      <c r="AE1767" s="10"/>
    </row>
    <row r="1768" spans="1:31" x14ac:dyDescent="0.25">
      <c r="A1768" s="14" t="s">
        <v>109</v>
      </c>
      <c r="C1768" s="61" t="str">
        <f t="shared" si="520"/>
        <v>C100104</v>
      </c>
      <c r="F1768" s="8" t="str">
        <f>"C100022"</f>
        <v>C100022</v>
      </c>
      <c r="G1768" s="9" t="str">
        <f>"Two-Toned Cap"</f>
        <v>Two-Toned Cap</v>
      </c>
      <c r="H1768" s="47"/>
      <c r="I1768" s="47"/>
      <c r="J1768" s="23">
        <v>0</v>
      </c>
      <c r="K1768" s="25">
        <v>0</v>
      </c>
      <c r="L1768" s="24">
        <v>0</v>
      </c>
      <c r="M1768" s="24">
        <f>J1768-L1768</f>
        <v>0</v>
      </c>
      <c r="N1768" s="53" t="str">
        <f>IF(J1768&lt;&gt;0,M1768/J1768,"")</f>
        <v/>
      </c>
      <c r="O1768" s="23">
        <v>-36.1</v>
      </c>
      <c r="P1768" s="25">
        <v>-12</v>
      </c>
      <c r="Q1768" s="24">
        <v>-19.32</v>
      </c>
      <c r="R1768" s="24">
        <f>O1768-Q1768</f>
        <v>-16.78</v>
      </c>
      <c r="S1768" s="53">
        <f>IF(O1768&lt;&gt;0,R1768/O1768,"")</f>
        <v>0.46481994459833798</v>
      </c>
      <c r="T1768" s="10"/>
      <c r="U1768" s="23">
        <v>0</v>
      </c>
      <c r="V1768" s="25">
        <v>0</v>
      </c>
      <c r="W1768" s="24">
        <v>0</v>
      </c>
      <c r="X1768" s="24">
        <f>U1768-W1768</f>
        <v>0</v>
      </c>
      <c r="Y1768" s="53" t="str">
        <f>IF(U1768&lt;&gt;0,X1768/U1768,"")</f>
        <v/>
      </c>
      <c r="Z1768" s="23">
        <v>6.12</v>
      </c>
      <c r="AA1768" s="25">
        <v>2</v>
      </c>
      <c r="AB1768" s="24">
        <v>3.22</v>
      </c>
      <c r="AC1768" s="24">
        <f t="shared" si="521"/>
        <v>2.9</v>
      </c>
      <c r="AD1768" s="53">
        <f t="shared" si="522"/>
        <v>0.47385620915032678</v>
      </c>
      <c r="AE1768" s="10"/>
    </row>
    <row r="1769" spans="1:31" x14ac:dyDescent="0.25">
      <c r="A1769" s="14" t="s">
        <v>109</v>
      </c>
      <c r="C1769" s="61" t="str">
        <f t="shared" si="520"/>
        <v>C100104</v>
      </c>
      <c r="F1769" s="8" t="str">
        <f>"C100023"</f>
        <v>C100023</v>
      </c>
      <c r="G1769" s="9" t="str">
        <f>"Two-Toned Knit Hat"</f>
        <v>Two-Toned Knit Hat</v>
      </c>
      <c r="H1769" s="47"/>
      <c r="I1769" s="47"/>
      <c r="J1769" s="23">
        <v>0</v>
      </c>
      <c r="K1769" s="25">
        <v>0</v>
      </c>
      <c r="L1769" s="24">
        <v>0</v>
      </c>
      <c r="M1769" s="24">
        <f>J1769-L1769</f>
        <v>0</v>
      </c>
      <c r="N1769" s="53" t="str">
        <f>IF(J1769&lt;&gt;0,M1769/J1769,"")</f>
        <v/>
      </c>
      <c r="O1769" s="23">
        <v>2.63</v>
      </c>
      <c r="P1769" s="25">
        <v>1</v>
      </c>
      <c r="Q1769" s="24">
        <v>1.26</v>
      </c>
      <c r="R1769" s="24">
        <f>O1769-Q1769</f>
        <v>1.3699999999999999</v>
      </c>
      <c r="S1769" s="53">
        <f>IF(O1769&lt;&gt;0,R1769/O1769,"")</f>
        <v>0.52091254752851712</v>
      </c>
      <c r="T1769" s="10"/>
      <c r="U1769" s="23">
        <v>0</v>
      </c>
      <c r="V1769" s="25">
        <v>0</v>
      </c>
      <c r="W1769" s="24">
        <v>0</v>
      </c>
      <c r="X1769" s="24">
        <f>U1769-W1769</f>
        <v>0</v>
      </c>
      <c r="Y1769" s="53" t="str">
        <f>IF(U1769&lt;&gt;0,X1769/U1769,"")</f>
        <v/>
      </c>
      <c r="Z1769" s="23">
        <v>0</v>
      </c>
      <c r="AA1769" s="25">
        <v>0</v>
      </c>
      <c r="AB1769" s="24">
        <v>0</v>
      </c>
      <c r="AC1769" s="24">
        <f t="shared" si="521"/>
        <v>0</v>
      </c>
      <c r="AD1769" s="53" t="str">
        <f t="shared" si="522"/>
        <v/>
      </c>
      <c r="AE1769" s="10"/>
    </row>
    <row r="1770" spans="1:31" x14ac:dyDescent="0.25">
      <c r="A1770" s="14" t="s">
        <v>109</v>
      </c>
      <c r="C1770" s="61" t="str">
        <f t="shared" si="520"/>
        <v>C100104</v>
      </c>
      <c r="F1770" s="8" t="str">
        <f>"C100024"</f>
        <v>C100024</v>
      </c>
      <c r="G1770" s="9" t="str">
        <f>"Knit Hat with Bill"</f>
        <v>Knit Hat with Bill</v>
      </c>
      <c r="H1770" s="47"/>
      <c r="I1770" s="47"/>
      <c r="J1770" s="23">
        <v>1445.6399999999999</v>
      </c>
      <c r="K1770" s="25">
        <v>288</v>
      </c>
      <c r="L1770" s="24">
        <v>863.99</v>
      </c>
      <c r="M1770" s="24">
        <f>J1770-L1770</f>
        <v>581.64999999999986</v>
      </c>
      <c r="N1770" s="53">
        <f>IF(J1770&lt;&gt;0,M1770/J1770,"")</f>
        <v>0.40234774909382692</v>
      </c>
      <c r="O1770" s="23">
        <v>62.8</v>
      </c>
      <c r="P1770" s="25">
        <v>12</v>
      </c>
      <c r="Q1770" s="24">
        <v>36</v>
      </c>
      <c r="R1770" s="24">
        <f>O1770-Q1770</f>
        <v>26.799999999999997</v>
      </c>
      <c r="S1770" s="53">
        <f>IF(O1770&lt;&gt;0,R1770/O1770,"")</f>
        <v>0.42675159235668786</v>
      </c>
      <c r="T1770" s="10"/>
      <c r="U1770" s="23">
        <v>0</v>
      </c>
      <c r="V1770" s="25">
        <v>0</v>
      </c>
      <c r="W1770" s="24">
        <v>0</v>
      </c>
      <c r="X1770" s="24">
        <f>U1770-W1770</f>
        <v>0</v>
      </c>
      <c r="Y1770" s="53" t="str">
        <f>IF(U1770&lt;&gt;0,X1770/U1770,"")</f>
        <v/>
      </c>
      <c r="Z1770" s="23">
        <v>753.57999999999993</v>
      </c>
      <c r="AA1770" s="25">
        <v>144</v>
      </c>
      <c r="AB1770" s="24">
        <v>432</v>
      </c>
      <c r="AC1770" s="24">
        <f t="shared" si="521"/>
        <v>321.57999999999993</v>
      </c>
      <c r="AD1770" s="53">
        <f t="shared" si="522"/>
        <v>0.42673637835399025</v>
      </c>
      <c r="AE1770" s="10"/>
    </row>
    <row r="1771" spans="1:31" x14ac:dyDescent="0.25">
      <c r="A1771" s="14" t="s">
        <v>109</v>
      </c>
      <c r="C1771" s="61" t="str">
        <f t="shared" si="520"/>
        <v>C100104</v>
      </c>
      <c r="F1771" s="8" t="str">
        <f>"C100025"</f>
        <v>C100025</v>
      </c>
      <c r="G1771" s="9" t="str">
        <f>"Striped Knit Hat"</f>
        <v>Striped Knit Hat</v>
      </c>
      <c r="H1771" s="47"/>
      <c r="I1771" s="47"/>
      <c r="J1771" s="23">
        <v>0</v>
      </c>
      <c r="K1771" s="25">
        <v>0</v>
      </c>
      <c r="L1771" s="24">
        <v>0</v>
      </c>
      <c r="M1771" s="24">
        <f>J1771-L1771</f>
        <v>0</v>
      </c>
      <c r="N1771" s="53" t="str">
        <f>IF(J1771&lt;&gt;0,M1771/J1771,"")</f>
        <v/>
      </c>
      <c r="O1771" s="23">
        <v>-2.8</v>
      </c>
      <c r="P1771" s="25">
        <v>-1</v>
      </c>
      <c r="Q1771" s="24">
        <v>-1.38</v>
      </c>
      <c r="R1771" s="24">
        <f>O1771-Q1771</f>
        <v>-1.42</v>
      </c>
      <c r="S1771" s="53">
        <f>IF(O1771&lt;&gt;0,R1771/O1771,"")</f>
        <v>0.50714285714285712</v>
      </c>
      <c r="T1771" s="10"/>
      <c r="U1771" s="23">
        <v>0</v>
      </c>
      <c r="V1771" s="25">
        <v>0</v>
      </c>
      <c r="W1771" s="24">
        <v>0</v>
      </c>
      <c r="X1771" s="24">
        <f>U1771-W1771</f>
        <v>0</v>
      </c>
      <c r="Y1771" s="53" t="str">
        <f>IF(U1771&lt;&gt;0,X1771/U1771,"")</f>
        <v/>
      </c>
      <c r="Z1771" s="23">
        <v>-2.92</v>
      </c>
      <c r="AA1771" s="25">
        <v>-1</v>
      </c>
      <c r="AB1771" s="24">
        <v>-1.38</v>
      </c>
      <c r="AC1771" s="24">
        <f t="shared" si="521"/>
        <v>-1.54</v>
      </c>
      <c r="AD1771" s="53">
        <f t="shared" si="522"/>
        <v>0.5273972602739726</v>
      </c>
      <c r="AE1771" s="10"/>
    </row>
    <row r="1772" spans="1:31" x14ac:dyDescent="0.25">
      <c r="A1772" s="14" t="s">
        <v>109</v>
      </c>
      <c r="C1772" s="61" t="str">
        <f t="shared" si="520"/>
        <v>C100104</v>
      </c>
      <c r="F1772" s="8" t="str">
        <f>"C100026"</f>
        <v>C100026</v>
      </c>
      <c r="G1772" s="9" t="str">
        <f>"Fleece Beanie"</f>
        <v>Fleece Beanie</v>
      </c>
      <c r="H1772" s="47"/>
      <c r="I1772" s="47"/>
      <c r="J1772" s="23">
        <v>0</v>
      </c>
      <c r="K1772" s="25">
        <v>0</v>
      </c>
      <c r="L1772" s="24">
        <v>0</v>
      </c>
      <c r="M1772" s="24">
        <f>J1772-L1772</f>
        <v>0</v>
      </c>
      <c r="N1772" s="53" t="str">
        <f>IF(J1772&lt;&gt;0,M1772/J1772,"")</f>
        <v/>
      </c>
      <c r="O1772" s="23">
        <v>2.9</v>
      </c>
      <c r="P1772" s="25">
        <v>1</v>
      </c>
      <c r="Q1772" s="24">
        <v>2</v>
      </c>
      <c r="R1772" s="24">
        <f>O1772-Q1772</f>
        <v>0.89999999999999991</v>
      </c>
      <c r="S1772" s="53">
        <f>IF(O1772&lt;&gt;0,R1772/O1772,"")</f>
        <v>0.31034482758620685</v>
      </c>
      <c r="T1772" s="10"/>
      <c r="U1772" s="23">
        <v>0</v>
      </c>
      <c r="V1772" s="25">
        <v>0</v>
      </c>
      <c r="W1772" s="24">
        <v>0</v>
      </c>
      <c r="X1772" s="24">
        <f>U1772-W1772</f>
        <v>0</v>
      </c>
      <c r="Y1772" s="53" t="str">
        <f>IF(U1772&lt;&gt;0,X1772/U1772,"")</f>
        <v/>
      </c>
      <c r="Z1772" s="23">
        <v>443.35</v>
      </c>
      <c r="AA1772" s="25">
        <v>145</v>
      </c>
      <c r="AB1772" s="24">
        <v>289.99</v>
      </c>
      <c r="AC1772" s="24">
        <f t="shared" si="521"/>
        <v>153.36000000000001</v>
      </c>
      <c r="AD1772" s="53">
        <f t="shared" si="522"/>
        <v>0.34591180782677344</v>
      </c>
      <c r="AE1772" s="10"/>
    </row>
    <row r="1773" spans="1:31" x14ac:dyDescent="0.25">
      <c r="A1773" s="14" t="s">
        <v>109</v>
      </c>
      <c r="C1773" s="61" t="str">
        <f t="shared" si="520"/>
        <v>C100104</v>
      </c>
      <c r="F1773" s="8" t="str">
        <f>"C100028"</f>
        <v>C100028</v>
      </c>
      <c r="G1773" s="9" t="str">
        <f>"Twill Visor"</f>
        <v>Twill Visor</v>
      </c>
      <c r="H1773" s="47"/>
      <c r="I1773" s="47"/>
      <c r="J1773" s="23">
        <v>0</v>
      </c>
      <c r="K1773" s="25">
        <v>0</v>
      </c>
      <c r="L1773" s="24">
        <v>0</v>
      </c>
      <c r="M1773" s="24">
        <f>J1773-L1773</f>
        <v>0</v>
      </c>
      <c r="N1773" s="53" t="str">
        <f>IF(J1773&lt;&gt;0,M1773/J1773,"")</f>
        <v/>
      </c>
      <c r="O1773" s="23">
        <v>721.12</v>
      </c>
      <c r="P1773" s="25">
        <v>144</v>
      </c>
      <c r="Q1773" s="24">
        <v>345.61</v>
      </c>
      <c r="R1773" s="24">
        <f>O1773-Q1773</f>
        <v>375.51</v>
      </c>
      <c r="S1773" s="53">
        <f>IF(O1773&lt;&gt;0,R1773/O1773,"")</f>
        <v>0.52073163967162195</v>
      </c>
      <c r="T1773" s="10"/>
      <c r="U1773" s="23">
        <v>0</v>
      </c>
      <c r="V1773" s="25">
        <v>0</v>
      </c>
      <c r="W1773" s="24">
        <v>0</v>
      </c>
      <c r="X1773" s="24">
        <f>U1773-W1773</f>
        <v>0</v>
      </c>
      <c r="Y1773" s="53" t="str">
        <f>IF(U1773&lt;&gt;0,X1773/U1773,"")</f>
        <v/>
      </c>
      <c r="Z1773" s="23">
        <v>5.01</v>
      </c>
      <c r="AA1773" s="25">
        <v>1</v>
      </c>
      <c r="AB1773" s="24">
        <v>2.4</v>
      </c>
      <c r="AC1773" s="24">
        <f t="shared" si="521"/>
        <v>2.61</v>
      </c>
      <c r="AD1773" s="53">
        <f t="shared" si="522"/>
        <v>0.52095808383233533</v>
      </c>
      <c r="AE1773" s="10"/>
    </row>
    <row r="1774" spans="1:31" x14ac:dyDescent="0.25">
      <c r="A1774" s="14" t="s">
        <v>109</v>
      </c>
      <c r="C1774" s="61" t="str">
        <f t="shared" si="520"/>
        <v>C100104</v>
      </c>
      <c r="F1774" s="8" t="str">
        <f>"C100029"</f>
        <v>C100029</v>
      </c>
      <c r="G1774" s="9" t="str">
        <f>"Distressed Twill Visor"</f>
        <v>Distressed Twill Visor</v>
      </c>
      <c r="H1774" s="47"/>
      <c r="I1774" s="47"/>
      <c r="J1774" s="23">
        <v>462.92999999999995</v>
      </c>
      <c r="K1774" s="25">
        <v>144</v>
      </c>
      <c r="L1774" s="24">
        <v>298.09000000000003</v>
      </c>
      <c r="M1774" s="24">
        <f>J1774-L1774</f>
        <v>164.83999999999992</v>
      </c>
      <c r="N1774" s="53">
        <f>IF(J1774&lt;&gt;0,M1774/J1774,"")</f>
        <v>0.35607975287840482</v>
      </c>
      <c r="O1774" s="23">
        <v>0</v>
      </c>
      <c r="P1774" s="25">
        <v>0</v>
      </c>
      <c r="Q1774" s="24">
        <v>0</v>
      </c>
      <c r="R1774" s="24">
        <f>O1774-Q1774</f>
        <v>0</v>
      </c>
      <c r="S1774" s="53" t="str">
        <f>IF(O1774&lt;&gt;0,R1774/O1774,"")</f>
        <v/>
      </c>
      <c r="T1774" s="10"/>
      <c r="U1774" s="23">
        <v>0</v>
      </c>
      <c r="V1774" s="25">
        <v>0</v>
      </c>
      <c r="W1774" s="24">
        <v>0</v>
      </c>
      <c r="X1774" s="24">
        <f>U1774-W1774</f>
        <v>0</v>
      </c>
      <c r="Y1774" s="53" t="str">
        <f>IF(U1774&lt;&gt;0,X1774/U1774,"")</f>
        <v/>
      </c>
      <c r="Z1774" s="23">
        <v>-40.22</v>
      </c>
      <c r="AA1774" s="25">
        <v>-12</v>
      </c>
      <c r="AB1774" s="24">
        <v>-24.84</v>
      </c>
      <c r="AC1774" s="24">
        <f t="shared" si="521"/>
        <v>-15.379999999999999</v>
      </c>
      <c r="AD1774" s="53">
        <f t="shared" si="522"/>
        <v>0.38239681750372945</v>
      </c>
      <c r="AE1774" s="10"/>
    </row>
    <row r="1775" spans="1:31" x14ac:dyDescent="0.25">
      <c r="A1775" s="14" t="s">
        <v>109</v>
      </c>
      <c r="C1775" s="61" t="str">
        <f t="shared" si="520"/>
        <v>C100104</v>
      </c>
      <c r="F1775" s="8" t="str">
        <f>"C100030"</f>
        <v>C100030</v>
      </c>
      <c r="G1775" s="9" t="str">
        <f>"Fashion Visor"</f>
        <v>Fashion Visor</v>
      </c>
      <c r="H1775" s="47"/>
      <c r="I1775" s="47"/>
      <c r="J1775" s="23">
        <v>49.41</v>
      </c>
      <c r="K1775" s="25">
        <v>12</v>
      </c>
      <c r="L1775" s="24">
        <v>29.04</v>
      </c>
      <c r="M1775" s="24">
        <f>J1775-L1775</f>
        <v>20.369999999999997</v>
      </c>
      <c r="N1775" s="53">
        <f>IF(J1775&lt;&gt;0,M1775/J1775,"")</f>
        <v>0.41226472374013357</v>
      </c>
      <c r="O1775" s="23">
        <v>590.82000000000005</v>
      </c>
      <c r="P1775" s="25">
        <v>145</v>
      </c>
      <c r="Q1775" s="24">
        <v>350.91</v>
      </c>
      <c r="R1775" s="24">
        <f>O1775-Q1775</f>
        <v>239.91000000000003</v>
      </c>
      <c r="S1775" s="53">
        <f>IF(O1775&lt;&gt;0,R1775/O1775,"")</f>
        <v>0.40606276023154259</v>
      </c>
      <c r="T1775" s="10"/>
      <c r="U1775" s="23">
        <v>0</v>
      </c>
      <c r="V1775" s="25">
        <v>0</v>
      </c>
      <c r="W1775" s="24">
        <v>0</v>
      </c>
      <c r="X1775" s="24">
        <f>U1775-W1775</f>
        <v>0</v>
      </c>
      <c r="Y1775" s="53" t="str">
        <f>IF(U1775&lt;&gt;0,X1775/U1775,"")</f>
        <v/>
      </c>
      <c r="Z1775" s="23">
        <v>590.64</v>
      </c>
      <c r="AA1775" s="25">
        <v>145</v>
      </c>
      <c r="AB1775" s="24">
        <v>350.91</v>
      </c>
      <c r="AC1775" s="24">
        <f t="shared" si="521"/>
        <v>239.72999999999996</v>
      </c>
      <c r="AD1775" s="53">
        <f t="shared" si="522"/>
        <v>0.40588175538399018</v>
      </c>
      <c r="AE1775" s="10"/>
    </row>
    <row r="1776" spans="1:31" x14ac:dyDescent="0.25">
      <c r="A1776" s="14" t="s">
        <v>109</v>
      </c>
      <c r="C1776" s="61" t="str">
        <f t="shared" si="520"/>
        <v>C100104</v>
      </c>
      <c r="F1776" s="8" t="str">
        <f>"C100031"</f>
        <v>C100031</v>
      </c>
      <c r="G1776" s="9" t="str">
        <f>"Carabiner Watch"</f>
        <v>Carabiner Watch</v>
      </c>
      <c r="H1776" s="47"/>
      <c r="I1776" s="47"/>
      <c r="J1776" s="23">
        <v>0</v>
      </c>
      <c r="K1776" s="25">
        <v>0</v>
      </c>
      <c r="L1776" s="24">
        <v>0</v>
      </c>
      <c r="M1776" s="24">
        <f>J1776-L1776</f>
        <v>0</v>
      </c>
      <c r="N1776" s="53" t="str">
        <f>IF(J1776&lt;&gt;0,M1776/J1776,"")</f>
        <v/>
      </c>
      <c r="O1776" s="23">
        <v>2638.29</v>
      </c>
      <c r="P1776" s="25">
        <v>150</v>
      </c>
      <c r="Q1776" s="24">
        <v>1287</v>
      </c>
      <c r="R1776" s="24">
        <f>O1776-Q1776</f>
        <v>1351.29</v>
      </c>
      <c r="S1776" s="53">
        <f>IF(O1776&lt;&gt;0,R1776/O1776,"")</f>
        <v>0.51218402829105214</v>
      </c>
      <c r="T1776" s="10"/>
      <c r="U1776" s="23">
        <v>0</v>
      </c>
      <c r="V1776" s="25">
        <v>0</v>
      </c>
      <c r="W1776" s="24">
        <v>0</v>
      </c>
      <c r="X1776" s="24">
        <f>U1776-W1776</f>
        <v>0</v>
      </c>
      <c r="Y1776" s="53" t="str">
        <f>IF(U1776&lt;&gt;0,X1776/U1776,"")</f>
        <v/>
      </c>
      <c r="Z1776" s="23">
        <v>0</v>
      </c>
      <c r="AA1776" s="25">
        <v>0</v>
      </c>
      <c r="AB1776" s="24">
        <v>0</v>
      </c>
      <c r="AC1776" s="24">
        <f t="shared" si="521"/>
        <v>0</v>
      </c>
      <c r="AD1776" s="53" t="str">
        <f t="shared" si="522"/>
        <v/>
      </c>
      <c r="AE1776" s="10"/>
    </row>
    <row r="1777" spans="1:31" x14ac:dyDescent="0.25">
      <c r="A1777" s="14" t="s">
        <v>109</v>
      </c>
      <c r="C1777" s="61" t="str">
        <f t="shared" si="520"/>
        <v>C100104</v>
      </c>
      <c r="F1777" s="8" t="str">
        <f>"E100001"</f>
        <v>E100001</v>
      </c>
      <c r="G1777" s="9" t="str">
        <f>"Sport Bag"</f>
        <v>Sport Bag</v>
      </c>
      <c r="H1777" s="47"/>
      <c r="I1777" s="47"/>
      <c r="J1777" s="23">
        <v>0</v>
      </c>
      <c r="K1777" s="25">
        <v>0</v>
      </c>
      <c r="L1777" s="24">
        <v>0</v>
      </c>
      <c r="M1777" s="24">
        <f>J1777-L1777</f>
        <v>0</v>
      </c>
      <c r="N1777" s="53" t="str">
        <f>IF(J1777&lt;&gt;0,M1777/J1777,"")</f>
        <v/>
      </c>
      <c r="O1777" s="23">
        <v>242.4</v>
      </c>
      <c r="P1777" s="25">
        <v>144</v>
      </c>
      <c r="Q1777" s="24">
        <v>125.28</v>
      </c>
      <c r="R1777" s="24">
        <f>O1777-Q1777</f>
        <v>117.12</v>
      </c>
      <c r="S1777" s="53">
        <f>IF(O1777&lt;&gt;0,R1777/O1777,"")</f>
        <v>0.48316831683168315</v>
      </c>
      <c r="T1777" s="10"/>
      <c r="U1777" s="23">
        <v>0</v>
      </c>
      <c r="V1777" s="25">
        <v>0</v>
      </c>
      <c r="W1777" s="24">
        <v>0</v>
      </c>
      <c r="X1777" s="24">
        <f>U1777-W1777</f>
        <v>0</v>
      </c>
      <c r="Y1777" s="53" t="str">
        <f>IF(U1777&lt;&gt;0,X1777/U1777,"")</f>
        <v/>
      </c>
      <c r="Z1777" s="23">
        <v>257.20000000000005</v>
      </c>
      <c r="AA1777" s="25">
        <v>145</v>
      </c>
      <c r="AB1777" s="24">
        <v>126.15</v>
      </c>
      <c r="AC1777" s="24">
        <f t="shared" si="521"/>
        <v>131.05000000000004</v>
      </c>
      <c r="AD1777" s="53">
        <f t="shared" si="522"/>
        <v>0.50952566096423024</v>
      </c>
      <c r="AE1777" s="10"/>
    </row>
    <row r="1778" spans="1:31" x14ac:dyDescent="0.25">
      <c r="A1778" s="14" t="s">
        <v>109</v>
      </c>
      <c r="C1778" s="61" t="str">
        <f t="shared" si="520"/>
        <v>C100104</v>
      </c>
      <c r="F1778" s="8" t="str">
        <f>"E100011"</f>
        <v>E100011</v>
      </c>
      <c r="G1778" s="9" t="str">
        <f>"Plastic Sun Visor"</f>
        <v>Plastic Sun Visor</v>
      </c>
      <c r="H1778" s="47"/>
      <c r="I1778" s="47"/>
      <c r="J1778" s="23">
        <v>0</v>
      </c>
      <c r="K1778" s="25">
        <v>0</v>
      </c>
      <c r="L1778" s="24">
        <v>0</v>
      </c>
      <c r="M1778" s="24">
        <f>J1778-L1778</f>
        <v>0</v>
      </c>
      <c r="N1778" s="53" t="str">
        <f>IF(J1778&lt;&gt;0,M1778/J1778,"")</f>
        <v/>
      </c>
      <c r="O1778" s="23">
        <v>-109.63999999999999</v>
      </c>
      <c r="P1778" s="25">
        <v>-144</v>
      </c>
      <c r="Q1778" s="24">
        <v>-60.470000000000006</v>
      </c>
      <c r="R1778" s="24">
        <f>O1778-Q1778</f>
        <v>-49.16999999999998</v>
      </c>
      <c r="S1778" s="53">
        <f>IF(O1778&lt;&gt;0,R1778/O1778,"")</f>
        <v>0.448467712513681</v>
      </c>
      <c r="T1778" s="10"/>
      <c r="U1778" s="23">
        <v>-0.79</v>
      </c>
      <c r="V1778" s="25">
        <v>-1</v>
      </c>
      <c r="W1778" s="24">
        <v>-0.42</v>
      </c>
      <c r="X1778" s="24">
        <f>U1778-W1778</f>
        <v>-0.37000000000000005</v>
      </c>
      <c r="Y1778" s="53">
        <f>IF(U1778&lt;&gt;0,X1778/U1778,"")</f>
        <v>0.46835443037974689</v>
      </c>
      <c r="Z1778" s="23">
        <v>0</v>
      </c>
      <c r="AA1778" s="25">
        <v>0</v>
      </c>
      <c r="AB1778" s="24">
        <v>0</v>
      </c>
      <c r="AC1778" s="24">
        <f t="shared" si="521"/>
        <v>0</v>
      </c>
      <c r="AD1778" s="53" t="str">
        <f t="shared" si="522"/>
        <v/>
      </c>
      <c r="AE1778" s="10"/>
    </row>
    <row r="1779" spans="1:31" x14ac:dyDescent="0.25">
      <c r="A1779" s="14" t="s">
        <v>109</v>
      </c>
      <c r="C1779" s="61" t="str">
        <f t="shared" si="520"/>
        <v>C100104</v>
      </c>
      <c r="F1779" s="8" t="str">
        <f>"E100012"</f>
        <v>E100012</v>
      </c>
      <c r="G1779" s="9" t="str">
        <f>"Canvas Stopwatch"</f>
        <v>Canvas Stopwatch</v>
      </c>
      <c r="H1779" s="47"/>
      <c r="I1779" s="47"/>
      <c r="J1779" s="23">
        <v>0</v>
      </c>
      <c r="K1779" s="25">
        <v>0</v>
      </c>
      <c r="L1779" s="24">
        <v>0</v>
      </c>
      <c r="M1779" s="24">
        <f>J1779-L1779</f>
        <v>0</v>
      </c>
      <c r="N1779" s="53" t="str">
        <f>IF(J1779&lt;&gt;0,M1779/J1779,"")</f>
        <v/>
      </c>
      <c r="O1779" s="23">
        <v>3.44</v>
      </c>
      <c r="P1779" s="25">
        <v>1</v>
      </c>
      <c r="Q1779" s="24">
        <v>1.96</v>
      </c>
      <c r="R1779" s="24">
        <f>O1779-Q1779</f>
        <v>1.48</v>
      </c>
      <c r="S1779" s="53">
        <f>IF(O1779&lt;&gt;0,R1779/O1779,"")</f>
        <v>0.43023255813953487</v>
      </c>
      <c r="T1779" s="10"/>
      <c r="U1779" s="23">
        <v>0</v>
      </c>
      <c r="V1779" s="25">
        <v>0</v>
      </c>
      <c r="W1779" s="24">
        <v>0</v>
      </c>
      <c r="X1779" s="24">
        <f>U1779-W1779</f>
        <v>0</v>
      </c>
      <c r="Y1779" s="53" t="str">
        <f>IF(U1779&lt;&gt;0,X1779/U1779,"")</f>
        <v/>
      </c>
      <c r="Z1779" s="23">
        <v>3.63</v>
      </c>
      <c r="AA1779" s="25">
        <v>1</v>
      </c>
      <c r="AB1779" s="24">
        <v>1.96</v>
      </c>
      <c r="AC1779" s="24">
        <f t="shared" si="521"/>
        <v>1.67</v>
      </c>
      <c r="AD1779" s="53">
        <f t="shared" si="522"/>
        <v>0.46005509641873277</v>
      </c>
      <c r="AE1779" s="10"/>
    </row>
    <row r="1780" spans="1:31" x14ac:dyDescent="0.25">
      <c r="A1780" s="14" t="s">
        <v>109</v>
      </c>
      <c r="C1780" s="61" t="str">
        <f t="shared" si="520"/>
        <v>C100104</v>
      </c>
      <c r="F1780" s="8" t="str">
        <f>"E100013"</f>
        <v>E100013</v>
      </c>
      <c r="G1780" s="9" t="str">
        <f>"Clip-on Stopwatch"</f>
        <v>Clip-on Stopwatch</v>
      </c>
      <c r="H1780" s="47"/>
      <c r="I1780" s="47"/>
      <c r="J1780" s="23">
        <v>0</v>
      </c>
      <c r="K1780" s="25">
        <v>0</v>
      </c>
      <c r="L1780" s="24">
        <v>0</v>
      </c>
      <c r="M1780" s="24">
        <f>J1780-L1780</f>
        <v>0</v>
      </c>
      <c r="N1780" s="53" t="str">
        <f>IF(J1780&lt;&gt;0,M1780/J1780,"")</f>
        <v/>
      </c>
      <c r="O1780" s="23">
        <v>739.24</v>
      </c>
      <c r="P1780" s="25">
        <v>288</v>
      </c>
      <c r="Q1780" s="24">
        <v>414.7</v>
      </c>
      <c r="R1780" s="24">
        <f>O1780-Q1780</f>
        <v>324.54000000000002</v>
      </c>
      <c r="S1780" s="53">
        <f>IF(O1780&lt;&gt;0,R1780/O1780,"")</f>
        <v>0.43901845138250095</v>
      </c>
      <c r="T1780" s="10"/>
      <c r="U1780" s="23">
        <v>-194.75</v>
      </c>
      <c r="V1780" s="25">
        <v>-72</v>
      </c>
      <c r="W1780" s="24">
        <v>-103.68</v>
      </c>
      <c r="X1780" s="24">
        <f>U1780-W1780</f>
        <v>-91.07</v>
      </c>
      <c r="Y1780" s="53">
        <f>IF(U1780&lt;&gt;0,X1780/U1780,"")</f>
        <v>0.46762516046213093</v>
      </c>
      <c r="Z1780" s="23">
        <v>0</v>
      </c>
      <c r="AA1780" s="25">
        <v>0</v>
      </c>
      <c r="AB1780" s="24">
        <v>0</v>
      </c>
      <c r="AC1780" s="24">
        <f t="shared" si="521"/>
        <v>0</v>
      </c>
      <c r="AD1780" s="53" t="str">
        <f t="shared" si="522"/>
        <v/>
      </c>
      <c r="AE1780" s="10"/>
    </row>
    <row r="1781" spans="1:31" x14ac:dyDescent="0.25">
      <c r="A1781" s="14" t="s">
        <v>109</v>
      </c>
      <c r="C1781" s="61" t="str">
        <f t="shared" si="520"/>
        <v>C100104</v>
      </c>
      <c r="F1781" s="8" t="str">
        <f>"E100015"</f>
        <v>E100015</v>
      </c>
      <c r="G1781" s="9" t="str">
        <f>"360 Clip Watch"</f>
        <v>360 Clip Watch</v>
      </c>
      <c r="H1781" s="47"/>
      <c r="I1781" s="47"/>
      <c r="J1781" s="23">
        <v>2.02</v>
      </c>
      <c r="K1781" s="25">
        <v>1</v>
      </c>
      <c r="L1781" s="24">
        <v>1.02</v>
      </c>
      <c r="M1781" s="24">
        <f>J1781-L1781</f>
        <v>1</v>
      </c>
      <c r="N1781" s="53">
        <f>IF(J1781&lt;&gt;0,M1781/J1781,"")</f>
        <v>0.49504950495049505</v>
      </c>
      <c r="O1781" s="23">
        <v>2.09</v>
      </c>
      <c r="P1781" s="25">
        <v>1</v>
      </c>
      <c r="Q1781" s="24">
        <v>1.02</v>
      </c>
      <c r="R1781" s="24">
        <f>O1781-Q1781</f>
        <v>1.0699999999999998</v>
      </c>
      <c r="S1781" s="53">
        <f>IF(O1781&lt;&gt;0,R1781/O1781,"")</f>
        <v>0.51196172248803828</v>
      </c>
      <c r="T1781" s="10"/>
      <c r="U1781" s="23">
        <v>0</v>
      </c>
      <c r="V1781" s="25">
        <v>0</v>
      </c>
      <c r="W1781" s="24">
        <v>0</v>
      </c>
      <c r="X1781" s="24">
        <f>U1781-W1781</f>
        <v>0</v>
      </c>
      <c r="Y1781" s="53" t="str">
        <f>IF(U1781&lt;&gt;0,X1781/U1781,"")</f>
        <v/>
      </c>
      <c r="Z1781" s="23">
        <v>0</v>
      </c>
      <c r="AA1781" s="25">
        <v>0</v>
      </c>
      <c r="AB1781" s="24">
        <v>0</v>
      </c>
      <c r="AC1781" s="24">
        <f t="shared" si="521"/>
        <v>0</v>
      </c>
      <c r="AD1781" s="53" t="str">
        <f t="shared" si="522"/>
        <v/>
      </c>
      <c r="AE1781" s="10"/>
    </row>
    <row r="1782" spans="1:31" x14ac:dyDescent="0.25">
      <c r="A1782" s="14" t="s">
        <v>109</v>
      </c>
      <c r="C1782" s="61" t="str">
        <f t="shared" si="520"/>
        <v>C100104</v>
      </c>
      <c r="F1782" s="8" t="str">
        <f>"E100016"</f>
        <v>E100016</v>
      </c>
      <c r="G1782" s="9" t="str">
        <f>"4 Function Rotating Carabiner Watch"</f>
        <v>4 Function Rotating Carabiner Watch</v>
      </c>
      <c r="H1782" s="47"/>
      <c r="I1782" s="47"/>
      <c r="J1782" s="23">
        <v>822.99</v>
      </c>
      <c r="K1782" s="25">
        <v>288</v>
      </c>
      <c r="L1782" s="24">
        <v>397.46000000000004</v>
      </c>
      <c r="M1782" s="24">
        <f>J1782-L1782</f>
        <v>425.53</v>
      </c>
      <c r="N1782" s="53">
        <f>IF(J1782&lt;&gt;0,M1782/J1782,"")</f>
        <v>0.51705367015395076</v>
      </c>
      <c r="O1782" s="23">
        <v>0</v>
      </c>
      <c r="P1782" s="25">
        <v>0</v>
      </c>
      <c r="Q1782" s="24">
        <v>0</v>
      </c>
      <c r="R1782" s="24">
        <f>O1782-Q1782</f>
        <v>0</v>
      </c>
      <c r="S1782" s="53" t="str">
        <f>IF(O1782&lt;&gt;0,R1782/O1782,"")</f>
        <v/>
      </c>
      <c r="T1782" s="10"/>
      <c r="U1782" s="23">
        <v>0</v>
      </c>
      <c r="V1782" s="25">
        <v>0</v>
      </c>
      <c r="W1782" s="24">
        <v>0</v>
      </c>
      <c r="X1782" s="24">
        <f>U1782-W1782</f>
        <v>0</v>
      </c>
      <c r="Y1782" s="53" t="str">
        <f>IF(U1782&lt;&gt;0,X1782/U1782,"")</f>
        <v/>
      </c>
      <c r="Z1782" s="23">
        <v>407.12</v>
      </c>
      <c r="AA1782" s="25">
        <v>144</v>
      </c>
      <c r="AB1782" s="24">
        <v>198.73000000000002</v>
      </c>
      <c r="AC1782" s="24">
        <f t="shared" si="521"/>
        <v>208.39</v>
      </c>
      <c r="AD1782" s="53">
        <f t="shared" si="522"/>
        <v>0.51186382393397523</v>
      </c>
      <c r="AE1782" s="10"/>
    </row>
    <row r="1783" spans="1:31" x14ac:dyDescent="0.25">
      <c r="A1783" s="14" t="s">
        <v>109</v>
      </c>
      <c r="C1783" s="61" t="str">
        <f t="shared" si="520"/>
        <v>C100104</v>
      </c>
      <c r="F1783" s="8" t="str">
        <f>"E100017"</f>
        <v>E100017</v>
      </c>
      <c r="G1783" s="9" t="str">
        <f>"Clip-on Clock with Compass"</f>
        <v>Clip-on Clock with Compass</v>
      </c>
      <c r="H1783" s="47"/>
      <c r="I1783" s="47"/>
      <c r="J1783" s="23">
        <v>211.16</v>
      </c>
      <c r="K1783" s="25">
        <v>144</v>
      </c>
      <c r="L1783" s="24">
        <v>126.72</v>
      </c>
      <c r="M1783" s="24">
        <f>J1783-L1783</f>
        <v>84.44</v>
      </c>
      <c r="N1783" s="53">
        <f>IF(J1783&lt;&gt;0,M1783/J1783,"")</f>
        <v>0.39988634211024815</v>
      </c>
      <c r="O1783" s="23">
        <v>1.45</v>
      </c>
      <c r="P1783" s="25">
        <v>1</v>
      </c>
      <c r="Q1783" s="24">
        <v>0.88</v>
      </c>
      <c r="R1783" s="24">
        <f>O1783-Q1783</f>
        <v>0.56999999999999995</v>
      </c>
      <c r="S1783" s="53">
        <f>IF(O1783&lt;&gt;0,R1783/O1783,"")</f>
        <v>0.39310344827586202</v>
      </c>
      <c r="T1783" s="10"/>
      <c r="U1783" s="23">
        <v>0</v>
      </c>
      <c r="V1783" s="25">
        <v>0</v>
      </c>
      <c r="W1783" s="24">
        <v>0</v>
      </c>
      <c r="X1783" s="24">
        <f>U1783-W1783</f>
        <v>0</v>
      </c>
      <c r="Y1783" s="53" t="str">
        <f>IF(U1783&lt;&gt;0,X1783/U1783,"")</f>
        <v/>
      </c>
      <c r="Z1783" s="23">
        <v>1.45</v>
      </c>
      <c r="AA1783" s="25">
        <v>1</v>
      </c>
      <c r="AB1783" s="24">
        <v>0.88</v>
      </c>
      <c r="AC1783" s="24">
        <f t="shared" si="521"/>
        <v>0.56999999999999995</v>
      </c>
      <c r="AD1783" s="53">
        <f t="shared" si="522"/>
        <v>0.39310344827586202</v>
      </c>
      <c r="AE1783" s="10"/>
    </row>
    <row r="1784" spans="1:31" x14ac:dyDescent="0.25">
      <c r="A1784" s="14" t="s">
        <v>109</v>
      </c>
      <c r="C1784" s="61" t="str">
        <f t="shared" si="520"/>
        <v>C100104</v>
      </c>
      <c r="F1784" s="8" t="str">
        <f>"E100018"</f>
        <v>E100018</v>
      </c>
      <c r="G1784" s="9" t="str">
        <f>"Flexi-Clock &amp; Clip"</f>
        <v>Flexi-Clock &amp; Clip</v>
      </c>
      <c r="H1784" s="47"/>
      <c r="I1784" s="47"/>
      <c r="J1784" s="23">
        <v>0</v>
      </c>
      <c r="K1784" s="25">
        <v>0</v>
      </c>
      <c r="L1784" s="24">
        <v>0</v>
      </c>
      <c r="M1784" s="24">
        <f>J1784-L1784</f>
        <v>0</v>
      </c>
      <c r="N1784" s="53" t="str">
        <f>IF(J1784&lt;&gt;0,M1784/J1784,"")</f>
        <v/>
      </c>
      <c r="O1784" s="23">
        <v>309.17</v>
      </c>
      <c r="P1784" s="25">
        <v>288</v>
      </c>
      <c r="Q1784" s="24">
        <v>172.78</v>
      </c>
      <c r="R1784" s="24">
        <f>O1784-Q1784</f>
        <v>136.39000000000001</v>
      </c>
      <c r="S1784" s="53">
        <f>IF(O1784&lt;&gt;0,R1784/O1784,"")</f>
        <v>0.44114888249183298</v>
      </c>
      <c r="T1784" s="10"/>
      <c r="U1784" s="23">
        <v>-1.1100000000000001</v>
      </c>
      <c r="V1784" s="25">
        <v>-1</v>
      </c>
      <c r="W1784" s="24">
        <v>-0.6</v>
      </c>
      <c r="X1784" s="24">
        <f>U1784-W1784</f>
        <v>-0.51000000000000012</v>
      </c>
      <c r="Y1784" s="53">
        <f>IF(U1784&lt;&gt;0,X1784/U1784,"")</f>
        <v>0.45945945945945954</v>
      </c>
      <c r="Z1784" s="23">
        <v>151.33000000000001</v>
      </c>
      <c r="AA1784" s="25">
        <v>144</v>
      </c>
      <c r="AB1784" s="24">
        <v>86.39</v>
      </c>
      <c r="AC1784" s="24">
        <f t="shared" si="521"/>
        <v>64.940000000000012</v>
      </c>
      <c r="AD1784" s="53">
        <f t="shared" si="522"/>
        <v>0.42912839489856608</v>
      </c>
      <c r="AE1784" s="10"/>
    </row>
    <row r="1785" spans="1:31" x14ac:dyDescent="0.25">
      <c r="A1785" s="14" t="s">
        <v>109</v>
      </c>
      <c r="C1785" s="61" t="str">
        <f t="shared" si="520"/>
        <v>C100104</v>
      </c>
      <c r="F1785" s="8" t="str">
        <f>"S100001"</f>
        <v>S100001</v>
      </c>
      <c r="G1785" s="9" t="str">
        <f>"Basketball Graphic Plaque"</f>
        <v>Basketball Graphic Plaque</v>
      </c>
      <c r="H1785" s="47"/>
      <c r="I1785" s="47"/>
      <c r="J1785" s="23">
        <v>0</v>
      </c>
      <c r="K1785" s="25">
        <v>0</v>
      </c>
      <c r="L1785" s="24">
        <v>0</v>
      </c>
      <c r="M1785" s="24">
        <f>J1785-L1785</f>
        <v>0</v>
      </c>
      <c r="N1785" s="53" t="str">
        <f>IF(J1785&lt;&gt;0,M1785/J1785,"")</f>
        <v/>
      </c>
      <c r="O1785" s="23">
        <v>2241.8200000000002</v>
      </c>
      <c r="P1785" s="25">
        <v>144</v>
      </c>
      <c r="Q1785" s="24">
        <v>1310.4000000000001</v>
      </c>
      <c r="R1785" s="24">
        <f>O1785-Q1785</f>
        <v>931.42000000000007</v>
      </c>
      <c r="S1785" s="53">
        <f>IF(O1785&lt;&gt;0,R1785/O1785,"")</f>
        <v>0.41547492662211954</v>
      </c>
      <c r="T1785" s="10"/>
      <c r="U1785" s="23">
        <v>0</v>
      </c>
      <c r="V1785" s="25">
        <v>0</v>
      </c>
      <c r="W1785" s="24">
        <v>0</v>
      </c>
      <c r="X1785" s="24">
        <f>U1785-W1785</f>
        <v>0</v>
      </c>
      <c r="Y1785" s="53" t="str">
        <f>IF(U1785&lt;&gt;0,X1785/U1785,"")</f>
        <v/>
      </c>
      <c r="Z1785" s="23">
        <v>2241.8200000000002</v>
      </c>
      <c r="AA1785" s="25">
        <v>144</v>
      </c>
      <c r="AB1785" s="24">
        <v>1310.4000000000001</v>
      </c>
      <c r="AC1785" s="24">
        <f t="shared" si="521"/>
        <v>931.42000000000007</v>
      </c>
      <c r="AD1785" s="53">
        <f t="shared" si="522"/>
        <v>0.41547492662211954</v>
      </c>
      <c r="AE1785" s="10"/>
    </row>
    <row r="1786" spans="1:31" x14ac:dyDescent="0.25">
      <c r="A1786" s="14" t="s">
        <v>109</v>
      </c>
      <c r="C1786" s="61" t="str">
        <f t="shared" si="520"/>
        <v>C100104</v>
      </c>
      <c r="F1786" s="8" t="str">
        <f>"S100002"</f>
        <v>S100002</v>
      </c>
      <c r="G1786" s="9" t="str">
        <f>"Football Graphic Plaque"</f>
        <v>Football Graphic Plaque</v>
      </c>
      <c r="H1786" s="47"/>
      <c r="I1786" s="47"/>
      <c r="J1786" s="23">
        <v>3905.3599999999997</v>
      </c>
      <c r="K1786" s="25">
        <v>168</v>
      </c>
      <c r="L1786" s="24">
        <v>1997.53</v>
      </c>
      <c r="M1786" s="24">
        <f>J1786-L1786</f>
        <v>1907.8299999999997</v>
      </c>
      <c r="N1786" s="53">
        <f>IF(J1786&lt;&gt;0,M1786/J1786,"")</f>
        <v>0.48851578343609803</v>
      </c>
      <c r="O1786" s="23">
        <v>0</v>
      </c>
      <c r="P1786" s="25">
        <v>0</v>
      </c>
      <c r="Q1786" s="24">
        <v>0</v>
      </c>
      <c r="R1786" s="24">
        <f>O1786-Q1786</f>
        <v>0</v>
      </c>
      <c r="S1786" s="53" t="str">
        <f>IF(O1786&lt;&gt;0,R1786/O1786,"")</f>
        <v/>
      </c>
      <c r="T1786" s="10"/>
      <c r="U1786" s="23">
        <v>0</v>
      </c>
      <c r="V1786" s="25">
        <v>0</v>
      </c>
      <c r="W1786" s="24">
        <v>0</v>
      </c>
      <c r="X1786" s="24">
        <f>U1786-W1786</f>
        <v>0</v>
      </c>
      <c r="Y1786" s="53" t="str">
        <f>IF(U1786&lt;&gt;0,X1786/U1786,"")</f>
        <v/>
      </c>
      <c r="Z1786" s="23">
        <v>0</v>
      </c>
      <c r="AA1786" s="25">
        <v>0</v>
      </c>
      <c r="AB1786" s="24">
        <v>0</v>
      </c>
      <c r="AC1786" s="24">
        <f t="shared" si="521"/>
        <v>0</v>
      </c>
      <c r="AD1786" s="53" t="str">
        <f t="shared" si="522"/>
        <v/>
      </c>
      <c r="AE1786" s="10"/>
    </row>
    <row r="1787" spans="1:31" x14ac:dyDescent="0.25">
      <c r="A1787" s="14" t="s">
        <v>109</v>
      </c>
      <c r="C1787" s="61" t="str">
        <f t="shared" si="520"/>
        <v>C100104</v>
      </c>
      <c r="F1787" s="8" t="str">
        <f>"S100003"</f>
        <v>S100003</v>
      </c>
      <c r="G1787" s="9" t="str">
        <f>"Soccer #1 Pin"</f>
        <v>Soccer #1 Pin</v>
      </c>
      <c r="H1787" s="47"/>
      <c r="I1787" s="47"/>
      <c r="J1787" s="23">
        <v>0</v>
      </c>
      <c r="K1787" s="25">
        <v>0</v>
      </c>
      <c r="L1787" s="24">
        <v>0</v>
      </c>
      <c r="M1787" s="24">
        <f>J1787-L1787</f>
        <v>0</v>
      </c>
      <c r="N1787" s="53" t="str">
        <f>IF(J1787&lt;&gt;0,M1787/J1787,"")</f>
        <v/>
      </c>
      <c r="O1787" s="23">
        <v>412.56</v>
      </c>
      <c r="P1787" s="25">
        <v>288</v>
      </c>
      <c r="Q1787" s="24">
        <v>259.2</v>
      </c>
      <c r="R1787" s="24">
        <f>O1787-Q1787</f>
        <v>153.36000000000001</v>
      </c>
      <c r="S1787" s="53">
        <f>IF(O1787&lt;&gt;0,R1787/O1787,"")</f>
        <v>0.37172774869109948</v>
      </c>
      <c r="T1787" s="10"/>
      <c r="U1787" s="23">
        <v>0</v>
      </c>
      <c r="V1787" s="25">
        <v>0</v>
      </c>
      <c r="W1787" s="24">
        <v>0</v>
      </c>
      <c r="X1787" s="24">
        <f>U1787-W1787</f>
        <v>0</v>
      </c>
      <c r="Y1787" s="53" t="str">
        <f>IF(U1787&lt;&gt;0,X1787/U1787,"")</f>
        <v/>
      </c>
      <c r="Z1787" s="23">
        <v>0</v>
      </c>
      <c r="AA1787" s="25">
        <v>0</v>
      </c>
      <c r="AB1787" s="24">
        <v>0</v>
      </c>
      <c r="AC1787" s="24">
        <f t="shared" si="521"/>
        <v>0</v>
      </c>
      <c r="AD1787" s="53" t="str">
        <f t="shared" si="522"/>
        <v/>
      </c>
      <c r="AE1787" s="10"/>
    </row>
    <row r="1788" spans="1:31" x14ac:dyDescent="0.25">
      <c r="A1788" s="14" t="s">
        <v>109</v>
      </c>
      <c r="C1788" s="61" t="str">
        <f t="shared" si="520"/>
        <v>C100104</v>
      </c>
      <c r="F1788" s="8" t="str">
        <f>"S100004"</f>
        <v>S100004</v>
      </c>
      <c r="G1788" s="9" t="str">
        <f>"Award Medallian - 2''"</f>
        <v>Award Medallian - 2''</v>
      </c>
      <c r="H1788" s="47"/>
      <c r="I1788" s="47"/>
      <c r="J1788" s="23">
        <v>13.29</v>
      </c>
      <c r="K1788" s="25">
        <v>1</v>
      </c>
      <c r="L1788" s="24">
        <v>6.67</v>
      </c>
      <c r="M1788" s="24">
        <f>J1788-L1788</f>
        <v>6.6199999999999992</v>
      </c>
      <c r="N1788" s="53">
        <f>IF(J1788&lt;&gt;0,M1788/J1788,"")</f>
        <v>0.49811888638073737</v>
      </c>
      <c r="O1788" s="23">
        <v>0</v>
      </c>
      <c r="P1788" s="25">
        <v>0</v>
      </c>
      <c r="Q1788" s="24">
        <v>0</v>
      </c>
      <c r="R1788" s="24">
        <f>O1788-Q1788</f>
        <v>0</v>
      </c>
      <c r="S1788" s="53" t="str">
        <f>IF(O1788&lt;&gt;0,R1788/O1788,"")</f>
        <v/>
      </c>
      <c r="T1788" s="10"/>
      <c r="U1788" s="23">
        <v>0</v>
      </c>
      <c r="V1788" s="25">
        <v>0</v>
      </c>
      <c r="W1788" s="24">
        <v>0</v>
      </c>
      <c r="X1788" s="24">
        <f>U1788-W1788</f>
        <v>0</v>
      </c>
      <c r="Y1788" s="53" t="str">
        <f>IF(U1788&lt;&gt;0,X1788/U1788,"")</f>
        <v/>
      </c>
      <c r="Z1788" s="23">
        <v>0</v>
      </c>
      <c r="AA1788" s="25">
        <v>0</v>
      </c>
      <c r="AB1788" s="24">
        <v>0</v>
      </c>
      <c r="AC1788" s="24">
        <f t="shared" si="521"/>
        <v>0</v>
      </c>
      <c r="AD1788" s="53" t="str">
        <f t="shared" si="522"/>
        <v/>
      </c>
      <c r="AE1788" s="10"/>
    </row>
    <row r="1789" spans="1:31" x14ac:dyDescent="0.25">
      <c r="A1789" s="14" t="s">
        <v>109</v>
      </c>
      <c r="C1789" s="61" t="str">
        <f t="shared" si="520"/>
        <v>C100104</v>
      </c>
      <c r="F1789" s="8" t="str">
        <f>"S100005"</f>
        <v>S100005</v>
      </c>
      <c r="G1789" s="9" t="str">
        <f>"Award Medallian - 2.5''"</f>
        <v>Award Medallian - 2.5''</v>
      </c>
      <c r="H1789" s="47"/>
      <c r="I1789" s="47"/>
      <c r="J1789" s="23">
        <v>0</v>
      </c>
      <c r="K1789" s="25">
        <v>0</v>
      </c>
      <c r="L1789" s="24">
        <v>0</v>
      </c>
      <c r="M1789" s="24">
        <f>J1789-L1789</f>
        <v>0</v>
      </c>
      <c r="N1789" s="53" t="str">
        <f>IF(J1789&lt;&gt;0,M1789/J1789,"")</f>
        <v/>
      </c>
      <c r="O1789" s="23">
        <v>2384.6</v>
      </c>
      <c r="P1789" s="25">
        <v>288</v>
      </c>
      <c r="Q1789" s="24">
        <v>1503.38</v>
      </c>
      <c r="R1789" s="24">
        <f>O1789-Q1789</f>
        <v>881.2199999999998</v>
      </c>
      <c r="S1789" s="53">
        <f>IF(O1789&lt;&gt;0,R1789/O1789,"")</f>
        <v>0.36954625513712985</v>
      </c>
      <c r="T1789" s="10"/>
      <c r="U1789" s="23">
        <v>0</v>
      </c>
      <c r="V1789" s="25">
        <v>0</v>
      </c>
      <c r="W1789" s="24">
        <v>0</v>
      </c>
      <c r="X1789" s="24">
        <f>U1789-W1789</f>
        <v>0</v>
      </c>
      <c r="Y1789" s="53" t="str">
        <f>IF(U1789&lt;&gt;0,X1789/U1789,"")</f>
        <v/>
      </c>
      <c r="Z1789" s="23">
        <v>0</v>
      </c>
      <c r="AA1789" s="25">
        <v>0</v>
      </c>
      <c r="AB1789" s="24">
        <v>0</v>
      </c>
      <c r="AC1789" s="24">
        <f t="shared" si="521"/>
        <v>0</v>
      </c>
      <c r="AD1789" s="53" t="str">
        <f t="shared" si="522"/>
        <v/>
      </c>
      <c r="AE1789" s="10"/>
    </row>
    <row r="1790" spans="1:31" x14ac:dyDescent="0.25">
      <c r="A1790" s="14" t="s">
        <v>109</v>
      </c>
      <c r="C1790" s="61" t="str">
        <f t="shared" si="520"/>
        <v>C100104</v>
      </c>
      <c r="F1790" s="8" t="str">
        <f>"S100009"</f>
        <v>S100009</v>
      </c>
      <c r="G1790" s="9" t="str">
        <f>"Engraved Basketball Award"</f>
        <v>Engraved Basketball Award</v>
      </c>
      <c r="H1790" s="47"/>
      <c r="I1790" s="47"/>
      <c r="J1790" s="23">
        <v>2590.79</v>
      </c>
      <c r="K1790" s="25">
        <v>144</v>
      </c>
      <c r="L1790" s="24">
        <v>1270.07</v>
      </c>
      <c r="M1790" s="24">
        <f>J1790-L1790</f>
        <v>1320.72</v>
      </c>
      <c r="N1790" s="53">
        <f>IF(J1790&lt;&gt;0,M1790/J1790,"")</f>
        <v>0.50977501071101872</v>
      </c>
      <c r="O1790" s="23">
        <v>0</v>
      </c>
      <c r="P1790" s="25">
        <v>0</v>
      </c>
      <c r="Q1790" s="24">
        <v>0</v>
      </c>
      <c r="R1790" s="24">
        <f>O1790-Q1790</f>
        <v>0</v>
      </c>
      <c r="S1790" s="53" t="str">
        <f>IF(O1790&lt;&gt;0,R1790/O1790,"")</f>
        <v/>
      </c>
      <c r="T1790" s="10"/>
      <c r="U1790" s="23">
        <v>0</v>
      </c>
      <c r="V1790" s="25">
        <v>0</v>
      </c>
      <c r="W1790" s="24">
        <v>0</v>
      </c>
      <c r="X1790" s="24">
        <f>U1790-W1790</f>
        <v>0</v>
      </c>
      <c r="Y1790" s="53" t="str">
        <f>IF(U1790&lt;&gt;0,X1790/U1790,"")</f>
        <v/>
      </c>
      <c r="Z1790" s="23">
        <v>0</v>
      </c>
      <c r="AA1790" s="25">
        <v>0</v>
      </c>
      <c r="AB1790" s="24">
        <v>0</v>
      </c>
      <c r="AC1790" s="24">
        <f t="shared" si="521"/>
        <v>0</v>
      </c>
      <c r="AD1790" s="53" t="str">
        <f t="shared" si="522"/>
        <v/>
      </c>
      <c r="AE1790" s="10"/>
    </row>
    <row r="1791" spans="1:31" x14ac:dyDescent="0.25">
      <c r="A1791" s="14" t="s">
        <v>109</v>
      </c>
      <c r="C1791" s="61" t="str">
        <f t="shared" si="520"/>
        <v>C100104</v>
      </c>
      <c r="F1791" s="8" t="str">
        <f>"S100010"</f>
        <v>S100010</v>
      </c>
      <c r="G1791" s="9" t="str">
        <f>"Golf Relaxed Cap"</f>
        <v>Golf Relaxed Cap</v>
      </c>
      <c r="H1791" s="47"/>
      <c r="I1791" s="47"/>
      <c r="J1791" s="23">
        <v>9.67</v>
      </c>
      <c r="K1791" s="25">
        <v>1</v>
      </c>
      <c r="L1791" s="24">
        <v>6.09</v>
      </c>
      <c r="M1791" s="24">
        <f>J1791-L1791</f>
        <v>3.58</v>
      </c>
      <c r="N1791" s="53">
        <f>IF(J1791&lt;&gt;0,M1791/J1791,"")</f>
        <v>0.3702171664943123</v>
      </c>
      <c r="O1791" s="23">
        <v>0</v>
      </c>
      <c r="P1791" s="25">
        <v>0</v>
      </c>
      <c r="Q1791" s="24">
        <v>0</v>
      </c>
      <c r="R1791" s="24">
        <f>O1791-Q1791</f>
        <v>0</v>
      </c>
      <c r="S1791" s="53" t="str">
        <f>IF(O1791&lt;&gt;0,R1791/O1791,"")</f>
        <v/>
      </c>
      <c r="T1791" s="10"/>
      <c r="U1791" s="23">
        <v>0</v>
      </c>
      <c r="V1791" s="25">
        <v>0</v>
      </c>
      <c r="W1791" s="24">
        <v>0</v>
      </c>
      <c r="X1791" s="24">
        <f>U1791-W1791</f>
        <v>0</v>
      </c>
      <c r="Y1791" s="53" t="str">
        <f>IF(U1791&lt;&gt;0,X1791/U1791,"")</f>
        <v/>
      </c>
      <c r="Z1791" s="23">
        <v>0</v>
      </c>
      <c r="AA1791" s="25">
        <v>0</v>
      </c>
      <c r="AB1791" s="24">
        <v>0</v>
      </c>
      <c r="AC1791" s="24">
        <f t="shared" si="521"/>
        <v>0</v>
      </c>
      <c r="AD1791" s="53" t="str">
        <f t="shared" si="522"/>
        <v/>
      </c>
      <c r="AE1791" s="10"/>
    </row>
    <row r="1792" spans="1:31" x14ac:dyDescent="0.25">
      <c r="A1792" s="14" t="s">
        <v>109</v>
      </c>
      <c r="C1792" s="61" t="str">
        <f t="shared" si="520"/>
        <v>C100104</v>
      </c>
      <c r="F1792" s="8" t="str">
        <f>"S100012"</f>
        <v>S100012</v>
      </c>
      <c r="G1792" s="9" t="str">
        <f>"Raw-Edge Patch BALL CAP"</f>
        <v>Raw-Edge Patch BALL CAP</v>
      </c>
      <c r="H1792" s="47"/>
      <c r="I1792" s="47"/>
      <c r="J1792" s="23">
        <v>0</v>
      </c>
      <c r="K1792" s="25">
        <v>0</v>
      </c>
      <c r="L1792" s="24">
        <v>0</v>
      </c>
      <c r="M1792" s="24">
        <f>J1792-L1792</f>
        <v>0</v>
      </c>
      <c r="N1792" s="53" t="str">
        <f>IF(J1792&lt;&gt;0,M1792/J1792,"")</f>
        <v/>
      </c>
      <c r="O1792" s="23">
        <v>1717.2</v>
      </c>
      <c r="P1792" s="25">
        <v>168</v>
      </c>
      <c r="Q1792" s="24">
        <v>942.48</v>
      </c>
      <c r="R1792" s="24">
        <f>O1792-Q1792</f>
        <v>774.72</v>
      </c>
      <c r="S1792" s="53">
        <f>IF(O1792&lt;&gt;0,R1792/O1792,"")</f>
        <v>0.45115303983228511</v>
      </c>
      <c r="T1792" s="10"/>
      <c r="U1792" s="23">
        <v>0</v>
      </c>
      <c r="V1792" s="25">
        <v>0</v>
      </c>
      <c r="W1792" s="24">
        <v>0</v>
      </c>
      <c r="X1792" s="24">
        <f>U1792-W1792</f>
        <v>0</v>
      </c>
      <c r="Y1792" s="53" t="str">
        <f>IF(U1792&lt;&gt;0,X1792/U1792,"")</f>
        <v/>
      </c>
      <c r="Z1792" s="23">
        <v>0</v>
      </c>
      <c r="AA1792" s="25">
        <v>0</v>
      </c>
      <c r="AB1792" s="24">
        <v>0</v>
      </c>
      <c r="AC1792" s="24">
        <f t="shared" si="521"/>
        <v>0</v>
      </c>
      <c r="AD1792" s="53" t="str">
        <f t="shared" si="522"/>
        <v/>
      </c>
      <c r="AE1792" s="10"/>
    </row>
    <row r="1793" spans="1:31" x14ac:dyDescent="0.25">
      <c r="A1793" s="14" t="s">
        <v>109</v>
      </c>
      <c r="C1793" s="61" t="str">
        <f t="shared" si="520"/>
        <v>C100104</v>
      </c>
      <c r="F1793" s="8" t="str">
        <f>"S100015"</f>
        <v>S100015</v>
      </c>
      <c r="G1793" s="9" t="str">
        <f>"Raw-Edge Bucket Hat"</f>
        <v>Raw-Edge Bucket Hat</v>
      </c>
      <c r="H1793" s="47"/>
      <c r="I1793" s="47"/>
      <c r="J1793" s="23">
        <v>1000.3100000000001</v>
      </c>
      <c r="K1793" s="25">
        <v>144</v>
      </c>
      <c r="L1793" s="24">
        <v>524.17000000000007</v>
      </c>
      <c r="M1793" s="24">
        <f>J1793-L1793</f>
        <v>476.14</v>
      </c>
      <c r="N1793" s="53">
        <f>IF(J1793&lt;&gt;0,M1793/J1793,"")</f>
        <v>0.47599244234287369</v>
      </c>
      <c r="O1793" s="23">
        <v>-41.68</v>
      </c>
      <c r="P1793" s="25">
        <v>-6</v>
      </c>
      <c r="Q1793" s="24">
        <v>-21.84</v>
      </c>
      <c r="R1793" s="24">
        <f>O1793-Q1793</f>
        <v>-19.84</v>
      </c>
      <c r="S1793" s="53">
        <f>IF(O1793&lt;&gt;0,R1793/O1793,"")</f>
        <v>0.47600767754318618</v>
      </c>
      <c r="T1793" s="10"/>
      <c r="U1793" s="23">
        <v>-7.24</v>
      </c>
      <c r="V1793" s="25">
        <v>-1</v>
      </c>
      <c r="W1793" s="24">
        <v>-3.64</v>
      </c>
      <c r="X1793" s="24">
        <f>U1793-W1793</f>
        <v>-3.6</v>
      </c>
      <c r="Y1793" s="53">
        <f>IF(U1793&lt;&gt;0,X1793/U1793,"")</f>
        <v>0.49723756906077349</v>
      </c>
      <c r="Z1793" s="23">
        <v>0</v>
      </c>
      <c r="AA1793" s="25">
        <v>0</v>
      </c>
      <c r="AB1793" s="24">
        <v>0</v>
      </c>
      <c r="AC1793" s="24">
        <f t="shared" si="521"/>
        <v>0</v>
      </c>
      <c r="AD1793" s="53" t="str">
        <f t="shared" si="522"/>
        <v/>
      </c>
      <c r="AE1793" s="10"/>
    </row>
    <row r="1794" spans="1:31" x14ac:dyDescent="0.25">
      <c r="A1794" s="14" t="s">
        <v>109</v>
      </c>
      <c r="C1794" s="61" t="str">
        <f t="shared" si="520"/>
        <v>C100104</v>
      </c>
      <c r="F1794" s="8" t="str">
        <f>"S100017"</f>
        <v>S100017</v>
      </c>
      <c r="G1794" s="9" t="str">
        <f>"Microfiber Bucket Hat"</f>
        <v>Microfiber Bucket Hat</v>
      </c>
      <c r="H1794" s="47"/>
      <c r="I1794" s="47"/>
      <c r="J1794" s="23">
        <v>6.94</v>
      </c>
      <c r="K1794" s="25">
        <v>1</v>
      </c>
      <c r="L1794" s="24">
        <v>4.76</v>
      </c>
      <c r="M1794" s="24">
        <f>J1794-L1794</f>
        <v>2.1800000000000006</v>
      </c>
      <c r="N1794" s="53">
        <f>IF(J1794&lt;&gt;0,M1794/J1794,"")</f>
        <v>0.31412103746397702</v>
      </c>
      <c r="O1794" s="23">
        <v>41.18</v>
      </c>
      <c r="P1794" s="25">
        <v>6</v>
      </c>
      <c r="Q1794" s="24">
        <v>28.56</v>
      </c>
      <c r="R1794" s="24">
        <f>O1794-Q1794</f>
        <v>12.620000000000001</v>
      </c>
      <c r="S1794" s="53">
        <f>IF(O1794&lt;&gt;0,R1794/O1794,"")</f>
        <v>0.30645944633317146</v>
      </c>
      <c r="T1794" s="10"/>
      <c r="U1794" s="23">
        <v>0</v>
      </c>
      <c r="V1794" s="25">
        <v>0</v>
      </c>
      <c r="W1794" s="24">
        <v>0</v>
      </c>
      <c r="X1794" s="24">
        <f>U1794-W1794</f>
        <v>0</v>
      </c>
      <c r="Y1794" s="53" t="str">
        <f>IF(U1794&lt;&gt;0,X1794/U1794,"")</f>
        <v/>
      </c>
      <c r="Z1794" s="23">
        <v>0</v>
      </c>
      <c r="AA1794" s="25">
        <v>0</v>
      </c>
      <c r="AB1794" s="24">
        <v>0</v>
      </c>
      <c r="AC1794" s="24">
        <f t="shared" si="521"/>
        <v>0</v>
      </c>
      <c r="AD1794" s="53" t="str">
        <f t="shared" si="522"/>
        <v/>
      </c>
      <c r="AE1794" s="10"/>
    </row>
    <row r="1795" spans="1:31" x14ac:dyDescent="0.25">
      <c r="A1795" s="14" t="s">
        <v>109</v>
      </c>
      <c r="C1795" s="61" t="str">
        <f t="shared" si="520"/>
        <v>C100104</v>
      </c>
      <c r="F1795" s="8" t="str">
        <f>"S100020"</f>
        <v>S100020</v>
      </c>
      <c r="G1795" s="9" t="str">
        <f>"Super Sport Stopwatch"</f>
        <v>Super Sport Stopwatch</v>
      </c>
      <c r="H1795" s="47"/>
      <c r="I1795" s="47"/>
      <c r="J1795" s="23">
        <v>0</v>
      </c>
      <c r="K1795" s="25">
        <v>0</v>
      </c>
      <c r="L1795" s="24">
        <v>0</v>
      </c>
      <c r="M1795" s="24">
        <f>J1795-L1795</f>
        <v>0</v>
      </c>
      <c r="N1795" s="53" t="str">
        <f>IF(J1795&lt;&gt;0,M1795/J1795,"")</f>
        <v/>
      </c>
      <c r="O1795" s="23">
        <v>294.06</v>
      </c>
      <c r="P1795" s="25">
        <v>145</v>
      </c>
      <c r="Q1795" s="24">
        <v>152.25</v>
      </c>
      <c r="R1795" s="24">
        <f>O1795-Q1795</f>
        <v>141.81</v>
      </c>
      <c r="S1795" s="53">
        <f>IF(O1795&lt;&gt;0,R1795/O1795,"")</f>
        <v>0.48224852071005919</v>
      </c>
      <c r="T1795" s="10"/>
      <c r="U1795" s="23">
        <v>0</v>
      </c>
      <c r="V1795" s="25">
        <v>0</v>
      </c>
      <c r="W1795" s="24">
        <v>0</v>
      </c>
      <c r="X1795" s="24">
        <f>U1795-W1795</f>
        <v>0</v>
      </c>
      <c r="Y1795" s="53" t="str">
        <f>IF(U1795&lt;&gt;0,X1795/U1795,"")</f>
        <v/>
      </c>
      <c r="Z1795" s="23">
        <v>0</v>
      </c>
      <c r="AA1795" s="25">
        <v>0</v>
      </c>
      <c r="AB1795" s="24">
        <v>0</v>
      </c>
      <c r="AC1795" s="24">
        <f t="shared" si="521"/>
        <v>0</v>
      </c>
      <c r="AD1795" s="53" t="str">
        <f t="shared" si="522"/>
        <v/>
      </c>
      <c r="AE1795" s="10"/>
    </row>
    <row r="1796" spans="1:31" x14ac:dyDescent="0.25">
      <c r="A1796" s="14" t="s">
        <v>109</v>
      </c>
      <c r="C1796" s="61" t="str">
        <f t="shared" si="520"/>
        <v>C100104</v>
      </c>
      <c r="F1796" s="8" t="str">
        <f>"S100021"</f>
        <v>S100021</v>
      </c>
      <c r="G1796" s="9" t="str">
        <f>"Translucent Stopwatch"</f>
        <v>Translucent Stopwatch</v>
      </c>
      <c r="H1796" s="47"/>
      <c r="I1796" s="47"/>
      <c r="J1796" s="23">
        <v>0</v>
      </c>
      <c r="K1796" s="25">
        <v>0</v>
      </c>
      <c r="L1796" s="24">
        <v>0</v>
      </c>
      <c r="M1796" s="24">
        <f>J1796-L1796</f>
        <v>0</v>
      </c>
      <c r="N1796" s="53" t="str">
        <f>IF(J1796&lt;&gt;0,M1796/J1796,"")</f>
        <v/>
      </c>
      <c r="O1796" s="23">
        <v>585.65</v>
      </c>
      <c r="P1796" s="25">
        <v>144</v>
      </c>
      <c r="Q1796" s="24">
        <v>309.58999999999997</v>
      </c>
      <c r="R1796" s="24">
        <f>O1796-Q1796</f>
        <v>276.06</v>
      </c>
      <c r="S1796" s="53">
        <f>IF(O1796&lt;&gt;0,R1796/O1796,"")</f>
        <v>0.47137368735592933</v>
      </c>
      <c r="T1796" s="10"/>
      <c r="U1796" s="23">
        <v>0</v>
      </c>
      <c r="V1796" s="25">
        <v>0</v>
      </c>
      <c r="W1796" s="24">
        <v>0</v>
      </c>
      <c r="X1796" s="24">
        <f>U1796-W1796</f>
        <v>0</v>
      </c>
      <c r="Y1796" s="53" t="str">
        <f>IF(U1796&lt;&gt;0,X1796/U1796,"")</f>
        <v/>
      </c>
      <c r="Z1796" s="23">
        <v>589.71</v>
      </c>
      <c r="AA1796" s="25">
        <v>145</v>
      </c>
      <c r="AB1796" s="24">
        <v>311.74</v>
      </c>
      <c r="AC1796" s="24">
        <f t="shared" si="521"/>
        <v>277.97000000000003</v>
      </c>
      <c r="AD1796" s="53">
        <f t="shared" si="522"/>
        <v>0.4713672822234658</v>
      </c>
      <c r="AE1796" s="10"/>
    </row>
    <row r="1797" spans="1:31" ht="15.75" thickBot="1" x14ac:dyDescent="0.3">
      <c r="A1797" s="14" t="s">
        <v>109</v>
      </c>
      <c r="C1797" s="61" t="str">
        <f>C1762</f>
        <v>C100104</v>
      </c>
      <c r="J1797" s="10"/>
      <c r="K1797" s="11"/>
      <c r="L1797" s="11"/>
      <c r="M1797" s="11"/>
      <c r="N1797" s="12"/>
      <c r="O1797" s="10"/>
      <c r="P1797" s="11"/>
      <c r="Q1797" s="11"/>
      <c r="R1797" s="11"/>
      <c r="S1797" s="12"/>
      <c r="U1797" s="10"/>
      <c r="V1797" s="11"/>
      <c r="W1797" s="11"/>
      <c r="X1797" s="11"/>
      <c r="Y1797" s="12"/>
      <c r="Z1797" s="10"/>
      <c r="AA1797" s="11"/>
      <c r="AB1797" s="11"/>
      <c r="AC1797" s="11"/>
      <c r="AD1797" s="12"/>
    </row>
    <row r="1798" spans="1:31" ht="15.75" thickBot="1" x14ac:dyDescent="0.3">
      <c r="A1798" s="14" t="s">
        <v>109</v>
      </c>
      <c r="C1798" s="61" t="str">
        <f t="shared" si="517"/>
        <v>C100104</v>
      </c>
      <c r="G1798" s="48" t="str">
        <f>C1798&amp;" TOTAL:"</f>
        <v>C100104 TOTAL:</v>
      </c>
      <c r="H1798" s="50"/>
      <c r="I1798" s="50"/>
      <c r="J1798" s="34">
        <f>SUBTOTAL(9,J1761:J1797)</f>
        <v>19971.199999999997</v>
      </c>
      <c r="K1798" s="35">
        <f>SUBTOTAL(9,K1761:K1797)</f>
        <v>1385</v>
      </c>
      <c r="L1798" s="36">
        <f>SUBTOTAL(9,L1761:L1797)</f>
        <v>10096.080000000002</v>
      </c>
      <c r="M1798" s="36">
        <f>J1798-L1798</f>
        <v>9875.1199999999953</v>
      </c>
      <c r="N1798" s="37">
        <f>IF(J1798&lt;&gt;0,M1798/J1798,"")</f>
        <v>0.49446803396891509</v>
      </c>
      <c r="O1798" s="34">
        <f>SUBTOTAL(9,O1761:O1797)</f>
        <v>57806.27</v>
      </c>
      <c r="P1798" s="35">
        <f>SUBTOTAL(9,P1761:P1797)</f>
        <v>2754</v>
      </c>
      <c r="Q1798" s="36">
        <f>SUBTOTAL(9,Q1761:Q1797)</f>
        <v>31498.409999999996</v>
      </c>
      <c r="R1798" s="36">
        <f>O1798-Q1798</f>
        <v>26307.86</v>
      </c>
      <c r="S1798" s="37">
        <f>IF(O1798&lt;&gt;0,R1798/O1798,"")</f>
        <v>0.45510391865795874</v>
      </c>
      <c r="U1798" s="34">
        <f>SUBTOTAL(9,U1761:U1797)</f>
        <v>-203.89000000000001</v>
      </c>
      <c r="V1798" s="35">
        <f>SUBTOTAL(9,V1761:V1797)</f>
        <v>-75</v>
      </c>
      <c r="W1798" s="36">
        <f>SUBTOTAL(9,W1761:W1797)</f>
        <v>-108.34</v>
      </c>
      <c r="X1798" s="36">
        <f>U1798-W1798</f>
        <v>-95.550000000000011</v>
      </c>
      <c r="Y1798" s="37">
        <f>IF(U1798&lt;&gt;0,X1798/U1798,"")</f>
        <v>0.46863504831036346</v>
      </c>
      <c r="Z1798" s="34">
        <f>SUBTOTAL(9,Z1761:Z1797)</f>
        <v>33155.33</v>
      </c>
      <c r="AA1798" s="35">
        <f>SUBTOTAL(9,AA1761:AA1797)</f>
        <v>1400</v>
      </c>
      <c r="AB1798" s="36">
        <f>SUBTOTAL(9,AB1761:AB1797)</f>
        <v>17231.129999999997</v>
      </c>
      <c r="AC1798" s="36">
        <f t="shared" ref="AC1798" si="523">Z1798-AB1798</f>
        <v>15924.200000000004</v>
      </c>
      <c r="AD1798" s="37">
        <f t="shared" ref="AD1798" si="524">IF(Z1798&lt;&gt;0,AC1798/Z1798,"")</f>
        <v>0.4802908009059178</v>
      </c>
    </row>
    <row r="1799" spans="1:31" x14ac:dyDescent="0.25">
      <c r="A1799" s="14" t="s">
        <v>109</v>
      </c>
      <c r="C1799" s="66"/>
      <c r="J1799" s="10"/>
      <c r="K1799" s="11"/>
      <c r="L1799" s="11"/>
      <c r="M1799" s="11"/>
      <c r="N1799" s="12"/>
      <c r="O1799" s="10"/>
      <c r="P1799" s="11"/>
      <c r="Q1799" s="11"/>
      <c r="R1799" s="11"/>
      <c r="S1799" s="12"/>
      <c r="U1799" s="10"/>
      <c r="V1799" s="11"/>
      <c r="W1799" s="11"/>
      <c r="X1799" s="11"/>
      <c r="Y1799" s="12"/>
      <c r="Z1799" s="10"/>
      <c r="AA1799" s="11"/>
      <c r="AB1799" s="11"/>
      <c r="AC1799" s="11"/>
      <c r="AD1799" s="12"/>
    </row>
    <row r="1800" spans="1:31" ht="15.75" x14ac:dyDescent="0.25">
      <c r="A1800" s="14" t="s">
        <v>109</v>
      </c>
      <c r="C1800" s="66" t="str">
        <f t="shared" ref="C1800" si="525">E1800</f>
        <v>C100105</v>
      </c>
      <c r="E1800" s="13" t="str">
        <f>"C100105"</f>
        <v>C100105</v>
      </c>
      <c r="F1800" s="13"/>
      <c r="G1800" s="13" t="str">
        <f>"Esystems"</f>
        <v>Esystems</v>
      </c>
      <c r="H1800" s="13"/>
      <c r="I1800" s="13"/>
      <c r="J1800" s="10"/>
      <c r="K1800" s="11"/>
      <c r="L1800" s="11"/>
      <c r="M1800" s="11"/>
      <c r="N1800" s="12"/>
      <c r="O1800" s="10"/>
      <c r="P1800" s="11"/>
      <c r="Q1800" s="11"/>
      <c r="R1800" s="11"/>
      <c r="S1800" s="12"/>
      <c r="U1800" s="10"/>
      <c r="V1800" s="11"/>
      <c r="W1800" s="11"/>
      <c r="X1800" s="11"/>
      <c r="Y1800" s="12"/>
      <c r="Z1800" s="10"/>
      <c r="AA1800" s="11"/>
      <c r="AB1800" s="11"/>
      <c r="AC1800" s="11"/>
      <c r="AD1800" s="12"/>
    </row>
    <row r="1801" spans="1:31" ht="6.6" customHeight="1" x14ac:dyDescent="0.25">
      <c r="A1801" s="14" t="s">
        <v>109</v>
      </c>
      <c r="C1801" s="61" t="str">
        <f t="shared" ref="C1801:C1835" si="526">C1800</f>
        <v>C100105</v>
      </c>
      <c r="J1801" s="10"/>
      <c r="K1801" s="11"/>
      <c r="L1801" s="11"/>
      <c r="M1801" s="11"/>
      <c r="N1801" s="12"/>
      <c r="O1801" s="10"/>
      <c r="P1801" s="11"/>
      <c r="Q1801" s="11"/>
      <c r="R1801" s="11"/>
      <c r="S1801" s="12"/>
      <c r="U1801" s="10"/>
      <c r="V1801" s="11"/>
      <c r="W1801" s="11"/>
      <c r="X1801" s="11"/>
      <c r="Y1801" s="12"/>
      <c r="Z1801" s="10"/>
      <c r="AA1801" s="11"/>
      <c r="AB1801" s="11"/>
      <c r="AC1801" s="11"/>
      <c r="AD1801" s="12"/>
    </row>
    <row r="1802" spans="1:31" x14ac:dyDescent="0.25">
      <c r="A1802" s="14" t="s">
        <v>109</v>
      </c>
      <c r="C1802" s="61" t="str">
        <f t="shared" si="526"/>
        <v>C100105</v>
      </c>
      <c r="F1802" s="8" t="str">
        <f>"C100004"</f>
        <v>C100004</v>
      </c>
      <c r="G1802" s="9" t="str">
        <f>"Walnut Medallian Plate"</f>
        <v>Walnut Medallian Plate</v>
      </c>
      <c r="H1802" s="47"/>
      <c r="I1802" s="47"/>
      <c r="J1802" s="23">
        <v>0</v>
      </c>
      <c r="K1802" s="25">
        <v>0</v>
      </c>
      <c r="L1802" s="24">
        <v>0</v>
      </c>
      <c r="M1802" s="24">
        <f>J1802-L1802</f>
        <v>0</v>
      </c>
      <c r="N1802" s="53" t="str">
        <f>IF(J1802&lt;&gt;0,M1802/J1802,"")</f>
        <v/>
      </c>
      <c r="O1802" s="23">
        <v>8376.880000000001</v>
      </c>
      <c r="P1802" s="25">
        <v>144</v>
      </c>
      <c r="Q1802" s="24">
        <v>4406.3899999999994</v>
      </c>
      <c r="R1802" s="24">
        <f>O1802-Q1802</f>
        <v>3970.4900000000016</v>
      </c>
      <c r="S1802" s="53">
        <f>IF(O1802&lt;&gt;0,R1802/O1802,"")</f>
        <v>0.47398195987050085</v>
      </c>
      <c r="T1802" s="10"/>
      <c r="U1802" s="23">
        <v>8376.880000000001</v>
      </c>
      <c r="V1802" s="25">
        <v>144</v>
      </c>
      <c r="W1802" s="24">
        <v>4406.3899999999994</v>
      </c>
      <c r="X1802" s="24">
        <f>U1802-W1802</f>
        <v>3970.4900000000016</v>
      </c>
      <c r="Y1802" s="53">
        <f>IF(U1802&lt;&gt;0,X1802/U1802,"")</f>
        <v>0.47398195987050085</v>
      </c>
      <c r="Z1802" s="23">
        <v>0</v>
      </c>
      <c r="AA1802" s="25">
        <v>0</v>
      </c>
      <c r="AB1802" s="24">
        <v>0</v>
      </c>
      <c r="AC1802" s="24">
        <f t="shared" ref="AC1802" si="527">Z1802-AB1802</f>
        <v>0</v>
      </c>
      <c r="AD1802" s="53" t="str">
        <f t="shared" ref="AD1802" si="528">IF(Z1802&lt;&gt;0,AC1802/Z1802,"")</f>
        <v/>
      </c>
      <c r="AE1802" s="10"/>
    </row>
    <row r="1803" spans="1:31" x14ac:dyDescent="0.25">
      <c r="A1803" s="14" t="s">
        <v>109</v>
      </c>
      <c r="C1803" s="61" t="str">
        <f t="shared" ref="C1803:C1833" si="529">C1802</f>
        <v>C100105</v>
      </c>
      <c r="F1803" s="8" t="str">
        <f>"C100005"</f>
        <v>C100005</v>
      </c>
      <c r="G1803" s="9" t="str">
        <f>"Cherry Finished Crystal Award"</f>
        <v>Cherry Finished Crystal Award</v>
      </c>
      <c r="H1803" s="47"/>
      <c r="I1803" s="47"/>
      <c r="J1803" s="23">
        <v>0</v>
      </c>
      <c r="K1803" s="25">
        <v>0</v>
      </c>
      <c r="L1803" s="24">
        <v>0</v>
      </c>
      <c r="M1803" s="24">
        <f>J1803-L1803</f>
        <v>0</v>
      </c>
      <c r="N1803" s="53" t="str">
        <f>IF(J1803&lt;&gt;0,M1803/J1803,"")</f>
        <v/>
      </c>
      <c r="O1803" s="23">
        <v>1634.8799999999999</v>
      </c>
      <c r="P1803" s="25">
        <v>12</v>
      </c>
      <c r="Q1803" s="24">
        <v>851.16</v>
      </c>
      <c r="R1803" s="24">
        <f>O1803-Q1803</f>
        <v>783.71999999999991</v>
      </c>
      <c r="S1803" s="53">
        <f>IF(O1803&lt;&gt;0,R1803/O1803,"")</f>
        <v>0.47937463300058719</v>
      </c>
      <c r="T1803" s="10"/>
      <c r="U1803" s="23">
        <v>1634.8799999999999</v>
      </c>
      <c r="V1803" s="25">
        <v>12</v>
      </c>
      <c r="W1803" s="24">
        <v>851.16</v>
      </c>
      <c r="X1803" s="24">
        <f>U1803-W1803</f>
        <v>783.71999999999991</v>
      </c>
      <c r="Y1803" s="53">
        <f>IF(U1803&lt;&gt;0,X1803/U1803,"")</f>
        <v>0.47937463300058719</v>
      </c>
      <c r="Z1803" s="23">
        <v>0</v>
      </c>
      <c r="AA1803" s="25">
        <v>0</v>
      </c>
      <c r="AB1803" s="24">
        <v>0</v>
      </c>
      <c r="AC1803" s="24">
        <f t="shared" ref="AC1803:AC1833" si="530">Z1803-AB1803</f>
        <v>0</v>
      </c>
      <c r="AD1803" s="53" t="str">
        <f t="shared" ref="AD1803:AD1833" si="531">IF(Z1803&lt;&gt;0,AC1803/Z1803,"")</f>
        <v/>
      </c>
      <c r="AE1803" s="10"/>
    </row>
    <row r="1804" spans="1:31" x14ac:dyDescent="0.25">
      <c r="A1804" s="14" t="s">
        <v>109</v>
      </c>
      <c r="C1804" s="61" t="str">
        <f t="shared" si="529"/>
        <v>C100105</v>
      </c>
      <c r="F1804" s="8" t="str">
        <f>"C100014"</f>
        <v>C100014</v>
      </c>
      <c r="G1804" s="9" t="str">
        <f>"Canvas Field Bag"</f>
        <v>Canvas Field Bag</v>
      </c>
      <c r="H1804" s="47"/>
      <c r="I1804" s="47"/>
      <c r="J1804" s="23">
        <v>1320.88</v>
      </c>
      <c r="K1804" s="25">
        <v>144</v>
      </c>
      <c r="L1804" s="24">
        <v>660.96</v>
      </c>
      <c r="M1804" s="24">
        <f>J1804-L1804</f>
        <v>659.92000000000007</v>
      </c>
      <c r="N1804" s="53">
        <f>IF(J1804&lt;&gt;0,M1804/J1804,"")</f>
        <v>0.49960632305735569</v>
      </c>
      <c r="O1804" s="23">
        <v>1320.88</v>
      </c>
      <c r="P1804" s="25">
        <v>144</v>
      </c>
      <c r="Q1804" s="24">
        <v>660.96</v>
      </c>
      <c r="R1804" s="24">
        <f>O1804-Q1804</f>
        <v>659.92000000000007</v>
      </c>
      <c r="S1804" s="53">
        <f>IF(O1804&lt;&gt;0,R1804/O1804,"")</f>
        <v>0.49960632305735569</v>
      </c>
      <c r="T1804" s="10"/>
      <c r="U1804" s="23">
        <v>1307.3999999999999</v>
      </c>
      <c r="V1804" s="25">
        <v>144</v>
      </c>
      <c r="W1804" s="24">
        <v>660.96</v>
      </c>
      <c r="X1804" s="24">
        <f>U1804-W1804</f>
        <v>646.43999999999983</v>
      </c>
      <c r="Y1804" s="53">
        <f>IF(U1804&lt;&gt;0,X1804/U1804,"")</f>
        <v>0.49444699403396047</v>
      </c>
      <c r="Z1804" s="23">
        <v>0</v>
      </c>
      <c r="AA1804" s="25">
        <v>0</v>
      </c>
      <c r="AB1804" s="24">
        <v>0</v>
      </c>
      <c r="AC1804" s="24">
        <f t="shared" si="530"/>
        <v>0</v>
      </c>
      <c r="AD1804" s="53" t="str">
        <f t="shared" si="531"/>
        <v/>
      </c>
      <c r="AE1804" s="10"/>
    </row>
    <row r="1805" spans="1:31" x14ac:dyDescent="0.25">
      <c r="A1805" s="14" t="s">
        <v>109</v>
      </c>
      <c r="C1805" s="61" t="str">
        <f t="shared" si="529"/>
        <v>C100105</v>
      </c>
      <c r="F1805" s="8" t="str">
        <f>"C100017"</f>
        <v>C100017</v>
      </c>
      <c r="G1805" s="9" t="str">
        <f>"Wheeled Duffel"</f>
        <v>Wheeled Duffel</v>
      </c>
      <c r="H1805" s="47"/>
      <c r="I1805" s="47"/>
      <c r="J1805" s="23">
        <v>0</v>
      </c>
      <c r="K1805" s="25">
        <v>0</v>
      </c>
      <c r="L1805" s="24">
        <v>0</v>
      </c>
      <c r="M1805" s="24">
        <f>J1805-L1805</f>
        <v>0</v>
      </c>
      <c r="N1805" s="53" t="str">
        <f>IF(J1805&lt;&gt;0,M1805/J1805,"")</f>
        <v/>
      </c>
      <c r="O1805" s="23">
        <v>9094.24</v>
      </c>
      <c r="P1805" s="25">
        <v>48</v>
      </c>
      <c r="Q1805" s="24">
        <v>4858.5600000000004</v>
      </c>
      <c r="R1805" s="24">
        <f>O1805-Q1805</f>
        <v>4235.6799999999994</v>
      </c>
      <c r="S1805" s="53">
        <f>IF(O1805&lt;&gt;0,R1805/O1805,"")</f>
        <v>0.46575414768028989</v>
      </c>
      <c r="T1805" s="10"/>
      <c r="U1805" s="23">
        <v>9001.4399999999987</v>
      </c>
      <c r="V1805" s="25">
        <v>48</v>
      </c>
      <c r="W1805" s="24">
        <v>4858.5600000000004</v>
      </c>
      <c r="X1805" s="24">
        <f>U1805-W1805</f>
        <v>4142.8799999999983</v>
      </c>
      <c r="Y1805" s="53">
        <f>IF(U1805&lt;&gt;0,X1805/U1805,"")</f>
        <v>0.46024636058230672</v>
      </c>
      <c r="Z1805" s="23">
        <v>0</v>
      </c>
      <c r="AA1805" s="25">
        <v>0</v>
      </c>
      <c r="AB1805" s="24">
        <v>0</v>
      </c>
      <c r="AC1805" s="24">
        <f t="shared" si="530"/>
        <v>0</v>
      </c>
      <c r="AD1805" s="53" t="str">
        <f t="shared" si="531"/>
        <v/>
      </c>
      <c r="AE1805" s="10"/>
    </row>
    <row r="1806" spans="1:31" x14ac:dyDescent="0.25">
      <c r="A1806" s="14" t="s">
        <v>109</v>
      </c>
      <c r="C1806" s="61" t="str">
        <f t="shared" si="529"/>
        <v>C100105</v>
      </c>
      <c r="F1806" s="8" t="str">
        <f>"C100018"</f>
        <v>C100018</v>
      </c>
      <c r="G1806" s="9" t="str">
        <f>"Action Sport Duffel"</f>
        <v>Action Sport Duffel</v>
      </c>
      <c r="H1806" s="47"/>
      <c r="I1806" s="47"/>
      <c r="J1806" s="23">
        <v>2485.1200000000003</v>
      </c>
      <c r="K1806" s="25">
        <v>144</v>
      </c>
      <c r="L1806" s="24">
        <v>1231.21</v>
      </c>
      <c r="M1806" s="24">
        <f>J1806-L1806</f>
        <v>1253.9100000000003</v>
      </c>
      <c r="N1806" s="53">
        <f>IF(J1806&lt;&gt;0,M1806/J1806,"")</f>
        <v>0.50456718387844457</v>
      </c>
      <c r="O1806" s="23">
        <v>0</v>
      </c>
      <c r="P1806" s="25">
        <v>0</v>
      </c>
      <c r="Q1806" s="24">
        <v>0</v>
      </c>
      <c r="R1806" s="24">
        <f>O1806-Q1806</f>
        <v>0</v>
      </c>
      <c r="S1806" s="53" t="str">
        <f>IF(O1806&lt;&gt;0,R1806/O1806,"")</f>
        <v/>
      </c>
      <c r="T1806" s="10"/>
      <c r="U1806" s="23">
        <v>0</v>
      </c>
      <c r="V1806" s="25">
        <v>0</v>
      </c>
      <c r="W1806" s="24">
        <v>0</v>
      </c>
      <c r="X1806" s="24">
        <f>U1806-W1806</f>
        <v>0</v>
      </c>
      <c r="Y1806" s="53" t="str">
        <f>IF(U1806&lt;&gt;0,X1806/U1806,"")</f>
        <v/>
      </c>
      <c r="Z1806" s="23">
        <v>0</v>
      </c>
      <c r="AA1806" s="25">
        <v>0</v>
      </c>
      <c r="AB1806" s="24">
        <v>0</v>
      </c>
      <c r="AC1806" s="24">
        <f t="shared" si="530"/>
        <v>0</v>
      </c>
      <c r="AD1806" s="53" t="str">
        <f t="shared" si="531"/>
        <v/>
      </c>
      <c r="AE1806" s="10"/>
    </row>
    <row r="1807" spans="1:31" x14ac:dyDescent="0.25">
      <c r="A1807" s="14" t="s">
        <v>109</v>
      </c>
      <c r="C1807" s="61" t="str">
        <f t="shared" si="529"/>
        <v>C100105</v>
      </c>
      <c r="F1807" s="8" t="str">
        <f>"C100020"</f>
        <v>C100020</v>
      </c>
      <c r="G1807" s="9" t="str">
        <f>"Gym Locker Bag"</f>
        <v>Gym Locker Bag</v>
      </c>
      <c r="H1807" s="47"/>
      <c r="I1807" s="47"/>
      <c r="J1807" s="23">
        <v>637.92999999999995</v>
      </c>
      <c r="K1807" s="25">
        <v>47</v>
      </c>
      <c r="L1807" s="24">
        <v>363.78000000000003</v>
      </c>
      <c r="M1807" s="24">
        <f>J1807-L1807</f>
        <v>274.14999999999992</v>
      </c>
      <c r="N1807" s="53">
        <f>IF(J1807&lt;&gt;0,M1807/J1807,"")</f>
        <v>0.42974934553947919</v>
      </c>
      <c r="O1807" s="23">
        <v>0</v>
      </c>
      <c r="P1807" s="25">
        <v>0</v>
      </c>
      <c r="Q1807" s="24">
        <v>0</v>
      </c>
      <c r="R1807" s="24">
        <f>O1807-Q1807</f>
        <v>0</v>
      </c>
      <c r="S1807" s="53" t="str">
        <f>IF(O1807&lt;&gt;0,R1807/O1807,"")</f>
        <v/>
      </c>
      <c r="T1807" s="10"/>
      <c r="U1807" s="23">
        <v>0</v>
      </c>
      <c r="V1807" s="25">
        <v>0</v>
      </c>
      <c r="W1807" s="24">
        <v>0</v>
      </c>
      <c r="X1807" s="24">
        <f>U1807-W1807</f>
        <v>0</v>
      </c>
      <c r="Y1807" s="53" t="str">
        <f>IF(U1807&lt;&gt;0,X1807/U1807,"")</f>
        <v/>
      </c>
      <c r="Z1807" s="23">
        <v>0</v>
      </c>
      <c r="AA1807" s="25">
        <v>0</v>
      </c>
      <c r="AB1807" s="24">
        <v>0</v>
      </c>
      <c r="AC1807" s="24">
        <f t="shared" si="530"/>
        <v>0</v>
      </c>
      <c r="AD1807" s="53" t="str">
        <f t="shared" si="531"/>
        <v/>
      </c>
      <c r="AE1807" s="10"/>
    </row>
    <row r="1808" spans="1:31" x14ac:dyDescent="0.25">
      <c r="A1808" s="14" t="s">
        <v>109</v>
      </c>
      <c r="C1808" s="61" t="str">
        <f t="shared" si="529"/>
        <v>C100105</v>
      </c>
      <c r="F1808" s="8" t="str">
        <f>"C100021"</f>
        <v>C100021</v>
      </c>
      <c r="G1808" s="9" t="str">
        <f>"Canvas Boat Bag"</f>
        <v>Canvas Boat Bag</v>
      </c>
      <c r="H1808" s="47"/>
      <c r="I1808" s="47"/>
      <c r="J1808" s="23">
        <v>1456.36</v>
      </c>
      <c r="K1808" s="25">
        <v>144</v>
      </c>
      <c r="L1808" s="24">
        <v>990.71</v>
      </c>
      <c r="M1808" s="24">
        <f>J1808-L1808</f>
        <v>465.64999999999986</v>
      </c>
      <c r="N1808" s="53">
        <f>IF(J1808&lt;&gt;0,M1808/J1808,"")</f>
        <v>0.31973550495756536</v>
      </c>
      <c r="O1808" s="23">
        <v>0</v>
      </c>
      <c r="P1808" s="25">
        <v>0</v>
      </c>
      <c r="Q1808" s="24">
        <v>0</v>
      </c>
      <c r="R1808" s="24">
        <f>O1808-Q1808</f>
        <v>0</v>
      </c>
      <c r="S1808" s="53" t="str">
        <f>IF(O1808&lt;&gt;0,R1808/O1808,"")</f>
        <v/>
      </c>
      <c r="T1808" s="10"/>
      <c r="U1808" s="23">
        <v>1456.36</v>
      </c>
      <c r="V1808" s="25">
        <v>144</v>
      </c>
      <c r="W1808" s="24">
        <v>990.71</v>
      </c>
      <c r="X1808" s="24">
        <f>U1808-W1808</f>
        <v>465.64999999999986</v>
      </c>
      <c r="Y1808" s="53">
        <f>IF(U1808&lt;&gt;0,X1808/U1808,"")</f>
        <v>0.31973550495756536</v>
      </c>
      <c r="Z1808" s="23">
        <v>0</v>
      </c>
      <c r="AA1808" s="25">
        <v>0</v>
      </c>
      <c r="AB1808" s="24">
        <v>0</v>
      </c>
      <c r="AC1808" s="24">
        <f t="shared" si="530"/>
        <v>0</v>
      </c>
      <c r="AD1808" s="53" t="str">
        <f t="shared" si="531"/>
        <v/>
      </c>
      <c r="AE1808" s="10"/>
    </row>
    <row r="1809" spans="1:31" x14ac:dyDescent="0.25">
      <c r="A1809" s="14" t="s">
        <v>109</v>
      </c>
      <c r="C1809" s="61" t="str">
        <f t="shared" si="529"/>
        <v>C100105</v>
      </c>
      <c r="F1809" s="8" t="str">
        <f>"C100026"</f>
        <v>C100026</v>
      </c>
      <c r="G1809" s="9" t="str">
        <f>"Fleece Beanie"</f>
        <v>Fleece Beanie</v>
      </c>
      <c r="H1809" s="47"/>
      <c r="I1809" s="47"/>
      <c r="J1809" s="23">
        <v>146.76</v>
      </c>
      <c r="K1809" s="25">
        <v>48</v>
      </c>
      <c r="L1809" s="24">
        <v>96</v>
      </c>
      <c r="M1809" s="24">
        <f>J1809-L1809</f>
        <v>50.759999999999991</v>
      </c>
      <c r="N1809" s="53">
        <f>IF(J1809&lt;&gt;0,M1809/J1809,"")</f>
        <v>0.3458708094848732</v>
      </c>
      <c r="O1809" s="23">
        <v>0</v>
      </c>
      <c r="P1809" s="25">
        <v>0</v>
      </c>
      <c r="Q1809" s="24">
        <v>0</v>
      </c>
      <c r="R1809" s="24">
        <f>O1809-Q1809</f>
        <v>0</v>
      </c>
      <c r="S1809" s="53" t="str">
        <f>IF(O1809&lt;&gt;0,R1809/O1809,"")</f>
        <v/>
      </c>
      <c r="T1809" s="10"/>
      <c r="U1809" s="23">
        <v>880.59</v>
      </c>
      <c r="V1809" s="25">
        <v>288</v>
      </c>
      <c r="W1809" s="24">
        <v>575.97</v>
      </c>
      <c r="X1809" s="24">
        <f>U1809-W1809</f>
        <v>304.62</v>
      </c>
      <c r="Y1809" s="53">
        <f>IF(U1809&lt;&gt;0,X1809/U1809,"")</f>
        <v>0.34592716247061628</v>
      </c>
      <c r="Z1809" s="23">
        <v>0</v>
      </c>
      <c r="AA1809" s="25">
        <v>0</v>
      </c>
      <c r="AB1809" s="24">
        <v>0</v>
      </c>
      <c r="AC1809" s="24">
        <f t="shared" si="530"/>
        <v>0</v>
      </c>
      <c r="AD1809" s="53" t="str">
        <f t="shared" si="531"/>
        <v/>
      </c>
      <c r="AE1809" s="10"/>
    </row>
    <row r="1810" spans="1:31" x14ac:dyDescent="0.25">
      <c r="A1810" s="14" t="s">
        <v>109</v>
      </c>
      <c r="C1810" s="61" t="str">
        <f t="shared" si="529"/>
        <v>C100105</v>
      </c>
      <c r="F1810" s="8" t="str">
        <f>"C100027"</f>
        <v>C100027</v>
      </c>
      <c r="G1810" s="9" t="str">
        <f>"Pique Visor"</f>
        <v>Pique Visor</v>
      </c>
      <c r="H1810" s="47"/>
      <c r="I1810" s="47"/>
      <c r="J1810" s="23">
        <v>0</v>
      </c>
      <c r="K1810" s="25">
        <v>0</v>
      </c>
      <c r="L1810" s="24">
        <v>0</v>
      </c>
      <c r="M1810" s="24">
        <f>J1810-L1810</f>
        <v>0</v>
      </c>
      <c r="N1810" s="53" t="str">
        <f>IF(J1810&lt;&gt;0,M1810/J1810,"")</f>
        <v/>
      </c>
      <c r="O1810" s="23">
        <v>893.29</v>
      </c>
      <c r="P1810" s="25">
        <v>144</v>
      </c>
      <c r="Q1810" s="24">
        <v>449.29</v>
      </c>
      <c r="R1810" s="24">
        <f>O1810-Q1810</f>
        <v>443.99999999999994</v>
      </c>
      <c r="S1810" s="53">
        <f>IF(O1810&lt;&gt;0,R1810/O1810,"")</f>
        <v>0.49703903547560141</v>
      </c>
      <c r="T1810" s="10"/>
      <c r="U1810" s="23">
        <v>893.29</v>
      </c>
      <c r="V1810" s="25">
        <v>144</v>
      </c>
      <c r="W1810" s="24">
        <v>449.29</v>
      </c>
      <c r="X1810" s="24">
        <f>U1810-W1810</f>
        <v>443.99999999999994</v>
      </c>
      <c r="Y1810" s="53">
        <f>IF(U1810&lt;&gt;0,X1810/U1810,"")</f>
        <v>0.49703903547560141</v>
      </c>
      <c r="Z1810" s="23">
        <v>0</v>
      </c>
      <c r="AA1810" s="25">
        <v>0</v>
      </c>
      <c r="AB1810" s="24">
        <v>0</v>
      </c>
      <c r="AC1810" s="24">
        <f t="shared" si="530"/>
        <v>0</v>
      </c>
      <c r="AD1810" s="53" t="str">
        <f t="shared" si="531"/>
        <v/>
      </c>
      <c r="AE1810" s="10"/>
    </row>
    <row r="1811" spans="1:31" x14ac:dyDescent="0.25">
      <c r="A1811" s="14" t="s">
        <v>109</v>
      </c>
      <c r="C1811" s="61" t="str">
        <f t="shared" si="529"/>
        <v>C100105</v>
      </c>
      <c r="F1811" s="8" t="str">
        <f>"C100029"</f>
        <v>C100029</v>
      </c>
      <c r="G1811" s="9" t="str">
        <f>"Distressed Twill Visor"</f>
        <v>Distressed Twill Visor</v>
      </c>
      <c r="H1811" s="47"/>
      <c r="I1811" s="47"/>
      <c r="J1811" s="23">
        <v>0</v>
      </c>
      <c r="K1811" s="25">
        <v>0</v>
      </c>
      <c r="L1811" s="24">
        <v>0</v>
      </c>
      <c r="M1811" s="24">
        <f>J1811-L1811</f>
        <v>0</v>
      </c>
      <c r="N1811" s="53" t="str">
        <f>IF(J1811&lt;&gt;0,M1811/J1811,"")</f>
        <v/>
      </c>
      <c r="O1811" s="23">
        <v>965.25999999999988</v>
      </c>
      <c r="P1811" s="25">
        <v>288</v>
      </c>
      <c r="Q1811" s="24">
        <v>596.18000000000006</v>
      </c>
      <c r="R1811" s="24">
        <f>O1811-Q1811</f>
        <v>369.07999999999981</v>
      </c>
      <c r="S1811" s="53">
        <f>IF(O1811&lt;&gt;0,R1811/O1811,"")</f>
        <v>0.38236330107950173</v>
      </c>
      <c r="T1811" s="10"/>
      <c r="U1811" s="23">
        <v>1114.6500000000001</v>
      </c>
      <c r="V1811" s="25">
        <v>336</v>
      </c>
      <c r="W1811" s="24">
        <v>695.54</v>
      </c>
      <c r="X1811" s="24">
        <f>U1811-W1811</f>
        <v>419.11000000000013</v>
      </c>
      <c r="Y1811" s="53">
        <f>IF(U1811&lt;&gt;0,X1811/U1811,"")</f>
        <v>0.37600143542816139</v>
      </c>
      <c r="Z1811" s="23">
        <v>0</v>
      </c>
      <c r="AA1811" s="25">
        <v>0</v>
      </c>
      <c r="AB1811" s="24">
        <v>0</v>
      </c>
      <c r="AC1811" s="24">
        <f t="shared" si="530"/>
        <v>0</v>
      </c>
      <c r="AD1811" s="53" t="str">
        <f t="shared" si="531"/>
        <v/>
      </c>
      <c r="AE1811" s="10"/>
    </row>
    <row r="1812" spans="1:31" x14ac:dyDescent="0.25">
      <c r="A1812" s="14" t="s">
        <v>109</v>
      </c>
      <c r="C1812" s="61" t="str">
        <f t="shared" si="529"/>
        <v>C100105</v>
      </c>
      <c r="F1812" s="8" t="str">
        <f>"C100030"</f>
        <v>C100030</v>
      </c>
      <c r="G1812" s="9" t="str">
        <f>"Fashion Visor"</f>
        <v>Fashion Visor</v>
      </c>
      <c r="H1812" s="47"/>
      <c r="I1812" s="47"/>
      <c r="J1812" s="23">
        <v>0</v>
      </c>
      <c r="K1812" s="25">
        <v>0</v>
      </c>
      <c r="L1812" s="24">
        <v>0</v>
      </c>
      <c r="M1812" s="24">
        <f>J1812-L1812</f>
        <v>0</v>
      </c>
      <c r="N1812" s="53" t="str">
        <f>IF(J1812&lt;&gt;0,M1812/J1812,"")</f>
        <v/>
      </c>
      <c r="O1812" s="23">
        <v>107.30999999999999</v>
      </c>
      <c r="P1812" s="25">
        <v>25</v>
      </c>
      <c r="Q1812" s="24">
        <v>60.499999999999993</v>
      </c>
      <c r="R1812" s="24">
        <f>O1812-Q1812</f>
        <v>46.809999999999995</v>
      </c>
      <c r="S1812" s="53">
        <f>IF(O1812&lt;&gt;0,R1812/O1812,"")</f>
        <v>0.43621284130090393</v>
      </c>
      <c r="T1812" s="10"/>
      <c r="U1812" s="23">
        <v>0</v>
      </c>
      <c r="V1812" s="25">
        <v>0</v>
      </c>
      <c r="W1812" s="24">
        <v>0</v>
      </c>
      <c r="X1812" s="24">
        <f>U1812-W1812</f>
        <v>0</v>
      </c>
      <c r="Y1812" s="53" t="str">
        <f>IF(U1812&lt;&gt;0,X1812/U1812,"")</f>
        <v/>
      </c>
      <c r="Z1812" s="23">
        <v>0</v>
      </c>
      <c r="AA1812" s="25">
        <v>0</v>
      </c>
      <c r="AB1812" s="24">
        <v>0</v>
      </c>
      <c r="AC1812" s="24">
        <f t="shared" si="530"/>
        <v>0</v>
      </c>
      <c r="AD1812" s="53" t="str">
        <f t="shared" si="531"/>
        <v/>
      </c>
      <c r="AE1812" s="10"/>
    </row>
    <row r="1813" spans="1:31" x14ac:dyDescent="0.25">
      <c r="A1813" s="14" t="s">
        <v>109</v>
      </c>
      <c r="C1813" s="61" t="str">
        <f t="shared" si="529"/>
        <v>C100105</v>
      </c>
      <c r="F1813" s="8" t="str">
        <f>"C100032"</f>
        <v>C100032</v>
      </c>
      <c r="G1813" s="9" t="str">
        <f>"Clip-on Clock"</f>
        <v>Clip-on Clock</v>
      </c>
      <c r="H1813" s="47"/>
      <c r="I1813" s="47"/>
      <c r="J1813" s="23">
        <v>1162.83</v>
      </c>
      <c r="K1813" s="25">
        <v>144</v>
      </c>
      <c r="L1813" s="24">
        <v>599.05000000000007</v>
      </c>
      <c r="M1813" s="24">
        <f>J1813-L1813</f>
        <v>563.77999999999986</v>
      </c>
      <c r="N1813" s="53">
        <f>IF(J1813&lt;&gt;0,M1813/J1813,"")</f>
        <v>0.48483441259685411</v>
      </c>
      <c r="O1813" s="23">
        <v>0</v>
      </c>
      <c r="P1813" s="25">
        <v>0</v>
      </c>
      <c r="Q1813" s="24">
        <v>0</v>
      </c>
      <c r="R1813" s="24">
        <f>O1813-Q1813</f>
        <v>0</v>
      </c>
      <c r="S1813" s="53" t="str">
        <f>IF(O1813&lt;&gt;0,R1813/O1813,"")</f>
        <v/>
      </c>
      <c r="T1813" s="10"/>
      <c r="U1813" s="23">
        <v>1162.83</v>
      </c>
      <c r="V1813" s="25">
        <v>144</v>
      </c>
      <c r="W1813" s="24">
        <v>599.05000000000007</v>
      </c>
      <c r="X1813" s="24">
        <f>U1813-W1813</f>
        <v>563.77999999999986</v>
      </c>
      <c r="Y1813" s="53">
        <f>IF(U1813&lt;&gt;0,X1813/U1813,"")</f>
        <v>0.48483441259685411</v>
      </c>
      <c r="Z1813" s="23">
        <v>0</v>
      </c>
      <c r="AA1813" s="25">
        <v>0</v>
      </c>
      <c r="AB1813" s="24">
        <v>0</v>
      </c>
      <c r="AC1813" s="24">
        <f t="shared" si="530"/>
        <v>0</v>
      </c>
      <c r="AD1813" s="53" t="str">
        <f t="shared" si="531"/>
        <v/>
      </c>
      <c r="AE1813" s="10"/>
    </row>
    <row r="1814" spans="1:31" x14ac:dyDescent="0.25">
      <c r="A1814" s="14" t="s">
        <v>109</v>
      </c>
      <c r="C1814" s="61" t="str">
        <f t="shared" si="529"/>
        <v>C100105</v>
      </c>
      <c r="F1814" s="8" t="str">
        <f>"E100011"</f>
        <v>E100011</v>
      </c>
      <c r="G1814" s="9" t="str">
        <f>"Plastic Sun Visor"</f>
        <v>Plastic Sun Visor</v>
      </c>
      <c r="H1814" s="47"/>
      <c r="I1814" s="47"/>
      <c r="J1814" s="23">
        <v>134.15</v>
      </c>
      <c r="K1814" s="25">
        <v>169</v>
      </c>
      <c r="L1814" s="24">
        <v>70.959999999999994</v>
      </c>
      <c r="M1814" s="24">
        <f>J1814-L1814</f>
        <v>63.190000000000012</v>
      </c>
      <c r="N1814" s="53">
        <f>IF(J1814&lt;&gt;0,M1814/J1814,"")</f>
        <v>0.47103988073052561</v>
      </c>
      <c r="O1814" s="23">
        <v>6.35</v>
      </c>
      <c r="P1814" s="25">
        <v>8</v>
      </c>
      <c r="Q1814" s="24">
        <v>3.36</v>
      </c>
      <c r="R1814" s="24">
        <f>O1814-Q1814</f>
        <v>2.9899999999999998</v>
      </c>
      <c r="S1814" s="53">
        <f>IF(O1814&lt;&gt;0,R1814/O1814,"")</f>
        <v>0.47086614173228347</v>
      </c>
      <c r="T1814" s="10"/>
      <c r="U1814" s="23">
        <v>0.79</v>
      </c>
      <c r="V1814" s="25">
        <v>1</v>
      </c>
      <c r="W1814" s="24">
        <v>0.42</v>
      </c>
      <c r="X1814" s="24">
        <f>U1814-W1814</f>
        <v>0.37000000000000005</v>
      </c>
      <c r="Y1814" s="53">
        <f>IF(U1814&lt;&gt;0,X1814/U1814,"")</f>
        <v>0.46835443037974689</v>
      </c>
      <c r="Z1814" s="23">
        <v>0</v>
      </c>
      <c r="AA1814" s="25">
        <v>0</v>
      </c>
      <c r="AB1814" s="24">
        <v>0</v>
      </c>
      <c r="AC1814" s="24">
        <f t="shared" si="530"/>
        <v>0</v>
      </c>
      <c r="AD1814" s="53" t="str">
        <f t="shared" si="531"/>
        <v/>
      </c>
      <c r="AE1814" s="10"/>
    </row>
    <row r="1815" spans="1:31" x14ac:dyDescent="0.25">
      <c r="A1815" s="14" t="s">
        <v>109</v>
      </c>
      <c r="C1815" s="61" t="str">
        <f t="shared" si="529"/>
        <v>C100105</v>
      </c>
      <c r="F1815" s="8" t="str">
        <f>"E100012"</f>
        <v>E100012</v>
      </c>
      <c r="G1815" s="9" t="str">
        <f>"Canvas Stopwatch"</f>
        <v>Canvas Stopwatch</v>
      </c>
      <c r="H1815" s="47"/>
      <c r="I1815" s="47"/>
      <c r="J1815" s="23">
        <v>3.63</v>
      </c>
      <c r="K1815" s="25">
        <v>1</v>
      </c>
      <c r="L1815" s="24">
        <v>1.96</v>
      </c>
      <c r="M1815" s="24">
        <f>J1815-L1815</f>
        <v>1.67</v>
      </c>
      <c r="N1815" s="53">
        <f>IF(J1815&lt;&gt;0,M1815/J1815,"")</f>
        <v>0.46005509641873277</v>
      </c>
      <c r="O1815" s="23">
        <v>522.14</v>
      </c>
      <c r="P1815" s="25">
        <v>144</v>
      </c>
      <c r="Q1815" s="24">
        <v>282.22999999999996</v>
      </c>
      <c r="R1815" s="24">
        <f>O1815-Q1815</f>
        <v>239.91000000000003</v>
      </c>
      <c r="S1815" s="53">
        <f>IF(O1815&lt;&gt;0,R1815/O1815,"")</f>
        <v>0.45947447044853879</v>
      </c>
      <c r="T1815" s="10"/>
      <c r="U1815" s="23">
        <v>3.63</v>
      </c>
      <c r="V1815" s="25">
        <v>1</v>
      </c>
      <c r="W1815" s="24">
        <v>1.96</v>
      </c>
      <c r="X1815" s="24">
        <f>U1815-W1815</f>
        <v>1.67</v>
      </c>
      <c r="Y1815" s="53">
        <f>IF(U1815&lt;&gt;0,X1815/U1815,"")</f>
        <v>0.46005509641873277</v>
      </c>
      <c r="Z1815" s="23">
        <v>0</v>
      </c>
      <c r="AA1815" s="25">
        <v>0</v>
      </c>
      <c r="AB1815" s="24">
        <v>0</v>
      </c>
      <c r="AC1815" s="24">
        <f t="shared" si="530"/>
        <v>0</v>
      </c>
      <c r="AD1815" s="53" t="str">
        <f t="shared" si="531"/>
        <v/>
      </c>
      <c r="AE1815" s="10"/>
    </row>
    <row r="1816" spans="1:31" x14ac:dyDescent="0.25">
      <c r="A1816" s="14" t="s">
        <v>109</v>
      </c>
      <c r="C1816" s="61" t="str">
        <f t="shared" si="529"/>
        <v>C100105</v>
      </c>
      <c r="F1816" s="8" t="str">
        <f>"E100016"</f>
        <v>E100016</v>
      </c>
      <c r="G1816" s="9" t="str">
        <f>"4 Function Rotating Carabiner Watch"</f>
        <v>4 Function Rotating Carabiner Watch</v>
      </c>
      <c r="H1816" s="47"/>
      <c r="I1816" s="47"/>
      <c r="J1816" s="23">
        <v>429.00000000000006</v>
      </c>
      <c r="K1816" s="25">
        <v>144</v>
      </c>
      <c r="L1816" s="24">
        <v>198.73000000000002</v>
      </c>
      <c r="M1816" s="24">
        <f>J1816-L1816</f>
        <v>230.27000000000004</v>
      </c>
      <c r="N1816" s="53">
        <f>IF(J1816&lt;&gt;0,M1816/J1816,"")</f>
        <v>0.53675990675990681</v>
      </c>
      <c r="O1816" s="23">
        <v>431.97999999999996</v>
      </c>
      <c r="P1816" s="25">
        <v>145</v>
      </c>
      <c r="Q1816" s="24">
        <v>200.10999999999999</v>
      </c>
      <c r="R1816" s="24">
        <f>O1816-Q1816</f>
        <v>231.86999999999998</v>
      </c>
      <c r="S1816" s="53">
        <f>IF(O1816&lt;&gt;0,R1816/O1816,"")</f>
        <v>0.53676096115560901</v>
      </c>
      <c r="T1816" s="10"/>
      <c r="U1816" s="23">
        <v>0</v>
      </c>
      <c r="V1816" s="25">
        <v>0</v>
      </c>
      <c r="W1816" s="24">
        <v>0</v>
      </c>
      <c r="X1816" s="24">
        <f>U1816-W1816</f>
        <v>0</v>
      </c>
      <c r="Y1816" s="53" t="str">
        <f>IF(U1816&lt;&gt;0,X1816/U1816,"")</f>
        <v/>
      </c>
      <c r="Z1816" s="23">
        <v>0</v>
      </c>
      <c r="AA1816" s="25">
        <v>0</v>
      </c>
      <c r="AB1816" s="24">
        <v>0</v>
      </c>
      <c r="AC1816" s="24">
        <f t="shared" si="530"/>
        <v>0</v>
      </c>
      <c r="AD1816" s="53" t="str">
        <f t="shared" si="531"/>
        <v/>
      </c>
      <c r="AE1816" s="10"/>
    </row>
    <row r="1817" spans="1:31" x14ac:dyDescent="0.25">
      <c r="A1817" s="14" t="s">
        <v>109</v>
      </c>
      <c r="C1817" s="61" t="str">
        <f t="shared" si="529"/>
        <v>C100105</v>
      </c>
      <c r="F1817" s="8" t="str">
        <f>"E100017"</f>
        <v>E100017</v>
      </c>
      <c r="G1817" s="9" t="str">
        <f>"Clip-on Clock with Compass"</f>
        <v>Clip-on Clock with Compass</v>
      </c>
      <c r="H1817" s="47"/>
      <c r="I1817" s="47"/>
      <c r="J1817" s="23">
        <v>0</v>
      </c>
      <c r="K1817" s="25">
        <v>0</v>
      </c>
      <c r="L1817" s="24">
        <v>0</v>
      </c>
      <c r="M1817" s="24">
        <f>J1817-L1817</f>
        <v>0</v>
      </c>
      <c r="N1817" s="53" t="str">
        <f>IF(J1817&lt;&gt;0,M1817/J1817,"")</f>
        <v/>
      </c>
      <c r="O1817" s="23">
        <v>1.53</v>
      </c>
      <c r="P1817" s="25">
        <v>1</v>
      </c>
      <c r="Q1817" s="24">
        <v>0.88</v>
      </c>
      <c r="R1817" s="24">
        <f>O1817-Q1817</f>
        <v>0.65</v>
      </c>
      <c r="S1817" s="53">
        <f>IF(O1817&lt;&gt;0,R1817/O1817,"")</f>
        <v>0.42483660130718953</v>
      </c>
      <c r="T1817" s="10"/>
      <c r="U1817" s="23">
        <v>1.53</v>
      </c>
      <c r="V1817" s="25">
        <v>1</v>
      </c>
      <c r="W1817" s="24">
        <v>0.88</v>
      </c>
      <c r="X1817" s="24">
        <f>U1817-W1817</f>
        <v>0.65</v>
      </c>
      <c r="Y1817" s="53">
        <f>IF(U1817&lt;&gt;0,X1817/U1817,"")</f>
        <v>0.42483660130718953</v>
      </c>
      <c r="Z1817" s="23">
        <v>0</v>
      </c>
      <c r="AA1817" s="25">
        <v>0</v>
      </c>
      <c r="AB1817" s="24">
        <v>0</v>
      </c>
      <c r="AC1817" s="24">
        <f t="shared" si="530"/>
        <v>0</v>
      </c>
      <c r="AD1817" s="53" t="str">
        <f t="shared" si="531"/>
        <v/>
      </c>
      <c r="AE1817" s="10"/>
    </row>
    <row r="1818" spans="1:31" x14ac:dyDescent="0.25">
      <c r="A1818" s="14" t="s">
        <v>109</v>
      </c>
      <c r="C1818" s="61" t="str">
        <f t="shared" si="529"/>
        <v>C100105</v>
      </c>
      <c r="F1818" s="8" t="str">
        <f>"E100018"</f>
        <v>E100018</v>
      </c>
      <c r="G1818" s="9" t="str">
        <f>"Flexi-Clock &amp; Clip"</f>
        <v>Flexi-Clock &amp; Clip</v>
      </c>
      <c r="H1818" s="47"/>
      <c r="I1818" s="47"/>
      <c r="J1818" s="23">
        <v>-53.150000000000006</v>
      </c>
      <c r="K1818" s="25">
        <v>-48</v>
      </c>
      <c r="L1818" s="24">
        <v>-28.8</v>
      </c>
      <c r="M1818" s="24">
        <f>J1818-L1818</f>
        <v>-24.350000000000005</v>
      </c>
      <c r="N1818" s="53">
        <f>IF(J1818&lt;&gt;0,M1818/J1818,"")</f>
        <v>0.45813734713076204</v>
      </c>
      <c r="O1818" s="23">
        <v>0</v>
      </c>
      <c r="P1818" s="25">
        <v>0</v>
      </c>
      <c r="Q1818" s="24">
        <v>0</v>
      </c>
      <c r="R1818" s="24">
        <f>O1818-Q1818</f>
        <v>0</v>
      </c>
      <c r="S1818" s="53" t="str">
        <f>IF(O1818&lt;&gt;0,R1818/O1818,"")</f>
        <v/>
      </c>
      <c r="T1818" s="10"/>
      <c r="U1818" s="23">
        <v>159.47</v>
      </c>
      <c r="V1818" s="25">
        <v>144</v>
      </c>
      <c r="W1818" s="24">
        <v>86.39</v>
      </c>
      <c r="X1818" s="24">
        <f>U1818-W1818</f>
        <v>73.08</v>
      </c>
      <c r="Y1818" s="53">
        <f>IF(U1818&lt;&gt;0,X1818/U1818,"")</f>
        <v>0.45826801279237472</v>
      </c>
      <c r="Z1818" s="23">
        <v>0</v>
      </c>
      <c r="AA1818" s="25">
        <v>0</v>
      </c>
      <c r="AB1818" s="24">
        <v>0</v>
      </c>
      <c r="AC1818" s="24">
        <f t="shared" si="530"/>
        <v>0</v>
      </c>
      <c r="AD1818" s="53" t="str">
        <f t="shared" si="531"/>
        <v/>
      </c>
      <c r="AE1818" s="10"/>
    </row>
    <row r="1819" spans="1:31" x14ac:dyDescent="0.25">
      <c r="A1819" s="14" t="s">
        <v>109</v>
      </c>
      <c r="C1819" s="61" t="str">
        <f t="shared" si="529"/>
        <v>C100105</v>
      </c>
      <c r="F1819" s="8" t="str">
        <f>"S100001"</f>
        <v>S100001</v>
      </c>
      <c r="G1819" s="9" t="str">
        <f>"Basketball Graphic Plaque"</f>
        <v>Basketball Graphic Plaque</v>
      </c>
      <c r="H1819" s="47"/>
      <c r="I1819" s="47"/>
      <c r="J1819" s="23">
        <v>0</v>
      </c>
      <c r="K1819" s="25">
        <v>0</v>
      </c>
      <c r="L1819" s="24">
        <v>0</v>
      </c>
      <c r="M1819" s="24">
        <f>J1819-L1819</f>
        <v>0</v>
      </c>
      <c r="N1819" s="53" t="str">
        <f>IF(J1819&lt;&gt;0,M1819/J1819,"")</f>
        <v/>
      </c>
      <c r="O1819" s="23">
        <v>2362.35</v>
      </c>
      <c r="P1819" s="25">
        <v>144</v>
      </c>
      <c r="Q1819" s="24">
        <v>1310.4000000000001</v>
      </c>
      <c r="R1819" s="24">
        <f>O1819-Q1819</f>
        <v>1051.9499999999998</v>
      </c>
      <c r="S1819" s="53">
        <f>IF(O1819&lt;&gt;0,R1819/O1819,"")</f>
        <v>0.44529811416597875</v>
      </c>
      <c r="T1819" s="10"/>
      <c r="U1819" s="23">
        <v>16.239999999999998</v>
      </c>
      <c r="V1819" s="25">
        <v>1</v>
      </c>
      <c r="W1819" s="24">
        <v>9.1</v>
      </c>
      <c r="X1819" s="24">
        <f>U1819-W1819</f>
        <v>7.1399999999999988</v>
      </c>
      <c r="Y1819" s="53">
        <f>IF(U1819&lt;&gt;0,X1819/U1819,"")</f>
        <v>0.43965517241379309</v>
      </c>
      <c r="Z1819" s="23">
        <v>0</v>
      </c>
      <c r="AA1819" s="25">
        <v>0</v>
      </c>
      <c r="AB1819" s="24">
        <v>0</v>
      </c>
      <c r="AC1819" s="24">
        <f t="shared" si="530"/>
        <v>0</v>
      </c>
      <c r="AD1819" s="53" t="str">
        <f t="shared" si="531"/>
        <v/>
      </c>
      <c r="AE1819" s="10"/>
    </row>
    <row r="1820" spans="1:31" x14ac:dyDescent="0.25">
      <c r="A1820" s="14" t="s">
        <v>109</v>
      </c>
      <c r="C1820" s="61" t="str">
        <f t="shared" si="529"/>
        <v>C100105</v>
      </c>
      <c r="F1820" s="8" t="str">
        <f>"S100003"</f>
        <v>S100003</v>
      </c>
      <c r="G1820" s="9" t="str">
        <f>"Soccer #1 Pin"</f>
        <v>Soccer #1 Pin</v>
      </c>
      <c r="H1820" s="47"/>
      <c r="I1820" s="47"/>
      <c r="J1820" s="23">
        <v>1.47</v>
      </c>
      <c r="K1820" s="25">
        <v>1</v>
      </c>
      <c r="L1820" s="24">
        <v>0.9</v>
      </c>
      <c r="M1820" s="24">
        <f>J1820-L1820</f>
        <v>0.56999999999999995</v>
      </c>
      <c r="N1820" s="53">
        <f>IF(J1820&lt;&gt;0,M1820/J1820,"")</f>
        <v>0.38775510204081631</v>
      </c>
      <c r="O1820" s="23">
        <v>10.29</v>
      </c>
      <c r="P1820" s="25">
        <v>7</v>
      </c>
      <c r="Q1820" s="24">
        <v>6.3</v>
      </c>
      <c r="R1820" s="24">
        <f>O1820-Q1820</f>
        <v>3.9899999999999993</v>
      </c>
      <c r="S1820" s="53">
        <f>IF(O1820&lt;&gt;0,R1820/O1820,"")</f>
        <v>0.38775510204081631</v>
      </c>
      <c r="T1820" s="10"/>
      <c r="U1820" s="23">
        <v>424.83000000000004</v>
      </c>
      <c r="V1820" s="25">
        <v>289</v>
      </c>
      <c r="W1820" s="24">
        <v>260.10000000000002</v>
      </c>
      <c r="X1820" s="24">
        <f>U1820-W1820</f>
        <v>164.73000000000002</v>
      </c>
      <c r="Y1820" s="53">
        <f>IF(U1820&lt;&gt;0,X1820/U1820,"")</f>
        <v>0.38775510204081631</v>
      </c>
      <c r="Z1820" s="23">
        <v>0</v>
      </c>
      <c r="AA1820" s="25">
        <v>0</v>
      </c>
      <c r="AB1820" s="24">
        <v>0</v>
      </c>
      <c r="AC1820" s="24">
        <f t="shared" si="530"/>
        <v>0</v>
      </c>
      <c r="AD1820" s="53" t="str">
        <f t="shared" si="531"/>
        <v/>
      </c>
      <c r="AE1820" s="10"/>
    </row>
    <row r="1821" spans="1:31" x14ac:dyDescent="0.25">
      <c r="A1821" s="14" t="s">
        <v>109</v>
      </c>
      <c r="C1821" s="61" t="str">
        <f t="shared" si="529"/>
        <v>C100105</v>
      </c>
      <c r="F1821" s="8" t="str">
        <f>"S100004"</f>
        <v>S100004</v>
      </c>
      <c r="G1821" s="9" t="str">
        <f>"Award Medallian - 2''"</f>
        <v>Award Medallian - 2''</v>
      </c>
      <c r="H1821" s="47"/>
      <c r="I1821" s="47"/>
      <c r="J1821" s="23">
        <v>1995.4399999999998</v>
      </c>
      <c r="K1821" s="25">
        <v>144</v>
      </c>
      <c r="L1821" s="24">
        <v>960.48</v>
      </c>
      <c r="M1821" s="24">
        <f>J1821-L1821</f>
        <v>1034.9599999999998</v>
      </c>
      <c r="N1821" s="53">
        <f>IF(J1821&lt;&gt;0,M1821/J1821,"")</f>
        <v>0.51866255061540312</v>
      </c>
      <c r="O1821" s="23">
        <v>1995.4399999999998</v>
      </c>
      <c r="P1821" s="25">
        <v>144</v>
      </c>
      <c r="Q1821" s="24">
        <v>960.48</v>
      </c>
      <c r="R1821" s="24">
        <f>O1821-Q1821</f>
        <v>1034.9599999999998</v>
      </c>
      <c r="S1821" s="53">
        <f>IF(O1821&lt;&gt;0,R1821/O1821,"")</f>
        <v>0.51866255061540312</v>
      </c>
      <c r="T1821" s="10"/>
      <c r="U1821" s="23">
        <v>1995.4399999999998</v>
      </c>
      <c r="V1821" s="25">
        <v>144</v>
      </c>
      <c r="W1821" s="24">
        <v>960.48</v>
      </c>
      <c r="X1821" s="24">
        <f>U1821-W1821</f>
        <v>1034.9599999999998</v>
      </c>
      <c r="Y1821" s="53">
        <f>IF(U1821&lt;&gt;0,X1821/U1821,"")</f>
        <v>0.51866255061540312</v>
      </c>
      <c r="Z1821" s="23">
        <v>0</v>
      </c>
      <c r="AA1821" s="25">
        <v>0</v>
      </c>
      <c r="AB1821" s="24">
        <v>0</v>
      </c>
      <c r="AC1821" s="24">
        <f t="shared" si="530"/>
        <v>0</v>
      </c>
      <c r="AD1821" s="53" t="str">
        <f t="shared" si="531"/>
        <v/>
      </c>
      <c r="AE1821" s="10"/>
    </row>
    <row r="1822" spans="1:31" x14ac:dyDescent="0.25">
      <c r="A1822" s="14" t="s">
        <v>109</v>
      </c>
      <c r="C1822" s="61" t="str">
        <f t="shared" si="529"/>
        <v>C100105</v>
      </c>
      <c r="F1822" s="8" t="str">
        <f>"S100007"</f>
        <v>S100007</v>
      </c>
      <c r="G1822" s="9" t="str">
        <f>"Baseball Figure Trophy"</f>
        <v>Baseball Figure Trophy</v>
      </c>
      <c r="H1822" s="47"/>
      <c r="I1822" s="47"/>
      <c r="J1822" s="23">
        <v>1044.29</v>
      </c>
      <c r="K1822" s="25">
        <v>144</v>
      </c>
      <c r="L1822" s="24">
        <v>529.91999999999996</v>
      </c>
      <c r="M1822" s="24">
        <f>J1822-L1822</f>
        <v>514.37</v>
      </c>
      <c r="N1822" s="53">
        <f>IF(J1822&lt;&gt;0,M1822/J1822,"")</f>
        <v>0.4925547501173046</v>
      </c>
      <c r="O1822" s="23">
        <v>1044.29</v>
      </c>
      <c r="P1822" s="25">
        <v>144</v>
      </c>
      <c r="Q1822" s="24">
        <v>529.91999999999996</v>
      </c>
      <c r="R1822" s="24">
        <f>O1822-Q1822</f>
        <v>514.37</v>
      </c>
      <c r="S1822" s="53">
        <f>IF(O1822&lt;&gt;0,R1822/O1822,"")</f>
        <v>0.4925547501173046</v>
      </c>
      <c r="T1822" s="10"/>
      <c r="U1822" s="23">
        <v>0</v>
      </c>
      <c r="V1822" s="25">
        <v>0</v>
      </c>
      <c r="W1822" s="24">
        <v>0</v>
      </c>
      <c r="X1822" s="24">
        <f>U1822-W1822</f>
        <v>0</v>
      </c>
      <c r="Y1822" s="53" t="str">
        <f>IF(U1822&lt;&gt;0,X1822/U1822,"")</f>
        <v/>
      </c>
      <c r="Z1822" s="23">
        <v>0</v>
      </c>
      <c r="AA1822" s="25">
        <v>0</v>
      </c>
      <c r="AB1822" s="24">
        <v>0</v>
      </c>
      <c r="AC1822" s="24">
        <f t="shared" si="530"/>
        <v>0</v>
      </c>
      <c r="AD1822" s="53" t="str">
        <f t="shared" si="531"/>
        <v/>
      </c>
      <c r="AE1822" s="10"/>
    </row>
    <row r="1823" spans="1:31" x14ac:dyDescent="0.25">
      <c r="A1823" s="14" t="s">
        <v>109</v>
      </c>
      <c r="C1823" s="61" t="str">
        <f t="shared" si="529"/>
        <v>C100105</v>
      </c>
      <c r="F1823" s="8" t="str">
        <f>"S100008"</f>
        <v>S100008</v>
      </c>
      <c r="G1823" s="9" t="str">
        <f>"Soccer Figure Trophy"</f>
        <v>Soccer Figure Trophy</v>
      </c>
      <c r="H1823" s="47"/>
      <c r="I1823" s="47"/>
      <c r="J1823" s="23">
        <v>835.43</v>
      </c>
      <c r="K1823" s="25">
        <v>144</v>
      </c>
      <c r="L1823" s="24">
        <v>529.91999999999996</v>
      </c>
      <c r="M1823" s="24">
        <f>J1823-L1823</f>
        <v>305.51</v>
      </c>
      <c r="N1823" s="53">
        <f>IF(J1823&lt;&gt;0,M1823/J1823,"")</f>
        <v>0.36569191913146526</v>
      </c>
      <c r="O1823" s="23">
        <v>0</v>
      </c>
      <c r="P1823" s="25">
        <v>0</v>
      </c>
      <c r="Q1823" s="24">
        <v>0</v>
      </c>
      <c r="R1823" s="24">
        <f>O1823-Q1823</f>
        <v>0</v>
      </c>
      <c r="S1823" s="53" t="str">
        <f>IF(O1823&lt;&gt;0,R1823/O1823,"")</f>
        <v/>
      </c>
      <c r="T1823" s="10"/>
      <c r="U1823" s="23">
        <v>69.61999999999999</v>
      </c>
      <c r="V1823" s="25">
        <v>12</v>
      </c>
      <c r="W1823" s="24">
        <v>44.16</v>
      </c>
      <c r="X1823" s="24">
        <f>U1823-W1823</f>
        <v>25.459999999999994</v>
      </c>
      <c r="Y1823" s="53">
        <f>IF(U1823&lt;&gt;0,X1823/U1823,"")</f>
        <v>0.36569951163458775</v>
      </c>
      <c r="Z1823" s="23">
        <v>0</v>
      </c>
      <c r="AA1823" s="25">
        <v>0</v>
      </c>
      <c r="AB1823" s="24">
        <v>0</v>
      </c>
      <c r="AC1823" s="24">
        <f t="shared" si="530"/>
        <v>0</v>
      </c>
      <c r="AD1823" s="53" t="str">
        <f t="shared" si="531"/>
        <v/>
      </c>
      <c r="AE1823" s="10"/>
    </row>
    <row r="1824" spans="1:31" x14ac:dyDescent="0.25">
      <c r="A1824" s="14" t="s">
        <v>109</v>
      </c>
      <c r="C1824" s="61" t="str">
        <f t="shared" si="529"/>
        <v>C100105</v>
      </c>
      <c r="F1824" s="8" t="str">
        <f>"S100009"</f>
        <v>S100009</v>
      </c>
      <c r="G1824" s="9" t="str">
        <f>"Engraved Basketball Award"</f>
        <v>Engraved Basketball Award</v>
      </c>
      <c r="H1824" s="47"/>
      <c r="I1824" s="47"/>
      <c r="J1824" s="23">
        <v>2701.04</v>
      </c>
      <c r="K1824" s="25">
        <v>144</v>
      </c>
      <c r="L1824" s="24">
        <v>1270.07</v>
      </c>
      <c r="M1824" s="24">
        <f>J1824-L1824</f>
        <v>1430.97</v>
      </c>
      <c r="N1824" s="53">
        <f>IF(J1824&lt;&gt;0,M1824/J1824,"")</f>
        <v>0.52978482362349322</v>
      </c>
      <c r="O1824" s="23">
        <v>900.35</v>
      </c>
      <c r="P1824" s="25">
        <v>48</v>
      </c>
      <c r="Q1824" s="24">
        <v>423.36</v>
      </c>
      <c r="R1824" s="24">
        <f>O1824-Q1824</f>
        <v>476.99</v>
      </c>
      <c r="S1824" s="53">
        <f>IF(O1824&lt;&gt;0,R1824/O1824,"")</f>
        <v>0.52978286222024773</v>
      </c>
      <c r="T1824" s="10"/>
      <c r="U1824" s="23">
        <v>3573.83</v>
      </c>
      <c r="V1824" s="25">
        <v>192</v>
      </c>
      <c r="W1824" s="24">
        <v>1693.4299999999998</v>
      </c>
      <c r="X1824" s="24">
        <f>U1824-W1824</f>
        <v>1880.4</v>
      </c>
      <c r="Y1824" s="53">
        <f>IF(U1824&lt;&gt;0,X1824/U1824,"")</f>
        <v>0.52615821121877648</v>
      </c>
      <c r="Z1824" s="23">
        <v>0</v>
      </c>
      <c r="AA1824" s="25">
        <v>0</v>
      </c>
      <c r="AB1824" s="24">
        <v>0</v>
      </c>
      <c r="AC1824" s="24">
        <f t="shared" si="530"/>
        <v>0</v>
      </c>
      <c r="AD1824" s="53" t="str">
        <f t="shared" si="531"/>
        <v/>
      </c>
      <c r="AE1824" s="10"/>
    </row>
    <row r="1825" spans="1:31" x14ac:dyDescent="0.25">
      <c r="A1825" s="14" t="s">
        <v>109</v>
      </c>
      <c r="C1825" s="61" t="str">
        <f t="shared" si="529"/>
        <v>C100105</v>
      </c>
      <c r="F1825" s="8" t="str">
        <f>"S100010"</f>
        <v>S100010</v>
      </c>
      <c r="G1825" s="9" t="str">
        <f>"Golf Relaxed Cap"</f>
        <v>Golf Relaxed Cap</v>
      </c>
      <c r="H1825" s="47"/>
      <c r="I1825" s="47"/>
      <c r="J1825" s="23">
        <v>-121.01</v>
      </c>
      <c r="K1825" s="25">
        <v>-12</v>
      </c>
      <c r="L1825" s="24">
        <v>-73.08</v>
      </c>
      <c r="M1825" s="24">
        <f>J1825-L1825</f>
        <v>-47.930000000000007</v>
      </c>
      <c r="N1825" s="53">
        <f>IF(J1825&lt;&gt;0,M1825/J1825,"")</f>
        <v>0.39608296834972323</v>
      </c>
      <c r="O1825" s="23">
        <v>484.04</v>
      </c>
      <c r="P1825" s="25">
        <v>48</v>
      </c>
      <c r="Q1825" s="24">
        <v>292.32</v>
      </c>
      <c r="R1825" s="24">
        <f>O1825-Q1825</f>
        <v>191.72000000000003</v>
      </c>
      <c r="S1825" s="53">
        <f>IF(O1825&lt;&gt;0,R1825/O1825,"")</f>
        <v>0.39608296834972323</v>
      </c>
      <c r="T1825" s="10"/>
      <c r="U1825" s="23">
        <v>0</v>
      </c>
      <c r="V1825" s="25">
        <v>0</v>
      </c>
      <c r="W1825" s="24">
        <v>0</v>
      </c>
      <c r="X1825" s="24">
        <f>U1825-W1825</f>
        <v>0</v>
      </c>
      <c r="Y1825" s="53" t="str">
        <f>IF(U1825&lt;&gt;0,X1825/U1825,"")</f>
        <v/>
      </c>
      <c r="Z1825" s="23">
        <v>0</v>
      </c>
      <c r="AA1825" s="25">
        <v>0</v>
      </c>
      <c r="AB1825" s="24">
        <v>0</v>
      </c>
      <c r="AC1825" s="24">
        <f t="shared" si="530"/>
        <v>0</v>
      </c>
      <c r="AD1825" s="53" t="str">
        <f t="shared" si="531"/>
        <v/>
      </c>
      <c r="AE1825" s="10"/>
    </row>
    <row r="1826" spans="1:31" x14ac:dyDescent="0.25">
      <c r="A1826" s="14" t="s">
        <v>109</v>
      </c>
      <c r="C1826" s="61" t="str">
        <f t="shared" si="529"/>
        <v>C100105</v>
      </c>
      <c r="F1826" s="8" t="str">
        <f>"S100011"</f>
        <v>S100011</v>
      </c>
      <c r="G1826" s="9" t="str">
        <f>"All Star Cap"</f>
        <v>All Star Cap</v>
      </c>
      <c r="H1826" s="47"/>
      <c r="I1826" s="47"/>
      <c r="J1826" s="23">
        <v>0</v>
      </c>
      <c r="K1826" s="25">
        <v>0</v>
      </c>
      <c r="L1826" s="24">
        <v>0</v>
      </c>
      <c r="M1826" s="24">
        <f>J1826-L1826</f>
        <v>0</v>
      </c>
      <c r="N1826" s="53" t="str">
        <f>IF(J1826&lt;&gt;0,M1826/J1826,"")</f>
        <v/>
      </c>
      <c r="O1826" s="23">
        <v>409.24</v>
      </c>
      <c r="P1826" s="25">
        <v>288</v>
      </c>
      <c r="Q1826" s="24">
        <v>244.82</v>
      </c>
      <c r="R1826" s="24">
        <f>O1826-Q1826</f>
        <v>164.42000000000002</v>
      </c>
      <c r="S1826" s="53">
        <f>IF(O1826&lt;&gt;0,R1826/O1826,"")</f>
        <v>0.40176913302707462</v>
      </c>
      <c r="T1826" s="10"/>
      <c r="U1826" s="23">
        <v>1.42</v>
      </c>
      <c r="V1826" s="25">
        <v>1</v>
      </c>
      <c r="W1826" s="24">
        <v>0.85</v>
      </c>
      <c r="X1826" s="24">
        <f>U1826-W1826</f>
        <v>0.56999999999999995</v>
      </c>
      <c r="Y1826" s="53">
        <f>IF(U1826&lt;&gt;0,X1826/U1826,"")</f>
        <v>0.40140845070422532</v>
      </c>
      <c r="Z1826" s="23">
        <v>0</v>
      </c>
      <c r="AA1826" s="25">
        <v>0</v>
      </c>
      <c r="AB1826" s="24">
        <v>0</v>
      </c>
      <c r="AC1826" s="24">
        <f t="shared" si="530"/>
        <v>0</v>
      </c>
      <c r="AD1826" s="53" t="str">
        <f t="shared" si="531"/>
        <v/>
      </c>
      <c r="AE1826" s="10"/>
    </row>
    <row r="1827" spans="1:31" x14ac:dyDescent="0.25">
      <c r="A1827" s="14" t="s">
        <v>109</v>
      </c>
      <c r="C1827" s="61" t="str">
        <f t="shared" si="529"/>
        <v>C100105</v>
      </c>
      <c r="F1827" s="8" t="str">
        <f>"S100014"</f>
        <v>S100014</v>
      </c>
      <c r="G1827" s="9" t="str">
        <f>"Chunky Knit Hat"</f>
        <v>Chunky Knit Hat</v>
      </c>
      <c r="H1827" s="47"/>
      <c r="I1827" s="47"/>
      <c r="J1827" s="23">
        <v>9.6</v>
      </c>
      <c r="K1827" s="25">
        <v>1</v>
      </c>
      <c r="L1827" s="24">
        <v>5.16</v>
      </c>
      <c r="M1827" s="24">
        <f>J1827-L1827</f>
        <v>4.4399999999999995</v>
      </c>
      <c r="N1827" s="53">
        <f>IF(J1827&lt;&gt;0,M1827/J1827,"")</f>
        <v>0.46249999999999997</v>
      </c>
      <c r="O1827" s="23">
        <v>124.85000000000001</v>
      </c>
      <c r="P1827" s="25">
        <v>13</v>
      </c>
      <c r="Q1827" s="24">
        <v>67.08</v>
      </c>
      <c r="R1827" s="24">
        <f>O1827-Q1827</f>
        <v>57.77000000000001</v>
      </c>
      <c r="S1827" s="53">
        <f>IF(O1827&lt;&gt;0,R1827/O1827,"")</f>
        <v>0.46271525830997201</v>
      </c>
      <c r="T1827" s="10"/>
      <c r="U1827" s="23">
        <v>1382.98</v>
      </c>
      <c r="V1827" s="25">
        <v>144</v>
      </c>
      <c r="W1827" s="24">
        <v>743.03</v>
      </c>
      <c r="X1827" s="24">
        <f>U1827-W1827</f>
        <v>639.95000000000005</v>
      </c>
      <c r="Y1827" s="53">
        <f>IF(U1827&lt;&gt;0,X1827/U1827,"")</f>
        <v>0.46273264978524636</v>
      </c>
      <c r="Z1827" s="23">
        <v>0</v>
      </c>
      <c r="AA1827" s="25">
        <v>0</v>
      </c>
      <c r="AB1827" s="24">
        <v>0</v>
      </c>
      <c r="AC1827" s="24">
        <f t="shared" si="530"/>
        <v>0</v>
      </c>
      <c r="AD1827" s="53" t="str">
        <f t="shared" si="531"/>
        <v/>
      </c>
      <c r="AE1827" s="10"/>
    </row>
    <row r="1828" spans="1:31" x14ac:dyDescent="0.25">
      <c r="A1828" s="14" t="s">
        <v>109</v>
      </c>
      <c r="C1828" s="61" t="str">
        <f t="shared" si="529"/>
        <v>C100105</v>
      </c>
      <c r="F1828" s="8" t="str">
        <f>"S100015"</f>
        <v>S100015</v>
      </c>
      <c r="G1828" s="9" t="str">
        <f>"Raw-Edge Bucket Hat"</f>
        <v>Raw-Edge Bucket Hat</v>
      </c>
      <c r="H1828" s="47"/>
      <c r="I1828" s="47"/>
      <c r="J1828" s="23">
        <v>-7.24</v>
      </c>
      <c r="K1828" s="25">
        <v>-1</v>
      </c>
      <c r="L1828" s="24">
        <v>-3.64</v>
      </c>
      <c r="M1828" s="24">
        <f>J1828-L1828</f>
        <v>-3.6</v>
      </c>
      <c r="N1828" s="53">
        <f>IF(J1828&lt;&gt;0,M1828/J1828,"")</f>
        <v>0.49723756906077349</v>
      </c>
      <c r="O1828" s="23">
        <v>0</v>
      </c>
      <c r="P1828" s="25">
        <v>0</v>
      </c>
      <c r="Q1828" s="24">
        <v>0</v>
      </c>
      <c r="R1828" s="24">
        <f>O1828-Q1828</f>
        <v>0</v>
      </c>
      <c r="S1828" s="53" t="str">
        <f>IF(O1828&lt;&gt;0,R1828/O1828,"")</f>
        <v/>
      </c>
      <c r="T1828" s="10"/>
      <c r="U1828" s="23">
        <v>2085.7600000000002</v>
      </c>
      <c r="V1828" s="25">
        <v>288</v>
      </c>
      <c r="W1828" s="24">
        <v>1048.3400000000001</v>
      </c>
      <c r="X1828" s="24">
        <f>U1828-W1828</f>
        <v>1037.42</v>
      </c>
      <c r="Y1828" s="53">
        <f>IF(U1828&lt;&gt;0,X1828/U1828,"")</f>
        <v>0.49738224915618284</v>
      </c>
      <c r="Z1828" s="23">
        <v>0</v>
      </c>
      <c r="AA1828" s="25">
        <v>0</v>
      </c>
      <c r="AB1828" s="24">
        <v>0</v>
      </c>
      <c r="AC1828" s="24">
        <f t="shared" si="530"/>
        <v>0</v>
      </c>
      <c r="AD1828" s="53" t="str">
        <f t="shared" si="531"/>
        <v/>
      </c>
      <c r="AE1828" s="10"/>
    </row>
    <row r="1829" spans="1:31" x14ac:dyDescent="0.25">
      <c r="A1829" s="14" t="s">
        <v>109</v>
      </c>
      <c r="C1829" s="61" t="str">
        <f t="shared" si="529"/>
        <v>C100105</v>
      </c>
      <c r="F1829" s="8" t="str">
        <f>"S100016"</f>
        <v>S100016</v>
      </c>
      <c r="G1829" s="9" t="str">
        <f>"Mesh Bucket Hat"</f>
        <v>Mesh Bucket Hat</v>
      </c>
      <c r="H1829" s="47"/>
      <c r="I1829" s="47"/>
      <c r="J1829" s="23">
        <v>702.78</v>
      </c>
      <c r="K1829" s="25">
        <v>144</v>
      </c>
      <c r="L1829" s="24">
        <v>396.01</v>
      </c>
      <c r="M1829" s="24">
        <f>J1829-L1829</f>
        <v>306.77</v>
      </c>
      <c r="N1829" s="53">
        <f>IF(J1829&lt;&gt;0,M1829/J1829,"")</f>
        <v>0.43650929167022395</v>
      </c>
      <c r="O1829" s="23">
        <v>0</v>
      </c>
      <c r="P1829" s="25">
        <v>0</v>
      </c>
      <c r="Q1829" s="24">
        <v>0</v>
      </c>
      <c r="R1829" s="24">
        <f>O1829-Q1829</f>
        <v>0</v>
      </c>
      <c r="S1829" s="53" t="str">
        <f>IF(O1829&lt;&gt;0,R1829/O1829,"")</f>
        <v/>
      </c>
      <c r="T1829" s="10"/>
      <c r="U1829" s="23">
        <v>0</v>
      </c>
      <c r="V1829" s="25">
        <v>0</v>
      </c>
      <c r="W1829" s="24">
        <v>0</v>
      </c>
      <c r="X1829" s="24">
        <f>U1829-W1829</f>
        <v>0</v>
      </c>
      <c r="Y1829" s="53" t="str">
        <f>IF(U1829&lt;&gt;0,X1829/U1829,"")</f>
        <v/>
      </c>
      <c r="Z1829" s="23">
        <v>0</v>
      </c>
      <c r="AA1829" s="25">
        <v>0</v>
      </c>
      <c r="AB1829" s="24">
        <v>0</v>
      </c>
      <c r="AC1829" s="24">
        <f t="shared" si="530"/>
        <v>0</v>
      </c>
      <c r="AD1829" s="53" t="str">
        <f t="shared" si="531"/>
        <v/>
      </c>
      <c r="AE1829" s="10"/>
    </row>
    <row r="1830" spans="1:31" x14ac:dyDescent="0.25">
      <c r="A1830" s="14" t="s">
        <v>109</v>
      </c>
      <c r="C1830" s="61" t="str">
        <f t="shared" si="529"/>
        <v>C100105</v>
      </c>
      <c r="F1830" s="8" t="str">
        <f>"S100018"</f>
        <v>S100018</v>
      </c>
      <c r="G1830" s="9" t="str">
        <f>"Crusher Bucket Hat"</f>
        <v>Crusher Bucket Hat</v>
      </c>
      <c r="H1830" s="47"/>
      <c r="I1830" s="47"/>
      <c r="J1830" s="23">
        <v>2094.2200000000003</v>
      </c>
      <c r="K1830" s="25">
        <v>288</v>
      </c>
      <c r="L1830" s="24">
        <v>1008</v>
      </c>
      <c r="M1830" s="24">
        <f>J1830-L1830</f>
        <v>1086.2200000000003</v>
      </c>
      <c r="N1830" s="53">
        <f>IF(J1830&lt;&gt;0,M1830/J1830,"")</f>
        <v>0.51867521081834767</v>
      </c>
      <c r="O1830" s="23">
        <v>0</v>
      </c>
      <c r="P1830" s="25">
        <v>0</v>
      </c>
      <c r="Q1830" s="24">
        <v>0</v>
      </c>
      <c r="R1830" s="24">
        <f>O1830-Q1830</f>
        <v>0</v>
      </c>
      <c r="S1830" s="53" t="str">
        <f>IF(O1830&lt;&gt;0,R1830/O1830,"")</f>
        <v/>
      </c>
      <c r="T1830" s="10"/>
      <c r="U1830" s="23">
        <v>1047.1100000000001</v>
      </c>
      <c r="V1830" s="25">
        <v>144</v>
      </c>
      <c r="W1830" s="24">
        <v>504</v>
      </c>
      <c r="X1830" s="24">
        <f>U1830-W1830</f>
        <v>543.11000000000013</v>
      </c>
      <c r="Y1830" s="53">
        <f>IF(U1830&lt;&gt;0,X1830/U1830,"")</f>
        <v>0.51867521081834767</v>
      </c>
      <c r="Z1830" s="23">
        <v>0</v>
      </c>
      <c r="AA1830" s="25">
        <v>0</v>
      </c>
      <c r="AB1830" s="24">
        <v>0</v>
      </c>
      <c r="AC1830" s="24">
        <f t="shared" si="530"/>
        <v>0</v>
      </c>
      <c r="AD1830" s="53" t="str">
        <f t="shared" si="531"/>
        <v/>
      </c>
      <c r="AE1830" s="10"/>
    </row>
    <row r="1831" spans="1:31" x14ac:dyDescent="0.25">
      <c r="A1831" s="14" t="s">
        <v>109</v>
      </c>
      <c r="C1831" s="61" t="str">
        <f t="shared" si="529"/>
        <v>C100105</v>
      </c>
      <c r="F1831" s="8" t="str">
        <f>"S100019"</f>
        <v>S100019</v>
      </c>
      <c r="G1831" s="9" t="str">
        <f>"Sportsman Bucket Hat"</f>
        <v>Sportsman Bucket Hat</v>
      </c>
      <c r="H1831" s="47"/>
      <c r="I1831" s="47"/>
      <c r="J1831" s="23">
        <v>647.74</v>
      </c>
      <c r="K1831" s="25">
        <v>144</v>
      </c>
      <c r="L1831" s="24">
        <v>349.93</v>
      </c>
      <c r="M1831" s="24">
        <f>J1831-L1831</f>
        <v>297.81</v>
      </c>
      <c r="N1831" s="53">
        <f>IF(J1831&lt;&gt;0,M1831/J1831,"")</f>
        <v>0.45976780807113965</v>
      </c>
      <c r="O1831" s="23">
        <v>0</v>
      </c>
      <c r="P1831" s="25">
        <v>0</v>
      </c>
      <c r="Q1831" s="24">
        <v>0</v>
      </c>
      <c r="R1831" s="24">
        <f>O1831-Q1831</f>
        <v>0</v>
      </c>
      <c r="S1831" s="53" t="str">
        <f>IF(O1831&lt;&gt;0,R1831/O1831,"")</f>
        <v/>
      </c>
      <c r="T1831" s="10"/>
      <c r="U1831" s="23">
        <v>674.44999999999993</v>
      </c>
      <c r="V1831" s="25">
        <v>150</v>
      </c>
      <c r="W1831" s="24">
        <v>364.51</v>
      </c>
      <c r="X1831" s="24">
        <f>U1831-W1831</f>
        <v>309.93999999999994</v>
      </c>
      <c r="Y1831" s="53">
        <f>IF(U1831&lt;&gt;0,X1831/U1831,"")</f>
        <v>0.45954481429312771</v>
      </c>
      <c r="Z1831" s="23">
        <v>0</v>
      </c>
      <c r="AA1831" s="25">
        <v>0</v>
      </c>
      <c r="AB1831" s="24">
        <v>0</v>
      </c>
      <c r="AC1831" s="24">
        <f t="shared" si="530"/>
        <v>0</v>
      </c>
      <c r="AD1831" s="53" t="str">
        <f t="shared" si="531"/>
        <v/>
      </c>
      <c r="AE1831" s="10"/>
    </row>
    <row r="1832" spans="1:31" x14ac:dyDescent="0.25">
      <c r="A1832" s="14" t="s">
        <v>109</v>
      </c>
      <c r="C1832" s="61" t="str">
        <f t="shared" si="529"/>
        <v>C100105</v>
      </c>
      <c r="F1832" s="8" t="str">
        <f>"S100020"</f>
        <v>S100020</v>
      </c>
      <c r="G1832" s="9" t="str">
        <f>"Super Sport Stopwatch"</f>
        <v>Super Sport Stopwatch</v>
      </c>
      <c r="H1832" s="47"/>
      <c r="I1832" s="47"/>
      <c r="J1832" s="23">
        <v>615.28</v>
      </c>
      <c r="K1832" s="25">
        <v>288</v>
      </c>
      <c r="L1832" s="24">
        <v>302.39999999999998</v>
      </c>
      <c r="M1832" s="24">
        <f>J1832-L1832</f>
        <v>312.88</v>
      </c>
      <c r="N1832" s="53">
        <f>IF(J1832&lt;&gt;0,M1832/J1832,"")</f>
        <v>0.50851644779612537</v>
      </c>
      <c r="O1832" s="23">
        <v>307.64</v>
      </c>
      <c r="P1832" s="25">
        <v>144</v>
      </c>
      <c r="Q1832" s="24">
        <v>151.19999999999999</v>
      </c>
      <c r="R1832" s="24">
        <f>O1832-Q1832</f>
        <v>156.44</v>
      </c>
      <c r="S1832" s="53">
        <f>IF(O1832&lt;&gt;0,R1832/O1832,"")</f>
        <v>0.50851644779612537</v>
      </c>
      <c r="T1832" s="10"/>
      <c r="U1832" s="23">
        <v>2.11</v>
      </c>
      <c r="V1832" s="25">
        <v>1</v>
      </c>
      <c r="W1832" s="24">
        <v>1.05</v>
      </c>
      <c r="X1832" s="24">
        <f>U1832-W1832</f>
        <v>1.0599999999999998</v>
      </c>
      <c r="Y1832" s="53">
        <f>IF(U1832&lt;&gt;0,X1832/U1832,"")</f>
        <v>0.50236966824644547</v>
      </c>
      <c r="Z1832" s="23">
        <v>0</v>
      </c>
      <c r="AA1832" s="25">
        <v>0</v>
      </c>
      <c r="AB1832" s="24">
        <v>0</v>
      </c>
      <c r="AC1832" s="24">
        <f t="shared" si="530"/>
        <v>0</v>
      </c>
      <c r="AD1832" s="53" t="str">
        <f t="shared" si="531"/>
        <v/>
      </c>
      <c r="AE1832" s="10"/>
    </row>
    <row r="1833" spans="1:31" x14ac:dyDescent="0.25">
      <c r="A1833" s="14" t="s">
        <v>109</v>
      </c>
      <c r="C1833" s="61" t="str">
        <f t="shared" si="529"/>
        <v>C100105</v>
      </c>
      <c r="F1833" s="8" t="str">
        <f>"S100021"</f>
        <v>S100021</v>
      </c>
      <c r="G1833" s="9" t="str">
        <f>"Translucent Stopwatch"</f>
        <v>Translucent Stopwatch</v>
      </c>
      <c r="H1833" s="47"/>
      <c r="I1833" s="47"/>
      <c r="J1833" s="23">
        <v>1171.3</v>
      </c>
      <c r="K1833" s="25">
        <v>288</v>
      </c>
      <c r="L1833" s="24">
        <v>619.17999999999995</v>
      </c>
      <c r="M1833" s="24">
        <f>J1833-L1833</f>
        <v>552.12</v>
      </c>
      <c r="N1833" s="53">
        <f>IF(J1833&lt;&gt;0,M1833/J1833,"")</f>
        <v>0.47137368735592933</v>
      </c>
      <c r="O1833" s="23">
        <v>0</v>
      </c>
      <c r="P1833" s="25">
        <v>0</v>
      </c>
      <c r="Q1833" s="24">
        <v>0</v>
      </c>
      <c r="R1833" s="24">
        <f>O1833-Q1833</f>
        <v>0</v>
      </c>
      <c r="S1833" s="53" t="str">
        <f>IF(O1833&lt;&gt;0,R1833/O1833,"")</f>
        <v/>
      </c>
      <c r="T1833" s="10"/>
      <c r="U1833" s="23">
        <v>2535.81</v>
      </c>
      <c r="V1833" s="25">
        <v>624</v>
      </c>
      <c r="W1833" s="24">
        <v>1341.57</v>
      </c>
      <c r="X1833" s="24">
        <f>U1833-W1833</f>
        <v>1194.24</v>
      </c>
      <c r="Y1833" s="53">
        <f>IF(U1833&lt;&gt;0,X1833/U1833,"")</f>
        <v>0.47095011061554298</v>
      </c>
      <c r="Z1833" s="23">
        <v>0</v>
      </c>
      <c r="AA1833" s="25">
        <v>0</v>
      </c>
      <c r="AB1833" s="24">
        <v>0</v>
      </c>
      <c r="AC1833" s="24">
        <f t="shared" si="530"/>
        <v>0</v>
      </c>
      <c r="AD1833" s="53" t="str">
        <f t="shared" si="531"/>
        <v/>
      </c>
      <c r="AE1833" s="10"/>
    </row>
    <row r="1834" spans="1:31" ht="15.75" thickBot="1" x14ac:dyDescent="0.3">
      <c r="A1834" s="14" t="s">
        <v>109</v>
      </c>
      <c r="C1834" s="61" t="str">
        <f>C1802</f>
        <v>C100105</v>
      </c>
      <c r="J1834" s="10"/>
      <c r="K1834" s="11"/>
      <c r="L1834" s="11"/>
      <c r="M1834" s="11"/>
      <c r="N1834" s="12"/>
      <c r="O1834" s="10"/>
      <c r="P1834" s="11"/>
      <c r="Q1834" s="11"/>
      <c r="R1834" s="11"/>
      <c r="S1834" s="12"/>
      <c r="U1834" s="10"/>
      <c r="V1834" s="11"/>
      <c r="W1834" s="11"/>
      <c r="X1834" s="11"/>
      <c r="Y1834" s="12"/>
      <c r="Z1834" s="10"/>
      <c r="AA1834" s="11"/>
      <c r="AB1834" s="11"/>
      <c r="AC1834" s="11"/>
      <c r="AD1834" s="12"/>
    </row>
    <row r="1835" spans="1:31" ht="15.75" thickBot="1" x14ac:dyDescent="0.3">
      <c r="A1835" s="14" t="s">
        <v>109</v>
      </c>
      <c r="C1835" s="61" t="str">
        <f t="shared" si="526"/>
        <v>C100105</v>
      </c>
      <c r="G1835" s="48" t="str">
        <f>C1835&amp;" TOTAL:"</f>
        <v>C100105 TOTAL:</v>
      </c>
      <c r="H1835" s="50"/>
      <c r="I1835" s="50"/>
      <c r="J1835" s="34">
        <f>SUBTOTAL(9,J1801:J1834)</f>
        <v>19413.850000000002</v>
      </c>
      <c r="K1835" s="35">
        <f>SUBTOTAL(9,K1801:K1834)</f>
        <v>2654</v>
      </c>
      <c r="L1835" s="36">
        <f>SUBTOTAL(9,L1801:L1834)</f>
        <v>10079.81</v>
      </c>
      <c r="M1835" s="36">
        <f>J1835-L1835</f>
        <v>9334.0400000000027</v>
      </c>
      <c r="N1835" s="37">
        <f>IF(J1835&lt;&gt;0,M1835/J1835,"")</f>
        <v>0.4807928360423101</v>
      </c>
      <c r="O1835" s="34">
        <f>SUBTOTAL(9,O1801:O1834)</f>
        <v>30993.229999999992</v>
      </c>
      <c r="P1835" s="35">
        <f>SUBTOTAL(9,P1801:P1834)</f>
        <v>2083</v>
      </c>
      <c r="Q1835" s="36">
        <f>SUBTOTAL(9,Q1801:Q1834)</f>
        <v>16355.5</v>
      </c>
      <c r="R1835" s="36">
        <f>O1835-Q1835</f>
        <v>14637.729999999992</v>
      </c>
      <c r="S1835" s="37">
        <f>IF(O1835&lt;&gt;0,R1835/O1835,"")</f>
        <v>0.47228798031053865</v>
      </c>
      <c r="U1835" s="34">
        <f>SUBTOTAL(9,U1801:U1834)</f>
        <v>39803.340000000004</v>
      </c>
      <c r="V1835" s="35">
        <f>SUBTOTAL(9,V1801:V1834)</f>
        <v>3541</v>
      </c>
      <c r="W1835" s="36">
        <f>SUBTOTAL(9,W1801:W1834)</f>
        <v>21147.899999999991</v>
      </c>
      <c r="X1835" s="36">
        <f>U1835-W1835</f>
        <v>18655.440000000013</v>
      </c>
      <c r="Y1835" s="37">
        <f>IF(U1835&lt;&gt;0,X1835/U1835,"")</f>
        <v>0.46869031593831101</v>
      </c>
      <c r="Z1835" s="34">
        <f>SUBTOTAL(9,Z1801:Z1834)</f>
        <v>0</v>
      </c>
      <c r="AA1835" s="35">
        <f>SUBTOTAL(9,AA1801:AA1834)</f>
        <v>0</v>
      </c>
      <c r="AB1835" s="36">
        <f>SUBTOTAL(9,AB1801:AB1834)</f>
        <v>0</v>
      </c>
      <c r="AC1835" s="36">
        <f t="shared" ref="AC1835" si="532">Z1835-AB1835</f>
        <v>0</v>
      </c>
      <c r="AD1835" s="37" t="str">
        <f t="shared" ref="AD1835" si="533">IF(Z1835&lt;&gt;0,AC1835/Z1835,"")</f>
        <v/>
      </c>
    </row>
    <row r="1836" spans="1:31" x14ac:dyDescent="0.25">
      <c r="A1836" s="14" t="s">
        <v>109</v>
      </c>
      <c r="C1836" s="66"/>
      <c r="J1836" s="10"/>
      <c r="K1836" s="11"/>
      <c r="L1836" s="11"/>
      <c r="M1836" s="11"/>
      <c r="N1836" s="12"/>
      <c r="O1836" s="10"/>
      <c r="P1836" s="11"/>
      <c r="Q1836" s="11"/>
      <c r="R1836" s="11"/>
      <c r="S1836" s="12"/>
      <c r="U1836" s="10"/>
      <c r="V1836" s="11"/>
      <c r="W1836" s="11"/>
      <c r="X1836" s="11"/>
      <c r="Y1836" s="12"/>
      <c r="Z1836" s="10"/>
      <c r="AA1836" s="11"/>
      <c r="AB1836" s="11"/>
      <c r="AC1836" s="11"/>
      <c r="AD1836" s="12"/>
    </row>
    <row r="1837" spans="1:31" ht="15.75" x14ac:dyDescent="0.25">
      <c r="A1837" s="14" t="s">
        <v>109</v>
      </c>
      <c r="C1837" s="66" t="str">
        <f t="shared" ref="C1837" si="534">E1837</f>
        <v>C100106</v>
      </c>
      <c r="E1837" s="13" t="str">
        <f>"C100106"</f>
        <v>C100106</v>
      </c>
      <c r="F1837" s="13"/>
      <c r="G1837" s="13" t="str">
        <f>"Equinox Sporting Goods"</f>
        <v>Equinox Sporting Goods</v>
      </c>
      <c r="H1837" s="13"/>
      <c r="I1837" s="13"/>
      <c r="J1837" s="10"/>
      <c r="K1837" s="11"/>
      <c r="L1837" s="11"/>
      <c r="M1837" s="11"/>
      <c r="N1837" s="12"/>
      <c r="O1837" s="10"/>
      <c r="P1837" s="11"/>
      <c r="Q1837" s="11"/>
      <c r="R1837" s="11"/>
      <c r="S1837" s="12"/>
      <c r="U1837" s="10"/>
      <c r="V1837" s="11"/>
      <c r="W1837" s="11"/>
      <c r="X1837" s="11"/>
      <c r="Y1837" s="12"/>
      <c r="Z1837" s="10"/>
      <c r="AA1837" s="11"/>
      <c r="AB1837" s="11"/>
      <c r="AC1837" s="11"/>
      <c r="AD1837" s="12"/>
    </row>
    <row r="1838" spans="1:31" ht="6.6" customHeight="1" x14ac:dyDescent="0.25">
      <c r="A1838" s="14" t="s">
        <v>109</v>
      </c>
      <c r="C1838" s="61" t="str">
        <f t="shared" ref="C1838:C1851" si="535">C1837</f>
        <v>C100106</v>
      </c>
      <c r="J1838" s="10"/>
      <c r="K1838" s="11"/>
      <c r="L1838" s="11"/>
      <c r="M1838" s="11"/>
      <c r="N1838" s="12"/>
      <c r="O1838" s="10"/>
      <c r="P1838" s="11"/>
      <c r="Q1838" s="11"/>
      <c r="R1838" s="11"/>
      <c r="S1838" s="12"/>
      <c r="U1838" s="10"/>
      <c r="V1838" s="11"/>
      <c r="W1838" s="11"/>
      <c r="X1838" s="11"/>
      <c r="Y1838" s="12"/>
      <c r="Z1838" s="10"/>
      <c r="AA1838" s="11"/>
      <c r="AB1838" s="11"/>
      <c r="AC1838" s="11"/>
      <c r="AD1838" s="12"/>
    </row>
    <row r="1839" spans="1:31" x14ac:dyDescent="0.25">
      <c r="A1839" s="14" t="s">
        <v>109</v>
      </c>
      <c r="C1839" s="61" t="str">
        <f t="shared" si="535"/>
        <v>C100106</v>
      </c>
      <c r="F1839" s="8" t="str">
        <f>"C100019"</f>
        <v>C100019</v>
      </c>
      <c r="G1839" s="9" t="str">
        <f>"Black Duffel Bag"</f>
        <v>Black Duffel Bag</v>
      </c>
      <c r="H1839" s="47"/>
      <c r="I1839" s="47"/>
      <c r="J1839" s="23">
        <v>0</v>
      </c>
      <c r="K1839" s="25">
        <v>0</v>
      </c>
      <c r="L1839" s="24">
        <v>0</v>
      </c>
      <c r="M1839" s="24">
        <f>J1839-L1839</f>
        <v>0</v>
      </c>
      <c r="N1839" s="53" t="str">
        <f>IF(J1839&lt;&gt;0,M1839/J1839,"")</f>
        <v/>
      </c>
      <c r="O1839" s="23">
        <v>9947.5500000000011</v>
      </c>
      <c r="P1839" s="25">
        <v>144</v>
      </c>
      <c r="Q1839" s="24">
        <v>6151.7</v>
      </c>
      <c r="R1839" s="24">
        <f>O1839-Q1839</f>
        <v>3795.8500000000013</v>
      </c>
      <c r="S1839" s="53">
        <f>IF(O1839&lt;&gt;0,R1839/O1839,"")</f>
        <v>0.3815864207769753</v>
      </c>
      <c r="T1839" s="10"/>
      <c r="U1839" s="23">
        <v>0</v>
      </c>
      <c r="V1839" s="25">
        <v>0</v>
      </c>
      <c r="W1839" s="24">
        <v>0</v>
      </c>
      <c r="X1839" s="24">
        <f>U1839-W1839</f>
        <v>0</v>
      </c>
      <c r="Y1839" s="53" t="str">
        <f>IF(U1839&lt;&gt;0,X1839/U1839,"")</f>
        <v/>
      </c>
      <c r="Z1839" s="23">
        <v>0</v>
      </c>
      <c r="AA1839" s="25">
        <v>0</v>
      </c>
      <c r="AB1839" s="24">
        <v>0</v>
      </c>
      <c r="AC1839" s="24">
        <f t="shared" ref="AC1839" si="536">Z1839-AB1839</f>
        <v>0</v>
      </c>
      <c r="AD1839" s="53" t="str">
        <f t="shared" ref="AD1839" si="537">IF(Z1839&lt;&gt;0,AC1839/Z1839,"")</f>
        <v/>
      </c>
      <c r="AE1839" s="10"/>
    </row>
    <row r="1840" spans="1:31" x14ac:dyDescent="0.25">
      <c r="A1840" s="14" t="s">
        <v>109</v>
      </c>
      <c r="C1840" s="61" t="str">
        <f t="shared" ref="C1840:C1849" si="538">C1839</f>
        <v>C100106</v>
      </c>
      <c r="F1840" s="8" t="str">
        <f>"C100023"</f>
        <v>C100023</v>
      </c>
      <c r="G1840" s="9" t="str">
        <f>"Two-Toned Knit Hat"</f>
        <v>Two-Toned Knit Hat</v>
      </c>
      <c r="H1840" s="47"/>
      <c r="I1840" s="47"/>
      <c r="J1840" s="23">
        <v>0</v>
      </c>
      <c r="K1840" s="25">
        <v>0</v>
      </c>
      <c r="L1840" s="24">
        <v>0</v>
      </c>
      <c r="M1840" s="24">
        <f>J1840-L1840</f>
        <v>0</v>
      </c>
      <c r="N1840" s="53" t="str">
        <f>IF(J1840&lt;&gt;0,M1840/J1840,"")</f>
        <v/>
      </c>
      <c r="O1840" s="23">
        <v>378.2</v>
      </c>
      <c r="P1840" s="25">
        <v>144</v>
      </c>
      <c r="Q1840" s="24">
        <v>181.43</v>
      </c>
      <c r="R1840" s="24">
        <f>O1840-Q1840</f>
        <v>196.76999999999998</v>
      </c>
      <c r="S1840" s="53">
        <f>IF(O1840&lt;&gt;0,R1840/O1840,"")</f>
        <v>0.52028027498677942</v>
      </c>
      <c r="T1840" s="10"/>
      <c r="U1840" s="23">
        <v>0</v>
      </c>
      <c r="V1840" s="25">
        <v>0</v>
      </c>
      <c r="W1840" s="24">
        <v>0</v>
      </c>
      <c r="X1840" s="24">
        <f>U1840-W1840</f>
        <v>0</v>
      </c>
      <c r="Y1840" s="53" t="str">
        <f>IF(U1840&lt;&gt;0,X1840/U1840,"")</f>
        <v/>
      </c>
      <c r="Z1840" s="23">
        <v>0</v>
      </c>
      <c r="AA1840" s="25">
        <v>0</v>
      </c>
      <c r="AB1840" s="24">
        <v>0</v>
      </c>
      <c r="AC1840" s="24">
        <f t="shared" ref="AC1840:AC1849" si="539">Z1840-AB1840</f>
        <v>0</v>
      </c>
      <c r="AD1840" s="53" t="str">
        <f t="shared" ref="AD1840:AD1849" si="540">IF(Z1840&lt;&gt;0,AC1840/Z1840,"")</f>
        <v/>
      </c>
      <c r="AE1840" s="10"/>
    </row>
    <row r="1841" spans="1:31" x14ac:dyDescent="0.25">
      <c r="A1841" s="14" t="s">
        <v>109</v>
      </c>
      <c r="C1841" s="61" t="str">
        <f t="shared" si="538"/>
        <v>C100106</v>
      </c>
      <c r="F1841" s="8" t="str">
        <f>"E100001"</f>
        <v>E100001</v>
      </c>
      <c r="G1841" s="9" t="str">
        <f>"Sport Bag"</f>
        <v>Sport Bag</v>
      </c>
      <c r="H1841" s="47"/>
      <c r="I1841" s="47"/>
      <c r="J1841" s="23">
        <v>0</v>
      </c>
      <c r="K1841" s="25">
        <v>0</v>
      </c>
      <c r="L1841" s="24">
        <v>0</v>
      </c>
      <c r="M1841" s="24">
        <f>J1841-L1841</f>
        <v>0</v>
      </c>
      <c r="N1841" s="53" t="str">
        <f>IF(J1841&lt;&gt;0,M1841/J1841,"")</f>
        <v/>
      </c>
      <c r="O1841" s="23">
        <v>342.34000000000003</v>
      </c>
      <c r="P1841" s="25">
        <v>193</v>
      </c>
      <c r="Q1841" s="24">
        <v>167.91</v>
      </c>
      <c r="R1841" s="24">
        <f>O1841-Q1841</f>
        <v>174.43000000000004</v>
      </c>
      <c r="S1841" s="53">
        <f>IF(O1841&lt;&gt;0,R1841/O1841,"")</f>
        <v>0.50952269673424089</v>
      </c>
      <c r="T1841" s="10"/>
      <c r="U1841" s="23">
        <v>0</v>
      </c>
      <c r="V1841" s="25">
        <v>0</v>
      </c>
      <c r="W1841" s="24">
        <v>0</v>
      </c>
      <c r="X1841" s="24">
        <f>U1841-W1841</f>
        <v>0</v>
      </c>
      <c r="Y1841" s="53" t="str">
        <f>IF(U1841&lt;&gt;0,X1841/U1841,"")</f>
        <v/>
      </c>
      <c r="Z1841" s="23">
        <v>0</v>
      </c>
      <c r="AA1841" s="25">
        <v>0</v>
      </c>
      <c r="AB1841" s="24">
        <v>0</v>
      </c>
      <c r="AC1841" s="24">
        <f t="shared" si="539"/>
        <v>0</v>
      </c>
      <c r="AD1841" s="53" t="str">
        <f t="shared" si="540"/>
        <v/>
      </c>
      <c r="AE1841" s="10"/>
    </row>
    <row r="1842" spans="1:31" x14ac:dyDescent="0.25">
      <c r="A1842" s="14" t="s">
        <v>109</v>
      </c>
      <c r="C1842" s="61" t="str">
        <f t="shared" si="538"/>
        <v>C100106</v>
      </c>
      <c r="F1842" s="8" t="str">
        <f>"E100014"</f>
        <v>E100014</v>
      </c>
      <c r="G1842" s="9" t="str">
        <f>"Stopwatch with Neck Rope"</f>
        <v>Stopwatch with Neck Rope</v>
      </c>
      <c r="H1842" s="47"/>
      <c r="I1842" s="47"/>
      <c r="J1842" s="23">
        <v>0</v>
      </c>
      <c r="K1842" s="25">
        <v>0</v>
      </c>
      <c r="L1842" s="24">
        <v>0</v>
      </c>
      <c r="M1842" s="24">
        <f>J1842-L1842</f>
        <v>0</v>
      </c>
      <c r="N1842" s="53" t="str">
        <f>IF(J1842&lt;&gt;0,M1842/J1842,"")</f>
        <v/>
      </c>
      <c r="O1842" s="23">
        <v>388.08000000000004</v>
      </c>
      <c r="P1842" s="25">
        <v>144</v>
      </c>
      <c r="Q1842" s="24">
        <v>185.75</v>
      </c>
      <c r="R1842" s="24">
        <f>O1842-Q1842</f>
        <v>202.33000000000004</v>
      </c>
      <c r="S1842" s="53">
        <f>IF(O1842&lt;&gt;0,R1842/O1842,"")</f>
        <v>0.5213615749330035</v>
      </c>
      <c r="T1842" s="10"/>
      <c r="U1842" s="23">
        <v>0</v>
      </c>
      <c r="V1842" s="25">
        <v>0</v>
      </c>
      <c r="W1842" s="24">
        <v>0</v>
      </c>
      <c r="X1842" s="24">
        <f>U1842-W1842</f>
        <v>0</v>
      </c>
      <c r="Y1842" s="53" t="str">
        <f>IF(U1842&lt;&gt;0,X1842/U1842,"")</f>
        <v/>
      </c>
      <c r="Z1842" s="23">
        <v>0</v>
      </c>
      <c r="AA1842" s="25">
        <v>0</v>
      </c>
      <c r="AB1842" s="24">
        <v>0</v>
      </c>
      <c r="AC1842" s="24">
        <f t="shared" si="539"/>
        <v>0</v>
      </c>
      <c r="AD1842" s="53" t="str">
        <f t="shared" si="540"/>
        <v/>
      </c>
      <c r="AE1842" s="10"/>
    </row>
    <row r="1843" spans="1:31" x14ac:dyDescent="0.25">
      <c r="A1843" s="14" t="s">
        <v>109</v>
      </c>
      <c r="C1843" s="61" t="str">
        <f t="shared" si="538"/>
        <v>C100106</v>
      </c>
      <c r="F1843" s="8" t="str">
        <f>"E100017"</f>
        <v>E100017</v>
      </c>
      <c r="G1843" s="9" t="str">
        <f>"Clip-on Clock with Compass"</f>
        <v>Clip-on Clock with Compass</v>
      </c>
      <c r="H1843" s="47"/>
      <c r="I1843" s="47"/>
      <c r="J1843" s="23">
        <v>0</v>
      </c>
      <c r="K1843" s="25">
        <v>0</v>
      </c>
      <c r="L1843" s="24">
        <v>0</v>
      </c>
      <c r="M1843" s="24">
        <f>J1843-L1843</f>
        <v>0</v>
      </c>
      <c r="N1843" s="53" t="str">
        <f>IF(J1843&lt;&gt;0,M1843/J1843,"")</f>
        <v/>
      </c>
      <c r="O1843" s="23">
        <v>3.06</v>
      </c>
      <c r="P1843" s="25">
        <v>2</v>
      </c>
      <c r="Q1843" s="24">
        <v>1.76</v>
      </c>
      <c r="R1843" s="24">
        <f>O1843-Q1843</f>
        <v>1.3</v>
      </c>
      <c r="S1843" s="53">
        <f>IF(O1843&lt;&gt;0,R1843/O1843,"")</f>
        <v>0.42483660130718953</v>
      </c>
      <c r="T1843" s="10"/>
      <c r="U1843" s="23">
        <v>0</v>
      </c>
      <c r="V1843" s="25">
        <v>0</v>
      </c>
      <c r="W1843" s="24">
        <v>0</v>
      </c>
      <c r="X1843" s="24">
        <f>U1843-W1843</f>
        <v>0</v>
      </c>
      <c r="Y1843" s="53" t="str">
        <f>IF(U1843&lt;&gt;0,X1843/U1843,"")</f>
        <v/>
      </c>
      <c r="Z1843" s="23">
        <v>220.14999999999998</v>
      </c>
      <c r="AA1843" s="25">
        <v>144</v>
      </c>
      <c r="AB1843" s="24">
        <v>126.72</v>
      </c>
      <c r="AC1843" s="24">
        <f t="shared" si="539"/>
        <v>93.429999999999978</v>
      </c>
      <c r="AD1843" s="53">
        <f t="shared" si="540"/>
        <v>0.42439245968657729</v>
      </c>
      <c r="AE1843" s="10"/>
    </row>
    <row r="1844" spans="1:31" x14ac:dyDescent="0.25">
      <c r="A1844" s="14" t="s">
        <v>109</v>
      </c>
      <c r="C1844" s="61" t="str">
        <f t="shared" si="538"/>
        <v>C100106</v>
      </c>
      <c r="F1844" s="8" t="str">
        <f>"E100018"</f>
        <v>E100018</v>
      </c>
      <c r="G1844" s="9" t="str">
        <f>"Flexi-Clock &amp; Clip"</f>
        <v>Flexi-Clock &amp; Clip</v>
      </c>
      <c r="H1844" s="47"/>
      <c r="I1844" s="47"/>
      <c r="J1844" s="23">
        <v>0</v>
      </c>
      <c r="K1844" s="25">
        <v>0</v>
      </c>
      <c r="L1844" s="24">
        <v>0</v>
      </c>
      <c r="M1844" s="24">
        <f>J1844-L1844</f>
        <v>0</v>
      </c>
      <c r="N1844" s="53" t="str">
        <f>IF(J1844&lt;&gt;0,M1844/J1844,"")</f>
        <v/>
      </c>
      <c r="O1844" s="23">
        <v>1.1100000000000001</v>
      </c>
      <c r="P1844" s="25">
        <v>1</v>
      </c>
      <c r="Q1844" s="24">
        <v>0.6</v>
      </c>
      <c r="R1844" s="24">
        <f>O1844-Q1844</f>
        <v>0.51000000000000012</v>
      </c>
      <c r="S1844" s="53">
        <f>IF(O1844&lt;&gt;0,R1844/O1844,"")</f>
        <v>0.45945945945945954</v>
      </c>
      <c r="T1844" s="10"/>
      <c r="U1844" s="23">
        <v>0</v>
      </c>
      <c r="V1844" s="25">
        <v>0</v>
      </c>
      <c r="W1844" s="24">
        <v>0</v>
      </c>
      <c r="X1844" s="24">
        <f>U1844-W1844</f>
        <v>0</v>
      </c>
      <c r="Y1844" s="53" t="str">
        <f>IF(U1844&lt;&gt;0,X1844/U1844,"")</f>
        <v/>
      </c>
      <c r="Z1844" s="23">
        <v>53.16</v>
      </c>
      <c r="AA1844" s="25">
        <v>48</v>
      </c>
      <c r="AB1844" s="24">
        <v>28.8</v>
      </c>
      <c r="AC1844" s="24">
        <f t="shared" si="539"/>
        <v>24.359999999999996</v>
      </c>
      <c r="AD1844" s="53">
        <f t="shared" si="540"/>
        <v>0.45823927765237016</v>
      </c>
      <c r="AE1844" s="10"/>
    </row>
    <row r="1845" spans="1:31" x14ac:dyDescent="0.25">
      <c r="A1845" s="14" t="s">
        <v>109</v>
      </c>
      <c r="C1845" s="61" t="str">
        <f t="shared" si="538"/>
        <v>C100106</v>
      </c>
      <c r="F1845" s="8" t="str">
        <f>"S100002"</f>
        <v>S100002</v>
      </c>
      <c r="G1845" s="9" t="str">
        <f>"Football Graphic Plaque"</f>
        <v>Football Graphic Plaque</v>
      </c>
      <c r="H1845" s="47"/>
      <c r="I1845" s="47"/>
      <c r="J1845" s="23">
        <v>0</v>
      </c>
      <c r="K1845" s="25">
        <v>0</v>
      </c>
      <c r="L1845" s="24">
        <v>0</v>
      </c>
      <c r="M1845" s="24">
        <f>J1845-L1845</f>
        <v>0</v>
      </c>
      <c r="N1845" s="53" t="str">
        <f>IF(J1845&lt;&gt;0,M1845/J1845,"")</f>
        <v/>
      </c>
      <c r="O1845" s="23">
        <v>3489.9</v>
      </c>
      <c r="P1845" s="25">
        <v>144</v>
      </c>
      <c r="Q1845" s="24">
        <v>1712.1699999999998</v>
      </c>
      <c r="R1845" s="24">
        <f>O1845-Q1845</f>
        <v>1777.7300000000002</v>
      </c>
      <c r="S1845" s="53">
        <f>IF(O1845&lt;&gt;0,R1845/O1845,"")</f>
        <v>0.50939281927848945</v>
      </c>
      <c r="T1845" s="10"/>
      <c r="U1845" s="23">
        <v>0</v>
      </c>
      <c r="V1845" s="25">
        <v>0</v>
      </c>
      <c r="W1845" s="24">
        <v>0</v>
      </c>
      <c r="X1845" s="24">
        <f>U1845-W1845</f>
        <v>0</v>
      </c>
      <c r="Y1845" s="53" t="str">
        <f>IF(U1845&lt;&gt;0,X1845/U1845,"")</f>
        <v/>
      </c>
      <c r="Z1845" s="23">
        <v>0</v>
      </c>
      <c r="AA1845" s="25">
        <v>0</v>
      </c>
      <c r="AB1845" s="24">
        <v>0</v>
      </c>
      <c r="AC1845" s="24">
        <f t="shared" si="539"/>
        <v>0</v>
      </c>
      <c r="AD1845" s="53" t="str">
        <f t="shared" si="540"/>
        <v/>
      </c>
      <c r="AE1845" s="10"/>
    </row>
    <row r="1846" spans="1:31" x14ac:dyDescent="0.25">
      <c r="A1846" s="14" t="s">
        <v>109</v>
      </c>
      <c r="C1846" s="61" t="str">
        <f t="shared" si="538"/>
        <v>C100106</v>
      </c>
      <c r="F1846" s="8" t="str">
        <f>"S100010"</f>
        <v>S100010</v>
      </c>
      <c r="G1846" s="9" t="str">
        <f>"Golf Relaxed Cap"</f>
        <v>Golf Relaxed Cap</v>
      </c>
      <c r="H1846" s="47"/>
      <c r="I1846" s="47"/>
      <c r="J1846" s="23">
        <v>0</v>
      </c>
      <c r="K1846" s="25">
        <v>0</v>
      </c>
      <c r="L1846" s="24">
        <v>0</v>
      </c>
      <c r="M1846" s="24">
        <f>J1846-L1846</f>
        <v>0</v>
      </c>
      <c r="N1846" s="53" t="str">
        <f>IF(J1846&lt;&gt;0,M1846/J1846,"")</f>
        <v/>
      </c>
      <c r="O1846" s="23">
        <v>242.02</v>
      </c>
      <c r="P1846" s="25">
        <v>24</v>
      </c>
      <c r="Q1846" s="24">
        <v>146.16</v>
      </c>
      <c r="R1846" s="24">
        <f>O1846-Q1846</f>
        <v>95.860000000000014</v>
      </c>
      <c r="S1846" s="53">
        <f>IF(O1846&lt;&gt;0,R1846/O1846,"")</f>
        <v>0.39608296834972323</v>
      </c>
      <c r="T1846" s="10"/>
      <c r="U1846" s="23">
        <v>0</v>
      </c>
      <c r="V1846" s="25">
        <v>0</v>
      </c>
      <c r="W1846" s="24">
        <v>0</v>
      </c>
      <c r="X1846" s="24">
        <f>U1846-W1846</f>
        <v>0</v>
      </c>
      <c r="Y1846" s="53" t="str">
        <f>IF(U1846&lt;&gt;0,X1846/U1846,"")</f>
        <v/>
      </c>
      <c r="Z1846" s="23">
        <v>0</v>
      </c>
      <c r="AA1846" s="25">
        <v>0</v>
      </c>
      <c r="AB1846" s="24">
        <v>0</v>
      </c>
      <c r="AC1846" s="24">
        <f t="shared" si="539"/>
        <v>0</v>
      </c>
      <c r="AD1846" s="53" t="str">
        <f t="shared" si="540"/>
        <v/>
      </c>
      <c r="AE1846" s="10"/>
    </row>
    <row r="1847" spans="1:31" x14ac:dyDescent="0.25">
      <c r="A1847" s="14" t="s">
        <v>109</v>
      </c>
      <c r="C1847" s="61" t="str">
        <f t="shared" si="538"/>
        <v>C100106</v>
      </c>
      <c r="F1847" s="8" t="str">
        <f>"S100011"</f>
        <v>S100011</v>
      </c>
      <c r="G1847" s="9" t="str">
        <f>"All Star Cap"</f>
        <v>All Star Cap</v>
      </c>
      <c r="H1847" s="47"/>
      <c r="I1847" s="47"/>
      <c r="J1847" s="23">
        <v>0</v>
      </c>
      <c r="K1847" s="25">
        <v>0</v>
      </c>
      <c r="L1847" s="24">
        <v>0</v>
      </c>
      <c r="M1847" s="24">
        <f>J1847-L1847</f>
        <v>0</v>
      </c>
      <c r="N1847" s="53" t="str">
        <f>IF(J1847&lt;&gt;0,M1847/J1847,"")</f>
        <v/>
      </c>
      <c r="O1847" s="23">
        <v>1.42</v>
      </c>
      <c r="P1847" s="25">
        <v>1</v>
      </c>
      <c r="Q1847" s="24">
        <v>0.85</v>
      </c>
      <c r="R1847" s="24">
        <f>O1847-Q1847</f>
        <v>0.56999999999999995</v>
      </c>
      <c r="S1847" s="53">
        <f>IF(O1847&lt;&gt;0,R1847/O1847,"")</f>
        <v>0.40140845070422532</v>
      </c>
      <c r="T1847" s="10"/>
      <c r="U1847" s="23">
        <v>0</v>
      </c>
      <c r="V1847" s="25">
        <v>0</v>
      </c>
      <c r="W1847" s="24">
        <v>0</v>
      </c>
      <c r="X1847" s="24">
        <f>U1847-W1847</f>
        <v>0</v>
      </c>
      <c r="Y1847" s="53" t="str">
        <f>IF(U1847&lt;&gt;0,X1847/U1847,"")</f>
        <v/>
      </c>
      <c r="Z1847" s="23">
        <v>0</v>
      </c>
      <c r="AA1847" s="25">
        <v>0</v>
      </c>
      <c r="AB1847" s="24">
        <v>0</v>
      </c>
      <c r="AC1847" s="24">
        <f t="shared" si="539"/>
        <v>0</v>
      </c>
      <c r="AD1847" s="53" t="str">
        <f t="shared" si="540"/>
        <v/>
      </c>
      <c r="AE1847" s="10"/>
    </row>
    <row r="1848" spans="1:31" x14ac:dyDescent="0.25">
      <c r="A1848" s="14" t="s">
        <v>109</v>
      </c>
      <c r="C1848" s="61" t="str">
        <f t="shared" si="538"/>
        <v>C100106</v>
      </c>
      <c r="F1848" s="8" t="str">
        <f>"S100016"</f>
        <v>S100016</v>
      </c>
      <c r="G1848" s="9" t="str">
        <f>"Mesh Bucket Hat"</f>
        <v>Mesh Bucket Hat</v>
      </c>
      <c r="H1848" s="47"/>
      <c r="I1848" s="47"/>
      <c r="J1848" s="23">
        <v>0</v>
      </c>
      <c r="K1848" s="25">
        <v>0</v>
      </c>
      <c r="L1848" s="24">
        <v>0</v>
      </c>
      <c r="M1848" s="24">
        <f>J1848-L1848</f>
        <v>0</v>
      </c>
      <c r="N1848" s="53" t="str">
        <f>IF(J1848&lt;&gt;0,M1848/J1848,"")</f>
        <v/>
      </c>
      <c r="O1848" s="23">
        <v>117.13</v>
      </c>
      <c r="P1848" s="25">
        <v>24</v>
      </c>
      <c r="Q1848" s="24">
        <v>66</v>
      </c>
      <c r="R1848" s="24">
        <f>O1848-Q1848</f>
        <v>51.129999999999995</v>
      </c>
      <c r="S1848" s="53">
        <f>IF(O1848&lt;&gt;0,R1848/O1848,"")</f>
        <v>0.43652352087424229</v>
      </c>
      <c r="T1848" s="10"/>
      <c r="U1848" s="23">
        <v>0</v>
      </c>
      <c r="V1848" s="25">
        <v>0</v>
      </c>
      <c r="W1848" s="24">
        <v>0</v>
      </c>
      <c r="X1848" s="24">
        <f>U1848-W1848</f>
        <v>0</v>
      </c>
      <c r="Y1848" s="53" t="str">
        <f>IF(U1848&lt;&gt;0,X1848/U1848,"")</f>
        <v/>
      </c>
      <c r="Z1848" s="23">
        <v>1405.56</v>
      </c>
      <c r="AA1848" s="25">
        <v>288</v>
      </c>
      <c r="AB1848" s="24">
        <v>792.02</v>
      </c>
      <c r="AC1848" s="24">
        <f t="shared" si="539"/>
        <v>613.54</v>
      </c>
      <c r="AD1848" s="53">
        <f t="shared" si="540"/>
        <v>0.43650929167022395</v>
      </c>
      <c r="AE1848" s="10"/>
    </row>
    <row r="1849" spans="1:31" x14ac:dyDescent="0.25">
      <c r="A1849" s="14" t="s">
        <v>109</v>
      </c>
      <c r="C1849" s="61" t="str">
        <f t="shared" si="538"/>
        <v>C100106</v>
      </c>
      <c r="F1849" s="8" t="str">
        <f>"S100021"</f>
        <v>S100021</v>
      </c>
      <c r="G1849" s="9" t="str">
        <f>"Translucent Stopwatch"</f>
        <v>Translucent Stopwatch</v>
      </c>
      <c r="H1849" s="47"/>
      <c r="I1849" s="47"/>
      <c r="J1849" s="23">
        <v>0</v>
      </c>
      <c r="K1849" s="25">
        <v>0</v>
      </c>
      <c r="L1849" s="24">
        <v>0</v>
      </c>
      <c r="M1849" s="24">
        <f>J1849-L1849</f>
        <v>0</v>
      </c>
      <c r="N1849" s="53" t="str">
        <f>IF(J1849&lt;&gt;0,M1849/J1849,"")</f>
        <v/>
      </c>
      <c r="O1849" s="23">
        <v>585.65</v>
      </c>
      <c r="P1849" s="25">
        <v>144</v>
      </c>
      <c r="Q1849" s="24">
        <v>309.58999999999997</v>
      </c>
      <c r="R1849" s="24">
        <f>O1849-Q1849</f>
        <v>276.06</v>
      </c>
      <c r="S1849" s="53">
        <f>IF(O1849&lt;&gt;0,R1849/O1849,"")</f>
        <v>0.47137368735592933</v>
      </c>
      <c r="T1849" s="10"/>
      <c r="U1849" s="23">
        <v>0</v>
      </c>
      <c r="V1849" s="25">
        <v>0</v>
      </c>
      <c r="W1849" s="24">
        <v>0</v>
      </c>
      <c r="X1849" s="24">
        <f>U1849-W1849</f>
        <v>0</v>
      </c>
      <c r="Y1849" s="53" t="str">
        <f>IF(U1849&lt;&gt;0,X1849/U1849,"")</f>
        <v/>
      </c>
      <c r="Z1849" s="23">
        <v>0</v>
      </c>
      <c r="AA1849" s="25">
        <v>0</v>
      </c>
      <c r="AB1849" s="24">
        <v>0</v>
      </c>
      <c r="AC1849" s="24">
        <f t="shared" si="539"/>
        <v>0</v>
      </c>
      <c r="AD1849" s="53" t="str">
        <f t="shared" si="540"/>
        <v/>
      </c>
      <c r="AE1849" s="10"/>
    </row>
    <row r="1850" spans="1:31" ht="15.75" thickBot="1" x14ac:dyDescent="0.3">
      <c r="A1850" s="14" t="s">
        <v>109</v>
      </c>
      <c r="C1850" s="61" t="str">
        <f>C1839</f>
        <v>C100106</v>
      </c>
      <c r="J1850" s="10"/>
      <c r="K1850" s="11"/>
      <c r="L1850" s="11"/>
      <c r="M1850" s="11"/>
      <c r="N1850" s="12"/>
      <c r="O1850" s="10"/>
      <c r="P1850" s="11"/>
      <c r="Q1850" s="11"/>
      <c r="R1850" s="11"/>
      <c r="S1850" s="12"/>
      <c r="U1850" s="10"/>
      <c r="V1850" s="11"/>
      <c r="W1850" s="11"/>
      <c r="X1850" s="11"/>
      <c r="Y1850" s="12"/>
      <c r="Z1850" s="10"/>
      <c r="AA1850" s="11"/>
      <c r="AB1850" s="11"/>
      <c r="AC1850" s="11"/>
      <c r="AD1850" s="12"/>
    </row>
    <row r="1851" spans="1:31" ht="15.75" thickBot="1" x14ac:dyDescent="0.3">
      <c r="A1851" s="14" t="s">
        <v>109</v>
      </c>
      <c r="C1851" s="61" t="str">
        <f t="shared" si="535"/>
        <v>C100106</v>
      </c>
      <c r="G1851" s="48" t="str">
        <f>C1851&amp;" TOTAL:"</f>
        <v>C100106 TOTAL:</v>
      </c>
      <c r="H1851" s="50"/>
      <c r="I1851" s="50"/>
      <c r="J1851" s="34">
        <f>SUBTOTAL(9,J1838:J1850)</f>
        <v>0</v>
      </c>
      <c r="K1851" s="35">
        <f>SUBTOTAL(9,K1838:K1850)</f>
        <v>0</v>
      </c>
      <c r="L1851" s="36">
        <f>SUBTOTAL(9,L1838:L1850)</f>
        <v>0</v>
      </c>
      <c r="M1851" s="36">
        <f>J1851-L1851</f>
        <v>0</v>
      </c>
      <c r="N1851" s="37" t="str">
        <f>IF(J1851&lt;&gt;0,M1851/J1851,"")</f>
        <v/>
      </c>
      <c r="O1851" s="34">
        <f>SUBTOTAL(9,O1838:O1850)</f>
        <v>15496.460000000001</v>
      </c>
      <c r="P1851" s="35">
        <f>SUBTOTAL(9,P1838:P1850)</f>
        <v>965</v>
      </c>
      <c r="Q1851" s="36">
        <f>SUBTOTAL(9,Q1838:Q1850)</f>
        <v>8923.92</v>
      </c>
      <c r="R1851" s="36">
        <f>O1851-Q1851</f>
        <v>6572.5400000000009</v>
      </c>
      <c r="S1851" s="37">
        <f>IF(O1851&lt;&gt;0,R1851/O1851,"")</f>
        <v>0.42413170491841368</v>
      </c>
      <c r="U1851" s="34">
        <f>SUBTOTAL(9,U1838:U1850)</f>
        <v>0</v>
      </c>
      <c r="V1851" s="35">
        <f>SUBTOTAL(9,V1838:V1850)</f>
        <v>0</v>
      </c>
      <c r="W1851" s="36">
        <f>SUBTOTAL(9,W1838:W1850)</f>
        <v>0</v>
      </c>
      <c r="X1851" s="36">
        <f>U1851-W1851</f>
        <v>0</v>
      </c>
      <c r="Y1851" s="37" t="str">
        <f>IF(U1851&lt;&gt;0,X1851/U1851,"")</f>
        <v/>
      </c>
      <c r="Z1851" s="34">
        <f>SUBTOTAL(9,Z1838:Z1850)</f>
        <v>1678.87</v>
      </c>
      <c r="AA1851" s="35">
        <f>SUBTOTAL(9,AA1838:AA1850)</f>
        <v>480</v>
      </c>
      <c r="AB1851" s="36">
        <f>SUBTOTAL(9,AB1838:AB1850)</f>
        <v>947.54</v>
      </c>
      <c r="AC1851" s="36">
        <f t="shared" ref="AC1851" si="541">Z1851-AB1851</f>
        <v>731.32999999999993</v>
      </c>
      <c r="AD1851" s="37">
        <f t="shared" ref="AD1851" si="542">IF(Z1851&lt;&gt;0,AC1851/Z1851,"")</f>
        <v>0.43560847474789588</v>
      </c>
    </row>
    <row r="1852" spans="1:31" x14ac:dyDescent="0.25">
      <c r="A1852" s="14" t="s">
        <v>109</v>
      </c>
      <c r="C1852" s="66"/>
      <c r="J1852" s="10"/>
      <c r="K1852" s="11"/>
      <c r="L1852" s="11"/>
      <c r="M1852" s="11"/>
      <c r="N1852" s="12"/>
      <c r="O1852" s="10"/>
      <c r="P1852" s="11"/>
      <c r="Q1852" s="11"/>
      <c r="R1852" s="11"/>
      <c r="S1852" s="12"/>
      <c r="U1852" s="10"/>
      <c r="V1852" s="11"/>
      <c r="W1852" s="11"/>
      <c r="X1852" s="11"/>
      <c r="Y1852" s="12"/>
      <c r="Z1852" s="10"/>
      <c r="AA1852" s="11"/>
      <c r="AB1852" s="11"/>
      <c r="AC1852" s="11"/>
      <c r="AD1852" s="12"/>
    </row>
    <row r="1853" spans="1:31" ht="15.75" x14ac:dyDescent="0.25">
      <c r="A1853" s="14" t="s">
        <v>109</v>
      </c>
      <c r="C1853" s="66" t="str">
        <f t="shared" ref="C1853" si="543">E1853</f>
        <v>C100107</v>
      </c>
      <c r="E1853" s="13" t="str">
        <f>"C100107"</f>
        <v>C100107</v>
      </c>
      <c r="F1853" s="13"/>
      <c r="G1853" s="13" t="str">
        <f>"Lexitechnology"</f>
        <v>Lexitechnology</v>
      </c>
      <c r="H1853" s="13"/>
      <c r="I1853" s="13"/>
      <c r="J1853" s="10"/>
      <c r="K1853" s="11"/>
      <c r="L1853" s="11"/>
      <c r="M1853" s="11"/>
      <c r="N1853" s="12"/>
      <c r="O1853" s="10"/>
      <c r="P1853" s="11"/>
      <c r="Q1853" s="11"/>
      <c r="R1853" s="11"/>
      <c r="S1853" s="12"/>
      <c r="U1853" s="10"/>
      <c r="V1853" s="11"/>
      <c r="W1853" s="11"/>
      <c r="X1853" s="11"/>
      <c r="Y1853" s="12"/>
      <c r="Z1853" s="10"/>
      <c r="AA1853" s="11"/>
      <c r="AB1853" s="11"/>
      <c r="AC1853" s="11"/>
      <c r="AD1853" s="12"/>
    </row>
    <row r="1854" spans="1:31" ht="6.6" customHeight="1" x14ac:dyDescent="0.25">
      <c r="A1854" s="14" t="s">
        <v>109</v>
      </c>
      <c r="C1854" s="61" t="str">
        <f t="shared" ref="C1854:C1917" si="544">C1853</f>
        <v>C100107</v>
      </c>
      <c r="J1854" s="10"/>
      <c r="K1854" s="11"/>
      <c r="L1854" s="11"/>
      <c r="M1854" s="11"/>
      <c r="N1854" s="12"/>
      <c r="O1854" s="10"/>
      <c r="P1854" s="11"/>
      <c r="Q1854" s="11"/>
      <c r="R1854" s="11"/>
      <c r="S1854" s="12"/>
      <c r="U1854" s="10"/>
      <c r="V1854" s="11"/>
      <c r="W1854" s="11"/>
      <c r="X1854" s="11"/>
      <c r="Y1854" s="12"/>
      <c r="Z1854" s="10"/>
      <c r="AA1854" s="11"/>
      <c r="AB1854" s="11"/>
      <c r="AC1854" s="11"/>
      <c r="AD1854" s="12"/>
    </row>
    <row r="1855" spans="1:31" x14ac:dyDescent="0.25">
      <c r="A1855" s="14" t="s">
        <v>109</v>
      </c>
      <c r="C1855" s="61" t="str">
        <f t="shared" si="544"/>
        <v>C100107</v>
      </c>
      <c r="F1855" s="8" t="str">
        <f>"C100023"</f>
        <v>C100023</v>
      </c>
      <c r="G1855" s="9" t="str">
        <f>"Two-Toned Knit Hat"</f>
        <v>Two-Toned Knit Hat</v>
      </c>
      <c r="H1855" s="47"/>
      <c r="I1855" s="47"/>
      <c r="J1855" s="23">
        <v>0</v>
      </c>
      <c r="K1855" s="25">
        <v>0</v>
      </c>
      <c r="L1855" s="24">
        <v>0</v>
      </c>
      <c r="M1855" s="24">
        <f>J1855-L1855</f>
        <v>0</v>
      </c>
      <c r="N1855" s="53" t="str">
        <f>IF(J1855&lt;&gt;0,M1855/J1855,"")</f>
        <v/>
      </c>
      <c r="O1855" s="23">
        <v>370.52000000000004</v>
      </c>
      <c r="P1855" s="25">
        <v>144</v>
      </c>
      <c r="Q1855" s="24">
        <v>181.43</v>
      </c>
      <c r="R1855" s="24">
        <f>O1855-Q1855</f>
        <v>189.09000000000003</v>
      </c>
      <c r="S1855" s="53">
        <f>IF(O1855&lt;&gt;0,R1855/O1855,"")</f>
        <v>0.51033682392313506</v>
      </c>
      <c r="T1855" s="10"/>
      <c r="U1855" s="23">
        <v>0</v>
      </c>
      <c r="V1855" s="25">
        <v>0</v>
      </c>
      <c r="W1855" s="24">
        <v>0</v>
      </c>
      <c r="X1855" s="24">
        <f>U1855-W1855</f>
        <v>0</v>
      </c>
      <c r="Y1855" s="53" t="str">
        <f>IF(U1855&lt;&gt;0,X1855/U1855,"")</f>
        <v/>
      </c>
      <c r="Z1855" s="23">
        <v>0</v>
      </c>
      <c r="AA1855" s="25">
        <v>0</v>
      </c>
      <c r="AB1855" s="24">
        <v>0</v>
      </c>
      <c r="AC1855" s="24">
        <f t="shared" ref="AC1855" si="545">Z1855-AB1855</f>
        <v>0</v>
      </c>
      <c r="AD1855" s="53" t="str">
        <f t="shared" ref="AD1855" si="546">IF(Z1855&lt;&gt;0,AC1855/Z1855,"")</f>
        <v/>
      </c>
      <c r="AE1855" s="10"/>
    </row>
    <row r="1856" spans="1:31" x14ac:dyDescent="0.25">
      <c r="A1856" s="14" t="s">
        <v>109</v>
      </c>
      <c r="C1856" s="61" t="str">
        <f t="shared" ref="C1856:C1915" si="547">C1855</f>
        <v>C100107</v>
      </c>
      <c r="F1856" s="8" t="str">
        <f>"C100026"</f>
        <v>C100026</v>
      </c>
      <c r="G1856" s="9" t="str">
        <f>"Fleece Beanie"</f>
        <v>Fleece Beanie</v>
      </c>
      <c r="H1856" s="47"/>
      <c r="I1856" s="47"/>
      <c r="J1856" s="23">
        <v>0</v>
      </c>
      <c r="K1856" s="25">
        <v>0</v>
      </c>
      <c r="L1856" s="24">
        <v>0</v>
      </c>
      <c r="M1856" s="24">
        <f>J1856-L1856</f>
        <v>0</v>
      </c>
      <c r="N1856" s="53" t="str">
        <f>IF(J1856&lt;&gt;0,M1856/J1856,"")</f>
        <v/>
      </c>
      <c r="O1856" s="23">
        <v>431.23</v>
      </c>
      <c r="P1856" s="25">
        <v>144</v>
      </c>
      <c r="Q1856" s="24">
        <v>287.99</v>
      </c>
      <c r="R1856" s="24">
        <f>O1856-Q1856</f>
        <v>143.24</v>
      </c>
      <c r="S1856" s="53">
        <f>IF(O1856&lt;&gt;0,R1856/O1856,"")</f>
        <v>0.33216612944368434</v>
      </c>
      <c r="T1856" s="10"/>
      <c r="U1856" s="23">
        <v>417.75</v>
      </c>
      <c r="V1856" s="25">
        <v>144</v>
      </c>
      <c r="W1856" s="24">
        <v>287.99</v>
      </c>
      <c r="X1856" s="24">
        <f>U1856-W1856</f>
        <v>129.76</v>
      </c>
      <c r="Y1856" s="53">
        <f>IF(U1856&lt;&gt;0,X1856/U1856,"")</f>
        <v>0.31061639736684615</v>
      </c>
      <c r="Z1856" s="23">
        <v>0</v>
      </c>
      <c r="AA1856" s="25">
        <v>0</v>
      </c>
      <c r="AB1856" s="24">
        <v>0</v>
      </c>
      <c r="AC1856" s="24">
        <f t="shared" ref="AC1856:AC1915" si="548">Z1856-AB1856</f>
        <v>0</v>
      </c>
      <c r="AD1856" s="53" t="str">
        <f t="shared" ref="AD1856:AD1915" si="549">IF(Z1856&lt;&gt;0,AC1856/Z1856,"")</f>
        <v/>
      </c>
      <c r="AE1856" s="10"/>
    </row>
    <row r="1857" spans="1:31" x14ac:dyDescent="0.25">
      <c r="A1857" s="14" t="s">
        <v>109</v>
      </c>
      <c r="C1857" s="61" t="str">
        <f t="shared" si="547"/>
        <v>C100107</v>
      </c>
      <c r="F1857" s="8" t="str">
        <f>"C100028"</f>
        <v>C100028</v>
      </c>
      <c r="G1857" s="9" t="str">
        <f>"Twill Visor"</f>
        <v>Twill Visor</v>
      </c>
      <c r="H1857" s="47"/>
      <c r="I1857" s="47"/>
      <c r="J1857" s="23">
        <v>0</v>
      </c>
      <c r="K1857" s="25">
        <v>0</v>
      </c>
      <c r="L1857" s="24">
        <v>0</v>
      </c>
      <c r="M1857" s="24">
        <f>J1857-L1857</f>
        <v>0</v>
      </c>
      <c r="N1857" s="53" t="str">
        <f>IF(J1857&lt;&gt;0,M1857/J1857,"")</f>
        <v/>
      </c>
      <c r="O1857" s="23">
        <v>721.16000000000008</v>
      </c>
      <c r="P1857" s="25">
        <v>144</v>
      </c>
      <c r="Q1857" s="24">
        <v>345.61</v>
      </c>
      <c r="R1857" s="24">
        <f>O1857-Q1857</f>
        <v>375.55000000000007</v>
      </c>
      <c r="S1857" s="53">
        <f>IF(O1857&lt;&gt;0,R1857/O1857,"")</f>
        <v>0.52075822286316498</v>
      </c>
      <c r="T1857" s="10"/>
      <c r="U1857" s="23">
        <v>0</v>
      </c>
      <c r="V1857" s="25">
        <v>0</v>
      </c>
      <c r="W1857" s="24">
        <v>0</v>
      </c>
      <c r="X1857" s="24">
        <f>U1857-W1857</f>
        <v>0</v>
      </c>
      <c r="Y1857" s="53" t="str">
        <f>IF(U1857&lt;&gt;0,X1857/U1857,"")</f>
        <v/>
      </c>
      <c r="Z1857" s="23">
        <v>0</v>
      </c>
      <c r="AA1857" s="25">
        <v>0</v>
      </c>
      <c r="AB1857" s="24">
        <v>0</v>
      </c>
      <c r="AC1857" s="24">
        <f t="shared" si="548"/>
        <v>0</v>
      </c>
      <c r="AD1857" s="53" t="str">
        <f t="shared" si="549"/>
        <v/>
      </c>
      <c r="AE1857" s="10"/>
    </row>
    <row r="1858" spans="1:31" x14ac:dyDescent="0.25">
      <c r="A1858" s="14" t="s">
        <v>109</v>
      </c>
      <c r="C1858" s="61" t="str">
        <f t="shared" si="547"/>
        <v>C100107</v>
      </c>
      <c r="F1858" s="8" t="str">
        <f>"C100029"</f>
        <v>C100029</v>
      </c>
      <c r="G1858" s="9" t="str">
        <f>"Distressed Twill Visor"</f>
        <v>Distressed Twill Visor</v>
      </c>
      <c r="H1858" s="47"/>
      <c r="I1858" s="47"/>
      <c r="J1858" s="23">
        <v>0</v>
      </c>
      <c r="K1858" s="25">
        <v>0</v>
      </c>
      <c r="L1858" s="24">
        <v>0</v>
      </c>
      <c r="M1858" s="24">
        <f>J1858-L1858</f>
        <v>0</v>
      </c>
      <c r="N1858" s="53" t="str">
        <f>IF(J1858&lt;&gt;0,M1858/J1858,"")</f>
        <v/>
      </c>
      <c r="O1858" s="23">
        <v>482.66</v>
      </c>
      <c r="P1858" s="25">
        <v>144</v>
      </c>
      <c r="Q1858" s="24">
        <v>298.09000000000003</v>
      </c>
      <c r="R1858" s="24">
        <f>O1858-Q1858</f>
        <v>184.57</v>
      </c>
      <c r="S1858" s="53">
        <f>IF(O1858&lt;&gt;0,R1858/O1858,"")</f>
        <v>0.38240169063108603</v>
      </c>
      <c r="T1858" s="10"/>
      <c r="U1858" s="23">
        <v>482.66</v>
      </c>
      <c r="V1858" s="25">
        <v>144</v>
      </c>
      <c r="W1858" s="24">
        <v>298.09000000000003</v>
      </c>
      <c r="X1858" s="24">
        <f>U1858-W1858</f>
        <v>184.57</v>
      </c>
      <c r="Y1858" s="53">
        <f>IF(U1858&lt;&gt;0,X1858/U1858,"")</f>
        <v>0.38240169063108603</v>
      </c>
      <c r="Z1858" s="23">
        <v>0</v>
      </c>
      <c r="AA1858" s="25">
        <v>0</v>
      </c>
      <c r="AB1858" s="24">
        <v>0</v>
      </c>
      <c r="AC1858" s="24">
        <f t="shared" si="548"/>
        <v>0</v>
      </c>
      <c r="AD1858" s="53" t="str">
        <f t="shared" si="549"/>
        <v/>
      </c>
      <c r="AE1858" s="10"/>
    </row>
    <row r="1859" spans="1:31" x14ac:dyDescent="0.25">
      <c r="A1859" s="14" t="s">
        <v>109</v>
      </c>
      <c r="C1859" s="61" t="str">
        <f t="shared" si="547"/>
        <v>C100107</v>
      </c>
      <c r="F1859" s="8" t="str">
        <f>"C100030"</f>
        <v>C100030</v>
      </c>
      <c r="G1859" s="9" t="str">
        <f>"Fashion Visor"</f>
        <v>Fashion Visor</v>
      </c>
      <c r="H1859" s="47"/>
      <c r="I1859" s="47"/>
      <c r="J1859" s="23">
        <v>605.44000000000005</v>
      </c>
      <c r="K1859" s="25">
        <v>144</v>
      </c>
      <c r="L1859" s="24">
        <v>348.49</v>
      </c>
      <c r="M1859" s="24">
        <f>J1859-L1859</f>
        <v>256.95000000000005</v>
      </c>
      <c r="N1859" s="53">
        <f>IF(J1859&lt;&gt;0,M1859/J1859,"")</f>
        <v>0.4244020877378436</v>
      </c>
      <c r="O1859" s="23">
        <v>618.04999999999995</v>
      </c>
      <c r="P1859" s="25">
        <v>144</v>
      </c>
      <c r="Q1859" s="24">
        <v>348.49</v>
      </c>
      <c r="R1859" s="24">
        <f>O1859-Q1859</f>
        <v>269.55999999999995</v>
      </c>
      <c r="S1859" s="53">
        <f>IF(O1859&lt;&gt;0,R1859/O1859,"")</f>
        <v>0.43614594288487979</v>
      </c>
      <c r="T1859" s="10"/>
      <c r="U1859" s="23">
        <v>618.04999999999995</v>
      </c>
      <c r="V1859" s="25">
        <v>144</v>
      </c>
      <c r="W1859" s="24">
        <v>348.49</v>
      </c>
      <c r="X1859" s="24">
        <f>U1859-W1859</f>
        <v>269.55999999999995</v>
      </c>
      <c r="Y1859" s="53">
        <f>IF(U1859&lt;&gt;0,X1859/U1859,"")</f>
        <v>0.43614594288487979</v>
      </c>
      <c r="Z1859" s="23">
        <v>611.75</v>
      </c>
      <c r="AA1859" s="25">
        <v>144</v>
      </c>
      <c r="AB1859" s="24">
        <v>348.49</v>
      </c>
      <c r="AC1859" s="24">
        <f t="shared" si="548"/>
        <v>263.26</v>
      </c>
      <c r="AD1859" s="53">
        <f t="shared" si="549"/>
        <v>0.43033919084593381</v>
      </c>
      <c r="AE1859" s="10"/>
    </row>
    <row r="1860" spans="1:31" x14ac:dyDescent="0.25">
      <c r="A1860" s="14" t="s">
        <v>109</v>
      </c>
      <c r="C1860" s="61" t="str">
        <f t="shared" si="547"/>
        <v>C100107</v>
      </c>
      <c r="F1860" s="8" t="str">
        <f>"C100033"</f>
        <v>C100033</v>
      </c>
      <c r="G1860" s="9" t="str">
        <f>"Frames &amp; Clock"</f>
        <v>Frames &amp; Clock</v>
      </c>
      <c r="H1860" s="47"/>
      <c r="I1860" s="47"/>
      <c r="J1860" s="23">
        <v>1351.56</v>
      </c>
      <c r="K1860" s="25">
        <v>294</v>
      </c>
      <c r="L1860" s="24">
        <v>846.68</v>
      </c>
      <c r="M1860" s="24">
        <f>J1860-L1860</f>
        <v>504.88</v>
      </c>
      <c r="N1860" s="53">
        <f>IF(J1860&lt;&gt;0,M1860/J1860,"")</f>
        <v>0.37355352333599695</v>
      </c>
      <c r="O1860" s="23">
        <v>1352.1499999999999</v>
      </c>
      <c r="P1860" s="25">
        <v>288</v>
      </c>
      <c r="Q1860" s="24">
        <v>829.4</v>
      </c>
      <c r="R1860" s="24">
        <f>O1860-Q1860</f>
        <v>522.74999999999989</v>
      </c>
      <c r="S1860" s="53">
        <f>IF(O1860&lt;&gt;0,R1860/O1860,"")</f>
        <v>0.3866065155493103</v>
      </c>
      <c r="T1860" s="10"/>
      <c r="U1860" s="23">
        <v>0</v>
      </c>
      <c r="V1860" s="25">
        <v>0</v>
      </c>
      <c r="W1860" s="24">
        <v>0</v>
      </c>
      <c r="X1860" s="24">
        <f>U1860-W1860</f>
        <v>0</v>
      </c>
      <c r="Y1860" s="53" t="str">
        <f>IF(U1860&lt;&gt;0,X1860/U1860,"")</f>
        <v/>
      </c>
      <c r="Z1860" s="23">
        <v>0</v>
      </c>
      <c r="AA1860" s="25">
        <v>0</v>
      </c>
      <c r="AB1860" s="24">
        <v>0</v>
      </c>
      <c r="AC1860" s="24">
        <f t="shared" si="548"/>
        <v>0</v>
      </c>
      <c r="AD1860" s="53" t="str">
        <f t="shared" si="549"/>
        <v/>
      </c>
      <c r="AE1860" s="10"/>
    </row>
    <row r="1861" spans="1:31" x14ac:dyDescent="0.25">
      <c r="A1861" s="14" t="s">
        <v>109</v>
      </c>
      <c r="C1861" s="61" t="str">
        <f t="shared" si="547"/>
        <v>C100107</v>
      </c>
      <c r="F1861" s="8" t="str">
        <f>"C100035"</f>
        <v>C100035</v>
      </c>
      <c r="G1861" s="9" t="str">
        <f>"Calculator &amp; World Time Clock"</f>
        <v>Calculator &amp; World Time Clock</v>
      </c>
      <c r="H1861" s="47"/>
      <c r="I1861" s="47"/>
      <c r="J1861" s="23">
        <v>397.92</v>
      </c>
      <c r="K1861" s="25">
        <v>144</v>
      </c>
      <c r="L1861" s="24">
        <v>282.24</v>
      </c>
      <c r="M1861" s="24">
        <f>J1861-L1861</f>
        <v>115.68</v>
      </c>
      <c r="N1861" s="53">
        <f>IF(J1861&lt;&gt;0,M1861/J1861,"")</f>
        <v>0.29071170084439085</v>
      </c>
      <c r="O1861" s="23">
        <v>0</v>
      </c>
      <c r="P1861" s="25">
        <v>0</v>
      </c>
      <c r="Q1861" s="24">
        <v>0</v>
      </c>
      <c r="R1861" s="24">
        <f>O1861-Q1861</f>
        <v>0</v>
      </c>
      <c r="S1861" s="53" t="str">
        <f>IF(O1861&lt;&gt;0,R1861/O1861,"")</f>
        <v/>
      </c>
      <c r="T1861" s="10"/>
      <c r="U1861" s="23">
        <v>0</v>
      </c>
      <c r="V1861" s="25">
        <v>0</v>
      </c>
      <c r="W1861" s="24">
        <v>0</v>
      </c>
      <c r="X1861" s="24">
        <f>U1861-W1861</f>
        <v>0</v>
      </c>
      <c r="Y1861" s="53" t="str">
        <f>IF(U1861&lt;&gt;0,X1861/U1861,"")</f>
        <v/>
      </c>
      <c r="Z1861" s="23">
        <v>0</v>
      </c>
      <c r="AA1861" s="25">
        <v>0</v>
      </c>
      <c r="AB1861" s="24">
        <v>0</v>
      </c>
      <c r="AC1861" s="24">
        <f t="shared" si="548"/>
        <v>0</v>
      </c>
      <c r="AD1861" s="53" t="str">
        <f t="shared" si="549"/>
        <v/>
      </c>
      <c r="AE1861" s="10"/>
    </row>
    <row r="1862" spans="1:31" x14ac:dyDescent="0.25">
      <c r="A1862" s="14" t="s">
        <v>109</v>
      </c>
      <c r="C1862" s="61" t="str">
        <f t="shared" si="547"/>
        <v>C100107</v>
      </c>
      <c r="F1862" s="8" t="str">
        <f>"C100042"</f>
        <v>C100042</v>
      </c>
      <c r="G1862" s="9" t="str">
        <f>"Retractable Earbuds"</f>
        <v>Retractable Earbuds</v>
      </c>
      <c r="H1862" s="47"/>
      <c r="I1862" s="47"/>
      <c r="J1862" s="23">
        <v>282.02999999999997</v>
      </c>
      <c r="K1862" s="25">
        <v>144</v>
      </c>
      <c r="L1862" s="24">
        <v>155.60999999999999</v>
      </c>
      <c r="M1862" s="24">
        <f>J1862-L1862</f>
        <v>126.41999999999999</v>
      </c>
      <c r="N1862" s="53">
        <f>IF(J1862&lt;&gt;0,M1862/J1862,"")</f>
        <v>0.44825018615040951</v>
      </c>
      <c r="O1862" s="23">
        <v>287.89</v>
      </c>
      <c r="P1862" s="25">
        <v>144</v>
      </c>
      <c r="Q1862" s="24">
        <v>155.60999999999999</v>
      </c>
      <c r="R1862" s="24">
        <f>O1862-Q1862</f>
        <v>132.28</v>
      </c>
      <c r="S1862" s="53">
        <f>IF(O1862&lt;&gt;0,R1862/O1862,"")</f>
        <v>0.45948105179061449</v>
      </c>
      <c r="T1862" s="10"/>
      <c r="U1862" s="23">
        <v>0</v>
      </c>
      <c r="V1862" s="25">
        <v>0</v>
      </c>
      <c r="W1862" s="24">
        <v>0</v>
      </c>
      <c r="X1862" s="24">
        <f>U1862-W1862</f>
        <v>0</v>
      </c>
      <c r="Y1862" s="53" t="str">
        <f>IF(U1862&lt;&gt;0,X1862/U1862,"")</f>
        <v/>
      </c>
      <c r="Z1862" s="23">
        <v>0</v>
      </c>
      <c r="AA1862" s="25">
        <v>0</v>
      </c>
      <c r="AB1862" s="24">
        <v>0</v>
      </c>
      <c r="AC1862" s="24">
        <f t="shared" si="548"/>
        <v>0</v>
      </c>
      <c r="AD1862" s="53" t="str">
        <f t="shared" si="549"/>
        <v/>
      </c>
      <c r="AE1862" s="10"/>
    </row>
    <row r="1863" spans="1:31" x14ac:dyDescent="0.25">
      <c r="A1863" s="14" t="s">
        <v>109</v>
      </c>
      <c r="C1863" s="61" t="str">
        <f t="shared" si="547"/>
        <v>C100107</v>
      </c>
      <c r="F1863" s="8" t="str">
        <f>"C100044"</f>
        <v>C100044</v>
      </c>
      <c r="G1863" s="9" t="str">
        <f>"VOIP Headset with Mic"</f>
        <v>VOIP Headset with Mic</v>
      </c>
      <c r="H1863" s="47"/>
      <c r="I1863" s="47"/>
      <c r="J1863" s="23">
        <v>297.77000000000004</v>
      </c>
      <c r="K1863" s="25">
        <v>144</v>
      </c>
      <c r="L1863" s="24">
        <v>172.85</v>
      </c>
      <c r="M1863" s="24">
        <f>J1863-L1863</f>
        <v>124.92000000000004</v>
      </c>
      <c r="N1863" s="53">
        <f>IF(J1863&lt;&gt;0,M1863/J1863,"")</f>
        <v>0.41951842025724562</v>
      </c>
      <c r="O1863" s="23">
        <v>608.20000000000005</v>
      </c>
      <c r="P1863" s="25">
        <v>288</v>
      </c>
      <c r="Q1863" s="24">
        <v>345.7</v>
      </c>
      <c r="R1863" s="24">
        <f>O1863-Q1863</f>
        <v>262.50000000000006</v>
      </c>
      <c r="S1863" s="53">
        <f>IF(O1863&lt;&gt;0,R1863/O1863,"")</f>
        <v>0.43160144689246965</v>
      </c>
      <c r="T1863" s="10"/>
      <c r="U1863" s="23">
        <v>294.59999999999997</v>
      </c>
      <c r="V1863" s="25">
        <v>144</v>
      </c>
      <c r="W1863" s="24">
        <v>172.85</v>
      </c>
      <c r="X1863" s="24">
        <f>U1863-W1863</f>
        <v>121.74999999999997</v>
      </c>
      <c r="Y1863" s="53">
        <f>IF(U1863&lt;&gt;0,X1863/U1863,"")</f>
        <v>0.41327223353699927</v>
      </c>
      <c r="Z1863" s="23">
        <v>0</v>
      </c>
      <c r="AA1863" s="25">
        <v>0</v>
      </c>
      <c r="AB1863" s="24">
        <v>0</v>
      </c>
      <c r="AC1863" s="24">
        <f t="shared" si="548"/>
        <v>0</v>
      </c>
      <c r="AD1863" s="53" t="str">
        <f t="shared" si="549"/>
        <v/>
      </c>
      <c r="AE1863" s="10"/>
    </row>
    <row r="1864" spans="1:31" x14ac:dyDescent="0.25">
      <c r="A1864" s="14" t="s">
        <v>109</v>
      </c>
      <c r="C1864" s="61" t="str">
        <f t="shared" si="547"/>
        <v>C100107</v>
      </c>
      <c r="F1864" s="8" t="str">
        <f>"C100056"</f>
        <v>C100056</v>
      </c>
      <c r="G1864" s="9" t="str">
        <f>"Contemporary Desk Calculator"</f>
        <v>Contemporary Desk Calculator</v>
      </c>
      <c r="H1864" s="47"/>
      <c r="I1864" s="47"/>
      <c r="J1864" s="23">
        <v>734.96</v>
      </c>
      <c r="K1864" s="25">
        <v>144</v>
      </c>
      <c r="L1864" s="24">
        <v>383.08</v>
      </c>
      <c r="M1864" s="24">
        <f>J1864-L1864</f>
        <v>351.88000000000005</v>
      </c>
      <c r="N1864" s="53">
        <f>IF(J1864&lt;&gt;0,M1864/J1864,"")</f>
        <v>0.47877435506694249</v>
      </c>
      <c r="O1864" s="23">
        <v>1501.2</v>
      </c>
      <c r="P1864" s="25">
        <v>288</v>
      </c>
      <c r="Q1864" s="24">
        <v>766.15000000000009</v>
      </c>
      <c r="R1864" s="24">
        <f>O1864-Q1864</f>
        <v>735.05</v>
      </c>
      <c r="S1864" s="53">
        <f>IF(O1864&lt;&gt;0,R1864/O1864,"")</f>
        <v>0.48964162003730344</v>
      </c>
      <c r="T1864" s="10"/>
      <c r="U1864" s="23">
        <v>0</v>
      </c>
      <c r="V1864" s="25">
        <v>0</v>
      </c>
      <c r="W1864" s="24">
        <v>0</v>
      </c>
      <c r="X1864" s="24">
        <f>U1864-W1864</f>
        <v>0</v>
      </c>
      <c r="Y1864" s="53" t="str">
        <f>IF(U1864&lt;&gt;0,X1864/U1864,"")</f>
        <v/>
      </c>
      <c r="Z1864" s="23">
        <v>1516.83</v>
      </c>
      <c r="AA1864" s="25">
        <v>288</v>
      </c>
      <c r="AB1864" s="24">
        <v>766.15000000000009</v>
      </c>
      <c r="AC1864" s="24">
        <f t="shared" si="548"/>
        <v>750.67999999999984</v>
      </c>
      <c r="AD1864" s="53">
        <f t="shared" si="549"/>
        <v>0.49490054917162757</v>
      </c>
      <c r="AE1864" s="10"/>
    </row>
    <row r="1865" spans="1:31" x14ac:dyDescent="0.25">
      <c r="A1865" s="14" t="s">
        <v>109</v>
      </c>
      <c r="C1865" s="61" t="str">
        <f t="shared" si="547"/>
        <v>C100107</v>
      </c>
      <c r="F1865" s="8" t="str">
        <f>"C100061"</f>
        <v>C100061</v>
      </c>
      <c r="G1865" s="9" t="str">
        <f>"Bistro Mug"</f>
        <v>Bistro Mug</v>
      </c>
      <c r="H1865" s="47"/>
      <c r="I1865" s="47"/>
      <c r="J1865" s="23">
        <v>0</v>
      </c>
      <c r="K1865" s="25">
        <v>0</v>
      </c>
      <c r="L1865" s="24">
        <v>0</v>
      </c>
      <c r="M1865" s="24">
        <f>J1865-L1865</f>
        <v>0</v>
      </c>
      <c r="N1865" s="53" t="str">
        <f>IF(J1865&lt;&gt;0,M1865/J1865,"")</f>
        <v/>
      </c>
      <c r="O1865" s="23">
        <v>182.5</v>
      </c>
      <c r="P1865" s="25">
        <v>144</v>
      </c>
      <c r="Q1865" s="24">
        <v>99.27</v>
      </c>
      <c r="R1865" s="24">
        <f>O1865-Q1865</f>
        <v>83.23</v>
      </c>
      <c r="S1865" s="53">
        <f>IF(O1865&lt;&gt;0,R1865/O1865,"")</f>
        <v>0.45605479452054798</v>
      </c>
      <c r="T1865" s="10"/>
      <c r="U1865" s="23">
        <v>373.9</v>
      </c>
      <c r="V1865" s="25">
        <v>289</v>
      </c>
      <c r="W1865" s="24">
        <v>199.23000000000002</v>
      </c>
      <c r="X1865" s="24">
        <f>U1865-W1865</f>
        <v>174.66999999999996</v>
      </c>
      <c r="Y1865" s="53">
        <f>IF(U1865&lt;&gt;0,X1865/U1865,"")</f>
        <v>0.46715699384862253</v>
      </c>
      <c r="Z1865" s="23">
        <v>0</v>
      </c>
      <c r="AA1865" s="25">
        <v>0</v>
      </c>
      <c r="AB1865" s="24">
        <v>0</v>
      </c>
      <c r="AC1865" s="24">
        <f t="shared" si="548"/>
        <v>0</v>
      </c>
      <c r="AD1865" s="53" t="str">
        <f t="shared" si="549"/>
        <v/>
      </c>
      <c r="AE1865" s="10"/>
    </row>
    <row r="1866" spans="1:31" x14ac:dyDescent="0.25">
      <c r="A1866" s="14" t="s">
        <v>109</v>
      </c>
      <c r="C1866" s="61" t="str">
        <f t="shared" si="547"/>
        <v>C100107</v>
      </c>
      <c r="F1866" s="8" t="str">
        <f>"C100062"</f>
        <v>C100062</v>
      </c>
      <c r="G1866" s="9" t="str">
        <f>"Tall Matte Finish Mug"</f>
        <v>Tall Matte Finish Mug</v>
      </c>
      <c r="H1866" s="47"/>
      <c r="I1866" s="47"/>
      <c r="J1866" s="23">
        <v>168.8</v>
      </c>
      <c r="K1866" s="25">
        <v>143</v>
      </c>
      <c r="L1866" s="24">
        <v>97.250000000000014</v>
      </c>
      <c r="M1866" s="24">
        <f>J1866-L1866</f>
        <v>71.55</v>
      </c>
      <c r="N1866" s="53">
        <f>IF(J1866&lt;&gt;0,M1866/J1866,"")</f>
        <v>0.42387440758293832</v>
      </c>
      <c r="O1866" s="23">
        <v>0</v>
      </c>
      <c r="P1866" s="25">
        <v>0</v>
      </c>
      <c r="Q1866" s="24">
        <v>0</v>
      </c>
      <c r="R1866" s="24">
        <f>O1866-Q1866</f>
        <v>0</v>
      </c>
      <c r="S1866" s="53" t="str">
        <f>IF(O1866&lt;&gt;0,R1866/O1866,"")</f>
        <v/>
      </c>
      <c r="T1866" s="10"/>
      <c r="U1866" s="23">
        <v>164.69</v>
      </c>
      <c r="V1866" s="25">
        <v>144</v>
      </c>
      <c r="W1866" s="24">
        <v>97.929999999999993</v>
      </c>
      <c r="X1866" s="24">
        <f>U1866-W1866</f>
        <v>66.760000000000005</v>
      </c>
      <c r="Y1866" s="53">
        <f>IF(U1866&lt;&gt;0,X1866/U1866,"")</f>
        <v>0.40536766045297229</v>
      </c>
      <c r="Z1866" s="23">
        <v>0</v>
      </c>
      <c r="AA1866" s="25">
        <v>0</v>
      </c>
      <c r="AB1866" s="24">
        <v>0</v>
      </c>
      <c r="AC1866" s="24">
        <f t="shared" si="548"/>
        <v>0</v>
      </c>
      <c r="AD1866" s="53" t="str">
        <f t="shared" si="549"/>
        <v/>
      </c>
      <c r="AE1866" s="10"/>
    </row>
    <row r="1867" spans="1:31" x14ac:dyDescent="0.25">
      <c r="A1867" s="14" t="s">
        <v>109</v>
      </c>
      <c r="C1867" s="61" t="str">
        <f t="shared" si="547"/>
        <v>C100107</v>
      </c>
      <c r="F1867" s="8" t="str">
        <f>"C100063"</f>
        <v>C100063</v>
      </c>
      <c r="G1867" s="9" t="str">
        <f>"Soup Mug"</f>
        <v>Soup Mug</v>
      </c>
      <c r="H1867" s="47"/>
      <c r="I1867" s="47"/>
      <c r="J1867" s="23">
        <v>0</v>
      </c>
      <c r="K1867" s="25">
        <v>0</v>
      </c>
      <c r="L1867" s="24">
        <v>0</v>
      </c>
      <c r="M1867" s="24">
        <f>J1867-L1867</f>
        <v>0</v>
      </c>
      <c r="N1867" s="53" t="str">
        <f>IF(J1867&lt;&gt;0,M1867/J1867,"")</f>
        <v/>
      </c>
      <c r="O1867" s="23">
        <v>1.6</v>
      </c>
      <c r="P1867" s="25">
        <v>1</v>
      </c>
      <c r="Q1867" s="24">
        <v>0.93</v>
      </c>
      <c r="R1867" s="24">
        <f>O1867-Q1867</f>
        <v>0.67</v>
      </c>
      <c r="S1867" s="53">
        <f>IF(O1867&lt;&gt;0,R1867/O1867,"")</f>
        <v>0.41875000000000001</v>
      </c>
      <c r="T1867" s="10"/>
      <c r="U1867" s="23">
        <v>271.23</v>
      </c>
      <c r="V1867" s="25">
        <v>168</v>
      </c>
      <c r="W1867" s="24">
        <v>156.28</v>
      </c>
      <c r="X1867" s="24">
        <f>U1867-W1867</f>
        <v>114.95000000000002</v>
      </c>
      <c r="Y1867" s="53">
        <f>IF(U1867&lt;&gt;0,X1867/U1867,"")</f>
        <v>0.42381005051063675</v>
      </c>
      <c r="Z1867" s="23">
        <v>0</v>
      </c>
      <c r="AA1867" s="25">
        <v>0</v>
      </c>
      <c r="AB1867" s="24">
        <v>0</v>
      </c>
      <c r="AC1867" s="24">
        <f t="shared" si="548"/>
        <v>0</v>
      </c>
      <c r="AD1867" s="53" t="str">
        <f t="shared" si="549"/>
        <v/>
      </c>
      <c r="AE1867" s="10"/>
    </row>
    <row r="1868" spans="1:31" x14ac:dyDescent="0.25">
      <c r="A1868" s="14" t="s">
        <v>109</v>
      </c>
      <c r="C1868" s="61" t="str">
        <f t="shared" si="547"/>
        <v>C100107</v>
      </c>
      <c r="F1868" s="8" t="str">
        <f>"C100066"</f>
        <v>C100066</v>
      </c>
      <c r="G1868" s="9" t="str">
        <f>"Fashion Travel Mug"</f>
        <v>Fashion Travel Mug</v>
      </c>
      <c r="H1868" s="47"/>
      <c r="I1868" s="47"/>
      <c r="J1868" s="23">
        <v>497.64</v>
      </c>
      <c r="K1868" s="25">
        <v>144</v>
      </c>
      <c r="L1868" s="24">
        <v>237.63000000000002</v>
      </c>
      <c r="M1868" s="24">
        <f>J1868-L1868</f>
        <v>260.01</v>
      </c>
      <c r="N1868" s="53">
        <f>IF(J1868&lt;&gt;0,M1868/J1868,"")</f>
        <v>0.52248613455510007</v>
      </c>
      <c r="O1868" s="23">
        <v>0</v>
      </c>
      <c r="P1868" s="25">
        <v>0</v>
      </c>
      <c r="Q1868" s="24">
        <v>0</v>
      </c>
      <c r="R1868" s="24">
        <f>O1868-Q1868</f>
        <v>0</v>
      </c>
      <c r="S1868" s="53" t="str">
        <f>IF(O1868&lt;&gt;0,R1868/O1868,"")</f>
        <v/>
      </c>
      <c r="T1868" s="10"/>
      <c r="U1868" s="23">
        <v>482.08</v>
      </c>
      <c r="V1868" s="25">
        <v>144</v>
      </c>
      <c r="W1868" s="24">
        <v>237.63000000000002</v>
      </c>
      <c r="X1868" s="24">
        <f>U1868-W1868</f>
        <v>244.44999999999996</v>
      </c>
      <c r="Y1868" s="53">
        <f>IF(U1868&lt;&gt;0,X1868/U1868,"")</f>
        <v>0.50707351476933282</v>
      </c>
      <c r="Z1868" s="23">
        <v>502.81</v>
      </c>
      <c r="AA1868" s="25">
        <v>144</v>
      </c>
      <c r="AB1868" s="24">
        <v>237.63000000000002</v>
      </c>
      <c r="AC1868" s="24">
        <f t="shared" si="548"/>
        <v>265.17999999999995</v>
      </c>
      <c r="AD1868" s="53">
        <f t="shared" si="549"/>
        <v>0.52739603428730519</v>
      </c>
      <c r="AE1868" s="10"/>
    </row>
    <row r="1869" spans="1:31" x14ac:dyDescent="0.25">
      <c r="A1869" s="14" t="s">
        <v>109</v>
      </c>
      <c r="C1869" s="61" t="str">
        <f t="shared" si="547"/>
        <v>C100107</v>
      </c>
      <c r="F1869" s="8" t="str">
        <f>"C100067"</f>
        <v>C100067</v>
      </c>
      <c r="G1869" s="9" t="str">
        <f>"Stainless Thermos"</f>
        <v>Stainless Thermos</v>
      </c>
      <c r="H1869" s="47"/>
      <c r="I1869" s="47"/>
      <c r="J1869" s="23">
        <v>0</v>
      </c>
      <c r="K1869" s="25">
        <v>0</v>
      </c>
      <c r="L1869" s="24">
        <v>0</v>
      </c>
      <c r="M1869" s="24">
        <f>J1869-L1869</f>
        <v>0</v>
      </c>
      <c r="N1869" s="53" t="str">
        <f>IF(J1869&lt;&gt;0,M1869/J1869,"")</f>
        <v/>
      </c>
      <c r="O1869" s="23">
        <v>664.64</v>
      </c>
      <c r="P1869" s="25">
        <v>144</v>
      </c>
      <c r="Q1869" s="24">
        <v>368.71</v>
      </c>
      <c r="R1869" s="24">
        <f>O1869-Q1869</f>
        <v>295.93</v>
      </c>
      <c r="S1869" s="53">
        <f>IF(O1869&lt;&gt;0,R1869/O1869,"")</f>
        <v>0.44524855560905152</v>
      </c>
      <c r="T1869" s="10"/>
      <c r="U1869" s="23">
        <v>664.64</v>
      </c>
      <c r="V1869" s="25">
        <v>144</v>
      </c>
      <c r="W1869" s="24">
        <v>368.71</v>
      </c>
      <c r="X1869" s="24">
        <f>U1869-W1869</f>
        <v>295.93</v>
      </c>
      <c r="Y1869" s="53">
        <f>IF(U1869&lt;&gt;0,X1869/U1869,"")</f>
        <v>0.44524855560905152</v>
      </c>
      <c r="Z1869" s="23">
        <v>0</v>
      </c>
      <c r="AA1869" s="25">
        <v>0</v>
      </c>
      <c r="AB1869" s="24">
        <v>0</v>
      </c>
      <c r="AC1869" s="24">
        <f t="shared" si="548"/>
        <v>0</v>
      </c>
      <c r="AD1869" s="53" t="str">
        <f t="shared" si="549"/>
        <v/>
      </c>
      <c r="AE1869" s="10"/>
    </row>
    <row r="1870" spans="1:31" x14ac:dyDescent="0.25">
      <c r="A1870" s="14" t="s">
        <v>109</v>
      </c>
      <c r="C1870" s="61" t="str">
        <f t="shared" si="547"/>
        <v>C100107</v>
      </c>
      <c r="F1870" s="8" t="str">
        <f>"E100002"</f>
        <v>E100002</v>
      </c>
      <c r="G1870" s="9" t="str">
        <f>"Cotton Classic Tote"</f>
        <v>Cotton Classic Tote</v>
      </c>
      <c r="H1870" s="47"/>
      <c r="I1870" s="47"/>
      <c r="J1870" s="23">
        <v>401.88</v>
      </c>
      <c r="K1870" s="25">
        <v>336</v>
      </c>
      <c r="L1870" s="24">
        <v>215.07000000000002</v>
      </c>
      <c r="M1870" s="24">
        <f>J1870-L1870</f>
        <v>186.80999999999997</v>
      </c>
      <c r="N1870" s="53">
        <f>IF(J1870&lt;&gt;0,M1870/J1870,"")</f>
        <v>0.46484025082114055</v>
      </c>
      <c r="O1870" s="23">
        <v>0</v>
      </c>
      <c r="P1870" s="25">
        <v>0</v>
      </c>
      <c r="Q1870" s="24">
        <v>0</v>
      </c>
      <c r="R1870" s="24">
        <f>O1870-Q1870</f>
        <v>0</v>
      </c>
      <c r="S1870" s="53" t="str">
        <f>IF(O1870&lt;&gt;0,R1870/O1870,"")</f>
        <v/>
      </c>
      <c r="T1870" s="10"/>
      <c r="U1870" s="23">
        <v>1.22</v>
      </c>
      <c r="V1870" s="25">
        <v>1</v>
      </c>
      <c r="W1870" s="24">
        <v>0.64</v>
      </c>
      <c r="X1870" s="24">
        <f>U1870-W1870</f>
        <v>0.57999999999999996</v>
      </c>
      <c r="Y1870" s="53">
        <f>IF(U1870&lt;&gt;0,X1870/U1870,"")</f>
        <v>0.47540983606557374</v>
      </c>
      <c r="Z1870" s="23">
        <v>232.73</v>
      </c>
      <c r="AA1870" s="25">
        <v>192</v>
      </c>
      <c r="AB1870" s="24">
        <v>122.89999999999999</v>
      </c>
      <c r="AC1870" s="24">
        <f t="shared" si="548"/>
        <v>109.83</v>
      </c>
      <c r="AD1870" s="53">
        <f t="shared" si="549"/>
        <v>0.47192025093455936</v>
      </c>
      <c r="AE1870" s="10"/>
    </row>
    <row r="1871" spans="1:31" x14ac:dyDescent="0.25">
      <c r="A1871" s="14" t="s">
        <v>109</v>
      </c>
      <c r="C1871" s="61" t="str">
        <f t="shared" si="547"/>
        <v>C100107</v>
      </c>
      <c r="F1871" s="8" t="str">
        <f>"E100004"</f>
        <v>E100004</v>
      </c>
      <c r="G1871" s="9" t="str">
        <f>"Laminated Tote"</f>
        <v>Laminated Tote</v>
      </c>
      <c r="H1871" s="47"/>
      <c r="I1871" s="47"/>
      <c r="J1871" s="23">
        <v>254.52999999999997</v>
      </c>
      <c r="K1871" s="25">
        <v>144</v>
      </c>
      <c r="L1871" s="24">
        <v>172.8</v>
      </c>
      <c r="M1871" s="24">
        <f>J1871-L1871</f>
        <v>81.729999999999961</v>
      </c>
      <c r="N1871" s="53">
        <f>IF(J1871&lt;&gt;0,M1871/J1871,"")</f>
        <v>0.32110163831375466</v>
      </c>
      <c r="O1871" s="23">
        <v>0</v>
      </c>
      <c r="P1871" s="25">
        <v>0</v>
      </c>
      <c r="Q1871" s="24">
        <v>0</v>
      </c>
      <c r="R1871" s="24">
        <f>O1871-Q1871</f>
        <v>0</v>
      </c>
      <c r="S1871" s="53" t="str">
        <f>IF(O1871&lt;&gt;0,R1871/O1871,"")</f>
        <v/>
      </c>
      <c r="T1871" s="10"/>
      <c r="U1871" s="23">
        <v>0</v>
      </c>
      <c r="V1871" s="25">
        <v>0</v>
      </c>
      <c r="W1871" s="24">
        <v>0</v>
      </c>
      <c r="X1871" s="24">
        <f>U1871-W1871</f>
        <v>0</v>
      </c>
      <c r="Y1871" s="53" t="str">
        <f>IF(U1871&lt;&gt;0,X1871/U1871,"")</f>
        <v/>
      </c>
      <c r="Z1871" s="23">
        <v>0</v>
      </c>
      <c r="AA1871" s="25">
        <v>0</v>
      </c>
      <c r="AB1871" s="24">
        <v>0</v>
      </c>
      <c r="AC1871" s="24">
        <f t="shared" si="548"/>
        <v>0</v>
      </c>
      <c r="AD1871" s="53" t="str">
        <f t="shared" si="549"/>
        <v/>
      </c>
      <c r="AE1871" s="10"/>
    </row>
    <row r="1872" spans="1:31" x14ac:dyDescent="0.25">
      <c r="A1872" s="14" t="s">
        <v>109</v>
      </c>
      <c r="C1872" s="61" t="str">
        <f t="shared" si="547"/>
        <v>C100107</v>
      </c>
      <c r="F1872" s="8" t="str">
        <f>"E100005"</f>
        <v>E100005</v>
      </c>
      <c r="G1872" s="9" t="str">
        <f>"All Purpose Tote"</f>
        <v>All Purpose Tote</v>
      </c>
      <c r="H1872" s="47"/>
      <c r="I1872" s="47"/>
      <c r="J1872" s="23">
        <v>0</v>
      </c>
      <c r="K1872" s="25">
        <v>0</v>
      </c>
      <c r="L1872" s="24">
        <v>0</v>
      </c>
      <c r="M1872" s="24">
        <f>J1872-L1872</f>
        <v>0</v>
      </c>
      <c r="N1872" s="53" t="str">
        <f>IF(J1872&lt;&gt;0,M1872/J1872,"")</f>
        <v/>
      </c>
      <c r="O1872" s="23">
        <v>364.16</v>
      </c>
      <c r="P1872" s="25">
        <v>144</v>
      </c>
      <c r="Q1872" s="24">
        <v>178.56</v>
      </c>
      <c r="R1872" s="24">
        <f>O1872-Q1872</f>
        <v>185.60000000000002</v>
      </c>
      <c r="S1872" s="53">
        <f>IF(O1872&lt;&gt;0,R1872/O1872,"")</f>
        <v>0.50966608084358522</v>
      </c>
      <c r="T1872" s="10"/>
      <c r="U1872" s="23">
        <v>345.57</v>
      </c>
      <c r="V1872" s="25">
        <v>144</v>
      </c>
      <c r="W1872" s="24">
        <v>178.56</v>
      </c>
      <c r="X1872" s="24">
        <f>U1872-W1872</f>
        <v>167.01</v>
      </c>
      <c r="Y1872" s="53">
        <f>IF(U1872&lt;&gt;0,X1872/U1872,"")</f>
        <v>0.4832884799027693</v>
      </c>
      <c r="Z1872" s="23">
        <v>15.01</v>
      </c>
      <c r="AA1872" s="25">
        <v>6</v>
      </c>
      <c r="AB1872" s="24">
        <v>7.44</v>
      </c>
      <c r="AC1872" s="24">
        <f t="shared" si="548"/>
        <v>7.5699999999999994</v>
      </c>
      <c r="AD1872" s="53">
        <f t="shared" si="549"/>
        <v>0.50433044636908719</v>
      </c>
      <c r="AE1872" s="10"/>
    </row>
    <row r="1873" spans="1:31" x14ac:dyDescent="0.25">
      <c r="A1873" s="14" t="s">
        <v>109</v>
      </c>
      <c r="C1873" s="61" t="str">
        <f t="shared" si="547"/>
        <v>C100107</v>
      </c>
      <c r="F1873" s="8" t="str">
        <f>"E100006"</f>
        <v>E100006</v>
      </c>
      <c r="G1873" s="9" t="str">
        <f>"Budget Tote Bag"</f>
        <v>Budget Tote Bag</v>
      </c>
      <c r="H1873" s="47"/>
      <c r="I1873" s="47"/>
      <c r="J1873" s="23">
        <v>0.01</v>
      </c>
      <c r="K1873" s="25">
        <v>0</v>
      </c>
      <c r="L1873" s="24">
        <v>0</v>
      </c>
      <c r="M1873" s="24">
        <f>J1873-L1873</f>
        <v>0.01</v>
      </c>
      <c r="N1873" s="53">
        <f>IF(J1873&lt;&gt;0,M1873/J1873,"")</f>
        <v>1</v>
      </c>
      <c r="O1873" s="23">
        <v>12.85</v>
      </c>
      <c r="P1873" s="25">
        <v>145</v>
      </c>
      <c r="Q1873" s="24">
        <v>5.79</v>
      </c>
      <c r="R1873" s="24">
        <f>O1873-Q1873</f>
        <v>7.06</v>
      </c>
      <c r="S1873" s="53">
        <f>IF(O1873&lt;&gt;0,R1873/O1873,"")</f>
        <v>0.5494163424124513</v>
      </c>
      <c r="T1873" s="10"/>
      <c r="U1873" s="23">
        <v>12.11</v>
      </c>
      <c r="V1873" s="25">
        <v>144</v>
      </c>
      <c r="W1873" s="24">
        <v>5.75</v>
      </c>
      <c r="X1873" s="24">
        <f>U1873-W1873</f>
        <v>6.3599999999999994</v>
      </c>
      <c r="Y1873" s="53">
        <f>IF(U1873&lt;&gt;0,X1873/U1873,"")</f>
        <v>0.52518579686209743</v>
      </c>
      <c r="Z1873" s="23">
        <v>0.63</v>
      </c>
      <c r="AA1873" s="25">
        <v>7</v>
      </c>
      <c r="AB1873" s="24">
        <v>0.28000000000000003</v>
      </c>
      <c r="AC1873" s="24">
        <f t="shared" si="548"/>
        <v>0.35</v>
      </c>
      <c r="AD1873" s="53">
        <f t="shared" si="549"/>
        <v>0.55555555555555547</v>
      </c>
      <c r="AE1873" s="10"/>
    </row>
    <row r="1874" spans="1:31" x14ac:dyDescent="0.25">
      <c r="A1874" s="14" t="s">
        <v>109</v>
      </c>
      <c r="C1874" s="61" t="str">
        <f t="shared" si="547"/>
        <v>C100107</v>
      </c>
      <c r="F1874" s="8" t="str">
        <f>"E100007"</f>
        <v>E100007</v>
      </c>
      <c r="G1874" s="9" t="str">
        <f>"Plastic Handle Bag"</f>
        <v>Plastic Handle Bag</v>
      </c>
      <c r="H1874" s="47"/>
      <c r="I1874" s="47"/>
      <c r="J1874" s="23">
        <v>61.74</v>
      </c>
      <c r="K1874" s="25">
        <v>198.00000000000003</v>
      </c>
      <c r="L1874" s="24">
        <v>35.64</v>
      </c>
      <c r="M1874" s="24">
        <f>J1874-L1874</f>
        <v>26.1</v>
      </c>
      <c r="N1874" s="53">
        <f>IF(J1874&lt;&gt;0,M1874/J1874,"")</f>
        <v>0.42274052478134111</v>
      </c>
      <c r="O1874" s="23">
        <v>0</v>
      </c>
      <c r="P1874" s="25">
        <v>0</v>
      </c>
      <c r="Q1874" s="24">
        <v>0</v>
      </c>
      <c r="R1874" s="24">
        <f>O1874-Q1874</f>
        <v>0</v>
      </c>
      <c r="S1874" s="53" t="str">
        <f>IF(O1874&lt;&gt;0,R1874/O1874,"")</f>
        <v/>
      </c>
      <c r="T1874" s="10"/>
      <c r="U1874" s="23">
        <v>0</v>
      </c>
      <c r="V1874" s="25">
        <v>0</v>
      </c>
      <c r="W1874" s="24">
        <v>0</v>
      </c>
      <c r="X1874" s="24">
        <f>U1874-W1874</f>
        <v>0</v>
      </c>
      <c r="Y1874" s="53" t="str">
        <f>IF(U1874&lt;&gt;0,X1874/U1874,"")</f>
        <v/>
      </c>
      <c r="Z1874" s="23">
        <v>0</v>
      </c>
      <c r="AA1874" s="25">
        <v>0</v>
      </c>
      <c r="AB1874" s="24">
        <v>0</v>
      </c>
      <c r="AC1874" s="24">
        <f t="shared" si="548"/>
        <v>0</v>
      </c>
      <c r="AD1874" s="53" t="str">
        <f t="shared" si="549"/>
        <v/>
      </c>
      <c r="AE1874" s="10"/>
    </row>
    <row r="1875" spans="1:31" x14ac:dyDescent="0.25">
      <c r="A1875" s="14" t="s">
        <v>109</v>
      </c>
      <c r="C1875" s="61" t="str">
        <f t="shared" si="547"/>
        <v>C100107</v>
      </c>
      <c r="F1875" s="8" t="str">
        <f>"E100008"</f>
        <v>E100008</v>
      </c>
      <c r="G1875" s="9" t="str">
        <f>"Super Shopper"</f>
        <v>Super Shopper</v>
      </c>
      <c r="H1875" s="47"/>
      <c r="I1875" s="47"/>
      <c r="J1875" s="23">
        <v>0.22</v>
      </c>
      <c r="K1875" s="25">
        <v>1</v>
      </c>
      <c r="L1875" s="24">
        <v>0.12</v>
      </c>
      <c r="M1875" s="24">
        <f>J1875-L1875</f>
        <v>0.1</v>
      </c>
      <c r="N1875" s="53">
        <f>IF(J1875&lt;&gt;0,M1875/J1875,"")</f>
        <v>0.45454545454545459</v>
      </c>
      <c r="O1875" s="23">
        <v>64.31</v>
      </c>
      <c r="P1875" s="25">
        <v>288</v>
      </c>
      <c r="Q1875" s="24">
        <v>34.58</v>
      </c>
      <c r="R1875" s="24">
        <f>O1875-Q1875</f>
        <v>29.730000000000004</v>
      </c>
      <c r="S1875" s="53">
        <f>IF(O1875&lt;&gt;0,R1875/O1875,"")</f>
        <v>0.46229202301352829</v>
      </c>
      <c r="T1875" s="10"/>
      <c r="U1875" s="23">
        <v>0.45</v>
      </c>
      <c r="V1875" s="25">
        <v>2</v>
      </c>
      <c r="W1875" s="24">
        <v>0.24</v>
      </c>
      <c r="X1875" s="24">
        <f>U1875-W1875</f>
        <v>0.21000000000000002</v>
      </c>
      <c r="Y1875" s="53">
        <f>IF(U1875&lt;&gt;0,X1875/U1875,"")</f>
        <v>0.46666666666666667</v>
      </c>
      <c r="Z1875" s="23">
        <v>0</v>
      </c>
      <c r="AA1875" s="25">
        <v>0</v>
      </c>
      <c r="AB1875" s="24">
        <v>0</v>
      </c>
      <c r="AC1875" s="24">
        <f t="shared" si="548"/>
        <v>0</v>
      </c>
      <c r="AD1875" s="53" t="str">
        <f t="shared" si="549"/>
        <v/>
      </c>
      <c r="AE1875" s="10"/>
    </row>
    <row r="1876" spans="1:31" x14ac:dyDescent="0.25">
      <c r="A1876" s="14" t="s">
        <v>109</v>
      </c>
      <c r="C1876" s="61" t="str">
        <f t="shared" si="547"/>
        <v>C100107</v>
      </c>
      <c r="F1876" s="8" t="str">
        <f>"E100009"</f>
        <v>E100009</v>
      </c>
      <c r="G1876" s="9" t="str">
        <f>"Die-Cut Tote"</f>
        <v>Die-Cut Tote</v>
      </c>
      <c r="H1876" s="47"/>
      <c r="I1876" s="47"/>
      <c r="J1876" s="23">
        <v>0</v>
      </c>
      <c r="K1876" s="25">
        <v>0</v>
      </c>
      <c r="L1876" s="24">
        <v>0</v>
      </c>
      <c r="M1876" s="24">
        <f>J1876-L1876</f>
        <v>0</v>
      </c>
      <c r="N1876" s="53" t="str">
        <f>IF(J1876&lt;&gt;0,M1876/J1876,"")</f>
        <v/>
      </c>
      <c r="O1876" s="23">
        <v>32.479999999999997</v>
      </c>
      <c r="P1876" s="25">
        <v>144</v>
      </c>
      <c r="Q1876" s="24">
        <v>15.85</v>
      </c>
      <c r="R1876" s="24">
        <f>O1876-Q1876</f>
        <v>16.629999999999995</v>
      </c>
      <c r="S1876" s="53">
        <f>IF(O1876&lt;&gt;0,R1876/O1876,"")</f>
        <v>0.5120073891625615</v>
      </c>
      <c r="T1876" s="10"/>
      <c r="U1876" s="23">
        <v>32.489999999999995</v>
      </c>
      <c r="V1876" s="25">
        <v>144</v>
      </c>
      <c r="W1876" s="24">
        <v>15.85</v>
      </c>
      <c r="X1876" s="24">
        <f>U1876-W1876</f>
        <v>16.639999999999993</v>
      </c>
      <c r="Y1876" s="53">
        <f>IF(U1876&lt;&gt;0,X1876/U1876,"")</f>
        <v>0.5121575869498306</v>
      </c>
      <c r="Z1876" s="23">
        <v>0</v>
      </c>
      <c r="AA1876" s="25">
        <v>0</v>
      </c>
      <c r="AB1876" s="24">
        <v>0</v>
      </c>
      <c r="AC1876" s="24">
        <f t="shared" si="548"/>
        <v>0</v>
      </c>
      <c r="AD1876" s="53" t="str">
        <f t="shared" si="549"/>
        <v/>
      </c>
      <c r="AE1876" s="10"/>
    </row>
    <row r="1877" spans="1:31" x14ac:dyDescent="0.25">
      <c r="A1877" s="14" t="s">
        <v>109</v>
      </c>
      <c r="C1877" s="61" t="str">
        <f t="shared" si="547"/>
        <v>C100107</v>
      </c>
      <c r="F1877" s="8" t="str">
        <f>"E100010"</f>
        <v>E100010</v>
      </c>
      <c r="G1877" s="9" t="str">
        <f>"Vinyl Tote"</f>
        <v>Vinyl Tote</v>
      </c>
      <c r="H1877" s="47"/>
      <c r="I1877" s="47"/>
      <c r="J1877" s="23">
        <v>2.0699999999999998</v>
      </c>
      <c r="K1877" s="25">
        <v>7</v>
      </c>
      <c r="L1877" s="24">
        <v>1.26</v>
      </c>
      <c r="M1877" s="24">
        <f>J1877-L1877</f>
        <v>0.80999999999999983</v>
      </c>
      <c r="N1877" s="53">
        <f>IF(J1877&lt;&gt;0,M1877/J1877,"")</f>
        <v>0.39130434782608692</v>
      </c>
      <c r="O1877" s="23">
        <v>0.31</v>
      </c>
      <c r="P1877" s="25">
        <v>1</v>
      </c>
      <c r="Q1877" s="24">
        <v>0.18</v>
      </c>
      <c r="R1877" s="24">
        <f>O1877-Q1877</f>
        <v>0.13</v>
      </c>
      <c r="S1877" s="53">
        <f>IF(O1877&lt;&gt;0,R1877/O1877,"")</f>
        <v>0.41935483870967744</v>
      </c>
      <c r="T1877" s="10"/>
      <c r="U1877" s="23">
        <v>0</v>
      </c>
      <c r="V1877" s="25">
        <v>0</v>
      </c>
      <c r="W1877" s="24">
        <v>0</v>
      </c>
      <c r="X1877" s="24">
        <f>U1877-W1877</f>
        <v>0</v>
      </c>
      <c r="Y1877" s="53" t="str">
        <f>IF(U1877&lt;&gt;0,X1877/U1877,"")</f>
        <v/>
      </c>
      <c r="Z1877" s="23">
        <v>1.81</v>
      </c>
      <c r="AA1877" s="25">
        <v>6</v>
      </c>
      <c r="AB1877" s="24">
        <v>1.08</v>
      </c>
      <c r="AC1877" s="24">
        <f t="shared" si="548"/>
        <v>0.73</v>
      </c>
      <c r="AD1877" s="53">
        <f t="shared" si="549"/>
        <v>0.40331491712707179</v>
      </c>
      <c r="AE1877" s="10"/>
    </row>
    <row r="1878" spans="1:31" x14ac:dyDescent="0.25">
      <c r="A1878" s="14" t="s">
        <v>109</v>
      </c>
      <c r="C1878" s="61" t="str">
        <f t="shared" si="547"/>
        <v>C100107</v>
      </c>
      <c r="F1878" s="8" t="str">
        <f>"E100011"</f>
        <v>E100011</v>
      </c>
      <c r="G1878" s="9" t="str">
        <f>"Plastic Sun Visor"</f>
        <v>Plastic Sun Visor</v>
      </c>
      <c r="H1878" s="47"/>
      <c r="I1878" s="47"/>
      <c r="J1878" s="23">
        <v>0</v>
      </c>
      <c r="K1878" s="25">
        <v>0</v>
      </c>
      <c r="L1878" s="24">
        <v>0</v>
      </c>
      <c r="M1878" s="24">
        <f>J1878-L1878</f>
        <v>0</v>
      </c>
      <c r="N1878" s="53" t="str">
        <f>IF(J1878&lt;&gt;0,M1878/J1878,"")</f>
        <v/>
      </c>
      <c r="O1878" s="23">
        <v>112.83</v>
      </c>
      <c r="P1878" s="25">
        <v>145</v>
      </c>
      <c r="Q1878" s="24">
        <v>60.89</v>
      </c>
      <c r="R1878" s="24">
        <f>O1878-Q1878</f>
        <v>51.94</v>
      </c>
      <c r="S1878" s="53">
        <f>IF(O1878&lt;&gt;0,R1878/O1878,"")</f>
        <v>0.46033856243906762</v>
      </c>
      <c r="T1878" s="10"/>
      <c r="U1878" s="23">
        <v>0</v>
      </c>
      <c r="V1878" s="25">
        <v>0</v>
      </c>
      <c r="W1878" s="24">
        <v>0</v>
      </c>
      <c r="X1878" s="24">
        <f>U1878-W1878</f>
        <v>0</v>
      </c>
      <c r="Y1878" s="53" t="str">
        <f>IF(U1878&lt;&gt;0,X1878/U1878,"")</f>
        <v/>
      </c>
      <c r="Z1878" s="23">
        <v>113.21</v>
      </c>
      <c r="AA1878" s="25">
        <v>144</v>
      </c>
      <c r="AB1878" s="24">
        <v>60.470000000000006</v>
      </c>
      <c r="AC1878" s="24">
        <f t="shared" si="548"/>
        <v>52.739999999999988</v>
      </c>
      <c r="AD1878" s="53">
        <f t="shared" si="549"/>
        <v>0.46585990636869529</v>
      </c>
      <c r="AE1878" s="10"/>
    </row>
    <row r="1879" spans="1:31" x14ac:dyDescent="0.25">
      <c r="A1879" s="14" t="s">
        <v>109</v>
      </c>
      <c r="C1879" s="61" t="str">
        <f t="shared" si="547"/>
        <v>C100107</v>
      </c>
      <c r="F1879" s="8" t="str">
        <f>"E100012"</f>
        <v>E100012</v>
      </c>
      <c r="G1879" s="9" t="str">
        <f>"Canvas Stopwatch"</f>
        <v>Canvas Stopwatch</v>
      </c>
      <c r="H1879" s="47"/>
      <c r="I1879" s="47"/>
      <c r="J1879" s="23">
        <v>0</v>
      </c>
      <c r="K1879" s="25">
        <v>0</v>
      </c>
      <c r="L1879" s="24">
        <v>0</v>
      </c>
      <c r="M1879" s="24">
        <f>J1879-L1879</f>
        <v>0</v>
      </c>
      <c r="N1879" s="53" t="str">
        <f>IF(J1879&lt;&gt;0,M1879/J1879,"")</f>
        <v/>
      </c>
      <c r="O1879" s="23">
        <v>522.08000000000004</v>
      </c>
      <c r="P1879" s="25">
        <v>144</v>
      </c>
      <c r="Q1879" s="24">
        <v>282.22999999999996</v>
      </c>
      <c r="R1879" s="24">
        <f>O1879-Q1879</f>
        <v>239.85000000000008</v>
      </c>
      <c r="S1879" s="53">
        <f>IF(O1879&lt;&gt;0,R1879/O1879,"")</f>
        <v>0.45941235059760965</v>
      </c>
      <c r="T1879" s="10"/>
      <c r="U1879" s="23">
        <v>1017.5400000000001</v>
      </c>
      <c r="V1879" s="25">
        <v>288</v>
      </c>
      <c r="W1879" s="24">
        <v>564.45999999999992</v>
      </c>
      <c r="X1879" s="24">
        <f>U1879-W1879</f>
        <v>453.08000000000015</v>
      </c>
      <c r="Y1879" s="53">
        <f>IF(U1879&lt;&gt;0,X1879/U1879,"")</f>
        <v>0.44526996481710807</v>
      </c>
      <c r="Z1879" s="23">
        <v>0</v>
      </c>
      <c r="AA1879" s="25">
        <v>0</v>
      </c>
      <c r="AB1879" s="24">
        <v>0</v>
      </c>
      <c r="AC1879" s="24">
        <f t="shared" si="548"/>
        <v>0</v>
      </c>
      <c r="AD1879" s="53" t="str">
        <f t="shared" si="549"/>
        <v/>
      </c>
      <c r="AE1879" s="10"/>
    </row>
    <row r="1880" spans="1:31" x14ac:dyDescent="0.25">
      <c r="A1880" s="14" t="s">
        <v>109</v>
      </c>
      <c r="C1880" s="61" t="str">
        <f t="shared" si="547"/>
        <v>C100107</v>
      </c>
      <c r="F1880" s="8" t="str">
        <f>"E100013"</f>
        <v>E100013</v>
      </c>
      <c r="G1880" s="9" t="str">
        <f>"Clip-on Stopwatch"</f>
        <v>Clip-on Stopwatch</v>
      </c>
      <c r="H1880" s="47"/>
      <c r="I1880" s="47"/>
      <c r="J1880" s="23">
        <v>755.17000000000007</v>
      </c>
      <c r="K1880" s="25">
        <v>288</v>
      </c>
      <c r="L1880" s="24">
        <v>414.7</v>
      </c>
      <c r="M1880" s="24">
        <f>J1880-L1880</f>
        <v>340.47000000000008</v>
      </c>
      <c r="N1880" s="53">
        <f>IF(J1880&lt;&gt;0,M1880/J1880,"")</f>
        <v>0.45085212601136176</v>
      </c>
      <c r="O1880" s="23">
        <v>0</v>
      </c>
      <c r="P1880" s="25">
        <v>0</v>
      </c>
      <c r="Q1880" s="24">
        <v>0</v>
      </c>
      <c r="R1880" s="24">
        <f>O1880-Q1880</f>
        <v>0</v>
      </c>
      <c r="S1880" s="53" t="str">
        <f>IF(O1880&lt;&gt;0,R1880/O1880,"")</f>
        <v/>
      </c>
      <c r="T1880" s="10"/>
      <c r="U1880" s="23">
        <v>389.50999999999993</v>
      </c>
      <c r="V1880" s="25">
        <v>144</v>
      </c>
      <c r="W1880" s="24">
        <v>207.35</v>
      </c>
      <c r="X1880" s="24">
        <f>U1880-W1880</f>
        <v>182.15999999999994</v>
      </c>
      <c r="Y1880" s="53">
        <f>IF(U1880&lt;&gt;0,X1880/U1880,"")</f>
        <v>0.46766450155323347</v>
      </c>
      <c r="Z1880" s="23">
        <v>0</v>
      </c>
      <c r="AA1880" s="25">
        <v>0</v>
      </c>
      <c r="AB1880" s="24">
        <v>0</v>
      </c>
      <c r="AC1880" s="24">
        <f t="shared" si="548"/>
        <v>0</v>
      </c>
      <c r="AD1880" s="53" t="str">
        <f t="shared" si="549"/>
        <v/>
      </c>
      <c r="AE1880" s="10"/>
    </row>
    <row r="1881" spans="1:31" x14ac:dyDescent="0.25">
      <c r="A1881" s="14" t="s">
        <v>109</v>
      </c>
      <c r="C1881" s="61" t="str">
        <f t="shared" si="547"/>
        <v>C100107</v>
      </c>
      <c r="F1881" s="8" t="str">
        <f>"E100014"</f>
        <v>E100014</v>
      </c>
      <c r="G1881" s="9" t="str">
        <f>"Stopwatch with Neck Rope"</f>
        <v>Stopwatch with Neck Rope</v>
      </c>
      <c r="H1881" s="47"/>
      <c r="I1881" s="47"/>
      <c r="J1881" s="23">
        <v>372.16</v>
      </c>
      <c r="K1881" s="25">
        <v>144</v>
      </c>
      <c r="L1881" s="24">
        <v>185.75</v>
      </c>
      <c r="M1881" s="24">
        <f>J1881-L1881</f>
        <v>186.41000000000003</v>
      </c>
      <c r="N1881" s="53">
        <f>IF(J1881&lt;&gt;0,M1881/J1881,"")</f>
        <v>0.50088671539122964</v>
      </c>
      <c r="O1881" s="23">
        <v>0</v>
      </c>
      <c r="P1881" s="25">
        <v>0</v>
      </c>
      <c r="Q1881" s="24">
        <v>0</v>
      </c>
      <c r="R1881" s="24">
        <f>O1881-Q1881</f>
        <v>0</v>
      </c>
      <c r="S1881" s="53" t="str">
        <f>IF(O1881&lt;&gt;0,R1881/O1881,"")</f>
        <v/>
      </c>
      <c r="T1881" s="10"/>
      <c r="U1881" s="23">
        <v>0</v>
      </c>
      <c r="V1881" s="25">
        <v>0</v>
      </c>
      <c r="W1881" s="24">
        <v>0</v>
      </c>
      <c r="X1881" s="24">
        <f>U1881-W1881</f>
        <v>0</v>
      </c>
      <c r="Y1881" s="53" t="str">
        <f>IF(U1881&lt;&gt;0,X1881/U1881,"")</f>
        <v/>
      </c>
      <c r="Z1881" s="23">
        <v>0</v>
      </c>
      <c r="AA1881" s="25">
        <v>0</v>
      </c>
      <c r="AB1881" s="24">
        <v>0</v>
      </c>
      <c r="AC1881" s="24">
        <f t="shared" si="548"/>
        <v>0</v>
      </c>
      <c r="AD1881" s="53" t="str">
        <f t="shared" si="549"/>
        <v/>
      </c>
      <c r="AE1881" s="10"/>
    </row>
    <row r="1882" spans="1:31" x14ac:dyDescent="0.25">
      <c r="A1882" s="14" t="s">
        <v>109</v>
      </c>
      <c r="C1882" s="61" t="str">
        <f t="shared" si="547"/>
        <v>C100107</v>
      </c>
      <c r="F1882" s="8" t="str">
        <f>"E100015"</f>
        <v>E100015</v>
      </c>
      <c r="G1882" s="9" t="str">
        <f>"360 Clip Watch"</f>
        <v>360 Clip Watch</v>
      </c>
      <c r="H1882" s="47"/>
      <c r="I1882" s="47"/>
      <c r="J1882" s="23">
        <v>0</v>
      </c>
      <c r="K1882" s="25">
        <v>0</v>
      </c>
      <c r="L1882" s="24">
        <v>0</v>
      </c>
      <c r="M1882" s="24">
        <f>J1882-L1882</f>
        <v>0</v>
      </c>
      <c r="N1882" s="53" t="str">
        <f>IF(J1882&lt;&gt;0,M1882/J1882,"")</f>
        <v/>
      </c>
      <c r="O1882" s="23">
        <v>303.49</v>
      </c>
      <c r="P1882" s="25">
        <v>144</v>
      </c>
      <c r="Q1882" s="24">
        <v>146.88</v>
      </c>
      <c r="R1882" s="24">
        <f>O1882-Q1882</f>
        <v>156.61000000000001</v>
      </c>
      <c r="S1882" s="53">
        <f>IF(O1882&lt;&gt;0,R1882/O1882,"")</f>
        <v>0.51603018221358199</v>
      </c>
      <c r="T1882" s="10"/>
      <c r="U1882" s="23">
        <v>0</v>
      </c>
      <c r="V1882" s="25">
        <v>0</v>
      </c>
      <c r="W1882" s="24">
        <v>0</v>
      </c>
      <c r="X1882" s="24">
        <f>U1882-W1882</f>
        <v>0</v>
      </c>
      <c r="Y1882" s="53" t="str">
        <f>IF(U1882&lt;&gt;0,X1882/U1882,"")</f>
        <v/>
      </c>
      <c r="Z1882" s="23">
        <v>0</v>
      </c>
      <c r="AA1882" s="25">
        <v>0</v>
      </c>
      <c r="AB1882" s="24">
        <v>0</v>
      </c>
      <c r="AC1882" s="24">
        <f t="shared" si="548"/>
        <v>0</v>
      </c>
      <c r="AD1882" s="53" t="str">
        <f t="shared" si="549"/>
        <v/>
      </c>
      <c r="AE1882" s="10"/>
    </row>
    <row r="1883" spans="1:31" x14ac:dyDescent="0.25">
      <c r="A1883" s="14" t="s">
        <v>109</v>
      </c>
      <c r="C1883" s="61" t="str">
        <f t="shared" si="547"/>
        <v>C100107</v>
      </c>
      <c r="F1883" s="8" t="str">
        <f>"E100016"</f>
        <v>E100016</v>
      </c>
      <c r="G1883" s="9" t="str">
        <f>"4 Function Rotating Carabiner Watch"</f>
        <v>4 Function Rotating Carabiner Watch</v>
      </c>
      <c r="H1883" s="47"/>
      <c r="I1883" s="47"/>
      <c r="J1883" s="23">
        <v>0</v>
      </c>
      <c r="K1883" s="25">
        <v>0</v>
      </c>
      <c r="L1883" s="24">
        <v>0</v>
      </c>
      <c r="M1883" s="24">
        <f>J1883-L1883</f>
        <v>0</v>
      </c>
      <c r="N1883" s="53" t="str">
        <f>IF(J1883&lt;&gt;0,M1883/J1883,"")</f>
        <v/>
      </c>
      <c r="O1883" s="23">
        <v>2.91</v>
      </c>
      <c r="P1883" s="25">
        <v>1</v>
      </c>
      <c r="Q1883" s="24">
        <v>1.38</v>
      </c>
      <c r="R1883" s="24">
        <f>O1883-Q1883</f>
        <v>1.5300000000000002</v>
      </c>
      <c r="S1883" s="53">
        <f>IF(O1883&lt;&gt;0,R1883/O1883,"")</f>
        <v>0.52577319587628868</v>
      </c>
      <c r="T1883" s="10"/>
      <c r="U1883" s="23">
        <v>440.97</v>
      </c>
      <c r="V1883" s="25">
        <v>156</v>
      </c>
      <c r="W1883" s="24">
        <v>215.29</v>
      </c>
      <c r="X1883" s="24">
        <f>U1883-W1883</f>
        <v>225.68000000000004</v>
      </c>
      <c r="Y1883" s="53">
        <f>IF(U1883&lt;&gt;0,X1883/U1883,"")</f>
        <v>0.51178084676962154</v>
      </c>
      <c r="Z1883" s="23">
        <v>0</v>
      </c>
      <c r="AA1883" s="25">
        <v>0</v>
      </c>
      <c r="AB1883" s="24">
        <v>0</v>
      </c>
      <c r="AC1883" s="24">
        <f t="shared" si="548"/>
        <v>0</v>
      </c>
      <c r="AD1883" s="53" t="str">
        <f t="shared" si="549"/>
        <v/>
      </c>
      <c r="AE1883" s="10"/>
    </row>
    <row r="1884" spans="1:31" x14ac:dyDescent="0.25">
      <c r="A1884" s="14" t="s">
        <v>109</v>
      </c>
      <c r="C1884" s="61" t="str">
        <f t="shared" si="547"/>
        <v>C100107</v>
      </c>
      <c r="F1884" s="8" t="str">
        <f>"E100017"</f>
        <v>E100017</v>
      </c>
      <c r="G1884" s="9" t="str">
        <f>"Clip-on Clock with Compass"</f>
        <v>Clip-on Clock with Compass</v>
      </c>
      <c r="H1884" s="47"/>
      <c r="I1884" s="47"/>
      <c r="J1884" s="23">
        <v>215.60999999999999</v>
      </c>
      <c r="K1884" s="25">
        <v>144</v>
      </c>
      <c r="L1884" s="24">
        <v>126.72</v>
      </c>
      <c r="M1884" s="24">
        <f>J1884-L1884</f>
        <v>88.889999999999986</v>
      </c>
      <c r="N1884" s="53">
        <f>IF(J1884&lt;&gt;0,M1884/J1884,"")</f>
        <v>0.41227215806316958</v>
      </c>
      <c r="O1884" s="23">
        <v>215.62</v>
      </c>
      <c r="P1884" s="25">
        <v>144</v>
      </c>
      <c r="Q1884" s="24">
        <v>126.72</v>
      </c>
      <c r="R1884" s="24">
        <f>O1884-Q1884</f>
        <v>88.9</v>
      </c>
      <c r="S1884" s="53">
        <f>IF(O1884&lt;&gt;0,R1884/O1884,"")</f>
        <v>0.41229941563862355</v>
      </c>
      <c r="T1884" s="10"/>
      <c r="U1884" s="23">
        <v>0</v>
      </c>
      <c r="V1884" s="25">
        <v>0</v>
      </c>
      <c r="W1884" s="24">
        <v>0</v>
      </c>
      <c r="X1884" s="24">
        <f>U1884-W1884</f>
        <v>0</v>
      </c>
      <c r="Y1884" s="53" t="str">
        <f>IF(U1884&lt;&gt;0,X1884/U1884,"")</f>
        <v/>
      </c>
      <c r="Z1884" s="23">
        <v>0</v>
      </c>
      <c r="AA1884" s="25">
        <v>0</v>
      </c>
      <c r="AB1884" s="24">
        <v>0</v>
      </c>
      <c r="AC1884" s="24">
        <f t="shared" si="548"/>
        <v>0</v>
      </c>
      <c r="AD1884" s="53" t="str">
        <f t="shared" si="549"/>
        <v/>
      </c>
      <c r="AE1884" s="10"/>
    </row>
    <row r="1885" spans="1:31" x14ac:dyDescent="0.25">
      <c r="A1885" s="14" t="s">
        <v>109</v>
      </c>
      <c r="C1885" s="61" t="str">
        <f t="shared" si="547"/>
        <v>C100107</v>
      </c>
      <c r="F1885" s="8" t="str">
        <f>"E100021"</f>
        <v>E100021</v>
      </c>
      <c r="G1885" s="9" t="str">
        <f>"Slim Travel Alarm"</f>
        <v>Slim Travel Alarm</v>
      </c>
      <c r="H1885" s="47"/>
      <c r="I1885" s="47"/>
      <c r="J1885" s="23">
        <v>-67.05</v>
      </c>
      <c r="K1885" s="25">
        <v>-24</v>
      </c>
      <c r="L1885" s="24">
        <v>-34.56</v>
      </c>
      <c r="M1885" s="24">
        <f>J1885-L1885</f>
        <v>-32.489999999999995</v>
      </c>
      <c r="N1885" s="53">
        <f>IF(J1885&lt;&gt;0,M1885/J1885,"")</f>
        <v>0.48456375838926169</v>
      </c>
      <c r="O1885" s="23">
        <v>406.41</v>
      </c>
      <c r="P1885" s="25">
        <v>144</v>
      </c>
      <c r="Q1885" s="24">
        <v>207.35</v>
      </c>
      <c r="R1885" s="24">
        <f>O1885-Q1885</f>
        <v>199.06000000000003</v>
      </c>
      <c r="S1885" s="53">
        <f>IF(O1885&lt;&gt;0,R1885/O1885,"")</f>
        <v>0.48980093993750157</v>
      </c>
      <c r="T1885" s="10"/>
      <c r="U1885" s="23">
        <v>0</v>
      </c>
      <c r="V1885" s="25">
        <v>0</v>
      </c>
      <c r="W1885" s="24">
        <v>0</v>
      </c>
      <c r="X1885" s="24">
        <f>U1885-W1885</f>
        <v>0</v>
      </c>
      <c r="Y1885" s="53" t="str">
        <f>IF(U1885&lt;&gt;0,X1885/U1885,"")</f>
        <v/>
      </c>
      <c r="Z1885" s="23">
        <v>0</v>
      </c>
      <c r="AA1885" s="25">
        <v>0</v>
      </c>
      <c r="AB1885" s="24">
        <v>0</v>
      </c>
      <c r="AC1885" s="24">
        <f t="shared" si="548"/>
        <v>0</v>
      </c>
      <c r="AD1885" s="53" t="str">
        <f t="shared" si="549"/>
        <v/>
      </c>
      <c r="AE1885" s="10"/>
    </row>
    <row r="1886" spans="1:31" x14ac:dyDescent="0.25">
      <c r="A1886" s="14" t="s">
        <v>109</v>
      </c>
      <c r="C1886" s="61" t="str">
        <f t="shared" si="547"/>
        <v>C100107</v>
      </c>
      <c r="F1886" s="8" t="str">
        <f>"E100022"</f>
        <v>E100022</v>
      </c>
      <c r="G1886" s="9" t="str">
        <f>"Wide Screen Alarm Clock"</f>
        <v>Wide Screen Alarm Clock</v>
      </c>
      <c r="H1886" s="47"/>
      <c r="I1886" s="47"/>
      <c r="J1886" s="23">
        <v>0</v>
      </c>
      <c r="K1886" s="25">
        <v>0</v>
      </c>
      <c r="L1886" s="24">
        <v>0</v>
      </c>
      <c r="M1886" s="24">
        <f>J1886-L1886</f>
        <v>0</v>
      </c>
      <c r="N1886" s="53" t="str">
        <f>IF(J1886&lt;&gt;0,M1886/J1886,"")</f>
        <v/>
      </c>
      <c r="O1886" s="23">
        <v>533.52</v>
      </c>
      <c r="P1886" s="25">
        <v>288</v>
      </c>
      <c r="Q1886" s="24">
        <v>368.61</v>
      </c>
      <c r="R1886" s="24">
        <f>O1886-Q1886</f>
        <v>164.90999999999997</v>
      </c>
      <c r="S1886" s="53">
        <f>IF(O1886&lt;&gt;0,R1886/O1886,"")</f>
        <v>0.30909806567701298</v>
      </c>
      <c r="T1886" s="10"/>
      <c r="U1886" s="23">
        <v>258.42</v>
      </c>
      <c r="V1886" s="25">
        <v>144</v>
      </c>
      <c r="W1886" s="24">
        <v>184.31</v>
      </c>
      <c r="X1886" s="24">
        <f>U1886-W1886</f>
        <v>74.110000000000014</v>
      </c>
      <c r="Y1886" s="53">
        <f>IF(U1886&lt;&gt;0,X1886/U1886,"")</f>
        <v>0.28678120888476127</v>
      </c>
      <c r="Z1886" s="23">
        <v>0</v>
      </c>
      <c r="AA1886" s="25">
        <v>0</v>
      </c>
      <c r="AB1886" s="24">
        <v>0</v>
      </c>
      <c r="AC1886" s="24">
        <f t="shared" si="548"/>
        <v>0</v>
      </c>
      <c r="AD1886" s="53" t="str">
        <f t="shared" si="549"/>
        <v/>
      </c>
      <c r="AE1886" s="10"/>
    </row>
    <row r="1887" spans="1:31" x14ac:dyDescent="0.25">
      <c r="A1887" s="14" t="s">
        <v>109</v>
      </c>
      <c r="C1887" s="61" t="str">
        <f t="shared" si="547"/>
        <v>C100107</v>
      </c>
      <c r="F1887" s="8" t="str">
        <f>"E100024"</f>
        <v>E100024</v>
      </c>
      <c r="G1887" s="9" t="str">
        <f>"Arch Calculator"</f>
        <v>Arch Calculator</v>
      </c>
      <c r="H1887" s="47"/>
      <c r="I1887" s="47"/>
      <c r="J1887" s="23">
        <v>0</v>
      </c>
      <c r="K1887" s="25">
        <v>0</v>
      </c>
      <c r="L1887" s="24">
        <v>0</v>
      </c>
      <c r="M1887" s="24">
        <f>J1887-L1887</f>
        <v>0</v>
      </c>
      <c r="N1887" s="53" t="str">
        <f>IF(J1887&lt;&gt;0,M1887/J1887,"")</f>
        <v/>
      </c>
      <c r="O1887" s="23">
        <v>3.05</v>
      </c>
      <c r="P1887" s="25">
        <v>1</v>
      </c>
      <c r="Q1887" s="24">
        <v>1.72</v>
      </c>
      <c r="R1887" s="24">
        <f>O1887-Q1887</f>
        <v>1.3299999999999998</v>
      </c>
      <c r="S1887" s="53">
        <f>IF(O1887&lt;&gt;0,R1887/O1887,"")</f>
        <v>0.43606557377049177</v>
      </c>
      <c r="T1887" s="10"/>
      <c r="U1887" s="23">
        <v>0</v>
      </c>
      <c r="V1887" s="25">
        <v>0</v>
      </c>
      <c r="W1887" s="24">
        <v>0</v>
      </c>
      <c r="X1887" s="24">
        <f>U1887-W1887</f>
        <v>0</v>
      </c>
      <c r="Y1887" s="53" t="str">
        <f>IF(U1887&lt;&gt;0,X1887/U1887,"")</f>
        <v/>
      </c>
      <c r="Z1887" s="23">
        <v>0</v>
      </c>
      <c r="AA1887" s="25">
        <v>0</v>
      </c>
      <c r="AB1887" s="24">
        <v>0</v>
      </c>
      <c r="AC1887" s="24">
        <f t="shared" si="548"/>
        <v>0</v>
      </c>
      <c r="AD1887" s="53" t="str">
        <f t="shared" si="549"/>
        <v/>
      </c>
      <c r="AE1887" s="10"/>
    </row>
    <row r="1888" spans="1:31" x14ac:dyDescent="0.25">
      <c r="A1888" s="14" t="s">
        <v>109</v>
      </c>
      <c r="C1888" s="61" t="str">
        <f t="shared" si="547"/>
        <v>C100107</v>
      </c>
      <c r="F1888" s="8" t="str">
        <f>"E100025"</f>
        <v>E100025</v>
      </c>
      <c r="G1888" s="9" t="str">
        <f>"Calc-U-Note"</f>
        <v>Calc-U-Note</v>
      </c>
      <c r="H1888" s="47"/>
      <c r="I1888" s="47"/>
      <c r="J1888" s="23">
        <v>443.86</v>
      </c>
      <c r="K1888" s="25">
        <v>288</v>
      </c>
      <c r="L1888" s="24">
        <v>293.58999999999997</v>
      </c>
      <c r="M1888" s="24">
        <f>J1888-L1888</f>
        <v>150.27000000000004</v>
      </c>
      <c r="N1888" s="53">
        <f>IF(J1888&lt;&gt;0,M1888/J1888,"")</f>
        <v>0.33855269679628719</v>
      </c>
      <c r="O1888" s="23">
        <v>226.65</v>
      </c>
      <c r="P1888" s="25">
        <v>144</v>
      </c>
      <c r="Q1888" s="24">
        <v>146.80000000000001</v>
      </c>
      <c r="R1888" s="24">
        <f>O1888-Q1888</f>
        <v>79.849999999999994</v>
      </c>
      <c r="S1888" s="53">
        <f>IF(O1888&lt;&gt;0,R1888/O1888,"")</f>
        <v>0.35230531656739461</v>
      </c>
      <c r="T1888" s="10"/>
      <c r="U1888" s="23">
        <v>0</v>
      </c>
      <c r="V1888" s="25">
        <v>0</v>
      </c>
      <c r="W1888" s="24">
        <v>0</v>
      </c>
      <c r="X1888" s="24">
        <f>U1888-W1888</f>
        <v>0</v>
      </c>
      <c r="Y1888" s="53" t="str">
        <f>IF(U1888&lt;&gt;0,X1888/U1888,"")</f>
        <v/>
      </c>
      <c r="Z1888" s="23">
        <v>0</v>
      </c>
      <c r="AA1888" s="25">
        <v>0</v>
      </c>
      <c r="AB1888" s="24">
        <v>0</v>
      </c>
      <c r="AC1888" s="24">
        <f t="shared" si="548"/>
        <v>0</v>
      </c>
      <c r="AD1888" s="53" t="str">
        <f t="shared" si="549"/>
        <v/>
      </c>
      <c r="AE1888" s="10"/>
    </row>
    <row r="1889" spans="1:31" x14ac:dyDescent="0.25">
      <c r="A1889" s="14" t="s">
        <v>109</v>
      </c>
      <c r="C1889" s="61" t="str">
        <f t="shared" si="547"/>
        <v>C100107</v>
      </c>
      <c r="F1889" s="8" t="str">
        <f>"E100026"</f>
        <v>E100026</v>
      </c>
      <c r="G1889" s="9" t="str">
        <f>"Desk Calculator"</f>
        <v>Desk Calculator</v>
      </c>
      <c r="H1889" s="47"/>
      <c r="I1889" s="47"/>
      <c r="J1889" s="23">
        <v>117.57000000000001</v>
      </c>
      <c r="K1889" s="25">
        <v>144</v>
      </c>
      <c r="L1889" s="24">
        <v>69.180000000000007</v>
      </c>
      <c r="M1889" s="24">
        <f>J1889-L1889</f>
        <v>48.39</v>
      </c>
      <c r="N1889" s="53">
        <f>IF(J1889&lt;&gt;0,M1889/J1889,"")</f>
        <v>0.41158458790507779</v>
      </c>
      <c r="O1889" s="23">
        <v>0.84</v>
      </c>
      <c r="P1889" s="25">
        <v>1</v>
      </c>
      <c r="Q1889" s="24">
        <v>0.48</v>
      </c>
      <c r="R1889" s="24">
        <f>O1889-Q1889</f>
        <v>0.36</v>
      </c>
      <c r="S1889" s="53">
        <f>IF(O1889&lt;&gt;0,R1889/O1889,"")</f>
        <v>0.42857142857142855</v>
      </c>
      <c r="T1889" s="10"/>
      <c r="U1889" s="23">
        <v>0</v>
      </c>
      <c r="V1889" s="25">
        <v>0</v>
      </c>
      <c r="W1889" s="24">
        <v>0</v>
      </c>
      <c r="X1889" s="24">
        <f>U1889-W1889</f>
        <v>0</v>
      </c>
      <c r="Y1889" s="53" t="str">
        <f>IF(U1889&lt;&gt;0,X1889/U1889,"")</f>
        <v/>
      </c>
      <c r="Z1889" s="23">
        <v>0</v>
      </c>
      <c r="AA1889" s="25">
        <v>0</v>
      </c>
      <c r="AB1889" s="24">
        <v>0</v>
      </c>
      <c r="AC1889" s="24">
        <f t="shared" si="548"/>
        <v>0</v>
      </c>
      <c r="AD1889" s="53" t="str">
        <f t="shared" si="549"/>
        <v/>
      </c>
      <c r="AE1889" s="10"/>
    </row>
    <row r="1890" spans="1:31" x14ac:dyDescent="0.25">
      <c r="A1890" s="14" t="s">
        <v>109</v>
      </c>
      <c r="C1890" s="61" t="str">
        <f t="shared" si="547"/>
        <v>C100107</v>
      </c>
      <c r="F1890" s="8" t="str">
        <f>"E100027"</f>
        <v>E100027</v>
      </c>
      <c r="G1890" s="9" t="str">
        <f>"Ergo-Calculator"</f>
        <v>Ergo-Calculator</v>
      </c>
      <c r="H1890" s="47"/>
      <c r="I1890" s="47"/>
      <c r="J1890" s="23">
        <v>327.48</v>
      </c>
      <c r="K1890" s="25">
        <v>144</v>
      </c>
      <c r="L1890" s="24">
        <v>184.35</v>
      </c>
      <c r="M1890" s="24">
        <f>J1890-L1890</f>
        <v>143.13000000000002</v>
      </c>
      <c r="N1890" s="53">
        <f>IF(J1890&lt;&gt;0,M1890/J1890,"")</f>
        <v>0.43706485892268238</v>
      </c>
      <c r="O1890" s="23">
        <v>0</v>
      </c>
      <c r="P1890" s="25">
        <v>0</v>
      </c>
      <c r="Q1890" s="24">
        <v>0</v>
      </c>
      <c r="R1890" s="24">
        <f>O1890-Q1890</f>
        <v>0</v>
      </c>
      <c r="S1890" s="53" t="str">
        <f>IF(O1890&lt;&gt;0,R1890/O1890,"")</f>
        <v/>
      </c>
      <c r="T1890" s="10"/>
      <c r="U1890" s="23">
        <v>682.85</v>
      </c>
      <c r="V1890" s="25">
        <v>288</v>
      </c>
      <c r="W1890" s="24">
        <v>368.71</v>
      </c>
      <c r="X1890" s="24">
        <f>U1890-W1890</f>
        <v>314.14000000000004</v>
      </c>
      <c r="Y1890" s="53">
        <f>IF(U1890&lt;&gt;0,X1890/U1890,"")</f>
        <v>0.46004246906348395</v>
      </c>
      <c r="Z1890" s="23">
        <v>337.94</v>
      </c>
      <c r="AA1890" s="25">
        <v>144</v>
      </c>
      <c r="AB1890" s="24">
        <v>184.35</v>
      </c>
      <c r="AC1890" s="24">
        <f t="shared" si="548"/>
        <v>153.59</v>
      </c>
      <c r="AD1890" s="53">
        <f t="shared" si="549"/>
        <v>0.45448896253772858</v>
      </c>
      <c r="AE1890" s="10"/>
    </row>
    <row r="1891" spans="1:31" x14ac:dyDescent="0.25">
      <c r="A1891" s="14" t="s">
        <v>109</v>
      </c>
      <c r="C1891" s="61" t="str">
        <f t="shared" si="547"/>
        <v>C100107</v>
      </c>
      <c r="F1891" s="8" t="str">
        <f>"E100029"</f>
        <v>E100029</v>
      </c>
      <c r="G1891" s="9" t="str">
        <f>"LED Flex Light"</f>
        <v>LED Flex Light</v>
      </c>
      <c r="H1891" s="47"/>
      <c r="I1891" s="47"/>
      <c r="J1891" s="23">
        <v>399.58</v>
      </c>
      <c r="K1891" s="25">
        <v>144</v>
      </c>
      <c r="L1891" s="24">
        <v>241.84000000000003</v>
      </c>
      <c r="M1891" s="24">
        <f>J1891-L1891</f>
        <v>157.73999999999995</v>
      </c>
      <c r="N1891" s="53">
        <f>IF(J1891&lt;&gt;0,M1891/J1891,"")</f>
        <v>0.39476450272786417</v>
      </c>
      <c r="O1891" s="23">
        <v>0</v>
      </c>
      <c r="P1891" s="25">
        <v>0</v>
      </c>
      <c r="Q1891" s="24">
        <v>0</v>
      </c>
      <c r="R1891" s="24">
        <f>O1891-Q1891</f>
        <v>0</v>
      </c>
      <c r="S1891" s="53" t="str">
        <f>IF(O1891&lt;&gt;0,R1891/O1891,"")</f>
        <v/>
      </c>
      <c r="T1891" s="10"/>
      <c r="U1891" s="23">
        <v>387.09999999999997</v>
      </c>
      <c r="V1891" s="25">
        <v>144</v>
      </c>
      <c r="W1891" s="24">
        <v>241.84000000000003</v>
      </c>
      <c r="X1891" s="24">
        <f>U1891-W1891</f>
        <v>145.25999999999993</v>
      </c>
      <c r="Y1891" s="53">
        <f>IF(U1891&lt;&gt;0,X1891/U1891,"")</f>
        <v>0.37525187290105905</v>
      </c>
      <c r="Z1891" s="23">
        <v>0</v>
      </c>
      <c r="AA1891" s="25">
        <v>0</v>
      </c>
      <c r="AB1891" s="24">
        <v>0</v>
      </c>
      <c r="AC1891" s="24">
        <f t="shared" si="548"/>
        <v>0</v>
      </c>
      <c r="AD1891" s="53" t="str">
        <f t="shared" si="549"/>
        <v/>
      </c>
      <c r="AE1891" s="10"/>
    </row>
    <row r="1892" spans="1:31" x14ac:dyDescent="0.25">
      <c r="A1892" s="14" t="s">
        <v>109</v>
      </c>
      <c r="C1892" s="61" t="str">
        <f t="shared" si="547"/>
        <v>C100107</v>
      </c>
      <c r="F1892" s="8" t="str">
        <f>"E100030"</f>
        <v>E100030</v>
      </c>
      <c r="G1892" s="9" t="str">
        <f>"LED Keychain"</f>
        <v>LED Keychain</v>
      </c>
      <c r="H1892" s="47"/>
      <c r="I1892" s="47"/>
      <c r="J1892" s="23">
        <v>132.25</v>
      </c>
      <c r="K1892" s="25">
        <v>145</v>
      </c>
      <c r="L1892" s="24">
        <v>72.56</v>
      </c>
      <c r="M1892" s="24">
        <f>J1892-L1892</f>
        <v>59.69</v>
      </c>
      <c r="N1892" s="53">
        <f>IF(J1892&lt;&gt;0,M1892/J1892,"")</f>
        <v>0.4513421550094518</v>
      </c>
      <c r="O1892" s="23">
        <v>0</v>
      </c>
      <c r="P1892" s="25">
        <v>0</v>
      </c>
      <c r="Q1892" s="24">
        <v>0</v>
      </c>
      <c r="R1892" s="24">
        <f>O1892-Q1892</f>
        <v>0</v>
      </c>
      <c r="S1892" s="53" t="str">
        <f>IF(O1892&lt;&gt;0,R1892/O1892,"")</f>
        <v/>
      </c>
      <c r="T1892" s="10"/>
      <c r="U1892" s="23">
        <v>129.93</v>
      </c>
      <c r="V1892" s="25">
        <v>144</v>
      </c>
      <c r="W1892" s="24">
        <v>72.05</v>
      </c>
      <c r="X1892" s="24">
        <f>U1892-W1892</f>
        <v>57.88000000000001</v>
      </c>
      <c r="Y1892" s="53">
        <f>IF(U1892&lt;&gt;0,X1892/U1892,"")</f>
        <v>0.44547063803586551</v>
      </c>
      <c r="Z1892" s="23">
        <v>0</v>
      </c>
      <c r="AA1892" s="25">
        <v>0</v>
      </c>
      <c r="AB1892" s="24">
        <v>0</v>
      </c>
      <c r="AC1892" s="24">
        <f t="shared" si="548"/>
        <v>0</v>
      </c>
      <c r="AD1892" s="53" t="str">
        <f t="shared" si="549"/>
        <v/>
      </c>
      <c r="AE1892" s="10"/>
    </row>
    <row r="1893" spans="1:31" x14ac:dyDescent="0.25">
      <c r="A1893" s="14" t="s">
        <v>109</v>
      </c>
      <c r="C1893" s="61" t="str">
        <f t="shared" si="547"/>
        <v>C100107</v>
      </c>
      <c r="F1893" s="8" t="str">
        <f>"E100031"</f>
        <v>E100031</v>
      </c>
      <c r="G1893" s="9" t="str">
        <f>"Ad Torch"</f>
        <v>Ad Torch</v>
      </c>
      <c r="H1893" s="47"/>
      <c r="I1893" s="47"/>
      <c r="J1893" s="23">
        <v>2.62</v>
      </c>
      <c r="K1893" s="25">
        <v>1</v>
      </c>
      <c r="L1893" s="24">
        <v>1.38</v>
      </c>
      <c r="M1893" s="24">
        <f>J1893-L1893</f>
        <v>1.2400000000000002</v>
      </c>
      <c r="N1893" s="53">
        <f>IF(J1893&lt;&gt;0,M1893/J1893,"")</f>
        <v>0.47328244274809167</v>
      </c>
      <c r="O1893" s="23">
        <v>393.63</v>
      </c>
      <c r="P1893" s="25">
        <v>144</v>
      </c>
      <c r="Q1893" s="24">
        <v>198.73000000000002</v>
      </c>
      <c r="R1893" s="24">
        <f>O1893-Q1893</f>
        <v>194.89999999999998</v>
      </c>
      <c r="S1893" s="53">
        <f>IF(O1893&lt;&gt;0,R1893/O1893,"")</f>
        <v>0.49513502527754483</v>
      </c>
      <c r="T1893" s="10"/>
      <c r="U1893" s="23">
        <v>787.2700000000001</v>
      </c>
      <c r="V1893" s="25">
        <v>288</v>
      </c>
      <c r="W1893" s="24">
        <v>397.45000000000005</v>
      </c>
      <c r="X1893" s="24">
        <f>U1893-W1893</f>
        <v>389.82000000000005</v>
      </c>
      <c r="Y1893" s="53">
        <f>IF(U1893&lt;&gt;0,X1893/U1893,"")</f>
        <v>0.49515414025683691</v>
      </c>
      <c r="Z1893" s="23">
        <v>389.62</v>
      </c>
      <c r="AA1893" s="25">
        <v>144</v>
      </c>
      <c r="AB1893" s="24">
        <v>198.73000000000002</v>
      </c>
      <c r="AC1893" s="24">
        <f t="shared" si="548"/>
        <v>190.89</v>
      </c>
      <c r="AD1893" s="53">
        <f t="shared" si="549"/>
        <v>0.48993891484010055</v>
      </c>
      <c r="AE1893" s="10"/>
    </row>
    <row r="1894" spans="1:31" x14ac:dyDescent="0.25">
      <c r="A1894" s="14" t="s">
        <v>109</v>
      </c>
      <c r="C1894" s="61" t="str">
        <f t="shared" si="547"/>
        <v>C100107</v>
      </c>
      <c r="F1894" s="8" t="str">
        <f>"E100032"</f>
        <v>E100032</v>
      </c>
      <c r="G1894" s="9" t="str">
        <f>"Button Key-Light"</f>
        <v>Button Key-Light</v>
      </c>
      <c r="H1894" s="47"/>
      <c r="I1894" s="47"/>
      <c r="J1894" s="23">
        <v>70.460000000000008</v>
      </c>
      <c r="K1894" s="25">
        <v>144</v>
      </c>
      <c r="L1894" s="24">
        <v>47.529999999999994</v>
      </c>
      <c r="M1894" s="24">
        <f>J1894-L1894</f>
        <v>22.930000000000014</v>
      </c>
      <c r="N1894" s="53">
        <f>IF(J1894&lt;&gt;0,M1894/J1894,"")</f>
        <v>0.3254328697133127</v>
      </c>
      <c r="O1894" s="23">
        <v>0.49</v>
      </c>
      <c r="P1894" s="25">
        <v>1</v>
      </c>
      <c r="Q1894" s="24">
        <v>0.33</v>
      </c>
      <c r="R1894" s="24">
        <f>O1894-Q1894</f>
        <v>0.15999999999999998</v>
      </c>
      <c r="S1894" s="53">
        <f>IF(O1894&lt;&gt;0,R1894/O1894,"")</f>
        <v>0.32653061224489793</v>
      </c>
      <c r="T1894" s="10"/>
      <c r="U1894" s="23">
        <v>0</v>
      </c>
      <c r="V1894" s="25">
        <v>0</v>
      </c>
      <c r="W1894" s="24">
        <v>0</v>
      </c>
      <c r="X1894" s="24">
        <f>U1894-W1894</f>
        <v>0</v>
      </c>
      <c r="Y1894" s="53" t="str">
        <f>IF(U1894&lt;&gt;0,X1894/U1894,"")</f>
        <v/>
      </c>
      <c r="Z1894" s="23">
        <v>142.38</v>
      </c>
      <c r="AA1894" s="25">
        <v>288</v>
      </c>
      <c r="AB1894" s="24">
        <v>95.05</v>
      </c>
      <c r="AC1894" s="24">
        <f t="shared" si="548"/>
        <v>47.33</v>
      </c>
      <c r="AD1894" s="53">
        <f t="shared" si="549"/>
        <v>0.33242028374771737</v>
      </c>
      <c r="AE1894" s="10"/>
    </row>
    <row r="1895" spans="1:31" x14ac:dyDescent="0.25">
      <c r="A1895" s="14" t="s">
        <v>109</v>
      </c>
      <c r="C1895" s="61" t="str">
        <f t="shared" si="547"/>
        <v>C100107</v>
      </c>
      <c r="F1895" s="8" t="str">
        <f>"E100033"</f>
        <v>E100033</v>
      </c>
      <c r="G1895" s="9" t="str">
        <f>"Dual Source Flashlight"</f>
        <v>Dual Source Flashlight</v>
      </c>
      <c r="H1895" s="47"/>
      <c r="I1895" s="47"/>
      <c r="J1895" s="23">
        <v>906.95999999999992</v>
      </c>
      <c r="K1895" s="25">
        <v>288</v>
      </c>
      <c r="L1895" s="24">
        <v>449.19</v>
      </c>
      <c r="M1895" s="24">
        <f>J1895-L1895</f>
        <v>457.76999999999992</v>
      </c>
      <c r="N1895" s="53">
        <f>IF(J1895&lt;&gt;0,M1895/J1895,"")</f>
        <v>0.50473008732468905</v>
      </c>
      <c r="O1895" s="23">
        <v>466.08</v>
      </c>
      <c r="P1895" s="25">
        <v>145</v>
      </c>
      <c r="Q1895" s="24">
        <v>226.16000000000003</v>
      </c>
      <c r="R1895" s="24">
        <f>O1895-Q1895</f>
        <v>239.91999999999996</v>
      </c>
      <c r="S1895" s="53">
        <f>IF(O1895&lt;&gt;0,R1895/O1895,"")</f>
        <v>0.51476141434946787</v>
      </c>
      <c r="T1895" s="10"/>
      <c r="U1895" s="23">
        <v>439.31</v>
      </c>
      <c r="V1895" s="25">
        <v>144</v>
      </c>
      <c r="W1895" s="24">
        <v>224.60000000000002</v>
      </c>
      <c r="X1895" s="24">
        <f>U1895-W1895</f>
        <v>214.70999999999998</v>
      </c>
      <c r="Y1895" s="53">
        <f>IF(U1895&lt;&gt;0,X1895/U1895,"")</f>
        <v>0.488743711729758</v>
      </c>
      <c r="Z1895" s="23">
        <v>0</v>
      </c>
      <c r="AA1895" s="25">
        <v>0</v>
      </c>
      <c r="AB1895" s="24">
        <v>0</v>
      </c>
      <c r="AC1895" s="24">
        <f t="shared" si="548"/>
        <v>0</v>
      </c>
      <c r="AD1895" s="53" t="str">
        <f t="shared" si="549"/>
        <v/>
      </c>
      <c r="AE1895" s="10"/>
    </row>
    <row r="1896" spans="1:31" x14ac:dyDescent="0.25">
      <c r="A1896" s="14" t="s">
        <v>109</v>
      </c>
      <c r="C1896" s="61" t="str">
        <f t="shared" si="547"/>
        <v>C100107</v>
      </c>
      <c r="F1896" s="8" t="str">
        <f>"E100034"</f>
        <v>E100034</v>
      </c>
      <c r="G1896" s="9" t="str">
        <f>"Bamboo 1GB USB Flash Drive"</f>
        <v>Bamboo 1GB USB Flash Drive</v>
      </c>
      <c r="H1896" s="47"/>
      <c r="I1896" s="47"/>
      <c r="J1896" s="23">
        <v>786.48</v>
      </c>
      <c r="K1896" s="25">
        <v>144</v>
      </c>
      <c r="L1896" s="24">
        <v>388.83</v>
      </c>
      <c r="M1896" s="24">
        <f>J1896-L1896</f>
        <v>397.65000000000003</v>
      </c>
      <c r="N1896" s="53">
        <f>IF(J1896&lt;&gt;0,M1896/J1896,"")</f>
        <v>0.50560726274031131</v>
      </c>
      <c r="O1896" s="23">
        <v>803.2</v>
      </c>
      <c r="P1896" s="25">
        <v>144</v>
      </c>
      <c r="Q1896" s="24">
        <v>388.83</v>
      </c>
      <c r="R1896" s="24">
        <f>O1896-Q1896</f>
        <v>414.37000000000006</v>
      </c>
      <c r="S1896" s="53">
        <f>IF(O1896&lt;&gt;0,R1896/O1896,"")</f>
        <v>0.51589890438247021</v>
      </c>
      <c r="T1896" s="10"/>
      <c r="U1896" s="23">
        <v>778.11</v>
      </c>
      <c r="V1896" s="25">
        <v>144</v>
      </c>
      <c r="W1896" s="24">
        <v>388.83</v>
      </c>
      <c r="X1896" s="24">
        <f>U1896-W1896</f>
        <v>389.28000000000003</v>
      </c>
      <c r="Y1896" s="53">
        <f>IF(U1896&lt;&gt;0,X1896/U1896,"")</f>
        <v>0.50028916220071717</v>
      </c>
      <c r="Z1896" s="23">
        <v>0</v>
      </c>
      <c r="AA1896" s="25">
        <v>0</v>
      </c>
      <c r="AB1896" s="24">
        <v>0</v>
      </c>
      <c r="AC1896" s="24">
        <f t="shared" si="548"/>
        <v>0</v>
      </c>
      <c r="AD1896" s="53" t="str">
        <f t="shared" si="549"/>
        <v/>
      </c>
      <c r="AE1896" s="10"/>
    </row>
    <row r="1897" spans="1:31" x14ac:dyDescent="0.25">
      <c r="A1897" s="14" t="s">
        <v>109</v>
      </c>
      <c r="C1897" s="61" t="str">
        <f t="shared" si="547"/>
        <v>C100107</v>
      </c>
      <c r="F1897" s="8" t="str">
        <f>"E100035"</f>
        <v>E100035</v>
      </c>
      <c r="G1897" s="9" t="str">
        <f>"2GB Foldout USB Flash Drive"</f>
        <v>2GB Foldout USB Flash Drive</v>
      </c>
      <c r="H1897" s="47"/>
      <c r="I1897" s="47"/>
      <c r="J1897" s="23">
        <v>0</v>
      </c>
      <c r="K1897" s="25">
        <v>0</v>
      </c>
      <c r="L1897" s="24">
        <v>0</v>
      </c>
      <c r="M1897" s="24">
        <f>J1897-L1897</f>
        <v>0</v>
      </c>
      <c r="N1897" s="53" t="str">
        <f>IF(J1897&lt;&gt;0,M1897/J1897,"")</f>
        <v/>
      </c>
      <c r="O1897" s="23">
        <v>3.79</v>
      </c>
      <c r="P1897" s="25">
        <v>1</v>
      </c>
      <c r="Q1897" s="24">
        <v>2.25</v>
      </c>
      <c r="R1897" s="24">
        <f>O1897-Q1897</f>
        <v>1.54</v>
      </c>
      <c r="S1897" s="53">
        <f>IF(O1897&lt;&gt;0,R1897/O1897,"")</f>
        <v>0.40633245382585753</v>
      </c>
      <c r="T1897" s="10"/>
      <c r="U1897" s="23">
        <v>0</v>
      </c>
      <c r="V1897" s="25">
        <v>0</v>
      </c>
      <c r="W1897" s="24">
        <v>0</v>
      </c>
      <c r="X1897" s="24">
        <f>U1897-W1897</f>
        <v>0</v>
      </c>
      <c r="Y1897" s="53" t="str">
        <f>IF(U1897&lt;&gt;0,X1897/U1897,"")</f>
        <v/>
      </c>
      <c r="Z1897" s="23">
        <v>0</v>
      </c>
      <c r="AA1897" s="25">
        <v>0</v>
      </c>
      <c r="AB1897" s="24">
        <v>0</v>
      </c>
      <c r="AC1897" s="24">
        <f t="shared" si="548"/>
        <v>0</v>
      </c>
      <c r="AD1897" s="53" t="str">
        <f t="shared" si="549"/>
        <v/>
      </c>
      <c r="AE1897" s="10"/>
    </row>
    <row r="1898" spans="1:31" x14ac:dyDescent="0.25">
      <c r="A1898" s="14" t="s">
        <v>109</v>
      </c>
      <c r="C1898" s="61" t="str">
        <f t="shared" si="547"/>
        <v>C100107</v>
      </c>
      <c r="F1898" s="8" t="str">
        <f>"E100038"</f>
        <v>E100038</v>
      </c>
      <c r="G1898" s="9" t="str">
        <f>"1GB USB Flash Drive Pen"</f>
        <v>1GB USB Flash Drive Pen</v>
      </c>
      <c r="H1898" s="47"/>
      <c r="I1898" s="47"/>
      <c r="J1898" s="23">
        <v>771.51</v>
      </c>
      <c r="K1898" s="25">
        <v>144</v>
      </c>
      <c r="L1898" s="24">
        <v>427.72999999999996</v>
      </c>
      <c r="M1898" s="24">
        <f>J1898-L1898</f>
        <v>343.78000000000003</v>
      </c>
      <c r="N1898" s="53">
        <f>IF(J1898&lt;&gt;0,M1898/J1898,"")</f>
        <v>0.44559370584956776</v>
      </c>
      <c r="O1898" s="23">
        <v>0</v>
      </c>
      <c r="P1898" s="25">
        <v>0</v>
      </c>
      <c r="Q1898" s="24">
        <v>0</v>
      </c>
      <c r="R1898" s="24">
        <f>O1898-Q1898</f>
        <v>0</v>
      </c>
      <c r="S1898" s="53" t="str">
        <f>IF(O1898&lt;&gt;0,R1898/O1898,"")</f>
        <v/>
      </c>
      <c r="T1898" s="10"/>
      <c r="U1898" s="23">
        <v>804.35</v>
      </c>
      <c r="V1898" s="25">
        <v>144</v>
      </c>
      <c r="W1898" s="24">
        <v>427.72999999999996</v>
      </c>
      <c r="X1898" s="24">
        <f>U1898-W1898</f>
        <v>376.62000000000006</v>
      </c>
      <c r="Y1898" s="53">
        <f>IF(U1898&lt;&gt;0,X1898/U1898,"")</f>
        <v>0.46822900478647361</v>
      </c>
      <c r="Z1898" s="23">
        <v>33.18</v>
      </c>
      <c r="AA1898" s="25">
        <v>6</v>
      </c>
      <c r="AB1898" s="24">
        <v>17.82</v>
      </c>
      <c r="AC1898" s="24">
        <f t="shared" si="548"/>
        <v>15.36</v>
      </c>
      <c r="AD1898" s="53">
        <f t="shared" si="549"/>
        <v>0.46292947558770342</v>
      </c>
      <c r="AE1898" s="10"/>
    </row>
    <row r="1899" spans="1:31" x14ac:dyDescent="0.25">
      <c r="A1899" s="14" t="s">
        <v>109</v>
      </c>
      <c r="C1899" s="61" t="str">
        <f t="shared" si="547"/>
        <v>C100107</v>
      </c>
      <c r="F1899" s="8" t="str">
        <f>"E100039"</f>
        <v>E100039</v>
      </c>
      <c r="G1899" s="9" t="str">
        <f>"Campfire Mug"</f>
        <v>Campfire Mug</v>
      </c>
      <c r="H1899" s="47"/>
      <c r="I1899" s="47"/>
      <c r="J1899" s="23">
        <v>465.48</v>
      </c>
      <c r="K1899" s="25">
        <v>288</v>
      </c>
      <c r="L1899" s="24">
        <v>322.70999999999998</v>
      </c>
      <c r="M1899" s="24">
        <f>J1899-L1899</f>
        <v>142.77000000000004</v>
      </c>
      <c r="N1899" s="53">
        <f>IF(J1899&lt;&gt;0,M1899/J1899,"")</f>
        <v>0.30671564836298021</v>
      </c>
      <c r="O1899" s="23">
        <v>242.65</v>
      </c>
      <c r="P1899" s="25">
        <v>144</v>
      </c>
      <c r="Q1899" s="24">
        <v>161.36000000000001</v>
      </c>
      <c r="R1899" s="24">
        <f>O1899-Q1899</f>
        <v>81.289999999999992</v>
      </c>
      <c r="S1899" s="53">
        <f>IF(O1899&lt;&gt;0,R1899/O1899,"")</f>
        <v>0.33500927261487734</v>
      </c>
      <c r="T1899" s="10"/>
      <c r="U1899" s="23">
        <v>0</v>
      </c>
      <c r="V1899" s="25">
        <v>0</v>
      </c>
      <c r="W1899" s="24">
        <v>0</v>
      </c>
      <c r="X1899" s="24">
        <f>U1899-W1899</f>
        <v>0</v>
      </c>
      <c r="Y1899" s="53" t="str">
        <f>IF(U1899&lt;&gt;0,X1899/U1899,"")</f>
        <v/>
      </c>
      <c r="Z1899" s="23">
        <v>0</v>
      </c>
      <c r="AA1899" s="25">
        <v>0</v>
      </c>
      <c r="AB1899" s="24">
        <v>0</v>
      </c>
      <c r="AC1899" s="24">
        <f t="shared" si="548"/>
        <v>0</v>
      </c>
      <c r="AD1899" s="53" t="str">
        <f t="shared" si="549"/>
        <v/>
      </c>
      <c r="AE1899" s="10"/>
    </row>
    <row r="1900" spans="1:31" x14ac:dyDescent="0.25">
      <c r="A1900" s="14" t="s">
        <v>109</v>
      </c>
      <c r="C1900" s="61" t="str">
        <f t="shared" si="547"/>
        <v>C100107</v>
      </c>
      <c r="F1900" s="8" t="str">
        <f>"E100040"</f>
        <v>E100040</v>
      </c>
      <c r="G1900" s="9" t="str">
        <f>"Wave Mug"</f>
        <v>Wave Mug</v>
      </c>
      <c r="H1900" s="47"/>
      <c r="I1900" s="47"/>
      <c r="J1900" s="23">
        <v>228.78</v>
      </c>
      <c r="K1900" s="25">
        <v>144</v>
      </c>
      <c r="L1900" s="24">
        <v>161.36000000000001</v>
      </c>
      <c r="M1900" s="24">
        <f>J1900-L1900</f>
        <v>67.419999999999987</v>
      </c>
      <c r="N1900" s="53">
        <f>IF(J1900&lt;&gt;0,M1900/J1900,"")</f>
        <v>0.29469359209721124</v>
      </c>
      <c r="O1900" s="23">
        <v>77.88</v>
      </c>
      <c r="P1900" s="25">
        <v>48</v>
      </c>
      <c r="Q1900" s="24">
        <v>53.79</v>
      </c>
      <c r="R1900" s="24">
        <f>O1900-Q1900</f>
        <v>24.089999999999996</v>
      </c>
      <c r="S1900" s="53">
        <f>IF(O1900&lt;&gt;0,R1900/O1900,"")</f>
        <v>0.30932203389830504</v>
      </c>
      <c r="T1900" s="10"/>
      <c r="U1900" s="23">
        <v>0</v>
      </c>
      <c r="V1900" s="25">
        <v>0</v>
      </c>
      <c r="W1900" s="24">
        <v>0</v>
      </c>
      <c r="X1900" s="24">
        <f>U1900-W1900</f>
        <v>0</v>
      </c>
      <c r="Y1900" s="53" t="str">
        <f>IF(U1900&lt;&gt;0,X1900/U1900,"")</f>
        <v/>
      </c>
      <c r="Z1900" s="23">
        <v>0</v>
      </c>
      <c r="AA1900" s="25">
        <v>0</v>
      </c>
      <c r="AB1900" s="24">
        <v>0</v>
      </c>
      <c r="AC1900" s="24">
        <f t="shared" si="548"/>
        <v>0</v>
      </c>
      <c r="AD1900" s="53" t="str">
        <f t="shared" si="549"/>
        <v/>
      </c>
      <c r="AE1900" s="10"/>
    </row>
    <row r="1901" spans="1:31" x14ac:dyDescent="0.25">
      <c r="A1901" s="14" t="s">
        <v>109</v>
      </c>
      <c r="C1901" s="61" t="str">
        <f t="shared" si="547"/>
        <v>C100107</v>
      </c>
      <c r="F1901" s="8" t="str">
        <f>"E100041"</f>
        <v>E100041</v>
      </c>
      <c r="G1901" s="9" t="str">
        <f>"Biodegradable Colored SPORT BOT"</f>
        <v>Biodegradable Colored SPORT BOT</v>
      </c>
      <c r="H1901" s="47"/>
      <c r="I1901" s="47"/>
      <c r="J1901" s="23">
        <v>0</v>
      </c>
      <c r="K1901" s="25">
        <v>0</v>
      </c>
      <c r="L1901" s="24">
        <v>0</v>
      </c>
      <c r="M1901" s="24">
        <f>J1901-L1901</f>
        <v>0</v>
      </c>
      <c r="N1901" s="53" t="str">
        <f>IF(J1901&lt;&gt;0,M1901/J1901,"")</f>
        <v/>
      </c>
      <c r="O1901" s="23">
        <v>97.289999999999992</v>
      </c>
      <c r="P1901" s="25">
        <v>144</v>
      </c>
      <c r="Q1901" s="24">
        <v>61.900000000000006</v>
      </c>
      <c r="R1901" s="24">
        <f>O1901-Q1901</f>
        <v>35.389999999999986</v>
      </c>
      <c r="S1901" s="53">
        <f>IF(O1901&lt;&gt;0,R1901/O1901,"")</f>
        <v>0.36375783739335993</v>
      </c>
      <c r="T1901" s="10"/>
      <c r="U1901" s="23">
        <v>0</v>
      </c>
      <c r="V1901" s="25">
        <v>0</v>
      </c>
      <c r="W1901" s="24">
        <v>0</v>
      </c>
      <c r="X1901" s="24">
        <f>U1901-W1901</f>
        <v>0</v>
      </c>
      <c r="Y1901" s="53" t="str">
        <f>IF(U1901&lt;&gt;0,X1901/U1901,"")</f>
        <v/>
      </c>
      <c r="Z1901" s="23">
        <v>0</v>
      </c>
      <c r="AA1901" s="25">
        <v>0</v>
      </c>
      <c r="AB1901" s="24">
        <v>0</v>
      </c>
      <c r="AC1901" s="24">
        <f t="shared" si="548"/>
        <v>0</v>
      </c>
      <c r="AD1901" s="53" t="str">
        <f t="shared" si="549"/>
        <v/>
      </c>
      <c r="AE1901" s="10"/>
    </row>
    <row r="1902" spans="1:31" x14ac:dyDescent="0.25">
      <c r="A1902" s="14" t="s">
        <v>109</v>
      </c>
      <c r="C1902" s="61" t="str">
        <f t="shared" si="547"/>
        <v>C100107</v>
      </c>
      <c r="F1902" s="8" t="str">
        <f>"E100042"</f>
        <v>E100042</v>
      </c>
      <c r="G1902" s="9" t="str">
        <f>"Soft Touch Travel Mug"</f>
        <v>Soft Touch Travel Mug</v>
      </c>
      <c r="H1902" s="47"/>
      <c r="I1902" s="47"/>
      <c r="J1902" s="23">
        <v>534.98</v>
      </c>
      <c r="K1902" s="25">
        <v>144</v>
      </c>
      <c r="L1902" s="24">
        <v>309.68</v>
      </c>
      <c r="M1902" s="24">
        <f>J1902-L1902</f>
        <v>225.3</v>
      </c>
      <c r="N1902" s="53">
        <f>IF(J1902&lt;&gt;0,M1902/J1902,"")</f>
        <v>0.42113723877528131</v>
      </c>
      <c r="O1902" s="23">
        <v>0</v>
      </c>
      <c r="P1902" s="25">
        <v>0</v>
      </c>
      <c r="Q1902" s="24">
        <v>0</v>
      </c>
      <c r="R1902" s="24">
        <f>O1902-Q1902</f>
        <v>0</v>
      </c>
      <c r="S1902" s="53" t="str">
        <f>IF(O1902&lt;&gt;0,R1902/O1902,"")</f>
        <v/>
      </c>
      <c r="T1902" s="10"/>
      <c r="U1902" s="23">
        <v>0</v>
      </c>
      <c r="V1902" s="25">
        <v>0</v>
      </c>
      <c r="W1902" s="24">
        <v>0</v>
      </c>
      <c r="X1902" s="24">
        <f>U1902-W1902</f>
        <v>0</v>
      </c>
      <c r="Y1902" s="53" t="str">
        <f>IF(U1902&lt;&gt;0,X1902/U1902,"")</f>
        <v/>
      </c>
      <c r="Z1902" s="23">
        <v>544.30999999999995</v>
      </c>
      <c r="AA1902" s="25">
        <v>145</v>
      </c>
      <c r="AB1902" s="24">
        <v>311.83</v>
      </c>
      <c r="AC1902" s="24">
        <f t="shared" si="548"/>
        <v>232.47999999999996</v>
      </c>
      <c r="AD1902" s="53">
        <f t="shared" si="549"/>
        <v>0.42710955154231961</v>
      </c>
      <c r="AE1902" s="10"/>
    </row>
    <row r="1903" spans="1:31" x14ac:dyDescent="0.25">
      <c r="A1903" s="14" t="s">
        <v>109</v>
      </c>
      <c r="C1903" s="61" t="str">
        <f t="shared" si="547"/>
        <v>C100107</v>
      </c>
      <c r="F1903" s="8" t="str">
        <f>"E100043"</f>
        <v>E100043</v>
      </c>
      <c r="G1903" s="9" t="str">
        <f>"Pub Glass"</f>
        <v>Pub Glass</v>
      </c>
      <c r="H1903" s="47"/>
      <c r="I1903" s="47"/>
      <c r="J1903" s="23">
        <v>196.3</v>
      </c>
      <c r="K1903" s="25">
        <v>144</v>
      </c>
      <c r="L1903" s="24">
        <v>133.94999999999999</v>
      </c>
      <c r="M1903" s="24">
        <f>J1903-L1903</f>
        <v>62.350000000000023</v>
      </c>
      <c r="N1903" s="53">
        <f>IF(J1903&lt;&gt;0,M1903/J1903,"")</f>
        <v>0.3176260825267449</v>
      </c>
      <c r="O1903" s="23">
        <v>396.68</v>
      </c>
      <c r="P1903" s="25">
        <v>288</v>
      </c>
      <c r="Q1903" s="24">
        <v>267.89999999999998</v>
      </c>
      <c r="R1903" s="24">
        <f>O1903-Q1903</f>
        <v>128.78000000000003</v>
      </c>
      <c r="S1903" s="53">
        <f>IF(O1903&lt;&gt;0,R1903/O1903,"")</f>
        <v>0.32464454976303325</v>
      </c>
      <c r="T1903" s="10"/>
      <c r="U1903" s="23">
        <v>0</v>
      </c>
      <c r="V1903" s="25">
        <v>0</v>
      </c>
      <c r="W1903" s="24">
        <v>0</v>
      </c>
      <c r="X1903" s="24">
        <f>U1903-W1903</f>
        <v>0</v>
      </c>
      <c r="Y1903" s="53" t="str">
        <f>IF(U1903&lt;&gt;0,X1903/U1903,"")</f>
        <v/>
      </c>
      <c r="Z1903" s="23">
        <v>0</v>
      </c>
      <c r="AA1903" s="25">
        <v>0</v>
      </c>
      <c r="AB1903" s="24">
        <v>0</v>
      </c>
      <c r="AC1903" s="24">
        <f t="shared" si="548"/>
        <v>0</v>
      </c>
      <c r="AD1903" s="53" t="str">
        <f t="shared" si="549"/>
        <v/>
      </c>
      <c r="AE1903" s="10"/>
    </row>
    <row r="1904" spans="1:31" x14ac:dyDescent="0.25">
      <c r="A1904" s="14" t="s">
        <v>109</v>
      </c>
      <c r="C1904" s="61" t="str">
        <f t="shared" si="547"/>
        <v>C100107</v>
      </c>
      <c r="F1904" s="8" t="str">
        <f>"E100044"</f>
        <v>E100044</v>
      </c>
      <c r="G1904" s="9" t="str">
        <f>"Juice Glass"</f>
        <v>Juice Glass</v>
      </c>
      <c r="H1904" s="47"/>
      <c r="I1904" s="47"/>
      <c r="J1904" s="23">
        <v>80.2</v>
      </c>
      <c r="K1904" s="25">
        <v>144</v>
      </c>
      <c r="L1904" s="24">
        <v>54.809999999999995</v>
      </c>
      <c r="M1904" s="24">
        <f>J1904-L1904</f>
        <v>25.390000000000008</v>
      </c>
      <c r="N1904" s="53">
        <f>IF(J1904&lt;&gt;0,M1904/J1904,"")</f>
        <v>0.31658354114713227</v>
      </c>
      <c r="O1904" s="23">
        <v>0</v>
      </c>
      <c r="P1904" s="25">
        <v>0</v>
      </c>
      <c r="Q1904" s="24">
        <v>0</v>
      </c>
      <c r="R1904" s="24">
        <f>O1904-Q1904</f>
        <v>0</v>
      </c>
      <c r="S1904" s="53" t="str">
        <f>IF(O1904&lt;&gt;0,R1904/O1904,"")</f>
        <v/>
      </c>
      <c r="T1904" s="10"/>
      <c r="U1904" s="23">
        <v>0</v>
      </c>
      <c r="V1904" s="25">
        <v>0</v>
      </c>
      <c r="W1904" s="24">
        <v>0</v>
      </c>
      <c r="X1904" s="24">
        <f>U1904-W1904</f>
        <v>0</v>
      </c>
      <c r="Y1904" s="53" t="str">
        <f>IF(U1904&lt;&gt;0,X1904/U1904,"")</f>
        <v/>
      </c>
      <c r="Z1904" s="23">
        <v>0</v>
      </c>
      <c r="AA1904" s="25">
        <v>0</v>
      </c>
      <c r="AB1904" s="24">
        <v>0</v>
      </c>
      <c r="AC1904" s="24">
        <f t="shared" si="548"/>
        <v>0</v>
      </c>
      <c r="AD1904" s="53" t="str">
        <f t="shared" si="549"/>
        <v/>
      </c>
      <c r="AE1904" s="10"/>
    </row>
    <row r="1905" spans="1:31" x14ac:dyDescent="0.25">
      <c r="A1905" s="14" t="s">
        <v>109</v>
      </c>
      <c r="C1905" s="61" t="str">
        <f t="shared" si="547"/>
        <v>C100107</v>
      </c>
      <c r="F1905" s="8" t="str">
        <f>"E100045"</f>
        <v>E100045</v>
      </c>
      <c r="G1905" s="9" t="str">
        <f>"Flute"</f>
        <v>Flute</v>
      </c>
      <c r="H1905" s="47"/>
      <c r="I1905" s="47"/>
      <c r="J1905" s="23">
        <v>0</v>
      </c>
      <c r="K1905" s="25">
        <v>0</v>
      </c>
      <c r="L1905" s="24">
        <v>0</v>
      </c>
      <c r="M1905" s="24">
        <f>J1905-L1905</f>
        <v>0</v>
      </c>
      <c r="N1905" s="53" t="str">
        <f>IF(J1905&lt;&gt;0,M1905/J1905,"")</f>
        <v/>
      </c>
      <c r="O1905" s="23">
        <v>140.69</v>
      </c>
      <c r="P1905" s="25">
        <v>145</v>
      </c>
      <c r="Q1905" s="24">
        <v>89.92</v>
      </c>
      <c r="R1905" s="24">
        <f>O1905-Q1905</f>
        <v>50.769999999999996</v>
      </c>
      <c r="S1905" s="53">
        <f>IF(O1905&lt;&gt;0,R1905/O1905,"")</f>
        <v>0.36086431160707938</v>
      </c>
      <c r="T1905" s="10"/>
      <c r="U1905" s="23">
        <v>139.73000000000002</v>
      </c>
      <c r="V1905" s="25">
        <v>144</v>
      </c>
      <c r="W1905" s="24">
        <v>89.3</v>
      </c>
      <c r="X1905" s="24">
        <f>U1905-W1905</f>
        <v>50.430000000000021</v>
      </c>
      <c r="Y1905" s="53">
        <f>IF(U1905&lt;&gt;0,X1905/U1905,"")</f>
        <v>0.36091032705932879</v>
      </c>
      <c r="Z1905" s="23">
        <v>138.31</v>
      </c>
      <c r="AA1905" s="25">
        <v>144</v>
      </c>
      <c r="AB1905" s="24">
        <v>89.3</v>
      </c>
      <c r="AC1905" s="24">
        <f t="shared" si="548"/>
        <v>49.010000000000005</v>
      </c>
      <c r="AD1905" s="53">
        <f t="shared" si="549"/>
        <v>0.35434892632492232</v>
      </c>
      <c r="AE1905" s="10"/>
    </row>
    <row r="1906" spans="1:31" x14ac:dyDescent="0.25">
      <c r="A1906" s="14" t="s">
        <v>109</v>
      </c>
      <c r="C1906" s="61" t="str">
        <f t="shared" si="547"/>
        <v>C100107</v>
      </c>
      <c r="F1906" s="8" t="str">
        <f>"E100046"</f>
        <v>E100046</v>
      </c>
      <c r="G1906" s="9" t="str">
        <f>"Milk Bottle"</f>
        <v>Milk Bottle</v>
      </c>
      <c r="H1906" s="47"/>
      <c r="I1906" s="47"/>
      <c r="J1906" s="23">
        <v>251.82</v>
      </c>
      <c r="K1906" s="25">
        <v>144</v>
      </c>
      <c r="L1906" s="24">
        <v>149.67000000000002</v>
      </c>
      <c r="M1906" s="24">
        <f>J1906-L1906</f>
        <v>102.14999999999998</v>
      </c>
      <c r="N1906" s="53">
        <f>IF(J1906&lt;&gt;0,M1906/J1906,"")</f>
        <v>0.4056468906361686</v>
      </c>
      <c r="O1906" s="23">
        <v>257.19</v>
      </c>
      <c r="P1906" s="25">
        <v>144</v>
      </c>
      <c r="Q1906" s="24">
        <v>149.67000000000002</v>
      </c>
      <c r="R1906" s="24">
        <f>O1906-Q1906</f>
        <v>107.51999999999998</v>
      </c>
      <c r="S1906" s="53">
        <f>IF(O1906&lt;&gt;0,R1906/O1906,"")</f>
        <v>0.41805668960690534</v>
      </c>
      <c r="T1906" s="10"/>
      <c r="U1906" s="23">
        <v>498.3</v>
      </c>
      <c r="V1906" s="25">
        <v>288</v>
      </c>
      <c r="W1906" s="24">
        <v>299.33</v>
      </c>
      <c r="X1906" s="24">
        <f>U1906-W1906</f>
        <v>198.97000000000003</v>
      </c>
      <c r="Y1906" s="53">
        <f>IF(U1906&lt;&gt;0,X1906/U1906,"")</f>
        <v>0.39929761188039337</v>
      </c>
      <c r="Z1906" s="23">
        <v>259.87</v>
      </c>
      <c r="AA1906" s="25">
        <v>144</v>
      </c>
      <c r="AB1906" s="24">
        <v>149.67000000000002</v>
      </c>
      <c r="AC1906" s="24">
        <f t="shared" si="548"/>
        <v>110.19999999999999</v>
      </c>
      <c r="AD1906" s="53">
        <f t="shared" si="549"/>
        <v>0.4240581829376226</v>
      </c>
      <c r="AE1906" s="10"/>
    </row>
    <row r="1907" spans="1:31" x14ac:dyDescent="0.25">
      <c r="A1907" s="14" t="s">
        <v>109</v>
      </c>
      <c r="C1907" s="61" t="str">
        <f t="shared" si="547"/>
        <v>C100107</v>
      </c>
      <c r="F1907" s="8" t="str">
        <f>"E100047"</f>
        <v>E100047</v>
      </c>
      <c r="G1907" s="9" t="str">
        <f>"Chardonnay Glass"</f>
        <v>Chardonnay Glass</v>
      </c>
      <c r="H1907" s="47"/>
      <c r="I1907" s="47"/>
      <c r="J1907" s="23">
        <v>248.91</v>
      </c>
      <c r="K1907" s="25">
        <v>144</v>
      </c>
      <c r="L1907" s="24">
        <v>151.19999999999999</v>
      </c>
      <c r="M1907" s="24">
        <f>J1907-L1907</f>
        <v>97.710000000000008</v>
      </c>
      <c r="N1907" s="53">
        <f>IF(J1907&lt;&gt;0,M1907/J1907,"")</f>
        <v>0.39255152464746296</v>
      </c>
      <c r="O1907" s="23">
        <v>41.48</v>
      </c>
      <c r="P1907" s="25">
        <v>24</v>
      </c>
      <c r="Q1907" s="24">
        <v>25.2</v>
      </c>
      <c r="R1907" s="24">
        <f>O1907-Q1907</f>
        <v>16.279999999999998</v>
      </c>
      <c r="S1907" s="53">
        <f>IF(O1907&lt;&gt;0,R1907/O1907,"")</f>
        <v>0.3924783027965284</v>
      </c>
      <c r="T1907" s="10"/>
      <c r="U1907" s="23">
        <v>0</v>
      </c>
      <c r="V1907" s="25">
        <v>0</v>
      </c>
      <c r="W1907" s="24">
        <v>0</v>
      </c>
      <c r="X1907" s="24">
        <f>U1907-W1907</f>
        <v>0</v>
      </c>
      <c r="Y1907" s="53" t="str">
        <f>IF(U1907&lt;&gt;0,X1907/U1907,"")</f>
        <v/>
      </c>
      <c r="Z1907" s="23">
        <v>0</v>
      </c>
      <c r="AA1907" s="25">
        <v>0</v>
      </c>
      <c r="AB1907" s="24">
        <v>0</v>
      </c>
      <c r="AC1907" s="24">
        <f t="shared" si="548"/>
        <v>0</v>
      </c>
      <c r="AD1907" s="53" t="str">
        <f t="shared" si="549"/>
        <v/>
      </c>
      <c r="AE1907" s="10"/>
    </row>
    <row r="1908" spans="1:31" x14ac:dyDescent="0.25">
      <c r="A1908" s="14" t="s">
        <v>109</v>
      </c>
      <c r="C1908" s="61" t="str">
        <f t="shared" si="547"/>
        <v>C100107</v>
      </c>
      <c r="F1908" s="8" t="str">
        <f>"S100003"</f>
        <v>S100003</v>
      </c>
      <c r="G1908" s="9" t="str">
        <f>"Soccer #1 Pin"</f>
        <v>Soccer #1 Pin</v>
      </c>
      <c r="H1908" s="47"/>
      <c r="I1908" s="47"/>
      <c r="J1908" s="23">
        <v>0</v>
      </c>
      <c r="K1908" s="25">
        <v>0</v>
      </c>
      <c r="L1908" s="24">
        <v>0</v>
      </c>
      <c r="M1908" s="24">
        <f>J1908-L1908</f>
        <v>0</v>
      </c>
      <c r="N1908" s="53" t="str">
        <f>IF(J1908&lt;&gt;0,M1908/J1908,"")</f>
        <v/>
      </c>
      <c r="O1908" s="23">
        <v>282.19</v>
      </c>
      <c r="P1908" s="25">
        <v>192</v>
      </c>
      <c r="Q1908" s="24">
        <v>172.8</v>
      </c>
      <c r="R1908" s="24">
        <f>O1908-Q1908</f>
        <v>109.38999999999999</v>
      </c>
      <c r="S1908" s="53">
        <f>IF(O1908&lt;&gt;0,R1908/O1908,"")</f>
        <v>0.38764662107090964</v>
      </c>
      <c r="T1908" s="10"/>
      <c r="U1908" s="23">
        <v>0</v>
      </c>
      <c r="V1908" s="25">
        <v>0</v>
      </c>
      <c r="W1908" s="24">
        <v>0</v>
      </c>
      <c r="X1908" s="24">
        <f>U1908-W1908</f>
        <v>0</v>
      </c>
      <c r="Y1908" s="53" t="str">
        <f>IF(U1908&lt;&gt;0,X1908/U1908,"")</f>
        <v/>
      </c>
      <c r="Z1908" s="23">
        <v>418.99</v>
      </c>
      <c r="AA1908" s="25">
        <v>288</v>
      </c>
      <c r="AB1908" s="24">
        <v>259.2</v>
      </c>
      <c r="AC1908" s="24">
        <f t="shared" si="548"/>
        <v>159.79000000000002</v>
      </c>
      <c r="AD1908" s="53">
        <f t="shared" si="549"/>
        <v>0.38136948375856228</v>
      </c>
      <c r="AE1908" s="10"/>
    </row>
    <row r="1909" spans="1:31" x14ac:dyDescent="0.25">
      <c r="A1909" s="14" t="s">
        <v>109</v>
      </c>
      <c r="C1909" s="61" t="str">
        <f t="shared" si="547"/>
        <v>C100107</v>
      </c>
      <c r="F1909" s="8" t="str">
        <f>"S100011"</f>
        <v>S100011</v>
      </c>
      <c r="G1909" s="9" t="str">
        <f>"All Star Cap"</f>
        <v>All Star Cap</v>
      </c>
      <c r="H1909" s="47"/>
      <c r="I1909" s="47"/>
      <c r="J1909" s="23">
        <v>16.71</v>
      </c>
      <c r="K1909" s="25">
        <v>12</v>
      </c>
      <c r="L1909" s="24">
        <v>10.199999999999999</v>
      </c>
      <c r="M1909" s="24">
        <f>J1909-L1909</f>
        <v>6.5100000000000016</v>
      </c>
      <c r="N1909" s="53">
        <f>IF(J1909&lt;&gt;0,M1909/J1909,"")</f>
        <v>0.38958707360861766</v>
      </c>
      <c r="O1909" s="23">
        <v>204.7</v>
      </c>
      <c r="P1909" s="25">
        <v>144</v>
      </c>
      <c r="Q1909" s="24">
        <v>122.41</v>
      </c>
      <c r="R1909" s="24">
        <f>O1909-Q1909</f>
        <v>82.289999999999992</v>
      </c>
      <c r="S1909" s="53">
        <f>IF(O1909&lt;&gt;0,R1909/O1909,"")</f>
        <v>0.40200293111871027</v>
      </c>
      <c r="T1909" s="10"/>
      <c r="U1909" s="23">
        <v>194.25000000000003</v>
      </c>
      <c r="V1909" s="25">
        <v>144</v>
      </c>
      <c r="W1909" s="24">
        <v>122.41</v>
      </c>
      <c r="X1909" s="24">
        <f>U1909-W1909</f>
        <v>71.840000000000032</v>
      </c>
      <c r="Y1909" s="53">
        <f>IF(U1909&lt;&gt;0,X1909/U1909,"")</f>
        <v>0.36983268983268996</v>
      </c>
      <c r="Z1909" s="23">
        <v>0</v>
      </c>
      <c r="AA1909" s="25">
        <v>0</v>
      </c>
      <c r="AB1909" s="24">
        <v>0</v>
      </c>
      <c r="AC1909" s="24">
        <f t="shared" si="548"/>
        <v>0</v>
      </c>
      <c r="AD1909" s="53" t="str">
        <f t="shared" si="549"/>
        <v/>
      </c>
      <c r="AE1909" s="10"/>
    </row>
    <row r="1910" spans="1:31" x14ac:dyDescent="0.25">
      <c r="A1910" s="14" t="s">
        <v>109</v>
      </c>
      <c r="C1910" s="61" t="str">
        <f t="shared" si="547"/>
        <v>C100107</v>
      </c>
      <c r="F1910" s="8" t="str">
        <f>"S100016"</f>
        <v>S100016</v>
      </c>
      <c r="G1910" s="9" t="str">
        <f>"Mesh Bucket Hat"</f>
        <v>Mesh Bucket Hat</v>
      </c>
      <c r="H1910" s="47"/>
      <c r="I1910" s="47"/>
      <c r="J1910" s="23">
        <v>224.69</v>
      </c>
      <c r="K1910" s="25">
        <v>48</v>
      </c>
      <c r="L1910" s="24">
        <v>132</v>
      </c>
      <c r="M1910" s="24">
        <f>J1910-L1910</f>
        <v>92.69</v>
      </c>
      <c r="N1910" s="53">
        <f>IF(J1910&lt;&gt;0,M1910/J1910,"")</f>
        <v>0.41252392184787928</v>
      </c>
      <c r="O1910" s="23">
        <v>0</v>
      </c>
      <c r="P1910" s="25">
        <v>0</v>
      </c>
      <c r="Q1910" s="24">
        <v>0</v>
      </c>
      <c r="R1910" s="24">
        <f>O1910-Q1910</f>
        <v>0</v>
      </c>
      <c r="S1910" s="53" t="str">
        <f>IF(O1910&lt;&gt;0,R1910/O1910,"")</f>
        <v/>
      </c>
      <c r="T1910" s="10"/>
      <c r="U1910" s="23">
        <v>0</v>
      </c>
      <c r="V1910" s="25">
        <v>0</v>
      </c>
      <c r="W1910" s="24">
        <v>0</v>
      </c>
      <c r="X1910" s="24">
        <f>U1910-W1910</f>
        <v>0</v>
      </c>
      <c r="Y1910" s="53" t="str">
        <f>IF(U1910&lt;&gt;0,X1910/U1910,"")</f>
        <v/>
      </c>
      <c r="Z1910" s="23">
        <v>695.58</v>
      </c>
      <c r="AA1910" s="25">
        <v>144</v>
      </c>
      <c r="AB1910" s="24">
        <v>396.01</v>
      </c>
      <c r="AC1910" s="24">
        <f t="shared" si="548"/>
        <v>299.57000000000005</v>
      </c>
      <c r="AD1910" s="53">
        <f t="shared" si="549"/>
        <v>0.43067655769286067</v>
      </c>
      <c r="AE1910" s="10"/>
    </row>
    <row r="1911" spans="1:31" x14ac:dyDescent="0.25">
      <c r="A1911" s="14" t="s">
        <v>109</v>
      </c>
      <c r="C1911" s="61" t="str">
        <f t="shared" si="547"/>
        <v>C100107</v>
      </c>
      <c r="F1911" s="8" t="str">
        <f>"S100020"</f>
        <v>S100020</v>
      </c>
      <c r="G1911" s="9" t="str">
        <f>"Super Sport Stopwatch"</f>
        <v>Super Sport Stopwatch</v>
      </c>
      <c r="H1911" s="47"/>
      <c r="I1911" s="47"/>
      <c r="J1911" s="23">
        <v>399.68</v>
      </c>
      <c r="K1911" s="25">
        <v>192</v>
      </c>
      <c r="L1911" s="24">
        <v>201.6</v>
      </c>
      <c r="M1911" s="24">
        <f>J1911-L1911</f>
        <v>198.08</v>
      </c>
      <c r="N1911" s="53">
        <f>IF(J1911&lt;&gt;0,M1911/J1911,"")</f>
        <v>0.49559647718174543</v>
      </c>
      <c r="O1911" s="23">
        <v>0</v>
      </c>
      <c r="P1911" s="25">
        <v>0</v>
      </c>
      <c r="Q1911" s="24">
        <v>0</v>
      </c>
      <c r="R1911" s="24">
        <f>O1911-Q1911</f>
        <v>0</v>
      </c>
      <c r="S1911" s="53" t="str">
        <f>IF(O1911&lt;&gt;0,R1911/O1911,"")</f>
        <v/>
      </c>
      <c r="T1911" s="10"/>
      <c r="U1911" s="23">
        <v>0</v>
      </c>
      <c r="V1911" s="25">
        <v>0</v>
      </c>
      <c r="W1911" s="24">
        <v>0</v>
      </c>
      <c r="X1911" s="24">
        <f>U1911-W1911</f>
        <v>0</v>
      </c>
      <c r="Y1911" s="53" t="str">
        <f>IF(U1911&lt;&gt;0,X1911/U1911,"")</f>
        <v/>
      </c>
      <c r="Z1911" s="23">
        <v>304.46999999999997</v>
      </c>
      <c r="AA1911" s="25">
        <v>144</v>
      </c>
      <c r="AB1911" s="24">
        <v>151.19999999999999</v>
      </c>
      <c r="AC1911" s="24">
        <f t="shared" si="548"/>
        <v>153.26999999999998</v>
      </c>
      <c r="AD1911" s="53">
        <f t="shared" si="549"/>
        <v>0.50339934968962463</v>
      </c>
      <c r="AE1911" s="10"/>
    </row>
    <row r="1912" spans="1:31" x14ac:dyDescent="0.25">
      <c r="A1912" s="14" t="s">
        <v>109</v>
      </c>
      <c r="C1912" s="61" t="str">
        <f t="shared" si="547"/>
        <v>C100107</v>
      </c>
      <c r="F1912" s="8" t="str">
        <f>"S100021"</f>
        <v>S100021</v>
      </c>
      <c r="G1912" s="9" t="str">
        <f>"Translucent Stopwatch"</f>
        <v>Translucent Stopwatch</v>
      </c>
      <c r="H1912" s="47"/>
      <c r="I1912" s="47"/>
      <c r="J1912" s="23">
        <v>0</v>
      </c>
      <c r="K1912" s="25">
        <v>0</v>
      </c>
      <c r="L1912" s="24">
        <v>0</v>
      </c>
      <c r="M1912" s="24">
        <f>J1912-L1912</f>
        <v>0</v>
      </c>
      <c r="N1912" s="53" t="str">
        <f>IF(J1912&lt;&gt;0,M1912/J1912,"")</f>
        <v/>
      </c>
      <c r="O1912" s="23">
        <v>97.58</v>
      </c>
      <c r="P1912" s="25">
        <v>24</v>
      </c>
      <c r="Q1912" s="24">
        <v>51.6</v>
      </c>
      <c r="R1912" s="24">
        <f>O1912-Q1912</f>
        <v>45.98</v>
      </c>
      <c r="S1912" s="53">
        <f>IF(O1912&lt;&gt;0,R1912/O1912,"")</f>
        <v>0.47120311539249843</v>
      </c>
      <c r="T1912" s="10"/>
      <c r="U1912" s="23">
        <v>1141.26</v>
      </c>
      <c r="V1912" s="25">
        <v>288</v>
      </c>
      <c r="W1912" s="24">
        <v>619.17999999999995</v>
      </c>
      <c r="X1912" s="24">
        <f>U1912-W1912</f>
        <v>522.08000000000004</v>
      </c>
      <c r="Y1912" s="53">
        <f>IF(U1912&lt;&gt;0,X1912/U1912,"")</f>
        <v>0.45745929937087082</v>
      </c>
      <c r="Z1912" s="23">
        <v>579.58999999999992</v>
      </c>
      <c r="AA1912" s="25">
        <v>144</v>
      </c>
      <c r="AB1912" s="24">
        <v>309.58999999999997</v>
      </c>
      <c r="AC1912" s="24">
        <f t="shared" si="548"/>
        <v>269.99999999999994</v>
      </c>
      <c r="AD1912" s="53">
        <f t="shared" si="549"/>
        <v>0.46584654669680287</v>
      </c>
      <c r="AE1912" s="10"/>
    </row>
    <row r="1913" spans="1:31" x14ac:dyDescent="0.25">
      <c r="A1913" s="14" t="s">
        <v>109</v>
      </c>
      <c r="C1913" s="61" t="str">
        <f t="shared" si="547"/>
        <v>C100107</v>
      </c>
      <c r="F1913" s="8" t="str">
        <f>"S100023"</f>
        <v>S100023</v>
      </c>
      <c r="G1913" s="9" t="str">
        <f>"Gripper SPORT BOT"</f>
        <v>Gripper SPORT BOT</v>
      </c>
      <c r="H1913" s="47"/>
      <c r="I1913" s="47"/>
      <c r="J1913" s="23">
        <v>0</v>
      </c>
      <c r="K1913" s="25">
        <v>0</v>
      </c>
      <c r="L1913" s="24">
        <v>0</v>
      </c>
      <c r="M1913" s="24">
        <f>J1913-L1913</f>
        <v>0</v>
      </c>
      <c r="N1913" s="53" t="str">
        <f>IF(J1913&lt;&gt;0,M1913/J1913,"")</f>
        <v/>
      </c>
      <c r="O1913" s="23">
        <v>275.04000000000002</v>
      </c>
      <c r="P1913" s="25">
        <v>144</v>
      </c>
      <c r="Q1913" s="24">
        <v>142.57999999999998</v>
      </c>
      <c r="R1913" s="24">
        <f>O1913-Q1913</f>
        <v>132.46000000000004</v>
      </c>
      <c r="S1913" s="53">
        <f>IF(O1913&lt;&gt;0,R1913/O1913,"")</f>
        <v>0.48160267597440382</v>
      </c>
      <c r="T1913" s="10"/>
      <c r="U1913" s="23">
        <v>0</v>
      </c>
      <c r="V1913" s="25">
        <v>0</v>
      </c>
      <c r="W1913" s="24">
        <v>0</v>
      </c>
      <c r="X1913" s="24">
        <f>U1913-W1913</f>
        <v>0</v>
      </c>
      <c r="Y1913" s="53" t="str">
        <f>IF(U1913&lt;&gt;0,X1913/U1913,"")</f>
        <v/>
      </c>
      <c r="Z1913" s="23">
        <v>0</v>
      </c>
      <c r="AA1913" s="25">
        <v>0</v>
      </c>
      <c r="AB1913" s="24">
        <v>0</v>
      </c>
      <c r="AC1913" s="24">
        <f t="shared" si="548"/>
        <v>0</v>
      </c>
      <c r="AD1913" s="53" t="str">
        <f t="shared" si="549"/>
        <v/>
      </c>
      <c r="AE1913" s="10"/>
    </row>
    <row r="1914" spans="1:31" x14ac:dyDescent="0.25">
      <c r="A1914" s="14" t="s">
        <v>109</v>
      </c>
      <c r="C1914" s="61" t="str">
        <f t="shared" si="547"/>
        <v>C100107</v>
      </c>
      <c r="F1914" s="8" t="str">
        <f>"S100025"</f>
        <v>S100025</v>
      </c>
      <c r="G1914" s="9" t="str">
        <f>"SPORT BOT with Pop Lid"</f>
        <v>SPORT BOT with Pop Lid</v>
      </c>
      <c r="H1914" s="47"/>
      <c r="I1914" s="47"/>
      <c r="J1914" s="23">
        <v>76.680000000000007</v>
      </c>
      <c r="K1914" s="25">
        <v>48</v>
      </c>
      <c r="L1914" s="24">
        <v>46.06</v>
      </c>
      <c r="M1914" s="24">
        <f>J1914-L1914</f>
        <v>30.620000000000005</v>
      </c>
      <c r="N1914" s="53">
        <f>IF(J1914&lt;&gt;0,M1914/J1914,"")</f>
        <v>0.39932185706833595</v>
      </c>
      <c r="O1914" s="23">
        <v>0</v>
      </c>
      <c r="P1914" s="25">
        <v>0</v>
      </c>
      <c r="Q1914" s="24">
        <v>0</v>
      </c>
      <c r="R1914" s="24">
        <f>O1914-Q1914</f>
        <v>0</v>
      </c>
      <c r="S1914" s="53" t="str">
        <f>IF(O1914&lt;&gt;0,R1914/O1914,"")</f>
        <v/>
      </c>
      <c r="T1914" s="10"/>
      <c r="U1914" s="23">
        <v>0</v>
      </c>
      <c r="V1914" s="25">
        <v>0</v>
      </c>
      <c r="W1914" s="24">
        <v>0</v>
      </c>
      <c r="X1914" s="24">
        <f>U1914-W1914</f>
        <v>0</v>
      </c>
      <c r="Y1914" s="53" t="str">
        <f>IF(U1914&lt;&gt;0,X1914/U1914,"")</f>
        <v/>
      </c>
      <c r="Z1914" s="23">
        <v>0</v>
      </c>
      <c r="AA1914" s="25">
        <v>0</v>
      </c>
      <c r="AB1914" s="24">
        <v>0</v>
      </c>
      <c r="AC1914" s="24">
        <f t="shared" si="548"/>
        <v>0</v>
      </c>
      <c r="AD1914" s="53" t="str">
        <f t="shared" si="549"/>
        <v/>
      </c>
      <c r="AE1914" s="10"/>
    </row>
    <row r="1915" spans="1:31" x14ac:dyDescent="0.25">
      <c r="A1915" s="14" t="s">
        <v>109</v>
      </c>
      <c r="C1915" s="61" t="str">
        <f t="shared" si="547"/>
        <v>C100107</v>
      </c>
      <c r="F1915" s="8" t="str">
        <f>"S100026"</f>
        <v>S100026</v>
      </c>
      <c r="G1915" s="9" t="str">
        <f>"Wide SPORT BOT"</f>
        <v>Wide SPORT BOT</v>
      </c>
      <c r="H1915" s="47"/>
      <c r="I1915" s="47"/>
      <c r="J1915" s="23">
        <v>1115.71</v>
      </c>
      <c r="K1915" s="25">
        <v>287</v>
      </c>
      <c r="L1915" s="24">
        <v>545.41</v>
      </c>
      <c r="M1915" s="24">
        <f>J1915-L1915</f>
        <v>570.30000000000007</v>
      </c>
      <c r="N1915" s="53">
        <f>IF(J1915&lt;&gt;0,M1915/J1915,"")</f>
        <v>0.51115433221894579</v>
      </c>
      <c r="O1915" s="23">
        <v>563.71</v>
      </c>
      <c r="P1915" s="25">
        <v>145</v>
      </c>
      <c r="Q1915" s="24">
        <v>275.56</v>
      </c>
      <c r="R1915" s="24">
        <f>O1915-Q1915</f>
        <v>288.15000000000003</v>
      </c>
      <c r="S1915" s="53">
        <f>IF(O1915&lt;&gt;0,R1915/O1915,"")</f>
        <v>0.51116708946089306</v>
      </c>
      <c r="T1915" s="10"/>
      <c r="U1915" s="23">
        <v>0</v>
      </c>
      <c r="V1915" s="25">
        <v>0</v>
      </c>
      <c r="W1915" s="24">
        <v>0</v>
      </c>
      <c r="X1915" s="24">
        <f>U1915-W1915</f>
        <v>0</v>
      </c>
      <c r="Y1915" s="53" t="str">
        <f>IF(U1915&lt;&gt;0,X1915/U1915,"")</f>
        <v/>
      </c>
      <c r="Z1915" s="23">
        <v>0</v>
      </c>
      <c r="AA1915" s="25">
        <v>0</v>
      </c>
      <c r="AB1915" s="24">
        <v>0</v>
      </c>
      <c r="AC1915" s="24">
        <f t="shared" si="548"/>
        <v>0</v>
      </c>
      <c r="AD1915" s="53" t="str">
        <f t="shared" si="549"/>
        <v/>
      </c>
      <c r="AE1915" s="10"/>
    </row>
    <row r="1916" spans="1:31" ht="15.75" thickBot="1" x14ac:dyDescent="0.3">
      <c r="A1916" s="14" t="s">
        <v>109</v>
      </c>
      <c r="C1916" s="61" t="str">
        <f>C1855</f>
        <v>C100107</v>
      </c>
      <c r="J1916" s="10"/>
      <c r="K1916" s="11"/>
      <c r="L1916" s="11"/>
      <c r="M1916" s="11"/>
      <c r="N1916" s="12"/>
      <c r="O1916" s="10"/>
      <c r="P1916" s="11"/>
      <c r="Q1916" s="11"/>
      <c r="R1916" s="11"/>
      <c r="S1916" s="12"/>
      <c r="U1916" s="10"/>
      <c r="V1916" s="11"/>
      <c r="W1916" s="11"/>
      <c r="X1916" s="11"/>
      <c r="Y1916" s="12"/>
      <c r="Z1916" s="10"/>
      <c r="AA1916" s="11"/>
      <c r="AB1916" s="11"/>
      <c r="AC1916" s="11"/>
      <c r="AD1916" s="12"/>
    </row>
    <row r="1917" spans="1:31" ht="15.75" thickBot="1" x14ac:dyDescent="0.3">
      <c r="A1917" s="14" t="s">
        <v>109</v>
      </c>
      <c r="C1917" s="61" t="str">
        <f t="shared" si="544"/>
        <v>C100107</v>
      </c>
      <c r="G1917" s="48" t="str">
        <f>C1917&amp;" TOTAL:"</f>
        <v>C100107 TOTAL:</v>
      </c>
      <c r="H1917" s="50"/>
      <c r="I1917" s="50"/>
      <c r="J1917" s="34">
        <f>SUBTOTAL(9,J1854:J1916)</f>
        <v>14131.169999999998</v>
      </c>
      <c r="K1917" s="35">
        <f>SUBTOTAL(9,K1854:K1916)</f>
        <v>5864</v>
      </c>
      <c r="L1917" s="36">
        <f>SUBTOTAL(9,L1854:L1916)</f>
        <v>8036.16</v>
      </c>
      <c r="M1917" s="36">
        <f>J1917-L1917</f>
        <v>6095.0099999999984</v>
      </c>
      <c r="N1917" s="37">
        <f>IF(J1917&lt;&gt;0,M1917/J1917,"")</f>
        <v>0.43131672748965577</v>
      </c>
      <c r="O1917" s="34">
        <f>SUBTOTAL(9,O1854:O1916)</f>
        <v>14367.580000000005</v>
      </c>
      <c r="P1917" s="35">
        <f>SUBTOTAL(9,P1854:P1916)</f>
        <v>5916</v>
      </c>
      <c r="Q1917" s="36">
        <f>SUBTOTAL(9,Q1854:Q1916)</f>
        <v>7996.39</v>
      </c>
      <c r="R1917" s="36">
        <f>O1917-Q1917</f>
        <v>6371.1900000000051</v>
      </c>
      <c r="S1917" s="37">
        <f>IF(O1917&lt;&gt;0,R1917/O1917,"")</f>
        <v>0.44344211064076222</v>
      </c>
      <c r="U1917" s="34">
        <f>SUBTOTAL(9,U1854:U1916)</f>
        <v>12250.34</v>
      </c>
      <c r="V1917" s="35">
        <f>SUBTOTAL(9,V1854:V1916)</f>
        <v>4792</v>
      </c>
      <c r="W1917" s="36">
        <f>SUBTOTAL(9,W1854:W1916)</f>
        <v>6791.08</v>
      </c>
      <c r="X1917" s="36">
        <f>U1917-W1917</f>
        <v>5459.26</v>
      </c>
      <c r="Y1917" s="37">
        <f>IF(U1917&lt;&gt;0,X1917/U1917,"")</f>
        <v>0.44564150872547215</v>
      </c>
      <c r="Z1917" s="34">
        <f>SUBTOTAL(9,Z1854:Z1916)</f>
        <v>6839.02</v>
      </c>
      <c r="AA1917" s="35">
        <f>SUBTOTAL(9,AA1854:AA1916)</f>
        <v>2666</v>
      </c>
      <c r="AB1917" s="36">
        <f>SUBTOTAL(9,AB1854:AB1916)</f>
        <v>3707.1900000000005</v>
      </c>
      <c r="AC1917" s="36">
        <f t="shared" ref="AC1917" si="550">Z1917-AB1917</f>
        <v>3131.83</v>
      </c>
      <c r="AD1917" s="37">
        <f t="shared" ref="AD1917" si="551">IF(Z1917&lt;&gt;0,AC1917/Z1917,"")</f>
        <v>0.45793549368184328</v>
      </c>
    </row>
    <row r="1918" spans="1:31" x14ac:dyDescent="0.25">
      <c r="A1918" s="14" t="s">
        <v>109</v>
      </c>
      <c r="C1918" s="66"/>
      <c r="J1918" s="10"/>
      <c r="K1918" s="11"/>
      <c r="L1918" s="11"/>
      <c r="M1918" s="11"/>
      <c r="N1918" s="12"/>
      <c r="O1918" s="10"/>
      <c r="P1918" s="11"/>
      <c r="Q1918" s="11"/>
      <c r="R1918" s="11"/>
      <c r="S1918" s="12"/>
      <c r="U1918" s="10"/>
      <c r="V1918" s="11"/>
      <c r="W1918" s="11"/>
      <c r="X1918" s="11"/>
      <c r="Y1918" s="12"/>
      <c r="Z1918" s="10"/>
      <c r="AA1918" s="11"/>
      <c r="AB1918" s="11"/>
      <c r="AC1918" s="11"/>
      <c r="AD1918" s="12"/>
    </row>
    <row r="1919" spans="1:31" ht="15.75" x14ac:dyDescent="0.25">
      <c r="A1919" s="14" t="s">
        <v>109</v>
      </c>
      <c r="C1919" s="66" t="str">
        <f t="shared" ref="C1919" si="552">E1919</f>
        <v>C100108</v>
      </c>
      <c r="E1919" s="13" t="str">
        <f>"C100108"</f>
        <v>C100108</v>
      </c>
      <c r="F1919" s="13"/>
      <c r="G1919" s="13" t="str">
        <f>"Kinfix Industries"</f>
        <v>Kinfix Industries</v>
      </c>
      <c r="H1919" s="13"/>
      <c r="I1919" s="13"/>
      <c r="J1919" s="10"/>
      <c r="K1919" s="11"/>
      <c r="L1919" s="11"/>
      <c r="M1919" s="11"/>
      <c r="N1919" s="12"/>
      <c r="O1919" s="10"/>
      <c r="P1919" s="11"/>
      <c r="Q1919" s="11"/>
      <c r="R1919" s="11"/>
      <c r="S1919" s="12"/>
      <c r="U1919" s="10"/>
      <c r="V1919" s="11"/>
      <c r="W1919" s="11"/>
      <c r="X1919" s="11"/>
      <c r="Y1919" s="12"/>
      <c r="Z1919" s="10"/>
      <c r="AA1919" s="11"/>
      <c r="AB1919" s="11"/>
      <c r="AC1919" s="11"/>
      <c r="AD1919" s="12"/>
    </row>
    <row r="1920" spans="1:31" ht="6.6" customHeight="1" x14ac:dyDescent="0.25">
      <c r="A1920" s="14" t="s">
        <v>109</v>
      </c>
      <c r="C1920" s="61" t="str">
        <f t="shared" ref="C1920:C1953" si="553">C1919</f>
        <v>C100108</v>
      </c>
      <c r="J1920" s="10"/>
      <c r="K1920" s="11"/>
      <c r="L1920" s="11"/>
      <c r="M1920" s="11"/>
      <c r="N1920" s="12"/>
      <c r="O1920" s="10"/>
      <c r="P1920" s="11"/>
      <c r="Q1920" s="11"/>
      <c r="R1920" s="11"/>
      <c r="S1920" s="12"/>
      <c r="U1920" s="10"/>
      <c r="V1920" s="11"/>
      <c r="W1920" s="11"/>
      <c r="X1920" s="11"/>
      <c r="Y1920" s="12"/>
      <c r="Z1920" s="10"/>
      <c r="AA1920" s="11"/>
      <c r="AB1920" s="11"/>
      <c r="AC1920" s="11"/>
      <c r="AD1920" s="12"/>
    </row>
    <row r="1921" spans="1:31" x14ac:dyDescent="0.25">
      <c r="A1921" s="14" t="s">
        <v>109</v>
      </c>
      <c r="C1921" s="61" t="str">
        <f t="shared" si="553"/>
        <v>C100108</v>
      </c>
      <c r="F1921" s="8" t="str">
        <f>"C100023"</f>
        <v>C100023</v>
      </c>
      <c r="G1921" s="9" t="str">
        <f>"Two-Toned Knit Hat"</f>
        <v>Two-Toned Knit Hat</v>
      </c>
      <c r="H1921" s="47"/>
      <c r="I1921" s="47"/>
      <c r="J1921" s="23">
        <v>0</v>
      </c>
      <c r="K1921" s="25">
        <v>0</v>
      </c>
      <c r="L1921" s="24">
        <v>0</v>
      </c>
      <c r="M1921" s="24">
        <f>J1921-L1921</f>
        <v>0</v>
      </c>
      <c r="N1921" s="53" t="str">
        <f>IF(J1921&lt;&gt;0,M1921/J1921,"")</f>
        <v/>
      </c>
      <c r="O1921" s="23">
        <v>378.2</v>
      </c>
      <c r="P1921" s="25">
        <v>144</v>
      </c>
      <c r="Q1921" s="24">
        <v>181.43</v>
      </c>
      <c r="R1921" s="24">
        <f>O1921-Q1921</f>
        <v>196.76999999999998</v>
      </c>
      <c r="S1921" s="53">
        <f>IF(O1921&lt;&gt;0,R1921/O1921,"")</f>
        <v>0.52028027498677942</v>
      </c>
      <c r="T1921" s="10"/>
      <c r="U1921" s="23">
        <v>0</v>
      </c>
      <c r="V1921" s="25">
        <v>0</v>
      </c>
      <c r="W1921" s="24">
        <v>0</v>
      </c>
      <c r="X1921" s="24">
        <f>U1921-W1921</f>
        <v>0</v>
      </c>
      <c r="Y1921" s="53" t="str">
        <f>IF(U1921&lt;&gt;0,X1921/U1921,"")</f>
        <v/>
      </c>
      <c r="Z1921" s="23">
        <v>0</v>
      </c>
      <c r="AA1921" s="25">
        <v>0</v>
      </c>
      <c r="AB1921" s="24">
        <v>0</v>
      </c>
      <c r="AC1921" s="24">
        <f t="shared" ref="AC1921" si="554">Z1921-AB1921</f>
        <v>0</v>
      </c>
      <c r="AD1921" s="53" t="str">
        <f t="shared" ref="AD1921" si="555">IF(Z1921&lt;&gt;0,AC1921/Z1921,"")</f>
        <v/>
      </c>
      <c r="AE1921" s="10"/>
    </row>
    <row r="1922" spans="1:31" x14ac:dyDescent="0.25">
      <c r="A1922" s="14" t="s">
        <v>109</v>
      </c>
      <c r="C1922" s="61" t="str">
        <f t="shared" ref="C1922:C1951" si="556">C1921</f>
        <v>C100108</v>
      </c>
      <c r="F1922" s="8" t="str">
        <f>"C100026"</f>
        <v>C100026</v>
      </c>
      <c r="G1922" s="9" t="str">
        <f>"Fleece Beanie"</f>
        <v>Fleece Beanie</v>
      </c>
      <c r="H1922" s="47"/>
      <c r="I1922" s="47"/>
      <c r="J1922" s="23">
        <v>440.29</v>
      </c>
      <c r="K1922" s="25">
        <v>144</v>
      </c>
      <c r="L1922" s="24">
        <v>287.99</v>
      </c>
      <c r="M1922" s="24">
        <f>J1922-L1922</f>
        <v>152.30000000000001</v>
      </c>
      <c r="N1922" s="53">
        <f>IF(J1922&lt;&gt;0,M1922/J1922,"")</f>
        <v>0.34590837856867068</v>
      </c>
      <c r="O1922" s="23">
        <v>0</v>
      </c>
      <c r="P1922" s="25">
        <v>0</v>
      </c>
      <c r="Q1922" s="24">
        <v>0</v>
      </c>
      <c r="R1922" s="24">
        <f>O1922-Q1922</f>
        <v>0</v>
      </c>
      <c r="S1922" s="53" t="str">
        <f>IF(O1922&lt;&gt;0,R1922/O1922,"")</f>
        <v/>
      </c>
      <c r="T1922" s="10"/>
      <c r="U1922" s="23">
        <v>440.29</v>
      </c>
      <c r="V1922" s="25">
        <v>144</v>
      </c>
      <c r="W1922" s="24">
        <v>287.99</v>
      </c>
      <c r="X1922" s="24">
        <f>U1922-W1922</f>
        <v>152.30000000000001</v>
      </c>
      <c r="Y1922" s="53">
        <f>IF(U1922&lt;&gt;0,X1922/U1922,"")</f>
        <v>0.34590837856867068</v>
      </c>
      <c r="Z1922" s="23">
        <v>443.35</v>
      </c>
      <c r="AA1922" s="25">
        <v>145</v>
      </c>
      <c r="AB1922" s="24">
        <v>289.99</v>
      </c>
      <c r="AC1922" s="24">
        <f t="shared" ref="AC1922:AC1951" si="557">Z1922-AB1922</f>
        <v>153.36000000000001</v>
      </c>
      <c r="AD1922" s="53">
        <f t="shared" ref="AD1922:AD1951" si="558">IF(Z1922&lt;&gt;0,AC1922/Z1922,"")</f>
        <v>0.34591180782677344</v>
      </c>
      <c r="AE1922" s="10"/>
    </row>
    <row r="1923" spans="1:31" x14ac:dyDescent="0.25">
      <c r="A1923" s="14" t="s">
        <v>109</v>
      </c>
      <c r="C1923" s="61" t="str">
        <f t="shared" si="556"/>
        <v>C100108</v>
      </c>
      <c r="F1923" s="8" t="str">
        <f>"C100028"</f>
        <v>C100028</v>
      </c>
      <c r="G1923" s="9" t="str">
        <f>"Twill Visor"</f>
        <v>Twill Visor</v>
      </c>
      <c r="H1923" s="47"/>
      <c r="I1923" s="47"/>
      <c r="J1923" s="23">
        <v>0</v>
      </c>
      <c r="K1923" s="25">
        <v>0</v>
      </c>
      <c r="L1923" s="24">
        <v>0</v>
      </c>
      <c r="M1923" s="24">
        <f>J1923-L1923</f>
        <v>0</v>
      </c>
      <c r="N1923" s="53" t="str">
        <f>IF(J1923&lt;&gt;0,M1923/J1923,"")</f>
        <v/>
      </c>
      <c r="O1923" s="23">
        <v>721.12</v>
      </c>
      <c r="P1923" s="25">
        <v>144</v>
      </c>
      <c r="Q1923" s="24">
        <v>345.61</v>
      </c>
      <c r="R1923" s="24">
        <f>O1923-Q1923</f>
        <v>375.51</v>
      </c>
      <c r="S1923" s="53">
        <f>IF(O1923&lt;&gt;0,R1923/O1923,"")</f>
        <v>0.52073163967162195</v>
      </c>
      <c r="T1923" s="10"/>
      <c r="U1923" s="23">
        <v>0</v>
      </c>
      <c r="V1923" s="25">
        <v>0</v>
      </c>
      <c r="W1923" s="24">
        <v>0</v>
      </c>
      <c r="X1923" s="24">
        <f>U1923-W1923</f>
        <v>0</v>
      </c>
      <c r="Y1923" s="53" t="str">
        <f>IF(U1923&lt;&gt;0,X1923/U1923,"")</f>
        <v/>
      </c>
      <c r="Z1923" s="23">
        <v>0</v>
      </c>
      <c r="AA1923" s="25">
        <v>0</v>
      </c>
      <c r="AB1923" s="24">
        <v>0</v>
      </c>
      <c r="AC1923" s="24">
        <f t="shared" si="557"/>
        <v>0</v>
      </c>
      <c r="AD1923" s="53" t="str">
        <f t="shared" si="558"/>
        <v/>
      </c>
      <c r="AE1923" s="10"/>
    </row>
    <row r="1924" spans="1:31" x14ac:dyDescent="0.25">
      <c r="A1924" s="14" t="s">
        <v>109</v>
      </c>
      <c r="C1924" s="61" t="str">
        <f t="shared" si="556"/>
        <v>C100108</v>
      </c>
      <c r="F1924" s="8" t="str">
        <f>"C100033"</f>
        <v>C100033</v>
      </c>
      <c r="G1924" s="9" t="str">
        <f>"Frames &amp; Clock"</f>
        <v>Frames &amp; Clock</v>
      </c>
      <c r="H1924" s="47"/>
      <c r="I1924" s="47"/>
      <c r="J1924" s="23">
        <v>683.02</v>
      </c>
      <c r="K1924" s="25">
        <v>144</v>
      </c>
      <c r="L1924" s="24">
        <v>414.7</v>
      </c>
      <c r="M1924" s="24">
        <f>J1924-L1924</f>
        <v>268.32</v>
      </c>
      <c r="N1924" s="53">
        <f>IF(J1924&lt;&gt;0,M1924/J1924,"")</f>
        <v>0.39284354777312525</v>
      </c>
      <c r="O1924" s="23">
        <v>0</v>
      </c>
      <c r="P1924" s="25">
        <v>0</v>
      </c>
      <c r="Q1924" s="24">
        <v>0</v>
      </c>
      <c r="R1924" s="24">
        <f>O1924-Q1924</f>
        <v>0</v>
      </c>
      <c r="S1924" s="53" t="str">
        <f>IF(O1924&lt;&gt;0,R1924/O1924,"")</f>
        <v/>
      </c>
      <c r="T1924" s="10"/>
      <c r="U1924" s="23">
        <v>683.02</v>
      </c>
      <c r="V1924" s="25">
        <v>144</v>
      </c>
      <c r="W1924" s="24">
        <v>414.7</v>
      </c>
      <c r="X1924" s="24">
        <f>U1924-W1924</f>
        <v>268.32</v>
      </c>
      <c r="Y1924" s="53">
        <f>IF(U1924&lt;&gt;0,X1924/U1924,"")</f>
        <v>0.39284354777312525</v>
      </c>
      <c r="Z1924" s="23">
        <v>683.02</v>
      </c>
      <c r="AA1924" s="25">
        <v>144</v>
      </c>
      <c r="AB1924" s="24">
        <v>414.7</v>
      </c>
      <c r="AC1924" s="24">
        <f t="shared" si="557"/>
        <v>268.32</v>
      </c>
      <c r="AD1924" s="53">
        <f t="shared" si="558"/>
        <v>0.39284354777312525</v>
      </c>
      <c r="AE1924" s="10"/>
    </row>
    <row r="1925" spans="1:31" x14ac:dyDescent="0.25">
      <c r="A1925" s="14" t="s">
        <v>109</v>
      </c>
      <c r="C1925" s="61" t="str">
        <f t="shared" si="556"/>
        <v>C100108</v>
      </c>
      <c r="F1925" s="8" t="str">
        <f>"C100042"</f>
        <v>C100042</v>
      </c>
      <c r="G1925" s="9" t="str">
        <f>"Retractable Earbuds"</f>
        <v>Retractable Earbuds</v>
      </c>
      <c r="H1925" s="47"/>
      <c r="I1925" s="47"/>
      <c r="J1925" s="23">
        <v>-47.980000000000004</v>
      </c>
      <c r="K1925" s="25">
        <v>-24</v>
      </c>
      <c r="L1925" s="24">
        <v>-25.94</v>
      </c>
      <c r="M1925" s="24">
        <f>J1925-L1925</f>
        <v>-22.040000000000003</v>
      </c>
      <c r="N1925" s="53">
        <f>IF(J1925&lt;&gt;0,M1925/J1925,"")</f>
        <v>0.45935806586077532</v>
      </c>
      <c r="O1925" s="23">
        <v>287.88</v>
      </c>
      <c r="P1925" s="25">
        <v>144</v>
      </c>
      <c r="Q1925" s="24">
        <v>155.60999999999999</v>
      </c>
      <c r="R1925" s="24">
        <f>O1925-Q1925</f>
        <v>132.27000000000001</v>
      </c>
      <c r="S1925" s="53">
        <f>IF(O1925&lt;&gt;0,R1925/O1925,"")</f>
        <v>0.45946227594831185</v>
      </c>
      <c r="T1925" s="10"/>
      <c r="U1925" s="23">
        <v>0</v>
      </c>
      <c r="V1925" s="25">
        <v>0</v>
      </c>
      <c r="W1925" s="24">
        <v>0</v>
      </c>
      <c r="X1925" s="24">
        <f>U1925-W1925</f>
        <v>0</v>
      </c>
      <c r="Y1925" s="53" t="str">
        <f>IF(U1925&lt;&gt;0,X1925/U1925,"")</f>
        <v/>
      </c>
      <c r="Z1925" s="23">
        <v>287.88</v>
      </c>
      <c r="AA1925" s="25">
        <v>144</v>
      </c>
      <c r="AB1925" s="24">
        <v>155.60999999999999</v>
      </c>
      <c r="AC1925" s="24">
        <f t="shared" si="557"/>
        <v>132.27000000000001</v>
      </c>
      <c r="AD1925" s="53">
        <f t="shared" si="558"/>
        <v>0.45946227594831185</v>
      </c>
      <c r="AE1925" s="10"/>
    </row>
    <row r="1926" spans="1:31" x14ac:dyDescent="0.25">
      <c r="A1926" s="14" t="s">
        <v>109</v>
      </c>
      <c r="C1926" s="61" t="str">
        <f t="shared" si="556"/>
        <v>C100108</v>
      </c>
      <c r="F1926" s="8" t="str">
        <f>"C100062"</f>
        <v>C100062</v>
      </c>
      <c r="G1926" s="9" t="str">
        <f>"Tall Matte Finish Mug"</f>
        <v>Tall Matte Finish Mug</v>
      </c>
      <c r="H1926" s="47"/>
      <c r="I1926" s="47"/>
      <c r="J1926" s="23">
        <v>-1.21</v>
      </c>
      <c r="K1926" s="25">
        <v>-1</v>
      </c>
      <c r="L1926" s="24">
        <v>-0.68</v>
      </c>
      <c r="M1926" s="24">
        <f>J1926-L1926</f>
        <v>-0.52999999999999992</v>
      </c>
      <c r="N1926" s="53">
        <f>IF(J1926&lt;&gt;0,M1926/J1926,"")</f>
        <v>0.43801652892561976</v>
      </c>
      <c r="O1926" s="23">
        <v>0</v>
      </c>
      <c r="P1926" s="25">
        <v>0</v>
      </c>
      <c r="Q1926" s="24">
        <v>0</v>
      </c>
      <c r="R1926" s="24">
        <f>O1926-Q1926</f>
        <v>0</v>
      </c>
      <c r="S1926" s="53" t="str">
        <f>IF(O1926&lt;&gt;0,R1926/O1926,"")</f>
        <v/>
      </c>
      <c r="T1926" s="10"/>
      <c r="U1926" s="23">
        <v>0</v>
      </c>
      <c r="V1926" s="25">
        <v>0</v>
      </c>
      <c r="W1926" s="24">
        <v>0</v>
      </c>
      <c r="X1926" s="24">
        <f>U1926-W1926</f>
        <v>0</v>
      </c>
      <c r="Y1926" s="53" t="str">
        <f>IF(U1926&lt;&gt;0,X1926/U1926,"")</f>
        <v/>
      </c>
      <c r="Z1926" s="23">
        <v>0</v>
      </c>
      <c r="AA1926" s="25">
        <v>0</v>
      </c>
      <c r="AB1926" s="24">
        <v>0</v>
      </c>
      <c r="AC1926" s="24">
        <f t="shared" si="557"/>
        <v>0</v>
      </c>
      <c r="AD1926" s="53" t="str">
        <f t="shared" si="558"/>
        <v/>
      </c>
      <c r="AE1926" s="10"/>
    </row>
    <row r="1927" spans="1:31" x14ac:dyDescent="0.25">
      <c r="A1927" s="14" t="s">
        <v>109</v>
      </c>
      <c r="C1927" s="61" t="str">
        <f t="shared" si="556"/>
        <v>C100108</v>
      </c>
      <c r="F1927" s="8" t="str">
        <f>"C100066"</f>
        <v>C100066</v>
      </c>
      <c r="G1927" s="9" t="str">
        <f>"Fashion Travel Mug"</f>
        <v>Fashion Travel Mug</v>
      </c>
      <c r="H1927" s="47"/>
      <c r="I1927" s="47"/>
      <c r="J1927" s="23">
        <v>0</v>
      </c>
      <c r="K1927" s="25">
        <v>0</v>
      </c>
      <c r="L1927" s="24">
        <v>0</v>
      </c>
      <c r="M1927" s="24">
        <f>J1927-L1927</f>
        <v>0</v>
      </c>
      <c r="N1927" s="53" t="str">
        <f>IF(J1927&lt;&gt;0,M1927/J1927,"")</f>
        <v/>
      </c>
      <c r="O1927" s="23">
        <v>508.03000000000003</v>
      </c>
      <c r="P1927" s="25">
        <v>144</v>
      </c>
      <c r="Q1927" s="24">
        <v>237.63000000000002</v>
      </c>
      <c r="R1927" s="24">
        <f>O1927-Q1927</f>
        <v>270.39999999999998</v>
      </c>
      <c r="S1927" s="53">
        <f>IF(O1927&lt;&gt;0,R1927/O1927,"")</f>
        <v>0.53225203236029361</v>
      </c>
      <c r="T1927" s="10"/>
      <c r="U1927" s="23">
        <v>508.03000000000003</v>
      </c>
      <c r="V1927" s="25">
        <v>144</v>
      </c>
      <c r="W1927" s="24">
        <v>237.63000000000002</v>
      </c>
      <c r="X1927" s="24">
        <f>U1927-W1927</f>
        <v>270.39999999999998</v>
      </c>
      <c r="Y1927" s="53">
        <f>IF(U1927&lt;&gt;0,X1927/U1927,"")</f>
        <v>0.53225203236029361</v>
      </c>
      <c r="Z1927" s="23">
        <v>3.53</v>
      </c>
      <c r="AA1927" s="25">
        <v>1</v>
      </c>
      <c r="AB1927" s="24">
        <v>1.65</v>
      </c>
      <c r="AC1927" s="24">
        <f t="shared" si="557"/>
        <v>1.88</v>
      </c>
      <c r="AD1927" s="53">
        <f t="shared" si="558"/>
        <v>0.53257790368271951</v>
      </c>
      <c r="AE1927" s="10"/>
    </row>
    <row r="1928" spans="1:31" x14ac:dyDescent="0.25">
      <c r="A1928" s="14" t="s">
        <v>109</v>
      </c>
      <c r="C1928" s="61" t="str">
        <f t="shared" si="556"/>
        <v>C100108</v>
      </c>
      <c r="F1928" s="8" t="str">
        <f>"E100004"</f>
        <v>E100004</v>
      </c>
      <c r="G1928" s="9" t="str">
        <f>"Laminated Tote"</f>
        <v>Laminated Tote</v>
      </c>
      <c r="H1928" s="47"/>
      <c r="I1928" s="47"/>
      <c r="J1928" s="23">
        <v>44.22</v>
      </c>
      <c r="K1928" s="25">
        <v>24</v>
      </c>
      <c r="L1928" s="24">
        <v>28.8</v>
      </c>
      <c r="M1928" s="24">
        <f>J1928-L1928</f>
        <v>15.419999999999998</v>
      </c>
      <c r="N1928" s="53">
        <f>IF(J1928&lt;&gt;0,M1928/J1928,"")</f>
        <v>0.34871099050203525</v>
      </c>
      <c r="O1928" s="23">
        <v>221.08999999999997</v>
      </c>
      <c r="P1928" s="25">
        <v>120</v>
      </c>
      <c r="Q1928" s="24">
        <v>144</v>
      </c>
      <c r="R1928" s="24">
        <f>O1928-Q1928</f>
        <v>77.089999999999975</v>
      </c>
      <c r="S1928" s="53">
        <f>IF(O1928&lt;&gt;0,R1928/O1928,"")</f>
        <v>0.34868153240761673</v>
      </c>
      <c r="T1928" s="10"/>
      <c r="U1928" s="23">
        <v>0</v>
      </c>
      <c r="V1928" s="25">
        <v>0</v>
      </c>
      <c r="W1928" s="24">
        <v>0</v>
      </c>
      <c r="X1928" s="24">
        <f>U1928-W1928</f>
        <v>0</v>
      </c>
      <c r="Y1928" s="53" t="str">
        <f>IF(U1928&lt;&gt;0,X1928/U1928,"")</f>
        <v/>
      </c>
      <c r="Z1928" s="23">
        <v>0</v>
      </c>
      <c r="AA1928" s="25">
        <v>0</v>
      </c>
      <c r="AB1928" s="24">
        <v>0</v>
      </c>
      <c r="AC1928" s="24">
        <f t="shared" si="557"/>
        <v>0</v>
      </c>
      <c r="AD1928" s="53" t="str">
        <f t="shared" si="558"/>
        <v/>
      </c>
      <c r="AE1928" s="10"/>
    </row>
    <row r="1929" spans="1:31" x14ac:dyDescent="0.25">
      <c r="A1929" s="14" t="s">
        <v>109</v>
      </c>
      <c r="C1929" s="61" t="str">
        <f t="shared" si="556"/>
        <v>C100108</v>
      </c>
      <c r="F1929" s="8" t="str">
        <f>"E100006"</f>
        <v>E100006</v>
      </c>
      <c r="G1929" s="9" t="str">
        <f>"Budget Tote Bag"</f>
        <v>Budget Tote Bag</v>
      </c>
      <c r="H1929" s="47"/>
      <c r="I1929" s="47"/>
      <c r="J1929" s="23">
        <v>0</v>
      </c>
      <c r="K1929" s="25">
        <v>0</v>
      </c>
      <c r="L1929" s="24">
        <v>0</v>
      </c>
      <c r="M1929" s="24">
        <f>J1929-L1929</f>
        <v>0</v>
      </c>
      <c r="N1929" s="53" t="str">
        <f>IF(J1929&lt;&gt;0,M1929/J1929,"")</f>
        <v/>
      </c>
      <c r="O1929" s="23">
        <v>-2.12</v>
      </c>
      <c r="P1929" s="25">
        <v>-24</v>
      </c>
      <c r="Q1929" s="24">
        <v>-0.96</v>
      </c>
      <c r="R1929" s="24">
        <f>O1929-Q1929</f>
        <v>-1.1600000000000001</v>
      </c>
      <c r="S1929" s="53">
        <f>IF(O1929&lt;&gt;0,R1929/O1929,"")</f>
        <v>0.54716981132075471</v>
      </c>
      <c r="T1929" s="10"/>
      <c r="U1929" s="23">
        <v>12.7</v>
      </c>
      <c r="V1929" s="25">
        <v>144</v>
      </c>
      <c r="W1929" s="24">
        <v>5.75</v>
      </c>
      <c r="X1929" s="24">
        <f>U1929-W1929</f>
        <v>6.9499999999999993</v>
      </c>
      <c r="Y1929" s="53">
        <f>IF(U1929&lt;&gt;0,X1929/U1929,"")</f>
        <v>0.547244094488189</v>
      </c>
      <c r="Z1929" s="23">
        <v>0</v>
      </c>
      <c r="AA1929" s="25">
        <v>0</v>
      </c>
      <c r="AB1929" s="24">
        <v>0</v>
      </c>
      <c r="AC1929" s="24">
        <f t="shared" si="557"/>
        <v>0</v>
      </c>
      <c r="AD1929" s="53" t="str">
        <f t="shared" si="558"/>
        <v/>
      </c>
      <c r="AE1929" s="10"/>
    </row>
    <row r="1930" spans="1:31" x14ac:dyDescent="0.25">
      <c r="A1930" s="14" t="s">
        <v>109</v>
      </c>
      <c r="C1930" s="61" t="str">
        <f t="shared" si="556"/>
        <v>C100108</v>
      </c>
      <c r="F1930" s="8" t="str">
        <f>"E100008"</f>
        <v>E100008</v>
      </c>
      <c r="G1930" s="9" t="str">
        <f>"Super Shopper"</f>
        <v>Super Shopper</v>
      </c>
      <c r="H1930" s="47"/>
      <c r="I1930" s="47"/>
      <c r="J1930" s="23">
        <v>0</v>
      </c>
      <c r="K1930" s="25">
        <v>0</v>
      </c>
      <c r="L1930" s="24">
        <v>0</v>
      </c>
      <c r="M1930" s="24">
        <f>J1930-L1930</f>
        <v>0</v>
      </c>
      <c r="N1930" s="53" t="str">
        <f>IF(J1930&lt;&gt;0,M1930/J1930,"")</f>
        <v/>
      </c>
      <c r="O1930" s="23">
        <v>32.230000000000004</v>
      </c>
      <c r="P1930" s="25">
        <v>143</v>
      </c>
      <c r="Q1930" s="24">
        <v>17.170000000000002</v>
      </c>
      <c r="R1930" s="24">
        <f>O1930-Q1930</f>
        <v>15.060000000000002</v>
      </c>
      <c r="S1930" s="53">
        <f>IF(O1930&lt;&gt;0,R1930/O1930,"")</f>
        <v>0.46726652187403039</v>
      </c>
      <c r="T1930" s="10"/>
      <c r="U1930" s="23">
        <v>0</v>
      </c>
      <c r="V1930" s="25">
        <v>0</v>
      </c>
      <c r="W1930" s="24">
        <v>0</v>
      </c>
      <c r="X1930" s="24">
        <f>U1930-W1930</f>
        <v>0</v>
      </c>
      <c r="Y1930" s="53" t="str">
        <f>IF(U1930&lt;&gt;0,X1930/U1930,"")</f>
        <v/>
      </c>
      <c r="Z1930" s="23">
        <v>32.46</v>
      </c>
      <c r="AA1930" s="25">
        <v>144</v>
      </c>
      <c r="AB1930" s="24">
        <v>17.29</v>
      </c>
      <c r="AC1930" s="24">
        <f t="shared" si="557"/>
        <v>15.170000000000002</v>
      </c>
      <c r="AD1930" s="53">
        <f t="shared" si="558"/>
        <v>0.46734442390634634</v>
      </c>
      <c r="AE1930" s="10"/>
    </row>
    <row r="1931" spans="1:31" x14ac:dyDescent="0.25">
      <c r="A1931" s="14" t="s">
        <v>109</v>
      </c>
      <c r="C1931" s="61" t="str">
        <f t="shared" si="556"/>
        <v>C100108</v>
      </c>
      <c r="F1931" s="8" t="str">
        <f>"E100009"</f>
        <v>E100009</v>
      </c>
      <c r="G1931" s="9" t="str">
        <f>"Die-Cut Tote"</f>
        <v>Die-Cut Tote</v>
      </c>
      <c r="H1931" s="47"/>
      <c r="I1931" s="47"/>
      <c r="J1931" s="23">
        <v>0.23</v>
      </c>
      <c r="K1931" s="25">
        <v>1</v>
      </c>
      <c r="L1931" s="24">
        <v>0.11</v>
      </c>
      <c r="M1931" s="24">
        <f>J1931-L1931</f>
        <v>0.12000000000000001</v>
      </c>
      <c r="N1931" s="53">
        <f>IF(J1931&lt;&gt;0,M1931/J1931,"")</f>
        <v>0.52173913043478259</v>
      </c>
      <c r="O1931" s="23">
        <v>32.68</v>
      </c>
      <c r="P1931" s="25">
        <v>145</v>
      </c>
      <c r="Q1931" s="24">
        <v>15.96</v>
      </c>
      <c r="R1931" s="24">
        <f>O1931-Q1931</f>
        <v>16.72</v>
      </c>
      <c r="S1931" s="53">
        <f>IF(O1931&lt;&gt;0,R1931/O1931,"")</f>
        <v>0.51162790697674421</v>
      </c>
      <c r="T1931" s="10"/>
      <c r="U1931" s="23">
        <v>0.23</v>
      </c>
      <c r="V1931" s="25">
        <v>1</v>
      </c>
      <c r="W1931" s="24">
        <v>0.11</v>
      </c>
      <c r="X1931" s="24">
        <f>U1931-W1931</f>
        <v>0.12000000000000001</v>
      </c>
      <c r="Y1931" s="53">
        <f>IF(U1931&lt;&gt;0,X1931/U1931,"")</f>
        <v>0.52173913043478259</v>
      </c>
      <c r="Z1931" s="23">
        <v>0.23</v>
      </c>
      <c r="AA1931" s="25">
        <v>1</v>
      </c>
      <c r="AB1931" s="24">
        <v>0.11</v>
      </c>
      <c r="AC1931" s="24">
        <f t="shared" si="557"/>
        <v>0.12000000000000001</v>
      </c>
      <c r="AD1931" s="53">
        <f t="shared" si="558"/>
        <v>0.52173913043478259</v>
      </c>
      <c r="AE1931" s="10"/>
    </row>
    <row r="1932" spans="1:31" x14ac:dyDescent="0.25">
      <c r="A1932" s="14" t="s">
        <v>109</v>
      </c>
      <c r="C1932" s="61" t="str">
        <f t="shared" si="556"/>
        <v>C100108</v>
      </c>
      <c r="F1932" s="8" t="str">
        <f>"E100012"</f>
        <v>E100012</v>
      </c>
      <c r="G1932" s="9" t="str">
        <f>"Canvas Stopwatch"</f>
        <v>Canvas Stopwatch</v>
      </c>
      <c r="H1932" s="47"/>
      <c r="I1932" s="47"/>
      <c r="J1932" s="23">
        <v>522.14</v>
      </c>
      <c r="K1932" s="25">
        <v>144</v>
      </c>
      <c r="L1932" s="24">
        <v>282.22999999999996</v>
      </c>
      <c r="M1932" s="24">
        <f>J1932-L1932</f>
        <v>239.91000000000003</v>
      </c>
      <c r="N1932" s="53">
        <f>IF(J1932&lt;&gt;0,M1932/J1932,"")</f>
        <v>0.45947447044853879</v>
      </c>
      <c r="O1932" s="23">
        <v>522.14</v>
      </c>
      <c r="P1932" s="25">
        <v>144</v>
      </c>
      <c r="Q1932" s="24">
        <v>282.22999999999996</v>
      </c>
      <c r="R1932" s="24">
        <f>O1932-Q1932</f>
        <v>239.91000000000003</v>
      </c>
      <c r="S1932" s="53">
        <f>IF(O1932&lt;&gt;0,R1932/O1932,"")</f>
        <v>0.45947447044853879</v>
      </c>
      <c r="T1932" s="10"/>
      <c r="U1932" s="23">
        <v>1566.43</v>
      </c>
      <c r="V1932" s="25">
        <v>432</v>
      </c>
      <c r="W1932" s="24">
        <v>846.69</v>
      </c>
      <c r="X1932" s="24">
        <f>U1932-W1932</f>
        <v>719.74</v>
      </c>
      <c r="Y1932" s="53">
        <f>IF(U1932&lt;&gt;0,X1932/U1932,"")</f>
        <v>0.45947792113276686</v>
      </c>
      <c r="Z1932" s="23">
        <v>0</v>
      </c>
      <c r="AA1932" s="25">
        <v>0</v>
      </c>
      <c r="AB1932" s="24">
        <v>0</v>
      </c>
      <c r="AC1932" s="24">
        <f t="shared" si="557"/>
        <v>0</v>
      </c>
      <c r="AD1932" s="53" t="str">
        <f t="shared" si="558"/>
        <v/>
      </c>
      <c r="AE1932" s="10"/>
    </row>
    <row r="1933" spans="1:31" x14ac:dyDescent="0.25">
      <c r="A1933" s="14" t="s">
        <v>109</v>
      </c>
      <c r="C1933" s="61" t="str">
        <f t="shared" si="556"/>
        <v>C100108</v>
      </c>
      <c r="F1933" s="8" t="str">
        <f>"E100014"</f>
        <v>E100014</v>
      </c>
      <c r="G1933" s="9" t="str">
        <f>"Stopwatch with Neck Rope"</f>
        <v>Stopwatch with Neck Rope</v>
      </c>
      <c r="H1933" s="47"/>
      <c r="I1933" s="47"/>
      <c r="J1933" s="23">
        <v>0</v>
      </c>
      <c r="K1933" s="25">
        <v>0</v>
      </c>
      <c r="L1933" s="24">
        <v>0</v>
      </c>
      <c r="M1933" s="24">
        <f>J1933-L1933</f>
        <v>0</v>
      </c>
      <c r="N1933" s="53" t="str">
        <f>IF(J1933&lt;&gt;0,M1933/J1933,"")</f>
        <v/>
      </c>
      <c r="O1933" s="23">
        <v>388.08000000000004</v>
      </c>
      <c r="P1933" s="25">
        <v>144</v>
      </c>
      <c r="Q1933" s="24">
        <v>185.75</v>
      </c>
      <c r="R1933" s="24">
        <f>O1933-Q1933</f>
        <v>202.33000000000004</v>
      </c>
      <c r="S1933" s="53">
        <f>IF(O1933&lt;&gt;0,R1933/O1933,"")</f>
        <v>0.5213615749330035</v>
      </c>
      <c r="T1933" s="10"/>
      <c r="U1933" s="23">
        <v>388.08000000000004</v>
      </c>
      <c r="V1933" s="25">
        <v>144</v>
      </c>
      <c r="W1933" s="24">
        <v>185.75</v>
      </c>
      <c r="X1933" s="24">
        <f>U1933-W1933</f>
        <v>202.33000000000004</v>
      </c>
      <c r="Y1933" s="53">
        <f>IF(U1933&lt;&gt;0,X1933/U1933,"")</f>
        <v>0.5213615749330035</v>
      </c>
      <c r="Z1933" s="23">
        <v>0</v>
      </c>
      <c r="AA1933" s="25">
        <v>0</v>
      </c>
      <c r="AB1933" s="24">
        <v>0</v>
      </c>
      <c r="AC1933" s="24">
        <f t="shared" si="557"/>
        <v>0</v>
      </c>
      <c r="AD1933" s="53" t="str">
        <f t="shared" si="558"/>
        <v/>
      </c>
      <c r="AE1933" s="10"/>
    </row>
    <row r="1934" spans="1:31" x14ac:dyDescent="0.25">
      <c r="A1934" s="14" t="s">
        <v>109</v>
      </c>
      <c r="C1934" s="61" t="str">
        <f t="shared" si="556"/>
        <v>C100108</v>
      </c>
      <c r="F1934" s="8" t="str">
        <f>"E100015"</f>
        <v>E100015</v>
      </c>
      <c r="G1934" s="9" t="str">
        <f>"360 Clip Watch"</f>
        <v>360 Clip Watch</v>
      </c>
      <c r="H1934" s="47"/>
      <c r="I1934" s="47"/>
      <c r="J1934" s="23">
        <v>0</v>
      </c>
      <c r="K1934" s="25">
        <v>0</v>
      </c>
      <c r="L1934" s="24">
        <v>0</v>
      </c>
      <c r="M1934" s="24">
        <f>J1934-L1934</f>
        <v>0</v>
      </c>
      <c r="N1934" s="53" t="str">
        <f>IF(J1934&lt;&gt;0,M1934/J1934,"")</f>
        <v/>
      </c>
      <c r="O1934" s="23">
        <v>50.57</v>
      </c>
      <c r="P1934" s="25">
        <v>24</v>
      </c>
      <c r="Q1934" s="24">
        <v>24.48</v>
      </c>
      <c r="R1934" s="24">
        <f>O1934-Q1934</f>
        <v>26.09</v>
      </c>
      <c r="S1934" s="53">
        <f>IF(O1934&lt;&gt;0,R1934/O1934,"")</f>
        <v>0.51591852877199917</v>
      </c>
      <c r="T1934" s="10"/>
      <c r="U1934" s="23">
        <v>0</v>
      </c>
      <c r="V1934" s="25">
        <v>0</v>
      </c>
      <c r="W1934" s="24">
        <v>0</v>
      </c>
      <c r="X1934" s="24">
        <f>U1934-W1934</f>
        <v>0</v>
      </c>
      <c r="Y1934" s="53" t="str">
        <f>IF(U1934&lt;&gt;0,X1934/U1934,"")</f>
        <v/>
      </c>
      <c r="Z1934" s="23">
        <v>303.41000000000003</v>
      </c>
      <c r="AA1934" s="25">
        <v>144</v>
      </c>
      <c r="AB1934" s="24">
        <v>146.88</v>
      </c>
      <c r="AC1934" s="24">
        <f t="shared" si="557"/>
        <v>156.53000000000003</v>
      </c>
      <c r="AD1934" s="53">
        <f t="shared" si="558"/>
        <v>0.51590257407468443</v>
      </c>
      <c r="AE1934" s="10"/>
    </row>
    <row r="1935" spans="1:31" x14ac:dyDescent="0.25">
      <c r="A1935" s="14" t="s">
        <v>109</v>
      </c>
      <c r="C1935" s="61" t="str">
        <f t="shared" si="556"/>
        <v>C100108</v>
      </c>
      <c r="F1935" s="8" t="str">
        <f>"E100016"</f>
        <v>E100016</v>
      </c>
      <c r="G1935" s="9" t="str">
        <f>"4 Function Rotating Carabiner Watch"</f>
        <v>4 Function Rotating Carabiner Watch</v>
      </c>
      <c r="H1935" s="47"/>
      <c r="I1935" s="47"/>
      <c r="J1935" s="23">
        <v>0</v>
      </c>
      <c r="K1935" s="25">
        <v>0</v>
      </c>
      <c r="L1935" s="24">
        <v>0</v>
      </c>
      <c r="M1935" s="24">
        <f>J1935-L1935</f>
        <v>0</v>
      </c>
      <c r="N1935" s="53" t="str">
        <f>IF(J1935&lt;&gt;0,M1935/J1935,"")</f>
        <v/>
      </c>
      <c r="O1935" s="23">
        <v>429.00000000000006</v>
      </c>
      <c r="P1935" s="25">
        <v>144</v>
      </c>
      <c r="Q1935" s="24">
        <v>198.73000000000002</v>
      </c>
      <c r="R1935" s="24">
        <f>O1935-Q1935</f>
        <v>230.27000000000004</v>
      </c>
      <c r="S1935" s="53">
        <f>IF(O1935&lt;&gt;0,R1935/O1935,"")</f>
        <v>0.53675990675990681</v>
      </c>
      <c r="T1935" s="10"/>
      <c r="U1935" s="23">
        <v>429.00000000000006</v>
      </c>
      <c r="V1935" s="25">
        <v>144</v>
      </c>
      <c r="W1935" s="24">
        <v>198.73000000000002</v>
      </c>
      <c r="X1935" s="24">
        <f>U1935-W1935</f>
        <v>230.27000000000004</v>
      </c>
      <c r="Y1935" s="53">
        <f>IF(U1935&lt;&gt;0,X1935/U1935,"")</f>
        <v>0.53675990675990681</v>
      </c>
      <c r="Z1935" s="23">
        <v>429.00000000000006</v>
      </c>
      <c r="AA1935" s="25">
        <v>144</v>
      </c>
      <c r="AB1935" s="24">
        <v>198.73000000000002</v>
      </c>
      <c r="AC1935" s="24">
        <f t="shared" si="557"/>
        <v>230.27000000000004</v>
      </c>
      <c r="AD1935" s="53">
        <f t="shared" si="558"/>
        <v>0.53675990675990681</v>
      </c>
      <c r="AE1935" s="10"/>
    </row>
    <row r="1936" spans="1:31" x14ac:dyDescent="0.25">
      <c r="A1936" s="14" t="s">
        <v>109</v>
      </c>
      <c r="C1936" s="61" t="str">
        <f t="shared" si="556"/>
        <v>C100108</v>
      </c>
      <c r="F1936" s="8" t="str">
        <f>"E100019"</f>
        <v>E100019</v>
      </c>
      <c r="G1936" s="9" t="str">
        <f>"Mini Travel Alarm"</f>
        <v>Mini Travel Alarm</v>
      </c>
      <c r="H1936" s="47"/>
      <c r="I1936" s="47"/>
      <c r="J1936" s="23">
        <v>0</v>
      </c>
      <c r="K1936" s="25">
        <v>0</v>
      </c>
      <c r="L1936" s="24">
        <v>0</v>
      </c>
      <c r="M1936" s="24">
        <f>J1936-L1936</f>
        <v>0</v>
      </c>
      <c r="N1936" s="53" t="str">
        <f>IF(J1936&lt;&gt;0,M1936/J1936,"")</f>
        <v/>
      </c>
      <c r="O1936" s="23">
        <v>-3.32</v>
      </c>
      <c r="P1936" s="25">
        <v>-1</v>
      </c>
      <c r="Q1936" s="24">
        <v>-1.62</v>
      </c>
      <c r="R1936" s="24">
        <f>O1936-Q1936</f>
        <v>-1.6999999999999997</v>
      </c>
      <c r="S1936" s="53">
        <f>IF(O1936&lt;&gt;0,R1936/O1936,"")</f>
        <v>0.51204819277108427</v>
      </c>
      <c r="T1936" s="10"/>
      <c r="U1936" s="23">
        <v>159.47</v>
      </c>
      <c r="V1936" s="25">
        <v>48</v>
      </c>
      <c r="W1936" s="24">
        <v>77.760000000000005</v>
      </c>
      <c r="X1936" s="24">
        <f>U1936-W1936</f>
        <v>81.709999999999994</v>
      </c>
      <c r="Y1936" s="53">
        <f>IF(U1936&lt;&gt;0,X1936/U1936,"")</f>
        <v>0.51238477456574905</v>
      </c>
      <c r="Z1936" s="23">
        <v>39.870000000000005</v>
      </c>
      <c r="AA1936" s="25">
        <v>12</v>
      </c>
      <c r="AB1936" s="24">
        <v>19.440000000000001</v>
      </c>
      <c r="AC1936" s="24">
        <f t="shared" si="557"/>
        <v>20.430000000000003</v>
      </c>
      <c r="AD1936" s="53">
        <f t="shared" si="558"/>
        <v>0.51241534988713322</v>
      </c>
      <c r="AE1936" s="10"/>
    </row>
    <row r="1937" spans="1:31" x14ac:dyDescent="0.25">
      <c r="A1937" s="14" t="s">
        <v>109</v>
      </c>
      <c r="C1937" s="61" t="str">
        <f t="shared" si="556"/>
        <v>C100108</v>
      </c>
      <c r="F1937" s="8" t="str">
        <f>"E100024"</f>
        <v>E100024</v>
      </c>
      <c r="G1937" s="9" t="str">
        <f>"Arch Calculator"</f>
        <v>Arch Calculator</v>
      </c>
      <c r="H1937" s="47"/>
      <c r="I1937" s="47"/>
      <c r="J1937" s="23">
        <v>18.7</v>
      </c>
      <c r="K1937" s="25">
        <v>6</v>
      </c>
      <c r="L1937" s="24">
        <v>10.32</v>
      </c>
      <c r="M1937" s="24">
        <f>J1937-L1937</f>
        <v>8.379999999999999</v>
      </c>
      <c r="N1937" s="53">
        <f>IF(J1937&lt;&gt;0,M1937/J1937,"")</f>
        <v>0.44812834224598924</v>
      </c>
      <c r="O1937" s="23">
        <v>0</v>
      </c>
      <c r="P1937" s="25">
        <v>0</v>
      </c>
      <c r="Q1937" s="24">
        <v>0</v>
      </c>
      <c r="R1937" s="24">
        <f>O1937-Q1937</f>
        <v>0</v>
      </c>
      <c r="S1937" s="53" t="str">
        <f>IF(O1937&lt;&gt;0,R1937/O1937,"")</f>
        <v/>
      </c>
      <c r="T1937" s="10"/>
      <c r="U1937" s="23">
        <v>1047.1100000000001</v>
      </c>
      <c r="V1937" s="25">
        <v>336</v>
      </c>
      <c r="W1937" s="24">
        <v>577.71</v>
      </c>
      <c r="X1937" s="24">
        <f>U1937-W1937</f>
        <v>469.40000000000009</v>
      </c>
      <c r="Y1937" s="53">
        <f>IF(U1937&lt;&gt;0,X1937/U1937,"")</f>
        <v>0.44828146040053102</v>
      </c>
      <c r="Z1937" s="23">
        <v>0</v>
      </c>
      <c r="AA1937" s="25">
        <v>0</v>
      </c>
      <c r="AB1937" s="24">
        <v>0</v>
      </c>
      <c r="AC1937" s="24">
        <f t="shared" si="557"/>
        <v>0</v>
      </c>
      <c r="AD1937" s="53" t="str">
        <f t="shared" si="558"/>
        <v/>
      </c>
      <c r="AE1937" s="10"/>
    </row>
    <row r="1938" spans="1:31" x14ac:dyDescent="0.25">
      <c r="A1938" s="14" t="s">
        <v>109</v>
      </c>
      <c r="C1938" s="61" t="str">
        <f t="shared" si="556"/>
        <v>C100108</v>
      </c>
      <c r="F1938" s="8" t="str">
        <f>"E100030"</f>
        <v>E100030</v>
      </c>
      <c r="G1938" s="9" t="str">
        <f>"LED Keychain"</f>
        <v>LED Keychain</v>
      </c>
      <c r="H1938" s="47"/>
      <c r="I1938" s="47"/>
      <c r="J1938" s="23">
        <v>0</v>
      </c>
      <c r="K1938" s="25">
        <v>0</v>
      </c>
      <c r="L1938" s="24">
        <v>0</v>
      </c>
      <c r="M1938" s="24">
        <f>J1938-L1938</f>
        <v>0</v>
      </c>
      <c r="N1938" s="53" t="str">
        <f>IF(J1938&lt;&gt;0,M1938/J1938,"")</f>
        <v/>
      </c>
      <c r="O1938" s="23">
        <v>0.95</v>
      </c>
      <c r="P1938" s="25">
        <v>1</v>
      </c>
      <c r="Q1938" s="24">
        <v>0.5</v>
      </c>
      <c r="R1938" s="24">
        <f>O1938-Q1938</f>
        <v>0.44999999999999996</v>
      </c>
      <c r="S1938" s="53">
        <f>IF(O1938&lt;&gt;0,R1938/O1938,"")</f>
        <v>0.47368421052631576</v>
      </c>
      <c r="T1938" s="10"/>
      <c r="U1938" s="23">
        <v>136.88999999999999</v>
      </c>
      <c r="V1938" s="25">
        <v>144</v>
      </c>
      <c r="W1938" s="24">
        <v>72.05</v>
      </c>
      <c r="X1938" s="24">
        <f>U1938-W1938</f>
        <v>64.839999999999989</v>
      </c>
      <c r="Y1938" s="53">
        <f>IF(U1938&lt;&gt;0,X1938/U1938,"")</f>
        <v>0.47366498648549926</v>
      </c>
      <c r="Z1938" s="23">
        <v>0</v>
      </c>
      <c r="AA1938" s="25">
        <v>0</v>
      </c>
      <c r="AB1938" s="24">
        <v>0</v>
      </c>
      <c r="AC1938" s="24">
        <f t="shared" si="557"/>
        <v>0</v>
      </c>
      <c r="AD1938" s="53" t="str">
        <f t="shared" si="558"/>
        <v/>
      </c>
      <c r="AE1938" s="10"/>
    </row>
    <row r="1939" spans="1:31" x14ac:dyDescent="0.25">
      <c r="A1939" s="14" t="s">
        <v>109</v>
      </c>
      <c r="C1939" s="61" t="str">
        <f t="shared" si="556"/>
        <v>C100108</v>
      </c>
      <c r="F1939" s="8" t="str">
        <f>"E100031"</f>
        <v>E100031</v>
      </c>
      <c r="G1939" s="9" t="str">
        <f>"Ad Torch"</f>
        <v>Ad Torch</v>
      </c>
      <c r="H1939" s="47"/>
      <c r="I1939" s="47"/>
      <c r="J1939" s="23">
        <v>0</v>
      </c>
      <c r="K1939" s="25">
        <v>0</v>
      </c>
      <c r="L1939" s="24">
        <v>0</v>
      </c>
      <c r="M1939" s="24">
        <f>J1939-L1939</f>
        <v>0</v>
      </c>
      <c r="N1939" s="53" t="str">
        <f>IF(J1939&lt;&gt;0,M1939/J1939,"")</f>
        <v/>
      </c>
      <c r="O1939" s="23">
        <v>393.71999999999997</v>
      </c>
      <c r="P1939" s="25">
        <v>144</v>
      </c>
      <c r="Q1939" s="24">
        <v>198.73000000000002</v>
      </c>
      <c r="R1939" s="24">
        <f>O1939-Q1939</f>
        <v>194.98999999999995</v>
      </c>
      <c r="S1939" s="53">
        <f>IF(O1939&lt;&gt;0,R1939/O1939,"")</f>
        <v>0.49525043177892908</v>
      </c>
      <c r="T1939" s="10"/>
      <c r="U1939" s="23">
        <v>0</v>
      </c>
      <c r="V1939" s="25">
        <v>0</v>
      </c>
      <c r="W1939" s="24">
        <v>0</v>
      </c>
      <c r="X1939" s="24">
        <f>U1939-W1939</f>
        <v>0</v>
      </c>
      <c r="Y1939" s="53" t="str">
        <f>IF(U1939&lt;&gt;0,X1939/U1939,"")</f>
        <v/>
      </c>
      <c r="Z1939" s="23">
        <v>0</v>
      </c>
      <c r="AA1939" s="25">
        <v>0</v>
      </c>
      <c r="AB1939" s="24">
        <v>0</v>
      </c>
      <c r="AC1939" s="24">
        <f t="shared" si="557"/>
        <v>0</v>
      </c>
      <c r="AD1939" s="53" t="str">
        <f t="shared" si="558"/>
        <v/>
      </c>
      <c r="AE1939" s="10"/>
    </row>
    <row r="1940" spans="1:31" x14ac:dyDescent="0.25">
      <c r="A1940" s="14" t="s">
        <v>109</v>
      </c>
      <c r="C1940" s="61" t="str">
        <f t="shared" si="556"/>
        <v>C100108</v>
      </c>
      <c r="F1940" s="8" t="str">
        <f>"E100038"</f>
        <v>E100038</v>
      </c>
      <c r="G1940" s="9" t="str">
        <f>"1GB USB Flash Drive Pen"</f>
        <v>1GB USB Flash Drive Pen</v>
      </c>
      <c r="H1940" s="47"/>
      <c r="I1940" s="47"/>
      <c r="J1940" s="23">
        <v>0</v>
      </c>
      <c r="K1940" s="25">
        <v>0</v>
      </c>
      <c r="L1940" s="24">
        <v>0</v>
      </c>
      <c r="M1940" s="24">
        <f>J1940-L1940</f>
        <v>0</v>
      </c>
      <c r="N1940" s="53" t="str">
        <f>IF(J1940&lt;&gt;0,M1940/J1940,"")</f>
        <v/>
      </c>
      <c r="O1940" s="23">
        <v>134.06</v>
      </c>
      <c r="P1940" s="25">
        <v>24</v>
      </c>
      <c r="Q1940" s="24">
        <v>71.289999999999992</v>
      </c>
      <c r="R1940" s="24">
        <f>O1940-Q1940</f>
        <v>62.77000000000001</v>
      </c>
      <c r="S1940" s="53">
        <f>IF(O1940&lt;&gt;0,R1940/O1940,"")</f>
        <v>0.46822318364911242</v>
      </c>
      <c r="T1940" s="10"/>
      <c r="U1940" s="23">
        <v>1608.76</v>
      </c>
      <c r="V1940" s="25">
        <v>288</v>
      </c>
      <c r="W1940" s="24">
        <v>855.45999999999992</v>
      </c>
      <c r="X1940" s="24">
        <f>U1940-W1940</f>
        <v>753.30000000000007</v>
      </c>
      <c r="Y1940" s="53">
        <f>IF(U1940&lt;&gt;0,X1940/U1940,"")</f>
        <v>0.46824883761406305</v>
      </c>
      <c r="Z1940" s="23">
        <v>804.38</v>
      </c>
      <c r="AA1940" s="25">
        <v>144</v>
      </c>
      <c r="AB1940" s="24">
        <v>427.72999999999996</v>
      </c>
      <c r="AC1940" s="24">
        <f t="shared" si="557"/>
        <v>376.65000000000003</v>
      </c>
      <c r="AD1940" s="53">
        <f t="shared" si="558"/>
        <v>0.46824883761406305</v>
      </c>
      <c r="AE1940" s="10"/>
    </row>
    <row r="1941" spans="1:31" x14ac:dyDescent="0.25">
      <c r="A1941" s="14" t="s">
        <v>109</v>
      </c>
      <c r="C1941" s="61" t="str">
        <f t="shared" si="556"/>
        <v>C100108</v>
      </c>
      <c r="F1941" s="8" t="str">
        <f>"E100043"</f>
        <v>E100043</v>
      </c>
      <c r="G1941" s="9" t="str">
        <f>"Pub Glass"</f>
        <v>Pub Glass</v>
      </c>
      <c r="H1941" s="47"/>
      <c r="I1941" s="47"/>
      <c r="J1941" s="23">
        <v>-1.39</v>
      </c>
      <c r="K1941" s="25">
        <v>-1</v>
      </c>
      <c r="L1941" s="24">
        <v>-0.93</v>
      </c>
      <c r="M1941" s="24">
        <f>J1941-L1941</f>
        <v>-0.45999999999999985</v>
      </c>
      <c r="N1941" s="53">
        <f>IF(J1941&lt;&gt;0,M1941/J1941,"")</f>
        <v>0.33093525179856109</v>
      </c>
      <c r="O1941" s="23">
        <v>0</v>
      </c>
      <c r="P1941" s="25">
        <v>0</v>
      </c>
      <c r="Q1941" s="24">
        <v>0</v>
      </c>
      <c r="R1941" s="24">
        <f>O1941-Q1941</f>
        <v>0</v>
      </c>
      <c r="S1941" s="53" t="str">
        <f>IF(O1941&lt;&gt;0,R1941/O1941,"")</f>
        <v/>
      </c>
      <c r="T1941" s="10"/>
      <c r="U1941" s="23">
        <v>0</v>
      </c>
      <c r="V1941" s="25">
        <v>0</v>
      </c>
      <c r="W1941" s="24">
        <v>0</v>
      </c>
      <c r="X1941" s="24">
        <f>U1941-W1941</f>
        <v>0</v>
      </c>
      <c r="Y1941" s="53" t="str">
        <f>IF(U1941&lt;&gt;0,X1941/U1941,"")</f>
        <v/>
      </c>
      <c r="Z1941" s="23">
        <v>200.39000000000001</v>
      </c>
      <c r="AA1941" s="25">
        <v>144</v>
      </c>
      <c r="AB1941" s="24">
        <v>133.94999999999999</v>
      </c>
      <c r="AC1941" s="24">
        <f t="shared" si="557"/>
        <v>66.440000000000026</v>
      </c>
      <c r="AD1941" s="53">
        <f t="shared" si="558"/>
        <v>0.33155347073207259</v>
      </c>
      <c r="AE1941" s="10"/>
    </row>
    <row r="1942" spans="1:31" x14ac:dyDescent="0.25">
      <c r="A1942" s="14" t="s">
        <v>109</v>
      </c>
      <c r="C1942" s="61" t="str">
        <f t="shared" si="556"/>
        <v>C100108</v>
      </c>
      <c r="F1942" s="8" t="str">
        <f>"E100044"</f>
        <v>E100044</v>
      </c>
      <c r="G1942" s="9" t="str">
        <f>"Juice Glass"</f>
        <v>Juice Glass</v>
      </c>
      <c r="H1942" s="47"/>
      <c r="I1942" s="47"/>
      <c r="J1942" s="23">
        <v>0.56999999999999995</v>
      </c>
      <c r="K1942" s="25">
        <v>1</v>
      </c>
      <c r="L1942" s="24">
        <v>0.38</v>
      </c>
      <c r="M1942" s="24">
        <f>J1942-L1942</f>
        <v>0.18999999999999995</v>
      </c>
      <c r="N1942" s="53">
        <f>IF(J1942&lt;&gt;0,M1942/J1942,"")</f>
        <v>0.33333333333333326</v>
      </c>
      <c r="O1942" s="23">
        <v>163.69999999999999</v>
      </c>
      <c r="P1942" s="25">
        <v>288</v>
      </c>
      <c r="Q1942" s="24">
        <v>109.61999999999999</v>
      </c>
      <c r="R1942" s="24">
        <f>O1942-Q1942</f>
        <v>54.08</v>
      </c>
      <c r="S1942" s="53">
        <f>IF(O1942&lt;&gt;0,R1942/O1942,"")</f>
        <v>0.33036041539401345</v>
      </c>
      <c r="T1942" s="10"/>
      <c r="U1942" s="23">
        <v>81.849999999999994</v>
      </c>
      <c r="V1942" s="25">
        <v>144</v>
      </c>
      <c r="W1942" s="24">
        <v>54.809999999999995</v>
      </c>
      <c r="X1942" s="24">
        <f>U1942-W1942</f>
        <v>27.04</v>
      </c>
      <c r="Y1942" s="53">
        <f>IF(U1942&lt;&gt;0,X1942/U1942,"")</f>
        <v>0.33036041539401345</v>
      </c>
      <c r="Z1942" s="23">
        <v>14.21</v>
      </c>
      <c r="AA1942" s="25">
        <v>25</v>
      </c>
      <c r="AB1942" s="24">
        <v>9.51</v>
      </c>
      <c r="AC1942" s="24">
        <f t="shared" si="557"/>
        <v>4.7000000000000011</v>
      </c>
      <c r="AD1942" s="53">
        <f t="shared" si="558"/>
        <v>0.33075299085151305</v>
      </c>
      <c r="AE1942" s="10"/>
    </row>
    <row r="1943" spans="1:31" x14ac:dyDescent="0.25">
      <c r="A1943" s="14" t="s">
        <v>109</v>
      </c>
      <c r="C1943" s="61" t="str">
        <f t="shared" si="556"/>
        <v>C100108</v>
      </c>
      <c r="F1943" s="8" t="str">
        <f>"E100046"</f>
        <v>E100046</v>
      </c>
      <c r="G1943" s="9" t="str">
        <f>"Milk Bottle"</f>
        <v>Milk Bottle</v>
      </c>
      <c r="H1943" s="47"/>
      <c r="I1943" s="47"/>
      <c r="J1943" s="23">
        <v>0</v>
      </c>
      <c r="K1943" s="25">
        <v>0</v>
      </c>
      <c r="L1943" s="24">
        <v>0</v>
      </c>
      <c r="M1943" s="24">
        <f>J1943-L1943</f>
        <v>0</v>
      </c>
      <c r="N1943" s="53" t="str">
        <f>IF(J1943&lt;&gt;0,M1943/J1943,"")</f>
        <v/>
      </c>
      <c r="O1943" s="23">
        <v>262.47999999999996</v>
      </c>
      <c r="P1943" s="25">
        <v>144</v>
      </c>
      <c r="Q1943" s="24">
        <v>149.67000000000002</v>
      </c>
      <c r="R1943" s="24">
        <f>O1943-Q1943</f>
        <v>112.80999999999995</v>
      </c>
      <c r="S1943" s="53">
        <f>IF(O1943&lt;&gt;0,R1943/O1943,"")</f>
        <v>0.42978512648582734</v>
      </c>
      <c r="T1943" s="10"/>
      <c r="U1943" s="23">
        <v>349.97</v>
      </c>
      <c r="V1943" s="25">
        <v>192</v>
      </c>
      <c r="W1943" s="24">
        <v>199.56</v>
      </c>
      <c r="X1943" s="24">
        <f>U1943-W1943</f>
        <v>150.41000000000003</v>
      </c>
      <c r="Y1943" s="53">
        <f>IF(U1943&lt;&gt;0,X1943/U1943,"")</f>
        <v>0.42977969540246308</v>
      </c>
      <c r="Z1943" s="23">
        <v>0</v>
      </c>
      <c r="AA1943" s="25">
        <v>0</v>
      </c>
      <c r="AB1943" s="24">
        <v>0</v>
      </c>
      <c r="AC1943" s="24">
        <f t="shared" si="557"/>
        <v>0</v>
      </c>
      <c r="AD1943" s="53" t="str">
        <f t="shared" si="558"/>
        <v/>
      </c>
      <c r="AE1943" s="10"/>
    </row>
    <row r="1944" spans="1:31" x14ac:dyDescent="0.25">
      <c r="A1944" s="14" t="s">
        <v>109</v>
      </c>
      <c r="C1944" s="61" t="str">
        <f t="shared" si="556"/>
        <v>C100108</v>
      </c>
      <c r="F1944" s="8" t="str">
        <f>"S100003"</f>
        <v>S100003</v>
      </c>
      <c r="G1944" s="9" t="str">
        <f>"Soccer #1 Pin"</f>
        <v>Soccer #1 Pin</v>
      </c>
      <c r="H1944" s="47"/>
      <c r="I1944" s="47"/>
      <c r="J1944" s="23">
        <v>0</v>
      </c>
      <c r="K1944" s="25">
        <v>0</v>
      </c>
      <c r="L1944" s="24">
        <v>0</v>
      </c>
      <c r="M1944" s="24">
        <f>J1944-L1944</f>
        <v>0</v>
      </c>
      <c r="N1944" s="53" t="str">
        <f>IF(J1944&lt;&gt;0,M1944/J1944,"")</f>
        <v/>
      </c>
      <c r="O1944" s="23">
        <v>-1.47</v>
      </c>
      <c r="P1944" s="25">
        <v>-1</v>
      </c>
      <c r="Q1944" s="24">
        <v>-0.9</v>
      </c>
      <c r="R1944" s="24">
        <f>O1944-Q1944</f>
        <v>-0.56999999999999995</v>
      </c>
      <c r="S1944" s="53">
        <f>IF(O1944&lt;&gt;0,R1944/O1944,"")</f>
        <v>0.38775510204081631</v>
      </c>
      <c r="T1944" s="10"/>
      <c r="U1944" s="23">
        <v>0</v>
      </c>
      <c r="V1944" s="25">
        <v>0</v>
      </c>
      <c r="W1944" s="24">
        <v>0</v>
      </c>
      <c r="X1944" s="24">
        <f>U1944-W1944</f>
        <v>0</v>
      </c>
      <c r="Y1944" s="53" t="str">
        <f>IF(U1944&lt;&gt;0,X1944/U1944,"")</f>
        <v/>
      </c>
      <c r="Z1944" s="23">
        <v>0</v>
      </c>
      <c r="AA1944" s="25">
        <v>0</v>
      </c>
      <c r="AB1944" s="24">
        <v>0</v>
      </c>
      <c r="AC1944" s="24">
        <f t="shared" si="557"/>
        <v>0</v>
      </c>
      <c r="AD1944" s="53" t="str">
        <f t="shared" si="558"/>
        <v/>
      </c>
      <c r="AE1944" s="10"/>
    </row>
    <row r="1945" spans="1:31" x14ac:dyDescent="0.25">
      <c r="A1945" s="14" t="s">
        <v>109</v>
      </c>
      <c r="C1945" s="61" t="str">
        <f t="shared" si="556"/>
        <v>C100108</v>
      </c>
      <c r="F1945" s="8" t="str">
        <f>"S100016"</f>
        <v>S100016</v>
      </c>
      <c r="G1945" s="9" t="str">
        <f>"Mesh Bucket Hat"</f>
        <v>Mesh Bucket Hat</v>
      </c>
      <c r="H1945" s="47"/>
      <c r="I1945" s="47"/>
      <c r="J1945" s="23">
        <v>0</v>
      </c>
      <c r="K1945" s="25">
        <v>0</v>
      </c>
      <c r="L1945" s="24">
        <v>0</v>
      </c>
      <c r="M1945" s="24">
        <f>J1945-L1945</f>
        <v>0</v>
      </c>
      <c r="N1945" s="53" t="str">
        <f>IF(J1945&lt;&gt;0,M1945/J1945,"")</f>
        <v/>
      </c>
      <c r="O1945" s="23">
        <v>234.26</v>
      </c>
      <c r="P1945" s="25">
        <v>48</v>
      </c>
      <c r="Q1945" s="24">
        <v>132</v>
      </c>
      <c r="R1945" s="24">
        <f>O1945-Q1945</f>
        <v>102.25999999999999</v>
      </c>
      <c r="S1945" s="53">
        <f>IF(O1945&lt;&gt;0,R1945/O1945,"")</f>
        <v>0.43652352087424229</v>
      </c>
      <c r="T1945" s="10"/>
      <c r="U1945" s="23">
        <v>29.28</v>
      </c>
      <c r="V1945" s="25">
        <v>6</v>
      </c>
      <c r="W1945" s="24">
        <v>16.5</v>
      </c>
      <c r="X1945" s="24">
        <f>U1945-W1945</f>
        <v>12.780000000000001</v>
      </c>
      <c r="Y1945" s="53">
        <f>IF(U1945&lt;&gt;0,X1945/U1945,"")</f>
        <v>0.43647540983606559</v>
      </c>
      <c r="Z1945" s="23">
        <v>0</v>
      </c>
      <c r="AA1945" s="25">
        <v>0</v>
      </c>
      <c r="AB1945" s="24">
        <v>0</v>
      </c>
      <c r="AC1945" s="24">
        <f t="shared" si="557"/>
        <v>0</v>
      </c>
      <c r="AD1945" s="53" t="str">
        <f t="shared" si="558"/>
        <v/>
      </c>
      <c r="AE1945" s="10"/>
    </row>
    <row r="1946" spans="1:31" x14ac:dyDescent="0.25">
      <c r="A1946" s="14" t="s">
        <v>109</v>
      </c>
      <c r="C1946" s="61" t="str">
        <f t="shared" si="556"/>
        <v>C100108</v>
      </c>
      <c r="F1946" s="8" t="str">
        <f>"S100020"</f>
        <v>S100020</v>
      </c>
      <c r="G1946" s="9" t="str">
        <f>"Super Sport Stopwatch"</f>
        <v>Super Sport Stopwatch</v>
      </c>
      <c r="H1946" s="47"/>
      <c r="I1946" s="47"/>
      <c r="J1946" s="23">
        <v>0</v>
      </c>
      <c r="K1946" s="25">
        <v>0</v>
      </c>
      <c r="L1946" s="24">
        <v>0</v>
      </c>
      <c r="M1946" s="24">
        <f>J1946-L1946</f>
        <v>0</v>
      </c>
      <c r="N1946" s="53" t="str">
        <f>IF(J1946&lt;&gt;0,M1946/J1946,"")</f>
        <v/>
      </c>
      <c r="O1946" s="23">
        <v>333.28</v>
      </c>
      <c r="P1946" s="25">
        <v>156</v>
      </c>
      <c r="Q1946" s="24">
        <v>163.80000000000001</v>
      </c>
      <c r="R1946" s="24">
        <f>O1946-Q1946</f>
        <v>169.47999999999996</v>
      </c>
      <c r="S1946" s="53">
        <f>IF(O1946&lt;&gt;0,R1946/O1946,"")</f>
        <v>0.5085213634181468</v>
      </c>
      <c r="T1946" s="10"/>
      <c r="U1946" s="23">
        <v>0</v>
      </c>
      <c r="V1946" s="25">
        <v>0</v>
      </c>
      <c r="W1946" s="24">
        <v>0</v>
      </c>
      <c r="X1946" s="24">
        <f>U1946-W1946</f>
        <v>0</v>
      </c>
      <c r="Y1946" s="53" t="str">
        <f>IF(U1946&lt;&gt;0,X1946/U1946,"")</f>
        <v/>
      </c>
      <c r="Z1946" s="23">
        <v>0</v>
      </c>
      <c r="AA1946" s="25">
        <v>0</v>
      </c>
      <c r="AB1946" s="24">
        <v>0</v>
      </c>
      <c r="AC1946" s="24">
        <f t="shared" si="557"/>
        <v>0</v>
      </c>
      <c r="AD1946" s="53" t="str">
        <f t="shared" si="558"/>
        <v/>
      </c>
      <c r="AE1946" s="10"/>
    </row>
    <row r="1947" spans="1:31" x14ac:dyDescent="0.25">
      <c r="A1947" s="14" t="s">
        <v>109</v>
      </c>
      <c r="C1947" s="61" t="str">
        <f t="shared" si="556"/>
        <v>C100108</v>
      </c>
      <c r="F1947" s="8" t="str">
        <f>"S200004"</f>
        <v>S200004</v>
      </c>
      <c r="G1947" s="9" t="str">
        <f>"5"" Female Graduate Trophy"</f>
        <v>5" Female Graduate Trophy</v>
      </c>
      <c r="H1947" s="47"/>
      <c r="I1947" s="47"/>
      <c r="J1947" s="23">
        <v>1058.4000000000001</v>
      </c>
      <c r="K1947" s="25">
        <v>144</v>
      </c>
      <c r="L1947" s="24">
        <v>944.64</v>
      </c>
      <c r="M1947" s="24">
        <f>J1947-L1947</f>
        <v>113.7600000000001</v>
      </c>
      <c r="N1947" s="53">
        <f>IF(J1947&lt;&gt;0,M1947/J1947,"")</f>
        <v>0.107482993197279</v>
      </c>
      <c r="O1947" s="23">
        <v>0</v>
      </c>
      <c r="P1947" s="25">
        <v>0</v>
      </c>
      <c r="Q1947" s="24">
        <v>0</v>
      </c>
      <c r="R1947" s="24">
        <f>O1947-Q1947</f>
        <v>0</v>
      </c>
      <c r="S1947" s="53" t="str">
        <f>IF(O1947&lt;&gt;0,R1947/O1947,"")</f>
        <v/>
      </c>
      <c r="T1947" s="10"/>
      <c r="U1947" s="23">
        <v>0</v>
      </c>
      <c r="V1947" s="25">
        <v>0</v>
      </c>
      <c r="W1947" s="24">
        <v>0</v>
      </c>
      <c r="X1947" s="24">
        <f>U1947-W1947</f>
        <v>0</v>
      </c>
      <c r="Y1947" s="53" t="str">
        <f>IF(U1947&lt;&gt;0,X1947/U1947,"")</f>
        <v/>
      </c>
      <c r="Z1947" s="23">
        <v>0</v>
      </c>
      <c r="AA1947" s="25">
        <v>0</v>
      </c>
      <c r="AB1947" s="24">
        <v>0</v>
      </c>
      <c r="AC1947" s="24">
        <f t="shared" si="557"/>
        <v>0</v>
      </c>
      <c r="AD1947" s="53" t="str">
        <f t="shared" si="558"/>
        <v/>
      </c>
      <c r="AE1947" s="10"/>
    </row>
    <row r="1948" spans="1:31" x14ac:dyDescent="0.25">
      <c r="A1948" s="14" t="s">
        <v>109</v>
      </c>
      <c r="C1948" s="61" t="str">
        <f t="shared" si="556"/>
        <v>C100108</v>
      </c>
      <c r="F1948" s="8" t="str">
        <f>"S200012"</f>
        <v>S200012</v>
      </c>
      <c r="G1948" s="9" t="str">
        <f>"10.75"" Star Riser Apple Trophy"</f>
        <v>10.75" Star Riser Apple Trophy</v>
      </c>
      <c r="H1948" s="47"/>
      <c r="I1948" s="47"/>
      <c r="J1948" s="23">
        <v>1764</v>
      </c>
      <c r="K1948" s="25">
        <v>144</v>
      </c>
      <c r="L1948" s="24">
        <v>1509.12</v>
      </c>
      <c r="M1948" s="24">
        <f>J1948-L1948</f>
        <v>254.88000000000011</v>
      </c>
      <c r="N1948" s="53">
        <f>IF(J1948&lt;&gt;0,M1948/J1948,"")</f>
        <v>0.14448979591836741</v>
      </c>
      <c r="O1948" s="23">
        <v>0</v>
      </c>
      <c r="P1948" s="25">
        <v>0</v>
      </c>
      <c r="Q1948" s="24">
        <v>0</v>
      </c>
      <c r="R1948" s="24">
        <f>O1948-Q1948</f>
        <v>0</v>
      </c>
      <c r="S1948" s="53" t="str">
        <f>IF(O1948&lt;&gt;0,R1948/O1948,"")</f>
        <v/>
      </c>
      <c r="T1948" s="10"/>
      <c r="U1948" s="23">
        <v>0</v>
      </c>
      <c r="V1948" s="25">
        <v>0</v>
      </c>
      <c r="W1948" s="24">
        <v>0</v>
      </c>
      <c r="X1948" s="24">
        <f>U1948-W1948</f>
        <v>0</v>
      </c>
      <c r="Y1948" s="53" t="str">
        <f>IF(U1948&lt;&gt;0,X1948/U1948,"")</f>
        <v/>
      </c>
      <c r="Z1948" s="23">
        <v>0</v>
      </c>
      <c r="AA1948" s="25">
        <v>0</v>
      </c>
      <c r="AB1948" s="24">
        <v>0</v>
      </c>
      <c r="AC1948" s="24">
        <f t="shared" si="557"/>
        <v>0</v>
      </c>
      <c r="AD1948" s="53" t="str">
        <f t="shared" si="558"/>
        <v/>
      </c>
      <c r="AE1948" s="10"/>
    </row>
    <row r="1949" spans="1:31" x14ac:dyDescent="0.25">
      <c r="A1949" s="14" t="s">
        <v>109</v>
      </c>
      <c r="C1949" s="61" t="str">
        <f t="shared" si="556"/>
        <v>C100108</v>
      </c>
      <c r="F1949" s="8" t="str">
        <f>"S200013"</f>
        <v>S200013</v>
      </c>
      <c r="G1949" s="9" t="str">
        <f>"10.75"" Star Riser Soccer Trophy"</f>
        <v>10.75" Star Riser Soccer Trophy</v>
      </c>
      <c r="H1949" s="47"/>
      <c r="I1949" s="47"/>
      <c r="J1949" s="23">
        <v>12.25</v>
      </c>
      <c r="K1949" s="25">
        <v>1</v>
      </c>
      <c r="L1949" s="24">
        <v>9.93</v>
      </c>
      <c r="M1949" s="24">
        <f>J1949-L1949</f>
        <v>2.3200000000000003</v>
      </c>
      <c r="N1949" s="53">
        <f>IF(J1949&lt;&gt;0,M1949/J1949,"")</f>
        <v>0.18938775510204084</v>
      </c>
      <c r="O1949" s="23">
        <v>0</v>
      </c>
      <c r="P1949" s="25">
        <v>0</v>
      </c>
      <c r="Q1949" s="24">
        <v>0</v>
      </c>
      <c r="R1949" s="24">
        <f>O1949-Q1949</f>
        <v>0</v>
      </c>
      <c r="S1949" s="53" t="str">
        <f>IF(O1949&lt;&gt;0,R1949/O1949,"")</f>
        <v/>
      </c>
      <c r="T1949" s="10"/>
      <c r="U1949" s="23">
        <v>0</v>
      </c>
      <c r="V1949" s="25">
        <v>0</v>
      </c>
      <c r="W1949" s="24">
        <v>0</v>
      </c>
      <c r="X1949" s="24">
        <f>U1949-W1949</f>
        <v>0</v>
      </c>
      <c r="Y1949" s="53" t="str">
        <f>IF(U1949&lt;&gt;0,X1949/U1949,"")</f>
        <v/>
      </c>
      <c r="Z1949" s="23">
        <v>0</v>
      </c>
      <c r="AA1949" s="25">
        <v>0</v>
      </c>
      <c r="AB1949" s="24">
        <v>0</v>
      </c>
      <c r="AC1949" s="24">
        <f t="shared" si="557"/>
        <v>0</v>
      </c>
      <c r="AD1949" s="53" t="str">
        <f t="shared" si="558"/>
        <v/>
      </c>
      <c r="AE1949" s="10"/>
    </row>
    <row r="1950" spans="1:31" x14ac:dyDescent="0.25">
      <c r="A1950" s="14" t="s">
        <v>109</v>
      </c>
      <c r="C1950" s="61" t="str">
        <f t="shared" si="556"/>
        <v>C100108</v>
      </c>
      <c r="F1950" s="8" t="str">
        <f>"S200017"</f>
        <v>S200017</v>
      </c>
      <c r="G1950" s="9" t="str">
        <f>"10.75"" Tourch Riser WrestlingTrophy"</f>
        <v>10.75" Tourch Riser WrestlingTrophy</v>
      </c>
      <c r="H1950" s="47"/>
      <c r="I1950" s="47"/>
      <c r="J1950" s="23">
        <v>-12.25</v>
      </c>
      <c r="K1950" s="25">
        <v>-1</v>
      </c>
      <c r="L1950" s="24">
        <v>-9.93</v>
      </c>
      <c r="M1950" s="24">
        <f>J1950-L1950</f>
        <v>-2.3200000000000003</v>
      </c>
      <c r="N1950" s="53">
        <f>IF(J1950&lt;&gt;0,M1950/J1950,"")</f>
        <v>0.18938775510204084</v>
      </c>
      <c r="O1950" s="23">
        <v>0</v>
      </c>
      <c r="P1950" s="25">
        <v>0</v>
      </c>
      <c r="Q1950" s="24">
        <v>0</v>
      </c>
      <c r="R1950" s="24">
        <f>O1950-Q1950</f>
        <v>0</v>
      </c>
      <c r="S1950" s="53" t="str">
        <f>IF(O1950&lt;&gt;0,R1950/O1950,"")</f>
        <v/>
      </c>
      <c r="T1950" s="10"/>
      <c r="U1950" s="23">
        <v>0</v>
      </c>
      <c r="V1950" s="25">
        <v>0</v>
      </c>
      <c r="W1950" s="24">
        <v>0</v>
      </c>
      <c r="X1950" s="24">
        <f>U1950-W1950</f>
        <v>0</v>
      </c>
      <c r="Y1950" s="53" t="str">
        <f>IF(U1950&lt;&gt;0,X1950/U1950,"")</f>
        <v/>
      </c>
      <c r="Z1950" s="23">
        <v>0</v>
      </c>
      <c r="AA1950" s="25">
        <v>0</v>
      </c>
      <c r="AB1950" s="24">
        <v>0</v>
      </c>
      <c r="AC1950" s="24">
        <f t="shared" si="557"/>
        <v>0</v>
      </c>
      <c r="AD1950" s="53" t="str">
        <f t="shared" si="558"/>
        <v/>
      </c>
      <c r="AE1950" s="10"/>
    </row>
    <row r="1951" spans="1:31" x14ac:dyDescent="0.25">
      <c r="A1951" s="14" t="s">
        <v>109</v>
      </c>
      <c r="C1951" s="61" t="str">
        <f t="shared" si="556"/>
        <v>C100108</v>
      </c>
      <c r="F1951" s="8" t="str">
        <f>"S200022"</f>
        <v>S200022</v>
      </c>
      <c r="G1951" s="9" t="str">
        <f>"10.75"" Tourch Riser Basketball Trophy"</f>
        <v>10.75" Tourch Riser Basketball Trophy</v>
      </c>
      <c r="H1951" s="47"/>
      <c r="I1951" s="47"/>
      <c r="J1951" s="23">
        <v>1764</v>
      </c>
      <c r="K1951" s="25">
        <v>144</v>
      </c>
      <c r="L1951" s="24">
        <v>1480.32</v>
      </c>
      <c r="M1951" s="24">
        <f>J1951-L1951</f>
        <v>283.68000000000006</v>
      </c>
      <c r="N1951" s="53">
        <f>IF(J1951&lt;&gt;0,M1951/J1951,"")</f>
        <v>0.16081632653061229</v>
      </c>
      <c r="O1951" s="23">
        <v>0</v>
      </c>
      <c r="P1951" s="25">
        <v>0</v>
      </c>
      <c r="Q1951" s="24">
        <v>0</v>
      </c>
      <c r="R1951" s="24">
        <f>O1951-Q1951</f>
        <v>0</v>
      </c>
      <c r="S1951" s="53" t="str">
        <f>IF(O1951&lt;&gt;0,R1951/O1951,"")</f>
        <v/>
      </c>
      <c r="T1951" s="10"/>
      <c r="U1951" s="23">
        <v>0</v>
      </c>
      <c r="V1951" s="25">
        <v>0</v>
      </c>
      <c r="W1951" s="24">
        <v>0</v>
      </c>
      <c r="X1951" s="24">
        <f>U1951-W1951</f>
        <v>0</v>
      </c>
      <c r="Y1951" s="53" t="str">
        <f>IF(U1951&lt;&gt;0,X1951/U1951,"")</f>
        <v/>
      </c>
      <c r="Z1951" s="23">
        <v>0</v>
      </c>
      <c r="AA1951" s="25">
        <v>0</v>
      </c>
      <c r="AB1951" s="24">
        <v>0</v>
      </c>
      <c r="AC1951" s="24">
        <f t="shared" si="557"/>
        <v>0</v>
      </c>
      <c r="AD1951" s="53" t="str">
        <f t="shared" si="558"/>
        <v/>
      </c>
      <c r="AE1951" s="10"/>
    </row>
    <row r="1952" spans="1:31" ht="15.75" thickBot="1" x14ac:dyDescent="0.3">
      <c r="A1952" s="14" t="s">
        <v>109</v>
      </c>
      <c r="C1952" s="61" t="str">
        <f>C1921</f>
        <v>C100108</v>
      </c>
      <c r="J1952" s="10"/>
      <c r="K1952" s="11"/>
      <c r="L1952" s="11"/>
      <c r="M1952" s="11"/>
      <c r="N1952" s="12"/>
      <c r="O1952" s="10"/>
      <c r="P1952" s="11"/>
      <c r="Q1952" s="11"/>
      <c r="R1952" s="11"/>
      <c r="S1952" s="12"/>
      <c r="U1952" s="10"/>
      <c r="V1952" s="11"/>
      <c r="W1952" s="11"/>
      <c r="X1952" s="11"/>
      <c r="Y1952" s="12"/>
      <c r="Z1952" s="10"/>
      <c r="AA1952" s="11"/>
      <c r="AB1952" s="11"/>
      <c r="AC1952" s="11"/>
      <c r="AD1952" s="12"/>
    </row>
    <row r="1953" spans="1:31" ht="15.75" thickBot="1" x14ac:dyDescent="0.3">
      <c r="A1953" s="14" t="s">
        <v>109</v>
      </c>
      <c r="C1953" s="61" t="str">
        <f t="shared" si="553"/>
        <v>C100108</v>
      </c>
      <c r="G1953" s="48" t="str">
        <f>C1953&amp;" TOTAL:"</f>
        <v>C100108 TOTAL:</v>
      </c>
      <c r="H1953" s="50"/>
      <c r="I1953" s="50"/>
      <c r="J1953" s="34">
        <f>SUBTOTAL(9,J1920:J1952)</f>
        <v>6244.99</v>
      </c>
      <c r="K1953" s="35">
        <f>SUBTOTAL(9,K1920:K1952)</f>
        <v>870</v>
      </c>
      <c r="L1953" s="36">
        <f>SUBTOTAL(9,L1920:L1952)</f>
        <v>4931.0599999999995</v>
      </c>
      <c r="M1953" s="36">
        <f>J1953-L1953</f>
        <v>1313.9300000000003</v>
      </c>
      <c r="N1953" s="37">
        <f>IF(J1953&lt;&gt;0,M1953/J1953,"")</f>
        <v>0.2103974545996071</v>
      </c>
      <c r="O1953" s="34">
        <f>SUBTOTAL(9,O1920:O1952)</f>
        <v>5086.5599999999986</v>
      </c>
      <c r="P1953" s="35">
        <f>SUBTOTAL(9,P1920:P1952)</f>
        <v>2219</v>
      </c>
      <c r="Q1953" s="36">
        <f>SUBTOTAL(9,Q1920:Q1952)</f>
        <v>2610.7300000000005</v>
      </c>
      <c r="R1953" s="36">
        <f>O1953-Q1953</f>
        <v>2475.8299999999981</v>
      </c>
      <c r="S1953" s="37">
        <f>IF(O1953&lt;&gt;0,R1953/O1953,"")</f>
        <v>0.48673956465666363</v>
      </c>
      <c r="U1953" s="34">
        <f>SUBTOTAL(9,U1920:U1952)</f>
        <v>7441.1100000000015</v>
      </c>
      <c r="V1953" s="35">
        <f>SUBTOTAL(9,V1920:V1952)</f>
        <v>2455</v>
      </c>
      <c r="W1953" s="36">
        <f>SUBTOTAL(9,W1920:W1952)</f>
        <v>4031.2000000000007</v>
      </c>
      <c r="X1953" s="36">
        <f>U1953-W1953</f>
        <v>3409.9100000000008</v>
      </c>
      <c r="Y1953" s="37">
        <f>IF(U1953&lt;&gt;0,X1953/U1953,"")</f>
        <v>0.4582528681876763</v>
      </c>
      <c r="Z1953" s="34">
        <f>SUBTOTAL(9,Z1920:Z1952)</f>
        <v>3241.73</v>
      </c>
      <c r="AA1953" s="35">
        <f>SUBTOTAL(9,AA1920:AA1952)</f>
        <v>1192</v>
      </c>
      <c r="AB1953" s="36">
        <f>SUBTOTAL(9,AB1920:AB1952)</f>
        <v>1815.5900000000001</v>
      </c>
      <c r="AC1953" s="36">
        <f t="shared" ref="AC1953" si="559">Z1953-AB1953</f>
        <v>1426.1399999999999</v>
      </c>
      <c r="AD1953" s="37">
        <f t="shared" ref="AD1953" si="560">IF(Z1953&lt;&gt;0,AC1953/Z1953,"")</f>
        <v>0.43993176482927321</v>
      </c>
    </row>
    <row r="1954" spans="1:31" x14ac:dyDescent="0.25">
      <c r="A1954" s="14" t="s">
        <v>109</v>
      </c>
      <c r="C1954" s="66"/>
      <c r="J1954" s="10"/>
      <c r="K1954" s="11"/>
      <c r="L1954" s="11"/>
      <c r="M1954" s="11"/>
      <c r="N1954" s="12"/>
      <c r="O1954" s="10"/>
      <c r="P1954" s="11"/>
      <c r="Q1954" s="11"/>
      <c r="R1954" s="11"/>
      <c r="S1954" s="12"/>
      <c r="U1954" s="10"/>
      <c r="V1954" s="11"/>
      <c r="W1954" s="11"/>
      <c r="X1954" s="11"/>
      <c r="Y1954" s="12"/>
      <c r="Z1954" s="10"/>
      <c r="AA1954" s="11"/>
      <c r="AB1954" s="11"/>
      <c r="AC1954" s="11"/>
      <c r="AD1954" s="12"/>
    </row>
    <row r="1955" spans="1:31" ht="15.75" x14ac:dyDescent="0.25">
      <c r="A1955" s="14" t="s">
        <v>109</v>
      </c>
      <c r="C1955" s="66" t="str">
        <f t="shared" ref="C1955" si="561">E1955</f>
        <v>C100112</v>
      </c>
      <c r="E1955" s="13" t="str">
        <f>"C100112"</f>
        <v>C100112</v>
      </c>
      <c r="F1955" s="13"/>
      <c r="G1955" s="13" t="str">
        <f>"Basingers"</f>
        <v>Basingers</v>
      </c>
      <c r="H1955" s="13"/>
      <c r="I1955" s="13"/>
      <c r="J1955" s="10"/>
      <c r="K1955" s="11"/>
      <c r="L1955" s="11"/>
      <c r="M1955" s="11"/>
      <c r="N1955" s="12"/>
      <c r="O1955" s="10"/>
      <c r="P1955" s="11"/>
      <c r="Q1955" s="11"/>
      <c r="R1955" s="11"/>
      <c r="S1955" s="12"/>
      <c r="U1955" s="10"/>
      <c r="V1955" s="11"/>
      <c r="W1955" s="11"/>
      <c r="X1955" s="11"/>
      <c r="Y1955" s="12"/>
      <c r="Z1955" s="10"/>
      <c r="AA1955" s="11"/>
      <c r="AB1955" s="11"/>
      <c r="AC1955" s="11"/>
      <c r="AD1955" s="12"/>
    </row>
    <row r="1956" spans="1:31" ht="6.6" customHeight="1" x14ac:dyDescent="0.25">
      <c r="A1956" s="14" t="s">
        <v>109</v>
      </c>
      <c r="C1956" s="61" t="str">
        <f t="shared" ref="C1956:C1989" si="562">C1955</f>
        <v>C100112</v>
      </c>
      <c r="J1956" s="10"/>
      <c r="K1956" s="11"/>
      <c r="L1956" s="11"/>
      <c r="M1956" s="11"/>
      <c r="N1956" s="12"/>
      <c r="O1956" s="10"/>
      <c r="P1956" s="11"/>
      <c r="Q1956" s="11"/>
      <c r="R1956" s="11"/>
      <c r="S1956" s="12"/>
      <c r="U1956" s="10"/>
      <c r="V1956" s="11"/>
      <c r="W1956" s="11"/>
      <c r="X1956" s="11"/>
      <c r="Y1956" s="12"/>
      <c r="Z1956" s="10"/>
      <c r="AA1956" s="11"/>
      <c r="AB1956" s="11"/>
      <c r="AC1956" s="11"/>
      <c r="AD1956" s="12"/>
    </row>
    <row r="1957" spans="1:31" x14ac:dyDescent="0.25">
      <c r="A1957" s="14" t="s">
        <v>109</v>
      </c>
      <c r="C1957" s="61" t="str">
        <f t="shared" si="562"/>
        <v>C100112</v>
      </c>
      <c r="F1957" s="8" t="str">
        <f>"C100033"</f>
        <v>C100033</v>
      </c>
      <c r="G1957" s="9" t="str">
        <f>"Frames &amp; Clock"</f>
        <v>Frames &amp; Clock</v>
      </c>
      <c r="H1957" s="47"/>
      <c r="I1957" s="47"/>
      <c r="J1957" s="23">
        <v>0</v>
      </c>
      <c r="K1957" s="25">
        <v>0</v>
      </c>
      <c r="L1957" s="24">
        <v>0</v>
      </c>
      <c r="M1957" s="24">
        <f>J1957-L1957</f>
        <v>0</v>
      </c>
      <c r="N1957" s="53" t="str">
        <f>IF(J1957&lt;&gt;0,M1957/J1957,"")</f>
        <v/>
      </c>
      <c r="O1957" s="23">
        <v>683.02</v>
      </c>
      <c r="P1957" s="25">
        <v>144</v>
      </c>
      <c r="Q1957" s="24">
        <v>414.7</v>
      </c>
      <c r="R1957" s="24">
        <f>O1957-Q1957</f>
        <v>268.32</v>
      </c>
      <c r="S1957" s="53">
        <f>IF(O1957&lt;&gt;0,R1957/O1957,"")</f>
        <v>0.39284354777312525</v>
      </c>
      <c r="T1957" s="10"/>
      <c r="U1957" s="23">
        <v>683.02</v>
      </c>
      <c r="V1957" s="25">
        <v>144</v>
      </c>
      <c r="W1957" s="24">
        <v>414.7</v>
      </c>
      <c r="X1957" s="24">
        <f>U1957-W1957</f>
        <v>268.32</v>
      </c>
      <c r="Y1957" s="53">
        <f>IF(U1957&lt;&gt;0,X1957/U1957,"")</f>
        <v>0.39284354777312525</v>
      </c>
      <c r="Z1957" s="23">
        <v>0</v>
      </c>
      <c r="AA1957" s="25">
        <v>0</v>
      </c>
      <c r="AB1957" s="24">
        <v>0</v>
      </c>
      <c r="AC1957" s="24">
        <f t="shared" ref="AC1957" si="563">Z1957-AB1957</f>
        <v>0</v>
      </c>
      <c r="AD1957" s="53" t="str">
        <f t="shared" ref="AD1957" si="564">IF(Z1957&lt;&gt;0,AC1957/Z1957,"")</f>
        <v/>
      </c>
      <c r="AE1957" s="10"/>
    </row>
    <row r="1958" spans="1:31" x14ac:dyDescent="0.25">
      <c r="A1958" s="14" t="s">
        <v>109</v>
      </c>
      <c r="C1958" s="61" t="str">
        <f t="shared" ref="C1958:C1987" si="565">C1957</f>
        <v>C100112</v>
      </c>
      <c r="F1958" s="8" t="str">
        <f>"C100042"</f>
        <v>C100042</v>
      </c>
      <c r="G1958" s="9" t="str">
        <f>"Retractable Earbuds"</f>
        <v>Retractable Earbuds</v>
      </c>
      <c r="H1958" s="47"/>
      <c r="I1958" s="47"/>
      <c r="J1958" s="23">
        <v>0</v>
      </c>
      <c r="K1958" s="25">
        <v>0</v>
      </c>
      <c r="L1958" s="24">
        <v>0</v>
      </c>
      <c r="M1958" s="24">
        <f>J1958-L1958</f>
        <v>0</v>
      </c>
      <c r="N1958" s="53" t="str">
        <f>IF(J1958&lt;&gt;0,M1958/J1958,"")</f>
        <v/>
      </c>
      <c r="O1958" s="23">
        <v>12</v>
      </c>
      <c r="P1958" s="25">
        <v>6</v>
      </c>
      <c r="Q1958" s="24">
        <v>6.48</v>
      </c>
      <c r="R1958" s="24">
        <f>O1958-Q1958</f>
        <v>5.52</v>
      </c>
      <c r="S1958" s="53">
        <f>IF(O1958&lt;&gt;0,R1958/O1958,"")</f>
        <v>0.45999999999999996</v>
      </c>
      <c r="T1958" s="10"/>
      <c r="U1958" s="23">
        <v>0</v>
      </c>
      <c r="V1958" s="25">
        <v>0</v>
      </c>
      <c r="W1958" s="24">
        <v>0</v>
      </c>
      <c r="X1958" s="24">
        <f>U1958-W1958</f>
        <v>0</v>
      </c>
      <c r="Y1958" s="53" t="str">
        <f>IF(U1958&lt;&gt;0,X1958/U1958,"")</f>
        <v/>
      </c>
      <c r="Z1958" s="23">
        <v>0</v>
      </c>
      <c r="AA1958" s="25">
        <v>0</v>
      </c>
      <c r="AB1958" s="24">
        <v>0</v>
      </c>
      <c r="AC1958" s="24">
        <f t="shared" ref="AC1958:AC1987" si="566">Z1958-AB1958</f>
        <v>0</v>
      </c>
      <c r="AD1958" s="53" t="str">
        <f t="shared" ref="AD1958:AD1987" si="567">IF(Z1958&lt;&gt;0,AC1958/Z1958,"")</f>
        <v/>
      </c>
      <c r="AE1958" s="10"/>
    </row>
    <row r="1959" spans="1:31" x14ac:dyDescent="0.25">
      <c r="A1959" s="14" t="s">
        <v>109</v>
      </c>
      <c r="C1959" s="61" t="str">
        <f t="shared" si="565"/>
        <v>C100112</v>
      </c>
      <c r="F1959" s="8" t="str">
        <f>"C100066"</f>
        <v>C100066</v>
      </c>
      <c r="G1959" s="9" t="str">
        <f>"Fashion Travel Mug"</f>
        <v>Fashion Travel Mug</v>
      </c>
      <c r="H1959" s="47"/>
      <c r="I1959" s="47"/>
      <c r="J1959" s="23">
        <v>0</v>
      </c>
      <c r="K1959" s="25">
        <v>0</v>
      </c>
      <c r="L1959" s="24">
        <v>0</v>
      </c>
      <c r="M1959" s="24">
        <f>J1959-L1959</f>
        <v>0</v>
      </c>
      <c r="N1959" s="53" t="str">
        <f>IF(J1959&lt;&gt;0,M1959/J1959,"")</f>
        <v/>
      </c>
      <c r="O1959" s="23">
        <v>529.20000000000005</v>
      </c>
      <c r="P1959" s="25">
        <v>150</v>
      </c>
      <c r="Q1959" s="24">
        <v>247.53000000000003</v>
      </c>
      <c r="R1959" s="24">
        <f>O1959-Q1959</f>
        <v>281.67</v>
      </c>
      <c r="S1959" s="53">
        <f>IF(O1959&lt;&gt;0,R1959/O1959,"")</f>
        <v>0.53225623582766435</v>
      </c>
      <c r="T1959" s="10"/>
      <c r="U1959" s="23">
        <v>508.03000000000003</v>
      </c>
      <c r="V1959" s="25">
        <v>144</v>
      </c>
      <c r="W1959" s="24">
        <v>237.63000000000002</v>
      </c>
      <c r="X1959" s="24">
        <f>U1959-W1959</f>
        <v>270.39999999999998</v>
      </c>
      <c r="Y1959" s="53">
        <f>IF(U1959&lt;&gt;0,X1959/U1959,"")</f>
        <v>0.53225203236029361</v>
      </c>
      <c r="Z1959" s="23">
        <v>0</v>
      </c>
      <c r="AA1959" s="25">
        <v>0</v>
      </c>
      <c r="AB1959" s="24">
        <v>0</v>
      </c>
      <c r="AC1959" s="24">
        <f t="shared" si="566"/>
        <v>0</v>
      </c>
      <c r="AD1959" s="53" t="str">
        <f t="shared" si="567"/>
        <v/>
      </c>
      <c r="AE1959" s="10"/>
    </row>
    <row r="1960" spans="1:31" x14ac:dyDescent="0.25">
      <c r="A1960" s="14" t="s">
        <v>109</v>
      </c>
      <c r="C1960" s="61" t="str">
        <f t="shared" si="565"/>
        <v>C100112</v>
      </c>
      <c r="F1960" s="8" t="str">
        <f>"E100002"</f>
        <v>E100002</v>
      </c>
      <c r="G1960" s="9" t="str">
        <f>"Cotton Classic Tote"</f>
        <v>Cotton Classic Tote</v>
      </c>
      <c r="H1960" s="47"/>
      <c r="I1960" s="47"/>
      <c r="J1960" s="23">
        <v>0</v>
      </c>
      <c r="K1960" s="25">
        <v>0</v>
      </c>
      <c r="L1960" s="24">
        <v>0</v>
      </c>
      <c r="M1960" s="24">
        <f>J1960-L1960</f>
        <v>0</v>
      </c>
      <c r="N1960" s="53" t="str">
        <f>IF(J1960&lt;&gt;0,M1960/J1960,"")</f>
        <v/>
      </c>
      <c r="O1960" s="23">
        <v>176.4</v>
      </c>
      <c r="P1960" s="25">
        <v>144</v>
      </c>
      <c r="Q1960" s="24">
        <v>92.17</v>
      </c>
      <c r="R1960" s="24">
        <f>O1960-Q1960</f>
        <v>84.23</v>
      </c>
      <c r="S1960" s="53">
        <f>IF(O1960&lt;&gt;0,R1960/O1960,"")</f>
        <v>0.47749433106575967</v>
      </c>
      <c r="T1960" s="10"/>
      <c r="U1960" s="23">
        <v>0</v>
      </c>
      <c r="V1960" s="25">
        <v>0</v>
      </c>
      <c r="W1960" s="24">
        <v>0</v>
      </c>
      <c r="X1960" s="24">
        <f>U1960-W1960</f>
        <v>0</v>
      </c>
      <c r="Y1960" s="53" t="str">
        <f>IF(U1960&lt;&gt;0,X1960/U1960,"")</f>
        <v/>
      </c>
      <c r="Z1960" s="23">
        <v>176.4</v>
      </c>
      <c r="AA1960" s="25">
        <v>144</v>
      </c>
      <c r="AB1960" s="24">
        <v>92.17</v>
      </c>
      <c r="AC1960" s="24">
        <f t="shared" si="566"/>
        <v>84.23</v>
      </c>
      <c r="AD1960" s="53">
        <f t="shared" si="567"/>
        <v>0.47749433106575967</v>
      </c>
      <c r="AE1960" s="10"/>
    </row>
    <row r="1961" spans="1:31" x14ac:dyDescent="0.25">
      <c r="A1961" s="14" t="s">
        <v>109</v>
      </c>
      <c r="C1961" s="61" t="str">
        <f t="shared" si="565"/>
        <v>C100112</v>
      </c>
      <c r="F1961" s="8" t="str">
        <f>"E100003"</f>
        <v>E100003</v>
      </c>
      <c r="G1961" s="9" t="str">
        <f>"Recycled Tote"</f>
        <v>Recycled Tote</v>
      </c>
      <c r="H1961" s="47"/>
      <c r="I1961" s="47"/>
      <c r="J1961" s="23">
        <v>0</v>
      </c>
      <c r="K1961" s="25">
        <v>0</v>
      </c>
      <c r="L1961" s="24">
        <v>0</v>
      </c>
      <c r="M1961" s="24">
        <f>J1961-L1961</f>
        <v>0</v>
      </c>
      <c r="N1961" s="53" t="str">
        <f>IF(J1961&lt;&gt;0,M1961/J1961,"")</f>
        <v/>
      </c>
      <c r="O1961" s="23">
        <v>436.06</v>
      </c>
      <c r="P1961" s="25">
        <v>144</v>
      </c>
      <c r="Q1961" s="24">
        <v>244.81000000000003</v>
      </c>
      <c r="R1961" s="24">
        <f>O1961-Q1961</f>
        <v>191.24999999999997</v>
      </c>
      <c r="S1961" s="53">
        <f>IF(O1961&lt;&gt;0,R1961/O1961,"")</f>
        <v>0.4385864330596706</v>
      </c>
      <c r="T1961" s="10"/>
      <c r="U1961" s="23">
        <v>0</v>
      </c>
      <c r="V1961" s="25">
        <v>0</v>
      </c>
      <c r="W1961" s="24">
        <v>0</v>
      </c>
      <c r="X1961" s="24">
        <f>U1961-W1961</f>
        <v>0</v>
      </c>
      <c r="Y1961" s="53" t="str">
        <f>IF(U1961&lt;&gt;0,X1961/U1961,"")</f>
        <v/>
      </c>
      <c r="Z1961" s="23">
        <v>0</v>
      </c>
      <c r="AA1961" s="25">
        <v>0</v>
      </c>
      <c r="AB1961" s="24">
        <v>0</v>
      </c>
      <c r="AC1961" s="24">
        <f t="shared" si="566"/>
        <v>0</v>
      </c>
      <c r="AD1961" s="53" t="str">
        <f t="shared" si="567"/>
        <v/>
      </c>
      <c r="AE1961" s="10"/>
    </row>
    <row r="1962" spans="1:31" x14ac:dyDescent="0.25">
      <c r="A1962" s="14" t="s">
        <v>109</v>
      </c>
      <c r="C1962" s="61" t="str">
        <f t="shared" si="565"/>
        <v>C100112</v>
      </c>
      <c r="F1962" s="8" t="str">
        <f>"E100007"</f>
        <v>E100007</v>
      </c>
      <c r="G1962" s="9" t="str">
        <f>"Plastic Handle Bag"</f>
        <v>Plastic Handle Bag</v>
      </c>
      <c r="H1962" s="47"/>
      <c r="I1962" s="47"/>
      <c r="J1962" s="23">
        <v>0</v>
      </c>
      <c r="K1962" s="25">
        <v>0</v>
      </c>
      <c r="L1962" s="24">
        <v>0</v>
      </c>
      <c r="M1962" s="24">
        <f>J1962-L1962</f>
        <v>0</v>
      </c>
      <c r="N1962" s="53" t="str">
        <f>IF(J1962&lt;&gt;0,M1962/J1962,"")</f>
        <v/>
      </c>
      <c r="O1962" s="23">
        <v>0.32</v>
      </c>
      <c r="P1962" s="25">
        <v>1</v>
      </c>
      <c r="Q1962" s="24">
        <v>0.18</v>
      </c>
      <c r="R1962" s="24">
        <f>O1962-Q1962</f>
        <v>0.14000000000000001</v>
      </c>
      <c r="S1962" s="53">
        <f>IF(O1962&lt;&gt;0,R1962/O1962,"")</f>
        <v>0.43750000000000006</v>
      </c>
      <c r="T1962" s="10"/>
      <c r="U1962" s="23">
        <v>0</v>
      </c>
      <c r="V1962" s="25">
        <v>0</v>
      </c>
      <c r="W1962" s="24">
        <v>0</v>
      </c>
      <c r="X1962" s="24">
        <f>U1962-W1962</f>
        <v>0</v>
      </c>
      <c r="Y1962" s="53" t="str">
        <f>IF(U1962&lt;&gt;0,X1962/U1962,"")</f>
        <v/>
      </c>
      <c r="Z1962" s="23">
        <v>0</v>
      </c>
      <c r="AA1962" s="25">
        <v>0</v>
      </c>
      <c r="AB1962" s="24">
        <v>0</v>
      </c>
      <c r="AC1962" s="24">
        <f t="shared" si="566"/>
        <v>0</v>
      </c>
      <c r="AD1962" s="53" t="str">
        <f t="shared" si="567"/>
        <v/>
      </c>
      <c r="AE1962" s="10"/>
    </row>
    <row r="1963" spans="1:31" x14ac:dyDescent="0.25">
      <c r="A1963" s="14" t="s">
        <v>109</v>
      </c>
      <c r="C1963" s="61" t="str">
        <f t="shared" si="565"/>
        <v>C100112</v>
      </c>
      <c r="F1963" s="8" t="str">
        <f>"E100008"</f>
        <v>E100008</v>
      </c>
      <c r="G1963" s="9" t="str">
        <f>"Super Shopper"</f>
        <v>Super Shopper</v>
      </c>
      <c r="H1963" s="47"/>
      <c r="I1963" s="47"/>
      <c r="J1963" s="23">
        <v>0</v>
      </c>
      <c r="K1963" s="25">
        <v>0</v>
      </c>
      <c r="L1963" s="24">
        <v>0</v>
      </c>
      <c r="M1963" s="24">
        <f>J1963-L1963</f>
        <v>0</v>
      </c>
      <c r="N1963" s="53" t="str">
        <f>IF(J1963&lt;&gt;0,M1963/J1963,"")</f>
        <v/>
      </c>
      <c r="O1963" s="23">
        <v>0.23</v>
      </c>
      <c r="P1963" s="25">
        <v>1</v>
      </c>
      <c r="Q1963" s="24">
        <v>0.12</v>
      </c>
      <c r="R1963" s="24">
        <f>O1963-Q1963</f>
        <v>0.11000000000000001</v>
      </c>
      <c r="S1963" s="53">
        <f>IF(O1963&lt;&gt;0,R1963/O1963,"")</f>
        <v>0.47826086956521741</v>
      </c>
      <c r="T1963" s="10"/>
      <c r="U1963" s="23">
        <v>32.46</v>
      </c>
      <c r="V1963" s="25">
        <v>144</v>
      </c>
      <c r="W1963" s="24">
        <v>17.29</v>
      </c>
      <c r="X1963" s="24">
        <f>U1963-W1963</f>
        <v>15.170000000000002</v>
      </c>
      <c r="Y1963" s="53">
        <f>IF(U1963&lt;&gt;0,X1963/U1963,"")</f>
        <v>0.46734442390634634</v>
      </c>
      <c r="Z1963" s="23">
        <v>0</v>
      </c>
      <c r="AA1963" s="25">
        <v>0</v>
      </c>
      <c r="AB1963" s="24">
        <v>0</v>
      </c>
      <c r="AC1963" s="24">
        <f t="shared" si="566"/>
        <v>0</v>
      </c>
      <c r="AD1963" s="53" t="str">
        <f t="shared" si="567"/>
        <v/>
      </c>
      <c r="AE1963" s="10"/>
    </row>
    <row r="1964" spans="1:31" x14ac:dyDescent="0.25">
      <c r="A1964" s="14" t="s">
        <v>109</v>
      </c>
      <c r="C1964" s="61" t="str">
        <f t="shared" si="565"/>
        <v>C100112</v>
      </c>
      <c r="F1964" s="8" t="str">
        <f>"E100009"</f>
        <v>E100009</v>
      </c>
      <c r="G1964" s="9" t="str">
        <f>"Die-Cut Tote"</f>
        <v>Die-Cut Tote</v>
      </c>
      <c r="H1964" s="47"/>
      <c r="I1964" s="47"/>
      <c r="J1964" s="23">
        <v>0</v>
      </c>
      <c r="K1964" s="25">
        <v>0</v>
      </c>
      <c r="L1964" s="24">
        <v>0</v>
      </c>
      <c r="M1964" s="24">
        <f>J1964-L1964</f>
        <v>0</v>
      </c>
      <c r="N1964" s="53" t="str">
        <f>IF(J1964&lt;&gt;0,M1964/J1964,"")</f>
        <v/>
      </c>
      <c r="O1964" s="23">
        <v>0.23</v>
      </c>
      <c r="P1964" s="25">
        <v>1</v>
      </c>
      <c r="Q1964" s="24">
        <v>0.11</v>
      </c>
      <c r="R1964" s="24">
        <f>O1964-Q1964</f>
        <v>0.12000000000000001</v>
      </c>
      <c r="S1964" s="53">
        <f>IF(O1964&lt;&gt;0,R1964/O1964,"")</f>
        <v>0.52173913043478259</v>
      </c>
      <c r="T1964" s="10"/>
      <c r="U1964" s="23">
        <v>0</v>
      </c>
      <c r="V1964" s="25">
        <v>0</v>
      </c>
      <c r="W1964" s="24">
        <v>0</v>
      </c>
      <c r="X1964" s="24">
        <f>U1964-W1964</f>
        <v>0</v>
      </c>
      <c r="Y1964" s="53" t="str">
        <f>IF(U1964&lt;&gt;0,X1964/U1964,"")</f>
        <v/>
      </c>
      <c r="Z1964" s="23">
        <v>0</v>
      </c>
      <c r="AA1964" s="25">
        <v>0</v>
      </c>
      <c r="AB1964" s="24">
        <v>0</v>
      </c>
      <c r="AC1964" s="24">
        <f t="shared" si="566"/>
        <v>0</v>
      </c>
      <c r="AD1964" s="53" t="str">
        <f t="shared" si="567"/>
        <v/>
      </c>
      <c r="AE1964" s="10"/>
    </row>
    <row r="1965" spans="1:31" x14ac:dyDescent="0.25">
      <c r="A1965" s="14" t="s">
        <v>109</v>
      </c>
      <c r="C1965" s="61" t="str">
        <f t="shared" si="565"/>
        <v>C100112</v>
      </c>
      <c r="F1965" s="8" t="str">
        <f>"E100010"</f>
        <v>E100010</v>
      </c>
      <c r="G1965" s="9" t="str">
        <f>"Vinyl Tote"</f>
        <v>Vinyl Tote</v>
      </c>
      <c r="H1965" s="47"/>
      <c r="I1965" s="47"/>
      <c r="J1965" s="23">
        <v>0</v>
      </c>
      <c r="K1965" s="25">
        <v>0</v>
      </c>
      <c r="L1965" s="24">
        <v>0</v>
      </c>
      <c r="M1965" s="24">
        <f>J1965-L1965</f>
        <v>0</v>
      </c>
      <c r="N1965" s="53" t="str">
        <f>IF(J1965&lt;&gt;0,M1965/J1965,"")</f>
        <v/>
      </c>
      <c r="O1965" s="23">
        <v>43.75</v>
      </c>
      <c r="P1965" s="25">
        <v>144</v>
      </c>
      <c r="Q1965" s="24">
        <v>25.92</v>
      </c>
      <c r="R1965" s="24">
        <f>O1965-Q1965</f>
        <v>17.829999999999998</v>
      </c>
      <c r="S1965" s="53">
        <f>IF(O1965&lt;&gt;0,R1965/O1965,"")</f>
        <v>0.4075428571428571</v>
      </c>
      <c r="T1965" s="10"/>
      <c r="U1965" s="23">
        <v>2.12</v>
      </c>
      <c r="V1965" s="25">
        <v>7</v>
      </c>
      <c r="W1965" s="24">
        <v>1.26</v>
      </c>
      <c r="X1965" s="24">
        <f>U1965-W1965</f>
        <v>0.8600000000000001</v>
      </c>
      <c r="Y1965" s="53">
        <f>IF(U1965&lt;&gt;0,X1965/U1965,"")</f>
        <v>0.40566037735849059</v>
      </c>
      <c r="Z1965" s="23">
        <v>0</v>
      </c>
      <c r="AA1965" s="25">
        <v>0</v>
      </c>
      <c r="AB1965" s="24">
        <v>0</v>
      </c>
      <c r="AC1965" s="24">
        <f t="shared" si="566"/>
        <v>0</v>
      </c>
      <c r="AD1965" s="53" t="str">
        <f t="shared" si="567"/>
        <v/>
      </c>
      <c r="AE1965" s="10"/>
    </row>
    <row r="1966" spans="1:31" x14ac:dyDescent="0.25">
      <c r="A1966" s="14" t="s">
        <v>109</v>
      </c>
      <c r="C1966" s="61" t="str">
        <f t="shared" si="565"/>
        <v>C100112</v>
      </c>
      <c r="F1966" s="8" t="str">
        <f>"E100011"</f>
        <v>E100011</v>
      </c>
      <c r="G1966" s="9" t="str">
        <f>"Plastic Sun Visor"</f>
        <v>Plastic Sun Visor</v>
      </c>
      <c r="H1966" s="47"/>
      <c r="I1966" s="47"/>
      <c r="J1966" s="23">
        <v>0</v>
      </c>
      <c r="K1966" s="25">
        <v>0</v>
      </c>
      <c r="L1966" s="24">
        <v>0</v>
      </c>
      <c r="M1966" s="24">
        <f>J1966-L1966</f>
        <v>0</v>
      </c>
      <c r="N1966" s="53" t="str">
        <f>IF(J1966&lt;&gt;0,M1966/J1966,"")</f>
        <v/>
      </c>
      <c r="O1966" s="23">
        <v>114.31</v>
      </c>
      <c r="P1966" s="25">
        <v>144</v>
      </c>
      <c r="Q1966" s="24">
        <v>60.470000000000006</v>
      </c>
      <c r="R1966" s="24">
        <f>O1966-Q1966</f>
        <v>53.839999999999996</v>
      </c>
      <c r="S1966" s="53">
        <f>IF(O1966&lt;&gt;0,R1966/O1966,"")</f>
        <v>0.47099991251858975</v>
      </c>
      <c r="T1966" s="10"/>
      <c r="U1966" s="23">
        <v>114.31</v>
      </c>
      <c r="V1966" s="25">
        <v>144</v>
      </c>
      <c r="W1966" s="24">
        <v>60.470000000000006</v>
      </c>
      <c r="X1966" s="24">
        <f>U1966-W1966</f>
        <v>53.839999999999996</v>
      </c>
      <c r="Y1966" s="53">
        <f>IF(U1966&lt;&gt;0,X1966/U1966,"")</f>
        <v>0.47099991251858975</v>
      </c>
      <c r="Z1966" s="23">
        <v>0</v>
      </c>
      <c r="AA1966" s="25">
        <v>0</v>
      </c>
      <c r="AB1966" s="24">
        <v>0</v>
      </c>
      <c r="AC1966" s="24">
        <f t="shared" si="566"/>
        <v>0</v>
      </c>
      <c r="AD1966" s="53" t="str">
        <f t="shared" si="567"/>
        <v/>
      </c>
      <c r="AE1966" s="10"/>
    </row>
    <row r="1967" spans="1:31" x14ac:dyDescent="0.25">
      <c r="A1967" s="14" t="s">
        <v>109</v>
      </c>
      <c r="C1967" s="61" t="str">
        <f t="shared" si="565"/>
        <v>C100112</v>
      </c>
      <c r="F1967" s="8" t="str">
        <f>"E100018"</f>
        <v>E100018</v>
      </c>
      <c r="G1967" s="9" t="str">
        <f>"Flexi-Clock &amp; Clip"</f>
        <v>Flexi-Clock &amp; Clip</v>
      </c>
      <c r="H1967" s="47"/>
      <c r="I1967" s="47"/>
      <c r="J1967" s="23">
        <v>0</v>
      </c>
      <c r="K1967" s="25">
        <v>0</v>
      </c>
      <c r="L1967" s="24">
        <v>0</v>
      </c>
      <c r="M1967" s="24">
        <f>J1967-L1967</f>
        <v>0</v>
      </c>
      <c r="N1967" s="53" t="str">
        <f>IF(J1967&lt;&gt;0,M1967/J1967,"")</f>
        <v/>
      </c>
      <c r="O1967" s="23">
        <v>159.47</v>
      </c>
      <c r="P1967" s="25">
        <v>144</v>
      </c>
      <c r="Q1967" s="24">
        <v>86.39</v>
      </c>
      <c r="R1967" s="24">
        <f>O1967-Q1967</f>
        <v>73.08</v>
      </c>
      <c r="S1967" s="53">
        <f>IF(O1967&lt;&gt;0,R1967/O1967,"")</f>
        <v>0.45826801279237472</v>
      </c>
      <c r="T1967" s="10"/>
      <c r="U1967" s="23">
        <v>1.1100000000000001</v>
      </c>
      <c r="V1967" s="25">
        <v>1</v>
      </c>
      <c r="W1967" s="24">
        <v>0.6</v>
      </c>
      <c r="X1967" s="24">
        <f>U1967-W1967</f>
        <v>0.51000000000000012</v>
      </c>
      <c r="Y1967" s="53">
        <f>IF(U1967&lt;&gt;0,X1967/U1967,"")</f>
        <v>0.45945945945945954</v>
      </c>
      <c r="Z1967" s="23">
        <v>0</v>
      </c>
      <c r="AA1967" s="25">
        <v>0</v>
      </c>
      <c r="AB1967" s="24">
        <v>0</v>
      </c>
      <c r="AC1967" s="24">
        <f t="shared" si="566"/>
        <v>0</v>
      </c>
      <c r="AD1967" s="53" t="str">
        <f t="shared" si="567"/>
        <v/>
      </c>
      <c r="AE1967" s="10"/>
    </row>
    <row r="1968" spans="1:31" x14ac:dyDescent="0.25">
      <c r="A1968" s="14" t="s">
        <v>109</v>
      </c>
      <c r="C1968" s="61" t="str">
        <f t="shared" si="565"/>
        <v>C100112</v>
      </c>
      <c r="F1968" s="8" t="str">
        <f>"E100023"</f>
        <v>E100023</v>
      </c>
      <c r="G1968" s="9" t="str">
        <f>"Sport Earbuds"</f>
        <v>Sport Earbuds</v>
      </c>
      <c r="H1968" s="47"/>
      <c r="I1968" s="47"/>
      <c r="J1968" s="23">
        <v>0</v>
      </c>
      <c r="K1968" s="25">
        <v>0</v>
      </c>
      <c r="L1968" s="24">
        <v>0</v>
      </c>
      <c r="M1968" s="24">
        <f>J1968-L1968</f>
        <v>0</v>
      </c>
      <c r="N1968" s="53" t="str">
        <f>IF(J1968&lt;&gt;0,M1968/J1968,"")</f>
        <v/>
      </c>
      <c r="O1968" s="23">
        <v>4.43</v>
      </c>
      <c r="P1968" s="25">
        <v>1</v>
      </c>
      <c r="Q1968" s="24">
        <v>2.1</v>
      </c>
      <c r="R1968" s="24">
        <f>O1968-Q1968</f>
        <v>2.3299999999999996</v>
      </c>
      <c r="S1968" s="53">
        <f>IF(O1968&lt;&gt;0,R1968/O1968,"")</f>
        <v>0.52595936794582387</v>
      </c>
      <c r="T1968" s="10"/>
      <c r="U1968" s="23">
        <v>637.86</v>
      </c>
      <c r="V1968" s="25">
        <v>144</v>
      </c>
      <c r="W1968" s="24">
        <v>302.39999999999998</v>
      </c>
      <c r="X1968" s="24">
        <f>U1968-W1968</f>
        <v>335.46000000000004</v>
      </c>
      <c r="Y1968" s="53">
        <f>IF(U1968&lt;&gt;0,X1968/U1968,"")</f>
        <v>0.52591477753739069</v>
      </c>
      <c r="Z1968" s="23">
        <v>0</v>
      </c>
      <c r="AA1968" s="25">
        <v>0</v>
      </c>
      <c r="AB1968" s="24">
        <v>0</v>
      </c>
      <c r="AC1968" s="24">
        <f t="shared" si="566"/>
        <v>0</v>
      </c>
      <c r="AD1968" s="53" t="str">
        <f t="shared" si="567"/>
        <v/>
      </c>
      <c r="AE1968" s="10"/>
    </row>
    <row r="1969" spans="1:31" x14ac:dyDescent="0.25">
      <c r="A1969" s="14" t="s">
        <v>109</v>
      </c>
      <c r="C1969" s="61" t="str">
        <f t="shared" si="565"/>
        <v>C100112</v>
      </c>
      <c r="F1969" s="8" t="str">
        <f>"E100024"</f>
        <v>E100024</v>
      </c>
      <c r="G1969" s="9" t="str">
        <f>"Arch Calculator"</f>
        <v>Arch Calculator</v>
      </c>
      <c r="H1969" s="47"/>
      <c r="I1969" s="47"/>
      <c r="J1969" s="23">
        <v>0</v>
      </c>
      <c r="K1969" s="25">
        <v>0</v>
      </c>
      <c r="L1969" s="24">
        <v>0</v>
      </c>
      <c r="M1969" s="24">
        <f>J1969-L1969</f>
        <v>0</v>
      </c>
      <c r="N1969" s="53" t="str">
        <f>IF(J1969&lt;&gt;0,M1969/J1969,"")</f>
        <v/>
      </c>
      <c r="O1969" s="23">
        <v>37.4</v>
      </c>
      <c r="P1969" s="25">
        <v>12</v>
      </c>
      <c r="Q1969" s="24">
        <v>20.63</v>
      </c>
      <c r="R1969" s="24">
        <f>O1969-Q1969</f>
        <v>16.77</v>
      </c>
      <c r="S1969" s="53">
        <f>IF(O1969&lt;&gt;0,R1969/O1969,"")</f>
        <v>0.44839572192513372</v>
      </c>
      <c r="T1969" s="10"/>
      <c r="U1969" s="23">
        <v>0</v>
      </c>
      <c r="V1969" s="25">
        <v>0</v>
      </c>
      <c r="W1969" s="24">
        <v>0</v>
      </c>
      <c r="X1969" s="24">
        <f>U1969-W1969</f>
        <v>0</v>
      </c>
      <c r="Y1969" s="53" t="str">
        <f>IF(U1969&lt;&gt;0,X1969/U1969,"")</f>
        <v/>
      </c>
      <c r="Z1969" s="23">
        <v>0</v>
      </c>
      <c r="AA1969" s="25">
        <v>0</v>
      </c>
      <c r="AB1969" s="24">
        <v>0</v>
      </c>
      <c r="AC1969" s="24">
        <f t="shared" si="566"/>
        <v>0</v>
      </c>
      <c r="AD1969" s="53" t="str">
        <f t="shared" si="567"/>
        <v/>
      </c>
      <c r="AE1969" s="10"/>
    </row>
    <row r="1970" spans="1:31" x14ac:dyDescent="0.25">
      <c r="A1970" s="14" t="s">
        <v>109</v>
      </c>
      <c r="C1970" s="61" t="str">
        <f t="shared" si="565"/>
        <v>C100112</v>
      </c>
      <c r="F1970" s="8" t="str">
        <f>"E100027"</f>
        <v>E100027</v>
      </c>
      <c r="G1970" s="9" t="str">
        <f>"Ergo-Calculator"</f>
        <v>Ergo-Calculator</v>
      </c>
      <c r="H1970" s="47"/>
      <c r="I1970" s="47"/>
      <c r="J1970" s="23">
        <v>0</v>
      </c>
      <c r="K1970" s="25">
        <v>0</v>
      </c>
      <c r="L1970" s="24">
        <v>0</v>
      </c>
      <c r="M1970" s="24">
        <f>J1970-L1970</f>
        <v>0</v>
      </c>
      <c r="N1970" s="53" t="str">
        <f>IF(J1970&lt;&gt;0,M1970/J1970,"")</f>
        <v/>
      </c>
      <c r="O1970" s="23">
        <v>4.74</v>
      </c>
      <c r="P1970" s="25">
        <v>2</v>
      </c>
      <c r="Q1970" s="24">
        <v>2.56</v>
      </c>
      <c r="R1970" s="24">
        <f>O1970-Q1970</f>
        <v>2.1800000000000002</v>
      </c>
      <c r="S1970" s="53">
        <f>IF(O1970&lt;&gt;0,R1970/O1970,"")</f>
        <v>0.45991561181434598</v>
      </c>
      <c r="T1970" s="10"/>
      <c r="U1970" s="23">
        <v>0</v>
      </c>
      <c r="V1970" s="25">
        <v>0</v>
      </c>
      <c r="W1970" s="24">
        <v>0</v>
      </c>
      <c r="X1970" s="24">
        <f>U1970-W1970</f>
        <v>0</v>
      </c>
      <c r="Y1970" s="53" t="str">
        <f>IF(U1970&lt;&gt;0,X1970/U1970,"")</f>
        <v/>
      </c>
      <c r="Z1970" s="23">
        <v>341.51</v>
      </c>
      <c r="AA1970" s="25">
        <v>144</v>
      </c>
      <c r="AB1970" s="24">
        <v>184.35</v>
      </c>
      <c r="AC1970" s="24">
        <f t="shared" si="566"/>
        <v>157.16</v>
      </c>
      <c r="AD1970" s="53">
        <f t="shared" si="567"/>
        <v>0.46019150244502355</v>
      </c>
      <c r="AE1970" s="10"/>
    </row>
    <row r="1971" spans="1:31" x14ac:dyDescent="0.25">
      <c r="A1971" s="14" t="s">
        <v>109</v>
      </c>
      <c r="C1971" s="61" t="str">
        <f t="shared" si="565"/>
        <v>C100112</v>
      </c>
      <c r="F1971" s="8" t="str">
        <f>"E100028"</f>
        <v>E100028</v>
      </c>
      <c r="G1971" s="9" t="str">
        <f>"USB 4-Port Hub"</f>
        <v>USB 4-Port Hub</v>
      </c>
      <c r="H1971" s="47"/>
      <c r="I1971" s="47"/>
      <c r="J1971" s="23">
        <v>0</v>
      </c>
      <c r="K1971" s="25">
        <v>0</v>
      </c>
      <c r="L1971" s="24">
        <v>0</v>
      </c>
      <c r="M1971" s="24">
        <f>J1971-L1971</f>
        <v>0</v>
      </c>
      <c r="N1971" s="53" t="str">
        <f>IF(J1971&lt;&gt;0,M1971/J1971,"")</f>
        <v/>
      </c>
      <c r="O1971" s="23">
        <v>406.42999999999995</v>
      </c>
      <c r="P1971" s="25">
        <v>144</v>
      </c>
      <c r="Q1971" s="24">
        <v>267.91000000000003</v>
      </c>
      <c r="R1971" s="24">
        <f>O1971-Q1971</f>
        <v>138.51999999999992</v>
      </c>
      <c r="S1971" s="53">
        <f>IF(O1971&lt;&gt;0,R1971/O1971,"")</f>
        <v>0.34082129764042995</v>
      </c>
      <c r="T1971" s="10"/>
      <c r="U1971" s="23">
        <v>0</v>
      </c>
      <c r="V1971" s="25">
        <v>0</v>
      </c>
      <c r="W1971" s="24">
        <v>0</v>
      </c>
      <c r="X1971" s="24">
        <f>U1971-W1971</f>
        <v>0</v>
      </c>
      <c r="Y1971" s="53" t="str">
        <f>IF(U1971&lt;&gt;0,X1971/U1971,"")</f>
        <v/>
      </c>
      <c r="Z1971" s="23">
        <v>0</v>
      </c>
      <c r="AA1971" s="25">
        <v>0</v>
      </c>
      <c r="AB1971" s="24">
        <v>0</v>
      </c>
      <c r="AC1971" s="24">
        <f t="shared" si="566"/>
        <v>0</v>
      </c>
      <c r="AD1971" s="53" t="str">
        <f t="shared" si="567"/>
        <v/>
      </c>
      <c r="AE1971" s="10"/>
    </row>
    <row r="1972" spans="1:31" x14ac:dyDescent="0.25">
      <c r="A1972" s="14" t="s">
        <v>109</v>
      </c>
      <c r="C1972" s="61" t="str">
        <f t="shared" si="565"/>
        <v>C100112</v>
      </c>
      <c r="F1972" s="8" t="str">
        <f>"E100031"</f>
        <v>E100031</v>
      </c>
      <c r="G1972" s="9" t="str">
        <f>"Ad Torch"</f>
        <v>Ad Torch</v>
      </c>
      <c r="H1972" s="47"/>
      <c r="I1972" s="47"/>
      <c r="J1972" s="23">
        <v>0</v>
      </c>
      <c r="K1972" s="25">
        <v>0</v>
      </c>
      <c r="L1972" s="24">
        <v>0</v>
      </c>
      <c r="M1972" s="24">
        <f>J1972-L1972</f>
        <v>0</v>
      </c>
      <c r="N1972" s="53" t="str">
        <f>IF(J1972&lt;&gt;0,M1972/J1972,"")</f>
        <v/>
      </c>
      <c r="O1972" s="23">
        <v>393.71999999999997</v>
      </c>
      <c r="P1972" s="25">
        <v>144</v>
      </c>
      <c r="Q1972" s="24">
        <v>198.73000000000002</v>
      </c>
      <c r="R1972" s="24">
        <f>O1972-Q1972</f>
        <v>194.98999999999995</v>
      </c>
      <c r="S1972" s="53">
        <f>IF(O1972&lt;&gt;0,R1972/O1972,"")</f>
        <v>0.49525043177892908</v>
      </c>
      <c r="T1972" s="10"/>
      <c r="U1972" s="23">
        <v>0</v>
      </c>
      <c r="V1972" s="25">
        <v>0</v>
      </c>
      <c r="W1972" s="24">
        <v>0</v>
      </c>
      <c r="X1972" s="24">
        <f>U1972-W1972</f>
        <v>0</v>
      </c>
      <c r="Y1972" s="53" t="str">
        <f>IF(U1972&lt;&gt;0,X1972/U1972,"")</f>
        <v/>
      </c>
      <c r="Z1972" s="23">
        <v>787.45</v>
      </c>
      <c r="AA1972" s="25">
        <v>288</v>
      </c>
      <c r="AB1972" s="24">
        <v>397.45000000000005</v>
      </c>
      <c r="AC1972" s="24">
        <f t="shared" si="566"/>
        <v>390</v>
      </c>
      <c r="AD1972" s="53">
        <f t="shared" si="567"/>
        <v>0.49526954092323322</v>
      </c>
      <c r="AE1972" s="10"/>
    </row>
    <row r="1973" spans="1:31" x14ac:dyDescent="0.25">
      <c r="A1973" s="14" t="s">
        <v>109</v>
      </c>
      <c r="C1973" s="61" t="str">
        <f t="shared" si="565"/>
        <v>C100112</v>
      </c>
      <c r="F1973" s="8" t="str">
        <f>"E100034"</f>
        <v>E100034</v>
      </c>
      <c r="G1973" s="9" t="str">
        <f>"Bamboo 1GB USB Flash Drive"</f>
        <v>Bamboo 1GB USB Flash Drive</v>
      </c>
      <c r="H1973" s="47"/>
      <c r="I1973" s="47"/>
      <c r="J1973" s="23">
        <v>0</v>
      </c>
      <c r="K1973" s="25">
        <v>0</v>
      </c>
      <c r="L1973" s="24">
        <v>0</v>
      </c>
      <c r="M1973" s="24">
        <f>J1973-L1973</f>
        <v>0</v>
      </c>
      <c r="N1973" s="53" t="str">
        <f>IF(J1973&lt;&gt;0,M1973/J1973,"")</f>
        <v/>
      </c>
      <c r="O1973" s="23">
        <v>136.65</v>
      </c>
      <c r="P1973" s="25">
        <v>24</v>
      </c>
      <c r="Q1973" s="24">
        <v>64.8</v>
      </c>
      <c r="R1973" s="24">
        <f>O1973-Q1973</f>
        <v>71.850000000000009</v>
      </c>
      <c r="S1973" s="53">
        <f>IF(O1973&lt;&gt;0,R1973/O1973,"")</f>
        <v>0.52579582875960484</v>
      </c>
      <c r="T1973" s="10"/>
      <c r="U1973" s="23">
        <v>273.3</v>
      </c>
      <c r="V1973" s="25">
        <v>48</v>
      </c>
      <c r="W1973" s="24">
        <v>129.60999999999999</v>
      </c>
      <c r="X1973" s="24">
        <f>U1973-W1973</f>
        <v>143.69000000000003</v>
      </c>
      <c r="Y1973" s="53">
        <f>IF(U1973&lt;&gt;0,X1973/U1973,"")</f>
        <v>0.52575923893157706</v>
      </c>
      <c r="Z1973" s="23">
        <v>0</v>
      </c>
      <c r="AA1973" s="25">
        <v>0</v>
      </c>
      <c r="AB1973" s="24">
        <v>0</v>
      </c>
      <c r="AC1973" s="24">
        <f t="shared" si="566"/>
        <v>0</v>
      </c>
      <c r="AD1973" s="53" t="str">
        <f t="shared" si="567"/>
        <v/>
      </c>
      <c r="AE1973" s="10"/>
    </row>
    <row r="1974" spans="1:31" x14ac:dyDescent="0.25">
      <c r="A1974" s="14" t="s">
        <v>109</v>
      </c>
      <c r="C1974" s="61" t="str">
        <f t="shared" si="565"/>
        <v>C100112</v>
      </c>
      <c r="F1974" s="8" t="str">
        <f>"E100035"</f>
        <v>E100035</v>
      </c>
      <c r="G1974" s="9" t="str">
        <f>"2GB Foldout USB Flash Drive"</f>
        <v>2GB Foldout USB Flash Drive</v>
      </c>
      <c r="H1974" s="47"/>
      <c r="I1974" s="47"/>
      <c r="J1974" s="23">
        <v>0</v>
      </c>
      <c r="K1974" s="25">
        <v>0</v>
      </c>
      <c r="L1974" s="24">
        <v>0</v>
      </c>
      <c r="M1974" s="24">
        <f>J1974-L1974</f>
        <v>0</v>
      </c>
      <c r="N1974" s="53" t="str">
        <f>IF(J1974&lt;&gt;0,M1974/J1974,"")</f>
        <v/>
      </c>
      <c r="O1974" s="23">
        <v>546.13</v>
      </c>
      <c r="P1974" s="25">
        <v>144</v>
      </c>
      <c r="Q1974" s="24">
        <v>324.05</v>
      </c>
      <c r="R1974" s="24">
        <f>O1974-Q1974</f>
        <v>222.07999999999998</v>
      </c>
      <c r="S1974" s="53">
        <f>IF(O1974&lt;&gt;0,R1974/O1974,"")</f>
        <v>0.40664310695255707</v>
      </c>
      <c r="T1974" s="10"/>
      <c r="U1974" s="23">
        <v>549.91999999999996</v>
      </c>
      <c r="V1974" s="25">
        <v>145</v>
      </c>
      <c r="W1974" s="24">
        <v>326.3</v>
      </c>
      <c r="X1974" s="24">
        <f>U1974-W1974</f>
        <v>223.61999999999995</v>
      </c>
      <c r="Y1974" s="53">
        <f>IF(U1974&lt;&gt;0,X1974/U1974,"")</f>
        <v>0.40664096595868482</v>
      </c>
      <c r="Z1974" s="23">
        <v>0</v>
      </c>
      <c r="AA1974" s="25">
        <v>0</v>
      </c>
      <c r="AB1974" s="24">
        <v>0</v>
      </c>
      <c r="AC1974" s="24">
        <f t="shared" si="566"/>
        <v>0</v>
      </c>
      <c r="AD1974" s="53" t="str">
        <f t="shared" si="567"/>
        <v/>
      </c>
      <c r="AE1974" s="10"/>
    </row>
    <row r="1975" spans="1:31" x14ac:dyDescent="0.25">
      <c r="A1975" s="14" t="s">
        <v>109</v>
      </c>
      <c r="C1975" s="61" t="str">
        <f t="shared" si="565"/>
        <v>C100112</v>
      </c>
      <c r="F1975" s="8" t="str">
        <f>"E100038"</f>
        <v>E100038</v>
      </c>
      <c r="G1975" s="9" t="str">
        <f>"1GB USB Flash Drive Pen"</f>
        <v>1GB USB Flash Drive Pen</v>
      </c>
      <c r="H1975" s="47"/>
      <c r="I1975" s="47"/>
      <c r="J1975" s="23">
        <v>0</v>
      </c>
      <c r="K1975" s="25">
        <v>0</v>
      </c>
      <c r="L1975" s="24">
        <v>0</v>
      </c>
      <c r="M1975" s="24">
        <f>J1975-L1975</f>
        <v>0</v>
      </c>
      <c r="N1975" s="53" t="str">
        <f>IF(J1975&lt;&gt;0,M1975/J1975,"")</f>
        <v/>
      </c>
      <c r="O1975" s="23">
        <v>804.38</v>
      </c>
      <c r="P1975" s="25">
        <v>144</v>
      </c>
      <c r="Q1975" s="24">
        <v>427.72999999999996</v>
      </c>
      <c r="R1975" s="24">
        <f>O1975-Q1975</f>
        <v>376.65000000000003</v>
      </c>
      <c r="S1975" s="53">
        <f>IF(O1975&lt;&gt;0,R1975/O1975,"")</f>
        <v>0.46824883761406305</v>
      </c>
      <c r="T1975" s="10"/>
      <c r="U1975" s="23">
        <v>0</v>
      </c>
      <c r="V1975" s="25">
        <v>0</v>
      </c>
      <c r="W1975" s="24">
        <v>0</v>
      </c>
      <c r="X1975" s="24">
        <f>U1975-W1975</f>
        <v>0</v>
      </c>
      <c r="Y1975" s="53" t="str">
        <f>IF(U1975&lt;&gt;0,X1975/U1975,"")</f>
        <v/>
      </c>
      <c r="Z1975" s="23">
        <v>0</v>
      </c>
      <c r="AA1975" s="25">
        <v>0</v>
      </c>
      <c r="AB1975" s="24">
        <v>0</v>
      </c>
      <c r="AC1975" s="24">
        <f t="shared" si="566"/>
        <v>0</v>
      </c>
      <c r="AD1975" s="53" t="str">
        <f t="shared" si="567"/>
        <v/>
      </c>
      <c r="AE1975" s="10"/>
    </row>
    <row r="1976" spans="1:31" x14ac:dyDescent="0.25">
      <c r="A1976" s="14" t="s">
        <v>109</v>
      </c>
      <c r="C1976" s="61" t="str">
        <f t="shared" si="565"/>
        <v>C100112</v>
      </c>
      <c r="F1976" s="8" t="str">
        <f>"E100039"</f>
        <v>E100039</v>
      </c>
      <c r="G1976" s="9" t="str">
        <f>"Campfire Mug"</f>
        <v>Campfire Mug</v>
      </c>
      <c r="H1976" s="47"/>
      <c r="I1976" s="47"/>
      <c r="J1976" s="23">
        <v>0</v>
      </c>
      <c r="K1976" s="25">
        <v>0</v>
      </c>
      <c r="L1976" s="24">
        <v>0</v>
      </c>
      <c r="M1976" s="24">
        <f>J1976-L1976</f>
        <v>0</v>
      </c>
      <c r="N1976" s="53" t="str">
        <f>IF(J1976&lt;&gt;0,M1976/J1976,"")</f>
        <v/>
      </c>
      <c r="O1976" s="23">
        <v>242.73000000000002</v>
      </c>
      <c r="P1976" s="25">
        <v>144</v>
      </c>
      <c r="Q1976" s="24">
        <v>161.36000000000001</v>
      </c>
      <c r="R1976" s="24">
        <f>O1976-Q1976</f>
        <v>81.37</v>
      </c>
      <c r="S1976" s="53">
        <f>IF(O1976&lt;&gt;0,R1976/O1976,"")</f>
        <v>0.33522844312610717</v>
      </c>
      <c r="T1976" s="10"/>
      <c r="U1976" s="23">
        <v>0</v>
      </c>
      <c r="V1976" s="25">
        <v>0</v>
      </c>
      <c r="W1976" s="24">
        <v>0</v>
      </c>
      <c r="X1976" s="24">
        <f>U1976-W1976</f>
        <v>0</v>
      </c>
      <c r="Y1976" s="53" t="str">
        <f>IF(U1976&lt;&gt;0,X1976/U1976,"")</f>
        <v/>
      </c>
      <c r="Z1976" s="23">
        <v>0</v>
      </c>
      <c r="AA1976" s="25">
        <v>0</v>
      </c>
      <c r="AB1976" s="24">
        <v>0</v>
      </c>
      <c r="AC1976" s="24">
        <f t="shared" si="566"/>
        <v>0</v>
      </c>
      <c r="AD1976" s="53" t="str">
        <f t="shared" si="567"/>
        <v/>
      </c>
      <c r="AE1976" s="10"/>
    </row>
    <row r="1977" spans="1:31" x14ac:dyDescent="0.25">
      <c r="A1977" s="14" t="s">
        <v>109</v>
      </c>
      <c r="C1977" s="61" t="str">
        <f t="shared" si="565"/>
        <v>C100112</v>
      </c>
      <c r="F1977" s="8" t="str">
        <f>"E100041"</f>
        <v>E100041</v>
      </c>
      <c r="G1977" s="9" t="str">
        <f>"Biodegradable Colored SPORT BOT"</f>
        <v>Biodegradable Colored SPORT BOT</v>
      </c>
      <c r="H1977" s="47"/>
      <c r="I1977" s="47"/>
      <c r="J1977" s="23">
        <v>0</v>
      </c>
      <c r="K1977" s="25">
        <v>0</v>
      </c>
      <c r="L1977" s="24">
        <v>0</v>
      </c>
      <c r="M1977" s="24">
        <f>J1977-L1977</f>
        <v>0</v>
      </c>
      <c r="N1977" s="53" t="str">
        <f>IF(J1977&lt;&gt;0,M1977/J1977,"")</f>
        <v/>
      </c>
      <c r="O1977" s="23">
        <v>194.73999999999998</v>
      </c>
      <c r="P1977" s="25">
        <v>288</v>
      </c>
      <c r="Q1977" s="24">
        <v>123.80000000000001</v>
      </c>
      <c r="R1977" s="24">
        <f>O1977-Q1977</f>
        <v>70.939999999999969</v>
      </c>
      <c r="S1977" s="53">
        <f>IF(O1977&lt;&gt;0,R1977/O1977,"")</f>
        <v>0.36428057923385015</v>
      </c>
      <c r="T1977" s="10"/>
      <c r="U1977" s="23">
        <v>98.050000000000011</v>
      </c>
      <c r="V1977" s="25">
        <v>145</v>
      </c>
      <c r="W1977" s="24">
        <v>62.33</v>
      </c>
      <c r="X1977" s="24">
        <f>U1977-W1977</f>
        <v>35.720000000000013</v>
      </c>
      <c r="Y1977" s="53">
        <f>IF(U1977&lt;&gt;0,X1977/U1977,"")</f>
        <v>0.36430392656807759</v>
      </c>
      <c r="Z1977" s="23">
        <v>0</v>
      </c>
      <c r="AA1977" s="25">
        <v>0</v>
      </c>
      <c r="AB1977" s="24">
        <v>0</v>
      </c>
      <c r="AC1977" s="24">
        <f t="shared" si="566"/>
        <v>0</v>
      </c>
      <c r="AD1977" s="53" t="str">
        <f t="shared" si="567"/>
        <v/>
      </c>
      <c r="AE1977" s="10"/>
    </row>
    <row r="1978" spans="1:31" x14ac:dyDescent="0.25">
      <c r="A1978" s="14" t="s">
        <v>109</v>
      </c>
      <c r="C1978" s="61" t="str">
        <f t="shared" si="565"/>
        <v>C100112</v>
      </c>
      <c r="F1978" s="8" t="str">
        <f>"E100043"</f>
        <v>E100043</v>
      </c>
      <c r="G1978" s="9" t="str">
        <f>"Pub Glass"</f>
        <v>Pub Glass</v>
      </c>
      <c r="H1978" s="47"/>
      <c r="I1978" s="47"/>
      <c r="J1978" s="23">
        <v>0</v>
      </c>
      <c r="K1978" s="25">
        <v>0</v>
      </c>
      <c r="L1978" s="24">
        <v>0</v>
      </c>
      <c r="M1978" s="24">
        <f>J1978-L1978</f>
        <v>0</v>
      </c>
      <c r="N1978" s="53" t="str">
        <f>IF(J1978&lt;&gt;0,M1978/J1978,"")</f>
        <v/>
      </c>
      <c r="O1978" s="23">
        <v>8.35</v>
      </c>
      <c r="P1978" s="25">
        <v>6</v>
      </c>
      <c r="Q1978" s="24">
        <v>5.58</v>
      </c>
      <c r="R1978" s="24">
        <f>O1978-Q1978</f>
        <v>2.7699999999999996</v>
      </c>
      <c r="S1978" s="53">
        <f>IF(O1978&lt;&gt;0,R1978/O1978,"")</f>
        <v>0.33173652694610772</v>
      </c>
      <c r="T1978" s="10"/>
      <c r="U1978" s="23">
        <v>16.7</v>
      </c>
      <c r="V1978" s="25">
        <v>12</v>
      </c>
      <c r="W1978" s="24">
        <v>11.16</v>
      </c>
      <c r="X1978" s="24">
        <f>U1978-W1978</f>
        <v>5.5399999999999991</v>
      </c>
      <c r="Y1978" s="53">
        <f>IF(U1978&lt;&gt;0,X1978/U1978,"")</f>
        <v>0.33173652694610772</v>
      </c>
      <c r="Z1978" s="23">
        <v>0</v>
      </c>
      <c r="AA1978" s="25">
        <v>0</v>
      </c>
      <c r="AB1978" s="24">
        <v>0</v>
      </c>
      <c r="AC1978" s="24">
        <f t="shared" si="566"/>
        <v>0</v>
      </c>
      <c r="AD1978" s="53" t="str">
        <f t="shared" si="567"/>
        <v/>
      </c>
      <c r="AE1978" s="10"/>
    </row>
    <row r="1979" spans="1:31" x14ac:dyDescent="0.25">
      <c r="A1979" s="14" t="s">
        <v>109</v>
      </c>
      <c r="C1979" s="61" t="str">
        <f t="shared" si="565"/>
        <v>C100112</v>
      </c>
      <c r="F1979" s="8" t="str">
        <f>"S100003"</f>
        <v>S100003</v>
      </c>
      <c r="G1979" s="9" t="str">
        <f>"Soccer #1 Pin"</f>
        <v>Soccer #1 Pin</v>
      </c>
      <c r="H1979" s="47"/>
      <c r="I1979" s="47"/>
      <c r="J1979" s="23">
        <v>0</v>
      </c>
      <c r="K1979" s="25">
        <v>0</v>
      </c>
      <c r="L1979" s="24">
        <v>0</v>
      </c>
      <c r="M1979" s="24">
        <f>J1979-L1979</f>
        <v>0</v>
      </c>
      <c r="N1979" s="53" t="str">
        <f>IF(J1979&lt;&gt;0,M1979/J1979,"")</f>
        <v/>
      </c>
      <c r="O1979" s="23">
        <v>211.68</v>
      </c>
      <c r="P1979" s="25">
        <v>144</v>
      </c>
      <c r="Q1979" s="24">
        <v>129.6</v>
      </c>
      <c r="R1979" s="24">
        <f>O1979-Q1979</f>
        <v>82.080000000000013</v>
      </c>
      <c r="S1979" s="53">
        <f>IF(O1979&lt;&gt;0,R1979/O1979,"")</f>
        <v>0.38775510204081637</v>
      </c>
      <c r="T1979" s="10"/>
      <c r="U1979" s="23">
        <v>213.15</v>
      </c>
      <c r="V1979" s="25">
        <v>145</v>
      </c>
      <c r="W1979" s="24">
        <v>130.5</v>
      </c>
      <c r="X1979" s="24">
        <f>U1979-W1979</f>
        <v>82.65</v>
      </c>
      <c r="Y1979" s="53">
        <f>IF(U1979&lt;&gt;0,X1979/U1979,"")</f>
        <v>0.38775510204081637</v>
      </c>
      <c r="Z1979" s="23">
        <v>423.36</v>
      </c>
      <c r="AA1979" s="25">
        <v>288</v>
      </c>
      <c r="AB1979" s="24">
        <v>259.2</v>
      </c>
      <c r="AC1979" s="24">
        <f t="shared" si="566"/>
        <v>164.16000000000003</v>
      </c>
      <c r="AD1979" s="53">
        <f t="shared" si="567"/>
        <v>0.38775510204081637</v>
      </c>
      <c r="AE1979" s="10"/>
    </row>
    <row r="1980" spans="1:31" x14ac:dyDescent="0.25">
      <c r="A1980" s="14" t="s">
        <v>109</v>
      </c>
      <c r="C1980" s="61" t="str">
        <f t="shared" si="565"/>
        <v>C100112</v>
      </c>
      <c r="F1980" s="8" t="str">
        <f>"S100011"</f>
        <v>S100011</v>
      </c>
      <c r="G1980" s="9" t="str">
        <f>"All Star Cap"</f>
        <v>All Star Cap</v>
      </c>
      <c r="H1980" s="47"/>
      <c r="I1980" s="47"/>
      <c r="J1980" s="23">
        <v>0</v>
      </c>
      <c r="K1980" s="25">
        <v>0</v>
      </c>
      <c r="L1980" s="24">
        <v>0</v>
      </c>
      <c r="M1980" s="24">
        <f>J1980-L1980</f>
        <v>0</v>
      </c>
      <c r="N1980" s="53" t="str">
        <f>IF(J1980&lt;&gt;0,M1980/J1980,"")</f>
        <v/>
      </c>
      <c r="O1980" s="23">
        <v>1.42</v>
      </c>
      <c r="P1980" s="25">
        <v>1</v>
      </c>
      <c r="Q1980" s="24">
        <v>0.85</v>
      </c>
      <c r="R1980" s="24">
        <f>O1980-Q1980</f>
        <v>0.56999999999999995</v>
      </c>
      <c r="S1980" s="53">
        <f>IF(O1980&lt;&gt;0,R1980/O1980,"")</f>
        <v>0.40140845070422532</v>
      </c>
      <c r="T1980" s="10"/>
      <c r="U1980" s="23">
        <v>204.62</v>
      </c>
      <c r="V1980" s="25">
        <v>144</v>
      </c>
      <c r="W1980" s="24">
        <v>122.41</v>
      </c>
      <c r="X1980" s="24">
        <f>U1980-W1980</f>
        <v>82.210000000000008</v>
      </c>
      <c r="Y1980" s="53">
        <f>IF(U1980&lt;&gt;0,X1980/U1980,"")</f>
        <v>0.40176913302707462</v>
      </c>
      <c r="Z1980" s="23">
        <v>0</v>
      </c>
      <c r="AA1980" s="25">
        <v>0</v>
      </c>
      <c r="AB1980" s="24">
        <v>0</v>
      </c>
      <c r="AC1980" s="24">
        <f t="shared" si="566"/>
        <v>0</v>
      </c>
      <c r="AD1980" s="53" t="str">
        <f t="shared" si="567"/>
        <v/>
      </c>
      <c r="AE1980" s="10"/>
    </row>
    <row r="1981" spans="1:31" x14ac:dyDescent="0.25">
      <c r="A1981" s="14" t="s">
        <v>109</v>
      </c>
      <c r="C1981" s="61" t="str">
        <f t="shared" si="565"/>
        <v>C100112</v>
      </c>
      <c r="F1981" s="8" t="str">
        <f>"S100021"</f>
        <v>S100021</v>
      </c>
      <c r="G1981" s="9" t="str">
        <f>"Translucent Stopwatch"</f>
        <v>Translucent Stopwatch</v>
      </c>
      <c r="H1981" s="47"/>
      <c r="I1981" s="47"/>
      <c r="J1981" s="23">
        <v>0</v>
      </c>
      <c r="K1981" s="25">
        <v>0</v>
      </c>
      <c r="L1981" s="24">
        <v>0</v>
      </c>
      <c r="M1981" s="24">
        <f>J1981-L1981</f>
        <v>0</v>
      </c>
      <c r="N1981" s="53" t="str">
        <f>IF(J1981&lt;&gt;0,M1981/J1981,"")</f>
        <v/>
      </c>
      <c r="O1981" s="23">
        <v>1171.3</v>
      </c>
      <c r="P1981" s="25">
        <v>288</v>
      </c>
      <c r="Q1981" s="24">
        <v>619.17999999999995</v>
      </c>
      <c r="R1981" s="24">
        <f>O1981-Q1981</f>
        <v>552.12</v>
      </c>
      <c r="S1981" s="53">
        <f>IF(O1981&lt;&gt;0,R1981/O1981,"")</f>
        <v>0.47137368735592933</v>
      </c>
      <c r="T1981" s="10"/>
      <c r="U1981" s="23">
        <v>0</v>
      </c>
      <c r="V1981" s="25">
        <v>0</v>
      </c>
      <c r="W1981" s="24">
        <v>0</v>
      </c>
      <c r="X1981" s="24">
        <f>U1981-W1981</f>
        <v>0</v>
      </c>
      <c r="Y1981" s="53" t="str">
        <f>IF(U1981&lt;&gt;0,X1981/U1981,"")</f>
        <v/>
      </c>
      <c r="Z1981" s="23">
        <v>0</v>
      </c>
      <c r="AA1981" s="25">
        <v>0</v>
      </c>
      <c r="AB1981" s="24">
        <v>0</v>
      </c>
      <c r="AC1981" s="24">
        <f t="shared" si="566"/>
        <v>0</v>
      </c>
      <c r="AD1981" s="53" t="str">
        <f t="shared" si="567"/>
        <v/>
      </c>
      <c r="AE1981" s="10"/>
    </row>
    <row r="1982" spans="1:31" x14ac:dyDescent="0.25">
      <c r="A1982" s="14" t="s">
        <v>109</v>
      </c>
      <c r="C1982" s="61" t="str">
        <f t="shared" si="565"/>
        <v>C100112</v>
      </c>
      <c r="F1982" s="8" t="str">
        <f>"S100023"</f>
        <v>S100023</v>
      </c>
      <c r="G1982" s="9" t="str">
        <f>"Gripper SPORT BOT"</f>
        <v>Gripper SPORT BOT</v>
      </c>
      <c r="H1982" s="47"/>
      <c r="I1982" s="47"/>
      <c r="J1982" s="23">
        <v>0</v>
      </c>
      <c r="K1982" s="25">
        <v>0</v>
      </c>
      <c r="L1982" s="24">
        <v>0</v>
      </c>
      <c r="M1982" s="24">
        <f>J1982-L1982</f>
        <v>0</v>
      </c>
      <c r="N1982" s="53" t="str">
        <f>IF(J1982&lt;&gt;0,M1982/J1982,"")</f>
        <v/>
      </c>
      <c r="O1982" s="23">
        <v>280.83000000000004</v>
      </c>
      <c r="P1982" s="25">
        <v>144</v>
      </c>
      <c r="Q1982" s="24">
        <v>142.57999999999998</v>
      </c>
      <c r="R1982" s="24">
        <f>O1982-Q1982</f>
        <v>138.25000000000006</v>
      </c>
      <c r="S1982" s="53">
        <f>IF(O1982&lt;&gt;0,R1982/O1982,"")</f>
        <v>0.49229070968201416</v>
      </c>
      <c r="T1982" s="10"/>
      <c r="U1982" s="23">
        <v>1.95</v>
      </c>
      <c r="V1982" s="25">
        <v>1</v>
      </c>
      <c r="W1982" s="24">
        <v>0.99</v>
      </c>
      <c r="X1982" s="24">
        <f>U1982-W1982</f>
        <v>0.96</v>
      </c>
      <c r="Y1982" s="53">
        <f>IF(U1982&lt;&gt;0,X1982/U1982,"")</f>
        <v>0.49230769230769228</v>
      </c>
      <c r="Z1982" s="23">
        <v>0</v>
      </c>
      <c r="AA1982" s="25">
        <v>0</v>
      </c>
      <c r="AB1982" s="24">
        <v>0</v>
      </c>
      <c r="AC1982" s="24">
        <f t="shared" si="566"/>
        <v>0</v>
      </c>
      <c r="AD1982" s="53" t="str">
        <f t="shared" si="567"/>
        <v/>
      </c>
      <c r="AE1982" s="10"/>
    </row>
    <row r="1983" spans="1:31" x14ac:dyDescent="0.25">
      <c r="A1983" s="14" t="s">
        <v>109</v>
      </c>
      <c r="C1983" s="61" t="str">
        <f t="shared" si="565"/>
        <v>C100112</v>
      </c>
      <c r="F1983" s="8" t="str">
        <f>"S100025"</f>
        <v>S100025</v>
      </c>
      <c r="G1983" s="9" t="str">
        <f>"SPORT BOT with Pop Lid"</f>
        <v>SPORT BOT with Pop Lid</v>
      </c>
      <c r="H1983" s="47"/>
      <c r="I1983" s="47"/>
      <c r="J1983" s="23">
        <v>0</v>
      </c>
      <c r="K1983" s="25">
        <v>0</v>
      </c>
      <c r="L1983" s="24">
        <v>0</v>
      </c>
      <c r="M1983" s="24">
        <f>J1983-L1983</f>
        <v>0</v>
      </c>
      <c r="N1983" s="53" t="str">
        <f>IF(J1983&lt;&gt;0,M1983/J1983,"")</f>
        <v/>
      </c>
      <c r="O1983" s="23">
        <v>239.89999999999998</v>
      </c>
      <c r="P1983" s="25">
        <v>144</v>
      </c>
      <c r="Q1983" s="24">
        <v>138.16999999999999</v>
      </c>
      <c r="R1983" s="24">
        <f>O1983-Q1983</f>
        <v>101.72999999999999</v>
      </c>
      <c r="S1983" s="53">
        <f>IF(O1983&lt;&gt;0,R1983/O1983,"")</f>
        <v>0.4240516882034181</v>
      </c>
      <c r="T1983" s="10"/>
      <c r="U1983" s="23">
        <v>0</v>
      </c>
      <c r="V1983" s="25">
        <v>0</v>
      </c>
      <c r="W1983" s="24">
        <v>0</v>
      </c>
      <c r="X1983" s="24">
        <f>U1983-W1983</f>
        <v>0</v>
      </c>
      <c r="Y1983" s="53" t="str">
        <f>IF(U1983&lt;&gt;0,X1983/U1983,"")</f>
        <v/>
      </c>
      <c r="Z1983" s="23">
        <v>0</v>
      </c>
      <c r="AA1983" s="25">
        <v>0</v>
      </c>
      <c r="AB1983" s="24">
        <v>0</v>
      </c>
      <c r="AC1983" s="24">
        <f t="shared" si="566"/>
        <v>0</v>
      </c>
      <c r="AD1983" s="53" t="str">
        <f t="shared" si="567"/>
        <v/>
      </c>
      <c r="AE1983" s="10"/>
    </row>
    <row r="1984" spans="1:31" x14ac:dyDescent="0.25">
      <c r="A1984" s="14" t="s">
        <v>109</v>
      </c>
      <c r="C1984" s="61" t="str">
        <f t="shared" si="565"/>
        <v>C100112</v>
      </c>
      <c r="F1984" s="8" t="str">
        <f>"S100026"</f>
        <v>S100026</v>
      </c>
      <c r="G1984" s="9" t="str">
        <f>"Wide SPORT BOT"</f>
        <v>Wide SPORT BOT</v>
      </c>
      <c r="H1984" s="47"/>
      <c r="I1984" s="47"/>
      <c r="J1984" s="23">
        <v>0</v>
      </c>
      <c r="K1984" s="25">
        <v>0</v>
      </c>
      <c r="L1984" s="24">
        <v>0</v>
      </c>
      <c r="M1984" s="24">
        <f>J1984-L1984</f>
        <v>0</v>
      </c>
      <c r="N1984" s="53" t="str">
        <f>IF(J1984&lt;&gt;0,M1984/J1984,"")</f>
        <v/>
      </c>
      <c r="O1984" s="23">
        <v>1143.07</v>
      </c>
      <c r="P1984" s="25">
        <v>288</v>
      </c>
      <c r="Q1984" s="24">
        <v>547.31000000000006</v>
      </c>
      <c r="R1984" s="24">
        <f>O1984-Q1984</f>
        <v>595.75999999999988</v>
      </c>
      <c r="S1984" s="53">
        <f>IF(O1984&lt;&gt;0,R1984/O1984,"")</f>
        <v>0.52119292781719395</v>
      </c>
      <c r="T1984" s="10"/>
      <c r="U1984" s="23">
        <v>1143.0800000000002</v>
      </c>
      <c r="V1984" s="25">
        <v>288</v>
      </c>
      <c r="W1984" s="24">
        <v>547.30000000000007</v>
      </c>
      <c r="X1984" s="24">
        <f>U1984-W1984</f>
        <v>595.78000000000009</v>
      </c>
      <c r="Y1984" s="53">
        <f>IF(U1984&lt;&gt;0,X1984/U1984,"")</f>
        <v>0.52120586485635301</v>
      </c>
      <c r="Z1984" s="23">
        <v>571.54000000000008</v>
      </c>
      <c r="AA1984" s="25">
        <v>144</v>
      </c>
      <c r="AB1984" s="24">
        <v>273.65000000000003</v>
      </c>
      <c r="AC1984" s="24">
        <f t="shared" si="566"/>
        <v>297.89000000000004</v>
      </c>
      <c r="AD1984" s="53">
        <f t="shared" si="567"/>
        <v>0.52120586485635301</v>
      </c>
      <c r="AE1984" s="10"/>
    </row>
    <row r="1985" spans="1:31" x14ac:dyDescent="0.25">
      <c r="A1985" s="14" t="s">
        <v>109</v>
      </c>
      <c r="C1985" s="61" t="str">
        <f t="shared" si="565"/>
        <v>C100112</v>
      </c>
      <c r="F1985" s="8" t="str">
        <f>"S200010"</f>
        <v>S200010</v>
      </c>
      <c r="G1985" s="9" t="str">
        <f>"3.75"" Wrestling Trophy"</f>
        <v>3.75" Wrestling Trophy</v>
      </c>
      <c r="H1985" s="47"/>
      <c r="I1985" s="47"/>
      <c r="J1985" s="23">
        <v>0</v>
      </c>
      <c r="K1985" s="25">
        <v>0</v>
      </c>
      <c r="L1985" s="24">
        <v>0</v>
      </c>
      <c r="M1985" s="24">
        <f>J1985-L1985</f>
        <v>0</v>
      </c>
      <c r="N1985" s="53" t="str">
        <f>IF(J1985&lt;&gt;0,M1985/J1985,"")</f>
        <v/>
      </c>
      <c r="O1985" s="23">
        <v>1411.2</v>
      </c>
      <c r="P1985" s="25">
        <v>144</v>
      </c>
      <c r="Q1985" s="24">
        <v>1081.44</v>
      </c>
      <c r="R1985" s="24">
        <f>O1985-Q1985</f>
        <v>329.76</v>
      </c>
      <c r="S1985" s="53">
        <f>IF(O1985&lt;&gt;0,R1985/O1985,"")</f>
        <v>0.2336734693877551</v>
      </c>
      <c r="T1985" s="10"/>
      <c r="U1985" s="23">
        <v>1646.3999999999999</v>
      </c>
      <c r="V1985" s="25">
        <v>168</v>
      </c>
      <c r="W1985" s="24">
        <v>1261.6799999999998</v>
      </c>
      <c r="X1985" s="24">
        <f>U1985-W1985</f>
        <v>384.72</v>
      </c>
      <c r="Y1985" s="53">
        <f>IF(U1985&lt;&gt;0,X1985/U1985,"")</f>
        <v>0.23367346938775513</v>
      </c>
      <c r="Z1985" s="23">
        <v>0</v>
      </c>
      <c r="AA1985" s="25">
        <v>0</v>
      </c>
      <c r="AB1985" s="24">
        <v>0</v>
      </c>
      <c r="AC1985" s="24">
        <f t="shared" si="566"/>
        <v>0</v>
      </c>
      <c r="AD1985" s="53" t="str">
        <f t="shared" si="567"/>
        <v/>
      </c>
      <c r="AE1985" s="10"/>
    </row>
    <row r="1986" spans="1:31" x14ac:dyDescent="0.25">
      <c r="A1986" s="14" t="s">
        <v>109</v>
      </c>
      <c r="C1986" s="61" t="str">
        <f t="shared" si="565"/>
        <v>C100112</v>
      </c>
      <c r="F1986" s="8" t="str">
        <f>"S200014"</f>
        <v>S200014</v>
      </c>
      <c r="G1986" s="9" t="str">
        <f>"10.75"" Star Riser FootballTrophy"</f>
        <v>10.75" Star Riser FootballTrophy</v>
      </c>
      <c r="H1986" s="47"/>
      <c r="I1986" s="47"/>
      <c r="J1986" s="23">
        <v>0</v>
      </c>
      <c r="K1986" s="25">
        <v>0</v>
      </c>
      <c r="L1986" s="24">
        <v>0</v>
      </c>
      <c r="M1986" s="24">
        <f>J1986-L1986</f>
        <v>0</v>
      </c>
      <c r="N1986" s="53" t="str">
        <f>IF(J1986&lt;&gt;0,M1986/J1986,"")</f>
        <v/>
      </c>
      <c r="O1986" s="23">
        <v>294</v>
      </c>
      <c r="P1986" s="25">
        <v>24</v>
      </c>
      <c r="Q1986" s="24">
        <v>238.32000000000002</v>
      </c>
      <c r="R1986" s="24">
        <f>O1986-Q1986</f>
        <v>55.679999999999978</v>
      </c>
      <c r="S1986" s="53">
        <f>IF(O1986&lt;&gt;0,R1986/O1986,"")</f>
        <v>0.18938775510204076</v>
      </c>
      <c r="T1986" s="10"/>
      <c r="U1986" s="23">
        <v>0</v>
      </c>
      <c r="V1986" s="25">
        <v>0</v>
      </c>
      <c r="W1986" s="24">
        <v>0</v>
      </c>
      <c r="X1986" s="24">
        <f>U1986-W1986</f>
        <v>0</v>
      </c>
      <c r="Y1986" s="53" t="str">
        <f>IF(U1986&lt;&gt;0,X1986/U1986,"")</f>
        <v/>
      </c>
      <c r="Z1986" s="23">
        <v>0</v>
      </c>
      <c r="AA1986" s="25">
        <v>0</v>
      </c>
      <c r="AB1986" s="24">
        <v>0</v>
      </c>
      <c r="AC1986" s="24">
        <f t="shared" si="566"/>
        <v>0</v>
      </c>
      <c r="AD1986" s="53" t="str">
        <f t="shared" si="567"/>
        <v/>
      </c>
      <c r="AE1986" s="10"/>
    </row>
    <row r="1987" spans="1:31" x14ac:dyDescent="0.25">
      <c r="A1987" s="14" t="s">
        <v>109</v>
      </c>
      <c r="C1987" s="61" t="str">
        <f t="shared" si="565"/>
        <v>C100112</v>
      </c>
      <c r="F1987" s="8" t="str">
        <f>"S200017"</f>
        <v>S200017</v>
      </c>
      <c r="G1987" s="9" t="str">
        <f>"10.75"" Tourch Riser WrestlingTrophy"</f>
        <v>10.75" Tourch Riser WrestlingTrophy</v>
      </c>
      <c r="H1987" s="47"/>
      <c r="I1987" s="47"/>
      <c r="J1987" s="23">
        <v>0</v>
      </c>
      <c r="K1987" s="25">
        <v>0</v>
      </c>
      <c r="L1987" s="24">
        <v>0</v>
      </c>
      <c r="M1987" s="24">
        <f>J1987-L1987</f>
        <v>0</v>
      </c>
      <c r="N1987" s="53" t="str">
        <f>IF(J1987&lt;&gt;0,M1987/J1987,"")</f>
        <v/>
      </c>
      <c r="O1987" s="23">
        <v>588</v>
      </c>
      <c r="P1987" s="25">
        <v>48</v>
      </c>
      <c r="Q1987" s="24">
        <v>476.64000000000004</v>
      </c>
      <c r="R1987" s="24">
        <f>O1987-Q1987</f>
        <v>111.35999999999996</v>
      </c>
      <c r="S1987" s="53">
        <f>IF(O1987&lt;&gt;0,R1987/O1987,"")</f>
        <v>0.18938775510204076</v>
      </c>
      <c r="T1987" s="10"/>
      <c r="U1987" s="23">
        <v>0</v>
      </c>
      <c r="V1987" s="25">
        <v>0</v>
      </c>
      <c r="W1987" s="24">
        <v>0</v>
      </c>
      <c r="X1987" s="24">
        <f>U1987-W1987</f>
        <v>0</v>
      </c>
      <c r="Y1987" s="53" t="str">
        <f>IF(U1987&lt;&gt;0,X1987/U1987,"")</f>
        <v/>
      </c>
      <c r="Z1987" s="23">
        <v>0</v>
      </c>
      <c r="AA1987" s="25">
        <v>0</v>
      </c>
      <c r="AB1987" s="24">
        <v>0</v>
      </c>
      <c r="AC1987" s="24">
        <f t="shared" si="566"/>
        <v>0</v>
      </c>
      <c r="AD1987" s="53" t="str">
        <f t="shared" si="567"/>
        <v/>
      </c>
      <c r="AE1987" s="10"/>
    </row>
    <row r="1988" spans="1:31" ht="15.75" thickBot="1" x14ac:dyDescent="0.3">
      <c r="A1988" s="14" t="s">
        <v>109</v>
      </c>
      <c r="C1988" s="61" t="str">
        <f>C1957</f>
        <v>C100112</v>
      </c>
      <c r="J1988" s="10"/>
      <c r="K1988" s="11"/>
      <c r="L1988" s="11"/>
      <c r="M1988" s="11"/>
      <c r="N1988" s="12"/>
      <c r="O1988" s="10"/>
      <c r="P1988" s="11"/>
      <c r="Q1988" s="11"/>
      <c r="R1988" s="11"/>
      <c r="S1988" s="12"/>
      <c r="U1988" s="10"/>
      <c r="V1988" s="11"/>
      <c r="W1988" s="11"/>
      <c r="X1988" s="11"/>
      <c r="Y1988" s="12"/>
      <c r="Z1988" s="10"/>
      <c r="AA1988" s="11"/>
      <c r="AB1988" s="11"/>
      <c r="AC1988" s="11"/>
      <c r="AD1988" s="12"/>
    </row>
    <row r="1989" spans="1:31" ht="15.75" thickBot="1" x14ac:dyDescent="0.3">
      <c r="A1989" s="14" t="s">
        <v>109</v>
      </c>
      <c r="C1989" s="61" t="str">
        <f t="shared" si="562"/>
        <v>C100112</v>
      </c>
      <c r="G1989" s="48" t="str">
        <f>C1989&amp;" TOTAL:"</f>
        <v>C100112 TOTAL:</v>
      </c>
      <c r="H1989" s="50"/>
      <c r="I1989" s="50"/>
      <c r="J1989" s="34">
        <f>SUBTOTAL(9,J1956:J1988)</f>
        <v>0</v>
      </c>
      <c r="K1989" s="35">
        <f>SUBTOTAL(9,K1956:K1988)</f>
        <v>0</v>
      </c>
      <c r="L1989" s="36">
        <f>SUBTOTAL(9,L1956:L1988)</f>
        <v>0</v>
      </c>
      <c r="M1989" s="36">
        <f>J1989-L1989</f>
        <v>0</v>
      </c>
      <c r="N1989" s="37" t="str">
        <f>IF(J1989&lt;&gt;0,M1989/J1989,"")</f>
        <v/>
      </c>
      <c r="O1989" s="34">
        <f>SUBTOTAL(9,O1956:O1988)</f>
        <v>10276.089999999998</v>
      </c>
      <c r="P1989" s="35">
        <f>SUBTOTAL(9,P1956:P1988)</f>
        <v>3301</v>
      </c>
      <c r="Q1989" s="36">
        <f>SUBTOTAL(9,Q1956:Q1988)</f>
        <v>6152.22</v>
      </c>
      <c r="R1989" s="36">
        <f>O1989-Q1989</f>
        <v>4123.8699999999981</v>
      </c>
      <c r="S1989" s="37">
        <f>IF(O1989&lt;&gt;0,R1989/O1989,"")</f>
        <v>0.40130730657283059</v>
      </c>
      <c r="U1989" s="34">
        <f>SUBTOTAL(9,U1956:U1988)</f>
        <v>6126.08</v>
      </c>
      <c r="V1989" s="35">
        <f>SUBTOTAL(9,V1956:V1988)</f>
        <v>1824</v>
      </c>
      <c r="W1989" s="36">
        <f>SUBTOTAL(9,W1956:W1988)</f>
        <v>3626.6299999999997</v>
      </c>
      <c r="X1989" s="36">
        <f>U1989-W1989</f>
        <v>2499.4500000000003</v>
      </c>
      <c r="Y1989" s="37">
        <f>IF(U1989&lt;&gt;0,X1989/U1989,"")</f>
        <v>0.40800152789385713</v>
      </c>
      <c r="Z1989" s="34">
        <f>SUBTOTAL(9,Z1956:Z1988)</f>
        <v>2300.2600000000002</v>
      </c>
      <c r="AA1989" s="35">
        <f>SUBTOTAL(9,AA1956:AA1988)</f>
        <v>1008</v>
      </c>
      <c r="AB1989" s="36">
        <f>SUBTOTAL(9,AB1956:AB1988)</f>
        <v>1206.8200000000002</v>
      </c>
      <c r="AC1989" s="36">
        <f t="shared" ref="AC1989" si="568">Z1989-AB1989</f>
        <v>1093.44</v>
      </c>
      <c r="AD1989" s="37">
        <f t="shared" ref="AD1989" si="569">IF(Z1989&lt;&gt;0,AC1989/Z1989,"")</f>
        <v>0.47535495987410115</v>
      </c>
    </row>
    <row r="1990" spans="1:31" x14ac:dyDescent="0.25">
      <c r="A1990" s="14" t="s">
        <v>109</v>
      </c>
      <c r="C1990" s="66"/>
      <c r="J1990" s="10"/>
      <c r="K1990" s="11"/>
      <c r="L1990" s="11"/>
      <c r="M1990" s="11"/>
      <c r="N1990" s="12"/>
      <c r="O1990" s="10"/>
      <c r="P1990" s="11"/>
      <c r="Q1990" s="11"/>
      <c r="R1990" s="11"/>
      <c r="S1990" s="12"/>
      <c r="U1990" s="10"/>
      <c r="V1990" s="11"/>
      <c r="W1990" s="11"/>
      <c r="X1990" s="11"/>
      <c r="Y1990" s="12"/>
      <c r="Z1990" s="10"/>
      <c r="AA1990" s="11"/>
      <c r="AB1990" s="11"/>
      <c r="AC1990" s="11"/>
      <c r="AD1990" s="12"/>
    </row>
    <row r="1991" spans="1:31" ht="15.75" x14ac:dyDescent="0.25">
      <c r="A1991" s="14" t="s">
        <v>109</v>
      </c>
      <c r="C1991" s="66" t="str">
        <f t="shared" ref="C1991" si="570">E1991</f>
        <v>C100113</v>
      </c>
      <c r="E1991" s="13" t="str">
        <f>"C100113"</f>
        <v>C100113</v>
      </c>
      <c r="F1991" s="13"/>
      <c r="G1991" s="13" t="str">
        <f>"Latexon, Inc."</f>
        <v>Latexon, Inc.</v>
      </c>
      <c r="H1991" s="13"/>
      <c r="I1991" s="13"/>
      <c r="J1991" s="10"/>
      <c r="K1991" s="11"/>
      <c r="L1991" s="11"/>
      <c r="M1991" s="11"/>
      <c r="N1991" s="12"/>
      <c r="O1991" s="10"/>
      <c r="P1991" s="11"/>
      <c r="Q1991" s="11"/>
      <c r="R1991" s="11"/>
      <c r="S1991" s="12"/>
      <c r="U1991" s="10"/>
      <c r="V1991" s="11"/>
      <c r="W1991" s="11"/>
      <c r="X1991" s="11"/>
      <c r="Y1991" s="12"/>
      <c r="Z1991" s="10"/>
      <c r="AA1991" s="11"/>
      <c r="AB1991" s="11"/>
      <c r="AC1991" s="11"/>
      <c r="AD1991" s="12"/>
    </row>
    <row r="1992" spans="1:31" ht="6.6" customHeight="1" x14ac:dyDescent="0.25">
      <c r="A1992" s="14" t="s">
        <v>109</v>
      </c>
      <c r="C1992" s="61" t="str">
        <f t="shared" ref="C1992:C2035" si="571">C1991</f>
        <v>C100113</v>
      </c>
      <c r="J1992" s="10"/>
      <c r="K1992" s="11"/>
      <c r="L1992" s="11"/>
      <c r="M1992" s="11"/>
      <c r="N1992" s="12"/>
      <c r="O1992" s="10"/>
      <c r="P1992" s="11"/>
      <c r="Q1992" s="11"/>
      <c r="R1992" s="11"/>
      <c r="S1992" s="12"/>
      <c r="U1992" s="10"/>
      <c r="V1992" s="11"/>
      <c r="W1992" s="11"/>
      <c r="X1992" s="11"/>
      <c r="Y1992" s="12"/>
      <c r="Z1992" s="10"/>
      <c r="AA1992" s="11"/>
      <c r="AB1992" s="11"/>
      <c r="AC1992" s="11"/>
      <c r="AD1992" s="12"/>
    </row>
    <row r="1993" spans="1:31" x14ac:dyDescent="0.25">
      <c r="A1993" s="14" t="s">
        <v>109</v>
      </c>
      <c r="C1993" s="61" t="str">
        <f t="shared" si="571"/>
        <v>C100113</v>
      </c>
      <c r="F1993" s="8" t="str">
        <f>"C100023"</f>
        <v>C100023</v>
      </c>
      <c r="G1993" s="9" t="str">
        <f>"Two-Toned Knit Hat"</f>
        <v>Two-Toned Knit Hat</v>
      </c>
      <c r="H1993" s="47"/>
      <c r="I1993" s="47"/>
      <c r="J1993" s="23">
        <v>740.97</v>
      </c>
      <c r="K1993" s="25">
        <v>288</v>
      </c>
      <c r="L1993" s="24">
        <v>362.87</v>
      </c>
      <c r="M1993" s="24">
        <f>J1993-L1993</f>
        <v>378.1</v>
      </c>
      <c r="N1993" s="53">
        <f>IF(J1993&lt;&gt;0,M1993/J1993,"")</f>
        <v>0.51027706924706806</v>
      </c>
      <c r="O1993" s="23">
        <v>0</v>
      </c>
      <c r="P1993" s="25">
        <v>0</v>
      </c>
      <c r="Q1993" s="24">
        <v>0</v>
      </c>
      <c r="R1993" s="24">
        <f>O1993-Q1993</f>
        <v>0</v>
      </c>
      <c r="S1993" s="53" t="str">
        <f>IF(O1993&lt;&gt;0,R1993/O1993,"")</f>
        <v/>
      </c>
      <c r="T1993" s="10"/>
      <c r="U1993" s="23">
        <v>0</v>
      </c>
      <c r="V1993" s="25">
        <v>0</v>
      </c>
      <c r="W1993" s="24">
        <v>0</v>
      </c>
      <c r="X1993" s="24">
        <f>U1993-W1993</f>
        <v>0</v>
      </c>
      <c r="Y1993" s="53" t="str">
        <f>IF(U1993&lt;&gt;0,X1993/U1993,"")</f>
        <v/>
      </c>
      <c r="Z1993" s="23">
        <v>0</v>
      </c>
      <c r="AA1993" s="25">
        <v>0</v>
      </c>
      <c r="AB1993" s="24">
        <v>0</v>
      </c>
      <c r="AC1993" s="24">
        <f t="shared" ref="AC1993" si="572">Z1993-AB1993</f>
        <v>0</v>
      </c>
      <c r="AD1993" s="53" t="str">
        <f t="shared" ref="AD1993" si="573">IF(Z1993&lt;&gt;0,AC1993/Z1993,"")</f>
        <v/>
      </c>
      <c r="AE1993" s="10"/>
    </row>
    <row r="1994" spans="1:31" x14ac:dyDescent="0.25">
      <c r="A1994" s="14" t="s">
        <v>109</v>
      </c>
      <c r="C1994" s="61" t="str">
        <f t="shared" ref="C1994:C2033" si="574">C1993</f>
        <v>C100113</v>
      </c>
      <c r="F1994" s="8" t="str">
        <f>"C100026"</f>
        <v>C100026</v>
      </c>
      <c r="G1994" s="9" t="str">
        <f>"Fleece Beanie"</f>
        <v>Fleece Beanie</v>
      </c>
      <c r="H1994" s="47"/>
      <c r="I1994" s="47"/>
      <c r="J1994" s="23">
        <v>431.31</v>
      </c>
      <c r="K1994" s="25">
        <v>144</v>
      </c>
      <c r="L1994" s="24">
        <v>287.99</v>
      </c>
      <c r="M1994" s="24">
        <f>J1994-L1994</f>
        <v>143.32</v>
      </c>
      <c r="N1994" s="53">
        <f>IF(J1994&lt;&gt;0,M1994/J1994,"")</f>
        <v>0.33229000023185179</v>
      </c>
      <c r="O1994" s="23">
        <v>0</v>
      </c>
      <c r="P1994" s="25">
        <v>0</v>
      </c>
      <c r="Q1994" s="24">
        <v>0</v>
      </c>
      <c r="R1994" s="24">
        <f>O1994-Q1994</f>
        <v>0</v>
      </c>
      <c r="S1994" s="53" t="str">
        <f>IF(O1994&lt;&gt;0,R1994/O1994,"")</f>
        <v/>
      </c>
      <c r="T1994" s="10"/>
      <c r="U1994" s="23">
        <v>0</v>
      </c>
      <c r="V1994" s="25">
        <v>0</v>
      </c>
      <c r="W1994" s="24">
        <v>0</v>
      </c>
      <c r="X1994" s="24">
        <f>U1994-W1994</f>
        <v>0</v>
      </c>
      <c r="Y1994" s="53" t="str">
        <f>IF(U1994&lt;&gt;0,X1994/U1994,"")</f>
        <v/>
      </c>
      <c r="Z1994" s="23">
        <v>0</v>
      </c>
      <c r="AA1994" s="25">
        <v>0</v>
      </c>
      <c r="AB1994" s="24">
        <v>0</v>
      </c>
      <c r="AC1994" s="24">
        <f t="shared" ref="AC1994:AC2033" si="575">Z1994-AB1994</f>
        <v>0</v>
      </c>
      <c r="AD1994" s="53" t="str">
        <f t="shared" ref="AD1994:AD2033" si="576">IF(Z1994&lt;&gt;0,AC1994/Z1994,"")</f>
        <v/>
      </c>
      <c r="AE1994" s="10"/>
    </row>
    <row r="1995" spans="1:31" x14ac:dyDescent="0.25">
      <c r="A1995" s="14" t="s">
        <v>109</v>
      </c>
      <c r="C1995" s="61" t="str">
        <f t="shared" si="574"/>
        <v>C100113</v>
      </c>
      <c r="F1995" s="8" t="str">
        <f>"C100029"</f>
        <v>C100029</v>
      </c>
      <c r="G1995" s="9" t="str">
        <f>"Distressed Twill Visor"</f>
        <v>Distressed Twill Visor</v>
      </c>
      <c r="H1995" s="47"/>
      <c r="I1995" s="47"/>
      <c r="J1995" s="23">
        <v>0</v>
      </c>
      <c r="K1995" s="25">
        <v>0</v>
      </c>
      <c r="L1995" s="24">
        <v>0</v>
      </c>
      <c r="M1995" s="24">
        <f>J1995-L1995</f>
        <v>0</v>
      </c>
      <c r="N1995" s="53" t="str">
        <f>IF(J1995&lt;&gt;0,M1995/J1995,"")</f>
        <v/>
      </c>
      <c r="O1995" s="23">
        <v>482.62999999999994</v>
      </c>
      <c r="P1995" s="25">
        <v>144</v>
      </c>
      <c r="Q1995" s="24">
        <v>298.09000000000003</v>
      </c>
      <c r="R1995" s="24">
        <f>O1995-Q1995</f>
        <v>184.53999999999991</v>
      </c>
      <c r="S1995" s="53">
        <f>IF(O1995&lt;&gt;0,R1995/O1995,"")</f>
        <v>0.38236330107950173</v>
      </c>
      <c r="T1995" s="10"/>
      <c r="U1995" s="23">
        <v>477.71</v>
      </c>
      <c r="V1995" s="25">
        <v>144</v>
      </c>
      <c r="W1995" s="24">
        <v>298.09000000000003</v>
      </c>
      <c r="X1995" s="24">
        <f>U1995-W1995</f>
        <v>179.61999999999995</v>
      </c>
      <c r="Y1995" s="53">
        <f>IF(U1995&lt;&gt;0,X1995/U1995,"")</f>
        <v>0.37600217705302369</v>
      </c>
      <c r="Z1995" s="23">
        <v>0</v>
      </c>
      <c r="AA1995" s="25">
        <v>0</v>
      </c>
      <c r="AB1995" s="24">
        <v>0</v>
      </c>
      <c r="AC1995" s="24">
        <f t="shared" si="575"/>
        <v>0</v>
      </c>
      <c r="AD1995" s="53" t="str">
        <f t="shared" si="576"/>
        <v/>
      </c>
      <c r="AE1995" s="10"/>
    </row>
    <row r="1996" spans="1:31" x14ac:dyDescent="0.25">
      <c r="A1996" s="14" t="s">
        <v>109</v>
      </c>
      <c r="C1996" s="61" t="str">
        <f t="shared" si="574"/>
        <v>C100113</v>
      </c>
      <c r="F1996" s="8" t="str">
        <f>"C100033"</f>
        <v>C100033</v>
      </c>
      <c r="G1996" s="9" t="str">
        <f>"Frames &amp; Clock"</f>
        <v>Frames &amp; Clock</v>
      </c>
      <c r="H1996" s="47"/>
      <c r="I1996" s="47"/>
      <c r="J1996" s="23">
        <v>669.08</v>
      </c>
      <c r="K1996" s="25">
        <v>144</v>
      </c>
      <c r="L1996" s="24">
        <v>414.7</v>
      </c>
      <c r="M1996" s="24">
        <f>J1996-L1996</f>
        <v>254.38000000000005</v>
      </c>
      <c r="N1996" s="53">
        <f>IF(J1996&lt;&gt;0,M1996/J1996,"")</f>
        <v>0.38019369881030673</v>
      </c>
      <c r="O1996" s="23">
        <v>0</v>
      </c>
      <c r="P1996" s="25">
        <v>0</v>
      </c>
      <c r="Q1996" s="24">
        <v>0</v>
      </c>
      <c r="R1996" s="24">
        <f>O1996-Q1996</f>
        <v>0</v>
      </c>
      <c r="S1996" s="53" t="str">
        <f>IF(O1996&lt;&gt;0,R1996/O1996,"")</f>
        <v/>
      </c>
      <c r="T1996" s="10"/>
      <c r="U1996" s="23">
        <v>0</v>
      </c>
      <c r="V1996" s="25">
        <v>0</v>
      </c>
      <c r="W1996" s="24">
        <v>0</v>
      </c>
      <c r="X1996" s="24">
        <f>U1996-W1996</f>
        <v>0</v>
      </c>
      <c r="Y1996" s="53" t="str">
        <f>IF(U1996&lt;&gt;0,X1996/U1996,"")</f>
        <v/>
      </c>
      <c r="Z1996" s="23">
        <v>0</v>
      </c>
      <c r="AA1996" s="25">
        <v>0</v>
      </c>
      <c r="AB1996" s="24">
        <v>0</v>
      </c>
      <c r="AC1996" s="24">
        <f t="shared" si="575"/>
        <v>0</v>
      </c>
      <c r="AD1996" s="53" t="str">
        <f t="shared" si="576"/>
        <v/>
      </c>
      <c r="AE1996" s="10"/>
    </row>
    <row r="1997" spans="1:31" x14ac:dyDescent="0.25">
      <c r="A1997" s="14" t="s">
        <v>109</v>
      </c>
      <c r="C1997" s="61" t="str">
        <f t="shared" si="574"/>
        <v>C100113</v>
      </c>
      <c r="F1997" s="8" t="str">
        <f>"C100042"</f>
        <v>C100042</v>
      </c>
      <c r="G1997" s="9" t="str">
        <f>"Retractable Earbuds"</f>
        <v>Retractable Earbuds</v>
      </c>
      <c r="H1997" s="47"/>
      <c r="I1997" s="47"/>
      <c r="J1997" s="23">
        <v>282.01</v>
      </c>
      <c r="K1997" s="25">
        <v>144</v>
      </c>
      <c r="L1997" s="24">
        <v>155.60999999999999</v>
      </c>
      <c r="M1997" s="24">
        <f>J1997-L1997</f>
        <v>126.4</v>
      </c>
      <c r="N1997" s="53">
        <f>IF(J1997&lt;&gt;0,M1997/J1997,"")</f>
        <v>0.44821105634551972</v>
      </c>
      <c r="O1997" s="23">
        <v>0</v>
      </c>
      <c r="P1997" s="25">
        <v>0</v>
      </c>
      <c r="Q1997" s="24">
        <v>0</v>
      </c>
      <c r="R1997" s="24">
        <f>O1997-Q1997</f>
        <v>0</v>
      </c>
      <c r="S1997" s="53" t="str">
        <f>IF(O1997&lt;&gt;0,R1997/O1997,"")</f>
        <v/>
      </c>
      <c r="T1997" s="10"/>
      <c r="U1997" s="23">
        <v>0</v>
      </c>
      <c r="V1997" s="25">
        <v>0</v>
      </c>
      <c r="W1997" s="24">
        <v>0</v>
      </c>
      <c r="X1997" s="24">
        <f>U1997-W1997</f>
        <v>0</v>
      </c>
      <c r="Y1997" s="53" t="str">
        <f>IF(U1997&lt;&gt;0,X1997/U1997,"")</f>
        <v/>
      </c>
      <c r="Z1997" s="23">
        <v>0</v>
      </c>
      <c r="AA1997" s="25">
        <v>0</v>
      </c>
      <c r="AB1997" s="24">
        <v>0</v>
      </c>
      <c r="AC1997" s="24">
        <f t="shared" si="575"/>
        <v>0</v>
      </c>
      <c r="AD1997" s="53" t="str">
        <f t="shared" si="576"/>
        <v/>
      </c>
      <c r="AE1997" s="10"/>
    </row>
    <row r="1998" spans="1:31" x14ac:dyDescent="0.25">
      <c r="A1998" s="14" t="s">
        <v>109</v>
      </c>
      <c r="C1998" s="61" t="str">
        <f t="shared" si="574"/>
        <v>C100113</v>
      </c>
      <c r="F1998" s="8" t="str">
        <f>"C100056"</f>
        <v>C100056</v>
      </c>
      <c r="G1998" s="9" t="str">
        <f>"Contemporary Desk Calculator"</f>
        <v>Contemporary Desk Calculator</v>
      </c>
      <c r="H1998" s="47"/>
      <c r="I1998" s="47"/>
      <c r="J1998" s="23">
        <v>750.64</v>
      </c>
      <c r="K1998" s="25">
        <v>144</v>
      </c>
      <c r="L1998" s="24">
        <v>383.08</v>
      </c>
      <c r="M1998" s="24">
        <f>J1998-L1998</f>
        <v>367.56</v>
      </c>
      <c r="N1998" s="53">
        <f>IF(J1998&lt;&gt;0,M1998/J1998,"")</f>
        <v>0.48966215496109988</v>
      </c>
      <c r="O1998" s="23">
        <v>0</v>
      </c>
      <c r="P1998" s="25">
        <v>0</v>
      </c>
      <c r="Q1998" s="24">
        <v>0</v>
      </c>
      <c r="R1998" s="24">
        <f>O1998-Q1998</f>
        <v>0</v>
      </c>
      <c r="S1998" s="53" t="str">
        <f>IF(O1998&lt;&gt;0,R1998/O1998,"")</f>
        <v/>
      </c>
      <c r="T1998" s="10"/>
      <c r="U1998" s="23">
        <v>63.21</v>
      </c>
      <c r="V1998" s="25">
        <v>12</v>
      </c>
      <c r="W1998" s="24">
        <v>31.92</v>
      </c>
      <c r="X1998" s="24">
        <f>U1998-W1998</f>
        <v>31.29</v>
      </c>
      <c r="Y1998" s="53">
        <f>IF(U1998&lt;&gt;0,X1998/U1998,"")</f>
        <v>0.49501661129568103</v>
      </c>
      <c r="Z1998" s="23">
        <v>0</v>
      </c>
      <c r="AA1998" s="25">
        <v>0</v>
      </c>
      <c r="AB1998" s="24">
        <v>0</v>
      </c>
      <c r="AC1998" s="24">
        <f t="shared" si="575"/>
        <v>0</v>
      </c>
      <c r="AD1998" s="53" t="str">
        <f t="shared" si="576"/>
        <v/>
      </c>
      <c r="AE1998" s="10"/>
    </row>
    <row r="1999" spans="1:31" x14ac:dyDescent="0.25">
      <c r="A1999" s="14" t="s">
        <v>109</v>
      </c>
      <c r="C1999" s="61" t="str">
        <f t="shared" si="574"/>
        <v>C100113</v>
      </c>
      <c r="F1999" s="8" t="str">
        <f>"C100061"</f>
        <v>C100061</v>
      </c>
      <c r="G1999" s="9" t="str">
        <f>"Bistro Mug"</f>
        <v>Bistro Mug</v>
      </c>
      <c r="H1999" s="47"/>
      <c r="I1999" s="47"/>
      <c r="J1999" s="23">
        <v>182.48</v>
      </c>
      <c r="K1999" s="25">
        <v>144</v>
      </c>
      <c r="L1999" s="24">
        <v>99.27</v>
      </c>
      <c r="M1999" s="24">
        <f>J1999-L1999</f>
        <v>83.21</v>
      </c>
      <c r="N1999" s="53">
        <f>IF(J1999&lt;&gt;0,M1999/J1999,"")</f>
        <v>0.4559951775537045</v>
      </c>
      <c r="O1999" s="23">
        <v>0</v>
      </c>
      <c r="P1999" s="25">
        <v>0</v>
      </c>
      <c r="Q1999" s="24">
        <v>0</v>
      </c>
      <c r="R1999" s="24">
        <f>O1999-Q1999</f>
        <v>0</v>
      </c>
      <c r="S1999" s="53" t="str">
        <f>IF(O1999&lt;&gt;0,R1999/O1999,"")</f>
        <v/>
      </c>
      <c r="T1999" s="10"/>
      <c r="U1999" s="23">
        <v>0</v>
      </c>
      <c r="V1999" s="25">
        <v>0</v>
      </c>
      <c r="W1999" s="24">
        <v>0</v>
      </c>
      <c r="X1999" s="24">
        <f>U1999-W1999</f>
        <v>0</v>
      </c>
      <c r="Y1999" s="53" t="str">
        <f>IF(U1999&lt;&gt;0,X1999/U1999,"")</f>
        <v/>
      </c>
      <c r="Z1999" s="23">
        <v>0</v>
      </c>
      <c r="AA1999" s="25">
        <v>0</v>
      </c>
      <c r="AB1999" s="24">
        <v>0</v>
      </c>
      <c r="AC1999" s="24">
        <f t="shared" si="575"/>
        <v>0</v>
      </c>
      <c r="AD1999" s="53" t="str">
        <f t="shared" si="576"/>
        <v/>
      </c>
      <c r="AE1999" s="10"/>
    </row>
    <row r="2000" spans="1:31" x14ac:dyDescent="0.25">
      <c r="A2000" s="14" t="s">
        <v>109</v>
      </c>
      <c r="C2000" s="61" t="str">
        <f t="shared" si="574"/>
        <v>C100113</v>
      </c>
      <c r="F2000" s="8" t="str">
        <f>"C100066"</f>
        <v>C100066</v>
      </c>
      <c r="G2000" s="9" t="str">
        <f>"Fashion Travel Mug"</f>
        <v>Fashion Travel Mug</v>
      </c>
      <c r="H2000" s="47"/>
      <c r="I2000" s="47"/>
      <c r="J2000" s="23">
        <v>497.66</v>
      </c>
      <c r="K2000" s="25">
        <v>144</v>
      </c>
      <c r="L2000" s="24">
        <v>237.63000000000002</v>
      </c>
      <c r="M2000" s="24">
        <f>J2000-L2000</f>
        <v>260.02999999999997</v>
      </c>
      <c r="N2000" s="53">
        <f>IF(J2000&lt;&gt;0,M2000/J2000,"")</f>
        <v>0.52250532492062851</v>
      </c>
      <c r="O2000" s="23">
        <v>0</v>
      </c>
      <c r="P2000" s="25">
        <v>0</v>
      </c>
      <c r="Q2000" s="24">
        <v>0</v>
      </c>
      <c r="R2000" s="24">
        <f>O2000-Q2000</f>
        <v>0</v>
      </c>
      <c r="S2000" s="53" t="str">
        <f>IF(O2000&lt;&gt;0,R2000/O2000,"")</f>
        <v/>
      </c>
      <c r="T2000" s="10"/>
      <c r="U2000" s="23">
        <v>502.84999999999997</v>
      </c>
      <c r="V2000" s="25">
        <v>144</v>
      </c>
      <c r="W2000" s="24">
        <v>237.63000000000002</v>
      </c>
      <c r="X2000" s="24">
        <f>U2000-W2000</f>
        <v>265.21999999999991</v>
      </c>
      <c r="Y2000" s="53">
        <f>IF(U2000&lt;&gt;0,X2000/U2000,"")</f>
        <v>0.52743362831858398</v>
      </c>
      <c r="Z2000" s="23">
        <v>0</v>
      </c>
      <c r="AA2000" s="25">
        <v>0</v>
      </c>
      <c r="AB2000" s="24">
        <v>0</v>
      </c>
      <c r="AC2000" s="24">
        <f t="shared" si="575"/>
        <v>0</v>
      </c>
      <c r="AD2000" s="53" t="str">
        <f t="shared" si="576"/>
        <v/>
      </c>
      <c r="AE2000" s="10"/>
    </row>
    <row r="2001" spans="1:31" x14ac:dyDescent="0.25">
      <c r="A2001" s="14" t="s">
        <v>109</v>
      </c>
      <c r="C2001" s="61" t="str">
        <f t="shared" si="574"/>
        <v>C100113</v>
      </c>
      <c r="F2001" s="8" t="str">
        <f>"E100001"</f>
        <v>E100001</v>
      </c>
      <c r="G2001" s="9" t="str">
        <f>"Sport Bag"</f>
        <v>Sport Bag</v>
      </c>
      <c r="H2001" s="47"/>
      <c r="I2001" s="47"/>
      <c r="J2001" s="23">
        <v>250.20999999999998</v>
      </c>
      <c r="K2001" s="25">
        <v>144</v>
      </c>
      <c r="L2001" s="24">
        <v>125.28</v>
      </c>
      <c r="M2001" s="24">
        <f>J2001-L2001</f>
        <v>124.92999999999998</v>
      </c>
      <c r="N2001" s="53">
        <f>IF(J2001&lt;&gt;0,M2001/J2001,"")</f>
        <v>0.49930058750649448</v>
      </c>
      <c r="O2001" s="23">
        <v>0</v>
      </c>
      <c r="P2001" s="25">
        <v>0</v>
      </c>
      <c r="Q2001" s="24">
        <v>0</v>
      </c>
      <c r="R2001" s="24">
        <f>O2001-Q2001</f>
        <v>0</v>
      </c>
      <c r="S2001" s="53" t="str">
        <f>IF(O2001&lt;&gt;0,R2001/O2001,"")</f>
        <v/>
      </c>
      <c r="T2001" s="10"/>
      <c r="U2001" s="23">
        <v>0</v>
      </c>
      <c r="V2001" s="25">
        <v>0</v>
      </c>
      <c r="W2001" s="24">
        <v>0</v>
      </c>
      <c r="X2001" s="24">
        <f>U2001-W2001</f>
        <v>0</v>
      </c>
      <c r="Y2001" s="53" t="str">
        <f>IF(U2001&lt;&gt;0,X2001/U2001,"")</f>
        <v/>
      </c>
      <c r="Z2001" s="23">
        <v>0</v>
      </c>
      <c r="AA2001" s="25">
        <v>0</v>
      </c>
      <c r="AB2001" s="24">
        <v>0</v>
      </c>
      <c r="AC2001" s="24">
        <f t="shared" si="575"/>
        <v>0</v>
      </c>
      <c r="AD2001" s="53" t="str">
        <f t="shared" si="576"/>
        <v/>
      </c>
      <c r="AE2001" s="10"/>
    </row>
    <row r="2002" spans="1:31" x14ac:dyDescent="0.25">
      <c r="A2002" s="14" t="s">
        <v>109</v>
      </c>
      <c r="C2002" s="61" t="str">
        <f t="shared" si="574"/>
        <v>C100113</v>
      </c>
      <c r="F2002" s="8" t="str">
        <f>"E100002"</f>
        <v>E100002</v>
      </c>
      <c r="G2002" s="9" t="str">
        <f>"Cotton Classic Tote"</f>
        <v>Cotton Classic Tote</v>
      </c>
      <c r="H2002" s="47"/>
      <c r="I2002" s="47"/>
      <c r="J2002" s="23">
        <v>0</v>
      </c>
      <c r="K2002" s="25">
        <v>0</v>
      </c>
      <c r="L2002" s="24">
        <v>0</v>
      </c>
      <c r="M2002" s="24">
        <f>J2002-L2002</f>
        <v>0</v>
      </c>
      <c r="N2002" s="53" t="str">
        <f>IF(J2002&lt;&gt;0,M2002/J2002,"")</f>
        <v/>
      </c>
      <c r="O2002" s="23">
        <v>176.4</v>
      </c>
      <c r="P2002" s="25">
        <v>144</v>
      </c>
      <c r="Q2002" s="24">
        <v>92.17</v>
      </c>
      <c r="R2002" s="24">
        <f>O2002-Q2002</f>
        <v>84.23</v>
      </c>
      <c r="S2002" s="53">
        <f>IF(O2002&lt;&gt;0,R2002/O2002,"")</f>
        <v>0.47749433106575967</v>
      </c>
      <c r="T2002" s="10"/>
      <c r="U2002" s="23">
        <v>0</v>
      </c>
      <c r="V2002" s="25">
        <v>0</v>
      </c>
      <c r="W2002" s="24">
        <v>0</v>
      </c>
      <c r="X2002" s="24">
        <f>U2002-W2002</f>
        <v>0</v>
      </c>
      <c r="Y2002" s="53" t="str">
        <f>IF(U2002&lt;&gt;0,X2002/U2002,"")</f>
        <v/>
      </c>
      <c r="Z2002" s="23">
        <v>0</v>
      </c>
      <c r="AA2002" s="25">
        <v>0</v>
      </c>
      <c r="AB2002" s="24">
        <v>0</v>
      </c>
      <c r="AC2002" s="24">
        <f t="shared" si="575"/>
        <v>0</v>
      </c>
      <c r="AD2002" s="53" t="str">
        <f t="shared" si="576"/>
        <v/>
      </c>
      <c r="AE2002" s="10"/>
    </row>
    <row r="2003" spans="1:31" x14ac:dyDescent="0.25">
      <c r="A2003" s="14" t="s">
        <v>109</v>
      </c>
      <c r="C2003" s="61" t="str">
        <f t="shared" si="574"/>
        <v>C100113</v>
      </c>
      <c r="F2003" s="8" t="str">
        <f>"E100004"</f>
        <v>E100004</v>
      </c>
      <c r="G2003" s="9" t="str">
        <f>"Laminated Tote"</f>
        <v>Laminated Tote</v>
      </c>
      <c r="H2003" s="47"/>
      <c r="I2003" s="47"/>
      <c r="J2003" s="23">
        <v>0</v>
      </c>
      <c r="K2003" s="25">
        <v>0</v>
      </c>
      <c r="L2003" s="24">
        <v>0</v>
      </c>
      <c r="M2003" s="24">
        <f>J2003-L2003</f>
        <v>0</v>
      </c>
      <c r="N2003" s="53" t="str">
        <f>IF(J2003&lt;&gt;0,M2003/J2003,"")</f>
        <v/>
      </c>
      <c r="O2003" s="23">
        <v>530.61</v>
      </c>
      <c r="P2003" s="25">
        <v>288</v>
      </c>
      <c r="Q2003" s="24">
        <v>345.61</v>
      </c>
      <c r="R2003" s="24">
        <f>O2003-Q2003</f>
        <v>185</v>
      </c>
      <c r="S2003" s="53">
        <f>IF(O2003&lt;&gt;0,R2003/O2003,"")</f>
        <v>0.34865532123405135</v>
      </c>
      <c r="T2003" s="10"/>
      <c r="U2003" s="23">
        <v>0</v>
      </c>
      <c r="V2003" s="25">
        <v>0</v>
      </c>
      <c r="W2003" s="24">
        <v>0</v>
      </c>
      <c r="X2003" s="24">
        <f>U2003-W2003</f>
        <v>0</v>
      </c>
      <c r="Y2003" s="53" t="str">
        <f>IF(U2003&lt;&gt;0,X2003/U2003,"")</f>
        <v/>
      </c>
      <c r="Z2003" s="23">
        <v>0</v>
      </c>
      <c r="AA2003" s="25">
        <v>0</v>
      </c>
      <c r="AB2003" s="24">
        <v>0</v>
      </c>
      <c r="AC2003" s="24">
        <f t="shared" si="575"/>
        <v>0</v>
      </c>
      <c r="AD2003" s="53" t="str">
        <f t="shared" si="576"/>
        <v/>
      </c>
      <c r="AE2003" s="10"/>
    </row>
    <row r="2004" spans="1:31" x14ac:dyDescent="0.25">
      <c r="A2004" s="14" t="s">
        <v>109</v>
      </c>
      <c r="C2004" s="61" t="str">
        <f t="shared" si="574"/>
        <v>C100113</v>
      </c>
      <c r="F2004" s="8" t="str">
        <f>"E100006"</f>
        <v>E100006</v>
      </c>
      <c r="G2004" s="9" t="str">
        <f>"Budget Tote Bag"</f>
        <v>Budget Tote Bag</v>
      </c>
      <c r="H2004" s="47"/>
      <c r="I2004" s="47"/>
      <c r="J2004" s="23">
        <v>12.44</v>
      </c>
      <c r="K2004" s="25">
        <v>144</v>
      </c>
      <c r="L2004" s="24">
        <v>5.75</v>
      </c>
      <c r="M2004" s="24">
        <f>J2004-L2004</f>
        <v>6.6899999999999995</v>
      </c>
      <c r="N2004" s="53">
        <f>IF(J2004&lt;&gt;0,M2004/J2004,"")</f>
        <v>0.53778135048231512</v>
      </c>
      <c r="O2004" s="23">
        <v>26.46</v>
      </c>
      <c r="P2004" s="25">
        <v>300</v>
      </c>
      <c r="Q2004" s="24">
        <v>11.98</v>
      </c>
      <c r="R2004" s="24">
        <f>O2004-Q2004</f>
        <v>14.48</v>
      </c>
      <c r="S2004" s="53">
        <f>IF(O2004&lt;&gt;0,R2004/O2004,"")</f>
        <v>0.54724111866969005</v>
      </c>
      <c r="T2004" s="10"/>
      <c r="U2004" s="23">
        <v>0</v>
      </c>
      <c r="V2004" s="25">
        <v>0</v>
      </c>
      <c r="W2004" s="24">
        <v>0</v>
      </c>
      <c r="X2004" s="24">
        <f>U2004-W2004</f>
        <v>0</v>
      </c>
      <c r="Y2004" s="53" t="str">
        <f>IF(U2004&lt;&gt;0,X2004/U2004,"")</f>
        <v/>
      </c>
      <c r="Z2004" s="23">
        <v>0</v>
      </c>
      <c r="AA2004" s="25">
        <v>0</v>
      </c>
      <c r="AB2004" s="24">
        <v>0</v>
      </c>
      <c r="AC2004" s="24">
        <f t="shared" si="575"/>
        <v>0</v>
      </c>
      <c r="AD2004" s="53" t="str">
        <f t="shared" si="576"/>
        <v/>
      </c>
      <c r="AE2004" s="10"/>
    </row>
    <row r="2005" spans="1:31" x14ac:dyDescent="0.25">
      <c r="A2005" s="14" t="s">
        <v>109</v>
      </c>
      <c r="C2005" s="61" t="str">
        <f t="shared" si="574"/>
        <v>C100113</v>
      </c>
      <c r="F2005" s="8" t="str">
        <f>"E100007"</f>
        <v>E100007</v>
      </c>
      <c r="G2005" s="9" t="str">
        <f>"Plastic Handle Bag"</f>
        <v>Plastic Handle Bag</v>
      </c>
      <c r="H2005" s="47"/>
      <c r="I2005" s="47"/>
      <c r="J2005" s="23">
        <v>45.62</v>
      </c>
      <c r="K2005" s="25">
        <v>144</v>
      </c>
      <c r="L2005" s="24">
        <v>25.92</v>
      </c>
      <c r="M2005" s="24">
        <f>J2005-L2005</f>
        <v>19.699999999999996</v>
      </c>
      <c r="N2005" s="53">
        <f>IF(J2005&lt;&gt;0,M2005/J2005,"")</f>
        <v>0.43182814555019722</v>
      </c>
      <c r="O2005" s="23">
        <v>0</v>
      </c>
      <c r="P2005" s="25">
        <v>0</v>
      </c>
      <c r="Q2005" s="24">
        <v>0</v>
      </c>
      <c r="R2005" s="24">
        <f>O2005-Q2005</f>
        <v>0</v>
      </c>
      <c r="S2005" s="53" t="str">
        <f>IF(O2005&lt;&gt;0,R2005/O2005,"")</f>
        <v/>
      </c>
      <c r="T2005" s="10"/>
      <c r="U2005" s="23">
        <v>0</v>
      </c>
      <c r="V2005" s="25">
        <v>0</v>
      </c>
      <c r="W2005" s="24">
        <v>0</v>
      </c>
      <c r="X2005" s="24">
        <f>U2005-W2005</f>
        <v>0</v>
      </c>
      <c r="Y2005" s="53" t="str">
        <f>IF(U2005&lt;&gt;0,X2005/U2005,"")</f>
        <v/>
      </c>
      <c r="Z2005" s="23">
        <v>0</v>
      </c>
      <c r="AA2005" s="25">
        <v>0</v>
      </c>
      <c r="AB2005" s="24">
        <v>0</v>
      </c>
      <c r="AC2005" s="24">
        <f t="shared" si="575"/>
        <v>0</v>
      </c>
      <c r="AD2005" s="53" t="str">
        <f t="shared" si="576"/>
        <v/>
      </c>
      <c r="AE2005" s="10"/>
    </row>
    <row r="2006" spans="1:31" x14ac:dyDescent="0.25">
      <c r="A2006" s="14" t="s">
        <v>109</v>
      </c>
      <c r="C2006" s="61" t="str">
        <f t="shared" si="574"/>
        <v>C100113</v>
      </c>
      <c r="F2006" s="8" t="str">
        <f>"E100008"</f>
        <v>E100008</v>
      </c>
      <c r="G2006" s="9" t="str">
        <f>"Super Shopper"</f>
        <v>Super Shopper</v>
      </c>
      <c r="H2006" s="47"/>
      <c r="I2006" s="47"/>
      <c r="J2006" s="23">
        <v>31.8</v>
      </c>
      <c r="K2006" s="25">
        <v>144</v>
      </c>
      <c r="L2006" s="24">
        <v>17.29</v>
      </c>
      <c r="M2006" s="24">
        <f>J2006-L2006</f>
        <v>14.510000000000002</v>
      </c>
      <c r="N2006" s="53">
        <f>IF(J2006&lt;&gt;0,M2006/J2006,"")</f>
        <v>0.45628930817610069</v>
      </c>
      <c r="O2006" s="23">
        <v>0</v>
      </c>
      <c r="P2006" s="25">
        <v>0</v>
      </c>
      <c r="Q2006" s="24">
        <v>0</v>
      </c>
      <c r="R2006" s="24">
        <f>O2006-Q2006</f>
        <v>0</v>
      </c>
      <c r="S2006" s="53" t="str">
        <f>IF(O2006&lt;&gt;0,R2006/O2006,"")</f>
        <v/>
      </c>
      <c r="T2006" s="10"/>
      <c r="U2006" s="23">
        <v>0</v>
      </c>
      <c r="V2006" s="25">
        <v>0</v>
      </c>
      <c r="W2006" s="24">
        <v>0</v>
      </c>
      <c r="X2006" s="24">
        <f>U2006-W2006</f>
        <v>0</v>
      </c>
      <c r="Y2006" s="53" t="str">
        <f>IF(U2006&lt;&gt;0,X2006/U2006,"")</f>
        <v/>
      </c>
      <c r="Z2006" s="23">
        <v>0</v>
      </c>
      <c r="AA2006" s="25">
        <v>0</v>
      </c>
      <c r="AB2006" s="24">
        <v>0</v>
      </c>
      <c r="AC2006" s="24">
        <f t="shared" si="575"/>
        <v>0</v>
      </c>
      <c r="AD2006" s="53" t="str">
        <f t="shared" si="576"/>
        <v/>
      </c>
      <c r="AE2006" s="10"/>
    </row>
    <row r="2007" spans="1:31" x14ac:dyDescent="0.25">
      <c r="A2007" s="14" t="s">
        <v>109</v>
      </c>
      <c r="C2007" s="61" t="str">
        <f t="shared" si="574"/>
        <v>C100113</v>
      </c>
      <c r="F2007" s="8" t="str">
        <f>"E100010"</f>
        <v>E100010</v>
      </c>
      <c r="G2007" s="9" t="str">
        <f>"Vinyl Tote"</f>
        <v>Vinyl Tote</v>
      </c>
      <c r="H2007" s="47"/>
      <c r="I2007" s="47"/>
      <c r="J2007" s="23">
        <v>43.150000000000006</v>
      </c>
      <c r="K2007" s="25">
        <v>145</v>
      </c>
      <c r="L2007" s="24">
        <v>26.1</v>
      </c>
      <c r="M2007" s="24">
        <f>J2007-L2007</f>
        <v>17.050000000000004</v>
      </c>
      <c r="N2007" s="53">
        <f>IF(J2007&lt;&gt;0,M2007/J2007,"")</f>
        <v>0.39513325608342992</v>
      </c>
      <c r="O2007" s="23">
        <v>0</v>
      </c>
      <c r="P2007" s="25">
        <v>0</v>
      </c>
      <c r="Q2007" s="24">
        <v>0</v>
      </c>
      <c r="R2007" s="24">
        <f>O2007-Q2007</f>
        <v>0</v>
      </c>
      <c r="S2007" s="53" t="str">
        <f>IF(O2007&lt;&gt;0,R2007/O2007,"")</f>
        <v/>
      </c>
      <c r="T2007" s="10"/>
      <c r="U2007" s="23">
        <v>0</v>
      </c>
      <c r="V2007" s="25">
        <v>0</v>
      </c>
      <c r="W2007" s="24">
        <v>0</v>
      </c>
      <c r="X2007" s="24">
        <f>U2007-W2007</f>
        <v>0</v>
      </c>
      <c r="Y2007" s="53" t="str">
        <f>IF(U2007&lt;&gt;0,X2007/U2007,"")</f>
        <v/>
      </c>
      <c r="Z2007" s="23">
        <v>0</v>
      </c>
      <c r="AA2007" s="25">
        <v>0</v>
      </c>
      <c r="AB2007" s="24">
        <v>0</v>
      </c>
      <c r="AC2007" s="24">
        <f t="shared" si="575"/>
        <v>0</v>
      </c>
      <c r="AD2007" s="53" t="str">
        <f t="shared" si="576"/>
        <v/>
      </c>
      <c r="AE2007" s="10"/>
    </row>
    <row r="2008" spans="1:31" x14ac:dyDescent="0.25">
      <c r="A2008" s="14" t="s">
        <v>109</v>
      </c>
      <c r="C2008" s="61" t="str">
        <f t="shared" si="574"/>
        <v>C100113</v>
      </c>
      <c r="F2008" s="8" t="str">
        <f>"E100011"</f>
        <v>E100011</v>
      </c>
      <c r="G2008" s="9" t="str">
        <f>"Plastic Sun Visor"</f>
        <v>Plastic Sun Visor</v>
      </c>
      <c r="H2008" s="47"/>
      <c r="I2008" s="47"/>
      <c r="J2008" s="23">
        <v>111.97000000000001</v>
      </c>
      <c r="K2008" s="25">
        <v>144</v>
      </c>
      <c r="L2008" s="24">
        <v>60.470000000000006</v>
      </c>
      <c r="M2008" s="24">
        <f>J2008-L2008</f>
        <v>51.500000000000007</v>
      </c>
      <c r="N2008" s="53">
        <f>IF(J2008&lt;&gt;0,M2008/J2008,"")</f>
        <v>0.45994462802536396</v>
      </c>
      <c r="O2008" s="23">
        <v>0</v>
      </c>
      <c r="P2008" s="25">
        <v>0</v>
      </c>
      <c r="Q2008" s="24">
        <v>0</v>
      </c>
      <c r="R2008" s="24">
        <f>O2008-Q2008</f>
        <v>0</v>
      </c>
      <c r="S2008" s="53" t="str">
        <f>IF(O2008&lt;&gt;0,R2008/O2008,"")</f>
        <v/>
      </c>
      <c r="T2008" s="10"/>
      <c r="U2008" s="23">
        <v>0</v>
      </c>
      <c r="V2008" s="25">
        <v>0</v>
      </c>
      <c r="W2008" s="24">
        <v>0</v>
      </c>
      <c r="X2008" s="24">
        <f>U2008-W2008</f>
        <v>0</v>
      </c>
      <c r="Y2008" s="53" t="str">
        <f>IF(U2008&lt;&gt;0,X2008/U2008,"")</f>
        <v/>
      </c>
      <c r="Z2008" s="23">
        <v>0</v>
      </c>
      <c r="AA2008" s="25">
        <v>0</v>
      </c>
      <c r="AB2008" s="24">
        <v>0</v>
      </c>
      <c r="AC2008" s="24">
        <f t="shared" si="575"/>
        <v>0</v>
      </c>
      <c r="AD2008" s="53" t="str">
        <f t="shared" si="576"/>
        <v/>
      </c>
      <c r="AE2008" s="10"/>
    </row>
    <row r="2009" spans="1:31" x14ac:dyDescent="0.25">
      <c r="A2009" s="14" t="s">
        <v>109</v>
      </c>
      <c r="C2009" s="61" t="str">
        <f t="shared" si="574"/>
        <v>C100113</v>
      </c>
      <c r="F2009" s="8" t="str">
        <f>"E100012"</f>
        <v>E100012</v>
      </c>
      <c r="G2009" s="9" t="str">
        <f>"Canvas Stopwatch"</f>
        <v>Canvas Stopwatch</v>
      </c>
      <c r="H2009" s="47"/>
      <c r="I2009" s="47"/>
      <c r="J2009" s="23">
        <v>511.49</v>
      </c>
      <c r="K2009" s="25">
        <v>144</v>
      </c>
      <c r="L2009" s="24">
        <v>282.22999999999996</v>
      </c>
      <c r="M2009" s="24">
        <f>J2009-L2009</f>
        <v>229.26000000000005</v>
      </c>
      <c r="N2009" s="53">
        <f>IF(J2009&lt;&gt;0,M2009/J2009,"")</f>
        <v>0.44821990654753768</v>
      </c>
      <c r="O2009" s="23">
        <v>0</v>
      </c>
      <c r="P2009" s="25">
        <v>0</v>
      </c>
      <c r="Q2009" s="24">
        <v>0</v>
      </c>
      <c r="R2009" s="24">
        <f>O2009-Q2009</f>
        <v>0</v>
      </c>
      <c r="S2009" s="53" t="str">
        <f>IF(O2009&lt;&gt;0,R2009/O2009,"")</f>
        <v/>
      </c>
      <c r="T2009" s="10"/>
      <c r="U2009" s="23">
        <v>516.82000000000005</v>
      </c>
      <c r="V2009" s="25">
        <v>144</v>
      </c>
      <c r="W2009" s="24">
        <v>282.22999999999996</v>
      </c>
      <c r="X2009" s="24">
        <f>U2009-W2009</f>
        <v>234.59000000000009</v>
      </c>
      <c r="Y2009" s="53">
        <f>IF(U2009&lt;&gt;0,X2009/U2009,"")</f>
        <v>0.45391045238187389</v>
      </c>
      <c r="Z2009" s="23">
        <v>0</v>
      </c>
      <c r="AA2009" s="25">
        <v>0</v>
      </c>
      <c r="AB2009" s="24">
        <v>0</v>
      </c>
      <c r="AC2009" s="24">
        <f t="shared" si="575"/>
        <v>0</v>
      </c>
      <c r="AD2009" s="53" t="str">
        <f t="shared" si="576"/>
        <v/>
      </c>
      <c r="AE2009" s="10"/>
    </row>
    <row r="2010" spans="1:31" x14ac:dyDescent="0.25">
      <c r="A2010" s="14" t="s">
        <v>109</v>
      </c>
      <c r="C2010" s="61" t="str">
        <f t="shared" si="574"/>
        <v>C100113</v>
      </c>
      <c r="F2010" s="8" t="str">
        <f>"E100013"</f>
        <v>E100013</v>
      </c>
      <c r="G2010" s="9" t="str">
        <f>"Clip-on Stopwatch"</f>
        <v>Clip-on Stopwatch</v>
      </c>
      <c r="H2010" s="47"/>
      <c r="I2010" s="47"/>
      <c r="J2010" s="23">
        <v>31.8</v>
      </c>
      <c r="K2010" s="25">
        <v>12</v>
      </c>
      <c r="L2010" s="24">
        <v>17.28</v>
      </c>
      <c r="M2010" s="24">
        <f>J2010-L2010</f>
        <v>14.52</v>
      </c>
      <c r="N2010" s="53">
        <f>IF(J2010&lt;&gt;0,M2010/J2010,"")</f>
        <v>0.45660377358490561</v>
      </c>
      <c r="O2010" s="23">
        <v>0</v>
      </c>
      <c r="P2010" s="25">
        <v>0</v>
      </c>
      <c r="Q2010" s="24">
        <v>0</v>
      </c>
      <c r="R2010" s="24">
        <f>O2010-Q2010</f>
        <v>0</v>
      </c>
      <c r="S2010" s="53" t="str">
        <f>IF(O2010&lt;&gt;0,R2010/O2010,"")</f>
        <v/>
      </c>
      <c r="T2010" s="10"/>
      <c r="U2010" s="23">
        <v>385.52000000000004</v>
      </c>
      <c r="V2010" s="25">
        <v>144</v>
      </c>
      <c r="W2010" s="24">
        <v>207.35</v>
      </c>
      <c r="X2010" s="24">
        <f>U2010-W2010</f>
        <v>178.17000000000004</v>
      </c>
      <c r="Y2010" s="53">
        <f>IF(U2010&lt;&gt;0,X2010/U2010,"")</f>
        <v>0.46215501141315635</v>
      </c>
      <c r="Z2010" s="23">
        <v>0</v>
      </c>
      <c r="AA2010" s="25">
        <v>0</v>
      </c>
      <c r="AB2010" s="24">
        <v>0</v>
      </c>
      <c r="AC2010" s="24">
        <f t="shared" si="575"/>
        <v>0</v>
      </c>
      <c r="AD2010" s="53" t="str">
        <f t="shared" si="576"/>
        <v/>
      </c>
      <c r="AE2010" s="10"/>
    </row>
    <row r="2011" spans="1:31" x14ac:dyDescent="0.25">
      <c r="A2011" s="14" t="s">
        <v>109</v>
      </c>
      <c r="C2011" s="61" t="str">
        <f t="shared" si="574"/>
        <v>C100113</v>
      </c>
      <c r="F2011" s="8" t="str">
        <f>"E100017"</f>
        <v>E100017</v>
      </c>
      <c r="G2011" s="9" t="str">
        <f>"Clip-on Clock with Compass"</f>
        <v>Clip-on Clock with Compass</v>
      </c>
      <c r="H2011" s="47"/>
      <c r="I2011" s="47"/>
      <c r="J2011" s="23">
        <v>215.64999999999998</v>
      </c>
      <c r="K2011" s="25">
        <v>144</v>
      </c>
      <c r="L2011" s="24">
        <v>126.72</v>
      </c>
      <c r="M2011" s="24">
        <f>J2011-L2011</f>
        <v>88.929999999999978</v>
      </c>
      <c r="N2011" s="53">
        <f>IF(J2011&lt;&gt;0,M2011/J2011,"")</f>
        <v>0.41238117319731038</v>
      </c>
      <c r="O2011" s="23">
        <v>0</v>
      </c>
      <c r="P2011" s="25">
        <v>0</v>
      </c>
      <c r="Q2011" s="24">
        <v>0</v>
      </c>
      <c r="R2011" s="24">
        <f>O2011-Q2011</f>
        <v>0</v>
      </c>
      <c r="S2011" s="53" t="str">
        <f>IF(O2011&lt;&gt;0,R2011/O2011,"")</f>
        <v/>
      </c>
      <c r="T2011" s="10"/>
      <c r="U2011" s="23">
        <v>0</v>
      </c>
      <c r="V2011" s="25">
        <v>0</v>
      </c>
      <c r="W2011" s="24">
        <v>0</v>
      </c>
      <c r="X2011" s="24">
        <f>U2011-W2011</f>
        <v>0</v>
      </c>
      <c r="Y2011" s="53" t="str">
        <f>IF(U2011&lt;&gt;0,X2011/U2011,"")</f>
        <v/>
      </c>
      <c r="Z2011" s="23">
        <v>0</v>
      </c>
      <c r="AA2011" s="25">
        <v>0</v>
      </c>
      <c r="AB2011" s="24">
        <v>0</v>
      </c>
      <c r="AC2011" s="24">
        <f t="shared" si="575"/>
        <v>0</v>
      </c>
      <c r="AD2011" s="53" t="str">
        <f t="shared" si="576"/>
        <v/>
      </c>
      <c r="AE2011" s="10"/>
    </row>
    <row r="2012" spans="1:31" x14ac:dyDescent="0.25">
      <c r="A2012" s="14" t="s">
        <v>109</v>
      </c>
      <c r="C2012" s="61" t="str">
        <f t="shared" si="574"/>
        <v>C100113</v>
      </c>
      <c r="F2012" s="8" t="str">
        <f>"E100022"</f>
        <v>E100022</v>
      </c>
      <c r="G2012" s="9" t="str">
        <f>"Wide Screen Alarm Clock"</f>
        <v>Wide Screen Alarm Clock</v>
      </c>
      <c r="H2012" s="47"/>
      <c r="I2012" s="47"/>
      <c r="J2012" s="23">
        <v>1.85</v>
      </c>
      <c r="K2012" s="25">
        <v>1</v>
      </c>
      <c r="L2012" s="24">
        <v>1.28</v>
      </c>
      <c r="M2012" s="24">
        <f>J2012-L2012</f>
        <v>0.57000000000000006</v>
      </c>
      <c r="N2012" s="53">
        <f>IF(J2012&lt;&gt;0,M2012/J2012,"")</f>
        <v>0.30810810810810813</v>
      </c>
      <c r="O2012" s="23">
        <v>0</v>
      </c>
      <c r="P2012" s="25">
        <v>0</v>
      </c>
      <c r="Q2012" s="24">
        <v>0</v>
      </c>
      <c r="R2012" s="24">
        <f>O2012-Q2012</f>
        <v>0</v>
      </c>
      <c r="S2012" s="53" t="str">
        <f>IF(O2012&lt;&gt;0,R2012/O2012,"")</f>
        <v/>
      </c>
      <c r="T2012" s="10"/>
      <c r="U2012" s="23">
        <v>0</v>
      </c>
      <c r="V2012" s="25">
        <v>0</v>
      </c>
      <c r="W2012" s="24">
        <v>0</v>
      </c>
      <c r="X2012" s="24">
        <f>U2012-W2012</f>
        <v>0</v>
      </c>
      <c r="Y2012" s="53" t="str">
        <f>IF(U2012&lt;&gt;0,X2012/U2012,"")</f>
        <v/>
      </c>
      <c r="Z2012" s="23">
        <v>0</v>
      </c>
      <c r="AA2012" s="25">
        <v>0</v>
      </c>
      <c r="AB2012" s="24">
        <v>0</v>
      </c>
      <c r="AC2012" s="24">
        <f t="shared" si="575"/>
        <v>0</v>
      </c>
      <c r="AD2012" s="53" t="str">
        <f t="shared" si="576"/>
        <v/>
      </c>
      <c r="AE2012" s="10"/>
    </row>
    <row r="2013" spans="1:31" x14ac:dyDescent="0.25">
      <c r="A2013" s="14" t="s">
        <v>109</v>
      </c>
      <c r="C2013" s="61" t="str">
        <f t="shared" si="574"/>
        <v>C100113</v>
      </c>
      <c r="F2013" s="8" t="str">
        <f>"E100023"</f>
        <v>E100023</v>
      </c>
      <c r="G2013" s="9" t="str">
        <f>"Sport Earbuds"</f>
        <v>Sport Earbuds</v>
      </c>
      <c r="H2013" s="47"/>
      <c r="I2013" s="47"/>
      <c r="J2013" s="23">
        <v>624.84</v>
      </c>
      <c r="K2013" s="25">
        <v>144</v>
      </c>
      <c r="L2013" s="24">
        <v>302.39999999999998</v>
      </c>
      <c r="M2013" s="24">
        <f>J2013-L2013</f>
        <v>322.44000000000005</v>
      </c>
      <c r="N2013" s="53">
        <f>IF(J2013&lt;&gt;0,M2013/J2013,"")</f>
        <v>0.5160361052429423</v>
      </c>
      <c r="O2013" s="23">
        <v>0</v>
      </c>
      <c r="P2013" s="25">
        <v>0</v>
      </c>
      <c r="Q2013" s="24">
        <v>0</v>
      </c>
      <c r="R2013" s="24">
        <f>O2013-Q2013</f>
        <v>0</v>
      </c>
      <c r="S2013" s="53" t="str">
        <f>IF(O2013&lt;&gt;0,R2013/O2013,"")</f>
        <v/>
      </c>
      <c r="T2013" s="10"/>
      <c r="U2013" s="23">
        <v>0</v>
      </c>
      <c r="V2013" s="25">
        <v>0</v>
      </c>
      <c r="W2013" s="24">
        <v>0</v>
      </c>
      <c r="X2013" s="24">
        <f>U2013-W2013</f>
        <v>0</v>
      </c>
      <c r="Y2013" s="53" t="str">
        <f>IF(U2013&lt;&gt;0,X2013/U2013,"")</f>
        <v/>
      </c>
      <c r="Z2013" s="23">
        <v>0</v>
      </c>
      <c r="AA2013" s="25">
        <v>0</v>
      </c>
      <c r="AB2013" s="24">
        <v>0</v>
      </c>
      <c r="AC2013" s="24">
        <f t="shared" si="575"/>
        <v>0</v>
      </c>
      <c r="AD2013" s="53" t="str">
        <f t="shared" si="576"/>
        <v/>
      </c>
      <c r="AE2013" s="10"/>
    </row>
    <row r="2014" spans="1:31" x14ac:dyDescent="0.25">
      <c r="A2014" s="14" t="s">
        <v>109</v>
      </c>
      <c r="C2014" s="61" t="str">
        <f t="shared" si="574"/>
        <v>C100113</v>
      </c>
      <c r="F2014" s="8" t="str">
        <f>"E100025"</f>
        <v>E100025</v>
      </c>
      <c r="G2014" s="9" t="str">
        <f>"Calc-U-Note"</f>
        <v>Calc-U-Note</v>
      </c>
      <c r="H2014" s="47"/>
      <c r="I2014" s="47"/>
      <c r="J2014" s="23">
        <v>226.70999999999998</v>
      </c>
      <c r="K2014" s="25">
        <v>144</v>
      </c>
      <c r="L2014" s="24">
        <v>146.80000000000001</v>
      </c>
      <c r="M2014" s="24">
        <f>J2014-L2014</f>
        <v>79.909999999999968</v>
      </c>
      <c r="N2014" s="53">
        <f>IF(J2014&lt;&gt;0,M2014/J2014,"")</f>
        <v>0.35247673238939603</v>
      </c>
      <c r="O2014" s="23">
        <v>0</v>
      </c>
      <c r="P2014" s="25">
        <v>0</v>
      </c>
      <c r="Q2014" s="24">
        <v>0</v>
      </c>
      <c r="R2014" s="24">
        <f>O2014-Q2014</f>
        <v>0</v>
      </c>
      <c r="S2014" s="53" t="str">
        <f>IF(O2014&lt;&gt;0,R2014/O2014,"")</f>
        <v/>
      </c>
      <c r="T2014" s="10"/>
      <c r="U2014" s="23">
        <v>458.15</v>
      </c>
      <c r="V2014" s="25">
        <v>288</v>
      </c>
      <c r="W2014" s="24">
        <v>293.58999999999997</v>
      </c>
      <c r="X2014" s="24">
        <f>U2014-W2014</f>
        <v>164.56</v>
      </c>
      <c r="Y2014" s="53">
        <f>IF(U2014&lt;&gt;0,X2014/U2014,"")</f>
        <v>0.35918367346938779</v>
      </c>
      <c r="Z2014" s="23">
        <v>0</v>
      </c>
      <c r="AA2014" s="25">
        <v>0</v>
      </c>
      <c r="AB2014" s="24">
        <v>0</v>
      </c>
      <c r="AC2014" s="24">
        <f t="shared" si="575"/>
        <v>0</v>
      </c>
      <c r="AD2014" s="53" t="str">
        <f t="shared" si="576"/>
        <v/>
      </c>
      <c r="AE2014" s="10"/>
    </row>
    <row r="2015" spans="1:31" x14ac:dyDescent="0.25">
      <c r="A2015" s="14" t="s">
        <v>109</v>
      </c>
      <c r="C2015" s="61" t="str">
        <f t="shared" si="574"/>
        <v>C100113</v>
      </c>
      <c r="F2015" s="8" t="str">
        <f>"E100028"</f>
        <v>E100028</v>
      </c>
      <c r="G2015" s="9" t="str">
        <f>"USB 4-Port Hub"</f>
        <v>USB 4-Port Hub</v>
      </c>
      <c r="H2015" s="47"/>
      <c r="I2015" s="47"/>
      <c r="J2015" s="23">
        <v>398.13</v>
      </c>
      <c r="K2015" s="25">
        <v>144</v>
      </c>
      <c r="L2015" s="24">
        <v>267.91000000000003</v>
      </c>
      <c r="M2015" s="24">
        <f>J2015-L2015</f>
        <v>130.21999999999997</v>
      </c>
      <c r="N2015" s="53">
        <f>IF(J2015&lt;&gt;0,M2015/J2015,"")</f>
        <v>0.32707909476804053</v>
      </c>
      <c r="O2015" s="23">
        <v>0</v>
      </c>
      <c r="P2015" s="25">
        <v>0</v>
      </c>
      <c r="Q2015" s="24">
        <v>0</v>
      </c>
      <c r="R2015" s="24">
        <f>O2015-Q2015</f>
        <v>0</v>
      </c>
      <c r="S2015" s="53" t="str">
        <f>IF(O2015&lt;&gt;0,R2015/O2015,"")</f>
        <v/>
      </c>
      <c r="T2015" s="10"/>
      <c r="U2015" s="23">
        <v>0</v>
      </c>
      <c r="V2015" s="25">
        <v>0</v>
      </c>
      <c r="W2015" s="24">
        <v>0</v>
      </c>
      <c r="X2015" s="24">
        <f>U2015-W2015</f>
        <v>0</v>
      </c>
      <c r="Y2015" s="53" t="str">
        <f>IF(U2015&lt;&gt;0,X2015/U2015,"")</f>
        <v/>
      </c>
      <c r="Z2015" s="23">
        <v>0</v>
      </c>
      <c r="AA2015" s="25">
        <v>0</v>
      </c>
      <c r="AB2015" s="24">
        <v>0</v>
      </c>
      <c r="AC2015" s="24">
        <f t="shared" si="575"/>
        <v>0</v>
      </c>
      <c r="AD2015" s="53" t="str">
        <f t="shared" si="576"/>
        <v/>
      </c>
      <c r="AE2015" s="10"/>
    </row>
    <row r="2016" spans="1:31" x14ac:dyDescent="0.25">
      <c r="A2016" s="14" t="s">
        <v>109</v>
      </c>
      <c r="C2016" s="61" t="str">
        <f t="shared" si="574"/>
        <v>C100113</v>
      </c>
      <c r="F2016" s="8" t="str">
        <f>"E100030"</f>
        <v>E100030</v>
      </c>
      <c r="G2016" s="9" t="str">
        <f>"LED Keychain"</f>
        <v>LED Keychain</v>
      </c>
      <c r="H2016" s="47"/>
      <c r="I2016" s="47"/>
      <c r="J2016" s="23">
        <v>0</v>
      </c>
      <c r="K2016" s="25">
        <v>0</v>
      </c>
      <c r="L2016" s="24">
        <v>0</v>
      </c>
      <c r="M2016" s="24">
        <f>J2016-L2016</f>
        <v>0</v>
      </c>
      <c r="N2016" s="53" t="str">
        <f>IF(J2016&lt;&gt;0,M2016/J2016,"")</f>
        <v/>
      </c>
      <c r="O2016" s="23">
        <v>0.95</v>
      </c>
      <c r="P2016" s="25">
        <v>1</v>
      </c>
      <c r="Q2016" s="24">
        <v>0.5</v>
      </c>
      <c r="R2016" s="24">
        <f>O2016-Q2016</f>
        <v>0.44999999999999996</v>
      </c>
      <c r="S2016" s="53">
        <f>IF(O2016&lt;&gt;0,R2016/O2016,"")</f>
        <v>0.47368421052631576</v>
      </c>
      <c r="T2016" s="10"/>
      <c r="U2016" s="23">
        <v>0</v>
      </c>
      <c r="V2016" s="25">
        <v>0</v>
      </c>
      <c r="W2016" s="24">
        <v>0</v>
      </c>
      <c r="X2016" s="24">
        <f>U2016-W2016</f>
        <v>0</v>
      </c>
      <c r="Y2016" s="53" t="str">
        <f>IF(U2016&lt;&gt;0,X2016/U2016,"")</f>
        <v/>
      </c>
      <c r="Z2016" s="23">
        <v>0</v>
      </c>
      <c r="AA2016" s="25">
        <v>0</v>
      </c>
      <c r="AB2016" s="24">
        <v>0</v>
      </c>
      <c r="AC2016" s="24">
        <f t="shared" si="575"/>
        <v>0</v>
      </c>
      <c r="AD2016" s="53" t="str">
        <f t="shared" si="576"/>
        <v/>
      </c>
      <c r="AE2016" s="10"/>
    </row>
    <row r="2017" spans="1:31" x14ac:dyDescent="0.25">
      <c r="A2017" s="14" t="s">
        <v>109</v>
      </c>
      <c r="C2017" s="61" t="str">
        <f t="shared" si="574"/>
        <v>C100113</v>
      </c>
      <c r="F2017" s="8" t="str">
        <f>"E100031"</f>
        <v>E100031</v>
      </c>
      <c r="G2017" s="9" t="str">
        <f>"Ad Torch"</f>
        <v>Ad Torch</v>
      </c>
      <c r="H2017" s="47"/>
      <c r="I2017" s="47"/>
      <c r="J2017" s="23">
        <v>385.69</v>
      </c>
      <c r="K2017" s="25">
        <v>144</v>
      </c>
      <c r="L2017" s="24">
        <v>198.73000000000002</v>
      </c>
      <c r="M2017" s="24">
        <f>J2017-L2017</f>
        <v>186.95999999999998</v>
      </c>
      <c r="N2017" s="53">
        <f>IF(J2017&lt;&gt;0,M2017/J2017,"")</f>
        <v>0.48474163188052577</v>
      </c>
      <c r="O2017" s="23">
        <v>0</v>
      </c>
      <c r="P2017" s="25">
        <v>0</v>
      </c>
      <c r="Q2017" s="24">
        <v>0</v>
      </c>
      <c r="R2017" s="24">
        <f>O2017-Q2017</f>
        <v>0</v>
      </c>
      <c r="S2017" s="53" t="str">
        <f>IF(O2017&lt;&gt;0,R2017/O2017,"")</f>
        <v/>
      </c>
      <c r="T2017" s="10"/>
      <c r="U2017" s="23">
        <v>389.71</v>
      </c>
      <c r="V2017" s="25">
        <v>144</v>
      </c>
      <c r="W2017" s="24">
        <v>198.73000000000002</v>
      </c>
      <c r="X2017" s="24">
        <f>U2017-W2017</f>
        <v>190.97999999999996</v>
      </c>
      <c r="Y2017" s="53">
        <f>IF(U2017&lt;&gt;0,X2017/U2017,"")</f>
        <v>0.49005670883477448</v>
      </c>
      <c r="Z2017" s="23">
        <v>0</v>
      </c>
      <c r="AA2017" s="25">
        <v>0</v>
      </c>
      <c r="AB2017" s="24">
        <v>0</v>
      </c>
      <c r="AC2017" s="24">
        <f t="shared" si="575"/>
        <v>0</v>
      </c>
      <c r="AD2017" s="53" t="str">
        <f t="shared" si="576"/>
        <v/>
      </c>
      <c r="AE2017" s="10"/>
    </row>
    <row r="2018" spans="1:31" x14ac:dyDescent="0.25">
      <c r="A2018" s="14" t="s">
        <v>109</v>
      </c>
      <c r="C2018" s="61" t="str">
        <f t="shared" si="574"/>
        <v>C100113</v>
      </c>
      <c r="F2018" s="8" t="str">
        <f>"E100032"</f>
        <v>E100032</v>
      </c>
      <c r="G2018" s="9" t="str">
        <f>"Button Key-Light"</f>
        <v>Button Key-Light</v>
      </c>
      <c r="H2018" s="47"/>
      <c r="I2018" s="47"/>
      <c r="J2018" s="23">
        <v>211.51</v>
      </c>
      <c r="K2018" s="25">
        <v>432</v>
      </c>
      <c r="L2018" s="24">
        <v>142.57999999999998</v>
      </c>
      <c r="M2018" s="24">
        <f>J2018-L2018</f>
        <v>68.930000000000007</v>
      </c>
      <c r="N2018" s="53">
        <f>IF(J2018&lt;&gt;0,M2018/J2018,"")</f>
        <v>0.32589475674908991</v>
      </c>
      <c r="O2018" s="23">
        <v>0</v>
      </c>
      <c r="P2018" s="25">
        <v>0</v>
      </c>
      <c r="Q2018" s="24">
        <v>0</v>
      </c>
      <c r="R2018" s="24">
        <f>O2018-Q2018</f>
        <v>0</v>
      </c>
      <c r="S2018" s="53" t="str">
        <f>IF(O2018&lt;&gt;0,R2018/O2018,"")</f>
        <v/>
      </c>
      <c r="T2018" s="10"/>
      <c r="U2018" s="23">
        <v>0.49</v>
      </c>
      <c r="V2018" s="25">
        <v>1</v>
      </c>
      <c r="W2018" s="24">
        <v>0.33</v>
      </c>
      <c r="X2018" s="24">
        <f>U2018-W2018</f>
        <v>0.15999999999999998</v>
      </c>
      <c r="Y2018" s="53">
        <f>IF(U2018&lt;&gt;0,X2018/U2018,"")</f>
        <v>0.32653061224489793</v>
      </c>
      <c r="Z2018" s="23">
        <v>0</v>
      </c>
      <c r="AA2018" s="25">
        <v>0</v>
      </c>
      <c r="AB2018" s="24">
        <v>0</v>
      </c>
      <c r="AC2018" s="24">
        <f t="shared" si="575"/>
        <v>0</v>
      </c>
      <c r="AD2018" s="53" t="str">
        <f t="shared" si="576"/>
        <v/>
      </c>
      <c r="AE2018" s="10"/>
    </row>
    <row r="2019" spans="1:31" x14ac:dyDescent="0.25">
      <c r="A2019" s="14" t="s">
        <v>109</v>
      </c>
      <c r="C2019" s="61" t="str">
        <f t="shared" si="574"/>
        <v>C100113</v>
      </c>
      <c r="F2019" s="8" t="str">
        <f>"E100033"</f>
        <v>E100033</v>
      </c>
      <c r="G2019" s="9" t="str">
        <f>"Dual Source Flashlight"</f>
        <v>Dual Source Flashlight</v>
      </c>
      <c r="H2019" s="47"/>
      <c r="I2019" s="47"/>
      <c r="J2019" s="23">
        <v>453.43</v>
      </c>
      <c r="K2019" s="25">
        <v>144</v>
      </c>
      <c r="L2019" s="24">
        <v>224.60000000000002</v>
      </c>
      <c r="M2019" s="24">
        <f>J2019-L2019</f>
        <v>228.82999999999998</v>
      </c>
      <c r="N2019" s="53">
        <f>IF(J2019&lt;&gt;0,M2019/J2019,"")</f>
        <v>0.50466444655183818</v>
      </c>
      <c r="O2019" s="23">
        <v>0</v>
      </c>
      <c r="P2019" s="25">
        <v>0</v>
      </c>
      <c r="Q2019" s="24">
        <v>0</v>
      </c>
      <c r="R2019" s="24">
        <f>O2019-Q2019</f>
        <v>0</v>
      </c>
      <c r="S2019" s="53" t="str">
        <f>IF(O2019&lt;&gt;0,R2019/O2019,"")</f>
        <v/>
      </c>
      <c r="T2019" s="10"/>
      <c r="U2019" s="23">
        <v>0</v>
      </c>
      <c r="V2019" s="25">
        <v>0</v>
      </c>
      <c r="W2019" s="24">
        <v>0</v>
      </c>
      <c r="X2019" s="24">
        <f>U2019-W2019</f>
        <v>0</v>
      </c>
      <c r="Y2019" s="53" t="str">
        <f>IF(U2019&lt;&gt;0,X2019/U2019,"")</f>
        <v/>
      </c>
      <c r="Z2019" s="23">
        <v>0</v>
      </c>
      <c r="AA2019" s="25">
        <v>0</v>
      </c>
      <c r="AB2019" s="24">
        <v>0</v>
      </c>
      <c r="AC2019" s="24">
        <f t="shared" si="575"/>
        <v>0</v>
      </c>
      <c r="AD2019" s="53" t="str">
        <f t="shared" si="576"/>
        <v/>
      </c>
      <c r="AE2019" s="10"/>
    </row>
    <row r="2020" spans="1:31" x14ac:dyDescent="0.25">
      <c r="A2020" s="14" t="s">
        <v>109</v>
      </c>
      <c r="C2020" s="61" t="str">
        <f t="shared" si="574"/>
        <v>C100113</v>
      </c>
      <c r="F2020" s="8" t="str">
        <f>"E100038"</f>
        <v>E100038</v>
      </c>
      <c r="G2020" s="9" t="str">
        <f>"1GB USB Flash Drive Pen"</f>
        <v>1GB USB Flash Drive Pen</v>
      </c>
      <c r="H2020" s="47"/>
      <c r="I2020" s="47"/>
      <c r="J2020" s="23">
        <v>787.97</v>
      </c>
      <c r="K2020" s="25">
        <v>144</v>
      </c>
      <c r="L2020" s="24">
        <v>427.72999999999996</v>
      </c>
      <c r="M2020" s="24">
        <f>J2020-L2020</f>
        <v>360.24000000000007</v>
      </c>
      <c r="N2020" s="53">
        <f>IF(J2020&lt;&gt;0,M2020/J2020,"")</f>
        <v>0.45717476553675906</v>
      </c>
      <c r="O2020" s="23">
        <v>0</v>
      </c>
      <c r="P2020" s="25">
        <v>0</v>
      </c>
      <c r="Q2020" s="24">
        <v>0</v>
      </c>
      <c r="R2020" s="24">
        <f>O2020-Q2020</f>
        <v>0</v>
      </c>
      <c r="S2020" s="53" t="str">
        <f>IF(O2020&lt;&gt;0,R2020/O2020,"")</f>
        <v/>
      </c>
      <c r="T2020" s="10"/>
      <c r="U2020" s="23">
        <v>796.18000000000006</v>
      </c>
      <c r="V2020" s="25">
        <v>144</v>
      </c>
      <c r="W2020" s="24">
        <v>427.72999999999996</v>
      </c>
      <c r="X2020" s="24">
        <f>U2020-W2020</f>
        <v>368.4500000000001</v>
      </c>
      <c r="Y2020" s="53">
        <f>IF(U2020&lt;&gt;0,X2020/U2020,"")</f>
        <v>0.46277223743374624</v>
      </c>
      <c r="Z2020" s="23">
        <v>0</v>
      </c>
      <c r="AA2020" s="25">
        <v>0</v>
      </c>
      <c r="AB2020" s="24">
        <v>0</v>
      </c>
      <c r="AC2020" s="24">
        <f t="shared" si="575"/>
        <v>0</v>
      </c>
      <c r="AD2020" s="53" t="str">
        <f t="shared" si="576"/>
        <v/>
      </c>
      <c r="AE2020" s="10"/>
    </row>
    <row r="2021" spans="1:31" x14ac:dyDescent="0.25">
      <c r="A2021" s="14" t="s">
        <v>109</v>
      </c>
      <c r="C2021" s="61" t="str">
        <f t="shared" si="574"/>
        <v>C100113</v>
      </c>
      <c r="F2021" s="8" t="str">
        <f>"E100040"</f>
        <v>E100040</v>
      </c>
      <c r="G2021" s="9" t="str">
        <f>"Wave Mug"</f>
        <v>Wave Mug</v>
      </c>
      <c r="H2021" s="47"/>
      <c r="I2021" s="47"/>
      <c r="J2021" s="23">
        <v>467.25</v>
      </c>
      <c r="K2021" s="25">
        <v>288</v>
      </c>
      <c r="L2021" s="24">
        <v>322.72000000000003</v>
      </c>
      <c r="M2021" s="24">
        <f>J2021-L2021</f>
        <v>144.52999999999997</v>
      </c>
      <c r="N2021" s="53">
        <f>IF(J2021&lt;&gt;0,M2021/J2021,"")</f>
        <v>0.30932049224184049</v>
      </c>
      <c r="O2021" s="23">
        <v>0</v>
      </c>
      <c r="P2021" s="25">
        <v>0</v>
      </c>
      <c r="Q2021" s="24">
        <v>0</v>
      </c>
      <c r="R2021" s="24">
        <f>O2021-Q2021</f>
        <v>0</v>
      </c>
      <c r="S2021" s="53" t="str">
        <f>IF(O2021&lt;&gt;0,R2021/O2021,"")</f>
        <v/>
      </c>
      <c r="T2021" s="10"/>
      <c r="U2021" s="23">
        <v>0</v>
      </c>
      <c r="V2021" s="25">
        <v>0</v>
      </c>
      <c r="W2021" s="24">
        <v>0</v>
      </c>
      <c r="X2021" s="24">
        <f>U2021-W2021</f>
        <v>0</v>
      </c>
      <c r="Y2021" s="53" t="str">
        <f>IF(U2021&lt;&gt;0,X2021/U2021,"")</f>
        <v/>
      </c>
      <c r="Z2021" s="23">
        <v>0</v>
      </c>
      <c r="AA2021" s="25">
        <v>0</v>
      </c>
      <c r="AB2021" s="24">
        <v>0</v>
      </c>
      <c r="AC2021" s="24">
        <f t="shared" si="575"/>
        <v>0</v>
      </c>
      <c r="AD2021" s="53" t="str">
        <f t="shared" si="576"/>
        <v/>
      </c>
      <c r="AE2021" s="10"/>
    </row>
    <row r="2022" spans="1:31" x14ac:dyDescent="0.25">
      <c r="A2022" s="14" t="s">
        <v>109</v>
      </c>
      <c r="C2022" s="61" t="str">
        <f t="shared" si="574"/>
        <v>C100113</v>
      </c>
      <c r="F2022" s="8" t="str">
        <f>"E100042"</f>
        <v>E100042</v>
      </c>
      <c r="G2022" s="9" t="str">
        <f>"Soft Touch Travel Mug"</f>
        <v>Soft Touch Travel Mug</v>
      </c>
      <c r="H2022" s="47"/>
      <c r="I2022" s="47"/>
      <c r="J2022" s="23">
        <v>534.99</v>
      </c>
      <c r="K2022" s="25">
        <v>144</v>
      </c>
      <c r="L2022" s="24">
        <v>309.68</v>
      </c>
      <c r="M2022" s="24">
        <f>J2022-L2022</f>
        <v>225.31</v>
      </c>
      <c r="N2022" s="53">
        <f>IF(J2022&lt;&gt;0,M2022/J2022,"")</f>
        <v>0.42114805884222134</v>
      </c>
      <c r="O2022" s="23">
        <v>0</v>
      </c>
      <c r="P2022" s="25">
        <v>0</v>
      </c>
      <c r="Q2022" s="24">
        <v>0</v>
      </c>
      <c r="R2022" s="24">
        <f>O2022-Q2022</f>
        <v>0</v>
      </c>
      <c r="S2022" s="53" t="str">
        <f>IF(O2022&lt;&gt;0,R2022/O2022,"")</f>
        <v/>
      </c>
      <c r="T2022" s="10"/>
      <c r="U2022" s="23">
        <v>0</v>
      </c>
      <c r="V2022" s="25">
        <v>0</v>
      </c>
      <c r="W2022" s="24">
        <v>0</v>
      </c>
      <c r="X2022" s="24">
        <f>U2022-W2022</f>
        <v>0</v>
      </c>
      <c r="Y2022" s="53" t="str">
        <f>IF(U2022&lt;&gt;0,X2022/U2022,"")</f>
        <v/>
      </c>
      <c r="Z2022" s="23">
        <v>0</v>
      </c>
      <c r="AA2022" s="25">
        <v>0</v>
      </c>
      <c r="AB2022" s="24">
        <v>0</v>
      </c>
      <c r="AC2022" s="24">
        <f t="shared" si="575"/>
        <v>0</v>
      </c>
      <c r="AD2022" s="53" t="str">
        <f t="shared" si="576"/>
        <v/>
      </c>
      <c r="AE2022" s="10"/>
    </row>
    <row r="2023" spans="1:31" x14ac:dyDescent="0.25">
      <c r="A2023" s="14" t="s">
        <v>109</v>
      </c>
      <c r="C2023" s="61" t="str">
        <f t="shared" si="574"/>
        <v>C100113</v>
      </c>
      <c r="F2023" s="8" t="str">
        <f>"E100043"</f>
        <v>E100043</v>
      </c>
      <c r="G2023" s="9" t="str">
        <f>"Pub Glass"</f>
        <v>Pub Glass</v>
      </c>
      <c r="H2023" s="47"/>
      <c r="I2023" s="47"/>
      <c r="J2023" s="23">
        <v>196.3</v>
      </c>
      <c r="K2023" s="25">
        <v>144</v>
      </c>
      <c r="L2023" s="24">
        <v>133.94999999999999</v>
      </c>
      <c r="M2023" s="24">
        <f>J2023-L2023</f>
        <v>62.350000000000023</v>
      </c>
      <c r="N2023" s="53">
        <f>IF(J2023&lt;&gt;0,M2023/J2023,"")</f>
        <v>0.3176260825267449</v>
      </c>
      <c r="O2023" s="23">
        <v>200.39000000000001</v>
      </c>
      <c r="P2023" s="25">
        <v>144</v>
      </c>
      <c r="Q2023" s="24">
        <v>133.94999999999999</v>
      </c>
      <c r="R2023" s="24">
        <f>O2023-Q2023</f>
        <v>66.440000000000026</v>
      </c>
      <c r="S2023" s="53">
        <f>IF(O2023&lt;&gt;0,R2023/O2023,"")</f>
        <v>0.33155347073207259</v>
      </c>
      <c r="T2023" s="10"/>
      <c r="U2023" s="23">
        <v>0</v>
      </c>
      <c r="V2023" s="25">
        <v>0</v>
      </c>
      <c r="W2023" s="24">
        <v>0</v>
      </c>
      <c r="X2023" s="24">
        <f>U2023-W2023</f>
        <v>0</v>
      </c>
      <c r="Y2023" s="53" t="str">
        <f>IF(U2023&lt;&gt;0,X2023/U2023,"")</f>
        <v/>
      </c>
      <c r="Z2023" s="23">
        <v>0</v>
      </c>
      <c r="AA2023" s="25">
        <v>0</v>
      </c>
      <c r="AB2023" s="24">
        <v>0</v>
      </c>
      <c r="AC2023" s="24">
        <f t="shared" si="575"/>
        <v>0</v>
      </c>
      <c r="AD2023" s="53" t="str">
        <f t="shared" si="576"/>
        <v/>
      </c>
      <c r="AE2023" s="10"/>
    </row>
    <row r="2024" spans="1:31" x14ac:dyDescent="0.25">
      <c r="A2024" s="14" t="s">
        <v>109</v>
      </c>
      <c r="C2024" s="61" t="str">
        <f t="shared" si="574"/>
        <v>C100113</v>
      </c>
      <c r="F2024" s="8" t="str">
        <f>"E100046"</f>
        <v>E100046</v>
      </c>
      <c r="G2024" s="9" t="str">
        <f>"Milk Bottle"</f>
        <v>Milk Bottle</v>
      </c>
      <c r="H2024" s="47"/>
      <c r="I2024" s="47"/>
      <c r="J2024" s="23">
        <v>0</v>
      </c>
      <c r="K2024" s="25">
        <v>0</v>
      </c>
      <c r="L2024" s="24">
        <v>0</v>
      </c>
      <c r="M2024" s="24">
        <f>J2024-L2024</f>
        <v>0</v>
      </c>
      <c r="N2024" s="53" t="str">
        <f>IF(J2024&lt;&gt;0,M2024/J2024,"")</f>
        <v/>
      </c>
      <c r="O2024" s="23">
        <v>262.47999999999996</v>
      </c>
      <c r="P2024" s="25">
        <v>144</v>
      </c>
      <c r="Q2024" s="24">
        <v>149.67000000000002</v>
      </c>
      <c r="R2024" s="24">
        <f>O2024-Q2024</f>
        <v>112.80999999999995</v>
      </c>
      <c r="S2024" s="53">
        <f>IF(O2024&lt;&gt;0,R2024/O2024,"")</f>
        <v>0.42978512648582734</v>
      </c>
      <c r="T2024" s="10"/>
      <c r="U2024" s="23">
        <v>259.8</v>
      </c>
      <c r="V2024" s="25">
        <v>144</v>
      </c>
      <c r="W2024" s="24">
        <v>149.67000000000002</v>
      </c>
      <c r="X2024" s="24">
        <f>U2024-W2024</f>
        <v>110.13</v>
      </c>
      <c r="Y2024" s="53">
        <f>IF(U2024&lt;&gt;0,X2024/U2024,"")</f>
        <v>0.42390300230946881</v>
      </c>
      <c r="Z2024" s="23">
        <v>0</v>
      </c>
      <c r="AA2024" s="25">
        <v>0</v>
      </c>
      <c r="AB2024" s="24">
        <v>0</v>
      </c>
      <c r="AC2024" s="24">
        <f t="shared" si="575"/>
        <v>0</v>
      </c>
      <c r="AD2024" s="53" t="str">
        <f t="shared" si="576"/>
        <v/>
      </c>
      <c r="AE2024" s="10"/>
    </row>
    <row r="2025" spans="1:31" x14ac:dyDescent="0.25">
      <c r="A2025" s="14" t="s">
        <v>109</v>
      </c>
      <c r="C2025" s="61" t="str">
        <f t="shared" si="574"/>
        <v>C100113</v>
      </c>
      <c r="F2025" s="8" t="str">
        <f>"E100047"</f>
        <v>E100047</v>
      </c>
      <c r="G2025" s="9" t="str">
        <f>"Chardonnay Glass"</f>
        <v>Chardonnay Glass</v>
      </c>
      <c r="H2025" s="47"/>
      <c r="I2025" s="47"/>
      <c r="J2025" s="23">
        <v>248.83</v>
      </c>
      <c r="K2025" s="25">
        <v>144</v>
      </c>
      <c r="L2025" s="24">
        <v>151.19999999999999</v>
      </c>
      <c r="M2025" s="24">
        <f>J2025-L2025</f>
        <v>97.630000000000024</v>
      </c>
      <c r="N2025" s="53">
        <f>IF(J2025&lt;&gt;0,M2025/J2025,"")</f>
        <v>0.39235622714302948</v>
      </c>
      <c r="O2025" s="23">
        <v>0</v>
      </c>
      <c r="P2025" s="25">
        <v>0</v>
      </c>
      <c r="Q2025" s="24">
        <v>0</v>
      </c>
      <c r="R2025" s="24">
        <f>O2025-Q2025</f>
        <v>0</v>
      </c>
      <c r="S2025" s="53" t="str">
        <f>IF(O2025&lt;&gt;0,R2025/O2025,"")</f>
        <v/>
      </c>
      <c r="T2025" s="10"/>
      <c r="U2025" s="23">
        <v>251.42</v>
      </c>
      <c r="V2025" s="25">
        <v>144</v>
      </c>
      <c r="W2025" s="24">
        <v>151.19999999999999</v>
      </c>
      <c r="X2025" s="24">
        <f>U2025-W2025</f>
        <v>100.22</v>
      </c>
      <c r="Y2025" s="53">
        <f>IF(U2025&lt;&gt;0,X2025/U2025,"")</f>
        <v>0.39861586190438314</v>
      </c>
      <c r="Z2025" s="23">
        <v>0</v>
      </c>
      <c r="AA2025" s="25">
        <v>0</v>
      </c>
      <c r="AB2025" s="24">
        <v>0</v>
      </c>
      <c r="AC2025" s="24">
        <f t="shared" si="575"/>
        <v>0</v>
      </c>
      <c r="AD2025" s="53" t="str">
        <f t="shared" si="576"/>
        <v/>
      </c>
      <c r="AE2025" s="10"/>
    </row>
    <row r="2026" spans="1:31" x14ac:dyDescent="0.25">
      <c r="A2026" s="14" t="s">
        <v>109</v>
      </c>
      <c r="C2026" s="61" t="str">
        <f t="shared" si="574"/>
        <v>C100113</v>
      </c>
      <c r="F2026" s="8" t="str">
        <f>"S100003"</f>
        <v>S100003</v>
      </c>
      <c r="G2026" s="9" t="str">
        <f>"Soccer #1 Pin"</f>
        <v>Soccer #1 Pin</v>
      </c>
      <c r="H2026" s="47"/>
      <c r="I2026" s="47"/>
      <c r="J2026" s="23">
        <v>207.36</v>
      </c>
      <c r="K2026" s="25">
        <v>144</v>
      </c>
      <c r="L2026" s="24">
        <v>129.6</v>
      </c>
      <c r="M2026" s="24">
        <f>J2026-L2026</f>
        <v>77.760000000000019</v>
      </c>
      <c r="N2026" s="53">
        <f>IF(J2026&lt;&gt;0,M2026/J2026,"")</f>
        <v>0.37500000000000006</v>
      </c>
      <c r="O2026" s="23">
        <v>0</v>
      </c>
      <c r="P2026" s="25">
        <v>0</v>
      </c>
      <c r="Q2026" s="24">
        <v>0</v>
      </c>
      <c r="R2026" s="24">
        <f>O2026-Q2026</f>
        <v>0</v>
      </c>
      <c r="S2026" s="53" t="str">
        <f>IF(O2026&lt;&gt;0,R2026/O2026,"")</f>
        <v/>
      </c>
      <c r="T2026" s="10"/>
      <c r="U2026" s="23">
        <v>0</v>
      </c>
      <c r="V2026" s="25">
        <v>0</v>
      </c>
      <c r="W2026" s="24">
        <v>0</v>
      </c>
      <c r="X2026" s="24">
        <f>U2026-W2026</f>
        <v>0</v>
      </c>
      <c r="Y2026" s="53" t="str">
        <f>IF(U2026&lt;&gt;0,X2026/U2026,"")</f>
        <v/>
      </c>
      <c r="Z2026" s="23">
        <v>0</v>
      </c>
      <c r="AA2026" s="25">
        <v>0</v>
      </c>
      <c r="AB2026" s="24">
        <v>0</v>
      </c>
      <c r="AC2026" s="24">
        <f t="shared" si="575"/>
        <v>0</v>
      </c>
      <c r="AD2026" s="53" t="str">
        <f t="shared" si="576"/>
        <v/>
      </c>
      <c r="AE2026" s="10"/>
    </row>
    <row r="2027" spans="1:31" x14ac:dyDescent="0.25">
      <c r="A2027" s="14" t="s">
        <v>109</v>
      </c>
      <c r="C2027" s="61" t="str">
        <f t="shared" si="574"/>
        <v>C100113</v>
      </c>
      <c r="F2027" s="8" t="str">
        <f>"S100011"</f>
        <v>S100011</v>
      </c>
      <c r="G2027" s="9" t="str">
        <f>"All Star Cap"</f>
        <v>All Star Cap</v>
      </c>
      <c r="H2027" s="47"/>
      <c r="I2027" s="47"/>
      <c r="J2027" s="23">
        <v>200.45</v>
      </c>
      <c r="K2027" s="25">
        <v>144</v>
      </c>
      <c r="L2027" s="24">
        <v>122.41</v>
      </c>
      <c r="M2027" s="24">
        <f>J2027-L2027</f>
        <v>78.039999999999992</v>
      </c>
      <c r="N2027" s="53">
        <f>IF(J2027&lt;&gt;0,M2027/J2027,"")</f>
        <v>0.38932402095285606</v>
      </c>
      <c r="O2027" s="23">
        <v>0</v>
      </c>
      <c r="P2027" s="25">
        <v>0</v>
      </c>
      <c r="Q2027" s="24">
        <v>0</v>
      </c>
      <c r="R2027" s="24">
        <f>O2027-Q2027</f>
        <v>0</v>
      </c>
      <c r="S2027" s="53" t="str">
        <f>IF(O2027&lt;&gt;0,R2027/O2027,"")</f>
        <v/>
      </c>
      <c r="T2027" s="10"/>
      <c r="U2027" s="23">
        <v>0</v>
      </c>
      <c r="V2027" s="25">
        <v>0</v>
      </c>
      <c r="W2027" s="24">
        <v>0</v>
      </c>
      <c r="X2027" s="24">
        <f>U2027-W2027</f>
        <v>0</v>
      </c>
      <c r="Y2027" s="53" t="str">
        <f>IF(U2027&lt;&gt;0,X2027/U2027,"")</f>
        <v/>
      </c>
      <c r="Z2027" s="23">
        <v>0</v>
      </c>
      <c r="AA2027" s="25">
        <v>0</v>
      </c>
      <c r="AB2027" s="24">
        <v>0</v>
      </c>
      <c r="AC2027" s="24">
        <f t="shared" si="575"/>
        <v>0</v>
      </c>
      <c r="AD2027" s="53" t="str">
        <f t="shared" si="576"/>
        <v/>
      </c>
      <c r="AE2027" s="10"/>
    </row>
    <row r="2028" spans="1:31" x14ac:dyDescent="0.25">
      <c r="A2028" s="14" t="s">
        <v>109</v>
      </c>
      <c r="C2028" s="61" t="str">
        <f t="shared" si="574"/>
        <v>C100113</v>
      </c>
      <c r="F2028" s="8" t="str">
        <f>"S100025"</f>
        <v>S100025</v>
      </c>
      <c r="G2028" s="9" t="str">
        <f>"SPORT BOT with Pop Lid"</f>
        <v>SPORT BOT with Pop Lid</v>
      </c>
      <c r="H2028" s="47"/>
      <c r="I2028" s="47"/>
      <c r="J2028" s="23">
        <v>235.01</v>
      </c>
      <c r="K2028" s="25">
        <v>144</v>
      </c>
      <c r="L2028" s="24">
        <v>138.16999999999999</v>
      </c>
      <c r="M2028" s="24">
        <f>J2028-L2028</f>
        <v>96.84</v>
      </c>
      <c r="N2028" s="53">
        <f>IF(J2028&lt;&gt;0,M2028/J2028,"")</f>
        <v>0.41206757159269819</v>
      </c>
      <c r="O2028" s="23">
        <v>0</v>
      </c>
      <c r="P2028" s="25">
        <v>0</v>
      </c>
      <c r="Q2028" s="24">
        <v>0</v>
      </c>
      <c r="R2028" s="24">
        <f>O2028-Q2028</f>
        <v>0</v>
      </c>
      <c r="S2028" s="53" t="str">
        <f>IF(O2028&lt;&gt;0,R2028/O2028,"")</f>
        <v/>
      </c>
      <c r="T2028" s="10"/>
      <c r="U2028" s="23">
        <v>237.46</v>
      </c>
      <c r="V2028" s="25">
        <v>144</v>
      </c>
      <c r="W2028" s="24">
        <v>138.16999999999999</v>
      </c>
      <c r="X2028" s="24">
        <f>U2028-W2028</f>
        <v>99.29000000000002</v>
      </c>
      <c r="Y2028" s="53">
        <f>IF(U2028&lt;&gt;0,X2028/U2028,"")</f>
        <v>0.41813358039248721</v>
      </c>
      <c r="Z2028" s="23">
        <v>0</v>
      </c>
      <c r="AA2028" s="25">
        <v>0</v>
      </c>
      <c r="AB2028" s="24">
        <v>0</v>
      </c>
      <c r="AC2028" s="24">
        <f t="shared" si="575"/>
        <v>0</v>
      </c>
      <c r="AD2028" s="53" t="str">
        <f t="shared" si="576"/>
        <v/>
      </c>
      <c r="AE2028" s="10"/>
    </row>
    <row r="2029" spans="1:31" x14ac:dyDescent="0.25">
      <c r="A2029" s="14" t="s">
        <v>109</v>
      </c>
      <c r="C2029" s="61" t="str">
        <f t="shared" si="574"/>
        <v>C100113</v>
      </c>
      <c r="F2029" s="8" t="str">
        <f>"S100026"</f>
        <v>S100026</v>
      </c>
      <c r="G2029" s="9" t="str">
        <f>"Wide SPORT BOT"</f>
        <v>Wide SPORT BOT</v>
      </c>
      <c r="H2029" s="47"/>
      <c r="I2029" s="47"/>
      <c r="J2029" s="23">
        <v>0</v>
      </c>
      <c r="K2029" s="25">
        <v>0</v>
      </c>
      <c r="L2029" s="24">
        <v>0</v>
      </c>
      <c r="M2029" s="24">
        <f>J2029-L2029</f>
        <v>0</v>
      </c>
      <c r="N2029" s="53" t="str">
        <f>IF(J2029&lt;&gt;0,M2029/J2029,"")</f>
        <v/>
      </c>
      <c r="O2029" s="23">
        <v>23.81</v>
      </c>
      <c r="P2029" s="25">
        <v>6</v>
      </c>
      <c r="Q2029" s="24">
        <v>11.4</v>
      </c>
      <c r="R2029" s="24">
        <f>O2029-Q2029</f>
        <v>12.409999999999998</v>
      </c>
      <c r="S2029" s="53">
        <f>IF(O2029&lt;&gt;0,R2029/O2029,"")</f>
        <v>0.52120957580848382</v>
      </c>
      <c r="T2029" s="10"/>
      <c r="U2029" s="23">
        <v>1697.11</v>
      </c>
      <c r="V2029" s="25">
        <v>432</v>
      </c>
      <c r="W2029" s="24">
        <v>820.96</v>
      </c>
      <c r="X2029" s="24">
        <f>U2029-W2029</f>
        <v>876.14999999999986</v>
      </c>
      <c r="Y2029" s="53">
        <f>IF(U2029&lt;&gt;0,X2029/U2029,"")</f>
        <v>0.51625999493256181</v>
      </c>
      <c r="Z2029" s="23">
        <v>0</v>
      </c>
      <c r="AA2029" s="25">
        <v>0</v>
      </c>
      <c r="AB2029" s="24">
        <v>0</v>
      </c>
      <c r="AC2029" s="24">
        <f t="shared" si="575"/>
        <v>0</v>
      </c>
      <c r="AD2029" s="53" t="str">
        <f t="shared" si="576"/>
        <v/>
      </c>
      <c r="AE2029" s="10"/>
    </row>
    <row r="2030" spans="1:31" x14ac:dyDescent="0.25">
      <c r="A2030" s="14" t="s">
        <v>109</v>
      </c>
      <c r="C2030" s="61" t="str">
        <f t="shared" si="574"/>
        <v>C100113</v>
      </c>
      <c r="F2030" s="8" t="str">
        <f>"S200001"</f>
        <v>S200001</v>
      </c>
      <c r="G2030" s="9" t="str">
        <f>"3.25"" Lamp of Knowledge Trophy"</f>
        <v>3.25" Lamp of Knowledge Trophy</v>
      </c>
      <c r="H2030" s="47"/>
      <c r="I2030" s="47"/>
      <c r="J2030" s="23">
        <v>0</v>
      </c>
      <c r="K2030" s="25">
        <v>0</v>
      </c>
      <c r="L2030" s="24">
        <v>0</v>
      </c>
      <c r="M2030" s="24">
        <f>J2030-L2030</f>
        <v>0</v>
      </c>
      <c r="N2030" s="53" t="str">
        <f>IF(J2030&lt;&gt;0,M2030/J2030,"")</f>
        <v/>
      </c>
      <c r="O2030" s="23">
        <v>1411.2</v>
      </c>
      <c r="P2030" s="25">
        <v>144</v>
      </c>
      <c r="Q2030" s="24">
        <v>1009.4399999999999</v>
      </c>
      <c r="R2030" s="24">
        <f>O2030-Q2030</f>
        <v>401.7600000000001</v>
      </c>
      <c r="S2030" s="53">
        <f>IF(O2030&lt;&gt;0,R2030/O2030,"")</f>
        <v>0.28469387755102049</v>
      </c>
      <c r="T2030" s="10"/>
      <c r="U2030" s="23">
        <v>0</v>
      </c>
      <c r="V2030" s="25">
        <v>0</v>
      </c>
      <c r="W2030" s="24">
        <v>0</v>
      </c>
      <c r="X2030" s="24">
        <f>U2030-W2030</f>
        <v>0</v>
      </c>
      <c r="Y2030" s="53" t="str">
        <f>IF(U2030&lt;&gt;0,X2030/U2030,"")</f>
        <v/>
      </c>
      <c r="Z2030" s="23">
        <v>0</v>
      </c>
      <c r="AA2030" s="25">
        <v>0</v>
      </c>
      <c r="AB2030" s="24">
        <v>0</v>
      </c>
      <c r="AC2030" s="24">
        <f t="shared" si="575"/>
        <v>0</v>
      </c>
      <c r="AD2030" s="53" t="str">
        <f t="shared" si="576"/>
        <v/>
      </c>
      <c r="AE2030" s="10"/>
    </row>
    <row r="2031" spans="1:31" x14ac:dyDescent="0.25">
      <c r="A2031" s="14" t="s">
        <v>109</v>
      </c>
      <c r="C2031" s="61" t="str">
        <f t="shared" si="574"/>
        <v>C100113</v>
      </c>
      <c r="F2031" s="8" t="str">
        <f>"S200019"</f>
        <v>S200019</v>
      </c>
      <c r="G2031" s="9" t="str">
        <f>"10.75"" Tourch Riser Apple Trophy"</f>
        <v>10.75" Tourch Riser Apple Trophy</v>
      </c>
      <c r="H2031" s="47"/>
      <c r="I2031" s="47"/>
      <c r="J2031" s="23">
        <v>0</v>
      </c>
      <c r="K2031" s="25">
        <v>0</v>
      </c>
      <c r="L2031" s="24">
        <v>0</v>
      </c>
      <c r="M2031" s="24">
        <f>J2031-L2031</f>
        <v>0</v>
      </c>
      <c r="N2031" s="53" t="str">
        <f>IF(J2031&lt;&gt;0,M2031/J2031,"")</f>
        <v/>
      </c>
      <c r="O2031" s="23">
        <v>2116.8000000000002</v>
      </c>
      <c r="P2031" s="25">
        <v>144</v>
      </c>
      <c r="Q2031" s="24">
        <v>1559.52</v>
      </c>
      <c r="R2031" s="24">
        <f>O2031-Q2031</f>
        <v>557.2800000000002</v>
      </c>
      <c r="S2031" s="53">
        <f>IF(O2031&lt;&gt;0,R2031/O2031,"")</f>
        <v>0.26326530612244903</v>
      </c>
      <c r="T2031" s="10"/>
      <c r="U2031" s="23">
        <v>0</v>
      </c>
      <c r="V2031" s="25">
        <v>0</v>
      </c>
      <c r="W2031" s="24">
        <v>0</v>
      </c>
      <c r="X2031" s="24">
        <f>U2031-W2031</f>
        <v>0</v>
      </c>
      <c r="Y2031" s="53" t="str">
        <f>IF(U2031&lt;&gt;0,X2031/U2031,"")</f>
        <v/>
      </c>
      <c r="Z2031" s="23">
        <v>0</v>
      </c>
      <c r="AA2031" s="25">
        <v>0</v>
      </c>
      <c r="AB2031" s="24">
        <v>0</v>
      </c>
      <c r="AC2031" s="24">
        <f t="shared" si="575"/>
        <v>0</v>
      </c>
      <c r="AD2031" s="53" t="str">
        <f t="shared" si="576"/>
        <v/>
      </c>
      <c r="AE2031" s="10"/>
    </row>
    <row r="2032" spans="1:31" x14ac:dyDescent="0.25">
      <c r="A2032" s="14" t="s">
        <v>109</v>
      </c>
      <c r="C2032" s="61" t="str">
        <f t="shared" si="574"/>
        <v>C100113</v>
      </c>
      <c r="F2032" s="8" t="str">
        <f>"S200026"</f>
        <v>S200026</v>
      </c>
      <c r="G2032" s="9" t="str">
        <f>"10.75"" Column Apple Trophy"</f>
        <v>10.75" Column Apple Trophy</v>
      </c>
      <c r="H2032" s="47"/>
      <c r="I2032" s="47"/>
      <c r="J2032" s="23">
        <v>0</v>
      </c>
      <c r="K2032" s="25">
        <v>0</v>
      </c>
      <c r="L2032" s="24">
        <v>0</v>
      </c>
      <c r="M2032" s="24">
        <f>J2032-L2032</f>
        <v>0</v>
      </c>
      <c r="N2032" s="53" t="str">
        <f>IF(J2032&lt;&gt;0,M2032/J2032,"")</f>
        <v/>
      </c>
      <c r="O2032" s="23">
        <v>176.4</v>
      </c>
      <c r="P2032" s="25">
        <v>12</v>
      </c>
      <c r="Q2032" s="24">
        <v>135.6</v>
      </c>
      <c r="R2032" s="24">
        <f>O2032-Q2032</f>
        <v>40.800000000000011</v>
      </c>
      <c r="S2032" s="53">
        <f>IF(O2032&lt;&gt;0,R2032/O2032,"")</f>
        <v>0.23129251700680278</v>
      </c>
      <c r="T2032" s="10"/>
      <c r="U2032" s="23">
        <v>0</v>
      </c>
      <c r="V2032" s="25">
        <v>0</v>
      </c>
      <c r="W2032" s="24">
        <v>0</v>
      </c>
      <c r="X2032" s="24">
        <f>U2032-W2032</f>
        <v>0</v>
      </c>
      <c r="Y2032" s="53" t="str">
        <f>IF(U2032&lt;&gt;0,X2032/U2032,"")</f>
        <v/>
      </c>
      <c r="Z2032" s="23">
        <v>0</v>
      </c>
      <c r="AA2032" s="25">
        <v>0</v>
      </c>
      <c r="AB2032" s="24">
        <v>0</v>
      </c>
      <c r="AC2032" s="24">
        <f t="shared" si="575"/>
        <v>0</v>
      </c>
      <c r="AD2032" s="53" t="str">
        <f t="shared" si="576"/>
        <v/>
      </c>
      <c r="AE2032" s="10"/>
    </row>
    <row r="2033" spans="1:31" x14ac:dyDescent="0.25">
      <c r="A2033" s="14" t="s">
        <v>109</v>
      </c>
      <c r="C2033" s="61" t="str">
        <f t="shared" si="574"/>
        <v>C100113</v>
      </c>
      <c r="F2033" s="8" t="str">
        <f>"S200030"</f>
        <v>S200030</v>
      </c>
      <c r="G2033" s="9" t="str">
        <f>"10.75"" Column Volleyball Trophy"</f>
        <v>10.75" Column Volleyball Trophy</v>
      </c>
      <c r="H2033" s="47"/>
      <c r="I2033" s="47"/>
      <c r="J2033" s="23">
        <v>0</v>
      </c>
      <c r="K2033" s="25">
        <v>0</v>
      </c>
      <c r="L2033" s="24">
        <v>0</v>
      </c>
      <c r="M2033" s="24">
        <f>J2033-L2033</f>
        <v>0</v>
      </c>
      <c r="N2033" s="53" t="str">
        <f>IF(J2033&lt;&gt;0,M2033/J2033,"")</f>
        <v/>
      </c>
      <c r="O2033" s="23">
        <v>2116.8000000000002</v>
      </c>
      <c r="P2033" s="25">
        <v>144</v>
      </c>
      <c r="Q2033" s="24">
        <v>1547.9999999999998</v>
      </c>
      <c r="R2033" s="24">
        <f>O2033-Q2033</f>
        <v>568.80000000000041</v>
      </c>
      <c r="S2033" s="53">
        <f>IF(O2033&lt;&gt;0,R2033/O2033,"")</f>
        <v>0.26870748299319747</v>
      </c>
      <c r="T2033" s="10"/>
      <c r="U2033" s="23">
        <v>0</v>
      </c>
      <c r="V2033" s="25">
        <v>0</v>
      </c>
      <c r="W2033" s="24">
        <v>0</v>
      </c>
      <c r="X2033" s="24">
        <f>U2033-W2033</f>
        <v>0</v>
      </c>
      <c r="Y2033" s="53" t="str">
        <f>IF(U2033&lt;&gt;0,X2033/U2033,"")</f>
        <v/>
      </c>
      <c r="Z2033" s="23">
        <v>0</v>
      </c>
      <c r="AA2033" s="25">
        <v>0</v>
      </c>
      <c r="AB2033" s="24">
        <v>0</v>
      </c>
      <c r="AC2033" s="24">
        <f t="shared" si="575"/>
        <v>0</v>
      </c>
      <c r="AD2033" s="53" t="str">
        <f t="shared" si="576"/>
        <v/>
      </c>
      <c r="AE2033" s="10"/>
    </row>
    <row r="2034" spans="1:31" ht="15.75" thickBot="1" x14ac:dyDescent="0.3">
      <c r="A2034" s="14" t="s">
        <v>109</v>
      </c>
      <c r="C2034" s="61" t="str">
        <f>C1993</f>
        <v>C100113</v>
      </c>
      <c r="J2034" s="10"/>
      <c r="K2034" s="11"/>
      <c r="L2034" s="11"/>
      <c r="M2034" s="11"/>
      <c r="N2034" s="12"/>
      <c r="O2034" s="10"/>
      <c r="P2034" s="11"/>
      <c r="Q2034" s="11"/>
      <c r="R2034" s="11"/>
      <c r="S2034" s="12"/>
      <c r="U2034" s="10"/>
      <c r="V2034" s="11"/>
      <c r="W2034" s="11"/>
      <c r="X2034" s="11"/>
      <c r="Y2034" s="12"/>
      <c r="Z2034" s="10"/>
      <c r="AA2034" s="11"/>
      <c r="AB2034" s="11"/>
      <c r="AC2034" s="11"/>
      <c r="AD2034" s="12"/>
    </row>
    <row r="2035" spans="1:31" ht="15.75" thickBot="1" x14ac:dyDescent="0.3">
      <c r="A2035" s="14" t="s">
        <v>109</v>
      </c>
      <c r="C2035" s="61" t="str">
        <f t="shared" si="571"/>
        <v>C100113</v>
      </c>
      <c r="G2035" s="48" t="str">
        <f>C2035&amp;" TOTAL:"</f>
        <v>C100113 TOTAL:</v>
      </c>
      <c r="H2035" s="50"/>
      <c r="I2035" s="50"/>
      <c r="J2035" s="34">
        <f>SUBTOTAL(9,J1992:J2034)</f>
        <v>9988.6</v>
      </c>
      <c r="K2035" s="35">
        <f>SUBTOTAL(9,K1992:K2034)</f>
        <v>4766</v>
      </c>
      <c r="L2035" s="36">
        <f>SUBTOTAL(9,L1992:L2034)</f>
        <v>5647.95</v>
      </c>
      <c r="M2035" s="36">
        <f>J2035-L2035</f>
        <v>4340.6500000000005</v>
      </c>
      <c r="N2035" s="37">
        <f>IF(J2035&lt;&gt;0,M2035/J2035,"")</f>
        <v>0.43456039885469439</v>
      </c>
      <c r="O2035" s="34">
        <f>SUBTOTAL(9,O1992:O2034)</f>
        <v>7524.93</v>
      </c>
      <c r="P2035" s="35">
        <f>SUBTOTAL(9,P1992:P2034)</f>
        <v>1615</v>
      </c>
      <c r="Q2035" s="36">
        <f>SUBTOTAL(9,Q1992:Q2034)</f>
        <v>5295.93</v>
      </c>
      <c r="R2035" s="36">
        <f>O2035-Q2035</f>
        <v>2229</v>
      </c>
      <c r="S2035" s="37">
        <f>IF(O2035&lt;&gt;0,R2035/O2035,"")</f>
        <v>0.29621538007662529</v>
      </c>
      <c r="U2035" s="34">
        <f>SUBTOTAL(9,U1992:U2034)</f>
        <v>6036.43</v>
      </c>
      <c r="V2035" s="35">
        <f>SUBTOTAL(9,V1992:V2034)</f>
        <v>2029</v>
      </c>
      <c r="W2035" s="36">
        <f>SUBTOTAL(9,W1992:W2034)</f>
        <v>3237.6</v>
      </c>
      <c r="X2035" s="36">
        <f>U2035-W2035</f>
        <v>2798.8300000000004</v>
      </c>
      <c r="Y2035" s="37">
        <f>IF(U2035&lt;&gt;0,X2035/U2035,"")</f>
        <v>0.4636564989571651</v>
      </c>
      <c r="Z2035" s="34">
        <f>SUBTOTAL(9,Z1992:Z2034)</f>
        <v>0</v>
      </c>
      <c r="AA2035" s="35">
        <f>SUBTOTAL(9,AA1992:AA2034)</f>
        <v>0</v>
      </c>
      <c r="AB2035" s="36">
        <f>SUBTOTAL(9,AB1992:AB2034)</f>
        <v>0</v>
      </c>
      <c r="AC2035" s="36">
        <f t="shared" ref="AC2035" si="577">Z2035-AB2035</f>
        <v>0</v>
      </c>
      <c r="AD2035" s="37" t="str">
        <f t="shared" ref="AD2035" si="578">IF(Z2035&lt;&gt;0,AC2035/Z2035,"")</f>
        <v/>
      </c>
    </row>
    <row r="2036" spans="1:31" x14ac:dyDescent="0.25">
      <c r="A2036" s="14" t="s">
        <v>109</v>
      </c>
      <c r="C2036" s="66"/>
      <c r="J2036" s="10"/>
      <c r="K2036" s="11"/>
      <c r="L2036" s="11"/>
      <c r="M2036" s="11"/>
      <c r="N2036" s="12"/>
      <c r="O2036" s="10"/>
      <c r="P2036" s="11"/>
      <c r="Q2036" s="11"/>
      <c r="R2036" s="11"/>
      <c r="S2036" s="12"/>
      <c r="U2036" s="10"/>
      <c r="V2036" s="11"/>
      <c r="W2036" s="11"/>
      <c r="X2036" s="11"/>
      <c r="Y2036" s="12"/>
      <c r="Z2036" s="10"/>
      <c r="AA2036" s="11"/>
      <c r="AB2036" s="11"/>
      <c r="AC2036" s="11"/>
      <c r="AD2036" s="12"/>
    </row>
    <row r="2037" spans="1:31" ht="15.75" x14ac:dyDescent="0.25">
      <c r="A2037" s="14" t="s">
        <v>109</v>
      </c>
      <c r="C2037" s="66" t="str">
        <f t="shared" ref="C2037" si="579">E2037</f>
        <v>C100115</v>
      </c>
      <c r="E2037" s="13" t="str">
        <f>"C100115"</f>
        <v>C100115</v>
      </c>
      <c r="F2037" s="13"/>
      <c r="G2037" s="13" t="str">
        <f>"ISA Tech"</f>
        <v>ISA Tech</v>
      </c>
      <c r="H2037" s="13"/>
      <c r="I2037" s="13"/>
      <c r="J2037" s="10"/>
      <c r="K2037" s="11"/>
      <c r="L2037" s="11"/>
      <c r="M2037" s="11"/>
      <c r="N2037" s="12"/>
      <c r="O2037" s="10"/>
      <c r="P2037" s="11"/>
      <c r="Q2037" s="11"/>
      <c r="R2037" s="11"/>
      <c r="S2037" s="12"/>
      <c r="U2037" s="10"/>
      <c r="V2037" s="11"/>
      <c r="W2037" s="11"/>
      <c r="X2037" s="11"/>
      <c r="Y2037" s="12"/>
      <c r="Z2037" s="10"/>
      <c r="AA2037" s="11"/>
      <c r="AB2037" s="11"/>
      <c r="AC2037" s="11"/>
      <c r="AD2037" s="12"/>
    </row>
    <row r="2038" spans="1:31" ht="6.6" customHeight="1" x14ac:dyDescent="0.25">
      <c r="A2038" s="14" t="s">
        <v>109</v>
      </c>
      <c r="C2038" s="61" t="str">
        <f t="shared" ref="C2038:C2093" si="580">C2037</f>
        <v>C100115</v>
      </c>
      <c r="J2038" s="10"/>
      <c r="K2038" s="11"/>
      <c r="L2038" s="11"/>
      <c r="M2038" s="11"/>
      <c r="N2038" s="12"/>
      <c r="O2038" s="10"/>
      <c r="P2038" s="11"/>
      <c r="Q2038" s="11"/>
      <c r="R2038" s="11"/>
      <c r="S2038" s="12"/>
      <c r="U2038" s="10"/>
      <c r="V2038" s="11"/>
      <c r="W2038" s="11"/>
      <c r="X2038" s="11"/>
      <c r="Y2038" s="12"/>
      <c r="Z2038" s="10"/>
      <c r="AA2038" s="11"/>
      <c r="AB2038" s="11"/>
      <c r="AC2038" s="11"/>
      <c r="AD2038" s="12"/>
    </row>
    <row r="2039" spans="1:31" x14ac:dyDescent="0.25">
      <c r="A2039" s="14" t="s">
        <v>109</v>
      </c>
      <c r="C2039" s="61" t="str">
        <f t="shared" si="580"/>
        <v>C100115</v>
      </c>
      <c r="F2039" s="8" t="str">
        <f>"C100028"</f>
        <v>C100028</v>
      </c>
      <c r="G2039" s="9" t="str">
        <f>"Twill Visor"</f>
        <v>Twill Visor</v>
      </c>
      <c r="H2039" s="47"/>
      <c r="I2039" s="47"/>
      <c r="J2039" s="23">
        <v>0</v>
      </c>
      <c r="K2039" s="25">
        <v>0</v>
      </c>
      <c r="L2039" s="24">
        <v>0</v>
      </c>
      <c r="M2039" s="24">
        <f>J2039-L2039</f>
        <v>0</v>
      </c>
      <c r="N2039" s="53" t="str">
        <f>IF(J2039&lt;&gt;0,M2039/J2039,"")</f>
        <v/>
      </c>
      <c r="O2039" s="23">
        <v>721.12</v>
      </c>
      <c r="P2039" s="25">
        <v>144</v>
      </c>
      <c r="Q2039" s="24">
        <v>345.61</v>
      </c>
      <c r="R2039" s="24">
        <f>O2039-Q2039</f>
        <v>375.51</v>
      </c>
      <c r="S2039" s="53">
        <f>IF(O2039&lt;&gt;0,R2039/O2039,"")</f>
        <v>0.52073163967162195</v>
      </c>
      <c r="T2039" s="10"/>
      <c r="U2039" s="23">
        <v>0</v>
      </c>
      <c r="V2039" s="25">
        <v>0</v>
      </c>
      <c r="W2039" s="24">
        <v>0</v>
      </c>
      <c r="X2039" s="24">
        <f>U2039-W2039</f>
        <v>0</v>
      </c>
      <c r="Y2039" s="53" t="str">
        <f>IF(U2039&lt;&gt;0,X2039/U2039,"")</f>
        <v/>
      </c>
      <c r="Z2039" s="23">
        <v>0</v>
      </c>
      <c r="AA2039" s="25">
        <v>0</v>
      </c>
      <c r="AB2039" s="24">
        <v>0</v>
      </c>
      <c r="AC2039" s="24">
        <f t="shared" ref="AC2039" si="581">Z2039-AB2039</f>
        <v>0</v>
      </c>
      <c r="AD2039" s="53" t="str">
        <f t="shared" ref="AD2039" si="582">IF(Z2039&lt;&gt;0,AC2039/Z2039,"")</f>
        <v/>
      </c>
      <c r="AE2039" s="10"/>
    </row>
    <row r="2040" spans="1:31" x14ac:dyDescent="0.25">
      <c r="A2040" s="14" t="s">
        <v>109</v>
      </c>
      <c r="C2040" s="61" t="str">
        <f t="shared" ref="C2040:C2091" si="583">C2039</f>
        <v>C100115</v>
      </c>
      <c r="F2040" s="8" t="str">
        <f>"C100029"</f>
        <v>C100029</v>
      </c>
      <c r="G2040" s="9" t="str">
        <f>"Distressed Twill Visor"</f>
        <v>Distressed Twill Visor</v>
      </c>
      <c r="H2040" s="47"/>
      <c r="I2040" s="47"/>
      <c r="J2040" s="23">
        <v>467.86</v>
      </c>
      <c r="K2040" s="25">
        <v>144</v>
      </c>
      <c r="L2040" s="24">
        <v>298.09000000000003</v>
      </c>
      <c r="M2040" s="24">
        <f>J2040-L2040</f>
        <v>169.76999999999998</v>
      </c>
      <c r="N2040" s="53">
        <f>IF(J2040&lt;&gt;0,M2040/J2040,"")</f>
        <v>0.36286495960330006</v>
      </c>
      <c r="O2040" s="23">
        <v>0</v>
      </c>
      <c r="P2040" s="25">
        <v>0</v>
      </c>
      <c r="Q2040" s="24">
        <v>0</v>
      </c>
      <c r="R2040" s="24">
        <f>O2040-Q2040</f>
        <v>0</v>
      </c>
      <c r="S2040" s="53" t="str">
        <f>IF(O2040&lt;&gt;0,R2040/O2040,"")</f>
        <v/>
      </c>
      <c r="T2040" s="10"/>
      <c r="U2040" s="23">
        <v>0</v>
      </c>
      <c r="V2040" s="25">
        <v>0</v>
      </c>
      <c r="W2040" s="24">
        <v>0</v>
      </c>
      <c r="X2040" s="24">
        <f>U2040-W2040</f>
        <v>0</v>
      </c>
      <c r="Y2040" s="53" t="str">
        <f>IF(U2040&lt;&gt;0,X2040/U2040,"")</f>
        <v/>
      </c>
      <c r="Z2040" s="23">
        <v>0</v>
      </c>
      <c r="AA2040" s="25">
        <v>0</v>
      </c>
      <c r="AB2040" s="24">
        <v>0</v>
      </c>
      <c r="AC2040" s="24">
        <f t="shared" ref="AC2040:AC2091" si="584">Z2040-AB2040</f>
        <v>0</v>
      </c>
      <c r="AD2040" s="53" t="str">
        <f t="shared" ref="AD2040:AD2091" si="585">IF(Z2040&lt;&gt;0,AC2040/Z2040,"")</f>
        <v/>
      </c>
      <c r="AE2040" s="10"/>
    </row>
    <row r="2041" spans="1:31" x14ac:dyDescent="0.25">
      <c r="A2041" s="14" t="s">
        <v>109</v>
      </c>
      <c r="C2041" s="61" t="str">
        <f t="shared" si="583"/>
        <v>C100115</v>
      </c>
      <c r="F2041" s="8" t="str">
        <f>"C100030"</f>
        <v>C100030</v>
      </c>
      <c r="G2041" s="9" t="str">
        <f>"Fashion Visor"</f>
        <v>Fashion Visor</v>
      </c>
      <c r="H2041" s="47"/>
      <c r="I2041" s="47"/>
      <c r="J2041" s="23">
        <v>599.17999999999995</v>
      </c>
      <c r="K2041" s="25">
        <v>144</v>
      </c>
      <c r="L2041" s="24">
        <v>348.49</v>
      </c>
      <c r="M2041" s="24">
        <f>J2041-L2041</f>
        <v>250.68999999999994</v>
      </c>
      <c r="N2041" s="53">
        <f>IF(J2041&lt;&gt;0,M2041/J2041,"")</f>
        <v>0.41838846423445369</v>
      </c>
      <c r="O2041" s="23">
        <v>618.11</v>
      </c>
      <c r="P2041" s="25">
        <v>144</v>
      </c>
      <c r="Q2041" s="24">
        <v>348.49</v>
      </c>
      <c r="R2041" s="24">
        <f>O2041-Q2041</f>
        <v>269.62</v>
      </c>
      <c r="S2041" s="53">
        <f>IF(O2041&lt;&gt;0,R2041/O2041,"")</f>
        <v>0.4362006762550355</v>
      </c>
      <c r="T2041" s="10"/>
      <c r="U2041" s="23">
        <v>0</v>
      </c>
      <c r="V2041" s="25">
        <v>0</v>
      </c>
      <c r="W2041" s="24">
        <v>0</v>
      </c>
      <c r="X2041" s="24">
        <f>U2041-W2041</f>
        <v>0</v>
      </c>
      <c r="Y2041" s="53" t="str">
        <f>IF(U2041&lt;&gt;0,X2041/U2041,"")</f>
        <v/>
      </c>
      <c r="Z2041" s="23">
        <v>0</v>
      </c>
      <c r="AA2041" s="25">
        <v>0</v>
      </c>
      <c r="AB2041" s="24">
        <v>0</v>
      </c>
      <c r="AC2041" s="24">
        <f t="shared" si="584"/>
        <v>0</v>
      </c>
      <c r="AD2041" s="53" t="str">
        <f t="shared" si="585"/>
        <v/>
      </c>
      <c r="AE2041" s="10"/>
    </row>
    <row r="2042" spans="1:31" x14ac:dyDescent="0.25">
      <c r="A2042" s="14" t="s">
        <v>109</v>
      </c>
      <c r="C2042" s="61" t="str">
        <f t="shared" si="583"/>
        <v>C100115</v>
      </c>
      <c r="F2042" s="8" t="str">
        <f>"C100033"</f>
        <v>C100033</v>
      </c>
      <c r="G2042" s="9" t="str">
        <f>"Frames &amp; Clock"</f>
        <v>Frames &amp; Clock</v>
      </c>
      <c r="H2042" s="47"/>
      <c r="I2042" s="47"/>
      <c r="J2042" s="23">
        <v>0</v>
      </c>
      <c r="K2042" s="25">
        <v>0</v>
      </c>
      <c r="L2042" s="24">
        <v>0</v>
      </c>
      <c r="M2042" s="24">
        <f>J2042-L2042</f>
        <v>0</v>
      </c>
      <c r="N2042" s="53" t="str">
        <f>IF(J2042&lt;&gt;0,M2042/J2042,"")</f>
        <v/>
      </c>
      <c r="O2042" s="23">
        <v>4.74</v>
      </c>
      <c r="P2042" s="25">
        <v>1</v>
      </c>
      <c r="Q2042" s="24">
        <v>2.88</v>
      </c>
      <c r="R2042" s="24">
        <f>O2042-Q2042</f>
        <v>1.8600000000000003</v>
      </c>
      <c r="S2042" s="53">
        <f>IF(O2042&lt;&gt;0,R2042/O2042,"")</f>
        <v>0.39240506329113928</v>
      </c>
      <c r="T2042" s="10"/>
      <c r="U2042" s="23">
        <v>0</v>
      </c>
      <c r="V2042" s="25">
        <v>0</v>
      </c>
      <c r="W2042" s="24">
        <v>0</v>
      </c>
      <c r="X2042" s="24">
        <f>U2042-W2042</f>
        <v>0</v>
      </c>
      <c r="Y2042" s="53" t="str">
        <f>IF(U2042&lt;&gt;0,X2042/U2042,"")</f>
        <v/>
      </c>
      <c r="Z2042" s="23">
        <v>0</v>
      </c>
      <c r="AA2042" s="25">
        <v>0</v>
      </c>
      <c r="AB2042" s="24">
        <v>0</v>
      </c>
      <c r="AC2042" s="24">
        <f t="shared" si="584"/>
        <v>0</v>
      </c>
      <c r="AD2042" s="53" t="str">
        <f t="shared" si="585"/>
        <v/>
      </c>
      <c r="AE2042" s="10"/>
    </row>
    <row r="2043" spans="1:31" x14ac:dyDescent="0.25">
      <c r="A2043" s="14" t="s">
        <v>109</v>
      </c>
      <c r="C2043" s="61" t="str">
        <f t="shared" si="583"/>
        <v>C100115</v>
      </c>
      <c r="F2043" s="8" t="str">
        <f>"C100035"</f>
        <v>C100035</v>
      </c>
      <c r="G2043" s="9" t="str">
        <f>"Calculator &amp; World Time Clock"</f>
        <v>Calculator &amp; World Time Clock</v>
      </c>
      <c r="H2043" s="47"/>
      <c r="I2043" s="47"/>
      <c r="J2043" s="23">
        <v>402.19</v>
      </c>
      <c r="K2043" s="25">
        <v>144</v>
      </c>
      <c r="L2043" s="24">
        <v>282.24</v>
      </c>
      <c r="M2043" s="24">
        <f>J2043-L2043</f>
        <v>119.94999999999999</v>
      </c>
      <c r="N2043" s="53">
        <f>IF(J2043&lt;&gt;0,M2043/J2043,"")</f>
        <v>0.29824212436907926</v>
      </c>
      <c r="O2043" s="23">
        <v>414.89</v>
      </c>
      <c r="P2043" s="25">
        <v>144</v>
      </c>
      <c r="Q2043" s="24">
        <v>282.24</v>
      </c>
      <c r="R2043" s="24">
        <f>O2043-Q2043</f>
        <v>132.64999999999998</v>
      </c>
      <c r="S2043" s="53">
        <f>IF(O2043&lt;&gt;0,R2043/O2043,"")</f>
        <v>0.31972330015184741</v>
      </c>
      <c r="T2043" s="10"/>
      <c r="U2043" s="23">
        <v>0</v>
      </c>
      <c r="V2043" s="25">
        <v>0</v>
      </c>
      <c r="W2043" s="24">
        <v>0</v>
      </c>
      <c r="X2043" s="24">
        <f>U2043-W2043</f>
        <v>0</v>
      </c>
      <c r="Y2043" s="53" t="str">
        <f>IF(U2043&lt;&gt;0,X2043/U2043,"")</f>
        <v/>
      </c>
      <c r="Z2043" s="23">
        <v>0</v>
      </c>
      <c r="AA2043" s="25">
        <v>0</v>
      </c>
      <c r="AB2043" s="24">
        <v>0</v>
      </c>
      <c r="AC2043" s="24">
        <f t="shared" si="584"/>
        <v>0</v>
      </c>
      <c r="AD2043" s="53" t="str">
        <f t="shared" si="585"/>
        <v/>
      </c>
      <c r="AE2043" s="10"/>
    </row>
    <row r="2044" spans="1:31" x14ac:dyDescent="0.25">
      <c r="A2044" s="14" t="s">
        <v>109</v>
      </c>
      <c r="C2044" s="61" t="str">
        <f t="shared" si="583"/>
        <v>C100115</v>
      </c>
      <c r="F2044" s="8" t="str">
        <f>"C100044"</f>
        <v>C100044</v>
      </c>
      <c r="G2044" s="9" t="str">
        <f>"VOIP Headset with Mic"</f>
        <v>VOIP Headset with Mic</v>
      </c>
      <c r="H2044" s="47"/>
      <c r="I2044" s="47"/>
      <c r="J2044" s="23">
        <v>0</v>
      </c>
      <c r="K2044" s="25">
        <v>0</v>
      </c>
      <c r="L2044" s="24">
        <v>0</v>
      </c>
      <c r="M2044" s="24">
        <f>J2044-L2044</f>
        <v>0</v>
      </c>
      <c r="N2044" s="53" t="str">
        <f>IF(J2044&lt;&gt;0,M2044/J2044,"")</f>
        <v/>
      </c>
      <c r="O2044" s="23">
        <v>310.45999999999998</v>
      </c>
      <c r="P2044" s="25">
        <v>144</v>
      </c>
      <c r="Q2044" s="24">
        <v>172.85</v>
      </c>
      <c r="R2044" s="24">
        <f>O2044-Q2044</f>
        <v>137.60999999999999</v>
      </c>
      <c r="S2044" s="53">
        <f>IF(O2044&lt;&gt;0,R2044/O2044,"")</f>
        <v>0.4432455066675256</v>
      </c>
      <c r="T2044" s="10"/>
      <c r="U2044" s="23">
        <v>0</v>
      </c>
      <c r="V2044" s="25">
        <v>0</v>
      </c>
      <c r="W2044" s="24">
        <v>0</v>
      </c>
      <c r="X2044" s="24">
        <f>U2044-W2044</f>
        <v>0</v>
      </c>
      <c r="Y2044" s="53" t="str">
        <f>IF(U2044&lt;&gt;0,X2044/U2044,"")</f>
        <v/>
      </c>
      <c r="Z2044" s="23">
        <v>310.45999999999998</v>
      </c>
      <c r="AA2044" s="25">
        <v>144</v>
      </c>
      <c r="AB2044" s="24">
        <v>172.85</v>
      </c>
      <c r="AC2044" s="24">
        <f t="shared" si="584"/>
        <v>137.60999999999999</v>
      </c>
      <c r="AD2044" s="53">
        <f t="shared" si="585"/>
        <v>0.4432455066675256</v>
      </c>
      <c r="AE2044" s="10"/>
    </row>
    <row r="2045" spans="1:31" x14ac:dyDescent="0.25">
      <c r="A2045" s="14" t="s">
        <v>109</v>
      </c>
      <c r="C2045" s="61" t="str">
        <f t="shared" si="583"/>
        <v>C100115</v>
      </c>
      <c r="F2045" s="8" t="str">
        <f>"C100062"</f>
        <v>C100062</v>
      </c>
      <c r="G2045" s="9" t="str">
        <f>"Tall Matte Finish Mug"</f>
        <v>Tall Matte Finish Mug</v>
      </c>
      <c r="H2045" s="47"/>
      <c r="I2045" s="47"/>
      <c r="J2045" s="23">
        <v>0</v>
      </c>
      <c r="K2045" s="25">
        <v>0</v>
      </c>
      <c r="L2045" s="24">
        <v>0</v>
      </c>
      <c r="M2045" s="24">
        <f>J2045-L2045</f>
        <v>0</v>
      </c>
      <c r="N2045" s="53" t="str">
        <f>IF(J2045&lt;&gt;0,M2045/J2045,"")</f>
        <v/>
      </c>
      <c r="O2045" s="23">
        <v>173.58</v>
      </c>
      <c r="P2045" s="25">
        <v>144</v>
      </c>
      <c r="Q2045" s="24">
        <v>97.929999999999993</v>
      </c>
      <c r="R2045" s="24">
        <f>O2045-Q2045</f>
        <v>75.65000000000002</v>
      </c>
      <c r="S2045" s="53">
        <f>IF(O2045&lt;&gt;0,R2045/O2045,"")</f>
        <v>0.43582209932019828</v>
      </c>
      <c r="T2045" s="10"/>
      <c r="U2045" s="23">
        <v>0</v>
      </c>
      <c r="V2045" s="25">
        <v>0</v>
      </c>
      <c r="W2045" s="24">
        <v>0</v>
      </c>
      <c r="X2045" s="24">
        <f>U2045-W2045</f>
        <v>0</v>
      </c>
      <c r="Y2045" s="53" t="str">
        <f>IF(U2045&lt;&gt;0,X2045/U2045,"")</f>
        <v/>
      </c>
      <c r="Z2045" s="23">
        <v>0</v>
      </c>
      <c r="AA2045" s="25">
        <v>0</v>
      </c>
      <c r="AB2045" s="24">
        <v>0</v>
      </c>
      <c r="AC2045" s="24">
        <f t="shared" si="584"/>
        <v>0</v>
      </c>
      <c r="AD2045" s="53" t="str">
        <f t="shared" si="585"/>
        <v/>
      </c>
      <c r="AE2045" s="10"/>
    </row>
    <row r="2046" spans="1:31" x14ac:dyDescent="0.25">
      <c r="A2046" s="14" t="s">
        <v>109</v>
      </c>
      <c r="C2046" s="61" t="str">
        <f t="shared" si="583"/>
        <v>C100115</v>
      </c>
      <c r="F2046" s="8" t="str">
        <f>"C100063"</f>
        <v>C100063</v>
      </c>
      <c r="G2046" s="9" t="str">
        <f>"Soup Mug"</f>
        <v>Soup Mug</v>
      </c>
      <c r="H2046" s="47"/>
      <c r="I2046" s="47"/>
      <c r="J2046" s="23">
        <v>227.09</v>
      </c>
      <c r="K2046" s="25">
        <v>144</v>
      </c>
      <c r="L2046" s="24">
        <v>133.94999999999999</v>
      </c>
      <c r="M2046" s="24">
        <f>J2046-L2046</f>
        <v>93.140000000000015</v>
      </c>
      <c r="N2046" s="53">
        <f>IF(J2046&lt;&gt;0,M2046/J2046,"")</f>
        <v>0.41014575718877982</v>
      </c>
      <c r="O2046" s="23">
        <v>253.78</v>
      </c>
      <c r="P2046" s="25">
        <v>156</v>
      </c>
      <c r="Q2046" s="24">
        <v>145.11000000000001</v>
      </c>
      <c r="R2046" s="24">
        <f>O2046-Q2046</f>
        <v>108.66999999999999</v>
      </c>
      <c r="S2046" s="53">
        <f>IF(O2046&lt;&gt;0,R2046/O2046,"")</f>
        <v>0.42820553235085501</v>
      </c>
      <c r="T2046" s="10"/>
      <c r="U2046" s="23">
        <v>0</v>
      </c>
      <c r="V2046" s="25">
        <v>0</v>
      </c>
      <c r="W2046" s="24">
        <v>0</v>
      </c>
      <c r="X2046" s="24">
        <f>U2046-W2046</f>
        <v>0</v>
      </c>
      <c r="Y2046" s="53" t="str">
        <f>IF(U2046&lt;&gt;0,X2046/U2046,"")</f>
        <v/>
      </c>
      <c r="Z2046" s="23">
        <v>0</v>
      </c>
      <c r="AA2046" s="25">
        <v>0</v>
      </c>
      <c r="AB2046" s="24">
        <v>0</v>
      </c>
      <c r="AC2046" s="24">
        <f t="shared" si="584"/>
        <v>0</v>
      </c>
      <c r="AD2046" s="53" t="str">
        <f t="shared" si="585"/>
        <v/>
      </c>
      <c r="AE2046" s="10"/>
    </row>
    <row r="2047" spans="1:31" x14ac:dyDescent="0.25">
      <c r="A2047" s="14" t="s">
        <v>109</v>
      </c>
      <c r="C2047" s="61" t="str">
        <f t="shared" si="583"/>
        <v>C100115</v>
      </c>
      <c r="F2047" s="8" t="str">
        <f>"E100002"</f>
        <v>E100002</v>
      </c>
      <c r="G2047" s="9" t="str">
        <f>"Cotton Classic Tote"</f>
        <v>Cotton Classic Tote</v>
      </c>
      <c r="H2047" s="47"/>
      <c r="I2047" s="47"/>
      <c r="J2047" s="23">
        <v>0</v>
      </c>
      <c r="K2047" s="25">
        <v>0</v>
      </c>
      <c r="L2047" s="24">
        <v>0</v>
      </c>
      <c r="M2047" s="24">
        <f>J2047-L2047</f>
        <v>0</v>
      </c>
      <c r="N2047" s="53" t="str">
        <f>IF(J2047&lt;&gt;0,M2047/J2047,"")</f>
        <v/>
      </c>
      <c r="O2047" s="23">
        <v>176.4</v>
      </c>
      <c r="P2047" s="25">
        <v>144</v>
      </c>
      <c r="Q2047" s="24">
        <v>92.17</v>
      </c>
      <c r="R2047" s="24">
        <f>O2047-Q2047</f>
        <v>84.23</v>
      </c>
      <c r="S2047" s="53">
        <f>IF(O2047&lt;&gt;0,R2047/O2047,"")</f>
        <v>0.47749433106575967</v>
      </c>
      <c r="T2047" s="10"/>
      <c r="U2047" s="23">
        <v>0</v>
      </c>
      <c r="V2047" s="25">
        <v>0</v>
      </c>
      <c r="W2047" s="24">
        <v>0</v>
      </c>
      <c r="X2047" s="24">
        <f>U2047-W2047</f>
        <v>0</v>
      </c>
      <c r="Y2047" s="53" t="str">
        <f>IF(U2047&lt;&gt;0,X2047/U2047,"")</f>
        <v/>
      </c>
      <c r="Z2047" s="23">
        <v>176.4</v>
      </c>
      <c r="AA2047" s="25">
        <v>144</v>
      </c>
      <c r="AB2047" s="24">
        <v>92.17</v>
      </c>
      <c r="AC2047" s="24">
        <f t="shared" si="584"/>
        <v>84.23</v>
      </c>
      <c r="AD2047" s="53">
        <f t="shared" si="585"/>
        <v>0.47749433106575967</v>
      </c>
      <c r="AE2047" s="10"/>
    </row>
    <row r="2048" spans="1:31" x14ac:dyDescent="0.25">
      <c r="A2048" s="14" t="s">
        <v>109</v>
      </c>
      <c r="C2048" s="61" t="str">
        <f t="shared" si="583"/>
        <v>C100115</v>
      </c>
      <c r="F2048" s="8" t="str">
        <f>"E100004"</f>
        <v>E100004</v>
      </c>
      <c r="G2048" s="9" t="str">
        <f>"Laminated Tote"</f>
        <v>Laminated Tote</v>
      </c>
      <c r="H2048" s="47"/>
      <c r="I2048" s="47"/>
      <c r="J2048" s="23">
        <v>0</v>
      </c>
      <c r="K2048" s="25">
        <v>0</v>
      </c>
      <c r="L2048" s="24">
        <v>0</v>
      </c>
      <c r="M2048" s="24">
        <f>J2048-L2048</f>
        <v>0</v>
      </c>
      <c r="N2048" s="53" t="str">
        <f>IF(J2048&lt;&gt;0,M2048/J2048,"")</f>
        <v/>
      </c>
      <c r="O2048" s="23">
        <v>265.31</v>
      </c>
      <c r="P2048" s="25">
        <v>144</v>
      </c>
      <c r="Q2048" s="24">
        <v>172.8</v>
      </c>
      <c r="R2048" s="24">
        <f>O2048-Q2048</f>
        <v>92.509999999999991</v>
      </c>
      <c r="S2048" s="53">
        <f>IF(O2048&lt;&gt;0,R2048/O2048,"")</f>
        <v>0.34868644227507439</v>
      </c>
      <c r="T2048" s="10"/>
      <c r="U2048" s="23">
        <v>0</v>
      </c>
      <c r="V2048" s="25">
        <v>0</v>
      </c>
      <c r="W2048" s="24">
        <v>0</v>
      </c>
      <c r="X2048" s="24">
        <f>U2048-W2048</f>
        <v>0</v>
      </c>
      <c r="Y2048" s="53" t="str">
        <f>IF(U2048&lt;&gt;0,X2048/U2048,"")</f>
        <v/>
      </c>
      <c r="Z2048" s="23">
        <v>0</v>
      </c>
      <c r="AA2048" s="25">
        <v>0</v>
      </c>
      <c r="AB2048" s="24">
        <v>0</v>
      </c>
      <c r="AC2048" s="24">
        <f t="shared" si="584"/>
        <v>0</v>
      </c>
      <c r="AD2048" s="53" t="str">
        <f t="shared" si="585"/>
        <v/>
      </c>
      <c r="AE2048" s="10"/>
    </row>
    <row r="2049" spans="1:31" x14ac:dyDescent="0.25">
      <c r="A2049" s="14" t="s">
        <v>109</v>
      </c>
      <c r="C2049" s="61" t="str">
        <f t="shared" si="583"/>
        <v>C100115</v>
      </c>
      <c r="F2049" s="8" t="str">
        <f>"E100005"</f>
        <v>E100005</v>
      </c>
      <c r="G2049" s="9" t="str">
        <f>"All Purpose Tote"</f>
        <v>All Purpose Tote</v>
      </c>
      <c r="H2049" s="47"/>
      <c r="I2049" s="47"/>
      <c r="J2049" s="23">
        <v>0</v>
      </c>
      <c r="K2049" s="25">
        <v>0</v>
      </c>
      <c r="L2049" s="24">
        <v>0</v>
      </c>
      <c r="M2049" s="24">
        <f>J2049-L2049</f>
        <v>0</v>
      </c>
      <c r="N2049" s="53" t="str">
        <f>IF(J2049&lt;&gt;0,M2049/J2049,"")</f>
        <v/>
      </c>
      <c r="O2049" s="23">
        <v>364.09</v>
      </c>
      <c r="P2049" s="25">
        <v>144</v>
      </c>
      <c r="Q2049" s="24">
        <v>178.56</v>
      </c>
      <c r="R2049" s="24">
        <f>O2049-Q2049</f>
        <v>185.52999999999997</v>
      </c>
      <c r="S2049" s="53">
        <f>IF(O2049&lt;&gt;0,R2049/O2049,"")</f>
        <v>0.50957180916806277</v>
      </c>
      <c r="T2049" s="10"/>
      <c r="U2049" s="23">
        <v>0</v>
      </c>
      <c r="V2049" s="25">
        <v>0</v>
      </c>
      <c r="W2049" s="24">
        <v>0</v>
      </c>
      <c r="X2049" s="24">
        <f>U2049-W2049</f>
        <v>0</v>
      </c>
      <c r="Y2049" s="53" t="str">
        <f>IF(U2049&lt;&gt;0,X2049/U2049,"")</f>
        <v/>
      </c>
      <c r="Z2049" s="23">
        <v>0</v>
      </c>
      <c r="AA2049" s="25">
        <v>0</v>
      </c>
      <c r="AB2049" s="24">
        <v>0</v>
      </c>
      <c r="AC2049" s="24">
        <f t="shared" si="584"/>
        <v>0</v>
      </c>
      <c r="AD2049" s="53" t="str">
        <f t="shared" si="585"/>
        <v/>
      </c>
      <c r="AE2049" s="10"/>
    </row>
    <row r="2050" spans="1:31" x14ac:dyDescent="0.25">
      <c r="A2050" s="14" t="s">
        <v>109</v>
      </c>
      <c r="C2050" s="61" t="str">
        <f t="shared" si="583"/>
        <v>C100115</v>
      </c>
      <c r="F2050" s="8" t="str">
        <f>"E100006"</f>
        <v>E100006</v>
      </c>
      <c r="G2050" s="9" t="str">
        <f>"Budget Tote Bag"</f>
        <v>Budget Tote Bag</v>
      </c>
      <c r="H2050" s="47"/>
      <c r="I2050" s="47"/>
      <c r="J2050" s="23">
        <v>0.09</v>
      </c>
      <c r="K2050" s="25">
        <v>1</v>
      </c>
      <c r="L2050" s="24">
        <v>0.04</v>
      </c>
      <c r="M2050" s="24">
        <f>J2050-L2050</f>
        <v>4.9999999999999996E-2</v>
      </c>
      <c r="N2050" s="53">
        <f>IF(J2050&lt;&gt;0,M2050/J2050,"")</f>
        <v>0.55555555555555558</v>
      </c>
      <c r="O2050" s="23">
        <v>0.18</v>
      </c>
      <c r="P2050" s="25">
        <v>2</v>
      </c>
      <c r="Q2050" s="24">
        <v>0.08</v>
      </c>
      <c r="R2050" s="24">
        <f>O2050-Q2050</f>
        <v>9.9999999999999992E-2</v>
      </c>
      <c r="S2050" s="53">
        <f>IF(O2050&lt;&gt;0,R2050/O2050,"")</f>
        <v>0.55555555555555558</v>
      </c>
      <c r="T2050" s="10"/>
      <c r="U2050" s="23">
        <v>0</v>
      </c>
      <c r="V2050" s="25">
        <v>0</v>
      </c>
      <c r="W2050" s="24">
        <v>0</v>
      </c>
      <c r="X2050" s="24">
        <f>U2050-W2050</f>
        <v>0</v>
      </c>
      <c r="Y2050" s="53" t="str">
        <f>IF(U2050&lt;&gt;0,X2050/U2050,"")</f>
        <v/>
      </c>
      <c r="Z2050" s="23">
        <v>0.09</v>
      </c>
      <c r="AA2050" s="25">
        <v>1</v>
      </c>
      <c r="AB2050" s="24">
        <v>0.04</v>
      </c>
      <c r="AC2050" s="24">
        <f t="shared" si="584"/>
        <v>4.9999999999999996E-2</v>
      </c>
      <c r="AD2050" s="53">
        <f t="shared" si="585"/>
        <v>0.55555555555555558</v>
      </c>
      <c r="AE2050" s="10"/>
    </row>
    <row r="2051" spans="1:31" x14ac:dyDescent="0.25">
      <c r="A2051" s="14" t="s">
        <v>109</v>
      </c>
      <c r="C2051" s="61" t="str">
        <f t="shared" si="583"/>
        <v>C100115</v>
      </c>
      <c r="F2051" s="8" t="str">
        <f>"E100007"</f>
        <v>E100007</v>
      </c>
      <c r="G2051" s="9" t="str">
        <f>"Plastic Handle Bag"</f>
        <v>Plastic Handle Bag</v>
      </c>
      <c r="H2051" s="47"/>
      <c r="I2051" s="47"/>
      <c r="J2051" s="23">
        <v>45.14</v>
      </c>
      <c r="K2051" s="25">
        <v>144</v>
      </c>
      <c r="L2051" s="24">
        <v>25.92</v>
      </c>
      <c r="M2051" s="24">
        <f>J2051-L2051</f>
        <v>19.22</v>
      </c>
      <c r="N2051" s="53">
        <f>IF(J2051&lt;&gt;0,M2051/J2051,"")</f>
        <v>0.42578644217988476</v>
      </c>
      <c r="O2051" s="23">
        <v>1.94</v>
      </c>
      <c r="P2051" s="25">
        <v>6</v>
      </c>
      <c r="Q2051" s="24">
        <v>1.08</v>
      </c>
      <c r="R2051" s="24">
        <f>O2051-Q2051</f>
        <v>0.85999999999999988</v>
      </c>
      <c r="S2051" s="53">
        <f>IF(O2051&lt;&gt;0,R2051/O2051,"")</f>
        <v>0.44329896907216487</v>
      </c>
      <c r="T2051" s="10"/>
      <c r="U2051" s="23">
        <v>0</v>
      </c>
      <c r="V2051" s="25">
        <v>0</v>
      </c>
      <c r="W2051" s="24">
        <v>0</v>
      </c>
      <c r="X2051" s="24">
        <f>U2051-W2051</f>
        <v>0</v>
      </c>
      <c r="Y2051" s="53" t="str">
        <f>IF(U2051&lt;&gt;0,X2051/U2051,"")</f>
        <v/>
      </c>
      <c r="Z2051" s="23">
        <v>15.52</v>
      </c>
      <c r="AA2051" s="25">
        <v>48</v>
      </c>
      <c r="AB2051" s="24">
        <v>8.64</v>
      </c>
      <c r="AC2051" s="24">
        <f t="shared" si="584"/>
        <v>6.879999999999999</v>
      </c>
      <c r="AD2051" s="53">
        <f t="shared" si="585"/>
        <v>0.44329896907216487</v>
      </c>
      <c r="AE2051" s="10"/>
    </row>
    <row r="2052" spans="1:31" x14ac:dyDescent="0.25">
      <c r="A2052" s="14" t="s">
        <v>109</v>
      </c>
      <c r="C2052" s="61" t="str">
        <f t="shared" si="583"/>
        <v>C100115</v>
      </c>
      <c r="F2052" s="8" t="str">
        <f>"E100008"</f>
        <v>E100008</v>
      </c>
      <c r="G2052" s="9" t="str">
        <f>"Super Shopper"</f>
        <v>Super Shopper</v>
      </c>
      <c r="H2052" s="47"/>
      <c r="I2052" s="47"/>
      <c r="J2052" s="23">
        <v>0</v>
      </c>
      <c r="K2052" s="25">
        <v>0</v>
      </c>
      <c r="L2052" s="24">
        <v>0</v>
      </c>
      <c r="M2052" s="24">
        <f>J2052-L2052</f>
        <v>0</v>
      </c>
      <c r="N2052" s="53" t="str">
        <f>IF(J2052&lt;&gt;0,M2052/J2052,"")</f>
        <v/>
      </c>
      <c r="O2052" s="23">
        <v>35.159999999999997</v>
      </c>
      <c r="P2052" s="25">
        <v>156</v>
      </c>
      <c r="Q2052" s="24">
        <v>18.73</v>
      </c>
      <c r="R2052" s="24">
        <f>O2052-Q2052</f>
        <v>16.429999999999996</v>
      </c>
      <c r="S2052" s="53">
        <f>IF(O2052&lt;&gt;0,R2052/O2052,"")</f>
        <v>0.46729237770193394</v>
      </c>
      <c r="T2052" s="10"/>
      <c r="U2052" s="23">
        <v>0</v>
      </c>
      <c r="V2052" s="25">
        <v>0</v>
      </c>
      <c r="W2052" s="24">
        <v>0</v>
      </c>
      <c r="X2052" s="24">
        <f>U2052-W2052</f>
        <v>0</v>
      </c>
      <c r="Y2052" s="53" t="str">
        <f>IF(U2052&lt;&gt;0,X2052/U2052,"")</f>
        <v/>
      </c>
      <c r="Z2052" s="23">
        <v>0</v>
      </c>
      <c r="AA2052" s="25">
        <v>0</v>
      </c>
      <c r="AB2052" s="24">
        <v>0</v>
      </c>
      <c r="AC2052" s="24">
        <f t="shared" si="584"/>
        <v>0</v>
      </c>
      <c r="AD2052" s="53" t="str">
        <f t="shared" si="585"/>
        <v/>
      </c>
      <c r="AE2052" s="10"/>
    </row>
    <row r="2053" spans="1:31" x14ac:dyDescent="0.25">
      <c r="A2053" s="14" t="s">
        <v>109</v>
      </c>
      <c r="C2053" s="61" t="str">
        <f t="shared" si="583"/>
        <v>C100115</v>
      </c>
      <c r="F2053" s="8" t="str">
        <f>"E100010"</f>
        <v>E100010</v>
      </c>
      <c r="G2053" s="9" t="str">
        <f>"Vinyl Tote"</f>
        <v>Vinyl Tote</v>
      </c>
      <c r="H2053" s="47"/>
      <c r="I2053" s="47"/>
      <c r="J2053" s="23">
        <v>42.41</v>
      </c>
      <c r="K2053" s="25">
        <v>144</v>
      </c>
      <c r="L2053" s="24">
        <v>25.92</v>
      </c>
      <c r="M2053" s="24">
        <f>J2053-L2053</f>
        <v>16.489999999999995</v>
      </c>
      <c r="N2053" s="53">
        <f>IF(J2053&lt;&gt;0,M2053/J2053,"")</f>
        <v>0.3888233907097382</v>
      </c>
      <c r="O2053" s="23">
        <v>0</v>
      </c>
      <c r="P2053" s="25">
        <v>0</v>
      </c>
      <c r="Q2053" s="24">
        <v>0</v>
      </c>
      <c r="R2053" s="24">
        <f>O2053-Q2053</f>
        <v>0</v>
      </c>
      <c r="S2053" s="53" t="str">
        <f>IF(O2053&lt;&gt;0,R2053/O2053,"")</f>
        <v/>
      </c>
      <c r="T2053" s="10"/>
      <c r="U2053" s="23">
        <v>0</v>
      </c>
      <c r="V2053" s="25">
        <v>0</v>
      </c>
      <c r="W2053" s="24">
        <v>0</v>
      </c>
      <c r="X2053" s="24">
        <f>U2053-W2053</f>
        <v>0</v>
      </c>
      <c r="Y2053" s="53" t="str">
        <f>IF(U2053&lt;&gt;0,X2053/U2053,"")</f>
        <v/>
      </c>
      <c r="Z2053" s="23">
        <v>0</v>
      </c>
      <c r="AA2053" s="25">
        <v>0</v>
      </c>
      <c r="AB2053" s="24">
        <v>0</v>
      </c>
      <c r="AC2053" s="24">
        <f t="shared" si="584"/>
        <v>0</v>
      </c>
      <c r="AD2053" s="53" t="str">
        <f t="shared" si="585"/>
        <v/>
      </c>
      <c r="AE2053" s="10"/>
    </row>
    <row r="2054" spans="1:31" x14ac:dyDescent="0.25">
      <c r="A2054" s="14" t="s">
        <v>109</v>
      </c>
      <c r="C2054" s="61" t="str">
        <f t="shared" si="583"/>
        <v>C100115</v>
      </c>
      <c r="F2054" s="8" t="str">
        <f>"E100011"</f>
        <v>E100011</v>
      </c>
      <c r="G2054" s="9" t="str">
        <f>"Plastic Sun Visor"</f>
        <v>Plastic Sun Visor</v>
      </c>
      <c r="H2054" s="47"/>
      <c r="I2054" s="47"/>
      <c r="J2054" s="23">
        <v>0</v>
      </c>
      <c r="K2054" s="25">
        <v>0</v>
      </c>
      <c r="L2054" s="24">
        <v>0</v>
      </c>
      <c r="M2054" s="24">
        <f>J2054-L2054</f>
        <v>0</v>
      </c>
      <c r="N2054" s="53" t="str">
        <f>IF(J2054&lt;&gt;0,M2054/J2054,"")</f>
        <v/>
      </c>
      <c r="O2054" s="23">
        <v>0.79</v>
      </c>
      <c r="P2054" s="25">
        <v>1</v>
      </c>
      <c r="Q2054" s="24">
        <v>0.42</v>
      </c>
      <c r="R2054" s="24">
        <f>O2054-Q2054</f>
        <v>0.37000000000000005</v>
      </c>
      <c r="S2054" s="53">
        <f>IF(O2054&lt;&gt;0,R2054/O2054,"")</f>
        <v>0.46835443037974689</v>
      </c>
      <c r="T2054" s="10"/>
      <c r="U2054" s="23">
        <v>0</v>
      </c>
      <c r="V2054" s="25">
        <v>0</v>
      </c>
      <c r="W2054" s="24">
        <v>0</v>
      </c>
      <c r="X2054" s="24">
        <f>U2054-W2054</f>
        <v>0</v>
      </c>
      <c r="Y2054" s="53" t="str">
        <f>IF(U2054&lt;&gt;0,X2054/U2054,"")</f>
        <v/>
      </c>
      <c r="Z2054" s="23">
        <v>0.79</v>
      </c>
      <c r="AA2054" s="25">
        <v>1</v>
      </c>
      <c r="AB2054" s="24">
        <v>0.42</v>
      </c>
      <c r="AC2054" s="24">
        <f t="shared" si="584"/>
        <v>0.37000000000000005</v>
      </c>
      <c r="AD2054" s="53">
        <f t="shared" si="585"/>
        <v>0.46835443037974689</v>
      </c>
      <c r="AE2054" s="10"/>
    </row>
    <row r="2055" spans="1:31" x14ac:dyDescent="0.25">
      <c r="A2055" s="14" t="s">
        <v>109</v>
      </c>
      <c r="C2055" s="61" t="str">
        <f t="shared" si="583"/>
        <v>C100115</v>
      </c>
      <c r="F2055" s="8" t="str">
        <f>"E100013"</f>
        <v>E100013</v>
      </c>
      <c r="G2055" s="9" t="str">
        <f>"Clip-on Stopwatch"</f>
        <v>Clip-on Stopwatch</v>
      </c>
      <c r="H2055" s="47"/>
      <c r="I2055" s="47"/>
      <c r="J2055" s="23">
        <v>62.93</v>
      </c>
      <c r="K2055" s="25">
        <v>24</v>
      </c>
      <c r="L2055" s="24">
        <v>34.56</v>
      </c>
      <c r="M2055" s="24">
        <f>J2055-L2055</f>
        <v>28.369999999999997</v>
      </c>
      <c r="N2055" s="53">
        <f>IF(J2055&lt;&gt;0,M2055/J2055,"")</f>
        <v>0.45081836961703475</v>
      </c>
      <c r="O2055" s="23">
        <v>0</v>
      </c>
      <c r="P2055" s="25">
        <v>0</v>
      </c>
      <c r="Q2055" s="24">
        <v>0</v>
      </c>
      <c r="R2055" s="24">
        <f>O2055-Q2055</f>
        <v>0</v>
      </c>
      <c r="S2055" s="53" t="str">
        <f>IF(O2055&lt;&gt;0,R2055/O2055,"")</f>
        <v/>
      </c>
      <c r="T2055" s="10"/>
      <c r="U2055" s="23">
        <v>0</v>
      </c>
      <c r="V2055" s="25">
        <v>0</v>
      </c>
      <c r="W2055" s="24">
        <v>0</v>
      </c>
      <c r="X2055" s="24">
        <f>U2055-W2055</f>
        <v>0</v>
      </c>
      <c r="Y2055" s="53" t="str">
        <f>IF(U2055&lt;&gt;0,X2055/U2055,"")</f>
        <v/>
      </c>
      <c r="Z2055" s="23">
        <v>0</v>
      </c>
      <c r="AA2055" s="25">
        <v>0</v>
      </c>
      <c r="AB2055" s="24">
        <v>0</v>
      </c>
      <c r="AC2055" s="24">
        <f t="shared" si="584"/>
        <v>0</v>
      </c>
      <c r="AD2055" s="53" t="str">
        <f t="shared" si="585"/>
        <v/>
      </c>
      <c r="AE2055" s="10"/>
    </row>
    <row r="2056" spans="1:31" x14ac:dyDescent="0.25">
      <c r="A2056" s="14" t="s">
        <v>109</v>
      </c>
      <c r="C2056" s="61" t="str">
        <f t="shared" si="583"/>
        <v>C100115</v>
      </c>
      <c r="F2056" s="8" t="str">
        <f>"E100014"</f>
        <v>E100014</v>
      </c>
      <c r="G2056" s="9" t="str">
        <f>"Stopwatch with Neck Rope"</f>
        <v>Stopwatch with Neck Rope</v>
      </c>
      <c r="H2056" s="47"/>
      <c r="I2056" s="47"/>
      <c r="J2056" s="23">
        <v>0</v>
      </c>
      <c r="K2056" s="25">
        <v>0</v>
      </c>
      <c r="L2056" s="24">
        <v>0</v>
      </c>
      <c r="M2056" s="24">
        <f>J2056-L2056</f>
        <v>0</v>
      </c>
      <c r="N2056" s="53" t="str">
        <f>IF(J2056&lt;&gt;0,M2056/J2056,"")</f>
        <v/>
      </c>
      <c r="O2056" s="23">
        <v>776.16000000000008</v>
      </c>
      <c r="P2056" s="25">
        <v>288</v>
      </c>
      <c r="Q2056" s="24">
        <v>371.49</v>
      </c>
      <c r="R2056" s="24">
        <f>O2056-Q2056</f>
        <v>404.67000000000007</v>
      </c>
      <c r="S2056" s="53">
        <f>IF(O2056&lt;&gt;0,R2056/O2056,"")</f>
        <v>0.52137445887445888</v>
      </c>
      <c r="T2056" s="10"/>
      <c r="U2056" s="23">
        <v>0</v>
      </c>
      <c r="V2056" s="25">
        <v>0</v>
      </c>
      <c r="W2056" s="24">
        <v>0</v>
      </c>
      <c r="X2056" s="24">
        <f>U2056-W2056</f>
        <v>0</v>
      </c>
      <c r="Y2056" s="53" t="str">
        <f>IF(U2056&lt;&gt;0,X2056/U2056,"")</f>
        <v/>
      </c>
      <c r="Z2056" s="23">
        <v>388.08000000000004</v>
      </c>
      <c r="AA2056" s="25">
        <v>144</v>
      </c>
      <c r="AB2056" s="24">
        <v>185.75</v>
      </c>
      <c r="AC2056" s="24">
        <f t="shared" si="584"/>
        <v>202.33000000000004</v>
      </c>
      <c r="AD2056" s="53">
        <f t="shared" si="585"/>
        <v>0.5213615749330035</v>
      </c>
      <c r="AE2056" s="10"/>
    </row>
    <row r="2057" spans="1:31" x14ac:dyDescent="0.25">
      <c r="A2057" s="14" t="s">
        <v>109</v>
      </c>
      <c r="C2057" s="61" t="str">
        <f t="shared" si="583"/>
        <v>C100115</v>
      </c>
      <c r="F2057" s="8" t="str">
        <f>"E100016"</f>
        <v>E100016</v>
      </c>
      <c r="G2057" s="9" t="str">
        <f>"4 Function Rotating Carabiner Watch"</f>
        <v>4 Function Rotating Carabiner Watch</v>
      </c>
      <c r="H2057" s="47"/>
      <c r="I2057" s="47"/>
      <c r="J2057" s="23">
        <v>0</v>
      </c>
      <c r="K2057" s="25">
        <v>0</v>
      </c>
      <c r="L2057" s="24">
        <v>0</v>
      </c>
      <c r="M2057" s="24">
        <f>J2057-L2057</f>
        <v>0</v>
      </c>
      <c r="N2057" s="53" t="str">
        <f>IF(J2057&lt;&gt;0,M2057/J2057,"")</f>
        <v/>
      </c>
      <c r="O2057" s="23">
        <v>429.00000000000006</v>
      </c>
      <c r="P2057" s="25">
        <v>144</v>
      </c>
      <c r="Q2057" s="24">
        <v>198.73000000000002</v>
      </c>
      <c r="R2057" s="24">
        <f>O2057-Q2057</f>
        <v>230.27000000000004</v>
      </c>
      <c r="S2057" s="53">
        <f>IF(O2057&lt;&gt;0,R2057/O2057,"")</f>
        <v>0.53675990675990681</v>
      </c>
      <c r="T2057" s="10"/>
      <c r="U2057" s="23">
        <v>0</v>
      </c>
      <c r="V2057" s="25">
        <v>0</v>
      </c>
      <c r="W2057" s="24">
        <v>0</v>
      </c>
      <c r="X2057" s="24">
        <f>U2057-W2057</f>
        <v>0</v>
      </c>
      <c r="Y2057" s="53" t="str">
        <f>IF(U2057&lt;&gt;0,X2057/U2057,"")</f>
        <v/>
      </c>
      <c r="Z2057" s="23">
        <v>0</v>
      </c>
      <c r="AA2057" s="25">
        <v>0</v>
      </c>
      <c r="AB2057" s="24">
        <v>0</v>
      </c>
      <c r="AC2057" s="24">
        <f t="shared" si="584"/>
        <v>0</v>
      </c>
      <c r="AD2057" s="53" t="str">
        <f t="shared" si="585"/>
        <v/>
      </c>
      <c r="AE2057" s="10"/>
    </row>
    <row r="2058" spans="1:31" x14ac:dyDescent="0.25">
      <c r="A2058" s="14" t="s">
        <v>109</v>
      </c>
      <c r="C2058" s="61" t="str">
        <f t="shared" si="583"/>
        <v>C100115</v>
      </c>
      <c r="F2058" s="8" t="str">
        <f>"E100021"</f>
        <v>E100021</v>
      </c>
      <c r="G2058" s="9" t="str">
        <f>"Slim Travel Alarm"</f>
        <v>Slim Travel Alarm</v>
      </c>
      <c r="H2058" s="47"/>
      <c r="I2058" s="47"/>
      <c r="J2058" s="23">
        <v>0</v>
      </c>
      <c r="K2058" s="25">
        <v>0</v>
      </c>
      <c r="L2058" s="24">
        <v>0</v>
      </c>
      <c r="M2058" s="24">
        <f>J2058-L2058</f>
        <v>0</v>
      </c>
      <c r="N2058" s="53" t="str">
        <f>IF(J2058&lt;&gt;0,M2058/J2058,"")</f>
        <v/>
      </c>
      <c r="O2058" s="23">
        <v>440.29999999999995</v>
      </c>
      <c r="P2058" s="25">
        <v>156</v>
      </c>
      <c r="Q2058" s="24">
        <v>224.63</v>
      </c>
      <c r="R2058" s="24">
        <f>O2058-Q2058</f>
        <v>215.66999999999996</v>
      </c>
      <c r="S2058" s="53">
        <f>IF(O2058&lt;&gt;0,R2058/O2058,"")</f>
        <v>0.48982511923688388</v>
      </c>
      <c r="T2058" s="10"/>
      <c r="U2058" s="23">
        <v>0</v>
      </c>
      <c r="V2058" s="25">
        <v>0</v>
      </c>
      <c r="W2058" s="24">
        <v>0</v>
      </c>
      <c r="X2058" s="24">
        <f>U2058-W2058</f>
        <v>0</v>
      </c>
      <c r="Y2058" s="53" t="str">
        <f>IF(U2058&lt;&gt;0,X2058/U2058,"")</f>
        <v/>
      </c>
      <c r="Z2058" s="23">
        <v>0</v>
      </c>
      <c r="AA2058" s="25">
        <v>0</v>
      </c>
      <c r="AB2058" s="24">
        <v>0</v>
      </c>
      <c r="AC2058" s="24">
        <f t="shared" si="584"/>
        <v>0</v>
      </c>
      <c r="AD2058" s="53" t="str">
        <f t="shared" si="585"/>
        <v/>
      </c>
      <c r="AE2058" s="10"/>
    </row>
    <row r="2059" spans="1:31" x14ac:dyDescent="0.25">
      <c r="A2059" s="14" t="s">
        <v>109</v>
      </c>
      <c r="C2059" s="61" t="str">
        <f t="shared" si="583"/>
        <v>C100115</v>
      </c>
      <c r="F2059" s="8" t="str">
        <f>"E100022"</f>
        <v>E100022</v>
      </c>
      <c r="G2059" s="9" t="str">
        <f>"Wide Screen Alarm Clock"</f>
        <v>Wide Screen Alarm Clock</v>
      </c>
      <c r="H2059" s="47"/>
      <c r="I2059" s="47"/>
      <c r="J2059" s="23">
        <v>0</v>
      </c>
      <c r="K2059" s="25">
        <v>0</v>
      </c>
      <c r="L2059" s="24">
        <v>0</v>
      </c>
      <c r="M2059" s="24">
        <f>J2059-L2059</f>
        <v>0</v>
      </c>
      <c r="N2059" s="53" t="str">
        <f>IF(J2059&lt;&gt;0,M2059/J2059,"")</f>
        <v/>
      </c>
      <c r="O2059" s="23">
        <v>272.36</v>
      </c>
      <c r="P2059" s="25">
        <v>144</v>
      </c>
      <c r="Q2059" s="24">
        <v>184.31</v>
      </c>
      <c r="R2059" s="24">
        <f>O2059-Q2059</f>
        <v>88.050000000000011</v>
      </c>
      <c r="S2059" s="53">
        <f>IF(O2059&lt;&gt;0,R2059/O2059,"")</f>
        <v>0.32328535761492144</v>
      </c>
      <c r="T2059" s="10"/>
      <c r="U2059" s="23">
        <v>0</v>
      </c>
      <c r="V2059" s="25">
        <v>0</v>
      </c>
      <c r="W2059" s="24">
        <v>0</v>
      </c>
      <c r="X2059" s="24">
        <f>U2059-W2059</f>
        <v>0</v>
      </c>
      <c r="Y2059" s="53" t="str">
        <f>IF(U2059&lt;&gt;0,X2059/U2059,"")</f>
        <v/>
      </c>
      <c r="Z2059" s="23">
        <v>0</v>
      </c>
      <c r="AA2059" s="25">
        <v>0</v>
      </c>
      <c r="AB2059" s="24">
        <v>0</v>
      </c>
      <c r="AC2059" s="24">
        <f t="shared" si="584"/>
        <v>0</v>
      </c>
      <c r="AD2059" s="53" t="str">
        <f t="shared" si="585"/>
        <v/>
      </c>
      <c r="AE2059" s="10"/>
    </row>
    <row r="2060" spans="1:31" x14ac:dyDescent="0.25">
      <c r="A2060" s="14" t="s">
        <v>109</v>
      </c>
      <c r="C2060" s="61" t="str">
        <f t="shared" si="583"/>
        <v>C100115</v>
      </c>
      <c r="F2060" s="8" t="str">
        <f>"E100023"</f>
        <v>E100023</v>
      </c>
      <c r="G2060" s="9" t="str">
        <f>"Sport Earbuds"</f>
        <v>Sport Earbuds</v>
      </c>
      <c r="H2060" s="47"/>
      <c r="I2060" s="47"/>
      <c r="J2060" s="23">
        <v>0</v>
      </c>
      <c r="K2060" s="25">
        <v>0</v>
      </c>
      <c r="L2060" s="24">
        <v>0</v>
      </c>
      <c r="M2060" s="24">
        <f>J2060-L2060</f>
        <v>0</v>
      </c>
      <c r="N2060" s="53" t="str">
        <f>IF(J2060&lt;&gt;0,M2060/J2060,"")</f>
        <v/>
      </c>
      <c r="O2060" s="23">
        <v>637.86</v>
      </c>
      <c r="P2060" s="25">
        <v>144</v>
      </c>
      <c r="Q2060" s="24">
        <v>302.39999999999998</v>
      </c>
      <c r="R2060" s="24">
        <f>O2060-Q2060</f>
        <v>335.46000000000004</v>
      </c>
      <c r="S2060" s="53">
        <f>IF(O2060&lt;&gt;0,R2060/O2060,"")</f>
        <v>0.52591477753739069</v>
      </c>
      <c r="T2060" s="10"/>
      <c r="U2060" s="23">
        <v>0</v>
      </c>
      <c r="V2060" s="25">
        <v>0</v>
      </c>
      <c r="W2060" s="24">
        <v>0</v>
      </c>
      <c r="X2060" s="24">
        <f>U2060-W2060</f>
        <v>0</v>
      </c>
      <c r="Y2060" s="53" t="str">
        <f>IF(U2060&lt;&gt;0,X2060/U2060,"")</f>
        <v/>
      </c>
      <c r="Z2060" s="23">
        <v>212.62</v>
      </c>
      <c r="AA2060" s="25">
        <v>48</v>
      </c>
      <c r="AB2060" s="24">
        <v>100.8</v>
      </c>
      <c r="AC2060" s="24">
        <f t="shared" si="584"/>
        <v>111.82000000000001</v>
      </c>
      <c r="AD2060" s="53">
        <f t="shared" si="585"/>
        <v>0.52591477753739069</v>
      </c>
      <c r="AE2060" s="10"/>
    </row>
    <row r="2061" spans="1:31" x14ac:dyDescent="0.25">
      <c r="A2061" s="14" t="s">
        <v>109</v>
      </c>
      <c r="C2061" s="61" t="str">
        <f t="shared" si="583"/>
        <v>C100115</v>
      </c>
      <c r="F2061" s="8" t="str">
        <f>"E100024"</f>
        <v>E100024</v>
      </c>
      <c r="G2061" s="9" t="str">
        <f>"Arch Calculator"</f>
        <v>Arch Calculator</v>
      </c>
      <c r="H2061" s="47"/>
      <c r="I2061" s="47"/>
      <c r="J2061" s="23">
        <v>0</v>
      </c>
      <c r="K2061" s="25">
        <v>0</v>
      </c>
      <c r="L2061" s="24">
        <v>0</v>
      </c>
      <c r="M2061" s="24">
        <f>J2061-L2061</f>
        <v>0</v>
      </c>
      <c r="N2061" s="53" t="str">
        <f>IF(J2061&lt;&gt;0,M2061/J2061,"")</f>
        <v/>
      </c>
      <c r="O2061" s="23">
        <v>448.76</v>
      </c>
      <c r="P2061" s="25">
        <v>144</v>
      </c>
      <c r="Q2061" s="24">
        <v>247.59</v>
      </c>
      <c r="R2061" s="24">
        <f>O2061-Q2061</f>
        <v>201.17</v>
      </c>
      <c r="S2061" s="53">
        <f>IF(O2061&lt;&gt;0,R2061/O2061,"")</f>
        <v>0.44827970407344681</v>
      </c>
      <c r="T2061" s="10"/>
      <c r="U2061" s="23">
        <v>0</v>
      </c>
      <c r="V2061" s="25">
        <v>0</v>
      </c>
      <c r="W2061" s="24">
        <v>0</v>
      </c>
      <c r="X2061" s="24">
        <f>U2061-W2061</f>
        <v>0</v>
      </c>
      <c r="Y2061" s="53" t="str">
        <f>IF(U2061&lt;&gt;0,X2061/U2061,"")</f>
        <v/>
      </c>
      <c r="Z2061" s="23">
        <v>0</v>
      </c>
      <c r="AA2061" s="25">
        <v>0</v>
      </c>
      <c r="AB2061" s="24">
        <v>0</v>
      </c>
      <c r="AC2061" s="24">
        <f t="shared" si="584"/>
        <v>0</v>
      </c>
      <c r="AD2061" s="53" t="str">
        <f t="shared" si="585"/>
        <v/>
      </c>
      <c r="AE2061" s="10"/>
    </row>
    <row r="2062" spans="1:31" x14ac:dyDescent="0.25">
      <c r="A2062" s="14" t="s">
        <v>109</v>
      </c>
      <c r="C2062" s="61" t="str">
        <f t="shared" si="583"/>
        <v>C100115</v>
      </c>
      <c r="F2062" s="8" t="str">
        <f>"E100025"</f>
        <v>E100025</v>
      </c>
      <c r="G2062" s="9" t="str">
        <f>"Calc-U-Note"</f>
        <v>Calc-U-Note</v>
      </c>
      <c r="H2062" s="47"/>
      <c r="I2062" s="47"/>
      <c r="J2062" s="23">
        <v>224.35000000000002</v>
      </c>
      <c r="K2062" s="25">
        <v>144</v>
      </c>
      <c r="L2062" s="24">
        <v>146.80000000000001</v>
      </c>
      <c r="M2062" s="24">
        <f>J2062-L2062</f>
        <v>77.550000000000011</v>
      </c>
      <c r="N2062" s="53">
        <f>IF(J2062&lt;&gt;0,M2062/J2062,"")</f>
        <v>0.34566525518163588</v>
      </c>
      <c r="O2062" s="23">
        <v>0</v>
      </c>
      <c r="P2062" s="25">
        <v>0</v>
      </c>
      <c r="Q2062" s="24">
        <v>0</v>
      </c>
      <c r="R2062" s="24">
        <f>O2062-Q2062</f>
        <v>0</v>
      </c>
      <c r="S2062" s="53" t="str">
        <f>IF(O2062&lt;&gt;0,R2062/O2062,"")</f>
        <v/>
      </c>
      <c r="T2062" s="10"/>
      <c r="U2062" s="23">
        <v>0</v>
      </c>
      <c r="V2062" s="25">
        <v>0</v>
      </c>
      <c r="W2062" s="24">
        <v>0</v>
      </c>
      <c r="X2062" s="24">
        <f>U2062-W2062</f>
        <v>0</v>
      </c>
      <c r="Y2062" s="53" t="str">
        <f>IF(U2062&lt;&gt;0,X2062/U2062,"")</f>
        <v/>
      </c>
      <c r="Z2062" s="23">
        <v>0</v>
      </c>
      <c r="AA2062" s="25">
        <v>0</v>
      </c>
      <c r="AB2062" s="24">
        <v>0</v>
      </c>
      <c r="AC2062" s="24">
        <f t="shared" si="584"/>
        <v>0</v>
      </c>
      <c r="AD2062" s="53" t="str">
        <f t="shared" si="585"/>
        <v/>
      </c>
      <c r="AE2062" s="10"/>
    </row>
    <row r="2063" spans="1:31" x14ac:dyDescent="0.25">
      <c r="A2063" s="14" t="s">
        <v>109</v>
      </c>
      <c r="C2063" s="61" t="str">
        <f t="shared" si="583"/>
        <v>C100115</v>
      </c>
      <c r="F2063" s="8" t="str">
        <f>"E100026"</f>
        <v>E100026</v>
      </c>
      <c r="G2063" s="9" t="str">
        <f>"Desk Calculator"</f>
        <v>Desk Calculator</v>
      </c>
      <c r="H2063" s="47"/>
      <c r="I2063" s="47"/>
      <c r="J2063" s="23">
        <v>116.28000000000002</v>
      </c>
      <c r="K2063" s="25">
        <v>144</v>
      </c>
      <c r="L2063" s="24">
        <v>69.180000000000007</v>
      </c>
      <c r="M2063" s="24">
        <f>J2063-L2063</f>
        <v>47.100000000000009</v>
      </c>
      <c r="N2063" s="53">
        <f>IF(J2063&lt;&gt;0,M2063/J2063,"")</f>
        <v>0.40505675954592363</v>
      </c>
      <c r="O2063" s="23">
        <v>0</v>
      </c>
      <c r="P2063" s="25">
        <v>0</v>
      </c>
      <c r="Q2063" s="24">
        <v>0</v>
      </c>
      <c r="R2063" s="24">
        <f>O2063-Q2063</f>
        <v>0</v>
      </c>
      <c r="S2063" s="53" t="str">
        <f>IF(O2063&lt;&gt;0,R2063/O2063,"")</f>
        <v/>
      </c>
      <c r="T2063" s="10"/>
      <c r="U2063" s="23">
        <v>0</v>
      </c>
      <c r="V2063" s="25">
        <v>0</v>
      </c>
      <c r="W2063" s="24">
        <v>0</v>
      </c>
      <c r="X2063" s="24">
        <f>U2063-W2063</f>
        <v>0</v>
      </c>
      <c r="Y2063" s="53" t="str">
        <f>IF(U2063&lt;&gt;0,X2063/U2063,"")</f>
        <v/>
      </c>
      <c r="Z2063" s="23">
        <v>0</v>
      </c>
      <c r="AA2063" s="25">
        <v>0</v>
      </c>
      <c r="AB2063" s="24">
        <v>0</v>
      </c>
      <c r="AC2063" s="24">
        <f t="shared" si="584"/>
        <v>0</v>
      </c>
      <c r="AD2063" s="53" t="str">
        <f t="shared" si="585"/>
        <v/>
      </c>
      <c r="AE2063" s="10"/>
    </row>
    <row r="2064" spans="1:31" x14ac:dyDescent="0.25">
      <c r="A2064" s="14" t="s">
        <v>109</v>
      </c>
      <c r="C2064" s="61" t="str">
        <f t="shared" si="583"/>
        <v>C100115</v>
      </c>
      <c r="F2064" s="8" t="str">
        <f>"E100027"</f>
        <v>E100027</v>
      </c>
      <c r="G2064" s="9" t="str">
        <f>"Ergo-Calculator"</f>
        <v>Ergo-Calculator</v>
      </c>
      <c r="H2064" s="47"/>
      <c r="I2064" s="47"/>
      <c r="J2064" s="23">
        <v>0</v>
      </c>
      <c r="K2064" s="25">
        <v>0</v>
      </c>
      <c r="L2064" s="24">
        <v>0</v>
      </c>
      <c r="M2064" s="24">
        <f>J2064-L2064</f>
        <v>0</v>
      </c>
      <c r="N2064" s="53" t="str">
        <f>IF(J2064&lt;&gt;0,M2064/J2064,"")</f>
        <v/>
      </c>
      <c r="O2064" s="23">
        <v>341.51</v>
      </c>
      <c r="P2064" s="25">
        <v>144</v>
      </c>
      <c r="Q2064" s="24">
        <v>184.35</v>
      </c>
      <c r="R2064" s="24">
        <f>O2064-Q2064</f>
        <v>157.16</v>
      </c>
      <c r="S2064" s="53">
        <f>IF(O2064&lt;&gt;0,R2064/O2064,"")</f>
        <v>0.46019150244502355</v>
      </c>
      <c r="T2064" s="10"/>
      <c r="U2064" s="23">
        <v>0</v>
      </c>
      <c r="V2064" s="25">
        <v>0</v>
      </c>
      <c r="W2064" s="24">
        <v>0</v>
      </c>
      <c r="X2064" s="24">
        <f>U2064-W2064</f>
        <v>0</v>
      </c>
      <c r="Y2064" s="53" t="str">
        <f>IF(U2064&lt;&gt;0,X2064/U2064,"")</f>
        <v/>
      </c>
      <c r="Z2064" s="23">
        <v>0</v>
      </c>
      <c r="AA2064" s="25">
        <v>0</v>
      </c>
      <c r="AB2064" s="24">
        <v>0</v>
      </c>
      <c r="AC2064" s="24">
        <f t="shared" si="584"/>
        <v>0</v>
      </c>
      <c r="AD2064" s="53" t="str">
        <f t="shared" si="585"/>
        <v/>
      </c>
      <c r="AE2064" s="10"/>
    </row>
    <row r="2065" spans="1:31" x14ac:dyDescent="0.25">
      <c r="A2065" s="14" t="s">
        <v>109</v>
      </c>
      <c r="C2065" s="61" t="str">
        <f t="shared" si="583"/>
        <v>C100115</v>
      </c>
      <c r="F2065" s="8" t="str">
        <f>"E100029"</f>
        <v>E100029</v>
      </c>
      <c r="G2065" s="9" t="str">
        <f>"LED Flex Light"</f>
        <v>LED Flex Light</v>
      </c>
      <c r="H2065" s="47"/>
      <c r="I2065" s="47"/>
      <c r="J2065" s="23">
        <v>0</v>
      </c>
      <c r="K2065" s="25">
        <v>0</v>
      </c>
      <c r="L2065" s="24">
        <v>0</v>
      </c>
      <c r="M2065" s="24">
        <f>J2065-L2065</f>
        <v>0</v>
      </c>
      <c r="N2065" s="53" t="str">
        <f>IF(J2065&lt;&gt;0,M2065/J2065,"")</f>
        <v/>
      </c>
      <c r="O2065" s="23">
        <v>407.84</v>
      </c>
      <c r="P2065" s="25">
        <v>144</v>
      </c>
      <c r="Q2065" s="24">
        <v>241.84000000000003</v>
      </c>
      <c r="R2065" s="24">
        <f>O2065-Q2065</f>
        <v>165.99999999999994</v>
      </c>
      <c r="S2065" s="53">
        <f>IF(O2065&lt;&gt;0,R2065/O2065,"")</f>
        <v>0.40702236171047457</v>
      </c>
      <c r="T2065" s="10"/>
      <c r="U2065" s="23">
        <v>0</v>
      </c>
      <c r="V2065" s="25">
        <v>0</v>
      </c>
      <c r="W2065" s="24">
        <v>0</v>
      </c>
      <c r="X2065" s="24">
        <f>U2065-W2065</f>
        <v>0</v>
      </c>
      <c r="Y2065" s="53" t="str">
        <f>IF(U2065&lt;&gt;0,X2065/U2065,"")</f>
        <v/>
      </c>
      <c r="Z2065" s="23">
        <v>407.84</v>
      </c>
      <c r="AA2065" s="25">
        <v>144</v>
      </c>
      <c r="AB2065" s="24">
        <v>241.84000000000003</v>
      </c>
      <c r="AC2065" s="24">
        <f t="shared" si="584"/>
        <v>165.99999999999994</v>
      </c>
      <c r="AD2065" s="53">
        <f t="shared" si="585"/>
        <v>0.40702236171047457</v>
      </c>
      <c r="AE2065" s="10"/>
    </row>
    <row r="2066" spans="1:31" x14ac:dyDescent="0.25">
      <c r="A2066" s="14" t="s">
        <v>109</v>
      </c>
      <c r="C2066" s="61" t="str">
        <f t="shared" si="583"/>
        <v>C100115</v>
      </c>
      <c r="F2066" s="8" t="str">
        <f>"E100031"</f>
        <v>E100031</v>
      </c>
      <c r="G2066" s="9" t="str">
        <f>"Ad Torch"</f>
        <v>Ad Torch</v>
      </c>
      <c r="H2066" s="47"/>
      <c r="I2066" s="47"/>
      <c r="J2066" s="23">
        <v>0</v>
      </c>
      <c r="K2066" s="25">
        <v>0</v>
      </c>
      <c r="L2066" s="24">
        <v>0</v>
      </c>
      <c r="M2066" s="24">
        <f>J2066-L2066</f>
        <v>0</v>
      </c>
      <c r="N2066" s="53" t="str">
        <f>IF(J2066&lt;&gt;0,M2066/J2066,"")</f>
        <v/>
      </c>
      <c r="O2066" s="23">
        <v>426.53000000000003</v>
      </c>
      <c r="P2066" s="25">
        <v>156</v>
      </c>
      <c r="Q2066" s="24">
        <v>215.29</v>
      </c>
      <c r="R2066" s="24">
        <f>O2066-Q2066</f>
        <v>211.24000000000004</v>
      </c>
      <c r="S2066" s="53">
        <f>IF(O2066&lt;&gt;0,R2066/O2066,"")</f>
        <v>0.49525238552974005</v>
      </c>
      <c r="T2066" s="10"/>
      <c r="U2066" s="23">
        <v>0</v>
      </c>
      <c r="V2066" s="25">
        <v>0</v>
      </c>
      <c r="W2066" s="24">
        <v>0</v>
      </c>
      <c r="X2066" s="24">
        <f>U2066-W2066</f>
        <v>0</v>
      </c>
      <c r="Y2066" s="53" t="str">
        <f>IF(U2066&lt;&gt;0,X2066/U2066,"")</f>
        <v/>
      </c>
      <c r="Z2066" s="23">
        <v>0</v>
      </c>
      <c r="AA2066" s="25">
        <v>0</v>
      </c>
      <c r="AB2066" s="24">
        <v>0</v>
      </c>
      <c r="AC2066" s="24">
        <f t="shared" si="584"/>
        <v>0</v>
      </c>
      <c r="AD2066" s="53" t="str">
        <f t="shared" si="585"/>
        <v/>
      </c>
      <c r="AE2066" s="10"/>
    </row>
    <row r="2067" spans="1:31" x14ac:dyDescent="0.25">
      <c r="A2067" s="14" t="s">
        <v>109</v>
      </c>
      <c r="C2067" s="61" t="str">
        <f t="shared" si="583"/>
        <v>C100115</v>
      </c>
      <c r="F2067" s="8" t="str">
        <f>"E100032"</f>
        <v>E100032</v>
      </c>
      <c r="G2067" s="9" t="str">
        <f>"Button Key-Light"</f>
        <v>Button Key-Light</v>
      </c>
      <c r="H2067" s="47"/>
      <c r="I2067" s="47"/>
      <c r="J2067" s="23">
        <v>0</v>
      </c>
      <c r="K2067" s="25">
        <v>0</v>
      </c>
      <c r="L2067" s="24">
        <v>0</v>
      </c>
      <c r="M2067" s="24">
        <f>J2067-L2067</f>
        <v>0</v>
      </c>
      <c r="N2067" s="53" t="str">
        <f>IF(J2067&lt;&gt;0,M2067/J2067,"")</f>
        <v/>
      </c>
      <c r="O2067" s="23">
        <v>71.97</v>
      </c>
      <c r="P2067" s="25">
        <v>144</v>
      </c>
      <c r="Q2067" s="24">
        <v>47.529999999999994</v>
      </c>
      <c r="R2067" s="24">
        <f>O2067-Q2067</f>
        <v>24.440000000000005</v>
      </c>
      <c r="S2067" s="53">
        <f>IF(O2067&lt;&gt;0,R2067/O2067,"")</f>
        <v>0.33958593858552183</v>
      </c>
      <c r="T2067" s="10"/>
      <c r="U2067" s="23">
        <v>0</v>
      </c>
      <c r="V2067" s="25">
        <v>0</v>
      </c>
      <c r="W2067" s="24">
        <v>0</v>
      </c>
      <c r="X2067" s="24">
        <f>U2067-W2067</f>
        <v>0</v>
      </c>
      <c r="Y2067" s="53" t="str">
        <f>IF(U2067&lt;&gt;0,X2067/U2067,"")</f>
        <v/>
      </c>
      <c r="Z2067" s="23">
        <v>0</v>
      </c>
      <c r="AA2067" s="25">
        <v>0</v>
      </c>
      <c r="AB2067" s="24">
        <v>0</v>
      </c>
      <c r="AC2067" s="24">
        <f t="shared" si="584"/>
        <v>0</v>
      </c>
      <c r="AD2067" s="53" t="str">
        <f t="shared" si="585"/>
        <v/>
      </c>
      <c r="AE2067" s="10"/>
    </row>
    <row r="2068" spans="1:31" x14ac:dyDescent="0.25">
      <c r="A2068" s="14" t="s">
        <v>109</v>
      </c>
      <c r="C2068" s="61" t="str">
        <f t="shared" si="583"/>
        <v>C100115</v>
      </c>
      <c r="F2068" s="8" t="str">
        <f>"E100033"</f>
        <v>E100033</v>
      </c>
      <c r="G2068" s="9" t="str">
        <f>"Dual Source Flashlight"</f>
        <v>Dual Source Flashlight</v>
      </c>
      <c r="H2068" s="47"/>
      <c r="I2068" s="47"/>
      <c r="J2068" s="23">
        <v>448.70000000000005</v>
      </c>
      <c r="K2068" s="25">
        <v>144</v>
      </c>
      <c r="L2068" s="24">
        <v>224.60000000000002</v>
      </c>
      <c r="M2068" s="24">
        <f>J2068-L2068</f>
        <v>224.10000000000002</v>
      </c>
      <c r="N2068" s="53">
        <f>IF(J2068&lt;&gt;0,M2068/J2068,"")</f>
        <v>0.49944283485625141</v>
      </c>
      <c r="O2068" s="23">
        <v>19.29</v>
      </c>
      <c r="P2068" s="25">
        <v>6</v>
      </c>
      <c r="Q2068" s="24">
        <v>9.36</v>
      </c>
      <c r="R2068" s="24">
        <f>O2068-Q2068</f>
        <v>9.93</v>
      </c>
      <c r="S2068" s="53">
        <f>IF(O2068&lt;&gt;0,R2068/O2068,"")</f>
        <v>0.51477449455676516</v>
      </c>
      <c r="T2068" s="10"/>
      <c r="U2068" s="23">
        <v>0</v>
      </c>
      <c r="V2068" s="25">
        <v>0</v>
      </c>
      <c r="W2068" s="24">
        <v>0</v>
      </c>
      <c r="X2068" s="24">
        <f>U2068-W2068</f>
        <v>0</v>
      </c>
      <c r="Y2068" s="53" t="str">
        <f>IF(U2068&lt;&gt;0,X2068/U2068,"")</f>
        <v/>
      </c>
      <c r="Z2068" s="23">
        <v>462.87</v>
      </c>
      <c r="AA2068" s="25">
        <v>144</v>
      </c>
      <c r="AB2068" s="24">
        <v>224.60000000000002</v>
      </c>
      <c r="AC2068" s="24">
        <f t="shared" si="584"/>
        <v>238.26999999999998</v>
      </c>
      <c r="AD2068" s="53">
        <f t="shared" si="585"/>
        <v>0.51476656512627728</v>
      </c>
      <c r="AE2068" s="10"/>
    </row>
    <row r="2069" spans="1:31" x14ac:dyDescent="0.25">
      <c r="A2069" s="14" t="s">
        <v>109</v>
      </c>
      <c r="C2069" s="61" t="str">
        <f t="shared" si="583"/>
        <v>C100115</v>
      </c>
      <c r="F2069" s="8" t="str">
        <f>"E100034"</f>
        <v>E100034</v>
      </c>
      <c r="G2069" s="9" t="str">
        <f>"Bamboo 1GB USB Flash Drive"</f>
        <v>Bamboo 1GB USB Flash Drive</v>
      </c>
      <c r="H2069" s="47"/>
      <c r="I2069" s="47"/>
      <c r="J2069" s="23">
        <v>794.81</v>
      </c>
      <c r="K2069" s="25">
        <v>144</v>
      </c>
      <c r="L2069" s="24">
        <v>388.83</v>
      </c>
      <c r="M2069" s="24">
        <f>J2069-L2069</f>
        <v>405.97999999999996</v>
      </c>
      <c r="N2069" s="53">
        <f>IF(J2069&lt;&gt;0,M2069/J2069,"")</f>
        <v>0.51078874196348811</v>
      </c>
      <c r="O2069" s="23">
        <v>0</v>
      </c>
      <c r="P2069" s="25">
        <v>0</v>
      </c>
      <c r="Q2069" s="24">
        <v>0</v>
      </c>
      <c r="R2069" s="24">
        <f>O2069-Q2069</f>
        <v>0</v>
      </c>
      <c r="S2069" s="53" t="str">
        <f>IF(O2069&lt;&gt;0,R2069/O2069,"")</f>
        <v/>
      </c>
      <c r="T2069" s="10"/>
      <c r="U2069" s="23">
        <v>0</v>
      </c>
      <c r="V2069" s="25">
        <v>0</v>
      </c>
      <c r="W2069" s="24">
        <v>0</v>
      </c>
      <c r="X2069" s="24">
        <f>U2069-W2069</f>
        <v>0</v>
      </c>
      <c r="Y2069" s="53" t="str">
        <f>IF(U2069&lt;&gt;0,X2069/U2069,"")</f>
        <v/>
      </c>
      <c r="Z2069" s="23">
        <v>0</v>
      </c>
      <c r="AA2069" s="25">
        <v>0</v>
      </c>
      <c r="AB2069" s="24">
        <v>0</v>
      </c>
      <c r="AC2069" s="24">
        <f t="shared" si="584"/>
        <v>0</v>
      </c>
      <c r="AD2069" s="53" t="str">
        <f t="shared" si="585"/>
        <v/>
      </c>
      <c r="AE2069" s="10"/>
    </row>
    <row r="2070" spans="1:31" x14ac:dyDescent="0.25">
      <c r="A2070" s="14" t="s">
        <v>109</v>
      </c>
      <c r="C2070" s="61" t="str">
        <f t="shared" si="583"/>
        <v>C100115</v>
      </c>
      <c r="F2070" s="8" t="str">
        <f>"E100035"</f>
        <v>E100035</v>
      </c>
      <c r="G2070" s="9" t="str">
        <f>"2GB Foldout USB Flash Drive"</f>
        <v>2GB Foldout USB Flash Drive</v>
      </c>
      <c r="H2070" s="47"/>
      <c r="I2070" s="47"/>
      <c r="J2070" s="23">
        <v>0</v>
      </c>
      <c r="K2070" s="25">
        <v>0</v>
      </c>
      <c r="L2070" s="24">
        <v>0</v>
      </c>
      <c r="M2070" s="24">
        <f>J2070-L2070</f>
        <v>0</v>
      </c>
      <c r="N2070" s="53" t="str">
        <f>IF(J2070&lt;&gt;0,M2070/J2070,"")</f>
        <v/>
      </c>
      <c r="O2070" s="23">
        <v>1092.27</v>
      </c>
      <c r="P2070" s="25">
        <v>288</v>
      </c>
      <c r="Q2070" s="24">
        <v>648.1</v>
      </c>
      <c r="R2070" s="24">
        <f>O2070-Q2070</f>
        <v>444.16999999999996</v>
      </c>
      <c r="S2070" s="53">
        <f>IF(O2070&lt;&gt;0,R2070/O2070,"")</f>
        <v>0.40664853928058076</v>
      </c>
      <c r="T2070" s="10"/>
      <c r="U2070" s="23">
        <v>0</v>
      </c>
      <c r="V2070" s="25">
        <v>0</v>
      </c>
      <c r="W2070" s="24">
        <v>0</v>
      </c>
      <c r="X2070" s="24">
        <f>U2070-W2070</f>
        <v>0</v>
      </c>
      <c r="Y2070" s="53" t="str">
        <f>IF(U2070&lt;&gt;0,X2070/U2070,"")</f>
        <v/>
      </c>
      <c r="Z2070" s="23">
        <v>546.13</v>
      </c>
      <c r="AA2070" s="25">
        <v>144</v>
      </c>
      <c r="AB2070" s="24">
        <v>324.05</v>
      </c>
      <c r="AC2070" s="24">
        <f t="shared" si="584"/>
        <v>222.07999999999998</v>
      </c>
      <c r="AD2070" s="53">
        <f t="shared" si="585"/>
        <v>0.40664310695255707</v>
      </c>
      <c r="AE2070" s="10"/>
    </row>
    <row r="2071" spans="1:31" x14ac:dyDescent="0.25">
      <c r="A2071" s="14" t="s">
        <v>109</v>
      </c>
      <c r="C2071" s="61" t="str">
        <f t="shared" si="583"/>
        <v>C100115</v>
      </c>
      <c r="F2071" s="8" t="str">
        <f>"E100038"</f>
        <v>E100038</v>
      </c>
      <c r="G2071" s="9" t="str">
        <f>"1GB USB Flash Drive Pen"</f>
        <v>1GB USB Flash Drive Pen</v>
      </c>
      <c r="H2071" s="47"/>
      <c r="I2071" s="47"/>
      <c r="J2071" s="23">
        <v>779.76</v>
      </c>
      <c r="K2071" s="25">
        <v>144</v>
      </c>
      <c r="L2071" s="24">
        <v>427.72999999999996</v>
      </c>
      <c r="M2071" s="24">
        <f>J2071-L2071</f>
        <v>352.03000000000003</v>
      </c>
      <c r="N2071" s="53">
        <f>IF(J2071&lt;&gt;0,M2071/J2071,"")</f>
        <v>0.45145942341233203</v>
      </c>
      <c r="O2071" s="23">
        <v>5.59</v>
      </c>
      <c r="P2071" s="25">
        <v>1</v>
      </c>
      <c r="Q2071" s="24">
        <v>2.97</v>
      </c>
      <c r="R2071" s="24">
        <f>O2071-Q2071</f>
        <v>2.6199999999999997</v>
      </c>
      <c r="S2071" s="53">
        <f>IF(O2071&lt;&gt;0,R2071/O2071,"")</f>
        <v>0.46869409660107331</v>
      </c>
      <c r="T2071" s="10"/>
      <c r="U2071" s="23">
        <v>0</v>
      </c>
      <c r="V2071" s="25">
        <v>0</v>
      </c>
      <c r="W2071" s="24">
        <v>0</v>
      </c>
      <c r="X2071" s="24">
        <f>U2071-W2071</f>
        <v>0</v>
      </c>
      <c r="Y2071" s="53" t="str">
        <f>IF(U2071&lt;&gt;0,X2071/U2071,"")</f>
        <v/>
      </c>
      <c r="Z2071" s="23">
        <v>871.42000000000007</v>
      </c>
      <c r="AA2071" s="25">
        <v>156</v>
      </c>
      <c r="AB2071" s="24">
        <v>463.37</v>
      </c>
      <c r="AC2071" s="24">
        <f t="shared" si="584"/>
        <v>408.05000000000007</v>
      </c>
      <c r="AD2071" s="53">
        <f t="shared" si="585"/>
        <v>0.46825870418397564</v>
      </c>
      <c r="AE2071" s="10"/>
    </row>
    <row r="2072" spans="1:31" x14ac:dyDescent="0.25">
      <c r="A2072" s="14" t="s">
        <v>109</v>
      </c>
      <c r="C2072" s="61" t="str">
        <f t="shared" si="583"/>
        <v>C100115</v>
      </c>
      <c r="F2072" s="8" t="str">
        <f>"E100042"</f>
        <v>E100042</v>
      </c>
      <c r="G2072" s="9" t="str">
        <f>"Soft Touch Travel Mug"</f>
        <v>Soft Touch Travel Mug</v>
      </c>
      <c r="H2072" s="47"/>
      <c r="I2072" s="47"/>
      <c r="J2072" s="23">
        <v>529.41999999999996</v>
      </c>
      <c r="K2072" s="25">
        <v>144</v>
      </c>
      <c r="L2072" s="24">
        <v>309.68</v>
      </c>
      <c r="M2072" s="24">
        <f>J2072-L2072</f>
        <v>219.73999999999995</v>
      </c>
      <c r="N2072" s="53">
        <f>IF(J2072&lt;&gt;0,M2072/J2072,"")</f>
        <v>0.4150579879868535</v>
      </c>
      <c r="O2072" s="23">
        <v>0</v>
      </c>
      <c r="P2072" s="25">
        <v>0</v>
      </c>
      <c r="Q2072" s="24">
        <v>0</v>
      </c>
      <c r="R2072" s="24">
        <f>O2072-Q2072</f>
        <v>0</v>
      </c>
      <c r="S2072" s="53" t="str">
        <f>IF(O2072&lt;&gt;0,R2072/O2072,"")</f>
        <v/>
      </c>
      <c r="T2072" s="10"/>
      <c r="U2072" s="23">
        <v>0</v>
      </c>
      <c r="V2072" s="25">
        <v>0</v>
      </c>
      <c r="W2072" s="24">
        <v>0</v>
      </c>
      <c r="X2072" s="24">
        <f>U2072-W2072</f>
        <v>0</v>
      </c>
      <c r="Y2072" s="53" t="str">
        <f>IF(U2072&lt;&gt;0,X2072/U2072,"")</f>
        <v/>
      </c>
      <c r="Z2072" s="23">
        <v>0</v>
      </c>
      <c r="AA2072" s="25">
        <v>0</v>
      </c>
      <c r="AB2072" s="24">
        <v>0</v>
      </c>
      <c r="AC2072" s="24">
        <f t="shared" si="584"/>
        <v>0</v>
      </c>
      <c r="AD2072" s="53" t="str">
        <f t="shared" si="585"/>
        <v/>
      </c>
      <c r="AE2072" s="10"/>
    </row>
    <row r="2073" spans="1:31" x14ac:dyDescent="0.25">
      <c r="A2073" s="14" t="s">
        <v>109</v>
      </c>
      <c r="C2073" s="61" t="str">
        <f t="shared" si="583"/>
        <v>C100115</v>
      </c>
      <c r="F2073" s="8" t="str">
        <f>"E100043"</f>
        <v>E100043</v>
      </c>
      <c r="G2073" s="9" t="str">
        <f>"Pub Glass"</f>
        <v>Pub Glass</v>
      </c>
      <c r="H2073" s="47"/>
      <c r="I2073" s="47"/>
      <c r="J2073" s="23">
        <v>32.380000000000003</v>
      </c>
      <c r="K2073" s="25">
        <v>24</v>
      </c>
      <c r="L2073" s="24">
        <v>22.33</v>
      </c>
      <c r="M2073" s="24">
        <f>J2073-L2073</f>
        <v>10.050000000000004</v>
      </c>
      <c r="N2073" s="53">
        <f>IF(J2073&lt;&gt;0,M2073/J2073,"")</f>
        <v>0.31037677578752326</v>
      </c>
      <c r="O2073" s="23">
        <v>0</v>
      </c>
      <c r="P2073" s="25">
        <v>0</v>
      </c>
      <c r="Q2073" s="24">
        <v>0</v>
      </c>
      <c r="R2073" s="24">
        <f>O2073-Q2073</f>
        <v>0</v>
      </c>
      <c r="S2073" s="53" t="str">
        <f>IF(O2073&lt;&gt;0,R2073/O2073,"")</f>
        <v/>
      </c>
      <c r="T2073" s="10"/>
      <c r="U2073" s="23">
        <v>0</v>
      </c>
      <c r="V2073" s="25">
        <v>0</v>
      </c>
      <c r="W2073" s="24">
        <v>0</v>
      </c>
      <c r="X2073" s="24">
        <f>U2073-W2073</f>
        <v>0</v>
      </c>
      <c r="Y2073" s="53" t="str">
        <f>IF(U2073&lt;&gt;0,X2073/U2073,"")</f>
        <v/>
      </c>
      <c r="Z2073" s="23">
        <v>200.39000000000001</v>
      </c>
      <c r="AA2073" s="25">
        <v>144</v>
      </c>
      <c r="AB2073" s="24">
        <v>133.94999999999999</v>
      </c>
      <c r="AC2073" s="24">
        <f t="shared" si="584"/>
        <v>66.440000000000026</v>
      </c>
      <c r="AD2073" s="53">
        <f t="shared" si="585"/>
        <v>0.33155347073207259</v>
      </c>
      <c r="AE2073" s="10"/>
    </row>
    <row r="2074" spans="1:31" x14ac:dyDescent="0.25">
      <c r="A2074" s="14" t="s">
        <v>109</v>
      </c>
      <c r="C2074" s="61" t="str">
        <f t="shared" si="583"/>
        <v>C100115</v>
      </c>
      <c r="F2074" s="8" t="str">
        <f>"E100045"</f>
        <v>E100045</v>
      </c>
      <c r="G2074" s="9" t="str">
        <f>"Flute"</f>
        <v>Flute</v>
      </c>
      <c r="H2074" s="47"/>
      <c r="I2074" s="47"/>
      <c r="J2074" s="23">
        <v>0</v>
      </c>
      <c r="K2074" s="25">
        <v>0</v>
      </c>
      <c r="L2074" s="24">
        <v>0</v>
      </c>
      <c r="M2074" s="24">
        <f>J2074-L2074</f>
        <v>0</v>
      </c>
      <c r="N2074" s="53" t="str">
        <f>IF(J2074&lt;&gt;0,M2074/J2074,"")</f>
        <v/>
      </c>
      <c r="O2074" s="23">
        <v>0.97</v>
      </c>
      <c r="P2074" s="25">
        <v>1</v>
      </c>
      <c r="Q2074" s="24">
        <v>0.62</v>
      </c>
      <c r="R2074" s="24">
        <f>O2074-Q2074</f>
        <v>0.35</v>
      </c>
      <c r="S2074" s="53">
        <f>IF(O2074&lt;&gt;0,R2074/O2074,"")</f>
        <v>0.36082474226804123</v>
      </c>
      <c r="T2074" s="10"/>
      <c r="U2074" s="23">
        <v>0</v>
      </c>
      <c r="V2074" s="25">
        <v>0</v>
      </c>
      <c r="W2074" s="24">
        <v>0</v>
      </c>
      <c r="X2074" s="24">
        <f>U2074-W2074</f>
        <v>0</v>
      </c>
      <c r="Y2074" s="53" t="str">
        <f>IF(U2074&lt;&gt;0,X2074/U2074,"")</f>
        <v/>
      </c>
      <c r="Z2074" s="23">
        <v>0</v>
      </c>
      <c r="AA2074" s="25">
        <v>0</v>
      </c>
      <c r="AB2074" s="24">
        <v>0</v>
      </c>
      <c r="AC2074" s="24">
        <f t="shared" si="584"/>
        <v>0</v>
      </c>
      <c r="AD2074" s="53" t="str">
        <f t="shared" si="585"/>
        <v/>
      </c>
      <c r="AE2074" s="10"/>
    </row>
    <row r="2075" spans="1:31" x14ac:dyDescent="0.25">
      <c r="A2075" s="14" t="s">
        <v>109</v>
      </c>
      <c r="C2075" s="61" t="str">
        <f t="shared" si="583"/>
        <v>C100115</v>
      </c>
      <c r="F2075" s="8" t="str">
        <f>"E100046"</f>
        <v>E100046</v>
      </c>
      <c r="G2075" s="9" t="str">
        <f>"Milk Bottle"</f>
        <v>Milk Bottle</v>
      </c>
      <c r="H2075" s="47"/>
      <c r="I2075" s="47"/>
      <c r="J2075" s="23">
        <v>0</v>
      </c>
      <c r="K2075" s="25">
        <v>0</v>
      </c>
      <c r="L2075" s="24">
        <v>0</v>
      </c>
      <c r="M2075" s="24">
        <f>J2075-L2075</f>
        <v>0</v>
      </c>
      <c r="N2075" s="53" t="str">
        <f>IF(J2075&lt;&gt;0,M2075/J2075,"")</f>
        <v/>
      </c>
      <c r="O2075" s="23">
        <v>264.3</v>
      </c>
      <c r="P2075" s="25">
        <v>145</v>
      </c>
      <c r="Q2075" s="24">
        <v>150.71</v>
      </c>
      <c r="R2075" s="24">
        <f>O2075-Q2075</f>
        <v>113.59</v>
      </c>
      <c r="S2075" s="53">
        <f>IF(O2075&lt;&gt;0,R2075/O2075,"")</f>
        <v>0.42977676882330684</v>
      </c>
      <c r="T2075" s="10"/>
      <c r="U2075" s="23">
        <v>0</v>
      </c>
      <c r="V2075" s="25">
        <v>0</v>
      </c>
      <c r="W2075" s="24">
        <v>0</v>
      </c>
      <c r="X2075" s="24">
        <f>U2075-W2075</f>
        <v>0</v>
      </c>
      <c r="Y2075" s="53" t="str">
        <f>IF(U2075&lt;&gt;0,X2075/U2075,"")</f>
        <v/>
      </c>
      <c r="Z2075" s="23">
        <v>262.47999999999996</v>
      </c>
      <c r="AA2075" s="25">
        <v>144</v>
      </c>
      <c r="AB2075" s="24">
        <v>149.67000000000002</v>
      </c>
      <c r="AC2075" s="24">
        <f t="shared" si="584"/>
        <v>112.80999999999995</v>
      </c>
      <c r="AD2075" s="53">
        <f t="shared" si="585"/>
        <v>0.42978512648582734</v>
      </c>
      <c r="AE2075" s="10"/>
    </row>
    <row r="2076" spans="1:31" x14ac:dyDescent="0.25">
      <c r="A2076" s="14" t="s">
        <v>109</v>
      </c>
      <c r="C2076" s="61" t="str">
        <f t="shared" si="583"/>
        <v>C100115</v>
      </c>
      <c r="F2076" s="8" t="str">
        <f>"E100047"</f>
        <v>E100047</v>
      </c>
      <c r="G2076" s="9" t="str">
        <f>"Chardonnay Glass"</f>
        <v>Chardonnay Glass</v>
      </c>
      <c r="H2076" s="47"/>
      <c r="I2076" s="47"/>
      <c r="J2076" s="23">
        <v>0</v>
      </c>
      <c r="K2076" s="25">
        <v>0</v>
      </c>
      <c r="L2076" s="24">
        <v>0</v>
      </c>
      <c r="M2076" s="24">
        <f>J2076-L2076</f>
        <v>0</v>
      </c>
      <c r="N2076" s="53" t="str">
        <f>IF(J2076&lt;&gt;0,M2076/J2076,"")</f>
        <v/>
      </c>
      <c r="O2076" s="23">
        <v>508.03000000000003</v>
      </c>
      <c r="P2076" s="25">
        <v>288</v>
      </c>
      <c r="Q2076" s="24">
        <v>302.39999999999998</v>
      </c>
      <c r="R2076" s="24">
        <f>O2076-Q2076</f>
        <v>205.63000000000005</v>
      </c>
      <c r="S2076" s="53">
        <f>IF(O2076&lt;&gt;0,R2076/O2076,"")</f>
        <v>0.40475956144322195</v>
      </c>
      <c r="T2076" s="10"/>
      <c r="U2076" s="23">
        <v>0</v>
      </c>
      <c r="V2076" s="25">
        <v>0</v>
      </c>
      <c r="W2076" s="24">
        <v>0</v>
      </c>
      <c r="X2076" s="24">
        <f>U2076-W2076</f>
        <v>0</v>
      </c>
      <c r="Y2076" s="53" t="str">
        <f>IF(U2076&lt;&gt;0,X2076/U2076,"")</f>
        <v/>
      </c>
      <c r="Z2076" s="23">
        <v>254.02</v>
      </c>
      <c r="AA2076" s="25">
        <v>144</v>
      </c>
      <c r="AB2076" s="24">
        <v>151.19999999999999</v>
      </c>
      <c r="AC2076" s="24">
        <f t="shared" si="584"/>
        <v>102.82000000000002</v>
      </c>
      <c r="AD2076" s="53">
        <f t="shared" si="585"/>
        <v>0.40477127785213768</v>
      </c>
      <c r="AE2076" s="10"/>
    </row>
    <row r="2077" spans="1:31" x14ac:dyDescent="0.25">
      <c r="A2077" s="14" t="s">
        <v>109</v>
      </c>
      <c r="C2077" s="61" t="str">
        <f t="shared" si="583"/>
        <v>C100115</v>
      </c>
      <c r="F2077" s="8" t="str">
        <f>"S100003"</f>
        <v>S100003</v>
      </c>
      <c r="G2077" s="9" t="str">
        <f>"Soccer #1 Pin"</f>
        <v>Soccer #1 Pin</v>
      </c>
      <c r="H2077" s="47"/>
      <c r="I2077" s="47"/>
      <c r="J2077" s="23">
        <v>1.42</v>
      </c>
      <c r="K2077" s="25">
        <v>1</v>
      </c>
      <c r="L2077" s="24">
        <v>0.9</v>
      </c>
      <c r="M2077" s="24">
        <f>J2077-L2077</f>
        <v>0.51999999999999991</v>
      </c>
      <c r="N2077" s="53">
        <f>IF(J2077&lt;&gt;0,M2077/J2077,"")</f>
        <v>0.36619718309859151</v>
      </c>
      <c r="O2077" s="23">
        <v>0</v>
      </c>
      <c r="P2077" s="25">
        <v>0</v>
      </c>
      <c r="Q2077" s="24">
        <v>0</v>
      </c>
      <c r="R2077" s="24">
        <f>O2077-Q2077</f>
        <v>0</v>
      </c>
      <c r="S2077" s="53" t="str">
        <f>IF(O2077&lt;&gt;0,R2077/O2077,"")</f>
        <v/>
      </c>
      <c r="T2077" s="10"/>
      <c r="U2077" s="23">
        <v>0</v>
      </c>
      <c r="V2077" s="25">
        <v>0</v>
      </c>
      <c r="W2077" s="24">
        <v>0</v>
      </c>
      <c r="X2077" s="24">
        <f>U2077-W2077</f>
        <v>0</v>
      </c>
      <c r="Y2077" s="53" t="str">
        <f>IF(U2077&lt;&gt;0,X2077/U2077,"")</f>
        <v/>
      </c>
      <c r="Z2077" s="23">
        <v>0</v>
      </c>
      <c r="AA2077" s="25">
        <v>0</v>
      </c>
      <c r="AB2077" s="24">
        <v>0</v>
      </c>
      <c r="AC2077" s="24">
        <f t="shared" si="584"/>
        <v>0</v>
      </c>
      <c r="AD2077" s="53" t="str">
        <f t="shared" si="585"/>
        <v/>
      </c>
      <c r="AE2077" s="10"/>
    </row>
    <row r="2078" spans="1:31" x14ac:dyDescent="0.25">
      <c r="A2078" s="14" t="s">
        <v>109</v>
      </c>
      <c r="C2078" s="61" t="str">
        <f t="shared" si="583"/>
        <v>C100115</v>
      </c>
      <c r="F2078" s="8" t="str">
        <f>"S100011"</f>
        <v>S100011</v>
      </c>
      <c r="G2078" s="9" t="str">
        <f>"All Star Cap"</f>
        <v>All Star Cap</v>
      </c>
      <c r="H2078" s="47"/>
      <c r="I2078" s="47"/>
      <c r="J2078" s="23">
        <v>0</v>
      </c>
      <c r="K2078" s="25">
        <v>0</v>
      </c>
      <c r="L2078" s="24">
        <v>0</v>
      </c>
      <c r="M2078" s="24">
        <f>J2078-L2078</f>
        <v>0</v>
      </c>
      <c r="N2078" s="53" t="str">
        <f>IF(J2078&lt;&gt;0,M2078/J2078,"")</f>
        <v/>
      </c>
      <c r="O2078" s="23">
        <v>204.62</v>
      </c>
      <c r="P2078" s="25">
        <v>144</v>
      </c>
      <c r="Q2078" s="24">
        <v>122.41</v>
      </c>
      <c r="R2078" s="24">
        <f>O2078-Q2078</f>
        <v>82.210000000000008</v>
      </c>
      <c r="S2078" s="53">
        <f>IF(O2078&lt;&gt;0,R2078/O2078,"")</f>
        <v>0.40176913302707462</v>
      </c>
      <c r="T2078" s="10"/>
      <c r="U2078" s="23">
        <v>0</v>
      </c>
      <c r="V2078" s="25">
        <v>0</v>
      </c>
      <c r="W2078" s="24">
        <v>0</v>
      </c>
      <c r="X2078" s="24">
        <f>U2078-W2078</f>
        <v>0</v>
      </c>
      <c r="Y2078" s="53" t="str">
        <f>IF(U2078&lt;&gt;0,X2078/U2078,"")</f>
        <v/>
      </c>
      <c r="Z2078" s="23">
        <v>0</v>
      </c>
      <c r="AA2078" s="25">
        <v>0</v>
      </c>
      <c r="AB2078" s="24">
        <v>0</v>
      </c>
      <c r="AC2078" s="24">
        <f t="shared" si="584"/>
        <v>0</v>
      </c>
      <c r="AD2078" s="53" t="str">
        <f t="shared" si="585"/>
        <v/>
      </c>
      <c r="AE2078" s="10"/>
    </row>
    <row r="2079" spans="1:31" x14ac:dyDescent="0.25">
      <c r="A2079" s="14" t="s">
        <v>109</v>
      </c>
      <c r="C2079" s="61" t="str">
        <f t="shared" si="583"/>
        <v>C100115</v>
      </c>
      <c r="F2079" s="8" t="str">
        <f>"S100019"</f>
        <v>S100019</v>
      </c>
      <c r="G2079" s="9" t="str">
        <f>"Sportsman Bucket Hat"</f>
        <v>Sportsman Bucket Hat</v>
      </c>
      <c r="H2079" s="47"/>
      <c r="I2079" s="47"/>
      <c r="J2079" s="23">
        <v>0</v>
      </c>
      <c r="K2079" s="25">
        <v>0</v>
      </c>
      <c r="L2079" s="24">
        <v>0</v>
      </c>
      <c r="M2079" s="24">
        <f>J2079-L2079</f>
        <v>0</v>
      </c>
      <c r="N2079" s="53" t="str">
        <f>IF(J2079&lt;&gt;0,M2079/J2079,"")</f>
        <v/>
      </c>
      <c r="O2079" s="23">
        <v>215.91</v>
      </c>
      <c r="P2079" s="25">
        <v>48</v>
      </c>
      <c r="Q2079" s="24">
        <v>116.64</v>
      </c>
      <c r="R2079" s="24">
        <f>O2079-Q2079</f>
        <v>99.27</v>
      </c>
      <c r="S2079" s="53">
        <f>IF(O2079&lt;&gt;0,R2079/O2079,"")</f>
        <v>0.45977490621092121</v>
      </c>
      <c r="T2079" s="10"/>
      <c r="U2079" s="23">
        <v>0</v>
      </c>
      <c r="V2079" s="25">
        <v>0</v>
      </c>
      <c r="W2079" s="24">
        <v>0</v>
      </c>
      <c r="X2079" s="24">
        <f>U2079-W2079</f>
        <v>0</v>
      </c>
      <c r="Y2079" s="53" t="str">
        <f>IF(U2079&lt;&gt;0,X2079/U2079,"")</f>
        <v/>
      </c>
      <c r="Z2079" s="23">
        <v>0</v>
      </c>
      <c r="AA2079" s="25">
        <v>0</v>
      </c>
      <c r="AB2079" s="24">
        <v>0</v>
      </c>
      <c r="AC2079" s="24">
        <f t="shared" si="584"/>
        <v>0</v>
      </c>
      <c r="AD2079" s="53" t="str">
        <f t="shared" si="585"/>
        <v/>
      </c>
      <c r="AE2079" s="10"/>
    </row>
    <row r="2080" spans="1:31" x14ac:dyDescent="0.25">
      <c r="A2080" s="14" t="s">
        <v>109</v>
      </c>
      <c r="C2080" s="61" t="str">
        <f t="shared" si="583"/>
        <v>C100115</v>
      </c>
      <c r="F2080" s="8" t="str">
        <f>"S100020"</f>
        <v>S100020</v>
      </c>
      <c r="G2080" s="9" t="str">
        <f>"Super Sport Stopwatch"</f>
        <v>Super Sport Stopwatch</v>
      </c>
      <c r="H2080" s="47"/>
      <c r="I2080" s="47"/>
      <c r="J2080" s="23">
        <v>0</v>
      </c>
      <c r="K2080" s="25">
        <v>0</v>
      </c>
      <c r="L2080" s="24">
        <v>0</v>
      </c>
      <c r="M2080" s="24">
        <f>J2080-L2080</f>
        <v>0</v>
      </c>
      <c r="N2080" s="53" t="str">
        <f>IF(J2080&lt;&gt;0,M2080/J2080,"")</f>
        <v/>
      </c>
      <c r="O2080" s="23">
        <v>2.14</v>
      </c>
      <c r="P2080" s="25">
        <v>1</v>
      </c>
      <c r="Q2080" s="24">
        <v>1.05</v>
      </c>
      <c r="R2080" s="24">
        <f>O2080-Q2080</f>
        <v>1.0900000000000001</v>
      </c>
      <c r="S2080" s="53">
        <f>IF(O2080&lt;&gt;0,R2080/O2080,"")</f>
        <v>0.50934579439252337</v>
      </c>
      <c r="T2080" s="10"/>
      <c r="U2080" s="23">
        <v>0</v>
      </c>
      <c r="V2080" s="25">
        <v>0</v>
      </c>
      <c r="W2080" s="24">
        <v>0</v>
      </c>
      <c r="X2080" s="24">
        <f>U2080-W2080</f>
        <v>0</v>
      </c>
      <c r="Y2080" s="53" t="str">
        <f>IF(U2080&lt;&gt;0,X2080/U2080,"")</f>
        <v/>
      </c>
      <c r="Z2080" s="23">
        <v>615.28</v>
      </c>
      <c r="AA2080" s="25">
        <v>288</v>
      </c>
      <c r="AB2080" s="24">
        <v>302.39999999999998</v>
      </c>
      <c r="AC2080" s="24">
        <f t="shared" si="584"/>
        <v>312.88</v>
      </c>
      <c r="AD2080" s="53">
        <f t="shared" si="585"/>
        <v>0.50851644779612537</v>
      </c>
      <c r="AE2080" s="10"/>
    </row>
    <row r="2081" spans="1:31" x14ac:dyDescent="0.25">
      <c r="A2081" s="14" t="s">
        <v>109</v>
      </c>
      <c r="C2081" s="61" t="str">
        <f t="shared" si="583"/>
        <v>C100115</v>
      </c>
      <c r="F2081" s="8" t="str">
        <f>"S100021"</f>
        <v>S100021</v>
      </c>
      <c r="G2081" s="9" t="str">
        <f>"Translucent Stopwatch"</f>
        <v>Translucent Stopwatch</v>
      </c>
      <c r="H2081" s="47"/>
      <c r="I2081" s="47"/>
      <c r="J2081" s="23">
        <v>0</v>
      </c>
      <c r="K2081" s="25">
        <v>0</v>
      </c>
      <c r="L2081" s="24">
        <v>0</v>
      </c>
      <c r="M2081" s="24">
        <f>J2081-L2081</f>
        <v>0</v>
      </c>
      <c r="N2081" s="53" t="str">
        <f>IF(J2081&lt;&gt;0,M2081/J2081,"")</f>
        <v/>
      </c>
      <c r="O2081" s="23">
        <v>585.65</v>
      </c>
      <c r="P2081" s="25">
        <v>144</v>
      </c>
      <c r="Q2081" s="24">
        <v>309.58999999999997</v>
      </c>
      <c r="R2081" s="24">
        <f>O2081-Q2081</f>
        <v>276.06</v>
      </c>
      <c r="S2081" s="53">
        <f>IF(O2081&lt;&gt;0,R2081/O2081,"")</f>
        <v>0.47137368735592933</v>
      </c>
      <c r="T2081" s="10"/>
      <c r="U2081" s="23">
        <v>0</v>
      </c>
      <c r="V2081" s="25">
        <v>0</v>
      </c>
      <c r="W2081" s="24">
        <v>0</v>
      </c>
      <c r="X2081" s="24">
        <f>U2081-W2081</f>
        <v>0</v>
      </c>
      <c r="Y2081" s="53" t="str">
        <f>IF(U2081&lt;&gt;0,X2081/U2081,"")</f>
        <v/>
      </c>
      <c r="Z2081" s="23">
        <v>585.65</v>
      </c>
      <c r="AA2081" s="25">
        <v>144</v>
      </c>
      <c r="AB2081" s="24">
        <v>309.58999999999997</v>
      </c>
      <c r="AC2081" s="24">
        <f t="shared" si="584"/>
        <v>276.06</v>
      </c>
      <c r="AD2081" s="53">
        <f t="shared" si="585"/>
        <v>0.47137368735592933</v>
      </c>
      <c r="AE2081" s="10"/>
    </row>
    <row r="2082" spans="1:31" x14ac:dyDescent="0.25">
      <c r="A2082" s="14" t="s">
        <v>109</v>
      </c>
      <c r="C2082" s="61" t="str">
        <f t="shared" si="583"/>
        <v>C100115</v>
      </c>
      <c r="F2082" s="8" t="str">
        <f>"S100023"</f>
        <v>S100023</v>
      </c>
      <c r="G2082" s="9" t="str">
        <f>"Gripper SPORT BOT"</f>
        <v>Gripper SPORT BOT</v>
      </c>
      <c r="H2082" s="47"/>
      <c r="I2082" s="47"/>
      <c r="J2082" s="23">
        <v>272.23</v>
      </c>
      <c r="K2082" s="25">
        <v>144</v>
      </c>
      <c r="L2082" s="24">
        <v>142.57999999999998</v>
      </c>
      <c r="M2082" s="24">
        <f>J2082-L2082</f>
        <v>129.65000000000003</v>
      </c>
      <c r="N2082" s="53">
        <f>IF(J2082&lt;&gt;0,M2082/J2082,"")</f>
        <v>0.47625169893105107</v>
      </c>
      <c r="O2082" s="23">
        <v>280.83000000000004</v>
      </c>
      <c r="P2082" s="25">
        <v>144</v>
      </c>
      <c r="Q2082" s="24">
        <v>142.57999999999998</v>
      </c>
      <c r="R2082" s="24">
        <f>O2082-Q2082</f>
        <v>138.25000000000006</v>
      </c>
      <c r="S2082" s="53">
        <f>IF(O2082&lt;&gt;0,R2082/O2082,"")</f>
        <v>0.49229070968201416</v>
      </c>
      <c r="T2082" s="10"/>
      <c r="U2082" s="23">
        <v>0</v>
      </c>
      <c r="V2082" s="25">
        <v>0</v>
      </c>
      <c r="W2082" s="24">
        <v>0</v>
      </c>
      <c r="X2082" s="24">
        <f>U2082-W2082</f>
        <v>0</v>
      </c>
      <c r="Y2082" s="53" t="str">
        <f>IF(U2082&lt;&gt;0,X2082/U2082,"")</f>
        <v/>
      </c>
      <c r="Z2082" s="23">
        <v>0</v>
      </c>
      <c r="AA2082" s="25">
        <v>0</v>
      </c>
      <c r="AB2082" s="24">
        <v>0</v>
      </c>
      <c r="AC2082" s="24">
        <f t="shared" si="584"/>
        <v>0</v>
      </c>
      <c r="AD2082" s="53" t="str">
        <f t="shared" si="585"/>
        <v/>
      </c>
      <c r="AE2082" s="10"/>
    </row>
    <row r="2083" spans="1:31" x14ac:dyDescent="0.25">
      <c r="A2083" s="14" t="s">
        <v>109</v>
      </c>
      <c r="C2083" s="61" t="str">
        <f t="shared" si="583"/>
        <v>C100115</v>
      </c>
      <c r="F2083" s="8" t="str">
        <f>"S100024"</f>
        <v>S100024</v>
      </c>
      <c r="G2083" s="9" t="str">
        <f>"Aluminum SPORT BOT"</f>
        <v>Aluminum SPORT BOT</v>
      </c>
      <c r="H2083" s="47"/>
      <c r="I2083" s="47"/>
      <c r="J2083" s="23">
        <v>0</v>
      </c>
      <c r="K2083" s="25">
        <v>0</v>
      </c>
      <c r="L2083" s="24">
        <v>0</v>
      </c>
      <c r="M2083" s="24">
        <f>J2083-L2083</f>
        <v>0</v>
      </c>
      <c r="N2083" s="53" t="str">
        <f>IF(J2083&lt;&gt;0,M2083/J2083,"")</f>
        <v/>
      </c>
      <c r="O2083" s="23">
        <v>498.15</v>
      </c>
      <c r="P2083" s="25">
        <v>144</v>
      </c>
      <c r="Q2083" s="24">
        <v>302.39999999999998</v>
      </c>
      <c r="R2083" s="24">
        <f>O2083-Q2083</f>
        <v>195.75</v>
      </c>
      <c r="S2083" s="53">
        <f>IF(O2083&lt;&gt;0,R2083/O2083,"")</f>
        <v>0.39295392953929542</v>
      </c>
      <c r="T2083" s="10"/>
      <c r="U2083" s="23">
        <v>0</v>
      </c>
      <c r="V2083" s="25">
        <v>0</v>
      </c>
      <c r="W2083" s="24">
        <v>0</v>
      </c>
      <c r="X2083" s="24">
        <f>U2083-W2083</f>
        <v>0</v>
      </c>
      <c r="Y2083" s="53" t="str">
        <f>IF(U2083&lt;&gt;0,X2083/U2083,"")</f>
        <v/>
      </c>
      <c r="Z2083" s="23">
        <v>996.31</v>
      </c>
      <c r="AA2083" s="25">
        <v>288</v>
      </c>
      <c r="AB2083" s="24">
        <v>604.79999999999995</v>
      </c>
      <c r="AC2083" s="24">
        <f t="shared" si="584"/>
        <v>391.51</v>
      </c>
      <c r="AD2083" s="53">
        <f t="shared" si="585"/>
        <v>0.39296002248296213</v>
      </c>
      <c r="AE2083" s="10"/>
    </row>
    <row r="2084" spans="1:31" x14ac:dyDescent="0.25">
      <c r="A2084" s="14" t="s">
        <v>109</v>
      </c>
      <c r="C2084" s="61" t="str">
        <f t="shared" si="583"/>
        <v>C100115</v>
      </c>
      <c r="F2084" s="8" t="str">
        <f>"S100026"</f>
        <v>S100026</v>
      </c>
      <c r="G2084" s="9" t="str">
        <f>"Wide SPORT BOT"</f>
        <v>Wide SPORT BOT</v>
      </c>
      <c r="H2084" s="47"/>
      <c r="I2084" s="47"/>
      <c r="J2084" s="23">
        <v>0</v>
      </c>
      <c r="K2084" s="25">
        <v>0</v>
      </c>
      <c r="L2084" s="24">
        <v>0</v>
      </c>
      <c r="M2084" s="24">
        <f>J2084-L2084</f>
        <v>0</v>
      </c>
      <c r="N2084" s="53" t="str">
        <f>IF(J2084&lt;&gt;0,M2084/J2084,"")</f>
        <v/>
      </c>
      <c r="O2084" s="23">
        <v>762.05000000000007</v>
      </c>
      <c r="P2084" s="25">
        <v>192</v>
      </c>
      <c r="Q2084" s="24">
        <v>364.87</v>
      </c>
      <c r="R2084" s="24">
        <f>O2084-Q2084</f>
        <v>397.18000000000006</v>
      </c>
      <c r="S2084" s="53">
        <f>IF(O2084&lt;&gt;0,R2084/O2084,"")</f>
        <v>0.52119939636506796</v>
      </c>
      <c r="T2084" s="10"/>
      <c r="U2084" s="23">
        <v>0</v>
      </c>
      <c r="V2084" s="25">
        <v>0</v>
      </c>
      <c r="W2084" s="24">
        <v>0</v>
      </c>
      <c r="X2084" s="24">
        <f>U2084-W2084</f>
        <v>0</v>
      </c>
      <c r="Y2084" s="53" t="str">
        <f>IF(U2084&lt;&gt;0,X2084/U2084,"")</f>
        <v/>
      </c>
      <c r="Z2084" s="23">
        <v>190.51</v>
      </c>
      <c r="AA2084" s="25">
        <v>48</v>
      </c>
      <c r="AB2084" s="24">
        <v>91.22</v>
      </c>
      <c r="AC2084" s="24">
        <f t="shared" si="584"/>
        <v>99.289999999999992</v>
      </c>
      <c r="AD2084" s="53">
        <f t="shared" si="585"/>
        <v>0.52117999055167707</v>
      </c>
      <c r="AE2084" s="10"/>
    </row>
    <row r="2085" spans="1:31" x14ac:dyDescent="0.25">
      <c r="A2085" s="14" t="s">
        <v>109</v>
      </c>
      <c r="C2085" s="61" t="str">
        <f t="shared" si="583"/>
        <v>C100115</v>
      </c>
      <c r="F2085" s="8" t="str">
        <f>"S200003"</f>
        <v>S200003</v>
      </c>
      <c r="G2085" s="9" t="str">
        <f>"5"" Male Graduate Trophy"</f>
        <v>5" Male Graduate Trophy</v>
      </c>
      <c r="H2085" s="47"/>
      <c r="I2085" s="47"/>
      <c r="J2085" s="23">
        <v>0</v>
      </c>
      <c r="K2085" s="25">
        <v>0</v>
      </c>
      <c r="L2085" s="24">
        <v>0</v>
      </c>
      <c r="M2085" s="24">
        <f>J2085-L2085</f>
        <v>0</v>
      </c>
      <c r="N2085" s="53" t="str">
        <f>IF(J2085&lt;&gt;0,M2085/J2085,"")</f>
        <v/>
      </c>
      <c r="O2085" s="23">
        <v>176.4</v>
      </c>
      <c r="P2085" s="25">
        <v>24</v>
      </c>
      <c r="Q2085" s="24">
        <v>157.44</v>
      </c>
      <c r="R2085" s="24">
        <f>O2085-Q2085</f>
        <v>18.960000000000008</v>
      </c>
      <c r="S2085" s="53">
        <f>IF(O2085&lt;&gt;0,R2085/O2085,"")</f>
        <v>0.10748299319727896</v>
      </c>
      <c r="T2085" s="10"/>
      <c r="U2085" s="23">
        <v>0</v>
      </c>
      <c r="V2085" s="25">
        <v>0</v>
      </c>
      <c r="W2085" s="24">
        <v>0</v>
      </c>
      <c r="X2085" s="24">
        <f>U2085-W2085</f>
        <v>0</v>
      </c>
      <c r="Y2085" s="53" t="str">
        <f>IF(U2085&lt;&gt;0,X2085/U2085,"")</f>
        <v/>
      </c>
      <c r="Z2085" s="23">
        <v>0</v>
      </c>
      <c r="AA2085" s="25">
        <v>0</v>
      </c>
      <c r="AB2085" s="24">
        <v>0</v>
      </c>
      <c r="AC2085" s="24">
        <f t="shared" si="584"/>
        <v>0</v>
      </c>
      <c r="AD2085" s="53" t="str">
        <f t="shared" si="585"/>
        <v/>
      </c>
      <c r="AE2085" s="10"/>
    </row>
    <row r="2086" spans="1:31" x14ac:dyDescent="0.25">
      <c r="A2086" s="14" t="s">
        <v>109</v>
      </c>
      <c r="C2086" s="61" t="str">
        <f t="shared" si="583"/>
        <v>C100115</v>
      </c>
      <c r="F2086" s="8" t="str">
        <f>"S200006"</f>
        <v>S200006</v>
      </c>
      <c r="G2086" s="9" t="str">
        <f>"3.75"" Soccer Trophy"</f>
        <v>3.75" Soccer Trophy</v>
      </c>
      <c r="H2086" s="47"/>
      <c r="I2086" s="47"/>
      <c r="J2086" s="23">
        <v>9.5</v>
      </c>
      <c r="K2086" s="25">
        <v>1</v>
      </c>
      <c r="L2086" s="24">
        <v>7.51</v>
      </c>
      <c r="M2086" s="24">
        <f>J2086-L2086</f>
        <v>1.9900000000000002</v>
      </c>
      <c r="N2086" s="53">
        <f>IF(J2086&lt;&gt;0,M2086/J2086,"")</f>
        <v>0.20947368421052634</v>
      </c>
      <c r="O2086" s="23">
        <v>0</v>
      </c>
      <c r="P2086" s="25">
        <v>0</v>
      </c>
      <c r="Q2086" s="24">
        <v>0</v>
      </c>
      <c r="R2086" s="24">
        <f>O2086-Q2086</f>
        <v>0</v>
      </c>
      <c r="S2086" s="53" t="str">
        <f>IF(O2086&lt;&gt;0,R2086/O2086,"")</f>
        <v/>
      </c>
      <c r="T2086" s="10"/>
      <c r="U2086" s="23">
        <v>0</v>
      </c>
      <c r="V2086" s="25">
        <v>0</v>
      </c>
      <c r="W2086" s="24">
        <v>0</v>
      </c>
      <c r="X2086" s="24">
        <f>U2086-W2086</f>
        <v>0</v>
      </c>
      <c r="Y2086" s="53" t="str">
        <f>IF(U2086&lt;&gt;0,X2086/U2086,"")</f>
        <v/>
      </c>
      <c r="Z2086" s="23">
        <v>0</v>
      </c>
      <c r="AA2086" s="25">
        <v>0</v>
      </c>
      <c r="AB2086" s="24">
        <v>0</v>
      </c>
      <c r="AC2086" s="24">
        <f t="shared" si="584"/>
        <v>0</v>
      </c>
      <c r="AD2086" s="53" t="str">
        <f t="shared" si="585"/>
        <v/>
      </c>
      <c r="AE2086" s="10"/>
    </row>
    <row r="2087" spans="1:31" x14ac:dyDescent="0.25">
      <c r="A2087" s="14" t="s">
        <v>109</v>
      </c>
      <c r="C2087" s="61" t="str">
        <f t="shared" si="583"/>
        <v>C100115</v>
      </c>
      <c r="F2087" s="8" t="str">
        <f>"S200012"</f>
        <v>S200012</v>
      </c>
      <c r="G2087" s="9" t="str">
        <f>"10.75"" Star Riser Apple Trophy"</f>
        <v>10.75" Star Riser Apple Trophy</v>
      </c>
      <c r="H2087" s="47"/>
      <c r="I2087" s="47"/>
      <c r="J2087" s="23">
        <v>1709.9999999999998</v>
      </c>
      <c r="K2087" s="25">
        <v>144</v>
      </c>
      <c r="L2087" s="24">
        <v>1509.12</v>
      </c>
      <c r="M2087" s="24">
        <f>J2087-L2087</f>
        <v>200.87999999999988</v>
      </c>
      <c r="N2087" s="53">
        <f>IF(J2087&lt;&gt;0,M2087/J2087,"")</f>
        <v>0.11747368421052626</v>
      </c>
      <c r="O2087" s="23">
        <v>0</v>
      </c>
      <c r="P2087" s="25">
        <v>0</v>
      </c>
      <c r="Q2087" s="24">
        <v>0</v>
      </c>
      <c r="R2087" s="24">
        <f>O2087-Q2087</f>
        <v>0</v>
      </c>
      <c r="S2087" s="53" t="str">
        <f>IF(O2087&lt;&gt;0,R2087/O2087,"")</f>
        <v/>
      </c>
      <c r="T2087" s="10"/>
      <c r="U2087" s="23">
        <v>0</v>
      </c>
      <c r="V2087" s="25">
        <v>0</v>
      </c>
      <c r="W2087" s="24">
        <v>0</v>
      </c>
      <c r="X2087" s="24">
        <f>U2087-W2087</f>
        <v>0</v>
      </c>
      <c r="Y2087" s="53" t="str">
        <f>IF(U2087&lt;&gt;0,X2087/U2087,"")</f>
        <v/>
      </c>
      <c r="Z2087" s="23">
        <v>0</v>
      </c>
      <c r="AA2087" s="25">
        <v>0</v>
      </c>
      <c r="AB2087" s="24">
        <v>0</v>
      </c>
      <c r="AC2087" s="24">
        <f t="shared" si="584"/>
        <v>0</v>
      </c>
      <c r="AD2087" s="53" t="str">
        <f t="shared" si="585"/>
        <v/>
      </c>
      <c r="AE2087" s="10"/>
    </row>
    <row r="2088" spans="1:31" x14ac:dyDescent="0.25">
      <c r="A2088" s="14" t="s">
        <v>109</v>
      </c>
      <c r="C2088" s="61" t="str">
        <f t="shared" si="583"/>
        <v>C100115</v>
      </c>
      <c r="F2088" s="8" t="str">
        <f>"S200016"</f>
        <v>S200016</v>
      </c>
      <c r="G2088" s="9" t="str">
        <f>"10.75"" Star Riser Volleyball Trophy"</f>
        <v>10.75" Star Riser Volleyball Trophy</v>
      </c>
      <c r="H2088" s="47"/>
      <c r="I2088" s="47"/>
      <c r="J2088" s="23">
        <v>1709.9999999999998</v>
      </c>
      <c r="K2088" s="25">
        <v>144</v>
      </c>
      <c r="L2088" s="24">
        <v>1429.9199999999998</v>
      </c>
      <c r="M2088" s="24">
        <f>J2088-L2088</f>
        <v>280.07999999999993</v>
      </c>
      <c r="N2088" s="53">
        <f>IF(J2088&lt;&gt;0,M2088/J2088,"")</f>
        <v>0.16378947368421051</v>
      </c>
      <c r="O2088" s="23">
        <v>0</v>
      </c>
      <c r="P2088" s="25">
        <v>0</v>
      </c>
      <c r="Q2088" s="24">
        <v>0</v>
      </c>
      <c r="R2088" s="24">
        <f>O2088-Q2088</f>
        <v>0</v>
      </c>
      <c r="S2088" s="53" t="str">
        <f>IF(O2088&lt;&gt;0,R2088/O2088,"")</f>
        <v/>
      </c>
      <c r="T2088" s="10"/>
      <c r="U2088" s="23">
        <v>0</v>
      </c>
      <c r="V2088" s="25">
        <v>0</v>
      </c>
      <c r="W2088" s="24">
        <v>0</v>
      </c>
      <c r="X2088" s="24">
        <f>U2088-W2088</f>
        <v>0</v>
      </c>
      <c r="Y2088" s="53" t="str">
        <f>IF(U2088&lt;&gt;0,X2088/U2088,"")</f>
        <v/>
      </c>
      <c r="Z2088" s="23">
        <v>0</v>
      </c>
      <c r="AA2088" s="25">
        <v>0</v>
      </c>
      <c r="AB2088" s="24">
        <v>0</v>
      </c>
      <c r="AC2088" s="24">
        <f t="shared" si="584"/>
        <v>0</v>
      </c>
      <c r="AD2088" s="53" t="str">
        <f t="shared" si="585"/>
        <v/>
      </c>
      <c r="AE2088" s="10"/>
    </row>
    <row r="2089" spans="1:31" x14ac:dyDescent="0.25">
      <c r="A2089" s="14" t="s">
        <v>109</v>
      </c>
      <c r="C2089" s="61" t="str">
        <f t="shared" si="583"/>
        <v>C100115</v>
      </c>
      <c r="F2089" s="8" t="str">
        <f>"S200019"</f>
        <v>S200019</v>
      </c>
      <c r="G2089" s="9" t="str">
        <f>"10.75"" Tourch Riser Apple Trophy"</f>
        <v>10.75" Tourch Riser Apple Trophy</v>
      </c>
      <c r="H2089" s="47"/>
      <c r="I2089" s="47"/>
      <c r="J2089" s="23">
        <v>0</v>
      </c>
      <c r="K2089" s="25">
        <v>0</v>
      </c>
      <c r="L2089" s="24">
        <v>0</v>
      </c>
      <c r="M2089" s="24">
        <f>J2089-L2089</f>
        <v>0</v>
      </c>
      <c r="N2089" s="53" t="str">
        <f>IF(J2089&lt;&gt;0,M2089/J2089,"")</f>
        <v/>
      </c>
      <c r="O2089" s="23">
        <v>705.6</v>
      </c>
      <c r="P2089" s="25">
        <v>48</v>
      </c>
      <c r="Q2089" s="24">
        <v>519.83999999999992</v>
      </c>
      <c r="R2089" s="24">
        <f>O2089-Q2089</f>
        <v>185.7600000000001</v>
      </c>
      <c r="S2089" s="53">
        <f>IF(O2089&lt;&gt;0,R2089/O2089,"")</f>
        <v>0.26326530612244914</v>
      </c>
      <c r="T2089" s="10"/>
      <c r="U2089" s="23">
        <v>0</v>
      </c>
      <c r="V2089" s="25">
        <v>0</v>
      </c>
      <c r="W2089" s="24">
        <v>0</v>
      </c>
      <c r="X2089" s="24">
        <f>U2089-W2089</f>
        <v>0</v>
      </c>
      <c r="Y2089" s="53" t="str">
        <f>IF(U2089&lt;&gt;0,X2089/U2089,"")</f>
        <v/>
      </c>
      <c r="Z2089" s="23">
        <v>0</v>
      </c>
      <c r="AA2089" s="25">
        <v>0</v>
      </c>
      <c r="AB2089" s="24">
        <v>0</v>
      </c>
      <c r="AC2089" s="24">
        <f t="shared" si="584"/>
        <v>0</v>
      </c>
      <c r="AD2089" s="53" t="str">
        <f t="shared" si="585"/>
        <v/>
      </c>
      <c r="AE2089" s="10"/>
    </row>
    <row r="2090" spans="1:31" x14ac:dyDescent="0.25">
      <c r="A2090" s="14" t="s">
        <v>109</v>
      </c>
      <c r="C2090" s="61" t="str">
        <f t="shared" si="583"/>
        <v>C100115</v>
      </c>
      <c r="F2090" s="8" t="str">
        <f>"S200023"</f>
        <v>S200023</v>
      </c>
      <c r="G2090" s="9" t="str">
        <f>"10.75"" Tourch Riser Volleyball Trophy"</f>
        <v>10.75" Tourch Riser Volleyball Trophy</v>
      </c>
      <c r="H2090" s="47"/>
      <c r="I2090" s="47"/>
      <c r="J2090" s="23">
        <v>0</v>
      </c>
      <c r="K2090" s="25">
        <v>0</v>
      </c>
      <c r="L2090" s="24">
        <v>0</v>
      </c>
      <c r="M2090" s="24">
        <f>J2090-L2090</f>
        <v>0</v>
      </c>
      <c r="N2090" s="53" t="str">
        <f>IF(J2090&lt;&gt;0,M2090/J2090,"")</f>
        <v/>
      </c>
      <c r="O2090" s="23">
        <v>3528</v>
      </c>
      <c r="P2090" s="25">
        <v>288</v>
      </c>
      <c r="Q2090" s="24">
        <v>2960.64</v>
      </c>
      <c r="R2090" s="24">
        <f>O2090-Q2090</f>
        <v>567.36000000000013</v>
      </c>
      <c r="S2090" s="53">
        <f>IF(O2090&lt;&gt;0,R2090/O2090,"")</f>
        <v>0.16081632653061229</v>
      </c>
      <c r="T2090" s="10"/>
      <c r="U2090" s="23">
        <v>0</v>
      </c>
      <c r="V2090" s="25">
        <v>0</v>
      </c>
      <c r="W2090" s="24">
        <v>0</v>
      </c>
      <c r="X2090" s="24">
        <f>U2090-W2090</f>
        <v>0</v>
      </c>
      <c r="Y2090" s="53" t="str">
        <f>IF(U2090&lt;&gt;0,X2090/U2090,"")</f>
        <v/>
      </c>
      <c r="Z2090" s="23">
        <v>0</v>
      </c>
      <c r="AA2090" s="25">
        <v>0</v>
      </c>
      <c r="AB2090" s="24">
        <v>0</v>
      </c>
      <c r="AC2090" s="24">
        <f t="shared" si="584"/>
        <v>0</v>
      </c>
      <c r="AD2090" s="53" t="str">
        <f t="shared" si="585"/>
        <v/>
      </c>
      <c r="AE2090" s="10"/>
    </row>
    <row r="2091" spans="1:31" x14ac:dyDescent="0.25">
      <c r="A2091" s="14" t="s">
        <v>109</v>
      </c>
      <c r="C2091" s="61" t="str">
        <f t="shared" si="583"/>
        <v>C100115</v>
      </c>
      <c r="F2091" s="8" t="str">
        <f>"S200031"</f>
        <v>S200031</v>
      </c>
      <c r="G2091" s="9" t="str">
        <f>"10.75"" Column Wrestling Trophy"</f>
        <v>10.75" Column Wrestling Trophy</v>
      </c>
      <c r="H2091" s="47"/>
      <c r="I2091" s="47"/>
      <c r="J2091" s="23">
        <v>2052</v>
      </c>
      <c r="K2091" s="25">
        <v>144</v>
      </c>
      <c r="L2091" s="24">
        <v>1547.9999999999998</v>
      </c>
      <c r="M2091" s="24">
        <f>J2091-L2091</f>
        <v>504.00000000000023</v>
      </c>
      <c r="N2091" s="53">
        <f>IF(J2091&lt;&gt;0,M2091/J2091,"")</f>
        <v>0.2456140350877194</v>
      </c>
      <c r="O2091" s="23">
        <v>0</v>
      </c>
      <c r="P2091" s="25">
        <v>0</v>
      </c>
      <c r="Q2091" s="24">
        <v>0</v>
      </c>
      <c r="R2091" s="24">
        <f>O2091-Q2091</f>
        <v>0</v>
      </c>
      <c r="S2091" s="53" t="str">
        <f>IF(O2091&lt;&gt;0,R2091/O2091,"")</f>
        <v/>
      </c>
      <c r="T2091" s="10"/>
      <c r="U2091" s="23">
        <v>0</v>
      </c>
      <c r="V2091" s="25">
        <v>0</v>
      </c>
      <c r="W2091" s="24">
        <v>0</v>
      </c>
      <c r="X2091" s="24">
        <f>U2091-W2091</f>
        <v>0</v>
      </c>
      <c r="Y2091" s="53" t="str">
        <f>IF(U2091&lt;&gt;0,X2091/U2091,"")</f>
        <v/>
      </c>
      <c r="Z2091" s="23">
        <v>0</v>
      </c>
      <c r="AA2091" s="25">
        <v>0</v>
      </c>
      <c r="AB2091" s="24">
        <v>0</v>
      </c>
      <c r="AC2091" s="24">
        <f t="shared" si="584"/>
        <v>0</v>
      </c>
      <c r="AD2091" s="53" t="str">
        <f t="shared" si="585"/>
        <v/>
      </c>
      <c r="AE2091" s="10"/>
    </row>
    <row r="2092" spans="1:31" ht="15.75" thickBot="1" x14ac:dyDescent="0.3">
      <c r="A2092" s="14" t="s">
        <v>109</v>
      </c>
      <c r="C2092" s="61" t="str">
        <f>C2039</f>
        <v>C100115</v>
      </c>
      <c r="J2092" s="10"/>
      <c r="K2092" s="11"/>
      <c r="L2092" s="11"/>
      <c r="M2092" s="11"/>
      <c r="N2092" s="12"/>
      <c r="O2092" s="10"/>
      <c r="P2092" s="11"/>
      <c r="Q2092" s="11"/>
      <c r="R2092" s="11"/>
      <c r="S2092" s="12"/>
      <c r="U2092" s="10"/>
      <c r="V2092" s="11"/>
      <c r="W2092" s="11"/>
      <c r="X2092" s="11"/>
      <c r="Y2092" s="12"/>
      <c r="Z2092" s="10"/>
      <c r="AA2092" s="11"/>
      <c r="AB2092" s="11"/>
      <c r="AC2092" s="11"/>
      <c r="AD2092" s="12"/>
    </row>
    <row r="2093" spans="1:31" ht="15.75" thickBot="1" x14ac:dyDescent="0.3">
      <c r="A2093" s="14" t="s">
        <v>109</v>
      </c>
      <c r="C2093" s="61" t="str">
        <f t="shared" si="580"/>
        <v>C100115</v>
      </c>
      <c r="G2093" s="48" t="str">
        <f>C2093&amp;" TOTAL:"</f>
        <v>C100115 TOTAL:</v>
      </c>
      <c r="H2093" s="50"/>
      <c r="I2093" s="50"/>
      <c r="J2093" s="34">
        <f>SUBTOTAL(9,J2038:J2092)</f>
        <v>10527.74</v>
      </c>
      <c r="K2093" s="35">
        <f>SUBTOTAL(9,K2038:K2092)</f>
        <v>2355</v>
      </c>
      <c r="L2093" s="36">
        <f>SUBTOTAL(9,L2038:L2092)</f>
        <v>7376.3899999999994</v>
      </c>
      <c r="M2093" s="36">
        <f>J2093-L2093</f>
        <v>3151.3500000000004</v>
      </c>
      <c r="N2093" s="37">
        <f>IF(J2093&lt;&gt;0,M2093/J2093,"")</f>
        <v>0.29933774960247883</v>
      </c>
      <c r="O2093" s="34">
        <f>SUBTOTAL(9,O2038:O2092)</f>
        <v>16442.64</v>
      </c>
      <c r="P2093" s="35">
        <f>SUBTOTAL(9,P2038:P2092)</f>
        <v>4988</v>
      </c>
      <c r="Q2093" s="36">
        <f>SUBTOTAL(9,Q2038:Q2092)</f>
        <v>10188.73</v>
      </c>
      <c r="R2093" s="36">
        <f>O2093-Q2093</f>
        <v>6253.91</v>
      </c>
      <c r="S2093" s="37">
        <f>IF(O2093&lt;&gt;0,R2093/O2093,"")</f>
        <v>0.38034707321938571</v>
      </c>
      <c r="U2093" s="34">
        <f>SUBTOTAL(9,U2038:U2092)</f>
        <v>0</v>
      </c>
      <c r="V2093" s="35">
        <f>SUBTOTAL(9,V2038:V2092)</f>
        <v>0</v>
      </c>
      <c r="W2093" s="36">
        <f>SUBTOTAL(9,W2038:W2092)</f>
        <v>0</v>
      </c>
      <c r="X2093" s="36">
        <f>U2093-W2093</f>
        <v>0</v>
      </c>
      <c r="Y2093" s="37" t="str">
        <f>IF(U2093&lt;&gt;0,X2093/U2093,"")</f>
        <v/>
      </c>
      <c r="Z2093" s="34">
        <f>SUBTOTAL(9,Z2038:Z2092)</f>
        <v>6496.8600000000006</v>
      </c>
      <c r="AA2093" s="35">
        <f>SUBTOTAL(9,AA2038:AA2092)</f>
        <v>2318</v>
      </c>
      <c r="AB2093" s="36">
        <f>SUBTOTAL(9,AB2038:AB2092)</f>
        <v>3557.36</v>
      </c>
      <c r="AC2093" s="36">
        <f t="shared" ref="AC2093" si="586">Z2093-AB2093</f>
        <v>2939.5000000000005</v>
      </c>
      <c r="AD2093" s="37">
        <f t="shared" ref="AD2093" si="587">IF(Z2093&lt;&gt;0,AC2093/Z2093,"")</f>
        <v>0.45244933706436652</v>
      </c>
    </row>
    <row r="2094" spans="1:31" x14ac:dyDescent="0.25">
      <c r="A2094" s="14" t="s">
        <v>109</v>
      </c>
      <c r="C2094" s="66"/>
      <c r="J2094" s="10"/>
      <c r="K2094" s="11"/>
      <c r="L2094" s="11"/>
      <c r="M2094" s="11"/>
      <c r="N2094" s="12"/>
      <c r="O2094" s="10"/>
      <c r="P2094" s="11"/>
      <c r="Q2094" s="11"/>
      <c r="R2094" s="11"/>
      <c r="S2094" s="12"/>
      <c r="U2094" s="10"/>
      <c r="V2094" s="11"/>
      <c r="W2094" s="11"/>
      <c r="X2094" s="11"/>
      <c r="Y2094" s="12"/>
      <c r="Z2094" s="10"/>
      <c r="AA2094" s="11"/>
      <c r="AB2094" s="11"/>
      <c r="AC2094" s="11"/>
      <c r="AD2094" s="12"/>
    </row>
    <row r="2095" spans="1:31" ht="15.75" x14ac:dyDescent="0.25">
      <c r="A2095" s="14" t="s">
        <v>109</v>
      </c>
      <c r="C2095" s="66" t="str">
        <f t="shared" ref="C2095" si="588">E2095</f>
        <v>C100116</v>
      </c>
      <c r="E2095" s="13" t="str">
        <f>"C100116"</f>
        <v>C100116</v>
      </c>
      <c r="F2095" s="13"/>
      <c r="G2095" s="13" t="str">
        <f>"Sumtones, AG"</f>
        <v>Sumtones, AG</v>
      </c>
      <c r="H2095" s="13"/>
      <c r="I2095" s="13"/>
      <c r="J2095" s="10"/>
      <c r="K2095" s="11"/>
      <c r="L2095" s="11"/>
      <c r="M2095" s="11"/>
      <c r="N2095" s="12"/>
      <c r="O2095" s="10"/>
      <c r="P2095" s="11"/>
      <c r="Q2095" s="11"/>
      <c r="R2095" s="11"/>
      <c r="S2095" s="12"/>
      <c r="U2095" s="10"/>
      <c r="V2095" s="11"/>
      <c r="W2095" s="11"/>
      <c r="X2095" s="11"/>
      <c r="Y2095" s="12"/>
      <c r="Z2095" s="10"/>
      <c r="AA2095" s="11"/>
      <c r="AB2095" s="11"/>
      <c r="AC2095" s="11"/>
      <c r="AD2095" s="12"/>
    </row>
    <row r="2096" spans="1:31" ht="6.6" customHeight="1" x14ac:dyDescent="0.25">
      <c r="A2096" s="14" t="s">
        <v>109</v>
      </c>
      <c r="C2096" s="61" t="str">
        <f t="shared" ref="C2096:C2131" si="589">C2095</f>
        <v>C100116</v>
      </c>
      <c r="J2096" s="10"/>
      <c r="K2096" s="11"/>
      <c r="L2096" s="11"/>
      <c r="M2096" s="11"/>
      <c r="N2096" s="12"/>
      <c r="O2096" s="10"/>
      <c r="P2096" s="11"/>
      <c r="Q2096" s="11"/>
      <c r="R2096" s="11"/>
      <c r="S2096" s="12"/>
      <c r="U2096" s="10"/>
      <c r="V2096" s="11"/>
      <c r="W2096" s="11"/>
      <c r="X2096" s="11"/>
      <c r="Y2096" s="12"/>
      <c r="Z2096" s="10"/>
      <c r="AA2096" s="11"/>
      <c r="AB2096" s="11"/>
      <c r="AC2096" s="11"/>
      <c r="AD2096" s="12"/>
    </row>
    <row r="2097" spans="1:31" x14ac:dyDescent="0.25">
      <c r="A2097" s="14" t="s">
        <v>109</v>
      </c>
      <c r="C2097" s="61" t="str">
        <f t="shared" si="589"/>
        <v>C100116</v>
      </c>
      <c r="F2097" s="8" t="str">
        <f>"C100003"</f>
        <v>C100003</v>
      </c>
      <c r="G2097" s="9" t="str">
        <f>"Cherry Finish Frame"</f>
        <v>Cherry Finish Frame</v>
      </c>
      <c r="H2097" s="47"/>
      <c r="I2097" s="47"/>
      <c r="J2097" s="23">
        <v>65.849999999999994</v>
      </c>
      <c r="K2097" s="25">
        <v>1</v>
      </c>
      <c r="L2097" s="24">
        <v>32.64</v>
      </c>
      <c r="M2097" s="24">
        <f>J2097-L2097</f>
        <v>33.209999999999994</v>
      </c>
      <c r="N2097" s="53">
        <f>IF(J2097&lt;&gt;0,M2097/J2097,"")</f>
        <v>0.50432801822323459</v>
      </c>
      <c r="O2097" s="23">
        <v>-66.53</v>
      </c>
      <c r="P2097" s="25">
        <v>-1</v>
      </c>
      <c r="Q2097" s="24">
        <v>-32.64</v>
      </c>
      <c r="R2097" s="24">
        <f>O2097-Q2097</f>
        <v>-33.89</v>
      </c>
      <c r="S2097" s="53">
        <f>IF(O2097&lt;&gt;0,R2097/O2097,"")</f>
        <v>0.50939425822937023</v>
      </c>
      <c r="T2097" s="10"/>
      <c r="U2097" s="23">
        <v>0</v>
      </c>
      <c r="V2097" s="25">
        <v>0</v>
      </c>
      <c r="W2097" s="24">
        <v>0</v>
      </c>
      <c r="X2097" s="24">
        <f>U2097-W2097</f>
        <v>0</v>
      </c>
      <c r="Y2097" s="53" t="str">
        <f>IF(U2097&lt;&gt;0,X2097/U2097,"")</f>
        <v/>
      </c>
      <c r="Z2097" s="23">
        <v>12840.619999999999</v>
      </c>
      <c r="AA2097" s="25">
        <v>193</v>
      </c>
      <c r="AB2097" s="24">
        <v>6299.5099999999993</v>
      </c>
      <c r="AC2097" s="24">
        <f t="shared" ref="AC2097" si="590">Z2097-AB2097</f>
        <v>6541.11</v>
      </c>
      <c r="AD2097" s="53">
        <f t="shared" ref="AD2097" si="591">IF(Z2097&lt;&gt;0,AC2097/Z2097,"")</f>
        <v>0.50940764542522088</v>
      </c>
      <c r="AE2097" s="10"/>
    </row>
    <row r="2098" spans="1:31" x14ac:dyDescent="0.25">
      <c r="A2098" s="14" t="s">
        <v>109</v>
      </c>
      <c r="C2098" s="61" t="str">
        <f t="shared" ref="C2098:C2129" si="592">C2097</f>
        <v>C100116</v>
      </c>
      <c r="F2098" s="8" t="str">
        <f>"C100004"</f>
        <v>C100004</v>
      </c>
      <c r="G2098" s="9" t="str">
        <f>"Walnut Medallian Plate"</f>
        <v>Walnut Medallian Plate</v>
      </c>
      <c r="H2098" s="47"/>
      <c r="I2098" s="47"/>
      <c r="J2098" s="23">
        <v>57.580000000000005</v>
      </c>
      <c r="K2098" s="25">
        <v>1</v>
      </c>
      <c r="L2098" s="24">
        <v>30.6</v>
      </c>
      <c r="M2098" s="24">
        <f>J2098-L2098</f>
        <v>26.980000000000004</v>
      </c>
      <c r="N2098" s="53">
        <f>IF(J2098&lt;&gt;0,M2098/J2098,"")</f>
        <v>0.4685654741229594</v>
      </c>
      <c r="O2098" s="23">
        <v>0</v>
      </c>
      <c r="P2098" s="25">
        <v>0</v>
      </c>
      <c r="Q2098" s="24">
        <v>0</v>
      </c>
      <c r="R2098" s="24">
        <f>O2098-Q2098</f>
        <v>0</v>
      </c>
      <c r="S2098" s="53" t="str">
        <f>IF(O2098&lt;&gt;0,R2098/O2098,"")</f>
        <v/>
      </c>
      <c r="T2098" s="10"/>
      <c r="U2098" s="23">
        <v>0</v>
      </c>
      <c r="V2098" s="25">
        <v>0</v>
      </c>
      <c r="W2098" s="24">
        <v>0</v>
      </c>
      <c r="X2098" s="24">
        <f>U2098-W2098</f>
        <v>0</v>
      </c>
      <c r="Y2098" s="53" t="str">
        <f>IF(U2098&lt;&gt;0,X2098/U2098,"")</f>
        <v/>
      </c>
      <c r="Z2098" s="23">
        <v>0</v>
      </c>
      <c r="AA2098" s="25">
        <v>0</v>
      </c>
      <c r="AB2098" s="24">
        <v>0</v>
      </c>
      <c r="AC2098" s="24">
        <f t="shared" ref="AC2098:AC2129" si="593">Z2098-AB2098</f>
        <v>0</v>
      </c>
      <c r="AD2098" s="53" t="str">
        <f t="shared" ref="AD2098:AD2129" si="594">IF(Z2098&lt;&gt;0,AC2098/Z2098,"")</f>
        <v/>
      </c>
      <c r="AE2098" s="10"/>
    </row>
    <row r="2099" spans="1:31" x14ac:dyDescent="0.25">
      <c r="A2099" s="14" t="s">
        <v>109</v>
      </c>
      <c r="C2099" s="61" t="str">
        <f t="shared" si="592"/>
        <v>C100116</v>
      </c>
      <c r="F2099" s="8" t="str">
        <f>"C100014"</f>
        <v>C100014</v>
      </c>
      <c r="G2099" s="9" t="str">
        <f>"Canvas Field Bag"</f>
        <v>Canvas Field Bag</v>
      </c>
      <c r="H2099" s="47"/>
      <c r="I2099" s="47"/>
      <c r="J2099" s="23">
        <v>54.470000000000006</v>
      </c>
      <c r="K2099" s="25">
        <v>6</v>
      </c>
      <c r="L2099" s="24">
        <v>27.54</v>
      </c>
      <c r="M2099" s="24">
        <f>J2099-L2099</f>
        <v>26.930000000000007</v>
      </c>
      <c r="N2099" s="53">
        <f>IF(J2099&lt;&gt;0,M2099/J2099,"")</f>
        <v>0.49440058747934651</v>
      </c>
      <c r="O2099" s="23">
        <v>0</v>
      </c>
      <c r="P2099" s="25">
        <v>0</v>
      </c>
      <c r="Q2099" s="24">
        <v>0</v>
      </c>
      <c r="R2099" s="24">
        <f>O2099-Q2099</f>
        <v>0</v>
      </c>
      <c r="S2099" s="53" t="str">
        <f>IF(O2099&lt;&gt;0,R2099/O2099,"")</f>
        <v/>
      </c>
      <c r="T2099" s="10"/>
      <c r="U2099" s="23">
        <v>2641.62</v>
      </c>
      <c r="V2099" s="25">
        <v>288</v>
      </c>
      <c r="W2099" s="24">
        <v>1321.92</v>
      </c>
      <c r="X2099" s="24">
        <f>U2099-W2099</f>
        <v>1319.6999999999998</v>
      </c>
      <c r="Y2099" s="53">
        <f>IF(U2099&lt;&gt;0,X2099/U2099,"")</f>
        <v>0.49957980330251889</v>
      </c>
      <c r="Z2099" s="23">
        <v>1320.81</v>
      </c>
      <c r="AA2099" s="25">
        <v>144</v>
      </c>
      <c r="AB2099" s="24">
        <v>660.96</v>
      </c>
      <c r="AC2099" s="24">
        <f t="shared" si="593"/>
        <v>659.84999999999991</v>
      </c>
      <c r="AD2099" s="53">
        <f t="shared" si="594"/>
        <v>0.49957980330251889</v>
      </c>
      <c r="AE2099" s="10"/>
    </row>
    <row r="2100" spans="1:31" x14ac:dyDescent="0.25">
      <c r="A2100" s="14" t="s">
        <v>109</v>
      </c>
      <c r="C2100" s="61" t="str">
        <f t="shared" si="592"/>
        <v>C100116</v>
      </c>
      <c r="F2100" s="8" t="str">
        <f>"C100017"</f>
        <v>C100017</v>
      </c>
      <c r="G2100" s="9" t="str">
        <f>"Wheeled Duffel"</f>
        <v>Wheeled Duffel</v>
      </c>
      <c r="H2100" s="47"/>
      <c r="I2100" s="47"/>
      <c r="J2100" s="23">
        <v>9001.4699999999993</v>
      </c>
      <c r="K2100" s="25">
        <v>48</v>
      </c>
      <c r="L2100" s="24">
        <v>4858.5600000000004</v>
      </c>
      <c r="M2100" s="24">
        <f>J2100-L2100</f>
        <v>4142.9099999999989</v>
      </c>
      <c r="N2100" s="53">
        <f>IF(J2100&lt;&gt;0,M2100/J2100,"")</f>
        <v>0.46024815946728692</v>
      </c>
      <c r="O2100" s="23">
        <v>0</v>
      </c>
      <c r="P2100" s="25">
        <v>0</v>
      </c>
      <c r="Q2100" s="24">
        <v>0</v>
      </c>
      <c r="R2100" s="24">
        <f>O2100-Q2100</f>
        <v>0</v>
      </c>
      <c r="S2100" s="53" t="str">
        <f>IF(O2100&lt;&gt;0,R2100/O2100,"")</f>
        <v/>
      </c>
      <c r="T2100" s="10"/>
      <c r="U2100" s="23">
        <v>0</v>
      </c>
      <c r="V2100" s="25">
        <v>0</v>
      </c>
      <c r="W2100" s="24">
        <v>0</v>
      </c>
      <c r="X2100" s="24">
        <f>U2100-W2100</f>
        <v>0</v>
      </c>
      <c r="Y2100" s="53" t="str">
        <f>IF(U2100&lt;&gt;0,X2100/U2100,"")</f>
        <v/>
      </c>
      <c r="Z2100" s="23">
        <v>0</v>
      </c>
      <c r="AA2100" s="25">
        <v>0</v>
      </c>
      <c r="AB2100" s="24">
        <v>0</v>
      </c>
      <c r="AC2100" s="24">
        <f t="shared" si="593"/>
        <v>0</v>
      </c>
      <c r="AD2100" s="53" t="str">
        <f t="shared" si="594"/>
        <v/>
      </c>
      <c r="AE2100" s="10"/>
    </row>
    <row r="2101" spans="1:31" x14ac:dyDescent="0.25">
      <c r="A2101" s="14" t="s">
        <v>109</v>
      </c>
      <c r="C2101" s="61" t="str">
        <f t="shared" si="592"/>
        <v>C100116</v>
      </c>
      <c r="F2101" s="8" t="str">
        <f>"C100019"</f>
        <v>C100019</v>
      </c>
      <c r="G2101" s="9" t="str">
        <f>"Black Duffel Bag"</f>
        <v>Black Duffel Bag</v>
      </c>
      <c r="H2101" s="47"/>
      <c r="I2101" s="47"/>
      <c r="J2101" s="23">
        <v>0</v>
      </c>
      <c r="K2101" s="25">
        <v>0</v>
      </c>
      <c r="L2101" s="24">
        <v>0</v>
      </c>
      <c r="M2101" s="24">
        <f>J2101-L2101</f>
        <v>0</v>
      </c>
      <c r="N2101" s="53" t="str">
        <f>IF(J2101&lt;&gt;0,M2101/J2101,"")</f>
        <v/>
      </c>
      <c r="O2101" s="23">
        <v>828.97</v>
      </c>
      <c r="P2101" s="25">
        <v>12</v>
      </c>
      <c r="Q2101" s="24">
        <v>512.64</v>
      </c>
      <c r="R2101" s="24">
        <f>O2101-Q2101</f>
        <v>316.33000000000004</v>
      </c>
      <c r="S2101" s="53">
        <f>IF(O2101&lt;&gt;0,R2101/O2101,"")</f>
        <v>0.3815940263218211</v>
      </c>
      <c r="T2101" s="10"/>
      <c r="U2101" s="23">
        <v>1657.94</v>
      </c>
      <c r="V2101" s="25">
        <v>24</v>
      </c>
      <c r="W2101" s="24">
        <v>1025.28</v>
      </c>
      <c r="X2101" s="24">
        <f>U2101-W2101</f>
        <v>632.66000000000008</v>
      </c>
      <c r="Y2101" s="53">
        <f>IF(U2101&lt;&gt;0,X2101/U2101,"")</f>
        <v>0.3815940263218211</v>
      </c>
      <c r="Z2101" s="23">
        <v>0</v>
      </c>
      <c r="AA2101" s="25">
        <v>0</v>
      </c>
      <c r="AB2101" s="24">
        <v>0</v>
      </c>
      <c r="AC2101" s="24">
        <f t="shared" si="593"/>
        <v>0</v>
      </c>
      <c r="AD2101" s="53" t="str">
        <f t="shared" si="594"/>
        <v/>
      </c>
      <c r="AE2101" s="10"/>
    </row>
    <row r="2102" spans="1:31" x14ac:dyDescent="0.25">
      <c r="A2102" s="14" t="s">
        <v>109</v>
      </c>
      <c r="C2102" s="61" t="str">
        <f t="shared" si="592"/>
        <v>C100116</v>
      </c>
      <c r="F2102" s="8" t="str">
        <f>"C100020"</f>
        <v>C100020</v>
      </c>
      <c r="G2102" s="9" t="str">
        <f>"Gym Locker Bag"</f>
        <v>Gym Locker Bag</v>
      </c>
      <c r="H2102" s="47"/>
      <c r="I2102" s="47"/>
      <c r="J2102" s="23">
        <v>1934.5200000000002</v>
      </c>
      <c r="K2102" s="25">
        <v>144</v>
      </c>
      <c r="L2102" s="24">
        <v>1114.5600000000002</v>
      </c>
      <c r="M2102" s="24">
        <f>J2102-L2102</f>
        <v>819.96</v>
      </c>
      <c r="N2102" s="53">
        <f>IF(J2102&lt;&gt;0,M2102/J2102,"")</f>
        <v>0.42385708082625145</v>
      </c>
      <c r="O2102" s="23">
        <v>1954.47</v>
      </c>
      <c r="P2102" s="25">
        <v>144</v>
      </c>
      <c r="Q2102" s="24">
        <v>1114.5600000000002</v>
      </c>
      <c r="R2102" s="24">
        <f>O2102-Q2102</f>
        <v>839.90999999999985</v>
      </c>
      <c r="S2102" s="53">
        <f>IF(O2102&lt;&gt;0,R2102/O2102,"")</f>
        <v>0.42973798523384849</v>
      </c>
      <c r="T2102" s="10"/>
      <c r="U2102" s="23">
        <v>0</v>
      </c>
      <c r="V2102" s="25">
        <v>0</v>
      </c>
      <c r="W2102" s="24">
        <v>0</v>
      </c>
      <c r="X2102" s="24">
        <f>U2102-W2102</f>
        <v>0</v>
      </c>
      <c r="Y2102" s="53" t="str">
        <f>IF(U2102&lt;&gt;0,X2102/U2102,"")</f>
        <v/>
      </c>
      <c r="Z2102" s="23">
        <v>13.58</v>
      </c>
      <c r="AA2102" s="25">
        <v>1</v>
      </c>
      <c r="AB2102" s="24">
        <v>7.74</v>
      </c>
      <c r="AC2102" s="24">
        <f t="shared" si="593"/>
        <v>5.84</v>
      </c>
      <c r="AD2102" s="53">
        <f t="shared" si="594"/>
        <v>0.43004418262150218</v>
      </c>
      <c r="AE2102" s="10"/>
    </row>
    <row r="2103" spans="1:31" x14ac:dyDescent="0.25">
      <c r="A2103" s="14" t="s">
        <v>109</v>
      </c>
      <c r="C2103" s="61" t="str">
        <f t="shared" si="592"/>
        <v>C100116</v>
      </c>
      <c r="F2103" s="8" t="str">
        <f>"C100022"</f>
        <v>C100022</v>
      </c>
      <c r="G2103" s="9" t="str">
        <f>"Two-Toned Cap"</f>
        <v>Two-Toned Cap</v>
      </c>
      <c r="H2103" s="47"/>
      <c r="I2103" s="47"/>
      <c r="J2103" s="23">
        <v>3.12</v>
      </c>
      <c r="K2103" s="25">
        <v>1</v>
      </c>
      <c r="L2103" s="24">
        <v>1.61</v>
      </c>
      <c r="M2103" s="24">
        <f>J2103-L2103</f>
        <v>1.51</v>
      </c>
      <c r="N2103" s="53">
        <f>IF(J2103&lt;&gt;0,M2103/J2103,"")</f>
        <v>0.48397435897435898</v>
      </c>
      <c r="O2103" s="23">
        <v>451.66</v>
      </c>
      <c r="P2103" s="25">
        <v>144</v>
      </c>
      <c r="Q2103" s="24">
        <v>231.82999999999998</v>
      </c>
      <c r="R2103" s="24">
        <f>O2103-Q2103</f>
        <v>219.83000000000004</v>
      </c>
      <c r="S2103" s="53">
        <f>IF(O2103&lt;&gt;0,R2103/O2103,"")</f>
        <v>0.48671567108001601</v>
      </c>
      <c r="T2103" s="10"/>
      <c r="U2103" s="23">
        <v>0</v>
      </c>
      <c r="V2103" s="25">
        <v>0</v>
      </c>
      <c r="W2103" s="24">
        <v>0</v>
      </c>
      <c r="X2103" s="24">
        <f>U2103-W2103</f>
        <v>0</v>
      </c>
      <c r="Y2103" s="53" t="str">
        <f>IF(U2103&lt;&gt;0,X2103/U2103,"")</f>
        <v/>
      </c>
      <c r="Z2103" s="23">
        <v>0</v>
      </c>
      <c r="AA2103" s="25">
        <v>0</v>
      </c>
      <c r="AB2103" s="24">
        <v>0</v>
      </c>
      <c r="AC2103" s="24">
        <f t="shared" si="593"/>
        <v>0</v>
      </c>
      <c r="AD2103" s="53" t="str">
        <f t="shared" si="594"/>
        <v/>
      </c>
      <c r="AE2103" s="10"/>
    </row>
    <row r="2104" spans="1:31" x14ac:dyDescent="0.25">
      <c r="A2104" s="14" t="s">
        <v>109</v>
      </c>
      <c r="C2104" s="61" t="str">
        <f t="shared" si="592"/>
        <v>C100116</v>
      </c>
      <c r="F2104" s="8" t="str">
        <f>"C100024"</f>
        <v>C100024</v>
      </c>
      <c r="G2104" s="9" t="str">
        <f>"Knit Hat with Bill"</f>
        <v>Knit Hat with Bill</v>
      </c>
      <c r="H2104" s="47"/>
      <c r="I2104" s="47"/>
      <c r="J2104" s="23">
        <v>745.94999999999993</v>
      </c>
      <c r="K2104" s="25">
        <v>144</v>
      </c>
      <c r="L2104" s="24">
        <v>432</v>
      </c>
      <c r="M2104" s="24">
        <f>J2104-L2104</f>
        <v>313.94999999999993</v>
      </c>
      <c r="N2104" s="53">
        <f>IF(J2104&lt;&gt;0,M2104/J2104,"")</f>
        <v>0.42087271264830078</v>
      </c>
      <c r="O2104" s="23">
        <v>0</v>
      </c>
      <c r="P2104" s="25">
        <v>0</v>
      </c>
      <c r="Q2104" s="24">
        <v>0</v>
      </c>
      <c r="R2104" s="24">
        <f>O2104-Q2104</f>
        <v>0</v>
      </c>
      <c r="S2104" s="53" t="str">
        <f>IF(O2104&lt;&gt;0,R2104/O2104,"")</f>
        <v/>
      </c>
      <c r="T2104" s="10"/>
      <c r="U2104" s="23">
        <v>1507.3</v>
      </c>
      <c r="V2104" s="25">
        <v>288</v>
      </c>
      <c r="W2104" s="24">
        <v>863.99</v>
      </c>
      <c r="X2104" s="24">
        <f>U2104-W2104</f>
        <v>643.30999999999995</v>
      </c>
      <c r="Y2104" s="53">
        <f>IF(U2104&lt;&gt;0,X2104/U2104,"")</f>
        <v>0.42679625821004441</v>
      </c>
      <c r="Z2104" s="23">
        <v>753.65</v>
      </c>
      <c r="AA2104" s="25">
        <v>144</v>
      </c>
      <c r="AB2104" s="24">
        <v>432</v>
      </c>
      <c r="AC2104" s="24">
        <f t="shared" si="593"/>
        <v>321.64999999999998</v>
      </c>
      <c r="AD2104" s="53">
        <f t="shared" si="594"/>
        <v>0.42678962383069063</v>
      </c>
      <c r="AE2104" s="10"/>
    </row>
    <row r="2105" spans="1:31" x14ac:dyDescent="0.25">
      <c r="A2105" s="14" t="s">
        <v>109</v>
      </c>
      <c r="C2105" s="61" t="str">
        <f t="shared" si="592"/>
        <v>C100116</v>
      </c>
      <c r="F2105" s="8" t="str">
        <f>"C100026"</f>
        <v>C100026</v>
      </c>
      <c r="G2105" s="9" t="str">
        <f>"Fleece Beanie"</f>
        <v>Fleece Beanie</v>
      </c>
      <c r="H2105" s="47"/>
      <c r="I2105" s="47"/>
      <c r="J2105" s="23">
        <v>435.71000000000004</v>
      </c>
      <c r="K2105" s="25">
        <v>144</v>
      </c>
      <c r="L2105" s="24">
        <v>287.99</v>
      </c>
      <c r="M2105" s="24">
        <f>J2105-L2105</f>
        <v>147.72000000000003</v>
      </c>
      <c r="N2105" s="53">
        <f>IF(J2105&lt;&gt;0,M2105/J2105,"")</f>
        <v>0.33903284294599623</v>
      </c>
      <c r="O2105" s="23">
        <v>883.48</v>
      </c>
      <c r="P2105" s="25">
        <v>289</v>
      </c>
      <c r="Q2105" s="24">
        <v>577.97</v>
      </c>
      <c r="R2105" s="24">
        <f>O2105-Q2105</f>
        <v>305.51</v>
      </c>
      <c r="S2105" s="53">
        <f>IF(O2105&lt;&gt;0,R2105/O2105,"")</f>
        <v>0.34580296101779323</v>
      </c>
      <c r="T2105" s="10"/>
      <c r="U2105" s="23">
        <v>880.41</v>
      </c>
      <c r="V2105" s="25">
        <v>288</v>
      </c>
      <c r="W2105" s="24">
        <v>575.97</v>
      </c>
      <c r="X2105" s="24">
        <f>U2105-W2105</f>
        <v>304.43999999999994</v>
      </c>
      <c r="Y2105" s="53">
        <f>IF(U2105&lt;&gt;0,X2105/U2105,"")</f>
        <v>0.34579343714860117</v>
      </c>
      <c r="Z2105" s="23">
        <v>0</v>
      </c>
      <c r="AA2105" s="25">
        <v>0</v>
      </c>
      <c r="AB2105" s="24">
        <v>0</v>
      </c>
      <c r="AC2105" s="24">
        <f t="shared" si="593"/>
        <v>0</v>
      </c>
      <c r="AD2105" s="53" t="str">
        <f t="shared" si="594"/>
        <v/>
      </c>
      <c r="AE2105" s="10"/>
    </row>
    <row r="2106" spans="1:31" x14ac:dyDescent="0.25">
      <c r="A2106" s="14" t="s">
        <v>109</v>
      </c>
      <c r="C2106" s="61" t="str">
        <f t="shared" si="592"/>
        <v>C100116</v>
      </c>
      <c r="F2106" s="8" t="str">
        <f>"C100027"</f>
        <v>C100027</v>
      </c>
      <c r="G2106" s="9" t="str">
        <f>"Pique Visor"</f>
        <v>Pique Visor</v>
      </c>
      <c r="H2106" s="47"/>
      <c r="I2106" s="47"/>
      <c r="J2106" s="23">
        <v>884.25999999999988</v>
      </c>
      <c r="K2106" s="25">
        <v>144</v>
      </c>
      <c r="L2106" s="24">
        <v>449.29</v>
      </c>
      <c r="M2106" s="24">
        <f>J2106-L2106</f>
        <v>434.96999999999986</v>
      </c>
      <c r="N2106" s="53">
        <f>IF(J2106&lt;&gt;0,M2106/J2106,"")</f>
        <v>0.49190283400809709</v>
      </c>
      <c r="O2106" s="23">
        <v>0</v>
      </c>
      <c r="P2106" s="25">
        <v>0</v>
      </c>
      <c r="Q2106" s="24">
        <v>0</v>
      </c>
      <c r="R2106" s="24">
        <f>O2106-Q2106</f>
        <v>0</v>
      </c>
      <c r="S2106" s="53" t="str">
        <f>IF(O2106&lt;&gt;0,R2106/O2106,"")</f>
        <v/>
      </c>
      <c r="T2106" s="10"/>
      <c r="U2106" s="23">
        <v>893.38000000000011</v>
      </c>
      <c r="V2106" s="25">
        <v>144</v>
      </c>
      <c r="W2106" s="24">
        <v>449.29</v>
      </c>
      <c r="X2106" s="24">
        <f>U2106-W2106</f>
        <v>444.09000000000009</v>
      </c>
      <c r="Y2106" s="53">
        <f>IF(U2106&lt;&gt;0,X2106/U2106,"")</f>
        <v>0.49708970426918003</v>
      </c>
      <c r="Z2106" s="23">
        <v>0</v>
      </c>
      <c r="AA2106" s="25">
        <v>0</v>
      </c>
      <c r="AB2106" s="24">
        <v>0</v>
      </c>
      <c r="AC2106" s="24">
        <f t="shared" si="593"/>
        <v>0</v>
      </c>
      <c r="AD2106" s="53" t="str">
        <f t="shared" si="594"/>
        <v/>
      </c>
      <c r="AE2106" s="10"/>
    </row>
    <row r="2107" spans="1:31" x14ac:dyDescent="0.25">
      <c r="A2107" s="14" t="s">
        <v>109</v>
      </c>
      <c r="C2107" s="61" t="str">
        <f t="shared" si="592"/>
        <v>C100116</v>
      </c>
      <c r="F2107" s="8" t="str">
        <f>"C100028"</f>
        <v>C100028</v>
      </c>
      <c r="G2107" s="9" t="str">
        <f>"Twill Visor"</f>
        <v>Twill Visor</v>
      </c>
      <c r="H2107" s="47"/>
      <c r="I2107" s="47"/>
      <c r="J2107" s="23">
        <v>0</v>
      </c>
      <c r="K2107" s="25">
        <v>0</v>
      </c>
      <c r="L2107" s="24">
        <v>0</v>
      </c>
      <c r="M2107" s="24">
        <f>J2107-L2107</f>
        <v>0</v>
      </c>
      <c r="N2107" s="53" t="str">
        <f>IF(J2107&lt;&gt;0,M2107/J2107,"")</f>
        <v/>
      </c>
      <c r="O2107" s="23">
        <v>-5</v>
      </c>
      <c r="P2107" s="25">
        <v>-1</v>
      </c>
      <c r="Q2107" s="24">
        <v>-2.4</v>
      </c>
      <c r="R2107" s="24">
        <f>O2107-Q2107</f>
        <v>-2.6</v>
      </c>
      <c r="S2107" s="53">
        <f>IF(O2107&lt;&gt;0,R2107/O2107,"")</f>
        <v>0.52</v>
      </c>
      <c r="T2107" s="10"/>
      <c r="U2107" s="23">
        <v>721.16000000000008</v>
      </c>
      <c r="V2107" s="25">
        <v>144</v>
      </c>
      <c r="W2107" s="24">
        <v>345.61</v>
      </c>
      <c r="X2107" s="24">
        <f>U2107-W2107</f>
        <v>375.55000000000007</v>
      </c>
      <c r="Y2107" s="53">
        <f>IF(U2107&lt;&gt;0,X2107/U2107,"")</f>
        <v>0.52075822286316498</v>
      </c>
      <c r="Z2107" s="23">
        <v>240.38</v>
      </c>
      <c r="AA2107" s="25">
        <v>48</v>
      </c>
      <c r="AB2107" s="24">
        <v>115.2</v>
      </c>
      <c r="AC2107" s="24">
        <f t="shared" si="593"/>
        <v>125.17999999999999</v>
      </c>
      <c r="AD2107" s="53">
        <f t="shared" si="594"/>
        <v>0.52075879856893248</v>
      </c>
      <c r="AE2107" s="10"/>
    </row>
    <row r="2108" spans="1:31" x14ac:dyDescent="0.25">
      <c r="A2108" s="14" t="s">
        <v>109</v>
      </c>
      <c r="C2108" s="61" t="str">
        <f t="shared" si="592"/>
        <v>C100116</v>
      </c>
      <c r="F2108" s="8" t="str">
        <f>"C100029"</f>
        <v>C100029</v>
      </c>
      <c r="G2108" s="9" t="str">
        <f>"Distressed Twill Visor"</f>
        <v>Distressed Twill Visor</v>
      </c>
      <c r="H2108" s="47"/>
      <c r="I2108" s="47"/>
      <c r="J2108" s="23">
        <v>955.46</v>
      </c>
      <c r="K2108" s="25">
        <v>288</v>
      </c>
      <c r="L2108" s="24">
        <v>596.18000000000006</v>
      </c>
      <c r="M2108" s="24">
        <f>J2108-L2108</f>
        <v>359.28</v>
      </c>
      <c r="N2108" s="53">
        <f>IF(J2108&lt;&gt;0,M2108/J2108,"")</f>
        <v>0.376028300504469</v>
      </c>
      <c r="O2108" s="23">
        <v>40.22</v>
      </c>
      <c r="P2108" s="25">
        <v>12</v>
      </c>
      <c r="Q2108" s="24">
        <v>24.84</v>
      </c>
      <c r="R2108" s="24">
        <f>O2108-Q2108</f>
        <v>15.379999999999999</v>
      </c>
      <c r="S2108" s="53">
        <f>IF(O2108&lt;&gt;0,R2108/O2108,"")</f>
        <v>0.38239681750372945</v>
      </c>
      <c r="T2108" s="10"/>
      <c r="U2108" s="23">
        <v>482.65</v>
      </c>
      <c r="V2108" s="25">
        <v>144</v>
      </c>
      <c r="W2108" s="24">
        <v>298.09000000000003</v>
      </c>
      <c r="X2108" s="24">
        <f>U2108-W2108</f>
        <v>184.55999999999995</v>
      </c>
      <c r="Y2108" s="53">
        <f>IF(U2108&lt;&gt;0,X2108/U2108,"")</f>
        <v>0.38238889464415199</v>
      </c>
      <c r="Z2108" s="23">
        <v>160.88</v>
      </c>
      <c r="AA2108" s="25">
        <v>48</v>
      </c>
      <c r="AB2108" s="24">
        <v>99.36</v>
      </c>
      <c r="AC2108" s="24">
        <f t="shared" si="593"/>
        <v>61.519999999999996</v>
      </c>
      <c r="AD2108" s="53">
        <f t="shared" si="594"/>
        <v>0.38239681750372945</v>
      </c>
      <c r="AE2108" s="10"/>
    </row>
    <row r="2109" spans="1:31" x14ac:dyDescent="0.25">
      <c r="A2109" s="14" t="s">
        <v>109</v>
      </c>
      <c r="C2109" s="61" t="str">
        <f t="shared" si="592"/>
        <v>C100116</v>
      </c>
      <c r="F2109" s="8" t="str">
        <f>"C100030"</f>
        <v>C100030</v>
      </c>
      <c r="G2109" s="9" t="str">
        <f>"Fashion Visor"</f>
        <v>Fashion Visor</v>
      </c>
      <c r="H2109" s="47"/>
      <c r="I2109" s="47"/>
      <c r="J2109" s="23">
        <v>0</v>
      </c>
      <c r="K2109" s="25">
        <v>0</v>
      </c>
      <c r="L2109" s="24">
        <v>0</v>
      </c>
      <c r="M2109" s="24">
        <f>J2109-L2109</f>
        <v>0</v>
      </c>
      <c r="N2109" s="53" t="str">
        <f>IF(J2109&lt;&gt;0,M2109/J2109,"")</f>
        <v/>
      </c>
      <c r="O2109" s="23">
        <v>721.07</v>
      </c>
      <c r="P2109" s="25">
        <v>168</v>
      </c>
      <c r="Q2109" s="24">
        <v>406.57</v>
      </c>
      <c r="R2109" s="24">
        <f>O2109-Q2109</f>
        <v>314.50000000000006</v>
      </c>
      <c r="S2109" s="53">
        <f>IF(O2109&lt;&gt;0,R2109/O2109,"")</f>
        <v>0.43615737723105946</v>
      </c>
      <c r="T2109" s="10"/>
      <c r="U2109" s="23">
        <v>0</v>
      </c>
      <c r="V2109" s="25">
        <v>0</v>
      </c>
      <c r="W2109" s="24">
        <v>0</v>
      </c>
      <c r="X2109" s="24">
        <f>U2109-W2109</f>
        <v>0</v>
      </c>
      <c r="Y2109" s="53" t="str">
        <f>IF(U2109&lt;&gt;0,X2109/U2109,"")</f>
        <v/>
      </c>
      <c r="Z2109" s="23">
        <v>0</v>
      </c>
      <c r="AA2109" s="25">
        <v>0</v>
      </c>
      <c r="AB2109" s="24">
        <v>0</v>
      </c>
      <c r="AC2109" s="24">
        <f t="shared" si="593"/>
        <v>0</v>
      </c>
      <c r="AD2109" s="53" t="str">
        <f t="shared" si="594"/>
        <v/>
      </c>
      <c r="AE2109" s="10"/>
    </row>
    <row r="2110" spans="1:31" x14ac:dyDescent="0.25">
      <c r="A2110" s="14" t="s">
        <v>109</v>
      </c>
      <c r="C2110" s="61" t="str">
        <f t="shared" si="592"/>
        <v>C100116</v>
      </c>
      <c r="F2110" s="8" t="str">
        <f>"C100031"</f>
        <v>C100031</v>
      </c>
      <c r="G2110" s="9" t="str">
        <f>"Carabiner Watch"</f>
        <v>Carabiner Watch</v>
      </c>
      <c r="H2110" s="47"/>
      <c r="I2110" s="47"/>
      <c r="J2110" s="23">
        <v>0</v>
      </c>
      <c r="K2110" s="25">
        <v>0</v>
      </c>
      <c r="L2110" s="24">
        <v>0</v>
      </c>
      <c r="M2110" s="24">
        <f>J2110-L2110</f>
        <v>0</v>
      </c>
      <c r="N2110" s="53" t="str">
        <f>IF(J2110&lt;&gt;0,M2110/J2110,"")</f>
        <v/>
      </c>
      <c r="O2110" s="23">
        <v>222.03</v>
      </c>
      <c r="P2110" s="25">
        <v>12</v>
      </c>
      <c r="Q2110" s="24">
        <v>102.96</v>
      </c>
      <c r="R2110" s="24">
        <f>O2110-Q2110</f>
        <v>119.07000000000001</v>
      </c>
      <c r="S2110" s="53">
        <f>IF(O2110&lt;&gt;0,R2110/O2110,"")</f>
        <v>0.53627888123226597</v>
      </c>
      <c r="T2110" s="10"/>
      <c r="U2110" s="23">
        <v>5328.71</v>
      </c>
      <c r="V2110" s="25">
        <v>288</v>
      </c>
      <c r="W2110" s="24">
        <v>2471.0499999999997</v>
      </c>
      <c r="X2110" s="24">
        <f>U2110-W2110</f>
        <v>2857.6600000000003</v>
      </c>
      <c r="Y2110" s="53">
        <f>IF(U2110&lt;&gt;0,X2110/U2110,"")</f>
        <v>0.53627613437398547</v>
      </c>
      <c r="Z2110" s="23">
        <v>0</v>
      </c>
      <c r="AA2110" s="25">
        <v>0</v>
      </c>
      <c r="AB2110" s="24">
        <v>0</v>
      </c>
      <c r="AC2110" s="24">
        <f t="shared" si="593"/>
        <v>0</v>
      </c>
      <c r="AD2110" s="53" t="str">
        <f t="shared" si="594"/>
        <v/>
      </c>
      <c r="AE2110" s="10"/>
    </row>
    <row r="2111" spans="1:31" x14ac:dyDescent="0.25">
      <c r="A2111" s="14" t="s">
        <v>109</v>
      </c>
      <c r="C2111" s="61" t="str">
        <f t="shared" si="592"/>
        <v>C100116</v>
      </c>
      <c r="F2111" s="8" t="str">
        <f>"E100011"</f>
        <v>E100011</v>
      </c>
      <c r="G2111" s="9" t="str">
        <f>"Plastic Sun Visor"</f>
        <v>Plastic Sun Visor</v>
      </c>
      <c r="H2111" s="47"/>
      <c r="I2111" s="47"/>
      <c r="J2111" s="23">
        <v>1.57</v>
      </c>
      <c r="K2111" s="25">
        <v>2</v>
      </c>
      <c r="L2111" s="24">
        <v>0.84</v>
      </c>
      <c r="M2111" s="24">
        <f>J2111-L2111</f>
        <v>0.73000000000000009</v>
      </c>
      <c r="N2111" s="53">
        <f>IF(J2111&lt;&gt;0,M2111/J2111,"")</f>
        <v>0.4649681528662421</v>
      </c>
      <c r="O2111" s="23">
        <v>114.38000000000001</v>
      </c>
      <c r="P2111" s="25">
        <v>144</v>
      </c>
      <c r="Q2111" s="24">
        <v>60.470000000000006</v>
      </c>
      <c r="R2111" s="24">
        <f>O2111-Q2111</f>
        <v>53.910000000000004</v>
      </c>
      <c r="S2111" s="53">
        <f>IF(O2111&lt;&gt;0,R2111/O2111,"")</f>
        <v>0.47132365798216469</v>
      </c>
      <c r="T2111" s="10"/>
      <c r="U2111" s="23">
        <v>114.38000000000001</v>
      </c>
      <c r="V2111" s="25">
        <v>144</v>
      </c>
      <c r="W2111" s="24">
        <v>60.470000000000006</v>
      </c>
      <c r="X2111" s="24">
        <f>U2111-W2111</f>
        <v>53.910000000000004</v>
      </c>
      <c r="Y2111" s="53">
        <f>IF(U2111&lt;&gt;0,X2111/U2111,"")</f>
        <v>0.47132365798216469</v>
      </c>
      <c r="Z2111" s="23">
        <v>0</v>
      </c>
      <c r="AA2111" s="25">
        <v>0</v>
      </c>
      <c r="AB2111" s="24">
        <v>0</v>
      </c>
      <c r="AC2111" s="24">
        <f t="shared" si="593"/>
        <v>0</v>
      </c>
      <c r="AD2111" s="53" t="str">
        <f t="shared" si="594"/>
        <v/>
      </c>
      <c r="AE2111" s="10"/>
    </row>
    <row r="2112" spans="1:31" x14ac:dyDescent="0.25">
      <c r="A2112" s="14" t="s">
        <v>109</v>
      </c>
      <c r="C2112" s="61" t="str">
        <f t="shared" si="592"/>
        <v>C100116</v>
      </c>
      <c r="F2112" s="8" t="str">
        <f>"E100012"</f>
        <v>E100012</v>
      </c>
      <c r="G2112" s="9" t="str">
        <f>"Canvas Stopwatch"</f>
        <v>Canvas Stopwatch</v>
      </c>
      <c r="H2112" s="47"/>
      <c r="I2112" s="47"/>
      <c r="J2112" s="23">
        <v>516.77</v>
      </c>
      <c r="K2112" s="25">
        <v>144</v>
      </c>
      <c r="L2112" s="24">
        <v>282.22999999999996</v>
      </c>
      <c r="M2112" s="24">
        <f>J2112-L2112</f>
        <v>234.54000000000002</v>
      </c>
      <c r="N2112" s="53">
        <f>IF(J2112&lt;&gt;0,M2112/J2112,"")</f>
        <v>0.4538576155736595</v>
      </c>
      <c r="O2112" s="23">
        <v>0</v>
      </c>
      <c r="P2112" s="25">
        <v>0</v>
      </c>
      <c r="Q2112" s="24">
        <v>0</v>
      </c>
      <c r="R2112" s="24">
        <f>O2112-Q2112</f>
        <v>0</v>
      </c>
      <c r="S2112" s="53" t="str">
        <f>IF(O2112&lt;&gt;0,R2112/O2112,"")</f>
        <v/>
      </c>
      <c r="T2112" s="10"/>
      <c r="U2112" s="23">
        <v>0</v>
      </c>
      <c r="V2112" s="25">
        <v>0</v>
      </c>
      <c r="W2112" s="24">
        <v>0</v>
      </c>
      <c r="X2112" s="24">
        <f>U2112-W2112</f>
        <v>0</v>
      </c>
      <c r="Y2112" s="53" t="str">
        <f>IF(U2112&lt;&gt;0,X2112/U2112,"")</f>
        <v/>
      </c>
      <c r="Z2112" s="23">
        <v>0</v>
      </c>
      <c r="AA2112" s="25">
        <v>0</v>
      </c>
      <c r="AB2112" s="24">
        <v>0</v>
      </c>
      <c r="AC2112" s="24">
        <f t="shared" si="593"/>
        <v>0</v>
      </c>
      <c r="AD2112" s="53" t="str">
        <f t="shared" si="594"/>
        <v/>
      </c>
      <c r="AE2112" s="10"/>
    </row>
    <row r="2113" spans="1:31" x14ac:dyDescent="0.25">
      <c r="A2113" s="14" t="s">
        <v>109</v>
      </c>
      <c r="C2113" s="61" t="str">
        <f t="shared" si="592"/>
        <v>C100116</v>
      </c>
      <c r="F2113" s="8" t="str">
        <f>"E100013"</f>
        <v>E100013</v>
      </c>
      <c r="G2113" s="9" t="str">
        <f>"Clip-on Stopwatch"</f>
        <v>Clip-on Stopwatch</v>
      </c>
      <c r="H2113" s="47"/>
      <c r="I2113" s="47"/>
      <c r="J2113" s="23">
        <v>0</v>
      </c>
      <c r="K2113" s="25">
        <v>0</v>
      </c>
      <c r="L2113" s="24">
        <v>0</v>
      </c>
      <c r="M2113" s="24">
        <f>J2113-L2113</f>
        <v>0</v>
      </c>
      <c r="N2113" s="53" t="str">
        <f>IF(J2113&lt;&gt;0,M2113/J2113,"")</f>
        <v/>
      </c>
      <c r="O2113" s="23">
        <v>-2.71</v>
      </c>
      <c r="P2113" s="25">
        <v>-1</v>
      </c>
      <c r="Q2113" s="24">
        <v>-1.44</v>
      </c>
      <c r="R2113" s="24">
        <f>O2113-Q2113</f>
        <v>-1.27</v>
      </c>
      <c r="S2113" s="53">
        <f>IF(O2113&lt;&gt;0,R2113/O2113,"")</f>
        <v>0.4686346863468635</v>
      </c>
      <c r="T2113" s="10"/>
      <c r="U2113" s="23">
        <v>779.03</v>
      </c>
      <c r="V2113" s="25">
        <v>288</v>
      </c>
      <c r="W2113" s="24">
        <v>414.7</v>
      </c>
      <c r="X2113" s="24">
        <f>U2113-W2113</f>
        <v>364.33</v>
      </c>
      <c r="Y2113" s="53">
        <f>IF(U2113&lt;&gt;0,X2113/U2113,"")</f>
        <v>0.46767133486515283</v>
      </c>
      <c r="Z2113" s="23">
        <v>0</v>
      </c>
      <c r="AA2113" s="25">
        <v>0</v>
      </c>
      <c r="AB2113" s="24">
        <v>0</v>
      </c>
      <c r="AC2113" s="24">
        <f t="shared" si="593"/>
        <v>0</v>
      </c>
      <c r="AD2113" s="53" t="str">
        <f t="shared" si="594"/>
        <v/>
      </c>
      <c r="AE2113" s="10"/>
    </row>
    <row r="2114" spans="1:31" x14ac:dyDescent="0.25">
      <c r="A2114" s="14" t="s">
        <v>109</v>
      </c>
      <c r="C2114" s="61" t="str">
        <f t="shared" si="592"/>
        <v>C100116</v>
      </c>
      <c r="F2114" s="8" t="str">
        <f>"E100014"</f>
        <v>E100014</v>
      </c>
      <c r="G2114" s="9" t="str">
        <f>"Stopwatch with Neck Rope"</f>
        <v>Stopwatch with Neck Rope</v>
      </c>
      <c r="H2114" s="47"/>
      <c r="I2114" s="47"/>
      <c r="J2114" s="23">
        <v>384.03</v>
      </c>
      <c r="K2114" s="25">
        <v>144</v>
      </c>
      <c r="L2114" s="24">
        <v>185.75</v>
      </c>
      <c r="M2114" s="24">
        <f>J2114-L2114</f>
        <v>198.27999999999997</v>
      </c>
      <c r="N2114" s="53">
        <f>IF(J2114&lt;&gt;0,M2114/J2114,"")</f>
        <v>0.5163138296487253</v>
      </c>
      <c r="O2114" s="23">
        <v>-64.66</v>
      </c>
      <c r="P2114" s="25">
        <v>-24</v>
      </c>
      <c r="Q2114" s="24">
        <v>-30.96</v>
      </c>
      <c r="R2114" s="24">
        <f>O2114-Q2114</f>
        <v>-33.699999999999996</v>
      </c>
      <c r="S2114" s="53">
        <f>IF(O2114&lt;&gt;0,R2114/O2114,"")</f>
        <v>0.52118775131456851</v>
      </c>
      <c r="T2114" s="10"/>
      <c r="U2114" s="23">
        <v>387.99</v>
      </c>
      <c r="V2114" s="25">
        <v>144</v>
      </c>
      <c r="W2114" s="24">
        <v>185.75</v>
      </c>
      <c r="X2114" s="24">
        <f>U2114-W2114</f>
        <v>202.24</v>
      </c>
      <c r="Y2114" s="53">
        <f>IF(U2114&lt;&gt;0,X2114/U2114,"")</f>
        <v>0.52125054769452817</v>
      </c>
      <c r="Z2114" s="23">
        <v>0</v>
      </c>
      <c r="AA2114" s="25">
        <v>0</v>
      </c>
      <c r="AB2114" s="24">
        <v>0</v>
      </c>
      <c r="AC2114" s="24">
        <f t="shared" si="593"/>
        <v>0</v>
      </c>
      <c r="AD2114" s="53" t="str">
        <f t="shared" si="594"/>
        <v/>
      </c>
      <c r="AE2114" s="10"/>
    </row>
    <row r="2115" spans="1:31" x14ac:dyDescent="0.25">
      <c r="A2115" s="14" t="s">
        <v>109</v>
      </c>
      <c r="C2115" s="61" t="str">
        <f t="shared" si="592"/>
        <v>C100116</v>
      </c>
      <c r="F2115" s="8" t="str">
        <f>"E100015"</f>
        <v>E100015</v>
      </c>
      <c r="G2115" s="9" t="str">
        <f>"360 Clip Watch"</f>
        <v>360 Clip Watch</v>
      </c>
      <c r="H2115" s="47"/>
      <c r="I2115" s="47"/>
      <c r="J2115" s="23">
        <v>0</v>
      </c>
      <c r="K2115" s="25">
        <v>0</v>
      </c>
      <c r="L2115" s="24">
        <v>0</v>
      </c>
      <c r="M2115" s="24">
        <f>J2115-L2115</f>
        <v>0</v>
      </c>
      <c r="N2115" s="53" t="str">
        <f>IF(J2115&lt;&gt;0,M2115/J2115,"")</f>
        <v/>
      </c>
      <c r="O2115" s="23">
        <v>301.38</v>
      </c>
      <c r="P2115" s="25">
        <v>143</v>
      </c>
      <c r="Q2115" s="24">
        <v>145.85999999999999</v>
      </c>
      <c r="R2115" s="24">
        <f>O2115-Q2115</f>
        <v>155.52000000000001</v>
      </c>
      <c r="S2115" s="53">
        <f>IF(O2115&lt;&gt;0,R2115/O2115,"")</f>
        <v>0.51602627911606613</v>
      </c>
      <c r="T2115" s="10"/>
      <c r="U2115" s="23">
        <v>0</v>
      </c>
      <c r="V2115" s="25">
        <v>0</v>
      </c>
      <c r="W2115" s="24">
        <v>0</v>
      </c>
      <c r="X2115" s="24">
        <f>U2115-W2115</f>
        <v>0</v>
      </c>
      <c r="Y2115" s="53" t="str">
        <f>IF(U2115&lt;&gt;0,X2115/U2115,"")</f>
        <v/>
      </c>
      <c r="Z2115" s="23">
        <v>0</v>
      </c>
      <c r="AA2115" s="25">
        <v>0</v>
      </c>
      <c r="AB2115" s="24">
        <v>0</v>
      </c>
      <c r="AC2115" s="24">
        <f t="shared" si="593"/>
        <v>0</v>
      </c>
      <c r="AD2115" s="53" t="str">
        <f t="shared" si="594"/>
        <v/>
      </c>
      <c r="AE2115" s="10"/>
    </row>
    <row r="2116" spans="1:31" x14ac:dyDescent="0.25">
      <c r="A2116" s="14" t="s">
        <v>109</v>
      </c>
      <c r="C2116" s="61" t="str">
        <f t="shared" si="592"/>
        <v>C100116</v>
      </c>
      <c r="F2116" s="8" t="str">
        <f>"E100018"</f>
        <v>E100018</v>
      </c>
      <c r="G2116" s="9" t="str">
        <f>"Flexi-Clock &amp; Clip"</f>
        <v>Flexi-Clock &amp; Clip</v>
      </c>
      <c r="H2116" s="47"/>
      <c r="I2116" s="47"/>
      <c r="J2116" s="23">
        <v>157.82</v>
      </c>
      <c r="K2116" s="25">
        <v>144</v>
      </c>
      <c r="L2116" s="24">
        <v>86.39</v>
      </c>
      <c r="M2116" s="24">
        <f>J2116-L2116</f>
        <v>71.429999999999993</v>
      </c>
      <c r="N2116" s="53">
        <f>IF(J2116&lt;&gt;0,M2116/J2116,"")</f>
        <v>0.4526042326701305</v>
      </c>
      <c r="O2116" s="23">
        <v>0</v>
      </c>
      <c r="P2116" s="25">
        <v>0</v>
      </c>
      <c r="Q2116" s="24">
        <v>0</v>
      </c>
      <c r="R2116" s="24">
        <f>O2116-Q2116</f>
        <v>0</v>
      </c>
      <c r="S2116" s="53" t="str">
        <f>IF(O2116&lt;&gt;0,R2116/O2116,"")</f>
        <v/>
      </c>
      <c r="T2116" s="10"/>
      <c r="U2116" s="23">
        <v>318.89000000000004</v>
      </c>
      <c r="V2116" s="25">
        <v>288</v>
      </c>
      <c r="W2116" s="24">
        <v>172.77</v>
      </c>
      <c r="X2116" s="24">
        <f>U2116-W2116</f>
        <v>146.12000000000003</v>
      </c>
      <c r="Y2116" s="53">
        <f>IF(U2116&lt;&gt;0,X2116/U2116,"")</f>
        <v>0.45821443130860173</v>
      </c>
      <c r="Z2116" s="23">
        <v>7.75</v>
      </c>
      <c r="AA2116" s="25">
        <v>7</v>
      </c>
      <c r="AB2116" s="24">
        <v>4.2</v>
      </c>
      <c r="AC2116" s="24">
        <f t="shared" si="593"/>
        <v>3.55</v>
      </c>
      <c r="AD2116" s="53">
        <f t="shared" si="594"/>
        <v>0.45806451612903226</v>
      </c>
      <c r="AE2116" s="10"/>
    </row>
    <row r="2117" spans="1:31" x14ac:dyDescent="0.25">
      <c r="A2117" s="14" t="s">
        <v>109</v>
      </c>
      <c r="C2117" s="61" t="str">
        <f t="shared" si="592"/>
        <v>C100116</v>
      </c>
      <c r="F2117" s="8" t="str">
        <f>"S100003"</f>
        <v>S100003</v>
      </c>
      <c r="G2117" s="9" t="str">
        <f>"Soccer #1 Pin"</f>
        <v>Soccer #1 Pin</v>
      </c>
      <c r="H2117" s="47"/>
      <c r="I2117" s="47"/>
      <c r="J2117" s="23">
        <v>18.91</v>
      </c>
      <c r="K2117" s="25">
        <v>13</v>
      </c>
      <c r="L2117" s="24">
        <v>11.7</v>
      </c>
      <c r="M2117" s="24">
        <f>J2117-L2117</f>
        <v>7.2100000000000009</v>
      </c>
      <c r="N2117" s="53">
        <f>IF(J2117&lt;&gt;0,M2117/J2117,"")</f>
        <v>0.38127974616604976</v>
      </c>
      <c r="O2117" s="23">
        <v>0</v>
      </c>
      <c r="P2117" s="25">
        <v>0</v>
      </c>
      <c r="Q2117" s="24">
        <v>0</v>
      </c>
      <c r="R2117" s="24">
        <f>O2117-Q2117</f>
        <v>0</v>
      </c>
      <c r="S2117" s="53" t="str">
        <f>IF(O2117&lt;&gt;0,R2117/O2117,"")</f>
        <v/>
      </c>
      <c r="T2117" s="10"/>
      <c r="U2117" s="23">
        <v>0</v>
      </c>
      <c r="V2117" s="25">
        <v>0</v>
      </c>
      <c r="W2117" s="24">
        <v>0</v>
      </c>
      <c r="X2117" s="24">
        <f>U2117-W2117</f>
        <v>0</v>
      </c>
      <c r="Y2117" s="53" t="str">
        <f>IF(U2117&lt;&gt;0,X2117/U2117,"")</f>
        <v/>
      </c>
      <c r="Z2117" s="23">
        <v>0</v>
      </c>
      <c r="AA2117" s="25">
        <v>0</v>
      </c>
      <c r="AB2117" s="24">
        <v>0</v>
      </c>
      <c r="AC2117" s="24">
        <f t="shared" si="593"/>
        <v>0</v>
      </c>
      <c r="AD2117" s="53" t="str">
        <f t="shared" si="594"/>
        <v/>
      </c>
      <c r="AE2117" s="10"/>
    </row>
    <row r="2118" spans="1:31" x14ac:dyDescent="0.25">
      <c r="A2118" s="14" t="s">
        <v>109</v>
      </c>
      <c r="C2118" s="61" t="str">
        <f t="shared" si="592"/>
        <v>C100116</v>
      </c>
      <c r="F2118" s="8" t="str">
        <f>"S100004"</f>
        <v>S100004</v>
      </c>
      <c r="G2118" s="9" t="str">
        <f>"Award Medallian - 2''"</f>
        <v>Award Medallian - 2''</v>
      </c>
      <c r="H2118" s="47"/>
      <c r="I2118" s="47"/>
      <c r="J2118" s="23">
        <v>0</v>
      </c>
      <c r="K2118" s="25">
        <v>0</v>
      </c>
      <c r="L2118" s="24">
        <v>0</v>
      </c>
      <c r="M2118" s="24">
        <f>J2118-L2118</f>
        <v>0</v>
      </c>
      <c r="N2118" s="53" t="str">
        <f>IF(J2118&lt;&gt;0,M2118/J2118,"")</f>
        <v/>
      </c>
      <c r="O2118" s="23">
        <v>665.13</v>
      </c>
      <c r="P2118" s="25">
        <v>48</v>
      </c>
      <c r="Q2118" s="24">
        <v>320.16000000000003</v>
      </c>
      <c r="R2118" s="24">
        <f>O2118-Q2118</f>
        <v>344.96999999999997</v>
      </c>
      <c r="S2118" s="53">
        <f>IF(O2118&lt;&gt;0,R2118/O2118,"")</f>
        <v>0.51865048937801628</v>
      </c>
      <c r="T2118" s="10"/>
      <c r="U2118" s="23">
        <v>2078.54</v>
      </c>
      <c r="V2118" s="25">
        <v>150</v>
      </c>
      <c r="W2118" s="24">
        <v>1000.5</v>
      </c>
      <c r="X2118" s="24">
        <f>U2118-W2118</f>
        <v>1078.04</v>
      </c>
      <c r="Y2118" s="53">
        <f>IF(U2118&lt;&gt;0,X2118/U2118,"")</f>
        <v>0.5186525157081413</v>
      </c>
      <c r="Z2118" s="23">
        <v>0</v>
      </c>
      <c r="AA2118" s="25">
        <v>0</v>
      </c>
      <c r="AB2118" s="24">
        <v>0</v>
      </c>
      <c r="AC2118" s="24">
        <f t="shared" si="593"/>
        <v>0</v>
      </c>
      <c r="AD2118" s="53" t="str">
        <f t="shared" si="594"/>
        <v/>
      </c>
      <c r="AE2118" s="10"/>
    </row>
    <row r="2119" spans="1:31" x14ac:dyDescent="0.25">
      <c r="A2119" s="14" t="s">
        <v>109</v>
      </c>
      <c r="C2119" s="61" t="str">
        <f t="shared" si="592"/>
        <v>C100116</v>
      </c>
      <c r="F2119" s="8" t="str">
        <f>"S100005"</f>
        <v>S100005</v>
      </c>
      <c r="G2119" s="9" t="str">
        <f>"Award Medallian - 2.5''"</f>
        <v>Award Medallian - 2.5''</v>
      </c>
      <c r="H2119" s="47"/>
      <c r="I2119" s="47"/>
      <c r="J2119" s="23">
        <v>0</v>
      </c>
      <c r="K2119" s="25">
        <v>0</v>
      </c>
      <c r="L2119" s="24">
        <v>0</v>
      </c>
      <c r="M2119" s="24">
        <f>J2119-L2119</f>
        <v>0</v>
      </c>
      <c r="N2119" s="53" t="str">
        <f>IF(J2119&lt;&gt;0,M2119/J2119,"")</f>
        <v/>
      </c>
      <c r="O2119" s="23">
        <v>1223.5400000000002</v>
      </c>
      <c r="P2119" s="25">
        <v>144</v>
      </c>
      <c r="Q2119" s="24">
        <v>751.69</v>
      </c>
      <c r="R2119" s="24">
        <f>O2119-Q2119</f>
        <v>471.85000000000014</v>
      </c>
      <c r="S2119" s="53">
        <f>IF(O2119&lt;&gt;0,R2119/O2119,"")</f>
        <v>0.38564329731761943</v>
      </c>
      <c r="T2119" s="10"/>
      <c r="U2119" s="23">
        <v>0</v>
      </c>
      <c r="V2119" s="25">
        <v>0</v>
      </c>
      <c r="W2119" s="24">
        <v>0</v>
      </c>
      <c r="X2119" s="24">
        <f>U2119-W2119</f>
        <v>0</v>
      </c>
      <c r="Y2119" s="53" t="str">
        <f>IF(U2119&lt;&gt;0,X2119/U2119,"")</f>
        <v/>
      </c>
      <c r="Z2119" s="23">
        <v>0</v>
      </c>
      <c r="AA2119" s="25">
        <v>0</v>
      </c>
      <c r="AB2119" s="24">
        <v>0</v>
      </c>
      <c r="AC2119" s="24">
        <f t="shared" si="593"/>
        <v>0</v>
      </c>
      <c r="AD2119" s="53" t="str">
        <f t="shared" si="594"/>
        <v/>
      </c>
      <c r="AE2119" s="10"/>
    </row>
    <row r="2120" spans="1:31" x14ac:dyDescent="0.25">
      <c r="A2120" s="14" t="s">
        <v>109</v>
      </c>
      <c r="C2120" s="61" t="str">
        <f t="shared" si="592"/>
        <v>C100116</v>
      </c>
      <c r="F2120" s="8" t="str">
        <f>"S100006"</f>
        <v>S100006</v>
      </c>
      <c r="G2120" s="9" t="str">
        <f>"Award Medallian - 3''"</f>
        <v>Award Medallian - 3''</v>
      </c>
      <c r="H2120" s="47"/>
      <c r="I2120" s="47"/>
      <c r="J2120" s="23">
        <v>1592.29</v>
      </c>
      <c r="K2120" s="25">
        <v>144</v>
      </c>
      <c r="L2120" s="24">
        <v>1065.5900000000001</v>
      </c>
      <c r="M2120" s="24">
        <f>J2120-L2120</f>
        <v>526.69999999999982</v>
      </c>
      <c r="N2120" s="53">
        <f>IF(J2120&lt;&gt;0,M2120/J2120,"")</f>
        <v>0.33078145312725687</v>
      </c>
      <c r="O2120" s="23">
        <v>0</v>
      </c>
      <c r="P2120" s="25">
        <v>0</v>
      </c>
      <c r="Q2120" s="24">
        <v>0</v>
      </c>
      <c r="R2120" s="24">
        <f>O2120-Q2120</f>
        <v>0</v>
      </c>
      <c r="S2120" s="53" t="str">
        <f>IF(O2120&lt;&gt;0,R2120/O2120,"")</f>
        <v/>
      </c>
      <c r="T2120" s="10"/>
      <c r="U2120" s="23">
        <v>0</v>
      </c>
      <c r="V2120" s="25">
        <v>0</v>
      </c>
      <c r="W2120" s="24">
        <v>0</v>
      </c>
      <c r="X2120" s="24">
        <f>U2120-W2120</f>
        <v>0</v>
      </c>
      <c r="Y2120" s="53" t="str">
        <f>IF(U2120&lt;&gt;0,X2120/U2120,"")</f>
        <v/>
      </c>
      <c r="Z2120" s="23">
        <v>0</v>
      </c>
      <c r="AA2120" s="25">
        <v>0</v>
      </c>
      <c r="AB2120" s="24">
        <v>0</v>
      </c>
      <c r="AC2120" s="24">
        <f t="shared" si="593"/>
        <v>0</v>
      </c>
      <c r="AD2120" s="53" t="str">
        <f t="shared" si="594"/>
        <v/>
      </c>
      <c r="AE2120" s="10"/>
    </row>
    <row r="2121" spans="1:31" x14ac:dyDescent="0.25">
      <c r="A2121" s="14" t="s">
        <v>109</v>
      </c>
      <c r="C2121" s="61" t="str">
        <f t="shared" si="592"/>
        <v>C100116</v>
      </c>
      <c r="F2121" s="8" t="str">
        <f>"S100008"</f>
        <v>S100008</v>
      </c>
      <c r="G2121" s="9" t="str">
        <f>"Soccer Figure Trophy"</f>
        <v>Soccer Figure Trophy</v>
      </c>
      <c r="H2121" s="47"/>
      <c r="I2121" s="47"/>
      <c r="J2121" s="23">
        <v>0</v>
      </c>
      <c r="K2121" s="25">
        <v>0</v>
      </c>
      <c r="L2121" s="24">
        <v>0</v>
      </c>
      <c r="M2121" s="24">
        <f>J2121-L2121</f>
        <v>0</v>
      </c>
      <c r="N2121" s="53" t="str">
        <f>IF(J2121&lt;&gt;0,M2121/J2121,"")</f>
        <v/>
      </c>
      <c r="O2121" s="23">
        <v>835.33999999999992</v>
      </c>
      <c r="P2121" s="25">
        <v>144</v>
      </c>
      <c r="Q2121" s="24">
        <v>529.91999999999996</v>
      </c>
      <c r="R2121" s="24">
        <f>O2121-Q2121</f>
        <v>305.41999999999996</v>
      </c>
      <c r="S2121" s="53">
        <f>IF(O2121&lt;&gt;0,R2121/O2121,"")</f>
        <v>0.36562357842315701</v>
      </c>
      <c r="T2121" s="10"/>
      <c r="U2121" s="23">
        <v>2506.02</v>
      </c>
      <c r="V2121" s="25">
        <v>432</v>
      </c>
      <c r="W2121" s="24">
        <v>1589.76</v>
      </c>
      <c r="X2121" s="24">
        <f>U2121-W2121</f>
        <v>916.26</v>
      </c>
      <c r="Y2121" s="53">
        <f>IF(U2121&lt;&gt;0,X2121/U2121,"")</f>
        <v>0.36562357842315701</v>
      </c>
      <c r="Z2121" s="23">
        <v>5.8</v>
      </c>
      <c r="AA2121" s="25">
        <v>1</v>
      </c>
      <c r="AB2121" s="24">
        <v>3.68</v>
      </c>
      <c r="AC2121" s="24">
        <f t="shared" si="593"/>
        <v>2.1199999999999997</v>
      </c>
      <c r="AD2121" s="53">
        <f t="shared" si="594"/>
        <v>0.3655172413793103</v>
      </c>
      <c r="AE2121" s="10"/>
    </row>
    <row r="2122" spans="1:31" x14ac:dyDescent="0.25">
      <c r="A2122" s="14" t="s">
        <v>109</v>
      </c>
      <c r="C2122" s="61" t="str">
        <f t="shared" si="592"/>
        <v>C100116</v>
      </c>
      <c r="F2122" s="8" t="str">
        <f>"S100010"</f>
        <v>S100010</v>
      </c>
      <c r="G2122" s="9" t="str">
        <f>"Golf Relaxed Cap"</f>
        <v>Golf Relaxed Cap</v>
      </c>
      <c r="H2122" s="47"/>
      <c r="I2122" s="47"/>
      <c r="J2122" s="23">
        <v>0</v>
      </c>
      <c r="K2122" s="25">
        <v>0</v>
      </c>
      <c r="L2122" s="24">
        <v>0</v>
      </c>
      <c r="M2122" s="24">
        <f>J2122-L2122</f>
        <v>0</v>
      </c>
      <c r="N2122" s="53" t="str">
        <f>IF(J2122&lt;&gt;0,M2122/J2122,"")</f>
        <v/>
      </c>
      <c r="O2122" s="23">
        <v>1452.08</v>
      </c>
      <c r="P2122" s="25">
        <v>144</v>
      </c>
      <c r="Q2122" s="24">
        <v>876.97</v>
      </c>
      <c r="R2122" s="24">
        <f>O2122-Q2122</f>
        <v>575.1099999999999</v>
      </c>
      <c r="S2122" s="53">
        <f>IF(O2122&lt;&gt;0,R2122/O2122,"")</f>
        <v>0.39605944576056412</v>
      </c>
      <c r="T2122" s="10"/>
      <c r="U2122" s="23">
        <v>1452.09</v>
      </c>
      <c r="V2122" s="25">
        <v>144</v>
      </c>
      <c r="W2122" s="24">
        <v>876.97</v>
      </c>
      <c r="X2122" s="24">
        <f>U2122-W2122</f>
        <v>575.11999999999989</v>
      </c>
      <c r="Y2122" s="53">
        <f>IF(U2122&lt;&gt;0,X2122/U2122,"")</f>
        <v>0.39606360487297615</v>
      </c>
      <c r="Z2122" s="23">
        <v>0</v>
      </c>
      <c r="AA2122" s="25">
        <v>0</v>
      </c>
      <c r="AB2122" s="24">
        <v>0</v>
      </c>
      <c r="AC2122" s="24">
        <f t="shared" si="593"/>
        <v>0</v>
      </c>
      <c r="AD2122" s="53" t="str">
        <f t="shared" si="594"/>
        <v/>
      </c>
      <c r="AE2122" s="10"/>
    </row>
    <row r="2123" spans="1:31" x14ac:dyDescent="0.25">
      <c r="A2123" s="14" t="s">
        <v>109</v>
      </c>
      <c r="C2123" s="61" t="str">
        <f t="shared" si="592"/>
        <v>C100116</v>
      </c>
      <c r="F2123" s="8" t="str">
        <f>"S100012"</f>
        <v>S100012</v>
      </c>
      <c r="G2123" s="9" t="str">
        <f>"Raw-Edge Patch BALL CAP"</f>
        <v>Raw-Edge Patch BALL CAP</v>
      </c>
      <c r="H2123" s="47"/>
      <c r="I2123" s="47"/>
      <c r="J2123" s="23">
        <v>1456.79</v>
      </c>
      <c r="K2123" s="25">
        <v>144</v>
      </c>
      <c r="L2123" s="24">
        <v>807.83999999999992</v>
      </c>
      <c r="M2123" s="24">
        <f>J2123-L2123</f>
        <v>648.95000000000005</v>
      </c>
      <c r="N2123" s="53">
        <f>IF(J2123&lt;&gt;0,M2123/J2123,"")</f>
        <v>0.4454657157174336</v>
      </c>
      <c r="O2123" s="23">
        <v>1471.8100000000002</v>
      </c>
      <c r="P2123" s="25">
        <v>144</v>
      </c>
      <c r="Q2123" s="24">
        <v>807.83999999999992</v>
      </c>
      <c r="R2123" s="24">
        <f>O2123-Q2123</f>
        <v>663.97000000000025</v>
      </c>
      <c r="S2123" s="53">
        <f>IF(O2123&lt;&gt;0,R2123/O2123,"")</f>
        <v>0.45112480551158107</v>
      </c>
      <c r="T2123" s="10"/>
      <c r="U2123" s="23">
        <v>0</v>
      </c>
      <c r="V2123" s="25">
        <v>0</v>
      </c>
      <c r="W2123" s="24">
        <v>0</v>
      </c>
      <c r="X2123" s="24">
        <f>U2123-W2123</f>
        <v>0</v>
      </c>
      <c r="Y2123" s="53" t="str">
        <f>IF(U2123&lt;&gt;0,X2123/U2123,"")</f>
        <v/>
      </c>
      <c r="Z2123" s="23">
        <v>500.82000000000005</v>
      </c>
      <c r="AA2123" s="25">
        <v>49</v>
      </c>
      <c r="AB2123" s="24">
        <v>274.89000000000004</v>
      </c>
      <c r="AC2123" s="24">
        <f t="shared" si="593"/>
        <v>225.93</v>
      </c>
      <c r="AD2123" s="53">
        <f t="shared" si="594"/>
        <v>0.45112016293279017</v>
      </c>
      <c r="AE2123" s="10"/>
    </row>
    <row r="2124" spans="1:31" x14ac:dyDescent="0.25">
      <c r="A2124" s="14" t="s">
        <v>109</v>
      </c>
      <c r="C2124" s="61" t="str">
        <f t="shared" si="592"/>
        <v>C100116</v>
      </c>
      <c r="F2124" s="8" t="str">
        <f>"S100013"</f>
        <v>S100013</v>
      </c>
      <c r="G2124" s="9" t="str">
        <f>"Mesh BALL CAP"</f>
        <v>Mesh BALL CAP</v>
      </c>
      <c r="H2124" s="47"/>
      <c r="I2124" s="47"/>
      <c r="J2124" s="23">
        <v>307.27</v>
      </c>
      <c r="K2124" s="25">
        <v>48</v>
      </c>
      <c r="L2124" s="24">
        <v>165.12</v>
      </c>
      <c r="M2124" s="24">
        <f>J2124-L2124</f>
        <v>142.14999999999998</v>
      </c>
      <c r="N2124" s="53">
        <f>IF(J2124&lt;&gt;0,M2124/J2124,"")</f>
        <v>0.46262244931168023</v>
      </c>
      <c r="O2124" s="23">
        <v>0</v>
      </c>
      <c r="P2124" s="25">
        <v>0</v>
      </c>
      <c r="Q2124" s="24">
        <v>0</v>
      </c>
      <c r="R2124" s="24">
        <f>O2124-Q2124</f>
        <v>0</v>
      </c>
      <c r="S2124" s="53" t="str">
        <f>IF(O2124&lt;&gt;0,R2124/O2124,"")</f>
        <v/>
      </c>
      <c r="T2124" s="10"/>
      <c r="U2124" s="23">
        <v>931.32</v>
      </c>
      <c r="V2124" s="25">
        <v>144</v>
      </c>
      <c r="W2124" s="24">
        <v>495.37</v>
      </c>
      <c r="X2124" s="24">
        <f>U2124-W2124</f>
        <v>435.95000000000005</v>
      </c>
      <c r="Y2124" s="53">
        <f>IF(U2124&lt;&gt;0,X2124/U2124,"")</f>
        <v>0.46809904221964527</v>
      </c>
      <c r="Z2124" s="23">
        <v>77.58</v>
      </c>
      <c r="AA2124" s="25">
        <v>12</v>
      </c>
      <c r="AB2124" s="24">
        <v>41.28</v>
      </c>
      <c r="AC2124" s="24">
        <f t="shared" si="593"/>
        <v>36.299999999999997</v>
      </c>
      <c r="AD2124" s="53">
        <f t="shared" si="594"/>
        <v>0.46790409899458618</v>
      </c>
      <c r="AE2124" s="10"/>
    </row>
    <row r="2125" spans="1:31" x14ac:dyDescent="0.25">
      <c r="A2125" s="14" t="s">
        <v>109</v>
      </c>
      <c r="C2125" s="61" t="str">
        <f t="shared" si="592"/>
        <v>C100116</v>
      </c>
      <c r="F2125" s="8" t="str">
        <f>"S100016"</f>
        <v>S100016</v>
      </c>
      <c r="G2125" s="9" t="str">
        <f>"Mesh Bucket Hat"</f>
        <v>Mesh Bucket Hat</v>
      </c>
      <c r="H2125" s="47"/>
      <c r="I2125" s="47"/>
      <c r="J2125" s="23">
        <v>0</v>
      </c>
      <c r="K2125" s="25">
        <v>0</v>
      </c>
      <c r="L2125" s="24">
        <v>0</v>
      </c>
      <c r="M2125" s="24">
        <f>J2125-L2125</f>
        <v>0</v>
      </c>
      <c r="N2125" s="53" t="str">
        <f>IF(J2125&lt;&gt;0,M2125/J2125,"")</f>
        <v/>
      </c>
      <c r="O2125" s="23">
        <v>9.75</v>
      </c>
      <c r="P2125" s="25">
        <v>2</v>
      </c>
      <c r="Q2125" s="24">
        <v>5.5</v>
      </c>
      <c r="R2125" s="24">
        <f>O2125-Q2125</f>
        <v>4.25</v>
      </c>
      <c r="S2125" s="53">
        <f>IF(O2125&lt;&gt;0,R2125/O2125,"")</f>
        <v>0.4358974358974359</v>
      </c>
      <c r="T2125" s="10"/>
      <c r="U2125" s="23">
        <v>0</v>
      </c>
      <c r="V2125" s="25">
        <v>0</v>
      </c>
      <c r="W2125" s="24">
        <v>0</v>
      </c>
      <c r="X2125" s="24">
        <f>U2125-W2125</f>
        <v>0</v>
      </c>
      <c r="Y2125" s="53" t="str">
        <f>IF(U2125&lt;&gt;0,X2125/U2125,"")</f>
        <v/>
      </c>
      <c r="Z2125" s="23">
        <v>0</v>
      </c>
      <c r="AA2125" s="25">
        <v>0</v>
      </c>
      <c r="AB2125" s="24">
        <v>0</v>
      </c>
      <c r="AC2125" s="24">
        <f t="shared" si="593"/>
        <v>0</v>
      </c>
      <c r="AD2125" s="53" t="str">
        <f t="shared" si="594"/>
        <v/>
      </c>
      <c r="AE2125" s="10"/>
    </row>
    <row r="2126" spans="1:31" x14ac:dyDescent="0.25">
      <c r="A2126" s="14" t="s">
        <v>109</v>
      </c>
      <c r="C2126" s="61" t="str">
        <f t="shared" si="592"/>
        <v>C100116</v>
      </c>
      <c r="F2126" s="8" t="str">
        <f>"S100017"</f>
        <v>S100017</v>
      </c>
      <c r="G2126" s="9" t="str">
        <f>"Microfiber Bucket Hat"</f>
        <v>Microfiber Bucket Hat</v>
      </c>
      <c r="H2126" s="47"/>
      <c r="I2126" s="47"/>
      <c r="J2126" s="23">
        <v>171.82</v>
      </c>
      <c r="K2126" s="25">
        <v>24</v>
      </c>
      <c r="L2126" s="24">
        <v>114.24</v>
      </c>
      <c r="M2126" s="24">
        <f>J2126-L2126</f>
        <v>57.58</v>
      </c>
      <c r="N2126" s="53">
        <f>IF(J2126&lt;&gt;0,M2126/J2126,"")</f>
        <v>0.33511814689791641</v>
      </c>
      <c r="O2126" s="23">
        <v>1041.5500000000002</v>
      </c>
      <c r="P2126" s="25">
        <v>144</v>
      </c>
      <c r="Q2126" s="24">
        <v>685.44</v>
      </c>
      <c r="R2126" s="24">
        <f>O2126-Q2126</f>
        <v>356.11000000000013</v>
      </c>
      <c r="S2126" s="53">
        <f>IF(O2126&lt;&gt;0,R2126/O2126,"")</f>
        <v>0.34190389323604248</v>
      </c>
      <c r="T2126" s="10"/>
      <c r="U2126" s="23">
        <v>0</v>
      </c>
      <c r="V2126" s="25">
        <v>0</v>
      </c>
      <c r="W2126" s="24">
        <v>0</v>
      </c>
      <c r="X2126" s="24">
        <f>U2126-W2126</f>
        <v>0</v>
      </c>
      <c r="Y2126" s="53" t="str">
        <f>IF(U2126&lt;&gt;0,X2126/U2126,"")</f>
        <v/>
      </c>
      <c r="Z2126" s="23">
        <v>1041.5500000000002</v>
      </c>
      <c r="AA2126" s="25">
        <v>144</v>
      </c>
      <c r="AB2126" s="24">
        <v>685.44</v>
      </c>
      <c r="AC2126" s="24">
        <f t="shared" si="593"/>
        <v>356.11000000000013</v>
      </c>
      <c r="AD2126" s="53">
        <f t="shared" si="594"/>
        <v>0.34190389323604248</v>
      </c>
      <c r="AE2126" s="10"/>
    </row>
    <row r="2127" spans="1:31" x14ac:dyDescent="0.25">
      <c r="A2127" s="14" t="s">
        <v>109</v>
      </c>
      <c r="C2127" s="61" t="str">
        <f t="shared" si="592"/>
        <v>C100116</v>
      </c>
      <c r="F2127" s="8" t="str">
        <f>"S100018"</f>
        <v>S100018</v>
      </c>
      <c r="G2127" s="9" t="str">
        <f>"Crusher Bucket Hat"</f>
        <v>Crusher Bucket Hat</v>
      </c>
      <c r="H2127" s="47"/>
      <c r="I2127" s="47"/>
      <c r="J2127" s="23">
        <v>0</v>
      </c>
      <c r="K2127" s="25">
        <v>0</v>
      </c>
      <c r="L2127" s="24">
        <v>0</v>
      </c>
      <c r="M2127" s="24">
        <f>J2127-L2127</f>
        <v>0</v>
      </c>
      <c r="N2127" s="53" t="str">
        <f>IF(J2127&lt;&gt;0,M2127/J2127,"")</f>
        <v/>
      </c>
      <c r="O2127" s="23">
        <v>1054.46</v>
      </c>
      <c r="P2127" s="25">
        <v>145</v>
      </c>
      <c r="Q2127" s="24">
        <v>507.49999999999994</v>
      </c>
      <c r="R2127" s="24">
        <f>O2127-Q2127</f>
        <v>546.96</v>
      </c>
      <c r="S2127" s="53">
        <f>IF(O2127&lt;&gt;0,R2127/O2127,"")</f>
        <v>0.51871099899474615</v>
      </c>
      <c r="T2127" s="10"/>
      <c r="U2127" s="23">
        <v>0</v>
      </c>
      <c r="V2127" s="25">
        <v>0</v>
      </c>
      <c r="W2127" s="24">
        <v>0</v>
      </c>
      <c r="X2127" s="24">
        <f>U2127-W2127</f>
        <v>0</v>
      </c>
      <c r="Y2127" s="53" t="str">
        <f>IF(U2127&lt;&gt;0,X2127/U2127,"")</f>
        <v/>
      </c>
      <c r="Z2127" s="23">
        <v>1047.1799999999998</v>
      </c>
      <c r="AA2127" s="25">
        <v>144</v>
      </c>
      <c r="AB2127" s="24">
        <v>504</v>
      </c>
      <c r="AC2127" s="24">
        <f t="shared" si="593"/>
        <v>543.17999999999984</v>
      </c>
      <c r="AD2127" s="53">
        <f t="shared" si="594"/>
        <v>0.51870738554976215</v>
      </c>
      <c r="AE2127" s="10"/>
    </row>
    <row r="2128" spans="1:31" x14ac:dyDescent="0.25">
      <c r="A2128" s="14" t="s">
        <v>109</v>
      </c>
      <c r="C2128" s="61" t="str">
        <f t="shared" si="592"/>
        <v>C100116</v>
      </c>
      <c r="F2128" s="8" t="str">
        <f>"S100020"</f>
        <v>S100020</v>
      </c>
      <c r="G2128" s="9" t="str">
        <f>"Super Sport Stopwatch"</f>
        <v>Super Sport Stopwatch</v>
      </c>
      <c r="H2128" s="47"/>
      <c r="I2128" s="47"/>
      <c r="J2128" s="23">
        <v>0</v>
      </c>
      <c r="K2128" s="25">
        <v>0</v>
      </c>
      <c r="L2128" s="24">
        <v>0</v>
      </c>
      <c r="M2128" s="24">
        <f>J2128-L2128</f>
        <v>0</v>
      </c>
      <c r="N2128" s="53" t="str">
        <f>IF(J2128&lt;&gt;0,M2128/J2128,"")</f>
        <v/>
      </c>
      <c r="O2128" s="23">
        <v>307.61</v>
      </c>
      <c r="P2128" s="25">
        <v>144</v>
      </c>
      <c r="Q2128" s="24">
        <v>151.19999999999999</v>
      </c>
      <c r="R2128" s="24">
        <f>O2128-Q2128</f>
        <v>156.41000000000003</v>
      </c>
      <c r="S2128" s="53">
        <f>IF(O2128&lt;&gt;0,R2128/O2128,"")</f>
        <v>0.50846851532785031</v>
      </c>
      <c r="T2128" s="10"/>
      <c r="U2128" s="23">
        <v>333.26</v>
      </c>
      <c r="V2128" s="25">
        <v>156</v>
      </c>
      <c r="W2128" s="24">
        <v>163.80000000000001</v>
      </c>
      <c r="X2128" s="24">
        <f>U2128-W2128</f>
        <v>169.45999999999998</v>
      </c>
      <c r="Y2128" s="53">
        <f>IF(U2128&lt;&gt;0,X2128/U2128,"")</f>
        <v>0.50849186821100634</v>
      </c>
      <c r="Z2128" s="23">
        <v>0</v>
      </c>
      <c r="AA2128" s="25">
        <v>0</v>
      </c>
      <c r="AB2128" s="24">
        <v>0</v>
      </c>
      <c r="AC2128" s="24">
        <f t="shared" si="593"/>
        <v>0</v>
      </c>
      <c r="AD2128" s="53" t="str">
        <f t="shared" si="594"/>
        <v/>
      </c>
      <c r="AE2128" s="10"/>
    </row>
    <row r="2129" spans="1:31" x14ac:dyDescent="0.25">
      <c r="A2129" s="14" t="s">
        <v>109</v>
      </c>
      <c r="C2129" s="61" t="str">
        <f t="shared" si="592"/>
        <v>C100116</v>
      </c>
      <c r="F2129" s="8" t="str">
        <f>"S100021"</f>
        <v>S100021</v>
      </c>
      <c r="G2129" s="9" t="str">
        <f>"Translucent Stopwatch"</f>
        <v>Translucent Stopwatch</v>
      </c>
      <c r="H2129" s="47"/>
      <c r="I2129" s="47"/>
      <c r="J2129" s="23">
        <v>4.03</v>
      </c>
      <c r="K2129" s="25">
        <v>1</v>
      </c>
      <c r="L2129" s="24">
        <v>2.15</v>
      </c>
      <c r="M2129" s="24">
        <f>J2129-L2129</f>
        <v>1.8800000000000003</v>
      </c>
      <c r="N2129" s="53">
        <f>IF(J2129&lt;&gt;0,M2129/J2129,"")</f>
        <v>0.46650124069478915</v>
      </c>
      <c r="O2129" s="23">
        <v>585.57000000000005</v>
      </c>
      <c r="P2129" s="25">
        <v>144</v>
      </c>
      <c r="Q2129" s="24">
        <v>309.58999999999997</v>
      </c>
      <c r="R2129" s="24">
        <f>O2129-Q2129</f>
        <v>275.98000000000008</v>
      </c>
      <c r="S2129" s="53">
        <f>IF(O2129&lt;&gt;0,R2129/O2129,"")</f>
        <v>0.47130146694673575</v>
      </c>
      <c r="T2129" s="10"/>
      <c r="U2129" s="23">
        <v>585.56000000000006</v>
      </c>
      <c r="V2129" s="25">
        <v>144</v>
      </c>
      <c r="W2129" s="24">
        <v>309.58999999999997</v>
      </c>
      <c r="X2129" s="24">
        <f>U2129-W2129</f>
        <v>275.97000000000008</v>
      </c>
      <c r="Y2129" s="53">
        <f>IF(U2129&lt;&gt;0,X2129/U2129,"")</f>
        <v>0.47129243800806075</v>
      </c>
      <c r="Z2129" s="23">
        <v>780.75999999999988</v>
      </c>
      <c r="AA2129" s="25">
        <v>192</v>
      </c>
      <c r="AB2129" s="24">
        <v>412.78999999999996</v>
      </c>
      <c r="AC2129" s="24">
        <f t="shared" si="593"/>
        <v>367.96999999999991</v>
      </c>
      <c r="AD2129" s="53">
        <f t="shared" si="594"/>
        <v>0.47129719760233613</v>
      </c>
      <c r="AE2129" s="10"/>
    </row>
    <row r="2130" spans="1:31" ht="15.75" thickBot="1" x14ac:dyDescent="0.3">
      <c r="A2130" s="14" t="s">
        <v>109</v>
      </c>
      <c r="C2130" s="61" t="str">
        <f>C2097</f>
        <v>C100116</v>
      </c>
      <c r="J2130" s="10"/>
      <c r="K2130" s="11"/>
      <c r="L2130" s="11"/>
      <c r="M2130" s="11"/>
      <c r="N2130" s="12"/>
      <c r="O2130" s="10"/>
      <c r="P2130" s="11"/>
      <c r="Q2130" s="11"/>
      <c r="R2130" s="11"/>
      <c r="S2130" s="12"/>
      <c r="U2130" s="10"/>
      <c r="V2130" s="11"/>
      <c r="W2130" s="11"/>
      <c r="X2130" s="11"/>
      <c r="Y2130" s="12"/>
      <c r="Z2130" s="10"/>
      <c r="AA2130" s="11"/>
      <c r="AB2130" s="11"/>
      <c r="AC2130" s="11"/>
      <c r="AD2130" s="12"/>
    </row>
    <row r="2131" spans="1:31" ht="15.75" thickBot="1" x14ac:dyDescent="0.3">
      <c r="A2131" s="14" t="s">
        <v>109</v>
      </c>
      <c r="C2131" s="61" t="str">
        <f t="shared" si="589"/>
        <v>C100116</v>
      </c>
      <c r="G2131" s="48" t="str">
        <f>C2131&amp;" TOTAL:"</f>
        <v>C100116 TOTAL:</v>
      </c>
      <c r="H2131" s="50"/>
      <c r="I2131" s="50"/>
      <c r="J2131" s="34">
        <f>SUBTOTAL(9,J2096:J2130)</f>
        <v>18749.690000000002</v>
      </c>
      <c r="K2131" s="35">
        <f>SUBTOTAL(9,K2096:K2130)</f>
        <v>1729</v>
      </c>
      <c r="L2131" s="36">
        <f>SUBTOTAL(9,L2096:L2130)</f>
        <v>10552.820000000002</v>
      </c>
      <c r="M2131" s="36">
        <f>J2131-L2131</f>
        <v>8196.8700000000008</v>
      </c>
      <c r="N2131" s="37">
        <f>IF(J2131&lt;&gt;0,M2131/J2131,"")</f>
        <v>0.43717362793731523</v>
      </c>
      <c r="O2131" s="34">
        <f>SUBTOTAL(9,O2096:O2130)</f>
        <v>14025.599999999999</v>
      </c>
      <c r="P2131" s="35">
        <f>SUBTOTAL(9,P2096:P2130)</f>
        <v>2244</v>
      </c>
      <c r="Q2131" s="36">
        <f>SUBTOTAL(9,Q2096:Q2130)</f>
        <v>8056.0700000000006</v>
      </c>
      <c r="R2131" s="36">
        <f>O2131-Q2131</f>
        <v>5969.5299999999979</v>
      </c>
      <c r="S2131" s="37">
        <f>IF(O2131&lt;&gt;0,R2131/O2131,"")</f>
        <v>0.42561672940908041</v>
      </c>
      <c r="U2131" s="34">
        <f>SUBTOTAL(9,U2096:U2130)</f>
        <v>23600.249999999996</v>
      </c>
      <c r="V2131" s="35">
        <f>SUBTOTAL(9,V2096:V2130)</f>
        <v>3642</v>
      </c>
      <c r="W2131" s="36">
        <f>SUBTOTAL(9,W2096:W2130)</f>
        <v>12620.88</v>
      </c>
      <c r="X2131" s="36">
        <f>U2131-W2131</f>
        <v>10979.369999999997</v>
      </c>
      <c r="Y2131" s="37">
        <f>IF(U2131&lt;&gt;0,X2131/U2131,"")</f>
        <v>0.46522261416722277</v>
      </c>
      <c r="Z2131" s="34">
        <f>SUBTOTAL(9,Z2096:Z2130)</f>
        <v>18791.359999999993</v>
      </c>
      <c r="AA2131" s="35">
        <f>SUBTOTAL(9,AA2096:AA2130)</f>
        <v>1127</v>
      </c>
      <c r="AB2131" s="36">
        <f>SUBTOTAL(9,AB2096:AB2130)</f>
        <v>9541.0499999999993</v>
      </c>
      <c r="AC2131" s="36">
        <f t="shared" ref="AC2131" si="595">Z2131-AB2131</f>
        <v>9250.309999999994</v>
      </c>
      <c r="AD2131" s="37">
        <f t="shared" ref="AD2131" si="596">IF(Z2131&lt;&gt;0,AC2131/Z2131,"")</f>
        <v>0.49226399792244935</v>
      </c>
    </row>
    <row r="2132" spans="1:31" x14ac:dyDescent="0.25">
      <c r="A2132" s="14" t="s">
        <v>109</v>
      </c>
      <c r="C2132" s="66"/>
      <c r="J2132" s="10"/>
      <c r="K2132" s="11"/>
      <c r="L2132" s="11"/>
      <c r="M2132" s="11"/>
      <c r="N2132" s="12"/>
      <c r="O2132" s="10"/>
      <c r="P2132" s="11"/>
      <c r="Q2132" s="11"/>
      <c r="R2132" s="11"/>
      <c r="S2132" s="12"/>
      <c r="U2132" s="10"/>
      <c r="V2132" s="11"/>
      <c r="W2132" s="11"/>
      <c r="X2132" s="11"/>
      <c r="Y2132" s="12"/>
      <c r="Z2132" s="10"/>
      <c r="AA2132" s="11"/>
      <c r="AB2132" s="11"/>
      <c r="AC2132" s="11"/>
      <c r="AD2132" s="12"/>
    </row>
    <row r="2133" spans="1:31" ht="15.75" x14ac:dyDescent="0.25">
      <c r="A2133" s="14" t="s">
        <v>109</v>
      </c>
      <c r="C2133" s="66" t="str">
        <f t="shared" ref="C2133" si="597">E2133</f>
        <v>C100117</v>
      </c>
      <c r="E2133" s="13" t="str">
        <f>"C100117"</f>
        <v>C100117</v>
      </c>
      <c r="F2133" s="13"/>
      <c r="G2133" s="13" t="str">
        <f>"Tintax "</f>
        <v xml:space="preserve">Tintax </v>
      </c>
      <c r="H2133" s="13"/>
      <c r="I2133" s="13"/>
      <c r="J2133" s="10"/>
      <c r="K2133" s="11"/>
      <c r="L2133" s="11"/>
      <c r="M2133" s="11"/>
      <c r="N2133" s="12"/>
      <c r="O2133" s="10"/>
      <c r="P2133" s="11"/>
      <c r="Q2133" s="11"/>
      <c r="R2133" s="11"/>
      <c r="S2133" s="12"/>
      <c r="U2133" s="10"/>
      <c r="V2133" s="11"/>
      <c r="W2133" s="11"/>
      <c r="X2133" s="11"/>
      <c r="Y2133" s="12"/>
      <c r="Z2133" s="10"/>
      <c r="AA2133" s="11"/>
      <c r="AB2133" s="11"/>
      <c r="AC2133" s="11"/>
      <c r="AD2133" s="12"/>
    </row>
    <row r="2134" spans="1:31" ht="6.6" customHeight="1" x14ac:dyDescent="0.25">
      <c r="A2134" s="14" t="s">
        <v>109</v>
      </c>
      <c r="C2134" s="61" t="str">
        <f t="shared" ref="C2134:C2168" si="598">C2133</f>
        <v>C100117</v>
      </c>
      <c r="J2134" s="10"/>
      <c r="K2134" s="11"/>
      <c r="L2134" s="11"/>
      <c r="M2134" s="11"/>
      <c r="N2134" s="12"/>
      <c r="O2134" s="10"/>
      <c r="P2134" s="11"/>
      <c r="Q2134" s="11"/>
      <c r="R2134" s="11"/>
      <c r="S2134" s="12"/>
      <c r="U2134" s="10"/>
      <c r="V2134" s="11"/>
      <c r="W2134" s="11"/>
      <c r="X2134" s="11"/>
      <c r="Y2134" s="12"/>
      <c r="Z2134" s="10"/>
      <c r="AA2134" s="11"/>
      <c r="AB2134" s="11"/>
      <c r="AC2134" s="11"/>
      <c r="AD2134" s="12"/>
    </row>
    <row r="2135" spans="1:31" x14ac:dyDescent="0.25">
      <c r="A2135" s="14" t="s">
        <v>109</v>
      </c>
      <c r="C2135" s="61" t="str">
        <f t="shared" si="598"/>
        <v>C100117</v>
      </c>
      <c r="F2135" s="8" t="str">
        <f>"C100025"</f>
        <v>C100025</v>
      </c>
      <c r="G2135" s="9" t="str">
        <f>"Striped Knit Hat"</f>
        <v>Striped Knit Hat</v>
      </c>
      <c r="H2135" s="47"/>
      <c r="I2135" s="47"/>
      <c r="J2135" s="23">
        <v>33.61</v>
      </c>
      <c r="K2135" s="25">
        <v>12</v>
      </c>
      <c r="L2135" s="24">
        <v>16.559999999999999</v>
      </c>
      <c r="M2135" s="24">
        <f>J2135-L2135</f>
        <v>17.05</v>
      </c>
      <c r="N2135" s="53">
        <f>IF(J2135&lt;&gt;0,M2135/J2135,"")</f>
        <v>0.50728949717346028</v>
      </c>
      <c r="O2135" s="23">
        <v>0</v>
      </c>
      <c r="P2135" s="25">
        <v>0</v>
      </c>
      <c r="Q2135" s="24">
        <v>0</v>
      </c>
      <c r="R2135" s="24">
        <f>O2135-Q2135</f>
        <v>0</v>
      </c>
      <c r="S2135" s="53" t="str">
        <f>IF(O2135&lt;&gt;0,R2135/O2135,"")</f>
        <v/>
      </c>
      <c r="T2135" s="10"/>
      <c r="U2135" s="23">
        <v>0</v>
      </c>
      <c r="V2135" s="25">
        <v>0</v>
      </c>
      <c r="W2135" s="24">
        <v>0</v>
      </c>
      <c r="X2135" s="24">
        <f>U2135-W2135</f>
        <v>0</v>
      </c>
      <c r="Y2135" s="53" t="str">
        <f>IF(U2135&lt;&gt;0,X2135/U2135,"")</f>
        <v/>
      </c>
      <c r="Z2135" s="23">
        <v>0</v>
      </c>
      <c r="AA2135" s="25">
        <v>0</v>
      </c>
      <c r="AB2135" s="24">
        <v>0</v>
      </c>
      <c r="AC2135" s="24">
        <f t="shared" ref="AC2135" si="599">Z2135-AB2135</f>
        <v>0</v>
      </c>
      <c r="AD2135" s="53" t="str">
        <f t="shared" ref="AD2135" si="600">IF(Z2135&lt;&gt;0,AC2135/Z2135,"")</f>
        <v/>
      </c>
      <c r="AE2135" s="10"/>
    </row>
    <row r="2136" spans="1:31" x14ac:dyDescent="0.25">
      <c r="A2136" s="14" t="s">
        <v>109</v>
      </c>
      <c r="C2136" s="61" t="str">
        <f t="shared" ref="C2136:C2166" si="601">C2135</f>
        <v>C100117</v>
      </c>
      <c r="F2136" s="8" t="str">
        <f>"C100030"</f>
        <v>C100030</v>
      </c>
      <c r="G2136" s="9" t="str">
        <f>"Fashion Visor"</f>
        <v>Fashion Visor</v>
      </c>
      <c r="H2136" s="47"/>
      <c r="I2136" s="47"/>
      <c r="J2136" s="23">
        <v>206.02</v>
      </c>
      <c r="K2136" s="25">
        <v>48</v>
      </c>
      <c r="L2136" s="24">
        <v>116.16</v>
      </c>
      <c r="M2136" s="24">
        <f>J2136-L2136</f>
        <v>89.860000000000014</v>
      </c>
      <c r="N2136" s="53">
        <f>IF(J2136&lt;&gt;0,M2136/J2136,"")</f>
        <v>0.43617124551014469</v>
      </c>
      <c r="O2136" s="23">
        <v>0</v>
      </c>
      <c r="P2136" s="25">
        <v>0</v>
      </c>
      <c r="Q2136" s="24">
        <v>0</v>
      </c>
      <c r="R2136" s="24">
        <f>O2136-Q2136</f>
        <v>0</v>
      </c>
      <c r="S2136" s="53" t="str">
        <f>IF(O2136&lt;&gt;0,R2136/O2136,"")</f>
        <v/>
      </c>
      <c r="T2136" s="10"/>
      <c r="U2136" s="23">
        <v>201.82</v>
      </c>
      <c r="V2136" s="25">
        <v>48</v>
      </c>
      <c r="W2136" s="24">
        <v>116.16</v>
      </c>
      <c r="X2136" s="24">
        <f>U2136-W2136</f>
        <v>85.66</v>
      </c>
      <c r="Y2136" s="53">
        <f>IF(U2136&lt;&gt;0,X2136/U2136,"")</f>
        <v>0.42443761767912003</v>
      </c>
      <c r="Z2136" s="23">
        <v>618.04999999999995</v>
      </c>
      <c r="AA2136" s="25">
        <v>144</v>
      </c>
      <c r="AB2136" s="24">
        <v>348.49</v>
      </c>
      <c r="AC2136" s="24">
        <f t="shared" ref="AC2136:AC2166" si="602">Z2136-AB2136</f>
        <v>269.55999999999995</v>
      </c>
      <c r="AD2136" s="53">
        <f t="shared" ref="AD2136:AD2166" si="603">IF(Z2136&lt;&gt;0,AC2136/Z2136,"")</f>
        <v>0.43614594288487979</v>
      </c>
      <c r="AE2136" s="10"/>
    </row>
    <row r="2137" spans="1:31" x14ac:dyDescent="0.25">
      <c r="A2137" s="14" t="s">
        <v>109</v>
      </c>
      <c r="C2137" s="61" t="str">
        <f t="shared" si="601"/>
        <v>C100117</v>
      </c>
      <c r="F2137" s="8" t="str">
        <f>"C100056"</f>
        <v>C100056</v>
      </c>
      <c r="G2137" s="9" t="str">
        <f>"Contemporary Desk Calculator"</f>
        <v>Contemporary Desk Calculator</v>
      </c>
      <c r="H2137" s="47"/>
      <c r="I2137" s="47"/>
      <c r="J2137" s="23">
        <v>734.96</v>
      </c>
      <c r="K2137" s="25">
        <v>144</v>
      </c>
      <c r="L2137" s="24">
        <v>383.08</v>
      </c>
      <c r="M2137" s="24">
        <f>J2137-L2137</f>
        <v>351.88000000000005</v>
      </c>
      <c r="N2137" s="53">
        <f>IF(J2137&lt;&gt;0,M2137/J2137,"")</f>
        <v>0.47877435506694249</v>
      </c>
      <c r="O2137" s="23">
        <v>0</v>
      </c>
      <c r="P2137" s="25">
        <v>0</v>
      </c>
      <c r="Q2137" s="24">
        <v>0</v>
      </c>
      <c r="R2137" s="24">
        <f>O2137-Q2137</f>
        <v>0</v>
      </c>
      <c r="S2137" s="53" t="str">
        <f>IF(O2137&lt;&gt;0,R2137/O2137,"")</f>
        <v/>
      </c>
      <c r="T2137" s="10"/>
      <c r="U2137" s="23">
        <v>0</v>
      </c>
      <c r="V2137" s="25">
        <v>0</v>
      </c>
      <c r="W2137" s="24">
        <v>0</v>
      </c>
      <c r="X2137" s="24">
        <f>U2137-W2137</f>
        <v>0</v>
      </c>
      <c r="Y2137" s="53" t="str">
        <f>IF(U2137&lt;&gt;0,X2137/U2137,"")</f>
        <v/>
      </c>
      <c r="Z2137" s="23">
        <v>0</v>
      </c>
      <c r="AA2137" s="25">
        <v>0</v>
      </c>
      <c r="AB2137" s="24">
        <v>0</v>
      </c>
      <c r="AC2137" s="24">
        <f t="shared" si="602"/>
        <v>0</v>
      </c>
      <c r="AD2137" s="53" t="str">
        <f t="shared" si="603"/>
        <v/>
      </c>
      <c r="AE2137" s="10"/>
    </row>
    <row r="2138" spans="1:31" x14ac:dyDescent="0.25">
      <c r="A2138" s="14" t="s">
        <v>109</v>
      </c>
      <c r="C2138" s="61" t="str">
        <f t="shared" si="601"/>
        <v>C100117</v>
      </c>
      <c r="F2138" s="8" t="str">
        <f>"C100066"</f>
        <v>C100066</v>
      </c>
      <c r="G2138" s="9" t="str">
        <f>"Fashion Travel Mug"</f>
        <v>Fashion Travel Mug</v>
      </c>
      <c r="H2138" s="47"/>
      <c r="I2138" s="47"/>
      <c r="J2138" s="23">
        <v>21.17</v>
      </c>
      <c r="K2138" s="25">
        <v>6</v>
      </c>
      <c r="L2138" s="24">
        <v>9.9</v>
      </c>
      <c r="M2138" s="24">
        <f>J2138-L2138</f>
        <v>11.270000000000001</v>
      </c>
      <c r="N2138" s="53">
        <f>IF(J2138&lt;&gt;0,M2138/J2138,"")</f>
        <v>0.53235710911667455</v>
      </c>
      <c r="O2138" s="23">
        <v>0</v>
      </c>
      <c r="P2138" s="25">
        <v>0</v>
      </c>
      <c r="Q2138" s="24">
        <v>0</v>
      </c>
      <c r="R2138" s="24">
        <f>O2138-Q2138</f>
        <v>0</v>
      </c>
      <c r="S2138" s="53" t="str">
        <f>IF(O2138&lt;&gt;0,R2138/O2138,"")</f>
        <v/>
      </c>
      <c r="T2138" s="10"/>
      <c r="U2138" s="23">
        <v>0</v>
      </c>
      <c r="V2138" s="25">
        <v>0</v>
      </c>
      <c r="W2138" s="24">
        <v>0</v>
      </c>
      <c r="X2138" s="24">
        <f>U2138-W2138</f>
        <v>0</v>
      </c>
      <c r="Y2138" s="53" t="str">
        <f>IF(U2138&lt;&gt;0,X2138/U2138,"")</f>
        <v/>
      </c>
      <c r="Z2138" s="23">
        <v>0</v>
      </c>
      <c r="AA2138" s="25">
        <v>0</v>
      </c>
      <c r="AB2138" s="24">
        <v>0</v>
      </c>
      <c r="AC2138" s="24">
        <f t="shared" si="602"/>
        <v>0</v>
      </c>
      <c r="AD2138" s="53" t="str">
        <f t="shared" si="603"/>
        <v/>
      </c>
      <c r="AE2138" s="10"/>
    </row>
    <row r="2139" spans="1:31" x14ac:dyDescent="0.25">
      <c r="A2139" s="14" t="s">
        <v>109</v>
      </c>
      <c r="C2139" s="61" t="str">
        <f t="shared" si="601"/>
        <v>C100117</v>
      </c>
      <c r="F2139" s="8" t="str">
        <f>"C100067"</f>
        <v>C100067</v>
      </c>
      <c r="G2139" s="9" t="str">
        <f>"Stainless Thermos"</f>
        <v>Stainless Thermos</v>
      </c>
      <c r="H2139" s="47"/>
      <c r="I2139" s="47"/>
      <c r="J2139" s="23">
        <v>221.54000000000002</v>
      </c>
      <c r="K2139" s="25">
        <v>48</v>
      </c>
      <c r="L2139" s="24">
        <v>122.89999999999999</v>
      </c>
      <c r="M2139" s="24">
        <f>J2139-L2139</f>
        <v>98.640000000000029</v>
      </c>
      <c r="N2139" s="53">
        <f>IF(J2139&lt;&gt;0,M2139/J2139,"")</f>
        <v>0.44524690800758338</v>
      </c>
      <c r="O2139" s="23">
        <v>0</v>
      </c>
      <c r="P2139" s="25">
        <v>0</v>
      </c>
      <c r="Q2139" s="24">
        <v>0</v>
      </c>
      <c r="R2139" s="24">
        <f>O2139-Q2139</f>
        <v>0</v>
      </c>
      <c r="S2139" s="53" t="str">
        <f>IF(O2139&lt;&gt;0,R2139/O2139,"")</f>
        <v/>
      </c>
      <c r="T2139" s="10"/>
      <c r="U2139" s="23">
        <v>0</v>
      </c>
      <c r="V2139" s="25">
        <v>0</v>
      </c>
      <c r="W2139" s="24">
        <v>0</v>
      </c>
      <c r="X2139" s="24">
        <f>U2139-W2139</f>
        <v>0</v>
      </c>
      <c r="Y2139" s="53" t="str">
        <f>IF(U2139&lt;&gt;0,X2139/U2139,"")</f>
        <v/>
      </c>
      <c r="Z2139" s="23">
        <v>0</v>
      </c>
      <c r="AA2139" s="25">
        <v>0</v>
      </c>
      <c r="AB2139" s="24">
        <v>0</v>
      </c>
      <c r="AC2139" s="24">
        <f t="shared" si="602"/>
        <v>0</v>
      </c>
      <c r="AD2139" s="53" t="str">
        <f t="shared" si="603"/>
        <v/>
      </c>
      <c r="AE2139" s="10"/>
    </row>
    <row r="2140" spans="1:31" x14ac:dyDescent="0.25">
      <c r="A2140" s="14" t="s">
        <v>109</v>
      </c>
      <c r="C2140" s="61" t="str">
        <f t="shared" si="601"/>
        <v>C100117</v>
      </c>
      <c r="F2140" s="8" t="str">
        <f>"E100004"</f>
        <v>E100004</v>
      </c>
      <c r="G2140" s="9" t="str">
        <f>"Laminated Tote"</f>
        <v>Laminated Tote</v>
      </c>
      <c r="H2140" s="47"/>
      <c r="I2140" s="47"/>
      <c r="J2140" s="23">
        <v>520.12</v>
      </c>
      <c r="K2140" s="25">
        <v>294</v>
      </c>
      <c r="L2140" s="24">
        <v>352.81</v>
      </c>
      <c r="M2140" s="24">
        <f>J2140-L2140</f>
        <v>167.31</v>
      </c>
      <c r="N2140" s="53">
        <f>IF(J2140&lt;&gt;0,M2140/J2140,"")</f>
        <v>0.32167576713066215</v>
      </c>
      <c r="O2140" s="23">
        <v>0</v>
      </c>
      <c r="P2140" s="25">
        <v>0</v>
      </c>
      <c r="Q2140" s="24">
        <v>0</v>
      </c>
      <c r="R2140" s="24">
        <f>O2140-Q2140</f>
        <v>0</v>
      </c>
      <c r="S2140" s="53" t="str">
        <f>IF(O2140&lt;&gt;0,R2140/O2140,"")</f>
        <v/>
      </c>
      <c r="T2140" s="10"/>
      <c r="U2140" s="23">
        <v>0</v>
      </c>
      <c r="V2140" s="25">
        <v>0</v>
      </c>
      <c r="W2140" s="24">
        <v>0</v>
      </c>
      <c r="X2140" s="24">
        <f>U2140-W2140</f>
        <v>0</v>
      </c>
      <c r="Y2140" s="53" t="str">
        <f>IF(U2140&lt;&gt;0,X2140/U2140,"")</f>
        <v/>
      </c>
      <c r="Z2140" s="23">
        <v>0</v>
      </c>
      <c r="AA2140" s="25">
        <v>0</v>
      </c>
      <c r="AB2140" s="24">
        <v>0</v>
      </c>
      <c r="AC2140" s="24">
        <f t="shared" si="602"/>
        <v>0</v>
      </c>
      <c r="AD2140" s="53" t="str">
        <f t="shared" si="603"/>
        <v/>
      </c>
      <c r="AE2140" s="10"/>
    </row>
    <row r="2141" spans="1:31" x14ac:dyDescent="0.25">
      <c r="A2141" s="14" t="s">
        <v>109</v>
      </c>
      <c r="C2141" s="61" t="str">
        <f t="shared" si="601"/>
        <v>C100117</v>
      </c>
      <c r="F2141" s="8" t="str">
        <f>"E100006"</f>
        <v>E100006</v>
      </c>
      <c r="G2141" s="9" t="str">
        <f>"Budget Tote Bag"</f>
        <v>Budget Tote Bag</v>
      </c>
      <c r="H2141" s="47"/>
      <c r="I2141" s="47"/>
      <c r="J2141" s="23">
        <v>0.1</v>
      </c>
      <c r="K2141" s="25">
        <v>1</v>
      </c>
      <c r="L2141" s="24">
        <v>0.04</v>
      </c>
      <c r="M2141" s="24">
        <f>J2141-L2141</f>
        <v>6.0000000000000005E-2</v>
      </c>
      <c r="N2141" s="53">
        <f>IF(J2141&lt;&gt;0,M2141/J2141,"")</f>
        <v>0.6</v>
      </c>
      <c r="O2141" s="23">
        <v>0</v>
      </c>
      <c r="P2141" s="25">
        <v>0</v>
      </c>
      <c r="Q2141" s="24">
        <v>0</v>
      </c>
      <c r="R2141" s="24">
        <f>O2141-Q2141</f>
        <v>0</v>
      </c>
      <c r="S2141" s="53" t="str">
        <f>IF(O2141&lt;&gt;0,R2141/O2141,"")</f>
        <v/>
      </c>
      <c r="T2141" s="10"/>
      <c r="U2141" s="23">
        <v>0</v>
      </c>
      <c r="V2141" s="25">
        <v>0</v>
      </c>
      <c r="W2141" s="24">
        <v>0</v>
      </c>
      <c r="X2141" s="24">
        <f>U2141-W2141</f>
        <v>0</v>
      </c>
      <c r="Y2141" s="53" t="str">
        <f>IF(U2141&lt;&gt;0,X2141/U2141,"")</f>
        <v/>
      </c>
      <c r="Z2141" s="23">
        <v>12.86</v>
      </c>
      <c r="AA2141" s="25">
        <v>145</v>
      </c>
      <c r="AB2141" s="24">
        <v>5.79</v>
      </c>
      <c r="AC2141" s="24">
        <f t="shared" si="602"/>
        <v>7.0699999999999994</v>
      </c>
      <c r="AD2141" s="53">
        <f t="shared" si="603"/>
        <v>0.54976671850699843</v>
      </c>
      <c r="AE2141" s="10"/>
    </row>
    <row r="2142" spans="1:31" x14ac:dyDescent="0.25">
      <c r="A2142" s="14" t="s">
        <v>109</v>
      </c>
      <c r="C2142" s="61" t="str">
        <f t="shared" si="601"/>
        <v>C100117</v>
      </c>
      <c r="F2142" s="8" t="str">
        <f>"E100007"</f>
        <v>E100007</v>
      </c>
      <c r="G2142" s="9" t="str">
        <f>"Plastic Handle Bag"</f>
        <v>Plastic Handle Bag</v>
      </c>
      <c r="H2142" s="47"/>
      <c r="I2142" s="47"/>
      <c r="J2142" s="23">
        <v>44.67</v>
      </c>
      <c r="K2142" s="25">
        <v>144</v>
      </c>
      <c r="L2142" s="24">
        <v>25.92</v>
      </c>
      <c r="M2142" s="24">
        <f>J2142-L2142</f>
        <v>18.75</v>
      </c>
      <c r="N2142" s="53">
        <f>IF(J2142&lt;&gt;0,M2142/J2142,"")</f>
        <v>0.41974479516453994</v>
      </c>
      <c r="O2142" s="23">
        <v>0</v>
      </c>
      <c r="P2142" s="25">
        <v>0</v>
      </c>
      <c r="Q2142" s="24">
        <v>0</v>
      </c>
      <c r="R2142" s="24">
        <f>O2142-Q2142</f>
        <v>0</v>
      </c>
      <c r="S2142" s="53" t="str">
        <f>IF(O2142&lt;&gt;0,R2142/O2142,"")</f>
        <v/>
      </c>
      <c r="T2142" s="10"/>
      <c r="U2142" s="23">
        <v>0</v>
      </c>
      <c r="V2142" s="25">
        <v>0</v>
      </c>
      <c r="W2142" s="24">
        <v>0</v>
      </c>
      <c r="X2142" s="24">
        <f>U2142-W2142</f>
        <v>0</v>
      </c>
      <c r="Y2142" s="53" t="str">
        <f>IF(U2142&lt;&gt;0,X2142/U2142,"")</f>
        <v/>
      </c>
      <c r="Z2142" s="23">
        <v>0</v>
      </c>
      <c r="AA2142" s="25">
        <v>0</v>
      </c>
      <c r="AB2142" s="24">
        <v>0</v>
      </c>
      <c r="AC2142" s="24">
        <f t="shared" si="602"/>
        <v>0</v>
      </c>
      <c r="AD2142" s="53" t="str">
        <f t="shared" si="603"/>
        <v/>
      </c>
      <c r="AE2142" s="10"/>
    </row>
    <row r="2143" spans="1:31" x14ac:dyDescent="0.25">
      <c r="A2143" s="14" t="s">
        <v>109</v>
      </c>
      <c r="C2143" s="61" t="str">
        <f t="shared" si="601"/>
        <v>C100117</v>
      </c>
      <c r="F2143" s="8" t="str">
        <f>"E100010"</f>
        <v>E100010</v>
      </c>
      <c r="G2143" s="9" t="str">
        <f>"Vinyl Tote"</f>
        <v>Vinyl Tote</v>
      </c>
      <c r="H2143" s="47"/>
      <c r="I2143" s="47"/>
      <c r="J2143" s="23">
        <v>43.8</v>
      </c>
      <c r="K2143" s="25">
        <v>150</v>
      </c>
      <c r="L2143" s="24">
        <v>27</v>
      </c>
      <c r="M2143" s="24">
        <f>J2143-L2143</f>
        <v>16.799999999999997</v>
      </c>
      <c r="N2143" s="53">
        <f>IF(J2143&lt;&gt;0,M2143/J2143,"")</f>
        <v>0.38356164383561642</v>
      </c>
      <c r="O2143" s="23">
        <v>0</v>
      </c>
      <c r="P2143" s="25">
        <v>0</v>
      </c>
      <c r="Q2143" s="24">
        <v>0</v>
      </c>
      <c r="R2143" s="24">
        <f>O2143-Q2143</f>
        <v>0</v>
      </c>
      <c r="S2143" s="53" t="str">
        <f>IF(O2143&lt;&gt;0,R2143/O2143,"")</f>
        <v/>
      </c>
      <c r="T2143" s="10"/>
      <c r="U2143" s="23">
        <v>0.6</v>
      </c>
      <c r="V2143" s="25">
        <v>2</v>
      </c>
      <c r="W2143" s="24">
        <v>0.36</v>
      </c>
      <c r="X2143" s="24">
        <f>U2143-W2143</f>
        <v>0.24</v>
      </c>
      <c r="Y2143" s="53">
        <f>IF(U2143&lt;&gt;0,X2143/U2143,"")</f>
        <v>0.4</v>
      </c>
      <c r="Z2143" s="23">
        <v>0</v>
      </c>
      <c r="AA2143" s="25">
        <v>0</v>
      </c>
      <c r="AB2143" s="24">
        <v>0</v>
      </c>
      <c r="AC2143" s="24">
        <f t="shared" si="602"/>
        <v>0</v>
      </c>
      <c r="AD2143" s="53" t="str">
        <f t="shared" si="603"/>
        <v/>
      </c>
      <c r="AE2143" s="10"/>
    </row>
    <row r="2144" spans="1:31" x14ac:dyDescent="0.25">
      <c r="A2144" s="14" t="s">
        <v>109</v>
      </c>
      <c r="C2144" s="61" t="str">
        <f t="shared" si="601"/>
        <v>C100117</v>
      </c>
      <c r="F2144" s="8" t="str">
        <f>"E100014"</f>
        <v>E100014</v>
      </c>
      <c r="G2144" s="9" t="str">
        <f>"Stopwatch with Neck Rope"</f>
        <v>Stopwatch with Neck Rope</v>
      </c>
      <c r="H2144" s="47"/>
      <c r="I2144" s="47"/>
      <c r="J2144" s="23">
        <v>760.15</v>
      </c>
      <c r="K2144" s="25">
        <v>288</v>
      </c>
      <c r="L2144" s="24">
        <v>371.5</v>
      </c>
      <c r="M2144" s="24">
        <f>J2144-L2144</f>
        <v>388.65</v>
      </c>
      <c r="N2144" s="53">
        <f>IF(J2144&lt;&gt;0,M2144/J2144,"")</f>
        <v>0.51128066828915342</v>
      </c>
      <c r="O2144" s="23">
        <v>0</v>
      </c>
      <c r="P2144" s="25">
        <v>0</v>
      </c>
      <c r="Q2144" s="24">
        <v>0</v>
      </c>
      <c r="R2144" s="24">
        <f>O2144-Q2144</f>
        <v>0</v>
      </c>
      <c r="S2144" s="53" t="str">
        <f>IF(O2144&lt;&gt;0,R2144/O2144,"")</f>
        <v/>
      </c>
      <c r="T2144" s="10"/>
      <c r="U2144" s="23">
        <v>0</v>
      </c>
      <c r="V2144" s="25">
        <v>0</v>
      </c>
      <c r="W2144" s="24">
        <v>0</v>
      </c>
      <c r="X2144" s="24">
        <f>U2144-W2144</f>
        <v>0</v>
      </c>
      <c r="Y2144" s="53" t="str">
        <f>IF(U2144&lt;&gt;0,X2144/U2144,"")</f>
        <v/>
      </c>
      <c r="Z2144" s="23">
        <v>0</v>
      </c>
      <c r="AA2144" s="25">
        <v>0</v>
      </c>
      <c r="AB2144" s="24">
        <v>0</v>
      </c>
      <c r="AC2144" s="24">
        <f t="shared" si="602"/>
        <v>0</v>
      </c>
      <c r="AD2144" s="53" t="str">
        <f t="shared" si="603"/>
        <v/>
      </c>
      <c r="AE2144" s="10"/>
    </row>
    <row r="2145" spans="1:31" x14ac:dyDescent="0.25">
      <c r="A2145" s="14" t="s">
        <v>109</v>
      </c>
      <c r="C2145" s="61" t="str">
        <f t="shared" si="601"/>
        <v>C100117</v>
      </c>
      <c r="F2145" s="8" t="str">
        <f>"E100015"</f>
        <v>E100015</v>
      </c>
      <c r="G2145" s="9" t="str">
        <f>"360 Clip Watch"</f>
        <v>360 Clip Watch</v>
      </c>
      <c r="H2145" s="47"/>
      <c r="I2145" s="47"/>
      <c r="J2145" s="23">
        <v>14.77</v>
      </c>
      <c r="K2145" s="25">
        <v>7</v>
      </c>
      <c r="L2145" s="24">
        <v>7.14</v>
      </c>
      <c r="M2145" s="24">
        <f>J2145-L2145</f>
        <v>7.63</v>
      </c>
      <c r="N2145" s="53">
        <f>IF(J2145&lt;&gt;0,M2145/J2145,"")</f>
        <v>0.51658767772511849</v>
      </c>
      <c r="O2145" s="23">
        <v>0</v>
      </c>
      <c r="P2145" s="25">
        <v>0</v>
      </c>
      <c r="Q2145" s="24">
        <v>0</v>
      </c>
      <c r="R2145" s="24">
        <f>O2145-Q2145</f>
        <v>0</v>
      </c>
      <c r="S2145" s="53" t="str">
        <f>IF(O2145&lt;&gt;0,R2145/O2145,"")</f>
        <v/>
      </c>
      <c r="T2145" s="10"/>
      <c r="U2145" s="23">
        <v>0</v>
      </c>
      <c r="V2145" s="25">
        <v>0</v>
      </c>
      <c r="W2145" s="24">
        <v>0</v>
      </c>
      <c r="X2145" s="24">
        <f>U2145-W2145</f>
        <v>0</v>
      </c>
      <c r="Y2145" s="53" t="str">
        <f>IF(U2145&lt;&gt;0,X2145/U2145,"")</f>
        <v/>
      </c>
      <c r="Z2145" s="23">
        <v>0</v>
      </c>
      <c r="AA2145" s="25">
        <v>0</v>
      </c>
      <c r="AB2145" s="24">
        <v>0</v>
      </c>
      <c r="AC2145" s="24">
        <f t="shared" si="602"/>
        <v>0</v>
      </c>
      <c r="AD2145" s="53" t="str">
        <f t="shared" si="603"/>
        <v/>
      </c>
      <c r="AE2145" s="10"/>
    </row>
    <row r="2146" spans="1:31" x14ac:dyDescent="0.25">
      <c r="A2146" s="14" t="s">
        <v>109</v>
      </c>
      <c r="C2146" s="61" t="str">
        <f t="shared" si="601"/>
        <v>C100117</v>
      </c>
      <c r="F2146" s="8" t="str">
        <f>"E100016"</f>
        <v>E100016</v>
      </c>
      <c r="G2146" s="9" t="str">
        <f>"4 Function Rotating Carabiner Watch"</f>
        <v>4 Function Rotating Carabiner Watch</v>
      </c>
      <c r="H2146" s="47"/>
      <c r="I2146" s="47"/>
      <c r="J2146" s="23">
        <v>411.44</v>
      </c>
      <c r="K2146" s="25">
        <v>144</v>
      </c>
      <c r="L2146" s="24">
        <v>198.73000000000002</v>
      </c>
      <c r="M2146" s="24">
        <f>J2146-L2146</f>
        <v>212.70999999999998</v>
      </c>
      <c r="N2146" s="53">
        <f>IF(J2146&lt;&gt;0,M2146/J2146,"")</f>
        <v>0.51698911141357184</v>
      </c>
      <c r="O2146" s="23">
        <v>0</v>
      </c>
      <c r="P2146" s="25">
        <v>0</v>
      </c>
      <c r="Q2146" s="24">
        <v>0</v>
      </c>
      <c r="R2146" s="24">
        <f>O2146-Q2146</f>
        <v>0</v>
      </c>
      <c r="S2146" s="53" t="str">
        <f>IF(O2146&lt;&gt;0,R2146/O2146,"")</f>
        <v/>
      </c>
      <c r="T2146" s="10"/>
      <c r="U2146" s="23">
        <v>0</v>
      </c>
      <c r="V2146" s="25">
        <v>0</v>
      </c>
      <c r="W2146" s="24">
        <v>0</v>
      </c>
      <c r="X2146" s="24">
        <f>U2146-W2146</f>
        <v>0</v>
      </c>
      <c r="Y2146" s="53" t="str">
        <f>IF(U2146&lt;&gt;0,X2146/U2146,"")</f>
        <v/>
      </c>
      <c r="Z2146" s="23">
        <v>0</v>
      </c>
      <c r="AA2146" s="25">
        <v>0</v>
      </c>
      <c r="AB2146" s="24">
        <v>0</v>
      </c>
      <c r="AC2146" s="24">
        <f t="shared" si="602"/>
        <v>0</v>
      </c>
      <c r="AD2146" s="53" t="str">
        <f t="shared" si="603"/>
        <v/>
      </c>
      <c r="AE2146" s="10"/>
    </row>
    <row r="2147" spans="1:31" x14ac:dyDescent="0.25">
      <c r="A2147" s="14" t="s">
        <v>109</v>
      </c>
      <c r="C2147" s="61" t="str">
        <f t="shared" si="601"/>
        <v>C100117</v>
      </c>
      <c r="F2147" s="8" t="str">
        <f>"E100018"</f>
        <v>E100018</v>
      </c>
      <c r="G2147" s="9" t="str">
        <f>"Flexi-Clock &amp; Clip"</f>
        <v>Flexi-Clock &amp; Clip</v>
      </c>
      <c r="H2147" s="47"/>
      <c r="I2147" s="47"/>
      <c r="J2147" s="23">
        <v>154</v>
      </c>
      <c r="K2147" s="25">
        <v>145</v>
      </c>
      <c r="L2147" s="24">
        <v>86.990000000000009</v>
      </c>
      <c r="M2147" s="24">
        <f>J2147-L2147</f>
        <v>67.009999999999991</v>
      </c>
      <c r="N2147" s="53">
        <f>IF(J2147&lt;&gt;0,M2147/J2147,"")</f>
        <v>0.43512987012987009</v>
      </c>
      <c r="O2147" s="23">
        <v>0</v>
      </c>
      <c r="P2147" s="25">
        <v>0</v>
      </c>
      <c r="Q2147" s="24">
        <v>0</v>
      </c>
      <c r="R2147" s="24">
        <f>O2147-Q2147</f>
        <v>0</v>
      </c>
      <c r="S2147" s="53" t="str">
        <f>IF(O2147&lt;&gt;0,R2147/O2147,"")</f>
        <v/>
      </c>
      <c r="T2147" s="10"/>
      <c r="U2147" s="23">
        <v>1.0900000000000001</v>
      </c>
      <c r="V2147" s="25">
        <v>1</v>
      </c>
      <c r="W2147" s="24">
        <v>0.6</v>
      </c>
      <c r="X2147" s="24">
        <f>U2147-W2147</f>
        <v>0.4900000000000001</v>
      </c>
      <c r="Y2147" s="53">
        <f>IF(U2147&lt;&gt;0,X2147/U2147,"")</f>
        <v>0.44954128440366981</v>
      </c>
      <c r="Z2147" s="23">
        <v>0</v>
      </c>
      <c r="AA2147" s="25">
        <v>0</v>
      </c>
      <c r="AB2147" s="24">
        <v>0</v>
      </c>
      <c r="AC2147" s="24">
        <f t="shared" si="602"/>
        <v>0</v>
      </c>
      <c r="AD2147" s="53" t="str">
        <f t="shared" si="603"/>
        <v/>
      </c>
      <c r="AE2147" s="10"/>
    </row>
    <row r="2148" spans="1:31" x14ac:dyDescent="0.25">
      <c r="A2148" s="14" t="s">
        <v>109</v>
      </c>
      <c r="C2148" s="61" t="str">
        <f t="shared" si="601"/>
        <v>C100117</v>
      </c>
      <c r="F2148" s="8" t="str">
        <f>"E100019"</f>
        <v>E100019</v>
      </c>
      <c r="G2148" s="9" t="str">
        <f>"Mini Travel Alarm"</f>
        <v>Mini Travel Alarm</v>
      </c>
      <c r="H2148" s="47"/>
      <c r="I2148" s="47"/>
      <c r="J2148" s="23">
        <v>3.33</v>
      </c>
      <c r="K2148" s="25">
        <v>1</v>
      </c>
      <c r="L2148" s="24">
        <v>1.62</v>
      </c>
      <c r="M2148" s="24">
        <f>J2148-L2148</f>
        <v>1.71</v>
      </c>
      <c r="N2148" s="53">
        <f>IF(J2148&lt;&gt;0,M2148/J2148,"")</f>
        <v>0.51351351351351349</v>
      </c>
      <c r="O2148" s="23">
        <v>0</v>
      </c>
      <c r="P2148" s="25">
        <v>0</v>
      </c>
      <c r="Q2148" s="24">
        <v>0</v>
      </c>
      <c r="R2148" s="24">
        <f>O2148-Q2148</f>
        <v>0</v>
      </c>
      <c r="S2148" s="53" t="str">
        <f>IF(O2148&lt;&gt;0,R2148/O2148,"")</f>
        <v/>
      </c>
      <c r="T2148" s="10"/>
      <c r="U2148" s="23">
        <v>0</v>
      </c>
      <c r="V2148" s="25">
        <v>0</v>
      </c>
      <c r="W2148" s="24">
        <v>0</v>
      </c>
      <c r="X2148" s="24">
        <f>U2148-W2148</f>
        <v>0</v>
      </c>
      <c r="Y2148" s="53" t="str">
        <f>IF(U2148&lt;&gt;0,X2148/U2148,"")</f>
        <v/>
      </c>
      <c r="Z2148" s="23">
        <v>0</v>
      </c>
      <c r="AA2148" s="25">
        <v>0</v>
      </c>
      <c r="AB2148" s="24">
        <v>0</v>
      </c>
      <c r="AC2148" s="24">
        <f t="shared" si="602"/>
        <v>0</v>
      </c>
      <c r="AD2148" s="53" t="str">
        <f t="shared" si="603"/>
        <v/>
      </c>
      <c r="AE2148" s="10"/>
    </row>
    <row r="2149" spans="1:31" x14ac:dyDescent="0.25">
      <c r="A2149" s="14" t="s">
        <v>109</v>
      </c>
      <c r="C2149" s="61" t="str">
        <f t="shared" si="601"/>
        <v>C100117</v>
      </c>
      <c r="F2149" s="8" t="str">
        <f>"E100023"</f>
        <v>E100023</v>
      </c>
      <c r="G2149" s="9" t="str">
        <f>"Sport Earbuds"</f>
        <v>Sport Earbuds</v>
      </c>
      <c r="H2149" s="47"/>
      <c r="I2149" s="47"/>
      <c r="J2149" s="23">
        <v>637.77</v>
      </c>
      <c r="K2149" s="25">
        <v>144</v>
      </c>
      <c r="L2149" s="24">
        <v>302.39999999999998</v>
      </c>
      <c r="M2149" s="24">
        <f>J2149-L2149</f>
        <v>335.37</v>
      </c>
      <c r="N2149" s="53">
        <f>IF(J2149&lt;&gt;0,M2149/J2149,"")</f>
        <v>0.52584787619361217</v>
      </c>
      <c r="O2149" s="23">
        <v>0</v>
      </c>
      <c r="P2149" s="25">
        <v>0</v>
      </c>
      <c r="Q2149" s="24">
        <v>0</v>
      </c>
      <c r="R2149" s="24">
        <f>O2149-Q2149</f>
        <v>0</v>
      </c>
      <c r="S2149" s="53" t="str">
        <f>IF(O2149&lt;&gt;0,R2149/O2149,"")</f>
        <v/>
      </c>
      <c r="T2149" s="10"/>
      <c r="U2149" s="23">
        <v>0</v>
      </c>
      <c r="V2149" s="25">
        <v>0</v>
      </c>
      <c r="W2149" s="24">
        <v>0</v>
      </c>
      <c r="X2149" s="24">
        <f>U2149-W2149</f>
        <v>0</v>
      </c>
      <c r="Y2149" s="53" t="str">
        <f>IF(U2149&lt;&gt;0,X2149/U2149,"")</f>
        <v/>
      </c>
      <c r="Z2149" s="23">
        <v>0</v>
      </c>
      <c r="AA2149" s="25">
        <v>0</v>
      </c>
      <c r="AB2149" s="24">
        <v>0</v>
      </c>
      <c r="AC2149" s="24">
        <f t="shared" si="602"/>
        <v>0</v>
      </c>
      <c r="AD2149" s="53" t="str">
        <f t="shared" si="603"/>
        <v/>
      </c>
      <c r="AE2149" s="10"/>
    </row>
    <row r="2150" spans="1:31" x14ac:dyDescent="0.25">
      <c r="A2150" s="14" t="s">
        <v>109</v>
      </c>
      <c r="C2150" s="61" t="str">
        <f t="shared" si="601"/>
        <v>C100117</v>
      </c>
      <c r="F2150" s="8" t="str">
        <f>"E100024"</f>
        <v>E100024</v>
      </c>
      <c r="G2150" s="9" t="str">
        <f>"Arch Calculator"</f>
        <v>Arch Calculator</v>
      </c>
      <c r="H2150" s="47"/>
      <c r="I2150" s="47"/>
      <c r="J2150" s="23">
        <v>149.63</v>
      </c>
      <c r="K2150" s="25">
        <v>48</v>
      </c>
      <c r="L2150" s="24">
        <v>82.53</v>
      </c>
      <c r="M2150" s="24">
        <f>J2150-L2150</f>
        <v>67.099999999999994</v>
      </c>
      <c r="N2150" s="53">
        <f>IF(J2150&lt;&gt;0,M2150/J2150,"")</f>
        <v>0.44843948406068301</v>
      </c>
      <c r="O2150" s="23">
        <v>0</v>
      </c>
      <c r="P2150" s="25">
        <v>0</v>
      </c>
      <c r="Q2150" s="24">
        <v>0</v>
      </c>
      <c r="R2150" s="24">
        <f>O2150-Q2150</f>
        <v>0</v>
      </c>
      <c r="S2150" s="53" t="str">
        <f>IF(O2150&lt;&gt;0,R2150/O2150,"")</f>
        <v/>
      </c>
      <c r="T2150" s="10"/>
      <c r="U2150" s="23">
        <v>0</v>
      </c>
      <c r="V2150" s="25">
        <v>0</v>
      </c>
      <c r="W2150" s="24">
        <v>0</v>
      </c>
      <c r="X2150" s="24">
        <f>U2150-W2150</f>
        <v>0</v>
      </c>
      <c r="Y2150" s="53" t="str">
        <f>IF(U2150&lt;&gt;0,X2150/U2150,"")</f>
        <v/>
      </c>
      <c r="Z2150" s="23">
        <v>3.11</v>
      </c>
      <c r="AA2150" s="25">
        <v>1</v>
      </c>
      <c r="AB2150" s="24">
        <v>1.72</v>
      </c>
      <c r="AC2150" s="24">
        <f t="shared" si="602"/>
        <v>1.39</v>
      </c>
      <c r="AD2150" s="53">
        <f t="shared" si="603"/>
        <v>0.44694533762057875</v>
      </c>
      <c r="AE2150" s="10"/>
    </row>
    <row r="2151" spans="1:31" x14ac:dyDescent="0.25">
      <c r="A2151" s="14" t="s">
        <v>109</v>
      </c>
      <c r="C2151" s="61" t="str">
        <f t="shared" si="601"/>
        <v>C100117</v>
      </c>
      <c r="F2151" s="8" t="str">
        <f>"E100027"</f>
        <v>E100027</v>
      </c>
      <c r="G2151" s="9" t="str">
        <f>"Ergo-Calculator"</f>
        <v>Ergo-Calculator</v>
      </c>
      <c r="H2151" s="47"/>
      <c r="I2151" s="47"/>
      <c r="J2151" s="23">
        <v>341.42</v>
      </c>
      <c r="K2151" s="25">
        <v>144</v>
      </c>
      <c r="L2151" s="24">
        <v>184.35</v>
      </c>
      <c r="M2151" s="24">
        <f>J2151-L2151</f>
        <v>157.07000000000002</v>
      </c>
      <c r="N2151" s="53">
        <f>IF(J2151&lt;&gt;0,M2151/J2151,"")</f>
        <v>0.46004920625622403</v>
      </c>
      <c r="O2151" s="23">
        <v>0</v>
      </c>
      <c r="P2151" s="25">
        <v>0</v>
      </c>
      <c r="Q2151" s="24">
        <v>0</v>
      </c>
      <c r="R2151" s="24">
        <f>O2151-Q2151</f>
        <v>0</v>
      </c>
      <c r="S2151" s="53" t="str">
        <f>IF(O2151&lt;&gt;0,R2151/O2151,"")</f>
        <v/>
      </c>
      <c r="T2151" s="10"/>
      <c r="U2151" s="23">
        <v>0</v>
      </c>
      <c r="V2151" s="25">
        <v>0</v>
      </c>
      <c r="W2151" s="24">
        <v>0</v>
      </c>
      <c r="X2151" s="24">
        <f>U2151-W2151</f>
        <v>0</v>
      </c>
      <c r="Y2151" s="53" t="str">
        <f>IF(U2151&lt;&gt;0,X2151/U2151,"")</f>
        <v/>
      </c>
      <c r="Z2151" s="23">
        <v>0</v>
      </c>
      <c r="AA2151" s="25">
        <v>0</v>
      </c>
      <c r="AB2151" s="24">
        <v>0</v>
      </c>
      <c r="AC2151" s="24">
        <f t="shared" si="602"/>
        <v>0</v>
      </c>
      <c r="AD2151" s="53" t="str">
        <f t="shared" si="603"/>
        <v/>
      </c>
      <c r="AE2151" s="10"/>
    </row>
    <row r="2152" spans="1:31" x14ac:dyDescent="0.25">
      <c r="A2152" s="14" t="s">
        <v>109</v>
      </c>
      <c r="C2152" s="61" t="str">
        <f t="shared" si="601"/>
        <v>C100117</v>
      </c>
      <c r="F2152" s="8" t="str">
        <f>"E100028"</f>
        <v>E100028</v>
      </c>
      <c r="G2152" s="9" t="str">
        <f>"USB 4-Port Hub"</f>
        <v>USB 4-Port Hub</v>
      </c>
      <c r="H2152" s="47"/>
      <c r="I2152" s="47"/>
      <c r="J2152" s="23">
        <v>406.42</v>
      </c>
      <c r="K2152" s="25">
        <v>144</v>
      </c>
      <c r="L2152" s="24">
        <v>267.91000000000003</v>
      </c>
      <c r="M2152" s="24">
        <f>J2152-L2152</f>
        <v>138.51</v>
      </c>
      <c r="N2152" s="53">
        <f>IF(J2152&lt;&gt;0,M2152/J2152,"")</f>
        <v>0.34080507849023173</v>
      </c>
      <c r="O2152" s="23">
        <v>0</v>
      </c>
      <c r="P2152" s="25">
        <v>0</v>
      </c>
      <c r="Q2152" s="24">
        <v>0</v>
      </c>
      <c r="R2152" s="24">
        <f>O2152-Q2152</f>
        <v>0</v>
      </c>
      <c r="S2152" s="53" t="str">
        <f>IF(O2152&lt;&gt;0,R2152/O2152,"")</f>
        <v/>
      </c>
      <c r="T2152" s="10"/>
      <c r="U2152" s="23">
        <v>0</v>
      </c>
      <c r="V2152" s="25">
        <v>0</v>
      </c>
      <c r="W2152" s="24">
        <v>0</v>
      </c>
      <c r="X2152" s="24">
        <f>U2152-W2152</f>
        <v>0</v>
      </c>
      <c r="Y2152" s="53" t="str">
        <f>IF(U2152&lt;&gt;0,X2152/U2152,"")</f>
        <v/>
      </c>
      <c r="Z2152" s="23">
        <v>0</v>
      </c>
      <c r="AA2152" s="25">
        <v>0</v>
      </c>
      <c r="AB2152" s="24">
        <v>0</v>
      </c>
      <c r="AC2152" s="24">
        <f t="shared" si="602"/>
        <v>0</v>
      </c>
      <c r="AD2152" s="53" t="str">
        <f t="shared" si="603"/>
        <v/>
      </c>
      <c r="AE2152" s="10"/>
    </row>
    <row r="2153" spans="1:31" x14ac:dyDescent="0.25">
      <c r="A2153" s="14" t="s">
        <v>109</v>
      </c>
      <c r="C2153" s="61" t="str">
        <f t="shared" si="601"/>
        <v>C100117</v>
      </c>
      <c r="F2153" s="8" t="str">
        <f>"E100029"</f>
        <v>E100029</v>
      </c>
      <c r="G2153" s="9" t="str">
        <f>"LED Flex Light"</f>
        <v>LED Flex Light</v>
      </c>
      <c r="H2153" s="47"/>
      <c r="I2153" s="47"/>
      <c r="J2153" s="23">
        <v>407.9</v>
      </c>
      <c r="K2153" s="25">
        <v>144</v>
      </c>
      <c r="L2153" s="24">
        <v>241.84000000000003</v>
      </c>
      <c r="M2153" s="24">
        <f>J2153-L2153</f>
        <v>166.05999999999995</v>
      </c>
      <c r="N2153" s="53">
        <f>IF(J2153&lt;&gt;0,M2153/J2153,"")</f>
        <v>0.40710958568276528</v>
      </c>
      <c r="O2153" s="23">
        <v>0</v>
      </c>
      <c r="P2153" s="25">
        <v>0</v>
      </c>
      <c r="Q2153" s="24">
        <v>0</v>
      </c>
      <c r="R2153" s="24">
        <f>O2153-Q2153</f>
        <v>0</v>
      </c>
      <c r="S2153" s="53" t="str">
        <f>IF(O2153&lt;&gt;0,R2153/O2153,"")</f>
        <v/>
      </c>
      <c r="T2153" s="10"/>
      <c r="U2153" s="23">
        <v>0</v>
      </c>
      <c r="V2153" s="25">
        <v>0</v>
      </c>
      <c r="W2153" s="24">
        <v>0</v>
      </c>
      <c r="X2153" s="24">
        <f>U2153-W2153</f>
        <v>0</v>
      </c>
      <c r="Y2153" s="53" t="str">
        <f>IF(U2153&lt;&gt;0,X2153/U2153,"")</f>
        <v/>
      </c>
      <c r="Z2153" s="23">
        <v>0</v>
      </c>
      <c r="AA2153" s="25">
        <v>0</v>
      </c>
      <c r="AB2153" s="24">
        <v>0</v>
      </c>
      <c r="AC2153" s="24">
        <f t="shared" si="602"/>
        <v>0</v>
      </c>
      <c r="AD2153" s="53" t="str">
        <f t="shared" si="603"/>
        <v/>
      </c>
      <c r="AE2153" s="10"/>
    </row>
    <row r="2154" spans="1:31" x14ac:dyDescent="0.25">
      <c r="A2154" s="14" t="s">
        <v>109</v>
      </c>
      <c r="C2154" s="61" t="str">
        <f t="shared" si="601"/>
        <v>C100117</v>
      </c>
      <c r="F2154" s="8" t="str">
        <f>"E100032"</f>
        <v>E100032</v>
      </c>
      <c r="G2154" s="9" t="str">
        <f>"Button Key-Light"</f>
        <v>Button Key-Light</v>
      </c>
      <c r="H2154" s="47"/>
      <c r="I2154" s="47"/>
      <c r="J2154" s="23">
        <v>0.49</v>
      </c>
      <c r="K2154" s="25">
        <v>1</v>
      </c>
      <c r="L2154" s="24">
        <v>0.33</v>
      </c>
      <c r="M2154" s="24">
        <f>J2154-L2154</f>
        <v>0.15999999999999998</v>
      </c>
      <c r="N2154" s="53">
        <f>IF(J2154&lt;&gt;0,M2154/J2154,"")</f>
        <v>0.32653061224489793</v>
      </c>
      <c r="O2154" s="23">
        <v>0</v>
      </c>
      <c r="P2154" s="25">
        <v>0</v>
      </c>
      <c r="Q2154" s="24">
        <v>0</v>
      </c>
      <c r="R2154" s="24">
        <f>O2154-Q2154</f>
        <v>0</v>
      </c>
      <c r="S2154" s="53" t="str">
        <f>IF(O2154&lt;&gt;0,R2154/O2154,"")</f>
        <v/>
      </c>
      <c r="T2154" s="10"/>
      <c r="U2154" s="23">
        <v>70.45</v>
      </c>
      <c r="V2154" s="25">
        <v>144</v>
      </c>
      <c r="W2154" s="24">
        <v>47.529999999999994</v>
      </c>
      <c r="X2154" s="24">
        <f>U2154-W2154</f>
        <v>22.920000000000009</v>
      </c>
      <c r="Y2154" s="53">
        <f>IF(U2154&lt;&gt;0,X2154/U2154,"")</f>
        <v>0.32533711852377584</v>
      </c>
      <c r="Z2154" s="23">
        <v>0</v>
      </c>
      <c r="AA2154" s="25">
        <v>0</v>
      </c>
      <c r="AB2154" s="24">
        <v>0</v>
      </c>
      <c r="AC2154" s="24">
        <f t="shared" si="602"/>
        <v>0</v>
      </c>
      <c r="AD2154" s="53" t="str">
        <f t="shared" si="603"/>
        <v/>
      </c>
      <c r="AE2154" s="10"/>
    </row>
    <row r="2155" spans="1:31" x14ac:dyDescent="0.25">
      <c r="A2155" s="14" t="s">
        <v>109</v>
      </c>
      <c r="C2155" s="61" t="str">
        <f t="shared" si="601"/>
        <v>C100117</v>
      </c>
      <c r="F2155" s="8" t="str">
        <f>"E100033"</f>
        <v>E100033</v>
      </c>
      <c r="G2155" s="9" t="str">
        <f>"Dual Source Flashlight"</f>
        <v>Dual Source Flashlight</v>
      </c>
      <c r="H2155" s="47"/>
      <c r="I2155" s="47"/>
      <c r="J2155" s="23">
        <v>41.8</v>
      </c>
      <c r="K2155" s="25">
        <v>13</v>
      </c>
      <c r="L2155" s="24">
        <v>20.28</v>
      </c>
      <c r="M2155" s="24">
        <f>J2155-L2155</f>
        <v>21.519999999999996</v>
      </c>
      <c r="N2155" s="53">
        <f>IF(J2155&lt;&gt;0,M2155/J2155,"")</f>
        <v>0.51483253588516742</v>
      </c>
      <c r="O2155" s="23">
        <v>0</v>
      </c>
      <c r="P2155" s="25">
        <v>0</v>
      </c>
      <c r="Q2155" s="24">
        <v>0</v>
      </c>
      <c r="R2155" s="24">
        <f>O2155-Q2155</f>
        <v>0</v>
      </c>
      <c r="S2155" s="53" t="str">
        <f>IF(O2155&lt;&gt;0,R2155/O2155,"")</f>
        <v/>
      </c>
      <c r="T2155" s="10"/>
      <c r="U2155" s="23">
        <v>0</v>
      </c>
      <c r="V2155" s="25">
        <v>0</v>
      </c>
      <c r="W2155" s="24">
        <v>0</v>
      </c>
      <c r="X2155" s="24">
        <f>U2155-W2155</f>
        <v>0</v>
      </c>
      <c r="Y2155" s="53" t="str">
        <f>IF(U2155&lt;&gt;0,X2155/U2155,"")</f>
        <v/>
      </c>
      <c r="Z2155" s="23">
        <v>0</v>
      </c>
      <c r="AA2155" s="25">
        <v>0</v>
      </c>
      <c r="AB2155" s="24">
        <v>0</v>
      </c>
      <c r="AC2155" s="24">
        <f t="shared" si="602"/>
        <v>0</v>
      </c>
      <c r="AD2155" s="53" t="str">
        <f t="shared" si="603"/>
        <v/>
      </c>
      <c r="AE2155" s="10"/>
    </row>
    <row r="2156" spans="1:31" x14ac:dyDescent="0.25">
      <c r="A2156" s="14" t="s">
        <v>109</v>
      </c>
      <c r="C2156" s="61" t="str">
        <f t="shared" si="601"/>
        <v>C100117</v>
      </c>
      <c r="F2156" s="8" t="str">
        <f>"E100035"</f>
        <v>E100035</v>
      </c>
      <c r="G2156" s="9" t="str">
        <f>"2GB Foldout USB Flash Drive"</f>
        <v>2GB Foldout USB Flash Drive</v>
      </c>
      <c r="H2156" s="47"/>
      <c r="I2156" s="47"/>
      <c r="J2156" s="23">
        <v>1092.25</v>
      </c>
      <c r="K2156" s="25">
        <v>288</v>
      </c>
      <c r="L2156" s="24">
        <v>648.1</v>
      </c>
      <c r="M2156" s="24">
        <f>J2156-L2156</f>
        <v>444.15</v>
      </c>
      <c r="N2156" s="53">
        <f>IF(J2156&lt;&gt;0,M2156/J2156,"")</f>
        <v>0.40663767452506294</v>
      </c>
      <c r="O2156" s="23">
        <v>0</v>
      </c>
      <c r="P2156" s="25">
        <v>0</v>
      </c>
      <c r="Q2156" s="24">
        <v>0</v>
      </c>
      <c r="R2156" s="24">
        <f>O2156-Q2156</f>
        <v>0</v>
      </c>
      <c r="S2156" s="53" t="str">
        <f>IF(O2156&lt;&gt;0,R2156/O2156,"")</f>
        <v/>
      </c>
      <c r="T2156" s="10"/>
      <c r="U2156" s="23">
        <v>178.32</v>
      </c>
      <c r="V2156" s="25">
        <v>48</v>
      </c>
      <c r="W2156" s="24">
        <v>108.02</v>
      </c>
      <c r="X2156" s="24">
        <f>U2156-W2156</f>
        <v>70.3</v>
      </c>
      <c r="Y2156" s="53">
        <f>IF(U2156&lt;&gt;0,X2156/U2156,"")</f>
        <v>0.39423508299685955</v>
      </c>
      <c r="Z2156" s="23">
        <v>0</v>
      </c>
      <c r="AA2156" s="25">
        <v>0</v>
      </c>
      <c r="AB2156" s="24">
        <v>0</v>
      </c>
      <c r="AC2156" s="24">
        <f t="shared" si="602"/>
        <v>0</v>
      </c>
      <c r="AD2156" s="53" t="str">
        <f t="shared" si="603"/>
        <v/>
      </c>
      <c r="AE2156" s="10"/>
    </row>
    <row r="2157" spans="1:31" x14ac:dyDescent="0.25">
      <c r="A2157" s="14" t="s">
        <v>109</v>
      </c>
      <c r="C2157" s="61" t="str">
        <f t="shared" si="601"/>
        <v>C100117</v>
      </c>
      <c r="F2157" s="8" t="str">
        <f>"E100040"</f>
        <v>E100040</v>
      </c>
      <c r="G2157" s="9" t="str">
        <f>"Wave Mug"</f>
        <v>Wave Mug</v>
      </c>
      <c r="H2157" s="47"/>
      <c r="I2157" s="47"/>
      <c r="J2157" s="23">
        <v>238.50000000000003</v>
      </c>
      <c r="K2157" s="25">
        <v>144</v>
      </c>
      <c r="L2157" s="24">
        <v>161.36000000000001</v>
      </c>
      <c r="M2157" s="24">
        <f>J2157-L2157</f>
        <v>77.140000000000015</v>
      </c>
      <c r="N2157" s="53">
        <f>IF(J2157&lt;&gt;0,M2157/J2157,"")</f>
        <v>0.32343815513626839</v>
      </c>
      <c r="O2157" s="23">
        <v>0</v>
      </c>
      <c r="P2157" s="25">
        <v>0</v>
      </c>
      <c r="Q2157" s="24">
        <v>0</v>
      </c>
      <c r="R2157" s="24">
        <f>O2157-Q2157</f>
        <v>0</v>
      </c>
      <c r="S2157" s="53" t="str">
        <f>IF(O2157&lt;&gt;0,R2157/O2157,"")</f>
        <v/>
      </c>
      <c r="T2157" s="10"/>
      <c r="U2157" s="23">
        <v>0</v>
      </c>
      <c r="V2157" s="25">
        <v>0</v>
      </c>
      <c r="W2157" s="24">
        <v>0</v>
      </c>
      <c r="X2157" s="24">
        <f>U2157-W2157</f>
        <v>0</v>
      </c>
      <c r="Y2157" s="53" t="str">
        <f>IF(U2157&lt;&gt;0,X2157/U2157,"")</f>
        <v/>
      </c>
      <c r="Z2157" s="23">
        <v>0</v>
      </c>
      <c r="AA2157" s="25">
        <v>0</v>
      </c>
      <c r="AB2157" s="24">
        <v>0</v>
      </c>
      <c r="AC2157" s="24">
        <f t="shared" si="602"/>
        <v>0</v>
      </c>
      <c r="AD2157" s="53" t="str">
        <f t="shared" si="603"/>
        <v/>
      </c>
      <c r="AE2157" s="10"/>
    </row>
    <row r="2158" spans="1:31" x14ac:dyDescent="0.25">
      <c r="A2158" s="14" t="s">
        <v>109</v>
      </c>
      <c r="C2158" s="61" t="str">
        <f t="shared" si="601"/>
        <v>C100117</v>
      </c>
      <c r="F2158" s="8" t="str">
        <f>"E100041"</f>
        <v>E100041</v>
      </c>
      <c r="G2158" s="9" t="str">
        <f>"Biodegradable Colored SPORT BOT"</f>
        <v>Biodegradable Colored SPORT BOT</v>
      </c>
      <c r="H2158" s="47"/>
      <c r="I2158" s="47"/>
      <c r="J2158" s="23">
        <v>190.57999999999998</v>
      </c>
      <c r="K2158" s="25">
        <v>288</v>
      </c>
      <c r="L2158" s="24">
        <v>123.80000000000001</v>
      </c>
      <c r="M2158" s="24">
        <f>J2158-L2158</f>
        <v>66.779999999999973</v>
      </c>
      <c r="N2158" s="53">
        <f>IF(J2158&lt;&gt;0,M2158/J2158,"")</f>
        <v>0.35040402980375684</v>
      </c>
      <c r="O2158" s="23">
        <v>0</v>
      </c>
      <c r="P2158" s="25">
        <v>0</v>
      </c>
      <c r="Q2158" s="24">
        <v>0</v>
      </c>
      <c r="R2158" s="24">
        <f>O2158-Q2158</f>
        <v>0</v>
      </c>
      <c r="S2158" s="53" t="str">
        <f>IF(O2158&lt;&gt;0,R2158/O2158,"")</f>
        <v/>
      </c>
      <c r="T2158" s="10"/>
      <c r="U2158" s="23">
        <v>0</v>
      </c>
      <c r="V2158" s="25">
        <v>0</v>
      </c>
      <c r="W2158" s="24">
        <v>0</v>
      </c>
      <c r="X2158" s="24">
        <f>U2158-W2158</f>
        <v>0</v>
      </c>
      <c r="Y2158" s="53" t="str">
        <f>IF(U2158&lt;&gt;0,X2158/U2158,"")</f>
        <v/>
      </c>
      <c r="Z2158" s="23">
        <v>129.70999999999998</v>
      </c>
      <c r="AA2158" s="25">
        <v>192</v>
      </c>
      <c r="AB2158" s="24">
        <v>82.53</v>
      </c>
      <c r="AC2158" s="24">
        <f t="shared" si="602"/>
        <v>47.179999999999978</v>
      </c>
      <c r="AD2158" s="53">
        <f t="shared" si="603"/>
        <v>0.36373448461953578</v>
      </c>
      <c r="AE2158" s="10"/>
    </row>
    <row r="2159" spans="1:31" x14ac:dyDescent="0.25">
      <c r="A2159" s="14" t="s">
        <v>109</v>
      </c>
      <c r="C2159" s="61" t="str">
        <f t="shared" si="601"/>
        <v>C100117</v>
      </c>
      <c r="F2159" s="8" t="str">
        <f>"E100042"</f>
        <v>E100042</v>
      </c>
      <c r="G2159" s="9" t="str">
        <f>"Soft Touch Travel Mug"</f>
        <v>Soft Touch Travel Mug</v>
      </c>
      <c r="H2159" s="47"/>
      <c r="I2159" s="47"/>
      <c r="J2159" s="23">
        <v>546.12</v>
      </c>
      <c r="K2159" s="25">
        <v>144</v>
      </c>
      <c r="L2159" s="24">
        <v>309.68</v>
      </c>
      <c r="M2159" s="24">
        <f>J2159-L2159</f>
        <v>236.44</v>
      </c>
      <c r="N2159" s="53">
        <f>IF(J2159&lt;&gt;0,M2159/J2159,"")</f>
        <v>0.43294514026221342</v>
      </c>
      <c r="O2159" s="23">
        <v>0</v>
      </c>
      <c r="P2159" s="25">
        <v>0</v>
      </c>
      <c r="Q2159" s="24">
        <v>0</v>
      </c>
      <c r="R2159" s="24">
        <f>O2159-Q2159</f>
        <v>0</v>
      </c>
      <c r="S2159" s="53" t="str">
        <f>IF(O2159&lt;&gt;0,R2159/O2159,"")</f>
        <v/>
      </c>
      <c r="T2159" s="10"/>
      <c r="U2159" s="23">
        <v>0</v>
      </c>
      <c r="V2159" s="25">
        <v>0</v>
      </c>
      <c r="W2159" s="24">
        <v>0</v>
      </c>
      <c r="X2159" s="24">
        <f>U2159-W2159</f>
        <v>0</v>
      </c>
      <c r="Y2159" s="53" t="str">
        <f>IF(U2159&lt;&gt;0,X2159/U2159,"")</f>
        <v/>
      </c>
      <c r="Z2159" s="23">
        <v>22.76</v>
      </c>
      <c r="AA2159" s="25">
        <v>6</v>
      </c>
      <c r="AB2159" s="24">
        <v>12.9</v>
      </c>
      <c r="AC2159" s="24">
        <f t="shared" si="602"/>
        <v>9.8600000000000012</v>
      </c>
      <c r="AD2159" s="53">
        <f t="shared" si="603"/>
        <v>0.43321616871704749</v>
      </c>
      <c r="AE2159" s="10"/>
    </row>
    <row r="2160" spans="1:31" x14ac:dyDescent="0.25">
      <c r="A2160" s="14" t="s">
        <v>109</v>
      </c>
      <c r="C2160" s="61" t="str">
        <f t="shared" si="601"/>
        <v>C100117</v>
      </c>
      <c r="F2160" s="8" t="str">
        <f>"E100043"</f>
        <v>E100043</v>
      </c>
      <c r="G2160" s="9" t="str">
        <f>"Pub Glass"</f>
        <v>Pub Glass</v>
      </c>
      <c r="H2160" s="47"/>
      <c r="I2160" s="47"/>
      <c r="J2160" s="23">
        <v>192.21</v>
      </c>
      <c r="K2160" s="25">
        <v>144</v>
      </c>
      <c r="L2160" s="24">
        <v>133.94999999999999</v>
      </c>
      <c r="M2160" s="24">
        <f>J2160-L2160</f>
        <v>58.260000000000019</v>
      </c>
      <c r="N2160" s="53">
        <f>IF(J2160&lt;&gt;0,M2160/J2160,"")</f>
        <v>0.30310597783674115</v>
      </c>
      <c r="O2160" s="23">
        <v>0</v>
      </c>
      <c r="P2160" s="25">
        <v>0</v>
      </c>
      <c r="Q2160" s="24">
        <v>0</v>
      </c>
      <c r="R2160" s="24">
        <f>O2160-Q2160</f>
        <v>0</v>
      </c>
      <c r="S2160" s="53" t="str">
        <f>IF(O2160&lt;&gt;0,R2160/O2160,"")</f>
        <v/>
      </c>
      <c r="T2160" s="10"/>
      <c r="U2160" s="23">
        <v>0</v>
      </c>
      <c r="V2160" s="25">
        <v>0</v>
      </c>
      <c r="W2160" s="24">
        <v>0</v>
      </c>
      <c r="X2160" s="24">
        <f>U2160-W2160</f>
        <v>0</v>
      </c>
      <c r="Y2160" s="53" t="str">
        <f>IF(U2160&lt;&gt;0,X2160/U2160,"")</f>
        <v/>
      </c>
      <c r="Z2160" s="23">
        <v>0</v>
      </c>
      <c r="AA2160" s="25">
        <v>0</v>
      </c>
      <c r="AB2160" s="24">
        <v>0</v>
      </c>
      <c r="AC2160" s="24">
        <f t="shared" si="602"/>
        <v>0</v>
      </c>
      <c r="AD2160" s="53" t="str">
        <f t="shared" si="603"/>
        <v/>
      </c>
      <c r="AE2160" s="10"/>
    </row>
    <row r="2161" spans="1:31" x14ac:dyDescent="0.25">
      <c r="A2161" s="14" t="s">
        <v>109</v>
      </c>
      <c r="C2161" s="61" t="str">
        <f t="shared" si="601"/>
        <v>C100117</v>
      </c>
      <c r="F2161" s="8" t="str">
        <f>"E100044"</f>
        <v>E100044</v>
      </c>
      <c r="G2161" s="9" t="str">
        <f>"Juice Glass"</f>
        <v>Juice Glass</v>
      </c>
      <c r="H2161" s="47"/>
      <c r="I2161" s="47"/>
      <c r="J2161" s="23">
        <v>160.41</v>
      </c>
      <c r="K2161" s="25">
        <v>288</v>
      </c>
      <c r="L2161" s="24">
        <v>109.61999999999999</v>
      </c>
      <c r="M2161" s="24">
        <f>J2161-L2161</f>
        <v>50.790000000000006</v>
      </c>
      <c r="N2161" s="53">
        <f>IF(J2161&lt;&gt;0,M2161/J2161,"")</f>
        <v>0.31662614550215079</v>
      </c>
      <c r="O2161" s="23">
        <v>0</v>
      </c>
      <c r="P2161" s="25">
        <v>0</v>
      </c>
      <c r="Q2161" s="24">
        <v>0</v>
      </c>
      <c r="R2161" s="24">
        <f>O2161-Q2161</f>
        <v>0</v>
      </c>
      <c r="S2161" s="53" t="str">
        <f>IF(O2161&lt;&gt;0,R2161/O2161,"")</f>
        <v/>
      </c>
      <c r="T2161" s="10"/>
      <c r="U2161" s="23">
        <v>160.42999999999998</v>
      </c>
      <c r="V2161" s="25">
        <v>288</v>
      </c>
      <c r="W2161" s="24">
        <v>109.61999999999999</v>
      </c>
      <c r="X2161" s="24">
        <f>U2161-W2161</f>
        <v>50.809999999999988</v>
      </c>
      <c r="Y2161" s="53">
        <f>IF(U2161&lt;&gt;0,X2161/U2161,"")</f>
        <v>0.31671133827837683</v>
      </c>
      <c r="Z2161" s="23">
        <v>0</v>
      </c>
      <c r="AA2161" s="25">
        <v>0</v>
      </c>
      <c r="AB2161" s="24">
        <v>0</v>
      </c>
      <c r="AC2161" s="24">
        <f t="shared" si="602"/>
        <v>0</v>
      </c>
      <c r="AD2161" s="53" t="str">
        <f t="shared" si="603"/>
        <v/>
      </c>
      <c r="AE2161" s="10"/>
    </row>
    <row r="2162" spans="1:31" x14ac:dyDescent="0.25">
      <c r="A2162" s="14" t="s">
        <v>109</v>
      </c>
      <c r="C2162" s="61" t="str">
        <f t="shared" si="601"/>
        <v>C100117</v>
      </c>
      <c r="F2162" s="8" t="str">
        <f>"E100046"</f>
        <v>E100046</v>
      </c>
      <c r="G2162" s="9" t="str">
        <f>"Milk Bottle"</f>
        <v>Milk Bottle</v>
      </c>
      <c r="H2162" s="47"/>
      <c r="I2162" s="47"/>
      <c r="J2162" s="23">
        <v>1.75</v>
      </c>
      <c r="K2162" s="25">
        <v>1</v>
      </c>
      <c r="L2162" s="24">
        <v>1.04</v>
      </c>
      <c r="M2162" s="24">
        <f>J2162-L2162</f>
        <v>0.71</v>
      </c>
      <c r="N2162" s="53">
        <f>IF(J2162&lt;&gt;0,M2162/J2162,"")</f>
        <v>0.40571428571428569</v>
      </c>
      <c r="O2162" s="23">
        <v>0</v>
      </c>
      <c r="P2162" s="25">
        <v>0</v>
      </c>
      <c r="Q2162" s="24">
        <v>0</v>
      </c>
      <c r="R2162" s="24">
        <f>O2162-Q2162</f>
        <v>0</v>
      </c>
      <c r="S2162" s="53" t="str">
        <f>IF(O2162&lt;&gt;0,R2162/O2162,"")</f>
        <v/>
      </c>
      <c r="T2162" s="10"/>
      <c r="U2162" s="23">
        <v>257.19</v>
      </c>
      <c r="V2162" s="25">
        <v>144</v>
      </c>
      <c r="W2162" s="24">
        <v>149.67000000000002</v>
      </c>
      <c r="X2162" s="24">
        <f>U2162-W2162</f>
        <v>107.51999999999998</v>
      </c>
      <c r="Y2162" s="53">
        <f>IF(U2162&lt;&gt;0,X2162/U2162,"")</f>
        <v>0.41805668960690534</v>
      </c>
      <c r="Z2162" s="23">
        <v>0</v>
      </c>
      <c r="AA2162" s="25">
        <v>0</v>
      </c>
      <c r="AB2162" s="24">
        <v>0</v>
      </c>
      <c r="AC2162" s="24">
        <f t="shared" si="602"/>
        <v>0</v>
      </c>
      <c r="AD2162" s="53" t="str">
        <f t="shared" si="603"/>
        <v/>
      </c>
      <c r="AE2162" s="10"/>
    </row>
    <row r="2163" spans="1:31" x14ac:dyDescent="0.25">
      <c r="A2163" s="14" t="s">
        <v>109</v>
      </c>
      <c r="C2163" s="61" t="str">
        <f t="shared" si="601"/>
        <v>C100117</v>
      </c>
      <c r="F2163" s="8" t="str">
        <f>"E100047"</f>
        <v>E100047</v>
      </c>
      <c r="G2163" s="9" t="str">
        <f>"Chardonnay Glass"</f>
        <v>Chardonnay Glass</v>
      </c>
      <c r="H2163" s="47"/>
      <c r="I2163" s="47"/>
      <c r="J2163" s="23">
        <v>255.87</v>
      </c>
      <c r="K2163" s="25">
        <v>145</v>
      </c>
      <c r="L2163" s="24">
        <v>152.25</v>
      </c>
      <c r="M2163" s="24">
        <f>J2163-L2163</f>
        <v>103.62</v>
      </c>
      <c r="N2163" s="53">
        <f>IF(J2163&lt;&gt;0,M2163/J2163,"")</f>
        <v>0.4049712744753195</v>
      </c>
      <c r="O2163" s="23">
        <v>0</v>
      </c>
      <c r="P2163" s="25">
        <v>0</v>
      </c>
      <c r="Q2163" s="24">
        <v>0</v>
      </c>
      <c r="R2163" s="24">
        <f>O2163-Q2163</f>
        <v>0</v>
      </c>
      <c r="S2163" s="53" t="str">
        <f>IF(O2163&lt;&gt;0,R2163/O2163,"")</f>
        <v/>
      </c>
      <c r="T2163" s="10"/>
      <c r="U2163" s="23">
        <v>248.91</v>
      </c>
      <c r="V2163" s="25">
        <v>144</v>
      </c>
      <c r="W2163" s="24">
        <v>151.19999999999999</v>
      </c>
      <c r="X2163" s="24">
        <f>U2163-W2163</f>
        <v>97.710000000000008</v>
      </c>
      <c r="Y2163" s="53">
        <f>IF(U2163&lt;&gt;0,X2163/U2163,"")</f>
        <v>0.39255152464746296</v>
      </c>
      <c r="Z2163" s="23">
        <v>0</v>
      </c>
      <c r="AA2163" s="25">
        <v>0</v>
      </c>
      <c r="AB2163" s="24">
        <v>0</v>
      </c>
      <c r="AC2163" s="24">
        <f t="shared" si="602"/>
        <v>0</v>
      </c>
      <c r="AD2163" s="53" t="str">
        <f t="shared" si="603"/>
        <v/>
      </c>
      <c r="AE2163" s="10"/>
    </row>
    <row r="2164" spans="1:31" x14ac:dyDescent="0.25">
      <c r="A2164" s="14" t="s">
        <v>109</v>
      </c>
      <c r="C2164" s="61" t="str">
        <f t="shared" si="601"/>
        <v>C100117</v>
      </c>
      <c r="F2164" s="8" t="str">
        <f>"S100016"</f>
        <v>S100016</v>
      </c>
      <c r="G2164" s="9" t="str">
        <f>"Mesh Bucket Hat"</f>
        <v>Mesh Bucket Hat</v>
      </c>
      <c r="H2164" s="47"/>
      <c r="I2164" s="47"/>
      <c r="J2164" s="23">
        <v>702.76</v>
      </c>
      <c r="K2164" s="25">
        <v>144</v>
      </c>
      <c r="L2164" s="24">
        <v>396.01</v>
      </c>
      <c r="M2164" s="24">
        <f>J2164-L2164</f>
        <v>306.75</v>
      </c>
      <c r="N2164" s="53">
        <f>IF(J2164&lt;&gt;0,M2164/J2164,"")</f>
        <v>0.43649325516534804</v>
      </c>
      <c r="O2164" s="23">
        <v>0</v>
      </c>
      <c r="P2164" s="25">
        <v>0</v>
      </c>
      <c r="Q2164" s="24">
        <v>0</v>
      </c>
      <c r="R2164" s="24">
        <f>O2164-Q2164</f>
        <v>0</v>
      </c>
      <c r="S2164" s="53" t="str">
        <f>IF(O2164&lt;&gt;0,R2164/O2164,"")</f>
        <v/>
      </c>
      <c r="T2164" s="10"/>
      <c r="U2164" s="23">
        <v>688.42</v>
      </c>
      <c r="V2164" s="25">
        <v>144</v>
      </c>
      <c r="W2164" s="24">
        <v>396.01</v>
      </c>
      <c r="X2164" s="24">
        <f>U2164-W2164</f>
        <v>292.40999999999997</v>
      </c>
      <c r="Y2164" s="53">
        <f>IF(U2164&lt;&gt;0,X2164/U2164,"")</f>
        <v>0.42475523662880216</v>
      </c>
      <c r="Z2164" s="23">
        <v>0</v>
      </c>
      <c r="AA2164" s="25">
        <v>0</v>
      </c>
      <c r="AB2164" s="24">
        <v>0</v>
      </c>
      <c r="AC2164" s="24">
        <f t="shared" si="602"/>
        <v>0</v>
      </c>
      <c r="AD2164" s="53" t="str">
        <f t="shared" si="603"/>
        <v/>
      </c>
      <c r="AE2164" s="10"/>
    </row>
    <row r="2165" spans="1:31" x14ac:dyDescent="0.25">
      <c r="A2165" s="14" t="s">
        <v>109</v>
      </c>
      <c r="C2165" s="61" t="str">
        <f t="shared" si="601"/>
        <v>C100117</v>
      </c>
      <c r="F2165" s="8" t="str">
        <f>"S100024"</f>
        <v>S100024</v>
      </c>
      <c r="G2165" s="9" t="str">
        <f>"Aluminum SPORT BOT"</f>
        <v>Aluminum SPORT BOT</v>
      </c>
      <c r="H2165" s="47"/>
      <c r="I2165" s="47"/>
      <c r="J2165" s="23">
        <v>86.36</v>
      </c>
      <c r="K2165" s="25">
        <v>25</v>
      </c>
      <c r="L2165" s="24">
        <v>52.499999999999993</v>
      </c>
      <c r="M2165" s="24">
        <f>J2165-L2165</f>
        <v>33.860000000000007</v>
      </c>
      <c r="N2165" s="53">
        <f>IF(J2165&lt;&gt;0,M2165/J2165,"")</f>
        <v>0.39207966651227427</v>
      </c>
      <c r="O2165" s="23">
        <v>0</v>
      </c>
      <c r="P2165" s="25">
        <v>0</v>
      </c>
      <c r="Q2165" s="24">
        <v>0</v>
      </c>
      <c r="R2165" s="24">
        <f>O2165-Q2165</f>
        <v>0</v>
      </c>
      <c r="S2165" s="53" t="str">
        <f>IF(O2165&lt;&gt;0,R2165/O2165,"")</f>
        <v/>
      </c>
      <c r="T2165" s="10"/>
      <c r="U2165" s="23">
        <v>0</v>
      </c>
      <c r="V2165" s="25">
        <v>0</v>
      </c>
      <c r="W2165" s="24">
        <v>0</v>
      </c>
      <c r="X2165" s="24">
        <f>U2165-W2165</f>
        <v>0</v>
      </c>
      <c r="Y2165" s="53" t="str">
        <f>IF(U2165&lt;&gt;0,X2165/U2165,"")</f>
        <v/>
      </c>
      <c r="Z2165" s="23">
        <v>0</v>
      </c>
      <c r="AA2165" s="25">
        <v>0</v>
      </c>
      <c r="AB2165" s="24">
        <v>0</v>
      </c>
      <c r="AC2165" s="24">
        <f t="shared" si="602"/>
        <v>0</v>
      </c>
      <c r="AD2165" s="53" t="str">
        <f t="shared" si="603"/>
        <v/>
      </c>
      <c r="AE2165" s="10"/>
    </row>
    <row r="2166" spans="1:31" x14ac:dyDescent="0.25">
      <c r="A2166" s="14" t="s">
        <v>109</v>
      </c>
      <c r="C2166" s="61" t="str">
        <f t="shared" si="601"/>
        <v>C100117</v>
      </c>
      <c r="F2166" s="8" t="str">
        <f>"S100026"</f>
        <v>S100026</v>
      </c>
      <c r="G2166" s="9" t="str">
        <f>"Wide SPORT BOT"</f>
        <v>Wide SPORT BOT</v>
      </c>
      <c r="H2166" s="47"/>
      <c r="I2166" s="47"/>
      <c r="J2166" s="23">
        <v>182.72</v>
      </c>
      <c r="K2166" s="25">
        <v>48</v>
      </c>
      <c r="L2166" s="24">
        <v>91.22</v>
      </c>
      <c r="M2166" s="24">
        <f>J2166-L2166</f>
        <v>91.5</v>
      </c>
      <c r="N2166" s="53">
        <f>IF(J2166&lt;&gt;0,M2166/J2166,"")</f>
        <v>0.50076619964973734</v>
      </c>
      <c r="O2166" s="23">
        <v>0</v>
      </c>
      <c r="P2166" s="25">
        <v>0</v>
      </c>
      <c r="Q2166" s="24">
        <v>0</v>
      </c>
      <c r="R2166" s="24">
        <f>O2166-Q2166</f>
        <v>0</v>
      </c>
      <c r="S2166" s="53" t="str">
        <f>IF(O2166&lt;&gt;0,R2166/O2166,"")</f>
        <v/>
      </c>
      <c r="T2166" s="10"/>
      <c r="U2166" s="23">
        <v>0</v>
      </c>
      <c r="V2166" s="25">
        <v>0</v>
      </c>
      <c r="W2166" s="24">
        <v>0</v>
      </c>
      <c r="X2166" s="24">
        <f>U2166-W2166</f>
        <v>0</v>
      </c>
      <c r="Y2166" s="53" t="str">
        <f>IF(U2166&lt;&gt;0,X2166/U2166,"")</f>
        <v/>
      </c>
      <c r="Z2166" s="23">
        <v>0</v>
      </c>
      <c r="AA2166" s="25">
        <v>0</v>
      </c>
      <c r="AB2166" s="24">
        <v>0</v>
      </c>
      <c r="AC2166" s="24">
        <f t="shared" si="602"/>
        <v>0</v>
      </c>
      <c r="AD2166" s="53" t="str">
        <f t="shared" si="603"/>
        <v/>
      </c>
      <c r="AE2166" s="10"/>
    </row>
    <row r="2167" spans="1:31" ht="15.75" thickBot="1" x14ac:dyDescent="0.3">
      <c r="A2167" s="14" t="s">
        <v>109</v>
      </c>
      <c r="C2167" s="61" t="str">
        <f>C2135</f>
        <v>C100117</v>
      </c>
      <c r="J2167" s="10"/>
      <c r="K2167" s="11"/>
      <c r="L2167" s="11"/>
      <c r="M2167" s="11"/>
      <c r="N2167" s="12"/>
      <c r="O2167" s="10"/>
      <c r="P2167" s="11"/>
      <c r="Q2167" s="11"/>
      <c r="R2167" s="11"/>
      <c r="S2167" s="12"/>
      <c r="U2167" s="10"/>
      <c r="V2167" s="11"/>
      <c r="W2167" s="11"/>
      <c r="X2167" s="11"/>
      <c r="Y2167" s="12"/>
      <c r="Z2167" s="10"/>
      <c r="AA2167" s="11"/>
      <c r="AB2167" s="11"/>
      <c r="AC2167" s="11"/>
      <c r="AD2167" s="12"/>
    </row>
    <row r="2168" spans="1:31" ht="15.75" thickBot="1" x14ac:dyDescent="0.3">
      <c r="A2168" s="14" t="s">
        <v>109</v>
      </c>
      <c r="C2168" s="61" t="str">
        <f t="shared" si="598"/>
        <v>C100117</v>
      </c>
      <c r="G2168" s="48" t="str">
        <f>C2168&amp;" TOTAL:"</f>
        <v>C100117 TOTAL:</v>
      </c>
      <c r="H2168" s="50"/>
      <c r="I2168" s="50"/>
      <c r="J2168" s="34">
        <f>SUBTOTAL(9,J2134:J2167)</f>
        <v>8804.64</v>
      </c>
      <c r="K2168" s="35">
        <f>SUBTOTAL(9,K2134:K2167)</f>
        <v>3729</v>
      </c>
      <c r="L2168" s="36">
        <f>SUBTOTAL(9,L2134:L2167)</f>
        <v>4999.5200000000004</v>
      </c>
      <c r="M2168" s="36">
        <f>J2168-L2168</f>
        <v>3805.119999999999</v>
      </c>
      <c r="N2168" s="37">
        <f>IF(J2168&lt;&gt;0,M2168/J2168,"")</f>
        <v>0.43217212742372196</v>
      </c>
      <c r="O2168" s="34">
        <f>SUBTOTAL(9,O2134:O2167)</f>
        <v>0</v>
      </c>
      <c r="P2168" s="35">
        <f>SUBTOTAL(9,P2134:P2167)</f>
        <v>0</v>
      </c>
      <c r="Q2168" s="36">
        <f>SUBTOTAL(9,Q2134:Q2167)</f>
        <v>0</v>
      </c>
      <c r="R2168" s="36">
        <f>O2168-Q2168</f>
        <v>0</v>
      </c>
      <c r="S2168" s="37" t="str">
        <f>IF(O2168&lt;&gt;0,R2168/O2168,"")</f>
        <v/>
      </c>
      <c r="U2168" s="34">
        <f>SUBTOTAL(9,U2134:U2167)</f>
        <v>1807.23</v>
      </c>
      <c r="V2168" s="35">
        <f>SUBTOTAL(9,V2134:V2167)</f>
        <v>963</v>
      </c>
      <c r="W2168" s="36">
        <f>SUBTOTAL(9,W2134:W2167)</f>
        <v>1079.17</v>
      </c>
      <c r="X2168" s="36">
        <f>U2168-W2168</f>
        <v>728.06</v>
      </c>
      <c r="Y2168" s="37">
        <f>IF(U2168&lt;&gt;0,X2168/U2168,"")</f>
        <v>0.40285962495089167</v>
      </c>
      <c r="Z2168" s="34">
        <f>SUBTOTAL(9,Z2134:Z2167)</f>
        <v>786.49</v>
      </c>
      <c r="AA2168" s="35">
        <f>SUBTOTAL(9,AA2134:AA2167)</f>
        <v>488</v>
      </c>
      <c r="AB2168" s="36">
        <f>SUBTOTAL(9,AB2134:AB2167)</f>
        <v>451.43000000000006</v>
      </c>
      <c r="AC2168" s="36">
        <f t="shared" ref="AC2168" si="604">Z2168-AB2168</f>
        <v>335.05999999999995</v>
      </c>
      <c r="AD2168" s="37">
        <f t="shared" ref="AD2168" si="605">IF(Z2168&lt;&gt;0,AC2168/Z2168,"")</f>
        <v>0.42601940266246224</v>
      </c>
    </row>
    <row r="2169" spans="1:31" x14ac:dyDescent="0.25">
      <c r="A2169" s="14" t="s">
        <v>109</v>
      </c>
      <c r="C2169" s="66"/>
      <c r="J2169" s="10"/>
      <c r="K2169" s="11"/>
      <c r="L2169" s="11"/>
      <c r="M2169" s="11"/>
      <c r="N2169" s="12"/>
      <c r="O2169" s="10"/>
      <c r="P2169" s="11"/>
      <c r="Q2169" s="11"/>
      <c r="R2169" s="11"/>
      <c r="S2169" s="12"/>
      <c r="U2169" s="10"/>
      <c r="V2169" s="11"/>
      <c r="W2169" s="11"/>
      <c r="X2169" s="11"/>
      <c r="Y2169" s="12"/>
      <c r="Z2169" s="10"/>
      <c r="AA2169" s="11"/>
      <c r="AB2169" s="11"/>
      <c r="AC2169" s="11"/>
      <c r="AD2169" s="12"/>
    </row>
    <row r="2170" spans="1:31" ht="15.75" x14ac:dyDescent="0.25">
      <c r="A2170" s="14" t="s">
        <v>109</v>
      </c>
      <c r="C2170" s="66" t="str">
        <f t="shared" ref="C2170" si="606">E2170</f>
        <v>C100118</v>
      </c>
      <c r="E2170" s="13" t="str">
        <f>"C100118"</f>
        <v>C100118</v>
      </c>
      <c r="F2170" s="13"/>
      <c r="G2170" s="13" t="str">
        <f>"TechZone"</f>
        <v>TechZone</v>
      </c>
      <c r="H2170" s="13"/>
      <c r="I2170" s="13"/>
      <c r="J2170" s="10"/>
      <c r="K2170" s="11"/>
      <c r="L2170" s="11"/>
      <c r="M2170" s="11"/>
      <c r="N2170" s="12"/>
      <c r="O2170" s="10"/>
      <c r="P2170" s="11"/>
      <c r="Q2170" s="11"/>
      <c r="R2170" s="11"/>
      <c r="S2170" s="12"/>
      <c r="U2170" s="10"/>
      <c r="V2170" s="11"/>
      <c r="W2170" s="11"/>
      <c r="X2170" s="11"/>
      <c r="Y2170" s="12"/>
      <c r="Z2170" s="10"/>
      <c r="AA2170" s="11"/>
      <c r="AB2170" s="11"/>
      <c r="AC2170" s="11"/>
      <c r="AD2170" s="12"/>
    </row>
    <row r="2171" spans="1:31" ht="6.6" customHeight="1" x14ac:dyDescent="0.25">
      <c r="A2171" s="14" t="s">
        <v>109</v>
      </c>
      <c r="C2171" s="61" t="str">
        <f t="shared" ref="C2171:C2180" si="607">C2170</f>
        <v>C100118</v>
      </c>
      <c r="J2171" s="10"/>
      <c r="K2171" s="11"/>
      <c r="L2171" s="11"/>
      <c r="M2171" s="11"/>
      <c r="N2171" s="12"/>
      <c r="O2171" s="10"/>
      <c r="P2171" s="11"/>
      <c r="Q2171" s="11"/>
      <c r="R2171" s="11"/>
      <c r="S2171" s="12"/>
      <c r="U2171" s="10"/>
      <c r="V2171" s="11"/>
      <c r="W2171" s="11"/>
      <c r="X2171" s="11"/>
      <c r="Y2171" s="12"/>
      <c r="Z2171" s="10"/>
      <c r="AA2171" s="11"/>
      <c r="AB2171" s="11"/>
      <c r="AC2171" s="11"/>
      <c r="AD2171" s="12"/>
    </row>
    <row r="2172" spans="1:31" x14ac:dyDescent="0.25">
      <c r="A2172" s="14" t="s">
        <v>109</v>
      </c>
      <c r="C2172" s="61" t="str">
        <f t="shared" si="607"/>
        <v>C100118</v>
      </c>
      <c r="F2172" s="8" t="str">
        <f>"C100006"</f>
        <v>C100006</v>
      </c>
      <c r="G2172" s="9" t="str">
        <f>"Cherry Finished Crystal Award- Large"</f>
        <v>Cherry Finished Crystal Award- Large</v>
      </c>
      <c r="H2172" s="47"/>
      <c r="I2172" s="47"/>
      <c r="J2172" s="23">
        <v>0</v>
      </c>
      <c r="K2172" s="25">
        <v>0</v>
      </c>
      <c r="L2172" s="24">
        <v>0</v>
      </c>
      <c r="M2172" s="24">
        <f>J2172-L2172</f>
        <v>0</v>
      </c>
      <c r="N2172" s="53" t="str">
        <f>IF(J2172&lt;&gt;0,M2172/J2172,"")</f>
        <v/>
      </c>
      <c r="O2172" s="23">
        <v>4917.7800000000007</v>
      </c>
      <c r="P2172" s="25">
        <v>24</v>
      </c>
      <c r="Q2172" s="24">
        <v>2280.96</v>
      </c>
      <c r="R2172" s="24">
        <f>O2172-Q2172</f>
        <v>2636.8200000000006</v>
      </c>
      <c r="S2172" s="53">
        <f>IF(O2172&lt;&gt;0,R2172/O2172,"")</f>
        <v>0.53618095970132873</v>
      </c>
      <c r="T2172" s="10"/>
      <c r="U2172" s="23">
        <v>200.73</v>
      </c>
      <c r="V2172" s="25">
        <v>1</v>
      </c>
      <c r="W2172" s="24">
        <v>95.04</v>
      </c>
      <c r="X2172" s="24">
        <f>U2172-W2172</f>
        <v>105.68999999999998</v>
      </c>
      <c r="Y2172" s="53">
        <f>IF(U2172&lt;&gt;0,X2172/U2172,"")</f>
        <v>0.52652817217157366</v>
      </c>
      <c r="Z2172" s="23">
        <v>0</v>
      </c>
      <c r="AA2172" s="25">
        <v>0</v>
      </c>
      <c r="AB2172" s="24">
        <v>0</v>
      </c>
      <c r="AC2172" s="24">
        <f t="shared" ref="AC2172" si="608">Z2172-AB2172</f>
        <v>0</v>
      </c>
      <c r="AD2172" s="53" t="str">
        <f t="shared" ref="AD2172" si="609">IF(Z2172&lt;&gt;0,AC2172/Z2172,"")</f>
        <v/>
      </c>
      <c r="AE2172" s="10"/>
    </row>
    <row r="2173" spans="1:31" x14ac:dyDescent="0.25">
      <c r="A2173" s="14" t="s">
        <v>109</v>
      </c>
      <c r="C2173" s="61" t="str">
        <f t="shared" ref="C2173:C2178" si="610">C2172</f>
        <v>C100118</v>
      </c>
      <c r="F2173" s="8" t="str">
        <f>"C100018"</f>
        <v>C100018</v>
      </c>
      <c r="G2173" s="9" t="str">
        <f>"Action Sport Duffel"</f>
        <v>Action Sport Duffel</v>
      </c>
      <c r="H2173" s="47"/>
      <c r="I2173" s="47"/>
      <c r="J2173" s="23">
        <v>0</v>
      </c>
      <c r="K2173" s="25">
        <v>0</v>
      </c>
      <c r="L2173" s="24">
        <v>0</v>
      </c>
      <c r="M2173" s="24">
        <f>J2173-L2173</f>
        <v>0</v>
      </c>
      <c r="N2173" s="53" t="str">
        <f>IF(J2173&lt;&gt;0,M2173/J2173,"")</f>
        <v/>
      </c>
      <c r="O2173" s="23">
        <v>2485.19</v>
      </c>
      <c r="P2173" s="25">
        <v>144</v>
      </c>
      <c r="Q2173" s="24">
        <v>1231.21</v>
      </c>
      <c r="R2173" s="24">
        <f>O2173-Q2173</f>
        <v>1253.98</v>
      </c>
      <c r="S2173" s="53">
        <f>IF(O2173&lt;&gt;0,R2173/O2173,"")</f>
        <v>0.50458113866545418</v>
      </c>
      <c r="T2173" s="10"/>
      <c r="U2173" s="23">
        <v>0</v>
      </c>
      <c r="V2173" s="25">
        <v>0</v>
      </c>
      <c r="W2173" s="24">
        <v>0</v>
      </c>
      <c r="X2173" s="24">
        <f>U2173-W2173</f>
        <v>0</v>
      </c>
      <c r="Y2173" s="53" t="str">
        <f>IF(U2173&lt;&gt;0,X2173/U2173,"")</f>
        <v/>
      </c>
      <c r="Z2173" s="23">
        <v>0</v>
      </c>
      <c r="AA2173" s="25">
        <v>0</v>
      </c>
      <c r="AB2173" s="24">
        <v>0</v>
      </c>
      <c r="AC2173" s="24">
        <f t="shared" ref="AC2173:AC2178" si="611">Z2173-AB2173</f>
        <v>0</v>
      </c>
      <c r="AD2173" s="53" t="str">
        <f t="shared" ref="AD2173:AD2178" si="612">IF(Z2173&lt;&gt;0,AC2173/Z2173,"")</f>
        <v/>
      </c>
      <c r="AE2173" s="10"/>
    </row>
    <row r="2174" spans="1:31" x14ac:dyDescent="0.25">
      <c r="A2174" s="14" t="s">
        <v>109</v>
      </c>
      <c r="C2174" s="61" t="str">
        <f t="shared" si="610"/>
        <v>C100118</v>
      </c>
      <c r="F2174" s="8" t="str">
        <f>"C100019"</f>
        <v>C100019</v>
      </c>
      <c r="G2174" s="9" t="str">
        <f>"Black Duffel Bag"</f>
        <v>Black Duffel Bag</v>
      </c>
      <c r="H2174" s="47"/>
      <c r="I2174" s="47"/>
      <c r="J2174" s="23">
        <v>0</v>
      </c>
      <c r="K2174" s="25">
        <v>0</v>
      </c>
      <c r="L2174" s="24">
        <v>0</v>
      </c>
      <c r="M2174" s="24">
        <f>J2174-L2174</f>
        <v>0</v>
      </c>
      <c r="N2174" s="53" t="str">
        <f>IF(J2174&lt;&gt;0,M2174/J2174,"")</f>
        <v/>
      </c>
      <c r="O2174" s="23">
        <v>1657.9199999999998</v>
      </c>
      <c r="P2174" s="25">
        <v>24</v>
      </c>
      <c r="Q2174" s="24">
        <v>1025.28</v>
      </c>
      <c r="R2174" s="24">
        <f>O2174-Q2174</f>
        <v>632.63999999999987</v>
      </c>
      <c r="S2174" s="53">
        <f>IF(O2174&lt;&gt;0,R2174/O2174,"")</f>
        <v>0.38158656629994203</v>
      </c>
      <c r="T2174" s="10"/>
      <c r="U2174" s="23">
        <v>0</v>
      </c>
      <c r="V2174" s="25">
        <v>0</v>
      </c>
      <c r="W2174" s="24">
        <v>0</v>
      </c>
      <c r="X2174" s="24">
        <f>U2174-W2174</f>
        <v>0</v>
      </c>
      <c r="Y2174" s="53" t="str">
        <f>IF(U2174&lt;&gt;0,X2174/U2174,"")</f>
        <v/>
      </c>
      <c r="Z2174" s="23">
        <v>0</v>
      </c>
      <c r="AA2174" s="25">
        <v>0</v>
      </c>
      <c r="AB2174" s="24">
        <v>0</v>
      </c>
      <c r="AC2174" s="24">
        <f t="shared" si="611"/>
        <v>0</v>
      </c>
      <c r="AD2174" s="53" t="str">
        <f t="shared" si="612"/>
        <v/>
      </c>
      <c r="AE2174" s="10"/>
    </row>
    <row r="2175" spans="1:31" x14ac:dyDescent="0.25">
      <c r="A2175" s="14" t="s">
        <v>109</v>
      </c>
      <c r="C2175" s="61" t="str">
        <f t="shared" si="610"/>
        <v>C100118</v>
      </c>
      <c r="F2175" s="8" t="str">
        <f>"C100029"</f>
        <v>C100029</v>
      </c>
      <c r="G2175" s="9" t="str">
        <f>"Distressed Twill Visor"</f>
        <v>Distressed Twill Visor</v>
      </c>
      <c r="H2175" s="47"/>
      <c r="I2175" s="47"/>
      <c r="J2175" s="23">
        <v>0</v>
      </c>
      <c r="K2175" s="25">
        <v>0</v>
      </c>
      <c r="L2175" s="24">
        <v>0</v>
      </c>
      <c r="M2175" s="24">
        <f>J2175-L2175</f>
        <v>0</v>
      </c>
      <c r="N2175" s="53" t="str">
        <f>IF(J2175&lt;&gt;0,M2175/J2175,"")</f>
        <v/>
      </c>
      <c r="O2175" s="23">
        <v>3.35</v>
      </c>
      <c r="P2175" s="25">
        <v>1</v>
      </c>
      <c r="Q2175" s="24">
        <v>2.0699999999999998</v>
      </c>
      <c r="R2175" s="24">
        <f>O2175-Q2175</f>
        <v>1.2800000000000002</v>
      </c>
      <c r="S2175" s="53">
        <f>IF(O2175&lt;&gt;0,R2175/O2175,"")</f>
        <v>0.38208955223880603</v>
      </c>
      <c r="T2175" s="10"/>
      <c r="U2175" s="23">
        <v>945.60000000000014</v>
      </c>
      <c r="V2175" s="25">
        <v>288</v>
      </c>
      <c r="W2175" s="24">
        <v>596.18000000000006</v>
      </c>
      <c r="X2175" s="24">
        <f>U2175-W2175</f>
        <v>349.42000000000007</v>
      </c>
      <c r="Y2175" s="53">
        <f>IF(U2175&lt;&gt;0,X2175/U2175,"")</f>
        <v>0.36952199661590529</v>
      </c>
      <c r="Z2175" s="23">
        <v>0</v>
      </c>
      <c r="AA2175" s="25">
        <v>0</v>
      </c>
      <c r="AB2175" s="24">
        <v>0</v>
      </c>
      <c r="AC2175" s="24">
        <f t="shared" si="611"/>
        <v>0</v>
      </c>
      <c r="AD2175" s="53" t="str">
        <f t="shared" si="612"/>
        <v/>
      </c>
      <c r="AE2175" s="10"/>
    </row>
    <row r="2176" spans="1:31" x14ac:dyDescent="0.25">
      <c r="A2176" s="14" t="s">
        <v>109</v>
      </c>
      <c r="C2176" s="61" t="str">
        <f t="shared" si="610"/>
        <v>C100118</v>
      </c>
      <c r="F2176" s="8" t="str">
        <f>"E100001"</f>
        <v>E100001</v>
      </c>
      <c r="G2176" s="9" t="str">
        <f>"Sport Bag"</f>
        <v>Sport Bag</v>
      </c>
      <c r="H2176" s="47"/>
      <c r="I2176" s="47"/>
      <c r="J2176" s="23">
        <v>0</v>
      </c>
      <c r="K2176" s="25">
        <v>0</v>
      </c>
      <c r="L2176" s="24">
        <v>0</v>
      </c>
      <c r="M2176" s="24">
        <f>J2176-L2176</f>
        <v>0</v>
      </c>
      <c r="N2176" s="53" t="str">
        <f>IF(J2176&lt;&gt;0,M2176/J2176,"")</f>
        <v/>
      </c>
      <c r="O2176" s="23">
        <v>257.19</v>
      </c>
      <c r="P2176" s="25">
        <v>145</v>
      </c>
      <c r="Q2176" s="24">
        <v>126.15</v>
      </c>
      <c r="R2176" s="24">
        <f>O2176-Q2176</f>
        <v>131.04</v>
      </c>
      <c r="S2176" s="53">
        <f>IF(O2176&lt;&gt;0,R2176/O2176,"")</f>
        <v>0.50950659045841595</v>
      </c>
      <c r="T2176" s="10"/>
      <c r="U2176" s="23">
        <v>0</v>
      </c>
      <c r="V2176" s="25">
        <v>0</v>
      </c>
      <c r="W2176" s="24">
        <v>0</v>
      </c>
      <c r="X2176" s="24">
        <f>U2176-W2176</f>
        <v>0</v>
      </c>
      <c r="Y2176" s="53" t="str">
        <f>IF(U2176&lt;&gt;0,X2176/U2176,"")</f>
        <v/>
      </c>
      <c r="Z2176" s="23">
        <v>0</v>
      </c>
      <c r="AA2176" s="25">
        <v>0</v>
      </c>
      <c r="AB2176" s="24">
        <v>0</v>
      </c>
      <c r="AC2176" s="24">
        <f t="shared" si="611"/>
        <v>0</v>
      </c>
      <c r="AD2176" s="53" t="str">
        <f t="shared" si="612"/>
        <v/>
      </c>
      <c r="AE2176" s="10"/>
    </row>
    <row r="2177" spans="1:31" x14ac:dyDescent="0.25">
      <c r="A2177" s="14" t="s">
        <v>109</v>
      </c>
      <c r="C2177" s="61" t="str">
        <f t="shared" si="610"/>
        <v>C100118</v>
      </c>
      <c r="F2177" s="8" t="str">
        <f>"S100012"</f>
        <v>S100012</v>
      </c>
      <c r="G2177" s="9" t="str">
        <f>"Raw-Edge Patch BALL CAP"</f>
        <v>Raw-Edge Patch BALL CAP</v>
      </c>
      <c r="H2177" s="47"/>
      <c r="I2177" s="47"/>
      <c r="J2177" s="23">
        <v>0</v>
      </c>
      <c r="K2177" s="25">
        <v>0</v>
      </c>
      <c r="L2177" s="24">
        <v>0</v>
      </c>
      <c r="M2177" s="24">
        <f>J2177-L2177</f>
        <v>0</v>
      </c>
      <c r="N2177" s="53" t="str">
        <f>IF(J2177&lt;&gt;0,M2177/J2177,"")</f>
        <v/>
      </c>
      <c r="O2177" s="23">
        <v>1471.82</v>
      </c>
      <c r="P2177" s="25">
        <v>144</v>
      </c>
      <c r="Q2177" s="24">
        <v>807.83999999999992</v>
      </c>
      <c r="R2177" s="24">
        <f>O2177-Q2177</f>
        <v>663.98</v>
      </c>
      <c r="S2177" s="53">
        <f>IF(O2177&lt;&gt;0,R2177/O2177,"")</f>
        <v>0.45112853473930237</v>
      </c>
      <c r="T2177" s="10"/>
      <c r="U2177" s="23">
        <v>0</v>
      </c>
      <c r="V2177" s="25">
        <v>0</v>
      </c>
      <c r="W2177" s="24">
        <v>0</v>
      </c>
      <c r="X2177" s="24">
        <f>U2177-W2177</f>
        <v>0</v>
      </c>
      <c r="Y2177" s="53" t="str">
        <f>IF(U2177&lt;&gt;0,X2177/U2177,"")</f>
        <v/>
      </c>
      <c r="Z2177" s="23">
        <v>0</v>
      </c>
      <c r="AA2177" s="25">
        <v>0</v>
      </c>
      <c r="AB2177" s="24">
        <v>0</v>
      </c>
      <c r="AC2177" s="24">
        <f t="shared" si="611"/>
        <v>0</v>
      </c>
      <c r="AD2177" s="53" t="str">
        <f t="shared" si="612"/>
        <v/>
      </c>
      <c r="AE2177" s="10"/>
    </row>
    <row r="2178" spans="1:31" x14ac:dyDescent="0.25">
      <c r="A2178" s="14" t="s">
        <v>109</v>
      </c>
      <c r="C2178" s="61" t="str">
        <f t="shared" si="610"/>
        <v>C100118</v>
      </c>
      <c r="F2178" s="8" t="str">
        <f>"S100014"</f>
        <v>S100014</v>
      </c>
      <c r="G2178" s="9" t="str">
        <f>"Chunky Knit Hat"</f>
        <v>Chunky Knit Hat</v>
      </c>
      <c r="H2178" s="47"/>
      <c r="I2178" s="47"/>
      <c r="J2178" s="23">
        <v>0</v>
      </c>
      <c r="K2178" s="25">
        <v>0</v>
      </c>
      <c r="L2178" s="24">
        <v>0</v>
      </c>
      <c r="M2178" s="24">
        <f>J2178-L2178</f>
        <v>0</v>
      </c>
      <c r="N2178" s="53" t="str">
        <f>IF(J2178&lt;&gt;0,M2178/J2178,"")</f>
        <v/>
      </c>
      <c r="O2178" s="23">
        <v>1382.98</v>
      </c>
      <c r="P2178" s="25">
        <v>144</v>
      </c>
      <c r="Q2178" s="24">
        <v>743.03</v>
      </c>
      <c r="R2178" s="24">
        <f>O2178-Q2178</f>
        <v>639.95000000000005</v>
      </c>
      <c r="S2178" s="53">
        <f>IF(O2178&lt;&gt;0,R2178/O2178,"")</f>
        <v>0.46273264978524636</v>
      </c>
      <c r="T2178" s="10"/>
      <c r="U2178" s="23">
        <v>0</v>
      </c>
      <c r="V2178" s="25">
        <v>0</v>
      </c>
      <c r="W2178" s="24">
        <v>0</v>
      </c>
      <c r="X2178" s="24">
        <f>U2178-W2178</f>
        <v>0</v>
      </c>
      <c r="Y2178" s="53" t="str">
        <f>IF(U2178&lt;&gt;0,X2178/U2178,"")</f>
        <v/>
      </c>
      <c r="Z2178" s="23">
        <v>0</v>
      </c>
      <c r="AA2178" s="25">
        <v>0</v>
      </c>
      <c r="AB2178" s="24">
        <v>0</v>
      </c>
      <c r="AC2178" s="24">
        <f t="shared" si="611"/>
        <v>0</v>
      </c>
      <c r="AD2178" s="53" t="str">
        <f t="shared" si="612"/>
        <v/>
      </c>
      <c r="AE2178" s="10"/>
    </row>
    <row r="2179" spans="1:31" ht="15.75" thickBot="1" x14ac:dyDescent="0.3">
      <c r="A2179" s="14" t="s">
        <v>109</v>
      </c>
      <c r="C2179" s="61" t="str">
        <f>C2172</f>
        <v>C100118</v>
      </c>
      <c r="J2179" s="10"/>
      <c r="K2179" s="11"/>
      <c r="L2179" s="11"/>
      <c r="M2179" s="11"/>
      <c r="N2179" s="12"/>
      <c r="O2179" s="10"/>
      <c r="P2179" s="11"/>
      <c r="Q2179" s="11"/>
      <c r="R2179" s="11"/>
      <c r="S2179" s="12"/>
      <c r="U2179" s="10"/>
      <c r="V2179" s="11"/>
      <c r="W2179" s="11"/>
      <c r="X2179" s="11"/>
      <c r="Y2179" s="12"/>
      <c r="Z2179" s="10"/>
      <c r="AA2179" s="11"/>
      <c r="AB2179" s="11"/>
      <c r="AC2179" s="11"/>
      <c r="AD2179" s="12"/>
    </row>
    <row r="2180" spans="1:31" ht="15.75" thickBot="1" x14ac:dyDescent="0.3">
      <c r="A2180" s="14" t="s">
        <v>109</v>
      </c>
      <c r="C2180" s="61" t="str">
        <f t="shared" si="607"/>
        <v>C100118</v>
      </c>
      <c r="G2180" s="48" t="str">
        <f>C2180&amp;" TOTAL:"</f>
        <v>C100118 TOTAL:</v>
      </c>
      <c r="H2180" s="50"/>
      <c r="I2180" s="50"/>
      <c r="J2180" s="34">
        <f>SUBTOTAL(9,J2171:J2179)</f>
        <v>0</v>
      </c>
      <c r="K2180" s="35">
        <f>SUBTOTAL(9,K2171:K2179)</f>
        <v>0</v>
      </c>
      <c r="L2180" s="36">
        <f>SUBTOTAL(9,L2171:L2179)</f>
        <v>0</v>
      </c>
      <c r="M2180" s="36">
        <f>J2180-L2180</f>
        <v>0</v>
      </c>
      <c r="N2180" s="37" t="str">
        <f>IF(J2180&lt;&gt;0,M2180/J2180,"")</f>
        <v/>
      </c>
      <c r="O2180" s="34">
        <f>SUBTOTAL(9,O2171:O2179)</f>
        <v>12176.230000000001</v>
      </c>
      <c r="P2180" s="35">
        <f>SUBTOTAL(9,P2171:P2179)</f>
        <v>626</v>
      </c>
      <c r="Q2180" s="36">
        <f>SUBTOTAL(9,Q2171:Q2179)</f>
        <v>6216.5399999999991</v>
      </c>
      <c r="R2180" s="36">
        <f>O2180-Q2180</f>
        <v>5959.6900000000023</v>
      </c>
      <c r="S2180" s="37">
        <f>IF(O2180&lt;&gt;0,R2180/O2180,"")</f>
        <v>0.48945281092752041</v>
      </c>
      <c r="U2180" s="34">
        <f>SUBTOTAL(9,U2171:U2179)</f>
        <v>1146.3300000000002</v>
      </c>
      <c r="V2180" s="35">
        <f>SUBTOTAL(9,V2171:V2179)</f>
        <v>289</v>
      </c>
      <c r="W2180" s="36">
        <f>SUBTOTAL(9,W2171:W2179)</f>
        <v>691.22</v>
      </c>
      <c r="X2180" s="36">
        <f>U2180-W2180</f>
        <v>455.11000000000013</v>
      </c>
      <c r="Y2180" s="37">
        <f>IF(U2180&lt;&gt;0,X2180/U2180,"")</f>
        <v>0.39701482121204196</v>
      </c>
      <c r="Z2180" s="34">
        <f>SUBTOTAL(9,Z2171:Z2179)</f>
        <v>0</v>
      </c>
      <c r="AA2180" s="35">
        <f>SUBTOTAL(9,AA2171:AA2179)</f>
        <v>0</v>
      </c>
      <c r="AB2180" s="36">
        <f>SUBTOTAL(9,AB2171:AB2179)</f>
        <v>0</v>
      </c>
      <c r="AC2180" s="36">
        <f t="shared" ref="AC2180" si="613">Z2180-AB2180</f>
        <v>0</v>
      </c>
      <c r="AD2180" s="37" t="str">
        <f t="shared" ref="AD2180" si="614">IF(Z2180&lt;&gt;0,AC2180/Z2180,"")</f>
        <v/>
      </c>
    </row>
    <row r="2181" spans="1:31" x14ac:dyDescent="0.25">
      <c r="A2181" s="14" t="s">
        <v>109</v>
      </c>
      <c r="C2181" s="66"/>
      <c r="J2181" s="10"/>
      <c r="K2181" s="11"/>
      <c r="L2181" s="11"/>
      <c r="M2181" s="11"/>
      <c r="N2181" s="12"/>
      <c r="O2181" s="10"/>
      <c r="P2181" s="11"/>
      <c r="Q2181" s="11"/>
      <c r="R2181" s="11"/>
      <c r="S2181" s="12"/>
      <c r="U2181" s="10"/>
      <c r="V2181" s="11"/>
      <c r="W2181" s="11"/>
      <c r="X2181" s="11"/>
      <c r="Y2181" s="12"/>
      <c r="Z2181" s="10"/>
      <c r="AA2181" s="11"/>
      <c r="AB2181" s="11"/>
      <c r="AC2181" s="11"/>
      <c r="AD2181" s="12"/>
    </row>
    <row r="2182" spans="1:31" ht="15.75" x14ac:dyDescent="0.25">
      <c r="A2182" s="14" t="s">
        <v>109</v>
      </c>
      <c r="C2182" s="66" t="str">
        <f t="shared" ref="C2182" si="615">E2182</f>
        <v>C100119</v>
      </c>
      <c r="E2182" s="13" t="str">
        <f>"C100119"</f>
        <v>C100119</v>
      </c>
      <c r="F2182" s="13"/>
      <c r="G2182" s="13" t="str">
        <f>"Inchit, Inc."</f>
        <v>Inchit, Inc.</v>
      </c>
      <c r="H2182" s="13"/>
      <c r="I2182" s="13"/>
      <c r="J2182" s="10"/>
      <c r="K2182" s="11"/>
      <c r="L2182" s="11"/>
      <c r="M2182" s="11"/>
      <c r="N2182" s="12"/>
      <c r="O2182" s="10"/>
      <c r="P2182" s="11"/>
      <c r="Q2182" s="11"/>
      <c r="R2182" s="11"/>
      <c r="S2182" s="12"/>
      <c r="U2182" s="10"/>
      <c r="V2182" s="11"/>
      <c r="W2182" s="11"/>
      <c r="X2182" s="11"/>
      <c r="Y2182" s="12"/>
      <c r="Z2182" s="10"/>
      <c r="AA2182" s="11"/>
      <c r="AB2182" s="11"/>
      <c r="AC2182" s="11"/>
      <c r="AD2182" s="12"/>
    </row>
    <row r="2183" spans="1:31" ht="6.6" customHeight="1" x14ac:dyDescent="0.25">
      <c r="A2183" s="14" t="s">
        <v>109</v>
      </c>
      <c r="C2183" s="61" t="str">
        <f t="shared" ref="C2183:C2208" si="616">C2182</f>
        <v>C100119</v>
      </c>
      <c r="J2183" s="10"/>
      <c r="K2183" s="11"/>
      <c r="L2183" s="11"/>
      <c r="M2183" s="11"/>
      <c r="N2183" s="12"/>
      <c r="O2183" s="10"/>
      <c r="P2183" s="11"/>
      <c r="Q2183" s="11"/>
      <c r="R2183" s="11"/>
      <c r="S2183" s="12"/>
      <c r="U2183" s="10"/>
      <c r="V2183" s="11"/>
      <c r="W2183" s="11"/>
      <c r="X2183" s="11"/>
      <c r="Y2183" s="12"/>
      <c r="Z2183" s="10"/>
      <c r="AA2183" s="11"/>
      <c r="AB2183" s="11"/>
      <c r="AC2183" s="11"/>
      <c r="AD2183" s="12"/>
    </row>
    <row r="2184" spans="1:31" x14ac:dyDescent="0.25">
      <c r="A2184" s="14" t="s">
        <v>109</v>
      </c>
      <c r="C2184" s="61" t="str">
        <f t="shared" si="616"/>
        <v>C100119</v>
      </c>
      <c r="F2184" s="8" t="str">
        <f>"C100025"</f>
        <v>C100025</v>
      </c>
      <c r="G2184" s="9" t="str">
        <f>"Striped Knit Hat"</f>
        <v>Striped Knit Hat</v>
      </c>
      <c r="H2184" s="47"/>
      <c r="I2184" s="47"/>
      <c r="J2184" s="23">
        <v>0</v>
      </c>
      <c r="K2184" s="25">
        <v>0</v>
      </c>
      <c r="L2184" s="24">
        <v>0</v>
      </c>
      <c r="M2184" s="24">
        <f>J2184-L2184</f>
        <v>0</v>
      </c>
      <c r="N2184" s="53" t="str">
        <f>IF(J2184&lt;&gt;0,M2184/J2184,"")</f>
        <v/>
      </c>
      <c r="O2184" s="23">
        <v>841.08</v>
      </c>
      <c r="P2184" s="25">
        <v>288</v>
      </c>
      <c r="Q2184" s="24">
        <v>397.45000000000005</v>
      </c>
      <c r="R2184" s="24">
        <f>O2184-Q2184</f>
        <v>443.63</v>
      </c>
      <c r="S2184" s="53">
        <f>IF(O2184&lt;&gt;0,R2184/O2184,"")</f>
        <v>0.52745279878251772</v>
      </c>
      <c r="T2184" s="10"/>
      <c r="U2184" s="23">
        <v>420.54</v>
      </c>
      <c r="V2184" s="25">
        <v>144</v>
      </c>
      <c r="W2184" s="24">
        <v>198.72</v>
      </c>
      <c r="X2184" s="24">
        <f>U2184-W2184</f>
        <v>221.82000000000002</v>
      </c>
      <c r="Y2184" s="53">
        <f>IF(U2184&lt;&gt;0,X2184/U2184,"")</f>
        <v>0.52746468825795412</v>
      </c>
      <c r="Z2184" s="23">
        <v>0</v>
      </c>
      <c r="AA2184" s="25">
        <v>0</v>
      </c>
      <c r="AB2184" s="24">
        <v>0</v>
      </c>
      <c r="AC2184" s="24">
        <f t="shared" ref="AC2184" si="617">Z2184-AB2184</f>
        <v>0</v>
      </c>
      <c r="AD2184" s="53" t="str">
        <f t="shared" ref="AD2184" si="618">IF(Z2184&lt;&gt;0,AC2184/Z2184,"")</f>
        <v/>
      </c>
      <c r="AE2184" s="10"/>
    </row>
    <row r="2185" spans="1:31" x14ac:dyDescent="0.25">
      <c r="A2185" s="14" t="s">
        <v>109</v>
      </c>
      <c r="C2185" s="61" t="str">
        <f t="shared" ref="C2185:C2206" si="619">C2184</f>
        <v>C100119</v>
      </c>
      <c r="F2185" s="8" t="str">
        <f>"C100033"</f>
        <v>C100033</v>
      </c>
      <c r="G2185" s="9" t="str">
        <f>"Frames &amp; Clock"</f>
        <v>Frames &amp; Clock</v>
      </c>
      <c r="H2185" s="47"/>
      <c r="I2185" s="47"/>
      <c r="J2185" s="23">
        <v>0</v>
      </c>
      <c r="K2185" s="25">
        <v>0</v>
      </c>
      <c r="L2185" s="24">
        <v>0</v>
      </c>
      <c r="M2185" s="24">
        <f>J2185-L2185</f>
        <v>0</v>
      </c>
      <c r="N2185" s="53" t="str">
        <f>IF(J2185&lt;&gt;0,M2185/J2185,"")</f>
        <v/>
      </c>
      <c r="O2185" s="23">
        <v>683.02</v>
      </c>
      <c r="P2185" s="25">
        <v>144</v>
      </c>
      <c r="Q2185" s="24">
        <v>414.7</v>
      </c>
      <c r="R2185" s="24">
        <f>O2185-Q2185</f>
        <v>268.32</v>
      </c>
      <c r="S2185" s="53">
        <f>IF(O2185&lt;&gt;0,R2185/O2185,"")</f>
        <v>0.39284354777312525</v>
      </c>
      <c r="T2185" s="10"/>
      <c r="U2185" s="23">
        <v>0</v>
      </c>
      <c r="V2185" s="25">
        <v>0</v>
      </c>
      <c r="W2185" s="24">
        <v>0</v>
      </c>
      <c r="X2185" s="24">
        <f>U2185-W2185</f>
        <v>0</v>
      </c>
      <c r="Y2185" s="53" t="str">
        <f>IF(U2185&lt;&gt;0,X2185/U2185,"")</f>
        <v/>
      </c>
      <c r="Z2185" s="23">
        <v>0</v>
      </c>
      <c r="AA2185" s="25">
        <v>0</v>
      </c>
      <c r="AB2185" s="24">
        <v>0</v>
      </c>
      <c r="AC2185" s="24">
        <f t="shared" ref="AC2185:AC2206" si="620">Z2185-AB2185</f>
        <v>0</v>
      </c>
      <c r="AD2185" s="53" t="str">
        <f t="shared" ref="AD2185:AD2206" si="621">IF(Z2185&lt;&gt;0,AC2185/Z2185,"")</f>
        <v/>
      </c>
      <c r="AE2185" s="10"/>
    </row>
    <row r="2186" spans="1:31" x14ac:dyDescent="0.25">
      <c r="A2186" s="14" t="s">
        <v>109</v>
      </c>
      <c r="C2186" s="61" t="str">
        <f t="shared" si="619"/>
        <v>C100119</v>
      </c>
      <c r="F2186" s="8" t="str">
        <f>"C100035"</f>
        <v>C100035</v>
      </c>
      <c r="G2186" s="9" t="str">
        <f>"Calculator &amp; World Time Clock"</f>
        <v>Calculator &amp; World Time Clock</v>
      </c>
      <c r="H2186" s="47"/>
      <c r="I2186" s="47"/>
      <c r="J2186" s="23">
        <v>0</v>
      </c>
      <c r="K2186" s="25">
        <v>0</v>
      </c>
      <c r="L2186" s="24">
        <v>0</v>
      </c>
      <c r="M2186" s="24">
        <f>J2186-L2186</f>
        <v>0</v>
      </c>
      <c r="N2186" s="53" t="str">
        <f>IF(J2186&lt;&gt;0,M2186/J2186,"")</f>
        <v/>
      </c>
      <c r="O2186" s="23">
        <v>414.89</v>
      </c>
      <c r="P2186" s="25">
        <v>144</v>
      </c>
      <c r="Q2186" s="24">
        <v>282.24</v>
      </c>
      <c r="R2186" s="24">
        <f>O2186-Q2186</f>
        <v>132.64999999999998</v>
      </c>
      <c r="S2186" s="53">
        <f>IF(O2186&lt;&gt;0,R2186/O2186,"")</f>
        <v>0.31972330015184741</v>
      </c>
      <c r="T2186" s="10"/>
      <c r="U2186" s="23">
        <v>1219.28</v>
      </c>
      <c r="V2186" s="25">
        <v>432</v>
      </c>
      <c r="W2186" s="24">
        <v>846.71</v>
      </c>
      <c r="X2186" s="24">
        <f>U2186-W2186</f>
        <v>372.56999999999994</v>
      </c>
      <c r="Y2186" s="53">
        <f>IF(U2186&lt;&gt;0,X2186/U2186,"")</f>
        <v>0.30556557968637221</v>
      </c>
      <c r="Z2186" s="23">
        <v>0</v>
      </c>
      <c r="AA2186" s="25">
        <v>0</v>
      </c>
      <c r="AB2186" s="24">
        <v>0</v>
      </c>
      <c r="AC2186" s="24">
        <f t="shared" si="620"/>
        <v>0</v>
      </c>
      <c r="AD2186" s="53" t="str">
        <f t="shared" si="621"/>
        <v/>
      </c>
      <c r="AE2186" s="10"/>
    </row>
    <row r="2187" spans="1:31" x14ac:dyDescent="0.25">
      <c r="A2187" s="14" t="s">
        <v>109</v>
      </c>
      <c r="C2187" s="61" t="str">
        <f t="shared" si="619"/>
        <v>C100119</v>
      </c>
      <c r="F2187" s="8" t="str">
        <f>"C100044"</f>
        <v>C100044</v>
      </c>
      <c r="G2187" s="9" t="str">
        <f>"VOIP Headset with Mic"</f>
        <v>VOIP Headset with Mic</v>
      </c>
      <c r="H2187" s="47"/>
      <c r="I2187" s="47"/>
      <c r="J2187" s="23">
        <v>0</v>
      </c>
      <c r="K2187" s="25">
        <v>0</v>
      </c>
      <c r="L2187" s="24">
        <v>0</v>
      </c>
      <c r="M2187" s="24">
        <f>J2187-L2187</f>
        <v>0</v>
      </c>
      <c r="N2187" s="53" t="str">
        <f>IF(J2187&lt;&gt;0,M2187/J2187,"")</f>
        <v/>
      </c>
      <c r="O2187" s="23">
        <v>310.45999999999998</v>
      </c>
      <c r="P2187" s="25">
        <v>144</v>
      </c>
      <c r="Q2187" s="24">
        <v>172.85</v>
      </c>
      <c r="R2187" s="24">
        <f>O2187-Q2187</f>
        <v>137.60999999999999</v>
      </c>
      <c r="S2187" s="53">
        <f>IF(O2187&lt;&gt;0,R2187/O2187,"")</f>
        <v>0.4432455066675256</v>
      </c>
      <c r="T2187" s="10"/>
      <c r="U2187" s="23">
        <v>411.84</v>
      </c>
      <c r="V2187" s="25">
        <v>192</v>
      </c>
      <c r="W2187" s="24">
        <v>230.47</v>
      </c>
      <c r="X2187" s="24">
        <f>U2187-W2187</f>
        <v>181.36999999999998</v>
      </c>
      <c r="Y2187" s="53">
        <f>IF(U2187&lt;&gt;0,X2187/U2187,"")</f>
        <v>0.44038947163947162</v>
      </c>
      <c r="Z2187" s="23">
        <v>0</v>
      </c>
      <c r="AA2187" s="25">
        <v>0</v>
      </c>
      <c r="AB2187" s="24">
        <v>0</v>
      </c>
      <c r="AC2187" s="24">
        <f t="shared" si="620"/>
        <v>0</v>
      </c>
      <c r="AD2187" s="53" t="str">
        <f t="shared" si="621"/>
        <v/>
      </c>
      <c r="AE2187" s="10"/>
    </row>
    <row r="2188" spans="1:31" x14ac:dyDescent="0.25">
      <c r="A2188" s="14" t="s">
        <v>109</v>
      </c>
      <c r="C2188" s="61" t="str">
        <f t="shared" si="619"/>
        <v>C100119</v>
      </c>
      <c r="F2188" s="8" t="str">
        <f>"C100062"</f>
        <v>C100062</v>
      </c>
      <c r="G2188" s="9" t="str">
        <f>"Tall Matte Finish Mug"</f>
        <v>Tall Matte Finish Mug</v>
      </c>
      <c r="H2188" s="47"/>
      <c r="I2188" s="47"/>
      <c r="J2188" s="23">
        <v>0</v>
      </c>
      <c r="K2188" s="25">
        <v>0</v>
      </c>
      <c r="L2188" s="24">
        <v>0</v>
      </c>
      <c r="M2188" s="24">
        <f>J2188-L2188</f>
        <v>0</v>
      </c>
      <c r="N2188" s="53" t="str">
        <f>IF(J2188&lt;&gt;0,M2188/J2188,"")</f>
        <v/>
      </c>
      <c r="O2188" s="23">
        <v>173.58</v>
      </c>
      <c r="P2188" s="25">
        <v>144</v>
      </c>
      <c r="Q2188" s="24">
        <v>97.929999999999993</v>
      </c>
      <c r="R2188" s="24">
        <f>O2188-Q2188</f>
        <v>75.65000000000002</v>
      </c>
      <c r="S2188" s="53">
        <f>IF(O2188&lt;&gt;0,R2188/O2188,"")</f>
        <v>0.43582209932019828</v>
      </c>
      <c r="T2188" s="10"/>
      <c r="U2188" s="23">
        <v>173.58</v>
      </c>
      <c r="V2188" s="25">
        <v>144</v>
      </c>
      <c r="W2188" s="24">
        <v>97.929999999999993</v>
      </c>
      <c r="X2188" s="24">
        <f>U2188-W2188</f>
        <v>75.65000000000002</v>
      </c>
      <c r="Y2188" s="53">
        <f>IF(U2188&lt;&gt;0,X2188/U2188,"")</f>
        <v>0.43582209932019828</v>
      </c>
      <c r="Z2188" s="23">
        <v>0</v>
      </c>
      <c r="AA2188" s="25">
        <v>0</v>
      </c>
      <c r="AB2188" s="24">
        <v>0</v>
      </c>
      <c r="AC2188" s="24">
        <f t="shared" si="620"/>
        <v>0</v>
      </c>
      <c r="AD2188" s="53" t="str">
        <f t="shared" si="621"/>
        <v/>
      </c>
      <c r="AE2188" s="10"/>
    </row>
    <row r="2189" spans="1:31" x14ac:dyDescent="0.25">
      <c r="A2189" s="14" t="s">
        <v>109</v>
      </c>
      <c r="C2189" s="61" t="str">
        <f t="shared" si="619"/>
        <v>C100119</v>
      </c>
      <c r="F2189" s="8" t="str">
        <f>"E100004"</f>
        <v>E100004</v>
      </c>
      <c r="G2189" s="9" t="str">
        <f>"Laminated Tote"</f>
        <v>Laminated Tote</v>
      </c>
      <c r="H2189" s="47"/>
      <c r="I2189" s="47"/>
      <c r="J2189" s="23">
        <v>0</v>
      </c>
      <c r="K2189" s="25">
        <v>0</v>
      </c>
      <c r="L2189" s="24">
        <v>0</v>
      </c>
      <c r="M2189" s="24">
        <f>J2189-L2189</f>
        <v>0</v>
      </c>
      <c r="N2189" s="53" t="str">
        <f>IF(J2189&lt;&gt;0,M2189/J2189,"")</f>
        <v/>
      </c>
      <c r="O2189" s="23">
        <v>530.61</v>
      </c>
      <c r="P2189" s="25">
        <v>288</v>
      </c>
      <c r="Q2189" s="24">
        <v>345.61</v>
      </c>
      <c r="R2189" s="24">
        <f>O2189-Q2189</f>
        <v>185</v>
      </c>
      <c r="S2189" s="53">
        <f>IF(O2189&lt;&gt;0,R2189/O2189,"")</f>
        <v>0.34865532123405135</v>
      </c>
      <c r="T2189" s="10"/>
      <c r="U2189" s="23">
        <v>1.84</v>
      </c>
      <c r="V2189" s="25">
        <v>1</v>
      </c>
      <c r="W2189" s="24">
        <v>1.2</v>
      </c>
      <c r="X2189" s="24">
        <f>U2189-W2189</f>
        <v>0.64000000000000012</v>
      </c>
      <c r="Y2189" s="53">
        <f>IF(U2189&lt;&gt;0,X2189/U2189,"")</f>
        <v>0.34782608695652178</v>
      </c>
      <c r="Z2189" s="23">
        <v>0</v>
      </c>
      <c r="AA2189" s="25">
        <v>0</v>
      </c>
      <c r="AB2189" s="24">
        <v>0</v>
      </c>
      <c r="AC2189" s="24">
        <f t="shared" si="620"/>
        <v>0</v>
      </c>
      <c r="AD2189" s="53" t="str">
        <f t="shared" si="621"/>
        <v/>
      </c>
      <c r="AE2189" s="10"/>
    </row>
    <row r="2190" spans="1:31" x14ac:dyDescent="0.25">
      <c r="A2190" s="14" t="s">
        <v>109</v>
      </c>
      <c r="C2190" s="61" t="str">
        <f t="shared" si="619"/>
        <v>C100119</v>
      </c>
      <c r="F2190" s="8" t="str">
        <f>"E100005"</f>
        <v>E100005</v>
      </c>
      <c r="G2190" s="9" t="str">
        <f>"All Purpose Tote"</f>
        <v>All Purpose Tote</v>
      </c>
      <c r="H2190" s="47"/>
      <c r="I2190" s="47"/>
      <c r="J2190" s="23">
        <v>0</v>
      </c>
      <c r="K2190" s="25">
        <v>0</v>
      </c>
      <c r="L2190" s="24">
        <v>0</v>
      </c>
      <c r="M2190" s="24">
        <f>J2190-L2190</f>
        <v>0</v>
      </c>
      <c r="N2190" s="53" t="str">
        <f>IF(J2190&lt;&gt;0,M2190/J2190,"")</f>
        <v/>
      </c>
      <c r="O2190" s="23">
        <v>364.09</v>
      </c>
      <c r="P2190" s="25">
        <v>144</v>
      </c>
      <c r="Q2190" s="24">
        <v>178.56</v>
      </c>
      <c r="R2190" s="24">
        <f>O2190-Q2190</f>
        <v>185.52999999999997</v>
      </c>
      <c r="S2190" s="53">
        <f>IF(O2190&lt;&gt;0,R2190/O2190,"")</f>
        <v>0.50957180916806277</v>
      </c>
      <c r="T2190" s="10"/>
      <c r="U2190" s="23">
        <v>0</v>
      </c>
      <c r="V2190" s="25">
        <v>0</v>
      </c>
      <c r="W2190" s="24">
        <v>0</v>
      </c>
      <c r="X2190" s="24">
        <f>U2190-W2190</f>
        <v>0</v>
      </c>
      <c r="Y2190" s="53" t="str">
        <f>IF(U2190&lt;&gt;0,X2190/U2190,"")</f>
        <v/>
      </c>
      <c r="Z2190" s="23">
        <v>0</v>
      </c>
      <c r="AA2190" s="25">
        <v>0</v>
      </c>
      <c r="AB2190" s="24">
        <v>0</v>
      </c>
      <c r="AC2190" s="24">
        <f t="shared" si="620"/>
        <v>0</v>
      </c>
      <c r="AD2190" s="53" t="str">
        <f t="shared" si="621"/>
        <v/>
      </c>
      <c r="AE2190" s="10"/>
    </row>
    <row r="2191" spans="1:31" x14ac:dyDescent="0.25">
      <c r="A2191" s="14" t="s">
        <v>109</v>
      </c>
      <c r="C2191" s="61" t="str">
        <f t="shared" si="619"/>
        <v>C100119</v>
      </c>
      <c r="F2191" s="8" t="str">
        <f>"E100007"</f>
        <v>E100007</v>
      </c>
      <c r="G2191" s="9" t="str">
        <f>"Plastic Handle Bag"</f>
        <v>Plastic Handle Bag</v>
      </c>
      <c r="H2191" s="47"/>
      <c r="I2191" s="47"/>
      <c r="J2191" s="23">
        <v>0</v>
      </c>
      <c r="K2191" s="25">
        <v>0</v>
      </c>
      <c r="L2191" s="24">
        <v>0</v>
      </c>
      <c r="M2191" s="24">
        <f>J2191-L2191</f>
        <v>0</v>
      </c>
      <c r="N2191" s="53" t="str">
        <f>IF(J2191&lt;&gt;0,M2191/J2191,"")</f>
        <v/>
      </c>
      <c r="O2191" s="23">
        <v>46.57</v>
      </c>
      <c r="P2191" s="25">
        <v>144</v>
      </c>
      <c r="Q2191" s="24">
        <v>25.92</v>
      </c>
      <c r="R2191" s="24">
        <f>O2191-Q2191</f>
        <v>20.65</v>
      </c>
      <c r="S2191" s="53">
        <f>IF(O2191&lt;&gt;0,R2191/O2191,"")</f>
        <v>0.44341850977023833</v>
      </c>
      <c r="T2191" s="10"/>
      <c r="U2191" s="23">
        <v>0</v>
      </c>
      <c r="V2191" s="25">
        <v>0</v>
      </c>
      <c r="W2191" s="24">
        <v>0</v>
      </c>
      <c r="X2191" s="24">
        <f>U2191-W2191</f>
        <v>0</v>
      </c>
      <c r="Y2191" s="53" t="str">
        <f>IF(U2191&lt;&gt;0,X2191/U2191,"")</f>
        <v/>
      </c>
      <c r="Z2191" s="23">
        <v>0</v>
      </c>
      <c r="AA2191" s="25">
        <v>0</v>
      </c>
      <c r="AB2191" s="24">
        <v>0</v>
      </c>
      <c r="AC2191" s="24">
        <f t="shared" si="620"/>
        <v>0</v>
      </c>
      <c r="AD2191" s="53" t="str">
        <f t="shared" si="621"/>
        <v/>
      </c>
      <c r="AE2191" s="10"/>
    </row>
    <row r="2192" spans="1:31" x14ac:dyDescent="0.25">
      <c r="A2192" s="14" t="s">
        <v>109</v>
      </c>
      <c r="C2192" s="61" t="str">
        <f t="shared" si="619"/>
        <v>C100119</v>
      </c>
      <c r="F2192" s="8" t="str">
        <f>"E100008"</f>
        <v>E100008</v>
      </c>
      <c r="G2192" s="9" t="str">
        <f>"Super Shopper"</f>
        <v>Super Shopper</v>
      </c>
      <c r="H2192" s="47"/>
      <c r="I2192" s="47"/>
      <c r="J2192" s="23">
        <v>0</v>
      </c>
      <c r="K2192" s="25">
        <v>0</v>
      </c>
      <c r="L2192" s="24">
        <v>0</v>
      </c>
      <c r="M2192" s="24">
        <f>J2192-L2192</f>
        <v>0</v>
      </c>
      <c r="N2192" s="53" t="str">
        <f>IF(J2192&lt;&gt;0,M2192/J2192,"")</f>
        <v/>
      </c>
      <c r="O2192" s="23">
        <v>0.45</v>
      </c>
      <c r="P2192" s="25">
        <v>2</v>
      </c>
      <c r="Q2192" s="24">
        <v>0.24</v>
      </c>
      <c r="R2192" s="24">
        <f>O2192-Q2192</f>
        <v>0.21000000000000002</v>
      </c>
      <c r="S2192" s="53">
        <f>IF(O2192&lt;&gt;0,R2192/O2192,"")</f>
        <v>0.46666666666666667</v>
      </c>
      <c r="T2192" s="10"/>
      <c r="U2192" s="23">
        <v>32.46</v>
      </c>
      <c r="V2192" s="25">
        <v>144</v>
      </c>
      <c r="W2192" s="24">
        <v>17.29</v>
      </c>
      <c r="X2192" s="24">
        <f>U2192-W2192</f>
        <v>15.170000000000002</v>
      </c>
      <c r="Y2192" s="53">
        <f>IF(U2192&lt;&gt;0,X2192/U2192,"")</f>
        <v>0.46734442390634634</v>
      </c>
      <c r="Z2192" s="23">
        <v>0</v>
      </c>
      <c r="AA2192" s="25">
        <v>0</v>
      </c>
      <c r="AB2192" s="24">
        <v>0</v>
      </c>
      <c r="AC2192" s="24">
        <f t="shared" si="620"/>
        <v>0</v>
      </c>
      <c r="AD2192" s="53" t="str">
        <f t="shared" si="621"/>
        <v/>
      </c>
      <c r="AE2192" s="10"/>
    </row>
    <row r="2193" spans="1:31" x14ac:dyDescent="0.25">
      <c r="A2193" s="14" t="s">
        <v>109</v>
      </c>
      <c r="C2193" s="61" t="str">
        <f t="shared" si="619"/>
        <v>C100119</v>
      </c>
      <c r="F2193" s="8" t="str">
        <f>"E100010"</f>
        <v>E100010</v>
      </c>
      <c r="G2193" s="9" t="str">
        <f>"Vinyl Tote"</f>
        <v>Vinyl Tote</v>
      </c>
      <c r="H2193" s="47"/>
      <c r="I2193" s="47"/>
      <c r="J2193" s="23">
        <v>0</v>
      </c>
      <c r="K2193" s="25">
        <v>0</v>
      </c>
      <c r="L2193" s="24">
        <v>0</v>
      </c>
      <c r="M2193" s="24">
        <f>J2193-L2193</f>
        <v>0</v>
      </c>
      <c r="N2193" s="53" t="str">
        <f>IF(J2193&lt;&gt;0,M2193/J2193,"")</f>
        <v/>
      </c>
      <c r="O2193" s="23">
        <v>43.75</v>
      </c>
      <c r="P2193" s="25">
        <v>144</v>
      </c>
      <c r="Q2193" s="24">
        <v>25.92</v>
      </c>
      <c r="R2193" s="24">
        <f>O2193-Q2193</f>
        <v>17.829999999999998</v>
      </c>
      <c r="S2193" s="53">
        <f>IF(O2193&lt;&gt;0,R2193/O2193,"")</f>
        <v>0.4075428571428571</v>
      </c>
      <c r="T2193" s="10"/>
      <c r="U2193" s="23">
        <v>0</v>
      </c>
      <c r="V2193" s="25">
        <v>0</v>
      </c>
      <c r="W2193" s="24">
        <v>0</v>
      </c>
      <c r="X2193" s="24">
        <f>U2193-W2193</f>
        <v>0</v>
      </c>
      <c r="Y2193" s="53" t="str">
        <f>IF(U2193&lt;&gt;0,X2193/U2193,"")</f>
        <v/>
      </c>
      <c r="Z2193" s="23">
        <v>0</v>
      </c>
      <c r="AA2193" s="25">
        <v>0</v>
      </c>
      <c r="AB2193" s="24">
        <v>0</v>
      </c>
      <c r="AC2193" s="24">
        <f t="shared" si="620"/>
        <v>0</v>
      </c>
      <c r="AD2193" s="53" t="str">
        <f t="shared" si="621"/>
        <v/>
      </c>
      <c r="AE2193" s="10"/>
    </row>
    <row r="2194" spans="1:31" x14ac:dyDescent="0.25">
      <c r="A2194" s="14" t="s">
        <v>109</v>
      </c>
      <c r="C2194" s="61" t="str">
        <f t="shared" si="619"/>
        <v>C100119</v>
      </c>
      <c r="F2194" s="8" t="str">
        <f>"E100011"</f>
        <v>E100011</v>
      </c>
      <c r="G2194" s="9" t="str">
        <f>"Plastic Sun Visor"</f>
        <v>Plastic Sun Visor</v>
      </c>
      <c r="H2194" s="47"/>
      <c r="I2194" s="47"/>
      <c r="J2194" s="23">
        <v>0</v>
      </c>
      <c r="K2194" s="25">
        <v>0</v>
      </c>
      <c r="L2194" s="24">
        <v>0</v>
      </c>
      <c r="M2194" s="24">
        <f>J2194-L2194</f>
        <v>0</v>
      </c>
      <c r="N2194" s="53" t="str">
        <f>IF(J2194&lt;&gt;0,M2194/J2194,"")</f>
        <v/>
      </c>
      <c r="O2194" s="23">
        <v>114.31</v>
      </c>
      <c r="P2194" s="25">
        <v>144</v>
      </c>
      <c r="Q2194" s="24">
        <v>60.470000000000006</v>
      </c>
      <c r="R2194" s="24">
        <f>O2194-Q2194</f>
        <v>53.839999999999996</v>
      </c>
      <c r="S2194" s="53">
        <f>IF(O2194&lt;&gt;0,R2194/O2194,"")</f>
        <v>0.47099991251858975</v>
      </c>
      <c r="T2194" s="10"/>
      <c r="U2194" s="23">
        <v>0</v>
      </c>
      <c r="V2194" s="25">
        <v>0</v>
      </c>
      <c r="W2194" s="24">
        <v>0</v>
      </c>
      <c r="X2194" s="24">
        <f>U2194-W2194</f>
        <v>0</v>
      </c>
      <c r="Y2194" s="53" t="str">
        <f>IF(U2194&lt;&gt;0,X2194/U2194,"")</f>
        <v/>
      </c>
      <c r="Z2194" s="23">
        <v>0</v>
      </c>
      <c r="AA2194" s="25">
        <v>0</v>
      </c>
      <c r="AB2194" s="24">
        <v>0</v>
      </c>
      <c r="AC2194" s="24">
        <f t="shared" si="620"/>
        <v>0</v>
      </c>
      <c r="AD2194" s="53" t="str">
        <f t="shared" si="621"/>
        <v/>
      </c>
      <c r="AE2194" s="10"/>
    </row>
    <row r="2195" spans="1:31" x14ac:dyDescent="0.25">
      <c r="A2195" s="14" t="s">
        <v>109</v>
      </c>
      <c r="C2195" s="61" t="str">
        <f t="shared" si="619"/>
        <v>C100119</v>
      </c>
      <c r="F2195" s="8" t="str">
        <f>"E100013"</f>
        <v>E100013</v>
      </c>
      <c r="G2195" s="9" t="str">
        <f>"Clip-on Stopwatch"</f>
        <v>Clip-on Stopwatch</v>
      </c>
      <c r="H2195" s="47"/>
      <c r="I2195" s="47"/>
      <c r="J2195" s="23">
        <v>0</v>
      </c>
      <c r="K2195" s="25">
        <v>0</v>
      </c>
      <c r="L2195" s="24">
        <v>0</v>
      </c>
      <c r="M2195" s="24">
        <f>J2195-L2195</f>
        <v>0</v>
      </c>
      <c r="N2195" s="53" t="str">
        <f>IF(J2195&lt;&gt;0,M2195/J2195,"")</f>
        <v/>
      </c>
      <c r="O2195" s="23">
        <v>389.49</v>
      </c>
      <c r="P2195" s="25">
        <v>144</v>
      </c>
      <c r="Q2195" s="24">
        <v>207.35</v>
      </c>
      <c r="R2195" s="24">
        <f>O2195-Q2195</f>
        <v>182.14000000000001</v>
      </c>
      <c r="S2195" s="53">
        <f>IF(O2195&lt;&gt;0,R2195/O2195,"")</f>
        <v>0.46763716655113097</v>
      </c>
      <c r="T2195" s="10"/>
      <c r="U2195" s="23">
        <v>389.49</v>
      </c>
      <c r="V2195" s="25">
        <v>144</v>
      </c>
      <c r="W2195" s="24">
        <v>207.35</v>
      </c>
      <c r="X2195" s="24">
        <f>U2195-W2195</f>
        <v>182.14000000000001</v>
      </c>
      <c r="Y2195" s="53">
        <f>IF(U2195&lt;&gt;0,X2195/U2195,"")</f>
        <v>0.46763716655113097</v>
      </c>
      <c r="Z2195" s="23">
        <v>0</v>
      </c>
      <c r="AA2195" s="25">
        <v>0</v>
      </c>
      <c r="AB2195" s="24">
        <v>0</v>
      </c>
      <c r="AC2195" s="24">
        <f t="shared" si="620"/>
        <v>0</v>
      </c>
      <c r="AD2195" s="53" t="str">
        <f t="shared" si="621"/>
        <v/>
      </c>
      <c r="AE2195" s="10"/>
    </row>
    <row r="2196" spans="1:31" x14ac:dyDescent="0.25">
      <c r="A2196" s="14" t="s">
        <v>109</v>
      </c>
      <c r="C2196" s="61" t="str">
        <f t="shared" si="619"/>
        <v>C100119</v>
      </c>
      <c r="F2196" s="8" t="str">
        <f>"E100016"</f>
        <v>E100016</v>
      </c>
      <c r="G2196" s="9" t="str">
        <f>"4 Function Rotating Carabiner Watch"</f>
        <v>4 Function Rotating Carabiner Watch</v>
      </c>
      <c r="H2196" s="47"/>
      <c r="I2196" s="47"/>
      <c r="J2196" s="23">
        <v>0</v>
      </c>
      <c r="K2196" s="25">
        <v>0</v>
      </c>
      <c r="L2196" s="24">
        <v>0</v>
      </c>
      <c r="M2196" s="24">
        <f>J2196-L2196</f>
        <v>0</v>
      </c>
      <c r="N2196" s="53" t="str">
        <f>IF(J2196&lt;&gt;0,M2196/J2196,"")</f>
        <v/>
      </c>
      <c r="O2196" s="23">
        <v>429.00000000000006</v>
      </c>
      <c r="P2196" s="25">
        <v>144</v>
      </c>
      <c r="Q2196" s="24">
        <v>198.73000000000002</v>
      </c>
      <c r="R2196" s="24">
        <f>O2196-Q2196</f>
        <v>230.27000000000004</v>
      </c>
      <c r="S2196" s="53">
        <f>IF(O2196&lt;&gt;0,R2196/O2196,"")</f>
        <v>0.53675990675990681</v>
      </c>
      <c r="T2196" s="10"/>
      <c r="U2196" s="23">
        <v>0</v>
      </c>
      <c r="V2196" s="25">
        <v>0</v>
      </c>
      <c r="W2196" s="24">
        <v>0</v>
      </c>
      <c r="X2196" s="24">
        <f>U2196-W2196</f>
        <v>0</v>
      </c>
      <c r="Y2196" s="53" t="str">
        <f>IF(U2196&lt;&gt;0,X2196/U2196,"")</f>
        <v/>
      </c>
      <c r="Z2196" s="23">
        <v>0</v>
      </c>
      <c r="AA2196" s="25">
        <v>0</v>
      </c>
      <c r="AB2196" s="24">
        <v>0</v>
      </c>
      <c r="AC2196" s="24">
        <f t="shared" si="620"/>
        <v>0</v>
      </c>
      <c r="AD2196" s="53" t="str">
        <f t="shared" si="621"/>
        <v/>
      </c>
      <c r="AE2196" s="10"/>
    </row>
    <row r="2197" spans="1:31" x14ac:dyDescent="0.25">
      <c r="A2197" s="14" t="s">
        <v>109</v>
      </c>
      <c r="C2197" s="61" t="str">
        <f t="shared" si="619"/>
        <v>C100119</v>
      </c>
      <c r="F2197" s="8" t="str">
        <f>"E100018"</f>
        <v>E100018</v>
      </c>
      <c r="G2197" s="9" t="str">
        <f>"Flexi-Clock &amp; Clip"</f>
        <v>Flexi-Clock &amp; Clip</v>
      </c>
      <c r="H2197" s="47"/>
      <c r="I2197" s="47"/>
      <c r="J2197" s="23">
        <v>0</v>
      </c>
      <c r="K2197" s="25">
        <v>0</v>
      </c>
      <c r="L2197" s="24">
        <v>0</v>
      </c>
      <c r="M2197" s="24">
        <f>J2197-L2197</f>
        <v>0</v>
      </c>
      <c r="N2197" s="53" t="str">
        <f>IF(J2197&lt;&gt;0,M2197/J2197,"")</f>
        <v/>
      </c>
      <c r="O2197" s="23">
        <v>637.86</v>
      </c>
      <c r="P2197" s="25">
        <v>576</v>
      </c>
      <c r="Q2197" s="24">
        <v>345.55</v>
      </c>
      <c r="R2197" s="24">
        <f>O2197-Q2197</f>
        <v>292.31</v>
      </c>
      <c r="S2197" s="53">
        <f>IF(O2197&lt;&gt;0,R2197/O2197,"")</f>
        <v>0.45826670429247796</v>
      </c>
      <c r="T2197" s="10"/>
      <c r="U2197" s="23">
        <v>0</v>
      </c>
      <c r="V2197" s="25">
        <v>0</v>
      </c>
      <c r="W2197" s="24">
        <v>0</v>
      </c>
      <c r="X2197" s="24">
        <f>U2197-W2197</f>
        <v>0</v>
      </c>
      <c r="Y2197" s="53" t="str">
        <f>IF(U2197&lt;&gt;0,X2197/U2197,"")</f>
        <v/>
      </c>
      <c r="Z2197" s="23">
        <v>0</v>
      </c>
      <c r="AA2197" s="25">
        <v>0</v>
      </c>
      <c r="AB2197" s="24">
        <v>0</v>
      </c>
      <c r="AC2197" s="24">
        <f t="shared" si="620"/>
        <v>0</v>
      </c>
      <c r="AD2197" s="53" t="str">
        <f t="shared" si="621"/>
        <v/>
      </c>
      <c r="AE2197" s="10"/>
    </row>
    <row r="2198" spans="1:31" x14ac:dyDescent="0.25">
      <c r="A2198" s="14" t="s">
        <v>109</v>
      </c>
      <c r="C2198" s="61" t="str">
        <f t="shared" si="619"/>
        <v>C100119</v>
      </c>
      <c r="F2198" s="8" t="str">
        <f>"E100025"</f>
        <v>E100025</v>
      </c>
      <c r="G2198" s="9" t="str">
        <f>"Calc-U-Note"</f>
        <v>Calc-U-Note</v>
      </c>
      <c r="H2198" s="47"/>
      <c r="I2198" s="47"/>
      <c r="J2198" s="23">
        <v>0</v>
      </c>
      <c r="K2198" s="25">
        <v>0</v>
      </c>
      <c r="L2198" s="24">
        <v>0</v>
      </c>
      <c r="M2198" s="24">
        <f>J2198-L2198</f>
        <v>0</v>
      </c>
      <c r="N2198" s="53" t="str">
        <f>IF(J2198&lt;&gt;0,M2198/J2198,"")</f>
        <v/>
      </c>
      <c r="O2198" s="23">
        <v>231.43999999999997</v>
      </c>
      <c r="P2198" s="25">
        <v>144</v>
      </c>
      <c r="Q2198" s="24">
        <v>146.80000000000001</v>
      </c>
      <c r="R2198" s="24">
        <f>O2198-Q2198</f>
        <v>84.639999999999958</v>
      </c>
      <c r="S2198" s="53">
        <f>IF(O2198&lt;&gt;0,R2198/O2198,"")</f>
        <v>0.36571033529208419</v>
      </c>
      <c r="T2198" s="10"/>
      <c r="U2198" s="23">
        <v>689.57999999999993</v>
      </c>
      <c r="V2198" s="25">
        <v>432</v>
      </c>
      <c r="W2198" s="24">
        <v>440.39</v>
      </c>
      <c r="X2198" s="24">
        <f>U2198-W2198</f>
        <v>249.18999999999994</v>
      </c>
      <c r="Y2198" s="53">
        <f>IF(U2198&lt;&gt;0,X2198/U2198,"")</f>
        <v>0.3613648887728762</v>
      </c>
      <c r="Z2198" s="23">
        <v>0</v>
      </c>
      <c r="AA2198" s="25">
        <v>0</v>
      </c>
      <c r="AB2198" s="24">
        <v>0</v>
      </c>
      <c r="AC2198" s="24">
        <f t="shared" si="620"/>
        <v>0</v>
      </c>
      <c r="AD2198" s="53" t="str">
        <f t="shared" si="621"/>
        <v/>
      </c>
      <c r="AE2198" s="10"/>
    </row>
    <row r="2199" spans="1:31" x14ac:dyDescent="0.25">
      <c r="A2199" s="14" t="s">
        <v>109</v>
      </c>
      <c r="C2199" s="61" t="str">
        <f t="shared" si="619"/>
        <v>C100119</v>
      </c>
      <c r="F2199" s="8" t="str">
        <f>"E100026"</f>
        <v>E100026</v>
      </c>
      <c r="G2199" s="9" t="str">
        <f>"Desk Calculator"</f>
        <v>Desk Calculator</v>
      </c>
      <c r="H2199" s="47"/>
      <c r="I2199" s="47"/>
      <c r="J2199" s="23">
        <v>0</v>
      </c>
      <c r="K2199" s="25">
        <v>0</v>
      </c>
      <c r="L2199" s="24">
        <v>0</v>
      </c>
      <c r="M2199" s="24">
        <f>J2199-L2199</f>
        <v>0</v>
      </c>
      <c r="N2199" s="53" t="str">
        <f>IF(J2199&lt;&gt;0,M2199/J2199,"")</f>
        <v/>
      </c>
      <c r="O2199" s="23">
        <v>119.94999999999999</v>
      </c>
      <c r="P2199" s="25">
        <v>144</v>
      </c>
      <c r="Q2199" s="24">
        <v>69.180000000000007</v>
      </c>
      <c r="R2199" s="24">
        <f>O2199-Q2199</f>
        <v>50.769999999999982</v>
      </c>
      <c r="S2199" s="53">
        <f>IF(O2199&lt;&gt;0,R2199/O2199,"")</f>
        <v>0.4232596915381408</v>
      </c>
      <c r="T2199" s="10"/>
      <c r="U2199" s="23">
        <v>119.94999999999999</v>
      </c>
      <c r="V2199" s="25">
        <v>144</v>
      </c>
      <c r="W2199" s="24">
        <v>69.180000000000007</v>
      </c>
      <c r="X2199" s="24">
        <f>U2199-W2199</f>
        <v>50.769999999999982</v>
      </c>
      <c r="Y2199" s="53">
        <f>IF(U2199&lt;&gt;0,X2199/U2199,"")</f>
        <v>0.4232596915381408</v>
      </c>
      <c r="Z2199" s="23">
        <v>0</v>
      </c>
      <c r="AA2199" s="25">
        <v>0</v>
      </c>
      <c r="AB2199" s="24">
        <v>0</v>
      </c>
      <c r="AC2199" s="24">
        <f t="shared" si="620"/>
        <v>0</v>
      </c>
      <c r="AD2199" s="53" t="str">
        <f t="shared" si="621"/>
        <v/>
      </c>
      <c r="AE2199" s="10"/>
    </row>
    <row r="2200" spans="1:31" x14ac:dyDescent="0.25">
      <c r="A2200" s="14" t="s">
        <v>109</v>
      </c>
      <c r="C2200" s="61" t="str">
        <f t="shared" si="619"/>
        <v>C100119</v>
      </c>
      <c r="F2200" s="8" t="str">
        <f>"E100031"</f>
        <v>E100031</v>
      </c>
      <c r="G2200" s="9" t="str">
        <f>"Ad Torch"</f>
        <v>Ad Torch</v>
      </c>
      <c r="H2200" s="47"/>
      <c r="I2200" s="47"/>
      <c r="J2200" s="23">
        <v>0</v>
      </c>
      <c r="K2200" s="25">
        <v>0</v>
      </c>
      <c r="L2200" s="24">
        <v>0</v>
      </c>
      <c r="M2200" s="24">
        <f>J2200-L2200</f>
        <v>0</v>
      </c>
      <c r="N2200" s="53" t="str">
        <f>IF(J2200&lt;&gt;0,M2200/J2200,"")</f>
        <v/>
      </c>
      <c r="O2200" s="23">
        <v>396.46</v>
      </c>
      <c r="P2200" s="25">
        <v>145</v>
      </c>
      <c r="Q2200" s="24">
        <v>200.10999999999999</v>
      </c>
      <c r="R2200" s="24">
        <f>O2200-Q2200</f>
        <v>196.35</v>
      </c>
      <c r="S2200" s="53">
        <f>IF(O2200&lt;&gt;0,R2200/O2200,"")</f>
        <v>0.49525803359733644</v>
      </c>
      <c r="T2200" s="10"/>
      <c r="U2200" s="23">
        <v>0</v>
      </c>
      <c r="V2200" s="25">
        <v>0</v>
      </c>
      <c r="W2200" s="24">
        <v>0</v>
      </c>
      <c r="X2200" s="24">
        <f>U2200-W2200</f>
        <v>0</v>
      </c>
      <c r="Y2200" s="53" t="str">
        <f>IF(U2200&lt;&gt;0,X2200/U2200,"")</f>
        <v/>
      </c>
      <c r="Z2200" s="23">
        <v>0</v>
      </c>
      <c r="AA2200" s="25">
        <v>0</v>
      </c>
      <c r="AB2200" s="24">
        <v>0</v>
      </c>
      <c r="AC2200" s="24">
        <f t="shared" si="620"/>
        <v>0</v>
      </c>
      <c r="AD2200" s="53" t="str">
        <f t="shared" si="621"/>
        <v/>
      </c>
      <c r="AE2200" s="10"/>
    </row>
    <row r="2201" spans="1:31" x14ac:dyDescent="0.25">
      <c r="A2201" s="14" t="s">
        <v>109</v>
      </c>
      <c r="C2201" s="61" t="str">
        <f t="shared" si="619"/>
        <v>C100119</v>
      </c>
      <c r="F2201" s="8" t="str">
        <f>"E100032"</f>
        <v>E100032</v>
      </c>
      <c r="G2201" s="9" t="str">
        <f>"Button Key-Light"</f>
        <v>Button Key-Light</v>
      </c>
      <c r="H2201" s="47"/>
      <c r="I2201" s="47"/>
      <c r="J2201" s="23">
        <v>0</v>
      </c>
      <c r="K2201" s="25">
        <v>0</v>
      </c>
      <c r="L2201" s="24">
        <v>0</v>
      </c>
      <c r="M2201" s="24">
        <f>J2201-L2201</f>
        <v>0</v>
      </c>
      <c r="N2201" s="53" t="str">
        <f>IF(J2201&lt;&gt;0,M2201/J2201,"")</f>
        <v/>
      </c>
      <c r="O2201" s="23">
        <v>83.97</v>
      </c>
      <c r="P2201" s="25">
        <v>168</v>
      </c>
      <c r="Q2201" s="24">
        <v>55.449999999999996</v>
      </c>
      <c r="R2201" s="24">
        <f>O2201-Q2201</f>
        <v>28.520000000000003</v>
      </c>
      <c r="S2201" s="53">
        <f>IF(O2201&lt;&gt;0,R2201/O2201,"")</f>
        <v>0.33964511134929143</v>
      </c>
      <c r="T2201" s="10"/>
      <c r="U2201" s="23">
        <v>142.47</v>
      </c>
      <c r="V2201" s="25">
        <v>288</v>
      </c>
      <c r="W2201" s="24">
        <v>95.059999999999988</v>
      </c>
      <c r="X2201" s="24">
        <f>U2201-W2201</f>
        <v>47.410000000000011</v>
      </c>
      <c r="Y2201" s="53">
        <f>IF(U2201&lt;&gt;0,X2201/U2201,"")</f>
        <v>0.33277181160946173</v>
      </c>
      <c r="Z2201" s="23">
        <v>0</v>
      </c>
      <c r="AA2201" s="25">
        <v>0</v>
      </c>
      <c r="AB2201" s="24">
        <v>0</v>
      </c>
      <c r="AC2201" s="24">
        <f t="shared" si="620"/>
        <v>0</v>
      </c>
      <c r="AD2201" s="53" t="str">
        <f t="shared" si="621"/>
        <v/>
      </c>
      <c r="AE2201" s="10"/>
    </row>
    <row r="2202" spans="1:31" x14ac:dyDescent="0.25">
      <c r="A2202" s="14" t="s">
        <v>109</v>
      </c>
      <c r="C2202" s="61" t="str">
        <f t="shared" si="619"/>
        <v>C100119</v>
      </c>
      <c r="F2202" s="8" t="str">
        <f>"E100033"</f>
        <v>E100033</v>
      </c>
      <c r="G2202" s="9" t="str">
        <f>"Dual Source Flashlight"</f>
        <v>Dual Source Flashlight</v>
      </c>
      <c r="H2202" s="47"/>
      <c r="I2202" s="47"/>
      <c r="J2202" s="23">
        <v>0</v>
      </c>
      <c r="K2202" s="25">
        <v>0</v>
      </c>
      <c r="L2202" s="24">
        <v>0</v>
      </c>
      <c r="M2202" s="24">
        <f>J2202-L2202</f>
        <v>0</v>
      </c>
      <c r="N2202" s="53" t="str">
        <f>IF(J2202&lt;&gt;0,M2202/J2202,"")</f>
        <v/>
      </c>
      <c r="O2202" s="23">
        <v>925.75</v>
      </c>
      <c r="P2202" s="25">
        <v>288</v>
      </c>
      <c r="Q2202" s="24">
        <v>449.19</v>
      </c>
      <c r="R2202" s="24">
        <f>O2202-Q2202</f>
        <v>476.56</v>
      </c>
      <c r="S2202" s="53">
        <f>IF(O2202&lt;&gt;0,R2202/O2202,"")</f>
        <v>0.51478260869565218</v>
      </c>
      <c r="T2202" s="10"/>
      <c r="U2202" s="23">
        <v>3.21</v>
      </c>
      <c r="V2202" s="25">
        <v>1</v>
      </c>
      <c r="W2202" s="24">
        <v>1.56</v>
      </c>
      <c r="X2202" s="24">
        <f>U2202-W2202</f>
        <v>1.65</v>
      </c>
      <c r="Y2202" s="53">
        <f>IF(U2202&lt;&gt;0,X2202/U2202,"")</f>
        <v>0.51401869158878499</v>
      </c>
      <c r="Z2202" s="23">
        <v>0</v>
      </c>
      <c r="AA2202" s="25">
        <v>0</v>
      </c>
      <c r="AB2202" s="24">
        <v>0</v>
      </c>
      <c r="AC2202" s="24">
        <f t="shared" si="620"/>
        <v>0</v>
      </c>
      <c r="AD2202" s="53" t="str">
        <f t="shared" si="621"/>
        <v/>
      </c>
      <c r="AE2202" s="10"/>
    </row>
    <row r="2203" spans="1:31" x14ac:dyDescent="0.25">
      <c r="A2203" s="14" t="s">
        <v>109</v>
      </c>
      <c r="C2203" s="61" t="str">
        <f t="shared" si="619"/>
        <v>C100119</v>
      </c>
      <c r="F2203" s="8" t="str">
        <f>"E100044"</f>
        <v>E100044</v>
      </c>
      <c r="G2203" s="9" t="str">
        <f>"Juice Glass"</f>
        <v>Juice Glass</v>
      </c>
      <c r="H2203" s="47"/>
      <c r="I2203" s="47"/>
      <c r="J2203" s="23">
        <v>0</v>
      </c>
      <c r="K2203" s="25">
        <v>0</v>
      </c>
      <c r="L2203" s="24">
        <v>0</v>
      </c>
      <c r="M2203" s="24">
        <f>J2203-L2203</f>
        <v>0</v>
      </c>
      <c r="N2203" s="53" t="str">
        <f>IF(J2203&lt;&gt;0,M2203/J2203,"")</f>
        <v/>
      </c>
      <c r="O2203" s="23">
        <v>0.56999999999999995</v>
      </c>
      <c r="P2203" s="25">
        <v>1</v>
      </c>
      <c r="Q2203" s="24">
        <v>0.38</v>
      </c>
      <c r="R2203" s="24">
        <f>O2203-Q2203</f>
        <v>0.18999999999999995</v>
      </c>
      <c r="S2203" s="53">
        <f>IF(O2203&lt;&gt;0,R2203/O2203,"")</f>
        <v>0.33333333333333326</v>
      </c>
      <c r="T2203" s="10"/>
      <c r="U2203" s="23">
        <v>243.88</v>
      </c>
      <c r="V2203" s="25">
        <v>432</v>
      </c>
      <c r="W2203" s="24">
        <v>164.42999999999998</v>
      </c>
      <c r="X2203" s="24">
        <f>U2203-W2203</f>
        <v>79.450000000000017</v>
      </c>
      <c r="Y2203" s="53">
        <f>IF(U2203&lt;&gt;0,X2203/U2203,"")</f>
        <v>0.32577497129735944</v>
      </c>
      <c r="Z2203" s="23">
        <v>0</v>
      </c>
      <c r="AA2203" s="25">
        <v>0</v>
      </c>
      <c r="AB2203" s="24">
        <v>0</v>
      </c>
      <c r="AC2203" s="24">
        <f t="shared" si="620"/>
        <v>0</v>
      </c>
      <c r="AD2203" s="53" t="str">
        <f t="shared" si="621"/>
        <v/>
      </c>
      <c r="AE2203" s="10"/>
    </row>
    <row r="2204" spans="1:31" x14ac:dyDescent="0.25">
      <c r="A2204" s="14" t="s">
        <v>109</v>
      </c>
      <c r="C2204" s="61" t="str">
        <f t="shared" si="619"/>
        <v>C100119</v>
      </c>
      <c r="F2204" s="8" t="str">
        <f>"S100011"</f>
        <v>S100011</v>
      </c>
      <c r="G2204" s="9" t="str">
        <f>"All Star Cap"</f>
        <v>All Star Cap</v>
      </c>
      <c r="H2204" s="47"/>
      <c r="I2204" s="47"/>
      <c r="J2204" s="23">
        <v>0</v>
      </c>
      <c r="K2204" s="25">
        <v>0</v>
      </c>
      <c r="L2204" s="24">
        <v>0</v>
      </c>
      <c r="M2204" s="24">
        <f>J2204-L2204</f>
        <v>0</v>
      </c>
      <c r="N2204" s="53" t="str">
        <f>IF(J2204&lt;&gt;0,M2204/J2204,"")</f>
        <v/>
      </c>
      <c r="O2204" s="23">
        <v>204.62</v>
      </c>
      <c r="P2204" s="25">
        <v>144</v>
      </c>
      <c r="Q2204" s="24">
        <v>122.41</v>
      </c>
      <c r="R2204" s="24">
        <f>O2204-Q2204</f>
        <v>82.210000000000008</v>
      </c>
      <c r="S2204" s="53">
        <f>IF(O2204&lt;&gt;0,R2204/O2204,"")</f>
        <v>0.40176913302707462</v>
      </c>
      <c r="T2204" s="10"/>
      <c r="U2204" s="23">
        <v>811.57</v>
      </c>
      <c r="V2204" s="25">
        <v>577</v>
      </c>
      <c r="W2204" s="24">
        <v>490.47</v>
      </c>
      <c r="X2204" s="24">
        <f>U2204-W2204</f>
        <v>321.10000000000002</v>
      </c>
      <c r="Y2204" s="53">
        <f>IF(U2204&lt;&gt;0,X2204/U2204,"")</f>
        <v>0.395652870362384</v>
      </c>
      <c r="Z2204" s="23">
        <v>0</v>
      </c>
      <c r="AA2204" s="25">
        <v>0</v>
      </c>
      <c r="AB2204" s="24">
        <v>0</v>
      </c>
      <c r="AC2204" s="24">
        <f t="shared" si="620"/>
        <v>0</v>
      </c>
      <c r="AD2204" s="53" t="str">
        <f t="shared" si="621"/>
        <v/>
      </c>
      <c r="AE2204" s="10"/>
    </row>
    <row r="2205" spans="1:31" x14ac:dyDescent="0.25">
      <c r="A2205" s="14" t="s">
        <v>109</v>
      </c>
      <c r="C2205" s="61" t="str">
        <f t="shared" si="619"/>
        <v>C100119</v>
      </c>
      <c r="F2205" s="8" t="str">
        <f>"S100020"</f>
        <v>S100020</v>
      </c>
      <c r="G2205" s="9" t="str">
        <f>"Super Sport Stopwatch"</f>
        <v>Super Sport Stopwatch</v>
      </c>
      <c r="H2205" s="47"/>
      <c r="I2205" s="47"/>
      <c r="J2205" s="23">
        <v>0</v>
      </c>
      <c r="K2205" s="25">
        <v>0</v>
      </c>
      <c r="L2205" s="24">
        <v>0</v>
      </c>
      <c r="M2205" s="24">
        <f>J2205-L2205</f>
        <v>0</v>
      </c>
      <c r="N2205" s="53" t="str">
        <f>IF(J2205&lt;&gt;0,M2205/J2205,"")</f>
        <v/>
      </c>
      <c r="O2205" s="23">
        <v>615.28</v>
      </c>
      <c r="P2205" s="25">
        <v>288</v>
      </c>
      <c r="Q2205" s="24">
        <v>302.39999999999998</v>
      </c>
      <c r="R2205" s="24">
        <f>O2205-Q2205</f>
        <v>312.88</v>
      </c>
      <c r="S2205" s="53">
        <f>IF(O2205&lt;&gt;0,R2205/O2205,"")</f>
        <v>0.50851644779612537</v>
      </c>
      <c r="T2205" s="10"/>
      <c r="U2205" s="23">
        <v>401.82</v>
      </c>
      <c r="V2205" s="25">
        <v>192</v>
      </c>
      <c r="W2205" s="24">
        <v>201.6</v>
      </c>
      <c r="X2205" s="24">
        <f>U2205-W2205</f>
        <v>200.22</v>
      </c>
      <c r="Y2205" s="53">
        <f>IF(U2205&lt;&gt;0,X2205/U2205,"")</f>
        <v>0.49828281319994028</v>
      </c>
      <c r="Z2205" s="23">
        <v>0</v>
      </c>
      <c r="AA2205" s="25">
        <v>0</v>
      </c>
      <c r="AB2205" s="24">
        <v>0</v>
      </c>
      <c r="AC2205" s="24">
        <f t="shared" si="620"/>
        <v>0</v>
      </c>
      <c r="AD2205" s="53" t="str">
        <f t="shared" si="621"/>
        <v/>
      </c>
      <c r="AE2205" s="10"/>
    </row>
    <row r="2206" spans="1:31" x14ac:dyDescent="0.25">
      <c r="A2206" s="14" t="s">
        <v>109</v>
      </c>
      <c r="C2206" s="61" t="str">
        <f t="shared" si="619"/>
        <v>C100119</v>
      </c>
      <c r="F2206" s="8" t="str">
        <f>"S100024"</f>
        <v>S100024</v>
      </c>
      <c r="G2206" s="9" t="str">
        <f>"Aluminum SPORT BOT"</f>
        <v>Aluminum SPORT BOT</v>
      </c>
      <c r="H2206" s="47"/>
      <c r="I2206" s="47"/>
      <c r="J2206" s="23">
        <v>0</v>
      </c>
      <c r="K2206" s="25">
        <v>0</v>
      </c>
      <c r="L2206" s="24">
        <v>0</v>
      </c>
      <c r="M2206" s="24">
        <f>J2206-L2206</f>
        <v>0</v>
      </c>
      <c r="N2206" s="53" t="str">
        <f>IF(J2206&lt;&gt;0,M2206/J2206,"")</f>
        <v/>
      </c>
      <c r="O2206" s="23">
        <v>664.2</v>
      </c>
      <c r="P2206" s="25">
        <v>192</v>
      </c>
      <c r="Q2206" s="24">
        <v>403.2</v>
      </c>
      <c r="R2206" s="24">
        <f>O2206-Q2206</f>
        <v>261.00000000000006</v>
      </c>
      <c r="S2206" s="53">
        <f>IF(O2206&lt;&gt;0,R2206/O2206,"")</f>
        <v>0.39295392953929548</v>
      </c>
      <c r="T2206" s="10"/>
      <c r="U2206" s="23">
        <v>498.15</v>
      </c>
      <c r="V2206" s="25">
        <v>144</v>
      </c>
      <c r="W2206" s="24">
        <v>302.39999999999998</v>
      </c>
      <c r="X2206" s="24">
        <f>U2206-W2206</f>
        <v>195.75</v>
      </c>
      <c r="Y2206" s="53">
        <f>IF(U2206&lt;&gt;0,X2206/U2206,"")</f>
        <v>0.39295392953929542</v>
      </c>
      <c r="Z2206" s="23">
        <v>0</v>
      </c>
      <c r="AA2206" s="25">
        <v>0</v>
      </c>
      <c r="AB2206" s="24">
        <v>0</v>
      </c>
      <c r="AC2206" s="24">
        <f t="shared" si="620"/>
        <v>0</v>
      </c>
      <c r="AD2206" s="53" t="str">
        <f t="shared" si="621"/>
        <v/>
      </c>
      <c r="AE2206" s="10"/>
    </row>
    <row r="2207" spans="1:31" ht="15.75" thickBot="1" x14ac:dyDescent="0.3">
      <c r="A2207" s="14" t="s">
        <v>109</v>
      </c>
      <c r="C2207" s="61" t="str">
        <f>C2184</f>
        <v>C100119</v>
      </c>
      <c r="J2207" s="10"/>
      <c r="K2207" s="11"/>
      <c r="L2207" s="11"/>
      <c r="M2207" s="11"/>
      <c r="N2207" s="12"/>
      <c r="O2207" s="10"/>
      <c r="P2207" s="11"/>
      <c r="Q2207" s="11"/>
      <c r="R2207" s="11"/>
      <c r="S2207" s="12"/>
      <c r="U2207" s="10"/>
      <c r="V2207" s="11"/>
      <c r="W2207" s="11"/>
      <c r="X2207" s="11"/>
      <c r="Y2207" s="12"/>
      <c r="Z2207" s="10"/>
      <c r="AA2207" s="11"/>
      <c r="AB2207" s="11"/>
      <c r="AC2207" s="11"/>
      <c r="AD2207" s="12"/>
    </row>
    <row r="2208" spans="1:31" ht="15.75" thickBot="1" x14ac:dyDescent="0.3">
      <c r="A2208" s="14" t="s">
        <v>109</v>
      </c>
      <c r="C2208" s="61" t="str">
        <f t="shared" si="616"/>
        <v>C100119</v>
      </c>
      <c r="G2208" s="48" t="str">
        <f>C2208&amp;" TOTAL:"</f>
        <v>C100119 TOTAL:</v>
      </c>
      <c r="H2208" s="50"/>
      <c r="I2208" s="50"/>
      <c r="J2208" s="34">
        <f>SUBTOTAL(9,J2183:J2207)</f>
        <v>0</v>
      </c>
      <c r="K2208" s="35">
        <f>SUBTOTAL(9,K2183:K2207)</f>
        <v>0</v>
      </c>
      <c r="L2208" s="36">
        <f>SUBTOTAL(9,L2183:L2207)</f>
        <v>0</v>
      </c>
      <c r="M2208" s="36">
        <f>J2208-L2208</f>
        <v>0</v>
      </c>
      <c r="N2208" s="37" t="str">
        <f>IF(J2208&lt;&gt;0,M2208/J2208,"")</f>
        <v/>
      </c>
      <c r="O2208" s="34">
        <f>SUBTOTAL(9,O2183:O2207)</f>
        <v>8221.4</v>
      </c>
      <c r="P2208" s="35">
        <f>SUBTOTAL(9,P2183:P2207)</f>
        <v>4108</v>
      </c>
      <c r="Q2208" s="36">
        <f>SUBTOTAL(9,Q2183:Q2207)</f>
        <v>4502.6400000000003</v>
      </c>
      <c r="R2208" s="36">
        <f>O2208-Q2208</f>
        <v>3718.7599999999993</v>
      </c>
      <c r="S2208" s="37">
        <f>IF(O2208&lt;&gt;0,R2208/O2208,"")</f>
        <v>0.45232685430705227</v>
      </c>
      <c r="U2208" s="34">
        <f>SUBTOTAL(9,U2183:U2207)</f>
        <v>5559.6599999999989</v>
      </c>
      <c r="V2208" s="35">
        <f>SUBTOTAL(9,V2183:V2207)</f>
        <v>3411</v>
      </c>
      <c r="W2208" s="36">
        <f>SUBTOTAL(9,W2183:W2207)</f>
        <v>3364.7599999999993</v>
      </c>
      <c r="X2208" s="36">
        <f>U2208-W2208</f>
        <v>2194.8999999999996</v>
      </c>
      <c r="Y2208" s="37">
        <f>IF(U2208&lt;&gt;0,X2208/U2208,"")</f>
        <v>0.39479032890500498</v>
      </c>
      <c r="Z2208" s="34">
        <f>SUBTOTAL(9,Z2183:Z2207)</f>
        <v>0</v>
      </c>
      <c r="AA2208" s="35">
        <f>SUBTOTAL(9,AA2183:AA2207)</f>
        <v>0</v>
      </c>
      <c r="AB2208" s="36">
        <f>SUBTOTAL(9,AB2183:AB2207)</f>
        <v>0</v>
      </c>
      <c r="AC2208" s="36">
        <f t="shared" ref="AC2208" si="622">Z2208-AB2208</f>
        <v>0</v>
      </c>
      <c r="AD2208" s="37" t="str">
        <f t="shared" ref="AD2208" si="623">IF(Z2208&lt;&gt;0,AC2208/Z2208,"")</f>
        <v/>
      </c>
    </row>
    <row r="2209" spans="1:31" x14ac:dyDescent="0.25">
      <c r="A2209" s="14" t="s">
        <v>109</v>
      </c>
      <c r="C2209" s="66"/>
      <c r="J2209" s="10"/>
      <c r="K2209" s="11"/>
      <c r="L2209" s="11"/>
      <c r="M2209" s="11"/>
      <c r="N2209" s="12"/>
      <c r="O2209" s="10"/>
      <c r="P2209" s="11"/>
      <c r="Q2209" s="11"/>
      <c r="R2209" s="11"/>
      <c r="S2209" s="12"/>
      <c r="U2209" s="10"/>
      <c r="V2209" s="11"/>
      <c r="W2209" s="11"/>
      <c r="X2209" s="11"/>
      <c r="Y2209" s="12"/>
      <c r="Z2209" s="10"/>
      <c r="AA2209" s="11"/>
      <c r="AB2209" s="11"/>
      <c r="AC2209" s="11"/>
      <c r="AD2209" s="12"/>
    </row>
    <row r="2210" spans="1:31" ht="15.75" x14ac:dyDescent="0.25">
      <c r="A2210" s="14" t="s">
        <v>109</v>
      </c>
      <c r="C2210" s="66" t="str">
        <f t="shared" ref="C2210" si="624">E2210</f>
        <v>C100120</v>
      </c>
      <c r="E2210" s="13" t="str">
        <f>"C100120"</f>
        <v>C100120</v>
      </c>
      <c r="F2210" s="13"/>
      <c r="G2210" s="13" t="str">
        <f>"Tinfan"</f>
        <v>Tinfan</v>
      </c>
      <c r="H2210" s="13"/>
      <c r="I2210" s="13"/>
      <c r="J2210" s="10"/>
      <c r="K2210" s="11"/>
      <c r="L2210" s="11"/>
      <c r="M2210" s="11"/>
      <c r="N2210" s="12"/>
      <c r="O2210" s="10"/>
      <c r="P2210" s="11"/>
      <c r="Q2210" s="11"/>
      <c r="R2210" s="11"/>
      <c r="S2210" s="12"/>
      <c r="U2210" s="10"/>
      <c r="V2210" s="11"/>
      <c r="W2210" s="11"/>
      <c r="X2210" s="11"/>
      <c r="Y2210" s="12"/>
      <c r="Z2210" s="10"/>
      <c r="AA2210" s="11"/>
      <c r="AB2210" s="11"/>
      <c r="AC2210" s="11"/>
      <c r="AD2210" s="12"/>
    </row>
    <row r="2211" spans="1:31" ht="6.6" customHeight="1" x14ac:dyDescent="0.25">
      <c r="A2211" s="14" t="s">
        <v>109</v>
      </c>
      <c r="C2211" s="61" t="str">
        <f t="shared" ref="C2211:C2227" si="625">C2210</f>
        <v>C100120</v>
      </c>
      <c r="J2211" s="10"/>
      <c r="K2211" s="11"/>
      <c r="L2211" s="11"/>
      <c r="M2211" s="11"/>
      <c r="N2211" s="12"/>
      <c r="O2211" s="10"/>
      <c r="P2211" s="11"/>
      <c r="Q2211" s="11"/>
      <c r="R2211" s="11"/>
      <c r="S2211" s="12"/>
      <c r="U2211" s="10"/>
      <c r="V2211" s="11"/>
      <c r="W2211" s="11"/>
      <c r="X2211" s="11"/>
      <c r="Y2211" s="12"/>
      <c r="Z2211" s="10"/>
      <c r="AA2211" s="11"/>
      <c r="AB2211" s="11"/>
      <c r="AC2211" s="11"/>
      <c r="AD2211" s="12"/>
    </row>
    <row r="2212" spans="1:31" x14ac:dyDescent="0.25">
      <c r="A2212" s="14" t="s">
        <v>109</v>
      </c>
      <c r="C2212" s="61" t="str">
        <f t="shared" si="625"/>
        <v>C100120</v>
      </c>
      <c r="F2212" s="8" t="str">
        <f>"C100035"</f>
        <v>C100035</v>
      </c>
      <c r="G2212" s="9" t="str">
        <f>"Calculator &amp; World Time Clock"</f>
        <v>Calculator &amp; World Time Clock</v>
      </c>
      <c r="H2212" s="47"/>
      <c r="I2212" s="47"/>
      <c r="J2212" s="23">
        <v>0</v>
      </c>
      <c r="K2212" s="25">
        <v>0</v>
      </c>
      <c r="L2212" s="24">
        <v>0</v>
      </c>
      <c r="M2212" s="24">
        <f>J2212-L2212</f>
        <v>0</v>
      </c>
      <c r="N2212" s="53" t="str">
        <f>IF(J2212&lt;&gt;0,M2212/J2212,"")</f>
        <v/>
      </c>
      <c r="O2212" s="23">
        <v>1244.6799999999998</v>
      </c>
      <c r="P2212" s="25">
        <v>432</v>
      </c>
      <c r="Q2212" s="24">
        <v>846.71</v>
      </c>
      <c r="R2212" s="24">
        <f>O2212-Q2212</f>
        <v>397.9699999999998</v>
      </c>
      <c r="S2212" s="53">
        <f>IF(O2212&lt;&gt;0,R2212/O2212,"")</f>
        <v>0.31973679982003395</v>
      </c>
      <c r="T2212" s="10"/>
      <c r="U2212" s="23">
        <v>414.89</v>
      </c>
      <c r="V2212" s="25">
        <v>144</v>
      </c>
      <c r="W2212" s="24">
        <v>282.24</v>
      </c>
      <c r="X2212" s="24">
        <f>U2212-W2212</f>
        <v>132.64999999999998</v>
      </c>
      <c r="Y2212" s="53">
        <f>IF(U2212&lt;&gt;0,X2212/U2212,"")</f>
        <v>0.31972330015184741</v>
      </c>
      <c r="Z2212" s="23">
        <v>414.89</v>
      </c>
      <c r="AA2212" s="25">
        <v>144</v>
      </c>
      <c r="AB2212" s="24">
        <v>282.24</v>
      </c>
      <c r="AC2212" s="24">
        <f t="shared" ref="AC2212" si="626">Z2212-AB2212</f>
        <v>132.64999999999998</v>
      </c>
      <c r="AD2212" s="53">
        <f t="shared" ref="AD2212" si="627">IF(Z2212&lt;&gt;0,AC2212/Z2212,"")</f>
        <v>0.31972330015184741</v>
      </c>
      <c r="AE2212" s="10"/>
    </row>
    <row r="2213" spans="1:31" x14ac:dyDescent="0.25">
      <c r="A2213" s="14" t="s">
        <v>109</v>
      </c>
      <c r="C2213" s="61" t="str">
        <f t="shared" ref="C2213:C2225" si="628">C2212</f>
        <v>C100120</v>
      </c>
      <c r="F2213" s="8" t="str">
        <f>"C100056"</f>
        <v>C100056</v>
      </c>
      <c r="G2213" s="9" t="str">
        <f>"Contemporary Desk Calculator"</f>
        <v>Contemporary Desk Calculator</v>
      </c>
      <c r="H2213" s="47"/>
      <c r="I2213" s="47"/>
      <c r="J2213" s="23">
        <v>0</v>
      </c>
      <c r="K2213" s="25">
        <v>0</v>
      </c>
      <c r="L2213" s="24">
        <v>0</v>
      </c>
      <c r="M2213" s="24">
        <f>J2213-L2213</f>
        <v>0</v>
      </c>
      <c r="N2213" s="53" t="str">
        <f>IF(J2213&lt;&gt;0,M2213/J2213,"")</f>
        <v/>
      </c>
      <c r="O2213" s="23">
        <v>31.929999999999996</v>
      </c>
      <c r="P2213" s="25">
        <v>6</v>
      </c>
      <c r="Q2213" s="24">
        <v>15.96</v>
      </c>
      <c r="R2213" s="24">
        <f>O2213-Q2213</f>
        <v>15.969999999999995</v>
      </c>
      <c r="S2213" s="53">
        <f>IF(O2213&lt;&gt;0,R2213/O2213,"")</f>
        <v>0.50015659254619471</v>
      </c>
      <c r="T2213" s="10"/>
      <c r="U2213" s="23">
        <v>0</v>
      </c>
      <c r="V2213" s="25">
        <v>0</v>
      </c>
      <c r="W2213" s="24">
        <v>0</v>
      </c>
      <c r="X2213" s="24">
        <f>U2213-W2213</f>
        <v>0</v>
      </c>
      <c r="Y2213" s="53" t="str">
        <f>IF(U2213&lt;&gt;0,X2213/U2213,"")</f>
        <v/>
      </c>
      <c r="Z2213" s="23">
        <v>255.43</v>
      </c>
      <c r="AA2213" s="25">
        <v>48</v>
      </c>
      <c r="AB2213" s="24">
        <v>127.69</v>
      </c>
      <c r="AC2213" s="24">
        <f t="shared" ref="AC2213:AC2225" si="629">Z2213-AB2213</f>
        <v>127.74000000000001</v>
      </c>
      <c r="AD2213" s="53">
        <f t="shared" ref="AD2213:AD2225" si="630">IF(Z2213&lt;&gt;0,AC2213/Z2213,"")</f>
        <v>0.50009787417296325</v>
      </c>
      <c r="AE2213" s="10"/>
    </row>
    <row r="2214" spans="1:31" x14ac:dyDescent="0.25">
      <c r="A2214" s="14" t="s">
        <v>109</v>
      </c>
      <c r="C2214" s="61" t="str">
        <f t="shared" si="628"/>
        <v>C100120</v>
      </c>
      <c r="F2214" s="8" t="str">
        <f>"C100066"</f>
        <v>C100066</v>
      </c>
      <c r="G2214" s="9" t="str">
        <f>"Fashion Travel Mug"</f>
        <v>Fashion Travel Mug</v>
      </c>
      <c r="H2214" s="47"/>
      <c r="I2214" s="47"/>
      <c r="J2214" s="23">
        <v>0</v>
      </c>
      <c r="K2214" s="25">
        <v>0</v>
      </c>
      <c r="L2214" s="24">
        <v>0</v>
      </c>
      <c r="M2214" s="24">
        <f>J2214-L2214</f>
        <v>0</v>
      </c>
      <c r="N2214" s="53" t="str">
        <f>IF(J2214&lt;&gt;0,M2214/J2214,"")</f>
        <v/>
      </c>
      <c r="O2214" s="23">
        <v>508.03000000000003</v>
      </c>
      <c r="P2214" s="25">
        <v>144</v>
      </c>
      <c r="Q2214" s="24">
        <v>237.63000000000002</v>
      </c>
      <c r="R2214" s="24">
        <f>O2214-Q2214</f>
        <v>270.39999999999998</v>
      </c>
      <c r="S2214" s="53">
        <f>IF(O2214&lt;&gt;0,R2214/O2214,"")</f>
        <v>0.53225203236029361</v>
      </c>
      <c r="T2214" s="10"/>
      <c r="U2214" s="23">
        <v>0</v>
      </c>
      <c r="V2214" s="25">
        <v>0</v>
      </c>
      <c r="W2214" s="24">
        <v>0</v>
      </c>
      <c r="X2214" s="24">
        <f>U2214-W2214</f>
        <v>0</v>
      </c>
      <c r="Y2214" s="53" t="str">
        <f>IF(U2214&lt;&gt;0,X2214/U2214,"")</f>
        <v/>
      </c>
      <c r="Z2214" s="23">
        <v>486.86</v>
      </c>
      <c r="AA2214" s="25">
        <v>138</v>
      </c>
      <c r="AB2214" s="24">
        <v>227.73000000000002</v>
      </c>
      <c r="AC2214" s="24">
        <f t="shared" si="629"/>
        <v>259.13</v>
      </c>
      <c r="AD2214" s="53">
        <f t="shared" si="630"/>
        <v>0.53224746333648276</v>
      </c>
      <c r="AE2214" s="10"/>
    </row>
    <row r="2215" spans="1:31" x14ac:dyDescent="0.25">
      <c r="A2215" s="14" t="s">
        <v>109</v>
      </c>
      <c r="C2215" s="61" t="str">
        <f t="shared" si="628"/>
        <v>C100120</v>
      </c>
      <c r="F2215" s="8" t="str">
        <f>"E100002"</f>
        <v>E100002</v>
      </c>
      <c r="G2215" s="9" t="str">
        <f>"Cotton Classic Tote"</f>
        <v>Cotton Classic Tote</v>
      </c>
      <c r="H2215" s="47"/>
      <c r="I2215" s="47"/>
      <c r="J2215" s="23">
        <v>0</v>
      </c>
      <c r="K2215" s="25">
        <v>0</v>
      </c>
      <c r="L2215" s="24">
        <v>0</v>
      </c>
      <c r="M2215" s="24">
        <f>J2215-L2215</f>
        <v>0</v>
      </c>
      <c r="N2215" s="53" t="str">
        <f>IF(J2215&lt;&gt;0,M2215/J2215,"")</f>
        <v/>
      </c>
      <c r="O2215" s="23">
        <v>352.8</v>
      </c>
      <c r="P2215" s="25">
        <v>288</v>
      </c>
      <c r="Q2215" s="24">
        <v>184.35</v>
      </c>
      <c r="R2215" s="24">
        <f>O2215-Q2215</f>
        <v>168.45000000000002</v>
      </c>
      <c r="S2215" s="53">
        <f>IF(O2215&lt;&gt;0,R2215/O2215,"")</f>
        <v>0.47746598639455784</v>
      </c>
      <c r="T2215" s="10"/>
      <c r="U2215" s="23">
        <v>176.4</v>
      </c>
      <c r="V2215" s="25">
        <v>144</v>
      </c>
      <c r="W2215" s="24">
        <v>92.17</v>
      </c>
      <c r="X2215" s="24">
        <f>U2215-W2215</f>
        <v>84.23</v>
      </c>
      <c r="Y2215" s="53">
        <f>IF(U2215&lt;&gt;0,X2215/U2215,"")</f>
        <v>0.47749433106575967</v>
      </c>
      <c r="Z2215" s="23">
        <v>0</v>
      </c>
      <c r="AA2215" s="25">
        <v>0</v>
      </c>
      <c r="AB2215" s="24">
        <v>0</v>
      </c>
      <c r="AC2215" s="24">
        <f t="shared" si="629"/>
        <v>0</v>
      </c>
      <c r="AD2215" s="53" t="str">
        <f t="shared" si="630"/>
        <v/>
      </c>
      <c r="AE2215" s="10"/>
    </row>
    <row r="2216" spans="1:31" x14ac:dyDescent="0.25">
      <c r="A2216" s="14" t="s">
        <v>109</v>
      </c>
      <c r="C2216" s="61" t="str">
        <f t="shared" si="628"/>
        <v>C100120</v>
      </c>
      <c r="F2216" s="8" t="str">
        <f>"E100007"</f>
        <v>E100007</v>
      </c>
      <c r="G2216" s="9" t="str">
        <f>"Plastic Handle Bag"</f>
        <v>Plastic Handle Bag</v>
      </c>
      <c r="H2216" s="47"/>
      <c r="I2216" s="47"/>
      <c r="J2216" s="23">
        <v>0</v>
      </c>
      <c r="K2216" s="25">
        <v>0</v>
      </c>
      <c r="L2216" s="24">
        <v>0</v>
      </c>
      <c r="M2216" s="24">
        <f>J2216-L2216</f>
        <v>0</v>
      </c>
      <c r="N2216" s="53" t="str">
        <f>IF(J2216&lt;&gt;0,M2216/J2216,"")</f>
        <v/>
      </c>
      <c r="O2216" s="23">
        <v>0.32</v>
      </c>
      <c r="P2216" s="25">
        <v>1</v>
      </c>
      <c r="Q2216" s="24">
        <v>0.18</v>
      </c>
      <c r="R2216" s="24">
        <f>O2216-Q2216</f>
        <v>0.14000000000000001</v>
      </c>
      <c r="S2216" s="53">
        <f>IF(O2216&lt;&gt;0,R2216/O2216,"")</f>
        <v>0.43750000000000006</v>
      </c>
      <c r="T2216" s="10"/>
      <c r="U2216" s="23">
        <v>46.57</v>
      </c>
      <c r="V2216" s="25">
        <v>144</v>
      </c>
      <c r="W2216" s="24">
        <v>25.92</v>
      </c>
      <c r="X2216" s="24">
        <f>U2216-W2216</f>
        <v>20.65</v>
      </c>
      <c r="Y2216" s="53">
        <f>IF(U2216&lt;&gt;0,X2216/U2216,"")</f>
        <v>0.44341850977023833</v>
      </c>
      <c r="Z2216" s="23">
        <v>54.33</v>
      </c>
      <c r="AA2216" s="25">
        <v>168</v>
      </c>
      <c r="AB2216" s="24">
        <v>30.24</v>
      </c>
      <c r="AC2216" s="24">
        <f t="shared" si="629"/>
        <v>24.09</v>
      </c>
      <c r="AD2216" s="53">
        <f t="shared" si="630"/>
        <v>0.44340143567090007</v>
      </c>
      <c r="AE2216" s="10"/>
    </row>
    <row r="2217" spans="1:31" x14ac:dyDescent="0.25">
      <c r="A2217" s="14" t="s">
        <v>109</v>
      </c>
      <c r="C2217" s="61" t="str">
        <f t="shared" si="628"/>
        <v>C100120</v>
      </c>
      <c r="F2217" s="8" t="str">
        <f>"E100018"</f>
        <v>E100018</v>
      </c>
      <c r="G2217" s="9" t="str">
        <f>"Flexi-Clock &amp; Clip"</f>
        <v>Flexi-Clock &amp; Clip</v>
      </c>
      <c r="H2217" s="47"/>
      <c r="I2217" s="47"/>
      <c r="J2217" s="23">
        <v>0</v>
      </c>
      <c r="K2217" s="25">
        <v>0</v>
      </c>
      <c r="L2217" s="24">
        <v>0</v>
      </c>
      <c r="M2217" s="24">
        <f>J2217-L2217</f>
        <v>0</v>
      </c>
      <c r="N2217" s="53" t="str">
        <f>IF(J2217&lt;&gt;0,M2217/J2217,"")</f>
        <v/>
      </c>
      <c r="O2217" s="23">
        <v>53.16</v>
      </c>
      <c r="P2217" s="25">
        <v>48</v>
      </c>
      <c r="Q2217" s="24">
        <v>28.8</v>
      </c>
      <c r="R2217" s="24">
        <f>O2217-Q2217</f>
        <v>24.359999999999996</v>
      </c>
      <c r="S2217" s="53">
        <f>IF(O2217&lt;&gt;0,R2217/O2217,"")</f>
        <v>0.45823927765237016</v>
      </c>
      <c r="T2217" s="10"/>
      <c r="U2217" s="23">
        <v>159.47</v>
      </c>
      <c r="V2217" s="25">
        <v>144</v>
      </c>
      <c r="W2217" s="24">
        <v>86.39</v>
      </c>
      <c r="X2217" s="24">
        <f>U2217-W2217</f>
        <v>73.08</v>
      </c>
      <c r="Y2217" s="53">
        <f>IF(U2217&lt;&gt;0,X2217/U2217,"")</f>
        <v>0.45826801279237472</v>
      </c>
      <c r="Z2217" s="23">
        <v>0</v>
      </c>
      <c r="AA2217" s="25">
        <v>0</v>
      </c>
      <c r="AB2217" s="24">
        <v>0</v>
      </c>
      <c r="AC2217" s="24">
        <f t="shared" si="629"/>
        <v>0</v>
      </c>
      <c r="AD2217" s="53" t="str">
        <f t="shared" si="630"/>
        <v/>
      </c>
      <c r="AE2217" s="10"/>
    </row>
    <row r="2218" spans="1:31" x14ac:dyDescent="0.25">
      <c r="A2218" s="14" t="s">
        <v>109</v>
      </c>
      <c r="C2218" s="61" t="str">
        <f t="shared" si="628"/>
        <v>C100120</v>
      </c>
      <c r="F2218" s="8" t="str">
        <f>"E100021"</f>
        <v>E100021</v>
      </c>
      <c r="G2218" s="9" t="str">
        <f>"Slim Travel Alarm"</f>
        <v>Slim Travel Alarm</v>
      </c>
      <c r="H2218" s="47"/>
      <c r="I2218" s="47"/>
      <c r="J2218" s="23">
        <v>0</v>
      </c>
      <c r="K2218" s="25">
        <v>0</v>
      </c>
      <c r="L2218" s="24">
        <v>0</v>
      </c>
      <c r="M2218" s="24">
        <f>J2218-L2218</f>
        <v>0</v>
      </c>
      <c r="N2218" s="53" t="str">
        <f>IF(J2218&lt;&gt;0,M2218/J2218,"")</f>
        <v/>
      </c>
      <c r="O2218" s="23">
        <v>406.42999999999995</v>
      </c>
      <c r="P2218" s="25">
        <v>144</v>
      </c>
      <c r="Q2218" s="24">
        <v>207.35</v>
      </c>
      <c r="R2218" s="24">
        <f>O2218-Q2218</f>
        <v>199.07999999999996</v>
      </c>
      <c r="S2218" s="53">
        <f>IF(O2218&lt;&gt;0,R2218/O2218,"")</f>
        <v>0.48982604630563686</v>
      </c>
      <c r="T2218" s="10"/>
      <c r="U2218" s="23">
        <v>812.8599999999999</v>
      </c>
      <c r="V2218" s="25">
        <v>288</v>
      </c>
      <c r="W2218" s="24">
        <v>414.7</v>
      </c>
      <c r="X2218" s="24">
        <f>U2218-W2218</f>
        <v>398.15999999999991</v>
      </c>
      <c r="Y2218" s="53">
        <f>IF(U2218&lt;&gt;0,X2218/U2218,"")</f>
        <v>0.48982604630563686</v>
      </c>
      <c r="Z2218" s="23">
        <v>0</v>
      </c>
      <c r="AA2218" s="25">
        <v>0</v>
      </c>
      <c r="AB2218" s="24">
        <v>0</v>
      </c>
      <c r="AC2218" s="24">
        <f t="shared" si="629"/>
        <v>0</v>
      </c>
      <c r="AD2218" s="53" t="str">
        <f t="shared" si="630"/>
        <v/>
      </c>
      <c r="AE2218" s="10"/>
    </row>
    <row r="2219" spans="1:31" x14ac:dyDescent="0.25">
      <c r="A2219" s="14" t="s">
        <v>109</v>
      </c>
      <c r="C2219" s="61" t="str">
        <f t="shared" si="628"/>
        <v>C100120</v>
      </c>
      <c r="F2219" s="8" t="str">
        <f>"E100030"</f>
        <v>E100030</v>
      </c>
      <c r="G2219" s="9" t="str">
        <f>"LED Keychain"</f>
        <v>LED Keychain</v>
      </c>
      <c r="H2219" s="47"/>
      <c r="I2219" s="47"/>
      <c r="J2219" s="23">
        <v>0</v>
      </c>
      <c r="K2219" s="25">
        <v>0</v>
      </c>
      <c r="L2219" s="24">
        <v>0</v>
      </c>
      <c r="M2219" s="24">
        <f>J2219-L2219</f>
        <v>0</v>
      </c>
      <c r="N2219" s="53" t="str">
        <f>IF(J2219&lt;&gt;0,M2219/J2219,"")</f>
        <v/>
      </c>
      <c r="O2219" s="23">
        <v>136.88999999999999</v>
      </c>
      <c r="P2219" s="25">
        <v>144</v>
      </c>
      <c r="Q2219" s="24">
        <v>72.05</v>
      </c>
      <c r="R2219" s="24">
        <f>O2219-Q2219</f>
        <v>64.839999999999989</v>
      </c>
      <c r="S2219" s="53">
        <f>IF(O2219&lt;&gt;0,R2219/O2219,"")</f>
        <v>0.47366498648549926</v>
      </c>
      <c r="T2219" s="10"/>
      <c r="U2219" s="23">
        <v>136.88999999999999</v>
      </c>
      <c r="V2219" s="25">
        <v>144</v>
      </c>
      <c r="W2219" s="24">
        <v>72.05</v>
      </c>
      <c r="X2219" s="24">
        <f>U2219-W2219</f>
        <v>64.839999999999989</v>
      </c>
      <c r="Y2219" s="53">
        <f>IF(U2219&lt;&gt;0,X2219/U2219,"")</f>
        <v>0.47366498648549926</v>
      </c>
      <c r="Z2219" s="23">
        <v>136.88999999999999</v>
      </c>
      <c r="AA2219" s="25">
        <v>144</v>
      </c>
      <c r="AB2219" s="24">
        <v>72.05</v>
      </c>
      <c r="AC2219" s="24">
        <f t="shared" si="629"/>
        <v>64.839999999999989</v>
      </c>
      <c r="AD2219" s="53">
        <f t="shared" si="630"/>
        <v>0.47366498648549926</v>
      </c>
      <c r="AE2219" s="10"/>
    </row>
    <row r="2220" spans="1:31" x14ac:dyDescent="0.25">
      <c r="A2220" s="14" t="s">
        <v>109</v>
      </c>
      <c r="C2220" s="61" t="str">
        <f t="shared" si="628"/>
        <v>C100120</v>
      </c>
      <c r="F2220" s="8" t="str">
        <f>"E100044"</f>
        <v>E100044</v>
      </c>
      <c r="G2220" s="9" t="str">
        <f>"Juice Glass"</f>
        <v>Juice Glass</v>
      </c>
      <c r="H2220" s="47"/>
      <c r="I2220" s="47"/>
      <c r="J2220" s="23">
        <v>0</v>
      </c>
      <c r="K2220" s="25">
        <v>0</v>
      </c>
      <c r="L2220" s="24">
        <v>0</v>
      </c>
      <c r="M2220" s="24">
        <f>J2220-L2220</f>
        <v>0</v>
      </c>
      <c r="N2220" s="53" t="str">
        <f>IF(J2220&lt;&gt;0,M2220/J2220,"")</f>
        <v/>
      </c>
      <c r="O2220" s="23">
        <v>0.56999999999999995</v>
      </c>
      <c r="P2220" s="25">
        <v>1</v>
      </c>
      <c r="Q2220" s="24">
        <v>0.38</v>
      </c>
      <c r="R2220" s="24">
        <f>O2220-Q2220</f>
        <v>0.18999999999999995</v>
      </c>
      <c r="S2220" s="53">
        <f>IF(O2220&lt;&gt;0,R2220/O2220,"")</f>
        <v>0.33333333333333326</v>
      </c>
      <c r="T2220" s="10"/>
      <c r="U2220" s="23">
        <v>81.849999999999994</v>
      </c>
      <c r="V2220" s="25">
        <v>144</v>
      </c>
      <c r="W2220" s="24">
        <v>54.809999999999995</v>
      </c>
      <c r="X2220" s="24">
        <f>U2220-W2220</f>
        <v>27.04</v>
      </c>
      <c r="Y2220" s="53">
        <f>IF(U2220&lt;&gt;0,X2220/U2220,"")</f>
        <v>0.33036041539401345</v>
      </c>
      <c r="Z2220" s="23">
        <v>81.849999999999994</v>
      </c>
      <c r="AA2220" s="25">
        <v>144</v>
      </c>
      <c r="AB2220" s="24">
        <v>54.809999999999995</v>
      </c>
      <c r="AC2220" s="24">
        <f t="shared" si="629"/>
        <v>27.04</v>
      </c>
      <c r="AD2220" s="53">
        <f t="shared" si="630"/>
        <v>0.33036041539401345</v>
      </c>
      <c r="AE2220" s="10"/>
    </row>
    <row r="2221" spans="1:31" x14ac:dyDescent="0.25">
      <c r="A2221" s="14" t="s">
        <v>109</v>
      </c>
      <c r="C2221" s="61" t="str">
        <f t="shared" si="628"/>
        <v>C100120</v>
      </c>
      <c r="F2221" s="8" t="str">
        <f>"E100047"</f>
        <v>E100047</v>
      </c>
      <c r="G2221" s="9" t="str">
        <f>"Chardonnay Glass"</f>
        <v>Chardonnay Glass</v>
      </c>
      <c r="H2221" s="47"/>
      <c r="I2221" s="47"/>
      <c r="J2221" s="23">
        <v>0</v>
      </c>
      <c r="K2221" s="25">
        <v>0</v>
      </c>
      <c r="L2221" s="24">
        <v>0</v>
      </c>
      <c r="M2221" s="24">
        <f>J2221-L2221</f>
        <v>0</v>
      </c>
      <c r="N2221" s="53" t="str">
        <f>IF(J2221&lt;&gt;0,M2221/J2221,"")</f>
        <v/>
      </c>
      <c r="O2221" s="23">
        <v>508.03000000000003</v>
      </c>
      <c r="P2221" s="25">
        <v>288</v>
      </c>
      <c r="Q2221" s="24">
        <v>302.39999999999998</v>
      </c>
      <c r="R2221" s="24">
        <f>O2221-Q2221</f>
        <v>205.63000000000005</v>
      </c>
      <c r="S2221" s="53">
        <f>IF(O2221&lt;&gt;0,R2221/O2221,"")</f>
        <v>0.40475956144322195</v>
      </c>
      <c r="T2221" s="10"/>
      <c r="U2221" s="23">
        <v>508.03000000000003</v>
      </c>
      <c r="V2221" s="25">
        <v>288</v>
      </c>
      <c r="W2221" s="24">
        <v>302.39999999999998</v>
      </c>
      <c r="X2221" s="24">
        <f>U2221-W2221</f>
        <v>205.63000000000005</v>
      </c>
      <c r="Y2221" s="53">
        <f>IF(U2221&lt;&gt;0,X2221/U2221,"")</f>
        <v>0.40475956144322195</v>
      </c>
      <c r="Z2221" s="23">
        <v>254.02</v>
      </c>
      <c r="AA2221" s="25">
        <v>144</v>
      </c>
      <c r="AB2221" s="24">
        <v>151.19999999999999</v>
      </c>
      <c r="AC2221" s="24">
        <f t="shared" si="629"/>
        <v>102.82000000000002</v>
      </c>
      <c r="AD2221" s="53">
        <f t="shared" si="630"/>
        <v>0.40477127785213768</v>
      </c>
      <c r="AE2221" s="10"/>
    </row>
    <row r="2222" spans="1:31" x14ac:dyDescent="0.25">
      <c r="A2222" s="14" t="s">
        <v>109</v>
      </c>
      <c r="C2222" s="61" t="str">
        <f t="shared" si="628"/>
        <v>C100120</v>
      </c>
      <c r="F2222" s="8" t="str">
        <f>"S100021"</f>
        <v>S100021</v>
      </c>
      <c r="G2222" s="9" t="str">
        <f>"Translucent Stopwatch"</f>
        <v>Translucent Stopwatch</v>
      </c>
      <c r="H2222" s="47"/>
      <c r="I2222" s="47"/>
      <c r="J2222" s="23">
        <v>0</v>
      </c>
      <c r="K2222" s="25">
        <v>0</v>
      </c>
      <c r="L2222" s="24">
        <v>0</v>
      </c>
      <c r="M2222" s="24">
        <f>J2222-L2222</f>
        <v>0</v>
      </c>
      <c r="N2222" s="53" t="str">
        <f>IF(J2222&lt;&gt;0,M2222/J2222,"")</f>
        <v/>
      </c>
      <c r="O2222" s="23">
        <v>585.65</v>
      </c>
      <c r="P2222" s="25">
        <v>144</v>
      </c>
      <c r="Q2222" s="24">
        <v>309.58999999999997</v>
      </c>
      <c r="R2222" s="24">
        <f>O2222-Q2222</f>
        <v>276.06</v>
      </c>
      <c r="S2222" s="53">
        <f>IF(O2222&lt;&gt;0,R2222/O2222,"")</f>
        <v>0.47137368735592933</v>
      </c>
      <c r="T2222" s="10"/>
      <c r="U2222" s="23">
        <v>0</v>
      </c>
      <c r="V2222" s="25">
        <v>0</v>
      </c>
      <c r="W2222" s="24">
        <v>0</v>
      </c>
      <c r="X2222" s="24">
        <f>U2222-W2222</f>
        <v>0</v>
      </c>
      <c r="Y2222" s="53" t="str">
        <f>IF(U2222&lt;&gt;0,X2222/U2222,"")</f>
        <v/>
      </c>
      <c r="Z2222" s="23">
        <v>585.65</v>
      </c>
      <c r="AA2222" s="25">
        <v>144</v>
      </c>
      <c r="AB2222" s="24">
        <v>309.58999999999997</v>
      </c>
      <c r="AC2222" s="24">
        <f t="shared" si="629"/>
        <v>276.06</v>
      </c>
      <c r="AD2222" s="53">
        <f t="shared" si="630"/>
        <v>0.47137368735592933</v>
      </c>
      <c r="AE2222" s="10"/>
    </row>
    <row r="2223" spans="1:31" x14ac:dyDescent="0.25">
      <c r="A2223" s="14" t="s">
        <v>109</v>
      </c>
      <c r="C2223" s="61" t="str">
        <f t="shared" si="628"/>
        <v>C100120</v>
      </c>
      <c r="F2223" s="8" t="str">
        <f>"S100024"</f>
        <v>S100024</v>
      </c>
      <c r="G2223" s="9" t="str">
        <f>"Aluminum SPORT BOT"</f>
        <v>Aluminum SPORT BOT</v>
      </c>
      <c r="H2223" s="47"/>
      <c r="I2223" s="47"/>
      <c r="J2223" s="23">
        <v>0</v>
      </c>
      <c r="K2223" s="25">
        <v>0</v>
      </c>
      <c r="L2223" s="24">
        <v>0</v>
      </c>
      <c r="M2223" s="24">
        <f>J2223-L2223</f>
        <v>0</v>
      </c>
      <c r="N2223" s="53" t="str">
        <f>IF(J2223&lt;&gt;0,M2223/J2223,"")</f>
        <v/>
      </c>
      <c r="O2223" s="23">
        <v>498.15</v>
      </c>
      <c r="P2223" s="25">
        <v>144</v>
      </c>
      <c r="Q2223" s="24">
        <v>302.39999999999998</v>
      </c>
      <c r="R2223" s="24">
        <f>O2223-Q2223</f>
        <v>195.75</v>
      </c>
      <c r="S2223" s="53">
        <f>IF(O2223&lt;&gt;0,R2223/O2223,"")</f>
        <v>0.39295392953929542</v>
      </c>
      <c r="T2223" s="10"/>
      <c r="U2223" s="23">
        <v>0</v>
      </c>
      <c r="V2223" s="25">
        <v>0</v>
      </c>
      <c r="W2223" s="24">
        <v>0</v>
      </c>
      <c r="X2223" s="24">
        <f>U2223-W2223</f>
        <v>0</v>
      </c>
      <c r="Y2223" s="53" t="str">
        <f>IF(U2223&lt;&gt;0,X2223/U2223,"")</f>
        <v/>
      </c>
      <c r="Z2223" s="23">
        <v>0</v>
      </c>
      <c r="AA2223" s="25">
        <v>0</v>
      </c>
      <c r="AB2223" s="24">
        <v>0</v>
      </c>
      <c r="AC2223" s="24">
        <f t="shared" si="629"/>
        <v>0</v>
      </c>
      <c r="AD2223" s="53" t="str">
        <f t="shared" si="630"/>
        <v/>
      </c>
      <c r="AE2223" s="10"/>
    </row>
    <row r="2224" spans="1:31" x14ac:dyDescent="0.25">
      <c r="A2224" s="14" t="s">
        <v>109</v>
      </c>
      <c r="C2224" s="61" t="str">
        <f t="shared" si="628"/>
        <v>C100120</v>
      </c>
      <c r="F2224" s="8" t="str">
        <f>"S100025"</f>
        <v>S100025</v>
      </c>
      <c r="G2224" s="9" t="str">
        <f>"SPORT BOT with Pop Lid"</f>
        <v>SPORT BOT with Pop Lid</v>
      </c>
      <c r="H2224" s="47"/>
      <c r="I2224" s="47"/>
      <c r="J2224" s="23">
        <v>0</v>
      </c>
      <c r="K2224" s="25">
        <v>0</v>
      </c>
      <c r="L2224" s="24">
        <v>0</v>
      </c>
      <c r="M2224" s="24">
        <f>J2224-L2224</f>
        <v>0</v>
      </c>
      <c r="N2224" s="53" t="str">
        <f>IF(J2224&lt;&gt;0,M2224/J2224,"")</f>
        <v/>
      </c>
      <c r="O2224" s="23">
        <v>239.89999999999998</v>
      </c>
      <c r="P2224" s="25">
        <v>144</v>
      </c>
      <c r="Q2224" s="24">
        <v>138.16999999999999</v>
      </c>
      <c r="R2224" s="24">
        <f>O2224-Q2224</f>
        <v>101.72999999999999</v>
      </c>
      <c r="S2224" s="53">
        <f>IF(O2224&lt;&gt;0,R2224/O2224,"")</f>
        <v>0.4240516882034181</v>
      </c>
      <c r="T2224" s="10"/>
      <c r="U2224" s="23">
        <v>239.89999999999998</v>
      </c>
      <c r="V2224" s="25">
        <v>144</v>
      </c>
      <c r="W2224" s="24">
        <v>138.16999999999999</v>
      </c>
      <c r="X2224" s="24">
        <f>U2224-W2224</f>
        <v>101.72999999999999</v>
      </c>
      <c r="Y2224" s="53">
        <f>IF(U2224&lt;&gt;0,X2224/U2224,"")</f>
        <v>0.4240516882034181</v>
      </c>
      <c r="Z2224" s="23">
        <v>479.81</v>
      </c>
      <c r="AA2224" s="25">
        <v>288</v>
      </c>
      <c r="AB2224" s="24">
        <v>276.33999999999997</v>
      </c>
      <c r="AC2224" s="24">
        <f t="shared" si="629"/>
        <v>203.47000000000003</v>
      </c>
      <c r="AD2224" s="53">
        <f t="shared" si="630"/>
        <v>0.42406369187803511</v>
      </c>
      <c r="AE2224" s="10"/>
    </row>
    <row r="2225" spans="1:31" x14ac:dyDescent="0.25">
      <c r="A2225" s="14" t="s">
        <v>109</v>
      </c>
      <c r="C2225" s="61" t="str">
        <f t="shared" si="628"/>
        <v>C100120</v>
      </c>
      <c r="F2225" s="8" t="str">
        <f>"S100026"</f>
        <v>S100026</v>
      </c>
      <c r="G2225" s="9" t="str">
        <f>"Wide SPORT BOT"</f>
        <v>Wide SPORT BOT</v>
      </c>
      <c r="H2225" s="47"/>
      <c r="I2225" s="47"/>
      <c r="J2225" s="23">
        <v>0</v>
      </c>
      <c r="K2225" s="25">
        <v>0</v>
      </c>
      <c r="L2225" s="24">
        <v>0</v>
      </c>
      <c r="M2225" s="24">
        <f>J2225-L2225</f>
        <v>0</v>
      </c>
      <c r="N2225" s="53" t="str">
        <f>IF(J2225&lt;&gt;0,M2225/J2225,"")</f>
        <v/>
      </c>
      <c r="O2225" s="23">
        <v>571.54000000000008</v>
      </c>
      <c r="P2225" s="25">
        <v>144</v>
      </c>
      <c r="Q2225" s="24">
        <v>273.65000000000003</v>
      </c>
      <c r="R2225" s="24">
        <f>O2225-Q2225</f>
        <v>297.89000000000004</v>
      </c>
      <c r="S2225" s="53">
        <f>IF(O2225&lt;&gt;0,R2225/O2225,"")</f>
        <v>0.52120586485635301</v>
      </c>
      <c r="T2225" s="10"/>
      <c r="U2225" s="23">
        <v>571.54000000000008</v>
      </c>
      <c r="V2225" s="25">
        <v>144</v>
      </c>
      <c r="W2225" s="24">
        <v>273.65000000000003</v>
      </c>
      <c r="X2225" s="24">
        <f>U2225-W2225</f>
        <v>297.89000000000004</v>
      </c>
      <c r="Y2225" s="53">
        <f>IF(U2225&lt;&gt;0,X2225/U2225,"")</f>
        <v>0.52120586485635301</v>
      </c>
      <c r="Z2225" s="23">
        <v>595.35</v>
      </c>
      <c r="AA2225" s="25">
        <v>150</v>
      </c>
      <c r="AB2225" s="24">
        <v>285.06</v>
      </c>
      <c r="AC2225" s="24">
        <f t="shared" si="629"/>
        <v>310.29000000000002</v>
      </c>
      <c r="AD2225" s="53">
        <f t="shared" si="630"/>
        <v>0.52118921642731164</v>
      </c>
      <c r="AE2225" s="10"/>
    </row>
    <row r="2226" spans="1:31" ht="15.75" thickBot="1" x14ac:dyDescent="0.3">
      <c r="A2226" s="14" t="s">
        <v>109</v>
      </c>
      <c r="C2226" s="61" t="str">
        <f>C2212</f>
        <v>C100120</v>
      </c>
      <c r="J2226" s="10"/>
      <c r="K2226" s="11"/>
      <c r="L2226" s="11"/>
      <c r="M2226" s="11"/>
      <c r="N2226" s="12"/>
      <c r="O2226" s="10"/>
      <c r="P2226" s="11"/>
      <c r="Q2226" s="11"/>
      <c r="R2226" s="11"/>
      <c r="S2226" s="12"/>
      <c r="U2226" s="10"/>
      <c r="V2226" s="11"/>
      <c r="W2226" s="11"/>
      <c r="X2226" s="11"/>
      <c r="Y2226" s="12"/>
      <c r="Z2226" s="10"/>
      <c r="AA2226" s="11"/>
      <c r="AB2226" s="11"/>
      <c r="AC2226" s="11"/>
      <c r="AD2226" s="12"/>
    </row>
    <row r="2227" spans="1:31" ht="15.75" thickBot="1" x14ac:dyDescent="0.3">
      <c r="A2227" s="14" t="s">
        <v>109</v>
      </c>
      <c r="C2227" s="61" t="str">
        <f t="shared" si="625"/>
        <v>C100120</v>
      </c>
      <c r="G2227" s="48" t="str">
        <f>C2227&amp;" TOTAL:"</f>
        <v>C100120 TOTAL:</v>
      </c>
      <c r="H2227" s="50"/>
      <c r="I2227" s="50"/>
      <c r="J2227" s="34">
        <f>SUBTOTAL(9,J2211:J2226)</f>
        <v>0</v>
      </c>
      <c r="K2227" s="35">
        <f>SUBTOTAL(9,K2211:K2226)</f>
        <v>0</v>
      </c>
      <c r="L2227" s="36">
        <f>SUBTOTAL(9,L2211:L2226)</f>
        <v>0</v>
      </c>
      <c r="M2227" s="36">
        <f>J2227-L2227</f>
        <v>0</v>
      </c>
      <c r="N2227" s="37" t="str">
        <f>IF(J2227&lt;&gt;0,M2227/J2227,"")</f>
        <v/>
      </c>
      <c r="O2227" s="34">
        <f>SUBTOTAL(9,O2211:O2226)</f>
        <v>5138.08</v>
      </c>
      <c r="P2227" s="35">
        <f>SUBTOTAL(9,P2211:P2226)</f>
        <v>2072</v>
      </c>
      <c r="Q2227" s="36">
        <f>SUBTOTAL(9,Q2211:Q2226)</f>
        <v>2919.6200000000003</v>
      </c>
      <c r="R2227" s="36">
        <f>O2227-Q2227</f>
        <v>2218.4599999999996</v>
      </c>
      <c r="S2227" s="37">
        <f>IF(O2227&lt;&gt;0,R2227/O2227,"")</f>
        <v>0.43176828698657854</v>
      </c>
      <c r="U2227" s="34">
        <f>SUBTOTAL(9,U2211:U2226)</f>
        <v>3148.4</v>
      </c>
      <c r="V2227" s="35">
        <f>SUBTOTAL(9,V2211:V2226)</f>
        <v>1728</v>
      </c>
      <c r="W2227" s="36">
        <f>SUBTOTAL(9,W2211:W2226)</f>
        <v>1742.5</v>
      </c>
      <c r="X2227" s="36">
        <f>U2227-W2227</f>
        <v>1405.9</v>
      </c>
      <c r="Y2227" s="37">
        <f>IF(U2227&lt;&gt;0,X2227/U2227,"")</f>
        <v>0.44654427645788336</v>
      </c>
      <c r="Z2227" s="34">
        <f>SUBTOTAL(9,Z2211:Z2226)</f>
        <v>3345.0799999999995</v>
      </c>
      <c r="AA2227" s="35">
        <f>SUBTOTAL(9,AA2211:AA2226)</f>
        <v>1512</v>
      </c>
      <c r="AB2227" s="36">
        <f>SUBTOTAL(9,AB2211:AB2226)</f>
        <v>1816.9499999999998</v>
      </c>
      <c r="AC2227" s="36">
        <f t="shared" ref="AC2227" si="631">Z2227-AB2227</f>
        <v>1528.1299999999997</v>
      </c>
      <c r="AD2227" s="37">
        <f t="shared" ref="AD2227" si="632">IF(Z2227&lt;&gt;0,AC2227/Z2227,"")</f>
        <v>0.4568291341313212</v>
      </c>
    </row>
    <row r="2228" spans="1:31" x14ac:dyDescent="0.25">
      <c r="A2228" s="14" t="s">
        <v>109</v>
      </c>
      <c r="C2228" s="66"/>
      <c r="J2228" s="10"/>
      <c r="K2228" s="11"/>
      <c r="L2228" s="11"/>
      <c r="M2228" s="11"/>
      <c r="N2228" s="12"/>
      <c r="O2228" s="10"/>
      <c r="P2228" s="11"/>
      <c r="Q2228" s="11"/>
      <c r="R2228" s="11"/>
      <c r="S2228" s="12"/>
      <c r="U2228" s="10"/>
      <c r="V2228" s="11"/>
      <c r="W2228" s="11"/>
      <c r="X2228" s="11"/>
      <c r="Y2228" s="12"/>
      <c r="Z2228" s="10"/>
      <c r="AA2228" s="11"/>
      <c r="AB2228" s="11"/>
      <c r="AC2228" s="11"/>
      <c r="AD2228" s="12"/>
    </row>
    <row r="2229" spans="1:31" ht="15.75" x14ac:dyDescent="0.25">
      <c r="A2229" s="14" t="s">
        <v>109</v>
      </c>
      <c r="C2229" s="66" t="str">
        <f t="shared" ref="C2229" si="633">E2229</f>
        <v>C100121</v>
      </c>
      <c r="E2229" s="13" t="str">
        <f>"C100121"</f>
        <v>C100121</v>
      </c>
      <c r="F2229" s="13"/>
      <c r="G2229" s="13" t="str">
        <f>"Techibase"</f>
        <v>Techibase</v>
      </c>
      <c r="H2229" s="13"/>
      <c r="I2229" s="13"/>
      <c r="J2229" s="10"/>
      <c r="K2229" s="11"/>
      <c r="L2229" s="11"/>
      <c r="M2229" s="11"/>
      <c r="N2229" s="12"/>
      <c r="O2229" s="10"/>
      <c r="P2229" s="11"/>
      <c r="Q2229" s="11"/>
      <c r="R2229" s="11"/>
      <c r="S2229" s="12"/>
      <c r="U2229" s="10"/>
      <c r="V2229" s="11"/>
      <c r="W2229" s="11"/>
      <c r="X2229" s="11"/>
      <c r="Y2229" s="12"/>
      <c r="Z2229" s="10"/>
      <c r="AA2229" s="11"/>
      <c r="AB2229" s="11"/>
      <c r="AC2229" s="11"/>
      <c r="AD2229" s="12"/>
    </row>
    <row r="2230" spans="1:31" ht="6.6" customHeight="1" x14ac:dyDescent="0.25">
      <c r="A2230" s="14" t="s">
        <v>109</v>
      </c>
      <c r="C2230" s="61" t="str">
        <f t="shared" ref="C2230:C2264" si="634">C2229</f>
        <v>C100121</v>
      </c>
      <c r="J2230" s="10"/>
      <c r="K2230" s="11"/>
      <c r="L2230" s="11"/>
      <c r="M2230" s="11"/>
      <c r="N2230" s="12"/>
      <c r="O2230" s="10"/>
      <c r="P2230" s="11"/>
      <c r="Q2230" s="11"/>
      <c r="R2230" s="11"/>
      <c r="S2230" s="12"/>
      <c r="U2230" s="10"/>
      <c r="V2230" s="11"/>
      <c r="W2230" s="11"/>
      <c r="X2230" s="11"/>
      <c r="Y2230" s="12"/>
      <c r="Z2230" s="10"/>
      <c r="AA2230" s="11"/>
      <c r="AB2230" s="11"/>
      <c r="AC2230" s="11"/>
      <c r="AD2230" s="12"/>
    </row>
    <row r="2231" spans="1:31" x14ac:dyDescent="0.25">
      <c r="A2231" s="14" t="s">
        <v>109</v>
      </c>
      <c r="C2231" s="61" t="str">
        <f t="shared" si="634"/>
        <v>C100121</v>
      </c>
      <c r="F2231" s="8" t="str">
        <f>"C100023"</f>
        <v>C100023</v>
      </c>
      <c r="G2231" s="9" t="str">
        <f>"Two-Toned Knit Hat"</f>
        <v>Two-Toned Knit Hat</v>
      </c>
      <c r="H2231" s="47"/>
      <c r="I2231" s="47"/>
      <c r="J2231" s="23">
        <v>0</v>
      </c>
      <c r="K2231" s="25">
        <v>0</v>
      </c>
      <c r="L2231" s="24">
        <v>0</v>
      </c>
      <c r="M2231" s="24">
        <f>J2231-L2231</f>
        <v>0</v>
      </c>
      <c r="N2231" s="53" t="str">
        <f>IF(J2231&lt;&gt;0,M2231/J2231,"")</f>
        <v/>
      </c>
      <c r="O2231" s="23">
        <v>2.59</v>
      </c>
      <c r="P2231" s="25">
        <v>1</v>
      </c>
      <c r="Q2231" s="24">
        <v>1.26</v>
      </c>
      <c r="R2231" s="24">
        <f>O2231-Q2231</f>
        <v>1.3299999999999998</v>
      </c>
      <c r="S2231" s="53">
        <f>IF(O2231&lt;&gt;0,R2231/O2231,"")</f>
        <v>0.51351351351351349</v>
      </c>
      <c r="T2231" s="10"/>
      <c r="U2231" s="23">
        <v>0</v>
      </c>
      <c r="V2231" s="25">
        <v>0</v>
      </c>
      <c r="W2231" s="24">
        <v>0</v>
      </c>
      <c r="X2231" s="24">
        <f>U2231-W2231</f>
        <v>0</v>
      </c>
      <c r="Y2231" s="53" t="str">
        <f>IF(U2231&lt;&gt;0,X2231/U2231,"")</f>
        <v/>
      </c>
      <c r="Z2231" s="23">
        <v>0</v>
      </c>
      <c r="AA2231" s="25">
        <v>0</v>
      </c>
      <c r="AB2231" s="24">
        <v>0</v>
      </c>
      <c r="AC2231" s="24">
        <f t="shared" ref="AC2231" si="635">Z2231-AB2231</f>
        <v>0</v>
      </c>
      <c r="AD2231" s="53" t="str">
        <f t="shared" ref="AD2231" si="636">IF(Z2231&lt;&gt;0,AC2231/Z2231,"")</f>
        <v/>
      </c>
      <c r="AE2231" s="10"/>
    </row>
    <row r="2232" spans="1:31" x14ac:dyDescent="0.25">
      <c r="A2232" s="14" t="s">
        <v>109</v>
      </c>
      <c r="C2232" s="61" t="str">
        <f t="shared" ref="C2232:C2262" si="637">C2231</f>
        <v>C100121</v>
      </c>
      <c r="F2232" s="8" t="str">
        <f>"C100026"</f>
        <v>C100026</v>
      </c>
      <c r="G2232" s="9" t="str">
        <f>"Fleece Beanie"</f>
        <v>Fleece Beanie</v>
      </c>
      <c r="H2232" s="47"/>
      <c r="I2232" s="47"/>
      <c r="J2232" s="23">
        <v>73.36999999999999</v>
      </c>
      <c r="K2232" s="25">
        <v>24</v>
      </c>
      <c r="L2232" s="24">
        <v>48</v>
      </c>
      <c r="M2232" s="24">
        <f>J2232-L2232</f>
        <v>25.36999999999999</v>
      </c>
      <c r="N2232" s="53">
        <f>IF(J2232&lt;&gt;0,M2232/J2232,"")</f>
        <v>0.34578165462723176</v>
      </c>
      <c r="O2232" s="23">
        <v>0</v>
      </c>
      <c r="P2232" s="25">
        <v>0</v>
      </c>
      <c r="Q2232" s="24">
        <v>0</v>
      </c>
      <c r="R2232" s="24">
        <f>O2232-Q2232</f>
        <v>0</v>
      </c>
      <c r="S2232" s="53" t="str">
        <f>IF(O2232&lt;&gt;0,R2232/O2232,"")</f>
        <v/>
      </c>
      <c r="T2232" s="10"/>
      <c r="U2232" s="23">
        <v>0</v>
      </c>
      <c r="V2232" s="25">
        <v>0</v>
      </c>
      <c r="W2232" s="24">
        <v>0</v>
      </c>
      <c r="X2232" s="24">
        <f>U2232-W2232</f>
        <v>0</v>
      </c>
      <c r="Y2232" s="53" t="str">
        <f>IF(U2232&lt;&gt;0,X2232/U2232,"")</f>
        <v/>
      </c>
      <c r="Z2232" s="23">
        <v>0</v>
      </c>
      <c r="AA2232" s="25">
        <v>0</v>
      </c>
      <c r="AB2232" s="24">
        <v>0</v>
      </c>
      <c r="AC2232" s="24">
        <f t="shared" ref="AC2232:AC2262" si="638">Z2232-AB2232</f>
        <v>0</v>
      </c>
      <c r="AD2232" s="53" t="str">
        <f t="shared" ref="AD2232:AD2262" si="639">IF(Z2232&lt;&gt;0,AC2232/Z2232,"")</f>
        <v/>
      </c>
      <c r="AE2232" s="10"/>
    </row>
    <row r="2233" spans="1:31" x14ac:dyDescent="0.25">
      <c r="A2233" s="14" t="s">
        <v>109</v>
      </c>
      <c r="C2233" s="61" t="str">
        <f t="shared" si="637"/>
        <v>C100121</v>
      </c>
      <c r="F2233" s="8" t="str">
        <f>"C100028"</f>
        <v>C100028</v>
      </c>
      <c r="G2233" s="9" t="str">
        <f>"Twill Visor"</f>
        <v>Twill Visor</v>
      </c>
      <c r="H2233" s="47"/>
      <c r="I2233" s="47"/>
      <c r="J2233" s="23">
        <v>1442.3200000000002</v>
      </c>
      <c r="K2233" s="25">
        <v>288</v>
      </c>
      <c r="L2233" s="24">
        <v>691.22</v>
      </c>
      <c r="M2233" s="24">
        <f>J2233-L2233</f>
        <v>751.10000000000014</v>
      </c>
      <c r="N2233" s="53">
        <f>IF(J2233&lt;&gt;0,M2233/J2233,"")</f>
        <v>0.52075822286316498</v>
      </c>
      <c r="O2233" s="23">
        <v>721.16000000000008</v>
      </c>
      <c r="P2233" s="25">
        <v>144</v>
      </c>
      <c r="Q2233" s="24">
        <v>345.61</v>
      </c>
      <c r="R2233" s="24">
        <f>O2233-Q2233</f>
        <v>375.55000000000007</v>
      </c>
      <c r="S2233" s="53">
        <f>IF(O2233&lt;&gt;0,R2233/O2233,"")</f>
        <v>0.52075822286316498</v>
      </c>
      <c r="T2233" s="10"/>
      <c r="U2233" s="23">
        <v>0</v>
      </c>
      <c r="V2233" s="25">
        <v>0</v>
      </c>
      <c r="W2233" s="24">
        <v>0</v>
      </c>
      <c r="X2233" s="24">
        <f>U2233-W2233</f>
        <v>0</v>
      </c>
      <c r="Y2233" s="53" t="str">
        <f>IF(U2233&lt;&gt;0,X2233/U2233,"")</f>
        <v/>
      </c>
      <c r="Z2233" s="23">
        <v>0</v>
      </c>
      <c r="AA2233" s="25">
        <v>0</v>
      </c>
      <c r="AB2233" s="24">
        <v>0</v>
      </c>
      <c r="AC2233" s="24">
        <f t="shared" si="638"/>
        <v>0</v>
      </c>
      <c r="AD2233" s="53" t="str">
        <f t="shared" si="639"/>
        <v/>
      </c>
      <c r="AE2233" s="10"/>
    </row>
    <row r="2234" spans="1:31" x14ac:dyDescent="0.25">
      <c r="A2234" s="14" t="s">
        <v>109</v>
      </c>
      <c r="C2234" s="61" t="str">
        <f t="shared" si="637"/>
        <v>C100121</v>
      </c>
      <c r="F2234" s="8" t="str">
        <f>"C100029"</f>
        <v>C100029</v>
      </c>
      <c r="G2234" s="9" t="str">
        <f>"Distressed Twill Visor"</f>
        <v>Distressed Twill Visor</v>
      </c>
      <c r="H2234" s="47"/>
      <c r="I2234" s="47"/>
      <c r="J2234" s="23">
        <v>3.36</v>
      </c>
      <c r="K2234" s="25">
        <v>1</v>
      </c>
      <c r="L2234" s="24">
        <v>2.0699999999999998</v>
      </c>
      <c r="M2234" s="24">
        <f>J2234-L2234</f>
        <v>1.29</v>
      </c>
      <c r="N2234" s="53">
        <f>IF(J2234&lt;&gt;0,M2234/J2234,"")</f>
        <v>0.38392857142857145</v>
      </c>
      <c r="O2234" s="23">
        <v>0</v>
      </c>
      <c r="P2234" s="25">
        <v>0</v>
      </c>
      <c r="Q2234" s="24">
        <v>0</v>
      </c>
      <c r="R2234" s="24">
        <f>O2234-Q2234</f>
        <v>0</v>
      </c>
      <c r="S2234" s="53" t="str">
        <f>IF(O2234&lt;&gt;0,R2234/O2234,"")</f>
        <v/>
      </c>
      <c r="T2234" s="10"/>
      <c r="U2234" s="23">
        <v>0</v>
      </c>
      <c r="V2234" s="25">
        <v>0</v>
      </c>
      <c r="W2234" s="24">
        <v>0</v>
      </c>
      <c r="X2234" s="24">
        <f>U2234-W2234</f>
        <v>0</v>
      </c>
      <c r="Y2234" s="53" t="str">
        <f>IF(U2234&lt;&gt;0,X2234/U2234,"")</f>
        <v/>
      </c>
      <c r="Z2234" s="23">
        <v>0</v>
      </c>
      <c r="AA2234" s="25">
        <v>0</v>
      </c>
      <c r="AB2234" s="24">
        <v>0</v>
      </c>
      <c r="AC2234" s="24">
        <f t="shared" si="638"/>
        <v>0</v>
      </c>
      <c r="AD2234" s="53" t="str">
        <f t="shared" si="639"/>
        <v/>
      </c>
      <c r="AE2234" s="10"/>
    </row>
    <row r="2235" spans="1:31" x14ac:dyDescent="0.25">
      <c r="A2235" s="14" t="s">
        <v>109</v>
      </c>
      <c r="C2235" s="61" t="str">
        <f t="shared" si="637"/>
        <v>C100121</v>
      </c>
      <c r="F2235" s="8" t="str">
        <f>"C100044"</f>
        <v>C100044</v>
      </c>
      <c r="G2235" s="9" t="str">
        <f>"VOIP Headset with Mic"</f>
        <v>VOIP Headset with Mic</v>
      </c>
      <c r="H2235" s="47"/>
      <c r="I2235" s="47"/>
      <c r="J2235" s="23">
        <v>0</v>
      </c>
      <c r="K2235" s="25">
        <v>0</v>
      </c>
      <c r="L2235" s="24">
        <v>0</v>
      </c>
      <c r="M2235" s="24">
        <f>J2235-L2235</f>
        <v>0</v>
      </c>
      <c r="N2235" s="53" t="str">
        <f>IF(J2235&lt;&gt;0,M2235/J2235,"")</f>
        <v/>
      </c>
      <c r="O2235" s="23">
        <v>310.43</v>
      </c>
      <c r="P2235" s="25">
        <v>144</v>
      </c>
      <c r="Q2235" s="24">
        <v>172.85</v>
      </c>
      <c r="R2235" s="24">
        <f>O2235-Q2235</f>
        <v>137.58000000000001</v>
      </c>
      <c r="S2235" s="53">
        <f>IF(O2235&lt;&gt;0,R2235/O2235,"")</f>
        <v>0.44319170183294143</v>
      </c>
      <c r="T2235" s="10"/>
      <c r="U2235" s="23">
        <v>0</v>
      </c>
      <c r="V2235" s="25">
        <v>0</v>
      </c>
      <c r="W2235" s="24">
        <v>0</v>
      </c>
      <c r="X2235" s="24">
        <f>U2235-W2235</f>
        <v>0</v>
      </c>
      <c r="Y2235" s="53" t="str">
        <f>IF(U2235&lt;&gt;0,X2235/U2235,"")</f>
        <v/>
      </c>
      <c r="Z2235" s="23">
        <v>0</v>
      </c>
      <c r="AA2235" s="25">
        <v>0</v>
      </c>
      <c r="AB2235" s="24">
        <v>0</v>
      </c>
      <c r="AC2235" s="24">
        <f t="shared" si="638"/>
        <v>0</v>
      </c>
      <c r="AD2235" s="53" t="str">
        <f t="shared" si="639"/>
        <v/>
      </c>
      <c r="AE2235" s="10"/>
    </row>
    <row r="2236" spans="1:31" x14ac:dyDescent="0.25">
      <c r="A2236" s="14" t="s">
        <v>109</v>
      </c>
      <c r="C2236" s="61" t="str">
        <f t="shared" si="637"/>
        <v>C100121</v>
      </c>
      <c r="F2236" s="8" t="str">
        <f>"C100066"</f>
        <v>C100066</v>
      </c>
      <c r="G2236" s="9" t="str">
        <f>"Fashion Travel Mug"</f>
        <v>Fashion Travel Mug</v>
      </c>
      <c r="H2236" s="47"/>
      <c r="I2236" s="47"/>
      <c r="J2236" s="23">
        <v>0</v>
      </c>
      <c r="K2236" s="25">
        <v>0</v>
      </c>
      <c r="L2236" s="24">
        <v>0</v>
      </c>
      <c r="M2236" s="24">
        <f>J2236-L2236</f>
        <v>0</v>
      </c>
      <c r="N2236" s="53" t="str">
        <f>IF(J2236&lt;&gt;0,M2236/J2236,"")</f>
        <v/>
      </c>
      <c r="O2236" s="23">
        <v>508.01</v>
      </c>
      <c r="P2236" s="25">
        <v>144</v>
      </c>
      <c r="Q2236" s="24">
        <v>237.63000000000002</v>
      </c>
      <c r="R2236" s="24">
        <f>O2236-Q2236</f>
        <v>270.38</v>
      </c>
      <c r="S2236" s="53">
        <f>IF(O2236&lt;&gt;0,R2236/O2236,"")</f>
        <v>0.53223361744847542</v>
      </c>
      <c r="T2236" s="10"/>
      <c r="U2236" s="23">
        <v>0</v>
      </c>
      <c r="V2236" s="25">
        <v>0</v>
      </c>
      <c r="W2236" s="24">
        <v>0</v>
      </c>
      <c r="X2236" s="24">
        <f>U2236-W2236</f>
        <v>0</v>
      </c>
      <c r="Y2236" s="53" t="str">
        <f>IF(U2236&lt;&gt;0,X2236/U2236,"")</f>
        <v/>
      </c>
      <c r="Z2236" s="23">
        <v>0</v>
      </c>
      <c r="AA2236" s="25">
        <v>0</v>
      </c>
      <c r="AB2236" s="24">
        <v>0</v>
      </c>
      <c r="AC2236" s="24">
        <f t="shared" si="638"/>
        <v>0</v>
      </c>
      <c r="AD2236" s="53" t="str">
        <f t="shared" si="639"/>
        <v/>
      </c>
      <c r="AE2236" s="10"/>
    </row>
    <row r="2237" spans="1:31" x14ac:dyDescent="0.25">
      <c r="A2237" s="14" t="s">
        <v>109</v>
      </c>
      <c r="C2237" s="61" t="str">
        <f t="shared" si="637"/>
        <v>C100121</v>
      </c>
      <c r="F2237" s="8" t="str">
        <f>"E100001"</f>
        <v>E100001</v>
      </c>
      <c r="G2237" s="9" t="str">
        <f>"Sport Bag"</f>
        <v>Sport Bag</v>
      </c>
      <c r="H2237" s="47"/>
      <c r="I2237" s="47"/>
      <c r="J2237" s="23">
        <v>10.64</v>
      </c>
      <c r="K2237" s="25">
        <v>6</v>
      </c>
      <c r="L2237" s="24">
        <v>5.22</v>
      </c>
      <c r="M2237" s="24">
        <f>J2237-L2237</f>
        <v>5.4200000000000008</v>
      </c>
      <c r="N2237" s="53">
        <f>IF(J2237&lt;&gt;0,M2237/J2237,"")</f>
        <v>0.50939849624060152</v>
      </c>
      <c r="O2237" s="23">
        <v>42.129999999999995</v>
      </c>
      <c r="P2237" s="25">
        <v>24</v>
      </c>
      <c r="Q2237" s="24">
        <v>20.88</v>
      </c>
      <c r="R2237" s="24">
        <f>O2237-Q2237</f>
        <v>21.249999999999996</v>
      </c>
      <c r="S2237" s="53">
        <f>IF(O2237&lt;&gt;0,R2237/O2237,"")</f>
        <v>0.50439117018751478</v>
      </c>
      <c r="T2237" s="10"/>
      <c r="U2237" s="23">
        <v>0</v>
      </c>
      <c r="V2237" s="25">
        <v>0</v>
      </c>
      <c r="W2237" s="24">
        <v>0</v>
      </c>
      <c r="X2237" s="24">
        <f>U2237-W2237</f>
        <v>0</v>
      </c>
      <c r="Y2237" s="53" t="str">
        <f>IF(U2237&lt;&gt;0,X2237/U2237,"")</f>
        <v/>
      </c>
      <c r="Z2237" s="23">
        <v>0</v>
      </c>
      <c r="AA2237" s="25">
        <v>0</v>
      </c>
      <c r="AB2237" s="24">
        <v>0</v>
      </c>
      <c r="AC2237" s="24">
        <f t="shared" si="638"/>
        <v>0</v>
      </c>
      <c r="AD2237" s="53" t="str">
        <f t="shared" si="639"/>
        <v/>
      </c>
      <c r="AE2237" s="10"/>
    </row>
    <row r="2238" spans="1:31" x14ac:dyDescent="0.25">
      <c r="A2238" s="14" t="s">
        <v>109</v>
      </c>
      <c r="C2238" s="61" t="str">
        <f t="shared" si="637"/>
        <v>C100121</v>
      </c>
      <c r="F2238" s="8" t="str">
        <f>"E100002"</f>
        <v>E100002</v>
      </c>
      <c r="G2238" s="9" t="str">
        <f>"Cotton Classic Tote"</f>
        <v>Cotton Classic Tote</v>
      </c>
      <c r="H2238" s="47"/>
      <c r="I2238" s="47"/>
      <c r="J2238" s="23">
        <v>0</v>
      </c>
      <c r="K2238" s="25">
        <v>0</v>
      </c>
      <c r="L2238" s="24">
        <v>0</v>
      </c>
      <c r="M2238" s="24">
        <f>J2238-L2238</f>
        <v>0</v>
      </c>
      <c r="N2238" s="53" t="str">
        <f>IF(J2238&lt;&gt;0,M2238/J2238,"")</f>
        <v/>
      </c>
      <c r="O2238" s="23">
        <v>174.55</v>
      </c>
      <c r="P2238" s="25">
        <v>144</v>
      </c>
      <c r="Q2238" s="24">
        <v>92.17</v>
      </c>
      <c r="R2238" s="24">
        <f>O2238-Q2238</f>
        <v>82.38000000000001</v>
      </c>
      <c r="S2238" s="53">
        <f>IF(O2238&lt;&gt;0,R2238/O2238,"")</f>
        <v>0.47195645946720138</v>
      </c>
      <c r="T2238" s="10"/>
      <c r="U2238" s="23">
        <v>0</v>
      </c>
      <c r="V2238" s="25">
        <v>0</v>
      </c>
      <c r="W2238" s="24">
        <v>0</v>
      </c>
      <c r="X2238" s="24">
        <f>U2238-W2238</f>
        <v>0</v>
      </c>
      <c r="Y2238" s="53" t="str">
        <f>IF(U2238&lt;&gt;0,X2238/U2238,"")</f>
        <v/>
      </c>
      <c r="Z2238" s="23">
        <v>0</v>
      </c>
      <c r="AA2238" s="25">
        <v>0</v>
      </c>
      <c r="AB2238" s="24">
        <v>0</v>
      </c>
      <c r="AC2238" s="24">
        <f t="shared" si="638"/>
        <v>0</v>
      </c>
      <c r="AD2238" s="53" t="str">
        <f t="shared" si="639"/>
        <v/>
      </c>
      <c r="AE2238" s="10"/>
    </row>
    <row r="2239" spans="1:31" x14ac:dyDescent="0.25">
      <c r="A2239" s="14" t="s">
        <v>109</v>
      </c>
      <c r="C2239" s="61" t="str">
        <f t="shared" si="637"/>
        <v>C100121</v>
      </c>
      <c r="F2239" s="8" t="str">
        <f>"E100003"</f>
        <v>E100003</v>
      </c>
      <c r="G2239" s="9" t="str">
        <f>"Recycled Tote"</f>
        <v>Recycled Tote</v>
      </c>
      <c r="H2239" s="47"/>
      <c r="I2239" s="47"/>
      <c r="J2239" s="23">
        <v>0</v>
      </c>
      <c r="K2239" s="25">
        <v>0</v>
      </c>
      <c r="L2239" s="24">
        <v>0</v>
      </c>
      <c r="M2239" s="24">
        <f>J2239-L2239</f>
        <v>0</v>
      </c>
      <c r="N2239" s="53" t="str">
        <f>IF(J2239&lt;&gt;0,M2239/J2239,"")</f>
        <v/>
      </c>
      <c r="O2239" s="23">
        <v>436.07</v>
      </c>
      <c r="P2239" s="25">
        <v>144</v>
      </c>
      <c r="Q2239" s="24">
        <v>244.81000000000003</v>
      </c>
      <c r="R2239" s="24">
        <f>O2239-Q2239</f>
        <v>191.25999999999996</v>
      </c>
      <c r="S2239" s="53">
        <f>IF(O2239&lt;&gt;0,R2239/O2239,"")</f>
        <v>0.43859930745063858</v>
      </c>
      <c r="T2239" s="10"/>
      <c r="U2239" s="23">
        <v>0</v>
      </c>
      <c r="V2239" s="25">
        <v>0</v>
      </c>
      <c r="W2239" s="24">
        <v>0</v>
      </c>
      <c r="X2239" s="24">
        <f>U2239-W2239</f>
        <v>0</v>
      </c>
      <c r="Y2239" s="53" t="str">
        <f>IF(U2239&lt;&gt;0,X2239/U2239,"")</f>
        <v/>
      </c>
      <c r="Z2239" s="23">
        <v>0</v>
      </c>
      <c r="AA2239" s="25">
        <v>0</v>
      </c>
      <c r="AB2239" s="24">
        <v>0</v>
      </c>
      <c r="AC2239" s="24">
        <f t="shared" si="638"/>
        <v>0</v>
      </c>
      <c r="AD2239" s="53" t="str">
        <f t="shared" si="639"/>
        <v/>
      </c>
      <c r="AE2239" s="10"/>
    </row>
    <row r="2240" spans="1:31" x14ac:dyDescent="0.25">
      <c r="A2240" s="14" t="s">
        <v>109</v>
      </c>
      <c r="C2240" s="61" t="str">
        <f t="shared" si="637"/>
        <v>C100121</v>
      </c>
      <c r="F2240" s="8" t="str">
        <f>"E100005"</f>
        <v>E100005</v>
      </c>
      <c r="G2240" s="9" t="str">
        <f>"All Purpose Tote"</f>
        <v>All Purpose Tote</v>
      </c>
      <c r="H2240" s="47"/>
      <c r="I2240" s="47"/>
      <c r="J2240" s="23">
        <v>0</v>
      </c>
      <c r="K2240" s="25">
        <v>0</v>
      </c>
      <c r="L2240" s="24">
        <v>0</v>
      </c>
      <c r="M2240" s="24">
        <f>J2240-L2240</f>
        <v>0</v>
      </c>
      <c r="N2240" s="53" t="str">
        <f>IF(J2240&lt;&gt;0,M2240/J2240,"")</f>
        <v/>
      </c>
      <c r="O2240" s="23">
        <v>120.14</v>
      </c>
      <c r="P2240" s="25">
        <v>48</v>
      </c>
      <c r="Q2240" s="24">
        <v>59.52</v>
      </c>
      <c r="R2240" s="24">
        <f>O2240-Q2240</f>
        <v>60.62</v>
      </c>
      <c r="S2240" s="53">
        <f>IF(O2240&lt;&gt;0,R2240/O2240,"")</f>
        <v>0.5045779923422673</v>
      </c>
      <c r="T2240" s="10"/>
      <c r="U2240" s="23">
        <v>0</v>
      </c>
      <c r="V2240" s="25">
        <v>0</v>
      </c>
      <c r="W2240" s="24">
        <v>0</v>
      </c>
      <c r="X2240" s="24">
        <f>U2240-W2240</f>
        <v>0</v>
      </c>
      <c r="Y2240" s="53" t="str">
        <f>IF(U2240&lt;&gt;0,X2240/U2240,"")</f>
        <v/>
      </c>
      <c r="Z2240" s="23">
        <v>0</v>
      </c>
      <c r="AA2240" s="25">
        <v>0</v>
      </c>
      <c r="AB2240" s="24">
        <v>0</v>
      </c>
      <c r="AC2240" s="24">
        <f t="shared" si="638"/>
        <v>0</v>
      </c>
      <c r="AD2240" s="53" t="str">
        <f t="shared" si="639"/>
        <v/>
      </c>
      <c r="AE2240" s="10"/>
    </row>
    <row r="2241" spans="1:31" x14ac:dyDescent="0.25">
      <c r="A2241" s="14" t="s">
        <v>109</v>
      </c>
      <c r="C2241" s="61" t="str">
        <f t="shared" si="637"/>
        <v>C100121</v>
      </c>
      <c r="F2241" s="8" t="str">
        <f>"E100006"</f>
        <v>E100006</v>
      </c>
      <c r="G2241" s="9" t="str">
        <f>"Budget Tote Bag"</f>
        <v>Budget Tote Bag</v>
      </c>
      <c r="H2241" s="47"/>
      <c r="I2241" s="47"/>
      <c r="J2241" s="23">
        <v>0.19</v>
      </c>
      <c r="K2241" s="25">
        <v>2</v>
      </c>
      <c r="L2241" s="24">
        <v>0.08</v>
      </c>
      <c r="M2241" s="24">
        <f>J2241-L2241</f>
        <v>0.11</v>
      </c>
      <c r="N2241" s="53">
        <f>IF(J2241&lt;&gt;0,M2241/J2241,"")</f>
        <v>0.57894736842105265</v>
      </c>
      <c r="O2241" s="23">
        <v>0</v>
      </c>
      <c r="P2241" s="25">
        <v>0</v>
      </c>
      <c r="Q2241" s="24">
        <v>0</v>
      </c>
      <c r="R2241" s="24">
        <f>O2241-Q2241</f>
        <v>0</v>
      </c>
      <c r="S2241" s="53" t="str">
        <f>IF(O2241&lt;&gt;0,R2241/O2241,"")</f>
        <v/>
      </c>
      <c r="T2241" s="10"/>
      <c r="U2241" s="23">
        <v>0</v>
      </c>
      <c r="V2241" s="25">
        <v>0</v>
      </c>
      <c r="W2241" s="24">
        <v>0</v>
      </c>
      <c r="X2241" s="24">
        <f>U2241-W2241</f>
        <v>0</v>
      </c>
      <c r="Y2241" s="53" t="str">
        <f>IF(U2241&lt;&gt;0,X2241/U2241,"")</f>
        <v/>
      </c>
      <c r="Z2241" s="23">
        <v>0</v>
      </c>
      <c r="AA2241" s="25">
        <v>0</v>
      </c>
      <c r="AB2241" s="24">
        <v>0</v>
      </c>
      <c r="AC2241" s="24">
        <f t="shared" si="638"/>
        <v>0</v>
      </c>
      <c r="AD2241" s="53" t="str">
        <f t="shared" si="639"/>
        <v/>
      </c>
      <c r="AE2241" s="10"/>
    </row>
    <row r="2242" spans="1:31" x14ac:dyDescent="0.25">
      <c r="A2242" s="14" t="s">
        <v>109</v>
      </c>
      <c r="C2242" s="61" t="str">
        <f t="shared" si="637"/>
        <v>C100121</v>
      </c>
      <c r="F2242" s="8" t="str">
        <f>"E100009"</f>
        <v>E100009</v>
      </c>
      <c r="G2242" s="9" t="str">
        <f>"Die-Cut Tote"</f>
        <v>Die-Cut Tote</v>
      </c>
      <c r="H2242" s="47"/>
      <c r="I2242" s="47"/>
      <c r="J2242" s="23">
        <v>0.22</v>
      </c>
      <c r="K2242" s="25">
        <v>1</v>
      </c>
      <c r="L2242" s="24">
        <v>0.11</v>
      </c>
      <c r="M2242" s="24">
        <f>J2242-L2242</f>
        <v>0.11</v>
      </c>
      <c r="N2242" s="53">
        <f>IF(J2242&lt;&gt;0,M2242/J2242,"")</f>
        <v>0.5</v>
      </c>
      <c r="O2242" s="23">
        <v>0</v>
      </c>
      <c r="P2242" s="25">
        <v>0</v>
      </c>
      <c r="Q2242" s="24">
        <v>0</v>
      </c>
      <c r="R2242" s="24">
        <f>O2242-Q2242</f>
        <v>0</v>
      </c>
      <c r="S2242" s="53" t="str">
        <f>IF(O2242&lt;&gt;0,R2242/O2242,"")</f>
        <v/>
      </c>
      <c r="T2242" s="10"/>
      <c r="U2242" s="23">
        <v>0</v>
      </c>
      <c r="V2242" s="25">
        <v>0</v>
      </c>
      <c r="W2242" s="24">
        <v>0</v>
      </c>
      <c r="X2242" s="24">
        <f>U2242-W2242</f>
        <v>0</v>
      </c>
      <c r="Y2242" s="53" t="str">
        <f>IF(U2242&lt;&gt;0,X2242/U2242,"")</f>
        <v/>
      </c>
      <c r="Z2242" s="23">
        <v>0</v>
      </c>
      <c r="AA2242" s="25">
        <v>0</v>
      </c>
      <c r="AB2242" s="24">
        <v>0</v>
      </c>
      <c r="AC2242" s="24">
        <f t="shared" si="638"/>
        <v>0</v>
      </c>
      <c r="AD2242" s="53" t="str">
        <f t="shared" si="639"/>
        <v/>
      </c>
      <c r="AE2242" s="10"/>
    </row>
    <row r="2243" spans="1:31" x14ac:dyDescent="0.25">
      <c r="A2243" s="14" t="s">
        <v>109</v>
      </c>
      <c r="C2243" s="61" t="str">
        <f t="shared" si="637"/>
        <v>C100121</v>
      </c>
      <c r="F2243" s="8" t="str">
        <f>"E100010"</f>
        <v>E100010</v>
      </c>
      <c r="G2243" s="9" t="str">
        <f>"Vinyl Tote"</f>
        <v>Vinyl Tote</v>
      </c>
      <c r="H2243" s="47"/>
      <c r="I2243" s="47"/>
      <c r="J2243" s="23">
        <v>0.31</v>
      </c>
      <c r="K2243" s="25">
        <v>1</v>
      </c>
      <c r="L2243" s="24">
        <v>0.18</v>
      </c>
      <c r="M2243" s="24">
        <f>J2243-L2243</f>
        <v>0.13</v>
      </c>
      <c r="N2243" s="53">
        <f>IF(J2243&lt;&gt;0,M2243/J2243,"")</f>
        <v>0.41935483870967744</v>
      </c>
      <c r="O2243" s="23">
        <v>43.31</v>
      </c>
      <c r="P2243" s="25">
        <v>144</v>
      </c>
      <c r="Q2243" s="24">
        <v>25.92</v>
      </c>
      <c r="R2243" s="24">
        <f>O2243-Q2243</f>
        <v>17.39</v>
      </c>
      <c r="S2243" s="53">
        <f>IF(O2243&lt;&gt;0,R2243/O2243,"")</f>
        <v>0.40152389748326023</v>
      </c>
      <c r="T2243" s="10"/>
      <c r="U2243" s="23">
        <v>0</v>
      </c>
      <c r="V2243" s="25">
        <v>0</v>
      </c>
      <c r="W2243" s="24">
        <v>0</v>
      </c>
      <c r="X2243" s="24">
        <f>U2243-W2243</f>
        <v>0</v>
      </c>
      <c r="Y2243" s="53" t="str">
        <f>IF(U2243&lt;&gt;0,X2243/U2243,"")</f>
        <v/>
      </c>
      <c r="Z2243" s="23">
        <v>0</v>
      </c>
      <c r="AA2243" s="25">
        <v>0</v>
      </c>
      <c r="AB2243" s="24">
        <v>0</v>
      </c>
      <c r="AC2243" s="24">
        <f t="shared" si="638"/>
        <v>0</v>
      </c>
      <c r="AD2243" s="53" t="str">
        <f t="shared" si="639"/>
        <v/>
      </c>
      <c r="AE2243" s="10"/>
    </row>
    <row r="2244" spans="1:31" x14ac:dyDescent="0.25">
      <c r="A2244" s="14" t="s">
        <v>109</v>
      </c>
      <c r="C2244" s="61" t="str">
        <f t="shared" si="637"/>
        <v>C100121</v>
      </c>
      <c r="F2244" s="8" t="str">
        <f>"E100014"</f>
        <v>E100014</v>
      </c>
      <c r="G2244" s="9" t="str">
        <f>"Stopwatch with Neck Rope"</f>
        <v>Stopwatch with Neck Rope</v>
      </c>
      <c r="H2244" s="47"/>
      <c r="I2244" s="47"/>
      <c r="J2244" s="23">
        <v>387.99999999999994</v>
      </c>
      <c r="K2244" s="25">
        <v>144</v>
      </c>
      <c r="L2244" s="24">
        <v>185.75</v>
      </c>
      <c r="M2244" s="24">
        <f>J2244-L2244</f>
        <v>202.24999999999994</v>
      </c>
      <c r="N2244" s="53">
        <f>IF(J2244&lt;&gt;0,M2244/J2244,"")</f>
        <v>0.52126288659793807</v>
      </c>
      <c r="O2244" s="23">
        <v>387.99999999999994</v>
      </c>
      <c r="P2244" s="25">
        <v>144</v>
      </c>
      <c r="Q2244" s="24">
        <v>185.75</v>
      </c>
      <c r="R2244" s="24">
        <f>O2244-Q2244</f>
        <v>202.24999999999994</v>
      </c>
      <c r="S2244" s="53">
        <f>IF(O2244&lt;&gt;0,R2244/O2244,"")</f>
        <v>0.52126288659793807</v>
      </c>
      <c r="T2244" s="10"/>
      <c r="U2244" s="23">
        <v>0</v>
      </c>
      <c r="V2244" s="25">
        <v>0</v>
      </c>
      <c r="W2244" s="24">
        <v>0</v>
      </c>
      <c r="X2244" s="24">
        <f>U2244-W2244</f>
        <v>0</v>
      </c>
      <c r="Y2244" s="53" t="str">
        <f>IF(U2244&lt;&gt;0,X2244/U2244,"")</f>
        <v/>
      </c>
      <c r="Z2244" s="23">
        <v>0</v>
      </c>
      <c r="AA2244" s="25">
        <v>0</v>
      </c>
      <c r="AB2244" s="24">
        <v>0</v>
      </c>
      <c r="AC2244" s="24">
        <f t="shared" si="638"/>
        <v>0</v>
      </c>
      <c r="AD2244" s="53" t="str">
        <f t="shared" si="639"/>
        <v/>
      </c>
      <c r="AE2244" s="10"/>
    </row>
    <row r="2245" spans="1:31" x14ac:dyDescent="0.25">
      <c r="A2245" s="14" t="s">
        <v>109</v>
      </c>
      <c r="C2245" s="61" t="str">
        <f t="shared" si="637"/>
        <v>C100121</v>
      </c>
      <c r="F2245" s="8" t="str">
        <f>"E100016"</f>
        <v>E100016</v>
      </c>
      <c r="G2245" s="9" t="str">
        <f>"4 Function Rotating Carabiner Watch"</f>
        <v>4 Function Rotating Carabiner Watch</v>
      </c>
      <c r="H2245" s="47"/>
      <c r="I2245" s="47"/>
      <c r="J2245" s="23">
        <v>0</v>
      </c>
      <c r="K2245" s="25">
        <v>0</v>
      </c>
      <c r="L2245" s="24">
        <v>0</v>
      </c>
      <c r="M2245" s="24">
        <f>J2245-L2245</f>
        <v>0</v>
      </c>
      <c r="N2245" s="53" t="str">
        <f>IF(J2245&lt;&gt;0,M2245/J2245,"")</f>
        <v/>
      </c>
      <c r="O2245" s="23">
        <v>17.68</v>
      </c>
      <c r="P2245" s="25">
        <v>6</v>
      </c>
      <c r="Q2245" s="24">
        <v>8.2799999999999994</v>
      </c>
      <c r="R2245" s="24">
        <f>O2245-Q2245</f>
        <v>9.4</v>
      </c>
      <c r="S2245" s="53">
        <f>IF(O2245&lt;&gt;0,R2245/O2245,"")</f>
        <v>0.53167420814479638</v>
      </c>
      <c r="T2245" s="10"/>
      <c r="U2245" s="23">
        <v>0</v>
      </c>
      <c r="V2245" s="25">
        <v>0</v>
      </c>
      <c r="W2245" s="24">
        <v>0</v>
      </c>
      <c r="X2245" s="24">
        <f>U2245-W2245</f>
        <v>0</v>
      </c>
      <c r="Y2245" s="53" t="str">
        <f>IF(U2245&lt;&gt;0,X2245/U2245,"")</f>
        <v/>
      </c>
      <c r="Z2245" s="23">
        <v>0</v>
      </c>
      <c r="AA2245" s="25">
        <v>0</v>
      </c>
      <c r="AB2245" s="24">
        <v>0</v>
      </c>
      <c r="AC2245" s="24">
        <f t="shared" si="638"/>
        <v>0</v>
      </c>
      <c r="AD2245" s="53" t="str">
        <f t="shared" si="639"/>
        <v/>
      </c>
      <c r="AE2245" s="10"/>
    </row>
    <row r="2246" spans="1:31" x14ac:dyDescent="0.25">
      <c r="A2246" s="14" t="s">
        <v>109</v>
      </c>
      <c r="C2246" s="61" t="str">
        <f t="shared" si="637"/>
        <v>C100121</v>
      </c>
      <c r="F2246" s="8" t="str">
        <f>"E100017"</f>
        <v>E100017</v>
      </c>
      <c r="G2246" s="9" t="str">
        <f>"Clip-on Clock with Compass"</f>
        <v>Clip-on Clock with Compass</v>
      </c>
      <c r="H2246" s="47"/>
      <c r="I2246" s="47"/>
      <c r="J2246" s="23">
        <v>0</v>
      </c>
      <c r="K2246" s="25">
        <v>0</v>
      </c>
      <c r="L2246" s="24">
        <v>0</v>
      </c>
      <c r="M2246" s="24">
        <f>J2246-L2246</f>
        <v>0</v>
      </c>
      <c r="N2246" s="53" t="str">
        <f>IF(J2246&lt;&gt;0,M2246/J2246,"")</f>
        <v/>
      </c>
      <c r="O2246" s="23">
        <v>72.62</v>
      </c>
      <c r="P2246" s="25">
        <v>48</v>
      </c>
      <c r="Q2246" s="24">
        <v>42.24</v>
      </c>
      <c r="R2246" s="24">
        <f>O2246-Q2246</f>
        <v>30.380000000000003</v>
      </c>
      <c r="S2246" s="53">
        <f>IF(O2246&lt;&gt;0,R2246/O2246,"")</f>
        <v>0.41834205453043238</v>
      </c>
      <c r="T2246" s="10"/>
      <c r="U2246" s="23">
        <v>0</v>
      </c>
      <c r="V2246" s="25">
        <v>0</v>
      </c>
      <c r="W2246" s="24">
        <v>0</v>
      </c>
      <c r="X2246" s="24">
        <f>U2246-W2246</f>
        <v>0</v>
      </c>
      <c r="Y2246" s="53" t="str">
        <f>IF(U2246&lt;&gt;0,X2246/U2246,"")</f>
        <v/>
      </c>
      <c r="Z2246" s="23">
        <v>0</v>
      </c>
      <c r="AA2246" s="25">
        <v>0</v>
      </c>
      <c r="AB2246" s="24">
        <v>0</v>
      </c>
      <c r="AC2246" s="24">
        <f t="shared" si="638"/>
        <v>0</v>
      </c>
      <c r="AD2246" s="53" t="str">
        <f t="shared" si="639"/>
        <v/>
      </c>
      <c r="AE2246" s="10"/>
    </row>
    <row r="2247" spans="1:31" x14ac:dyDescent="0.25">
      <c r="A2247" s="14" t="s">
        <v>109</v>
      </c>
      <c r="C2247" s="61" t="str">
        <f t="shared" si="637"/>
        <v>C100121</v>
      </c>
      <c r="F2247" s="8" t="str">
        <f>"E100021"</f>
        <v>E100021</v>
      </c>
      <c r="G2247" s="9" t="str">
        <f>"Slim Travel Alarm"</f>
        <v>Slim Travel Alarm</v>
      </c>
      <c r="H2247" s="47"/>
      <c r="I2247" s="47"/>
      <c r="J2247" s="23">
        <v>0</v>
      </c>
      <c r="K2247" s="25">
        <v>0</v>
      </c>
      <c r="L2247" s="24">
        <v>0</v>
      </c>
      <c r="M2247" s="24">
        <f>J2247-L2247</f>
        <v>0</v>
      </c>
      <c r="N2247" s="53" t="str">
        <f>IF(J2247&lt;&gt;0,M2247/J2247,"")</f>
        <v/>
      </c>
      <c r="O2247" s="23">
        <v>135.46</v>
      </c>
      <c r="P2247" s="25">
        <v>48</v>
      </c>
      <c r="Q2247" s="24">
        <v>69.12</v>
      </c>
      <c r="R2247" s="24">
        <f>O2247-Q2247</f>
        <v>66.34</v>
      </c>
      <c r="S2247" s="53">
        <f>IF(O2247&lt;&gt;0,R2247/O2247,"")</f>
        <v>0.48973866824154733</v>
      </c>
      <c r="T2247" s="10"/>
      <c r="U2247" s="23">
        <v>0</v>
      </c>
      <c r="V2247" s="25">
        <v>0</v>
      </c>
      <c r="W2247" s="24">
        <v>0</v>
      </c>
      <c r="X2247" s="24">
        <f>U2247-W2247</f>
        <v>0</v>
      </c>
      <c r="Y2247" s="53" t="str">
        <f>IF(U2247&lt;&gt;0,X2247/U2247,"")</f>
        <v/>
      </c>
      <c r="Z2247" s="23">
        <v>0</v>
      </c>
      <c r="AA2247" s="25">
        <v>0</v>
      </c>
      <c r="AB2247" s="24">
        <v>0</v>
      </c>
      <c r="AC2247" s="24">
        <f t="shared" si="638"/>
        <v>0</v>
      </c>
      <c r="AD2247" s="53" t="str">
        <f t="shared" si="639"/>
        <v/>
      </c>
      <c r="AE2247" s="10"/>
    </row>
    <row r="2248" spans="1:31" x14ac:dyDescent="0.25">
      <c r="A2248" s="14" t="s">
        <v>109</v>
      </c>
      <c r="C2248" s="61" t="str">
        <f t="shared" si="637"/>
        <v>C100121</v>
      </c>
      <c r="F2248" s="8" t="str">
        <f>"E100023"</f>
        <v>E100023</v>
      </c>
      <c r="G2248" s="9" t="str">
        <f>"Sport Earbuds"</f>
        <v>Sport Earbuds</v>
      </c>
      <c r="H2248" s="47"/>
      <c r="I2248" s="47"/>
      <c r="J2248" s="23">
        <v>0</v>
      </c>
      <c r="K2248" s="25">
        <v>0</v>
      </c>
      <c r="L2248" s="24">
        <v>0</v>
      </c>
      <c r="M2248" s="24">
        <f>J2248-L2248</f>
        <v>0</v>
      </c>
      <c r="N2248" s="53" t="str">
        <f>IF(J2248&lt;&gt;0,M2248/J2248,"")</f>
        <v/>
      </c>
      <c r="O2248" s="23">
        <v>631.27</v>
      </c>
      <c r="P2248" s="25">
        <v>144</v>
      </c>
      <c r="Q2248" s="24">
        <v>302.39999999999998</v>
      </c>
      <c r="R2248" s="24">
        <f>O2248-Q2248</f>
        <v>328.87</v>
      </c>
      <c r="S2248" s="53">
        <f>IF(O2248&lt;&gt;0,R2248/O2248,"")</f>
        <v>0.52096567237473668</v>
      </c>
      <c r="T2248" s="10"/>
      <c r="U2248" s="23">
        <v>0</v>
      </c>
      <c r="V2248" s="25">
        <v>0</v>
      </c>
      <c r="W2248" s="24">
        <v>0</v>
      </c>
      <c r="X2248" s="24">
        <f>U2248-W2248</f>
        <v>0</v>
      </c>
      <c r="Y2248" s="53" t="str">
        <f>IF(U2248&lt;&gt;0,X2248/U2248,"")</f>
        <v/>
      </c>
      <c r="Z2248" s="23">
        <v>0</v>
      </c>
      <c r="AA2248" s="25">
        <v>0</v>
      </c>
      <c r="AB2248" s="24">
        <v>0</v>
      </c>
      <c r="AC2248" s="24">
        <f t="shared" si="638"/>
        <v>0</v>
      </c>
      <c r="AD2248" s="53" t="str">
        <f t="shared" si="639"/>
        <v/>
      </c>
      <c r="AE2248" s="10"/>
    </row>
    <row r="2249" spans="1:31" x14ac:dyDescent="0.25">
      <c r="A2249" s="14" t="s">
        <v>109</v>
      </c>
      <c r="C2249" s="61" t="str">
        <f t="shared" si="637"/>
        <v>C100121</v>
      </c>
      <c r="F2249" s="8" t="str">
        <f>"E100026"</f>
        <v>E100026</v>
      </c>
      <c r="G2249" s="9" t="str">
        <f>"Desk Calculator"</f>
        <v>Desk Calculator</v>
      </c>
      <c r="H2249" s="47"/>
      <c r="I2249" s="47"/>
      <c r="J2249" s="23">
        <v>120.00999999999999</v>
      </c>
      <c r="K2249" s="25">
        <v>144</v>
      </c>
      <c r="L2249" s="24">
        <v>69.180000000000007</v>
      </c>
      <c r="M2249" s="24">
        <f>J2249-L2249</f>
        <v>50.829999999999984</v>
      </c>
      <c r="N2249" s="53">
        <f>IF(J2249&lt;&gt;0,M2249/J2249,"")</f>
        <v>0.42354803766352794</v>
      </c>
      <c r="O2249" s="23">
        <v>0</v>
      </c>
      <c r="P2249" s="25">
        <v>0</v>
      </c>
      <c r="Q2249" s="24">
        <v>0</v>
      </c>
      <c r="R2249" s="24">
        <f>O2249-Q2249</f>
        <v>0</v>
      </c>
      <c r="S2249" s="53" t="str">
        <f>IF(O2249&lt;&gt;0,R2249/O2249,"")</f>
        <v/>
      </c>
      <c r="T2249" s="10"/>
      <c r="U2249" s="23">
        <v>0</v>
      </c>
      <c r="V2249" s="25">
        <v>0</v>
      </c>
      <c r="W2249" s="24">
        <v>0</v>
      </c>
      <c r="X2249" s="24">
        <f>U2249-W2249</f>
        <v>0</v>
      </c>
      <c r="Y2249" s="53" t="str">
        <f>IF(U2249&lt;&gt;0,X2249/U2249,"")</f>
        <v/>
      </c>
      <c r="Z2249" s="23">
        <v>0</v>
      </c>
      <c r="AA2249" s="25">
        <v>0</v>
      </c>
      <c r="AB2249" s="24">
        <v>0</v>
      </c>
      <c r="AC2249" s="24">
        <f t="shared" si="638"/>
        <v>0</v>
      </c>
      <c r="AD2249" s="53" t="str">
        <f t="shared" si="639"/>
        <v/>
      </c>
      <c r="AE2249" s="10"/>
    </row>
    <row r="2250" spans="1:31" x14ac:dyDescent="0.25">
      <c r="A2250" s="14" t="s">
        <v>109</v>
      </c>
      <c r="C2250" s="61" t="str">
        <f t="shared" si="637"/>
        <v>C100121</v>
      </c>
      <c r="F2250" s="8" t="str">
        <f>"E100027"</f>
        <v>E100027</v>
      </c>
      <c r="G2250" s="9" t="str">
        <f>"Ergo-Calculator"</f>
        <v>Ergo-Calculator</v>
      </c>
      <c r="H2250" s="47"/>
      <c r="I2250" s="47"/>
      <c r="J2250" s="23">
        <v>0</v>
      </c>
      <c r="K2250" s="25">
        <v>0</v>
      </c>
      <c r="L2250" s="24">
        <v>0</v>
      </c>
      <c r="M2250" s="24">
        <f>J2250-L2250</f>
        <v>0</v>
      </c>
      <c r="N2250" s="53" t="str">
        <f>IF(J2250&lt;&gt;0,M2250/J2250,"")</f>
        <v/>
      </c>
      <c r="O2250" s="23">
        <v>113.79999999999998</v>
      </c>
      <c r="P2250" s="25">
        <v>48</v>
      </c>
      <c r="Q2250" s="24">
        <v>61.449999999999996</v>
      </c>
      <c r="R2250" s="24">
        <f>O2250-Q2250</f>
        <v>52.349999999999987</v>
      </c>
      <c r="S2250" s="53">
        <f>IF(O2250&lt;&gt;0,R2250/O2250,"")</f>
        <v>0.46001757469244287</v>
      </c>
      <c r="T2250" s="10"/>
      <c r="U2250" s="23">
        <v>0</v>
      </c>
      <c r="V2250" s="25">
        <v>0</v>
      </c>
      <c r="W2250" s="24">
        <v>0</v>
      </c>
      <c r="X2250" s="24">
        <f>U2250-W2250</f>
        <v>0</v>
      </c>
      <c r="Y2250" s="53" t="str">
        <f>IF(U2250&lt;&gt;0,X2250/U2250,"")</f>
        <v/>
      </c>
      <c r="Z2250" s="23">
        <v>0</v>
      </c>
      <c r="AA2250" s="25">
        <v>0</v>
      </c>
      <c r="AB2250" s="24">
        <v>0</v>
      </c>
      <c r="AC2250" s="24">
        <f t="shared" si="638"/>
        <v>0</v>
      </c>
      <c r="AD2250" s="53" t="str">
        <f t="shared" si="639"/>
        <v/>
      </c>
      <c r="AE2250" s="10"/>
    </row>
    <row r="2251" spans="1:31" x14ac:dyDescent="0.25">
      <c r="A2251" s="14" t="s">
        <v>109</v>
      </c>
      <c r="C2251" s="61" t="str">
        <f t="shared" si="637"/>
        <v>C100121</v>
      </c>
      <c r="F2251" s="8" t="str">
        <f>"E100029"</f>
        <v>E100029</v>
      </c>
      <c r="G2251" s="9" t="str">
        <f>"LED Flex Light"</f>
        <v>LED Flex Light</v>
      </c>
      <c r="H2251" s="47"/>
      <c r="I2251" s="47"/>
      <c r="J2251" s="23">
        <v>407.9</v>
      </c>
      <c r="K2251" s="25">
        <v>144</v>
      </c>
      <c r="L2251" s="24">
        <v>241.84000000000003</v>
      </c>
      <c r="M2251" s="24">
        <f>J2251-L2251</f>
        <v>166.05999999999995</v>
      </c>
      <c r="N2251" s="53">
        <f>IF(J2251&lt;&gt;0,M2251/J2251,"")</f>
        <v>0.40710958568276528</v>
      </c>
      <c r="O2251" s="23">
        <v>2.8</v>
      </c>
      <c r="P2251" s="25">
        <v>1</v>
      </c>
      <c r="Q2251" s="24">
        <v>1.68</v>
      </c>
      <c r="R2251" s="24">
        <f>O2251-Q2251</f>
        <v>1.1199999999999999</v>
      </c>
      <c r="S2251" s="53">
        <f>IF(O2251&lt;&gt;0,R2251/O2251,"")</f>
        <v>0.39999999999999997</v>
      </c>
      <c r="T2251" s="10"/>
      <c r="U2251" s="23">
        <v>0</v>
      </c>
      <c r="V2251" s="25">
        <v>0</v>
      </c>
      <c r="W2251" s="24">
        <v>0</v>
      </c>
      <c r="X2251" s="24">
        <f>U2251-W2251</f>
        <v>0</v>
      </c>
      <c r="Y2251" s="53" t="str">
        <f>IF(U2251&lt;&gt;0,X2251/U2251,"")</f>
        <v/>
      </c>
      <c r="Z2251" s="23">
        <v>0</v>
      </c>
      <c r="AA2251" s="25">
        <v>0</v>
      </c>
      <c r="AB2251" s="24">
        <v>0</v>
      </c>
      <c r="AC2251" s="24">
        <f t="shared" si="638"/>
        <v>0</v>
      </c>
      <c r="AD2251" s="53" t="str">
        <f t="shared" si="639"/>
        <v/>
      </c>
      <c r="AE2251" s="10"/>
    </row>
    <row r="2252" spans="1:31" x14ac:dyDescent="0.25">
      <c r="A2252" s="14" t="s">
        <v>109</v>
      </c>
      <c r="C2252" s="61" t="str">
        <f t="shared" si="637"/>
        <v>C100121</v>
      </c>
      <c r="F2252" s="8" t="str">
        <f>"E100032"</f>
        <v>E100032</v>
      </c>
      <c r="G2252" s="9" t="str">
        <f>"Button Key-Light"</f>
        <v>Button Key-Light</v>
      </c>
      <c r="H2252" s="47"/>
      <c r="I2252" s="47"/>
      <c r="J2252" s="23">
        <v>0</v>
      </c>
      <c r="K2252" s="25">
        <v>0</v>
      </c>
      <c r="L2252" s="24">
        <v>0</v>
      </c>
      <c r="M2252" s="24">
        <f>J2252-L2252</f>
        <v>0</v>
      </c>
      <c r="N2252" s="53" t="str">
        <f>IF(J2252&lt;&gt;0,M2252/J2252,"")</f>
        <v/>
      </c>
      <c r="O2252" s="23">
        <v>0.49</v>
      </c>
      <c r="P2252" s="25">
        <v>1</v>
      </c>
      <c r="Q2252" s="24">
        <v>0.33</v>
      </c>
      <c r="R2252" s="24">
        <f>O2252-Q2252</f>
        <v>0.15999999999999998</v>
      </c>
      <c r="S2252" s="53">
        <f>IF(O2252&lt;&gt;0,R2252/O2252,"")</f>
        <v>0.32653061224489793</v>
      </c>
      <c r="T2252" s="10"/>
      <c r="U2252" s="23">
        <v>0</v>
      </c>
      <c r="V2252" s="25">
        <v>0</v>
      </c>
      <c r="W2252" s="24">
        <v>0</v>
      </c>
      <c r="X2252" s="24">
        <f>U2252-W2252</f>
        <v>0</v>
      </c>
      <c r="Y2252" s="53" t="str">
        <f>IF(U2252&lt;&gt;0,X2252/U2252,"")</f>
        <v/>
      </c>
      <c r="Z2252" s="23">
        <v>0</v>
      </c>
      <c r="AA2252" s="25">
        <v>0</v>
      </c>
      <c r="AB2252" s="24">
        <v>0</v>
      </c>
      <c r="AC2252" s="24">
        <f t="shared" si="638"/>
        <v>0</v>
      </c>
      <c r="AD2252" s="53" t="str">
        <f t="shared" si="639"/>
        <v/>
      </c>
      <c r="AE2252" s="10"/>
    </row>
    <row r="2253" spans="1:31" x14ac:dyDescent="0.25">
      <c r="A2253" s="14" t="s">
        <v>109</v>
      </c>
      <c r="C2253" s="61" t="str">
        <f t="shared" si="637"/>
        <v>C100121</v>
      </c>
      <c r="F2253" s="8" t="str">
        <f>"E100034"</f>
        <v>E100034</v>
      </c>
      <c r="G2253" s="9" t="str">
        <f>"Bamboo 1GB USB Flash Drive"</f>
        <v>Bamboo 1GB USB Flash Drive</v>
      </c>
      <c r="H2253" s="47"/>
      <c r="I2253" s="47"/>
      <c r="J2253" s="23">
        <v>273.32</v>
      </c>
      <c r="K2253" s="25">
        <v>48</v>
      </c>
      <c r="L2253" s="24">
        <v>129.60999999999999</v>
      </c>
      <c r="M2253" s="24">
        <f>J2253-L2253</f>
        <v>143.71</v>
      </c>
      <c r="N2253" s="53">
        <f>IF(J2253&lt;&gt;0,M2253/J2253,"")</f>
        <v>0.52579394116786193</v>
      </c>
      <c r="O2253" s="23">
        <v>0</v>
      </c>
      <c r="P2253" s="25">
        <v>0</v>
      </c>
      <c r="Q2253" s="24">
        <v>0</v>
      </c>
      <c r="R2253" s="24">
        <f>O2253-Q2253</f>
        <v>0</v>
      </c>
      <c r="S2253" s="53" t="str">
        <f>IF(O2253&lt;&gt;0,R2253/O2253,"")</f>
        <v/>
      </c>
      <c r="T2253" s="10"/>
      <c r="U2253" s="23">
        <v>0</v>
      </c>
      <c r="V2253" s="25">
        <v>0</v>
      </c>
      <c r="W2253" s="24">
        <v>0</v>
      </c>
      <c r="X2253" s="24">
        <f>U2253-W2253</f>
        <v>0</v>
      </c>
      <c r="Y2253" s="53" t="str">
        <f>IF(U2253&lt;&gt;0,X2253/U2253,"")</f>
        <v/>
      </c>
      <c r="Z2253" s="23">
        <v>0</v>
      </c>
      <c r="AA2253" s="25">
        <v>0</v>
      </c>
      <c r="AB2253" s="24">
        <v>0</v>
      </c>
      <c r="AC2253" s="24">
        <f t="shared" si="638"/>
        <v>0</v>
      </c>
      <c r="AD2253" s="53" t="str">
        <f t="shared" si="639"/>
        <v/>
      </c>
      <c r="AE2253" s="10"/>
    </row>
    <row r="2254" spans="1:31" x14ac:dyDescent="0.25">
      <c r="A2254" s="14" t="s">
        <v>109</v>
      </c>
      <c r="C2254" s="61" t="str">
        <f t="shared" si="637"/>
        <v>C100121</v>
      </c>
      <c r="F2254" s="8" t="str">
        <f>"E100038"</f>
        <v>E100038</v>
      </c>
      <c r="G2254" s="9" t="str">
        <f>"1GB USB Flash Drive Pen"</f>
        <v>1GB USB Flash Drive Pen</v>
      </c>
      <c r="H2254" s="47"/>
      <c r="I2254" s="47"/>
      <c r="J2254" s="23">
        <v>0</v>
      </c>
      <c r="K2254" s="25">
        <v>0</v>
      </c>
      <c r="L2254" s="24">
        <v>0</v>
      </c>
      <c r="M2254" s="24">
        <f>J2254-L2254</f>
        <v>0</v>
      </c>
      <c r="N2254" s="53" t="str">
        <f>IF(J2254&lt;&gt;0,M2254/J2254,"")</f>
        <v/>
      </c>
      <c r="O2254" s="23">
        <v>796.15000000000009</v>
      </c>
      <c r="P2254" s="25">
        <v>144</v>
      </c>
      <c r="Q2254" s="24">
        <v>427.72999999999996</v>
      </c>
      <c r="R2254" s="24">
        <f>O2254-Q2254</f>
        <v>368.42000000000013</v>
      </c>
      <c r="S2254" s="53">
        <f>IF(O2254&lt;&gt;0,R2254/O2254,"")</f>
        <v>0.46275199397098549</v>
      </c>
      <c r="T2254" s="10"/>
      <c r="U2254" s="23">
        <v>0</v>
      </c>
      <c r="V2254" s="25">
        <v>0</v>
      </c>
      <c r="W2254" s="24">
        <v>0</v>
      </c>
      <c r="X2254" s="24">
        <f>U2254-W2254</f>
        <v>0</v>
      </c>
      <c r="Y2254" s="53" t="str">
        <f>IF(U2254&lt;&gt;0,X2254/U2254,"")</f>
        <v/>
      </c>
      <c r="Z2254" s="23">
        <v>0</v>
      </c>
      <c r="AA2254" s="25">
        <v>0</v>
      </c>
      <c r="AB2254" s="24">
        <v>0</v>
      </c>
      <c r="AC2254" s="24">
        <f t="shared" si="638"/>
        <v>0</v>
      </c>
      <c r="AD2254" s="53" t="str">
        <f t="shared" si="639"/>
        <v/>
      </c>
      <c r="AE2254" s="10"/>
    </row>
    <row r="2255" spans="1:31" x14ac:dyDescent="0.25">
      <c r="A2255" s="14" t="s">
        <v>109</v>
      </c>
      <c r="C2255" s="61" t="str">
        <f t="shared" si="637"/>
        <v>C100121</v>
      </c>
      <c r="F2255" s="8" t="str">
        <f>"E100040"</f>
        <v>E100040</v>
      </c>
      <c r="G2255" s="9" t="str">
        <f>"Wave Mug"</f>
        <v>Wave Mug</v>
      </c>
      <c r="H2255" s="47"/>
      <c r="I2255" s="47"/>
      <c r="J2255" s="23">
        <v>0</v>
      </c>
      <c r="K2255" s="25">
        <v>0</v>
      </c>
      <c r="L2255" s="24">
        <v>0</v>
      </c>
      <c r="M2255" s="24">
        <f>J2255-L2255</f>
        <v>0</v>
      </c>
      <c r="N2255" s="53" t="str">
        <f>IF(J2255&lt;&gt;0,M2255/J2255,"")</f>
        <v/>
      </c>
      <c r="O2255" s="23">
        <v>19.88</v>
      </c>
      <c r="P2255" s="25">
        <v>12</v>
      </c>
      <c r="Q2255" s="24">
        <v>13.45</v>
      </c>
      <c r="R2255" s="24">
        <f>O2255-Q2255</f>
        <v>6.43</v>
      </c>
      <c r="S2255" s="53">
        <f>IF(O2255&lt;&gt;0,R2255/O2255,"")</f>
        <v>0.32344064386317906</v>
      </c>
      <c r="T2255" s="10"/>
      <c r="U2255" s="23">
        <v>0</v>
      </c>
      <c r="V2255" s="25">
        <v>0</v>
      </c>
      <c r="W2255" s="24">
        <v>0</v>
      </c>
      <c r="X2255" s="24">
        <f>U2255-W2255</f>
        <v>0</v>
      </c>
      <c r="Y2255" s="53" t="str">
        <f>IF(U2255&lt;&gt;0,X2255/U2255,"")</f>
        <v/>
      </c>
      <c r="Z2255" s="23">
        <v>0</v>
      </c>
      <c r="AA2255" s="25">
        <v>0</v>
      </c>
      <c r="AB2255" s="24">
        <v>0</v>
      </c>
      <c r="AC2255" s="24">
        <f t="shared" si="638"/>
        <v>0</v>
      </c>
      <c r="AD2255" s="53" t="str">
        <f t="shared" si="639"/>
        <v/>
      </c>
      <c r="AE2255" s="10"/>
    </row>
    <row r="2256" spans="1:31" x14ac:dyDescent="0.25">
      <c r="A2256" s="14" t="s">
        <v>109</v>
      </c>
      <c r="C2256" s="61" t="str">
        <f t="shared" si="637"/>
        <v>C100121</v>
      </c>
      <c r="F2256" s="8" t="str">
        <f>"E100042"</f>
        <v>E100042</v>
      </c>
      <c r="G2256" s="9" t="str">
        <f>"Soft Touch Travel Mug"</f>
        <v>Soft Touch Travel Mug</v>
      </c>
      <c r="H2256" s="47"/>
      <c r="I2256" s="47"/>
      <c r="J2256" s="23">
        <v>0</v>
      </c>
      <c r="K2256" s="25">
        <v>0</v>
      </c>
      <c r="L2256" s="24">
        <v>0</v>
      </c>
      <c r="M2256" s="24">
        <f>J2256-L2256</f>
        <v>0</v>
      </c>
      <c r="N2256" s="53" t="str">
        <f>IF(J2256&lt;&gt;0,M2256/J2256,"")</f>
        <v/>
      </c>
      <c r="O2256" s="23">
        <v>540.54999999999995</v>
      </c>
      <c r="P2256" s="25">
        <v>144</v>
      </c>
      <c r="Q2256" s="24">
        <v>309.68</v>
      </c>
      <c r="R2256" s="24">
        <f>O2256-Q2256</f>
        <v>230.86999999999995</v>
      </c>
      <c r="S2256" s="53">
        <f>IF(O2256&lt;&gt;0,R2256/O2256,"")</f>
        <v>0.42710202571454992</v>
      </c>
      <c r="T2256" s="10"/>
      <c r="U2256" s="23">
        <v>0</v>
      </c>
      <c r="V2256" s="25">
        <v>0</v>
      </c>
      <c r="W2256" s="24">
        <v>0</v>
      </c>
      <c r="X2256" s="24">
        <f>U2256-W2256</f>
        <v>0</v>
      </c>
      <c r="Y2256" s="53" t="str">
        <f>IF(U2256&lt;&gt;0,X2256/U2256,"")</f>
        <v/>
      </c>
      <c r="Z2256" s="23">
        <v>0</v>
      </c>
      <c r="AA2256" s="25">
        <v>0</v>
      </c>
      <c r="AB2256" s="24">
        <v>0</v>
      </c>
      <c r="AC2256" s="24">
        <f t="shared" si="638"/>
        <v>0</v>
      </c>
      <c r="AD2256" s="53" t="str">
        <f t="shared" si="639"/>
        <v/>
      </c>
      <c r="AE2256" s="10"/>
    </row>
    <row r="2257" spans="1:31" x14ac:dyDescent="0.25">
      <c r="A2257" s="14" t="s">
        <v>109</v>
      </c>
      <c r="C2257" s="61" t="str">
        <f t="shared" si="637"/>
        <v>C100121</v>
      </c>
      <c r="F2257" s="8" t="str">
        <f>"E100044"</f>
        <v>E100044</v>
      </c>
      <c r="G2257" s="9" t="str">
        <f>"Juice Glass"</f>
        <v>Juice Glass</v>
      </c>
      <c r="H2257" s="47"/>
      <c r="I2257" s="47"/>
      <c r="J2257" s="23">
        <v>0.56999999999999995</v>
      </c>
      <c r="K2257" s="25">
        <v>1</v>
      </c>
      <c r="L2257" s="24">
        <v>0.38</v>
      </c>
      <c r="M2257" s="24">
        <f>J2257-L2257</f>
        <v>0.18999999999999995</v>
      </c>
      <c r="N2257" s="53">
        <f>IF(J2257&lt;&gt;0,M2257/J2257,"")</f>
        <v>0.33333333333333326</v>
      </c>
      <c r="O2257" s="23">
        <v>0.56999999999999995</v>
      </c>
      <c r="P2257" s="25">
        <v>1</v>
      </c>
      <c r="Q2257" s="24">
        <v>0.38</v>
      </c>
      <c r="R2257" s="24">
        <f>O2257-Q2257</f>
        <v>0.18999999999999995</v>
      </c>
      <c r="S2257" s="53">
        <f>IF(O2257&lt;&gt;0,R2257/O2257,"")</f>
        <v>0.33333333333333326</v>
      </c>
      <c r="T2257" s="10"/>
      <c r="U2257" s="23">
        <v>0</v>
      </c>
      <c r="V2257" s="25">
        <v>0</v>
      </c>
      <c r="W2257" s="24">
        <v>0</v>
      </c>
      <c r="X2257" s="24">
        <f>U2257-W2257</f>
        <v>0</v>
      </c>
      <c r="Y2257" s="53" t="str">
        <f>IF(U2257&lt;&gt;0,X2257/U2257,"")</f>
        <v/>
      </c>
      <c r="Z2257" s="23">
        <v>0</v>
      </c>
      <c r="AA2257" s="25">
        <v>0</v>
      </c>
      <c r="AB2257" s="24">
        <v>0</v>
      </c>
      <c r="AC2257" s="24">
        <f t="shared" si="638"/>
        <v>0</v>
      </c>
      <c r="AD2257" s="53" t="str">
        <f t="shared" si="639"/>
        <v/>
      </c>
      <c r="AE2257" s="10"/>
    </row>
    <row r="2258" spans="1:31" x14ac:dyDescent="0.25">
      <c r="A2258" s="14" t="s">
        <v>109</v>
      </c>
      <c r="C2258" s="61" t="str">
        <f t="shared" si="637"/>
        <v>C100121</v>
      </c>
      <c r="F2258" s="8" t="str">
        <f>"E100047"</f>
        <v>E100047</v>
      </c>
      <c r="G2258" s="9" t="str">
        <f>"Chardonnay Glass"</f>
        <v>Chardonnay Glass</v>
      </c>
      <c r="H2258" s="47"/>
      <c r="I2258" s="47"/>
      <c r="J2258" s="23">
        <v>254.09000000000003</v>
      </c>
      <c r="K2258" s="25">
        <v>144</v>
      </c>
      <c r="L2258" s="24">
        <v>151.19999999999999</v>
      </c>
      <c r="M2258" s="24">
        <f>J2258-L2258</f>
        <v>102.89000000000004</v>
      </c>
      <c r="N2258" s="53">
        <f>IF(J2258&lt;&gt;0,M2258/J2258,"")</f>
        <v>0.40493525916014023</v>
      </c>
      <c r="O2258" s="23">
        <v>0</v>
      </c>
      <c r="P2258" s="25">
        <v>0</v>
      </c>
      <c r="Q2258" s="24">
        <v>0</v>
      </c>
      <c r="R2258" s="24">
        <f>O2258-Q2258</f>
        <v>0</v>
      </c>
      <c r="S2258" s="53" t="str">
        <f>IF(O2258&lt;&gt;0,R2258/O2258,"")</f>
        <v/>
      </c>
      <c r="T2258" s="10"/>
      <c r="U2258" s="23">
        <v>0</v>
      </c>
      <c r="V2258" s="25">
        <v>0</v>
      </c>
      <c r="W2258" s="24">
        <v>0</v>
      </c>
      <c r="X2258" s="24">
        <f>U2258-W2258</f>
        <v>0</v>
      </c>
      <c r="Y2258" s="53" t="str">
        <f>IF(U2258&lt;&gt;0,X2258/U2258,"")</f>
        <v/>
      </c>
      <c r="Z2258" s="23">
        <v>0</v>
      </c>
      <c r="AA2258" s="25">
        <v>0</v>
      </c>
      <c r="AB2258" s="24">
        <v>0</v>
      </c>
      <c r="AC2258" s="24">
        <f t="shared" si="638"/>
        <v>0</v>
      </c>
      <c r="AD2258" s="53" t="str">
        <f t="shared" si="639"/>
        <v/>
      </c>
      <c r="AE2258" s="10"/>
    </row>
    <row r="2259" spans="1:31" x14ac:dyDescent="0.25">
      <c r="A2259" s="14" t="s">
        <v>109</v>
      </c>
      <c r="C2259" s="61" t="str">
        <f t="shared" si="637"/>
        <v>C100121</v>
      </c>
      <c r="F2259" s="8" t="str">
        <f>"S100011"</f>
        <v>S100011</v>
      </c>
      <c r="G2259" s="9" t="str">
        <f>"All Star Cap"</f>
        <v>All Star Cap</v>
      </c>
      <c r="H2259" s="47"/>
      <c r="I2259" s="47"/>
      <c r="J2259" s="23">
        <v>1.42</v>
      </c>
      <c r="K2259" s="25">
        <v>1</v>
      </c>
      <c r="L2259" s="24">
        <v>0.85</v>
      </c>
      <c r="M2259" s="24">
        <f>J2259-L2259</f>
        <v>0.56999999999999995</v>
      </c>
      <c r="N2259" s="53">
        <f>IF(J2259&lt;&gt;0,M2259/J2259,"")</f>
        <v>0.40140845070422532</v>
      </c>
      <c r="O2259" s="23">
        <v>1.43</v>
      </c>
      <c r="P2259" s="25">
        <v>1</v>
      </c>
      <c r="Q2259" s="24">
        <v>0.85</v>
      </c>
      <c r="R2259" s="24">
        <f>O2259-Q2259</f>
        <v>0.57999999999999996</v>
      </c>
      <c r="S2259" s="53">
        <f>IF(O2259&lt;&gt;0,R2259/O2259,"")</f>
        <v>0.40559440559440557</v>
      </c>
      <c r="T2259" s="10"/>
      <c r="U2259" s="23">
        <v>0</v>
      </c>
      <c r="V2259" s="25">
        <v>0</v>
      </c>
      <c r="W2259" s="24">
        <v>0</v>
      </c>
      <c r="X2259" s="24">
        <f>U2259-W2259</f>
        <v>0</v>
      </c>
      <c r="Y2259" s="53" t="str">
        <f>IF(U2259&lt;&gt;0,X2259/U2259,"")</f>
        <v/>
      </c>
      <c r="Z2259" s="23">
        <v>0</v>
      </c>
      <c r="AA2259" s="25">
        <v>0</v>
      </c>
      <c r="AB2259" s="24">
        <v>0</v>
      </c>
      <c r="AC2259" s="24">
        <f t="shared" si="638"/>
        <v>0</v>
      </c>
      <c r="AD2259" s="53" t="str">
        <f t="shared" si="639"/>
        <v/>
      </c>
      <c r="AE2259" s="10"/>
    </row>
    <row r="2260" spans="1:31" x14ac:dyDescent="0.25">
      <c r="A2260" s="14" t="s">
        <v>109</v>
      </c>
      <c r="C2260" s="61" t="str">
        <f t="shared" si="637"/>
        <v>C100121</v>
      </c>
      <c r="F2260" s="8" t="str">
        <f>"S100020"</f>
        <v>S100020</v>
      </c>
      <c r="G2260" s="9" t="str">
        <f>"Super Sport Stopwatch"</f>
        <v>Super Sport Stopwatch</v>
      </c>
      <c r="H2260" s="47"/>
      <c r="I2260" s="47"/>
      <c r="J2260" s="23">
        <v>0</v>
      </c>
      <c r="K2260" s="25">
        <v>0</v>
      </c>
      <c r="L2260" s="24">
        <v>0</v>
      </c>
      <c r="M2260" s="24">
        <f>J2260-L2260</f>
        <v>0</v>
      </c>
      <c r="N2260" s="53" t="str">
        <f>IF(J2260&lt;&gt;0,M2260/J2260,"")</f>
        <v/>
      </c>
      <c r="O2260" s="23">
        <v>51.260000000000005</v>
      </c>
      <c r="P2260" s="25">
        <v>24</v>
      </c>
      <c r="Q2260" s="24">
        <v>25.2</v>
      </c>
      <c r="R2260" s="24">
        <f>O2260-Q2260</f>
        <v>26.060000000000006</v>
      </c>
      <c r="S2260" s="53">
        <f>IF(O2260&lt;&gt;0,R2260/O2260,"")</f>
        <v>0.50838860710105349</v>
      </c>
      <c r="T2260" s="10"/>
      <c r="U2260" s="23">
        <v>0</v>
      </c>
      <c r="V2260" s="25">
        <v>0</v>
      </c>
      <c r="W2260" s="24">
        <v>0</v>
      </c>
      <c r="X2260" s="24">
        <f>U2260-W2260</f>
        <v>0</v>
      </c>
      <c r="Y2260" s="53" t="str">
        <f>IF(U2260&lt;&gt;0,X2260/U2260,"")</f>
        <v/>
      </c>
      <c r="Z2260" s="23">
        <v>0</v>
      </c>
      <c r="AA2260" s="25">
        <v>0</v>
      </c>
      <c r="AB2260" s="24">
        <v>0</v>
      </c>
      <c r="AC2260" s="24">
        <f t="shared" si="638"/>
        <v>0</v>
      </c>
      <c r="AD2260" s="53" t="str">
        <f t="shared" si="639"/>
        <v/>
      </c>
      <c r="AE2260" s="10"/>
    </row>
    <row r="2261" spans="1:31" x14ac:dyDescent="0.25">
      <c r="A2261" s="14" t="s">
        <v>109</v>
      </c>
      <c r="C2261" s="61" t="str">
        <f t="shared" si="637"/>
        <v>C100121</v>
      </c>
      <c r="F2261" s="8" t="str">
        <f>"S100023"</f>
        <v>S100023</v>
      </c>
      <c r="G2261" s="9" t="str">
        <f>"Gripper SPORT BOT"</f>
        <v>Gripper SPORT BOT</v>
      </c>
      <c r="H2261" s="47"/>
      <c r="I2261" s="47"/>
      <c r="J2261" s="23">
        <v>0</v>
      </c>
      <c r="K2261" s="25">
        <v>0</v>
      </c>
      <c r="L2261" s="24">
        <v>0</v>
      </c>
      <c r="M2261" s="24">
        <f>J2261-L2261</f>
        <v>0</v>
      </c>
      <c r="N2261" s="53" t="str">
        <f>IF(J2261&lt;&gt;0,M2261/J2261,"")</f>
        <v/>
      </c>
      <c r="O2261" s="23">
        <v>280.76</v>
      </c>
      <c r="P2261" s="25">
        <v>144</v>
      </c>
      <c r="Q2261" s="24">
        <v>142.57999999999998</v>
      </c>
      <c r="R2261" s="24">
        <f>O2261-Q2261</f>
        <v>138.18</v>
      </c>
      <c r="S2261" s="53">
        <f>IF(O2261&lt;&gt;0,R2261/O2261,"")</f>
        <v>0.49216412594386671</v>
      </c>
      <c r="T2261" s="10"/>
      <c r="U2261" s="23">
        <v>0</v>
      </c>
      <c r="V2261" s="25">
        <v>0</v>
      </c>
      <c r="W2261" s="24">
        <v>0</v>
      </c>
      <c r="X2261" s="24">
        <f>U2261-W2261</f>
        <v>0</v>
      </c>
      <c r="Y2261" s="53" t="str">
        <f>IF(U2261&lt;&gt;0,X2261/U2261,"")</f>
        <v/>
      </c>
      <c r="Z2261" s="23">
        <v>0</v>
      </c>
      <c r="AA2261" s="25">
        <v>0</v>
      </c>
      <c r="AB2261" s="24">
        <v>0</v>
      </c>
      <c r="AC2261" s="24">
        <f t="shared" si="638"/>
        <v>0</v>
      </c>
      <c r="AD2261" s="53" t="str">
        <f t="shared" si="639"/>
        <v/>
      </c>
      <c r="AE2261" s="10"/>
    </row>
    <row r="2262" spans="1:31" x14ac:dyDescent="0.25">
      <c r="A2262" s="14" t="s">
        <v>109</v>
      </c>
      <c r="C2262" s="61" t="str">
        <f t="shared" si="637"/>
        <v>C100121</v>
      </c>
      <c r="F2262" s="8" t="str">
        <f>"S100024"</f>
        <v>S100024</v>
      </c>
      <c r="G2262" s="9" t="str">
        <f>"Aluminum SPORT BOT"</f>
        <v>Aluminum SPORT BOT</v>
      </c>
      <c r="H2262" s="47"/>
      <c r="I2262" s="47"/>
      <c r="J2262" s="23">
        <v>0</v>
      </c>
      <c r="K2262" s="25">
        <v>0</v>
      </c>
      <c r="L2262" s="24">
        <v>0</v>
      </c>
      <c r="M2262" s="24">
        <f>J2262-L2262</f>
        <v>0</v>
      </c>
      <c r="N2262" s="53" t="str">
        <f>IF(J2262&lt;&gt;0,M2262/J2262,"")</f>
        <v/>
      </c>
      <c r="O2262" s="23">
        <v>493.15999999999997</v>
      </c>
      <c r="P2262" s="25">
        <v>144</v>
      </c>
      <c r="Q2262" s="24">
        <v>302.39999999999998</v>
      </c>
      <c r="R2262" s="24">
        <f>O2262-Q2262</f>
        <v>190.76</v>
      </c>
      <c r="S2262" s="53">
        <f>IF(O2262&lt;&gt;0,R2262/O2262,"")</f>
        <v>0.3868115824478871</v>
      </c>
      <c r="T2262" s="10"/>
      <c r="U2262" s="23">
        <v>0</v>
      </c>
      <c r="V2262" s="25">
        <v>0</v>
      </c>
      <c r="W2262" s="24">
        <v>0</v>
      </c>
      <c r="X2262" s="24">
        <f>U2262-W2262</f>
        <v>0</v>
      </c>
      <c r="Y2262" s="53" t="str">
        <f>IF(U2262&lt;&gt;0,X2262/U2262,"")</f>
        <v/>
      </c>
      <c r="Z2262" s="23">
        <v>0</v>
      </c>
      <c r="AA2262" s="25">
        <v>0</v>
      </c>
      <c r="AB2262" s="24">
        <v>0</v>
      </c>
      <c r="AC2262" s="24">
        <f t="shared" si="638"/>
        <v>0</v>
      </c>
      <c r="AD2262" s="53" t="str">
        <f t="shared" si="639"/>
        <v/>
      </c>
      <c r="AE2262" s="10"/>
    </row>
    <row r="2263" spans="1:31" ht="15.75" thickBot="1" x14ac:dyDescent="0.3">
      <c r="A2263" s="14" t="s">
        <v>109</v>
      </c>
      <c r="C2263" s="61" t="str">
        <f>C2231</f>
        <v>C100121</v>
      </c>
      <c r="J2263" s="10"/>
      <c r="K2263" s="11"/>
      <c r="L2263" s="11"/>
      <c r="M2263" s="11"/>
      <c r="N2263" s="12"/>
      <c r="O2263" s="10"/>
      <c r="P2263" s="11"/>
      <c r="Q2263" s="11"/>
      <c r="R2263" s="11"/>
      <c r="S2263" s="12"/>
      <c r="U2263" s="10"/>
      <c r="V2263" s="11"/>
      <c r="W2263" s="11"/>
      <c r="X2263" s="11"/>
      <c r="Y2263" s="12"/>
      <c r="Z2263" s="10"/>
      <c r="AA2263" s="11"/>
      <c r="AB2263" s="11"/>
      <c r="AC2263" s="11"/>
      <c r="AD2263" s="12"/>
    </row>
    <row r="2264" spans="1:31" ht="15.75" thickBot="1" x14ac:dyDescent="0.3">
      <c r="A2264" s="14" t="s">
        <v>109</v>
      </c>
      <c r="C2264" s="61" t="str">
        <f t="shared" si="634"/>
        <v>C100121</v>
      </c>
      <c r="G2264" s="48" t="str">
        <f>C2264&amp;" TOTAL:"</f>
        <v>C100121 TOTAL:</v>
      </c>
      <c r="H2264" s="50"/>
      <c r="I2264" s="50"/>
      <c r="J2264" s="34">
        <f>SUBTOTAL(9,J2230:J2263)</f>
        <v>2975.7200000000007</v>
      </c>
      <c r="K2264" s="35">
        <f>SUBTOTAL(9,K2230:K2263)</f>
        <v>949</v>
      </c>
      <c r="L2264" s="36">
        <f>SUBTOTAL(9,L2230:L2263)</f>
        <v>1525.69</v>
      </c>
      <c r="M2264" s="36">
        <f>J2264-L2264</f>
        <v>1450.0300000000007</v>
      </c>
      <c r="N2264" s="37">
        <f>IF(J2264&lt;&gt;0,M2264/J2264,"")</f>
        <v>0.48728711034640365</v>
      </c>
      <c r="O2264" s="34">
        <f>SUBTOTAL(9,O2230:O2263)</f>
        <v>5904.27</v>
      </c>
      <c r="P2264" s="35">
        <f>SUBTOTAL(9,P2230:P2263)</f>
        <v>1991</v>
      </c>
      <c r="Q2264" s="36">
        <f>SUBTOTAL(9,Q2230:Q2263)</f>
        <v>3094.1699999999996</v>
      </c>
      <c r="R2264" s="36">
        <f>O2264-Q2264</f>
        <v>2810.1000000000008</v>
      </c>
      <c r="S2264" s="37">
        <f>IF(O2264&lt;&gt;0,R2264/O2264,"")</f>
        <v>0.47594368143733273</v>
      </c>
      <c r="U2264" s="34">
        <f>SUBTOTAL(9,U2230:U2263)</f>
        <v>0</v>
      </c>
      <c r="V2264" s="35">
        <f>SUBTOTAL(9,V2230:V2263)</f>
        <v>0</v>
      </c>
      <c r="W2264" s="36">
        <f>SUBTOTAL(9,W2230:W2263)</f>
        <v>0</v>
      </c>
      <c r="X2264" s="36">
        <f>U2264-W2264</f>
        <v>0</v>
      </c>
      <c r="Y2264" s="37" t="str">
        <f>IF(U2264&lt;&gt;0,X2264/U2264,"")</f>
        <v/>
      </c>
      <c r="Z2264" s="34">
        <f>SUBTOTAL(9,Z2230:Z2263)</f>
        <v>0</v>
      </c>
      <c r="AA2264" s="35">
        <f>SUBTOTAL(9,AA2230:AA2263)</f>
        <v>0</v>
      </c>
      <c r="AB2264" s="36">
        <f>SUBTOTAL(9,AB2230:AB2263)</f>
        <v>0</v>
      </c>
      <c r="AC2264" s="36">
        <f t="shared" ref="AC2264" si="640">Z2264-AB2264</f>
        <v>0</v>
      </c>
      <c r="AD2264" s="37" t="str">
        <f t="shared" ref="AD2264" si="641">IF(Z2264&lt;&gt;0,AC2264/Z2264,"")</f>
        <v/>
      </c>
    </row>
    <row r="2265" spans="1:31" x14ac:dyDescent="0.25">
      <c r="A2265" s="14" t="s">
        <v>109</v>
      </c>
      <c r="C2265" s="66"/>
      <c r="J2265" s="10"/>
      <c r="K2265" s="11"/>
      <c r="L2265" s="11"/>
      <c r="M2265" s="11"/>
      <c r="N2265" s="12"/>
      <c r="O2265" s="10"/>
      <c r="P2265" s="11"/>
      <c r="Q2265" s="11"/>
      <c r="R2265" s="11"/>
      <c r="S2265" s="12"/>
      <c r="U2265" s="10"/>
      <c r="V2265" s="11"/>
      <c r="W2265" s="11"/>
      <c r="X2265" s="11"/>
      <c r="Y2265" s="12"/>
      <c r="Z2265" s="10"/>
      <c r="AA2265" s="11"/>
      <c r="AB2265" s="11"/>
      <c r="AC2265" s="11"/>
      <c r="AD2265" s="12"/>
    </row>
    <row r="2266" spans="1:31" ht="15.75" x14ac:dyDescent="0.25">
      <c r="A2266" s="14" t="s">
        <v>109</v>
      </c>
      <c r="C2266" s="66" t="str">
        <f t="shared" ref="C2266" si="642">E2266</f>
        <v>C100122</v>
      </c>
      <c r="E2266" s="13" t="str">
        <f>"C100122"</f>
        <v>C100122</v>
      </c>
      <c r="F2266" s="13"/>
      <c r="G2266" s="13" t="str">
        <f>"Physicare Ltd."</f>
        <v>Physicare Ltd.</v>
      </c>
      <c r="H2266" s="13"/>
      <c r="I2266" s="13"/>
      <c r="J2266" s="10"/>
      <c r="K2266" s="11"/>
      <c r="L2266" s="11"/>
      <c r="M2266" s="11"/>
      <c r="N2266" s="12"/>
      <c r="O2266" s="10"/>
      <c r="P2266" s="11"/>
      <c r="Q2266" s="11"/>
      <c r="R2266" s="11"/>
      <c r="S2266" s="12"/>
      <c r="U2266" s="10"/>
      <c r="V2266" s="11"/>
      <c r="W2266" s="11"/>
      <c r="X2266" s="11"/>
      <c r="Y2266" s="12"/>
      <c r="Z2266" s="10"/>
      <c r="AA2266" s="11"/>
      <c r="AB2266" s="11"/>
      <c r="AC2266" s="11"/>
      <c r="AD2266" s="12"/>
    </row>
    <row r="2267" spans="1:31" ht="6.6" customHeight="1" x14ac:dyDescent="0.25">
      <c r="A2267" s="14" t="s">
        <v>109</v>
      </c>
      <c r="C2267" s="61" t="str">
        <f t="shared" ref="C2267:C2305" si="643">C2266</f>
        <v>C100122</v>
      </c>
      <c r="J2267" s="10"/>
      <c r="K2267" s="11"/>
      <c r="L2267" s="11"/>
      <c r="M2267" s="11"/>
      <c r="N2267" s="12"/>
      <c r="O2267" s="10"/>
      <c r="P2267" s="11"/>
      <c r="Q2267" s="11"/>
      <c r="R2267" s="11"/>
      <c r="S2267" s="12"/>
      <c r="U2267" s="10"/>
      <c r="V2267" s="11"/>
      <c r="W2267" s="11"/>
      <c r="X2267" s="11"/>
      <c r="Y2267" s="12"/>
      <c r="Z2267" s="10"/>
      <c r="AA2267" s="11"/>
      <c r="AB2267" s="11"/>
      <c r="AC2267" s="11"/>
      <c r="AD2267" s="12"/>
    </row>
    <row r="2268" spans="1:31" x14ac:dyDescent="0.25">
      <c r="A2268" s="14" t="s">
        <v>109</v>
      </c>
      <c r="C2268" s="61" t="str">
        <f t="shared" si="643"/>
        <v>C100122</v>
      </c>
      <c r="F2268" s="8" t="str">
        <f>"C100026"</f>
        <v>C100026</v>
      </c>
      <c r="G2268" s="9" t="str">
        <f>"Fleece Beanie"</f>
        <v>Fleece Beanie</v>
      </c>
      <c r="H2268" s="47"/>
      <c r="I2268" s="47"/>
      <c r="J2268" s="23">
        <v>0</v>
      </c>
      <c r="K2268" s="25">
        <v>0</v>
      </c>
      <c r="L2268" s="24">
        <v>0</v>
      </c>
      <c r="M2268" s="24">
        <f>J2268-L2268</f>
        <v>0</v>
      </c>
      <c r="N2268" s="53" t="str">
        <f>IF(J2268&lt;&gt;0,M2268/J2268,"")</f>
        <v/>
      </c>
      <c r="O2268" s="23">
        <v>143.74</v>
      </c>
      <c r="P2268" s="25">
        <v>48</v>
      </c>
      <c r="Q2268" s="24">
        <v>96</v>
      </c>
      <c r="R2268" s="24">
        <f>O2268-Q2268</f>
        <v>47.740000000000009</v>
      </c>
      <c r="S2268" s="53">
        <f>IF(O2268&lt;&gt;0,R2268/O2268,"")</f>
        <v>0.33212745234451096</v>
      </c>
      <c r="T2268" s="10"/>
      <c r="U2268" s="23">
        <v>0</v>
      </c>
      <c r="V2268" s="25">
        <v>0</v>
      </c>
      <c r="W2268" s="24">
        <v>0</v>
      </c>
      <c r="X2268" s="24">
        <f>U2268-W2268</f>
        <v>0</v>
      </c>
      <c r="Y2268" s="53" t="str">
        <f>IF(U2268&lt;&gt;0,X2268/U2268,"")</f>
        <v/>
      </c>
      <c r="Z2268" s="23">
        <v>0</v>
      </c>
      <c r="AA2268" s="25">
        <v>0</v>
      </c>
      <c r="AB2268" s="24">
        <v>0</v>
      </c>
      <c r="AC2268" s="24">
        <f t="shared" ref="AC2268" si="644">Z2268-AB2268</f>
        <v>0</v>
      </c>
      <c r="AD2268" s="53" t="str">
        <f t="shared" ref="AD2268" si="645">IF(Z2268&lt;&gt;0,AC2268/Z2268,"")</f>
        <v/>
      </c>
      <c r="AE2268" s="10"/>
    </row>
    <row r="2269" spans="1:31" x14ac:dyDescent="0.25">
      <c r="A2269" s="14" t="s">
        <v>109</v>
      </c>
      <c r="C2269" s="61" t="str">
        <f t="shared" ref="C2269:C2303" si="646">C2268</f>
        <v>C100122</v>
      </c>
      <c r="F2269" s="8" t="str">
        <f>"C100033"</f>
        <v>C100033</v>
      </c>
      <c r="G2269" s="9" t="str">
        <f>"Frames &amp; Clock"</f>
        <v>Frames &amp; Clock</v>
      </c>
      <c r="H2269" s="47"/>
      <c r="I2269" s="47"/>
      <c r="J2269" s="23">
        <v>0</v>
      </c>
      <c r="K2269" s="25">
        <v>0</v>
      </c>
      <c r="L2269" s="24">
        <v>0</v>
      </c>
      <c r="M2269" s="24">
        <f>J2269-L2269</f>
        <v>0</v>
      </c>
      <c r="N2269" s="53" t="str">
        <f>IF(J2269&lt;&gt;0,M2269/J2269,"")</f>
        <v/>
      </c>
      <c r="O2269" s="23">
        <v>669.09999999999991</v>
      </c>
      <c r="P2269" s="25">
        <v>144</v>
      </c>
      <c r="Q2269" s="24">
        <v>414.7</v>
      </c>
      <c r="R2269" s="24">
        <f>O2269-Q2269</f>
        <v>254.39999999999992</v>
      </c>
      <c r="S2269" s="53">
        <f>IF(O2269&lt;&gt;0,R2269/O2269,"")</f>
        <v>0.38021222537737254</v>
      </c>
      <c r="T2269" s="10"/>
      <c r="U2269" s="23">
        <v>0</v>
      </c>
      <c r="V2269" s="25">
        <v>0</v>
      </c>
      <c r="W2269" s="24">
        <v>0</v>
      </c>
      <c r="X2269" s="24">
        <f>U2269-W2269</f>
        <v>0</v>
      </c>
      <c r="Y2269" s="53" t="str">
        <f>IF(U2269&lt;&gt;0,X2269/U2269,"")</f>
        <v/>
      </c>
      <c r="Z2269" s="23">
        <v>0</v>
      </c>
      <c r="AA2269" s="25">
        <v>0</v>
      </c>
      <c r="AB2269" s="24">
        <v>0</v>
      </c>
      <c r="AC2269" s="24">
        <f t="shared" ref="AC2269:AC2303" si="647">Z2269-AB2269</f>
        <v>0</v>
      </c>
      <c r="AD2269" s="53" t="str">
        <f t="shared" ref="AD2269:AD2303" si="648">IF(Z2269&lt;&gt;0,AC2269/Z2269,"")</f>
        <v/>
      </c>
      <c r="AE2269" s="10"/>
    </row>
    <row r="2270" spans="1:31" x14ac:dyDescent="0.25">
      <c r="A2270" s="14" t="s">
        <v>109</v>
      </c>
      <c r="C2270" s="61" t="str">
        <f t="shared" si="646"/>
        <v>C100122</v>
      </c>
      <c r="F2270" s="8" t="str">
        <f>"C100056"</f>
        <v>C100056</v>
      </c>
      <c r="G2270" s="9" t="str">
        <f>"Contemporary Desk Calculator"</f>
        <v>Contemporary Desk Calculator</v>
      </c>
      <c r="H2270" s="47"/>
      <c r="I2270" s="47"/>
      <c r="J2270" s="23">
        <v>0</v>
      </c>
      <c r="K2270" s="25">
        <v>0</v>
      </c>
      <c r="L2270" s="24">
        <v>0</v>
      </c>
      <c r="M2270" s="24">
        <f>J2270-L2270</f>
        <v>0</v>
      </c>
      <c r="N2270" s="53" t="str">
        <f>IF(J2270&lt;&gt;0,M2270/J2270,"")</f>
        <v/>
      </c>
      <c r="O2270" s="23">
        <v>750.6</v>
      </c>
      <c r="P2270" s="25">
        <v>144</v>
      </c>
      <c r="Q2270" s="24">
        <v>383.08</v>
      </c>
      <c r="R2270" s="24">
        <f>O2270-Q2270</f>
        <v>367.52000000000004</v>
      </c>
      <c r="S2270" s="53">
        <f>IF(O2270&lt;&gt;0,R2270/O2270,"")</f>
        <v>0.48963495869970691</v>
      </c>
      <c r="T2270" s="10"/>
      <c r="U2270" s="23">
        <v>0</v>
      </c>
      <c r="V2270" s="25">
        <v>0</v>
      </c>
      <c r="W2270" s="24">
        <v>0</v>
      </c>
      <c r="X2270" s="24">
        <f>U2270-W2270</f>
        <v>0</v>
      </c>
      <c r="Y2270" s="53" t="str">
        <f>IF(U2270&lt;&gt;0,X2270/U2270,"")</f>
        <v/>
      </c>
      <c r="Z2270" s="23">
        <v>0</v>
      </c>
      <c r="AA2270" s="25">
        <v>0</v>
      </c>
      <c r="AB2270" s="24">
        <v>0</v>
      </c>
      <c r="AC2270" s="24">
        <f t="shared" si="647"/>
        <v>0</v>
      </c>
      <c r="AD2270" s="53" t="str">
        <f t="shared" si="648"/>
        <v/>
      </c>
      <c r="AE2270" s="10"/>
    </row>
    <row r="2271" spans="1:31" x14ac:dyDescent="0.25">
      <c r="A2271" s="14" t="s">
        <v>109</v>
      </c>
      <c r="C2271" s="61" t="str">
        <f t="shared" si="646"/>
        <v>C100122</v>
      </c>
      <c r="F2271" s="8" t="str">
        <f>"C100061"</f>
        <v>C100061</v>
      </c>
      <c r="G2271" s="9" t="str">
        <f>"Bistro Mug"</f>
        <v>Bistro Mug</v>
      </c>
      <c r="H2271" s="47"/>
      <c r="I2271" s="47"/>
      <c r="J2271" s="23">
        <v>0</v>
      </c>
      <c r="K2271" s="25">
        <v>0</v>
      </c>
      <c r="L2271" s="24">
        <v>0</v>
      </c>
      <c r="M2271" s="24">
        <f>J2271-L2271</f>
        <v>0</v>
      </c>
      <c r="N2271" s="53" t="str">
        <f>IF(J2271&lt;&gt;0,M2271/J2271,"")</f>
        <v/>
      </c>
      <c r="O2271" s="23">
        <v>182.51</v>
      </c>
      <c r="P2271" s="25">
        <v>144</v>
      </c>
      <c r="Q2271" s="24">
        <v>99.27</v>
      </c>
      <c r="R2271" s="24">
        <f>O2271-Q2271</f>
        <v>83.24</v>
      </c>
      <c r="S2271" s="53">
        <f>IF(O2271&lt;&gt;0,R2271/O2271,"")</f>
        <v>0.45608459810421348</v>
      </c>
      <c r="T2271" s="10"/>
      <c r="U2271" s="23">
        <v>0</v>
      </c>
      <c r="V2271" s="25">
        <v>0</v>
      </c>
      <c r="W2271" s="24">
        <v>0</v>
      </c>
      <c r="X2271" s="24">
        <f>U2271-W2271</f>
        <v>0</v>
      </c>
      <c r="Y2271" s="53" t="str">
        <f>IF(U2271&lt;&gt;0,X2271/U2271,"")</f>
        <v/>
      </c>
      <c r="Z2271" s="23">
        <v>0</v>
      </c>
      <c r="AA2271" s="25">
        <v>0</v>
      </c>
      <c r="AB2271" s="24">
        <v>0</v>
      </c>
      <c r="AC2271" s="24">
        <f t="shared" si="647"/>
        <v>0</v>
      </c>
      <c r="AD2271" s="53" t="str">
        <f t="shared" si="648"/>
        <v/>
      </c>
      <c r="AE2271" s="10"/>
    </row>
    <row r="2272" spans="1:31" x14ac:dyDescent="0.25">
      <c r="A2272" s="14" t="s">
        <v>109</v>
      </c>
      <c r="C2272" s="61" t="str">
        <f t="shared" si="646"/>
        <v>C100122</v>
      </c>
      <c r="F2272" s="8" t="str">
        <f>"C100062"</f>
        <v>C100062</v>
      </c>
      <c r="G2272" s="9" t="str">
        <f>"Tall Matte Finish Mug"</f>
        <v>Tall Matte Finish Mug</v>
      </c>
      <c r="H2272" s="47"/>
      <c r="I2272" s="47"/>
      <c r="J2272" s="23">
        <v>0</v>
      </c>
      <c r="K2272" s="25">
        <v>0</v>
      </c>
      <c r="L2272" s="24">
        <v>0</v>
      </c>
      <c r="M2272" s="24">
        <f>J2272-L2272</f>
        <v>0</v>
      </c>
      <c r="N2272" s="53" t="str">
        <f>IF(J2272&lt;&gt;0,M2272/J2272,"")</f>
        <v/>
      </c>
      <c r="O2272" s="23">
        <v>173.53</v>
      </c>
      <c r="P2272" s="25">
        <v>144</v>
      </c>
      <c r="Q2272" s="24">
        <v>97.929999999999993</v>
      </c>
      <c r="R2272" s="24">
        <f>O2272-Q2272</f>
        <v>75.600000000000009</v>
      </c>
      <c r="S2272" s="53">
        <f>IF(O2272&lt;&gt;0,R2272/O2272,"")</f>
        <v>0.43565954013715213</v>
      </c>
      <c r="T2272" s="10"/>
      <c r="U2272" s="23">
        <v>0</v>
      </c>
      <c r="V2272" s="25">
        <v>0</v>
      </c>
      <c r="W2272" s="24">
        <v>0</v>
      </c>
      <c r="X2272" s="24">
        <f>U2272-W2272</f>
        <v>0</v>
      </c>
      <c r="Y2272" s="53" t="str">
        <f>IF(U2272&lt;&gt;0,X2272/U2272,"")</f>
        <v/>
      </c>
      <c r="Z2272" s="23">
        <v>0</v>
      </c>
      <c r="AA2272" s="25">
        <v>0</v>
      </c>
      <c r="AB2272" s="24">
        <v>0</v>
      </c>
      <c r="AC2272" s="24">
        <f t="shared" si="647"/>
        <v>0</v>
      </c>
      <c r="AD2272" s="53" t="str">
        <f t="shared" si="648"/>
        <v/>
      </c>
      <c r="AE2272" s="10"/>
    </row>
    <row r="2273" spans="1:31" x14ac:dyDescent="0.25">
      <c r="A2273" s="14" t="s">
        <v>109</v>
      </c>
      <c r="C2273" s="61" t="str">
        <f t="shared" si="646"/>
        <v>C100122</v>
      </c>
      <c r="F2273" s="8" t="str">
        <f>"C100066"</f>
        <v>C100066</v>
      </c>
      <c r="G2273" s="9" t="str">
        <f>"Fashion Travel Mug"</f>
        <v>Fashion Travel Mug</v>
      </c>
      <c r="H2273" s="47"/>
      <c r="I2273" s="47"/>
      <c r="J2273" s="23">
        <v>0</v>
      </c>
      <c r="K2273" s="25">
        <v>0</v>
      </c>
      <c r="L2273" s="24">
        <v>0</v>
      </c>
      <c r="M2273" s="24">
        <f>J2273-L2273</f>
        <v>0</v>
      </c>
      <c r="N2273" s="53" t="str">
        <f>IF(J2273&lt;&gt;0,M2273/J2273,"")</f>
        <v/>
      </c>
      <c r="O2273" s="23">
        <v>508.01</v>
      </c>
      <c r="P2273" s="25">
        <v>144</v>
      </c>
      <c r="Q2273" s="24">
        <v>237.63000000000002</v>
      </c>
      <c r="R2273" s="24">
        <f>O2273-Q2273</f>
        <v>270.38</v>
      </c>
      <c r="S2273" s="53">
        <f>IF(O2273&lt;&gt;0,R2273/O2273,"")</f>
        <v>0.53223361744847542</v>
      </c>
      <c r="T2273" s="10"/>
      <c r="U2273" s="23">
        <v>0</v>
      </c>
      <c r="V2273" s="25">
        <v>0</v>
      </c>
      <c r="W2273" s="24">
        <v>0</v>
      </c>
      <c r="X2273" s="24">
        <f>U2273-W2273</f>
        <v>0</v>
      </c>
      <c r="Y2273" s="53" t="str">
        <f>IF(U2273&lt;&gt;0,X2273/U2273,"")</f>
        <v/>
      </c>
      <c r="Z2273" s="23">
        <v>0</v>
      </c>
      <c r="AA2273" s="25">
        <v>0</v>
      </c>
      <c r="AB2273" s="24">
        <v>0</v>
      </c>
      <c r="AC2273" s="24">
        <f t="shared" si="647"/>
        <v>0</v>
      </c>
      <c r="AD2273" s="53" t="str">
        <f t="shared" si="648"/>
        <v/>
      </c>
      <c r="AE2273" s="10"/>
    </row>
    <row r="2274" spans="1:31" x14ac:dyDescent="0.25">
      <c r="A2274" s="14" t="s">
        <v>109</v>
      </c>
      <c r="C2274" s="61" t="str">
        <f t="shared" si="646"/>
        <v>C100122</v>
      </c>
      <c r="F2274" s="8" t="str">
        <f>"C100067"</f>
        <v>C100067</v>
      </c>
      <c r="G2274" s="9" t="str">
        <f>"Stainless Thermos"</f>
        <v>Stainless Thermos</v>
      </c>
      <c r="H2274" s="47"/>
      <c r="I2274" s="47"/>
      <c r="J2274" s="23">
        <v>0</v>
      </c>
      <c r="K2274" s="25">
        <v>0</v>
      </c>
      <c r="L2274" s="24">
        <v>0</v>
      </c>
      <c r="M2274" s="24">
        <f>J2274-L2274</f>
        <v>0</v>
      </c>
      <c r="N2274" s="53" t="str">
        <f>IF(J2274&lt;&gt;0,M2274/J2274,"")</f>
        <v/>
      </c>
      <c r="O2274" s="23">
        <v>651.08000000000004</v>
      </c>
      <c r="P2274" s="25">
        <v>144</v>
      </c>
      <c r="Q2274" s="24">
        <v>368.71</v>
      </c>
      <c r="R2274" s="24">
        <f>O2274-Q2274</f>
        <v>282.37000000000006</v>
      </c>
      <c r="S2274" s="53">
        <f>IF(O2274&lt;&gt;0,R2274/O2274,"")</f>
        <v>0.43369478405111511</v>
      </c>
      <c r="T2274" s="10"/>
      <c r="U2274" s="23">
        <v>0</v>
      </c>
      <c r="V2274" s="25">
        <v>0</v>
      </c>
      <c r="W2274" s="24">
        <v>0</v>
      </c>
      <c r="X2274" s="24">
        <f>U2274-W2274</f>
        <v>0</v>
      </c>
      <c r="Y2274" s="53" t="str">
        <f>IF(U2274&lt;&gt;0,X2274/U2274,"")</f>
        <v/>
      </c>
      <c r="Z2274" s="23">
        <v>0</v>
      </c>
      <c r="AA2274" s="25">
        <v>0</v>
      </c>
      <c r="AB2274" s="24">
        <v>0</v>
      </c>
      <c r="AC2274" s="24">
        <f t="shared" si="647"/>
        <v>0</v>
      </c>
      <c r="AD2274" s="53" t="str">
        <f t="shared" si="648"/>
        <v/>
      </c>
      <c r="AE2274" s="10"/>
    </row>
    <row r="2275" spans="1:31" x14ac:dyDescent="0.25">
      <c r="A2275" s="14" t="s">
        <v>109</v>
      </c>
      <c r="C2275" s="61" t="str">
        <f t="shared" si="646"/>
        <v>C100122</v>
      </c>
      <c r="F2275" s="8" t="str">
        <f>"E100001"</f>
        <v>E100001</v>
      </c>
      <c r="G2275" s="9" t="str">
        <f>"Sport Bag"</f>
        <v>Sport Bag</v>
      </c>
      <c r="H2275" s="47"/>
      <c r="I2275" s="47"/>
      <c r="J2275" s="23">
        <v>0</v>
      </c>
      <c r="K2275" s="25">
        <v>0</v>
      </c>
      <c r="L2275" s="24">
        <v>0</v>
      </c>
      <c r="M2275" s="24">
        <f>J2275-L2275</f>
        <v>0</v>
      </c>
      <c r="N2275" s="53" t="str">
        <f>IF(J2275&lt;&gt;0,M2275/J2275,"")</f>
        <v/>
      </c>
      <c r="O2275" s="23">
        <v>20.86</v>
      </c>
      <c r="P2275" s="25">
        <v>12</v>
      </c>
      <c r="Q2275" s="24">
        <v>10.44</v>
      </c>
      <c r="R2275" s="24">
        <f>O2275-Q2275</f>
        <v>10.42</v>
      </c>
      <c r="S2275" s="53">
        <f>IF(O2275&lt;&gt;0,R2275/O2275,"")</f>
        <v>0.49952061361457334</v>
      </c>
      <c r="T2275" s="10"/>
      <c r="U2275" s="23">
        <v>0</v>
      </c>
      <c r="V2275" s="25">
        <v>0</v>
      </c>
      <c r="W2275" s="24">
        <v>0</v>
      </c>
      <c r="X2275" s="24">
        <f>U2275-W2275</f>
        <v>0</v>
      </c>
      <c r="Y2275" s="53" t="str">
        <f>IF(U2275&lt;&gt;0,X2275/U2275,"")</f>
        <v/>
      </c>
      <c r="Z2275" s="23">
        <v>0</v>
      </c>
      <c r="AA2275" s="25">
        <v>0</v>
      </c>
      <c r="AB2275" s="24">
        <v>0</v>
      </c>
      <c r="AC2275" s="24">
        <f t="shared" si="647"/>
        <v>0</v>
      </c>
      <c r="AD2275" s="53" t="str">
        <f t="shared" si="648"/>
        <v/>
      </c>
      <c r="AE2275" s="10"/>
    </row>
    <row r="2276" spans="1:31" x14ac:dyDescent="0.25">
      <c r="A2276" s="14" t="s">
        <v>109</v>
      </c>
      <c r="C2276" s="61" t="str">
        <f t="shared" si="646"/>
        <v>C100122</v>
      </c>
      <c r="F2276" s="8" t="str">
        <f>"E100002"</f>
        <v>E100002</v>
      </c>
      <c r="G2276" s="9" t="str">
        <f>"Cotton Classic Tote"</f>
        <v>Cotton Classic Tote</v>
      </c>
      <c r="H2276" s="47"/>
      <c r="I2276" s="47"/>
      <c r="J2276" s="23">
        <v>0</v>
      </c>
      <c r="K2276" s="25">
        <v>0</v>
      </c>
      <c r="L2276" s="24">
        <v>0</v>
      </c>
      <c r="M2276" s="24">
        <f>J2276-L2276</f>
        <v>0</v>
      </c>
      <c r="N2276" s="53" t="str">
        <f>IF(J2276&lt;&gt;0,M2276/J2276,"")</f>
        <v/>
      </c>
      <c r="O2276" s="23">
        <v>1.23</v>
      </c>
      <c r="P2276" s="25">
        <v>1</v>
      </c>
      <c r="Q2276" s="24">
        <v>0.64</v>
      </c>
      <c r="R2276" s="24">
        <f>O2276-Q2276</f>
        <v>0.59</v>
      </c>
      <c r="S2276" s="53">
        <f>IF(O2276&lt;&gt;0,R2276/O2276,"")</f>
        <v>0.47967479674796748</v>
      </c>
      <c r="T2276" s="10"/>
      <c r="U2276" s="23">
        <v>0</v>
      </c>
      <c r="V2276" s="25">
        <v>0</v>
      </c>
      <c r="W2276" s="24">
        <v>0</v>
      </c>
      <c r="X2276" s="24">
        <f>U2276-W2276</f>
        <v>0</v>
      </c>
      <c r="Y2276" s="53" t="str">
        <f>IF(U2276&lt;&gt;0,X2276/U2276,"")</f>
        <v/>
      </c>
      <c r="Z2276" s="23">
        <v>0</v>
      </c>
      <c r="AA2276" s="25">
        <v>0</v>
      </c>
      <c r="AB2276" s="24">
        <v>0</v>
      </c>
      <c r="AC2276" s="24">
        <f t="shared" si="647"/>
        <v>0</v>
      </c>
      <c r="AD2276" s="53" t="str">
        <f t="shared" si="648"/>
        <v/>
      </c>
      <c r="AE2276" s="10"/>
    </row>
    <row r="2277" spans="1:31" x14ac:dyDescent="0.25">
      <c r="A2277" s="14" t="s">
        <v>109</v>
      </c>
      <c r="C2277" s="61" t="str">
        <f t="shared" si="646"/>
        <v>C100122</v>
      </c>
      <c r="F2277" s="8" t="str">
        <f>"E100003"</f>
        <v>E100003</v>
      </c>
      <c r="G2277" s="9" t="str">
        <f>"Recycled Tote"</f>
        <v>Recycled Tote</v>
      </c>
      <c r="H2277" s="47"/>
      <c r="I2277" s="47"/>
      <c r="J2277" s="23">
        <v>0</v>
      </c>
      <c r="K2277" s="25">
        <v>0</v>
      </c>
      <c r="L2277" s="24">
        <v>0</v>
      </c>
      <c r="M2277" s="24">
        <f>J2277-L2277</f>
        <v>0</v>
      </c>
      <c r="N2277" s="53" t="str">
        <f>IF(J2277&lt;&gt;0,M2277/J2277,"")</f>
        <v/>
      </c>
      <c r="O2277" s="23">
        <v>2.97</v>
      </c>
      <c r="P2277" s="25">
        <v>1</v>
      </c>
      <c r="Q2277" s="24">
        <v>1.7</v>
      </c>
      <c r="R2277" s="24">
        <f>O2277-Q2277</f>
        <v>1.2700000000000002</v>
      </c>
      <c r="S2277" s="53">
        <f>IF(O2277&lt;&gt;0,R2277/O2277,"")</f>
        <v>0.42760942760942766</v>
      </c>
      <c r="T2277" s="10"/>
      <c r="U2277" s="23">
        <v>0</v>
      </c>
      <c r="V2277" s="25">
        <v>0</v>
      </c>
      <c r="W2277" s="24">
        <v>0</v>
      </c>
      <c r="X2277" s="24">
        <f>U2277-W2277</f>
        <v>0</v>
      </c>
      <c r="Y2277" s="53" t="str">
        <f>IF(U2277&lt;&gt;0,X2277/U2277,"")</f>
        <v/>
      </c>
      <c r="Z2277" s="23">
        <v>0</v>
      </c>
      <c r="AA2277" s="25">
        <v>0</v>
      </c>
      <c r="AB2277" s="24">
        <v>0</v>
      </c>
      <c r="AC2277" s="24">
        <f t="shared" si="647"/>
        <v>0</v>
      </c>
      <c r="AD2277" s="53" t="str">
        <f t="shared" si="648"/>
        <v/>
      </c>
      <c r="AE2277" s="10"/>
    </row>
    <row r="2278" spans="1:31" x14ac:dyDescent="0.25">
      <c r="A2278" s="14" t="s">
        <v>109</v>
      </c>
      <c r="C2278" s="61" t="str">
        <f t="shared" si="646"/>
        <v>C100122</v>
      </c>
      <c r="F2278" s="8" t="str">
        <f>"E100004"</f>
        <v>E100004</v>
      </c>
      <c r="G2278" s="9" t="str">
        <f>"Laminated Tote"</f>
        <v>Laminated Tote</v>
      </c>
      <c r="H2278" s="47"/>
      <c r="I2278" s="47"/>
      <c r="J2278" s="23">
        <v>0</v>
      </c>
      <c r="K2278" s="25">
        <v>0</v>
      </c>
      <c r="L2278" s="24">
        <v>0</v>
      </c>
      <c r="M2278" s="24">
        <f>J2278-L2278</f>
        <v>0</v>
      </c>
      <c r="N2278" s="53" t="str">
        <f>IF(J2278&lt;&gt;0,M2278/J2278,"")</f>
        <v/>
      </c>
      <c r="O2278" s="23">
        <v>265.37</v>
      </c>
      <c r="P2278" s="25">
        <v>144</v>
      </c>
      <c r="Q2278" s="24">
        <v>172.8</v>
      </c>
      <c r="R2278" s="24">
        <f>O2278-Q2278</f>
        <v>92.57</v>
      </c>
      <c r="S2278" s="53">
        <f>IF(O2278&lt;&gt;0,R2278/O2278,"")</f>
        <v>0.34883370388514146</v>
      </c>
      <c r="T2278" s="10"/>
      <c r="U2278" s="23">
        <v>0</v>
      </c>
      <c r="V2278" s="25">
        <v>0</v>
      </c>
      <c r="W2278" s="24">
        <v>0</v>
      </c>
      <c r="X2278" s="24">
        <f>U2278-W2278</f>
        <v>0</v>
      </c>
      <c r="Y2278" s="53" t="str">
        <f>IF(U2278&lt;&gt;0,X2278/U2278,"")</f>
        <v/>
      </c>
      <c r="Z2278" s="23">
        <v>0</v>
      </c>
      <c r="AA2278" s="25">
        <v>0</v>
      </c>
      <c r="AB2278" s="24">
        <v>0</v>
      </c>
      <c r="AC2278" s="24">
        <f t="shared" si="647"/>
        <v>0</v>
      </c>
      <c r="AD2278" s="53" t="str">
        <f t="shared" si="648"/>
        <v/>
      </c>
      <c r="AE2278" s="10"/>
    </row>
    <row r="2279" spans="1:31" x14ac:dyDescent="0.25">
      <c r="A2279" s="14" t="s">
        <v>109</v>
      </c>
      <c r="C2279" s="61" t="str">
        <f t="shared" si="646"/>
        <v>C100122</v>
      </c>
      <c r="F2279" s="8" t="str">
        <f>"E100005"</f>
        <v>E100005</v>
      </c>
      <c r="G2279" s="9" t="str">
        <f>"All Purpose Tote"</f>
        <v>All Purpose Tote</v>
      </c>
      <c r="H2279" s="47"/>
      <c r="I2279" s="47"/>
      <c r="J2279" s="23">
        <v>0</v>
      </c>
      <c r="K2279" s="25">
        <v>0</v>
      </c>
      <c r="L2279" s="24">
        <v>0</v>
      </c>
      <c r="M2279" s="24">
        <f>J2279-L2279</f>
        <v>0</v>
      </c>
      <c r="N2279" s="53" t="str">
        <f>IF(J2279&lt;&gt;0,M2279/J2279,"")</f>
        <v/>
      </c>
      <c r="O2279" s="23">
        <v>356.72</v>
      </c>
      <c r="P2279" s="25">
        <v>144</v>
      </c>
      <c r="Q2279" s="24">
        <v>178.56</v>
      </c>
      <c r="R2279" s="24">
        <f>O2279-Q2279</f>
        <v>178.16000000000003</v>
      </c>
      <c r="S2279" s="53">
        <f>IF(O2279&lt;&gt;0,R2279/O2279,"")</f>
        <v>0.49943933617403008</v>
      </c>
      <c r="T2279" s="10"/>
      <c r="U2279" s="23">
        <v>0</v>
      </c>
      <c r="V2279" s="25">
        <v>0</v>
      </c>
      <c r="W2279" s="24">
        <v>0</v>
      </c>
      <c r="X2279" s="24">
        <f>U2279-W2279</f>
        <v>0</v>
      </c>
      <c r="Y2279" s="53" t="str">
        <f>IF(U2279&lt;&gt;0,X2279/U2279,"")</f>
        <v/>
      </c>
      <c r="Z2279" s="23">
        <v>0</v>
      </c>
      <c r="AA2279" s="25">
        <v>0</v>
      </c>
      <c r="AB2279" s="24">
        <v>0</v>
      </c>
      <c r="AC2279" s="24">
        <f t="shared" si="647"/>
        <v>0</v>
      </c>
      <c r="AD2279" s="53" t="str">
        <f t="shared" si="648"/>
        <v/>
      </c>
      <c r="AE2279" s="10"/>
    </row>
    <row r="2280" spans="1:31" x14ac:dyDescent="0.25">
      <c r="A2280" s="14" t="s">
        <v>109</v>
      </c>
      <c r="C2280" s="61" t="str">
        <f t="shared" si="646"/>
        <v>C100122</v>
      </c>
      <c r="F2280" s="8" t="str">
        <f>"E100006"</f>
        <v>E100006</v>
      </c>
      <c r="G2280" s="9" t="str">
        <f>"Budget Tote Bag"</f>
        <v>Budget Tote Bag</v>
      </c>
      <c r="H2280" s="47"/>
      <c r="I2280" s="47"/>
      <c r="J2280" s="23">
        <v>0</v>
      </c>
      <c r="K2280" s="25">
        <v>0</v>
      </c>
      <c r="L2280" s="24">
        <v>0</v>
      </c>
      <c r="M2280" s="24">
        <f>J2280-L2280</f>
        <v>0</v>
      </c>
      <c r="N2280" s="53" t="str">
        <f>IF(J2280&lt;&gt;0,M2280/J2280,"")</f>
        <v/>
      </c>
      <c r="O2280" s="23">
        <v>0.18</v>
      </c>
      <c r="P2280" s="25">
        <v>2</v>
      </c>
      <c r="Q2280" s="24">
        <v>0.08</v>
      </c>
      <c r="R2280" s="24">
        <f>O2280-Q2280</f>
        <v>9.9999999999999992E-2</v>
      </c>
      <c r="S2280" s="53">
        <f>IF(O2280&lt;&gt;0,R2280/O2280,"")</f>
        <v>0.55555555555555558</v>
      </c>
      <c r="T2280" s="10"/>
      <c r="U2280" s="23">
        <v>0</v>
      </c>
      <c r="V2280" s="25">
        <v>0</v>
      </c>
      <c r="W2280" s="24">
        <v>0</v>
      </c>
      <c r="X2280" s="24">
        <f>U2280-W2280</f>
        <v>0</v>
      </c>
      <c r="Y2280" s="53" t="str">
        <f>IF(U2280&lt;&gt;0,X2280/U2280,"")</f>
        <v/>
      </c>
      <c r="Z2280" s="23">
        <v>0</v>
      </c>
      <c r="AA2280" s="25">
        <v>0</v>
      </c>
      <c r="AB2280" s="24">
        <v>0</v>
      </c>
      <c r="AC2280" s="24">
        <f t="shared" si="647"/>
        <v>0</v>
      </c>
      <c r="AD2280" s="53" t="str">
        <f t="shared" si="648"/>
        <v/>
      </c>
      <c r="AE2280" s="10"/>
    </row>
    <row r="2281" spans="1:31" x14ac:dyDescent="0.25">
      <c r="A2281" s="14" t="s">
        <v>109</v>
      </c>
      <c r="C2281" s="61" t="str">
        <f t="shared" si="646"/>
        <v>C100122</v>
      </c>
      <c r="F2281" s="8" t="str">
        <f>"E100007"</f>
        <v>E100007</v>
      </c>
      <c r="G2281" s="9" t="str">
        <f>"Plastic Handle Bag"</f>
        <v>Plastic Handle Bag</v>
      </c>
      <c r="H2281" s="47"/>
      <c r="I2281" s="47"/>
      <c r="J2281" s="23">
        <v>0</v>
      </c>
      <c r="K2281" s="25">
        <v>0</v>
      </c>
      <c r="L2281" s="24">
        <v>0</v>
      </c>
      <c r="M2281" s="24">
        <f>J2281-L2281</f>
        <v>0</v>
      </c>
      <c r="N2281" s="53" t="str">
        <f>IF(J2281&lt;&gt;0,M2281/J2281,"")</f>
        <v/>
      </c>
      <c r="O2281" s="23">
        <v>46.58</v>
      </c>
      <c r="P2281" s="25">
        <v>144</v>
      </c>
      <c r="Q2281" s="24">
        <v>25.92</v>
      </c>
      <c r="R2281" s="24">
        <f>O2281-Q2281</f>
        <v>20.659999999999997</v>
      </c>
      <c r="S2281" s="53">
        <f>IF(O2281&lt;&gt;0,R2281/O2281,"")</f>
        <v>0.4435379991412623</v>
      </c>
      <c r="T2281" s="10"/>
      <c r="U2281" s="23">
        <v>0</v>
      </c>
      <c r="V2281" s="25">
        <v>0</v>
      </c>
      <c r="W2281" s="24">
        <v>0</v>
      </c>
      <c r="X2281" s="24">
        <f>U2281-W2281</f>
        <v>0</v>
      </c>
      <c r="Y2281" s="53" t="str">
        <f>IF(U2281&lt;&gt;0,X2281/U2281,"")</f>
        <v/>
      </c>
      <c r="Z2281" s="23">
        <v>0</v>
      </c>
      <c r="AA2281" s="25">
        <v>0</v>
      </c>
      <c r="AB2281" s="24">
        <v>0</v>
      </c>
      <c r="AC2281" s="24">
        <f t="shared" si="647"/>
        <v>0</v>
      </c>
      <c r="AD2281" s="53" t="str">
        <f t="shared" si="648"/>
        <v/>
      </c>
      <c r="AE2281" s="10"/>
    </row>
    <row r="2282" spans="1:31" x14ac:dyDescent="0.25">
      <c r="A2282" s="14" t="s">
        <v>109</v>
      </c>
      <c r="C2282" s="61" t="str">
        <f t="shared" si="646"/>
        <v>C100122</v>
      </c>
      <c r="F2282" s="8" t="str">
        <f>"E100008"</f>
        <v>E100008</v>
      </c>
      <c r="G2282" s="9" t="str">
        <f>"Super Shopper"</f>
        <v>Super Shopper</v>
      </c>
      <c r="H2282" s="47"/>
      <c r="I2282" s="47"/>
      <c r="J2282" s="23">
        <v>0</v>
      </c>
      <c r="K2282" s="25">
        <v>0</v>
      </c>
      <c r="L2282" s="24">
        <v>0</v>
      </c>
      <c r="M2282" s="24">
        <f>J2282-L2282</f>
        <v>0</v>
      </c>
      <c r="N2282" s="53" t="str">
        <f>IF(J2282&lt;&gt;0,M2282/J2282,"")</f>
        <v/>
      </c>
      <c r="O2282" s="23">
        <v>0.22</v>
      </c>
      <c r="P2282" s="25">
        <v>1</v>
      </c>
      <c r="Q2282" s="24">
        <v>0.12</v>
      </c>
      <c r="R2282" s="24">
        <f>O2282-Q2282</f>
        <v>0.1</v>
      </c>
      <c r="S2282" s="53">
        <f>IF(O2282&lt;&gt;0,R2282/O2282,"")</f>
        <v>0.45454545454545459</v>
      </c>
      <c r="T2282" s="10"/>
      <c r="U2282" s="23">
        <v>0</v>
      </c>
      <c r="V2282" s="25">
        <v>0</v>
      </c>
      <c r="W2282" s="24">
        <v>0</v>
      </c>
      <c r="X2282" s="24">
        <f>U2282-W2282</f>
        <v>0</v>
      </c>
      <c r="Y2282" s="53" t="str">
        <f>IF(U2282&lt;&gt;0,X2282/U2282,"")</f>
        <v/>
      </c>
      <c r="Z2282" s="23">
        <v>0</v>
      </c>
      <c r="AA2282" s="25">
        <v>0</v>
      </c>
      <c r="AB2282" s="24">
        <v>0</v>
      </c>
      <c r="AC2282" s="24">
        <f t="shared" si="647"/>
        <v>0</v>
      </c>
      <c r="AD2282" s="53" t="str">
        <f t="shared" si="648"/>
        <v/>
      </c>
      <c r="AE2282" s="10"/>
    </row>
    <row r="2283" spans="1:31" x14ac:dyDescent="0.25">
      <c r="A2283" s="14" t="s">
        <v>109</v>
      </c>
      <c r="C2283" s="61" t="str">
        <f t="shared" si="646"/>
        <v>C100122</v>
      </c>
      <c r="F2283" s="8" t="str">
        <f>"E100009"</f>
        <v>E100009</v>
      </c>
      <c r="G2283" s="9" t="str">
        <f>"Die-Cut Tote"</f>
        <v>Die-Cut Tote</v>
      </c>
      <c r="H2283" s="47"/>
      <c r="I2283" s="47"/>
      <c r="J2283" s="23">
        <v>0</v>
      </c>
      <c r="K2283" s="25">
        <v>0</v>
      </c>
      <c r="L2283" s="24">
        <v>0</v>
      </c>
      <c r="M2283" s="24">
        <f>J2283-L2283</f>
        <v>0</v>
      </c>
      <c r="N2283" s="53" t="str">
        <f>IF(J2283&lt;&gt;0,M2283/J2283,"")</f>
        <v/>
      </c>
      <c r="O2283" s="23">
        <v>0.23</v>
      </c>
      <c r="P2283" s="25">
        <v>1</v>
      </c>
      <c r="Q2283" s="24">
        <v>0.11</v>
      </c>
      <c r="R2283" s="24">
        <f>O2283-Q2283</f>
        <v>0.12000000000000001</v>
      </c>
      <c r="S2283" s="53">
        <f>IF(O2283&lt;&gt;0,R2283/O2283,"")</f>
        <v>0.52173913043478259</v>
      </c>
      <c r="T2283" s="10"/>
      <c r="U2283" s="23">
        <v>0</v>
      </c>
      <c r="V2283" s="25">
        <v>0</v>
      </c>
      <c r="W2283" s="24">
        <v>0</v>
      </c>
      <c r="X2283" s="24">
        <f>U2283-W2283</f>
        <v>0</v>
      </c>
      <c r="Y2283" s="53" t="str">
        <f>IF(U2283&lt;&gt;0,X2283/U2283,"")</f>
        <v/>
      </c>
      <c r="Z2283" s="23">
        <v>0</v>
      </c>
      <c r="AA2283" s="25">
        <v>0</v>
      </c>
      <c r="AB2283" s="24">
        <v>0</v>
      </c>
      <c r="AC2283" s="24">
        <f t="shared" si="647"/>
        <v>0</v>
      </c>
      <c r="AD2283" s="53" t="str">
        <f t="shared" si="648"/>
        <v/>
      </c>
      <c r="AE2283" s="10"/>
    </row>
    <row r="2284" spans="1:31" x14ac:dyDescent="0.25">
      <c r="A2284" s="14" t="s">
        <v>109</v>
      </c>
      <c r="C2284" s="61" t="str">
        <f t="shared" si="646"/>
        <v>C100122</v>
      </c>
      <c r="F2284" s="8" t="str">
        <f>"E100011"</f>
        <v>E100011</v>
      </c>
      <c r="G2284" s="9" t="str">
        <f>"Plastic Sun Visor"</f>
        <v>Plastic Sun Visor</v>
      </c>
      <c r="H2284" s="47"/>
      <c r="I2284" s="47"/>
      <c r="J2284" s="23">
        <v>0</v>
      </c>
      <c r="K2284" s="25">
        <v>0</v>
      </c>
      <c r="L2284" s="24">
        <v>0</v>
      </c>
      <c r="M2284" s="24">
        <f>J2284-L2284</f>
        <v>0</v>
      </c>
      <c r="N2284" s="53" t="str">
        <f>IF(J2284&lt;&gt;0,M2284/J2284,"")</f>
        <v/>
      </c>
      <c r="O2284" s="23">
        <v>0.79</v>
      </c>
      <c r="P2284" s="25">
        <v>1</v>
      </c>
      <c r="Q2284" s="24">
        <v>0.42</v>
      </c>
      <c r="R2284" s="24">
        <f>O2284-Q2284</f>
        <v>0.37000000000000005</v>
      </c>
      <c r="S2284" s="53">
        <f>IF(O2284&lt;&gt;0,R2284/O2284,"")</f>
        <v>0.46835443037974689</v>
      </c>
      <c r="T2284" s="10"/>
      <c r="U2284" s="23">
        <v>0</v>
      </c>
      <c r="V2284" s="25">
        <v>0</v>
      </c>
      <c r="W2284" s="24">
        <v>0</v>
      </c>
      <c r="X2284" s="24">
        <f>U2284-W2284</f>
        <v>0</v>
      </c>
      <c r="Y2284" s="53" t="str">
        <f>IF(U2284&lt;&gt;0,X2284/U2284,"")</f>
        <v/>
      </c>
      <c r="Z2284" s="23">
        <v>0</v>
      </c>
      <c r="AA2284" s="25">
        <v>0</v>
      </c>
      <c r="AB2284" s="24">
        <v>0</v>
      </c>
      <c r="AC2284" s="24">
        <f t="shared" si="647"/>
        <v>0</v>
      </c>
      <c r="AD2284" s="53" t="str">
        <f t="shared" si="648"/>
        <v/>
      </c>
      <c r="AE2284" s="10"/>
    </row>
    <row r="2285" spans="1:31" x14ac:dyDescent="0.25">
      <c r="A2285" s="14" t="s">
        <v>109</v>
      </c>
      <c r="C2285" s="61" t="str">
        <f t="shared" si="646"/>
        <v>C100122</v>
      </c>
      <c r="F2285" s="8" t="str">
        <f>"E100015"</f>
        <v>E100015</v>
      </c>
      <c r="G2285" s="9" t="str">
        <f>"360 Clip Watch"</f>
        <v>360 Clip Watch</v>
      </c>
      <c r="H2285" s="47"/>
      <c r="I2285" s="47"/>
      <c r="J2285" s="23">
        <v>0</v>
      </c>
      <c r="K2285" s="25">
        <v>0</v>
      </c>
      <c r="L2285" s="24">
        <v>0</v>
      </c>
      <c r="M2285" s="24">
        <f>J2285-L2285</f>
        <v>0</v>
      </c>
      <c r="N2285" s="53" t="str">
        <f>IF(J2285&lt;&gt;0,M2285/J2285,"")</f>
        <v/>
      </c>
      <c r="O2285" s="23">
        <v>303.48</v>
      </c>
      <c r="P2285" s="25">
        <v>144</v>
      </c>
      <c r="Q2285" s="24">
        <v>146.88</v>
      </c>
      <c r="R2285" s="24">
        <f>O2285-Q2285</f>
        <v>156.60000000000002</v>
      </c>
      <c r="S2285" s="53">
        <f>IF(O2285&lt;&gt;0,R2285/O2285,"")</f>
        <v>0.51601423487544484</v>
      </c>
      <c r="T2285" s="10"/>
      <c r="U2285" s="23">
        <v>0</v>
      </c>
      <c r="V2285" s="25">
        <v>0</v>
      </c>
      <c r="W2285" s="24">
        <v>0</v>
      </c>
      <c r="X2285" s="24">
        <f>U2285-W2285</f>
        <v>0</v>
      </c>
      <c r="Y2285" s="53" t="str">
        <f>IF(U2285&lt;&gt;0,X2285/U2285,"")</f>
        <v/>
      </c>
      <c r="Z2285" s="23">
        <v>0</v>
      </c>
      <c r="AA2285" s="25">
        <v>0</v>
      </c>
      <c r="AB2285" s="24">
        <v>0</v>
      </c>
      <c r="AC2285" s="24">
        <f t="shared" si="647"/>
        <v>0</v>
      </c>
      <c r="AD2285" s="53" t="str">
        <f t="shared" si="648"/>
        <v/>
      </c>
      <c r="AE2285" s="10"/>
    </row>
    <row r="2286" spans="1:31" x14ac:dyDescent="0.25">
      <c r="A2286" s="14" t="s">
        <v>109</v>
      </c>
      <c r="C2286" s="61" t="str">
        <f t="shared" si="646"/>
        <v>C100122</v>
      </c>
      <c r="F2286" s="8" t="str">
        <f>"E100021"</f>
        <v>E100021</v>
      </c>
      <c r="G2286" s="9" t="str">
        <f>"Slim Travel Alarm"</f>
        <v>Slim Travel Alarm</v>
      </c>
      <c r="H2286" s="47"/>
      <c r="I2286" s="47"/>
      <c r="J2286" s="23">
        <v>0</v>
      </c>
      <c r="K2286" s="25">
        <v>0</v>
      </c>
      <c r="L2286" s="24">
        <v>0</v>
      </c>
      <c r="M2286" s="24">
        <f>J2286-L2286</f>
        <v>0</v>
      </c>
      <c r="N2286" s="53" t="str">
        <f>IF(J2286&lt;&gt;0,M2286/J2286,"")</f>
        <v/>
      </c>
      <c r="O2286" s="23">
        <v>406.41</v>
      </c>
      <c r="P2286" s="25">
        <v>144</v>
      </c>
      <c r="Q2286" s="24">
        <v>207.35</v>
      </c>
      <c r="R2286" s="24">
        <f>O2286-Q2286</f>
        <v>199.06000000000003</v>
      </c>
      <c r="S2286" s="53">
        <f>IF(O2286&lt;&gt;0,R2286/O2286,"")</f>
        <v>0.48980093993750157</v>
      </c>
      <c r="T2286" s="10"/>
      <c r="U2286" s="23">
        <v>0</v>
      </c>
      <c r="V2286" s="25">
        <v>0</v>
      </c>
      <c r="W2286" s="24">
        <v>0</v>
      </c>
      <c r="X2286" s="24">
        <f>U2286-W2286</f>
        <v>0</v>
      </c>
      <c r="Y2286" s="53" t="str">
        <f>IF(U2286&lt;&gt;0,X2286/U2286,"")</f>
        <v/>
      </c>
      <c r="Z2286" s="23">
        <v>0</v>
      </c>
      <c r="AA2286" s="25">
        <v>0</v>
      </c>
      <c r="AB2286" s="24">
        <v>0</v>
      </c>
      <c r="AC2286" s="24">
        <f t="shared" si="647"/>
        <v>0</v>
      </c>
      <c r="AD2286" s="53" t="str">
        <f t="shared" si="648"/>
        <v/>
      </c>
      <c r="AE2286" s="10"/>
    </row>
    <row r="2287" spans="1:31" x14ac:dyDescent="0.25">
      <c r="A2287" s="14" t="s">
        <v>109</v>
      </c>
      <c r="C2287" s="61" t="str">
        <f t="shared" si="646"/>
        <v>C100122</v>
      </c>
      <c r="F2287" s="8" t="str">
        <f>"E100022"</f>
        <v>E100022</v>
      </c>
      <c r="G2287" s="9" t="str">
        <f>"Wide Screen Alarm Clock"</f>
        <v>Wide Screen Alarm Clock</v>
      </c>
      <c r="H2287" s="47"/>
      <c r="I2287" s="47"/>
      <c r="J2287" s="23">
        <v>0</v>
      </c>
      <c r="K2287" s="25">
        <v>0</v>
      </c>
      <c r="L2287" s="24">
        <v>0</v>
      </c>
      <c r="M2287" s="24">
        <f>J2287-L2287</f>
        <v>0</v>
      </c>
      <c r="N2287" s="53" t="str">
        <f>IF(J2287&lt;&gt;0,M2287/J2287,"")</f>
        <v/>
      </c>
      <c r="O2287" s="23">
        <v>90.77</v>
      </c>
      <c r="P2287" s="25">
        <v>49</v>
      </c>
      <c r="Q2287" s="24">
        <v>62.72</v>
      </c>
      <c r="R2287" s="24">
        <f>O2287-Q2287</f>
        <v>28.049999999999997</v>
      </c>
      <c r="S2287" s="53">
        <f>IF(O2287&lt;&gt;0,R2287/O2287,"")</f>
        <v>0.30902280489148393</v>
      </c>
      <c r="T2287" s="10"/>
      <c r="U2287" s="23">
        <v>0</v>
      </c>
      <c r="V2287" s="25">
        <v>0</v>
      </c>
      <c r="W2287" s="24">
        <v>0</v>
      </c>
      <c r="X2287" s="24">
        <f>U2287-W2287</f>
        <v>0</v>
      </c>
      <c r="Y2287" s="53" t="str">
        <f>IF(U2287&lt;&gt;0,X2287/U2287,"")</f>
        <v/>
      </c>
      <c r="Z2287" s="23">
        <v>0</v>
      </c>
      <c r="AA2287" s="25">
        <v>0</v>
      </c>
      <c r="AB2287" s="24">
        <v>0</v>
      </c>
      <c r="AC2287" s="24">
        <f t="shared" si="647"/>
        <v>0</v>
      </c>
      <c r="AD2287" s="53" t="str">
        <f t="shared" si="648"/>
        <v/>
      </c>
      <c r="AE2287" s="10"/>
    </row>
    <row r="2288" spans="1:31" x14ac:dyDescent="0.25">
      <c r="A2288" s="14" t="s">
        <v>109</v>
      </c>
      <c r="C2288" s="61" t="str">
        <f t="shared" si="646"/>
        <v>C100122</v>
      </c>
      <c r="F2288" s="8" t="str">
        <f>"E100023"</f>
        <v>E100023</v>
      </c>
      <c r="G2288" s="9" t="str">
        <f>"Sport Earbuds"</f>
        <v>Sport Earbuds</v>
      </c>
      <c r="H2288" s="47"/>
      <c r="I2288" s="47"/>
      <c r="J2288" s="23">
        <v>0</v>
      </c>
      <c r="K2288" s="25">
        <v>0</v>
      </c>
      <c r="L2288" s="24">
        <v>0</v>
      </c>
      <c r="M2288" s="24">
        <f>J2288-L2288</f>
        <v>0</v>
      </c>
      <c r="N2288" s="53" t="str">
        <f>IF(J2288&lt;&gt;0,M2288/J2288,"")</f>
        <v/>
      </c>
      <c r="O2288" s="23">
        <v>637.77</v>
      </c>
      <c r="P2288" s="25">
        <v>144</v>
      </c>
      <c r="Q2288" s="24">
        <v>302.39999999999998</v>
      </c>
      <c r="R2288" s="24">
        <f>O2288-Q2288</f>
        <v>335.37</v>
      </c>
      <c r="S2288" s="53">
        <f>IF(O2288&lt;&gt;0,R2288/O2288,"")</f>
        <v>0.52584787619361217</v>
      </c>
      <c r="T2288" s="10"/>
      <c r="U2288" s="23">
        <v>0</v>
      </c>
      <c r="V2288" s="25">
        <v>0</v>
      </c>
      <c r="W2288" s="24">
        <v>0</v>
      </c>
      <c r="X2288" s="24">
        <f>U2288-W2288</f>
        <v>0</v>
      </c>
      <c r="Y2288" s="53" t="str">
        <f>IF(U2288&lt;&gt;0,X2288/U2288,"")</f>
        <v/>
      </c>
      <c r="Z2288" s="23">
        <v>0</v>
      </c>
      <c r="AA2288" s="25">
        <v>0</v>
      </c>
      <c r="AB2288" s="24">
        <v>0</v>
      </c>
      <c r="AC2288" s="24">
        <f t="shared" si="647"/>
        <v>0</v>
      </c>
      <c r="AD2288" s="53" t="str">
        <f t="shared" si="648"/>
        <v/>
      </c>
      <c r="AE2288" s="10"/>
    </row>
    <row r="2289" spans="1:31" x14ac:dyDescent="0.25">
      <c r="A2289" s="14" t="s">
        <v>109</v>
      </c>
      <c r="C2289" s="61" t="str">
        <f t="shared" si="646"/>
        <v>C100122</v>
      </c>
      <c r="F2289" s="8" t="str">
        <f>"E100025"</f>
        <v>E100025</v>
      </c>
      <c r="G2289" s="9" t="str">
        <f>"Calc-U-Note"</f>
        <v>Calc-U-Note</v>
      </c>
      <c r="H2289" s="47"/>
      <c r="I2289" s="47"/>
      <c r="J2289" s="23">
        <v>0</v>
      </c>
      <c r="K2289" s="25">
        <v>0</v>
      </c>
      <c r="L2289" s="24">
        <v>0</v>
      </c>
      <c r="M2289" s="24">
        <f>J2289-L2289</f>
        <v>0</v>
      </c>
      <c r="N2289" s="53" t="str">
        <f>IF(J2289&lt;&gt;0,M2289/J2289,"")</f>
        <v/>
      </c>
      <c r="O2289" s="23">
        <v>77.13</v>
      </c>
      <c r="P2289" s="25">
        <v>48</v>
      </c>
      <c r="Q2289" s="24">
        <v>48.93</v>
      </c>
      <c r="R2289" s="24">
        <f>O2289-Q2289</f>
        <v>28.199999999999996</v>
      </c>
      <c r="S2289" s="53">
        <f>IF(O2289&lt;&gt;0,R2289/O2289,"")</f>
        <v>0.3656164916374951</v>
      </c>
      <c r="T2289" s="10"/>
      <c r="U2289" s="23">
        <v>0</v>
      </c>
      <c r="V2289" s="25">
        <v>0</v>
      </c>
      <c r="W2289" s="24">
        <v>0</v>
      </c>
      <c r="X2289" s="24">
        <f>U2289-W2289</f>
        <v>0</v>
      </c>
      <c r="Y2289" s="53" t="str">
        <f>IF(U2289&lt;&gt;0,X2289/U2289,"")</f>
        <v/>
      </c>
      <c r="Z2289" s="23">
        <v>0</v>
      </c>
      <c r="AA2289" s="25">
        <v>0</v>
      </c>
      <c r="AB2289" s="24">
        <v>0</v>
      </c>
      <c r="AC2289" s="24">
        <f t="shared" si="647"/>
        <v>0</v>
      </c>
      <c r="AD2289" s="53" t="str">
        <f t="shared" si="648"/>
        <v/>
      </c>
      <c r="AE2289" s="10"/>
    </row>
    <row r="2290" spans="1:31" x14ac:dyDescent="0.25">
      <c r="A2290" s="14" t="s">
        <v>109</v>
      </c>
      <c r="C2290" s="61" t="str">
        <f t="shared" si="646"/>
        <v>C100122</v>
      </c>
      <c r="F2290" s="8" t="str">
        <f>"E100028"</f>
        <v>E100028</v>
      </c>
      <c r="G2290" s="9" t="str">
        <f>"USB 4-Port Hub"</f>
        <v>USB 4-Port Hub</v>
      </c>
      <c r="H2290" s="47"/>
      <c r="I2290" s="47"/>
      <c r="J2290" s="23">
        <v>0</v>
      </c>
      <c r="K2290" s="25">
        <v>0</v>
      </c>
      <c r="L2290" s="24">
        <v>0</v>
      </c>
      <c r="M2290" s="24">
        <f>J2290-L2290</f>
        <v>0</v>
      </c>
      <c r="N2290" s="53" t="str">
        <f>IF(J2290&lt;&gt;0,M2290/J2290,"")</f>
        <v/>
      </c>
      <c r="O2290" s="23">
        <v>465.85999999999996</v>
      </c>
      <c r="P2290" s="25">
        <v>168</v>
      </c>
      <c r="Q2290" s="24">
        <v>312.56</v>
      </c>
      <c r="R2290" s="24">
        <f>O2290-Q2290</f>
        <v>153.29999999999995</v>
      </c>
      <c r="S2290" s="53">
        <f>IF(O2290&lt;&gt;0,R2290/O2290,"")</f>
        <v>0.32906881895848533</v>
      </c>
      <c r="T2290" s="10"/>
      <c r="U2290" s="23">
        <v>0</v>
      </c>
      <c r="V2290" s="25">
        <v>0</v>
      </c>
      <c r="W2290" s="24">
        <v>0</v>
      </c>
      <c r="X2290" s="24">
        <f>U2290-W2290</f>
        <v>0</v>
      </c>
      <c r="Y2290" s="53" t="str">
        <f>IF(U2290&lt;&gt;0,X2290/U2290,"")</f>
        <v/>
      </c>
      <c r="Z2290" s="23">
        <v>0</v>
      </c>
      <c r="AA2290" s="25">
        <v>0</v>
      </c>
      <c r="AB2290" s="24">
        <v>0</v>
      </c>
      <c r="AC2290" s="24">
        <f t="shared" si="647"/>
        <v>0</v>
      </c>
      <c r="AD2290" s="53" t="str">
        <f t="shared" si="648"/>
        <v/>
      </c>
      <c r="AE2290" s="10"/>
    </row>
    <row r="2291" spans="1:31" x14ac:dyDescent="0.25">
      <c r="A2291" s="14" t="s">
        <v>109</v>
      </c>
      <c r="C2291" s="61" t="str">
        <f t="shared" si="646"/>
        <v>C100122</v>
      </c>
      <c r="F2291" s="8" t="str">
        <f>"E100030"</f>
        <v>E100030</v>
      </c>
      <c r="G2291" s="9" t="str">
        <f>"LED Keychain"</f>
        <v>LED Keychain</v>
      </c>
      <c r="H2291" s="47"/>
      <c r="I2291" s="47"/>
      <c r="J2291" s="23">
        <v>0</v>
      </c>
      <c r="K2291" s="25">
        <v>0</v>
      </c>
      <c r="L2291" s="24">
        <v>0</v>
      </c>
      <c r="M2291" s="24">
        <f>J2291-L2291</f>
        <v>0</v>
      </c>
      <c r="N2291" s="53" t="str">
        <f>IF(J2291&lt;&gt;0,M2291/J2291,"")</f>
        <v/>
      </c>
      <c r="O2291" s="23">
        <v>134.11999999999998</v>
      </c>
      <c r="P2291" s="25">
        <v>144</v>
      </c>
      <c r="Q2291" s="24">
        <v>72.05</v>
      </c>
      <c r="R2291" s="24">
        <f>O2291-Q2291</f>
        <v>62.069999999999979</v>
      </c>
      <c r="S2291" s="53">
        <f>IF(O2291&lt;&gt;0,R2291/O2291,"")</f>
        <v>0.46279451237697578</v>
      </c>
      <c r="T2291" s="10"/>
      <c r="U2291" s="23">
        <v>0</v>
      </c>
      <c r="V2291" s="25">
        <v>0</v>
      </c>
      <c r="W2291" s="24">
        <v>0</v>
      </c>
      <c r="X2291" s="24">
        <f>U2291-W2291</f>
        <v>0</v>
      </c>
      <c r="Y2291" s="53" t="str">
        <f>IF(U2291&lt;&gt;0,X2291/U2291,"")</f>
        <v/>
      </c>
      <c r="Z2291" s="23">
        <v>0</v>
      </c>
      <c r="AA2291" s="25">
        <v>0</v>
      </c>
      <c r="AB2291" s="24">
        <v>0</v>
      </c>
      <c r="AC2291" s="24">
        <f t="shared" si="647"/>
        <v>0</v>
      </c>
      <c r="AD2291" s="53" t="str">
        <f t="shared" si="648"/>
        <v/>
      </c>
      <c r="AE2291" s="10"/>
    </row>
    <row r="2292" spans="1:31" x14ac:dyDescent="0.25">
      <c r="A2292" s="14" t="s">
        <v>109</v>
      </c>
      <c r="C2292" s="61" t="str">
        <f t="shared" si="646"/>
        <v>C100122</v>
      </c>
      <c r="F2292" s="8" t="str">
        <f>"E100031"</f>
        <v>E100031</v>
      </c>
      <c r="G2292" s="9" t="str">
        <f>"Ad Torch"</f>
        <v>Ad Torch</v>
      </c>
      <c r="H2292" s="47"/>
      <c r="I2292" s="47"/>
      <c r="J2292" s="23">
        <v>0</v>
      </c>
      <c r="K2292" s="25">
        <v>0</v>
      </c>
      <c r="L2292" s="24">
        <v>0</v>
      </c>
      <c r="M2292" s="24">
        <f>J2292-L2292</f>
        <v>0</v>
      </c>
      <c r="N2292" s="53" t="str">
        <f>IF(J2292&lt;&gt;0,M2292/J2292,"")</f>
        <v/>
      </c>
      <c r="O2292" s="23">
        <v>393.63</v>
      </c>
      <c r="P2292" s="25">
        <v>144</v>
      </c>
      <c r="Q2292" s="24">
        <v>198.73000000000002</v>
      </c>
      <c r="R2292" s="24">
        <f>O2292-Q2292</f>
        <v>194.89999999999998</v>
      </c>
      <c r="S2292" s="53">
        <f>IF(O2292&lt;&gt;0,R2292/O2292,"")</f>
        <v>0.49513502527754483</v>
      </c>
      <c r="T2292" s="10"/>
      <c r="U2292" s="23">
        <v>0</v>
      </c>
      <c r="V2292" s="25">
        <v>0</v>
      </c>
      <c r="W2292" s="24">
        <v>0</v>
      </c>
      <c r="X2292" s="24">
        <f>U2292-W2292</f>
        <v>0</v>
      </c>
      <c r="Y2292" s="53" t="str">
        <f>IF(U2292&lt;&gt;0,X2292/U2292,"")</f>
        <v/>
      </c>
      <c r="Z2292" s="23">
        <v>0</v>
      </c>
      <c r="AA2292" s="25">
        <v>0</v>
      </c>
      <c r="AB2292" s="24">
        <v>0</v>
      </c>
      <c r="AC2292" s="24">
        <f t="shared" si="647"/>
        <v>0</v>
      </c>
      <c r="AD2292" s="53" t="str">
        <f t="shared" si="648"/>
        <v/>
      </c>
      <c r="AE2292" s="10"/>
    </row>
    <row r="2293" spans="1:31" x14ac:dyDescent="0.25">
      <c r="A2293" s="14" t="s">
        <v>109</v>
      </c>
      <c r="C2293" s="61" t="str">
        <f t="shared" si="646"/>
        <v>C100122</v>
      </c>
      <c r="F2293" s="8" t="str">
        <f>"E100032"</f>
        <v>E100032</v>
      </c>
      <c r="G2293" s="9" t="str">
        <f>"Button Key-Light"</f>
        <v>Button Key-Light</v>
      </c>
      <c r="H2293" s="47"/>
      <c r="I2293" s="47"/>
      <c r="J2293" s="23">
        <v>0</v>
      </c>
      <c r="K2293" s="25">
        <v>0</v>
      </c>
      <c r="L2293" s="24">
        <v>0</v>
      </c>
      <c r="M2293" s="24">
        <f>J2293-L2293</f>
        <v>0</v>
      </c>
      <c r="N2293" s="53" t="str">
        <f>IF(J2293&lt;&gt;0,M2293/J2293,"")</f>
        <v/>
      </c>
      <c r="O2293" s="23">
        <v>77.81</v>
      </c>
      <c r="P2293" s="25">
        <v>156</v>
      </c>
      <c r="Q2293" s="24">
        <v>51.489999999999995</v>
      </c>
      <c r="R2293" s="24">
        <f>O2293-Q2293</f>
        <v>26.320000000000007</v>
      </c>
      <c r="S2293" s="53">
        <f>IF(O2293&lt;&gt;0,R2293/O2293,"")</f>
        <v>0.33825986377072365</v>
      </c>
      <c r="T2293" s="10"/>
      <c r="U2293" s="23">
        <v>0</v>
      </c>
      <c r="V2293" s="25">
        <v>0</v>
      </c>
      <c r="W2293" s="24">
        <v>0</v>
      </c>
      <c r="X2293" s="24">
        <f>U2293-W2293</f>
        <v>0</v>
      </c>
      <c r="Y2293" s="53" t="str">
        <f>IF(U2293&lt;&gt;0,X2293/U2293,"")</f>
        <v/>
      </c>
      <c r="Z2293" s="23">
        <v>0</v>
      </c>
      <c r="AA2293" s="25">
        <v>0</v>
      </c>
      <c r="AB2293" s="24">
        <v>0</v>
      </c>
      <c r="AC2293" s="24">
        <f t="shared" si="647"/>
        <v>0</v>
      </c>
      <c r="AD2293" s="53" t="str">
        <f t="shared" si="648"/>
        <v/>
      </c>
      <c r="AE2293" s="10"/>
    </row>
    <row r="2294" spans="1:31" x14ac:dyDescent="0.25">
      <c r="A2294" s="14" t="s">
        <v>109</v>
      </c>
      <c r="C2294" s="61" t="str">
        <f t="shared" si="646"/>
        <v>C100122</v>
      </c>
      <c r="F2294" s="8" t="str">
        <f>"E100033"</f>
        <v>E100033</v>
      </c>
      <c r="G2294" s="9" t="str">
        <f>"Dual Source Flashlight"</f>
        <v>Dual Source Flashlight</v>
      </c>
      <c r="H2294" s="47"/>
      <c r="I2294" s="47"/>
      <c r="J2294" s="23">
        <v>0</v>
      </c>
      <c r="K2294" s="25">
        <v>0</v>
      </c>
      <c r="L2294" s="24">
        <v>0</v>
      </c>
      <c r="M2294" s="24">
        <f>J2294-L2294</f>
        <v>0</v>
      </c>
      <c r="N2294" s="53" t="str">
        <f>IF(J2294&lt;&gt;0,M2294/J2294,"")</f>
        <v/>
      </c>
      <c r="O2294" s="23">
        <v>3.22</v>
      </c>
      <c r="P2294" s="25">
        <v>1</v>
      </c>
      <c r="Q2294" s="24">
        <v>1.56</v>
      </c>
      <c r="R2294" s="24">
        <f>O2294-Q2294</f>
        <v>1.6600000000000001</v>
      </c>
      <c r="S2294" s="53">
        <f>IF(O2294&lt;&gt;0,R2294/O2294,"")</f>
        <v>0.51552795031055898</v>
      </c>
      <c r="T2294" s="10"/>
      <c r="U2294" s="23">
        <v>0</v>
      </c>
      <c r="V2294" s="25">
        <v>0</v>
      </c>
      <c r="W2294" s="24">
        <v>0</v>
      </c>
      <c r="X2294" s="24">
        <f>U2294-W2294</f>
        <v>0</v>
      </c>
      <c r="Y2294" s="53" t="str">
        <f>IF(U2294&lt;&gt;0,X2294/U2294,"")</f>
        <v/>
      </c>
      <c r="Z2294" s="23">
        <v>0</v>
      </c>
      <c r="AA2294" s="25">
        <v>0</v>
      </c>
      <c r="AB2294" s="24">
        <v>0</v>
      </c>
      <c r="AC2294" s="24">
        <f t="shared" si="647"/>
        <v>0</v>
      </c>
      <c r="AD2294" s="53" t="str">
        <f t="shared" si="648"/>
        <v/>
      </c>
      <c r="AE2294" s="10"/>
    </row>
    <row r="2295" spans="1:31" x14ac:dyDescent="0.25">
      <c r="A2295" s="14" t="s">
        <v>109</v>
      </c>
      <c r="C2295" s="61" t="str">
        <f t="shared" si="646"/>
        <v>C100122</v>
      </c>
      <c r="F2295" s="8" t="str">
        <f>"E100034"</f>
        <v>E100034</v>
      </c>
      <c r="G2295" s="9" t="str">
        <f>"Bamboo 1GB USB Flash Drive"</f>
        <v>Bamboo 1GB USB Flash Drive</v>
      </c>
      <c r="H2295" s="47"/>
      <c r="I2295" s="47"/>
      <c r="J2295" s="23">
        <v>0</v>
      </c>
      <c r="K2295" s="25">
        <v>0</v>
      </c>
      <c r="L2295" s="24">
        <v>0</v>
      </c>
      <c r="M2295" s="24">
        <f>J2295-L2295</f>
        <v>0</v>
      </c>
      <c r="N2295" s="53" t="str">
        <f>IF(J2295&lt;&gt;0,M2295/J2295,"")</f>
        <v/>
      </c>
      <c r="O2295" s="23">
        <v>808.79</v>
      </c>
      <c r="P2295" s="25">
        <v>145</v>
      </c>
      <c r="Q2295" s="24">
        <v>391.53</v>
      </c>
      <c r="R2295" s="24">
        <f>O2295-Q2295</f>
        <v>417.26</v>
      </c>
      <c r="S2295" s="53">
        <f>IF(O2295&lt;&gt;0,R2295/O2295,"")</f>
        <v>0.51590647757761599</v>
      </c>
      <c r="T2295" s="10"/>
      <c r="U2295" s="23">
        <v>0</v>
      </c>
      <c r="V2295" s="25">
        <v>0</v>
      </c>
      <c r="W2295" s="24">
        <v>0</v>
      </c>
      <c r="X2295" s="24">
        <f>U2295-W2295</f>
        <v>0</v>
      </c>
      <c r="Y2295" s="53" t="str">
        <f>IF(U2295&lt;&gt;0,X2295/U2295,"")</f>
        <v/>
      </c>
      <c r="Z2295" s="23">
        <v>0</v>
      </c>
      <c r="AA2295" s="25">
        <v>0</v>
      </c>
      <c r="AB2295" s="24">
        <v>0</v>
      </c>
      <c r="AC2295" s="24">
        <f t="shared" si="647"/>
        <v>0</v>
      </c>
      <c r="AD2295" s="53" t="str">
        <f t="shared" si="648"/>
        <v/>
      </c>
      <c r="AE2295" s="10"/>
    </row>
    <row r="2296" spans="1:31" x14ac:dyDescent="0.25">
      <c r="A2296" s="14" t="s">
        <v>109</v>
      </c>
      <c r="C2296" s="61" t="str">
        <f t="shared" si="646"/>
        <v>C100122</v>
      </c>
      <c r="F2296" s="8" t="str">
        <f>"E100038"</f>
        <v>E100038</v>
      </c>
      <c r="G2296" s="9" t="str">
        <f>"1GB USB Flash Drive Pen"</f>
        <v>1GB USB Flash Drive Pen</v>
      </c>
      <c r="H2296" s="47"/>
      <c r="I2296" s="47"/>
      <c r="J2296" s="23">
        <v>0</v>
      </c>
      <c r="K2296" s="25">
        <v>0</v>
      </c>
      <c r="L2296" s="24">
        <v>0</v>
      </c>
      <c r="M2296" s="24">
        <f>J2296-L2296</f>
        <v>0</v>
      </c>
      <c r="N2296" s="53" t="str">
        <f>IF(J2296&lt;&gt;0,M2296/J2296,"")</f>
        <v/>
      </c>
      <c r="O2296" s="23">
        <v>262.64999999999998</v>
      </c>
      <c r="P2296" s="25">
        <v>48</v>
      </c>
      <c r="Q2296" s="24">
        <v>142.57999999999998</v>
      </c>
      <c r="R2296" s="24">
        <f>O2296-Q2296</f>
        <v>120.07</v>
      </c>
      <c r="S2296" s="53">
        <f>IF(O2296&lt;&gt;0,R2296/O2296,"")</f>
        <v>0.45714829621168857</v>
      </c>
      <c r="T2296" s="10"/>
      <c r="U2296" s="23">
        <v>0</v>
      </c>
      <c r="V2296" s="25">
        <v>0</v>
      </c>
      <c r="W2296" s="24">
        <v>0</v>
      </c>
      <c r="X2296" s="24">
        <f>U2296-W2296</f>
        <v>0</v>
      </c>
      <c r="Y2296" s="53" t="str">
        <f>IF(U2296&lt;&gt;0,X2296/U2296,"")</f>
        <v/>
      </c>
      <c r="Z2296" s="23">
        <v>0</v>
      </c>
      <c r="AA2296" s="25">
        <v>0</v>
      </c>
      <c r="AB2296" s="24">
        <v>0</v>
      </c>
      <c r="AC2296" s="24">
        <f t="shared" si="647"/>
        <v>0</v>
      </c>
      <c r="AD2296" s="53" t="str">
        <f t="shared" si="648"/>
        <v/>
      </c>
      <c r="AE2296" s="10"/>
    </row>
    <row r="2297" spans="1:31" x14ac:dyDescent="0.25">
      <c r="A2297" s="14" t="s">
        <v>109</v>
      </c>
      <c r="C2297" s="61" t="str">
        <f t="shared" si="646"/>
        <v>C100122</v>
      </c>
      <c r="F2297" s="8" t="str">
        <f>"E100041"</f>
        <v>E100041</v>
      </c>
      <c r="G2297" s="9" t="str">
        <f>"Biodegradable Colored SPORT BOT"</f>
        <v>Biodegradable Colored SPORT BOT</v>
      </c>
      <c r="H2297" s="47"/>
      <c r="I2297" s="47"/>
      <c r="J2297" s="23">
        <v>0</v>
      </c>
      <c r="K2297" s="25">
        <v>0</v>
      </c>
      <c r="L2297" s="24">
        <v>0</v>
      </c>
      <c r="M2297" s="24">
        <f>J2297-L2297</f>
        <v>0</v>
      </c>
      <c r="N2297" s="53" t="str">
        <f>IF(J2297&lt;&gt;0,M2297/J2297,"")</f>
        <v/>
      </c>
      <c r="O2297" s="23">
        <v>230.48</v>
      </c>
      <c r="P2297" s="25">
        <v>348</v>
      </c>
      <c r="Q2297" s="24">
        <v>149.59</v>
      </c>
      <c r="R2297" s="24">
        <f>O2297-Q2297</f>
        <v>80.889999999999986</v>
      </c>
      <c r="S2297" s="53">
        <f>IF(O2297&lt;&gt;0,R2297/O2297,"")</f>
        <v>0.35096320721971536</v>
      </c>
      <c r="T2297" s="10"/>
      <c r="U2297" s="23">
        <v>0</v>
      </c>
      <c r="V2297" s="25">
        <v>0</v>
      </c>
      <c r="W2297" s="24">
        <v>0</v>
      </c>
      <c r="X2297" s="24">
        <f>U2297-W2297</f>
        <v>0</v>
      </c>
      <c r="Y2297" s="53" t="str">
        <f>IF(U2297&lt;&gt;0,X2297/U2297,"")</f>
        <v/>
      </c>
      <c r="Z2297" s="23">
        <v>0</v>
      </c>
      <c r="AA2297" s="25">
        <v>0</v>
      </c>
      <c r="AB2297" s="24">
        <v>0</v>
      </c>
      <c r="AC2297" s="24">
        <f t="shared" si="647"/>
        <v>0</v>
      </c>
      <c r="AD2297" s="53" t="str">
        <f t="shared" si="648"/>
        <v/>
      </c>
      <c r="AE2297" s="10"/>
    </row>
    <row r="2298" spans="1:31" x14ac:dyDescent="0.25">
      <c r="A2298" s="14" t="s">
        <v>109</v>
      </c>
      <c r="C2298" s="61" t="str">
        <f t="shared" si="646"/>
        <v>C100122</v>
      </c>
      <c r="F2298" s="8" t="str">
        <f>"E100045"</f>
        <v>E100045</v>
      </c>
      <c r="G2298" s="9" t="str">
        <f>"Flute"</f>
        <v>Flute</v>
      </c>
      <c r="H2298" s="47"/>
      <c r="I2298" s="47"/>
      <c r="J2298" s="23">
        <v>0</v>
      </c>
      <c r="K2298" s="25">
        <v>0</v>
      </c>
      <c r="L2298" s="24">
        <v>0</v>
      </c>
      <c r="M2298" s="24">
        <f>J2298-L2298</f>
        <v>0</v>
      </c>
      <c r="N2298" s="53" t="str">
        <f>IF(J2298&lt;&gt;0,M2298/J2298,"")</f>
        <v/>
      </c>
      <c r="O2298" s="23">
        <v>11.41</v>
      </c>
      <c r="P2298" s="25">
        <v>12</v>
      </c>
      <c r="Q2298" s="24">
        <v>7.44</v>
      </c>
      <c r="R2298" s="24">
        <f>O2298-Q2298</f>
        <v>3.9699999999999998</v>
      </c>
      <c r="S2298" s="53">
        <f>IF(O2298&lt;&gt;0,R2298/O2298,"")</f>
        <v>0.34794040315512703</v>
      </c>
      <c r="T2298" s="10"/>
      <c r="U2298" s="23">
        <v>0</v>
      </c>
      <c r="V2298" s="25">
        <v>0</v>
      </c>
      <c r="W2298" s="24">
        <v>0</v>
      </c>
      <c r="X2298" s="24">
        <f>U2298-W2298</f>
        <v>0</v>
      </c>
      <c r="Y2298" s="53" t="str">
        <f>IF(U2298&lt;&gt;0,X2298/U2298,"")</f>
        <v/>
      </c>
      <c r="Z2298" s="23">
        <v>0</v>
      </c>
      <c r="AA2298" s="25">
        <v>0</v>
      </c>
      <c r="AB2298" s="24">
        <v>0</v>
      </c>
      <c r="AC2298" s="24">
        <f t="shared" si="647"/>
        <v>0</v>
      </c>
      <c r="AD2298" s="53" t="str">
        <f t="shared" si="648"/>
        <v/>
      </c>
      <c r="AE2298" s="10"/>
    </row>
    <row r="2299" spans="1:31" x14ac:dyDescent="0.25">
      <c r="A2299" s="14" t="s">
        <v>109</v>
      </c>
      <c r="C2299" s="61" t="str">
        <f t="shared" si="646"/>
        <v>C100122</v>
      </c>
      <c r="F2299" s="8" t="str">
        <f>"E100046"</f>
        <v>E100046</v>
      </c>
      <c r="G2299" s="9" t="str">
        <f>"Milk Bottle"</f>
        <v>Milk Bottle</v>
      </c>
      <c r="H2299" s="47"/>
      <c r="I2299" s="47"/>
      <c r="J2299" s="23">
        <v>0</v>
      </c>
      <c r="K2299" s="25">
        <v>0</v>
      </c>
      <c r="L2299" s="24">
        <v>0</v>
      </c>
      <c r="M2299" s="24">
        <f>J2299-L2299</f>
        <v>0</v>
      </c>
      <c r="N2299" s="53" t="str">
        <f>IF(J2299&lt;&gt;0,M2299/J2299,"")</f>
        <v/>
      </c>
      <c r="O2299" s="23">
        <v>1.78</v>
      </c>
      <c r="P2299" s="25">
        <v>1</v>
      </c>
      <c r="Q2299" s="24">
        <v>1.04</v>
      </c>
      <c r="R2299" s="24">
        <f>O2299-Q2299</f>
        <v>0.74</v>
      </c>
      <c r="S2299" s="53">
        <f>IF(O2299&lt;&gt;0,R2299/O2299,"")</f>
        <v>0.4157303370786517</v>
      </c>
      <c r="T2299" s="10"/>
      <c r="U2299" s="23">
        <v>0</v>
      </c>
      <c r="V2299" s="25">
        <v>0</v>
      </c>
      <c r="W2299" s="24">
        <v>0</v>
      </c>
      <c r="X2299" s="24">
        <f>U2299-W2299</f>
        <v>0</v>
      </c>
      <c r="Y2299" s="53" t="str">
        <f>IF(U2299&lt;&gt;0,X2299/U2299,"")</f>
        <v/>
      </c>
      <c r="Z2299" s="23">
        <v>0</v>
      </c>
      <c r="AA2299" s="25">
        <v>0</v>
      </c>
      <c r="AB2299" s="24">
        <v>0</v>
      </c>
      <c r="AC2299" s="24">
        <f t="shared" si="647"/>
        <v>0</v>
      </c>
      <c r="AD2299" s="53" t="str">
        <f t="shared" si="648"/>
        <v/>
      </c>
      <c r="AE2299" s="10"/>
    </row>
    <row r="2300" spans="1:31" x14ac:dyDescent="0.25">
      <c r="A2300" s="14" t="s">
        <v>109</v>
      </c>
      <c r="C2300" s="61" t="str">
        <f t="shared" si="646"/>
        <v>C100122</v>
      </c>
      <c r="F2300" s="8" t="str">
        <f>"S100011"</f>
        <v>S100011</v>
      </c>
      <c r="G2300" s="9" t="str">
        <f>"All Star Cap"</f>
        <v>All Star Cap</v>
      </c>
      <c r="H2300" s="47"/>
      <c r="I2300" s="47"/>
      <c r="J2300" s="23">
        <v>0</v>
      </c>
      <c r="K2300" s="25">
        <v>0</v>
      </c>
      <c r="L2300" s="24">
        <v>0</v>
      </c>
      <c r="M2300" s="24">
        <f>J2300-L2300</f>
        <v>0</v>
      </c>
      <c r="N2300" s="53" t="str">
        <f>IF(J2300&lt;&gt;0,M2300/J2300,"")</f>
        <v/>
      </c>
      <c r="O2300" s="23">
        <v>201.92</v>
      </c>
      <c r="P2300" s="25">
        <v>145</v>
      </c>
      <c r="Q2300" s="24">
        <v>123.26</v>
      </c>
      <c r="R2300" s="24">
        <f>O2300-Q2300</f>
        <v>78.659999999999982</v>
      </c>
      <c r="S2300" s="53">
        <f>IF(O2300&lt;&gt;0,R2300/O2300,"")</f>
        <v>0.38956022187004746</v>
      </c>
      <c r="T2300" s="10"/>
      <c r="U2300" s="23">
        <v>0</v>
      </c>
      <c r="V2300" s="25">
        <v>0</v>
      </c>
      <c r="W2300" s="24">
        <v>0</v>
      </c>
      <c r="X2300" s="24">
        <f>U2300-W2300</f>
        <v>0</v>
      </c>
      <c r="Y2300" s="53" t="str">
        <f>IF(U2300&lt;&gt;0,X2300/U2300,"")</f>
        <v/>
      </c>
      <c r="Z2300" s="23">
        <v>0</v>
      </c>
      <c r="AA2300" s="25">
        <v>0</v>
      </c>
      <c r="AB2300" s="24">
        <v>0</v>
      </c>
      <c r="AC2300" s="24">
        <f t="shared" si="647"/>
        <v>0</v>
      </c>
      <c r="AD2300" s="53" t="str">
        <f t="shared" si="648"/>
        <v/>
      </c>
      <c r="AE2300" s="10"/>
    </row>
    <row r="2301" spans="1:31" x14ac:dyDescent="0.25">
      <c r="A2301" s="14" t="s">
        <v>109</v>
      </c>
      <c r="C2301" s="61" t="str">
        <f t="shared" si="646"/>
        <v>C100122</v>
      </c>
      <c r="F2301" s="8" t="str">
        <f>"S100016"</f>
        <v>S100016</v>
      </c>
      <c r="G2301" s="9" t="str">
        <f>"Mesh Bucket Hat"</f>
        <v>Mesh Bucket Hat</v>
      </c>
      <c r="H2301" s="47"/>
      <c r="I2301" s="47"/>
      <c r="J2301" s="23">
        <v>0</v>
      </c>
      <c r="K2301" s="25">
        <v>0</v>
      </c>
      <c r="L2301" s="24">
        <v>0</v>
      </c>
      <c r="M2301" s="24">
        <f>J2301-L2301</f>
        <v>0</v>
      </c>
      <c r="N2301" s="53" t="str">
        <f>IF(J2301&lt;&gt;0,M2301/J2301,"")</f>
        <v/>
      </c>
      <c r="O2301" s="23">
        <v>688.42</v>
      </c>
      <c r="P2301" s="25">
        <v>144</v>
      </c>
      <c r="Q2301" s="24">
        <v>396.01</v>
      </c>
      <c r="R2301" s="24">
        <f>O2301-Q2301</f>
        <v>292.40999999999997</v>
      </c>
      <c r="S2301" s="53">
        <f>IF(O2301&lt;&gt;0,R2301/O2301,"")</f>
        <v>0.42475523662880216</v>
      </c>
      <c r="T2301" s="10"/>
      <c r="U2301" s="23">
        <v>0</v>
      </c>
      <c r="V2301" s="25">
        <v>0</v>
      </c>
      <c r="W2301" s="24">
        <v>0</v>
      </c>
      <c r="X2301" s="24">
        <f>U2301-W2301</f>
        <v>0</v>
      </c>
      <c r="Y2301" s="53" t="str">
        <f>IF(U2301&lt;&gt;0,X2301/U2301,"")</f>
        <v/>
      </c>
      <c r="Z2301" s="23">
        <v>0</v>
      </c>
      <c r="AA2301" s="25">
        <v>0</v>
      </c>
      <c r="AB2301" s="24">
        <v>0</v>
      </c>
      <c r="AC2301" s="24">
        <f t="shared" si="647"/>
        <v>0</v>
      </c>
      <c r="AD2301" s="53" t="str">
        <f t="shared" si="648"/>
        <v/>
      </c>
      <c r="AE2301" s="10"/>
    </row>
    <row r="2302" spans="1:31" x14ac:dyDescent="0.25">
      <c r="A2302" s="14" t="s">
        <v>109</v>
      </c>
      <c r="C2302" s="61" t="str">
        <f t="shared" si="646"/>
        <v>C100122</v>
      </c>
      <c r="F2302" s="8" t="str">
        <f>"S100020"</f>
        <v>S100020</v>
      </c>
      <c r="G2302" s="9" t="str">
        <f>"Super Sport Stopwatch"</f>
        <v>Super Sport Stopwatch</v>
      </c>
      <c r="H2302" s="47"/>
      <c r="I2302" s="47"/>
      <c r="J2302" s="23">
        <v>0</v>
      </c>
      <c r="K2302" s="25">
        <v>0</v>
      </c>
      <c r="L2302" s="24">
        <v>0</v>
      </c>
      <c r="M2302" s="24">
        <f>J2302-L2302</f>
        <v>0</v>
      </c>
      <c r="N2302" s="53" t="str">
        <f>IF(J2302&lt;&gt;0,M2302/J2302,"")</f>
        <v/>
      </c>
      <c r="O2302" s="23">
        <v>2.14</v>
      </c>
      <c r="P2302" s="25">
        <v>1</v>
      </c>
      <c r="Q2302" s="24">
        <v>1.05</v>
      </c>
      <c r="R2302" s="24">
        <f>O2302-Q2302</f>
        <v>1.0900000000000001</v>
      </c>
      <c r="S2302" s="53">
        <f>IF(O2302&lt;&gt;0,R2302/O2302,"")</f>
        <v>0.50934579439252337</v>
      </c>
      <c r="T2302" s="10"/>
      <c r="U2302" s="23">
        <v>0</v>
      </c>
      <c r="V2302" s="25">
        <v>0</v>
      </c>
      <c r="W2302" s="24">
        <v>0</v>
      </c>
      <c r="X2302" s="24">
        <f>U2302-W2302</f>
        <v>0</v>
      </c>
      <c r="Y2302" s="53" t="str">
        <f>IF(U2302&lt;&gt;0,X2302/U2302,"")</f>
        <v/>
      </c>
      <c r="Z2302" s="23">
        <v>0</v>
      </c>
      <c r="AA2302" s="25">
        <v>0</v>
      </c>
      <c r="AB2302" s="24">
        <v>0</v>
      </c>
      <c r="AC2302" s="24">
        <f t="shared" si="647"/>
        <v>0</v>
      </c>
      <c r="AD2302" s="53" t="str">
        <f t="shared" si="648"/>
        <v/>
      </c>
      <c r="AE2302" s="10"/>
    </row>
    <row r="2303" spans="1:31" x14ac:dyDescent="0.25">
      <c r="A2303" s="14" t="s">
        <v>109</v>
      </c>
      <c r="C2303" s="61" t="str">
        <f t="shared" si="646"/>
        <v>C100122</v>
      </c>
      <c r="F2303" s="8" t="str">
        <f>"S100026"</f>
        <v>S100026</v>
      </c>
      <c r="G2303" s="9" t="str">
        <f>"Wide SPORT BOT"</f>
        <v>Wide SPORT BOT</v>
      </c>
      <c r="H2303" s="47"/>
      <c r="I2303" s="47"/>
      <c r="J2303" s="23">
        <v>0</v>
      </c>
      <c r="K2303" s="25">
        <v>0</v>
      </c>
      <c r="L2303" s="24">
        <v>0</v>
      </c>
      <c r="M2303" s="24">
        <f>J2303-L2303</f>
        <v>0</v>
      </c>
      <c r="N2303" s="53" t="str">
        <f>IF(J2303&lt;&gt;0,M2303/J2303,"")</f>
        <v/>
      </c>
      <c r="O2303" s="23">
        <v>209.93</v>
      </c>
      <c r="P2303" s="25">
        <v>54</v>
      </c>
      <c r="Q2303" s="24">
        <v>102.62</v>
      </c>
      <c r="R2303" s="24">
        <f>O2303-Q2303</f>
        <v>107.31</v>
      </c>
      <c r="S2303" s="53">
        <f>IF(O2303&lt;&gt;0,R2303/O2303,"")</f>
        <v>0.51117039013004339</v>
      </c>
      <c r="T2303" s="10"/>
      <c r="U2303" s="23">
        <v>0</v>
      </c>
      <c r="V2303" s="25">
        <v>0</v>
      </c>
      <c r="W2303" s="24">
        <v>0</v>
      </c>
      <c r="X2303" s="24">
        <f>U2303-W2303</f>
        <v>0</v>
      </c>
      <c r="Y2303" s="53" t="str">
        <f>IF(U2303&lt;&gt;0,X2303/U2303,"")</f>
        <v/>
      </c>
      <c r="Z2303" s="23">
        <v>0</v>
      </c>
      <c r="AA2303" s="25">
        <v>0</v>
      </c>
      <c r="AB2303" s="24">
        <v>0</v>
      </c>
      <c r="AC2303" s="24">
        <f t="shared" si="647"/>
        <v>0</v>
      </c>
      <c r="AD2303" s="53" t="str">
        <f t="shared" si="648"/>
        <v/>
      </c>
      <c r="AE2303" s="10"/>
    </row>
    <row r="2304" spans="1:31" ht="15.75" thickBot="1" x14ac:dyDescent="0.3">
      <c r="A2304" s="14" t="s">
        <v>109</v>
      </c>
      <c r="C2304" s="61" t="str">
        <f>C2268</f>
        <v>C100122</v>
      </c>
      <c r="J2304" s="10"/>
      <c r="K2304" s="11"/>
      <c r="L2304" s="11"/>
      <c r="M2304" s="11"/>
      <c r="N2304" s="12"/>
      <c r="O2304" s="10"/>
      <c r="P2304" s="11"/>
      <c r="Q2304" s="11"/>
      <c r="R2304" s="11"/>
      <c r="S2304" s="12"/>
      <c r="U2304" s="10"/>
      <c r="V2304" s="11"/>
      <c r="W2304" s="11"/>
      <c r="X2304" s="11"/>
      <c r="Y2304" s="12"/>
      <c r="Z2304" s="10"/>
      <c r="AA2304" s="11"/>
      <c r="AB2304" s="11"/>
      <c r="AC2304" s="11"/>
      <c r="AD2304" s="12"/>
    </row>
    <row r="2305" spans="1:31" ht="15.75" thickBot="1" x14ac:dyDescent="0.3">
      <c r="A2305" s="14" t="s">
        <v>109</v>
      </c>
      <c r="C2305" s="61" t="str">
        <f t="shared" si="643"/>
        <v>C100122</v>
      </c>
      <c r="G2305" s="48" t="str">
        <f>C2305&amp;" TOTAL:"</f>
        <v>C100122 TOTAL:</v>
      </c>
      <c r="H2305" s="50"/>
      <c r="I2305" s="50"/>
      <c r="J2305" s="34">
        <f>SUBTOTAL(9,J2267:J2304)</f>
        <v>0</v>
      </c>
      <c r="K2305" s="35">
        <f>SUBTOTAL(9,K2267:K2304)</f>
        <v>0</v>
      </c>
      <c r="L2305" s="36">
        <f>SUBTOTAL(9,L2267:L2304)</f>
        <v>0</v>
      </c>
      <c r="M2305" s="36">
        <f>J2305-L2305</f>
        <v>0</v>
      </c>
      <c r="N2305" s="37" t="str">
        <f>IF(J2305&lt;&gt;0,M2305/J2305,"")</f>
        <v/>
      </c>
      <c r="O2305" s="34">
        <f>SUBTOTAL(9,O2267:O2304)</f>
        <v>8781.4399999999987</v>
      </c>
      <c r="P2305" s="35">
        <f>SUBTOTAL(9,P2267:P2304)</f>
        <v>3403</v>
      </c>
      <c r="Q2305" s="36">
        <f>SUBTOTAL(9,Q2267:Q2304)</f>
        <v>4807.9000000000005</v>
      </c>
      <c r="R2305" s="36">
        <f>O2305-Q2305</f>
        <v>3973.5399999999981</v>
      </c>
      <c r="S2305" s="37">
        <f>IF(O2305&lt;&gt;0,R2305/O2305,"")</f>
        <v>0.45249298520515985</v>
      </c>
      <c r="U2305" s="34">
        <f>SUBTOTAL(9,U2267:U2304)</f>
        <v>0</v>
      </c>
      <c r="V2305" s="35">
        <f>SUBTOTAL(9,V2267:V2304)</f>
        <v>0</v>
      </c>
      <c r="W2305" s="36">
        <f>SUBTOTAL(9,W2267:W2304)</f>
        <v>0</v>
      </c>
      <c r="X2305" s="36">
        <f>U2305-W2305</f>
        <v>0</v>
      </c>
      <c r="Y2305" s="37" t="str">
        <f>IF(U2305&lt;&gt;0,X2305/U2305,"")</f>
        <v/>
      </c>
      <c r="Z2305" s="34">
        <f>SUBTOTAL(9,Z2267:Z2304)</f>
        <v>0</v>
      </c>
      <c r="AA2305" s="35">
        <f>SUBTOTAL(9,AA2267:AA2304)</f>
        <v>0</v>
      </c>
      <c r="AB2305" s="36">
        <f>SUBTOTAL(9,AB2267:AB2304)</f>
        <v>0</v>
      </c>
      <c r="AC2305" s="36">
        <f t="shared" ref="AC2305" si="649">Z2305-AB2305</f>
        <v>0</v>
      </c>
      <c r="AD2305" s="37" t="str">
        <f t="shared" ref="AD2305" si="650">IF(Z2305&lt;&gt;0,AC2305/Z2305,"")</f>
        <v/>
      </c>
    </row>
    <row r="2306" spans="1:31" x14ac:dyDescent="0.25">
      <c r="A2306" s="14" t="s">
        <v>109</v>
      </c>
      <c r="C2306" s="66"/>
      <c r="J2306" s="10"/>
      <c r="K2306" s="11"/>
      <c r="L2306" s="11"/>
      <c r="M2306" s="11"/>
      <c r="N2306" s="12"/>
      <c r="O2306" s="10"/>
      <c r="P2306" s="11"/>
      <c r="Q2306" s="11"/>
      <c r="R2306" s="11"/>
      <c r="S2306" s="12"/>
      <c r="U2306" s="10"/>
      <c r="V2306" s="11"/>
      <c r="W2306" s="11"/>
      <c r="X2306" s="11"/>
      <c r="Y2306" s="12"/>
      <c r="Z2306" s="10"/>
      <c r="AA2306" s="11"/>
      <c r="AB2306" s="11"/>
      <c r="AC2306" s="11"/>
      <c r="AD2306" s="12"/>
    </row>
    <row r="2307" spans="1:31" ht="15.75" x14ac:dyDescent="0.25">
      <c r="A2307" s="14" t="s">
        <v>109</v>
      </c>
      <c r="C2307" s="66" t="str">
        <f t="shared" ref="C2307" si="651">E2307</f>
        <v>C100124</v>
      </c>
      <c r="E2307" s="13" t="str">
        <f>"C100124"</f>
        <v>C100124</v>
      </c>
      <c r="F2307" s="13"/>
      <c r="G2307" s="13" t="str">
        <f>"Ontocane Outdoors"</f>
        <v>Ontocane Outdoors</v>
      </c>
      <c r="H2307" s="13"/>
      <c r="I2307" s="13"/>
      <c r="J2307" s="10"/>
      <c r="K2307" s="11"/>
      <c r="L2307" s="11"/>
      <c r="M2307" s="11"/>
      <c r="N2307" s="12"/>
      <c r="O2307" s="10"/>
      <c r="P2307" s="11"/>
      <c r="Q2307" s="11"/>
      <c r="R2307" s="11"/>
      <c r="S2307" s="12"/>
      <c r="U2307" s="10"/>
      <c r="V2307" s="11"/>
      <c r="W2307" s="11"/>
      <c r="X2307" s="11"/>
      <c r="Y2307" s="12"/>
      <c r="Z2307" s="10"/>
      <c r="AA2307" s="11"/>
      <c r="AB2307" s="11"/>
      <c r="AC2307" s="11"/>
      <c r="AD2307" s="12"/>
    </row>
    <row r="2308" spans="1:31" ht="6.6" customHeight="1" x14ac:dyDescent="0.25">
      <c r="A2308" s="14" t="s">
        <v>109</v>
      </c>
      <c r="C2308" s="61" t="str">
        <f t="shared" ref="C2308:C2340" si="652">C2307</f>
        <v>C100124</v>
      </c>
      <c r="J2308" s="10"/>
      <c r="K2308" s="11"/>
      <c r="L2308" s="11"/>
      <c r="M2308" s="11"/>
      <c r="N2308" s="12"/>
      <c r="O2308" s="10"/>
      <c r="P2308" s="11"/>
      <c r="Q2308" s="11"/>
      <c r="R2308" s="11"/>
      <c r="S2308" s="12"/>
      <c r="U2308" s="10"/>
      <c r="V2308" s="11"/>
      <c r="W2308" s="11"/>
      <c r="X2308" s="11"/>
      <c r="Y2308" s="12"/>
      <c r="Z2308" s="10"/>
      <c r="AA2308" s="11"/>
      <c r="AB2308" s="11"/>
      <c r="AC2308" s="11"/>
      <c r="AD2308" s="12"/>
    </row>
    <row r="2309" spans="1:31" x14ac:dyDescent="0.25">
      <c r="A2309" s="14" t="s">
        <v>109</v>
      </c>
      <c r="C2309" s="61" t="str">
        <f t="shared" si="652"/>
        <v>C100124</v>
      </c>
      <c r="F2309" s="8" t="str">
        <f>"C100023"</f>
        <v>C100023</v>
      </c>
      <c r="G2309" s="9" t="str">
        <f>"Two-Toned Knit Hat"</f>
        <v>Two-Toned Knit Hat</v>
      </c>
      <c r="H2309" s="47"/>
      <c r="I2309" s="47"/>
      <c r="J2309" s="23">
        <v>0</v>
      </c>
      <c r="K2309" s="25">
        <v>0</v>
      </c>
      <c r="L2309" s="24">
        <v>0</v>
      </c>
      <c r="M2309" s="24">
        <f>J2309-L2309</f>
        <v>0</v>
      </c>
      <c r="N2309" s="53" t="str">
        <f>IF(J2309&lt;&gt;0,M2309/J2309,"")</f>
        <v/>
      </c>
      <c r="O2309" s="23">
        <v>31.529999999999998</v>
      </c>
      <c r="P2309" s="25">
        <v>12</v>
      </c>
      <c r="Q2309" s="24">
        <v>15.12</v>
      </c>
      <c r="R2309" s="24">
        <f>O2309-Q2309</f>
        <v>16.409999999999997</v>
      </c>
      <c r="S2309" s="53">
        <f>IF(O2309&lt;&gt;0,R2309/O2309,"")</f>
        <v>0.52045670789724063</v>
      </c>
      <c r="T2309" s="10"/>
      <c r="U2309" s="23">
        <v>0</v>
      </c>
      <c r="V2309" s="25">
        <v>0</v>
      </c>
      <c r="W2309" s="24">
        <v>0</v>
      </c>
      <c r="X2309" s="24">
        <f>U2309-W2309</f>
        <v>0</v>
      </c>
      <c r="Y2309" s="53" t="str">
        <f>IF(U2309&lt;&gt;0,X2309/U2309,"")</f>
        <v/>
      </c>
      <c r="Z2309" s="23">
        <v>0</v>
      </c>
      <c r="AA2309" s="25">
        <v>0</v>
      </c>
      <c r="AB2309" s="24">
        <v>0</v>
      </c>
      <c r="AC2309" s="24">
        <f t="shared" ref="AC2309" si="653">Z2309-AB2309</f>
        <v>0</v>
      </c>
      <c r="AD2309" s="53" t="str">
        <f t="shared" ref="AD2309" si="654">IF(Z2309&lt;&gt;0,AC2309/Z2309,"")</f>
        <v/>
      </c>
      <c r="AE2309" s="10"/>
    </row>
    <row r="2310" spans="1:31" x14ac:dyDescent="0.25">
      <c r="A2310" s="14" t="s">
        <v>109</v>
      </c>
      <c r="C2310" s="61" t="str">
        <f t="shared" ref="C2310:C2338" si="655">C2309</f>
        <v>C100124</v>
      </c>
      <c r="F2310" s="8" t="str">
        <f>"C100028"</f>
        <v>C100028</v>
      </c>
      <c r="G2310" s="9" t="str">
        <f>"Twill Visor"</f>
        <v>Twill Visor</v>
      </c>
      <c r="H2310" s="47"/>
      <c r="I2310" s="47"/>
      <c r="J2310" s="23">
        <v>681.86</v>
      </c>
      <c r="K2310" s="25">
        <v>145</v>
      </c>
      <c r="L2310" s="24">
        <v>348.01</v>
      </c>
      <c r="M2310" s="24">
        <f>J2310-L2310</f>
        <v>333.85</v>
      </c>
      <c r="N2310" s="53">
        <f>IF(J2310&lt;&gt;0,M2310/J2310,"")</f>
        <v>0.48961663684627343</v>
      </c>
      <c r="O2310" s="23">
        <v>0</v>
      </c>
      <c r="P2310" s="25">
        <v>0</v>
      </c>
      <c r="Q2310" s="24">
        <v>0</v>
      </c>
      <c r="R2310" s="24">
        <f>O2310-Q2310</f>
        <v>0</v>
      </c>
      <c r="S2310" s="53" t="str">
        <f>IF(O2310&lt;&gt;0,R2310/O2310,"")</f>
        <v/>
      </c>
      <c r="T2310" s="10"/>
      <c r="U2310" s="23">
        <v>0</v>
      </c>
      <c r="V2310" s="25">
        <v>0</v>
      </c>
      <c r="W2310" s="24">
        <v>0</v>
      </c>
      <c r="X2310" s="24">
        <f>U2310-W2310</f>
        <v>0</v>
      </c>
      <c r="Y2310" s="53" t="str">
        <f>IF(U2310&lt;&gt;0,X2310/U2310,"")</f>
        <v/>
      </c>
      <c r="Z2310" s="23">
        <v>0</v>
      </c>
      <c r="AA2310" s="25">
        <v>0</v>
      </c>
      <c r="AB2310" s="24">
        <v>0</v>
      </c>
      <c r="AC2310" s="24">
        <f t="shared" ref="AC2310:AC2338" si="656">Z2310-AB2310</f>
        <v>0</v>
      </c>
      <c r="AD2310" s="53" t="str">
        <f t="shared" ref="AD2310:AD2338" si="657">IF(Z2310&lt;&gt;0,AC2310/Z2310,"")</f>
        <v/>
      </c>
      <c r="AE2310" s="10"/>
    </row>
    <row r="2311" spans="1:31" x14ac:dyDescent="0.25">
      <c r="A2311" s="14" t="s">
        <v>109</v>
      </c>
      <c r="C2311" s="61" t="str">
        <f t="shared" si="655"/>
        <v>C100124</v>
      </c>
      <c r="F2311" s="8" t="str">
        <f>"C100029"</f>
        <v>C100029</v>
      </c>
      <c r="G2311" s="9" t="str">
        <f>"Distressed Twill Visor"</f>
        <v>Distressed Twill Visor</v>
      </c>
      <c r="H2311" s="47"/>
      <c r="I2311" s="47"/>
      <c r="J2311" s="23">
        <v>0</v>
      </c>
      <c r="K2311" s="25">
        <v>0</v>
      </c>
      <c r="L2311" s="24">
        <v>0</v>
      </c>
      <c r="M2311" s="24">
        <f>J2311-L2311</f>
        <v>0</v>
      </c>
      <c r="N2311" s="53" t="str">
        <f>IF(J2311&lt;&gt;0,M2311/J2311,"")</f>
        <v/>
      </c>
      <c r="O2311" s="23">
        <v>482.65</v>
      </c>
      <c r="P2311" s="25">
        <v>144</v>
      </c>
      <c r="Q2311" s="24">
        <v>298.09000000000003</v>
      </c>
      <c r="R2311" s="24">
        <f>O2311-Q2311</f>
        <v>184.55999999999995</v>
      </c>
      <c r="S2311" s="53">
        <f>IF(O2311&lt;&gt;0,R2311/O2311,"")</f>
        <v>0.38238889464415199</v>
      </c>
      <c r="T2311" s="10"/>
      <c r="U2311" s="23">
        <v>0</v>
      </c>
      <c r="V2311" s="25">
        <v>0</v>
      </c>
      <c r="W2311" s="24">
        <v>0</v>
      </c>
      <c r="X2311" s="24">
        <f>U2311-W2311</f>
        <v>0</v>
      </c>
      <c r="Y2311" s="53" t="str">
        <f>IF(U2311&lt;&gt;0,X2311/U2311,"")</f>
        <v/>
      </c>
      <c r="Z2311" s="23">
        <v>0</v>
      </c>
      <c r="AA2311" s="25">
        <v>0</v>
      </c>
      <c r="AB2311" s="24">
        <v>0</v>
      </c>
      <c r="AC2311" s="24">
        <f t="shared" si="656"/>
        <v>0</v>
      </c>
      <c r="AD2311" s="53" t="str">
        <f t="shared" si="657"/>
        <v/>
      </c>
      <c r="AE2311" s="10"/>
    </row>
    <row r="2312" spans="1:31" x14ac:dyDescent="0.25">
      <c r="A2312" s="14" t="s">
        <v>109</v>
      </c>
      <c r="C2312" s="61" t="str">
        <f t="shared" si="655"/>
        <v>C100124</v>
      </c>
      <c r="F2312" s="8" t="str">
        <f>"C100030"</f>
        <v>C100030</v>
      </c>
      <c r="G2312" s="9" t="str">
        <f>"Fashion Visor"</f>
        <v>Fashion Visor</v>
      </c>
      <c r="H2312" s="47"/>
      <c r="I2312" s="47"/>
      <c r="J2312" s="23">
        <v>199.71</v>
      </c>
      <c r="K2312" s="25">
        <v>48</v>
      </c>
      <c r="L2312" s="24">
        <v>116.16</v>
      </c>
      <c r="M2312" s="24">
        <f>J2312-L2312</f>
        <v>83.550000000000011</v>
      </c>
      <c r="N2312" s="53">
        <f>IF(J2312&lt;&gt;0,M2312/J2312,"")</f>
        <v>0.4183566170947875</v>
      </c>
      <c r="O2312" s="23">
        <v>618.04999999999995</v>
      </c>
      <c r="P2312" s="25">
        <v>144</v>
      </c>
      <c r="Q2312" s="24">
        <v>348.49</v>
      </c>
      <c r="R2312" s="24">
        <f>O2312-Q2312</f>
        <v>269.55999999999995</v>
      </c>
      <c r="S2312" s="53">
        <f>IF(O2312&lt;&gt;0,R2312/O2312,"")</f>
        <v>0.43614594288487979</v>
      </c>
      <c r="T2312" s="10"/>
      <c r="U2312" s="23">
        <v>0</v>
      </c>
      <c r="V2312" s="25">
        <v>0</v>
      </c>
      <c r="W2312" s="24">
        <v>0</v>
      </c>
      <c r="X2312" s="24">
        <f>U2312-W2312</f>
        <v>0</v>
      </c>
      <c r="Y2312" s="53" t="str">
        <f>IF(U2312&lt;&gt;0,X2312/U2312,"")</f>
        <v/>
      </c>
      <c r="Z2312" s="23">
        <v>0</v>
      </c>
      <c r="AA2312" s="25">
        <v>0</v>
      </c>
      <c r="AB2312" s="24">
        <v>0</v>
      </c>
      <c r="AC2312" s="24">
        <f t="shared" si="656"/>
        <v>0</v>
      </c>
      <c r="AD2312" s="53" t="str">
        <f t="shared" si="657"/>
        <v/>
      </c>
      <c r="AE2312" s="10"/>
    </row>
    <row r="2313" spans="1:31" x14ac:dyDescent="0.25">
      <c r="A2313" s="14" t="s">
        <v>109</v>
      </c>
      <c r="C2313" s="61" t="str">
        <f t="shared" si="655"/>
        <v>C100124</v>
      </c>
      <c r="F2313" s="8" t="str">
        <f>"C100033"</f>
        <v>C100033</v>
      </c>
      <c r="G2313" s="9" t="str">
        <f>"Frames &amp; Clock"</f>
        <v>Frames &amp; Clock</v>
      </c>
      <c r="H2313" s="47"/>
      <c r="I2313" s="47"/>
      <c r="J2313" s="23">
        <v>220.72000000000003</v>
      </c>
      <c r="K2313" s="25">
        <v>48</v>
      </c>
      <c r="L2313" s="24">
        <v>138.22999999999999</v>
      </c>
      <c r="M2313" s="24">
        <f>J2313-L2313</f>
        <v>82.490000000000038</v>
      </c>
      <c r="N2313" s="53">
        <f>IF(J2313&lt;&gt;0,M2313/J2313,"")</f>
        <v>0.37373142442914109</v>
      </c>
      <c r="O2313" s="23">
        <v>0</v>
      </c>
      <c r="P2313" s="25">
        <v>0</v>
      </c>
      <c r="Q2313" s="24">
        <v>0</v>
      </c>
      <c r="R2313" s="24">
        <f>O2313-Q2313</f>
        <v>0</v>
      </c>
      <c r="S2313" s="53" t="str">
        <f>IF(O2313&lt;&gt;0,R2313/O2313,"")</f>
        <v/>
      </c>
      <c r="T2313" s="10"/>
      <c r="U2313" s="23">
        <v>0</v>
      </c>
      <c r="V2313" s="25">
        <v>0</v>
      </c>
      <c r="W2313" s="24">
        <v>0</v>
      </c>
      <c r="X2313" s="24">
        <f>U2313-W2313</f>
        <v>0</v>
      </c>
      <c r="Y2313" s="53" t="str">
        <f>IF(U2313&lt;&gt;0,X2313/U2313,"")</f>
        <v/>
      </c>
      <c r="Z2313" s="23">
        <v>0</v>
      </c>
      <c r="AA2313" s="25">
        <v>0</v>
      </c>
      <c r="AB2313" s="24">
        <v>0</v>
      </c>
      <c r="AC2313" s="24">
        <f t="shared" si="656"/>
        <v>0</v>
      </c>
      <c r="AD2313" s="53" t="str">
        <f t="shared" si="657"/>
        <v/>
      </c>
      <c r="AE2313" s="10"/>
    </row>
    <row r="2314" spans="1:31" x14ac:dyDescent="0.25">
      <c r="A2314" s="14" t="s">
        <v>109</v>
      </c>
      <c r="C2314" s="61" t="str">
        <f t="shared" si="655"/>
        <v>C100124</v>
      </c>
      <c r="F2314" s="8" t="str">
        <f>"C100042"</f>
        <v>C100042</v>
      </c>
      <c r="G2314" s="9" t="str">
        <f>"Retractable Earbuds"</f>
        <v>Retractable Earbuds</v>
      </c>
      <c r="H2314" s="47"/>
      <c r="I2314" s="47"/>
      <c r="J2314" s="23">
        <v>1.93</v>
      </c>
      <c r="K2314" s="25">
        <v>1</v>
      </c>
      <c r="L2314" s="24">
        <v>1.08</v>
      </c>
      <c r="M2314" s="24">
        <f>J2314-L2314</f>
        <v>0.84999999999999987</v>
      </c>
      <c r="N2314" s="53">
        <f>IF(J2314&lt;&gt;0,M2314/J2314,"")</f>
        <v>0.44041450777202068</v>
      </c>
      <c r="O2314" s="23">
        <v>0</v>
      </c>
      <c r="P2314" s="25">
        <v>0</v>
      </c>
      <c r="Q2314" s="24">
        <v>0</v>
      </c>
      <c r="R2314" s="24">
        <f>O2314-Q2314</f>
        <v>0</v>
      </c>
      <c r="S2314" s="53" t="str">
        <f>IF(O2314&lt;&gt;0,R2314/O2314,"")</f>
        <v/>
      </c>
      <c r="T2314" s="10"/>
      <c r="U2314" s="23">
        <v>0</v>
      </c>
      <c r="V2314" s="25">
        <v>0</v>
      </c>
      <c r="W2314" s="24">
        <v>0</v>
      </c>
      <c r="X2314" s="24">
        <f>U2314-W2314</f>
        <v>0</v>
      </c>
      <c r="Y2314" s="53" t="str">
        <f>IF(U2314&lt;&gt;0,X2314/U2314,"")</f>
        <v/>
      </c>
      <c r="Z2314" s="23">
        <v>0</v>
      </c>
      <c r="AA2314" s="25">
        <v>0</v>
      </c>
      <c r="AB2314" s="24">
        <v>0</v>
      </c>
      <c r="AC2314" s="24">
        <f t="shared" si="656"/>
        <v>0</v>
      </c>
      <c r="AD2314" s="53" t="str">
        <f t="shared" si="657"/>
        <v/>
      </c>
      <c r="AE2314" s="10"/>
    </row>
    <row r="2315" spans="1:31" x14ac:dyDescent="0.25">
      <c r="A2315" s="14" t="s">
        <v>109</v>
      </c>
      <c r="C2315" s="61" t="str">
        <f t="shared" si="655"/>
        <v>C100124</v>
      </c>
      <c r="F2315" s="8" t="str">
        <f>"E100004"</f>
        <v>E100004</v>
      </c>
      <c r="G2315" s="9" t="str">
        <f>"Laminated Tote"</f>
        <v>Laminated Tote</v>
      </c>
      <c r="H2315" s="47"/>
      <c r="I2315" s="47"/>
      <c r="J2315" s="23">
        <v>1.78</v>
      </c>
      <c r="K2315" s="25">
        <v>1</v>
      </c>
      <c r="L2315" s="24">
        <v>1.2</v>
      </c>
      <c r="M2315" s="24">
        <f>J2315-L2315</f>
        <v>0.58000000000000007</v>
      </c>
      <c r="N2315" s="53">
        <f>IF(J2315&lt;&gt;0,M2315/J2315,"")</f>
        <v>0.3258426966292135</v>
      </c>
      <c r="O2315" s="23">
        <v>0</v>
      </c>
      <c r="P2315" s="25">
        <v>0</v>
      </c>
      <c r="Q2315" s="24">
        <v>0</v>
      </c>
      <c r="R2315" s="24">
        <f>O2315-Q2315</f>
        <v>0</v>
      </c>
      <c r="S2315" s="53" t="str">
        <f>IF(O2315&lt;&gt;0,R2315/O2315,"")</f>
        <v/>
      </c>
      <c r="T2315" s="10"/>
      <c r="U2315" s="23">
        <v>88.45</v>
      </c>
      <c r="V2315" s="25">
        <v>48</v>
      </c>
      <c r="W2315" s="24">
        <v>57.6</v>
      </c>
      <c r="X2315" s="24">
        <f>U2315-W2315</f>
        <v>30.85</v>
      </c>
      <c r="Y2315" s="53">
        <f>IF(U2315&lt;&gt;0,X2315/U2315,"")</f>
        <v>0.34878462408140193</v>
      </c>
      <c r="Z2315" s="23">
        <v>10.83</v>
      </c>
      <c r="AA2315" s="25">
        <v>6</v>
      </c>
      <c r="AB2315" s="24">
        <v>7.2</v>
      </c>
      <c r="AC2315" s="24">
        <f t="shared" si="656"/>
        <v>3.63</v>
      </c>
      <c r="AD2315" s="53">
        <f t="shared" si="657"/>
        <v>0.33518005540166201</v>
      </c>
      <c r="AE2315" s="10"/>
    </row>
    <row r="2316" spans="1:31" x14ac:dyDescent="0.25">
      <c r="A2316" s="14" t="s">
        <v>109</v>
      </c>
      <c r="C2316" s="61" t="str">
        <f t="shared" si="655"/>
        <v>C100124</v>
      </c>
      <c r="F2316" s="8" t="str">
        <f>"E100005"</f>
        <v>E100005</v>
      </c>
      <c r="G2316" s="9" t="str">
        <f>"All Purpose Tote"</f>
        <v>All Purpose Tote</v>
      </c>
      <c r="H2316" s="47"/>
      <c r="I2316" s="47"/>
      <c r="J2316" s="23">
        <v>113.94999999999999</v>
      </c>
      <c r="K2316" s="25">
        <v>48</v>
      </c>
      <c r="L2316" s="24">
        <v>59.52</v>
      </c>
      <c r="M2316" s="24">
        <f>J2316-L2316</f>
        <v>54.429999999999986</v>
      </c>
      <c r="N2316" s="53">
        <f>IF(J2316&lt;&gt;0,M2316/J2316,"")</f>
        <v>0.47766564282580071</v>
      </c>
      <c r="O2316" s="23">
        <v>0</v>
      </c>
      <c r="P2316" s="25">
        <v>0</v>
      </c>
      <c r="Q2316" s="24">
        <v>0</v>
      </c>
      <c r="R2316" s="24">
        <f>O2316-Q2316</f>
        <v>0</v>
      </c>
      <c r="S2316" s="53" t="str">
        <f>IF(O2316&lt;&gt;0,R2316/O2316,"")</f>
        <v/>
      </c>
      <c r="T2316" s="10"/>
      <c r="U2316" s="23">
        <v>0</v>
      </c>
      <c r="V2316" s="25">
        <v>0</v>
      </c>
      <c r="W2316" s="24">
        <v>0</v>
      </c>
      <c r="X2316" s="24">
        <f>U2316-W2316</f>
        <v>0</v>
      </c>
      <c r="Y2316" s="53" t="str">
        <f>IF(U2316&lt;&gt;0,X2316/U2316,"")</f>
        <v/>
      </c>
      <c r="Z2316" s="23">
        <v>0</v>
      </c>
      <c r="AA2316" s="25">
        <v>0</v>
      </c>
      <c r="AB2316" s="24">
        <v>0</v>
      </c>
      <c r="AC2316" s="24">
        <f t="shared" si="656"/>
        <v>0</v>
      </c>
      <c r="AD2316" s="53" t="str">
        <f t="shared" si="657"/>
        <v/>
      </c>
      <c r="AE2316" s="10"/>
    </row>
    <row r="2317" spans="1:31" x14ac:dyDescent="0.25">
      <c r="A2317" s="14" t="s">
        <v>109</v>
      </c>
      <c r="C2317" s="61" t="str">
        <f t="shared" si="655"/>
        <v>C100124</v>
      </c>
      <c r="F2317" s="8" t="str">
        <f>"E100006"</f>
        <v>E100006</v>
      </c>
      <c r="G2317" s="9" t="str">
        <f>"Budget Tote Bag"</f>
        <v>Budget Tote Bag</v>
      </c>
      <c r="H2317" s="47"/>
      <c r="I2317" s="47"/>
      <c r="J2317" s="23">
        <v>0</v>
      </c>
      <c r="K2317" s="25">
        <v>0</v>
      </c>
      <c r="L2317" s="24">
        <v>0</v>
      </c>
      <c r="M2317" s="24">
        <f>J2317-L2317</f>
        <v>0</v>
      </c>
      <c r="N2317" s="53" t="str">
        <f>IF(J2317&lt;&gt;0,M2317/J2317,"")</f>
        <v/>
      </c>
      <c r="O2317" s="23">
        <v>0.09</v>
      </c>
      <c r="P2317" s="25">
        <v>1</v>
      </c>
      <c r="Q2317" s="24">
        <v>0.04</v>
      </c>
      <c r="R2317" s="24">
        <f>O2317-Q2317</f>
        <v>4.9999999999999996E-2</v>
      </c>
      <c r="S2317" s="53">
        <f>IF(O2317&lt;&gt;0,R2317/O2317,"")</f>
        <v>0.55555555555555558</v>
      </c>
      <c r="T2317" s="10"/>
      <c r="U2317" s="23">
        <v>0.09</v>
      </c>
      <c r="V2317" s="25">
        <v>1</v>
      </c>
      <c r="W2317" s="24">
        <v>0.04</v>
      </c>
      <c r="X2317" s="24">
        <f>U2317-W2317</f>
        <v>4.9999999999999996E-2</v>
      </c>
      <c r="Y2317" s="53">
        <f>IF(U2317&lt;&gt;0,X2317/U2317,"")</f>
        <v>0.55555555555555558</v>
      </c>
      <c r="Z2317" s="23">
        <v>12.74</v>
      </c>
      <c r="AA2317" s="25">
        <v>145</v>
      </c>
      <c r="AB2317" s="24">
        <v>5.79</v>
      </c>
      <c r="AC2317" s="24">
        <f t="shared" si="656"/>
        <v>6.95</v>
      </c>
      <c r="AD2317" s="53">
        <f t="shared" si="657"/>
        <v>0.54552590266875978</v>
      </c>
      <c r="AE2317" s="10"/>
    </row>
    <row r="2318" spans="1:31" x14ac:dyDescent="0.25">
      <c r="A2318" s="14" t="s">
        <v>109</v>
      </c>
      <c r="C2318" s="61" t="str">
        <f t="shared" si="655"/>
        <v>C100124</v>
      </c>
      <c r="F2318" s="8" t="str">
        <f>"E100007"</f>
        <v>E100007</v>
      </c>
      <c r="G2318" s="9" t="str">
        <f>"Plastic Handle Bag"</f>
        <v>Plastic Handle Bag</v>
      </c>
      <c r="H2318" s="47"/>
      <c r="I2318" s="47"/>
      <c r="J2318" s="23">
        <v>0.32</v>
      </c>
      <c r="K2318" s="25">
        <v>1</v>
      </c>
      <c r="L2318" s="24">
        <v>0.18</v>
      </c>
      <c r="M2318" s="24">
        <f>J2318-L2318</f>
        <v>0.14000000000000001</v>
      </c>
      <c r="N2318" s="53">
        <f>IF(J2318&lt;&gt;0,M2318/J2318,"")</f>
        <v>0.43750000000000006</v>
      </c>
      <c r="O2318" s="23">
        <v>46.57</v>
      </c>
      <c r="P2318" s="25">
        <v>144</v>
      </c>
      <c r="Q2318" s="24">
        <v>25.92</v>
      </c>
      <c r="R2318" s="24">
        <f>O2318-Q2318</f>
        <v>20.65</v>
      </c>
      <c r="S2318" s="53">
        <f>IF(O2318&lt;&gt;0,R2318/O2318,"")</f>
        <v>0.44341850977023833</v>
      </c>
      <c r="T2318" s="10"/>
      <c r="U2318" s="23">
        <v>0</v>
      </c>
      <c r="V2318" s="25">
        <v>0</v>
      </c>
      <c r="W2318" s="24">
        <v>0</v>
      </c>
      <c r="X2318" s="24">
        <f>U2318-W2318</f>
        <v>0</v>
      </c>
      <c r="Y2318" s="53" t="str">
        <f>IF(U2318&lt;&gt;0,X2318/U2318,"")</f>
        <v/>
      </c>
      <c r="Z2318" s="23">
        <v>0</v>
      </c>
      <c r="AA2318" s="25">
        <v>0</v>
      </c>
      <c r="AB2318" s="24">
        <v>0</v>
      </c>
      <c r="AC2318" s="24">
        <f t="shared" si="656"/>
        <v>0</v>
      </c>
      <c r="AD2318" s="53" t="str">
        <f t="shared" si="657"/>
        <v/>
      </c>
      <c r="AE2318" s="10"/>
    </row>
    <row r="2319" spans="1:31" x14ac:dyDescent="0.25">
      <c r="A2319" s="14" t="s">
        <v>109</v>
      </c>
      <c r="C2319" s="61" t="str">
        <f t="shared" si="655"/>
        <v>C100124</v>
      </c>
      <c r="F2319" s="8" t="str">
        <f>"E100009"</f>
        <v>E100009</v>
      </c>
      <c r="G2319" s="9" t="str">
        <f>"Die-Cut Tote"</f>
        <v>Die-Cut Tote</v>
      </c>
      <c r="H2319" s="47"/>
      <c r="I2319" s="47"/>
      <c r="J2319" s="23">
        <v>0.22</v>
      </c>
      <c r="K2319" s="25">
        <v>1</v>
      </c>
      <c r="L2319" s="24">
        <v>0.11</v>
      </c>
      <c r="M2319" s="24">
        <f>J2319-L2319</f>
        <v>0.11</v>
      </c>
      <c r="N2319" s="53">
        <f>IF(J2319&lt;&gt;0,M2319/J2319,"")</f>
        <v>0.5</v>
      </c>
      <c r="O2319" s="23">
        <v>0.23</v>
      </c>
      <c r="P2319" s="25">
        <v>1</v>
      </c>
      <c r="Q2319" s="24">
        <v>0.11</v>
      </c>
      <c r="R2319" s="24">
        <f>O2319-Q2319</f>
        <v>0.12000000000000001</v>
      </c>
      <c r="S2319" s="53">
        <f>IF(O2319&lt;&gt;0,R2319/O2319,"")</f>
        <v>0.52173913043478259</v>
      </c>
      <c r="T2319" s="10"/>
      <c r="U2319" s="23">
        <v>0.23</v>
      </c>
      <c r="V2319" s="25">
        <v>1</v>
      </c>
      <c r="W2319" s="24">
        <v>0.11</v>
      </c>
      <c r="X2319" s="24">
        <f>U2319-W2319</f>
        <v>0.12000000000000001</v>
      </c>
      <c r="Y2319" s="53">
        <f>IF(U2319&lt;&gt;0,X2319/U2319,"")</f>
        <v>0.52173913043478259</v>
      </c>
      <c r="Z2319" s="23">
        <v>32.159999999999997</v>
      </c>
      <c r="AA2319" s="25">
        <v>144</v>
      </c>
      <c r="AB2319" s="24">
        <v>15.85</v>
      </c>
      <c r="AC2319" s="24">
        <f t="shared" si="656"/>
        <v>16.309999999999995</v>
      </c>
      <c r="AD2319" s="53">
        <f t="shared" si="657"/>
        <v>0.50715174129353224</v>
      </c>
      <c r="AE2319" s="10"/>
    </row>
    <row r="2320" spans="1:31" x14ac:dyDescent="0.25">
      <c r="A2320" s="14" t="s">
        <v>109</v>
      </c>
      <c r="C2320" s="61" t="str">
        <f t="shared" si="655"/>
        <v>C100124</v>
      </c>
      <c r="F2320" s="8" t="str">
        <f>"E100010"</f>
        <v>E100010</v>
      </c>
      <c r="G2320" s="9" t="str">
        <f>"Vinyl Tote"</f>
        <v>Vinyl Tote</v>
      </c>
      <c r="H2320" s="47"/>
      <c r="I2320" s="47"/>
      <c r="J2320" s="23">
        <v>41.08</v>
      </c>
      <c r="K2320" s="25">
        <v>144</v>
      </c>
      <c r="L2320" s="24">
        <v>25.92</v>
      </c>
      <c r="M2320" s="24">
        <f>J2320-L2320</f>
        <v>15.159999999999997</v>
      </c>
      <c r="N2320" s="53">
        <f>IF(J2320&lt;&gt;0,M2320/J2320,"")</f>
        <v>0.3690360272638753</v>
      </c>
      <c r="O2320" s="23">
        <v>14.89</v>
      </c>
      <c r="P2320" s="25">
        <v>49</v>
      </c>
      <c r="Q2320" s="24">
        <v>8.82</v>
      </c>
      <c r="R2320" s="24">
        <f>O2320-Q2320</f>
        <v>6.07</v>
      </c>
      <c r="S2320" s="53">
        <f>IF(O2320&lt;&gt;0,R2320/O2320,"")</f>
        <v>0.40765614506380121</v>
      </c>
      <c r="T2320" s="10"/>
      <c r="U2320" s="23">
        <v>0.31</v>
      </c>
      <c r="V2320" s="25">
        <v>1</v>
      </c>
      <c r="W2320" s="24">
        <v>0.18</v>
      </c>
      <c r="X2320" s="24">
        <f>U2320-W2320</f>
        <v>0.13</v>
      </c>
      <c r="Y2320" s="53">
        <f>IF(U2320&lt;&gt;0,X2320/U2320,"")</f>
        <v>0.41935483870967744</v>
      </c>
      <c r="Z2320" s="23">
        <v>0</v>
      </c>
      <c r="AA2320" s="25">
        <v>0</v>
      </c>
      <c r="AB2320" s="24">
        <v>0</v>
      </c>
      <c r="AC2320" s="24">
        <f t="shared" si="656"/>
        <v>0</v>
      </c>
      <c r="AD2320" s="53" t="str">
        <f t="shared" si="657"/>
        <v/>
      </c>
      <c r="AE2320" s="10"/>
    </row>
    <row r="2321" spans="1:31" x14ac:dyDescent="0.25">
      <c r="A2321" s="14" t="s">
        <v>109</v>
      </c>
      <c r="C2321" s="61" t="str">
        <f t="shared" si="655"/>
        <v>C100124</v>
      </c>
      <c r="F2321" s="8" t="str">
        <f>"E100014"</f>
        <v>E100014</v>
      </c>
      <c r="G2321" s="9" t="str">
        <f>"Stopwatch with Neck Rope"</f>
        <v>Stopwatch with Neck Rope</v>
      </c>
      <c r="H2321" s="47"/>
      <c r="I2321" s="47"/>
      <c r="J2321" s="23">
        <v>0</v>
      </c>
      <c r="K2321" s="25">
        <v>0</v>
      </c>
      <c r="L2321" s="24">
        <v>0</v>
      </c>
      <c r="M2321" s="24">
        <f>J2321-L2321</f>
        <v>0</v>
      </c>
      <c r="N2321" s="53" t="str">
        <f>IF(J2321&lt;&gt;0,M2321/J2321,"")</f>
        <v/>
      </c>
      <c r="O2321" s="23">
        <v>387.99</v>
      </c>
      <c r="P2321" s="25">
        <v>144</v>
      </c>
      <c r="Q2321" s="24">
        <v>185.75</v>
      </c>
      <c r="R2321" s="24">
        <f>O2321-Q2321</f>
        <v>202.24</v>
      </c>
      <c r="S2321" s="53">
        <f>IF(O2321&lt;&gt;0,R2321/O2321,"")</f>
        <v>0.52125054769452817</v>
      </c>
      <c r="T2321" s="10"/>
      <c r="U2321" s="23">
        <v>0</v>
      </c>
      <c r="V2321" s="25">
        <v>0</v>
      </c>
      <c r="W2321" s="24">
        <v>0</v>
      </c>
      <c r="X2321" s="24">
        <f>U2321-W2321</f>
        <v>0</v>
      </c>
      <c r="Y2321" s="53" t="str">
        <f>IF(U2321&lt;&gt;0,X2321/U2321,"")</f>
        <v/>
      </c>
      <c r="Z2321" s="23">
        <v>2.65</v>
      </c>
      <c r="AA2321" s="25">
        <v>1</v>
      </c>
      <c r="AB2321" s="24">
        <v>1.29</v>
      </c>
      <c r="AC2321" s="24">
        <f t="shared" si="656"/>
        <v>1.3599999999999999</v>
      </c>
      <c r="AD2321" s="53">
        <f t="shared" si="657"/>
        <v>0.51320754716981132</v>
      </c>
      <c r="AE2321" s="10"/>
    </row>
    <row r="2322" spans="1:31" x14ac:dyDescent="0.25">
      <c r="A2322" s="14" t="s">
        <v>109</v>
      </c>
      <c r="C2322" s="61" t="str">
        <f t="shared" si="655"/>
        <v>C100124</v>
      </c>
      <c r="F2322" s="8" t="str">
        <f>"E100015"</f>
        <v>E100015</v>
      </c>
      <c r="G2322" s="9" t="str">
        <f>"360 Clip Watch"</f>
        <v>360 Clip Watch</v>
      </c>
      <c r="H2322" s="47"/>
      <c r="I2322" s="47"/>
      <c r="J2322" s="23">
        <v>286.95</v>
      </c>
      <c r="K2322" s="25">
        <v>145</v>
      </c>
      <c r="L2322" s="24">
        <v>147.9</v>
      </c>
      <c r="M2322" s="24">
        <f>J2322-L2322</f>
        <v>139.04999999999998</v>
      </c>
      <c r="N2322" s="53">
        <f>IF(J2322&lt;&gt;0,M2322/J2322,"")</f>
        <v>0.4845791949817041</v>
      </c>
      <c r="O2322" s="23">
        <v>0</v>
      </c>
      <c r="P2322" s="25">
        <v>0</v>
      </c>
      <c r="Q2322" s="24">
        <v>0</v>
      </c>
      <c r="R2322" s="24">
        <f>O2322-Q2322</f>
        <v>0</v>
      </c>
      <c r="S2322" s="53" t="str">
        <f>IF(O2322&lt;&gt;0,R2322/O2322,"")</f>
        <v/>
      </c>
      <c r="T2322" s="10"/>
      <c r="U2322" s="23">
        <v>0</v>
      </c>
      <c r="V2322" s="25">
        <v>0</v>
      </c>
      <c r="W2322" s="24">
        <v>0</v>
      </c>
      <c r="X2322" s="24">
        <f>U2322-W2322</f>
        <v>0</v>
      </c>
      <c r="Y2322" s="53" t="str">
        <f>IF(U2322&lt;&gt;0,X2322/U2322,"")</f>
        <v/>
      </c>
      <c r="Z2322" s="23">
        <v>0</v>
      </c>
      <c r="AA2322" s="25">
        <v>0</v>
      </c>
      <c r="AB2322" s="24">
        <v>0</v>
      </c>
      <c r="AC2322" s="24">
        <f t="shared" si="656"/>
        <v>0</v>
      </c>
      <c r="AD2322" s="53" t="str">
        <f t="shared" si="657"/>
        <v/>
      </c>
      <c r="AE2322" s="10"/>
    </row>
    <row r="2323" spans="1:31" x14ac:dyDescent="0.25">
      <c r="A2323" s="14" t="s">
        <v>109</v>
      </c>
      <c r="C2323" s="61" t="str">
        <f t="shared" si="655"/>
        <v>C100124</v>
      </c>
      <c r="F2323" s="8" t="str">
        <f>"E100019"</f>
        <v>E100019</v>
      </c>
      <c r="G2323" s="9" t="str">
        <f>"Mini Travel Alarm"</f>
        <v>Mini Travel Alarm</v>
      </c>
      <c r="H2323" s="47"/>
      <c r="I2323" s="47"/>
      <c r="J2323" s="23">
        <v>77.28</v>
      </c>
      <c r="K2323" s="25">
        <v>24</v>
      </c>
      <c r="L2323" s="24">
        <v>38.880000000000003</v>
      </c>
      <c r="M2323" s="24">
        <f>J2323-L2323</f>
        <v>38.4</v>
      </c>
      <c r="N2323" s="53">
        <f>IF(J2323&lt;&gt;0,M2323/J2323,"")</f>
        <v>0.49689440993788819</v>
      </c>
      <c r="O2323" s="23">
        <v>0</v>
      </c>
      <c r="P2323" s="25">
        <v>0</v>
      </c>
      <c r="Q2323" s="24">
        <v>0</v>
      </c>
      <c r="R2323" s="24">
        <f>O2323-Q2323</f>
        <v>0</v>
      </c>
      <c r="S2323" s="53" t="str">
        <f>IF(O2323&lt;&gt;0,R2323/O2323,"")</f>
        <v/>
      </c>
      <c r="T2323" s="10"/>
      <c r="U2323" s="23">
        <v>0</v>
      </c>
      <c r="V2323" s="25">
        <v>0</v>
      </c>
      <c r="W2323" s="24">
        <v>0</v>
      </c>
      <c r="X2323" s="24">
        <f>U2323-W2323</f>
        <v>0</v>
      </c>
      <c r="Y2323" s="53" t="str">
        <f>IF(U2323&lt;&gt;0,X2323/U2323,"")</f>
        <v/>
      </c>
      <c r="Z2323" s="23">
        <v>468.57</v>
      </c>
      <c r="AA2323" s="25">
        <v>144</v>
      </c>
      <c r="AB2323" s="24">
        <v>233.26999999999998</v>
      </c>
      <c r="AC2323" s="24">
        <f t="shared" si="656"/>
        <v>235.3</v>
      </c>
      <c r="AD2323" s="53">
        <f t="shared" si="657"/>
        <v>0.50216616514074741</v>
      </c>
      <c r="AE2323" s="10"/>
    </row>
    <row r="2324" spans="1:31" x14ac:dyDescent="0.25">
      <c r="A2324" s="14" t="s">
        <v>109</v>
      </c>
      <c r="C2324" s="61" t="str">
        <f t="shared" si="655"/>
        <v>C100124</v>
      </c>
      <c r="F2324" s="8" t="str">
        <f>"E100024"</f>
        <v>E100024</v>
      </c>
      <c r="G2324" s="9" t="str">
        <f>"Arch Calculator"</f>
        <v>Arch Calculator</v>
      </c>
      <c r="H2324" s="47"/>
      <c r="I2324" s="47"/>
      <c r="J2324" s="23">
        <v>842.73</v>
      </c>
      <c r="K2324" s="25">
        <v>288</v>
      </c>
      <c r="L2324" s="24">
        <v>495.18</v>
      </c>
      <c r="M2324" s="24">
        <f>J2324-L2324</f>
        <v>347.55</v>
      </c>
      <c r="N2324" s="53">
        <f>IF(J2324&lt;&gt;0,M2324/J2324,"")</f>
        <v>0.41240966857712436</v>
      </c>
      <c r="O2324" s="23">
        <v>0</v>
      </c>
      <c r="P2324" s="25">
        <v>0</v>
      </c>
      <c r="Q2324" s="24">
        <v>0</v>
      </c>
      <c r="R2324" s="24">
        <f>O2324-Q2324</f>
        <v>0</v>
      </c>
      <c r="S2324" s="53" t="str">
        <f>IF(O2324&lt;&gt;0,R2324/O2324,"")</f>
        <v/>
      </c>
      <c r="T2324" s="10"/>
      <c r="U2324" s="23">
        <v>0</v>
      </c>
      <c r="V2324" s="25">
        <v>0</v>
      </c>
      <c r="W2324" s="24">
        <v>0</v>
      </c>
      <c r="X2324" s="24">
        <f>U2324-W2324</f>
        <v>0</v>
      </c>
      <c r="Y2324" s="53" t="str">
        <f>IF(U2324&lt;&gt;0,X2324/U2324,"")</f>
        <v/>
      </c>
      <c r="Z2324" s="23">
        <v>442.75</v>
      </c>
      <c r="AA2324" s="25">
        <v>145</v>
      </c>
      <c r="AB2324" s="24">
        <v>249.31</v>
      </c>
      <c r="AC2324" s="24">
        <f t="shared" si="656"/>
        <v>193.44</v>
      </c>
      <c r="AD2324" s="53">
        <f t="shared" si="657"/>
        <v>0.43690570299265952</v>
      </c>
      <c r="AE2324" s="10"/>
    </row>
    <row r="2325" spans="1:31" x14ac:dyDescent="0.25">
      <c r="A2325" s="14" t="s">
        <v>109</v>
      </c>
      <c r="C2325" s="61" t="str">
        <f t="shared" si="655"/>
        <v>C100124</v>
      </c>
      <c r="F2325" s="8" t="str">
        <f>"E100026"</f>
        <v>E100026</v>
      </c>
      <c r="G2325" s="9" t="str">
        <f>"Desk Calculator"</f>
        <v>Desk Calculator</v>
      </c>
      <c r="H2325" s="47"/>
      <c r="I2325" s="47"/>
      <c r="J2325" s="23">
        <v>229</v>
      </c>
      <c r="K2325" s="25">
        <v>288</v>
      </c>
      <c r="L2325" s="24">
        <v>138.36000000000001</v>
      </c>
      <c r="M2325" s="24">
        <f>J2325-L2325</f>
        <v>90.639999999999986</v>
      </c>
      <c r="N2325" s="53">
        <f>IF(J2325&lt;&gt;0,M2325/J2325,"")</f>
        <v>0.39580786026200865</v>
      </c>
      <c r="O2325" s="23">
        <v>120.00999999999999</v>
      </c>
      <c r="P2325" s="25">
        <v>144</v>
      </c>
      <c r="Q2325" s="24">
        <v>69.180000000000007</v>
      </c>
      <c r="R2325" s="24">
        <f>O2325-Q2325</f>
        <v>50.829999999999984</v>
      </c>
      <c r="S2325" s="53">
        <f>IF(O2325&lt;&gt;0,R2325/O2325,"")</f>
        <v>0.42354803766352794</v>
      </c>
      <c r="T2325" s="10"/>
      <c r="U2325" s="23">
        <v>0</v>
      </c>
      <c r="V2325" s="25">
        <v>0</v>
      </c>
      <c r="W2325" s="24">
        <v>0</v>
      </c>
      <c r="X2325" s="24">
        <f>U2325-W2325</f>
        <v>0</v>
      </c>
      <c r="Y2325" s="53" t="str">
        <f>IF(U2325&lt;&gt;0,X2325/U2325,"")</f>
        <v/>
      </c>
      <c r="Z2325" s="23">
        <v>0</v>
      </c>
      <c r="AA2325" s="25">
        <v>0</v>
      </c>
      <c r="AB2325" s="24">
        <v>0</v>
      </c>
      <c r="AC2325" s="24">
        <f t="shared" si="656"/>
        <v>0</v>
      </c>
      <c r="AD2325" s="53" t="str">
        <f t="shared" si="657"/>
        <v/>
      </c>
      <c r="AE2325" s="10"/>
    </row>
    <row r="2326" spans="1:31" x14ac:dyDescent="0.25">
      <c r="A2326" s="14" t="s">
        <v>109</v>
      </c>
      <c r="C2326" s="61" t="str">
        <f t="shared" si="655"/>
        <v>C100124</v>
      </c>
      <c r="F2326" s="8" t="str">
        <f>"E100027"</f>
        <v>E100027</v>
      </c>
      <c r="G2326" s="9" t="str">
        <f>"Ergo-Calculator"</f>
        <v>Ergo-Calculator</v>
      </c>
      <c r="H2326" s="47"/>
      <c r="I2326" s="47"/>
      <c r="J2326" s="23">
        <v>57.379999999999995</v>
      </c>
      <c r="K2326" s="25">
        <v>25</v>
      </c>
      <c r="L2326" s="24">
        <v>32.01</v>
      </c>
      <c r="M2326" s="24">
        <f>J2326-L2326</f>
        <v>25.369999999999997</v>
      </c>
      <c r="N2326" s="53">
        <f>IF(J2326&lt;&gt;0,M2326/J2326,"")</f>
        <v>0.44214011850819102</v>
      </c>
      <c r="O2326" s="23">
        <v>0</v>
      </c>
      <c r="P2326" s="25">
        <v>0</v>
      </c>
      <c r="Q2326" s="24">
        <v>0</v>
      </c>
      <c r="R2326" s="24">
        <f>O2326-Q2326</f>
        <v>0</v>
      </c>
      <c r="S2326" s="53" t="str">
        <f>IF(O2326&lt;&gt;0,R2326/O2326,"")</f>
        <v/>
      </c>
      <c r="T2326" s="10"/>
      <c r="U2326" s="23">
        <v>0</v>
      </c>
      <c r="V2326" s="25">
        <v>0</v>
      </c>
      <c r="W2326" s="24">
        <v>0</v>
      </c>
      <c r="X2326" s="24">
        <f>U2326-W2326</f>
        <v>0</v>
      </c>
      <c r="Y2326" s="53" t="str">
        <f>IF(U2326&lt;&gt;0,X2326/U2326,"")</f>
        <v/>
      </c>
      <c r="Z2326" s="23">
        <v>0</v>
      </c>
      <c r="AA2326" s="25">
        <v>0</v>
      </c>
      <c r="AB2326" s="24">
        <v>0</v>
      </c>
      <c r="AC2326" s="24">
        <f t="shared" si="656"/>
        <v>0</v>
      </c>
      <c r="AD2326" s="53" t="str">
        <f t="shared" si="657"/>
        <v/>
      </c>
      <c r="AE2326" s="10"/>
    </row>
    <row r="2327" spans="1:31" x14ac:dyDescent="0.25">
      <c r="A2327" s="14" t="s">
        <v>109</v>
      </c>
      <c r="C2327" s="61" t="str">
        <f t="shared" si="655"/>
        <v>C100124</v>
      </c>
      <c r="F2327" s="8" t="str">
        <f>"E100031"</f>
        <v>E100031</v>
      </c>
      <c r="G2327" s="9" t="str">
        <f>"Ad Torch"</f>
        <v>Ad Torch</v>
      </c>
      <c r="H2327" s="47"/>
      <c r="I2327" s="47"/>
      <c r="J2327" s="23">
        <v>0</v>
      </c>
      <c r="K2327" s="25">
        <v>0</v>
      </c>
      <c r="L2327" s="24">
        <v>0</v>
      </c>
      <c r="M2327" s="24">
        <f>J2327-L2327</f>
        <v>0</v>
      </c>
      <c r="N2327" s="53" t="str">
        <f>IF(J2327&lt;&gt;0,M2327/J2327,"")</f>
        <v/>
      </c>
      <c r="O2327" s="23">
        <v>65.599999999999994</v>
      </c>
      <c r="P2327" s="25">
        <v>24</v>
      </c>
      <c r="Q2327" s="24">
        <v>33.119999999999997</v>
      </c>
      <c r="R2327" s="24">
        <f>O2327-Q2327</f>
        <v>32.479999999999997</v>
      </c>
      <c r="S2327" s="53">
        <f>IF(O2327&lt;&gt;0,R2327/O2327,"")</f>
        <v>0.49512195121951219</v>
      </c>
      <c r="T2327" s="10"/>
      <c r="U2327" s="23">
        <v>0</v>
      </c>
      <c r="V2327" s="25">
        <v>0</v>
      </c>
      <c r="W2327" s="24">
        <v>0</v>
      </c>
      <c r="X2327" s="24">
        <f>U2327-W2327</f>
        <v>0</v>
      </c>
      <c r="Y2327" s="53" t="str">
        <f>IF(U2327&lt;&gt;0,X2327/U2327,"")</f>
        <v/>
      </c>
      <c r="Z2327" s="23">
        <v>0</v>
      </c>
      <c r="AA2327" s="25">
        <v>0</v>
      </c>
      <c r="AB2327" s="24">
        <v>0</v>
      </c>
      <c r="AC2327" s="24">
        <f t="shared" si="656"/>
        <v>0</v>
      </c>
      <c r="AD2327" s="53" t="str">
        <f t="shared" si="657"/>
        <v/>
      </c>
      <c r="AE2327" s="10"/>
    </row>
    <row r="2328" spans="1:31" x14ac:dyDescent="0.25">
      <c r="A2328" s="14" t="s">
        <v>109</v>
      </c>
      <c r="C2328" s="61" t="str">
        <f t="shared" si="655"/>
        <v>C100124</v>
      </c>
      <c r="F2328" s="8" t="str">
        <f>"E100032"</f>
        <v>E100032</v>
      </c>
      <c r="G2328" s="9" t="str">
        <f>"Button Key-Light"</f>
        <v>Button Key-Light</v>
      </c>
      <c r="H2328" s="47"/>
      <c r="I2328" s="47"/>
      <c r="J2328" s="23">
        <v>0</v>
      </c>
      <c r="K2328" s="25">
        <v>0</v>
      </c>
      <c r="L2328" s="24">
        <v>0</v>
      </c>
      <c r="M2328" s="24">
        <f>J2328-L2328</f>
        <v>0</v>
      </c>
      <c r="N2328" s="53" t="str">
        <f>IF(J2328&lt;&gt;0,M2328/J2328,"")</f>
        <v/>
      </c>
      <c r="O2328" s="23">
        <v>0.49</v>
      </c>
      <c r="P2328" s="25">
        <v>1</v>
      </c>
      <c r="Q2328" s="24">
        <v>0.33</v>
      </c>
      <c r="R2328" s="24">
        <f>O2328-Q2328</f>
        <v>0.15999999999999998</v>
      </c>
      <c r="S2328" s="53">
        <f>IF(O2328&lt;&gt;0,R2328/O2328,"")</f>
        <v>0.32653061224489793</v>
      </c>
      <c r="T2328" s="10"/>
      <c r="U2328" s="23">
        <v>0</v>
      </c>
      <c r="V2328" s="25">
        <v>0</v>
      </c>
      <c r="W2328" s="24">
        <v>0</v>
      </c>
      <c r="X2328" s="24">
        <f>U2328-W2328</f>
        <v>0</v>
      </c>
      <c r="Y2328" s="53" t="str">
        <f>IF(U2328&lt;&gt;0,X2328/U2328,"")</f>
        <v/>
      </c>
      <c r="Z2328" s="23">
        <v>0</v>
      </c>
      <c r="AA2328" s="25">
        <v>0</v>
      </c>
      <c r="AB2328" s="24">
        <v>0</v>
      </c>
      <c r="AC2328" s="24">
        <f t="shared" si="656"/>
        <v>0</v>
      </c>
      <c r="AD2328" s="53" t="str">
        <f t="shared" si="657"/>
        <v/>
      </c>
      <c r="AE2328" s="10"/>
    </row>
    <row r="2329" spans="1:31" x14ac:dyDescent="0.25">
      <c r="A2329" s="14" t="s">
        <v>109</v>
      </c>
      <c r="C2329" s="61" t="str">
        <f t="shared" si="655"/>
        <v>C100124</v>
      </c>
      <c r="F2329" s="8" t="str">
        <f>"E100033"</f>
        <v>E100033</v>
      </c>
      <c r="G2329" s="9" t="str">
        <f>"Dual Source Flashlight"</f>
        <v>Dual Source Flashlight</v>
      </c>
      <c r="H2329" s="47"/>
      <c r="I2329" s="47"/>
      <c r="J2329" s="23">
        <v>434.59</v>
      </c>
      <c r="K2329" s="25">
        <v>144</v>
      </c>
      <c r="L2329" s="24">
        <v>224.60000000000002</v>
      </c>
      <c r="M2329" s="24">
        <f>J2329-L2329</f>
        <v>209.98999999999995</v>
      </c>
      <c r="N2329" s="53">
        <f>IF(J2329&lt;&gt;0,M2329/J2329,"")</f>
        <v>0.48319105363676101</v>
      </c>
      <c r="O2329" s="23">
        <v>0</v>
      </c>
      <c r="P2329" s="25">
        <v>0</v>
      </c>
      <c r="Q2329" s="24">
        <v>0</v>
      </c>
      <c r="R2329" s="24">
        <f>O2329-Q2329</f>
        <v>0</v>
      </c>
      <c r="S2329" s="53" t="str">
        <f>IF(O2329&lt;&gt;0,R2329/O2329,"")</f>
        <v/>
      </c>
      <c r="T2329" s="10"/>
      <c r="U2329" s="23">
        <v>0</v>
      </c>
      <c r="V2329" s="25">
        <v>0</v>
      </c>
      <c r="W2329" s="24">
        <v>0</v>
      </c>
      <c r="X2329" s="24">
        <f>U2329-W2329</f>
        <v>0</v>
      </c>
      <c r="Y2329" s="53" t="str">
        <f>IF(U2329&lt;&gt;0,X2329/U2329,"")</f>
        <v/>
      </c>
      <c r="Z2329" s="23">
        <v>458.21000000000004</v>
      </c>
      <c r="AA2329" s="25">
        <v>144</v>
      </c>
      <c r="AB2329" s="24">
        <v>224.60000000000002</v>
      </c>
      <c r="AC2329" s="24">
        <f t="shared" si="656"/>
        <v>233.61</v>
      </c>
      <c r="AD2329" s="53">
        <f t="shared" si="657"/>
        <v>0.50983173654001435</v>
      </c>
      <c r="AE2329" s="10"/>
    </row>
    <row r="2330" spans="1:31" x14ac:dyDescent="0.25">
      <c r="A2330" s="14" t="s">
        <v>109</v>
      </c>
      <c r="C2330" s="61" t="str">
        <f t="shared" si="655"/>
        <v>C100124</v>
      </c>
      <c r="F2330" s="8" t="str">
        <f>"E100034"</f>
        <v>E100034</v>
      </c>
      <c r="G2330" s="9" t="str">
        <f>"Bamboo 1GB USB Flash Drive"</f>
        <v>Bamboo 1GB USB Flash Drive</v>
      </c>
      <c r="H2330" s="47"/>
      <c r="I2330" s="47"/>
      <c r="J2330" s="23">
        <v>794.83</v>
      </c>
      <c r="K2330" s="25">
        <v>144</v>
      </c>
      <c r="L2330" s="24">
        <v>388.83</v>
      </c>
      <c r="M2330" s="24">
        <f>J2330-L2330</f>
        <v>406.00000000000006</v>
      </c>
      <c r="N2330" s="53">
        <f>IF(J2330&lt;&gt;0,M2330/J2330,"")</f>
        <v>0.51080105179723967</v>
      </c>
      <c r="O2330" s="23">
        <v>0</v>
      </c>
      <c r="P2330" s="25">
        <v>0</v>
      </c>
      <c r="Q2330" s="24">
        <v>0</v>
      </c>
      <c r="R2330" s="24">
        <f>O2330-Q2330</f>
        <v>0</v>
      </c>
      <c r="S2330" s="53" t="str">
        <f>IF(O2330&lt;&gt;0,R2330/O2330,"")</f>
        <v/>
      </c>
      <c r="T2330" s="10"/>
      <c r="U2330" s="23">
        <v>0</v>
      </c>
      <c r="V2330" s="25">
        <v>0</v>
      </c>
      <c r="W2330" s="24">
        <v>0</v>
      </c>
      <c r="X2330" s="24">
        <f>U2330-W2330</f>
        <v>0</v>
      </c>
      <c r="Y2330" s="53" t="str">
        <f>IF(U2330&lt;&gt;0,X2330/U2330,"")</f>
        <v/>
      </c>
      <c r="Z2330" s="23">
        <v>0</v>
      </c>
      <c r="AA2330" s="25">
        <v>0</v>
      </c>
      <c r="AB2330" s="24">
        <v>0</v>
      </c>
      <c r="AC2330" s="24">
        <f t="shared" si="656"/>
        <v>0</v>
      </c>
      <c r="AD2330" s="53" t="str">
        <f t="shared" si="657"/>
        <v/>
      </c>
      <c r="AE2330" s="10"/>
    </row>
    <row r="2331" spans="1:31" x14ac:dyDescent="0.25">
      <c r="A2331" s="14" t="s">
        <v>109</v>
      </c>
      <c r="C2331" s="61" t="str">
        <f t="shared" si="655"/>
        <v>C100124</v>
      </c>
      <c r="F2331" s="8" t="str">
        <f>"E100038"</f>
        <v>E100038</v>
      </c>
      <c r="G2331" s="9" t="str">
        <f>"1GB USB Flash Drive Pen"</f>
        <v>1GB USB Flash Drive Pen</v>
      </c>
      <c r="H2331" s="47"/>
      <c r="I2331" s="47"/>
      <c r="J2331" s="23">
        <v>779.73</v>
      </c>
      <c r="K2331" s="25">
        <v>144</v>
      </c>
      <c r="L2331" s="24">
        <v>427.72999999999996</v>
      </c>
      <c r="M2331" s="24">
        <f>J2331-L2331</f>
        <v>352.00000000000006</v>
      </c>
      <c r="N2331" s="53">
        <f>IF(J2331&lt;&gt;0,M2331/J2331,"")</f>
        <v>0.45143831839226406</v>
      </c>
      <c r="O2331" s="23">
        <v>5.58</v>
      </c>
      <c r="P2331" s="25">
        <v>1</v>
      </c>
      <c r="Q2331" s="24">
        <v>2.97</v>
      </c>
      <c r="R2331" s="24">
        <f>O2331-Q2331</f>
        <v>2.61</v>
      </c>
      <c r="S2331" s="53">
        <f>IF(O2331&lt;&gt;0,R2331/O2331,"")</f>
        <v>0.46774193548387094</v>
      </c>
      <c r="T2331" s="10"/>
      <c r="U2331" s="23">
        <v>0</v>
      </c>
      <c r="V2331" s="25">
        <v>0</v>
      </c>
      <c r="W2331" s="24">
        <v>0</v>
      </c>
      <c r="X2331" s="24">
        <f>U2331-W2331</f>
        <v>0</v>
      </c>
      <c r="Y2331" s="53" t="str">
        <f>IF(U2331&lt;&gt;0,X2331/U2331,"")</f>
        <v/>
      </c>
      <c r="Z2331" s="23">
        <v>0</v>
      </c>
      <c r="AA2331" s="25">
        <v>0</v>
      </c>
      <c r="AB2331" s="24">
        <v>0</v>
      </c>
      <c r="AC2331" s="24">
        <f t="shared" si="656"/>
        <v>0</v>
      </c>
      <c r="AD2331" s="53" t="str">
        <f t="shared" si="657"/>
        <v/>
      </c>
      <c r="AE2331" s="10"/>
    </row>
    <row r="2332" spans="1:31" x14ac:dyDescent="0.25">
      <c r="A2332" s="14" t="s">
        <v>109</v>
      </c>
      <c r="C2332" s="61" t="str">
        <f t="shared" si="655"/>
        <v>C100124</v>
      </c>
      <c r="F2332" s="8" t="str">
        <f>"E100041"</f>
        <v>E100041</v>
      </c>
      <c r="G2332" s="9" t="str">
        <f>"Biodegradable Colored SPORT BOT"</f>
        <v>Biodegradable Colored SPORT BOT</v>
      </c>
      <c r="H2332" s="47"/>
      <c r="I2332" s="47"/>
      <c r="J2332" s="23">
        <v>0</v>
      </c>
      <c r="K2332" s="25">
        <v>0</v>
      </c>
      <c r="L2332" s="24">
        <v>0</v>
      </c>
      <c r="M2332" s="24">
        <f>J2332-L2332</f>
        <v>0</v>
      </c>
      <c r="N2332" s="53" t="str">
        <f>IF(J2332&lt;&gt;0,M2332/J2332,"")</f>
        <v/>
      </c>
      <c r="O2332" s="23">
        <v>97.28</v>
      </c>
      <c r="P2332" s="25">
        <v>144</v>
      </c>
      <c r="Q2332" s="24">
        <v>61.900000000000006</v>
      </c>
      <c r="R2332" s="24">
        <f>O2332-Q2332</f>
        <v>35.379999999999995</v>
      </c>
      <c r="S2332" s="53">
        <f>IF(O2332&lt;&gt;0,R2332/O2332,"")</f>
        <v>0.36369243421052627</v>
      </c>
      <c r="T2332" s="10"/>
      <c r="U2332" s="23">
        <v>0</v>
      </c>
      <c r="V2332" s="25">
        <v>0</v>
      </c>
      <c r="W2332" s="24">
        <v>0</v>
      </c>
      <c r="X2332" s="24">
        <f>U2332-W2332</f>
        <v>0</v>
      </c>
      <c r="Y2332" s="53" t="str">
        <f>IF(U2332&lt;&gt;0,X2332/U2332,"")</f>
        <v/>
      </c>
      <c r="Z2332" s="23">
        <v>0</v>
      </c>
      <c r="AA2332" s="25">
        <v>0</v>
      </c>
      <c r="AB2332" s="24">
        <v>0</v>
      </c>
      <c r="AC2332" s="24">
        <f t="shared" si="656"/>
        <v>0</v>
      </c>
      <c r="AD2332" s="53" t="str">
        <f t="shared" si="657"/>
        <v/>
      </c>
      <c r="AE2332" s="10"/>
    </row>
    <row r="2333" spans="1:31" x14ac:dyDescent="0.25">
      <c r="A2333" s="14" t="s">
        <v>109</v>
      </c>
      <c r="C2333" s="61" t="str">
        <f t="shared" si="655"/>
        <v>C100124</v>
      </c>
      <c r="F2333" s="8" t="str">
        <f>"E100045"</f>
        <v>E100045</v>
      </c>
      <c r="G2333" s="9" t="str">
        <f>"Flute"</f>
        <v>Flute</v>
      </c>
      <c r="H2333" s="47"/>
      <c r="I2333" s="47"/>
      <c r="J2333" s="23">
        <v>0</v>
      </c>
      <c r="K2333" s="25">
        <v>0</v>
      </c>
      <c r="L2333" s="24">
        <v>0</v>
      </c>
      <c r="M2333" s="24">
        <f>J2333-L2333</f>
        <v>0</v>
      </c>
      <c r="N2333" s="53" t="str">
        <f>IF(J2333&lt;&gt;0,M2333/J2333,"")</f>
        <v/>
      </c>
      <c r="O2333" s="23">
        <v>139.74</v>
      </c>
      <c r="P2333" s="25">
        <v>144</v>
      </c>
      <c r="Q2333" s="24">
        <v>89.3</v>
      </c>
      <c r="R2333" s="24">
        <f>O2333-Q2333</f>
        <v>50.440000000000012</v>
      </c>
      <c r="S2333" s="53">
        <f>IF(O2333&lt;&gt;0,R2333/O2333,"")</f>
        <v>0.3609560612566195</v>
      </c>
      <c r="T2333" s="10"/>
      <c r="U2333" s="23">
        <v>0</v>
      </c>
      <c r="V2333" s="25">
        <v>0</v>
      </c>
      <c r="W2333" s="24">
        <v>0</v>
      </c>
      <c r="X2333" s="24">
        <f>U2333-W2333</f>
        <v>0</v>
      </c>
      <c r="Y2333" s="53" t="str">
        <f>IF(U2333&lt;&gt;0,X2333/U2333,"")</f>
        <v/>
      </c>
      <c r="Z2333" s="23">
        <v>0.95</v>
      </c>
      <c r="AA2333" s="25">
        <v>1</v>
      </c>
      <c r="AB2333" s="24">
        <v>0.62</v>
      </c>
      <c r="AC2333" s="24">
        <f t="shared" si="656"/>
        <v>0.32999999999999996</v>
      </c>
      <c r="AD2333" s="53">
        <f t="shared" si="657"/>
        <v>0.34736842105263155</v>
      </c>
      <c r="AE2333" s="10"/>
    </row>
    <row r="2334" spans="1:31" x14ac:dyDescent="0.25">
      <c r="A2334" s="14" t="s">
        <v>109</v>
      </c>
      <c r="C2334" s="61" t="str">
        <f t="shared" si="655"/>
        <v>C100124</v>
      </c>
      <c r="F2334" s="8" t="str">
        <f>"E100046"</f>
        <v>E100046</v>
      </c>
      <c r="G2334" s="9" t="str">
        <f>"Milk Bottle"</f>
        <v>Milk Bottle</v>
      </c>
      <c r="H2334" s="47"/>
      <c r="I2334" s="47"/>
      <c r="J2334" s="23">
        <v>20.55</v>
      </c>
      <c r="K2334" s="25">
        <v>12</v>
      </c>
      <c r="L2334" s="24">
        <v>12.47</v>
      </c>
      <c r="M2334" s="24">
        <f>J2334-L2334</f>
        <v>8.08</v>
      </c>
      <c r="N2334" s="53">
        <f>IF(J2334&lt;&gt;0,M2334/J2334,"")</f>
        <v>0.39318734793187349</v>
      </c>
      <c r="O2334" s="23">
        <v>0</v>
      </c>
      <c r="P2334" s="25">
        <v>0</v>
      </c>
      <c r="Q2334" s="24">
        <v>0</v>
      </c>
      <c r="R2334" s="24">
        <f>O2334-Q2334</f>
        <v>0</v>
      </c>
      <c r="S2334" s="53" t="str">
        <f>IF(O2334&lt;&gt;0,R2334/O2334,"")</f>
        <v/>
      </c>
      <c r="T2334" s="10"/>
      <c r="U2334" s="23">
        <v>0</v>
      </c>
      <c r="V2334" s="25">
        <v>0</v>
      </c>
      <c r="W2334" s="24">
        <v>0</v>
      </c>
      <c r="X2334" s="24">
        <f>U2334-W2334</f>
        <v>0</v>
      </c>
      <c r="Y2334" s="53" t="str">
        <f>IF(U2334&lt;&gt;0,X2334/U2334,"")</f>
        <v/>
      </c>
      <c r="Z2334" s="23">
        <v>0</v>
      </c>
      <c r="AA2334" s="25">
        <v>0</v>
      </c>
      <c r="AB2334" s="24">
        <v>0</v>
      </c>
      <c r="AC2334" s="24">
        <f t="shared" si="656"/>
        <v>0</v>
      </c>
      <c r="AD2334" s="53" t="str">
        <f t="shared" si="657"/>
        <v/>
      </c>
      <c r="AE2334" s="10"/>
    </row>
    <row r="2335" spans="1:31" x14ac:dyDescent="0.25">
      <c r="A2335" s="14" t="s">
        <v>109</v>
      </c>
      <c r="C2335" s="61" t="str">
        <f t="shared" si="655"/>
        <v>C100124</v>
      </c>
      <c r="F2335" s="8" t="str">
        <f>"E100047"</f>
        <v>E100047</v>
      </c>
      <c r="G2335" s="9" t="str">
        <f>"Chardonnay Glass"</f>
        <v>Chardonnay Glass</v>
      </c>
      <c r="H2335" s="47"/>
      <c r="I2335" s="47"/>
      <c r="J2335" s="23">
        <v>1.7</v>
      </c>
      <c r="K2335" s="25">
        <v>1</v>
      </c>
      <c r="L2335" s="24">
        <v>1.05</v>
      </c>
      <c r="M2335" s="24">
        <f>J2335-L2335</f>
        <v>0.64999999999999991</v>
      </c>
      <c r="N2335" s="53">
        <f>IF(J2335&lt;&gt;0,M2335/J2335,"")</f>
        <v>0.38235294117647056</v>
      </c>
      <c r="O2335" s="23">
        <v>254.09000000000003</v>
      </c>
      <c r="P2335" s="25">
        <v>144</v>
      </c>
      <c r="Q2335" s="24">
        <v>151.19999999999999</v>
      </c>
      <c r="R2335" s="24">
        <f>O2335-Q2335</f>
        <v>102.89000000000004</v>
      </c>
      <c r="S2335" s="53">
        <f>IF(O2335&lt;&gt;0,R2335/O2335,"")</f>
        <v>0.40493525916014023</v>
      </c>
      <c r="T2335" s="10"/>
      <c r="U2335" s="23">
        <v>0</v>
      </c>
      <c r="V2335" s="25">
        <v>0</v>
      </c>
      <c r="W2335" s="24">
        <v>0</v>
      </c>
      <c r="X2335" s="24">
        <f>U2335-W2335</f>
        <v>0</v>
      </c>
      <c r="Y2335" s="53" t="str">
        <f>IF(U2335&lt;&gt;0,X2335/U2335,"")</f>
        <v/>
      </c>
      <c r="Z2335" s="23">
        <v>0</v>
      </c>
      <c r="AA2335" s="25">
        <v>0</v>
      </c>
      <c r="AB2335" s="24">
        <v>0</v>
      </c>
      <c r="AC2335" s="24">
        <f t="shared" si="656"/>
        <v>0</v>
      </c>
      <c r="AD2335" s="53" t="str">
        <f t="shared" si="657"/>
        <v/>
      </c>
      <c r="AE2335" s="10"/>
    </row>
    <row r="2336" spans="1:31" x14ac:dyDescent="0.25">
      <c r="A2336" s="14" t="s">
        <v>109</v>
      </c>
      <c r="C2336" s="61" t="str">
        <f t="shared" si="655"/>
        <v>C100124</v>
      </c>
      <c r="F2336" s="8" t="str">
        <f>"S100016"</f>
        <v>S100016</v>
      </c>
      <c r="G2336" s="9" t="str">
        <f>"Mesh Bucket Hat"</f>
        <v>Mesh Bucket Hat</v>
      </c>
      <c r="H2336" s="47"/>
      <c r="I2336" s="47"/>
      <c r="J2336" s="23">
        <v>0</v>
      </c>
      <c r="K2336" s="25">
        <v>0</v>
      </c>
      <c r="L2336" s="24">
        <v>0</v>
      </c>
      <c r="M2336" s="24">
        <f>J2336-L2336</f>
        <v>0</v>
      </c>
      <c r="N2336" s="53" t="str">
        <f>IF(J2336&lt;&gt;0,M2336/J2336,"")</f>
        <v/>
      </c>
      <c r="O2336" s="23">
        <v>702.76</v>
      </c>
      <c r="P2336" s="25">
        <v>144</v>
      </c>
      <c r="Q2336" s="24">
        <v>396.01</v>
      </c>
      <c r="R2336" s="24">
        <f>O2336-Q2336</f>
        <v>306.75</v>
      </c>
      <c r="S2336" s="53">
        <f>IF(O2336&lt;&gt;0,R2336/O2336,"")</f>
        <v>0.43649325516534804</v>
      </c>
      <c r="T2336" s="10"/>
      <c r="U2336" s="23">
        <v>0</v>
      </c>
      <c r="V2336" s="25">
        <v>0</v>
      </c>
      <c r="W2336" s="24">
        <v>0</v>
      </c>
      <c r="X2336" s="24">
        <f>U2336-W2336</f>
        <v>0</v>
      </c>
      <c r="Y2336" s="53" t="str">
        <f>IF(U2336&lt;&gt;0,X2336/U2336,"")</f>
        <v/>
      </c>
      <c r="Z2336" s="23">
        <v>0</v>
      </c>
      <c r="AA2336" s="25">
        <v>0</v>
      </c>
      <c r="AB2336" s="24">
        <v>0</v>
      </c>
      <c r="AC2336" s="24">
        <f t="shared" si="656"/>
        <v>0</v>
      </c>
      <c r="AD2336" s="53" t="str">
        <f t="shared" si="657"/>
        <v/>
      </c>
      <c r="AE2336" s="10"/>
    </row>
    <row r="2337" spans="1:31" x14ac:dyDescent="0.25">
      <c r="A2337" s="14" t="s">
        <v>109</v>
      </c>
      <c r="C2337" s="61" t="str">
        <f t="shared" si="655"/>
        <v>C100124</v>
      </c>
      <c r="F2337" s="8" t="str">
        <f>"S100019"</f>
        <v>S100019</v>
      </c>
      <c r="G2337" s="9" t="str">
        <f>"Sportsman Bucket Hat"</f>
        <v>Sportsman Bucket Hat</v>
      </c>
      <c r="H2337" s="47"/>
      <c r="I2337" s="47"/>
      <c r="J2337" s="23">
        <v>627.91</v>
      </c>
      <c r="K2337" s="25">
        <v>144</v>
      </c>
      <c r="L2337" s="24">
        <v>349.93</v>
      </c>
      <c r="M2337" s="24">
        <f>J2337-L2337</f>
        <v>277.97999999999996</v>
      </c>
      <c r="N2337" s="53">
        <f>IF(J2337&lt;&gt;0,M2337/J2337,"")</f>
        <v>0.44270675733783499</v>
      </c>
      <c r="O2337" s="23">
        <v>0</v>
      </c>
      <c r="P2337" s="25">
        <v>0</v>
      </c>
      <c r="Q2337" s="24">
        <v>0</v>
      </c>
      <c r="R2337" s="24">
        <f>O2337-Q2337</f>
        <v>0</v>
      </c>
      <c r="S2337" s="53" t="str">
        <f>IF(O2337&lt;&gt;0,R2337/O2337,"")</f>
        <v/>
      </c>
      <c r="T2337" s="10"/>
      <c r="U2337" s="23">
        <v>647.74</v>
      </c>
      <c r="V2337" s="25">
        <v>144</v>
      </c>
      <c r="W2337" s="24">
        <v>349.93</v>
      </c>
      <c r="X2337" s="24">
        <f>U2337-W2337</f>
        <v>297.81</v>
      </c>
      <c r="Y2337" s="53">
        <f>IF(U2337&lt;&gt;0,X2337/U2337,"")</f>
        <v>0.45976780807113965</v>
      </c>
      <c r="Z2337" s="23">
        <v>0</v>
      </c>
      <c r="AA2337" s="25">
        <v>0</v>
      </c>
      <c r="AB2337" s="24">
        <v>0</v>
      </c>
      <c r="AC2337" s="24">
        <f t="shared" si="656"/>
        <v>0</v>
      </c>
      <c r="AD2337" s="53" t="str">
        <f t="shared" si="657"/>
        <v/>
      </c>
      <c r="AE2337" s="10"/>
    </row>
    <row r="2338" spans="1:31" x14ac:dyDescent="0.25">
      <c r="A2338" s="14" t="s">
        <v>109</v>
      </c>
      <c r="C2338" s="61" t="str">
        <f t="shared" si="655"/>
        <v>C100124</v>
      </c>
      <c r="F2338" s="8" t="str">
        <f>"S100023"</f>
        <v>S100023</v>
      </c>
      <c r="G2338" s="9" t="str">
        <f>"Gripper SPORT BOT"</f>
        <v>Gripper SPORT BOT</v>
      </c>
      <c r="H2338" s="47"/>
      <c r="I2338" s="47"/>
      <c r="J2338" s="23">
        <v>263.57</v>
      </c>
      <c r="K2338" s="25">
        <v>144</v>
      </c>
      <c r="L2338" s="24">
        <v>142.57999999999998</v>
      </c>
      <c r="M2338" s="24">
        <f>J2338-L2338</f>
        <v>120.99000000000001</v>
      </c>
      <c r="N2338" s="53">
        <f>IF(J2338&lt;&gt;0,M2338/J2338,"")</f>
        <v>0.4590431384451949</v>
      </c>
      <c r="O2338" s="23">
        <v>0</v>
      </c>
      <c r="P2338" s="25">
        <v>0</v>
      </c>
      <c r="Q2338" s="24">
        <v>0</v>
      </c>
      <c r="R2338" s="24">
        <f>O2338-Q2338</f>
        <v>0</v>
      </c>
      <c r="S2338" s="53" t="str">
        <f>IF(O2338&lt;&gt;0,R2338/O2338,"")</f>
        <v/>
      </c>
      <c r="T2338" s="10"/>
      <c r="U2338" s="23">
        <v>0</v>
      </c>
      <c r="V2338" s="25">
        <v>0</v>
      </c>
      <c r="W2338" s="24">
        <v>0</v>
      </c>
      <c r="X2338" s="24">
        <f>U2338-W2338</f>
        <v>0</v>
      </c>
      <c r="Y2338" s="53" t="str">
        <f>IF(U2338&lt;&gt;0,X2338/U2338,"")</f>
        <v/>
      </c>
      <c r="Z2338" s="23">
        <v>275.04000000000002</v>
      </c>
      <c r="AA2338" s="25">
        <v>144</v>
      </c>
      <c r="AB2338" s="24">
        <v>142.57999999999998</v>
      </c>
      <c r="AC2338" s="24">
        <f t="shared" si="656"/>
        <v>132.46000000000004</v>
      </c>
      <c r="AD2338" s="53">
        <f t="shared" si="657"/>
        <v>0.48160267597440382</v>
      </c>
      <c r="AE2338" s="10"/>
    </row>
    <row r="2339" spans="1:31" ht="15.75" thickBot="1" x14ac:dyDescent="0.3">
      <c r="A2339" s="14" t="s">
        <v>109</v>
      </c>
      <c r="C2339" s="61" t="str">
        <f>C2309</f>
        <v>C100124</v>
      </c>
      <c r="J2339" s="10"/>
      <c r="K2339" s="11"/>
      <c r="L2339" s="11"/>
      <c r="M2339" s="11"/>
      <c r="N2339" s="12"/>
      <c r="O2339" s="10"/>
      <c r="P2339" s="11"/>
      <c r="Q2339" s="11"/>
      <c r="R2339" s="11"/>
      <c r="S2339" s="12"/>
      <c r="U2339" s="10"/>
      <c r="V2339" s="11"/>
      <c r="W2339" s="11"/>
      <c r="X2339" s="11"/>
      <c r="Y2339" s="12"/>
      <c r="Z2339" s="10"/>
      <c r="AA2339" s="11"/>
      <c r="AB2339" s="11"/>
      <c r="AC2339" s="11"/>
      <c r="AD2339" s="12"/>
    </row>
    <row r="2340" spans="1:31" ht="15.75" thickBot="1" x14ac:dyDescent="0.3">
      <c r="A2340" s="14" t="s">
        <v>109</v>
      </c>
      <c r="C2340" s="61" t="str">
        <f t="shared" si="652"/>
        <v>C100124</v>
      </c>
      <c r="G2340" s="48" t="str">
        <f>C2340&amp;" TOTAL:"</f>
        <v>C100124 TOTAL:</v>
      </c>
      <c r="H2340" s="50"/>
      <c r="I2340" s="50"/>
      <c r="J2340" s="34">
        <f>SUBTOTAL(9,J2308:J2339)</f>
        <v>5677.7899999999991</v>
      </c>
      <c r="K2340" s="35">
        <f>SUBTOTAL(9,K2308:K2339)</f>
        <v>1940</v>
      </c>
      <c r="L2340" s="36">
        <f>SUBTOTAL(9,L2308:L2339)</f>
        <v>3089.93</v>
      </c>
      <c r="M2340" s="36">
        <f>J2340-L2340</f>
        <v>2587.8599999999992</v>
      </c>
      <c r="N2340" s="37">
        <f>IF(J2340&lt;&gt;0,M2340/J2340,"")</f>
        <v>0.45578649439306484</v>
      </c>
      <c r="O2340" s="34">
        <f>SUBTOTAL(9,O2308:O2339)</f>
        <v>2967.55</v>
      </c>
      <c r="P2340" s="35">
        <f>SUBTOTAL(9,P2308:P2339)</f>
        <v>1385</v>
      </c>
      <c r="Q2340" s="36">
        <f>SUBTOTAL(9,Q2308:Q2339)</f>
        <v>1686.3500000000001</v>
      </c>
      <c r="R2340" s="36">
        <f>O2340-Q2340</f>
        <v>1281.2</v>
      </c>
      <c r="S2340" s="37">
        <f>IF(O2340&lt;&gt;0,R2340/O2340,"")</f>
        <v>0.43173661774864786</v>
      </c>
      <c r="U2340" s="34">
        <f>SUBTOTAL(9,U2308:U2339)</f>
        <v>736.82</v>
      </c>
      <c r="V2340" s="35">
        <f>SUBTOTAL(9,V2308:V2339)</f>
        <v>195</v>
      </c>
      <c r="W2340" s="36">
        <f>SUBTOTAL(9,W2308:W2339)</f>
        <v>407.86</v>
      </c>
      <c r="X2340" s="36">
        <f>U2340-W2340</f>
        <v>328.96000000000004</v>
      </c>
      <c r="Y2340" s="37">
        <f>IF(U2340&lt;&gt;0,X2340/U2340,"")</f>
        <v>0.44645910805895606</v>
      </c>
      <c r="Z2340" s="34">
        <f>SUBTOTAL(9,Z2308:Z2339)</f>
        <v>1703.9</v>
      </c>
      <c r="AA2340" s="35">
        <f>SUBTOTAL(9,AA2308:AA2339)</f>
        <v>874</v>
      </c>
      <c r="AB2340" s="36">
        <f>SUBTOTAL(9,AB2308:AB2339)</f>
        <v>880.51</v>
      </c>
      <c r="AC2340" s="36">
        <f t="shared" ref="AC2340" si="658">Z2340-AB2340</f>
        <v>823.3900000000001</v>
      </c>
      <c r="AD2340" s="37">
        <f t="shared" ref="AD2340" si="659">IF(Z2340&lt;&gt;0,AC2340/Z2340,"")</f>
        <v>0.48323845296085455</v>
      </c>
    </row>
    <row r="2341" spans="1:31" x14ac:dyDescent="0.25">
      <c r="A2341" s="14" t="s">
        <v>109</v>
      </c>
      <c r="C2341" s="66"/>
      <c r="J2341" s="10"/>
      <c r="K2341" s="11"/>
      <c r="L2341" s="11"/>
      <c r="M2341" s="11"/>
      <c r="N2341" s="12"/>
      <c r="O2341" s="10"/>
      <c r="P2341" s="11"/>
      <c r="Q2341" s="11"/>
      <c r="R2341" s="11"/>
      <c r="S2341" s="12"/>
      <c r="U2341" s="10"/>
      <c r="V2341" s="11"/>
      <c r="W2341" s="11"/>
      <c r="X2341" s="11"/>
      <c r="Y2341" s="12"/>
      <c r="Z2341" s="10"/>
      <c r="AA2341" s="11"/>
      <c r="AB2341" s="11"/>
      <c r="AC2341" s="11"/>
      <c r="AD2341" s="12"/>
    </row>
    <row r="2342" spans="1:31" ht="15.75" x14ac:dyDescent="0.25">
      <c r="A2342" s="14" t="s">
        <v>109</v>
      </c>
      <c r="C2342" s="66" t="str">
        <f t="shared" ref="C2342" si="660">E2342</f>
        <v>C100126</v>
      </c>
      <c r="E2342" s="13" t="str">
        <f>"C100126"</f>
        <v>C100126</v>
      </c>
      <c r="F2342" s="13"/>
      <c r="G2342" s="13" t="str">
        <f>"Moveex"</f>
        <v>Moveex</v>
      </c>
      <c r="H2342" s="13"/>
      <c r="I2342" s="13"/>
      <c r="J2342" s="10"/>
      <c r="K2342" s="11"/>
      <c r="L2342" s="11"/>
      <c r="M2342" s="11"/>
      <c r="N2342" s="12"/>
      <c r="O2342" s="10"/>
      <c r="P2342" s="11"/>
      <c r="Q2342" s="11"/>
      <c r="R2342" s="11"/>
      <c r="S2342" s="12"/>
      <c r="U2342" s="10"/>
      <c r="V2342" s="11"/>
      <c r="W2342" s="11"/>
      <c r="X2342" s="11"/>
      <c r="Y2342" s="12"/>
      <c r="Z2342" s="10"/>
      <c r="AA2342" s="11"/>
      <c r="AB2342" s="11"/>
      <c r="AC2342" s="11"/>
      <c r="AD2342" s="12"/>
    </row>
    <row r="2343" spans="1:31" ht="6.6" customHeight="1" x14ac:dyDescent="0.25">
      <c r="A2343" s="14" t="s">
        <v>109</v>
      </c>
      <c r="C2343" s="61" t="str">
        <f t="shared" ref="C2343:C2350" si="661">C2342</f>
        <v>C100126</v>
      </c>
      <c r="J2343" s="10"/>
      <c r="K2343" s="11"/>
      <c r="L2343" s="11"/>
      <c r="M2343" s="11"/>
      <c r="N2343" s="12"/>
      <c r="O2343" s="10"/>
      <c r="P2343" s="11"/>
      <c r="Q2343" s="11"/>
      <c r="R2343" s="11"/>
      <c r="S2343" s="12"/>
      <c r="U2343" s="10"/>
      <c r="V2343" s="11"/>
      <c r="W2343" s="11"/>
      <c r="X2343" s="11"/>
      <c r="Y2343" s="12"/>
      <c r="Z2343" s="10"/>
      <c r="AA2343" s="11"/>
      <c r="AB2343" s="11"/>
      <c r="AC2343" s="11"/>
      <c r="AD2343" s="12"/>
    </row>
    <row r="2344" spans="1:31" x14ac:dyDescent="0.25">
      <c r="A2344" s="14" t="s">
        <v>109</v>
      </c>
      <c r="C2344" s="61" t="str">
        <f t="shared" si="661"/>
        <v>C100126</v>
      </c>
      <c r="F2344" s="8" t="str">
        <f>"C100028"</f>
        <v>C100028</v>
      </c>
      <c r="G2344" s="9" t="str">
        <f>"Twill Visor"</f>
        <v>Twill Visor</v>
      </c>
      <c r="H2344" s="47"/>
      <c r="I2344" s="47"/>
      <c r="J2344" s="23">
        <v>-60.089999999999996</v>
      </c>
      <c r="K2344" s="25">
        <v>-12</v>
      </c>
      <c r="L2344" s="24">
        <v>-28.8</v>
      </c>
      <c r="M2344" s="24">
        <f>J2344-L2344</f>
        <v>-31.289999999999996</v>
      </c>
      <c r="N2344" s="53">
        <f>IF(J2344&lt;&gt;0,M2344/J2344,"")</f>
        <v>0.5207189216175736</v>
      </c>
      <c r="O2344" s="23">
        <v>0</v>
      </c>
      <c r="P2344" s="25">
        <v>0</v>
      </c>
      <c r="Q2344" s="24">
        <v>0</v>
      </c>
      <c r="R2344" s="24">
        <f>O2344-Q2344</f>
        <v>0</v>
      </c>
      <c r="S2344" s="53" t="str">
        <f>IF(O2344&lt;&gt;0,R2344/O2344,"")</f>
        <v/>
      </c>
      <c r="T2344" s="10"/>
      <c r="U2344" s="23">
        <v>0</v>
      </c>
      <c r="V2344" s="25">
        <v>0</v>
      </c>
      <c r="W2344" s="24">
        <v>0</v>
      </c>
      <c r="X2344" s="24">
        <f>U2344-W2344</f>
        <v>0</v>
      </c>
      <c r="Y2344" s="53" t="str">
        <f>IF(U2344&lt;&gt;0,X2344/U2344,"")</f>
        <v/>
      </c>
      <c r="Z2344" s="23">
        <v>0</v>
      </c>
      <c r="AA2344" s="25">
        <v>0</v>
      </c>
      <c r="AB2344" s="24">
        <v>0</v>
      </c>
      <c r="AC2344" s="24">
        <f t="shared" ref="AC2344" si="662">Z2344-AB2344</f>
        <v>0</v>
      </c>
      <c r="AD2344" s="53" t="str">
        <f t="shared" ref="AD2344" si="663">IF(Z2344&lt;&gt;0,AC2344/Z2344,"")</f>
        <v/>
      </c>
      <c r="AE2344" s="10"/>
    </row>
    <row r="2345" spans="1:31" x14ac:dyDescent="0.25">
      <c r="A2345" s="14" t="s">
        <v>109</v>
      </c>
      <c r="C2345" s="61" t="str">
        <f t="shared" ref="C2345:C2348" si="664">C2344</f>
        <v>C100126</v>
      </c>
      <c r="F2345" s="8" t="str">
        <f>"E100024"</f>
        <v>E100024</v>
      </c>
      <c r="G2345" s="9" t="str">
        <f>"Arch Calculator"</f>
        <v>Arch Calculator</v>
      </c>
      <c r="H2345" s="47"/>
      <c r="I2345" s="47"/>
      <c r="J2345" s="23">
        <v>-37.4</v>
      </c>
      <c r="K2345" s="25">
        <v>-12</v>
      </c>
      <c r="L2345" s="24">
        <v>-20.63</v>
      </c>
      <c r="M2345" s="24">
        <f>J2345-L2345</f>
        <v>-16.77</v>
      </c>
      <c r="N2345" s="53">
        <f>IF(J2345&lt;&gt;0,M2345/J2345,"")</f>
        <v>0.44839572192513372</v>
      </c>
      <c r="O2345" s="23">
        <v>0</v>
      </c>
      <c r="P2345" s="25">
        <v>0</v>
      </c>
      <c r="Q2345" s="24">
        <v>0</v>
      </c>
      <c r="R2345" s="24">
        <f>O2345-Q2345</f>
        <v>0</v>
      </c>
      <c r="S2345" s="53" t="str">
        <f>IF(O2345&lt;&gt;0,R2345/O2345,"")</f>
        <v/>
      </c>
      <c r="T2345" s="10"/>
      <c r="U2345" s="23">
        <v>444.18000000000006</v>
      </c>
      <c r="V2345" s="25">
        <v>144</v>
      </c>
      <c r="W2345" s="24">
        <v>247.59</v>
      </c>
      <c r="X2345" s="24">
        <f>U2345-W2345</f>
        <v>196.59000000000006</v>
      </c>
      <c r="Y2345" s="53">
        <f>IF(U2345&lt;&gt;0,X2345/U2345,"")</f>
        <v>0.44259084155072276</v>
      </c>
      <c r="Z2345" s="23">
        <v>0</v>
      </c>
      <c r="AA2345" s="25">
        <v>0</v>
      </c>
      <c r="AB2345" s="24">
        <v>0</v>
      </c>
      <c r="AC2345" s="24">
        <f t="shared" ref="AC2345:AC2348" si="665">Z2345-AB2345</f>
        <v>0</v>
      </c>
      <c r="AD2345" s="53" t="str">
        <f t="shared" ref="AD2345:AD2348" si="666">IF(Z2345&lt;&gt;0,AC2345/Z2345,"")</f>
        <v/>
      </c>
      <c r="AE2345" s="10"/>
    </row>
    <row r="2346" spans="1:31" x14ac:dyDescent="0.25">
      <c r="A2346" s="14" t="s">
        <v>109</v>
      </c>
      <c r="C2346" s="61" t="str">
        <f t="shared" si="664"/>
        <v>C100126</v>
      </c>
      <c r="F2346" s="8" t="str">
        <f>"E100032"</f>
        <v>E100032</v>
      </c>
      <c r="G2346" s="9" t="str">
        <f>"Button Key-Light"</f>
        <v>Button Key-Light</v>
      </c>
      <c r="H2346" s="47"/>
      <c r="I2346" s="47"/>
      <c r="J2346" s="23">
        <v>-0.5</v>
      </c>
      <c r="K2346" s="25">
        <v>-1</v>
      </c>
      <c r="L2346" s="24">
        <v>-0.33</v>
      </c>
      <c r="M2346" s="24">
        <f>J2346-L2346</f>
        <v>-0.16999999999999998</v>
      </c>
      <c r="N2346" s="53">
        <f>IF(J2346&lt;&gt;0,M2346/J2346,"")</f>
        <v>0.33999999999999997</v>
      </c>
      <c r="O2346" s="23">
        <v>0</v>
      </c>
      <c r="P2346" s="25">
        <v>0</v>
      </c>
      <c r="Q2346" s="24">
        <v>0</v>
      </c>
      <c r="R2346" s="24">
        <f>O2346-Q2346</f>
        <v>0</v>
      </c>
      <c r="S2346" s="53" t="str">
        <f>IF(O2346&lt;&gt;0,R2346/O2346,"")</f>
        <v/>
      </c>
      <c r="T2346" s="10"/>
      <c r="U2346" s="23">
        <v>71.239999999999995</v>
      </c>
      <c r="V2346" s="25">
        <v>144</v>
      </c>
      <c r="W2346" s="24">
        <v>47.529999999999994</v>
      </c>
      <c r="X2346" s="24">
        <f>U2346-W2346</f>
        <v>23.71</v>
      </c>
      <c r="Y2346" s="53">
        <f>IF(U2346&lt;&gt;0,X2346/U2346,"")</f>
        <v>0.33281864121280186</v>
      </c>
      <c r="Z2346" s="23">
        <v>0</v>
      </c>
      <c r="AA2346" s="25">
        <v>0</v>
      </c>
      <c r="AB2346" s="24">
        <v>0</v>
      </c>
      <c r="AC2346" s="24">
        <f t="shared" si="665"/>
        <v>0</v>
      </c>
      <c r="AD2346" s="53" t="str">
        <f t="shared" si="666"/>
        <v/>
      </c>
      <c r="AE2346" s="10"/>
    </row>
    <row r="2347" spans="1:31" x14ac:dyDescent="0.25">
      <c r="A2347" s="14" t="s">
        <v>109</v>
      </c>
      <c r="C2347" s="61" t="str">
        <f t="shared" si="664"/>
        <v>C100126</v>
      </c>
      <c r="F2347" s="8" t="str">
        <f>"E100034"</f>
        <v>E100034</v>
      </c>
      <c r="G2347" s="9" t="str">
        <f>"Bamboo 1GB USB Flash Drive"</f>
        <v>Bamboo 1GB USB Flash Drive</v>
      </c>
      <c r="H2347" s="47"/>
      <c r="I2347" s="47"/>
      <c r="J2347" s="23">
        <v>-5.69</v>
      </c>
      <c r="K2347" s="25">
        <v>-1</v>
      </c>
      <c r="L2347" s="24">
        <v>-2.7</v>
      </c>
      <c r="M2347" s="24">
        <f>J2347-L2347</f>
        <v>-2.99</v>
      </c>
      <c r="N2347" s="53">
        <f>IF(J2347&lt;&gt;0,M2347/J2347,"")</f>
        <v>0.52548330404217924</v>
      </c>
      <c r="O2347" s="23">
        <v>0</v>
      </c>
      <c r="P2347" s="25">
        <v>0</v>
      </c>
      <c r="Q2347" s="24">
        <v>0</v>
      </c>
      <c r="R2347" s="24">
        <f>O2347-Q2347</f>
        <v>0</v>
      </c>
      <c r="S2347" s="53" t="str">
        <f>IF(O2347&lt;&gt;0,R2347/O2347,"")</f>
        <v/>
      </c>
      <c r="T2347" s="10"/>
      <c r="U2347" s="23">
        <v>0</v>
      </c>
      <c r="V2347" s="25">
        <v>0</v>
      </c>
      <c r="W2347" s="24">
        <v>0</v>
      </c>
      <c r="X2347" s="24">
        <f>U2347-W2347</f>
        <v>0</v>
      </c>
      <c r="Y2347" s="53" t="str">
        <f>IF(U2347&lt;&gt;0,X2347/U2347,"")</f>
        <v/>
      </c>
      <c r="Z2347" s="23">
        <v>0</v>
      </c>
      <c r="AA2347" s="25">
        <v>0</v>
      </c>
      <c r="AB2347" s="24">
        <v>0</v>
      </c>
      <c r="AC2347" s="24">
        <f t="shared" si="665"/>
        <v>0</v>
      </c>
      <c r="AD2347" s="53" t="str">
        <f t="shared" si="666"/>
        <v/>
      </c>
      <c r="AE2347" s="10"/>
    </row>
    <row r="2348" spans="1:31" x14ac:dyDescent="0.25">
      <c r="A2348" s="14" t="s">
        <v>109</v>
      </c>
      <c r="C2348" s="61" t="str">
        <f t="shared" si="664"/>
        <v>C100126</v>
      </c>
      <c r="F2348" s="8" t="str">
        <f>"S100016"</f>
        <v>S100016</v>
      </c>
      <c r="G2348" s="9" t="str">
        <f>"Mesh Bucket Hat"</f>
        <v>Mesh Bucket Hat</v>
      </c>
      <c r="H2348" s="47"/>
      <c r="I2348" s="47"/>
      <c r="J2348" s="23">
        <v>-4.88</v>
      </c>
      <c r="K2348" s="25">
        <v>-1</v>
      </c>
      <c r="L2348" s="24">
        <v>-2.75</v>
      </c>
      <c r="M2348" s="24">
        <f>J2348-L2348</f>
        <v>-2.13</v>
      </c>
      <c r="N2348" s="53">
        <f>IF(J2348&lt;&gt;0,M2348/J2348,"")</f>
        <v>0.43647540983606559</v>
      </c>
      <c r="O2348" s="23">
        <v>0</v>
      </c>
      <c r="P2348" s="25">
        <v>0</v>
      </c>
      <c r="Q2348" s="24">
        <v>0</v>
      </c>
      <c r="R2348" s="24">
        <f>O2348-Q2348</f>
        <v>0</v>
      </c>
      <c r="S2348" s="53" t="str">
        <f>IF(O2348&lt;&gt;0,R2348/O2348,"")</f>
        <v/>
      </c>
      <c r="T2348" s="10"/>
      <c r="U2348" s="23">
        <v>0</v>
      </c>
      <c r="V2348" s="25">
        <v>0</v>
      </c>
      <c r="W2348" s="24">
        <v>0</v>
      </c>
      <c r="X2348" s="24">
        <f>U2348-W2348</f>
        <v>0</v>
      </c>
      <c r="Y2348" s="53" t="str">
        <f>IF(U2348&lt;&gt;0,X2348/U2348,"")</f>
        <v/>
      </c>
      <c r="Z2348" s="23">
        <v>0</v>
      </c>
      <c r="AA2348" s="25">
        <v>0</v>
      </c>
      <c r="AB2348" s="24">
        <v>0</v>
      </c>
      <c r="AC2348" s="24">
        <f t="shared" si="665"/>
        <v>0</v>
      </c>
      <c r="AD2348" s="53" t="str">
        <f t="shared" si="666"/>
        <v/>
      </c>
      <c r="AE2348" s="10"/>
    </row>
    <row r="2349" spans="1:31" ht="15.75" thickBot="1" x14ac:dyDescent="0.3">
      <c r="A2349" s="14" t="s">
        <v>109</v>
      </c>
      <c r="C2349" s="61" t="str">
        <f>C2344</f>
        <v>C100126</v>
      </c>
      <c r="J2349" s="10"/>
      <c r="K2349" s="11"/>
      <c r="L2349" s="11"/>
      <c r="M2349" s="11"/>
      <c r="N2349" s="12"/>
      <c r="O2349" s="10"/>
      <c r="P2349" s="11"/>
      <c r="Q2349" s="11"/>
      <c r="R2349" s="11"/>
      <c r="S2349" s="12"/>
      <c r="U2349" s="10"/>
      <c r="V2349" s="11"/>
      <c r="W2349" s="11"/>
      <c r="X2349" s="11"/>
      <c r="Y2349" s="12"/>
      <c r="Z2349" s="10"/>
      <c r="AA2349" s="11"/>
      <c r="AB2349" s="11"/>
      <c r="AC2349" s="11"/>
      <c r="AD2349" s="12"/>
    </row>
    <row r="2350" spans="1:31" ht="15.75" thickBot="1" x14ac:dyDescent="0.3">
      <c r="A2350" s="14" t="s">
        <v>109</v>
      </c>
      <c r="C2350" s="61" t="str">
        <f t="shared" si="661"/>
        <v>C100126</v>
      </c>
      <c r="G2350" s="48" t="str">
        <f>C2350&amp;" TOTAL:"</f>
        <v>C100126 TOTAL:</v>
      </c>
      <c r="H2350" s="50"/>
      <c r="I2350" s="50"/>
      <c r="J2350" s="34">
        <f>SUBTOTAL(9,J2343:J2349)</f>
        <v>-108.55999999999999</v>
      </c>
      <c r="K2350" s="35">
        <f>SUBTOTAL(9,K2343:K2349)</f>
        <v>-27</v>
      </c>
      <c r="L2350" s="36">
        <f>SUBTOTAL(9,L2343:L2349)</f>
        <v>-55.21</v>
      </c>
      <c r="M2350" s="36">
        <f>J2350-L2350</f>
        <v>-53.349999999999987</v>
      </c>
      <c r="N2350" s="37">
        <f>IF(J2350&lt;&gt;0,M2350/J2350,"")</f>
        <v>0.4914333087693441</v>
      </c>
      <c r="O2350" s="34">
        <f>SUBTOTAL(9,O2343:O2349)</f>
        <v>0</v>
      </c>
      <c r="P2350" s="35">
        <f>SUBTOTAL(9,P2343:P2349)</f>
        <v>0</v>
      </c>
      <c r="Q2350" s="36">
        <f>SUBTOTAL(9,Q2343:Q2349)</f>
        <v>0</v>
      </c>
      <c r="R2350" s="36">
        <f>O2350-Q2350</f>
        <v>0</v>
      </c>
      <c r="S2350" s="37" t="str">
        <f>IF(O2350&lt;&gt;0,R2350/O2350,"")</f>
        <v/>
      </c>
      <c r="U2350" s="34">
        <f>SUBTOTAL(9,U2343:U2349)</f>
        <v>515.42000000000007</v>
      </c>
      <c r="V2350" s="35">
        <f>SUBTOTAL(9,V2343:V2349)</f>
        <v>288</v>
      </c>
      <c r="W2350" s="36">
        <f>SUBTOTAL(9,W2343:W2349)</f>
        <v>295.12</v>
      </c>
      <c r="X2350" s="36">
        <f>U2350-W2350</f>
        <v>220.30000000000007</v>
      </c>
      <c r="Y2350" s="37">
        <f>IF(U2350&lt;&gt;0,X2350/U2350,"")</f>
        <v>0.42741841604904746</v>
      </c>
      <c r="Z2350" s="34">
        <f>SUBTOTAL(9,Z2343:Z2349)</f>
        <v>0</v>
      </c>
      <c r="AA2350" s="35">
        <f>SUBTOTAL(9,AA2343:AA2349)</f>
        <v>0</v>
      </c>
      <c r="AB2350" s="36">
        <f>SUBTOTAL(9,AB2343:AB2349)</f>
        <v>0</v>
      </c>
      <c r="AC2350" s="36">
        <f t="shared" ref="AC2350" si="667">Z2350-AB2350</f>
        <v>0</v>
      </c>
      <c r="AD2350" s="37" t="str">
        <f t="shared" ref="AD2350" si="668">IF(Z2350&lt;&gt;0,AC2350/Z2350,"")</f>
        <v/>
      </c>
    </row>
    <row r="2351" spans="1:31" x14ac:dyDescent="0.25">
      <c r="A2351" s="14" t="s">
        <v>109</v>
      </c>
      <c r="C2351" s="66"/>
      <c r="J2351" s="10"/>
      <c r="K2351" s="11"/>
      <c r="L2351" s="11"/>
      <c r="M2351" s="11"/>
      <c r="N2351" s="12"/>
      <c r="O2351" s="10"/>
      <c r="P2351" s="11"/>
      <c r="Q2351" s="11"/>
      <c r="R2351" s="11"/>
      <c r="S2351" s="12"/>
      <c r="U2351" s="10"/>
      <c r="V2351" s="11"/>
      <c r="W2351" s="11"/>
      <c r="X2351" s="11"/>
      <c r="Y2351" s="12"/>
      <c r="Z2351" s="10"/>
      <c r="AA2351" s="11"/>
      <c r="AB2351" s="11"/>
      <c r="AC2351" s="11"/>
      <c r="AD2351" s="12"/>
    </row>
    <row r="2352" spans="1:31" ht="15.75" x14ac:dyDescent="0.25">
      <c r="A2352" s="14" t="s">
        <v>109</v>
      </c>
      <c r="C2352" s="66" t="str">
        <f t="shared" ref="C2352" si="669">E2352</f>
        <v>C100127</v>
      </c>
      <c r="E2352" s="13" t="str">
        <f>"C100127"</f>
        <v>C100127</v>
      </c>
      <c r="F2352" s="13"/>
      <c r="G2352" s="13" t="str">
        <f>"Roundron"</f>
        <v>Roundron</v>
      </c>
      <c r="H2352" s="13"/>
      <c r="I2352" s="13"/>
      <c r="J2352" s="10"/>
      <c r="K2352" s="11"/>
      <c r="L2352" s="11"/>
      <c r="M2352" s="11"/>
      <c r="N2352" s="12"/>
      <c r="O2352" s="10"/>
      <c r="P2352" s="11"/>
      <c r="Q2352" s="11"/>
      <c r="R2352" s="11"/>
      <c r="S2352" s="12"/>
      <c r="U2352" s="10"/>
      <c r="V2352" s="11"/>
      <c r="W2352" s="11"/>
      <c r="X2352" s="11"/>
      <c r="Y2352" s="12"/>
      <c r="Z2352" s="10"/>
      <c r="AA2352" s="11"/>
      <c r="AB2352" s="11"/>
      <c r="AC2352" s="11"/>
      <c r="AD2352" s="12"/>
    </row>
    <row r="2353" spans="1:31" ht="6.6" customHeight="1" x14ac:dyDescent="0.25">
      <c r="A2353" s="14" t="s">
        <v>109</v>
      </c>
      <c r="C2353" s="61" t="str">
        <f t="shared" ref="C2353:C2377" si="670">C2352</f>
        <v>C100127</v>
      </c>
      <c r="J2353" s="10"/>
      <c r="K2353" s="11"/>
      <c r="L2353" s="11"/>
      <c r="M2353" s="11"/>
      <c r="N2353" s="12"/>
      <c r="O2353" s="10"/>
      <c r="P2353" s="11"/>
      <c r="Q2353" s="11"/>
      <c r="R2353" s="11"/>
      <c r="S2353" s="12"/>
      <c r="U2353" s="10"/>
      <c r="V2353" s="11"/>
      <c r="W2353" s="11"/>
      <c r="X2353" s="11"/>
      <c r="Y2353" s="12"/>
      <c r="Z2353" s="10"/>
      <c r="AA2353" s="11"/>
      <c r="AB2353" s="11"/>
      <c r="AC2353" s="11"/>
      <c r="AD2353" s="12"/>
    </row>
    <row r="2354" spans="1:31" x14ac:dyDescent="0.25">
      <c r="A2354" s="14" t="s">
        <v>109</v>
      </c>
      <c r="C2354" s="61" t="str">
        <f t="shared" si="670"/>
        <v>C100127</v>
      </c>
      <c r="F2354" s="8" t="str">
        <f>"C100030"</f>
        <v>C100030</v>
      </c>
      <c r="G2354" s="9" t="str">
        <f>"Fashion Visor"</f>
        <v>Fashion Visor</v>
      </c>
      <c r="H2354" s="47"/>
      <c r="I2354" s="47"/>
      <c r="J2354" s="23">
        <v>611.79999999999995</v>
      </c>
      <c r="K2354" s="25">
        <v>144</v>
      </c>
      <c r="L2354" s="24">
        <v>348.49</v>
      </c>
      <c r="M2354" s="24">
        <f>J2354-L2354</f>
        <v>263.30999999999995</v>
      </c>
      <c r="N2354" s="53">
        <f>IF(J2354&lt;&gt;0,M2354/J2354,"")</f>
        <v>0.43038574697613591</v>
      </c>
      <c r="O2354" s="23">
        <v>0</v>
      </c>
      <c r="P2354" s="25">
        <v>0</v>
      </c>
      <c r="Q2354" s="24">
        <v>0</v>
      </c>
      <c r="R2354" s="24">
        <f>O2354-Q2354</f>
        <v>0</v>
      </c>
      <c r="S2354" s="53" t="str">
        <f>IF(O2354&lt;&gt;0,R2354/O2354,"")</f>
        <v/>
      </c>
      <c r="T2354" s="10"/>
      <c r="U2354" s="23">
        <v>0</v>
      </c>
      <c r="V2354" s="25">
        <v>0</v>
      </c>
      <c r="W2354" s="24">
        <v>0</v>
      </c>
      <c r="X2354" s="24">
        <f>U2354-W2354</f>
        <v>0</v>
      </c>
      <c r="Y2354" s="53" t="str">
        <f>IF(U2354&lt;&gt;0,X2354/U2354,"")</f>
        <v/>
      </c>
      <c r="Z2354" s="23">
        <v>641.75</v>
      </c>
      <c r="AA2354" s="25">
        <v>151</v>
      </c>
      <c r="AB2354" s="24">
        <v>365.43</v>
      </c>
      <c r="AC2354" s="24">
        <f t="shared" ref="AC2354" si="671">Z2354-AB2354</f>
        <v>276.32</v>
      </c>
      <c r="AD2354" s="53">
        <f t="shared" ref="AD2354" si="672">IF(Z2354&lt;&gt;0,AC2354/Z2354,"")</f>
        <v>0.43057265290222047</v>
      </c>
      <c r="AE2354" s="10"/>
    </row>
    <row r="2355" spans="1:31" x14ac:dyDescent="0.25">
      <c r="A2355" s="14" t="s">
        <v>109</v>
      </c>
      <c r="C2355" s="61" t="str">
        <f t="shared" ref="C2355:C2375" si="673">C2354</f>
        <v>C100127</v>
      </c>
      <c r="F2355" s="8" t="str">
        <f>"C100033"</f>
        <v>C100033</v>
      </c>
      <c r="G2355" s="9" t="str">
        <f>"Frames &amp; Clock"</f>
        <v>Frames &amp; Clock</v>
      </c>
      <c r="H2355" s="47"/>
      <c r="I2355" s="47"/>
      <c r="J2355" s="23">
        <v>1352.1</v>
      </c>
      <c r="K2355" s="25">
        <v>288</v>
      </c>
      <c r="L2355" s="24">
        <v>829.41000000000008</v>
      </c>
      <c r="M2355" s="24">
        <f>J2355-L2355</f>
        <v>522.68999999999983</v>
      </c>
      <c r="N2355" s="53">
        <f>IF(J2355&lt;&gt;0,M2355/J2355,"")</f>
        <v>0.38657643665409352</v>
      </c>
      <c r="O2355" s="23">
        <v>0</v>
      </c>
      <c r="P2355" s="25">
        <v>0</v>
      </c>
      <c r="Q2355" s="24">
        <v>0</v>
      </c>
      <c r="R2355" s="24">
        <f>O2355-Q2355</f>
        <v>0</v>
      </c>
      <c r="S2355" s="53" t="str">
        <f>IF(O2355&lt;&gt;0,R2355/O2355,"")</f>
        <v/>
      </c>
      <c r="T2355" s="10"/>
      <c r="U2355" s="23">
        <v>0</v>
      </c>
      <c r="V2355" s="25">
        <v>0</v>
      </c>
      <c r="W2355" s="24">
        <v>0</v>
      </c>
      <c r="X2355" s="24">
        <f>U2355-W2355</f>
        <v>0</v>
      </c>
      <c r="Y2355" s="53" t="str">
        <f>IF(U2355&lt;&gt;0,X2355/U2355,"")</f>
        <v/>
      </c>
      <c r="Z2355" s="23">
        <v>669.08</v>
      </c>
      <c r="AA2355" s="25">
        <v>144</v>
      </c>
      <c r="AB2355" s="24">
        <v>414.7</v>
      </c>
      <c r="AC2355" s="24">
        <f t="shared" ref="AC2355:AC2375" si="674">Z2355-AB2355</f>
        <v>254.38000000000005</v>
      </c>
      <c r="AD2355" s="53">
        <f t="shared" ref="AD2355:AD2375" si="675">IF(Z2355&lt;&gt;0,AC2355/Z2355,"")</f>
        <v>0.38019369881030673</v>
      </c>
      <c r="AE2355" s="10"/>
    </row>
    <row r="2356" spans="1:31" x14ac:dyDescent="0.25">
      <c r="A2356" s="14" t="s">
        <v>109</v>
      </c>
      <c r="C2356" s="61" t="str">
        <f t="shared" si="673"/>
        <v>C100127</v>
      </c>
      <c r="F2356" s="8" t="str">
        <f>"C100056"</f>
        <v>C100056</v>
      </c>
      <c r="G2356" s="9" t="str">
        <f>"Contemporary Desk Calculator"</f>
        <v>Contemporary Desk Calculator</v>
      </c>
      <c r="H2356" s="47"/>
      <c r="I2356" s="47"/>
      <c r="J2356" s="23">
        <v>1548.53</v>
      </c>
      <c r="K2356" s="25">
        <v>294</v>
      </c>
      <c r="L2356" s="24">
        <v>782.12000000000012</v>
      </c>
      <c r="M2356" s="24">
        <f>J2356-L2356</f>
        <v>766.40999999999985</v>
      </c>
      <c r="N2356" s="53">
        <f>IF(J2356&lt;&gt;0,M2356/J2356,"")</f>
        <v>0.49492744732100757</v>
      </c>
      <c r="O2356" s="23">
        <v>0</v>
      </c>
      <c r="P2356" s="25">
        <v>0</v>
      </c>
      <c r="Q2356" s="24">
        <v>0</v>
      </c>
      <c r="R2356" s="24">
        <f>O2356-Q2356</f>
        <v>0</v>
      </c>
      <c r="S2356" s="53" t="str">
        <f>IF(O2356&lt;&gt;0,R2356/O2356,"")</f>
        <v/>
      </c>
      <c r="T2356" s="10"/>
      <c r="U2356" s="23">
        <v>766.28000000000009</v>
      </c>
      <c r="V2356" s="25">
        <v>144</v>
      </c>
      <c r="W2356" s="24">
        <v>383.08</v>
      </c>
      <c r="X2356" s="24">
        <f>U2356-W2356</f>
        <v>383.2000000000001</v>
      </c>
      <c r="Y2356" s="53">
        <f>IF(U2356&lt;&gt;0,X2356/U2356,"")</f>
        <v>0.50007830036018175</v>
      </c>
      <c r="Z2356" s="23">
        <v>0</v>
      </c>
      <c r="AA2356" s="25">
        <v>0</v>
      </c>
      <c r="AB2356" s="24">
        <v>0</v>
      </c>
      <c r="AC2356" s="24">
        <f t="shared" si="674"/>
        <v>0</v>
      </c>
      <c r="AD2356" s="53" t="str">
        <f t="shared" si="675"/>
        <v/>
      </c>
      <c r="AE2356" s="10"/>
    </row>
    <row r="2357" spans="1:31" x14ac:dyDescent="0.25">
      <c r="A2357" s="14" t="s">
        <v>109</v>
      </c>
      <c r="C2357" s="61" t="str">
        <f t="shared" si="673"/>
        <v>C100127</v>
      </c>
      <c r="F2357" s="8" t="str">
        <f>"E100003"</f>
        <v>E100003</v>
      </c>
      <c r="G2357" s="9" t="str">
        <f>"Recycled Tote"</f>
        <v>Recycled Tote</v>
      </c>
      <c r="H2357" s="47"/>
      <c r="I2357" s="47"/>
      <c r="J2357" s="23">
        <v>434.61</v>
      </c>
      <c r="K2357" s="25">
        <v>145</v>
      </c>
      <c r="L2357" s="24">
        <v>246.51</v>
      </c>
      <c r="M2357" s="24">
        <f>J2357-L2357</f>
        <v>188.10000000000002</v>
      </c>
      <c r="N2357" s="53">
        <f>IF(J2357&lt;&gt;0,M2357/J2357,"")</f>
        <v>0.43280182232346243</v>
      </c>
      <c r="O2357" s="23">
        <v>0</v>
      </c>
      <c r="P2357" s="25">
        <v>0</v>
      </c>
      <c r="Q2357" s="24">
        <v>0</v>
      </c>
      <c r="R2357" s="24">
        <f>O2357-Q2357</f>
        <v>0</v>
      </c>
      <c r="S2357" s="53" t="str">
        <f>IF(O2357&lt;&gt;0,R2357/O2357,"")</f>
        <v/>
      </c>
      <c r="T2357" s="10"/>
      <c r="U2357" s="23">
        <v>0</v>
      </c>
      <c r="V2357" s="25">
        <v>0</v>
      </c>
      <c r="W2357" s="24">
        <v>0</v>
      </c>
      <c r="X2357" s="24">
        <f>U2357-W2357</f>
        <v>0</v>
      </c>
      <c r="Y2357" s="53" t="str">
        <f>IF(U2357&lt;&gt;0,X2357/U2357,"")</f>
        <v/>
      </c>
      <c r="Z2357" s="23">
        <v>1297.8600000000001</v>
      </c>
      <c r="AA2357" s="25">
        <v>433</v>
      </c>
      <c r="AB2357" s="24">
        <v>736.13</v>
      </c>
      <c r="AC2357" s="24">
        <f t="shared" si="674"/>
        <v>561.73000000000013</v>
      </c>
      <c r="AD2357" s="53">
        <f t="shared" si="675"/>
        <v>0.43281247592190225</v>
      </c>
      <c r="AE2357" s="10"/>
    </row>
    <row r="2358" spans="1:31" x14ac:dyDescent="0.25">
      <c r="A2358" s="14" t="s">
        <v>109</v>
      </c>
      <c r="C2358" s="61" t="str">
        <f t="shared" si="673"/>
        <v>C100127</v>
      </c>
      <c r="F2358" s="8" t="str">
        <f>"E100004"</f>
        <v>E100004</v>
      </c>
      <c r="G2358" s="9" t="str">
        <f>"Laminated Tote"</f>
        <v>Laminated Tote</v>
      </c>
      <c r="H2358" s="47"/>
      <c r="I2358" s="47"/>
      <c r="J2358" s="23">
        <v>87.53</v>
      </c>
      <c r="K2358" s="25">
        <v>48</v>
      </c>
      <c r="L2358" s="24">
        <v>57.6</v>
      </c>
      <c r="M2358" s="24">
        <f>J2358-L2358</f>
        <v>29.93</v>
      </c>
      <c r="N2358" s="53">
        <f>IF(J2358&lt;&gt;0,M2358/J2358,"")</f>
        <v>0.34193990631783389</v>
      </c>
      <c r="O2358" s="23">
        <v>0</v>
      </c>
      <c r="P2358" s="25">
        <v>0</v>
      </c>
      <c r="Q2358" s="24">
        <v>0</v>
      </c>
      <c r="R2358" s="24">
        <f>O2358-Q2358</f>
        <v>0</v>
      </c>
      <c r="S2358" s="53" t="str">
        <f>IF(O2358&lt;&gt;0,R2358/O2358,"")</f>
        <v/>
      </c>
      <c r="T2358" s="10"/>
      <c r="U2358" s="23">
        <v>0</v>
      </c>
      <c r="V2358" s="25">
        <v>0</v>
      </c>
      <c r="W2358" s="24">
        <v>0</v>
      </c>
      <c r="X2358" s="24">
        <f>U2358-W2358</f>
        <v>0</v>
      </c>
      <c r="Y2358" s="53" t="str">
        <f>IF(U2358&lt;&gt;0,X2358/U2358,"")</f>
        <v/>
      </c>
      <c r="Z2358" s="23">
        <v>262.59999999999997</v>
      </c>
      <c r="AA2358" s="25">
        <v>144</v>
      </c>
      <c r="AB2358" s="24">
        <v>172.8</v>
      </c>
      <c r="AC2358" s="24">
        <f t="shared" si="674"/>
        <v>89.799999999999955</v>
      </c>
      <c r="AD2358" s="53">
        <f t="shared" si="675"/>
        <v>0.34196496572734186</v>
      </c>
      <c r="AE2358" s="10"/>
    </row>
    <row r="2359" spans="1:31" x14ac:dyDescent="0.25">
      <c r="A2359" s="14" t="s">
        <v>109</v>
      </c>
      <c r="C2359" s="61" t="str">
        <f t="shared" si="673"/>
        <v>C100127</v>
      </c>
      <c r="F2359" s="8" t="str">
        <f>"E100007"</f>
        <v>E100007</v>
      </c>
      <c r="G2359" s="9" t="str">
        <f>"Plastic Handle Bag"</f>
        <v>Plastic Handle Bag</v>
      </c>
      <c r="H2359" s="47"/>
      <c r="I2359" s="47"/>
      <c r="J2359" s="23">
        <v>1.92</v>
      </c>
      <c r="K2359" s="25">
        <v>6</v>
      </c>
      <c r="L2359" s="24">
        <v>1.08</v>
      </c>
      <c r="M2359" s="24">
        <f>J2359-L2359</f>
        <v>0.83999999999999986</v>
      </c>
      <c r="N2359" s="53">
        <f>IF(J2359&lt;&gt;0,M2359/J2359,"")</f>
        <v>0.43749999999999994</v>
      </c>
      <c r="O2359" s="23">
        <v>0</v>
      </c>
      <c r="P2359" s="25">
        <v>0</v>
      </c>
      <c r="Q2359" s="24">
        <v>0</v>
      </c>
      <c r="R2359" s="24">
        <f>O2359-Q2359</f>
        <v>0</v>
      </c>
      <c r="S2359" s="53" t="str">
        <f>IF(O2359&lt;&gt;0,R2359/O2359,"")</f>
        <v/>
      </c>
      <c r="T2359" s="10"/>
      <c r="U2359" s="23">
        <v>0</v>
      </c>
      <c r="V2359" s="25">
        <v>0</v>
      </c>
      <c r="W2359" s="24">
        <v>0</v>
      </c>
      <c r="X2359" s="24">
        <f>U2359-W2359</f>
        <v>0</v>
      </c>
      <c r="Y2359" s="53" t="str">
        <f>IF(U2359&lt;&gt;0,X2359/U2359,"")</f>
        <v/>
      </c>
      <c r="Z2359" s="23">
        <v>0.32</v>
      </c>
      <c r="AA2359" s="25">
        <v>1</v>
      </c>
      <c r="AB2359" s="24">
        <v>0.18</v>
      </c>
      <c r="AC2359" s="24">
        <f t="shared" si="674"/>
        <v>0.14000000000000001</v>
      </c>
      <c r="AD2359" s="53">
        <f t="shared" si="675"/>
        <v>0.43750000000000006</v>
      </c>
      <c r="AE2359" s="10"/>
    </row>
    <row r="2360" spans="1:31" x14ac:dyDescent="0.25">
      <c r="A2360" s="14" t="s">
        <v>109</v>
      </c>
      <c r="C2360" s="61" t="str">
        <f t="shared" si="673"/>
        <v>C100127</v>
      </c>
      <c r="F2360" s="8" t="str">
        <f>"E100009"</f>
        <v>E100009</v>
      </c>
      <c r="G2360" s="9" t="str">
        <f>"Die-Cut Tote"</f>
        <v>Die-Cut Tote</v>
      </c>
      <c r="H2360" s="47"/>
      <c r="I2360" s="47"/>
      <c r="J2360" s="23">
        <v>32.129999999999995</v>
      </c>
      <c r="K2360" s="25">
        <v>144</v>
      </c>
      <c r="L2360" s="24">
        <v>15.85</v>
      </c>
      <c r="M2360" s="24">
        <f>J2360-L2360</f>
        <v>16.279999999999994</v>
      </c>
      <c r="N2360" s="53">
        <f>IF(J2360&lt;&gt;0,M2360/J2360,"")</f>
        <v>0.50669156551509487</v>
      </c>
      <c r="O2360" s="23">
        <v>0</v>
      </c>
      <c r="P2360" s="25">
        <v>0</v>
      </c>
      <c r="Q2360" s="24">
        <v>0</v>
      </c>
      <c r="R2360" s="24">
        <f>O2360-Q2360</f>
        <v>0</v>
      </c>
      <c r="S2360" s="53" t="str">
        <f>IF(O2360&lt;&gt;0,R2360/O2360,"")</f>
        <v/>
      </c>
      <c r="T2360" s="10"/>
      <c r="U2360" s="23">
        <v>0.23</v>
      </c>
      <c r="V2360" s="25">
        <v>1</v>
      </c>
      <c r="W2360" s="24">
        <v>0.11</v>
      </c>
      <c r="X2360" s="24">
        <f>U2360-W2360</f>
        <v>0.12000000000000001</v>
      </c>
      <c r="Y2360" s="53">
        <f>IF(U2360&lt;&gt;0,X2360/U2360,"")</f>
        <v>0.52173913043478259</v>
      </c>
      <c r="Z2360" s="23">
        <v>36.150000000000006</v>
      </c>
      <c r="AA2360" s="25">
        <v>162</v>
      </c>
      <c r="AB2360" s="24">
        <v>17.829999999999998</v>
      </c>
      <c r="AC2360" s="24">
        <f t="shared" si="674"/>
        <v>18.320000000000007</v>
      </c>
      <c r="AD2360" s="53">
        <f t="shared" si="675"/>
        <v>0.50677731673582305</v>
      </c>
      <c r="AE2360" s="10"/>
    </row>
    <row r="2361" spans="1:31" x14ac:dyDescent="0.25">
      <c r="A2361" s="14" t="s">
        <v>109</v>
      </c>
      <c r="C2361" s="61" t="str">
        <f t="shared" si="673"/>
        <v>C100127</v>
      </c>
      <c r="F2361" s="8" t="str">
        <f>"E100011"</f>
        <v>E100011</v>
      </c>
      <c r="G2361" s="9" t="str">
        <f>"Plastic Sun Visor"</f>
        <v>Plastic Sun Visor</v>
      </c>
      <c r="H2361" s="47"/>
      <c r="I2361" s="47"/>
      <c r="J2361" s="23">
        <v>113.14</v>
      </c>
      <c r="K2361" s="25">
        <v>144</v>
      </c>
      <c r="L2361" s="24">
        <v>60.470000000000006</v>
      </c>
      <c r="M2361" s="24">
        <f>J2361-L2361</f>
        <v>52.669999999999995</v>
      </c>
      <c r="N2361" s="53">
        <f>IF(J2361&lt;&gt;0,M2361/J2361,"")</f>
        <v>0.46552943256142826</v>
      </c>
      <c r="O2361" s="23">
        <v>0</v>
      </c>
      <c r="P2361" s="25">
        <v>0</v>
      </c>
      <c r="Q2361" s="24">
        <v>0</v>
      </c>
      <c r="R2361" s="24">
        <f>O2361-Q2361</f>
        <v>0</v>
      </c>
      <c r="S2361" s="53" t="str">
        <f>IF(O2361&lt;&gt;0,R2361/O2361,"")</f>
        <v/>
      </c>
      <c r="T2361" s="10"/>
      <c r="U2361" s="23">
        <v>0</v>
      </c>
      <c r="V2361" s="25">
        <v>0</v>
      </c>
      <c r="W2361" s="24">
        <v>0</v>
      </c>
      <c r="X2361" s="24">
        <f>U2361-W2361</f>
        <v>0</v>
      </c>
      <c r="Y2361" s="53" t="str">
        <f>IF(U2361&lt;&gt;0,X2361/U2361,"")</f>
        <v/>
      </c>
      <c r="Z2361" s="23">
        <v>111.97000000000001</v>
      </c>
      <c r="AA2361" s="25">
        <v>144</v>
      </c>
      <c r="AB2361" s="24">
        <v>60.470000000000006</v>
      </c>
      <c r="AC2361" s="24">
        <f t="shared" si="674"/>
        <v>51.500000000000007</v>
      </c>
      <c r="AD2361" s="53">
        <f t="shared" si="675"/>
        <v>0.45994462802536396</v>
      </c>
      <c r="AE2361" s="10"/>
    </row>
    <row r="2362" spans="1:31" x14ac:dyDescent="0.25">
      <c r="A2362" s="14" t="s">
        <v>109</v>
      </c>
      <c r="C2362" s="61" t="str">
        <f t="shared" si="673"/>
        <v>C100127</v>
      </c>
      <c r="F2362" s="8" t="str">
        <f>"E100012"</f>
        <v>E100012</v>
      </c>
      <c r="G2362" s="9" t="str">
        <f>"Canvas Stopwatch"</f>
        <v>Canvas Stopwatch</v>
      </c>
      <c r="H2362" s="47"/>
      <c r="I2362" s="47"/>
      <c r="J2362" s="23">
        <v>516.82000000000005</v>
      </c>
      <c r="K2362" s="25">
        <v>144</v>
      </c>
      <c r="L2362" s="24">
        <v>282.22999999999996</v>
      </c>
      <c r="M2362" s="24">
        <f>J2362-L2362</f>
        <v>234.59000000000009</v>
      </c>
      <c r="N2362" s="53">
        <f>IF(J2362&lt;&gt;0,M2362/J2362,"")</f>
        <v>0.45391045238187389</v>
      </c>
      <c r="O2362" s="23">
        <v>0</v>
      </c>
      <c r="P2362" s="25">
        <v>0</v>
      </c>
      <c r="Q2362" s="24">
        <v>0</v>
      </c>
      <c r="R2362" s="24">
        <f>O2362-Q2362</f>
        <v>0</v>
      </c>
      <c r="S2362" s="53" t="str">
        <f>IF(O2362&lt;&gt;0,R2362/O2362,"")</f>
        <v/>
      </c>
      <c r="T2362" s="10"/>
      <c r="U2362" s="23">
        <v>522.14</v>
      </c>
      <c r="V2362" s="25">
        <v>144</v>
      </c>
      <c r="W2362" s="24">
        <v>282.22999999999996</v>
      </c>
      <c r="X2362" s="24">
        <f>U2362-W2362</f>
        <v>239.91000000000003</v>
      </c>
      <c r="Y2362" s="53">
        <f>IF(U2362&lt;&gt;0,X2362/U2362,"")</f>
        <v>0.45947447044853879</v>
      </c>
      <c r="Z2362" s="23">
        <v>522.14</v>
      </c>
      <c r="AA2362" s="25">
        <v>144</v>
      </c>
      <c r="AB2362" s="24">
        <v>282.22999999999996</v>
      </c>
      <c r="AC2362" s="24">
        <f t="shared" si="674"/>
        <v>239.91000000000003</v>
      </c>
      <c r="AD2362" s="53">
        <f t="shared" si="675"/>
        <v>0.45947447044853879</v>
      </c>
      <c r="AE2362" s="10"/>
    </row>
    <row r="2363" spans="1:31" x14ac:dyDescent="0.25">
      <c r="A2363" s="14" t="s">
        <v>109</v>
      </c>
      <c r="C2363" s="61" t="str">
        <f t="shared" si="673"/>
        <v>C100127</v>
      </c>
      <c r="F2363" s="8" t="str">
        <f>"E100013"</f>
        <v>E100013</v>
      </c>
      <c r="G2363" s="9" t="str">
        <f>"Clip-on Stopwatch"</f>
        <v>Clip-on Stopwatch</v>
      </c>
      <c r="H2363" s="47"/>
      <c r="I2363" s="47"/>
      <c r="J2363" s="23">
        <v>388.19</v>
      </c>
      <c r="K2363" s="25">
        <v>145</v>
      </c>
      <c r="L2363" s="24">
        <v>208.79</v>
      </c>
      <c r="M2363" s="24">
        <f>J2363-L2363</f>
        <v>179.4</v>
      </c>
      <c r="N2363" s="53">
        <f>IF(J2363&lt;&gt;0,M2363/J2363,"")</f>
        <v>0.4621448259872743</v>
      </c>
      <c r="O2363" s="23">
        <v>0</v>
      </c>
      <c r="P2363" s="25">
        <v>0</v>
      </c>
      <c r="Q2363" s="24">
        <v>0</v>
      </c>
      <c r="R2363" s="24">
        <f>O2363-Q2363</f>
        <v>0</v>
      </c>
      <c r="S2363" s="53" t="str">
        <f>IF(O2363&lt;&gt;0,R2363/O2363,"")</f>
        <v/>
      </c>
      <c r="T2363" s="10"/>
      <c r="U2363" s="23">
        <v>0</v>
      </c>
      <c r="V2363" s="25">
        <v>0</v>
      </c>
      <c r="W2363" s="24">
        <v>0</v>
      </c>
      <c r="X2363" s="24">
        <f>U2363-W2363</f>
        <v>0</v>
      </c>
      <c r="Y2363" s="53" t="str">
        <f>IF(U2363&lt;&gt;0,X2363/U2363,"")</f>
        <v/>
      </c>
      <c r="Z2363" s="23">
        <v>389.49</v>
      </c>
      <c r="AA2363" s="25">
        <v>144</v>
      </c>
      <c r="AB2363" s="24">
        <v>207.35</v>
      </c>
      <c r="AC2363" s="24">
        <f t="shared" si="674"/>
        <v>182.14000000000001</v>
      </c>
      <c r="AD2363" s="53">
        <f t="shared" si="675"/>
        <v>0.46763716655113097</v>
      </c>
      <c r="AE2363" s="10"/>
    </row>
    <row r="2364" spans="1:31" x14ac:dyDescent="0.25">
      <c r="A2364" s="14" t="s">
        <v>109</v>
      </c>
      <c r="C2364" s="61" t="str">
        <f t="shared" si="673"/>
        <v>C100127</v>
      </c>
      <c r="F2364" s="8" t="str">
        <f>"E100014"</f>
        <v>E100014</v>
      </c>
      <c r="G2364" s="9" t="str">
        <f>"Stopwatch with Neck Rope"</f>
        <v>Stopwatch with Neck Rope</v>
      </c>
      <c r="H2364" s="47"/>
      <c r="I2364" s="47"/>
      <c r="J2364" s="23">
        <v>384.11999999999995</v>
      </c>
      <c r="K2364" s="25">
        <v>144</v>
      </c>
      <c r="L2364" s="24">
        <v>185.75</v>
      </c>
      <c r="M2364" s="24">
        <f>J2364-L2364</f>
        <v>198.36999999999995</v>
      </c>
      <c r="N2364" s="53">
        <f>IF(J2364&lt;&gt;0,M2364/J2364,"")</f>
        <v>0.51642715817973539</v>
      </c>
      <c r="O2364" s="23">
        <v>0</v>
      </c>
      <c r="P2364" s="25">
        <v>0</v>
      </c>
      <c r="Q2364" s="24">
        <v>0</v>
      </c>
      <c r="R2364" s="24">
        <f>O2364-Q2364</f>
        <v>0</v>
      </c>
      <c r="S2364" s="53" t="str">
        <f>IF(O2364&lt;&gt;0,R2364/O2364,"")</f>
        <v/>
      </c>
      <c r="T2364" s="10"/>
      <c r="U2364" s="23">
        <v>0</v>
      </c>
      <c r="V2364" s="25">
        <v>0</v>
      </c>
      <c r="W2364" s="24">
        <v>0</v>
      </c>
      <c r="X2364" s="24">
        <f>U2364-W2364</f>
        <v>0</v>
      </c>
      <c r="Y2364" s="53" t="str">
        <f>IF(U2364&lt;&gt;0,X2364/U2364,"")</f>
        <v/>
      </c>
      <c r="Z2364" s="23">
        <v>388.08000000000004</v>
      </c>
      <c r="AA2364" s="25">
        <v>144</v>
      </c>
      <c r="AB2364" s="24">
        <v>185.75</v>
      </c>
      <c r="AC2364" s="24">
        <f t="shared" si="674"/>
        <v>202.33000000000004</v>
      </c>
      <c r="AD2364" s="53">
        <f t="shared" si="675"/>
        <v>0.5213615749330035</v>
      </c>
      <c r="AE2364" s="10"/>
    </row>
    <row r="2365" spans="1:31" x14ac:dyDescent="0.25">
      <c r="A2365" s="14" t="s">
        <v>109</v>
      </c>
      <c r="C2365" s="61" t="str">
        <f t="shared" si="673"/>
        <v>C100127</v>
      </c>
      <c r="F2365" s="8" t="str">
        <f>"E100017"</f>
        <v>E100017</v>
      </c>
      <c r="G2365" s="9" t="str">
        <f>"Clip-on Clock with Compass"</f>
        <v>Clip-on Clock with Compass</v>
      </c>
      <c r="H2365" s="47"/>
      <c r="I2365" s="47"/>
      <c r="J2365" s="23">
        <v>217.9</v>
      </c>
      <c r="K2365" s="25">
        <v>144</v>
      </c>
      <c r="L2365" s="24">
        <v>126.72</v>
      </c>
      <c r="M2365" s="24">
        <f>J2365-L2365</f>
        <v>91.18</v>
      </c>
      <c r="N2365" s="53">
        <f>IF(J2365&lt;&gt;0,M2365/J2365,"")</f>
        <v>0.41844882973841213</v>
      </c>
      <c r="O2365" s="23">
        <v>0</v>
      </c>
      <c r="P2365" s="25">
        <v>0</v>
      </c>
      <c r="Q2365" s="24">
        <v>0</v>
      </c>
      <c r="R2365" s="24">
        <f>O2365-Q2365</f>
        <v>0</v>
      </c>
      <c r="S2365" s="53" t="str">
        <f>IF(O2365&lt;&gt;0,R2365/O2365,"")</f>
        <v/>
      </c>
      <c r="T2365" s="10"/>
      <c r="U2365" s="23">
        <v>0</v>
      </c>
      <c r="V2365" s="25">
        <v>0</v>
      </c>
      <c r="W2365" s="24">
        <v>0</v>
      </c>
      <c r="X2365" s="24">
        <f>U2365-W2365</f>
        <v>0</v>
      </c>
      <c r="Y2365" s="53" t="str">
        <f>IF(U2365&lt;&gt;0,X2365/U2365,"")</f>
        <v/>
      </c>
      <c r="Z2365" s="23">
        <v>435.8</v>
      </c>
      <c r="AA2365" s="25">
        <v>288</v>
      </c>
      <c r="AB2365" s="24">
        <v>253.44</v>
      </c>
      <c r="AC2365" s="24">
        <f t="shared" si="674"/>
        <v>182.36</v>
      </c>
      <c r="AD2365" s="53">
        <f t="shared" si="675"/>
        <v>0.41844882973841213</v>
      </c>
      <c r="AE2365" s="10"/>
    </row>
    <row r="2366" spans="1:31" x14ac:dyDescent="0.25">
      <c r="A2366" s="14" t="s">
        <v>109</v>
      </c>
      <c r="C2366" s="61" t="str">
        <f t="shared" si="673"/>
        <v>C100127</v>
      </c>
      <c r="F2366" s="8" t="str">
        <f>"E100022"</f>
        <v>E100022</v>
      </c>
      <c r="G2366" s="9" t="str">
        <f>"Wide Screen Alarm Clock"</f>
        <v>Wide Screen Alarm Clock</v>
      </c>
      <c r="H2366" s="47"/>
      <c r="I2366" s="47"/>
      <c r="J2366" s="23">
        <v>269.58</v>
      </c>
      <c r="K2366" s="25">
        <v>144</v>
      </c>
      <c r="L2366" s="24">
        <v>184.31</v>
      </c>
      <c r="M2366" s="24">
        <f>J2366-L2366</f>
        <v>85.269999999999982</v>
      </c>
      <c r="N2366" s="53">
        <f>IF(J2366&lt;&gt;0,M2366/J2366,"")</f>
        <v>0.31630684768899764</v>
      </c>
      <c r="O2366" s="23">
        <v>0</v>
      </c>
      <c r="P2366" s="25">
        <v>0</v>
      </c>
      <c r="Q2366" s="24">
        <v>0</v>
      </c>
      <c r="R2366" s="24">
        <f>O2366-Q2366</f>
        <v>0</v>
      </c>
      <c r="S2366" s="53" t="str">
        <f>IF(O2366&lt;&gt;0,R2366/O2366,"")</f>
        <v/>
      </c>
      <c r="T2366" s="10"/>
      <c r="U2366" s="23">
        <v>0</v>
      </c>
      <c r="V2366" s="25">
        <v>0</v>
      </c>
      <c r="W2366" s="24">
        <v>0</v>
      </c>
      <c r="X2366" s="24">
        <f>U2366-W2366</f>
        <v>0</v>
      </c>
      <c r="Y2366" s="53" t="str">
        <f>IF(U2366&lt;&gt;0,X2366/U2366,"")</f>
        <v/>
      </c>
      <c r="Z2366" s="23">
        <v>0</v>
      </c>
      <c r="AA2366" s="25">
        <v>0</v>
      </c>
      <c r="AB2366" s="24">
        <v>0</v>
      </c>
      <c r="AC2366" s="24">
        <f t="shared" si="674"/>
        <v>0</v>
      </c>
      <c r="AD2366" s="53" t="str">
        <f t="shared" si="675"/>
        <v/>
      </c>
      <c r="AE2366" s="10"/>
    </row>
    <row r="2367" spans="1:31" x14ac:dyDescent="0.25">
      <c r="A2367" s="14" t="s">
        <v>109</v>
      </c>
      <c r="C2367" s="61" t="str">
        <f t="shared" si="673"/>
        <v>C100127</v>
      </c>
      <c r="F2367" s="8" t="str">
        <f>"E100025"</f>
        <v>E100025</v>
      </c>
      <c r="G2367" s="9" t="str">
        <f>"Calc-U-Note"</f>
        <v>Calc-U-Note</v>
      </c>
      <c r="H2367" s="47"/>
      <c r="I2367" s="47"/>
      <c r="J2367" s="23">
        <v>229.08</v>
      </c>
      <c r="K2367" s="25">
        <v>144</v>
      </c>
      <c r="L2367" s="24">
        <v>146.80000000000001</v>
      </c>
      <c r="M2367" s="24">
        <f>J2367-L2367</f>
        <v>82.28</v>
      </c>
      <c r="N2367" s="53">
        <f>IF(J2367&lt;&gt;0,M2367/J2367,"")</f>
        <v>0.35917583376986206</v>
      </c>
      <c r="O2367" s="23">
        <v>0</v>
      </c>
      <c r="P2367" s="25">
        <v>0</v>
      </c>
      <c r="Q2367" s="24">
        <v>0</v>
      </c>
      <c r="R2367" s="24">
        <f>O2367-Q2367</f>
        <v>0</v>
      </c>
      <c r="S2367" s="53" t="str">
        <f>IF(O2367&lt;&gt;0,R2367/O2367,"")</f>
        <v/>
      </c>
      <c r="T2367" s="10"/>
      <c r="U2367" s="23">
        <v>0</v>
      </c>
      <c r="V2367" s="25">
        <v>0</v>
      </c>
      <c r="W2367" s="24">
        <v>0</v>
      </c>
      <c r="X2367" s="24">
        <f>U2367-W2367</f>
        <v>0</v>
      </c>
      <c r="Y2367" s="53" t="str">
        <f>IF(U2367&lt;&gt;0,X2367/U2367,"")</f>
        <v/>
      </c>
      <c r="Z2367" s="23">
        <v>234.61999999999998</v>
      </c>
      <c r="AA2367" s="25">
        <v>146</v>
      </c>
      <c r="AB2367" s="24">
        <v>148.84</v>
      </c>
      <c r="AC2367" s="24">
        <f t="shared" si="674"/>
        <v>85.779999999999973</v>
      </c>
      <c r="AD2367" s="53">
        <f t="shared" si="675"/>
        <v>0.36561247975449657</v>
      </c>
      <c r="AE2367" s="10"/>
    </row>
    <row r="2368" spans="1:31" x14ac:dyDescent="0.25">
      <c r="A2368" s="14" t="s">
        <v>109</v>
      </c>
      <c r="C2368" s="61" t="str">
        <f t="shared" si="673"/>
        <v>C100127</v>
      </c>
      <c r="F2368" s="8" t="str">
        <f>"E100027"</f>
        <v>E100027</v>
      </c>
      <c r="G2368" s="9" t="str">
        <f>"Ergo-Calculator"</f>
        <v>Ergo-Calculator</v>
      </c>
      <c r="H2368" s="47"/>
      <c r="I2368" s="47"/>
      <c r="J2368" s="23">
        <v>338.03</v>
      </c>
      <c r="K2368" s="25">
        <v>144</v>
      </c>
      <c r="L2368" s="24">
        <v>184.35</v>
      </c>
      <c r="M2368" s="24">
        <f>J2368-L2368</f>
        <v>153.67999999999998</v>
      </c>
      <c r="N2368" s="53">
        <f>IF(J2368&lt;&gt;0,M2368/J2368,"")</f>
        <v>0.45463420406472793</v>
      </c>
      <c r="O2368" s="23">
        <v>0</v>
      </c>
      <c r="P2368" s="25">
        <v>0</v>
      </c>
      <c r="Q2368" s="24">
        <v>0</v>
      </c>
      <c r="R2368" s="24">
        <f>O2368-Q2368</f>
        <v>0</v>
      </c>
      <c r="S2368" s="53" t="str">
        <f>IF(O2368&lt;&gt;0,R2368/O2368,"")</f>
        <v/>
      </c>
      <c r="T2368" s="10"/>
      <c r="U2368" s="23">
        <v>0</v>
      </c>
      <c r="V2368" s="25">
        <v>0</v>
      </c>
      <c r="W2368" s="24">
        <v>0</v>
      </c>
      <c r="X2368" s="24">
        <f>U2368-W2368</f>
        <v>0</v>
      </c>
      <c r="Y2368" s="53" t="str">
        <f>IF(U2368&lt;&gt;0,X2368/U2368,"")</f>
        <v/>
      </c>
      <c r="Z2368" s="23">
        <v>2.37</v>
      </c>
      <c r="AA2368" s="25">
        <v>1</v>
      </c>
      <c r="AB2368" s="24">
        <v>1.28</v>
      </c>
      <c r="AC2368" s="24">
        <f t="shared" si="674"/>
        <v>1.0900000000000001</v>
      </c>
      <c r="AD2368" s="53">
        <f t="shared" si="675"/>
        <v>0.45991561181434598</v>
      </c>
      <c r="AE2368" s="10"/>
    </row>
    <row r="2369" spans="1:31" x14ac:dyDescent="0.25">
      <c r="A2369" s="14" t="s">
        <v>109</v>
      </c>
      <c r="C2369" s="61" t="str">
        <f t="shared" si="673"/>
        <v>C100127</v>
      </c>
      <c r="F2369" s="8" t="str">
        <f>"E100028"</f>
        <v>E100028</v>
      </c>
      <c r="G2369" s="9" t="str">
        <f>"USB 4-Port Hub"</f>
        <v>USB 4-Port Hub</v>
      </c>
      <c r="H2369" s="47"/>
      <c r="I2369" s="47"/>
      <c r="J2369" s="23">
        <v>402.28</v>
      </c>
      <c r="K2369" s="25">
        <v>144</v>
      </c>
      <c r="L2369" s="24">
        <v>267.91000000000003</v>
      </c>
      <c r="M2369" s="24">
        <f>J2369-L2369</f>
        <v>134.36999999999995</v>
      </c>
      <c r="N2369" s="53">
        <f>IF(J2369&lt;&gt;0,M2369/J2369,"")</f>
        <v>0.33402107984488405</v>
      </c>
      <c r="O2369" s="23">
        <v>0</v>
      </c>
      <c r="P2369" s="25">
        <v>0</v>
      </c>
      <c r="Q2369" s="24">
        <v>0</v>
      </c>
      <c r="R2369" s="24">
        <f>O2369-Q2369</f>
        <v>0</v>
      </c>
      <c r="S2369" s="53" t="str">
        <f>IF(O2369&lt;&gt;0,R2369/O2369,"")</f>
        <v/>
      </c>
      <c r="T2369" s="10"/>
      <c r="U2369" s="23">
        <v>2.82</v>
      </c>
      <c r="V2369" s="25">
        <v>1</v>
      </c>
      <c r="W2369" s="24">
        <v>1.86</v>
      </c>
      <c r="X2369" s="24">
        <f>U2369-W2369</f>
        <v>0.95999999999999974</v>
      </c>
      <c r="Y2369" s="53">
        <f>IF(U2369&lt;&gt;0,X2369/U2369,"")</f>
        <v>0.34042553191489355</v>
      </c>
      <c r="Z2369" s="23">
        <v>0</v>
      </c>
      <c r="AA2369" s="25">
        <v>0</v>
      </c>
      <c r="AB2369" s="24">
        <v>0</v>
      </c>
      <c r="AC2369" s="24">
        <f t="shared" si="674"/>
        <v>0</v>
      </c>
      <c r="AD2369" s="53" t="str">
        <f t="shared" si="675"/>
        <v/>
      </c>
      <c r="AE2369" s="10"/>
    </row>
    <row r="2370" spans="1:31" x14ac:dyDescent="0.25">
      <c r="A2370" s="14" t="s">
        <v>109</v>
      </c>
      <c r="C2370" s="61" t="str">
        <f t="shared" si="673"/>
        <v>C100127</v>
      </c>
      <c r="F2370" s="8" t="str">
        <f>"E100035"</f>
        <v>E100035</v>
      </c>
      <c r="G2370" s="9" t="str">
        <f>"2GB Foldout USB Flash Drive"</f>
        <v>2GB Foldout USB Flash Drive</v>
      </c>
      <c r="H2370" s="47"/>
      <c r="I2370" s="47"/>
      <c r="J2370" s="23">
        <v>540.55999999999995</v>
      </c>
      <c r="K2370" s="25">
        <v>144</v>
      </c>
      <c r="L2370" s="24">
        <v>324.05</v>
      </c>
      <c r="M2370" s="24">
        <f>J2370-L2370</f>
        <v>216.50999999999993</v>
      </c>
      <c r="N2370" s="53">
        <f>IF(J2370&lt;&gt;0,M2370/J2370,"")</f>
        <v>0.40052908095308559</v>
      </c>
      <c r="O2370" s="23">
        <v>0</v>
      </c>
      <c r="P2370" s="25">
        <v>0</v>
      </c>
      <c r="Q2370" s="24">
        <v>0</v>
      </c>
      <c r="R2370" s="24">
        <f>O2370-Q2370</f>
        <v>0</v>
      </c>
      <c r="S2370" s="53" t="str">
        <f>IF(O2370&lt;&gt;0,R2370/O2370,"")</f>
        <v/>
      </c>
      <c r="T2370" s="10"/>
      <c r="U2370" s="23">
        <v>0</v>
      </c>
      <c r="V2370" s="25">
        <v>0</v>
      </c>
      <c r="W2370" s="24">
        <v>0</v>
      </c>
      <c r="X2370" s="24">
        <f>U2370-W2370</f>
        <v>0</v>
      </c>
      <c r="Y2370" s="53" t="str">
        <f>IF(U2370&lt;&gt;0,X2370/U2370,"")</f>
        <v/>
      </c>
      <c r="Z2370" s="23">
        <v>0</v>
      </c>
      <c r="AA2370" s="25">
        <v>0</v>
      </c>
      <c r="AB2370" s="24">
        <v>0</v>
      </c>
      <c r="AC2370" s="24">
        <f t="shared" si="674"/>
        <v>0</v>
      </c>
      <c r="AD2370" s="53" t="str">
        <f t="shared" si="675"/>
        <v/>
      </c>
      <c r="AE2370" s="10"/>
    </row>
    <row r="2371" spans="1:31" x14ac:dyDescent="0.25">
      <c r="A2371" s="14" t="s">
        <v>109</v>
      </c>
      <c r="C2371" s="61" t="str">
        <f t="shared" si="673"/>
        <v>C100127</v>
      </c>
      <c r="F2371" s="8" t="str">
        <f>"E100046"</f>
        <v>E100046</v>
      </c>
      <c r="G2371" s="9" t="str">
        <f>"Milk Bottle"</f>
        <v>Milk Bottle</v>
      </c>
      <c r="H2371" s="47"/>
      <c r="I2371" s="47"/>
      <c r="J2371" s="23">
        <v>259.8</v>
      </c>
      <c r="K2371" s="25">
        <v>144</v>
      </c>
      <c r="L2371" s="24">
        <v>149.67000000000002</v>
      </c>
      <c r="M2371" s="24">
        <f>J2371-L2371</f>
        <v>110.13</v>
      </c>
      <c r="N2371" s="53">
        <f>IF(J2371&lt;&gt;0,M2371/J2371,"")</f>
        <v>0.42390300230946881</v>
      </c>
      <c r="O2371" s="23">
        <v>0</v>
      </c>
      <c r="P2371" s="25">
        <v>0</v>
      </c>
      <c r="Q2371" s="24">
        <v>0</v>
      </c>
      <c r="R2371" s="24">
        <f>O2371-Q2371</f>
        <v>0</v>
      </c>
      <c r="S2371" s="53" t="str">
        <f>IF(O2371&lt;&gt;0,R2371/O2371,"")</f>
        <v/>
      </c>
      <c r="T2371" s="10"/>
      <c r="U2371" s="23">
        <v>0</v>
      </c>
      <c r="V2371" s="25">
        <v>0</v>
      </c>
      <c r="W2371" s="24">
        <v>0</v>
      </c>
      <c r="X2371" s="24">
        <f>U2371-W2371</f>
        <v>0</v>
      </c>
      <c r="Y2371" s="53" t="str">
        <f>IF(U2371&lt;&gt;0,X2371/U2371,"")</f>
        <v/>
      </c>
      <c r="Z2371" s="23">
        <v>0</v>
      </c>
      <c r="AA2371" s="25">
        <v>0</v>
      </c>
      <c r="AB2371" s="24">
        <v>0</v>
      </c>
      <c r="AC2371" s="24">
        <f t="shared" si="674"/>
        <v>0</v>
      </c>
      <c r="AD2371" s="53" t="str">
        <f t="shared" si="675"/>
        <v/>
      </c>
      <c r="AE2371" s="10"/>
    </row>
    <row r="2372" spans="1:31" x14ac:dyDescent="0.25">
      <c r="A2372" s="14" t="s">
        <v>109</v>
      </c>
      <c r="C2372" s="61" t="str">
        <f t="shared" si="673"/>
        <v>C100127</v>
      </c>
      <c r="F2372" s="8" t="str">
        <f>"S100021"</f>
        <v>S100021</v>
      </c>
      <c r="G2372" s="9" t="str">
        <f>"Translucent Stopwatch"</f>
        <v>Translucent Stopwatch</v>
      </c>
      <c r="H2372" s="47"/>
      <c r="I2372" s="47"/>
      <c r="J2372" s="23">
        <v>1159.3400000000001</v>
      </c>
      <c r="K2372" s="25">
        <v>288</v>
      </c>
      <c r="L2372" s="24">
        <v>619.17999999999995</v>
      </c>
      <c r="M2372" s="24">
        <f>J2372-L2372</f>
        <v>540.1600000000002</v>
      </c>
      <c r="N2372" s="53">
        <f>IF(J2372&lt;&gt;0,M2372/J2372,"")</f>
        <v>0.46592026497834987</v>
      </c>
      <c r="O2372" s="23">
        <v>0</v>
      </c>
      <c r="P2372" s="25">
        <v>0</v>
      </c>
      <c r="Q2372" s="24">
        <v>0</v>
      </c>
      <c r="R2372" s="24">
        <f>O2372-Q2372</f>
        <v>0</v>
      </c>
      <c r="S2372" s="53" t="str">
        <f>IF(O2372&lt;&gt;0,R2372/O2372,"")</f>
        <v/>
      </c>
      <c r="T2372" s="10"/>
      <c r="U2372" s="23">
        <v>0</v>
      </c>
      <c r="V2372" s="25">
        <v>0</v>
      </c>
      <c r="W2372" s="24">
        <v>0</v>
      </c>
      <c r="X2372" s="24">
        <f>U2372-W2372</f>
        <v>0</v>
      </c>
      <c r="Y2372" s="53" t="str">
        <f>IF(U2372&lt;&gt;0,X2372/U2372,"")</f>
        <v/>
      </c>
      <c r="Z2372" s="23">
        <v>1165.32</v>
      </c>
      <c r="AA2372" s="25">
        <v>288</v>
      </c>
      <c r="AB2372" s="24">
        <v>619.17999999999995</v>
      </c>
      <c r="AC2372" s="24">
        <f t="shared" si="674"/>
        <v>546.14</v>
      </c>
      <c r="AD2372" s="53">
        <f t="shared" si="675"/>
        <v>0.46866096866096868</v>
      </c>
      <c r="AE2372" s="10"/>
    </row>
    <row r="2373" spans="1:31" x14ac:dyDescent="0.25">
      <c r="A2373" s="14" t="s">
        <v>109</v>
      </c>
      <c r="C2373" s="61" t="str">
        <f t="shared" si="673"/>
        <v>C100127</v>
      </c>
      <c r="F2373" s="8" t="str">
        <f>"S100024"</f>
        <v>S100024</v>
      </c>
      <c r="G2373" s="9" t="str">
        <f>"Aluminum SPORT BOT"</f>
        <v>Aluminum SPORT BOT</v>
      </c>
      <c r="H2373" s="47"/>
      <c r="I2373" s="47"/>
      <c r="J2373" s="23">
        <v>493.07</v>
      </c>
      <c r="K2373" s="25">
        <v>144</v>
      </c>
      <c r="L2373" s="24">
        <v>302.39999999999998</v>
      </c>
      <c r="M2373" s="24">
        <f>J2373-L2373</f>
        <v>190.67000000000002</v>
      </c>
      <c r="N2373" s="53">
        <f>IF(J2373&lt;&gt;0,M2373/J2373,"")</f>
        <v>0.3866996572494778</v>
      </c>
      <c r="O2373" s="23">
        <v>0</v>
      </c>
      <c r="P2373" s="25">
        <v>0</v>
      </c>
      <c r="Q2373" s="24">
        <v>0</v>
      </c>
      <c r="R2373" s="24">
        <f>O2373-Q2373</f>
        <v>0</v>
      </c>
      <c r="S2373" s="53" t="str">
        <f>IF(O2373&lt;&gt;0,R2373/O2373,"")</f>
        <v/>
      </c>
      <c r="T2373" s="10"/>
      <c r="U2373" s="23">
        <v>0</v>
      </c>
      <c r="V2373" s="25">
        <v>0</v>
      </c>
      <c r="W2373" s="24">
        <v>0</v>
      </c>
      <c r="X2373" s="24">
        <f>U2373-W2373</f>
        <v>0</v>
      </c>
      <c r="Y2373" s="53" t="str">
        <f>IF(U2373&lt;&gt;0,X2373/U2373,"")</f>
        <v/>
      </c>
      <c r="Z2373" s="23">
        <v>0</v>
      </c>
      <c r="AA2373" s="25">
        <v>0</v>
      </c>
      <c r="AB2373" s="24">
        <v>0</v>
      </c>
      <c r="AC2373" s="24">
        <f t="shared" si="674"/>
        <v>0</v>
      </c>
      <c r="AD2373" s="53" t="str">
        <f t="shared" si="675"/>
        <v/>
      </c>
      <c r="AE2373" s="10"/>
    </row>
    <row r="2374" spans="1:31" x14ac:dyDescent="0.25">
      <c r="A2374" s="14" t="s">
        <v>109</v>
      </c>
      <c r="C2374" s="61" t="str">
        <f t="shared" si="673"/>
        <v>C100127</v>
      </c>
      <c r="F2374" s="8" t="str">
        <f>"S100025"</f>
        <v>S100025</v>
      </c>
      <c r="G2374" s="9" t="str">
        <f>"SPORT BOT with Pop Lid"</f>
        <v>SPORT BOT with Pop Lid</v>
      </c>
      <c r="H2374" s="47"/>
      <c r="I2374" s="47"/>
      <c r="J2374" s="23">
        <v>237.46</v>
      </c>
      <c r="K2374" s="25">
        <v>144</v>
      </c>
      <c r="L2374" s="24">
        <v>138.16999999999999</v>
      </c>
      <c r="M2374" s="24">
        <f>J2374-L2374</f>
        <v>99.29000000000002</v>
      </c>
      <c r="N2374" s="53">
        <f>IF(J2374&lt;&gt;0,M2374/J2374,"")</f>
        <v>0.41813358039248721</v>
      </c>
      <c r="O2374" s="23">
        <v>0</v>
      </c>
      <c r="P2374" s="25">
        <v>0</v>
      </c>
      <c r="Q2374" s="24">
        <v>0</v>
      </c>
      <c r="R2374" s="24">
        <f>O2374-Q2374</f>
        <v>0</v>
      </c>
      <c r="S2374" s="53" t="str">
        <f>IF(O2374&lt;&gt;0,R2374/O2374,"")</f>
        <v/>
      </c>
      <c r="T2374" s="10"/>
      <c r="U2374" s="23">
        <v>0</v>
      </c>
      <c r="V2374" s="25">
        <v>0</v>
      </c>
      <c r="W2374" s="24">
        <v>0</v>
      </c>
      <c r="X2374" s="24">
        <f>U2374-W2374</f>
        <v>0</v>
      </c>
      <c r="Y2374" s="53" t="str">
        <f>IF(U2374&lt;&gt;0,X2374/U2374,"")</f>
        <v/>
      </c>
      <c r="Z2374" s="23">
        <v>0</v>
      </c>
      <c r="AA2374" s="25">
        <v>0</v>
      </c>
      <c r="AB2374" s="24">
        <v>0</v>
      </c>
      <c r="AC2374" s="24">
        <f t="shared" si="674"/>
        <v>0</v>
      </c>
      <c r="AD2374" s="53" t="str">
        <f t="shared" si="675"/>
        <v/>
      </c>
      <c r="AE2374" s="10"/>
    </row>
    <row r="2375" spans="1:31" x14ac:dyDescent="0.25">
      <c r="A2375" s="14" t="s">
        <v>109</v>
      </c>
      <c r="C2375" s="61" t="str">
        <f t="shared" si="673"/>
        <v>C100127</v>
      </c>
      <c r="F2375" s="8" t="str">
        <f>"S100026"</f>
        <v>S100026</v>
      </c>
      <c r="G2375" s="9" t="str">
        <f>"Wide SPORT BOT"</f>
        <v>Wide SPORT BOT</v>
      </c>
      <c r="H2375" s="47"/>
      <c r="I2375" s="47"/>
      <c r="J2375" s="23">
        <v>1131.4100000000001</v>
      </c>
      <c r="K2375" s="25">
        <v>288</v>
      </c>
      <c r="L2375" s="24">
        <v>547.31000000000006</v>
      </c>
      <c r="M2375" s="24">
        <f>J2375-L2375</f>
        <v>584.1</v>
      </c>
      <c r="N2375" s="53">
        <f>IF(J2375&lt;&gt;0,M2375/J2375,"")</f>
        <v>0.51625847393959745</v>
      </c>
      <c r="O2375" s="23">
        <v>0</v>
      </c>
      <c r="P2375" s="25">
        <v>0</v>
      </c>
      <c r="Q2375" s="24">
        <v>0</v>
      </c>
      <c r="R2375" s="24">
        <f>O2375-Q2375</f>
        <v>0</v>
      </c>
      <c r="S2375" s="53" t="str">
        <f>IF(O2375&lt;&gt;0,R2375/O2375,"")</f>
        <v/>
      </c>
      <c r="T2375" s="10"/>
      <c r="U2375" s="23">
        <v>0</v>
      </c>
      <c r="V2375" s="25">
        <v>0</v>
      </c>
      <c r="W2375" s="24">
        <v>0</v>
      </c>
      <c r="X2375" s="24">
        <f>U2375-W2375</f>
        <v>0</v>
      </c>
      <c r="Y2375" s="53" t="str">
        <f>IF(U2375&lt;&gt;0,X2375/U2375,"")</f>
        <v/>
      </c>
      <c r="Z2375" s="23">
        <v>1131.4100000000001</v>
      </c>
      <c r="AA2375" s="25">
        <v>288</v>
      </c>
      <c r="AB2375" s="24">
        <v>547.30000000000007</v>
      </c>
      <c r="AC2375" s="24">
        <f t="shared" si="674"/>
        <v>584.11</v>
      </c>
      <c r="AD2375" s="53">
        <f t="shared" si="675"/>
        <v>0.51626731246851276</v>
      </c>
      <c r="AE2375" s="10"/>
    </row>
    <row r="2376" spans="1:31" ht="15.75" thickBot="1" x14ac:dyDescent="0.3">
      <c r="A2376" s="14" t="s">
        <v>109</v>
      </c>
      <c r="C2376" s="61" t="str">
        <f>C2354</f>
        <v>C100127</v>
      </c>
      <c r="J2376" s="10"/>
      <c r="K2376" s="11"/>
      <c r="L2376" s="11"/>
      <c r="M2376" s="11"/>
      <c r="N2376" s="12"/>
      <c r="O2376" s="10"/>
      <c r="P2376" s="11"/>
      <c r="Q2376" s="11"/>
      <c r="R2376" s="11"/>
      <c r="S2376" s="12"/>
      <c r="U2376" s="10"/>
      <c r="V2376" s="11"/>
      <c r="W2376" s="11"/>
      <c r="X2376" s="11"/>
      <c r="Y2376" s="12"/>
      <c r="Z2376" s="10"/>
      <c r="AA2376" s="11"/>
      <c r="AB2376" s="11"/>
      <c r="AC2376" s="11"/>
      <c r="AD2376" s="12"/>
    </row>
    <row r="2377" spans="1:31" ht="15.75" thickBot="1" x14ac:dyDescent="0.3">
      <c r="A2377" s="14" t="s">
        <v>109</v>
      </c>
      <c r="C2377" s="61" t="str">
        <f t="shared" si="670"/>
        <v>C100127</v>
      </c>
      <c r="G2377" s="48" t="str">
        <f>C2377&amp;" TOTAL:"</f>
        <v>C100127 TOTAL:</v>
      </c>
      <c r="H2377" s="50"/>
      <c r="I2377" s="50"/>
      <c r="J2377" s="34">
        <f>SUBTOTAL(9,J2353:J2376)</f>
        <v>10749.399999999998</v>
      </c>
      <c r="K2377" s="35">
        <f>SUBTOTAL(9,K2353:K2376)</f>
        <v>3518</v>
      </c>
      <c r="L2377" s="36">
        <f>SUBTOTAL(9,L2353:L2376)</f>
        <v>6009.17</v>
      </c>
      <c r="M2377" s="36">
        <f>J2377-L2377</f>
        <v>4740.2299999999977</v>
      </c>
      <c r="N2377" s="37">
        <f>IF(J2377&lt;&gt;0,M2377/J2377,"")</f>
        <v>0.4409762405343553</v>
      </c>
      <c r="O2377" s="34">
        <f>SUBTOTAL(9,O2353:O2376)</f>
        <v>0</v>
      </c>
      <c r="P2377" s="35">
        <f>SUBTOTAL(9,P2353:P2376)</f>
        <v>0</v>
      </c>
      <c r="Q2377" s="36">
        <f>SUBTOTAL(9,Q2353:Q2376)</f>
        <v>0</v>
      </c>
      <c r="R2377" s="36">
        <f>O2377-Q2377</f>
        <v>0</v>
      </c>
      <c r="S2377" s="37" t="str">
        <f>IF(O2377&lt;&gt;0,R2377/O2377,"")</f>
        <v/>
      </c>
      <c r="U2377" s="34">
        <f>SUBTOTAL(9,U2353:U2376)</f>
        <v>1291.47</v>
      </c>
      <c r="V2377" s="35">
        <f>SUBTOTAL(9,V2353:V2376)</f>
        <v>290</v>
      </c>
      <c r="W2377" s="36">
        <f>SUBTOTAL(9,W2353:W2376)</f>
        <v>667.28</v>
      </c>
      <c r="X2377" s="36">
        <f>U2377-W2377</f>
        <v>624.19000000000005</v>
      </c>
      <c r="Y2377" s="37">
        <f>IF(U2377&lt;&gt;0,X2377/U2377,"")</f>
        <v>0.48331745994874059</v>
      </c>
      <c r="Z2377" s="34">
        <f>SUBTOTAL(9,Z2353:Z2376)</f>
        <v>7288.9599999999991</v>
      </c>
      <c r="AA2377" s="35">
        <f>SUBTOTAL(9,AA2353:AA2376)</f>
        <v>2622</v>
      </c>
      <c r="AB2377" s="36">
        <f>SUBTOTAL(9,AB2353:AB2376)</f>
        <v>4012.9100000000003</v>
      </c>
      <c r="AC2377" s="36">
        <f t="shared" ref="AC2377" si="676">Z2377-AB2377</f>
        <v>3276.0499999999988</v>
      </c>
      <c r="AD2377" s="37">
        <f t="shared" ref="AD2377" si="677">IF(Z2377&lt;&gt;0,AC2377/Z2377,"")</f>
        <v>0.44945369435420129</v>
      </c>
    </row>
    <row r="2378" spans="1:31" x14ac:dyDescent="0.25">
      <c r="A2378" s="14" t="s">
        <v>109</v>
      </c>
      <c r="C2378" s="66"/>
      <c r="J2378" s="10"/>
      <c r="K2378" s="11"/>
      <c r="L2378" s="11"/>
      <c r="M2378" s="11"/>
      <c r="N2378" s="12"/>
      <c r="O2378" s="10"/>
      <c r="P2378" s="11"/>
      <c r="Q2378" s="11"/>
      <c r="R2378" s="11"/>
      <c r="S2378" s="12"/>
      <c r="U2378" s="10"/>
      <c r="V2378" s="11"/>
      <c r="W2378" s="11"/>
      <c r="X2378" s="11"/>
      <c r="Y2378" s="12"/>
      <c r="Z2378" s="10"/>
      <c r="AA2378" s="11"/>
      <c r="AB2378" s="11"/>
      <c r="AC2378" s="11"/>
      <c r="AD2378" s="12"/>
    </row>
    <row r="2379" spans="1:31" ht="15.75" x14ac:dyDescent="0.25">
      <c r="A2379" s="14" t="s">
        <v>109</v>
      </c>
      <c r="C2379" s="66" t="str">
        <f t="shared" ref="C2379" si="678">E2379</f>
        <v>C100128</v>
      </c>
      <c r="E2379" s="13" t="str">
        <f>"C100128"</f>
        <v>C100128</v>
      </c>
      <c r="F2379" s="13"/>
      <c r="G2379" s="13" t="str">
        <f>"Solar Tech"</f>
        <v>Solar Tech</v>
      </c>
      <c r="H2379" s="13"/>
      <c r="I2379" s="13"/>
      <c r="J2379" s="10"/>
      <c r="K2379" s="11"/>
      <c r="L2379" s="11"/>
      <c r="M2379" s="11"/>
      <c r="N2379" s="12"/>
      <c r="O2379" s="10"/>
      <c r="P2379" s="11"/>
      <c r="Q2379" s="11"/>
      <c r="R2379" s="11"/>
      <c r="S2379" s="12"/>
      <c r="U2379" s="10"/>
      <c r="V2379" s="11"/>
      <c r="W2379" s="11"/>
      <c r="X2379" s="11"/>
      <c r="Y2379" s="12"/>
      <c r="Z2379" s="10"/>
      <c r="AA2379" s="11"/>
      <c r="AB2379" s="11"/>
      <c r="AC2379" s="11"/>
      <c r="AD2379" s="12"/>
    </row>
    <row r="2380" spans="1:31" ht="6.6" customHeight="1" x14ac:dyDescent="0.25">
      <c r="A2380" s="14" t="s">
        <v>109</v>
      </c>
      <c r="C2380" s="61" t="str">
        <f t="shared" ref="C2380:C2405" si="679">C2379</f>
        <v>C100128</v>
      </c>
      <c r="J2380" s="10"/>
      <c r="K2380" s="11"/>
      <c r="L2380" s="11"/>
      <c r="M2380" s="11"/>
      <c r="N2380" s="12"/>
      <c r="O2380" s="10"/>
      <c r="P2380" s="11"/>
      <c r="Q2380" s="11"/>
      <c r="R2380" s="11"/>
      <c r="S2380" s="12"/>
      <c r="U2380" s="10"/>
      <c r="V2380" s="11"/>
      <c r="W2380" s="11"/>
      <c r="X2380" s="11"/>
      <c r="Y2380" s="12"/>
      <c r="Z2380" s="10"/>
      <c r="AA2380" s="11"/>
      <c r="AB2380" s="11"/>
      <c r="AC2380" s="11"/>
      <c r="AD2380" s="12"/>
    </row>
    <row r="2381" spans="1:31" x14ac:dyDescent="0.25">
      <c r="A2381" s="14" t="s">
        <v>109</v>
      </c>
      <c r="C2381" s="61" t="str">
        <f t="shared" si="679"/>
        <v>C100128</v>
      </c>
      <c r="F2381" s="8" t="str">
        <f>"C100023"</f>
        <v>C100023</v>
      </c>
      <c r="G2381" s="9" t="str">
        <f>"Two-Toned Knit Hat"</f>
        <v>Two-Toned Knit Hat</v>
      </c>
      <c r="H2381" s="47"/>
      <c r="I2381" s="47"/>
      <c r="J2381" s="23">
        <v>0</v>
      </c>
      <c r="K2381" s="25">
        <v>0</v>
      </c>
      <c r="L2381" s="24">
        <v>0</v>
      </c>
      <c r="M2381" s="24">
        <f>J2381-L2381</f>
        <v>0</v>
      </c>
      <c r="N2381" s="53" t="str">
        <f>IF(J2381&lt;&gt;0,M2381/J2381,"")</f>
        <v/>
      </c>
      <c r="O2381" s="23">
        <v>374.38</v>
      </c>
      <c r="P2381" s="25">
        <v>144</v>
      </c>
      <c r="Q2381" s="24">
        <v>181.43</v>
      </c>
      <c r="R2381" s="24">
        <f>O2381-Q2381</f>
        <v>192.95</v>
      </c>
      <c r="S2381" s="53">
        <f>IF(O2381&lt;&gt;0,R2381/O2381,"")</f>
        <v>0.51538543725626362</v>
      </c>
      <c r="T2381" s="10"/>
      <c r="U2381" s="23">
        <v>0</v>
      </c>
      <c r="V2381" s="25">
        <v>0</v>
      </c>
      <c r="W2381" s="24">
        <v>0</v>
      </c>
      <c r="X2381" s="24">
        <f>U2381-W2381</f>
        <v>0</v>
      </c>
      <c r="Y2381" s="53" t="str">
        <f>IF(U2381&lt;&gt;0,X2381/U2381,"")</f>
        <v/>
      </c>
      <c r="Z2381" s="23">
        <v>0</v>
      </c>
      <c r="AA2381" s="25">
        <v>0</v>
      </c>
      <c r="AB2381" s="24">
        <v>0</v>
      </c>
      <c r="AC2381" s="24">
        <f t="shared" ref="AC2381" si="680">Z2381-AB2381</f>
        <v>0</v>
      </c>
      <c r="AD2381" s="53" t="str">
        <f t="shared" ref="AD2381" si="681">IF(Z2381&lt;&gt;0,AC2381/Z2381,"")</f>
        <v/>
      </c>
      <c r="AE2381" s="10"/>
    </row>
    <row r="2382" spans="1:31" x14ac:dyDescent="0.25">
      <c r="A2382" s="14" t="s">
        <v>109</v>
      </c>
      <c r="C2382" s="61" t="str">
        <f t="shared" ref="C2382:C2403" si="682">C2381</f>
        <v>C100128</v>
      </c>
      <c r="F2382" s="8" t="str">
        <f>"C100025"</f>
        <v>C100025</v>
      </c>
      <c r="G2382" s="9" t="str">
        <f>"Striped Knit Hat"</f>
        <v>Striped Knit Hat</v>
      </c>
      <c r="H2382" s="47"/>
      <c r="I2382" s="47"/>
      <c r="J2382" s="23">
        <v>411.90999999999997</v>
      </c>
      <c r="K2382" s="25">
        <v>144</v>
      </c>
      <c r="L2382" s="24">
        <v>198.72</v>
      </c>
      <c r="M2382" s="24">
        <f>J2382-L2382</f>
        <v>213.18999999999997</v>
      </c>
      <c r="N2382" s="53">
        <f>IF(J2382&lt;&gt;0,M2382/J2382,"")</f>
        <v>0.51756451652059909</v>
      </c>
      <c r="O2382" s="23">
        <v>0</v>
      </c>
      <c r="P2382" s="25">
        <v>0</v>
      </c>
      <c r="Q2382" s="24">
        <v>0</v>
      </c>
      <c r="R2382" s="24">
        <f>O2382-Q2382</f>
        <v>0</v>
      </c>
      <c r="S2382" s="53" t="str">
        <f>IF(O2382&lt;&gt;0,R2382/O2382,"")</f>
        <v/>
      </c>
      <c r="T2382" s="10"/>
      <c r="U2382" s="23">
        <v>0</v>
      </c>
      <c r="V2382" s="25">
        <v>0</v>
      </c>
      <c r="W2382" s="24">
        <v>0</v>
      </c>
      <c r="X2382" s="24">
        <f>U2382-W2382</f>
        <v>0</v>
      </c>
      <c r="Y2382" s="53" t="str">
        <f>IF(U2382&lt;&gt;0,X2382/U2382,"")</f>
        <v/>
      </c>
      <c r="Z2382" s="23">
        <v>0</v>
      </c>
      <c r="AA2382" s="25">
        <v>0</v>
      </c>
      <c r="AB2382" s="24">
        <v>0</v>
      </c>
      <c r="AC2382" s="24">
        <f t="shared" ref="AC2382:AC2403" si="683">Z2382-AB2382</f>
        <v>0</v>
      </c>
      <c r="AD2382" s="53" t="str">
        <f t="shared" ref="AD2382:AD2403" si="684">IF(Z2382&lt;&gt;0,AC2382/Z2382,"")</f>
        <v/>
      </c>
      <c r="AE2382" s="10"/>
    </row>
    <row r="2383" spans="1:31" x14ac:dyDescent="0.25">
      <c r="A2383" s="14" t="s">
        <v>109</v>
      </c>
      <c r="C2383" s="61" t="str">
        <f t="shared" si="682"/>
        <v>C100128</v>
      </c>
      <c r="F2383" s="8" t="str">
        <f>"C100033"</f>
        <v>C100033</v>
      </c>
      <c r="G2383" s="9" t="str">
        <f>"Frames &amp; Clock"</f>
        <v>Frames &amp; Clock</v>
      </c>
      <c r="H2383" s="47"/>
      <c r="I2383" s="47"/>
      <c r="J2383" s="23">
        <v>111.52</v>
      </c>
      <c r="K2383" s="25">
        <v>24</v>
      </c>
      <c r="L2383" s="24">
        <v>69.12</v>
      </c>
      <c r="M2383" s="24">
        <f>J2383-L2383</f>
        <v>42.399999999999991</v>
      </c>
      <c r="N2383" s="53">
        <f>IF(J2383&lt;&gt;0,M2383/J2383,"")</f>
        <v>0.38020086083213767</v>
      </c>
      <c r="O2383" s="23">
        <v>0</v>
      </c>
      <c r="P2383" s="25">
        <v>0</v>
      </c>
      <c r="Q2383" s="24">
        <v>0</v>
      </c>
      <c r="R2383" s="24">
        <f>O2383-Q2383</f>
        <v>0</v>
      </c>
      <c r="S2383" s="53" t="str">
        <f>IF(O2383&lt;&gt;0,R2383/O2383,"")</f>
        <v/>
      </c>
      <c r="T2383" s="10"/>
      <c r="U2383" s="23">
        <v>0</v>
      </c>
      <c r="V2383" s="25">
        <v>0</v>
      </c>
      <c r="W2383" s="24">
        <v>0</v>
      </c>
      <c r="X2383" s="24">
        <f>U2383-W2383</f>
        <v>0</v>
      </c>
      <c r="Y2383" s="53" t="str">
        <f>IF(U2383&lt;&gt;0,X2383/U2383,"")</f>
        <v/>
      </c>
      <c r="Z2383" s="23">
        <v>0</v>
      </c>
      <c r="AA2383" s="25">
        <v>0</v>
      </c>
      <c r="AB2383" s="24">
        <v>0</v>
      </c>
      <c r="AC2383" s="24">
        <f t="shared" si="683"/>
        <v>0</v>
      </c>
      <c r="AD2383" s="53" t="str">
        <f t="shared" si="684"/>
        <v/>
      </c>
      <c r="AE2383" s="10"/>
    </row>
    <row r="2384" spans="1:31" x14ac:dyDescent="0.25">
      <c r="A2384" s="14" t="s">
        <v>109</v>
      </c>
      <c r="C2384" s="61" t="str">
        <f t="shared" si="682"/>
        <v>C100128</v>
      </c>
      <c r="F2384" s="8" t="str">
        <f>"C100056"</f>
        <v>C100056</v>
      </c>
      <c r="G2384" s="9" t="str">
        <f>"Contemporary Desk Calculator"</f>
        <v>Contemporary Desk Calculator</v>
      </c>
      <c r="H2384" s="47"/>
      <c r="I2384" s="47"/>
      <c r="J2384" s="23">
        <v>0</v>
      </c>
      <c r="K2384" s="25">
        <v>0</v>
      </c>
      <c r="L2384" s="24">
        <v>0</v>
      </c>
      <c r="M2384" s="24">
        <f>J2384-L2384</f>
        <v>0</v>
      </c>
      <c r="N2384" s="53" t="str">
        <f>IF(J2384&lt;&gt;0,M2384/J2384,"")</f>
        <v/>
      </c>
      <c r="O2384" s="23">
        <v>758.41</v>
      </c>
      <c r="P2384" s="25">
        <v>144</v>
      </c>
      <c r="Q2384" s="24">
        <v>383.08</v>
      </c>
      <c r="R2384" s="24">
        <f>O2384-Q2384</f>
        <v>375.33</v>
      </c>
      <c r="S2384" s="53">
        <f>IF(O2384&lt;&gt;0,R2384/O2384,"")</f>
        <v>0.49489062644216192</v>
      </c>
      <c r="T2384" s="10"/>
      <c r="U2384" s="23">
        <v>1485.56</v>
      </c>
      <c r="V2384" s="25">
        <v>288</v>
      </c>
      <c r="W2384" s="24">
        <v>766.15000000000009</v>
      </c>
      <c r="X2384" s="24">
        <f>U2384-W2384</f>
        <v>719.40999999999985</v>
      </c>
      <c r="Y2384" s="53">
        <f>IF(U2384&lt;&gt;0,X2384/U2384,"")</f>
        <v>0.48426855865801438</v>
      </c>
      <c r="Z2384" s="23">
        <v>0</v>
      </c>
      <c r="AA2384" s="25">
        <v>0</v>
      </c>
      <c r="AB2384" s="24">
        <v>0</v>
      </c>
      <c r="AC2384" s="24">
        <f t="shared" si="683"/>
        <v>0</v>
      </c>
      <c r="AD2384" s="53" t="str">
        <f t="shared" si="684"/>
        <v/>
      </c>
      <c r="AE2384" s="10"/>
    </row>
    <row r="2385" spans="1:31" x14ac:dyDescent="0.25">
      <c r="A2385" s="14" t="s">
        <v>109</v>
      </c>
      <c r="C2385" s="61" t="str">
        <f t="shared" si="682"/>
        <v>C100128</v>
      </c>
      <c r="F2385" s="8" t="str">
        <f>"C100061"</f>
        <v>C100061</v>
      </c>
      <c r="G2385" s="9" t="str">
        <f>"Bistro Mug"</f>
        <v>Bistro Mug</v>
      </c>
      <c r="H2385" s="47"/>
      <c r="I2385" s="47"/>
      <c r="J2385" s="23">
        <v>182.51</v>
      </c>
      <c r="K2385" s="25">
        <v>144</v>
      </c>
      <c r="L2385" s="24">
        <v>99.27</v>
      </c>
      <c r="M2385" s="24">
        <f>J2385-L2385</f>
        <v>83.24</v>
      </c>
      <c r="N2385" s="53">
        <f>IF(J2385&lt;&gt;0,M2385/J2385,"")</f>
        <v>0.45608459810421348</v>
      </c>
      <c r="O2385" s="23">
        <v>0</v>
      </c>
      <c r="P2385" s="25">
        <v>0</v>
      </c>
      <c r="Q2385" s="24">
        <v>0</v>
      </c>
      <c r="R2385" s="24">
        <f>O2385-Q2385</f>
        <v>0</v>
      </c>
      <c r="S2385" s="53" t="str">
        <f>IF(O2385&lt;&gt;0,R2385/O2385,"")</f>
        <v/>
      </c>
      <c r="T2385" s="10"/>
      <c r="U2385" s="23">
        <v>0</v>
      </c>
      <c r="V2385" s="25">
        <v>0</v>
      </c>
      <c r="W2385" s="24">
        <v>0</v>
      </c>
      <c r="X2385" s="24">
        <f>U2385-W2385</f>
        <v>0</v>
      </c>
      <c r="Y2385" s="53" t="str">
        <f>IF(U2385&lt;&gt;0,X2385/U2385,"")</f>
        <v/>
      </c>
      <c r="Z2385" s="23">
        <v>0</v>
      </c>
      <c r="AA2385" s="25">
        <v>0</v>
      </c>
      <c r="AB2385" s="24">
        <v>0</v>
      </c>
      <c r="AC2385" s="24">
        <f t="shared" si="683"/>
        <v>0</v>
      </c>
      <c r="AD2385" s="53" t="str">
        <f t="shared" si="684"/>
        <v/>
      </c>
      <c r="AE2385" s="10"/>
    </row>
    <row r="2386" spans="1:31" x14ac:dyDescent="0.25">
      <c r="A2386" s="14" t="s">
        <v>109</v>
      </c>
      <c r="C2386" s="61" t="str">
        <f t="shared" si="682"/>
        <v>C100128</v>
      </c>
      <c r="F2386" s="8" t="str">
        <f>"E100002"</f>
        <v>E100002</v>
      </c>
      <c r="G2386" s="9" t="str">
        <f>"Cotton Classic Tote"</f>
        <v>Cotton Classic Tote</v>
      </c>
      <c r="H2386" s="47"/>
      <c r="I2386" s="47"/>
      <c r="J2386" s="23">
        <v>28.8</v>
      </c>
      <c r="K2386" s="25">
        <v>24</v>
      </c>
      <c r="L2386" s="24">
        <v>15.36</v>
      </c>
      <c r="M2386" s="24">
        <f>J2386-L2386</f>
        <v>13.440000000000001</v>
      </c>
      <c r="N2386" s="53">
        <f>IF(J2386&lt;&gt;0,M2386/J2386,"")</f>
        <v>0.46666666666666667</v>
      </c>
      <c r="O2386" s="23">
        <v>0</v>
      </c>
      <c r="P2386" s="25">
        <v>0</v>
      </c>
      <c r="Q2386" s="24">
        <v>0</v>
      </c>
      <c r="R2386" s="24">
        <f>O2386-Q2386</f>
        <v>0</v>
      </c>
      <c r="S2386" s="53" t="str">
        <f>IF(O2386&lt;&gt;0,R2386/O2386,"")</f>
        <v/>
      </c>
      <c r="T2386" s="10"/>
      <c r="U2386" s="23">
        <v>0</v>
      </c>
      <c r="V2386" s="25">
        <v>0</v>
      </c>
      <c r="W2386" s="24">
        <v>0</v>
      </c>
      <c r="X2386" s="24">
        <f>U2386-W2386</f>
        <v>0</v>
      </c>
      <c r="Y2386" s="53" t="str">
        <f>IF(U2386&lt;&gt;0,X2386/U2386,"")</f>
        <v/>
      </c>
      <c r="Z2386" s="23">
        <v>0</v>
      </c>
      <c r="AA2386" s="25">
        <v>0</v>
      </c>
      <c r="AB2386" s="24">
        <v>0</v>
      </c>
      <c r="AC2386" s="24">
        <f t="shared" si="683"/>
        <v>0</v>
      </c>
      <c r="AD2386" s="53" t="str">
        <f t="shared" si="684"/>
        <v/>
      </c>
      <c r="AE2386" s="10"/>
    </row>
    <row r="2387" spans="1:31" x14ac:dyDescent="0.25">
      <c r="A2387" s="14" t="s">
        <v>109</v>
      </c>
      <c r="C2387" s="61" t="str">
        <f t="shared" si="682"/>
        <v>C100128</v>
      </c>
      <c r="F2387" s="8" t="str">
        <f>"E100003"</f>
        <v>E100003</v>
      </c>
      <c r="G2387" s="9" t="str">
        <f>"Recycled Tote"</f>
        <v>Recycled Tote</v>
      </c>
      <c r="H2387" s="47"/>
      <c r="I2387" s="47"/>
      <c r="J2387" s="23">
        <v>427.17999999999995</v>
      </c>
      <c r="K2387" s="25">
        <v>144</v>
      </c>
      <c r="L2387" s="24">
        <v>244.81000000000003</v>
      </c>
      <c r="M2387" s="24">
        <f>J2387-L2387</f>
        <v>182.36999999999992</v>
      </c>
      <c r="N2387" s="53">
        <f>IF(J2387&lt;&gt;0,M2387/J2387,"")</f>
        <v>0.42691605412238387</v>
      </c>
      <c r="O2387" s="23">
        <v>0</v>
      </c>
      <c r="P2387" s="25">
        <v>0</v>
      </c>
      <c r="Q2387" s="24">
        <v>0</v>
      </c>
      <c r="R2387" s="24">
        <f>O2387-Q2387</f>
        <v>0</v>
      </c>
      <c r="S2387" s="53" t="str">
        <f>IF(O2387&lt;&gt;0,R2387/O2387,"")</f>
        <v/>
      </c>
      <c r="T2387" s="10"/>
      <c r="U2387" s="23">
        <v>0</v>
      </c>
      <c r="V2387" s="25">
        <v>0</v>
      </c>
      <c r="W2387" s="24">
        <v>0</v>
      </c>
      <c r="X2387" s="24">
        <f>U2387-W2387</f>
        <v>0</v>
      </c>
      <c r="Y2387" s="53" t="str">
        <f>IF(U2387&lt;&gt;0,X2387/U2387,"")</f>
        <v/>
      </c>
      <c r="Z2387" s="23">
        <v>0</v>
      </c>
      <c r="AA2387" s="25">
        <v>0</v>
      </c>
      <c r="AB2387" s="24">
        <v>0</v>
      </c>
      <c r="AC2387" s="24">
        <f t="shared" si="683"/>
        <v>0</v>
      </c>
      <c r="AD2387" s="53" t="str">
        <f t="shared" si="684"/>
        <v/>
      </c>
      <c r="AE2387" s="10"/>
    </row>
    <row r="2388" spans="1:31" x14ac:dyDescent="0.25">
      <c r="A2388" s="14" t="s">
        <v>109</v>
      </c>
      <c r="C2388" s="61" t="str">
        <f t="shared" si="682"/>
        <v>C100128</v>
      </c>
      <c r="F2388" s="8" t="str">
        <f>"E100004"</f>
        <v>E100004</v>
      </c>
      <c r="G2388" s="9" t="str">
        <f>"Laminated Tote"</f>
        <v>Laminated Tote</v>
      </c>
      <c r="H2388" s="47"/>
      <c r="I2388" s="47"/>
      <c r="J2388" s="23">
        <v>0</v>
      </c>
      <c r="K2388" s="25">
        <v>0</v>
      </c>
      <c r="L2388" s="24">
        <v>0</v>
      </c>
      <c r="M2388" s="24">
        <f>J2388-L2388</f>
        <v>0</v>
      </c>
      <c r="N2388" s="53" t="str">
        <f>IF(J2388&lt;&gt;0,M2388/J2388,"")</f>
        <v/>
      </c>
      <c r="O2388" s="23">
        <v>262.66000000000003</v>
      </c>
      <c r="P2388" s="25">
        <v>144</v>
      </c>
      <c r="Q2388" s="24">
        <v>172.8</v>
      </c>
      <c r="R2388" s="24">
        <f>O2388-Q2388</f>
        <v>89.860000000000014</v>
      </c>
      <c r="S2388" s="53">
        <f>IF(O2388&lt;&gt;0,R2388/O2388,"")</f>
        <v>0.34211528211375924</v>
      </c>
      <c r="T2388" s="10"/>
      <c r="U2388" s="23">
        <v>1.78</v>
      </c>
      <c r="V2388" s="25">
        <v>1</v>
      </c>
      <c r="W2388" s="24">
        <v>1.2</v>
      </c>
      <c r="X2388" s="24">
        <f>U2388-W2388</f>
        <v>0.58000000000000007</v>
      </c>
      <c r="Y2388" s="53">
        <f>IF(U2388&lt;&gt;0,X2388/U2388,"")</f>
        <v>0.3258426966292135</v>
      </c>
      <c r="Z2388" s="23">
        <v>0</v>
      </c>
      <c r="AA2388" s="25">
        <v>0</v>
      </c>
      <c r="AB2388" s="24">
        <v>0</v>
      </c>
      <c r="AC2388" s="24">
        <f t="shared" si="683"/>
        <v>0</v>
      </c>
      <c r="AD2388" s="53" t="str">
        <f t="shared" si="684"/>
        <v/>
      </c>
      <c r="AE2388" s="10"/>
    </row>
    <row r="2389" spans="1:31" x14ac:dyDescent="0.25">
      <c r="A2389" s="14" t="s">
        <v>109</v>
      </c>
      <c r="C2389" s="61" t="str">
        <f t="shared" si="682"/>
        <v>C100128</v>
      </c>
      <c r="F2389" s="8" t="str">
        <f>"E100006"</f>
        <v>E100006</v>
      </c>
      <c r="G2389" s="9" t="str">
        <f>"Budget Tote Bag"</f>
        <v>Budget Tote Bag</v>
      </c>
      <c r="H2389" s="47"/>
      <c r="I2389" s="47"/>
      <c r="J2389" s="23">
        <v>0</v>
      </c>
      <c r="K2389" s="25">
        <v>0</v>
      </c>
      <c r="L2389" s="24">
        <v>0</v>
      </c>
      <c r="M2389" s="24">
        <f>J2389-L2389</f>
        <v>0</v>
      </c>
      <c r="N2389" s="53" t="str">
        <f>IF(J2389&lt;&gt;0,M2389/J2389,"")</f>
        <v/>
      </c>
      <c r="O2389" s="23">
        <v>0.09</v>
      </c>
      <c r="P2389" s="25">
        <v>1</v>
      </c>
      <c r="Q2389" s="24">
        <v>0.04</v>
      </c>
      <c r="R2389" s="24">
        <f>O2389-Q2389</f>
        <v>4.9999999999999996E-2</v>
      </c>
      <c r="S2389" s="53">
        <f>IF(O2389&lt;&gt;0,R2389/O2389,"")</f>
        <v>0.55555555555555558</v>
      </c>
      <c r="T2389" s="10"/>
      <c r="U2389" s="23">
        <v>0</v>
      </c>
      <c r="V2389" s="25">
        <v>0</v>
      </c>
      <c r="W2389" s="24">
        <v>0</v>
      </c>
      <c r="X2389" s="24">
        <f>U2389-W2389</f>
        <v>0</v>
      </c>
      <c r="Y2389" s="53" t="str">
        <f>IF(U2389&lt;&gt;0,X2389/U2389,"")</f>
        <v/>
      </c>
      <c r="Z2389" s="23">
        <v>0</v>
      </c>
      <c r="AA2389" s="25">
        <v>0</v>
      </c>
      <c r="AB2389" s="24">
        <v>0</v>
      </c>
      <c r="AC2389" s="24">
        <f t="shared" si="683"/>
        <v>0</v>
      </c>
      <c r="AD2389" s="53" t="str">
        <f t="shared" si="684"/>
        <v/>
      </c>
      <c r="AE2389" s="10"/>
    </row>
    <row r="2390" spans="1:31" x14ac:dyDescent="0.25">
      <c r="A2390" s="14" t="s">
        <v>109</v>
      </c>
      <c r="C2390" s="61" t="str">
        <f t="shared" si="682"/>
        <v>C100128</v>
      </c>
      <c r="F2390" s="8" t="str">
        <f>"E100007"</f>
        <v>E100007</v>
      </c>
      <c r="G2390" s="9" t="str">
        <f>"Plastic Handle Bag"</f>
        <v>Plastic Handle Bag</v>
      </c>
      <c r="H2390" s="47"/>
      <c r="I2390" s="47"/>
      <c r="J2390" s="23">
        <v>91.56</v>
      </c>
      <c r="K2390" s="25">
        <v>289</v>
      </c>
      <c r="L2390" s="24">
        <v>52.019999999999996</v>
      </c>
      <c r="M2390" s="24">
        <f>J2390-L2390</f>
        <v>39.540000000000006</v>
      </c>
      <c r="N2390" s="53">
        <f>IF(J2390&lt;&gt;0,M2390/J2390,"")</f>
        <v>0.43184796854521629</v>
      </c>
      <c r="O2390" s="23">
        <v>46.1</v>
      </c>
      <c r="P2390" s="25">
        <v>144</v>
      </c>
      <c r="Q2390" s="24">
        <v>25.92</v>
      </c>
      <c r="R2390" s="24">
        <f>O2390-Q2390</f>
        <v>20.18</v>
      </c>
      <c r="S2390" s="53">
        <f>IF(O2390&lt;&gt;0,R2390/O2390,"")</f>
        <v>0.43774403470715834</v>
      </c>
      <c r="T2390" s="10"/>
      <c r="U2390" s="23">
        <v>0</v>
      </c>
      <c r="V2390" s="25">
        <v>0</v>
      </c>
      <c r="W2390" s="24">
        <v>0</v>
      </c>
      <c r="X2390" s="24">
        <f>U2390-W2390</f>
        <v>0</v>
      </c>
      <c r="Y2390" s="53" t="str">
        <f>IF(U2390&lt;&gt;0,X2390/U2390,"")</f>
        <v/>
      </c>
      <c r="Z2390" s="23">
        <v>0</v>
      </c>
      <c r="AA2390" s="25">
        <v>0</v>
      </c>
      <c r="AB2390" s="24">
        <v>0</v>
      </c>
      <c r="AC2390" s="24">
        <f t="shared" si="683"/>
        <v>0</v>
      </c>
      <c r="AD2390" s="53" t="str">
        <f t="shared" si="684"/>
        <v/>
      </c>
      <c r="AE2390" s="10"/>
    </row>
    <row r="2391" spans="1:31" x14ac:dyDescent="0.25">
      <c r="A2391" s="14" t="s">
        <v>109</v>
      </c>
      <c r="C2391" s="61" t="str">
        <f t="shared" si="682"/>
        <v>C100128</v>
      </c>
      <c r="F2391" s="8" t="str">
        <f>"E100008"</f>
        <v>E100008</v>
      </c>
      <c r="G2391" s="9" t="str">
        <f>"Super Shopper"</f>
        <v>Super Shopper</v>
      </c>
      <c r="H2391" s="47"/>
      <c r="I2391" s="47"/>
      <c r="J2391" s="23">
        <v>31.82</v>
      </c>
      <c r="K2391" s="25">
        <v>144</v>
      </c>
      <c r="L2391" s="24">
        <v>17.29</v>
      </c>
      <c r="M2391" s="24">
        <f>J2391-L2391</f>
        <v>14.530000000000001</v>
      </c>
      <c r="N2391" s="53">
        <f>IF(J2391&lt;&gt;0,M2391/J2391,"")</f>
        <v>0.45663104965430551</v>
      </c>
      <c r="O2391" s="23">
        <v>0</v>
      </c>
      <c r="P2391" s="25">
        <v>0</v>
      </c>
      <c r="Q2391" s="24">
        <v>0</v>
      </c>
      <c r="R2391" s="24">
        <f>O2391-Q2391</f>
        <v>0</v>
      </c>
      <c r="S2391" s="53" t="str">
        <f>IF(O2391&lt;&gt;0,R2391/O2391,"")</f>
        <v/>
      </c>
      <c r="T2391" s="10"/>
      <c r="U2391" s="23">
        <v>0.22</v>
      </c>
      <c r="V2391" s="25">
        <v>1</v>
      </c>
      <c r="W2391" s="24">
        <v>0.12</v>
      </c>
      <c r="X2391" s="24">
        <f>U2391-W2391</f>
        <v>0.1</v>
      </c>
      <c r="Y2391" s="53">
        <f>IF(U2391&lt;&gt;0,X2391/U2391,"")</f>
        <v>0.45454545454545459</v>
      </c>
      <c r="Z2391" s="23">
        <v>0</v>
      </c>
      <c r="AA2391" s="25">
        <v>0</v>
      </c>
      <c r="AB2391" s="24">
        <v>0</v>
      </c>
      <c r="AC2391" s="24">
        <f t="shared" si="683"/>
        <v>0</v>
      </c>
      <c r="AD2391" s="53" t="str">
        <f t="shared" si="684"/>
        <v/>
      </c>
      <c r="AE2391" s="10"/>
    </row>
    <row r="2392" spans="1:31" x14ac:dyDescent="0.25">
      <c r="A2392" s="14" t="s">
        <v>109</v>
      </c>
      <c r="C2392" s="61" t="str">
        <f t="shared" si="682"/>
        <v>C100128</v>
      </c>
      <c r="F2392" s="8" t="str">
        <f>"E100009"</f>
        <v>E100009</v>
      </c>
      <c r="G2392" s="9" t="str">
        <f>"Die-Cut Tote"</f>
        <v>Die-Cut Tote</v>
      </c>
      <c r="H2392" s="47"/>
      <c r="I2392" s="47"/>
      <c r="J2392" s="23">
        <v>31.82</v>
      </c>
      <c r="K2392" s="25">
        <v>144</v>
      </c>
      <c r="L2392" s="24">
        <v>15.85</v>
      </c>
      <c r="M2392" s="24">
        <f>J2392-L2392</f>
        <v>15.97</v>
      </c>
      <c r="N2392" s="53">
        <f>IF(J2392&lt;&gt;0,M2392/J2392,"")</f>
        <v>0.50188560653676939</v>
      </c>
      <c r="O2392" s="23">
        <v>0</v>
      </c>
      <c r="P2392" s="25">
        <v>0</v>
      </c>
      <c r="Q2392" s="24">
        <v>0</v>
      </c>
      <c r="R2392" s="24">
        <f>O2392-Q2392</f>
        <v>0</v>
      </c>
      <c r="S2392" s="53" t="str">
        <f>IF(O2392&lt;&gt;0,R2392/O2392,"")</f>
        <v/>
      </c>
      <c r="T2392" s="10"/>
      <c r="U2392" s="23">
        <v>0</v>
      </c>
      <c r="V2392" s="25">
        <v>0</v>
      </c>
      <c r="W2392" s="24">
        <v>0</v>
      </c>
      <c r="X2392" s="24">
        <f>U2392-W2392</f>
        <v>0</v>
      </c>
      <c r="Y2392" s="53" t="str">
        <f>IF(U2392&lt;&gt;0,X2392/U2392,"")</f>
        <v/>
      </c>
      <c r="Z2392" s="23">
        <v>0</v>
      </c>
      <c r="AA2392" s="25">
        <v>0</v>
      </c>
      <c r="AB2392" s="24">
        <v>0</v>
      </c>
      <c r="AC2392" s="24">
        <f t="shared" si="683"/>
        <v>0</v>
      </c>
      <c r="AD2392" s="53" t="str">
        <f t="shared" si="684"/>
        <v/>
      </c>
      <c r="AE2392" s="10"/>
    </row>
    <row r="2393" spans="1:31" x14ac:dyDescent="0.25">
      <c r="A2393" s="14" t="s">
        <v>109</v>
      </c>
      <c r="C2393" s="61" t="str">
        <f t="shared" si="682"/>
        <v>C100128</v>
      </c>
      <c r="F2393" s="8" t="str">
        <f>"E100011"</f>
        <v>E100011</v>
      </c>
      <c r="G2393" s="9" t="str">
        <f>"Plastic Sun Visor"</f>
        <v>Plastic Sun Visor</v>
      </c>
      <c r="H2393" s="47"/>
      <c r="I2393" s="47"/>
      <c r="J2393" s="23">
        <v>0</v>
      </c>
      <c r="K2393" s="25">
        <v>0</v>
      </c>
      <c r="L2393" s="24">
        <v>0</v>
      </c>
      <c r="M2393" s="24">
        <f>J2393-L2393</f>
        <v>0</v>
      </c>
      <c r="N2393" s="53" t="str">
        <f>IF(J2393&lt;&gt;0,M2393/J2393,"")</f>
        <v/>
      </c>
      <c r="O2393" s="23">
        <v>0.78</v>
      </c>
      <c r="P2393" s="25">
        <v>1</v>
      </c>
      <c r="Q2393" s="24">
        <v>0.42</v>
      </c>
      <c r="R2393" s="24">
        <f>O2393-Q2393</f>
        <v>0.36000000000000004</v>
      </c>
      <c r="S2393" s="53">
        <f>IF(O2393&lt;&gt;0,R2393/O2393,"")</f>
        <v>0.46153846153846156</v>
      </c>
      <c r="T2393" s="10"/>
      <c r="U2393" s="23">
        <v>0</v>
      </c>
      <c r="V2393" s="25">
        <v>0</v>
      </c>
      <c r="W2393" s="24">
        <v>0</v>
      </c>
      <c r="X2393" s="24">
        <f>U2393-W2393</f>
        <v>0</v>
      </c>
      <c r="Y2393" s="53" t="str">
        <f>IF(U2393&lt;&gt;0,X2393/U2393,"")</f>
        <v/>
      </c>
      <c r="Z2393" s="23">
        <v>0</v>
      </c>
      <c r="AA2393" s="25">
        <v>0</v>
      </c>
      <c r="AB2393" s="24">
        <v>0</v>
      </c>
      <c r="AC2393" s="24">
        <f t="shared" si="683"/>
        <v>0</v>
      </c>
      <c r="AD2393" s="53" t="str">
        <f t="shared" si="684"/>
        <v/>
      </c>
      <c r="AE2393" s="10"/>
    </row>
    <row r="2394" spans="1:31" x14ac:dyDescent="0.25">
      <c r="A2394" s="14" t="s">
        <v>109</v>
      </c>
      <c r="C2394" s="61" t="str">
        <f t="shared" si="682"/>
        <v>C100128</v>
      </c>
      <c r="F2394" s="8" t="str">
        <f>"E100019"</f>
        <v>E100019</v>
      </c>
      <c r="G2394" s="9" t="str">
        <f>"Mini Travel Alarm"</f>
        <v>Mini Travel Alarm</v>
      </c>
      <c r="H2394" s="47"/>
      <c r="I2394" s="47"/>
      <c r="J2394" s="23">
        <v>468.57</v>
      </c>
      <c r="K2394" s="25">
        <v>144</v>
      </c>
      <c r="L2394" s="24">
        <v>233.26999999999998</v>
      </c>
      <c r="M2394" s="24">
        <f>J2394-L2394</f>
        <v>235.3</v>
      </c>
      <c r="N2394" s="53">
        <f>IF(J2394&lt;&gt;0,M2394/J2394,"")</f>
        <v>0.50216616514074741</v>
      </c>
      <c r="O2394" s="23">
        <v>0</v>
      </c>
      <c r="P2394" s="25">
        <v>0</v>
      </c>
      <c r="Q2394" s="24">
        <v>0</v>
      </c>
      <c r="R2394" s="24">
        <f>O2394-Q2394</f>
        <v>0</v>
      </c>
      <c r="S2394" s="53" t="str">
        <f>IF(O2394&lt;&gt;0,R2394/O2394,"")</f>
        <v/>
      </c>
      <c r="T2394" s="10"/>
      <c r="U2394" s="23">
        <v>0</v>
      </c>
      <c r="V2394" s="25">
        <v>0</v>
      </c>
      <c r="W2394" s="24">
        <v>0</v>
      </c>
      <c r="X2394" s="24">
        <f>U2394-W2394</f>
        <v>0</v>
      </c>
      <c r="Y2394" s="53" t="str">
        <f>IF(U2394&lt;&gt;0,X2394/U2394,"")</f>
        <v/>
      </c>
      <c r="Z2394" s="23">
        <v>0</v>
      </c>
      <c r="AA2394" s="25">
        <v>0</v>
      </c>
      <c r="AB2394" s="24">
        <v>0</v>
      </c>
      <c r="AC2394" s="24">
        <f t="shared" si="683"/>
        <v>0</v>
      </c>
      <c r="AD2394" s="53" t="str">
        <f t="shared" si="684"/>
        <v/>
      </c>
      <c r="AE2394" s="10"/>
    </row>
    <row r="2395" spans="1:31" x14ac:dyDescent="0.25">
      <c r="A2395" s="14" t="s">
        <v>109</v>
      </c>
      <c r="C2395" s="61" t="str">
        <f t="shared" si="682"/>
        <v>C100128</v>
      </c>
      <c r="F2395" s="8" t="str">
        <f>"E100024"</f>
        <v>E100024</v>
      </c>
      <c r="G2395" s="9" t="str">
        <f>"Arch Calculator"</f>
        <v>Arch Calculator</v>
      </c>
      <c r="H2395" s="47"/>
      <c r="I2395" s="47"/>
      <c r="J2395" s="23">
        <v>439.69</v>
      </c>
      <c r="K2395" s="25">
        <v>144</v>
      </c>
      <c r="L2395" s="24">
        <v>247.59</v>
      </c>
      <c r="M2395" s="24">
        <f>J2395-L2395</f>
        <v>192.1</v>
      </c>
      <c r="N2395" s="53">
        <f>IF(J2395&lt;&gt;0,M2395/J2395,"")</f>
        <v>0.43689872410107122</v>
      </c>
      <c r="O2395" s="23">
        <v>0</v>
      </c>
      <c r="P2395" s="25">
        <v>0</v>
      </c>
      <c r="Q2395" s="24">
        <v>0</v>
      </c>
      <c r="R2395" s="24">
        <f>O2395-Q2395</f>
        <v>0</v>
      </c>
      <c r="S2395" s="53" t="str">
        <f>IF(O2395&lt;&gt;0,R2395/O2395,"")</f>
        <v/>
      </c>
      <c r="T2395" s="10"/>
      <c r="U2395" s="23">
        <v>0</v>
      </c>
      <c r="V2395" s="25">
        <v>0</v>
      </c>
      <c r="W2395" s="24">
        <v>0</v>
      </c>
      <c r="X2395" s="24">
        <f>U2395-W2395</f>
        <v>0</v>
      </c>
      <c r="Y2395" s="53" t="str">
        <f>IF(U2395&lt;&gt;0,X2395/U2395,"")</f>
        <v/>
      </c>
      <c r="Z2395" s="23">
        <v>0</v>
      </c>
      <c r="AA2395" s="25">
        <v>0</v>
      </c>
      <c r="AB2395" s="24">
        <v>0</v>
      </c>
      <c r="AC2395" s="24">
        <f t="shared" si="683"/>
        <v>0</v>
      </c>
      <c r="AD2395" s="53" t="str">
        <f t="shared" si="684"/>
        <v/>
      </c>
      <c r="AE2395" s="10"/>
    </row>
    <row r="2396" spans="1:31" x14ac:dyDescent="0.25">
      <c r="A2396" s="14" t="s">
        <v>109</v>
      </c>
      <c r="C2396" s="61" t="str">
        <f t="shared" si="682"/>
        <v>C100128</v>
      </c>
      <c r="F2396" s="8" t="str">
        <f>"E100032"</f>
        <v>E100032</v>
      </c>
      <c r="G2396" s="9" t="str">
        <f>"Button Key-Light"</f>
        <v>Button Key-Light</v>
      </c>
      <c r="H2396" s="47"/>
      <c r="I2396" s="47"/>
      <c r="J2396" s="23">
        <v>0</v>
      </c>
      <c r="K2396" s="25">
        <v>0</v>
      </c>
      <c r="L2396" s="24">
        <v>0</v>
      </c>
      <c r="M2396" s="24">
        <f>J2396-L2396</f>
        <v>0</v>
      </c>
      <c r="N2396" s="53" t="str">
        <f>IF(J2396&lt;&gt;0,M2396/J2396,"")</f>
        <v/>
      </c>
      <c r="O2396" s="23">
        <v>11.86</v>
      </c>
      <c r="P2396" s="25">
        <v>24</v>
      </c>
      <c r="Q2396" s="24">
        <v>7.92</v>
      </c>
      <c r="R2396" s="24">
        <f>O2396-Q2396</f>
        <v>3.9399999999999995</v>
      </c>
      <c r="S2396" s="53">
        <f>IF(O2396&lt;&gt;0,R2396/O2396,"")</f>
        <v>0.33220910623946037</v>
      </c>
      <c r="T2396" s="10"/>
      <c r="U2396" s="23">
        <v>0</v>
      </c>
      <c r="V2396" s="25">
        <v>0</v>
      </c>
      <c r="W2396" s="24">
        <v>0</v>
      </c>
      <c r="X2396" s="24">
        <f>U2396-W2396</f>
        <v>0</v>
      </c>
      <c r="Y2396" s="53" t="str">
        <f>IF(U2396&lt;&gt;0,X2396/U2396,"")</f>
        <v/>
      </c>
      <c r="Z2396" s="23">
        <v>0</v>
      </c>
      <c r="AA2396" s="25">
        <v>0</v>
      </c>
      <c r="AB2396" s="24">
        <v>0</v>
      </c>
      <c r="AC2396" s="24">
        <f t="shared" si="683"/>
        <v>0</v>
      </c>
      <c r="AD2396" s="53" t="str">
        <f t="shared" si="684"/>
        <v/>
      </c>
      <c r="AE2396" s="10"/>
    </row>
    <row r="2397" spans="1:31" x14ac:dyDescent="0.25">
      <c r="A2397" s="14" t="s">
        <v>109</v>
      </c>
      <c r="C2397" s="61" t="str">
        <f t="shared" si="682"/>
        <v>C100128</v>
      </c>
      <c r="F2397" s="8" t="str">
        <f>"E100040"</f>
        <v>E100040</v>
      </c>
      <c r="G2397" s="9" t="str">
        <f>"Wave Mug"</f>
        <v>Wave Mug</v>
      </c>
      <c r="H2397" s="47"/>
      <c r="I2397" s="47"/>
      <c r="J2397" s="23">
        <v>233.63000000000002</v>
      </c>
      <c r="K2397" s="25">
        <v>144</v>
      </c>
      <c r="L2397" s="24">
        <v>161.36000000000001</v>
      </c>
      <c r="M2397" s="24">
        <f>J2397-L2397</f>
        <v>72.27000000000001</v>
      </c>
      <c r="N2397" s="53">
        <f>IF(J2397&lt;&gt;0,M2397/J2397,"")</f>
        <v>0.3093352737234088</v>
      </c>
      <c r="O2397" s="23">
        <v>0</v>
      </c>
      <c r="P2397" s="25">
        <v>0</v>
      </c>
      <c r="Q2397" s="24">
        <v>0</v>
      </c>
      <c r="R2397" s="24">
        <f>O2397-Q2397</f>
        <v>0</v>
      </c>
      <c r="S2397" s="53" t="str">
        <f>IF(O2397&lt;&gt;0,R2397/O2397,"")</f>
        <v/>
      </c>
      <c r="T2397" s="10"/>
      <c r="U2397" s="23">
        <v>0</v>
      </c>
      <c r="V2397" s="25">
        <v>0</v>
      </c>
      <c r="W2397" s="24">
        <v>0</v>
      </c>
      <c r="X2397" s="24">
        <f>U2397-W2397</f>
        <v>0</v>
      </c>
      <c r="Y2397" s="53" t="str">
        <f>IF(U2397&lt;&gt;0,X2397/U2397,"")</f>
        <v/>
      </c>
      <c r="Z2397" s="23">
        <v>0</v>
      </c>
      <c r="AA2397" s="25">
        <v>0</v>
      </c>
      <c r="AB2397" s="24">
        <v>0</v>
      </c>
      <c r="AC2397" s="24">
        <f t="shared" si="683"/>
        <v>0</v>
      </c>
      <c r="AD2397" s="53" t="str">
        <f t="shared" si="684"/>
        <v/>
      </c>
      <c r="AE2397" s="10"/>
    </row>
    <row r="2398" spans="1:31" x14ac:dyDescent="0.25">
      <c r="A2398" s="14" t="s">
        <v>109</v>
      </c>
      <c r="C2398" s="61" t="str">
        <f t="shared" si="682"/>
        <v>C100128</v>
      </c>
      <c r="F2398" s="8" t="str">
        <f>"E100046"</f>
        <v>E100046</v>
      </c>
      <c r="G2398" s="9" t="str">
        <f>"Milk Bottle"</f>
        <v>Milk Bottle</v>
      </c>
      <c r="H2398" s="47"/>
      <c r="I2398" s="47"/>
      <c r="J2398" s="23">
        <v>42.86</v>
      </c>
      <c r="K2398" s="25">
        <v>24</v>
      </c>
      <c r="L2398" s="24">
        <v>24.94</v>
      </c>
      <c r="M2398" s="24">
        <f>J2398-L2398</f>
        <v>17.919999999999998</v>
      </c>
      <c r="N2398" s="53">
        <f>IF(J2398&lt;&gt;0,M2398/J2398,"")</f>
        <v>0.41810545963602425</v>
      </c>
      <c r="O2398" s="23">
        <v>0</v>
      </c>
      <c r="P2398" s="25">
        <v>0</v>
      </c>
      <c r="Q2398" s="24">
        <v>0</v>
      </c>
      <c r="R2398" s="24">
        <f>O2398-Q2398</f>
        <v>0</v>
      </c>
      <c r="S2398" s="53" t="str">
        <f>IF(O2398&lt;&gt;0,R2398/O2398,"")</f>
        <v/>
      </c>
      <c r="T2398" s="10"/>
      <c r="U2398" s="23">
        <v>0</v>
      </c>
      <c r="V2398" s="25">
        <v>0</v>
      </c>
      <c r="W2398" s="24">
        <v>0</v>
      </c>
      <c r="X2398" s="24">
        <f>U2398-W2398</f>
        <v>0</v>
      </c>
      <c r="Y2398" s="53" t="str">
        <f>IF(U2398&lt;&gt;0,X2398/U2398,"")</f>
        <v/>
      </c>
      <c r="Z2398" s="23">
        <v>0</v>
      </c>
      <c r="AA2398" s="25">
        <v>0</v>
      </c>
      <c r="AB2398" s="24">
        <v>0</v>
      </c>
      <c r="AC2398" s="24">
        <f t="shared" si="683"/>
        <v>0</v>
      </c>
      <c r="AD2398" s="53" t="str">
        <f t="shared" si="684"/>
        <v/>
      </c>
      <c r="AE2398" s="10"/>
    </row>
    <row r="2399" spans="1:31" x14ac:dyDescent="0.25">
      <c r="A2399" s="14" t="s">
        <v>109</v>
      </c>
      <c r="C2399" s="61" t="str">
        <f t="shared" si="682"/>
        <v>C100128</v>
      </c>
      <c r="F2399" s="8" t="str">
        <f>"E100047"</f>
        <v>E100047</v>
      </c>
      <c r="G2399" s="9" t="str">
        <f>"Chardonnay Glass"</f>
        <v>Chardonnay Glass</v>
      </c>
      <c r="H2399" s="47"/>
      <c r="I2399" s="47"/>
      <c r="J2399" s="23">
        <v>248.92000000000002</v>
      </c>
      <c r="K2399" s="25">
        <v>144</v>
      </c>
      <c r="L2399" s="24">
        <v>151.19999999999999</v>
      </c>
      <c r="M2399" s="24">
        <f>J2399-L2399</f>
        <v>97.720000000000027</v>
      </c>
      <c r="N2399" s="53">
        <f>IF(J2399&lt;&gt;0,M2399/J2399,"")</f>
        <v>0.39257592800899899</v>
      </c>
      <c r="O2399" s="23">
        <v>0</v>
      </c>
      <c r="P2399" s="25">
        <v>0</v>
      </c>
      <c r="Q2399" s="24">
        <v>0</v>
      </c>
      <c r="R2399" s="24">
        <f>O2399-Q2399</f>
        <v>0</v>
      </c>
      <c r="S2399" s="53" t="str">
        <f>IF(O2399&lt;&gt;0,R2399/O2399,"")</f>
        <v/>
      </c>
      <c r="T2399" s="10"/>
      <c r="U2399" s="23">
        <v>0</v>
      </c>
      <c r="V2399" s="25">
        <v>0</v>
      </c>
      <c r="W2399" s="24">
        <v>0</v>
      </c>
      <c r="X2399" s="24">
        <f>U2399-W2399</f>
        <v>0</v>
      </c>
      <c r="Y2399" s="53" t="str">
        <f>IF(U2399&lt;&gt;0,X2399/U2399,"")</f>
        <v/>
      </c>
      <c r="Z2399" s="23">
        <v>0</v>
      </c>
      <c r="AA2399" s="25">
        <v>0</v>
      </c>
      <c r="AB2399" s="24">
        <v>0</v>
      </c>
      <c r="AC2399" s="24">
        <f t="shared" si="683"/>
        <v>0</v>
      </c>
      <c r="AD2399" s="53" t="str">
        <f t="shared" si="684"/>
        <v/>
      </c>
      <c r="AE2399" s="10"/>
    </row>
    <row r="2400" spans="1:31" x14ac:dyDescent="0.25">
      <c r="A2400" s="14" t="s">
        <v>109</v>
      </c>
      <c r="C2400" s="61" t="str">
        <f t="shared" si="682"/>
        <v>C100128</v>
      </c>
      <c r="F2400" s="8" t="str">
        <f>"S100003"</f>
        <v>S100003</v>
      </c>
      <c r="G2400" s="9" t="str">
        <f>"Soccer #1 Pin"</f>
        <v>Soccer #1 Pin</v>
      </c>
      <c r="H2400" s="47"/>
      <c r="I2400" s="47"/>
      <c r="J2400" s="23">
        <v>1.44</v>
      </c>
      <c r="K2400" s="25">
        <v>1</v>
      </c>
      <c r="L2400" s="24">
        <v>0.9</v>
      </c>
      <c r="M2400" s="24">
        <f>J2400-L2400</f>
        <v>0.53999999999999992</v>
      </c>
      <c r="N2400" s="53">
        <f>IF(J2400&lt;&gt;0,M2400/J2400,"")</f>
        <v>0.37499999999999994</v>
      </c>
      <c r="O2400" s="23">
        <v>0</v>
      </c>
      <c r="P2400" s="25">
        <v>0</v>
      </c>
      <c r="Q2400" s="24">
        <v>0</v>
      </c>
      <c r="R2400" s="24">
        <f>O2400-Q2400</f>
        <v>0</v>
      </c>
      <c r="S2400" s="53" t="str">
        <f>IF(O2400&lt;&gt;0,R2400/O2400,"")</f>
        <v/>
      </c>
      <c r="T2400" s="10"/>
      <c r="U2400" s="23">
        <v>0</v>
      </c>
      <c r="V2400" s="25">
        <v>0</v>
      </c>
      <c r="W2400" s="24">
        <v>0</v>
      </c>
      <c r="X2400" s="24">
        <f>U2400-W2400</f>
        <v>0</v>
      </c>
      <c r="Y2400" s="53" t="str">
        <f>IF(U2400&lt;&gt;0,X2400/U2400,"")</f>
        <v/>
      </c>
      <c r="Z2400" s="23">
        <v>0</v>
      </c>
      <c r="AA2400" s="25">
        <v>0</v>
      </c>
      <c r="AB2400" s="24">
        <v>0</v>
      </c>
      <c r="AC2400" s="24">
        <f t="shared" si="683"/>
        <v>0</v>
      </c>
      <c r="AD2400" s="53" t="str">
        <f t="shared" si="684"/>
        <v/>
      </c>
      <c r="AE2400" s="10"/>
    </row>
    <row r="2401" spans="1:31" x14ac:dyDescent="0.25">
      <c r="A2401" s="14" t="s">
        <v>109</v>
      </c>
      <c r="C2401" s="61" t="str">
        <f t="shared" si="682"/>
        <v>C100128</v>
      </c>
      <c r="F2401" s="8" t="str">
        <f>"S100020"</f>
        <v>S100020</v>
      </c>
      <c r="G2401" s="9" t="str">
        <f>"Super Sport Stopwatch"</f>
        <v>Super Sport Stopwatch</v>
      </c>
      <c r="H2401" s="47"/>
      <c r="I2401" s="47"/>
      <c r="J2401" s="23">
        <v>0</v>
      </c>
      <c r="K2401" s="25">
        <v>0</v>
      </c>
      <c r="L2401" s="24">
        <v>0</v>
      </c>
      <c r="M2401" s="24">
        <f>J2401-L2401</f>
        <v>0</v>
      </c>
      <c r="N2401" s="53" t="str">
        <f>IF(J2401&lt;&gt;0,M2401/J2401,"")</f>
        <v/>
      </c>
      <c r="O2401" s="23">
        <v>304.46999999999997</v>
      </c>
      <c r="P2401" s="25">
        <v>144</v>
      </c>
      <c r="Q2401" s="24">
        <v>151.19999999999999</v>
      </c>
      <c r="R2401" s="24">
        <f>O2401-Q2401</f>
        <v>153.26999999999998</v>
      </c>
      <c r="S2401" s="53">
        <f>IF(O2401&lt;&gt;0,R2401/O2401,"")</f>
        <v>0.50339934968962463</v>
      </c>
      <c r="T2401" s="10"/>
      <c r="U2401" s="23">
        <v>0</v>
      </c>
      <c r="V2401" s="25">
        <v>0</v>
      </c>
      <c r="W2401" s="24">
        <v>0</v>
      </c>
      <c r="X2401" s="24">
        <f>U2401-W2401</f>
        <v>0</v>
      </c>
      <c r="Y2401" s="53" t="str">
        <f>IF(U2401&lt;&gt;0,X2401/U2401,"")</f>
        <v/>
      </c>
      <c r="Z2401" s="23">
        <v>0</v>
      </c>
      <c r="AA2401" s="25">
        <v>0</v>
      </c>
      <c r="AB2401" s="24">
        <v>0</v>
      </c>
      <c r="AC2401" s="24">
        <f t="shared" si="683"/>
        <v>0</v>
      </c>
      <c r="AD2401" s="53" t="str">
        <f t="shared" si="684"/>
        <v/>
      </c>
      <c r="AE2401" s="10"/>
    </row>
    <row r="2402" spans="1:31" x14ac:dyDescent="0.25">
      <c r="A2402" s="14" t="s">
        <v>109</v>
      </c>
      <c r="C2402" s="61" t="str">
        <f t="shared" si="682"/>
        <v>C100128</v>
      </c>
      <c r="F2402" s="8" t="str">
        <f>"S100024"</f>
        <v>S100024</v>
      </c>
      <c r="G2402" s="9" t="str">
        <f>"Aluminum SPORT BOT"</f>
        <v>Aluminum SPORT BOT</v>
      </c>
      <c r="H2402" s="47"/>
      <c r="I2402" s="47"/>
      <c r="J2402" s="23">
        <v>162.69</v>
      </c>
      <c r="K2402" s="25">
        <v>48</v>
      </c>
      <c r="L2402" s="24">
        <v>100.8</v>
      </c>
      <c r="M2402" s="24">
        <f>J2402-L2402</f>
        <v>61.89</v>
      </c>
      <c r="N2402" s="53">
        <f>IF(J2402&lt;&gt;0,M2402/J2402,"")</f>
        <v>0.38041674349990778</v>
      </c>
      <c r="O2402" s="23">
        <v>0</v>
      </c>
      <c r="P2402" s="25">
        <v>0</v>
      </c>
      <c r="Q2402" s="24">
        <v>0</v>
      </c>
      <c r="R2402" s="24">
        <f>O2402-Q2402</f>
        <v>0</v>
      </c>
      <c r="S2402" s="53" t="str">
        <f>IF(O2402&lt;&gt;0,R2402/O2402,"")</f>
        <v/>
      </c>
      <c r="T2402" s="10"/>
      <c r="U2402" s="23">
        <v>0</v>
      </c>
      <c r="V2402" s="25">
        <v>0</v>
      </c>
      <c r="W2402" s="24">
        <v>0</v>
      </c>
      <c r="X2402" s="24">
        <f>U2402-W2402</f>
        <v>0</v>
      </c>
      <c r="Y2402" s="53" t="str">
        <f>IF(U2402&lt;&gt;0,X2402/U2402,"")</f>
        <v/>
      </c>
      <c r="Z2402" s="23">
        <v>0</v>
      </c>
      <c r="AA2402" s="25">
        <v>0</v>
      </c>
      <c r="AB2402" s="24">
        <v>0</v>
      </c>
      <c r="AC2402" s="24">
        <f t="shared" si="683"/>
        <v>0</v>
      </c>
      <c r="AD2402" s="53" t="str">
        <f t="shared" si="684"/>
        <v/>
      </c>
      <c r="AE2402" s="10"/>
    </row>
    <row r="2403" spans="1:31" x14ac:dyDescent="0.25">
      <c r="A2403" s="14" t="s">
        <v>109</v>
      </c>
      <c r="C2403" s="61" t="str">
        <f t="shared" si="682"/>
        <v>C100128</v>
      </c>
      <c r="F2403" s="8" t="str">
        <f>"S100026"</f>
        <v>S100026</v>
      </c>
      <c r="G2403" s="9" t="str">
        <f>"Wide SPORT BOT"</f>
        <v>Wide SPORT BOT</v>
      </c>
      <c r="H2403" s="47"/>
      <c r="I2403" s="47"/>
      <c r="J2403" s="23">
        <v>0</v>
      </c>
      <c r="K2403" s="25">
        <v>0</v>
      </c>
      <c r="L2403" s="24">
        <v>0</v>
      </c>
      <c r="M2403" s="24">
        <f>J2403-L2403</f>
        <v>0</v>
      </c>
      <c r="N2403" s="53" t="str">
        <f>IF(J2403&lt;&gt;0,M2403/J2403,"")</f>
        <v/>
      </c>
      <c r="O2403" s="23">
        <v>1178.44</v>
      </c>
      <c r="P2403" s="25">
        <v>300</v>
      </c>
      <c r="Q2403" s="24">
        <v>570.11</v>
      </c>
      <c r="R2403" s="24">
        <f>O2403-Q2403</f>
        <v>608.33000000000004</v>
      </c>
      <c r="S2403" s="53">
        <f>IF(O2403&lt;&gt;0,R2403/O2403,"")</f>
        <v>0.51621635382369913</v>
      </c>
      <c r="T2403" s="10"/>
      <c r="U2403" s="23">
        <v>0</v>
      </c>
      <c r="V2403" s="25">
        <v>0</v>
      </c>
      <c r="W2403" s="24">
        <v>0</v>
      </c>
      <c r="X2403" s="24">
        <f>U2403-W2403</f>
        <v>0</v>
      </c>
      <c r="Y2403" s="53" t="str">
        <f>IF(U2403&lt;&gt;0,X2403/U2403,"")</f>
        <v/>
      </c>
      <c r="Z2403" s="23">
        <v>0</v>
      </c>
      <c r="AA2403" s="25">
        <v>0</v>
      </c>
      <c r="AB2403" s="24">
        <v>0</v>
      </c>
      <c r="AC2403" s="24">
        <f t="shared" si="683"/>
        <v>0</v>
      </c>
      <c r="AD2403" s="53" t="str">
        <f t="shared" si="684"/>
        <v/>
      </c>
      <c r="AE2403" s="10"/>
    </row>
    <row r="2404" spans="1:31" ht="15.75" thickBot="1" x14ac:dyDescent="0.3">
      <c r="A2404" s="14" t="s">
        <v>109</v>
      </c>
      <c r="C2404" s="61" t="str">
        <f>C2381</f>
        <v>C100128</v>
      </c>
      <c r="J2404" s="10"/>
      <c r="K2404" s="11"/>
      <c r="L2404" s="11"/>
      <c r="M2404" s="11"/>
      <c r="N2404" s="12"/>
      <c r="O2404" s="10"/>
      <c r="P2404" s="11"/>
      <c r="Q2404" s="11"/>
      <c r="R2404" s="11"/>
      <c r="S2404" s="12"/>
      <c r="U2404" s="10"/>
      <c r="V2404" s="11"/>
      <c r="W2404" s="11"/>
      <c r="X2404" s="11"/>
      <c r="Y2404" s="12"/>
      <c r="Z2404" s="10"/>
      <c r="AA2404" s="11"/>
      <c r="AB2404" s="11"/>
      <c r="AC2404" s="11"/>
      <c r="AD2404" s="12"/>
    </row>
    <row r="2405" spans="1:31" ht="15.75" thickBot="1" x14ac:dyDescent="0.3">
      <c r="A2405" s="14" t="s">
        <v>109</v>
      </c>
      <c r="C2405" s="61" t="str">
        <f t="shared" si="679"/>
        <v>C100128</v>
      </c>
      <c r="G2405" s="48" t="str">
        <f>C2405&amp;" TOTAL:"</f>
        <v>C100128 TOTAL:</v>
      </c>
      <c r="H2405" s="50"/>
      <c r="I2405" s="50"/>
      <c r="J2405" s="34">
        <f>SUBTOTAL(9,J2380:J2404)</f>
        <v>2914.92</v>
      </c>
      <c r="K2405" s="35">
        <f>SUBTOTAL(9,K2380:K2404)</f>
        <v>1706</v>
      </c>
      <c r="L2405" s="36">
        <f>SUBTOTAL(9,L2380:L2404)</f>
        <v>1632.5</v>
      </c>
      <c r="M2405" s="36">
        <f>J2405-L2405</f>
        <v>1282.42</v>
      </c>
      <c r="N2405" s="37">
        <f>IF(J2405&lt;&gt;0,M2405/J2405,"")</f>
        <v>0.43995032453720856</v>
      </c>
      <c r="O2405" s="34">
        <f>SUBTOTAL(9,O2380:O2404)</f>
        <v>2937.1899999999996</v>
      </c>
      <c r="P2405" s="35">
        <f>SUBTOTAL(9,P2380:P2404)</f>
        <v>1046</v>
      </c>
      <c r="Q2405" s="36">
        <f>SUBTOTAL(9,Q2380:Q2404)</f>
        <v>1492.9199999999996</v>
      </c>
      <c r="R2405" s="36">
        <f>O2405-Q2405</f>
        <v>1444.27</v>
      </c>
      <c r="S2405" s="37">
        <f>IF(O2405&lt;&gt;0,R2405/O2405,"")</f>
        <v>0.49171827494986708</v>
      </c>
      <c r="U2405" s="34">
        <f>SUBTOTAL(9,U2380:U2404)</f>
        <v>1487.56</v>
      </c>
      <c r="V2405" s="35">
        <f>SUBTOTAL(9,V2380:V2404)</f>
        <v>290</v>
      </c>
      <c r="W2405" s="36">
        <f>SUBTOTAL(9,W2380:W2404)</f>
        <v>767.47000000000014</v>
      </c>
      <c r="X2405" s="36">
        <f>U2405-W2405</f>
        <v>720.0899999999998</v>
      </c>
      <c r="Y2405" s="37">
        <f>IF(U2405&lt;&gt;0,X2405/U2405,"")</f>
        <v>0.48407459194923219</v>
      </c>
      <c r="Z2405" s="34">
        <f>SUBTOTAL(9,Z2380:Z2404)</f>
        <v>0</v>
      </c>
      <c r="AA2405" s="35">
        <f>SUBTOTAL(9,AA2380:AA2404)</f>
        <v>0</v>
      </c>
      <c r="AB2405" s="36">
        <f>SUBTOTAL(9,AB2380:AB2404)</f>
        <v>0</v>
      </c>
      <c r="AC2405" s="36">
        <f t="shared" ref="AC2405" si="685">Z2405-AB2405</f>
        <v>0</v>
      </c>
      <c r="AD2405" s="37" t="str">
        <f t="shared" ref="AD2405" si="686">IF(Z2405&lt;&gt;0,AC2405/Z2405,"")</f>
        <v/>
      </c>
    </row>
    <row r="2406" spans="1:31" x14ac:dyDescent="0.25">
      <c r="A2406" s="14" t="s">
        <v>109</v>
      </c>
      <c r="C2406" s="66"/>
      <c r="J2406" s="10"/>
      <c r="K2406" s="11"/>
      <c r="L2406" s="11"/>
      <c r="M2406" s="11"/>
      <c r="N2406" s="12"/>
      <c r="O2406" s="10"/>
      <c r="P2406" s="11"/>
      <c r="Q2406" s="11"/>
      <c r="R2406" s="11"/>
      <c r="S2406" s="12"/>
      <c r="U2406" s="10"/>
      <c r="V2406" s="11"/>
      <c r="W2406" s="11"/>
      <c r="X2406" s="11"/>
      <c r="Y2406" s="12"/>
      <c r="Z2406" s="10"/>
      <c r="AA2406" s="11"/>
      <c r="AB2406" s="11"/>
      <c r="AC2406" s="11"/>
      <c r="AD2406" s="12"/>
    </row>
    <row r="2407" spans="1:31" ht="15.75" x14ac:dyDescent="0.25">
      <c r="A2407" s="14" t="s">
        <v>109</v>
      </c>
      <c r="C2407" s="66" t="str">
        <f t="shared" ref="C2407" si="687">E2407</f>
        <v>C100129</v>
      </c>
      <c r="E2407" s="13" t="str">
        <f>"C100129"</f>
        <v>C100129</v>
      </c>
      <c r="F2407" s="13"/>
      <c r="G2407" s="13" t="str">
        <f>"Saxon Technology"</f>
        <v>Saxon Technology</v>
      </c>
      <c r="H2407" s="13"/>
      <c r="I2407" s="13"/>
      <c r="J2407" s="10"/>
      <c r="K2407" s="11"/>
      <c r="L2407" s="11"/>
      <c r="M2407" s="11"/>
      <c r="N2407" s="12"/>
      <c r="O2407" s="10"/>
      <c r="P2407" s="11"/>
      <c r="Q2407" s="11"/>
      <c r="R2407" s="11"/>
      <c r="S2407" s="12"/>
      <c r="U2407" s="10"/>
      <c r="V2407" s="11"/>
      <c r="W2407" s="11"/>
      <c r="X2407" s="11"/>
      <c r="Y2407" s="12"/>
      <c r="Z2407" s="10"/>
      <c r="AA2407" s="11"/>
      <c r="AB2407" s="11"/>
      <c r="AC2407" s="11"/>
      <c r="AD2407" s="12"/>
    </row>
    <row r="2408" spans="1:31" ht="6.6" customHeight="1" x14ac:dyDescent="0.25">
      <c r="A2408" s="14" t="s">
        <v>109</v>
      </c>
      <c r="C2408" s="61" t="str">
        <f t="shared" ref="C2408:C2427" si="688">C2407</f>
        <v>C100129</v>
      </c>
      <c r="J2408" s="10"/>
      <c r="K2408" s="11"/>
      <c r="L2408" s="11"/>
      <c r="M2408" s="11"/>
      <c r="N2408" s="12"/>
      <c r="O2408" s="10"/>
      <c r="P2408" s="11"/>
      <c r="Q2408" s="11"/>
      <c r="R2408" s="11"/>
      <c r="S2408" s="12"/>
      <c r="U2408" s="10"/>
      <c r="V2408" s="11"/>
      <c r="W2408" s="11"/>
      <c r="X2408" s="11"/>
      <c r="Y2408" s="12"/>
      <c r="Z2408" s="10"/>
      <c r="AA2408" s="11"/>
      <c r="AB2408" s="11"/>
      <c r="AC2408" s="11"/>
      <c r="AD2408" s="12"/>
    </row>
    <row r="2409" spans="1:31" x14ac:dyDescent="0.25">
      <c r="A2409" s="14" t="s">
        <v>109</v>
      </c>
      <c r="C2409" s="61" t="str">
        <f t="shared" si="688"/>
        <v>C100129</v>
      </c>
      <c r="F2409" s="8" t="str">
        <f>"C100025"</f>
        <v>C100025</v>
      </c>
      <c r="G2409" s="9" t="str">
        <f>"Striped Knit Hat"</f>
        <v>Striped Knit Hat</v>
      </c>
      <c r="H2409" s="47"/>
      <c r="I2409" s="47"/>
      <c r="J2409" s="23">
        <v>420.54</v>
      </c>
      <c r="K2409" s="25">
        <v>144</v>
      </c>
      <c r="L2409" s="24">
        <v>198.72</v>
      </c>
      <c r="M2409" s="24">
        <f>J2409-L2409</f>
        <v>221.82000000000002</v>
      </c>
      <c r="N2409" s="53">
        <f>IF(J2409&lt;&gt;0,M2409/J2409,"")</f>
        <v>0.52746468825795412</v>
      </c>
      <c r="O2409" s="23">
        <v>0</v>
      </c>
      <c r="P2409" s="25">
        <v>0</v>
      </c>
      <c r="Q2409" s="24">
        <v>0</v>
      </c>
      <c r="R2409" s="24">
        <f>O2409-Q2409</f>
        <v>0</v>
      </c>
      <c r="S2409" s="53" t="str">
        <f>IF(O2409&lt;&gt;0,R2409/O2409,"")</f>
        <v/>
      </c>
      <c r="T2409" s="10"/>
      <c r="U2409" s="23">
        <v>420.54</v>
      </c>
      <c r="V2409" s="25">
        <v>144</v>
      </c>
      <c r="W2409" s="24">
        <v>198.72</v>
      </c>
      <c r="X2409" s="24">
        <f>U2409-W2409</f>
        <v>221.82000000000002</v>
      </c>
      <c r="Y2409" s="53">
        <f>IF(U2409&lt;&gt;0,X2409/U2409,"")</f>
        <v>0.52746468825795412</v>
      </c>
      <c r="Z2409" s="23">
        <v>0</v>
      </c>
      <c r="AA2409" s="25">
        <v>0</v>
      </c>
      <c r="AB2409" s="24">
        <v>0</v>
      </c>
      <c r="AC2409" s="24">
        <f t="shared" ref="AC2409" si="689">Z2409-AB2409</f>
        <v>0</v>
      </c>
      <c r="AD2409" s="53" t="str">
        <f t="shared" ref="AD2409" si="690">IF(Z2409&lt;&gt;0,AC2409/Z2409,"")</f>
        <v/>
      </c>
      <c r="AE2409" s="10"/>
    </row>
    <row r="2410" spans="1:31" x14ac:dyDescent="0.25">
      <c r="A2410" s="14" t="s">
        <v>109</v>
      </c>
      <c r="C2410" s="61" t="str">
        <f t="shared" ref="C2410:C2425" si="691">C2409</f>
        <v>C100129</v>
      </c>
      <c r="F2410" s="8" t="str">
        <f>"C100029"</f>
        <v>C100029</v>
      </c>
      <c r="G2410" s="9" t="str">
        <f>"Distressed Twill Visor"</f>
        <v>Distressed Twill Visor</v>
      </c>
      <c r="H2410" s="47"/>
      <c r="I2410" s="47"/>
      <c r="J2410" s="23">
        <v>40.22</v>
      </c>
      <c r="K2410" s="25">
        <v>12</v>
      </c>
      <c r="L2410" s="24">
        <v>24.84</v>
      </c>
      <c r="M2410" s="24">
        <f>J2410-L2410</f>
        <v>15.379999999999999</v>
      </c>
      <c r="N2410" s="53">
        <f>IF(J2410&lt;&gt;0,M2410/J2410,"")</f>
        <v>0.38239681750372945</v>
      </c>
      <c r="O2410" s="23">
        <v>0</v>
      </c>
      <c r="P2410" s="25">
        <v>0</v>
      </c>
      <c r="Q2410" s="24">
        <v>0</v>
      </c>
      <c r="R2410" s="24">
        <f>O2410-Q2410</f>
        <v>0</v>
      </c>
      <c r="S2410" s="53" t="str">
        <f>IF(O2410&lt;&gt;0,R2410/O2410,"")</f>
        <v/>
      </c>
      <c r="T2410" s="10"/>
      <c r="U2410" s="23">
        <v>467.86</v>
      </c>
      <c r="V2410" s="25">
        <v>144</v>
      </c>
      <c r="W2410" s="24">
        <v>298.09000000000003</v>
      </c>
      <c r="X2410" s="24">
        <f>U2410-W2410</f>
        <v>169.76999999999998</v>
      </c>
      <c r="Y2410" s="53">
        <f>IF(U2410&lt;&gt;0,X2410/U2410,"")</f>
        <v>0.36286495960330006</v>
      </c>
      <c r="Z2410" s="23">
        <v>0</v>
      </c>
      <c r="AA2410" s="25">
        <v>0</v>
      </c>
      <c r="AB2410" s="24">
        <v>0</v>
      </c>
      <c r="AC2410" s="24">
        <f t="shared" ref="AC2410:AC2425" si="692">Z2410-AB2410</f>
        <v>0</v>
      </c>
      <c r="AD2410" s="53" t="str">
        <f t="shared" ref="AD2410:AD2425" si="693">IF(Z2410&lt;&gt;0,AC2410/Z2410,"")</f>
        <v/>
      </c>
      <c r="AE2410" s="10"/>
    </row>
    <row r="2411" spans="1:31" x14ac:dyDescent="0.25">
      <c r="A2411" s="14" t="s">
        <v>109</v>
      </c>
      <c r="C2411" s="61" t="str">
        <f t="shared" si="691"/>
        <v>C100129</v>
      </c>
      <c r="F2411" s="8" t="str">
        <f>"E100011"</f>
        <v>E100011</v>
      </c>
      <c r="G2411" s="9" t="str">
        <f>"Plastic Sun Visor"</f>
        <v>Plastic Sun Visor</v>
      </c>
      <c r="H2411" s="47"/>
      <c r="I2411" s="47"/>
      <c r="J2411" s="23">
        <v>114.31</v>
      </c>
      <c r="K2411" s="25">
        <v>144</v>
      </c>
      <c r="L2411" s="24">
        <v>60.470000000000006</v>
      </c>
      <c r="M2411" s="24">
        <f>J2411-L2411</f>
        <v>53.839999999999996</v>
      </c>
      <c r="N2411" s="53">
        <f>IF(J2411&lt;&gt;0,M2411/J2411,"")</f>
        <v>0.47099991251858975</v>
      </c>
      <c r="O2411" s="23">
        <v>0</v>
      </c>
      <c r="P2411" s="25">
        <v>0</v>
      </c>
      <c r="Q2411" s="24">
        <v>0</v>
      </c>
      <c r="R2411" s="24">
        <f>O2411-Q2411</f>
        <v>0</v>
      </c>
      <c r="S2411" s="53" t="str">
        <f>IF(O2411&lt;&gt;0,R2411/O2411,"")</f>
        <v/>
      </c>
      <c r="T2411" s="10"/>
      <c r="U2411" s="23">
        <v>123.53999999999999</v>
      </c>
      <c r="V2411" s="25">
        <v>156</v>
      </c>
      <c r="W2411" s="24">
        <v>65.510000000000005</v>
      </c>
      <c r="X2411" s="24">
        <f>U2411-W2411</f>
        <v>58.029999999999987</v>
      </c>
      <c r="Y2411" s="53">
        <f>IF(U2411&lt;&gt;0,X2411/U2411,"")</f>
        <v>0.469726404403432</v>
      </c>
      <c r="Z2411" s="23">
        <v>0</v>
      </c>
      <c r="AA2411" s="25">
        <v>0</v>
      </c>
      <c r="AB2411" s="24">
        <v>0</v>
      </c>
      <c r="AC2411" s="24">
        <f t="shared" si="692"/>
        <v>0</v>
      </c>
      <c r="AD2411" s="53" t="str">
        <f t="shared" si="693"/>
        <v/>
      </c>
      <c r="AE2411" s="10"/>
    </row>
    <row r="2412" spans="1:31" x14ac:dyDescent="0.25">
      <c r="A2412" s="14" t="s">
        <v>109</v>
      </c>
      <c r="C2412" s="61" t="str">
        <f t="shared" si="691"/>
        <v>C100129</v>
      </c>
      <c r="F2412" s="8" t="str">
        <f>"E100012"</f>
        <v>E100012</v>
      </c>
      <c r="G2412" s="9" t="str">
        <f>"Canvas Stopwatch"</f>
        <v>Canvas Stopwatch</v>
      </c>
      <c r="H2412" s="47"/>
      <c r="I2412" s="47"/>
      <c r="J2412" s="23">
        <v>525.77</v>
      </c>
      <c r="K2412" s="25">
        <v>145</v>
      </c>
      <c r="L2412" s="24">
        <v>284.19</v>
      </c>
      <c r="M2412" s="24">
        <f>J2412-L2412</f>
        <v>241.57999999999998</v>
      </c>
      <c r="N2412" s="53">
        <f>IF(J2412&lt;&gt;0,M2412/J2412,"")</f>
        <v>0.45947847918291268</v>
      </c>
      <c r="O2412" s="23">
        <v>0</v>
      </c>
      <c r="P2412" s="25">
        <v>0</v>
      </c>
      <c r="Q2412" s="24">
        <v>0</v>
      </c>
      <c r="R2412" s="24">
        <f>O2412-Q2412</f>
        <v>0</v>
      </c>
      <c r="S2412" s="53" t="str">
        <f>IF(O2412&lt;&gt;0,R2412/O2412,"")</f>
        <v/>
      </c>
      <c r="T2412" s="10"/>
      <c r="U2412" s="23">
        <v>0</v>
      </c>
      <c r="V2412" s="25">
        <v>0</v>
      </c>
      <c r="W2412" s="24">
        <v>0</v>
      </c>
      <c r="X2412" s="24">
        <f>U2412-W2412</f>
        <v>0</v>
      </c>
      <c r="Y2412" s="53" t="str">
        <f>IF(U2412&lt;&gt;0,X2412/U2412,"")</f>
        <v/>
      </c>
      <c r="Z2412" s="23">
        <v>0</v>
      </c>
      <c r="AA2412" s="25">
        <v>0</v>
      </c>
      <c r="AB2412" s="24">
        <v>0</v>
      </c>
      <c r="AC2412" s="24">
        <f t="shared" si="692"/>
        <v>0</v>
      </c>
      <c r="AD2412" s="53" t="str">
        <f t="shared" si="693"/>
        <v/>
      </c>
      <c r="AE2412" s="10"/>
    </row>
    <row r="2413" spans="1:31" x14ac:dyDescent="0.25">
      <c r="A2413" s="14" t="s">
        <v>109</v>
      </c>
      <c r="C2413" s="61" t="str">
        <f t="shared" si="691"/>
        <v>C100129</v>
      </c>
      <c r="F2413" s="8" t="str">
        <f>"E100018"</f>
        <v>E100018</v>
      </c>
      <c r="G2413" s="9" t="str">
        <f>"Flexi-Clock &amp; Clip"</f>
        <v>Flexi-Clock &amp; Clip</v>
      </c>
      <c r="H2413" s="47"/>
      <c r="I2413" s="47"/>
      <c r="J2413" s="23">
        <v>1.1100000000000001</v>
      </c>
      <c r="K2413" s="25">
        <v>1</v>
      </c>
      <c r="L2413" s="24">
        <v>0.6</v>
      </c>
      <c r="M2413" s="24">
        <f>J2413-L2413</f>
        <v>0.51000000000000012</v>
      </c>
      <c r="N2413" s="53">
        <f>IF(J2413&lt;&gt;0,M2413/J2413,"")</f>
        <v>0.45945945945945954</v>
      </c>
      <c r="O2413" s="23">
        <v>0</v>
      </c>
      <c r="P2413" s="25">
        <v>0</v>
      </c>
      <c r="Q2413" s="24">
        <v>0</v>
      </c>
      <c r="R2413" s="24">
        <f>O2413-Q2413</f>
        <v>0</v>
      </c>
      <c r="S2413" s="53" t="str">
        <f>IF(O2413&lt;&gt;0,R2413/O2413,"")</f>
        <v/>
      </c>
      <c r="T2413" s="10"/>
      <c r="U2413" s="23">
        <v>154.57999999999998</v>
      </c>
      <c r="V2413" s="25">
        <v>144</v>
      </c>
      <c r="W2413" s="24">
        <v>86.39</v>
      </c>
      <c r="X2413" s="24">
        <f>U2413-W2413</f>
        <v>68.189999999999984</v>
      </c>
      <c r="Y2413" s="53">
        <f>IF(U2413&lt;&gt;0,X2413/U2413,"")</f>
        <v>0.44113080605511701</v>
      </c>
      <c r="Z2413" s="23">
        <v>0</v>
      </c>
      <c r="AA2413" s="25">
        <v>0</v>
      </c>
      <c r="AB2413" s="24">
        <v>0</v>
      </c>
      <c r="AC2413" s="24">
        <f t="shared" si="692"/>
        <v>0</v>
      </c>
      <c r="AD2413" s="53" t="str">
        <f t="shared" si="693"/>
        <v/>
      </c>
      <c r="AE2413" s="10"/>
    </row>
    <row r="2414" spans="1:31" x14ac:dyDescent="0.25">
      <c r="A2414" s="14" t="s">
        <v>109</v>
      </c>
      <c r="C2414" s="61" t="str">
        <f t="shared" si="691"/>
        <v>C100129</v>
      </c>
      <c r="F2414" s="8" t="str">
        <f>"E100023"</f>
        <v>E100023</v>
      </c>
      <c r="G2414" s="9" t="str">
        <f>"Sport Earbuds"</f>
        <v>Sport Earbuds</v>
      </c>
      <c r="H2414" s="47"/>
      <c r="I2414" s="47"/>
      <c r="J2414" s="23">
        <v>637.86</v>
      </c>
      <c r="K2414" s="25">
        <v>144</v>
      </c>
      <c r="L2414" s="24">
        <v>302.39999999999998</v>
      </c>
      <c r="M2414" s="24">
        <f>J2414-L2414</f>
        <v>335.46000000000004</v>
      </c>
      <c r="N2414" s="53">
        <f>IF(J2414&lt;&gt;0,M2414/J2414,"")</f>
        <v>0.52591477753739069</v>
      </c>
      <c r="O2414" s="23">
        <v>0</v>
      </c>
      <c r="P2414" s="25">
        <v>0</v>
      </c>
      <c r="Q2414" s="24">
        <v>0</v>
      </c>
      <c r="R2414" s="24">
        <f>O2414-Q2414</f>
        <v>0</v>
      </c>
      <c r="S2414" s="53" t="str">
        <f>IF(O2414&lt;&gt;0,R2414/O2414,"")</f>
        <v/>
      </c>
      <c r="T2414" s="10"/>
      <c r="U2414" s="23">
        <v>0</v>
      </c>
      <c r="V2414" s="25">
        <v>0</v>
      </c>
      <c r="W2414" s="24">
        <v>0</v>
      </c>
      <c r="X2414" s="24">
        <f>U2414-W2414</f>
        <v>0</v>
      </c>
      <c r="Y2414" s="53" t="str">
        <f>IF(U2414&lt;&gt;0,X2414/U2414,"")</f>
        <v/>
      </c>
      <c r="Z2414" s="23">
        <v>0</v>
      </c>
      <c r="AA2414" s="25">
        <v>0</v>
      </c>
      <c r="AB2414" s="24">
        <v>0</v>
      </c>
      <c r="AC2414" s="24">
        <f t="shared" si="692"/>
        <v>0</v>
      </c>
      <c r="AD2414" s="53" t="str">
        <f t="shared" si="693"/>
        <v/>
      </c>
      <c r="AE2414" s="10"/>
    </row>
    <row r="2415" spans="1:31" x14ac:dyDescent="0.25">
      <c r="A2415" s="14" t="s">
        <v>109</v>
      </c>
      <c r="C2415" s="61" t="str">
        <f t="shared" si="691"/>
        <v>C100129</v>
      </c>
      <c r="F2415" s="8" t="str">
        <f>"E100025"</f>
        <v>E100025</v>
      </c>
      <c r="G2415" s="9" t="str">
        <f>"Calc-U-Note"</f>
        <v>Calc-U-Note</v>
      </c>
      <c r="H2415" s="47"/>
      <c r="I2415" s="47"/>
      <c r="J2415" s="23">
        <v>9.64</v>
      </c>
      <c r="K2415" s="25">
        <v>6</v>
      </c>
      <c r="L2415" s="24">
        <v>6.12</v>
      </c>
      <c r="M2415" s="24">
        <f>J2415-L2415</f>
        <v>3.5200000000000005</v>
      </c>
      <c r="N2415" s="53">
        <f>IF(J2415&lt;&gt;0,M2415/J2415,"")</f>
        <v>0.36514522821576767</v>
      </c>
      <c r="O2415" s="23">
        <v>0</v>
      </c>
      <c r="P2415" s="25">
        <v>0</v>
      </c>
      <c r="Q2415" s="24">
        <v>0</v>
      </c>
      <c r="R2415" s="24">
        <f>O2415-Q2415</f>
        <v>0</v>
      </c>
      <c r="S2415" s="53" t="str">
        <f>IF(O2415&lt;&gt;0,R2415/O2415,"")</f>
        <v/>
      </c>
      <c r="T2415" s="10"/>
      <c r="U2415" s="23">
        <v>0</v>
      </c>
      <c r="V2415" s="25">
        <v>0</v>
      </c>
      <c r="W2415" s="24">
        <v>0</v>
      </c>
      <c r="X2415" s="24">
        <f>U2415-W2415</f>
        <v>0</v>
      </c>
      <c r="Y2415" s="53" t="str">
        <f>IF(U2415&lt;&gt;0,X2415/U2415,"")</f>
        <v/>
      </c>
      <c r="Z2415" s="23">
        <v>0</v>
      </c>
      <c r="AA2415" s="25">
        <v>0</v>
      </c>
      <c r="AB2415" s="24">
        <v>0</v>
      </c>
      <c r="AC2415" s="24">
        <f t="shared" si="692"/>
        <v>0</v>
      </c>
      <c r="AD2415" s="53" t="str">
        <f t="shared" si="693"/>
        <v/>
      </c>
      <c r="AE2415" s="10"/>
    </row>
    <row r="2416" spans="1:31" x14ac:dyDescent="0.25">
      <c r="A2416" s="14" t="s">
        <v>109</v>
      </c>
      <c r="C2416" s="61" t="str">
        <f t="shared" si="691"/>
        <v>C100129</v>
      </c>
      <c r="F2416" s="8" t="str">
        <f>"E100030"</f>
        <v>E100030</v>
      </c>
      <c r="G2416" s="9" t="str">
        <f>"LED Keychain"</f>
        <v>LED Keychain</v>
      </c>
      <c r="H2416" s="47"/>
      <c r="I2416" s="47"/>
      <c r="J2416" s="23">
        <v>136.88999999999999</v>
      </c>
      <c r="K2416" s="25">
        <v>144</v>
      </c>
      <c r="L2416" s="24">
        <v>72.05</v>
      </c>
      <c r="M2416" s="24">
        <f>J2416-L2416</f>
        <v>64.839999999999989</v>
      </c>
      <c r="N2416" s="53">
        <f>IF(J2416&lt;&gt;0,M2416/J2416,"")</f>
        <v>0.47366498648549926</v>
      </c>
      <c r="O2416" s="23">
        <v>0</v>
      </c>
      <c r="P2416" s="25">
        <v>0</v>
      </c>
      <c r="Q2416" s="24">
        <v>0</v>
      </c>
      <c r="R2416" s="24">
        <f>O2416-Q2416</f>
        <v>0</v>
      </c>
      <c r="S2416" s="53" t="str">
        <f>IF(O2416&lt;&gt;0,R2416/O2416,"")</f>
        <v/>
      </c>
      <c r="T2416" s="10"/>
      <c r="U2416" s="23">
        <v>0</v>
      </c>
      <c r="V2416" s="25">
        <v>0</v>
      </c>
      <c r="W2416" s="24">
        <v>0</v>
      </c>
      <c r="X2416" s="24">
        <f>U2416-W2416</f>
        <v>0</v>
      </c>
      <c r="Y2416" s="53" t="str">
        <f>IF(U2416&lt;&gt;0,X2416/U2416,"")</f>
        <v/>
      </c>
      <c r="Z2416" s="23">
        <v>0</v>
      </c>
      <c r="AA2416" s="25">
        <v>0</v>
      </c>
      <c r="AB2416" s="24">
        <v>0</v>
      </c>
      <c r="AC2416" s="24">
        <f t="shared" si="692"/>
        <v>0</v>
      </c>
      <c r="AD2416" s="53" t="str">
        <f t="shared" si="693"/>
        <v/>
      </c>
      <c r="AE2416" s="10"/>
    </row>
    <row r="2417" spans="1:31" x14ac:dyDescent="0.25">
      <c r="A2417" s="14" t="s">
        <v>109</v>
      </c>
      <c r="C2417" s="61" t="str">
        <f t="shared" si="691"/>
        <v>C100129</v>
      </c>
      <c r="F2417" s="8" t="str">
        <f>"E100034"</f>
        <v>E100034</v>
      </c>
      <c r="G2417" s="9" t="str">
        <f>"Bamboo 1GB USB Flash Drive"</f>
        <v>Bamboo 1GB USB Flash Drive</v>
      </c>
      <c r="H2417" s="47"/>
      <c r="I2417" s="47"/>
      <c r="J2417" s="23">
        <v>1639.81</v>
      </c>
      <c r="K2417" s="25">
        <v>288</v>
      </c>
      <c r="L2417" s="24">
        <v>777.66</v>
      </c>
      <c r="M2417" s="24">
        <f>J2417-L2417</f>
        <v>862.15</v>
      </c>
      <c r="N2417" s="53">
        <f>IF(J2417&lt;&gt;0,M2417/J2417,"")</f>
        <v>0.52576213097858904</v>
      </c>
      <c r="O2417" s="23">
        <v>0</v>
      </c>
      <c r="P2417" s="25">
        <v>0</v>
      </c>
      <c r="Q2417" s="24">
        <v>0</v>
      </c>
      <c r="R2417" s="24">
        <f>O2417-Q2417</f>
        <v>0</v>
      </c>
      <c r="S2417" s="53" t="str">
        <f>IF(O2417&lt;&gt;0,R2417/O2417,"")</f>
        <v/>
      </c>
      <c r="T2417" s="10"/>
      <c r="U2417" s="23">
        <v>2384.42</v>
      </c>
      <c r="V2417" s="25">
        <v>432</v>
      </c>
      <c r="W2417" s="24">
        <v>1166.49</v>
      </c>
      <c r="X2417" s="24">
        <f>U2417-W2417</f>
        <v>1217.93</v>
      </c>
      <c r="Y2417" s="53">
        <f>IF(U2417&lt;&gt;0,X2417/U2417,"")</f>
        <v>0.51078669026429913</v>
      </c>
      <c r="Z2417" s="23">
        <v>0</v>
      </c>
      <c r="AA2417" s="25">
        <v>0</v>
      </c>
      <c r="AB2417" s="24">
        <v>0</v>
      </c>
      <c r="AC2417" s="24">
        <f t="shared" si="692"/>
        <v>0</v>
      </c>
      <c r="AD2417" s="53" t="str">
        <f t="shared" si="693"/>
        <v/>
      </c>
      <c r="AE2417" s="10"/>
    </row>
    <row r="2418" spans="1:31" x14ac:dyDescent="0.25">
      <c r="A2418" s="14" t="s">
        <v>109</v>
      </c>
      <c r="C2418" s="61" t="str">
        <f t="shared" si="691"/>
        <v>C100129</v>
      </c>
      <c r="F2418" s="8" t="str">
        <f>"E100041"</f>
        <v>E100041</v>
      </c>
      <c r="G2418" s="9" t="str">
        <f>"Biodegradable Colored SPORT BOT"</f>
        <v>Biodegradable Colored SPORT BOT</v>
      </c>
      <c r="H2418" s="47"/>
      <c r="I2418" s="47"/>
      <c r="J2418" s="23">
        <v>194.75</v>
      </c>
      <c r="K2418" s="25">
        <v>288</v>
      </c>
      <c r="L2418" s="24">
        <v>123.80000000000001</v>
      </c>
      <c r="M2418" s="24">
        <f>J2418-L2418</f>
        <v>70.949999999999989</v>
      </c>
      <c r="N2418" s="53">
        <f>IF(J2418&lt;&gt;0,M2418/J2418,"")</f>
        <v>0.36431322207958916</v>
      </c>
      <c r="O2418" s="23">
        <v>0</v>
      </c>
      <c r="P2418" s="25">
        <v>0</v>
      </c>
      <c r="Q2418" s="24">
        <v>0</v>
      </c>
      <c r="R2418" s="24">
        <f>O2418-Q2418</f>
        <v>0</v>
      </c>
      <c r="S2418" s="53" t="str">
        <f>IF(O2418&lt;&gt;0,R2418/O2418,"")</f>
        <v/>
      </c>
      <c r="T2418" s="10"/>
      <c r="U2418" s="23">
        <v>0.68</v>
      </c>
      <c r="V2418" s="25">
        <v>1</v>
      </c>
      <c r="W2418" s="24">
        <v>0.43</v>
      </c>
      <c r="X2418" s="24">
        <f>U2418-W2418</f>
        <v>0.25000000000000006</v>
      </c>
      <c r="Y2418" s="53">
        <f>IF(U2418&lt;&gt;0,X2418/U2418,"")</f>
        <v>0.36764705882352949</v>
      </c>
      <c r="Z2418" s="23">
        <v>0</v>
      </c>
      <c r="AA2418" s="25">
        <v>0</v>
      </c>
      <c r="AB2418" s="24">
        <v>0</v>
      </c>
      <c r="AC2418" s="24">
        <f t="shared" si="692"/>
        <v>0</v>
      </c>
      <c r="AD2418" s="53" t="str">
        <f t="shared" si="693"/>
        <v/>
      </c>
      <c r="AE2418" s="10"/>
    </row>
    <row r="2419" spans="1:31" x14ac:dyDescent="0.25">
      <c r="A2419" s="14" t="s">
        <v>109</v>
      </c>
      <c r="C2419" s="61" t="str">
        <f t="shared" si="691"/>
        <v>C100129</v>
      </c>
      <c r="F2419" s="8" t="str">
        <f>"S200006"</f>
        <v>S200006</v>
      </c>
      <c r="G2419" s="9" t="str">
        <f>"3.75"" Soccer Trophy"</f>
        <v>3.75" Soccer Trophy</v>
      </c>
      <c r="H2419" s="47"/>
      <c r="I2419" s="47"/>
      <c r="J2419" s="23">
        <v>9.8000000000000007</v>
      </c>
      <c r="K2419" s="25">
        <v>1</v>
      </c>
      <c r="L2419" s="24">
        <v>7.51</v>
      </c>
      <c r="M2419" s="24">
        <f>J2419-L2419</f>
        <v>2.2900000000000009</v>
      </c>
      <c r="N2419" s="53">
        <f>IF(J2419&lt;&gt;0,M2419/J2419,"")</f>
        <v>0.23367346938775518</v>
      </c>
      <c r="O2419" s="23">
        <v>0</v>
      </c>
      <c r="P2419" s="25">
        <v>0</v>
      </c>
      <c r="Q2419" s="24">
        <v>0</v>
      </c>
      <c r="R2419" s="24">
        <f>O2419-Q2419</f>
        <v>0</v>
      </c>
      <c r="S2419" s="53" t="str">
        <f>IF(O2419&lt;&gt;0,R2419/O2419,"")</f>
        <v/>
      </c>
      <c r="T2419" s="10"/>
      <c r="U2419" s="23">
        <v>0</v>
      </c>
      <c r="V2419" s="25">
        <v>0</v>
      </c>
      <c r="W2419" s="24">
        <v>0</v>
      </c>
      <c r="X2419" s="24">
        <f>U2419-W2419</f>
        <v>0</v>
      </c>
      <c r="Y2419" s="53" t="str">
        <f>IF(U2419&lt;&gt;0,X2419/U2419,"")</f>
        <v/>
      </c>
      <c r="Z2419" s="23">
        <v>0</v>
      </c>
      <c r="AA2419" s="25">
        <v>0</v>
      </c>
      <c r="AB2419" s="24">
        <v>0</v>
      </c>
      <c r="AC2419" s="24">
        <f t="shared" si="692"/>
        <v>0</v>
      </c>
      <c r="AD2419" s="53" t="str">
        <f t="shared" si="693"/>
        <v/>
      </c>
      <c r="AE2419" s="10"/>
    </row>
    <row r="2420" spans="1:31" x14ac:dyDescent="0.25">
      <c r="A2420" s="14" t="s">
        <v>109</v>
      </c>
      <c r="C2420" s="61" t="str">
        <f t="shared" si="691"/>
        <v>C100129</v>
      </c>
      <c r="F2420" s="8" t="str">
        <f>"S200009"</f>
        <v>S200009</v>
      </c>
      <c r="G2420" s="9" t="str">
        <f>"3.75"" Volleyball Trophy"</f>
        <v>3.75" Volleyball Trophy</v>
      </c>
      <c r="H2420" s="47"/>
      <c r="I2420" s="47"/>
      <c r="J2420" s="23">
        <v>1411.2</v>
      </c>
      <c r="K2420" s="25">
        <v>144</v>
      </c>
      <c r="L2420" s="24">
        <v>1081.44</v>
      </c>
      <c r="M2420" s="24">
        <f>J2420-L2420</f>
        <v>329.76</v>
      </c>
      <c r="N2420" s="53">
        <f>IF(J2420&lt;&gt;0,M2420/J2420,"")</f>
        <v>0.2336734693877551</v>
      </c>
      <c r="O2420" s="23">
        <v>0</v>
      </c>
      <c r="P2420" s="25">
        <v>0</v>
      </c>
      <c r="Q2420" s="24">
        <v>0</v>
      </c>
      <c r="R2420" s="24">
        <f>O2420-Q2420</f>
        <v>0</v>
      </c>
      <c r="S2420" s="53" t="str">
        <f>IF(O2420&lt;&gt;0,R2420/O2420,"")</f>
        <v/>
      </c>
      <c r="T2420" s="10"/>
      <c r="U2420" s="23">
        <v>0</v>
      </c>
      <c r="V2420" s="25">
        <v>0</v>
      </c>
      <c r="W2420" s="24">
        <v>0</v>
      </c>
      <c r="X2420" s="24">
        <f>U2420-W2420</f>
        <v>0</v>
      </c>
      <c r="Y2420" s="53" t="str">
        <f>IF(U2420&lt;&gt;0,X2420/U2420,"")</f>
        <v/>
      </c>
      <c r="Z2420" s="23">
        <v>0</v>
      </c>
      <c r="AA2420" s="25">
        <v>0</v>
      </c>
      <c r="AB2420" s="24">
        <v>0</v>
      </c>
      <c r="AC2420" s="24">
        <f t="shared" si="692"/>
        <v>0</v>
      </c>
      <c r="AD2420" s="53" t="str">
        <f t="shared" si="693"/>
        <v/>
      </c>
      <c r="AE2420" s="10"/>
    </row>
    <row r="2421" spans="1:31" x14ac:dyDescent="0.25">
      <c r="A2421" s="14" t="s">
        <v>109</v>
      </c>
      <c r="C2421" s="61" t="str">
        <f t="shared" si="691"/>
        <v>C100129</v>
      </c>
      <c r="F2421" s="8" t="str">
        <f>"S200012"</f>
        <v>S200012</v>
      </c>
      <c r="G2421" s="9" t="str">
        <f>"10.75"" Star Riser Apple Trophy"</f>
        <v>10.75" Star Riser Apple Trophy</v>
      </c>
      <c r="H2421" s="47"/>
      <c r="I2421" s="47"/>
      <c r="J2421" s="23">
        <v>73.5</v>
      </c>
      <c r="K2421" s="25">
        <v>6</v>
      </c>
      <c r="L2421" s="24">
        <v>62.88</v>
      </c>
      <c r="M2421" s="24">
        <f>J2421-L2421</f>
        <v>10.619999999999997</v>
      </c>
      <c r="N2421" s="53">
        <f>IF(J2421&lt;&gt;0,M2421/J2421,"")</f>
        <v>0.1444897959183673</v>
      </c>
      <c r="O2421" s="23">
        <v>0</v>
      </c>
      <c r="P2421" s="25">
        <v>0</v>
      </c>
      <c r="Q2421" s="24">
        <v>0</v>
      </c>
      <c r="R2421" s="24">
        <f>O2421-Q2421</f>
        <v>0</v>
      </c>
      <c r="S2421" s="53" t="str">
        <f>IF(O2421&lt;&gt;0,R2421/O2421,"")</f>
        <v/>
      </c>
      <c r="T2421" s="10"/>
      <c r="U2421" s="23">
        <v>0</v>
      </c>
      <c r="V2421" s="25">
        <v>0</v>
      </c>
      <c r="W2421" s="24">
        <v>0</v>
      </c>
      <c r="X2421" s="24">
        <f>U2421-W2421</f>
        <v>0</v>
      </c>
      <c r="Y2421" s="53" t="str">
        <f>IF(U2421&lt;&gt;0,X2421/U2421,"")</f>
        <v/>
      </c>
      <c r="Z2421" s="23">
        <v>0</v>
      </c>
      <c r="AA2421" s="25">
        <v>0</v>
      </c>
      <c r="AB2421" s="24">
        <v>0</v>
      </c>
      <c r="AC2421" s="24">
        <f t="shared" si="692"/>
        <v>0</v>
      </c>
      <c r="AD2421" s="53" t="str">
        <f t="shared" si="693"/>
        <v/>
      </c>
      <c r="AE2421" s="10"/>
    </row>
    <row r="2422" spans="1:31" x14ac:dyDescent="0.25">
      <c r="A2422" s="14" t="s">
        <v>109</v>
      </c>
      <c r="C2422" s="61" t="str">
        <f t="shared" si="691"/>
        <v>C100129</v>
      </c>
      <c r="F2422" s="8" t="str">
        <f>"S200021"</f>
        <v>S200021</v>
      </c>
      <c r="G2422" s="9" t="str">
        <f>"10.75"" Tourch Riser FootballTrophy"</f>
        <v>10.75" Tourch Riser FootballTrophy</v>
      </c>
      <c r="H2422" s="47"/>
      <c r="I2422" s="47"/>
      <c r="J2422" s="23">
        <v>1764</v>
      </c>
      <c r="K2422" s="25">
        <v>144</v>
      </c>
      <c r="L2422" s="24">
        <v>1480.32</v>
      </c>
      <c r="M2422" s="24">
        <f>J2422-L2422</f>
        <v>283.68000000000006</v>
      </c>
      <c r="N2422" s="53">
        <f>IF(J2422&lt;&gt;0,M2422/J2422,"")</f>
        <v>0.16081632653061229</v>
      </c>
      <c r="O2422" s="23">
        <v>0</v>
      </c>
      <c r="P2422" s="25">
        <v>0</v>
      </c>
      <c r="Q2422" s="24">
        <v>0</v>
      </c>
      <c r="R2422" s="24">
        <f>O2422-Q2422</f>
        <v>0</v>
      </c>
      <c r="S2422" s="53" t="str">
        <f>IF(O2422&lt;&gt;0,R2422/O2422,"")</f>
        <v/>
      </c>
      <c r="T2422" s="10"/>
      <c r="U2422" s="23">
        <v>0</v>
      </c>
      <c r="V2422" s="25">
        <v>0</v>
      </c>
      <c r="W2422" s="24">
        <v>0</v>
      </c>
      <c r="X2422" s="24">
        <f>U2422-W2422</f>
        <v>0</v>
      </c>
      <c r="Y2422" s="53" t="str">
        <f>IF(U2422&lt;&gt;0,X2422/U2422,"")</f>
        <v/>
      </c>
      <c r="Z2422" s="23">
        <v>0</v>
      </c>
      <c r="AA2422" s="25">
        <v>0</v>
      </c>
      <c r="AB2422" s="24">
        <v>0</v>
      </c>
      <c r="AC2422" s="24">
        <f t="shared" si="692"/>
        <v>0</v>
      </c>
      <c r="AD2422" s="53" t="str">
        <f t="shared" si="693"/>
        <v/>
      </c>
      <c r="AE2422" s="10"/>
    </row>
    <row r="2423" spans="1:31" x14ac:dyDescent="0.25">
      <c r="A2423" s="14" t="s">
        <v>109</v>
      </c>
      <c r="C2423" s="61" t="str">
        <f t="shared" si="691"/>
        <v>C100129</v>
      </c>
      <c r="F2423" s="8" t="str">
        <f>"S200022"</f>
        <v>S200022</v>
      </c>
      <c r="G2423" s="9" t="str">
        <f>"10.75"" Tourch Riser Basketball Trophy"</f>
        <v>10.75" Tourch Riser Basketball Trophy</v>
      </c>
      <c r="H2423" s="47"/>
      <c r="I2423" s="47"/>
      <c r="J2423" s="23">
        <v>1764</v>
      </c>
      <c r="K2423" s="25">
        <v>144</v>
      </c>
      <c r="L2423" s="24">
        <v>1480.32</v>
      </c>
      <c r="M2423" s="24">
        <f>J2423-L2423</f>
        <v>283.68000000000006</v>
      </c>
      <c r="N2423" s="53">
        <f>IF(J2423&lt;&gt;0,M2423/J2423,"")</f>
        <v>0.16081632653061229</v>
      </c>
      <c r="O2423" s="23">
        <v>0</v>
      </c>
      <c r="P2423" s="25">
        <v>0</v>
      </c>
      <c r="Q2423" s="24">
        <v>0</v>
      </c>
      <c r="R2423" s="24">
        <f>O2423-Q2423</f>
        <v>0</v>
      </c>
      <c r="S2423" s="53" t="str">
        <f>IF(O2423&lt;&gt;0,R2423/O2423,"")</f>
        <v/>
      </c>
      <c r="T2423" s="10"/>
      <c r="U2423" s="23">
        <v>0</v>
      </c>
      <c r="V2423" s="25">
        <v>0</v>
      </c>
      <c r="W2423" s="24">
        <v>0</v>
      </c>
      <c r="X2423" s="24">
        <f>U2423-W2423</f>
        <v>0</v>
      </c>
      <c r="Y2423" s="53" t="str">
        <f>IF(U2423&lt;&gt;0,X2423/U2423,"")</f>
        <v/>
      </c>
      <c r="Z2423" s="23">
        <v>0</v>
      </c>
      <c r="AA2423" s="25">
        <v>0</v>
      </c>
      <c r="AB2423" s="24">
        <v>0</v>
      </c>
      <c r="AC2423" s="24">
        <f t="shared" si="692"/>
        <v>0</v>
      </c>
      <c r="AD2423" s="53" t="str">
        <f t="shared" si="693"/>
        <v/>
      </c>
      <c r="AE2423" s="10"/>
    </row>
    <row r="2424" spans="1:31" x14ac:dyDescent="0.25">
      <c r="A2424" s="14" t="s">
        <v>109</v>
      </c>
      <c r="C2424" s="61" t="str">
        <f t="shared" si="691"/>
        <v>C100129</v>
      </c>
      <c r="F2424" s="8" t="str">
        <f>"S200023"</f>
        <v>S200023</v>
      </c>
      <c r="G2424" s="9" t="str">
        <f>"10.75"" Tourch Riser Volleyball Trophy"</f>
        <v>10.75" Tourch Riser Volleyball Trophy</v>
      </c>
      <c r="H2424" s="47"/>
      <c r="I2424" s="47"/>
      <c r="J2424" s="23">
        <v>1764</v>
      </c>
      <c r="K2424" s="25">
        <v>144</v>
      </c>
      <c r="L2424" s="24">
        <v>1480.32</v>
      </c>
      <c r="M2424" s="24">
        <f>J2424-L2424</f>
        <v>283.68000000000006</v>
      </c>
      <c r="N2424" s="53">
        <f>IF(J2424&lt;&gt;0,M2424/J2424,"")</f>
        <v>0.16081632653061229</v>
      </c>
      <c r="O2424" s="23">
        <v>0</v>
      </c>
      <c r="P2424" s="25">
        <v>0</v>
      </c>
      <c r="Q2424" s="24">
        <v>0</v>
      </c>
      <c r="R2424" s="24">
        <f>O2424-Q2424</f>
        <v>0</v>
      </c>
      <c r="S2424" s="53" t="str">
        <f>IF(O2424&lt;&gt;0,R2424/O2424,"")</f>
        <v/>
      </c>
      <c r="T2424" s="10"/>
      <c r="U2424" s="23">
        <v>0</v>
      </c>
      <c r="V2424" s="25">
        <v>0</v>
      </c>
      <c r="W2424" s="24">
        <v>0</v>
      </c>
      <c r="X2424" s="24">
        <f>U2424-W2424</f>
        <v>0</v>
      </c>
      <c r="Y2424" s="53" t="str">
        <f>IF(U2424&lt;&gt;0,X2424/U2424,"")</f>
        <v/>
      </c>
      <c r="Z2424" s="23">
        <v>0</v>
      </c>
      <c r="AA2424" s="25">
        <v>0</v>
      </c>
      <c r="AB2424" s="24">
        <v>0</v>
      </c>
      <c r="AC2424" s="24">
        <f t="shared" si="692"/>
        <v>0</v>
      </c>
      <c r="AD2424" s="53" t="str">
        <f t="shared" si="693"/>
        <v/>
      </c>
      <c r="AE2424" s="10"/>
    </row>
    <row r="2425" spans="1:31" x14ac:dyDescent="0.25">
      <c r="A2425" s="14" t="s">
        <v>109</v>
      </c>
      <c r="C2425" s="61" t="str">
        <f t="shared" si="691"/>
        <v>C100129</v>
      </c>
      <c r="F2425" s="8" t="str">
        <f>"S200028"</f>
        <v>S200028</v>
      </c>
      <c r="G2425" s="9" t="str">
        <f>"10.75"" Column Football Trophy"</f>
        <v>10.75" Column Football Trophy</v>
      </c>
      <c r="H2425" s="47"/>
      <c r="I2425" s="47"/>
      <c r="J2425" s="23">
        <v>352.8</v>
      </c>
      <c r="K2425" s="25">
        <v>24</v>
      </c>
      <c r="L2425" s="24">
        <v>258</v>
      </c>
      <c r="M2425" s="24">
        <f>J2425-L2425</f>
        <v>94.800000000000011</v>
      </c>
      <c r="N2425" s="53">
        <f>IF(J2425&lt;&gt;0,M2425/J2425,"")</f>
        <v>0.2687074829931973</v>
      </c>
      <c r="O2425" s="23">
        <v>0</v>
      </c>
      <c r="P2425" s="25">
        <v>0</v>
      </c>
      <c r="Q2425" s="24">
        <v>0</v>
      </c>
      <c r="R2425" s="24">
        <f>O2425-Q2425</f>
        <v>0</v>
      </c>
      <c r="S2425" s="53" t="str">
        <f>IF(O2425&lt;&gt;0,R2425/O2425,"")</f>
        <v/>
      </c>
      <c r="T2425" s="10"/>
      <c r="U2425" s="23">
        <v>0</v>
      </c>
      <c r="V2425" s="25">
        <v>0</v>
      </c>
      <c r="W2425" s="24">
        <v>0</v>
      </c>
      <c r="X2425" s="24">
        <f>U2425-W2425</f>
        <v>0</v>
      </c>
      <c r="Y2425" s="53" t="str">
        <f>IF(U2425&lt;&gt;0,X2425/U2425,"")</f>
        <v/>
      </c>
      <c r="Z2425" s="23">
        <v>0</v>
      </c>
      <c r="AA2425" s="25">
        <v>0</v>
      </c>
      <c r="AB2425" s="24">
        <v>0</v>
      </c>
      <c r="AC2425" s="24">
        <f t="shared" si="692"/>
        <v>0</v>
      </c>
      <c r="AD2425" s="53" t="str">
        <f t="shared" si="693"/>
        <v/>
      </c>
      <c r="AE2425" s="10"/>
    </row>
    <row r="2426" spans="1:31" ht="15.75" thickBot="1" x14ac:dyDescent="0.3">
      <c r="A2426" s="14" t="s">
        <v>109</v>
      </c>
      <c r="C2426" s="61" t="str">
        <f>C2409</f>
        <v>C100129</v>
      </c>
      <c r="J2426" s="10"/>
      <c r="K2426" s="11"/>
      <c r="L2426" s="11"/>
      <c r="M2426" s="11"/>
      <c r="N2426" s="12"/>
      <c r="O2426" s="10"/>
      <c r="P2426" s="11"/>
      <c r="Q2426" s="11"/>
      <c r="R2426" s="11"/>
      <c r="S2426" s="12"/>
      <c r="U2426" s="10"/>
      <c r="V2426" s="11"/>
      <c r="W2426" s="11"/>
      <c r="X2426" s="11"/>
      <c r="Y2426" s="12"/>
      <c r="Z2426" s="10"/>
      <c r="AA2426" s="11"/>
      <c r="AB2426" s="11"/>
      <c r="AC2426" s="11"/>
      <c r="AD2426" s="12"/>
    </row>
    <row r="2427" spans="1:31" ht="15.75" thickBot="1" x14ac:dyDescent="0.3">
      <c r="A2427" s="14" t="s">
        <v>109</v>
      </c>
      <c r="C2427" s="61" t="str">
        <f t="shared" si="688"/>
        <v>C100129</v>
      </c>
      <c r="G2427" s="48" t="str">
        <f>C2427&amp;" TOTAL:"</f>
        <v>C100129 TOTAL:</v>
      </c>
      <c r="H2427" s="50"/>
      <c r="I2427" s="50"/>
      <c r="J2427" s="34">
        <f>SUBTOTAL(9,J2408:J2426)</f>
        <v>10860.2</v>
      </c>
      <c r="K2427" s="35">
        <f>SUBTOTAL(9,K2408:K2426)</f>
        <v>1923</v>
      </c>
      <c r="L2427" s="36">
        <f>SUBTOTAL(9,L2408:L2426)</f>
        <v>7701.6399999999994</v>
      </c>
      <c r="M2427" s="36">
        <f>J2427-L2427</f>
        <v>3158.5600000000013</v>
      </c>
      <c r="N2427" s="37">
        <f>IF(J2427&lt;&gt;0,M2427/J2427,"")</f>
        <v>0.29083810611222638</v>
      </c>
      <c r="O2427" s="34">
        <f>SUBTOTAL(9,O2408:O2426)</f>
        <v>0</v>
      </c>
      <c r="P2427" s="35">
        <f>SUBTOTAL(9,P2408:P2426)</f>
        <v>0</v>
      </c>
      <c r="Q2427" s="36">
        <f>SUBTOTAL(9,Q2408:Q2426)</f>
        <v>0</v>
      </c>
      <c r="R2427" s="36">
        <f>O2427-Q2427</f>
        <v>0</v>
      </c>
      <c r="S2427" s="37" t="str">
        <f>IF(O2427&lt;&gt;0,R2427/O2427,"")</f>
        <v/>
      </c>
      <c r="U2427" s="34">
        <f>SUBTOTAL(9,U2408:U2426)</f>
        <v>3551.62</v>
      </c>
      <c r="V2427" s="35">
        <f>SUBTOTAL(9,V2408:V2426)</f>
        <v>1021</v>
      </c>
      <c r="W2427" s="36">
        <f>SUBTOTAL(9,W2408:W2426)</f>
        <v>1815.63</v>
      </c>
      <c r="X2427" s="36">
        <f>U2427-W2427</f>
        <v>1735.9899999999998</v>
      </c>
      <c r="Y2427" s="37">
        <f>IF(U2427&lt;&gt;0,X2427/U2427,"")</f>
        <v>0.48878821495542873</v>
      </c>
      <c r="Z2427" s="34">
        <f>SUBTOTAL(9,Z2408:Z2426)</f>
        <v>0</v>
      </c>
      <c r="AA2427" s="35">
        <f>SUBTOTAL(9,AA2408:AA2426)</f>
        <v>0</v>
      </c>
      <c r="AB2427" s="36">
        <f>SUBTOTAL(9,AB2408:AB2426)</f>
        <v>0</v>
      </c>
      <c r="AC2427" s="36">
        <f t="shared" ref="AC2427" si="694">Z2427-AB2427</f>
        <v>0</v>
      </c>
      <c r="AD2427" s="37" t="str">
        <f t="shared" ref="AD2427" si="695">IF(Z2427&lt;&gt;0,AC2427/Z2427,"")</f>
        <v/>
      </c>
    </row>
    <row r="2428" spans="1:31" x14ac:dyDescent="0.25">
      <c r="A2428" s="14" t="s">
        <v>109</v>
      </c>
      <c r="C2428" s="66"/>
      <c r="J2428" s="10"/>
      <c r="K2428" s="11"/>
      <c r="L2428" s="11"/>
      <c r="M2428" s="11"/>
      <c r="N2428" s="12"/>
      <c r="O2428" s="10"/>
      <c r="P2428" s="11"/>
      <c r="Q2428" s="11"/>
      <c r="R2428" s="11"/>
      <c r="S2428" s="12"/>
      <c r="U2428" s="10"/>
      <c r="V2428" s="11"/>
      <c r="W2428" s="11"/>
      <c r="X2428" s="11"/>
      <c r="Y2428" s="12"/>
      <c r="Z2428" s="10"/>
      <c r="AA2428" s="11"/>
      <c r="AB2428" s="11"/>
      <c r="AC2428" s="11"/>
      <c r="AD2428" s="12"/>
    </row>
    <row r="2429" spans="1:31" ht="15.75" x14ac:dyDescent="0.25">
      <c r="A2429" s="14" t="s">
        <v>109</v>
      </c>
      <c r="C2429" s="66" t="str">
        <f t="shared" ref="C2429" si="696">E2429</f>
        <v>C100130</v>
      </c>
      <c r="E2429" s="13" t="str">
        <f>"C100130"</f>
        <v>C100130</v>
      </c>
      <c r="F2429" s="13"/>
      <c r="G2429" s="13" t="str">
        <f>"Hotspot Systems"</f>
        <v>Hotspot Systems</v>
      </c>
      <c r="H2429" s="13"/>
      <c r="I2429" s="13"/>
      <c r="J2429" s="10"/>
      <c r="K2429" s="11"/>
      <c r="L2429" s="11"/>
      <c r="M2429" s="11"/>
      <c r="N2429" s="12"/>
      <c r="O2429" s="10"/>
      <c r="P2429" s="11"/>
      <c r="Q2429" s="11"/>
      <c r="R2429" s="11"/>
      <c r="S2429" s="12"/>
      <c r="U2429" s="10"/>
      <c r="V2429" s="11"/>
      <c r="W2429" s="11"/>
      <c r="X2429" s="11"/>
      <c r="Y2429" s="12"/>
      <c r="Z2429" s="10"/>
      <c r="AA2429" s="11"/>
      <c r="AB2429" s="11"/>
      <c r="AC2429" s="11"/>
      <c r="AD2429" s="12"/>
    </row>
    <row r="2430" spans="1:31" ht="6.6" customHeight="1" x14ac:dyDescent="0.25">
      <c r="A2430" s="14" t="s">
        <v>109</v>
      </c>
      <c r="C2430" s="61" t="str">
        <f t="shared" ref="C2430:C2464" si="697">C2429</f>
        <v>C100130</v>
      </c>
      <c r="J2430" s="10"/>
      <c r="K2430" s="11"/>
      <c r="L2430" s="11"/>
      <c r="M2430" s="11"/>
      <c r="N2430" s="12"/>
      <c r="O2430" s="10"/>
      <c r="P2430" s="11"/>
      <c r="Q2430" s="11"/>
      <c r="R2430" s="11"/>
      <c r="S2430" s="12"/>
      <c r="U2430" s="10"/>
      <c r="V2430" s="11"/>
      <c r="W2430" s="11"/>
      <c r="X2430" s="11"/>
      <c r="Y2430" s="12"/>
      <c r="Z2430" s="10"/>
      <c r="AA2430" s="11"/>
      <c r="AB2430" s="11"/>
      <c r="AC2430" s="11"/>
      <c r="AD2430" s="12"/>
    </row>
    <row r="2431" spans="1:31" x14ac:dyDescent="0.25">
      <c r="A2431" s="14" t="s">
        <v>109</v>
      </c>
      <c r="C2431" s="61" t="str">
        <f t="shared" si="697"/>
        <v>C100130</v>
      </c>
      <c r="F2431" s="8" t="str">
        <f>"C100003"</f>
        <v>C100003</v>
      </c>
      <c r="G2431" s="9" t="str">
        <f>"Cherry Finish Frame"</f>
        <v>Cherry Finish Frame</v>
      </c>
      <c r="H2431" s="47"/>
      <c r="I2431" s="47"/>
      <c r="J2431" s="23">
        <v>733.21</v>
      </c>
      <c r="K2431" s="25">
        <v>12</v>
      </c>
      <c r="L2431" s="24">
        <v>391.68</v>
      </c>
      <c r="M2431" s="24">
        <f>J2431-L2431</f>
        <v>341.53000000000003</v>
      </c>
      <c r="N2431" s="53">
        <f>IF(J2431&lt;&gt;0,M2431/J2431,"")</f>
        <v>0.46580106654300951</v>
      </c>
      <c r="O2431" s="23">
        <v>0</v>
      </c>
      <c r="P2431" s="25">
        <v>0</v>
      </c>
      <c r="Q2431" s="24">
        <v>0</v>
      </c>
      <c r="R2431" s="24">
        <f>O2431-Q2431</f>
        <v>0</v>
      </c>
      <c r="S2431" s="53" t="str">
        <f>IF(O2431&lt;&gt;0,R2431/O2431,"")</f>
        <v/>
      </c>
      <c r="T2431" s="10"/>
      <c r="U2431" s="23">
        <v>0</v>
      </c>
      <c r="V2431" s="25">
        <v>0</v>
      </c>
      <c r="W2431" s="24">
        <v>0</v>
      </c>
      <c r="X2431" s="24">
        <f>U2431-W2431</f>
        <v>0</v>
      </c>
      <c r="Y2431" s="53" t="str">
        <f>IF(U2431&lt;&gt;0,X2431/U2431,"")</f>
        <v/>
      </c>
      <c r="Z2431" s="23">
        <v>9580.64</v>
      </c>
      <c r="AA2431" s="25">
        <v>144</v>
      </c>
      <c r="AB2431" s="24">
        <v>4700.1499999999996</v>
      </c>
      <c r="AC2431" s="24">
        <f t="shared" ref="AC2431" si="698">Z2431-AB2431</f>
        <v>4880.49</v>
      </c>
      <c r="AD2431" s="53">
        <f t="shared" ref="AD2431" si="699">IF(Z2431&lt;&gt;0,AC2431/Z2431,"")</f>
        <v>0.5094116885719534</v>
      </c>
      <c r="AE2431" s="10"/>
    </row>
    <row r="2432" spans="1:31" x14ac:dyDescent="0.25">
      <c r="A2432" s="14" t="s">
        <v>109</v>
      </c>
      <c r="C2432" s="61" t="str">
        <f t="shared" ref="C2432:C2462" si="700">C2431</f>
        <v>C100130</v>
      </c>
      <c r="F2432" s="8" t="str">
        <f>"C100005"</f>
        <v>C100005</v>
      </c>
      <c r="G2432" s="9" t="str">
        <f>"Cherry Finished Crystal Award"</f>
        <v>Cherry Finished Crystal Award</v>
      </c>
      <c r="H2432" s="47"/>
      <c r="I2432" s="47"/>
      <c r="J2432" s="23">
        <v>6005.6600000000008</v>
      </c>
      <c r="K2432" s="25">
        <v>48</v>
      </c>
      <c r="L2432" s="24">
        <v>3404.64</v>
      </c>
      <c r="M2432" s="24">
        <f>J2432-L2432</f>
        <v>2601.0200000000009</v>
      </c>
      <c r="N2432" s="53">
        <f>IF(J2432&lt;&gt;0,M2432/J2432,"")</f>
        <v>0.43309478059030992</v>
      </c>
      <c r="O2432" s="23">
        <v>0</v>
      </c>
      <c r="P2432" s="25">
        <v>0</v>
      </c>
      <c r="Q2432" s="24">
        <v>0</v>
      </c>
      <c r="R2432" s="24">
        <f>O2432-Q2432</f>
        <v>0</v>
      </c>
      <c r="S2432" s="53" t="str">
        <f>IF(O2432&lt;&gt;0,R2432/O2432,"")</f>
        <v/>
      </c>
      <c r="T2432" s="10"/>
      <c r="U2432" s="23">
        <v>0</v>
      </c>
      <c r="V2432" s="25">
        <v>0</v>
      </c>
      <c r="W2432" s="24">
        <v>0</v>
      </c>
      <c r="X2432" s="24">
        <f>U2432-W2432</f>
        <v>0</v>
      </c>
      <c r="Y2432" s="53" t="str">
        <f>IF(U2432&lt;&gt;0,X2432/U2432,"")</f>
        <v/>
      </c>
      <c r="Z2432" s="23">
        <v>0</v>
      </c>
      <c r="AA2432" s="25">
        <v>0</v>
      </c>
      <c r="AB2432" s="24">
        <v>0</v>
      </c>
      <c r="AC2432" s="24">
        <f t="shared" ref="AC2432:AC2462" si="701">Z2432-AB2432</f>
        <v>0</v>
      </c>
      <c r="AD2432" s="53" t="str">
        <f t="shared" ref="AD2432:AD2462" si="702">IF(Z2432&lt;&gt;0,AC2432/Z2432,"")</f>
        <v/>
      </c>
      <c r="AE2432" s="10"/>
    </row>
    <row r="2433" spans="1:31" x14ac:dyDescent="0.25">
      <c r="A2433" s="14" t="s">
        <v>109</v>
      </c>
      <c r="C2433" s="61" t="str">
        <f t="shared" si="700"/>
        <v>C100130</v>
      </c>
      <c r="F2433" s="8" t="str">
        <f>"C100006"</f>
        <v>C100006</v>
      </c>
      <c r="G2433" s="9" t="str">
        <f>"Cherry Finished Crystal Award- Large"</f>
        <v>Cherry Finished Crystal Award- Large</v>
      </c>
      <c r="H2433" s="47"/>
      <c r="I2433" s="47"/>
      <c r="J2433" s="23">
        <v>19069.009999999998</v>
      </c>
      <c r="K2433" s="25">
        <v>96</v>
      </c>
      <c r="L2433" s="24">
        <v>9123.85</v>
      </c>
      <c r="M2433" s="24">
        <f>J2433-L2433</f>
        <v>9945.159999999998</v>
      </c>
      <c r="N2433" s="53">
        <f>IF(J2433&lt;&gt;0,M2433/J2433,"")</f>
        <v>0.5215352029287309</v>
      </c>
      <c r="O2433" s="23">
        <v>0</v>
      </c>
      <c r="P2433" s="25">
        <v>0</v>
      </c>
      <c r="Q2433" s="24">
        <v>0</v>
      </c>
      <c r="R2433" s="24">
        <f>O2433-Q2433</f>
        <v>0</v>
      </c>
      <c r="S2433" s="53" t="str">
        <f>IF(O2433&lt;&gt;0,R2433/O2433,"")</f>
        <v/>
      </c>
      <c r="T2433" s="10"/>
      <c r="U2433" s="23">
        <v>0</v>
      </c>
      <c r="V2433" s="25">
        <v>0</v>
      </c>
      <c r="W2433" s="24">
        <v>0</v>
      </c>
      <c r="X2433" s="24">
        <f>U2433-W2433</f>
        <v>0</v>
      </c>
      <c r="Y2433" s="53" t="str">
        <f>IF(U2433&lt;&gt;0,X2433/U2433,"")</f>
        <v/>
      </c>
      <c r="Z2433" s="23">
        <v>0</v>
      </c>
      <c r="AA2433" s="25">
        <v>0</v>
      </c>
      <c r="AB2433" s="24">
        <v>0</v>
      </c>
      <c r="AC2433" s="24">
        <f t="shared" si="701"/>
        <v>0</v>
      </c>
      <c r="AD2433" s="53" t="str">
        <f t="shared" si="702"/>
        <v/>
      </c>
      <c r="AE2433" s="10"/>
    </row>
    <row r="2434" spans="1:31" x14ac:dyDescent="0.25">
      <c r="A2434" s="14" t="s">
        <v>109</v>
      </c>
      <c r="C2434" s="61" t="str">
        <f t="shared" si="700"/>
        <v>C100130</v>
      </c>
      <c r="F2434" s="8" t="str">
        <f>"C100017"</f>
        <v>C100017</v>
      </c>
      <c r="G2434" s="9" t="str">
        <f>"Wheeled Duffel"</f>
        <v>Wheeled Duffel</v>
      </c>
      <c r="H2434" s="47"/>
      <c r="I2434" s="47"/>
      <c r="J2434" s="23">
        <v>183.66</v>
      </c>
      <c r="K2434" s="25">
        <v>1</v>
      </c>
      <c r="L2434" s="24">
        <v>101.22</v>
      </c>
      <c r="M2434" s="24">
        <f>J2434-L2434</f>
        <v>82.44</v>
      </c>
      <c r="N2434" s="53">
        <f>IF(J2434&lt;&gt;0,M2434/J2434,"")</f>
        <v>0.44887291734727214</v>
      </c>
      <c r="O2434" s="23">
        <v>9094.24</v>
      </c>
      <c r="P2434" s="25">
        <v>48</v>
      </c>
      <c r="Q2434" s="24">
        <v>4858.5600000000004</v>
      </c>
      <c r="R2434" s="24">
        <f>O2434-Q2434</f>
        <v>4235.6799999999994</v>
      </c>
      <c r="S2434" s="53">
        <f>IF(O2434&lt;&gt;0,R2434/O2434,"")</f>
        <v>0.46575414768028989</v>
      </c>
      <c r="T2434" s="10"/>
      <c r="U2434" s="23">
        <v>0</v>
      </c>
      <c r="V2434" s="25">
        <v>0</v>
      </c>
      <c r="W2434" s="24">
        <v>0</v>
      </c>
      <c r="X2434" s="24">
        <f>U2434-W2434</f>
        <v>0</v>
      </c>
      <c r="Y2434" s="53" t="str">
        <f>IF(U2434&lt;&gt;0,X2434/U2434,"")</f>
        <v/>
      </c>
      <c r="Z2434" s="23">
        <v>8815.85</v>
      </c>
      <c r="AA2434" s="25">
        <v>48</v>
      </c>
      <c r="AB2434" s="24">
        <v>4858.5600000000004</v>
      </c>
      <c r="AC2434" s="24">
        <f t="shared" si="701"/>
        <v>3957.29</v>
      </c>
      <c r="AD2434" s="53">
        <f t="shared" si="702"/>
        <v>0.44888354497864641</v>
      </c>
      <c r="AE2434" s="10"/>
    </row>
    <row r="2435" spans="1:31" x14ac:dyDescent="0.25">
      <c r="A2435" s="14" t="s">
        <v>109</v>
      </c>
      <c r="C2435" s="61" t="str">
        <f t="shared" si="700"/>
        <v>C100130</v>
      </c>
      <c r="F2435" s="8" t="str">
        <f>"C100020"</f>
        <v>C100020</v>
      </c>
      <c r="G2435" s="9" t="str">
        <f>"Gym Locker Bag"</f>
        <v>Gym Locker Bag</v>
      </c>
      <c r="H2435" s="47"/>
      <c r="I2435" s="47"/>
      <c r="J2435" s="23">
        <v>0</v>
      </c>
      <c r="K2435" s="25">
        <v>0</v>
      </c>
      <c r="L2435" s="24">
        <v>0</v>
      </c>
      <c r="M2435" s="24">
        <f>J2435-L2435</f>
        <v>0</v>
      </c>
      <c r="N2435" s="53" t="str">
        <f>IF(J2435&lt;&gt;0,M2435/J2435,"")</f>
        <v/>
      </c>
      <c r="O2435" s="23">
        <v>3909.0200000000004</v>
      </c>
      <c r="P2435" s="25">
        <v>288</v>
      </c>
      <c r="Q2435" s="24">
        <v>2229.11</v>
      </c>
      <c r="R2435" s="24">
        <f>O2435-Q2435</f>
        <v>1679.9100000000003</v>
      </c>
      <c r="S2435" s="53">
        <f>IF(O2435&lt;&gt;0,R2435/O2435,"")</f>
        <v>0.42975221410993042</v>
      </c>
      <c r="T2435" s="10"/>
      <c r="U2435" s="23">
        <v>0</v>
      </c>
      <c r="V2435" s="25">
        <v>0</v>
      </c>
      <c r="W2435" s="24">
        <v>0</v>
      </c>
      <c r="X2435" s="24">
        <f>U2435-W2435</f>
        <v>0</v>
      </c>
      <c r="Y2435" s="53" t="str">
        <f>IF(U2435&lt;&gt;0,X2435/U2435,"")</f>
        <v/>
      </c>
      <c r="Z2435" s="23">
        <v>78.11</v>
      </c>
      <c r="AA2435" s="25">
        <v>6</v>
      </c>
      <c r="AB2435" s="24">
        <v>46.44</v>
      </c>
      <c r="AC2435" s="24">
        <f t="shared" si="701"/>
        <v>31.67</v>
      </c>
      <c r="AD2435" s="53">
        <f t="shared" si="702"/>
        <v>0.40545384713865062</v>
      </c>
      <c r="AE2435" s="10"/>
    </row>
    <row r="2436" spans="1:31" x14ac:dyDescent="0.25">
      <c r="A2436" s="14" t="s">
        <v>109</v>
      </c>
      <c r="C2436" s="61" t="str">
        <f t="shared" si="700"/>
        <v>C100130</v>
      </c>
      <c r="F2436" s="8" t="str">
        <f>"C100022"</f>
        <v>C100022</v>
      </c>
      <c r="G2436" s="9" t="str">
        <f>"Two-Toned Cap"</f>
        <v>Two-Toned Cap</v>
      </c>
      <c r="H2436" s="47"/>
      <c r="I2436" s="47"/>
      <c r="J2436" s="23">
        <v>967.68</v>
      </c>
      <c r="K2436" s="25">
        <v>336</v>
      </c>
      <c r="L2436" s="24">
        <v>540.94000000000005</v>
      </c>
      <c r="M2436" s="24">
        <f>J2436-L2436</f>
        <v>426.7399999999999</v>
      </c>
      <c r="N2436" s="53">
        <f>IF(J2436&lt;&gt;0,M2436/J2436,"")</f>
        <v>0.44099289021164012</v>
      </c>
      <c r="O2436" s="23">
        <v>451.58000000000004</v>
      </c>
      <c r="P2436" s="25">
        <v>144</v>
      </c>
      <c r="Q2436" s="24">
        <v>231.82999999999998</v>
      </c>
      <c r="R2436" s="24">
        <f>O2436-Q2436</f>
        <v>219.75000000000006</v>
      </c>
      <c r="S2436" s="53">
        <f>IF(O2436&lt;&gt;0,R2436/O2436,"")</f>
        <v>0.4866247398024714</v>
      </c>
      <c r="T2436" s="10"/>
      <c r="U2436" s="23">
        <v>410.11</v>
      </c>
      <c r="V2436" s="25">
        <v>144</v>
      </c>
      <c r="W2436" s="24">
        <v>231.82999999999998</v>
      </c>
      <c r="X2436" s="24">
        <f>U2436-W2436</f>
        <v>178.28000000000003</v>
      </c>
      <c r="Y2436" s="53">
        <f>IF(U2436&lt;&gt;0,X2436/U2436,"")</f>
        <v>0.43471263807271227</v>
      </c>
      <c r="Z2436" s="23">
        <v>459.71000000000004</v>
      </c>
      <c r="AA2436" s="25">
        <v>151</v>
      </c>
      <c r="AB2436" s="24">
        <v>243.1</v>
      </c>
      <c r="AC2436" s="24">
        <f t="shared" si="701"/>
        <v>216.61000000000004</v>
      </c>
      <c r="AD2436" s="53">
        <f t="shared" si="702"/>
        <v>0.47118835787779256</v>
      </c>
      <c r="AE2436" s="10"/>
    </row>
    <row r="2437" spans="1:31" x14ac:dyDescent="0.25">
      <c r="A2437" s="14" t="s">
        <v>109</v>
      </c>
      <c r="C2437" s="61" t="str">
        <f t="shared" si="700"/>
        <v>C100130</v>
      </c>
      <c r="F2437" s="8" t="str">
        <f>"C100023"</f>
        <v>C100023</v>
      </c>
      <c r="G2437" s="9" t="str">
        <f>"Two-Toned Knit Hat"</f>
        <v>Two-Toned Knit Hat</v>
      </c>
      <c r="H2437" s="47"/>
      <c r="I2437" s="47"/>
      <c r="J2437" s="23">
        <v>115.78</v>
      </c>
      <c r="K2437" s="25">
        <v>48</v>
      </c>
      <c r="L2437" s="24">
        <v>60.48</v>
      </c>
      <c r="M2437" s="24">
        <f>J2437-L2437</f>
        <v>55.300000000000004</v>
      </c>
      <c r="N2437" s="53">
        <f>IF(J2437&lt;&gt;0,M2437/J2437,"")</f>
        <v>0.47762998790810163</v>
      </c>
      <c r="O2437" s="23">
        <v>378.2</v>
      </c>
      <c r="P2437" s="25">
        <v>144</v>
      </c>
      <c r="Q2437" s="24">
        <v>181.43</v>
      </c>
      <c r="R2437" s="24">
        <f>O2437-Q2437</f>
        <v>196.76999999999998</v>
      </c>
      <c r="S2437" s="53">
        <f>IF(O2437&lt;&gt;0,R2437/O2437,"")</f>
        <v>0.52028027498677942</v>
      </c>
      <c r="T2437" s="10"/>
      <c r="U2437" s="23">
        <v>0</v>
      </c>
      <c r="V2437" s="25">
        <v>0</v>
      </c>
      <c r="W2437" s="24">
        <v>0</v>
      </c>
      <c r="X2437" s="24">
        <f>U2437-W2437</f>
        <v>0</v>
      </c>
      <c r="Y2437" s="53" t="str">
        <f>IF(U2437&lt;&gt;0,X2437/U2437,"")</f>
        <v/>
      </c>
      <c r="Z2437" s="23">
        <v>362.76</v>
      </c>
      <c r="AA2437" s="25">
        <v>144</v>
      </c>
      <c r="AB2437" s="24">
        <v>181.43</v>
      </c>
      <c r="AC2437" s="24">
        <f t="shared" si="701"/>
        <v>181.32999999999998</v>
      </c>
      <c r="AD2437" s="53">
        <f t="shared" si="702"/>
        <v>0.49986216782445692</v>
      </c>
      <c r="AE2437" s="10"/>
    </row>
    <row r="2438" spans="1:31" x14ac:dyDescent="0.25">
      <c r="A2438" s="14" t="s">
        <v>109</v>
      </c>
      <c r="C2438" s="61" t="str">
        <f t="shared" si="700"/>
        <v>C100130</v>
      </c>
      <c r="F2438" s="8" t="str">
        <f>"C100025"</f>
        <v>C100025</v>
      </c>
      <c r="G2438" s="9" t="str">
        <f>"Striped Knit Hat"</f>
        <v>Striped Knit Hat</v>
      </c>
      <c r="H2438" s="47"/>
      <c r="I2438" s="47"/>
      <c r="J2438" s="23">
        <v>0</v>
      </c>
      <c r="K2438" s="25">
        <v>0</v>
      </c>
      <c r="L2438" s="24">
        <v>0</v>
      </c>
      <c r="M2438" s="24">
        <f>J2438-L2438</f>
        <v>0</v>
      </c>
      <c r="N2438" s="53" t="str">
        <f>IF(J2438&lt;&gt;0,M2438/J2438,"")</f>
        <v/>
      </c>
      <c r="O2438" s="23">
        <v>140.18</v>
      </c>
      <c r="P2438" s="25">
        <v>48</v>
      </c>
      <c r="Q2438" s="24">
        <v>66.239999999999995</v>
      </c>
      <c r="R2438" s="24">
        <f>O2438-Q2438</f>
        <v>73.940000000000012</v>
      </c>
      <c r="S2438" s="53">
        <f>IF(O2438&lt;&gt;0,R2438/O2438,"")</f>
        <v>0.52746468825795412</v>
      </c>
      <c r="T2438" s="10"/>
      <c r="U2438" s="23">
        <v>0</v>
      </c>
      <c r="V2438" s="25">
        <v>0</v>
      </c>
      <c r="W2438" s="24">
        <v>0</v>
      </c>
      <c r="X2438" s="24">
        <f>U2438-W2438</f>
        <v>0</v>
      </c>
      <c r="Y2438" s="53" t="str">
        <f>IF(U2438&lt;&gt;0,X2438/U2438,"")</f>
        <v/>
      </c>
      <c r="Z2438" s="23">
        <v>420.54</v>
      </c>
      <c r="AA2438" s="25">
        <v>144</v>
      </c>
      <c r="AB2438" s="24">
        <v>198.72</v>
      </c>
      <c r="AC2438" s="24">
        <f t="shared" si="701"/>
        <v>221.82000000000002</v>
      </c>
      <c r="AD2438" s="53">
        <f t="shared" si="702"/>
        <v>0.52746468825795412</v>
      </c>
      <c r="AE2438" s="10"/>
    </row>
    <row r="2439" spans="1:31" x14ac:dyDescent="0.25">
      <c r="A2439" s="14" t="s">
        <v>109</v>
      </c>
      <c r="C2439" s="61" t="str">
        <f t="shared" si="700"/>
        <v>C100130</v>
      </c>
      <c r="F2439" s="8" t="str">
        <f>"C100026"</f>
        <v>C100026</v>
      </c>
      <c r="G2439" s="9" t="str">
        <f>"Fleece Beanie"</f>
        <v>Fleece Beanie</v>
      </c>
      <c r="H2439" s="47"/>
      <c r="I2439" s="47"/>
      <c r="J2439" s="23">
        <v>404.35</v>
      </c>
      <c r="K2439" s="25">
        <v>144</v>
      </c>
      <c r="L2439" s="24">
        <v>287.99</v>
      </c>
      <c r="M2439" s="24">
        <f>J2439-L2439</f>
        <v>116.36000000000001</v>
      </c>
      <c r="N2439" s="53">
        <f>IF(J2439&lt;&gt;0,M2439/J2439,"")</f>
        <v>0.28777049585754916</v>
      </c>
      <c r="O2439" s="23">
        <v>0</v>
      </c>
      <c r="P2439" s="25">
        <v>0</v>
      </c>
      <c r="Q2439" s="24">
        <v>0</v>
      </c>
      <c r="R2439" s="24">
        <f>O2439-Q2439</f>
        <v>0</v>
      </c>
      <c r="S2439" s="53" t="str">
        <f>IF(O2439&lt;&gt;0,R2439/O2439,"")</f>
        <v/>
      </c>
      <c r="T2439" s="10"/>
      <c r="U2439" s="23">
        <v>0</v>
      </c>
      <c r="V2439" s="25">
        <v>0</v>
      </c>
      <c r="W2439" s="24">
        <v>0</v>
      </c>
      <c r="X2439" s="24">
        <f>U2439-W2439</f>
        <v>0</v>
      </c>
      <c r="Y2439" s="53" t="str">
        <f>IF(U2439&lt;&gt;0,X2439/U2439,"")</f>
        <v/>
      </c>
      <c r="Z2439" s="23">
        <v>422.32</v>
      </c>
      <c r="AA2439" s="25">
        <v>144</v>
      </c>
      <c r="AB2439" s="24">
        <v>287.99</v>
      </c>
      <c r="AC2439" s="24">
        <f t="shared" si="701"/>
        <v>134.32999999999998</v>
      </c>
      <c r="AD2439" s="53">
        <f t="shared" si="702"/>
        <v>0.31807634021594994</v>
      </c>
      <c r="AE2439" s="10"/>
    </row>
    <row r="2440" spans="1:31" x14ac:dyDescent="0.25">
      <c r="A2440" s="14" t="s">
        <v>109</v>
      </c>
      <c r="C2440" s="61" t="str">
        <f t="shared" si="700"/>
        <v>C100130</v>
      </c>
      <c r="F2440" s="8" t="str">
        <f>"C100027"</f>
        <v>C100027</v>
      </c>
      <c r="G2440" s="9" t="str">
        <f>"Pique Visor"</f>
        <v>Pique Visor</v>
      </c>
      <c r="H2440" s="47"/>
      <c r="I2440" s="47"/>
      <c r="J2440" s="23">
        <v>1640.74</v>
      </c>
      <c r="K2440" s="25">
        <v>288</v>
      </c>
      <c r="L2440" s="24">
        <v>898.58</v>
      </c>
      <c r="M2440" s="24">
        <f>J2440-L2440</f>
        <v>742.16</v>
      </c>
      <c r="N2440" s="53">
        <f>IF(J2440&lt;&gt;0,M2440/J2440,"")</f>
        <v>0.45233248412301763</v>
      </c>
      <c r="O2440" s="23">
        <v>0</v>
      </c>
      <c r="P2440" s="25">
        <v>0</v>
      </c>
      <c r="Q2440" s="24">
        <v>0</v>
      </c>
      <c r="R2440" s="24">
        <f>O2440-Q2440</f>
        <v>0</v>
      </c>
      <c r="S2440" s="53" t="str">
        <f>IF(O2440&lt;&gt;0,R2440/O2440,"")</f>
        <v/>
      </c>
      <c r="T2440" s="10"/>
      <c r="U2440" s="23">
        <v>0</v>
      </c>
      <c r="V2440" s="25">
        <v>0</v>
      </c>
      <c r="W2440" s="24">
        <v>0</v>
      </c>
      <c r="X2440" s="24">
        <f>U2440-W2440</f>
        <v>0</v>
      </c>
      <c r="Y2440" s="53" t="str">
        <f>IF(U2440&lt;&gt;0,X2440/U2440,"")</f>
        <v/>
      </c>
      <c r="Z2440" s="23">
        <v>0</v>
      </c>
      <c r="AA2440" s="25">
        <v>0</v>
      </c>
      <c r="AB2440" s="24">
        <v>0</v>
      </c>
      <c r="AC2440" s="24">
        <f t="shared" si="701"/>
        <v>0</v>
      </c>
      <c r="AD2440" s="53" t="str">
        <f t="shared" si="702"/>
        <v/>
      </c>
      <c r="AE2440" s="10"/>
    </row>
    <row r="2441" spans="1:31" x14ac:dyDescent="0.25">
      <c r="A2441" s="14" t="s">
        <v>109</v>
      </c>
      <c r="C2441" s="61" t="str">
        <f t="shared" si="700"/>
        <v>C100130</v>
      </c>
      <c r="F2441" s="8" t="str">
        <f>"C100028"</f>
        <v>C100028</v>
      </c>
      <c r="G2441" s="9" t="str">
        <f>"Twill Visor"</f>
        <v>Twill Visor</v>
      </c>
      <c r="H2441" s="47"/>
      <c r="I2441" s="47"/>
      <c r="J2441" s="23">
        <v>666.85</v>
      </c>
      <c r="K2441" s="25">
        <v>145</v>
      </c>
      <c r="L2441" s="24">
        <v>348.01</v>
      </c>
      <c r="M2441" s="24">
        <f>J2441-L2441</f>
        <v>318.84000000000003</v>
      </c>
      <c r="N2441" s="53">
        <f>IF(J2441&lt;&gt;0,M2441/J2441,"")</f>
        <v>0.47812851465846895</v>
      </c>
      <c r="O2441" s="23">
        <v>0</v>
      </c>
      <c r="P2441" s="25">
        <v>0</v>
      </c>
      <c r="Q2441" s="24">
        <v>0</v>
      </c>
      <c r="R2441" s="24">
        <f>O2441-Q2441</f>
        <v>0</v>
      </c>
      <c r="S2441" s="53" t="str">
        <f>IF(O2441&lt;&gt;0,R2441/O2441,"")</f>
        <v/>
      </c>
      <c r="T2441" s="10"/>
      <c r="U2441" s="23">
        <v>0</v>
      </c>
      <c r="V2441" s="25">
        <v>0</v>
      </c>
      <c r="W2441" s="24">
        <v>0</v>
      </c>
      <c r="X2441" s="24">
        <f>U2441-W2441</f>
        <v>0</v>
      </c>
      <c r="Y2441" s="53" t="str">
        <f>IF(U2441&lt;&gt;0,X2441/U2441,"")</f>
        <v/>
      </c>
      <c r="Z2441" s="23">
        <v>0</v>
      </c>
      <c r="AA2441" s="25">
        <v>0</v>
      </c>
      <c r="AB2441" s="24">
        <v>0</v>
      </c>
      <c r="AC2441" s="24">
        <f t="shared" si="701"/>
        <v>0</v>
      </c>
      <c r="AD2441" s="53" t="str">
        <f t="shared" si="702"/>
        <v/>
      </c>
      <c r="AE2441" s="10"/>
    </row>
    <row r="2442" spans="1:31" x14ac:dyDescent="0.25">
      <c r="A2442" s="14" t="s">
        <v>109</v>
      </c>
      <c r="C2442" s="61" t="str">
        <f t="shared" si="700"/>
        <v>C100130</v>
      </c>
      <c r="F2442" s="8" t="str">
        <f>"C100029"</f>
        <v>C100029</v>
      </c>
      <c r="G2442" s="9" t="str">
        <f>"Distressed Twill Visor"</f>
        <v>Distressed Twill Visor</v>
      </c>
      <c r="H2442" s="47"/>
      <c r="I2442" s="47"/>
      <c r="J2442" s="23">
        <v>0</v>
      </c>
      <c r="K2442" s="25">
        <v>0</v>
      </c>
      <c r="L2442" s="24">
        <v>0</v>
      </c>
      <c r="M2442" s="24">
        <f>J2442-L2442</f>
        <v>0</v>
      </c>
      <c r="N2442" s="53" t="str">
        <f>IF(J2442&lt;&gt;0,M2442/J2442,"")</f>
        <v/>
      </c>
      <c r="O2442" s="23">
        <v>3.35</v>
      </c>
      <c r="P2442" s="25">
        <v>1</v>
      </c>
      <c r="Q2442" s="24">
        <v>2.0699999999999998</v>
      </c>
      <c r="R2442" s="24">
        <f>O2442-Q2442</f>
        <v>1.2800000000000002</v>
      </c>
      <c r="S2442" s="53">
        <f>IF(O2442&lt;&gt;0,R2442/O2442,"")</f>
        <v>0.38208955223880603</v>
      </c>
      <c r="T2442" s="10"/>
      <c r="U2442" s="23">
        <v>0</v>
      </c>
      <c r="V2442" s="25">
        <v>0</v>
      </c>
      <c r="W2442" s="24">
        <v>0</v>
      </c>
      <c r="X2442" s="24">
        <f>U2442-W2442</f>
        <v>0</v>
      </c>
      <c r="Y2442" s="53" t="str">
        <f>IF(U2442&lt;&gt;0,X2442/U2442,"")</f>
        <v/>
      </c>
      <c r="Z2442" s="23">
        <v>0</v>
      </c>
      <c r="AA2442" s="25">
        <v>0</v>
      </c>
      <c r="AB2442" s="24">
        <v>0</v>
      </c>
      <c r="AC2442" s="24">
        <f t="shared" si="701"/>
        <v>0</v>
      </c>
      <c r="AD2442" s="53" t="str">
        <f t="shared" si="702"/>
        <v/>
      </c>
      <c r="AE2442" s="10"/>
    </row>
    <row r="2443" spans="1:31" x14ac:dyDescent="0.25">
      <c r="A2443" s="14" t="s">
        <v>109</v>
      </c>
      <c r="C2443" s="61" t="str">
        <f t="shared" si="700"/>
        <v>C100130</v>
      </c>
      <c r="F2443" s="8" t="str">
        <f>"C100030"</f>
        <v>C100030</v>
      </c>
      <c r="G2443" s="9" t="str">
        <f>"Fashion Visor"</f>
        <v>Fashion Visor</v>
      </c>
      <c r="H2443" s="47"/>
      <c r="I2443" s="47"/>
      <c r="J2443" s="23">
        <v>0</v>
      </c>
      <c r="K2443" s="25">
        <v>0</v>
      </c>
      <c r="L2443" s="24">
        <v>0</v>
      </c>
      <c r="M2443" s="24">
        <f>J2443-L2443</f>
        <v>0</v>
      </c>
      <c r="N2443" s="53" t="str">
        <f>IF(J2443&lt;&gt;0,M2443/J2443,"")</f>
        <v/>
      </c>
      <c r="O2443" s="23">
        <v>618.11</v>
      </c>
      <c r="P2443" s="25">
        <v>144</v>
      </c>
      <c r="Q2443" s="24">
        <v>348.49</v>
      </c>
      <c r="R2443" s="24">
        <f>O2443-Q2443</f>
        <v>269.62</v>
      </c>
      <c r="S2443" s="53">
        <f>IF(O2443&lt;&gt;0,R2443/O2443,"")</f>
        <v>0.4362006762550355</v>
      </c>
      <c r="T2443" s="10"/>
      <c r="U2443" s="23">
        <v>3.9</v>
      </c>
      <c r="V2443" s="25">
        <v>1</v>
      </c>
      <c r="W2443" s="24">
        <v>2.42</v>
      </c>
      <c r="X2443" s="24">
        <f>U2443-W2443</f>
        <v>1.48</v>
      </c>
      <c r="Y2443" s="53">
        <f>IF(U2443&lt;&gt;0,X2443/U2443,"")</f>
        <v>0.37948717948717947</v>
      </c>
      <c r="Z2443" s="23">
        <v>0</v>
      </c>
      <c r="AA2443" s="25">
        <v>0</v>
      </c>
      <c r="AB2443" s="24">
        <v>0</v>
      </c>
      <c r="AC2443" s="24">
        <f t="shared" si="701"/>
        <v>0</v>
      </c>
      <c r="AD2443" s="53" t="str">
        <f t="shared" si="702"/>
        <v/>
      </c>
      <c r="AE2443" s="10"/>
    </row>
    <row r="2444" spans="1:31" x14ac:dyDescent="0.25">
      <c r="A2444" s="14" t="s">
        <v>109</v>
      </c>
      <c r="C2444" s="61" t="str">
        <f t="shared" si="700"/>
        <v>C100130</v>
      </c>
      <c r="F2444" s="8" t="str">
        <f>"E100001"</f>
        <v>E100001</v>
      </c>
      <c r="G2444" s="9" t="str">
        <f>"Sport Bag"</f>
        <v>Sport Bag</v>
      </c>
      <c r="H2444" s="47"/>
      <c r="I2444" s="47"/>
      <c r="J2444" s="23">
        <v>234.57999999999998</v>
      </c>
      <c r="K2444" s="25">
        <v>144</v>
      </c>
      <c r="L2444" s="24">
        <v>125.28</v>
      </c>
      <c r="M2444" s="24">
        <f>J2444-L2444</f>
        <v>109.29999999999998</v>
      </c>
      <c r="N2444" s="53">
        <f>IF(J2444&lt;&gt;0,M2444/J2444,"")</f>
        <v>0.46593912524511888</v>
      </c>
      <c r="O2444" s="23">
        <v>0</v>
      </c>
      <c r="P2444" s="25">
        <v>0</v>
      </c>
      <c r="Q2444" s="24">
        <v>0</v>
      </c>
      <c r="R2444" s="24">
        <f>O2444-Q2444</f>
        <v>0</v>
      </c>
      <c r="S2444" s="53" t="str">
        <f>IF(O2444&lt;&gt;0,R2444/O2444,"")</f>
        <v/>
      </c>
      <c r="T2444" s="10"/>
      <c r="U2444" s="23">
        <v>0</v>
      </c>
      <c r="V2444" s="25">
        <v>0</v>
      </c>
      <c r="W2444" s="24">
        <v>0</v>
      </c>
      <c r="X2444" s="24">
        <f>U2444-W2444</f>
        <v>0</v>
      </c>
      <c r="Y2444" s="53" t="str">
        <f>IF(U2444&lt;&gt;0,X2444/U2444,"")</f>
        <v/>
      </c>
      <c r="Z2444" s="23">
        <v>255.43</v>
      </c>
      <c r="AA2444" s="25">
        <v>144</v>
      </c>
      <c r="AB2444" s="24">
        <v>125.28</v>
      </c>
      <c r="AC2444" s="24">
        <f t="shared" si="701"/>
        <v>130.15</v>
      </c>
      <c r="AD2444" s="53">
        <f t="shared" si="702"/>
        <v>0.50953294444661945</v>
      </c>
      <c r="AE2444" s="10"/>
    </row>
    <row r="2445" spans="1:31" x14ac:dyDescent="0.25">
      <c r="A2445" s="14" t="s">
        <v>109</v>
      </c>
      <c r="C2445" s="61" t="str">
        <f t="shared" si="700"/>
        <v>C100130</v>
      </c>
      <c r="F2445" s="8" t="str">
        <f>"E100011"</f>
        <v>E100011</v>
      </c>
      <c r="G2445" s="9" t="str">
        <f>"Plastic Sun Visor"</f>
        <v>Plastic Sun Visor</v>
      </c>
      <c r="H2445" s="47"/>
      <c r="I2445" s="47"/>
      <c r="J2445" s="23">
        <v>321.49</v>
      </c>
      <c r="K2445" s="25">
        <v>433</v>
      </c>
      <c r="L2445" s="24">
        <v>181.82</v>
      </c>
      <c r="M2445" s="24">
        <f>J2445-L2445</f>
        <v>139.67000000000002</v>
      </c>
      <c r="N2445" s="53">
        <f>IF(J2445&lt;&gt;0,M2445/J2445,"")</f>
        <v>0.43444586145758812</v>
      </c>
      <c r="O2445" s="23">
        <v>0.79</v>
      </c>
      <c r="P2445" s="25">
        <v>1</v>
      </c>
      <c r="Q2445" s="24">
        <v>0.42</v>
      </c>
      <c r="R2445" s="24">
        <f>O2445-Q2445</f>
        <v>0.37000000000000005</v>
      </c>
      <c r="S2445" s="53">
        <f>IF(O2445&lt;&gt;0,R2445/O2445,"")</f>
        <v>0.46835443037974689</v>
      </c>
      <c r="T2445" s="10"/>
      <c r="U2445" s="23">
        <v>0</v>
      </c>
      <c r="V2445" s="25">
        <v>0</v>
      </c>
      <c r="W2445" s="24">
        <v>0</v>
      </c>
      <c r="X2445" s="24">
        <f>U2445-W2445</f>
        <v>0</v>
      </c>
      <c r="Y2445" s="53" t="str">
        <f>IF(U2445&lt;&gt;0,X2445/U2445,"")</f>
        <v/>
      </c>
      <c r="Z2445" s="23">
        <v>0.79</v>
      </c>
      <c r="AA2445" s="25">
        <v>1</v>
      </c>
      <c r="AB2445" s="24">
        <v>0.42</v>
      </c>
      <c r="AC2445" s="24">
        <f t="shared" si="701"/>
        <v>0.37000000000000005</v>
      </c>
      <c r="AD2445" s="53">
        <f t="shared" si="702"/>
        <v>0.46835443037974689</v>
      </c>
      <c r="AE2445" s="10"/>
    </row>
    <row r="2446" spans="1:31" x14ac:dyDescent="0.25">
      <c r="A2446" s="14" t="s">
        <v>109</v>
      </c>
      <c r="C2446" s="61" t="str">
        <f t="shared" si="700"/>
        <v>C100130</v>
      </c>
      <c r="F2446" s="8" t="str">
        <f>"E100014"</f>
        <v>E100014</v>
      </c>
      <c r="G2446" s="9" t="str">
        <f>"Stopwatch with Neck Rope"</f>
        <v>Stopwatch with Neck Rope</v>
      </c>
      <c r="H2446" s="47"/>
      <c r="I2446" s="47"/>
      <c r="J2446" s="23">
        <v>356.40000000000003</v>
      </c>
      <c r="K2446" s="25">
        <v>144</v>
      </c>
      <c r="L2446" s="24">
        <v>185.75</v>
      </c>
      <c r="M2446" s="24">
        <f>J2446-L2446</f>
        <v>170.65000000000003</v>
      </c>
      <c r="N2446" s="53">
        <f>IF(J2446&lt;&gt;0,M2446/J2446,"")</f>
        <v>0.47881593714927051</v>
      </c>
      <c r="O2446" s="23">
        <v>0</v>
      </c>
      <c r="P2446" s="25">
        <v>0</v>
      </c>
      <c r="Q2446" s="24">
        <v>0</v>
      </c>
      <c r="R2446" s="24">
        <f>O2446-Q2446</f>
        <v>0</v>
      </c>
      <c r="S2446" s="53" t="str">
        <f>IF(O2446&lt;&gt;0,R2446/O2446,"")</f>
        <v/>
      </c>
      <c r="T2446" s="10"/>
      <c r="U2446" s="23">
        <v>0</v>
      </c>
      <c r="V2446" s="25">
        <v>0</v>
      </c>
      <c r="W2446" s="24">
        <v>0</v>
      </c>
      <c r="X2446" s="24">
        <f>U2446-W2446</f>
        <v>0</v>
      </c>
      <c r="Y2446" s="53" t="str">
        <f>IF(U2446&lt;&gt;0,X2446/U2446,"")</f>
        <v/>
      </c>
      <c r="Z2446" s="23">
        <v>5.19</v>
      </c>
      <c r="AA2446" s="25">
        <v>2</v>
      </c>
      <c r="AB2446" s="24">
        <v>2.58</v>
      </c>
      <c r="AC2446" s="24">
        <f t="shared" si="701"/>
        <v>2.6100000000000003</v>
      </c>
      <c r="AD2446" s="53">
        <f t="shared" si="702"/>
        <v>0.50289017341040465</v>
      </c>
      <c r="AE2446" s="10"/>
    </row>
    <row r="2447" spans="1:31" x14ac:dyDescent="0.25">
      <c r="A2447" s="14" t="s">
        <v>109</v>
      </c>
      <c r="C2447" s="61" t="str">
        <f t="shared" si="700"/>
        <v>C100130</v>
      </c>
      <c r="F2447" s="8" t="str">
        <f>"E100016"</f>
        <v>E100016</v>
      </c>
      <c r="G2447" s="9" t="str">
        <f>"4 Function Rotating Carabiner Watch"</f>
        <v>4 Function Rotating Carabiner Watch</v>
      </c>
      <c r="H2447" s="47"/>
      <c r="I2447" s="47"/>
      <c r="J2447" s="23">
        <v>396.86999999999995</v>
      </c>
      <c r="K2447" s="25">
        <v>145</v>
      </c>
      <c r="L2447" s="24">
        <v>200.10999999999999</v>
      </c>
      <c r="M2447" s="24">
        <f>J2447-L2447</f>
        <v>196.75999999999996</v>
      </c>
      <c r="N2447" s="53">
        <f>IF(J2447&lt;&gt;0,M2447/J2447,"")</f>
        <v>0.49577947438707887</v>
      </c>
      <c r="O2447" s="23">
        <v>0</v>
      </c>
      <c r="P2447" s="25">
        <v>0</v>
      </c>
      <c r="Q2447" s="24">
        <v>0</v>
      </c>
      <c r="R2447" s="24">
        <f>O2447-Q2447</f>
        <v>0</v>
      </c>
      <c r="S2447" s="53" t="str">
        <f>IF(O2447&lt;&gt;0,R2447/O2447,"")</f>
        <v/>
      </c>
      <c r="T2447" s="10"/>
      <c r="U2447" s="23">
        <v>389.60999999999996</v>
      </c>
      <c r="V2447" s="25">
        <v>144</v>
      </c>
      <c r="W2447" s="24">
        <v>198.73000000000002</v>
      </c>
      <c r="X2447" s="24">
        <f>U2447-W2447</f>
        <v>190.87999999999994</v>
      </c>
      <c r="Y2447" s="53">
        <f>IF(U2447&lt;&gt;0,X2447/U2447,"")</f>
        <v>0.48992582325915651</v>
      </c>
      <c r="Z2447" s="23">
        <v>0</v>
      </c>
      <c r="AA2447" s="25">
        <v>0</v>
      </c>
      <c r="AB2447" s="24">
        <v>0</v>
      </c>
      <c r="AC2447" s="24">
        <f t="shared" si="701"/>
        <v>0</v>
      </c>
      <c r="AD2447" s="53" t="str">
        <f t="shared" si="702"/>
        <v/>
      </c>
      <c r="AE2447" s="10"/>
    </row>
    <row r="2448" spans="1:31" x14ac:dyDescent="0.25">
      <c r="A2448" s="14" t="s">
        <v>109</v>
      </c>
      <c r="C2448" s="61" t="str">
        <f t="shared" si="700"/>
        <v>C100130</v>
      </c>
      <c r="F2448" s="8" t="str">
        <f>"E100017"</f>
        <v>E100017</v>
      </c>
      <c r="G2448" s="9" t="str">
        <f>"Clip-on Clock with Compass"</f>
        <v>Clip-on Clock with Compass</v>
      </c>
      <c r="H2448" s="47"/>
      <c r="I2448" s="47"/>
      <c r="J2448" s="23">
        <v>0</v>
      </c>
      <c r="K2448" s="25">
        <v>0</v>
      </c>
      <c r="L2448" s="24">
        <v>0</v>
      </c>
      <c r="M2448" s="24">
        <f>J2448-L2448</f>
        <v>0</v>
      </c>
      <c r="N2448" s="53" t="str">
        <f>IF(J2448&lt;&gt;0,M2448/J2448,"")</f>
        <v/>
      </c>
      <c r="O2448" s="23">
        <v>220.14999999999998</v>
      </c>
      <c r="P2448" s="25">
        <v>144</v>
      </c>
      <c r="Q2448" s="24">
        <v>126.72</v>
      </c>
      <c r="R2448" s="24">
        <f>O2448-Q2448</f>
        <v>93.429999999999978</v>
      </c>
      <c r="S2448" s="53">
        <f>IF(O2448&lt;&gt;0,R2448/O2448,"")</f>
        <v>0.42439245968657729</v>
      </c>
      <c r="T2448" s="10"/>
      <c r="U2448" s="23">
        <v>0</v>
      </c>
      <c r="V2448" s="25">
        <v>0</v>
      </c>
      <c r="W2448" s="24">
        <v>0</v>
      </c>
      <c r="X2448" s="24">
        <f>U2448-W2448</f>
        <v>0</v>
      </c>
      <c r="Y2448" s="53" t="str">
        <f>IF(U2448&lt;&gt;0,X2448/U2448,"")</f>
        <v/>
      </c>
      <c r="Z2448" s="23">
        <v>424.57000000000005</v>
      </c>
      <c r="AA2448" s="25">
        <v>288</v>
      </c>
      <c r="AB2448" s="24">
        <v>253.44</v>
      </c>
      <c r="AC2448" s="24">
        <f t="shared" si="701"/>
        <v>171.13000000000005</v>
      </c>
      <c r="AD2448" s="53">
        <f t="shared" si="702"/>
        <v>0.40306663212191168</v>
      </c>
      <c r="AE2448" s="10"/>
    </row>
    <row r="2449" spans="1:31" x14ac:dyDescent="0.25">
      <c r="A2449" s="14" t="s">
        <v>109</v>
      </c>
      <c r="C2449" s="61" t="str">
        <f t="shared" si="700"/>
        <v>C100130</v>
      </c>
      <c r="F2449" s="8" t="str">
        <f>"E100018"</f>
        <v>E100018</v>
      </c>
      <c r="G2449" s="9" t="str">
        <f>"Flexi-Clock &amp; Clip"</f>
        <v>Flexi-Clock &amp; Clip</v>
      </c>
      <c r="H2449" s="47"/>
      <c r="I2449" s="47"/>
      <c r="J2449" s="23">
        <v>12.88</v>
      </c>
      <c r="K2449" s="25">
        <v>12</v>
      </c>
      <c r="L2449" s="24">
        <v>7.2</v>
      </c>
      <c r="M2449" s="24">
        <f>J2449-L2449</f>
        <v>5.6800000000000006</v>
      </c>
      <c r="N2449" s="53">
        <f>IF(J2449&lt;&gt;0,M2449/J2449,"")</f>
        <v>0.44099378881987578</v>
      </c>
      <c r="O2449" s="23">
        <v>6.64</v>
      </c>
      <c r="P2449" s="25">
        <v>6</v>
      </c>
      <c r="Q2449" s="24">
        <v>3.6</v>
      </c>
      <c r="R2449" s="24">
        <f>O2449-Q2449</f>
        <v>3.0399999999999996</v>
      </c>
      <c r="S2449" s="53">
        <f>IF(O2449&lt;&gt;0,R2449/O2449,"")</f>
        <v>0.45783132530120479</v>
      </c>
      <c r="T2449" s="10"/>
      <c r="U2449" s="23">
        <v>0</v>
      </c>
      <c r="V2449" s="25">
        <v>0</v>
      </c>
      <c r="W2449" s="24">
        <v>0</v>
      </c>
      <c r="X2449" s="24">
        <f>U2449-W2449</f>
        <v>0</v>
      </c>
      <c r="Y2449" s="53" t="str">
        <f>IF(U2449&lt;&gt;0,X2449/U2449,"")</f>
        <v/>
      </c>
      <c r="Z2449" s="23">
        <v>311.29000000000002</v>
      </c>
      <c r="AA2449" s="25">
        <v>290</v>
      </c>
      <c r="AB2449" s="24">
        <v>173.97</v>
      </c>
      <c r="AC2449" s="24">
        <f t="shared" si="701"/>
        <v>137.32000000000002</v>
      </c>
      <c r="AD2449" s="53">
        <f t="shared" si="702"/>
        <v>0.44113206334928851</v>
      </c>
      <c r="AE2449" s="10"/>
    </row>
    <row r="2450" spans="1:31" x14ac:dyDescent="0.25">
      <c r="A2450" s="14" t="s">
        <v>109</v>
      </c>
      <c r="C2450" s="61" t="str">
        <f t="shared" si="700"/>
        <v>C100130</v>
      </c>
      <c r="F2450" s="8" t="str">
        <f>"S100001"</f>
        <v>S100001</v>
      </c>
      <c r="G2450" s="9" t="str">
        <f>"Basketball Graphic Plaque"</f>
        <v>Basketball Graphic Plaque</v>
      </c>
      <c r="H2450" s="47"/>
      <c r="I2450" s="47"/>
      <c r="J2450" s="23">
        <v>2169.5</v>
      </c>
      <c r="K2450" s="25">
        <v>144</v>
      </c>
      <c r="L2450" s="24">
        <v>1310.4000000000001</v>
      </c>
      <c r="M2450" s="24">
        <f>J2450-L2450</f>
        <v>859.09999999999991</v>
      </c>
      <c r="N2450" s="53">
        <f>IF(J2450&lt;&gt;0,M2450/J2450,"")</f>
        <v>0.39598985941461162</v>
      </c>
      <c r="O2450" s="23">
        <v>0</v>
      </c>
      <c r="P2450" s="25">
        <v>0</v>
      </c>
      <c r="Q2450" s="24">
        <v>0</v>
      </c>
      <c r="R2450" s="24">
        <f>O2450-Q2450</f>
        <v>0</v>
      </c>
      <c r="S2450" s="53" t="str">
        <f>IF(O2450&lt;&gt;0,R2450/O2450,"")</f>
        <v/>
      </c>
      <c r="T2450" s="10"/>
      <c r="U2450" s="23">
        <v>14.9</v>
      </c>
      <c r="V2450" s="25">
        <v>1</v>
      </c>
      <c r="W2450" s="24">
        <v>9.1</v>
      </c>
      <c r="X2450" s="24">
        <f>U2450-W2450</f>
        <v>5.8000000000000007</v>
      </c>
      <c r="Y2450" s="53">
        <f>IF(U2450&lt;&gt;0,X2450/U2450,"")</f>
        <v>0.389261744966443</v>
      </c>
      <c r="Z2450" s="23">
        <v>0</v>
      </c>
      <c r="AA2450" s="25">
        <v>0</v>
      </c>
      <c r="AB2450" s="24">
        <v>0</v>
      </c>
      <c r="AC2450" s="24">
        <f t="shared" si="701"/>
        <v>0</v>
      </c>
      <c r="AD2450" s="53" t="str">
        <f t="shared" si="702"/>
        <v/>
      </c>
      <c r="AE2450" s="10"/>
    </row>
    <row r="2451" spans="1:31" x14ac:dyDescent="0.25">
      <c r="A2451" s="14" t="s">
        <v>109</v>
      </c>
      <c r="C2451" s="61" t="str">
        <f t="shared" si="700"/>
        <v>C100130</v>
      </c>
      <c r="F2451" s="8" t="str">
        <f>"S100003"</f>
        <v>S100003</v>
      </c>
      <c r="G2451" s="9" t="str">
        <f>"Soccer #1 Pin"</f>
        <v>Soccer #1 Pin</v>
      </c>
      <c r="H2451" s="47"/>
      <c r="I2451" s="47"/>
      <c r="J2451" s="23">
        <v>205.2</v>
      </c>
      <c r="K2451" s="25">
        <v>144</v>
      </c>
      <c r="L2451" s="24">
        <v>129.6</v>
      </c>
      <c r="M2451" s="24">
        <f>J2451-L2451</f>
        <v>75.599999999999994</v>
      </c>
      <c r="N2451" s="53">
        <f>IF(J2451&lt;&gt;0,M2451/J2451,"")</f>
        <v>0.36842105263157893</v>
      </c>
      <c r="O2451" s="23">
        <v>1.47</v>
      </c>
      <c r="P2451" s="25">
        <v>1</v>
      </c>
      <c r="Q2451" s="24">
        <v>0.9</v>
      </c>
      <c r="R2451" s="24">
        <f>O2451-Q2451</f>
        <v>0.56999999999999995</v>
      </c>
      <c r="S2451" s="53">
        <f>IF(O2451&lt;&gt;0,R2451/O2451,"")</f>
        <v>0.38775510204081631</v>
      </c>
      <c r="T2451" s="10"/>
      <c r="U2451" s="23">
        <v>192.24</v>
      </c>
      <c r="V2451" s="25">
        <v>144</v>
      </c>
      <c r="W2451" s="24">
        <v>129.6</v>
      </c>
      <c r="X2451" s="24">
        <f>U2451-W2451</f>
        <v>62.640000000000015</v>
      </c>
      <c r="Y2451" s="53">
        <f>IF(U2451&lt;&gt;0,X2451/U2451,"")</f>
        <v>0.32584269662921356</v>
      </c>
      <c r="Z2451" s="23">
        <v>222.29999999999998</v>
      </c>
      <c r="AA2451" s="25">
        <v>156</v>
      </c>
      <c r="AB2451" s="24">
        <v>140.4</v>
      </c>
      <c r="AC2451" s="24">
        <f t="shared" si="701"/>
        <v>81.899999999999977</v>
      </c>
      <c r="AD2451" s="53">
        <f t="shared" si="702"/>
        <v>0.36842105263157887</v>
      </c>
      <c r="AE2451" s="10"/>
    </row>
    <row r="2452" spans="1:31" x14ac:dyDescent="0.25">
      <c r="A2452" s="14" t="s">
        <v>109</v>
      </c>
      <c r="C2452" s="61" t="str">
        <f t="shared" si="700"/>
        <v>C100130</v>
      </c>
      <c r="F2452" s="8" t="str">
        <f>"S100004"</f>
        <v>S100004</v>
      </c>
      <c r="G2452" s="9" t="str">
        <f>"Award Medallian - 2''"</f>
        <v>Award Medallian - 2''</v>
      </c>
      <c r="H2452" s="47"/>
      <c r="I2452" s="47"/>
      <c r="J2452" s="23">
        <v>1832.54</v>
      </c>
      <c r="K2452" s="25">
        <v>144</v>
      </c>
      <c r="L2452" s="24">
        <v>960.48</v>
      </c>
      <c r="M2452" s="24">
        <f>J2452-L2452</f>
        <v>872.06</v>
      </c>
      <c r="N2452" s="53">
        <f>IF(J2452&lt;&gt;0,M2452/J2452,"")</f>
        <v>0.47587501500649371</v>
      </c>
      <c r="O2452" s="23">
        <v>0</v>
      </c>
      <c r="P2452" s="25">
        <v>0</v>
      </c>
      <c r="Q2452" s="24">
        <v>0</v>
      </c>
      <c r="R2452" s="24">
        <f>O2452-Q2452</f>
        <v>0</v>
      </c>
      <c r="S2452" s="53" t="str">
        <f>IF(O2452&lt;&gt;0,R2452/O2452,"")</f>
        <v/>
      </c>
      <c r="T2452" s="10"/>
      <c r="U2452" s="23">
        <v>1812.18</v>
      </c>
      <c r="V2452" s="25">
        <v>144</v>
      </c>
      <c r="W2452" s="24">
        <v>960.48</v>
      </c>
      <c r="X2452" s="24">
        <f>U2452-W2452</f>
        <v>851.7</v>
      </c>
      <c r="Y2452" s="53">
        <f>IF(U2452&lt;&gt;0,X2452/U2452,"")</f>
        <v>0.46998642518955069</v>
      </c>
      <c r="Z2452" s="23">
        <v>0</v>
      </c>
      <c r="AA2452" s="25">
        <v>0</v>
      </c>
      <c r="AB2452" s="24">
        <v>0</v>
      </c>
      <c r="AC2452" s="24">
        <f t="shared" si="701"/>
        <v>0</v>
      </c>
      <c r="AD2452" s="53" t="str">
        <f t="shared" si="702"/>
        <v/>
      </c>
      <c r="AE2452" s="10"/>
    </row>
    <row r="2453" spans="1:31" x14ac:dyDescent="0.25">
      <c r="A2453" s="14" t="s">
        <v>109</v>
      </c>
      <c r="C2453" s="61" t="str">
        <f t="shared" si="700"/>
        <v>C100130</v>
      </c>
      <c r="F2453" s="8" t="str">
        <f>"S100005"</f>
        <v>S100005</v>
      </c>
      <c r="G2453" s="9" t="str">
        <f>"Award Medallian - 2.5''"</f>
        <v>Award Medallian - 2.5''</v>
      </c>
      <c r="H2453" s="47"/>
      <c r="I2453" s="47"/>
      <c r="J2453" s="23">
        <v>0</v>
      </c>
      <c r="K2453" s="25">
        <v>0</v>
      </c>
      <c r="L2453" s="24">
        <v>0</v>
      </c>
      <c r="M2453" s="24">
        <f>J2453-L2453</f>
        <v>0</v>
      </c>
      <c r="N2453" s="53" t="str">
        <f>IF(J2453&lt;&gt;0,M2453/J2453,"")</f>
        <v/>
      </c>
      <c r="O2453" s="23">
        <v>1223.51</v>
      </c>
      <c r="P2453" s="25">
        <v>144</v>
      </c>
      <c r="Q2453" s="24">
        <v>751.69</v>
      </c>
      <c r="R2453" s="24">
        <f>O2453-Q2453</f>
        <v>471.81999999999994</v>
      </c>
      <c r="S2453" s="53">
        <f>IF(O2453&lt;&gt;0,R2453/O2453,"")</f>
        <v>0.38562823352485875</v>
      </c>
      <c r="T2453" s="10"/>
      <c r="U2453" s="23">
        <v>1111.1499999999999</v>
      </c>
      <c r="V2453" s="25">
        <v>144</v>
      </c>
      <c r="W2453" s="24">
        <v>751.69</v>
      </c>
      <c r="X2453" s="24">
        <f>U2453-W2453</f>
        <v>359.45999999999981</v>
      </c>
      <c r="Y2453" s="53">
        <f>IF(U2453&lt;&gt;0,X2453/U2453,"")</f>
        <v>0.32350267740629063</v>
      </c>
      <c r="Z2453" s="23">
        <v>1231.75</v>
      </c>
      <c r="AA2453" s="25">
        <v>145</v>
      </c>
      <c r="AB2453" s="24">
        <v>756.91000000000008</v>
      </c>
      <c r="AC2453" s="24">
        <f t="shared" si="701"/>
        <v>474.83999999999992</v>
      </c>
      <c r="AD2453" s="53">
        <f t="shared" si="702"/>
        <v>0.38550030444489541</v>
      </c>
      <c r="AE2453" s="10"/>
    </row>
    <row r="2454" spans="1:31" x14ac:dyDescent="0.25">
      <c r="A2454" s="14" t="s">
        <v>109</v>
      </c>
      <c r="C2454" s="61" t="str">
        <f t="shared" si="700"/>
        <v>C100130</v>
      </c>
      <c r="F2454" s="8" t="str">
        <f>"S100007"</f>
        <v>S100007</v>
      </c>
      <c r="G2454" s="9" t="str">
        <f>"Baseball Figure Trophy"</f>
        <v>Baseball Figure Trophy</v>
      </c>
      <c r="H2454" s="47"/>
      <c r="I2454" s="47"/>
      <c r="J2454" s="23">
        <v>959.04</v>
      </c>
      <c r="K2454" s="25">
        <v>144</v>
      </c>
      <c r="L2454" s="24">
        <v>529.91999999999996</v>
      </c>
      <c r="M2454" s="24">
        <f>J2454-L2454</f>
        <v>429.12</v>
      </c>
      <c r="N2454" s="53">
        <f>IF(J2454&lt;&gt;0,M2454/J2454,"")</f>
        <v>0.44744744744744747</v>
      </c>
      <c r="O2454" s="23">
        <v>87.02000000000001</v>
      </c>
      <c r="P2454" s="25">
        <v>12</v>
      </c>
      <c r="Q2454" s="24">
        <v>44.16</v>
      </c>
      <c r="R2454" s="24">
        <f>O2454-Q2454</f>
        <v>42.860000000000014</v>
      </c>
      <c r="S2454" s="53">
        <f>IF(O2454&lt;&gt;0,R2454/O2454,"")</f>
        <v>0.49253045276947838</v>
      </c>
      <c r="T2454" s="10"/>
      <c r="U2454" s="23">
        <v>0</v>
      </c>
      <c r="V2454" s="25">
        <v>0</v>
      </c>
      <c r="W2454" s="24">
        <v>0</v>
      </c>
      <c r="X2454" s="24">
        <f>U2454-W2454</f>
        <v>0</v>
      </c>
      <c r="Y2454" s="53" t="str">
        <f>IF(U2454&lt;&gt;0,X2454/U2454,"")</f>
        <v/>
      </c>
      <c r="Z2454" s="23">
        <v>1335.55</v>
      </c>
      <c r="AA2454" s="25">
        <v>192</v>
      </c>
      <c r="AB2454" s="24">
        <v>706.56</v>
      </c>
      <c r="AC2454" s="24">
        <f t="shared" si="701"/>
        <v>628.99</v>
      </c>
      <c r="AD2454" s="53">
        <f t="shared" si="702"/>
        <v>0.47095952978173788</v>
      </c>
      <c r="AE2454" s="10"/>
    </row>
    <row r="2455" spans="1:31" x14ac:dyDescent="0.25">
      <c r="A2455" s="14" t="s">
        <v>109</v>
      </c>
      <c r="C2455" s="61" t="str">
        <f t="shared" si="700"/>
        <v>C100130</v>
      </c>
      <c r="F2455" s="8" t="str">
        <f>"S100008"</f>
        <v>S100008</v>
      </c>
      <c r="G2455" s="9" t="str">
        <f>"Soccer Figure Trophy"</f>
        <v>Soccer Figure Trophy</v>
      </c>
      <c r="H2455" s="47"/>
      <c r="I2455" s="47"/>
      <c r="J2455" s="23">
        <v>0</v>
      </c>
      <c r="K2455" s="25">
        <v>0</v>
      </c>
      <c r="L2455" s="24">
        <v>0</v>
      </c>
      <c r="M2455" s="24">
        <f>J2455-L2455</f>
        <v>0</v>
      </c>
      <c r="N2455" s="53" t="str">
        <f>IF(J2455&lt;&gt;0,M2455/J2455,"")</f>
        <v/>
      </c>
      <c r="O2455" s="23">
        <v>835.43</v>
      </c>
      <c r="P2455" s="25">
        <v>144</v>
      </c>
      <c r="Q2455" s="24">
        <v>529.91999999999996</v>
      </c>
      <c r="R2455" s="24">
        <f>O2455-Q2455</f>
        <v>305.51</v>
      </c>
      <c r="S2455" s="53">
        <f>IF(O2455&lt;&gt;0,R2455/O2455,"")</f>
        <v>0.36569191913146526</v>
      </c>
      <c r="T2455" s="10"/>
      <c r="U2455" s="23">
        <v>758.71</v>
      </c>
      <c r="V2455" s="25">
        <v>144</v>
      </c>
      <c r="W2455" s="24">
        <v>529.91999999999996</v>
      </c>
      <c r="X2455" s="24">
        <f>U2455-W2455</f>
        <v>228.79000000000008</v>
      </c>
      <c r="Y2455" s="53">
        <f>IF(U2455&lt;&gt;0,X2455/U2455,"")</f>
        <v>0.30155131736763724</v>
      </c>
      <c r="Z2455" s="23">
        <v>0</v>
      </c>
      <c r="AA2455" s="25">
        <v>0</v>
      </c>
      <c r="AB2455" s="24">
        <v>0</v>
      </c>
      <c r="AC2455" s="24">
        <f t="shared" si="701"/>
        <v>0</v>
      </c>
      <c r="AD2455" s="53" t="str">
        <f t="shared" si="702"/>
        <v/>
      </c>
      <c r="AE2455" s="10"/>
    </row>
    <row r="2456" spans="1:31" x14ac:dyDescent="0.25">
      <c r="A2456" s="14" t="s">
        <v>109</v>
      </c>
      <c r="C2456" s="61" t="str">
        <f t="shared" si="700"/>
        <v>C100130</v>
      </c>
      <c r="F2456" s="8" t="str">
        <f>"S100011"</f>
        <v>S100011</v>
      </c>
      <c r="G2456" s="9" t="str">
        <f>"All Star Cap"</f>
        <v>All Star Cap</v>
      </c>
      <c r="H2456" s="47"/>
      <c r="I2456" s="47"/>
      <c r="J2456" s="23">
        <v>1.3</v>
      </c>
      <c r="K2456" s="25">
        <v>1</v>
      </c>
      <c r="L2456" s="24">
        <v>0.85</v>
      </c>
      <c r="M2456" s="24">
        <f>J2456-L2456</f>
        <v>0.45000000000000007</v>
      </c>
      <c r="N2456" s="53">
        <f>IF(J2456&lt;&gt;0,M2456/J2456,"")</f>
        <v>0.3461538461538462</v>
      </c>
      <c r="O2456" s="23">
        <v>0</v>
      </c>
      <c r="P2456" s="25">
        <v>0</v>
      </c>
      <c r="Q2456" s="24">
        <v>0</v>
      </c>
      <c r="R2456" s="24">
        <f>O2456-Q2456</f>
        <v>0</v>
      </c>
      <c r="S2456" s="53" t="str">
        <f>IF(O2456&lt;&gt;0,R2456/O2456,"")</f>
        <v/>
      </c>
      <c r="T2456" s="10"/>
      <c r="U2456" s="23">
        <v>185.83</v>
      </c>
      <c r="V2456" s="25">
        <v>144</v>
      </c>
      <c r="W2456" s="24">
        <v>122.41</v>
      </c>
      <c r="X2456" s="24">
        <f>U2456-W2456</f>
        <v>63.420000000000016</v>
      </c>
      <c r="Y2456" s="53">
        <f>IF(U2456&lt;&gt;0,X2456/U2456,"")</f>
        <v>0.34127966420922357</v>
      </c>
      <c r="Z2456" s="23">
        <v>9.6</v>
      </c>
      <c r="AA2456" s="25">
        <v>7</v>
      </c>
      <c r="AB2456" s="24">
        <v>5.95</v>
      </c>
      <c r="AC2456" s="24">
        <f t="shared" si="701"/>
        <v>3.6499999999999995</v>
      </c>
      <c r="AD2456" s="53">
        <f t="shared" si="702"/>
        <v>0.38020833333333331</v>
      </c>
      <c r="AE2456" s="10"/>
    </row>
    <row r="2457" spans="1:31" x14ac:dyDescent="0.25">
      <c r="A2457" s="14" t="s">
        <v>109</v>
      </c>
      <c r="C2457" s="61" t="str">
        <f t="shared" si="700"/>
        <v>C100130</v>
      </c>
      <c r="F2457" s="8" t="str">
        <f>"S100014"</f>
        <v>S100014</v>
      </c>
      <c r="G2457" s="9" t="str">
        <f>"Chunky Knit Hat"</f>
        <v>Chunky Knit Hat</v>
      </c>
      <c r="H2457" s="47"/>
      <c r="I2457" s="47"/>
      <c r="J2457" s="23">
        <v>0</v>
      </c>
      <c r="K2457" s="25">
        <v>0</v>
      </c>
      <c r="L2457" s="24">
        <v>0</v>
      </c>
      <c r="M2457" s="24">
        <f>J2457-L2457</f>
        <v>0</v>
      </c>
      <c r="N2457" s="53" t="str">
        <f>IF(J2457&lt;&gt;0,M2457/J2457,"")</f>
        <v/>
      </c>
      <c r="O2457" s="23">
        <v>1382.98</v>
      </c>
      <c r="P2457" s="25">
        <v>144</v>
      </c>
      <c r="Q2457" s="24">
        <v>743.03</v>
      </c>
      <c r="R2457" s="24">
        <f>O2457-Q2457</f>
        <v>639.95000000000005</v>
      </c>
      <c r="S2457" s="53">
        <f>IF(O2457&lt;&gt;0,R2457/O2457,"")</f>
        <v>0.46273264978524636</v>
      </c>
      <c r="T2457" s="10"/>
      <c r="U2457" s="23">
        <v>0</v>
      </c>
      <c r="V2457" s="25">
        <v>0</v>
      </c>
      <c r="W2457" s="24">
        <v>0</v>
      </c>
      <c r="X2457" s="24">
        <f>U2457-W2457</f>
        <v>0</v>
      </c>
      <c r="Y2457" s="53" t="str">
        <f>IF(U2457&lt;&gt;0,X2457/U2457,"")</f>
        <v/>
      </c>
      <c r="Z2457" s="23">
        <v>1340.64</v>
      </c>
      <c r="AA2457" s="25">
        <v>144</v>
      </c>
      <c r="AB2457" s="24">
        <v>743.03</v>
      </c>
      <c r="AC2457" s="24">
        <f t="shared" si="701"/>
        <v>597.61000000000013</v>
      </c>
      <c r="AD2457" s="53">
        <f t="shared" si="702"/>
        <v>0.44576470939252899</v>
      </c>
      <c r="AE2457" s="10"/>
    </row>
    <row r="2458" spans="1:31" x14ac:dyDescent="0.25">
      <c r="A2458" s="14" t="s">
        <v>109</v>
      </c>
      <c r="C2458" s="61" t="str">
        <f t="shared" si="700"/>
        <v>C100130</v>
      </c>
      <c r="F2458" s="8" t="str">
        <f>"S100016"</f>
        <v>S100016</v>
      </c>
      <c r="G2458" s="9" t="str">
        <f>"Mesh Bucket Hat"</f>
        <v>Mesh Bucket Hat</v>
      </c>
      <c r="H2458" s="47"/>
      <c r="I2458" s="47"/>
      <c r="J2458" s="23">
        <v>4.7300000000000004</v>
      </c>
      <c r="K2458" s="25">
        <v>1</v>
      </c>
      <c r="L2458" s="24">
        <v>2.75</v>
      </c>
      <c r="M2458" s="24">
        <f>J2458-L2458</f>
        <v>1.9800000000000004</v>
      </c>
      <c r="N2458" s="53">
        <f>IF(J2458&lt;&gt;0,M2458/J2458,"")</f>
        <v>0.41860465116279078</v>
      </c>
      <c r="O2458" s="23">
        <v>0</v>
      </c>
      <c r="P2458" s="25">
        <v>0</v>
      </c>
      <c r="Q2458" s="24">
        <v>0</v>
      </c>
      <c r="R2458" s="24">
        <f>O2458-Q2458</f>
        <v>0</v>
      </c>
      <c r="S2458" s="53" t="str">
        <f>IF(O2458&lt;&gt;0,R2458/O2458,"")</f>
        <v/>
      </c>
      <c r="T2458" s="10"/>
      <c r="U2458" s="23">
        <v>0</v>
      </c>
      <c r="V2458" s="25">
        <v>0</v>
      </c>
      <c r="W2458" s="24">
        <v>0</v>
      </c>
      <c r="X2458" s="24">
        <f>U2458-W2458</f>
        <v>0</v>
      </c>
      <c r="Y2458" s="53" t="str">
        <f>IF(U2458&lt;&gt;0,X2458/U2458,"")</f>
        <v/>
      </c>
      <c r="Z2458" s="23">
        <v>0</v>
      </c>
      <c r="AA2458" s="25">
        <v>0</v>
      </c>
      <c r="AB2458" s="24">
        <v>0</v>
      </c>
      <c r="AC2458" s="24">
        <f t="shared" si="701"/>
        <v>0</v>
      </c>
      <c r="AD2458" s="53" t="str">
        <f t="shared" si="702"/>
        <v/>
      </c>
      <c r="AE2458" s="10"/>
    </row>
    <row r="2459" spans="1:31" x14ac:dyDescent="0.25">
      <c r="A2459" s="14" t="s">
        <v>109</v>
      </c>
      <c r="C2459" s="61" t="str">
        <f t="shared" si="700"/>
        <v>C100130</v>
      </c>
      <c r="F2459" s="8" t="str">
        <f>"S100017"</f>
        <v>S100017</v>
      </c>
      <c r="G2459" s="9" t="str">
        <f>"Microfiber Bucket Hat"</f>
        <v>Microfiber Bucket Hat</v>
      </c>
      <c r="H2459" s="47"/>
      <c r="I2459" s="47"/>
      <c r="J2459" s="23">
        <v>956.44999999999993</v>
      </c>
      <c r="K2459" s="25">
        <v>144</v>
      </c>
      <c r="L2459" s="24">
        <v>685.44</v>
      </c>
      <c r="M2459" s="24">
        <f>J2459-L2459</f>
        <v>271.00999999999988</v>
      </c>
      <c r="N2459" s="53">
        <f>IF(J2459&lt;&gt;0,M2459/J2459,"")</f>
        <v>0.28334988760520663</v>
      </c>
      <c r="O2459" s="23">
        <v>1041.47</v>
      </c>
      <c r="P2459" s="25">
        <v>144</v>
      </c>
      <c r="Q2459" s="24">
        <v>685.44</v>
      </c>
      <c r="R2459" s="24">
        <f>O2459-Q2459</f>
        <v>356.03</v>
      </c>
      <c r="S2459" s="53">
        <f>IF(O2459&lt;&gt;0,R2459/O2459,"")</f>
        <v>0.34185334191095273</v>
      </c>
      <c r="T2459" s="10"/>
      <c r="U2459" s="23">
        <v>0</v>
      </c>
      <c r="V2459" s="25">
        <v>0</v>
      </c>
      <c r="W2459" s="24">
        <v>0</v>
      </c>
      <c r="X2459" s="24">
        <f>U2459-W2459</f>
        <v>0</v>
      </c>
      <c r="Y2459" s="53" t="str">
        <f>IF(U2459&lt;&gt;0,X2459/U2459,"")</f>
        <v/>
      </c>
      <c r="Z2459" s="23">
        <v>0</v>
      </c>
      <c r="AA2459" s="25">
        <v>0</v>
      </c>
      <c r="AB2459" s="24">
        <v>0</v>
      </c>
      <c r="AC2459" s="24">
        <f t="shared" si="701"/>
        <v>0</v>
      </c>
      <c r="AD2459" s="53" t="str">
        <f t="shared" si="702"/>
        <v/>
      </c>
      <c r="AE2459" s="10"/>
    </row>
    <row r="2460" spans="1:31" x14ac:dyDescent="0.25">
      <c r="A2460" s="14" t="s">
        <v>109</v>
      </c>
      <c r="C2460" s="61" t="str">
        <f t="shared" si="700"/>
        <v>C100130</v>
      </c>
      <c r="F2460" s="8" t="str">
        <f>"S100019"</f>
        <v>S100019</v>
      </c>
      <c r="G2460" s="9" t="str">
        <f>"Sportsman Bucket Hat"</f>
        <v>Sportsman Bucket Hat</v>
      </c>
      <c r="H2460" s="47"/>
      <c r="I2460" s="47"/>
      <c r="J2460" s="23">
        <v>1215.8900000000001</v>
      </c>
      <c r="K2460" s="25">
        <v>294</v>
      </c>
      <c r="L2460" s="24">
        <v>714.43000000000006</v>
      </c>
      <c r="M2460" s="24">
        <f>J2460-L2460</f>
        <v>501.46000000000004</v>
      </c>
      <c r="N2460" s="53">
        <f>IF(J2460&lt;&gt;0,M2460/J2460,"")</f>
        <v>0.4124221763481894</v>
      </c>
      <c r="O2460" s="23">
        <v>0</v>
      </c>
      <c r="P2460" s="25">
        <v>0</v>
      </c>
      <c r="Q2460" s="24">
        <v>0</v>
      </c>
      <c r="R2460" s="24">
        <f>O2460-Q2460</f>
        <v>0</v>
      </c>
      <c r="S2460" s="53" t="str">
        <f>IF(O2460&lt;&gt;0,R2460/O2460,"")</f>
        <v/>
      </c>
      <c r="T2460" s="10"/>
      <c r="U2460" s="23">
        <v>0</v>
      </c>
      <c r="V2460" s="25">
        <v>0</v>
      </c>
      <c r="W2460" s="24">
        <v>0</v>
      </c>
      <c r="X2460" s="24">
        <f>U2460-W2460</f>
        <v>0</v>
      </c>
      <c r="Y2460" s="53" t="str">
        <f>IF(U2460&lt;&gt;0,X2460/U2460,"")</f>
        <v/>
      </c>
      <c r="Z2460" s="23">
        <v>0</v>
      </c>
      <c r="AA2460" s="25">
        <v>0</v>
      </c>
      <c r="AB2460" s="24">
        <v>0</v>
      </c>
      <c r="AC2460" s="24">
        <f t="shared" si="701"/>
        <v>0</v>
      </c>
      <c r="AD2460" s="53" t="str">
        <f t="shared" si="702"/>
        <v/>
      </c>
      <c r="AE2460" s="10"/>
    </row>
    <row r="2461" spans="1:31" x14ac:dyDescent="0.25">
      <c r="A2461" s="14" t="s">
        <v>109</v>
      </c>
      <c r="C2461" s="61" t="str">
        <f t="shared" si="700"/>
        <v>C100130</v>
      </c>
      <c r="F2461" s="8" t="str">
        <f>"S100020"</f>
        <v>S100020</v>
      </c>
      <c r="G2461" s="9" t="str">
        <f>"Super Sport Stopwatch"</f>
        <v>Super Sport Stopwatch</v>
      </c>
      <c r="H2461" s="47"/>
      <c r="I2461" s="47"/>
      <c r="J2461" s="23">
        <v>282.52999999999997</v>
      </c>
      <c r="K2461" s="25">
        <v>144</v>
      </c>
      <c r="L2461" s="24">
        <v>151.19999999999999</v>
      </c>
      <c r="M2461" s="24">
        <f>J2461-L2461</f>
        <v>131.32999999999998</v>
      </c>
      <c r="N2461" s="53">
        <f>IF(J2461&lt;&gt;0,M2461/J2461,"")</f>
        <v>0.46483559268042329</v>
      </c>
      <c r="O2461" s="23">
        <v>25.64</v>
      </c>
      <c r="P2461" s="25">
        <v>12</v>
      </c>
      <c r="Q2461" s="24">
        <v>12.6</v>
      </c>
      <c r="R2461" s="24">
        <f>O2461-Q2461</f>
        <v>13.040000000000001</v>
      </c>
      <c r="S2461" s="53">
        <f>IF(O2461&lt;&gt;0,R2461/O2461,"")</f>
        <v>0.50858034321372858</v>
      </c>
      <c r="T2461" s="10"/>
      <c r="U2461" s="23">
        <v>0</v>
      </c>
      <c r="V2461" s="25">
        <v>0</v>
      </c>
      <c r="W2461" s="24">
        <v>0</v>
      </c>
      <c r="X2461" s="24">
        <f>U2461-W2461</f>
        <v>0</v>
      </c>
      <c r="Y2461" s="53" t="str">
        <f>IF(U2461&lt;&gt;0,X2461/U2461,"")</f>
        <v/>
      </c>
      <c r="Z2461" s="23">
        <v>298.22000000000003</v>
      </c>
      <c r="AA2461" s="25">
        <v>144</v>
      </c>
      <c r="AB2461" s="24">
        <v>151.19999999999999</v>
      </c>
      <c r="AC2461" s="24">
        <f t="shared" si="701"/>
        <v>147.02000000000004</v>
      </c>
      <c r="AD2461" s="53">
        <f t="shared" si="702"/>
        <v>0.49299175105626725</v>
      </c>
      <c r="AE2461" s="10"/>
    </row>
    <row r="2462" spans="1:31" x14ac:dyDescent="0.25">
      <c r="A2462" s="14" t="s">
        <v>109</v>
      </c>
      <c r="C2462" s="61" t="str">
        <f t="shared" si="700"/>
        <v>C100130</v>
      </c>
      <c r="F2462" s="8" t="str">
        <f>"S100021"</f>
        <v>S100021</v>
      </c>
      <c r="G2462" s="9" t="str">
        <f>"Translucent Stopwatch"</f>
        <v>Translucent Stopwatch</v>
      </c>
      <c r="H2462" s="47"/>
      <c r="I2462" s="47"/>
      <c r="J2462" s="23">
        <v>567.72</v>
      </c>
      <c r="K2462" s="25">
        <v>144</v>
      </c>
      <c r="L2462" s="24">
        <v>309.58999999999997</v>
      </c>
      <c r="M2462" s="24">
        <f>J2462-L2462</f>
        <v>258.13000000000005</v>
      </c>
      <c r="N2462" s="53">
        <f>IF(J2462&lt;&gt;0,M2462/J2462,"")</f>
        <v>0.45467836257309946</v>
      </c>
      <c r="O2462" s="23">
        <v>0</v>
      </c>
      <c r="P2462" s="25">
        <v>0</v>
      </c>
      <c r="Q2462" s="24">
        <v>0</v>
      </c>
      <c r="R2462" s="24">
        <f>O2462-Q2462</f>
        <v>0</v>
      </c>
      <c r="S2462" s="53" t="str">
        <f>IF(O2462&lt;&gt;0,R2462/O2462,"")</f>
        <v/>
      </c>
      <c r="T2462" s="10"/>
      <c r="U2462" s="23">
        <v>0</v>
      </c>
      <c r="V2462" s="25">
        <v>0</v>
      </c>
      <c r="W2462" s="24">
        <v>0</v>
      </c>
      <c r="X2462" s="24">
        <f>U2462-W2462</f>
        <v>0</v>
      </c>
      <c r="Y2462" s="53" t="str">
        <f>IF(U2462&lt;&gt;0,X2462/U2462,"")</f>
        <v/>
      </c>
      <c r="Z2462" s="23">
        <v>561.74</v>
      </c>
      <c r="AA2462" s="25">
        <v>144</v>
      </c>
      <c r="AB2462" s="24">
        <v>309.58999999999997</v>
      </c>
      <c r="AC2462" s="24">
        <f t="shared" si="701"/>
        <v>252.15000000000003</v>
      </c>
      <c r="AD2462" s="53">
        <f t="shared" si="702"/>
        <v>0.44887314415921964</v>
      </c>
      <c r="AE2462" s="10"/>
    </row>
    <row r="2463" spans="1:31" ht="15.75" thickBot="1" x14ac:dyDescent="0.3">
      <c r="A2463" s="14" t="s">
        <v>109</v>
      </c>
      <c r="C2463" s="61" t="str">
        <f>C2431</f>
        <v>C100130</v>
      </c>
      <c r="J2463" s="10"/>
      <c r="K2463" s="11"/>
      <c r="L2463" s="11"/>
      <c r="M2463" s="11"/>
      <c r="N2463" s="12"/>
      <c r="O2463" s="10"/>
      <c r="P2463" s="11"/>
      <c r="Q2463" s="11"/>
      <c r="R2463" s="11"/>
      <c r="S2463" s="12"/>
      <c r="U2463" s="10"/>
      <c r="V2463" s="11"/>
      <c r="W2463" s="11"/>
      <c r="X2463" s="11"/>
      <c r="Y2463" s="12"/>
      <c r="Z2463" s="10"/>
      <c r="AA2463" s="11"/>
      <c r="AB2463" s="11"/>
      <c r="AC2463" s="11"/>
      <c r="AD2463" s="12"/>
    </row>
    <row r="2464" spans="1:31" ht="15.75" thickBot="1" x14ac:dyDescent="0.3">
      <c r="A2464" s="14" t="s">
        <v>109</v>
      </c>
      <c r="C2464" s="61" t="str">
        <f t="shared" si="697"/>
        <v>C100130</v>
      </c>
      <c r="G2464" s="48" t="str">
        <f>C2464&amp;" TOTAL:"</f>
        <v>C100130 TOTAL:</v>
      </c>
      <c r="H2464" s="50"/>
      <c r="I2464" s="50"/>
      <c r="J2464" s="34">
        <f>SUBTOTAL(9,J2430:J2463)</f>
        <v>39304.060000000005</v>
      </c>
      <c r="K2464" s="35">
        <f>SUBTOTAL(9,K2430:K2463)</f>
        <v>3300</v>
      </c>
      <c r="L2464" s="36">
        <f>SUBTOTAL(9,L2430:L2463)</f>
        <v>20652.209999999995</v>
      </c>
      <c r="M2464" s="36">
        <f>J2464-L2464</f>
        <v>18651.850000000009</v>
      </c>
      <c r="N2464" s="37">
        <f>IF(J2464&lt;&gt;0,M2464/J2464,"")</f>
        <v>0.47455275612748421</v>
      </c>
      <c r="O2464" s="34">
        <f>SUBTOTAL(9,O2430:O2463)</f>
        <v>19419.780000000002</v>
      </c>
      <c r="P2464" s="35">
        <f>SUBTOTAL(9,P2430:P2463)</f>
        <v>1569</v>
      </c>
      <c r="Q2464" s="36">
        <f>SUBTOTAL(9,Q2430:Q2463)</f>
        <v>10816.210000000001</v>
      </c>
      <c r="R2464" s="36">
        <f>O2464-Q2464</f>
        <v>8603.5700000000015</v>
      </c>
      <c r="S2464" s="37">
        <f>IF(O2464&lt;&gt;0,R2464/O2464,"")</f>
        <v>0.44303128047794571</v>
      </c>
      <c r="U2464" s="34">
        <f>SUBTOTAL(9,U2430:U2463)</f>
        <v>4878.63</v>
      </c>
      <c r="V2464" s="35">
        <f>SUBTOTAL(9,V2430:V2463)</f>
        <v>1010</v>
      </c>
      <c r="W2464" s="36">
        <f>SUBTOTAL(9,W2430:W2463)</f>
        <v>2936.1800000000003</v>
      </c>
      <c r="X2464" s="36">
        <f>U2464-W2464</f>
        <v>1942.4499999999998</v>
      </c>
      <c r="Y2464" s="37">
        <f>IF(U2464&lt;&gt;0,X2464/U2464,"")</f>
        <v>0.39815480985440582</v>
      </c>
      <c r="Z2464" s="34">
        <f>SUBTOTAL(9,Z2430:Z2463)</f>
        <v>26136.999999999996</v>
      </c>
      <c r="AA2464" s="35">
        <f>SUBTOTAL(9,AA2430:AA2463)</f>
        <v>2438</v>
      </c>
      <c r="AB2464" s="36">
        <f>SUBTOTAL(9,AB2430:AB2463)</f>
        <v>13885.720000000001</v>
      </c>
      <c r="AC2464" s="36">
        <f t="shared" ref="AC2464" si="703">Z2464-AB2464</f>
        <v>12251.279999999995</v>
      </c>
      <c r="AD2464" s="37">
        <f t="shared" ref="AD2464" si="704">IF(Z2464&lt;&gt;0,AC2464/Z2464,"")</f>
        <v>0.4687332134521941</v>
      </c>
    </row>
    <row r="2465" spans="1:31" x14ac:dyDescent="0.25">
      <c r="A2465" s="14" t="s">
        <v>109</v>
      </c>
      <c r="C2465" s="66"/>
      <c r="J2465" s="10"/>
      <c r="K2465" s="11"/>
      <c r="L2465" s="11"/>
      <c r="M2465" s="11"/>
      <c r="N2465" s="12"/>
      <c r="O2465" s="10"/>
      <c r="P2465" s="11"/>
      <c r="Q2465" s="11"/>
      <c r="R2465" s="11"/>
      <c r="S2465" s="12"/>
      <c r="U2465" s="10"/>
      <c r="V2465" s="11"/>
      <c r="W2465" s="11"/>
      <c r="X2465" s="11"/>
      <c r="Y2465" s="12"/>
      <c r="Z2465" s="10"/>
      <c r="AA2465" s="11"/>
      <c r="AB2465" s="11"/>
      <c r="AC2465" s="11"/>
      <c r="AD2465" s="12"/>
    </row>
    <row r="2466" spans="1:31" ht="15.75" x14ac:dyDescent="0.25">
      <c r="A2466" s="14" t="s">
        <v>109</v>
      </c>
      <c r="C2466" s="66" t="str">
        <f t="shared" ref="C2466" si="705">E2466</f>
        <v>C100133</v>
      </c>
      <c r="E2466" s="13" t="str">
        <f>"C100133"</f>
        <v>C100133</v>
      </c>
      <c r="F2466" s="13"/>
      <c r="G2466" s="13" t="str">
        <f>"Volcome Ltd."</f>
        <v>Volcome Ltd.</v>
      </c>
      <c r="H2466" s="13"/>
      <c r="I2466" s="13"/>
      <c r="J2466" s="10"/>
      <c r="K2466" s="11"/>
      <c r="L2466" s="11"/>
      <c r="M2466" s="11"/>
      <c r="N2466" s="12"/>
      <c r="O2466" s="10"/>
      <c r="P2466" s="11"/>
      <c r="Q2466" s="11"/>
      <c r="R2466" s="11"/>
      <c r="S2466" s="12"/>
      <c r="U2466" s="10"/>
      <c r="V2466" s="11"/>
      <c r="W2466" s="11"/>
      <c r="X2466" s="11"/>
      <c r="Y2466" s="12"/>
      <c r="Z2466" s="10"/>
      <c r="AA2466" s="11"/>
      <c r="AB2466" s="11"/>
      <c r="AC2466" s="11"/>
      <c r="AD2466" s="12"/>
    </row>
    <row r="2467" spans="1:31" ht="6.6" customHeight="1" x14ac:dyDescent="0.25">
      <c r="A2467" s="14" t="s">
        <v>109</v>
      </c>
      <c r="C2467" s="61" t="str">
        <f t="shared" ref="C2467:C2493" si="706">C2466</f>
        <v>C100133</v>
      </c>
      <c r="J2467" s="10"/>
      <c r="K2467" s="11"/>
      <c r="L2467" s="11"/>
      <c r="M2467" s="11"/>
      <c r="N2467" s="12"/>
      <c r="O2467" s="10"/>
      <c r="P2467" s="11"/>
      <c r="Q2467" s="11"/>
      <c r="R2467" s="11"/>
      <c r="S2467" s="12"/>
      <c r="U2467" s="10"/>
      <c r="V2467" s="11"/>
      <c r="W2467" s="11"/>
      <c r="X2467" s="11"/>
      <c r="Y2467" s="12"/>
      <c r="Z2467" s="10"/>
      <c r="AA2467" s="11"/>
      <c r="AB2467" s="11"/>
      <c r="AC2467" s="11"/>
      <c r="AD2467" s="12"/>
    </row>
    <row r="2468" spans="1:31" x14ac:dyDescent="0.25">
      <c r="A2468" s="14" t="s">
        <v>109</v>
      </c>
      <c r="C2468" s="61" t="str">
        <f t="shared" si="706"/>
        <v>C100133</v>
      </c>
      <c r="F2468" s="8" t="str">
        <f>"C100026"</f>
        <v>C100026</v>
      </c>
      <c r="G2468" s="9" t="str">
        <f>"Fleece Beanie"</f>
        <v>Fleece Beanie</v>
      </c>
      <c r="H2468" s="47"/>
      <c r="I2468" s="47"/>
      <c r="J2468" s="23">
        <v>142.24</v>
      </c>
      <c r="K2468" s="25">
        <v>48</v>
      </c>
      <c r="L2468" s="24">
        <v>96</v>
      </c>
      <c r="M2468" s="24">
        <f>J2468-L2468</f>
        <v>46.240000000000009</v>
      </c>
      <c r="N2468" s="53">
        <f>IF(J2468&lt;&gt;0,M2468/J2468,"")</f>
        <v>0.32508436445444322</v>
      </c>
      <c r="O2468" s="23">
        <v>0</v>
      </c>
      <c r="P2468" s="25">
        <v>0</v>
      </c>
      <c r="Q2468" s="24">
        <v>0</v>
      </c>
      <c r="R2468" s="24">
        <f>O2468-Q2468</f>
        <v>0</v>
      </c>
      <c r="S2468" s="53" t="str">
        <f>IF(O2468&lt;&gt;0,R2468/O2468,"")</f>
        <v/>
      </c>
      <c r="T2468" s="10"/>
      <c r="U2468" s="23">
        <v>0</v>
      </c>
      <c r="V2468" s="25">
        <v>0</v>
      </c>
      <c r="W2468" s="24">
        <v>0</v>
      </c>
      <c r="X2468" s="24">
        <f>U2468-W2468</f>
        <v>0</v>
      </c>
      <c r="Y2468" s="53" t="str">
        <f>IF(U2468&lt;&gt;0,X2468/U2468,"")</f>
        <v/>
      </c>
      <c r="Z2468" s="23">
        <v>0</v>
      </c>
      <c r="AA2468" s="25">
        <v>0</v>
      </c>
      <c r="AB2468" s="24">
        <v>0</v>
      </c>
      <c r="AC2468" s="24">
        <f t="shared" ref="AC2468" si="707">Z2468-AB2468</f>
        <v>0</v>
      </c>
      <c r="AD2468" s="53" t="str">
        <f t="shared" ref="AD2468" si="708">IF(Z2468&lt;&gt;0,AC2468/Z2468,"")</f>
        <v/>
      </c>
      <c r="AE2468" s="10"/>
    </row>
    <row r="2469" spans="1:31" x14ac:dyDescent="0.25">
      <c r="A2469" s="14" t="s">
        <v>109</v>
      </c>
      <c r="C2469" s="61" t="str">
        <f t="shared" ref="C2469:C2491" si="709">C2468</f>
        <v>C100133</v>
      </c>
      <c r="F2469" s="8" t="str">
        <f>"C100029"</f>
        <v>C100029</v>
      </c>
      <c r="G2469" s="9" t="str">
        <f>"Distressed Twill Visor"</f>
        <v>Distressed Twill Visor</v>
      </c>
      <c r="H2469" s="47"/>
      <c r="I2469" s="47"/>
      <c r="J2469" s="23">
        <v>467.88</v>
      </c>
      <c r="K2469" s="25">
        <v>144</v>
      </c>
      <c r="L2469" s="24">
        <v>298.09000000000003</v>
      </c>
      <c r="M2469" s="24">
        <f>J2469-L2469</f>
        <v>169.78999999999996</v>
      </c>
      <c r="N2469" s="53">
        <f>IF(J2469&lt;&gt;0,M2469/J2469,"")</f>
        <v>0.3628921945798067</v>
      </c>
      <c r="O2469" s="23">
        <v>0</v>
      </c>
      <c r="P2469" s="25">
        <v>0</v>
      </c>
      <c r="Q2469" s="24">
        <v>0</v>
      </c>
      <c r="R2469" s="24">
        <f>O2469-Q2469</f>
        <v>0</v>
      </c>
      <c r="S2469" s="53" t="str">
        <f>IF(O2469&lt;&gt;0,R2469/O2469,"")</f>
        <v/>
      </c>
      <c r="T2469" s="10"/>
      <c r="U2469" s="23">
        <v>0</v>
      </c>
      <c r="V2469" s="25">
        <v>0</v>
      </c>
      <c r="W2469" s="24">
        <v>0</v>
      </c>
      <c r="X2469" s="24">
        <f>U2469-W2469</f>
        <v>0</v>
      </c>
      <c r="Y2469" s="53" t="str">
        <f>IF(U2469&lt;&gt;0,X2469/U2469,"")</f>
        <v/>
      </c>
      <c r="Z2469" s="23">
        <v>160.88</v>
      </c>
      <c r="AA2469" s="25">
        <v>48</v>
      </c>
      <c r="AB2469" s="24">
        <v>99.36</v>
      </c>
      <c r="AC2469" s="24">
        <f t="shared" ref="AC2469:AC2491" si="710">Z2469-AB2469</f>
        <v>61.519999999999996</v>
      </c>
      <c r="AD2469" s="53">
        <f t="shared" ref="AD2469:AD2491" si="711">IF(Z2469&lt;&gt;0,AC2469/Z2469,"")</f>
        <v>0.38239681750372945</v>
      </c>
      <c r="AE2469" s="10"/>
    </row>
    <row r="2470" spans="1:31" x14ac:dyDescent="0.25">
      <c r="A2470" s="14" t="s">
        <v>109</v>
      </c>
      <c r="C2470" s="61" t="str">
        <f t="shared" si="709"/>
        <v>C100133</v>
      </c>
      <c r="F2470" s="8" t="str">
        <f>"C100056"</f>
        <v>C100056</v>
      </c>
      <c r="G2470" s="9" t="str">
        <f>"Contemporary Desk Calculator"</f>
        <v>Contemporary Desk Calculator</v>
      </c>
      <c r="H2470" s="47"/>
      <c r="I2470" s="47"/>
      <c r="J2470" s="23">
        <v>0</v>
      </c>
      <c r="K2470" s="25">
        <v>0</v>
      </c>
      <c r="L2470" s="24">
        <v>0</v>
      </c>
      <c r="M2470" s="24">
        <f>J2470-L2470</f>
        <v>0</v>
      </c>
      <c r="N2470" s="53" t="str">
        <f>IF(J2470&lt;&gt;0,M2470/J2470,"")</f>
        <v/>
      </c>
      <c r="O2470" s="23">
        <v>1596.32</v>
      </c>
      <c r="P2470" s="25">
        <v>300</v>
      </c>
      <c r="Q2470" s="24">
        <v>798.08</v>
      </c>
      <c r="R2470" s="24">
        <f>O2470-Q2470</f>
        <v>798.2399999999999</v>
      </c>
      <c r="S2470" s="53">
        <f>IF(O2470&lt;&gt;0,R2470/O2470,"")</f>
        <v>0.50005011526510967</v>
      </c>
      <c r="T2470" s="10"/>
      <c r="U2470" s="23">
        <v>0</v>
      </c>
      <c r="V2470" s="25">
        <v>0</v>
      </c>
      <c r="W2470" s="24">
        <v>0</v>
      </c>
      <c r="X2470" s="24">
        <f>U2470-W2470</f>
        <v>0</v>
      </c>
      <c r="Y2470" s="53" t="str">
        <f>IF(U2470&lt;&gt;0,X2470/U2470,"")</f>
        <v/>
      </c>
      <c r="Z2470" s="23">
        <v>5.17</v>
      </c>
      <c r="AA2470" s="25">
        <v>1</v>
      </c>
      <c r="AB2470" s="24">
        <v>2.66</v>
      </c>
      <c r="AC2470" s="24">
        <f t="shared" si="710"/>
        <v>2.5099999999999998</v>
      </c>
      <c r="AD2470" s="53">
        <f t="shared" si="711"/>
        <v>0.48549323017408119</v>
      </c>
      <c r="AE2470" s="10"/>
    </row>
    <row r="2471" spans="1:31" x14ac:dyDescent="0.25">
      <c r="A2471" s="14" t="s">
        <v>109</v>
      </c>
      <c r="C2471" s="61" t="str">
        <f t="shared" si="709"/>
        <v>C100133</v>
      </c>
      <c r="F2471" s="8" t="str">
        <f>"E100001"</f>
        <v>E100001</v>
      </c>
      <c r="G2471" s="9" t="str">
        <f>"Sport Bag"</f>
        <v>Sport Bag</v>
      </c>
      <c r="H2471" s="47"/>
      <c r="I2471" s="47"/>
      <c r="J2471" s="23">
        <v>0</v>
      </c>
      <c r="K2471" s="25">
        <v>0</v>
      </c>
      <c r="L2471" s="24">
        <v>0</v>
      </c>
      <c r="M2471" s="24">
        <f>J2471-L2471</f>
        <v>0</v>
      </c>
      <c r="N2471" s="53" t="str">
        <f>IF(J2471&lt;&gt;0,M2471/J2471,"")</f>
        <v/>
      </c>
      <c r="O2471" s="23">
        <v>257.19</v>
      </c>
      <c r="P2471" s="25">
        <v>145</v>
      </c>
      <c r="Q2471" s="24">
        <v>126.15</v>
      </c>
      <c r="R2471" s="24">
        <f>O2471-Q2471</f>
        <v>131.04</v>
      </c>
      <c r="S2471" s="53">
        <f>IF(O2471&lt;&gt;0,R2471/O2471,"")</f>
        <v>0.50950659045841595</v>
      </c>
      <c r="T2471" s="10"/>
      <c r="U2471" s="23">
        <v>0</v>
      </c>
      <c r="V2471" s="25">
        <v>0</v>
      </c>
      <c r="W2471" s="24">
        <v>0</v>
      </c>
      <c r="X2471" s="24">
        <f>U2471-W2471</f>
        <v>0</v>
      </c>
      <c r="Y2471" s="53" t="str">
        <f>IF(U2471&lt;&gt;0,X2471/U2471,"")</f>
        <v/>
      </c>
      <c r="Z2471" s="23">
        <v>0</v>
      </c>
      <c r="AA2471" s="25">
        <v>0</v>
      </c>
      <c r="AB2471" s="24">
        <v>0</v>
      </c>
      <c r="AC2471" s="24">
        <f t="shared" si="710"/>
        <v>0</v>
      </c>
      <c r="AD2471" s="53" t="str">
        <f t="shared" si="711"/>
        <v/>
      </c>
      <c r="AE2471" s="10"/>
    </row>
    <row r="2472" spans="1:31" x14ac:dyDescent="0.25">
      <c r="A2472" s="14" t="s">
        <v>109</v>
      </c>
      <c r="C2472" s="61" t="str">
        <f t="shared" si="709"/>
        <v>C100133</v>
      </c>
      <c r="F2472" s="8" t="str">
        <f>"E100006"</f>
        <v>E100006</v>
      </c>
      <c r="G2472" s="9" t="str">
        <f>"Budget Tote Bag"</f>
        <v>Budget Tote Bag</v>
      </c>
      <c r="H2472" s="47"/>
      <c r="I2472" s="47"/>
      <c r="J2472" s="23">
        <v>0.09</v>
      </c>
      <c r="K2472" s="25">
        <v>1</v>
      </c>
      <c r="L2472" s="24">
        <v>0.04</v>
      </c>
      <c r="M2472" s="24">
        <f>J2472-L2472</f>
        <v>4.9999999999999996E-2</v>
      </c>
      <c r="N2472" s="53">
        <f>IF(J2472&lt;&gt;0,M2472/J2472,"")</f>
        <v>0.55555555555555558</v>
      </c>
      <c r="O2472" s="23">
        <v>1.06</v>
      </c>
      <c r="P2472" s="25">
        <v>12</v>
      </c>
      <c r="Q2472" s="24">
        <v>0.48</v>
      </c>
      <c r="R2472" s="24">
        <f>O2472-Q2472</f>
        <v>0.58000000000000007</v>
      </c>
      <c r="S2472" s="53">
        <f>IF(O2472&lt;&gt;0,R2472/O2472,"")</f>
        <v>0.54716981132075471</v>
      </c>
      <c r="T2472" s="10"/>
      <c r="U2472" s="23">
        <v>0</v>
      </c>
      <c r="V2472" s="25">
        <v>0</v>
      </c>
      <c r="W2472" s="24">
        <v>0</v>
      </c>
      <c r="X2472" s="24">
        <f>U2472-W2472</f>
        <v>0</v>
      </c>
      <c r="Y2472" s="53" t="str">
        <f>IF(U2472&lt;&gt;0,X2472/U2472,"")</f>
        <v/>
      </c>
      <c r="Z2472" s="23">
        <v>12.99</v>
      </c>
      <c r="AA2472" s="25">
        <v>151</v>
      </c>
      <c r="AB2472" s="24">
        <v>6.03</v>
      </c>
      <c r="AC2472" s="24">
        <f t="shared" si="710"/>
        <v>6.96</v>
      </c>
      <c r="AD2472" s="53">
        <f t="shared" si="711"/>
        <v>0.53579676674364896</v>
      </c>
      <c r="AE2472" s="10"/>
    </row>
    <row r="2473" spans="1:31" x14ac:dyDescent="0.25">
      <c r="A2473" s="14" t="s">
        <v>109</v>
      </c>
      <c r="C2473" s="61" t="str">
        <f t="shared" si="709"/>
        <v>C100133</v>
      </c>
      <c r="F2473" s="8" t="str">
        <f>"E100010"</f>
        <v>E100010</v>
      </c>
      <c r="G2473" s="9" t="str">
        <f>"Vinyl Tote"</f>
        <v>Vinyl Tote</v>
      </c>
      <c r="H2473" s="47"/>
      <c r="I2473" s="47"/>
      <c r="J2473" s="23">
        <v>0.28999999999999998</v>
      </c>
      <c r="K2473" s="25">
        <v>1</v>
      </c>
      <c r="L2473" s="24">
        <v>0.18</v>
      </c>
      <c r="M2473" s="24">
        <f>J2473-L2473</f>
        <v>0.10999999999999999</v>
      </c>
      <c r="N2473" s="53">
        <f>IF(J2473&lt;&gt;0,M2473/J2473,"")</f>
        <v>0.37931034482758619</v>
      </c>
      <c r="O2473" s="23">
        <v>0</v>
      </c>
      <c r="P2473" s="25">
        <v>0</v>
      </c>
      <c r="Q2473" s="24">
        <v>0</v>
      </c>
      <c r="R2473" s="24">
        <f>O2473-Q2473</f>
        <v>0</v>
      </c>
      <c r="S2473" s="53" t="str">
        <f>IF(O2473&lt;&gt;0,R2473/O2473,"")</f>
        <v/>
      </c>
      <c r="T2473" s="10"/>
      <c r="U2473" s="23">
        <v>0</v>
      </c>
      <c r="V2473" s="25">
        <v>0</v>
      </c>
      <c r="W2473" s="24">
        <v>0</v>
      </c>
      <c r="X2473" s="24">
        <f>U2473-W2473</f>
        <v>0</v>
      </c>
      <c r="Y2473" s="53" t="str">
        <f>IF(U2473&lt;&gt;0,X2473/U2473,"")</f>
        <v/>
      </c>
      <c r="Z2473" s="23">
        <v>0.28999999999999998</v>
      </c>
      <c r="AA2473" s="25">
        <v>1</v>
      </c>
      <c r="AB2473" s="24">
        <v>0.18</v>
      </c>
      <c r="AC2473" s="24">
        <f t="shared" si="710"/>
        <v>0.10999999999999999</v>
      </c>
      <c r="AD2473" s="53">
        <f t="shared" si="711"/>
        <v>0.37931034482758619</v>
      </c>
      <c r="AE2473" s="10"/>
    </row>
    <row r="2474" spans="1:31" x14ac:dyDescent="0.25">
      <c r="A2474" s="14" t="s">
        <v>109</v>
      </c>
      <c r="C2474" s="61" t="str">
        <f t="shared" si="709"/>
        <v>C100133</v>
      </c>
      <c r="F2474" s="8" t="str">
        <f>"E100011"</f>
        <v>E100011</v>
      </c>
      <c r="G2474" s="9" t="str">
        <f>"Plastic Sun Visor"</f>
        <v>Plastic Sun Visor</v>
      </c>
      <c r="H2474" s="47"/>
      <c r="I2474" s="47"/>
      <c r="J2474" s="23">
        <v>110.87</v>
      </c>
      <c r="K2474" s="25">
        <v>144</v>
      </c>
      <c r="L2474" s="24">
        <v>60.470000000000006</v>
      </c>
      <c r="M2474" s="24">
        <f>J2474-L2474</f>
        <v>50.4</v>
      </c>
      <c r="N2474" s="53">
        <f>IF(J2474&lt;&gt;0,M2474/J2474,"")</f>
        <v>0.45458645260214664</v>
      </c>
      <c r="O2474" s="23">
        <v>0</v>
      </c>
      <c r="P2474" s="25">
        <v>0</v>
      </c>
      <c r="Q2474" s="24">
        <v>0</v>
      </c>
      <c r="R2474" s="24">
        <f>O2474-Q2474</f>
        <v>0</v>
      </c>
      <c r="S2474" s="53" t="str">
        <f>IF(O2474&lt;&gt;0,R2474/O2474,"")</f>
        <v/>
      </c>
      <c r="T2474" s="10"/>
      <c r="U2474" s="23">
        <v>0</v>
      </c>
      <c r="V2474" s="25">
        <v>0</v>
      </c>
      <c r="W2474" s="24">
        <v>0</v>
      </c>
      <c r="X2474" s="24">
        <f>U2474-W2474</f>
        <v>0</v>
      </c>
      <c r="Y2474" s="53" t="str">
        <f>IF(U2474&lt;&gt;0,X2474/U2474,"")</f>
        <v/>
      </c>
      <c r="Z2474" s="23">
        <v>0.78</v>
      </c>
      <c r="AA2474" s="25">
        <v>1</v>
      </c>
      <c r="AB2474" s="24">
        <v>0.42</v>
      </c>
      <c r="AC2474" s="24">
        <f t="shared" si="710"/>
        <v>0.36000000000000004</v>
      </c>
      <c r="AD2474" s="53">
        <f t="shared" si="711"/>
        <v>0.46153846153846156</v>
      </c>
      <c r="AE2474" s="10"/>
    </row>
    <row r="2475" spans="1:31" x14ac:dyDescent="0.25">
      <c r="A2475" s="14" t="s">
        <v>109</v>
      </c>
      <c r="C2475" s="61" t="str">
        <f t="shared" si="709"/>
        <v>C100133</v>
      </c>
      <c r="F2475" s="8" t="str">
        <f>"E100016"</f>
        <v>E100016</v>
      </c>
      <c r="G2475" s="9" t="str">
        <f>"4 Function Rotating Carabiner Watch"</f>
        <v>4 Function Rotating Carabiner Watch</v>
      </c>
      <c r="H2475" s="47"/>
      <c r="I2475" s="47"/>
      <c r="J2475" s="23">
        <v>0</v>
      </c>
      <c r="K2475" s="25">
        <v>0</v>
      </c>
      <c r="L2475" s="24">
        <v>0</v>
      </c>
      <c r="M2475" s="24">
        <f>J2475-L2475</f>
        <v>0</v>
      </c>
      <c r="N2475" s="53" t="str">
        <f>IF(J2475&lt;&gt;0,M2475/J2475,"")</f>
        <v/>
      </c>
      <c r="O2475" s="23">
        <v>428.94</v>
      </c>
      <c r="P2475" s="25">
        <v>144</v>
      </c>
      <c r="Q2475" s="24">
        <v>198.73000000000002</v>
      </c>
      <c r="R2475" s="24">
        <f>O2475-Q2475</f>
        <v>230.20999999999998</v>
      </c>
      <c r="S2475" s="53">
        <f>IF(O2475&lt;&gt;0,R2475/O2475,"")</f>
        <v>0.53669510887303584</v>
      </c>
      <c r="T2475" s="10"/>
      <c r="U2475" s="23">
        <v>0</v>
      </c>
      <c r="V2475" s="25">
        <v>0</v>
      </c>
      <c r="W2475" s="24">
        <v>0</v>
      </c>
      <c r="X2475" s="24">
        <f>U2475-W2475</f>
        <v>0</v>
      </c>
      <c r="Y2475" s="53" t="str">
        <f>IF(U2475&lt;&gt;0,X2475/U2475,"")</f>
        <v/>
      </c>
      <c r="Z2475" s="23">
        <v>418.7</v>
      </c>
      <c r="AA2475" s="25">
        <v>145</v>
      </c>
      <c r="AB2475" s="24">
        <v>200.10999999999999</v>
      </c>
      <c r="AC2475" s="24">
        <f t="shared" si="710"/>
        <v>218.59</v>
      </c>
      <c r="AD2475" s="53">
        <f t="shared" si="711"/>
        <v>0.52206830666348225</v>
      </c>
      <c r="AE2475" s="10"/>
    </row>
    <row r="2476" spans="1:31" x14ac:dyDescent="0.25">
      <c r="A2476" s="14" t="s">
        <v>109</v>
      </c>
      <c r="C2476" s="61" t="str">
        <f t="shared" si="709"/>
        <v>C100133</v>
      </c>
      <c r="F2476" s="8" t="str">
        <f>"E100017"</f>
        <v>E100017</v>
      </c>
      <c r="G2476" s="9" t="str">
        <f>"Clip-on Clock with Compass"</f>
        <v>Clip-on Clock with Compass</v>
      </c>
      <c r="H2476" s="47"/>
      <c r="I2476" s="47"/>
      <c r="J2476" s="23">
        <v>0</v>
      </c>
      <c r="K2476" s="25">
        <v>0</v>
      </c>
      <c r="L2476" s="24">
        <v>0</v>
      </c>
      <c r="M2476" s="24">
        <f>J2476-L2476</f>
        <v>0</v>
      </c>
      <c r="N2476" s="53" t="str">
        <f>IF(J2476&lt;&gt;0,M2476/J2476,"")</f>
        <v/>
      </c>
      <c r="O2476" s="23">
        <v>220.10000000000002</v>
      </c>
      <c r="P2476" s="25">
        <v>144</v>
      </c>
      <c r="Q2476" s="24">
        <v>126.72</v>
      </c>
      <c r="R2476" s="24">
        <f>O2476-Q2476</f>
        <v>93.380000000000024</v>
      </c>
      <c r="S2476" s="53">
        <f>IF(O2476&lt;&gt;0,R2476/O2476,"")</f>
        <v>0.42426169922762386</v>
      </c>
      <c r="T2476" s="10"/>
      <c r="U2476" s="23">
        <v>0</v>
      </c>
      <c r="V2476" s="25">
        <v>0</v>
      </c>
      <c r="W2476" s="24">
        <v>0</v>
      </c>
      <c r="X2476" s="24">
        <f>U2476-W2476</f>
        <v>0</v>
      </c>
      <c r="Y2476" s="53" t="str">
        <f>IF(U2476&lt;&gt;0,X2476/U2476,"")</f>
        <v/>
      </c>
      <c r="Z2476" s="23">
        <v>217.87</v>
      </c>
      <c r="AA2476" s="25">
        <v>144</v>
      </c>
      <c r="AB2476" s="24">
        <v>126.72</v>
      </c>
      <c r="AC2476" s="24">
        <f t="shared" si="710"/>
        <v>91.15</v>
      </c>
      <c r="AD2476" s="53">
        <f t="shared" si="711"/>
        <v>0.41836875200807822</v>
      </c>
      <c r="AE2476" s="10"/>
    </row>
    <row r="2477" spans="1:31" x14ac:dyDescent="0.25">
      <c r="A2477" s="14" t="s">
        <v>109</v>
      </c>
      <c r="C2477" s="61" t="str">
        <f t="shared" si="709"/>
        <v>C100133</v>
      </c>
      <c r="F2477" s="8" t="str">
        <f>"E100018"</f>
        <v>E100018</v>
      </c>
      <c r="G2477" s="9" t="str">
        <f>"Flexi-Clock &amp; Clip"</f>
        <v>Flexi-Clock &amp; Clip</v>
      </c>
      <c r="H2477" s="47"/>
      <c r="I2477" s="47"/>
      <c r="J2477" s="23">
        <v>154.57</v>
      </c>
      <c r="K2477" s="25">
        <v>144</v>
      </c>
      <c r="L2477" s="24">
        <v>86.39</v>
      </c>
      <c r="M2477" s="24">
        <f>J2477-L2477</f>
        <v>68.179999999999993</v>
      </c>
      <c r="N2477" s="53">
        <f>IF(J2477&lt;&gt;0,M2477/J2477,"")</f>
        <v>0.44109464967328715</v>
      </c>
      <c r="O2477" s="23">
        <v>0</v>
      </c>
      <c r="P2477" s="25">
        <v>0</v>
      </c>
      <c r="Q2477" s="24">
        <v>0</v>
      </c>
      <c r="R2477" s="24">
        <f>O2477-Q2477</f>
        <v>0</v>
      </c>
      <c r="S2477" s="53" t="str">
        <f>IF(O2477&lt;&gt;0,R2477/O2477,"")</f>
        <v/>
      </c>
      <c r="T2477" s="10"/>
      <c r="U2477" s="23">
        <v>0</v>
      </c>
      <c r="V2477" s="25">
        <v>0</v>
      </c>
      <c r="W2477" s="24">
        <v>0</v>
      </c>
      <c r="X2477" s="24">
        <f>U2477-W2477</f>
        <v>0</v>
      </c>
      <c r="Y2477" s="53" t="str">
        <f>IF(U2477&lt;&gt;0,X2477/U2477,"")</f>
        <v/>
      </c>
      <c r="Z2477" s="23">
        <v>0</v>
      </c>
      <c r="AA2477" s="25">
        <v>0</v>
      </c>
      <c r="AB2477" s="24">
        <v>0</v>
      </c>
      <c r="AC2477" s="24">
        <f t="shared" si="710"/>
        <v>0</v>
      </c>
      <c r="AD2477" s="53" t="str">
        <f t="shared" si="711"/>
        <v/>
      </c>
      <c r="AE2477" s="10"/>
    </row>
    <row r="2478" spans="1:31" x14ac:dyDescent="0.25">
      <c r="A2478" s="14" t="s">
        <v>109</v>
      </c>
      <c r="C2478" s="61" t="str">
        <f t="shared" si="709"/>
        <v>C100133</v>
      </c>
      <c r="F2478" s="8" t="str">
        <f>"E100019"</f>
        <v>E100019</v>
      </c>
      <c r="G2478" s="9" t="str">
        <f>"Mini Travel Alarm"</f>
        <v>Mini Travel Alarm</v>
      </c>
      <c r="H2478" s="47"/>
      <c r="I2478" s="47"/>
      <c r="J2478" s="23">
        <v>0</v>
      </c>
      <c r="K2478" s="25">
        <v>0</v>
      </c>
      <c r="L2478" s="24">
        <v>0</v>
      </c>
      <c r="M2478" s="24">
        <f>J2478-L2478</f>
        <v>0</v>
      </c>
      <c r="N2478" s="53" t="str">
        <f>IF(J2478&lt;&gt;0,M2478/J2478,"")</f>
        <v/>
      </c>
      <c r="O2478" s="23">
        <v>159.44999999999999</v>
      </c>
      <c r="P2478" s="25">
        <v>48</v>
      </c>
      <c r="Q2478" s="24">
        <v>77.760000000000005</v>
      </c>
      <c r="R2478" s="24">
        <f>O2478-Q2478</f>
        <v>81.689999999999984</v>
      </c>
      <c r="S2478" s="53">
        <f>IF(O2478&lt;&gt;0,R2478/O2478,"")</f>
        <v>0.51232361241768576</v>
      </c>
      <c r="T2478" s="10"/>
      <c r="U2478" s="23">
        <v>0</v>
      </c>
      <c r="V2478" s="25">
        <v>0</v>
      </c>
      <c r="W2478" s="24">
        <v>0</v>
      </c>
      <c r="X2478" s="24">
        <f>U2478-W2478</f>
        <v>0</v>
      </c>
      <c r="Y2478" s="53" t="str">
        <f>IF(U2478&lt;&gt;0,X2478/U2478,"")</f>
        <v/>
      </c>
      <c r="Z2478" s="23">
        <v>0</v>
      </c>
      <c r="AA2478" s="25">
        <v>0</v>
      </c>
      <c r="AB2478" s="24">
        <v>0</v>
      </c>
      <c r="AC2478" s="24">
        <f t="shared" si="710"/>
        <v>0</v>
      </c>
      <c r="AD2478" s="53" t="str">
        <f t="shared" si="711"/>
        <v/>
      </c>
      <c r="AE2478" s="10"/>
    </row>
    <row r="2479" spans="1:31" x14ac:dyDescent="0.25">
      <c r="A2479" s="14" t="s">
        <v>109</v>
      </c>
      <c r="C2479" s="61" t="str">
        <f t="shared" si="709"/>
        <v>C100133</v>
      </c>
      <c r="F2479" s="8" t="str">
        <f>"E100021"</f>
        <v>E100021</v>
      </c>
      <c r="G2479" s="9" t="str">
        <f>"Slim Travel Alarm"</f>
        <v>Slim Travel Alarm</v>
      </c>
      <c r="H2479" s="47"/>
      <c r="I2479" s="47"/>
      <c r="J2479" s="23">
        <v>393.97</v>
      </c>
      <c r="K2479" s="25">
        <v>144</v>
      </c>
      <c r="L2479" s="24">
        <v>207.35</v>
      </c>
      <c r="M2479" s="24">
        <f>J2479-L2479</f>
        <v>186.62000000000003</v>
      </c>
      <c r="N2479" s="53">
        <f>IF(J2479&lt;&gt;0,M2479/J2479,"")</f>
        <v>0.47369089016930227</v>
      </c>
      <c r="O2479" s="23">
        <v>0</v>
      </c>
      <c r="P2479" s="25">
        <v>0</v>
      </c>
      <c r="Q2479" s="24">
        <v>0</v>
      </c>
      <c r="R2479" s="24">
        <f>O2479-Q2479</f>
        <v>0</v>
      </c>
      <c r="S2479" s="53" t="str">
        <f>IF(O2479&lt;&gt;0,R2479/O2479,"")</f>
        <v/>
      </c>
      <c r="T2479" s="10"/>
      <c r="U2479" s="23">
        <v>0</v>
      </c>
      <c r="V2479" s="25">
        <v>0</v>
      </c>
      <c r="W2479" s="24">
        <v>0</v>
      </c>
      <c r="X2479" s="24">
        <f>U2479-W2479</f>
        <v>0</v>
      </c>
      <c r="Y2479" s="53" t="str">
        <f>IF(U2479&lt;&gt;0,X2479/U2479,"")</f>
        <v/>
      </c>
      <c r="Z2479" s="23">
        <v>0</v>
      </c>
      <c r="AA2479" s="25">
        <v>0</v>
      </c>
      <c r="AB2479" s="24">
        <v>0</v>
      </c>
      <c r="AC2479" s="24">
        <f t="shared" si="710"/>
        <v>0</v>
      </c>
      <c r="AD2479" s="53" t="str">
        <f t="shared" si="711"/>
        <v/>
      </c>
      <c r="AE2479" s="10"/>
    </row>
    <row r="2480" spans="1:31" x14ac:dyDescent="0.25">
      <c r="A2480" s="14" t="s">
        <v>109</v>
      </c>
      <c r="C2480" s="61" t="str">
        <f t="shared" si="709"/>
        <v>C100133</v>
      </c>
      <c r="F2480" s="8" t="str">
        <f>"E100022"</f>
        <v>E100022</v>
      </c>
      <c r="G2480" s="9" t="str">
        <f>"Wide Screen Alarm Clock"</f>
        <v>Wide Screen Alarm Clock</v>
      </c>
      <c r="H2480" s="47"/>
      <c r="I2480" s="47"/>
      <c r="J2480" s="23">
        <v>1.84</v>
      </c>
      <c r="K2480" s="25">
        <v>1</v>
      </c>
      <c r="L2480" s="24">
        <v>1.28</v>
      </c>
      <c r="M2480" s="24">
        <f>J2480-L2480</f>
        <v>0.56000000000000005</v>
      </c>
      <c r="N2480" s="53">
        <f>IF(J2480&lt;&gt;0,M2480/J2480,"")</f>
        <v>0.30434782608695654</v>
      </c>
      <c r="O2480" s="23">
        <v>0</v>
      </c>
      <c r="P2480" s="25">
        <v>0</v>
      </c>
      <c r="Q2480" s="24">
        <v>0</v>
      </c>
      <c r="R2480" s="24">
        <f>O2480-Q2480</f>
        <v>0</v>
      </c>
      <c r="S2480" s="53" t="str">
        <f>IF(O2480&lt;&gt;0,R2480/O2480,"")</f>
        <v/>
      </c>
      <c r="T2480" s="10"/>
      <c r="U2480" s="23">
        <v>0</v>
      </c>
      <c r="V2480" s="25">
        <v>0</v>
      </c>
      <c r="W2480" s="24">
        <v>0</v>
      </c>
      <c r="X2480" s="24">
        <f>U2480-W2480</f>
        <v>0</v>
      </c>
      <c r="Y2480" s="53" t="str">
        <f>IF(U2480&lt;&gt;0,X2480/U2480,"")</f>
        <v/>
      </c>
      <c r="Z2480" s="23">
        <v>265.85000000000002</v>
      </c>
      <c r="AA2480" s="25">
        <v>145</v>
      </c>
      <c r="AB2480" s="24">
        <v>185.59</v>
      </c>
      <c r="AC2480" s="24">
        <f t="shared" si="710"/>
        <v>80.260000000000019</v>
      </c>
      <c r="AD2480" s="53">
        <f t="shared" si="711"/>
        <v>0.30189956742523982</v>
      </c>
      <c r="AE2480" s="10"/>
    </row>
    <row r="2481" spans="1:31" x14ac:dyDescent="0.25">
      <c r="A2481" s="14" t="s">
        <v>109</v>
      </c>
      <c r="C2481" s="61" t="str">
        <f t="shared" si="709"/>
        <v>C100133</v>
      </c>
      <c r="F2481" s="8" t="str">
        <f>"E100024"</f>
        <v>E100024</v>
      </c>
      <c r="G2481" s="9" t="str">
        <f>"Arch Calculator"</f>
        <v>Arch Calculator</v>
      </c>
      <c r="H2481" s="47"/>
      <c r="I2481" s="47"/>
      <c r="J2481" s="23">
        <v>3.02</v>
      </c>
      <c r="K2481" s="25">
        <v>1</v>
      </c>
      <c r="L2481" s="24">
        <v>1.72</v>
      </c>
      <c r="M2481" s="24">
        <f>J2481-L2481</f>
        <v>1.3</v>
      </c>
      <c r="N2481" s="53">
        <f>IF(J2481&lt;&gt;0,M2481/J2481,"")</f>
        <v>0.43046357615894043</v>
      </c>
      <c r="O2481" s="23">
        <v>0</v>
      </c>
      <c r="P2481" s="25">
        <v>0</v>
      </c>
      <c r="Q2481" s="24">
        <v>0</v>
      </c>
      <c r="R2481" s="24">
        <f>O2481-Q2481</f>
        <v>0</v>
      </c>
      <c r="S2481" s="53" t="str">
        <f>IF(O2481&lt;&gt;0,R2481/O2481,"")</f>
        <v/>
      </c>
      <c r="T2481" s="10"/>
      <c r="U2481" s="23">
        <v>0</v>
      </c>
      <c r="V2481" s="25">
        <v>0</v>
      </c>
      <c r="W2481" s="24">
        <v>0</v>
      </c>
      <c r="X2481" s="24">
        <f>U2481-W2481</f>
        <v>0</v>
      </c>
      <c r="Y2481" s="53" t="str">
        <f>IF(U2481&lt;&gt;0,X2481/U2481,"")</f>
        <v/>
      </c>
      <c r="Z2481" s="23">
        <v>3.02</v>
      </c>
      <c r="AA2481" s="25">
        <v>1</v>
      </c>
      <c r="AB2481" s="24">
        <v>1.72</v>
      </c>
      <c r="AC2481" s="24">
        <f t="shared" si="710"/>
        <v>1.3</v>
      </c>
      <c r="AD2481" s="53">
        <f t="shared" si="711"/>
        <v>0.43046357615894043</v>
      </c>
      <c r="AE2481" s="10"/>
    </row>
    <row r="2482" spans="1:31" x14ac:dyDescent="0.25">
      <c r="A2482" s="14" t="s">
        <v>109</v>
      </c>
      <c r="C2482" s="61" t="str">
        <f t="shared" si="709"/>
        <v>C100133</v>
      </c>
      <c r="F2482" s="8" t="str">
        <f>"E100029"</f>
        <v>E100029</v>
      </c>
      <c r="G2482" s="9" t="str">
        <f>"LED Flex Light"</f>
        <v>LED Flex Light</v>
      </c>
      <c r="H2482" s="47"/>
      <c r="I2482" s="47"/>
      <c r="J2482" s="23">
        <v>398.15999999999997</v>
      </c>
      <c r="K2482" s="25">
        <v>145</v>
      </c>
      <c r="L2482" s="24">
        <v>243.52</v>
      </c>
      <c r="M2482" s="24">
        <f>J2482-L2482</f>
        <v>154.63999999999996</v>
      </c>
      <c r="N2482" s="53">
        <f>IF(J2482&lt;&gt;0,M2482/J2482,"")</f>
        <v>0.3883865782599959</v>
      </c>
      <c r="O2482" s="23">
        <v>0</v>
      </c>
      <c r="P2482" s="25">
        <v>0</v>
      </c>
      <c r="Q2482" s="24">
        <v>0</v>
      </c>
      <c r="R2482" s="24">
        <f>O2482-Q2482</f>
        <v>0</v>
      </c>
      <c r="S2482" s="53" t="str">
        <f>IF(O2482&lt;&gt;0,R2482/O2482,"")</f>
        <v/>
      </c>
      <c r="T2482" s="10"/>
      <c r="U2482" s="23">
        <v>0</v>
      </c>
      <c r="V2482" s="25">
        <v>0</v>
      </c>
      <c r="W2482" s="24">
        <v>0</v>
      </c>
      <c r="X2482" s="24">
        <f>U2482-W2482</f>
        <v>0</v>
      </c>
      <c r="Y2482" s="53" t="str">
        <f>IF(U2482&lt;&gt;0,X2482/U2482,"")</f>
        <v/>
      </c>
      <c r="Z2482" s="23">
        <v>131.82</v>
      </c>
      <c r="AA2482" s="25">
        <v>48</v>
      </c>
      <c r="AB2482" s="24">
        <v>80.61</v>
      </c>
      <c r="AC2482" s="24">
        <f t="shared" si="710"/>
        <v>51.209999999999994</v>
      </c>
      <c r="AD2482" s="53">
        <f t="shared" si="711"/>
        <v>0.38848429676832041</v>
      </c>
      <c r="AE2482" s="10"/>
    </row>
    <row r="2483" spans="1:31" x14ac:dyDescent="0.25">
      <c r="A2483" s="14" t="s">
        <v>109</v>
      </c>
      <c r="C2483" s="61" t="str">
        <f t="shared" si="709"/>
        <v>C100133</v>
      </c>
      <c r="F2483" s="8" t="str">
        <f>"E100038"</f>
        <v>E100038</v>
      </c>
      <c r="G2483" s="9" t="str">
        <f>"1GB USB Flash Drive Pen"</f>
        <v>1GB USB Flash Drive Pen</v>
      </c>
      <c r="H2483" s="47"/>
      <c r="I2483" s="47"/>
      <c r="J2483" s="23">
        <v>779.73</v>
      </c>
      <c r="K2483" s="25">
        <v>144</v>
      </c>
      <c r="L2483" s="24">
        <v>427.72999999999996</v>
      </c>
      <c r="M2483" s="24">
        <f>J2483-L2483</f>
        <v>352.00000000000006</v>
      </c>
      <c r="N2483" s="53">
        <f>IF(J2483&lt;&gt;0,M2483/J2483,"")</f>
        <v>0.45143831839226406</v>
      </c>
      <c r="O2483" s="23">
        <v>0</v>
      </c>
      <c r="P2483" s="25">
        <v>0</v>
      </c>
      <c r="Q2483" s="24">
        <v>0</v>
      </c>
      <c r="R2483" s="24">
        <f>O2483-Q2483</f>
        <v>0</v>
      </c>
      <c r="S2483" s="53" t="str">
        <f>IF(O2483&lt;&gt;0,R2483/O2483,"")</f>
        <v/>
      </c>
      <c r="T2483" s="10"/>
      <c r="U2483" s="23">
        <v>0</v>
      </c>
      <c r="V2483" s="25">
        <v>0</v>
      </c>
      <c r="W2483" s="24">
        <v>0</v>
      </c>
      <c r="X2483" s="24">
        <f>U2483-W2483</f>
        <v>0</v>
      </c>
      <c r="Y2483" s="53" t="str">
        <f>IF(U2483&lt;&gt;0,X2483/U2483,"")</f>
        <v/>
      </c>
      <c r="Z2483" s="23">
        <v>1575.88</v>
      </c>
      <c r="AA2483" s="25">
        <v>288</v>
      </c>
      <c r="AB2483" s="24">
        <v>855.45999999999992</v>
      </c>
      <c r="AC2483" s="24">
        <f t="shared" si="710"/>
        <v>720.42000000000019</v>
      </c>
      <c r="AD2483" s="53">
        <f t="shared" si="711"/>
        <v>0.45715409802776868</v>
      </c>
      <c r="AE2483" s="10"/>
    </row>
    <row r="2484" spans="1:31" x14ac:dyDescent="0.25">
      <c r="A2484" s="14" t="s">
        <v>109</v>
      </c>
      <c r="C2484" s="61" t="str">
        <f t="shared" si="709"/>
        <v>C100133</v>
      </c>
      <c r="F2484" s="8" t="str">
        <f>"E100039"</f>
        <v>E100039</v>
      </c>
      <c r="G2484" s="9" t="str">
        <f>"Campfire Mug"</f>
        <v>Campfire Mug</v>
      </c>
      <c r="H2484" s="47"/>
      <c r="I2484" s="47"/>
      <c r="J2484" s="23">
        <v>1.64</v>
      </c>
      <c r="K2484" s="25">
        <v>1</v>
      </c>
      <c r="L2484" s="24">
        <v>1.1200000000000001</v>
      </c>
      <c r="M2484" s="24">
        <f>J2484-L2484</f>
        <v>0.5199999999999998</v>
      </c>
      <c r="N2484" s="53">
        <f>IF(J2484&lt;&gt;0,M2484/J2484,"")</f>
        <v>0.31707317073170721</v>
      </c>
      <c r="O2484" s="23">
        <v>0</v>
      </c>
      <c r="P2484" s="25">
        <v>0</v>
      </c>
      <c r="Q2484" s="24">
        <v>0</v>
      </c>
      <c r="R2484" s="24">
        <f>O2484-Q2484</f>
        <v>0</v>
      </c>
      <c r="S2484" s="53" t="str">
        <f>IF(O2484&lt;&gt;0,R2484/O2484,"")</f>
        <v/>
      </c>
      <c r="T2484" s="10"/>
      <c r="U2484" s="23">
        <v>0</v>
      </c>
      <c r="V2484" s="25">
        <v>0</v>
      </c>
      <c r="W2484" s="24">
        <v>0</v>
      </c>
      <c r="X2484" s="24">
        <f>U2484-W2484</f>
        <v>0</v>
      </c>
      <c r="Y2484" s="53" t="str">
        <f>IF(U2484&lt;&gt;0,X2484/U2484,"")</f>
        <v/>
      </c>
      <c r="Z2484" s="23">
        <v>242.65</v>
      </c>
      <c r="AA2484" s="25">
        <v>144</v>
      </c>
      <c r="AB2484" s="24">
        <v>161.36000000000001</v>
      </c>
      <c r="AC2484" s="24">
        <f t="shared" si="710"/>
        <v>81.289999999999992</v>
      </c>
      <c r="AD2484" s="53">
        <f t="shared" si="711"/>
        <v>0.33500927261487734</v>
      </c>
      <c r="AE2484" s="10"/>
    </row>
    <row r="2485" spans="1:31" x14ac:dyDescent="0.25">
      <c r="A2485" s="14" t="s">
        <v>109</v>
      </c>
      <c r="C2485" s="61" t="str">
        <f t="shared" si="709"/>
        <v>C100133</v>
      </c>
      <c r="F2485" s="8" t="str">
        <f>"E100043"</f>
        <v>E100043</v>
      </c>
      <c r="G2485" s="9" t="str">
        <f>"Pub Glass"</f>
        <v>Pub Glass</v>
      </c>
      <c r="H2485" s="47"/>
      <c r="I2485" s="47"/>
      <c r="J2485" s="23">
        <v>194.26</v>
      </c>
      <c r="K2485" s="25">
        <v>144</v>
      </c>
      <c r="L2485" s="24">
        <v>133.94999999999999</v>
      </c>
      <c r="M2485" s="24">
        <f>J2485-L2485</f>
        <v>60.31</v>
      </c>
      <c r="N2485" s="53">
        <f>IF(J2485&lt;&gt;0,M2485/J2485,"")</f>
        <v>0.31046020796870177</v>
      </c>
      <c r="O2485" s="23">
        <v>0</v>
      </c>
      <c r="P2485" s="25">
        <v>0</v>
      </c>
      <c r="Q2485" s="24">
        <v>0</v>
      </c>
      <c r="R2485" s="24">
        <f>O2485-Q2485</f>
        <v>0</v>
      </c>
      <c r="S2485" s="53" t="str">
        <f>IF(O2485&lt;&gt;0,R2485/O2485,"")</f>
        <v/>
      </c>
      <c r="T2485" s="10"/>
      <c r="U2485" s="23">
        <v>0</v>
      </c>
      <c r="V2485" s="25">
        <v>0</v>
      </c>
      <c r="W2485" s="24">
        <v>0</v>
      </c>
      <c r="X2485" s="24">
        <f>U2485-W2485</f>
        <v>0</v>
      </c>
      <c r="Y2485" s="53" t="str">
        <f>IF(U2485&lt;&gt;0,X2485/U2485,"")</f>
        <v/>
      </c>
      <c r="Z2485" s="23">
        <v>0</v>
      </c>
      <c r="AA2485" s="25">
        <v>0</v>
      </c>
      <c r="AB2485" s="24">
        <v>0</v>
      </c>
      <c r="AC2485" s="24">
        <f t="shared" si="710"/>
        <v>0</v>
      </c>
      <c r="AD2485" s="53" t="str">
        <f t="shared" si="711"/>
        <v/>
      </c>
      <c r="AE2485" s="10"/>
    </row>
    <row r="2486" spans="1:31" x14ac:dyDescent="0.25">
      <c r="A2486" s="14" t="s">
        <v>109</v>
      </c>
      <c r="C2486" s="61" t="str">
        <f t="shared" si="709"/>
        <v>C100133</v>
      </c>
      <c r="F2486" s="8" t="str">
        <f>"E100045"</f>
        <v>E100045</v>
      </c>
      <c r="G2486" s="9" t="str">
        <f>"Flute"</f>
        <v>Flute</v>
      </c>
      <c r="H2486" s="47"/>
      <c r="I2486" s="47"/>
      <c r="J2486" s="23">
        <v>0</v>
      </c>
      <c r="K2486" s="25">
        <v>0</v>
      </c>
      <c r="L2486" s="24">
        <v>0</v>
      </c>
      <c r="M2486" s="24">
        <f>J2486-L2486</f>
        <v>0</v>
      </c>
      <c r="N2486" s="53" t="str">
        <f>IF(J2486&lt;&gt;0,M2486/J2486,"")</f>
        <v/>
      </c>
      <c r="O2486" s="23">
        <v>5.82</v>
      </c>
      <c r="P2486" s="25">
        <v>6</v>
      </c>
      <c r="Q2486" s="24">
        <v>3.72</v>
      </c>
      <c r="R2486" s="24">
        <f>O2486-Q2486</f>
        <v>2.1</v>
      </c>
      <c r="S2486" s="53">
        <f>IF(O2486&lt;&gt;0,R2486/O2486,"")</f>
        <v>0.36082474226804123</v>
      </c>
      <c r="T2486" s="10"/>
      <c r="U2486" s="23">
        <v>0</v>
      </c>
      <c r="V2486" s="25">
        <v>0</v>
      </c>
      <c r="W2486" s="24">
        <v>0</v>
      </c>
      <c r="X2486" s="24">
        <f>U2486-W2486</f>
        <v>0</v>
      </c>
      <c r="Y2486" s="53" t="str">
        <f>IF(U2486&lt;&gt;0,X2486/U2486,"")</f>
        <v/>
      </c>
      <c r="Z2486" s="23">
        <v>0</v>
      </c>
      <c r="AA2486" s="25">
        <v>0</v>
      </c>
      <c r="AB2486" s="24">
        <v>0</v>
      </c>
      <c r="AC2486" s="24">
        <f t="shared" si="710"/>
        <v>0</v>
      </c>
      <c r="AD2486" s="53" t="str">
        <f t="shared" si="711"/>
        <v/>
      </c>
      <c r="AE2486" s="10"/>
    </row>
    <row r="2487" spans="1:31" x14ac:dyDescent="0.25">
      <c r="A2487" s="14" t="s">
        <v>109</v>
      </c>
      <c r="C2487" s="61" t="str">
        <f t="shared" si="709"/>
        <v>C100133</v>
      </c>
      <c r="F2487" s="8" t="str">
        <f>"S100003"</f>
        <v>S100003</v>
      </c>
      <c r="G2487" s="9" t="str">
        <f>"Soccer #1 Pin"</f>
        <v>Soccer #1 Pin</v>
      </c>
      <c r="H2487" s="47"/>
      <c r="I2487" s="47"/>
      <c r="J2487" s="23">
        <v>0</v>
      </c>
      <c r="K2487" s="25">
        <v>0</v>
      </c>
      <c r="L2487" s="24">
        <v>0</v>
      </c>
      <c r="M2487" s="24">
        <f>J2487-L2487</f>
        <v>0</v>
      </c>
      <c r="N2487" s="53" t="str">
        <f>IF(J2487&lt;&gt;0,M2487/J2487,"")</f>
        <v/>
      </c>
      <c r="O2487" s="23">
        <v>17.63</v>
      </c>
      <c r="P2487" s="25">
        <v>12</v>
      </c>
      <c r="Q2487" s="24">
        <v>10.8</v>
      </c>
      <c r="R2487" s="24">
        <f>O2487-Q2487</f>
        <v>6.8299999999999983</v>
      </c>
      <c r="S2487" s="53">
        <f>IF(O2487&lt;&gt;0,R2487/O2487,"")</f>
        <v>0.38740782756664771</v>
      </c>
      <c r="T2487" s="10"/>
      <c r="U2487" s="23">
        <v>0</v>
      </c>
      <c r="V2487" s="25">
        <v>0</v>
      </c>
      <c r="W2487" s="24">
        <v>0</v>
      </c>
      <c r="X2487" s="24">
        <f>U2487-W2487</f>
        <v>0</v>
      </c>
      <c r="Y2487" s="53" t="str">
        <f>IF(U2487&lt;&gt;0,X2487/U2487,"")</f>
        <v/>
      </c>
      <c r="Z2487" s="23">
        <v>209.49</v>
      </c>
      <c r="AA2487" s="25">
        <v>144</v>
      </c>
      <c r="AB2487" s="24">
        <v>129.6</v>
      </c>
      <c r="AC2487" s="24">
        <f t="shared" si="710"/>
        <v>79.890000000000015</v>
      </c>
      <c r="AD2487" s="53">
        <f t="shared" si="711"/>
        <v>0.38135471860231995</v>
      </c>
      <c r="AE2487" s="10"/>
    </row>
    <row r="2488" spans="1:31" x14ac:dyDescent="0.25">
      <c r="A2488" s="14" t="s">
        <v>109</v>
      </c>
      <c r="C2488" s="61" t="str">
        <f t="shared" si="709"/>
        <v>C100133</v>
      </c>
      <c r="F2488" s="8" t="str">
        <f>"S100020"</f>
        <v>S100020</v>
      </c>
      <c r="G2488" s="9" t="str">
        <f>"Super Sport Stopwatch"</f>
        <v>Super Sport Stopwatch</v>
      </c>
      <c r="H2488" s="47"/>
      <c r="I2488" s="47"/>
      <c r="J2488" s="23">
        <v>12.43</v>
      </c>
      <c r="K2488" s="25">
        <v>6</v>
      </c>
      <c r="L2488" s="24">
        <v>6.3</v>
      </c>
      <c r="M2488" s="24">
        <f>J2488-L2488</f>
        <v>6.13</v>
      </c>
      <c r="N2488" s="53">
        <f>IF(J2488&lt;&gt;0,M2488/J2488,"")</f>
        <v>0.49316170555108607</v>
      </c>
      <c r="O2488" s="23">
        <v>0</v>
      </c>
      <c r="P2488" s="25">
        <v>0</v>
      </c>
      <c r="Q2488" s="24">
        <v>0</v>
      </c>
      <c r="R2488" s="24">
        <f>O2488-Q2488</f>
        <v>0</v>
      </c>
      <c r="S2488" s="53" t="str">
        <f>IF(O2488&lt;&gt;0,R2488/O2488,"")</f>
        <v/>
      </c>
      <c r="T2488" s="10"/>
      <c r="U2488" s="23">
        <v>0</v>
      </c>
      <c r="V2488" s="25">
        <v>0</v>
      </c>
      <c r="W2488" s="24">
        <v>0</v>
      </c>
      <c r="X2488" s="24">
        <f>U2488-W2488</f>
        <v>0</v>
      </c>
      <c r="Y2488" s="53" t="str">
        <f>IF(U2488&lt;&gt;0,X2488/U2488,"")</f>
        <v/>
      </c>
      <c r="Z2488" s="23">
        <v>298.2</v>
      </c>
      <c r="AA2488" s="25">
        <v>144</v>
      </c>
      <c r="AB2488" s="24">
        <v>151.19999999999999</v>
      </c>
      <c r="AC2488" s="24">
        <f t="shared" si="710"/>
        <v>147</v>
      </c>
      <c r="AD2488" s="53">
        <f t="shared" si="711"/>
        <v>0.49295774647887325</v>
      </c>
      <c r="AE2488" s="10"/>
    </row>
    <row r="2489" spans="1:31" x14ac:dyDescent="0.25">
      <c r="A2489" s="14" t="s">
        <v>109</v>
      </c>
      <c r="C2489" s="61" t="str">
        <f t="shared" si="709"/>
        <v>C100133</v>
      </c>
      <c r="F2489" s="8" t="str">
        <f>"S100023"</f>
        <v>S100023</v>
      </c>
      <c r="G2489" s="9" t="str">
        <f>"Gripper SPORT BOT"</f>
        <v>Gripper SPORT BOT</v>
      </c>
      <c r="H2489" s="47"/>
      <c r="I2489" s="47"/>
      <c r="J2489" s="23">
        <v>0</v>
      </c>
      <c r="K2489" s="25">
        <v>0</v>
      </c>
      <c r="L2489" s="24">
        <v>0</v>
      </c>
      <c r="M2489" s="24">
        <f>J2489-L2489</f>
        <v>0</v>
      </c>
      <c r="N2489" s="53" t="str">
        <f>IF(J2489&lt;&gt;0,M2489/J2489,"")</f>
        <v/>
      </c>
      <c r="O2489" s="23">
        <v>280.76</v>
      </c>
      <c r="P2489" s="25">
        <v>144</v>
      </c>
      <c r="Q2489" s="24">
        <v>142.57999999999998</v>
      </c>
      <c r="R2489" s="24">
        <f>O2489-Q2489</f>
        <v>138.18</v>
      </c>
      <c r="S2489" s="53">
        <f>IF(O2489&lt;&gt;0,R2489/O2489,"")</f>
        <v>0.49216412594386671</v>
      </c>
      <c r="T2489" s="10"/>
      <c r="U2489" s="23">
        <v>0</v>
      </c>
      <c r="V2489" s="25">
        <v>0</v>
      </c>
      <c r="W2489" s="24">
        <v>0</v>
      </c>
      <c r="X2489" s="24">
        <f>U2489-W2489</f>
        <v>0</v>
      </c>
      <c r="Y2489" s="53" t="str">
        <f>IF(U2489&lt;&gt;0,X2489/U2489,"")</f>
        <v/>
      </c>
      <c r="Z2489" s="23">
        <v>13.57</v>
      </c>
      <c r="AA2489" s="25">
        <v>7</v>
      </c>
      <c r="AB2489" s="24">
        <v>6.93</v>
      </c>
      <c r="AC2489" s="24">
        <f t="shared" si="710"/>
        <v>6.6400000000000006</v>
      </c>
      <c r="AD2489" s="53">
        <f t="shared" si="711"/>
        <v>0.48931466470154755</v>
      </c>
      <c r="AE2489" s="10"/>
    </row>
    <row r="2490" spans="1:31" x14ac:dyDescent="0.25">
      <c r="A2490" s="14" t="s">
        <v>109</v>
      </c>
      <c r="C2490" s="61" t="str">
        <f t="shared" si="709"/>
        <v>C100133</v>
      </c>
      <c r="F2490" s="8" t="str">
        <f>"S100025"</f>
        <v>S100025</v>
      </c>
      <c r="G2490" s="9" t="str">
        <f>"SPORT BOT with Pop Lid"</f>
        <v>SPORT BOT with Pop Lid</v>
      </c>
      <c r="H2490" s="47"/>
      <c r="I2490" s="47"/>
      <c r="J2490" s="23">
        <v>38.75</v>
      </c>
      <c r="K2490" s="25">
        <v>24</v>
      </c>
      <c r="L2490" s="24">
        <v>23.03</v>
      </c>
      <c r="M2490" s="24">
        <f>J2490-L2490</f>
        <v>15.719999999999999</v>
      </c>
      <c r="N2490" s="53">
        <f>IF(J2490&lt;&gt;0,M2490/J2490,"")</f>
        <v>0.4056774193548387</v>
      </c>
      <c r="O2490" s="23">
        <v>0</v>
      </c>
      <c r="P2490" s="25">
        <v>0</v>
      </c>
      <c r="Q2490" s="24">
        <v>0</v>
      </c>
      <c r="R2490" s="24">
        <f>O2490-Q2490</f>
        <v>0</v>
      </c>
      <c r="S2490" s="53" t="str">
        <f>IF(O2490&lt;&gt;0,R2490/O2490,"")</f>
        <v/>
      </c>
      <c r="T2490" s="10"/>
      <c r="U2490" s="23">
        <v>0</v>
      </c>
      <c r="V2490" s="25">
        <v>0</v>
      </c>
      <c r="W2490" s="24">
        <v>0</v>
      </c>
      <c r="X2490" s="24">
        <f>U2490-W2490</f>
        <v>0</v>
      </c>
      <c r="Y2490" s="53" t="str">
        <f>IF(U2490&lt;&gt;0,X2490/U2490,"")</f>
        <v/>
      </c>
      <c r="Z2490" s="23">
        <v>0</v>
      </c>
      <c r="AA2490" s="25">
        <v>0</v>
      </c>
      <c r="AB2490" s="24">
        <v>0</v>
      </c>
      <c r="AC2490" s="24">
        <f t="shared" si="710"/>
        <v>0</v>
      </c>
      <c r="AD2490" s="53" t="str">
        <f t="shared" si="711"/>
        <v/>
      </c>
      <c r="AE2490" s="10"/>
    </row>
    <row r="2491" spans="1:31" x14ac:dyDescent="0.25">
      <c r="A2491" s="14" t="s">
        <v>109</v>
      </c>
      <c r="C2491" s="61" t="str">
        <f t="shared" si="709"/>
        <v>C100133</v>
      </c>
      <c r="F2491" s="8" t="str">
        <f>"S100026"</f>
        <v>S100026</v>
      </c>
      <c r="G2491" s="9" t="str">
        <f>"Wide SPORT BOT"</f>
        <v>Wide SPORT BOT</v>
      </c>
      <c r="H2491" s="47"/>
      <c r="I2491" s="47"/>
      <c r="J2491" s="23">
        <v>184.66</v>
      </c>
      <c r="K2491" s="25">
        <v>48</v>
      </c>
      <c r="L2491" s="24">
        <v>91.22</v>
      </c>
      <c r="M2491" s="24">
        <f>J2491-L2491</f>
        <v>93.44</v>
      </c>
      <c r="N2491" s="53">
        <f>IF(J2491&lt;&gt;0,M2491/J2491,"")</f>
        <v>0.5060110473302285</v>
      </c>
      <c r="O2491" s="23">
        <v>0</v>
      </c>
      <c r="P2491" s="25">
        <v>0</v>
      </c>
      <c r="Q2491" s="24">
        <v>0</v>
      </c>
      <c r="R2491" s="24">
        <f>O2491-Q2491</f>
        <v>0</v>
      </c>
      <c r="S2491" s="53" t="str">
        <f>IF(O2491&lt;&gt;0,R2491/O2491,"")</f>
        <v/>
      </c>
      <c r="T2491" s="10"/>
      <c r="U2491" s="23">
        <v>0</v>
      </c>
      <c r="V2491" s="25">
        <v>0</v>
      </c>
      <c r="W2491" s="24">
        <v>0</v>
      </c>
      <c r="X2491" s="24">
        <f>U2491-W2491</f>
        <v>0</v>
      </c>
      <c r="Y2491" s="53" t="str">
        <f>IF(U2491&lt;&gt;0,X2491/U2491,"")</f>
        <v/>
      </c>
      <c r="Z2491" s="23">
        <v>0</v>
      </c>
      <c r="AA2491" s="25">
        <v>0</v>
      </c>
      <c r="AB2491" s="24">
        <v>0</v>
      </c>
      <c r="AC2491" s="24">
        <f t="shared" si="710"/>
        <v>0</v>
      </c>
      <c r="AD2491" s="53" t="str">
        <f t="shared" si="711"/>
        <v/>
      </c>
      <c r="AE2491" s="10"/>
    </row>
    <row r="2492" spans="1:31" ht="15.75" thickBot="1" x14ac:dyDescent="0.3">
      <c r="A2492" s="14" t="s">
        <v>109</v>
      </c>
      <c r="C2492" s="61" t="str">
        <f>C2468</f>
        <v>C100133</v>
      </c>
      <c r="J2492" s="10"/>
      <c r="K2492" s="11"/>
      <c r="L2492" s="11"/>
      <c r="M2492" s="11"/>
      <c r="N2492" s="12"/>
      <c r="O2492" s="10"/>
      <c r="P2492" s="11"/>
      <c r="Q2492" s="11"/>
      <c r="R2492" s="11"/>
      <c r="S2492" s="12"/>
      <c r="U2492" s="10"/>
      <c r="V2492" s="11"/>
      <c r="W2492" s="11"/>
      <c r="X2492" s="11"/>
      <c r="Y2492" s="12"/>
      <c r="Z2492" s="10"/>
      <c r="AA2492" s="11"/>
      <c r="AB2492" s="11"/>
      <c r="AC2492" s="11"/>
      <c r="AD2492" s="12"/>
    </row>
    <row r="2493" spans="1:31" ht="15.75" thickBot="1" x14ac:dyDescent="0.3">
      <c r="A2493" s="14" t="s">
        <v>109</v>
      </c>
      <c r="C2493" s="61" t="str">
        <f t="shared" si="706"/>
        <v>C100133</v>
      </c>
      <c r="G2493" s="48" t="str">
        <f>C2493&amp;" TOTAL:"</f>
        <v>C100133 TOTAL:</v>
      </c>
      <c r="H2493" s="50"/>
      <c r="I2493" s="50"/>
      <c r="J2493" s="34">
        <f>SUBTOTAL(9,J2467:J2492)</f>
        <v>2884.3999999999992</v>
      </c>
      <c r="K2493" s="35">
        <f>SUBTOTAL(9,K2467:K2492)</f>
        <v>1140</v>
      </c>
      <c r="L2493" s="36">
        <f>SUBTOTAL(9,L2467:L2492)</f>
        <v>1678.3899999999999</v>
      </c>
      <c r="M2493" s="36">
        <f>J2493-L2493</f>
        <v>1206.0099999999993</v>
      </c>
      <c r="N2493" s="37">
        <f>IF(J2493&lt;&gt;0,M2493/J2493,"")</f>
        <v>0.41811468589654682</v>
      </c>
      <c r="O2493" s="34">
        <f>SUBTOTAL(9,O2467:O2492)</f>
        <v>2967.2699999999995</v>
      </c>
      <c r="P2493" s="35">
        <f>SUBTOTAL(9,P2467:P2492)</f>
        <v>955</v>
      </c>
      <c r="Q2493" s="36">
        <f>SUBTOTAL(9,Q2467:Q2492)</f>
        <v>1485.02</v>
      </c>
      <c r="R2493" s="36">
        <f>O2493-Q2493</f>
        <v>1482.2499999999995</v>
      </c>
      <c r="S2493" s="37">
        <f>IF(O2493&lt;&gt;0,R2493/O2493,"")</f>
        <v>0.49953324099256213</v>
      </c>
      <c r="U2493" s="34">
        <f>SUBTOTAL(9,U2467:U2492)</f>
        <v>0</v>
      </c>
      <c r="V2493" s="35">
        <f>SUBTOTAL(9,V2467:V2492)</f>
        <v>0</v>
      </c>
      <c r="W2493" s="36">
        <f>SUBTOTAL(9,W2467:W2492)</f>
        <v>0</v>
      </c>
      <c r="X2493" s="36">
        <f>U2493-W2493</f>
        <v>0</v>
      </c>
      <c r="Y2493" s="37" t="str">
        <f>IF(U2493&lt;&gt;0,X2493/U2493,"")</f>
        <v/>
      </c>
      <c r="Z2493" s="34">
        <f>SUBTOTAL(9,Z2467:Z2492)</f>
        <v>3557.1600000000003</v>
      </c>
      <c r="AA2493" s="35">
        <f>SUBTOTAL(9,AA2467:AA2492)</f>
        <v>1412</v>
      </c>
      <c r="AB2493" s="36">
        <f>SUBTOTAL(9,AB2467:AB2492)</f>
        <v>2007.9500000000003</v>
      </c>
      <c r="AC2493" s="36">
        <f t="shared" ref="AC2493" si="712">Z2493-AB2493</f>
        <v>1549.21</v>
      </c>
      <c r="AD2493" s="37">
        <f t="shared" ref="AD2493" si="713">IF(Z2493&lt;&gt;0,AC2493/Z2493,"")</f>
        <v>0.43551878464842736</v>
      </c>
    </row>
    <row r="2494" spans="1:31" x14ac:dyDescent="0.25">
      <c r="A2494" s="14" t="s">
        <v>109</v>
      </c>
      <c r="C2494" s="66"/>
      <c r="J2494" s="10"/>
      <c r="K2494" s="11"/>
      <c r="L2494" s="11"/>
      <c r="M2494" s="11"/>
      <c r="N2494" s="12"/>
      <c r="O2494" s="10"/>
      <c r="P2494" s="11"/>
      <c r="Q2494" s="11"/>
      <c r="R2494" s="11"/>
      <c r="S2494" s="12"/>
      <c r="U2494" s="10"/>
      <c r="V2494" s="11"/>
      <c r="W2494" s="11"/>
      <c r="X2494" s="11"/>
      <c r="Y2494" s="12"/>
      <c r="Z2494" s="10"/>
      <c r="AA2494" s="11"/>
      <c r="AB2494" s="11"/>
      <c r="AC2494" s="11"/>
      <c r="AD2494" s="12"/>
    </row>
    <row r="2495" spans="1:31" ht="15.75" x14ac:dyDescent="0.25">
      <c r="A2495" s="14" t="s">
        <v>109</v>
      </c>
      <c r="C2495" s="66" t="str">
        <f t="shared" ref="C2495" si="714">E2495</f>
        <v>C100134</v>
      </c>
      <c r="E2495" s="13" t="str">
        <f>"C100134"</f>
        <v>C100134</v>
      </c>
      <c r="F2495" s="13"/>
      <c r="G2495" s="13" t="str">
        <f>"Iber Tech"</f>
        <v>Iber Tech</v>
      </c>
      <c r="H2495" s="13"/>
      <c r="I2495" s="13"/>
      <c r="J2495" s="10"/>
      <c r="K2495" s="11"/>
      <c r="L2495" s="11"/>
      <c r="M2495" s="11"/>
      <c r="N2495" s="12"/>
      <c r="O2495" s="10"/>
      <c r="P2495" s="11"/>
      <c r="Q2495" s="11"/>
      <c r="R2495" s="11"/>
      <c r="S2495" s="12"/>
      <c r="U2495" s="10"/>
      <c r="V2495" s="11"/>
      <c r="W2495" s="11"/>
      <c r="X2495" s="11"/>
      <c r="Y2495" s="12"/>
      <c r="Z2495" s="10"/>
      <c r="AA2495" s="11"/>
      <c r="AB2495" s="11"/>
      <c r="AC2495" s="11"/>
      <c r="AD2495" s="12"/>
    </row>
    <row r="2496" spans="1:31" ht="6.6" customHeight="1" x14ac:dyDescent="0.25">
      <c r="A2496" s="14" t="s">
        <v>109</v>
      </c>
      <c r="C2496" s="61" t="str">
        <f t="shared" ref="C2496:C2522" si="715">C2495</f>
        <v>C100134</v>
      </c>
      <c r="J2496" s="10"/>
      <c r="K2496" s="11"/>
      <c r="L2496" s="11"/>
      <c r="M2496" s="11"/>
      <c r="N2496" s="12"/>
      <c r="O2496" s="10"/>
      <c r="P2496" s="11"/>
      <c r="Q2496" s="11"/>
      <c r="R2496" s="11"/>
      <c r="S2496" s="12"/>
      <c r="U2496" s="10"/>
      <c r="V2496" s="11"/>
      <c r="W2496" s="11"/>
      <c r="X2496" s="11"/>
      <c r="Y2496" s="12"/>
      <c r="Z2496" s="10"/>
      <c r="AA2496" s="11"/>
      <c r="AB2496" s="11"/>
      <c r="AC2496" s="11"/>
      <c r="AD2496" s="12"/>
    </row>
    <row r="2497" spans="1:31" x14ac:dyDescent="0.25">
      <c r="A2497" s="14" t="s">
        <v>109</v>
      </c>
      <c r="C2497" s="61" t="str">
        <f t="shared" si="715"/>
        <v>C100134</v>
      </c>
      <c r="F2497" s="8" t="str">
        <f>"C100007"</f>
        <v>C100007</v>
      </c>
      <c r="G2497" s="9" t="str">
        <f>"7.5'' Bud Vase"</f>
        <v>7.5'' Bud Vase</v>
      </c>
      <c r="H2497" s="47"/>
      <c r="I2497" s="47"/>
      <c r="J2497" s="23">
        <v>236.08</v>
      </c>
      <c r="K2497" s="25">
        <v>151</v>
      </c>
      <c r="L2497" s="24">
        <v>154.03</v>
      </c>
      <c r="M2497" s="24">
        <f>J2497-L2497</f>
        <v>82.050000000000011</v>
      </c>
      <c r="N2497" s="53">
        <f>IF(J2497&lt;&gt;0,M2497/J2497,"")</f>
        <v>0.34755167739749243</v>
      </c>
      <c r="O2497" s="23">
        <v>0</v>
      </c>
      <c r="P2497" s="25">
        <v>0</v>
      </c>
      <c r="Q2497" s="24">
        <v>0</v>
      </c>
      <c r="R2497" s="24">
        <f>O2497-Q2497</f>
        <v>0</v>
      </c>
      <c r="S2497" s="53" t="str">
        <f>IF(O2497&lt;&gt;0,R2497/O2497,"")</f>
        <v/>
      </c>
      <c r="T2497" s="10"/>
      <c r="U2497" s="23">
        <v>0</v>
      </c>
      <c r="V2497" s="25">
        <v>0</v>
      </c>
      <c r="W2497" s="24">
        <v>0</v>
      </c>
      <c r="X2497" s="24">
        <f>U2497-W2497</f>
        <v>0</v>
      </c>
      <c r="Y2497" s="53" t="str">
        <f>IF(U2497&lt;&gt;0,X2497/U2497,"")</f>
        <v/>
      </c>
      <c r="Z2497" s="23">
        <v>0</v>
      </c>
      <c r="AA2497" s="25">
        <v>0</v>
      </c>
      <c r="AB2497" s="24">
        <v>0</v>
      </c>
      <c r="AC2497" s="24">
        <f t="shared" ref="AC2497" si="716">Z2497-AB2497</f>
        <v>0</v>
      </c>
      <c r="AD2497" s="53" t="str">
        <f t="shared" ref="AD2497" si="717">IF(Z2497&lt;&gt;0,AC2497/Z2497,"")</f>
        <v/>
      </c>
      <c r="AE2497" s="10"/>
    </row>
    <row r="2498" spans="1:31" x14ac:dyDescent="0.25">
      <c r="A2498" s="14" t="s">
        <v>109</v>
      </c>
      <c r="C2498" s="61" t="str">
        <f t="shared" ref="C2498:C2520" si="718">C2497</f>
        <v>C100134</v>
      </c>
      <c r="F2498" s="8" t="str">
        <f>"C100008"</f>
        <v>C100008</v>
      </c>
      <c r="G2498" s="9" t="str">
        <f>"Glacier Vase"</f>
        <v>Glacier Vase</v>
      </c>
      <c r="H2498" s="47"/>
      <c r="I2498" s="47"/>
      <c r="J2498" s="23">
        <v>0</v>
      </c>
      <c r="K2498" s="25">
        <v>0</v>
      </c>
      <c r="L2498" s="24">
        <v>0</v>
      </c>
      <c r="M2498" s="24">
        <f>J2498-L2498</f>
        <v>0</v>
      </c>
      <c r="N2498" s="53" t="str">
        <f>IF(J2498&lt;&gt;0,M2498/J2498,"")</f>
        <v/>
      </c>
      <c r="O2498" s="23">
        <v>1277.06</v>
      </c>
      <c r="P2498" s="25">
        <v>144</v>
      </c>
      <c r="Q2498" s="24">
        <v>611.99</v>
      </c>
      <c r="R2498" s="24">
        <f>O2498-Q2498</f>
        <v>665.06999999999994</v>
      </c>
      <c r="S2498" s="53">
        <f>IF(O2498&lt;&gt;0,R2498/O2498,"")</f>
        <v>0.52078210890639431</v>
      </c>
      <c r="T2498" s="10"/>
      <c r="U2498" s="23">
        <v>0</v>
      </c>
      <c r="V2498" s="25">
        <v>0</v>
      </c>
      <c r="W2498" s="24">
        <v>0</v>
      </c>
      <c r="X2498" s="24">
        <f>U2498-W2498</f>
        <v>0</v>
      </c>
      <c r="Y2498" s="53" t="str">
        <f>IF(U2498&lt;&gt;0,X2498/U2498,"")</f>
        <v/>
      </c>
      <c r="Z2498" s="23">
        <v>0</v>
      </c>
      <c r="AA2498" s="25">
        <v>0</v>
      </c>
      <c r="AB2498" s="24">
        <v>0</v>
      </c>
      <c r="AC2498" s="24">
        <f t="shared" ref="AC2498:AC2520" si="719">Z2498-AB2498</f>
        <v>0</v>
      </c>
      <c r="AD2498" s="53" t="str">
        <f t="shared" ref="AD2498:AD2520" si="720">IF(Z2498&lt;&gt;0,AC2498/Z2498,"")</f>
        <v/>
      </c>
      <c r="AE2498" s="10"/>
    </row>
    <row r="2499" spans="1:31" x14ac:dyDescent="0.25">
      <c r="A2499" s="14" t="s">
        <v>109</v>
      </c>
      <c r="C2499" s="61" t="str">
        <f t="shared" si="718"/>
        <v>C100134</v>
      </c>
      <c r="F2499" s="8" t="str">
        <f>"C100009"</f>
        <v>C100009</v>
      </c>
      <c r="G2499" s="9" t="str">
        <f>"Normandy Vase"</f>
        <v>Normandy Vase</v>
      </c>
      <c r="H2499" s="47"/>
      <c r="I2499" s="47"/>
      <c r="J2499" s="23">
        <v>36.619999999999997</v>
      </c>
      <c r="K2499" s="25">
        <v>1</v>
      </c>
      <c r="L2499" s="24">
        <v>25.52</v>
      </c>
      <c r="M2499" s="24">
        <f>J2499-L2499</f>
        <v>11.099999999999998</v>
      </c>
      <c r="N2499" s="53">
        <f>IF(J2499&lt;&gt;0,M2499/J2499,"")</f>
        <v>0.30311305297651553</v>
      </c>
      <c r="O2499" s="23">
        <v>0</v>
      </c>
      <c r="P2499" s="25">
        <v>0</v>
      </c>
      <c r="Q2499" s="24">
        <v>0</v>
      </c>
      <c r="R2499" s="24">
        <f>O2499-Q2499</f>
        <v>0</v>
      </c>
      <c r="S2499" s="53" t="str">
        <f>IF(O2499&lt;&gt;0,R2499/O2499,"")</f>
        <v/>
      </c>
      <c r="T2499" s="10"/>
      <c r="U2499" s="23">
        <v>0</v>
      </c>
      <c r="V2499" s="25">
        <v>0</v>
      </c>
      <c r="W2499" s="24">
        <v>0</v>
      </c>
      <c r="X2499" s="24">
        <f>U2499-W2499</f>
        <v>0</v>
      </c>
      <c r="Y2499" s="53" t="str">
        <f>IF(U2499&lt;&gt;0,X2499/U2499,"")</f>
        <v/>
      </c>
      <c r="Z2499" s="23">
        <v>0</v>
      </c>
      <c r="AA2499" s="25">
        <v>0</v>
      </c>
      <c r="AB2499" s="24">
        <v>0</v>
      </c>
      <c r="AC2499" s="24">
        <f t="shared" si="719"/>
        <v>0</v>
      </c>
      <c r="AD2499" s="53" t="str">
        <f t="shared" si="720"/>
        <v/>
      </c>
      <c r="AE2499" s="10"/>
    </row>
    <row r="2500" spans="1:31" x14ac:dyDescent="0.25">
      <c r="A2500" s="14" t="s">
        <v>109</v>
      </c>
      <c r="C2500" s="61" t="str">
        <f t="shared" si="718"/>
        <v>C100134</v>
      </c>
      <c r="F2500" s="8" t="str">
        <f>"C100010"</f>
        <v>C100010</v>
      </c>
      <c r="G2500" s="9" t="str">
        <f>"Wisper-Cut Vase"</f>
        <v>Wisper-Cut Vase</v>
      </c>
      <c r="H2500" s="47"/>
      <c r="I2500" s="47"/>
      <c r="J2500" s="23">
        <v>3714.7299999999996</v>
      </c>
      <c r="K2500" s="25">
        <v>48</v>
      </c>
      <c r="L2500" s="24">
        <v>1931.99</v>
      </c>
      <c r="M2500" s="24">
        <f>J2500-L2500</f>
        <v>1782.7399999999996</v>
      </c>
      <c r="N2500" s="53">
        <f>IF(J2500&lt;&gt;0,M2500/J2500,"")</f>
        <v>0.47991105679282203</v>
      </c>
      <c r="O2500" s="23">
        <v>0</v>
      </c>
      <c r="P2500" s="25">
        <v>0</v>
      </c>
      <c r="Q2500" s="24">
        <v>0</v>
      </c>
      <c r="R2500" s="24">
        <f>O2500-Q2500</f>
        <v>0</v>
      </c>
      <c r="S2500" s="53" t="str">
        <f>IF(O2500&lt;&gt;0,R2500/O2500,"")</f>
        <v/>
      </c>
      <c r="T2500" s="10"/>
      <c r="U2500" s="23">
        <v>0</v>
      </c>
      <c r="V2500" s="25">
        <v>0</v>
      </c>
      <c r="W2500" s="24">
        <v>0</v>
      </c>
      <c r="X2500" s="24">
        <f>U2500-W2500</f>
        <v>0</v>
      </c>
      <c r="Y2500" s="53" t="str">
        <f>IF(U2500&lt;&gt;0,X2500/U2500,"")</f>
        <v/>
      </c>
      <c r="Z2500" s="23">
        <v>0</v>
      </c>
      <c r="AA2500" s="25">
        <v>0</v>
      </c>
      <c r="AB2500" s="24">
        <v>0</v>
      </c>
      <c r="AC2500" s="24">
        <f t="shared" si="719"/>
        <v>0</v>
      </c>
      <c r="AD2500" s="53" t="str">
        <f t="shared" si="720"/>
        <v/>
      </c>
      <c r="AE2500" s="10"/>
    </row>
    <row r="2501" spans="1:31" x14ac:dyDescent="0.25">
      <c r="A2501" s="14" t="s">
        <v>109</v>
      </c>
      <c r="C2501" s="61" t="str">
        <f t="shared" si="718"/>
        <v>C100134</v>
      </c>
      <c r="F2501" s="8" t="str">
        <f>"C100011"</f>
        <v>C100011</v>
      </c>
      <c r="G2501" s="9" t="str">
        <f>"Winter Frost Vase"</f>
        <v>Winter Frost Vase</v>
      </c>
      <c r="H2501" s="47"/>
      <c r="I2501" s="47"/>
      <c r="J2501" s="23">
        <v>55.529999999999994</v>
      </c>
      <c r="K2501" s="25">
        <v>1</v>
      </c>
      <c r="L2501" s="24">
        <v>38.700000000000003</v>
      </c>
      <c r="M2501" s="24">
        <f>J2501-L2501</f>
        <v>16.829999999999991</v>
      </c>
      <c r="N2501" s="53">
        <f>IF(J2501&lt;&gt;0,M2501/J2501,"")</f>
        <v>0.30307941653160442</v>
      </c>
      <c r="O2501" s="23">
        <v>0</v>
      </c>
      <c r="P2501" s="25">
        <v>0</v>
      </c>
      <c r="Q2501" s="24">
        <v>0</v>
      </c>
      <c r="R2501" s="24">
        <f>O2501-Q2501</f>
        <v>0</v>
      </c>
      <c r="S2501" s="53" t="str">
        <f>IF(O2501&lt;&gt;0,R2501/O2501,"")</f>
        <v/>
      </c>
      <c r="T2501" s="10"/>
      <c r="U2501" s="23">
        <v>0</v>
      </c>
      <c r="V2501" s="25">
        <v>0</v>
      </c>
      <c r="W2501" s="24">
        <v>0</v>
      </c>
      <c r="X2501" s="24">
        <f>U2501-W2501</f>
        <v>0</v>
      </c>
      <c r="Y2501" s="53" t="str">
        <f>IF(U2501&lt;&gt;0,X2501/U2501,"")</f>
        <v/>
      </c>
      <c r="Z2501" s="23">
        <v>0</v>
      </c>
      <c r="AA2501" s="25">
        <v>0</v>
      </c>
      <c r="AB2501" s="24">
        <v>0</v>
      </c>
      <c r="AC2501" s="24">
        <f t="shared" si="719"/>
        <v>0</v>
      </c>
      <c r="AD2501" s="53" t="str">
        <f t="shared" si="720"/>
        <v/>
      </c>
      <c r="AE2501" s="10"/>
    </row>
    <row r="2502" spans="1:31" x14ac:dyDescent="0.25">
      <c r="A2502" s="14" t="s">
        <v>109</v>
      </c>
      <c r="C2502" s="61" t="str">
        <f t="shared" si="718"/>
        <v>C100134</v>
      </c>
      <c r="F2502" s="8" t="str">
        <f>"C100031"</f>
        <v>C100031</v>
      </c>
      <c r="G2502" s="9" t="str">
        <f>"Carabiner Watch"</f>
        <v>Carabiner Watch</v>
      </c>
      <c r="H2502" s="47"/>
      <c r="I2502" s="47"/>
      <c r="J2502" s="23">
        <v>2609.98</v>
      </c>
      <c r="K2502" s="25">
        <v>144</v>
      </c>
      <c r="L2502" s="24">
        <v>1235.52</v>
      </c>
      <c r="M2502" s="24">
        <f>J2502-L2502</f>
        <v>1374.46</v>
      </c>
      <c r="N2502" s="53">
        <f>IF(J2502&lt;&gt;0,M2502/J2502,"")</f>
        <v>0.52661706219971038</v>
      </c>
      <c r="O2502" s="23">
        <v>0</v>
      </c>
      <c r="P2502" s="25">
        <v>0</v>
      </c>
      <c r="Q2502" s="24">
        <v>0</v>
      </c>
      <c r="R2502" s="24">
        <f>O2502-Q2502</f>
        <v>0</v>
      </c>
      <c r="S2502" s="53" t="str">
        <f>IF(O2502&lt;&gt;0,R2502/O2502,"")</f>
        <v/>
      </c>
      <c r="T2502" s="10"/>
      <c r="U2502" s="23">
        <v>0</v>
      </c>
      <c r="V2502" s="25">
        <v>0</v>
      </c>
      <c r="W2502" s="24">
        <v>0</v>
      </c>
      <c r="X2502" s="24">
        <f>U2502-W2502</f>
        <v>0</v>
      </c>
      <c r="Y2502" s="53" t="str">
        <f>IF(U2502&lt;&gt;0,X2502/U2502,"")</f>
        <v/>
      </c>
      <c r="Z2502" s="23">
        <v>0</v>
      </c>
      <c r="AA2502" s="25">
        <v>0</v>
      </c>
      <c r="AB2502" s="24">
        <v>0</v>
      </c>
      <c r="AC2502" s="24">
        <f t="shared" si="719"/>
        <v>0</v>
      </c>
      <c r="AD2502" s="53" t="str">
        <f t="shared" si="720"/>
        <v/>
      </c>
      <c r="AE2502" s="10"/>
    </row>
    <row r="2503" spans="1:31" x14ac:dyDescent="0.25">
      <c r="A2503" s="14" t="s">
        <v>109</v>
      </c>
      <c r="C2503" s="61" t="str">
        <f t="shared" si="718"/>
        <v>C100134</v>
      </c>
      <c r="F2503" s="8" t="str">
        <f>"C100032"</f>
        <v>C100032</v>
      </c>
      <c r="G2503" s="9" t="str">
        <f>"Clip-on Clock"</f>
        <v>Clip-on Clock</v>
      </c>
      <c r="H2503" s="47"/>
      <c r="I2503" s="47"/>
      <c r="J2503" s="23">
        <v>0</v>
      </c>
      <c r="K2503" s="25">
        <v>0</v>
      </c>
      <c r="L2503" s="24">
        <v>0</v>
      </c>
      <c r="M2503" s="24">
        <f>J2503-L2503</f>
        <v>0</v>
      </c>
      <c r="N2503" s="53" t="str">
        <f>IF(J2503&lt;&gt;0,M2503/J2503,"")</f>
        <v/>
      </c>
      <c r="O2503" s="23">
        <v>7.83</v>
      </c>
      <c r="P2503" s="25">
        <v>1</v>
      </c>
      <c r="Q2503" s="24">
        <v>4.16</v>
      </c>
      <c r="R2503" s="24">
        <f>O2503-Q2503</f>
        <v>3.67</v>
      </c>
      <c r="S2503" s="53">
        <f>IF(O2503&lt;&gt;0,R2503/O2503,"")</f>
        <v>0.46871008939974457</v>
      </c>
      <c r="T2503" s="10"/>
      <c r="U2503" s="23">
        <v>0</v>
      </c>
      <c r="V2503" s="25">
        <v>0</v>
      </c>
      <c r="W2503" s="24">
        <v>0</v>
      </c>
      <c r="X2503" s="24">
        <f>U2503-W2503</f>
        <v>0</v>
      </c>
      <c r="Y2503" s="53" t="str">
        <f>IF(U2503&lt;&gt;0,X2503/U2503,"")</f>
        <v/>
      </c>
      <c r="Z2503" s="23">
        <v>0</v>
      </c>
      <c r="AA2503" s="25">
        <v>0</v>
      </c>
      <c r="AB2503" s="24">
        <v>0</v>
      </c>
      <c r="AC2503" s="24">
        <f t="shared" si="719"/>
        <v>0</v>
      </c>
      <c r="AD2503" s="53" t="str">
        <f t="shared" si="720"/>
        <v/>
      </c>
      <c r="AE2503" s="10"/>
    </row>
    <row r="2504" spans="1:31" x14ac:dyDescent="0.25">
      <c r="A2504" s="14" t="s">
        <v>109</v>
      </c>
      <c r="C2504" s="61" t="str">
        <f t="shared" si="718"/>
        <v>C100134</v>
      </c>
      <c r="F2504" s="8" t="str">
        <f>"C100034"</f>
        <v>C100034</v>
      </c>
      <c r="G2504" s="9" t="str">
        <f>"Clock &amp; Pen Holder"</f>
        <v>Clock &amp; Pen Holder</v>
      </c>
      <c r="H2504" s="47"/>
      <c r="I2504" s="47"/>
      <c r="J2504" s="23">
        <v>0</v>
      </c>
      <c r="K2504" s="25">
        <v>0</v>
      </c>
      <c r="L2504" s="24">
        <v>0</v>
      </c>
      <c r="M2504" s="24">
        <f>J2504-L2504</f>
        <v>0</v>
      </c>
      <c r="N2504" s="53" t="str">
        <f>IF(J2504&lt;&gt;0,M2504/J2504,"")</f>
        <v/>
      </c>
      <c r="O2504" s="23">
        <v>15.69</v>
      </c>
      <c r="P2504" s="25">
        <v>1</v>
      </c>
      <c r="Q2504" s="24">
        <v>9.8800000000000008</v>
      </c>
      <c r="R2504" s="24">
        <f>O2504-Q2504</f>
        <v>5.8099999999999987</v>
      </c>
      <c r="S2504" s="53">
        <f>IF(O2504&lt;&gt;0,R2504/O2504,"")</f>
        <v>0.37029955385595914</v>
      </c>
      <c r="T2504" s="10"/>
      <c r="U2504" s="23">
        <v>0</v>
      </c>
      <c r="V2504" s="25">
        <v>0</v>
      </c>
      <c r="W2504" s="24">
        <v>0</v>
      </c>
      <c r="X2504" s="24">
        <f>U2504-W2504</f>
        <v>0</v>
      </c>
      <c r="Y2504" s="53" t="str">
        <f>IF(U2504&lt;&gt;0,X2504/U2504,"")</f>
        <v/>
      </c>
      <c r="Z2504" s="23">
        <v>0</v>
      </c>
      <c r="AA2504" s="25">
        <v>0</v>
      </c>
      <c r="AB2504" s="24">
        <v>0</v>
      </c>
      <c r="AC2504" s="24">
        <f t="shared" si="719"/>
        <v>0</v>
      </c>
      <c r="AD2504" s="53" t="str">
        <f t="shared" si="720"/>
        <v/>
      </c>
      <c r="AE2504" s="10"/>
    </row>
    <row r="2505" spans="1:31" x14ac:dyDescent="0.25">
      <c r="A2505" s="14" t="s">
        <v>109</v>
      </c>
      <c r="C2505" s="61" t="str">
        <f t="shared" si="718"/>
        <v>C100134</v>
      </c>
      <c r="F2505" s="8" t="str">
        <f>"C100035"</f>
        <v>C100035</v>
      </c>
      <c r="G2505" s="9" t="str">
        <f>"Calculator &amp; World Time Clock"</f>
        <v>Calculator &amp; World Time Clock</v>
      </c>
      <c r="H2505" s="47"/>
      <c r="I2505" s="47"/>
      <c r="J2505" s="23">
        <v>0</v>
      </c>
      <c r="K2505" s="25">
        <v>0</v>
      </c>
      <c r="L2505" s="24">
        <v>0</v>
      </c>
      <c r="M2505" s="24">
        <f>J2505-L2505</f>
        <v>0</v>
      </c>
      <c r="N2505" s="53" t="str">
        <f>IF(J2505&lt;&gt;0,M2505/J2505,"")</f>
        <v/>
      </c>
      <c r="O2505" s="23">
        <v>2.79</v>
      </c>
      <c r="P2505" s="25">
        <v>1</v>
      </c>
      <c r="Q2505" s="24">
        <v>1.96</v>
      </c>
      <c r="R2505" s="24">
        <f>O2505-Q2505</f>
        <v>0.83000000000000007</v>
      </c>
      <c r="S2505" s="53">
        <f>IF(O2505&lt;&gt;0,R2505/O2505,"")</f>
        <v>0.29749103942652333</v>
      </c>
      <c r="T2505" s="10"/>
      <c r="U2505" s="23">
        <v>0</v>
      </c>
      <c r="V2505" s="25">
        <v>0</v>
      </c>
      <c r="W2505" s="24">
        <v>0</v>
      </c>
      <c r="X2505" s="24">
        <f>U2505-W2505</f>
        <v>0</v>
      </c>
      <c r="Y2505" s="53" t="str">
        <f>IF(U2505&lt;&gt;0,X2505/U2505,"")</f>
        <v/>
      </c>
      <c r="Z2505" s="23">
        <v>0</v>
      </c>
      <c r="AA2505" s="25">
        <v>0</v>
      </c>
      <c r="AB2505" s="24">
        <v>0</v>
      </c>
      <c r="AC2505" s="24">
        <f t="shared" si="719"/>
        <v>0</v>
      </c>
      <c r="AD2505" s="53" t="str">
        <f t="shared" si="720"/>
        <v/>
      </c>
      <c r="AE2505" s="10"/>
    </row>
    <row r="2506" spans="1:31" x14ac:dyDescent="0.25">
      <c r="A2506" s="14" t="s">
        <v>109</v>
      </c>
      <c r="C2506" s="61" t="str">
        <f t="shared" si="718"/>
        <v>C100134</v>
      </c>
      <c r="F2506" s="8" t="str">
        <f>"C100037"</f>
        <v>C100037</v>
      </c>
      <c r="G2506" s="9" t="str">
        <f>"World Time Travel Alarm"</f>
        <v>World Time Travel Alarm</v>
      </c>
      <c r="H2506" s="47"/>
      <c r="I2506" s="47"/>
      <c r="J2506" s="23">
        <v>0</v>
      </c>
      <c r="K2506" s="25">
        <v>0</v>
      </c>
      <c r="L2506" s="24">
        <v>0</v>
      </c>
      <c r="M2506" s="24">
        <f>J2506-L2506</f>
        <v>0</v>
      </c>
      <c r="N2506" s="53" t="str">
        <f>IF(J2506&lt;&gt;0,M2506/J2506,"")</f>
        <v/>
      </c>
      <c r="O2506" s="23">
        <v>8.57</v>
      </c>
      <c r="P2506" s="25">
        <v>1</v>
      </c>
      <c r="Q2506" s="24">
        <v>5.4</v>
      </c>
      <c r="R2506" s="24">
        <f>O2506-Q2506</f>
        <v>3.17</v>
      </c>
      <c r="S2506" s="53">
        <f>IF(O2506&lt;&gt;0,R2506/O2506,"")</f>
        <v>0.3698949824970828</v>
      </c>
      <c r="T2506" s="10"/>
      <c r="U2506" s="23">
        <v>0</v>
      </c>
      <c r="V2506" s="25">
        <v>0</v>
      </c>
      <c r="W2506" s="24">
        <v>0</v>
      </c>
      <c r="X2506" s="24">
        <f>U2506-W2506</f>
        <v>0</v>
      </c>
      <c r="Y2506" s="53" t="str">
        <f>IF(U2506&lt;&gt;0,X2506/U2506,"")</f>
        <v/>
      </c>
      <c r="Z2506" s="23">
        <v>0</v>
      </c>
      <c r="AA2506" s="25">
        <v>0</v>
      </c>
      <c r="AB2506" s="24">
        <v>0</v>
      </c>
      <c r="AC2506" s="24">
        <f t="shared" si="719"/>
        <v>0</v>
      </c>
      <c r="AD2506" s="53" t="str">
        <f t="shared" si="720"/>
        <v/>
      </c>
      <c r="AE2506" s="10"/>
    </row>
    <row r="2507" spans="1:31" x14ac:dyDescent="0.25">
      <c r="A2507" s="14" t="s">
        <v>109</v>
      </c>
      <c r="C2507" s="61" t="str">
        <f t="shared" si="718"/>
        <v>C100134</v>
      </c>
      <c r="F2507" s="8" t="str">
        <f>"C100038"</f>
        <v>C100038</v>
      </c>
      <c r="G2507" s="9" t="str">
        <f>"Foldable Travel Speakers"</f>
        <v>Foldable Travel Speakers</v>
      </c>
      <c r="H2507" s="47"/>
      <c r="I2507" s="47"/>
      <c r="J2507" s="23">
        <v>666.34</v>
      </c>
      <c r="K2507" s="25">
        <v>144</v>
      </c>
      <c r="L2507" s="24">
        <v>459.35</v>
      </c>
      <c r="M2507" s="24">
        <f>J2507-L2507</f>
        <v>206.99</v>
      </c>
      <c r="N2507" s="53">
        <f>IF(J2507&lt;&gt;0,M2507/J2507,"")</f>
        <v>0.31063721223399465</v>
      </c>
      <c r="O2507" s="23">
        <v>680.23</v>
      </c>
      <c r="P2507" s="25">
        <v>144</v>
      </c>
      <c r="Q2507" s="24">
        <v>459.35</v>
      </c>
      <c r="R2507" s="24">
        <f>O2507-Q2507</f>
        <v>220.88</v>
      </c>
      <c r="S2507" s="53">
        <f>IF(O2507&lt;&gt;0,R2507/O2507,"")</f>
        <v>0.32471369977801623</v>
      </c>
      <c r="T2507" s="10"/>
      <c r="U2507" s="23">
        <v>0</v>
      </c>
      <c r="V2507" s="25">
        <v>0</v>
      </c>
      <c r="W2507" s="24">
        <v>0</v>
      </c>
      <c r="X2507" s="24">
        <f>U2507-W2507</f>
        <v>0</v>
      </c>
      <c r="Y2507" s="53" t="str">
        <f>IF(U2507&lt;&gt;0,X2507/U2507,"")</f>
        <v/>
      </c>
      <c r="Z2507" s="23">
        <v>0</v>
      </c>
      <c r="AA2507" s="25">
        <v>0</v>
      </c>
      <c r="AB2507" s="24">
        <v>0</v>
      </c>
      <c r="AC2507" s="24">
        <f t="shared" si="719"/>
        <v>0</v>
      </c>
      <c r="AD2507" s="53" t="str">
        <f t="shared" si="720"/>
        <v/>
      </c>
      <c r="AE2507" s="10"/>
    </row>
    <row r="2508" spans="1:31" x14ac:dyDescent="0.25">
      <c r="A2508" s="14" t="s">
        <v>109</v>
      </c>
      <c r="C2508" s="61" t="str">
        <f t="shared" si="718"/>
        <v>C100134</v>
      </c>
      <c r="F2508" s="8" t="str">
        <f>"C100040"</f>
        <v>C100040</v>
      </c>
      <c r="G2508" s="9" t="str">
        <f>"Channel Speaker System"</f>
        <v>Channel Speaker System</v>
      </c>
      <c r="H2508" s="47"/>
      <c r="I2508" s="47"/>
      <c r="J2508" s="23">
        <v>1933.52</v>
      </c>
      <c r="K2508" s="25">
        <v>48</v>
      </c>
      <c r="L2508" s="24">
        <v>996.94999999999993</v>
      </c>
      <c r="M2508" s="24">
        <f>J2508-L2508</f>
        <v>936.57</v>
      </c>
      <c r="N2508" s="53">
        <f>IF(J2508&lt;&gt;0,M2508/J2508,"")</f>
        <v>0.4843859903181762</v>
      </c>
      <c r="O2508" s="23">
        <v>239.18</v>
      </c>
      <c r="P2508" s="25">
        <v>6</v>
      </c>
      <c r="Q2508" s="24">
        <v>124.62</v>
      </c>
      <c r="R2508" s="24">
        <f>O2508-Q2508</f>
        <v>114.56</v>
      </c>
      <c r="S2508" s="53">
        <f>IF(O2508&lt;&gt;0,R2508/O2508,"")</f>
        <v>0.47896981352955931</v>
      </c>
      <c r="T2508" s="10"/>
      <c r="U2508" s="23">
        <v>0</v>
      </c>
      <c r="V2508" s="25">
        <v>0</v>
      </c>
      <c r="W2508" s="24">
        <v>0</v>
      </c>
      <c r="X2508" s="24">
        <f>U2508-W2508</f>
        <v>0</v>
      </c>
      <c r="Y2508" s="53" t="str">
        <f>IF(U2508&lt;&gt;0,X2508/U2508,"")</f>
        <v/>
      </c>
      <c r="Z2508" s="23">
        <v>0</v>
      </c>
      <c r="AA2508" s="25">
        <v>0</v>
      </c>
      <c r="AB2508" s="24">
        <v>0</v>
      </c>
      <c r="AC2508" s="24">
        <f t="shared" si="719"/>
        <v>0</v>
      </c>
      <c r="AD2508" s="53" t="str">
        <f t="shared" si="720"/>
        <v/>
      </c>
      <c r="AE2508" s="10"/>
    </row>
    <row r="2509" spans="1:31" x14ac:dyDescent="0.25">
      <c r="A2509" s="14" t="s">
        <v>109</v>
      </c>
      <c r="C2509" s="61" t="str">
        <f t="shared" si="718"/>
        <v>C100134</v>
      </c>
      <c r="F2509" s="8" t="str">
        <f>"C100041"</f>
        <v>C100041</v>
      </c>
      <c r="G2509" s="9" t="str">
        <f>"Folding Stereo Speakers"</f>
        <v>Folding Stereo Speakers</v>
      </c>
      <c r="H2509" s="47"/>
      <c r="I2509" s="47"/>
      <c r="J2509" s="23">
        <v>687.58</v>
      </c>
      <c r="K2509" s="25">
        <v>48</v>
      </c>
      <c r="L2509" s="24">
        <v>401.72999999999996</v>
      </c>
      <c r="M2509" s="24">
        <f>J2509-L2509</f>
        <v>285.85000000000008</v>
      </c>
      <c r="N2509" s="53">
        <f>IF(J2509&lt;&gt;0,M2509/J2509,"")</f>
        <v>0.41573344192675771</v>
      </c>
      <c r="O2509" s="23">
        <v>0</v>
      </c>
      <c r="P2509" s="25">
        <v>0</v>
      </c>
      <c r="Q2509" s="24">
        <v>0</v>
      </c>
      <c r="R2509" s="24">
        <f>O2509-Q2509</f>
        <v>0</v>
      </c>
      <c r="S2509" s="53" t="str">
        <f>IF(O2509&lt;&gt;0,R2509/O2509,"")</f>
        <v/>
      </c>
      <c r="T2509" s="10"/>
      <c r="U2509" s="23">
        <v>0</v>
      </c>
      <c r="V2509" s="25">
        <v>0</v>
      </c>
      <c r="W2509" s="24">
        <v>0</v>
      </c>
      <c r="X2509" s="24">
        <f>U2509-W2509</f>
        <v>0</v>
      </c>
      <c r="Y2509" s="53" t="str">
        <f>IF(U2509&lt;&gt;0,X2509/U2509,"")</f>
        <v/>
      </c>
      <c r="Z2509" s="23">
        <v>0</v>
      </c>
      <c r="AA2509" s="25">
        <v>0</v>
      </c>
      <c r="AB2509" s="24">
        <v>0</v>
      </c>
      <c r="AC2509" s="24">
        <f t="shared" si="719"/>
        <v>0</v>
      </c>
      <c r="AD2509" s="53" t="str">
        <f t="shared" si="720"/>
        <v/>
      </c>
      <c r="AE2509" s="10"/>
    </row>
    <row r="2510" spans="1:31" x14ac:dyDescent="0.25">
      <c r="A2510" s="14" t="s">
        <v>109</v>
      </c>
      <c r="C2510" s="61" t="str">
        <f t="shared" si="718"/>
        <v>C100134</v>
      </c>
      <c r="F2510" s="8" t="str">
        <f>"C100044"</f>
        <v>C100044</v>
      </c>
      <c r="G2510" s="9" t="str">
        <f>"VOIP Headset with Mic"</f>
        <v>VOIP Headset with Mic</v>
      </c>
      <c r="H2510" s="47"/>
      <c r="I2510" s="47"/>
      <c r="J2510" s="23">
        <v>73.929999999999993</v>
      </c>
      <c r="K2510" s="25">
        <v>36</v>
      </c>
      <c r="L2510" s="24">
        <v>43.21</v>
      </c>
      <c r="M2510" s="24">
        <f>J2510-L2510</f>
        <v>30.719999999999992</v>
      </c>
      <c r="N2510" s="53">
        <f>IF(J2510&lt;&gt;0,M2510/J2510,"")</f>
        <v>0.41552820235357762</v>
      </c>
      <c r="O2510" s="23">
        <v>0</v>
      </c>
      <c r="P2510" s="25">
        <v>0</v>
      </c>
      <c r="Q2510" s="24">
        <v>0</v>
      </c>
      <c r="R2510" s="24">
        <f>O2510-Q2510</f>
        <v>0</v>
      </c>
      <c r="S2510" s="53" t="str">
        <f>IF(O2510&lt;&gt;0,R2510/O2510,"")</f>
        <v/>
      </c>
      <c r="T2510" s="10"/>
      <c r="U2510" s="23">
        <v>0</v>
      </c>
      <c r="V2510" s="25">
        <v>0</v>
      </c>
      <c r="W2510" s="24">
        <v>0</v>
      </c>
      <c r="X2510" s="24">
        <f>U2510-W2510</f>
        <v>0</v>
      </c>
      <c r="Y2510" s="53" t="str">
        <f>IF(U2510&lt;&gt;0,X2510/U2510,"")</f>
        <v/>
      </c>
      <c r="Z2510" s="23">
        <v>0</v>
      </c>
      <c r="AA2510" s="25">
        <v>0</v>
      </c>
      <c r="AB2510" s="24">
        <v>0</v>
      </c>
      <c r="AC2510" s="24">
        <f t="shared" si="719"/>
        <v>0</v>
      </c>
      <c r="AD2510" s="53" t="str">
        <f t="shared" si="720"/>
        <v/>
      </c>
      <c r="AE2510" s="10"/>
    </row>
    <row r="2511" spans="1:31" x14ac:dyDescent="0.25">
      <c r="A2511" s="14" t="s">
        <v>109</v>
      </c>
      <c r="C2511" s="61" t="str">
        <f t="shared" si="718"/>
        <v>C100134</v>
      </c>
      <c r="F2511" s="8" t="str">
        <f>"C100046"</f>
        <v>C100046</v>
      </c>
      <c r="G2511" s="9" t="str">
        <f>"1GB MP3 Player"</f>
        <v>1GB MP3 Player</v>
      </c>
      <c r="H2511" s="47"/>
      <c r="I2511" s="47"/>
      <c r="J2511" s="23">
        <v>246.44</v>
      </c>
      <c r="K2511" s="25">
        <v>13</v>
      </c>
      <c r="L2511" s="24">
        <v>149.75</v>
      </c>
      <c r="M2511" s="24">
        <f>J2511-L2511</f>
        <v>96.69</v>
      </c>
      <c r="N2511" s="53">
        <f>IF(J2511&lt;&gt;0,M2511/J2511,"")</f>
        <v>0.39234702158740464</v>
      </c>
      <c r="O2511" s="23">
        <v>0</v>
      </c>
      <c r="P2511" s="25">
        <v>0</v>
      </c>
      <c r="Q2511" s="24">
        <v>0</v>
      </c>
      <c r="R2511" s="24">
        <f>O2511-Q2511</f>
        <v>0</v>
      </c>
      <c r="S2511" s="53" t="str">
        <f>IF(O2511&lt;&gt;0,R2511/O2511,"")</f>
        <v/>
      </c>
      <c r="T2511" s="10"/>
      <c r="U2511" s="23">
        <v>0</v>
      </c>
      <c r="V2511" s="25">
        <v>0</v>
      </c>
      <c r="W2511" s="24">
        <v>0</v>
      </c>
      <c r="X2511" s="24">
        <f>U2511-W2511</f>
        <v>0</v>
      </c>
      <c r="Y2511" s="53" t="str">
        <f>IF(U2511&lt;&gt;0,X2511/U2511,"")</f>
        <v/>
      </c>
      <c r="Z2511" s="23">
        <v>0</v>
      </c>
      <c r="AA2511" s="25">
        <v>0</v>
      </c>
      <c r="AB2511" s="24">
        <v>0</v>
      </c>
      <c r="AC2511" s="24">
        <f t="shared" si="719"/>
        <v>0</v>
      </c>
      <c r="AD2511" s="53" t="str">
        <f t="shared" si="720"/>
        <v/>
      </c>
      <c r="AE2511" s="10"/>
    </row>
    <row r="2512" spans="1:31" x14ac:dyDescent="0.25">
      <c r="A2512" s="14" t="s">
        <v>109</v>
      </c>
      <c r="C2512" s="61" t="str">
        <f t="shared" si="718"/>
        <v>C100134</v>
      </c>
      <c r="F2512" s="8" t="str">
        <f>"C100048"</f>
        <v>C100048</v>
      </c>
      <c r="G2512" s="9" t="str">
        <f>"USB MP3 Player"</f>
        <v>USB MP3 Player</v>
      </c>
      <c r="H2512" s="47"/>
      <c r="I2512" s="47"/>
      <c r="J2512" s="23">
        <v>0</v>
      </c>
      <c r="K2512" s="25">
        <v>0</v>
      </c>
      <c r="L2512" s="24">
        <v>0</v>
      </c>
      <c r="M2512" s="24">
        <f>J2512-L2512</f>
        <v>0</v>
      </c>
      <c r="N2512" s="53" t="str">
        <f>IF(J2512&lt;&gt;0,M2512/J2512,"")</f>
        <v/>
      </c>
      <c r="O2512" s="23">
        <v>148.53</v>
      </c>
      <c r="P2512" s="25">
        <v>12</v>
      </c>
      <c r="Q2512" s="24">
        <v>92.4</v>
      </c>
      <c r="R2512" s="24">
        <f>O2512-Q2512</f>
        <v>56.129999999999995</v>
      </c>
      <c r="S2512" s="53">
        <f>IF(O2512&lt;&gt;0,R2512/O2512,"")</f>
        <v>0.37790345384770752</v>
      </c>
      <c r="T2512" s="10"/>
      <c r="U2512" s="23">
        <v>0</v>
      </c>
      <c r="V2512" s="25">
        <v>0</v>
      </c>
      <c r="W2512" s="24">
        <v>0</v>
      </c>
      <c r="X2512" s="24">
        <f>U2512-W2512</f>
        <v>0</v>
      </c>
      <c r="Y2512" s="53" t="str">
        <f>IF(U2512&lt;&gt;0,X2512/U2512,"")</f>
        <v/>
      </c>
      <c r="Z2512" s="23">
        <v>0</v>
      </c>
      <c r="AA2512" s="25">
        <v>0</v>
      </c>
      <c r="AB2512" s="24">
        <v>0</v>
      </c>
      <c r="AC2512" s="24">
        <f t="shared" si="719"/>
        <v>0</v>
      </c>
      <c r="AD2512" s="53" t="str">
        <f t="shared" si="720"/>
        <v/>
      </c>
      <c r="AE2512" s="10"/>
    </row>
    <row r="2513" spans="1:31" x14ac:dyDescent="0.25">
      <c r="A2513" s="14" t="s">
        <v>109</v>
      </c>
      <c r="C2513" s="61" t="str">
        <f t="shared" si="718"/>
        <v>C100134</v>
      </c>
      <c r="F2513" s="8" t="str">
        <f>"C100049"</f>
        <v>C100049</v>
      </c>
      <c r="G2513" s="9" t="str">
        <f>"4GB MP3 Player"</f>
        <v>4GB MP3 Player</v>
      </c>
      <c r="H2513" s="47"/>
      <c r="I2513" s="47"/>
      <c r="J2513" s="23">
        <v>0</v>
      </c>
      <c r="K2513" s="25">
        <v>0</v>
      </c>
      <c r="L2513" s="24">
        <v>0</v>
      </c>
      <c r="M2513" s="24">
        <f>J2513-L2513</f>
        <v>0</v>
      </c>
      <c r="N2513" s="53" t="str">
        <f>IF(J2513&lt;&gt;0,M2513/J2513,"")</f>
        <v/>
      </c>
      <c r="O2513" s="23">
        <v>724.56</v>
      </c>
      <c r="P2513" s="25">
        <v>48</v>
      </c>
      <c r="Q2513" s="24">
        <v>451.17</v>
      </c>
      <c r="R2513" s="24">
        <f>O2513-Q2513</f>
        <v>273.38999999999993</v>
      </c>
      <c r="S2513" s="53">
        <f>IF(O2513&lt;&gt;0,R2513/O2513,"")</f>
        <v>0.37731864855912545</v>
      </c>
      <c r="T2513" s="10"/>
      <c r="U2513" s="23">
        <v>0</v>
      </c>
      <c r="V2513" s="25">
        <v>0</v>
      </c>
      <c r="W2513" s="24">
        <v>0</v>
      </c>
      <c r="X2513" s="24">
        <f>U2513-W2513</f>
        <v>0</v>
      </c>
      <c r="Y2513" s="53" t="str">
        <f>IF(U2513&lt;&gt;0,X2513/U2513,"")</f>
        <v/>
      </c>
      <c r="Z2513" s="23">
        <v>0</v>
      </c>
      <c r="AA2513" s="25">
        <v>0</v>
      </c>
      <c r="AB2513" s="24">
        <v>0</v>
      </c>
      <c r="AC2513" s="24">
        <f t="shared" si="719"/>
        <v>0</v>
      </c>
      <c r="AD2513" s="53" t="str">
        <f t="shared" si="720"/>
        <v/>
      </c>
      <c r="AE2513" s="10"/>
    </row>
    <row r="2514" spans="1:31" x14ac:dyDescent="0.25">
      <c r="A2514" s="14" t="s">
        <v>109</v>
      </c>
      <c r="C2514" s="61" t="str">
        <f t="shared" si="718"/>
        <v>C100134</v>
      </c>
      <c r="F2514" s="8" t="str">
        <f>"C100050"</f>
        <v>C100050</v>
      </c>
      <c r="G2514" s="9" t="str">
        <f>"Clip-on MP3 Player"</f>
        <v>Clip-on MP3 Player</v>
      </c>
      <c r="H2514" s="47"/>
      <c r="I2514" s="47"/>
      <c r="J2514" s="23">
        <v>0</v>
      </c>
      <c r="K2514" s="25">
        <v>0</v>
      </c>
      <c r="L2514" s="24">
        <v>0</v>
      </c>
      <c r="M2514" s="24">
        <f>J2514-L2514</f>
        <v>0</v>
      </c>
      <c r="N2514" s="53" t="str">
        <f>IF(J2514&lt;&gt;0,M2514/J2514,"")</f>
        <v/>
      </c>
      <c r="O2514" s="23">
        <v>2588.83</v>
      </c>
      <c r="P2514" s="25">
        <v>145</v>
      </c>
      <c r="Q2514" s="24">
        <v>1244.06</v>
      </c>
      <c r="R2514" s="24">
        <f>O2514-Q2514</f>
        <v>1344.77</v>
      </c>
      <c r="S2514" s="53">
        <f>IF(O2514&lt;&gt;0,R2514/O2514,"")</f>
        <v>0.51945087162926884</v>
      </c>
      <c r="T2514" s="10"/>
      <c r="U2514" s="23">
        <v>0</v>
      </c>
      <c r="V2514" s="25">
        <v>0</v>
      </c>
      <c r="W2514" s="24">
        <v>0</v>
      </c>
      <c r="X2514" s="24">
        <f>U2514-W2514</f>
        <v>0</v>
      </c>
      <c r="Y2514" s="53" t="str">
        <f>IF(U2514&lt;&gt;0,X2514/U2514,"")</f>
        <v/>
      </c>
      <c r="Z2514" s="23">
        <v>0</v>
      </c>
      <c r="AA2514" s="25">
        <v>0</v>
      </c>
      <c r="AB2514" s="24">
        <v>0</v>
      </c>
      <c r="AC2514" s="24">
        <f t="shared" si="719"/>
        <v>0</v>
      </c>
      <c r="AD2514" s="53" t="str">
        <f t="shared" si="720"/>
        <v/>
      </c>
      <c r="AE2514" s="10"/>
    </row>
    <row r="2515" spans="1:31" x14ac:dyDescent="0.25">
      <c r="A2515" s="14" t="s">
        <v>109</v>
      </c>
      <c r="C2515" s="61" t="str">
        <f t="shared" si="718"/>
        <v>C100134</v>
      </c>
      <c r="F2515" s="8" t="str">
        <f>"C100051"</f>
        <v>C100051</v>
      </c>
      <c r="G2515" s="9" t="str">
        <f>"Bamboo Digital Picutre Frame"</f>
        <v>Bamboo Digital Picutre Frame</v>
      </c>
      <c r="H2515" s="47"/>
      <c r="I2515" s="47"/>
      <c r="J2515" s="23">
        <v>0</v>
      </c>
      <c r="K2515" s="25">
        <v>0</v>
      </c>
      <c r="L2515" s="24">
        <v>0</v>
      </c>
      <c r="M2515" s="24">
        <f>J2515-L2515</f>
        <v>0</v>
      </c>
      <c r="N2515" s="53" t="str">
        <f>IF(J2515&lt;&gt;0,M2515/J2515,"")</f>
        <v/>
      </c>
      <c r="O2515" s="23">
        <v>2368.0100000000002</v>
      </c>
      <c r="P2515" s="25">
        <v>48</v>
      </c>
      <c r="Q2515" s="24">
        <v>1167.3800000000001</v>
      </c>
      <c r="R2515" s="24">
        <f>O2515-Q2515</f>
        <v>1200.6300000000001</v>
      </c>
      <c r="S2515" s="53">
        <f>IF(O2515&lt;&gt;0,R2515/O2515,"")</f>
        <v>0.50702066291949777</v>
      </c>
      <c r="T2515" s="10"/>
      <c r="U2515" s="23">
        <v>0</v>
      </c>
      <c r="V2515" s="25">
        <v>0</v>
      </c>
      <c r="W2515" s="24">
        <v>0</v>
      </c>
      <c r="X2515" s="24">
        <f>U2515-W2515</f>
        <v>0</v>
      </c>
      <c r="Y2515" s="53" t="str">
        <f>IF(U2515&lt;&gt;0,X2515/U2515,"")</f>
        <v/>
      </c>
      <c r="Z2515" s="23">
        <v>0</v>
      </c>
      <c r="AA2515" s="25">
        <v>0</v>
      </c>
      <c r="AB2515" s="24">
        <v>0</v>
      </c>
      <c r="AC2515" s="24">
        <f t="shared" si="719"/>
        <v>0</v>
      </c>
      <c r="AD2515" s="53" t="str">
        <f t="shared" si="720"/>
        <v/>
      </c>
      <c r="AE2515" s="10"/>
    </row>
    <row r="2516" spans="1:31" x14ac:dyDescent="0.25">
      <c r="A2516" s="14" t="s">
        <v>109</v>
      </c>
      <c r="C2516" s="61" t="str">
        <f t="shared" si="718"/>
        <v>C100134</v>
      </c>
      <c r="F2516" s="8" t="str">
        <f>"C100055"</f>
        <v>C100055</v>
      </c>
      <c r="G2516" s="9" t="str">
        <f>"Silver Plated Photo Frame"</f>
        <v>Silver Plated Photo Frame</v>
      </c>
      <c r="H2516" s="47"/>
      <c r="I2516" s="47"/>
      <c r="J2516" s="23">
        <v>445.69000000000005</v>
      </c>
      <c r="K2516" s="25">
        <v>12</v>
      </c>
      <c r="L2516" s="24">
        <v>248.41</v>
      </c>
      <c r="M2516" s="24">
        <f>J2516-L2516</f>
        <v>197.28000000000006</v>
      </c>
      <c r="N2516" s="53">
        <f>IF(J2516&lt;&gt;0,M2516/J2516,"")</f>
        <v>0.44263950279342151</v>
      </c>
      <c r="O2516" s="23">
        <v>0</v>
      </c>
      <c r="P2516" s="25">
        <v>0</v>
      </c>
      <c r="Q2516" s="24">
        <v>0</v>
      </c>
      <c r="R2516" s="24">
        <f>O2516-Q2516</f>
        <v>0</v>
      </c>
      <c r="S2516" s="53" t="str">
        <f>IF(O2516&lt;&gt;0,R2516/O2516,"")</f>
        <v/>
      </c>
      <c r="T2516" s="10"/>
      <c r="U2516" s="23">
        <v>0</v>
      </c>
      <c r="V2516" s="25">
        <v>0</v>
      </c>
      <c r="W2516" s="24">
        <v>0</v>
      </c>
      <c r="X2516" s="24">
        <f>U2516-W2516</f>
        <v>0</v>
      </c>
      <c r="Y2516" s="53" t="str">
        <f>IF(U2516&lt;&gt;0,X2516/U2516,"")</f>
        <v/>
      </c>
      <c r="Z2516" s="23">
        <v>0</v>
      </c>
      <c r="AA2516" s="25">
        <v>0</v>
      </c>
      <c r="AB2516" s="24">
        <v>0</v>
      </c>
      <c r="AC2516" s="24">
        <f t="shared" si="719"/>
        <v>0</v>
      </c>
      <c r="AD2516" s="53" t="str">
        <f t="shared" si="720"/>
        <v/>
      </c>
      <c r="AE2516" s="10"/>
    </row>
    <row r="2517" spans="1:31" x14ac:dyDescent="0.25">
      <c r="A2517" s="14" t="s">
        <v>109</v>
      </c>
      <c r="C2517" s="61" t="str">
        <f t="shared" si="718"/>
        <v>C100134</v>
      </c>
      <c r="F2517" s="8" t="str">
        <f>"E100018"</f>
        <v>E100018</v>
      </c>
      <c r="G2517" s="9" t="str">
        <f>"Flexi-Clock &amp; Clip"</f>
        <v>Flexi-Clock &amp; Clip</v>
      </c>
      <c r="H2517" s="47"/>
      <c r="I2517" s="47"/>
      <c r="J2517" s="23">
        <v>7.32</v>
      </c>
      <c r="K2517" s="25">
        <v>7</v>
      </c>
      <c r="L2517" s="24">
        <v>4.2</v>
      </c>
      <c r="M2517" s="24">
        <f>J2517-L2517</f>
        <v>3.12</v>
      </c>
      <c r="N2517" s="53">
        <f>IF(J2517&lt;&gt;0,M2517/J2517,"")</f>
        <v>0.42622950819672129</v>
      </c>
      <c r="O2517" s="23">
        <v>6.64</v>
      </c>
      <c r="P2517" s="25">
        <v>6</v>
      </c>
      <c r="Q2517" s="24">
        <v>3.6</v>
      </c>
      <c r="R2517" s="24">
        <f>O2517-Q2517</f>
        <v>3.0399999999999996</v>
      </c>
      <c r="S2517" s="53">
        <f>IF(O2517&lt;&gt;0,R2517/O2517,"")</f>
        <v>0.45783132530120479</v>
      </c>
      <c r="T2517" s="10"/>
      <c r="U2517" s="23">
        <v>0</v>
      </c>
      <c r="V2517" s="25">
        <v>0</v>
      </c>
      <c r="W2517" s="24">
        <v>0</v>
      </c>
      <c r="X2517" s="24">
        <f>U2517-W2517</f>
        <v>0</v>
      </c>
      <c r="Y2517" s="53" t="str">
        <f>IF(U2517&lt;&gt;0,X2517/U2517,"")</f>
        <v/>
      </c>
      <c r="Z2517" s="23">
        <v>0</v>
      </c>
      <c r="AA2517" s="25">
        <v>0</v>
      </c>
      <c r="AB2517" s="24">
        <v>0</v>
      </c>
      <c r="AC2517" s="24">
        <f t="shared" si="719"/>
        <v>0</v>
      </c>
      <c r="AD2517" s="53" t="str">
        <f t="shared" si="720"/>
        <v/>
      </c>
      <c r="AE2517" s="10"/>
    </row>
    <row r="2518" spans="1:31" x14ac:dyDescent="0.25">
      <c r="A2518" s="14" t="s">
        <v>109</v>
      </c>
      <c r="C2518" s="61" t="str">
        <f t="shared" si="718"/>
        <v>C100134</v>
      </c>
      <c r="F2518" s="8" t="str">
        <f>"E100019"</f>
        <v>E100019</v>
      </c>
      <c r="G2518" s="9" t="str">
        <f>"Mini Travel Alarm"</f>
        <v>Mini Travel Alarm</v>
      </c>
      <c r="H2518" s="47"/>
      <c r="I2518" s="47"/>
      <c r="J2518" s="23">
        <v>0</v>
      </c>
      <c r="K2518" s="25">
        <v>0</v>
      </c>
      <c r="L2518" s="24">
        <v>0</v>
      </c>
      <c r="M2518" s="24">
        <f>J2518-L2518</f>
        <v>0</v>
      </c>
      <c r="N2518" s="53" t="str">
        <f>IF(J2518&lt;&gt;0,M2518/J2518,"")</f>
        <v/>
      </c>
      <c r="O2518" s="23">
        <v>478.33000000000004</v>
      </c>
      <c r="P2518" s="25">
        <v>144</v>
      </c>
      <c r="Q2518" s="24">
        <v>233.26999999999998</v>
      </c>
      <c r="R2518" s="24">
        <f>O2518-Q2518</f>
        <v>245.06000000000006</v>
      </c>
      <c r="S2518" s="53">
        <f>IF(O2518&lt;&gt;0,R2518/O2518,"")</f>
        <v>0.51232412769426972</v>
      </c>
      <c r="T2518" s="10"/>
      <c r="U2518" s="23">
        <v>0</v>
      </c>
      <c r="V2518" s="25">
        <v>0</v>
      </c>
      <c r="W2518" s="24">
        <v>0</v>
      </c>
      <c r="X2518" s="24">
        <f>U2518-W2518</f>
        <v>0</v>
      </c>
      <c r="Y2518" s="53" t="str">
        <f>IF(U2518&lt;&gt;0,X2518/U2518,"")</f>
        <v/>
      </c>
      <c r="Z2518" s="23">
        <v>0</v>
      </c>
      <c r="AA2518" s="25">
        <v>0</v>
      </c>
      <c r="AB2518" s="24">
        <v>0</v>
      </c>
      <c r="AC2518" s="24">
        <f t="shared" si="719"/>
        <v>0</v>
      </c>
      <c r="AD2518" s="53" t="str">
        <f t="shared" si="720"/>
        <v/>
      </c>
      <c r="AE2518" s="10"/>
    </row>
    <row r="2519" spans="1:31" x14ac:dyDescent="0.25">
      <c r="A2519" s="14" t="s">
        <v>109</v>
      </c>
      <c r="C2519" s="61" t="str">
        <f t="shared" si="718"/>
        <v>C100134</v>
      </c>
      <c r="F2519" s="8" t="str">
        <f>"E100020"</f>
        <v>E100020</v>
      </c>
      <c r="G2519" s="9" t="str">
        <f>"Flip-up Travel Alarm"</f>
        <v>Flip-up Travel Alarm</v>
      </c>
      <c r="H2519" s="47"/>
      <c r="I2519" s="47"/>
      <c r="J2519" s="23">
        <v>0</v>
      </c>
      <c r="K2519" s="25">
        <v>0</v>
      </c>
      <c r="L2519" s="24">
        <v>0</v>
      </c>
      <c r="M2519" s="24">
        <f>J2519-L2519</f>
        <v>0</v>
      </c>
      <c r="N2519" s="53" t="str">
        <f>IF(J2519&lt;&gt;0,M2519/J2519,"")</f>
        <v/>
      </c>
      <c r="O2519" s="23">
        <v>1261.27</v>
      </c>
      <c r="P2519" s="25">
        <v>144</v>
      </c>
      <c r="Q2519" s="24">
        <v>673.93000000000006</v>
      </c>
      <c r="R2519" s="24">
        <f>O2519-Q2519</f>
        <v>587.33999999999992</v>
      </c>
      <c r="S2519" s="53">
        <f>IF(O2519&lt;&gt;0,R2519/O2519,"")</f>
        <v>0.46567348783369139</v>
      </c>
      <c r="T2519" s="10"/>
      <c r="U2519" s="23">
        <v>0</v>
      </c>
      <c r="V2519" s="25">
        <v>0</v>
      </c>
      <c r="W2519" s="24">
        <v>0</v>
      </c>
      <c r="X2519" s="24">
        <f>U2519-W2519</f>
        <v>0</v>
      </c>
      <c r="Y2519" s="53" t="str">
        <f>IF(U2519&lt;&gt;0,X2519/U2519,"")</f>
        <v/>
      </c>
      <c r="Z2519" s="23">
        <v>0</v>
      </c>
      <c r="AA2519" s="25">
        <v>0</v>
      </c>
      <c r="AB2519" s="24">
        <v>0</v>
      </c>
      <c r="AC2519" s="24">
        <f t="shared" si="719"/>
        <v>0</v>
      </c>
      <c r="AD2519" s="53" t="str">
        <f t="shared" si="720"/>
        <v/>
      </c>
      <c r="AE2519" s="10"/>
    </row>
    <row r="2520" spans="1:31" x14ac:dyDescent="0.25">
      <c r="A2520" s="14" t="s">
        <v>109</v>
      </c>
      <c r="C2520" s="61" t="str">
        <f t="shared" si="718"/>
        <v>C100134</v>
      </c>
      <c r="F2520" s="8" t="str">
        <f>"E100022"</f>
        <v>E100022</v>
      </c>
      <c r="G2520" s="9" t="str">
        <f>"Wide Screen Alarm Clock"</f>
        <v>Wide Screen Alarm Clock</v>
      </c>
      <c r="H2520" s="47"/>
      <c r="I2520" s="47"/>
      <c r="J2520" s="23">
        <v>12.96</v>
      </c>
      <c r="K2520" s="25">
        <v>7</v>
      </c>
      <c r="L2520" s="24">
        <v>8.9600000000000009</v>
      </c>
      <c r="M2520" s="24">
        <f>J2520-L2520</f>
        <v>4</v>
      </c>
      <c r="N2520" s="53">
        <f>IF(J2520&lt;&gt;0,M2520/J2520,"")</f>
        <v>0.30864197530864196</v>
      </c>
      <c r="O2520" s="23">
        <v>25.65</v>
      </c>
      <c r="P2520" s="25">
        <v>14</v>
      </c>
      <c r="Q2520" s="24">
        <v>17.920000000000002</v>
      </c>
      <c r="R2520" s="24">
        <f>O2520-Q2520</f>
        <v>7.7299999999999969</v>
      </c>
      <c r="S2520" s="53">
        <f>IF(O2520&lt;&gt;0,R2520/O2520,"")</f>
        <v>0.30136452241715389</v>
      </c>
      <c r="T2520" s="10"/>
      <c r="U2520" s="23">
        <v>0</v>
      </c>
      <c r="V2520" s="25">
        <v>0</v>
      </c>
      <c r="W2520" s="24">
        <v>0</v>
      </c>
      <c r="X2520" s="24">
        <f>U2520-W2520</f>
        <v>0</v>
      </c>
      <c r="Y2520" s="53" t="str">
        <f>IF(U2520&lt;&gt;0,X2520/U2520,"")</f>
        <v/>
      </c>
      <c r="Z2520" s="23">
        <v>0</v>
      </c>
      <c r="AA2520" s="25">
        <v>0</v>
      </c>
      <c r="AB2520" s="24">
        <v>0</v>
      </c>
      <c r="AC2520" s="24">
        <f t="shared" si="719"/>
        <v>0</v>
      </c>
      <c r="AD2520" s="53" t="str">
        <f t="shared" si="720"/>
        <v/>
      </c>
      <c r="AE2520" s="10"/>
    </row>
    <row r="2521" spans="1:31" ht="15.75" thickBot="1" x14ac:dyDescent="0.3">
      <c r="A2521" s="14" t="s">
        <v>109</v>
      </c>
      <c r="C2521" s="61" t="str">
        <f>C2497</f>
        <v>C100134</v>
      </c>
      <c r="J2521" s="10"/>
      <c r="K2521" s="11"/>
      <c r="L2521" s="11"/>
      <c r="M2521" s="11"/>
      <c r="N2521" s="12"/>
      <c r="O2521" s="10"/>
      <c r="P2521" s="11"/>
      <c r="Q2521" s="11"/>
      <c r="R2521" s="11"/>
      <c r="S2521" s="12"/>
      <c r="U2521" s="10"/>
      <c r="V2521" s="11"/>
      <c r="W2521" s="11"/>
      <c r="X2521" s="11"/>
      <c r="Y2521" s="12"/>
      <c r="Z2521" s="10"/>
      <c r="AA2521" s="11"/>
      <c r="AB2521" s="11"/>
      <c r="AC2521" s="11"/>
      <c r="AD2521" s="12"/>
    </row>
    <row r="2522" spans="1:31" ht="15.75" thickBot="1" x14ac:dyDescent="0.3">
      <c r="A2522" s="14" t="s">
        <v>109</v>
      </c>
      <c r="C2522" s="61" t="str">
        <f t="shared" si="715"/>
        <v>C100134</v>
      </c>
      <c r="G2522" s="48" t="str">
        <f>C2522&amp;" TOTAL:"</f>
        <v>C100134 TOTAL:</v>
      </c>
      <c r="H2522" s="50"/>
      <c r="I2522" s="50"/>
      <c r="J2522" s="34">
        <f>SUBTOTAL(9,J2496:J2521)</f>
        <v>10726.72</v>
      </c>
      <c r="K2522" s="35">
        <f>SUBTOTAL(9,K2496:K2521)</f>
        <v>660</v>
      </c>
      <c r="L2522" s="36">
        <f>SUBTOTAL(9,L2496:L2521)</f>
        <v>5698.3199999999988</v>
      </c>
      <c r="M2522" s="36">
        <f>J2522-L2522</f>
        <v>5028.4000000000005</v>
      </c>
      <c r="N2522" s="37">
        <f>IF(J2522&lt;&gt;0,M2522/J2522,"")</f>
        <v>0.46877330628561209</v>
      </c>
      <c r="O2522" s="34">
        <f>SUBTOTAL(9,O2496:O2521)</f>
        <v>9833.1700000000019</v>
      </c>
      <c r="P2522" s="35">
        <f>SUBTOTAL(9,P2496:P2521)</f>
        <v>859</v>
      </c>
      <c r="Q2522" s="36">
        <f>SUBTOTAL(9,Q2496:Q2521)</f>
        <v>5101.090000000002</v>
      </c>
      <c r="R2522" s="36">
        <f>O2522-Q2522</f>
        <v>4732.08</v>
      </c>
      <c r="S2522" s="37">
        <f>IF(O2522&lt;&gt;0,R2522/O2522,"")</f>
        <v>0.48123646799557002</v>
      </c>
      <c r="U2522" s="34">
        <f>SUBTOTAL(9,U2496:U2521)</f>
        <v>0</v>
      </c>
      <c r="V2522" s="35">
        <f>SUBTOTAL(9,V2496:V2521)</f>
        <v>0</v>
      </c>
      <c r="W2522" s="36">
        <f>SUBTOTAL(9,W2496:W2521)</f>
        <v>0</v>
      </c>
      <c r="X2522" s="36">
        <f>U2522-W2522</f>
        <v>0</v>
      </c>
      <c r="Y2522" s="37" t="str">
        <f>IF(U2522&lt;&gt;0,X2522/U2522,"")</f>
        <v/>
      </c>
      <c r="Z2522" s="34">
        <f>SUBTOTAL(9,Z2496:Z2521)</f>
        <v>0</v>
      </c>
      <c r="AA2522" s="35">
        <f>SUBTOTAL(9,AA2496:AA2521)</f>
        <v>0</v>
      </c>
      <c r="AB2522" s="36">
        <f>SUBTOTAL(9,AB2496:AB2521)</f>
        <v>0</v>
      </c>
      <c r="AC2522" s="36">
        <f t="shared" ref="AC2522" si="721">Z2522-AB2522</f>
        <v>0</v>
      </c>
      <c r="AD2522" s="37" t="str">
        <f t="shared" ref="AD2522" si="722">IF(Z2522&lt;&gt;0,AC2522/Z2522,"")</f>
        <v/>
      </c>
    </row>
    <row r="2523" spans="1:31" x14ac:dyDescent="0.25">
      <c r="A2523" s="14" t="s">
        <v>109</v>
      </c>
      <c r="C2523" s="66"/>
      <c r="J2523" s="10"/>
      <c r="K2523" s="11"/>
      <c r="L2523" s="11"/>
      <c r="M2523" s="11"/>
      <c r="N2523" s="12"/>
      <c r="O2523" s="10"/>
      <c r="P2523" s="11"/>
      <c r="Q2523" s="11"/>
      <c r="R2523" s="11"/>
      <c r="S2523" s="12"/>
      <c r="U2523" s="10"/>
      <c r="V2523" s="11"/>
      <c r="W2523" s="11"/>
      <c r="X2523" s="11"/>
      <c r="Y2523" s="12"/>
      <c r="Z2523" s="10"/>
      <c r="AA2523" s="11"/>
      <c r="AB2523" s="11"/>
      <c r="AC2523" s="11"/>
      <c r="AD2523" s="12"/>
    </row>
    <row r="2524" spans="1:31" ht="15.75" x14ac:dyDescent="0.25">
      <c r="A2524" s="14" t="s">
        <v>109</v>
      </c>
      <c r="C2524" s="66" t="str">
        <f t="shared" ref="C2524" si="723">E2524</f>
        <v>C100135</v>
      </c>
      <c r="E2524" s="13" t="str">
        <f>"C100135"</f>
        <v>C100135</v>
      </c>
      <c r="F2524" s="13"/>
      <c r="G2524" s="13" t="str">
        <f>"Zumi's"</f>
        <v>Zumi's</v>
      </c>
      <c r="H2524" s="13"/>
      <c r="I2524" s="13"/>
      <c r="J2524" s="10"/>
      <c r="K2524" s="11"/>
      <c r="L2524" s="11"/>
      <c r="M2524" s="11"/>
      <c r="N2524" s="12"/>
      <c r="O2524" s="10"/>
      <c r="P2524" s="11"/>
      <c r="Q2524" s="11"/>
      <c r="R2524" s="11"/>
      <c r="S2524" s="12"/>
      <c r="U2524" s="10"/>
      <c r="V2524" s="11"/>
      <c r="W2524" s="11"/>
      <c r="X2524" s="11"/>
      <c r="Y2524" s="12"/>
      <c r="Z2524" s="10"/>
      <c r="AA2524" s="11"/>
      <c r="AB2524" s="11"/>
      <c r="AC2524" s="11"/>
      <c r="AD2524" s="12"/>
    </row>
    <row r="2525" spans="1:31" ht="6.6" customHeight="1" x14ac:dyDescent="0.25">
      <c r="A2525" s="14" t="s">
        <v>109</v>
      </c>
      <c r="C2525" s="61" t="str">
        <f t="shared" ref="C2525:C2578" si="724">C2524</f>
        <v>C100135</v>
      </c>
      <c r="J2525" s="10"/>
      <c r="K2525" s="11"/>
      <c r="L2525" s="11"/>
      <c r="M2525" s="11"/>
      <c r="N2525" s="12"/>
      <c r="O2525" s="10"/>
      <c r="P2525" s="11"/>
      <c r="Q2525" s="11"/>
      <c r="R2525" s="11"/>
      <c r="S2525" s="12"/>
      <c r="U2525" s="10"/>
      <c r="V2525" s="11"/>
      <c r="W2525" s="11"/>
      <c r="X2525" s="11"/>
      <c r="Y2525" s="12"/>
      <c r="Z2525" s="10"/>
      <c r="AA2525" s="11"/>
      <c r="AB2525" s="11"/>
      <c r="AC2525" s="11"/>
      <c r="AD2525" s="12"/>
    </row>
    <row r="2526" spans="1:31" x14ac:dyDescent="0.25">
      <c r="A2526" s="14" t="s">
        <v>109</v>
      </c>
      <c r="C2526" s="61" t="str">
        <f t="shared" si="724"/>
        <v>C100135</v>
      </c>
      <c r="F2526" s="8" t="str">
        <f>"C100025"</f>
        <v>C100025</v>
      </c>
      <c r="G2526" s="9" t="str">
        <f>"Striped Knit Hat"</f>
        <v>Striped Knit Hat</v>
      </c>
      <c r="H2526" s="47"/>
      <c r="I2526" s="47"/>
      <c r="J2526" s="23">
        <v>0</v>
      </c>
      <c r="K2526" s="25">
        <v>0</v>
      </c>
      <c r="L2526" s="24">
        <v>0</v>
      </c>
      <c r="M2526" s="24">
        <f>J2526-L2526</f>
        <v>0</v>
      </c>
      <c r="N2526" s="53" t="str">
        <f>IF(J2526&lt;&gt;0,M2526/J2526,"")</f>
        <v/>
      </c>
      <c r="O2526" s="23">
        <v>420.54</v>
      </c>
      <c r="P2526" s="25">
        <v>144</v>
      </c>
      <c r="Q2526" s="24">
        <v>198.72</v>
      </c>
      <c r="R2526" s="24">
        <f>O2526-Q2526</f>
        <v>221.82000000000002</v>
      </c>
      <c r="S2526" s="53">
        <f>IF(O2526&lt;&gt;0,R2526/O2526,"")</f>
        <v>0.52746468825795412</v>
      </c>
      <c r="T2526" s="10"/>
      <c r="U2526" s="23">
        <v>841.08</v>
      </c>
      <c r="V2526" s="25">
        <v>288</v>
      </c>
      <c r="W2526" s="24">
        <v>397.44</v>
      </c>
      <c r="X2526" s="24">
        <f>U2526-W2526</f>
        <v>443.64000000000004</v>
      </c>
      <c r="Y2526" s="53">
        <f>IF(U2526&lt;&gt;0,X2526/U2526,"")</f>
        <v>0.52746468825795412</v>
      </c>
      <c r="Z2526" s="23">
        <v>0</v>
      </c>
      <c r="AA2526" s="25">
        <v>0</v>
      </c>
      <c r="AB2526" s="24">
        <v>0</v>
      </c>
      <c r="AC2526" s="24">
        <f t="shared" ref="AC2526" si="725">Z2526-AB2526</f>
        <v>0</v>
      </c>
      <c r="AD2526" s="53" t="str">
        <f t="shared" ref="AD2526" si="726">IF(Z2526&lt;&gt;0,AC2526/Z2526,"")</f>
        <v/>
      </c>
      <c r="AE2526" s="10"/>
    </row>
    <row r="2527" spans="1:31" x14ac:dyDescent="0.25">
      <c r="A2527" s="14" t="s">
        <v>109</v>
      </c>
      <c r="C2527" s="61" t="str">
        <f t="shared" ref="C2527:C2576" si="727">C2526</f>
        <v>C100135</v>
      </c>
      <c r="F2527" s="8" t="str">
        <f>"C100028"</f>
        <v>C100028</v>
      </c>
      <c r="G2527" s="9" t="str">
        <f>"Twill Visor"</f>
        <v>Twill Visor</v>
      </c>
      <c r="H2527" s="47"/>
      <c r="I2527" s="47"/>
      <c r="J2527" s="23">
        <v>721.12</v>
      </c>
      <c r="K2527" s="25">
        <v>144</v>
      </c>
      <c r="L2527" s="24">
        <v>345.61</v>
      </c>
      <c r="M2527" s="24">
        <f>J2527-L2527</f>
        <v>375.51</v>
      </c>
      <c r="N2527" s="53">
        <f>IF(J2527&lt;&gt;0,M2527/J2527,"")</f>
        <v>0.52073163967162195</v>
      </c>
      <c r="O2527" s="23">
        <v>726.13</v>
      </c>
      <c r="P2527" s="25">
        <v>145</v>
      </c>
      <c r="Q2527" s="24">
        <v>348.01</v>
      </c>
      <c r="R2527" s="24">
        <f>O2527-Q2527</f>
        <v>378.12</v>
      </c>
      <c r="S2527" s="53">
        <f>IF(O2527&lt;&gt;0,R2527/O2527,"")</f>
        <v>0.52073320204371121</v>
      </c>
      <c r="T2527" s="10"/>
      <c r="U2527" s="23">
        <v>721.12</v>
      </c>
      <c r="V2527" s="25">
        <v>144</v>
      </c>
      <c r="W2527" s="24">
        <v>345.61</v>
      </c>
      <c r="X2527" s="24">
        <f>U2527-W2527</f>
        <v>375.51</v>
      </c>
      <c r="Y2527" s="53">
        <f>IF(U2527&lt;&gt;0,X2527/U2527,"")</f>
        <v>0.52073163967162195</v>
      </c>
      <c r="Z2527" s="23">
        <v>0</v>
      </c>
      <c r="AA2527" s="25">
        <v>0</v>
      </c>
      <c r="AB2527" s="24">
        <v>0</v>
      </c>
      <c r="AC2527" s="24">
        <f t="shared" ref="AC2527:AC2576" si="728">Z2527-AB2527</f>
        <v>0</v>
      </c>
      <c r="AD2527" s="53" t="str">
        <f t="shared" ref="AD2527:AD2576" si="729">IF(Z2527&lt;&gt;0,AC2527/Z2527,"")</f>
        <v/>
      </c>
      <c r="AE2527" s="10"/>
    </row>
    <row r="2528" spans="1:31" x14ac:dyDescent="0.25">
      <c r="A2528" s="14" t="s">
        <v>109</v>
      </c>
      <c r="C2528" s="61" t="str">
        <f t="shared" si="727"/>
        <v>C100135</v>
      </c>
      <c r="F2528" s="8" t="str">
        <f>"C100035"</f>
        <v>C100035</v>
      </c>
      <c r="G2528" s="9" t="str">
        <f>"Calculator &amp; World Time Clock"</f>
        <v>Calculator &amp; World Time Clock</v>
      </c>
      <c r="H2528" s="47"/>
      <c r="I2528" s="47"/>
      <c r="J2528" s="23">
        <v>0</v>
      </c>
      <c r="K2528" s="25">
        <v>0</v>
      </c>
      <c r="L2528" s="24">
        <v>0</v>
      </c>
      <c r="M2528" s="24">
        <f>J2528-L2528</f>
        <v>0</v>
      </c>
      <c r="N2528" s="53" t="str">
        <f>IF(J2528&lt;&gt;0,M2528/J2528,"")</f>
        <v/>
      </c>
      <c r="O2528" s="23">
        <v>414.89</v>
      </c>
      <c r="P2528" s="25">
        <v>144</v>
      </c>
      <c r="Q2528" s="24">
        <v>282.24</v>
      </c>
      <c r="R2528" s="24">
        <f>O2528-Q2528</f>
        <v>132.64999999999998</v>
      </c>
      <c r="S2528" s="53">
        <f>IF(O2528&lt;&gt;0,R2528/O2528,"")</f>
        <v>0.31972330015184741</v>
      </c>
      <c r="T2528" s="10"/>
      <c r="U2528" s="23">
        <v>414.89</v>
      </c>
      <c r="V2528" s="25">
        <v>144</v>
      </c>
      <c r="W2528" s="24">
        <v>282.24</v>
      </c>
      <c r="X2528" s="24">
        <f>U2528-W2528</f>
        <v>132.64999999999998</v>
      </c>
      <c r="Y2528" s="53">
        <f>IF(U2528&lt;&gt;0,X2528/U2528,"")</f>
        <v>0.31972330015184741</v>
      </c>
      <c r="Z2528" s="23">
        <v>0</v>
      </c>
      <c r="AA2528" s="25">
        <v>0</v>
      </c>
      <c r="AB2528" s="24">
        <v>0</v>
      </c>
      <c r="AC2528" s="24">
        <f t="shared" si="728"/>
        <v>0</v>
      </c>
      <c r="AD2528" s="53" t="str">
        <f t="shared" si="729"/>
        <v/>
      </c>
      <c r="AE2528" s="10"/>
    </row>
    <row r="2529" spans="1:31" x14ac:dyDescent="0.25">
      <c r="A2529" s="14" t="s">
        <v>109</v>
      </c>
      <c r="C2529" s="61" t="str">
        <f t="shared" si="727"/>
        <v>C100135</v>
      </c>
      <c r="F2529" s="8" t="str">
        <f>"C100056"</f>
        <v>C100056</v>
      </c>
      <c r="G2529" s="9" t="str">
        <f>"Contemporary Desk Calculator"</f>
        <v>Contemporary Desk Calculator</v>
      </c>
      <c r="H2529" s="47"/>
      <c r="I2529" s="47"/>
      <c r="J2529" s="23">
        <v>0</v>
      </c>
      <c r="K2529" s="25">
        <v>0</v>
      </c>
      <c r="L2529" s="24">
        <v>0</v>
      </c>
      <c r="M2529" s="24">
        <f>J2529-L2529</f>
        <v>0</v>
      </c>
      <c r="N2529" s="53" t="str">
        <f>IF(J2529&lt;&gt;0,M2529/J2529,"")</f>
        <v/>
      </c>
      <c r="O2529" s="23">
        <v>31.929999999999996</v>
      </c>
      <c r="P2529" s="25">
        <v>6</v>
      </c>
      <c r="Q2529" s="24">
        <v>15.96</v>
      </c>
      <c r="R2529" s="24">
        <f>O2529-Q2529</f>
        <v>15.969999999999995</v>
      </c>
      <c r="S2529" s="53">
        <f>IF(O2529&lt;&gt;0,R2529/O2529,"")</f>
        <v>0.50015659254619471</v>
      </c>
      <c r="T2529" s="10"/>
      <c r="U2529" s="23">
        <v>0</v>
      </c>
      <c r="V2529" s="25">
        <v>0</v>
      </c>
      <c r="W2529" s="24">
        <v>0</v>
      </c>
      <c r="X2529" s="24">
        <f>U2529-W2529</f>
        <v>0</v>
      </c>
      <c r="Y2529" s="53" t="str">
        <f>IF(U2529&lt;&gt;0,X2529/U2529,"")</f>
        <v/>
      </c>
      <c r="Z2529" s="23">
        <v>0</v>
      </c>
      <c r="AA2529" s="25">
        <v>0</v>
      </c>
      <c r="AB2529" s="24">
        <v>0</v>
      </c>
      <c r="AC2529" s="24">
        <f t="shared" si="728"/>
        <v>0</v>
      </c>
      <c r="AD2529" s="53" t="str">
        <f t="shared" si="729"/>
        <v/>
      </c>
      <c r="AE2529" s="10"/>
    </row>
    <row r="2530" spans="1:31" x14ac:dyDescent="0.25">
      <c r="A2530" s="14" t="s">
        <v>109</v>
      </c>
      <c r="C2530" s="61" t="str">
        <f t="shared" si="727"/>
        <v>C100135</v>
      </c>
      <c r="F2530" s="8" t="str">
        <f>"C100061"</f>
        <v>C100061</v>
      </c>
      <c r="G2530" s="9" t="str">
        <f>"Bistro Mug"</f>
        <v>Bistro Mug</v>
      </c>
      <c r="H2530" s="47"/>
      <c r="I2530" s="47"/>
      <c r="J2530" s="23">
        <v>0</v>
      </c>
      <c r="K2530" s="25">
        <v>0</v>
      </c>
      <c r="L2530" s="24">
        <v>0</v>
      </c>
      <c r="M2530" s="24">
        <f>J2530-L2530</f>
        <v>0</v>
      </c>
      <c r="N2530" s="53" t="str">
        <f>IF(J2530&lt;&gt;0,M2530/J2530,"")</f>
        <v/>
      </c>
      <c r="O2530" s="23">
        <v>372.56</v>
      </c>
      <c r="P2530" s="25">
        <v>288</v>
      </c>
      <c r="Q2530" s="24">
        <v>198.54</v>
      </c>
      <c r="R2530" s="24">
        <f>O2530-Q2530</f>
        <v>174.02</v>
      </c>
      <c r="S2530" s="53">
        <f>IF(O2530&lt;&gt;0,R2530/O2530,"")</f>
        <v>0.46709254885119178</v>
      </c>
      <c r="T2530" s="10"/>
      <c r="U2530" s="23">
        <v>186.28</v>
      </c>
      <c r="V2530" s="25">
        <v>144</v>
      </c>
      <c r="W2530" s="24">
        <v>99.27</v>
      </c>
      <c r="X2530" s="24">
        <f>U2530-W2530</f>
        <v>87.01</v>
      </c>
      <c r="Y2530" s="53">
        <f>IF(U2530&lt;&gt;0,X2530/U2530,"")</f>
        <v>0.46709254885119178</v>
      </c>
      <c r="Z2530" s="23">
        <v>0</v>
      </c>
      <c r="AA2530" s="25">
        <v>0</v>
      </c>
      <c r="AB2530" s="24">
        <v>0</v>
      </c>
      <c r="AC2530" s="24">
        <f t="shared" si="728"/>
        <v>0</v>
      </c>
      <c r="AD2530" s="53" t="str">
        <f t="shared" si="729"/>
        <v/>
      </c>
      <c r="AE2530" s="10"/>
    </row>
    <row r="2531" spans="1:31" x14ac:dyDescent="0.25">
      <c r="A2531" s="14" t="s">
        <v>109</v>
      </c>
      <c r="C2531" s="61" t="str">
        <f t="shared" si="727"/>
        <v>C100135</v>
      </c>
      <c r="F2531" s="8" t="str">
        <f>"C100062"</f>
        <v>C100062</v>
      </c>
      <c r="G2531" s="9" t="str">
        <f>"Tall Matte Finish Mug"</f>
        <v>Tall Matte Finish Mug</v>
      </c>
      <c r="H2531" s="47"/>
      <c r="I2531" s="47"/>
      <c r="J2531" s="23">
        <v>14.46</v>
      </c>
      <c r="K2531" s="25">
        <v>12</v>
      </c>
      <c r="L2531" s="24">
        <v>8.16</v>
      </c>
      <c r="M2531" s="24">
        <f>J2531-L2531</f>
        <v>6.3000000000000007</v>
      </c>
      <c r="N2531" s="53">
        <f>IF(J2531&lt;&gt;0,M2531/J2531,"")</f>
        <v>0.43568464730290457</v>
      </c>
      <c r="O2531" s="23">
        <v>0</v>
      </c>
      <c r="P2531" s="25">
        <v>0</v>
      </c>
      <c r="Q2531" s="24">
        <v>0</v>
      </c>
      <c r="R2531" s="24">
        <f>O2531-Q2531</f>
        <v>0</v>
      </c>
      <c r="S2531" s="53" t="str">
        <f>IF(O2531&lt;&gt;0,R2531/O2531,"")</f>
        <v/>
      </c>
      <c r="T2531" s="10"/>
      <c r="U2531" s="23">
        <v>347.16</v>
      </c>
      <c r="V2531" s="25">
        <v>288</v>
      </c>
      <c r="W2531" s="24">
        <v>195.85000000000002</v>
      </c>
      <c r="X2531" s="24">
        <f>U2531-W2531</f>
        <v>151.31</v>
      </c>
      <c r="Y2531" s="53">
        <f>IF(U2531&lt;&gt;0,X2531/U2531,"")</f>
        <v>0.43585090448208319</v>
      </c>
      <c r="Z2531" s="23">
        <v>0</v>
      </c>
      <c r="AA2531" s="25">
        <v>0</v>
      </c>
      <c r="AB2531" s="24">
        <v>0</v>
      </c>
      <c r="AC2531" s="24">
        <f t="shared" si="728"/>
        <v>0</v>
      </c>
      <c r="AD2531" s="53" t="str">
        <f t="shared" si="729"/>
        <v/>
      </c>
      <c r="AE2531" s="10"/>
    </row>
    <row r="2532" spans="1:31" x14ac:dyDescent="0.25">
      <c r="A2532" s="14" t="s">
        <v>109</v>
      </c>
      <c r="C2532" s="61" t="str">
        <f t="shared" si="727"/>
        <v>C100135</v>
      </c>
      <c r="F2532" s="8" t="str">
        <f>"C100063"</f>
        <v>C100063</v>
      </c>
      <c r="G2532" s="9" t="str">
        <f>"Soup Mug"</f>
        <v>Soup Mug</v>
      </c>
      <c r="H2532" s="47"/>
      <c r="I2532" s="47"/>
      <c r="J2532" s="23">
        <v>234.26</v>
      </c>
      <c r="K2532" s="25">
        <v>144</v>
      </c>
      <c r="L2532" s="24">
        <v>133.94999999999999</v>
      </c>
      <c r="M2532" s="24">
        <f>J2532-L2532</f>
        <v>100.31</v>
      </c>
      <c r="N2532" s="53">
        <f>IF(J2532&lt;&gt;0,M2532/J2532,"")</f>
        <v>0.42819943652352088</v>
      </c>
      <c r="O2532" s="23">
        <v>0</v>
      </c>
      <c r="P2532" s="25">
        <v>0</v>
      </c>
      <c r="Q2532" s="24">
        <v>0</v>
      </c>
      <c r="R2532" s="24">
        <f>O2532-Q2532</f>
        <v>0</v>
      </c>
      <c r="S2532" s="53" t="str">
        <f>IF(O2532&lt;&gt;0,R2532/O2532,"")</f>
        <v/>
      </c>
      <c r="T2532" s="10"/>
      <c r="U2532" s="23">
        <v>0</v>
      </c>
      <c r="V2532" s="25">
        <v>0</v>
      </c>
      <c r="W2532" s="24">
        <v>0</v>
      </c>
      <c r="X2532" s="24">
        <f>U2532-W2532</f>
        <v>0</v>
      </c>
      <c r="Y2532" s="53" t="str">
        <f>IF(U2532&lt;&gt;0,X2532/U2532,"")</f>
        <v/>
      </c>
      <c r="Z2532" s="23">
        <v>0</v>
      </c>
      <c r="AA2532" s="25">
        <v>0</v>
      </c>
      <c r="AB2532" s="24">
        <v>0</v>
      </c>
      <c r="AC2532" s="24">
        <f t="shared" si="728"/>
        <v>0</v>
      </c>
      <c r="AD2532" s="53" t="str">
        <f t="shared" si="729"/>
        <v/>
      </c>
      <c r="AE2532" s="10"/>
    </row>
    <row r="2533" spans="1:31" x14ac:dyDescent="0.25">
      <c r="A2533" s="14" t="s">
        <v>109</v>
      </c>
      <c r="C2533" s="61" t="str">
        <f t="shared" si="727"/>
        <v>C100135</v>
      </c>
      <c r="F2533" s="8" t="str">
        <f>"C100066"</f>
        <v>C100066</v>
      </c>
      <c r="G2533" s="9" t="str">
        <f>"Fashion Travel Mug"</f>
        <v>Fashion Travel Mug</v>
      </c>
      <c r="H2533" s="47"/>
      <c r="I2533" s="47"/>
      <c r="J2533" s="23">
        <v>1019.59</v>
      </c>
      <c r="K2533" s="25">
        <v>289</v>
      </c>
      <c r="L2533" s="24">
        <v>476.90000000000003</v>
      </c>
      <c r="M2533" s="24">
        <f>J2533-L2533</f>
        <v>542.69000000000005</v>
      </c>
      <c r="N2533" s="53">
        <f>IF(J2533&lt;&gt;0,M2533/J2533,"")</f>
        <v>0.53226296844810173</v>
      </c>
      <c r="O2533" s="23">
        <v>0</v>
      </c>
      <c r="P2533" s="25">
        <v>0</v>
      </c>
      <c r="Q2533" s="24">
        <v>0</v>
      </c>
      <c r="R2533" s="24">
        <f>O2533-Q2533</f>
        <v>0</v>
      </c>
      <c r="S2533" s="53" t="str">
        <f>IF(O2533&lt;&gt;0,R2533/O2533,"")</f>
        <v/>
      </c>
      <c r="T2533" s="10"/>
      <c r="U2533" s="23">
        <v>0</v>
      </c>
      <c r="V2533" s="25">
        <v>0</v>
      </c>
      <c r="W2533" s="24">
        <v>0</v>
      </c>
      <c r="X2533" s="24">
        <f>U2533-W2533</f>
        <v>0</v>
      </c>
      <c r="Y2533" s="53" t="str">
        <f>IF(U2533&lt;&gt;0,X2533/U2533,"")</f>
        <v/>
      </c>
      <c r="Z2533" s="23">
        <v>0</v>
      </c>
      <c r="AA2533" s="25">
        <v>0</v>
      </c>
      <c r="AB2533" s="24">
        <v>0</v>
      </c>
      <c r="AC2533" s="24">
        <f t="shared" si="728"/>
        <v>0</v>
      </c>
      <c r="AD2533" s="53" t="str">
        <f t="shared" si="729"/>
        <v/>
      </c>
      <c r="AE2533" s="10"/>
    </row>
    <row r="2534" spans="1:31" x14ac:dyDescent="0.25">
      <c r="A2534" s="14" t="s">
        <v>109</v>
      </c>
      <c r="C2534" s="61" t="str">
        <f t="shared" si="727"/>
        <v>C100135</v>
      </c>
      <c r="F2534" s="8" t="str">
        <f>"E100003"</f>
        <v>E100003</v>
      </c>
      <c r="G2534" s="9" t="str">
        <f>"Recycled Tote"</f>
        <v>Recycled Tote</v>
      </c>
      <c r="H2534" s="47"/>
      <c r="I2534" s="47"/>
      <c r="J2534" s="23">
        <v>0</v>
      </c>
      <c r="K2534" s="25">
        <v>0</v>
      </c>
      <c r="L2534" s="24">
        <v>0</v>
      </c>
      <c r="M2534" s="24">
        <f>J2534-L2534</f>
        <v>0</v>
      </c>
      <c r="N2534" s="53" t="str">
        <f>IF(J2534&lt;&gt;0,M2534/J2534,"")</f>
        <v/>
      </c>
      <c r="O2534" s="23">
        <v>436.06</v>
      </c>
      <c r="P2534" s="25">
        <v>144</v>
      </c>
      <c r="Q2534" s="24">
        <v>244.81000000000003</v>
      </c>
      <c r="R2534" s="24">
        <f>O2534-Q2534</f>
        <v>191.24999999999997</v>
      </c>
      <c r="S2534" s="53">
        <f>IF(O2534&lt;&gt;0,R2534/O2534,"")</f>
        <v>0.4385864330596706</v>
      </c>
      <c r="T2534" s="10"/>
      <c r="U2534" s="23">
        <v>436.06</v>
      </c>
      <c r="V2534" s="25">
        <v>144</v>
      </c>
      <c r="W2534" s="24">
        <v>244.81000000000003</v>
      </c>
      <c r="X2534" s="24">
        <f>U2534-W2534</f>
        <v>191.24999999999997</v>
      </c>
      <c r="Y2534" s="53">
        <f>IF(U2534&lt;&gt;0,X2534/U2534,"")</f>
        <v>0.4385864330596706</v>
      </c>
      <c r="Z2534" s="23">
        <v>0</v>
      </c>
      <c r="AA2534" s="25">
        <v>0</v>
      </c>
      <c r="AB2534" s="24">
        <v>0</v>
      </c>
      <c r="AC2534" s="24">
        <f t="shared" si="728"/>
        <v>0</v>
      </c>
      <c r="AD2534" s="53" t="str">
        <f t="shared" si="729"/>
        <v/>
      </c>
      <c r="AE2534" s="10"/>
    </row>
    <row r="2535" spans="1:31" x14ac:dyDescent="0.25">
      <c r="A2535" s="14" t="s">
        <v>109</v>
      </c>
      <c r="C2535" s="61" t="str">
        <f t="shared" si="727"/>
        <v>C100135</v>
      </c>
      <c r="F2535" s="8" t="str">
        <f>"E100004"</f>
        <v>E100004</v>
      </c>
      <c r="G2535" s="9" t="str">
        <f>"Laminated Tote"</f>
        <v>Laminated Tote</v>
      </c>
      <c r="H2535" s="47"/>
      <c r="I2535" s="47"/>
      <c r="J2535" s="23">
        <v>22.11</v>
      </c>
      <c r="K2535" s="25">
        <v>12</v>
      </c>
      <c r="L2535" s="24">
        <v>14.4</v>
      </c>
      <c r="M2535" s="24">
        <f>J2535-L2535</f>
        <v>7.7099999999999991</v>
      </c>
      <c r="N2535" s="53">
        <f>IF(J2535&lt;&gt;0,M2535/J2535,"")</f>
        <v>0.34871099050203525</v>
      </c>
      <c r="O2535" s="23">
        <v>0</v>
      </c>
      <c r="P2535" s="25">
        <v>0</v>
      </c>
      <c r="Q2535" s="24">
        <v>0</v>
      </c>
      <c r="R2535" s="24">
        <f>O2535-Q2535</f>
        <v>0</v>
      </c>
      <c r="S2535" s="53" t="str">
        <f>IF(O2535&lt;&gt;0,R2535/O2535,"")</f>
        <v/>
      </c>
      <c r="T2535" s="10"/>
      <c r="U2535" s="23">
        <v>1.84</v>
      </c>
      <c r="V2535" s="25">
        <v>1</v>
      </c>
      <c r="W2535" s="24">
        <v>1.2</v>
      </c>
      <c r="X2535" s="24">
        <f>U2535-W2535</f>
        <v>0.64000000000000012</v>
      </c>
      <c r="Y2535" s="53">
        <f>IF(U2535&lt;&gt;0,X2535/U2535,"")</f>
        <v>0.34782608695652178</v>
      </c>
      <c r="Z2535" s="23">
        <v>0</v>
      </c>
      <c r="AA2535" s="25">
        <v>0</v>
      </c>
      <c r="AB2535" s="24">
        <v>0</v>
      </c>
      <c r="AC2535" s="24">
        <f t="shared" si="728"/>
        <v>0</v>
      </c>
      <c r="AD2535" s="53" t="str">
        <f t="shared" si="729"/>
        <v/>
      </c>
      <c r="AE2535" s="10"/>
    </row>
    <row r="2536" spans="1:31" x14ac:dyDescent="0.25">
      <c r="A2536" s="14" t="s">
        <v>109</v>
      </c>
      <c r="C2536" s="61" t="str">
        <f t="shared" si="727"/>
        <v>C100135</v>
      </c>
      <c r="F2536" s="8" t="str">
        <f>"E100006"</f>
        <v>E100006</v>
      </c>
      <c r="G2536" s="9" t="str">
        <f>"Budget Tote Bag"</f>
        <v>Budget Tote Bag</v>
      </c>
      <c r="H2536" s="47"/>
      <c r="I2536" s="47"/>
      <c r="J2536" s="23">
        <v>1.59</v>
      </c>
      <c r="K2536" s="25">
        <v>18</v>
      </c>
      <c r="L2536" s="24">
        <v>0.72</v>
      </c>
      <c r="M2536" s="24">
        <f>J2536-L2536</f>
        <v>0.87000000000000011</v>
      </c>
      <c r="N2536" s="53">
        <f>IF(J2536&lt;&gt;0,M2536/J2536,"")</f>
        <v>0.54716981132075471</v>
      </c>
      <c r="O2536" s="23">
        <v>0.18</v>
      </c>
      <c r="P2536" s="25">
        <v>2</v>
      </c>
      <c r="Q2536" s="24">
        <v>0.08</v>
      </c>
      <c r="R2536" s="24">
        <f>O2536-Q2536</f>
        <v>9.9999999999999992E-2</v>
      </c>
      <c r="S2536" s="53">
        <f>IF(O2536&lt;&gt;0,R2536/O2536,"")</f>
        <v>0.55555555555555558</v>
      </c>
      <c r="T2536" s="10"/>
      <c r="U2536" s="23">
        <v>12.88</v>
      </c>
      <c r="V2536" s="25">
        <v>146</v>
      </c>
      <c r="W2536" s="24">
        <v>5.83</v>
      </c>
      <c r="X2536" s="24">
        <f>U2536-W2536</f>
        <v>7.0500000000000007</v>
      </c>
      <c r="Y2536" s="53">
        <f>IF(U2536&lt;&gt;0,X2536/U2536,"")</f>
        <v>0.54736024844720499</v>
      </c>
      <c r="Z2536" s="23">
        <v>0</v>
      </c>
      <c r="AA2536" s="25">
        <v>0</v>
      </c>
      <c r="AB2536" s="24">
        <v>0</v>
      </c>
      <c r="AC2536" s="24">
        <f t="shared" si="728"/>
        <v>0</v>
      </c>
      <c r="AD2536" s="53" t="str">
        <f t="shared" si="729"/>
        <v/>
      </c>
      <c r="AE2536" s="10"/>
    </row>
    <row r="2537" spans="1:31" x14ac:dyDescent="0.25">
      <c r="A2537" s="14" t="s">
        <v>109</v>
      </c>
      <c r="C2537" s="61" t="str">
        <f t="shared" si="727"/>
        <v>C100135</v>
      </c>
      <c r="F2537" s="8" t="str">
        <f>"E100007"</f>
        <v>E100007</v>
      </c>
      <c r="G2537" s="9" t="str">
        <f>"Plastic Handle Bag"</f>
        <v>Plastic Handle Bag</v>
      </c>
      <c r="H2537" s="47"/>
      <c r="I2537" s="47"/>
      <c r="J2537" s="23">
        <v>0</v>
      </c>
      <c r="K2537" s="25">
        <v>0</v>
      </c>
      <c r="L2537" s="24">
        <v>0</v>
      </c>
      <c r="M2537" s="24">
        <f>J2537-L2537</f>
        <v>0</v>
      </c>
      <c r="N2537" s="53" t="str">
        <f>IF(J2537&lt;&gt;0,M2537/J2537,"")</f>
        <v/>
      </c>
      <c r="O2537" s="23">
        <v>0.32</v>
      </c>
      <c r="P2537" s="25">
        <v>1</v>
      </c>
      <c r="Q2537" s="24">
        <v>0.18</v>
      </c>
      <c r="R2537" s="24">
        <f>O2537-Q2537</f>
        <v>0.14000000000000001</v>
      </c>
      <c r="S2537" s="53">
        <f>IF(O2537&lt;&gt;0,R2537/O2537,"")</f>
        <v>0.43750000000000006</v>
      </c>
      <c r="T2537" s="10"/>
      <c r="U2537" s="23">
        <v>62.089999999999996</v>
      </c>
      <c r="V2537" s="25">
        <v>192</v>
      </c>
      <c r="W2537" s="24">
        <v>34.56</v>
      </c>
      <c r="X2537" s="24">
        <f>U2537-W2537</f>
        <v>27.529999999999994</v>
      </c>
      <c r="Y2537" s="53">
        <f>IF(U2537&lt;&gt;0,X2537/U2537,"")</f>
        <v>0.44338862940892249</v>
      </c>
      <c r="Z2537" s="23">
        <v>0</v>
      </c>
      <c r="AA2537" s="25">
        <v>0</v>
      </c>
      <c r="AB2537" s="24">
        <v>0</v>
      </c>
      <c r="AC2537" s="24">
        <f t="shared" si="728"/>
        <v>0</v>
      </c>
      <c r="AD2537" s="53" t="str">
        <f t="shared" si="729"/>
        <v/>
      </c>
      <c r="AE2537" s="10"/>
    </row>
    <row r="2538" spans="1:31" x14ac:dyDescent="0.25">
      <c r="A2538" s="14" t="s">
        <v>109</v>
      </c>
      <c r="C2538" s="61" t="str">
        <f t="shared" si="727"/>
        <v>C100135</v>
      </c>
      <c r="F2538" s="8" t="str">
        <f>"E100008"</f>
        <v>E100008</v>
      </c>
      <c r="G2538" s="9" t="str">
        <f>"Super Shopper"</f>
        <v>Super Shopper</v>
      </c>
      <c r="H2538" s="47"/>
      <c r="I2538" s="47"/>
      <c r="J2538" s="23">
        <v>0</v>
      </c>
      <c r="K2538" s="25">
        <v>0</v>
      </c>
      <c r="L2538" s="24">
        <v>0</v>
      </c>
      <c r="M2538" s="24">
        <f>J2538-L2538</f>
        <v>0</v>
      </c>
      <c r="N2538" s="53" t="str">
        <f>IF(J2538&lt;&gt;0,M2538/J2538,"")</f>
        <v/>
      </c>
      <c r="O2538" s="23">
        <v>5.87</v>
      </c>
      <c r="P2538" s="25">
        <v>26</v>
      </c>
      <c r="Q2538" s="24">
        <v>3.12</v>
      </c>
      <c r="R2538" s="24">
        <f>O2538-Q2538</f>
        <v>2.75</v>
      </c>
      <c r="S2538" s="53">
        <f>IF(O2538&lt;&gt;0,R2538/O2538,"")</f>
        <v>0.4684838160136286</v>
      </c>
      <c r="T2538" s="10"/>
      <c r="U2538" s="23">
        <v>97.6</v>
      </c>
      <c r="V2538" s="25">
        <v>433</v>
      </c>
      <c r="W2538" s="24">
        <v>51.99</v>
      </c>
      <c r="X2538" s="24">
        <f>U2538-W2538</f>
        <v>45.609999999999992</v>
      </c>
      <c r="Y2538" s="53">
        <f>IF(U2538&lt;&gt;0,X2538/U2538,"")</f>
        <v>0.46731557377049177</v>
      </c>
      <c r="Z2538" s="23">
        <v>0</v>
      </c>
      <c r="AA2538" s="25">
        <v>0</v>
      </c>
      <c r="AB2538" s="24">
        <v>0</v>
      </c>
      <c r="AC2538" s="24">
        <f t="shared" si="728"/>
        <v>0</v>
      </c>
      <c r="AD2538" s="53" t="str">
        <f t="shared" si="729"/>
        <v/>
      </c>
      <c r="AE2538" s="10"/>
    </row>
    <row r="2539" spans="1:31" x14ac:dyDescent="0.25">
      <c r="A2539" s="14" t="s">
        <v>109</v>
      </c>
      <c r="C2539" s="61" t="str">
        <f t="shared" si="727"/>
        <v>C100135</v>
      </c>
      <c r="F2539" s="8" t="str">
        <f>"E100009"</f>
        <v>E100009</v>
      </c>
      <c r="G2539" s="9" t="str">
        <f>"Die-Cut Tote"</f>
        <v>Die-Cut Tote</v>
      </c>
      <c r="H2539" s="47"/>
      <c r="I2539" s="47"/>
      <c r="J2539" s="23">
        <v>0.23</v>
      </c>
      <c r="K2539" s="25">
        <v>1</v>
      </c>
      <c r="L2539" s="24">
        <v>0.11</v>
      </c>
      <c r="M2539" s="24">
        <f>J2539-L2539</f>
        <v>0.12000000000000001</v>
      </c>
      <c r="N2539" s="53">
        <f>IF(J2539&lt;&gt;0,M2539/J2539,"")</f>
        <v>0.52173913043478259</v>
      </c>
      <c r="O2539" s="23">
        <v>32.92</v>
      </c>
      <c r="P2539" s="25">
        <v>146</v>
      </c>
      <c r="Q2539" s="24">
        <v>16.07</v>
      </c>
      <c r="R2539" s="24">
        <f>O2539-Q2539</f>
        <v>16.850000000000001</v>
      </c>
      <c r="S2539" s="53">
        <f>IF(O2539&lt;&gt;0,R2539/O2539,"")</f>
        <v>0.5118469015795869</v>
      </c>
      <c r="T2539" s="10"/>
      <c r="U2539" s="23">
        <v>0</v>
      </c>
      <c r="V2539" s="25">
        <v>0</v>
      </c>
      <c r="W2539" s="24">
        <v>0</v>
      </c>
      <c r="X2539" s="24">
        <f>U2539-W2539</f>
        <v>0</v>
      </c>
      <c r="Y2539" s="53" t="str">
        <f>IF(U2539&lt;&gt;0,X2539/U2539,"")</f>
        <v/>
      </c>
      <c r="Z2539" s="23">
        <v>0</v>
      </c>
      <c r="AA2539" s="25">
        <v>0</v>
      </c>
      <c r="AB2539" s="24">
        <v>0</v>
      </c>
      <c r="AC2539" s="24">
        <f t="shared" si="728"/>
        <v>0</v>
      </c>
      <c r="AD2539" s="53" t="str">
        <f t="shared" si="729"/>
        <v/>
      </c>
      <c r="AE2539" s="10"/>
    </row>
    <row r="2540" spans="1:31" x14ac:dyDescent="0.25">
      <c r="A2540" s="14" t="s">
        <v>109</v>
      </c>
      <c r="C2540" s="61" t="str">
        <f t="shared" si="727"/>
        <v>C100135</v>
      </c>
      <c r="F2540" s="8" t="str">
        <f>"E100011"</f>
        <v>E100011</v>
      </c>
      <c r="G2540" s="9" t="str">
        <f>"Plastic Sun Visor"</f>
        <v>Plastic Sun Visor</v>
      </c>
      <c r="H2540" s="47"/>
      <c r="I2540" s="47"/>
      <c r="J2540" s="23">
        <v>0</v>
      </c>
      <c r="K2540" s="25">
        <v>0</v>
      </c>
      <c r="L2540" s="24">
        <v>0</v>
      </c>
      <c r="M2540" s="24">
        <f>J2540-L2540</f>
        <v>0</v>
      </c>
      <c r="N2540" s="53" t="str">
        <f>IF(J2540&lt;&gt;0,M2540/J2540,"")</f>
        <v/>
      </c>
      <c r="O2540" s="23">
        <v>119.86</v>
      </c>
      <c r="P2540" s="25">
        <v>151</v>
      </c>
      <c r="Q2540" s="24">
        <v>63.41</v>
      </c>
      <c r="R2540" s="24">
        <f>O2540-Q2540</f>
        <v>56.45</v>
      </c>
      <c r="S2540" s="53">
        <f>IF(O2540&lt;&gt;0,R2540/O2540,"")</f>
        <v>0.47096612714833974</v>
      </c>
      <c r="T2540" s="10"/>
      <c r="U2540" s="23">
        <v>0.79</v>
      </c>
      <c r="V2540" s="25">
        <v>1</v>
      </c>
      <c r="W2540" s="24">
        <v>0.42</v>
      </c>
      <c r="X2540" s="24">
        <f>U2540-W2540</f>
        <v>0.37000000000000005</v>
      </c>
      <c r="Y2540" s="53">
        <f>IF(U2540&lt;&gt;0,X2540/U2540,"")</f>
        <v>0.46835443037974689</v>
      </c>
      <c r="Z2540" s="23">
        <v>0</v>
      </c>
      <c r="AA2540" s="25">
        <v>0</v>
      </c>
      <c r="AB2540" s="24">
        <v>0</v>
      </c>
      <c r="AC2540" s="24">
        <f t="shared" si="728"/>
        <v>0</v>
      </c>
      <c r="AD2540" s="53" t="str">
        <f t="shared" si="729"/>
        <v/>
      </c>
      <c r="AE2540" s="10"/>
    </row>
    <row r="2541" spans="1:31" x14ac:dyDescent="0.25">
      <c r="A2541" s="14" t="s">
        <v>109</v>
      </c>
      <c r="C2541" s="61" t="str">
        <f t="shared" si="727"/>
        <v>C100135</v>
      </c>
      <c r="F2541" s="8" t="str">
        <f>"E100013"</f>
        <v>E100013</v>
      </c>
      <c r="G2541" s="9" t="str">
        <f>"Clip-on Stopwatch"</f>
        <v>Clip-on Stopwatch</v>
      </c>
      <c r="H2541" s="47"/>
      <c r="I2541" s="47"/>
      <c r="J2541" s="23">
        <v>0</v>
      </c>
      <c r="K2541" s="25">
        <v>0</v>
      </c>
      <c r="L2541" s="24">
        <v>0</v>
      </c>
      <c r="M2541" s="24">
        <f>J2541-L2541</f>
        <v>0</v>
      </c>
      <c r="N2541" s="53" t="str">
        <f>IF(J2541&lt;&gt;0,M2541/J2541,"")</f>
        <v/>
      </c>
      <c r="O2541" s="23">
        <v>5.4</v>
      </c>
      <c r="P2541" s="25">
        <v>2</v>
      </c>
      <c r="Q2541" s="24">
        <v>2.88</v>
      </c>
      <c r="R2541" s="24">
        <f>O2541-Q2541</f>
        <v>2.5200000000000005</v>
      </c>
      <c r="S2541" s="53">
        <f>IF(O2541&lt;&gt;0,R2541/O2541,"")</f>
        <v>0.46666666666666673</v>
      </c>
      <c r="T2541" s="10"/>
      <c r="U2541" s="23">
        <v>0</v>
      </c>
      <c r="V2541" s="25">
        <v>0</v>
      </c>
      <c r="W2541" s="24">
        <v>0</v>
      </c>
      <c r="X2541" s="24">
        <f>U2541-W2541</f>
        <v>0</v>
      </c>
      <c r="Y2541" s="53" t="str">
        <f>IF(U2541&lt;&gt;0,X2541/U2541,"")</f>
        <v/>
      </c>
      <c r="Z2541" s="23">
        <v>0</v>
      </c>
      <c r="AA2541" s="25">
        <v>0</v>
      </c>
      <c r="AB2541" s="24">
        <v>0</v>
      </c>
      <c r="AC2541" s="24">
        <f t="shared" si="728"/>
        <v>0</v>
      </c>
      <c r="AD2541" s="53" t="str">
        <f t="shared" si="729"/>
        <v/>
      </c>
      <c r="AE2541" s="10"/>
    </row>
    <row r="2542" spans="1:31" x14ac:dyDescent="0.25">
      <c r="A2542" s="14" t="s">
        <v>109</v>
      </c>
      <c r="C2542" s="61" t="str">
        <f t="shared" si="727"/>
        <v>C100135</v>
      </c>
      <c r="F2542" s="8" t="str">
        <f>"E100016"</f>
        <v>E100016</v>
      </c>
      <c r="G2542" s="9" t="str">
        <f>"4 Function Rotating Carabiner Watch"</f>
        <v>4 Function Rotating Carabiner Watch</v>
      </c>
      <c r="H2542" s="47"/>
      <c r="I2542" s="47"/>
      <c r="J2542" s="23">
        <v>0</v>
      </c>
      <c r="K2542" s="25">
        <v>0</v>
      </c>
      <c r="L2542" s="24">
        <v>0</v>
      </c>
      <c r="M2542" s="24">
        <f>J2542-L2542</f>
        <v>0</v>
      </c>
      <c r="N2542" s="53" t="str">
        <f>IF(J2542&lt;&gt;0,M2542/J2542,"")</f>
        <v/>
      </c>
      <c r="O2542" s="23">
        <v>429.00000000000006</v>
      </c>
      <c r="P2542" s="25">
        <v>144</v>
      </c>
      <c r="Q2542" s="24">
        <v>198.73000000000002</v>
      </c>
      <c r="R2542" s="24">
        <f>O2542-Q2542</f>
        <v>230.27000000000004</v>
      </c>
      <c r="S2542" s="53">
        <f>IF(O2542&lt;&gt;0,R2542/O2542,"")</f>
        <v>0.53675990675990681</v>
      </c>
      <c r="T2542" s="10"/>
      <c r="U2542" s="23">
        <v>0</v>
      </c>
      <c r="V2542" s="25">
        <v>0</v>
      </c>
      <c r="W2542" s="24">
        <v>0</v>
      </c>
      <c r="X2542" s="24">
        <f>U2542-W2542</f>
        <v>0</v>
      </c>
      <c r="Y2542" s="53" t="str">
        <f>IF(U2542&lt;&gt;0,X2542/U2542,"")</f>
        <v/>
      </c>
      <c r="Z2542" s="23">
        <v>0</v>
      </c>
      <c r="AA2542" s="25">
        <v>0</v>
      </c>
      <c r="AB2542" s="24">
        <v>0</v>
      </c>
      <c r="AC2542" s="24">
        <f t="shared" si="728"/>
        <v>0</v>
      </c>
      <c r="AD2542" s="53" t="str">
        <f t="shared" si="729"/>
        <v/>
      </c>
      <c r="AE2542" s="10"/>
    </row>
    <row r="2543" spans="1:31" x14ac:dyDescent="0.25">
      <c r="A2543" s="14" t="s">
        <v>109</v>
      </c>
      <c r="C2543" s="61" t="str">
        <f t="shared" si="727"/>
        <v>C100135</v>
      </c>
      <c r="F2543" s="8" t="str">
        <f>"E100017"</f>
        <v>E100017</v>
      </c>
      <c r="G2543" s="9" t="str">
        <f>"Clip-on Clock with Compass"</f>
        <v>Clip-on Clock with Compass</v>
      </c>
      <c r="H2543" s="47"/>
      <c r="I2543" s="47"/>
      <c r="J2543" s="23">
        <v>0</v>
      </c>
      <c r="K2543" s="25">
        <v>0</v>
      </c>
      <c r="L2543" s="24">
        <v>0</v>
      </c>
      <c r="M2543" s="24">
        <f>J2543-L2543</f>
        <v>0</v>
      </c>
      <c r="N2543" s="53" t="str">
        <f>IF(J2543&lt;&gt;0,M2543/J2543,"")</f>
        <v/>
      </c>
      <c r="O2543" s="23">
        <v>73.38</v>
      </c>
      <c r="P2543" s="25">
        <v>48</v>
      </c>
      <c r="Q2543" s="24">
        <v>42.24</v>
      </c>
      <c r="R2543" s="24">
        <f>O2543-Q2543</f>
        <v>31.139999999999993</v>
      </c>
      <c r="S2543" s="53">
        <f>IF(O2543&lt;&gt;0,R2543/O2543,"")</f>
        <v>0.42436631234668842</v>
      </c>
      <c r="T2543" s="10"/>
      <c r="U2543" s="23">
        <v>302.7</v>
      </c>
      <c r="V2543" s="25">
        <v>198.00000000000003</v>
      </c>
      <c r="W2543" s="24">
        <v>174.23</v>
      </c>
      <c r="X2543" s="24">
        <f>U2543-W2543</f>
        <v>128.47</v>
      </c>
      <c r="Y2543" s="53">
        <f>IF(U2543&lt;&gt;0,X2543/U2543,"")</f>
        <v>0.42441361083581103</v>
      </c>
      <c r="Z2543" s="23">
        <v>0</v>
      </c>
      <c r="AA2543" s="25">
        <v>0</v>
      </c>
      <c r="AB2543" s="24">
        <v>0</v>
      </c>
      <c r="AC2543" s="24">
        <f t="shared" si="728"/>
        <v>0</v>
      </c>
      <c r="AD2543" s="53" t="str">
        <f t="shared" si="729"/>
        <v/>
      </c>
      <c r="AE2543" s="10"/>
    </row>
    <row r="2544" spans="1:31" x14ac:dyDescent="0.25">
      <c r="A2544" s="14" t="s">
        <v>109</v>
      </c>
      <c r="C2544" s="61" t="str">
        <f t="shared" si="727"/>
        <v>C100135</v>
      </c>
      <c r="F2544" s="8" t="str">
        <f>"E100018"</f>
        <v>E100018</v>
      </c>
      <c r="G2544" s="9" t="str">
        <f>"Flexi-Clock &amp; Clip"</f>
        <v>Flexi-Clock &amp; Clip</v>
      </c>
      <c r="H2544" s="47"/>
      <c r="I2544" s="47"/>
      <c r="J2544" s="23">
        <v>160.57</v>
      </c>
      <c r="K2544" s="25">
        <v>145</v>
      </c>
      <c r="L2544" s="24">
        <v>86.990000000000009</v>
      </c>
      <c r="M2544" s="24">
        <f>J2544-L2544</f>
        <v>73.579999999999984</v>
      </c>
      <c r="N2544" s="53">
        <f>IF(J2544&lt;&gt;0,M2544/J2544,"")</f>
        <v>0.45824251105436875</v>
      </c>
      <c r="O2544" s="23">
        <v>0</v>
      </c>
      <c r="P2544" s="25">
        <v>0</v>
      </c>
      <c r="Q2544" s="24">
        <v>0</v>
      </c>
      <c r="R2544" s="24">
        <f>O2544-Q2544</f>
        <v>0</v>
      </c>
      <c r="S2544" s="53" t="str">
        <f>IF(O2544&lt;&gt;0,R2544/O2544,"")</f>
        <v/>
      </c>
      <c r="T2544" s="10"/>
      <c r="U2544" s="23">
        <v>159.47</v>
      </c>
      <c r="V2544" s="25">
        <v>144</v>
      </c>
      <c r="W2544" s="24">
        <v>86.39</v>
      </c>
      <c r="X2544" s="24">
        <f>U2544-W2544</f>
        <v>73.08</v>
      </c>
      <c r="Y2544" s="53">
        <f>IF(U2544&lt;&gt;0,X2544/U2544,"")</f>
        <v>0.45826801279237472</v>
      </c>
      <c r="Z2544" s="23">
        <v>0</v>
      </c>
      <c r="AA2544" s="25">
        <v>0</v>
      </c>
      <c r="AB2544" s="24">
        <v>0</v>
      </c>
      <c r="AC2544" s="24">
        <f t="shared" si="728"/>
        <v>0</v>
      </c>
      <c r="AD2544" s="53" t="str">
        <f t="shared" si="729"/>
        <v/>
      </c>
      <c r="AE2544" s="10"/>
    </row>
    <row r="2545" spans="1:31" x14ac:dyDescent="0.25">
      <c r="A2545" s="14" t="s">
        <v>109</v>
      </c>
      <c r="C2545" s="61" t="str">
        <f t="shared" si="727"/>
        <v>C100135</v>
      </c>
      <c r="F2545" s="8" t="str">
        <f>"E100021"</f>
        <v>E100021</v>
      </c>
      <c r="G2545" s="9" t="str">
        <f>"Slim Travel Alarm"</f>
        <v>Slim Travel Alarm</v>
      </c>
      <c r="H2545" s="47"/>
      <c r="I2545" s="47"/>
      <c r="J2545" s="23">
        <v>0</v>
      </c>
      <c r="K2545" s="25">
        <v>0</v>
      </c>
      <c r="L2545" s="24">
        <v>0</v>
      </c>
      <c r="M2545" s="24">
        <f>J2545-L2545</f>
        <v>0</v>
      </c>
      <c r="N2545" s="53" t="str">
        <f>IF(J2545&lt;&gt;0,M2545/J2545,"")</f>
        <v/>
      </c>
      <c r="O2545" s="23">
        <v>440.29999999999995</v>
      </c>
      <c r="P2545" s="25">
        <v>156</v>
      </c>
      <c r="Q2545" s="24">
        <v>224.63</v>
      </c>
      <c r="R2545" s="24">
        <f>O2545-Q2545</f>
        <v>215.66999999999996</v>
      </c>
      <c r="S2545" s="53">
        <f>IF(O2545&lt;&gt;0,R2545/O2545,"")</f>
        <v>0.48982511923688388</v>
      </c>
      <c r="T2545" s="10"/>
      <c r="U2545" s="23">
        <v>0</v>
      </c>
      <c r="V2545" s="25">
        <v>0</v>
      </c>
      <c r="W2545" s="24">
        <v>0</v>
      </c>
      <c r="X2545" s="24">
        <f>U2545-W2545</f>
        <v>0</v>
      </c>
      <c r="Y2545" s="53" t="str">
        <f>IF(U2545&lt;&gt;0,X2545/U2545,"")</f>
        <v/>
      </c>
      <c r="Z2545" s="23">
        <v>0</v>
      </c>
      <c r="AA2545" s="25">
        <v>0</v>
      </c>
      <c r="AB2545" s="24">
        <v>0</v>
      </c>
      <c r="AC2545" s="24">
        <f t="shared" si="728"/>
        <v>0</v>
      </c>
      <c r="AD2545" s="53" t="str">
        <f t="shared" si="729"/>
        <v/>
      </c>
      <c r="AE2545" s="10"/>
    </row>
    <row r="2546" spans="1:31" x14ac:dyDescent="0.25">
      <c r="A2546" s="14" t="s">
        <v>109</v>
      </c>
      <c r="C2546" s="61" t="str">
        <f t="shared" si="727"/>
        <v>C100135</v>
      </c>
      <c r="F2546" s="8" t="str">
        <f>"E100022"</f>
        <v>E100022</v>
      </c>
      <c r="G2546" s="9" t="str">
        <f>"Wide Screen Alarm Clock"</f>
        <v>Wide Screen Alarm Clock</v>
      </c>
      <c r="H2546" s="47"/>
      <c r="I2546" s="47"/>
      <c r="J2546" s="23">
        <v>0</v>
      </c>
      <c r="K2546" s="25">
        <v>0</v>
      </c>
      <c r="L2546" s="24">
        <v>0</v>
      </c>
      <c r="M2546" s="24">
        <f>J2546-L2546</f>
        <v>0</v>
      </c>
      <c r="N2546" s="53" t="str">
        <f>IF(J2546&lt;&gt;0,M2546/J2546,"")</f>
        <v/>
      </c>
      <c r="O2546" s="23">
        <v>283.71000000000004</v>
      </c>
      <c r="P2546" s="25">
        <v>150</v>
      </c>
      <c r="Q2546" s="24">
        <v>191.98999999999998</v>
      </c>
      <c r="R2546" s="24">
        <f>O2546-Q2546</f>
        <v>91.720000000000056</v>
      </c>
      <c r="S2546" s="53">
        <f>IF(O2546&lt;&gt;0,R2546/O2546,"")</f>
        <v>0.32328786436854551</v>
      </c>
      <c r="T2546" s="10"/>
      <c r="U2546" s="23">
        <v>1.89</v>
      </c>
      <c r="V2546" s="25">
        <v>1</v>
      </c>
      <c r="W2546" s="24">
        <v>1.28</v>
      </c>
      <c r="X2546" s="24">
        <f>U2546-W2546</f>
        <v>0.60999999999999988</v>
      </c>
      <c r="Y2546" s="53">
        <f>IF(U2546&lt;&gt;0,X2546/U2546,"")</f>
        <v>0.32275132275132268</v>
      </c>
      <c r="Z2546" s="23">
        <v>0</v>
      </c>
      <c r="AA2546" s="25">
        <v>0</v>
      </c>
      <c r="AB2546" s="24">
        <v>0</v>
      </c>
      <c r="AC2546" s="24">
        <f t="shared" si="728"/>
        <v>0</v>
      </c>
      <c r="AD2546" s="53" t="str">
        <f t="shared" si="729"/>
        <v/>
      </c>
      <c r="AE2546" s="10"/>
    </row>
    <row r="2547" spans="1:31" x14ac:dyDescent="0.25">
      <c r="A2547" s="14" t="s">
        <v>109</v>
      </c>
      <c r="C2547" s="61" t="str">
        <f t="shared" si="727"/>
        <v>C100135</v>
      </c>
      <c r="F2547" s="8" t="str">
        <f>"E100024"</f>
        <v>E100024</v>
      </c>
      <c r="G2547" s="9" t="str">
        <f>"Arch Calculator"</f>
        <v>Arch Calculator</v>
      </c>
      <c r="H2547" s="47"/>
      <c r="I2547" s="47"/>
      <c r="J2547" s="23">
        <v>448.76</v>
      </c>
      <c r="K2547" s="25">
        <v>144</v>
      </c>
      <c r="L2547" s="24">
        <v>247.59</v>
      </c>
      <c r="M2547" s="24">
        <f>J2547-L2547</f>
        <v>201.17</v>
      </c>
      <c r="N2547" s="53">
        <f>IF(J2547&lt;&gt;0,M2547/J2547,"")</f>
        <v>0.44827970407344681</v>
      </c>
      <c r="O2547" s="23">
        <v>0</v>
      </c>
      <c r="P2547" s="25">
        <v>0</v>
      </c>
      <c r="Q2547" s="24">
        <v>0</v>
      </c>
      <c r="R2547" s="24">
        <f>O2547-Q2547</f>
        <v>0</v>
      </c>
      <c r="S2547" s="53" t="str">
        <f>IF(O2547&lt;&gt;0,R2547/O2547,"")</f>
        <v/>
      </c>
      <c r="T2547" s="10"/>
      <c r="U2547" s="23">
        <v>149.59</v>
      </c>
      <c r="V2547" s="25">
        <v>48</v>
      </c>
      <c r="W2547" s="24">
        <v>82.53</v>
      </c>
      <c r="X2547" s="24">
        <f>U2547-W2547</f>
        <v>67.06</v>
      </c>
      <c r="Y2547" s="53">
        <f>IF(U2547&lt;&gt;0,X2547/U2547,"")</f>
        <v>0.44829199812821713</v>
      </c>
      <c r="Z2547" s="23">
        <v>0</v>
      </c>
      <c r="AA2547" s="25">
        <v>0</v>
      </c>
      <c r="AB2547" s="24">
        <v>0</v>
      </c>
      <c r="AC2547" s="24">
        <f t="shared" si="728"/>
        <v>0</v>
      </c>
      <c r="AD2547" s="53" t="str">
        <f t="shared" si="729"/>
        <v/>
      </c>
      <c r="AE2547" s="10"/>
    </row>
    <row r="2548" spans="1:31" x14ac:dyDescent="0.25">
      <c r="A2548" s="14" t="s">
        <v>109</v>
      </c>
      <c r="C2548" s="61" t="str">
        <f t="shared" si="727"/>
        <v>C100135</v>
      </c>
      <c r="F2548" s="8" t="str">
        <f>"E100027"</f>
        <v>E100027</v>
      </c>
      <c r="G2548" s="9" t="str">
        <f>"Ergo-Calculator"</f>
        <v>Ergo-Calculator</v>
      </c>
      <c r="H2548" s="47"/>
      <c r="I2548" s="47"/>
      <c r="J2548" s="23">
        <v>0</v>
      </c>
      <c r="K2548" s="25">
        <v>0</v>
      </c>
      <c r="L2548" s="24">
        <v>0</v>
      </c>
      <c r="M2548" s="24">
        <f>J2548-L2548</f>
        <v>0</v>
      </c>
      <c r="N2548" s="53" t="str">
        <f>IF(J2548&lt;&gt;0,M2548/J2548,"")</f>
        <v/>
      </c>
      <c r="O2548" s="23">
        <v>2.37</v>
      </c>
      <c r="P2548" s="25">
        <v>1</v>
      </c>
      <c r="Q2548" s="24">
        <v>1.28</v>
      </c>
      <c r="R2548" s="24">
        <f>O2548-Q2548</f>
        <v>1.0900000000000001</v>
      </c>
      <c r="S2548" s="53">
        <f>IF(O2548&lt;&gt;0,R2548/O2548,"")</f>
        <v>0.45991561181434598</v>
      </c>
      <c r="T2548" s="10"/>
      <c r="U2548" s="23">
        <v>1366.04</v>
      </c>
      <c r="V2548" s="25">
        <v>576</v>
      </c>
      <c r="W2548" s="24">
        <v>737.41</v>
      </c>
      <c r="X2548" s="24">
        <f>U2548-W2548</f>
        <v>628.63</v>
      </c>
      <c r="Y2548" s="53">
        <f>IF(U2548&lt;&gt;0,X2548/U2548,"")</f>
        <v>0.46018418201516792</v>
      </c>
      <c r="Z2548" s="23">
        <v>0</v>
      </c>
      <c r="AA2548" s="25">
        <v>0</v>
      </c>
      <c r="AB2548" s="24">
        <v>0</v>
      </c>
      <c r="AC2548" s="24">
        <f t="shared" si="728"/>
        <v>0</v>
      </c>
      <c r="AD2548" s="53" t="str">
        <f t="shared" si="729"/>
        <v/>
      </c>
      <c r="AE2548" s="10"/>
    </row>
    <row r="2549" spans="1:31" x14ac:dyDescent="0.25">
      <c r="A2549" s="14" t="s">
        <v>109</v>
      </c>
      <c r="C2549" s="61" t="str">
        <f t="shared" si="727"/>
        <v>C100135</v>
      </c>
      <c r="F2549" s="8" t="str">
        <f>"E100034"</f>
        <v>E100034</v>
      </c>
      <c r="G2549" s="9" t="str">
        <f>"Bamboo 1GB USB Flash Drive"</f>
        <v>Bamboo 1GB USB Flash Drive</v>
      </c>
      <c r="H2549" s="47"/>
      <c r="I2549" s="47"/>
      <c r="J2549" s="23">
        <v>819.91000000000008</v>
      </c>
      <c r="K2549" s="25">
        <v>144</v>
      </c>
      <c r="L2549" s="24">
        <v>388.83</v>
      </c>
      <c r="M2549" s="24">
        <f>J2549-L2549</f>
        <v>431.0800000000001</v>
      </c>
      <c r="N2549" s="53">
        <f>IF(J2549&lt;&gt;0,M2549/J2549,"")</f>
        <v>0.52576502299032823</v>
      </c>
      <c r="O2549" s="23">
        <v>273.3</v>
      </c>
      <c r="P2549" s="25">
        <v>48</v>
      </c>
      <c r="Q2549" s="24">
        <v>129.60999999999999</v>
      </c>
      <c r="R2549" s="24">
        <f>O2549-Q2549</f>
        <v>143.69000000000003</v>
      </c>
      <c r="S2549" s="53">
        <f>IF(O2549&lt;&gt;0,R2549/O2549,"")</f>
        <v>0.52575923893157706</v>
      </c>
      <c r="T2549" s="10"/>
      <c r="U2549" s="23">
        <v>0</v>
      </c>
      <c r="V2549" s="25">
        <v>0</v>
      </c>
      <c r="W2549" s="24">
        <v>0</v>
      </c>
      <c r="X2549" s="24">
        <f>U2549-W2549</f>
        <v>0</v>
      </c>
      <c r="Y2549" s="53" t="str">
        <f>IF(U2549&lt;&gt;0,X2549/U2549,"")</f>
        <v/>
      </c>
      <c r="Z2549" s="23">
        <v>0</v>
      </c>
      <c r="AA2549" s="25">
        <v>0</v>
      </c>
      <c r="AB2549" s="24">
        <v>0</v>
      </c>
      <c r="AC2549" s="24">
        <f t="shared" si="728"/>
        <v>0</v>
      </c>
      <c r="AD2549" s="53" t="str">
        <f t="shared" si="729"/>
        <v/>
      </c>
      <c r="AE2549" s="10"/>
    </row>
    <row r="2550" spans="1:31" x14ac:dyDescent="0.25">
      <c r="A2550" s="14" t="s">
        <v>109</v>
      </c>
      <c r="C2550" s="61" t="str">
        <f t="shared" si="727"/>
        <v>C100135</v>
      </c>
      <c r="F2550" s="8" t="str">
        <f>"E100035"</f>
        <v>E100035</v>
      </c>
      <c r="G2550" s="9" t="str">
        <f>"2GB Foldout USB Flash Drive"</f>
        <v>2GB Foldout USB Flash Drive</v>
      </c>
      <c r="H2550" s="47"/>
      <c r="I2550" s="47"/>
      <c r="J2550" s="23">
        <v>0</v>
      </c>
      <c r="K2550" s="25">
        <v>0</v>
      </c>
      <c r="L2550" s="24">
        <v>0</v>
      </c>
      <c r="M2550" s="24">
        <f>J2550-L2550</f>
        <v>0</v>
      </c>
      <c r="N2550" s="53" t="str">
        <f>IF(J2550&lt;&gt;0,M2550/J2550,"")</f>
        <v/>
      </c>
      <c r="O2550" s="23">
        <v>1092.26</v>
      </c>
      <c r="P2550" s="25">
        <v>288</v>
      </c>
      <c r="Q2550" s="24">
        <v>648.1</v>
      </c>
      <c r="R2550" s="24">
        <f>O2550-Q2550</f>
        <v>444.15999999999997</v>
      </c>
      <c r="S2550" s="53">
        <f>IF(O2550&lt;&gt;0,R2550/O2550,"")</f>
        <v>0.40664310695255707</v>
      </c>
      <c r="T2550" s="10"/>
      <c r="U2550" s="23">
        <v>182.04000000000002</v>
      </c>
      <c r="V2550" s="25">
        <v>48</v>
      </c>
      <c r="W2550" s="24">
        <v>108.02</v>
      </c>
      <c r="X2550" s="24">
        <f>U2550-W2550</f>
        <v>74.020000000000024</v>
      </c>
      <c r="Y2550" s="53">
        <f>IF(U2550&lt;&gt;0,X2550/U2550,"")</f>
        <v>0.40661393100417498</v>
      </c>
      <c r="Z2550" s="23">
        <v>0</v>
      </c>
      <c r="AA2550" s="25">
        <v>0</v>
      </c>
      <c r="AB2550" s="24">
        <v>0</v>
      </c>
      <c r="AC2550" s="24">
        <f t="shared" si="728"/>
        <v>0</v>
      </c>
      <c r="AD2550" s="53" t="str">
        <f t="shared" si="729"/>
        <v/>
      </c>
      <c r="AE2550" s="10"/>
    </row>
    <row r="2551" spans="1:31" x14ac:dyDescent="0.25">
      <c r="A2551" s="14" t="s">
        <v>109</v>
      </c>
      <c r="C2551" s="61" t="str">
        <f t="shared" si="727"/>
        <v>C100135</v>
      </c>
      <c r="F2551" s="8" t="str">
        <f>"E100038"</f>
        <v>E100038</v>
      </c>
      <c r="G2551" s="9" t="str">
        <f>"1GB USB Flash Drive Pen"</f>
        <v>1GB USB Flash Drive Pen</v>
      </c>
      <c r="H2551" s="47"/>
      <c r="I2551" s="47"/>
      <c r="J2551" s="23">
        <v>0</v>
      </c>
      <c r="K2551" s="25">
        <v>0</v>
      </c>
      <c r="L2551" s="24">
        <v>0</v>
      </c>
      <c r="M2551" s="24">
        <f>J2551-L2551</f>
        <v>0</v>
      </c>
      <c r="N2551" s="53" t="str">
        <f>IF(J2551&lt;&gt;0,M2551/J2551,"")</f>
        <v/>
      </c>
      <c r="O2551" s="23">
        <v>804.38</v>
      </c>
      <c r="P2551" s="25">
        <v>144</v>
      </c>
      <c r="Q2551" s="24">
        <v>427.72999999999996</v>
      </c>
      <c r="R2551" s="24">
        <f>O2551-Q2551</f>
        <v>376.65000000000003</v>
      </c>
      <c r="S2551" s="53">
        <f>IF(O2551&lt;&gt;0,R2551/O2551,"")</f>
        <v>0.46824883761406305</v>
      </c>
      <c r="T2551" s="10"/>
      <c r="U2551" s="23">
        <v>0</v>
      </c>
      <c r="V2551" s="25">
        <v>0</v>
      </c>
      <c r="W2551" s="24">
        <v>0</v>
      </c>
      <c r="X2551" s="24">
        <f>U2551-W2551</f>
        <v>0</v>
      </c>
      <c r="Y2551" s="53" t="str">
        <f>IF(U2551&lt;&gt;0,X2551/U2551,"")</f>
        <v/>
      </c>
      <c r="Z2551" s="23">
        <v>0</v>
      </c>
      <c r="AA2551" s="25">
        <v>0</v>
      </c>
      <c r="AB2551" s="24">
        <v>0</v>
      </c>
      <c r="AC2551" s="24">
        <f t="shared" si="728"/>
        <v>0</v>
      </c>
      <c r="AD2551" s="53" t="str">
        <f t="shared" si="729"/>
        <v/>
      </c>
      <c r="AE2551" s="10"/>
    </row>
    <row r="2552" spans="1:31" x14ac:dyDescent="0.25">
      <c r="A2552" s="14" t="s">
        <v>109</v>
      </c>
      <c r="C2552" s="61" t="str">
        <f t="shared" si="727"/>
        <v>C100135</v>
      </c>
      <c r="F2552" s="8" t="str">
        <f>"E100039"</f>
        <v>E100039</v>
      </c>
      <c r="G2552" s="9" t="str">
        <f>"Campfire Mug"</f>
        <v>Campfire Mug</v>
      </c>
      <c r="H2552" s="47"/>
      <c r="I2552" s="47"/>
      <c r="J2552" s="23">
        <v>80.91</v>
      </c>
      <c r="K2552" s="25">
        <v>48</v>
      </c>
      <c r="L2552" s="24">
        <v>53.79</v>
      </c>
      <c r="M2552" s="24">
        <f>J2552-L2552</f>
        <v>27.119999999999997</v>
      </c>
      <c r="N2552" s="53">
        <f>IF(J2552&lt;&gt;0,M2552/J2552,"")</f>
        <v>0.33518724508713382</v>
      </c>
      <c r="O2552" s="23">
        <v>1.69</v>
      </c>
      <c r="P2552" s="25">
        <v>1</v>
      </c>
      <c r="Q2552" s="24">
        <v>1.1200000000000001</v>
      </c>
      <c r="R2552" s="24">
        <f>O2552-Q2552</f>
        <v>0.56999999999999984</v>
      </c>
      <c r="S2552" s="53">
        <f>IF(O2552&lt;&gt;0,R2552/O2552,"")</f>
        <v>0.33727810650887563</v>
      </c>
      <c r="T2552" s="10"/>
      <c r="U2552" s="23">
        <v>0</v>
      </c>
      <c r="V2552" s="25">
        <v>0</v>
      </c>
      <c r="W2552" s="24">
        <v>0</v>
      </c>
      <c r="X2552" s="24">
        <f>U2552-W2552</f>
        <v>0</v>
      </c>
      <c r="Y2552" s="53" t="str">
        <f>IF(U2552&lt;&gt;0,X2552/U2552,"")</f>
        <v/>
      </c>
      <c r="Z2552" s="23">
        <v>0</v>
      </c>
      <c r="AA2552" s="25">
        <v>0</v>
      </c>
      <c r="AB2552" s="24">
        <v>0</v>
      </c>
      <c r="AC2552" s="24">
        <f t="shared" si="728"/>
        <v>0</v>
      </c>
      <c r="AD2552" s="53" t="str">
        <f t="shared" si="729"/>
        <v/>
      </c>
      <c r="AE2552" s="10"/>
    </row>
    <row r="2553" spans="1:31" x14ac:dyDescent="0.25">
      <c r="A2553" s="14" t="s">
        <v>109</v>
      </c>
      <c r="C2553" s="61" t="str">
        <f t="shared" si="727"/>
        <v>C100135</v>
      </c>
      <c r="F2553" s="8" t="str">
        <f>"E100041"</f>
        <v>E100041</v>
      </c>
      <c r="G2553" s="9" t="str">
        <f>"Biodegradable Colored SPORT BOT"</f>
        <v>Biodegradable Colored SPORT BOT</v>
      </c>
      <c r="H2553" s="47"/>
      <c r="I2553" s="47"/>
      <c r="J2553" s="23">
        <v>0</v>
      </c>
      <c r="K2553" s="25">
        <v>0</v>
      </c>
      <c r="L2553" s="24">
        <v>0</v>
      </c>
      <c r="M2553" s="24">
        <f>J2553-L2553</f>
        <v>0</v>
      </c>
      <c r="N2553" s="53" t="str">
        <f>IF(J2553&lt;&gt;0,M2553/J2553,"")</f>
        <v/>
      </c>
      <c r="O2553" s="23">
        <v>97.36999999999999</v>
      </c>
      <c r="P2553" s="25">
        <v>144</v>
      </c>
      <c r="Q2553" s="24">
        <v>61.900000000000006</v>
      </c>
      <c r="R2553" s="24">
        <f>O2553-Q2553</f>
        <v>35.469999999999985</v>
      </c>
      <c r="S2553" s="53">
        <f>IF(O2553&lt;&gt;0,R2553/O2553,"")</f>
        <v>0.36428057923385015</v>
      </c>
      <c r="T2553" s="10"/>
      <c r="U2553" s="23">
        <v>194.75</v>
      </c>
      <c r="V2553" s="25">
        <v>288</v>
      </c>
      <c r="W2553" s="24">
        <v>123.80000000000001</v>
      </c>
      <c r="X2553" s="24">
        <f>U2553-W2553</f>
        <v>70.949999999999989</v>
      </c>
      <c r="Y2553" s="53">
        <f>IF(U2553&lt;&gt;0,X2553/U2553,"")</f>
        <v>0.36431322207958916</v>
      </c>
      <c r="Z2553" s="23">
        <v>0</v>
      </c>
      <c r="AA2553" s="25">
        <v>0</v>
      </c>
      <c r="AB2553" s="24">
        <v>0</v>
      </c>
      <c r="AC2553" s="24">
        <f t="shared" si="728"/>
        <v>0</v>
      </c>
      <c r="AD2553" s="53" t="str">
        <f t="shared" si="729"/>
        <v/>
      </c>
      <c r="AE2553" s="10"/>
    </row>
    <row r="2554" spans="1:31" x14ac:dyDescent="0.25">
      <c r="A2554" s="14" t="s">
        <v>109</v>
      </c>
      <c r="C2554" s="61" t="str">
        <f t="shared" si="727"/>
        <v>C100135</v>
      </c>
      <c r="F2554" s="8" t="str">
        <f>"E100044"</f>
        <v>E100044</v>
      </c>
      <c r="G2554" s="9" t="str">
        <f>"Juice Glass"</f>
        <v>Juice Glass</v>
      </c>
      <c r="H2554" s="47"/>
      <c r="I2554" s="47"/>
      <c r="J2554" s="23">
        <v>0</v>
      </c>
      <c r="K2554" s="25">
        <v>0</v>
      </c>
      <c r="L2554" s="24">
        <v>0</v>
      </c>
      <c r="M2554" s="24">
        <f>J2554-L2554</f>
        <v>0</v>
      </c>
      <c r="N2554" s="53" t="str">
        <f>IF(J2554&lt;&gt;0,M2554/J2554,"")</f>
        <v/>
      </c>
      <c r="O2554" s="23">
        <v>163.69999999999999</v>
      </c>
      <c r="P2554" s="25">
        <v>288</v>
      </c>
      <c r="Q2554" s="24">
        <v>109.61999999999999</v>
      </c>
      <c r="R2554" s="24">
        <f>O2554-Q2554</f>
        <v>54.08</v>
      </c>
      <c r="S2554" s="53">
        <f>IF(O2554&lt;&gt;0,R2554/O2554,"")</f>
        <v>0.33036041539401345</v>
      </c>
      <c r="T2554" s="10"/>
      <c r="U2554" s="23">
        <v>0</v>
      </c>
      <c r="V2554" s="25">
        <v>0</v>
      </c>
      <c r="W2554" s="24">
        <v>0</v>
      </c>
      <c r="X2554" s="24">
        <f>U2554-W2554</f>
        <v>0</v>
      </c>
      <c r="Y2554" s="53" t="str">
        <f>IF(U2554&lt;&gt;0,X2554/U2554,"")</f>
        <v/>
      </c>
      <c r="Z2554" s="23">
        <v>0</v>
      </c>
      <c r="AA2554" s="25">
        <v>0</v>
      </c>
      <c r="AB2554" s="24">
        <v>0</v>
      </c>
      <c r="AC2554" s="24">
        <f t="shared" si="728"/>
        <v>0</v>
      </c>
      <c r="AD2554" s="53" t="str">
        <f t="shared" si="729"/>
        <v/>
      </c>
      <c r="AE2554" s="10"/>
    </row>
    <row r="2555" spans="1:31" x14ac:dyDescent="0.25">
      <c r="A2555" s="14" t="s">
        <v>109</v>
      </c>
      <c r="C2555" s="61" t="str">
        <f t="shared" si="727"/>
        <v>C100135</v>
      </c>
      <c r="F2555" s="8" t="str">
        <f>"E100045"</f>
        <v>E100045</v>
      </c>
      <c r="G2555" s="9" t="str">
        <f>"Flute"</f>
        <v>Flute</v>
      </c>
      <c r="H2555" s="47"/>
      <c r="I2555" s="47"/>
      <c r="J2555" s="23">
        <v>46.57</v>
      </c>
      <c r="K2555" s="25">
        <v>48</v>
      </c>
      <c r="L2555" s="24">
        <v>29.769999999999996</v>
      </c>
      <c r="M2555" s="24">
        <f>J2555-L2555</f>
        <v>16.800000000000004</v>
      </c>
      <c r="N2555" s="53">
        <f>IF(J2555&lt;&gt;0,M2555/J2555,"")</f>
        <v>0.36074726218595671</v>
      </c>
      <c r="O2555" s="23">
        <v>139.70999999999998</v>
      </c>
      <c r="P2555" s="25">
        <v>144</v>
      </c>
      <c r="Q2555" s="24">
        <v>89.3</v>
      </c>
      <c r="R2555" s="24">
        <f>O2555-Q2555</f>
        <v>50.409999999999982</v>
      </c>
      <c r="S2555" s="53">
        <f>IF(O2555&lt;&gt;0,R2555/O2555,"")</f>
        <v>0.36081883902369188</v>
      </c>
      <c r="T2555" s="10"/>
      <c r="U2555" s="23">
        <v>0</v>
      </c>
      <c r="V2555" s="25">
        <v>0</v>
      </c>
      <c r="W2555" s="24">
        <v>0</v>
      </c>
      <c r="X2555" s="24">
        <f>U2555-W2555</f>
        <v>0</v>
      </c>
      <c r="Y2555" s="53" t="str">
        <f>IF(U2555&lt;&gt;0,X2555/U2555,"")</f>
        <v/>
      </c>
      <c r="Z2555" s="23">
        <v>0</v>
      </c>
      <c r="AA2555" s="25">
        <v>0</v>
      </c>
      <c r="AB2555" s="24">
        <v>0</v>
      </c>
      <c r="AC2555" s="24">
        <f t="shared" si="728"/>
        <v>0</v>
      </c>
      <c r="AD2555" s="53" t="str">
        <f t="shared" si="729"/>
        <v/>
      </c>
      <c r="AE2555" s="10"/>
    </row>
    <row r="2556" spans="1:31" x14ac:dyDescent="0.25">
      <c r="A2556" s="14" t="s">
        <v>109</v>
      </c>
      <c r="C2556" s="61" t="str">
        <f t="shared" si="727"/>
        <v>C100135</v>
      </c>
      <c r="F2556" s="8" t="str">
        <f>"E100047"</f>
        <v>E100047</v>
      </c>
      <c r="G2556" s="9" t="str">
        <f>"Chardonnay Glass"</f>
        <v>Chardonnay Glass</v>
      </c>
      <c r="H2556" s="47"/>
      <c r="I2556" s="47"/>
      <c r="J2556" s="23">
        <v>254.02</v>
      </c>
      <c r="K2556" s="25">
        <v>144</v>
      </c>
      <c r="L2556" s="24">
        <v>151.19999999999999</v>
      </c>
      <c r="M2556" s="24">
        <f>J2556-L2556</f>
        <v>102.82000000000002</v>
      </c>
      <c r="N2556" s="53">
        <f>IF(J2556&lt;&gt;0,M2556/J2556,"")</f>
        <v>0.40477127785213768</v>
      </c>
      <c r="O2556" s="23">
        <v>0</v>
      </c>
      <c r="P2556" s="25">
        <v>0</v>
      </c>
      <c r="Q2556" s="24">
        <v>0</v>
      </c>
      <c r="R2556" s="24">
        <f>O2556-Q2556</f>
        <v>0</v>
      </c>
      <c r="S2556" s="53" t="str">
        <f>IF(O2556&lt;&gt;0,R2556/O2556,"")</f>
        <v/>
      </c>
      <c r="T2556" s="10"/>
      <c r="U2556" s="23">
        <v>255.78000000000003</v>
      </c>
      <c r="V2556" s="25">
        <v>145</v>
      </c>
      <c r="W2556" s="24">
        <v>152.25</v>
      </c>
      <c r="X2556" s="24">
        <f>U2556-W2556</f>
        <v>103.53000000000003</v>
      </c>
      <c r="Y2556" s="53">
        <f>IF(U2556&lt;&gt;0,X2556/U2556,"")</f>
        <v>0.40476190476190482</v>
      </c>
      <c r="Z2556" s="23">
        <v>0</v>
      </c>
      <c r="AA2556" s="25">
        <v>0</v>
      </c>
      <c r="AB2556" s="24">
        <v>0</v>
      </c>
      <c r="AC2556" s="24">
        <f t="shared" si="728"/>
        <v>0</v>
      </c>
      <c r="AD2556" s="53" t="str">
        <f t="shared" si="729"/>
        <v/>
      </c>
      <c r="AE2556" s="10"/>
    </row>
    <row r="2557" spans="1:31" x14ac:dyDescent="0.25">
      <c r="A2557" s="14" t="s">
        <v>109</v>
      </c>
      <c r="C2557" s="61" t="str">
        <f t="shared" si="727"/>
        <v>C100135</v>
      </c>
      <c r="F2557" s="8" t="str">
        <f>"S100003"</f>
        <v>S100003</v>
      </c>
      <c r="G2557" s="9" t="str">
        <f>"Soccer #1 Pin"</f>
        <v>Soccer #1 Pin</v>
      </c>
      <c r="H2557" s="47"/>
      <c r="I2557" s="47"/>
      <c r="J2557" s="23">
        <v>211.68</v>
      </c>
      <c r="K2557" s="25">
        <v>144</v>
      </c>
      <c r="L2557" s="24">
        <v>129.6</v>
      </c>
      <c r="M2557" s="24">
        <f>J2557-L2557</f>
        <v>82.080000000000013</v>
      </c>
      <c r="N2557" s="53">
        <f>IF(J2557&lt;&gt;0,M2557/J2557,"")</f>
        <v>0.38775510204081637</v>
      </c>
      <c r="O2557" s="23">
        <v>70.56</v>
      </c>
      <c r="P2557" s="25">
        <v>48</v>
      </c>
      <c r="Q2557" s="24">
        <v>43.2</v>
      </c>
      <c r="R2557" s="24">
        <f>O2557-Q2557</f>
        <v>27.36</v>
      </c>
      <c r="S2557" s="53">
        <f>IF(O2557&lt;&gt;0,R2557/O2557,"")</f>
        <v>0.38775510204081631</v>
      </c>
      <c r="T2557" s="10"/>
      <c r="U2557" s="23">
        <v>214.61999999999998</v>
      </c>
      <c r="V2557" s="25">
        <v>146</v>
      </c>
      <c r="W2557" s="24">
        <v>131.39999999999998</v>
      </c>
      <c r="X2557" s="24">
        <f>U2557-W2557</f>
        <v>83.22</v>
      </c>
      <c r="Y2557" s="53">
        <f>IF(U2557&lt;&gt;0,X2557/U2557,"")</f>
        <v>0.38775510204081637</v>
      </c>
      <c r="Z2557" s="23">
        <v>0</v>
      </c>
      <c r="AA2557" s="25">
        <v>0</v>
      </c>
      <c r="AB2557" s="24">
        <v>0</v>
      </c>
      <c r="AC2557" s="24">
        <f t="shared" si="728"/>
        <v>0</v>
      </c>
      <c r="AD2557" s="53" t="str">
        <f t="shared" si="729"/>
        <v/>
      </c>
      <c r="AE2557" s="10"/>
    </row>
    <row r="2558" spans="1:31" x14ac:dyDescent="0.25">
      <c r="A2558" s="14" t="s">
        <v>109</v>
      </c>
      <c r="C2558" s="61" t="str">
        <f t="shared" si="727"/>
        <v>C100135</v>
      </c>
      <c r="F2558" s="8" t="str">
        <f>"S100011"</f>
        <v>S100011</v>
      </c>
      <c r="G2558" s="9" t="str">
        <f>"All Star Cap"</f>
        <v>All Star Cap</v>
      </c>
      <c r="H2558" s="47"/>
      <c r="I2558" s="47"/>
      <c r="J2558" s="23">
        <v>204.62</v>
      </c>
      <c r="K2558" s="25">
        <v>144</v>
      </c>
      <c r="L2558" s="24">
        <v>122.41</v>
      </c>
      <c r="M2558" s="24">
        <f>J2558-L2558</f>
        <v>82.210000000000008</v>
      </c>
      <c r="N2558" s="53">
        <f>IF(J2558&lt;&gt;0,M2558/J2558,"")</f>
        <v>0.40176913302707462</v>
      </c>
      <c r="O2558" s="23">
        <v>204.62</v>
      </c>
      <c r="P2558" s="25">
        <v>144</v>
      </c>
      <c r="Q2558" s="24">
        <v>122.41</v>
      </c>
      <c r="R2558" s="24">
        <f>O2558-Q2558</f>
        <v>82.210000000000008</v>
      </c>
      <c r="S2558" s="53">
        <f>IF(O2558&lt;&gt;0,R2558/O2558,"")</f>
        <v>0.40176913302707462</v>
      </c>
      <c r="T2558" s="10"/>
      <c r="U2558" s="23">
        <v>818.49</v>
      </c>
      <c r="V2558" s="25">
        <v>576</v>
      </c>
      <c r="W2558" s="24">
        <v>489.63</v>
      </c>
      <c r="X2558" s="24">
        <f>U2558-W2558</f>
        <v>328.86</v>
      </c>
      <c r="Y2558" s="53">
        <f>IF(U2558&lt;&gt;0,X2558/U2558,"")</f>
        <v>0.40178865960488219</v>
      </c>
      <c r="Z2558" s="23">
        <v>0</v>
      </c>
      <c r="AA2558" s="25">
        <v>0</v>
      </c>
      <c r="AB2558" s="24">
        <v>0</v>
      </c>
      <c r="AC2558" s="24">
        <f t="shared" si="728"/>
        <v>0</v>
      </c>
      <c r="AD2558" s="53" t="str">
        <f t="shared" si="729"/>
        <v/>
      </c>
      <c r="AE2558" s="10"/>
    </row>
    <row r="2559" spans="1:31" x14ac:dyDescent="0.25">
      <c r="A2559" s="14" t="s">
        <v>109</v>
      </c>
      <c r="C2559" s="61" t="str">
        <f t="shared" si="727"/>
        <v>C100135</v>
      </c>
      <c r="F2559" s="8" t="str">
        <f>"S100016"</f>
        <v>S100016</v>
      </c>
      <c r="G2559" s="9" t="str">
        <f>"Mesh Bucket Hat"</f>
        <v>Mesh Bucket Hat</v>
      </c>
      <c r="H2559" s="47"/>
      <c r="I2559" s="47"/>
      <c r="J2559" s="23">
        <v>702.78</v>
      </c>
      <c r="K2559" s="25">
        <v>144</v>
      </c>
      <c r="L2559" s="24">
        <v>396.01</v>
      </c>
      <c r="M2559" s="24">
        <f>J2559-L2559</f>
        <v>306.77</v>
      </c>
      <c r="N2559" s="53">
        <f>IF(J2559&lt;&gt;0,M2559/J2559,"")</f>
        <v>0.43650929167022395</v>
      </c>
      <c r="O2559" s="23">
        <v>702.78</v>
      </c>
      <c r="P2559" s="25">
        <v>144</v>
      </c>
      <c r="Q2559" s="24">
        <v>396.01</v>
      </c>
      <c r="R2559" s="24">
        <f>O2559-Q2559</f>
        <v>306.77</v>
      </c>
      <c r="S2559" s="53">
        <f>IF(O2559&lt;&gt;0,R2559/O2559,"")</f>
        <v>0.43650929167022395</v>
      </c>
      <c r="T2559" s="10"/>
      <c r="U2559" s="23">
        <v>0</v>
      </c>
      <c r="V2559" s="25">
        <v>0</v>
      </c>
      <c r="W2559" s="24">
        <v>0</v>
      </c>
      <c r="X2559" s="24">
        <f>U2559-W2559</f>
        <v>0</v>
      </c>
      <c r="Y2559" s="53" t="str">
        <f>IF(U2559&lt;&gt;0,X2559/U2559,"")</f>
        <v/>
      </c>
      <c r="Z2559" s="23">
        <v>0</v>
      </c>
      <c r="AA2559" s="25">
        <v>0</v>
      </c>
      <c r="AB2559" s="24">
        <v>0</v>
      </c>
      <c r="AC2559" s="24">
        <f t="shared" si="728"/>
        <v>0</v>
      </c>
      <c r="AD2559" s="53" t="str">
        <f t="shared" si="729"/>
        <v/>
      </c>
      <c r="AE2559" s="10"/>
    </row>
    <row r="2560" spans="1:31" x14ac:dyDescent="0.25">
      <c r="A2560" s="14" t="s">
        <v>109</v>
      </c>
      <c r="C2560" s="61" t="str">
        <f t="shared" si="727"/>
        <v>C100135</v>
      </c>
      <c r="F2560" s="8" t="str">
        <f>"S100020"</f>
        <v>S100020</v>
      </c>
      <c r="G2560" s="9" t="str">
        <f>"Super Sport Stopwatch"</f>
        <v>Super Sport Stopwatch</v>
      </c>
      <c r="H2560" s="47"/>
      <c r="I2560" s="47"/>
      <c r="J2560" s="23">
        <v>0</v>
      </c>
      <c r="K2560" s="25">
        <v>0</v>
      </c>
      <c r="L2560" s="24">
        <v>0</v>
      </c>
      <c r="M2560" s="24">
        <f>J2560-L2560</f>
        <v>0</v>
      </c>
      <c r="N2560" s="53" t="str">
        <f>IF(J2560&lt;&gt;0,M2560/J2560,"")</f>
        <v/>
      </c>
      <c r="O2560" s="23">
        <v>925.06</v>
      </c>
      <c r="P2560" s="25">
        <v>433</v>
      </c>
      <c r="Q2560" s="24">
        <v>454.65000000000003</v>
      </c>
      <c r="R2560" s="24">
        <f>O2560-Q2560</f>
        <v>470.40999999999991</v>
      </c>
      <c r="S2560" s="53">
        <f>IF(O2560&lt;&gt;0,R2560/O2560,"")</f>
        <v>0.50851836637623504</v>
      </c>
      <c r="T2560" s="10"/>
      <c r="U2560" s="23">
        <v>615.28</v>
      </c>
      <c r="V2560" s="25">
        <v>288</v>
      </c>
      <c r="W2560" s="24">
        <v>302.39999999999998</v>
      </c>
      <c r="X2560" s="24">
        <f>U2560-W2560</f>
        <v>312.88</v>
      </c>
      <c r="Y2560" s="53">
        <f>IF(U2560&lt;&gt;0,X2560/U2560,"")</f>
        <v>0.50851644779612537</v>
      </c>
      <c r="Z2560" s="23">
        <v>0</v>
      </c>
      <c r="AA2560" s="25">
        <v>0</v>
      </c>
      <c r="AB2560" s="24">
        <v>0</v>
      </c>
      <c r="AC2560" s="24">
        <f t="shared" si="728"/>
        <v>0</v>
      </c>
      <c r="AD2560" s="53" t="str">
        <f t="shared" si="729"/>
        <v/>
      </c>
      <c r="AE2560" s="10"/>
    </row>
    <row r="2561" spans="1:31" x14ac:dyDescent="0.25">
      <c r="A2561" s="14" t="s">
        <v>109</v>
      </c>
      <c r="C2561" s="61" t="str">
        <f t="shared" si="727"/>
        <v>C100135</v>
      </c>
      <c r="F2561" s="8" t="str">
        <f>"S100021"</f>
        <v>S100021</v>
      </c>
      <c r="G2561" s="9" t="str">
        <f>"Translucent Stopwatch"</f>
        <v>Translucent Stopwatch</v>
      </c>
      <c r="H2561" s="47"/>
      <c r="I2561" s="47"/>
      <c r="J2561" s="23">
        <v>585.65</v>
      </c>
      <c r="K2561" s="25">
        <v>144</v>
      </c>
      <c r="L2561" s="24">
        <v>309.58999999999997</v>
      </c>
      <c r="M2561" s="24">
        <f>J2561-L2561</f>
        <v>276.06</v>
      </c>
      <c r="N2561" s="53">
        <f>IF(J2561&lt;&gt;0,M2561/J2561,"")</f>
        <v>0.47137368735592933</v>
      </c>
      <c r="O2561" s="23">
        <v>0</v>
      </c>
      <c r="P2561" s="25">
        <v>0</v>
      </c>
      <c r="Q2561" s="24">
        <v>0</v>
      </c>
      <c r="R2561" s="24">
        <f>O2561-Q2561</f>
        <v>0</v>
      </c>
      <c r="S2561" s="53" t="str">
        <f>IF(O2561&lt;&gt;0,R2561/O2561,"")</f>
        <v/>
      </c>
      <c r="T2561" s="10"/>
      <c r="U2561" s="23">
        <v>0</v>
      </c>
      <c r="V2561" s="25">
        <v>0</v>
      </c>
      <c r="W2561" s="24">
        <v>0</v>
      </c>
      <c r="X2561" s="24">
        <f>U2561-W2561</f>
        <v>0</v>
      </c>
      <c r="Y2561" s="53" t="str">
        <f>IF(U2561&lt;&gt;0,X2561/U2561,"")</f>
        <v/>
      </c>
      <c r="Z2561" s="23">
        <v>0</v>
      </c>
      <c r="AA2561" s="25">
        <v>0</v>
      </c>
      <c r="AB2561" s="24">
        <v>0</v>
      </c>
      <c r="AC2561" s="24">
        <f t="shared" si="728"/>
        <v>0</v>
      </c>
      <c r="AD2561" s="53" t="str">
        <f t="shared" si="729"/>
        <v/>
      </c>
      <c r="AE2561" s="10"/>
    </row>
    <row r="2562" spans="1:31" x14ac:dyDescent="0.25">
      <c r="A2562" s="14" t="s">
        <v>109</v>
      </c>
      <c r="C2562" s="61" t="str">
        <f t="shared" si="727"/>
        <v>C100135</v>
      </c>
      <c r="F2562" s="8" t="str">
        <f>"S100023"</f>
        <v>S100023</v>
      </c>
      <c r="G2562" s="9" t="str">
        <f>"Gripper SPORT BOT"</f>
        <v>Gripper SPORT BOT</v>
      </c>
      <c r="H2562" s="47"/>
      <c r="I2562" s="47"/>
      <c r="J2562" s="23">
        <v>280.83000000000004</v>
      </c>
      <c r="K2562" s="25">
        <v>144</v>
      </c>
      <c r="L2562" s="24">
        <v>142.57999999999998</v>
      </c>
      <c r="M2562" s="24">
        <f>J2562-L2562</f>
        <v>138.25000000000006</v>
      </c>
      <c r="N2562" s="53">
        <f>IF(J2562&lt;&gt;0,M2562/J2562,"")</f>
        <v>0.49229070968201416</v>
      </c>
      <c r="O2562" s="23">
        <v>0</v>
      </c>
      <c r="P2562" s="25">
        <v>0</v>
      </c>
      <c r="Q2562" s="24">
        <v>0</v>
      </c>
      <c r="R2562" s="24">
        <f>O2562-Q2562</f>
        <v>0</v>
      </c>
      <c r="S2562" s="53" t="str">
        <f>IF(O2562&lt;&gt;0,R2562/O2562,"")</f>
        <v/>
      </c>
      <c r="T2562" s="10"/>
      <c r="U2562" s="23">
        <v>280.83000000000004</v>
      </c>
      <c r="V2562" s="25">
        <v>144</v>
      </c>
      <c r="W2562" s="24">
        <v>142.57999999999998</v>
      </c>
      <c r="X2562" s="24">
        <f>U2562-W2562</f>
        <v>138.25000000000006</v>
      </c>
      <c r="Y2562" s="53">
        <f>IF(U2562&lt;&gt;0,X2562/U2562,"")</f>
        <v>0.49229070968201416</v>
      </c>
      <c r="Z2562" s="23">
        <v>0</v>
      </c>
      <c r="AA2562" s="25">
        <v>0</v>
      </c>
      <c r="AB2562" s="24">
        <v>0</v>
      </c>
      <c r="AC2562" s="24">
        <f t="shared" si="728"/>
        <v>0</v>
      </c>
      <c r="AD2562" s="53" t="str">
        <f t="shared" si="729"/>
        <v/>
      </c>
      <c r="AE2562" s="10"/>
    </row>
    <row r="2563" spans="1:31" x14ac:dyDescent="0.25">
      <c r="A2563" s="14" t="s">
        <v>109</v>
      </c>
      <c r="C2563" s="61" t="str">
        <f t="shared" si="727"/>
        <v>C100135</v>
      </c>
      <c r="F2563" s="8" t="str">
        <f>"S100024"</f>
        <v>S100024</v>
      </c>
      <c r="G2563" s="9" t="str">
        <f>"Aluminum SPORT BOT"</f>
        <v>Aluminum SPORT BOT</v>
      </c>
      <c r="H2563" s="47"/>
      <c r="I2563" s="47"/>
      <c r="J2563" s="23">
        <v>498.15</v>
      </c>
      <c r="K2563" s="25">
        <v>144</v>
      </c>
      <c r="L2563" s="24">
        <v>302.39999999999998</v>
      </c>
      <c r="M2563" s="24">
        <f>J2563-L2563</f>
        <v>195.75</v>
      </c>
      <c r="N2563" s="53">
        <f>IF(J2563&lt;&gt;0,M2563/J2563,"")</f>
        <v>0.39295392953929542</v>
      </c>
      <c r="O2563" s="23">
        <v>498.15</v>
      </c>
      <c r="P2563" s="25">
        <v>144</v>
      </c>
      <c r="Q2563" s="24">
        <v>302.39999999999998</v>
      </c>
      <c r="R2563" s="24">
        <f>O2563-Q2563</f>
        <v>195.75</v>
      </c>
      <c r="S2563" s="53">
        <f>IF(O2563&lt;&gt;0,R2563/O2563,"")</f>
        <v>0.39295392953929542</v>
      </c>
      <c r="T2563" s="10"/>
      <c r="U2563" s="23">
        <v>498.15</v>
      </c>
      <c r="V2563" s="25">
        <v>144</v>
      </c>
      <c r="W2563" s="24">
        <v>302.39999999999998</v>
      </c>
      <c r="X2563" s="24">
        <f>U2563-W2563</f>
        <v>195.75</v>
      </c>
      <c r="Y2563" s="53">
        <f>IF(U2563&lt;&gt;0,X2563/U2563,"")</f>
        <v>0.39295392953929542</v>
      </c>
      <c r="Z2563" s="23">
        <v>0</v>
      </c>
      <c r="AA2563" s="25">
        <v>0</v>
      </c>
      <c r="AB2563" s="24">
        <v>0</v>
      </c>
      <c r="AC2563" s="24">
        <f t="shared" si="728"/>
        <v>0</v>
      </c>
      <c r="AD2563" s="53" t="str">
        <f t="shared" si="729"/>
        <v/>
      </c>
      <c r="AE2563" s="10"/>
    </row>
    <row r="2564" spans="1:31" x14ac:dyDescent="0.25">
      <c r="A2564" s="14" t="s">
        <v>109</v>
      </c>
      <c r="C2564" s="61" t="str">
        <f t="shared" si="727"/>
        <v>C100135</v>
      </c>
      <c r="F2564" s="8" t="str">
        <f>"S100026"</f>
        <v>S100026</v>
      </c>
      <c r="G2564" s="9" t="str">
        <f>"Wide SPORT BOT"</f>
        <v>Wide SPORT BOT</v>
      </c>
      <c r="H2564" s="47"/>
      <c r="I2564" s="47"/>
      <c r="J2564" s="23">
        <v>0</v>
      </c>
      <c r="K2564" s="25">
        <v>0</v>
      </c>
      <c r="L2564" s="24">
        <v>0</v>
      </c>
      <c r="M2564" s="24">
        <f>J2564-L2564</f>
        <v>0</v>
      </c>
      <c r="N2564" s="53" t="str">
        <f>IF(J2564&lt;&gt;0,M2564/J2564,"")</f>
        <v/>
      </c>
      <c r="O2564" s="23">
        <v>571.54000000000008</v>
      </c>
      <c r="P2564" s="25">
        <v>144</v>
      </c>
      <c r="Q2564" s="24">
        <v>273.65000000000003</v>
      </c>
      <c r="R2564" s="24">
        <f>O2564-Q2564</f>
        <v>297.89000000000004</v>
      </c>
      <c r="S2564" s="53">
        <f>IF(O2564&lt;&gt;0,R2564/O2564,"")</f>
        <v>0.52120586485635301</v>
      </c>
      <c r="T2564" s="10"/>
      <c r="U2564" s="23">
        <v>0</v>
      </c>
      <c r="V2564" s="25">
        <v>0</v>
      </c>
      <c r="W2564" s="24">
        <v>0</v>
      </c>
      <c r="X2564" s="24">
        <f>U2564-W2564</f>
        <v>0</v>
      </c>
      <c r="Y2564" s="53" t="str">
        <f>IF(U2564&lt;&gt;0,X2564/U2564,"")</f>
        <v/>
      </c>
      <c r="Z2564" s="23">
        <v>0</v>
      </c>
      <c r="AA2564" s="25">
        <v>0</v>
      </c>
      <c r="AB2564" s="24">
        <v>0</v>
      </c>
      <c r="AC2564" s="24">
        <f t="shared" si="728"/>
        <v>0</v>
      </c>
      <c r="AD2564" s="53" t="str">
        <f t="shared" si="729"/>
        <v/>
      </c>
      <c r="AE2564" s="10"/>
    </row>
    <row r="2565" spans="1:31" x14ac:dyDescent="0.25">
      <c r="A2565" s="14" t="s">
        <v>109</v>
      </c>
      <c r="C2565" s="61" t="str">
        <f t="shared" si="727"/>
        <v>C100135</v>
      </c>
      <c r="F2565" s="8" t="str">
        <f>"S200001"</f>
        <v>S200001</v>
      </c>
      <c r="G2565" s="9" t="str">
        <f>"3.25"" Lamp of Knowledge Trophy"</f>
        <v>3.25" Lamp of Knowledge Trophy</v>
      </c>
      <c r="H2565" s="47"/>
      <c r="I2565" s="47"/>
      <c r="J2565" s="23">
        <v>0</v>
      </c>
      <c r="K2565" s="25">
        <v>0</v>
      </c>
      <c r="L2565" s="24">
        <v>0</v>
      </c>
      <c r="M2565" s="24">
        <f>J2565-L2565</f>
        <v>0</v>
      </c>
      <c r="N2565" s="53" t="str">
        <f>IF(J2565&lt;&gt;0,M2565/J2565,"")</f>
        <v/>
      </c>
      <c r="O2565" s="23">
        <v>1411.2</v>
      </c>
      <c r="P2565" s="25">
        <v>144</v>
      </c>
      <c r="Q2565" s="24">
        <v>1009.4399999999999</v>
      </c>
      <c r="R2565" s="24">
        <f>O2565-Q2565</f>
        <v>401.7600000000001</v>
      </c>
      <c r="S2565" s="53">
        <f>IF(O2565&lt;&gt;0,R2565/O2565,"")</f>
        <v>0.28469387755102049</v>
      </c>
      <c r="T2565" s="10"/>
      <c r="U2565" s="23">
        <v>0</v>
      </c>
      <c r="V2565" s="25">
        <v>0</v>
      </c>
      <c r="W2565" s="24">
        <v>0</v>
      </c>
      <c r="X2565" s="24">
        <f>U2565-W2565</f>
        <v>0</v>
      </c>
      <c r="Y2565" s="53" t="str">
        <f>IF(U2565&lt;&gt;0,X2565/U2565,"")</f>
        <v/>
      </c>
      <c r="Z2565" s="23">
        <v>0</v>
      </c>
      <c r="AA2565" s="25">
        <v>0</v>
      </c>
      <c r="AB2565" s="24">
        <v>0</v>
      </c>
      <c r="AC2565" s="24">
        <f t="shared" si="728"/>
        <v>0</v>
      </c>
      <c r="AD2565" s="53" t="str">
        <f t="shared" si="729"/>
        <v/>
      </c>
      <c r="AE2565" s="10"/>
    </row>
    <row r="2566" spans="1:31" x14ac:dyDescent="0.25">
      <c r="A2566" s="14" t="s">
        <v>109</v>
      </c>
      <c r="C2566" s="61" t="str">
        <f t="shared" si="727"/>
        <v>C100135</v>
      </c>
      <c r="F2566" s="8" t="str">
        <f>"S200004"</f>
        <v>S200004</v>
      </c>
      <c r="G2566" s="9" t="str">
        <f>"5"" Female Graduate Trophy"</f>
        <v>5" Female Graduate Trophy</v>
      </c>
      <c r="H2566" s="47"/>
      <c r="I2566" s="47"/>
      <c r="J2566" s="23">
        <v>0</v>
      </c>
      <c r="K2566" s="25">
        <v>0</v>
      </c>
      <c r="L2566" s="24">
        <v>0</v>
      </c>
      <c r="M2566" s="24">
        <f>J2566-L2566</f>
        <v>0</v>
      </c>
      <c r="N2566" s="53" t="str">
        <f>IF(J2566&lt;&gt;0,M2566/J2566,"")</f>
        <v/>
      </c>
      <c r="O2566" s="23">
        <v>88.2</v>
      </c>
      <c r="P2566" s="25">
        <v>12</v>
      </c>
      <c r="Q2566" s="24">
        <v>78.72</v>
      </c>
      <c r="R2566" s="24">
        <f>O2566-Q2566</f>
        <v>9.480000000000004</v>
      </c>
      <c r="S2566" s="53">
        <f>IF(O2566&lt;&gt;0,R2566/O2566,"")</f>
        <v>0.10748299319727896</v>
      </c>
      <c r="T2566" s="10"/>
      <c r="U2566" s="23">
        <v>0</v>
      </c>
      <c r="V2566" s="25">
        <v>0</v>
      </c>
      <c r="W2566" s="24">
        <v>0</v>
      </c>
      <c r="X2566" s="24">
        <f>U2566-W2566</f>
        <v>0</v>
      </c>
      <c r="Y2566" s="53" t="str">
        <f>IF(U2566&lt;&gt;0,X2566/U2566,"")</f>
        <v/>
      </c>
      <c r="Z2566" s="23">
        <v>0</v>
      </c>
      <c r="AA2566" s="25">
        <v>0</v>
      </c>
      <c r="AB2566" s="24">
        <v>0</v>
      </c>
      <c r="AC2566" s="24">
        <f t="shared" si="728"/>
        <v>0</v>
      </c>
      <c r="AD2566" s="53" t="str">
        <f t="shared" si="729"/>
        <v/>
      </c>
      <c r="AE2566" s="10"/>
    </row>
    <row r="2567" spans="1:31" x14ac:dyDescent="0.25">
      <c r="A2567" s="14" t="s">
        <v>109</v>
      </c>
      <c r="C2567" s="61" t="str">
        <f t="shared" si="727"/>
        <v>C100135</v>
      </c>
      <c r="F2567" s="8" t="str">
        <f>"S200005"</f>
        <v>S200005</v>
      </c>
      <c r="G2567" s="9" t="str">
        <f>"4.75"" Spelling B Trophy"</f>
        <v>4.75" Spelling B Trophy</v>
      </c>
      <c r="H2567" s="47"/>
      <c r="I2567" s="47"/>
      <c r="J2567" s="23">
        <v>0</v>
      </c>
      <c r="K2567" s="25">
        <v>0</v>
      </c>
      <c r="L2567" s="24">
        <v>0</v>
      </c>
      <c r="M2567" s="24">
        <f>J2567-L2567</f>
        <v>0</v>
      </c>
      <c r="N2567" s="53" t="str">
        <f>IF(J2567&lt;&gt;0,M2567/J2567,"")</f>
        <v/>
      </c>
      <c r="O2567" s="23">
        <v>1411.2</v>
      </c>
      <c r="P2567" s="25">
        <v>144</v>
      </c>
      <c r="Q2567" s="24">
        <v>1012.32</v>
      </c>
      <c r="R2567" s="24">
        <f>O2567-Q2567</f>
        <v>398.88</v>
      </c>
      <c r="S2567" s="53">
        <f>IF(O2567&lt;&gt;0,R2567/O2567,"")</f>
        <v>0.2826530612244898</v>
      </c>
      <c r="T2567" s="10"/>
      <c r="U2567" s="23">
        <v>0</v>
      </c>
      <c r="V2567" s="25">
        <v>0</v>
      </c>
      <c r="W2567" s="24">
        <v>0</v>
      </c>
      <c r="X2567" s="24">
        <f>U2567-W2567</f>
        <v>0</v>
      </c>
      <c r="Y2567" s="53" t="str">
        <f>IF(U2567&lt;&gt;0,X2567/U2567,"")</f>
        <v/>
      </c>
      <c r="Z2567" s="23">
        <v>0</v>
      </c>
      <c r="AA2567" s="25">
        <v>0</v>
      </c>
      <c r="AB2567" s="24">
        <v>0</v>
      </c>
      <c r="AC2567" s="24">
        <f t="shared" si="728"/>
        <v>0</v>
      </c>
      <c r="AD2567" s="53" t="str">
        <f t="shared" si="729"/>
        <v/>
      </c>
      <c r="AE2567" s="10"/>
    </row>
    <row r="2568" spans="1:31" x14ac:dyDescent="0.25">
      <c r="A2568" s="14" t="s">
        <v>109</v>
      </c>
      <c r="C2568" s="61" t="str">
        <f t="shared" si="727"/>
        <v>C100135</v>
      </c>
      <c r="F2568" s="8" t="str">
        <f>"S200009"</f>
        <v>S200009</v>
      </c>
      <c r="G2568" s="9" t="str">
        <f>"3.75"" Volleyball Trophy"</f>
        <v>3.75" Volleyball Trophy</v>
      </c>
      <c r="H2568" s="47"/>
      <c r="I2568" s="47"/>
      <c r="J2568" s="23">
        <v>0</v>
      </c>
      <c r="K2568" s="25">
        <v>0</v>
      </c>
      <c r="L2568" s="24">
        <v>0</v>
      </c>
      <c r="M2568" s="24">
        <f>J2568-L2568</f>
        <v>0</v>
      </c>
      <c r="N2568" s="53" t="str">
        <f>IF(J2568&lt;&gt;0,M2568/J2568,"")</f>
        <v/>
      </c>
      <c r="O2568" s="23">
        <v>117.6</v>
      </c>
      <c r="P2568" s="25">
        <v>12</v>
      </c>
      <c r="Q2568" s="24">
        <v>90.12</v>
      </c>
      <c r="R2568" s="24">
        <f>O2568-Q2568</f>
        <v>27.47999999999999</v>
      </c>
      <c r="S2568" s="53">
        <f>IF(O2568&lt;&gt;0,R2568/O2568,"")</f>
        <v>0.23367346938775502</v>
      </c>
      <c r="T2568" s="10"/>
      <c r="U2568" s="23">
        <v>0</v>
      </c>
      <c r="V2568" s="25">
        <v>0</v>
      </c>
      <c r="W2568" s="24">
        <v>0</v>
      </c>
      <c r="X2568" s="24">
        <f>U2568-W2568</f>
        <v>0</v>
      </c>
      <c r="Y2568" s="53" t="str">
        <f>IF(U2568&lt;&gt;0,X2568/U2568,"")</f>
        <v/>
      </c>
      <c r="Z2568" s="23">
        <v>0</v>
      </c>
      <c r="AA2568" s="25">
        <v>0</v>
      </c>
      <c r="AB2568" s="24">
        <v>0</v>
      </c>
      <c r="AC2568" s="24">
        <f t="shared" si="728"/>
        <v>0</v>
      </c>
      <c r="AD2568" s="53" t="str">
        <f t="shared" si="729"/>
        <v/>
      </c>
      <c r="AE2568" s="10"/>
    </row>
    <row r="2569" spans="1:31" x14ac:dyDescent="0.25">
      <c r="A2569" s="14" t="s">
        <v>109</v>
      </c>
      <c r="C2569" s="61" t="str">
        <f t="shared" si="727"/>
        <v>C100135</v>
      </c>
      <c r="F2569" s="8" t="str">
        <f>"S200010"</f>
        <v>S200010</v>
      </c>
      <c r="G2569" s="9" t="str">
        <f>"3.75"" Wrestling Trophy"</f>
        <v>3.75" Wrestling Trophy</v>
      </c>
      <c r="H2569" s="47"/>
      <c r="I2569" s="47"/>
      <c r="J2569" s="23">
        <v>0</v>
      </c>
      <c r="K2569" s="25">
        <v>0</v>
      </c>
      <c r="L2569" s="24">
        <v>0</v>
      </c>
      <c r="M2569" s="24">
        <f>J2569-L2569</f>
        <v>0</v>
      </c>
      <c r="N2569" s="53" t="str">
        <f>IF(J2569&lt;&gt;0,M2569/J2569,"")</f>
        <v/>
      </c>
      <c r="O2569" s="23">
        <v>9.8000000000000007</v>
      </c>
      <c r="P2569" s="25">
        <v>1</v>
      </c>
      <c r="Q2569" s="24">
        <v>7.51</v>
      </c>
      <c r="R2569" s="24">
        <f>O2569-Q2569</f>
        <v>2.2900000000000009</v>
      </c>
      <c r="S2569" s="53">
        <f>IF(O2569&lt;&gt;0,R2569/O2569,"")</f>
        <v>0.23367346938775518</v>
      </c>
      <c r="T2569" s="10"/>
      <c r="U2569" s="23">
        <v>0</v>
      </c>
      <c r="V2569" s="25">
        <v>0</v>
      </c>
      <c r="W2569" s="24">
        <v>0</v>
      </c>
      <c r="X2569" s="24">
        <f>U2569-W2569</f>
        <v>0</v>
      </c>
      <c r="Y2569" s="53" t="str">
        <f>IF(U2569&lt;&gt;0,X2569/U2569,"")</f>
        <v/>
      </c>
      <c r="Z2569" s="23">
        <v>0</v>
      </c>
      <c r="AA2569" s="25">
        <v>0</v>
      </c>
      <c r="AB2569" s="24">
        <v>0</v>
      </c>
      <c r="AC2569" s="24">
        <f t="shared" si="728"/>
        <v>0</v>
      </c>
      <c r="AD2569" s="53" t="str">
        <f t="shared" si="729"/>
        <v/>
      </c>
      <c r="AE2569" s="10"/>
    </row>
    <row r="2570" spans="1:31" x14ac:dyDescent="0.25">
      <c r="A2570" s="14" t="s">
        <v>109</v>
      </c>
      <c r="C2570" s="61" t="str">
        <f t="shared" si="727"/>
        <v>C100135</v>
      </c>
      <c r="F2570" s="8" t="str">
        <f>"S200013"</f>
        <v>S200013</v>
      </c>
      <c r="G2570" s="9" t="str">
        <f>"10.75"" Star Riser Soccer Trophy"</f>
        <v>10.75" Star Riser Soccer Trophy</v>
      </c>
      <c r="H2570" s="47"/>
      <c r="I2570" s="47"/>
      <c r="J2570" s="23">
        <v>0</v>
      </c>
      <c r="K2570" s="25">
        <v>0</v>
      </c>
      <c r="L2570" s="24">
        <v>0</v>
      </c>
      <c r="M2570" s="24">
        <f>J2570-L2570</f>
        <v>0</v>
      </c>
      <c r="N2570" s="53" t="str">
        <f>IF(J2570&lt;&gt;0,M2570/J2570,"")</f>
        <v/>
      </c>
      <c r="O2570" s="23">
        <v>588</v>
      </c>
      <c r="P2570" s="25">
        <v>48</v>
      </c>
      <c r="Q2570" s="24">
        <v>476.64000000000004</v>
      </c>
      <c r="R2570" s="24">
        <f>O2570-Q2570</f>
        <v>111.35999999999996</v>
      </c>
      <c r="S2570" s="53">
        <f>IF(O2570&lt;&gt;0,R2570/O2570,"")</f>
        <v>0.18938775510204076</v>
      </c>
      <c r="T2570" s="10"/>
      <c r="U2570" s="23">
        <v>1764</v>
      </c>
      <c r="V2570" s="25">
        <v>144</v>
      </c>
      <c r="W2570" s="24">
        <v>1429.9199999999998</v>
      </c>
      <c r="X2570" s="24">
        <f>U2570-W2570</f>
        <v>334.08000000000015</v>
      </c>
      <c r="Y2570" s="53">
        <f>IF(U2570&lt;&gt;0,X2570/U2570,"")</f>
        <v>0.18938775510204089</v>
      </c>
      <c r="Z2570" s="23">
        <v>0</v>
      </c>
      <c r="AA2570" s="25">
        <v>0</v>
      </c>
      <c r="AB2570" s="24">
        <v>0</v>
      </c>
      <c r="AC2570" s="24">
        <f t="shared" si="728"/>
        <v>0</v>
      </c>
      <c r="AD2570" s="53" t="str">
        <f t="shared" si="729"/>
        <v/>
      </c>
      <c r="AE2570" s="10"/>
    </row>
    <row r="2571" spans="1:31" x14ac:dyDescent="0.25">
      <c r="A2571" s="14" t="s">
        <v>109</v>
      </c>
      <c r="C2571" s="61" t="str">
        <f t="shared" si="727"/>
        <v>C100135</v>
      </c>
      <c r="F2571" s="8" t="str">
        <f>"S200022"</f>
        <v>S200022</v>
      </c>
      <c r="G2571" s="9" t="str">
        <f>"10.75"" Tourch Riser Basketball Trophy"</f>
        <v>10.75" Tourch Riser Basketball Trophy</v>
      </c>
      <c r="H2571" s="47"/>
      <c r="I2571" s="47"/>
      <c r="J2571" s="23">
        <v>0</v>
      </c>
      <c r="K2571" s="25">
        <v>0</v>
      </c>
      <c r="L2571" s="24">
        <v>0</v>
      </c>
      <c r="M2571" s="24">
        <f>J2571-L2571</f>
        <v>0</v>
      </c>
      <c r="N2571" s="53" t="str">
        <f>IF(J2571&lt;&gt;0,M2571/J2571,"")</f>
        <v/>
      </c>
      <c r="O2571" s="23">
        <v>588</v>
      </c>
      <c r="P2571" s="25">
        <v>48</v>
      </c>
      <c r="Q2571" s="24">
        <v>493.44</v>
      </c>
      <c r="R2571" s="24">
        <f>O2571-Q2571</f>
        <v>94.56</v>
      </c>
      <c r="S2571" s="53">
        <f>IF(O2571&lt;&gt;0,R2571/O2571,"")</f>
        <v>0.16081632653061226</v>
      </c>
      <c r="T2571" s="10"/>
      <c r="U2571" s="23">
        <v>147</v>
      </c>
      <c r="V2571" s="25">
        <v>12</v>
      </c>
      <c r="W2571" s="24">
        <v>123.36</v>
      </c>
      <c r="X2571" s="24">
        <f>U2571-W2571</f>
        <v>23.64</v>
      </c>
      <c r="Y2571" s="53">
        <f>IF(U2571&lt;&gt;0,X2571/U2571,"")</f>
        <v>0.16081632653061226</v>
      </c>
      <c r="Z2571" s="23">
        <v>0</v>
      </c>
      <c r="AA2571" s="25">
        <v>0</v>
      </c>
      <c r="AB2571" s="24">
        <v>0</v>
      </c>
      <c r="AC2571" s="24">
        <f t="shared" si="728"/>
        <v>0</v>
      </c>
      <c r="AD2571" s="53" t="str">
        <f t="shared" si="729"/>
        <v/>
      </c>
      <c r="AE2571" s="10"/>
    </row>
    <row r="2572" spans="1:31" x14ac:dyDescent="0.25">
      <c r="A2572" s="14" t="s">
        <v>109</v>
      </c>
      <c r="C2572" s="61" t="str">
        <f t="shared" si="727"/>
        <v>C100135</v>
      </c>
      <c r="F2572" s="8" t="str">
        <f>"S200024"</f>
        <v>S200024</v>
      </c>
      <c r="G2572" s="9" t="str">
        <f>"10.75"" Tourch Riser Wrestling Trophy"</f>
        <v>10.75" Tourch Riser Wrestling Trophy</v>
      </c>
      <c r="H2572" s="47"/>
      <c r="I2572" s="47"/>
      <c r="J2572" s="23">
        <v>0</v>
      </c>
      <c r="K2572" s="25">
        <v>0</v>
      </c>
      <c r="L2572" s="24">
        <v>0</v>
      </c>
      <c r="M2572" s="24">
        <f>J2572-L2572</f>
        <v>0</v>
      </c>
      <c r="N2572" s="53" t="str">
        <f>IF(J2572&lt;&gt;0,M2572/J2572,"")</f>
        <v/>
      </c>
      <c r="O2572" s="23">
        <v>294</v>
      </c>
      <c r="P2572" s="25">
        <v>24</v>
      </c>
      <c r="Q2572" s="24">
        <v>246.72</v>
      </c>
      <c r="R2572" s="24">
        <f>O2572-Q2572</f>
        <v>47.28</v>
      </c>
      <c r="S2572" s="53">
        <f>IF(O2572&lt;&gt;0,R2572/O2572,"")</f>
        <v>0.16081632653061226</v>
      </c>
      <c r="T2572" s="10"/>
      <c r="U2572" s="23">
        <v>0</v>
      </c>
      <c r="V2572" s="25">
        <v>0</v>
      </c>
      <c r="W2572" s="24">
        <v>0</v>
      </c>
      <c r="X2572" s="24">
        <f>U2572-W2572</f>
        <v>0</v>
      </c>
      <c r="Y2572" s="53" t="str">
        <f>IF(U2572&lt;&gt;0,X2572/U2572,"")</f>
        <v/>
      </c>
      <c r="Z2572" s="23">
        <v>0</v>
      </c>
      <c r="AA2572" s="25">
        <v>0</v>
      </c>
      <c r="AB2572" s="24">
        <v>0</v>
      </c>
      <c r="AC2572" s="24">
        <f t="shared" si="728"/>
        <v>0</v>
      </c>
      <c r="AD2572" s="53" t="str">
        <f t="shared" si="729"/>
        <v/>
      </c>
      <c r="AE2572" s="10"/>
    </row>
    <row r="2573" spans="1:31" x14ac:dyDescent="0.25">
      <c r="A2573" s="14" t="s">
        <v>109</v>
      </c>
      <c r="C2573" s="61" t="str">
        <f t="shared" si="727"/>
        <v>C100135</v>
      </c>
      <c r="F2573" s="8" t="str">
        <f>"S200026"</f>
        <v>S200026</v>
      </c>
      <c r="G2573" s="9" t="str">
        <f>"10.75"" Column Apple Trophy"</f>
        <v>10.75" Column Apple Trophy</v>
      </c>
      <c r="H2573" s="47"/>
      <c r="I2573" s="47"/>
      <c r="J2573" s="23">
        <v>0</v>
      </c>
      <c r="K2573" s="25">
        <v>0</v>
      </c>
      <c r="L2573" s="24">
        <v>0</v>
      </c>
      <c r="M2573" s="24">
        <f>J2573-L2573</f>
        <v>0</v>
      </c>
      <c r="N2573" s="53" t="str">
        <f>IF(J2573&lt;&gt;0,M2573/J2573,"")</f>
        <v/>
      </c>
      <c r="O2573" s="23">
        <v>352.8</v>
      </c>
      <c r="P2573" s="25">
        <v>24</v>
      </c>
      <c r="Q2573" s="24">
        <v>271.2</v>
      </c>
      <c r="R2573" s="24">
        <f>O2573-Q2573</f>
        <v>81.600000000000023</v>
      </c>
      <c r="S2573" s="53">
        <f>IF(O2573&lt;&gt;0,R2573/O2573,"")</f>
        <v>0.23129251700680278</v>
      </c>
      <c r="T2573" s="10"/>
      <c r="U2573" s="23">
        <v>0</v>
      </c>
      <c r="V2573" s="25">
        <v>0</v>
      </c>
      <c r="W2573" s="24">
        <v>0</v>
      </c>
      <c r="X2573" s="24">
        <f>U2573-W2573</f>
        <v>0</v>
      </c>
      <c r="Y2573" s="53" t="str">
        <f>IF(U2573&lt;&gt;0,X2573/U2573,"")</f>
        <v/>
      </c>
      <c r="Z2573" s="23">
        <v>0</v>
      </c>
      <c r="AA2573" s="25">
        <v>0</v>
      </c>
      <c r="AB2573" s="24">
        <v>0</v>
      </c>
      <c r="AC2573" s="24">
        <f t="shared" si="728"/>
        <v>0</v>
      </c>
      <c r="AD2573" s="53" t="str">
        <f t="shared" si="729"/>
        <v/>
      </c>
      <c r="AE2573" s="10"/>
    </row>
    <row r="2574" spans="1:31" x14ac:dyDescent="0.25">
      <c r="A2574" s="14" t="s">
        <v>109</v>
      </c>
      <c r="C2574" s="61" t="str">
        <f t="shared" si="727"/>
        <v>C100135</v>
      </c>
      <c r="F2574" s="8" t="str">
        <f>"S200029"</f>
        <v>S200029</v>
      </c>
      <c r="G2574" s="9" t="str">
        <f>"10.75"" Column Basketball Trophy"</f>
        <v>10.75" Column Basketball Trophy</v>
      </c>
      <c r="H2574" s="47"/>
      <c r="I2574" s="47"/>
      <c r="J2574" s="23">
        <v>0</v>
      </c>
      <c r="K2574" s="25">
        <v>0</v>
      </c>
      <c r="L2574" s="24">
        <v>0</v>
      </c>
      <c r="M2574" s="24">
        <f>J2574-L2574</f>
        <v>0</v>
      </c>
      <c r="N2574" s="53" t="str">
        <f>IF(J2574&lt;&gt;0,M2574/J2574,"")</f>
        <v/>
      </c>
      <c r="O2574" s="23">
        <v>2116.8000000000002</v>
      </c>
      <c r="P2574" s="25">
        <v>144</v>
      </c>
      <c r="Q2574" s="24">
        <v>1547.9999999999998</v>
      </c>
      <c r="R2574" s="24">
        <f>O2574-Q2574</f>
        <v>568.80000000000041</v>
      </c>
      <c r="S2574" s="53">
        <f>IF(O2574&lt;&gt;0,R2574/O2574,"")</f>
        <v>0.26870748299319747</v>
      </c>
      <c r="T2574" s="10"/>
      <c r="U2574" s="23">
        <v>0</v>
      </c>
      <c r="V2574" s="25">
        <v>0</v>
      </c>
      <c r="W2574" s="24">
        <v>0</v>
      </c>
      <c r="X2574" s="24">
        <f>U2574-W2574</f>
        <v>0</v>
      </c>
      <c r="Y2574" s="53" t="str">
        <f>IF(U2574&lt;&gt;0,X2574/U2574,"")</f>
        <v/>
      </c>
      <c r="Z2574" s="23">
        <v>0</v>
      </c>
      <c r="AA2574" s="25">
        <v>0</v>
      </c>
      <c r="AB2574" s="24">
        <v>0</v>
      </c>
      <c r="AC2574" s="24">
        <f t="shared" si="728"/>
        <v>0</v>
      </c>
      <c r="AD2574" s="53" t="str">
        <f t="shared" si="729"/>
        <v/>
      </c>
      <c r="AE2574" s="10"/>
    </row>
    <row r="2575" spans="1:31" x14ac:dyDescent="0.25">
      <c r="A2575" s="14" t="s">
        <v>109</v>
      </c>
      <c r="C2575" s="61" t="str">
        <f t="shared" si="727"/>
        <v>C100135</v>
      </c>
      <c r="F2575" s="8" t="str">
        <f>"S200030"</f>
        <v>S200030</v>
      </c>
      <c r="G2575" s="9" t="str">
        <f>"10.75"" Column Volleyball Trophy"</f>
        <v>10.75" Column Volleyball Trophy</v>
      </c>
      <c r="H2575" s="47"/>
      <c r="I2575" s="47"/>
      <c r="J2575" s="23">
        <v>0</v>
      </c>
      <c r="K2575" s="25">
        <v>0</v>
      </c>
      <c r="L2575" s="24">
        <v>0</v>
      </c>
      <c r="M2575" s="24">
        <f>J2575-L2575</f>
        <v>0</v>
      </c>
      <c r="N2575" s="53" t="str">
        <f>IF(J2575&lt;&gt;0,M2575/J2575,"")</f>
        <v/>
      </c>
      <c r="O2575" s="23">
        <v>2116.8000000000002</v>
      </c>
      <c r="P2575" s="25">
        <v>144</v>
      </c>
      <c r="Q2575" s="24">
        <v>1547.9999999999998</v>
      </c>
      <c r="R2575" s="24">
        <f>O2575-Q2575</f>
        <v>568.80000000000041</v>
      </c>
      <c r="S2575" s="53">
        <f>IF(O2575&lt;&gt;0,R2575/O2575,"")</f>
        <v>0.26870748299319747</v>
      </c>
      <c r="T2575" s="10"/>
      <c r="U2575" s="23">
        <v>0</v>
      </c>
      <c r="V2575" s="25">
        <v>0</v>
      </c>
      <c r="W2575" s="24">
        <v>0</v>
      </c>
      <c r="X2575" s="24">
        <f>U2575-W2575</f>
        <v>0</v>
      </c>
      <c r="Y2575" s="53" t="str">
        <f>IF(U2575&lt;&gt;0,X2575/U2575,"")</f>
        <v/>
      </c>
      <c r="Z2575" s="23">
        <v>0</v>
      </c>
      <c r="AA2575" s="25">
        <v>0</v>
      </c>
      <c r="AB2575" s="24">
        <v>0</v>
      </c>
      <c r="AC2575" s="24">
        <f t="shared" si="728"/>
        <v>0</v>
      </c>
      <c r="AD2575" s="53" t="str">
        <f t="shared" si="729"/>
        <v/>
      </c>
      <c r="AE2575" s="10"/>
    </row>
    <row r="2576" spans="1:31" x14ac:dyDescent="0.25">
      <c r="A2576" s="14" t="s">
        <v>109</v>
      </c>
      <c r="C2576" s="61" t="str">
        <f t="shared" si="727"/>
        <v>C100135</v>
      </c>
      <c r="F2576" s="8" t="str">
        <f>"S200031"</f>
        <v>S200031</v>
      </c>
      <c r="G2576" s="9" t="str">
        <f>"10.75"" Column Wrestling Trophy"</f>
        <v>10.75" Column Wrestling Trophy</v>
      </c>
      <c r="H2576" s="47"/>
      <c r="I2576" s="47"/>
      <c r="J2576" s="23">
        <v>0</v>
      </c>
      <c r="K2576" s="25">
        <v>0</v>
      </c>
      <c r="L2576" s="24">
        <v>0</v>
      </c>
      <c r="M2576" s="24">
        <f>J2576-L2576</f>
        <v>0</v>
      </c>
      <c r="N2576" s="53" t="str">
        <f>IF(J2576&lt;&gt;0,M2576/J2576,"")</f>
        <v/>
      </c>
      <c r="O2576" s="23">
        <v>2116.8000000000002</v>
      </c>
      <c r="P2576" s="25">
        <v>144</v>
      </c>
      <c r="Q2576" s="24">
        <v>1547.9999999999998</v>
      </c>
      <c r="R2576" s="24">
        <f>O2576-Q2576</f>
        <v>568.80000000000041</v>
      </c>
      <c r="S2576" s="53">
        <f>IF(O2576&lt;&gt;0,R2576/O2576,"")</f>
        <v>0.26870748299319747</v>
      </c>
      <c r="T2576" s="10"/>
      <c r="U2576" s="23">
        <v>2116.8000000000002</v>
      </c>
      <c r="V2576" s="25">
        <v>144</v>
      </c>
      <c r="W2576" s="24">
        <v>1547.9999999999998</v>
      </c>
      <c r="X2576" s="24">
        <f>U2576-W2576</f>
        <v>568.80000000000041</v>
      </c>
      <c r="Y2576" s="53">
        <f>IF(U2576&lt;&gt;0,X2576/U2576,"")</f>
        <v>0.26870748299319747</v>
      </c>
      <c r="Z2576" s="23">
        <v>0</v>
      </c>
      <c r="AA2576" s="25">
        <v>0</v>
      </c>
      <c r="AB2576" s="24">
        <v>0</v>
      </c>
      <c r="AC2576" s="24">
        <f t="shared" si="728"/>
        <v>0</v>
      </c>
      <c r="AD2576" s="53" t="str">
        <f t="shared" si="729"/>
        <v/>
      </c>
      <c r="AE2576" s="10"/>
    </row>
    <row r="2577" spans="1:31" ht="15.75" thickBot="1" x14ac:dyDescent="0.3">
      <c r="A2577" s="14" t="s">
        <v>109</v>
      </c>
      <c r="C2577" s="61" t="str">
        <f>C2526</f>
        <v>C100135</v>
      </c>
      <c r="J2577" s="10"/>
      <c r="K2577" s="11"/>
      <c r="L2577" s="11"/>
      <c r="M2577" s="11"/>
      <c r="N2577" s="12"/>
      <c r="O2577" s="10"/>
      <c r="P2577" s="11"/>
      <c r="Q2577" s="11"/>
      <c r="R2577" s="11"/>
      <c r="S2577" s="12"/>
      <c r="U2577" s="10"/>
      <c r="V2577" s="11"/>
      <c r="W2577" s="11"/>
      <c r="X2577" s="11"/>
      <c r="Y2577" s="12"/>
      <c r="Z2577" s="10"/>
      <c r="AA2577" s="11"/>
      <c r="AB2577" s="11"/>
      <c r="AC2577" s="11"/>
      <c r="AD2577" s="12"/>
    </row>
    <row r="2578" spans="1:31" ht="15.75" thickBot="1" x14ac:dyDescent="0.3">
      <c r="A2578" s="14" t="s">
        <v>109</v>
      </c>
      <c r="C2578" s="61" t="str">
        <f t="shared" si="724"/>
        <v>C100135</v>
      </c>
      <c r="G2578" s="48" t="str">
        <f>C2578&amp;" TOTAL:"</f>
        <v>C100135 TOTAL:</v>
      </c>
      <c r="H2578" s="50"/>
      <c r="I2578" s="50"/>
      <c r="J2578" s="34">
        <f>SUBTOTAL(9,J2525:J2577)</f>
        <v>6307.8099999999986</v>
      </c>
      <c r="K2578" s="35">
        <f>SUBTOTAL(9,K2525:K2577)</f>
        <v>2157</v>
      </c>
      <c r="L2578" s="36">
        <f>SUBTOTAL(9,L2525:L2577)</f>
        <v>3340.61</v>
      </c>
      <c r="M2578" s="36">
        <f>J2578-L2578</f>
        <v>2967.1999999999985</v>
      </c>
      <c r="N2578" s="37">
        <f>IF(J2578&lt;&gt;0,M2578/J2578,"")</f>
        <v>0.47040097910368245</v>
      </c>
      <c r="O2578" s="34">
        <f>SUBTOTAL(9,O2525:O2577)</f>
        <v>20551.740000000002</v>
      </c>
      <c r="P2578" s="35">
        <f>SUBTOTAL(9,P2525:P2577)</f>
        <v>4701</v>
      </c>
      <c r="Q2578" s="36">
        <f>SUBTOTAL(9,Q2525:Q2577)</f>
        <v>13422.699999999999</v>
      </c>
      <c r="R2578" s="36">
        <f>O2578-Q2578</f>
        <v>7129.0400000000027</v>
      </c>
      <c r="S2578" s="37">
        <f>IF(O2578&lt;&gt;0,R2578/O2578,"")</f>
        <v>0.346882551063803</v>
      </c>
      <c r="U2578" s="34">
        <f>SUBTOTAL(9,U2525:U2577)</f>
        <v>12189.219999999998</v>
      </c>
      <c r="V2578" s="35">
        <f>SUBTOTAL(9,V2525:V2577)</f>
        <v>4971</v>
      </c>
      <c r="W2578" s="36">
        <f>SUBTOTAL(9,W2525:W2577)</f>
        <v>7594.82</v>
      </c>
      <c r="X2578" s="36">
        <f>U2578-W2578</f>
        <v>4594.3999999999978</v>
      </c>
      <c r="Y2578" s="37">
        <f>IF(U2578&lt;&gt;0,X2578/U2578,"")</f>
        <v>0.37692321575949889</v>
      </c>
      <c r="Z2578" s="34">
        <f>SUBTOTAL(9,Z2525:Z2577)</f>
        <v>0</v>
      </c>
      <c r="AA2578" s="35">
        <f>SUBTOTAL(9,AA2525:AA2577)</f>
        <v>0</v>
      </c>
      <c r="AB2578" s="36">
        <f>SUBTOTAL(9,AB2525:AB2577)</f>
        <v>0</v>
      </c>
      <c r="AC2578" s="36">
        <f t="shared" ref="AC2578" si="730">Z2578-AB2578</f>
        <v>0</v>
      </c>
      <c r="AD2578" s="37" t="str">
        <f t="shared" ref="AD2578" si="731">IF(Z2578&lt;&gt;0,AC2578/Z2578,"")</f>
        <v/>
      </c>
    </row>
    <row r="2579" spans="1:31" x14ac:dyDescent="0.25">
      <c r="A2579" s="14" t="s">
        <v>109</v>
      </c>
      <c r="C2579" s="66"/>
      <c r="J2579" s="10"/>
      <c r="K2579" s="11"/>
      <c r="L2579" s="11"/>
      <c r="M2579" s="11"/>
      <c r="N2579" s="12"/>
      <c r="O2579" s="10"/>
      <c r="P2579" s="11"/>
      <c r="Q2579" s="11"/>
      <c r="R2579" s="11"/>
      <c r="S2579" s="12"/>
      <c r="U2579" s="10"/>
      <c r="V2579" s="11"/>
      <c r="W2579" s="11"/>
      <c r="X2579" s="11"/>
      <c r="Y2579" s="12"/>
      <c r="Z2579" s="10"/>
      <c r="AA2579" s="11"/>
      <c r="AB2579" s="11"/>
      <c r="AC2579" s="11"/>
      <c r="AD2579" s="12"/>
    </row>
    <row r="2580" spans="1:31" ht="15.75" x14ac:dyDescent="0.25">
      <c r="A2580" s="14" t="s">
        <v>109</v>
      </c>
      <c r="C2580" s="66" t="str">
        <f t="shared" ref="C2580" si="732">E2580</f>
        <v>C100136</v>
      </c>
      <c r="E2580" s="13" t="str">
        <f>"C100136"</f>
        <v>C100136</v>
      </c>
      <c r="F2580" s="13"/>
      <c r="G2580" s="13" t="str">
        <f>"First Bank"</f>
        <v>First Bank</v>
      </c>
      <c r="H2580" s="13"/>
      <c r="I2580" s="13"/>
      <c r="J2580" s="10"/>
      <c r="K2580" s="11"/>
      <c r="L2580" s="11"/>
      <c r="M2580" s="11"/>
      <c r="N2580" s="12"/>
      <c r="O2580" s="10"/>
      <c r="P2580" s="11"/>
      <c r="Q2580" s="11"/>
      <c r="R2580" s="11"/>
      <c r="S2580" s="12"/>
      <c r="U2580" s="10"/>
      <c r="V2580" s="11"/>
      <c r="W2580" s="11"/>
      <c r="X2580" s="11"/>
      <c r="Y2580" s="12"/>
      <c r="Z2580" s="10"/>
      <c r="AA2580" s="11"/>
      <c r="AB2580" s="11"/>
      <c r="AC2580" s="11"/>
      <c r="AD2580" s="12"/>
    </row>
    <row r="2581" spans="1:31" ht="6.6" customHeight="1" x14ac:dyDescent="0.25">
      <c r="A2581" s="14" t="s">
        <v>109</v>
      </c>
      <c r="C2581" s="61" t="str">
        <f t="shared" ref="C2581:C2636" si="733">C2580</f>
        <v>C100136</v>
      </c>
      <c r="J2581" s="10"/>
      <c r="K2581" s="11"/>
      <c r="L2581" s="11"/>
      <c r="M2581" s="11"/>
      <c r="N2581" s="12"/>
      <c r="O2581" s="10"/>
      <c r="P2581" s="11"/>
      <c r="Q2581" s="11"/>
      <c r="R2581" s="11"/>
      <c r="S2581" s="12"/>
      <c r="U2581" s="10"/>
      <c r="V2581" s="11"/>
      <c r="W2581" s="11"/>
      <c r="X2581" s="11"/>
      <c r="Y2581" s="12"/>
      <c r="Z2581" s="10"/>
      <c r="AA2581" s="11"/>
      <c r="AB2581" s="11"/>
      <c r="AC2581" s="11"/>
      <c r="AD2581" s="12"/>
    </row>
    <row r="2582" spans="1:31" x14ac:dyDescent="0.25">
      <c r="A2582" s="14" t="s">
        <v>109</v>
      </c>
      <c r="C2582" s="61" t="str">
        <f t="shared" si="733"/>
        <v>C100136</v>
      </c>
      <c r="F2582" s="8" t="str">
        <f>"C100023"</f>
        <v>C100023</v>
      </c>
      <c r="G2582" s="9" t="str">
        <f>"Two-Toned Knit Hat"</f>
        <v>Two-Toned Knit Hat</v>
      </c>
      <c r="H2582" s="47"/>
      <c r="I2582" s="47"/>
      <c r="J2582" s="23">
        <v>1134.5999999999999</v>
      </c>
      <c r="K2582" s="25">
        <v>432</v>
      </c>
      <c r="L2582" s="24">
        <v>544.29999999999995</v>
      </c>
      <c r="M2582" s="24">
        <f>J2582-L2582</f>
        <v>590.29999999999995</v>
      </c>
      <c r="N2582" s="53">
        <f>IF(J2582&lt;&gt;0,M2582/J2582,"")</f>
        <v>0.52027146130794999</v>
      </c>
      <c r="O2582" s="23">
        <v>0</v>
      </c>
      <c r="P2582" s="25">
        <v>0</v>
      </c>
      <c r="Q2582" s="24">
        <v>0</v>
      </c>
      <c r="R2582" s="24">
        <f>O2582-Q2582</f>
        <v>0</v>
      </c>
      <c r="S2582" s="53" t="str">
        <f>IF(O2582&lt;&gt;0,R2582/O2582,"")</f>
        <v/>
      </c>
      <c r="T2582" s="10"/>
      <c r="U2582" s="23">
        <v>0</v>
      </c>
      <c r="V2582" s="25">
        <v>0</v>
      </c>
      <c r="W2582" s="24">
        <v>0</v>
      </c>
      <c r="X2582" s="24">
        <f>U2582-W2582</f>
        <v>0</v>
      </c>
      <c r="Y2582" s="53" t="str">
        <f>IF(U2582&lt;&gt;0,X2582/U2582,"")</f>
        <v/>
      </c>
      <c r="Z2582" s="23">
        <v>0</v>
      </c>
      <c r="AA2582" s="25">
        <v>0</v>
      </c>
      <c r="AB2582" s="24">
        <v>0</v>
      </c>
      <c r="AC2582" s="24">
        <f t="shared" ref="AC2582" si="734">Z2582-AB2582</f>
        <v>0</v>
      </c>
      <c r="AD2582" s="53" t="str">
        <f t="shared" ref="AD2582" si="735">IF(Z2582&lt;&gt;0,AC2582/Z2582,"")</f>
        <v/>
      </c>
      <c r="AE2582" s="10"/>
    </row>
    <row r="2583" spans="1:31" x14ac:dyDescent="0.25">
      <c r="A2583" s="14" t="s">
        <v>109</v>
      </c>
      <c r="C2583" s="61" t="str">
        <f t="shared" ref="C2583:C2634" si="736">C2582</f>
        <v>C100136</v>
      </c>
      <c r="F2583" s="8" t="str">
        <f>"C100025"</f>
        <v>C100025</v>
      </c>
      <c r="G2583" s="9" t="str">
        <f>"Striped Knit Hat"</f>
        <v>Striped Knit Hat</v>
      </c>
      <c r="H2583" s="47"/>
      <c r="I2583" s="47"/>
      <c r="J2583" s="23">
        <v>841.08</v>
      </c>
      <c r="K2583" s="25">
        <v>288</v>
      </c>
      <c r="L2583" s="24">
        <v>397.44</v>
      </c>
      <c r="M2583" s="24">
        <f>J2583-L2583</f>
        <v>443.64000000000004</v>
      </c>
      <c r="N2583" s="53">
        <f>IF(J2583&lt;&gt;0,M2583/J2583,"")</f>
        <v>0.52746468825795412</v>
      </c>
      <c r="O2583" s="23">
        <v>0</v>
      </c>
      <c r="P2583" s="25">
        <v>0</v>
      </c>
      <c r="Q2583" s="24">
        <v>0</v>
      </c>
      <c r="R2583" s="24">
        <f>O2583-Q2583</f>
        <v>0</v>
      </c>
      <c r="S2583" s="53" t="str">
        <f>IF(O2583&lt;&gt;0,R2583/O2583,"")</f>
        <v/>
      </c>
      <c r="T2583" s="10"/>
      <c r="U2583" s="23">
        <v>0</v>
      </c>
      <c r="V2583" s="25">
        <v>0</v>
      </c>
      <c r="W2583" s="24">
        <v>0</v>
      </c>
      <c r="X2583" s="24">
        <f>U2583-W2583</f>
        <v>0</v>
      </c>
      <c r="Y2583" s="53" t="str">
        <f>IF(U2583&lt;&gt;0,X2583/U2583,"")</f>
        <v/>
      </c>
      <c r="Z2583" s="23">
        <v>420.54</v>
      </c>
      <c r="AA2583" s="25">
        <v>144</v>
      </c>
      <c r="AB2583" s="24">
        <v>198.72</v>
      </c>
      <c r="AC2583" s="24">
        <f t="shared" ref="AC2583:AC2634" si="737">Z2583-AB2583</f>
        <v>221.82000000000002</v>
      </c>
      <c r="AD2583" s="53">
        <f t="shared" ref="AD2583:AD2634" si="738">IF(Z2583&lt;&gt;0,AC2583/Z2583,"")</f>
        <v>0.52746468825795412</v>
      </c>
      <c r="AE2583" s="10"/>
    </row>
    <row r="2584" spans="1:31" x14ac:dyDescent="0.25">
      <c r="A2584" s="14" t="s">
        <v>109</v>
      </c>
      <c r="C2584" s="61" t="str">
        <f t="shared" si="736"/>
        <v>C100136</v>
      </c>
      <c r="F2584" s="8" t="str">
        <f>"C100028"</f>
        <v>C100028</v>
      </c>
      <c r="G2584" s="9" t="str">
        <f>"Twill Visor"</f>
        <v>Twill Visor</v>
      </c>
      <c r="H2584" s="47"/>
      <c r="I2584" s="47"/>
      <c r="J2584" s="23">
        <v>240.37</v>
      </c>
      <c r="K2584" s="25">
        <v>48</v>
      </c>
      <c r="L2584" s="24">
        <v>115.2</v>
      </c>
      <c r="M2584" s="24">
        <f>J2584-L2584</f>
        <v>125.17</v>
      </c>
      <c r="N2584" s="53">
        <f>IF(J2584&lt;&gt;0,M2584/J2584,"")</f>
        <v>0.52073886092274413</v>
      </c>
      <c r="O2584" s="23">
        <v>0</v>
      </c>
      <c r="P2584" s="25">
        <v>0</v>
      </c>
      <c r="Q2584" s="24">
        <v>0</v>
      </c>
      <c r="R2584" s="24">
        <f>O2584-Q2584</f>
        <v>0</v>
      </c>
      <c r="S2584" s="53" t="str">
        <f>IF(O2584&lt;&gt;0,R2584/O2584,"")</f>
        <v/>
      </c>
      <c r="T2584" s="10"/>
      <c r="U2584" s="23">
        <v>0</v>
      </c>
      <c r="V2584" s="25">
        <v>0</v>
      </c>
      <c r="W2584" s="24">
        <v>0</v>
      </c>
      <c r="X2584" s="24">
        <f>U2584-W2584</f>
        <v>0</v>
      </c>
      <c r="Y2584" s="53" t="str">
        <f>IF(U2584&lt;&gt;0,X2584/U2584,"")</f>
        <v/>
      </c>
      <c r="Z2584" s="23">
        <v>240.37</v>
      </c>
      <c r="AA2584" s="25">
        <v>48</v>
      </c>
      <c r="AB2584" s="24">
        <v>115.2</v>
      </c>
      <c r="AC2584" s="24">
        <f t="shared" si="737"/>
        <v>125.17</v>
      </c>
      <c r="AD2584" s="53">
        <f t="shared" si="738"/>
        <v>0.52073886092274413</v>
      </c>
      <c r="AE2584" s="10"/>
    </row>
    <row r="2585" spans="1:31" x14ac:dyDescent="0.25">
      <c r="A2585" s="14" t="s">
        <v>109</v>
      </c>
      <c r="C2585" s="61" t="str">
        <f t="shared" si="736"/>
        <v>C100136</v>
      </c>
      <c r="F2585" s="8" t="str">
        <f>"C100033"</f>
        <v>C100033</v>
      </c>
      <c r="G2585" s="9" t="str">
        <f>"Frames &amp; Clock"</f>
        <v>Frames &amp; Clock</v>
      </c>
      <c r="H2585" s="47"/>
      <c r="I2585" s="47"/>
      <c r="J2585" s="23">
        <v>796.8599999999999</v>
      </c>
      <c r="K2585" s="25">
        <v>168</v>
      </c>
      <c r="L2585" s="24">
        <v>483.81999999999994</v>
      </c>
      <c r="M2585" s="24">
        <f>J2585-L2585</f>
        <v>313.03999999999996</v>
      </c>
      <c r="N2585" s="53">
        <f>IF(J2585&lt;&gt;0,M2585/J2585,"")</f>
        <v>0.39284190447506462</v>
      </c>
      <c r="O2585" s="23">
        <v>0</v>
      </c>
      <c r="P2585" s="25">
        <v>0</v>
      </c>
      <c r="Q2585" s="24">
        <v>0</v>
      </c>
      <c r="R2585" s="24">
        <f>O2585-Q2585</f>
        <v>0</v>
      </c>
      <c r="S2585" s="53" t="str">
        <f>IF(O2585&lt;&gt;0,R2585/O2585,"")</f>
        <v/>
      </c>
      <c r="T2585" s="10"/>
      <c r="U2585" s="23">
        <v>0</v>
      </c>
      <c r="V2585" s="25">
        <v>0</v>
      </c>
      <c r="W2585" s="24">
        <v>0</v>
      </c>
      <c r="X2585" s="24">
        <f>U2585-W2585</f>
        <v>0</v>
      </c>
      <c r="Y2585" s="53" t="str">
        <f>IF(U2585&lt;&gt;0,X2585/U2585,"")</f>
        <v/>
      </c>
      <c r="Z2585" s="23">
        <v>683.02</v>
      </c>
      <c r="AA2585" s="25">
        <v>144</v>
      </c>
      <c r="AB2585" s="24">
        <v>414.7</v>
      </c>
      <c r="AC2585" s="24">
        <f t="shared" si="737"/>
        <v>268.32</v>
      </c>
      <c r="AD2585" s="53">
        <f t="shared" si="738"/>
        <v>0.39284354777312525</v>
      </c>
      <c r="AE2585" s="10"/>
    </row>
    <row r="2586" spans="1:31" x14ac:dyDescent="0.25">
      <c r="A2586" s="14" t="s">
        <v>109</v>
      </c>
      <c r="C2586" s="61" t="str">
        <f t="shared" si="736"/>
        <v>C100136</v>
      </c>
      <c r="F2586" s="8" t="str">
        <f>"C100035"</f>
        <v>C100035</v>
      </c>
      <c r="G2586" s="9" t="str">
        <f>"Calculator &amp; World Time Clock"</f>
        <v>Calculator &amp; World Time Clock</v>
      </c>
      <c r="H2586" s="47"/>
      <c r="I2586" s="47"/>
      <c r="J2586" s="23">
        <v>1261.97</v>
      </c>
      <c r="K2586" s="25">
        <v>438</v>
      </c>
      <c r="L2586" s="24">
        <v>858.47</v>
      </c>
      <c r="M2586" s="24">
        <f>J2586-L2586</f>
        <v>403.5</v>
      </c>
      <c r="N2586" s="53">
        <f>IF(J2586&lt;&gt;0,M2586/J2586,"")</f>
        <v>0.31973818712013757</v>
      </c>
      <c r="O2586" s="23">
        <v>0</v>
      </c>
      <c r="P2586" s="25">
        <v>0</v>
      </c>
      <c r="Q2586" s="24">
        <v>0</v>
      </c>
      <c r="R2586" s="24">
        <f>O2586-Q2586</f>
        <v>0</v>
      </c>
      <c r="S2586" s="53" t="str">
        <f>IF(O2586&lt;&gt;0,R2586/O2586,"")</f>
        <v/>
      </c>
      <c r="T2586" s="10"/>
      <c r="U2586" s="23">
        <v>0</v>
      </c>
      <c r="V2586" s="25">
        <v>0</v>
      </c>
      <c r="W2586" s="24">
        <v>0</v>
      </c>
      <c r="X2586" s="24">
        <f>U2586-W2586</f>
        <v>0</v>
      </c>
      <c r="Y2586" s="53" t="str">
        <f>IF(U2586&lt;&gt;0,X2586/U2586,"")</f>
        <v/>
      </c>
      <c r="Z2586" s="23">
        <v>414.89</v>
      </c>
      <c r="AA2586" s="25">
        <v>144</v>
      </c>
      <c r="AB2586" s="24">
        <v>282.24</v>
      </c>
      <c r="AC2586" s="24">
        <f t="shared" si="737"/>
        <v>132.64999999999998</v>
      </c>
      <c r="AD2586" s="53">
        <f t="shared" si="738"/>
        <v>0.31972330015184741</v>
      </c>
      <c r="AE2586" s="10"/>
    </row>
    <row r="2587" spans="1:31" x14ac:dyDescent="0.25">
      <c r="A2587" s="14" t="s">
        <v>109</v>
      </c>
      <c r="C2587" s="61" t="str">
        <f t="shared" si="736"/>
        <v>C100136</v>
      </c>
      <c r="F2587" s="8" t="str">
        <f>"C100044"</f>
        <v>C100044</v>
      </c>
      <c r="G2587" s="9" t="str">
        <f>"VOIP Headset with Mic"</f>
        <v>VOIP Headset with Mic</v>
      </c>
      <c r="H2587" s="47"/>
      <c r="I2587" s="47"/>
      <c r="J2587" s="23">
        <v>25.87</v>
      </c>
      <c r="K2587" s="25">
        <v>12</v>
      </c>
      <c r="L2587" s="24">
        <v>14.4</v>
      </c>
      <c r="M2587" s="24">
        <f>J2587-L2587</f>
        <v>11.47</v>
      </c>
      <c r="N2587" s="53">
        <f>IF(J2587&lt;&gt;0,M2587/J2587,"")</f>
        <v>0.44337069965210668</v>
      </c>
      <c r="O2587" s="23">
        <v>0</v>
      </c>
      <c r="P2587" s="25">
        <v>0</v>
      </c>
      <c r="Q2587" s="24">
        <v>0</v>
      </c>
      <c r="R2587" s="24">
        <f>O2587-Q2587</f>
        <v>0</v>
      </c>
      <c r="S2587" s="53" t="str">
        <f>IF(O2587&lt;&gt;0,R2587/O2587,"")</f>
        <v/>
      </c>
      <c r="T2587" s="10"/>
      <c r="U2587" s="23">
        <v>0</v>
      </c>
      <c r="V2587" s="25">
        <v>0</v>
      </c>
      <c r="W2587" s="24">
        <v>0</v>
      </c>
      <c r="X2587" s="24">
        <f>U2587-W2587</f>
        <v>0</v>
      </c>
      <c r="Y2587" s="53" t="str">
        <f>IF(U2587&lt;&gt;0,X2587/U2587,"")</f>
        <v/>
      </c>
      <c r="Z2587" s="23">
        <v>0</v>
      </c>
      <c r="AA2587" s="25">
        <v>0</v>
      </c>
      <c r="AB2587" s="24">
        <v>0</v>
      </c>
      <c r="AC2587" s="24">
        <f t="shared" si="737"/>
        <v>0</v>
      </c>
      <c r="AD2587" s="53" t="str">
        <f t="shared" si="738"/>
        <v/>
      </c>
      <c r="AE2587" s="10"/>
    </row>
    <row r="2588" spans="1:31" x14ac:dyDescent="0.25">
      <c r="A2588" s="14" t="s">
        <v>109</v>
      </c>
      <c r="C2588" s="61" t="str">
        <f t="shared" si="736"/>
        <v>C100136</v>
      </c>
      <c r="F2588" s="8" t="str">
        <f>"C100056"</f>
        <v>C100056</v>
      </c>
      <c r="G2588" s="9" t="str">
        <f>"Contemporary Desk Calculator"</f>
        <v>Contemporary Desk Calculator</v>
      </c>
      <c r="H2588" s="47"/>
      <c r="I2588" s="47"/>
      <c r="J2588" s="23">
        <v>1021.71</v>
      </c>
      <c r="K2588" s="25">
        <v>192</v>
      </c>
      <c r="L2588" s="24">
        <v>510.77</v>
      </c>
      <c r="M2588" s="24">
        <f>J2588-L2588</f>
        <v>510.94000000000005</v>
      </c>
      <c r="N2588" s="53">
        <f>IF(J2588&lt;&gt;0,M2588/J2588,"")</f>
        <v>0.50008319386127187</v>
      </c>
      <c r="O2588" s="23">
        <v>0</v>
      </c>
      <c r="P2588" s="25">
        <v>0</v>
      </c>
      <c r="Q2588" s="24">
        <v>0</v>
      </c>
      <c r="R2588" s="24">
        <f>O2588-Q2588</f>
        <v>0</v>
      </c>
      <c r="S2588" s="53" t="str">
        <f>IF(O2588&lt;&gt;0,R2588/O2588,"")</f>
        <v/>
      </c>
      <c r="T2588" s="10"/>
      <c r="U2588" s="23">
        <v>0</v>
      </c>
      <c r="V2588" s="25">
        <v>0</v>
      </c>
      <c r="W2588" s="24">
        <v>0</v>
      </c>
      <c r="X2588" s="24">
        <f>U2588-W2588</f>
        <v>0</v>
      </c>
      <c r="Y2588" s="53" t="str">
        <f>IF(U2588&lt;&gt;0,X2588/U2588,"")</f>
        <v/>
      </c>
      <c r="Z2588" s="23">
        <v>0</v>
      </c>
      <c r="AA2588" s="25">
        <v>0</v>
      </c>
      <c r="AB2588" s="24">
        <v>0</v>
      </c>
      <c r="AC2588" s="24">
        <f t="shared" si="737"/>
        <v>0</v>
      </c>
      <c r="AD2588" s="53" t="str">
        <f t="shared" si="738"/>
        <v/>
      </c>
      <c r="AE2588" s="10"/>
    </row>
    <row r="2589" spans="1:31" x14ac:dyDescent="0.25">
      <c r="A2589" s="14" t="s">
        <v>109</v>
      </c>
      <c r="C2589" s="61" t="str">
        <f t="shared" si="736"/>
        <v>C100136</v>
      </c>
      <c r="F2589" s="8" t="str">
        <f>"C100061"</f>
        <v>C100061</v>
      </c>
      <c r="G2589" s="9" t="str">
        <f>"Bistro Mug"</f>
        <v>Bistro Mug</v>
      </c>
      <c r="H2589" s="47"/>
      <c r="I2589" s="47"/>
      <c r="J2589" s="23">
        <v>62.089999999999996</v>
      </c>
      <c r="K2589" s="25">
        <v>48</v>
      </c>
      <c r="L2589" s="24">
        <v>33.089999999999996</v>
      </c>
      <c r="M2589" s="24">
        <f>J2589-L2589</f>
        <v>29</v>
      </c>
      <c r="N2589" s="53">
        <f>IF(J2589&lt;&gt;0,M2589/J2589,"")</f>
        <v>0.46706393944274444</v>
      </c>
      <c r="O2589" s="23">
        <v>0</v>
      </c>
      <c r="P2589" s="25">
        <v>0</v>
      </c>
      <c r="Q2589" s="24">
        <v>0</v>
      </c>
      <c r="R2589" s="24">
        <f>O2589-Q2589</f>
        <v>0</v>
      </c>
      <c r="S2589" s="53" t="str">
        <f>IF(O2589&lt;&gt;0,R2589/O2589,"")</f>
        <v/>
      </c>
      <c r="T2589" s="10"/>
      <c r="U2589" s="23">
        <v>0</v>
      </c>
      <c r="V2589" s="25">
        <v>0</v>
      </c>
      <c r="W2589" s="24">
        <v>0</v>
      </c>
      <c r="X2589" s="24">
        <f>U2589-W2589</f>
        <v>0</v>
      </c>
      <c r="Y2589" s="53" t="str">
        <f>IF(U2589&lt;&gt;0,X2589/U2589,"")</f>
        <v/>
      </c>
      <c r="Z2589" s="23">
        <v>0</v>
      </c>
      <c r="AA2589" s="25">
        <v>0</v>
      </c>
      <c r="AB2589" s="24">
        <v>0</v>
      </c>
      <c r="AC2589" s="24">
        <f t="shared" si="737"/>
        <v>0</v>
      </c>
      <c r="AD2589" s="53" t="str">
        <f t="shared" si="738"/>
        <v/>
      </c>
      <c r="AE2589" s="10"/>
    </row>
    <row r="2590" spans="1:31" x14ac:dyDescent="0.25">
      <c r="A2590" s="14" t="s">
        <v>109</v>
      </c>
      <c r="C2590" s="61" t="str">
        <f t="shared" si="736"/>
        <v>C100136</v>
      </c>
      <c r="F2590" s="8" t="str">
        <f>"C100066"</f>
        <v>C100066</v>
      </c>
      <c r="G2590" s="9" t="str">
        <f>"Fashion Travel Mug"</f>
        <v>Fashion Travel Mug</v>
      </c>
      <c r="H2590" s="47"/>
      <c r="I2590" s="47"/>
      <c r="J2590" s="23">
        <v>508.03000000000003</v>
      </c>
      <c r="K2590" s="25">
        <v>144</v>
      </c>
      <c r="L2590" s="24">
        <v>237.63000000000002</v>
      </c>
      <c r="M2590" s="24">
        <f>J2590-L2590</f>
        <v>270.39999999999998</v>
      </c>
      <c r="N2590" s="53">
        <f>IF(J2590&lt;&gt;0,M2590/J2590,"")</f>
        <v>0.53225203236029361</v>
      </c>
      <c r="O2590" s="23">
        <v>0</v>
      </c>
      <c r="P2590" s="25">
        <v>0</v>
      </c>
      <c r="Q2590" s="24">
        <v>0</v>
      </c>
      <c r="R2590" s="24">
        <f>O2590-Q2590</f>
        <v>0</v>
      </c>
      <c r="S2590" s="53" t="str">
        <f>IF(O2590&lt;&gt;0,R2590/O2590,"")</f>
        <v/>
      </c>
      <c r="T2590" s="10"/>
      <c r="U2590" s="23">
        <v>0</v>
      </c>
      <c r="V2590" s="25">
        <v>0</v>
      </c>
      <c r="W2590" s="24">
        <v>0</v>
      </c>
      <c r="X2590" s="24">
        <f>U2590-W2590</f>
        <v>0</v>
      </c>
      <c r="Y2590" s="53" t="str">
        <f>IF(U2590&lt;&gt;0,X2590/U2590,"")</f>
        <v/>
      </c>
      <c r="Z2590" s="23">
        <v>0</v>
      </c>
      <c r="AA2590" s="25">
        <v>0</v>
      </c>
      <c r="AB2590" s="24">
        <v>0</v>
      </c>
      <c r="AC2590" s="24">
        <f t="shared" si="737"/>
        <v>0</v>
      </c>
      <c r="AD2590" s="53" t="str">
        <f t="shared" si="738"/>
        <v/>
      </c>
      <c r="AE2590" s="10"/>
    </row>
    <row r="2591" spans="1:31" x14ac:dyDescent="0.25">
      <c r="A2591" s="14" t="s">
        <v>109</v>
      </c>
      <c r="C2591" s="61" t="str">
        <f t="shared" si="736"/>
        <v>C100136</v>
      </c>
      <c r="F2591" s="8" t="str">
        <f>"E100001"</f>
        <v>E100001</v>
      </c>
      <c r="G2591" s="9" t="str">
        <f>"Sport Bag"</f>
        <v>Sport Bag</v>
      </c>
      <c r="H2591" s="47"/>
      <c r="I2591" s="47"/>
      <c r="J2591" s="23">
        <v>255.43</v>
      </c>
      <c r="K2591" s="25">
        <v>144</v>
      </c>
      <c r="L2591" s="24">
        <v>125.28</v>
      </c>
      <c r="M2591" s="24">
        <f>J2591-L2591</f>
        <v>130.15</v>
      </c>
      <c r="N2591" s="53">
        <f>IF(J2591&lt;&gt;0,M2591/J2591,"")</f>
        <v>0.50953294444661945</v>
      </c>
      <c r="O2591" s="23">
        <v>0</v>
      </c>
      <c r="P2591" s="25">
        <v>0</v>
      </c>
      <c r="Q2591" s="24">
        <v>0</v>
      </c>
      <c r="R2591" s="24">
        <f>O2591-Q2591</f>
        <v>0</v>
      </c>
      <c r="S2591" s="53" t="str">
        <f>IF(O2591&lt;&gt;0,R2591/O2591,"")</f>
        <v/>
      </c>
      <c r="T2591" s="10"/>
      <c r="U2591" s="23">
        <v>0</v>
      </c>
      <c r="V2591" s="25">
        <v>0</v>
      </c>
      <c r="W2591" s="24">
        <v>0</v>
      </c>
      <c r="X2591" s="24">
        <f>U2591-W2591</f>
        <v>0</v>
      </c>
      <c r="Y2591" s="53" t="str">
        <f>IF(U2591&lt;&gt;0,X2591/U2591,"")</f>
        <v/>
      </c>
      <c r="Z2591" s="23">
        <v>0</v>
      </c>
      <c r="AA2591" s="25">
        <v>0</v>
      </c>
      <c r="AB2591" s="24">
        <v>0</v>
      </c>
      <c r="AC2591" s="24">
        <f t="shared" si="737"/>
        <v>0</v>
      </c>
      <c r="AD2591" s="53" t="str">
        <f t="shared" si="738"/>
        <v/>
      </c>
      <c r="AE2591" s="10"/>
    </row>
    <row r="2592" spans="1:31" x14ac:dyDescent="0.25">
      <c r="A2592" s="14" t="s">
        <v>109</v>
      </c>
      <c r="C2592" s="61" t="str">
        <f t="shared" si="736"/>
        <v>C100136</v>
      </c>
      <c r="F2592" s="8" t="str">
        <f>"E100004"</f>
        <v>E100004</v>
      </c>
      <c r="G2592" s="9" t="str">
        <f>"Laminated Tote"</f>
        <v>Laminated Tote</v>
      </c>
      <c r="H2592" s="47"/>
      <c r="I2592" s="47"/>
      <c r="J2592" s="23">
        <v>265.31</v>
      </c>
      <c r="K2592" s="25">
        <v>144</v>
      </c>
      <c r="L2592" s="24">
        <v>172.8</v>
      </c>
      <c r="M2592" s="24">
        <f>J2592-L2592</f>
        <v>92.509999999999991</v>
      </c>
      <c r="N2592" s="53">
        <f>IF(J2592&lt;&gt;0,M2592/J2592,"")</f>
        <v>0.34868644227507439</v>
      </c>
      <c r="O2592" s="23">
        <v>0</v>
      </c>
      <c r="P2592" s="25">
        <v>0</v>
      </c>
      <c r="Q2592" s="24">
        <v>0</v>
      </c>
      <c r="R2592" s="24">
        <f>O2592-Q2592</f>
        <v>0</v>
      </c>
      <c r="S2592" s="53" t="str">
        <f>IF(O2592&lt;&gt;0,R2592/O2592,"")</f>
        <v/>
      </c>
      <c r="T2592" s="10"/>
      <c r="U2592" s="23">
        <v>0</v>
      </c>
      <c r="V2592" s="25">
        <v>0</v>
      </c>
      <c r="W2592" s="24">
        <v>0</v>
      </c>
      <c r="X2592" s="24">
        <f>U2592-W2592</f>
        <v>0</v>
      </c>
      <c r="Y2592" s="53" t="str">
        <f>IF(U2592&lt;&gt;0,X2592/U2592,"")</f>
        <v/>
      </c>
      <c r="Z2592" s="23">
        <v>265.31</v>
      </c>
      <c r="AA2592" s="25">
        <v>144</v>
      </c>
      <c r="AB2592" s="24">
        <v>172.8</v>
      </c>
      <c r="AC2592" s="24">
        <f t="shared" si="737"/>
        <v>92.509999999999991</v>
      </c>
      <c r="AD2592" s="53">
        <f t="shared" si="738"/>
        <v>0.34868644227507439</v>
      </c>
      <c r="AE2592" s="10"/>
    </row>
    <row r="2593" spans="1:31" x14ac:dyDescent="0.25">
      <c r="A2593" s="14" t="s">
        <v>109</v>
      </c>
      <c r="C2593" s="61" t="str">
        <f t="shared" si="736"/>
        <v>C100136</v>
      </c>
      <c r="F2593" s="8" t="str">
        <f>"E100005"</f>
        <v>E100005</v>
      </c>
      <c r="G2593" s="9" t="str">
        <f>"All Purpose Tote"</f>
        <v>All Purpose Tote</v>
      </c>
      <c r="H2593" s="47"/>
      <c r="I2593" s="47"/>
      <c r="J2593" s="23">
        <v>366.62</v>
      </c>
      <c r="K2593" s="25">
        <v>145</v>
      </c>
      <c r="L2593" s="24">
        <v>179.8</v>
      </c>
      <c r="M2593" s="24">
        <f>J2593-L2593</f>
        <v>186.82</v>
      </c>
      <c r="N2593" s="53">
        <f>IF(J2593&lt;&gt;0,M2593/J2593,"")</f>
        <v>0.50957394577491677</v>
      </c>
      <c r="O2593" s="23">
        <v>0</v>
      </c>
      <c r="P2593" s="25">
        <v>0</v>
      </c>
      <c r="Q2593" s="24">
        <v>0</v>
      </c>
      <c r="R2593" s="24">
        <f>O2593-Q2593</f>
        <v>0</v>
      </c>
      <c r="S2593" s="53" t="str">
        <f>IF(O2593&lt;&gt;0,R2593/O2593,"")</f>
        <v/>
      </c>
      <c r="T2593" s="10"/>
      <c r="U2593" s="23">
        <v>0</v>
      </c>
      <c r="V2593" s="25">
        <v>0</v>
      </c>
      <c r="W2593" s="24">
        <v>0</v>
      </c>
      <c r="X2593" s="24">
        <f>U2593-W2593</f>
        <v>0</v>
      </c>
      <c r="Y2593" s="53" t="str">
        <f>IF(U2593&lt;&gt;0,X2593/U2593,"")</f>
        <v/>
      </c>
      <c r="Z2593" s="23">
        <v>121.36</v>
      </c>
      <c r="AA2593" s="25">
        <v>48</v>
      </c>
      <c r="AB2593" s="24">
        <v>59.52</v>
      </c>
      <c r="AC2593" s="24">
        <f t="shared" si="737"/>
        <v>61.839999999999996</v>
      </c>
      <c r="AD2593" s="53">
        <f t="shared" si="738"/>
        <v>0.50955833882663149</v>
      </c>
      <c r="AE2593" s="10"/>
    </row>
    <row r="2594" spans="1:31" x14ac:dyDescent="0.25">
      <c r="A2594" s="14" t="s">
        <v>109</v>
      </c>
      <c r="C2594" s="61" t="str">
        <f t="shared" si="736"/>
        <v>C100136</v>
      </c>
      <c r="F2594" s="8" t="str">
        <f>"E100006"</f>
        <v>E100006</v>
      </c>
      <c r="G2594" s="9" t="str">
        <f>"Budget Tote Bag"</f>
        <v>Budget Tote Bag</v>
      </c>
      <c r="H2594" s="47"/>
      <c r="I2594" s="47"/>
      <c r="J2594" s="23">
        <v>0.18</v>
      </c>
      <c r="K2594" s="25">
        <v>2</v>
      </c>
      <c r="L2594" s="24">
        <v>0.08</v>
      </c>
      <c r="M2594" s="24">
        <f>J2594-L2594</f>
        <v>9.9999999999999992E-2</v>
      </c>
      <c r="N2594" s="53">
        <f>IF(J2594&lt;&gt;0,M2594/J2594,"")</f>
        <v>0.55555555555555558</v>
      </c>
      <c r="O2594" s="23">
        <v>0</v>
      </c>
      <c r="P2594" s="25">
        <v>0</v>
      </c>
      <c r="Q2594" s="24">
        <v>0</v>
      </c>
      <c r="R2594" s="24">
        <f>O2594-Q2594</f>
        <v>0</v>
      </c>
      <c r="S2594" s="53" t="str">
        <f>IF(O2594&lt;&gt;0,R2594/O2594,"")</f>
        <v/>
      </c>
      <c r="T2594" s="10"/>
      <c r="U2594" s="23">
        <v>0</v>
      </c>
      <c r="V2594" s="25">
        <v>0</v>
      </c>
      <c r="W2594" s="24">
        <v>0</v>
      </c>
      <c r="X2594" s="24">
        <f>U2594-W2594</f>
        <v>0</v>
      </c>
      <c r="Y2594" s="53" t="str">
        <f>IF(U2594&lt;&gt;0,X2594/U2594,"")</f>
        <v/>
      </c>
      <c r="Z2594" s="23">
        <v>1.1499999999999999</v>
      </c>
      <c r="AA2594" s="25">
        <v>13</v>
      </c>
      <c r="AB2594" s="24">
        <v>0.52</v>
      </c>
      <c r="AC2594" s="24">
        <f t="shared" si="737"/>
        <v>0.62999999999999989</v>
      </c>
      <c r="AD2594" s="53">
        <f t="shared" si="738"/>
        <v>0.54782608695652169</v>
      </c>
      <c r="AE2594" s="10"/>
    </row>
    <row r="2595" spans="1:31" x14ac:dyDescent="0.25">
      <c r="A2595" s="14" t="s">
        <v>109</v>
      </c>
      <c r="C2595" s="61" t="str">
        <f t="shared" si="736"/>
        <v>C100136</v>
      </c>
      <c r="F2595" s="8" t="str">
        <f>"E100008"</f>
        <v>E100008</v>
      </c>
      <c r="G2595" s="9" t="str">
        <f>"Super Shopper"</f>
        <v>Super Shopper</v>
      </c>
      <c r="H2595" s="47"/>
      <c r="I2595" s="47"/>
      <c r="J2595" s="23">
        <v>32.910000000000004</v>
      </c>
      <c r="K2595" s="25">
        <v>146</v>
      </c>
      <c r="L2595" s="24">
        <v>17.53</v>
      </c>
      <c r="M2595" s="24">
        <f>J2595-L2595</f>
        <v>15.380000000000003</v>
      </c>
      <c r="N2595" s="53">
        <f>IF(J2595&lt;&gt;0,M2595/J2595,"")</f>
        <v>0.46733515648738988</v>
      </c>
      <c r="O2595" s="23">
        <v>0</v>
      </c>
      <c r="P2595" s="25">
        <v>0</v>
      </c>
      <c r="Q2595" s="24">
        <v>0</v>
      </c>
      <c r="R2595" s="24">
        <f>O2595-Q2595</f>
        <v>0</v>
      </c>
      <c r="S2595" s="53" t="str">
        <f>IF(O2595&lt;&gt;0,R2595/O2595,"")</f>
        <v/>
      </c>
      <c r="T2595" s="10"/>
      <c r="U2595" s="23">
        <v>-0.23</v>
      </c>
      <c r="V2595" s="25">
        <v>-1</v>
      </c>
      <c r="W2595" s="24">
        <v>-0.12</v>
      </c>
      <c r="X2595" s="24">
        <f>U2595-W2595</f>
        <v>-0.11000000000000001</v>
      </c>
      <c r="Y2595" s="53">
        <f>IF(U2595&lt;&gt;0,X2595/U2595,"")</f>
        <v>0.47826086956521741</v>
      </c>
      <c r="Z2595" s="23">
        <v>0.45</v>
      </c>
      <c r="AA2595" s="25">
        <v>2</v>
      </c>
      <c r="AB2595" s="24">
        <v>0.24</v>
      </c>
      <c r="AC2595" s="24">
        <f t="shared" si="737"/>
        <v>0.21000000000000002</v>
      </c>
      <c r="AD2595" s="53">
        <f t="shared" si="738"/>
        <v>0.46666666666666667</v>
      </c>
      <c r="AE2595" s="10"/>
    </row>
    <row r="2596" spans="1:31" x14ac:dyDescent="0.25">
      <c r="A2596" s="14" t="s">
        <v>109</v>
      </c>
      <c r="C2596" s="61" t="str">
        <f t="shared" si="736"/>
        <v>C100136</v>
      </c>
      <c r="F2596" s="8" t="str">
        <f>"E100009"</f>
        <v>E100009</v>
      </c>
      <c r="G2596" s="9" t="str">
        <f>"Die-Cut Tote"</f>
        <v>Die-Cut Tote</v>
      </c>
      <c r="H2596" s="47"/>
      <c r="I2596" s="47"/>
      <c r="J2596" s="23">
        <v>32.68</v>
      </c>
      <c r="K2596" s="25">
        <v>145</v>
      </c>
      <c r="L2596" s="24">
        <v>15.96</v>
      </c>
      <c r="M2596" s="24">
        <f>J2596-L2596</f>
        <v>16.72</v>
      </c>
      <c r="N2596" s="53">
        <f>IF(J2596&lt;&gt;0,M2596/J2596,"")</f>
        <v>0.51162790697674421</v>
      </c>
      <c r="O2596" s="23">
        <v>0</v>
      </c>
      <c r="P2596" s="25">
        <v>0</v>
      </c>
      <c r="Q2596" s="24">
        <v>0</v>
      </c>
      <c r="R2596" s="24">
        <f>O2596-Q2596</f>
        <v>0</v>
      </c>
      <c r="S2596" s="53" t="str">
        <f>IF(O2596&lt;&gt;0,R2596/O2596,"")</f>
        <v/>
      </c>
      <c r="T2596" s="10"/>
      <c r="U2596" s="23">
        <v>-0.23</v>
      </c>
      <c r="V2596" s="25">
        <v>-1</v>
      </c>
      <c r="W2596" s="24">
        <v>-0.11</v>
      </c>
      <c r="X2596" s="24">
        <f>U2596-W2596</f>
        <v>-0.12000000000000001</v>
      </c>
      <c r="Y2596" s="53">
        <f>IF(U2596&lt;&gt;0,X2596/U2596,"")</f>
        <v>0.52173913043478259</v>
      </c>
      <c r="Z2596" s="23">
        <v>0</v>
      </c>
      <c r="AA2596" s="25">
        <v>0</v>
      </c>
      <c r="AB2596" s="24">
        <v>0</v>
      </c>
      <c r="AC2596" s="24">
        <f t="shared" si="737"/>
        <v>0</v>
      </c>
      <c r="AD2596" s="53" t="str">
        <f t="shared" si="738"/>
        <v/>
      </c>
      <c r="AE2596" s="10"/>
    </row>
    <row r="2597" spans="1:31" x14ac:dyDescent="0.25">
      <c r="A2597" s="14" t="s">
        <v>109</v>
      </c>
      <c r="C2597" s="61" t="str">
        <f t="shared" si="736"/>
        <v>C100136</v>
      </c>
      <c r="F2597" s="8" t="str">
        <f>"E100010"</f>
        <v>E100010</v>
      </c>
      <c r="G2597" s="9" t="str">
        <f>"Vinyl Tote"</f>
        <v>Vinyl Tote</v>
      </c>
      <c r="H2597" s="47"/>
      <c r="I2597" s="47"/>
      <c r="J2597" s="23">
        <v>87.79</v>
      </c>
      <c r="K2597" s="25">
        <v>289</v>
      </c>
      <c r="L2597" s="24">
        <v>52.019999999999996</v>
      </c>
      <c r="M2597" s="24">
        <f>J2597-L2597</f>
        <v>35.77000000000001</v>
      </c>
      <c r="N2597" s="53">
        <f>IF(J2597&lt;&gt;0,M2597/J2597,"")</f>
        <v>0.40744959562592559</v>
      </c>
      <c r="O2597" s="23">
        <v>0</v>
      </c>
      <c r="P2597" s="25">
        <v>0</v>
      </c>
      <c r="Q2597" s="24">
        <v>0</v>
      </c>
      <c r="R2597" s="24">
        <f>O2597-Q2597</f>
        <v>0</v>
      </c>
      <c r="S2597" s="53" t="str">
        <f>IF(O2597&lt;&gt;0,R2597/O2597,"")</f>
        <v/>
      </c>
      <c r="T2597" s="10"/>
      <c r="U2597" s="23">
        <v>0</v>
      </c>
      <c r="V2597" s="25">
        <v>0</v>
      </c>
      <c r="W2597" s="24">
        <v>0</v>
      </c>
      <c r="X2597" s="24">
        <f>U2597-W2597</f>
        <v>0</v>
      </c>
      <c r="Y2597" s="53" t="str">
        <f>IF(U2597&lt;&gt;0,X2597/U2597,"")</f>
        <v/>
      </c>
      <c r="Z2597" s="23">
        <v>0.6</v>
      </c>
      <c r="AA2597" s="25">
        <v>2</v>
      </c>
      <c r="AB2597" s="24">
        <v>0.36</v>
      </c>
      <c r="AC2597" s="24">
        <f t="shared" si="737"/>
        <v>0.24</v>
      </c>
      <c r="AD2597" s="53">
        <f t="shared" si="738"/>
        <v>0.4</v>
      </c>
      <c r="AE2597" s="10"/>
    </row>
    <row r="2598" spans="1:31" x14ac:dyDescent="0.25">
      <c r="A2598" s="14" t="s">
        <v>109</v>
      </c>
      <c r="C2598" s="61" t="str">
        <f t="shared" si="736"/>
        <v>C100136</v>
      </c>
      <c r="F2598" s="8" t="str">
        <f>"E100011"</f>
        <v>E100011</v>
      </c>
      <c r="G2598" s="9" t="str">
        <f>"Plastic Sun Visor"</f>
        <v>Plastic Sun Visor</v>
      </c>
      <c r="H2598" s="47"/>
      <c r="I2598" s="47"/>
      <c r="J2598" s="23">
        <v>228.60999999999999</v>
      </c>
      <c r="K2598" s="25">
        <v>288</v>
      </c>
      <c r="L2598" s="24">
        <v>120.93</v>
      </c>
      <c r="M2598" s="24">
        <f>J2598-L2598</f>
        <v>107.67999999999998</v>
      </c>
      <c r="N2598" s="53">
        <f>IF(J2598&lt;&gt;0,M2598/J2598,"")</f>
        <v>0.47102051528804506</v>
      </c>
      <c r="O2598" s="23">
        <v>0</v>
      </c>
      <c r="P2598" s="25">
        <v>0</v>
      </c>
      <c r="Q2598" s="24">
        <v>0</v>
      </c>
      <c r="R2598" s="24">
        <f>O2598-Q2598</f>
        <v>0</v>
      </c>
      <c r="S2598" s="53" t="str">
        <f>IF(O2598&lt;&gt;0,R2598/O2598,"")</f>
        <v/>
      </c>
      <c r="T2598" s="10"/>
      <c r="U2598" s="23">
        <v>0</v>
      </c>
      <c r="V2598" s="25">
        <v>0</v>
      </c>
      <c r="W2598" s="24">
        <v>0</v>
      </c>
      <c r="X2598" s="24">
        <f>U2598-W2598</f>
        <v>0</v>
      </c>
      <c r="Y2598" s="53" t="str">
        <f>IF(U2598&lt;&gt;0,X2598/U2598,"")</f>
        <v/>
      </c>
      <c r="Z2598" s="23">
        <v>0.79</v>
      </c>
      <c r="AA2598" s="25">
        <v>1</v>
      </c>
      <c r="AB2598" s="24">
        <v>0.42</v>
      </c>
      <c r="AC2598" s="24">
        <f t="shared" si="737"/>
        <v>0.37000000000000005</v>
      </c>
      <c r="AD2598" s="53">
        <f t="shared" si="738"/>
        <v>0.46835443037974689</v>
      </c>
      <c r="AE2598" s="10"/>
    </row>
    <row r="2599" spans="1:31" x14ac:dyDescent="0.25">
      <c r="A2599" s="14" t="s">
        <v>109</v>
      </c>
      <c r="C2599" s="61" t="str">
        <f t="shared" si="736"/>
        <v>C100136</v>
      </c>
      <c r="F2599" s="8" t="str">
        <f>"E100013"</f>
        <v>E100013</v>
      </c>
      <c r="G2599" s="9" t="str">
        <f>"Clip-on Stopwatch"</f>
        <v>Clip-on Stopwatch</v>
      </c>
      <c r="H2599" s="47"/>
      <c r="I2599" s="47"/>
      <c r="J2599" s="23">
        <v>389.49</v>
      </c>
      <c r="K2599" s="25">
        <v>144</v>
      </c>
      <c r="L2599" s="24">
        <v>207.35</v>
      </c>
      <c r="M2599" s="24">
        <f>J2599-L2599</f>
        <v>182.14000000000001</v>
      </c>
      <c r="N2599" s="53">
        <f>IF(J2599&lt;&gt;0,M2599/J2599,"")</f>
        <v>0.46763716655113097</v>
      </c>
      <c r="O2599" s="23">
        <v>0</v>
      </c>
      <c r="P2599" s="25">
        <v>0</v>
      </c>
      <c r="Q2599" s="24">
        <v>0</v>
      </c>
      <c r="R2599" s="24">
        <f>O2599-Q2599</f>
        <v>0</v>
      </c>
      <c r="S2599" s="53" t="str">
        <f>IF(O2599&lt;&gt;0,R2599/O2599,"")</f>
        <v/>
      </c>
      <c r="T2599" s="10"/>
      <c r="U2599" s="23">
        <v>0</v>
      </c>
      <c r="V2599" s="25">
        <v>0</v>
      </c>
      <c r="W2599" s="24">
        <v>0</v>
      </c>
      <c r="X2599" s="24">
        <f>U2599-W2599</f>
        <v>0</v>
      </c>
      <c r="Y2599" s="53" t="str">
        <f>IF(U2599&lt;&gt;0,X2599/U2599,"")</f>
        <v/>
      </c>
      <c r="Z2599" s="23">
        <v>0</v>
      </c>
      <c r="AA2599" s="25">
        <v>0</v>
      </c>
      <c r="AB2599" s="24">
        <v>0</v>
      </c>
      <c r="AC2599" s="24">
        <f t="shared" si="737"/>
        <v>0</v>
      </c>
      <c r="AD2599" s="53" t="str">
        <f t="shared" si="738"/>
        <v/>
      </c>
      <c r="AE2599" s="10"/>
    </row>
    <row r="2600" spans="1:31" x14ac:dyDescent="0.25">
      <c r="A2600" s="14" t="s">
        <v>109</v>
      </c>
      <c r="C2600" s="61" t="str">
        <f t="shared" si="736"/>
        <v>C100136</v>
      </c>
      <c r="F2600" s="8" t="str">
        <f>"E100015"</f>
        <v>E100015</v>
      </c>
      <c r="G2600" s="9" t="str">
        <f>"360 Clip Watch"</f>
        <v>360 Clip Watch</v>
      </c>
      <c r="H2600" s="47"/>
      <c r="I2600" s="47"/>
      <c r="J2600" s="23">
        <v>303.41000000000003</v>
      </c>
      <c r="K2600" s="25">
        <v>144</v>
      </c>
      <c r="L2600" s="24">
        <v>146.88</v>
      </c>
      <c r="M2600" s="24">
        <f>J2600-L2600</f>
        <v>156.53000000000003</v>
      </c>
      <c r="N2600" s="53">
        <f>IF(J2600&lt;&gt;0,M2600/J2600,"")</f>
        <v>0.51590257407468443</v>
      </c>
      <c r="O2600" s="23">
        <v>0</v>
      </c>
      <c r="P2600" s="25">
        <v>0</v>
      </c>
      <c r="Q2600" s="24">
        <v>0</v>
      </c>
      <c r="R2600" s="24">
        <f>O2600-Q2600</f>
        <v>0</v>
      </c>
      <c r="S2600" s="53" t="str">
        <f>IF(O2600&lt;&gt;0,R2600/O2600,"")</f>
        <v/>
      </c>
      <c r="T2600" s="10"/>
      <c r="U2600" s="23">
        <v>0</v>
      </c>
      <c r="V2600" s="25">
        <v>0</v>
      </c>
      <c r="W2600" s="24">
        <v>0</v>
      </c>
      <c r="X2600" s="24">
        <f>U2600-W2600</f>
        <v>0</v>
      </c>
      <c r="Y2600" s="53" t="str">
        <f>IF(U2600&lt;&gt;0,X2600/U2600,"")</f>
        <v/>
      </c>
      <c r="Z2600" s="23">
        <v>0</v>
      </c>
      <c r="AA2600" s="25">
        <v>0</v>
      </c>
      <c r="AB2600" s="24">
        <v>0</v>
      </c>
      <c r="AC2600" s="24">
        <f t="shared" si="737"/>
        <v>0</v>
      </c>
      <c r="AD2600" s="53" t="str">
        <f t="shared" si="738"/>
        <v/>
      </c>
      <c r="AE2600" s="10"/>
    </row>
    <row r="2601" spans="1:31" x14ac:dyDescent="0.25">
      <c r="A2601" s="14" t="s">
        <v>109</v>
      </c>
      <c r="C2601" s="61" t="str">
        <f t="shared" si="736"/>
        <v>C100136</v>
      </c>
      <c r="F2601" s="8" t="str">
        <f>"E100016"</f>
        <v>E100016</v>
      </c>
      <c r="G2601" s="9" t="str">
        <f>"4 Function Rotating Carabiner Watch"</f>
        <v>4 Function Rotating Carabiner Watch</v>
      </c>
      <c r="H2601" s="47"/>
      <c r="I2601" s="47"/>
      <c r="J2601" s="23">
        <v>429.00000000000006</v>
      </c>
      <c r="K2601" s="25">
        <v>144</v>
      </c>
      <c r="L2601" s="24">
        <v>198.73000000000002</v>
      </c>
      <c r="M2601" s="24">
        <f>J2601-L2601</f>
        <v>230.27000000000004</v>
      </c>
      <c r="N2601" s="53">
        <f>IF(J2601&lt;&gt;0,M2601/J2601,"")</f>
        <v>0.53675990675990681</v>
      </c>
      <c r="O2601" s="23">
        <v>0</v>
      </c>
      <c r="P2601" s="25">
        <v>0</v>
      </c>
      <c r="Q2601" s="24">
        <v>0</v>
      </c>
      <c r="R2601" s="24">
        <f>O2601-Q2601</f>
        <v>0</v>
      </c>
      <c r="S2601" s="53" t="str">
        <f>IF(O2601&lt;&gt;0,R2601/O2601,"")</f>
        <v/>
      </c>
      <c r="T2601" s="10"/>
      <c r="U2601" s="23">
        <v>-2.98</v>
      </c>
      <c r="V2601" s="25">
        <v>-1</v>
      </c>
      <c r="W2601" s="24">
        <v>-1.38</v>
      </c>
      <c r="X2601" s="24">
        <f>U2601-W2601</f>
        <v>-1.6</v>
      </c>
      <c r="Y2601" s="53">
        <f>IF(U2601&lt;&gt;0,X2601/U2601,"")</f>
        <v>0.53691275167785235</v>
      </c>
      <c r="Z2601" s="23">
        <v>429.00000000000006</v>
      </c>
      <c r="AA2601" s="25">
        <v>144</v>
      </c>
      <c r="AB2601" s="24">
        <v>198.73000000000002</v>
      </c>
      <c r="AC2601" s="24">
        <f t="shared" si="737"/>
        <v>230.27000000000004</v>
      </c>
      <c r="AD2601" s="53">
        <f t="shared" si="738"/>
        <v>0.53675990675990681</v>
      </c>
      <c r="AE2601" s="10"/>
    </row>
    <row r="2602" spans="1:31" x14ac:dyDescent="0.25">
      <c r="A2602" s="14" t="s">
        <v>109</v>
      </c>
      <c r="C2602" s="61" t="str">
        <f t="shared" si="736"/>
        <v>C100136</v>
      </c>
      <c r="F2602" s="8" t="str">
        <f>"E100017"</f>
        <v>E100017</v>
      </c>
      <c r="G2602" s="9" t="str">
        <f>"Clip-on Clock with Compass"</f>
        <v>Clip-on Clock with Compass</v>
      </c>
      <c r="H2602" s="47"/>
      <c r="I2602" s="47"/>
      <c r="J2602" s="23">
        <v>440.29999999999995</v>
      </c>
      <c r="K2602" s="25">
        <v>288</v>
      </c>
      <c r="L2602" s="24">
        <v>253.44</v>
      </c>
      <c r="M2602" s="24">
        <f>J2602-L2602</f>
        <v>186.85999999999996</v>
      </c>
      <c r="N2602" s="53">
        <f>IF(J2602&lt;&gt;0,M2602/J2602,"")</f>
        <v>0.42439245968657729</v>
      </c>
      <c r="O2602" s="23">
        <v>0</v>
      </c>
      <c r="P2602" s="25">
        <v>0</v>
      </c>
      <c r="Q2602" s="24">
        <v>0</v>
      </c>
      <c r="R2602" s="24">
        <f>O2602-Q2602</f>
        <v>0</v>
      </c>
      <c r="S2602" s="53" t="str">
        <f>IF(O2602&lt;&gt;0,R2602/O2602,"")</f>
        <v/>
      </c>
      <c r="T2602" s="10"/>
      <c r="U2602" s="23">
        <v>0</v>
      </c>
      <c r="V2602" s="25">
        <v>0</v>
      </c>
      <c r="W2602" s="24">
        <v>0</v>
      </c>
      <c r="X2602" s="24">
        <f>U2602-W2602</f>
        <v>0</v>
      </c>
      <c r="Y2602" s="53" t="str">
        <f>IF(U2602&lt;&gt;0,X2602/U2602,"")</f>
        <v/>
      </c>
      <c r="Z2602" s="23">
        <v>0</v>
      </c>
      <c r="AA2602" s="25">
        <v>0</v>
      </c>
      <c r="AB2602" s="24">
        <v>0</v>
      </c>
      <c r="AC2602" s="24">
        <f t="shared" si="737"/>
        <v>0</v>
      </c>
      <c r="AD2602" s="53" t="str">
        <f t="shared" si="738"/>
        <v/>
      </c>
      <c r="AE2602" s="10"/>
    </row>
    <row r="2603" spans="1:31" x14ac:dyDescent="0.25">
      <c r="A2603" s="14" t="s">
        <v>109</v>
      </c>
      <c r="C2603" s="61" t="str">
        <f t="shared" si="736"/>
        <v>C100136</v>
      </c>
      <c r="F2603" s="8" t="str">
        <f>"E100018"</f>
        <v>E100018</v>
      </c>
      <c r="G2603" s="9" t="str">
        <f>"Flexi-Clock &amp; Clip"</f>
        <v>Flexi-Clock &amp; Clip</v>
      </c>
      <c r="H2603" s="47"/>
      <c r="I2603" s="47"/>
      <c r="J2603" s="23">
        <v>1.1100000000000001</v>
      </c>
      <c r="K2603" s="25">
        <v>1</v>
      </c>
      <c r="L2603" s="24">
        <v>0.6</v>
      </c>
      <c r="M2603" s="24">
        <f>J2603-L2603</f>
        <v>0.51000000000000012</v>
      </c>
      <c r="N2603" s="53">
        <f>IF(J2603&lt;&gt;0,M2603/J2603,"")</f>
        <v>0.45945945945945954</v>
      </c>
      <c r="O2603" s="23">
        <v>0</v>
      </c>
      <c r="P2603" s="25">
        <v>0</v>
      </c>
      <c r="Q2603" s="24">
        <v>0</v>
      </c>
      <c r="R2603" s="24">
        <f>O2603-Q2603</f>
        <v>0</v>
      </c>
      <c r="S2603" s="53" t="str">
        <f>IF(O2603&lt;&gt;0,R2603/O2603,"")</f>
        <v/>
      </c>
      <c r="T2603" s="10"/>
      <c r="U2603" s="23">
        <v>0</v>
      </c>
      <c r="V2603" s="25">
        <v>0</v>
      </c>
      <c r="W2603" s="24">
        <v>0</v>
      </c>
      <c r="X2603" s="24">
        <f>U2603-W2603</f>
        <v>0</v>
      </c>
      <c r="Y2603" s="53" t="str">
        <f>IF(U2603&lt;&gt;0,X2603/U2603,"")</f>
        <v/>
      </c>
      <c r="Z2603" s="23">
        <v>0</v>
      </c>
      <c r="AA2603" s="25">
        <v>0</v>
      </c>
      <c r="AB2603" s="24">
        <v>0</v>
      </c>
      <c r="AC2603" s="24">
        <f t="shared" si="737"/>
        <v>0</v>
      </c>
      <c r="AD2603" s="53" t="str">
        <f t="shared" si="738"/>
        <v/>
      </c>
      <c r="AE2603" s="10"/>
    </row>
    <row r="2604" spans="1:31" x14ac:dyDescent="0.25">
      <c r="A2604" s="14" t="s">
        <v>109</v>
      </c>
      <c r="C2604" s="61" t="str">
        <f t="shared" si="736"/>
        <v>C100136</v>
      </c>
      <c r="F2604" s="8" t="str">
        <f>"E100019"</f>
        <v>E100019</v>
      </c>
      <c r="G2604" s="9" t="str">
        <f>"Mini Travel Alarm"</f>
        <v>Mini Travel Alarm</v>
      </c>
      <c r="H2604" s="47"/>
      <c r="I2604" s="47"/>
      <c r="J2604" s="23">
        <v>39.870000000000005</v>
      </c>
      <c r="K2604" s="25">
        <v>12</v>
      </c>
      <c r="L2604" s="24">
        <v>19.440000000000001</v>
      </c>
      <c r="M2604" s="24">
        <f>J2604-L2604</f>
        <v>20.430000000000003</v>
      </c>
      <c r="N2604" s="53">
        <f>IF(J2604&lt;&gt;0,M2604/J2604,"")</f>
        <v>0.51241534988713322</v>
      </c>
      <c r="O2604" s="23">
        <v>0</v>
      </c>
      <c r="P2604" s="25">
        <v>0</v>
      </c>
      <c r="Q2604" s="24">
        <v>0</v>
      </c>
      <c r="R2604" s="24">
        <f>O2604-Q2604</f>
        <v>0</v>
      </c>
      <c r="S2604" s="53" t="str">
        <f>IF(O2604&lt;&gt;0,R2604/O2604,"")</f>
        <v/>
      </c>
      <c r="T2604" s="10"/>
      <c r="U2604" s="23">
        <v>0</v>
      </c>
      <c r="V2604" s="25">
        <v>0</v>
      </c>
      <c r="W2604" s="24">
        <v>0</v>
      </c>
      <c r="X2604" s="24">
        <f>U2604-W2604</f>
        <v>0</v>
      </c>
      <c r="Y2604" s="53" t="str">
        <f>IF(U2604&lt;&gt;0,X2604/U2604,"")</f>
        <v/>
      </c>
      <c r="Z2604" s="23">
        <v>0</v>
      </c>
      <c r="AA2604" s="25">
        <v>0</v>
      </c>
      <c r="AB2604" s="24">
        <v>0</v>
      </c>
      <c r="AC2604" s="24">
        <f t="shared" si="737"/>
        <v>0</v>
      </c>
      <c r="AD2604" s="53" t="str">
        <f t="shared" si="738"/>
        <v/>
      </c>
      <c r="AE2604" s="10"/>
    </row>
    <row r="2605" spans="1:31" x14ac:dyDescent="0.25">
      <c r="A2605" s="14" t="s">
        <v>109</v>
      </c>
      <c r="C2605" s="61" t="str">
        <f t="shared" si="736"/>
        <v>C100136</v>
      </c>
      <c r="F2605" s="8" t="str">
        <f>"E100021"</f>
        <v>E100021</v>
      </c>
      <c r="G2605" s="9" t="str">
        <f>"Slim Travel Alarm"</f>
        <v>Slim Travel Alarm</v>
      </c>
      <c r="H2605" s="47"/>
      <c r="I2605" s="47"/>
      <c r="J2605" s="23">
        <v>406.42999999999995</v>
      </c>
      <c r="K2605" s="25">
        <v>144</v>
      </c>
      <c r="L2605" s="24">
        <v>207.35</v>
      </c>
      <c r="M2605" s="24">
        <f>J2605-L2605</f>
        <v>199.07999999999996</v>
      </c>
      <c r="N2605" s="53">
        <f>IF(J2605&lt;&gt;0,M2605/J2605,"")</f>
        <v>0.48982604630563686</v>
      </c>
      <c r="O2605" s="23">
        <v>0</v>
      </c>
      <c r="P2605" s="25">
        <v>0</v>
      </c>
      <c r="Q2605" s="24">
        <v>0</v>
      </c>
      <c r="R2605" s="24">
        <f>O2605-Q2605</f>
        <v>0</v>
      </c>
      <c r="S2605" s="53" t="str">
        <f>IF(O2605&lt;&gt;0,R2605/O2605,"")</f>
        <v/>
      </c>
      <c r="T2605" s="10"/>
      <c r="U2605" s="23">
        <v>0</v>
      </c>
      <c r="V2605" s="25">
        <v>0</v>
      </c>
      <c r="W2605" s="24">
        <v>0</v>
      </c>
      <c r="X2605" s="24">
        <f>U2605-W2605</f>
        <v>0</v>
      </c>
      <c r="Y2605" s="53" t="str">
        <f>IF(U2605&lt;&gt;0,X2605/U2605,"")</f>
        <v/>
      </c>
      <c r="Z2605" s="23">
        <v>0</v>
      </c>
      <c r="AA2605" s="25">
        <v>0</v>
      </c>
      <c r="AB2605" s="24">
        <v>0</v>
      </c>
      <c r="AC2605" s="24">
        <f t="shared" si="737"/>
        <v>0</v>
      </c>
      <c r="AD2605" s="53" t="str">
        <f t="shared" si="738"/>
        <v/>
      </c>
      <c r="AE2605" s="10"/>
    </row>
    <row r="2606" spans="1:31" x14ac:dyDescent="0.25">
      <c r="A2606" s="14" t="s">
        <v>109</v>
      </c>
      <c r="C2606" s="61" t="str">
        <f t="shared" si="736"/>
        <v>C100136</v>
      </c>
      <c r="F2606" s="8" t="str">
        <f>"E100023"</f>
        <v>E100023</v>
      </c>
      <c r="G2606" s="9" t="str">
        <f>"Sport Earbuds"</f>
        <v>Sport Earbuds</v>
      </c>
      <c r="H2606" s="47"/>
      <c r="I2606" s="47"/>
      <c r="J2606" s="23">
        <v>637.86</v>
      </c>
      <c r="K2606" s="25">
        <v>144</v>
      </c>
      <c r="L2606" s="24">
        <v>302.39999999999998</v>
      </c>
      <c r="M2606" s="24">
        <f>J2606-L2606</f>
        <v>335.46000000000004</v>
      </c>
      <c r="N2606" s="53">
        <f>IF(J2606&lt;&gt;0,M2606/J2606,"")</f>
        <v>0.52591477753739069</v>
      </c>
      <c r="O2606" s="23">
        <v>0</v>
      </c>
      <c r="P2606" s="25">
        <v>0</v>
      </c>
      <c r="Q2606" s="24">
        <v>0</v>
      </c>
      <c r="R2606" s="24">
        <f>O2606-Q2606</f>
        <v>0</v>
      </c>
      <c r="S2606" s="53" t="str">
        <f>IF(O2606&lt;&gt;0,R2606/O2606,"")</f>
        <v/>
      </c>
      <c r="T2606" s="10"/>
      <c r="U2606" s="23">
        <v>0</v>
      </c>
      <c r="V2606" s="25">
        <v>0</v>
      </c>
      <c r="W2606" s="24">
        <v>0</v>
      </c>
      <c r="X2606" s="24">
        <f>U2606-W2606</f>
        <v>0</v>
      </c>
      <c r="Y2606" s="53" t="str">
        <f>IF(U2606&lt;&gt;0,X2606/U2606,"")</f>
        <v/>
      </c>
      <c r="Z2606" s="23">
        <v>0</v>
      </c>
      <c r="AA2606" s="25">
        <v>0</v>
      </c>
      <c r="AB2606" s="24">
        <v>0</v>
      </c>
      <c r="AC2606" s="24">
        <f t="shared" si="737"/>
        <v>0</v>
      </c>
      <c r="AD2606" s="53" t="str">
        <f t="shared" si="738"/>
        <v/>
      </c>
      <c r="AE2606" s="10"/>
    </row>
    <row r="2607" spans="1:31" x14ac:dyDescent="0.25">
      <c r="A2607" s="14" t="s">
        <v>109</v>
      </c>
      <c r="C2607" s="61" t="str">
        <f t="shared" si="736"/>
        <v>C100136</v>
      </c>
      <c r="F2607" s="8" t="str">
        <f>"E100024"</f>
        <v>E100024</v>
      </c>
      <c r="G2607" s="9" t="str">
        <f>"Arch Calculator"</f>
        <v>Arch Calculator</v>
      </c>
      <c r="H2607" s="47"/>
      <c r="I2607" s="47"/>
      <c r="J2607" s="23">
        <v>448.76</v>
      </c>
      <c r="K2607" s="25">
        <v>144</v>
      </c>
      <c r="L2607" s="24">
        <v>247.59</v>
      </c>
      <c r="M2607" s="24">
        <f>J2607-L2607</f>
        <v>201.17</v>
      </c>
      <c r="N2607" s="53">
        <f>IF(J2607&lt;&gt;0,M2607/J2607,"")</f>
        <v>0.44827970407344681</v>
      </c>
      <c r="O2607" s="23">
        <v>0</v>
      </c>
      <c r="P2607" s="25">
        <v>0</v>
      </c>
      <c r="Q2607" s="24">
        <v>0</v>
      </c>
      <c r="R2607" s="24">
        <f>O2607-Q2607</f>
        <v>0</v>
      </c>
      <c r="S2607" s="53" t="str">
        <f>IF(O2607&lt;&gt;0,R2607/O2607,"")</f>
        <v/>
      </c>
      <c r="T2607" s="10"/>
      <c r="U2607" s="23">
        <v>0</v>
      </c>
      <c r="V2607" s="25">
        <v>0</v>
      </c>
      <c r="W2607" s="24">
        <v>0</v>
      </c>
      <c r="X2607" s="24">
        <f>U2607-W2607</f>
        <v>0</v>
      </c>
      <c r="Y2607" s="53" t="str">
        <f>IF(U2607&lt;&gt;0,X2607/U2607,"")</f>
        <v/>
      </c>
      <c r="Z2607" s="23">
        <v>0</v>
      </c>
      <c r="AA2607" s="25">
        <v>0</v>
      </c>
      <c r="AB2607" s="24">
        <v>0</v>
      </c>
      <c r="AC2607" s="24">
        <f t="shared" si="737"/>
        <v>0</v>
      </c>
      <c r="AD2607" s="53" t="str">
        <f t="shared" si="738"/>
        <v/>
      </c>
      <c r="AE2607" s="10"/>
    </row>
    <row r="2608" spans="1:31" x14ac:dyDescent="0.25">
      <c r="A2608" s="14" t="s">
        <v>109</v>
      </c>
      <c r="C2608" s="61" t="str">
        <f t="shared" si="736"/>
        <v>C100136</v>
      </c>
      <c r="F2608" s="8" t="str">
        <f>"E100025"</f>
        <v>E100025</v>
      </c>
      <c r="G2608" s="9" t="str">
        <f>"Calc-U-Note"</f>
        <v>Calc-U-Note</v>
      </c>
      <c r="H2608" s="47"/>
      <c r="I2608" s="47"/>
      <c r="J2608" s="23">
        <v>78.760000000000005</v>
      </c>
      <c r="K2608" s="25">
        <v>49</v>
      </c>
      <c r="L2608" s="24">
        <v>49.95</v>
      </c>
      <c r="M2608" s="24">
        <f>J2608-L2608</f>
        <v>28.810000000000002</v>
      </c>
      <c r="N2608" s="53">
        <f>IF(J2608&lt;&gt;0,M2608/J2608,"")</f>
        <v>0.36579481970543426</v>
      </c>
      <c r="O2608" s="23">
        <v>0</v>
      </c>
      <c r="P2608" s="25">
        <v>0</v>
      </c>
      <c r="Q2608" s="24">
        <v>0</v>
      </c>
      <c r="R2608" s="24">
        <f>O2608-Q2608</f>
        <v>0</v>
      </c>
      <c r="S2608" s="53" t="str">
        <f>IF(O2608&lt;&gt;0,R2608/O2608,"")</f>
        <v/>
      </c>
      <c r="T2608" s="10"/>
      <c r="U2608" s="23">
        <v>0</v>
      </c>
      <c r="V2608" s="25">
        <v>0</v>
      </c>
      <c r="W2608" s="24">
        <v>0</v>
      </c>
      <c r="X2608" s="24">
        <f>U2608-W2608</f>
        <v>0</v>
      </c>
      <c r="Y2608" s="53" t="str">
        <f>IF(U2608&lt;&gt;0,X2608/U2608,"")</f>
        <v/>
      </c>
      <c r="Z2608" s="23">
        <v>0</v>
      </c>
      <c r="AA2608" s="25">
        <v>0</v>
      </c>
      <c r="AB2608" s="24">
        <v>0</v>
      </c>
      <c r="AC2608" s="24">
        <f t="shared" si="737"/>
        <v>0</v>
      </c>
      <c r="AD2608" s="53" t="str">
        <f t="shared" si="738"/>
        <v/>
      </c>
      <c r="AE2608" s="10"/>
    </row>
    <row r="2609" spans="1:31" x14ac:dyDescent="0.25">
      <c r="A2609" s="14" t="s">
        <v>109</v>
      </c>
      <c r="C2609" s="61" t="str">
        <f t="shared" si="736"/>
        <v>C100136</v>
      </c>
      <c r="F2609" s="8" t="str">
        <f>"E100026"</f>
        <v>E100026</v>
      </c>
      <c r="G2609" s="9" t="str">
        <f>"Desk Calculator"</f>
        <v>Desk Calculator</v>
      </c>
      <c r="H2609" s="47"/>
      <c r="I2609" s="47"/>
      <c r="J2609" s="23">
        <v>119.94999999999999</v>
      </c>
      <c r="K2609" s="25">
        <v>144</v>
      </c>
      <c r="L2609" s="24">
        <v>69.180000000000007</v>
      </c>
      <c r="M2609" s="24">
        <f>J2609-L2609</f>
        <v>50.769999999999982</v>
      </c>
      <c r="N2609" s="53">
        <f>IF(J2609&lt;&gt;0,M2609/J2609,"")</f>
        <v>0.4232596915381408</v>
      </c>
      <c r="O2609" s="23">
        <v>0</v>
      </c>
      <c r="P2609" s="25">
        <v>0</v>
      </c>
      <c r="Q2609" s="24">
        <v>0</v>
      </c>
      <c r="R2609" s="24">
        <f>O2609-Q2609</f>
        <v>0</v>
      </c>
      <c r="S2609" s="53" t="str">
        <f>IF(O2609&lt;&gt;0,R2609/O2609,"")</f>
        <v/>
      </c>
      <c r="T2609" s="10"/>
      <c r="U2609" s="23">
        <v>0</v>
      </c>
      <c r="V2609" s="25">
        <v>0</v>
      </c>
      <c r="W2609" s="24">
        <v>0</v>
      </c>
      <c r="X2609" s="24">
        <f>U2609-W2609</f>
        <v>0</v>
      </c>
      <c r="Y2609" s="53" t="str">
        <f>IF(U2609&lt;&gt;0,X2609/U2609,"")</f>
        <v/>
      </c>
      <c r="Z2609" s="23">
        <v>0</v>
      </c>
      <c r="AA2609" s="25">
        <v>0</v>
      </c>
      <c r="AB2609" s="24">
        <v>0</v>
      </c>
      <c r="AC2609" s="24">
        <f t="shared" si="737"/>
        <v>0</v>
      </c>
      <c r="AD2609" s="53" t="str">
        <f t="shared" si="738"/>
        <v/>
      </c>
      <c r="AE2609" s="10"/>
    </row>
    <row r="2610" spans="1:31" x14ac:dyDescent="0.25">
      <c r="A2610" s="14" t="s">
        <v>109</v>
      </c>
      <c r="C2610" s="61" t="str">
        <f t="shared" si="736"/>
        <v>C100136</v>
      </c>
      <c r="F2610" s="8" t="str">
        <f>"E100027"</f>
        <v>E100027</v>
      </c>
      <c r="G2610" s="9" t="str">
        <f>"Ergo-Calculator"</f>
        <v>Ergo-Calculator</v>
      </c>
      <c r="H2610" s="47"/>
      <c r="I2610" s="47"/>
      <c r="J2610" s="23">
        <v>341.51</v>
      </c>
      <c r="K2610" s="25">
        <v>144</v>
      </c>
      <c r="L2610" s="24">
        <v>184.35</v>
      </c>
      <c r="M2610" s="24">
        <f>J2610-L2610</f>
        <v>157.16</v>
      </c>
      <c r="N2610" s="53">
        <f>IF(J2610&lt;&gt;0,M2610/J2610,"")</f>
        <v>0.46019150244502355</v>
      </c>
      <c r="O2610" s="23">
        <v>0</v>
      </c>
      <c r="P2610" s="25">
        <v>0</v>
      </c>
      <c r="Q2610" s="24">
        <v>0</v>
      </c>
      <c r="R2610" s="24">
        <f>O2610-Q2610</f>
        <v>0</v>
      </c>
      <c r="S2610" s="53" t="str">
        <f>IF(O2610&lt;&gt;0,R2610/O2610,"")</f>
        <v/>
      </c>
      <c r="T2610" s="10"/>
      <c r="U2610" s="23">
        <v>0</v>
      </c>
      <c r="V2610" s="25">
        <v>0</v>
      </c>
      <c r="W2610" s="24">
        <v>0</v>
      </c>
      <c r="X2610" s="24">
        <f>U2610-W2610</f>
        <v>0</v>
      </c>
      <c r="Y2610" s="53" t="str">
        <f>IF(U2610&lt;&gt;0,X2610/U2610,"")</f>
        <v/>
      </c>
      <c r="Z2610" s="23">
        <v>341.51</v>
      </c>
      <c r="AA2610" s="25">
        <v>144</v>
      </c>
      <c r="AB2610" s="24">
        <v>184.35</v>
      </c>
      <c r="AC2610" s="24">
        <f t="shared" si="737"/>
        <v>157.16</v>
      </c>
      <c r="AD2610" s="53">
        <f t="shared" si="738"/>
        <v>0.46019150244502355</v>
      </c>
      <c r="AE2610" s="10"/>
    </row>
    <row r="2611" spans="1:31" x14ac:dyDescent="0.25">
      <c r="A2611" s="14" t="s">
        <v>109</v>
      </c>
      <c r="C2611" s="61" t="str">
        <f t="shared" si="736"/>
        <v>C100136</v>
      </c>
      <c r="F2611" s="8" t="str">
        <f>"E100030"</f>
        <v>E100030</v>
      </c>
      <c r="G2611" s="9" t="str">
        <f>"LED Keychain"</f>
        <v>LED Keychain</v>
      </c>
      <c r="H2611" s="47"/>
      <c r="I2611" s="47"/>
      <c r="J2611" s="23">
        <v>0.95</v>
      </c>
      <c r="K2611" s="25">
        <v>1</v>
      </c>
      <c r="L2611" s="24">
        <v>0.5</v>
      </c>
      <c r="M2611" s="24">
        <f>J2611-L2611</f>
        <v>0.44999999999999996</v>
      </c>
      <c r="N2611" s="53">
        <f>IF(J2611&lt;&gt;0,M2611/J2611,"")</f>
        <v>0.47368421052631576</v>
      </c>
      <c r="O2611" s="23">
        <v>0</v>
      </c>
      <c r="P2611" s="25">
        <v>0</v>
      </c>
      <c r="Q2611" s="24">
        <v>0</v>
      </c>
      <c r="R2611" s="24">
        <f>O2611-Q2611</f>
        <v>0</v>
      </c>
      <c r="S2611" s="53" t="str">
        <f>IF(O2611&lt;&gt;0,R2611/O2611,"")</f>
        <v/>
      </c>
      <c r="T2611" s="10"/>
      <c r="U2611" s="23">
        <v>0</v>
      </c>
      <c r="V2611" s="25">
        <v>0</v>
      </c>
      <c r="W2611" s="24">
        <v>0</v>
      </c>
      <c r="X2611" s="24">
        <f>U2611-W2611</f>
        <v>0</v>
      </c>
      <c r="Y2611" s="53" t="str">
        <f>IF(U2611&lt;&gt;0,X2611/U2611,"")</f>
        <v/>
      </c>
      <c r="Z2611" s="23">
        <v>0</v>
      </c>
      <c r="AA2611" s="25">
        <v>0</v>
      </c>
      <c r="AB2611" s="24">
        <v>0</v>
      </c>
      <c r="AC2611" s="24">
        <f t="shared" si="737"/>
        <v>0</v>
      </c>
      <c r="AD2611" s="53" t="str">
        <f t="shared" si="738"/>
        <v/>
      </c>
      <c r="AE2611" s="10"/>
    </row>
    <row r="2612" spans="1:31" x14ac:dyDescent="0.25">
      <c r="A2612" s="14" t="s">
        <v>109</v>
      </c>
      <c r="C2612" s="61" t="str">
        <f t="shared" si="736"/>
        <v>C100136</v>
      </c>
      <c r="F2612" s="8" t="str">
        <f>"E100032"</f>
        <v>E100032</v>
      </c>
      <c r="G2612" s="9" t="str">
        <f>"Button Key-Light"</f>
        <v>Button Key-Light</v>
      </c>
      <c r="H2612" s="47"/>
      <c r="I2612" s="47"/>
      <c r="J2612" s="23">
        <v>143.94</v>
      </c>
      <c r="K2612" s="25">
        <v>288</v>
      </c>
      <c r="L2612" s="24">
        <v>95.059999999999988</v>
      </c>
      <c r="M2612" s="24">
        <f>J2612-L2612</f>
        <v>48.88000000000001</v>
      </c>
      <c r="N2612" s="53">
        <f>IF(J2612&lt;&gt;0,M2612/J2612,"")</f>
        <v>0.33958593858552183</v>
      </c>
      <c r="O2612" s="23">
        <v>0</v>
      </c>
      <c r="P2612" s="25">
        <v>0</v>
      </c>
      <c r="Q2612" s="24">
        <v>0</v>
      </c>
      <c r="R2612" s="24">
        <f>O2612-Q2612</f>
        <v>0</v>
      </c>
      <c r="S2612" s="53" t="str">
        <f>IF(O2612&lt;&gt;0,R2612/O2612,"")</f>
        <v/>
      </c>
      <c r="T2612" s="10"/>
      <c r="U2612" s="23">
        <v>0</v>
      </c>
      <c r="V2612" s="25">
        <v>0</v>
      </c>
      <c r="W2612" s="24">
        <v>0</v>
      </c>
      <c r="X2612" s="24">
        <f>U2612-W2612</f>
        <v>0</v>
      </c>
      <c r="Y2612" s="53" t="str">
        <f>IF(U2612&lt;&gt;0,X2612/U2612,"")</f>
        <v/>
      </c>
      <c r="Z2612" s="23">
        <v>0</v>
      </c>
      <c r="AA2612" s="25">
        <v>0</v>
      </c>
      <c r="AB2612" s="24">
        <v>0</v>
      </c>
      <c r="AC2612" s="24">
        <f t="shared" si="737"/>
        <v>0</v>
      </c>
      <c r="AD2612" s="53" t="str">
        <f t="shared" si="738"/>
        <v/>
      </c>
      <c r="AE2612" s="10"/>
    </row>
    <row r="2613" spans="1:31" x14ac:dyDescent="0.25">
      <c r="A2613" s="14" t="s">
        <v>109</v>
      </c>
      <c r="C2613" s="61" t="str">
        <f t="shared" si="736"/>
        <v>C100136</v>
      </c>
      <c r="F2613" s="8" t="str">
        <f>"E100033"</f>
        <v>E100033</v>
      </c>
      <c r="G2613" s="9" t="str">
        <f>"Dual Source Flashlight"</f>
        <v>Dual Source Flashlight</v>
      </c>
      <c r="H2613" s="47"/>
      <c r="I2613" s="47"/>
      <c r="J2613" s="23">
        <v>617.16000000000008</v>
      </c>
      <c r="K2613" s="25">
        <v>192</v>
      </c>
      <c r="L2613" s="24">
        <v>299.46999999999997</v>
      </c>
      <c r="M2613" s="24">
        <f>J2613-L2613</f>
        <v>317.69000000000011</v>
      </c>
      <c r="N2613" s="53">
        <f>IF(J2613&lt;&gt;0,M2613/J2613,"")</f>
        <v>0.51476116404173966</v>
      </c>
      <c r="O2613" s="23">
        <v>0</v>
      </c>
      <c r="P2613" s="25">
        <v>0</v>
      </c>
      <c r="Q2613" s="24">
        <v>0</v>
      </c>
      <c r="R2613" s="24">
        <f>O2613-Q2613</f>
        <v>0</v>
      </c>
      <c r="S2613" s="53" t="str">
        <f>IF(O2613&lt;&gt;0,R2613/O2613,"")</f>
        <v/>
      </c>
      <c r="T2613" s="10"/>
      <c r="U2613" s="23">
        <v>0</v>
      </c>
      <c r="V2613" s="25">
        <v>0</v>
      </c>
      <c r="W2613" s="24">
        <v>0</v>
      </c>
      <c r="X2613" s="24">
        <f>U2613-W2613</f>
        <v>0</v>
      </c>
      <c r="Y2613" s="53" t="str">
        <f>IF(U2613&lt;&gt;0,X2613/U2613,"")</f>
        <v/>
      </c>
      <c r="Z2613" s="23">
        <v>0</v>
      </c>
      <c r="AA2613" s="25">
        <v>0</v>
      </c>
      <c r="AB2613" s="24">
        <v>0</v>
      </c>
      <c r="AC2613" s="24">
        <f t="shared" si="737"/>
        <v>0</v>
      </c>
      <c r="AD2613" s="53" t="str">
        <f t="shared" si="738"/>
        <v/>
      </c>
      <c r="AE2613" s="10"/>
    </row>
    <row r="2614" spans="1:31" x14ac:dyDescent="0.25">
      <c r="A2614" s="14" t="s">
        <v>109</v>
      </c>
      <c r="C2614" s="61" t="str">
        <f t="shared" si="736"/>
        <v>C100136</v>
      </c>
      <c r="F2614" s="8" t="str">
        <f>"E100038"</f>
        <v>E100038</v>
      </c>
      <c r="G2614" s="9" t="str">
        <f>"1GB USB Flash Drive Pen"</f>
        <v>1GB USB Flash Drive Pen</v>
      </c>
      <c r="H2614" s="47"/>
      <c r="I2614" s="47"/>
      <c r="J2614" s="23">
        <v>804.38</v>
      </c>
      <c r="K2614" s="25">
        <v>144</v>
      </c>
      <c r="L2614" s="24">
        <v>427.72999999999996</v>
      </c>
      <c r="M2614" s="24">
        <f>J2614-L2614</f>
        <v>376.65000000000003</v>
      </c>
      <c r="N2614" s="53">
        <f>IF(J2614&lt;&gt;0,M2614/J2614,"")</f>
        <v>0.46824883761406305</v>
      </c>
      <c r="O2614" s="23">
        <v>0</v>
      </c>
      <c r="P2614" s="25">
        <v>0</v>
      </c>
      <c r="Q2614" s="24">
        <v>0</v>
      </c>
      <c r="R2614" s="24">
        <f>O2614-Q2614</f>
        <v>0</v>
      </c>
      <c r="S2614" s="53" t="str">
        <f>IF(O2614&lt;&gt;0,R2614/O2614,"")</f>
        <v/>
      </c>
      <c r="T2614" s="10"/>
      <c r="U2614" s="23">
        <v>0</v>
      </c>
      <c r="V2614" s="25">
        <v>0</v>
      </c>
      <c r="W2614" s="24">
        <v>0</v>
      </c>
      <c r="X2614" s="24">
        <f>U2614-W2614</f>
        <v>0</v>
      </c>
      <c r="Y2614" s="53" t="str">
        <f>IF(U2614&lt;&gt;0,X2614/U2614,"")</f>
        <v/>
      </c>
      <c r="Z2614" s="23">
        <v>0</v>
      </c>
      <c r="AA2614" s="25">
        <v>0</v>
      </c>
      <c r="AB2614" s="24">
        <v>0</v>
      </c>
      <c r="AC2614" s="24">
        <f t="shared" si="737"/>
        <v>0</v>
      </c>
      <c r="AD2614" s="53" t="str">
        <f t="shared" si="738"/>
        <v/>
      </c>
      <c r="AE2614" s="10"/>
    </row>
    <row r="2615" spans="1:31" x14ac:dyDescent="0.25">
      <c r="A2615" s="14" t="s">
        <v>109</v>
      </c>
      <c r="C2615" s="61" t="str">
        <f t="shared" si="736"/>
        <v>C100136</v>
      </c>
      <c r="F2615" s="8" t="str">
        <f>"E100039"</f>
        <v>E100039</v>
      </c>
      <c r="G2615" s="9" t="str">
        <f>"Campfire Mug"</f>
        <v>Campfire Mug</v>
      </c>
      <c r="H2615" s="47"/>
      <c r="I2615" s="47"/>
      <c r="J2615" s="23">
        <v>485.45000000000005</v>
      </c>
      <c r="K2615" s="25">
        <v>288</v>
      </c>
      <c r="L2615" s="24">
        <v>322.70999999999998</v>
      </c>
      <c r="M2615" s="24">
        <f>J2615-L2615</f>
        <v>162.74000000000007</v>
      </c>
      <c r="N2615" s="53">
        <f>IF(J2615&lt;&gt;0,M2615/J2615,"")</f>
        <v>0.33523534864558668</v>
      </c>
      <c r="O2615" s="23">
        <v>0</v>
      </c>
      <c r="P2615" s="25">
        <v>0</v>
      </c>
      <c r="Q2615" s="24">
        <v>0</v>
      </c>
      <c r="R2615" s="24">
        <f>O2615-Q2615</f>
        <v>0</v>
      </c>
      <c r="S2615" s="53" t="str">
        <f>IF(O2615&lt;&gt;0,R2615/O2615,"")</f>
        <v/>
      </c>
      <c r="T2615" s="10"/>
      <c r="U2615" s="23">
        <v>0</v>
      </c>
      <c r="V2615" s="25">
        <v>0</v>
      </c>
      <c r="W2615" s="24">
        <v>0</v>
      </c>
      <c r="X2615" s="24">
        <f>U2615-W2615</f>
        <v>0</v>
      </c>
      <c r="Y2615" s="53" t="str">
        <f>IF(U2615&lt;&gt;0,X2615/U2615,"")</f>
        <v/>
      </c>
      <c r="Z2615" s="23">
        <v>0</v>
      </c>
      <c r="AA2615" s="25">
        <v>0</v>
      </c>
      <c r="AB2615" s="24">
        <v>0</v>
      </c>
      <c r="AC2615" s="24">
        <f t="shared" si="737"/>
        <v>0</v>
      </c>
      <c r="AD2615" s="53" t="str">
        <f t="shared" si="738"/>
        <v/>
      </c>
      <c r="AE2615" s="10"/>
    </row>
    <row r="2616" spans="1:31" x14ac:dyDescent="0.25">
      <c r="A2616" s="14" t="s">
        <v>109</v>
      </c>
      <c r="C2616" s="61" t="str">
        <f t="shared" si="736"/>
        <v>C100136</v>
      </c>
      <c r="F2616" s="8" t="str">
        <f>"E100041"</f>
        <v>E100041</v>
      </c>
      <c r="G2616" s="9" t="str">
        <f>"Biodegradable Colored SPORT BOT"</f>
        <v>Biodegradable Colored SPORT BOT</v>
      </c>
      <c r="H2616" s="47"/>
      <c r="I2616" s="47"/>
      <c r="J2616" s="23">
        <v>97.36999999999999</v>
      </c>
      <c r="K2616" s="25">
        <v>144</v>
      </c>
      <c r="L2616" s="24">
        <v>61.900000000000006</v>
      </c>
      <c r="M2616" s="24">
        <f>J2616-L2616</f>
        <v>35.469999999999985</v>
      </c>
      <c r="N2616" s="53">
        <f>IF(J2616&lt;&gt;0,M2616/J2616,"")</f>
        <v>0.36428057923385015</v>
      </c>
      <c r="O2616" s="23">
        <v>0</v>
      </c>
      <c r="P2616" s="25">
        <v>0</v>
      </c>
      <c r="Q2616" s="24">
        <v>0</v>
      </c>
      <c r="R2616" s="24">
        <f>O2616-Q2616</f>
        <v>0</v>
      </c>
      <c r="S2616" s="53" t="str">
        <f>IF(O2616&lt;&gt;0,R2616/O2616,"")</f>
        <v/>
      </c>
      <c r="T2616" s="10"/>
      <c r="U2616" s="23">
        <v>0</v>
      </c>
      <c r="V2616" s="25">
        <v>0</v>
      </c>
      <c r="W2616" s="24">
        <v>0</v>
      </c>
      <c r="X2616" s="24">
        <f>U2616-W2616</f>
        <v>0</v>
      </c>
      <c r="Y2616" s="53" t="str">
        <f>IF(U2616&lt;&gt;0,X2616/U2616,"")</f>
        <v/>
      </c>
      <c r="Z2616" s="23">
        <v>0.68</v>
      </c>
      <c r="AA2616" s="25">
        <v>1</v>
      </c>
      <c r="AB2616" s="24">
        <v>0.43</v>
      </c>
      <c r="AC2616" s="24">
        <f t="shared" si="737"/>
        <v>0.25000000000000006</v>
      </c>
      <c r="AD2616" s="53">
        <f t="shared" si="738"/>
        <v>0.36764705882352949</v>
      </c>
      <c r="AE2616" s="10"/>
    </row>
    <row r="2617" spans="1:31" x14ac:dyDescent="0.25">
      <c r="A2617" s="14" t="s">
        <v>109</v>
      </c>
      <c r="C2617" s="61" t="str">
        <f t="shared" si="736"/>
        <v>C100136</v>
      </c>
      <c r="F2617" s="8" t="str">
        <f>"E100042"</f>
        <v>E100042</v>
      </c>
      <c r="G2617" s="9" t="str">
        <f>"Soft Touch Travel Mug"</f>
        <v>Soft Touch Travel Mug</v>
      </c>
      <c r="H2617" s="47"/>
      <c r="I2617" s="47"/>
      <c r="J2617" s="23">
        <v>546.13</v>
      </c>
      <c r="K2617" s="25">
        <v>144</v>
      </c>
      <c r="L2617" s="24">
        <v>309.68</v>
      </c>
      <c r="M2617" s="24">
        <f>J2617-L2617</f>
        <v>236.45</v>
      </c>
      <c r="N2617" s="53">
        <f>IF(J2617&lt;&gt;0,M2617/J2617,"")</f>
        <v>0.43295552341017707</v>
      </c>
      <c r="O2617" s="23">
        <v>0</v>
      </c>
      <c r="P2617" s="25">
        <v>0</v>
      </c>
      <c r="Q2617" s="24">
        <v>0</v>
      </c>
      <c r="R2617" s="24">
        <f>O2617-Q2617</f>
        <v>0</v>
      </c>
      <c r="S2617" s="53" t="str">
        <f>IF(O2617&lt;&gt;0,R2617/O2617,"")</f>
        <v/>
      </c>
      <c r="T2617" s="10"/>
      <c r="U2617" s="23">
        <v>0</v>
      </c>
      <c r="V2617" s="25">
        <v>0</v>
      </c>
      <c r="W2617" s="24">
        <v>0</v>
      </c>
      <c r="X2617" s="24">
        <f>U2617-W2617</f>
        <v>0</v>
      </c>
      <c r="Y2617" s="53" t="str">
        <f>IF(U2617&lt;&gt;0,X2617/U2617,"")</f>
        <v/>
      </c>
      <c r="Z2617" s="23">
        <v>0</v>
      </c>
      <c r="AA2617" s="25">
        <v>0</v>
      </c>
      <c r="AB2617" s="24">
        <v>0</v>
      </c>
      <c r="AC2617" s="24">
        <f t="shared" si="737"/>
        <v>0</v>
      </c>
      <c r="AD2617" s="53" t="str">
        <f t="shared" si="738"/>
        <v/>
      </c>
      <c r="AE2617" s="10"/>
    </row>
    <row r="2618" spans="1:31" x14ac:dyDescent="0.25">
      <c r="A2618" s="14" t="s">
        <v>109</v>
      </c>
      <c r="C2618" s="61" t="str">
        <f t="shared" si="736"/>
        <v>C100136</v>
      </c>
      <c r="F2618" s="8" t="str">
        <f>"E100044"</f>
        <v>E100044</v>
      </c>
      <c r="G2618" s="9" t="str">
        <f>"Juice Glass"</f>
        <v>Juice Glass</v>
      </c>
      <c r="H2618" s="47"/>
      <c r="I2618" s="47"/>
      <c r="J2618" s="23">
        <v>81.849999999999994</v>
      </c>
      <c r="K2618" s="25">
        <v>144</v>
      </c>
      <c r="L2618" s="24">
        <v>54.809999999999995</v>
      </c>
      <c r="M2618" s="24">
        <f>J2618-L2618</f>
        <v>27.04</v>
      </c>
      <c r="N2618" s="53">
        <f>IF(J2618&lt;&gt;0,M2618/J2618,"")</f>
        <v>0.33036041539401345</v>
      </c>
      <c r="O2618" s="23">
        <v>0</v>
      </c>
      <c r="P2618" s="25">
        <v>0</v>
      </c>
      <c r="Q2618" s="24">
        <v>0</v>
      </c>
      <c r="R2618" s="24">
        <f>O2618-Q2618</f>
        <v>0</v>
      </c>
      <c r="S2618" s="53" t="str">
        <f>IF(O2618&lt;&gt;0,R2618/O2618,"")</f>
        <v/>
      </c>
      <c r="T2618" s="10"/>
      <c r="U2618" s="23">
        <v>-6.82</v>
      </c>
      <c r="V2618" s="25">
        <v>-12</v>
      </c>
      <c r="W2618" s="24">
        <v>-4.57</v>
      </c>
      <c r="X2618" s="24">
        <f>U2618-W2618</f>
        <v>-2.25</v>
      </c>
      <c r="Y2618" s="53">
        <f>IF(U2618&lt;&gt;0,X2618/U2618,"")</f>
        <v>0.32991202346041054</v>
      </c>
      <c r="Z2618" s="23">
        <v>85.26</v>
      </c>
      <c r="AA2618" s="25">
        <v>150</v>
      </c>
      <c r="AB2618" s="24">
        <v>57.089999999999996</v>
      </c>
      <c r="AC2618" s="24">
        <f t="shared" si="737"/>
        <v>28.170000000000009</v>
      </c>
      <c r="AD2618" s="53">
        <f t="shared" si="738"/>
        <v>0.3304011259676285</v>
      </c>
      <c r="AE2618" s="10"/>
    </row>
    <row r="2619" spans="1:31" x14ac:dyDescent="0.25">
      <c r="A2619" s="14" t="s">
        <v>109</v>
      </c>
      <c r="C2619" s="61" t="str">
        <f t="shared" si="736"/>
        <v>C100136</v>
      </c>
      <c r="F2619" s="8" t="str">
        <f>"E100045"</f>
        <v>E100045</v>
      </c>
      <c r="G2619" s="9" t="str">
        <f>"Flute"</f>
        <v>Flute</v>
      </c>
      <c r="H2619" s="47"/>
      <c r="I2619" s="47"/>
      <c r="J2619" s="23">
        <v>139.70999999999998</v>
      </c>
      <c r="K2619" s="25">
        <v>144</v>
      </c>
      <c r="L2619" s="24">
        <v>89.3</v>
      </c>
      <c r="M2619" s="24">
        <f>J2619-L2619</f>
        <v>50.409999999999982</v>
      </c>
      <c r="N2619" s="53">
        <f>IF(J2619&lt;&gt;0,M2619/J2619,"")</f>
        <v>0.36081883902369188</v>
      </c>
      <c r="O2619" s="23">
        <v>0</v>
      </c>
      <c r="P2619" s="25">
        <v>0</v>
      </c>
      <c r="Q2619" s="24">
        <v>0</v>
      </c>
      <c r="R2619" s="24">
        <f>O2619-Q2619</f>
        <v>0</v>
      </c>
      <c r="S2619" s="53" t="str">
        <f>IF(O2619&lt;&gt;0,R2619/O2619,"")</f>
        <v/>
      </c>
      <c r="T2619" s="10"/>
      <c r="U2619" s="23">
        <v>0</v>
      </c>
      <c r="V2619" s="25">
        <v>0</v>
      </c>
      <c r="W2619" s="24">
        <v>0</v>
      </c>
      <c r="X2619" s="24">
        <f>U2619-W2619</f>
        <v>0</v>
      </c>
      <c r="Y2619" s="53" t="str">
        <f>IF(U2619&lt;&gt;0,X2619/U2619,"")</f>
        <v/>
      </c>
      <c r="Z2619" s="23">
        <v>0</v>
      </c>
      <c r="AA2619" s="25">
        <v>0</v>
      </c>
      <c r="AB2619" s="24">
        <v>0</v>
      </c>
      <c r="AC2619" s="24">
        <f t="shared" si="737"/>
        <v>0</v>
      </c>
      <c r="AD2619" s="53" t="str">
        <f t="shared" si="738"/>
        <v/>
      </c>
      <c r="AE2619" s="10"/>
    </row>
    <row r="2620" spans="1:31" x14ac:dyDescent="0.25">
      <c r="A2620" s="14" t="s">
        <v>109</v>
      </c>
      <c r="C2620" s="61" t="str">
        <f t="shared" si="736"/>
        <v>C100136</v>
      </c>
      <c r="F2620" s="8" t="str">
        <f>"E100047"</f>
        <v>E100047</v>
      </c>
      <c r="G2620" s="9" t="str">
        <f>"Chardonnay Glass"</f>
        <v>Chardonnay Glass</v>
      </c>
      <c r="H2620" s="47"/>
      <c r="I2620" s="47"/>
      <c r="J2620" s="23">
        <v>254.02</v>
      </c>
      <c r="K2620" s="25">
        <v>144</v>
      </c>
      <c r="L2620" s="24">
        <v>151.19999999999999</v>
      </c>
      <c r="M2620" s="24">
        <f>J2620-L2620</f>
        <v>102.82000000000002</v>
      </c>
      <c r="N2620" s="53">
        <f>IF(J2620&lt;&gt;0,M2620/J2620,"")</f>
        <v>0.40477127785213768</v>
      </c>
      <c r="O2620" s="23">
        <v>0</v>
      </c>
      <c r="P2620" s="25">
        <v>0</v>
      </c>
      <c r="Q2620" s="24">
        <v>0</v>
      </c>
      <c r="R2620" s="24">
        <f>O2620-Q2620</f>
        <v>0</v>
      </c>
      <c r="S2620" s="53" t="str">
        <f>IF(O2620&lt;&gt;0,R2620/O2620,"")</f>
        <v/>
      </c>
      <c r="T2620" s="10"/>
      <c r="U2620" s="23">
        <v>0</v>
      </c>
      <c r="V2620" s="25">
        <v>0</v>
      </c>
      <c r="W2620" s="24">
        <v>0</v>
      </c>
      <c r="X2620" s="24">
        <f>U2620-W2620</f>
        <v>0</v>
      </c>
      <c r="Y2620" s="53" t="str">
        <f>IF(U2620&lt;&gt;0,X2620/U2620,"")</f>
        <v/>
      </c>
      <c r="Z2620" s="23">
        <v>0</v>
      </c>
      <c r="AA2620" s="25">
        <v>0</v>
      </c>
      <c r="AB2620" s="24">
        <v>0</v>
      </c>
      <c r="AC2620" s="24">
        <f t="shared" si="737"/>
        <v>0</v>
      </c>
      <c r="AD2620" s="53" t="str">
        <f t="shared" si="738"/>
        <v/>
      </c>
      <c r="AE2620" s="10"/>
    </row>
    <row r="2621" spans="1:31" x14ac:dyDescent="0.25">
      <c r="A2621" s="14" t="s">
        <v>109</v>
      </c>
      <c r="C2621" s="61" t="str">
        <f t="shared" si="736"/>
        <v>C100136</v>
      </c>
      <c r="F2621" s="8" t="str">
        <f>"S100003"</f>
        <v>S100003</v>
      </c>
      <c r="G2621" s="9" t="str">
        <f>"Soccer #1 Pin"</f>
        <v>Soccer #1 Pin</v>
      </c>
      <c r="H2621" s="47"/>
      <c r="I2621" s="47"/>
      <c r="J2621" s="23">
        <v>211.68</v>
      </c>
      <c r="K2621" s="25">
        <v>144</v>
      </c>
      <c r="L2621" s="24">
        <v>129.6</v>
      </c>
      <c r="M2621" s="24">
        <f>J2621-L2621</f>
        <v>82.080000000000013</v>
      </c>
      <c r="N2621" s="53">
        <f>IF(J2621&lt;&gt;0,M2621/J2621,"")</f>
        <v>0.38775510204081637</v>
      </c>
      <c r="O2621" s="23">
        <v>0</v>
      </c>
      <c r="P2621" s="25">
        <v>0</v>
      </c>
      <c r="Q2621" s="24">
        <v>0</v>
      </c>
      <c r="R2621" s="24">
        <f>O2621-Q2621</f>
        <v>0</v>
      </c>
      <c r="S2621" s="53" t="str">
        <f>IF(O2621&lt;&gt;0,R2621/O2621,"")</f>
        <v/>
      </c>
      <c r="T2621" s="10"/>
      <c r="U2621" s="23">
        <v>0</v>
      </c>
      <c r="V2621" s="25">
        <v>0</v>
      </c>
      <c r="W2621" s="24">
        <v>0</v>
      </c>
      <c r="X2621" s="24">
        <f>U2621-W2621</f>
        <v>0</v>
      </c>
      <c r="Y2621" s="53" t="str">
        <f>IF(U2621&lt;&gt;0,X2621/U2621,"")</f>
        <v/>
      </c>
      <c r="Z2621" s="23">
        <v>0</v>
      </c>
      <c r="AA2621" s="25">
        <v>0</v>
      </c>
      <c r="AB2621" s="24">
        <v>0</v>
      </c>
      <c r="AC2621" s="24">
        <f t="shared" si="737"/>
        <v>0</v>
      </c>
      <c r="AD2621" s="53" t="str">
        <f t="shared" si="738"/>
        <v/>
      </c>
      <c r="AE2621" s="10"/>
    </row>
    <row r="2622" spans="1:31" x14ac:dyDescent="0.25">
      <c r="A2622" s="14" t="s">
        <v>109</v>
      </c>
      <c r="C2622" s="61" t="str">
        <f t="shared" si="736"/>
        <v>C100136</v>
      </c>
      <c r="F2622" s="8" t="str">
        <f>"S100016"</f>
        <v>S100016</v>
      </c>
      <c r="G2622" s="9" t="str">
        <f>"Mesh Bucket Hat"</f>
        <v>Mesh Bucket Hat</v>
      </c>
      <c r="H2622" s="47"/>
      <c r="I2622" s="47"/>
      <c r="J2622" s="23">
        <v>1405.56</v>
      </c>
      <c r="K2622" s="25">
        <v>288</v>
      </c>
      <c r="L2622" s="24">
        <v>792.02</v>
      </c>
      <c r="M2622" s="24">
        <f>J2622-L2622</f>
        <v>613.54</v>
      </c>
      <c r="N2622" s="53">
        <f>IF(J2622&lt;&gt;0,M2622/J2622,"")</f>
        <v>0.43650929167022395</v>
      </c>
      <c r="O2622" s="23">
        <v>0</v>
      </c>
      <c r="P2622" s="25">
        <v>0</v>
      </c>
      <c r="Q2622" s="24">
        <v>0</v>
      </c>
      <c r="R2622" s="24">
        <f>O2622-Q2622</f>
        <v>0</v>
      </c>
      <c r="S2622" s="53" t="str">
        <f>IF(O2622&lt;&gt;0,R2622/O2622,"")</f>
        <v/>
      </c>
      <c r="T2622" s="10"/>
      <c r="U2622" s="23">
        <v>0</v>
      </c>
      <c r="V2622" s="25">
        <v>0</v>
      </c>
      <c r="W2622" s="24">
        <v>0</v>
      </c>
      <c r="X2622" s="24">
        <f>U2622-W2622</f>
        <v>0</v>
      </c>
      <c r="Y2622" s="53" t="str">
        <f>IF(U2622&lt;&gt;0,X2622/U2622,"")</f>
        <v/>
      </c>
      <c r="Z2622" s="23">
        <v>0</v>
      </c>
      <c r="AA2622" s="25">
        <v>0</v>
      </c>
      <c r="AB2622" s="24">
        <v>0</v>
      </c>
      <c r="AC2622" s="24">
        <f t="shared" si="737"/>
        <v>0</v>
      </c>
      <c r="AD2622" s="53" t="str">
        <f t="shared" si="738"/>
        <v/>
      </c>
      <c r="AE2622" s="10"/>
    </row>
    <row r="2623" spans="1:31" x14ac:dyDescent="0.25">
      <c r="A2623" s="14" t="s">
        <v>109</v>
      </c>
      <c r="C2623" s="61" t="str">
        <f t="shared" si="736"/>
        <v>C100136</v>
      </c>
      <c r="F2623" s="8" t="str">
        <f>"S100019"</f>
        <v>S100019</v>
      </c>
      <c r="G2623" s="9" t="str">
        <f>"Sportsman Bucket Hat"</f>
        <v>Sportsman Bucket Hat</v>
      </c>
      <c r="H2623" s="47"/>
      <c r="I2623" s="47"/>
      <c r="J2623" s="23">
        <v>863.65</v>
      </c>
      <c r="K2623" s="25">
        <v>192</v>
      </c>
      <c r="L2623" s="24">
        <v>466.57</v>
      </c>
      <c r="M2623" s="24">
        <f>J2623-L2623</f>
        <v>397.08</v>
      </c>
      <c r="N2623" s="53">
        <f>IF(J2623&lt;&gt;0,M2623/J2623,"")</f>
        <v>0.45976958258553813</v>
      </c>
      <c r="O2623" s="23">
        <v>0</v>
      </c>
      <c r="P2623" s="25">
        <v>0</v>
      </c>
      <c r="Q2623" s="24">
        <v>0</v>
      </c>
      <c r="R2623" s="24">
        <f>O2623-Q2623</f>
        <v>0</v>
      </c>
      <c r="S2623" s="53" t="str">
        <f>IF(O2623&lt;&gt;0,R2623/O2623,"")</f>
        <v/>
      </c>
      <c r="T2623" s="10"/>
      <c r="U2623" s="23">
        <v>0</v>
      </c>
      <c r="V2623" s="25">
        <v>0</v>
      </c>
      <c r="W2623" s="24">
        <v>0</v>
      </c>
      <c r="X2623" s="24">
        <f>U2623-W2623</f>
        <v>0</v>
      </c>
      <c r="Y2623" s="53" t="str">
        <f>IF(U2623&lt;&gt;0,X2623/U2623,"")</f>
        <v/>
      </c>
      <c r="Z2623" s="23">
        <v>0</v>
      </c>
      <c r="AA2623" s="25">
        <v>0</v>
      </c>
      <c r="AB2623" s="24">
        <v>0</v>
      </c>
      <c r="AC2623" s="24">
        <f t="shared" si="737"/>
        <v>0</v>
      </c>
      <c r="AD2623" s="53" t="str">
        <f t="shared" si="738"/>
        <v/>
      </c>
      <c r="AE2623" s="10"/>
    </row>
    <row r="2624" spans="1:31" x14ac:dyDescent="0.25">
      <c r="A2624" s="14" t="s">
        <v>109</v>
      </c>
      <c r="C2624" s="61" t="str">
        <f t="shared" si="736"/>
        <v>C100136</v>
      </c>
      <c r="F2624" s="8" t="str">
        <f>"S100020"</f>
        <v>S100020</v>
      </c>
      <c r="G2624" s="9" t="str">
        <f>"Super Sport Stopwatch"</f>
        <v>Super Sport Stopwatch</v>
      </c>
      <c r="H2624" s="47"/>
      <c r="I2624" s="47"/>
      <c r="J2624" s="23">
        <v>307.64</v>
      </c>
      <c r="K2624" s="25">
        <v>144</v>
      </c>
      <c r="L2624" s="24">
        <v>151.19999999999999</v>
      </c>
      <c r="M2624" s="24">
        <f>J2624-L2624</f>
        <v>156.44</v>
      </c>
      <c r="N2624" s="53">
        <f>IF(J2624&lt;&gt;0,M2624/J2624,"")</f>
        <v>0.50851644779612537</v>
      </c>
      <c r="O2624" s="23">
        <v>0</v>
      </c>
      <c r="P2624" s="25">
        <v>0</v>
      </c>
      <c r="Q2624" s="24">
        <v>0</v>
      </c>
      <c r="R2624" s="24">
        <f>O2624-Q2624</f>
        <v>0</v>
      </c>
      <c r="S2624" s="53" t="str">
        <f>IF(O2624&lt;&gt;0,R2624/O2624,"")</f>
        <v/>
      </c>
      <c r="T2624" s="10"/>
      <c r="U2624" s="23">
        <v>0</v>
      </c>
      <c r="V2624" s="25">
        <v>0</v>
      </c>
      <c r="W2624" s="24">
        <v>0</v>
      </c>
      <c r="X2624" s="24">
        <f>U2624-W2624</f>
        <v>0</v>
      </c>
      <c r="Y2624" s="53" t="str">
        <f>IF(U2624&lt;&gt;0,X2624/U2624,"")</f>
        <v/>
      </c>
      <c r="Z2624" s="23">
        <v>0</v>
      </c>
      <c r="AA2624" s="25">
        <v>0</v>
      </c>
      <c r="AB2624" s="24">
        <v>0</v>
      </c>
      <c r="AC2624" s="24">
        <f t="shared" si="737"/>
        <v>0</v>
      </c>
      <c r="AD2624" s="53" t="str">
        <f t="shared" si="738"/>
        <v/>
      </c>
      <c r="AE2624" s="10"/>
    </row>
    <row r="2625" spans="1:31" x14ac:dyDescent="0.25">
      <c r="A2625" s="14" t="s">
        <v>109</v>
      </c>
      <c r="C2625" s="61" t="str">
        <f t="shared" si="736"/>
        <v>C100136</v>
      </c>
      <c r="F2625" s="8" t="str">
        <f>"S100024"</f>
        <v>S100024</v>
      </c>
      <c r="G2625" s="9" t="str">
        <f>"Aluminum SPORT BOT"</f>
        <v>Aluminum SPORT BOT</v>
      </c>
      <c r="H2625" s="47"/>
      <c r="I2625" s="47"/>
      <c r="J2625" s="23">
        <v>3.46</v>
      </c>
      <c r="K2625" s="25">
        <v>1</v>
      </c>
      <c r="L2625" s="24">
        <v>2.1</v>
      </c>
      <c r="M2625" s="24">
        <f>J2625-L2625</f>
        <v>1.3599999999999999</v>
      </c>
      <c r="N2625" s="53">
        <f>IF(J2625&lt;&gt;0,M2625/J2625,"")</f>
        <v>0.39306358381502887</v>
      </c>
      <c r="O2625" s="23">
        <v>0</v>
      </c>
      <c r="P2625" s="25">
        <v>0</v>
      </c>
      <c r="Q2625" s="24">
        <v>0</v>
      </c>
      <c r="R2625" s="24">
        <f>O2625-Q2625</f>
        <v>0</v>
      </c>
      <c r="S2625" s="53" t="str">
        <f>IF(O2625&lt;&gt;0,R2625/O2625,"")</f>
        <v/>
      </c>
      <c r="T2625" s="10"/>
      <c r="U2625" s="23">
        <v>0</v>
      </c>
      <c r="V2625" s="25">
        <v>0</v>
      </c>
      <c r="W2625" s="24">
        <v>0</v>
      </c>
      <c r="X2625" s="24">
        <f>U2625-W2625</f>
        <v>0</v>
      </c>
      <c r="Y2625" s="53" t="str">
        <f>IF(U2625&lt;&gt;0,X2625/U2625,"")</f>
        <v/>
      </c>
      <c r="Z2625" s="23">
        <v>0</v>
      </c>
      <c r="AA2625" s="25">
        <v>0</v>
      </c>
      <c r="AB2625" s="24">
        <v>0</v>
      </c>
      <c r="AC2625" s="24">
        <f t="shared" si="737"/>
        <v>0</v>
      </c>
      <c r="AD2625" s="53" t="str">
        <f t="shared" si="738"/>
        <v/>
      </c>
      <c r="AE2625" s="10"/>
    </row>
    <row r="2626" spans="1:31" x14ac:dyDescent="0.25">
      <c r="A2626" s="14" t="s">
        <v>109</v>
      </c>
      <c r="C2626" s="61" t="str">
        <f t="shared" si="736"/>
        <v>C100136</v>
      </c>
      <c r="F2626" s="8" t="str">
        <f>"S100025"</f>
        <v>S100025</v>
      </c>
      <c r="G2626" s="9" t="str">
        <f>"SPORT BOT with Pop Lid"</f>
        <v>SPORT BOT with Pop Lid</v>
      </c>
      <c r="H2626" s="47"/>
      <c r="I2626" s="47"/>
      <c r="J2626" s="23">
        <v>239.89999999999998</v>
      </c>
      <c r="K2626" s="25">
        <v>144</v>
      </c>
      <c r="L2626" s="24">
        <v>138.16999999999999</v>
      </c>
      <c r="M2626" s="24">
        <f>J2626-L2626</f>
        <v>101.72999999999999</v>
      </c>
      <c r="N2626" s="53">
        <f>IF(J2626&lt;&gt;0,M2626/J2626,"")</f>
        <v>0.4240516882034181</v>
      </c>
      <c r="O2626" s="23">
        <v>0</v>
      </c>
      <c r="P2626" s="25">
        <v>0</v>
      </c>
      <c r="Q2626" s="24">
        <v>0</v>
      </c>
      <c r="R2626" s="24">
        <f>O2626-Q2626</f>
        <v>0</v>
      </c>
      <c r="S2626" s="53" t="str">
        <f>IF(O2626&lt;&gt;0,R2626/O2626,"")</f>
        <v/>
      </c>
      <c r="T2626" s="10"/>
      <c r="U2626" s="23">
        <v>0</v>
      </c>
      <c r="V2626" s="25">
        <v>0</v>
      </c>
      <c r="W2626" s="24">
        <v>0</v>
      </c>
      <c r="X2626" s="24">
        <f>U2626-W2626</f>
        <v>0</v>
      </c>
      <c r="Y2626" s="53" t="str">
        <f>IF(U2626&lt;&gt;0,X2626/U2626,"")</f>
        <v/>
      </c>
      <c r="Z2626" s="23">
        <v>0</v>
      </c>
      <c r="AA2626" s="25">
        <v>0</v>
      </c>
      <c r="AB2626" s="24">
        <v>0</v>
      </c>
      <c r="AC2626" s="24">
        <f t="shared" si="737"/>
        <v>0</v>
      </c>
      <c r="AD2626" s="53" t="str">
        <f t="shared" si="738"/>
        <v/>
      </c>
      <c r="AE2626" s="10"/>
    </row>
    <row r="2627" spans="1:31" x14ac:dyDescent="0.25">
      <c r="A2627" s="14" t="s">
        <v>109</v>
      </c>
      <c r="C2627" s="61" t="str">
        <f t="shared" si="736"/>
        <v>C100136</v>
      </c>
      <c r="F2627" s="8" t="str">
        <f>"S100026"</f>
        <v>S100026</v>
      </c>
      <c r="G2627" s="9" t="str">
        <f>"Wide SPORT BOT"</f>
        <v>Wide SPORT BOT</v>
      </c>
      <c r="H2627" s="47"/>
      <c r="I2627" s="47"/>
      <c r="J2627" s="23">
        <v>571.54000000000008</v>
      </c>
      <c r="K2627" s="25">
        <v>144</v>
      </c>
      <c r="L2627" s="24">
        <v>273.65000000000003</v>
      </c>
      <c r="M2627" s="24">
        <f>J2627-L2627</f>
        <v>297.89000000000004</v>
      </c>
      <c r="N2627" s="53">
        <f>IF(J2627&lt;&gt;0,M2627/J2627,"")</f>
        <v>0.52120586485635301</v>
      </c>
      <c r="O2627" s="23">
        <v>0</v>
      </c>
      <c r="P2627" s="25">
        <v>0</v>
      </c>
      <c r="Q2627" s="24">
        <v>0</v>
      </c>
      <c r="R2627" s="24">
        <f>O2627-Q2627</f>
        <v>0</v>
      </c>
      <c r="S2627" s="53" t="str">
        <f>IF(O2627&lt;&gt;0,R2627/O2627,"")</f>
        <v/>
      </c>
      <c r="T2627" s="10"/>
      <c r="U2627" s="23">
        <v>0</v>
      </c>
      <c r="V2627" s="25">
        <v>0</v>
      </c>
      <c r="W2627" s="24">
        <v>0</v>
      </c>
      <c r="X2627" s="24">
        <f>U2627-W2627</f>
        <v>0</v>
      </c>
      <c r="Y2627" s="53" t="str">
        <f>IF(U2627&lt;&gt;0,X2627/U2627,"")</f>
        <v/>
      </c>
      <c r="Z2627" s="23">
        <v>0</v>
      </c>
      <c r="AA2627" s="25">
        <v>0</v>
      </c>
      <c r="AB2627" s="24">
        <v>0</v>
      </c>
      <c r="AC2627" s="24">
        <f t="shared" si="737"/>
        <v>0</v>
      </c>
      <c r="AD2627" s="53" t="str">
        <f t="shared" si="738"/>
        <v/>
      </c>
      <c r="AE2627" s="10"/>
    </row>
    <row r="2628" spans="1:31" x14ac:dyDescent="0.25">
      <c r="A2628" s="14" t="s">
        <v>109</v>
      </c>
      <c r="C2628" s="61" t="str">
        <f t="shared" si="736"/>
        <v>C100136</v>
      </c>
      <c r="F2628" s="8" t="str">
        <f>"S200004"</f>
        <v>S200004</v>
      </c>
      <c r="G2628" s="9" t="str">
        <f>"5"" Female Graduate Trophy"</f>
        <v>5" Female Graduate Trophy</v>
      </c>
      <c r="H2628" s="47"/>
      <c r="I2628" s="47"/>
      <c r="J2628" s="23">
        <v>1058.4000000000001</v>
      </c>
      <c r="K2628" s="25">
        <v>144</v>
      </c>
      <c r="L2628" s="24">
        <v>944.64</v>
      </c>
      <c r="M2628" s="24">
        <f>J2628-L2628</f>
        <v>113.7600000000001</v>
      </c>
      <c r="N2628" s="53">
        <f>IF(J2628&lt;&gt;0,M2628/J2628,"")</f>
        <v>0.107482993197279</v>
      </c>
      <c r="O2628" s="23">
        <v>0</v>
      </c>
      <c r="P2628" s="25">
        <v>0</v>
      </c>
      <c r="Q2628" s="24">
        <v>0</v>
      </c>
      <c r="R2628" s="24">
        <f>O2628-Q2628</f>
        <v>0</v>
      </c>
      <c r="S2628" s="53" t="str">
        <f>IF(O2628&lt;&gt;0,R2628/O2628,"")</f>
        <v/>
      </c>
      <c r="T2628" s="10"/>
      <c r="U2628" s="23">
        <v>0</v>
      </c>
      <c r="V2628" s="25">
        <v>0</v>
      </c>
      <c r="W2628" s="24">
        <v>0</v>
      </c>
      <c r="X2628" s="24">
        <f>U2628-W2628</f>
        <v>0</v>
      </c>
      <c r="Y2628" s="53" t="str">
        <f>IF(U2628&lt;&gt;0,X2628/U2628,"")</f>
        <v/>
      </c>
      <c r="Z2628" s="23">
        <v>352.8</v>
      </c>
      <c r="AA2628" s="25">
        <v>48</v>
      </c>
      <c r="AB2628" s="24">
        <v>314.88</v>
      </c>
      <c r="AC2628" s="24">
        <f t="shared" si="737"/>
        <v>37.920000000000016</v>
      </c>
      <c r="AD2628" s="53">
        <f t="shared" si="738"/>
        <v>0.10748299319727896</v>
      </c>
      <c r="AE2628" s="10"/>
    </row>
    <row r="2629" spans="1:31" x14ac:dyDescent="0.25">
      <c r="A2629" s="14" t="s">
        <v>109</v>
      </c>
      <c r="C2629" s="61" t="str">
        <f t="shared" si="736"/>
        <v>C100136</v>
      </c>
      <c r="F2629" s="8" t="str">
        <f>"S200012"</f>
        <v>S200012</v>
      </c>
      <c r="G2629" s="9" t="str">
        <f>"10.75"" Star Riser Apple Trophy"</f>
        <v>10.75" Star Riser Apple Trophy</v>
      </c>
      <c r="H2629" s="47"/>
      <c r="I2629" s="47"/>
      <c r="J2629" s="23">
        <v>588</v>
      </c>
      <c r="K2629" s="25">
        <v>48</v>
      </c>
      <c r="L2629" s="24">
        <v>503.04</v>
      </c>
      <c r="M2629" s="24">
        <f>J2629-L2629</f>
        <v>84.95999999999998</v>
      </c>
      <c r="N2629" s="53">
        <f>IF(J2629&lt;&gt;0,M2629/J2629,"")</f>
        <v>0.1444897959183673</v>
      </c>
      <c r="O2629" s="23">
        <v>0</v>
      </c>
      <c r="P2629" s="25">
        <v>0</v>
      </c>
      <c r="Q2629" s="24">
        <v>0</v>
      </c>
      <c r="R2629" s="24">
        <f>O2629-Q2629</f>
        <v>0</v>
      </c>
      <c r="S2629" s="53" t="str">
        <f>IF(O2629&lt;&gt;0,R2629/O2629,"")</f>
        <v/>
      </c>
      <c r="T2629" s="10"/>
      <c r="U2629" s="23">
        <v>0</v>
      </c>
      <c r="V2629" s="25">
        <v>0</v>
      </c>
      <c r="W2629" s="24">
        <v>0</v>
      </c>
      <c r="X2629" s="24">
        <f>U2629-W2629</f>
        <v>0</v>
      </c>
      <c r="Y2629" s="53" t="str">
        <f>IF(U2629&lt;&gt;0,X2629/U2629,"")</f>
        <v/>
      </c>
      <c r="Z2629" s="23">
        <v>0</v>
      </c>
      <c r="AA2629" s="25">
        <v>0</v>
      </c>
      <c r="AB2629" s="24">
        <v>0</v>
      </c>
      <c r="AC2629" s="24">
        <f t="shared" si="737"/>
        <v>0</v>
      </c>
      <c r="AD2629" s="53" t="str">
        <f t="shared" si="738"/>
        <v/>
      </c>
      <c r="AE2629" s="10"/>
    </row>
    <row r="2630" spans="1:31" x14ac:dyDescent="0.25">
      <c r="A2630" s="14" t="s">
        <v>109</v>
      </c>
      <c r="C2630" s="61" t="str">
        <f t="shared" si="736"/>
        <v>C100136</v>
      </c>
      <c r="F2630" s="8" t="str">
        <f>"S200017"</f>
        <v>S200017</v>
      </c>
      <c r="G2630" s="9" t="str">
        <f>"10.75"" Tourch Riser WrestlingTrophy"</f>
        <v>10.75" Tourch Riser WrestlingTrophy</v>
      </c>
      <c r="H2630" s="47"/>
      <c r="I2630" s="47"/>
      <c r="J2630" s="23">
        <v>1764</v>
      </c>
      <c r="K2630" s="25">
        <v>144</v>
      </c>
      <c r="L2630" s="24">
        <v>1429.9199999999998</v>
      </c>
      <c r="M2630" s="24">
        <f>J2630-L2630</f>
        <v>334.08000000000015</v>
      </c>
      <c r="N2630" s="53">
        <f>IF(J2630&lt;&gt;0,M2630/J2630,"")</f>
        <v>0.18938775510204089</v>
      </c>
      <c r="O2630" s="23">
        <v>0</v>
      </c>
      <c r="P2630" s="25">
        <v>0</v>
      </c>
      <c r="Q2630" s="24">
        <v>0</v>
      </c>
      <c r="R2630" s="24">
        <f>O2630-Q2630</f>
        <v>0</v>
      </c>
      <c r="S2630" s="53" t="str">
        <f>IF(O2630&lt;&gt;0,R2630/O2630,"")</f>
        <v/>
      </c>
      <c r="T2630" s="10"/>
      <c r="U2630" s="23">
        <v>0</v>
      </c>
      <c r="V2630" s="25">
        <v>0</v>
      </c>
      <c r="W2630" s="24">
        <v>0</v>
      </c>
      <c r="X2630" s="24">
        <f>U2630-W2630</f>
        <v>0</v>
      </c>
      <c r="Y2630" s="53" t="str">
        <f>IF(U2630&lt;&gt;0,X2630/U2630,"")</f>
        <v/>
      </c>
      <c r="Z2630" s="23">
        <v>0</v>
      </c>
      <c r="AA2630" s="25">
        <v>0</v>
      </c>
      <c r="AB2630" s="24">
        <v>0</v>
      </c>
      <c r="AC2630" s="24">
        <f t="shared" si="737"/>
        <v>0</v>
      </c>
      <c r="AD2630" s="53" t="str">
        <f t="shared" si="738"/>
        <v/>
      </c>
      <c r="AE2630" s="10"/>
    </row>
    <row r="2631" spans="1:31" x14ac:dyDescent="0.25">
      <c r="A2631" s="14" t="s">
        <v>109</v>
      </c>
      <c r="C2631" s="61" t="str">
        <f t="shared" si="736"/>
        <v>C100136</v>
      </c>
      <c r="F2631" s="8" t="str">
        <f>"S200018"</f>
        <v>S200018</v>
      </c>
      <c r="G2631" s="9" t="str">
        <f>"10.75"" Tourch Riser Lamp of Knowledge Trophy"</f>
        <v>10.75" Tourch Riser Lamp of Knowledge Trophy</v>
      </c>
      <c r="H2631" s="47"/>
      <c r="I2631" s="47"/>
      <c r="J2631" s="23">
        <v>1764</v>
      </c>
      <c r="K2631" s="25">
        <v>144</v>
      </c>
      <c r="L2631" s="24">
        <v>1408.32</v>
      </c>
      <c r="M2631" s="24">
        <f>J2631-L2631</f>
        <v>355.68000000000006</v>
      </c>
      <c r="N2631" s="53">
        <f>IF(J2631&lt;&gt;0,M2631/J2631,"")</f>
        <v>0.20163265306122452</v>
      </c>
      <c r="O2631" s="23">
        <v>0</v>
      </c>
      <c r="P2631" s="25">
        <v>0</v>
      </c>
      <c r="Q2631" s="24">
        <v>0</v>
      </c>
      <c r="R2631" s="24">
        <f>O2631-Q2631</f>
        <v>0</v>
      </c>
      <c r="S2631" s="53" t="str">
        <f>IF(O2631&lt;&gt;0,R2631/O2631,"")</f>
        <v/>
      </c>
      <c r="T2631" s="10"/>
      <c r="U2631" s="23">
        <v>0</v>
      </c>
      <c r="V2631" s="25">
        <v>0</v>
      </c>
      <c r="W2631" s="24">
        <v>0</v>
      </c>
      <c r="X2631" s="24">
        <f>U2631-W2631</f>
        <v>0</v>
      </c>
      <c r="Y2631" s="53" t="str">
        <f>IF(U2631&lt;&gt;0,X2631/U2631,"")</f>
        <v/>
      </c>
      <c r="Z2631" s="23">
        <v>0</v>
      </c>
      <c r="AA2631" s="25">
        <v>0</v>
      </c>
      <c r="AB2631" s="24">
        <v>0</v>
      </c>
      <c r="AC2631" s="24">
        <f t="shared" si="737"/>
        <v>0</v>
      </c>
      <c r="AD2631" s="53" t="str">
        <f t="shared" si="738"/>
        <v/>
      </c>
      <c r="AE2631" s="10"/>
    </row>
    <row r="2632" spans="1:31" x14ac:dyDescent="0.25">
      <c r="A2632" s="14" t="s">
        <v>109</v>
      </c>
      <c r="C2632" s="61" t="str">
        <f t="shared" si="736"/>
        <v>C100136</v>
      </c>
      <c r="F2632" s="8" t="str">
        <f>"S200019"</f>
        <v>S200019</v>
      </c>
      <c r="G2632" s="9" t="str">
        <f>"10.75"" Tourch Riser Apple Trophy"</f>
        <v>10.75" Tourch Riser Apple Trophy</v>
      </c>
      <c r="H2632" s="47"/>
      <c r="I2632" s="47"/>
      <c r="J2632" s="23">
        <v>705.6</v>
      </c>
      <c r="K2632" s="25">
        <v>48</v>
      </c>
      <c r="L2632" s="24">
        <v>519.83999999999992</v>
      </c>
      <c r="M2632" s="24">
        <f>J2632-L2632</f>
        <v>185.7600000000001</v>
      </c>
      <c r="N2632" s="53">
        <f>IF(J2632&lt;&gt;0,M2632/J2632,"")</f>
        <v>0.26326530612244914</v>
      </c>
      <c r="O2632" s="23">
        <v>0</v>
      </c>
      <c r="P2632" s="25">
        <v>0</v>
      </c>
      <c r="Q2632" s="24">
        <v>0</v>
      </c>
      <c r="R2632" s="24">
        <f>O2632-Q2632</f>
        <v>0</v>
      </c>
      <c r="S2632" s="53" t="str">
        <f>IF(O2632&lt;&gt;0,R2632/O2632,"")</f>
        <v/>
      </c>
      <c r="T2632" s="10"/>
      <c r="U2632" s="23">
        <v>0</v>
      </c>
      <c r="V2632" s="25">
        <v>0</v>
      </c>
      <c r="W2632" s="24">
        <v>0</v>
      </c>
      <c r="X2632" s="24">
        <f>U2632-W2632</f>
        <v>0</v>
      </c>
      <c r="Y2632" s="53" t="str">
        <f>IF(U2632&lt;&gt;0,X2632/U2632,"")</f>
        <v/>
      </c>
      <c r="Z2632" s="23">
        <v>0</v>
      </c>
      <c r="AA2632" s="25">
        <v>0</v>
      </c>
      <c r="AB2632" s="24">
        <v>0</v>
      </c>
      <c r="AC2632" s="24">
        <f t="shared" si="737"/>
        <v>0</v>
      </c>
      <c r="AD2632" s="53" t="str">
        <f t="shared" si="738"/>
        <v/>
      </c>
      <c r="AE2632" s="10"/>
    </row>
    <row r="2633" spans="1:31" x14ac:dyDescent="0.25">
      <c r="A2633" s="14" t="s">
        <v>109</v>
      </c>
      <c r="C2633" s="61" t="str">
        <f t="shared" si="736"/>
        <v>C100136</v>
      </c>
      <c r="F2633" s="8" t="str">
        <f>"S200020"</f>
        <v>S200020</v>
      </c>
      <c r="G2633" s="9" t="str">
        <f>"10.75"" Tourch Riser Soccer Trophy"</f>
        <v>10.75" Tourch Riser Soccer Trophy</v>
      </c>
      <c r="H2633" s="47"/>
      <c r="I2633" s="47"/>
      <c r="J2633" s="23">
        <v>1764</v>
      </c>
      <c r="K2633" s="25">
        <v>144</v>
      </c>
      <c r="L2633" s="24">
        <v>1480.32</v>
      </c>
      <c r="M2633" s="24">
        <f>J2633-L2633</f>
        <v>283.68000000000006</v>
      </c>
      <c r="N2633" s="53">
        <f>IF(J2633&lt;&gt;0,M2633/J2633,"")</f>
        <v>0.16081632653061229</v>
      </c>
      <c r="O2633" s="23">
        <v>0</v>
      </c>
      <c r="P2633" s="25">
        <v>0</v>
      </c>
      <c r="Q2633" s="24">
        <v>0</v>
      </c>
      <c r="R2633" s="24">
        <f>O2633-Q2633</f>
        <v>0</v>
      </c>
      <c r="S2633" s="53" t="str">
        <f>IF(O2633&lt;&gt;0,R2633/O2633,"")</f>
        <v/>
      </c>
      <c r="T2633" s="10"/>
      <c r="U2633" s="23">
        <v>0</v>
      </c>
      <c r="V2633" s="25">
        <v>0</v>
      </c>
      <c r="W2633" s="24">
        <v>0</v>
      </c>
      <c r="X2633" s="24">
        <f>U2633-W2633</f>
        <v>0</v>
      </c>
      <c r="Y2633" s="53" t="str">
        <f>IF(U2633&lt;&gt;0,X2633/U2633,"")</f>
        <v/>
      </c>
      <c r="Z2633" s="23">
        <v>0</v>
      </c>
      <c r="AA2633" s="25">
        <v>0</v>
      </c>
      <c r="AB2633" s="24">
        <v>0</v>
      </c>
      <c r="AC2633" s="24">
        <f t="shared" si="737"/>
        <v>0</v>
      </c>
      <c r="AD2633" s="53" t="str">
        <f t="shared" si="738"/>
        <v/>
      </c>
      <c r="AE2633" s="10"/>
    </row>
    <row r="2634" spans="1:31" x14ac:dyDescent="0.25">
      <c r="A2634" s="14" t="s">
        <v>109</v>
      </c>
      <c r="C2634" s="61" t="str">
        <f t="shared" si="736"/>
        <v>C100136</v>
      </c>
      <c r="F2634" s="8" t="str">
        <f>"S200030"</f>
        <v>S200030</v>
      </c>
      <c r="G2634" s="9" t="str">
        <f>"10.75"" Column Volleyball Trophy"</f>
        <v>10.75" Column Volleyball Trophy</v>
      </c>
      <c r="H2634" s="47"/>
      <c r="I2634" s="47"/>
      <c r="J2634" s="23">
        <v>14.7</v>
      </c>
      <c r="K2634" s="25">
        <v>1</v>
      </c>
      <c r="L2634" s="24">
        <v>10.75</v>
      </c>
      <c r="M2634" s="24">
        <f>J2634-L2634</f>
        <v>3.9499999999999993</v>
      </c>
      <c r="N2634" s="53">
        <f>IF(J2634&lt;&gt;0,M2634/J2634,"")</f>
        <v>0.26870748299319724</v>
      </c>
      <c r="O2634" s="23">
        <v>0</v>
      </c>
      <c r="P2634" s="25">
        <v>0</v>
      </c>
      <c r="Q2634" s="24">
        <v>0</v>
      </c>
      <c r="R2634" s="24">
        <f>O2634-Q2634</f>
        <v>0</v>
      </c>
      <c r="S2634" s="53" t="str">
        <f>IF(O2634&lt;&gt;0,R2634/O2634,"")</f>
        <v/>
      </c>
      <c r="T2634" s="10"/>
      <c r="U2634" s="23">
        <v>0</v>
      </c>
      <c r="V2634" s="25">
        <v>0</v>
      </c>
      <c r="W2634" s="24">
        <v>0</v>
      </c>
      <c r="X2634" s="24">
        <f>U2634-W2634</f>
        <v>0</v>
      </c>
      <c r="Y2634" s="53" t="str">
        <f>IF(U2634&lt;&gt;0,X2634/U2634,"")</f>
        <v/>
      </c>
      <c r="Z2634" s="23">
        <v>0</v>
      </c>
      <c r="AA2634" s="25">
        <v>0</v>
      </c>
      <c r="AB2634" s="24">
        <v>0</v>
      </c>
      <c r="AC2634" s="24">
        <f t="shared" si="737"/>
        <v>0</v>
      </c>
      <c r="AD2634" s="53" t="str">
        <f t="shared" si="738"/>
        <v/>
      </c>
      <c r="AE2634" s="10"/>
    </row>
    <row r="2635" spans="1:31" ht="15.75" thickBot="1" x14ac:dyDescent="0.3">
      <c r="A2635" s="14" t="s">
        <v>109</v>
      </c>
      <c r="C2635" s="61" t="str">
        <f>C2582</f>
        <v>C100136</v>
      </c>
      <c r="J2635" s="10"/>
      <c r="K2635" s="11"/>
      <c r="L2635" s="11"/>
      <c r="M2635" s="11"/>
      <c r="N2635" s="12"/>
      <c r="O2635" s="10"/>
      <c r="P2635" s="11"/>
      <c r="Q2635" s="11"/>
      <c r="R2635" s="11"/>
      <c r="S2635" s="12"/>
      <c r="U2635" s="10"/>
      <c r="V2635" s="11"/>
      <c r="W2635" s="11"/>
      <c r="X2635" s="11"/>
      <c r="Y2635" s="12"/>
      <c r="Z2635" s="10"/>
      <c r="AA2635" s="11"/>
      <c r="AB2635" s="11"/>
      <c r="AC2635" s="11"/>
      <c r="AD2635" s="12"/>
    </row>
    <row r="2636" spans="1:31" ht="15.75" thickBot="1" x14ac:dyDescent="0.3">
      <c r="A2636" s="14" t="s">
        <v>109</v>
      </c>
      <c r="C2636" s="61" t="str">
        <f t="shared" si="733"/>
        <v>C100136</v>
      </c>
      <c r="G2636" s="48" t="str">
        <f>C2636&amp;" TOTAL:"</f>
        <v>C100136 TOTAL:</v>
      </c>
      <c r="H2636" s="50"/>
      <c r="I2636" s="50"/>
      <c r="J2636" s="34">
        <f>SUBTOTAL(9,J2581:J2635)</f>
        <v>25231.650000000005</v>
      </c>
      <c r="K2636" s="35">
        <f>SUBTOTAL(9,K2581:K2635)</f>
        <v>7938</v>
      </c>
      <c r="L2636" s="36">
        <f>SUBTOTAL(9,L2581:L2635)</f>
        <v>15829.280000000002</v>
      </c>
      <c r="M2636" s="36">
        <f>J2636-L2636</f>
        <v>9402.3700000000026</v>
      </c>
      <c r="N2636" s="37">
        <f>IF(J2636&lt;&gt;0,M2636/J2636,"")</f>
        <v>0.37264190015318066</v>
      </c>
      <c r="O2636" s="34">
        <f>SUBTOTAL(9,O2581:O2635)</f>
        <v>0</v>
      </c>
      <c r="P2636" s="35">
        <f>SUBTOTAL(9,P2581:P2635)</f>
        <v>0</v>
      </c>
      <c r="Q2636" s="36">
        <f>SUBTOTAL(9,Q2581:Q2635)</f>
        <v>0</v>
      </c>
      <c r="R2636" s="36">
        <f>O2636-Q2636</f>
        <v>0</v>
      </c>
      <c r="S2636" s="37" t="str">
        <f>IF(O2636&lt;&gt;0,R2636/O2636,"")</f>
        <v/>
      </c>
      <c r="U2636" s="34">
        <f>SUBTOTAL(9,U2581:U2635)</f>
        <v>-10.26</v>
      </c>
      <c r="V2636" s="35">
        <f>SUBTOTAL(9,V2581:V2635)</f>
        <v>-15</v>
      </c>
      <c r="W2636" s="36">
        <f>SUBTOTAL(9,W2581:W2635)</f>
        <v>-6.18</v>
      </c>
      <c r="X2636" s="36">
        <f>U2636-W2636</f>
        <v>-4.08</v>
      </c>
      <c r="Y2636" s="37">
        <f>IF(U2636&lt;&gt;0,X2636/U2636,"")</f>
        <v>0.39766081871345033</v>
      </c>
      <c r="Z2636" s="34">
        <f>SUBTOTAL(9,Z2581:Z2635)</f>
        <v>3357.73</v>
      </c>
      <c r="AA2636" s="35">
        <f>SUBTOTAL(9,AA2581:AA2635)</f>
        <v>1177</v>
      </c>
      <c r="AB2636" s="36">
        <f>SUBTOTAL(9,AB2581:AB2635)</f>
        <v>2000.1999999999998</v>
      </c>
      <c r="AC2636" s="36">
        <f t="shared" ref="AC2636" si="739">Z2636-AB2636</f>
        <v>1357.5300000000002</v>
      </c>
      <c r="AD2636" s="37">
        <f t="shared" ref="AD2636" si="740">IF(Z2636&lt;&gt;0,AC2636/Z2636,"")</f>
        <v>0.40429992882095944</v>
      </c>
    </row>
    <row r="2637" spans="1:31" x14ac:dyDescent="0.25">
      <c r="A2637" s="14" t="s">
        <v>109</v>
      </c>
      <c r="C2637" s="66"/>
      <c r="J2637" s="10"/>
      <c r="K2637" s="11"/>
      <c r="L2637" s="11"/>
      <c r="M2637" s="11"/>
      <c r="N2637" s="12"/>
      <c r="O2637" s="10"/>
      <c r="P2637" s="11"/>
      <c r="Q2637" s="11"/>
      <c r="R2637" s="11"/>
      <c r="S2637" s="12"/>
      <c r="U2637" s="10"/>
      <c r="V2637" s="11"/>
      <c r="W2637" s="11"/>
      <c r="X2637" s="11"/>
      <c r="Y2637" s="12"/>
      <c r="Z2637" s="10"/>
      <c r="AA2637" s="11"/>
      <c r="AB2637" s="11"/>
      <c r="AC2637" s="11"/>
      <c r="AD2637" s="12"/>
    </row>
    <row r="2638" spans="1:31" ht="15.75" x14ac:dyDescent="0.25">
      <c r="A2638" s="14" t="s">
        <v>109</v>
      </c>
      <c r="C2638" s="66" t="str">
        <f t="shared" ref="C2638" si="741">E2638</f>
        <v>C100137</v>
      </c>
      <c r="E2638" s="13" t="str">
        <f>"C100137"</f>
        <v>C100137</v>
      </c>
      <c r="F2638" s="13"/>
      <c r="G2638" s="13" t="str">
        <f>"Odessy Sports"</f>
        <v>Odessy Sports</v>
      </c>
      <c r="H2638" s="13"/>
      <c r="I2638" s="13"/>
      <c r="J2638" s="10"/>
      <c r="K2638" s="11"/>
      <c r="L2638" s="11"/>
      <c r="M2638" s="11"/>
      <c r="N2638" s="12"/>
      <c r="O2638" s="10"/>
      <c r="P2638" s="11"/>
      <c r="Q2638" s="11"/>
      <c r="R2638" s="11"/>
      <c r="S2638" s="12"/>
      <c r="U2638" s="10"/>
      <c r="V2638" s="11"/>
      <c r="W2638" s="11"/>
      <c r="X2638" s="11"/>
      <c r="Y2638" s="12"/>
      <c r="Z2638" s="10"/>
      <c r="AA2638" s="11"/>
      <c r="AB2638" s="11"/>
      <c r="AC2638" s="11"/>
      <c r="AD2638" s="12"/>
    </row>
    <row r="2639" spans="1:31" ht="6.6" customHeight="1" x14ac:dyDescent="0.25">
      <c r="A2639" s="14" t="s">
        <v>109</v>
      </c>
      <c r="C2639" s="61" t="str">
        <f t="shared" ref="C2639:C2679" si="742">C2638</f>
        <v>C100137</v>
      </c>
      <c r="J2639" s="10"/>
      <c r="K2639" s="11"/>
      <c r="L2639" s="11"/>
      <c r="M2639" s="11"/>
      <c r="N2639" s="12"/>
      <c r="O2639" s="10"/>
      <c r="P2639" s="11"/>
      <c r="Q2639" s="11"/>
      <c r="R2639" s="11"/>
      <c r="S2639" s="12"/>
      <c r="U2639" s="10"/>
      <c r="V2639" s="11"/>
      <c r="W2639" s="11"/>
      <c r="X2639" s="11"/>
      <c r="Y2639" s="12"/>
      <c r="Z2639" s="10"/>
      <c r="AA2639" s="11"/>
      <c r="AB2639" s="11"/>
      <c r="AC2639" s="11"/>
      <c r="AD2639" s="12"/>
    </row>
    <row r="2640" spans="1:31" x14ac:dyDescent="0.25">
      <c r="A2640" s="14" t="s">
        <v>109</v>
      </c>
      <c r="C2640" s="61" t="str">
        <f t="shared" si="742"/>
        <v>C100137</v>
      </c>
      <c r="F2640" s="8" t="str">
        <f>"C100003"</f>
        <v>C100003</v>
      </c>
      <c r="G2640" s="9" t="str">
        <f>"Cherry Finish Frame"</f>
        <v>Cherry Finish Frame</v>
      </c>
      <c r="H2640" s="47"/>
      <c r="I2640" s="47"/>
      <c r="J2640" s="23">
        <v>2932.85</v>
      </c>
      <c r="K2640" s="25">
        <v>48</v>
      </c>
      <c r="L2640" s="24">
        <v>1566.72</v>
      </c>
      <c r="M2640" s="24">
        <f>J2640-L2640</f>
        <v>1366.1299999999999</v>
      </c>
      <c r="N2640" s="53">
        <f>IF(J2640&lt;&gt;0,M2640/J2640,"")</f>
        <v>0.46580288797585961</v>
      </c>
      <c r="O2640" s="23">
        <v>0</v>
      </c>
      <c r="P2640" s="25">
        <v>0</v>
      </c>
      <c r="Q2640" s="24">
        <v>0</v>
      </c>
      <c r="R2640" s="24">
        <f>O2640-Q2640</f>
        <v>0</v>
      </c>
      <c r="S2640" s="53" t="str">
        <f>IF(O2640&lt;&gt;0,R2640/O2640,"")</f>
        <v/>
      </c>
      <c r="T2640" s="10"/>
      <c r="U2640" s="23">
        <v>0</v>
      </c>
      <c r="V2640" s="25">
        <v>0</v>
      </c>
      <c r="W2640" s="24">
        <v>0</v>
      </c>
      <c r="X2640" s="24">
        <f>U2640-W2640</f>
        <v>0</v>
      </c>
      <c r="Y2640" s="53" t="str">
        <f>IF(U2640&lt;&gt;0,X2640/U2640,"")</f>
        <v/>
      </c>
      <c r="Z2640" s="23">
        <v>0</v>
      </c>
      <c r="AA2640" s="25">
        <v>0</v>
      </c>
      <c r="AB2640" s="24">
        <v>0</v>
      </c>
      <c r="AC2640" s="24">
        <f t="shared" ref="AC2640" si="743">Z2640-AB2640</f>
        <v>0</v>
      </c>
      <c r="AD2640" s="53" t="str">
        <f t="shared" ref="AD2640" si="744">IF(Z2640&lt;&gt;0,AC2640/Z2640,"")</f>
        <v/>
      </c>
      <c r="AE2640" s="10"/>
    </row>
    <row r="2641" spans="1:31" x14ac:dyDescent="0.25">
      <c r="A2641" s="14" t="s">
        <v>109</v>
      </c>
      <c r="C2641" s="61" t="str">
        <f t="shared" ref="C2641:C2677" si="745">C2640</f>
        <v>C100137</v>
      </c>
      <c r="F2641" s="8" t="str">
        <f>"C100004"</f>
        <v>C100004</v>
      </c>
      <c r="G2641" s="9" t="str">
        <f>"Walnut Medallian Plate"</f>
        <v>Walnut Medallian Plate</v>
      </c>
      <c r="H2641" s="47"/>
      <c r="I2641" s="47"/>
      <c r="J2641" s="23">
        <v>0</v>
      </c>
      <c r="K2641" s="25">
        <v>0</v>
      </c>
      <c r="L2641" s="24">
        <v>0</v>
      </c>
      <c r="M2641" s="24">
        <f>J2641-L2641</f>
        <v>0</v>
      </c>
      <c r="N2641" s="53" t="str">
        <f>IF(J2641&lt;&gt;0,M2641/J2641,"")</f>
        <v/>
      </c>
      <c r="O2641" s="23">
        <v>9758.7800000000007</v>
      </c>
      <c r="P2641" s="25">
        <v>168</v>
      </c>
      <c r="Q2641" s="24">
        <v>5140.79</v>
      </c>
      <c r="R2641" s="24">
        <f>O2641-Q2641</f>
        <v>4617.9900000000007</v>
      </c>
      <c r="S2641" s="53">
        <f>IF(O2641&lt;&gt;0,R2641/O2641,"")</f>
        <v>0.4732138648478601</v>
      </c>
      <c r="T2641" s="10"/>
      <c r="U2641" s="23">
        <v>7864.0099999999993</v>
      </c>
      <c r="V2641" s="25">
        <v>144</v>
      </c>
      <c r="W2641" s="24">
        <v>4406.3899999999994</v>
      </c>
      <c r="X2641" s="24">
        <f>U2641-W2641</f>
        <v>3457.62</v>
      </c>
      <c r="Y2641" s="53">
        <f>IF(U2641&lt;&gt;0,X2641/U2641,"")</f>
        <v>0.43967645005537892</v>
      </c>
      <c r="Z2641" s="23">
        <v>0</v>
      </c>
      <c r="AA2641" s="25">
        <v>0</v>
      </c>
      <c r="AB2641" s="24">
        <v>0</v>
      </c>
      <c r="AC2641" s="24">
        <f t="shared" ref="AC2641:AC2677" si="746">Z2641-AB2641</f>
        <v>0</v>
      </c>
      <c r="AD2641" s="53" t="str">
        <f t="shared" ref="AD2641:AD2677" si="747">IF(Z2641&lt;&gt;0,AC2641/Z2641,"")</f>
        <v/>
      </c>
      <c r="AE2641" s="10"/>
    </row>
    <row r="2642" spans="1:31" x14ac:dyDescent="0.25">
      <c r="A2642" s="14" t="s">
        <v>109</v>
      </c>
      <c r="C2642" s="61" t="str">
        <f t="shared" si="745"/>
        <v>C100137</v>
      </c>
      <c r="F2642" s="8" t="str">
        <f>"C100006"</f>
        <v>C100006</v>
      </c>
      <c r="G2642" s="9" t="str">
        <f>"Cherry Finished Crystal Award- Large"</f>
        <v>Cherry Finished Crystal Award- Large</v>
      </c>
      <c r="H2642" s="47"/>
      <c r="I2642" s="47"/>
      <c r="J2642" s="23">
        <v>0</v>
      </c>
      <c r="K2642" s="25">
        <v>0</v>
      </c>
      <c r="L2642" s="24">
        <v>0</v>
      </c>
      <c r="M2642" s="24">
        <f>J2642-L2642</f>
        <v>0</v>
      </c>
      <c r="N2642" s="53" t="str">
        <f>IF(J2642&lt;&gt;0,M2642/J2642,"")</f>
        <v/>
      </c>
      <c r="O2642" s="23">
        <v>9735.23</v>
      </c>
      <c r="P2642" s="25">
        <v>48</v>
      </c>
      <c r="Q2642" s="24">
        <v>4561.92</v>
      </c>
      <c r="R2642" s="24">
        <f>O2642-Q2642</f>
        <v>5173.3099999999995</v>
      </c>
      <c r="S2642" s="53">
        <f>IF(O2642&lt;&gt;0,R2642/O2642,"")</f>
        <v>0.5314009016736122</v>
      </c>
      <c r="T2642" s="10"/>
      <c r="U2642" s="23">
        <v>1154.18</v>
      </c>
      <c r="V2642" s="25">
        <v>6</v>
      </c>
      <c r="W2642" s="24">
        <v>570.24</v>
      </c>
      <c r="X2642" s="24">
        <f>U2642-W2642</f>
        <v>583.94000000000005</v>
      </c>
      <c r="Y2642" s="53">
        <f>IF(U2642&lt;&gt;0,X2642/U2642,"")</f>
        <v>0.50593494948794815</v>
      </c>
      <c r="Z2642" s="23">
        <v>0</v>
      </c>
      <c r="AA2642" s="25">
        <v>0</v>
      </c>
      <c r="AB2642" s="24">
        <v>0</v>
      </c>
      <c r="AC2642" s="24">
        <f t="shared" si="746"/>
        <v>0</v>
      </c>
      <c r="AD2642" s="53" t="str">
        <f t="shared" si="747"/>
        <v/>
      </c>
      <c r="AE2642" s="10"/>
    </row>
    <row r="2643" spans="1:31" x14ac:dyDescent="0.25">
      <c r="A2643" s="14" t="s">
        <v>109</v>
      </c>
      <c r="C2643" s="61" t="str">
        <f t="shared" si="745"/>
        <v>C100137</v>
      </c>
      <c r="F2643" s="8" t="str">
        <f>"C100014"</f>
        <v>C100014</v>
      </c>
      <c r="G2643" s="9" t="str">
        <f>"Canvas Field Bag"</f>
        <v>Canvas Field Bag</v>
      </c>
      <c r="H2643" s="47"/>
      <c r="I2643" s="47"/>
      <c r="J2643" s="23">
        <v>0</v>
      </c>
      <c r="K2643" s="25">
        <v>0</v>
      </c>
      <c r="L2643" s="24">
        <v>0</v>
      </c>
      <c r="M2643" s="24">
        <f>J2643-L2643</f>
        <v>0</v>
      </c>
      <c r="N2643" s="53" t="str">
        <f>IF(J2643&lt;&gt;0,M2643/J2643,"")</f>
        <v/>
      </c>
      <c r="O2643" s="23">
        <v>1280.45</v>
      </c>
      <c r="P2643" s="25">
        <v>144</v>
      </c>
      <c r="Q2643" s="24">
        <v>660.96</v>
      </c>
      <c r="R2643" s="24">
        <f>O2643-Q2643</f>
        <v>619.49</v>
      </c>
      <c r="S2643" s="53">
        <f>IF(O2643&lt;&gt;0,R2643/O2643,"")</f>
        <v>0.48380647428638368</v>
      </c>
      <c r="T2643" s="10"/>
      <c r="U2643" s="23">
        <v>0</v>
      </c>
      <c r="V2643" s="25">
        <v>0</v>
      </c>
      <c r="W2643" s="24">
        <v>0</v>
      </c>
      <c r="X2643" s="24">
        <f>U2643-W2643</f>
        <v>0</v>
      </c>
      <c r="Y2643" s="53" t="str">
        <f>IF(U2643&lt;&gt;0,X2643/U2643,"")</f>
        <v/>
      </c>
      <c r="Z2643" s="23">
        <v>0</v>
      </c>
      <c r="AA2643" s="25">
        <v>0</v>
      </c>
      <c r="AB2643" s="24">
        <v>0</v>
      </c>
      <c r="AC2643" s="24">
        <f t="shared" si="746"/>
        <v>0</v>
      </c>
      <c r="AD2643" s="53" t="str">
        <f t="shared" si="747"/>
        <v/>
      </c>
      <c r="AE2643" s="10"/>
    </row>
    <row r="2644" spans="1:31" x14ac:dyDescent="0.25">
      <c r="A2644" s="14" t="s">
        <v>109</v>
      </c>
      <c r="C2644" s="61" t="str">
        <f t="shared" si="745"/>
        <v>C100137</v>
      </c>
      <c r="F2644" s="8" t="str">
        <f>"C100017"</f>
        <v>C100017</v>
      </c>
      <c r="G2644" s="9" t="str">
        <f>"Wheeled Duffel"</f>
        <v>Wheeled Duffel</v>
      </c>
      <c r="H2644" s="47"/>
      <c r="I2644" s="47"/>
      <c r="J2644" s="23">
        <v>1043.98</v>
      </c>
      <c r="K2644" s="25">
        <v>6</v>
      </c>
      <c r="L2644" s="24">
        <v>607.32000000000005</v>
      </c>
      <c r="M2644" s="24">
        <f>J2644-L2644</f>
        <v>436.65999999999997</v>
      </c>
      <c r="N2644" s="53">
        <f>IF(J2644&lt;&gt;0,M2644/J2644,"")</f>
        <v>0.4182647177148987</v>
      </c>
      <c r="O2644" s="23">
        <v>0</v>
      </c>
      <c r="P2644" s="25">
        <v>0</v>
      </c>
      <c r="Q2644" s="24">
        <v>0</v>
      </c>
      <c r="R2644" s="24">
        <f>O2644-Q2644</f>
        <v>0</v>
      </c>
      <c r="S2644" s="53" t="str">
        <f>IF(O2644&lt;&gt;0,R2644/O2644,"")</f>
        <v/>
      </c>
      <c r="T2644" s="10"/>
      <c r="U2644" s="23">
        <v>0</v>
      </c>
      <c r="V2644" s="25">
        <v>0</v>
      </c>
      <c r="W2644" s="24">
        <v>0</v>
      </c>
      <c r="X2644" s="24">
        <f>U2644-W2644</f>
        <v>0</v>
      </c>
      <c r="Y2644" s="53" t="str">
        <f>IF(U2644&lt;&gt;0,X2644/U2644,"")</f>
        <v/>
      </c>
      <c r="Z2644" s="23">
        <v>0</v>
      </c>
      <c r="AA2644" s="25">
        <v>0</v>
      </c>
      <c r="AB2644" s="24">
        <v>0</v>
      </c>
      <c r="AC2644" s="24">
        <f t="shared" si="746"/>
        <v>0</v>
      </c>
      <c r="AD2644" s="53" t="str">
        <f t="shared" si="747"/>
        <v/>
      </c>
      <c r="AE2644" s="10"/>
    </row>
    <row r="2645" spans="1:31" x14ac:dyDescent="0.25">
      <c r="A2645" s="14" t="s">
        <v>109</v>
      </c>
      <c r="C2645" s="61" t="str">
        <f t="shared" si="745"/>
        <v>C100137</v>
      </c>
      <c r="F2645" s="8" t="str">
        <f>"C100019"</f>
        <v>C100019</v>
      </c>
      <c r="G2645" s="9" t="str">
        <f>"Black Duffel Bag"</f>
        <v>Black Duffel Bag</v>
      </c>
      <c r="H2645" s="47"/>
      <c r="I2645" s="47"/>
      <c r="J2645" s="23">
        <v>9135.5</v>
      </c>
      <c r="K2645" s="25">
        <v>144</v>
      </c>
      <c r="L2645" s="24">
        <v>6151.7</v>
      </c>
      <c r="M2645" s="24">
        <f>J2645-L2645</f>
        <v>2983.8</v>
      </c>
      <c r="N2645" s="53">
        <f>IF(J2645&lt;&gt;0,M2645/J2645,"")</f>
        <v>0.32661594877127692</v>
      </c>
      <c r="O2645" s="23">
        <v>9947.5500000000011</v>
      </c>
      <c r="P2645" s="25">
        <v>144</v>
      </c>
      <c r="Q2645" s="24">
        <v>6151.7</v>
      </c>
      <c r="R2645" s="24">
        <f>O2645-Q2645</f>
        <v>3795.8500000000013</v>
      </c>
      <c r="S2645" s="53">
        <f>IF(O2645&lt;&gt;0,R2645/O2645,"")</f>
        <v>0.3815864207769753</v>
      </c>
      <c r="T2645" s="10"/>
      <c r="U2645" s="23">
        <v>0</v>
      </c>
      <c r="V2645" s="25">
        <v>0</v>
      </c>
      <c r="W2645" s="24">
        <v>0</v>
      </c>
      <c r="X2645" s="24">
        <f>U2645-W2645</f>
        <v>0</v>
      </c>
      <c r="Y2645" s="53" t="str">
        <f>IF(U2645&lt;&gt;0,X2645/U2645,"")</f>
        <v/>
      </c>
      <c r="Z2645" s="23">
        <v>0</v>
      </c>
      <c r="AA2645" s="25">
        <v>0</v>
      </c>
      <c r="AB2645" s="24">
        <v>0</v>
      </c>
      <c r="AC2645" s="24">
        <f t="shared" si="746"/>
        <v>0</v>
      </c>
      <c r="AD2645" s="53" t="str">
        <f t="shared" si="747"/>
        <v/>
      </c>
      <c r="AE2645" s="10"/>
    </row>
    <row r="2646" spans="1:31" x14ac:dyDescent="0.25">
      <c r="A2646" s="14" t="s">
        <v>109</v>
      </c>
      <c r="C2646" s="61" t="str">
        <f t="shared" si="745"/>
        <v>C100137</v>
      </c>
      <c r="F2646" s="8" t="str">
        <f>"C100023"</f>
        <v>C100023</v>
      </c>
      <c r="G2646" s="9" t="str">
        <f>"Two-Toned Knit Hat"</f>
        <v>Two-Toned Knit Hat</v>
      </c>
      <c r="H2646" s="47"/>
      <c r="I2646" s="47"/>
      <c r="J2646" s="23">
        <v>0</v>
      </c>
      <c r="K2646" s="25">
        <v>0</v>
      </c>
      <c r="L2646" s="24">
        <v>0</v>
      </c>
      <c r="M2646" s="24">
        <f>J2646-L2646</f>
        <v>0</v>
      </c>
      <c r="N2646" s="53" t="str">
        <f>IF(J2646&lt;&gt;0,M2646/J2646,"")</f>
        <v/>
      </c>
      <c r="O2646" s="23">
        <v>748.68000000000006</v>
      </c>
      <c r="P2646" s="25">
        <v>288</v>
      </c>
      <c r="Q2646" s="24">
        <v>362.87</v>
      </c>
      <c r="R2646" s="24">
        <f>O2646-Q2646</f>
        <v>385.81000000000006</v>
      </c>
      <c r="S2646" s="53">
        <f>IF(O2646&lt;&gt;0,R2646/O2646,"")</f>
        <v>0.51532029705615223</v>
      </c>
      <c r="T2646" s="10"/>
      <c r="U2646" s="23">
        <v>0</v>
      </c>
      <c r="V2646" s="25">
        <v>0</v>
      </c>
      <c r="W2646" s="24">
        <v>0</v>
      </c>
      <c r="X2646" s="24">
        <f>U2646-W2646</f>
        <v>0</v>
      </c>
      <c r="Y2646" s="53" t="str">
        <f>IF(U2646&lt;&gt;0,X2646/U2646,"")</f>
        <v/>
      </c>
      <c r="Z2646" s="23">
        <v>0</v>
      </c>
      <c r="AA2646" s="25">
        <v>0</v>
      </c>
      <c r="AB2646" s="24">
        <v>0</v>
      </c>
      <c r="AC2646" s="24">
        <f t="shared" si="746"/>
        <v>0</v>
      </c>
      <c r="AD2646" s="53" t="str">
        <f t="shared" si="747"/>
        <v/>
      </c>
      <c r="AE2646" s="10"/>
    </row>
    <row r="2647" spans="1:31" x14ac:dyDescent="0.25">
      <c r="A2647" s="14" t="s">
        <v>109</v>
      </c>
      <c r="C2647" s="61" t="str">
        <f t="shared" si="745"/>
        <v>C100137</v>
      </c>
      <c r="F2647" s="8" t="str">
        <f>"C100025"</f>
        <v>C100025</v>
      </c>
      <c r="G2647" s="9" t="str">
        <f>"Striped Knit Hat"</f>
        <v>Striped Knit Hat</v>
      </c>
      <c r="H2647" s="47"/>
      <c r="I2647" s="47"/>
      <c r="J2647" s="23">
        <v>386.21000000000004</v>
      </c>
      <c r="K2647" s="25">
        <v>144</v>
      </c>
      <c r="L2647" s="24">
        <v>198.72</v>
      </c>
      <c r="M2647" s="24">
        <f>J2647-L2647</f>
        <v>187.49000000000004</v>
      </c>
      <c r="N2647" s="53">
        <f>IF(J2647&lt;&gt;0,M2647/J2647,"")</f>
        <v>0.48546127754330548</v>
      </c>
      <c r="O2647" s="23">
        <v>422.09000000000003</v>
      </c>
      <c r="P2647" s="25">
        <v>146</v>
      </c>
      <c r="Q2647" s="24">
        <v>201.48</v>
      </c>
      <c r="R2647" s="24">
        <f>O2647-Q2647</f>
        <v>220.61000000000004</v>
      </c>
      <c r="S2647" s="53">
        <f>IF(O2647&lt;&gt;0,R2647/O2647,"")</f>
        <v>0.52266104385320677</v>
      </c>
      <c r="T2647" s="10"/>
      <c r="U2647" s="23">
        <v>394.79</v>
      </c>
      <c r="V2647" s="25">
        <v>144</v>
      </c>
      <c r="W2647" s="24">
        <v>198.72</v>
      </c>
      <c r="X2647" s="24">
        <f>U2647-W2647</f>
        <v>196.07000000000002</v>
      </c>
      <c r="Y2647" s="53">
        <f>IF(U2647&lt;&gt;0,X2647/U2647,"")</f>
        <v>0.49664378530357917</v>
      </c>
      <c r="Z2647" s="23">
        <v>0</v>
      </c>
      <c r="AA2647" s="25">
        <v>0</v>
      </c>
      <c r="AB2647" s="24">
        <v>0</v>
      </c>
      <c r="AC2647" s="24">
        <f t="shared" si="746"/>
        <v>0</v>
      </c>
      <c r="AD2647" s="53" t="str">
        <f t="shared" si="747"/>
        <v/>
      </c>
      <c r="AE2647" s="10"/>
    </row>
    <row r="2648" spans="1:31" x14ac:dyDescent="0.25">
      <c r="A2648" s="14" t="s">
        <v>109</v>
      </c>
      <c r="C2648" s="61" t="str">
        <f t="shared" si="745"/>
        <v>C100137</v>
      </c>
      <c r="F2648" s="8" t="str">
        <f>"C100026"</f>
        <v>C100026</v>
      </c>
      <c r="G2648" s="9" t="str">
        <f>"Fleece Beanie"</f>
        <v>Fleece Beanie</v>
      </c>
      <c r="H2648" s="47"/>
      <c r="I2648" s="47"/>
      <c r="J2648" s="23">
        <v>0</v>
      </c>
      <c r="K2648" s="25">
        <v>0</v>
      </c>
      <c r="L2648" s="24">
        <v>0</v>
      </c>
      <c r="M2648" s="24">
        <f>J2648-L2648</f>
        <v>0</v>
      </c>
      <c r="N2648" s="53" t="str">
        <f>IF(J2648&lt;&gt;0,M2648/J2648,"")</f>
        <v/>
      </c>
      <c r="O2648" s="23">
        <v>435.8</v>
      </c>
      <c r="P2648" s="25">
        <v>144</v>
      </c>
      <c r="Q2648" s="24">
        <v>287.99</v>
      </c>
      <c r="R2648" s="24">
        <f>O2648-Q2648</f>
        <v>147.81</v>
      </c>
      <c r="S2648" s="53">
        <f>IF(O2648&lt;&gt;0,R2648/O2648,"")</f>
        <v>0.33916934373565855</v>
      </c>
      <c r="T2648" s="10"/>
      <c r="U2648" s="23">
        <v>0</v>
      </c>
      <c r="V2648" s="25">
        <v>0</v>
      </c>
      <c r="W2648" s="24">
        <v>0</v>
      </c>
      <c r="X2648" s="24">
        <f>U2648-W2648</f>
        <v>0</v>
      </c>
      <c r="Y2648" s="53" t="str">
        <f>IF(U2648&lt;&gt;0,X2648/U2648,"")</f>
        <v/>
      </c>
      <c r="Z2648" s="23">
        <v>0</v>
      </c>
      <c r="AA2648" s="25">
        <v>0</v>
      </c>
      <c r="AB2648" s="24">
        <v>0</v>
      </c>
      <c r="AC2648" s="24">
        <f t="shared" si="746"/>
        <v>0</v>
      </c>
      <c r="AD2648" s="53" t="str">
        <f t="shared" si="747"/>
        <v/>
      </c>
      <c r="AE2648" s="10"/>
    </row>
    <row r="2649" spans="1:31" x14ac:dyDescent="0.25">
      <c r="A2649" s="14" t="s">
        <v>109</v>
      </c>
      <c r="C2649" s="61" t="str">
        <f t="shared" si="745"/>
        <v>C100137</v>
      </c>
      <c r="F2649" s="8" t="str">
        <f>"C100027"</f>
        <v>C100027</v>
      </c>
      <c r="G2649" s="9" t="str">
        <f>"Pique Visor"</f>
        <v>Pique Visor</v>
      </c>
      <c r="H2649" s="47"/>
      <c r="I2649" s="47"/>
      <c r="J2649" s="23">
        <v>0</v>
      </c>
      <c r="K2649" s="25">
        <v>0</v>
      </c>
      <c r="L2649" s="24">
        <v>0</v>
      </c>
      <c r="M2649" s="24">
        <f>J2649-L2649</f>
        <v>0</v>
      </c>
      <c r="N2649" s="53" t="str">
        <f>IF(J2649&lt;&gt;0,M2649/J2649,"")</f>
        <v/>
      </c>
      <c r="O2649" s="23">
        <v>865.94</v>
      </c>
      <c r="P2649" s="25">
        <v>144</v>
      </c>
      <c r="Q2649" s="24">
        <v>449.29</v>
      </c>
      <c r="R2649" s="24">
        <f>O2649-Q2649</f>
        <v>416.65000000000003</v>
      </c>
      <c r="S2649" s="53">
        <f>IF(O2649&lt;&gt;0,R2649/O2649,"")</f>
        <v>0.48115342864401689</v>
      </c>
      <c r="T2649" s="10"/>
      <c r="U2649" s="23">
        <v>0</v>
      </c>
      <c r="V2649" s="25">
        <v>0</v>
      </c>
      <c r="W2649" s="24">
        <v>0</v>
      </c>
      <c r="X2649" s="24">
        <f>U2649-W2649</f>
        <v>0</v>
      </c>
      <c r="Y2649" s="53" t="str">
        <f>IF(U2649&lt;&gt;0,X2649/U2649,"")</f>
        <v/>
      </c>
      <c r="Z2649" s="23">
        <v>0</v>
      </c>
      <c r="AA2649" s="25">
        <v>0</v>
      </c>
      <c r="AB2649" s="24">
        <v>0</v>
      </c>
      <c r="AC2649" s="24">
        <f t="shared" si="746"/>
        <v>0</v>
      </c>
      <c r="AD2649" s="53" t="str">
        <f t="shared" si="747"/>
        <v/>
      </c>
      <c r="AE2649" s="10"/>
    </row>
    <row r="2650" spans="1:31" x14ac:dyDescent="0.25">
      <c r="A2650" s="14" t="s">
        <v>109</v>
      </c>
      <c r="C2650" s="61" t="str">
        <f t="shared" si="745"/>
        <v>C100137</v>
      </c>
      <c r="F2650" s="8" t="str">
        <f>"C100029"</f>
        <v>C100029</v>
      </c>
      <c r="G2650" s="9" t="str">
        <f>"Distressed Twill Visor"</f>
        <v>Distressed Twill Visor</v>
      </c>
      <c r="H2650" s="47"/>
      <c r="I2650" s="47"/>
      <c r="J2650" s="23">
        <v>0</v>
      </c>
      <c r="K2650" s="25">
        <v>0</v>
      </c>
      <c r="L2650" s="24">
        <v>0</v>
      </c>
      <c r="M2650" s="24">
        <f>J2650-L2650</f>
        <v>0</v>
      </c>
      <c r="N2650" s="53" t="str">
        <f>IF(J2650&lt;&gt;0,M2650/J2650,"")</f>
        <v/>
      </c>
      <c r="O2650" s="23">
        <v>23.22</v>
      </c>
      <c r="P2650" s="25">
        <v>7</v>
      </c>
      <c r="Q2650" s="24">
        <v>14.49</v>
      </c>
      <c r="R2650" s="24">
        <f>O2650-Q2650</f>
        <v>8.7299999999999986</v>
      </c>
      <c r="S2650" s="53">
        <f>IF(O2650&lt;&gt;0,R2650/O2650,"")</f>
        <v>0.37596899224806196</v>
      </c>
      <c r="T2650" s="10"/>
      <c r="U2650" s="23">
        <v>0</v>
      </c>
      <c r="V2650" s="25">
        <v>0</v>
      </c>
      <c r="W2650" s="24">
        <v>0</v>
      </c>
      <c r="X2650" s="24">
        <f>U2650-W2650</f>
        <v>0</v>
      </c>
      <c r="Y2650" s="53" t="str">
        <f>IF(U2650&lt;&gt;0,X2650/U2650,"")</f>
        <v/>
      </c>
      <c r="Z2650" s="23">
        <v>0</v>
      </c>
      <c r="AA2650" s="25">
        <v>0</v>
      </c>
      <c r="AB2650" s="24">
        <v>0</v>
      </c>
      <c r="AC2650" s="24">
        <f t="shared" si="746"/>
        <v>0</v>
      </c>
      <c r="AD2650" s="53" t="str">
        <f t="shared" si="747"/>
        <v/>
      </c>
      <c r="AE2650" s="10"/>
    </row>
    <row r="2651" spans="1:31" x14ac:dyDescent="0.25">
      <c r="A2651" s="14" t="s">
        <v>109</v>
      </c>
      <c r="C2651" s="61" t="str">
        <f t="shared" si="745"/>
        <v>C100137</v>
      </c>
      <c r="F2651" s="8" t="str">
        <f>"C100030"</f>
        <v>C100030</v>
      </c>
      <c r="G2651" s="9" t="str">
        <f>"Fashion Visor"</f>
        <v>Fashion Visor</v>
      </c>
      <c r="H2651" s="47"/>
      <c r="I2651" s="47"/>
      <c r="J2651" s="23">
        <v>591.29999999999995</v>
      </c>
      <c r="K2651" s="25">
        <v>150</v>
      </c>
      <c r="L2651" s="24">
        <v>363.01</v>
      </c>
      <c r="M2651" s="24">
        <f>J2651-L2651</f>
        <v>228.28999999999996</v>
      </c>
      <c r="N2651" s="53">
        <f>IF(J2651&lt;&gt;0,M2651/J2651,"")</f>
        <v>0.38608151530525958</v>
      </c>
      <c r="O2651" s="23">
        <v>649.12</v>
      </c>
      <c r="P2651" s="25">
        <v>156</v>
      </c>
      <c r="Q2651" s="24">
        <v>377.53</v>
      </c>
      <c r="R2651" s="24">
        <f>O2651-Q2651</f>
        <v>271.59000000000003</v>
      </c>
      <c r="S2651" s="53">
        <f>IF(O2651&lt;&gt;0,R2651/O2651,"")</f>
        <v>0.41839721469065816</v>
      </c>
      <c r="T2651" s="10"/>
      <c r="U2651" s="23">
        <v>96.710000000000008</v>
      </c>
      <c r="V2651" s="25">
        <v>24</v>
      </c>
      <c r="W2651" s="24">
        <v>58.08</v>
      </c>
      <c r="X2651" s="24">
        <f>U2651-W2651</f>
        <v>38.63000000000001</v>
      </c>
      <c r="Y2651" s="53">
        <f>IF(U2651&lt;&gt;0,X2651/U2651,"")</f>
        <v>0.3994416296143109</v>
      </c>
      <c r="Z2651" s="23">
        <v>0</v>
      </c>
      <c r="AA2651" s="25">
        <v>0</v>
      </c>
      <c r="AB2651" s="24">
        <v>0</v>
      </c>
      <c r="AC2651" s="24">
        <f t="shared" si="746"/>
        <v>0</v>
      </c>
      <c r="AD2651" s="53" t="str">
        <f t="shared" si="747"/>
        <v/>
      </c>
      <c r="AE2651" s="10"/>
    </row>
    <row r="2652" spans="1:31" x14ac:dyDescent="0.25">
      <c r="A2652" s="14" t="s">
        <v>109</v>
      </c>
      <c r="C2652" s="61" t="str">
        <f t="shared" si="745"/>
        <v>C100137</v>
      </c>
      <c r="F2652" s="8" t="str">
        <f>"C100032"</f>
        <v>C100032</v>
      </c>
      <c r="G2652" s="9" t="str">
        <f>"Clip-on Clock"</f>
        <v>Clip-on Clock</v>
      </c>
      <c r="H2652" s="47"/>
      <c r="I2652" s="47"/>
      <c r="J2652" s="23">
        <v>0</v>
      </c>
      <c r="K2652" s="25">
        <v>0</v>
      </c>
      <c r="L2652" s="24">
        <v>0</v>
      </c>
      <c r="M2652" s="24">
        <f>J2652-L2652</f>
        <v>0</v>
      </c>
      <c r="N2652" s="53" t="str">
        <f>IF(J2652&lt;&gt;0,M2652/J2652,"")</f>
        <v/>
      </c>
      <c r="O2652" s="23">
        <v>1162.83</v>
      </c>
      <c r="P2652" s="25">
        <v>144</v>
      </c>
      <c r="Q2652" s="24">
        <v>599.05000000000007</v>
      </c>
      <c r="R2652" s="24">
        <f>O2652-Q2652</f>
        <v>563.77999999999986</v>
      </c>
      <c r="S2652" s="53">
        <f>IF(O2652&lt;&gt;0,R2652/O2652,"")</f>
        <v>0.48483441259685411</v>
      </c>
      <c r="T2652" s="10"/>
      <c r="U2652" s="23">
        <v>0</v>
      </c>
      <c r="V2652" s="25">
        <v>0</v>
      </c>
      <c r="W2652" s="24">
        <v>0</v>
      </c>
      <c r="X2652" s="24">
        <f>U2652-W2652</f>
        <v>0</v>
      </c>
      <c r="Y2652" s="53" t="str">
        <f>IF(U2652&lt;&gt;0,X2652/U2652,"")</f>
        <v/>
      </c>
      <c r="Z2652" s="23">
        <v>0</v>
      </c>
      <c r="AA2652" s="25">
        <v>0</v>
      </c>
      <c r="AB2652" s="24">
        <v>0</v>
      </c>
      <c r="AC2652" s="24">
        <f t="shared" si="746"/>
        <v>0</v>
      </c>
      <c r="AD2652" s="53" t="str">
        <f t="shared" si="747"/>
        <v/>
      </c>
      <c r="AE2652" s="10"/>
    </row>
    <row r="2653" spans="1:31" x14ac:dyDescent="0.25">
      <c r="A2653" s="14" t="s">
        <v>109</v>
      </c>
      <c r="C2653" s="61" t="str">
        <f t="shared" si="745"/>
        <v>C100137</v>
      </c>
      <c r="F2653" s="8" t="str">
        <f>"E100001"</f>
        <v>E100001</v>
      </c>
      <c r="G2653" s="9" t="str">
        <f>"Sport Bag"</f>
        <v>Sport Bag</v>
      </c>
      <c r="H2653" s="47"/>
      <c r="I2653" s="47"/>
      <c r="J2653" s="23">
        <v>0</v>
      </c>
      <c r="K2653" s="25">
        <v>0</v>
      </c>
      <c r="L2653" s="24">
        <v>0</v>
      </c>
      <c r="M2653" s="24">
        <f>J2653-L2653</f>
        <v>0</v>
      </c>
      <c r="N2653" s="53" t="str">
        <f>IF(J2653&lt;&gt;0,M2653/J2653,"")</f>
        <v/>
      </c>
      <c r="O2653" s="23">
        <v>252.82</v>
      </c>
      <c r="P2653" s="25">
        <v>144</v>
      </c>
      <c r="Q2653" s="24">
        <v>125.28</v>
      </c>
      <c r="R2653" s="24">
        <f>O2653-Q2653</f>
        <v>127.53999999999999</v>
      </c>
      <c r="S2653" s="53">
        <f>IF(O2653&lt;&gt;0,R2653/O2653,"")</f>
        <v>0.50446958310260259</v>
      </c>
      <c r="T2653" s="10"/>
      <c r="U2653" s="23">
        <v>0</v>
      </c>
      <c r="V2653" s="25">
        <v>0</v>
      </c>
      <c r="W2653" s="24">
        <v>0</v>
      </c>
      <c r="X2653" s="24">
        <f>U2653-W2653</f>
        <v>0</v>
      </c>
      <c r="Y2653" s="53" t="str">
        <f>IF(U2653&lt;&gt;0,X2653/U2653,"")</f>
        <v/>
      </c>
      <c r="Z2653" s="23">
        <v>0</v>
      </c>
      <c r="AA2653" s="25">
        <v>0</v>
      </c>
      <c r="AB2653" s="24">
        <v>0</v>
      </c>
      <c r="AC2653" s="24">
        <f t="shared" si="746"/>
        <v>0</v>
      </c>
      <c r="AD2653" s="53" t="str">
        <f t="shared" si="747"/>
        <v/>
      </c>
      <c r="AE2653" s="10"/>
    </row>
    <row r="2654" spans="1:31" x14ac:dyDescent="0.25">
      <c r="A2654" s="14" t="s">
        <v>109</v>
      </c>
      <c r="C2654" s="61" t="str">
        <f t="shared" si="745"/>
        <v>C100137</v>
      </c>
      <c r="F2654" s="8" t="str">
        <f>"E100011"</f>
        <v>E100011</v>
      </c>
      <c r="G2654" s="9" t="str">
        <f>"Plastic Sun Visor"</f>
        <v>Plastic Sun Visor</v>
      </c>
      <c r="H2654" s="47"/>
      <c r="I2654" s="47"/>
      <c r="J2654" s="23">
        <v>0</v>
      </c>
      <c r="K2654" s="25">
        <v>0</v>
      </c>
      <c r="L2654" s="24">
        <v>0</v>
      </c>
      <c r="M2654" s="24">
        <f>J2654-L2654</f>
        <v>0</v>
      </c>
      <c r="N2654" s="53" t="str">
        <f>IF(J2654&lt;&gt;0,M2654/J2654,"")</f>
        <v/>
      </c>
      <c r="O2654" s="23">
        <v>232.92999999999998</v>
      </c>
      <c r="P2654" s="25">
        <v>295</v>
      </c>
      <c r="Q2654" s="24">
        <v>123.88</v>
      </c>
      <c r="R2654" s="24">
        <f>O2654-Q2654</f>
        <v>109.04999999999998</v>
      </c>
      <c r="S2654" s="53">
        <f>IF(O2654&lt;&gt;0,R2654/O2654,"")</f>
        <v>0.46816640192332459</v>
      </c>
      <c r="T2654" s="10"/>
      <c r="U2654" s="23">
        <v>0</v>
      </c>
      <c r="V2654" s="25">
        <v>0</v>
      </c>
      <c r="W2654" s="24">
        <v>0</v>
      </c>
      <c r="X2654" s="24">
        <f>U2654-W2654</f>
        <v>0</v>
      </c>
      <c r="Y2654" s="53" t="str">
        <f>IF(U2654&lt;&gt;0,X2654/U2654,"")</f>
        <v/>
      </c>
      <c r="Z2654" s="23">
        <v>0</v>
      </c>
      <c r="AA2654" s="25">
        <v>0</v>
      </c>
      <c r="AB2654" s="24">
        <v>0</v>
      </c>
      <c r="AC2654" s="24">
        <f t="shared" si="746"/>
        <v>0</v>
      </c>
      <c r="AD2654" s="53" t="str">
        <f t="shared" si="747"/>
        <v/>
      </c>
      <c r="AE2654" s="10"/>
    </row>
    <row r="2655" spans="1:31" x14ac:dyDescent="0.25">
      <c r="A2655" s="14" t="s">
        <v>109</v>
      </c>
      <c r="C2655" s="61" t="str">
        <f t="shared" si="745"/>
        <v>C100137</v>
      </c>
      <c r="F2655" s="8" t="str">
        <f>"E100013"</f>
        <v>E100013</v>
      </c>
      <c r="G2655" s="9" t="str">
        <f>"Clip-on Stopwatch"</f>
        <v>Clip-on Stopwatch</v>
      </c>
      <c r="H2655" s="47"/>
      <c r="I2655" s="47"/>
      <c r="J2655" s="23">
        <v>59.62</v>
      </c>
      <c r="K2655" s="25">
        <v>24</v>
      </c>
      <c r="L2655" s="24">
        <v>34.56</v>
      </c>
      <c r="M2655" s="24">
        <f>J2655-L2655</f>
        <v>25.059999999999995</v>
      </c>
      <c r="N2655" s="53">
        <f>IF(J2655&lt;&gt;0,M2655/J2655,"")</f>
        <v>0.4203287487420328</v>
      </c>
      <c r="O2655" s="23">
        <v>757.84</v>
      </c>
      <c r="P2655" s="25">
        <v>289</v>
      </c>
      <c r="Q2655" s="24">
        <v>416.14</v>
      </c>
      <c r="R2655" s="24">
        <f>O2655-Q2655</f>
        <v>341.70000000000005</v>
      </c>
      <c r="S2655" s="53">
        <f>IF(O2655&lt;&gt;0,R2655/O2655,"")</f>
        <v>0.45088673070832896</v>
      </c>
      <c r="T2655" s="10"/>
      <c r="U2655" s="23">
        <v>0</v>
      </c>
      <c r="V2655" s="25">
        <v>0</v>
      </c>
      <c r="W2655" s="24">
        <v>0</v>
      </c>
      <c r="X2655" s="24">
        <f>U2655-W2655</f>
        <v>0</v>
      </c>
      <c r="Y2655" s="53" t="str">
        <f>IF(U2655&lt;&gt;0,X2655/U2655,"")</f>
        <v/>
      </c>
      <c r="Z2655" s="23">
        <v>0</v>
      </c>
      <c r="AA2655" s="25">
        <v>0</v>
      </c>
      <c r="AB2655" s="24">
        <v>0</v>
      </c>
      <c r="AC2655" s="24">
        <f t="shared" si="746"/>
        <v>0</v>
      </c>
      <c r="AD2655" s="53" t="str">
        <f t="shared" si="747"/>
        <v/>
      </c>
      <c r="AE2655" s="10"/>
    </row>
    <row r="2656" spans="1:31" x14ac:dyDescent="0.25">
      <c r="A2656" s="14" t="s">
        <v>109</v>
      </c>
      <c r="C2656" s="61" t="str">
        <f t="shared" si="745"/>
        <v>C100137</v>
      </c>
      <c r="F2656" s="8" t="str">
        <f>"E100014"</f>
        <v>E100014</v>
      </c>
      <c r="G2656" s="9" t="str">
        <f>"Stopwatch with Neck Rope"</f>
        <v>Stopwatch with Neck Rope</v>
      </c>
      <c r="H2656" s="47"/>
      <c r="I2656" s="47"/>
      <c r="J2656" s="23">
        <v>2.4700000000000002</v>
      </c>
      <c r="K2656" s="25">
        <v>1</v>
      </c>
      <c r="L2656" s="24">
        <v>1.29</v>
      </c>
      <c r="M2656" s="24">
        <f>J2656-L2656</f>
        <v>1.1800000000000002</v>
      </c>
      <c r="N2656" s="53">
        <f>IF(J2656&lt;&gt;0,M2656/J2656,"")</f>
        <v>0.47773279352226722</v>
      </c>
      <c r="O2656" s="23">
        <v>376.2</v>
      </c>
      <c r="P2656" s="25">
        <v>144</v>
      </c>
      <c r="Q2656" s="24">
        <v>185.75</v>
      </c>
      <c r="R2656" s="24">
        <f>O2656-Q2656</f>
        <v>190.45</v>
      </c>
      <c r="S2656" s="53">
        <f>IF(O2656&lt;&gt;0,R2656/O2656,"")</f>
        <v>0.50624667729930883</v>
      </c>
      <c r="T2656" s="10"/>
      <c r="U2656" s="23">
        <v>364.32</v>
      </c>
      <c r="V2656" s="25">
        <v>144</v>
      </c>
      <c r="W2656" s="24">
        <v>185.75</v>
      </c>
      <c r="X2656" s="24">
        <f>U2656-W2656</f>
        <v>178.57</v>
      </c>
      <c r="Y2656" s="53">
        <f>IF(U2656&lt;&gt;0,X2656/U2656,"")</f>
        <v>0.49014602547211245</v>
      </c>
      <c r="Z2656" s="23">
        <v>0</v>
      </c>
      <c r="AA2656" s="25">
        <v>0</v>
      </c>
      <c r="AB2656" s="24">
        <v>0</v>
      </c>
      <c r="AC2656" s="24">
        <f t="shared" si="746"/>
        <v>0</v>
      </c>
      <c r="AD2656" s="53" t="str">
        <f t="shared" si="747"/>
        <v/>
      </c>
      <c r="AE2656" s="10"/>
    </row>
    <row r="2657" spans="1:31" x14ac:dyDescent="0.25">
      <c r="A2657" s="14" t="s">
        <v>109</v>
      </c>
      <c r="C2657" s="61" t="str">
        <f t="shared" si="745"/>
        <v>C100137</v>
      </c>
      <c r="F2657" s="8" t="str">
        <f>"E100015"</f>
        <v>E100015</v>
      </c>
      <c r="G2657" s="9" t="str">
        <f>"360 Clip Watch"</f>
        <v>360 Clip Watch</v>
      </c>
      <c r="H2657" s="47"/>
      <c r="I2657" s="47"/>
      <c r="J2657" s="23">
        <v>0</v>
      </c>
      <c r="K2657" s="25">
        <v>0</v>
      </c>
      <c r="L2657" s="24">
        <v>0</v>
      </c>
      <c r="M2657" s="24">
        <f>J2657-L2657</f>
        <v>0</v>
      </c>
      <c r="N2657" s="53" t="str">
        <f>IF(J2657&lt;&gt;0,M2657/J2657,"")</f>
        <v/>
      </c>
      <c r="O2657" s="23">
        <v>350.88</v>
      </c>
      <c r="P2657" s="25">
        <v>168</v>
      </c>
      <c r="Q2657" s="24">
        <v>171.36</v>
      </c>
      <c r="R2657" s="24">
        <f>O2657-Q2657</f>
        <v>179.51999999999998</v>
      </c>
      <c r="S2657" s="53">
        <f>IF(O2657&lt;&gt;0,R2657/O2657,"")</f>
        <v>0.5116279069767441</v>
      </c>
      <c r="T2657" s="10"/>
      <c r="U2657" s="23">
        <v>0</v>
      </c>
      <c r="V2657" s="25">
        <v>0</v>
      </c>
      <c r="W2657" s="24">
        <v>0</v>
      </c>
      <c r="X2657" s="24">
        <f>U2657-W2657</f>
        <v>0</v>
      </c>
      <c r="Y2657" s="53" t="str">
        <f>IF(U2657&lt;&gt;0,X2657/U2657,"")</f>
        <v/>
      </c>
      <c r="Z2657" s="23">
        <v>0</v>
      </c>
      <c r="AA2657" s="25">
        <v>0</v>
      </c>
      <c r="AB2657" s="24">
        <v>0</v>
      </c>
      <c r="AC2657" s="24">
        <f t="shared" si="746"/>
        <v>0</v>
      </c>
      <c r="AD2657" s="53" t="str">
        <f t="shared" si="747"/>
        <v/>
      </c>
      <c r="AE2657" s="10"/>
    </row>
    <row r="2658" spans="1:31" x14ac:dyDescent="0.25">
      <c r="A2658" s="14" t="s">
        <v>109</v>
      </c>
      <c r="C2658" s="61" t="str">
        <f t="shared" si="745"/>
        <v>C100137</v>
      </c>
      <c r="F2658" s="8" t="str">
        <f>"E100016"</f>
        <v>E100016</v>
      </c>
      <c r="G2658" s="9" t="str">
        <f>"4 Function Rotating Carabiner Watch"</f>
        <v>4 Function Rotating Carabiner Watch</v>
      </c>
      <c r="H2658" s="47"/>
      <c r="I2658" s="47"/>
      <c r="J2658" s="23">
        <v>0</v>
      </c>
      <c r="K2658" s="25">
        <v>0</v>
      </c>
      <c r="L2658" s="24">
        <v>0</v>
      </c>
      <c r="M2658" s="24">
        <f>J2658-L2658</f>
        <v>0</v>
      </c>
      <c r="N2658" s="53" t="str">
        <f>IF(J2658&lt;&gt;0,M2658/J2658,"")</f>
        <v/>
      </c>
      <c r="O2658" s="23">
        <v>849.25</v>
      </c>
      <c r="P2658" s="25">
        <v>288</v>
      </c>
      <c r="Q2658" s="24">
        <v>397.46000000000004</v>
      </c>
      <c r="R2658" s="24">
        <f>O2658-Q2658</f>
        <v>451.78999999999996</v>
      </c>
      <c r="S2658" s="53">
        <f>IF(O2658&lt;&gt;0,R2658/O2658,"")</f>
        <v>0.53198704739475999</v>
      </c>
      <c r="T2658" s="10"/>
      <c r="U2658" s="23">
        <v>402.74</v>
      </c>
      <c r="V2658" s="25">
        <v>144</v>
      </c>
      <c r="W2658" s="24">
        <v>198.73000000000002</v>
      </c>
      <c r="X2658" s="24">
        <f>U2658-W2658</f>
        <v>204.01</v>
      </c>
      <c r="Y2658" s="53">
        <f>IF(U2658&lt;&gt;0,X2658/U2658,"")</f>
        <v>0.50655509758156625</v>
      </c>
      <c r="Z2658" s="23">
        <v>0</v>
      </c>
      <c r="AA2658" s="25">
        <v>0</v>
      </c>
      <c r="AB2658" s="24">
        <v>0</v>
      </c>
      <c r="AC2658" s="24">
        <f t="shared" si="746"/>
        <v>0</v>
      </c>
      <c r="AD2658" s="53" t="str">
        <f t="shared" si="747"/>
        <v/>
      </c>
      <c r="AE2658" s="10"/>
    </row>
    <row r="2659" spans="1:31" x14ac:dyDescent="0.25">
      <c r="A2659" s="14" t="s">
        <v>109</v>
      </c>
      <c r="C2659" s="61" t="str">
        <f t="shared" si="745"/>
        <v>C100137</v>
      </c>
      <c r="F2659" s="8" t="str">
        <f>"E100017"</f>
        <v>E100017</v>
      </c>
      <c r="G2659" s="9" t="str">
        <f>"Clip-on Clock with Compass"</f>
        <v>Clip-on Clock with Compass</v>
      </c>
      <c r="H2659" s="47"/>
      <c r="I2659" s="47"/>
      <c r="J2659" s="23">
        <v>0</v>
      </c>
      <c r="K2659" s="25">
        <v>0</v>
      </c>
      <c r="L2659" s="24">
        <v>0</v>
      </c>
      <c r="M2659" s="24">
        <f>J2659-L2659</f>
        <v>0</v>
      </c>
      <c r="N2659" s="53" t="str">
        <f>IF(J2659&lt;&gt;0,M2659/J2659,"")</f>
        <v/>
      </c>
      <c r="O2659" s="23">
        <v>219.38</v>
      </c>
      <c r="P2659" s="25">
        <v>145</v>
      </c>
      <c r="Q2659" s="24">
        <v>127.6</v>
      </c>
      <c r="R2659" s="24">
        <f>O2659-Q2659</f>
        <v>91.78</v>
      </c>
      <c r="S2659" s="53">
        <f>IF(O2659&lt;&gt;0,R2659/O2659,"")</f>
        <v>0.41836083508068195</v>
      </c>
      <c r="T2659" s="10"/>
      <c r="U2659" s="23">
        <v>208.10000000000002</v>
      </c>
      <c r="V2659" s="25">
        <v>145</v>
      </c>
      <c r="W2659" s="24">
        <v>127.6</v>
      </c>
      <c r="X2659" s="24">
        <f>U2659-W2659</f>
        <v>80.500000000000028</v>
      </c>
      <c r="Y2659" s="53">
        <f>IF(U2659&lt;&gt;0,X2659/U2659,"")</f>
        <v>0.38683325324363299</v>
      </c>
      <c r="Z2659" s="23">
        <v>0</v>
      </c>
      <c r="AA2659" s="25">
        <v>0</v>
      </c>
      <c r="AB2659" s="24">
        <v>0</v>
      </c>
      <c r="AC2659" s="24">
        <f t="shared" si="746"/>
        <v>0</v>
      </c>
      <c r="AD2659" s="53" t="str">
        <f t="shared" si="747"/>
        <v/>
      </c>
      <c r="AE2659" s="10"/>
    </row>
    <row r="2660" spans="1:31" x14ac:dyDescent="0.25">
      <c r="A2660" s="14" t="s">
        <v>109</v>
      </c>
      <c r="C2660" s="61" t="str">
        <f t="shared" si="745"/>
        <v>C100137</v>
      </c>
      <c r="F2660" s="8" t="str">
        <f>"E100018"</f>
        <v>E100018</v>
      </c>
      <c r="G2660" s="9" t="str">
        <f>"Flexi-Clock &amp; Clip"</f>
        <v>Flexi-Clock &amp; Clip</v>
      </c>
      <c r="H2660" s="47"/>
      <c r="I2660" s="47"/>
      <c r="J2660" s="23">
        <v>0</v>
      </c>
      <c r="K2660" s="25">
        <v>0</v>
      </c>
      <c r="L2660" s="24">
        <v>0</v>
      </c>
      <c r="M2660" s="24">
        <f>J2660-L2660</f>
        <v>0</v>
      </c>
      <c r="N2660" s="53" t="str">
        <f>IF(J2660&lt;&gt;0,M2660/J2660,"")</f>
        <v/>
      </c>
      <c r="O2660" s="23">
        <v>157.84</v>
      </c>
      <c r="P2660" s="25">
        <v>144</v>
      </c>
      <c r="Q2660" s="24">
        <v>86.39</v>
      </c>
      <c r="R2660" s="24">
        <f>O2660-Q2660</f>
        <v>71.45</v>
      </c>
      <c r="S2660" s="53">
        <f>IF(O2660&lt;&gt;0,R2660/O2660,"")</f>
        <v>0.45267359351241765</v>
      </c>
      <c r="T2660" s="10"/>
      <c r="U2660" s="23">
        <v>162.18</v>
      </c>
      <c r="V2660" s="25">
        <v>156</v>
      </c>
      <c r="W2660" s="24">
        <v>93.59</v>
      </c>
      <c r="X2660" s="24">
        <f>U2660-W2660</f>
        <v>68.59</v>
      </c>
      <c r="Y2660" s="53">
        <f>IF(U2660&lt;&gt;0,X2660/U2660,"")</f>
        <v>0.42292514490072758</v>
      </c>
      <c r="Z2660" s="23">
        <v>0</v>
      </c>
      <c r="AA2660" s="25">
        <v>0</v>
      </c>
      <c r="AB2660" s="24">
        <v>0</v>
      </c>
      <c r="AC2660" s="24">
        <f t="shared" si="746"/>
        <v>0</v>
      </c>
      <c r="AD2660" s="53" t="str">
        <f t="shared" si="747"/>
        <v/>
      </c>
      <c r="AE2660" s="10"/>
    </row>
    <row r="2661" spans="1:31" x14ac:dyDescent="0.25">
      <c r="A2661" s="14" t="s">
        <v>109</v>
      </c>
      <c r="C2661" s="61" t="str">
        <f t="shared" si="745"/>
        <v>C100137</v>
      </c>
      <c r="F2661" s="8" t="str">
        <f>"S100001"</f>
        <v>S100001</v>
      </c>
      <c r="G2661" s="9" t="str">
        <f>"Basketball Graphic Plaque"</f>
        <v>Basketball Graphic Plaque</v>
      </c>
      <c r="H2661" s="47"/>
      <c r="I2661" s="47"/>
      <c r="J2661" s="23">
        <v>0</v>
      </c>
      <c r="K2661" s="25">
        <v>0</v>
      </c>
      <c r="L2661" s="24">
        <v>0</v>
      </c>
      <c r="M2661" s="24">
        <f>J2661-L2661</f>
        <v>0</v>
      </c>
      <c r="N2661" s="53" t="str">
        <f>IF(J2661&lt;&gt;0,M2661/J2661,"")</f>
        <v/>
      </c>
      <c r="O2661" s="23">
        <v>2290.0300000000002</v>
      </c>
      <c r="P2661" s="25">
        <v>144</v>
      </c>
      <c r="Q2661" s="24">
        <v>1310.4000000000001</v>
      </c>
      <c r="R2661" s="24">
        <f>O2661-Q2661</f>
        <v>979.63000000000011</v>
      </c>
      <c r="S2661" s="53">
        <f>IF(O2661&lt;&gt;0,R2661/O2661,"")</f>
        <v>0.42778042209054029</v>
      </c>
      <c r="T2661" s="10"/>
      <c r="U2661" s="23">
        <v>0</v>
      </c>
      <c r="V2661" s="25">
        <v>0</v>
      </c>
      <c r="W2661" s="24">
        <v>0</v>
      </c>
      <c r="X2661" s="24">
        <f>U2661-W2661</f>
        <v>0</v>
      </c>
      <c r="Y2661" s="53" t="str">
        <f>IF(U2661&lt;&gt;0,X2661/U2661,"")</f>
        <v/>
      </c>
      <c r="Z2661" s="23">
        <v>0</v>
      </c>
      <c r="AA2661" s="25">
        <v>0</v>
      </c>
      <c r="AB2661" s="24">
        <v>0</v>
      </c>
      <c r="AC2661" s="24">
        <f t="shared" si="746"/>
        <v>0</v>
      </c>
      <c r="AD2661" s="53" t="str">
        <f t="shared" si="747"/>
        <v/>
      </c>
      <c r="AE2661" s="10"/>
    </row>
    <row r="2662" spans="1:31" x14ac:dyDescent="0.25">
      <c r="A2662" s="14" t="s">
        <v>109</v>
      </c>
      <c r="C2662" s="61" t="str">
        <f t="shared" si="745"/>
        <v>C100137</v>
      </c>
      <c r="F2662" s="8" t="str">
        <f>"S100002"</f>
        <v>S100002</v>
      </c>
      <c r="G2662" s="9" t="str">
        <f>"Football Graphic Plaque"</f>
        <v>Football Graphic Plaque</v>
      </c>
      <c r="H2662" s="47"/>
      <c r="I2662" s="47"/>
      <c r="J2662" s="23">
        <v>0</v>
      </c>
      <c r="K2662" s="25">
        <v>0</v>
      </c>
      <c r="L2662" s="24">
        <v>0</v>
      </c>
      <c r="M2662" s="24">
        <f>J2662-L2662</f>
        <v>0</v>
      </c>
      <c r="N2662" s="53" t="str">
        <f>IF(J2662&lt;&gt;0,M2662/J2662,"")</f>
        <v/>
      </c>
      <c r="O2662" s="23">
        <v>3383.06</v>
      </c>
      <c r="P2662" s="25">
        <v>144</v>
      </c>
      <c r="Q2662" s="24">
        <v>1712.1699999999998</v>
      </c>
      <c r="R2662" s="24">
        <f>O2662-Q2662</f>
        <v>1670.89</v>
      </c>
      <c r="S2662" s="53">
        <f>IF(O2662&lt;&gt;0,R2662/O2662,"")</f>
        <v>0.49389901450166424</v>
      </c>
      <c r="T2662" s="10"/>
      <c r="U2662" s="23">
        <v>0</v>
      </c>
      <c r="V2662" s="25">
        <v>0</v>
      </c>
      <c r="W2662" s="24">
        <v>0</v>
      </c>
      <c r="X2662" s="24">
        <f>U2662-W2662</f>
        <v>0</v>
      </c>
      <c r="Y2662" s="53" t="str">
        <f>IF(U2662&lt;&gt;0,X2662/U2662,"")</f>
        <v/>
      </c>
      <c r="Z2662" s="23">
        <v>0</v>
      </c>
      <c r="AA2662" s="25">
        <v>0</v>
      </c>
      <c r="AB2662" s="24">
        <v>0</v>
      </c>
      <c r="AC2662" s="24">
        <f t="shared" si="746"/>
        <v>0</v>
      </c>
      <c r="AD2662" s="53" t="str">
        <f t="shared" si="747"/>
        <v/>
      </c>
      <c r="AE2662" s="10"/>
    </row>
    <row r="2663" spans="1:31" x14ac:dyDescent="0.25">
      <c r="A2663" s="14" t="s">
        <v>109</v>
      </c>
      <c r="C2663" s="61" t="str">
        <f t="shared" si="745"/>
        <v>C100137</v>
      </c>
      <c r="F2663" s="8" t="str">
        <f>"S100004"</f>
        <v>S100004</v>
      </c>
      <c r="G2663" s="9" t="str">
        <f>"Award Medallian - 2''"</f>
        <v>Award Medallian - 2''</v>
      </c>
      <c r="H2663" s="47"/>
      <c r="I2663" s="47"/>
      <c r="J2663" s="23">
        <v>0</v>
      </c>
      <c r="K2663" s="25">
        <v>0</v>
      </c>
      <c r="L2663" s="24">
        <v>0</v>
      </c>
      <c r="M2663" s="24">
        <f>J2663-L2663</f>
        <v>0</v>
      </c>
      <c r="N2663" s="53" t="str">
        <f>IF(J2663&lt;&gt;0,M2663/J2663,"")</f>
        <v/>
      </c>
      <c r="O2663" s="23">
        <v>3868.7000000000003</v>
      </c>
      <c r="P2663" s="25">
        <v>288</v>
      </c>
      <c r="Q2663" s="24">
        <v>1920.96</v>
      </c>
      <c r="R2663" s="24">
        <f>O2663-Q2663</f>
        <v>1947.7400000000002</v>
      </c>
      <c r="S2663" s="53">
        <f>IF(O2663&lt;&gt;0,R2663/O2663,"")</f>
        <v>0.50346111096750845</v>
      </c>
      <c r="T2663" s="10"/>
      <c r="U2663" s="23">
        <v>0</v>
      </c>
      <c r="V2663" s="25">
        <v>0</v>
      </c>
      <c r="W2663" s="24">
        <v>0</v>
      </c>
      <c r="X2663" s="24">
        <f>U2663-W2663</f>
        <v>0</v>
      </c>
      <c r="Y2663" s="53" t="str">
        <f>IF(U2663&lt;&gt;0,X2663/U2663,"")</f>
        <v/>
      </c>
      <c r="Z2663" s="23">
        <v>0</v>
      </c>
      <c r="AA2663" s="25">
        <v>0</v>
      </c>
      <c r="AB2663" s="24">
        <v>0</v>
      </c>
      <c r="AC2663" s="24">
        <f t="shared" si="746"/>
        <v>0</v>
      </c>
      <c r="AD2663" s="53" t="str">
        <f t="shared" si="747"/>
        <v/>
      </c>
      <c r="AE2663" s="10"/>
    </row>
    <row r="2664" spans="1:31" x14ac:dyDescent="0.25">
      <c r="A2664" s="14" t="s">
        <v>109</v>
      </c>
      <c r="C2664" s="61" t="str">
        <f t="shared" si="745"/>
        <v>C100137</v>
      </c>
      <c r="F2664" s="8" t="str">
        <f>"S100005"</f>
        <v>S100005</v>
      </c>
      <c r="G2664" s="9" t="str">
        <f>"Award Medallian - 2.5''"</f>
        <v>Award Medallian - 2.5''</v>
      </c>
      <c r="H2664" s="47"/>
      <c r="I2664" s="47"/>
      <c r="J2664" s="23">
        <v>0</v>
      </c>
      <c r="K2664" s="25">
        <v>0</v>
      </c>
      <c r="L2664" s="24">
        <v>0</v>
      </c>
      <c r="M2664" s="24">
        <f>J2664-L2664</f>
        <v>0</v>
      </c>
      <c r="N2664" s="53" t="str">
        <f>IF(J2664&lt;&gt;0,M2664/J2664,"")</f>
        <v/>
      </c>
      <c r="O2664" s="23">
        <v>4769.2</v>
      </c>
      <c r="P2664" s="25">
        <v>576</v>
      </c>
      <c r="Q2664" s="24">
        <v>3006.76</v>
      </c>
      <c r="R2664" s="24">
        <f>O2664-Q2664</f>
        <v>1762.4399999999996</v>
      </c>
      <c r="S2664" s="53">
        <f>IF(O2664&lt;&gt;0,R2664/O2664,"")</f>
        <v>0.36954625513712985</v>
      </c>
      <c r="T2664" s="10"/>
      <c r="U2664" s="23">
        <v>7.98</v>
      </c>
      <c r="V2664" s="25">
        <v>1</v>
      </c>
      <c r="W2664" s="24">
        <v>5.22</v>
      </c>
      <c r="X2664" s="24">
        <f>U2664-W2664</f>
        <v>2.7600000000000007</v>
      </c>
      <c r="Y2664" s="53">
        <f>IF(U2664&lt;&gt;0,X2664/U2664,"")</f>
        <v>0.34586466165413543</v>
      </c>
      <c r="Z2664" s="23">
        <v>0</v>
      </c>
      <c r="AA2664" s="25">
        <v>0</v>
      </c>
      <c r="AB2664" s="24">
        <v>0</v>
      </c>
      <c r="AC2664" s="24">
        <f t="shared" si="746"/>
        <v>0</v>
      </c>
      <c r="AD2664" s="53" t="str">
        <f t="shared" si="747"/>
        <v/>
      </c>
      <c r="AE2664" s="10"/>
    </row>
    <row r="2665" spans="1:31" x14ac:dyDescent="0.25">
      <c r="A2665" s="14" t="s">
        <v>109</v>
      </c>
      <c r="C2665" s="61" t="str">
        <f t="shared" si="745"/>
        <v>C100137</v>
      </c>
      <c r="F2665" s="8" t="str">
        <f>"S100006"</f>
        <v>S100006</v>
      </c>
      <c r="G2665" s="9" t="str">
        <f>"Award Medallian - 3''"</f>
        <v>Award Medallian - 3''</v>
      </c>
      <c r="H2665" s="47"/>
      <c r="I2665" s="47"/>
      <c r="J2665" s="23">
        <v>1477.4399999999998</v>
      </c>
      <c r="K2665" s="25">
        <v>144</v>
      </c>
      <c r="L2665" s="24">
        <v>1065.5900000000001</v>
      </c>
      <c r="M2665" s="24">
        <f>J2665-L2665</f>
        <v>411.84999999999968</v>
      </c>
      <c r="N2665" s="53">
        <f>IF(J2665&lt;&gt;0,M2665/J2665,"")</f>
        <v>0.27875920511154412</v>
      </c>
      <c r="O2665" s="23">
        <v>0</v>
      </c>
      <c r="P2665" s="25">
        <v>0</v>
      </c>
      <c r="Q2665" s="24">
        <v>0</v>
      </c>
      <c r="R2665" s="24">
        <f>O2665-Q2665</f>
        <v>0</v>
      </c>
      <c r="S2665" s="53" t="str">
        <f>IF(O2665&lt;&gt;0,R2665/O2665,"")</f>
        <v/>
      </c>
      <c r="T2665" s="10"/>
      <c r="U2665" s="23">
        <v>1510.27</v>
      </c>
      <c r="V2665" s="25">
        <v>144</v>
      </c>
      <c r="W2665" s="24">
        <v>1065.5900000000001</v>
      </c>
      <c r="X2665" s="24">
        <f>U2665-W2665</f>
        <v>444.67999999999984</v>
      </c>
      <c r="Y2665" s="53">
        <f>IF(U2665&lt;&gt;0,X2665/U2665,"")</f>
        <v>0.29443741847484212</v>
      </c>
      <c r="Z2665" s="23">
        <v>0</v>
      </c>
      <c r="AA2665" s="25">
        <v>0</v>
      </c>
      <c r="AB2665" s="24">
        <v>0</v>
      </c>
      <c r="AC2665" s="24">
        <f t="shared" si="746"/>
        <v>0</v>
      </c>
      <c r="AD2665" s="53" t="str">
        <f t="shared" si="747"/>
        <v/>
      </c>
      <c r="AE2665" s="10"/>
    </row>
    <row r="2666" spans="1:31" x14ac:dyDescent="0.25">
      <c r="A2666" s="14" t="s">
        <v>109</v>
      </c>
      <c r="C2666" s="61" t="str">
        <f t="shared" si="745"/>
        <v>C100137</v>
      </c>
      <c r="F2666" s="8" t="str">
        <f>"S100007"</f>
        <v>S100007</v>
      </c>
      <c r="G2666" s="9" t="str">
        <f>"Baseball Figure Trophy"</f>
        <v>Baseball Figure Trophy</v>
      </c>
      <c r="H2666" s="47"/>
      <c r="I2666" s="47"/>
      <c r="J2666" s="23">
        <v>0</v>
      </c>
      <c r="K2666" s="25">
        <v>0</v>
      </c>
      <c r="L2666" s="24">
        <v>0</v>
      </c>
      <c r="M2666" s="24">
        <f>J2666-L2666</f>
        <v>0</v>
      </c>
      <c r="N2666" s="53" t="str">
        <f>IF(J2666&lt;&gt;0,M2666/J2666,"")</f>
        <v/>
      </c>
      <c r="O2666" s="23">
        <v>1012.32</v>
      </c>
      <c r="P2666" s="25">
        <v>144</v>
      </c>
      <c r="Q2666" s="24">
        <v>529.91999999999996</v>
      </c>
      <c r="R2666" s="24">
        <f>O2666-Q2666</f>
        <v>482.40000000000009</v>
      </c>
      <c r="S2666" s="53">
        <f>IF(O2666&lt;&gt;0,R2666/O2666,"")</f>
        <v>0.4765291607396871</v>
      </c>
      <c r="T2666" s="10"/>
      <c r="U2666" s="23">
        <v>0</v>
      </c>
      <c r="V2666" s="25">
        <v>0</v>
      </c>
      <c r="W2666" s="24">
        <v>0</v>
      </c>
      <c r="X2666" s="24">
        <f>U2666-W2666</f>
        <v>0</v>
      </c>
      <c r="Y2666" s="53" t="str">
        <f>IF(U2666&lt;&gt;0,X2666/U2666,"")</f>
        <v/>
      </c>
      <c r="Z2666" s="23">
        <v>0</v>
      </c>
      <c r="AA2666" s="25">
        <v>0</v>
      </c>
      <c r="AB2666" s="24">
        <v>0</v>
      </c>
      <c r="AC2666" s="24">
        <f t="shared" si="746"/>
        <v>0</v>
      </c>
      <c r="AD2666" s="53" t="str">
        <f t="shared" si="747"/>
        <v/>
      </c>
      <c r="AE2666" s="10"/>
    </row>
    <row r="2667" spans="1:31" x14ac:dyDescent="0.25">
      <c r="A2667" s="14" t="s">
        <v>109</v>
      </c>
      <c r="C2667" s="61" t="str">
        <f t="shared" si="745"/>
        <v>C100137</v>
      </c>
      <c r="F2667" s="8" t="str">
        <f>"S100009"</f>
        <v>S100009</v>
      </c>
      <c r="G2667" s="9" t="str">
        <f>"Engraved Basketball Award"</f>
        <v>Engraved Basketball Award</v>
      </c>
      <c r="H2667" s="47"/>
      <c r="I2667" s="47"/>
      <c r="J2667" s="23">
        <v>0</v>
      </c>
      <c r="K2667" s="25">
        <v>0</v>
      </c>
      <c r="L2667" s="24">
        <v>0</v>
      </c>
      <c r="M2667" s="24">
        <f>J2667-L2667</f>
        <v>0</v>
      </c>
      <c r="N2667" s="53" t="str">
        <f>IF(J2667&lt;&gt;0,M2667/J2667,"")</f>
        <v/>
      </c>
      <c r="O2667" s="23">
        <v>18.57</v>
      </c>
      <c r="P2667" s="25">
        <v>1</v>
      </c>
      <c r="Q2667" s="24">
        <v>8.82</v>
      </c>
      <c r="R2667" s="24">
        <f>O2667-Q2667</f>
        <v>9.75</v>
      </c>
      <c r="S2667" s="53">
        <f>IF(O2667&lt;&gt;0,R2667/O2667,"")</f>
        <v>0.52504038772213246</v>
      </c>
      <c r="T2667" s="10"/>
      <c r="U2667" s="23">
        <v>0</v>
      </c>
      <c r="V2667" s="25">
        <v>0</v>
      </c>
      <c r="W2667" s="24">
        <v>0</v>
      </c>
      <c r="X2667" s="24">
        <f>U2667-W2667</f>
        <v>0</v>
      </c>
      <c r="Y2667" s="53" t="str">
        <f>IF(U2667&lt;&gt;0,X2667/U2667,"")</f>
        <v/>
      </c>
      <c r="Z2667" s="23">
        <v>0</v>
      </c>
      <c r="AA2667" s="25">
        <v>0</v>
      </c>
      <c r="AB2667" s="24">
        <v>0</v>
      </c>
      <c r="AC2667" s="24">
        <f t="shared" si="746"/>
        <v>0</v>
      </c>
      <c r="AD2667" s="53" t="str">
        <f t="shared" si="747"/>
        <v/>
      </c>
      <c r="AE2667" s="10"/>
    </row>
    <row r="2668" spans="1:31" x14ac:dyDescent="0.25">
      <c r="A2668" s="14" t="s">
        <v>109</v>
      </c>
      <c r="C2668" s="61" t="str">
        <f t="shared" si="745"/>
        <v>C100137</v>
      </c>
      <c r="F2668" s="8" t="str">
        <f>"S100010"</f>
        <v>S100010</v>
      </c>
      <c r="G2668" s="9" t="str">
        <f>"Golf Relaxed Cap"</f>
        <v>Golf Relaxed Cap</v>
      </c>
      <c r="H2668" s="47"/>
      <c r="I2668" s="47"/>
      <c r="J2668" s="23">
        <v>0</v>
      </c>
      <c r="K2668" s="25">
        <v>0</v>
      </c>
      <c r="L2668" s="24">
        <v>0</v>
      </c>
      <c r="M2668" s="24">
        <f>J2668-L2668</f>
        <v>0</v>
      </c>
      <c r="N2668" s="53" t="str">
        <f>IF(J2668&lt;&gt;0,M2668/J2668,"")</f>
        <v/>
      </c>
      <c r="O2668" s="23">
        <v>1457.3700000000001</v>
      </c>
      <c r="P2668" s="25">
        <v>146</v>
      </c>
      <c r="Q2668" s="24">
        <v>889.15</v>
      </c>
      <c r="R2668" s="24">
        <f>O2668-Q2668</f>
        <v>568.22000000000014</v>
      </c>
      <c r="S2668" s="53">
        <f>IF(O2668&lt;&gt;0,R2668/O2668,"")</f>
        <v>0.38989412434728321</v>
      </c>
      <c r="T2668" s="10"/>
      <c r="U2668" s="23">
        <v>0</v>
      </c>
      <c r="V2668" s="25">
        <v>0</v>
      </c>
      <c r="W2668" s="24">
        <v>0</v>
      </c>
      <c r="X2668" s="24">
        <f>U2668-W2668</f>
        <v>0</v>
      </c>
      <c r="Y2668" s="53" t="str">
        <f>IF(U2668&lt;&gt;0,X2668/U2668,"")</f>
        <v/>
      </c>
      <c r="Z2668" s="23">
        <v>0</v>
      </c>
      <c r="AA2668" s="25">
        <v>0</v>
      </c>
      <c r="AB2668" s="24">
        <v>0</v>
      </c>
      <c r="AC2668" s="24">
        <f t="shared" si="746"/>
        <v>0</v>
      </c>
      <c r="AD2668" s="53" t="str">
        <f t="shared" si="747"/>
        <v/>
      </c>
      <c r="AE2668" s="10"/>
    </row>
    <row r="2669" spans="1:31" x14ac:dyDescent="0.25">
      <c r="A2669" s="14" t="s">
        <v>109</v>
      </c>
      <c r="C2669" s="61" t="str">
        <f t="shared" si="745"/>
        <v>C100137</v>
      </c>
      <c r="F2669" s="8" t="str">
        <f>"S100012"</f>
        <v>S100012</v>
      </c>
      <c r="G2669" s="9" t="str">
        <f>"Raw-Edge Patch BALL CAP"</f>
        <v>Raw-Edge Patch BALL CAP</v>
      </c>
      <c r="H2669" s="47"/>
      <c r="I2669" s="47"/>
      <c r="J2669" s="23">
        <v>9.39</v>
      </c>
      <c r="K2669" s="25">
        <v>1</v>
      </c>
      <c r="L2669" s="24">
        <v>5.61</v>
      </c>
      <c r="M2669" s="24">
        <f>J2669-L2669</f>
        <v>3.7800000000000002</v>
      </c>
      <c r="N2669" s="53">
        <f>IF(J2669&lt;&gt;0,M2669/J2669,"")</f>
        <v>0.402555910543131</v>
      </c>
      <c r="O2669" s="23">
        <v>1516.31</v>
      </c>
      <c r="P2669" s="25">
        <v>150</v>
      </c>
      <c r="Q2669" s="24">
        <v>841.5</v>
      </c>
      <c r="R2669" s="24">
        <f>O2669-Q2669</f>
        <v>674.81</v>
      </c>
      <c r="S2669" s="53">
        <f>IF(O2669&lt;&gt;0,R2669/O2669,"")</f>
        <v>0.44503432675376403</v>
      </c>
      <c r="T2669" s="10"/>
      <c r="U2669" s="23">
        <v>0</v>
      </c>
      <c r="V2669" s="25">
        <v>0</v>
      </c>
      <c r="W2669" s="24">
        <v>0</v>
      </c>
      <c r="X2669" s="24">
        <f>U2669-W2669</f>
        <v>0</v>
      </c>
      <c r="Y2669" s="53" t="str">
        <f>IF(U2669&lt;&gt;0,X2669/U2669,"")</f>
        <v/>
      </c>
      <c r="Z2669" s="23">
        <v>0</v>
      </c>
      <c r="AA2669" s="25">
        <v>0</v>
      </c>
      <c r="AB2669" s="24">
        <v>0</v>
      </c>
      <c r="AC2669" s="24">
        <f t="shared" si="746"/>
        <v>0</v>
      </c>
      <c r="AD2669" s="53" t="str">
        <f t="shared" si="747"/>
        <v/>
      </c>
      <c r="AE2669" s="10"/>
    </row>
    <row r="2670" spans="1:31" x14ac:dyDescent="0.25">
      <c r="A2670" s="14" t="s">
        <v>109</v>
      </c>
      <c r="C2670" s="61" t="str">
        <f t="shared" si="745"/>
        <v>C100137</v>
      </c>
      <c r="F2670" s="8" t="str">
        <f>"S100013"</f>
        <v>S100013</v>
      </c>
      <c r="G2670" s="9" t="str">
        <f>"Mesh BALL CAP"</f>
        <v>Mesh BALL CAP</v>
      </c>
      <c r="H2670" s="47"/>
      <c r="I2670" s="47"/>
      <c r="J2670" s="23">
        <v>855.3599999999999</v>
      </c>
      <c r="K2670" s="25">
        <v>144</v>
      </c>
      <c r="L2670" s="24">
        <v>495.37</v>
      </c>
      <c r="M2670" s="24">
        <f>J2670-L2670</f>
        <v>359.9899999999999</v>
      </c>
      <c r="N2670" s="53">
        <f>IF(J2670&lt;&gt;0,M2670/J2670,"")</f>
        <v>0.42086372989150761</v>
      </c>
      <c r="O2670" s="23">
        <v>921.89</v>
      </c>
      <c r="P2670" s="25">
        <v>144</v>
      </c>
      <c r="Q2670" s="24">
        <v>495.37</v>
      </c>
      <c r="R2670" s="24">
        <f>O2670-Q2670</f>
        <v>426.52</v>
      </c>
      <c r="S2670" s="53">
        <f>IF(O2670&lt;&gt;0,R2670/O2670,"")</f>
        <v>0.46265823471346906</v>
      </c>
      <c r="T2670" s="10"/>
      <c r="U2670" s="23">
        <v>880.43999999999994</v>
      </c>
      <c r="V2670" s="25">
        <v>145</v>
      </c>
      <c r="W2670" s="24">
        <v>498.81000000000006</v>
      </c>
      <c r="X2670" s="24">
        <f>U2670-W2670</f>
        <v>381.62999999999988</v>
      </c>
      <c r="Y2670" s="53">
        <f>IF(U2670&lt;&gt;0,X2670/U2670,"")</f>
        <v>0.43345372768161361</v>
      </c>
      <c r="Z2670" s="23">
        <v>0</v>
      </c>
      <c r="AA2670" s="25">
        <v>0</v>
      </c>
      <c r="AB2670" s="24">
        <v>0</v>
      </c>
      <c r="AC2670" s="24">
        <f t="shared" si="746"/>
        <v>0</v>
      </c>
      <c r="AD2670" s="53" t="str">
        <f t="shared" si="747"/>
        <v/>
      </c>
      <c r="AE2670" s="10"/>
    </row>
    <row r="2671" spans="1:31" x14ac:dyDescent="0.25">
      <c r="A2671" s="14" t="s">
        <v>109</v>
      </c>
      <c r="C2671" s="61" t="str">
        <f t="shared" si="745"/>
        <v>C100137</v>
      </c>
      <c r="F2671" s="8" t="str">
        <f>"S100015"</f>
        <v>S100015</v>
      </c>
      <c r="G2671" s="9" t="str">
        <f>"Raw-Edge Bucket Hat"</f>
        <v>Raw-Edge Bucket Hat</v>
      </c>
      <c r="H2671" s="47"/>
      <c r="I2671" s="47"/>
      <c r="J2671" s="23">
        <v>0</v>
      </c>
      <c r="K2671" s="25">
        <v>0</v>
      </c>
      <c r="L2671" s="24">
        <v>0</v>
      </c>
      <c r="M2671" s="24">
        <f>J2671-L2671</f>
        <v>0</v>
      </c>
      <c r="N2671" s="53" t="str">
        <f>IF(J2671&lt;&gt;0,M2671/J2671,"")</f>
        <v/>
      </c>
      <c r="O2671" s="23">
        <v>168.49</v>
      </c>
      <c r="P2671" s="25">
        <v>24</v>
      </c>
      <c r="Q2671" s="24">
        <v>87.36</v>
      </c>
      <c r="R2671" s="24">
        <f>O2671-Q2671</f>
        <v>81.13000000000001</v>
      </c>
      <c r="S2671" s="53">
        <f>IF(O2671&lt;&gt;0,R2671/O2671,"")</f>
        <v>0.48151225592023267</v>
      </c>
      <c r="T2671" s="10"/>
      <c r="U2671" s="23">
        <v>0</v>
      </c>
      <c r="V2671" s="25">
        <v>0</v>
      </c>
      <c r="W2671" s="24">
        <v>0</v>
      </c>
      <c r="X2671" s="24">
        <f>U2671-W2671</f>
        <v>0</v>
      </c>
      <c r="Y2671" s="53" t="str">
        <f>IF(U2671&lt;&gt;0,X2671/U2671,"")</f>
        <v/>
      </c>
      <c r="Z2671" s="23">
        <v>0</v>
      </c>
      <c r="AA2671" s="25">
        <v>0</v>
      </c>
      <c r="AB2671" s="24">
        <v>0</v>
      </c>
      <c r="AC2671" s="24">
        <f t="shared" si="746"/>
        <v>0</v>
      </c>
      <c r="AD2671" s="53" t="str">
        <f t="shared" si="747"/>
        <v/>
      </c>
      <c r="AE2671" s="10"/>
    </row>
    <row r="2672" spans="1:31" x14ac:dyDescent="0.25">
      <c r="A2672" s="14" t="s">
        <v>109</v>
      </c>
      <c r="C2672" s="61" t="str">
        <f t="shared" si="745"/>
        <v>C100137</v>
      </c>
      <c r="F2672" s="8" t="str">
        <f>"S100016"</f>
        <v>S100016</v>
      </c>
      <c r="G2672" s="9" t="str">
        <f>"Mesh Bucket Hat"</f>
        <v>Mesh Bucket Hat</v>
      </c>
      <c r="H2672" s="47"/>
      <c r="I2672" s="47"/>
      <c r="J2672" s="23">
        <v>107.57000000000001</v>
      </c>
      <c r="K2672" s="25">
        <v>24</v>
      </c>
      <c r="L2672" s="24">
        <v>66</v>
      </c>
      <c r="M2672" s="24">
        <f>J2672-L2672</f>
        <v>41.570000000000007</v>
      </c>
      <c r="N2672" s="53">
        <f>IF(J2672&lt;&gt;0,M2672/J2672,"")</f>
        <v>0.38644603513990894</v>
      </c>
      <c r="O2672" s="23">
        <v>4.88</v>
      </c>
      <c r="P2672" s="25">
        <v>1</v>
      </c>
      <c r="Q2672" s="24">
        <v>2.75</v>
      </c>
      <c r="R2672" s="24">
        <f>O2672-Q2672</f>
        <v>2.13</v>
      </c>
      <c r="S2672" s="53">
        <f>IF(O2672&lt;&gt;0,R2672/O2672,"")</f>
        <v>0.43647540983606559</v>
      </c>
      <c r="T2672" s="10"/>
      <c r="U2672" s="23">
        <v>659.75</v>
      </c>
      <c r="V2672" s="25">
        <v>144</v>
      </c>
      <c r="W2672" s="24">
        <v>396.01</v>
      </c>
      <c r="X2672" s="24">
        <f>U2672-W2672</f>
        <v>263.74</v>
      </c>
      <c r="Y2672" s="53">
        <f>IF(U2672&lt;&gt;0,X2672/U2672,"")</f>
        <v>0.39975748389541493</v>
      </c>
      <c r="Z2672" s="23">
        <v>0</v>
      </c>
      <c r="AA2672" s="25">
        <v>0</v>
      </c>
      <c r="AB2672" s="24">
        <v>0</v>
      </c>
      <c r="AC2672" s="24">
        <f t="shared" si="746"/>
        <v>0</v>
      </c>
      <c r="AD2672" s="53" t="str">
        <f t="shared" si="747"/>
        <v/>
      </c>
      <c r="AE2672" s="10"/>
    </row>
    <row r="2673" spans="1:31" x14ac:dyDescent="0.25">
      <c r="A2673" s="14" t="s">
        <v>109</v>
      </c>
      <c r="C2673" s="61" t="str">
        <f t="shared" si="745"/>
        <v>C100137</v>
      </c>
      <c r="F2673" s="8" t="str">
        <f>"S100017"</f>
        <v>S100017</v>
      </c>
      <c r="G2673" s="9" t="str">
        <f>"Microfiber Bucket Hat"</f>
        <v>Microfiber Bucket Hat</v>
      </c>
      <c r="H2673" s="47"/>
      <c r="I2673" s="47"/>
      <c r="J2673" s="23">
        <v>956.44999999999993</v>
      </c>
      <c r="K2673" s="25">
        <v>144</v>
      </c>
      <c r="L2673" s="24">
        <v>685.44</v>
      </c>
      <c r="M2673" s="24">
        <f>J2673-L2673</f>
        <v>271.00999999999988</v>
      </c>
      <c r="N2673" s="53">
        <f>IF(J2673&lt;&gt;0,M2673/J2673,"")</f>
        <v>0.28334988760520663</v>
      </c>
      <c r="O2673" s="23">
        <v>0</v>
      </c>
      <c r="P2673" s="25">
        <v>0</v>
      </c>
      <c r="Q2673" s="24">
        <v>0</v>
      </c>
      <c r="R2673" s="24">
        <f>O2673-Q2673</f>
        <v>0</v>
      </c>
      <c r="S2673" s="53" t="str">
        <f>IF(O2673&lt;&gt;0,R2673/O2673,"")</f>
        <v/>
      </c>
      <c r="T2673" s="10"/>
      <c r="U2673" s="23">
        <v>0</v>
      </c>
      <c r="V2673" s="25">
        <v>0</v>
      </c>
      <c r="W2673" s="24">
        <v>0</v>
      </c>
      <c r="X2673" s="24">
        <f>U2673-W2673</f>
        <v>0</v>
      </c>
      <c r="Y2673" s="53" t="str">
        <f>IF(U2673&lt;&gt;0,X2673/U2673,"")</f>
        <v/>
      </c>
      <c r="Z2673" s="23">
        <v>0</v>
      </c>
      <c r="AA2673" s="25">
        <v>0</v>
      </c>
      <c r="AB2673" s="24">
        <v>0</v>
      </c>
      <c r="AC2673" s="24">
        <f t="shared" si="746"/>
        <v>0</v>
      </c>
      <c r="AD2673" s="53" t="str">
        <f t="shared" si="747"/>
        <v/>
      </c>
      <c r="AE2673" s="10"/>
    </row>
    <row r="2674" spans="1:31" x14ac:dyDescent="0.25">
      <c r="A2674" s="14" t="s">
        <v>109</v>
      </c>
      <c r="C2674" s="61" t="str">
        <f t="shared" si="745"/>
        <v>C100137</v>
      </c>
      <c r="F2674" s="8" t="str">
        <f>"S100018"</f>
        <v>S100018</v>
      </c>
      <c r="G2674" s="9" t="str">
        <f>"Crusher Bucket Hat"</f>
        <v>Crusher Bucket Hat</v>
      </c>
      <c r="H2674" s="47"/>
      <c r="I2674" s="47"/>
      <c r="J2674" s="23">
        <v>961.63000000000011</v>
      </c>
      <c r="K2674" s="25">
        <v>144</v>
      </c>
      <c r="L2674" s="24">
        <v>504</v>
      </c>
      <c r="M2674" s="24">
        <f>J2674-L2674</f>
        <v>457.63000000000011</v>
      </c>
      <c r="N2674" s="53">
        <f>IF(J2674&lt;&gt;0,M2674/J2674,"")</f>
        <v>0.47588989528196923</v>
      </c>
      <c r="O2674" s="23">
        <v>1015.0600000000001</v>
      </c>
      <c r="P2674" s="25">
        <v>144</v>
      </c>
      <c r="Q2674" s="24">
        <v>504</v>
      </c>
      <c r="R2674" s="24">
        <f>O2674-Q2674</f>
        <v>511.06000000000006</v>
      </c>
      <c r="S2674" s="53">
        <f>IF(O2674&lt;&gt;0,R2674/O2674,"")</f>
        <v>0.50347762693830911</v>
      </c>
      <c r="T2674" s="10"/>
      <c r="U2674" s="23">
        <v>0</v>
      </c>
      <c r="V2674" s="25">
        <v>0</v>
      </c>
      <c r="W2674" s="24">
        <v>0</v>
      </c>
      <c r="X2674" s="24">
        <f>U2674-W2674</f>
        <v>0</v>
      </c>
      <c r="Y2674" s="53" t="str">
        <f>IF(U2674&lt;&gt;0,X2674/U2674,"")</f>
        <v/>
      </c>
      <c r="Z2674" s="23">
        <v>0</v>
      </c>
      <c r="AA2674" s="25">
        <v>0</v>
      </c>
      <c r="AB2674" s="24">
        <v>0</v>
      </c>
      <c r="AC2674" s="24">
        <f t="shared" si="746"/>
        <v>0</v>
      </c>
      <c r="AD2674" s="53" t="str">
        <f t="shared" si="747"/>
        <v/>
      </c>
      <c r="AE2674" s="10"/>
    </row>
    <row r="2675" spans="1:31" x14ac:dyDescent="0.25">
      <c r="A2675" s="14" t="s">
        <v>109</v>
      </c>
      <c r="C2675" s="61" t="str">
        <f t="shared" si="745"/>
        <v>C100137</v>
      </c>
      <c r="F2675" s="8" t="str">
        <f>"S100019"</f>
        <v>S100019</v>
      </c>
      <c r="G2675" s="9" t="str">
        <f>"Sportsman Bucket Hat"</f>
        <v>Sportsman Bucket Hat</v>
      </c>
      <c r="H2675" s="47"/>
      <c r="I2675" s="47"/>
      <c r="J2675" s="23">
        <v>598.99</v>
      </c>
      <c r="K2675" s="25">
        <v>145</v>
      </c>
      <c r="L2675" s="24">
        <v>352.36</v>
      </c>
      <c r="M2675" s="24">
        <f>J2675-L2675</f>
        <v>246.63</v>
      </c>
      <c r="N2675" s="53">
        <f>IF(J2675&lt;&gt;0,M2675/J2675,"")</f>
        <v>0.41174310088649224</v>
      </c>
      <c r="O2675" s="23">
        <v>26.990000000000002</v>
      </c>
      <c r="P2675" s="25">
        <v>6</v>
      </c>
      <c r="Q2675" s="24">
        <v>14.58</v>
      </c>
      <c r="R2675" s="24">
        <f>O2675-Q2675</f>
        <v>12.410000000000002</v>
      </c>
      <c r="S2675" s="53">
        <f>IF(O2675&lt;&gt;0,R2675/O2675,"")</f>
        <v>0.45979992589848095</v>
      </c>
      <c r="T2675" s="10"/>
      <c r="U2675" s="23">
        <v>0</v>
      </c>
      <c r="V2675" s="25">
        <v>0</v>
      </c>
      <c r="W2675" s="24">
        <v>0</v>
      </c>
      <c r="X2675" s="24">
        <f>U2675-W2675</f>
        <v>0</v>
      </c>
      <c r="Y2675" s="53" t="str">
        <f>IF(U2675&lt;&gt;0,X2675/U2675,"")</f>
        <v/>
      </c>
      <c r="Z2675" s="23">
        <v>0</v>
      </c>
      <c r="AA2675" s="25">
        <v>0</v>
      </c>
      <c r="AB2675" s="24">
        <v>0</v>
      </c>
      <c r="AC2675" s="24">
        <f t="shared" si="746"/>
        <v>0</v>
      </c>
      <c r="AD2675" s="53" t="str">
        <f t="shared" si="747"/>
        <v/>
      </c>
      <c r="AE2675" s="10"/>
    </row>
    <row r="2676" spans="1:31" x14ac:dyDescent="0.25">
      <c r="A2676" s="14" t="s">
        <v>109</v>
      </c>
      <c r="C2676" s="61" t="str">
        <f t="shared" si="745"/>
        <v>C100137</v>
      </c>
      <c r="F2676" s="8" t="str">
        <f>"S100020"</f>
        <v>S100020</v>
      </c>
      <c r="G2676" s="9" t="str">
        <f>"Super Sport Stopwatch"</f>
        <v>Super Sport Stopwatch</v>
      </c>
      <c r="H2676" s="47"/>
      <c r="I2676" s="47"/>
      <c r="J2676" s="23">
        <v>1.96</v>
      </c>
      <c r="K2676" s="25">
        <v>1</v>
      </c>
      <c r="L2676" s="24">
        <v>1.05</v>
      </c>
      <c r="M2676" s="24">
        <f>J2676-L2676</f>
        <v>0.90999999999999992</v>
      </c>
      <c r="N2676" s="53">
        <f>IF(J2676&lt;&gt;0,M2676/J2676,"")</f>
        <v>0.46428571428571425</v>
      </c>
      <c r="O2676" s="23">
        <v>2.11</v>
      </c>
      <c r="P2676" s="25">
        <v>1</v>
      </c>
      <c r="Q2676" s="24">
        <v>1.05</v>
      </c>
      <c r="R2676" s="24">
        <f>O2676-Q2676</f>
        <v>1.0599999999999998</v>
      </c>
      <c r="S2676" s="53">
        <f>IF(O2676&lt;&gt;0,R2676/O2676,"")</f>
        <v>0.50236966824644547</v>
      </c>
      <c r="T2676" s="10"/>
      <c r="U2676" s="23">
        <v>0</v>
      </c>
      <c r="V2676" s="25">
        <v>0</v>
      </c>
      <c r="W2676" s="24">
        <v>0</v>
      </c>
      <c r="X2676" s="24">
        <f>U2676-W2676</f>
        <v>0</v>
      </c>
      <c r="Y2676" s="53" t="str">
        <f>IF(U2676&lt;&gt;0,X2676/U2676,"")</f>
        <v/>
      </c>
      <c r="Z2676" s="23">
        <v>0</v>
      </c>
      <c r="AA2676" s="25">
        <v>0</v>
      </c>
      <c r="AB2676" s="24">
        <v>0</v>
      </c>
      <c r="AC2676" s="24">
        <f t="shared" si="746"/>
        <v>0</v>
      </c>
      <c r="AD2676" s="53" t="str">
        <f t="shared" si="747"/>
        <v/>
      </c>
      <c r="AE2676" s="10"/>
    </row>
    <row r="2677" spans="1:31" x14ac:dyDescent="0.25">
      <c r="A2677" s="14" t="s">
        <v>109</v>
      </c>
      <c r="C2677" s="61" t="str">
        <f t="shared" si="745"/>
        <v>C100137</v>
      </c>
      <c r="F2677" s="8" t="str">
        <f>"S100021"</f>
        <v>S100021</v>
      </c>
      <c r="G2677" s="9" t="str">
        <f>"Translucent Stopwatch"</f>
        <v>Translucent Stopwatch</v>
      </c>
      <c r="H2677" s="47"/>
      <c r="I2677" s="47"/>
      <c r="J2677" s="23">
        <v>0</v>
      </c>
      <c r="K2677" s="25">
        <v>0</v>
      </c>
      <c r="L2677" s="24">
        <v>0</v>
      </c>
      <c r="M2677" s="24">
        <f>J2677-L2677</f>
        <v>0</v>
      </c>
      <c r="N2677" s="53" t="str">
        <f>IF(J2677&lt;&gt;0,M2677/J2677,"")</f>
        <v/>
      </c>
      <c r="O2677" s="23">
        <v>199.16</v>
      </c>
      <c r="P2677" s="25">
        <v>49</v>
      </c>
      <c r="Q2677" s="24">
        <v>105.35000000000001</v>
      </c>
      <c r="R2677" s="24">
        <f>O2677-Q2677</f>
        <v>93.809999999999988</v>
      </c>
      <c r="S2677" s="53">
        <f>IF(O2677&lt;&gt;0,R2677/O2677,"")</f>
        <v>0.47102831893954605</v>
      </c>
      <c r="T2677" s="10"/>
      <c r="U2677" s="23">
        <v>0</v>
      </c>
      <c r="V2677" s="25">
        <v>0</v>
      </c>
      <c r="W2677" s="24">
        <v>0</v>
      </c>
      <c r="X2677" s="24">
        <f>U2677-W2677</f>
        <v>0</v>
      </c>
      <c r="Y2677" s="53" t="str">
        <f>IF(U2677&lt;&gt;0,X2677/U2677,"")</f>
        <v/>
      </c>
      <c r="Z2677" s="23">
        <v>0</v>
      </c>
      <c r="AA2677" s="25">
        <v>0</v>
      </c>
      <c r="AB2677" s="24">
        <v>0</v>
      </c>
      <c r="AC2677" s="24">
        <f t="shared" si="746"/>
        <v>0</v>
      </c>
      <c r="AD2677" s="53" t="str">
        <f t="shared" si="747"/>
        <v/>
      </c>
      <c r="AE2677" s="10"/>
    </row>
    <row r="2678" spans="1:31" ht="15.75" thickBot="1" x14ac:dyDescent="0.3">
      <c r="A2678" s="14" t="s">
        <v>109</v>
      </c>
      <c r="C2678" s="61" t="str">
        <f>C2640</f>
        <v>C100137</v>
      </c>
      <c r="J2678" s="10"/>
      <c r="K2678" s="11"/>
      <c r="L2678" s="11"/>
      <c r="M2678" s="11"/>
      <c r="N2678" s="12"/>
      <c r="O2678" s="10"/>
      <c r="P2678" s="11"/>
      <c r="Q2678" s="11"/>
      <c r="R2678" s="11"/>
      <c r="S2678" s="12"/>
      <c r="U2678" s="10"/>
      <c r="V2678" s="11"/>
      <c r="W2678" s="11"/>
      <c r="X2678" s="11"/>
      <c r="Y2678" s="12"/>
      <c r="Z2678" s="10"/>
      <c r="AA2678" s="11"/>
      <c r="AB2678" s="11"/>
      <c r="AC2678" s="11"/>
      <c r="AD2678" s="12"/>
    </row>
    <row r="2679" spans="1:31" ht="15.75" thickBot="1" x14ac:dyDescent="0.3">
      <c r="A2679" s="14" t="s">
        <v>109</v>
      </c>
      <c r="C2679" s="61" t="str">
        <f t="shared" si="742"/>
        <v>C100137</v>
      </c>
      <c r="G2679" s="48" t="str">
        <f>C2679&amp;" TOTAL:"</f>
        <v>C100137 TOTAL:</v>
      </c>
      <c r="H2679" s="50"/>
      <c r="I2679" s="50"/>
      <c r="J2679" s="34">
        <f>SUBTOTAL(9,J2639:J2678)</f>
        <v>19120.72</v>
      </c>
      <c r="K2679" s="35">
        <f>SUBTOTAL(9,K2639:K2678)</f>
        <v>1264</v>
      </c>
      <c r="L2679" s="36">
        <f>SUBTOTAL(9,L2639:L2678)</f>
        <v>12098.740000000002</v>
      </c>
      <c r="M2679" s="36">
        <f>J2679-L2679</f>
        <v>7021.98</v>
      </c>
      <c r="N2679" s="37">
        <f>IF(J2679&lt;&gt;0,M2679/J2679,"")</f>
        <v>0.36724453890857661</v>
      </c>
      <c r="O2679" s="34">
        <f>SUBTOTAL(9,O2639:O2678)</f>
        <v>58880.969999999979</v>
      </c>
      <c r="P2679" s="35">
        <f>SUBTOTAL(9,P2639:P2678)</f>
        <v>5112</v>
      </c>
      <c r="Q2679" s="36">
        <f>SUBTOTAL(9,Q2639:Q2678)</f>
        <v>31872.069999999992</v>
      </c>
      <c r="R2679" s="36">
        <f>O2679-Q2679</f>
        <v>27008.899999999987</v>
      </c>
      <c r="S2679" s="37">
        <f>IF(O2679&lt;&gt;0,R2679/O2679,"")</f>
        <v>0.45870338073574529</v>
      </c>
      <c r="U2679" s="34">
        <f>SUBTOTAL(9,U2639:U2678)</f>
        <v>13705.47</v>
      </c>
      <c r="V2679" s="35">
        <f>SUBTOTAL(9,V2639:V2678)</f>
        <v>1341</v>
      </c>
      <c r="W2679" s="36">
        <f>SUBTOTAL(9,W2639:W2678)</f>
        <v>7804.7300000000014</v>
      </c>
      <c r="X2679" s="36">
        <f>U2679-W2679</f>
        <v>5900.739999999998</v>
      </c>
      <c r="Y2679" s="37">
        <f>IF(U2679&lt;&gt;0,X2679/U2679,"")</f>
        <v>0.43053904754816857</v>
      </c>
      <c r="Z2679" s="34">
        <f>SUBTOTAL(9,Z2639:Z2678)</f>
        <v>0</v>
      </c>
      <c r="AA2679" s="35">
        <f>SUBTOTAL(9,AA2639:AA2678)</f>
        <v>0</v>
      </c>
      <c r="AB2679" s="36">
        <f>SUBTOTAL(9,AB2639:AB2678)</f>
        <v>0</v>
      </c>
      <c r="AC2679" s="36">
        <f t="shared" ref="AC2679" si="748">Z2679-AB2679</f>
        <v>0</v>
      </c>
      <c r="AD2679" s="37" t="str">
        <f t="shared" ref="AD2679" si="749">IF(Z2679&lt;&gt;0,AC2679/Z2679,"")</f>
        <v/>
      </c>
    </row>
    <row r="2680" spans="1:31" x14ac:dyDescent="0.25">
      <c r="A2680" s="14" t="s">
        <v>109</v>
      </c>
      <c r="C2680" s="66"/>
      <c r="J2680" s="10"/>
      <c r="K2680" s="11"/>
      <c r="L2680" s="11"/>
      <c r="M2680" s="11"/>
      <c r="N2680" s="12"/>
      <c r="O2680" s="10"/>
      <c r="P2680" s="11"/>
      <c r="Q2680" s="11"/>
      <c r="R2680" s="11"/>
      <c r="S2680" s="12"/>
      <c r="U2680" s="10"/>
      <c r="V2680" s="11"/>
      <c r="W2680" s="11"/>
      <c r="X2680" s="11"/>
      <c r="Y2680" s="12"/>
      <c r="Z2680" s="10"/>
      <c r="AA2680" s="11"/>
      <c r="AB2680" s="11"/>
      <c r="AC2680" s="11"/>
      <c r="AD2680" s="12"/>
    </row>
    <row r="2681" spans="1:31" ht="15.75" x14ac:dyDescent="0.25">
      <c r="A2681" s="14" t="s">
        <v>109</v>
      </c>
      <c r="C2681" s="66" t="str">
        <f t="shared" ref="C2681" si="750">E2681</f>
        <v>C100138</v>
      </c>
      <c r="E2681" s="13" t="str">
        <f>"C100138"</f>
        <v>C100138</v>
      </c>
      <c r="F2681" s="13"/>
      <c r="G2681" s="13" t="str">
        <f>"Dantons"</f>
        <v>Dantons</v>
      </c>
      <c r="H2681" s="13"/>
      <c r="I2681" s="13"/>
      <c r="J2681" s="10"/>
      <c r="K2681" s="11"/>
      <c r="L2681" s="11"/>
      <c r="M2681" s="11"/>
      <c r="N2681" s="12"/>
      <c r="O2681" s="10"/>
      <c r="P2681" s="11"/>
      <c r="Q2681" s="11"/>
      <c r="R2681" s="11"/>
      <c r="S2681" s="12"/>
      <c r="U2681" s="10"/>
      <c r="V2681" s="11"/>
      <c r="W2681" s="11"/>
      <c r="X2681" s="11"/>
      <c r="Y2681" s="12"/>
      <c r="Z2681" s="10"/>
      <c r="AA2681" s="11"/>
      <c r="AB2681" s="11"/>
      <c r="AC2681" s="11"/>
      <c r="AD2681" s="12"/>
    </row>
    <row r="2682" spans="1:31" ht="6.6" customHeight="1" x14ac:dyDescent="0.25">
      <c r="A2682" s="14" t="s">
        <v>109</v>
      </c>
      <c r="C2682" s="61" t="str">
        <f t="shared" ref="C2682:C2731" si="751">C2681</f>
        <v>C100138</v>
      </c>
      <c r="J2682" s="10"/>
      <c r="K2682" s="11"/>
      <c r="L2682" s="11"/>
      <c r="M2682" s="11"/>
      <c r="N2682" s="12"/>
      <c r="O2682" s="10"/>
      <c r="P2682" s="11"/>
      <c r="Q2682" s="11"/>
      <c r="R2682" s="11"/>
      <c r="S2682" s="12"/>
      <c r="U2682" s="10"/>
      <c r="V2682" s="11"/>
      <c r="W2682" s="11"/>
      <c r="X2682" s="11"/>
      <c r="Y2682" s="12"/>
      <c r="Z2682" s="10"/>
      <c r="AA2682" s="11"/>
      <c r="AB2682" s="11"/>
      <c r="AC2682" s="11"/>
      <c r="AD2682" s="12"/>
    </row>
    <row r="2683" spans="1:31" x14ac:dyDescent="0.25">
      <c r="A2683" s="14" t="s">
        <v>109</v>
      </c>
      <c r="C2683" s="61" t="str">
        <f t="shared" si="751"/>
        <v>C100138</v>
      </c>
      <c r="F2683" s="8" t="str">
        <f>"C100003"</f>
        <v>C100003</v>
      </c>
      <c r="G2683" s="9" t="str">
        <f>"Cherry Finish Frame"</f>
        <v>Cherry Finish Frame</v>
      </c>
      <c r="H2683" s="47"/>
      <c r="I2683" s="47"/>
      <c r="J2683" s="23">
        <v>9385.11</v>
      </c>
      <c r="K2683" s="25">
        <v>144</v>
      </c>
      <c r="L2683" s="24">
        <v>4700.1499999999996</v>
      </c>
      <c r="M2683" s="24">
        <f>J2683-L2683</f>
        <v>4684.9600000000009</v>
      </c>
      <c r="N2683" s="53">
        <f>IF(J2683&lt;&gt;0,M2683/J2683,"")</f>
        <v>0.49919073937332653</v>
      </c>
      <c r="O2683" s="23">
        <v>0</v>
      </c>
      <c r="P2683" s="25">
        <v>0</v>
      </c>
      <c r="Q2683" s="24">
        <v>0</v>
      </c>
      <c r="R2683" s="24">
        <f>O2683-Q2683</f>
        <v>0</v>
      </c>
      <c r="S2683" s="53" t="str">
        <f>IF(O2683&lt;&gt;0,R2683/O2683,"")</f>
        <v/>
      </c>
      <c r="T2683" s="10"/>
      <c r="U2683" s="23">
        <v>18965.75</v>
      </c>
      <c r="V2683" s="25">
        <v>288</v>
      </c>
      <c r="W2683" s="24">
        <v>9400.2999999999993</v>
      </c>
      <c r="X2683" s="24">
        <f>U2683-W2683</f>
        <v>9565.4500000000007</v>
      </c>
      <c r="Y2683" s="53">
        <f>IF(U2683&lt;&gt;0,X2683/U2683,"")</f>
        <v>0.5043539011112137</v>
      </c>
      <c r="Z2683" s="23">
        <v>0</v>
      </c>
      <c r="AA2683" s="25">
        <v>0</v>
      </c>
      <c r="AB2683" s="24">
        <v>0</v>
      </c>
      <c r="AC2683" s="24">
        <f t="shared" ref="AC2683" si="752">Z2683-AB2683</f>
        <v>0</v>
      </c>
      <c r="AD2683" s="53" t="str">
        <f t="shared" ref="AD2683" si="753">IF(Z2683&lt;&gt;0,AC2683/Z2683,"")</f>
        <v/>
      </c>
      <c r="AE2683" s="10"/>
    </row>
    <row r="2684" spans="1:31" x14ac:dyDescent="0.25">
      <c r="A2684" s="14" t="s">
        <v>109</v>
      </c>
      <c r="C2684" s="61" t="str">
        <f t="shared" ref="C2684:C2729" si="754">C2683</f>
        <v>C100138</v>
      </c>
      <c r="F2684" s="8" t="str">
        <f>"C100004"</f>
        <v>C100004</v>
      </c>
      <c r="G2684" s="9" t="str">
        <f>"Walnut Medallian Plate"</f>
        <v>Walnut Medallian Plate</v>
      </c>
      <c r="H2684" s="47"/>
      <c r="I2684" s="47"/>
      <c r="J2684" s="23">
        <v>8376.880000000001</v>
      </c>
      <c r="K2684" s="25">
        <v>144</v>
      </c>
      <c r="L2684" s="24">
        <v>4406.3899999999994</v>
      </c>
      <c r="M2684" s="24">
        <f>J2684-L2684</f>
        <v>3970.4900000000016</v>
      </c>
      <c r="N2684" s="53">
        <f>IF(J2684&lt;&gt;0,M2684/J2684,"")</f>
        <v>0.47398195987050085</v>
      </c>
      <c r="O2684" s="23">
        <v>0</v>
      </c>
      <c r="P2684" s="25">
        <v>0</v>
      </c>
      <c r="Q2684" s="24">
        <v>0</v>
      </c>
      <c r="R2684" s="24">
        <f>O2684-Q2684</f>
        <v>0</v>
      </c>
      <c r="S2684" s="53" t="str">
        <f>IF(O2684&lt;&gt;0,R2684/O2684,"")</f>
        <v/>
      </c>
      <c r="T2684" s="10"/>
      <c r="U2684" s="23">
        <v>0</v>
      </c>
      <c r="V2684" s="25">
        <v>0</v>
      </c>
      <c r="W2684" s="24">
        <v>0</v>
      </c>
      <c r="X2684" s="24">
        <f>U2684-W2684</f>
        <v>0</v>
      </c>
      <c r="Y2684" s="53" t="str">
        <f>IF(U2684&lt;&gt;0,X2684/U2684,"")</f>
        <v/>
      </c>
      <c r="Z2684" s="23">
        <v>0</v>
      </c>
      <c r="AA2684" s="25">
        <v>0</v>
      </c>
      <c r="AB2684" s="24">
        <v>0</v>
      </c>
      <c r="AC2684" s="24">
        <f t="shared" ref="AC2684:AC2729" si="755">Z2684-AB2684</f>
        <v>0</v>
      </c>
      <c r="AD2684" s="53" t="str">
        <f t="shared" ref="AD2684:AD2729" si="756">IF(Z2684&lt;&gt;0,AC2684/Z2684,"")</f>
        <v/>
      </c>
      <c r="AE2684" s="10"/>
    </row>
    <row r="2685" spans="1:31" x14ac:dyDescent="0.25">
      <c r="A2685" s="14" t="s">
        <v>109</v>
      </c>
      <c r="C2685" s="61" t="str">
        <f t="shared" si="754"/>
        <v>C100138</v>
      </c>
      <c r="F2685" s="8" t="str">
        <f>"C100005"</f>
        <v>C100005</v>
      </c>
      <c r="G2685" s="9" t="str">
        <f>"Cherry Finished Crystal Award"</f>
        <v>Cherry Finished Crystal Award</v>
      </c>
      <c r="H2685" s="47"/>
      <c r="I2685" s="47"/>
      <c r="J2685" s="23">
        <v>6672.96</v>
      </c>
      <c r="K2685" s="25">
        <v>49</v>
      </c>
      <c r="L2685" s="24">
        <v>3475.57</v>
      </c>
      <c r="M2685" s="24">
        <f>J2685-L2685</f>
        <v>3197.39</v>
      </c>
      <c r="N2685" s="53">
        <f>IF(J2685&lt;&gt;0,M2685/J2685,"")</f>
        <v>0.47915617656931853</v>
      </c>
      <c r="O2685" s="23">
        <v>817.43999999999994</v>
      </c>
      <c r="P2685" s="25">
        <v>6</v>
      </c>
      <c r="Q2685" s="24">
        <v>425.58</v>
      </c>
      <c r="R2685" s="24">
        <f>O2685-Q2685</f>
        <v>391.85999999999996</v>
      </c>
      <c r="S2685" s="53">
        <f>IF(O2685&lt;&gt;0,R2685/O2685,"")</f>
        <v>0.47937463300058719</v>
      </c>
      <c r="T2685" s="10"/>
      <c r="U2685" s="23">
        <v>0</v>
      </c>
      <c r="V2685" s="25">
        <v>0</v>
      </c>
      <c r="W2685" s="24">
        <v>0</v>
      </c>
      <c r="X2685" s="24">
        <f>U2685-W2685</f>
        <v>0</v>
      </c>
      <c r="Y2685" s="53" t="str">
        <f>IF(U2685&lt;&gt;0,X2685/U2685,"")</f>
        <v/>
      </c>
      <c r="Z2685" s="23">
        <v>0</v>
      </c>
      <c r="AA2685" s="25">
        <v>0</v>
      </c>
      <c r="AB2685" s="24">
        <v>0</v>
      </c>
      <c r="AC2685" s="24">
        <f t="shared" si="755"/>
        <v>0</v>
      </c>
      <c r="AD2685" s="53" t="str">
        <f t="shared" si="756"/>
        <v/>
      </c>
      <c r="AE2685" s="10"/>
    </row>
    <row r="2686" spans="1:31" x14ac:dyDescent="0.25">
      <c r="A2686" s="14" t="s">
        <v>109</v>
      </c>
      <c r="C2686" s="61" t="str">
        <f t="shared" si="754"/>
        <v>C100138</v>
      </c>
      <c r="F2686" s="8" t="str">
        <f>"C100006"</f>
        <v>C100006</v>
      </c>
      <c r="G2686" s="9" t="str">
        <f>"Cherry Finished Crystal Award- Large"</f>
        <v>Cherry Finished Crystal Award- Large</v>
      </c>
      <c r="H2686" s="47"/>
      <c r="I2686" s="47"/>
      <c r="J2686" s="23">
        <v>0</v>
      </c>
      <c r="K2686" s="25">
        <v>0</v>
      </c>
      <c r="L2686" s="24">
        <v>0</v>
      </c>
      <c r="M2686" s="24">
        <f>J2686-L2686</f>
        <v>0</v>
      </c>
      <c r="N2686" s="53" t="str">
        <f>IF(J2686&lt;&gt;0,M2686/J2686,"")</f>
        <v/>
      </c>
      <c r="O2686" s="23">
        <v>4917.8</v>
      </c>
      <c r="P2686" s="25">
        <v>24</v>
      </c>
      <c r="Q2686" s="24">
        <v>2280.96</v>
      </c>
      <c r="R2686" s="24">
        <f>O2686-Q2686</f>
        <v>2636.84</v>
      </c>
      <c r="S2686" s="53">
        <f>IF(O2686&lt;&gt;0,R2686/O2686,"")</f>
        <v>0.53618284598804344</v>
      </c>
      <c r="T2686" s="10"/>
      <c r="U2686" s="23">
        <v>0</v>
      </c>
      <c r="V2686" s="25">
        <v>0</v>
      </c>
      <c r="W2686" s="24">
        <v>0</v>
      </c>
      <c r="X2686" s="24">
        <f>U2686-W2686</f>
        <v>0</v>
      </c>
      <c r="Y2686" s="53" t="str">
        <f>IF(U2686&lt;&gt;0,X2686/U2686,"")</f>
        <v/>
      </c>
      <c r="Z2686" s="23">
        <v>0</v>
      </c>
      <c r="AA2686" s="25">
        <v>0</v>
      </c>
      <c r="AB2686" s="24">
        <v>0</v>
      </c>
      <c r="AC2686" s="24">
        <f t="shared" si="755"/>
        <v>0</v>
      </c>
      <c r="AD2686" s="53" t="str">
        <f t="shared" si="756"/>
        <v/>
      </c>
      <c r="AE2686" s="10"/>
    </row>
    <row r="2687" spans="1:31" x14ac:dyDescent="0.25">
      <c r="A2687" s="14" t="s">
        <v>109</v>
      </c>
      <c r="C2687" s="61" t="str">
        <f t="shared" si="754"/>
        <v>C100138</v>
      </c>
      <c r="F2687" s="8" t="str">
        <f>"C100017"</f>
        <v>C100017</v>
      </c>
      <c r="G2687" s="9" t="str">
        <f>"Wheeled Duffel"</f>
        <v>Wheeled Duffel</v>
      </c>
      <c r="H2687" s="47"/>
      <c r="I2687" s="47"/>
      <c r="J2687" s="23">
        <v>4547.12</v>
      </c>
      <c r="K2687" s="25">
        <v>24</v>
      </c>
      <c r="L2687" s="24">
        <v>2429.2800000000002</v>
      </c>
      <c r="M2687" s="24">
        <f>J2687-L2687</f>
        <v>2117.8399999999997</v>
      </c>
      <c r="N2687" s="53">
        <f>IF(J2687&lt;&gt;0,M2687/J2687,"")</f>
        <v>0.46575414768028989</v>
      </c>
      <c r="O2687" s="23">
        <v>0</v>
      </c>
      <c r="P2687" s="25">
        <v>0</v>
      </c>
      <c r="Q2687" s="24">
        <v>0</v>
      </c>
      <c r="R2687" s="24">
        <f>O2687-Q2687</f>
        <v>0</v>
      </c>
      <c r="S2687" s="53" t="str">
        <f>IF(O2687&lt;&gt;0,R2687/O2687,"")</f>
        <v/>
      </c>
      <c r="T2687" s="10"/>
      <c r="U2687" s="23">
        <v>0</v>
      </c>
      <c r="V2687" s="25">
        <v>0</v>
      </c>
      <c r="W2687" s="24">
        <v>0</v>
      </c>
      <c r="X2687" s="24">
        <f>U2687-W2687</f>
        <v>0</v>
      </c>
      <c r="Y2687" s="53" t="str">
        <f>IF(U2687&lt;&gt;0,X2687/U2687,"")</f>
        <v/>
      </c>
      <c r="Z2687" s="23">
        <v>4547.12</v>
      </c>
      <c r="AA2687" s="25">
        <v>24</v>
      </c>
      <c r="AB2687" s="24">
        <v>2429.2800000000002</v>
      </c>
      <c r="AC2687" s="24">
        <f t="shared" si="755"/>
        <v>2117.8399999999997</v>
      </c>
      <c r="AD2687" s="53">
        <f t="shared" si="756"/>
        <v>0.46575414768028989</v>
      </c>
      <c r="AE2687" s="10"/>
    </row>
    <row r="2688" spans="1:31" x14ac:dyDescent="0.25">
      <c r="A2688" s="14" t="s">
        <v>109</v>
      </c>
      <c r="C2688" s="61" t="str">
        <f t="shared" si="754"/>
        <v>C100138</v>
      </c>
      <c r="F2688" s="8" t="str">
        <f>"C100018"</f>
        <v>C100018</v>
      </c>
      <c r="G2688" s="9" t="str">
        <f>"Action Sport Duffel"</f>
        <v>Action Sport Duffel</v>
      </c>
      <c r="H2688" s="47"/>
      <c r="I2688" s="47"/>
      <c r="J2688" s="23">
        <v>0</v>
      </c>
      <c r="K2688" s="25">
        <v>0</v>
      </c>
      <c r="L2688" s="24">
        <v>0</v>
      </c>
      <c r="M2688" s="24">
        <f>J2688-L2688</f>
        <v>0</v>
      </c>
      <c r="N2688" s="53" t="str">
        <f>IF(J2688&lt;&gt;0,M2688/J2688,"")</f>
        <v/>
      </c>
      <c r="O2688" s="23">
        <v>207.09</v>
      </c>
      <c r="P2688" s="25">
        <v>12</v>
      </c>
      <c r="Q2688" s="24">
        <v>102.6</v>
      </c>
      <c r="R2688" s="24">
        <f>O2688-Q2688</f>
        <v>104.49000000000001</v>
      </c>
      <c r="S2688" s="53">
        <f>IF(O2688&lt;&gt;0,R2688/O2688,"")</f>
        <v>0.50456323337679276</v>
      </c>
      <c r="T2688" s="10"/>
      <c r="U2688" s="23">
        <v>0</v>
      </c>
      <c r="V2688" s="25">
        <v>0</v>
      </c>
      <c r="W2688" s="24">
        <v>0</v>
      </c>
      <c r="X2688" s="24">
        <f>U2688-W2688</f>
        <v>0</v>
      </c>
      <c r="Y2688" s="53" t="str">
        <f>IF(U2688&lt;&gt;0,X2688/U2688,"")</f>
        <v/>
      </c>
      <c r="Z2688" s="23">
        <v>0</v>
      </c>
      <c r="AA2688" s="25">
        <v>0</v>
      </c>
      <c r="AB2688" s="24">
        <v>0</v>
      </c>
      <c r="AC2688" s="24">
        <f t="shared" si="755"/>
        <v>0</v>
      </c>
      <c r="AD2688" s="53" t="str">
        <f t="shared" si="756"/>
        <v/>
      </c>
      <c r="AE2688" s="10"/>
    </row>
    <row r="2689" spans="1:31" x14ac:dyDescent="0.25">
      <c r="A2689" s="14" t="s">
        <v>109</v>
      </c>
      <c r="C2689" s="61" t="str">
        <f t="shared" si="754"/>
        <v>C100138</v>
      </c>
      <c r="F2689" s="8" t="str">
        <f>"C100019"</f>
        <v>C100019</v>
      </c>
      <c r="G2689" s="9" t="str">
        <f>"Black Duffel Bag"</f>
        <v>Black Duffel Bag</v>
      </c>
      <c r="H2689" s="47"/>
      <c r="I2689" s="47"/>
      <c r="J2689" s="23">
        <v>9744.5400000000009</v>
      </c>
      <c r="K2689" s="25">
        <v>144</v>
      </c>
      <c r="L2689" s="24">
        <v>6151.7</v>
      </c>
      <c r="M2689" s="24">
        <f>J2689-L2689</f>
        <v>3592.8400000000011</v>
      </c>
      <c r="N2689" s="53">
        <f>IF(J2689&lt;&gt;0,M2689/J2689,"")</f>
        <v>0.36870288387137828</v>
      </c>
      <c r="O2689" s="23">
        <v>9947.5500000000011</v>
      </c>
      <c r="P2689" s="25">
        <v>144</v>
      </c>
      <c r="Q2689" s="24">
        <v>6151.7</v>
      </c>
      <c r="R2689" s="24">
        <f>O2689-Q2689</f>
        <v>3795.8500000000013</v>
      </c>
      <c r="S2689" s="53">
        <f>IF(O2689&lt;&gt;0,R2689/O2689,"")</f>
        <v>0.3815864207769753</v>
      </c>
      <c r="T2689" s="10"/>
      <c r="U2689" s="23">
        <v>0</v>
      </c>
      <c r="V2689" s="25">
        <v>0</v>
      </c>
      <c r="W2689" s="24">
        <v>0</v>
      </c>
      <c r="X2689" s="24">
        <f>U2689-W2689</f>
        <v>0</v>
      </c>
      <c r="Y2689" s="53" t="str">
        <f>IF(U2689&lt;&gt;0,X2689/U2689,"")</f>
        <v/>
      </c>
      <c r="Z2689" s="23">
        <v>0</v>
      </c>
      <c r="AA2689" s="25">
        <v>0</v>
      </c>
      <c r="AB2689" s="24">
        <v>0</v>
      </c>
      <c r="AC2689" s="24">
        <f t="shared" si="755"/>
        <v>0</v>
      </c>
      <c r="AD2689" s="53" t="str">
        <f t="shared" si="756"/>
        <v/>
      </c>
      <c r="AE2689" s="10"/>
    </row>
    <row r="2690" spans="1:31" x14ac:dyDescent="0.25">
      <c r="A2690" s="14" t="s">
        <v>109</v>
      </c>
      <c r="C2690" s="61" t="str">
        <f t="shared" si="754"/>
        <v>C100138</v>
      </c>
      <c r="F2690" s="8" t="str">
        <f>"C100020"</f>
        <v>C100020</v>
      </c>
      <c r="G2690" s="9" t="str">
        <f>"Gym Locker Bag"</f>
        <v>Gym Locker Bag</v>
      </c>
      <c r="H2690" s="47"/>
      <c r="I2690" s="47"/>
      <c r="J2690" s="23">
        <v>0</v>
      </c>
      <c r="K2690" s="25">
        <v>0</v>
      </c>
      <c r="L2690" s="24">
        <v>0</v>
      </c>
      <c r="M2690" s="24">
        <f>J2690-L2690</f>
        <v>0</v>
      </c>
      <c r="N2690" s="53" t="str">
        <f>IF(J2690&lt;&gt;0,M2690/J2690,"")</f>
        <v/>
      </c>
      <c r="O2690" s="23">
        <v>651.5</v>
      </c>
      <c r="P2690" s="25">
        <v>48</v>
      </c>
      <c r="Q2690" s="24">
        <v>371.52</v>
      </c>
      <c r="R2690" s="24">
        <f>O2690-Q2690</f>
        <v>279.98</v>
      </c>
      <c r="S2690" s="53">
        <f>IF(O2690&lt;&gt;0,R2690/O2690,"")</f>
        <v>0.42974673829623949</v>
      </c>
      <c r="T2690" s="10"/>
      <c r="U2690" s="23">
        <v>0</v>
      </c>
      <c r="V2690" s="25">
        <v>0</v>
      </c>
      <c r="W2690" s="24">
        <v>0</v>
      </c>
      <c r="X2690" s="24">
        <f>U2690-W2690</f>
        <v>0</v>
      </c>
      <c r="Y2690" s="53" t="str">
        <f>IF(U2690&lt;&gt;0,X2690/U2690,"")</f>
        <v/>
      </c>
      <c r="Z2690" s="23">
        <v>0</v>
      </c>
      <c r="AA2690" s="25">
        <v>0</v>
      </c>
      <c r="AB2690" s="24">
        <v>0</v>
      </c>
      <c r="AC2690" s="24">
        <f t="shared" si="755"/>
        <v>0</v>
      </c>
      <c r="AD2690" s="53" t="str">
        <f t="shared" si="756"/>
        <v/>
      </c>
      <c r="AE2690" s="10"/>
    </row>
    <row r="2691" spans="1:31" x14ac:dyDescent="0.25">
      <c r="A2691" s="14" t="s">
        <v>109</v>
      </c>
      <c r="C2691" s="61" t="str">
        <f t="shared" si="754"/>
        <v>C100138</v>
      </c>
      <c r="F2691" s="8" t="str">
        <f>"C100021"</f>
        <v>C100021</v>
      </c>
      <c r="G2691" s="9" t="str">
        <f>"Canvas Boat Bag"</f>
        <v>Canvas Boat Bag</v>
      </c>
      <c r="H2691" s="47"/>
      <c r="I2691" s="47"/>
      <c r="J2691" s="23">
        <v>4349.47</v>
      </c>
      <c r="K2691" s="25">
        <v>433</v>
      </c>
      <c r="L2691" s="24">
        <v>2979.02</v>
      </c>
      <c r="M2691" s="24">
        <f>J2691-L2691</f>
        <v>1370.4500000000003</v>
      </c>
      <c r="N2691" s="53">
        <f>IF(J2691&lt;&gt;0,M2691/J2691,"")</f>
        <v>0.31508436660098821</v>
      </c>
      <c r="O2691" s="23">
        <v>10.11</v>
      </c>
      <c r="P2691" s="25">
        <v>1</v>
      </c>
      <c r="Q2691" s="24">
        <v>6.88</v>
      </c>
      <c r="R2691" s="24">
        <f>O2691-Q2691</f>
        <v>3.2299999999999995</v>
      </c>
      <c r="S2691" s="53">
        <f>IF(O2691&lt;&gt;0,R2691/O2691,"")</f>
        <v>0.31948565776458948</v>
      </c>
      <c r="T2691" s="10"/>
      <c r="U2691" s="23">
        <v>0</v>
      </c>
      <c r="V2691" s="25">
        <v>0</v>
      </c>
      <c r="W2691" s="24">
        <v>0</v>
      </c>
      <c r="X2691" s="24">
        <f>U2691-W2691</f>
        <v>0</v>
      </c>
      <c r="Y2691" s="53" t="str">
        <f>IF(U2691&lt;&gt;0,X2691/U2691,"")</f>
        <v/>
      </c>
      <c r="Z2691" s="23">
        <v>0</v>
      </c>
      <c r="AA2691" s="25">
        <v>0</v>
      </c>
      <c r="AB2691" s="24">
        <v>0</v>
      </c>
      <c r="AC2691" s="24">
        <f t="shared" si="755"/>
        <v>0</v>
      </c>
      <c r="AD2691" s="53" t="str">
        <f t="shared" si="756"/>
        <v/>
      </c>
      <c r="AE2691" s="10"/>
    </row>
    <row r="2692" spans="1:31" x14ac:dyDescent="0.25">
      <c r="A2692" s="14" t="s">
        <v>109</v>
      </c>
      <c r="C2692" s="61" t="str">
        <f t="shared" si="754"/>
        <v>C100138</v>
      </c>
      <c r="F2692" s="8" t="str">
        <f>"C100022"</f>
        <v>C100022</v>
      </c>
      <c r="G2692" s="9" t="str">
        <f>"Two-Toned Cap"</f>
        <v>Two-Toned Cap</v>
      </c>
      <c r="H2692" s="47"/>
      <c r="I2692" s="47"/>
      <c r="J2692" s="23">
        <v>906.31000000000006</v>
      </c>
      <c r="K2692" s="25">
        <v>289</v>
      </c>
      <c r="L2692" s="24">
        <v>465.27</v>
      </c>
      <c r="M2692" s="24">
        <f>J2692-L2692</f>
        <v>441.04000000000008</v>
      </c>
      <c r="N2692" s="53">
        <f>IF(J2692&lt;&gt;0,M2692/J2692,"")</f>
        <v>0.48663260915139417</v>
      </c>
      <c r="O2692" s="23">
        <v>0</v>
      </c>
      <c r="P2692" s="25">
        <v>0</v>
      </c>
      <c r="Q2692" s="24">
        <v>0</v>
      </c>
      <c r="R2692" s="24">
        <f>O2692-Q2692</f>
        <v>0</v>
      </c>
      <c r="S2692" s="53" t="str">
        <f>IF(O2692&lt;&gt;0,R2692/O2692,"")</f>
        <v/>
      </c>
      <c r="T2692" s="10"/>
      <c r="U2692" s="23">
        <v>451.58000000000004</v>
      </c>
      <c r="V2692" s="25">
        <v>144</v>
      </c>
      <c r="W2692" s="24">
        <v>231.82999999999998</v>
      </c>
      <c r="X2692" s="24">
        <f>U2692-W2692</f>
        <v>219.75000000000006</v>
      </c>
      <c r="Y2692" s="53">
        <f>IF(U2692&lt;&gt;0,X2692/U2692,"")</f>
        <v>0.4866247398024714</v>
      </c>
      <c r="Z2692" s="23">
        <v>-3.14</v>
      </c>
      <c r="AA2692" s="25">
        <v>-1</v>
      </c>
      <c r="AB2692" s="24">
        <v>-1.61</v>
      </c>
      <c r="AC2692" s="24">
        <f t="shared" si="755"/>
        <v>-1.53</v>
      </c>
      <c r="AD2692" s="53">
        <f t="shared" si="756"/>
        <v>0.48726114649681529</v>
      </c>
      <c r="AE2692" s="10"/>
    </row>
    <row r="2693" spans="1:31" x14ac:dyDescent="0.25">
      <c r="A2693" s="14" t="s">
        <v>109</v>
      </c>
      <c r="C2693" s="61" t="str">
        <f t="shared" si="754"/>
        <v>C100138</v>
      </c>
      <c r="F2693" s="8" t="str">
        <f>"C100023"</f>
        <v>C100023</v>
      </c>
      <c r="G2693" s="9" t="str">
        <f>"Two-Toned Knit Hat"</f>
        <v>Two-Toned Knit Hat</v>
      </c>
      <c r="H2693" s="47"/>
      <c r="I2693" s="47"/>
      <c r="J2693" s="23">
        <v>370.48</v>
      </c>
      <c r="K2693" s="25">
        <v>144</v>
      </c>
      <c r="L2693" s="24">
        <v>181.43</v>
      </c>
      <c r="M2693" s="24">
        <f>J2693-L2693</f>
        <v>189.05</v>
      </c>
      <c r="N2693" s="53">
        <f>IF(J2693&lt;&gt;0,M2693/J2693,"")</f>
        <v>0.51028395594903908</v>
      </c>
      <c r="O2693" s="23">
        <v>0</v>
      </c>
      <c r="P2693" s="25">
        <v>0</v>
      </c>
      <c r="Q2693" s="24">
        <v>0</v>
      </c>
      <c r="R2693" s="24">
        <f>O2693-Q2693</f>
        <v>0</v>
      </c>
      <c r="S2693" s="53" t="str">
        <f>IF(O2693&lt;&gt;0,R2693/O2693,"")</f>
        <v/>
      </c>
      <c r="T2693" s="10"/>
      <c r="U2693" s="23">
        <v>370.48</v>
      </c>
      <c r="V2693" s="25">
        <v>144</v>
      </c>
      <c r="W2693" s="24">
        <v>181.43</v>
      </c>
      <c r="X2693" s="24">
        <f>U2693-W2693</f>
        <v>189.05</v>
      </c>
      <c r="Y2693" s="53">
        <f>IF(U2693&lt;&gt;0,X2693/U2693,"")</f>
        <v>0.51028395594903908</v>
      </c>
      <c r="Z2693" s="23">
        <v>756.4</v>
      </c>
      <c r="AA2693" s="25">
        <v>288</v>
      </c>
      <c r="AB2693" s="24">
        <v>362.87</v>
      </c>
      <c r="AC2693" s="24">
        <f t="shared" si="755"/>
        <v>393.53</v>
      </c>
      <c r="AD2693" s="53">
        <f t="shared" si="756"/>
        <v>0.52026705446853516</v>
      </c>
      <c r="AE2693" s="10"/>
    </row>
    <row r="2694" spans="1:31" x14ac:dyDescent="0.25">
      <c r="A2694" s="14" t="s">
        <v>109</v>
      </c>
      <c r="C2694" s="61" t="str">
        <f t="shared" si="754"/>
        <v>C100138</v>
      </c>
      <c r="F2694" s="8" t="str">
        <f>"C100024"</f>
        <v>C100024</v>
      </c>
      <c r="G2694" s="9" t="str">
        <f>"Knit Hat with Bill"</f>
        <v>Knit Hat with Bill</v>
      </c>
      <c r="H2694" s="47"/>
      <c r="I2694" s="47"/>
      <c r="J2694" s="23">
        <v>5.13</v>
      </c>
      <c r="K2694" s="25">
        <v>1</v>
      </c>
      <c r="L2694" s="24">
        <v>3</v>
      </c>
      <c r="M2694" s="24">
        <f>J2694-L2694</f>
        <v>2.13</v>
      </c>
      <c r="N2694" s="53">
        <f>IF(J2694&lt;&gt;0,M2694/J2694,"")</f>
        <v>0.41520467836257308</v>
      </c>
      <c r="O2694" s="23">
        <v>0</v>
      </c>
      <c r="P2694" s="25">
        <v>0</v>
      </c>
      <c r="Q2694" s="24">
        <v>0</v>
      </c>
      <c r="R2694" s="24">
        <f>O2694-Q2694</f>
        <v>0</v>
      </c>
      <c r="S2694" s="53" t="str">
        <f>IF(O2694&lt;&gt;0,R2694/O2694,"")</f>
        <v/>
      </c>
      <c r="T2694" s="10"/>
      <c r="U2694" s="23">
        <v>2260.7399999999998</v>
      </c>
      <c r="V2694" s="25">
        <v>432</v>
      </c>
      <c r="W2694" s="24">
        <v>1295.99</v>
      </c>
      <c r="X2694" s="24">
        <f>U2694-W2694</f>
        <v>964.74999999999977</v>
      </c>
      <c r="Y2694" s="53">
        <f>IF(U2694&lt;&gt;0,X2694/U2694,"")</f>
        <v>0.42674080168440415</v>
      </c>
      <c r="Z2694" s="23">
        <v>0</v>
      </c>
      <c r="AA2694" s="25">
        <v>0</v>
      </c>
      <c r="AB2694" s="24">
        <v>0</v>
      </c>
      <c r="AC2694" s="24">
        <f t="shared" si="755"/>
        <v>0</v>
      </c>
      <c r="AD2694" s="53" t="str">
        <f t="shared" si="756"/>
        <v/>
      </c>
      <c r="AE2694" s="10"/>
    </row>
    <row r="2695" spans="1:31" x14ac:dyDescent="0.25">
      <c r="A2695" s="14" t="s">
        <v>109</v>
      </c>
      <c r="C2695" s="61" t="str">
        <f t="shared" si="754"/>
        <v>C100138</v>
      </c>
      <c r="F2695" s="8" t="str">
        <f>"C100025"</f>
        <v>C100025</v>
      </c>
      <c r="G2695" s="9" t="str">
        <f>"Striped Knit Hat"</f>
        <v>Striped Knit Hat</v>
      </c>
      <c r="H2695" s="47"/>
      <c r="I2695" s="47"/>
      <c r="J2695" s="23">
        <v>411.96</v>
      </c>
      <c r="K2695" s="25">
        <v>144</v>
      </c>
      <c r="L2695" s="24">
        <v>198.72</v>
      </c>
      <c r="M2695" s="24">
        <f>J2695-L2695</f>
        <v>213.23999999999998</v>
      </c>
      <c r="N2695" s="53">
        <f>IF(J2695&lt;&gt;0,M2695/J2695,"")</f>
        <v>0.51762307020099041</v>
      </c>
      <c r="O2695" s="23">
        <v>0</v>
      </c>
      <c r="P2695" s="25">
        <v>0</v>
      </c>
      <c r="Q2695" s="24">
        <v>0</v>
      </c>
      <c r="R2695" s="24">
        <f>O2695-Q2695</f>
        <v>0</v>
      </c>
      <c r="S2695" s="53" t="str">
        <f>IF(O2695&lt;&gt;0,R2695/O2695,"")</f>
        <v/>
      </c>
      <c r="T2695" s="10"/>
      <c r="U2695" s="23">
        <v>1253.04</v>
      </c>
      <c r="V2695" s="25">
        <v>432</v>
      </c>
      <c r="W2695" s="24">
        <v>596.16</v>
      </c>
      <c r="X2695" s="24">
        <f>U2695-W2695</f>
        <v>656.88</v>
      </c>
      <c r="Y2695" s="53">
        <f>IF(U2695&lt;&gt;0,X2695/U2695,"")</f>
        <v>0.52422907488986781</v>
      </c>
      <c r="Z2695" s="23">
        <v>420.54</v>
      </c>
      <c r="AA2695" s="25">
        <v>144</v>
      </c>
      <c r="AB2695" s="24">
        <v>198.72</v>
      </c>
      <c r="AC2695" s="24">
        <f t="shared" si="755"/>
        <v>221.82000000000002</v>
      </c>
      <c r="AD2695" s="53">
        <f t="shared" si="756"/>
        <v>0.52746468825795412</v>
      </c>
      <c r="AE2695" s="10"/>
    </row>
    <row r="2696" spans="1:31" x14ac:dyDescent="0.25">
      <c r="A2696" s="14" t="s">
        <v>109</v>
      </c>
      <c r="C2696" s="61" t="str">
        <f t="shared" si="754"/>
        <v>C100138</v>
      </c>
      <c r="F2696" s="8" t="str">
        <f>"C100026"</f>
        <v>C100026</v>
      </c>
      <c r="G2696" s="9" t="str">
        <f>"Fleece Beanie"</f>
        <v>Fleece Beanie</v>
      </c>
      <c r="H2696" s="47"/>
      <c r="I2696" s="47"/>
      <c r="J2696" s="23">
        <v>871.6</v>
      </c>
      <c r="K2696" s="25">
        <v>288</v>
      </c>
      <c r="L2696" s="24">
        <v>575.98</v>
      </c>
      <c r="M2696" s="24">
        <f>J2696-L2696</f>
        <v>295.62</v>
      </c>
      <c r="N2696" s="53">
        <f>IF(J2696&lt;&gt;0,M2696/J2696,"")</f>
        <v>0.33916934373565855</v>
      </c>
      <c r="O2696" s="23">
        <v>0</v>
      </c>
      <c r="P2696" s="25">
        <v>0</v>
      </c>
      <c r="Q2696" s="24">
        <v>0</v>
      </c>
      <c r="R2696" s="24">
        <f>O2696-Q2696</f>
        <v>0</v>
      </c>
      <c r="S2696" s="53" t="str">
        <f>IF(O2696&lt;&gt;0,R2696/O2696,"")</f>
        <v/>
      </c>
      <c r="T2696" s="10"/>
      <c r="U2696" s="23">
        <v>1311.9</v>
      </c>
      <c r="V2696" s="25">
        <v>432</v>
      </c>
      <c r="W2696" s="24">
        <v>863.95999999999992</v>
      </c>
      <c r="X2696" s="24">
        <f>U2696-W2696</f>
        <v>447.94000000000017</v>
      </c>
      <c r="Y2696" s="53">
        <f>IF(U2696&lt;&gt;0,X2696/U2696,"")</f>
        <v>0.34144370759966469</v>
      </c>
      <c r="Z2696" s="23">
        <v>-3.06</v>
      </c>
      <c r="AA2696" s="25">
        <v>-1</v>
      </c>
      <c r="AB2696" s="24">
        <v>-2</v>
      </c>
      <c r="AC2696" s="24">
        <f t="shared" si="755"/>
        <v>-1.06</v>
      </c>
      <c r="AD2696" s="53">
        <f t="shared" si="756"/>
        <v>0.34640522875816993</v>
      </c>
      <c r="AE2696" s="10"/>
    </row>
    <row r="2697" spans="1:31" x14ac:dyDescent="0.25">
      <c r="A2697" s="14" t="s">
        <v>109</v>
      </c>
      <c r="C2697" s="61" t="str">
        <f t="shared" si="754"/>
        <v>C100138</v>
      </c>
      <c r="F2697" s="8" t="str">
        <f>"C100027"</f>
        <v>C100027</v>
      </c>
      <c r="G2697" s="9" t="str">
        <f>"Pique Visor"</f>
        <v>Pique Visor</v>
      </c>
      <c r="H2697" s="47"/>
      <c r="I2697" s="47"/>
      <c r="J2697" s="23">
        <v>4411.76</v>
      </c>
      <c r="K2697" s="25">
        <v>720</v>
      </c>
      <c r="L2697" s="24">
        <v>2246.4499999999998</v>
      </c>
      <c r="M2697" s="24">
        <f>J2697-L2697</f>
        <v>2165.3100000000004</v>
      </c>
      <c r="N2697" s="53">
        <f>IF(J2697&lt;&gt;0,M2697/J2697,"")</f>
        <v>0.49080412352439851</v>
      </c>
      <c r="O2697" s="23">
        <v>0</v>
      </c>
      <c r="P2697" s="25">
        <v>0</v>
      </c>
      <c r="Q2697" s="24">
        <v>0</v>
      </c>
      <c r="R2697" s="24">
        <f>O2697-Q2697</f>
        <v>0</v>
      </c>
      <c r="S2697" s="53" t="str">
        <f>IF(O2697&lt;&gt;0,R2697/O2697,"")</f>
        <v/>
      </c>
      <c r="T2697" s="10"/>
      <c r="U2697" s="23">
        <v>6.08</v>
      </c>
      <c r="V2697" s="25">
        <v>1</v>
      </c>
      <c r="W2697" s="24">
        <v>3.12</v>
      </c>
      <c r="X2697" s="24">
        <f>U2697-W2697</f>
        <v>2.96</v>
      </c>
      <c r="Y2697" s="53">
        <f>IF(U2697&lt;&gt;0,X2697/U2697,"")</f>
        <v>0.48684210526315791</v>
      </c>
      <c r="Z2697" s="23">
        <v>0</v>
      </c>
      <c r="AA2697" s="25">
        <v>0</v>
      </c>
      <c r="AB2697" s="24">
        <v>0</v>
      </c>
      <c r="AC2697" s="24">
        <f t="shared" si="755"/>
        <v>0</v>
      </c>
      <c r="AD2697" s="53" t="str">
        <f t="shared" si="756"/>
        <v/>
      </c>
      <c r="AE2697" s="10"/>
    </row>
    <row r="2698" spans="1:31" x14ac:dyDescent="0.25">
      <c r="A2698" s="14" t="s">
        <v>109</v>
      </c>
      <c r="C2698" s="61" t="str">
        <f t="shared" si="754"/>
        <v>C100138</v>
      </c>
      <c r="F2698" s="8" t="str">
        <f>"C100029"</f>
        <v>C100029</v>
      </c>
      <c r="G2698" s="9" t="str">
        <f>"Distressed Twill Visor"</f>
        <v>Distressed Twill Visor</v>
      </c>
      <c r="H2698" s="47"/>
      <c r="I2698" s="47"/>
      <c r="J2698" s="23">
        <v>3.28</v>
      </c>
      <c r="K2698" s="25">
        <v>1</v>
      </c>
      <c r="L2698" s="24">
        <v>2.0699999999999998</v>
      </c>
      <c r="M2698" s="24">
        <f>J2698-L2698</f>
        <v>1.21</v>
      </c>
      <c r="N2698" s="53">
        <f>IF(J2698&lt;&gt;0,M2698/J2698,"")</f>
        <v>0.36890243902439024</v>
      </c>
      <c r="O2698" s="23">
        <v>3.35</v>
      </c>
      <c r="P2698" s="25">
        <v>1</v>
      </c>
      <c r="Q2698" s="24">
        <v>2.0699999999999998</v>
      </c>
      <c r="R2698" s="24">
        <f>O2698-Q2698</f>
        <v>1.2800000000000002</v>
      </c>
      <c r="S2698" s="53">
        <f>IF(O2698&lt;&gt;0,R2698/O2698,"")</f>
        <v>0.38208955223880603</v>
      </c>
      <c r="T2698" s="10"/>
      <c r="U2698" s="23">
        <v>563.07000000000005</v>
      </c>
      <c r="V2698" s="25">
        <v>168</v>
      </c>
      <c r="W2698" s="24">
        <v>347.77</v>
      </c>
      <c r="X2698" s="24">
        <f>U2698-W2698</f>
        <v>215.30000000000007</v>
      </c>
      <c r="Y2698" s="53">
        <f>IF(U2698&lt;&gt;0,X2698/U2698,"")</f>
        <v>0.38236808922514082</v>
      </c>
      <c r="Z2698" s="23">
        <v>0</v>
      </c>
      <c r="AA2698" s="25">
        <v>0</v>
      </c>
      <c r="AB2698" s="24">
        <v>0</v>
      </c>
      <c r="AC2698" s="24">
        <f t="shared" si="755"/>
        <v>0</v>
      </c>
      <c r="AD2698" s="53" t="str">
        <f t="shared" si="756"/>
        <v/>
      </c>
      <c r="AE2698" s="10"/>
    </row>
    <row r="2699" spans="1:31" x14ac:dyDescent="0.25">
      <c r="A2699" s="14" t="s">
        <v>109</v>
      </c>
      <c r="C2699" s="61" t="str">
        <f t="shared" si="754"/>
        <v>C100138</v>
      </c>
      <c r="F2699" s="8" t="str">
        <f>"C100030"</f>
        <v>C100030</v>
      </c>
      <c r="G2699" s="9" t="str">
        <f>"Fashion Visor"</f>
        <v>Fashion Visor</v>
      </c>
      <c r="H2699" s="47"/>
      <c r="I2699" s="47"/>
      <c r="J2699" s="23">
        <v>605.49</v>
      </c>
      <c r="K2699" s="25">
        <v>144</v>
      </c>
      <c r="L2699" s="24">
        <v>348.49</v>
      </c>
      <c r="M2699" s="24">
        <f>J2699-L2699</f>
        <v>257</v>
      </c>
      <c r="N2699" s="53">
        <f>IF(J2699&lt;&gt;0,M2699/J2699,"")</f>
        <v>0.42444961931658653</v>
      </c>
      <c r="O2699" s="23">
        <v>0</v>
      </c>
      <c r="P2699" s="25">
        <v>0</v>
      </c>
      <c r="Q2699" s="24">
        <v>0</v>
      </c>
      <c r="R2699" s="24">
        <f>O2699-Q2699</f>
        <v>0</v>
      </c>
      <c r="S2699" s="53" t="str">
        <f>IF(O2699&lt;&gt;0,R2699/O2699,"")</f>
        <v/>
      </c>
      <c r="T2699" s="10"/>
      <c r="U2699" s="23">
        <v>0</v>
      </c>
      <c r="V2699" s="25">
        <v>0</v>
      </c>
      <c r="W2699" s="24">
        <v>0</v>
      </c>
      <c r="X2699" s="24">
        <f>U2699-W2699</f>
        <v>0</v>
      </c>
      <c r="Y2699" s="53" t="str">
        <f>IF(U2699&lt;&gt;0,X2699/U2699,"")</f>
        <v/>
      </c>
      <c r="Z2699" s="23">
        <v>0</v>
      </c>
      <c r="AA2699" s="25">
        <v>0</v>
      </c>
      <c r="AB2699" s="24">
        <v>0</v>
      </c>
      <c r="AC2699" s="24">
        <f t="shared" si="755"/>
        <v>0</v>
      </c>
      <c r="AD2699" s="53" t="str">
        <f t="shared" si="756"/>
        <v/>
      </c>
      <c r="AE2699" s="10"/>
    </row>
    <row r="2700" spans="1:31" x14ac:dyDescent="0.25">
      <c r="A2700" s="14" t="s">
        <v>109</v>
      </c>
      <c r="C2700" s="61" t="str">
        <f t="shared" si="754"/>
        <v>C100138</v>
      </c>
      <c r="F2700" s="8" t="str">
        <f>"C100031"</f>
        <v>C100031</v>
      </c>
      <c r="G2700" s="9" t="str">
        <f>"Carabiner Watch"</f>
        <v>Carabiner Watch</v>
      </c>
      <c r="H2700" s="47"/>
      <c r="I2700" s="47"/>
      <c r="J2700" s="23">
        <v>5274.32</v>
      </c>
      <c r="K2700" s="25">
        <v>288</v>
      </c>
      <c r="L2700" s="24">
        <v>2471.04</v>
      </c>
      <c r="M2700" s="24">
        <f>J2700-L2700</f>
        <v>2803.2799999999997</v>
      </c>
      <c r="N2700" s="53">
        <f>IF(J2700&lt;&gt;0,M2700/J2700,"")</f>
        <v>0.53149600327625168</v>
      </c>
      <c r="O2700" s="23">
        <v>2664.3500000000004</v>
      </c>
      <c r="P2700" s="25">
        <v>144</v>
      </c>
      <c r="Q2700" s="24">
        <v>1235.52</v>
      </c>
      <c r="R2700" s="24">
        <f>O2700-Q2700</f>
        <v>1428.8300000000004</v>
      </c>
      <c r="S2700" s="53">
        <f>IF(O2700&lt;&gt;0,R2700/O2700,"")</f>
        <v>0.53627714076604061</v>
      </c>
      <c r="T2700" s="10"/>
      <c r="U2700" s="23">
        <v>217.49999999999997</v>
      </c>
      <c r="V2700" s="25">
        <v>12</v>
      </c>
      <c r="W2700" s="24">
        <v>102.96</v>
      </c>
      <c r="X2700" s="24">
        <f>U2700-W2700</f>
        <v>114.53999999999998</v>
      </c>
      <c r="Y2700" s="53">
        <f>IF(U2700&lt;&gt;0,X2700/U2700,"")</f>
        <v>0.52662068965517239</v>
      </c>
      <c r="Z2700" s="23">
        <v>0</v>
      </c>
      <c r="AA2700" s="25">
        <v>0</v>
      </c>
      <c r="AB2700" s="24">
        <v>0</v>
      </c>
      <c r="AC2700" s="24">
        <f t="shared" si="755"/>
        <v>0</v>
      </c>
      <c r="AD2700" s="53" t="str">
        <f t="shared" si="756"/>
        <v/>
      </c>
      <c r="AE2700" s="10"/>
    </row>
    <row r="2701" spans="1:31" x14ac:dyDescent="0.25">
      <c r="A2701" s="14" t="s">
        <v>109</v>
      </c>
      <c r="C2701" s="61" t="str">
        <f t="shared" si="754"/>
        <v>C100138</v>
      </c>
      <c r="F2701" s="8" t="str">
        <f>"C100032"</f>
        <v>C100032</v>
      </c>
      <c r="G2701" s="9" t="str">
        <f>"Clip-on Clock"</f>
        <v>Clip-on Clock</v>
      </c>
      <c r="H2701" s="47"/>
      <c r="I2701" s="47"/>
      <c r="J2701" s="23">
        <v>16.16</v>
      </c>
      <c r="K2701" s="25">
        <v>2</v>
      </c>
      <c r="L2701" s="24">
        <v>8.32</v>
      </c>
      <c r="M2701" s="24">
        <f>J2701-L2701</f>
        <v>7.84</v>
      </c>
      <c r="N2701" s="53">
        <f>IF(J2701&lt;&gt;0,M2701/J2701,"")</f>
        <v>0.48514851485148514</v>
      </c>
      <c r="O2701" s="23">
        <v>0</v>
      </c>
      <c r="P2701" s="25">
        <v>0</v>
      </c>
      <c r="Q2701" s="24">
        <v>0</v>
      </c>
      <c r="R2701" s="24">
        <f>O2701-Q2701</f>
        <v>0</v>
      </c>
      <c r="S2701" s="53" t="str">
        <f>IF(O2701&lt;&gt;0,R2701/O2701,"")</f>
        <v/>
      </c>
      <c r="T2701" s="10"/>
      <c r="U2701" s="23">
        <v>1550.44</v>
      </c>
      <c r="V2701" s="25">
        <v>192</v>
      </c>
      <c r="W2701" s="24">
        <v>798.7299999999999</v>
      </c>
      <c r="X2701" s="24">
        <f>U2701-W2701</f>
        <v>751.71000000000015</v>
      </c>
      <c r="Y2701" s="53">
        <f>IF(U2701&lt;&gt;0,X2701/U2701,"")</f>
        <v>0.48483656252418678</v>
      </c>
      <c r="Z2701" s="23">
        <v>0</v>
      </c>
      <c r="AA2701" s="25">
        <v>0</v>
      </c>
      <c r="AB2701" s="24">
        <v>0</v>
      </c>
      <c r="AC2701" s="24">
        <f t="shared" si="755"/>
        <v>0</v>
      </c>
      <c r="AD2701" s="53" t="str">
        <f t="shared" si="756"/>
        <v/>
      </c>
      <c r="AE2701" s="10"/>
    </row>
    <row r="2702" spans="1:31" x14ac:dyDescent="0.25">
      <c r="A2702" s="14" t="s">
        <v>109</v>
      </c>
      <c r="C2702" s="61" t="str">
        <f t="shared" si="754"/>
        <v>C100138</v>
      </c>
      <c r="F2702" s="8" t="str">
        <f>"E100001"</f>
        <v>E100001</v>
      </c>
      <c r="G2702" s="9" t="str">
        <f>"Sport Bag"</f>
        <v>Sport Bag</v>
      </c>
      <c r="H2702" s="47"/>
      <c r="I2702" s="47"/>
      <c r="J2702" s="23">
        <v>603.20000000000005</v>
      </c>
      <c r="K2702" s="25">
        <v>343</v>
      </c>
      <c r="L2702" s="24">
        <v>298.41000000000003</v>
      </c>
      <c r="M2702" s="24">
        <f>J2702-L2702</f>
        <v>304.79000000000002</v>
      </c>
      <c r="N2702" s="53">
        <f>IF(J2702&lt;&gt;0,M2702/J2702,"")</f>
        <v>0.50528846153846152</v>
      </c>
      <c r="O2702" s="23">
        <v>257.20000000000005</v>
      </c>
      <c r="P2702" s="25">
        <v>145</v>
      </c>
      <c r="Q2702" s="24">
        <v>126.15</v>
      </c>
      <c r="R2702" s="24">
        <f>O2702-Q2702</f>
        <v>131.05000000000004</v>
      </c>
      <c r="S2702" s="53">
        <f>IF(O2702&lt;&gt;0,R2702/O2702,"")</f>
        <v>0.50952566096423024</v>
      </c>
      <c r="T2702" s="10"/>
      <c r="U2702" s="23">
        <v>1.74</v>
      </c>
      <c r="V2702" s="25">
        <v>1</v>
      </c>
      <c r="W2702" s="24">
        <v>0.87</v>
      </c>
      <c r="X2702" s="24">
        <f>U2702-W2702</f>
        <v>0.87</v>
      </c>
      <c r="Y2702" s="53">
        <f>IF(U2702&lt;&gt;0,X2702/U2702,"")</f>
        <v>0.5</v>
      </c>
      <c r="Z2702" s="23">
        <v>0</v>
      </c>
      <c r="AA2702" s="25">
        <v>0</v>
      </c>
      <c r="AB2702" s="24">
        <v>0</v>
      </c>
      <c r="AC2702" s="24">
        <f t="shared" si="755"/>
        <v>0</v>
      </c>
      <c r="AD2702" s="53" t="str">
        <f t="shared" si="756"/>
        <v/>
      </c>
      <c r="AE2702" s="10"/>
    </row>
    <row r="2703" spans="1:31" x14ac:dyDescent="0.25">
      <c r="A2703" s="14" t="s">
        <v>109</v>
      </c>
      <c r="C2703" s="61" t="str">
        <f t="shared" si="754"/>
        <v>C100138</v>
      </c>
      <c r="F2703" s="8" t="str">
        <f>"E100011"</f>
        <v>E100011</v>
      </c>
      <c r="G2703" s="9" t="str">
        <f>"Plastic Sun Visor"</f>
        <v>Plastic Sun Visor</v>
      </c>
      <c r="H2703" s="47"/>
      <c r="I2703" s="47"/>
      <c r="J2703" s="23">
        <v>1.57</v>
      </c>
      <c r="K2703" s="25">
        <v>2</v>
      </c>
      <c r="L2703" s="24">
        <v>0.84</v>
      </c>
      <c r="M2703" s="24">
        <f>J2703-L2703</f>
        <v>0.73000000000000009</v>
      </c>
      <c r="N2703" s="53">
        <f>IF(J2703&lt;&gt;0,M2703/J2703,"")</f>
        <v>0.4649681528662421</v>
      </c>
      <c r="O2703" s="23">
        <v>0</v>
      </c>
      <c r="P2703" s="25">
        <v>0</v>
      </c>
      <c r="Q2703" s="24">
        <v>0</v>
      </c>
      <c r="R2703" s="24">
        <f>O2703-Q2703</f>
        <v>0</v>
      </c>
      <c r="S2703" s="53" t="str">
        <f>IF(O2703&lt;&gt;0,R2703/O2703,"")</f>
        <v/>
      </c>
      <c r="T2703" s="10"/>
      <c r="U2703" s="23">
        <v>230.19</v>
      </c>
      <c r="V2703" s="25">
        <v>290</v>
      </c>
      <c r="W2703" s="24">
        <v>121.77</v>
      </c>
      <c r="X2703" s="24">
        <f>U2703-W2703</f>
        <v>108.42</v>
      </c>
      <c r="Y2703" s="53">
        <f>IF(U2703&lt;&gt;0,X2703/U2703,"")</f>
        <v>0.47100221556105826</v>
      </c>
      <c r="Z2703" s="23">
        <v>0</v>
      </c>
      <c r="AA2703" s="25">
        <v>0</v>
      </c>
      <c r="AB2703" s="24">
        <v>0</v>
      </c>
      <c r="AC2703" s="24">
        <f t="shared" si="755"/>
        <v>0</v>
      </c>
      <c r="AD2703" s="53" t="str">
        <f t="shared" si="756"/>
        <v/>
      </c>
      <c r="AE2703" s="10"/>
    </row>
    <row r="2704" spans="1:31" x14ac:dyDescent="0.25">
      <c r="A2704" s="14" t="s">
        <v>109</v>
      </c>
      <c r="C2704" s="61" t="str">
        <f t="shared" si="754"/>
        <v>C100138</v>
      </c>
      <c r="F2704" s="8" t="str">
        <f>"E100012"</f>
        <v>E100012</v>
      </c>
      <c r="G2704" s="9" t="str">
        <f>"Canvas Stopwatch"</f>
        <v>Canvas Stopwatch</v>
      </c>
      <c r="H2704" s="47"/>
      <c r="I2704" s="47"/>
      <c r="J2704" s="23">
        <v>1124.28</v>
      </c>
      <c r="K2704" s="25">
        <v>313</v>
      </c>
      <c r="L2704" s="24">
        <v>613.46</v>
      </c>
      <c r="M2704" s="24">
        <f>J2704-L2704</f>
        <v>510.81999999999994</v>
      </c>
      <c r="N2704" s="53">
        <f>IF(J2704&lt;&gt;0,M2704/J2704,"")</f>
        <v>0.45435300814743651</v>
      </c>
      <c r="O2704" s="23">
        <v>522.14</v>
      </c>
      <c r="P2704" s="25">
        <v>144</v>
      </c>
      <c r="Q2704" s="24">
        <v>282.22999999999996</v>
      </c>
      <c r="R2704" s="24">
        <f>O2704-Q2704</f>
        <v>239.91000000000003</v>
      </c>
      <c r="S2704" s="53">
        <f>IF(O2704&lt;&gt;0,R2704/O2704,"")</f>
        <v>0.45947447044853879</v>
      </c>
      <c r="T2704" s="10"/>
      <c r="U2704" s="23">
        <v>522.14</v>
      </c>
      <c r="V2704" s="25">
        <v>144</v>
      </c>
      <c r="W2704" s="24">
        <v>282.22999999999996</v>
      </c>
      <c r="X2704" s="24">
        <f>U2704-W2704</f>
        <v>239.91000000000003</v>
      </c>
      <c r="Y2704" s="53">
        <f>IF(U2704&lt;&gt;0,X2704/U2704,"")</f>
        <v>0.45947447044853879</v>
      </c>
      <c r="Z2704" s="23">
        <v>1044.29</v>
      </c>
      <c r="AA2704" s="25">
        <v>288</v>
      </c>
      <c r="AB2704" s="24">
        <v>564.45999999999992</v>
      </c>
      <c r="AC2704" s="24">
        <f t="shared" si="755"/>
        <v>479.83000000000004</v>
      </c>
      <c r="AD2704" s="53">
        <f t="shared" si="756"/>
        <v>0.45947964645835931</v>
      </c>
      <c r="AE2704" s="10"/>
    </row>
    <row r="2705" spans="1:31" x14ac:dyDescent="0.25">
      <c r="A2705" s="14" t="s">
        <v>109</v>
      </c>
      <c r="C2705" s="61" t="str">
        <f t="shared" si="754"/>
        <v>C100138</v>
      </c>
      <c r="F2705" s="8" t="str">
        <f>"E100013"</f>
        <v>E100013</v>
      </c>
      <c r="G2705" s="9" t="str">
        <f>"Clip-on Stopwatch"</f>
        <v>Clip-on Stopwatch</v>
      </c>
      <c r="H2705" s="47"/>
      <c r="I2705" s="47"/>
      <c r="J2705" s="23">
        <v>389.49</v>
      </c>
      <c r="K2705" s="25">
        <v>144</v>
      </c>
      <c r="L2705" s="24">
        <v>207.35</v>
      </c>
      <c r="M2705" s="24">
        <f>J2705-L2705</f>
        <v>182.14000000000001</v>
      </c>
      <c r="N2705" s="53">
        <f>IF(J2705&lt;&gt;0,M2705/J2705,"")</f>
        <v>0.46763716655113097</v>
      </c>
      <c r="O2705" s="23">
        <v>0</v>
      </c>
      <c r="P2705" s="25">
        <v>0</v>
      </c>
      <c r="Q2705" s="24">
        <v>0</v>
      </c>
      <c r="R2705" s="24">
        <f>O2705-Q2705</f>
        <v>0</v>
      </c>
      <c r="S2705" s="53" t="str">
        <f>IF(O2705&lt;&gt;0,R2705/O2705,"")</f>
        <v/>
      </c>
      <c r="T2705" s="10"/>
      <c r="U2705" s="23">
        <v>0</v>
      </c>
      <c r="V2705" s="25">
        <v>0</v>
      </c>
      <c r="W2705" s="24">
        <v>0</v>
      </c>
      <c r="X2705" s="24">
        <f>U2705-W2705</f>
        <v>0</v>
      </c>
      <c r="Y2705" s="53" t="str">
        <f>IF(U2705&lt;&gt;0,X2705/U2705,"")</f>
        <v/>
      </c>
      <c r="Z2705" s="23">
        <v>0</v>
      </c>
      <c r="AA2705" s="25">
        <v>0</v>
      </c>
      <c r="AB2705" s="24">
        <v>0</v>
      </c>
      <c r="AC2705" s="24">
        <f t="shared" si="755"/>
        <v>0</v>
      </c>
      <c r="AD2705" s="53" t="str">
        <f t="shared" si="756"/>
        <v/>
      </c>
      <c r="AE2705" s="10"/>
    </row>
    <row r="2706" spans="1:31" x14ac:dyDescent="0.25">
      <c r="A2706" s="14" t="s">
        <v>109</v>
      </c>
      <c r="C2706" s="61" t="str">
        <f t="shared" si="754"/>
        <v>C100138</v>
      </c>
      <c r="F2706" s="8" t="str">
        <f>"E100014"</f>
        <v>E100014</v>
      </c>
      <c r="G2706" s="9" t="str">
        <f>"Stopwatch with Neck Rope"</f>
        <v>Stopwatch with Neck Rope</v>
      </c>
      <c r="H2706" s="47"/>
      <c r="I2706" s="47"/>
      <c r="J2706" s="23">
        <v>388.08000000000004</v>
      </c>
      <c r="K2706" s="25">
        <v>144</v>
      </c>
      <c r="L2706" s="24">
        <v>185.75</v>
      </c>
      <c r="M2706" s="24">
        <f>J2706-L2706</f>
        <v>202.33000000000004</v>
      </c>
      <c r="N2706" s="53">
        <f>IF(J2706&lt;&gt;0,M2706/J2706,"")</f>
        <v>0.5213615749330035</v>
      </c>
      <c r="O2706" s="23">
        <v>0</v>
      </c>
      <c r="P2706" s="25">
        <v>0</v>
      </c>
      <c r="Q2706" s="24">
        <v>0</v>
      </c>
      <c r="R2706" s="24">
        <f>O2706-Q2706</f>
        <v>0</v>
      </c>
      <c r="S2706" s="53" t="str">
        <f>IF(O2706&lt;&gt;0,R2706/O2706,"")</f>
        <v/>
      </c>
      <c r="T2706" s="10"/>
      <c r="U2706" s="23">
        <v>388.08000000000004</v>
      </c>
      <c r="V2706" s="25">
        <v>144</v>
      </c>
      <c r="W2706" s="24">
        <v>185.75</v>
      </c>
      <c r="X2706" s="24">
        <f>U2706-W2706</f>
        <v>202.33000000000004</v>
      </c>
      <c r="Y2706" s="53">
        <f>IF(U2706&lt;&gt;0,X2706/U2706,"")</f>
        <v>0.5213615749330035</v>
      </c>
      <c r="Z2706" s="23">
        <v>390.77</v>
      </c>
      <c r="AA2706" s="25">
        <v>145</v>
      </c>
      <c r="AB2706" s="24">
        <v>187.04</v>
      </c>
      <c r="AC2706" s="24">
        <f t="shared" si="755"/>
        <v>203.73</v>
      </c>
      <c r="AD2706" s="53">
        <f t="shared" si="756"/>
        <v>0.52135527292269113</v>
      </c>
      <c r="AE2706" s="10"/>
    </row>
    <row r="2707" spans="1:31" x14ac:dyDescent="0.25">
      <c r="A2707" s="14" t="s">
        <v>109</v>
      </c>
      <c r="C2707" s="61" t="str">
        <f t="shared" si="754"/>
        <v>C100138</v>
      </c>
      <c r="F2707" s="8" t="str">
        <f>"E100015"</f>
        <v>E100015</v>
      </c>
      <c r="G2707" s="9" t="str">
        <f>"360 Clip Watch"</f>
        <v>360 Clip Watch</v>
      </c>
      <c r="H2707" s="47"/>
      <c r="I2707" s="47"/>
      <c r="J2707" s="23">
        <v>608.91999999999996</v>
      </c>
      <c r="K2707" s="25">
        <v>289</v>
      </c>
      <c r="L2707" s="24">
        <v>294.79000000000002</v>
      </c>
      <c r="M2707" s="24">
        <f>J2707-L2707</f>
        <v>314.12999999999994</v>
      </c>
      <c r="N2707" s="53">
        <f>IF(J2707&lt;&gt;0,M2707/J2707,"")</f>
        <v>0.51588057544505017</v>
      </c>
      <c r="O2707" s="23">
        <v>0</v>
      </c>
      <c r="P2707" s="25">
        <v>0</v>
      </c>
      <c r="Q2707" s="24">
        <v>0</v>
      </c>
      <c r="R2707" s="24">
        <f>O2707-Q2707</f>
        <v>0</v>
      </c>
      <c r="S2707" s="53" t="str">
        <f>IF(O2707&lt;&gt;0,R2707/O2707,"")</f>
        <v/>
      </c>
      <c r="T2707" s="10"/>
      <c r="U2707" s="23">
        <v>0</v>
      </c>
      <c r="V2707" s="25">
        <v>0</v>
      </c>
      <c r="W2707" s="24">
        <v>0</v>
      </c>
      <c r="X2707" s="24">
        <f>U2707-W2707</f>
        <v>0</v>
      </c>
      <c r="Y2707" s="53" t="str">
        <f>IF(U2707&lt;&gt;0,X2707/U2707,"")</f>
        <v/>
      </c>
      <c r="Z2707" s="23">
        <v>0</v>
      </c>
      <c r="AA2707" s="25">
        <v>0</v>
      </c>
      <c r="AB2707" s="24">
        <v>0</v>
      </c>
      <c r="AC2707" s="24">
        <f t="shared" si="755"/>
        <v>0</v>
      </c>
      <c r="AD2707" s="53" t="str">
        <f t="shared" si="756"/>
        <v/>
      </c>
      <c r="AE2707" s="10"/>
    </row>
    <row r="2708" spans="1:31" x14ac:dyDescent="0.25">
      <c r="A2708" s="14" t="s">
        <v>109</v>
      </c>
      <c r="C2708" s="61" t="str">
        <f t="shared" si="754"/>
        <v>C100138</v>
      </c>
      <c r="F2708" s="8" t="str">
        <f>"E100016"</f>
        <v>E100016</v>
      </c>
      <c r="G2708" s="9" t="str">
        <f>"4 Function Rotating Carabiner Watch"</f>
        <v>4 Function Rotating Carabiner Watch</v>
      </c>
      <c r="H2708" s="47"/>
      <c r="I2708" s="47"/>
      <c r="J2708" s="23">
        <v>429.00000000000006</v>
      </c>
      <c r="K2708" s="25">
        <v>144</v>
      </c>
      <c r="L2708" s="24">
        <v>198.73000000000002</v>
      </c>
      <c r="M2708" s="24">
        <f>J2708-L2708</f>
        <v>230.27000000000004</v>
      </c>
      <c r="N2708" s="53">
        <f>IF(J2708&lt;&gt;0,M2708/J2708,"")</f>
        <v>0.53675990675990681</v>
      </c>
      <c r="O2708" s="23">
        <v>1287.01</v>
      </c>
      <c r="P2708" s="25">
        <v>432</v>
      </c>
      <c r="Q2708" s="24">
        <v>596.18999999999994</v>
      </c>
      <c r="R2708" s="24">
        <f>O2708-Q2708</f>
        <v>690.82</v>
      </c>
      <c r="S2708" s="53">
        <f>IF(O2708&lt;&gt;0,R2708/O2708,"")</f>
        <v>0.53676350611106372</v>
      </c>
      <c r="T2708" s="10"/>
      <c r="U2708" s="23">
        <v>429.00000000000006</v>
      </c>
      <c r="V2708" s="25">
        <v>144</v>
      </c>
      <c r="W2708" s="24">
        <v>198.73000000000002</v>
      </c>
      <c r="X2708" s="24">
        <f>U2708-W2708</f>
        <v>230.27000000000004</v>
      </c>
      <c r="Y2708" s="53">
        <f>IF(U2708&lt;&gt;0,X2708/U2708,"")</f>
        <v>0.53675990675990681</v>
      </c>
      <c r="Z2708" s="23">
        <v>0</v>
      </c>
      <c r="AA2708" s="25">
        <v>0</v>
      </c>
      <c r="AB2708" s="24">
        <v>0</v>
      </c>
      <c r="AC2708" s="24">
        <f t="shared" si="755"/>
        <v>0</v>
      </c>
      <c r="AD2708" s="53" t="str">
        <f t="shared" si="756"/>
        <v/>
      </c>
      <c r="AE2708" s="10"/>
    </row>
    <row r="2709" spans="1:31" x14ac:dyDescent="0.25">
      <c r="A2709" s="14" t="s">
        <v>109</v>
      </c>
      <c r="C2709" s="61" t="str">
        <f t="shared" si="754"/>
        <v>C100138</v>
      </c>
      <c r="F2709" s="8" t="str">
        <f>"E100017"</f>
        <v>E100017</v>
      </c>
      <c r="G2709" s="9" t="str">
        <f>"Clip-on Clock with Compass"</f>
        <v>Clip-on Clock with Compass</v>
      </c>
      <c r="H2709" s="47"/>
      <c r="I2709" s="47"/>
      <c r="J2709" s="23">
        <v>220.14999999999998</v>
      </c>
      <c r="K2709" s="25">
        <v>144</v>
      </c>
      <c r="L2709" s="24">
        <v>126.72</v>
      </c>
      <c r="M2709" s="24">
        <f>J2709-L2709</f>
        <v>93.429999999999978</v>
      </c>
      <c r="N2709" s="53">
        <f>IF(J2709&lt;&gt;0,M2709/J2709,"")</f>
        <v>0.42439245968657729</v>
      </c>
      <c r="O2709" s="23">
        <v>220.14999999999998</v>
      </c>
      <c r="P2709" s="25">
        <v>144</v>
      </c>
      <c r="Q2709" s="24">
        <v>126.72</v>
      </c>
      <c r="R2709" s="24">
        <f>O2709-Q2709</f>
        <v>93.429999999999978</v>
      </c>
      <c r="S2709" s="53">
        <f>IF(O2709&lt;&gt;0,R2709/O2709,"")</f>
        <v>0.42439245968657729</v>
      </c>
      <c r="T2709" s="10"/>
      <c r="U2709" s="23">
        <v>0</v>
      </c>
      <c r="V2709" s="25">
        <v>0</v>
      </c>
      <c r="W2709" s="24">
        <v>0</v>
      </c>
      <c r="X2709" s="24">
        <f>U2709-W2709</f>
        <v>0</v>
      </c>
      <c r="Y2709" s="53" t="str">
        <f>IF(U2709&lt;&gt;0,X2709/U2709,"")</f>
        <v/>
      </c>
      <c r="Z2709" s="23">
        <v>1.53</v>
      </c>
      <c r="AA2709" s="25">
        <v>1</v>
      </c>
      <c r="AB2709" s="24">
        <v>0.88</v>
      </c>
      <c r="AC2709" s="24">
        <f t="shared" si="755"/>
        <v>0.65</v>
      </c>
      <c r="AD2709" s="53">
        <f t="shared" si="756"/>
        <v>0.42483660130718953</v>
      </c>
      <c r="AE2709" s="10"/>
    </row>
    <row r="2710" spans="1:31" x14ac:dyDescent="0.25">
      <c r="A2710" s="14" t="s">
        <v>109</v>
      </c>
      <c r="C2710" s="61" t="str">
        <f t="shared" si="754"/>
        <v>C100138</v>
      </c>
      <c r="F2710" s="8" t="str">
        <f>"E100018"</f>
        <v>E100018</v>
      </c>
      <c r="G2710" s="9" t="str">
        <f>"Flexi-Clock &amp; Clip"</f>
        <v>Flexi-Clock &amp; Clip</v>
      </c>
      <c r="H2710" s="47"/>
      <c r="I2710" s="47"/>
      <c r="J2710" s="23">
        <v>159.51</v>
      </c>
      <c r="K2710" s="25">
        <v>147</v>
      </c>
      <c r="L2710" s="24">
        <v>88.19</v>
      </c>
      <c r="M2710" s="24">
        <f>J2710-L2710</f>
        <v>71.319999999999993</v>
      </c>
      <c r="N2710" s="53">
        <f>IF(J2710&lt;&gt;0,M2710/J2710,"")</f>
        <v>0.4471193028650241</v>
      </c>
      <c r="O2710" s="23">
        <v>0</v>
      </c>
      <c r="P2710" s="25">
        <v>0</v>
      </c>
      <c r="Q2710" s="24">
        <v>0</v>
      </c>
      <c r="R2710" s="24">
        <f>O2710-Q2710</f>
        <v>0</v>
      </c>
      <c r="S2710" s="53" t="str">
        <f>IF(O2710&lt;&gt;0,R2710/O2710,"")</f>
        <v/>
      </c>
      <c r="T2710" s="10"/>
      <c r="U2710" s="23">
        <v>172.76000000000002</v>
      </c>
      <c r="V2710" s="25">
        <v>156</v>
      </c>
      <c r="W2710" s="24">
        <v>93.59</v>
      </c>
      <c r="X2710" s="24">
        <f>U2710-W2710</f>
        <v>79.170000000000016</v>
      </c>
      <c r="Y2710" s="53">
        <f>IF(U2710&lt;&gt;0,X2710/U2710,"")</f>
        <v>0.45826580226904379</v>
      </c>
      <c r="Z2710" s="23">
        <v>1.1100000000000001</v>
      </c>
      <c r="AA2710" s="25">
        <v>1</v>
      </c>
      <c r="AB2710" s="24">
        <v>0.6</v>
      </c>
      <c r="AC2710" s="24">
        <f t="shared" si="755"/>
        <v>0.51000000000000012</v>
      </c>
      <c r="AD2710" s="53">
        <f t="shared" si="756"/>
        <v>0.45945945945945954</v>
      </c>
      <c r="AE2710" s="10"/>
    </row>
    <row r="2711" spans="1:31" x14ac:dyDescent="0.25">
      <c r="A2711" s="14" t="s">
        <v>109</v>
      </c>
      <c r="C2711" s="61" t="str">
        <f t="shared" si="754"/>
        <v>C100138</v>
      </c>
      <c r="F2711" s="8" t="str">
        <f>"S100002"</f>
        <v>S100002</v>
      </c>
      <c r="G2711" s="9" t="str">
        <f>"Football Graphic Plaque"</f>
        <v>Football Graphic Plaque</v>
      </c>
      <c r="H2711" s="47"/>
      <c r="I2711" s="47"/>
      <c r="J2711" s="23">
        <v>3418.6800000000003</v>
      </c>
      <c r="K2711" s="25">
        <v>144</v>
      </c>
      <c r="L2711" s="24">
        <v>1712.1699999999998</v>
      </c>
      <c r="M2711" s="24">
        <f>J2711-L2711</f>
        <v>1706.5100000000004</v>
      </c>
      <c r="N2711" s="53">
        <f>IF(J2711&lt;&gt;0,M2711/J2711,"")</f>
        <v>0.49917219511624378</v>
      </c>
      <c r="O2711" s="23">
        <v>3489.9</v>
      </c>
      <c r="P2711" s="25">
        <v>144</v>
      </c>
      <c r="Q2711" s="24">
        <v>1712.1699999999998</v>
      </c>
      <c r="R2711" s="24">
        <f>O2711-Q2711</f>
        <v>1777.7300000000002</v>
      </c>
      <c r="S2711" s="53">
        <f>IF(O2711&lt;&gt;0,R2711/O2711,"")</f>
        <v>0.50939281927848945</v>
      </c>
      <c r="T2711" s="10"/>
      <c r="U2711" s="23">
        <v>6908.58</v>
      </c>
      <c r="V2711" s="25">
        <v>288</v>
      </c>
      <c r="W2711" s="24">
        <v>3424.3399999999997</v>
      </c>
      <c r="X2711" s="24">
        <f>U2711-W2711</f>
        <v>3484.2400000000002</v>
      </c>
      <c r="Y2711" s="53">
        <f>IF(U2711&lt;&gt;0,X2711/U2711,"")</f>
        <v>0.50433518899687058</v>
      </c>
      <c r="Z2711" s="23">
        <v>1163.3</v>
      </c>
      <c r="AA2711" s="25">
        <v>48</v>
      </c>
      <c r="AB2711" s="24">
        <v>570.72</v>
      </c>
      <c r="AC2711" s="24">
        <f t="shared" si="755"/>
        <v>592.57999999999993</v>
      </c>
      <c r="AD2711" s="53">
        <f t="shared" si="756"/>
        <v>0.50939568469010565</v>
      </c>
      <c r="AE2711" s="10"/>
    </row>
    <row r="2712" spans="1:31" x14ac:dyDescent="0.25">
      <c r="A2712" s="14" t="s">
        <v>109</v>
      </c>
      <c r="C2712" s="61" t="str">
        <f t="shared" si="754"/>
        <v>C100138</v>
      </c>
      <c r="F2712" s="8" t="str">
        <f>"S100003"</f>
        <v>S100003</v>
      </c>
      <c r="G2712" s="9" t="str">
        <f>"Soccer #1 Pin"</f>
        <v>Soccer #1 Pin</v>
      </c>
      <c r="H2712" s="47"/>
      <c r="I2712" s="47"/>
      <c r="J2712" s="23">
        <v>652.68000000000006</v>
      </c>
      <c r="K2712" s="25">
        <v>450</v>
      </c>
      <c r="L2712" s="24">
        <v>405.00000000000006</v>
      </c>
      <c r="M2712" s="24">
        <f>J2712-L2712</f>
        <v>247.68</v>
      </c>
      <c r="N2712" s="53">
        <f>IF(J2712&lt;&gt;0,M2712/J2712,"")</f>
        <v>0.37948152233866517</v>
      </c>
      <c r="O2712" s="23">
        <v>211.68</v>
      </c>
      <c r="P2712" s="25">
        <v>144</v>
      </c>
      <c r="Q2712" s="24">
        <v>129.6</v>
      </c>
      <c r="R2712" s="24">
        <f>O2712-Q2712</f>
        <v>82.080000000000013</v>
      </c>
      <c r="S2712" s="53">
        <f>IF(O2712&lt;&gt;0,R2712/O2712,"")</f>
        <v>0.38775510204081637</v>
      </c>
      <c r="T2712" s="10"/>
      <c r="U2712" s="23">
        <v>424.80000000000007</v>
      </c>
      <c r="V2712" s="25">
        <v>289</v>
      </c>
      <c r="W2712" s="24">
        <v>260.10000000000002</v>
      </c>
      <c r="X2712" s="24">
        <f>U2712-W2712</f>
        <v>164.70000000000005</v>
      </c>
      <c r="Y2712" s="53">
        <f>IF(U2712&lt;&gt;0,X2712/U2712,"")</f>
        <v>0.38771186440677968</v>
      </c>
      <c r="Z2712" s="23">
        <v>0</v>
      </c>
      <c r="AA2712" s="25">
        <v>0</v>
      </c>
      <c r="AB2712" s="24">
        <v>0</v>
      </c>
      <c r="AC2712" s="24">
        <f t="shared" si="755"/>
        <v>0</v>
      </c>
      <c r="AD2712" s="53" t="str">
        <f t="shared" si="756"/>
        <v/>
      </c>
      <c r="AE2712" s="10"/>
    </row>
    <row r="2713" spans="1:31" x14ac:dyDescent="0.25">
      <c r="A2713" s="14" t="s">
        <v>109</v>
      </c>
      <c r="C2713" s="61" t="str">
        <f t="shared" si="754"/>
        <v>C100138</v>
      </c>
      <c r="F2713" s="8" t="str">
        <f>"S100004"</f>
        <v>S100004</v>
      </c>
      <c r="G2713" s="9" t="str">
        <f>"Award Medallian - 2''"</f>
        <v>Award Medallian - 2''</v>
      </c>
      <c r="H2713" s="47"/>
      <c r="I2713" s="47"/>
      <c r="J2713" s="23">
        <v>1995.4399999999998</v>
      </c>
      <c r="K2713" s="25">
        <v>144</v>
      </c>
      <c r="L2713" s="24">
        <v>960.48</v>
      </c>
      <c r="M2713" s="24">
        <f>J2713-L2713</f>
        <v>1034.9599999999998</v>
      </c>
      <c r="N2713" s="53">
        <f>IF(J2713&lt;&gt;0,M2713/J2713,"")</f>
        <v>0.51866255061540312</v>
      </c>
      <c r="O2713" s="23">
        <v>0</v>
      </c>
      <c r="P2713" s="25">
        <v>0</v>
      </c>
      <c r="Q2713" s="24">
        <v>0</v>
      </c>
      <c r="R2713" s="24">
        <f>O2713-Q2713</f>
        <v>0</v>
      </c>
      <c r="S2713" s="53" t="str">
        <f>IF(O2713&lt;&gt;0,R2713/O2713,"")</f>
        <v/>
      </c>
      <c r="T2713" s="10"/>
      <c r="U2713" s="23">
        <v>13.86</v>
      </c>
      <c r="V2713" s="25">
        <v>1</v>
      </c>
      <c r="W2713" s="24">
        <v>6.67</v>
      </c>
      <c r="X2713" s="24">
        <f>U2713-W2713</f>
        <v>7.1899999999999995</v>
      </c>
      <c r="Y2713" s="53">
        <f>IF(U2713&lt;&gt;0,X2713/U2713,"")</f>
        <v>0.51875901875901875</v>
      </c>
      <c r="Z2713" s="23">
        <v>0</v>
      </c>
      <c r="AA2713" s="25">
        <v>0</v>
      </c>
      <c r="AB2713" s="24">
        <v>0</v>
      </c>
      <c r="AC2713" s="24">
        <f t="shared" si="755"/>
        <v>0</v>
      </c>
      <c r="AD2713" s="53" t="str">
        <f t="shared" si="756"/>
        <v/>
      </c>
      <c r="AE2713" s="10"/>
    </row>
    <row r="2714" spans="1:31" x14ac:dyDescent="0.25">
      <c r="A2714" s="14" t="s">
        <v>109</v>
      </c>
      <c r="C2714" s="61" t="str">
        <f t="shared" si="754"/>
        <v>C100138</v>
      </c>
      <c r="F2714" s="8" t="str">
        <f>"S100005"</f>
        <v>S100005</v>
      </c>
      <c r="G2714" s="9" t="str">
        <f>"Award Medallian - 2.5''"</f>
        <v>Award Medallian - 2.5''</v>
      </c>
      <c r="H2714" s="47"/>
      <c r="I2714" s="47"/>
      <c r="J2714" s="23">
        <v>0</v>
      </c>
      <c r="K2714" s="25">
        <v>0</v>
      </c>
      <c r="L2714" s="24">
        <v>0</v>
      </c>
      <c r="M2714" s="24">
        <f>J2714-L2714</f>
        <v>0</v>
      </c>
      <c r="N2714" s="53" t="str">
        <f>IF(J2714&lt;&gt;0,M2714/J2714,"")</f>
        <v/>
      </c>
      <c r="O2714" s="23">
        <v>1223.51</v>
      </c>
      <c r="P2714" s="25">
        <v>144</v>
      </c>
      <c r="Q2714" s="24">
        <v>751.69</v>
      </c>
      <c r="R2714" s="24">
        <f>O2714-Q2714</f>
        <v>471.81999999999994</v>
      </c>
      <c r="S2714" s="53">
        <f>IF(O2714&lt;&gt;0,R2714/O2714,"")</f>
        <v>0.38562823352485875</v>
      </c>
      <c r="T2714" s="10"/>
      <c r="U2714" s="23">
        <v>0</v>
      </c>
      <c r="V2714" s="25">
        <v>0</v>
      </c>
      <c r="W2714" s="24">
        <v>0</v>
      </c>
      <c r="X2714" s="24">
        <f>U2714-W2714</f>
        <v>0</v>
      </c>
      <c r="Y2714" s="53" t="str">
        <f>IF(U2714&lt;&gt;0,X2714/U2714,"")</f>
        <v/>
      </c>
      <c r="Z2714" s="23">
        <v>0</v>
      </c>
      <c r="AA2714" s="25">
        <v>0</v>
      </c>
      <c r="AB2714" s="24">
        <v>0</v>
      </c>
      <c r="AC2714" s="24">
        <f t="shared" si="755"/>
        <v>0</v>
      </c>
      <c r="AD2714" s="53" t="str">
        <f t="shared" si="756"/>
        <v/>
      </c>
      <c r="AE2714" s="10"/>
    </row>
    <row r="2715" spans="1:31" x14ac:dyDescent="0.25">
      <c r="A2715" s="14" t="s">
        <v>109</v>
      </c>
      <c r="C2715" s="61" t="str">
        <f t="shared" si="754"/>
        <v>C100138</v>
      </c>
      <c r="F2715" s="8" t="str">
        <f>"S100006"</f>
        <v>S100006</v>
      </c>
      <c r="G2715" s="9" t="str">
        <f>"Award Medallian - 3''"</f>
        <v>Award Medallian - 3''</v>
      </c>
      <c r="H2715" s="47"/>
      <c r="I2715" s="47"/>
      <c r="J2715" s="23">
        <v>5429.5999999999995</v>
      </c>
      <c r="K2715" s="25">
        <v>486</v>
      </c>
      <c r="L2715" s="24">
        <v>3596.3700000000003</v>
      </c>
      <c r="M2715" s="24">
        <f>J2715-L2715</f>
        <v>1833.2299999999991</v>
      </c>
      <c r="N2715" s="53">
        <f>IF(J2715&lt;&gt;0,M2715/J2715,"")</f>
        <v>0.33763628996611156</v>
      </c>
      <c r="O2715" s="23">
        <v>547.42999999999995</v>
      </c>
      <c r="P2715" s="25">
        <v>49</v>
      </c>
      <c r="Q2715" s="24">
        <v>362.59999999999997</v>
      </c>
      <c r="R2715" s="24">
        <f>O2715-Q2715</f>
        <v>184.82999999999998</v>
      </c>
      <c r="S2715" s="53">
        <f>IF(O2715&lt;&gt;0,R2715/O2715,"")</f>
        <v>0.33763220868421534</v>
      </c>
      <c r="T2715" s="10"/>
      <c r="U2715" s="23">
        <v>3184.71</v>
      </c>
      <c r="V2715" s="25">
        <v>288</v>
      </c>
      <c r="W2715" s="24">
        <v>2131.1800000000003</v>
      </c>
      <c r="X2715" s="24">
        <f>U2715-W2715</f>
        <v>1053.5299999999997</v>
      </c>
      <c r="Y2715" s="53">
        <f>IF(U2715&lt;&gt;0,X2715/U2715,"")</f>
        <v>0.3308087706572968</v>
      </c>
      <c r="Z2715" s="23">
        <v>0</v>
      </c>
      <c r="AA2715" s="25">
        <v>0</v>
      </c>
      <c r="AB2715" s="24">
        <v>0</v>
      </c>
      <c r="AC2715" s="24">
        <f t="shared" si="755"/>
        <v>0</v>
      </c>
      <c r="AD2715" s="53" t="str">
        <f t="shared" si="756"/>
        <v/>
      </c>
      <c r="AE2715" s="10"/>
    </row>
    <row r="2716" spans="1:31" x14ac:dyDescent="0.25">
      <c r="A2716" s="14" t="s">
        <v>109</v>
      </c>
      <c r="C2716" s="61" t="str">
        <f t="shared" si="754"/>
        <v>C100138</v>
      </c>
      <c r="F2716" s="8" t="str">
        <f>"S100007"</f>
        <v>S100007</v>
      </c>
      <c r="G2716" s="9" t="str">
        <f>"Baseball Figure Trophy"</f>
        <v>Baseball Figure Trophy</v>
      </c>
      <c r="H2716" s="47"/>
      <c r="I2716" s="47"/>
      <c r="J2716" s="23">
        <v>1129.54</v>
      </c>
      <c r="K2716" s="25">
        <v>156</v>
      </c>
      <c r="L2716" s="24">
        <v>574.08000000000004</v>
      </c>
      <c r="M2716" s="24">
        <f>J2716-L2716</f>
        <v>555.45999999999992</v>
      </c>
      <c r="N2716" s="53">
        <f>IF(J2716&lt;&gt;0,M2716/J2716,"")</f>
        <v>0.49175770667705432</v>
      </c>
      <c r="O2716" s="23">
        <v>0</v>
      </c>
      <c r="P2716" s="25">
        <v>0</v>
      </c>
      <c r="Q2716" s="24">
        <v>0</v>
      </c>
      <c r="R2716" s="24">
        <f>O2716-Q2716</f>
        <v>0</v>
      </c>
      <c r="S2716" s="53" t="str">
        <f>IF(O2716&lt;&gt;0,R2716/O2716,"")</f>
        <v/>
      </c>
      <c r="T2716" s="10"/>
      <c r="U2716" s="23">
        <v>0</v>
      </c>
      <c r="V2716" s="25">
        <v>0</v>
      </c>
      <c r="W2716" s="24">
        <v>0</v>
      </c>
      <c r="X2716" s="24">
        <f>U2716-W2716</f>
        <v>0</v>
      </c>
      <c r="Y2716" s="53" t="str">
        <f>IF(U2716&lt;&gt;0,X2716/U2716,"")</f>
        <v/>
      </c>
      <c r="Z2716" s="23">
        <v>0</v>
      </c>
      <c r="AA2716" s="25">
        <v>0</v>
      </c>
      <c r="AB2716" s="24">
        <v>0</v>
      </c>
      <c r="AC2716" s="24">
        <f t="shared" si="755"/>
        <v>0</v>
      </c>
      <c r="AD2716" s="53" t="str">
        <f t="shared" si="756"/>
        <v/>
      </c>
      <c r="AE2716" s="10"/>
    </row>
    <row r="2717" spans="1:31" x14ac:dyDescent="0.25">
      <c r="A2717" s="14" t="s">
        <v>109</v>
      </c>
      <c r="C2717" s="61" t="str">
        <f t="shared" si="754"/>
        <v>C100138</v>
      </c>
      <c r="F2717" s="8" t="str">
        <f>"S100008"</f>
        <v>S100008</v>
      </c>
      <c r="G2717" s="9" t="str">
        <f>"Soccer Figure Trophy"</f>
        <v>Soccer Figure Trophy</v>
      </c>
      <c r="H2717" s="47"/>
      <c r="I2717" s="47"/>
      <c r="J2717" s="23">
        <v>2227.8200000000002</v>
      </c>
      <c r="K2717" s="25">
        <v>390</v>
      </c>
      <c r="L2717" s="24">
        <v>1435.1999999999998</v>
      </c>
      <c r="M2717" s="24">
        <f>J2717-L2717</f>
        <v>792.62000000000035</v>
      </c>
      <c r="N2717" s="53">
        <f>IF(J2717&lt;&gt;0,M2717/J2717,"")</f>
        <v>0.35578278316919693</v>
      </c>
      <c r="O2717" s="23">
        <v>0</v>
      </c>
      <c r="P2717" s="25">
        <v>0</v>
      </c>
      <c r="Q2717" s="24">
        <v>0</v>
      </c>
      <c r="R2717" s="24">
        <f>O2717-Q2717</f>
        <v>0</v>
      </c>
      <c r="S2717" s="53" t="str">
        <f>IF(O2717&lt;&gt;0,R2717/O2717,"")</f>
        <v/>
      </c>
      <c r="T2717" s="10"/>
      <c r="U2717" s="23">
        <v>3023.47</v>
      </c>
      <c r="V2717" s="25">
        <v>528</v>
      </c>
      <c r="W2717" s="24">
        <v>1943.04</v>
      </c>
      <c r="X2717" s="24">
        <f>U2717-W2717</f>
        <v>1080.4299999999998</v>
      </c>
      <c r="Y2717" s="53">
        <f>IF(U2717&lt;&gt;0,X2717/U2717,"")</f>
        <v>0.35734768329105299</v>
      </c>
      <c r="Z2717" s="23">
        <v>0</v>
      </c>
      <c r="AA2717" s="25">
        <v>0</v>
      </c>
      <c r="AB2717" s="24">
        <v>0</v>
      </c>
      <c r="AC2717" s="24">
        <f t="shared" si="755"/>
        <v>0</v>
      </c>
      <c r="AD2717" s="53" t="str">
        <f t="shared" si="756"/>
        <v/>
      </c>
      <c r="AE2717" s="10"/>
    </row>
    <row r="2718" spans="1:31" x14ac:dyDescent="0.25">
      <c r="A2718" s="14" t="s">
        <v>109</v>
      </c>
      <c r="C2718" s="61" t="str">
        <f t="shared" si="754"/>
        <v>C100138</v>
      </c>
      <c r="F2718" s="8" t="str">
        <f>"S100009"</f>
        <v>S100009</v>
      </c>
      <c r="G2718" s="9" t="str">
        <f>"Engraved Basketball Award"</f>
        <v>Engraved Basketball Award</v>
      </c>
      <c r="H2718" s="47"/>
      <c r="I2718" s="47"/>
      <c r="J2718" s="23">
        <v>5402.08</v>
      </c>
      <c r="K2718" s="25">
        <v>288</v>
      </c>
      <c r="L2718" s="24">
        <v>2540.14</v>
      </c>
      <c r="M2718" s="24">
        <f>J2718-L2718</f>
        <v>2861.94</v>
      </c>
      <c r="N2718" s="53">
        <f>IF(J2718&lt;&gt;0,M2718/J2718,"")</f>
        <v>0.52978482362349322</v>
      </c>
      <c r="O2718" s="23">
        <v>0</v>
      </c>
      <c r="P2718" s="25">
        <v>0</v>
      </c>
      <c r="Q2718" s="24">
        <v>0</v>
      </c>
      <c r="R2718" s="24">
        <f>O2718-Q2718</f>
        <v>0</v>
      </c>
      <c r="S2718" s="53" t="str">
        <f>IF(O2718&lt;&gt;0,R2718/O2718,"")</f>
        <v/>
      </c>
      <c r="T2718" s="10"/>
      <c r="U2718" s="23">
        <v>112.54</v>
      </c>
      <c r="V2718" s="25">
        <v>6</v>
      </c>
      <c r="W2718" s="24">
        <v>52.92</v>
      </c>
      <c r="X2718" s="24">
        <f>U2718-W2718</f>
        <v>59.620000000000005</v>
      </c>
      <c r="Y2718" s="53">
        <f>IF(U2718&lt;&gt;0,X2718/U2718,"")</f>
        <v>0.52976719388661808</v>
      </c>
      <c r="Z2718" s="23">
        <v>-112.54</v>
      </c>
      <c r="AA2718" s="25">
        <v>-6</v>
      </c>
      <c r="AB2718" s="24">
        <v>-52.92</v>
      </c>
      <c r="AC2718" s="24">
        <f t="shared" si="755"/>
        <v>-59.620000000000005</v>
      </c>
      <c r="AD2718" s="53">
        <f t="shared" si="756"/>
        <v>0.52976719388661808</v>
      </c>
      <c r="AE2718" s="10"/>
    </row>
    <row r="2719" spans="1:31" x14ac:dyDescent="0.25">
      <c r="A2719" s="14" t="s">
        <v>109</v>
      </c>
      <c r="C2719" s="61" t="str">
        <f t="shared" si="754"/>
        <v>C100138</v>
      </c>
      <c r="F2719" s="8" t="str">
        <f>"S100010"</f>
        <v>S100010</v>
      </c>
      <c r="G2719" s="9" t="str">
        <f>"Golf Relaxed Cap"</f>
        <v>Golf Relaxed Cap</v>
      </c>
      <c r="H2719" s="47"/>
      <c r="I2719" s="47"/>
      <c r="J2719" s="23">
        <v>1462.21</v>
      </c>
      <c r="K2719" s="25">
        <v>145</v>
      </c>
      <c r="L2719" s="24">
        <v>883.06000000000006</v>
      </c>
      <c r="M2719" s="24">
        <f>J2719-L2719</f>
        <v>579.15</v>
      </c>
      <c r="N2719" s="53">
        <f>IF(J2719&lt;&gt;0,M2719/J2719,"")</f>
        <v>0.39607853865039905</v>
      </c>
      <c r="O2719" s="23">
        <v>0</v>
      </c>
      <c r="P2719" s="25">
        <v>0</v>
      </c>
      <c r="Q2719" s="24">
        <v>0</v>
      </c>
      <c r="R2719" s="24">
        <f>O2719-Q2719</f>
        <v>0</v>
      </c>
      <c r="S2719" s="53" t="str">
        <f>IF(O2719&lt;&gt;0,R2719/O2719,"")</f>
        <v/>
      </c>
      <c r="T2719" s="10"/>
      <c r="U2719" s="23">
        <v>2904.24</v>
      </c>
      <c r="V2719" s="25">
        <v>288</v>
      </c>
      <c r="W2719" s="24">
        <v>1753.94</v>
      </c>
      <c r="X2719" s="24">
        <f>U2719-W2719</f>
        <v>1150.2999999999997</v>
      </c>
      <c r="Y2719" s="53">
        <f>IF(U2719&lt;&gt;0,X2719/U2719,"")</f>
        <v>0.39607608186651233</v>
      </c>
      <c r="Z2719" s="23">
        <v>0</v>
      </c>
      <c r="AA2719" s="25">
        <v>0</v>
      </c>
      <c r="AB2719" s="24">
        <v>0</v>
      </c>
      <c r="AC2719" s="24">
        <f t="shared" si="755"/>
        <v>0</v>
      </c>
      <c r="AD2719" s="53" t="str">
        <f t="shared" si="756"/>
        <v/>
      </c>
      <c r="AE2719" s="10"/>
    </row>
    <row r="2720" spans="1:31" x14ac:dyDescent="0.25">
      <c r="A2720" s="14" t="s">
        <v>109</v>
      </c>
      <c r="C2720" s="61" t="str">
        <f t="shared" si="754"/>
        <v>C100138</v>
      </c>
      <c r="F2720" s="8" t="str">
        <f>"S100011"</f>
        <v>S100011</v>
      </c>
      <c r="G2720" s="9" t="str">
        <f>"All Star Cap"</f>
        <v>All Star Cap</v>
      </c>
      <c r="H2720" s="47"/>
      <c r="I2720" s="47"/>
      <c r="J2720" s="23">
        <v>201.84000000000003</v>
      </c>
      <c r="K2720" s="25">
        <v>145</v>
      </c>
      <c r="L2720" s="24">
        <v>123.26</v>
      </c>
      <c r="M2720" s="24">
        <f>J2720-L2720</f>
        <v>78.580000000000027</v>
      </c>
      <c r="N2720" s="53">
        <f>IF(J2720&lt;&gt;0,M2720/J2720,"")</f>
        <v>0.38931827189853357</v>
      </c>
      <c r="O2720" s="23">
        <v>214.57000000000002</v>
      </c>
      <c r="P2720" s="25">
        <v>151</v>
      </c>
      <c r="Q2720" s="24">
        <v>128.35999999999999</v>
      </c>
      <c r="R2720" s="24">
        <f>O2720-Q2720</f>
        <v>86.210000000000036</v>
      </c>
      <c r="S2720" s="53">
        <f>IF(O2720&lt;&gt;0,R2720/O2720,"")</f>
        <v>0.40178030479563792</v>
      </c>
      <c r="T2720" s="10"/>
      <c r="U2720" s="23">
        <v>0</v>
      </c>
      <c r="V2720" s="25">
        <v>0</v>
      </c>
      <c r="W2720" s="24">
        <v>0</v>
      </c>
      <c r="X2720" s="24">
        <f>U2720-W2720</f>
        <v>0</v>
      </c>
      <c r="Y2720" s="53" t="str">
        <f>IF(U2720&lt;&gt;0,X2720/U2720,"")</f>
        <v/>
      </c>
      <c r="Z2720" s="23">
        <v>204.62</v>
      </c>
      <c r="AA2720" s="25">
        <v>144</v>
      </c>
      <c r="AB2720" s="24">
        <v>122.41</v>
      </c>
      <c r="AC2720" s="24">
        <f t="shared" si="755"/>
        <v>82.210000000000008</v>
      </c>
      <c r="AD2720" s="53">
        <f t="shared" si="756"/>
        <v>0.40176913302707462</v>
      </c>
      <c r="AE2720" s="10"/>
    </row>
    <row r="2721" spans="1:31" x14ac:dyDescent="0.25">
      <c r="A2721" s="14" t="s">
        <v>109</v>
      </c>
      <c r="C2721" s="61" t="str">
        <f t="shared" si="754"/>
        <v>C100138</v>
      </c>
      <c r="F2721" s="8" t="str">
        <f>"S100012"</f>
        <v>S100012</v>
      </c>
      <c r="G2721" s="9" t="str">
        <f>"Raw-Edge Patch BALL CAP"</f>
        <v>Raw-Edge Patch BALL CAP</v>
      </c>
      <c r="H2721" s="47"/>
      <c r="I2721" s="47"/>
      <c r="J2721" s="23">
        <v>1482.1000000000001</v>
      </c>
      <c r="K2721" s="25">
        <v>145</v>
      </c>
      <c r="L2721" s="24">
        <v>813.44999999999993</v>
      </c>
      <c r="M2721" s="24">
        <f>J2721-L2721</f>
        <v>668.6500000000002</v>
      </c>
      <c r="N2721" s="53">
        <f>IF(J2721&lt;&gt;0,M2721/J2721,"")</f>
        <v>0.45115039471020857</v>
      </c>
      <c r="O2721" s="23">
        <v>0</v>
      </c>
      <c r="P2721" s="25">
        <v>0</v>
      </c>
      <c r="Q2721" s="24">
        <v>0</v>
      </c>
      <c r="R2721" s="24">
        <f>O2721-Q2721</f>
        <v>0</v>
      </c>
      <c r="S2721" s="53" t="str">
        <f>IF(O2721&lt;&gt;0,R2721/O2721,"")</f>
        <v/>
      </c>
      <c r="T2721" s="10"/>
      <c r="U2721" s="23">
        <v>0</v>
      </c>
      <c r="V2721" s="25">
        <v>0</v>
      </c>
      <c r="W2721" s="24">
        <v>0</v>
      </c>
      <c r="X2721" s="24">
        <f>U2721-W2721</f>
        <v>0</v>
      </c>
      <c r="Y2721" s="53" t="str">
        <f>IF(U2721&lt;&gt;0,X2721/U2721,"")</f>
        <v/>
      </c>
      <c r="Z2721" s="23">
        <v>0</v>
      </c>
      <c r="AA2721" s="25">
        <v>0</v>
      </c>
      <c r="AB2721" s="24">
        <v>0</v>
      </c>
      <c r="AC2721" s="24">
        <f t="shared" si="755"/>
        <v>0</v>
      </c>
      <c r="AD2721" s="53" t="str">
        <f t="shared" si="756"/>
        <v/>
      </c>
      <c r="AE2721" s="10"/>
    </row>
    <row r="2722" spans="1:31" x14ac:dyDescent="0.25">
      <c r="A2722" s="14" t="s">
        <v>109</v>
      </c>
      <c r="C2722" s="61" t="str">
        <f t="shared" si="754"/>
        <v>C100138</v>
      </c>
      <c r="F2722" s="8" t="str">
        <f>"S100014"</f>
        <v>S100014</v>
      </c>
      <c r="G2722" s="9" t="str">
        <f>"Chunky Knit Hat"</f>
        <v>Chunky Knit Hat</v>
      </c>
      <c r="H2722" s="47"/>
      <c r="I2722" s="47"/>
      <c r="J2722" s="23">
        <v>2765.96</v>
      </c>
      <c r="K2722" s="25">
        <v>288</v>
      </c>
      <c r="L2722" s="24">
        <v>1486.06</v>
      </c>
      <c r="M2722" s="24">
        <f>J2722-L2722</f>
        <v>1279.9000000000001</v>
      </c>
      <c r="N2722" s="53">
        <f>IF(J2722&lt;&gt;0,M2722/J2722,"")</f>
        <v>0.46273264978524636</v>
      </c>
      <c r="O2722" s="23">
        <v>0</v>
      </c>
      <c r="P2722" s="25">
        <v>0</v>
      </c>
      <c r="Q2722" s="24">
        <v>0</v>
      </c>
      <c r="R2722" s="24">
        <f>O2722-Q2722</f>
        <v>0</v>
      </c>
      <c r="S2722" s="53" t="str">
        <f>IF(O2722&lt;&gt;0,R2722/O2722,"")</f>
        <v/>
      </c>
      <c r="T2722" s="10"/>
      <c r="U2722" s="23">
        <v>0</v>
      </c>
      <c r="V2722" s="25">
        <v>0</v>
      </c>
      <c r="W2722" s="24">
        <v>0</v>
      </c>
      <c r="X2722" s="24">
        <f>U2722-W2722</f>
        <v>0</v>
      </c>
      <c r="Y2722" s="53" t="str">
        <f>IF(U2722&lt;&gt;0,X2722/U2722,"")</f>
        <v/>
      </c>
      <c r="Z2722" s="23">
        <v>1382.98</v>
      </c>
      <c r="AA2722" s="25">
        <v>144</v>
      </c>
      <c r="AB2722" s="24">
        <v>743.03</v>
      </c>
      <c r="AC2722" s="24">
        <f t="shared" si="755"/>
        <v>639.95000000000005</v>
      </c>
      <c r="AD2722" s="53">
        <f t="shared" si="756"/>
        <v>0.46273264978524636</v>
      </c>
      <c r="AE2722" s="10"/>
    </row>
    <row r="2723" spans="1:31" x14ac:dyDescent="0.25">
      <c r="A2723" s="14" t="s">
        <v>109</v>
      </c>
      <c r="C2723" s="61" t="str">
        <f t="shared" si="754"/>
        <v>C100138</v>
      </c>
      <c r="F2723" s="8" t="str">
        <f>"S100015"</f>
        <v>S100015</v>
      </c>
      <c r="G2723" s="9" t="str">
        <f>"Raw-Edge Bucket Hat"</f>
        <v>Raw-Edge Bucket Hat</v>
      </c>
      <c r="H2723" s="47"/>
      <c r="I2723" s="47"/>
      <c r="J2723" s="23">
        <v>2064.4699999999998</v>
      </c>
      <c r="K2723" s="25">
        <v>288</v>
      </c>
      <c r="L2723" s="24">
        <v>1048.3400000000001</v>
      </c>
      <c r="M2723" s="24">
        <f>J2723-L2723</f>
        <v>1016.1299999999997</v>
      </c>
      <c r="N2723" s="53">
        <f>IF(J2723&lt;&gt;0,M2723/J2723,"")</f>
        <v>0.49219896632065363</v>
      </c>
      <c r="O2723" s="23">
        <v>7.24</v>
      </c>
      <c r="P2723" s="25">
        <v>1</v>
      </c>
      <c r="Q2723" s="24">
        <v>3.64</v>
      </c>
      <c r="R2723" s="24">
        <f>O2723-Q2723</f>
        <v>3.6</v>
      </c>
      <c r="S2723" s="53">
        <f>IF(O2723&lt;&gt;0,R2723/O2723,"")</f>
        <v>0.49723756906077349</v>
      </c>
      <c r="T2723" s="10"/>
      <c r="U2723" s="23">
        <v>2085.7600000000002</v>
      </c>
      <c r="V2723" s="25">
        <v>288</v>
      </c>
      <c r="W2723" s="24">
        <v>1048.3400000000001</v>
      </c>
      <c r="X2723" s="24">
        <f>U2723-W2723</f>
        <v>1037.42</v>
      </c>
      <c r="Y2723" s="53">
        <f>IF(U2723&lt;&gt;0,X2723/U2723,"")</f>
        <v>0.49738224915618284</v>
      </c>
      <c r="Z2723" s="23">
        <v>1042.8800000000001</v>
      </c>
      <c r="AA2723" s="25">
        <v>144</v>
      </c>
      <c r="AB2723" s="24">
        <v>524.17000000000007</v>
      </c>
      <c r="AC2723" s="24">
        <f t="shared" si="755"/>
        <v>518.71</v>
      </c>
      <c r="AD2723" s="53">
        <f t="shared" si="756"/>
        <v>0.49738224915618284</v>
      </c>
      <c r="AE2723" s="10"/>
    </row>
    <row r="2724" spans="1:31" x14ac:dyDescent="0.25">
      <c r="A2724" s="14" t="s">
        <v>109</v>
      </c>
      <c r="C2724" s="61" t="str">
        <f t="shared" si="754"/>
        <v>C100138</v>
      </c>
      <c r="F2724" s="8" t="str">
        <f>"S100016"</f>
        <v>S100016</v>
      </c>
      <c r="G2724" s="9" t="str">
        <f>"Mesh Bucket Hat"</f>
        <v>Mesh Bucket Hat</v>
      </c>
      <c r="H2724" s="47"/>
      <c r="I2724" s="47"/>
      <c r="J2724" s="23">
        <v>1405.56</v>
      </c>
      <c r="K2724" s="25">
        <v>288</v>
      </c>
      <c r="L2724" s="24">
        <v>792.02</v>
      </c>
      <c r="M2724" s="24">
        <f>J2724-L2724</f>
        <v>613.54</v>
      </c>
      <c r="N2724" s="53">
        <f>IF(J2724&lt;&gt;0,M2724/J2724,"")</f>
        <v>0.43650929167022395</v>
      </c>
      <c r="O2724" s="23">
        <v>0</v>
      </c>
      <c r="P2724" s="25">
        <v>0</v>
      </c>
      <c r="Q2724" s="24">
        <v>0</v>
      </c>
      <c r="R2724" s="24">
        <f>O2724-Q2724</f>
        <v>0</v>
      </c>
      <c r="S2724" s="53" t="str">
        <f>IF(O2724&lt;&gt;0,R2724/O2724,"")</f>
        <v/>
      </c>
      <c r="T2724" s="10"/>
      <c r="U2724" s="23">
        <v>1400.88</v>
      </c>
      <c r="V2724" s="25">
        <v>290</v>
      </c>
      <c r="W2724" s="24">
        <v>797.52</v>
      </c>
      <c r="X2724" s="24">
        <f>U2724-W2724</f>
        <v>603.36000000000013</v>
      </c>
      <c r="Y2724" s="53">
        <f>IF(U2724&lt;&gt;0,X2724/U2724,"")</f>
        <v>0.43070070241562453</v>
      </c>
      <c r="Z2724" s="23">
        <v>0</v>
      </c>
      <c r="AA2724" s="25">
        <v>0</v>
      </c>
      <c r="AB2724" s="24">
        <v>0</v>
      </c>
      <c r="AC2724" s="24">
        <f t="shared" si="755"/>
        <v>0</v>
      </c>
      <c r="AD2724" s="53" t="str">
        <f t="shared" si="756"/>
        <v/>
      </c>
      <c r="AE2724" s="10"/>
    </row>
    <row r="2725" spans="1:31" x14ac:dyDescent="0.25">
      <c r="A2725" s="14" t="s">
        <v>109</v>
      </c>
      <c r="C2725" s="61" t="str">
        <f t="shared" si="754"/>
        <v>C100138</v>
      </c>
      <c r="F2725" s="8" t="str">
        <f>"S100017"</f>
        <v>S100017</v>
      </c>
      <c r="G2725" s="9" t="str">
        <f>"Microfiber Bucket Hat"</f>
        <v>Microfiber Bucket Hat</v>
      </c>
      <c r="H2725" s="47"/>
      <c r="I2725" s="47"/>
      <c r="J2725" s="23">
        <v>2040.42</v>
      </c>
      <c r="K2725" s="25">
        <v>288</v>
      </c>
      <c r="L2725" s="24">
        <v>1370.8700000000001</v>
      </c>
      <c r="M2725" s="24">
        <f>J2725-L2725</f>
        <v>669.55</v>
      </c>
      <c r="N2725" s="53">
        <f>IF(J2725&lt;&gt;0,M2725/J2725,"")</f>
        <v>0.32814322541437546</v>
      </c>
      <c r="O2725" s="23">
        <v>0</v>
      </c>
      <c r="P2725" s="25">
        <v>0</v>
      </c>
      <c r="Q2725" s="24">
        <v>0</v>
      </c>
      <c r="R2725" s="24">
        <f>O2725-Q2725</f>
        <v>0</v>
      </c>
      <c r="S2725" s="53" t="str">
        <f>IF(O2725&lt;&gt;0,R2725/O2725,"")</f>
        <v/>
      </c>
      <c r="T2725" s="10"/>
      <c r="U2725" s="23">
        <v>4173.09</v>
      </c>
      <c r="V2725" s="25">
        <v>577</v>
      </c>
      <c r="W2725" s="24">
        <v>2746.5</v>
      </c>
      <c r="X2725" s="24">
        <f>U2725-W2725</f>
        <v>1426.5900000000001</v>
      </c>
      <c r="Y2725" s="53">
        <f>IF(U2725&lt;&gt;0,X2725/U2725,"")</f>
        <v>0.34185459695333675</v>
      </c>
      <c r="Z2725" s="23">
        <v>-7.23</v>
      </c>
      <c r="AA2725" s="25">
        <v>-1</v>
      </c>
      <c r="AB2725" s="24">
        <v>-4.76</v>
      </c>
      <c r="AC2725" s="24">
        <f t="shared" si="755"/>
        <v>-2.4700000000000006</v>
      </c>
      <c r="AD2725" s="53">
        <f t="shared" si="756"/>
        <v>0.34163208852005539</v>
      </c>
      <c r="AE2725" s="10"/>
    </row>
    <row r="2726" spans="1:31" x14ac:dyDescent="0.25">
      <c r="A2726" s="14" t="s">
        <v>109</v>
      </c>
      <c r="C2726" s="61" t="str">
        <f t="shared" si="754"/>
        <v>C100138</v>
      </c>
      <c r="F2726" s="8" t="str">
        <f>"S100018"</f>
        <v>S100018</v>
      </c>
      <c r="G2726" s="9" t="str">
        <f>"Crusher Bucket Hat"</f>
        <v>Crusher Bucket Hat</v>
      </c>
      <c r="H2726" s="47"/>
      <c r="I2726" s="47"/>
      <c r="J2726" s="23">
        <v>2094.2200000000003</v>
      </c>
      <c r="K2726" s="25">
        <v>288</v>
      </c>
      <c r="L2726" s="24">
        <v>1008</v>
      </c>
      <c r="M2726" s="24">
        <f>J2726-L2726</f>
        <v>1086.2200000000003</v>
      </c>
      <c r="N2726" s="53">
        <f>IF(J2726&lt;&gt;0,M2726/J2726,"")</f>
        <v>0.51867521081834767</v>
      </c>
      <c r="O2726" s="23">
        <v>1047.1100000000001</v>
      </c>
      <c r="P2726" s="25">
        <v>144</v>
      </c>
      <c r="Q2726" s="24">
        <v>504</v>
      </c>
      <c r="R2726" s="24">
        <f>O2726-Q2726</f>
        <v>543.11000000000013</v>
      </c>
      <c r="S2726" s="53">
        <f>IF(O2726&lt;&gt;0,R2726/O2726,"")</f>
        <v>0.51867521081834767</v>
      </c>
      <c r="T2726" s="10"/>
      <c r="U2726" s="23">
        <v>0</v>
      </c>
      <c r="V2726" s="25">
        <v>0</v>
      </c>
      <c r="W2726" s="24">
        <v>0</v>
      </c>
      <c r="X2726" s="24">
        <f>U2726-W2726</f>
        <v>0</v>
      </c>
      <c r="Y2726" s="53" t="str">
        <f>IF(U2726&lt;&gt;0,X2726/U2726,"")</f>
        <v/>
      </c>
      <c r="Z2726" s="23">
        <v>1039.8400000000001</v>
      </c>
      <c r="AA2726" s="25">
        <v>143</v>
      </c>
      <c r="AB2726" s="24">
        <v>500.50000000000006</v>
      </c>
      <c r="AC2726" s="24">
        <f t="shared" si="755"/>
        <v>539.34000000000015</v>
      </c>
      <c r="AD2726" s="53">
        <f t="shared" si="756"/>
        <v>0.5186759501461764</v>
      </c>
      <c r="AE2726" s="10"/>
    </row>
    <row r="2727" spans="1:31" x14ac:dyDescent="0.25">
      <c r="A2727" s="14" t="s">
        <v>109</v>
      </c>
      <c r="C2727" s="61" t="str">
        <f t="shared" si="754"/>
        <v>C100138</v>
      </c>
      <c r="F2727" s="8" t="str">
        <f>"S100019"</f>
        <v>S100019</v>
      </c>
      <c r="G2727" s="9" t="str">
        <f>"Sportsman Bucket Hat"</f>
        <v>Sportsman Bucket Hat</v>
      </c>
      <c r="H2727" s="47"/>
      <c r="I2727" s="47"/>
      <c r="J2727" s="23">
        <v>647.74</v>
      </c>
      <c r="K2727" s="25">
        <v>144</v>
      </c>
      <c r="L2727" s="24">
        <v>349.93</v>
      </c>
      <c r="M2727" s="24">
        <f>J2727-L2727</f>
        <v>297.81</v>
      </c>
      <c r="N2727" s="53">
        <f>IF(J2727&lt;&gt;0,M2727/J2727,"")</f>
        <v>0.45976780807113965</v>
      </c>
      <c r="O2727" s="23">
        <v>652.24</v>
      </c>
      <c r="P2727" s="25">
        <v>145</v>
      </c>
      <c r="Q2727" s="24">
        <v>352.36</v>
      </c>
      <c r="R2727" s="24">
        <f>O2727-Q2727</f>
        <v>299.88</v>
      </c>
      <c r="S2727" s="53">
        <f>IF(O2727&lt;&gt;0,R2727/O2727,"")</f>
        <v>0.45976941003311661</v>
      </c>
      <c r="T2727" s="10"/>
      <c r="U2727" s="23">
        <v>0</v>
      </c>
      <c r="V2727" s="25">
        <v>0</v>
      </c>
      <c r="W2727" s="24">
        <v>0</v>
      </c>
      <c r="X2727" s="24">
        <f>U2727-W2727</f>
        <v>0</v>
      </c>
      <c r="Y2727" s="53" t="str">
        <f>IF(U2727&lt;&gt;0,X2727/U2727,"")</f>
        <v/>
      </c>
      <c r="Z2727" s="23">
        <v>215.91</v>
      </c>
      <c r="AA2727" s="25">
        <v>48</v>
      </c>
      <c r="AB2727" s="24">
        <v>116.64</v>
      </c>
      <c r="AC2727" s="24">
        <f t="shared" si="755"/>
        <v>99.27</v>
      </c>
      <c r="AD2727" s="53">
        <f t="shared" si="756"/>
        <v>0.45977490621092121</v>
      </c>
      <c r="AE2727" s="10"/>
    </row>
    <row r="2728" spans="1:31" x14ac:dyDescent="0.25">
      <c r="A2728" s="14" t="s">
        <v>109</v>
      </c>
      <c r="C2728" s="61" t="str">
        <f t="shared" si="754"/>
        <v>C100138</v>
      </c>
      <c r="F2728" s="8" t="str">
        <f>"S100020"</f>
        <v>S100020</v>
      </c>
      <c r="G2728" s="9" t="str">
        <f>"Super Sport Stopwatch"</f>
        <v>Super Sport Stopwatch</v>
      </c>
      <c r="H2728" s="47"/>
      <c r="I2728" s="47"/>
      <c r="J2728" s="23">
        <v>611.1</v>
      </c>
      <c r="K2728" s="25">
        <v>289</v>
      </c>
      <c r="L2728" s="24">
        <v>303.45</v>
      </c>
      <c r="M2728" s="24">
        <f>J2728-L2728</f>
        <v>307.65000000000003</v>
      </c>
      <c r="N2728" s="53">
        <f>IF(J2728&lt;&gt;0,M2728/J2728,"")</f>
        <v>0.50343642611683848</v>
      </c>
      <c r="O2728" s="23">
        <v>2.14</v>
      </c>
      <c r="P2728" s="25">
        <v>1</v>
      </c>
      <c r="Q2728" s="24">
        <v>1.05</v>
      </c>
      <c r="R2728" s="24">
        <f>O2728-Q2728</f>
        <v>1.0900000000000001</v>
      </c>
      <c r="S2728" s="53">
        <f>IF(O2728&lt;&gt;0,R2728/O2728,"")</f>
        <v>0.50934579439252337</v>
      </c>
      <c r="T2728" s="10"/>
      <c r="U2728" s="23">
        <v>609</v>
      </c>
      <c r="V2728" s="25">
        <v>288</v>
      </c>
      <c r="W2728" s="24">
        <v>302.39999999999998</v>
      </c>
      <c r="X2728" s="24">
        <f>U2728-W2728</f>
        <v>306.60000000000002</v>
      </c>
      <c r="Y2728" s="53">
        <f>IF(U2728&lt;&gt;0,X2728/U2728,"")</f>
        <v>0.50344827586206897</v>
      </c>
      <c r="Z2728" s="23">
        <v>12.82</v>
      </c>
      <c r="AA2728" s="25">
        <v>6</v>
      </c>
      <c r="AB2728" s="24">
        <v>6.3</v>
      </c>
      <c r="AC2728" s="24">
        <f t="shared" si="755"/>
        <v>6.5200000000000005</v>
      </c>
      <c r="AD2728" s="53">
        <f t="shared" si="756"/>
        <v>0.50858034321372858</v>
      </c>
      <c r="AE2728" s="10"/>
    </row>
    <row r="2729" spans="1:31" x14ac:dyDescent="0.25">
      <c r="A2729" s="14" t="s">
        <v>109</v>
      </c>
      <c r="C2729" s="61" t="str">
        <f t="shared" si="754"/>
        <v>C100138</v>
      </c>
      <c r="F2729" s="8" t="str">
        <f>"S100021"</f>
        <v>S100021</v>
      </c>
      <c r="G2729" s="9" t="str">
        <f>"Translucent Stopwatch"</f>
        <v>Translucent Stopwatch</v>
      </c>
      <c r="H2729" s="47"/>
      <c r="I2729" s="47"/>
      <c r="J2729" s="23">
        <v>2338.6099999999997</v>
      </c>
      <c r="K2729" s="25">
        <v>578</v>
      </c>
      <c r="L2729" s="24">
        <v>1242.6599999999999</v>
      </c>
      <c r="M2729" s="24">
        <f>J2729-L2729</f>
        <v>1095.9499999999998</v>
      </c>
      <c r="N2729" s="53">
        <f>IF(J2729&lt;&gt;0,M2729/J2729,"")</f>
        <v>0.4686330769132091</v>
      </c>
      <c r="O2729" s="23">
        <v>0</v>
      </c>
      <c r="P2729" s="25">
        <v>0</v>
      </c>
      <c r="Q2729" s="24">
        <v>0</v>
      </c>
      <c r="R2729" s="24">
        <f>O2729-Q2729</f>
        <v>0</v>
      </c>
      <c r="S2729" s="53" t="str">
        <f>IF(O2729&lt;&gt;0,R2729/O2729,"")</f>
        <v/>
      </c>
      <c r="T2729" s="10"/>
      <c r="U2729" s="23">
        <v>1175.28</v>
      </c>
      <c r="V2729" s="25">
        <v>289</v>
      </c>
      <c r="W2729" s="24">
        <v>621.32999999999993</v>
      </c>
      <c r="X2729" s="24">
        <f>U2729-W2729</f>
        <v>553.95000000000005</v>
      </c>
      <c r="Y2729" s="53">
        <f>IF(U2729&lt;&gt;0,X2729/U2729,"")</f>
        <v>0.47133449050439047</v>
      </c>
      <c r="Z2729" s="23">
        <v>1171.3</v>
      </c>
      <c r="AA2729" s="25">
        <v>288</v>
      </c>
      <c r="AB2729" s="24">
        <v>619.17999999999995</v>
      </c>
      <c r="AC2729" s="24">
        <f t="shared" si="755"/>
        <v>552.12</v>
      </c>
      <c r="AD2729" s="53">
        <f t="shared" si="756"/>
        <v>0.47137368735592933</v>
      </c>
      <c r="AE2729" s="10"/>
    </row>
    <row r="2730" spans="1:31" ht="15.75" thickBot="1" x14ac:dyDescent="0.3">
      <c r="A2730" s="14" t="s">
        <v>109</v>
      </c>
      <c r="C2730" s="61" t="str">
        <f>C2683</f>
        <v>C100138</v>
      </c>
      <c r="J2730" s="10"/>
      <c r="K2730" s="11"/>
      <c r="L2730" s="11"/>
      <c r="M2730" s="11"/>
      <c r="N2730" s="12"/>
      <c r="O2730" s="10"/>
      <c r="P2730" s="11"/>
      <c r="Q2730" s="11"/>
      <c r="R2730" s="11"/>
      <c r="S2730" s="12"/>
      <c r="U2730" s="10"/>
      <c r="V2730" s="11"/>
      <c r="W2730" s="11"/>
      <c r="X2730" s="11"/>
      <c r="Y2730" s="12"/>
      <c r="Z2730" s="10"/>
      <c r="AA2730" s="11"/>
      <c r="AB2730" s="11"/>
      <c r="AC2730" s="11"/>
      <c r="AD2730" s="12"/>
    </row>
    <row r="2731" spans="1:31" ht="15.75" thickBot="1" x14ac:dyDescent="0.3">
      <c r="A2731" s="14" t="s">
        <v>109</v>
      </c>
      <c r="C2731" s="61" t="str">
        <f t="shared" si="751"/>
        <v>C100138</v>
      </c>
      <c r="G2731" s="48" t="str">
        <f>C2731&amp;" TOTAL:"</f>
        <v>C100138 TOTAL:</v>
      </c>
      <c r="H2731" s="50"/>
      <c r="I2731" s="50"/>
      <c r="J2731" s="34">
        <f>SUBTOTAL(9,J2682:J2730)</f>
        <v>97246.840000000026</v>
      </c>
      <c r="K2731" s="35">
        <f>SUBTOTAL(9,K2682:K2730)</f>
        <v>9573</v>
      </c>
      <c r="L2731" s="36">
        <f>SUBTOTAL(9,L2682:L2730)</f>
        <v>53301.659999999989</v>
      </c>
      <c r="M2731" s="36">
        <f>J2731-L2731</f>
        <v>43945.180000000037</v>
      </c>
      <c r="N2731" s="37">
        <f>IF(J2731&lt;&gt;0,M2731/J2731,"")</f>
        <v>0.45189314120643947</v>
      </c>
      <c r="O2731" s="34">
        <f>SUBTOTAL(9,O2682:O2730)</f>
        <v>28901.510000000006</v>
      </c>
      <c r="P2731" s="35">
        <f>SUBTOTAL(9,P2682:P2730)</f>
        <v>2168</v>
      </c>
      <c r="Q2731" s="36">
        <f>SUBTOTAL(9,Q2682:Q2730)</f>
        <v>15653.59</v>
      </c>
      <c r="R2731" s="36">
        <f>O2731-Q2731</f>
        <v>13247.920000000006</v>
      </c>
      <c r="S2731" s="37">
        <f>IF(O2731&lt;&gt;0,R2731/O2731,"")</f>
        <v>0.45838158629082021</v>
      </c>
      <c r="U2731" s="34">
        <f>SUBTOTAL(9,U2682:U2730)</f>
        <v>54710.700000000012</v>
      </c>
      <c r="V2731" s="35">
        <f>SUBTOTAL(9,V2682:V2730)</f>
        <v>6544</v>
      </c>
      <c r="W2731" s="36">
        <f>SUBTOTAL(9,W2682:W2730)</f>
        <v>29793.469999999994</v>
      </c>
      <c r="X2731" s="36">
        <f>U2731-W2731</f>
        <v>24917.230000000018</v>
      </c>
      <c r="Y2731" s="37">
        <f>IF(U2731&lt;&gt;0,X2731/U2731,"")</f>
        <v>0.45543613954857115</v>
      </c>
      <c r="Z2731" s="34">
        <f>SUBTOTAL(9,Z2682:Z2730)</f>
        <v>13269.439999999995</v>
      </c>
      <c r="AA2731" s="35">
        <f>SUBTOTAL(9,AA2682:AA2730)</f>
        <v>1847</v>
      </c>
      <c r="AB2731" s="36">
        <f>SUBTOTAL(9,AB2682:AB2730)</f>
        <v>6885.51</v>
      </c>
      <c r="AC2731" s="36">
        <f t="shared" ref="AC2731" si="757">Z2731-AB2731</f>
        <v>6383.9299999999948</v>
      </c>
      <c r="AD2731" s="37">
        <f t="shared" ref="AD2731" si="758">IF(Z2731&lt;&gt;0,AC2731/Z2731,"")</f>
        <v>0.48110018207249117</v>
      </c>
    </row>
    <row r="2732" spans="1:31" x14ac:dyDescent="0.25">
      <c r="A2732" s="14" t="s">
        <v>109</v>
      </c>
      <c r="C2732" s="66"/>
      <c r="J2732" s="10"/>
      <c r="K2732" s="11"/>
      <c r="L2732" s="11"/>
      <c r="M2732" s="11"/>
      <c r="N2732" s="12"/>
      <c r="O2732" s="10"/>
      <c r="P2732" s="11"/>
      <c r="Q2732" s="11"/>
      <c r="R2732" s="11"/>
      <c r="S2732" s="12"/>
      <c r="U2732" s="10"/>
      <c r="V2732" s="11"/>
      <c r="W2732" s="11"/>
      <c r="X2732" s="11"/>
      <c r="Y2732" s="12"/>
      <c r="Z2732" s="10"/>
      <c r="AA2732" s="11"/>
      <c r="AB2732" s="11"/>
      <c r="AC2732" s="11"/>
      <c r="AD2732" s="12"/>
    </row>
    <row r="2733" spans="1:31" ht="15.75" x14ac:dyDescent="0.25">
      <c r="A2733" s="14" t="s">
        <v>109</v>
      </c>
      <c r="C2733" s="66" t="str">
        <f t="shared" ref="C2733" si="759">E2733</f>
        <v>C100139</v>
      </c>
      <c r="E2733" s="13" t="str">
        <f>"C100139"</f>
        <v>C100139</v>
      </c>
      <c r="F2733" s="13"/>
      <c r="G2733" s="13" t="str">
        <f>"Gamma Ray's"</f>
        <v>Gamma Ray's</v>
      </c>
      <c r="H2733" s="13"/>
      <c r="I2733" s="13"/>
      <c r="J2733" s="10"/>
      <c r="K2733" s="11"/>
      <c r="L2733" s="11"/>
      <c r="M2733" s="11"/>
      <c r="N2733" s="12"/>
      <c r="O2733" s="10"/>
      <c r="P2733" s="11"/>
      <c r="Q2733" s="11"/>
      <c r="R2733" s="11"/>
      <c r="S2733" s="12"/>
      <c r="U2733" s="10"/>
      <c r="V2733" s="11"/>
      <c r="W2733" s="11"/>
      <c r="X2733" s="11"/>
      <c r="Y2733" s="12"/>
      <c r="Z2733" s="10"/>
      <c r="AA2733" s="11"/>
      <c r="AB2733" s="11"/>
      <c r="AC2733" s="11"/>
      <c r="AD2733" s="12"/>
    </row>
    <row r="2734" spans="1:31" ht="6.6" customHeight="1" x14ac:dyDescent="0.25">
      <c r="A2734" s="14" t="s">
        <v>109</v>
      </c>
      <c r="C2734" s="61" t="str">
        <f t="shared" ref="C2734:C2771" si="760">C2733</f>
        <v>C100139</v>
      </c>
      <c r="J2734" s="10"/>
      <c r="K2734" s="11"/>
      <c r="L2734" s="11"/>
      <c r="M2734" s="11"/>
      <c r="N2734" s="12"/>
      <c r="O2734" s="10"/>
      <c r="P2734" s="11"/>
      <c r="Q2734" s="11"/>
      <c r="R2734" s="11"/>
      <c r="S2734" s="12"/>
      <c r="U2734" s="10"/>
      <c r="V2734" s="11"/>
      <c r="W2734" s="11"/>
      <c r="X2734" s="11"/>
      <c r="Y2734" s="12"/>
      <c r="Z2734" s="10"/>
      <c r="AA2734" s="11"/>
      <c r="AB2734" s="11"/>
      <c r="AC2734" s="11"/>
      <c r="AD2734" s="12"/>
    </row>
    <row r="2735" spans="1:31" x14ac:dyDescent="0.25">
      <c r="A2735" s="14" t="s">
        <v>109</v>
      </c>
      <c r="C2735" s="61" t="str">
        <f t="shared" si="760"/>
        <v>C100139</v>
      </c>
      <c r="F2735" s="8" t="str">
        <f>"C100025"</f>
        <v>C100025</v>
      </c>
      <c r="G2735" s="9" t="str">
        <f>"Striped Knit Hat"</f>
        <v>Striped Knit Hat</v>
      </c>
      <c r="H2735" s="47"/>
      <c r="I2735" s="47"/>
      <c r="J2735" s="23">
        <v>403.37</v>
      </c>
      <c r="K2735" s="25">
        <v>144</v>
      </c>
      <c r="L2735" s="24">
        <v>198.72</v>
      </c>
      <c r="M2735" s="24">
        <f>J2735-L2735</f>
        <v>204.65</v>
      </c>
      <c r="N2735" s="53">
        <f>IF(J2735&lt;&gt;0,M2735/J2735,"")</f>
        <v>0.50735057143565465</v>
      </c>
      <c r="O2735" s="23">
        <v>0</v>
      </c>
      <c r="P2735" s="25">
        <v>0</v>
      </c>
      <c r="Q2735" s="24">
        <v>0</v>
      </c>
      <c r="R2735" s="24">
        <f>O2735-Q2735</f>
        <v>0</v>
      </c>
      <c r="S2735" s="53" t="str">
        <f>IF(O2735&lt;&gt;0,R2735/O2735,"")</f>
        <v/>
      </c>
      <c r="T2735" s="10"/>
      <c r="U2735" s="23">
        <v>0</v>
      </c>
      <c r="V2735" s="25">
        <v>0</v>
      </c>
      <c r="W2735" s="24">
        <v>0</v>
      </c>
      <c r="X2735" s="24">
        <f>U2735-W2735</f>
        <v>0</v>
      </c>
      <c r="Y2735" s="53" t="str">
        <f>IF(U2735&lt;&gt;0,X2735/U2735,"")</f>
        <v/>
      </c>
      <c r="Z2735" s="23">
        <v>0</v>
      </c>
      <c r="AA2735" s="25">
        <v>0</v>
      </c>
      <c r="AB2735" s="24">
        <v>0</v>
      </c>
      <c r="AC2735" s="24">
        <f t="shared" ref="AC2735" si="761">Z2735-AB2735</f>
        <v>0</v>
      </c>
      <c r="AD2735" s="53" t="str">
        <f t="shared" ref="AD2735" si="762">IF(Z2735&lt;&gt;0,AC2735/Z2735,"")</f>
        <v/>
      </c>
      <c r="AE2735" s="10"/>
    </row>
    <row r="2736" spans="1:31" x14ac:dyDescent="0.25">
      <c r="A2736" s="14" t="s">
        <v>109</v>
      </c>
      <c r="C2736" s="61" t="str">
        <f t="shared" ref="C2736:C2769" si="763">C2735</f>
        <v>C100139</v>
      </c>
      <c r="F2736" s="8" t="str">
        <f>"C100026"</f>
        <v>C100026</v>
      </c>
      <c r="G2736" s="9" t="str">
        <f>"Fleece Beanie"</f>
        <v>Fleece Beanie</v>
      </c>
      <c r="H2736" s="47"/>
      <c r="I2736" s="47"/>
      <c r="J2736" s="23">
        <v>422.32</v>
      </c>
      <c r="K2736" s="25">
        <v>144</v>
      </c>
      <c r="L2736" s="24">
        <v>287.99</v>
      </c>
      <c r="M2736" s="24">
        <f>J2736-L2736</f>
        <v>134.32999999999998</v>
      </c>
      <c r="N2736" s="53">
        <f>IF(J2736&lt;&gt;0,M2736/J2736,"")</f>
        <v>0.31807634021594994</v>
      </c>
      <c r="O2736" s="23">
        <v>0</v>
      </c>
      <c r="P2736" s="25">
        <v>0</v>
      </c>
      <c r="Q2736" s="24">
        <v>0</v>
      </c>
      <c r="R2736" s="24">
        <f>O2736-Q2736</f>
        <v>0</v>
      </c>
      <c r="S2736" s="53" t="str">
        <f>IF(O2736&lt;&gt;0,R2736/O2736,"")</f>
        <v/>
      </c>
      <c r="T2736" s="10"/>
      <c r="U2736" s="23">
        <v>0</v>
      </c>
      <c r="V2736" s="25">
        <v>0</v>
      </c>
      <c r="W2736" s="24">
        <v>0</v>
      </c>
      <c r="X2736" s="24">
        <f>U2736-W2736</f>
        <v>0</v>
      </c>
      <c r="Y2736" s="53" t="str">
        <f>IF(U2736&lt;&gt;0,X2736/U2736,"")</f>
        <v/>
      </c>
      <c r="Z2736" s="23">
        <v>0</v>
      </c>
      <c r="AA2736" s="25">
        <v>0</v>
      </c>
      <c r="AB2736" s="24">
        <v>0</v>
      </c>
      <c r="AC2736" s="24">
        <f t="shared" ref="AC2736:AC2769" si="764">Z2736-AB2736</f>
        <v>0</v>
      </c>
      <c r="AD2736" s="53" t="str">
        <f t="shared" ref="AD2736:AD2769" si="765">IF(Z2736&lt;&gt;0,AC2736/Z2736,"")</f>
        <v/>
      </c>
      <c r="AE2736" s="10"/>
    </row>
    <row r="2737" spans="1:31" x14ac:dyDescent="0.25">
      <c r="A2737" s="14" t="s">
        <v>109</v>
      </c>
      <c r="C2737" s="61" t="str">
        <f t="shared" si="763"/>
        <v>C100139</v>
      </c>
      <c r="F2737" s="8" t="str">
        <f>"C100029"</f>
        <v>C100029</v>
      </c>
      <c r="G2737" s="9" t="str">
        <f>"Distressed Twill Visor"</f>
        <v>Distressed Twill Visor</v>
      </c>
      <c r="H2737" s="47"/>
      <c r="I2737" s="47"/>
      <c r="J2737" s="23">
        <v>462.92999999999995</v>
      </c>
      <c r="K2737" s="25">
        <v>144</v>
      </c>
      <c r="L2737" s="24">
        <v>298.09000000000003</v>
      </c>
      <c r="M2737" s="24">
        <f>J2737-L2737</f>
        <v>164.83999999999992</v>
      </c>
      <c r="N2737" s="53">
        <f>IF(J2737&lt;&gt;0,M2737/J2737,"")</f>
        <v>0.35607975287840482</v>
      </c>
      <c r="O2737" s="23">
        <v>0</v>
      </c>
      <c r="P2737" s="25">
        <v>0</v>
      </c>
      <c r="Q2737" s="24">
        <v>0</v>
      </c>
      <c r="R2737" s="24">
        <f>O2737-Q2737</f>
        <v>0</v>
      </c>
      <c r="S2737" s="53" t="str">
        <f>IF(O2737&lt;&gt;0,R2737/O2737,"")</f>
        <v/>
      </c>
      <c r="T2737" s="10"/>
      <c r="U2737" s="23">
        <v>0</v>
      </c>
      <c r="V2737" s="25">
        <v>0</v>
      </c>
      <c r="W2737" s="24">
        <v>0</v>
      </c>
      <c r="X2737" s="24">
        <f>U2737-W2737</f>
        <v>0</v>
      </c>
      <c r="Y2737" s="53" t="str">
        <f>IF(U2737&lt;&gt;0,X2737/U2737,"")</f>
        <v/>
      </c>
      <c r="Z2737" s="23">
        <v>0</v>
      </c>
      <c r="AA2737" s="25">
        <v>0</v>
      </c>
      <c r="AB2737" s="24">
        <v>0</v>
      </c>
      <c r="AC2737" s="24">
        <f t="shared" si="764"/>
        <v>0</v>
      </c>
      <c r="AD2737" s="53" t="str">
        <f t="shared" si="765"/>
        <v/>
      </c>
      <c r="AE2737" s="10"/>
    </row>
    <row r="2738" spans="1:31" x14ac:dyDescent="0.25">
      <c r="A2738" s="14" t="s">
        <v>109</v>
      </c>
      <c r="C2738" s="61" t="str">
        <f t="shared" si="763"/>
        <v>C100139</v>
      </c>
      <c r="F2738" s="8" t="str">
        <f>"C100033"</f>
        <v>C100033</v>
      </c>
      <c r="G2738" s="9" t="str">
        <f>"Frames &amp; Clock"</f>
        <v>Frames &amp; Clock</v>
      </c>
      <c r="H2738" s="47"/>
      <c r="I2738" s="47"/>
      <c r="J2738" s="23">
        <v>655.14</v>
      </c>
      <c r="K2738" s="25">
        <v>144</v>
      </c>
      <c r="L2738" s="24">
        <v>414.7</v>
      </c>
      <c r="M2738" s="24">
        <f>J2738-L2738</f>
        <v>240.44</v>
      </c>
      <c r="N2738" s="53">
        <f>IF(J2738&lt;&gt;0,M2738/J2738,"")</f>
        <v>0.36700552553652654</v>
      </c>
      <c r="O2738" s="23">
        <v>0</v>
      </c>
      <c r="P2738" s="25">
        <v>0</v>
      </c>
      <c r="Q2738" s="24">
        <v>0</v>
      </c>
      <c r="R2738" s="24">
        <f>O2738-Q2738</f>
        <v>0</v>
      </c>
      <c r="S2738" s="53" t="str">
        <f>IF(O2738&lt;&gt;0,R2738/O2738,"")</f>
        <v/>
      </c>
      <c r="T2738" s="10"/>
      <c r="U2738" s="23">
        <v>0</v>
      </c>
      <c r="V2738" s="25">
        <v>0</v>
      </c>
      <c r="W2738" s="24">
        <v>0</v>
      </c>
      <c r="X2738" s="24">
        <f>U2738-W2738</f>
        <v>0</v>
      </c>
      <c r="Y2738" s="53" t="str">
        <f>IF(U2738&lt;&gt;0,X2738/U2738,"")</f>
        <v/>
      </c>
      <c r="Z2738" s="23">
        <v>0</v>
      </c>
      <c r="AA2738" s="25">
        <v>0</v>
      </c>
      <c r="AB2738" s="24">
        <v>0</v>
      </c>
      <c r="AC2738" s="24">
        <f t="shared" si="764"/>
        <v>0</v>
      </c>
      <c r="AD2738" s="53" t="str">
        <f t="shared" si="765"/>
        <v/>
      </c>
      <c r="AE2738" s="10"/>
    </row>
    <row r="2739" spans="1:31" x14ac:dyDescent="0.25">
      <c r="A2739" s="14" t="s">
        <v>109</v>
      </c>
      <c r="C2739" s="61" t="str">
        <f t="shared" si="763"/>
        <v>C100139</v>
      </c>
      <c r="F2739" s="8" t="str">
        <f>"C100035"</f>
        <v>C100035</v>
      </c>
      <c r="G2739" s="9" t="str">
        <f>"Calculator &amp; World Time Clock"</f>
        <v>Calculator &amp; World Time Clock</v>
      </c>
      <c r="H2739" s="47"/>
      <c r="I2739" s="47"/>
      <c r="J2739" s="23">
        <v>397.96000000000004</v>
      </c>
      <c r="K2739" s="25">
        <v>144</v>
      </c>
      <c r="L2739" s="24">
        <v>282.24</v>
      </c>
      <c r="M2739" s="24">
        <f>J2739-L2739</f>
        <v>115.72000000000003</v>
      </c>
      <c r="N2739" s="53">
        <f>IF(J2739&lt;&gt;0,M2739/J2739,"")</f>
        <v>0.29078299326565488</v>
      </c>
      <c r="O2739" s="23">
        <v>0</v>
      </c>
      <c r="P2739" s="25">
        <v>0</v>
      </c>
      <c r="Q2739" s="24">
        <v>0</v>
      </c>
      <c r="R2739" s="24">
        <f>O2739-Q2739</f>
        <v>0</v>
      </c>
      <c r="S2739" s="53" t="str">
        <f>IF(O2739&lt;&gt;0,R2739/O2739,"")</f>
        <v/>
      </c>
      <c r="T2739" s="10"/>
      <c r="U2739" s="23">
        <v>0</v>
      </c>
      <c r="V2739" s="25">
        <v>0</v>
      </c>
      <c r="W2739" s="24">
        <v>0</v>
      </c>
      <c r="X2739" s="24">
        <f>U2739-W2739</f>
        <v>0</v>
      </c>
      <c r="Y2739" s="53" t="str">
        <f>IF(U2739&lt;&gt;0,X2739/U2739,"")</f>
        <v/>
      </c>
      <c r="Z2739" s="23">
        <v>0</v>
      </c>
      <c r="AA2739" s="25">
        <v>0</v>
      </c>
      <c r="AB2739" s="24">
        <v>0</v>
      </c>
      <c r="AC2739" s="24">
        <f t="shared" si="764"/>
        <v>0</v>
      </c>
      <c r="AD2739" s="53" t="str">
        <f t="shared" si="765"/>
        <v/>
      </c>
      <c r="AE2739" s="10"/>
    </row>
    <row r="2740" spans="1:31" x14ac:dyDescent="0.25">
      <c r="A2740" s="14" t="s">
        <v>109</v>
      </c>
      <c r="C2740" s="61" t="str">
        <f t="shared" si="763"/>
        <v>C100139</v>
      </c>
      <c r="F2740" s="8" t="str">
        <f>"C100042"</f>
        <v>C100042</v>
      </c>
      <c r="G2740" s="9" t="str">
        <f>"Retractable Earbuds"</f>
        <v>Retractable Earbuds</v>
      </c>
      <c r="H2740" s="47"/>
      <c r="I2740" s="47"/>
      <c r="J2740" s="23">
        <v>276.13</v>
      </c>
      <c r="K2740" s="25">
        <v>144</v>
      </c>
      <c r="L2740" s="24">
        <v>155.60999999999999</v>
      </c>
      <c r="M2740" s="24">
        <f>J2740-L2740</f>
        <v>120.52000000000001</v>
      </c>
      <c r="N2740" s="53">
        <f>IF(J2740&lt;&gt;0,M2740/J2740,"")</f>
        <v>0.43646108716908705</v>
      </c>
      <c r="O2740" s="23">
        <v>0</v>
      </c>
      <c r="P2740" s="25">
        <v>0</v>
      </c>
      <c r="Q2740" s="24">
        <v>0</v>
      </c>
      <c r="R2740" s="24">
        <f>O2740-Q2740</f>
        <v>0</v>
      </c>
      <c r="S2740" s="53" t="str">
        <f>IF(O2740&lt;&gt;0,R2740/O2740,"")</f>
        <v/>
      </c>
      <c r="T2740" s="10"/>
      <c r="U2740" s="23">
        <v>0</v>
      </c>
      <c r="V2740" s="25">
        <v>0</v>
      </c>
      <c r="W2740" s="24">
        <v>0</v>
      </c>
      <c r="X2740" s="24">
        <f>U2740-W2740</f>
        <v>0</v>
      </c>
      <c r="Y2740" s="53" t="str">
        <f>IF(U2740&lt;&gt;0,X2740/U2740,"")</f>
        <v/>
      </c>
      <c r="Z2740" s="23">
        <v>0</v>
      </c>
      <c r="AA2740" s="25">
        <v>0</v>
      </c>
      <c r="AB2740" s="24">
        <v>0</v>
      </c>
      <c r="AC2740" s="24">
        <f t="shared" si="764"/>
        <v>0</v>
      </c>
      <c r="AD2740" s="53" t="str">
        <f t="shared" si="765"/>
        <v/>
      </c>
      <c r="AE2740" s="10"/>
    </row>
    <row r="2741" spans="1:31" x14ac:dyDescent="0.25">
      <c r="A2741" s="14" t="s">
        <v>109</v>
      </c>
      <c r="C2741" s="61" t="str">
        <f t="shared" si="763"/>
        <v>C100139</v>
      </c>
      <c r="F2741" s="8" t="str">
        <f>"C100044"</f>
        <v>C100044</v>
      </c>
      <c r="G2741" s="9" t="str">
        <f>"VOIP Headset with Mic"</f>
        <v>VOIP Headset with Mic</v>
      </c>
      <c r="H2741" s="47"/>
      <c r="I2741" s="47"/>
      <c r="J2741" s="23">
        <v>595.58000000000004</v>
      </c>
      <c r="K2741" s="25">
        <v>288</v>
      </c>
      <c r="L2741" s="24">
        <v>345.7</v>
      </c>
      <c r="M2741" s="24">
        <f>J2741-L2741</f>
        <v>249.88000000000005</v>
      </c>
      <c r="N2741" s="53">
        <f>IF(J2741&lt;&gt;0,M2741/J2741,"")</f>
        <v>0.4195574062258639</v>
      </c>
      <c r="O2741" s="23">
        <v>0</v>
      </c>
      <c r="P2741" s="25">
        <v>0</v>
      </c>
      <c r="Q2741" s="24">
        <v>0</v>
      </c>
      <c r="R2741" s="24">
        <f>O2741-Q2741</f>
        <v>0</v>
      </c>
      <c r="S2741" s="53" t="str">
        <f>IF(O2741&lt;&gt;0,R2741/O2741,"")</f>
        <v/>
      </c>
      <c r="T2741" s="10"/>
      <c r="U2741" s="23">
        <v>0</v>
      </c>
      <c r="V2741" s="25">
        <v>0</v>
      </c>
      <c r="W2741" s="24">
        <v>0</v>
      </c>
      <c r="X2741" s="24">
        <f>U2741-W2741</f>
        <v>0</v>
      </c>
      <c r="Y2741" s="53" t="str">
        <f>IF(U2741&lt;&gt;0,X2741/U2741,"")</f>
        <v/>
      </c>
      <c r="Z2741" s="23">
        <v>0</v>
      </c>
      <c r="AA2741" s="25">
        <v>0</v>
      </c>
      <c r="AB2741" s="24">
        <v>0</v>
      </c>
      <c r="AC2741" s="24">
        <f t="shared" si="764"/>
        <v>0</v>
      </c>
      <c r="AD2741" s="53" t="str">
        <f t="shared" si="765"/>
        <v/>
      </c>
      <c r="AE2741" s="10"/>
    </row>
    <row r="2742" spans="1:31" x14ac:dyDescent="0.25">
      <c r="A2742" s="14" t="s">
        <v>109</v>
      </c>
      <c r="C2742" s="61" t="str">
        <f t="shared" si="763"/>
        <v>C100139</v>
      </c>
      <c r="F2742" s="8" t="str">
        <f>"E100003"</f>
        <v>E100003</v>
      </c>
      <c r="G2742" s="9" t="str">
        <f>"Recycled Tote"</f>
        <v>Recycled Tote</v>
      </c>
      <c r="H2742" s="47"/>
      <c r="I2742" s="47"/>
      <c r="J2742" s="23">
        <v>139.42000000000002</v>
      </c>
      <c r="K2742" s="25">
        <v>48</v>
      </c>
      <c r="L2742" s="24">
        <v>81.599999999999994</v>
      </c>
      <c r="M2742" s="24">
        <f>J2742-L2742</f>
        <v>57.820000000000022</v>
      </c>
      <c r="N2742" s="53">
        <f>IF(J2742&lt;&gt;0,M2742/J2742,"")</f>
        <v>0.41471811791708518</v>
      </c>
      <c r="O2742" s="23">
        <v>0</v>
      </c>
      <c r="P2742" s="25">
        <v>0</v>
      </c>
      <c r="Q2742" s="24">
        <v>0</v>
      </c>
      <c r="R2742" s="24">
        <f>O2742-Q2742</f>
        <v>0</v>
      </c>
      <c r="S2742" s="53" t="str">
        <f>IF(O2742&lt;&gt;0,R2742/O2742,"")</f>
        <v/>
      </c>
      <c r="T2742" s="10"/>
      <c r="U2742" s="23">
        <v>0</v>
      </c>
      <c r="V2742" s="25">
        <v>0</v>
      </c>
      <c r="W2742" s="24">
        <v>0</v>
      </c>
      <c r="X2742" s="24">
        <f>U2742-W2742</f>
        <v>0</v>
      </c>
      <c r="Y2742" s="53" t="str">
        <f>IF(U2742&lt;&gt;0,X2742/U2742,"")</f>
        <v/>
      </c>
      <c r="Z2742" s="23">
        <v>0</v>
      </c>
      <c r="AA2742" s="25">
        <v>0</v>
      </c>
      <c r="AB2742" s="24">
        <v>0</v>
      </c>
      <c r="AC2742" s="24">
        <f t="shared" si="764"/>
        <v>0</v>
      </c>
      <c r="AD2742" s="53" t="str">
        <f t="shared" si="765"/>
        <v/>
      </c>
      <c r="AE2742" s="10"/>
    </row>
    <row r="2743" spans="1:31" x14ac:dyDescent="0.25">
      <c r="A2743" s="14" t="s">
        <v>109</v>
      </c>
      <c r="C2743" s="61" t="str">
        <f t="shared" si="763"/>
        <v>C100139</v>
      </c>
      <c r="F2743" s="8" t="str">
        <f>"E100004"</f>
        <v>E100004</v>
      </c>
      <c r="G2743" s="9" t="str">
        <f>"Laminated Tote"</f>
        <v>Laminated Tote</v>
      </c>
      <c r="H2743" s="47"/>
      <c r="I2743" s="47"/>
      <c r="J2743" s="23">
        <v>508.95000000000005</v>
      </c>
      <c r="K2743" s="25">
        <v>288</v>
      </c>
      <c r="L2743" s="24">
        <v>345.61</v>
      </c>
      <c r="M2743" s="24">
        <f>J2743-L2743</f>
        <v>163.34000000000003</v>
      </c>
      <c r="N2743" s="53">
        <f>IF(J2743&lt;&gt;0,M2743/J2743,"")</f>
        <v>0.32093525886629337</v>
      </c>
      <c r="O2743" s="23">
        <v>0</v>
      </c>
      <c r="P2743" s="25">
        <v>0</v>
      </c>
      <c r="Q2743" s="24">
        <v>0</v>
      </c>
      <c r="R2743" s="24">
        <f>O2743-Q2743</f>
        <v>0</v>
      </c>
      <c r="S2743" s="53" t="str">
        <f>IF(O2743&lt;&gt;0,R2743/O2743,"")</f>
        <v/>
      </c>
      <c r="T2743" s="10"/>
      <c r="U2743" s="23">
        <v>0</v>
      </c>
      <c r="V2743" s="25">
        <v>0</v>
      </c>
      <c r="W2743" s="24">
        <v>0</v>
      </c>
      <c r="X2743" s="24">
        <f>U2743-W2743</f>
        <v>0</v>
      </c>
      <c r="Y2743" s="53" t="str">
        <f>IF(U2743&lt;&gt;0,X2743/U2743,"")</f>
        <v/>
      </c>
      <c r="Z2743" s="23">
        <v>0</v>
      </c>
      <c r="AA2743" s="25">
        <v>0</v>
      </c>
      <c r="AB2743" s="24">
        <v>0</v>
      </c>
      <c r="AC2743" s="24">
        <f t="shared" si="764"/>
        <v>0</v>
      </c>
      <c r="AD2743" s="53" t="str">
        <f t="shared" si="765"/>
        <v/>
      </c>
      <c r="AE2743" s="10"/>
    </row>
    <row r="2744" spans="1:31" x14ac:dyDescent="0.25">
      <c r="A2744" s="14" t="s">
        <v>109</v>
      </c>
      <c r="C2744" s="61" t="str">
        <f t="shared" si="763"/>
        <v>C100139</v>
      </c>
      <c r="F2744" s="8" t="str">
        <f>"E100005"</f>
        <v>E100005</v>
      </c>
      <c r="G2744" s="9" t="str">
        <f>"All Purpose Tote"</f>
        <v>All Purpose Tote</v>
      </c>
      <c r="H2744" s="47"/>
      <c r="I2744" s="47"/>
      <c r="J2744" s="23">
        <v>349.23</v>
      </c>
      <c r="K2744" s="25">
        <v>144</v>
      </c>
      <c r="L2744" s="24">
        <v>178.56</v>
      </c>
      <c r="M2744" s="24">
        <f>J2744-L2744</f>
        <v>170.67000000000002</v>
      </c>
      <c r="N2744" s="53">
        <f>IF(J2744&lt;&gt;0,M2744/J2744,"")</f>
        <v>0.48870371961171721</v>
      </c>
      <c r="O2744" s="23">
        <v>0</v>
      </c>
      <c r="P2744" s="25">
        <v>0</v>
      </c>
      <c r="Q2744" s="24">
        <v>0</v>
      </c>
      <c r="R2744" s="24">
        <f>O2744-Q2744</f>
        <v>0</v>
      </c>
      <c r="S2744" s="53" t="str">
        <f>IF(O2744&lt;&gt;0,R2744/O2744,"")</f>
        <v/>
      </c>
      <c r="T2744" s="10"/>
      <c r="U2744" s="23">
        <v>0</v>
      </c>
      <c r="V2744" s="25">
        <v>0</v>
      </c>
      <c r="W2744" s="24">
        <v>0</v>
      </c>
      <c r="X2744" s="24">
        <f>U2744-W2744</f>
        <v>0</v>
      </c>
      <c r="Y2744" s="53" t="str">
        <f>IF(U2744&lt;&gt;0,X2744/U2744,"")</f>
        <v/>
      </c>
      <c r="Z2744" s="23">
        <v>0</v>
      </c>
      <c r="AA2744" s="25">
        <v>0</v>
      </c>
      <c r="AB2744" s="24">
        <v>0</v>
      </c>
      <c r="AC2744" s="24">
        <f t="shared" si="764"/>
        <v>0</v>
      </c>
      <c r="AD2744" s="53" t="str">
        <f t="shared" si="765"/>
        <v/>
      </c>
      <c r="AE2744" s="10"/>
    </row>
    <row r="2745" spans="1:31" x14ac:dyDescent="0.25">
      <c r="A2745" s="14" t="s">
        <v>109</v>
      </c>
      <c r="C2745" s="61" t="str">
        <f t="shared" si="763"/>
        <v>C100139</v>
      </c>
      <c r="F2745" s="8" t="str">
        <f>"E100006"</f>
        <v>E100006</v>
      </c>
      <c r="G2745" s="9" t="str">
        <f>"Budget Tote Bag"</f>
        <v>Budget Tote Bag</v>
      </c>
      <c r="H2745" s="47"/>
      <c r="I2745" s="47"/>
      <c r="J2745" s="23">
        <v>12.27</v>
      </c>
      <c r="K2745" s="25">
        <v>145</v>
      </c>
      <c r="L2745" s="24">
        <v>5.79</v>
      </c>
      <c r="M2745" s="24">
        <f>J2745-L2745</f>
        <v>6.4799999999999995</v>
      </c>
      <c r="N2745" s="53">
        <f>IF(J2745&lt;&gt;0,M2745/J2745,"")</f>
        <v>0.52811735941320292</v>
      </c>
      <c r="O2745" s="23">
        <v>0</v>
      </c>
      <c r="P2745" s="25">
        <v>0</v>
      </c>
      <c r="Q2745" s="24">
        <v>0</v>
      </c>
      <c r="R2745" s="24">
        <f>O2745-Q2745</f>
        <v>0</v>
      </c>
      <c r="S2745" s="53" t="str">
        <f>IF(O2745&lt;&gt;0,R2745/O2745,"")</f>
        <v/>
      </c>
      <c r="T2745" s="10"/>
      <c r="U2745" s="23">
        <v>0.09</v>
      </c>
      <c r="V2745" s="25">
        <v>1</v>
      </c>
      <c r="W2745" s="24">
        <v>0.04</v>
      </c>
      <c r="X2745" s="24">
        <f>U2745-W2745</f>
        <v>4.9999999999999996E-2</v>
      </c>
      <c r="Y2745" s="53">
        <f>IF(U2745&lt;&gt;0,X2745/U2745,"")</f>
        <v>0.55555555555555558</v>
      </c>
      <c r="Z2745" s="23">
        <v>-0.17</v>
      </c>
      <c r="AA2745" s="25">
        <v>-2</v>
      </c>
      <c r="AB2745" s="24">
        <v>-0.08</v>
      </c>
      <c r="AC2745" s="24">
        <f t="shared" si="764"/>
        <v>-9.0000000000000011E-2</v>
      </c>
      <c r="AD2745" s="53">
        <f t="shared" si="765"/>
        <v>0.52941176470588236</v>
      </c>
      <c r="AE2745" s="10"/>
    </row>
    <row r="2746" spans="1:31" x14ac:dyDescent="0.25">
      <c r="A2746" s="14" t="s">
        <v>109</v>
      </c>
      <c r="C2746" s="61" t="str">
        <f t="shared" si="763"/>
        <v>C100139</v>
      </c>
      <c r="F2746" s="8" t="str">
        <f>"E100007"</f>
        <v>E100007</v>
      </c>
      <c r="G2746" s="9" t="str">
        <f>"Plastic Handle Bag"</f>
        <v>Plastic Handle Bag</v>
      </c>
      <c r="H2746" s="47"/>
      <c r="I2746" s="47"/>
      <c r="J2746" s="23">
        <v>3.72</v>
      </c>
      <c r="K2746" s="25">
        <v>12</v>
      </c>
      <c r="L2746" s="24">
        <v>2.16</v>
      </c>
      <c r="M2746" s="24">
        <f>J2746-L2746</f>
        <v>1.56</v>
      </c>
      <c r="N2746" s="53">
        <f>IF(J2746&lt;&gt;0,M2746/J2746,"")</f>
        <v>0.41935483870967744</v>
      </c>
      <c r="O2746" s="23">
        <v>0</v>
      </c>
      <c r="P2746" s="25">
        <v>0</v>
      </c>
      <c r="Q2746" s="24">
        <v>0</v>
      </c>
      <c r="R2746" s="24">
        <f>O2746-Q2746</f>
        <v>0</v>
      </c>
      <c r="S2746" s="53" t="str">
        <f>IF(O2746&lt;&gt;0,R2746/O2746,"")</f>
        <v/>
      </c>
      <c r="T2746" s="10"/>
      <c r="U2746" s="23">
        <v>46.57</v>
      </c>
      <c r="V2746" s="25">
        <v>144</v>
      </c>
      <c r="W2746" s="24">
        <v>25.92</v>
      </c>
      <c r="X2746" s="24">
        <f>U2746-W2746</f>
        <v>20.65</v>
      </c>
      <c r="Y2746" s="53">
        <f>IF(U2746&lt;&gt;0,X2746/U2746,"")</f>
        <v>0.44341850977023833</v>
      </c>
      <c r="Z2746" s="23">
        <v>-0.32</v>
      </c>
      <c r="AA2746" s="25">
        <v>-1</v>
      </c>
      <c r="AB2746" s="24">
        <v>-0.18</v>
      </c>
      <c r="AC2746" s="24">
        <f t="shared" si="764"/>
        <v>-0.14000000000000001</v>
      </c>
      <c r="AD2746" s="53">
        <f t="shared" si="765"/>
        <v>0.43750000000000006</v>
      </c>
      <c r="AE2746" s="10"/>
    </row>
    <row r="2747" spans="1:31" x14ac:dyDescent="0.25">
      <c r="A2747" s="14" t="s">
        <v>109</v>
      </c>
      <c r="C2747" s="61" t="str">
        <f t="shared" si="763"/>
        <v>C100139</v>
      </c>
      <c r="F2747" s="8" t="str">
        <f>"E100008"</f>
        <v>E100008</v>
      </c>
      <c r="G2747" s="9" t="str">
        <f>"Super Shopper"</f>
        <v>Super Shopper</v>
      </c>
      <c r="H2747" s="47"/>
      <c r="I2747" s="47"/>
      <c r="J2747" s="23">
        <v>10.38</v>
      </c>
      <c r="K2747" s="25">
        <v>48</v>
      </c>
      <c r="L2747" s="24">
        <v>5.76</v>
      </c>
      <c r="M2747" s="24">
        <f>J2747-L2747</f>
        <v>4.620000000000001</v>
      </c>
      <c r="N2747" s="53">
        <f>IF(J2747&lt;&gt;0,M2747/J2747,"")</f>
        <v>0.44508670520231219</v>
      </c>
      <c r="O2747" s="23">
        <v>0</v>
      </c>
      <c r="P2747" s="25">
        <v>0</v>
      </c>
      <c r="Q2747" s="24">
        <v>0</v>
      </c>
      <c r="R2747" s="24">
        <f>O2747-Q2747</f>
        <v>0</v>
      </c>
      <c r="S2747" s="53" t="str">
        <f>IF(O2747&lt;&gt;0,R2747/O2747,"")</f>
        <v/>
      </c>
      <c r="T2747" s="10"/>
      <c r="U2747" s="23">
        <v>0</v>
      </c>
      <c r="V2747" s="25">
        <v>0</v>
      </c>
      <c r="W2747" s="24">
        <v>0</v>
      </c>
      <c r="X2747" s="24">
        <f>U2747-W2747</f>
        <v>0</v>
      </c>
      <c r="Y2747" s="53" t="str">
        <f>IF(U2747&lt;&gt;0,X2747/U2747,"")</f>
        <v/>
      </c>
      <c r="Z2747" s="23">
        <v>-5.74</v>
      </c>
      <c r="AA2747" s="25">
        <v>-26</v>
      </c>
      <c r="AB2747" s="24">
        <v>-3.12</v>
      </c>
      <c r="AC2747" s="24">
        <f t="shared" si="764"/>
        <v>-2.62</v>
      </c>
      <c r="AD2747" s="53">
        <f t="shared" si="765"/>
        <v>0.45644599303135891</v>
      </c>
      <c r="AE2747" s="10"/>
    </row>
    <row r="2748" spans="1:31" x14ac:dyDescent="0.25">
      <c r="A2748" s="14" t="s">
        <v>109</v>
      </c>
      <c r="C2748" s="61" t="str">
        <f t="shared" si="763"/>
        <v>C100139</v>
      </c>
      <c r="F2748" s="8" t="str">
        <f>"E100010"</f>
        <v>E100010</v>
      </c>
      <c r="G2748" s="9" t="str">
        <f>"Vinyl Tote"</f>
        <v>Vinyl Tote</v>
      </c>
      <c r="H2748" s="47"/>
      <c r="I2748" s="47"/>
      <c r="J2748" s="23">
        <v>41.96</v>
      </c>
      <c r="K2748" s="25">
        <v>144</v>
      </c>
      <c r="L2748" s="24">
        <v>25.92</v>
      </c>
      <c r="M2748" s="24">
        <f>J2748-L2748</f>
        <v>16.04</v>
      </c>
      <c r="N2748" s="53">
        <f>IF(J2748&lt;&gt;0,M2748/J2748,"")</f>
        <v>0.38226882745471874</v>
      </c>
      <c r="O2748" s="23">
        <v>0</v>
      </c>
      <c r="P2748" s="25">
        <v>0</v>
      </c>
      <c r="Q2748" s="24">
        <v>0</v>
      </c>
      <c r="R2748" s="24">
        <f>O2748-Q2748</f>
        <v>0</v>
      </c>
      <c r="S2748" s="53" t="str">
        <f>IF(O2748&lt;&gt;0,R2748/O2748,"")</f>
        <v/>
      </c>
      <c r="T2748" s="10"/>
      <c r="U2748" s="23">
        <v>0</v>
      </c>
      <c r="V2748" s="25">
        <v>0</v>
      </c>
      <c r="W2748" s="24">
        <v>0</v>
      </c>
      <c r="X2748" s="24">
        <f>U2748-W2748</f>
        <v>0</v>
      </c>
      <c r="Y2748" s="53" t="str">
        <f>IF(U2748&lt;&gt;0,X2748/U2748,"")</f>
        <v/>
      </c>
      <c r="Z2748" s="23">
        <v>0</v>
      </c>
      <c r="AA2748" s="25">
        <v>0</v>
      </c>
      <c r="AB2748" s="24">
        <v>0</v>
      </c>
      <c r="AC2748" s="24">
        <f t="shared" si="764"/>
        <v>0</v>
      </c>
      <c r="AD2748" s="53" t="str">
        <f t="shared" si="765"/>
        <v/>
      </c>
      <c r="AE2748" s="10"/>
    </row>
    <row r="2749" spans="1:31" x14ac:dyDescent="0.25">
      <c r="A2749" s="14" t="s">
        <v>109</v>
      </c>
      <c r="C2749" s="61" t="str">
        <f t="shared" si="763"/>
        <v>C100139</v>
      </c>
      <c r="F2749" s="8" t="str">
        <f>"E100012"</f>
        <v>E100012</v>
      </c>
      <c r="G2749" s="9" t="str">
        <f>"Canvas Stopwatch"</f>
        <v>Canvas Stopwatch</v>
      </c>
      <c r="H2749" s="47"/>
      <c r="I2749" s="47"/>
      <c r="J2749" s="23">
        <v>500.83</v>
      </c>
      <c r="K2749" s="25">
        <v>144</v>
      </c>
      <c r="L2749" s="24">
        <v>282.22999999999996</v>
      </c>
      <c r="M2749" s="24">
        <f>J2749-L2749</f>
        <v>218.60000000000002</v>
      </c>
      <c r="N2749" s="53">
        <f>IF(J2749&lt;&gt;0,M2749/J2749,"")</f>
        <v>0.43647545075175215</v>
      </c>
      <c r="O2749" s="23">
        <v>0</v>
      </c>
      <c r="P2749" s="25">
        <v>0</v>
      </c>
      <c r="Q2749" s="24">
        <v>0</v>
      </c>
      <c r="R2749" s="24">
        <f>O2749-Q2749</f>
        <v>0</v>
      </c>
      <c r="S2749" s="53" t="str">
        <f>IF(O2749&lt;&gt;0,R2749/O2749,"")</f>
        <v/>
      </c>
      <c r="T2749" s="10"/>
      <c r="U2749" s="23">
        <v>522.14</v>
      </c>
      <c r="V2749" s="25">
        <v>144</v>
      </c>
      <c r="W2749" s="24">
        <v>282.22999999999996</v>
      </c>
      <c r="X2749" s="24">
        <f>U2749-W2749</f>
        <v>239.91000000000003</v>
      </c>
      <c r="Y2749" s="53">
        <f>IF(U2749&lt;&gt;0,X2749/U2749,"")</f>
        <v>0.45947447044853879</v>
      </c>
      <c r="Z2749" s="23">
        <v>0</v>
      </c>
      <c r="AA2749" s="25">
        <v>0</v>
      </c>
      <c r="AB2749" s="24">
        <v>0</v>
      </c>
      <c r="AC2749" s="24">
        <f t="shared" si="764"/>
        <v>0</v>
      </c>
      <c r="AD2749" s="53" t="str">
        <f t="shared" si="765"/>
        <v/>
      </c>
      <c r="AE2749" s="10"/>
    </row>
    <row r="2750" spans="1:31" x14ac:dyDescent="0.25">
      <c r="A2750" s="14" t="s">
        <v>109</v>
      </c>
      <c r="C2750" s="61" t="str">
        <f t="shared" si="763"/>
        <v>C100139</v>
      </c>
      <c r="F2750" s="8" t="str">
        <f>"E100014"</f>
        <v>E100014</v>
      </c>
      <c r="G2750" s="9" t="str">
        <f>"Stopwatch with Neck Rope"</f>
        <v>Stopwatch with Neck Rope</v>
      </c>
      <c r="H2750" s="47"/>
      <c r="I2750" s="47"/>
      <c r="J2750" s="23">
        <v>372.23999999999995</v>
      </c>
      <c r="K2750" s="25">
        <v>144</v>
      </c>
      <c r="L2750" s="24">
        <v>185.75</v>
      </c>
      <c r="M2750" s="24">
        <f>J2750-L2750</f>
        <v>186.48999999999995</v>
      </c>
      <c r="N2750" s="53">
        <f>IF(J2750&lt;&gt;0,M2750/J2750,"")</f>
        <v>0.50099398237696102</v>
      </c>
      <c r="O2750" s="23">
        <v>0</v>
      </c>
      <c r="P2750" s="25">
        <v>0</v>
      </c>
      <c r="Q2750" s="24">
        <v>0</v>
      </c>
      <c r="R2750" s="24">
        <f>O2750-Q2750</f>
        <v>0</v>
      </c>
      <c r="S2750" s="53" t="str">
        <f>IF(O2750&lt;&gt;0,R2750/O2750,"")</f>
        <v/>
      </c>
      <c r="T2750" s="10"/>
      <c r="U2750" s="23">
        <v>0</v>
      </c>
      <c r="V2750" s="25">
        <v>0</v>
      </c>
      <c r="W2750" s="24">
        <v>0</v>
      </c>
      <c r="X2750" s="24">
        <f>U2750-W2750</f>
        <v>0</v>
      </c>
      <c r="Y2750" s="53" t="str">
        <f>IF(U2750&lt;&gt;0,X2750/U2750,"")</f>
        <v/>
      </c>
      <c r="Z2750" s="23">
        <v>0</v>
      </c>
      <c r="AA2750" s="25">
        <v>0</v>
      </c>
      <c r="AB2750" s="24">
        <v>0</v>
      </c>
      <c r="AC2750" s="24">
        <f t="shared" si="764"/>
        <v>0</v>
      </c>
      <c r="AD2750" s="53" t="str">
        <f t="shared" si="765"/>
        <v/>
      </c>
      <c r="AE2750" s="10"/>
    </row>
    <row r="2751" spans="1:31" x14ac:dyDescent="0.25">
      <c r="A2751" s="14" t="s">
        <v>109</v>
      </c>
      <c r="C2751" s="61" t="str">
        <f t="shared" si="763"/>
        <v>C100139</v>
      </c>
      <c r="F2751" s="8" t="str">
        <f>"E100017"</f>
        <v>E100017</v>
      </c>
      <c r="G2751" s="9" t="str">
        <f>"Clip-on Clock with Compass"</f>
        <v>Clip-on Clock with Compass</v>
      </c>
      <c r="H2751" s="47"/>
      <c r="I2751" s="47"/>
      <c r="J2751" s="23">
        <v>211.16</v>
      </c>
      <c r="K2751" s="25">
        <v>144</v>
      </c>
      <c r="L2751" s="24">
        <v>126.72</v>
      </c>
      <c r="M2751" s="24">
        <f>J2751-L2751</f>
        <v>84.44</v>
      </c>
      <c r="N2751" s="53">
        <f>IF(J2751&lt;&gt;0,M2751/J2751,"")</f>
        <v>0.39988634211024815</v>
      </c>
      <c r="O2751" s="23">
        <v>0</v>
      </c>
      <c r="P2751" s="25">
        <v>0</v>
      </c>
      <c r="Q2751" s="24">
        <v>0</v>
      </c>
      <c r="R2751" s="24">
        <f>O2751-Q2751</f>
        <v>0</v>
      </c>
      <c r="S2751" s="53" t="str">
        <f>IF(O2751&lt;&gt;0,R2751/O2751,"")</f>
        <v/>
      </c>
      <c r="T2751" s="10"/>
      <c r="U2751" s="23">
        <v>440.29</v>
      </c>
      <c r="V2751" s="25">
        <v>288</v>
      </c>
      <c r="W2751" s="24">
        <v>253.42999999999998</v>
      </c>
      <c r="X2751" s="24">
        <f>U2751-W2751</f>
        <v>186.86000000000004</v>
      </c>
      <c r="Y2751" s="53">
        <f>IF(U2751&lt;&gt;0,X2751/U2751,"")</f>
        <v>0.42440209861682082</v>
      </c>
      <c r="Z2751" s="23">
        <v>0</v>
      </c>
      <c r="AA2751" s="25">
        <v>0</v>
      </c>
      <c r="AB2751" s="24">
        <v>0</v>
      </c>
      <c r="AC2751" s="24">
        <f t="shared" si="764"/>
        <v>0</v>
      </c>
      <c r="AD2751" s="53" t="str">
        <f t="shared" si="765"/>
        <v/>
      </c>
      <c r="AE2751" s="10"/>
    </row>
    <row r="2752" spans="1:31" x14ac:dyDescent="0.25">
      <c r="A2752" s="14" t="s">
        <v>109</v>
      </c>
      <c r="C2752" s="61" t="str">
        <f t="shared" si="763"/>
        <v>C100139</v>
      </c>
      <c r="F2752" s="8" t="str">
        <f>"E100018"</f>
        <v>E100018</v>
      </c>
      <c r="G2752" s="9" t="str">
        <f>"Flexi-Clock &amp; Clip"</f>
        <v>Flexi-Clock &amp; Clip</v>
      </c>
      <c r="H2752" s="47"/>
      <c r="I2752" s="47"/>
      <c r="J2752" s="23">
        <v>152.96</v>
      </c>
      <c r="K2752" s="25">
        <v>144</v>
      </c>
      <c r="L2752" s="24">
        <v>86.39</v>
      </c>
      <c r="M2752" s="24">
        <f>J2752-L2752</f>
        <v>66.570000000000007</v>
      </c>
      <c r="N2752" s="53">
        <f>IF(J2752&lt;&gt;0,M2752/J2752,"")</f>
        <v>0.43521182008368203</v>
      </c>
      <c r="O2752" s="23">
        <v>0</v>
      </c>
      <c r="P2752" s="25">
        <v>0</v>
      </c>
      <c r="Q2752" s="24">
        <v>0</v>
      </c>
      <c r="R2752" s="24">
        <f>O2752-Q2752</f>
        <v>0</v>
      </c>
      <c r="S2752" s="53" t="str">
        <f>IF(O2752&lt;&gt;0,R2752/O2752,"")</f>
        <v/>
      </c>
      <c r="T2752" s="10"/>
      <c r="U2752" s="23">
        <v>0</v>
      </c>
      <c r="V2752" s="25">
        <v>0</v>
      </c>
      <c r="W2752" s="24">
        <v>0</v>
      </c>
      <c r="X2752" s="24">
        <f>U2752-W2752</f>
        <v>0</v>
      </c>
      <c r="Y2752" s="53" t="str">
        <f>IF(U2752&lt;&gt;0,X2752/U2752,"")</f>
        <v/>
      </c>
      <c r="Z2752" s="23">
        <v>0</v>
      </c>
      <c r="AA2752" s="25">
        <v>0</v>
      </c>
      <c r="AB2752" s="24">
        <v>0</v>
      </c>
      <c r="AC2752" s="24">
        <f t="shared" si="764"/>
        <v>0</v>
      </c>
      <c r="AD2752" s="53" t="str">
        <f t="shared" si="765"/>
        <v/>
      </c>
      <c r="AE2752" s="10"/>
    </row>
    <row r="2753" spans="1:31" x14ac:dyDescent="0.25">
      <c r="A2753" s="14" t="s">
        <v>109</v>
      </c>
      <c r="C2753" s="61" t="str">
        <f t="shared" si="763"/>
        <v>C100139</v>
      </c>
      <c r="F2753" s="8" t="str">
        <f>"E100021"</f>
        <v>E100021</v>
      </c>
      <c r="G2753" s="9" t="str">
        <f>"Slim Travel Alarm"</f>
        <v>Slim Travel Alarm</v>
      </c>
      <c r="H2753" s="47"/>
      <c r="I2753" s="47"/>
      <c r="J2753" s="23">
        <v>389.84</v>
      </c>
      <c r="K2753" s="25">
        <v>144</v>
      </c>
      <c r="L2753" s="24">
        <v>207.35</v>
      </c>
      <c r="M2753" s="24">
        <f>J2753-L2753</f>
        <v>182.48999999999998</v>
      </c>
      <c r="N2753" s="53">
        <f>IF(J2753&lt;&gt;0,M2753/J2753,"")</f>
        <v>0.46811512415349887</v>
      </c>
      <c r="O2753" s="23">
        <v>0</v>
      </c>
      <c r="P2753" s="25">
        <v>0</v>
      </c>
      <c r="Q2753" s="24">
        <v>0</v>
      </c>
      <c r="R2753" s="24">
        <f>O2753-Q2753</f>
        <v>0</v>
      </c>
      <c r="S2753" s="53" t="str">
        <f>IF(O2753&lt;&gt;0,R2753/O2753,"")</f>
        <v/>
      </c>
      <c r="T2753" s="10"/>
      <c r="U2753" s="23">
        <v>0</v>
      </c>
      <c r="V2753" s="25">
        <v>0</v>
      </c>
      <c r="W2753" s="24">
        <v>0</v>
      </c>
      <c r="X2753" s="24">
        <f>U2753-W2753</f>
        <v>0</v>
      </c>
      <c r="Y2753" s="53" t="str">
        <f>IF(U2753&lt;&gt;0,X2753/U2753,"")</f>
        <v/>
      </c>
      <c r="Z2753" s="23">
        <v>0</v>
      </c>
      <c r="AA2753" s="25">
        <v>0</v>
      </c>
      <c r="AB2753" s="24">
        <v>0</v>
      </c>
      <c r="AC2753" s="24">
        <f t="shared" si="764"/>
        <v>0</v>
      </c>
      <c r="AD2753" s="53" t="str">
        <f t="shared" si="765"/>
        <v/>
      </c>
      <c r="AE2753" s="10"/>
    </row>
    <row r="2754" spans="1:31" x14ac:dyDescent="0.25">
      <c r="A2754" s="14" t="s">
        <v>109</v>
      </c>
      <c r="C2754" s="61" t="str">
        <f t="shared" si="763"/>
        <v>C100139</v>
      </c>
      <c r="F2754" s="8" t="str">
        <f>"E100023"</f>
        <v>E100023</v>
      </c>
      <c r="G2754" s="9" t="str">
        <f>"Sport Earbuds"</f>
        <v>Sport Earbuds</v>
      </c>
      <c r="H2754" s="47"/>
      <c r="I2754" s="47"/>
      <c r="J2754" s="23">
        <v>4.25</v>
      </c>
      <c r="K2754" s="25">
        <v>1</v>
      </c>
      <c r="L2754" s="24">
        <v>2.1</v>
      </c>
      <c r="M2754" s="24">
        <f>J2754-L2754</f>
        <v>2.15</v>
      </c>
      <c r="N2754" s="53">
        <f>IF(J2754&lt;&gt;0,M2754/J2754,"")</f>
        <v>0.50588235294117645</v>
      </c>
      <c r="O2754" s="23">
        <v>0</v>
      </c>
      <c r="P2754" s="25">
        <v>0</v>
      </c>
      <c r="Q2754" s="24">
        <v>0</v>
      </c>
      <c r="R2754" s="24">
        <f>O2754-Q2754</f>
        <v>0</v>
      </c>
      <c r="S2754" s="53" t="str">
        <f>IF(O2754&lt;&gt;0,R2754/O2754,"")</f>
        <v/>
      </c>
      <c r="T2754" s="10"/>
      <c r="U2754" s="23">
        <v>0</v>
      </c>
      <c r="V2754" s="25">
        <v>0</v>
      </c>
      <c r="W2754" s="24">
        <v>0</v>
      </c>
      <c r="X2754" s="24">
        <f>U2754-W2754</f>
        <v>0</v>
      </c>
      <c r="Y2754" s="53" t="str">
        <f>IF(U2754&lt;&gt;0,X2754/U2754,"")</f>
        <v/>
      </c>
      <c r="Z2754" s="23">
        <v>0</v>
      </c>
      <c r="AA2754" s="25">
        <v>0</v>
      </c>
      <c r="AB2754" s="24">
        <v>0</v>
      </c>
      <c r="AC2754" s="24">
        <f t="shared" si="764"/>
        <v>0</v>
      </c>
      <c r="AD2754" s="53" t="str">
        <f t="shared" si="765"/>
        <v/>
      </c>
      <c r="AE2754" s="10"/>
    </row>
    <row r="2755" spans="1:31" x14ac:dyDescent="0.25">
      <c r="A2755" s="14" t="s">
        <v>109</v>
      </c>
      <c r="C2755" s="61" t="str">
        <f t="shared" si="763"/>
        <v>C100139</v>
      </c>
      <c r="F2755" s="8" t="str">
        <f>"E100024"</f>
        <v>E100024</v>
      </c>
      <c r="G2755" s="9" t="str">
        <f>"Arch Calculator"</f>
        <v>Arch Calculator</v>
      </c>
      <c r="H2755" s="47"/>
      <c r="I2755" s="47"/>
      <c r="J2755" s="23">
        <v>143.48000000000002</v>
      </c>
      <c r="K2755" s="25">
        <v>48</v>
      </c>
      <c r="L2755" s="24">
        <v>82.53</v>
      </c>
      <c r="M2755" s="24">
        <f>J2755-L2755</f>
        <v>60.950000000000017</v>
      </c>
      <c r="N2755" s="53">
        <f>IF(J2755&lt;&gt;0,M2755/J2755,"")</f>
        <v>0.42479788123780327</v>
      </c>
      <c r="O2755" s="23">
        <v>0</v>
      </c>
      <c r="P2755" s="25">
        <v>0</v>
      </c>
      <c r="Q2755" s="24">
        <v>0</v>
      </c>
      <c r="R2755" s="24">
        <f>O2755-Q2755</f>
        <v>0</v>
      </c>
      <c r="S2755" s="53" t="str">
        <f>IF(O2755&lt;&gt;0,R2755/O2755,"")</f>
        <v/>
      </c>
      <c r="T2755" s="10"/>
      <c r="U2755" s="23">
        <v>0</v>
      </c>
      <c r="V2755" s="25">
        <v>0</v>
      </c>
      <c r="W2755" s="24">
        <v>0</v>
      </c>
      <c r="X2755" s="24">
        <f>U2755-W2755</f>
        <v>0</v>
      </c>
      <c r="Y2755" s="53" t="str">
        <f>IF(U2755&lt;&gt;0,X2755/U2755,"")</f>
        <v/>
      </c>
      <c r="Z2755" s="23">
        <v>0</v>
      </c>
      <c r="AA2755" s="25">
        <v>0</v>
      </c>
      <c r="AB2755" s="24">
        <v>0</v>
      </c>
      <c r="AC2755" s="24">
        <f t="shared" si="764"/>
        <v>0</v>
      </c>
      <c r="AD2755" s="53" t="str">
        <f t="shared" si="765"/>
        <v/>
      </c>
      <c r="AE2755" s="10"/>
    </row>
    <row r="2756" spans="1:31" x14ac:dyDescent="0.25">
      <c r="A2756" s="14" t="s">
        <v>109</v>
      </c>
      <c r="C2756" s="61" t="str">
        <f t="shared" si="763"/>
        <v>C100139</v>
      </c>
      <c r="F2756" s="8" t="str">
        <f>"E100028"</f>
        <v>E100028</v>
      </c>
      <c r="G2756" s="9" t="str">
        <f>"USB 4-Port Hub"</f>
        <v>USB 4-Port Hub</v>
      </c>
      <c r="H2756" s="47"/>
      <c r="I2756" s="47"/>
      <c r="J2756" s="23">
        <v>389.84</v>
      </c>
      <c r="K2756" s="25">
        <v>144</v>
      </c>
      <c r="L2756" s="24">
        <v>267.91000000000003</v>
      </c>
      <c r="M2756" s="24">
        <f>J2756-L2756</f>
        <v>121.92999999999995</v>
      </c>
      <c r="N2756" s="53">
        <f>IF(J2756&lt;&gt;0,M2756/J2756,"")</f>
        <v>0.31276934126821249</v>
      </c>
      <c r="O2756" s="23">
        <v>0</v>
      </c>
      <c r="P2756" s="25">
        <v>0</v>
      </c>
      <c r="Q2756" s="24">
        <v>0</v>
      </c>
      <c r="R2756" s="24">
        <f>O2756-Q2756</f>
        <v>0</v>
      </c>
      <c r="S2756" s="53" t="str">
        <f>IF(O2756&lt;&gt;0,R2756/O2756,"")</f>
        <v/>
      </c>
      <c r="T2756" s="10"/>
      <c r="U2756" s="23">
        <v>0</v>
      </c>
      <c r="V2756" s="25">
        <v>0</v>
      </c>
      <c r="W2756" s="24">
        <v>0</v>
      </c>
      <c r="X2756" s="24">
        <f>U2756-W2756</f>
        <v>0</v>
      </c>
      <c r="Y2756" s="53" t="str">
        <f>IF(U2756&lt;&gt;0,X2756/U2756,"")</f>
        <v/>
      </c>
      <c r="Z2756" s="23">
        <v>0</v>
      </c>
      <c r="AA2756" s="25">
        <v>0</v>
      </c>
      <c r="AB2756" s="24">
        <v>0</v>
      </c>
      <c r="AC2756" s="24">
        <f t="shared" si="764"/>
        <v>0</v>
      </c>
      <c r="AD2756" s="53" t="str">
        <f t="shared" si="765"/>
        <v/>
      </c>
      <c r="AE2756" s="10"/>
    </row>
    <row r="2757" spans="1:31" x14ac:dyDescent="0.25">
      <c r="A2757" s="14" t="s">
        <v>109</v>
      </c>
      <c r="C2757" s="61" t="str">
        <f t="shared" si="763"/>
        <v>C100139</v>
      </c>
      <c r="F2757" s="8" t="str">
        <f>"E100032"</f>
        <v>E100032</v>
      </c>
      <c r="G2757" s="9" t="str">
        <f>"Button Key-Light"</f>
        <v>Button Key-Light</v>
      </c>
      <c r="H2757" s="47"/>
      <c r="I2757" s="47"/>
      <c r="J2757" s="23">
        <v>69.03</v>
      </c>
      <c r="K2757" s="25">
        <v>144</v>
      </c>
      <c r="L2757" s="24">
        <v>47.529999999999994</v>
      </c>
      <c r="M2757" s="24">
        <f>J2757-L2757</f>
        <v>21.500000000000007</v>
      </c>
      <c r="N2757" s="53">
        <f>IF(J2757&lt;&gt;0,M2757/J2757,"")</f>
        <v>0.31145878603505733</v>
      </c>
      <c r="O2757" s="23">
        <v>0</v>
      </c>
      <c r="P2757" s="25">
        <v>0</v>
      </c>
      <c r="Q2757" s="24">
        <v>0</v>
      </c>
      <c r="R2757" s="24">
        <f>O2757-Q2757</f>
        <v>0</v>
      </c>
      <c r="S2757" s="53" t="str">
        <f>IF(O2757&lt;&gt;0,R2757/O2757,"")</f>
        <v/>
      </c>
      <c r="T2757" s="10"/>
      <c r="U2757" s="23">
        <v>0</v>
      </c>
      <c r="V2757" s="25">
        <v>0</v>
      </c>
      <c r="W2757" s="24">
        <v>0</v>
      </c>
      <c r="X2757" s="24">
        <f>U2757-W2757</f>
        <v>0</v>
      </c>
      <c r="Y2757" s="53" t="str">
        <f>IF(U2757&lt;&gt;0,X2757/U2757,"")</f>
        <v/>
      </c>
      <c r="Z2757" s="23">
        <v>0</v>
      </c>
      <c r="AA2757" s="25">
        <v>0</v>
      </c>
      <c r="AB2757" s="24">
        <v>0</v>
      </c>
      <c r="AC2757" s="24">
        <f t="shared" si="764"/>
        <v>0</v>
      </c>
      <c r="AD2757" s="53" t="str">
        <f t="shared" si="765"/>
        <v/>
      </c>
      <c r="AE2757" s="10"/>
    </row>
    <row r="2758" spans="1:31" x14ac:dyDescent="0.25">
      <c r="A2758" s="14" t="s">
        <v>109</v>
      </c>
      <c r="C2758" s="61" t="str">
        <f t="shared" si="763"/>
        <v>C100139</v>
      </c>
      <c r="F2758" s="8" t="str">
        <f>"E100034"</f>
        <v>E100034</v>
      </c>
      <c r="G2758" s="9" t="str">
        <f>"Bamboo 1GB USB Flash Drive"</f>
        <v>Bamboo 1GB USB Flash Drive</v>
      </c>
      <c r="H2758" s="47"/>
      <c r="I2758" s="47"/>
      <c r="J2758" s="23">
        <v>786.43999999999994</v>
      </c>
      <c r="K2758" s="25">
        <v>144</v>
      </c>
      <c r="L2758" s="24">
        <v>388.83</v>
      </c>
      <c r="M2758" s="24">
        <f>J2758-L2758</f>
        <v>397.60999999999996</v>
      </c>
      <c r="N2758" s="53">
        <f>IF(J2758&lt;&gt;0,M2758/J2758,"")</f>
        <v>0.50558211688113519</v>
      </c>
      <c r="O2758" s="23">
        <v>0</v>
      </c>
      <c r="P2758" s="25">
        <v>0</v>
      </c>
      <c r="Q2758" s="24">
        <v>0</v>
      </c>
      <c r="R2758" s="24">
        <f>O2758-Q2758</f>
        <v>0</v>
      </c>
      <c r="S2758" s="53" t="str">
        <f>IF(O2758&lt;&gt;0,R2758/O2758,"")</f>
        <v/>
      </c>
      <c r="T2758" s="10"/>
      <c r="U2758" s="23">
        <v>0</v>
      </c>
      <c r="V2758" s="25">
        <v>0</v>
      </c>
      <c r="W2758" s="24">
        <v>0</v>
      </c>
      <c r="X2758" s="24">
        <f>U2758-W2758</f>
        <v>0</v>
      </c>
      <c r="Y2758" s="53" t="str">
        <f>IF(U2758&lt;&gt;0,X2758/U2758,"")</f>
        <v/>
      </c>
      <c r="Z2758" s="23">
        <v>0</v>
      </c>
      <c r="AA2758" s="25">
        <v>0</v>
      </c>
      <c r="AB2758" s="24">
        <v>0</v>
      </c>
      <c r="AC2758" s="24">
        <f t="shared" si="764"/>
        <v>0</v>
      </c>
      <c r="AD2758" s="53" t="str">
        <f t="shared" si="765"/>
        <v/>
      </c>
      <c r="AE2758" s="10"/>
    </row>
    <row r="2759" spans="1:31" x14ac:dyDescent="0.25">
      <c r="A2759" s="14" t="s">
        <v>109</v>
      </c>
      <c r="C2759" s="61" t="str">
        <f t="shared" si="763"/>
        <v>C100139</v>
      </c>
      <c r="F2759" s="8" t="str">
        <f>"E100035"</f>
        <v>E100035</v>
      </c>
      <c r="G2759" s="9" t="str">
        <f>"2GB Foldout USB Flash Drive"</f>
        <v>2GB Foldout USB Flash Drive</v>
      </c>
      <c r="H2759" s="47"/>
      <c r="I2759" s="47"/>
      <c r="J2759" s="23">
        <v>523.84</v>
      </c>
      <c r="K2759" s="25">
        <v>144</v>
      </c>
      <c r="L2759" s="24">
        <v>324.05</v>
      </c>
      <c r="M2759" s="24">
        <f>J2759-L2759</f>
        <v>199.79000000000002</v>
      </c>
      <c r="N2759" s="53">
        <f>IF(J2759&lt;&gt;0,M2759/J2759,"")</f>
        <v>0.38139508246792914</v>
      </c>
      <c r="O2759" s="23">
        <v>0</v>
      </c>
      <c r="P2759" s="25">
        <v>0</v>
      </c>
      <c r="Q2759" s="24">
        <v>0</v>
      </c>
      <c r="R2759" s="24">
        <f>O2759-Q2759</f>
        <v>0</v>
      </c>
      <c r="S2759" s="53" t="str">
        <f>IF(O2759&lt;&gt;0,R2759/O2759,"")</f>
        <v/>
      </c>
      <c r="T2759" s="10"/>
      <c r="U2759" s="23">
        <v>0</v>
      </c>
      <c r="V2759" s="25">
        <v>0</v>
      </c>
      <c r="W2759" s="24">
        <v>0</v>
      </c>
      <c r="X2759" s="24">
        <f>U2759-W2759</f>
        <v>0</v>
      </c>
      <c r="Y2759" s="53" t="str">
        <f>IF(U2759&lt;&gt;0,X2759/U2759,"")</f>
        <v/>
      </c>
      <c r="Z2759" s="23">
        <v>0</v>
      </c>
      <c r="AA2759" s="25">
        <v>0</v>
      </c>
      <c r="AB2759" s="24">
        <v>0</v>
      </c>
      <c r="AC2759" s="24">
        <f t="shared" si="764"/>
        <v>0</v>
      </c>
      <c r="AD2759" s="53" t="str">
        <f t="shared" si="765"/>
        <v/>
      </c>
      <c r="AE2759" s="10"/>
    </row>
    <row r="2760" spans="1:31" x14ac:dyDescent="0.25">
      <c r="A2760" s="14" t="s">
        <v>109</v>
      </c>
      <c r="C2760" s="61" t="str">
        <f t="shared" si="763"/>
        <v>C100139</v>
      </c>
      <c r="F2760" s="8" t="str">
        <f>"E100038"</f>
        <v>E100038</v>
      </c>
      <c r="G2760" s="9" t="str">
        <f>"1GB USB Flash Drive Pen"</f>
        <v>1GB USB Flash Drive Pen</v>
      </c>
      <c r="H2760" s="47"/>
      <c r="I2760" s="47"/>
      <c r="J2760" s="23">
        <v>771.55000000000007</v>
      </c>
      <c r="K2760" s="25">
        <v>144</v>
      </c>
      <c r="L2760" s="24">
        <v>427.72999999999996</v>
      </c>
      <c r="M2760" s="24">
        <f>J2760-L2760</f>
        <v>343.82000000000011</v>
      </c>
      <c r="N2760" s="53">
        <f>IF(J2760&lt;&gt;0,M2760/J2760,"")</f>
        <v>0.44562244831832037</v>
      </c>
      <c r="O2760" s="23">
        <v>0</v>
      </c>
      <c r="P2760" s="25">
        <v>0</v>
      </c>
      <c r="Q2760" s="24">
        <v>0</v>
      </c>
      <c r="R2760" s="24">
        <f>O2760-Q2760</f>
        <v>0</v>
      </c>
      <c r="S2760" s="53" t="str">
        <f>IF(O2760&lt;&gt;0,R2760/O2760,"")</f>
        <v/>
      </c>
      <c r="T2760" s="10"/>
      <c r="U2760" s="23">
        <v>0</v>
      </c>
      <c r="V2760" s="25">
        <v>0</v>
      </c>
      <c r="W2760" s="24">
        <v>0</v>
      </c>
      <c r="X2760" s="24">
        <f>U2760-W2760</f>
        <v>0</v>
      </c>
      <c r="Y2760" s="53" t="str">
        <f>IF(U2760&lt;&gt;0,X2760/U2760,"")</f>
        <v/>
      </c>
      <c r="Z2760" s="23">
        <v>0</v>
      </c>
      <c r="AA2760" s="25">
        <v>0</v>
      </c>
      <c r="AB2760" s="24">
        <v>0</v>
      </c>
      <c r="AC2760" s="24">
        <f t="shared" si="764"/>
        <v>0</v>
      </c>
      <c r="AD2760" s="53" t="str">
        <f t="shared" si="765"/>
        <v/>
      </c>
      <c r="AE2760" s="10"/>
    </row>
    <row r="2761" spans="1:31" x14ac:dyDescent="0.25">
      <c r="A2761" s="14" t="s">
        <v>109</v>
      </c>
      <c r="C2761" s="61" t="str">
        <f t="shared" si="763"/>
        <v>C100139</v>
      </c>
      <c r="F2761" s="8" t="str">
        <f>"E100039"</f>
        <v>E100039</v>
      </c>
      <c r="G2761" s="9" t="str">
        <f>"Campfire Mug"</f>
        <v>Campfire Mug</v>
      </c>
      <c r="H2761" s="47"/>
      <c r="I2761" s="47"/>
      <c r="J2761" s="23">
        <v>1.62</v>
      </c>
      <c r="K2761" s="25">
        <v>1</v>
      </c>
      <c r="L2761" s="24">
        <v>1.1200000000000001</v>
      </c>
      <c r="M2761" s="24">
        <f>J2761-L2761</f>
        <v>0.5</v>
      </c>
      <c r="N2761" s="53">
        <f>IF(J2761&lt;&gt;0,M2761/J2761,"")</f>
        <v>0.30864197530864196</v>
      </c>
      <c r="O2761" s="23">
        <v>0</v>
      </c>
      <c r="P2761" s="25">
        <v>0</v>
      </c>
      <c r="Q2761" s="24">
        <v>0</v>
      </c>
      <c r="R2761" s="24">
        <f>O2761-Q2761</f>
        <v>0</v>
      </c>
      <c r="S2761" s="53" t="str">
        <f>IF(O2761&lt;&gt;0,R2761/O2761,"")</f>
        <v/>
      </c>
      <c r="T2761" s="10"/>
      <c r="U2761" s="23">
        <v>0</v>
      </c>
      <c r="V2761" s="25">
        <v>0</v>
      </c>
      <c r="W2761" s="24">
        <v>0</v>
      </c>
      <c r="X2761" s="24">
        <f>U2761-W2761</f>
        <v>0</v>
      </c>
      <c r="Y2761" s="53" t="str">
        <f>IF(U2761&lt;&gt;0,X2761/U2761,"")</f>
        <v/>
      </c>
      <c r="Z2761" s="23">
        <v>0</v>
      </c>
      <c r="AA2761" s="25">
        <v>0</v>
      </c>
      <c r="AB2761" s="24">
        <v>0</v>
      </c>
      <c r="AC2761" s="24">
        <f t="shared" si="764"/>
        <v>0</v>
      </c>
      <c r="AD2761" s="53" t="str">
        <f t="shared" si="765"/>
        <v/>
      </c>
      <c r="AE2761" s="10"/>
    </row>
    <row r="2762" spans="1:31" x14ac:dyDescent="0.25">
      <c r="A2762" s="14" t="s">
        <v>109</v>
      </c>
      <c r="C2762" s="61" t="str">
        <f t="shared" si="763"/>
        <v>C100139</v>
      </c>
      <c r="F2762" s="8" t="str">
        <f>"E100043"</f>
        <v>E100043</v>
      </c>
      <c r="G2762" s="9" t="str">
        <f>"Pub Glass"</f>
        <v>Pub Glass</v>
      </c>
      <c r="H2762" s="47"/>
      <c r="I2762" s="47"/>
      <c r="J2762" s="23">
        <v>384.42</v>
      </c>
      <c r="K2762" s="25">
        <v>288</v>
      </c>
      <c r="L2762" s="24">
        <v>267.91000000000003</v>
      </c>
      <c r="M2762" s="24">
        <f>J2762-L2762</f>
        <v>116.50999999999999</v>
      </c>
      <c r="N2762" s="53">
        <f>IF(J2762&lt;&gt;0,M2762/J2762,"")</f>
        <v>0.30307996462202796</v>
      </c>
      <c r="O2762" s="23">
        <v>0</v>
      </c>
      <c r="P2762" s="25">
        <v>0</v>
      </c>
      <c r="Q2762" s="24">
        <v>0</v>
      </c>
      <c r="R2762" s="24">
        <f>O2762-Q2762</f>
        <v>0</v>
      </c>
      <c r="S2762" s="53" t="str">
        <f>IF(O2762&lt;&gt;0,R2762/O2762,"")</f>
        <v/>
      </c>
      <c r="T2762" s="10"/>
      <c r="U2762" s="23">
        <v>0</v>
      </c>
      <c r="V2762" s="25">
        <v>0</v>
      </c>
      <c r="W2762" s="24">
        <v>0</v>
      </c>
      <c r="X2762" s="24">
        <f>U2762-W2762</f>
        <v>0</v>
      </c>
      <c r="Y2762" s="53" t="str">
        <f>IF(U2762&lt;&gt;0,X2762/U2762,"")</f>
        <v/>
      </c>
      <c r="Z2762" s="23">
        <v>0</v>
      </c>
      <c r="AA2762" s="25">
        <v>0</v>
      </c>
      <c r="AB2762" s="24">
        <v>0</v>
      </c>
      <c r="AC2762" s="24">
        <f t="shared" si="764"/>
        <v>0</v>
      </c>
      <c r="AD2762" s="53" t="str">
        <f t="shared" si="765"/>
        <v/>
      </c>
      <c r="AE2762" s="10"/>
    </row>
    <row r="2763" spans="1:31" x14ac:dyDescent="0.25">
      <c r="A2763" s="14" t="s">
        <v>109</v>
      </c>
      <c r="C2763" s="61" t="str">
        <f t="shared" si="763"/>
        <v>C100139</v>
      </c>
      <c r="F2763" s="8" t="str">
        <f>"E100044"</f>
        <v>E100044</v>
      </c>
      <c r="G2763" s="9" t="str">
        <f>"Juice Glass"</f>
        <v>Juice Glass</v>
      </c>
      <c r="H2763" s="47"/>
      <c r="I2763" s="47"/>
      <c r="J2763" s="23">
        <v>78.510000000000005</v>
      </c>
      <c r="K2763" s="25">
        <v>144</v>
      </c>
      <c r="L2763" s="24">
        <v>54.809999999999995</v>
      </c>
      <c r="M2763" s="24">
        <f>J2763-L2763</f>
        <v>23.70000000000001</v>
      </c>
      <c r="N2763" s="53">
        <f>IF(J2763&lt;&gt;0,M2763/J2763,"")</f>
        <v>0.30187237294612163</v>
      </c>
      <c r="O2763" s="23">
        <v>0</v>
      </c>
      <c r="P2763" s="25">
        <v>0</v>
      </c>
      <c r="Q2763" s="24">
        <v>0</v>
      </c>
      <c r="R2763" s="24">
        <f>O2763-Q2763</f>
        <v>0</v>
      </c>
      <c r="S2763" s="53" t="str">
        <f>IF(O2763&lt;&gt;0,R2763/O2763,"")</f>
        <v/>
      </c>
      <c r="T2763" s="10"/>
      <c r="U2763" s="23">
        <v>82.42</v>
      </c>
      <c r="V2763" s="25">
        <v>145</v>
      </c>
      <c r="W2763" s="24">
        <v>55.190000000000005</v>
      </c>
      <c r="X2763" s="24">
        <f>U2763-W2763</f>
        <v>27.229999999999997</v>
      </c>
      <c r="Y2763" s="53">
        <f>IF(U2763&lt;&gt;0,X2763/U2763,"")</f>
        <v>0.33038097549138556</v>
      </c>
      <c r="Z2763" s="23">
        <v>0</v>
      </c>
      <c r="AA2763" s="25">
        <v>0</v>
      </c>
      <c r="AB2763" s="24">
        <v>0</v>
      </c>
      <c r="AC2763" s="24">
        <f t="shared" si="764"/>
        <v>0</v>
      </c>
      <c r="AD2763" s="53" t="str">
        <f t="shared" si="765"/>
        <v/>
      </c>
      <c r="AE2763" s="10"/>
    </row>
    <row r="2764" spans="1:31" x14ac:dyDescent="0.25">
      <c r="A2764" s="14" t="s">
        <v>109</v>
      </c>
      <c r="C2764" s="61" t="str">
        <f t="shared" si="763"/>
        <v>C100139</v>
      </c>
      <c r="F2764" s="8" t="str">
        <f>"E100045"</f>
        <v>E100045</v>
      </c>
      <c r="G2764" s="9" t="str">
        <f>"Flute"</f>
        <v>Flute</v>
      </c>
      <c r="H2764" s="47"/>
      <c r="I2764" s="47"/>
      <c r="J2764" s="23">
        <v>134.01</v>
      </c>
      <c r="K2764" s="25">
        <v>144</v>
      </c>
      <c r="L2764" s="24">
        <v>89.3</v>
      </c>
      <c r="M2764" s="24">
        <f>J2764-L2764</f>
        <v>44.709999999999994</v>
      </c>
      <c r="N2764" s="53">
        <f>IF(J2764&lt;&gt;0,M2764/J2764,"")</f>
        <v>0.33363181852100587</v>
      </c>
      <c r="O2764" s="23">
        <v>0</v>
      </c>
      <c r="P2764" s="25">
        <v>0</v>
      </c>
      <c r="Q2764" s="24">
        <v>0</v>
      </c>
      <c r="R2764" s="24">
        <f>O2764-Q2764</f>
        <v>0</v>
      </c>
      <c r="S2764" s="53" t="str">
        <f>IF(O2764&lt;&gt;0,R2764/O2764,"")</f>
        <v/>
      </c>
      <c r="T2764" s="10"/>
      <c r="U2764" s="23">
        <v>0</v>
      </c>
      <c r="V2764" s="25">
        <v>0</v>
      </c>
      <c r="W2764" s="24">
        <v>0</v>
      </c>
      <c r="X2764" s="24">
        <f>U2764-W2764</f>
        <v>0</v>
      </c>
      <c r="Y2764" s="53" t="str">
        <f>IF(U2764&lt;&gt;0,X2764/U2764,"")</f>
        <v/>
      </c>
      <c r="Z2764" s="23">
        <v>0</v>
      </c>
      <c r="AA2764" s="25">
        <v>0</v>
      </c>
      <c r="AB2764" s="24">
        <v>0</v>
      </c>
      <c r="AC2764" s="24">
        <f t="shared" si="764"/>
        <v>0</v>
      </c>
      <c r="AD2764" s="53" t="str">
        <f t="shared" si="765"/>
        <v/>
      </c>
      <c r="AE2764" s="10"/>
    </row>
    <row r="2765" spans="1:31" x14ac:dyDescent="0.25">
      <c r="A2765" s="14" t="s">
        <v>109</v>
      </c>
      <c r="C2765" s="61" t="str">
        <f t="shared" si="763"/>
        <v>C100139</v>
      </c>
      <c r="F2765" s="8" t="str">
        <f>"E100047"</f>
        <v>E100047</v>
      </c>
      <c r="G2765" s="9" t="str">
        <f>"Chardonnay Glass"</f>
        <v>Chardonnay Glass</v>
      </c>
      <c r="H2765" s="47"/>
      <c r="I2765" s="47"/>
      <c r="J2765" s="23">
        <v>243.64999999999998</v>
      </c>
      <c r="K2765" s="25">
        <v>144</v>
      </c>
      <c r="L2765" s="24">
        <v>151.19999999999999</v>
      </c>
      <c r="M2765" s="24">
        <f>J2765-L2765</f>
        <v>92.449999999999989</v>
      </c>
      <c r="N2765" s="53">
        <f>IF(J2765&lt;&gt;0,M2765/J2765,"")</f>
        <v>0.3794377180381695</v>
      </c>
      <c r="O2765" s="23">
        <v>0</v>
      </c>
      <c r="P2765" s="25">
        <v>0</v>
      </c>
      <c r="Q2765" s="24">
        <v>0</v>
      </c>
      <c r="R2765" s="24">
        <f>O2765-Q2765</f>
        <v>0</v>
      </c>
      <c r="S2765" s="53" t="str">
        <f>IF(O2765&lt;&gt;0,R2765/O2765,"")</f>
        <v/>
      </c>
      <c r="T2765" s="10"/>
      <c r="U2765" s="23">
        <v>0</v>
      </c>
      <c r="V2765" s="25">
        <v>0</v>
      </c>
      <c r="W2765" s="24">
        <v>0</v>
      </c>
      <c r="X2765" s="24">
        <f>U2765-W2765</f>
        <v>0</v>
      </c>
      <c r="Y2765" s="53" t="str">
        <f>IF(U2765&lt;&gt;0,X2765/U2765,"")</f>
        <v/>
      </c>
      <c r="Z2765" s="23">
        <v>0</v>
      </c>
      <c r="AA2765" s="25">
        <v>0</v>
      </c>
      <c r="AB2765" s="24">
        <v>0</v>
      </c>
      <c r="AC2765" s="24">
        <f t="shared" si="764"/>
        <v>0</v>
      </c>
      <c r="AD2765" s="53" t="str">
        <f t="shared" si="765"/>
        <v/>
      </c>
      <c r="AE2765" s="10"/>
    </row>
    <row r="2766" spans="1:31" x14ac:dyDescent="0.25">
      <c r="A2766" s="14" t="s">
        <v>109</v>
      </c>
      <c r="C2766" s="61" t="str">
        <f t="shared" si="763"/>
        <v>C100139</v>
      </c>
      <c r="F2766" s="8" t="str">
        <f>"S100011"</f>
        <v>S100011</v>
      </c>
      <c r="G2766" s="9" t="str">
        <f>"All Star Cap"</f>
        <v>All Star Cap</v>
      </c>
      <c r="H2766" s="47"/>
      <c r="I2766" s="47"/>
      <c r="J2766" s="23">
        <v>228.98</v>
      </c>
      <c r="K2766" s="25">
        <v>168</v>
      </c>
      <c r="L2766" s="24">
        <v>142.81</v>
      </c>
      <c r="M2766" s="24">
        <f>J2766-L2766</f>
        <v>86.169999999999987</v>
      </c>
      <c r="N2766" s="53">
        <f>IF(J2766&lt;&gt;0,M2766/J2766,"")</f>
        <v>0.37632107607651322</v>
      </c>
      <c r="O2766" s="23">
        <v>0</v>
      </c>
      <c r="P2766" s="25">
        <v>0</v>
      </c>
      <c r="Q2766" s="24">
        <v>0</v>
      </c>
      <c r="R2766" s="24">
        <f>O2766-Q2766</f>
        <v>0</v>
      </c>
      <c r="S2766" s="53" t="str">
        <f>IF(O2766&lt;&gt;0,R2766/O2766,"")</f>
        <v/>
      </c>
      <c r="T2766" s="10"/>
      <c r="U2766" s="23">
        <v>0</v>
      </c>
      <c r="V2766" s="25">
        <v>0</v>
      </c>
      <c r="W2766" s="24">
        <v>0</v>
      </c>
      <c r="X2766" s="24">
        <f>U2766-W2766</f>
        <v>0</v>
      </c>
      <c r="Y2766" s="53" t="str">
        <f>IF(U2766&lt;&gt;0,X2766/U2766,"")</f>
        <v/>
      </c>
      <c r="Z2766" s="23">
        <v>0</v>
      </c>
      <c r="AA2766" s="25">
        <v>0</v>
      </c>
      <c r="AB2766" s="24">
        <v>0</v>
      </c>
      <c r="AC2766" s="24">
        <f t="shared" si="764"/>
        <v>0</v>
      </c>
      <c r="AD2766" s="53" t="str">
        <f t="shared" si="765"/>
        <v/>
      </c>
      <c r="AE2766" s="10"/>
    </row>
    <row r="2767" spans="1:31" x14ac:dyDescent="0.25">
      <c r="A2767" s="14" t="s">
        <v>109</v>
      </c>
      <c r="C2767" s="61" t="str">
        <f t="shared" si="763"/>
        <v>C100139</v>
      </c>
      <c r="F2767" s="8" t="str">
        <f>"S100023"</f>
        <v>S100023</v>
      </c>
      <c r="G2767" s="9" t="str">
        <f>"Gripper SPORT BOT"</f>
        <v>Gripper SPORT BOT</v>
      </c>
      <c r="H2767" s="47"/>
      <c r="I2767" s="47"/>
      <c r="J2767" s="23">
        <v>269.37</v>
      </c>
      <c r="K2767" s="25">
        <v>144</v>
      </c>
      <c r="L2767" s="24">
        <v>142.57999999999998</v>
      </c>
      <c r="M2767" s="24">
        <f>J2767-L2767</f>
        <v>126.79000000000002</v>
      </c>
      <c r="N2767" s="53">
        <f>IF(J2767&lt;&gt;0,M2767/J2767,"")</f>
        <v>0.47069087129227466</v>
      </c>
      <c r="O2767" s="23">
        <v>0</v>
      </c>
      <c r="P2767" s="25">
        <v>0</v>
      </c>
      <c r="Q2767" s="24">
        <v>0</v>
      </c>
      <c r="R2767" s="24">
        <f>O2767-Q2767</f>
        <v>0</v>
      </c>
      <c r="S2767" s="53" t="str">
        <f>IF(O2767&lt;&gt;0,R2767/O2767,"")</f>
        <v/>
      </c>
      <c r="T2767" s="10"/>
      <c r="U2767" s="23">
        <v>0</v>
      </c>
      <c r="V2767" s="25">
        <v>0</v>
      </c>
      <c r="W2767" s="24">
        <v>0</v>
      </c>
      <c r="X2767" s="24">
        <f>U2767-W2767</f>
        <v>0</v>
      </c>
      <c r="Y2767" s="53" t="str">
        <f>IF(U2767&lt;&gt;0,X2767/U2767,"")</f>
        <v/>
      </c>
      <c r="Z2767" s="23">
        <v>0</v>
      </c>
      <c r="AA2767" s="25">
        <v>0</v>
      </c>
      <c r="AB2767" s="24">
        <v>0</v>
      </c>
      <c r="AC2767" s="24">
        <f t="shared" si="764"/>
        <v>0</v>
      </c>
      <c r="AD2767" s="53" t="str">
        <f t="shared" si="765"/>
        <v/>
      </c>
      <c r="AE2767" s="10"/>
    </row>
    <row r="2768" spans="1:31" x14ac:dyDescent="0.25">
      <c r="A2768" s="14" t="s">
        <v>109</v>
      </c>
      <c r="C2768" s="61" t="str">
        <f t="shared" si="763"/>
        <v>C100139</v>
      </c>
      <c r="F2768" s="8" t="str">
        <f>"S100024"</f>
        <v>S100024</v>
      </c>
      <c r="G2768" s="9" t="str">
        <f>"Aluminum SPORT BOT"</f>
        <v>Aluminum SPORT BOT</v>
      </c>
      <c r="H2768" s="47"/>
      <c r="I2768" s="47"/>
      <c r="J2768" s="23">
        <v>477.82000000000005</v>
      </c>
      <c r="K2768" s="25">
        <v>144</v>
      </c>
      <c r="L2768" s="24">
        <v>302.39999999999998</v>
      </c>
      <c r="M2768" s="24">
        <f>J2768-L2768</f>
        <v>175.42000000000007</v>
      </c>
      <c r="N2768" s="53">
        <f>IF(J2768&lt;&gt;0,M2768/J2768,"")</f>
        <v>0.36712569586873728</v>
      </c>
      <c r="O2768" s="23">
        <v>0</v>
      </c>
      <c r="P2768" s="25">
        <v>0</v>
      </c>
      <c r="Q2768" s="24">
        <v>0</v>
      </c>
      <c r="R2768" s="24">
        <f>O2768-Q2768</f>
        <v>0</v>
      </c>
      <c r="S2768" s="53" t="str">
        <f>IF(O2768&lt;&gt;0,R2768/O2768,"")</f>
        <v/>
      </c>
      <c r="T2768" s="10"/>
      <c r="U2768" s="23">
        <v>0</v>
      </c>
      <c r="V2768" s="25">
        <v>0</v>
      </c>
      <c r="W2768" s="24">
        <v>0</v>
      </c>
      <c r="X2768" s="24">
        <f>U2768-W2768</f>
        <v>0</v>
      </c>
      <c r="Y2768" s="53" t="str">
        <f>IF(U2768&lt;&gt;0,X2768/U2768,"")</f>
        <v/>
      </c>
      <c r="Z2768" s="23">
        <v>0</v>
      </c>
      <c r="AA2768" s="25">
        <v>0</v>
      </c>
      <c r="AB2768" s="24">
        <v>0</v>
      </c>
      <c r="AC2768" s="24">
        <f t="shared" si="764"/>
        <v>0</v>
      </c>
      <c r="AD2768" s="53" t="str">
        <f t="shared" si="765"/>
        <v/>
      </c>
      <c r="AE2768" s="10"/>
    </row>
    <row r="2769" spans="1:31" x14ac:dyDescent="0.25">
      <c r="A2769" s="14" t="s">
        <v>109</v>
      </c>
      <c r="C2769" s="61" t="str">
        <f t="shared" si="763"/>
        <v>C100139</v>
      </c>
      <c r="F2769" s="8" t="str">
        <f>"S100026"</f>
        <v>S100026</v>
      </c>
      <c r="G2769" s="9" t="str">
        <f>"Wide SPORT BOT"</f>
        <v>Wide SPORT BOT</v>
      </c>
      <c r="H2769" s="47"/>
      <c r="I2769" s="47"/>
      <c r="J2769" s="23">
        <v>3.81</v>
      </c>
      <c r="K2769" s="25">
        <v>1</v>
      </c>
      <c r="L2769" s="24">
        <v>1.9</v>
      </c>
      <c r="M2769" s="24">
        <f>J2769-L2769</f>
        <v>1.9100000000000001</v>
      </c>
      <c r="N2769" s="53">
        <f>IF(J2769&lt;&gt;0,M2769/J2769,"")</f>
        <v>0.50131233595800528</v>
      </c>
      <c r="O2769" s="23">
        <v>0</v>
      </c>
      <c r="P2769" s="25">
        <v>0</v>
      </c>
      <c r="Q2769" s="24">
        <v>0</v>
      </c>
      <c r="R2769" s="24">
        <f>O2769-Q2769</f>
        <v>0</v>
      </c>
      <c r="S2769" s="53" t="str">
        <f>IF(O2769&lt;&gt;0,R2769/O2769,"")</f>
        <v/>
      </c>
      <c r="T2769" s="10"/>
      <c r="U2769" s="23">
        <v>0</v>
      </c>
      <c r="V2769" s="25">
        <v>0</v>
      </c>
      <c r="W2769" s="24">
        <v>0</v>
      </c>
      <c r="X2769" s="24">
        <f>U2769-W2769</f>
        <v>0</v>
      </c>
      <c r="Y2769" s="53" t="str">
        <f>IF(U2769&lt;&gt;0,X2769/U2769,"")</f>
        <v/>
      </c>
      <c r="Z2769" s="23">
        <v>0</v>
      </c>
      <c r="AA2769" s="25">
        <v>0</v>
      </c>
      <c r="AB2769" s="24">
        <v>0</v>
      </c>
      <c r="AC2769" s="24">
        <f t="shared" si="764"/>
        <v>0</v>
      </c>
      <c r="AD2769" s="53" t="str">
        <f t="shared" si="765"/>
        <v/>
      </c>
      <c r="AE2769" s="10"/>
    </row>
    <row r="2770" spans="1:31" ht="15.75" thickBot="1" x14ac:dyDescent="0.3">
      <c r="A2770" s="14" t="s">
        <v>109</v>
      </c>
      <c r="C2770" s="61" t="str">
        <f>C2735</f>
        <v>C100139</v>
      </c>
      <c r="J2770" s="10"/>
      <c r="K2770" s="11"/>
      <c r="L2770" s="11"/>
      <c r="M2770" s="11"/>
      <c r="N2770" s="12"/>
      <c r="O2770" s="10"/>
      <c r="P2770" s="11"/>
      <c r="Q2770" s="11"/>
      <c r="R2770" s="11"/>
      <c r="S2770" s="12"/>
      <c r="U2770" s="10"/>
      <c r="V2770" s="11"/>
      <c r="W2770" s="11"/>
      <c r="X2770" s="11"/>
      <c r="Y2770" s="12"/>
      <c r="Z2770" s="10"/>
      <c r="AA2770" s="11"/>
      <c r="AB2770" s="11"/>
      <c r="AC2770" s="11"/>
      <c r="AD2770" s="12"/>
    </row>
    <row r="2771" spans="1:31" ht="15.75" thickBot="1" x14ac:dyDescent="0.3">
      <c r="A2771" s="14" t="s">
        <v>109</v>
      </c>
      <c r="C2771" s="61" t="str">
        <f t="shared" si="760"/>
        <v>C100139</v>
      </c>
      <c r="G2771" s="48" t="str">
        <f>C2771&amp;" TOTAL:"</f>
        <v>C100139 TOTAL:</v>
      </c>
      <c r="H2771" s="50"/>
      <c r="I2771" s="50"/>
      <c r="J2771" s="34">
        <f>SUBTOTAL(9,J2734:J2770)</f>
        <v>10417.01</v>
      </c>
      <c r="K2771" s="35">
        <f>SUBTOTAL(9,K2734:K2770)</f>
        <v>4648</v>
      </c>
      <c r="L2771" s="36">
        <f>SUBTOTAL(9,L2734:L2770)</f>
        <v>6211.5999999999995</v>
      </c>
      <c r="M2771" s="36">
        <f>J2771-L2771</f>
        <v>4205.4100000000008</v>
      </c>
      <c r="N2771" s="37">
        <f>IF(J2771&lt;&gt;0,M2771/J2771,"")</f>
        <v>0.4037060538484652</v>
      </c>
      <c r="O2771" s="34">
        <f>SUBTOTAL(9,O2734:O2770)</f>
        <v>0</v>
      </c>
      <c r="P2771" s="35">
        <f>SUBTOTAL(9,P2734:P2770)</f>
        <v>0</v>
      </c>
      <c r="Q2771" s="36">
        <f>SUBTOTAL(9,Q2734:Q2770)</f>
        <v>0</v>
      </c>
      <c r="R2771" s="36">
        <f>O2771-Q2771</f>
        <v>0</v>
      </c>
      <c r="S2771" s="37" t="str">
        <f>IF(O2771&lt;&gt;0,R2771/O2771,"")</f>
        <v/>
      </c>
      <c r="U2771" s="34">
        <f>SUBTOTAL(9,U2734:U2770)</f>
        <v>1091.51</v>
      </c>
      <c r="V2771" s="35">
        <f>SUBTOTAL(9,V2734:V2770)</f>
        <v>722</v>
      </c>
      <c r="W2771" s="36">
        <f>SUBTOTAL(9,W2734:W2770)</f>
        <v>616.80999999999995</v>
      </c>
      <c r="X2771" s="36">
        <f>U2771-W2771</f>
        <v>474.70000000000005</v>
      </c>
      <c r="Y2771" s="37">
        <f>IF(U2771&lt;&gt;0,X2771/U2771,"")</f>
        <v>0.43490210808879448</v>
      </c>
      <c r="Z2771" s="34">
        <f>SUBTOTAL(9,Z2734:Z2770)</f>
        <v>-6.23</v>
      </c>
      <c r="AA2771" s="35">
        <f>SUBTOTAL(9,AA2734:AA2770)</f>
        <v>-29</v>
      </c>
      <c r="AB2771" s="36">
        <f>SUBTOTAL(9,AB2734:AB2770)</f>
        <v>-3.38</v>
      </c>
      <c r="AC2771" s="36">
        <f t="shared" ref="AC2771" si="766">Z2771-AB2771</f>
        <v>-2.8500000000000005</v>
      </c>
      <c r="AD2771" s="37">
        <f t="shared" ref="AD2771" si="767">IF(Z2771&lt;&gt;0,AC2771/Z2771,"")</f>
        <v>0.4574638844301766</v>
      </c>
    </row>
    <row r="2772" spans="1:31" x14ac:dyDescent="0.25">
      <c r="A2772" s="14" t="s">
        <v>109</v>
      </c>
      <c r="C2772" s="66"/>
      <c r="J2772" s="10"/>
      <c r="K2772" s="11"/>
      <c r="L2772" s="11"/>
      <c r="M2772" s="11"/>
      <c r="N2772" s="12"/>
      <c r="O2772" s="10"/>
      <c r="P2772" s="11"/>
      <c r="Q2772" s="11"/>
      <c r="R2772" s="11"/>
      <c r="S2772" s="12"/>
      <c r="U2772" s="10"/>
      <c r="V2772" s="11"/>
      <c r="W2772" s="11"/>
      <c r="X2772" s="11"/>
      <c r="Y2772" s="12"/>
      <c r="Z2772" s="10"/>
      <c r="AA2772" s="11"/>
      <c r="AB2772" s="11"/>
      <c r="AC2772" s="11"/>
      <c r="AD2772" s="12"/>
    </row>
    <row r="2773" spans="1:31" ht="15.75" x14ac:dyDescent="0.25">
      <c r="A2773" s="14" t="s">
        <v>109</v>
      </c>
      <c r="C2773" s="66" t="str">
        <f t="shared" ref="C2773" si="768">E2773</f>
        <v>C100140</v>
      </c>
      <c r="E2773" s="13" t="str">
        <f>"C100140"</f>
        <v>C100140</v>
      </c>
      <c r="F2773" s="13"/>
      <c r="G2773" s="13" t="str">
        <f>"Super Daves"</f>
        <v>Super Daves</v>
      </c>
      <c r="H2773" s="13"/>
      <c r="I2773" s="13"/>
      <c r="J2773" s="10"/>
      <c r="K2773" s="11"/>
      <c r="L2773" s="11"/>
      <c r="M2773" s="11"/>
      <c r="N2773" s="12"/>
      <c r="O2773" s="10"/>
      <c r="P2773" s="11"/>
      <c r="Q2773" s="11"/>
      <c r="R2773" s="11"/>
      <c r="S2773" s="12"/>
      <c r="U2773" s="10"/>
      <c r="V2773" s="11"/>
      <c r="W2773" s="11"/>
      <c r="X2773" s="11"/>
      <c r="Y2773" s="12"/>
      <c r="Z2773" s="10"/>
      <c r="AA2773" s="11"/>
      <c r="AB2773" s="11"/>
      <c r="AC2773" s="11"/>
      <c r="AD2773" s="12"/>
    </row>
    <row r="2774" spans="1:31" ht="6.6" customHeight="1" x14ac:dyDescent="0.25">
      <c r="A2774" s="14" t="s">
        <v>109</v>
      </c>
      <c r="C2774" s="61" t="str">
        <f t="shared" ref="C2774:C2847" si="769">C2773</f>
        <v>C100140</v>
      </c>
      <c r="J2774" s="10"/>
      <c r="K2774" s="11"/>
      <c r="L2774" s="11"/>
      <c r="M2774" s="11"/>
      <c r="N2774" s="12"/>
      <c r="O2774" s="10"/>
      <c r="P2774" s="11"/>
      <c r="Q2774" s="11"/>
      <c r="R2774" s="11"/>
      <c r="S2774" s="12"/>
      <c r="U2774" s="10"/>
      <c r="V2774" s="11"/>
      <c r="W2774" s="11"/>
      <c r="X2774" s="11"/>
      <c r="Y2774" s="12"/>
      <c r="Z2774" s="10"/>
      <c r="AA2774" s="11"/>
      <c r="AB2774" s="11"/>
      <c r="AC2774" s="11"/>
      <c r="AD2774" s="12"/>
    </row>
    <row r="2775" spans="1:31" x14ac:dyDescent="0.25">
      <c r="A2775" s="14" t="s">
        <v>109</v>
      </c>
      <c r="C2775" s="61" t="str">
        <f t="shared" si="769"/>
        <v>C100140</v>
      </c>
      <c r="F2775" s="8" t="str">
        <f>"C100023"</f>
        <v>C100023</v>
      </c>
      <c r="G2775" s="9" t="str">
        <f>"Two-Toned Knit Hat"</f>
        <v>Two-Toned Knit Hat</v>
      </c>
      <c r="H2775" s="47"/>
      <c r="I2775" s="47"/>
      <c r="J2775" s="23">
        <v>378.2</v>
      </c>
      <c r="K2775" s="25">
        <v>144</v>
      </c>
      <c r="L2775" s="24">
        <v>181.43</v>
      </c>
      <c r="M2775" s="24">
        <f>J2775-L2775</f>
        <v>196.76999999999998</v>
      </c>
      <c r="N2775" s="53">
        <f>IF(J2775&lt;&gt;0,M2775/J2775,"")</f>
        <v>0.52028027498677942</v>
      </c>
      <c r="O2775" s="23">
        <v>0</v>
      </c>
      <c r="P2775" s="25">
        <v>0</v>
      </c>
      <c r="Q2775" s="24">
        <v>0</v>
      </c>
      <c r="R2775" s="24">
        <f>O2775-Q2775</f>
        <v>0</v>
      </c>
      <c r="S2775" s="53" t="str">
        <f>IF(O2775&lt;&gt;0,R2775/O2775,"")</f>
        <v/>
      </c>
      <c r="T2775" s="10"/>
      <c r="U2775" s="23">
        <v>0</v>
      </c>
      <c r="V2775" s="25">
        <v>0</v>
      </c>
      <c r="W2775" s="24">
        <v>0</v>
      </c>
      <c r="X2775" s="24">
        <f>U2775-W2775</f>
        <v>0</v>
      </c>
      <c r="Y2775" s="53" t="str">
        <f>IF(U2775&lt;&gt;0,X2775/U2775,"")</f>
        <v/>
      </c>
      <c r="Z2775" s="23">
        <v>0</v>
      </c>
      <c r="AA2775" s="25">
        <v>0</v>
      </c>
      <c r="AB2775" s="24">
        <v>0</v>
      </c>
      <c r="AC2775" s="24">
        <f t="shared" ref="AC2775" si="770">Z2775-AB2775</f>
        <v>0</v>
      </c>
      <c r="AD2775" s="53" t="str">
        <f t="shared" ref="AD2775" si="771">IF(Z2775&lt;&gt;0,AC2775/Z2775,"")</f>
        <v/>
      </c>
      <c r="AE2775" s="10"/>
    </row>
    <row r="2776" spans="1:31" x14ac:dyDescent="0.25">
      <c r="A2776" s="14" t="s">
        <v>109</v>
      </c>
      <c r="C2776" s="61" t="str">
        <f t="shared" ref="C2776:C2839" si="772">C2775</f>
        <v>C100140</v>
      </c>
      <c r="F2776" s="8" t="str">
        <f>"C100025"</f>
        <v>C100025</v>
      </c>
      <c r="G2776" s="9" t="str">
        <f>"Striped Knit Hat"</f>
        <v>Striped Knit Hat</v>
      </c>
      <c r="H2776" s="47"/>
      <c r="I2776" s="47"/>
      <c r="J2776" s="23">
        <v>844</v>
      </c>
      <c r="K2776" s="25">
        <v>289</v>
      </c>
      <c r="L2776" s="24">
        <v>398.82</v>
      </c>
      <c r="M2776" s="24">
        <f>J2776-L2776</f>
        <v>445.18</v>
      </c>
      <c r="N2776" s="53">
        <f>IF(J2776&lt;&gt;0,M2776/J2776,"")</f>
        <v>0.52746445497630334</v>
      </c>
      <c r="O2776" s="23">
        <v>1261.6199999999999</v>
      </c>
      <c r="P2776" s="25">
        <v>432</v>
      </c>
      <c r="Q2776" s="24">
        <v>596.17000000000007</v>
      </c>
      <c r="R2776" s="24">
        <f>O2776-Q2776</f>
        <v>665.44999999999982</v>
      </c>
      <c r="S2776" s="53">
        <f>IF(O2776&lt;&gt;0,R2776/O2776,"")</f>
        <v>0.52745676194099644</v>
      </c>
      <c r="T2776" s="10"/>
      <c r="U2776" s="23">
        <v>17.52</v>
      </c>
      <c r="V2776" s="25">
        <v>6</v>
      </c>
      <c r="W2776" s="24">
        <v>8.2799999999999994</v>
      </c>
      <c r="X2776" s="24">
        <f>U2776-W2776</f>
        <v>9.24</v>
      </c>
      <c r="Y2776" s="53">
        <f>IF(U2776&lt;&gt;0,X2776/U2776,"")</f>
        <v>0.5273972602739726</v>
      </c>
      <c r="Z2776" s="23">
        <v>0</v>
      </c>
      <c r="AA2776" s="25">
        <v>0</v>
      </c>
      <c r="AB2776" s="24">
        <v>0</v>
      </c>
      <c r="AC2776" s="24">
        <f t="shared" ref="AC2776:AC2839" si="773">Z2776-AB2776</f>
        <v>0</v>
      </c>
      <c r="AD2776" s="53" t="str">
        <f t="shared" ref="AD2776:AD2839" si="774">IF(Z2776&lt;&gt;0,AC2776/Z2776,"")</f>
        <v/>
      </c>
      <c r="AE2776" s="10"/>
    </row>
    <row r="2777" spans="1:31" x14ac:dyDescent="0.25">
      <c r="A2777" s="14" t="s">
        <v>109</v>
      </c>
      <c r="C2777" s="61" t="str">
        <f t="shared" si="772"/>
        <v>C100140</v>
      </c>
      <c r="F2777" s="8" t="str">
        <f>"C100026"</f>
        <v>C100026</v>
      </c>
      <c r="G2777" s="9" t="str">
        <f>"Fleece Beanie"</f>
        <v>Fleece Beanie</v>
      </c>
      <c r="H2777" s="47"/>
      <c r="I2777" s="47"/>
      <c r="J2777" s="23">
        <v>440.29</v>
      </c>
      <c r="K2777" s="25">
        <v>144</v>
      </c>
      <c r="L2777" s="24">
        <v>287.99</v>
      </c>
      <c r="M2777" s="24">
        <f>J2777-L2777</f>
        <v>152.30000000000001</v>
      </c>
      <c r="N2777" s="53">
        <f>IF(J2777&lt;&gt;0,M2777/J2777,"")</f>
        <v>0.34590837856867068</v>
      </c>
      <c r="O2777" s="23">
        <v>3.06</v>
      </c>
      <c r="P2777" s="25">
        <v>1</v>
      </c>
      <c r="Q2777" s="24">
        <v>2</v>
      </c>
      <c r="R2777" s="24">
        <f>O2777-Q2777</f>
        <v>1.06</v>
      </c>
      <c r="S2777" s="53">
        <f>IF(O2777&lt;&gt;0,R2777/O2777,"")</f>
        <v>0.34640522875816993</v>
      </c>
      <c r="T2777" s="10"/>
      <c r="U2777" s="23">
        <v>440.29</v>
      </c>
      <c r="V2777" s="25">
        <v>144</v>
      </c>
      <c r="W2777" s="24">
        <v>287.99</v>
      </c>
      <c r="X2777" s="24">
        <f>U2777-W2777</f>
        <v>152.30000000000001</v>
      </c>
      <c r="Y2777" s="53">
        <f>IF(U2777&lt;&gt;0,X2777/U2777,"")</f>
        <v>0.34590837856867068</v>
      </c>
      <c r="Z2777" s="23">
        <v>0</v>
      </c>
      <c r="AA2777" s="25">
        <v>0</v>
      </c>
      <c r="AB2777" s="24">
        <v>0</v>
      </c>
      <c r="AC2777" s="24">
        <f t="shared" si="773"/>
        <v>0</v>
      </c>
      <c r="AD2777" s="53" t="str">
        <f t="shared" si="774"/>
        <v/>
      </c>
      <c r="AE2777" s="10"/>
    </row>
    <row r="2778" spans="1:31" x14ac:dyDescent="0.25">
      <c r="A2778" s="14" t="s">
        <v>109</v>
      </c>
      <c r="C2778" s="61" t="str">
        <f t="shared" si="772"/>
        <v>C100140</v>
      </c>
      <c r="F2778" s="8" t="str">
        <f>"C100028"</f>
        <v>C100028</v>
      </c>
      <c r="G2778" s="9" t="str">
        <f>"Twill Visor"</f>
        <v>Twill Visor</v>
      </c>
      <c r="H2778" s="47"/>
      <c r="I2778" s="47"/>
      <c r="J2778" s="23">
        <v>961.50000000000011</v>
      </c>
      <c r="K2778" s="25">
        <v>192</v>
      </c>
      <c r="L2778" s="24">
        <v>460.82000000000005</v>
      </c>
      <c r="M2778" s="24">
        <f>J2778-L2778</f>
        <v>500.68000000000006</v>
      </c>
      <c r="N2778" s="53">
        <f>IF(J2778&lt;&gt;0,M2778/J2778,"")</f>
        <v>0.52072802912116489</v>
      </c>
      <c r="O2778" s="23">
        <v>0</v>
      </c>
      <c r="P2778" s="25">
        <v>0</v>
      </c>
      <c r="Q2778" s="24">
        <v>0</v>
      </c>
      <c r="R2778" s="24">
        <f>O2778-Q2778</f>
        <v>0</v>
      </c>
      <c r="S2778" s="53" t="str">
        <f>IF(O2778&lt;&gt;0,R2778/O2778,"")</f>
        <v/>
      </c>
      <c r="T2778" s="10"/>
      <c r="U2778" s="23">
        <v>721.12</v>
      </c>
      <c r="V2778" s="25">
        <v>144</v>
      </c>
      <c r="W2778" s="24">
        <v>345.61</v>
      </c>
      <c r="X2778" s="24">
        <f>U2778-W2778</f>
        <v>375.51</v>
      </c>
      <c r="Y2778" s="53">
        <f>IF(U2778&lt;&gt;0,X2778/U2778,"")</f>
        <v>0.52073163967162195</v>
      </c>
      <c r="Z2778" s="23">
        <v>0</v>
      </c>
      <c r="AA2778" s="25">
        <v>0</v>
      </c>
      <c r="AB2778" s="24">
        <v>0</v>
      </c>
      <c r="AC2778" s="24">
        <f t="shared" si="773"/>
        <v>0</v>
      </c>
      <c r="AD2778" s="53" t="str">
        <f t="shared" si="774"/>
        <v/>
      </c>
      <c r="AE2778" s="10"/>
    </row>
    <row r="2779" spans="1:31" x14ac:dyDescent="0.25">
      <c r="A2779" s="14" t="s">
        <v>109</v>
      </c>
      <c r="C2779" s="61" t="str">
        <f t="shared" si="772"/>
        <v>C100140</v>
      </c>
      <c r="F2779" s="8" t="str">
        <f>"C100029"</f>
        <v>C100029</v>
      </c>
      <c r="G2779" s="9" t="str">
        <f>"Distressed Twill Visor"</f>
        <v>Distressed Twill Visor</v>
      </c>
      <c r="H2779" s="47"/>
      <c r="I2779" s="47"/>
      <c r="J2779" s="23">
        <v>3.35</v>
      </c>
      <c r="K2779" s="25">
        <v>1</v>
      </c>
      <c r="L2779" s="24">
        <v>2.0699999999999998</v>
      </c>
      <c r="M2779" s="24">
        <f>J2779-L2779</f>
        <v>1.2800000000000002</v>
      </c>
      <c r="N2779" s="53">
        <f>IF(J2779&lt;&gt;0,M2779/J2779,"")</f>
        <v>0.38208955223880603</v>
      </c>
      <c r="O2779" s="23">
        <v>482.62999999999994</v>
      </c>
      <c r="P2779" s="25">
        <v>144</v>
      </c>
      <c r="Q2779" s="24">
        <v>298.09000000000003</v>
      </c>
      <c r="R2779" s="24">
        <f>O2779-Q2779</f>
        <v>184.53999999999991</v>
      </c>
      <c r="S2779" s="53">
        <f>IF(O2779&lt;&gt;0,R2779/O2779,"")</f>
        <v>0.38236330107950173</v>
      </c>
      <c r="T2779" s="10"/>
      <c r="U2779" s="23">
        <v>0</v>
      </c>
      <c r="V2779" s="25">
        <v>0</v>
      </c>
      <c r="W2779" s="24">
        <v>0</v>
      </c>
      <c r="X2779" s="24">
        <f>U2779-W2779</f>
        <v>0</v>
      </c>
      <c r="Y2779" s="53" t="str">
        <f>IF(U2779&lt;&gt;0,X2779/U2779,"")</f>
        <v/>
      </c>
      <c r="Z2779" s="23">
        <v>0</v>
      </c>
      <c r="AA2779" s="25">
        <v>0</v>
      </c>
      <c r="AB2779" s="24">
        <v>0</v>
      </c>
      <c r="AC2779" s="24">
        <f t="shared" si="773"/>
        <v>0</v>
      </c>
      <c r="AD2779" s="53" t="str">
        <f t="shared" si="774"/>
        <v/>
      </c>
      <c r="AE2779" s="10"/>
    </row>
    <row r="2780" spans="1:31" x14ac:dyDescent="0.25">
      <c r="A2780" s="14" t="s">
        <v>109</v>
      </c>
      <c r="C2780" s="61" t="str">
        <f t="shared" si="772"/>
        <v>C100140</v>
      </c>
      <c r="F2780" s="8" t="str">
        <f>"C100030"</f>
        <v>C100030</v>
      </c>
      <c r="G2780" s="9" t="str">
        <f>"Fashion Visor"</f>
        <v>Fashion Visor</v>
      </c>
      <c r="H2780" s="47"/>
      <c r="I2780" s="47"/>
      <c r="J2780" s="23">
        <v>618.11</v>
      </c>
      <c r="K2780" s="25">
        <v>144</v>
      </c>
      <c r="L2780" s="24">
        <v>348.49</v>
      </c>
      <c r="M2780" s="24">
        <f>J2780-L2780</f>
        <v>269.62</v>
      </c>
      <c r="N2780" s="53">
        <f>IF(J2780&lt;&gt;0,M2780/J2780,"")</f>
        <v>0.4362006762550355</v>
      </c>
      <c r="O2780" s="23">
        <v>1236.21</v>
      </c>
      <c r="P2780" s="25">
        <v>288</v>
      </c>
      <c r="Q2780" s="24">
        <v>696.97</v>
      </c>
      <c r="R2780" s="24">
        <f>O2780-Q2780</f>
        <v>539.24</v>
      </c>
      <c r="S2780" s="53">
        <f>IF(O2780&lt;&gt;0,R2780/O2780,"")</f>
        <v>0.4362042047872125</v>
      </c>
      <c r="T2780" s="10"/>
      <c r="U2780" s="23">
        <v>0</v>
      </c>
      <c r="V2780" s="25">
        <v>0</v>
      </c>
      <c r="W2780" s="24">
        <v>0</v>
      </c>
      <c r="X2780" s="24">
        <f>U2780-W2780</f>
        <v>0</v>
      </c>
      <c r="Y2780" s="53" t="str">
        <f>IF(U2780&lt;&gt;0,X2780/U2780,"")</f>
        <v/>
      </c>
      <c r="Z2780" s="23">
        <v>0</v>
      </c>
      <c r="AA2780" s="25">
        <v>0</v>
      </c>
      <c r="AB2780" s="24">
        <v>0</v>
      </c>
      <c r="AC2780" s="24">
        <f t="shared" si="773"/>
        <v>0</v>
      </c>
      <c r="AD2780" s="53" t="str">
        <f t="shared" si="774"/>
        <v/>
      </c>
      <c r="AE2780" s="10"/>
    </row>
    <row r="2781" spans="1:31" x14ac:dyDescent="0.25">
      <c r="A2781" s="14" t="s">
        <v>109</v>
      </c>
      <c r="C2781" s="61" t="str">
        <f t="shared" si="772"/>
        <v>C100140</v>
      </c>
      <c r="F2781" s="8" t="str">
        <f>"C100033"</f>
        <v>C100033</v>
      </c>
      <c r="G2781" s="9" t="str">
        <f>"Frames &amp; Clock"</f>
        <v>Frames &amp; Clock</v>
      </c>
      <c r="H2781" s="47"/>
      <c r="I2781" s="47"/>
      <c r="J2781" s="23">
        <v>683.02</v>
      </c>
      <c r="K2781" s="25">
        <v>144</v>
      </c>
      <c r="L2781" s="24">
        <v>414.7</v>
      </c>
      <c r="M2781" s="24">
        <f>J2781-L2781</f>
        <v>268.32</v>
      </c>
      <c r="N2781" s="53">
        <f>IF(J2781&lt;&gt;0,M2781/J2781,"")</f>
        <v>0.39284354777312525</v>
      </c>
      <c r="O2781" s="23">
        <v>683.02</v>
      </c>
      <c r="P2781" s="25">
        <v>144</v>
      </c>
      <c r="Q2781" s="24">
        <v>414.7</v>
      </c>
      <c r="R2781" s="24">
        <f>O2781-Q2781</f>
        <v>268.32</v>
      </c>
      <c r="S2781" s="53">
        <f>IF(O2781&lt;&gt;0,R2781/O2781,"")</f>
        <v>0.39284354777312525</v>
      </c>
      <c r="T2781" s="10"/>
      <c r="U2781" s="23">
        <v>0</v>
      </c>
      <c r="V2781" s="25">
        <v>0</v>
      </c>
      <c r="W2781" s="24">
        <v>0</v>
      </c>
      <c r="X2781" s="24">
        <f>U2781-W2781</f>
        <v>0</v>
      </c>
      <c r="Y2781" s="53" t="str">
        <f>IF(U2781&lt;&gt;0,X2781/U2781,"")</f>
        <v/>
      </c>
      <c r="Z2781" s="23">
        <v>0</v>
      </c>
      <c r="AA2781" s="25">
        <v>0</v>
      </c>
      <c r="AB2781" s="24">
        <v>0</v>
      </c>
      <c r="AC2781" s="24">
        <f t="shared" si="773"/>
        <v>0</v>
      </c>
      <c r="AD2781" s="53" t="str">
        <f t="shared" si="774"/>
        <v/>
      </c>
      <c r="AE2781" s="10"/>
    </row>
    <row r="2782" spans="1:31" x14ac:dyDescent="0.25">
      <c r="A2782" s="14" t="s">
        <v>109</v>
      </c>
      <c r="C2782" s="61" t="str">
        <f t="shared" si="772"/>
        <v>C100140</v>
      </c>
      <c r="F2782" s="8" t="str">
        <f>"C100035"</f>
        <v>C100035</v>
      </c>
      <c r="G2782" s="9" t="str">
        <f>"Calculator &amp; World Time Clock"</f>
        <v>Calculator &amp; World Time Clock</v>
      </c>
      <c r="H2782" s="47"/>
      <c r="I2782" s="47"/>
      <c r="J2782" s="23">
        <v>0</v>
      </c>
      <c r="K2782" s="25">
        <v>0</v>
      </c>
      <c r="L2782" s="24">
        <v>0</v>
      </c>
      <c r="M2782" s="24">
        <f>J2782-L2782</f>
        <v>0</v>
      </c>
      <c r="N2782" s="53" t="str">
        <f>IF(J2782&lt;&gt;0,M2782/J2782,"")</f>
        <v/>
      </c>
      <c r="O2782" s="23">
        <v>449.47</v>
      </c>
      <c r="P2782" s="25">
        <v>156</v>
      </c>
      <c r="Q2782" s="24">
        <v>305.76</v>
      </c>
      <c r="R2782" s="24">
        <f>O2782-Q2782</f>
        <v>143.71000000000004</v>
      </c>
      <c r="S2782" s="53">
        <f>IF(O2782&lt;&gt;0,R2782/O2782,"")</f>
        <v>0.31973212895187669</v>
      </c>
      <c r="T2782" s="10"/>
      <c r="U2782" s="23">
        <v>414.89</v>
      </c>
      <c r="V2782" s="25">
        <v>144</v>
      </c>
      <c r="W2782" s="24">
        <v>282.24</v>
      </c>
      <c r="X2782" s="24">
        <f>U2782-W2782</f>
        <v>132.64999999999998</v>
      </c>
      <c r="Y2782" s="53">
        <f>IF(U2782&lt;&gt;0,X2782/U2782,"")</f>
        <v>0.31972330015184741</v>
      </c>
      <c r="Z2782" s="23">
        <v>414.89</v>
      </c>
      <c r="AA2782" s="25">
        <v>144</v>
      </c>
      <c r="AB2782" s="24">
        <v>282.24</v>
      </c>
      <c r="AC2782" s="24">
        <f t="shared" si="773"/>
        <v>132.64999999999998</v>
      </c>
      <c r="AD2782" s="53">
        <f t="shared" si="774"/>
        <v>0.31972330015184741</v>
      </c>
      <c r="AE2782" s="10"/>
    </row>
    <row r="2783" spans="1:31" x14ac:dyDescent="0.25">
      <c r="A2783" s="14" t="s">
        <v>109</v>
      </c>
      <c r="C2783" s="61" t="str">
        <f t="shared" si="772"/>
        <v>C100140</v>
      </c>
      <c r="F2783" s="8" t="str">
        <f>"C100042"</f>
        <v>C100042</v>
      </c>
      <c r="G2783" s="9" t="str">
        <f>"Retractable Earbuds"</f>
        <v>Retractable Earbuds</v>
      </c>
      <c r="H2783" s="47"/>
      <c r="I2783" s="47"/>
      <c r="J2783" s="23">
        <v>287.88</v>
      </c>
      <c r="K2783" s="25">
        <v>144</v>
      </c>
      <c r="L2783" s="24">
        <v>155.60999999999999</v>
      </c>
      <c r="M2783" s="24">
        <f>J2783-L2783</f>
        <v>132.27000000000001</v>
      </c>
      <c r="N2783" s="53">
        <f>IF(J2783&lt;&gt;0,M2783/J2783,"")</f>
        <v>0.45946227594831185</v>
      </c>
      <c r="O2783" s="23">
        <v>0</v>
      </c>
      <c r="P2783" s="25">
        <v>0</v>
      </c>
      <c r="Q2783" s="24">
        <v>0</v>
      </c>
      <c r="R2783" s="24">
        <f>O2783-Q2783</f>
        <v>0</v>
      </c>
      <c r="S2783" s="53" t="str">
        <f>IF(O2783&lt;&gt;0,R2783/O2783,"")</f>
        <v/>
      </c>
      <c r="T2783" s="10"/>
      <c r="U2783" s="23">
        <v>575.76</v>
      </c>
      <c r="V2783" s="25">
        <v>288</v>
      </c>
      <c r="W2783" s="24">
        <v>311.21999999999997</v>
      </c>
      <c r="X2783" s="24">
        <f>U2783-W2783</f>
        <v>264.54000000000002</v>
      </c>
      <c r="Y2783" s="53">
        <f>IF(U2783&lt;&gt;0,X2783/U2783,"")</f>
        <v>0.45946227594831185</v>
      </c>
      <c r="Z2783" s="23">
        <v>0</v>
      </c>
      <c r="AA2783" s="25">
        <v>0</v>
      </c>
      <c r="AB2783" s="24">
        <v>0</v>
      </c>
      <c r="AC2783" s="24">
        <f t="shared" si="773"/>
        <v>0</v>
      </c>
      <c r="AD2783" s="53" t="str">
        <f t="shared" si="774"/>
        <v/>
      </c>
      <c r="AE2783" s="10"/>
    </row>
    <row r="2784" spans="1:31" x14ac:dyDescent="0.25">
      <c r="A2784" s="14" t="s">
        <v>109</v>
      </c>
      <c r="C2784" s="61" t="str">
        <f t="shared" si="772"/>
        <v>C100140</v>
      </c>
      <c r="F2784" s="8" t="str">
        <f>"C100044"</f>
        <v>C100044</v>
      </c>
      <c r="G2784" s="9" t="str">
        <f>"VOIP Headset with Mic"</f>
        <v>VOIP Headset with Mic</v>
      </c>
      <c r="H2784" s="47"/>
      <c r="I2784" s="47"/>
      <c r="J2784" s="23">
        <v>336.34</v>
      </c>
      <c r="K2784" s="25">
        <v>156</v>
      </c>
      <c r="L2784" s="24">
        <v>187.25</v>
      </c>
      <c r="M2784" s="24">
        <f>J2784-L2784</f>
        <v>149.08999999999997</v>
      </c>
      <c r="N2784" s="53">
        <f>IF(J2784&lt;&gt;0,M2784/J2784,"")</f>
        <v>0.4432716893619551</v>
      </c>
      <c r="O2784" s="23">
        <v>0</v>
      </c>
      <c r="P2784" s="25">
        <v>0</v>
      </c>
      <c r="Q2784" s="24">
        <v>0</v>
      </c>
      <c r="R2784" s="24">
        <f>O2784-Q2784</f>
        <v>0</v>
      </c>
      <c r="S2784" s="53" t="str">
        <f>IF(O2784&lt;&gt;0,R2784/O2784,"")</f>
        <v/>
      </c>
      <c r="T2784" s="10"/>
      <c r="U2784" s="23">
        <v>310.45999999999998</v>
      </c>
      <c r="V2784" s="25">
        <v>144</v>
      </c>
      <c r="W2784" s="24">
        <v>172.85</v>
      </c>
      <c r="X2784" s="24">
        <f>U2784-W2784</f>
        <v>137.60999999999999</v>
      </c>
      <c r="Y2784" s="53">
        <f>IF(U2784&lt;&gt;0,X2784/U2784,"")</f>
        <v>0.4432455066675256</v>
      </c>
      <c r="Z2784" s="23">
        <v>310.45999999999998</v>
      </c>
      <c r="AA2784" s="25">
        <v>144</v>
      </c>
      <c r="AB2784" s="24">
        <v>172.85</v>
      </c>
      <c r="AC2784" s="24">
        <f t="shared" si="773"/>
        <v>137.60999999999999</v>
      </c>
      <c r="AD2784" s="53">
        <f t="shared" si="774"/>
        <v>0.4432455066675256</v>
      </c>
      <c r="AE2784" s="10"/>
    </row>
    <row r="2785" spans="1:31" x14ac:dyDescent="0.25">
      <c r="A2785" s="14" t="s">
        <v>109</v>
      </c>
      <c r="C2785" s="61" t="str">
        <f t="shared" si="772"/>
        <v>C100140</v>
      </c>
      <c r="F2785" s="8" t="str">
        <f>"C100056"</f>
        <v>C100056</v>
      </c>
      <c r="G2785" s="9" t="str">
        <f>"Contemporary Desk Calculator"</f>
        <v>Contemporary Desk Calculator</v>
      </c>
      <c r="H2785" s="47"/>
      <c r="I2785" s="47"/>
      <c r="J2785" s="23">
        <v>3895.2599999999998</v>
      </c>
      <c r="K2785" s="25">
        <v>732</v>
      </c>
      <c r="L2785" s="24">
        <v>1947.3</v>
      </c>
      <c r="M2785" s="24">
        <f>J2785-L2785</f>
        <v>1947.9599999999998</v>
      </c>
      <c r="N2785" s="53">
        <f>IF(J2785&lt;&gt;0,M2785/J2785,"")</f>
        <v>0.50008471834999457</v>
      </c>
      <c r="O2785" s="23">
        <v>0</v>
      </c>
      <c r="P2785" s="25">
        <v>0</v>
      </c>
      <c r="Q2785" s="24">
        <v>0</v>
      </c>
      <c r="R2785" s="24">
        <f>O2785-Q2785</f>
        <v>0</v>
      </c>
      <c r="S2785" s="53" t="str">
        <f>IF(O2785&lt;&gt;0,R2785/O2785,"")</f>
        <v/>
      </c>
      <c r="T2785" s="10"/>
      <c r="U2785" s="23">
        <v>766.28000000000009</v>
      </c>
      <c r="V2785" s="25">
        <v>144</v>
      </c>
      <c r="W2785" s="24">
        <v>383.08</v>
      </c>
      <c r="X2785" s="24">
        <f>U2785-W2785</f>
        <v>383.2000000000001</v>
      </c>
      <c r="Y2785" s="53">
        <f>IF(U2785&lt;&gt;0,X2785/U2785,"")</f>
        <v>0.50007830036018175</v>
      </c>
      <c r="Z2785" s="23">
        <v>0</v>
      </c>
      <c r="AA2785" s="25">
        <v>0</v>
      </c>
      <c r="AB2785" s="24">
        <v>0</v>
      </c>
      <c r="AC2785" s="24">
        <f t="shared" si="773"/>
        <v>0</v>
      </c>
      <c r="AD2785" s="53" t="str">
        <f t="shared" si="774"/>
        <v/>
      </c>
      <c r="AE2785" s="10"/>
    </row>
    <row r="2786" spans="1:31" x14ac:dyDescent="0.25">
      <c r="A2786" s="14" t="s">
        <v>109</v>
      </c>
      <c r="C2786" s="61" t="str">
        <f t="shared" si="772"/>
        <v>C100140</v>
      </c>
      <c r="F2786" s="8" t="str">
        <f>"C100061"</f>
        <v>C100061</v>
      </c>
      <c r="G2786" s="9" t="str">
        <f>"Bistro Mug"</f>
        <v>Bistro Mug</v>
      </c>
      <c r="H2786" s="47"/>
      <c r="I2786" s="47"/>
      <c r="J2786" s="23">
        <v>561.41999999999996</v>
      </c>
      <c r="K2786" s="25">
        <v>434</v>
      </c>
      <c r="L2786" s="24">
        <v>299.19</v>
      </c>
      <c r="M2786" s="24">
        <f>J2786-L2786</f>
        <v>262.22999999999996</v>
      </c>
      <c r="N2786" s="53">
        <f>IF(J2786&lt;&gt;0,M2786/J2786,"")</f>
        <v>0.46708346692315911</v>
      </c>
      <c r="O2786" s="23">
        <v>248.37</v>
      </c>
      <c r="P2786" s="25">
        <v>192</v>
      </c>
      <c r="Q2786" s="24">
        <v>132.35999999999999</v>
      </c>
      <c r="R2786" s="24">
        <f>O2786-Q2786</f>
        <v>116.01000000000002</v>
      </c>
      <c r="S2786" s="53">
        <f>IF(O2786&lt;&gt;0,R2786/O2786,"")</f>
        <v>0.46708539678705163</v>
      </c>
      <c r="T2786" s="10"/>
      <c r="U2786" s="23">
        <v>186.28</v>
      </c>
      <c r="V2786" s="25">
        <v>144</v>
      </c>
      <c r="W2786" s="24">
        <v>99.27</v>
      </c>
      <c r="X2786" s="24">
        <f>U2786-W2786</f>
        <v>87.01</v>
      </c>
      <c r="Y2786" s="53">
        <f>IF(U2786&lt;&gt;0,X2786/U2786,"")</f>
        <v>0.46709254885119178</v>
      </c>
      <c r="Z2786" s="23">
        <v>0</v>
      </c>
      <c r="AA2786" s="25">
        <v>0</v>
      </c>
      <c r="AB2786" s="24">
        <v>0</v>
      </c>
      <c r="AC2786" s="24">
        <f t="shared" si="773"/>
        <v>0</v>
      </c>
      <c r="AD2786" s="53" t="str">
        <f t="shared" si="774"/>
        <v/>
      </c>
      <c r="AE2786" s="10"/>
    </row>
    <row r="2787" spans="1:31" x14ac:dyDescent="0.25">
      <c r="A2787" s="14" t="s">
        <v>109</v>
      </c>
      <c r="C2787" s="61" t="str">
        <f t="shared" si="772"/>
        <v>C100140</v>
      </c>
      <c r="F2787" s="8" t="str">
        <f>"C100062"</f>
        <v>C100062</v>
      </c>
      <c r="G2787" s="9" t="str">
        <f>"Tall Matte Finish Mug"</f>
        <v>Tall Matte Finish Mug</v>
      </c>
      <c r="H2787" s="47"/>
      <c r="I2787" s="47"/>
      <c r="J2787" s="23">
        <v>1.21</v>
      </c>
      <c r="K2787" s="25">
        <v>1</v>
      </c>
      <c r="L2787" s="24">
        <v>0.68</v>
      </c>
      <c r="M2787" s="24">
        <f>J2787-L2787</f>
        <v>0.52999999999999992</v>
      </c>
      <c r="N2787" s="53">
        <f>IF(J2787&lt;&gt;0,M2787/J2787,"")</f>
        <v>0.43801652892561976</v>
      </c>
      <c r="O2787" s="23">
        <v>0</v>
      </c>
      <c r="P2787" s="25">
        <v>0</v>
      </c>
      <c r="Q2787" s="24">
        <v>0</v>
      </c>
      <c r="R2787" s="24">
        <f>O2787-Q2787</f>
        <v>0</v>
      </c>
      <c r="S2787" s="53" t="str">
        <f>IF(O2787&lt;&gt;0,R2787/O2787,"")</f>
        <v/>
      </c>
      <c r="T2787" s="10"/>
      <c r="U2787" s="23">
        <v>30.14</v>
      </c>
      <c r="V2787" s="25">
        <v>25</v>
      </c>
      <c r="W2787" s="24">
        <v>17</v>
      </c>
      <c r="X2787" s="24">
        <f>U2787-W2787</f>
        <v>13.14</v>
      </c>
      <c r="Y2787" s="53">
        <f>IF(U2787&lt;&gt;0,X2787/U2787,"")</f>
        <v>0.43596549435965498</v>
      </c>
      <c r="Z2787" s="23">
        <v>0</v>
      </c>
      <c r="AA2787" s="25">
        <v>0</v>
      </c>
      <c r="AB2787" s="24">
        <v>0</v>
      </c>
      <c r="AC2787" s="24">
        <f t="shared" si="773"/>
        <v>0</v>
      </c>
      <c r="AD2787" s="53" t="str">
        <f t="shared" si="774"/>
        <v/>
      </c>
      <c r="AE2787" s="10"/>
    </row>
    <row r="2788" spans="1:31" x14ac:dyDescent="0.25">
      <c r="A2788" s="14" t="s">
        <v>109</v>
      </c>
      <c r="C2788" s="61" t="str">
        <f t="shared" si="772"/>
        <v>C100140</v>
      </c>
      <c r="F2788" s="8" t="str">
        <f>"C100063"</f>
        <v>C100063</v>
      </c>
      <c r="G2788" s="9" t="str">
        <f>"Soup Mug"</f>
        <v>Soup Mug</v>
      </c>
      <c r="H2788" s="47"/>
      <c r="I2788" s="47"/>
      <c r="J2788" s="23">
        <v>235.89000000000001</v>
      </c>
      <c r="K2788" s="25">
        <v>145</v>
      </c>
      <c r="L2788" s="24">
        <v>134.88</v>
      </c>
      <c r="M2788" s="24">
        <f>J2788-L2788</f>
        <v>101.01000000000002</v>
      </c>
      <c r="N2788" s="53">
        <f>IF(J2788&lt;&gt;0,M2788/J2788,"")</f>
        <v>0.42820806308024933</v>
      </c>
      <c r="O2788" s="23">
        <v>0</v>
      </c>
      <c r="P2788" s="25">
        <v>0</v>
      </c>
      <c r="Q2788" s="24">
        <v>0</v>
      </c>
      <c r="R2788" s="24">
        <f>O2788-Q2788</f>
        <v>0</v>
      </c>
      <c r="S2788" s="53" t="str">
        <f>IF(O2788&lt;&gt;0,R2788/O2788,"")</f>
        <v/>
      </c>
      <c r="T2788" s="10"/>
      <c r="U2788" s="23">
        <v>234.26</v>
      </c>
      <c r="V2788" s="25">
        <v>144</v>
      </c>
      <c r="W2788" s="24">
        <v>133.94999999999999</v>
      </c>
      <c r="X2788" s="24">
        <f>U2788-W2788</f>
        <v>100.31</v>
      </c>
      <c r="Y2788" s="53">
        <f>IF(U2788&lt;&gt;0,X2788/U2788,"")</f>
        <v>0.42819943652352088</v>
      </c>
      <c r="Z2788" s="23">
        <v>0</v>
      </c>
      <c r="AA2788" s="25">
        <v>0</v>
      </c>
      <c r="AB2788" s="24">
        <v>0</v>
      </c>
      <c r="AC2788" s="24">
        <f t="shared" si="773"/>
        <v>0</v>
      </c>
      <c r="AD2788" s="53" t="str">
        <f t="shared" si="774"/>
        <v/>
      </c>
      <c r="AE2788" s="10"/>
    </row>
    <row r="2789" spans="1:31" x14ac:dyDescent="0.25">
      <c r="A2789" s="14" t="s">
        <v>109</v>
      </c>
      <c r="C2789" s="61" t="str">
        <f t="shared" si="772"/>
        <v>C100140</v>
      </c>
      <c r="F2789" s="8" t="str">
        <f>"C100066"</f>
        <v>C100066</v>
      </c>
      <c r="G2789" s="9" t="str">
        <f>"Fashion Travel Mug"</f>
        <v>Fashion Travel Mug</v>
      </c>
      <c r="H2789" s="47"/>
      <c r="I2789" s="47"/>
      <c r="J2789" s="23">
        <v>0</v>
      </c>
      <c r="K2789" s="25">
        <v>0</v>
      </c>
      <c r="L2789" s="24">
        <v>0</v>
      </c>
      <c r="M2789" s="24">
        <f>J2789-L2789</f>
        <v>0</v>
      </c>
      <c r="N2789" s="53" t="str">
        <f>IF(J2789&lt;&gt;0,M2789/J2789,"")</f>
        <v/>
      </c>
      <c r="O2789" s="23">
        <v>42.34</v>
      </c>
      <c r="P2789" s="25">
        <v>12</v>
      </c>
      <c r="Q2789" s="24">
        <v>19.8</v>
      </c>
      <c r="R2789" s="24">
        <f>O2789-Q2789</f>
        <v>22.540000000000003</v>
      </c>
      <c r="S2789" s="53">
        <f>IF(O2789&lt;&gt;0,R2789/O2789,"")</f>
        <v>0.53235710911667455</v>
      </c>
      <c r="T2789" s="10"/>
      <c r="U2789" s="23">
        <v>0</v>
      </c>
      <c r="V2789" s="25">
        <v>0</v>
      </c>
      <c r="W2789" s="24">
        <v>0</v>
      </c>
      <c r="X2789" s="24">
        <f>U2789-W2789</f>
        <v>0</v>
      </c>
      <c r="Y2789" s="53" t="str">
        <f>IF(U2789&lt;&gt;0,X2789/U2789,"")</f>
        <v/>
      </c>
      <c r="Z2789" s="23">
        <v>0</v>
      </c>
      <c r="AA2789" s="25">
        <v>0</v>
      </c>
      <c r="AB2789" s="24">
        <v>0</v>
      </c>
      <c r="AC2789" s="24">
        <f t="shared" si="773"/>
        <v>0</v>
      </c>
      <c r="AD2789" s="53" t="str">
        <f t="shared" si="774"/>
        <v/>
      </c>
      <c r="AE2789" s="10"/>
    </row>
    <row r="2790" spans="1:31" x14ac:dyDescent="0.25">
      <c r="A2790" s="14" t="s">
        <v>109</v>
      </c>
      <c r="C2790" s="61" t="str">
        <f t="shared" si="772"/>
        <v>C100140</v>
      </c>
      <c r="F2790" s="8" t="str">
        <f>"C100067"</f>
        <v>C100067</v>
      </c>
      <c r="G2790" s="9" t="str">
        <f>"Stainless Thermos"</f>
        <v>Stainless Thermos</v>
      </c>
      <c r="H2790" s="47"/>
      <c r="I2790" s="47"/>
      <c r="J2790" s="23">
        <v>0</v>
      </c>
      <c r="K2790" s="25">
        <v>0</v>
      </c>
      <c r="L2790" s="24">
        <v>0</v>
      </c>
      <c r="M2790" s="24">
        <f>J2790-L2790</f>
        <v>0</v>
      </c>
      <c r="N2790" s="53" t="str">
        <f>IF(J2790&lt;&gt;0,M2790/J2790,"")</f>
        <v/>
      </c>
      <c r="O2790" s="23">
        <v>1329.3500000000001</v>
      </c>
      <c r="P2790" s="25">
        <v>288</v>
      </c>
      <c r="Q2790" s="24">
        <v>737.41</v>
      </c>
      <c r="R2790" s="24">
        <f>O2790-Q2790</f>
        <v>591.94000000000017</v>
      </c>
      <c r="S2790" s="53">
        <f>IF(O2790&lt;&gt;0,R2790/O2790,"")</f>
        <v>0.44528528980328741</v>
      </c>
      <c r="T2790" s="10"/>
      <c r="U2790" s="23">
        <v>0</v>
      </c>
      <c r="V2790" s="25">
        <v>0</v>
      </c>
      <c r="W2790" s="24">
        <v>0</v>
      </c>
      <c r="X2790" s="24">
        <f>U2790-W2790</f>
        <v>0</v>
      </c>
      <c r="Y2790" s="53" t="str">
        <f>IF(U2790&lt;&gt;0,X2790/U2790,"")</f>
        <v/>
      </c>
      <c r="Z2790" s="23">
        <v>0</v>
      </c>
      <c r="AA2790" s="25">
        <v>0</v>
      </c>
      <c r="AB2790" s="24">
        <v>0</v>
      </c>
      <c r="AC2790" s="24">
        <f t="shared" si="773"/>
        <v>0</v>
      </c>
      <c r="AD2790" s="53" t="str">
        <f t="shared" si="774"/>
        <v/>
      </c>
      <c r="AE2790" s="10"/>
    </row>
    <row r="2791" spans="1:31" x14ac:dyDescent="0.25">
      <c r="A2791" s="14" t="s">
        <v>109</v>
      </c>
      <c r="C2791" s="61" t="str">
        <f t="shared" si="772"/>
        <v>C100140</v>
      </c>
      <c r="F2791" s="8" t="str">
        <f>"E100001"</f>
        <v>E100001</v>
      </c>
      <c r="G2791" s="9" t="str">
        <f>"Sport Bag"</f>
        <v>Sport Bag</v>
      </c>
      <c r="H2791" s="47"/>
      <c r="I2791" s="47"/>
      <c r="J2791" s="23">
        <v>596</v>
      </c>
      <c r="K2791" s="25">
        <v>336</v>
      </c>
      <c r="L2791" s="24">
        <v>292.32</v>
      </c>
      <c r="M2791" s="24">
        <f>J2791-L2791</f>
        <v>303.68</v>
      </c>
      <c r="N2791" s="53">
        <f>IF(J2791&lt;&gt;0,M2791/J2791,"")</f>
        <v>0.50953020134228189</v>
      </c>
      <c r="O2791" s="23">
        <v>255.43</v>
      </c>
      <c r="P2791" s="25">
        <v>144</v>
      </c>
      <c r="Q2791" s="24">
        <v>125.28</v>
      </c>
      <c r="R2791" s="24">
        <f>O2791-Q2791</f>
        <v>130.15</v>
      </c>
      <c r="S2791" s="53">
        <f>IF(O2791&lt;&gt;0,R2791/O2791,"")</f>
        <v>0.50953294444661945</v>
      </c>
      <c r="T2791" s="10"/>
      <c r="U2791" s="23">
        <v>0</v>
      </c>
      <c r="V2791" s="25">
        <v>0</v>
      </c>
      <c r="W2791" s="24">
        <v>0</v>
      </c>
      <c r="X2791" s="24">
        <f>U2791-W2791</f>
        <v>0</v>
      </c>
      <c r="Y2791" s="53" t="str">
        <f>IF(U2791&lt;&gt;0,X2791/U2791,"")</f>
        <v/>
      </c>
      <c r="Z2791" s="23">
        <v>0</v>
      </c>
      <c r="AA2791" s="25">
        <v>0</v>
      </c>
      <c r="AB2791" s="24">
        <v>0</v>
      </c>
      <c r="AC2791" s="24">
        <f t="shared" si="773"/>
        <v>0</v>
      </c>
      <c r="AD2791" s="53" t="str">
        <f t="shared" si="774"/>
        <v/>
      </c>
      <c r="AE2791" s="10"/>
    </row>
    <row r="2792" spans="1:31" x14ac:dyDescent="0.25">
      <c r="A2792" s="14" t="s">
        <v>109</v>
      </c>
      <c r="C2792" s="61" t="str">
        <f t="shared" si="772"/>
        <v>C100140</v>
      </c>
      <c r="F2792" s="8" t="str">
        <f>"E100002"</f>
        <v>E100002</v>
      </c>
      <c r="G2792" s="9" t="str">
        <f>"Cotton Classic Tote"</f>
        <v>Cotton Classic Tote</v>
      </c>
      <c r="H2792" s="47"/>
      <c r="I2792" s="47"/>
      <c r="J2792" s="23">
        <v>418.95</v>
      </c>
      <c r="K2792" s="25">
        <v>342</v>
      </c>
      <c r="L2792" s="24">
        <v>218.91000000000003</v>
      </c>
      <c r="M2792" s="24">
        <f>J2792-L2792</f>
        <v>200.03999999999996</v>
      </c>
      <c r="N2792" s="53">
        <f>IF(J2792&lt;&gt;0,M2792/J2792,"")</f>
        <v>0.47747941281775863</v>
      </c>
      <c r="O2792" s="23">
        <v>0</v>
      </c>
      <c r="P2792" s="25">
        <v>0</v>
      </c>
      <c r="Q2792" s="24">
        <v>0</v>
      </c>
      <c r="R2792" s="24">
        <f>O2792-Q2792</f>
        <v>0</v>
      </c>
      <c r="S2792" s="53" t="str">
        <f>IF(O2792&lt;&gt;0,R2792/O2792,"")</f>
        <v/>
      </c>
      <c r="T2792" s="10"/>
      <c r="U2792" s="23">
        <v>14.7</v>
      </c>
      <c r="V2792" s="25">
        <v>12</v>
      </c>
      <c r="W2792" s="24">
        <v>7.68</v>
      </c>
      <c r="X2792" s="24">
        <f>U2792-W2792</f>
        <v>7.02</v>
      </c>
      <c r="Y2792" s="53">
        <f>IF(U2792&lt;&gt;0,X2792/U2792,"")</f>
        <v>0.47755102040816327</v>
      </c>
      <c r="Z2792" s="23">
        <v>0</v>
      </c>
      <c r="AA2792" s="25">
        <v>0</v>
      </c>
      <c r="AB2792" s="24">
        <v>0</v>
      </c>
      <c r="AC2792" s="24">
        <f t="shared" si="773"/>
        <v>0</v>
      </c>
      <c r="AD2792" s="53" t="str">
        <f t="shared" si="774"/>
        <v/>
      </c>
      <c r="AE2792" s="10"/>
    </row>
    <row r="2793" spans="1:31" x14ac:dyDescent="0.25">
      <c r="A2793" s="14" t="s">
        <v>109</v>
      </c>
      <c r="C2793" s="61" t="str">
        <f t="shared" si="772"/>
        <v>C100140</v>
      </c>
      <c r="F2793" s="8" t="str">
        <f>"E100003"</f>
        <v>E100003</v>
      </c>
      <c r="G2793" s="9" t="str">
        <f>"Recycled Tote"</f>
        <v>Recycled Tote</v>
      </c>
      <c r="H2793" s="47"/>
      <c r="I2793" s="47"/>
      <c r="J2793" s="23">
        <v>436.06</v>
      </c>
      <c r="K2793" s="25">
        <v>144</v>
      </c>
      <c r="L2793" s="24">
        <v>244.81000000000003</v>
      </c>
      <c r="M2793" s="24">
        <f>J2793-L2793</f>
        <v>191.24999999999997</v>
      </c>
      <c r="N2793" s="53">
        <f>IF(J2793&lt;&gt;0,M2793/J2793,"")</f>
        <v>0.4385864330596706</v>
      </c>
      <c r="O2793" s="23">
        <v>0</v>
      </c>
      <c r="P2793" s="25">
        <v>0</v>
      </c>
      <c r="Q2793" s="24">
        <v>0</v>
      </c>
      <c r="R2793" s="24">
        <f>O2793-Q2793</f>
        <v>0</v>
      </c>
      <c r="S2793" s="53" t="str">
        <f>IF(O2793&lt;&gt;0,R2793/O2793,"")</f>
        <v/>
      </c>
      <c r="T2793" s="10"/>
      <c r="U2793" s="23">
        <v>1308.18</v>
      </c>
      <c r="V2793" s="25">
        <v>432</v>
      </c>
      <c r="W2793" s="24">
        <v>734.43</v>
      </c>
      <c r="X2793" s="24">
        <f>U2793-W2793</f>
        <v>573.75000000000011</v>
      </c>
      <c r="Y2793" s="53">
        <f>IF(U2793&lt;&gt;0,X2793/U2793,"")</f>
        <v>0.43858643305967077</v>
      </c>
      <c r="Z2793" s="23">
        <v>0</v>
      </c>
      <c r="AA2793" s="25">
        <v>0</v>
      </c>
      <c r="AB2793" s="24">
        <v>0</v>
      </c>
      <c r="AC2793" s="24">
        <f t="shared" si="773"/>
        <v>0</v>
      </c>
      <c r="AD2793" s="53" t="str">
        <f t="shared" si="774"/>
        <v/>
      </c>
      <c r="AE2793" s="10"/>
    </row>
    <row r="2794" spans="1:31" x14ac:dyDescent="0.25">
      <c r="A2794" s="14" t="s">
        <v>109</v>
      </c>
      <c r="C2794" s="61" t="str">
        <f t="shared" si="772"/>
        <v>C100140</v>
      </c>
      <c r="F2794" s="8" t="str">
        <f>"E100004"</f>
        <v>E100004</v>
      </c>
      <c r="G2794" s="9" t="str">
        <f>"Laminated Tote"</f>
        <v>Laminated Tote</v>
      </c>
      <c r="H2794" s="47"/>
      <c r="I2794" s="47"/>
      <c r="J2794" s="23">
        <v>265.31</v>
      </c>
      <c r="K2794" s="25">
        <v>144</v>
      </c>
      <c r="L2794" s="24">
        <v>172.8</v>
      </c>
      <c r="M2794" s="24">
        <f>J2794-L2794</f>
        <v>92.509999999999991</v>
      </c>
      <c r="N2794" s="53">
        <f>IF(J2794&lt;&gt;0,M2794/J2794,"")</f>
        <v>0.34868644227507439</v>
      </c>
      <c r="O2794" s="23">
        <v>0</v>
      </c>
      <c r="P2794" s="25">
        <v>0</v>
      </c>
      <c r="Q2794" s="24">
        <v>0</v>
      </c>
      <c r="R2794" s="24">
        <f>O2794-Q2794</f>
        <v>0</v>
      </c>
      <c r="S2794" s="53" t="str">
        <f>IF(O2794&lt;&gt;0,R2794/O2794,"")</f>
        <v/>
      </c>
      <c r="T2794" s="10"/>
      <c r="U2794" s="23">
        <v>840.14</v>
      </c>
      <c r="V2794" s="25">
        <v>456</v>
      </c>
      <c r="W2794" s="24">
        <v>547.21</v>
      </c>
      <c r="X2794" s="24">
        <f>U2794-W2794</f>
        <v>292.92999999999995</v>
      </c>
      <c r="Y2794" s="53">
        <f>IF(U2794&lt;&gt;0,X2794/U2794,"")</f>
        <v>0.3486680791296688</v>
      </c>
      <c r="Z2794" s="23">
        <v>0</v>
      </c>
      <c r="AA2794" s="25">
        <v>0</v>
      </c>
      <c r="AB2794" s="24">
        <v>0</v>
      </c>
      <c r="AC2794" s="24">
        <f t="shared" si="773"/>
        <v>0</v>
      </c>
      <c r="AD2794" s="53" t="str">
        <f t="shared" si="774"/>
        <v/>
      </c>
      <c r="AE2794" s="10"/>
    </row>
    <row r="2795" spans="1:31" x14ac:dyDescent="0.25">
      <c r="A2795" s="14" t="s">
        <v>109</v>
      </c>
      <c r="C2795" s="61" t="str">
        <f t="shared" si="772"/>
        <v>C100140</v>
      </c>
      <c r="F2795" s="8" t="str">
        <f>"E100005"</f>
        <v>E100005</v>
      </c>
      <c r="G2795" s="9" t="str">
        <f>"All Purpose Tote"</f>
        <v>All Purpose Tote</v>
      </c>
      <c r="H2795" s="47"/>
      <c r="I2795" s="47"/>
      <c r="J2795" s="23">
        <v>728.18</v>
      </c>
      <c r="K2795" s="25">
        <v>288</v>
      </c>
      <c r="L2795" s="24">
        <v>357.12</v>
      </c>
      <c r="M2795" s="24">
        <f>J2795-L2795</f>
        <v>371.05999999999995</v>
      </c>
      <c r="N2795" s="53">
        <f>IF(J2795&lt;&gt;0,M2795/J2795,"")</f>
        <v>0.50957180916806277</v>
      </c>
      <c r="O2795" s="23">
        <v>0</v>
      </c>
      <c r="P2795" s="25">
        <v>0</v>
      </c>
      <c r="Q2795" s="24">
        <v>0</v>
      </c>
      <c r="R2795" s="24">
        <f>O2795-Q2795</f>
        <v>0</v>
      </c>
      <c r="S2795" s="53" t="str">
        <f>IF(O2795&lt;&gt;0,R2795/O2795,"")</f>
        <v/>
      </c>
      <c r="T2795" s="10"/>
      <c r="U2795" s="23">
        <v>0</v>
      </c>
      <c r="V2795" s="25">
        <v>0</v>
      </c>
      <c r="W2795" s="24">
        <v>0</v>
      </c>
      <c r="X2795" s="24">
        <f>U2795-W2795</f>
        <v>0</v>
      </c>
      <c r="Y2795" s="53" t="str">
        <f>IF(U2795&lt;&gt;0,X2795/U2795,"")</f>
        <v/>
      </c>
      <c r="Z2795" s="23">
        <v>0</v>
      </c>
      <c r="AA2795" s="25">
        <v>0</v>
      </c>
      <c r="AB2795" s="24">
        <v>0</v>
      </c>
      <c r="AC2795" s="24">
        <f t="shared" si="773"/>
        <v>0</v>
      </c>
      <c r="AD2795" s="53" t="str">
        <f t="shared" si="774"/>
        <v/>
      </c>
      <c r="AE2795" s="10"/>
    </row>
    <row r="2796" spans="1:31" x14ac:dyDescent="0.25">
      <c r="A2796" s="14" t="s">
        <v>109</v>
      </c>
      <c r="C2796" s="61" t="str">
        <f t="shared" si="772"/>
        <v>C100140</v>
      </c>
      <c r="F2796" s="8" t="str">
        <f>"E100006"</f>
        <v>E100006</v>
      </c>
      <c r="G2796" s="9" t="str">
        <f>"Budget Tote Bag"</f>
        <v>Budget Tote Bag</v>
      </c>
      <c r="H2796" s="47"/>
      <c r="I2796" s="47"/>
      <c r="J2796" s="23">
        <v>17.47</v>
      </c>
      <c r="K2796" s="25">
        <v>198.00000000000003</v>
      </c>
      <c r="L2796" s="24">
        <v>7.91</v>
      </c>
      <c r="M2796" s="24">
        <f>J2796-L2796</f>
        <v>9.5599999999999987</v>
      </c>
      <c r="N2796" s="53">
        <f>IF(J2796&lt;&gt;0,M2796/J2796,"")</f>
        <v>0.54722381224957062</v>
      </c>
      <c r="O2796" s="23">
        <v>0.53</v>
      </c>
      <c r="P2796" s="25">
        <v>6</v>
      </c>
      <c r="Q2796" s="24">
        <v>0.24</v>
      </c>
      <c r="R2796" s="24">
        <f>O2796-Q2796</f>
        <v>0.29000000000000004</v>
      </c>
      <c r="S2796" s="53">
        <f>IF(O2796&lt;&gt;0,R2796/O2796,"")</f>
        <v>0.54716981132075471</v>
      </c>
      <c r="T2796" s="10"/>
      <c r="U2796" s="23">
        <v>0.53</v>
      </c>
      <c r="V2796" s="25">
        <v>6</v>
      </c>
      <c r="W2796" s="24">
        <v>0.24</v>
      </c>
      <c r="X2796" s="24">
        <f>U2796-W2796</f>
        <v>0.29000000000000004</v>
      </c>
      <c r="Y2796" s="53">
        <f>IF(U2796&lt;&gt;0,X2796/U2796,"")</f>
        <v>0.54716981132075471</v>
      </c>
      <c r="Z2796" s="23">
        <v>0</v>
      </c>
      <c r="AA2796" s="25">
        <v>0</v>
      </c>
      <c r="AB2796" s="24">
        <v>0</v>
      </c>
      <c r="AC2796" s="24">
        <f t="shared" si="773"/>
        <v>0</v>
      </c>
      <c r="AD2796" s="53" t="str">
        <f t="shared" si="774"/>
        <v/>
      </c>
      <c r="AE2796" s="10"/>
    </row>
    <row r="2797" spans="1:31" x14ac:dyDescent="0.25">
      <c r="A2797" s="14" t="s">
        <v>109</v>
      </c>
      <c r="C2797" s="61" t="str">
        <f t="shared" si="772"/>
        <v>C100140</v>
      </c>
      <c r="F2797" s="8" t="str">
        <f>"E100007"</f>
        <v>E100007</v>
      </c>
      <c r="G2797" s="9" t="str">
        <f>"Plastic Handle Bag"</f>
        <v>Plastic Handle Bag</v>
      </c>
      <c r="H2797" s="47"/>
      <c r="I2797" s="47"/>
      <c r="J2797" s="23">
        <v>93.46</v>
      </c>
      <c r="K2797" s="25">
        <v>289</v>
      </c>
      <c r="L2797" s="24">
        <v>52.019999999999996</v>
      </c>
      <c r="M2797" s="24">
        <f>J2797-L2797</f>
        <v>41.44</v>
      </c>
      <c r="N2797" s="53">
        <f>IF(J2797&lt;&gt;0,M2797/J2797,"")</f>
        <v>0.44339824523860477</v>
      </c>
      <c r="O2797" s="23">
        <v>0</v>
      </c>
      <c r="P2797" s="25">
        <v>0</v>
      </c>
      <c r="Q2797" s="24">
        <v>0</v>
      </c>
      <c r="R2797" s="24">
        <f>O2797-Q2797</f>
        <v>0</v>
      </c>
      <c r="S2797" s="53" t="str">
        <f>IF(O2797&lt;&gt;0,R2797/O2797,"")</f>
        <v/>
      </c>
      <c r="T2797" s="10"/>
      <c r="U2797" s="23">
        <v>46.57</v>
      </c>
      <c r="V2797" s="25">
        <v>144</v>
      </c>
      <c r="W2797" s="24">
        <v>25.92</v>
      </c>
      <c r="X2797" s="24">
        <f>U2797-W2797</f>
        <v>20.65</v>
      </c>
      <c r="Y2797" s="53">
        <f>IF(U2797&lt;&gt;0,X2797/U2797,"")</f>
        <v>0.44341850977023833</v>
      </c>
      <c r="Z2797" s="23">
        <v>0.65</v>
      </c>
      <c r="AA2797" s="25">
        <v>2</v>
      </c>
      <c r="AB2797" s="24">
        <v>0.36</v>
      </c>
      <c r="AC2797" s="24">
        <f t="shared" si="773"/>
        <v>0.29000000000000004</v>
      </c>
      <c r="AD2797" s="53">
        <f t="shared" si="774"/>
        <v>0.44615384615384618</v>
      </c>
      <c r="AE2797" s="10"/>
    </row>
    <row r="2798" spans="1:31" x14ac:dyDescent="0.25">
      <c r="A2798" s="14" t="s">
        <v>109</v>
      </c>
      <c r="C2798" s="61" t="str">
        <f t="shared" si="772"/>
        <v>C100140</v>
      </c>
      <c r="F2798" s="8" t="str">
        <f>"E100008"</f>
        <v>E100008</v>
      </c>
      <c r="G2798" s="9" t="str">
        <f>"Super Shopper"</f>
        <v>Super Shopper</v>
      </c>
      <c r="H2798" s="47"/>
      <c r="I2798" s="47"/>
      <c r="J2798" s="23">
        <v>32.910000000000004</v>
      </c>
      <c r="K2798" s="25">
        <v>146</v>
      </c>
      <c r="L2798" s="24">
        <v>17.53</v>
      </c>
      <c r="M2798" s="24">
        <f>J2798-L2798</f>
        <v>15.380000000000003</v>
      </c>
      <c r="N2798" s="53">
        <f>IF(J2798&lt;&gt;0,M2798/J2798,"")</f>
        <v>0.46733515648738988</v>
      </c>
      <c r="O2798" s="23">
        <v>0</v>
      </c>
      <c r="P2798" s="25">
        <v>0</v>
      </c>
      <c r="Q2798" s="24">
        <v>0</v>
      </c>
      <c r="R2798" s="24">
        <f>O2798-Q2798</f>
        <v>0</v>
      </c>
      <c r="S2798" s="53" t="str">
        <f>IF(O2798&lt;&gt;0,R2798/O2798,"")</f>
        <v/>
      </c>
      <c r="T2798" s="10"/>
      <c r="U2798" s="23">
        <v>97.38</v>
      </c>
      <c r="V2798" s="25">
        <v>432</v>
      </c>
      <c r="W2798" s="24">
        <v>51.870000000000005</v>
      </c>
      <c r="X2798" s="24">
        <f>U2798-W2798</f>
        <v>45.509999999999991</v>
      </c>
      <c r="Y2798" s="53">
        <f>IF(U2798&lt;&gt;0,X2798/U2798,"")</f>
        <v>0.46734442390634617</v>
      </c>
      <c r="Z2798" s="23">
        <v>32.68</v>
      </c>
      <c r="AA2798" s="25">
        <v>145</v>
      </c>
      <c r="AB2798" s="24">
        <v>17.41</v>
      </c>
      <c r="AC2798" s="24">
        <f t="shared" si="773"/>
        <v>15.27</v>
      </c>
      <c r="AD2798" s="53">
        <f t="shared" si="774"/>
        <v>0.46725826193390452</v>
      </c>
      <c r="AE2798" s="10"/>
    </row>
    <row r="2799" spans="1:31" x14ac:dyDescent="0.25">
      <c r="A2799" s="14" t="s">
        <v>109</v>
      </c>
      <c r="C2799" s="61" t="str">
        <f t="shared" si="772"/>
        <v>C100140</v>
      </c>
      <c r="F2799" s="8" t="str">
        <f>"E100009"</f>
        <v>E100009</v>
      </c>
      <c r="G2799" s="9" t="str">
        <f>"Die-Cut Tote"</f>
        <v>Die-Cut Tote</v>
      </c>
      <c r="H2799" s="47"/>
      <c r="I2799" s="47"/>
      <c r="J2799" s="23">
        <v>76.2</v>
      </c>
      <c r="K2799" s="25">
        <v>338</v>
      </c>
      <c r="L2799" s="24">
        <v>37.21</v>
      </c>
      <c r="M2799" s="24">
        <f>J2799-L2799</f>
        <v>38.99</v>
      </c>
      <c r="N2799" s="53">
        <f>IF(J2799&lt;&gt;0,M2799/J2799,"")</f>
        <v>0.51167979002624675</v>
      </c>
      <c r="O2799" s="23">
        <v>32.46</v>
      </c>
      <c r="P2799" s="25">
        <v>144</v>
      </c>
      <c r="Q2799" s="24">
        <v>15.85</v>
      </c>
      <c r="R2799" s="24">
        <f>O2799-Q2799</f>
        <v>16.61</v>
      </c>
      <c r="S2799" s="53">
        <f>IF(O2799&lt;&gt;0,R2799/O2799,"")</f>
        <v>0.51170671595810224</v>
      </c>
      <c r="T2799" s="10"/>
      <c r="U2799" s="23">
        <v>5.86</v>
      </c>
      <c r="V2799" s="25">
        <v>26</v>
      </c>
      <c r="W2799" s="24">
        <v>2.86</v>
      </c>
      <c r="X2799" s="24">
        <f>U2799-W2799</f>
        <v>3.0000000000000004</v>
      </c>
      <c r="Y2799" s="53">
        <f>IF(U2799&lt;&gt;0,X2799/U2799,"")</f>
        <v>0.51194539249146764</v>
      </c>
      <c r="Z2799" s="23">
        <v>0</v>
      </c>
      <c r="AA2799" s="25">
        <v>0</v>
      </c>
      <c r="AB2799" s="24">
        <v>0</v>
      </c>
      <c r="AC2799" s="24">
        <f t="shared" si="773"/>
        <v>0</v>
      </c>
      <c r="AD2799" s="53" t="str">
        <f t="shared" si="774"/>
        <v/>
      </c>
      <c r="AE2799" s="10"/>
    </row>
    <row r="2800" spans="1:31" x14ac:dyDescent="0.25">
      <c r="A2800" s="14" t="s">
        <v>109</v>
      </c>
      <c r="C2800" s="61" t="str">
        <f t="shared" si="772"/>
        <v>C100140</v>
      </c>
      <c r="F2800" s="8" t="str">
        <f>"E100010"</f>
        <v>E100010</v>
      </c>
      <c r="G2800" s="9" t="str">
        <f>"Vinyl Tote"</f>
        <v>Vinyl Tote</v>
      </c>
      <c r="H2800" s="47"/>
      <c r="I2800" s="47"/>
      <c r="J2800" s="23">
        <v>131.54999999999998</v>
      </c>
      <c r="K2800" s="25">
        <v>433</v>
      </c>
      <c r="L2800" s="24">
        <v>77.94</v>
      </c>
      <c r="M2800" s="24">
        <f>J2800-L2800</f>
        <v>53.609999999999985</v>
      </c>
      <c r="N2800" s="53">
        <f>IF(J2800&lt;&gt;0,M2800/J2800,"")</f>
        <v>0.40752565564424165</v>
      </c>
      <c r="O2800" s="23">
        <v>3.95</v>
      </c>
      <c r="P2800" s="25">
        <v>13</v>
      </c>
      <c r="Q2800" s="24">
        <v>2.34</v>
      </c>
      <c r="R2800" s="24">
        <f>O2800-Q2800</f>
        <v>1.6100000000000003</v>
      </c>
      <c r="S2800" s="53">
        <f>IF(O2800&lt;&gt;0,R2800/O2800,"")</f>
        <v>0.40759493670886082</v>
      </c>
      <c r="T2800" s="10"/>
      <c r="U2800" s="23">
        <v>88.1</v>
      </c>
      <c r="V2800" s="25">
        <v>290</v>
      </c>
      <c r="W2800" s="24">
        <v>52.2</v>
      </c>
      <c r="X2800" s="24">
        <f>U2800-W2800</f>
        <v>35.899999999999991</v>
      </c>
      <c r="Y2800" s="53">
        <f>IF(U2800&lt;&gt;0,X2800/U2800,"")</f>
        <v>0.40749148694665144</v>
      </c>
      <c r="Z2800" s="23">
        <v>0</v>
      </c>
      <c r="AA2800" s="25">
        <v>0</v>
      </c>
      <c r="AB2800" s="24">
        <v>0</v>
      </c>
      <c r="AC2800" s="24">
        <f t="shared" si="773"/>
        <v>0</v>
      </c>
      <c r="AD2800" s="53" t="str">
        <f t="shared" si="774"/>
        <v/>
      </c>
      <c r="AE2800" s="10"/>
    </row>
    <row r="2801" spans="1:31" x14ac:dyDescent="0.25">
      <c r="A2801" s="14" t="s">
        <v>109</v>
      </c>
      <c r="C2801" s="61" t="str">
        <f t="shared" si="772"/>
        <v>C100140</v>
      </c>
      <c r="F2801" s="8" t="str">
        <f>"E100011"</f>
        <v>E100011</v>
      </c>
      <c r="G2801" s="9" t="str">
        <f>"Plastic Sun Visor"</f>
        <v>Plastic Sun Visor</v>
      </c>
      <c r="H2801" s="47"/>
      <c r="I2801" s="47"/>
      <c r="J2801" s="23">
        <v>229.41</v>
      </c>
      <c r="K2801" s="25">
        <v>289</v>
      </c>
      <c r="L2801" s="24">
        <v>121.36</v>
      </c>
      <c r="M2801" s="24">
        <f>J2801-L2801</f>
        <v>108.05</v>
      </c>
      <c r="N2801" s="53">
        <f>IF(J2801&lt;&gt;0,M2801/J2801,"")</f>
        <v>0.47099080249335251</v>
      </c>
      <c r="O2801" s="23">
        <v>0.79</v>
      </c>
      <c r="P2801" s="25">
        <v>1</v>
      </c>
      <c r="Q2801" s="24">
        <v>0.42</v>
      </c>
      <c r="R2801" s="24">
        <f>O2801-Q2801</f>
        <v>0.37000000000000005</v>
      </c>
      <c r="S2801" s="53">
        <f>IF(O2801&lt;&gt;0,R2801/O2801,"")</f>
        <v>0.46835443037974689</v>
      </c>
      <c r="T2801" s="10"/>
      <c r="U2801" s="23">
        <v>114.31</v>
      </c>
      <c r="V2801" s="25">
        <v>144</v>
      </c>
      <c r="W2801" s="24">
        <v>60.470000000000006</v>
      </c>
      <c r="X2801" s="24">
        <f>U2801-W2801</f>
        <v>53.839999999999996</v>
      </c>
      <c r="Y2801" s="53">
        <f>IF(U2801&lt;&gt;0,X2801/U2801,"")</f>
        <v>0.47099991251858975</v>
      </c>
      <c r="Z2801" s="23">
        <v>0</v>
      </c>
      <c r="AA2801" s="25">
        <v>0</v>
      </c>
      <c r="AB2801" s="24">
        <v>0</v>
      </c>
      <c r="AC2801" s="24">
        <f t="shared" si="773"/>
        <v>0</v>
      </c>
      <c r="AD2801" s="53" t="str">
        <f t="shared" si="774"/>
        <v/>
      </c>
      <c r="AE2801" s="10"/>
    </row>
    <row r="2802" spans="1:31" x14ac:dyDescent="0.25">
      <c r="A2802" s="14" t="s">
        <v>109</v>
      </c>
      <c r="C2802" s="61" t="str">
        <f t="shared" si="772"/>
        <v>C100140</v>
      </c>
      <c r="F2802" s="8" t="str">
        <f>"E100012"</f>
        <v>E100012</v>
      </c>
      <c r="G2802" s="9" t="str">
        <f>"Canvas Stopwatch"</f>
        <v>Canvas Stopwatch</v>
      </c>
      <c r="H2802" s="47"/>
      <c r="I2802" s="47"/>
      <c r="J2802" s="23">
        <v>522.14</v>
      </c>
      <c r="K2802" s="25">
        <v>144</v>
      </c>
      <c r="L2802" s="24">
        <v>282.22999999999996</v>
      </c>
      <c r="M2802" s="24">
        <f>J2802-L2802</f>
        <v>239.91000000000003</v>
      </c>
      <c r="N2802" s="53">
        <f>IF(J2802&lt;&gt;0,M2802/J2802,"")</f>
        <v>0.45947447044853879</v>
      </c>
      <c r="O2802" s="23">
        <v>0</v>
      </c>
      <c r="P2802" s="25">
        <v>0</v>
      </c>
      <c r="Q2802" s="24">
        <v>0</v>
      </c>
      <c r="R2802" s="24">
        <f>O2802-Q2802</f>
        <v>0</v>
      </c>
      <c r="S2802" s="53" t="str">
        <f>IF(O2802&lt;&gt;0,R2802/O2802,"")</f>
        <v/>
      </c>
      <c r="T2802" s="10"/>
      <c r="U2802" s="23">
        <v>522.14</v>
      </c>
      <c r="V2802" s="25">
        <v>144</v>
      </c>
      <c r="W2802" s="24">
        <v>282.22999999999996</v>
      </c>
      <c r="X2802" s="24">
        <f>U2802-W2802</f>
        <v>239.91000000000003</v>
      </c>
      <c r="Y2802" s="53">
        <f>IF(U2802&lt;&gt;0,X2802/U2802,"")</f>
        <v>0.45947447044853879</v>
      </c>
      <c r="Z2802" s="23">
        <v>522.14</v>
      </c>
      <c r="AA2802" s="25">
        <v>144</v>
      </c>
      <c r="AB2802" s="24">
        <v>282.22999999999996</v>
      </c>
      <c r="AC2802" s="24">
        <f t="shared" si="773"/>
        <v>239.91000000000003</v>
      </c>
      <c r="AD2802" s="53">
        <f t="shared" si="774"/>
        <v>0.45947447044853879</v>
      </c>
      <c r="AE2802" s="10"/>
    </row>
    <row r="2803" spans="1:31" x14ac:dyDescent="0.25">
      <c r="A2803" s="14" t="s">
        <v>109</v>
      </c>
      <c r="C2803" s="61" t="str">
        <f t="shared" si="772"/>
        <v>C100140</v>
      </c>
      <c r="F2803" s="8" t="str">
        <f>"E100014"</f>
        <v>E100014</v>
      </c>
      <c r="G2803" s="9" t="str">
        <f>"Stopwatch with Neck Rope"</f>
        <v>Stopwatch with Neck Rope</v>
      </c>
      <c r="H2803" s="47"/>
      <c r="I2803" s="47"/>
      <c r="J2803" s="23">
        <v>1166.93</v>
      </c>
      <c r="K2803" s="25">
        <v>433</v>
      </c>
      <c r="L2803" s="24">
        <v>558.53</v>
      </c>
      <c r="M2803" s="24">
        <f>J2803-L2803</f>
        <v>608.40000000000009</v>
      </c>
      <c r="N2803" s="53">
        <f>IF(J2803&lt;&gt;0,M2803/J2803,"")</f>
        <v>0.52136803407230947</v>
      </c>
      <c r="O2803" s="23">
        <v>0</v>
      </c>
      <c r="P2803" s="25">
        <v>0</v>
      </c>
      <c r="Q2803" s="24">
        <v>0</v>
      </c>
      <c r="R2803" s="24">
        <f>O2803-Q2803</f>
        <v>0</v>
      </c>
      <c r="S2803" s="53" t="str">
        <f>IF(O2803&lt;&gt;0,R2803/O2803,"")</f>
        <v/>
      </c>
      <c r="T2803" s="10"/>
      <c r="U2803" s="23">
        <v>388.08000000000004</v>
      </c>
      <c r="V2803" s="25">
        <v>144</v>
      </c>
      <c r="W2803" s="24">
        <v>185.75</v>
      </c>
      <c r="X2803" s="24">
        <f>U2803-W2803</f>
        <v>202.33000000000004</v>
      </c>
      <c r="Y2803" s="53">
        <f>IF(U2803&lt;&gt;0,X2803/U2803,"")</f>
        <v>0.5213615749330035</v>
      </c>
      <c r="Z2803" s="23">
        <v>0</v>
      </c>
      <c r="AA2803" s="25">
        <v>0</v>
      </c>
      <c r="AB2803" s="24">
        <v>0</v>
      </c>
      <c r="AC2803" s="24">
        <f t="shared" si="773"/>
        <v>0</v>
      </c>
      <c r="AD2803" s="53" t="str">
        <f t="shared" si="774"/>
        <v/>
      </c>
      <c r="AE2803" s="10"/>
    </row>
    <row r="2804" spans="1:31" x14ac:dyDescent="0.25">
      <c r="A2804" s="14" t="s">
        <v>109</v>
      </c>
      <c r="C2804" s="61" t="str">
        <f t="shared" si="772"/>
        <v>C100140</v>
      </c>
      <c r="F2804" s="8" t="str">
        <f>"E100015"</f>
        <v>E100015</v>
      </c>
      <c r="G2804" s="9" t="str">
        <f>"360 Clip Watch"</f>
        <v>360 Clip Watch</v>
      </c>
      <c r="H2804" s="47"/>
      <c r="I2804" s="47"/>
      <c r="J2804" s="23">
        <v>404.54</v>
      </c>
      <c r="K2804" s="25">
        <v>192</v>
      </c>
      <c r="L2804" s="24">
        <v>195.85000000000002</v>
      </c>
      <c r="M2804" s="24">
        <f>J2804-L2804</f>
        <v>208.69</v>
      </c>
      <c r="N2804" s="53">
        <f>IF(J2804&lt;&gt;0,M2804/J2804,"")</f>
        <v>0.51586987689721653</v>
      </c>
      <c r="O2804" s="23">
        <v>0</v>
      </c>
      <c r="P2804" s="25">
        <v>0</v>
      </c>
      <c r="Q2804" s="24">
        <v>0</v>
      </c>
      <c r="R2804" s="24">
        <f>O2804-Q2804</f>
        <v>0</v>
      </c>
      <c r="S2804" s="53" t="str">
        <f>IF(O2804&lt;&gt;0,R2804/O2804,"")</f>
        <v/>
      </c>
      <c r="T2804" s="10"/>
      <c r="U2804" s="23">
        <v>356.08000000000004</v>
      </c>
      <c r="V2804" s="25">
        <v>169</v>
      </c>
      <c r="W2804" s="24">
        <v>172.38</v>
      </c>
      <c r="X2804" s="24">
        <f>U2804-W2804</f>
        <v>183.70000000000005</v>
      </c>
      <c r="Y2804" s="53">
        <f>IF(U2804&lt;&gt;0,X2804/U2804,"")</f>
        <v>0.51589530442597176</v>
      </c>
      <c r="Z2804" s="23">
        <v>0</v>
      </c>
      <c r="AA2804" s="25">
        <v>0</v>
      </c>
      <c r="AB2804" s="24">
        <v>0</v>
      </c>
      <c r="AC2804" s="24">
        <f t="shared" si="773"/>
        <v>0</v>
      </c>
      <c r="AD2804" s="53" t="str">
        <f t="shared" si="774"/>
        <v/>
      </c>
      <c r="AE2804" s="10"/>
    </row>
    <row r="2805" spans="1:31" x14ac:dyDescent="0.25">
      <c r="A2805" s="14" t="s">
        <v>109</v>
      </c>
      <c r="C2805" s="61" t="str">
        <f t="shared" si="772"/>
        <v>C100140</v>
      </c>
      <c r="F2805" s="8" t="str">
        <f>"E100016"</f>
        <v>E100016</v>
      </c>
      <c r="G2805" s="9" t="str">
        <f>"4 Function Rotating Carabiner Watch"</f>
        <v>4 Function Rotating Carabiner Watch</v>
      </c>
      <c r="H2805" s="47"/>
      <c r="I2805" s="47"/>
      <c r="J2805" s="23">
        <v>429.00000000000006</v>
      </c>
      <c r="K2805" s="25">
        <v>144</v>
      </c>
      <c r="L2805" s="24">
        <v>198.73000000000002</v>
      </c>
      <c r="M2805" s="24">
        <f>J2805-L2805</f>
        <v>230.27000000000004</v>
      </c>
      <c r="N2805" s="53">
        <f>IF(J2805&lt;&gt;0,M2805/J2805,"")</f>
        <v>0.53675990675990681</v>
      </c>
      <c r="O2805" s="23">
        <v>0</v>
      </c>
      <c r="P2805" s="25">
        <v>0</v>
      </c>
      <c r="Q2805" s="24">
        <v>0</v>
      </c>
      <c r="R2805" s="24">
        <f>O2805-Q2805</f>
        <v>0</v>
      </c>
      <c r="S2805" s="53" t="str">
        <f>IF(O2805&lt;&gt;0,R2805/O2805,"")</f>
        <v/>
      </c>
      <c r="T2805" s="10"/>
      <c r="U2805" s="23">
        <v>429.00000000000006</v>
      </c>
      <c r="V2805" s="25">
        <v>144</v>
      </c>
      <c r="W2805" s="24">
        <v>198.73000000000002</v>
      </c>
      <c r="X2805" s="24">
        <f>U2805-W2805</f>
        <v>230.27000000000004</v>
      </c>
      <c r="Y2805" s="53">
        <f>IF(U2805&lt;&gt;0,X2805/U2805,"")</f>
        <v>0.53675990675990681</v>
      </c>
      <c r="Z2805" s="23">
        <v>2.98</v>
      </c>
      <c r="AA2805" s="25">
        <v>1</v>
      </c>
      <c r="AB2805" s="24">
        <v>1.38</v>
      </c>
      <c r="AC2805" s="24">
        <f t="shared" si="773"/>
        <v>1.6</v>
      </c>
      <c r="AD2805" s="53">
        <f t="shared" si="774"/>
        <v>0.53691275167785235</v>
      </c>
      <c r="AE2805" s="10"/>
    </row>
    <row r="2806" spans="1:31" x14ac:dyDescent="0.25">
      <c r="A2806" s="14" t="s">
        <v>109</v>
      </c>
      <c r="C2806" s="61" t="str">
        <f t="shared" si="772"/>
        <v>C100140</v>
      </c>
      <c r="F2806" s="8" t="str">
        <f>"E100018"</f>
        <v>E100018</v>
      </c>
      <c r="G2806" s="9" t="str">
        <f>"Flexi-Clock &amp; Clip"</f>
        <v>Flexi-Clock &amp; Clip</v>
      </c>
      <c r="H2806" s="47"/>
      <c r="I2806" s="47"/>
      <c r="J2806" s="23">
        <v>320.05</v>
      </c>
      <c r="K2806" s="25">
        <v>289</v>
      </c>
      <c r="L2806" s="24">
        <v>173.38</v>
      </c>
      <c r="M2806" s="24">
        <f>J2806-L2806</f>
        <v>146.67000000000002</v>
      </c>
      <c r="N2806" s="53">
        <f>IF(J2806&lt;&gt;0,M2806/J2806,"")</f>
        <v>0.45827214497734731</v>
      </c>
      <c r="O2806" s="23">
        <v>0</v>
      </c>
      <c r="P2806" s="25">
        <v>0</v>
      </c>
      <c r="Q2806" s="24">
        <v>0</v>
      </c>
      <c r="R2806" s="24">
        <f>O2806-Q2806</f>
        <v>0</v>
      </c>
      <c r="S2806" s="53" t="str">
        <f>IF(O2806&lt;&gt;0,R2806/O2806,"")</f>
        <v/>
      </c>
      <c r="T2806" s="10"/>
      <c r="U2806" s="23">
        <v>478.41</v>
      </c>
      <c r="V2806" s="25">
        <v>432</v>
      </c>
      <c r="W2806" s="24">
        <v>259.16999999999996</v>
      </c>
      <c r="X2806" s="24">
        <f>U2806-W2806</f>
        <v>219.24000000000007</v>
      </c>
      <c r="Y2806" s="53">
        <f>IF(U2806&lt;&gt;0,X2806/U2806,"")</f>
        <v>0.45826801279237483</v>
      </c>
      <c r="Z2806" s="23">
        <v>1.1100000000000001</v>
      </c>
      <c r="AA2806" s="25">
        <v>1</v>
      </c>
      <c r="AB2806" s="24">
        <v>0.6</v>
      </c>
      <c r="AC2806" s="24">
        <f t="shared" si="773"/>
        <v>0.51000000000000012</v>
      </c>
      <c r="AD2806" s="53">
        <f t="shared" si="774"/>
        <v>0.45945945945945954</v>
      </c>
      <c r="AE2806" s="10"/>
    </row>
    <row r="2807" spans="1:31" x14ac:dyDescent="0.25">
      <c r="A2807" s="14" t="s">
        <v>109</v>
      </c>
      <c r="C2807" s="61" t="str">
        <f t="shared" si="772"/>
        <v>C100140</v>
      </c>
      <c r="F2807" s="8" t="str">
        <f>"E100019"</f>
        <v>E100019</v>
      </c>
      <c r="G2807" s="9" t="str">
        <f>"Mini Travel Alarm"</f>
        <v>Mini Travel Alarm</v>
      </c>
      <c r="H2807" s="47"/>
      <c r="I2807" s="47"/>
      <c r="J2807" s="23">
        <v>498.33</v>
      </c>
      <c r="K2807" s="25">
        <v>150</v>
      </c>
      <c r="L2807" s="24">
        <v>242.98999999999998</v>
      </c>
      <c r="M2807" s="24">
        <f>J2807-L2807</f>
        <v>255.34</v>
      </c>
      <c r="N2807" s="53">
        <f>IF(J2807&lt;&gt;0,M2807/J2807,"")</f>
        <v>0.51239138723335942</v>
      </c>
      <c r="O2807" s="23">
        <v>478.4</v>
      </c>
      <c r="P2807" s="25">
        <v>144</v>
      </c>
      <c r="Q2807" s="24">
        <v>233.26999999999998</v>
      </c>
      <c r="R2807" s="24">
        <f>O2807-Q2807</f>
        <v>245.13</v>
      </c>
      <c r="S2807" s="53">
        <f>IF(O2807&lt;&gt;0,R2807/O2807,"")</f>
        <v>0.51239548494983278</v>
      </c>
      <c r="T2807" s="10"/>
      <c r="U2807" s="23">
        <v>39.870000000000005</v>
      </c>
      <c r="V2807" s="25">
        <v>12</v>
      </c>
      <c r="W2807" s="24">
        <v>19.440000000000001</v>
      </c>
      <c r="X2807" s="24">
        <f>U2807-W2807</f>
        <v>20.430000000000003</v>
      </c>
      <c r="Y2807" s="53">
        <f>IF(U2807&lt;&gt;0,X2807/U2807,"")</f>
        <v>0.51241534988713322</v>
      </c>
      <c r="Z2807" s="23">
        <v>0</v>
      </c>
      <c r="AA2807" s="25">
        <v>0</v>
      </c>
      <c r="AB2807" s="24">
        <v>0</v>
      </c>
      <c r="AC2807" s="24">
        <f t="shared" si="773"/>
        <v>0</v>
      </c>
      <c r="AD2807" s="53" t="str">
        <f t="shared" si="774"/>
        <v/>
      </c>
      <c r="AE2807" s="10"/>
    </row>
    <row r="2808" spans="1:31" x14ac:dyDescent="0.25">
      <c r="A2808" s="14" t="s">
        <v>109</v>
      </c>
      <c r="C2808" s="61" t="str">
        <f t="shared" si="772"/>
        <v>C100140</v>
      </c>
      <c r="F2808" s="8" t="str">
        <f>"E100021"</f>
        <v>E100021</v>
      </c>
      <c r="G2808" s="9" t="str">
        <f>"Slim Travel Alarm"</f>
        <v>Slim Travel Alarm</v>
      </c>
      <c r="H2808" s="47"/>
      <c r="I2808" s="47"/>
      <c r="J2808" s="23">
        <v>544.73</v>
      </c>
      <c r="K2808" s="25">
        <v>193</v>
      </c>
      <c r="L2808" s="24">
        <v>277.90999999999997</v>
      </c>
      <c r="M2808" s="24">
        <f>J2808-L2808</f>
        <v>266.82000000000005</v>
      </c>
      <c r="N2808" s="53">
        <f>IF(J2808&lt;&gt;0,M2808/J2808,"")</f>
        <v>0.48982064509022827</v>
      </c>
      <c r="O2808" s="23">
        <v>0</v>
      </c>
      <c r="P2808" s="25">
        <v>0</v>
      </c>
      <c r="Q2808" s="24">
        <v>0</v>
      </c>
      <c r="R2808" s="24">
        <f>O2808-Q2808</f>
        <v>0</v>
      </c>
      <c r="S2808" s="53" t="str">
        <f>IF(O2808&lt;&gt;0,R2808/O2808,"")</f>
        <v/>
      </c>
      <c r="T2808" s="10"/>
      <c r="U2808" s="23">
        <v>812.8599999999999</v>
      </c>
      <c r="V2808" s="25">
        <v>288</v>
      </c>
      <c r="W2808" s="24">
        <v>414.7</v>
      </c>
      <c r="X2808" s="24">
        <f>U2808-W2808</f>
        <v>398.15999999999991</v>
      </c>
      <c r="Y2808" s="53">
        <f>IF(U2808&lt;&gt;0,X2808/U2808,"")</f>
        <v>0.48982604630563686</v>
      </c>
      <c r="Z2808" s="23">
        <v>1219.28</v>
      </c>
      <c r="AA2808" s="25">
        <v>432</v>
      </c>
      <c r="AB2808" s="24">
        <v>622.05000000000007</v>
      </c>
      <c r="AC2808" s="24">
        <f t="shared" si="773"/>
        <v>597.2299999999999</v>
      </c>
      <c r="AD2808" s="53">
        <f t="shared" si="774"/>
        <v>0.48982186208254047</v>
      </c>
      <c r="AE2808" s="10"/>
    </row>
    <row r="2809" spans="1:31" x14ac:dyDescent="0.25">
      <c r="A2809" s="14" t="s">
        <v>109</v>
      </c>
      <c r="C2809" s="61" t="str">
        <f t="shared" si="772"/>
        <v>C100140</v>
      </c>
      <c r="F2809" s="8" t="str">
        <f>"E100022"</f>
        <v>E100022</v>
      </c>
      <c r="G2809" s="9" t="str">
        <f>"Wide Screen Alarm Clock"</f>
        <v>Wide Screen Alarm Clock</v>
      </c>
      <c r="H2809" s="47"/>
      <c r="I2809" s="47"/>
      <c r="J2809" s="23">
        <v>546.61</v>
      </c>
      <c r="K2809" s="25">
        <v>289</v>
      </c>
      <c r="L2809" s="24">
        <v>369.89</v>
      </c>
      <c r="M2809" s="24">
        <f>J2809-L2809</f>
        <v>176.72000000000003</v>
      </c>
      <c r="N2809" s="53">
        <f>IF(J2809&lt;&gt;0,M2809/J2809,"")</f>
        <v>0.32330180567497857</v>
      </c>
      <c r="O2809" s="23">
        <v>0</v>
      </c>
      <c r="P2809" s="25">
        <v>0</v>
      </c>
      <c r="Q2809" s="24">
        <v>0</v>
      </c>
      <c r="R2809" s="24">
        <f>O2809-Q2809</f>
        <v>0</v>
      </c>
      <c r="S2809" s="53" t="str">
        <f>IF(O2809&lt;&gt;0,R2809/O2809,"")</f>
        <v/>
      </c>
      <c r="T2809" s="10"/>
      <c r="U2809" s="23">
        <v>0</v>
      </c>
      <c r="V2809" s="25">
        <v>0</v>
      </c>
      <c r="W2809" s="24">
        <v>0</v>
      </c>
      <c r="X2809" s="24">
        <f>U2809-W2809</f>
        <v>0</v>
      </c>
      <c r="Y2809" s="53" t="str">
        <f>IF(U2809&lt;&gt;0,X2809/U2809,"")</f>
        <v/>
      </c>
      <c r="Z2809" s="23">
        <v>0</v>
      </c>
      <c r="AA2809" s="25">
        <v>0</v>
      </c>
      <c r="AB2809" s="24">
        <v>0</v>
      </c>
      <c r="AC2809" s="24">
        <f t="shared" si="773"/>
        <v>0</v>
      </c>
      <c r="AD2809" s="53" t="str">
        <f t="shared" si="774"/>
        <v/>
      </c>
      <c r="AE2809" s="10"/>
    </row>
    <row r="2810" spans="1:31" x14ac:dyDescent="0.25">
      <c r="A2810" s="14" t="s">
        <v>109</v>
      </c>
      <c r="C2810" s="61" t="str">
        <f t="shared" si="772"/>
        <v>C100140</v>
      </c>
      <c r="F2810" s="8" t="str">
        <f>"E100023"</f>
        <v>E100023</v>
      </c>
      <c r="G2810" s="9" t="str">
        <f>"Sport Earbuds"</f>
        <v>Sport Earbuds</v>
      </c>
      <c r="H2810" s="47"/>
      <c r="I2810" s="47"/>
      <c r="J2810" s="23">
        <v>637.86</v>
      </c>
      <c r="K2810" s="25">
        <v>144</v>
      </c>
      <c r="L2810" s="24">
        <v>302.39999999999998</v>
      </c>
      <c r="M2810" s="24">
        <f>J2810-L2810</f>
        <v>335.46000000000004</v>
      </c>
      <c r="N2810" s="53">
        <f>IF(J2810&lt;&gt;0,M2810/J2810,"")</f>
        <v>0.52591477753739069</v>
      </c>
      <c r="O2810" s="23">
        <v>1275.72</v>
      </c>
      <c r="P2810" s="25">
        <v>288</v>
      </c>
      <c r="Q2810" s="24">
        <v>604.79999999999995</v>
      </c>
      <c r="R2810" s="24">
        <f>O2810-Q2810</f>
        <v>670.92000000000007</v>
      </c>
      <c r="S2810" s="53">
        <f>IF(O2810&lt;&gt;0,R2810/O2810,"")</f>
        <v>0.52591477753739069</v>
      </c>
      <c r="T2810" s="10"/>
      <c r="U2810" s="23">
        <v>637.86</v>
      </c>
      <c r="V2810" s="25">
        <v>144</v>
      </c>
      <c r="W2810" s="24">
        <v>302.39999999999998</v>
      </c>
      <c r="X2810" s="24">
        <f>U2810-W2810</f>
        <v>335.46000000000004</v>
      </c>
      <c r="Y2810" s="53">
        <f>IF(U2810&lt;&gt;0,X2810/U2810,"")</f>
        <v>0.52591477753739069</v>
      </c>
      <c r="Z2810" s="23">
        <v>0</v>
      </c>
      <c r="AA2810" s="25">
        <v>0</v>
      </c>
      <c r="AB2810" s="24">
        <v>0</v>
      </c>
      <c r="AC2810" s="24">
        <f t="shared" si="773"/>
        <v>0</v>
      </c>
      <c r="AD2810" s="53" t="str">
        <f t="shared" si="774"/>
        <v/>
      </c>
      <c r="AE2810" s="10"/>
    </row>
    <row r="2811" spans="1:31" x14ac:dyDescent="0.25">
      <c r="A2811" s="14" t="s">
        <v>109</v>
      </c>
      <c r="C2811" s="61" t="str">
        <f t="shared" si="772"/>
        <v>C100140</v>
      </c>
      <c r="F2811" s="8" t="str">
        <f>"E100024"</f>
        <v>E100024</v>
      </c>
      <c r="G2811" s="9" t="str">
        <f>"Arch Calculator"</f>
        <v>Arch Calculator</v>
      </c>
      <c r="H2811" s="47"/>
      <c r="I2811" s="47"/>
      <c r="J2811" s="23">
        <v>448.76</v>
      </c>
      <c r="K2811" s="25">
        <v>144</v>
      </c>
      <c r="L2811" s="24">
        <v>247.59</v>
      </c>
      <c r="M2811" s="24">
        <f>J2811-L2811</f>
        <v>201.17</v>
      </c>
      <c r="N2811" s="53">
        <f>IF(J2811&lt;&gt;0,M2811/J2811,"")</f>
        <v>0.44827970407344681</v>
      </c>
      <c r="O2811" s="23">
        <v>37.4</v>
      </c>
      <c r="P2811" s="25">
        <v>12</v>
      </c>
      <c r="Q2811" s="24">
        <v>20.63</v>
      </c>
      <c r="R2811" s="24">
        <f>O2811-Q2811</f>
        <v>16.77</v>
      </c>
      <c r="S2811" s="53">
        <f>IF(O2811&lt;&gt;0,R2811/O2811,"")</f>
        <v>0.44839572192513372</v>
      </c>
      <c r="T2811" s="10"/>
      <c r="U2811" s="23">
        <v>1346.28</v>
      </c>
      <c r="V2811" s="25">
        <v>432</v>
      </c>
      <c r="W2811" s="24">
        <v>742.77</v>
      </c>
      <c r="X2811" s="24">
        <f>U2811-W2811</f>
        <v>603.51</v>
      </c>
      <c r="Y2811" s="53">
        <f>IF(U2811&lt;&gt;0,X2811/U2811,"")</f>
        <v>0.44827970407344686</v>
      </c>
      <c r="Z2811" s="23">
        <v>448.76</v>
      </c>
      <c r="AA2811" s="25">
        <v>144</v>
      </c>
      <c r="AB2811" s="24">
        <v>247.59</v>
      </c>
      <c r="AC2811" s="24">
        <f t="shared" si="773"/>
        <v>201.17</v>
      </c>
      <c r="AD2811" s="53">
        <f t="shared" si="774"/>
        <v>0.44827970407344681</v>
      </c>
      <c r="AE2811" s="10"/>
    </row>
    <row r="2812" spans="1:31" x14ac:dyDescent="0.25">
      <c r="A2812" s="14" t="s">
        <v>109</v>
      </c>
      <c r="C2812" s="61" t="str">
        <f t="shared" si="772"/>
        <v>C100140</v>
      </c>
      <c r="F2812" s="8" t="str">
        <f>"E100025"</f>
        <v>E100025</v>
      </c>
      <c r="G2812" s="9" t="str">
        <f>"Calc-U-Note"</f>
        <v>Calc-U-Note</v>
      </c>
      <c r="H2812" s="47"/>
      <c r="I2812" s="47"/>
      <c r="J2812" s="23">
        <v>231.43999999999997</v>
      </c>
      <c r="K2812" s="25">
        <v>144</v>
      </c>
      <c r="L2812" s="24">
        <v>146.80000000000001</v>
      </c>
      <c r="M2812" s="24">
        <f>J2812-L2812</f>
        <v>84.639999999999958</v>
      </c>
      <c r="N2812" s="53">
        <f>IF(J2812&lt;&gt;0,M2812/J2812,"")</f>
        <v>0.36571033529208419</v>
      </c>
      <c r="O2812" s="23">
        <v>0</v>
      </c>
      <c r="P2812" s="25">
        <v>0</v>
      </c>
      <c r="Q2812" s="24">
        <v>0</v>
      </c>
      <c r="R2812" s="24">
        <f>O2812-Q2812</f>
        <v>0</v>
      </c>
      <c r="S2812" s="53" t="str">
        <f>IF(O2812&lt;&gt;0,R2812/O2812,"")</f>
        <v/>
      </c>
      <c r="T2812" s="10"/>
      <c r="U2812" s="23">
        <v>0</v>
      </c>
      <c r="V2812" s="25">
        <v>0</v>
      </c>
      <c r="W2812" s="24">
        <v>0</v>
      </c>
      <c r="X2812" s="24">
        <f>U2812-W2812</f>
        <v>0</v>
      </c>
      <c r="Y2812" s="53" t="str">
        <f>IF(U2812&lt;&gt;0,X2812/U2812,"")</f>
        <v/>
      </c>
      <c r="Z2812" s="23">
        <v>241.08</v>
      </c>
      <c r="AA2812" s="25">
        <v>150</v>
      </c>
      <c r="AB2812" s="24">
        <v>152.91</v>
      </c>
      <c r="AC2812" s="24">
        <f t="shared" si="773"/>
        <v>88.170000000000016</v>
      </c>
      <c r="AD2812" s="53">
        <f t="shared" si="774"/>
        <v>0.365729218516675</v>
      </c>
      <c r="AE2812" s="10"/>
    </row>
    <row r="2813" spans="1:31" x14ac:dyDescent="0.25">
      <c r="A2813" s="14" t="s">
        <v>109</v>
      </c>
      <c r="C2813" s="61" t="str">
        <f t="shared" si="772"/>
        <v>C100140</v>
      </c>
      <c r="F2813" s="8" t="str">
        <f>"E100026"</f>
        <v>E100026</v>
      </c>
      <c r="G2813" s="9" t="str">
        <f>"Desk Calculator"</f>
        <v>Desk Calculator</v>
      </c>
      <c r="H2813" s="47"/>
      <c r="I2813" s="47"/>
      <c r="J2813" s="23">
        <v>159.93</v>
      </c>
      <c r="K2813" s="25">
        <v>192</v>
      </c>
      <c r="L2813" s="24">
        <v>92.24</v>
      </c>
      <c r="M2813" s="24">
        <f>J2813-L2813</f>
        <v>67.690000000000012</v>
      </c>
      <c r="N2813" s="53">
        <f>IF(J2813&lt;&gt;0,M2813/J2813,"")</f>
        <v>0.42324767085599957</v>
      </c>
      <c r="O2813" s="23">
        <v>120.78</v>
      </c>
      <c r="P2813" s="25">
        <v>145</v>
      </c>
      <c r="Q2813" s="24">
        <v>69.660000000000011</v>
      </c>
      <c r="R2813" s="24">
        <f>O2813-Q2813</f>
        <v>51.11999999999999</v>
      </c>
      <c r="S2813" s="53">
        <f>IF(O2813&lt;&gt;0,R2813/O2813,"")</f>
        <v>0.42324888226527563</v>
      </c>
      <c r="T2813" s="10"/>
      <c r="U2813" s="23">
        <v>239.89999999999998</v>
      </c>
      <c r="V2813" s="25">
        <v>288</v>
      </c>
      <c r="W2813" s="24">
        <v>138.36000000000001</v>
      </c>
      <c r="X2813" s="24">
        <f>U2813-W2813</f>
        <v>101.53999999999996</v>
      </c>
      <c r="Y2813" s="53">
        <f>IF(U2813&lt;&gt;0,X2813/U2813,"")</f>
        <v>0.4232596915381408</v>
      </c>
      <c r="Z2813" s="23">
        <v>0</v>
      </c>
      <c r="AA2813" s="25">
        <v>0</v>
      </c>
      <c r="AB2813" s="24">
        <v>0</v>
      </c>
      <c r="AC2813" s="24">
        <f t="shared" si="773"/>
        <v>0</v>
      </c>
      <c r="AD2813" s="53" t="str">
        <f t="shared" si="774"/>
        <v/>
      </c>
      <c r="AE2813" s="10"/>
    </row>
    <row r="2814" spans="1:31" x14ac:dyDescent="0.25">
      <c r="A2814" s="14" t="s">
        <v>109</v>
      </c>
      <c r="C2814" s="61" t="str">
        <f t="shared" si="772"/>
        <v>C100140</v>
      </c>
      <c r="F2814" s="8" t="str">
        <f>"E100027"</f>
        <v>E100027</v>
      </c>
      <c r="G2814" s="9" t="str">
        <f>"Ergo-Calculator"</f>
        <v>Ergo-Calculator</v>
      </c>
      <c r="H2814" s="47"/>
      <c r="I2814" s="47"/>
      <c r="J2814" s="23">
        <v>0</v>
      </c>
      <c r="K2814" s="25">
        <v>0</v>
      </c>
      <c r="L2814" s="24">
        <v>0</v>
      </c>
      <c r="M2814" s="24">
        <f>J2814-L2814</f>
        <v>0</v>
      </c>
      <c r="N2814" s="53" t="str">
        <f>IF(J2814&lt;&gt;0,M2814/J2814,"")</f>
        <v/>
      </c>
      <c r="O2814" s="23">
        <v>355.74</v>
      </c>
      <c r="P2814" s="25">
        <v>150</v>
      </c>
      <c r="Q2814" s="24">
        <v>192.03</v>
      </c>
      <c r="R2814" s="24">
        <f>O2814-Q2814</f>
        <v>163.71</v>
      </c>
      <c r="S2814" s="53">
        <f>IF(O2814&lt;&gt;0,R2814/O2814,"")</f>
        <v>0.46019564850733685</v>
      </c>
      <c r="T2814" s="10"/>
      <c r="U2814" s="23">
        <v>341.51</v>
      </c>
      <c r="V2814" s="25">
        <v>144</v>
      </c>
      <c r="W2814" s="24">
        <v>184.35</v>
      </c>
      <c r="X2814" s="24">
        <f>U2814-W2814</f>
        <v>157.16</v>
      </c>
      <c r="Y2814" s="53">
        <f>IF(U2814&lt;&gt;0,X2814/U2814,"")</f>
        <v>0.46019150244502355</v>
      </c>
      <c r="Z2814" s="23">
        <v>0</v>
      </c>
      <c r="AA2814" s="25">
        <v>0</v>
      </c>
      <c r="AB2814" s="24">
        <v>0</v>
      </c>
      <c r="AC2814" s="24">
        <f t="shared" si="773"/>
        <v>0</v>
      </c>
      <c r="AD2814" s="53" t="str">
        <f t="shared" si="774"/>
        <v/>
      </c>
      <c r="AE2814" s="10"/>
    </row>
    <row r="2815" spans="1:31" x14ac:dyDescent="0.25">
      <c r="A2815" s="14" t="s">
        <v>109</v>
      </c>
      <c r="C2815" s="61" t="str">
        <f t="shared" si="772"/>
        <v>C100140</v>
      </c>
      <c r="F2815" s="8" t="str">
        <f>"E100028"</f>
        <v>E100028</v>
      </c>
      <c r="G2815" s="9" t="str">
        <f>"USB 4-Port Hub"</f>
        <v>USB 4-Port Hub</v>
      </c>
      <c r="H2815" s="47"/>
      <c r="I2815" s="47"/>
      <c r="J2815" s="23">
        <v>135.48000000000002</v>
      </c>
      <c r="K2815" s="25">
        <v>48</v>
      </c>
      <c r="L2815" s="24">
        <v>89.3</v>
      </c>
      <c r="M2815" s="24">
        <f>J2815-L2815</f>
        <v>46.180000000000021</v>
      </c>
      <c r="N2815" s="53">
        <f>IF(J2815&lt;&gt;0,M2815/J2815,"")</f>
        <v>0.34086211987009163</v>
      </c>
      <c r="O2815" s="23">
        <v>812.8599999999999</v>
      </c>
      <c r="P2815" s="25">
        <v>288</v>
      </c>
      <c r="Q2815" s="24">
        <v>535.82000000000005</v>
      </c>
      <c r="R2815" s="24">
        <f>O2815-Q2815</f>
        <v>277.03999999999985</v>
      </c>
      <c r="S2815" s="53">
        <f>IF(O2815&lt;&gt;0,R2815/O2815,"")</f>
        <v>0.34082129764042995</v>
      </c>
      <c r="T2815" s="10"/>
      <c r="U2815" s="23">
        <v>409.25000000000006</v>
      </c>
      <c r="V2815" s="25">
        <v>145</v>
      </c>
      <c r="W2815" s="24">
        <v>269.77000000000004</v>
      </c>
      <c r="X2815" s="24">
        <f>U2815-W2815</f>
        <v>139.48000000000002</v>
      </c>
      <c r="Y2815" s="53">
        <f>IF(U2815&lt;&gt;0,X2815/U2815,"")</f>
        <v>0.34081857055589493</v>
      </c>
      <c r="Z2815" s="23">
        <v>0</v>
      </c>
      <c r="AA2815" s="25">
        <v>0</v>
      </c>
      <c r="AB2815" s="24">
        <v>0</v>
      </c>
      <c r="AC2815" s="24">
        <f t="shared" si="773"/>
        <v>0</v>
      </c>
      <c r="AD2815" s="53" t="str">
        <f t="shared" si="774"/>
        <v/>
      </c>
      <c r="AE2815" s="10"/>
    </row>
    <row r="2816" spans="1:31" x14ac:dyDescent="0.25">
      <c r="A2816" s="14" t="s">
        <v>109</v>
      </c>
      <c r="C2816" s="61" t="str">
        <f t="shared" si="772"/>
        <v>C100140</v>
      </c>
      <c r="F2816" s="8" t="str">
        <f>"E100029"</f>
        <v>E100029</v>
      </c>
      <c r="G2816" s="9" t="str">
        <f>"LED Flex Light"</f>
        <v>LED Flex Light</v>
      </c>
      <c r="H2816" s="47"/>
      <c r="I2816" s="47"/>
      <c r="J2816" s="23">
        <v>407.84</v>
      </c>
      <c r="K2816" s="25">
        <v>144</v>
      </c>
      <c r="L2816" s="24">
        <v>241.84000000000003</v>
      </c>
      <c r="M2816" s="24">
        <f>J2816-L2816</f>
        <v>165.99999999999994</v>
      </c>
      <c r="N2816" s="53">
        <f>IF(J2816&lt;&gt;0,M2816/J2816,"")</f>
        <v>0.40702236171047457</v>
      </c>
      <c r="O2816" s="23">
        <v>407.84</v>
      </c>
      <c r="P2816" s="25">
        <v>144</v>
      </c>
      <c r="Q2816" s="24">
        <v>241.84000000000003</v>
      </c>
      <c r="R2816" s="24">
        <f>O2816-Q2816</f>
        <v>165.99999999999994</v>
      </c>
      <c r="S2816" s="53">
        <f>IF(O2816&lt;&gt;0,R2816/O2816,"")</f>
        <v>0.40702236171047457</v>
      </c>
      <c r="T2816" s="10"/>
      <c r="U2816" s="23">
        <v>33.99</v>
      </c>
      <c r="V2816" s="25">
        <v>12</v>
      </c>
      <c r="W2816" s="24">
        <v>20.149999999999999</v>
      </c>
      <c r="X2816" s="24">
        <f>U2816-W2816</f>
        <v>13.840000000000003</v>
      </c>
      <c r="Y2816" s="53">
        <f>IF(U2816&lt;&gt;0,X2816/U2816,"")</f>
        <v>0.40717858193586359</v>
      </c>
      <c r="Z2816" s="23">
        <v>0</v>
      </c>
      <c r="AA2816" s="25">
        <v>0</v>
      </c>
      <c r="AB2816" s="24">
        <v>0</v>
      </c>
      <c r="AC2816" s="24">
        <f t="shared" si="773"/>
        <v>0</v>
      </c>
      <c r="AD2816" s="53" t="str">
        <f t="shared" si="774"/>
        <v/>
      </c>
      <c r="AE2816" s="10"/>
    </row>
    <row r="2817" spans="1:31" x14ac:dyDescent="0.25">
      <c r="A2817" s="14" t="s">
        <v>109</v>
      </c>
      <c r="C2817" s="61" t="str">
        <f t="shared" si="772"/>
        <v>C100140</v>
      </c>
      <c r="F2817" s="8" t="str">
        <f>"E100030"</f>
        <v>E100030</v>
      </c>
      <c r="G2817" s="9" t="str">
        <f>"LED Keychain"</f>
        <v>LED Keychain</v>
      </c>
      <c r="H2817" s="47"/>
      <c r="I2817" s="47"/>
      <c r="J2817" s="23">
        <v>23.76</v>
      </c>
      <c r="K2817" s="25">
        <v>25</v>
      </c>
      <c r="L2817" s="24">
        <v>12.51</v>
      </c>
      <c r="M2817" s="24">
        <f>J2817-L2817</f>
        <v>11.250000000000002</v>
      </c>
      <c r="N2817" s="53">
        <f>IF(J2817&lt;&gt;0,M2817/J2817,"")</f>
        <v>0.47348484848484851</v>
      </c>
      <c r="O2817" s="23">
        <v>5.7</v>
      </c>
      <c r="P2817" s="25">
        <v>6</v>
      </c>
      <c r="Q2817" s="24">
        <v>3</v>
      </c>
      <c r="R2817" s="24">
        <f>O2817-Q2817</f>
        <v>2.7</v>
      </c>
      <c r="S2817" s="53">
        <f>IF(O2817&lt;&gt;0,R2817/O2817,"")</f>
        <v>0.47368421052631582</v>
      </c>
      <c r="T2817" s="10"/>
      <c r="U2817" s="23">
        <v>136.88999999999999</v>
      </c>
      <c r="V2817" s="25">
        <v>144</v>
      </c>
      <c r="W2817" s="24">
        <v>72.05</v>
      </c>
      <c r="X2817" s="24">
        <f>U2817-W2817</f>
        <v>64.839999999999989</v>
      </c>
      <c r="Y2817" s="53">
        <f>IF(U2817&lt;&gt;0,X2817/U2817,"")</f>
        <v>0.47366498648549926</v>
      </c>
      <c r="Z2817" s="23">
        <v>273.77000000000004</v>
      </c>
      <c r="AA2817" s="25">
        <v>288</v>
      </c>
      <c r="AB2817" s="24">
        <v>144.10999999999999</v>
      </c>
      <c r="AC2817" s="24">
        <f t="shared" si="773"/>
        <v>129.66000000000005</v>
      </c>
      <c r="AD2817" s="53">
        <f t="shared" si="774"/>
        <v>0.47360923402856425</v>
      </c>
      <c r="AE2817" s="10"/>
    </row>
    <row r="2818" spans="1:31" x14ac:dyDescent="0.25">
      <c r="A2818" s="14" t="s">
        <v>109</v>
      </c>
      <c r="C2818" s="61" t="str">
        <f t="shared" si="772"/>
        <v>C100140</v>
      </c>
      <c r="F2818" s="8" t="str">
        <f>"E100031"</f>
        <v>E100031</v>
      </c>
      <c r="G2818" s="9" t="str">
        <f>"Ad Torch"</f>
        <v>Ad Torch</v>
      </c>
      <c r="H2818" s="47"/>
      <c r="I2818" s="47"/>
      <c r="J2818" s="23">
        <v>393.71999999999997</v>
      </c>
      <c r="K2818" s="25">
        <v>144</v>
      </c>
      <c r="L2818" s="24">
        <v>198.73000000000002</v>
      </c>
      <c r="M2818" s="24">
        <f>J2818-L2818</f>
        <v>194.98999999999995</v>
      </c>
      <c r="N2818" s="53">
        <f>IF(J2818&lt;&gt;0,M2818/J2818,"")</f>
        <v>0.49525043177892908</v>
      </c>
      <c r="O2818" s="23">
        <v>0</v>
      </c>
      <c r="P2818" s="25">
        <v>0</v>
      </c>
      <c r="Q2818" s="24">
        <v>0</v>
      </c>
      <c r="R2818" s="24">
        <f>O2818-Q2818</f>
        <v>0</v>
      </c>
      <c r="S2818" s="53" t="str">
        <f>IF(O2818&lt;&gt;0,R2818/O2818,"")</f>
        <v/>
      </c>
      <c r="T2818" s="10"/>
      <c r="U2818" s="23">
        <v>393.71999999999997</v>
      </c>
      <c r="V2818" s="25">
        <v>144</v>
      </c>
      <c r="W2818" s="24">
        <v>198.73000000000002</v>
      </c>
      <c r="X2818" s="24">
        <f>U2818-W2818</f>
        <v>194.98999999999995</v>
      </c>
      <c r="Y2818" s="53">
        <f>IF(U2818&lt;&gt;0,X2818/U2818,"")</f>
        <v>0.49525043177892908</v>
      </c>
      <c r="Z2818" s="23">
        <v>0</v>
      </c>
      <c r="AA2818" s="25">
        <v>0</v>
      </c>
      <c r="AB2818" s="24">
        <v>0</v>
      </c>
      <c r="AC2818" s="24">
        <f t="shared" si="773"/>
        <v>0</v>
      </c>
      <c r="AD2818" s="53" t="str">
        <f t="shared" si="774"/>
        <v/>
      </c>
      <c r="AE2818" s="10"/>
    </row>
    <row r="2819" spans="1:31" x14ac:dyDescent="0.25">
      <c r="A2819" s="14" t="s">
        <v>109</v>
      </c>
      <c r="C2819" s="61" t="str">
        <f t="shared" si="772"/>
        <v>C100140</v>
      </c>
      <c r="F2819" s="8" t="str">
        <f>"E100032"</f>
        <v>E100032</v>
      </c>
      <c r="G2819" s="9" t="str">
        <f>"Button Key-Light"</f>
        <v>Button Key-Light</v>
      </c>
      <c r="H2819" s="47"/>
      <c r="I2819" s="47"/>
      <c r="J2819" s="23">
        <v>96.460000000000008</v>
      </c>
      <c r="K2819" s="25">
        <v>193</v>
      </c>
      <c r="L2819" s="24">
        <v>63.699999999999996</v>
      </c>
      <c r="M2819" s="24">
        <f>J2819-L2819</f>
        <v>32.760000000000012</v>
      </c>
      <c r="N2819" s="53">
        <f>IF(J2819&lt;&gt;0,M2819/J2819,"")</f>
        <v>0.33962264150943405</v>
      </c>
      <c r="O2819" s="23">
        <v>72.47</v>
      </c>
      <c r="P2819" s="25">
        <v>145</v>
      </c>
      <c r="Q2819" s="24">
        <v>47.859999999999992</v>
      </c>
      <c r="R2819" s="24">
        <f>O2819-Q2819</f>
        <v>24.610000000000007</v>
      </c>
      <c r="S2819" s="53">
        <f>IF(O2819&lt;&gt;0,R2819/O2819,"")</f>
        <v>0.33958879536359882</v>
      </c>
      <c r="T2819" s="10"/>
      <c r="U2819" s="23">
        <v>0</v>
      </c>
      <c r="V2819" s="25">
        <v>0</v>
      </c>
      <c r="W2819" s="24">
        <v>0</v>
      </c>
      <c r="X2819" s="24">
        <f>U2819-W2819</f>
        <v>0</v>
      </c>
      <c r="Y2819" s="53" t="str">
        <f>IF(U2819&lt;&gt;0,X2819/U2819,"")</f>
        <v/>
      </c>
      <c r="Z2819" s="23">
        <v>0.5</v>
      </c>
      <c r="AA2819" s="25">
        <v>1</v>
      </c>
      <c r="AB2819" s="24">
        <v>0.33</v>
      </c>
      <c r="AC2819" s="24">
        <f t="shared" si="773"/>
        <v>0.16999999999999998</v>
      </c>
      <c r="AD2819" s="53">
        <f t="shared" si="774"/>
        <v>0.33999999999999997</v>
      </c>
      <c r="AE2819" s="10"/>
    </row>
    <row r="2820" spans="1:31" x14ac:dyDescent="0.25">
      <c r="A2820" s="14" t="s">
        <v>109</v>
      </c>
      <c r="C2820" s="61" t="str">
        <f t="shared" si="772"/>
        <v>C100140</v>
      </c>
      <c r="F2820" s="8" t="str">
        <f>"E100033"</f>
        <v>E100033</v>
      </c>
      <c r="G2820" s="9" t="str">
        <f>"Dual Source Flashlight"</f>
        <v>Dual Source Flashlight</v>
      </c>
      <c r="H2820" s="47"/>
      <c r="I2820" s="47"/>
      <c r="J2820" s="23">
        <v>3.21</v>
      </c>
      <c r="K2820" s="25">
        <v>1</v>
      </c>
      <c r="L2820" s="24">
        <v>1.56</v>
      </c>
      <c r="M2820" s="24">
        <f>J2820-L2820</f>
        <v>1.65</v>
      </c>
      <c r="N2820" s="53">
        <f>IF(J2820&lt;&gt;0,M2820/J2820,"")</f>
        <v>0.51401869158878499</v>
      </c>
      <c r="O2820" s="23">
        <v>0</v>
      </c>
      <c r="P2820" s="25">
        <v>0</v>
      </c>
      <c r="Q2820" s="24">
        <v>0</v>
      </c>
      <c r="R2820" s="24">
        <f>O2820-Q2820</f>
        <v>0</v>
      </c>
      <c r="S2820" s="53" t="str">
        <f>IF(O2820&lt;&gt;0,R2820/O2820,"")</f>
        <v/>
      </c>
      <c r="T2820" s="10"/>
      <c r="U2820" s="23">
        <v>462.87</v>
      </c>
      <c r="V2820" s="25">
        <v>144</v>
      </c>
      <c r="W2820" s="24">
        <v>224.60000000000002</v>
      </c>
      <c r="X2820" s="24">
        <f>U2820-W2820</f>
        <v>238.26999999999998</v>
      </c>
      <c r="Y2820" s="53">
        <f>IF(U2820&lt;&gt;0,X2820/U2820,"")</f>
        <v>0.51476656512627728</v>
      </c>
      <c r="Z2820" s="23">
        <v>462.87</v>
      </c>
      <c r="AA2820" s="25">
        <v>144</v>
      </c>
      <c r="AB2820" s="24">
        <v>224.60000000000002</v>
      </c>
      <c r="AC2820" s="24">
        <f t="shared" si="773"/>
        <v>238.26999999999998</v>
      </c>
      <c r="AD2820" s="53">
        <f t="shared" si="774"/>
        <v>0.51476656512627728</v>
      </c>
      <c r="AE2820" s="10"/>
    </row>
    <row r="2821" spans="1:31" x14ac:dyDescent="0.25">
      <c r="A2821" s="14" t="s">
        <v>109</v>
      </c>
      <c r="C2821" s="61" t="str">
        <f t="shared" si="772"/>
        <v>C100140</v>
      </c>
      <c r="F2821" s="8" t="str">
        <f>"E100034"</f>
        <v>E100034</v>
      </c>
      <c r="G2821" s="9" t="str">
        <f>"Bamboo 1GB USB Flash Drive"</f>
        <v>Bamboo 1GB USB Flash Drive</v>
      </c>
      <c r="H2821" s="47"/>
      <c r="I2821" s="47"/>
      <c r="J2821" s="23">
        <v>0</v>
      </c>
      <c r="K2821" s="25">
        <v>0</v>
      </c>
      <c r="L2821" s="24">
        <v>0</v>
      </c>
      <c r="M2821" s="24">
        <f>J2821-L2821</f>
        <v>0</v>
      </c>
      <c r="N2821" s="53" t="str">
        <f>IF(J2821&lt;&gt;0,M2821/J2821,"")</f>
        <v/>
      </c>
      <c r="O2821" s="23">
        <v>3279.63</v>
      </c>
      <c r="P2821" s="25">
        <v>576</v>
      </c>
      <c r="Q2821" s="24">
        <v>1555.32</v>
      </c>
      <c r="R2821" s="24">
        <f>O2821-Q2821</f>
        <v>1724.3100000000002</v>
      </c>
      <c r="S2821" s="53">
        <f>IF(O2821&lt;&gt;0,R2821/O2821,"")</f>
        <v>0.52576357698886766</v>
      </c>
      <c r="T2821" s="10"/>
      <c r="U2821" s="23">
        <v>0</v>
      </c>
      <c r="V2821" s="25">
        <v>0</v>
      </c>
      <c r="W2821" s="24">
        <v>0</v>
      </c>
      <c r="X2821" s="24">
        <f>U2821-W2821</f>
        <v>0</v>
      </c>
      <c r="Y2821" s="53" t="str">
        <f>IF(U2821&lt;&gt;0,X2821/U2821,"")</f>
        <v/>
      </c>
      <c r="Z2821" s="23">
        <v>0</v>
      </c>
      <c r="AA2821" s="25">
        <v>0</v>
      </c>
      <c r="AB2821" s="24">
        <v>0</v>
      </c>
      <c r="AC2821" s="24">
        <f t="shared" si="773"/>
        <v>0</v>
      </c>
      <c r="AD2821" s="53" t="str">
        <f t="shared" si="774"/>
        <v/>
      </c>
      <c r="AE2821" s="10"/>
    </row>
    <row r="2822" spans="1:31" x14ac:dyDescent="0.25">
      <c r="A2822" s="14" t="s">
        <v>109</v>
      </c>
      <c r="C2822" s="61" t="str">
        <f t="shared" si="772"/>
        <v>C100140</v>
      </c>
      <c r="F2822" s="8" t="str">
        <f>"E100039"</f>
        <v>E100039</v>
      </c>
      <c r="G2822" s="9" t="str">
        <f>"Campfire Mug"</f>
        <v>Campfire Mug</v>
      </c>
      <c r="H2822" s="47"/>
      <c r="I2822" s="47"/>
      <c r="J2822" s="23">
        <v>485.46000000000004</v>
      </c>
      <c r="K2822" s="25">
        <v>288</v>
      </c>
      <c r="L2822" s="24">
        <v>322.72000000000003</v>
      </c>
      <c r="M2822" s="24">
        <f>J2822-L2822</f>
        <v>162.74</v>
      </c>
      <c r="N2822" s="53">
        <f>IF(J2822&lt;&gt;0,M2822/J2822,"")</f>
        <v>0.33522844312610717</v>
      </c>
      <c r="O2822" s="23">
        <v>0</v>
      </c>
      <c r="P2822" s="25">
        <v>0</v>
      </c>
      <c r="Q2822" s="24">
        <v>0</v>
      </c>
      <c r="R2822" s="24">
        <f>O2822-Q2822</f>
        <v>0</v>
      </c>
      <c r="S2822" s="53" t="str">
        <f>IF(O2822&lt;&gt;0,R2822/O2822,"")</f>
        <v/>
      </c>
      <c r="T2822" s="10"/>
      <c r="U2822" s="23">
        <v>485.46000000000004</v>
      </c>
      <c r="V2822" s="25">
        <v>288</v>
      </c>
      <c r="W2822" s="24">
        <v>322.72000000000003</v>
      </c>
      <c r="X2822" s="24">
        <f>U2822-W2822</f>
        <v>162.74</v>
      </c>
      <c r="Y2822" s="53">
        <f>IF(U2822&lt;&gt;0,X2822/U2822,"")</f>
        <v>0.33522844312610717</v>
      </c>
      <c r="Z2822" s="23">
        <v>0</v>
      </c>
      <c r="AA2822" s="25">
        <v>0</v>
      </c>
      <c r="AB2822" s="24">
        <v>0</v>
      </c>
      <c r="AC2822" s="24">
        <f t="shared" si="773"/>
        <v>0</v>
      </c>
      <c r="AD2822" s="53" t="str">
        <f t="shared" si="774"/>
        <v/>
      </c>
      <c r="AE2822" s="10"/>
    </row>
    <row r="2823" spans="1:31" x14ac:dyDescent="0.25">
      <c r="A2823" s="14" t="s">
        <v>109</v>
      </c>
      <c r="C2823" s="61" t="str">
        <f t="shared" si="772"/>
        <v>C100140</v>
      </c>
      <c r="F2823" s="8" t="str">
        <f>"E100040"</f>
        <v>E100040</v>
      </c>
      <c r="G2823" s="9" t="str">
        <f>"Wave Mug"</f>
        <v>Wave Mug</v>
      </c>
      <c r="H2823" s="47"/>
      <c r="I2823" s="47"/>
      <c r="J2823" s="23">
        <v>9.94</v>
      </c>
      <c r="K2823" s="25">
        <v>6</v>
      </c>
      <c r="L2823" s="24">
        <v>6.72</v>
      </c>
      <c r="M2823" s="24">
        <f>J2823-L2823</f>
        <v>3.2199999999999998</v>
      </c>
      <c r="N2823" s="53">
        <f>IF(J2823&lt;&gt;0,M2823/J2823,"")</f>
        <v>0.323943661971831</v>
      </c>
      <c r="O2823" s="23">
        <v>79.5</v>
      </c>
      <c r="P2823" s="25">
        <v>48</v>
      </c>
      <c r="Q2823" s="24">
        <v>53.79</v>
      </c>
      <c r="R2823" s="24">
        <f>O2823-Q2823</f>
        <v>25.71</v>
      </c>
      <c r="S2823" s="53">
        <f>IF(O2823&lt;&gt;0,R2823/O2823,"")</f>
        <v>0.32339622641509436</v>
      </c>
      <c r="T2823" s="10"/>
      <c r="U2823" s="23">
        <v>0</v>
      </c>
      <c r="V2823" s="25">
        <v>0</v>
      </c>
      <c r="W2823" s="24">
        <v>0</v>
      </c>
      <c r="X2823" s="24">
        <f>U2823-W2823</f>
        <v>0</v>
      </c>
      <c r="Y2823" s="53" t="str">
        <f>IF(U2823&lt;&gt;0,X2823/U2823,"")</f>
        <v/>
      </c>
      <c r="Z2823" s="23">
        <v>0</v>
      </c>
      <c r="AA2823" s="25">
        <v>0</v>
      </c>
      <c r="AB2823" s="24">
        <v>0</v>
      </c>
      <c r="AC2823" s="24">
        <f t="shared" si="773"/>
        <v>0</v>
      </c>
      <c r="AD2823" s="53" t="str">
        <f t="shared" si="774"/>
        <v/>
      </c>
      <c r="AE2823" s="10"/>
    </row>
    <row r="2824" spans="1:31" x14ac:dyDescent="0.25">
      <c r="A2824" s="14" t="s">
        <v>109</v>
      </c>
      <c r="C2824" s="61" t="str">
        <f t="shared" si="772"/>
        <v>C100140</v>
      </c>
      <c r="F2824" s="8" t="str">
        <f>"E100041"</f>
        <v>E100041</v>
      </c>
      <c r="G2824" s="9" t="str">
        <f>"Biodegradable Colored SPORT BOT"</f>
        <v>Biodegradable Colored SPORT BOT</v>
      </c>
      <c r="H2824" s="47"/>
      <c r="I2824" s="47"/>
      <c r="J2824" s="23">
        <v>617.37</v>
      </c>
      <c r="K2824" s="25">
        <v>913</v>
      </c>
      <c r="L2824" s="24">
        <v>392.46</v>
      </c>
      <c r="M2824" s="24">
        <f>J2824-L2824</f>
        <v>224.91000000000003</v>
      </c>
      <c r="N2824" s="53">
        <f>IF(J2824&lt;&gt;0,M2824/J2824,"")</f>
        <v>0.36430341610379519</v>
      </c>
      <c r="O2824" s="23">
        <v>194.73999999999998</v>
      </c>
      <c r="P2824" s="25">
        <v>288</v>
      </c>
      <c r="Q2824" s="24">
        <v>123.80000000000001</v>
      </c>
      <c r="R2824" s="24">
        <f>O2824-Q2824</f>
        <v>70.939999999999969</v>
      </c>
      <c r="S2824" s="53">
        <f>IF(O2824&lt;&gt;0,R2824/O2824,"")</f>
        <v>0.36428057923385015</v>
      </c>
      <c r="T2824" s="10"/>
      <c r="U2824" s="23">
        <v>2.0299999999999998</v>
      </c>
      <c r="V2824" s="25">
        <v>3</v>
      </c>
      <c r="W2824" s="24">
        <v>1.29</v>
      </c>
      <c r="X2824" s="24">
        <f>U2824-W2824</f>
        <v>0.73999999999999977</v>
      </c>
      <c r="Y2824" s="53">
        <f>IF(U2824&lt;&gt;0,X2824/U2824,"")</f>
        <v>0.36453201970443344</v>
      </c>
      <c r="Z2824" s="23">
        <v>97.36999999999999</v>
      </c>
      <c r="AA2824" s="25">
        <v>144</v>
      </c>
      <c r="AB2824" s="24">
        <v>61.900000000000006</v>
      </c>
      <c r="AC2824" s="24">
        <f t="shared" si="773"/>
        <v>35.469999999999985</v>
      </c>
      <c r="AD2824" s="53">
        <f t="shared" si="774"/>
        <v>0.36428057923385015</v>
      </c>
      <c r="AE2824" s="10"/>
    </row>
    <row r="2825" spans="1:31" x14ac:dyDescent="0.25">
      <c r="A2825" s="14" t="s">
        <v>109</v>
      </c>
      <c r="C2825" s="61" t="str">
        <f t="shared" si="772"/>
        <v>C100140</v>
      </c>
      <c r="F2825" s="8" t="str">
        <f>"E100042"</f>
        <v>E100042</v>
      </c>
      <c r="G2825" s="9" t="str">
        <f>"Soft Touch Travel Mug"</f>
        <v>Soft Touch Travel Mug</v>
      </c>
      <c r="H2825" s="47"/>
      <c r="I2825" s="47"/>
      <c r="J2825" s="23">
        <v>1638.3899999999999</v>
      </c>
      <c r="K2825" s="25">
        <v>432</v>
      </c>
      <c r="L2825" s="24">
        <v>929.04000000000008</v>
      </c>
      <c r="M2825" s="24">
        <f>J2825-L2825</f>
        <v>709.3499999999998</v>
      </c>
      <c r="N2825" s="53">
        <f>IF(J2825&lt;&gt;0,M2825/J2825,"")</f>
        <v>0.43295552341017696</v>
      </c>
      <c r="O2825" s="23">
        <v>0</v>
      </c>
      <c r="P2825" s="25">
        <v>0</v>
      </c>
      <c r="Q2825" s="24">
        <v>0</v>
      </c>
      <c r="R2825" s="24">
        <f>O2825-Q2825</f>
        <v>0</v>
      </c>
      <c r="S2825" s="53" t="str">
        <f>IF(O2825&lt;&gt;0,R2825/O2825,"")</f>
        <v/>
      </c>
      <c r="T2825" s="10"/>
      <c r="U2825" s="23">
        <v>0</v>
      </c>
      <c r="V2825" s="25">
        <v>0</v>
      </c>
      <c r="W2825" s="24">
        <v>0</v>
      </c>
      <c r="X2825" s="24">
        <f>U2825-W2825</f>
        <v>0</v>
      </c>
      <c r="Y2825" s="53" t="str">
        <f>IF(U2825&lt;&gt;0,X2825/U2825,"")</f>
        <v/>
      </c>
      <c r="Z2825" s="23">
        <v>0</v>
      </c>
      <c r="AA2825" s="25">
        <v>0</v>
      </c>
      <c r="AB2825" s="24">
        <v>0</v>
      </c>
      <c r="AC2825" s="24">
        <f t="shared" si="773"/>
        <v>0</v>
      </c>
      <c r="AD2825" s="53" t="str">
        <f t="shared" si="774"/>
        <v/>
      </c>
      <c r="AE2825" s="10"/>
    </row>
    <row r="2826" spans="1:31" x14ac:dyDescent="0.25">
      <c r="A2826" s="14" t="s">
        <v>109</v>
      </c>
      <c r="C2826" s="61" t="str">
        <f t="shared" si="772"/>
        <v>C100140</v>
      </c>
      <c r="F2826" s="8" t="str">
        <f>"E100043"</f>
        <v>E100043</v>
      </c>
      <c r="G2826" s="9" t="str">
        <f>"Pub Glass"</f>
        <v>Pub Glass</v>
      </c>
      <c r="H2826" s="47"/>
      <c r="I2826" s="47"/>
      <c r="J2826" s="23">
        <v>0</v>
      </c>
      <c r="K2826" s="25">
        <v>0</v>
      </c>
      <c r="L2826" s="24">
        <v>0</v>
      </c>
      <c r="M2826" s="24">
        <f>J2826-L2826</f>
        <v>0</v>
      </c>
      <c r="N2826" s="53" t="str">
        <f>IF(J2826&lt;&gt;0,M2826/J2826,"")</f>
        <v/>
      </c>
      <c r="O2826" s="23">
        <v>200.39000000000001</v>
      </c>
      <c r="P2826" s="25">
        <v>144</v>
      </c>
      <c r="Q2826" s="24">
        <v>133.94999999999999</v>
      </c>
      <c r="R2826" s="24">
        <f>O2826-Q2826</f>
        <v>66.440000000000026</v>
      </c>
      <c r="S2826" s="53">
        <f>IF(O2826&lt;&gt;0,R2826/O2826,"")</f>
        <v>0.33155347073207259</v>
      </c>
      <c r="T2826" s="10"/>
      <c r="U2826" s="23">
        <v>402.17</v>
      </c>
      <c r="V2826" s="25">
        <v>289</v>
      </c>
      <c r="W2826" s="24">
        <v>268.83000000000004</v>
      </c>
      <c r="X2826" s="24">
        <f>U2826-W2826</f>
        <v>133.33999999999997</v>
      </c>
      <c r="Y2826" s="53">
        <f>IF(U2826&lt;&gt;0,X2826/U2826,"")</f>
        <v>0.33155133401297954</v>
      </c>
      <c r="Z2826" s="23">
        <v>0</v>
      </c>
      <c r="AA2826" s="25">
        <v>0</v>
      </c>
      <c r="AB2826" s="24">
        <v>0</v>
      </c>
      <c r="AC2826" s="24">
        <f t="shared" si="773"/>
        <v>0</v>
      </c>
      <c r="AD2826" s="53" t="str">
        <f t="shared" si="774"/>
        <v/>
      </c>
      <c r="AE2826" s="10"/>
    </row>
    <row r="2827" spans="1:31" x14ac:dyDescent="0.25">
      <c r="A2827" s="14" t="s">
        <v>109</v>
      </c>
      <c r="C2827" s="61" t="str">
        <f t="shared" si="772"/>
        <v>C100140</v>
      </c>
      <c r="F2827" s="8" t="str">
        <f>"E100044"</f>
        <v>E100044</v>
      </c>
      <c r="G2827" s="9" t="str">
        <f>"Juice Glass"</f>
        <v>Juice Glass</v>
      </c>
      <c r="H2827" s="47"/>
      <c r="I2827" s="47"/>
      <c r="J2827" s="23">
        <v>246.69</v>
      </c>
      <c r="K2827" s="25">
        <v>434</v>
      </c>
      <c r="L2827" s="24">
        <v>165.19</v>
      </c>
      <c r="M2827" s="24">
        <f>J2827-L2827</f>
        <v>81.5</v>
      </c>
      <c r="N2827" s="53">
        <f>IF(J2827&lt;&gt;0,M2827/J2827,"")</f>
        <v>0.3303741537962625</v>
      </c>
      <c r="O2827" s="23">
        <v>0</v>
      </c>
      <c r="P2827" s="25">
        <v>0</v>
      </c>
      <c r="Q2827" s="24">
        <v>0</v>
      </c>
      <c r="R2827" s="24">
        <f>O2827-Q2827</f>
        <v>0</v>
      </c>
      <c r="S2827" s="53" t="str">
        <f>IF(O2827&lt;&gt;0,R2827/O2827,"")</f>
        <v/>
      </c>
      <c r="T2827" s="10"/>
      <c r="U2827" s="23">
        <v>82.42</v>
      </c>
      <c r="V2827" s="25">
        <v>145</v>
      </c>
      <c r="W2827" s="24">
        <v>55.190000000000005</v>
      </c>
      <c r="X2827" s="24">
        <f>U2827-W2827</f>
        <v>27.229999999999997</v>
      </c>
      <c r="Y2827" s="53">
        <f>IF(U2827&lt;&gt;0,X2827/U2827,"")</f>
        <v>0.33038097549138556</v>
      </c>
      <c r="Z2827" s="23">
        <v>81.849999999999994</v>
      </c>
      <c r="AA2827" s="25">
        <v>144</v>
      </c>
      <c r="AB2827" s="24">
        <v>54.809999999999995</v>
      </c>
      <c r="AC2827" s="24">
        <f t="shared" si="773"/>
        <v>27.04</v>
      </c>
      <c r="AD2827" s="53">
        <f t="shared" si="774"/>
        <v>0.33036041539401345</v>
      </c>
      <c r="AE2827" s="10"/>
    </row>
    <row r="2828" spans="1:31" x14ac:dyDescent="0.25">
      <c r="A2828" s="14" t="s">
        <v>109</v>
      </c>
      <c r="C2828" s="61" t="str">
        <f t="shared" si="772"/>
        <v>C100140</v>
      </c>
      <c r="F2828" s="8" t="str">
        <f>"E100045"</f>
        <v>E100045</v>
      </c>
      <c r="G2828" s="9" t="str">
        <f>"Flute"</f>
        <v>Flute</v>
      </c>
      <c r="H2828" s="47"/>
      <c r="I2828" s="47"/>
      <c r="J2828" s="23">
        <v>0.97</v>
      </c>
      <c r="K2828" s="25">
        <v>1</v>
      </c>
      <c r="L2828" s="24">
        <v>0.62</v>
      </c>
      <c r="M2828" s="24">
        <f>J2828-L2828</f>
        <v>0.35</v>
      </c>
      <c r="N2828" s="53">
        <f>IF(J2828&lt;&gt;0,M2828/J2828,"")</f>
        <v>0.36082474226804123</v>
      </c>
      <c r="O2828" s="23">
        <v>419.13000000000005</v>
      </c>
      <c r="P2828" s="25">
        <v>432</v>
      </c>
      <c r="Q2828" s="24">
        <v>267.89999999999998</v>
      </c>
      <c r="R2828" s="24">
        <f>O2828-Q2828</f>
        <v>151.23000000000008</v>
      </c>
      <c r="S2828" s="53">
        <f>IF(O2828&lt;&gt;0,R2828/O2828,"")</f>
        <v>0.36081883902369205</v>
      </c>
      <c r="T2828" s="10"/>
      <c r="U2828" s="23">
        <v>279.41999999999996</v>
      </c>
      <c r="V2828" s="25">
        <v>288</v>
      </c>
      <c r="W2828" s="24">
        <v>178.6</v>
      </c>
      <c r="X2828" s="24">
        <f>U2828-W2828</f>
        <v>100.81999999999996</v>
      </c>
      <c r="Y2828" s="53">
        <f>IF(U2828&lt;&gt;0,X2828/U2828,"")</f>
        <v>0.36081883902369188</v>
      </c>
      <c r="Z2828" s="23">
        <v>139.70999999999998</v>
      </c>
      <c r="AA2828" s="25">
        <v>144</v>
      </c>
      <c r="AB2828" s="24">
        <v>89.3</v>
      </c>
      <c r="AC2828" s="24">
        <f t="shared" si="773"/>
        <v>50.409999999999982</v>
      </c>
      <c r="AD2828" s="53">
        <f t="shared" si="774"/>
        <v>0.36081883902369188</v>
      </c>
      <c r="AE2828" s="10"/>
    </row>
    <row r="2829" spans="1:31" x14ac:dyDescent="0.25">
      <c r="A2829" s="14" t="s">
        <v>109</v>
      </c>
      <c r="C2829" s="61" t="str">
        <f t="shared" si="772"/>
        <v>C100140</v>
      </c>
      <c r="F2829" s="8" t="str">
        <f>"E100046"</f>
        <v>E100046</v>
      </c>
      <c r="G2829" s="9" t="str">
        <f>"Milk Bottle"</f>
        <v>Milk Bottle</v>
      </c>
      <c r="H2829" s="47"/>
      <c r="I2829" s="47"/>
      <c r="J2829" s="23">
        <v>524.97</v>
      </c>
      <c r="K2829" s="25">
        <v>288</v>
      </c>
      <c r="L2829" s="24">
        <v>299.33</v>
      </c>
      <c r="M2829" s="24">
        <f>J2829-L2829</f>
        <v>225.64000000000004</v>
      </c>
      <c r="N2829" s="53">
        <f>IF(J2829&lt;&gt;0,M2829/J2829,"")</f>
        <v>0.42981503704973623</v>
      </c>
      <c r="O2829" s="23">
        <v>0</v>
      </c>
      <c r="P2829" s="25">
        <v>0</v>
      </c>
      <c r="Q2829" s="24">
        <v>0</v>
      </c>
      <c r="R2829" s="24">
        <f>O2829-Q2829</f>
        <v>0</v>
      </c>
      <c r="S2829" s="53" t="str">
        <f>IF(O2829&lt;&gt;0,R2829/O2829,"")</f>
        <v/>
      </c>
      <c r="T2829" s="10"/>
      <c r="U2829" s="23">
        <v>262.47999999999996</v>
      </c>
      <c r="V2829" s="25">
        <v>144</v>
      </c>
      <c r="W2829" s="24">
        <v>149.67000000000002</v>
      </c>
      <c r="X2829" s="24">
        <f>U2829-W2829</f>
        <v>112.80999999999995</v>
      </c>
      <c r="Y2829" s="53">
        <f>IF(U2829&lt;&gt;0,X2829/U2829,"")</f>
        <v>0.42978512648582734</v>
      </c>
      <c r="Z2829" s="23">
        <v>0</v>
      </c>
      <c r="AA2829" s="25">
        <v>0</v>
      </c>
      <c r="AB2829" s="24">
        <v>0</v>
      </c>
      <c r="AC2829" s="24">
        <f t="shared" si="773"/>
        <v>0</v>
      </c>
      <c r="AD2829" s="53" t="str">
        <f t="shared" si="774"/>
        <v/>
      </c>
      <c r="AE2829" s="10"/>
    </row>
    <row r="2830" spans="1:31" x14ac:dyDescent="0.25">
      <c r="A2830" s="14" t="s">
        <v>109</v>
      </c>
      <c r="C2830" s="61" t="str">
        <f t="shared" si="772"/>
        <v>C100140</v>
      </c>
      <c r="F2830" s="8" t="str">
        <f>"E100047"</f>
        <v>E100047</v>
      </c>
      <c r="G2830" s="9" t="str">
        <f>"Chardonnay Glass"</f>
        <v>Chardonnay Glass</v>
      </c>
      <c r="H2830" s="47"/>
      <c r="I2830" s="47"/>
      <c r="J2830" s="23">
        <v>518.61</v>
      </c>
      <c r="K2830" s="25">
        <v>294</v>
      </c>
      <c r="L2830" s="24">
        <v>308.7</v>
      </c>
      <c r="M2830" s="24">
        <f>J2830-L2830</f>
        <v>209.91000000000003</v>
      </c>
      <c r="N2830" s="53">
        <f>IF(J2830&lt;&gt;0,M2830/J2830,"")</f>
        <v>0.40475501822178517</v>
      </c>
      <c r="O2830" s="23">
        <v>1.76</v>
      </c>
      <c r="P2830" s="25">
        <v>1</v>
      </c>
      <c r="Q2830" s="24">
        <v>1.05</v>
      </c>
      <c r="R2830" s="24">
        <f>O2830-Q2830</f>
        <v>0.71</v>
      </c>
      <c r="S2830" s="53">
        <f>IF(O2830&lt;&gt;0,R2830/O2830,"")</f>
        <v>0.40340909090909088</v>
      </c>
      <c r="T2830" s="10"/>
      <c r="U2830" s="23">
        <v>95.250000000000014</v>
      </c>
      <c r="V2830" s="25">
        <v>54</v>
      </c>
      <c r="W2830" s="24">
        <v>56.7</v>
      </c>
      <c r="X2830" s="24">
        <f>U2830-W2830</f>
        <v>38.550000000000011</v>
      </c>
      <c r="Y2830" s="53">
        <f>IF(U2830&lt;&gt;0,X2830/U2830,"")</f>
        <v>0.40472440944881893</v>
      </c>
      <c r="Z2830" s="23">
        <v>84.67</v>
      </c>
      <c r="AA2830" s="25">
        <v>48</v>
      </c>
      <c r="AB2830" s="24">
        <v>50.4</v>
      </c>
      <c r="AC2830" s="24">
        <f t="shared" si="773"/>
        <v>34.270000000000003</v>
      </c>
      <c r="AD2830" s="53">
        <f t="shared" si="774"/>
        <v>0.40474784457304835</v>
      </c>
      <c r="AE2830" s="10"/>
    </row>
    <row r="2831" spans="1:31" x14ac:dyDescent="0.25">
      <c r="A2831" s="14" t="s">
        <v>109</v>
      </c>
      <c r="C2831" s="61" t="str">
        <f t="shared" si="772"/>
        <v>C100140</v>
      </c>
      <c r="F2831" s="8" t="str">
        <f>"S100011"</f>
        <v>S100011</v>
      </c>
      <c r="G2831" s="9" t="str">
        <f>"All Star Cap"</f>
        <v>All Star Cap</v>
      </c>
      <c r="H2831" s="47"/>
      <c r="I2831" s="47"/>
      <c r="J2831" s="23">
        <v>204.62</v>
      </c>
      <c r="K2831" s="25">
        <v>144</v>
      </c>
      <c r="L2831" s="24">
        <v>122.41</v>
      </c>
      <c r="M2831" s="24">
        <f>J2831-L2831</f>
        <v>82.210000000000008</v>
      </c>
      <c r="N2831" s="53">
        <f>IF(J2831&lt;&gt;0,M2831/J2831,"")</f>
        <v>0.40176913302707462</v>
      </c>
      <c r="O2831" s="23">
        <v>204.62</v>
      </c>
      <c r="P2831" s="25">
        <v>144</v>
      </c>
      <c r="Q2831" s="24">
        <v>122.41</v>
      </c>
      <c r="R2831" s="24">
        <f>O2831-Q2831</f>
        <v>82.210000000000008</v>
      </c>
      <c r="S2831" s="53">
        <f>IF(O2831&lt;&gt;0,R2831/O2831,"")</f>
        <v>0.40176913302707462</v>
      </c>
      <c r="T2831" s="10"/>
      <c r="U2831" s="23">
        <v>477.45000000000005</v>
      </c>
      <c r="V2831" s="25">
        <v>336</v>
      </c>
      <c r="W2831" s="24">
        <v>285.62</v>
      </c>
      <c r="X2831" s="24">
        <f>U2831-W2831</f>
        <v>191.83000000000004</v>
      </c>
      <c r="Y2831" s="53">
        <f>IF(U2831&lt;&gt;0,X2831/U2831,"")</f>
        <v>0.40178029112996128</v>
      </c>
      <c r="Z2831" s="23">
        <v>0</v>
      </c>
      <c r="AA2831" s="25">
        <v>0</v>
      </c>
      <c r="AB2831" s="24">
        <v>0</v>
      </c>
      <c r="AC2831" s="24">
        <f t="shared" si="773"/>
        <v>0</v>
      </c>
      <c r="AD2831" s="53" t="str">
        <f t="shared" si="774"/>
        <v/>
      </c>
      <c r="AE2831" s="10"/>
    </row>
    <row r="2832" spans="1:31" x14ac:dyDescent="0.25">
      <c r="A2832" s="14" t="s">
        <v>109</v>
      </c>
      <c r="C2832" s="61" t="str">
        <f t="shared" si="772"/>
        <v>C100140</v>
      </c>
      <c r="F2832" s="8" t="str">
        <f>"S100019"</f>
        <v>S100019</v>
      </c>
      <c r="G2832" s="9" t="str">
        <f>"Sportsman Bucket Hat"</f>
        <v>Sportsman Bucket Hat</v>
      </c>
      <c r="H2832" s="47"/>
      <c r="I2832" s="47"/>
      <c r="J2832" s="23">
        <v>755.7</v>
      </c>
      <c r="K2832" s="25">
        <v>168</v>
      </c>
      <c r="L2832" s="24">
        <v>408.25000000000006</v>
      </c>
      <c r="M2832" s="24">
        <f>J2832-L2832</f>
        <v>347.45</v>
      </c>
      <c r="N2832" s="53">
        <f>IF(J2832&lt;&gt;0,M2832/J2832,"")</f>
        <v>0.45977239645361911</v>
      </c>
      <c r="O2832" s="23">
        <v>0</v>
      </c>
      <c r="P2832" s="25">
        <v>0</v>
      </c>
      <c r="Q2832" s="24">
        <v>0</v>
      </c>
      <c r="R2832" s="24">
        <f>O2832-Q2832</f>
        <v>0</v>
      </c>
      <c r="S2832" s="53" t="str">
        <f>IF(O2832&lt;&gt;0,R2832/O2832,"")</f>
        <v/>
      </c>
      <c r="T2832" s="10"/>
      <c r="U2832" s="23">
        <v>647.74</v>
      </c>
      <c r="V2832" s="25">
        <v>144</v>
      </c>
      <c r="W2832" s="24">
        <v>349.93</v>
      </c>
      <c r="X2832" s="24">
        <f>U2832-W2832</f>
        <v>297.81</v>
      </c>
      <c r="Y2832" s="53">
        <f>IF(U2832&lt;&gt;0,X2832/U2832,"")</f>
        <v>0.45976780807113965</v>
      </c>
      <c r="Z2832" s="23">
        <v>0</v>
      </c>
      <c r="AA2832" s="25">
        <v>0</v>
      </c>
      <c r="AB2832" s="24">
        <v>0</v>
      </c>
      <c r="AC2832" s="24">
        <f t="shared" si="773"/>
        <v>0</v>
      </c>
      <c r="AD2832" s="53" t="str">
        <f t="shared" si="774"/>
        <v/>
      </c>
      <c r="AE2832" s="10"/>
    </row>
    <row r="2833" spans="1:31" x14ac:dyDescent="0.25">
      <c r="A2833" s="14" t="s">
        <v>109</v>
      </c>
      <c r="C2833" s="61" t="str">
        <f t="shared" si="772"/>
        <v>C100140</v>
      </c>
      <c r="F2833" s="8" t="str">
        <f>"S100020"</f>
        <v>S100020</v>
      </c>
      <c r="G2833" s="9" t="str">
        <f>"Super Sport Stopwatch"</f>
        <v>Super Sport Stopwatch</v>
      </c>
      <c r="H2833" s="47"/>
      <c r="I2833" s="47"/>
      <c r="J2833" s="23">
        <v>922.92000000000007</v>
      </c>
      <c r="K2833" s="25">
        <v>432</v>
      </c>
      <c r="L2833" s="24">
        <v>453.6</v>
      </c>
      <c r="M2833" s="24">
        <f>J2833-L2833</f>
        <v>469.32000000000005</v>
      </c>
      <c r="N2833" s="53">
        <f>IF(J2833&lt;&gt;0,M2833/J2833,"")</f>
        <v>0.50851644779612537</v>
      </c>
      <c r="O2833" s="23">
        <v>0</v>
      </c>
      <c r="P2833" s="25">
        <v>0</v>
      </c>
      <c r="Q2833" s="24">
        <v>0</v>
      </c>
      <c r="R2833" s="24">
        <f>O2833-Q2833</f>
        <v>0</v>
      </c>
      <c r="S2833" s="53" t="str">
        <f>IF(O2833&lt;&gt;0,R2833/O2833,"")</f>
        <v/>
      </c>
      <c r="T2833" s="10"/>
      <c r="U2833" s="23">
        <v>307.64</v>
      </c>
      <c r="V2833" s="25">
        <v>144</v>
      </c>
      <c r="W2833" s="24">
        <v>151.19999999999999</v>
      </c>
      <c r="X2833" s="24">
        <f>U2833-W2833</f>
        <v>156.44</v>
      </c>
      <c r="Y2833" s="53">
        <f>IF(U2833&lt;&gt;0,X2833/U2833,"")</f>
        <v>0.50851644779612537</v>
      </c>
      <c r="Z2833" s="23">
        <v>0</v>
      </c>
      <c r="AA2833" s="25">
        <v>0</v>
      </c>
      <c r="AB2833" s="24">
        <v>0</v>
      </c>
      <c r="AC2833" s="24">
        <f t="shared" si="773"/>
        <v>0</v>
      </c>
      <c r="AD2833" s="53" t="str">
        <f t="shared" si="774"/>
        <v/>
      </c>
      <c r="AE2833" s="10"/>
    </row>
    <row r="2834" spans="1:31" x14ac:dyDescent="0.25">
      <c r="A2834" s="14" t="s">
        <v>109</v>
      </c>
      <c r="C2834" s="61" t="str">
        <f t="shared" si="772"/>
        <v>C100140</v>
      </c>
      <c r="F2834" s="8" t="str">
        <f>"S100021"</f>
        <v>S100021</v>
      </c>
      <c r="G2834" s="9" t="str">
        <f>"Translucent Stopwatch"</f>
        <v>Translucent Stopwatch</v>
      </c>
      <c r="H2834" s="47"/>
      <c r="I2834" s="47"/>
      <c r="J2834" s="23">
        <v>1171.3</v>
      </c>
      <c r="K2834" s="25">
        <v>288</v>
      </c>
      <c r="L2834" s="24">
        <v>619.17999999999995</v>
      </c>
      <c r="M2834" s="24">
        <f>J2834-L2834</f>
        <v>552.12</v>
      </c>
      <c r="N2834" s="53">
        <f>IF(J2834&lt;&gt;0,M2834/J2834,"")</f>
        <v>0.47137368735592933</v>
      </c>
      <c r="O2834" s="23">
        <v>585.65</v>
      </c>
      <c r="P2834" s="25">
        <v>144</v>
      </c>
      <c r="Q2834" s="24">
        <v>309.58999999999997</v>
      </c>
      <c r="R2834" s="24">
        <f>O2834-Q2834</f>
        <v>276.06</v>
      </c>
      <c r="S2834" s="53">
        <f>IF(O2834&lt;&gt;0,R2834/O2834,"")</f>
        <v>0.47137368735592933</v>
      </c>
      <c r="T2834" s="10"/>
      <c r="U2834" s="23">
        <v>0</v>
      </c>
      <c r="V2834" s="25">
        <v>0</v>
      </c>
      <c r="W2834" s="24">
        <v>0</v>
      </c>
      <c r="X2834" s="24">
        <f>U2834-W2834</f>
        <v>0</v>
      </c>
      <c r="Y2834" s="53" t="str">
        <f>IF(U2834&lt;&gt;0,X2834/U2834,"")</f>
        <v/>
      </c>
      <c r="Z2834" s="23">
        <v>0</v>
      </c>
      <c r="AA2834" s="25">
        <v>0</v>
      </c>
      <c r="AB2834" s="24">
        <v>0</v>
      </c>
      <c r="AC2834" s="24">
        <f t="shared" si="773"/>
        <v>0</v>
      </c>
      <c r="AD2834" s="53" t="str">
        <f t="shared" si="774"/>
        <v/>
      </c>
      <c r="AE2834" s="10"/>
    </row>
    <row r="2835" spans="1:31" x14ac:dyDescent="0.25">
      <c r="A2835" s="14" t="s">
        <v>109</v>
      </c>
      <c r="C2835" s="61" t="str">
        <f t="shared" si="772"/>
        <v>C100140</v>
      </c>
      <c r="F2835" s="8" t="str">
        <f>"S100023"</f>
        <v>S100023</v>
      </c>
      <c r="G2835" s="9" t="str">
        <f>"Gripper SPORT BOT"</f>
        <v>Gripper SPORT BOT</v>
      </c>
      <c r="H2835" s="47"/>
      <c r="I2835" s="47"/>
      <c r="J2835" s="23">
        <v>563.61</v>
      </c>
      <c r="K2835" s="25">
        <v>289</v>
      </c>
      <c r="L2835" s="24">
        <v>286.14999999999998</v>
      </c>
      <c r="M2835" s="24">
        <f>J2835-L2835</f>
        <v>277.46000000000004</v>
      </c>
      <c r="N2835" s="53">
        <f>IF(J2835&lt;&gt;0,M2835/J2835,"")</f>
        <v>0.49229076843916897</v>
      </c>
      <c r="O2835" s="23">
        <v>280.83000000000004</v>
      </c>
      <c r="P2835" s="25">
        <v>144</v>
      </c>
      <c r="Q2835" s="24">
        <v>142.57999999999998</v>
      </c>
      <c r="R2835" s="24">
        <f>O2835-Q2835</f>
        <v>138.25000000000006</v>
      </c>
      <c r="S2835" s="53">
        <f>IF(O2835&lt;&gt;0,R2835/O2835,"")</f>
        <v>0.49229070968201416</v>
      </c>
      <c r="T2835" s="10"/>
      <c r="U2835" s="23">
        <v>280.83000000000004</v>
      </c>
      <c r="V2835" s="25">
        <v>144</v>
      </c>
      <c r="W2835" s="24">
        <v>142.57999999999998</v>
      </c>
      <c r="X2835" s="24">
        <f>U2835-W2835</f>
        <v>138.25000000000006</v>
      </c>
      <c r="Y2835" s="53">
        <f>IF(U2835&lt;&gt;0,X2835/U2835,"")</f>
        <v>0.49229070968201416</v>
      </c>
      <c r="Z2835" s="23">
        <v>280.83000000000004</v>
      </c>
      <c r="AA2835" s="25">
        <v>144</v>
      </c>
      <c r="AB2835" s="24">
        <v>142.57999999999998</v>
      </c>
      <c r="AC2835" s="24">
        <f t="shared" si="773"/>
        <v>138.25000000000006</v>
      </c>
      <c r="AD2835" s="53">
        <f t="shared" si="774"/>
        <v>0.49229070968201416</v>
      </c>
      <c r="AE2835" s="10"/>
    </row>
    <row r="2836" spans="1:31" x14ac:dyDescent="0.25">
      <c r="A2836" s="14" t="s">
        <v>109</v>
      </c>
      <c r="C2836" s="61" t="str">
        <f t="shared" si="772"/>
        <v>C100140</v>
      </c>
      <c r="F2836" s="8" t="str">
        <f>"S100024"</f>
        <v>S100024</v>
      </c>
      <c r="G2836" s="9" t="str">
        <f>"Aluminum SPORT BOT"</f>
        <v>Aluminum SPORT BOT</v>
      </c>
      <c r="H2836" s="47"/>
      <c r="I2836" s="47"/>
      <c r="J2836" s="23">
        <v>498.15</v>
      </c>
      <c r="K2836" s="25">
        <v>144</v>
      </c>
      <c r="L2836" s="24">
        <v>302.39999999999998</v>
      </c>
      <c r="M2836" s="24">
        <f>J2836-L2836</f>
        <v>195.75</v>
      </c>
      <c r="N2836" s="53">
        <f>IF(J2836&lt;&gt;0,M2836/J2836,"")</f>
        <v>0.39295392953929542</v>
      </c>
      <c r="O2836" s="23">
        <v>0</v>
      </c>
      <c r="P2836" s="25">
        <v>0</v>
      </c>
      <c r="Q2836" s="24">
        <v>0</v>
      </c>
      <c r="R2836" s="24">
        <f>O2836-Q2836</f>
        <v>0</v>
      </c>
      <c r="S2836" s="53" t="str">
        <f>IF(O2836&lt;&gt;0,R2836/O2836,"")</f>
        <v/>
      </c>
      <c r="T2836" s="10"/>
      <c r="U2836" s="23">
        <v>498.15</v>
      </c>
      <c r="V2836" s="25">
        <v>144</v>
      </c>
      <c r="W2836" s="24">
        <v>302.39999999999998</v>
      </c>
      <c r="X2836" s="24">
        <f>U2836-W2836</f>
        <v>195.75</v>
      </c>
      <c r="Y2836" s="53">
        <f>IF(U2836&lt;&gt;0,X2836/U2836,"")</f>
        <v>0.39295392953929542</v>
      </c>
      <c r="Z2836" s="23">
        <v>0</v>
      </c>
      <c r="AA2836" s="25">
        <v>0</v>
      </c>
      <c r="AB2836" s="24">
        <v>0</v>
      </c>
      <c r="AC2836" s="24">
        <f t="shared" si="773"/>
        <v>0</v>
      </c>
      <c r="AD2836" s="53" t="str">
        <f t="shared" si="774"/>
        <v/>
      </c>
      <c r="AE2836" s="10"/>
    </row>
    <row r="2837" spans="1:31" x14ac:dyDescent="0.25">
      <c r="A2837" s="14" t="s">
        <v>109</v>
      </c>
      <c r="C2837" s="61" t="str">
        <f t="shared" si="772"/>
        <v>C100140</v>
      </c>
      <c r="F2837" s="8" t="str">
        <f>"S100025"</f>
        <v>S100025</v>
      </c>
      <c r="G2837" s="9" t="str">
        <f>"SPORT BOT with Pop Lid"</f>
        <v>SPORT BOT with Pop Lid</v>
      </c>
      <c r="H2837" s="47"/>
      <c r="I2837" s="47"/>
      <c r="J2837" s="23">
        <v>491.46999999999997</v>
      </c>
      <c r="K2837" s="25">
        <v>295</v>
      </c>
      <c r="L2837" s="24">
        <v>283.06</v>
      </c>
      <c r="M2837" s="24">
        <f>J2837-L2837</f>
        <v>208.40999999999997</v>
      </c>
      <c r="N2837" s="53">
        <f>IF(J2837&lt;&gt;0,M2837/J2837,"")</f>
        <v>0.4240543675097157</v>
      </c>
      <c r="O2837" s="23">
        <v>0</v>
      </c>
      <c r="P2837" s="25">
        <v>0</v>
      </c>
      <c r="Q2837" s="24">
        <v>0</v>
      </c>
      <c r="R2837" s="24">
        <f>O2837-Q2837</f>
        <v>0</v>
      </c>
      <c r="S2837" s="53" t="str">
        <f>IF(O2837&lt;&gt;0,R2837/O2837,"")</f>
        <v/>
      </c>
      <c r="T2837" s="10"/>
      <c r="U2837" s="23">
        <v>239.89999999999998</v>
      </c>
      <c r="V2837" s="25">
        <v>144</v>
      </c>
      <c r="W2837" s="24">
        <v>138.16999999999999</v>
      </c>
      <c r="X2837" s="24">
        <f>U2837-W2837</f>
        <v>101.72999999999999</v>
      </c>
      <c r="Y2837" s="53">
        <f>IF(U2837&lt;&gt;0,X2837/U2837,"")</f>
        <v>0.4240516882034181</v>
      </c>
      <c r="Z2837" s="23">
        <v>0</v>
      </c>
      <c r="AA2837" s="25">
        <v>0</v>
      </c>
      <c r="AB2837" s="24">
        <v>0</v>
      </c>
      <c r="AC2837" s="24">
        <f t="shared" si="773"/>
        <v>0</v>
      </c>
      <c r="AD2837" s="53" t="str">
        <f t="shared" si="774"/>
        <v/>
      </c>
      <c r="AE2837" s="10"/>
    </row>
    <row r="2838" spans="1:31" x14ac:dyDescent="0.25">
      <c r="A2838" s="14" t="s">
        <v>109</v>
      </c>
      <c r="C2838" s="61" t="str">
        <f t="shared" si="772"/>
        <v>C100140</v>
      </c>
      <c r="F2838" s="8" t="str">
        <f>"S100026"</f>
        <v>S100026</v>
      </c>
      <c r="G2838" s="9" t="str">
        <f>"Wide SPORT BOT"</f>
        <v>Wide SPORT BOT</v>
      </c>
      <c r="H2838" s="47"/>
      <c r="I2838" s="47"/>
      <c r="J2838" s="23">
        <v>3429.22</v>
      </c>
      <c r="K2838" s="25">
        <v>864</v>
      </c>
      <c r="L2838" s="24">
        <v>1641.92</v>
      </c>
      <c r="M2838" s="24">
        <f>J2838-L2838</f>
        <v>1787.2999999999997</v>
      </c>
      <c r="N2838" s="53">
        <f>IF(J2838&lt;&gt;0,M2838/J2838,"")</f>
        <v>0.52119724018873093</v>
      </c>
      <c r="O2838" s="23">
        <v>571.54000000000008</v>
      </c>
      <c r="P2838" s="25">
        <v>144</v>
      </c>
      <c r="Q2838" s="24">
        <v>273.65000000000003</v>
      </c>
      <c r="R2838" s="24">
        <f>O2838-Q2838</f>
        <v>297.89000000000004</v>
      </c>
      <c r="S2838" s="53">
        <f>IF(O2838&lt;&gt;0,R2838/O2838,"")</f>
        <v>0.52120586485635301</v>
      </c>
      <c r="T2838" s="10"/>
      <c r="U2838" s="23">
        <v>1143.0800000000002</v>
      </c>
      <c r="V2838" s="25">
        <v>288</v>
      </c>
      <c r="W2838" s="24">
        <v>547.30000000000007</v>
      </c>
      <c r="X2838" s="24">
        <f>U2838-W2838</f>
        <v>595.78000000000009</v>
      </c>
      <c r="Y2838" s="53">
        <f>IF(U2838&lt;&gt;0,X2838/U2838,"")</f>
        <v>0.52120586485635301</v>
      </c>
      <c r="Z2838" s="23">
        <v>0</v>
      </c>
      <c r="AA2838" s="25">
        <v>0</v>
      </c>
      <c r="AB2838" s="24">
        <v>0</v>
      </c>
      <c r="AC2838" s="24">
        <f t="shared" si="773"/>
        <v>0</v>
      </c>
      <c r="AD2838" s="53" t="str">
        <f t="shared" si="774"/>
        <v/>
      </c>
      <c r="AE2838" s="10"/>
    </row>
    <row r="2839" spans="1:31" x14ac:dyDescent="0.25">
      <c r="A2839" s="14" t="s">
        <v>109</v>
      </c>
      <c r="C2839" s="61" t="str">
        <f t="shared" si="772"/>
        <v>C100140</v>
      </c>
      <c r="F2839" s="8" t="str">
        <f>"S200001"</f>
        <v>S200001</v>
      </c>
      <c r="G2839" s="9" t="str">
        <f>"3.25"" Lamp of Knowledge Trophy"</f>
        <v>3.25" Lamp of Knowledge Trophy</v>
      </c>
      <c r="H2839" s="47"/>
      <c r="I2839" s="47"/>
      <c r="J2839" s="23">
        <v>2822.4</v>
      </c>
      <c r="K2839" s="25">
        <v>288</v>
      </c>
      <c r="L2839" s="24">
        <v>2018.8799999999999</v>
      </c>
      <c r="M2839" s="24">
        <f>J2839-L2839</f>
        <v>803.52000000000021</v>
      </c>
      <c r="N2839" s="53">
        <f>IF(J2839&lt;&gt;0,M2839/J2839,"")</f>
        <v>0.28469387755102049</v>
      </c>
      <c r="O2839" s="23">
        <v>0</v>
      </c>
      <c r="P2839" s="25">
        <v>0</v>
      </c>
      <c r="Q2839" s="24">
        <v>0</v>
      </c>
      <c r="R2839" s="24">
        <f>O2839-Q2839</f>
        <v>0</v>
      </c>
      <c r="S2839" s="53" t="str">
        <f>IF(O2839&lt;&gt;0,R2839/O2839,"")</f>
        <v/>
      </c>
      <c r="T2839" s="10"/>
      <c r="U2839" s="23">
        <v>0</v>
      </c>
      <c r="V2839" s="25">
        <v>0</v>
      </c>
      <c r="W2839" s="24">
        <v>0</v>
      </c>
      <c r="X2839" s="24">
        <f>U2839-W2839</f>
        <v>0</v>
      </c>
      <c r="Y2839" s="53" t="str">
        <f>IF(U2839&lt;&gt;0,X2839/U2839,"")</f>
        <v/>
      </c>
      <c r="Z2839" s="23">
        <v>0</v>
      </c>
      <c r="AA2839" s="25">
        <v>0</v>
      </c>
      <c r="AB2839" s="24">
        <v>0</v>
      </c>
      <c r="AC2839" s="24">
        <f t="shared" si="773"/>
        <v>0</v>
      </c>
      <c r="AD2839" s="53" t="str">
        <f t="shared" si="774"/>
        <v/>
      </c>
      <c r="AE2839" s="10"/>
    </row>
    <row r="2840" spans="1:31" x14ac:dyDescent="0.25">
      <c r="A2840" s="14" t="s">
        <v>109</v>
      </c>
      <c r="C2840" s="61" t="str">
        <f t="shared" ref="C2840:C2845" si="775">C2839</f>
        <v>C100140</v>
      </c>
      <c r="F2840" s="8" t="str">
        <f>"S200009"</f>
        <v>S200009</v>
      </c>
      <c r="G2840" s="9" t="str">
        <f>"3.75"" Volleyball Trophy"</f>
        <v>3.75" Volleyball Trophy</v>
      </c>
      <c r="H2840" s="47"/>
      <c r="I2840" s="47"/>
      <c r="J2840" s="23">
        <v>1411.2</v>
      </c>
      <c r="K2840" s="25">
        <v>144</v>
      </c>
      <c r="L2840" s="24">
        <v>1081.44</v>
      </c>
      <c r="M2840" s="24">
        <f>J2840-L2840</f>
        <v>329.76</v>
      </c>
      <c r="N2840" s="53">
        <f>IF(J2840&lt;&gt;0,M2840/J2840,"")</f>
        <v>0.2336734693877551</v>
      </c>
      <c r="O2840" s="23">
        <v>0</v>
      </c>
      <c r="P2840" s="25">
        <v>0</v>
      </c>
      <c r="Q2840" s="24">
        <v>0</v>
      </c>
      <c r="R2840" s="24">
        <f>O2840-Q2840</f>
        <v>0</v>
      </c>
      <c r="S2840" s="53" t="str">
        <f>IF(O2840&lt;&gt;0,R2840/O2840,"")</f>
        <v/>
      </c>
      <c r="T2840" s="10"/>
      <c r="U2840" s="23">
        <v>0</v>
      </c>
      <c r="V2840" s="25">
        <v>0</v>
      </c>
      <c r="W2840" s="24">
        <v>0</v>
      </c>
      <c r="X2840" s="24">
        <f>U2840-W2840</f>
        <v>0</v>
      </c>
      <c r="Y2840" s="53" t="str">
        <f>IF(U2840&lt;&gt;0,X2840/U2840,"")</f>
        <v/>
      </c>
      <c r="Z2840" s="23">
        <v>0</v>
      </c>
      <c r="AA2840" s="25">
        <v>0</v>
      </c>
      <c r="AB2840" s="24">
        <v>0</v>
      </c>
      <c r="AC2840" s="24">
        <f t="shared" ref="AC2840:AC2845" si="776">Z2840-AB2840</f>
        <v>0</v>
      </c>
      <c r="AD2840" s="53" t="str">
        <f t="shared" ref="AD2840:AD2845" si="777">IF(Z2840&lt;&gt;0,AC2840/Z2840,"")</f>
        <v/>
      </c>
      <c r="AE2840" s="10"/>
    </row>
    <row r="2841" spans="1:31" x14ac:dyDescent="0.25">
      <c r="A2841" s="14" t="s">
        <v>109</v>
      </c>
      <c r="C2841" s="61" t="str">
        <f t="shared" si="775"/>
        <v>C100140</v>
      </c>
      <c r="F2841" s="8" t="str">
        <f>"S200011"</f>
        <v>S200011</v>
      </c>
      <c r="G2841" s="9" t="str">
        <f>"10.75"" Star Riser Lamp of Knowledge Trophy"</f>
        <v>10.75" Star Riser Lamp of Knowledge Trophy</v>
      </c>
      <c r="H2841" s="47"/>
      <c r="I2841" s="47"/>
      <c r="J2841" s="23">
        <v>1764</v>
      </c>
      <c r="K2841" s="25">
        <v>144</v>
      </c>
      <c r="L2841" s="24">
        <v>1357.92</v>
      </c>
      <c r="M2841" s="24">
        <f>J2841-L2841</f>
        <v>406.07999999999993</v>
      </c>
      <c r="N2841" s="53">
        <f>IF(J2841&lt;&gt;0,M2841/J2841,"")</f>
        <v>0.23020408163265302</v>
      </c>
      <c r="O2841" s="23">
        <v>0</v>
      </c>
      <c r="P2841" s="25">
        <v>0</v>
      </c>
      <c r="Q2841" s="24">
        <v>0</v>
      </c>
      <c r="R2841" s="24">
        <f>O2841-Q2841</f>
        <v>0</v>
      </c>
      <c r="S2841" s="53" t="str">
        <f>IF(O2841&lt;&gt;0,R2841/O2841,"")</f>
        <v/>
      </c>
      <c r="T2841" s="10"/>
      <c r="U2841" s="23">
        <v>0</v>
      </c>
      <c r="V2841" s="25">
        <v>0</v>
      </c>
      <c r="W2841" s="24">
        <v>0</v>
      </c>
      <c r="X2841" s="24">
        <f>U2841-W2841</f>
        <v>0</v>
      </c>
      <c r="Y2841" s="53" t="str">
        <f>IF(U2841&lt;&gt;0,X2841/U2841,"")</f>
        <v/>
      </c>
      <c r="Z2841" s="23">
        <v>0</v>
      </c>
      <c r="AA2841" s="25">
        <v>0</v>
      </c>
      <c r="AB2841" s="24">
        <v>0</v>
      </c>
      <c r="AC2841" s="24">
        <f t="shared" si="776"/>
        <v>0</v>
      </c>
      <c r="AD2841" s="53" t="str">
        <f t="shared" si="777"/>
        <v/>
      </c>
      <c r="AE2841" s="10"/>
    </row>
    <row r="2842" spans="1:31" x14ac:dyDescent="0.25">
      <c r="A2842" s="14" t="s">
        <v>109</v>
      </c>
      <c r="C2842" s="61" t="str">
        <f t="shared" si="775"/>
        <v>C100140</v>
      </c>
      <c r="F2842" s="8" t="str">
        <f>"S200015"</f>
        <v>S200015</v>
      </c>
      <c r="G2842" s="9" t="str">
        <f>"10.75"" Star Riser Basketball Trophy"</f>
        <v>10.75" Star Riser Basketball Trophy</v>
      </c>
      <c r="H2842" s="47"/>
      <c r="I2842" s="47"/>
      <c r="J2842" s="23">
        <v>588</v>
      </c>
      <c r="K2842" s="25">
        <v>48</v>
      </c>
      <c r="L2842" s="24">
        <v>476.64000000000004</v>
      </c>
      <c r="M2842" s="24">
        <f>J2842-L2842</f>
        <v>111.35999999999996</v>
      </c>
      <c r="N2842" s="53">
        <f>IF(J2842&lt;&gt;0,M2842/J2842,"")</f>
        <v>0.18938775510204076</v>
      </c>
      <c r="O2842" s="23">
        <v>0</v>
      </c>
      <c r="P2842" s="25">
        <v>0</v>
      </c>
      <c r="Q2842" s="24">
        <v>0</v>
      </c>
      <c r="R2842" s="24">
        <f>O2842-Q2842</f>
        <v>0</v>
      </c>
      <c r="S2842" s="53" t="str">
        <f>IF(O2842&lt;&gt;0,R2842/O2842,"")</f>
        <v/>
      </c>
      <c r="T2842" s="10"/>
      <c r="U2842" s="23">
        <v>0</v>
      </c>
      <c r="V2842" s="25">
        <v>0</v>
      </c>
      <c r="W2842" s="24">
        <v>0</v>
      </c>
      <c r="X2842" s="24">
        <f>U2842-W2842</f>
        <v>0</v>
      </c>
      <c r="Y2842" s="53" t="str">
        <f>IF(U2842&lt;&gt;0,X2842/U2842,"")</f>
        <v/>
      </c>
      <c r="Z2842" s="23">
        <v>0</v>
      </c>
      <c r="AA2842" s="25">
        <v>0</v>
      </c>
      <c r="AB2842" s="24">
        <v>0</v>
      </c>
      <c r="AC2842" s="24">
        <f t="shared" si="776"/>
        <v>0</v>
      </c>
      <c r="AD2842" s="53" t="str">
        <f t="shared" si="777"/>
        <v/>
      </c>
      <c r="AE2842" s="10"/>
    </row>
    <row r="2843" spans="1:31" x14ac:dyDescent="0.25">
      <c r="A2843" s="14" t="s">
        <v>109</v>
      </c>
      <c r="C2843" s="61" t="str">
        <f t="shared" si="775"/>
        <v>C100140</v>
      </c>
      <c r="F2843" s="8" t="str">
        <f>"S200018"</f>
        <v>S200018</v>
      </c>
      <c r="G2843" s="9" t="str">
        <f>"10.75"" Tourch Riser Lamp of Knowledge Trophy"</f>
        <v>10.75" Tourch Riser Lamp of Knowledge Trophy</v>
      </c>
      <c r="H2843" s="47"/>
      <c r="I2843" s="47"/>
      <c r="J2843" s="23">
        <v>2425.5</v>
      </c>
      <c r="K2843" s="25">
        <v>198.00000000000003</v>
      </c>
      <c r="L2843" s="24">
        <v>1936.44</v>
      </c>
      <c r="M2843" s="24">
        <f>J2843-L2843</f>
        <v>489.05999999999995</v>
      </c>
      <c r="N2843" s="53">
        <f>IF(J2843&lt;&gt;0,M2843/J2843,"")</f>
        <v>0.20163265306122446</v>
      </c>
      <c r="O2843" s="23">
        <v>0</v>
      </c>
      <c r="P2843" s="25">
        <v>0</v>
      </c>
      <c r="Q2843" s="24">
        <v>0</v>
      </c>
      <c r="R2843" s="24">
        <f>O2843-Q2843</f>
        <v>0</v>
      </c>
      <c r="S2843" s="53" t="str">
        <f>IF(O2843&lt;&gt;0,R2843/O2843,"")</f>
        <v/>
      </c>
      <c r="T2843" s="10"/>
      <c r="U2843" s="23">
        <v>0</v>
      </c>
      <c r="V2843" s="25">
        <v>0</v>
      </c>
      <c r="W2843" s="24">
        <v>0</v>
      </c>
      <c r="X2843" s="24">
        <f>U2843-W2843</f>
        <v>0</v>
      </c>
      <c r="Y2843" s="53" t="str">
        <f>IF(U2843&lt;&gt;0,X2843/U2843,"")</f>
        <v/>
      </c>
      <c r="Z2843" s="23">
        <v>0</v>
      </c>
      <c r="AA2843" s="25">
        <v>0</v>
      </c>
      <c r="AB2843" s="24">
        <v>0</v>
      </c>
      <c r="AC2843" s="24">
        <f t="shared" si="776"/>
        <v>0</v>
      </c>
      <c r="AD2843" s="53" t="str">
        <f t="shared" si="777"/>
        <v/>
      </c>
      <c r="AE2843" s="10"/>
    </row>
    <row r="2844" spans="1:31" x14ac:dyDescent="0.25">
      <c r="A2844" s="14" t="s">
        <v>109</v>
      </c>
      <c r="C2844" s="61" t="str">
        <f t="shared" si="775"/>
        <v>C100140</v>
      </c>
      <c r="F2844" s="8" t="str">
        <f>"S200023"</f>
        <v>S200023</v>
      </c>
      <c r="G2844" s="9" t="str">
        <f>"10.75"" Tourch Riser Volleyball Trophy"</f>
        <v>10.75" Tourch Riser Volleyball Trophy</v>
      </c>
      <c r="H2844" s="47"/>
      <c r="I2844" s="47"/>
      <c r="J2844" s="23">
        <v>2058</v>
      </c>
      <c r="K2844" s="25">
        <v>168</v>
      </c>
      <c r="L2844" s="24">
        <v>1727.04</v>
      </c>
      <c r="M2844" s="24">
        <f>J2844-L2844</f>
        <v>330.96000000000004</v>
      </c>
      <c r="N2844" s="53">
        <f>IF(J2844&lt;&gt;0,M2844/J2844,"")</f>
        <v>0.16081632653061226</v>
      </c>
      <c r="O2844" s="23">
        <v>0</v>
      </c>
      <c r="P2844" s="25">
        <v>0</v>
      </c>
      <c r="Q2844" s="24">
        <v>0</v>
      </c>
      <c r="R2844" s="24">
        <f>O2844-Q2844</f>
        <v>0</v>
      </c>
      <c r="S2844" s="53" t="str">
        <f>IF(O2844&lt;&gt;0,R2844/O2844,"")</f>
        <v/>
      </c>
      <c r="T2844" s="10"/>
      <c r="U2844" s="23">
        <v>0</v>
      </c>
      <c r="V2844" s="25">
        <v>0</v>
      </c>
      <c r="W2844" s="24">
        <v>0</v>
      </c>
      <c r="X2844" s="24">
        <f>U2844-W2844</f>
        <v>0</v>
      </c>
      <c r="Y2844" s="53" t="str">
        <f>IF(U2844&lt;&gt;0,X2844/U2844,"")</f>
        <v/>
      </c>
      <c r="Z2844" s="23">
        <v>0</v>
      </c>
      <c r="AA2844" s="25">
        <v>0</v>
      </c>
      <c r="AB2844" s="24">
        <v>0</v>
      </c>
      <c r="AC2844" s="24">
        <f t="shared" si="776"/>
        <v>0</v>
      </c>
      <c r="AD2844" s="53" t="str">
        <f t="shared" si="777"/>
        <v/>
      </c>
      <c r="AE2844" s="10"/>
    </row>
    <row r="2845" spans="1:31" x14ac:dyDescent="0.25">
      <c r="A2845" s="14" t="s">
        <v>109</v>
      </c>
      <c r="C2845" s="61" t="str">
        <f t="shared" si="775"/>
        <v>C100140</v>
      </c>
      <c r="F2845" s="8" t="str">
        <f>"S200024"</f>
        <v>S200024</v>
      </c>
      <c r="G2845" s="9" t="str">
        <f>"10.75"" Tourch Riser Wrestling Trophy"</f>
        <v>10.75" Tourch Riser Wrestling Trophy</v>
      </c>
      <c r="H2845" s="47"/>
      <c r="I2845" s="47"/>
      <c r="J2845" s="23">
        <v>1764</v>
      </c>
      <c r="K2845" s="25">
        <v>144</v>
      </c>
      <c r="L2845" s="24">
        <v>1480.32</v>
      </c>
      <c r="M2845" s="24">
        <f>J2845-L2845</f>
        <v>283.68000000000006</v>
      </c>
      <c r="N2845" s="53">
        <f>IF(J2845&lt;&gt;0,M2845/J2845,"")</f>
        <v>0.16081632653061229</v>
      </c>
      <c r="O2845" s="23">
        <v>0</v>
      </c>
      <c r="P2845" s="25">
        <v>0</v>
      </c>
      <c r="Q2845" s="24">
        <v>0</v>
      </c>
      <c r="R2845" s="24">
        <f>O2845-Q2845</f>
        <v>0</v>
      </c>
      <c r="S2845" s="53" t="str">
        <f>IF(O2845&lt;&gt;0,R2845/O2845,"")</f>
        <v/>
      </c>
      <c r="T2845" s="10"/>
      <c r="U2845" s="23">
        <v>0</v>
      </c>
      <c r="V2845" s="25">
        <v>0</v>
      </c>
      <c r="W2845" s="24">
        <v>0</v>
      </c>
      <c r="X2845" s="24">
        <f>U2845-W2845</f>
        <v>0</v>
      </c>
      <c r="Y2845" s="53" t="str">
        <f>IF(U2845&lt;&gt;0,X2845/U2845,"")</f>
        <v/>
      </c>
      <c r="Z2845" s="23">
        <v>0</v>
      </c>
      <c r="AA2845" s="25">
        <v>0</v>
      </c>
      <c r="AB2845" s="24">
        <v>0</v>
      </c>
      <c r="AC2845" s="24">
        <f t="shared" si="776"/>
        <v>0</v>
      </c>
      <c r="AD2845" s="53" t="str">
        <f t="shared" si="777"/>
        <v/>
      </c>
      <c r="AE2845" s="10"/>
    </row>
    <row r="2846" spans="1:31" ht="15.75" thickBot="1" x14ac:dyDescent="0.3">
      <c r="A2846" s="14" t="s">
        <v>109</v>
      </c>
      <c r="C2846" s="61" t="str">
        <f>C2775</f>
        <v>C100140</v>
      </c>
      <c r="J2846" s="10"/>
      <c r="K2846" s="11"/>
      <c r="L2846" s="11"/>
      <c r="M2846" s="11"/>
      <c r="N2846" s="12"/>
      <c r="O2846" s="10"/>
      <c r="P2846" s="11"/>
      <c r="Q2846" s="11"/>
      <c r="R2846" s="11"/>
      <c r="S2846" s="12"/>
      <c r="U2846" s="10"/>
      <c r="V2846" s="11"/>
      <c r="W2846" s="11"/>
      <c r="X2846" s="11"/>
      <c r="Y2846" s="12"/>
      <c r="Z2846" s="10"/>
      <c r="AA2846" s="11"/>
      <c r="AB2846" s="11"/>
      <c r="AC2846" s="11"/>
      <c r="AD2846" s="12"/>
    </row>
    <row r="2847" spans="1:31" ht="15.75" thickBot="1" x14ac:dyDescent="0.3">
      <c r="A2847" s="14" t="s">
        <v>109</v>
      </c>
      <c r="C2847" s="61" t="str">
        <f t="shared" si="769"/>
        <v>C100140</v>
      </c>
      <c r="G2847" s="48" t="str">
        <f>C2847&amp;" TOTAL:"</f>
        <v>C100140 TOTAL:</v>
      </c>
      <c r="H2847" s="50"/>
      <c r="I2847" s="50"/>
      <c r="J2847" s="34">
        <f>SUBTOTAL(9,J2774:J2846)</f>
        <v>44155.249999999985</v>
      </c>
      <c r="K2847" s="35">
        <f>SUBTOTAL(9,K2774:K2846)</f>
        <v>15044</v>
      </c>
      <c r="L2847" s="36">
        <f>SUBTOTAL(9,L2774:L2846)</f>
        <v>26735.769999999993</v>
      </c>
      <c r="M2847" s="36">
        <f>J2847-L2847</f>
        <v>17419.479999999992</v>
      </c>
      <c r="N2847" s="37">
        <f>IF(J2847&lt;&gt;0,M2847/J2847,"")</f>
        <v>0.39450529665215345</v>
      </c>
      <c r="O2847" s="34">
        <f>SUBTOTAL(9,O2774:O2846)</f>
        <v>15413.93</v>
      </c>
      <c r="P2847" s="35">
        <f>SUBTOTAL(9,P2774:P2846)</f>
        <v>5352</v>
      </c>
      <c r="Q2847" s="36">
        <f>SUBTOTAL(9,Q2774:Q2846)</f>
        <v>8280.3399999999983</v>
      </c>
      <c r="R2847" s="36">
        <f>O2847-Q2847</f>
        <v>7133.590000000002</v>
      </c>
      <c r="S2847" s="37">
        <f>IF(O2847&lt;&gt;0,R2847/O2847,"")</f>
        <v>0.46280150487254074</v>
      </c>
      <c r="U2847" s="34">
        <f>SUBTOTAL(9,U2774:U2846)</f>
        <v>18445.500000000007</v>
      </c>
      <c r="V2847" s="35">
        <f>SUBTOTAL(9,V2774:V2846)</f>
        <v>8754</v>
      </c>
      <c r="W2847" s="36">
        <f>SUBTOTAL(9,W2774:W2846)</f>
        <v>10160.15</v>
      </c>
      <c r="X2847" s="36">
        <f>U2847-W2847</f>
        <v>8285.3500000000076</v>
      </c>
      <c r="Y2847" s="37">
        <f>IF(U2847&lt;&gt;0,X2847/U2847,"")</f>
        <v>0.44918001680626735</v>
      </c>
      <c r="Z2847" s="34">
        <f>SUBTOTAL(9,Z2774:Z2846)</f>
        <v>4615.5999999999995</v>
      </c>
      <c r="AA2847" s="35">
        <f>SUBTOTAL(9,AA2774:AA2846)</f>
        <v>2364</v>
      </c>
      <c r="AB2847" s="36">
        <f>SUBTOTAL(9,AB2774:AB2846)</f>
        <v>2547.65</v>
      </c>
      <c r="AC2847" s="36">
        <f t="shared" ref="AC2847" si="778">Z2847-AB2847</f>
        <v>2067.9499999999994</v>
      </c>
      <c r="AD2847" s="37">
        <f t="shared" ref="AD2847" si="779">IF(Z2847&lt;&gt;0,AC2847/Z2847,"")</f>
        <v>0.44803492503683151</v>
      </c>
    </row>
    <row r="2848" spans="1:31" x14ac:dyDescent="0.25">
      <c r="A2848" s="14" t="s">
        <v>109</v>
      </c>
      <c r="C2848" s="66"/>
      <c r="J2848" s="10"/>
      <c r="K2848" s="11"/>
      <c r="L2848" s="11"/>
      <c r="M2848" s="11"/>
      <c r="N2848" s="12"/>
      <c r="O2848" s="10"/>
      <c r="P2848" s="11"/>
      <c r="Q2848" s="11"/>
      <c r="R2848" s="11"/>
      <c r="S2848" s="12"/>
      <c r="U2848" s="10"/>
      <c r="V2848" s="11"/>
      <c r="W2848" s="11"/>
      <c r="X2848" s="11"/>
      <c r="Y2848" s="12"/>
      <c r="Z2848" s="10"/>
      <c r="AA2848" s="11"/>
      <c r="AB2848" s="11"/>
      <c r="AC2848" s="11"/>
      <c r="AD2848" s="12"/>
    </row>
    <row r="2849" spans="1:31" ht="15.75" x14ac:dyDescent="0.25">
      <c r="A2849" s="14" t="s">
        <v>109</v>
      </c>
      <c r="C2849" s="66" t="str">
        <f t="shared" ref="C2849" si="780">E2849</f>
        <v>C100141</v>
      </c>
      <c r="E2849" s="13" t="str">
        <f>"C100141"</f>
        <v>C100141</v>
      </c>
      <c r="F2849" s="13"/>
      <c r="G2849" s="13" t="str">
        <f>"Bargottis"</f>
        <v>Bargottis</v>
      </c>
      <c r="H2849" s="13"/>
      <c r="I2849" s="13"/>
      <c r="J2849" s="10"/>
      <c r="K2849" s="11"/>
      <c r="L2849" s="11"/>
      <c r="M2849" s="11"/>
      <c r="N2849" s="12"/>
      <c r="O2849" s="10"/>
      <c r="P2849" s="11"/>
      <c r="Q2849" s="11"/>
      <c r="R2849" s="11"/>
      <c r="S2849" s="12"/>
      <c r="U2849" s="10"/>
      <c r="V2849" s="11"/>
      <c r="W2849" s="11"/>
      <c r="X2849" s="11"/>
      <c r="Y2849" s="12"/>
      <c r="Z2849" s="10"/>
      <c r="AA2849" s="11"/>
      <c r="AB2849" s="11"/>
      <c r="AC2849" s="11"/>
      <c r="AD2849" s="12"/>
    </row>
    <row r="2850" spans="1:31" ht="6.6" customHeight="1" x14ac:dyDescent="0.25">
      <c r="A2850" s="14" t="s">
        <v>109</v>
      </c>
      <c r="C2850" s="61" t="str">
        <f t="shared" ref="C2850:C2901" si="781">C2849</f>
        <v>C100141</v>
      </c>
      <c r="J2850" s="10"/>
      <c r="K2850" s="11"/>
      <c r="L2850" s="11"/>
      <c r="M2850" s="11"/>
      <c r="N2850" s="12"/>
      <c r="O2850" s="10"/>
      <c r="P2850" s="11"/>
      <c r="Q2850" s="11"/>
      <c r="R2850" s="11"/>
      <c r="S2850" s="12"/>
      <c r="U2850" s="10"/>
      <c r="V2850" s="11"/>
      <c r="W2850" s="11"/>
      <c r="X2850" s="11"/>
      <c r="Y2850" s="12"/>
      <c r="Z2850" s="10"/>
      <c r="AA2850" s="11"/>
      <c r="AB2850" s="11"/>
      <c r="AC2850" s="11"/>
      <c r="AD2850" s="12"/>
    </row>
    <row r="2851" spans="1:31" x14ac:dyDescent="0.25">
      <c r="A2851" s="14" t="s">
        <v>109</v>
      </c>
      <c r="C2851" s="61" t="str">
        <f t="shared" si="781"/>
        <v>C100141</v>
      </c>
      <c r="F2851" s="8" t="str">
        <f>"C100023"</f>
        <v>C100023</v>
      </c>
      <c r="G2851" s="9" t="str">
        <f>"Two-Toned Knit Hat"</f>
        <v>Two-Toned Knit Hat</v>
      </c>
      <c r="H2851" s="47"/>
      <c r="I2851" s="47"/>
      <c r="J2851" s="23">
        <v>362.76</v>
      </c>
      <c r="K2851" s="25">
        <v>144</v>
      </c>
      <c r="L2851" s="24">
        <v>181.43</v>
      </c>
      <c r="M2851" s="24">
        <f>J2851-L2851</f>
        <v>181.32999999999998</v>
      </c>
      <c r="N2851" s="53">
        <f>IF(J2851&lt;&gt;0,M2851/J2851,"")</f>
        <v>0.49986216782445692</v>
      </c>
      <c r="O2851" s="23">
        <v>0</v>
      </c>
      <c r="P2851" s="25">
        <v>0</v>
      </c>
      <c r="Q2851" s="24">
        <v>0</v>
      </c>
      <c r="R2851" s="24">
        <f>O2851-Q2851</f>
        <v>0</v>
      </c>
      <c r="S2851" s="53" t="str">
        <f>IF(O2851&lt;&gt;0,R2851/O2851,"")</f>
        <v/>
      </c>
      <c r="T2851" s="10"/>
      <c r="U2851" s="23">
        <v>0</v>
      </c>
      <c r="V2851" s="25">
        <v>0</v>
      </c>
      <c r="W2851" s="24">
        <v>0</v>
      </c>
      <c r="X2851" s="24">
        <f>U2851-W2851</f>
        <v>0</v>
      </c>
      <c r="Y2851" s="53" t="str">
        <f>IF(U2851&lt;&gt;0,X2851/U2851,"")</f>
        <v/>
      </c>
      <c r="Z2851" s="23">
        <v>389.94</v>
      </c>
      <c r="AA2851" s="25">
        <v>150</v>
      </c>
      <c r="AB2851" s="24">
        <v>188.99</v>
      </c>
      <c r="AC2851" s="24">
        <f t="shared" ref="AC2851" si="782">Z2851-AB2851</f>
        <v>200.95</v>
      </c>
      <c r="AD2851" s="53">
        <f t="shared" ref="AD2851" si="783">IF(Z2851&lt;&gt;0,AC2851/Z2851,"")</f>
        <v>0.51533569267066726</v>
      </c>
      <c r="AE2851" s="10"/>
    </row>
    <row r="2852" spans="1:31" x14ac:dyDescent="0.25">
      <c r="A2852" s="14" t="s">
        <v>109</v>
      </c>
      <c r="C2852" s="61" t="str">
        <f t="shared" ref="C2852:C2899" si="784">C2851</f>
        <v>C100141</v>
      </c>
      <c r="F2852" s="8" t="str">
        <f>"C100026"</f>
        <v>C100026</v>
      </c>
      <c r="G2852" s="9" t="str">
        <f>"Fleece Beanie"</f>
        <v>Fleece Beanie</v>
      </c>
      <c r="H2852" s="47"/>
      <c r="I2852" s="47"/>
      <c r="J2852" s="23">
        <v>1716.25</v>
      </c>
      <c r="K2852" s="25">
        <v>576</v>
      </c>
      <c r="L2852" s="24">
        <v>1151.94</v>
      </c>
      <c r="M2852" s="24">
        <f>J2852-L2852</f>
        <v>564.30999999999995</v>
      </c>
      <c r="N2852" s="53">
        <f>IF(J2852&lt;&gt;0,M2852/J2852,"")</f>
        <v>0.32880407865986888</v>
      </c>
      <c r="O2852" s="23">
        <v>0</v>
      </c>
      <c r="P2852" s="25">
        <v>0</v>
      </c>
      <c r="Q2852" s="24">
        <v>0</v>
      </c>
      <c r="R2852" s="24">
        <f>O2852-Q2852</f>
        <v>0</v>
      </c>
      <c r="S2852" s="53" t="str">
        <f>IF(O2852&lt;&gt;0,R2852/O2852,"")</f>
        <v/>
      </c>
      <c r="T2852" s="10"/>
      <c r="U2852" s="23">
        <v>0</v>
      </c>
      <c r="V2852" s="25">
        <v>0</v>
      </c>
      <c r="W2852" s="24">
        <v>0</v>
      </c>
      <c r="X2852" s="24">
        <f>U2852-W2852</f>
        <v>0</v>
      </c>
      <c r="Y2852" s="53" t="str">
        <f>IF(U2852&lt;&gt;0,X2852/U2852,"")</f>
        <v/>
      </c>
      <c r="Z2852" s="23">
        <v>871.6</v>
      </c>
      <c r="AA2852" s="25">
        <v>288</v>
      </c>
      <c r="AB2852" s="24">
        <v>575.98</v>
      </c>
      <c r="AC2852" s="24">
        <f t="shared" ref="AC2852:AC2899" si="785">Z2852-AB2852</f>
        <v>295.62</v>
      </c>
      <c r="AD2852" s="53">
        <f t="shared" ref="AD2852:AD2899" si="786">IF(Z2852&lt;&gt;0,AC2852/Z2852,"")</f>
        <v>0.33916934373565855</v>
      </c>
      <c r="AE2852" s="10"/>
    </row>
    <row r="2853" spans="1:31" x14ac:dyDescent="0.25">
      <c r="A2853" s="14" t="s">
        <v>109</v>
      </c>
      <c r="C2853" s="61" t="str">
        <f t="shared" si="784"/>
        <v>C100141</v>
      </c>
      <c r="F2853" s="8" t="str">
        <f>"C100028"</f>
        <v>C100028</v>
      </c>
      <c r="G2853" s="9" t="str">
        <f>"Twill Visor"</f>
        <v>Twill Visor</v>
      </c>
      <c r="H2853" s="47"/>
      <c r="I2853" s="47"/>
      <c r="J2853" s="23">
        <v>713.76</v>
      </c>
      <c r="K2853" s="25">
        <v>144</v>
      </c>
      <c r="L2853" s="24">
        <v>345.61</v>
      </c>
      <c r="M2853" s="24">
        <f>J2853-L2853</f>
        <v>368.15</v>
      </c>
      <c r="N2853" s="53">
        <f>IF(J2853&lt;&gt;0,M2853/J2853,"")</f>
        <v>0.51578962116117455</v>
      </c>
      <c r="O2853" s="23">
        <v>237.92</v>
      </c>
      <c r="P2853" s="25">
        <v>48</v>
      </c>
      <c r="Q2853" s="24">
        <v>115.2</v>
      </c>
      <c r="R2853" s="24">
        <f>O2853-Q2853</f>
        <v>122.71999999999998</v>
      </c>
      <c r="S2853" s="53">
        <f>IF(O2853&lt;&gt;0,R2853/O2853,"")</f>
        <v>0.51580363147276387</v>
      </c>
      <c r="T2853" s="10"/>
      <c r="U2853" s="23">
        <v>0</v>
      </c>
      <c r="V2853" s="25">
        <v>0</v>
      </c>
      <c r="W2853" s="24">
        <v>0</v>
      </c>
      <c r="X2853" s="24">
        <f>U2853-W2853</f>
        <v>0</v>
      </c>
      <c r="Y2853" s="53" t="str">
        <f>IF(U2853&lt;&gt;0,X2853/U2853,"")</f>
        <v/>
      </c>
      <c r="Z2853" s="23">
        <v>0</v>
      </c>
      <c r="AA2853" s="25">
        <v>0</v>
      </c>
      <c r="AB2853" s="24">
        <v>0</v>
      </c>
      <c r="AC2853" s="24">
        <f t="shared" si="785"/>
        <v>0</v>
      </c>
      <c r="AD2853" s="53" t="str">
        <f t="shared" si="786"/>
        <v/>
      </c>
      <c r="AE2853" s="10"/>
    </row>
    <row r="2854" spans="1:31" x14ac:dyDescent="0.25">
      <c r="A2854" s="14" t="s">
        <v>109</v>
      </c>
      <c r="C2854" s="61" t="str">
        <f t="shared" si="784"/>
        <v>C100141</v>
      </c>
      <c r="F2854" s="8" t="str">
        <f>"C100029"</f>
        <v>C100029</v>
      </c>
      <c r="G2854" s="9" t="str">
        <f>"Distressed Twill Visor"</f>
        <v>Distressed Twill Visor</v>
      </c>
      <c r="H2854" s="47"/>
      <c r="I2854" s="47"/>
      <c r="J2854" s="23">
        <v>477.71</v>
      </c>
      <c r="K2854" s="25">
        <v>144</v>
      </c>
      <c r="L2854" s="24">
        <v>298.09000000000003</v>
      </c>
      <c r="M2854" s="24">
        <f>J2854-L2854</f>
        <v>179.61999999999995</v>
      </c>
      <c r="N2854" s="53">
        <f>IF(J2854&lt;&gt;0,M2854/J2854,"")</f>
        <v>0.37600217705302369</v>
      </c>
      <c r="O2854" s="23">
        <v>0</v>
      </c>
      <c r="P2854" s="25">
        <v>0</v>
      </c>
      <c r="Q2854" s="24">
        <v>0</v>
      </c>
      <c r="R2854" s="24">
        <f>O2854-Q2854</f>
        <v>0</v>
      </c>
      <c r="S2854" s="53" t="str">
        <f>IF(O2854&lt;&gt;0,R2854/O2854,"")</f>
        <v/>
      </c>
      <c r="T2854" s="10"/>
      <c r="U2854" s="23">
        <v>0</v>
      </c>
      <c r="V2854" s="25">
        <v>0</v>
      </c>
      <c r="W2854" s="24">
        <v>0</v>
      </c>
      <c r="X2854" s="24">
        <f>U2854-W2854</f>
        <v>0</v>
      </c>
      <c r="Y2854" s="53" t="str">
        <f>IF(U2854&lt;&gt;0,X2854/U2854,"")</f>
        <v/>
      </c>
      <c r="Z2854" s="23">
        <v>477.71</v>
      </c>
      <c r="AA2854" s="25">
        <v>144</v>
      </c>
      <c r="AB2854" s="24">
        <v>298.09000000000003</v>
      </c>
      <c r="AC2854" s="24">
        <f t="shared" si="785"/>
        <v>179.61999999999995</v>
      </c>
      <c r="AD2854" s="53">
        <f t="shared" si="786"/>
        <v>0.37600217705302369</v>
      </c>
      <c r="AE2854" s="10"/>
    </row>
    <row r="2855" spans="1:31" x14ac:dyDescent="0.25">
      <c r="A2855" s="14" t="s">
        <v>109</v>
      </c>
      <c r="C2855" s="61" t="str">
        <f t="shared" si="784"/>
        <v>C100141</v>
      </c>
      <c r="F2855" s="8" t="str">
        <f>"C100033"</f>
        <v>C100033</v>
      </c>
      <c r="G2855" s="9" t="str">
        <f>"Frames &amp; Clock"</f>
        <v>Frames &amp; Clock</v>
      </c>
      <c r="H2855" s="47"/>
      <c r="I2855" s="47"/>
      <c r="J2855" s="23">
        <v>655.14</v>
      </c>
      <c r="K2855" s="25">
        <v>144</v>
      </c>
      <c r="L2855" s="24">
        <v>414.7</v>
      </c>
      <c r="M2855" s="24">
        <f>J2855-L2855</f>
        <v>240.44</v>
      </c>
      <c r="N2855" s="53">
        <f>IF(J2855&lt;&gt;0,M2855/J2855,"")</f>
        <v>0.36700552553652654</v>
      </c>
      <c r="O2855" s="23">
        <v>0</v>
      </c>
      <c r="P2855" s="25">
        <v>0</v>
      </c>
      <c r="Q2855" s="24">
        <v>0</v>
      </c>
      <c r="R2855" s="24">
        <f>O2855-Q2855</f>
        <v>0</v>
      </c>
      <c r="S2855" s="53" t="str">
        <f>IF(O2855&lt;&gt;0,R2855/O2855,"")</f>
        <v/>
      </c>
      <c r="T2855" s="10"/>
      <c r="U2855" s="23">
        <v>0</v>
      </c>
      <c r="V2855" s="25">
        <v>0</v>
      </c>
      <c r="W2855" s="24">
        <v>0</v>
      </c>
      <c r="X2855" s="24">
        <f>U2855-W2855</f>
        <v>0</v>
      </c>
      <c r="Y2855" s="53" t="str">
        <f>IF(U2855&lt;&gt;0,X2855/U2855,"")</f>
        <v/>
      </c>
      <c r="Z2855" s="23">
        <v>0</v>
      </c>
      <c r="AA2855" s="25">
        <v>0</v>
      </c>
      <c r="AB2855" s="24">
        <v>0</v>
      </c>
      <c r="AC2855" s="24">
        <f t="shared" si="785"/>
        <v>0</v>
      </c>
      <c r="AD2855" s="53" t="str">
        <f t="shared" si="786"/>
        <v/>
      </c>
      <c r="AE2855" s="10"/>
    </row>
    <row r="2856" spans="1:31" x14ac:dyDescent="0.25">
      <c r="A2856" s="14" t="s">
        <v>109</v>
      </c>
      <c r="C2856" s="61" t="str">
        <f t="shared" si="784"/>
        <v>C100141</v>
      </c>
      <c r="F2856" s="8" t="str">
        <f>"C100035"</f>
        <v>C100035</v>
      </c>
      <c r="G2856" s="9" t="str">
        <f>"Calculator &amp; World Time Clock"</f>
        <v>Calculator &amp; World Time Clock</v>
      </c>
      <c r="H2856" s="47"/>
      <c r="I2856" s="47"/>
      <c r="J2856" s="23">
        <v>397.96000000000004</v>
      </c>
      <c r="K2856" s="25">
        <v>144</v>
      </c>
      <c r="L2856" s="24">
        <v>282.24</v>
      </c>
      <c r="M2856" s="24">
        <f>J2856-L2856</f>
        <v>115.72000000000003</v>
      </c>
      <c r="N2856" s="53">
        <f>IF(J2856&lt;&gt;0,M2856/J2856,"")</f>
        <v>0.29078299326565488</v>
      </c>
      <c r="O2856" s="23">
        <v>17.11</v>
      </c>
      <c r="P2856" s="25">
        <v>6</v>
      </c>
      <c r="Q2856" s="24">
        <v>11.76</v>
      </c>
      <c r="R2856" s="24">
        <f>O2856-Q2856</f>
        <v>5.35</v>
      </c>
      <c r="S2856" s="53">
        <f>IF(O2856&lt;&gt;0,R2856/O2856,"")</f>
        <v>0.31268264172998245</v>
      </c>
      <c r="T2856" s="10"/>
      <c r="U2856" s="23">
        <v>402.19</v>
      </c>
      <c r="V2856" s="25">
        <v>144</v>
      </c>
      <c r="W2856" s="24">
        <v>282.24</v>
      </c>
      <c r="X2856" s="24">
        <f>U2856-W2856</f>
        <v>119.94999999999999</v>
      </c>
      <c r="Y2856" s="53">
        <f>IF(U2856&lt;&gt;0,X2856/U2856,"")</f>
        <v>0.29824212436907926</v>
      </c>
      <c r="Z2856" s="23">
        <v>0</v>
      </c>
      <c r="AA2856" s="25">
        <v>0</v>
      </c>
      <c r="AB2856" s="24">
        <v>0</v>
      </c>
      <c r="AC2856" s="24">
        <f t="shared" si="785"/>
        <v>0</v>
      </c>
      <c r="AD2856" s="53" t="str">
        <f t="shared" si="786"/>
        <v/>
      </c>
      <c r="AE2856" s="10"/>
    </row>
    <row r="2857" spans="1:31" x14ac:dyDescent="0.25">
      <c r="A2857" s="14" t="s">
        <v>109</v>
      </c>
      <c r="C2857" s="61" t="str">
        <f t="shared" si="784"/>
        <v>C100141</v>
      </c>
      <c r="F2857" s="8" t="str">
        <f>"C100061"</f>
        <v>C100061</v>
      </c>
      <c r="G2857" s="9" t="str">
        <f>"Bistro Mug"</f>
        <v>Bistro Mug</v>
      </c>
      <c r="H2857" s="47"/>
      <c r="I2857" s="47"/>
      <c r="J2857" s="23">
        <v>61.459999999999994</v>
      </c>
      <c r="K2857" s="25">
        <v>48</v>
      </c>
      <c r="L2857" s="24">
        <v>33.089999999999996</v>
      </c>
      <c r="M2857" s="24">
        <f>J2857-L2857</f>
        <v>28.369999999999997</v>
      </c>
      <c r="N2857" s="53">
        <f>IF(J2857&lt;&gt;0,M2857/J2857,"")</f>
        <v>0.46160104132769281</v>
      </c>
      <c r="O2857" s="23">
        <v>0</v>
      </c>
      <c r="P2857" s="25">
        <v>0</v>
      </c>
      <c r="Q2857" s="24">
        <v>0</v>
      </c>
      <c r="R2857" s="24">
        <f>O2857-Q2857</f>
        <v>0</v>
      </c>
      <c r="S2857" s="53" t="str">
        <f>IF(O2857&lt;&gt;0,R2857/O2857,"")</f>
        <v/>
      </c>
      <c r="T2857" s="10"/>
      <c r="U2857" s="23">
        <v>0</v>
      </c>
      <c r="V2857" s="25">
        <v>0</v>
      </c>
      <c r="W2857" s="24">
        <v>0</v>
      </c>
      <c r="X2857" s="24">
        <f>U2857-W2857</f>
        <v>0</v>
      </c>
      <c r="Y2857" s="53" t="str">
        <f>IF(U2857&lt;&gt;0,X2857/U2857,"")</f>
        <v/>
      </c>
      <c r="Z2857" s="23">
        <v>0</v>
      </c>
      <c r="AA2857" s="25">
        <v>0</v>
      </c>
      <c r="AB2857" s="24">
        <v>0</v>
      </c>
      <c r="AC2857" s="24">
        <f t="shared" si="785"/>
        <v>0</v>
      </c>
      <c r="AD2857" s="53" t="str">
        <f t="shared" si="786"/>
        <v/>
      </c>
      <c r="AE2857" s="10"/>
    </row>
    <row r="2858" spans="1:31" x14ac:dyDescent="0.25">
      <c r="A2858" s="14" t="s">
        <v>109</v>
      </c>
      <c r="C2858" s="61" t="str">
        <f t="shared" si="784"/>
        <v>C100141</v>
      </c>
      <c r="F2858" s="8" t="str">
        <f>"C100066"</f>
        <v>C100066</v>
      </c>
      <c r="G2858" s="9" t="str">
        <f>"Fashion Travel Mug"</f>
        <v>Fashion Travel Mug</v>
      </c>
      <c r="H2858" s="47"/>
      <c r="I2858" s="47"/>
      <c r="J2858" s="23">
        <v>502.84999999999997</v>
      </c>
      <c r="K2858" s="25">
        <v>144</v>
      </c>
      <c r="L2858" s="24">
        <v>237.63000000000002</v>
      </c>
      <c r="M2858" s="24">
        <f>J2858-L2858</f>
        <v>265.21999999999991</v>
      </c>
      <c r="N2858" s="53">
        <f>IF(J2858&lt;&gt;0,M2858/J2858,"")</f>
        <v>0.52743362831858398</v>
      </c>
      <c r="O2858" s="23">
        <v>0</v>
      </c>
      <c r="P2858" s="25">
        <v>0</v>
      </c>
      <c r="Q2858" s="24">
        <v>0</v>
      </c>
      <c r="R2858" s="24">
        <f>O2858-Q2858</f>
        <v>0</v>
      </c>
      <c r="S2858" s="53" t="str">
        <f>IF(O2858&lt;&gt;0,R2858/O2858,"")</f>
        <v/>
      </c>
      <c r="T2858" s="10"/>
      <c r="U2858" s="23">
        <v>492.48</v>
      </c>
      <c r="V2858" s="25">
        <v>144</v>
      </c>
      <c r="W2858" s="24">
        <v>237.63000000000002</v>
      </c>
      <c r="X2858" s="24">
        <f>U2858-W2858</f>
        <v>254.85</v>
      </c>
      <c r="Y2858" s="53">
        <f>IF(U2858&lt;&gt;0,X2858/U2858,"")</f>
        <v>0.51748294346978552</v>
      </c>
      <c r="Z2858" s="23">
        <v>0</v>
      </c>
      <c r="AA2858" s="25">
        <v>0</v>
      </c>
      <c r="AB2858" s="24">
        <v>0</v>
      </c>
      <c r="AC2858" s="24">
        <f t="shared" si="785"/>
        <v>0</v>
      </c>
      <c r="AD2858" s="53" t="str">
        <f t="shared" si="786"/>
        <v/>
      </c>
      <c r="AE2858" s="10"/>
    </row>
    <row r="2859" spans="1:31" x14ac:dyDescent="0.25">
      <c r="A2859" s="14" t="s">
        <v>109</v>
      </c>
      <c r="C2859" s="61" t="str">
        <f t="shared" si="784"/>
        <v>C100141</v>
      </c>
      <c r="F2859" s="8" t="str">
        <f>"C100067"</f>
        <v>C100067</v>
      </c>
      <c r="G2859" s="9" t="str">
        <f>"Stainless Thermos"</f>
        <v>Stainless Thermos</v>
      </c>
      <c r="H2859" s="47"/>
      <c r="I2859" s="47"/>
      <c r="J2859" s="23">
        <v>637.55000000000007</v>
      </c>
      <c r="K2859" s="25">
        <v>144</v>
      </c>
      <c r="L2859" s="24">
        <v>368.71</v>
      </c>
      <c r="M2859" s="24">
        <f>J2859-L2859</f>
        <v>268.84000000000009</v>
      </c>
      <c r="N2859" s="53">
        <f>IF(J2859&lt;&gt;0,M2859/J2859,"")</f>
        <v>0.42167673123676586</v>
      </c>
      <c r="O2859" s="23">
        <v>0</v>
      </c>
      <c r="P2859" s="25">
        <v>0</v>
      </c>
      <c r="Q2859" s="24">
        <v>0</v>
      </c>
      <c r="R2859" s="24">
        <f>O2859-Q2859</f>
        <v>0</v>
      </c>
      <c r="S2859" s="53" t="str">
        <f>IF(O2859&lt;&gt;0,R2859/O2859,"")</f>
        <v/>
      </c>
      <c r="T2859" s="10"/>
      <c r="U2859" s="23">
        <v>0</v>
      </c>
      <c r="V2859" s="25">
        <v>0</v>
      </c>
      <c r="W2859" s="24">
        <v>0</v>
      </c>
      <c r="X2859" s="24">
        <f>U2859-W2859</f>
        <v>0</v>
      </c>
      <c r="Y2859" s="53" t="str">
        <f>IF(U2859&lt;&gt;0,X2859/U2859,"")</f>
        <v/>
      </c>
      <c r="Z2859" s="23">
        <v>0</v>
      </c>
      <c r="AA2859" s="25">
        <v>0</v>
      </c>
      <c r="AB2859" s="24">
        <v>0</v>
      </c>
      <c r="AC2859" s="24">
        <f t="shared" si="785"/>
        <v>0</v>
      </c>
      <c r="AD2859" s="53" t="str">
        <f t="shared" si="786"/>
        <v/>
      </c>
      <c r="AE2859" s="10"/>
    </row>
    <row r="2860" spans="1:31" x14ac:dyDescent="0.25">
      <c r="A2860" s="14" t="s">
        <v>109</v>
      </c>
      <c r="C2860" s="61" t="str">
        <f t="shared" si="784"/>
        <v>C100141</v>
      </c>
      <c r="F2860" s="8" t="str">
        <f>"E100001"</f>
        <v>E100001</v>
      </c>
      <c r="G2860" s="9" t="str">
        <f>"Sport Bag"</f>
        <v>Sport Bag</v>
      </c>
      <c r="H2860" s="47"/>
      <c r="I2860" s="47"/>
      <c r="J2860" s="23">
        <v>252.82</v>
      </c>
      <c r="K2860" s="25">
        <v>144</v>
      </c>
      <c r="L2860" s="24">
        <v>125.28</v>
      </c>
      <c r="M2860" s="24">
        <f>J2860-L2860</f>
        <v>127.53999999999999</v>
      </c>
      <c r="N2860" s="53">
        <f>IF(J2860&lt;&gt;0,M2860/J2860,"")</f>
        <v>0.50446958310260259</v>
      </c>
      <c r="O2860" s="23">
        <v>0</v>
      </c>
      <c r="P2860" s="25">
        <v>0</v>
      </c>
      <c r="Q2860" s="24">
        <v>0</v>
      </c>
      <c r="R2860" s="24">
        <f>O2860-Q2860</f>
        <v>0</v>
      </c>
      <c r="S2860" s="53" t="str">
        <f>IF(O2860&lt;&gt;0,R2860/O2860,"")</f>
        <v/>
      </c>
      <c r="T2860" s="10"/>
      <c r="U2860" s="23">
        <v>1.72</v>
      </c>
      <c r="V2860" s="25">
        <v>1</v>
      </c>
      <c r="W2860" s="24">
        <v>0.87</v>
      </c>
      <c r="X2860" s="24">
        <f>U2860-W2860</f>
        <v>0.85</v>
      </c>
      <c r="Y2860" s="53">
        <f>IF(U2860&lt;&gt;0,X2860/U2860,"")</f>
        <v>0.4941860465116279</v>
      </c>
      <c r="Z2860" s="23">
        <v>0</v>
      </c>
      <c r="AA2860" s="25">
        <v>0</v>
      </c>
      <c r="AB2860" s="24">
        <v>0</v>
      </c>
      <c r="AC2860" s="24">
        <f t="shared" si="785"/>
        <v>0</v>
      </c>
      <c r="AD2860" s="53" t="str">
        <f t="shared" si="786"/>
        <v/>
      </c>
      <c r="AE2860" s="10"/>
    </row>
    <row r="2861" spans="1:31" x14ac:dyDescent="0.25">
      <c r="A2861" s="14" t="s">
        <v>109</v>
      </c>
      <c r="C2861" s="61" t="str">
        <f t="shared" si="784"/>
        <v>C100141</v>
      </c>
      <c r="F2861" s="8" t="str">
        <f>"E100002"</f>
        <v>E100002</v>
      </c>
      <c r="G2861" s="9" t="str">
        <f>"Cotton Classic Tote"</f>
        <v>Cotton Classic Tote</v>
      </c>
      <c r="H2861" s="47"/>
      <c r="I2861" s="47"/>
      <c r="J2861" s="23">
        <v>0</v>
      </c>
      <c r="K2861" s="25">
        <v>0</v>
      </c>
      <c r="L2861" s="24">
        <v>0</v>
      </c>
      <c r="M2861" s="24">
        <f>J2861-L2861</f>
        <v>0</v>
      </c>
      <c r="N2861" s="53" t="str">
        <f>IF(J2861&lt;&gt;0,M2861/J2861,"")</f>
        <v/>
      </c>
      <c r="O2861" s="23">
        <v>174.6</v>
      </c>
      <c r="P2861" s="25">
        <v>144</v>
      </c>
      <c r="Q2861" s="24">
        <v>92.17</v>
      </c>
      <c r="R2861" s="24">
        <f>O2861-Q2861</f>
        <v>82.429999999999993</v>
      </c>
      <c r="S2861" s="53">
        <f>IF(O2861&lt;&gt;0,R2861/O2861,"")</f>
        <v>0.47210767468499426</v>
      </c>
      <c r="T2861" s="10"/>
      <c r="U2861" s="23">
        <v>0</v>
      </c>
      <c r="V2861" s="25">
        <v>0</v>
      </c>
      <c r="W2861" s="24">
        <v>0</v>
      </c>
      <c r="X2861" s="24">
        <f>U2861-W2861</f>
        <v>0</v>
      </c>
      <c r="Y2861" s="53" t="str">
        <f>IF(U2861&lt;&gt;0,X2861/U2861,"")</f>
        <v/>
      </c>
      <c r="Z2861" s="23">
        <v>175.81</v>
      </c>
      <c r="AA2861" s="25">
        <v>145</v>
      </c>
      <c r="AB2861" s="24">
        <v>92.81</v>
      </c>
      <c r="AC2861" s="24">
        <f t="shared" si="785"/>
        <v>83</v>
      </c>
      <c r="AD2861" s="53">
        <f t="shared" si="786"/>
        <v>0.47210056310790055</v>
      </c>
      <c r="AE2861" s="10"/>
    </row>
    <row r="2862" spans="1:31" x14ac:dyDescent="0.25">
      <c r="A2862" s="14" t="s">
        <v>109</v>
      </c>
      <c r="C2862" s="61" t="str">
        <f t="shared" si="784"/>
        <v>C100141</v>
      </c>
      <c r="F2862" s="8" t="str">
        <f>"E100003"</f>
        <v>E100003</v>
      </c>
      <c r="G2862" s="9" t="str">
        <f>"Recycled Tote"</f>
        <v>Recycled Tote</v>
      </c>
      <c r="H2862" s="47"/>
      <c r="I2862" s="47"/>
      <c r="J2862" s="23">
        <v>1281.48</v>
      </c>
      <c r="K2862" s="25">
        <v>432</v>
      </c>
      <c r="L2862" s="24">
        <v>734.43</v>
      </c>
      <c r="M2862" s="24">
        <f>J2862-L2862</f>
        <v>547.05000000000007</v>
      </c>
      <c r="N2862" s="53">
        <f>IF(J2862&lt;&gt;0,M2862/J2862,"")</f>
        <v>0.4268892218372507</v>
      </c>
      <c r="O2862" s="23">
        <v>0</v>
      </c>
      <c r="P2862" s="25">
        <v>0</v>
      </c>
      <c r="Q2862" s="24">
        <v>0</v>
      </c>
      <c r="R2862" s="24">
        <f>O2862-Q2862</f>
        <v>0</v>
      </c>
      <c r="S2862" s="53" t="str">
        <f>IF(O2862&lt;&gt;0,R2862/O2862,"")</f>
        <v/>
      </c>
      <c r="T2862" s="10"/>
      <c r="U2862" s="23">
        <v>0</v>
      </c>
      <c r="V2862" s="25">
        <v>0</v>
      </c>
      <c r="W2862" s="24">
        <v>0</v>
      </c>
      <c r="X2862" s="24">
        <f>U2862-W2862</f>
        <v>0</v>
      </c>
      <c r="Y2862" s="53" t="str">
        <f>IF(U2862&lt;&gt;0,X2862/U2862,"")</f>
        <v/>
      </c>
      <c r="Z2862" s="23">
        <v>431.61</v>
      </c>
      <c r="AA2862" s="25">
        <v>144</v>
      </c>
      <c r="AB2862" s="24">
        <v>244.81000000000003</v>
      </c>
      <c r="AC2862" s="24">
        <f t="shared" si="785"/>
        <v>186.79999999999998</v>
      </c>
      <c r="AD2862" s="53">
        <f t="shared" si="786"/>
        <v>0.43279812793957501</v>
      </c>
      <c r="AE2862" s="10"/>
    </row>
    <row r="2863" spans="1:31" x14ac:dyDescent="0.25">
      <c r="A2863" s="14" t="s">
        <v>109</v>
      </c>
      <c r="C2863" s="61" t="str">
        <f t="shared" si="784"/>
        <v>C100141</v>
      </c>
      <c r="F2863" s="8" t="str">
        <f>"E100004"</f>
        <v>E100004</v>
      </c>
      <c r="G2863" s="9" t="str">
        <f>"Laminated Tote"</f>
        <v>Laminated Tote</v>
      </c>
      <c r="H2863" s="47"/>
      <c r="I2863" s="47"/>
      <c r="J2863" s="23">
        <v>262.59999999999997</v>
      </c>
      <c r="K2863" s="25">
        <v>144</v>
      </c>
      <c r="L2863" s="24">
        <v>172.8</v>
      </c>
      <c r="M2863" s="24">
        <f>J2863-L2863</f>
        <v>89.799999999999955</v>
      </c>
      <c r="N2863" s="53">
        <f>IF(J2863&lt;&gt;0,M2863/J2863,"")</f>
        <v>0.34196496572734186</v>
      </c>
      <c r="O2863" s="23">
        <v>0</v>
      </c>
      <c r="P2863" s="25">
        <v>0</v>
      </c>
      <c r="Q2863" s="24">
        <v>0</v>
      </c>
      <c r="R2863" s="24">
        <f>O2863-Q2863</f>
        <v>0</v>
      </c>
      <c r="S2863" s="53" t="str">
        <f>IF(O2863&lt;&gt;0,R2863/O2863,"")</f>
        <v/>
      </c>
      <c r="T2863" s="10"/>
      <c r="U2863" s="23">
        <v>514.37</v>
      </c>
      <c r="V2863" s="25">
        <v>288</v>
      </c>
      <c r="W2863" s="24">
        <v>345.61</v>
      </c>
      <c r="X2863" s="24">
        <f>U2863-W2863</f>
        <v>168.76</v>
      </c>
      <c r="Y2863" s="53">
        <f>IF(U2863&lt;&gt;0,X2863/U2863,"")</f>
        <v>0.32809067402842312</v>
      </c>
      <c r="Z2863" s="23">
        <v>10.94</v>
      </c>
      <c r="AA2863" s="25">
        <v>6</v>
      </c>
      <c r="AB2863" s="24">
        <v>7.2</v>
      </c>
      <c r="AC2863" s="24">
        <f t="shared" si="785"/>
        <v>3.7399999999999993</v>
      </c>
      <c r="AD2863" s="53">
        <f t="shared" si="786"/>
        <v>0.34186471663619739</v>
      </c>
      <c r="AE2863" s="10"/>
    </row>
    <row r="2864" spans="1:31" x14ac:dyDescent="0.25">
      <c r="A2864" s="14" t="s">
        <v>109</v>
      </c>
      <c r="C2864" s="61" t="str">
        <f t="shared" si="784"/>
        <v>C100141</v>
      </c>
      <c r="F2864" s="8" t="str">
        <f>"E100006"</f>
        <v>E100006</v>
      </c>
      <c r="G2864" s="9" t="str">
        <f>"Budget Tote Bag"</f>
        <v>Budget Tote Bag</v>
      </c>
      <c r="H2864" s="47"/>
      <c r="I2864" s="47"/>
      <c r="J2864" s="23">
        <v>25.750000000000004</v>
      </c>
      <c r="K2864" s="25">
        <v>295</v>
      </c>
      <c r="L2864" s="24">
        <v>11.78</v>
      </c>
      <c r="M2864" s="24">
        <f>J2864-L2864</f>
        <v>13.970000000000004</v>
      </c>
      <c r="N2864" s="53">
        <f>IF(J2864&lt;&gt;0,M2864/J2864,"")</f>
        <v>0.54252427184466023</v>
      </c>
      <c r="O2864" s="23">
        <v>0</v>
      </c>
      <c r="P2864" s="25">
        <v>0</v>
      </c>
      <c r="Q2864" s="24">
        <v>0</v>
      </c>
      <c r="R2864" s="24">
        <f>O2864-Q2864</f>
        <v>0</v>
      </c>
      <c r="S2864" s="53" t="str">
        <f>IF(O2864&lt;&gt;0,R2864/O2864,"")</f>
        <v/>
      </c>
      <c r="T2864" s="10"/>
      <c r="U2864" s="23">
        <v>12.18</v>
      </c>
      <c r="V2864" s="25">
        <v>144</v>
      </c>
      <c r="W2864" s="24">
        <v>5.75</v>
      </c>
      <c r="X2864" s="24">
        <f>U2864-W2864</f>
        <v>6.43</v>
      </c>
      <c r="Y2864" s="53">
        <f>IF(U2864&lt;&gt;0,X2864/U2864,"")</f>
        <v>0.52791461412151064</v>
      </c>
      <c r="Z2864" s="23">
        <v>12.57</v>
      </c>
      <c r="AA2864" s="25">
        <v>144</v>
      </c>
      <c r="AB2864" s="24">
        <v>5.75</v>
      </c>
      <c r="AC2864" s="24">
        <f t="shared" si="785"/>
        <v>6.82</v>
      </c>
      <c r="AD2864" s="53">
        <f t="shared" si="786"/>
        <v>0.54256165473349249</v>
      </c>
      <c r="AE2864" s="10"/>
    </row>
    <row r="2865" spans="1:31" x14ac:dyDescent="0.25">
      <c r="A2865" s="14" t="s">
        <v>109</v>
      </c>
      <c r="C2865" s="61" t="str">
        <f t="shared" si="784"/>
        <v>C100141</v>
      </c>
      <c r="F2865" s="8" t="str">
        <f>"E100008"</f>
        <v>E100008</v>
      </c>
      <c r="G2865" s="9" t="str">
        <f>"Super Shopper"</f>
        <v>Super Shopper</v>
      </c>
      <c r="H2865" s="47"/>
      <c r="I2865" s="47"/>
      <c r="J2865" s="23">
        <v>0</v>
      </c>
      <c r="K2865" s="25">
        <v>0</v>
      </c>
      <c r="L2865" s="24">
        <v>0</v>
      </c>
      <c r="M2865" s="24">
        <f>J2865-L2865</f>
        <v>0</v>
      </c>
      <c r="N2865" s="53" t="str">
        <f>IF(J2865&lt;&gt;0,M2865/J2865,"")</f>
        <v/>
      </c>
      <c r="O2865" s="23">
        <v>0.22</v>
      </c>
      <c r="P2865" s="25">
        <v>1</v>
      </c>
      <c r="Q2865" s="24">
        <v>0.12</v>
      </c>
      <c r="R2865" s="24">
        <f>O2865-Q2865</f>
        <v>0.1</v>
      </c>
      <c r="S2865" s="53">
        <f>IF(O2865&lt;&gt;0,R2865/O2865,"")</f>
        <v>0.45454545454545459</v>
      </c>
      <c r="T2865" s="10"/>
      <c r="U2865" s="23">
        <v>0</v>
      </c>
      <c r="V2865" s="25">
        <v>0</v>
      </c>
      <c r="W2865" s="24">
        <v>0</v>
      </c>
      <c r="X2865" s="24">
        <f>U2865-W2865</f>
        <v>0</v>
      </c>
      <c r="Y2865" s="53" t="str">
        <f>IF(U2865&lt;&gt;0,X2865/U2865,"")</f>
        <v/>
      </c>
      <c r="Z2865" s="23">
        <v>0</v>
      </c>
      <c r="AA2865" s="25">
        <v>0</v>
      </c>
      <c r="AB2865" s="24">
        <v>0</v>
      </c>
      <c r="AC2865" s="24">
        <f t="shared" si="785"/>
        <v>0</v>
      </c>
      <c r="AD2865" s="53" t="str">
        <f t="shared" si="786"/>
        <v/>
      </c>
      <c r="AE2865" s="10"/>
    </row>
    <row r="2866" spans="1:31" x14ac:dyDescent="0.25">
      <c r="A2866" s="14" t="s">
        <v>109</v>
      </c>
      <c r="C2866" s="61" t="str">
        <f t="shared" si="784"/>
        <v>C100141</v>
      </c>
      <c r="F2866" s="8" t="str">
        <f>"E100009"</f>
        <v>E100009</v>
      </c>
      <c r="G2866" s="9" t="str">
        <f>"Die-Cut Tote"</f>
        <v>Die-Cut Tote</v>
      </c>
      <c r="H2866" s="47"/>
      <c r="I2866" s="47"/>
      <c r="J2866" s="23">
        <v>0</v>
      </c>
      <c r="K2866" s="25">
        <v>0</v>
      </c>
      <c r="L2866" s="24">
        <v>0</v>
      </c>
      <c r="M2866" s="24">
        <f>J2866-L2866</f>
        <v>0</v>
      </c>
      <c r="N2866" s="53" t="str">
        <f>IF(J2866&lt;&gt;0,M2866/J2866,"")</f>
        <v/>
      </c>
      <c r="O2866" s="23">
        <v>1.34</v>
      </c>
      <c r="P2866" s="25">
        <v>6</v>
      </c>
      <c r="Q2866" s="24">
        <v>0.66</v>
      </c>
      <c r="R2866" s="24">
        <f>O2866-Q2866</f>
        <v>0.68</v>
      </c>
      <c r="S2866" s="53">
        <f>IF(O2866&lt;&gt;0,R2866/O2866,"")</f>
        <v>0.5074626865671642</v>
      </c>
      <c r="T2866" s="10"/>
      <c r="U2866" s="23">
        <v>94.39</v>
      </c>
      <c r="V2866" s="25">
        <v>432</v>
      </c>
      <c r="W2866" s="24">
        <v>47.56</v>
      </c>
      <c r="X2866" s="24">
        <f>U2866-W2866</f>
        <v>46.83</v>
      </c>
      <c r="Y2866" s="53">
        <f>IF(U2866&lt;&gt;0,X2866/U2866,"")</f>
        <v>0.49613306494332027</v>
      </c>
      <c r="Z2866" s="23">
        <v>0</v>
      </c>
      <c r="AA2866" s="25">
        <v>0</v>
      </c>
      <c r="AB2866" s="24">
        <v>0</v>
      </c>
      <c r="AC2866" s="24">
        <f t="shared" si="785"/>
        <v>0</v>
      </c>
      <c r="AD2866" s="53" t="str">
        <f t="shared" si="786"/>
        <v/>
      </c>
      <c r="AE2866" s="10"/>
    </row>
    <row r="2867" spans="1:31" x14ac:dyDescent="0.25">
      <c r="A2867" s="14" t="s">
        <v>109</v>
      </c>
      <c r="C2867" s="61" t="str">
        <f t="shared" si="784"/>
        <v>C100141</v>
      </c>
      <c r="F2867" s="8" t="str">
        <f>"E100010"</f>
        <v>E100010</v>
      </c>
      <c r="G2867" s="9" t="str">
        <f>"Vinyl Tote"</f>
        <v>Vinyl Tote</v>
      </c>
      <c r="H2867" s="47"/>
      <c r="I2867" s="47"/>
      <c r="J2867" s="23">
        <v>0</v>
      </c>
      <c r="K2867" s="25">
        <v>0</v>
      </c>
      <c r="L2867" s="24">
        <v>0</v>
      </c>
      <c r="M2867" s="24">
        <f>J2867-L2867</f>
        <v>0</v>
      </c>
      <c r="N2867" s="53" t="str">
        <f>IF(J2867&lt;&gt;0,M2867/J2867,"")</f>
        <v/>
      </c>
      <c r="O2867" s="23">
        <v>43.3</v>
      </c>
      <c r="P2867" s="25">
        <v>144</v>
      </c>
      <c r="Q2867" s="24">
        <v>25.92</v>
      </c>
      <c r="R2867" s="24">
        <f>O2867-Q2867</f>
        <v>17.379999999999995</v>
      </c>
      <c r="S2867" s="53">
        <f>IF(O2867&lt;&gt;0,R2867/O2867,"")</f>
        <v>0.40138568129330249</v>
      </c>
      <c r="T2867" s="10"/>
      <c r="U2867" s="23">
        <v>84.66</v>
      </c>
      <c r="V2867" s="25">
        <v>289</v>
      </c>
      <c r="W2867" s="24">
        <v>52.019999999999996</v>
      </c>
      <c r="X2867" s="24">
        <f>U2867-W2867</f>
        <v>32.64</v>
      </c>
      <c r="Y2867" s="53">
        <f>IF(U2867&lt;&gt;0,X2867/U2867,"")</f>
        <v>0.38554216867469882</v>
      </c>
      <c r="Z2867" s="23">
        <v>7.22</v>
      </c>
      <c r="AA2867" s="25">
        <v>24</v>
      </c>
      <c r="AB2867" s="24">
        <v>4.32</v>
      </c>
      <c r="AC2867" s="24">
        <f t="shared" si="785"/>
        <v>2.8999999999999995</v>
      </c>
      <c r="AD2867" s="53">
        <f t="shared" si="786"/>
        <v>0.40166204986149578</v>
      </c>
      <c r="AE2867" s="10"/>
    </row>
    <row r="2868" spans="1:31" x14ac:dyDescent="0.25">
      <c r="A2868" s="14" t="s">
        <v>109</v>
      </c>
      <c r="C2868" s="61" t="str">
        <f t="shared" si="784"/>
        <v>C100141</v>
      </c>
      <c r="F2868" s="8" t="str">
        <f>"E100011"</f>
        <v>E100011</v>
      </c>
      <c r="G2868" s="9" t="str">
        <f>"Plastic Sun Visor"</f>
        <v>Plastic Sun Visor</v>
      </c>
      <c r="H2868" s="47"/>
      <c r="I2868" s="47"/>
      <c r="J2868" s="23">
        <v>226.28</v>
      </c>
      <c r="K2868" s="25">
        <v>288</v>
      </c>
      <c r="L2868" s="24">
        <v>120.93</v>
      </c>
      <c r="M2868" s="24">
        <f>J2868-L2868</f>
        <v>105.35</v>
      </c>
      <c r="N2868" s="53">
        <f>IF(J2868&lt;&gt;0,M2868/J2868,"")</f>
        <v>0.46557362559660592</v>
      </c>
      <c r="O2868" s="23">
        <v>0</v>
      </c>
      <c r="P2868" s="25">
        <v>0</v>
      </c>
      <c r="Q2868" s="24">
        <v>0</v>
      </c>
      <c r="R2868" s="24">
        <f>O2868-Q2868</f>
        <v>0</v>
      </c>
      <c r="S2868" s="53" t="str">
        <f>IF(O2868&lt;&gt;0,R2868/O2868,"")</f>
        <v/>
      </c>
      <c r="T2868" s="10"/>
      <c r="U2868" s="23">
        <v>0.77</v>
      </c>
      <c r="V2868" s="25">
        <v>1</v>
      </c>
      <c r="W2868" s="24">
        <v>0.42</v>
      </c>
      <c r="X2868" s="24">
        <f>U2868-W2868</f>
        <v>0.35000000000000003</v>
      </c>
      <c r="Y2868" s="53">
        <f>IF(U2868&lt;&gt;0,X2868/U2868,"")</f>
        <v>0.45454545454545459</v>
      </c>
      <c r="Z2868" s="23">
        <v>226.28</v>
      </c>
      <c r="AA2868" s="25">
        <v>288</v>
      </c>
      <c r="AB2868" s="24">
        <v>120.94000000000001</v>
      </c>
      <c r="AC2868" s="24">
        <f t="shared" si="785"/>
        <v>105.33999999999999</v>
      </c>
      <c r="AD2868" s="53">
        <f t="shared" si="786"/>
        <v>0.46552943256142826</v>
      </c>
      <c r="AE2868" s="10"/>
    </row>
    <row r="2869" spans="1:31" x14ac:dyDescent="0.25">
      <c r="A2869" s="14" t="s">
        <v>109</v>
      </c>
      <c r="C2869" s="61" t="str">
        <f t="shared" si="784"/>
        <v>C100141</v>
      </c>
      <c r="F2869" s="8" t="str">
        <f>"E100015"</f>
        <v>E100015</v>
      </c>
      <c r="G2869" s="9" t="str">
        <f>"360 Clip Watch"</f>
        <v>360 Clip Watch</v>
      </c>
      <c r="H2869" s="47"/>
      <c r="I2869" s="47"/>
      <c r="J2869" s="23">
        <v>291.02</v>
      </c>
      <c r="K2869" s="25">
        <v>144</v>
      </c>
      <c r="L2869" s="24">
        <v>146.88</v>
      </c>
      <c r="M2869" s="24">
        <f>J2869-L2869</f>
        <v>144.13999999999999</v>
      </c>
      <c r="N2869" s="53">
        <f>IF(J2869&lt;&gt;0,M2869/J2869,"")</f>
        <v>0.49529241976496458</v>
      </c>
      <c r="O2869" s="23">
        <v>0</v>
      </c>
      <c r="P2869" s="25">
        <v>0</v>
      </c>
      <c r="Q2869" s="24">
        <v>0</v>
      </c>
      <c r="R2869" s="24">
        <f>O2869-Q2869</f>
        <v>0</v>
      </c>
      <c r="S2869" s="53" t="str">
        <f>IF(O2869&lt;&gt;0,R2869/O2869,"")</f>
        <v/>
      </c>
      <c r="T2869" s="10"/>
      <c r="U2869" s="23">
        <v>294.12</v>
      </c>
      <c r="V2869" s="25">
        <v>144</v>
      </c>
      <c r="W2869" s="24">
        <v>146.88</v>
      </c>
      <c r="X2869" s="24">
        <f>U2869-W2869</f>
        <v>147.24</v>
      </c>
      <c r="Y2869" s="53">
        <f>IF(U2869&lt;&gt;0,X2869/U2869,"")</f>
        <v>0.5006119951040392</v>
      </c>
      <c r="Z2869" s="23">
        <v>400.42</v>
      </c>
      <c r="AA2869" s="25">
        <v>192</v>
      </c>
      <c r="AB2869" s="24">
        <v>195.85000000000002</v>
      </c>
      <c r="AC2869" s="24">
        <f t="shared" si="785"/>
        <v>204.57</v>
      </c>
      <c r="AD2869" s="53">
        <f t="shared" si="786"/>
        <v>0.51088856700464513</v>
      </c>
      <c r="AE2869" s="10"/>
    </row>
    <row r="2870" spans="1:31" x14ac:dyDescent="0.25">
      <c r="A2870" s="14" t="s">
        <v>109</v>
      </c>
      <c r="C2870" s="61" t="str">
        <f t="shared" si="784"/>
        <v>C100141</v>
      </c>
      <c r="F2870" s="8" t="str">
        <f>"E100016"</f>
        <v>E100016</v>
      </c>
      <c r="G2870" s="9" t="str">
        <f>"4 Function Rotating Carabiner Watch"</f>
        <v>4 Function Rotating Carabiner Watch</v>
      </c>
      <c r="H2870" s="47"/>
      <c r="I2870" s="47"/>
      <c r="J2870" s="23">
        <v>35.39</v>
      </c>
      <c r="K2870" s="25">
        <v>12</v>
      </c>
      <c r="L2870" s="24">
        <v>16.559999999999999</v>
      </c>
      <c r="M2870" s="24">
        <f>J2870-L2870</f>
        <v>18.830000000000002</v>
      </c>
      <c r="N2870" s="53">
        <f>IF(J2870&lt;&gt;0,M2870/J2870,"")</f>
        <v>0.5320712065555242</v>
      </c>
      <c r="O2870" s="23">
        <v>0</v>
      </c>
      <c r="P2870" s="25">
        <v>0</v>
      </c>
      <c r="Q2870" s="24">
        <v>0</v>
      </c>
      <c r="R2870" s="24">
        <f>O2870-Q2870</f>
        <v>0</v>
      </c>
      <c r="S2870" s="53" t="str">
        <f>IF(O2870&lt;&gt;0,R2870/O2870,"")</f>
        <v/>
      </c>
      <c r="T2870" s="10"/>
      <c r="U2870" s="23">
        <v>0</v>
      </c>
      <c r="V2870" s="25">
        <v>0</v>
      </c>
      <c r="W2870" s="24">
        <v>0</v>
      </c>
      <c r="X2870" s="24">
        <f>U2870-W2870</f>
        <v>0</v>
      </c>
      <c r="Y2870" s="53" t="str">
        <f>IF(U2870&lt;&gt;0,X2870/U2870,"")</f>
        <v/>
      </c>
      <c r="Z2870" s="23">
        <v>0</v>
      </c>
      <c r="AA2870" s="25">
        <v>0</v>
      </c>
      <c r="AB2870" s="24">
        <v>0</v>
      </c>
      <c r="AC2870" s="24">
        <f t="shared" si="785"/>
        <v>0</v>
      </c>
      <c r="AD2870" s="53" t="str">
        <f t="shared" si="786"/>
        <v/>
      </c>
      <c r="AE2870" s="10"/>
    </row>
    <row r="2871" spans="1:31" x14ac:dyDescent="0.25">
      <c r="A2871" s="14" t="s">
        <v>109</v>
      </c>
      <c r="C2871" s="61" t="str">
        <f t="shared" si="784"/>
        <v>C100141</v>
      </c>
      <c r="F2871" s="8" t="str">
        <f>"E100019"</f>
        <v>E100019</v>
      </c>
      <c r="G2871" s="9" t="str">
        <f>"Mini Travel Alarm"</f>
        <v>Mini Travel Alarm</v>
      </c>
      <c r="H2871" s="47"/>
      <c r="I2871" s="47"/>
      <c r="J2871" s="23">
        <v>3.29</v>
      </c>
      <c r="K2871" s="25">
        <v>1</v>
      </c>
      <c r="L2871" s="24">
        <v>1.62</v>
      </c>
      <c r="M2871" s="24">
        <f>J2871-L2871</f>
        <v>1.67</v>
      </c>
      <c r="N2871" s="53">
        <f>IF(J2871&lt;&gt;0,M2871/J2871,"")</f>
        <v>0.50759878419452886</v>
      </c>
      <c r="O2871" s="23">
        <v>0</v>
      </c>
      <c r="P2871" s="25">
        <v>0</v>
      </c>
      <c r="Q2871" s="24">
        <v>0</v>
      </c>
      <c r="R2871" s="24">
        <f>O2871-Q2871</f>
        <v>0</v>
      </c>
      <c r="S2871" s="53" t="str">
        <f>IF(O2871&lt;&gt;0,R2871/O2871,"")</f>
        <v/>
      </c>
      <c r="T2871" s="10"/>
      <c r="U2871" s="23">
        <v>0</v>
      </c>
      <c r="V2871" s="25">
        <v>0</v>
      </c>
      <c r="W2871" s="24">
        <v>0</v>
      </c>
      <c r="X2871" s="24">
        <f>U2871-W2871</f>
        <v>0</v>
      </c>
      <c r="Y2871" s="53" t="str">
        <f>IF(U2871&lt;&gt;0,X2871/U2871,"")</f>
        <v/>
      </c>
      <c r="Z2871" s="23">
        <v>0</v>
      </c>
      <c r="AA2871" s="25">
        <v>0</v>
      </c>
      <c r="AB2871" s="24">
        <v>0</v>
      </c>
      <c r="AC2871" s="24">
        <f t="shared" si="785"/>
        <v>0</v>
      </c>
      <c r="AD2871" s="53" t="str">
        <f t="shared" si="786"/>
        <v/>
      </c>
      <c r="AE2871" s="10"/>
    </row>
    <row r="2872" spans="1:31" x14ac:dyDescent="0.25">
      <c r="A2872" s="14" t="s">
        <v>109</v>
      </c>
      <c r="C2872" s="61" t="str">
        <f t="shared" si="784"/>
        <v>C100141</v>
      </c>
      <c r="F2872" s="8" t="str">
        <f>"E100022"</f>
        <v>E100022</v>
      </c>
      <c r="G2872" s="9" t="str">
        <f>"Wide Screen Alarm Clock"</f>
        <v>Wide Screen Alarm Clock</v>
      </c>
      <c r="H2872" s="47"/>
      <c r="I2872" s="47"/>
      <c r="J2872" s="23">
        <v>269.58</v>
      </c>
      <c r="K2872" s="25">
        <v>144</v>
      </c>
      <c r="L2872" s="24">
        <v>184.31</v>
      </c>
      <c r="M2872" s="24">
        <f>J2872-L2872</f>
        <v>85.269999999999982</v>
      </c>
      <c r="N2872" s="53">
        <f>IF(J2872&lt;&gt;0,M2872/J2872,"")</f>
        <v>0.31630684768899764</v>
      </c>
      <c r="O2872" s="23">
        <v>0</v>
      </c>
      <c r="P2872" s="25">
        <v>0</v>
      </c>
      <c r="Q2872" s="24">
        <v>0</v>
      </c>
      <c r="R2872" s="24">
        <f>O2872-Q2872</f>
        <v>0</v>
      </c>
      <c r="S2872" s="53" t="str">
        <f>IF(O2872&lt;&gt;0,R2872/O2872,"")</f>
        <v/>
      </c>
      <c r="T2872" s="10"/>
      <c r="U2872" s="23">
        <v>0</v>
      </c>
      <c r="V2872" s="25">
        <v>0</v>
      </c>
      <c r="W2872" s="24">
        <v>0</v>
      </c>
      <c r="X2872" s="24">
        <f>U2872-W2872</f>
        <v>0</v>
      </c>
      <c r="Y2872" s="53" t="str">
        <f>IF(U2872&lt;&gt;0,X2872/U2872,"")</f>
        <v/>
      </c>
      <c r="Z2872" s="23">
        <v>0</v>
      </c>
      <c r="AA2872" s="25">
        <v>0</v>
      </c>
      <c r="AB2872" s="24">
        <v>0</v>
      </c>
      <c r="AC2872" s="24">
        <f t="shared" si="785"/>
        <v>0</v>
      </c>
      <c r="AD2872" s="53" t="str">
        <f t="shared" si="786"/>
        <v/>
      </c>
      <c r="AE2872" s="10"/>
    </row>
    <row r="2873" spans="1:31" x14ac:dyDescent="0.25">
      <c r="A2873" s="14" t="s">
        <v>109</v>
      </c>
      <c r="C2873" s="61" t="str">
        <f t="shared" si="784"/>
        <v>C100141</v>
      </c>
      <c r="F2873" s="8" t="str">
        <f>"E100024"</f>
        <v>E100024</v>
      </c>
      <c r="G2873" s="9" t="str">
        <f>"Arch Calculator"</f>
        <v>Arch Calculator</v>
      </c>
      <c r="H2873" s="47"/>
      <c r="I2873" s="47"/>
      <c r="J2873" s="23">
        <v>860.8900000000001</v>
      </c>
      <c r="K2873" s="25">
        <v>288</v>
      </c>
      <c r="L2873" s="24">
        <v>495.18</v>
      </c>
      <c r="M2873" s="24">
        <f>J2873-L2873</f>
        <v>365.71000000000009</v>
      </c>
      <c r="N2873" s="53">
        <f>IF(J2873&lt;&gt;0,M2873/J2873,"")</f>
        <v>0.42480456271997591</v>
      </c>
      <c r="O2873" s="23">
        <v>0</v>
      </c>
      <c r="P2873" s="25">
        <v>0</v>
      </c>
      <c r="Q2873" s="24">
        <v>0</v>
      </c>
      <c r="R2873" s="24">
        <f>O2873-Q2873</f>
        <v>0</v>
      </c>
      <c r="S2873" s="53" t="str">
        <f>IF(O2873&lt;&gt;0,R2873/O2873,"")</f>
        <v/>
      </c>
      <c r="T2873" s="10"/>
      <c r="U2873" s="23">
        <v>0</v>
      </c>
      <c r="V2873" s="25">
        <v>0</v>
      </c>
      <c r="W2873" s="24">
        <v>0</v>
      </c>
      <c r="X2873" s="24">
        <f>U2873-W2873</f>
        <v>0</v>
      </c>
      <c r="Y2873" s="53" t="str">
        <f>IF(U2873&lt;&gt;0,X2873/U2873,"")</f>
        <v/>
      </c>
      <c r="Z2873" s="23">
        <v>444.18000000000006</v>
      </c>
      <c r="AA2873" s="25">
        <v>144</v>
      </c>
      <c r="AB2873" s="24">
        <v>247.59</v>
      </c>
      <c r="AC2873" s="24">
        <f t="shared" si="785"/>
        <v>196.59000000000006</v>
      </c>
      <c r="AD2873" s="53">
        <f t="shared" si="786"/>
        <v>0.44259084155072276</v>
      </c>
      <c r="AE2873" s="10"/>
    </row>
    <row r="2874" spans="1:31" x14ac:dyDescent="0.25">
      <c r="A2874" s="14" t="s">
        <v>109</v>
      </c>
      <c r="C2874" s="61" t="str">
        <f t="shared" si="784"/>
        <v>C100141</v>
      </c>
      <c r="F2874" s="8" t="str">
        <f>"E100025"</f>
        <v>E100025</v>
      </c>
      <c r="G2874" s="9" t="str">
        <f>"Calc-U-Note"</f>
        <v>Calc-U-Note</v>
      </c>
      <c r="H2874" s="47"/>
      <c r="I2874" s="47"/>
      <c r="J2874" s="23">
        <v>221.99</v>
      </c>
      <c r="K2874" s="25">
        <v>144</v>
      </c>
      <c r="L2874" s="24">
        <v>146.80000000000001</v>
      </c>
      <c r="M2874" s="24">
        <f>J2874-L2874</f>
        <v>75.19</v>
      </c>
      <c r="N2874" s="53">
        <f>IF(J2874&lt;&gt;0,M2874/J2874,"")</f>
        <v>0.33870895085364205</v>
      </c>
      <c r="O2874" s="23">
        <v>230.67</v>
      </c>
      <c r="P2874" s="25">
        <v>145</v>
      </c>
      <c r="Q2874" s="24">
        <v>147.82</v>
      </c>
      <c r="R2874" s="24">
        <f>O2874-Q2874</f>
        <v>82.85</v>
      </c>
      <c r="S2874" s="53">
        <f>IF(O2874&lt;&gt;0,R2874/O2874,"")</f>
        <v>0.35917111024407161</v>
      </c>
      <c r="T2874" s="10"/>
      <c r="U2874" s="23">
        <v>0</v>
      </c>
      <c r="V2874" s="25">
        <v>0</v>
      </c>
      <c r="W2874" s="24">
        <v>0</v>
      </c>
      <c r="X2874" s="24">
        <f>U2874-W2874</f>
        <v>0</v>
      </c>
      <c r="Y2874" s="53" t="str">
        <f>IF(U2874&lt;&gt;0,X2874/U2874,"")</f>
        <v/>
      </c>
      <c r="Z2874" s="23">
        <v>0</v>
      </c>
      <c r="AA2874" s="25">
        <v>0</v>
      </c>
      <c r="AB2874" s="24">
        <v>0</v>
      </c>
      <c r="AC2874" s="24">
        <f t="shared" si="785"/>
        <v>0</v>
      </c>
      <c r="AD2874" s="53" t="str">
        <f t="shared" si="786"/>
        <v/>
      </c>
      <c r="AE2874" s="10"/>
    </row>
    <row r="2875" spans="1:31" x14ac:dyDescent="0.25">
      <c r="A2875" s="14" t="s">
        <v>109</v>
      </c>
      <c r="C2875" s="61" t="str">
        <f t="shared" si="784"/>
        <v>C100141</v>
      </c>
      <c r="F2875" s="8" t="str">
        <f>"E100032"</f>
        <v>E100032</v>
      </c>
      <c r="G2875" s="9" t="str">
        <f>"Button Key-Light"</f>
        <v>Button Key-Light</v>
      </c>
      <c r="H2875" s="47"/>
      <c r="I2875" s="47"/>
      <c r="J2875" s="23">
        <v>151.78</v>
      </c>
      <c r="K2875" s="25">
        <v>312</v>
      </c>
      <c r="L2875" s="24">
        <v>102.97999999999999</v>
      </c>
      <c r="M2875" s="24">
        <f>J2875-L2875</f>
        <v>48.800000000000011</v>
      </c>
      <c r="N2875" s="53">
        <f>IF(J2875&lt;&gt;0,M2875/J2875,"")</f>
        <v>0.3215179865594941</v>
      </c>
      <c r="O2875" s="23">
        <v>0</v>
      </c>
      <c r="P2875" s="25">
        <v>0</v>
      </c>
      <c r="Q2875" s="24">
        <v>0</v>
      </c>
      <c r="R2875" s="24">
        <f>O2875-Q2875</f>
        <v>0</v>
      </c>
      <c r="S2875" s="53" t="str">
        <f>IF(O2875&lt;&gt;0,R2875/O2875,"")</f>
        <v/>
      </c>
      <c r="T2875" s="10"/>
      <c r="U2875" s="23">
        <v>0</v>
      </c>
      <c r="V2875" s="25">
        <v>0</v>
      </c>
      <c r="W2875" s="24">
        <v>0</v>
      </c>
      <c r="X2875" s="24">
        <f>U2875-W2875</f>
        <v>0</v>
      </c>
      <c r="Y2875" s="53" t="str">
        <f>IF(U2875&lt;&gt;0,X2875/U2875,"")</f>
        <v/>
      </c>
      <c r="Z2875" s="23">
        <v>0.49</v>
      </c>
      <c r="AA2875" s="25">
        <v>1</v>
      </c>
      <c r="AB2875" s="24">
        <v>0.33</v>
      </c>
      <c r="AC2875" s="24">
        <f t="shared" si="785"/>
        <v>0.15999999999999998</v>
      </c>
      <c r="AD2875" s="53">
        <f t="shared" si="786"/>
        <v>0.32653061224489793</v>
      </c>
      <c r="AE2875" s="10"/>
    </row>
    <row r="2876" spans="1:31" x14ac:dyDescent="0.25">
      <c r="A2876" s="14" t="s">
        <v>109</v>
      </c>
      <c r="C2876" s="61" t="str">
        <f t="shared" si="784"/>
        <v>C100141</v>
      </c>
      <c r="F2876" s="8" t="str">
        <f>"E100033"</f>
        <v>E100033</v>
      </c>
      <c r="G2876" s="9" t="str">
        <f>"Dual Source Flashlight"</f>
        <v>Dual Source Flashlight</v>
      </c>
      <c r="H2876" s="47"/>
      <c r="I2876" s="47"/>
      <c r="J2876" s="23">
        <v>458.15</v>
      </c>
      <c r="K2876" s="25">
        <v>144</v>
      </c>
      <c r="L2876" s="24">
        <v>224.60000000000002</v>
      </c>
      <c r="M2876" s="24">
        <f>J2876-L2876</f>
        <v>233.54999999999995</v>
      </c>
      <c r="N2876" s="53">
        <f>IF(J2876&lt;&gt;0,M2876/J2876,"")</f>
        <v>0.50976754338098873</v>
      </c>
      <c r="O2876" s="23">
        <v>0</v>
      </c>
      <c r="P2876" s="25">
        <v>0</v>
      </c>
      <c r="Q2876" s="24">
        <v>0</v>
      </c>
      <c r="R2876" s="24">
        <f>O2876-Q2876</f>
        <v>0</v>
      </c>
      <c r="S2876" s="53" t="str">
        <f>IF(O2876&lt;&gt;0,R2876/O2876,"")</f>
        <v/>
      </c>
      <c r="T2876" s="10"/>
      <c r="U2876" s="23">
        <v>448.70000000000005</v>
      </c>
      <c r="V2876" s="25">
        <v>144</v>
      </c>
      <c r="W2876" s="24">
        <v>224.60000000000002</v>
      </c>
      <c r="X2876" s="24">
        <f>U2876-W2876</f>
        <v>224.10000000000002</v>
      </c>
      <c r="Y2876" s="53">
        <f>IF(U2876&lt;&gt;0,X2876/U2876,"")</f>
        <v>0.49944283485625141</v>
      </c>
      <c r="Z2876" s="23">
        <v>0</v>
      </c>
      <c r="AA2876" s="25">
        <v>0</v>
      </c>
      <c r="AB2876" s="24">
        <v>0</v>
      </c>
      <c r="AC2876" s="24">
        <f t="shared" si="785"/>
        <v>0</v>
      </c>
      <c r="AD2876" s="53" t="str">
        <f t="shared" si="786"/>
        <v/>
      </c>
      <c r="AE2876" s="10"/>
    </row>
    <row r="2877" spans="1:31" x14ac:dyDescent="0.25">
      <c r="A2877" s="14" t="s">
        <v>109</v>
      </c>
      <c r="C2877" s="61" t="str">
        <f t="shared" si="784"/>
        <v>C100141</v>
      </c>
      <c r="F2877" s="8" t="str">
        <f>"E100035"</f>
        <v>E100035</v>
      </c>
      <c r="G2877" s="9" t="str">
        <f>"2GB Foldout USB Flash Drive"</f>
        <v>2GB Foldout USB Flash Drive</v>
      </c>
      <c r="H2877" s="47"/>
      <c r="I2877" s="47"/>
      <c r="J2877" s="23">
        <v>183.94</v>
      </c>
      <c r="K2877" s="25">
        <v>49</v>
      </c>
      <c r="L2877" s="24">
        <v>110.27</v>
      </c>
      <c r="M2877" s="24">
        <f>J2877-L2877</f>
        <v>73.67</v>
      </c>
      <c r="N2877" s="53">
        <f>IF(J2877&lt;&gt;0,M2877/J2877,"")</f>
        <v>0.40051103620745898</v>
      </c>
      <c r="O2877" s="23">
        <v>0</v>
      </c>
      <c r="P2877" s="25">
        <v>0</v>
      </c>
      <c r="Q2877" s="24">
        <v>0</v>
      </c>
      <c r="R2877" s="24">
        <f>O2877-Q2877</f>
        <v>0</v>
      </c>
      <c r="S2877" s="53" t="str">
        <f>IF(O2877&lt;&gt;0,R2877/O2877,"")</f>
        <v/>
      </c>
      <c r="T2877" s="10"/>
      <c r="U2877" s="23">
        <v>529.41999999999996</v>
      </c>
      <c r="V2877" s="25">
        <v>144</v>
      </c>
      <c r="W2877" s="24">
        <v>324.05</v>
      </c>
      <c r="X2877" s="24">
        <f>U2877-W2877</f>
        <v>205.36999999999995</v>
      </c>
      <c r="Y2877" s="53">
        <f>IF(U2877&lt;&gt;0,X2877/U2877,"")</f>
        <v>0.38791507687658183</v>
      </c>
      <c r="Z2877" s="23">
        <v>720.75</v>
      </c>
      <c r="AA2877" s="25">
        <v>192</v>
      </c>
      <c r="AB2877" s="24">
        <v>432.06999999999994</v>
      </c>
      <c r="AC2877" s="24">
        <f t="shared" si="785"/>
        <v>288.68000000000006</v>
      </c>
      <c r="AD2877" s="53">
        <f t="shared" si="786"/>
        <v>0.40052722858133899</v>
      </c>
      <c r="AE2877" s="10"/>
    </row>
    <row r="2878" spans="1:31" x14ac:dyDescent="0.25">
      <c r="A2878" s="14" t="s">
        <v>109</v>
      </c>
      <c r="C2878" s="61" t="str">
        <f t="shared" si="784"/>
        <v>C100141</v>
      </c>
      <c r="F2878" s="8" t="str">
        <f>"E100038"</f>
        <v>E100038</v>
      </c>
      <c r="G2878" s="9" t="str">
        <f>"1GB USB Flash Drive Pen"</f>
        <v>1GB USB Flash Drive Pen</v>
      </c>
      <c r="H2878" s="47"/>
      <c r="I2878" s="47"/>
      <c r="J2878" s="23">
        <v>807.06000000000006</v>
      </c>
      <c r="K2878" s="25">
        <v>146</v>
      </c>
      <c r="L2878" s="24">
        <v>433.66999999999996</v>
      </c>
      <c r="M2878" s="24">
        <f>J2878-L2878</f>
        <v>373.3900000000001</v>
      </c>
      <c r="N2878" s="53">
        <f>IF(J2878&lt;&gt;0,M2878/J2878,"")</f>
        <v>0.46265457338983479</v>
      </c>
      <c r="O2878" s="23">
        <v>0</v>
      </c>
      <c r="P2878" s="25">
        <v>0</v>
      </c>
      <c r="Q2878" s="24">
        <v>0</v>
      </c>
      <c r="R2878" s="24">
        <f>O2878-Q2878</f>
        <v>0</v>
      </c>
      <c r="S2878" s="53" t="str">
        <f>IF(O2878&lt;&gt;0,R2878/O2878,"")</f>
        <v/>
      </c>
      <c r="T2878" s="10"/>
      <c r="U2878" s="23">
        <v>0</v>
      </c>
      <c r="V2878" s="25">
        <v>0</v>
      </c>
      <c r="W2878" s="24">
        <v>0</v>
      </c>
      <c r="X2878" s="24">
        <f>U2878-W2878</f>
        <v>0</v>
      </c>
      <c r="Y2878" s="53" t="str">
        <f>IF(U2878&lt;&gt;0,X2878/U2878,"")</f>
        <v/>
      </c>
      <c r="Z2878" s="23">
        <v>0</v>
      </c>
      <c r="AA2878" s="25">
        <v>0</v>
      </c>
      <c r="AB2878" s="24">
        <v>0</v>
      </c>
      <c r="AC2878" s="24">
        <f t="shared" si="785"/>
        <v>0</v>
      </c>
      <c r="AD2878" s="53" t="str">
        <f t="shared" si="786"/>
        <v/>
      </c>
      <c r="AE2878" s="10"/>
    </row>
    <row r="2879" spans="1:31" x14ac:dyDescent="0.25">
      <c r="A2879" s="14" t="s">
        <v>109</v>
      </c>
      <c r="C2879" s="61" t="str">
        <f t="shared" si="784"/>
        <v>C100141</v>
      </c>
      <c r="F2879" s="8" t="str">
        <f>"E100039"</f>
        <v>E100039</v>
      </c>
      <c r="G2879" s="9" t="str">
        <f>"Campfire Mug"</f>
        <v>Campfire Mug</v>
      </c>
      <c r="H2879" s="47"/>
      <c r="I2879" s="47"/>
      <c r="J2879" s="23">
        <v>279.05</v>
      </c>
      <c r="K2879" s="25">
        <v>168</v>
      </c>
      <c r="L2879" s="24">
        <v>188.25</v>
      </c>
      <c r="M2879" s="24">
        <f>J2879-L2879</f>
        <v>90.800000000000011</v>
      </c>
      <c r="N2879" s="53">
        <f>IF(J2879&lt;&gt;0,M2879/J2879,"")</f>
        <v>0.32538971510481995</v>
      </c>
      <c r="O2879" s="23">
        <v>0</v>
      </c>
      <c r="P2879" s="25">
        <v>0</v>
      </c>
      <c r="Q2879" s="24">
        <v>0</v>
      </c>
      <c r="R2879" s="24">
        <f>O2879-Q2879</f>
        <v>0</v>
      </c>
      <c r="S2879" s="53" t="str">
        <f>IF(O2879&lt;&gt;0,R2879/O2879,"")</f>
        <v/>
      </c>
      <c r="T2879" s="10"/>
      <c r="U2879" s="23">
        <v>235.3</v>
      </c>
      <c r="V2879" s="25">
        <v>144</v>
      </c>
      <c r="W2879" s="24">
        <v>161.36000000000001</v>
      </c>
      <c r="X2879" s="24">
        <f>U2879-W2879</f>
        <v>73.94</v>
      </c>
      <c r="Y2879" s="53">
        <f>IF(U2879&lt;&gt;0,X2879/U2879,"")</f>
        <v>0.31423714407139819</v>
      </c>
      <c r="Z2879" s="23">
        <v>0</v>
      </c>
      <c r="AA2879" s="25">
        <v>0</v>
      </c>
      <c r="AB2879" s="24">
        <v>0</v>
      </c>
      <c r="AC2879" s="24">
        <f t="shared" si="785"/>
        <v>0</v>
      </c>
      <c r="AD2879" s="53" t="str">
        <f t="shared" si="786"/>
        <v/>
      </c>
      <c r="AE2879" s="10"/>
    </row>
    <row r="2880" spans="1:31" x14ac:dyDescent="0.25">
      <c r="A2880" s="14" t="s">
        <v>109</v>
      </c>
      <c r="C2880" s="61" t="str">
        <f t="shared" si="784"/>
        <v>C100141</v>
      </c>
      <c r="F2880" s="8" t="str">
        <f>"E100041"</f>
        <v>E100041</v>
      </c>
      <c r="G2880" s="9" t="str">
        <f>"Biodegradable Colored SPORT BOT"</f>
        <v>Biodegradable Colored SPORT BOT</v>
      </c>
      <c r="H2880" s="47"/>
      <c r="I2880" s="47"/>
      <c r="J2880" s="23">
        <v>189.78</v>
      </c>
      <c r="K2880" s="25">
        <v>288</v>
      </c>
      <c r="L2880" s="24">
        <v>123.80000000000001</v>
      </c>
      <c r="M2880" s="24">
        <f>J2880-L2880</f>
        <v>65.97999999999999</v>
      </c>
      <c r="N2880" s="53">
        <f>IF(J2880&lt;&gt;0,M2880/J2880,"")</f>
        <v>0.34766571820002101</v>
      </c>
      <c r="O2880" s="23">
        <v>0</v>
      </c>
      <c r="P2880" s="25">
        <v>0</v>
      </c>
      <c r="Q2880" s="24">
        <v>0</v>
      </c>
      <c r="R2880" s="24">
        <f>O2880-Q2880</f>
        <v>0</v>
      </c>
      <c r="S2880" s="53" t="str">
        <f>IF(O2880&lt;&gt;0,R2880/O2880,"")</f>
        <v/>
      </c>
      <c r="T2880" s="10"/>
      <c r="U2880" s="23">
        <v>0</v>
      </c>
      <c r="V2880" s="25">
        <v>0</v>
      </c>
      <c r="W2880" s="24">
        <v>0</v>
      </c>
      <c r="X2880" s="24">
        <f>U2880-W2880</f>
        <v>0</v>
      </c>
      <c r="Y2880" s="53" t="str">
        <f>IF(U2880&lt;&gt;0,X2880/U2880,"")</f>
        <v/>
      </c>
      <c r="Z2880" s="23">
        <v>96.38000000000001</v>
      </c>
      <c r="AA2880" s="25">
        <v>144</v>
      </c>
      <c r="AB2880" s="24">
        <v>61.900000000000006</v>
      </c>
      <c r="AC2880" s="24">
        <f t="shared" si="785"/>
        <v>34.480000000000004</v>
      </c>
      <c r="AD2880" s="53">
        <f t="shared" si="786"/>
        <v>0.35775057065781285</v>
      </c>
      <c r="AE2880" s="10"/>
    </row>
    <row r="2881" spans="1:31" x14ac:dyDescent="0.25">
      <c r="A2881" s="14" t="s">
        <v>109</v>
      </c>
      <c r="C2881" s="61" t="str">
        <f t="shared" si="784"/>
        <v>C100141</v>
      </c>
      <c r="F2881" s="8" t="str">
        <f>"E100045"</f>
        <v>E100045</v>
      </c>
      <c r="G2881" s="9" t="str">
        <f>"Flute"</f>
        <v>Flute</v>
      </c>
      <c r="H2881" s="47"/>
      <c r="I2881" s="47"/>
      <c r="J2881" s="23">
        <v>138.28</v>
      </c>
      <c r="K2881" s="25">
        <v>144</v>
      </c>
      <c r="L2881" s="24">
        <v>89.3</v>
      </c>
      <c r="M2881" s="24">
        <f>J2881-L2881</f>
        <v>48.980000000000004</v>
      </c>
      <c r="N2881" s="53">
        <f>IF(J2881&lt;&gt;0,M2881/J2881,"")</f>
        <v>0.35420885160543825</v>
      </c>
      <c r="O2881" s="23">
        <v>0</v>
      </c>
      <c r="P2881" s="25">
        <v>0</v>
      </c>
      <c r="Q2881" s="24">
        <v>0</v>
      </c>
      <c r="R2881" s="24">
        <f>O2881-Q2881</f>
        <v>0</v>
      </c>
      <c r="S2881" s="53" t="str">
        <f>IF(O2881&lt;&gt;0,R2881/O2881,"")</f>
        <v/>
      </c>
      <c r="T2881" s="10"/>
      <c r="U2881" s="23">
        <v>134.01</v>
      </c>
      <c r="V2881" s="25">
        <v>144</v>
      </c>
      <c r="W2881" s="24">
        <v>89.3</v>
      </c>
      <c r="X2881" s="24">
        <f>U2881-W2881</f>
        <v>44.709999999999994</v>
      </c>
      <c r="Y2881" s="53">
        <f>IF(U2881&lt;&gt;0,X2881/U2881,"")</f>
        <v>0.33363181852100587</v>
      </c>
      <c r="Z2881" s="23">
        <v>0</v>
      </c>
      <c r="AA2881" s="25">
        <v>0</v>
      </c>
      <c r="AB2881" s="24">
        <v>0</v>
      </c>
      <c r="AC2881" s="24">
        <f t="shared" si="785"/>
        <v>0</v>
      </c>
      <c r="AD2881" s="53" t="str">
        <f t="shared" si="786"/>
        <v/>
      </c>
      <c r="AE2881" s="10"/>
    </row>
    <row r="2882" spans="1:31" x14ac:dyDescent="0.25">
      <c r="A2882" s="14" t="s">
        <v>109</v>
      </c>
      <c r="C2882" s="61" t="str">
        <f t="shared" si="784"/>
        <v>C100141</v>
      </c>
      <c r="F2882" s="8" t="str">
        <f>"E100047"</f>
        <v>E100047</v>
      </c>
      <c r="G2882" s="9" t="str">
        <f>"Chardonnay Glass"</f>
        <v>Chardonnay Glass</v>
      </c>
      <c r="H2882" s="47"/>
      <c r="I2882" s="47"/>
      <c r="J2882" s="23">
        <v>251.42</v>
      </c>
      <c r="K2882" s="25">
        <v>144</v>
      </c>
      <c r="L2882" s="24">
        <v>151.19999999999999</v>
      </c>
      <c r="M2882" s="24">
        <f>J2882-L2882</f>
        <v>100.22</v>
      </c>
      <c r="N2882" s="53">
        <f>IF(J2882&lt;&gt;0,M2882/J2882,"")</f>
        <v>0.39861586190438314</v>
      </c>
      <c r="O2882" s="23">
        <v>0</v>
      </c>
      <c r="P2882" s="25">
        <v>0</v>
      </c>
      <c r="Q2882" s="24">
        <v>0</v>
      </c>
      <c r="R2882" s="24">
        <f>O2882-Q2882</f>
        <v>0</v>
      </c>
      <c r="S2882" s="53" t="str">
        <f>IF(O2882&lt;&gt;0,R2882/O2882,"")</f>
        <v/>
      </c>
      <c r="T2882" s="10"/>
      <c r="U2882" s="23">
        <v>0</v>
      </c>
      <c r="V2882" s="25">
        <v>0</v>
      </c>
      <c r="W2882" s="24">
        <v>0</v>
      </c>
      <c r="X2882" s="24">
        <f>U2882-W2882</f>
        <v>0</v>
      </c>
      <c r="Y2882" s="53" t="str">
        <f>IF(U2882&lt;&gt;0,X2882/U2882,"")</f>
        <v/>
      </c>
      <c r="Z2882" s="23">
        <v>0</v>
      </c>
      <c r="AA2882" s="25">
        <v>0</v>
      </c>
      <c r="AB2882" s="24">
        <v>0</v>
      </c>
      <c r="AC2882" s="24">
        <f t="shared" si="785"/>
        <v>0</v>
      </c>
      <c r="AD2882" s="53" t="str">
        <f t="shared" si="786"/>
        <v/>
      </c>
      <c r="AE2882" s="10"/>
    </row>
    <row r="2883" spans="1:31" x14ac:dyDescent="0.25">
      <c r="A2883" s="14" t="s">
        <v>109</v>
      </c>
      <c r="C2883" s="61" t="str">
        <f t="shared" si="784"/>
        <v>C100141</v>
      </c>
      <c r="F2883" s="8" t="str">
        <f>"S100003"</f>
        <v>S100003</v>
      </c>
      <c r="G2883" s="9" t="str">
        <f>"Soccer #1 Pin"</f>
        <v>Soccer #1 Pin</v>
      </c>
      <c r="H2883" s="47"/>
      <c r="I2883" s="47"/>
      <c r="J2883" s="23">
        <v>412.56</v>
      </c>
      <c r="K2883" s="25">
        <v>288</v>
      </c>
      <c r="L2883" s="24">
        <v>259.2</v>
      </c>
      <c r="M2883" s="24">
        <f>J2883-L2883</f>
        <v>153.36000000000001</v>
      </c>
      <c r="N2883" s="53">
        <f>IF(J2883&lt;&gt;0,M2883/J2883,"")</f>
        <v>0.37172774869109948</v>
      </c>
      <c r="O2883" s="23">
        <v>0</v>
      </c>
      <c r="P2883" s="25">
        <v>0</v>
      </c>
      <c r="Q2883" s="24">
        <v>0</v>
      </c>
      <c r="R2883" s="24">
        <f>O2883-Q2883</f>
        <v>0</v>
      </c>
      <c r="S2883" s="53" t="str">
        <f>IF(O2883&lt;&gt;0,R2883/O2883,"")</f>
        <v/>
      </c>
      <c r="T2883" s="10"/>
      <c r="U2883" s="23">
        <v>0</v>
      </c>
      <c r="V2883" s="25">
        <v>0</v>
      </c>
      <c r="W2883" s="24">
        <v>0</v>
      </c>
      <c r="X2883" s="24">
        <f>U2883-W2883</f>
        <v>0</v>
      </c>
      <c r="Y2883" s="53" t="str">
        <f>IF(U2883&lt;&gt;0,X2883/U2883,"")</f>
        <v/>
      </c>
      <c r="Z2883" s="23">
        <v>419.04</v>
      </c>
      <c r="AA2883" s="25">
        <v>288</v>
      </c>
      <c r="AB2883" s="24">
        <v>259.2</v>
      </c>
      <c r="AC2883" s="24">
        <f t="shared" si="785"/>
        <v>159.84000000000003</v>
      </c>
      <c r="AD2883" s="53">
        <f t="shared" si="786"/>
        <v>0.3814432989690722</v>
      </c>
      <c r="AE2883" s="10"/>
    </row>
    <row r="2884" spans="1:31" x14ac:dyDescent="0.25">
      <c r="A2884" s="14" t="s">
        <v>109</v>
      </c>
      <c r="C2884" s="61" t="str">
        <f t="shared" si="784"/>
        <v>C100141</v>
      </c>
      <c r="F2884" s="8" t="str">
        <f>"S100011"</f>
        <v>S100011</v>
      </c>
      <c r="G2884" s="9" t="str">
        <f>"All Star Cap"</f>
        <v>All Star Cap</v>
      </c>
      <c r="H2884" s="47"/>
      <c r="I2884" s="47"/>
      <c r="J2884" s="23">
        <v>202.54</v>
      </c>
      <c r="K2884" s="25">
        <v>144</v>
      </c>
      <c r="L2884" s="24">
        <v>122.41</v>
      </c>
      <c r="M2884" s="24">
        <f>J2884-L2884</f>
        <v>80.13</v>
      </c>
      <c r="N2884" s="53">
        <f>IF(J2884&lt;&gt;0,M2884/J2884,"")</f>
        <v>0.39562555544583783</v>
      </c>
      <c r="O2884" s="23">
        <v>0</v>
      </c>
      <c r="P2884" s="25">
        <v>0</v>
      </c>
      <c r="Q2884" s="24">
        <v>0</v>
      </c>
      <c r="R2884" s="24">
        <f>O2884-Q2884</f>
        <v>0</v>
      </c>
      <c r="S2884" s="53" t="str">
        <f>IF(O2884&lt;&gt;0,R2884/O2884,"")</f>
        <v/>
      </c>
      <c r="T2884" s="10"/>
      <c r="U2884" s="23">
        <v>214.72</v>
      </c>
      <c r="V2884" s="25">
        <v>156</v>
      </c>
      <c r="W2884" s="24">
        <v>132.61000000000001</v>
      </c>
      <c r="X2884" s="24">
        <f>U2884-W2884</f>
        <v>82.109999999999985</v>
      </c>
      <c r="Y2884" s="53">
        <f>IF(U2884&lt;&gt;0,X2884/U2884,"")</f>
        <v>0.38240499254843513</v>
      </c>
      <c r="Z2884" s="23">
        <v>202.54</v>
      </c>
      <c r="AA2884" s="25">
        <v>144</v>
      </c>
      <c r="AB2884" s="24">
        <v>122.41</v>
      </c>
      <c r="AC2884" s="24">
        <f t="shared" si="785"/>
        <v>80.13</v>
      </c>
      <c r="AD2884" s="53">
        <f t="shared" si="786"/>
        <v>0.39562555544583783</v>
      </c>
      <c r="AE2884" s="10"/>
    </row>
    <row r="2885" spans="1:31" x14ac:dyDescent="0.25">
      <c r="A2885" s="14" t="s">
        <v>109</v>
      </c>
      <c r="C2885" s="61" t="str">
        <f t="shared" si="784"/>
        <v>C100141</v>
      </c>
      <c r="F2885" s="8" t="str">
        <f>"S100016"</f>
        <v>S100016</v>
      </c>
      <c r="G2885" s="9" t="str">
        <f>"Mesh Bucket Hat"</f>
        <v>Mesh Bucket Hat</v>
      </c>
      <c r="H2885" s="47"/>
      <c r="I2885" s="47"/>
      <c r="J2885" s="23">
        <v>674.09</v>
      </c>
      <c r="K2885" s="25">
        <v>144</v>
      </c>
      <c r="L2885" s="24">
        <v>396.01</v>
      </c>
      <c r="M2885" s="24">
        <f>J2885-L2885</f>
        <v>278.08000000000004</v>
      </c>
      <c r="N2885" s="53">
        <f>IF(J2885&lt;&gt;0,M2885/J2885,"")</f>
        <v>0.41252651723063688</v>
      </c>
      <c r="O2885" s="23">
        <v>0</v>
      </c>
      <c r="P2885" s="25">
        <v>0</v>
      </c>
      <c r="Q2885" s="24">
        <v>0</v>
      </c>
      <c r="R2885" s="24">
        <f>O2885-Q2885</f>
        <v>0</v>
      </c>
      <c r="S2885" s="53" t="str">
        <f>IF(O2885&lt;&gt;0,R2885/O2885,"")</f>
        <v/>
      </c>
      <c r="T2885" s="10"/>
      <c r="U2885" s="23">
        <v>0</v>
      </c>
      <c r="V2885" s="25">
        <v>0</v>
      </c>
      <c r="W2885" s="24">
        <v>0</v>
      </c>
      <c r="X2885" s="24">
        <f>U2885-W2885</f>
        <v>0</v>
      </c>
      <c r="Y2885" s="53" t="str">
        <f>IF(U2885&lt;&gt;0,X2885/U2885,"")</f>
        <v/>
      </c>
      <c r="Z2885" s="23">
        <v>4.83</v>
      </c>
      <c r="AA2885" s="25">
        <v>1</v>
      </c>
      <c r="AB2885" s="24">
        <v>2.75</v>
      </c>
      <c r="AC2885" s="24">
        <f t="shared" si="785"/>
        <v>2.08</v>
      </c>
      <c r="AD2885" s="53">
        <f t="shared" si="786"/>
        <v>0.43064182194616979</v>
      </c>
      <c r="AE2885" s="10"/>
    </row>
    <row r="2886" spans="1:31" x14ac:dyDescent="0.25">
      <c r="A2886" s="14" t="s">
        <v>109</v>
      </c>
      <c r="C2886" s="61" t="str">
        <f t="shared" si="784"/>
        <v>C100141</v>
      </c>
      <c r="F2886" s="8" t="str">
        <f>"S100019"</f>
        <v>S100019</v>
      </c>
      <c r="G2886" s="9" t="str">
        <f>"Sportsman Bucket Hat"</f>
        <v>Sportsman Bucket Hat</v>
      </c>
      <c r="H2886" s="47"/>
      <c r="I2886" s="47"/>
      <c r="J2886" s="23">
        <v>1282.26</v>
      </c>
      <c r="K2886" s="25">
        <v>288</v>
      </c>
      <c r="L2886" s="24">
        <v>699.85</v>
      </c>
      <c r="M2886" s="24">
        <f>J2886-L2886</f>
        <v>582.41</v>
      </c>
      <c r="N2886" s="53">
        <f>IF(J2886&lt;&gt;0,M2886/J2886,"")</f>
        <v>0.45420585528675927</v>
      </c>
      <c r="O2886" s="23">
        <v>0</v>
      </c>
      <c r="P2886" s="25">
        <v>0</v>
      </c>
      <c r="Q2886" s="24">
        <v>0</v>
      </c>
      <c r="R2886" s="24">
        <f>O2886-Q2886</f>
        <v>0</v>
      </c>
      <c r="S2886" s="53" t="str">
        <f>IF(O2886&lt;&gt;0,R2886/O2886,"")</f>
        <v/>
      </c>
      <c r="T2886" s="10"/>
      <c r="U2886" s="23">
        <v>1255.82</v>
      </c>
      <c r="V2886" s="25">
        <v>288</v>
      </c>
      <c r="W2886" s="24">
        <v>699.85</v>
      </c>
      <c r="X2886" s="24">
        <f>U2886-W2886</f>
        <v>555.96999999999991</v>
      </c>
      <c r="Y2886" s="53">
        <f>IF(U2886&lt;&gt;0,X2886/U2886,"")</f>
        <v>0.44271472026245795</v>
      </c>
      <c r="Z2886" s="23">
        <v>0</v>
      </c>
      <c r="AA2886" s="25">
        <v>0</v>
      </c>
      <c r="AB2886" s="24">
        <v>0</v>
      </c>
      <c r="AC2886" s="24">
        <f t="shared" si="785"/>
        <v>0</v>
      </c>
      <c r="AD2886" s="53" t="str">
        <f t="shared" si="786"/>
        <v/>
      </c>
      <c r="AE2886" s="10"/>
    </row>
    <row r="2887" spans="1:31" x14ac:dyDescent="0.25">
      <c r="A2887" s="14" t="s">
        <v>109</v>
      </c>
      <c r="C2887" s="61" t="str">
        <f t="shared" si="784"/>
        <v>C100141</v>
      </c>
      <c r="F2887" s="8" t="str">
        <f>"S100020"</f>
        <v>S100020</v>
      </c>
      <c r="G2887" s="9" t="str">
        <f>"Super Sport Stopwatch"</f>
        <v>Super Sport Stopwatch</v>
      </c>
      <c r="H2887" s="47"/>
      <c r="I2887" s="47"/>
      <c r="J2887" s="23">
        <v>904.08</v>
      </c>
      <c r="K2887" s="25">
        <v>432</v>
      </c>
      <c r="L2887" s="24">
        <v>453.6</v>
      </c>
      <c r="M2887" s="24">
        <f>J2887-L2887</f>
        <v>450.48</v>
      </c>
      <c r="N2887" s="53">
        <f>IF(J2887&lt;&gt;0,M2887/J2887,"")</f>
        <v>0.49827448898327581</v>
      </c>
      <c r="O2887" s="23">
        <v>304.5</v>
      </c>
      <c r="P2887" s="25">
        <v>144</v>
      </c>
      <c r="Q2887" s="24">
        <v>151.19999999999999</v>
      </c>
      <c r="R2887" s="24">
        <f>O2887-Q2887</f>
        <v>153.30000000000001</v>
      </c>
      <c r="S2887" s="53">
        <f>IF(O2887&lt;&gt;0,R2887/O2887,"")</f>
        <v>0.50344827586206897</v>
      </c>
      <c r="T2887" s="10"/>
      <c r="U2887" s="23">
        <v>0</v>
      </c>
      <c r="V2887" s="25">
        <v>0</v>
      </c>
      <c r="W2887" s="24">
        <v>0</v>
      </c>
      <c r="X2887" s="24">
        <f>U2887-W2887</f>
        <v>0</v>
      </c>
      <c r="Y2887" s="53" t="str">
        <f>IF(U2887&lt;&gt;0,X2887/U2887,"")</f>
        <v/>
      </c>
      <c r="Z2887" s="23">
        <v>304.5</v>
      </c>
      <c r="AA2887" s="25">
        <v>144</v>
      </c>
      <c r="AB2887" s="24">
        <v>151.19999999999999</v>
      </c>
      <c r="AC2887" s="24">
        <f t="shared" si="785"/>
        <v>153.30000000000001</v>
      </c>
      <c r="AD2887" s="53">
        <f t="shared" si="786"/>
        <v>0.50344827586206897</v>
      </c>
      <c r="AE2887" s="10"/>
    </row>
    <row r="2888" spans="1:31" x14ac:dyDescent="0.25">
      <c r="A2888" s="14" t="s">
        <v>109</v>
      </c>
      <c r="C2888" s="61" t="str">
        <f t="shared" si="784"/>
        <v>C100141</v>
      </c>
      <c r="F2888" s="8" t="str">
        <f>"S100021"</f>
        <v>S100021</v>
      </c>
      <c r="G2888" s="9" t="str">
        <f>"Translucent Stopwatch"</f>
        <v>Translucent Stopwatch</v>
      </c>
      <c r="H2888" s="47"/>
      <c r="I2888" s="47"/>
      <c r="J2888" s="23">
        <v>579.67000000000007</v>
      </c>
      <c r="K2888" s="25">
        <v>144</v>
      </c>
      <c r="L2888" s="24">
        <v>309.58999999999997</v>
      </c>
      <c r="M2888" s="24">
        <f>J2888-L2888</f>
        <v>270.0800000000001</v>
      </c>
      <c r="N2888" s="53">
        <f>IF(J2888&lt;&gt;0,M2888/J2888,"")</f>
        <v>0.46592026497834987</v>
      </c>
      <c r="O2888" s="23">
        <v>0</v>
      </c>
      <c r="P2888" s="25">
        <v>0</v>
      </c>
      <c r="Q2888" s="24">
        <v>0</v>
      </c>
      <c r="R2888" s="24">
        <f>O2888-Q2888</f>
        <v>0</v>
      </c>
      <c r="S2888" s="53" t="str">
        <f>IF(O2888&lt;&gt;0,R2888/O2888,"")</f>
        <v/>
      </c>
      <c r="T2888" s="10"/>
      <c r="U2888" s="23">
        <v>0</v>
      </c>
      <c r="V2888" s="25">
        <v>0</v>
      </c>
      <c r="W2888" s="24">
        <v>0</v>
      </c>
      <c r="X2888" s="24">
        <f>U2888-W2888</f>
        <v>0</v>
      </c>
      <c r="Y2888" s="53" t="str">
        <f>IF(U2888&lt;&gt;0,X2888/U2888,"")</f>
        <v/>
      </c>
      <c r="Z2888" s="23">
        <v>0</v>
      </c>
      <c r="AA2888" s="25">
        <v>0</v>
      </c>
      <c r="AB2888" s="24">
        <v>0</v>
      </c>
      <c r="AC2888" s="24">
        <f t="shared" si="785"/>
        <v>0</v>
      </c>
      <c r="AD2888" s="53" t="str">
        <f t="shared" si="786"/>
        <v/>
      </c>
      <c r="AE2888" s="10"/>
    </row>
    <row r="2889" spans="1:31" x14ac:dyDescent="0.25">
      <c r="A2889" s="14" t="s">
        <v>109</v>
      </c>
      <c r="C2889" s="61" t="str">
        <f t="shared" si="784"/>
        <v>C100141</v>
      </c>
      <c r="F2889" s="8" t="str">
        <f>"S100023"</f>
        <v>S100023</v>
      </c>
      <c r="G2889" s="9" t="str">
        <f>"Gripper SPORT BOT"</f>
        <v>Gripper SPORT BOT</v>
      </c>
      <c r="H2889" s="47"/>
      <c r="I2889" s="47"/>
      <c r="J2889" s="23">
        <v>269.37</v>
      </c>
      <c r="K2889" s="25">
        <v>144</v>
      </c>
      <c r="L2889" s="24">
        <v>142.57999999999998</v>
      </c>
      <c r="M2889" s="24">
        <f>J2889-L2889</f>
        <v>126.79000000000002</v>
      </c>
      <c r="N2889" s="53">
        <f>IF(J2889&lt;&gt;0,M2889/J2889,"")</f>
        <v>0.47069087129227466</v>
      </c>
      <c r="O2889" s="23">
        <v>0</v>
      </c>
      <c r="P2889" s="25">
        <v>0</v>
      </c>
      <c r="Q2889" s="24">
        <v>0</v>
      </c>
      <c r="R2889" s="24">
        <f>O2889-Q2889</f>
        <v>0</v>
      </c>
      <c r="S2889" s="53" t="str">
        <f>IF(O2889&lt;&gt;0,R2889/O2889,"")</f>
        <v/>
      </c>
      <c r="T2889" s="10"/>
      <c r="U2889" s="23">
        <v>0</v>
      </c>
      <c r="V2889" s="25">
        <v>0</v>
      </c>
      <c r="W2889" s="24">
        <v>0</v>
      </c>
      <c r="X2889" s="24">
        <f>U2889-W2889</f>
        <v>0</v>
      </c>
      <c r="Y2889" s="53" t="str">
        <f>IF(U2889&lt;&gt;0,X2889/U2889,"")</f>
        <v/>
      </c>
      <c r="Z2889" s="23">
        <v>0</v>
      </c>
      <c r="AA2889" s="25">
        <v>0</v>
      </c>
      <c r="AB2889" s="24">
        <v>0</v>
      </c>
      <c r="AC2889" s="24">
        <f t="shared" si="785"/>
        <v>0</v>
      </c>
      <c r="AD2889" s="53" t="str">
        <f t="shared" si="786"/>
        <v/>
      </c>
      <c r="AE2889" s="10"/>
    </row>
    <row r="2890" spans="1:31" x14ac:dyDescent="0.25">
      <c r="A2890" s="14" t="s">
        <v>109</v>
      </c>
      <c r="C2890" s="61" t="str">
        <f t="shared" si="784"/>
        <v>C100141</v>
      </c>
      <c r="F2890" s="8" t="str">
        <f>"S100024"</f>
        <v>S100024</v>
      </c>
      <c r="G2890" s="9" t="str">
        <f>"Aluminum SPORT BOT"</f>
        <v>Aluminum SPORT BOT</v>
      </c>
      <c r="H2890" s="47"/>
      <c r="I2890" s="47"/>
      <c r="J2890" s="23">
        <v>493.07</v>
      </c>
      <c r="K2890" s="25">
        <v>144</v>
      </c>
      <c r="L2890" s="24">
        <v>302.39999999999998</v>
      </c>
      <c r="M2890" s="24">
        <f>J2890-L2890</f>
        <v>190.67000000000002</v>
      </c>
      <c r="N2890" s="53">
        <f>IF(J2890&lt;&gt;0,M2890/J2890,"")</f>
        <v>0.3866996572494778</v>
      </c>
      <c r="O2890" s="23">
        <v>493.07</v>
      </c>
      <c r="P2890" s="25">
        <v>144</v>
      </c>
      <c r="Q2890" s="24">
        <v>302.39999999999998</v>
      </c>
      <c r="R2890" s="24">
        <f>O2890-Q2890</f>
        <v>190.67000000000002</v>
      </c>
      <c r="S2890" s="53">
        <f>IF(O2890&lt;&gt;0,R2890/O2890,"")</f>
        <v>0.3866996572494778</v>
      </c>
      <c r="T2890" s="10"/>
      <c r="U2890" s="23">
        <v>523.15</v>
      </c>
      <c r="V2890" s="25">
        <v>156</v>
      </c>
      <c r="W2890" s="24">
        <v>327.60000000000002</v>
      </c>
      <c r="X2890" s="24">
        <f>U2890-W2890</f>
        <v>195.54999999999995</v>
      </c>
      <c r="Y2890" s="53">
        <f>IF(U2890&lt;&gt;0,X2890/U2890,"")</f>
        <v>0.37379336710312522</v>
      </c>
      <c r="Z2890" s="23">
        <v>0</v>
      </c>
      <c r="AA2890" s="25">
        <v>0</v>
      </c>
      <c r="AB2890" s="24">
        <v>0</v>
      </c>
      <c r="AC2890" s="24">
        <f t="shared" si="785"/>
        <v>0</v>
      </c>
      <c r="AD2890" s="53" t="str">
        <f t="shared" si="786"/>
        <v/>
      </c>
      <c r="AE2890" s="10"/>
    </row>
    <row r="2891" spans="1:31" x14ac:dyDescent="0.25">
      <c r="A2891" s="14" t="s">
        <v>109</v>
      </c>
      <c r="C2891" s="61" t="str">
        <f t="shared" si="784"/>
        <v>C100141</v>
      </c>
      <c r="F2891" s="8" t="str">
        <f>"S100025"</f>
        <v>S100025</v>
      </c>
      <c r="G2891" s="9" t="str">
        <f>"SPORT BOT with Pop Lid"</f>
        <v>SPORT BOT with Pop Lid</v>
      </c>
      <c r="H2891" s="47"/>
      <c r="I2891" s="47"/>
      <c r="J2891" s="23">
        <v>231.71</v>
      </c>
      <c r="K2891" s="25">
        <v>145</v>
      </c>
      <c r="L2891" s="24">
        <v>139.13</v>
      </c>
      <c r="M2891" s="24">
        <f>J2891-L2891</f>
        <v>92.580000000000013</v>
      </c>
      <c r="N2891" s="53">
        <f>IF(J2891&lt;&gt;0,M2891/J2891,"")</f>
        <v>0.39955116309179584</v>
      </c>
      <c r="O2891" s="23">
        <v>0</v>
      </c>
      <c r="P2891" s="25">
        <v>0</v>
      </c>
      <c r="Q2891" s="24">
        <v>0</v>
      </c>
      <c r="R2891" s="24">
        <f>O2891-Q2891</f>
        <v>0</v>
      </c>
      <c r="S2891" s="53" t="str">
        <f>IF(O2891&lt;&gt;0,R2891/O2891,"")</f>
        <v/>
      </c>
      <c r="T2891" s="10"/>
      <c r="U2891" s="23">
        <v>0</v>
      </c>
      <c r="V2891" s="25">
        <v>0</v>
      </c>
      <c r="W2891" s="24">
        <v>0</v>
      </c>
      <c r="X2891" s="24">
        <f>U2891-W2891</f>
        <v>0</v>
      </c>
      <c r="Y2891" s="53" t="str">
        <f>IF(U2891&lt;&gt;0,X2891/U2891,"")</f>
        <v/>
      </c>
      <c r="Z2891" s="23">
        <v>237.46</v>
      </c>
      <c r="AA2891" s="25">
        <v>144</v>
      </c>
      <c r="AB2891" s="24">
        <v>138.16999999999999</v>
      </c>
      <c r="AC2891" s="24">
        <f t="shared" si="785"/>
        <v>99.29000000000002</v>
      </c>
      <c r="AD2891" s="53">
        <f t="shared" si="786"/>
        <v>0.41813358039248721</v>
      </c>
      <c r="AE2891" s="10"/>
    </row>
    <row r="2892" spans="1:31" x14ac:dyDescent="0.25">
      <c r="A2892" s="14" t="s">
        <v>109</v>
      </c>
      <c r="C2892" s="61" t="str">
        <f t="shared" si="784"/>
        <v>C100141</v>
      </c>
      <c r="F2892" s="8" t="str">
        <f>"S100026"</f>
        <v>S100026</v>
      </c>
      <c r="G2892" s="9" t="str">
        <f>"Wide SPORT BOT"</f>
        <v>Wide SPORT BOT</v>
      </c>
      <c r="H2892" s="47"/>
      <c r="I2892" s="47"/>
      <c r="J2892" s="23">
        <v>565.69999999999993</v>
      </c>
      <c r="K2892" s="25">
        <v>144</v>
      </c>
      <c r="L2892" s="24">
        <v>273.65000000000003</v>
      </c>
      <c r="M2892" s="24">
        <f>J2892-L2892</f>
        <v>292.0499999999999</v>
      </c>
      <c r="N2892" s="53">
        <f>IF(J2892&lt;&gt;0,M2892/J2892,"")</f>
        <v>0.51626303694537734</v>
      </c>
      <c r="O2892" s="23">
        <v>0</v>
      </c>
      <c r="P2892" s="25">
        <v>0</v>
      </c>
      <c r="Q2892" s="24">
        <v>0</v>
      </c>
      <c r="R2892" s="24">
        <f>O2892-Q2892</f>
        <v>0</v>
      </c>
      <c r="S2892" s="53" t="str">
        <f>IF(O2892&lt;&gt;0,R2892/O2892,"")</f>
        <v/>
      </c>
      <c r="T2892" s="10"/>
      <c r="U2892" s="23">
        <v>0</v>
      </c>
      <c r="V2892" s="25">
        <v>0</v>
      </c>
      <c r="W2892" s="24">
        <v>0</v>
      </c>
      <c r="X2892" s="24">
        <f>U2892-W2892</f>
        <v>0</v>
      </c>
      <c r="Y2892" s="53" t="str">
        <f>IF(U2892&lt;&gt;0,X2892/U2892,"")</f>
        <v/>
      </c>
      <c r="Z2892" s="23">
        <v>565.69999999999993</v>
      </c>
      <c r="AA2892" s="25">
        <v>144</v>
      </c>
      <c r="AB2892" s="24">
        <v>273.65000000000003</v>
      </c>
      <c r="AC2892" s="24">
        <f t="shared" si="785"/>
        <v>292.0499999999999</v>
      </c>
      <c r="AD2892" s="53">
        <f t="shared" si="786"/>
        <v>0.51626303694537734</v>
      </c>
      <c r="AE2892" s="10"/>
    </row>
    <row r="2893" spans="1:31" x14ac:dyDescent="0.25">
      <c r="A2893" s="14" t="s">
        <v>109</v>
      </c>
      <c r="C2893" s="61" t="str">
        <f t="shared" si="784"/>
        <v>C100141</v>
      </c>
      <c r="F2893" s="8" t="str">
        <f>"S200002"</f>
        <v>S200002</v>
      </c>
      <c r="G2893" s="9" t="str">
        <f>"3.25"" Apple Trophy "</f>
        <v xml:space="preserve">3.25" Apple Trophy </v>
      </c>
      <c r="H2893" s="47"/>
      <c r="I2893" s="47"/>
      <c r="J2893" s="23">
        <v>0</v>
      </c>
      <c r="K2893" s="25">
        <v>0</v>
      </c>
      <c r="L2893" s="24">
        <v>0</v>
      </c>
      <c r="M2893" s="24">
        <f>J2893-L2893</f>
        <v>0</v>
      </c>
      <c r="N2893" s="53" t="str">
        <f>IF(J2893&lt;&gt;0,M2893/J2893,"")</f>
        <v/>
      </c>
      <c r="O2893" s="23">
        <v>1396.8</v>
      </c>
      <c r="P2893" s="25">
        <v>144</v>
      </c>
      <c r="Q2893" s="24">
        <v>1160.6400000000001</v>
      </c>
      <c r="R2893" s="24">
        <f>O2893-Q2893</f>
        <v>236.15999999999985</v>
      </c>
      <c r="S2893" s="53">
        <f>IF(O2893&lt;&gt;0,R2893/O2893,"")</f>
        <v>0.16907216494845351</v>
      </c>
      <c r="T2893" s="10"/>
      <c r="U2893" s="23">
        <v>451.2</v>
      </c>
      <c r="V2893" s="25">
        <v>48</v>
      </c>
      <c r="W2893" s="24">
        <v>386.88</v>
      </c>
      <c r="X2893" s="24">
        <f>U2893-W2893</f>
        <v>64.319999999999993</v>
      </c>
      <c r="Y2893" s="53">
        <f>IF(U2893&lt;&gt;0,X2893/U2893,"")</f>
        <v>0.14255319148936169</v>
      </c>
      <c r="Z2893" s="23">
        <v>0</v>
      </c>
      <c r="AA2893" s="25">
        <v>0</v>
      </c>
      <c r="AB2893" s="24">
        <v>0</v>
      </c>
      <c r="AC2893" s="24">
        <f t="shared" si="785"/>
        <v>0</v>
      </c>
      <c r="AD2893" s="53" t="str">
        <f t="shared" si="786"/>
        <v/>
      </c>
      <c r="AE2893" s="10"/>
    </row>
    <row r="2894" spans="1:31" x14ac:dyDescent="0.25">
      <c r="A2894" s="14" t="s">
        <v>109</v>
      </c>
      <c r="C2894" s="61" t="str">
        <f t="shared" si="784"/>
        <v>C100141</v>
      </c>
      <c r="F2894" s="8" t="str">
        <f>"S200008"</f>
        <v>S200008</v>
      </c>
      <c r="G2894" s="9" t="str">
        <f>"3.75"" Basketball Trophy"</f>
        <v>3.75" Basketball Trophy</v>
      </c>
      <c r="H2894" s="47"/>
      <c r="I2894" s="47"/>
      <c r="J2894" s="23">
        <v>451.2</v>
      </c>
      <c r="K2894" s="25">
        <v>48</v>
      </c>
      <c r="L2894" s="24">
        <v>360.48</v>
      </c>
      <c r="M2894" s="24">
        <f>J2894-L2894</f>
        <v>90.71999999999997</v>
      </c>
      <c r="N2894" s="53">
        <f>IF(J2894&lt;&gt;0,M2894/J2894,"")</f>
        <v>0.20106382978723397</v>
      </c>
      <c r="O2894" s="23">
        <v>0</v>
      </c>
      <c r="P2894" s="25">
        <v>0</v>
      </c>
      <c r="Q2894" s="24">
        <v>0</v>
      </c>
      <c r="R2894" s="24">
        <f>O2894-Q2894</f>
        <v>0</v>
      </c>
      <c r="S2894" s="53" t="str">
        <f>IF(O2894&lt;&gt;0,R2894/O2894,"")</f>
        <v/>
      </c>
      <c r="T2894" s="10"/>
      <c r="U2894" s="23">
        <v>0</v>
      </c>
      <c r="V2894" s="25">
        <v>0</v>
      </c>
      <c r="W2894" s="24">
        <v>0</v>
      </c>
      <c r="X2894" s="24">
        <f>U2894-W2894</f>
        <v>0</v>
      </c>
      <c r="Y2894" s="53" t="str">
        <f>IF(U2894&lt;&gt;0,X2894/U2894,"")</f>
        <v/>
      </c>
      <c r="Z2894" s="23">
        <v>0</v>
      </c>
      <c r="AA2894" s="25">
        <v>0</v>
      </c>
      <c r="AB2894" s="24">
        <v>0</v>
      </c>
      <c r="AC2894" s="24">
        <f t="shared" si="785"/>
        <v>0</v>
      </c>
      <c r="AD2894" s="53" t="str">
        <f t="shared" si="786"/>
        <v/>
      </c>
      <c r="AE2894" s="10"/>
    </row>
    <row r="2895" spans="1:31" x14ac:dyDescent="0.25">
      <c r="A2895" s="14" t="s">
        <v>109</v>
      </c>
      <c r="C2895" s="61" t="str">
        <f t="shared" si="784"/>
        <v>C100141</v>
      </c>
      <c r="F2895" s="8" t="str">
        <f>"S200010"</f>
        <v>S200010</v>
      </c>
      <c r="G2895" s="9" t="str">
        <f>"3.75"" Wrestling Trophy"</f>
        <v>3.75" Wrestling Trophy</v>
      </c>
      <c r="H2895" s="47"/>
      <c r="I2895" s="47"/>
      <c r="J2895" s="23">
        <v>0</v>
      </c>
      <c r="K2895" s="25">
        <v>0</v>
      </c>
      <c r="L2895" s="24">
        <v>0</v>
      </c>
      <c r="M2895" s="24">
        <f>J2895-L2895</f>
        <v>0</v>
      </c>
      <c r="N2895" s="53" t="str">
        <f>IF(J2895&lt;&gt;0,M2895/J2895,"")</f>
        <v/>
      </c>
      <c r="O2895" s="23">
        <v>1396.8</v>
      </c>
      <c r="P2895" s="25">
        <v>144</v>
      </c>
      <c r="Q2895" s="24">
        <v>1081.44</v>
      </c>
      <c r="R2895" s="24">
        <f>O2895-Q2895</f>
        <v>315.3599999999999</v>
      </c>
      <c r="S2895" s="53">
        <f>IF(O2895&lt;&gt;0,R2895/O2895,"")</f>
        <v>0.22577319587628861</v>
      </c>
      <c r="T2895" s="10"/>
      <c r="U2895" s="23">
        <v>0</v>
      </c>
      <c r="V2895" s="25">
        <v>0</v>
      </c>
      <c r="W2895" s="24">
        <v>0</v>
      </c>
      <c r="X2895" s="24">
        <f>U2895-W2895</f>
        <v>0</v>
      </c>
      <c r="Y2895" s="53" t="str">
        <f>IF(U2895&lt;&gt;0,X2895/U2895,"")</f>
        <v/>
      </c>
      <c r="Z2895" s="23">
        <v>0</v>
      </c>
      <c r="AA2895" s="25">
        <v>0</v>
      </c>
      <c r="AB2895" s="24">
        <v>0</v>
      </c>
      <c r="AC2895" s="24">
        <f t="shared" si="785"/>
        <v>0</v>
      </c>
      <c r="AD2895" s="53" t="str">
        <f t="shared" si="786"/>
        <v/>
      </c>
      <c r="AE2895" s="10"/>
    </row>
    <row r="2896" spans="1:31" x14ac:dyDescent="0.25">
      <c r="A2896" s="14" t="s">
        <v>109</v>
      </c>
      <c r="C2896" s="61" t="str">
        <f t="shared" si="784"/>
        <v>C100141</v>
      </c>
      <c r="F2896" s="8" t="str">
        <f>"S200012"</f>
        <v>S200012</v>
      </c>
      <c r="G2896" s="9" t="str">
        <f>"10.75"" Star Riser Apple Trophy"</f>
        <v>10.75" Star Riser Apple Trophy</v>
      </c>
      <c r="H2896" s="47"/>
      <c r="I2896" s="47"/>
      <c r="J2896" s="23">
        <v>1692</v>
      </c>
      <c r="K2896" s="25">
        <v>144</v>
      </c>
      <c r="L2896" s="24">
        <v>1509.12</v>
      </c>
      <c r="M2896" s="24">
        <f>J2896-L2896</f>
        <v>182.88000000000011</v>
      </c>
      <c r="N2896" s="53">
        <f>IF(J2896&lt;&gt;0,M2896/J2896,"")</f>
        <v>0.10808510638297879</v>
      </c>
      <c r="O2896" s="23">
        <v>0</v>
      </c>
      <c r="P2896" s="25">
        <v>0</v>
      </c>
      <c r="Q2896" s="24">
        <v>0</v>
      </c>
      <c r="R2896" s="24">
        <f>O2896-Q2896</f>
        <v>0</v>
      </c>
      <c r="S2896" s="53" t="str">
        <f>IF(O2896&lt;&gt;0,R2896/O2896,"")</f>
        <v/>
      </c>
      <c r="T2896" s="10"/>
      <c r="U2896" s="23">
        <v>0</v>
      </c>
      <c r="V2896" s="25">
        <v>0</v>
      </c>
      <c r="W2896" s="24">
        <v>0</v>
      </c>
      <c r="X2896" s="24">
        <f>U2896-W2896</f>
        <v>0</v>
      </c>
      <c r="Y2896" s="53" t="str">
        <f>IF(U2896&lt;&gt;0,X2896/U2896,"")</f>
        <v/>
      </c>
      <c r="Z2896" s="23">
        <v>0</v>
      </c>
      <c r="AA2896" s="25">
        <v>0</v>
      </c>
      <c r="AB2896" s="24">
        <v>0</v>
      </c>
      <c r="AC2896" s="24">
        <f t="shared" si="785"/>
        <v>0</v>
      </c>
      <c r="AD2896" s="53" t="str">
        <f t="shared" si="786"/>
        <v/>
      </c>
      <c r="AE2896" s="10"/>
    </row>
    <row r="2897" spans="1:31" x14ac:dyDescent="0.25">
      <c r="A2897" s="14" t="s">
        <v>109</v>
      </c>
      <c r="C2897" s="61" t="str">
        <f t="shared" si="784"/>
        <v>C100141</v>
      </c>
      <c r="F2897" s="8" t="str">
        <f>"S200022"</f>
        <v>S200022</v>
      </c>
      <c r="G2897" s="9" t="str">
        <f>"10.75"" Tourch Riser Basketball Trophy"</f>
        <v>10.75" Tourch Riser Basketball Trophy</v>
      </c>
      <c r="H2897" s="47"/>
      <c r="I2897" s="47"/>
      <c r="J2897" s="23">
        <v>0</v>
      </c>
      <c r="K2897" s="25">
        <v>0</v>
      </c>
      <c r="L2897" s="24">
        <v>0</v>
      </c>
      <c r="M2897" s="24">
        <f>J2897-L2897</f>
        <v>0</v>
      </c>
      <c r="N2897" s="53" t="str">
        <f>IF(J2897&lt;&gt;0,M2897/J2897,"")</f>
        <v/>
      </c>
      <c r="O2897" s="23">
        <v>1746.0000000000002</v>
      </c>
      <c r="P2897" s="25">
        <v>144</v>
      </c>
      <c r="Q2897" s="24">
        <v>1480.32</v>
      </c>
      <c r="R2897" s="24">
        <f>O2897-Q2897</f>
        <v>265.68000000000029</v>
      </c>
      <c r="S2897" s="53">
        <f>IF(O2897&lt;&gt;0,R2897/O2897,"")</f>
        <v>0.1521649484536084</v>
      </c>
      <c r="T2897" s="10"/>
      <c r="U2897" s="23">
        <v>0</v>
      </c>
      <c r="V2897" s="25">
        <v>0</v>
      </c>
      <c r="W2897" s="24">
        <v>0</v>
      </c>
      <c r="X2897" s="24">
        <f>U2897-W2897</f>
        <v>0</v>
      </c>
      <c r="Y2897" s="53" t="str">
        <f>IF(U2897&lt;&gt;0,X2897/U2897,"")</f>
        <v/>
      </c>
      <c r="Z2897" s="23">
        <v>0</v>
      </c>
      <c r="AA2897" s="25">
        <v>0</v>
      </c>
      <c r="AB2897" s="24">
        <v>0</v>
      </c>
      <c r="AC2897" s="24">
        <f t="shared" si="785"/>
        <v>0</v>
      </c>
      <c r="AD2897" s="53" t="str">
        <f t="shared" si="786"/>
        <v/>
      </c>
      <c r="AE2897" s="10"/>
    </row>
    <row r="2898" spans="1:31" x14ac:dyDescent="0.25">
      <c r="A2898" s="14" t="s">
        <v>109</v>
      </c>
      <c r="C2898" s="61" t="str">
        <f t="shared" si="784"/>
        <v>C100141</v>
      </c>
      <c r="F2898" s="8" t="str">
        <f>"S200023"</f>
        <v>S200023</v>
      </c>
      <c r="G2898" s="9" t="str">
        <f>"10.75"" Tourch Riser Volleyball Trophy"</f>
        <v>10.75" Tourch Riser Volleyball Trophy</v>
      </c>
      <c r="H2898" s="47"/>
      <c r="I2898" s="47"/>
      <c r="J2898" s="23">
        <v>1692</v>
      </c>
      <c r="K2898" s="25">
        <v>144</v>
      </c>
      <c r="L2898" s="24">
        <v>1480.32</v>
      </c>
      <c r="M2898" s="24">
        <f>J2898-L2898</f>
        <v>211.68000000000006</v>
      </c>
      <c r="N2898" s="53">
        <f>IF(J2898&lt;&gt;0,M2898/J2898,"")</f>
        <v>0.12510638297872345</v>
      </c>
      <c r="O2898" s="23">
        <v>0</v>
      </c>
      <c r="P2898" s="25">
        <v>0</v>
      </c>
      <c r="Q2898" s="24">
        <v>0</v>
      </c>
      <c r="R2898" s="24">
        <f>O2898-Q2898</f>
        <v>0</v>
      </c>
      <c r="S2898" s="53" t="str">
        <f>IF(O2898&lt;&gt;0,R2898/O2898,"")</f>
        <v/>
      </c>
      <c r="T2898" s="10"/>
      <c r="U2898" s="23">
        <v>0</v>
      </c>
      <c r="V2898" s="25">
        <v>0</v>
      </c>
      <c r="W2898" s="24">
        <v>0</v>
      </c>
      <c r="X2898" s="24">
        <f>U2898-W2898</f>
        <v>0</v>
      </c>
      <c r="Y2898" s="53" t="str">
        <f>IF(U2898&lt;&gt;0,X2898/U2898,"")</f>
        <v/>
      </c>
      <c r="Z2898" s="23">
        <v>0</v>
      </c>
      <c r="AA2898" s="25">
        <v>0</v>
      </c>
      <c r="AB2898" s="24">
        <v>0</v>
      </c>
      <c r="AC2898" s="24">
        <f t="shared" si="785"/>
        <v>0</v>
      </c>
      <c r="AD2898" s="53" t="str">
        <f t="shared" si="786"/>
        <v/>
      </c>
      <c r="AE2898" s="10"/>
    </row>
    <row r="2899" spans="1:31" x14ac:dyDescent="0.25">
      <c r="A2899" s="14" t="s">
        <v>109</v>
      </c>
      <c r="C2899" s="61" t="str">
        <f t="shared" si="784"/>
        <v>C100141</v>
      </c>
      <c r="F2899" s="8" t="str">
        <f>"S200027"</f>
        <v>S200027</v>
      </c>
      <c r="G2899" s="9" t="str">
        <f>"10.75"" Column Soccer Trophy"</f>
        <v>10.75" Column Soccer Trophy</v>
      </c>
      <c r="H2899" s="47"/>
      <c r="I2899" s="47"/>
      <c r="J2899" s="23">
        <v>0</v>
      </c>
      <c r="K2899" s="25">
        <v>0</v>
      </c>
      <c r="L2899" s="24">
        <v>0</v>
      </c>
      <c r="M2899" s="24">
        <f>J2899-L2899</f>
        <v>0</v>
      </c>
      <c r="N2899" s="53" t="str">
        <f>IF(J2899&lt;&gt;0,M2899/J2899,"")</f>
        <v/>
      </c>
      <c r="O2899" s="23">
        <v>2095.1999999999998</v>
      </c>
      <c r="P2899" s="25">
        <v>144</v>
      </c>
      <c r="Q2899" s="24">
        <v>1547.9999999999998</v>
      </c>
      <c r="R2899" s="24">
        <f>O2899-Q2899</f>
        <v>547.20000000000005</v>
      </c>
      <c r="S2899" s="53">
        <f>IF(O2899&lt;&gt;0,R2899/O2899,"")</f>
        <v>0.26116838487972516</v>
      </c>
      <c r="T2899" s="10"/>
      <c r="U2899" s="23">
        <v>0</v>
      </c>
      <c r="V2899" s="25">
        <v>0</v>
      </c>
      <c r="W2899" s="24">
        <v>0</v>
      </c>
      <c r="X2899" s="24">
        <f>U2899-W2899</f>
        <v>0</v>
      </c>
      <c r="Y2899" s="53" t="str">
        <f>IF(U2899&lt;&gt;0,X2899/U2899,"")</f>
        <v/>
      </c>
      <c r="Z2899" s="23">
        <v>0</v>
      </c>
      <c r="AA2899" s="25">
        <v>0</v>
      </c>
      <c r="AB2899" s="24">
        <v>0</v>
      </c>
      <c r="AC2899" s="24">
        <f t="shared" si="785"/>
        <v>0</v>
      </c>
      <c r="AD2899" s="53" t="str">
        <f t="shared" si="786"/>
        <v/>
      </c>
      <c r="AE2899" s="10"/>
    </row>
    <row r="2900" spans="1:31" ht="15.75" thickBot="1" x14ac:dyDescent="0.3">
      <c r="A2900" s="14" t="s">
        <v>109</v>
      </c>
      <c r="C2900" s="61" t="str">
        <f>C2851</f>
        <v>C100141</v>
      </c>
      <c r="J2900" s="10"/>
      <c r="K2900" s="11"/>
      <c r="L2900" s="11"/>
      <c r="M2900" s="11"/>
      <c r="N2900" s="12"/>
      <c r="O2900" s="10"/>
      <c r="P2900" s="11"/>
      <c r="Q2900" s="11"/>
      <c r="R2900" s="11"/>
      <c r="S2900" s="12"/>
      <c r="U2900" s="10"/>
      <c r="V2900" s="11"/>
      <c r="W2900" s="11"/>
      <c r="X2900" s="11"/>
      <c r="Y2900" s="12"/>
      <c r="Z2900" s="10"/>
      <c r="AA2900" s="11"/>
      <c r="AB2900" s="11"/>
      <c r="AC2900" s="11"/>
      <c r="AD2900" s="12"/>
    </row>
    <row r="2901" spans="1:31" ht="15.75" thickBot="1" x14ac:dyDescent="0.3">
      <c r="A2901" s="14" t="s">
        <v>109</v>
      </c>
      <c r="C2901" s="61" t="str">
        <f t="shared" si="781"/>
        <v>C100141</v>
      </c>
      <c r="G2901" s="48" t="str">
        <f>C2901&amp;" TOTAL:"</f>
        <v>C100141 TOTAL:</v>
      </c>
      <c r="H2901" s="50"/>
      <c r="I2901" s="50"/>
      <c r="J2901" s="34">
        <f>SUBTOTAL(9,J2850:J2900)</f>
        <v>21166.240000000002</v>
      </c>
      <c r="K2901" s="35">
        <f>SUBTOTAL(9,K2850:K2900)</f>
        <v>7416</v>
      </c>
      <c r="L2901" s="36">
        <f>SUBTOTAL(9,L2850:L2900)</f>
        <v>13342.420000000002</v>
      </c>
      <c r="M2901" s="36">
        <f>J2901-L2901</f>
        <v>7823.82</v>
      </c>
      <c r="N2901" s="37">
        <f>IF(J2901&lt;&gt;0,M2901/J2901,"")</f>
        <v>0.36963674228393889</v>
      </c>
      <c r="O2901" s="34">
        <f>SUBTOTAL(9,O2850:O2900)</f>
        <v>8137.53</v>
      </c>
      <c r="P2901" s="35">
        <f>SUBTOTAL(9,P2850:P2900)</f>
        <v>1358</v>
      </c>
      <c r="Q2901" s="36">
        <f>SUBTOTAL(9,Q2850:Q2900)</f>
        <v>6117.65</v>
      </c>
      <c r="R2901" s="36">
        <f>O2901-Q2901</f>
        <v>2019.88</v>
      </c>
      <c r="S2901" s="37">
        <f>IF(O2901&lt;&gt;0,R2901/O2901,"")</f>
        <v>0.24821782531062866</v>
      </c>
      <c r="U2901" s="34">
        <f>SUBTOTAL(9,U2850:U2900)</f>
        <v>5689.2000000000007</v>
      </c>
      <c r="V2901" s="35">
        <f>SUBTOTAL(9,V2850:V2900)</f>
        <v>2811</v>
      </c>
      <c r="W2901" s="36">
        <f>SUBTOTAL(9,W2850:W2900)</f>
        <v>3465.2299999999996</v>
      </c>
      <c r="X2901" s="36">
        <f>U2901-W2901</f>
        <v>2223.9700000000012</v>
      </c>
      <c r="Y2901" s="37">
        <f>IF(U2901&lt;&gt;0,X2901/U2901,"")</f>
        <v>0.39091084862546593</v>
      </c>
      <c r="Z2901" s="34">
        <f>SUBTOTAL(9,Z2850:Z2900)</f>
        <v>5999.97</v>
      </c>
      <c r="AA2901" s="35">
        <f>SUBTOTAL(9,AA2850:AA2900)</f>
        <v>2871</v>
      </c>
      <c r="AB2901" s="36">
        <f>SUBTOTAL(9,AB2850:AB2900)</f>
        <v>3424.0099999999993</v>
      </c>
      <c r="AC2901" s="36">
        <f t="shared" ref="AC2901" si="787">Z2901-AB2901</f>
        <v>2575.9600000000009</v>
      </c>
      <c r="AD2901" s="37">
        <f t="shared" ref="AD2901" si="788">IF(Z2901&lt;&gt;0,AC2901/Z2901,"")</f>
        <v>0.42932881331073336</v>
      </c>
    </row>
    <row r="2902" spans="1:31" x14ac:dyDescent="0.25">
      <c r="A2902" s="14" t="s">
        <v>109</v>
      </c>
      <c r="C2902" s="66"/>
      <c r="J2902" s="10"/>
      <c r="K2902" s="11"/>
      <c r="L2902" s="11"/>
      <c r="M2902" s="11"/>
      <c r="N2902" s="12"/>
      <c r="O2902" s="10"/>
      <c r="P2902" s="11"/>
      <c r="Q2902" s="11"/>
      <c r="R2902" s="11"/>
      <c r="S2902" s="12"/>
      <c r="U2902" s="10"/>
      <c r="V2902" s="11"/>
      <c r="W2902" s="11"/>
      <c r="X2902" s="11"/>
      <c r="Y2902" s="12"/>
      <c r="Z2902" s="10"/>
      <c r="AA2902" s="11"/>
      <c r="AB2902" s="11"/>
      <c r="AC2902" s="11"/>
      <c r="AD2902" s="12"/>
    </row>
    <row r="2903" spans="1:31" ht="15.75" x14ac:dyDescent="0.25">
      <c r="A2903" s="14" t="s">
        <v>109</v>
      </c>
      <c r="C2903" s="66" t="str">
        <f t="shared" ref="C2903" si="789">E2903</f>
        <v>C100142</v>
      </c>
      <c r="E2903" s="13" t="str">
        <f>"C100142"</f>
        <v>C100142</v>
      </c>
      <c r="F2903" s="13"/>
      <c r="G2903" s="13" t="str">
        <f>"MovieTime Entertainment"</f>
        <v>MovieTime Entertainment</v>
      </c>
      <c r="H2903" s="13"/>
      <c r="I2903" s="13"/>
      <c r="J2903" s="10"/>
      <c r="K2903" s="11"/>
      <c r="L2903" s="11"/>
      <c r="M2903" s="11"/>
      <c r="N2903" s="12"/>
      <c r="O2903" s="10"/>
      <c r="P2903" s="11"/>
      <c r="Q2903" s="11"/>
      <c r="R2903" s="11"/>
      <c r="S2903" s="12"/>
      <c r="U2903" s="10"/>
      <c r="V2903" s="11"/>
      <c r="W2903" s="11"/>
      <c r="X2903" s="11"/>
      <c r="Y2903" s="12"/>
      <c r="Z2903" s="10"/>
      <c r="AA2903" s="11"/>
      <c r="AB2903" s="11"/>
      <c r="AC2903" s="11"/>
      <c r="AD2903" s="12"/>
    </row>
    <row r="2904" spans="1:31" ht="6.6" customHeight="1" x14ac:dyDescent="0.25">
      <c r="A2904" s="14" t="s">
        <v>109</v>
      </c>
      <c r="C2904" s="61" t="str">
        <f t="shared" ref="C2904:C2909" si="790">C2903</f>
        <v>C100142</v>
      </c>
      <c r="J2904" s="10"/>
      <c r="K2904" s="11"/>
      <c r="L2904" s="11"/>
      <c r="M2904" s="11"/>
      <c r="N2904" s="12"/>
      <c r="O2904" s="10"/>
      <c r="P2904" s="11"/>
      <c r="Q2904" s="11"/>
      <c r="R2904" s="11"/>
      <c r="S2904" s="12"/>
      <c r="U2904" s="10"/>
      <c r="V2904" s="11"/>
      <c r="W2904" s="11"/>
      <c r="X2904" s="11"/>
      <c r="Y2904" s="12"/>
      <c r="Z2904" s="10"/>
      <c r="AA2904" s="11"/>
      <c r="AB2904" s="11"/>
      <c r="AC2904" s="11"/>
      <c r="AD2904" s="12"/>
    </row>
    <row r="2905" spans="1:31" x14ac:dyDescent="0.25">
      <c r="A2905" s="14" t="s">
        <v>109</v>
      </c>
      <c r="C2905" s="61" t="str">
        <f t="shared" si="790"/>
        <v>C100142</v>
      </c>
      <c r="F2905" s="8" t="str">
        <f>"E100006"</f>
        <v>E100006</v>
      </c>
      <c r="G2905" s="9" t="str">
        <f>"Budget Tote Bag"</f>
        <v>Budget Tote Bag</v>
      </c>
      <c r="H2905" s="47"/>
      <c r="I2905" s="47"/>
      <c r="J2905" s="23">
        <v>0</v>
      </c>
      <c r="K2905" s="25">
        <v>0</v>
      </c>
      <c r="L2905" s="24">
        <v>0</v>
      </c>
      <c r="M2905" s="24">
        <f>J2905-L2905</f>
        <v>0</v>
      </c>
      <c r="N2905" s="53" t="str">
        <f>IF(J2905&lt;&gt;0,M2905/J2905,"")</f>
        <v/>
      </c>
      <c r="O2905" s="23">
        <v>-0.09</v>
      </c>
      <c r="P2905" s="25">
        <v>-1</v>
      </c>
      <c r="Q2905" s="24">
        <v>-0.04</v>
      </c>
      <c r="R2905" s="24">
        <f>O2905-Q2905</f>
        <v>-4.9999999999999996E-2</v>
      </c>
      <c r="S2905" s="53">
        <f>IF(O2905&lt;&gt;0,R2905/O2905,"")</f>
        <v>0.55555555555555558</v>
      </c>
      <c r="T2905" s="10"/>
      <c r="U2905" s="23">
        <v>0</v>
      </c>
      <c r="V2905" s="25">
        <v>0</v>
      </c>
      <c r="W2905" s="24">
        <v>0</v>
      </c>
      <c r="X2905" s="24">
        <f>U2905-W2905</f>
        <v>0</v>
      </c>
      <c r="Y2905" s="53" t="str">
        <f>IF(U2905&lt;&gt;0,X2905/U2905,"")</f>
        <v/>
      </c>
      <c r="Z2905" s="23">
        <v>0</v>
      </c>
      <c r="AA2905" s="25">
        <v>0</v>
      </c>
      <c r="AB2905" s="24">
        <v>0</v>
      </c>
      <c r="AC2905" s="24">
        <f t="shared" ref="AC2905" si="791">Z2905-AB2905</f>
        <v>0</v>
      </c>
      <c r="AD2905" s="53" t="str">
        <f t="shared" ref="AD2905" si="792">IF(Z2905&lt;&gt;0,AC2905/Z2905,"")</f>
        <v/>
      </c>
      <c r="AE2905" s="10"/>
    </row>
    <row r="2906" spans="1:31" x14ac:dyDescent="0.25">
      <c r="A2906" s="14" t="s">
        <v>109</v>
      </c>
      <c r="C2906" s="61" t="str">
        <f t="shared" ref="C2906:C2907" si="793">C2905</f>
        <v>C100142</v>
      </c>
      <c r="F2906" s="8" t="str">
        <f>"E100017"</f>
        <v>E100017</v>
      </c>
      <c r="G2906" s="9" t="str">
        <f>"Clip-on Clock with Compass"</f>
        <v>Clip-on Clock with Compass</v>
      </c>
      <c r="H2906" s="47"/>
      <c r="I2906" s="47"/>
      <c r="J2906" s="23">
        <v>0</v>
      </c>
      <c r="K2906" s="25">
        <v>0</v>
      </c>
      <c r="L2906" s="24">
        <v>0</v>
      </c>
      <c r="M2906" s="24">
        <f>J2906-L2906</f>
        <v>0</v>
      </c>
      <c r="N2906" s="53" t="str">
        <f>IF(J2906&lt;&gt;0,M2906/J2906,"")</f>
        <v/>
      </c>
      <c r="O2906" s="23">
        <v>-1.53</v>
      </c>
      <c r="P2906" s="25">
        <v>-1</v>
      </c>
      <c r="Q2906" s="24">
        <v>-0.88</v>
      </c>
      <c r="R2906" s="24">
        <f>O2906-Q2906</f>
        <v>-0.65</v>
      </c>
      <c r="S2906" s="53">
        <f>IF(O2906&lt;&gt;0,R2906/O2906,"")</f>
        <v>0.42483660130718953</v>
      </c>
      <c r="T2906" s="10"/>
      <c r="U2906" s="23">
        <v>0</v>
      </c>
      <c r="V2906" s="25">
        <v>0</v>
      </c>
      <c r="W2906" s="24">
        <v>0</v>
      </c>
      <c r="X2906" s="24">
        <f>U2906-W2906</f>
        <v>0</v>
      </c>
      <c r="Y2906" s="53" t="str">
        <f>IF(U2906&lt;&gt;0,X2906/U2906,"")</f>
        <v/>
      </c>
      <c r="Z2906" s="23">
        <v>0</v>
      </c>
      <c r="AA2906" s="25">
        <v>0</v>
      </c>
      <c r="AB2906" s="24">
        <v>0</v>
      </c>
      <c r="AC2906" s="24">
        <f t="shared" ref="AC2906:AC2907" si="794">Z2906-AB2906</f>
        <v>0</v>
      </c>
      <c r="AD2906" s="53" t="str">
        <f t="shared" ref="AD2906:AD2907" si="795">IF(Z2906&lt;&gt;0,AC2906/Z2906,"")</f>
        <v/>
      </c>
      <c r="AE2906" s="10"/>
    </row>
    <row r="2907" spans="1:31" x14ac:dyDescent="0.25">
      <c r="A2907" s="14" t="s">
        <v>109</v>
      </c>
      <c r="C2907" s="61" t="str">
        <f t="shared" si="793"/>
        <v>C100142</v>
      </c>
      <c r="F2907" s="8" t="str">
        <f>"S200014"</f>
        <v>S200014</v>
      </c>
      <c r="G2907" s="9" t="str">
        <f>"10.75"" Star Riser FootballTrophy"</f>
        <v>10.75" Star Riser FootballTrophy</v>
      </c>
      <c r="H2907" s="47"/>
      <c r="I2907" s="47"/>
      <c r="J2907" s="23">
        <v>0</v>
      </c>
      <c r="K2907" s="25">
        <v>0</v>
      </c>
      <c r="L2907" s="24">
        <v>0</v>
      </c>
      <c r="M2907" s="24">
        <f>J2907-L2907</f>
        <v>0</v>
      </c>
      <c r="N2907" s="53" t="str">
        <f>IF(J2907&lt;&gt;0,M2907/J2907,"")</f>
        <v/>
      </c>
      <c r="O2907" s="23">
        <v>-73.5</v>
      </c>
      <c r="P2907" s="25">
        <v>-6</v>
      </c>
      <c r="Q2907" s="24">
        <v>-59.580000000000005</v>
      </c>
      <c r="R2907" s="24">
        <f>O2907-Q2907</f>
        <v>-13.919999999999995</v>
      </c>
      <c r="S2907" s="53">
        <f>IF(O2907&lt;&gt;0,R2907/O2907,"")</f>
        <v>0.18938775510204076</v>
      </c>
      <c r="T2907" s="10"/>
      <c r="U2907" s="23">
        <v>0</v>
      </c>
      <c r="V2907" s="25">
        <v>0</v>
      </c>
      <c r="W2907" s="24">
        <v>0</v>
      </c>
      <c r="X2907" s="24">
        <f>U2907-W2907</f>
        <v>0</v>
      </c>
      <c r="Y2907" s="53" t="str">
        <f>IF(U2907&lt;&gt;0,X2907/U2907,"")</f>
        <v/>
      </c>
      <c r="Z2907" s="23">
        <v>0</v>
      </c>
      <c r="AA2907" s="25">
        <v>0</v>
      </c>
      <c r="AB2907" s="24">
        <v>0</v>
      </c>
      <c r="AC2907" s="24">
        <f t="shared" si="794"/>
        <v>0</v>
      </c>
      <c r="AD2907" s="53" t="str">
        <f t="shared" si="795"/>
        <v/>
      </c>
      <c r="AE2907" s="10"/>
    </row>
    <row r="2908" spans="1:31" ht="15.75" thickBot="1" x14ac:dyDescent="0.3">
      <c r="A2908" s="14" t="s">
        <v>109</v>
      </c>
      <c r="C2908" s="61" t="str">
        <f>C2905</f>
        <v>C100142</v>
      </c>
      <c r="J2908" s="10"/>
      <c r="K2908" s="11"/>
      <c r="L2908" s="11"/>
      <c r="M2908" s="11"/>
      <c r="N2908" s="12"/>
      <c r="O2908" s="10"/>
      <c r="P2908" s="11"/>
      <c r="Q2908" s="11"/>
      <c r="R2908" s="11"/>
      <c r="S2908" s="12"/>
      <c r="U2908" s="10"/>
      <c r="V2908" s="11"/>
      <c r="W2908" s="11"/>
      <c r="X2908" s="11"/>
      <c r="Y2908" s="12"/>
      <c r="Z2908" s="10"/>
      <c r="AA2908" s="11"/>
      <c r="AB2908" s="11"/>
      <c r="AC2908" s="11"/>
      <c r="AD2908" s="12"/>
    </row>
    <row r="2909" spans="1:31" ht="15.75" thickBot="1" x14ac:dyDescent="0.3">
      <c r="A2909" s="14" t="s">
        <v>109</v>
      </c>
      <c r="C2909" s="61" t="str">
        <f t="shared" si="790"/>
        <v>C100142</v>
      </c>
      <c r="G2909" s="48" t="str">
        <f>C2909&amp;" TOTAL:"</f>
        <v>C100142 TOTAL:</v>
      </c>
      <c r="H2909" s="50"/>
      <c r="I2909" s="50"/>
      <c r="J2909" s="34">
        <f>SUBTOTAL(9,J2904:J2908)</f>
        <v>0</v>
      </c>
      <c r="K2909" s="35">
        <f>SUBTOTAL(9,K2904:K2908)</f>
        <v>0</v>
      </c>
      <c r="L2909" s="36">
        <f>SUBTOTAL(9,L2904:L2908)</f>
        <v>0</v>
      </c>
      <c r="M2909" s="36">
        <f>J2909-L2909</f>
        <v>0</v>
      </c>
      <c r="N2909" s="37" t="str">
        <f>IF(J2909&lt;&gt;0,M2909/J2909,"")</f>
        <v/>
      </c>
      <c r="O2909" s="34">
        <f>SUBTOTAL(9,O2904:O2908)</f>
        <v>-75.12</v>
      </c>
      <c r="P2909" s="35">
        <f>SUBTOTAL(9,P2904:P2908)</f>
        <v>-8</v>
      </c>
      <c r="Q2909" s="36">
        <f>SUBTOTAL(9,Q2904:Q2908)</f>
        <v>-60.500000000000007</v>
      </c>
      <c r="R2909" s="36">
        <f>O2909-Q2909</f>
        <v>-14.619999999999997</v>
      </c>
      <c r="S2909" s="37">
        <f>IF(O2909&lt;&gt;0,R2909/O2909,"")</f>
        <v>0.19462193823216184</v>
      </c>
      <c r="U2909" s="34">
        <f>SUBTOTAL(9,U2904:U2908)</f>
        <v>0</v>
      </c>
      <c r="V2909" s="35">
        <f>SUBTOTAL(9,V2904:V2908)</f>
        <v>0</v>
      </c>
      <c r="W2909" s="36">
        <f>SUBTOTAL(9,W2904:W2908)</f>
        <v>0</v>
      </c>
      <c r="X2909" s="36">
        <f>U2909-W2909</f>
        <v>0</v>
      </c>
      <c r="Y2909" s="37" t="str">
        <f>IF(U2909&lt;&gt;0,X2909/U2909,"")</f>
        <v/>
      </c>
      <c r="Z2909" s="34">
        <f>SUBTOTAL(9,Z2904:Z2908)</f>
        <v>0</v>
      </c>
      <c r="AA2909" s="35">
        <f>SUBTOTAL(9,AA2904:AA2908)</f>
        <v>0</v>
      </c>
      <c r="AB2909" s="36">
        <f>SUBTOTAL(9,AB2904:AB2908)</f>
        <v>0</v>
      </c>
      <c r="AC2909" s="36">
        <f t="shared" ref="AC2909" si="796">Z2909-AB2909</f>
        <v>0</v>
      </c>
      <c r="AD2909" s="37" t="str">
        <f t="shared" ref="AD2909" si="797">IF(Z2909&lt;&gt;0,AC2909/Z2909,"")</f>
        <v/>
      </c>
    </row>
    <row r="2910" spans="1:31" x14ac:dyDescent="0.25">
      <c r="A2910" s="14" t="s">
        <v>109</v>
      </c>
      <c r="C2910" s="66"/>
      <c r="J2910" s="10"/>
      <c r="K2910" s="11"/>
      <c r="L2910" s="11"/>
      <c r="M2910" s="11"/>
      <c r="N2910" s="12"/>
      <c r="O2910" s="10"/>
      <c r="P2910" s="11"/>
      <c r="Q2910" s="11"/>
      <c r="R2910" s="11"/>
      <c r="S2910" s="12"/>
      <c r="U2910" s="10"/>
      <c r="V2910" s="11"/>
      <c r="W2910" s="11"/>
      <c r="X2910" s="11"/>
      <c r="Y2910" s="12"/>
      <c r="Z2910" s="10"/>
      <c r="AA2910" s="11"/>
      <c r="AB2910" s="11"/>
      <c r="AC2910" s="11"/>
      <c r="AD2910" s="12"/>
    </row>
    <row r="2911" spans="1:31" ht="15.75" x14ac:dyDescent="0.25">
      <c r="A2911" s="14" t="s">
        <v>109</v>
      </c>
      <c r="C2911" s="66" t="str">
        <f t="shared" ref="C2911" si="798">E2911</f>
        <v>C100143</v>
      </c>
      <c r="E2911" s="13" t="str">
        <f>"C100143"</f>
        <v>C100143</v>
      </c>
      <c r="F2911" s="13"/>
      <c r="G2911" s="13" t="str">
        <f>"Parvotis"</f>
        <v>Parvotis</v>
      </c>
      <c r="H2911" s="13"/>
      <c r="I2911" s="13"/>
      <c r="J2911" s="10"/>
      <c r="K2911" s="11"/>
      <c r="L2911" s="11"/>
      <c r="M2911" s="11"/>
      <c r="N2911" s="12"/>
      <c r="O2911" s="10"/>
      <c r="P2911" s="11"/>
      <c r="Q2911" s="11"/>
      <c r="R2911" s="11"/>
      <c r="S2911" s="12"/>
      <c r="U2911" s="10"/>
      <c r="V2911" s="11"/>
      <c r="W2911" s="11"/>
      <c r="X2911" s="11"/>
      <c r="Y2911" s="12"/>
      <c r="Z2911" s="10"/>
      <c r="AA2911" s="11"/>
      <c r="AB2911" s="11"/>
      <c r="AC2911" s="11"/>
      <c r="AD2911" s="12"/>
    </row>
    <row r="2912" spans="1:31" ht="6.6" customHeight="1" x14ac:dyDescent="0.25">
      <c r="A2912" s="14" t="s">
        <v>109</v>
      </c>
      <c r="C2912" s="61" t="str">
        <f t="shared" ref="C2912:C2960" si="799">C2911</f>
        <v>C100143</v>
      </c>
      <c r="J2912" s="10"/>
      <c r="K2912" s="11"/>
      <c r="L2912" s="11"/>
      <c r="M2912" s="11"/>
      <c r="N2912" s="12"/>
      <c r="O2912" s="10"/>
      <c r="P2912" s="11"/>
      <c r="Q2912" s="11"/>
      <c r="R2912" s="11"/>
      <c r="S2912" s="12"/>
      <c r="U2912" s="10"/>
      <c r="V2912" s="11"/>
      <c r="W2912" s="11"/>
      <c r="X2912" s="11"/>
      <c r="Y2912" s="12"/>
      <c r="Z2912" s="10"/>
      <c r="AA2912" s="11"/>
      <c r="AB2912" s="11"/>
      <c r="AC2912" s="11"/>
      <c r="AD2912" s="12"/>
    </row>
    <row r="2913" spans="1:31" x14ac:dyDescent="0.25">
      <c r="A2913" s="14" t="s">
        <v>109</v>
      </c>
      <c r="C2913" s="61" t="str">
        <f t="shared" si="799"/>
        <v>C100143</v>
      </c>
      <c r="F2913" s="8" t="str">
        <f>"C100025"</f>
        <v>C100025</v>
      </c>
      <c r="G2913" s="9" t="str">
        <f>"Striped Knit Hat"</f>
        <v>Striped Knit Hat</v>
      </c>
      <c r="H2913" s="47"/>
      <c r="I2913" s="47"/>
      <c r="J2913" s="23">
        <v>0</v>
      </c>
      <c r="K2913" s="25">
        <v>0</v>
      </c>
      <c r="L2913" s="24">
        <v>0</v>
      </c>
      <c r="M2913" s="24">
        <f>J2913-L2913</f>
        <v>0</v>
      </c>
      <c r="N2913" s="53" t="str">
        <f>IF(J2913&lt;&gt;0,M2913/J2913,"")</f>
        <v/>
      </c>
      <c r="O2913" s="23">
        <v>2.92</v>
      </c>
      <c r="P2913" s="25">
        <v>1</v>
      </c>
      <c r="Q2913" s="24">
        <v>1.38</v>
      </c>
      <c r="R2913" s="24">
        <f>O2913-Q2913</f>
        <v>1.54</v>
      </c>
      <c r="S2913" s="53">
        <f>IF(O2913&lt;&gt;0,R2913/O2913,"")</f>
        <v>0.5273972602739726</v>
      </c>
      <c r="T2913" s="10"/>
      <c r="U2913" s="23">
        <v>0</v>
      </c>
      <c r="V2913" s="25">
        <v>0</v>
      </c>
      <c r="W2913" s="24">
        <v>0</v>
      </c>
      <c r="X2913" s="24">
        <f>U2913-W2913</f>
        <v>0</v>
      </c>
      <c r="Y2913" s="53" t="str">
        <f>IF(U2913&lt;&gt;0,X2913/U2913,"")</f>
        <v/>
      </c>
      <c r="Z2913" s="23">
        <v>0</v>
      </c>
      <c r="AA2913" s="25">
        <v>0</v>
      </c>
      <c r="AB2913" s="24">
        <v>0</v>
      </c>
      <c r="AC2913" s="24">
        <f t="shared" ref="AC2913" si="800">Z2913-AB2913</f>
        <v>0</v>
      </c>
      <c r="AD2913" s="53" t="str">
        <f t="shared" ref="AD2913" si="801">IF(Z2913&lt;&gt;0,AC2913/Z2913,"")</f>
        <v/>
      </c>
      <c r="AE2913" s="10"/>
    </row>
    <row r="2914" spans="1:31" x14ac:dyDescent="0.25">
      <c r="A2914" s="14" t="s">
        <v>109</v>
      </c>
      <c r="C2914" s="61" t="str">
        <f t="shared" ref="C2914:C2958" si="802">C2913</f>
        <v>C100143</v>
      </c>
      <c r="F2914" s="8" t="str">
        <f>"C100029"</f>
        <v>C100029</v>
      </c>
      <c r="G2914" s="9" t="str">
        <f>"Distressed Twill Visor"</f>
        <v>Distressed Twill Visor</v>
      </c>
      <c r="H2914" s="47"/>
      <c r="I2914" s="47"/>
      <c r="J2914" s="23">
        <v>0</v>
      </c>
      <c r="K2914" s="25">
        <v>0</v>
      </c>
      <c r="L2914" s="24">
        <v>0</v>
      </c>
      <c r="M2914" s="24">
        <f>J2914-L2914</f>
        <v>0</v>
      </c>
      <c r="N2914" s="53" t="str">
        <f>IF(J2914&lt;&gt;0,M2914/J2914,"")</f>
        <v/>
      </c>
      <c r="O2914" s="23">
        <v>482.62999999999994</v>
      </c>
      <c r="P2914" s="25">
        <v>144</v>
      </c>
      <c r="Q2914" s="24">
        <v>298.09000000000003</v>
      </c>
      <c r="R2914" s="24">
        <f>O2914-Q2914</f>
        <v>184.53999999999991</v>
      </c>
      <c r="S2914" s="53">
        <f>IF(O2914&lt;&gt;0,R2914/O2914,"")</f>
        <v>0.38236330107950173</v>
      </c>
      <c r="T2914" s="10"/>
      <c r="U2914" s="23">
        <v>0</v>
      </c>
      <c r="V2914" s="25">
        <v>0</v>
      </c>
      <c r="W2914" s="24">
        <v>0</v>
      </c>
      <c r="X2914" s="24">
        <f>U2914-W2914</f>
        <v>0</v>
      </c>
      <c r="Y2914" s="53" t="str">
        <f>IF(U2914&lt;&gt;0,X2914/U2914,"")</f>
        <v/>
      </c>
      <c r="Z2914" s="23">
        <v>0</v>
      </c>
      <c r="AA2914" s="25">
        <v>0</v>
      </c>
      <c r="AB2914" s="24">
        <v>0</v>
      </c>
      <c r="AC2914" s="24">
        <f t="shared" ref="AC2914:AC2958" si="803">Z2914-AB2914</f>
        <v>0</v>
      </c>
      <c r="AD2914" s="53" t="str">
        <f t="shared" ref="AD2914:AD2958" si="804">IF(Z2914&lt;&gt;0,AC2914/Z2914,"")</f>
        <v/>
      </c>
      <c r="AE2914" s="10"/>
    </row>
    <row r="2915" spans="1:31" x14ac:dyDescent="0.25">
      <c r="A2915" s="14" t="s">
        <v>109</v>
      </c>
      <c r="C2915" s="61" t="str">
        <f t="shared" si="802"/>
        <v>C100143</v>
      </c>
      <c r="F2915" s="8" t="str">
        <f>"C100030"</f>
        <v>C100030</v>
      </c>
      <c r="G2915" s="9" t="str">
        <f>"Fashion Visor"</f>
        <v>Fashion Visor</v>
      </c>
      <c r="H2915" s="47"/>
      <c r="I2915" s="47"/>
      <c r="J2915" s="23">
        <v>0</v>
      </c>
      <c r="K2915" s="25">
        <v>0</v>
      </c>
      <c r="L2915" s="24">
        <v>0</v>
      </c>
      <c r="M2915" s="24">
        <f>J2915-L2915</f>
        <v>0</v>
      </c>
      <c r="N2915" s="53" t="str">
        <f>IF(J2915&lt;&gt;0,M2915/J2915,"")</f>
        <v/>
      </c>
      <c r="O2915" s="23">
        <v>618.11</v>
      </c>
      <c r="P2915" s="25">
        <v>144</v>
      </c>
      <c r="Q2915" s="24">
        <v>348.49</v>
      </c>
      <c r="R2915" s="24">
        <f>O2915-Q2915</f>
        <v>269.62</v>
      </c>
      <c r="S2915" s="53">
        <f>IF(O2915&lt;&gt;0,R2915/O2915,"")</f>
        <v>0.4362006762550355</v>
      </c>
      <c r="T2915" s="10"/>
      <c r="U2915" s="23">
        <v>0</v>
      </c>
      <c r="V2915" s="25">
        <v>0</v>
      </c>
      <c r="W2915" s="24">
        <v>0</v>
      </c>
      <c r="X2915" s="24">
        <f>U2915-W2915</f>
        <v>0</v>
      </c>
      <c r="Y2915" s="53" t="str">
        <f>IF(U2915&lt;&gt;0,X2915/U2915,"")</f>
        <v/>
      </c>
      <c r="Z2915" s="23">
        <v>0</v>
      </c>
      <c r="AA2915" s="25">
        <v>0</v>
      </c>
      <c r="AB2915" s="24">
        <v>0</v>
      </c>
      <c r="AC2915" s="24">
        <f t="shared" si="803"/>
        <v>0</v>
      </c>
      <c r="AD2915" s="53" t="str">
        <f t="shared" si="804"/>
        <v/>
      </c>
      <c r="AE2915" s="10"/>
    </row>
    <row r="2916" spans="1:31" x14ac:dyDescent="0.25">
      <c r="A2916" s="14" t="s">
        <v>109</v>
      </c>
      <c r="C2916" s="61" t="str">
        <f t="shared" si="802"/>
        <v>C100143</v>
      </c>
      <c r="F2916" s="8" t="str">
        <f>"C100042"</f>
        <v>C100042</v>
      </c>
      <c r="G2916" s="9" t="str">
        <f>"Retractable Earbuds"</f>
        <v>Retractable Earbuds</v>
      </c>
      <c r="H2916" s="47"/>
      <c r="I2916" s="47"/>
      <c r="J2916" s="23">
        <v>0</v>
      </c>
      <c r="K2916" s="25">
        <v>0</v>
      </c>
      <c r="L2916" s="24">
        <v>0</v>
      </c>
      <c r="M2916" s="24">
        <f>J2916-L2916</f>
        <v>0</v>
      </c>
      <c r="N2916" s="53" t="str">
        <f>IF(J2916&lt;&gt;0,M2916/J2916,"")</f>
        <v/>
      </c>
      <c r="O2916" s="23">
        <v>575.77</v>
      </c>
      <c r="P2916" s="25">
        <v>288</v>
      </c>
      <c r="Q2916" s="24">
        <v>311.23</v>
      </c>
      <c r="R2916" s="24">
        <f>O2916-Q2916</f>
        <v>264.53999999999996</v>
      </c>
      <c r="S2916" s="53">
        <f>IF(O2916&lt;&gt;0,R2916/O2916,"")</f>
        <v>0.45945429598624443</v>
      </c>
      <c r="T2916" s="10"/>
      <c r="U2916" s="23">
        <v>0</v>
      </c>
      <c r="V2916" s="25">
        <v>0</v>
      </c>
      <c r="W2916" s="24">
        <v>0</v>
      </c>
      <c r="X2916" s="24">
        <f>U2916-W2916</f>
        <v>0</v>
      </c>
      <c r="Y2916" s="53" t="str">
        <f>IF(U2916&lt;&gt;0,X2916/U2916,"")</f>
        <v/>
      </c>
      <c r="Z2916" s="23">
        <v>0</v>
      </c>
      <c r="AA2916" s="25">
        <v>0</v>
      </c>
      <c r="AB2916" s="24">
        <v>0</v>
      </c>
      <c r="AC2916" s="24">
        <f t="shared" si="803"/>
        <v>0</v>
      </c>
      <c r="AD2916" s="53" t="str">
        <f t="shared" si="804"/>
        <v/>
      </c>
      <c r="AE2916" s="10"/>
    </row>
    <row r="2917" spans="1:31" x14ac:dyDescent="0.25">
      <c r="A2917" s="14" t="s">
        <v>109</v>
      </c>
      <c r="C2917" s="61" t="str">
        <f t="shared" si="802"/>
        <v>C100143</v>
      </c>
      <c r="F2917" s="8" t="str">
        <f>"C100044"</f>
        <v>C100044</v>
      </c>
      <c r="G2917" s="9" t="str">
        <f>"VOIP Headset with Mic"</f>
        <v>VOIP Headset with Mic</v>
      </c>
      <c r="H2917" s="47"/>
      <c r="I2917" s="47"/>
      <c r="J2917" s="23">
        <v>0</v>
      </c>
      <c r="K2917" s="25">
        <v>0</v>
      </c>
      <c r="L2917" s="24">
        <v>0</v>
      </c>
      <c r="M2917" s="24">
        <f>J2917-L2917</f>
        <v>0</v>
      </c>
      <c r="N2917" s="53" t="str">
        <f>IF(J2917&lt;&gt;0,M2917/J2917,"")</f>
        <v/>
      </c>
      <c r="O2917" s="23">
        <v>310.45999999999998</v>
      </c>
      <c r="P2917" s="25">
        <v>144</v>
      </c>
      <c r="Q2917" s="24">
        <v>172.85</v>
      </c>
      <c r="R2917" s="24">
        <f>O2917-Q2917</f>
        <v>137.60999999999999</v>
      </c>
      <c r="S2917" s="53">
        <f>IF(O2917&lt;&gt;0,R2917/O2917,"")</f>
        <v>0.4432455066675256</v>
      </c>
      <c r="T2917" s="10"/>
      <c r="U2917" s="23">
        <v>0</v>
      </c>
      <c r="V2917" s="25">
        <v>0</v>
      </c>
      <c r="W2917" s="24">
        <v>0</v>
      </c>
      <c r="X2917" s="24">
        <f>U2917-W2917</f>
        <v>0</v>
      </c>
      <c r="Y2917" s="53" t="str">
        <f>IF(U2917&lt;&gt;0,X2917/U2917,"")</f>
        <v/>
      </c>
      <c r="Z2917" s="23">
        <v>0</v>
      </c>
      <c r="AA2917" s="25">
        <v>0</v>
      </c>
      <c r="AB2917" s="24">
        <v>0</v>
      </c>
      <c r="AC2917" s="24">
        <f t="shared" si="803"/>
        <v>0</v>
      </c>
      <c r="AD2917" s="53" t="str">
        <f t="shared" si="804"/>
        <v/>
      </c>
      <c r="AE2917" s="10"/>
    </row>
    <row r="2918" spans="1:31" x14ac:dyDescent="0.25">
      <c r="A2918" s="14" t="s">
        <v>109</v>
      </c>
      <c r="C2918" s="61" t="str">
        <f t="shared" si="802"/>
        <v>C100143</v>
      </c>
      <c r="F2918" s="8" t="str">
        <f>"C100056"</f>
        <v>C100056</v>
      </c>
      <c r="G2918" s="9" t="str">
        <f>"Contemporary Desk Calculator"</f>
        <v>Contemporary Desk Calculator</v>
      </c>
      <c r="H2918" s="47"/>
      <c r="I2918" s="47"/>
      <c r="J2918" s="23">
        <v>0</v>
      </c>
      <c r="K2918" s="25">
        <v>0</v>
      </c>
      <c r="L2918" s="24">
        <v>0</v>
      </c>
      <c r="M2918" s="24">
        <f>J2918-L2918</f>
        <v>0</v>
      </c>
      <c r="N2918" s="53" t="str">
        <f>IF(J2918&lt;&gt;0,M2918/J2918,"")</f>
        <v/>
      </c>
      <c r="O2918" s="23">
        <v>766.28000000000009</v>
      </c>
      <c r="P2918" s="25">
        <v>144</v>
      </c>
      <c r="Q2918" s="24">
        <v>383.08</v>
      </c>
      <c r="R2918" s="24">
        <f>O2918-Q2918</f>
        <v>383.2000000000001</v>
      </c>
      <c r="S2918" s="53">
        <f>IF(O2918&lt;&gt;0,R2918/O2918,"")</f>
        <v>0.50007830036018175</v>
      </c>
      <c r="T2918" s="10"/>
      <c r="U2918" s="23">
        <v>0</v>
      </c>
      <c r="V2918" s="25">
        <v>0</v>
      </c>
      <c r="W2918" s="24">
        <v>0</v>
      </c>
      <c r="X2918" s="24">
        <f>U2918-W2918</f>
        <v>0</v>
      </c>
      <c r="Y2918" s="53" t="str">
        <f>IF(U2918&lt;&gt;0,X2918/U2918,"")</f>
        <v/>
      </c>
      <c r="Z2918" s="23">
        <v>0</v>
      </c>
      <c r="AA2918" s="25">
        <v>0</v>
      </c>
      <c r="AB2918" s="24">
        <v>0</v>
      </c>
      <c r="AC2918" s="24">
        <f t="shared" si="803"/>
        <v>0</v>
      </c>
      <c r="AD2918" s="53" t="str">
        <f t="shared" si="804"/>
        <v/>
      </c>
      <c r="AE2918" s="10"/>
    </row>
    <row r="2919" spans="1:31" x14ac:dyDescent="0.25">
      <c r="A2919" s="14" t="s">
        <v>109</v>
      </c>
      <c r="C2919" s="61" t="str">
        <f t="shared" si="802"/>
        <v>C100143</v>
      </c>
      <c r="F2919" s="8" t="str">
        <f>"C100062"</f>
        <v>C100062</v>
      </c>
      <c r="G2919" s="9" t="str">
        <f>"Tall Matte Finish Mug"</f>
        <v>Tall Matte Finish Mug</v>
      </c>
      <c r="H2919" s="47"/>
      <c r="I2919" s="47"/>
      <c r="J2919" s="23">
        <v>0</v>
      </c>
      <c r="K2919" s="25">
        <v>0</v>
      </c>
      <c r="L2919" s="24">
        <v>0</v>
      </c>
      <c r="M2919" s="24">
        <f>J2919-L2919</f>
        <v>0</v>
      </c>
      <c r="N2919" s="53" t="str">
        <f>IF(J2919&lt;&gt;0,M2919/J2919,"")</f>
        <v/>
      </c>
      <c r="O2919" s="23">
        <v>57.859999999999992</v>
      </c>
      <c r="P2919" s="25">
        <v>48</v>
      </c>
      <c r="Q2919" s="24">
        <v>32.64</v>
      </c>
      <c r="R2919" s="24">
        <f>O2919-Q2919</f>
        <v>25.219999999999992</v>
      </c>
      <c r="S2919" s="53">
        <f>IF(O2919&lt;&gt;0,R2919/O2919,"")</f>
        <v>0.43587970964396811</v>
      </c>
      <c r="T2919" s="10"/>
      <c r="U2919" s="23">
        <v>0</v>
      </c>
      <c r="V2919" s="25">
        <v>0</v>
      </c>
      <c r="W2919" s="24">
        <v>0</v>
      </c>
      <c r="X2919" s="24">
        <f>U2919-W2919</f>
        <v>0</v>
      </c>
      <c r="Y2919" s="53" t="str">
        <f>IF(U2919&lt;&gt;0,X2919/U2919,"")</f>
        <v/>
      </c>
      <c r="Z2919" s="23">
        <v>0</v>
      </c>
      <c r="AA2919" s="25">
        <v>0</v>
      </c>
      <c r="AB2919" s="24">
        <v>0</v>
      </c>
      <c r="AC2919" s="24">
        <f t="shared" si="803"/>
        <v>0</v>
      </c>
      <c r="AD2919" s="53" t="str">
        <f t="shared" si="804"/>
        <v/>
      </c>
      <c r="AE2919" s="10"/>
    </row>
    <row r="2920" spans="1:31" x14ac:dyDescent="0.25">
      <c r="A2920" s="14" t="s">
        <v>109</v>
      </c>
      <c r="C2920" s="61" t="str">
        <f t="shared" si="802"/>
        <v>C100143</v>
      </c>
      <c r="F2920" s="8" t="str">
        <f>"C100063"</f>
        <v>C100063</v>
      </c>
      <c r="G2920" s="9" t="str">
        <f>"Soup Mug"</f>
        <v>Soup Mug</v>
      </c>
      <c r="H2920" s="47"/>
      <c r="I2920" s="47"/>
      <c r="J2920" s="23">
        <v>0</v>
      </c>
      <c r="K2920" s="25">
        <v>0</v>
      </c>
      <c r="L2920" s="24">
        <v>0</v>
      </c>
      <c r="M2920" s="24">
        <f>J2920-L2920</f>
        <v>0</v>
      </c>
      <c r="N2920" s="53" t="str">
        <f>IF(J2920&lt;&gt;0,M2920/J2920,"")</f>
        <v/>
      </c>
      <c r="O2920" s="23">
        <v>244.01999999999998</v>
      </c>
      <c r="P2920" s="25">
        <v>150</v>
      </c>
      <c r="Q2920" s="24">
        <v>139.53</v>
      </c>
      <c r="R2920" s="24">
        <f>O2920-Q2920</f>
        <v>104.48999999999998</v>
      </c>
      <c r="S2920" s="53">
        <f>IF(O2920&lt;&gt;0,R2920/O2920,"")</f>
        <v>0.42820260634374224</v>
      </c>
      <c r="T2920" s="10"/>
      <c r="U2920" s="23">
        <v>0</v>
      </c>
      <c r="V2920" s="25">
        <v>0</v>
      </c>
      <c r="W2920" s="24">
        <v>0</v>
      </c>
      <c r="X2920" s="24">
        <f>U2920-W2920</f>
        <v>0</v>
      </c>
      <c r="Y2920" s="53" t="str">
        <f>IF(U2920&lt;&gt;0,X2920/U2920,"")</f>
        <v/>
      </c>
      <c r="Z2920" s="23">
        <v>0</v>
      </c>
      <c r="AA2920" s="25">
        <v>0</v>
      </c>
      <c r="AB2920" s="24">
        <v>0</v>
      </c>
      <c r="AC2920" s="24">
        <f t="shared" si="803"/>
        <v>0</v>
      </c>
      <c r="AD2920" s="53" t="str">
        <f t="shared" si="804"/>
        <v/>
      </c>
      <c r="AE2920" s="10"/>
    </row>
    <row r="2921" spans="1:31" x14ac:dyDescent="0.25">
      <c r="A2921" s="14" t="s">
        <v>109</v>
      </c>
      <c r="C2921" s="61" t="str">
        <f t="shared" si="802"/>
        <v>C100143</v>
      </c>
      <c r="F2921" s="8" t="str">
        <f>"E100002"</f>
        <v>E100002</v>
      </c>
      <c r="G2921" s="9" t="str">
        <f>"Cotton Classic Tote"</f>
        <v>Cotton Classic Tote</v>
      </c>
      <c r="H2921" s="47"/>
      <c r="I2921" s="47"/>
      <c r="J2921" s="23">
        <v>0</v>
      </c>
      <c r="K2921" s="25">
        <v>0</v>
      </c>
      <c r="L2921" s="24">
        <v>0</v>
      </c>
      <c r="M2921" s="24">
        <f>J2921-L2921</f>
        <v>0</v>
      </c>
      <c r="N2921" s="53" t="str">
        <f>IF(J2921&lt;&gt;0,M2921/J2921,"")</f>
        <v/>
      </c>
      <c r="O2921" s="23">
        <v>176.4</v>
      </c>
      <c r="P2921" s="25">
        <v>144</v>
      </c>
      <c r="Q2921" s="24">
        <v>92.17</v>
      </c>
      <c r="R2921" s="24">
        <f>O2921-Q2921</f>
        <v>84.23</v>
      </c>
      <c r="S2921" s="53">
        <f>IF(O2921&lt;&gt;0,R2921/O2921,"")</f>
        <v>0.47749433106575967</v>
      </c>
      <c r="T2921" s="10"/>
      <c r="U2921" s="23">
        <v>0</v>
      </c>
      <c r="V2921" s="25">
        <v>0</v>
      </c>
      <c r="W2921" s="24">
        <v>0</v>
      </c>
      <c r="X2921" s="24">
        <f>U2921-W2921</f>
        <v>0</v>
      </c>
      <c r="Y2921" s="53" t="str">
        <f>IF(U2921&lt;&gt;0,X2921/U2921,"")</f>
        <v/>
      </c>
      <c r="Z2921" s="23">
        <v>0</v>
      </c>
      <c r="AA2921" s="25">
        <v>0</v>
      </c>
      <c r="AB2921" s="24">
        <v>0</v>
      </c>
      <c r="AC2921" s="24">
        <f t="shared" si="803"/>
        <v>0</v>
      </c>
      <c r="AD2921" s="53" t="str">
        <f t="shared" si="804"/>
        <v/>
      </c>
      <c r="AE2921" s="10"/>
    </row>
    <row r="2922" spans="1:31" x14ac:dyDescent="0.25">
      <c r="A2922" s="14" t="s">
        <v>109</v>
      </c>
      <c r="C2922" s="61" t="str">
        <f t="shared" si="802"/>
        <v>C100143</v>
      </c>
      <c r="F2922" s="8" t="str">
        <f>"E100003"</f>
        <v>E100003</v>
      </c>
      <c r="G2922" s="9" t="str">
        <f>"Recycled Tote"</f>
        <v>Recycled Tote</v>
      </c>
      <c r="H2922" s="47"/>
      <c r="I2922" s="47"/>
      <c r="J2922" s="23">
        <v>0</v>
      </c>
      <c r="K2922" s="25">
        <v>0</v>
      </c>
      <c r="L2922" s="24">
        <v>0</v>
      </c>
      <c r="M2922" s="24">
        <f>J2922-L2922</f>
        <v>0</v>
      </c>
      <c r="N2922" s="53" t="str">
        <f>IF(J2922&lt;&gt;0,M2922/J2922,"")</f>
        <v/>
      </c>
      <c r="O2922" s="23">
        <v>436.06</v>
      </c>
      <c r="P2922" s="25">
        <v>144</v>
      </c>
      <c r="Q2922" s="24">
        <v>244.81000000000003</v>
      </c>
      <c r="R2922" s="24">
        <f>O2922-Q2922</f>
        <v>191.24999999999997</v>
      </c>
      <c r="S2922" s="53">
        <f>IF(O2922&lt;&gt;0,R2922/O2922,"")</f>
        <v>0.4385864330596706</v>
      </c>
      <c r="T2922" s="10"/>
      <c r="U2922" s="23">
        <v>0</v>
      </c>
      <c r="V2922" s="25">
        <v>0</v>
      </c>
      <c r="W2922" s="24">
        <v>0</v>
      </c>
      <c r="X2922" s="24">
        <f>U2922-W2922</f>
        <v>0</v>
      </c>
      <c r="Y2922" s="53" t="str">
        <f>IF(U2922&lt;&gt;0,X2922/U2922,"")</f>
        <v/>
      </c>
      <c r="Z2922" s="23">
        <v>0</v>
      </c>
      <c r="AA2922" s="25">
        <v>0</v>
      </c>
      <c r="AB2922" s="24">
        <v>0</v>
      </c>
      <c r="AC2922" s="24">
        <f t="shared" si="803"/>
        <v>0</v>
      </c>
      <c r="AD2922" s="53" t="str">
        <f t="shared" si="804"/>
        <v/>
      </c>
      <c r="AE2922" s="10"/>
    </row>
    <row r="2923" spans="1:31" x14ac:dyDescent="0.25">
      <c r="A2923" s="14" t="s">
        <v>109</v>
      </c>
      <c r="C2923" s="61" t="str">
        <f t="shared" si="802"/>
        <v>C100143</v>
      </c>
      <c r="F2923" s="8" t="str">
        <f>"E100005"</f>
        <v>E100005</v>
      </c>
      <c r="G2923" s="9" t="str">
        <f>"All Purpose Tote"</f>
        <v>All Purpose Tote</v>
      </c>
      <c r="H2923" s="47"/>
      <c r="I2923" s="47"/>
      <c r="J2923" s="23">
        <v>0</v>
      </c>
      <c r="K2923" s="25">
        <v>0</v>
      </c>
      <c r="L2923" s="24">
        <v>0</v>
      </c>
      <c r="M2923" s="24">
        <f>J2923-L2923</f>
        <v>0</v>
      </c>
      <c r="N2923" s="53" t="str">
        <f>IF(J2923&lt;&gt;0,M2923/J2923,"")</f>
        <v/>
      </c>
      <c r="O2923" s="23">
        <v>1092.27</v>
      </c>
      <c r="P2923" s="25">
        <v>432</v>
      </c>
      <c r="Q2923" s="24">
        <v>535.67999999999995</v>
      </c>
      <c r="R2923" s="24">
        <f>O2923-Q2923</f>
        <v>556.59</v>
      </c>
      <c r="S2923" s="53">
        <f>IF(O2923&lt;&gt;0,R2923/O2923,"")</f>
        <v>0.50957180916806288</v>
      </c>
      <c r="T2923" s="10"/>
      <c r="U2923" s="23">
        <v>0</v>
      </c>
      <c r="V2923" s="25">
        <v>0</v>
      </c>
      <c r="W2923" s="24">
        <v>0</v>
      </c>
      <c r="X2923" s="24">
        <f>U2923-W2923</f>
        <v>0</v>
      </c>
      <c r="Y2923" s="53" t="str">
        <f>IF(U2923&lt;&gt;0,X2923/U2923,"")</f>
        <v/>
      </c>
      <c r="Z2923" s="23">
        <v>0</v>
      </c>
      <c r="AA2923" s="25">
        <v>0</v>
      </c>
      <c r="AB2923" s="24">
        <v>0</v>
      </c>
      <c r="AC2923" s="24">
        <f t="shared" si="803"/>
        <v>0</v>
      </c>
      <c r="AD2923" s="53" t="str">
        <f t="shared" si="804"/>
        <v/>
      </c>
      <c r="AE2923" s="10"/>
    </row>
    <row r="2924" spans="1:31" x14ac:dyDescent="0.25">
      <c r="A2924" s="14" t="s">
        <v>109</v>
      </c>
      <c r="C2924" s="61" t="str">
        <f t="shared" si="802"/>
        <v>C100143</v>
      </c>
      <c r="F2924" s="8" t="str">
        <f>"E100006"</f>
        <v>E100006</v>
      </c>
      <c r="G2924" s="9" t="str">
        <f>"Budget Tote Bag"</f>
        <v>Budget Tote Bag</v>
      </c>
      <c r="H2924" s="47"/>
      <c r="I2924" s="47"/>
      <c r="J2924" s="23">
        <v>0</v>
      </c>
      <c r="K2924" s="25">
        <v>0</v>
      </c>
      <c r="L2924" s="24">
        <v>0</v>
      </c>
      <c r="M2924" s="24">
        <f>J2924-L2924</f>
        <v>0</v>
      </c>
      <c r="N2924" s="53" t="str">
        <f>IF(J2924&lt;&gt;0,M2924/J2924,"")</f>
        <v/>
      </c>
      <c r="O2924" s="23">
        <v>0.26</v>
      </c>
      <c r="P2924" s="25">
        <v>3</v>
      </c>
      <c r="Q2924" s="24">
        <v>0.12</v>
      </c>
      <c r="R2924" s="24">
        <f>O2924-Q2924</f>
        <v>0.14000000000000001</v>
      </c>
      <c r="S2924" s="53">
        <f>IF(O2924&lt;&gt;0,R2924/O2924,"")</f>
        <v>0.53846153846153855</v>
      </c>
      <c r="T2924" s="10"/>
      <c r="U2924" s="23">
        <v>0</v>
      </c>
      <c r="V2924" s="25">
        <v>0</v>
      </c>
      <c r="W2924" s="24">
        <v>0</v>
      </c>
      <c r="X2924" s="24">
        <f>U2924-W2924</f>
        <v>0</v>
      </c>
      <c r="Y2924" s="53" t="str">
        <f>IF(U2924&lt;&gt;0,X2924/U2924,"")</f>
        <v/>
      </c>
      <c r="Z2924" s="23">
        <v>0</v>
      </c>
      <c r="AA2924" s="25">
        <v>0</v>
      </c>
      <c r="AB2924" s="24">
        <v>0</v>
      </c>
      <c r="AC2924" s="24">
        <f t="shared" si="803"/>
        <v>0</v>
      </c>
      <c r="AD2924" s="53" t="str">
        <f t="shared" si="804"/>
        <v/>
      </c>
      <c r="AE2924" s="10"/>
    </row>
    <row r="2925" spans="1:31" x14ac:dyDescent="0.25">
      <c r="A2925" s="14" t="s">
        <v>109</v>
      </c>
      <c r="C2925" s="61" t="str">
        <f t="shared" si="802"/>
        <v>C100143</v>
      </c>
      <c r="F2925" s="8" t="str">
        <f>"E100007"</f>
        <v>E100007</v>
      </c>
      <c r="G2925" s="9" t="str">
        <f>"Plastic Handle Bag"</f>
        <v>Plastic Handle Bag</v>
      </c>
      <c r="H2925" s="47"/>
      <c r="I2925" s="47"/>
      <c r="J2925" s="23">
        <v>-0.32</v>
      </c>
      <c r="K2925" s="25">
        <v>-1</v>
      </c>
      <c r="L2925" s="24">
        <v>-0.18</v>
      </c>
      <c r="M2925" s="24">
        <f>J2925-L2925</f>
        <v>-0.14000000000000001</v>
      </c>
      <c r="N2925" s="53">
        <f>IF(J2925&lt;&gt;0,M2925/J2925,"")</f>
        <v>0.43750000000000006</v>
      </c>
      <c r="O2925" s="23">
        <v>0</v>
      </c>
      <c r="P2925" s="25">
        <v>0</v>
      </c>
      <c r="Q2925" s="24">
        <v>0</v>
      </c>
      <c r="R2925" s="24">
        <f>O2925-Q2925</f>
        <v>0</v>
      </c>
      <c r="S2925" s="53" t="str">
        <f>IF(O2925&lt;&gt;0,R2925/O2925,"")</f>
        <v/>
      </c>
      <c r="T2925" s="10"/>
      <c r="U2925" s="23">
        <v>0</v>
      </c>
      <c r="V2925" s="25">
        <v>0</v>
      </c>
      <c r="W2925" s="24">
        <v>0</v>
      </c>
      <c r="X2925" s="24">
        <f>U2925-W2925</f>
        <v>0</v>
      </c>
      <c r="Y2925" s="53" t="str">
        <f>IF(U2925&lt;&gt;0,X2925/U2925,"")</f>
        <v/>
      </c>
      <c r="Z2925" s="23">
        <v>0</v>
      </c>
      <c r="AA2925" s="25">
        <v>0</v>
      </c>
      <c r="AB2925" s="24">
        <v>0</v>
      </c>
      <c r="AC2925" s="24">
        <f t="shared" si="803"/>
        <v>0</v>
      </c>
      <c r="AD2925" s="53" t="str">
        <f t="shared" si="804"/>
        <v/>
      </c>
      <c r="AE2925" s="10"/>
    </row>
    <row r="2926" spans="1:31" x14ac:dyDescent="0.25">
      <c r="A2926" s="14" t="s">
        <v>109</v>
      </c>
      <c r="C2926" s="61" t="str">
        <f t="shared" si="802"/>
        <v>C100143</v>
      </c>
      <c r="F2926" s="8" t="str">
        <f>"E100011"</f>
        <v>E100011</v>
      </c>
      <c r="G2926" s="9" t="str">
        <f>"Plastic Sun Visor"</f>
        <v>Plastic Sun Visor</v>
      </c>
      <c r="H2926" s="47"/>
      <c r="I2926" s="47"/>
      <c r="J2926" s="23">
        <v>0</v>
      </c>
      <c r="K2926" s="25">
        <v>0</v>
      </c>
      <c r="L2926" s="24">
        <v>0</v>
      </c>
      <c r="M2926" s="24">
        <f>J2926-L2926</f>
        <v>0</v>
      </c>
      <c r="N2926" s="53" t="str">
        <f>IF(J2926&lt;&gt;0,M2926/J2926,"")</f>
        <v/>
      </c>
      <c r="O2926" s="23">
        <v>114.31</v>
      </c>
      <c r="P2926" s="25">
        <v>144</v>
      </c>
      <c r="Q2926" s="24">
        <v>60.470000000000006</v>
      </c>
      <c r="R2926" s="24">
        <f>O2926-Q2926</f>
        <v>53.839999999999996</v>
      </c>
      <c r="S2926" s="53">
        <f>IF(O2926&lt;&gt;0,R2926/O2926,"")</f>
        <v>0.47099991251858975</v>
      </c>
      <c r="T2926" s="10"/>
      <c r="U2926" s="23">
        <v>0</v>
      </c>
      <c r="V2926" s="25">
        <v>0</v>
      </c>
      <c r="W2926" s="24">
        <v>0</v>
      </c>
      <c r="X2926" s="24">
        <f>U2926-W2926</f>
        <v>0</v>
      </c>
      <c r="Y2926" s="53" t="str">
        <f>IF(U2926&lt;&gt;0,X2926/U2926,"")</f>
        <v/>
      </c>
      <c r="Z2926" s="23">
        <v>0</v>
      </c>
      <c r="AA2926" s="25">
        <v>0</v>
      </c>
      <c r="AB2926" s="24">
        <v>0</v>
      </c>
      <c r="AC2926" s="24">
        <f t="shared" si="803"/>
        <v>0</v>
      </c>
      <c r="AD2926" s="53" t="str">
        <f t="shared" si="804"/>
        <v/>
      </c>
      <c r="AE2926" s="10"/>
    </row>
    <row r="2927" spans="1:31" x14ac:dyDescent="0.25">
      <c r="A2927" s="14" t="s">
        <v>109</v>
      </c>
      <c r="C2927" s="61" t="str">
        <f t="shared" si="802"/>
        <v>C100143</v>
      </c>
      <c r="F2927" s="8" t="str">
        <f>"E100012"</f>
        <v>E100012</v>
      </c>
      <c r="G2927" s="9" t="str">
        <f>"Canvas Stopwatch"</f>
        <v>Canvas Stopwatch</v>
      </c>
      <c r="H2927" s="47"/>
      <c r="I2927" s="47"/>
      <c r="J2927" s="23">
        <v>0</v>
      </c>
      <c r="K2927" s="25">
        <v>0</v>
      </c>
      <c r="L2927" s="24">
        <v>0</v>
      </c>
      <c r="M2927" s="24">
        <f>J2927-L2927</f>
        <v>0</v>
      </c>
      <c r="N2927" s="53" t="str">
        <f>IF(J2927&lt;&gt;0,M2927/J2927,"")</f>
        <v/>
      </c>
      <c r="O2927" s="23">
        <v>522.14</v>
      </c>
      <c r="P2927" s="25">
        <v>144</v>
      </c>
      <c r="Q2927" s="24">
        <v>282.22999999999996</v>
      </c>
      <c r="R2927" s="24">
        <f>O2927-Q2927</f>
        <v>239.91000000000003</v>
      </c>
      <c r="S2927" s="53">
        <f>IF(O2927&lt;&gt;0,R2927/O2927,"")</f>
        <v>0.45947447044853879</v>
      </c>
      <c r="T2927" s="10"/>
      <c r="U2927" s="23">
        <v>0</v>
      </c>
      <c r="V2927" s="25">
        <v>0</v>
      </c>
      <c r="W2927" s="24">
        <v>0</v>
      </c>
      <c r="X2927" s="24">
        <f>U2927-W2927</f>
        <v>0</v>
      </c>
      <c r="Y2927" s="53" t="str">
        <f>IF(U2927&lt;&gt;0,X2927/U2927,"")</f>
        <v/>
      </c>
      <c r="Z2927" s="23">
        <v>0</v>
      </c>
      <c r="AA2927" s="25">
        <v>0</v>
      </c>
      <c r="AB2927" s="24">
        <v>0</v>
      </c>
      <c r="AC2927" s="24">
        <f t="shared" si="803"/>
        <v>0</v>
      </c>
      <c r="AD2927" s="53" t="str">
        <f t="shared" si="804"/>
        <v/>
      </c>
      <c r="AE2927" s="10"/>
    </row>
    <row r="2928" spans="1:31" x14ac:dyDescent="0.25">
      <c r="A2928" s="14" t="s">
        <v>109</v>
      </c>
      <c r="C2928" s="61" t="str">
        <f t="shared" si="802"/>
        <v>C100143</v>
      </c>
      <c r="F2928" s="8" t="str">
        <f>"E100014"</f>
        <v>E100014</v>
      </c>
      <c r="G2928" s="9" t="str">
        <f>"Stopwatch with Neck Rope"</f>
        <v>Stopwatch with Neck Rope</v>
      </c>
      <c r="H2928" s="47"/>
      <c r="I2928" s="47"/>
      <c r="J2928" s="23">
        <v>0</v>
      </c>
      <c r="K2928" s="25">
        <v>0</v>
      </c>
      <c r="L2928" s="24">
        <v>0</v>
      </c>
      <c r="M2928" s="24">
        <f>J2928-L2928</f>
        <v>0</v>
      </c>
      <c r="N2928" s="53" t="str">
        <f>IF(J2928&lt;&gt;0,M2928/J2928,"")</f>
        <v/>
      </c>
      <c r="O2928" s="23">
        <v>388.08000000000004</v>
      </c>
      <c r="P2928" s="25">
        <v>144</v>
      </c>
      <c r="Q2928" s="24">
        <v>185.75</v>
      </c>
      <c r="R2928" s="24">
        <f>O2928-Q2928</f>
        <v>202.33000000000004</v>
      </c>
      <c r="S2928" s="53">
        <f>IF(O2928&lt;&gt;0,R2928/O2928,"")</f>
        <v>0.5213615749330035</v>
      </c>
      <c r="T2928" s="10"/>
      <c r="U2928" s="23">
        <v>0</v>
      </c>
      <c r="V2928" s="25">
        <v>0</v>
      </c>
      <c r="W2928" s="24">
        <v>0</v>
      </c>
      <c r="X2928" s="24">
        <f>U2928-W2928</f>
        <v>0</v>
      </c>
      <c r="Y2928" s="53" t="str">
        <f>IF(U2928&lt;&gt;0,X2928/U2928,"")</f>
        <v/>
      </c>
      <c r="Z2928" s="23">
        <v>0</v>
      </c>
      <c r="AA2928" s="25">
        <v>0</v>
      </c>
      <c r="AB2928" s="24">
        <v>0</v>
      </c>
      <c r="AC2928" s="24">
        <f t="shared" si="803"/>
        <v>0</v>
      </c>
      <c r="AD2928" s="53" t="str">
        <f t="shared" si="804"/>
        <v/>
      </c>
      <c r="AE2928" s="10"/>
    </row>
    <row r="2929" spans="1:31" x14ac:dyDescent="0.25">
      <c r="A2929" s="14" t="s">
        <v>109</v>
      </c>
      <c r="C2929" s="61" t="str">
        <f t="shared" si="802"/>
        <v>C100143</v>
      </c>
      <c r="F2929" s="8" t="str">
        <f>"E100016"</f>
        <v>E100016</v>
      </c>
      <c r="G2929" s="9" t="str">
        <f>"4 Function Rotating Carabiner Watch"</f>
        <v>4 Function Rotating Carabiner Watch</v>
      </c>
      <c r="H2929" s="47"/>
      <c r="I2929" s="47"/>
      <c r="J2929" s="23">
        <v>0</v>
      </c>
      <c r="K2929" s="25">
        <v>0</v>
      </c>
      <c r="L2929" s="24">
        <v>0</v>
      </c>
      <c r="M2929" s="24">
        <f>J2929-L2929</f>
        <v>0</v>
      </c>
      <c r="N2929" s="53" t="str">
        <f>IF(J2929&lt;&gt;0,M2929/J2929,"")</f>
        <v/>
      </c>
      <c r="O2929" s="23">
        <v>429.00000000000006</v>
      </c>
      <c r="P2929" s="25">
        <v>144</v>
      </c>
      <c r="Q2929" s="24">
        <v>198.73000000000002</v>
      </c>
      <c r="R2929" s="24">
        <f>O2929-Q2929</f>
        <v>230.27000000000004</v>
      </c>
      <c r="S2929" s="53">
        <f>IF(O2929&lt;&gt;0,R2929/O2929,"")</f>
        <v>0.53675990675990681</v>
      </c>
      <c r="T2929" s="10"/>
      <c r="U2929" s="23">
        <v>0</v>
      </c>
      <c r="V2929" s="25">
        <v>0</v>
      </c>
      <c r="W2929" s="24">
        <v>0</v>
      </c>
      <c r="X2929" s="24">
        <f>U2929-W2929</f>
        <v>0</v>
      </c>
      <c r="Y2929" s="53" t="str">
        <f>IF(U2929&lt;&gt;0,X2929/U2929,"")</f>
        <v/>
      </c>
      <c r="Z2929" s="23">
        <v>0</v>
      </c>
      <c r="AA2929" s="25">
        <v>0</v>
      </c>
      <c r="AB2929" s="24">
        <v>0</v>
      </c>
      <c r="AC2929" s="24">
        <f t="shared" si="803"/>
        <v>0</v>
      </c>
      <c r="AD2929" s="53" t="str">
        <f t="shared" si="804"/>
        <v/>
      </c>
      <c r="AE2929" s="10"/>
    </row>
    <row r="2930" spans="1:31" x14ac:dyDescent="0.25">
      <c r="A2930" s="14" t="s">
        <v>109</v>
      </c>
      <c r="C2930" s="61" t="str">
        <f t="shared" si="802"/>
        <v>C100143</v>
      </c>
      <c r="F2930" s="8" t="str">
        <f>"E100017"</f>
        <v>E100017</v>
      </c>
      <c r="G2930" s="9" t="str">
        <f>"Clip-on Clock with Compass"</f>
        <v>Clip-on Clock with Compass</v>
      </c>
      <c r="H2930" s="47"/>
      <c r="I2930" s="47"/>
      <c r="J2930" s="23">
        <v>0</v>
      </c>
      <c r="K2930" s="25">
        <v>0</v>
      </c>
      <c r="L2930" s="24">
        <v>0</v>
      </c>
      <c r="M2930" s="24">
        <f>J2930-L2930</f>
        <v>0</v>
      </c>
      <c r="N2930" s="53" t="str">
        <f>IF(J2930&lt;&gt;0,M2930/J2930,"")</f>
        <v/>
      </c>
      <c r="O2930" s="23">
        <v>220.14999999999998</v>
      </c>
      <c r="P2930" s="25">
        <v>144</v>
      </c>
      <c r="Q2930" s="24">
        <v>126.72</v>
      </c>
      <c r="R2930" s="24">
        <f>O2930-Q2930</f>
        <v>93.429999999999978</v>
      </c>
      <c r="S2930" s="53">
        <f>IF(O2930&lt;&gt;0,R2930/O2930,"")</f>
        <v>0.42439245968657729</v>
      </c>
      <c r="T2930" s="10"/>
      <c r="U2930" s="23">
        <v>0</v>
      </c>
      <c r="V2930" s="25">
        <v>0</v>
      </c>
      <c r="W2930" s="24">
        <v>0</v>
      </c>
      <c r="X2930" s="24">
        <f>U2930-W2930</f>
        <v>0</v>
      </c>
      <c r="Y2930" s="53" t="str">
        <f>IF(U2930&lt;&gt;0,X2930/U2930,"")</f>
        <v/>
      </c>
      <c r="Z2930" s="23">
        <v>0</v>
      </c>
      <c r="AA2930" s="25">
        <v>0</v>
      </c>
      <c r="AB2930" s="24">
        <v>0</v>
      </c>
      <c r="AC2930" s="24">
        <f t="shared" si="803"/>
        <v>0</v>
      </c>
      <c r="AD2930" s="53" t="str">
        <f t="shared" si="804"/>
        <v/>
      </c>
      <c r="AE2930" s="10"/>
    </row>
    <row r="2931" spans="1:31" x14ac:dyDescent="0.25">
      <c r="A2931" s="14" t="s">
        <v>109</v>
      </c>
      <c r="C2931" s="61" t="str">
        <f t="shared" si="802"/>
        <v>C100143</v>
      </c>
      <c r="F2931" s="8" t="str">
        <f>"E100018"</f>
        <v>E100018</v>
      </c>
      <c r="G2931" s="9" t="str">
        <f>"Flexi-Clock &amp; Clip"</f>
        <v>Flexi-Clock &amp; Clip</v>
      </c>
      <c r="H2931" s="47"/>
      <c r="I2931" s="47"/>
      <c r="J2931" s="23">
        <v>0</v>
      </c>
      <c r="K2931" s="25">
        <v>0</v>
      </c>
      <c r="L2931" s="24">
        <v>0</v>
      </c>
      <c r="M2931" s="24">
        <f>J2931-L2931</f>
        <v>0</v>
      </c>
      <c r="N2931" s="53" t="str">
        <f>IF(J2931&lt;&gt;0,M2931/J2931,"")</f>
        <v/>
      </c>
      <c r="O2931" s="23">
        <v>159.47</v>
      </c>
      <c r="P2931" s="25">
        <v>144</v>
      </c>
      <c r="Q2931" s="24">
        <v>86.39</v>
      </c>
      <c r="R2931" s="24">
        <f>O2931-Q2931</f>
        <v>73.08</v>
      </c>
      <c r="S2931" s="53">
        <f>IF(O2931&lt;&gt;0,R2931/O2931,"")</f>
        <v>0.45826801279237472</v>
      </c>
      <c r="T2931" s="10"/>
      <c r="U2931" s="23">
        <v>0</v>
      </c>
      <c r="V2931" s="25">
        <v>0</v>
      </c>
      <c r="W2931" s="24">
        <v>0</v>
      </c>
      <c r="X2931" s="24">
        <f>U2931-W2931</f>
        <v>0</v>
      </c>
      <c r="Y2931" s="53" t="str">
        <f>IF(U2931&lt;&gt;0,X2931/U2931,"")</f>
        <v/>
      </c>
      <c r="Z2931" s="23">
        <v>0</v>
      </c>
      <c r="AA2931" s="25">
        <v>0</v>
      </c>
      <c r="AB2931" s="24">
        <v>0</v>
      </c>
      <c r="AC2931" s="24">
        <f t="shared" si="803"/>
        <v>0</v>
      </c>
      <c r="AD2931" s="53" t="str">
        <f t="shared" si="804"/>
        <v/>
      </c>
      <c r="AE2931" s="10"/>
    </row>
    <row r="2932" spans="1:31" x14ac:dyDescent="0.25">
      <c r="A2932" s="14" t="s">
        <v>109</v>
      </c>
      <c r="C2932" s="61" t="str">
        <f t="shared" si="802"/>
        <v>C100143</v>
      </c>
      <c r="F2932" s="8" t="str">
        <f>"E100019"</f>
        <v>E100019</v>
      </c>
      <c r="G2932" s="9" t="str">
        <f>"Mini Travel Alarm"</f>
        <v>Mini Travel Alarm</v>
      </c>
      <c r="H2932" s="47"/>
      <c r="I2932" s="47"/>
      <c r="J2932" s="23">
        <v>0</v>
      </c>
      <c r="K2932" s="25">
        <v>0</v>
      </c>
      <c r="L2932" s="24">
        <v>0</v>
      </c>
      <c r="M2932" s="24">
        <f>J2932-L2932</f>
        <v>0</v>
      </c>
      <c r="N2932" s="53" t="str">
        <f>IF(J2932&lt;&gt;0,M2932/J2932,"")</f>
        <v/>
      </c>
      <c r="O2932" s="23">
        <v>3.32</v>
      </c>
      <c r="P2932" s="25">
        <v>1</v>
      </c>
      <c r="Q2932" s="24">
        <v>1.62</v>
      </c>
      <c r="R2932" s="24">
        <f>O2932-Q2932</f>
        <v>1.6999999999999997</v>
      </c>
      <c r="S2932" s="53">
        <f>IF(O2932&lt;&gt;0,R2932/O2932,"")</f>
        <v>0.51204819277108427</v>
      </c>
      <c r="T2932" s="10"/>
      <c r="U2932" s="23">
        <v>0</v>
      </c>
      <c r="V2932" s="25">
        <v>0</v>
      </c>
      <c r="W2932" s="24">
        <v>0</v>
      </c>
      <c r="X2932" s="24">
        <f>U2932-W2932</f>
        <v>0</v>
      </c>
      <c r="Y2932" s="53" t="str">
        <f>IF(U2932&lt;&gt;0,X2932/U2932,"")</f>
        <v/>
      </c>
      <c r="Z2932" s="23">
        <v>0</v>
      </c>
      <c r="AA2932" s="25">
        <v>0</v>
      </c>
      <c r="AB2932" s="24">
        <v>0</v>
      </c>
      <c r="AC2932" s="24">
        <f t="shared" si="803"/>
        <v>0</v>
      </c>
      <c r="AD2932" s="53" t="str">
        <f t="shared" si="804"/>
        <v/>
      </c>
      <c r="AE2932" s="10"/>
    </row>
    <row r="2933" spans="1:31" x14ac:dyDescent="0.25">
      <c r="A2933" s="14" t="s">
        <v>109</v>
      </c>
      <c r="C2933" s="61" t="str">
        <f t="shared" si="802"/>
        <v>C100143</v>
      </c>
      <c r="F2933" s="8" t="str">
        <f>"E100022"</f>
        <v>E100022</v>
      </c>
      <c r="G2933" s="9" t="str">
        <f>"Wide Screen Alarm Clock"</f>
        <v>Wide Screen Alarm Clock</v>
      </c>
      <c r="H2933" s="47"/>
      <c r="I2933" s="47"/>
      <c r="J2933" s="23">
        <v>0</v>
      </c>
      <c r="K2933" s="25">
        <v>0</v>
      </c>
      <c r="L2933" s="24">
        <v>0</v>
      </c>
      <c r="M2933" s="24">
        <f>J2933-L2933</f>
        <v>0</v>
      </c>
      <c r="N2933" s="53" t="str">
        <f>IF(J2933&lt;&gt;0,M2933/J2933,"")</f>
        <v/>
      </c>
      <c r="O2933" s="23">
        <v>272.36</v>
      </c>
      <c r="P2933" s="25">
        <v>144</v>
      </c>
      <c r="Q2933" s="24">
        <v>184.31</v>
      </c>
      <c r="R2933" s="24">
        <f>O2933-Q2933</f>
        <v>88.050000000000011</v>
      </c>
      <c r="S2933" s="53">
        <f>IF(O2933&lt;&gt;0,R2933/O2933,"")</f>
        <v>0.32328535761492144</v>
      </c>
      <c r="T2933" s="10"/>
      <c r="U2933" s="23">
        <v>0</v>
      </c>
      <c r="V2933" s="25">
        <v>0</v>
      </c>
      <c r="W2933" s="24">
        <v>0</v>
      </c>
      <c r="X2933" s="24">
        <f>U2933-W2933</f>
        <v>0</v>
      </c>
      <c r="Y2933" s="53" t="str">
        <f>IF(U2933&lt;&gt;0,X2933/U2933,"")</f>
        <v/>
      </c>
      <c r="Z2933" s="23">
        <v>0</v>
      </c>
      <c r="AA2933" s="25">
        <v>0</v>
      </c>
      <c r="AB2933" s="24">
        <v>0</v>
      </c>
      <c r="AC2933" s="24">
        <f t="shared" si="803"/>
        <v>0</v>
      </c>
      <c r="AD2933" s="53" t="str">
        <f t="shared" si="804"/>
        <v/>
      </c>
      <c r="AE2933" s="10"/>
    </row>
    <row r="2934" spans="1:31" x14ac:dyDescent="0.25">
      <c r="A2934" s="14" t="s">
        <v>109</v>
      </c>
      <c r="C2934" s="61" t="str">
        <f t="shared" si="802"/>
        <v>C100143</v>
      </c>
      <c r="F2934" s="8" t="str">
        <f>"E100023"</f>
        <v>E100023</v>
      </c>
      <c r="G2934" s="9" t="str">
        <f>"Sport Earbuds"</f>
        <v>Sport Earbuds</v>
      </c>
      <c r="H2934" s="47"/>
      <c r="I2934" s="47"/>
      <c r="J2934" s="23">
        <v>0</v>
      </c>
      <c r="K2934" s="25">
        <v>0</v>
      </c>
      <c r="L2934" s="24">
        <v>0</v>
      </c>
      <c r="M2934" s="24">
        <f>J2934-L2934</f>
        <v>0</v>
      </c>
      <c r="N2934" s="53" t="str">
        <f>IF(J2934&lt;&gt;0,M2934/J2934,"")</f>
        <v/>
      </c>
      <c r="O2934" s="23">
        <v>637.86</v>
      </c>
      <c r="P2934" s="25">
        <v>144</v>
      </c>
      <c r="Q2934" s="24">
        <v>302.39999999999998</v>
      </c>
      <c r="R2934" s="24">
        <f>O2934-Q2934</f>
        <v>335.46000000000004</v>
      </c>
      <c r="S2934" s="53">
        <f>IF(O2934&lt;&gt;0,R2934/O2934,"")</f>
        <v>0.52591477753739069</v>
      </c>
      <c r="T2934" s="10"/>
      <c r="U2934" s="23">
        <v>0</v>
      </c>
      <c r="V2934" s="25">
        <v>0</v>
      </c>
      <c r="W2934" s="24">
        <v>0</v>
      </c>
      <c r="X2934" s="24">
        <f>U2934-W2934</f>
        <v>0</v>
      </c>
      <c r="Y2934" s="53" t="str">
        <f>IF(U2934&lt;&gt;0,X2934/U2934,"")</f>
        <v/>
      </c>
      <c r="Z2934" s="23">
        <v>0</v>
      </c>
      <c r="AA2934" s="25">
        <v>0</v>
      </c>
      <c r="AB2934" s="24">
        <v>0</v>
      </c>
      <c r="AC2934" s="24">
        <f t="shared" si="803"/>
        <v>0</v>
      </c>
      <c r="AD2934" s="53" t="str">
        <f t="shared" si="804"/>
        <v/>
      </c>
      <c r="AE2934" s="10"/>
    </row>
    <row r="2935" spans="1:31" x14ac:dyDescent="0.25">
      <c r="A2935" s="14" t="s">
        <v>109</v>
      </c>
      <c r="C2935" s="61" t="str">
        <f t="shared" si="802"/>
        <v>C100143</v>
      </c>
      <c r="F2935" s="8" t="str">
        <f>"E100025"</f>
        <v>E100025</v>
      </c>
      <c r="G2935" s="9" t="str">
        <f>"Calc-U-Note"</f>
        <v>Calc-U-Note</v>
      </c>
      <c r="H2935" s="47"/>
      <c r="I2935" s="47"/>
      <c r="J2935" s="23">
        <v>0</v>
      </c>
      <c r="K2935" s="25">
        <v>0</v>
      </c>
      <c r="L2935" s="24">
        <v>0</v>
      </c>
      <c r="M2935" s="24">
        <f>J2935-L2935</f>
        <v>0</v>
      </c>
      <c r="N2935" s="53" t="str">
        <f>IF(J2935&lt;&gt;0,M2935/J2935,"")</f>
        <v/>
      </c>
      <c r="O2935" s="23">
        <v>231.43999999999997</v>
      </c>
      <c r="P2935" s="25">
        <v>144</v>
      </c>
      <c r="Q2935" s="24">
        <v>146.80000000000001</v>
      </c>
      <c r="R2935" s="24">
        <f>O2935-Q2935</f>
        <v>84.639999999999958</v>
      </c>
      <c r="S2935" s="53">
        <f>IF(O2935&lt;&gt;0,R2935/O2935,"")</f>
        <v>0.36571033529208419</v>
      </c>
      <c r="T2935" s="10"/>
      <c r="U2935" s="23">
        <v>0</v>
      </c>
      <c r="V2935" s="25">
        <v>0</v>
      </c>
      <c r="W2935" s="24">
        <v>0</v>
      </c>
      <c r="X2935" s="24">
        <f>U2935-W2935</f>
        <v>0</v>
      </c>
      <c r="Y2935" s="53" t="str">
        <f>IF(U2935&lt;&gt;0,X2935/U2935,"")</f>
        <v/>
      </c>
      <c r="Z2935" s="23">
        <v>0</v>
      </c>
      <c r="AA2935" s="25">
        <v>0</v>
      </c>
      <c r="AB2935" s="24">
        <v>0</v>
      </c>
      <c r="AC2935" s="24">
        <f t="shared" si="803"/>
        <v>0</v>
      </c>
      <c r="AD2935" s="53" t="str">
        <f t="shared" si="804"/>
        <v/>
      </c>
      <c r="AE2935" s="10"/>
    </row>
    <row r="2936" spans="1:31" x14ac:dyDescent="0.25">
      <c r="A2936" s="14" t="s">
        <v>109</v>
      </c>
      <c r="C2936" s="61" t="str">
        <f t="shared" si="802"/>
        <v>C100143</v>
      </c>
      <c r="F2936" s="8" t="str">
        <f>"E100026"</f>
        <v>E100026</v>
      </c>
      <c r="G2936" s="9" t="str">
        <f>"Desk Calculator"</f>
        <v>Desk Calculator</v>
      </c>
      <c r="H2936" s="47"/>
      <c r="I2936" s="47"/>
      <c r="J2936" s="23">
        <v>0</v>
      </c>
      <c r="K2936" s="25">
        <v>0</v>
      </c>
      <c r="L2936" s="24">
        <v>0</v>
      </c>
      <c r="M2936" s="24">
        <f>J2936-L2936</f>
        <v>0</v>
      </c>
      <c r="N2936" s="53" t="str">
        <f>IF(J2936&lt;&gt;0,M2936/J2936,"")</f>
        <v/>
      </c>
      <c r="O2936" s="23">
        <v>120.78</v>
      </c>
      <c r="P2936" s="25">
        <v>145</v>
      </c>
      <c r="Q2936" s="24">
        <v>69.660000000000011</v>
      </c>
      <c r="R2936" s="24">
        <f>O2936-Q2936</f>
        <v>51.11999999999999</v>
      </c>
      <c r="S2936" s="53">
        <f>IF(O2936&lt;&gt;0,R2936/O2936,"")</f>
        <v>0.42324888226527563</v>
      </c>
      <c r="T2936" s="10"/>
      <c r="U2936" s="23">
        <v>0</v>
      </c>
      <c r="V2936" s="25">
        <v>0</v>
      </c>
      <c r="W2936" s="24">
        <v>0</v>
      </c>
      <c r="X2936" s="24">
        <f>U2936-W2936</f>
        <v>0</v>
      </c>
      <c r="Y2936" s="53" t="str">
        <f>IF(U2936&lt;&gt;0,X2936/U2936,"")</f>
        <v/>
      </c>
      <c r="Z2936" s="23">
        <v>0</v>
      </c>
      <c r="AA2936" s="25">
        <v>0</v>
      </c>
      <c r="AB2936" s="24">
        <v>0</v>
      </c>
      <c r="AC2936" s="24">
        <f t="shared" si="803"/>
        <v>0</v>
      </c>
      <c r="AD2936" s="53" t="str">
        <f t="shared" si="804"/>
        <v/>
      </c>
      <c r="AE2936" s="10"/>
    </row>
    <row r="2937" spans="1:31" x14ac:dyDescent="0.25">
      <c r="A2937" s="14" t="s">
        <v>109</v>
      </c>
      <c r="C2937" s="61" t="str">
        <f t="shared" si="802"/>
        <v>C100143</v>
      </c>
      <c r="F2937" s="8" t="str">
        <f>"E100027"</f>
        <v>E100027</v>
      </c>
      <c r="G2937" s="9" t="str">
        <f>"Ergo-Calculator"</f>
        <v>Ergo-Calculator</v>
      </c>
      <c r="H2937" s="47"/>
      <c r="I2937" s="47"/>
      <c r="J2937" s="23">
        <v>0</v>
      </c>
      <c r="K2937" s="25">
        <v>0</v>
      </c>
      <c r="L2937" s="24">
        <v>0</v>
      </c>
      <c r="M2937" s="24">
        <f>J2937-L2937</f>
        <v>0</v>
      </c>
      <c r="N2937" s="53" t="str">
        <f>IF(J2937&lt;&gt;0,M2937/J2937,"")</f>
        <v/>
      </c>
      <c r="O2937" s="23">
        <v>796.8599999999999</v>
      </c>
      <c r="P2937" s="25">
        <v>336</v>
      </c>
      <c r="Q2937" s="24">
        <v>430.15999999999997</v>
      </c>
      <c r="R2937" s="24">
        <f>O2937-Q2937</f>
        <v>366.69999999999993</v>
      </c>
      <c r="S2937" s="53">
        <f>IF(O2937&lt;&gt;0,R2937/O2937,"")</f>
        <v>0.46018121125417261</v>
      </c>
      <c r="T2937" s="10"/>
      <c r="U2937" s="23">
        <v>0</v>
      </c>
      <c r="V2937" s="25">
        <v>0</v>
      </c>
      <c r="W2937" s="24">
        <v>0</v>
      </c>
      <c r="X2937" s="24">
        <f>U2937-W2937</f>
        <v>0</v>
      </c>
      <c r="Y2937" s="53" t="str">
        <f>IF(U2937&lt;&gt;0,X2937/U2937,"")</f>
        <v/>
      </c>
      <c r="Z2937" s="23">
        <v>341.51</v>
      </c>
      <c r="AA2937" s="25">
        <v>144</v>
      </c>
      <c r="AB2937" s="24">
        <v>184.35</v>
      </c>
      <c r="AC2937" s="24">
        <f t="shared" si="803"/>
        <v>157.16</v>
      </c>
      <c r="AD2937" s="53">
        <f t="shared" si="804"/>
        <v>0.46019150244502355</v>
      </c>
      <c r="AE2937" s="10"/>
    </row>
    <row r="2938" spans="1:31" x14ac:dyDescent="0.25">
      <c r="A2938" s="14" t="s">
        <v>109</v>
      </c>
      <c r="C2938" s="61" t="str">
        <f t="shared" si="802"/>
        <v>C100143</v>
      </c>
      <c r="F2938" s="8" t="str">
        <f>"E100029"</f>
        <v>E100029</v>
      </c>
      <c r="G2938" s="9" t="str">
        <f>"LED Flex Light"</f>
        <v>LED Flex Light</v>
      </c>
      <c r="H2938" s="47"/>
      <c r="I2938" s="47"/>
      <c r="J2938" s="23">
        <v>0</v>
      </c>
      <c r="K2938" s="25">
        <v>0</v>
      </c>
      <c r="L2938" s="24">
        <v>0</v>
      </c>
      <c r="M2938" s="24">
        <f>J2938-L2938</f>
        <v>0</v>
      </c>
      <c r="N2938" s="53" t="str">
        <f>IF(J2938&lt;&gt;0,M2938/J2938,"")</f>
        <v/>
      </c>
      <c r="O2938" s="23">
        <v>407.84</v>
      </c>
      <c r="P2938" s="25">
        <v>144</v>
      </c>
      <c r="Q2938" s="24">
        <v>241.84000000000003</v>
      </c>
      <c r="R2938" s="24">
        <f>O2938-Q2938</f>
        <v>165.99999999999994</v>
      </c>
      <c r="S2938" s="53">
        <f>IF(O2938&lt;&gt;0,R2938/O2938,"")</f>
        <v>0.40702236171047457</v>
      </c>
      <c r="T2938" s="10"/>
      <c r="U2938" s="23">
        <v>0</v>
      </c>
      <c r="V2938" s="25">
        <v>0</v>
      </c>
      <c r="W2938" s="24">
        <v>0</v>
      </c>
      <c r="X2938" s="24">
        <f>U2938-W2938</f>
        <v>0</v>
      </c>
      <c r="Y2938" s="53" t="str">
        <f>IF(U2938&lt;&gt;0,X2938/U2938,"")</f>
        <v/>
      </c>
      <c r="Z2938" s="23">
        <v>0</v>
      </c>
      <c r="AA2938" s="25">
        <v>0</v>
      </c>
      <c r="AB2938" s="24">
        <v>0</v>
      </c>
      <c r="AC2938" s="24">
        <f t="shared" si="803"/>
        <v>0</v>
      </c>
      <c r="AD2938" s="53" t="str">
        <f t="shared" si="804"/>
        <v/>
      </c>
      <c r="AE2938" s="10"/>
    </row>
    <row r="2939" spans="1:31" x14ac:dyDescent="0.25">
      <c r="A2939" s="14" t="s">
        <v>109</v>
      </c>
      <c r="C2939" s="61" t="str">
        <f t="shared" si="802"/>
        <v>C100143</v>
      </c>
      <c r="F2939" s="8" t="str">
        <f>"E100030"</f>
        <v>E100030</v>
      </c>
      <c r="G2939" s="9" t="str">
        <f>"LED Keychain"</f>
        <v>LED Keychain</v>
      </c>
      <c r="H2939" s="47"/>
      <c r="I2939" s="47"/>
      <c r="J2939" s="23">
        <v>0</v>
      </c>
      <c r="K2939" s="25">
        <v>0</v>
      </c>
      <c r="L2939" s="24">
        <v>0</v>
      </c>
      <c r="M2939" s="24">
        <f>J2939-L2939</f>
        <v>0</v>
      </c>
      <c r="N2939" s="53" t="str">
        <f>IF(J2939&lt;&gt;0,M2939/J2939,"")</f>
        <v/>
      </c>
      <c r="O2939" s="23">
        <v>23.76</v>
      </c>
      <c r="P2939" s="25">
        <v>25</v>
      </c>
      <c r="Q2939" s="24">
        <v>12.51</v>
      </c>
      <c r="R2939" s="24">
        <f>O2939-Q2939</f>
        <v>11.250000000000002</v>
      </c>
      <c r="S2939" s="53">
        <f>IF(O2939&lt;&gt;0,R2939/O2939,"")</f>
        <v>0.47348484848484851</v>
      </c>
      <c r="T2939" s="10"/>
      <c r="U2939" s="23">
        <v>0</v>
      </c>
      <c r="V2939" s="25">
        <v>0</v>
      </c>
      <c r="W2939" s="24">
        <v>0</v>
      </c>
      <c r="X2939" s="24">
        <f>U2939-W2939</f>
        <v>0</v>
      </c>
      <c r="Y2939" s="53" t="str">
        <f>IF(U2939&lt;&gt;0,X2939/U2939,"")</f>
        <v/>
      </c>
      <c r="Z2939" s="23">
        <v>0</v>
      </c>
      <c r="AA2939" s="25">
        <v>0</v>
      </c>
      <c r="AB2939" s="24">
        <v>0</v>
      </c>
      <c r="AC2939" s="24">
        <f t="shared" si="803"/>
        <v>0</v>
      </c>
      <c r="AD2939" s="53" t="str">
        <f t="shared" si="804"/>
        <v/>
      </c>
      <c r="AE2939" s="10"/>
    </row>
    <row r="2940" spans="1:31" x14ac:dyDescent="0.25">
      <c r="A2940" s="14" t="s">
        <v>109</v>
      </c>
      <c r="C2940" s="61" t="str">
        <f t="shared" si="802"/>
        <v>C100143</v>
      </c>
      <c r="F2940" s="8" t="str">
        <f>"E100031"</f>
        <v>E100031</v>
      </c>
      <c r="G2940" s="9" t="str">
        <f>"Ad Torch"</f>
        <v>Ad Torch</v>
      </c>
      <c r="H2940" s="47"/>
      <c r="I2940" s="47"/>
      <c r="J2940" s="23">
        <v>0</v>
      </c>
      <c r="K2940" s="25">
        <v>0</v>
      </c>
      <c r="L2940" s="24">
        <v>0</v>
      </c>
      <c r="M2940" s="24">
        <f>J2940-L2940</f>
        <v>0</v>
      </c>
      <c r="N2940" s="53" t="str">
        <f>IF(J2940&lt;&gt;0,M2940/J2940,"")</f>
        <v/>
      </c>
      <c r="O2940" s="23">
        <v>32.809999999999995</v>
      </c>
      <c r="P2940" s="25">
        <v>12</v>
      </c>
      <c r="Q2940" s="24">
        <v>16.559999999999999</v>
      </c>
      <c r="R2940" s="24">
        <f>O2940-Q2940</f>
        <v>16.249999999999996</v>
      </c>
      <c r="S2940" s="53">
        <f>IF(O2940&lt;&gt;0,R2940/O2940,"")</f>
        <v>0.49527583053946966</v>
      </c>
      <c r="T2940" s="10"/>
      <c r="U2940" s="23">
        <v>0</v>
      </c>
      <c r="V2940" s="25">
        <v>0</v>
      </c>
      <c r="W2940" s="24">
        <v>0</v>
      </c>
      <c r="X2940" s="24">
        <f>U2940-W2940</f>
        <v>0</v>
      </c>
      <c r="Y2940" s="53" t="str">
        <f>IF(U2940&lt;&gt;0,X2940/U2940,"")</f>
        <v/>
      </c>
      <c r="Z2940" s="23">
        <v>0</v>
      </c>
      <c r="AA2940" s="25">
        <v>0</v>
      </c>
      <c r="AB2940" s="24">
        <v>0</v>
      </c>
      <c r="AC2940" s="24">
        <f t="shared" si="803"/>
        <v>0</v>
      </c>
      <c r="AD2940" s="53" t="str">
        <f t="shared" si="804"/>
        <v/>
      </c>
      <c r="AE2940" s="10"/>
    </row>
    <row r="2941" spans="1:31" x14ac:dyDescent="0.25">
      <c r="A2941" s="14" t="s">
        <v>109</v>
      </c>
      <c r="C2941" s="61" t="str">
        <f t="shared" si="802"/>
        <v>C100143</v>
      </c>
      <c r="F2941" s="8" t="str">
        <f>"E100032"</f>
        <v>E100032</v>
      </c>
      <c r="G2941" s="9" t="str">
        <f>"Button Key-Light"</f>
        <v>Button Key-Light</v>
      </c>
      <c r="H2941" s="47"/>
      <c r="I2941" s="47"/>
      <c r="J2941" s="23">
        <v>-0.49</v>
      </c>
      <c r="K2941" s="25">
        <v>-1</v>
      </c>
      <c r="L2941" s="24">
        <v>-0.33</v>
      </c>
      <c r="M2941" s="24">
        <f>J2941-L2941</f>
        <v>-0.15999999999999998</v>
      </c>
      <c r="N2941" s="53">
        <f>IF(J2941&lt;&gt;0,M2941/J2941,"")</f>
        <v>0.32653061224489793</v>
      </c>
      <c r="O2941" s="23">
        <v>0</v>
      </c>
      <c r="P2941" s="25">
        <v>0</v>
      </c>
      <c r="Q2941" s="24">
        <v>0</v>
      </c>
      <c r="R2941" s="24">
        <f>O2941-Q2941</f>
        <v>0</v>
      </c>
      <c r="S2941" s="53" t="str">
        <f>IF(O2941&lt;&gt;0,R2941/O2941,"")</f>
        <v/>
      </c>
      <c r="T2941" s="10"/>
      <c r="U2941" s="23">
        <v>0</v>
      </c>
      <c r="V2941" s="25">
        <v>0</v>
      </c>
      <c r="W2941" s="24">
        <v>0</v>
      </c>
      <c r="X2941" s="24">
        <f>U2941-W2941</f>
        <v>0</v>
      </c>
      <c r="Y2941" s="53" t="str">
        <f>IF(U2941&lt;&gt;0,X2941/U2941,"")</f>
        <v/>
      </c>
      <c r="Z2941" s="23">
        <v>6</v>
      </c>
      <c r="AA2941" s="25">
        <v>12</v>
      </c>
      <c r="AB2941" s="24">
        <v>3.96</v>
      </c>
      <c r="AC2941" s="24">
        <f t="shared" si="803"/>
        <v>2.04</v>
      </c>
      <c r="AD2941" s="53">
        <f t="shared" si="804"/>
        <v>0.34</v>
      </c>
      <c r="AE2941" s="10"/>
    </row>
    <row r="2942" spans="1:31" x14ac:dyDescent="0.25">
      <c r="A2942" s="14" t="s">
        <v>109</v>
      </c>
      <c r="C2942" s="61" t="str">
        <f t="shared" si="802"/>
        <v>C100143</v>
      </c>
      <c r="F2942" s="8" t="str">
        <f>"E100035"</f>
        <v>E100035</v>
      </c>
      <c r="G2942" s="9" t="str">
        <f>"2GB Foldout USB Flash Drive"</f>
        <v>2GB Foldout USB Flash Drive</v>
      </c>
      <c r="H2942" s="47"/>
      <c r="I2942" s="47"/>
      <c r="J2942" s="23">
        <v>0</v>
      </c>
      <c r="K2942" s="25">
        <v>0</v>
      </c>
      <c r="L2942" s="24">
        <v>0</v>
      </c>
      <c r="M2942" s="24">
        <f>J2942-L2942</f>
        <v>0</v>
      </c>
      <c r="N2942" s="53" t="str">
        <f>IF(J2942&lt;&gt;0,M2942/J2942,"")</f>
        <v/>
      </c>
      <c r="O2942" s="23">
        <v>546.13</v>
      </c>
      <c r="P2942" s="25">
        <v>144</v>
      </c>
      <c r="Q2942" s="24">
        <v>324.05</v>
      </c>
      <c r="R2942" s="24">
        <f>O2942-Q2942</f>
        <v>222.07999999999998</v>
      </c>
      <c r="S2942" s="53">
        <f>IF(O2942&lt;&gt;0,R2942/O2942,"")</f>
        <v>0.40664310695255707</v>
      </c>
      <c r="T2942" s="10"/>
      <c r="U2942" s="23">
        <v>0</v>
      </c>
      <c r="V2942" s="25">
        <v>0</v>
      </c>
      <c r="W2942" s="24">
        <v>0</v>
      </c>
      <c r="X2942" s="24">
        <f>U2942-W2942</f>
        <v>0</v>
      </c>
      <c r="Y2942" s="53" t="str">
        <f>IF(U2942&lt;&gt;0,X2942/U2942,"")</f>
        <v/>
      </c>
      <c r="Z2942" s="23">
        <v>0</v>
      </c>
      <c r="AA2942" s="25">
        <v>0</v>
      </c>
      <c r="AB2942" s="24">
        <v>0</v>
      </c>
      <c r="AC2942" s="24">
        <f t="shared" si="803"/>
        <v>0</v>
      </c>
      <c r="AD2942" s="53" t="str">
        <f t="shared" si="804"/>
        <v/>
      </c>
      <c r="AE2942" s="10"/>
    </row>
    <row r="2943" spans="1:31" x14ac:dyDescent="0.25">
      <c r="A2943" s="14" t="s">
        <v>109</v>
      </c>
      <c r="C2943" s="61" t="str">
        <f t="shared" si="802"/>
        <v>C100143</v>
      </c>
      <c r="F2943" s="8" t="str">
        <f>"E100039"</f>
        <v>E100039</v>
      </c>
      <c r="G2943" s="9" t="str">
        <f>"Campfire Mug"</f>
        <v>Campfire Mug</v>
      </c>
      <c r="H2943" s="47"/>
      <c r="I2943" s="47"/>
      <c r="J2943" s="23">
        <v>0</v>
      </c>
      <c r="K2943" s="25">
        <v>0</v>
      </c>
      <c r="L2943" s="24">
        <v>0</v>
      </c>
      <c r="M2943" s="24">
        <f>J2943-L2943</f>
        <v>0</v>
      </c>
      <c r="N2943" s="53" t="str">
        <f>IF(J2943&lt;&gt;0,M2943/J2943,"")</f>
        <v/>
      </c>
      <c r="O2943" s="23">
        <v>485.46000000000004</v>
      </c>
      <c r="P2943" s="25">
        <v>288</v>
      </c>
      <c r="Q2943" s="24">
        <v>322.72000000000003</v>
      </c>
      <c r="R2943" s="24">
        <f>O2943-Q2943</f>
        <v>162.74</v>
      </c>
      <c r="S2943" s="53">
        <f>IF(O2943&lt;&gt;0,R2943/O2943,"")</f>
        <v>0.33522844312610717</v>
      </c>
      <c r="T2943" s="10"/>
      <c r="U2943" s="23">
        <v>0</v>
      </c>
      <c r="V2943" s="25">
        <v>0</v>
      </c>
      <c r="W2943" s="24">
        <v>0</v>
      </c>
      <c r="X2943" s="24">
        <f>U2943-W2943</f>
        <v>0</v>
      </c>
      <c r="Y2943" s="53" t="str">
        <f>IF(U2943&lt;&gt;0,X2943/U2943,"")</f>
        <v/>
      </c>
      <c r="Z2943" s="23">
        <v>0</v>
      </c>
      <c r="AA2943" s="25">
        <v>0</v>
      </c>
      <c r="AB2943" s="24">
        <v>0</v>
      </c>
      <c r="AC2943" s="24">
        <f t="shared" si="803"/>
        <v>0</v>
      </c>
      <c r="AD2943" s="53" t="str">
        <f t="shared" si="804"/>
        <v/>
      </c>
      <c r="AE2943" s="10"/>
    </row>
    <row r="2944" spans="1:31" x14ac:dyDescent="0.25">
      <c r="A2944" s="14" t="s">
        <v>109</v>
      </c>
      <c r="C2944" s="61" t="str">
        <f t="shared" si="802"/>
        <v>C100143</v>
      </c>
      <c r="F2944" s="8" t="str">
        <f>"E100040"</f>
        <v>E100040</v>
      </c>
      <c r="G2944" s="9" t="str">
        <f>"Wave Mug"</f>
        <v>Wave Mug</v>
      </c>
      <c r="H2944" s="47"/>
      <c r="I2944" s="47"/>
      <c r="J2944" s="23">
        <v>0</v>
      </c>
      <c r="K2944" s="25">
        <v>0</v>
      </c>
      <c r="L2944" s="24">
        <v>0</v>
      </c>
      <c r="M2944" s="24">
        <f>J2944-L2944</f>
        <v>0</v>
      </c>
      <c r="N2944" s="53" t="str">
        <f>IF(J2944&lt;&gt;0,M2944/J2944,"")</f>
        <v/>
      </c>
      <c r="O2944" s="23">
        <v>715.48</v>
      </c>
      <c r="P2944" s="25">
        <v>432</v>
      </c>
      <c r="Q2944" s="24">
        <v>484.08000000000004</v>
      </c>
      <c r="R2944" s="24">
        <f>O2944-Q2944</f>
        <v>231.39999999999998</v>
      </c>
      <c r="S2944" s="53">
        <f>IF(O2944&lt;&gt;0,R2944/O2944,"")</f>
        <v>0.32341924302566105</v>
      </c>
      <c r="T2944" s="10"/>
      <c r="U2944" s="23">
        <v>0</v>
      </c>
      <c r="V2944" s="25">
        <v>0</v>
      </c>
      <c r="W2944" s="24">
        <v>0</v>
      </c>
      <c r="X2944" s="24">
        <f>U2944-W2944</f>
        <v>0</v>
      </c>
      <c r="Y2944" s="53" t="str">
        <f>IF(U2944&lt;&gt;0,X2944/U2944,"")</f>
        <v/>
      </c>
      <c r="Z2944" s="23">
        <v>0</v>
      </c>
      <c r="AA2944" s="25">
        <v>0</v>
      </c>
      <c r="AB2944" s="24">
        <v>0</v>
      </c>
      <c r="AC2944" s="24">
        <f t="shared" si="803"/>
        <v>0</v>
      </c>
      <c r="AD2944" s="53" t="str">
        <f t="shared" si="804"/>
        <v/>
      </c>
      <c r="AE2944" s="10"/>
    </row>
    <row r="2945" spans="1:31" x14ac:dyDescent="0.25">
      <c r="A2945" s="14" t="s">
        <v>109</v>
      </c>
      <c r="C2945" s="61" t="str">
        <f t="shared" si="802"/>
        <v>C100143</v>
      </c>
      <c r="F2945" s="8" t="str">
        <f>"E100041"</f>
        <v>E100041</v>
      </c>
      <c r="G2945" s="9" t="str">
        <f>"Biodegradable Colored SPORT BOT"</f>
        <v>Biodegradable Colored SPORT BOT</v>
      </c>
      <c r="H2945" s="47"/>
      <c r="I2945" s="47"/>
      <c r="J2945" s="23">
        <v>-0.66</v>
      </c>
      <c r="K2945" s="25">
        <v>-1</v>
      </c>
      <c r="L2945" s="24">
        <v>-0.43</v>
      </c>
      <c r="M2945" s="24">
        <f>J2945-L2945</f>
        <v>-0.23000000000000004</v>
      </c>
      <c r="N2945" s="53">
        <f>IF(J2945&lt;&gt;0,M2945/J2945,"")</f>
        <v>0.34848484848484851</v>
      </c>
      <c r="O2945" s="23">
        <v>292.12</v>
      </c>
      <c r="P2945" s="25">
        <v>432</v>
      </c>
      <c r="Q2945" s="24">
        <v>185.7</v>
      </c>
      <c r="R2945" s="24">
        <f>O2945-Q2945</f>
        <v>106.42000000000002</v>
      </c>
      <c r="S2945" s="53">
        <f>IF(O2945&lt;&gt;0,R2945/O2945,"")</f>
        <v>0.36430234150349178</v>
      </c>
      <c r="T2945" s="10"/>
      <c r="U2945" s="23">
        <v>0</v>
      </c>
      <c r="V2945" s="25">
        <v>0</v>
      </c>
      <c r="W2945" s="24">
        <v>0</v>
      </c>
      <c r="X2945" s="24">
        <f>U2945-W2945</f>
        <v>0</v>
      </c>
      <c r="Y2945" s="53" t="str">
        <f>IF(U2945&lt;&gt;0,X2945/U2945,"")</f>
        <v/>
      </c>
      <c r="Z2945" s="23">
        <v>0</v>
      </c>
      <c r="AA2945" s="25">
        <v>0</v>
      </c>
      <c r="AB2945" s="24">
        <v>0</v>
      </c>
      <c r="AC2945" s="24">
        <f t="shared" si="803"/>
        <v>0</v>
      </c>
      <c r="AD2945" s="53" t="str">
        <f t="shared" si="804"/>
        <v/>
      </c>
      <c r="AE2945" s="10"/>
    </row>
    <row r="2946" spans="1:31" x14ac:dyDescent="0.25">
      <c r="A2946" s="14" t="s">
        <v>109</v>
      </c>
      <c r="C2946" s="61" t="str">
        <f t="shared" si="802"/>
        <v>C100143</v>
      </c>
      <c r="F2946" s="8" t="str">
        <f>"E100042"</f>
        <v>E100042</v>
      </c>
      <c r="G2946" s="9" t="str">
        <f>"Soft Touch Travel Mug"</f>
        <v>Soft Touch Travel Mug</v>
      </c>
      <c r="H2946" s="47"/>
      <c r="I2946" s="47"/>
      <c r="J2946" s="23">
        <v>0</v>
      </c>
      <c r="K2946" s="25">
        <v>0</v>
      </c>
      <c r="L2946" s="24">
        <v>0</v>
      </c>
      <c r="M2946" s="24">
        <f>J2946-L2946</f>
        <v>0</v>
      </c>
      <c r="N2946" s="53" t="str">
        <f>IF(J2946&lt;&gt;0,M2946/J2946,"")</f>
        <v/>
      </c>
      <c r="O2946" s="23">
        <v>1092.27</v>
      </c>
      <c r="P2946" s="25">
        <v>288</v>
      </c>
      <c r="Q2946" s="24">
        <v>619.36</v>
      </c>
      <c r="R2946" s="24">
        <f>O2946-Q2946</f>
        <v>472.90999999999997</v>
      </c>
      <c r="S2946" s="53">
        <f>IF(O2946&lt;&gt;0,R2946/O2946,"")</f>
        <v>0.43296071484156845</v>
      </c>
      <c r="T2946" s="10"/>
      <c r="U2946" s="23">
        <v>0</v>
      </c>
      <c r="V2946" s="25">
        <v>0</v>
      </c>
      <c r="W2946" s="24">
        <v>0</v>
      </c>
      <c r="X2946" s="24">
        <f>U2946-W2946</f>
        <v>0</v>
      </c>
      <c r="Y2946" s="53" t="str">
        <f>IF(U2946&lt;&gt;0,X2946/U2946,"")</f>
        <v/>
      </c>
      <c r="Z2946" s="23">
        <v>0</v>
      </c>
      <c r="AA2946" s="25">
        <v>0</v>
      </c>
      <c r="AB2946" s="24">
        <v>0</v>
      </c>
      <c r="AC2946" s="24">
        <f t="shared" si="803"/>
        <v>0</v>
      </c>
      <c r="AD2946" s="53" t="str">
        <f t="shared" si="804"/>
        <v/>
      </c>
      <c r="AE2946" s="10"/>
    </row>
    <row r="2947" spans="1:31" x14ac:dyDescent="0.25">
      <c r="A2947" s="14" t="s">
        <v>109</v>
      </c>
      <c r="C2947" s="61" t="str">
        <f t="shared" si="802"/>
        <v>C100143</v>
      </c>
      <c r="F2947" s="8" t="str">
        <f>"E100044"</f>
        <v>E100044</v>
      </c>
      <c r="G2947" s="9" t="str">
        <f>"Juice Glass"</f>
        <v>Juice Glass</v>
      </c>
      <c r="H2947" s="47"/>
      <c r="I2947" s="47"/>
      <c r="J2947" s="23">
        <v>0</v>
      </c>
      <c r="K2947" s="25">
        <v>0</v>
      </c>
      <c r="L2947" s="24">
        <v>0</v>
      </c>
      <c r="M2947" s="24">
        <f>J2947-L2947</f>
        <v>0</v>
      </c>
      <c r="N2947" s="53" t="str">
        <f>IF(J2947&lt;&gt;0,M2947/J2947,"")</f>
        <v/>
      </c>
      <c r="O2947" s="23">
        <v>0.56999999999999995</v>
      </c>
      <c r="P2947" s="25">
        <v>1</v>
      </c>
      <c r="Q2947" s="24">
        <v>0.38</v>
      </c>
      <c r="R2947" s="24">
        <f>O2947-Q2947</f>
        <v>0.18999999999999995</v>
      </c>
      <c r="S2947" s="53">
        <f>IF(O2947&lt;&gt;0,R2947/O2947,"")</f>
        <v>0.33333333333333326</v>
      </c>
      <c r="T2947" s="10"/>
      <c r="U2947" s="23">
        <v>0</v>
      </c>
      <c r="V2947" s="25">
        <v>0</v>
      </c>
      <c r="W2947" s="24">
        <v>0</v>
      </c>
      <c r="X2947" s="24">
        <f>U2947-W2947</f>
        <v>0</v>
      </c>
      <c r="Y2947" s="53" t="str">
        <f>IF(U2947&lt;&gt;0,X2947/U2947,"")</f>
        <v/>
      </c>
      <c r="Z2947" s="23">
        <v>0</v>
      </c>
      <c r="AA2947" s="25">
        <v>0</v>
      </c>
      <c r="AB2947" s="24">
        <v>0</v>
      </c>
      <c r="AC2947" s="24">
        <f t="shared" si="803"/>
        <v>0</v>
      </c>
      <c r="AD2947" s="53" t="str">
        <f t="shared" si="804"/>
        <v/>
      </c>
      <c r="AE2947" s="10"/>
    </row>
    <row r="2948" spans="1:31" x14ac:dyDescent="0.25">
      <c r="A2948" s="14" t="s">
        <v>109</v>
      </c>
      <c r="C2948" s="61" t="str">
        <f t="shared" si="802"/>
        <v>C100143</v>
      </c>
      <c r="F2948" s="8" t="str">
        <f>"E100045"</f>
        <v>E100045</v>
      </c>
      <c r="G2948" s="9" t="str">
        <f>"Flute"</f>
        <v>Flute</v>
      </c>
      <c r="H2948" s="47"/>
      <c r="I2948" s="47"/>
      <c r="J2948" s="23">
        <v>0</v>
      </c>
      <c r="K2948" s="25">
        <v>0</v>
      </c>
      <c r="L2948" s="24">
        <v>0</v>
      </c>
      <c r="M2948" s="24">
        <f>J2948-L2948</f>
        <v>0</v>
      </c>
      <c r="N2948" s="53" t="str">
        <f>IF(J2948&lt;&gt;0,M2948/J2948,"")</f>
        <v/>
      </c>
      <c r="O2948" s="23">
        <v>0.97</v>
      </c>
      <c r="P2948" s="25">
        <v>1</v>
      </c>
      <c r="Q2948" s="24">
        <v>0.62</v>
      </c>
      <c r="R2948" s="24">
        <f>O2948-Q2948</f>
        <v>0.35</v>
      </c>
      <c r="S2948" s="53">
        <f>IF(O2948&lt;&gt;0,R2948/O2948,"")</f>
        <v>0.36082474226804123</v>
      </c>
      <c r="T2948" s="10"/>
      <c r="U2948" s="23">
        <v>0</v>
      </c>
      <c r="V2948" s="25">
        <v>0</v>
      </c>
      <c r="W2948" s="24">
        <v>0</v>
      </c>
      <c r="X2948" s="24">
        <f>U2948-W2948</f>
        <v>0</v>
      </c>
      <c r="Y2948" s="53" t="str">
        <f>IF(U2948&lt;&gt;0,X2948/U2948,"")</f>
        <v/>
      </c>
      <c r="Z2948" s="23">
        <v>0</v>
      </c>
      <c r="AA2948" s="25">
        <v>0</v>
      </c>
      <c r="AB2948" s="24">
        <v>0</v>
      </c>
      <c r="AC2948" s="24">
        <f t="shared" si="803"/>
        <v>0</v>
      </c>
      <c r="AD2948" s="53" t="str">
        <f t="shared" si="804"/>
        <v/>
      </c>
      <c r="AE2948" s="10"/>
    </row>
    <row r="2949" spans="1:31" x14ac:dyDescent="0.25">
      <c r="A2949" s="14" t="s">
        <v>109</v>
      </c>
      <c r="C2949" s="61" t="str">
        <f t="shared" si="802"/>
        <v>C100143</v>
      </c>
      <c r="F2949" s="8" t="str">
        <f>"S100003"</f>
        <v>S100003</v>
      </c>
      <c r="G2949" s="9" t="str">
        <f>"Soccer #1 Pin"</f>
        <v>Soccer #1 Pin</v>
      </c>
      <c r="H2949" s="47"/>
      <c r="I2949" s="47"/>
      <c r="J2949" s="23">
        <v>0</v>
      </c>
      <c r="K2949" s="25">
        <v>0</v>
      </c>
      <c r="L2949" s="24">
        <v>0</v>
      </c>
      <c r="M2949" s="24">
        <f>J2949-L2949</f>
        <v>0</v>
      </c>
      <c r="N2949" s="53" t="str">
        <f>IF(J2949&lt;&gt;0,M2949/J2949,"")</f>
        <v/>
      </c>
      <c r="O2949" s="23">
        <v>211.68</v>
      </c>
      <c r="P2949" s="25">
        <v>144</v>
      </c>
      <c r="Q2949" s="24">
        <v>129.6</v>
      </c>
      <c r="R2949" s="24">
        <f>O2949-Q2949</f>
        <v>82.080000000000013</v>
      </c>
      <c r="S2949" s="53">
        <f>IF(O2949&lt;&gt;0,R2949/O2949,"")</f>
        <v>0.38775510204081637</v>
      </c>
      <c r="T2949" s="10"/>
      <c r="U2949" s="23">
        <v>0</v>
      </c>
      <c r="V2949" s="25">
        <v>0</v>
      </c>
      <c r="W2949" s="24">
        <v>0</v>
      </c>
      <c r="X2949" s="24">
        <f>U2949-W2949</f>
        <v>0</v>
      </c>
      <c r="Y2949" s="53" t="str">
        <f>IF(U2949&lt;&gt;0,X2949/U2949,"")</f>
        <v/>
      </c>
      <c r="Z2949" s="23">
        <v>0</v>
      </c>
      <c r="AA2949" s="25">
        <v>0</v>
      </c>
      <c r="AB2949" s="24">
        <v>0</v>
      </c>
      <c r="AC2949" s="24">
        <f t="shared" si="803"/>
        <v>0</v>
      </c>
      <c r="AD2949" s="53" t="str">
        <f t="shared" si="804"/>
        <v/>
      </c>
      <c r="AE2949" s="10"/>
    </row>
    <row r="2950" spans="1:31" x14ac:dyDescent="0.25">
      <c r="A2950" s="14" t="s">
        <v>109</v>
      </c>
      <c r="C2950" s="61" t="str">
        <f t="shared" si="802"/>
        <v>C100143</v>
      </c>
      <c r="F2950" s="8" t="str">
        <f>"S100011"</f>
        <v>S100011</v>
      </c>
      <c r="G2950" s="9" t="str">
        <f>"All Star Cap"</f>
        <v>All Star Cap</v>
      </c>
      <c r="H2950" s="47"/>
      <c r="I2950" s="47"/>
      <c r="J2950" s="23">
        <v>0</v>
      </c>
      <c r="K2950" s="25">
        <v>0</v>
      </c>
      <c r="L2950" s="24">
        <v>0</v>
      </c>
      <c r="M2950" s="24">
        <f>J2950-L2950</f>
        <v>0</v>
      </c>
      <c r="N2950" s="53" t="str">
        <f>IF(J2950&lt;&gt;0,M2950/J2950,"")</f>
        <v/>
      </c>
      <c r="O2950" s="23">
        <v>613.87</v>
      </c>
      <c r="P2950" s="25">
        <v>432</v>
      </c>
      <c r="Q2950" s="24">
        <v>367.21999999999997</v>
      </c>
      <c r="R2950" s="24">
        <f>O2950-Q2950</f>
        <v>246.65000000000003</v>
      </c>
      <c r="S2950" s="53">
        <f>IF(O2950&lt;&gt;0,R2950/O2950,"")</f>
        <v>0.40179516835812146</v>
      </c>
      <c r="T2950" s="10"/>
      <c r="U2950" s="23">
        <v>0</v>
      </c>
      <c r="V2950" s="25">
        <v>0</v>
      </c>
      <c r="W2950" s="24">
        <v>0</v>
      </c>
      <c r="X2950" s="24">
        <f>U2950-W2950</f>
        <v>0</v>
      </c>
      <c r="Y2950" s="53" t="str">
        <f>IF(U2950&lt;&gt;0,X2950/U2950,"")</f>
        <v/>
      </c>
      <c r="Z2950" s="23">
        <v>0</v>
      </c>
      <c r="AA2950" s="25">
        <v>0</v>
      </c>
      <c r="AB2950" s="24">
        <v>0</v>
      </c>
      <c r="AC2950" s="24">
        <f t="shared" si="803"/>
        <v>0</v>
      </c>
      <c r="AD2950" s="53" t="str">
        <f t="shared" si="804"/>
        <v/>
      </c>
      <c r="AE2950" s="10"/>
    </row>
    <row r="2951" spans="1:31" x14ac:dyDescent="0.25">
      <c r="A2951" s="14" t="s">
        <v>109</v>
      </c>
      <c r="C2951" s="61" t="str">
        <f t="shared" si="802"/>
        <v>C100143</v>
      </c>
      <c r="F2951" s="8" t="str">
        <f>"S100016"</f>
        <v>S100016</v>
      </c>
      <c r="G2951" s="9" t="str">
        <f>"Mesh Bucket Hat"</f>
        <v>Mesh Bucket Hat</v>
      </c>
      <c r="H2951" s="47"/>
      <c r="I2951" s="47"/>
      <c r="J2951" s="23">
        <v>0</v>
      </c>
      <c r="K2951" s="25">
        <v>0</v>
      </c>
      <c r="L2951" s="24">
        <v>0</v>
      </c>
      <c r="M2951" s="24">
        <f>J2951-L2951</f>
        <v>0</v>
      </c>
      <c r="N2951" s="53" t="str">
        <f>IF(J2951&lt;&gt;0,M2951/J2951,"")</f>
        <v/>
      </c>
      <c r="O2951" s="23">
        <v>58.56</v>
      </c>
      <c r="P2951" s="25">
        <v>12</v>
      </c>
      <c r="Q2951" s="24">
        <v>33</v>
      </c>
      <c r="R2951" s="24">
        <f>O2951-Q2951</f>
        <v>25.560000000000002</v>
      </c>
      <c r="S2951" s="53">
        <f>IF(O2951&lt;&gt;0,R2951/O2951,"")</f>
        <v>0.43647540983606559</v>
      </c>
      <c r="T2951" s="10"/>
      <c r="U2951" s="23">
        <v>0</v>
      </c>
      <c r="V2951" s="25">
        <v>0</v>
      </c>
      <c r="W2951" s="24">
        <v>0</v>
      </c>
      <c r="X2951" s="24">
        <f>U2951-W2951</f>
        <v>0</v>
      </c>
      <c r="Y2951" s="53" t="str">
        <f>IF(U2951&lt;&gt;0,X2951/U2951,"")</f>
        <v/>
      </c>
      <c r="Z2951" s="23">
        <v>0</v>
      </c>
      <c r="AA2951" s="25">
        <v>0</v>
      </c>
      <c r="AB2951" s="24">
        <v>0</v>
      </c>
      <c r="AC2951" s="24">
        <f t="shared" si="803"/>
        <v>0</v>
      </c>
      <c r="AD2951" s="53" t="str">
        <f t="shared" si="804"/>
        <v/>
      </c>
      <c r="AE2951" s="10"/>
    </row>
    <row r="2952" spans="1:31" x14ac:dyDescent="0.25">
      <c r="A2952" s="14" t="s">
        <v>109</v>
      </c>
      <c r="C2952" s="61" t="str">
        <f t="shared" si="802"/>
        <v>C100143</v>
      </c>
      <c r="F2952" s="8" t="str">
        <f>"S100020"</f>
        <v>S100020</v>
      </c>
      <c r="G2952" s="9" t="str">
        <f>"Super Sport Stopwatch"</f>
        <v>Super Sport Stopwatch</v>
      </c>
      <c r="H2952" s="47"/>
      <c r="I2952" s="47"/>
      <c r="J2952" s="23">
        <v>0</v>
      </c>
      <c r="K2952" s="25">
        <v>0</v>
      </c>
      <c r="L2952" s="24">
        <v>0</v>
      </c>
      <c r="M2952" s="24">
        <f>J2952-L2952</f>
        <v>0</v>
      </c>
      <c r="N2952" s="53" t="str">
        <f>IF(J2952&lt;&gt;0,M2952/J2952,"")</f>
        <v/>
      </c>
      <c r="O2952" s="23">
        <v>307.64</v>
      </c>
      <c r="P2952" s="25">
        <v>144</v>
      </c>
      <c r="Q2952" s="24">
        <v>151.19999999999999</v>
      </c>
      <c r="R2952" s="24">
        <f>O2952-Q2952</f>
        <v>156.44</v>
      </c>
      <c r="S2952" s="53">
        <f>IF(O2952&lt;&gt;0,R2952/O2952,"")</f>
        <v>0.50851644779612537</v>
      </c>
      <c r="T2952" s="10"/>
      <c r="U2952" s="23">
        <v>0</v>
      </c>
      <c r="V2952" s="25">
        <v>0</v>
      </c>
      <c r="W2952" s="24">
        <v>0</v>
      </c>
      <c r="X2952" s="24">
        <f>U2952-W2952</f>
        <v>0</v>
      </c>
      <c r="Y2952" s="53" t="str">
        <f>IF(U2952&lt;&gt;0,X2952/U2952,"")</f>
        <v/>
      </c>
      <c r="Z2952" s="23">
        <v>0</v>
      </c>
      <c r="AA2952" s="25">
        <v>0</v>
      </c>
      <c r="AB2952" s="24">
        <v>0</v>
      </c>
      <c r="AC2952" s="24">
        <f t="shared" si="803"/>
        <v>0</v>
      </c>
      <c r="AD2952" s="53" t="str">
        <f t="shared" si="804"/>
        <v/>
      </c>
      <c r="AE2952" s="10"/>
    </row>
    <row r="2953" spans="1:31" x14ac:dyDescent="0.25">
      <c r="A2953" s="14" t="s">
        <v>109</v>
      </c>
      <c r="C2953" s="61" t="str">
        <f t="shared" si="802"/>
        <v>C100143</v>
      </c>
      <c r="F2953" s="8" t="str">
        <f>"S100023"</f>
        <v>S100023</v>
      </c>
      <c r="G2953" s="9" t="str">
        <f>"Gripper SPORT BOT"</f>
        <v>Gripper SPORT BOT</v>
      </c>
      <c r="H2953" s="47"/>
      <c r="I2953" s="47"/>
      <c r="J2953" s="23">
        <v>0</v>
      </c>
      <c r="K2953" s="25">
        <v>0</v>
      </c>
      <c r="L2953" s="24">
        <v>0</v>
      </c>
      <c r="M2953" s="24">
        <f>J2953-L2953</f>
        <v>0</v>
      </c>
      <c r="N2953" s="53" t="str">
        <f>IF(J2953&lt;&gt;0,M2953/J2953,"")</f>
        <v/>
      </c>
      <c r="O2953" s="23">
        <v>280.83000000000004</v>
      </c>
      <c r="P2953" s="25">
        <v>144</v>
      </c>
      <c r="Q2953" s="24">
        <v>142.57999999999998</v>
      </c>
      <c r="R2953" s="24">
        <f>O2953-Q2953</f>
        <v>138.25000000000006</v>
      </c>
      <c r="S2953" s="53">
        <f>IF(O2953&lt;&gt;0,R2953/O2953,"")</f>
        <v>0.49229070968201416</v>
      </c>
      <c r="T2953" s="10"/>
      <c r="U2953" s="23">
        <v>0</v>
      </c>
      <c r="V2953" s="25">
        <v>0</v>
      </c>
      <c r="W2953" s="24">
        <v>0</v>
      </c>
      <c r="X2953" s="24">
        <f>U2953-W2953</f>
        <v>0</v>
      </c>
      <c r="Y2953" s="53" t="str">
        <f>IF(U2953&lt;&gt;0,X2953/U2953,"")</f>
        <v/>
      </c>
      <c r="Z2953" s="23">
        <v>0</v>
      </c>
      <c r="AA2953" s="25">
        <v>0</v>
      </c>
      <c r="AB2953" s="24">
        <v>0</v>
      </c>
      <c r="AC2953" s="24">
        <f t="shared" si="803"/>
        <v>0</v>
      </c>
      <c r="AD2953" s="53" t="str">
        <f t="shared" si="804"/>
        <v/>
      </c>
      <c r="AE2953" s="10"/>
    </row>
    <row r="2954" spans="1:31" x14ac:dyDescent="0.25">
      <c r="A2954" s="14" t="s">
        <v>109</v>
      </c>
      <c r="C2954" s="61" t="str">
        <f t="shared" si="802"/>
        <v>C100143</v>
      </c>
      <c r="F2954" s="8" t="str">
        <f>"S100024"</f>
        <v>S100024</v>
      </c>
      <c r="G2954" s="9" t="str">
        <f>"Aluminum SPORT BOT"</f>
        <v>Aluminum SPORT BOT</v>
      </c>
      <c r="H2954" s="47"/>
      <c r="I2954" s="47"/>
      <c r="J2954" s="23">
        <v>0</v>
      </c>
      <c r="K2954" s="25">
        <v>0</v>
      </c>
      <c r="L2954" s="24">
        <v>0</v>
      </c>
      <c r="M2954" s="24">
        <f>J2954-L2954</f>
        <v>0</v>
      </c>
      <c r="N2954" s="53" t="str">
        <f>IF(J2954&lt;&gt;0,M2954/J2954,"")</f>
        <v/>
      </c>
      <c r="O2954" s="23">
        <v>498.15</v>
      </c>
      <c r="P2954" s="25">
        <v>144</v>
      </c>
      <c r="Q2954" s="24">
        <v>302.39999999999998</v>
      </c>
      <c r="R2954" s="24">
        <f>O2954-Q2954</f>
        <v>195.75</v>
      </c>
      <c r="S2954" s="53">
        <f>IF(O2954&lt;&gt;0,R2954/O2954,"")</f>
        <v>0.39295392953929542</v>
      </c>
      <c r="T2954" s="10"/>
      <c r="U2954" s="23">
        <v>0</v>
      </c>
      <c r="V2954" s="25">
        <v>0</v>
      </c>
      <c r="W2954" s="24">
        <v>0</v>
      </c>
      <c r="X2954" s="24">
        <f>U2954-W2954</f>
        <v>0</v>
      </c>
      <c r="Y2954" s="53" t="str">
        <f>IF(U2954&lt;&gt;0,X2954/U2954,"")</f>
        <v/>
      </c>
      <c r="Z2954" s="23">
        <v>0</v>
      </c>
      <c r="AA2954" s="25">
        <v>0</v>
      </c>
      <c r="AB2954" s="24">
        <v>0</v>
      </c>
      <c r="AC2954" s="24">
        <f t="shared" si="803"/>
        <v>0</v>
      </c>
      <c r="AD2954" s="53" t="str">
        <f t="shared" si="804"/>
        <v/>
      </c>
      <c r="AE2954" s="10"/>
    </row>
    <row r="2955" spans="1:31" x14ac:dyDescent="0.25">
      <c r="A2955" s="14" t="s">
        <v>109</v>
      </c>
      <c r="C2955" s="61" t="str">
        <f t="shared" si="802"/>
        <v>C100143</v>
      </c>
      <c r="F2955" s="8" t="str">
        <f>"S100025"</f>
        <v>S100025</v>
      </c>
      <c r="G2955" s="9" t="str">
        <f>"SPORT BOT with Pop Lid"</f>
        <v>SPORT BOT with Pop Lid</v>
      </c>
      <c r="H2955" s="47"/>
      <c r="I2955" s="47"/>
      <c r="J2955" s="23">
        <v>0</v>
      </c>
      <c r="K2955" s="25">
        <v>0</v>
      </c>
      <c r="L2955" s="24">
        <v>0</v>
      </c>
      <c r="M2955" s="24">
        <f>J2955-L2955</f>
        <v>0</v>
      </c>
      <c r="N2955" s="53" t="str">
        <f>IF(J2955&lt;&gt;0,M2955/J2955,"")</f>
        <v/>
      </c>
      <c r="O2955" s="23">
        <v>251.57000000000002</v>
      </c>
      <c r="P2955" s="25">
        <v>151</v>
      </c>
      <c r="Q2955" s="24">
        <v>144.88999999999999</v>
      </c>
      <c r="R2955" s="24">
        <f>O2955-Q2955</f>
        <v>106.68000000000004</v>
      </c>
      <c r="S2955" s="53">
        <f>IF(O2955&lt;&gt;0,R2955/O2955,"")</f>
        <v>0.42405692252653349</v>
      </c>
      <c r="T2955" s="10"/>
      <c r="U2955" s="23">
        <v>0</v>
      </c>
      <c r="V2955" s="25">
        <v>0</v>
      </c>
      <c r="W2955" s="24">
        <v>0</v>
      </c>
      <c r="X2955" s="24">
        <f>U2955-W2955</f>
        <v>0</v>
      </c>
      <c r="Y2955" s="53" t="str">
        <f>IF(U2955&lt;&gt;0,X2955/U2955,"")</f>
        <v/>
      </c>
      <c r="Z2955" s="23">
        <v>0</v>
      </c>
      <c r="AA2955" s="25">
        <v>0</v>
      </c>
      <c r="AB2955" s="24">
        <v>0</v>
      </c>
      <c r="AC2955" s="24">
        <f t="shared" si="803"/>
        <v>0</v>
      </c>
      <c r="AD2955" s="53" t="str">
        <f t="shared" si="804"/>
        <v/>
      </c>
      <c r="AE2955" s="10"/>
    </row>
    <row r="2956" spans="1:31" x14ac:dyDescent="0.25">
      <c r="A2956" s="14" t="s">
        <v>109</v>
      </c>
      <c r="C2956" s="61" t="str">
        <f t="shared" si="802"/>
        <v>C100143</v>
      </c>
      <c r="F2956" s="8" t="str">
        <f>"S100026"</f>
        <v>S100026</v>
      </c>
      <c r="G2956" s="9" t="str">
        <f>"Wide SPORT BOT"</f>
        <v>Wide SPORT BOT</v>
      </c>
      <c r="H2956" s="47"/>
      <c r="I2956" s="47"/>
      <c r="J2956" s="23">
        <v>0</v>
      </c>
      <c r="K2956" s="25">
        <v>0</v>
      </c>
      <c r="L2956" s="24">
        <v>0</v>
      </c>
      <c r="M2956" s="24">
        <f>J2956-L2956</f>
        <v>0</v>
      </c>
      <c r="N2956" s="53" t="str">
        <f>IF(J2956&lt;&gt;0,M2956/J2956,"")</f>
        <v/>
      </c>
      <c r="O2956" s="23">
        <v>571.54000000000008</v>
      </c>
      <c r="P2956" s="25">
        <v>144</v>
      </c>
      <c r="Q2956" s="24">
        <v>273.65000000000003</v>
      </c>
      <c r="R2956" s="24">
        <f>O2956-Q2956</f>
        <v>297.89000000000004</v>
      </c>
      <c r="S2956" s="53">
        <f>IF(O2956&lt;&gt;0,R2956/O2956,"")</f>
        <v>0.52120586485635301</v>
      </c>
      <c r="T2956" s="10"/>
      <c r="U2956" s="23">
        <v>0</v>
      </c>
      <c r="V2956" s="25">
        <v>0</v>
      </c>
      <c r="W2956" s="24">
        <v>0</v>
      </c>
      <c r="X2956" s="24">
        <f>U2956-W2956</f>
        <v>0</v>
      </c>
      <c r="Y2956" s="53" t="str">
        <f>IF(U2956&lt;&gt;0,X2956/U2956,"")</f>
        <v/>
      </c>
      <c r="Z2956" s="23">
        <v>0</v>
      </c>
      <c r="AA2956" s="25">
        <v>0</v>
      </c>
      <c r="AB2956" s="24">
        <v>0</v>
      </c>
      <c r="AC2956" s="24">
        <f t="shared" si="803"/>
        <v>0</v>
      </c>
      <c r="AD2956" s="53" t="str">
        <f t="shared" si="804"/>
        <v/>
      </c>
      <c r="AE2956" s="10"/>
    </row>
    <row r="2957" spans="1:31" x14ac:dyDescent="0.25">
      <c r="A2957" s="14" t="s">
        <v>109</v>
      </c>
      <c r="C2957" s="61" t="str">
        <f t="shared" si="802"/>
        <v>C100143</v>
      </c>
      <c r="F2957" s="8" t="str">
        <f>"S200020"</f>
        <v>S200020</v>
      </c>
      <c r="G2957" s="9" t="str">
        <f>"10.75"" Tourch Riser Soccer Trophy"</f>
        <v>10.75" Tourch Riser Soccer Trophy</v>
      </c>
      <c r="H2957" s="47"/>
      <c r="I2957" s="47"/>
      <c r="J2957" s="23">
        <v>-12</v>
      </c>
      <c r="K2957" s="25">
        <v>-1</v>
      </c>
      <c r="L2957" s="24">
        <v>-10.28</v>
      </c>
      <c r="M2957" s="24">
        <f>J2957-L2957</f>
        <v>-1.7200000000000006</v>
      </c>
      <c r="N2957" s="53">
        <f>IF(J2957&lt;&gt;0,M2957/J2957,"")</f>
        <v>0.1433333333333334</v>
      </c>
      <c r="O2957" s="23">
        <v>0</v>
      </c>
      <c r="P2957" s="25">
        <v>0</v>
      </c>
      <c r="Q2957" s="24">
        <v>0</v>
      </c>
      <c r="R2957" s="24">
        <f>O2957-Q2957</f>
        <v>0</v>
      </c>
      <c r="S2957" s="53" t="str">
        <f>IF(O2957&lt;&gt;0,R2957/O2957,"")</f>
        <v/>
      </c>
      <c r="T2957" s="10"/>
      <c r="U2957" s="23">
        <v>0</v>
      </c>
      <c r="V2957" s="25">
        <v>0</v>
      </c>
      <c r="W2957" s="24">
        <v>0</v>
      </c>
      <c r="X2957" s="24">
        <f>U2957-W2957</f>
        <v>0</v>
      </c>
      <c r="Y2957" s="53" t="str">
        <f>IF(U2957&lt;&gt;0,X2957/U2957,"")</f>
        <v/>
      </c>
      <c r="Z2957" s="23">
        <v>0</v>
      </c>
      <c r="AA2957" s="25">
        <v>0</v>
      </c>
      <c r="AB2957" s="24">
        <v>0</v>
      </c>
      <c r="AC2957" s="24">
        <f t="shared" si="803"/>
        <v>0</v>
      </c>
      <c r="AD2957" s="53" t="str">
        <f t="shared" si="804"/>
        <v/>
      </c>
      <c r="AE2957" s="10"/>
    </row>
    <row r="2958" spans="1:31" x14ac:dyDescent="0.25">
      <c r="A2958" s="14" t="s">
        <v>109</v>
      </c>
      <c r="C2958" s="61" t="str">
        <f t="shared" si="802"/>
        <v>C100143</v>
      </c>
      <c r="F2958" s="8" t="str">
        <f>"S200029"</f>
        <v>S200029</v>
      </c>
      <c r="G2958" s="9" t="str">
        <f>"10.75"" Column Basketball Trophy"</f>
        <v>10.75" Column Basketball Trophy</v>
      </c>
      <c r="H2958" s="47"/>
      <c r="I2958" s="47"/>
      <c r="J2958" s="23">
        <v>-86.4</v>
      </c>
      <c r="K2958" s="25">
        <v>-6</v>
      </c>
      <c r="L2958" s="24">
        <v>-64.5</v>
      </c>
      <c r="M2958" s="24">
        <f>J2958-L2958</f>
        <v>-21.900000000000006</v>
      </c>
      <c r="N2958" s="53">
        <f>IF(J2958&lt;&gt;0,M2958/J2958,"")</f>
        <v>0.25347222222222227</v>
      </c>
      <c r="O2958" s="23">
        <v>0</v>
      </c>
      <c r="P2958" s="25">
        <v>0</v>
      </c>
      <c r="Q2958" s="24">
        <v>0</v>
      </c>
      <c r="R2958" s="24">
        <f>O2958-Q2958</f>
        <v>0</v>
      </c>
      <c r="S2958" s="53" t="str">
        <f>IF(O2958&lt;&gt;0,R2958/O2958,"")</f>
        <v/>
      </c>
      <c r="T2958" s="10"/>
      <c r="U2958" s="23">
        <v>0</v>
      </c>
      <c r="V2958" s="25">
        <v>0</v>
      </c>
      <c r="W2958" s="24">
        <v>0</v>
      </c>
      <c r="X2958" s="24">
        <f>U2958-W2958</f>
        <v>0</v>
      </c>
      <c r="Y2958" s="53" t="str">
        <f>IF(U2958&lt;&gt;0,X2958/U2958,"")</f>
        <v/>
      </c>
      <c r="Z2958" s="23">
        <v>0</v>
      </c>
      <c r="AA2958" s="25">
        <v>0</v>
      </c>
      <c r="AB2958" s="24">
        <v>0</v>
      </c>
      <c r="AC2958" s="24">
        <f t="shared" si="803"/>
        <v>0</v>
      </c>
      <c r="AD2958" s="53" t="str">
        <f t="shared" si="804"/>
        <v/>
      </c>
      <c r="AE2958" s="10"/>
    </row>
    <row r="2959" spans="1:31" ht="15.75" thickBot="1" x14ac:dyDescent="0.3">
      <c r="A2959" s="14" t="s">
        <v>109</v>
      </c>
      <c r="C2959" s="61" t="str">
        <f>C2913</f>
        <v>C100143</v>
      </c>
      <c r="J2959" s="10"/>
      <c r="K2959" s="11"/>
      <c r="L2959" s="11"/>
      <c r="M2959" s="11"/>
      <c r="N2959" s="12"/>
      <c r="O2959" s="10"/>
      <c r="P2959" s="11"/>
      <c r="Q2959" s="11"/>
      <c r="R2959" s="11"/>
      <c r="S2959" s="12"/>
      <c r="U2959" s="10"/>
      <c r="V2959" s="11"/>
      <c r="W2959" s="11"/>
      <c r="X2959" s="11"/>
      <c r="Y2959" s="12"/>
      <c r="Z2959" s="10"/>
      <c r="AA2959" s="11"/>
      <c r="AB2959" s="11"/>
      <c r="AC2959" s="11"/>
      <c r="AD2959" s="12"/>
    </row>
    <row r="2960" spans="1:31" ht="15.75" thickBot="1" x14ac:dyDescent="0.3">
      <c r="A2960" s="14" t="s">
        <v>109</v>
      </c>
      <c r="C2960" s="61" t="str">
        <f t="shared" si="799"/>
        <v>C100143</v>
      </c>
      <c r="G2960" s="48" t="str">
        <f>C2960&amp;" TOTAL:"</f>
        <v>C100143 TOTAL:</v>
      </c>
      <c r="H2960" s="50"/>
      <c r="I2960" s="50"/>
      <c r="J2960" s="34">
        <f>SUBTOTAL(9,J2912:J2959)</f>
        <v>-99.87</v>
      </c>
      <c r="K2960" s="35">
        <f>SUBTOTAL(9,K2912:K2959)</f>
        <v>-10</v>
      </c>
      <c r="L2960" s="36">
        <f>SUBTOTAL(9,L2912:L2959)</f>
        <v>-75.72</v>
      </c>
      <c r="M2960" s="36">
        <f>J2960-L2960</f>
        <v>-24.150000000000006</v>
      </c>
      <c r="N2960" s="37">
        <f>IF(J2960&lt;&gt;0,M2960/J2960,"")</f>
        <v>0.24181435866626619</v>
      </c>
      <c r="O2960" s="34">
        <f>SUBTOTAL(9,O2912:O2959)</f>
        <v>15050.059999999998</v>
      </c>
      <c r="P2960" s="35">
        <f>SUBTOTAL(9,P2912:P2959)</f>
        <v>6646</v>
      </c>
      <c r="Q2960" s="36">
        <f>SUBTOTAL(9,Q2912:Q2959)</f>
        <v>8387.67</v>
      </c>
      <c r="R2960" s="36">
        <f>O2960-Q2960</f>
        <v>6662.3899999999976</v>
      </c>
      <c r="S2960" s="37">
        <f>IF(O2960&lt;&gt;0,R2960/O2960,"")</f>
        <v>0.44268195608522481</v>
      </c>
      <c r="U2960" s="34">
        <f>SUBTOTAL(9,U2912:U2959)</f>
        <v>0</v>
      </c>
      <c r="V2960" s="35">
        <f>SUBTOTAL(9,V2912:V2959)</f>
        <v>0</v>
      </c>
      <c r="W2960" s="36">
        <f>SUBTOTAL(9,W2912:W2959)</f>
        <v>0</v>
      </c>
      <c r="X2960" s="36">
        <f>U2960-W2960</f>
        <v>0</v>
      </c>
      <c r="Y2960" s="37" t="str">
        <f>IF(U2960&lt;&gt;0,X2960/U2960,"")</f>
        <v/>
      </c>
      <c r="Z2960" s="34">
        <f>SUBTOTAL(9,Z2912:Z2959)</f>
        <v>347.51</v>
      </c>
      <c r="AA2960" s="35">
        <f>SUBTOTAL(9,AA2912:AA2959)</f>
        <v>156</v>
      </c>
      <c r="AB2960" s="36">
        <f>SUBTOTAL(9,AB2912:AB2959)</f>
        <v>188.31</v>
      </c>
      <c r="AC2960" s="36">
        <f t="shared" ref="AC2960" si="805">Z2960-AB2960</f>
        <v>159.19999999999999</v>
      </c>
      <c r="AD2960" s="37">
        <f t="shared" ref="AD2960" si="806">IF(Z2960&lt;&gt;0,AC2960/Z2960,"")</f>
        <v>0.45811631319962015</v>
      </c>
    </row>
    <row r="2961" spans="1:31" x14ac:dyDescent="0.25">
      <c r="A2961" s="14" t="s">
        <v>109</v>
      </c>
      <c r="C2961" s="66"/>
      <c r="J2961" s="10"/>
      <c r="K2961" s="11"/>
      <c r="L2961" s="11"/>
      <c r="M2961" s="11"/>
      <c r="N2961" s="12"/>
      <c r="O2961" s="10"/>
      <c r="P2961" s="11"/>
      <c r="Q2961" s="11"/>
      <c r="R2961" s="11"/>
      <c r="S2961" s="12"/>
      <c r="U2961" s="10"/>
      <c r="V2961" s="11"/>
      <c r="W2961" s="11"/>
      <c r="X2961" s="11"/>
      <c r="Y2961" s="12"/>
      <c r="Z2961" s="10"/>
      <c r="AA2961" s="11"/>
      <c r="AB2961" s="11"/>
      <c r="AC2961" s="11"/>
      <c r="AD2961" s="12"/>
    </row>
    <row r="2962" spans="1:31" ht="15.75" x14ac:dyDescent="0.25">
      <c r="A2962" s="14" t="s">
        <v>109</v>
      </c>
      <c r="C2962" s="66" t="str">
        <f t="shared" ref="C2962" si="807">E2962</f>
        <v>C100144</v>
      </c>
      <c r="E2962" s="13" t="str">
        <f>"C100144"</f>
        <v>C100144</v>
      </c>
      <c r="F2962" s="13"/>
      <c r="G2962" s="13" t="str">
        <f>"Blesmore Systems"</f>
        <v>Blesmore Systems</v>
      </c>
      <c r="H2962" s="13"/>
      <c r="I2962" s="13"/>
      <c r="J2962" s="10"/>
      <c r="K2962" s="11"/>
      <c r="L2962" s="11"/>
      <c r="M2962" s="11"/>
      <c r="N2962" s="12"/>
      <c r="O2962" s="10"/>
      <c r="P2962" s="11"/>
      <c r="Q2962" s="11"/>
      <c r="R2962" s="11"/>
      <c r="S2962" s="12"/>
      <c r="U2962" s="10"/>
      <c r="V2962" s="11"/>
      <c r="W2962" s="11"/>
      <c r="X2962" s="11"/>
      <c r="Y2962" s="12"/>
      <c r="Z2962" s="10"/>
      <c r="AA2962" s="11"/>
      <c r="AB2962" s="11"/>
      <c r="AC2962" s="11"/>
      <c r="AD2962" s="12"/>
    </row>
    <row r="2963" spans="1:31" ht="6.6" customHeight="1" x14ac:dyDescent="0.25">
      <c r="A2963" s="14" t="s">
        <v>109</v>
      </c>
      <c r="C2963" s="61" t="str">
        <f t="shared" ref="C2963:C3000" si="808">C2962</f>
        <v>C100144</v>
      </c>
      <c r="J2963" s="10"/>
      <c r="K2963" s="11"/>
      <c r="L2963" s="11"/>
      <c r="M2963" s="11"/>
      <c r="N2963" s="12"/>
      <c r="O2963" s="10"/>
      <c r="P2963" s="11"/>
      <c r="Q2963" s="11"/>
      <c r="R2963" s="11"/>
      <c r="S2963" s="12"/>
      <c r="U2963" s="10"/>
      <c r="V2963" s="11"/>
      <c r="W2963" s="11"/>
      <c r="X2963" s="11"/>
      <c r="Y2963" s="12"/>
      <c r="Z2963" s="10"/>
      <c r="AA2963" s="11"/>
      <c r="AB2963" s="11"/>
      <c r="AC2963" s="11"/>
      <c r="AD2963" s="12"/>
    </row>
    <row r="2964" spans="1:31" x14ac:dyDescent="0.25">
      <c r="A2964" s="14" t="s">
        <v>109</v>
      </c>
      <c r="C2964" s="61" t="str">
        <f t="shared" si="808"/>
        <v>C100144</v>
      </c>
      <c r="F2964" s="8" t="str">
        <f>"C100023"</f>
        <v>C100023</v>
      </c>
      <c r="G2964" s="9" t="str">
        <f>"Two-Toned Knit Hat"</f>
        <v>Two-Toned Knit Hat</v>
      </c>
      <c r="H2964" s="47"/>
      <c r="I2964" s="47"/>
      <c r="J2964" s="23">
        <v>378.2</v>
      </c>
      <c r="K2964" s="25">
        <v>144</v>
      </c>
      <c r="L2964" s="24">
        <v>181.43</v>
      </c>
      <c r="M2964" s="24">
        <f>J2964-L2964</f>
        <v>196.76999999999998</v>
      </c>
      <c r="N2964" s="53">
        <f>IF(J2964&lt;&gt;0,M2964/J2964,"")</f>
        <v>0.52028027498677942</v>
      </c>
      <c r="O2964" s="23">
        <v>0</v>
      </c>
      <c r="P2964" s="25">
        <v>0</v>
      </c>
      <c r="Q2964" s="24">
        <v>0</v>
      </c>
      <c r="R2964" s="24">
        <f>O2964-Q2964</f>
        <v>0</v>
      </c>
      <c r="S2964" s="53" t="str">
        <f>IF(O2964&lt;&gt;0,R2964/O2964,"")</f>
        <v/>
      </c>
      <c r="T2964" s="10"/>
      <c r="U2964" s="23">
        <v>374.34000000000003</v>
      </c>
      <c r="V2964" s="25">
        <v>144</v>
      </c>
      <c r="W2964" s="24">
        <v>181.43</v>
      </c>
      <c r="X2964" s="24">
        <f>U2964-W2964</f>
        <v>192.91000000000003</v>
      </c>
      <c r="Y2964" s="53">
        <f>IF(U2964&lt;&gt;0,X2964/U2964,"")</f>
        <v>0.51533365389752639</v>
      </c>
      <c r="Z2964" s="23">
        <v>378.2</v>
      </c>
      <c r="AA2964" s="25">
        <v>144</v>
      </c>
      <c r="AB2964" s="24">
        <v>181.43</v>
      </c>
      <c r="AC2964" s="24">
        <f t="shared" ref="AC2964" si="809">Z2964-AB2964</f>
        <v>196.76999999999998</v>
      </c>
      <c r="AD2964" s="53">
        <f t="shared" ref="AD2964" si="810">IF(Z2964&lt;&gt;0,AC2964/Z2964,"")</f>
        <v>0.52028027498677942</v>
      </c>
      <c r="AE2964" s="10"/>
    </row>
    <row r="2965" spans="1:31" x14ac:dyDescent="0.25">
      <c r="A2965" s="14" t="s">
        <v>109</v>
      </c>
      <c r="C2965" s="61" t="str">
        <f t="shared" ref="C2965:C2998" si="811">C2964</f>
        <v>C100144</v>
      </c>
      <c r="F2965" s="8" t="str">
        <f>"C100025"</f>
        <v>C100025</v>
      </c>
      <c r="G2965" s="9" t="str">
        <f>"Striped Knit Hat"</f>
        <v>Striped Knit Hat</v>
      </c>
      <c r="H2965" s="47"/>
      <c r="I2965" s="47"/>
      <c r="J2965" s="23">
        <v>420.54</v>
      </c>
      <c r="K2965" s="25">
        <v>144</v>
      </c>
      <c r="L2965" s="24">
        <v>198.72</v>
      </c>
      <c r="M2965" s="24">
        <f>J2965-L2965</f>
        <v>221.82000000000002</v>
      </c>
      <c r="N2965" s="53">
        <f>IF(J2965&lt;&gt;0,M2965/J2965,"")</f>
        <v>0.52746468825795412</v>
      </c>
      <c r="O2965" s="23">
        <v>0</v>
      </c>
      <c r="P2965" s="25">
        <v>0</v>
      </c>
      <c r="Q2965" s="24">
        <v>0</v>
      </c>
      <c r="R2965" s="24">
        <f>O2965-Q2965</f>
        <v>0</v>
      </c>
      <c r="S2965" s="53" t="str">
        <f>IF(O2965&lt;&gt;0,R2965/O2965,"")</f>
        <v/>
      </c>
      <c r="T2965" s="10"/>
      <c r="U2965" s="23">
        <v>411.96</v>
      </c>
      <c r="V2965" s="25">
        <v>144</v>
      </c>
      <c r="W2965" s="24">
        <v>198.72</v>
      </c>
      <c r="X2965" s="24">
        <f>U2965-W2965</f>
        <v>213.23999999999998</v>
      </c>
      <c r="Y2965" s="53">
        <f>IF(U2965&lt;&gt;0,X2965/U2965,"")</f>
        <v>0.51762307020099041</v>
      </c>
      <c r="Z2965" s="23">
        <v>0</v>
      </c>
      <c r="AA2965" s="25">
        <v>0</v>
      </c>
      <c r="AB2965" s="24">
        <v>0</v>
      </c>
      <c r="AC2965" s="24">
        <f t="shared" ref="AC2965:AC2998" si="812">Z2965-AB2965</f>
        <v>0</v>
      </c>
      <c r="AD2965" s="53" t="str">
        <f t="shared" ref="AD2965:AD2998" si="813">IF(Z2965&lt;&gt;0,AC2965/Z2965,"")</f>
        <v/>
      </c>
      <c r="AE2965" s="10"/>
    </row>
    <row r="2966" spans="1:31" x14ac:dyDescent="0.25">
      <c r="A2966" s="14" t="s">
        <v>109</v>
      </c>
      <c r="C2966" s="61" t="str">
        <f t="shared" si="811"/>
        <v>C100144</v>
      </c>
      <c r="F2966" s="8" t="str">
        <f>"C100063"</f>
        <v>C100063</v>
      </c>
      <c r="G2966" s="9" t="str">
        <f>"Soup Mug"</f>
        <v>Soup Mug</v>
      </c>
      <c r="H2966" s="47"/>
      <c r="I2966" s="47"/>
      <c r="J2966" s="23">
        <v>235.89000000000001</v>
      </c>
      <c r="K2966" s="25">
        <v>145</v>
      </c>
      <c r="L2966" s="24">
        <v>134.88</v>
      </c>
      <c r="M2966" s="24">
        <f>J2966-L2966</f>
        <v>101.01000000000002</v>
      </c>
      <c r="N2966" s="53">
        <f>IF(J2966&lt;&gt;0,M2966/J2966,"")</f>
        <v>0.42820806308024933</v>
      </c>
      <c r="O2966" s="23">
        <v>0</v>
      </c>
      <c r="P2966" s="25">
        <v>0</v>
      </c>
      <c r="Q2966" s="24">
        <v>0</v>
      </c>
      <c r="R2966" s="24">
        <f>O2966-Q2966</f>
        <v>0</v>
      </c>
      <c r="S2966" s="53" t="str">
        <f>IF(O2966&lt;&gt;0,R2966/O2966,"")</f>
        <v/>
      </c>
      <c r="T2966" s="10"/>
      <c r="U2966" s="23">
        <v>0</v>
      </c>
      <c r="V2966" s="25">
        <v>0</v>
      </c>
      <c r="W2966" s="24">
        <v>0</v>
      </c>
      <c r="X2966" s="24">
        <f>U2966-W2966</f>
        <v>0</v>
      </c>
      <c r="Y2966" s="53" t="str">
        <f>IF(U2966&lt;&gt;0,X2966/U2966,"")</f>
        <v/>
      </c>
      <c r="Z2966" s="23">
        <v>0</v>
      </c>
      <c r="AA2966" s="25">
        <v>0</v>
      </c>
      <c r="AB2966" s="24">
        <v>0</v>
      </c>
      <c r="AC2966" s="24">
        <f t="shared" si="812"/>
        <v>0</v>
      </c>
      <c r="AD2966" s="53" t="str">
        <f t="shared" si="813"/>
        <v/>
      </c>
      <c r="AE2966" s="10"/>
    </row>
    <row r="2967" spans="1:31" x14ac:dyDescent="0.25">
      <c r="A2967" s="14" t="s">
        <v>109</v>
      </c>
      <c r="C2967" s="61" t="str">
        <f t="shared" si="811"/>
        <v>C100144</v>
      </c>
      <c r="F2967" s="8" t="str">
        <f>"E100001"</f>
        <v>E100001</v>
      </c>
      <c r="G2967" s="9" t="str">
        <f>"Sport Bag"</f>
        <v>Sport Bag</v>
      </c>
      <c r="H2967" s="47"/>
      <c r="I2967" s="47"/>
      <c r="J2967" s="23">
        <v>510.84999999999997</v>
      </c>
      <c r="K2967" s="25">
        <v>288</v>
      </c>
      <c r="L2967" s="24">
        <v>250.56</v>
      </c>
      <c r="M2967" s="24">
        <f>J2967-L2967</f>
        <v>260.28999999999996</v>
      </c>
      <c r="N2967" s="53">
        <f>IF(J2967&lt;&gt;0,M2967/J2967,"")</f>
        <v>0.50952334344719585</v>
      </c>
      <c r="O2967" s="23">
        <v>0</v>
      </c>
      <c r="P2967" s="25">
        <v>0</v>
      </c>
      <c r="Q2967" s="24">
        <v>0</v>
      </c>
      <c r="R2967" s="24">
        <f>O2967-Q2967</f>
        <v>0</v>
      </c>
      <c r="S2967" s="53" t="str">
        <f>IF(O2967&lt;&gt;0,R2967/O2967,"")</f>
        <v/>
      </c>
      <c r="T2967" s="10"/>
      <c r="U2967" s="23">
        <v>0</v>
      </c>
      <c r="V2967" s="25">
        <v>0</v>
      </c>
      <c r="W2967" s="24">
        <v>0</v>
      </c>
      <c r="X2967" s="24">
        <f>U2967-W2967</f>
        <v>0</v>
      </c>
      <c r="Y2967" s="53" t="str">
        <f>IF(U2967&lt;&gt;0,X2967/U2967,"")</f>
        <v/>
      </c>
      <c r="Z2967" s="23">
        <v>255.43</v>
      </c>
      <c r="AA2967" s="25">
        <v>144</v>
      </c>
      <c r="AB2967" s="24">
        <v>125.28</v>
      </c>
      <c r="AC2967" s="24">
        <f t="shared" si="812"/>
        <v>130.15</v>
      </c>
      <c r="AD2967" s="53">
        <f t="shared" si="813"/>
        <v>0.50953294444661945</v>
      </c>
      <c r="AE2967" s="10"/>
    </row>
    <row r="2968" spans="1:31" x14ac:dyDescent="0.25">
      <c r="A2968" s="14" t="s">
        <v>109</v>
      </c>
      <c r="C2968" s="61" t="str">
        <f t="shared" si="811"/>
        <v>C100144</v>
      </c>
      <c r="F2968" s="8" t="str">
        <f>"E100002"</f>
        <v>E100002</v>
      </c>
      <c r="G2968" s="9" t="str">
        <f>"Cotton Classic Tote"</f>
        <v>Cotton Classic Tote</v>
      </c>
      <c r="H2968" s="47"/>
      <c r="I2968" s="47"/>
      <c r="J2968" s="23">
        <v>177.62</v>
      </c>
      <c r="K2968" s="25">
        <v>145</v>
      </c>
      <c r="L2968" s="24">
        <v>92.81</v>
      </c>
      <c r="M2968" s="24">
        <f>J2968-L2968</f>
        <v>84.81</v>
      </c>
      <c r="N2968" s="53">
        <f>IF(J2968&lt;&gt;0,M2968/J2968,"")</f>
        <v>0.47748001351199187</v>
      </c>
      <c r="O2968" s="23">
        <v>0</v>
      </c>
      <c r="P2968" s="25">
        <v>0</v>
      </c>
      <c r="Q2968" s="24">
        <v>0</v>
      </c>
      <c r="R2968" s="24">
        <f>O2968-Q2968</f>
        <v>0</v>
      </c>
      <c r="S2968" s="53" t="str">
        <f>IF(O2968&lt;&gt;0,R2968/O2968,"")</f>
        <v/>
      </c>
      <c r="T2968" s="10"/>
      <c r="U2968" s="23">
        <v>56.38</v>
      </c>
      <c r="V2968" s="25">
        <v>47</v>
      </c>
      <c r="W2968" s="24">
        <v>30.08</v>
      </c>
      <c r="X2968" s="24">
        <f>U2968-W2968</f>
        <v>26.300000000000004</v>
      </c>
      <c r="Y2968" s="53">
        <f>IF(U2968&lt;&gt;0,X2968/U2968,"")</f>
        <v>0.4664774742816602</v>
      </c>
      <c r="Z2968" s="23">
        <v>176.4</v>
      </c>
      <c r="AA2968" s="25">
        <v>144</v>
      </c>
      <c r="AB2968" s="24">
        <v>92.17</v>
      </c>
      <c r="AC2968" s="24">
        <f t="shared" si="812"/>
        <v>84.23</v>
      </c>
      <c r="AD2968" s="53">
        <f t="shared" si="813"/>
        <v>0.47749433106575967</v>
      </c>
      <c r="AE2968" s="10"/>
    </row>
    <row r="2969" spans="1:31" x14ac:dyDescent="0.25">
      <c r="A2969" s="14" t="s">
        <v>109</v>
      </c>
      <c r="C2969" s="61" t="str">
        <f t="shared" si="811"/>
        <v>C100144</v>
      </c>
      <c r="F2969" s="8" t="str">
        <f>"E100005"</f>
        <v>E100005</v>
      </c>
      <c r="G2969" s="9" t="str">
        <f>"All Purpose Tote"</f>
        <v>All Purpose Tote</v>
      </c>
      <c r="H2969" s="47"/>
      <c r="I2969" s="47"/>
      <c r="J2969" s="23">
        <v>334.42</v>
      </c>
      <c r="K2969" s="25">
        <v>132</v>
      </c>
      <c r="L2969" s="24">
        <v>163.68</v>
      </c>
      <c r="M2969" s="24">
        <f>J2969-L2969</f>
        <v>170.74</v>
      </c>
      <c r="N2969" s="53">
        <f>IF(J2969&lt;&gt;0,M2969/J2969,"")</f>
        <v>0.51055558878057528</v>
      </c>
      <c r="O2969" s="23">
        <v>0</v>
      </c>
      <c r="P2969" s="25">
        <v>0</v>
      </c>
      <c r="Q2969" s="24">
        <v>0</v>
      </c>
      <c r="R2969" s="24">
        <f>O2969-Q2969</f>
        <v>0</v>
      </c>
      <c r="S2969" s="53" t="str">
        <f>IF(O2969&lt;&gt;0,R2969/O2969,"")</f>
        <v/>
      </c>
      <c r="T2969" s="10"/>
      <c r="U2969" s="23">
        <v>0</v>
      </c>
      <c r="V2969" s="25">
        <v>0</v>
      </c>
      <c r="W2969" s="24">
        <v>0</v>
      </c>
      <c r="X2969" s="24">
        <f>U2969-W2969</f>
        <v>0</v>
      </c>
      <c r="Y2969" s="53" t="str">
        <f>IF(U2969&lt;&gt;0,X2969/U2969,"")</f>
        <v/>
      </c>
      <c r="Z2969" s="23">
        <v>0</v>
      </c>
      <c r="AA2969" s="25">
        <v>0</v>
      </c>
      <c r="AB2969" s="24">
        <v>0</v>
      </c>
      <c r="AC2969" s="24">
        <f t="shared" si="812"/>
        <v>0</v>
      </c>
      <c r="AD2969" s="53" t="str">
        <f t="shared" si="813"/>
        <v/>
      </c>
      <c r="AE2969" s="10"/>
    </row>
    <row r="2970" spans="1:31" x14ac:dyDescent="0.25">
      <c r="A2970" s="14" t="s">
        <v>109</v>
      </c>
      <c r="C2970" s="61" t="str">
        <f t="shared" si="811"/>
        <v>C100144</v>
      </c>
      <c r="F2970" s="8" t="str">
        <f>"E100010"</f>
        <v>E100010</v>
      </c>
      <c r="G2970" s="9" t="str">
        <f>"Vinyl Tote"</f>
        <v>Vinyl Tote</v>
      </c>
      <c r="H2970" s="47"/>
      <c r="I2970" s="47"/>
      <c r="J2970" s="23">
        <v>43.75</v>
      </c>
      <c r="K2970" s="25">
        <v>144</v>
      </c>
      <c r="L2970" s="24">
        <v>25.92</v>
      </c>
      <c r="M2970" s="24">
        <f>J2970-L2970</f>
        <v>17.829999999999998</v>
      </c>
      <c r="N2970" s="53">
        <f>IF(J2970&lt;&gt;0,M2970/J2970,"")</f>
        <v>0.4075428571428571</v>
      </c>
      <c r="O2970" s="23">
        <v>0</v>
      </c>
      <c r="P2970" s="25">
        <v>0</v>
      </c>
      <c r="Q2970" s="24">
        <v>0</v>
      </c>
      <c r="R2970" s="24">
        <f>O2970-Q2970</f>
        <v>0</v>
      </c>
      <c r="S2970" s="53" t="str">
        <f>IF(O2970&lt;&gt;0,R2970/O2970,"")</f>
        <v/>
      </c>
      <c r="T2970" s="10"/>
      <c r="U2970" s="23">
        <v>0</v>
      </c>
      <c r="V2970" s="25">
        <v>0</v>
      </c>
      <c r="W2970" s="24">
        <v>0</v>
      </c>
      <c r="X2970" s="24">
        <f>U2970-W2970</f>
        <v>0</v>
      </c>
      <c r="Y2970" s="53" t="str">
        <f>IF(U2970&lt;&gt;0,X2970/U2970,"")</f>
        <v/>
      </c>
      <c r="Z2970" s="23">
        <v>0.3</v>
      </c>
      <c r="AA2970" s="25">
        <v>1</v>
      </c>
      <c r="AB2970" s="24">
        <v>0.18</v>
      </c>
      <c r="AC2970" s="24">
        <f t="shared" si="812"/>
        <v>0.12</v>
      </c>
      <c r="AD2970" s="53">
        <f t="shared" si="813"/>
        <v>0.4</v>
      </c>
      <c r="AE2970" s="10"/>
    </row>
    <row r="2971" spans="1:31" x14ac:dyDescent="0.25">
      <c r="A2971" s="14" t="s">
        <v>109</v>
      </c>
      <c r="C2971" s="61" t="str">
        <f t="shared" si="811"/>
        <v>C100144</v>
      </c>
      <c r="F2971" s="8" t="str">
        <f>"E100012"</f>
        <v>E100012</v>
      </c>
      <c r="G2971" s="9" t="str">
        <f>"Canvas Stopwatch"</f>
        <v>Canvas Stopwatch</v>
      </c>
      <c r="H2971" s="47"/>
      <c r="I2971" s="47"/>
      <c r="J2971" s="23">
        <v>522.14</v>
      </c>
      <c r="K2971" s="25">
        <v>144</v>
      </c>
      <c r="L2971" s="24">
        <v>282.22999999999996</v>
      </c>
      <c r="M2971" s="24">
        <f>J2971-L2971</f>
        <v>239.91000000000003</v>
      </c>
      <c r="N2971" s="53">
        <f>IF(J2971&lt;&gt;0,M2971/J2971,"")</f>
        <v>0.45947447044853879</v>
      </c>
      <c r="O2971" s="23">
        <v>0</v>
      </c>
      <c r="P2971" s="25">
        <v>0</v>
      </c>
      <c r="Q2971" s="24">
        <v>0</v>
      </c>
      <c r="R2971" s="24">
        <f>O2971-Q2971</f>
        <v>0</v>
      </c>
      <c r="S2971" s="53" t="str">
        <f>IF(O2971&lt;&gt;0,R2971/O2971,"")</f>
        <v/>
      </c>
      <c r="T2971" s="10"/>
      <c r="U2971" s="23">
        <v>0</v>
      </c>
      <c r="V2971" s="25">
        <v>0</v>
      </c>
      <c r="W2971" s="24">
        <v>0</v>
      </c>
      <c r="X2971" s="24">
        <f>U2971-W2971</f>
        <v>0</v>
      </c>
      <c r="Y2971" s="53" t="str">
        <f>IF(U2971&lt;&gt;0,X2971/U2971,"")</f>
        <v/>
      </c>
      <c r="Z2971" s="23">
        <v>522.14</v>
      </c>
      <c r="AA2971" s="25">
        <v>144</v>
      </c>
      <c r="AB2971" s="24">
        <v>282.22999999999996</v>
      </c>
      <c r="AC2971" s="24">
        <f t="shared" si="812"/>
        <v>239.91000000000003</v>
      </c>
      <c r="AD2971" s="53">
        <f t="shared" si="813"/>
        <v>0.45947447044853879</v>
      </c>
      <c r="AE2971" s="10"/>
    </row>
    <row r="2972" spans="1:31" x14ac:dyDescent="0.25">
      <c r="A2972" s="14" t="s">
        <v>109</v>
      </c>
      <c r="C2972" s="61" t="str">
        <f t="shared" si="811"/>
        <v>C100144</v>
      </c>
      <c r="F2972" s="8" t="str">
        <f>"E100014"</f>
        <v>E100014</v>
      </c>
      <c r="G2972" s="9" t="str">
        <f>"Stopwatch with Neck Rope"</f>
        <v>Stopwatch with Neck Rope</v>
      </c>
      <c r="H2972" s="47"/>
      <c r="I2972" s="47"/>
      <c r="J2972" s="23">
        <v>776.16000000000008</v>
      </c>
      <c r="K2972" s="25">
        <v>288</v>
      </c>
      <c r="L2972" s="24">
        <v>371.49</v>
      </c>
      <c r="M2972" s="24">
        <f>J2972-L2972</f>
        <v>404.67000000000007</v>
      </c>
      <c r="N2972" s="53">
        <f>IF(J2972&lt;&gt;0,M2972/J2972,"")</f>
        <v>0.52137445887445888</v>
      </c>
      <c r="O2972" s="23">
        <v>0</v>
      </c>
      <c r="P2972" s="25">
        <v>0</v>
      </c>
      <c r="Q2972" s="24">
        <v>0</v>
      </c>
      <c r="R2972" s="24">
        <f>O2972-Q2972</f>
        <v>0</v>
      </c>
      <c r="S2972" s="53" t="str">
        <f>IF(O2972&lt;&gt;0,R2972/O2972,"")</f>
        <v/>
      </c>
      <c r="T2972" s="10"/>
      <c r="U2972" s="23">
        <v>0</v>
      </c>
      <c r="V2972" s="25">
        <v>0</v>
      </c>
      <c r="W2972" s="24">
        <v>0</v>
      </c>
      <c r="X2972" s="24">
        <f>U2972-W2972</f>
        <v>0</v>
      </c>
      <c r="Y2972" s="53" t="str">
        <f>IF(U2972&lt;&gt;0,X2972/U2972,"")</f>
        <v/>
      </c>
      <c r="Z2972" s="23">
        <v>388.08000000000004</v>
      </c>
      <c r="AA2972" s="25">
        <v>144</v>
      </c>
      <c r="AB2972" s="24">
        <v>185.75</v>
      </c>
      <c r="AC2972" s="24">
        <f t="shared" si="812"/>
        <v>202.33000000000004</v>
      </c>
      <c r="AD2972" s="53">
        <f t="shared" si="813"/>
        <v>0.5213615749330035</v>
      </c>
      <c r="AE2972" s="10"/>
    </row>
    <row r="2973" spans="1:31" x14ac:dyDescent="0.25">
      <c r="A2973" s="14" t="s">
        <v>109</v>
      </c>
      <c r="C2973" s="61" t="str">
        <f t="shared" si="811"/>
        <v>C100144</v>
      </c>
      <c r="F2973" s="8" t="str">
        <f>"E100015"</f>
        <v>E100015</v>
      </c>
      <c r="G2973" s="9" t="str">
        <f>"360 Clip Watch"</f>
        <v>360 Clip Watch</v>
      </c>
      <c r="H2973" s="47"/>
      <c r="I2973" s="47"/>
      <c r="J2973" s="23">
        <v>-2.06</v>
      </c>
      <c r="K2973" s="25">
        <v>-1</v>
      </c>
      <c r="L2973" s="24">
        <v>-1.02</v>
      </c>
      <c r="M2973" s="24">
        <f>J2973-L2973</f>
        <v>-1.04</v>
      </c>
      <c r="N2973" s="53">
        <f>IF(J2973&lt;&gt;0,M2973/J2973,"")</f>
        <v>0.50485436893203883</v>
      </c>
      <c r="O2973" s="23">
        <v>0</v>
      </c>
      <c r="P2973" s="25">
        <v>0</v>
      </c>
      <c r="Q2973" s="24">
        <v>0</v>
      </c>
      <c r="R2973" s="24">
        <f>O2973-Q2973</f>
        <v>0</v>
      </c>
      <c r="S2973" s="53" t="str">
        <f>IF(O2973&lt;&gt;0,R2973/O2973,"")</f>
        <v/>
      </c>
      <c r="T2973" s="10"/>
      <c r="U2973" s="23">
        <v>0</v>
      </c>
      <c r="V2973" s="25">
        <v>0</v>
      </c>
      <c r="W2973" s="24">
        <v>0</v>
      </c>
      <c r="X2973" s="24">
        <f>U2973-W2973</f>
        <v>0</v>
      </c>
      <c r="Y2973" s="53" t="str">
        <f>IF(U2973&lt;&gt;0,X2973/U2973,"")</f>
        <v/>
      </c>
      <c r="Z2973" s="23">
        <v>0</v>
      </c>
      <c r="AA2973" s="25">
        <v>0</v>
      </c>
      <c r="AB2973" s="24">
        <v>0</v>
      </c>
      <c r="AC2973" s="24">
        <f t="shared" si="812"/>
        <v>0</v>
      </c>
      <c r="AD2973" s="53" t="str">
        <f t="shared" si="813"/>
        <v/>
      </c>
      <c r="AE2973" s="10"/>
    </row>
    <row r="2974" spans="1:31" x14ac:dyDescent="0.25">
      <c r="A2974" s="14" t="s">
        <v>109</v>
      </c>
      <c r="C2974" s="61" t="str">
        <f t="shared" si="811"/>
        <v>C100144</v>
      </c>
      <c r="F2974" s="8" t="str">
        <f>"E100016"</f>
        <v>E100016</v>
      </c>
      <c r="G2974" s="9" t="str">
        <f>"4 Function Rotating Carabiner Watch"</f>
        <v>4 Function Rotating Carabiner Watch</v>
      </c>
      <c r="H2974" s="47"/>
      <c r="I2974" s="47"/>
      <c r="J2974" s="23">
        <v>-2.92</v>
      </c>
      <c r="K2974" s="25">
        <v>-1</v>
      </c>
      <c r="L2974" s="24">
        <v>-1.38</v>
      </c>
      <c r="M2974" s="24">
        <f>J2974-L2974</f>
        <v>-1.54</v>
      </c>
      <c r="N2974" s="53">
        <f>IF(J2974&lt;&gt;0,M2974/J2974,"")</f>
        <v>0.5273972602739726</v>
      </c>
      <c r="O2974" s="23">
        <v>0</v>
      </c>
      <c r="P2974" s="25">
        <v>0</v>
      </c>
      <c r="Q2974" s="24">
        <v>0</v>
      </c>
      <c r="R2974" s="24">
        <f>O2974-Q2974</f>
        <v>0</v>
      </c>
      <c r="S2974" s="53" t="str">
        <f>IF(O2974&lt;&gt;0,R2974/O2974,"")</f>
        <v/>
      </c>
      <c r="T2974" s="10"/>
      <c r="U2974" s="23">
        <v>0</v>
      </c>
      <c r="V2974" s="25">
        <v>0</v>
      </c>
      <c r="W2974" s="24">
        <v>0</v>
      </c>
      <c r="X2974" s="24">
        <f>U2974-W2974</f>
        <v>0</v>
      </c>
      <c r="Y2974" s="53" t="str">
        <f>IF(U2974&lt;&gt;0,X2974/U2974,"")</f>
        <v/>
      </c>
      <c r="Z2974" s="23">
        <v>0</v>
      </c>
      <c r="AA2974" s="25">
        <v>0</v>
      </c>
      <c r="AB2974" s="24">
        <v>0</v>
      </c>
      <c r="AC2974" s="24">
        <f t="shared" si="812"/>
        <v>0</v>
      </c>
      <c r="AD2974" s="53" t="str">
        <f t="shared" si="813"/>
        <v/>
      </c>
      <c r="AE2974" s="10"/>
    </row>
    <row r="2975" spans="1:31" x14ac:dyDescent="0.25">
      <c r="A2975" s="14" t="s">
        <v>109</v>
      </c>
      <c r="C2975" s="61" t="str">
        <f t="shared" si="811"/>
        <v>C100144</v>
      </c>
      <c r="F2975" s="8" t="str">
        <f>"E100018"</f>
        <v>E100018</v>
      </c>
      <c r="G2975" s="9" t="str">
        <f>"Flexi-Clock &amp; Clip"</f>
        <v>Flexi-Clock &amp; Clip</v>
      </c>
      <c r="H2975" s="47"/>
      <c r="I2975" s="47"/>
      <c r="J2975" s="23">
        <v>318.93</v>
      </c>
      <c r="K2975" s="25">
        <v>288</v>
      </c>
      <c r="L2975" s="24">
        <v>172.77</v>
      </c>
      <c r="M2975" s="24">
        <f>J2975-L2975</f>
        <v>146.16</v>
      </c>
      <c r="N2975" s="53">
        <f>IF(J2975&lt;&gt;0,M2975/J2975,"")</f>
        <v>0.45828238171385566</v>
      </c>
      <c r="O2975" s="23">
        <v>0</v>
      </c>
      <c r="P2975" s="25">
        <v>0</v>
      </c>
      <c r="Q2975" s="24">
        <v>0</v>
      </c>
      <c r="R2975" s="24">
        <f>O2975-Q2975</f>
        <v>0</v>
      </c>
      <c r="S2975" s="53" t="str">
        <f>IF(O2975&lt;&gt;0,R2975/O2975,"")</f>
        <v/>
      </c>
      <c r="T2975" s="10"/>
      <c r="U2975" s="23">
        <v>315.68</v>
      </c>
      <c r="V2975" s="25">
        <v>288</v>
      </c>
      <c r="W2975" s="24">
        <v>172.77</v>
      </c>
      <c r="X2975" s="24">
        <f>U2975-W2975</f>
        <v>142.91</v>
      </c>
      <c r="Y2975" s="53">
        <f>IF(U2975&lt;&gt;0,X2975/U2975,"")</f>
        <v>0.452705271160669</v>
      </c>
      <c r="Z2975" s="23">
        <v>0</v>
      </c>
      <c r="AA2975" s="25">
        <v>0</v>
      </c>
      <c r="AB2975" s="24">
        <v>0</v>
      </c>
      <c r="AC2975" s="24">
        <f t="shared" si="812"/>
        <v>0</v>
      </c>
      <c r="AD2975" s="53" t="str">
        <f t="shared" si="813"/>
        <v/>
      </c>
      <c r="AE2975" s="10"/>
    </row>
    <row r="2976" spans="1:31" x14ac:dyDescent="0.25">
      <c r="A2976" s="14" t="s">
        <v>109</v>
      </c>
      <c r="C2976" s="61" t="str">
        <f t="shared" si="811"/>
        <v>C100144</v>
      </c>
      <c r="F2976" s="8" t="str">
        <f>"E100021"</f>
        <v>E100021</v>
      </c>
      <c r="G2976" s="9" t="str">
        <f>"Slim Travel Alarm"</f>
        <v>Slim Travel Alarm</v>
      </c>
      <c r="H2976" s="47"/>
      <c r="I2976" s="47"/>
      <c r="J2976" s="23">
        <v>406.42999999999995</v>
      </c>
      <c r="K2976" s="25">
        <v>144</v>
      </c>
      <c r="L2976" s="24">
        <v>207.35</v>
      </c>
      <c r="M2976" s="24">
        <f>J2976-L2976</f>
        <v>199.07999999999996</v>
      </c>
      <c r="N2976" s="53">
        <f>IF(J2976&lt;&gt;0,M2976/J2976,"")</f>
        <v>0.48982604630563686</v>
      </c>
      <c r="O2976" s="23">
        <v>0</v>
      </c>
      <c r="P2976" s="25">
        <v>0</v>
      </c>
      <c r="Q2976" s="24">
        <v>0</v>
      </c>
      <c r="R2976" s="24">
        <f>O2976-Q2976</f>
        <v>0</v>
      </c>
      <c r="S2976" s="53" t="str">
        <f>IF(O2976&lt;&gt;0,R2976/O2976,"")</f>
        <v/>
      </c>
      <c r="T2976" s="10"/>
      <c r="U2976" s="23">
        <v>0</v>
      </c>
      <c r="V2976" s="25">
        <v>0</v>
      </c>
      <c r="W2976" s="24">
        <v>0</v>
      </c>
      <c r="X2976" s="24">
        <f>U2976-W2976</f>
        <v>0</v>
      </c>
      <c r="Y2976" s="53" t="str">
        <f>IF(U2976&lt;&gt;0,X2976/U2976,"")</f>
        <v/>
      </c>
      <c r="Z2976" s="23">
        <v>0</v>
      </c>
      <c r="AA2976" s="25">
        <v>0</v>
      </c>
      <c r="AB2976" s="24">
        <v>0</v>
      </c>
      <c r="AC2976" s="24">
        <f t="shared" si="812"/>
        <v>0</v>
      </c>
      <c r="AD2976" s="53" t="str">
        <f t="shared" si="813"/>
        <v/>
      </c>
      <c r="AE2976" s="10"/>
    </row>
    <row r="2977" spans="1:31" x14ac:dyDescent="0.25">
      <c r="A2977" s="14" t="s">
        <v>109</v>
      </c>
      <c r="C2977" s="61" t="str">
        <f t="shared" si="811"/>
        <v>C100144</v>
      </c>
      <c r="F2977" s="8" t="str">
        <f>"E100025"</f>
        <v>E100025</v>
      </c>
      <c r="G2977" s="9" t="str">
        <f>"Calc-U-Note"</f>
        <v>Calc-U-Note</v>
      </c>
      <c r="H2977" s="47"/>
      <c r="I2977" s="47"/>
      <c r="J2977" s="23">
        <v>231.43999999999997</v>
      </c>
      <c r="K2977" s="25">
        <v>144</v>
      </c>
      <c r="L2977" s="24">
        <v>146.80000000000001</v>
      </c>
      <c r="M2977" s="24">
        <f>J2977-L2977</f>
        <v>84.639999999999958</v>
      </c>
      <c r="N2977" s="53">
        <f>IF(J2977&lt;&gt;0,M2977/J2977,"")</f>
        <v>0.36571033529208419</v>
      </c>
      <c r="O2977" s="23">
        <v>0</v>
      </c>
      <c r="P2977" s="25">
        <v>0</v>
      </c>
      <c r="Q2977" s="24">
        <v>0</v>
      </c>
      <c r="R2977" s="24">
        <f>O2977-Q2977</f>
        <v>0</v>
      </c>
      <c r="S2977" s="53" t="str">
        <f>IF(O2977&lt;&gt;0,R2977/O2977,"")</f>
        <v/>
      </c>
      <c r="T2977" s="10"/>
      <c r="U2977" s="23">
        <v>0</v>
      </c>
      <c r="V2977" s="25">
        <v>0</v>
      </c>
      <c r="W2977" s="24">
        <v>0</v>
      </c>
      <c r="X2977" s="24">
        <f>U2977-W2977</f>
        <v>0</v>
      </c>
      <c r="Y2977" s="53" t="str">
        <f>IF(U2977&lt;&gt;0,X2977/U2977,"")</f>
        <v/>
      </c>
      <c r="Z2977" s="23">
        <v>0</v>
      </c>
      <c r="AA2977" s="25">
        <v>0</v>
      </c>
      <c r="AB2977" s="24">
        <v>0</v>
      </c>
      <c r="AC2977" s="24">
        <f t="shared" si="812"/>
        <v>0</v>
      </c>
      <c r="AD2977" s="53" t="str">
        <f t="shared" si="813"/>
        <v/>
      </c>
      <c r="AE2977" s="10"/>
    </row>
    <row r="2978" spans="1:31" x14ac:dyDescent="0.25">
      <c r="A2978" s="14" t="s">
        <v>109</v>
      </c>
      <c r="C2978" s="61" t="str">
        <f t="shared" si="811"/>
        <v>C100144</v>
      </c>
      <c r="F2978" s="8" t="str">
        <f>"E100026"</f>
        <v>E100026</v>
      </c>
      <c r="G2978" s="9" t="str">
        <f>"Desk Calculator"</f>
        <v>Desk Calculator</v>
      </c>
      <c r="H2978" s="47"/>
      <c r="I2978" s="47"/>
      <c r="J2978" s="23">
        <v>119.94999999999999</v>
      </c>
      <c r="K2978" s="25">
        <v>144</v>
      </c>
      <c r="L2978" s="24">
        <v>69.180000000000007</v>
      </c>
      <c r="M2978" s="24">
        <f>J2978-L2978</f>
        <v>50.769999999999982</v>
      </c>
      <c r="N2978" s="53">
        <f>IF(J2978&lt;&gt;0,M2978/J2978,"")</f>
        <v>0.4232596915381408</v>
      </c>
      <c r="O2978" s="23">
        <v>0</v>
      </c>
      <c r="P2978" s="25">
        <v>0</v>
      </c>
      <c r="Q2978" s="24">
        <v>0</v>
      </c>
      <c r="R2978" s="24">
        <f>O2978-Q2978</f>
        <v>0</v>
      </c>
      <c r="S2978" s="53" t="str">
        <f>IF(O2978&lt;&gt;0,R2978/O2978,"")</f>
        <v/>
      </c>
      <c r="T2978" s="10"/>
      <c r="U2978" s="23">
        <v>0</v>
      </c>
      <c r="V2978" s="25">
        <v>0</v>
      </c>
      <c r="W2978" s="24">
        <v>0</v>
      </c>
      <c r="X2978" s="24">
        <f>U2978-W2978</f>
        <v>0</v>
      </c>
      <c r="Y2978" s="53" t="str">
        <f>IF(U2978&lt;&gt;0,X2978/U2978,"")</f>
        <v/>
      </c>
      <c r="Z2978" s="23">
        <v>0.83</v>
      </c>
      <c r="AA2978" s="25">
        <v>1</v>
      </c>
      <c r="AB2978" s="24">
        <v>0.48</v>
      </c>
      <c r="AC2978" s="24">
        <f t="shared" si="812"/>
        <v>0.35</v>
      </c>
      <c r="AD2978" s="53">
        <f t="shared" si="813"/>
        <v>0.42168674698795178</v>
      </c>
      <c r="AE2978" s="10"/>
    </row>
    <row r="2979" spans="1:31" x14ac:dyDescent="0.25">
      <c r="A2979" s="14" t="s">
        <v>109</v>
      </c>
      <c r="C2979" s="61" t="str">
        <f t="shared" si="811"/>
        <v>C100144</v>
      </c>
      <c r="F2979" s="8" t="str">
        <f>"E100027"</f>
        <v>E100027</v>
      </c>
      <c r="G2979" s="9" t="str">
        <f>"Ergo-Calculator"</f>
        <v>Ergo-Calculator</v>
      </c>
      <c r="H2979" s="47"/>
      <c r="I2979" s="47"/>
      <c r="J2979" s="23">
        <v>341.51</v>
      </c>
      <c r="K2979" s="25">
        <v>144</v>
      </c>
      <c r="L2979" s="24">
        <v>184.35</v>
      </c>
      <c r="M2979" s="24">
        <f>J2979-L2979</f>
        <v>157.16</v>
      </c>
      <c r="N2979" s="53">
        <f>IF(J2979&lt;&gt;0,M2979/J2979,"")</f>
        <v>0.46019150244502355</v>
      </c>
      <c r="O2979" s="23">
        <v>0</v>
      </c>
      <c r="P2979" s="25">
        <v>0</v>
      </c>
      <c r="Q2979" s="24">
        <v>0</v>
      </c>
      <c r="R2979" s="24">
        <f>O2979-Q2979</f>
        <v>0</v>
      </c>
      <c r="S2979" s="53" t="str">
        <f>IF(O2979&lt;&gt;0,R2979/O2979,"")</f>
        <v/>
      </c>
      <c r="T2979" s="10"/>
      <c r="U2979" s="23">
        <v>27.88</v>
      </c>
      <c r="V2979" s="25">
        <v>12</v>
      </c>
      <c r="W2979" s="24">
        <v>15.36</v>
      </c>
      <c r="X2979" s="24">
        <f>U2979-W2979</f>
        <v>12.52</v>
      </c>
      <c r="Y2979" s="53">
        <f>IF(U2979&lt;&gt;0,X2979/U2979,"")</f>
        <v>0.44906743185078912</v>
      </c>
      <c r="Z2979" s="23">
        <v>341.51</v>
      </c>
      <c r="AA2979" s="25">
        <v>144</v>
      </c>
      <c r="AB2979" s="24">
        <v>184.35</v>
      </c>
      <c r="AC2979" s="24">
        <f t="shared" si="812"/>
        <v>157.16</v>
      </c>
      <c r="AD2979" s="53">
        <f t="shared" si="813"/>
        <v>0.46019150244502355</v>
      </c>
      <c r="AE2979" s="10"/>
    </row>
    <row r="2980" spans="1:31" x14ac:dyDescent="0.25">
      <c r="A2980" s="14" t="s">
        <v>109</v>
      </c>
      <c r="C2980" s="61" t="str">
        <f t="shared" si="811"/>
        <v>C100144</v>
      </c>
      <c r="F2980" s="8" t="str">
        <f>"E100029"</f>
        <v>E100029</v>
      </c>
      <c r="G2980" s="9" t="str">
        <f>"LED Flex Light"</f>
        <v>LED Flex Light</v>
      </c>
      <c r="H2980" s="47"/>
      <c r="I2980" s="47"/>
      <c r="J2980" s="23">
        <v>407.84</v>
      </c>
      <c r="K2980" s="25">
        <v>144</v>
      </c>
      <c r="L2980" s="24">
        <v>241.84000000000003</v>
      </c>
      <c r="M2980" s="24">
        <f>J2980-L2980</f>
        <v>165.99999999999994</v>
      </c>
      <c r="N2980" s="53">
        <f>IF(J2980&lt;&gt;0,M2980/J2980,"")</f>
        <v>0.40702236171047457</v>
      </c>
      <c r="O2980" s="23">
        <v>0</v>
      </c>
      <c r="P2980" s="25">
        <v>0</v>
      </c>
      <c r="Q2980" s="24">
        <v>0</v>
      </c>
      <c r="R2980" s="24">
        <f>O2980-Q2980</f>
        <v>0</v>
      </c>
      <c r="S2980" s="53" t="str">
        <f>IF(O2980&lt;&gt;0,R2980/O2980,"")</f>
        <v/>
      </c>
      <c r="T2980" s="10"/>
      <c r="U2980" s="23">
        <v>799.03</v>
      </c>
      <c r="V2980" s="25">
        <v>288</v>
      </c>
      <c r="W2980" s="24">
        <v>483.68000000000006</v>
      </c>
      <c r="X2980" s="24">
        <f>U2980-W2980</f>
        <v>315.34999999999991</v>
      </c>
      <c r="Y2980" s="53">
        <f>IF(U2980&lt;&gt;0,X2980/U2980,"")</f>
        <v>0.39466603256448435</v>
      </c>
      <c r="Z2980" s="23">
        <v>407.84</v>
      </c>
      <c r="AA2980" s="25">
        <v>144</v>
      </c>
      <c r="AB2980" s="24">
        <v>241.84000000000003</v>
      </c>
      <c r="AC2980" s="24">
        <f t="shared" si="812"/>
        <v>165.99999999999994</v>
      </c>
      <c r="AD2980" s="53">
        <f t="shared" si="813"/>
        <v>0.40702236171047457</v>
      </c>
      <c r="AE2980" s="10"/>
    </row>
    <row r="2981" spans="1:31" x14ac:dyDescent="0.25">
      <c r="A2981" s="14" t="s">
        <v>109</v>
      </c>
      <c r="C2981" s="61" t="str">
        <f t="shared" si="811"/>
        <v>C100144</v>
      </c>
      <c r="F2981" s="8" t="str">
        <f>"E100030"</f>
        <v>E100030</v>
      </c>
      <c r="G2981" s="9" t="str">
        <f>"LED Keychain"</f>
        <v>LED Keychain</v>
      </c>
      <c r="H2981" s="47"/>
      <c r="I2981" s="47"/>
      <c r="J2981" s="23">
        <v>137.84</v>
      </c>
      <c r="K2981" s="25">
        <v>145</v>
      </c>
      <c r="L2981" s="24">
        <v>72.56</v>
      </c>
      <c r="M2981" s="24">
        <f>J2981-L2981</f>
        <v>65.28</v>
      </c>
      <c r="N2981" s="53">
        <f>IF(J2981&lt;&gt;0,M2981/J2981,"")</f>
        <v>0.47359257109692399</v>
      </c>
      <c r="O2981" s="23">
        <v>0</v>
      </c>
      <c r="P2981" s="25">
        <v>0</v>
      </c>
      <c r="Q2981" s="24">
        <v>0</v>
      </c>
      <c r="R2981" s="24">
        <f>O2981-Q2981</f>
        <v>0</v>
      </c>
      <c r="S2981" s="53" t="str">
        <f>IF(O2981&lt;&gt;0,R2981/O2981,"")</f>
        <v/>
      </c>
      <c r="T2981" s="10"/>
      <c r="U2981" s="23">
        <v>0</v>
      </c>
      <c r="V2981" s="25">
        <v>0</v>
      </c>
      <c r="W2981" s="24">
        <v>0</v>
      </c>
      <c r="X2981" s="24">
        <f>U2981-W2981</f>
        <v>0</v>
      </c>
      <c r="Y2981" s="53" t="str">
        <f>IF(U2981&lt;&gt;0,X2981/U2981,"")</f>
        <v/>
      </c>
      <c r="Z2981" s="23">
        <v>0</v>
      </c>
      <c r="AA2981" s="25">
        <v>0</v>
      </c>
      <c r="AB2981" s="24">
        <v>0</v>
      </c>
      <c r="AC2981" s="24">
        <f t="shared" si="812"/>
        <v>0</v>
      </c>
      <c r="AD2981" s="53" t="str">
        <f t="shared" si="813"/>
        <v/>
      </c>
      <c r="AE2981" s="10"/>
    </row>
    <row r="2982" spans="1:31" x14ac:dyDescent="0.25">
      <c r="A2982" s="14" t="s">
        <v>109</v>
      </c>
      <c r="C2982" s="61" t="str">
        <f t="shared" si="811"/>
        <v>C100144</v>
      </c>
      <c r="F2982" s="8" t="str">
        <f>"E100032"</f>
        <v>E100032</v>
      </c>
      <c r="G2982" s="9" t="str">
        <f>"Button Key-Light"</f>
        <v>Button Key-Light</v>
      </c>
      <c r="H2982" s="47"/>
      <c r="I2982" s="47"/>
      <c r="J2982" s="23">
        <v>72.47</v>
      </c>
      <c r="K2982" s="25">
        <v>145</v>
      </c>
      <c r="L2982" s="24">
        <v>47.859999999999992</v>
      </c>
      <c r="M2982" s="24">
        <f>J2982-L2982</f>
        <v>24.610000000000007</v>
      </c>
      <c r="N2982" s="53">
        <f>IF(J2982&lt;&gt;0,M2982/J2982,"")</f>
        <v>0.33958879536359882</v>
      </c>
      <c r="O2982" s="23">
        <v>0</v>
      </c>
      <c r="P2982" s="25">
        <v>0</v>
      </c>
      <c r="Q2982" s="24">
        <v>0</v>
      </c>
      <c r="R2982" s="24">
        <f>O2982-Q2982</f>
        <v>0</v>
      </c>
      <c r="S2982" s="53" t="str">
        <f>IF(O2982&lt;&gt;0,R2982/O2982,"")</f>
        <v/>
      </c>
      <c r="T2982" s="10"/>
      <c r="U2982" s="23">
        <v>-71.97</v>
      </c>
      <c r="V2982" s="25">
        <v>-144</v>
      </c>
      <c r="W2982" s="24">
        <v>-47.529999999999994</v>
      </c>
      <c r="X2982" s="24">
        <f>U2982-W2982</f>
        <v>-24.440000000000005</v>
      </c>
      <c r="Y2982" s="53">
        <f>IF(U2982&lt;&gt;0,X2982/U2982,"")</f>
        <v>0.33958593858552183</v>
      </c>
      <c r="Z2982" s="23">
        <v>0</v>
      </c>
      <c r="AA2982" s="25">
        <v>0</v>
      </c>
      <c r="AB2982" s="24">
        <v>0</v>
      </c>
      <c r="AC2982" s="24">
        <f t="shared" si="812"/>
        <v>0</v>
      </c>
      <c r="AD2982" s="53" t="str">
        <f t="shared" si="813"/>
        <v/>
      </c>
      <c r="AE2982" s="10"/>
    </row>
    <row r="2983" spans="1:31" x14ac:dyDescent="0.25">
      <c r="A2983" s="14" t="s">
        <v>109</v>
      </c>
      <c r="C2983" s="61" t="str">
        <f t="shared" si="811"/>
        <v>C100144</v>
      </c>
      <c r="F2983" s="8" t="str">
        <f>"E100034"</f>
        <v>E100034</v>
      </c>
      <c r="G2983" s="9" t="str">
        <f>"Bamboo 1GB USB Flash Drive"</f>
        <v>Bamboo 1GB USB Flash Drive</v>
      </c>
      <c r="H2983" s="47"/>
      <c r="I2983" s="47"/>
      <c r="J2983" s="23">
        <v>819.91000000000008</v>
      </c>
      <c r="K2983" s="25">
        <v>144</v>
      </c>
      <c r="L2983" s="24">
        <v>388.83</v>
      </c>
      <c r="M2983" s="24">
        <f>J2983-L2983</f>
        <v>431.0800000000001</v>
      </c>
      <c r="N2983" s="53">
        <f>IF(J2983&lt;&gt;0,M2983/J2983,"")</f>
        <v>0.52576502299032823</v>
      </c>
      <c r="O2983" s="23">
        <v>0</v>
      </c>
      <c r="P2983" s="25">
        <v>0</v>
      </c>
      <c r="Q2983" s="24">
        <v>0</v>
      </c>
      <c r="R2983" s="24">
        <f>O2983-Q2983</f>
        <v>0</v>
      </c>
      <c r="S2983" s="53" t="str">
        <f>IF(O2983&lt;&gt;0,R2983/O2983,"")</f>
        <v/>
      </c>
      <c r="T2983" s="10"/>
      <c r="U2983" s="23">
        <v>0</v>
      </c>
      <c r="V2983" s="25">
        <v>0</v>
      </c>
      <c r="W2983" s="24">
        <v>0</v>
      </c>
      <c r="X2983" s="24">
        <f>U2983-W2983</f>
        <v>0</v>
      </c>
      <c r="Y2983" s="53" t="str">
        <f>IF(U2983&lt;&gt;0,X2983/U2983,"")</f>
        <v/>
      </c>
      <c r="Z2983" s="23">
        <v>0</v>
      </c>
      <c r="AA2983" s="25">
        <v>0</v>
      </c>
      <c r="AB2983" s="24">
        <v>0</v>
      </c>
      <c r="AC2983" s="24">
        <f t="shared" si="812"/>
        <v>0</v>
      </c>
      <c r="AD2983" s="53" t="str">
        <f t="shared" si="813"/>
        <v/>
      </c>
      <c r="AE2983" s="10"/>
    </row>
    <row r="2984" spans="1:31" x14ac:dyDescent="0.25">
      <c r="A2984" s="14" t="s">
        <v>109</v>
      </c>
      <c r="C2984" s="61" t="str">
        <f t="shared" si="811"/>
        <v>C100144</v>
      </c>
      <c r="F2984" s="8" t="str">
        <f>"E100038"</f>
        <v>E100038</v>
      </c>
      <c r="G2984" s="9" t="str">
        <f>"1GB USB Flash Drive Pen"</f>
        <v>1GB USB Flash Drive Pen</v>
      </c>
      <c r="H2984" s="47"/>
      <c r="I2984" s="47"/>
      <c r="J2984" s="23">
        <v>5.59</v>
      </c>
      <c r="K2984" s="25">
        <v>1</v>
      </c>
      <c r="L2984" s="24">
        <v>2.97</v>
      </c>
      <c r="M2984" s="24">
        <f>J2984-L2984</f>
        <v>2.6199999999999997</v>
      </c>
      <c r="N2984" s="53">
        <f>IF(J2984&lt;&gt;0,M2984/J2984,"")</f>
        <v>0.46869409660107331</v>
      </c>
      <c r="O2984" s="23">
        <v>0</v>
      </c>
      <c r="P2984" s="25">
        <v>0</v>
      </c>
      <c r="Q2984" s="24">
        <v>0</v>
      </c>
      <c r="R2984" s="24">
        <f>O2984-Q2984</f>
        <v>0</v>
      </c>
      <c r="S2984" s="53" t="str">
        <f>IF(O2984&lt;&gt;0,R2984/O2984,"")</f>
        <v/>
      </c>
      <c r="T2984" s="10"/>
      <c r="U2984" s="23">
        <v>0</v>
      </c>
      <c r="V2984" s="25">
        <v>0</v>
      </c>
      <c r="W2984" s="24">
        <v>0</v>
      </c>
      <c r="X2984" s="24">
        <f>U2984-W2984</f>
        <v>0</v>
      </c>
      <c r="Y2984" s="53" t="str">
        <f>IF(U2984&lt;&gt;0,X2984/U2984,"")</f>
        <v/>
      </c>
      <c r="Z2984" s="23">
        <v>0</v>
      </c>
      <c r="AA2984" s="25">
        <v>0</v>
      </c>
      <c r="AB2984" s="24">
        <v>0</v>
      </c>
      <c r="AC2984" s="24">
        <f t="shared" si="812"/>
        <v>0</v>
      </c>
      <c r="AD2984" s="53" t="str">
        <f t="shared" si="813"/>
        <v/>
      </c>
      <c r="AE2984" s="10"/>
    </row>
    <row r="2985" spans="1:31" x14ac:dyDescent="0.25">
      <c r="A2985" s="14" t="s">
        <v>109</v>
      </c>
      <c r="C2985" s="61" t="str">
        <f t="shared" si="811"/>
        <v>C100144</v>
      </c>
      <c r="F2985" s="8" t="str">
        <f>"E100039"</f>
        <v>E100039</v>
      </c>
      <c r="G2985" s="9" t="str">
        <f>"Campfire Mug"</f>
        <v>Campfire Mug</v>
      </c>
      <c r="H2985" s="47"/>
      <c r="I2985" s="47"/>
      <c r="J2985" s="23">
        <v>242.73000000000002</v>
      </c>
      <c r="K2985" s="25">
        <v>144</v>
      </c>
      <c r="L2985" s="24">
        <v>161.36000000000001</v>
      </c>
      <c r="M2985" s="24">
        <f>J2985-L2985</f>
        <v>81.37</v>
      </c>
      <c r="N2985" s="53">
        <f>IF(J2985&lt;&gt;0,M2985/J2985,"")</f>
        <v>0.33522844312610717</v>
      </c>
      <c r="O2985" s="23">
        <v>0</v>
      </c>
      <c r="P2985" s="25">
        <v>0</v>
      </c>
      <c r="Q2985" s="24">
        <v>0</v>
      </c>
      <c r="R2985" s="24">
        <f>O2985-Q2985</f>
        <v>0</v>
      </c>
      <c r="S2985" s="53" t="str">
        <f>IF(O2985&lt;&gt;0,R2985/O2985,"")</f>
        <v/>
      </c>
      <c r="T2985" s="10"/>
      <c r="U2985" s="23">
        <v>0</v>
      </c>
      <c r="V2985" s="25">
        <v>0</v>
      </c>
      <c r="W2985" s="24">
        <v>0</v>
      </c>
      <c r="X2985" s="24">
        <f>U2985-W2985</f>
        <v>0</v>
      </c>
      <c r="Y2985" s="53" t="str">
        <f>IF(U2985&lt;&gt;0,X2985/U2985,"")</f>
        <v/>
      </c>
      <c r="Z2985" s="23">
        <v>0</v>
      </c>
      <c r="AA2985" s="25">
        <v>0</v>
      </c>
      <c r="AB2985" s="24">
        <v>0</v>
      </c>
      <c r="AC2985" s="24">
        <f t="shared" si="812"/>
        <v>0</v>
      </c>
      <c r="AD2985" s="53" t="str">
        <f t="shared" si="813"/>
        <v/>
      </c>
      <c r="AE2985" s="10"/>
    </row>
    <row r="2986" spans="1:31" x14ac:dyDescent="0.25">
      <c r="A2986" s="14" t="s">
        <v>109</v>
      </c>
      <c r="C2986" s="61" t="str">
        <f t="shared" si="811"/>
        <v>C100144</v>
      </c>
      <c r="F2986" s="8" t="str">
        <f>"E100040"</f>
        <v>E100040</v>
      </c>
      <c r="G2986" s="9" t="str">
        <f>"Wave Mug"</f>
        <v>Wave Mug</v>
      </c>
      <c r="H2986" s="47"/>
      <c r="I2986" s="47"/>
      <c r="J2986" s="23">
        <v>238.49</v>
      </c>
      <c r="K2986" s="25">
        <v>144</v>
      </c>
      <c r="L2986" s="24">
        <v>161.36000000000001</v>
      </c>
      <c r="M2986" s="24">
        <f>J2986-L2986</f>
        <v>77.13</v>
      </c>
      <c r="N2986" s="53">
        <f>IF(J2986&lt;&gt;0,M2986/J2986,"")</f>
        <v>0.32340978657386049</v>
      </c>
      <c r="O2986" s="23">
        <v>0</v>
      </c>
      <c r="P2986" s="25">
        <v>0</v>
      </c>
      <c r="Q2986" s="24">
        <v>0</v>
      </c>
      <c r="R2986" s="24">
        <f>O2986-Q2986</f>
        <v>0</v>
      </c>
      <c r="S2986" s="53" t="str">
        <f>IF(O2986&lt;&gt;0,R2986/O2986,"")</f>
        <v/>
      </c>
      <c r="T2986" s="10"/>
      <c r="U2986" s="23">
        <v>0</v>
      </c>
      <c r="V2986" s="25">
        <v>0</v>
      </c>
      <c r="W2986" s="24">
        <v>0</v>
      </c>
      <c r="X2986" s="24">
        <f>U2986-W2986</f>
        <v>0</v>
      </c>
      <c r="Y2986" s="53" t="str">
        <f>IF(U2986&lt;&gt;0,X2986/U2986,"")</f>
        <v/>
      </c>
      <c r="Z2986" s="23">
        <v>0</v>
      </c>
      <c r="AA2986" s="25">
        <v>0</v>
      </c>
      <c r="AB2986" s="24">
        <v>0</v>
      </c>
      <c r="AC2986" s="24">
        <f t="shared" si="812"/>
        <v>0</v>
      </c>
      <c r="AD2986" s="53" t="str">
        <f t="shared" si="813"/>
        <v/>
      </c>
      <c r="AE2986" s="10"/>
    </row>
    <row r="2987" spans="1:31" x14ac:dyDescent="0.25">
      <c r="A2987" s="14" t="s">
        <v>109</v>
      </c>
      <c r="C2987" s="61" t="str">
        <f t="shared" si="811"/>
        <v>C100144</v>
      </c>
      <c r="F2987" s="8" t="str">
        <f>"E100041"</f>
        <v>E100041</v>
      </c>
      <c r="G2987" s="9" t="str">
        <f>"Biodegradable Colored SPORT BOT"</f>
        <v>Biodegradable Colored SPORT BOT</v>
      </c>
      <c r="H2987" s="47"/>
      <c r="I2987" s="47"/>
      <c r="J2987" s="23">
        <v>194.75</v>
      </c>
      <c r="K2987" s="25">
        <v>288</v>
      </c>
      <c r="L2987" s="24">
        <v>123.80000000000001</v>
      </c>
      <c r="M2987" s="24">
        <f>J2987-L2987</f>
        <v>70.949999999999989</v>
      </c>
      <c r="N2987" s="53">
        <f>IF(J2987&lt;&gt;0,M2987/J2987,"")</f>
        <v>0.36431322207958916</v>
      </c>
      <c r="O2987" s="23">
        <v>0</v>
      </c>
      <c r="P2987" s="25">
        <v>0</v>
      </c>
      <c r="Q2987" s="24">
        <v>0</v>
      </c>
      <c r="R2987" s="24">
        <f>O2987-Q2987</f>
        <v>0</v>
      </c>
      <c r="S2987" s="53" t="str">
        <f>IF(O2987&lt;&gt;0,R2987/O2987,"")</f>
        <v/>
      </c>
      <c r="T2987" s="10"/>
      <c r="U2987" s="23">
        <v>4.0199999999999996</v>
      </c>
      <c r="V2987" s="25">
        <v>6</v>
      </c>
      <c r="W2987" s="24">
        <v>2.58</v>
      </c>
      <c r="X2987" s="24">
        <f>U2987-W2987</f>
        <v>1.4399999999999995</v>
      </c>
      <c r="Y2987" s="53">
        <f>IF(U2987&lt;&gt;0,X2987/U2987,"")</f>
        <v>0.35820895522388052</v>
      </c>
      <c r="Z2987" s="23">
        <v>0</v>
      </c>
      <c r="AA2987" s="25">
        <v>0</v>
      </c>
      <c r="AB2987" s="24">
        <v>0</v>
      </c>
      <c r="AC2987" s="24">
        <f t="shared" si="812"/>
        <v>0</v>
      </c>
      <c r="AD2987" s="53" t="str">
        <f t="shared" si="813"/>
        <v/>
      </c>
      <c r="AE2987" s="10"/>
    </row>
    <row r="2988" spans="1:31" x14ac:dyDescent="0.25">
      <c r="A2988" s="14" t="s">
        <v>109</v>
      </c>
      <c r="C2988" s="61" t="str">
        <f t="shared" si="811"/>
        <v>C100144</v>
      </c>
      <c r="F2988" s="8" t="str">
        <f>"E100042"</f>
        <v>E100042</v>
      </c>
      <c r="G2988" s="9" t="str">
        <f>"Soft Touch Travel Mug"</f>
        <v>Soft Touch Travel Mug</v>
      </c>
      <c r="H2988" s="47"/>
      <c r="I2988" s="47"/>
      <c r="J2988" s="23">
        <v>-3.72</v>
      </c>
      <c r="K2988" s="25">
        <v>-1</v>
      </c>
      <c r="L2988" s="24">
        <v>-2.15</v>
      </c>
      <c r="M2988" s="24">
        <f>J2988-L2988</f>
        <v>-1.5700000000000003</v>
      </c>
      <c r="N2988" s="53">
        <f>IF(J2988&lt;&gt;0,M2988/J2988,"")</f>
        <v>0.42204301075268824</v>
      </c>
      <c r="O2988" s="23">
        <v>0</v>
      </c>
      <c r="P2988" s="25">
        <v>0</v>
      </c>
      <c r="Q2988" s="24">
        <v>0</v>
      </c>
      <c r="R2988" s="24">
        <f>O2988-Q2988</f>
        <v>0</v>
      </c>
      <c r="S2988" s="53" t="str">
        <f>IF(O2988&lt;&gt;0,R2988/O2988,"")</f>
        <v/>
      </c>
      <c r="T2988" s="10"/>
      <c r="U2988" s="23">
        <v>534.99</v>
      </c>
      <c r="V2988" s="25">
        <v>144</v>
      </c>
      <c r="W2988" s="24">
        <v>309.68</v>
      </c>
      <c r="X2988" s="24">
        <f>U2988-W2988</f>
        <v>225.31</v>
      </c>
      <c r="Y2988" s="53">
        <f>IF(U2988&lt;&gt;0,X2988/U2988,"")</f>
        <v>0.42114805884222134</v>
      </c>
      <c r="Z2988" s="23">
        <v>546.13</v>
      </c>
      <c r="AA2988" s="25">
        <v>144</v>
      </c>
      <c r="AB2988" s="24">
        <v>309.68</v>
      </c>
      <c r="AC2988" s="24">
        <f t="shared" si="812"/>
        <v>236.45</v>
      </c>
      <c r="AD2988" s="53">
        <f t="shared" si="813"/>
        <v>0.43295552341017707</v>
      </c>
      <c r="AE2988" s="10"/>
    </row>
    <row r="2989" spans="1:31" x14ac:dyDescent="0.25">
      <c r="A2989" s="14" t="s">
        <v>109</v>
      </c>
      <c r="C2989" s="61" t="str">
        <f t="shared" si="811"/>
        <v>C100144</v>
      </c>
      <c r="F2989" s="8" t="str">
        <f>"E100043"</f>
        <v>E100043</v>
      </c>
      <c r="G2989" s="9" t="str">
        <f>"Pub Glass"</f>
        <v>Pub Glass</v>
      </c>
      <c r="H2989" s="47"/>
      <c r="I2989" s="47"/>
      <c r="J2989" s="23">
        <v>200.39000000000001</v>
      </c>
      <c r="K2989" s="25">
        <v>144</v>
      </c>
      <c r="L2989" s="24">
        <v>133.94999999999999</v>
      </c>
      <c r="M2989" s="24">
        <f>J2989-L2989</f>
        <v>66.440000000000026</v>
      </c>
      <c r="N2989" s="53">
        <f>IF(J2989&lt;&gt;0,M2989/J2989,"")</f>
        <v>0.33155347073207259</v>
      </c>
      <c r="O2989" s="23">
        <v>0</v>
      </c>
      <c r="P2989" s="25">
        <v>0</v>
      </c>
      <c r="Q2989" s="24">
        <v>0</v>
      </c>
      <c r="R2989" s="24">
        <f>O2989-Q2989</f>
        <v>0</v>
      </c>
      <c r="S2989" s="53" t="str">
        <f>IF(O2989&lt;&gt;0,R2989/O2989,"")</f>
        <v/>
      </c>
      <c r="T2989" s="10"/>
      <c r="U2989" s="23">
        <v>196.3</v>
      </c>
      <c r="V2989" s="25">
        <v>144</v>
      </c>
      <c r="W2989" s="24">
        <v>133.94999999999999</v>
      </c>
      <c r="X2989" s="24">
        <f>U2989-W2989</f>
        <v>62.350000000000023</v>
      </c>
      <c r="Y2989" s="53">
        <f>IF(U2989&lt;&gt;0,X2989/U2989,"")</f>
        <v>0.3176260825267449</v>
      </c>
      <c r="Z2989" s="23">
        <v>200.39000000000001</v>
      </c>
      <c r="AA2989" s="25">
        <v>144</v>
      </c>
      <c r="AB2989" s="24">
        <v>133.94999999999999</v>
      </c>
      <c r="AC2989" s="24">
        <f t="shared" si="812"/>
        <v>66.440000000000026</v>
      </c>
      <c r="AD2989" s="53">
        <f t="shared" si="813"/>
        <v>0.33155347073207259</v>
      </c>
      <c r="AE2989" s="10"/>
    </row>
    <row r="2990" spans="1:31" x14ac:dyDescent="0.25">
      <c r="A2990" s="14" t="s">
        <v>109</v>
      </c>
      <c r="C2990" s="61" t="str">
        <f t="shared" si="811"/>
        <v>C100144</v>
      </c>
      <c r="F2990" s="8" t="str">
        <f>"E100044"</f>
        <v>E100044</v>
      </c>
      <c r="G2990" s="9" t="str">
        <f>"Juice Glass"</f>
        <v>Juice Glass</v>
      </c>
      <c r="H2990" s="47"/>
      <c r="I2990" s="47"/>
      <c r="J2990" s="23">
        <v>163.69999999999999</v>
      </c>
      <c r="K2990" s="25">
        <v>288</v>
      </c>
      <c r="L2990" s="24">
        <v>109.61999999999999</v>
      </c>
      <c r="M2990" s="24">
        <f>J2990-L2990</f>
        <v>54.08</v>
      </c>
      <c r="N2990" s="53">
        <f>IF(J2990&lt;&gt;0,M2990/J2990,"")</f>
        <v>0.33036041539401345</v>
      </c>
      <c r="O2990" s="23">
        <v>0</v>
      </c>
      <c r="P2990" s="25">
        <v>0</v>
      </c>
      <c r="Q2990" s="24">
        <v>0</v>
      </c>
      <c r="R2990" s="24">
        <f>O2990-Q2990</f>
        <v>0</v>
      </c>
      <c r="S2990" s="53" t="str">
        <f>IF(O2990&lt;&gt;0,R2990/O2990,"")</f>
        <v/>
      </c>
      <c r="T2990" s="10"/>
      <c r="U2990" s="23">
        <v>1.1200000000000001</v>
      </c>
      <c r="V2990" s="25">
        <v>2</v>
      </c>
      <c r="W2990" s="24">
        <v>0.76</v>
      </c>
      <c r="X2990" s="24">
        <f>U2990-W2990</f>
        <v>0.3600000000000001</v>
      </c>
      <c r="Y2990" s="53">
        <f>IF(U2990&lt;&gt;0,X2990/U2990,"")</f>
        <v>0.32142857142857151</v>
      </c>
      <c r="Z2990" s="23">
        <v>0</v>
      </c>
      <c r="AA2990" s="25">
        <v>0</v>
      </c>
      <c r="AB2990" s="24">
        <v>0</v>
      </c>
      <c r="AC2990" s="24">
        <f t="shared" si="812"/>
        <v>0</v>
      </c>
      <c r="AD2990" s="53" t="str">
        <f t="shared" si="813"/>
        <v/>
      </c>
      <c r="AE2990" s="10"/>
    </row>
    <row r="2991" spans="1:31" x14ac:dyDescent="0.25">
      <c r="A2991" s="14" t="s">
        <v>109</v>
      </c>
      <c r="C2991" s="61" t="str">
        <f t="shared" si="811"/>
        <v>C100144</v>
      </c>
      <c r="F2991" s="8" t="str">
        <f>"E100046"</f>
        <v>E100046</v>
      </c>
      <c r="G2991" s="9" t="str">
        <f>"Milk Bottle"</f>
        <v>Milk Bottle</v>
      </c>
      <c r="H2991" s="47"/>
      <c r="I2991" s="47"/>
      <c r="J2991" s="23">
        <v>87.49</v>
      </c>
      <c r="K2991" s="25">
        <v>48</v>
      </c>
      <c r="L2991" s="24">
        <v>49.89</v>
      </c>
      <c r="M2991" s="24">
        <f>J2991-L2991</f>
        <v>37.599999999999994</v>
      </c>
      <c r="N2991" s="53">
        <f>IF(J2991&lt;&gt;0,M2991/J2991,"")</f>
        <v>0.42976340153160358</v>
      </c>
      <c r="O2991" s="23">
        <v>0</v>
      </c>
      <c r="P2991" s="25">
        <v>0</v>
      </c>
      <c r="Q2991" s="24">
        <v>0</v>
      </c>
      <c r="R2991" s="24">
        <f>O2991-Q2991</f>
        <v>0</v>
      </c>
      <c r="S2991" s="53" t="str">
        <f>IF(O2991&lt;&gt;0,R2991/O2991,"")</f>
        <v/>
      </c>
      <c r="T2991" s="10"/>
      <c r="U2991" s="23">
        <v>257.13</v>
      </c>
      <c r="V2991" s="25">
        <v>144</v>
      </c>
      <c r="W2991" s="24">
        <v>149.67000000000002</v>
      </c>
      <c r="X2991" s="24">
        <f>U2991-W2991</f>
        <v>107.45999999999998</v>
      </c>
      <c r="Y2991" s="53">
        <f>IF(U2991&lt;&gt;0,X2991/U2991,"")</f>
        <v>0.41792089604480215</v>
      </c>
      <c r="Z2991" s="23">
        <v>0</v>
      </c>
      <c r="AA2991" s="25">
        <v>0</v>
      </c>
      <c r="AB2991" s="24">
        <v>0</v>
      </c>
      <c r="AC2991" s="24">
        <f t="shared" si="812"/>
        <v>0</v>
      </c>
      <c r="AD2991" s="53" t="str">
        <f t="shared" si="813"/>
        <v/>
      </c>
      <c r="AE2991" s="10"/>
    </row>
    <row r="2992" spans="1:31" x14ac:dyDescent="0.25">
      <c r="A2992" s="14" t="s">
        <v>109</v>
      </c>
      <c r="C2992" s="61" t="str">
        <f t="shared" si="811"/>
        <v>C100144</v>
      </c>
      <c r="F2992" s="8" t="str">
        <f>"S100003"</f>
        <v>S100003</v>
      </c>
      <c r="G2992" s="9" t="str">
        <f>"Soccer #1 Pin"</f>
        <v>Soccer #1 Pin</v>
      </c>
      <c r="H2992" s="47"/>
      <c r="I2992" s="47"/>
      <c r="J2992" s="23">
        <v>1.47</v>
      </c>
      <c r="K2992" s="25">
        <v>1</v>
      </c>
      <c r="L2992" s="24">
        <v>0.9</v>
      </c>
      <c r="M2992" s="24">
        <f>J2992-L2992</f>
        <v>0.56999999999999995</v>
      </c>
      <c r="N2992" s="53">
        <f>IF(J2992&lt;&gt;0,M2992/J2992,"")</f>
        <v>0.38775510204081631</v>
      </c>
      <c r="O2992" s="23">
        <v>0</v>
      </c>
      <c r="P2992" s="25">
        <v>0</v>
      </c>
      <c r="Q2992" s="24">
        <v>0</v>
      </c>
      <c r="R2992" s="24">
        <f>O2992-Q2992</f>
        <v>0</v>
      </c>
      <c r="S2992" s="53" t="str">
        <f>IF(O2992&lt;&gt;0,R2992/O2992,"")</f>
        <v/>
      </c>
      <c r="T2992" s="10"/>
      <c r="U2992" s="23">
        <v>224.82</v>
      </c>
      <c r="V2992" s="25">
        <v>156</v>
      </c>
      <c r="W2992" s="24">
        <v>140.4</v>
      </c>
      <c r="X2992" s="24">
        <f>U2992-W2992</f>
        <v>84.419999999999987</v>
      </c>
      <c r="Y2992" s="53">
        <f>IF(U2992&lt;&gt;0,X2992/U2992,"")</f>
        <v>0.37550040032025617</v>
      </c>
      <c r="Z2992" s="23">
        <v>213.15</v>
      </c>
      <c r="AA2992" s="25">
        <v>145</v>
      </c>
      <c r="AB2992" s="24">
        <v>130.5</v>
      </c>
      <c r="AC2992" s="24">
        <f t="shared" si="812"/>
        <v>82.65</v>
      </c>
      <c r="AD2992" s="53">
        <f t="shared" si="813"/>
        <v>0.38775510204081637</v>
      </c>
      <c r="AE2992" s="10"/>
    </row>
    <row r="2993" spans="1:31" x14ac:dyDescent="0.25">
      <c r="A2993" s="14" t="s">
        <v>109</v>
      </c>
      <c r="C2993" s="61" t="str">
        <f t="shared" si="811"/>
        <v>C100144</v>
      </c>
      <c r="F2993" s="8" t="str">
        <f>"S100011"</f>
        <v>S100011</v>
      </c>
      <c r="G2993" s="9" t="str">
        <f>"All Star Cap"</f>
        <v>All Star Cap</v>
      </c>
      <c r="H2993" s="47"/>
      <c r="I2993" s="47"/>
      <c r="J2993" s="23">
        <v>-1.39</v>
      </c>
      <c r="K2993" s="25">
        <v>-1</v>
      </c>
      <c r="L2993" s="24">
        <v>-0.85</v>
      </c>
      <c r="M2993" s="24">
        <f>J2993-L2993</f>
        <v>-0.53999999999999992</v>
      </c>
      <c r="N2993" s="53">
        <f>IF(J2993&lt;&gt;0,M2993/J2993,"")</f>
        <v>0.3884892086330935</v>
      </c>
      <c r="O2993" s="23">
        <v>0</v>
      </c>
      <c r="P2993" s="25">
        <v>0</v>
      </c>
      <c r="Q2993" s="24">
        <v>0</v>
      </c>
      <c r="R2993" s="24">
        <f>O2993-Q2993</f>
        <v>0</v>
      </c>
      <c r="S2993" s="53" t="str">
        <f>IF(O2993&lt;&gt;0,R2993/O2993,"")</f>
        <v/>
      </c>
      <c r="T2993" s="10"/>
      <c r="U2993" s="23">
        <v>200.45</v>
      </c>
      <c r="V2993" s="25">
        <v>144</v>
      </c>
      <c r="W2993" s="24">
        <v>122.41</v>
      </c>
      <c r="X2993" s="24">
        <f>U2993-W2993</f>
        <v>78.039999999999992</v>
      </c>
      <c r="Y2993" s="53">
        <f>IF(U2993&lt;&gt;0,X2993/U2993,"")</f>
        <v>0.38932402095285606</v>
      </c>
      <c r="Z2993" s="23">
        <v>204.62</v>
      </c>
      <c r="AA2993" s="25">
        <v>144</v>
      </c>
      <c r="AB2993" s="24">
        <v>122.41</v>
      </c>
      <c r="AC2993" s="24">
        <f t="shared" si="812"/>
        <v>82.210000000000008</v>
      </c>
      <c r="AD2993" s="53">
        <f t="shared" si="813"/>
        <v>0.40176913302707462</v>
      </c>
      <c r="AE2993" s="10"/>
    </row>
    <row r="2994" spans="1:31" x14ac:dyDescent="0.25">
      <c r="A2994" s="14" t="s">
        <v>109</v>
      </c>
      <c r="C2994" s="61" t="str">
        <f t="shared" si="811"/>
        <v>C100144</v>
      </c>
      <c r="F2994" s="8" t="str">
        <f>"S100016"</f>
        <v>S100016</v>
      </c>
      <c r="G2994" s="9" t="str">
        <f>"Mesh Bucket Hat"</f>
        <v>Mesh Bucket Hat</v>
      </c>
      <c r="H2994" s="47"/>
      <c r="I2994" s="47"/>
      <c r="J2994" s="23">
        <v>702.78</v>
      </c>
      <c r="K2994" s="25">
        <v>144</v>
      </c>
      <c r="L2994" s="24">
        <v>396.01</v>
      </c>
      <c r="M2994" s="24">
        <f>J2994-L2994</f>
        <v>306.77</v>
      </c>
      <c r="N2994" s="53">
        <f>IF(J2994&lt;&gt;0,M2994/J2994,"")</f>
        <v>0.43650929167022395</v>
      </c>
      <c r="O2994" s="23">
        <v>0</v>
      </c>
      <c r="P2994" s="25">
        <v>0</v>
      </c>
      <c r="Q2994" s="24">
        <v>0</v>
      </c>
      <c r="R2994" s="24">
        <f>O2994-Q2994</f>
        <v>0</v>
      </c>
      <c r="S2994" s="53" t="str">
        <f>IF(O2994&lt;&gt;0,R2994/O2994,"")</f>
        <v/>
      </c>
      <c r="T2994" s="10"/>
      <c r="U2994" s="23">
        <v>695.61</v>
      </c>
      <c r="V2994" s="25">
        <v>144</v>
      </c>
      <c r="W2994" s="24">
        <v>396.01</v>
      </c>
      <c r="X2994" s="24">
        <f>U2994-W2994</f>
        <v>299.60000000000002</v>
      </c>
      <c r="Y2994" s="53">
        <f>IF(U2994&lt;&gt;0,X2994/U2994,"")</f>
        <v>0.43070111125486987</v>
      </c>
      <c r="Z2994" s="23">
        <v>0</v>
      </c>
      <c r="AA2994" s="25">
        <v>0</v>
      </c>
      <c r="AB2994" s="24">
        <v>0</v>
      </c>
      <c r="AC2994" s="24">
        <f t="shared" si="812"/>
        <v>0</v>
      </c>
      <c r="AD2994" s="53" t="str">
        <f t="shared" si="813"/>
        <v/>
      </c>
      <c r="AE2994" s="10"/>
    </row>
    <row r="2995" spans="1:31" x14ac:dyDescent="0.25">
      <c r="A2995" s="14" t="s">
        <v>109</v>
      </c>
      <c r="C2995" s="61" t="str">
        <f t="shared" si="811"/>
        <v>C100144</v>
      </c>
      <c r="F2995" s="8" t="str">
        <f>"S100019"</f>
        <v>S100019</v>
      </c>
      <c r="G2995" s="9" t="str">
        <f>"Sportsman Bucket Hat"</f>
        <v>Sportsman Bucket Hat</v>
      </c>
      <c r="H2995" s="47"/>
      <c r="I2995" s="47"/>
      <c r="J2995" s="23">
        <v>647.74</v>
      </c>
      <c r="K2995" s="25">
        <v>144</v>
      </c>
      <c r="L2995" s="24">
        <v>349.93</v>
      </c>
      <c r="M2995" s="24">
        <f>J2995-L2995</f>
        <v>297.81</v>
      </c>
      <c r="N2995" s="53">
        <f>IF(J2995&lt;&gt;0,M2995/J2995,"")</f>
        <v>0.45976780807113965</v>
      </c>
      <c r="O2995" s="23">
        <v>0</v>
      </c>
      <c r="P2995" s="25">
        <v>0</v>
      </c>
      <c r="Q2995" s="24">
        <v>0</v>
      </c>
      <c r="R2995" s="24">
        <f>O2995-Q2995</f>
        <v>0</v>
      </c>
      <c r="S2995" s="53" t="str">
        <f>IF(O2995&lt;&gt;0,R2995/O2995,"")</f>
        <v/>
      </c>
      <c r="T2995" s="10"/>
      <c r="U2995" s="23">
        <v>0</v>
      </c>
      <c r="V2995" s="25">
        <v>0</v>
      </c>
      <c r="W2995" s="24">
        <v>0</v>
      </c>
      <c r="X2995" s="24">
        <f>U2995-W2995</f>
        <v>0</v>
      </c>
      <c r="Y2995" s="53" t="str">
        <f>IF(U2995&lt;&gt;0,X2995/U2995,"")</f>
        <v/>
      </c>
      <c r="Z2995" s="23">
        <v>0</v>
      </c>
      <c r="AA2995" s="25">
        <v>0</v>
      </c>
      <c r="AB2995" s="24">
        <v>0</v>
      </c>
      <c r="AC2995" s="24">
        <f t="shared" si="812"/>
        <v>0</v>
      </c>
      <c r="AD2995" s="53" t="str">
        <f t="shared" si="813"/>
        <v/>
      </c>
      <c r="AE2995" s="10"/>
    </row>
    <row r="2996" spans="1:31" x14ac:dyDescent="0.25">
      <c r="A2996" s="14" t="s">
        <v>109</v>
      </c>
      <c r="C2996" s="61" t="str">
        <f t="shared" si="811"/>
        <v>C100144</v>
      </c>
      <c r="F2996" s="8" t="str">
        <f>"S100023"</f>
        <v>S100023</v>
      </c>
      <c r="G2996" s="9" t="str">
        <f>"Gripper SPORT BOT"</f>
        <v>Gripper SPORT BOT</v>
      </c>
      <c r="H2996" s="47"/>
      <c r="I2996" s="47"/>
      <c r="J2996" s="23">
        <v>280.83000000000004</v>
      </c>
      <c r="K2996" s="25">
        <v>144</v>
      </c>
      <c r="L2996" s="24">
        <v>142.57999999999998</v>
      </c>
      <c r="M2996" s="24">
        <f>J2996-L2996</f>
        <v>138.25000000000006</v>
      </c>
      <c r="N2996" s="53">
        <f>IF(J2996&lt;&gt;0,M2996/J2996,"")</f>
        <v>0.49229070968201416</v>
      </c>
      <c r="O2996" s="23">
        <v>0</v>
      </c>
      <c r="P2996" s="25">
        <v>0</v>
      </c>
      <c r="Q2996" s="24">
        <v>0</v>
      </c>
      <c r="R2996" s="24">
        <f>O2996-Q2996</f>
        <v>0</v>
      </c>
      <c r="S2996" s="53" t="str">
        <f>IF(O2996&lt;&gt;0,R2996/O2996,"")</f>
        <v/>
      </c>
      <c r="T2996" s="10"/>
      <c r="U2996" s="23">
        <v>289.42</v>
      </c>
      <c r="V2996" s="25">
        <v>150</v>
      </c>
      <c r="W2996" s="24">
        <v>148.51999999999998</v>
      </c>
      <c r="X2996" s="24">
        <f>U2996-W2996</f>
        <v>140.90000000000003</v>
      </c>
      <c r="Y2996" s="53">
        <f>IF(U2996&lt;&gt;0,X2996/U2996,"")</f>
        <v>0.48683574044641015</v>
      </c>
      <c r="Z2996" s="23">
        <v>561.66000000000008</v>
      </c>
      <c r="AA2996" s="25">
        <v>288</v>
      </c>
      <c r="AB2996" s="24">
        <v>285.15000000000003</v>
      </c>
      <c r="AC2996" s="24">
        <f t="shared" si="812"/>
        <v>276.51000000000005</v>
      </c>
      <c r="AD2996" s="53">
        <f t="shared" si="813"/>
        <v>0.49230851404764447</v>
      </c>
      <c r="AE2996" s="10"/>
    </row>
    <row r="2997" spans="1:31" x14ac:dyDescent="0.25">
      <c r="A2997" s="14" t="s">
        <v>109</v>
      </c>
      <c r="C2997" s="61" t="str">
        <f t="shared" si="811"/>
        <v>C100144</v>
      </c>
      <c r="F2997" s="8" t="str">
        <f>"S100026"</f>
        <v>S100026</v>
      </c>
      <c r="G2997" s="9" t="str">
        <f>"Wide SPORT BOT"</f>
        <v>Wide SPORT BOT</v>
      </c>
      <c r="H2997" s="47"/>
      <c r="I2997" s="47"/>
      <c r="J2997" s="23">
        <v>1143.07</v>
      </c>
      <c r="K2997" s="25">
        <v>288</v>
      </c>
      <c r="L2997" s="24">
        <v>547.31000000000006</v>
      </c>
      <c r="M2997" s="24">
        <f>J2997-L2997</f>
        <v>595.75999999999988</v>
      </c>
      <c r="N2997" s="53">
        <f>IF(J2997&lt;&gt;0,M2997/J2997,"")</f>
        <v>0.52119292781719395</v>
      </c>
      <c r="O2997" s="23">
        <v>0</v>
      </c>
      <c r="P2997" s="25">
        <v>0</v>
      </c>
      <c r="Q2997" s="24">
        <v>0</v>
      </c>
      <c r="R2997" s="24">
        <f>O2997-Q2997</f>
        <v>0</v>
      </c>
      <c r="S2997" s="53" t="str">
        <f>IF(O2997&lt;&gt;0,R2997/O2997,"")</f>
        <v/>
      </c>
      <c r="T2997" s="10"/>
      <c r="U2997" s="23">
        <v>1125.5700000000002</v>
      </c>
      <c r="V2997" s="25">
        <v>288</v>
      </c>
      <c r="W2997" s="24">
        <v>547.30000000000007</v>
      </c>
      <c r="X2997" s="24">
        <f>U2997-W2997</f>
        <v>578.2700000000001</v>
      </c>
      <c r="Y2997" s="53">
        <f>IF(U2997&lt;&gt;0,X2997/U2997,"")</f>
        <v>0.51375747399095573</v>
      </c>
      <c r="Z2997" s="23">
        <v>0</v>
      </c>
      <c r="AA2997" s="25">
        <v>0</v>
      </c>
      <c r="AB2997" s="24">
        <v>0</v>
      </c>
      <c r="AC2997" s="24">
        <f t="shared" si="812"/>
        <v>0</v>
      </c>
      <c r="AD2997" s="53" t="str">
        <f t="shared" si="813"/>
        <v/>
      </c>
      <c r="AE2997" s="10"/>
    </row>
    <row r="2998" spans="1:31" x14ac:dyDescent="0.25">
      <c r="A2998" s="14" t="s">
        <v>109</v>
      </c>
      <c r="C2998" s="61" t="str">
        <f t="shared" si="811"/>
        <v>C100144</v>
      </c>
      <c r="F2998" s="8" t="str">
        <f>"S200006"</f>
        <v>S200006</v>
      </c>
      <c r="G2998" s="9" t="str">
        <f>"3.75"" Soccer Trophy"</f>
        <v>3.75" Soccer Trophy</v>
      </c>
      <c r="H2998" s="47"/>
      <c r="I2998" s="47"/>
      <c r="J2998" s="23">
        <v>-57.6</v>
      </c>
      <c r="K2998" s="25">
        <v>-6</v>
      </c>
      <c r="L2998" s="24">
        <v>-45.06</v>
      </c>
      <c r="M2998" s="24">
        <f>J2998-L2998</f>
        <v>-12.54</v>
      </c>
      <c r="N2998" s="53">
        <f>IF(J2998&lt;&gt;0,M2998/J2998,"")</f>
        <v>0.21770833333333331</v>
      </c>
      <c r="O2998" s="23">
        <v>0</v>
      </c>
      <c r="P2998" s="25">
        <v>0</v>
      </c>
      <c r="Q2998" s="24">
        <v>0</v>
      </c>
      <c r="R2998" s="24">
        <f>O2998-Q2998</f>
        <v>0</v>
      </c>
      <c r="S2998" s="53" t="str">
        <f>IF(O2998&lt;&gt;0,R2998/O2998,"")</f>
        <v/>
      </c>
      <c r="T2998" s="10"/>
      <c r="U2998" s="23">
        <v>1396.8</v>
      </c>
      <c r="V2998" s="25">
        <v>144</v>
      </c>
      <c r="W2998" s="24">
        <v>1081.44</v>
      </c>
      <c r="X2998" s="24">
        <f>U2998-W2998</f>
        <v>315.3599999999999</v>
      </c>
      <c r="Y2998" s="53">
        <f>IF(U2998&lt;&gt;0,X2998/U2998,"")</f>
        <v>0.22577319587628861</v>
      </c>
      <c r="Z2998" s="23">
        <v>0</v>
      </c>
      <c r="AA2998" s="25">
        <v>0</v>
      </c>
      <c r="AB2998" s="24">
        <v>0</v>
      </c>
      <c r="AC2998" s="24">
        <f t="shared" si="812"/>
        <v>0</v>
      </c>
      <c r="AD2998" s="53" t="str">
        <f t="shared" si="813"/>
        <v/>
      </c>
      <c r="AE2998" s="10"/>
    </row>
    <row r="2999" spans="1:31" ht="15.75" thickBot="1" x14ac:dyDescent="0.3">
      <c r="A2999" s="14" t="s">
        <v>109</v>
      </c>
      <c r="C2999" s="61" t="str">
        <f>C2964</f>
        <v>C100144</v>
      </c>
      <c r="J2999" s="10"/>
      <c r="K2999" s="11"/>
      <c r="L2999" s="11"/>
      <c r="M2999" s="11"/>
      <c r="N2999" s="12"/>
      <c r="O2999" s="10"/>
      <c r="P2999" s="11"/>
      <c r="Q2999" s="11"/>
      <c r="R2999" s="11"/>
      <c r="S2999" s="12"/>
      <c r="U2999" s="10"/>
      <c r="V2999" s="11"/>
      <c r="W2999" s="11"/>
      <c r="X2999" s="11"/>
      <c r="Y2999" s="12"/>
      <c r="Z2999" s="10"/>
      <c r="AA2999" s="11"/>
      <c r="AB2999" s="11"/>
      <c r="AC2999" s="11"/>
      <c r="AD2999" s="12"/>
    </row>
    <row r="3000" spans="1:31" ht="15.75" thickBot="1" x14ac:dyDescent="0.3">
      <c r="A3000" s="14" t="s">
        <v>109</v>
      </c>
      <c r="C3000" s="61" t="str">
        <f t="shared" si="808"/>
        <v>C100144</v>
      </c>
      <c r="G3000" s="48" t="str">
        <f>C3000&amp;" TOTAL:"</f>
        <v>C100144 TOTAL:</v>
      </c>
      <c r="H3000" s="50"/>
      <c r="I3000" s="50"/>
      <c r="J3000" s="34">
        <f>SUBTOTAL(9,J2963:J2999)</f>
        <v>10097.229999999998</v>
      </c>
      <c r="K3000" s="35">
        <f>SUBTOTAL(9,K2963:K2999)</f>
        <v>4784</v>
      </c>
      <c r="L3000" s="36">
        <f>SUBTOTAL(9,L2963:L2999)</f>
        <v>5362.4800000000005</v>
      </c>
      <c r="M3000" s="36">
        <f>J3000-L3000</f>
        <v>4734.7499999999973</v>
      </c>
      <c r="N3000" s="37">
        <f>IF(J3000&lt;&gt;0,M3000/J3000,"")</f>
        <v>0.46891573233451139</v>
      </c>
      <c r="O3000" s="34">
        <f>SUBTOTAL(9,O2963:O2999)</f>
        <v>0</v>
      </c>
      <c r="P3000" s="35">
        <f>SUBTOTAL(9,P2963:P2999)</f>
        <v>0</v>
      </c>
      <c r="Q3000" s="36">
        <f>SUBTOTAL(9,Q2963:Q2999)</f>
        <v>0</v>
      </c>
      <c r="R3000" s="36">
        <f>O3000-Q3000</f>
        <v>0</v>
      </c>
      <c r="S3000" s="37" t="str">
        <f>IF(O3000&lt;&gt;0,R3000/O3000,"")</f>
        <v/>
      </c>
      <c r="U3000" s="34">
        <f>SUBTOTAL(9,U2963:U2999)</f>
        <v>6839.53</v>
      </c>
      <c r="V3000" s="35">
        <f>SUBTOTAL(9,V2963:V2999)</f>
        <v>2245</v>
      </c>
      <c r="W3000" s="36">
        <f>SUBTOTAL(9,W2963:W2999)</f>
        <v>4067.2300000000005</v>
      </c>
      <c r="X3000" s="36">
        <f>U3000-W3000</f>
        <v>2772.2999999999993</v>
      </c>
      <c r="Y3000" s="37">
        <f>IF(U3000&lt;&gt;0,X3000/U3000,"")</f>
        <v>0.40533486950126679</v>
      </c>
      <c r="Z3000" s="34">
        <f>SUBTOTAL(9,Z2963:Z2999)</f>
        <v>4196.6799999999994</v>
      </c>
      <c r="AA3000" s="35">
        <f>SUBTOTAL(9,AA2963:AA2999)</f>
        <v>1875</v>
      </c>
      <c r="AB3000" s="36">
        <f>SUBTOTAL(9,AB2963:AB2999)</f>
        <v>2275.4</v>
      </c>
      <c r="AC3000" s="36">
        <f t="shared" ref="AC3000" si="814">Z3000-AB3000</f>
        <v>1921.2799999999993</v>
      </c>
      <c r="AD3000" s="37">
        <f t="shared" ref="AD3000" si="815">IF(Z3000&lt;&gt;0,AC3000/Z3000,"")</f>
        <v>0.4578095065623301</v>
      </c>
    </row>
    <row r="3001" spans="1:31" x14ac:dyDescent="0.25">
      <c r="A3001" s="14" t="s">
        <v>109</v>
      </c>
      <c r="C3001" s="66"/>
      <c r="J3001" s="10"/>
      <c r="K3001" s="11"/>
      <c r="L3001" s="11"/>
      <c r="M3001" s="11"/>
      <c r="N3001" s="12"/>
      <c r="O3001" s="10"/>
      <c r="P3001" s="11"/>
      <c r="Q3001" s="11"/>
      <c r="R3001" s="11"/>
      <c r="S3001" s="12"/>
      <c r="U3001" s="10"/>
      <c r="V3001" s="11"/>
      <c r="W3001" s="11"/>
      <c r="X3001" s="11"/>
      <c r="Y3001" s="12"/>
      <c r="Z3001" s="10"/>
      <c r="AA3001" s="11"/>
      <c r="AB3001" s="11"/>
      <c r="AC3001" s="11"/>
      <c r="AD3001" s="12"/>
    </row>
    <row r="3002" spans="1:31" ht="15.75" x14ac:dyDescent="0.25">
      <c r="A3002" s="14" t="s">
        <v>109</v>
      </c>
      <c r="C3002" s="66" t="str">
        <f t="shared" ref="C3002" si="816">E3002</f>
        <v>C100145</v>
      </c>
      <c r="E3002" s="13" t="str">
        <f>"C100145"</f>
        <v>C100145</v>
      </c>
      <c r="F3002" s="13"/>
      <c r="G3002" s="13" t="str">
        <f>"Dicon Industries"</f>
        <v>Dicon Industries</v>
      </c>
      <c r="H3002" s="13"/>
      <c r="I3002" s="13"/>
      <c r="J3002" s="10"/>
      <c r="K3002" s="11"/>
      <c r="L3002" s="11"/>
      <c r="M3002" s="11"/>
      <c r="N3002" s="12"/>
      <c r="O3002" s="10"/>
      <c r="P3002" s="11"/>
      <c r="Q3002" s="11"/>
      <c r="R3002" s="11"/>
      <c r="S3002" s="12"/>
      <c r="U3002" s="10"/>
      <c r="V3002" s="11"/>
      <c r="W3002" s="11"/>
      <c r="X3002" s="11"/>
      <c r="Y3002" s="12"/>
      <c r="Z3002" s="10"/>
      <c r="AA3002" s="11"/>
      <c r="AB3002" s="11"/>
      <c r="AC3002" s="11"/>
      <c r="AD3002" s="12"/>
    </row>
    <row r="3003" spans="1:31" ht="6.6" customHeight="1" x14ac:dyDescent="0.25">
      <c r="A3003" s="14" t="s">
        <v>109</v>
      </c>
      <c r="C3003" s="61" t="str">
        <f t="shared" ref="C3003:C3050" si="817">C3002</f>
        <v>C100145</v>
      </c>
      <c r="J3003" s="10"/>
      <c r="K3003" s="11"/>
      <c r="L3003" s="11"/>
      <c r="M3003" s="11"/>
      <c r="N3003" s="12"/>
      <c r="O3003" s="10"/>
      <c r="P3003" s="11"/>
      <c r="Q3003" s="11"/>
      <c r="R3003" s="11"/>
      <c r="S3003" s="12"/>
      <c r="U3003" s="10"/>
      <c r="V3003" s="11"/>
      <c r="W3003" s="11"/>
      <c r="X3003" s="11"/>
      <c r="Y3003" s="12"/>
      <c r="Z3003" s="10"/>
      <c r="AA3003" s="11"/>
      <c r="AB3003" s="11"/>
      <c r="AC3003" s="11"/>
      <c r="AD3003" s="12"/>
    </row>
    <row r="3004" spans="1:31" x14ac:dyDescent="0.25">
      <c r="A3004" s="14" t="s">
        <v>109</v>
      </c>
      <c r="C3004" s="61" t="str">
        <f t="shared" si="817"/>
        <v>C100145</v>
      </c>
      <c r="F3004" s="8" t="str">
        <f>"C100004"</f>
        <v>C100004</v>
      </c>
      <c r="G3004" s="9" t="str">
        <f>"Walnut Medallian Plate"</f>
        <v>Walnut Medallian Plate</v>
      </c>
      <c r="H3004" s="47"/>
      <c r="I3004" s="47"/>
      <c r="J3004" s="23">
        <v>0</v>
      </c>
      <c r="K3004" s="25">
        <v>0</v>
      </c>
      <c r="L3004" s="24">
        <v>0</v>
      </c>
      <c r="M3004" s="24">
        <f>J3004-L3004</f>
        <v>0</v>
      </c>
      <c r="N3004" s="53" t="str">
        <f>IF(J3004&lt;&gt;0,M3004/J3004,"")</f>
        <v/>
      </c>
      <c r="O3004" s="23">
        <v>16411.849999999999</v>
      </c>
      <c r="P3004" s="25">
        <v>288</v>
      </c>
      <c r="Q3004" s="24">
        <v>8812.7799999999988</v>
      </c>
      <c r="R3004" s="24">
        <f>O3004-Q3004</f>
        <v>7599.07</v>
      </c>
      <c r="S3004" s="53">
        <f>IF(O3004&lt;&gt;0,R3004/O3004,"")</f>
        <v>0.46302336421549067</v>
      </c>
      <c r="T3004" s="10"/>
      <c r="U3004" s="23">
        <v>696.89</v>
      </c>
      <c r="V3004" s="25">
        <v>13</v>
      </c>
      <c r="W3004" s="24">
        <v>397.8</v>
      </c>
      <c r="X3004" s="24">
        <f>U3004-W3004</f>
        <v>299.08999999999997</v>
      </c>
      <c r="Y3004" s="53">
        <f>IF(U3004&lt;&gt;0,X3004/U3004,"")</f>
        <v>0.42917820602964596</v>
      </c>
      <c r="Z3004" s="23">
        <v>0</v>
      </c>
      <c r="AA3004" s="25">
        <v>0</v>
      </c>
      <c r="AB3004" s="24">
        <v>0</v>
      </c>
      <c r="AC3004" s="24">
        <f t="shared" ref="AC3004" si="818">Z3004-AB3004</f>
        <v>0</v>
      </c>
      <c r="AD3004" s="53" t="str">
        <f t="shared" ref="AD3004" si="819">IF(Z3004&lt;&gt;0,AC3004/Z3004,"")</f>
        <v/>
      </c>
      <c r="AE3004" s="10"/>
    </row>
    <row r="3005" spans="1:31" x14ac:dyDescent="0.25">
      <c r="A3005" s="14" t="s">
        <v>109</v>
      </c>
      <c r="C3005" s="61" t="str">
        <f t="shared" ref="C3005:C3048" si="820">C3004</f>
        <v>C100145</v>
      </c>
      <c r="F3005" s="8" t="str">
        <f>"C100005"</f>
        <v>C100005</v>
      </c>
      <c r="G3005" s="9" t="str">
        <f>"Cherry Finished Crystal Award"</f>
        <v>Cherry Finished Crystal Award</v>
      </c>
      <c r="H3005" s="47"/>
      <c r="I3005" s="47"/>
      <c r="J3005" s="23">
        <v>5938.93</v>
      </c>
      <c r="K3005" s="25">
        <v>48</v>
      </c>
      <c r="L3005" s="24">
        <v>3404.64</v>
      </c>
      <c r="M3005" s="24">
        <f>J3005-L3005</f>
        <v>2534.2900000000004</v>
      </c>
      <c r="N3005" s="53">
        <f>IF(J3005&lt;&gt;0,M3005/J3005,"")</f>
        <v>0.42672501612243285</v>
      </c>
      <c r="O3005" s="23">
        <v>0</v>
      </c>
      <c r="P3005" s="25">
        <v>0</v>
      </c>
      <c r="Q3005" s="24">
        <v>0</v>
      </c>
      <c r="R3005" s="24">
        <f>O3005-Q3005</f>
        <v>0</v>
      </c>
      <c r="S3005" s="53" t="str">
        <f>IF(O3005&lt;&gt;0,R3005/O3005,"")</f>
        <v/>
      </c>
      <c r="T3005" s="10"/>
      <c r="U3005" s="23">
        <v>6539.4999999999991</v>
      </c>
      <c r="V3005" s="25">
        <v>48</v>
      </c>
      <c r="W3005" s="24">
        <v>3404.64</v>
      </c>
      <c r="X3005" s="24">
        <f>U3005-W3005</f>
        <v>3134.8599999999992</v>
      </c>
      <c r="Y3005" s="53">
        <f>IF(U3005&lt;&gt;0,X3005/U3005,"")</f>
        <v>0.47937304075235104</v>
      </c>
      <c r="Z3005" s="23">
        <v>0</v>
      </c>
      <c r="AA3005" s="25">
        <v>0</v>
      </c>
      <c r="AB3005" s="24">
        <v>0</v>
      </c>
      <c r="AC3005" s="24">
        <f t="shared" ref="AC3005:AC3048" si="821">Z3005-AB3005</f>
        <v>0</v>
      </c>
      <c r="AD3005" s="53" t="str">
        <f t="shared" ref="AD3005:AD3048" si="822">IF(Z3005&lt;&gt;0,AC3005/Z3005,"")</f>
        <v/>
      </c>
      <c r="AE3005" s="10"/>
    </row>
    <row r="3006" spans="1:31" x14ac:dyDescent="0.25">
      <c r="A3006" s="14" t="s">
        <v>109</v>
      </c>
      <c r="C3006" s="61" t="str">
        <f t="shared" si="820"/>
        <v>C100145</v>
      </c>
      <c r="F3006" s="8" t="str">
        <f>"C100006"</f>
        <v>C100006</v>
      </c>
      <c r="G3006" s="9" t="str">
        <f>"Cherry Finished Crystal Award- Large"</f>
        <v>Cherry Finished Crystal Award- Large</v>
      </c>
      <c r="H3006" s="47"/>
      <c r="I3006" s="47"/>
      <c r="J3006" s="23">
        <v>9634.869999999999</v>
      </c>
      <c r="K3006" s="25">
        <v>48</v>
      </c>
      <c r="L3006" s="24">
        <v>4561.92</v>
      </c>
      <c r="M3006" s="24">
        <f>J3006-L3006</f>
        <v>5072.9499999999989</v>
      </c>
      <c r="N3006" s="53">
        <f>IF(J3006&lt;&gt;0,M3006/J3006,"")</f>
        <v>0.52651981811897819</v>
      </c>
      <c r="O3006" s="23">
        <v>14602.85</v>
      </c>
      <c r="P3006" s="25">
        <v>72</v>
      </c>
      <c r="Q3006" s="24">
        <v>6842.8799999999992</v>
      </c>
      <c r="R3006" s="24">
        <f>O3006-Q3006</f>
        <v>7759.9700000000012</v>
      </c>
      <c r="S3006" s="53">
        <f>IF(O3006&lt;&gt;0,R3006/O3006,"")</f>
        <v>0.53140106212143523</v>
      </c>
      <c r="T3006" s="10"/>
      <c r="U3006" s="23">
        <v>20147.91</v>
      </c>
      <c r="V3006" s="25">
        <v>102</v>
      </c>
      <c r="W3006" s="24">
        <v>9694.08</v>
      </c>
      <c r="X3006" s="24">
        <f>U3006-W3006</f>
        <v>10453.83</v>
      </c>
      <c r="Y3006" s="53">
        <f>IF(U3006&lt;&gt;0,X3006/U3006,"")</f>
        <v>0.51885431292873552</v>
      </c>
      <c r="Z3006" s="23">
        <v>0</v>
      </c>
      <c r="AA3006" s="25">
        <v>0</v>
      </c>
      <c r="AB3006" s="24">
        <v>0</v>
      </c>
      <c r="AC3006" s="24">
        <f t="shared" si="821"/>
        <v>0</v>
      </c>
      <c r="AD3006" s="53" t="str">
        <f t="shared" si="822"/>
        <v/>
      </c>
      <c r="AE3006" s="10"/>
    </row>
    <row r="3007" spans="1:31" x14ac:dyDescent="0.25">
      <c r="A3007" s="14" t="s">
        <v>109</v>
      </c>
      <c r="C3007" s="61" t="str">
        <f t="shared" si="820"/>
        <v>C100145</v>
      </c>
      <c r="F3007" s="8" t="str">
        <f>"C100017"</f>
        <v>C100017</v>
      </c>
      <c r="G3007" s="9" t="str">
        <f>"Wheeled Duffel"</f>
        <v>Wheeled Duffel</v>
      </c>
      <c r="H3007" s="47"/>
      <c r="I3007" s="47"/>
      <c r="J3007" s="23">
        <v>17631.690000000002</v>
      </c>
      <c r="K3007" s="25">
        <v>96</v>
      </c>
      <c r="L3007" s="24">
        <v>9717.1200000000008</v>
      </c>
      <c r="M3007" s="24">
        <f>J3007-L3007</f>
        <v>7914.5700000000015</v>
      </c>
      <c r="N3007" s="53">
        <f>IF(J3007&lt;&gt;0,M3007/J3007,"")</f>
        <v>0.44888323240710337</v>
      </c>
      <c r="O3007" s="23">
        <v>0</v>
      </c>
      <c r="P3007" s="25">
        <v>0</v>
      </c>
      <c r="Q3007" s="24">
        <v>0</v>
      </c>
      <c r="R3007" s="24">
        <f>O3007-Q3007</f>
        <v>0</v>
      </c>
      <c r="S3007" s="53" t="str">
        <f>IF(O3007&lt;&gt;0,R3007/O3007,"")</f>
        <v/>
      </c>
      <c r="T3007" s="10"/>
      <c r="U3007" s="23">
        <v>15265.33</v>
      </c>
      <c r="V3007" s="25">
        <v>84</v>
      </c>
      <c r="W3007" s="24">
        <v>8502.48</v>
      </c>
      <c r="X3007" s="24">
        <f>U3007-W3007</f>
        <v>6762.85</v>
      </c>
      <c r="Y3007" s="53">
        <f>IF(U3007&lt;&gt;0,X3007/U3007,"")</f>
        <v>0.44302022950044317</v>
      </c>
      <c r="Z3007" s="23">
        <v>4315.13</v>
      </c>
      <c r="AA3007" s="25">
        <v>24</v>
      </c>
      <c r="AB3007" s="24">
        <v>2429.2800000000002</v>
      </c>
      <c r="AC3007" s="24">
        <f t="shared" si="821"/>
        <v>1885.85</v>
      </c>
      <c r="AD3007" s="53">
        <f t="shared" si="822"/>
        <v>0.43703202452765033</v>
      </c>
      <c r="AE3007" s="10"/>
    </row>
    <row r="3008" spans="1:31" x14ac:dyDescent="0.25">
      <c r="A3008" s="14" t="s">
        <v>109</v>
      </c>
      <c r="C3008" s="61" t="str">
        <f t="shared" si="820"/>
        <v>C100145</v>
      </c>
      <c r="F3008" s="8" t="str">
        <f>"C100019"</f>
        <v>C100019</v>
      </c>
      <c r="G3008" s="9" t="str">
        <f>"Black Duffel Bag"</f>
        <v>Black Duffel Bag</v>
      </c>
      <c r="H3008" s="47"/>
      <c r="I3008" s="47"/>
      <c r="J3008" s="23">
        <v>1505.67</v>
      </c>
      <c r="K3008" s="25">
        <v>24</v>
      </c>
      <c r="L3008" s="24">
        <v>1025.28</v>
      </c>
      <c r="M3008" s="24">
        <f>J3008-L3008</f>
        <v>480.3900000000001</v>
      </c>
      <c r="N3008" s="53">
        <f>IF(J3008&lt;&gt;0,M3008/J3008,"")</f>
        <v>0.31905397597083029</v>
      </c>
      <c r="O3008" s="23">
        <v>0</v>
      </c>
      <c r="P3008" s="25">
        <v>0</v>
      </c>
      <c r="Q3008" s="24">
        <v>0</v>
      </c>
      <c r="R3008" s="24">
        <f>O3008-Q3008</f>
        <v>0</v>
      </c>
      <c r="S3008" s="53" t="str">
        <f>IF(O3008&lt;&gt;0,R3008/O3008,"")</f>
        <v/>
      </c>
      <c r="T3008" s="10"/>
      <c r="U3008" s="23">
        <v>65.56</v>
      </c>
      <c r="V3008" s="25">
        <v>1</v>
      </c>
      <c r="W3008" s="24">
        <v>42.72</v>
      </c>
      <c r="X3008" s="24">
        <f>U3008-W3008</f>
        <v>22.840000000000003</v>
      </c>
      <c r="Y3008" s="53">
        <f>IF(U3008&lt;&gt;0,X3008/U3008,"")</f>
        <v>0.34838316046369744</v>
      </c>
      <c r="Z3008" s="23">
        <v>0</v>
      </c>
      <c r="AA3008" s="25">
        <v>0</v>
      </c>
      <c r="AB3008" s="24">
        <v>0</v>
      </c>
      <c r="AC3008" s="24">
        <f t="shared" si="821"/>
        <v>0</v>
      </c>
      <c r="AD3008" s="53" t="str">
        <f t="shared" si="822"/>
        <v/>
      </c>
      <c r="AE3008" s="10"/>
    </row>
    <row r="3009" spans="1:31" x14ac:dyDescent="0.25">
      <c r="A3009" s="14" t="s">
        <v>109</v>
      </c>
      <c r="C3009" s="61" t="str">
        <f t="shared" si="820"/>
        <v>C100145</v>
      </c>
      <c r="F3009" s="8" t="str">
        <f>"C100021"</f>
        <v>C100021</v>
      </c>
      <c r="G3009" s="9" t="str">
        <f>"Canvas Boat Bag"</f>
        <v>Canvas Boat Bag</v>
      </c>
      <c r="H3009" s="47"/>
      <c r="I3009" s="47"/>
      <c r="J3009" s="23">
        <v>2778.97</v>
      </c>
      <c r="K3009" s="25">
        <v>288</v>
      </c>
      <c r="L3009" s="24">
        <v>1981.42</v>
      </c>
      <c r="M3009" s="24">
        <f>J3009-L3009</f>
        <v>797.54999999999973</v>
      </c>
      <c r="N3009" s="53">
        <f>IF(J3009&lt;&gt;0,M3009/J3009,"")</f>
        <v>0.28699482182247371</v>
      </c>
      <c r="O3009" s="23">
        <v>2863.29</v>
      </c>
      <c r="P3009" s="25">
        <v>289</v>
      </c>
      <c r="Q3009" s="24">
        <v>1988.3</v>
      </c>
      <c r="R3009" s="24">
        <f>O3009-Q3009</f>
        <v>874.99</v>
      </c>
      <c r="S3009" s="53">
        <f>IF(O3009&lt;&gt;0,R3009/O3009,"")</f>
        <v>0.30558902521225584</v>
      </c>
      <c r="T3009" s="10"/>
      <c r="U3009" s="23">
        <v>1382.05</v>
      </c>
      <c r="V3009" s="25">
        <v>144</v>
      </c>
      <c r="W3009" s="24">
        <v>990.71</v>
      </c>
      <c r="X3009" s="24">
        <f>U3009-W3009</f>
        <v>391.33999999999992</v>
      </c>
      <c r="Y3009" s="53">
        <f>IF(U3009&lt;&gt;0,X3009/U3009,"")</f>
        <v>0.28315907528671169</v>
      </c>
      <c r="Z3009" s="23">
        <v>0</v>
      </c>
      <c r="AA3009" s="25">
        <v>0</v>
      </c>
      <c r="AB3009" s="24">
        <v>0</v>
      </c>
      <c r="AC3009" s="24">
        <f t="shared" si="821"/>
        <v>0</v>
      </c>
      <c r="AD3009" s="53" t="str">
        <f t="shared" si="822"/>
        <v/>
      </c>
      <c r="AE3009" s="10"/>
    </row>
    <row r="3010" spans="1:31" x14ac:dyDescent="0.25">
      <c r="A3010" s="14" t="s">
        <v>109</v>
      </c>
      <c r="C3010" s="61" t="str">
        <f t="shared" si="820"/>
        <v>C100145</v>
      </c>
      <c r="F3010" s="8" t="str">
        <f>"C100022"</f>
        <v>C100022</v>
      </c>
      <c r="G3010" s="9" t="str">
        <f>"Two-Toned Cap"</f>
        <v>Two-Toned Cap</v>
      </c>
      <c r="H3010" s="47"/>
      <c r="I3010" s="47"/>
      <c r="J3010" s="23">
        <v>989.18999999999994</v>
      </c>
      <c r="K3010" s="25">
        <v>336</v>
      </c>
      <c r="L3010" s="24">
        <v>540.94000000000005</v>
      </c>
      <c r="M3010" s="24">
        <f>J3010-L3010</f>
        <v>448.24999999999989</v>
      </c>
      <c r="N3010" s="53">
        <f>IF(J3010&lt;&gt;0,M3010/J3010,"")</f>
        <v>0.4531485356705991</v>
      </c>
      <c r="O3010" s="23">
        <v>0</v>
      </c>
      <c r="P3010" s="25">
        <v>0</v>
      </c>
      <c r="Q3010" s="24">
        <v>0</v>
      </c>
      <c r="R3010" s="24">
        <f>O3010-Q3010</f>
        <v>0</v>
      </c>
      <c r="S3010" s="53" t="str">
        <f>IF(O3010&lt;&gt;0,R3010/O3010,"")</f>
        <v/>
      </c>
      <c r="T3010" s="10"/>
      <c r="U3010" s="23">
        <v>464.64</v>
      </c>
      <c r="V3010" s="25">
        <v>156</v>
      </c>
      <c r="W3010" s="24">
        <v>251.15</v>
      </c>
      <c r="X3010" s="24">
        <f>U3010-W3010</f>
        <v>213.48999999999998</v>
      </c>
      <c r="Y3010" s="53">
        <f>IF(U3010&lt;&gt;0,X3010/U3010,"")</f>
        <v>0.45947400137741046</v>
      </c>
      <c r="Z3010" s="23">
        <v>0</v>
      </c>
      <c r="AA3010" s="25">
        <v>0</v>
      </c>
      <c r="AB3010" s="24">
        <v>0</v>
      </c>
      <c r="AC3010" s="24">
        <f t="shared" si="821"/>
        <v>0</v>
      </c>
      <c r="AD3010" s="53" t="str">
        <f t="shared" si="822"/>
        <v/>
      </c>
      <c r="AE3010" s="10"/>
    </row>
    <row r="3011" spans="1:31" x14ac:dyDescent="0.25">
      <c r="A3011" s="14" t="s">
        <v>109</v>
      </c>
      <c r="C3011" s="61" t="str">
        <f t="shared" si="820"/>
        <v>C100145</v>
      </c>
      <c r="F3011" s="8" t="str">
        <f>"C100023"</f>
        <v>C100023</v>
      </c>
      <c r="G3011" s="9" t="str">
        <f>"Two-Toned Knit Hat"</f>
        <v>Two-Toned Knit Hat</v>
      </c>
      <c r="H3011" s="47"/>
      <c r="I3011" s="47"/>
      <c r="J3011" s="23">
        <v>5.25</v>
      </c>
      <c r="K3011" s="25">
        <v>2</v>
      </c>
      <c r="L3011" s="24">
        <v>2.52</v>
      </c>
      <c r="M3011" s="24">
        <f>J3011-L3011</f>
        <v>2.73</v>
      </c>
      <c r="N3011" s="53">
        <f>IF(J3011&lt;&gt;0,M3011/J3011,"")</f>
        <v>0.52</v>
      </c>
      <c r="O3011" s="23">
        <v>374.34000000000003</v>
      </c>
      <c r="P3011" s="25">
        <v>144</v>
      </c>
      <c r="Q3011" s="24">
        <v>181.43</v>
      </c>
      <c r="R3011" s="24">
        <f>O3011-Q3011</f>
        <v>192.91000000000003</v>
      </c>
      <c r="S3011" s="53">
        <f>IF(O3011&lt;&gt;0,R3011/O3011,"")</f>
        <v>0.51533365389752639</v>
      </c>
      <c r="T3011" s="10"/>
      <c r="U3011" s="23">
        <v>706.24</v>
      </c>
      <c r="V3011" s="25">
        <v>288</v>
      </c>
      <c r="W3011" s="24">
        <v>362.86</v>
      </c>
      <c r="X3011" s="24">
        <f>U3011-W3011</f>
        <v>343.38</v>
      </c>
      <c r="Y3011" s="53">
        <f>IF(U3011&lt;&gt;0,X3011/U3011,"")</f>
        <v>0.48620865428183052</v>
      </c>
      <c r="Z3011" s="23">
        <v>0</v>
      </c>
      <c r="AA3011" s="25">
        <v>0</v>
      </c>
      <c r="AB3011" s="24">
        <v>0</v>
      </c>
      <c r="AC3011" s="24">
        <f t="shared" si="821"/>
        <v>0</v>
      </c>
      <c r="AD3011" s="53" t="str">
        <f t="shared" si="822"/>
        <v/>
      </c>
      <c r="AE3011" s="10"/>
    </row>
    <row r="3012" spans="1:31" x14ac:dyDescent="0.25">
      <c r="A3012" s="14" t="s">
        <v>109</v>
      </c>
      <c r="C3012" s="61" t="str">
        <f t="shared" si="820"/>
        <v>C100145</v>
      </c>
      <c r="F3012" s="8" t="str">
        <f>"C100024"</f>
        <v>C100024</v>
      </c>
      <c r="G3012" s="9" t="str">
        <f>"Knit Hat with Bill"</f>
        <v>Knit Hat with Bill</v>
      </c>
      <c r="H3012" s="47"/>
      <c r="I3012" s="47"/>
      <c r="J3012" s="23">
        <v>1445.6399999999999</v>
      </c>
      <c r="K3012" s="25">
        <v>288</v>
      </c>
      <c r="L3012" s="24">
        <v>864</v>
      </c>
      <c r="M3012" s="24">
        <f>J3012-L3012</f>
        <v>581.63999999999987</v>
      </c>
      <c r="N3012" s="53">
        <f>IF(J3012&lt;&gt;0,M3012/J3012,"")</f>
        <v>0.40234083174234242</v>
      </c>
      <c r="O3012" s="23">
        <v>745.89</v>
      </c>
      <c r="P3012" s="25">
        <v>144</v>
      </c>
      <c r="Q3012" s="24">
        <v>432</v>
      </c>
      <c r="R3012" s="24">
        <f>O3012-Q3012</f>
        <v>313.89</v>
      </c>
      <c r="S3012" s="53">
        <f>IF(O3012&lt;&gt;0,R3012/O3012,"")</f>
        <v>0.42082612717692958</v>
      </c>
      <c r="T3012" s="10"/>
      <c r="U3012" s="23">
        <v>735.48</v>
      </c>
      <c r="V3012" s="25">
        <v>145</v>
      </c>
      <c r="W3012" s="24">
        <v>434.99999999999994</v>
      </c>
      <c r="X3012" s="24">
        <f>U3012-W3012</f>
        <v>300.48000000000008</v>
      </c>
      <c r="Y3012" s="53">
        <f>IF(U3012&lt;&gt;0,X3012/U3012,"")</f>
        <v>0.40854951868167738</v>
      </c>
      <c r="Z3012" s="23">
        <v>0</v>
      </c>
      <c r="AA3012" s="25">
        <v>0</v>
      </c>
      <c r="AB3012" s="24">
        <v>0</v>
      </c>
      <c r="AC3012" s="24">
        <f t="shared" si="821"/>
        <v>0</v>
      </c>
      <c r="AD3012" s="53" t="str">
        <f t="shared" si="822"/>
        <v/>
      </c>
      <c r="AE3012" s="10"/>
    </row>
    <row r="3013" spans="1:31" x14ac:dyDescent="0.25">
      <c r="A3013" s="14" t="s">
        <v>109</v>
      </c>
      <c r="C3013" s="61" t="str">
        <f t="shared" si="820"/>
        <v>C100145</v>
      </c>
      <c r="F3013" s="8" t="str">
        <f>"C100025"</f>
        <v>C100025</v>
      </c>
      <c r="G3013" s="9" t="str">
        <f>"Striped Knit Hat"</f>
        <v>Striped Knit Hat</v>
      </c>
      <c r="H3013" s="47"/>
      <c r="I3013" s="47"/>
      <c r="J3013" s="23">
        <v>1175.79</v>
      </c>
      <c r="K3013" s="25">
        <v>432</v>
      </c>
      <c r="L3013" s="24">
        <v>596.17000000000007</v>
      </c>
      <c r="M3013" s="24">
        <f>J3013-L3013</f>
        <v>579.61999999999989</v>
      </c>
      <c r="N3013" s="53">
        <f>IF(J3013&lt;&gt;0,M3013/J3013,"")</f>
        <v>0.49296217862033176</v>
      </c>
      <c r="O3013" s="23">
        <v>0</v>
      </c>
      <c r="P3013" s="25">
        <v>0</v>
      </c>
      <c r="Q3013" s="24">
        <v>0</v>
      </c>
      <c r="R3013" s="24">
        <f>O3013-Q3013</f>
        <v>0</v>
      </c>
      <c r="S3013" s="53" t="str">
        <f>IF(O3013&lt;&gt;0,R3013/O3013,"")</f>
        <v/>
      </c>
      <c r="T3013" s="10"/>
      <c r="U3013" s="23">
        <v>386.21000000000004</v>
      </c>
      <c r="V3013" s="25">
        <v>144</v>
      </c>
      <c r="W3013" s="24">
        <v>198.72</v>
      </c>
      <c r="X3013" s="24">
        <f>U3013-W3013</f>
        <v>187.49000000000004</v>
      </c>
      <c r="Y3013" s="53">
        <f>IF(U3013&lt;&gt;0,X3013/U3013,"")</f>
        <v>0.48546127754330548</v>
      </c>
      <c r="Z3013" s="23">
        <v>819.61999999999989</v>
      </c>
      <c r="AA3013" s="25">
        <v>288</v>
      </c>
      <c r="AB3013" s="24">
        <v>397.44</v>
      </c>
      <c r="AC3013" s="24">
        <f t="shared" si="821"/>
        <v>422.17999999999989</v>
      </c>
      <c r="AD3013" s="53">
        <f t="shared" si="822"/>
        <v>0.51509235987408797</v>
      </c>
      <c r="AE3013" s="10"/>
    </row>
    <row r="3014" spans="1:31" x14ac:dyDescent="0.25">
      <c r="A3014" s="14" t="s">
        <v>109</v>
      </c>
      <c r="C3014" s="61" t="str">
        <f t="shared" si="820"/>
        <v>C100145</v>
      </c>
      <c r="F3014" s="8" t="str">
        <f>"C100026"</f>
        <v>C100026</v>
      </c>
      <c r="G3014" s="9" t="str">
        <f>"Fleece Beanie"</f>
        <v>Fleece Beanie</v>
      </c>
      <c r="H3014" s="47"/>
      <c r="I3014" s="47"/>
      <c r="J3014" s="23">
        <v>853.63</v>
      </c>
      <c r="K3014" s="25">
        <v>288</v>
      </c>
      <c r="L3014" s="24">
        <v>575.98</v>
      </c>
      <c r="M3014" s="24">
        <f>J3014-L3014</f>
        <v>277.64999999999998</v>
      </c>
      <c r="N3014" s="53">
        <f>IF(J3014&lt;&gt;0,M3014/J3014,"")</f>
        <v>0.32525801576795565</v>
      </c>
      <c r="O3014" s="23">
        <v>435.8</v>
      </c>
      <c r="P3014" s="25">
        <v>144</v>
      </c>
      <c r="Q3014" s="24">
        <v>287.99</v>
      </c>
      <c r="R3014" s="24">
        <f>O3014-Q3014</f>
        <v>147.81</v>
      </c>
      <c r="S3014" s="53">
        <f>IF(O3014&lt;&gt;0,R3014/O3014,"")</f>
        <v>0.33916934373565855</v>
      </c>
      <c r="T3014" s="10"/>
      <c r="U3014" s="23">
        <v>0</v>
      </c>
      <c r="V3014" s="25">
        <v>0</v>
      </c>
      <c r="W3014" s="24">
        <v>0</v>
      </c>
      <c r="X3014" s="24">
        <f>U3014-W3014</f>
        <v>0</v>
      </c>
      <c r="Y3014" s="53" t="str">
        <f>IF(U3014&lt;&gt;0,X3014/U3014,"")</f>
        <v/>
      </c>
      <c r="Z3014" s="23">
        <v>0</v>
      </c>
      <c r="AA3014" s="25">
        <v>0</v>
      </c>
      <c r="AB3014" s="24">
        <v>0</v>
      </c>
      <c r="AC3014" s="24">
        <f t="shared" si="821"/>
        <v>0</v>
      </c>
      <c r="AD3014" s="53" t="str">
        <f t="shared" si="822"/>
        <v/>
      </c>
      <c r="AE3014" s="10"/>
    </row>
    <row r="3015" spans="1:31" x14ac:dyDescent="0.25">
      <c r="A3015" s="14" t="s">
        <v>109</v>
      </c>
      <c r="C3015" s="61" t="str">
        <f t="shared" si="820"/>
        <v>C100145</v>
      </c>
      <c r="F3015" s="8" t="str">
        <f>"C100028"</f>
        <v>C100028</v>
      </c>
      <c r="G3015" s="9" t="str">
        <f>"Twill Visor"</f>
        <v>Twill Visor</v>
      </c>
      <c r="H3015" s="47"/>
      <c r="I3015" s="47"/>
      <c r="J3015" s="23">
        <v>676.97</v>
      </c>
      <c r="K3015" s="25">
        <v>144</v>
      </c>
      <c r="L3015" s="24">
        <v>345.61</v>
      </c>
      <c r="M3015" s="24">
        <f>J3015-L3015</f>
        <v>331.36</v>
      </c>
      <c r="N3015" s="53">
        <f>IF(J3015&lt;&gt;0,M3015/J3015,"")</f>
        <v>0.48947516138085884</v>
      </c>
      <c r="O3015" s="23">
        <v>4.96</v>
      </c>
      <c r="P3015" s="25">
        <v>1</v>
      </c>
      <c r="Q3015" s="24">
        <v>2.4</v>
      </c>
      <c r="R3015" s="24">
        <f>O3015-Q3015</f>
        <v>2.56</v>
      </c>
      <c r="S3015" s="53">
        <f>IF(O3015&lt;&gt;0,R3015/O3015,"")</f>
        <v>0.5161290322580645</v>
      </c>
      <c r="T3015" s="10"/>
      <c r="U3015" s="23">
        <v>1353.95</v>
      </c>
      <c r="V3015" s="25">
        <v>288</v>
      </c>
      <c r="W3015" s="24">
        <v>691.22</v>
      </c>
      <c r="X3015" s="24">
        <f>U3015-W3015</f>
        <v>662.73</v>
      </c>
      <c r="Y3015" s="53">
        <f>IF(U3015&lt;&gt;0,X3015/U3015,"")</f>
        <v>0.4894789320137376</v>
      </c>
      <c r="Z3015" s="23">
        <v>0</v>
      </c>
      <c r="AA3015" s="25">
        <v>0</v>
      </c>
      <c r="AB3015" s="24">
        <v>0</v>
      </c>
      <c r="AC3015" s="24">
        <f t="shared" si="821"/>
        <v>0</v>
      </c>
      <c r="AD3015" s="53" t="str">
        <f t="shared" si="822"/>
        <v/>
      </c>
      <c r="AE3015" s="10"/>
    </row>
    <row r="3016" spans="1:31" x14ac:dyDescent="0.25">
      <c r="A3016" s="14" t="s">
        <v>109</v>
      </c>
      <c r="C3016" s="61" t="str">
        <f t="shared" si="820"/>
        <v>C100145</v>
      </c>
      <c r="F3016" s="8" t="str">
        <f>"C100029"</f>
        <v>C100029</v>
      </c>
      <c r="G3016" s="9" t="str">
        <f>"Distressed Twill Visor"</f>
        <v>Distressed Twill Visor</v>
      </c>
      <c r="H3016" s="47"/>
      <c r="I3016" s="47"/>
      <c r="J3016" s="23">
        <v>482.62999999999994</v>
      </c>
      <c r="K3016" s="25">
        <v>144</v>
      </c>
      <c r="L3016" s="24">
        <v>298.09000000000003</v>
      </c>
      <c r="M3016" s="24">
        <f>J3016-L3016</f>
        <v>184.53999999999991</v>
      </c>
      <c r="N3016" s="53">
        <f>IF(J3016&lt;&gt;0,M3016/J3016,"")</f>
        <v>0.38236330107950173</v>
      </c>
      <c r="O3016" s="23">
        <v>38.99</v>
      </c>
      <c r="P3016" s="25">
        <v>12</v>
      </c>
      <c r="Q3016" s="24">
        <v>24.84</v>
      </c>
      <c r="R3016" s="24">
        <f>O3016-Q3016</f>
        <v>14.150000000000002</v>
      </c>
      <c r="S3016" s="53">
        <f>IF(O3016&lt;&gt;0,R3016/O3016,"")</f>
        <v>0.36291356758143117</v>
      </c>
      <c r="T3016" s="10"/>
      <c r="U3016" s="23">
        <v>1411.57</v>
      </c>
      <c r="V3016" s="25">
        <v>433</v>
      </c>
      <c r="W3016" s="24">
        <v>896.33999999999992</v>
      </c>
      <c r="X3016" s="24">
        <f>U3016-W3016</f>
        <v>515.23</v>
      </c>
      <c r="Y3016" s="53">
        <f>IF(U3016&lt;&gt;0,X3016/U3016,"")</f>
        <v>0.36500492359571263</v>
      </c>
      <c r="Z3016" s="23">
        <v>458.01</v>
      </c>
      <c r="AA3016" s="25">
        <v>144</v>
      </c>
      <c r="AB3016" s="24">
        <v>298.09000000000003</v>
      </c>
      <c r="AC3016" s="24">
        <f t="shared" si="821"/>
        <v>159.91999999999996</v>
      </c>
      <c r="AD3016" s="53">
        <f t="shared" si="822"/>
        <v>0.34916268203751</v>
      </c>
      <c r="AE3016" s="10"/>
    </row>
    <row r="3017" spans="1:31" x14ac:dyDescent="0.25">
      <c r="A3017" s="14" t="s">
        <v>109</v>
      </c>
      <c r="C3017" s="61" t="str">
        <f t="shared" si="820"/>
        <v>C100145</v>
      </c>
      <c r="F3017" s="8" t="str">
        <f>"C100031"</f>
        <v>C100031</v>
      </c>
      <c r="G3017" s="9" t="str">
        <f>"Carabiner Watch"</f>
        <v>Carabiner Watch</v>
      </c>
      <c r="H3017" s="47"/>
      <c r="I3017" s="47"/>
      <c r="J3017" s="23">
        <v>5165.57</v>
      </c>
      <c r="K3017" s="25">
        <v>288</v>
      </c>
      <c r="L3017" s="24">
        <v>2471.04</v>
      </c>
      <c r="M3017" s="24">
        <f>J3017-L3017</f>
        <v>2694.5299999999997</v>
      </c>
      <c r="N3017" s="53">
        <f>IF(J3017&lt;&gt;0,M3017/J3017,"")</f>
        <v>0.52163265622186905</v>
      </c>
      <c r="O3017" s="23">
        <v>0</v>
      </c>
      <c r="P3017" s="25">
        <v>0</v>
      </c>
      <c r="Q3017" s="24">
        <v>0</v>
      </c>
      <c r="R3017" s="24">
        <f>O3017-Q3017</f>
        <v>0</v>
      </c>
      <c r="S3017" s="53" t="str">
        <f>IF(O3017&lt;&gt;0,R3017/O3017,"")</f>
        <v/>
      </c>
      <c r="T3017" s="10"/>
      <c r="U3017" s="23">
        <v>0</v>
      </c>
      <c r="V3017" s="25">
        <v>0</v>
      </c>
      <c r="W3017" s="24">
        <v>0</v>
      </c>
      <c r="X3017" s="24">
        <f>U3017-W3017</f>
        <v>0</v>
      </c>
      <c r="Y3017" s="53" t="str">
        <f>IF(U3017&lt;&gt;0,X3017/U3017,"")</f>
        <v/>
      </c>
      <c r="Z3017" s="23">
        <v>2528.4100000000003</v>
      </c>
      <c r="AA3017" s="25">
        <v>144</v>
      </c>
      <c r="AB3017" s="24">
        <v>1235.52</v>
      </c>
      <c r="AC3017" s="24">
        <f t="shared" si="821"/>
        <v>1292.8900000000003</v>
      </c>
      <c r="AD3017" s="53">
        <f t="shared" si="822"/>
        <v>0.51134507457255751</v>
      </c>
      <c r="AE3017" s="10"/>
    </row>
    <row r="3018" spans="1:31" x14ac:dyDescent="0.25">
      <c r="A3018" s="14" t="s">
        <v>109</v>
      </c>
      <c r="C3018" s="61" t="str">
        <f t="shared" si="820"/>
        <v>C100145</v>
      </c>
      <c r="F3018" s="8" t="str">
        <f>"C100032"</f>
        <v>C100032</v>
      </c>
      <c r="G3018" s="9" t="str">
        <f>"Clip-on Clock"</f>
        <v>Clip-on Clock</v>
      </c>
      <c r="H3018" s="47"/>
      <c r="I3018" s="47"/>
      <c r="J3018" s="23">
        <v>2278.1999999999998</v>
      </c>
      <c r="K3018" s="25">
        <v>288</v>
      </c>
      <c r="L3018" s="24">
        <v>1198.1099999999999</v>
      </c>
      <c r="M3018" s="24">
        <f>J3018-L3018</f>
        <v>1080.0899999999999</v>
      </c>
      <c r="N3018" s="53">
        <f>IF(J3018&lt;&gt;0,M3018/J3018,"")</f>
        <v>0.47409797208322357</v>
      </c>
      <c r="O3018" s="23">
        <v>0</v>
      </c>
      <c r="P3018" s="25">
        <v>0</v>
      </c>
      <c r="Q3018" s="24">
        <v>0</v>
      </c>
      <c r="R3018" s="24">
        <f>O3018-Q3018</f>
        <v>0</v>
      </c>
      <c r="S3018" s="53" t="str">
        <f>IF(O3018&lt;&gt;0,R3018/O3018,"")</f>
        <v/>
      </c>
      <c r="T3018" s="10"/>
      <c r="U3018" s="23">
        <v>7.75</v>
      </c>
      <c r="V3018" s="25">
        <v>1</v>
      </c>
      <c r="W3018" s="24">
        <v>4.16</v>
      </c>
      <c r="X3018" s="24">
        <f>U3018-W3018</f>
        <v>3.59</v>
      </c>
      <c r="Y3018" s="53">
        <f>IF(U3018&lt;&gt;0,X3018/U3018,"")</f>
        <v>0.46322580645161288</v>
      </c>
      <c r="Z3018" s="23">
        <v>2266.33</v>
      </c>
      <c r="AA3018" s="25">
        <v>288</v>
      </c>
      <c r="AB3018" s="24">
        <v>1198.1000000000001</v>
      </c>
      <c r="AC3018" s="24">
        <f t="shared" si="821"/>
        <v>1068.2299999999998</v>
      </c>
      <c r="AD3018" s="53">
        <f t="shared" si="822"/>
        <v>0.47134795021025172</v>
      </c>
      <c r="AE3018" s="10"/>
    </row>
    <row r="3019" spans="1:31" x14ac:dyDescent="0.25">
      <c r="A3019" s="14" t="s">
        <v>109</v>
      </c>
      <c r="C3019" s="61" t="str">
        <f t="shared" si="820"/>
        <v>C100145</v>
      </c>
      <c r="F3019" s="8" t="str">
        <f>"E100001"</f>
        <v>E100001</v>
      </c>
      <c r="G3019" s="9" t="str">
        <f>"Sport Bag"</f>
        <v>Sport Bag</v>
      </c>
      <c r="H3019" s="47"/>
      <c r="I3019" s="47"/>
      <c r="J3019" s="23">
        <v>239.79</v>
      </c>
      <c r="K3019" s="25">
        <v>144</v>
      </c>
      <c r="L3019" s="24">
        <v>125.28</v>
      </c>
      <c r="M3019" s="24">
        <f>J3019-L3019</f>
        <v>114.50999999999999</v>
      </c>
      <c r="N3019" s="53">
        <f>IF(J3019&lt;&gt;0,M3019/J3019,"")</f>
        <v>0.47754284999374452</v>
      </c>
      <c r="O3019" s="23">
        <v>249.33</v>
      </c>
      <c r="P3019" s="25">
        <v>145</v>
      </c>
      <c r="Q3019" s="24">
        <v>126.15</v>
      </c>
      <c r="R3019" s="24">
        <f>O3019-Q3019</f>
        <v>123.18</v>
      </c>
      <c r="S3019" s="53">
        <f>IF(O3019&lt;&gt;0,R3019/O3019,"")</f>
        <v>0.49404403802189867</v>
      </c>
      <c r="T3019" s="10"/>
      <c r="U3019" s="23">
        <v>0</v>
      </c>
      <c r="V3019" s="25">
        <v>0</v>
      </c>
      <c r="W3019" s="24">
        <v>0</v>
      </c>
      <c r="X3019" s="24">
        <f>U3019-W3019</f>
        <v>0</v>
      </c>
      <c r="Y3019" s="53" t="str">
        <f>IF(U3019&lt;&gt;0,X3019/U3019,"")</f>
        <v/>
      </c>
      <c r="Z3019" s="23">
        <v>1.68</v>
      </c>
      <c r="AA3019" s="25">
        <v>1</v>
      </c>
      <c r="AB3019" s="24">
        <v>0.87</v>
      </c>
      <c r="AC3019" s="24">
        <f t="shared" si="821"/>
        <v>0.80999999999999994</v>
      </c>
      <c r="AD3019" s="53">
        <f t="shared" si="822"/>
        <v>0.48214285714285715</v>
      </c>
      <c r="AE3019" s="10"/>
    </row>
    <row r="3020" spans="1:31" x14ac:dyDescent="0.25">
      <c r="A3020" s="14" t="s">
        <v>109</v>
      </c>
      <c r="C3020" s="61" t="str">
        <f t="shared" si="820"/>
        <v>C100145</v>
      </c>
      <c r="F3020" s="8" t="str">
        <f>"E100011"</f>
        <v>E100011</v>
      </c>
      <c r="G3020" s="9" t="str">
        <f>"Plastic Sun Visor"</f>
        <v>Plastic Sun Visor</v>
      </c>
      <c r="H3020" s="47"/>
      <c r="I3020" s="47"/>
      <c r="J3020" s="23">
        <v>9.33</v>
      </c>
      <c r="K3020" s="25">
        <v>12</v>
      </c>
      <c r="L3020" s="24">
        <v>5.04</v>
      </c>
      <c r="M3020" s="24">
        <f>J3020-L3020</f>
        <v>4.29</v>
      </c>
      <c r="N3020" s="53">
        <f>IF(J3020&lt;&gt;0,M3020/J3020,"")</f>
        <v>0.45980707395498394</v>
      </c>
      <c r="O3020" s="23">
        <v>111.6</v>
      </c>
      <c r="P3020" s="25">
        <v>145</v>
      </c>
      <c r="Q3020" s="24">
        <v>60.89</v>
      </c>
      <c r="R3020" s="24">
        <f>O3020-Q3020</f>
        <v>50.709999999999994</v>
      </c>
      <c r="S3020" s="53">
        <f>IF(O3020&lt;&gt;0,R3020/O3020,"")</f>
        <v>0.45439068100358421</v>
      </c>
      <c r="T3020" s="10"/>
      <c r="U3020" s="23">
        <v>213.46</v>
      </c>
      <c r="V3020" s="25">
        <v>288</v>
      </c>
      <c r="W3020" s="24">
        <v>120.94000000000001</v>
      </c>
      <c r="X3020" s="24">
        <f>U3020-W3020</f>
        <v>92.52</v>
      </c>
      <c r="Y3020" s="53">
        <f>IF(U3020&lt;&gt;0,X3020/U3020,"")</f>
        <v>0.43343015084793401</v>
      </c>
      <c r="Z3020" s="23">
        <v>0.75</v>
      </c>
      <c r="AA3020" s="25">
        <v>1</v>
      </c>
      <c r="AB3020" s="24">
        <v>0.42</v>
      </c>
      <c r="AC3020" s="24">
        <f t="shared" si="821"/>
        <v>0.33</v>
      </c>
      <c r="AD3020" s="53">
        <f t="shared" si="822"/>
        <v>0.44</v>
      </c>
      <c r="AE3020" s="10"/>
    </row>
    <row r="3021" spans="1:31" x14ac:dyDescent="0.25">
      <c r="A3021" s="14" t="s">
        <v>109</v>
      </c>
      <c r="C3021" s="61" t="str">
        <f t="shared" si="820"/>
        <v>C100145</v>
      </c>
      <c r="F3021" s="8" t="str">
        <f>"E100012"</f>
        <v>E100012</v>
      </c>
      <c r="G3021" s="9" t="str">
        <f>"Canvas Stopwatch"</f>
        <v>Canvas Stopwatch</v>
      </c>
      <c r="H3021" s="47"/>
      <c r="I3021" s="47"/>
      <c r="J3021" s="23">
        <v>0</v>
      </c>
      <c r="K3021" s="25">
        <v>0</v>
      </c>
      <c r="L3021" s="24">
        <v>0</v>
      </c>
      <c r="M3021" s="24">
        <f>J3021-L3021</f>
        <v>0</v>
      </c>
      <c r="N3021" s="53" t="str">
        <f>IF(J3021&lt;&gt;0,M3021/J3021,"")</f>
        <v/>
      </c>
      <c r="O3021" s="23">
        <v>516.82000000000005</v>
      </c>
      <c r="P3021" s="25">
        <v>144</v>
      </c>
      <c r="Q3021" s="24">
        <v>282.22999999999996</v>
      </c>
      <c r="R3021" s="24">
        <f>O3021-Q3021</f>
        <v>234.59000000000009</v>
      </c>
      <c r="S3021" s="53">
        <f>IF(O3021&lt;&gt;0,R3021/O3021,"")</f>
        <v>0.45391045238187389</v>
      </c>
      <c r="T3021" s="10"/>
      <c r="U3021" s="23">
        <v>3420.57</v>
      </c>
      <c r="V3021" s="25">
        <v>1008</v>
      </c>
      <c r="W3021" s="24">
        <v>1975.6100000000001</v>
      </c>
      <c r="X3021" s="24">
        <f>U3021-W3021</f>
        <v>1444.96</v>
      </c>
      <c r="Y3021" s="53">
        <f>IF(U3021&lt;&gt;0,X3021/U3021,"")</f>
        <v>0.42243251855684871</v>
      </c>
      <c r="Z3021" s="23">
        <v>0</v>
      </c>
      <c r="AA3021" s="25">
        <v>0</v>
      </c>
      <c r="AB3021" s="24">
        <v>0</v>
      </c>
      <c r="AC3021" s="24">
        <f t="shared" si="821"/>
        <v>0</v>
      </c>
      <c r="AD3021" s="53" t="str">
        <f t="shared" si="822"/>
        <v/>
      </c>
      <c r="AE3021" s="10"/>
    </row>
    <row r="3022" spans="1:31" x14ac:dyDescent="0.25">
      <c r="A3022" s="14" t="s">
        <v>109</v>
      </c>
      <c r="C3022" s="61" t="str">
        <f t="shared" si="820"/>
        <v>C100145</v>
      </c>
      <c r="F3022" s="8" t="str">
        <f>"E100013"</f>
        <v>E100013</v>
      </c>
      <c r="G3022" s="9" t="str">
        <f>"Clip-on Stopwatch"</f>
        <v>Clip-on Stopwatch</v>
      </c>
      <c r="H3022" s="47"/>
      <c r="I3022" s="47"/>
      <c r="J3022" s="23">
        <v>365.64</v>
      </c>
      <c r="K3022" s="25">
        <v>144</v>
      </c>
      <c r="L3022" s="24">
        <v>207.35</v>
      </c>
      <c r="M3022" s="24">
        <f>J3022-L3022</f>
        <v>158.29</v>
      </c>
      <c r="N3022" s="53">
        <f>IF(J3022&lt;&gt;0,M3022/J3022,"")</f>
        <v>0.43291215403128758</v>
      </c>
      <c r="O3022" s="23">
        <v>0</v>
      </c>
      <c r="P3022" s="25">
        <v>0</v>
      </c>
      <c r="Q3022" s="24">
        <v>0</v>
      </c>
      <c r="R3022" s="24">
        <f>O3022-Q3022</f>
        <v>0</v>
      </c>
      <c r="S3022" s="53" t="str">
        <f>IF(O3022&lt;&gt;0,R3022/O3022,"")</f>
        <v/>
      </c>
      <c r="T3022" s="10"/>
      <c r="U3022" s="23">
        <v>778.98</v>
      </c>
      <c r="V3022" s="25">
        <v>288</v>
      </c>
      <c r="W3022" s="24">
        <v>414.7</v>
      </c>
      <c r="X3022" s="24">
        <f>U3022-W3022</f>
        <v>364.28000000000003</v>
      </c>
      <c r="Y3022" s="53">
        <f>IF(U3022&lt;&gt;0,X3022/U3022,"")</f>
        <v>0.46763716655113097</v>
      </c>
      <c r="Z3022" s="23">
        <v>0</v>
      </c>
      <c r="AA3022" s="25">
        <v>0</v>
      </c>
      <c r="AB3022" s="24">
        <v>0</v>
      </c>
      <c r="AC3022" s="24">
        <f t="shared" si="821"/>
        <v>0</v>
      </c>
      <c r="AD3022" s="53" t="str">
        <f t="shared" si="822"/>
        <v/>
      </c>
      <c r="AE3022" s="10"/>
    </row>
    <row r="3023" spans="1:31" x14ac:dyDescent="0.25">
      <c r="A3023" s="14" t="s">
        <v>109</v>
      </c>
      <c r="C3023" s="61" t="str">
        <f t="shared" si="820"/>
        <v>C100145</v>
      </c>
      <c r="F3023" s="8" t="str">
        <f>"E100014"</f>
        <v>E100014</v>
      </c>
      <c r="G3023" s="9" t="str">
        <f>"Stopwatch with Neck Rope"</f>
        <v>Stopwatch with Neck Rope</v>
      </c>
      <c r="H3023" s="47"/>
      <c r="I3023" s="47"/>
      <c r="J3023" s="23">
        <v>716.76</v>
      </c>
      <c r="K3023" s="25">
        <v>288</v>
      </c>
      <c r="L3023" s="24">
        <v>371.5</v>
      </c>
      <c r="M3023" s="24">
        <f>J3023-L3023</f>
        <v>345.26</v>
      </c>
      <c r="N3023" s="53">
        <f>IF(J3023&lt;&gt;0,M3023/J3023,"")</f>
        <v>0.48169540710977177</v>
      </c>
      <c r="O3023" s="23">
        <v>384.11999999999995</v>
      </c>
      <c r="P3023" s="25">
        <v>144</v>
      </c>
      <c r="Q3023" s="24">
        <v>185.75</v>
      </c>
      <c r="R3023" s="24">
        <f>O3023-Q3023</f>
        <v>198.36999999999995</v>
      </c>
      <c r="S3023" s="53">
        <f>IF(O3023&lt;&gt;0,R3023/O3023,"")</f>
        <v>0.51642715817973539</v>
      </c>
      <c r="T3023" s="10"/>
      <c r="U3023" s="23">
        <v>0</v>
      </c>
      <c r="V3023" s="25">
        <v>0</v>
      </c>
      <c r="W3023" s="24">
        <v>0</v>
      </c>
      <c r="X3023" s="24">
        <f>U3023-W3023</f>
        <v>0</v>
      </c>
      <c r="Y3023" s="53" t="str">
        <f>IF(U3023&lt;&gt;0,X3023/U3023,"")</f>
        <v/>
      </c>
      <c r="Z3023" s="23">
        <v>0</v>
      </c>
      <c r="AA3023" s="25">
        <v>0</v>
      </c>
      <c r="AB3023" s="24">
        <v>0</v>
      </c>
      <c r="AC3023" s="24">
        <f t="shared" si="821"/>
        <v>0</v>
      </c>
      <c r="AD3023" s="53" t="str">
        <f t="shared" si="822"/>
        <v/>
      </c>
      <c r="AE3023" s="10"/>
    </row>
    <row r="3024" spans="1:31" x14ac:dyDescent="0.25">
      <c r="A3024" s="14" t="s">
        <v>109</v>
      </c>
      <c r="C3024" s="61" t="str">
        <f t="shared" si="820"/>
        <v>C100145</v>
      </c>
      <c r="F3024" s="8" t="str">
        <f>"E100015"</f>
        <v>E100015</v>
      </c>
      <c r="G3024" s="9" t="str">
        <f>"360 Clip Watch"</f>
        <v>360 Clip Watch</v>
      </c>
      <c r="H3024" s="47"/>
      <c r="I3024" s="47"/>
      <c r="J3024" s="23">
        <v>303.41000000000003</v>
      </c>
      <c r="K3024" s="25">
        <v>144</v>
      </c>
      <c r="L3024" s="24">
        <v>146.88</v>
      </c>
      <c r="M3024" s="24">
        <f>J3024-L3024</f>
        <v>156.53000000000003</v>
      </c>
      <c r="N3024" s="53">
        <f>IF(J3024&lt;&gt;0,M3024/J3024,"")</f>
        <v>0.51590257407468443</v>
      </c>
      <c r="O3024" s="23">
        <v>596.47</v>
      </c>
      <c r="P3024" s="25">
        <v>289</v>
      </c>
      <c r="Q3024" s="24">
        <v>294.77999999999997</v>
      </c>
      <c r="R3024" s="24">
        <f>O3024-Q3024</f>
        <v>301.69000000000005</v>
      </c>
      <c r="S3024" s="53">
        <f>IF(O3024&lt;&gt;0,R3024/O3024,"")</f>
        <v>0.50579241202407499</v>
      </c>
      <c r="T3024" s="10"/>
      <c r="U3024" s="23">
        <v>325.08</v>
      </c>
      <c r="V3024" s="25">
        <v>168</v>
      </c>
      <c r="W3024" s="24">
        <v>171.37</v>
      </c>
      <c r="X3024" s="24">
        <f>U3024-W3024</f>
        <v>153.70999999999998</v>
      </c>
      <c r="Y3024" s="53">
        <f>IF(U3024&lt;&gt;0,X3024/U3024,"")</f>
        <v>0.47283745539559491</v>
      </c>
      <c r="Z3024" s="23">
        <v>287.93</v>
      </c>
      <c r="AA3024" s="25">
        <v>144</v>
      </c>
      <c r="AB3024" s="24">
        <v>146.88</v>
      </c>
      <c r="AC3024" s="24">
        <f t="shared" si="821"/>
        <v>141.05000000000001</v>
      </c>
      <c r="AD3024" s="53">
        <f t="shared" si="822"/>
        <v>0.48987601153058036</v>
      </c>
      <c r="AE3024" s="10"/>
    </row>
    <row r="3025" spans="1:31" x14ac:dyDescent="0.25">
      <c r="A3025" s="14" t="s">
        <v>109</v>
      </c>
      <c r="C3025" s="61" t="str">
        <f t="shared" si="820"/>
        <v>C100145</v>
      </c>
      <c r="F3025" s="8" t="str">
        <f>"E100016"</f>
        <v>E100016</v>
      </c>
      <c r="G3025" s="9" t="str">
        <f>"4 Function Rotating Carabiner Watch"</f>
        <v>4 Function Rotating Carabiner Watch</v>
      </c>
      <c r="H3025" s="47"/>
      <c r="I3025" s="47"/>
      <c r="J3025" s="23">
        <v>892.91</v>
      </c>
      <c r="K3025" s="25">
        <v>313</v>
      </c>
      <c r="L3025" s="24">
        <v>431.96000000000004</v>
      </c>
      <c r="M3025" s="24">
        <f>J3025-L3025</f>
        <v>460.94999999999993</v>
      </c>
      <c r="N3025" s="53">
        <f>IF(J3025&lt;&gt;0,M3025/J3025,"")</f>
        <v>0.5162334389804123</v>
      </c>
      <c r="O3025" s="23">
        <v>0</v>
      </c>
      <c r="P3025" s="25">
        <v>0</v>
      </c>
      <c r="Q3025" s="24">
        <v>0</v>
      </c>
      <c r="R3025" s="24">
        <f>O3025-Q3025</f>
        <v>0</v>
      </c>
      <c r="S3025" s="53" t="str">
        <f>IF(O3025&lt;&gt;0,R3025/O3025,"")</f>
        <v/>
      </c>
      <c r="T3025" s="10"/>
      <c r="U3025" s="23">
        <v>1624.08</v>
      </c>
      <c r="V3025" s="25">
        <v>576</v>
      </c>
      <c r="W3025" s="24">
        <v>794.92000000000007</v>
      </c>
      <c r="X3025" s="24">
        <f>U3025-W3025</f>
        <v>829.15999999999985</v>
      </c>
      <c r="Y3025" s="53">
        <f>IF(U3025&lt;&gt;0,X3025/U3025,"")</f>
        <v>0.51054135264272693</v>
      </c>
      <c r="Z3025" s="23">
        <v>885.73</v>
      </c>
      <c r="AA3025" s="25">
        <v>312</v>
      </c>
      <c r="AB3025" s="24">
        <v>430.58</v>
      </c>
      <c r="AC3025" s="24">
        <f t="shared" si="821"/>
        <v>455.15000000000003</v>
      </c>
      <c r="AD3025" s="53">
        <f t="shared" si="822"/>
        <v>0.51386991521118175</v>
      </c>
      <c r="AE3025" s="10"/>
    </row>
    <row r="3026" spans="1:31" x14ac:dyDescent="0.25">
      <c r="A3026" s="14" t="s">
        <v>109</v>
      </c>
      <c r="C3026" s="61" t="str">
        <f t="shared" si="820"/>
        <v>C100145</v>
      </c>
      <c r="F3026" s="8" t="str">
        <f>"E100017"</f>
        <v>E100017</v>
      </c>
      <c r="G3026" s="9" t="str">
        <f>"Clip-on Clock with Compass"</f>
        <v>Clip-on Clock with Compass</v>
      </c>
      <c r="H3026" s="47"/>
      <c r="I3026" s="47"/>
      <c r="J3026" s="23">
        <v>2.87</v>
      </c>
      <c r="K3026" s="25">
        <v>2</v>
      </c>
      <c r="L3026" s="24">
        <v>1.76</v>
      </c>
      <c r="M3026" s="24">
        <f>J3026-L3026</f>
        <v>1.1100000000000001</v>
      </c>
      <c r="N3026" s="53">
        <f>IF(J3026&lt;&gt;0,M3026/J3026,"")</f>
        <v>0.38675958188153314</v>
      </c>
      <c r="O3026" s="23">
        <v>1.51</v>
      </c>
      <c r="P3026" s="25">
        <v>1</v>
      </c>
      <c r="Q3026" s="24">
        <v>0.88</v>
      </c>
      <c r="R3026" s="24">
        <f>O3026-Q3026</f>
        <v>0.63</v>
      </c>
      <c r="S3026" s="53">
        <f>IF(O3026&lt;&gt;0,R3026/O3026,"")</f>
        <v>0.41721854304635764</v>
      </c>
      <c r="T3026" s="10"/>
      <c r="U3026" s="23">
        <v>218.09000000000003</v>
      </c>
      <c r="V3026" s="25">
        <v>150</v>
      </c>
      <c r="W3026" s="24">
        <v>132</v>
      </c>
      <c r="X3026" s="24">
        <f>U3026-W3026</f>
        <v>86.090000000000032</v>
      </c>
      <c r="Y3026" s="53">
        <f>IF(U3026&lt;&gt;0,X3026/U3026,"")</f>
        <v>0.39474528864230374</v>
      </c>
      <c r="Z3026" s="23">
        <v>0</v>
      </c>
      <c r="AA3026" s="25">
        <v>0</v>
      </c>
      <c r="AB3026" s="24">
        <v>0</v>
      </c>
      <c r="AC3026" s="24">
        <f t="shared" si="821"/>
        <v>0</v>
      </c>
      <c r="AD3026" s="53" t="str">
        <f t="shared" si="822"/>
        <v/>
      </c>
      <c r="AE3026" s="10"/>
    </row>
    <row r="3027" spans="1:31" x14ac:dyDescent="0.25">
      <c r="A3027" s="14" t="s">
        <v>109</v>
      </c>
      <c r="C3027" s="61" t="str">
        <f t="shared" si="820"/>
        <v>C100145</v>
      </c>
      <c r="F3027" s="8" t="str">
        <f>"E100018"</f>
        <v>E100018</v>
      </c>
      <c r="G3027" s="9" t="str">
        <f>"Flexi-Clock &amp; Clip"</f>
        <v>Flexi-Clock &amp; Clip</v>
      </c>
      <c r="H3027" s="47"/>
      <c r="I3027" s="47"/>
      <c r="J3027" s="23">
        <v>305.90999999999997</v>
      </c>
      <c r="K3027" s="25">
        <v>288</v>
      </c>
      <c r="L3027" s="24">
        <v>172.78</v>
      </c>
      <c r="M3027" s="24">
        <f>J3027-L3027</f>
        <v>133.12999999999997</v>
      </c>
      <c r="N3027" s="53">
        <f>IF(J3027&lt;&gt;0,M3027/J3027,"")</f>
        <v>0.43519335752345456</v>
      </c>
      <c r="O3027" s="23">
        <v>309.17</v>
      </c>
      <c r="P3027" s="25">
        <v>288</v>
      </c>
      <c r="Q3027" s="24">
        <v>172.77</v>
      </c>
      <c r="R3027" s="24">
        <f>O3027-Q3027</f>
        <v>136.4</v>
      </c>
      <c r="S3027" s="53">
        <f>IF(O3027&lt;&gt;0,R3027/O3027,"")</f>
        <v>0.44118122715658054</v>
      </c>
      <c r="T3027" s="10"/>
      <c r="U3027" s="23">
        <v>461.55</v>
      </c>
      <c r="V3027" s="25">
        <v>433</v>
      </c>
      <c r="W3027" s="24">
        <v>259.77</v>
      </c>
      <c r="X3027" s="24">
        <f>U3027-W3027</f>
        <v>201.78000000000003</v>
      </c>
      <c r="Y3027" s="53">
        <f>IF(U3027&lt;&gt;0,X3027/U3027,"")</f>
        <v>0.43717907052323696</v>
      </c>
      <c r="Z3027" s="23">
        <v>160.57</v>
      </c>
      <c r="AA3027" s="25">
        <v>145</v>
      </c>
      <c r="AB3027" s="24">
        <v>86.990000000000009</v>
      </c>
      <c r="AC3027" s="24">
        <f t="shared" si="821"/>
        <v>73.579999999999984</v>
      </c>
      <c r="AD3027" s="53">
        <f t="shared" si="822"/>
        <v>0.45824251105436875</v>
      </c>
      <c r="AE3027" s="10"/>
    </row>
    <row r="3028" spans="1:31" x14ac:dyDescent="0.25">
      <c r="A3028" s="14" t="s">
        <v>109</v>
      </c>
      <c r="C3028" s="61" t="str">
        <f t="shared" si="820"/>
        <v>C100145</v>
      </c>
      <c r="F3028" s="8" t="str">
        <f>"S100001"</f>
        <v>S100001</v>
      </c>
      <c r="G3028" s="9" t="str">
        <f>"Basketball Graphic Plaque"</f>
        <v>Basketball Graphic Plaque</v>
      </c>
      <c r="H3028" s="47"/>
      <c r="I3028" s="47"/>
      <c r="J3028" s="23">
        <v>2145.4</v>
      </c>
      <c r="K3028" s="25">
        <v>144</v>
      </c>
      <c r="L3028" s="24">
        <v>1310.4000000000001</v>
      </c>
      <c r="M3028" s="24">
        <f>J3028-L3028</f>
        <v>835</v>
      </c>
      <c r="N3028" s="53">
        <f>IF(J3028&lt;&gt;0,M3028/J3028,"")</f>
        <v>0.38920481029178705</v>
      </c>
      <c r="O3028" s="23">
        <v>2338.2400000000002</v>
      </c>
      <c r="P3028" s="25">
        <v>144</v>
      </c>
      <c r="Q3028" s="24">
        <v>1310.4000000000001</v>
      </c>
      <c r="R3028" s="24">
        <f>O3028-Q3028</f>
        <v>1027.8400000000001</v>
      </c>
      <c r="S3028" s="53">
        <f>IF(O3028&lt;&gt;0,R3028/O3028,"")</f>
        <v>0.43957848638292052</v>
      </c>
      <c r="T3028" s="10"/>
      <c r="U3028" s="23">
        <v>0</v>
      </c>
      <c r="V3028" s="25">
        <v>0</v>
      </c>
      <c r="W3028" s="24">
        <v>0</v>
      </c>
      <c r="X3028" s="24">
        <f>U3028-W3028</f>
        <v>0</v>
      </c>
      <c r="Y3028" s="53" t="str">
        <f>IF(U3028&lt;&gt;0,X3028/U3028,"")</f>
        <v/>
      </c>
      <c r="Z3028" s="23">
        <v>2258.23</v>
      </c>
      <c r="AA3028" s="25">
        <v>145</v>
      </c>
      <c r="AB3028" s="24">
        <v>1319.5</v>
      </c>
      <c r="AC3028" s="24">
        <f t="shared" si="821"/>
        <v>938.73</v>
      </c>
      <c r="AD3028" s="53">
        <f t="shared" si="822"/>
        <v>0.41569282136894825</v>
      </c>
      <c r="AE3028" s="10"/>
    </row>
    <row r="3029" spans="1:31" x14ac:dyDescent="0.25">
      <c r="A3029" s="14" t="s">
        <v>109</v>
      </c>
      <c r="C3029" s="61" t="str">
        <f t="shared" si="820"/>
        <v>C100145</v>
      </c>
      <c r="F3029" s="8" t="str">
        <f>"S100002"</f>
        <v>S100002</v>
      </c>
      <c r="G3029" s="9" t="str">
        <f>"Football Graphic Plaque"</f>
        <v>Football Graphic Plaque</v>
      </c>
      <c r="H3029" s="47"/>
      <c r="I3029" s="47"/>
      <c r="J3029" s="23">
        <v>3169.4</v>
      </c>
      <c r="K3029" s="25">
        <v>144</v>
      </c>
      <c r="L3029" s="24">
        <v>1712.1699999999998</v>
      </c>
      <c r="M3029" s="24">
        <f>J3029-L3029</f>
        <v>1457.2300000000002</v>
      </c>
      <c r="N3029" s="53">
        <f>IF(J3029&lt;&gt;0,M3029/J3029,"")</f>
        <v>0.45978103110998936</v>
      </c>
      <c r="O3029" s="23">
        <v>3406.56</v>
      </c>
      <c r="P3029" s="25">
        <v>145</v>
      </c>
      <c r="Q3029" s="24">
        <v>1724.06</v>
      </c>
      <c r="R3029" s="24">
        <f>O3029-Q3029</f>
        <v>1682.5</v>
      </c>
      <c r="S3029" s="53">
        <f>IF(O3029&lt;&gt;0,R3029/O3029,"")</f>
        <v>0.49390000469682027</v>
      </c>
      <c r="T3029" s="10"/>
      <c r="U3029" s="23">
        <v>6588.07</v>
      </c>
      <c r="V3029" s="25">
        <v>288</v>
      </c>
      <c r="W3029" s="24">
        <v>3424.3399999999997</v>
      </c>
      <c r="X3029" s="24">
        <f>U3029-W3029</f>
        <v>3163.73</v>
      </c>
      <c r="Y3029" s="53">
        <f>IF(U3029&lt;&gt;0,X3029/U3029,"")</f>
        <v>0.48022106626068034</v>
      </c>
      <c r="Z3029" s="23">
        <v>3311.8399999999997</v>
      </c>
      <c r="AA3029" s="25">
        <v>144</v>
      </c>
      <c r="AB3029" s="24">
        <v>1712.1699999999998</v>
      </c>
      <c r="AC3029" s="24">
        <f t="shared" si="821"/>
        <v>1599.6699999999998</v>
      </c>
      <c r="AD3029" s="53">
        <f t="shared" si="822"/>
        <v>0.48301548383979903</v>
      </c>
      <c r="AE3029" s="10"/>
    </row>
    <row r="3030" spans="1:31" x14ac:dyDescent="0.25">
      <c r="A3030" s="14" t="s">
        <v>109</v>
      </c>
      <c r="C3030" s="61" t="str">
        <f t="shared" si="820"/>
        <v>C100145</v>
      </c>
      <c r="F3030" s="8" t="str">
        <f>"S100003"</f>
        <v>S100003</v>
      </c>
      <c r="G3030" s="9" t="str">
        <f>"Soccer #1 Pin"</f>
        <v>Soccer #1 Pin</v>
      </c>
      <c r="H3030" s="47"/>
      <c r="I3030" s="47"/>
      <c r="J3030" s="23">
        <v>207.36</v>
      </c>
      <c r="K3030" s="25">
        <v>144</v>
      </c>
      <c r="L3030" s="24">
        <v>129.6</v>
      </c>
      <c r="M3030" s="24">
        <f>J3030-L3030</f>
        <v>77.760000000000019</v>
      </c>
      <c r="N3030" s="53">
        <f>IF(J3030&lt;&gt;0,M3030/J3030,"")</f>
        <v>0.37500000000000006</v>
      </c>
      <c r="O3030" s="23">
        <v>0</v>
      </c>
      <c r="P3030" s="25">
        <v>0</v>
      </c>
      <c r="Q3030" s="24">
        <v>0</v>
      </c>
      <c r="R3030" s="24">
        <f>O3030-Q3030</f>
        <v>0</v>
      </c>
      <c r="S3030" s="53" t="str">
        <f>IF(O3030&lt;&gt;0,R3030/O3030,"")</f>
        <v/>
      </c>
      <c r="T3030" s="10"/>
      <c r="U3030" s="23">
        <v>194.4</v>
      </c>
      <c r="V3030" s="25">
        <v>144</v>
      </c>
      <c r="W3030" s="24">
        <v>129.6</v>
      </c>
      <c r="X3030" s="24">
        <f>U3030-W3030</f>
        <v>64.800000000000011</v>
      </c>
      <c r="Y3030" s="53">
        <f>IF(U3030&lt;&gt;0,X3030/U3030,"")</f>
        <v>0.33333333333333337</v>
      </c>
      <c r="Z3030" s="23">
        <v>1.39</v>
      </c>
      <c r="AA3030" s="25">
        <v>1</v>
      </c>
      <c r="AB3030" s="24">
        <v>0.9</v>
      </c>
      <c r="AC3030" s="24">
        <f t="shared" si="821"/>
        <v>0.48999999999999988</v>
      </c>
      <c r="AD3030" s="53">
        <f t="shared" si="822"/>
        <v>0.35251798561151071</v>
      </c>
      <c r="AE3030" s="10"/>
    </row>
    <row r="3031" spans="1:31" x14ac:dyDescent="0.25">
      <c r="A3031" s="14" t="s">
        <v>109</v>
      </c>
      <c r="C3031" s="61" t="str">
        <f t="shared" si="820"/>
        <v>C100145</v>
      </c>
      <c r="F3031" s="8" t="str">
        <f>"S100004"</f>
        <v>S100004</v>
      </c>
      <c r="G3031" s="9" t="str">
        <f>"Award Medallian - 2''"</f>
        <v>Award Medallian - 2''</v>
      </c>
      <c r="H3031" s="47"/>
      <c r="I3031" s="47"/>
      <c r="J3031" s="23">
        <v>2009.29</v>
      </c>
      <c r="K3031" s="25">
        <v>145</v>
      </c>
      <c r="L3031" s="24">
        <v>967.15</v>
      </c>
      <c r="M3031" s="24">
        <f>J3031-L3031</f>
        <v>1042.1399999999999</v>
      </c>
      <c r="N3031" s="53">
        <f>IF(J3031&lt;&gt;0,M3031/J3031,"")</f>
        <v>0.51866082048882933</v>
      </c>
      <c r="O3031" s="23">
        <v>658.36</v>
      </c>
      <c r="P3031" s="25">
        <v>48</v>
      </c>
      <c r="Q3031" s="24">
        <v>320.16000000000003</v>
      </c>
      <c r="R3031" s="24">
        <f>O3031-Q3031</f>
        <v>338.2</v>
      </c>
      <c r="S3031" s="53">
        <f>IF(O3031&lt;&gt;0,R3031/O3031,"")</f>
        <v>0.51370071085728175</v>
      </c>
      <c r="T3031" s="10"/>
      <c r="U3031" s="23">
        <v>3759.2599999999998</v>
      </c>
      <c r="V3031" s="25">
        <v>289</v>
      </c>
      <c r="W3031" s="24">
        <v>1927.63</v>
      </c>
      <c r="X3031" s="24">
        <f>U3031-W3031</f>
        <v>1831.6299999999997</v>
      </c>
      <c r="Y3031" s="53">
        <f>IF(U3031&lt;&gt;0,X3031/U3031,"")</f>
        <v>0.48723152960955074</v>
      </c>
      <c r="Z3031" s="23">
        <v>0</v>
      </c>
      <c r="AA3031" s="25">
        <v>0</v>
      </c>
      <c r="AB3031" s="24">
        <v>0</v>
      </c>
      <c r="AC3031" s="24">
        <f t="shared" si="821"/>
        <v>0</v>
      </c>
      <c r="AD3031" s="53" t="str">
        <f t="shared" si="822"/>
        <v/>
      </c>
      <c r="AE3031" s="10"/>
    </row>
    <row r="3032" spans="1:31" x14ac:dyDescent="0.25">
      <c r="A3032" s="14" t="s">
        <v>109</v>
      </c>
      <c r="C3032" s="61" t="str">
        <f t="shared" si="820"/>
        <v>C100145</v>
      </c>
      <c r="F3032" s="8" t="str">
        <f>"S100005"</f>
        <v>S100005</v>
      </c>
      <c r="G3032" s="9" t="str">
        <f>"Award Medallian - 2.5''"</f>
        <v>Award Medallian - 2.5''</v>
      </c>
      <c r="H3032" s="47"/>
      <c r="I3032" s="47"/>
      <c r="J3032" s="23">
        <v>1148.5999999999999</v>
      </c>
      <c r="K3032" s="25">
        <v>144</v>
      </c>
      <c r="L3032" s="24">
        <v>751.69</v>
      </c>
      <c r="M3032" s="24">
        <f>J3032-L3032</f>
        <v>396.90999999999985</v>
      </c>
      <c r="N3032" s="53">
        <f>IF(J3032&lt;&gt;0,M3032/J3032,"")</f>
        <v>0.34555981194497637</v>
      </c>
      <c r="O3032" s="23">
        <v>0</v>
      </c>
      <c r="P3032" s="25">
        <v>0</v>
      </c>
      <c r="Q3032" s="24">
        <v>0</v>
      </c>
      <c r="R3032" s="24">
        <f>O3032-Q3032</f>
        <v>0</v>
      </c>
      <c r="S3032" s="53" t="str">
        <f>IF(O3032&lt;&gt;0,R3032/O3032,"")</f>
        <v/>
      </c>
      <c r="T3032" s="10"/>
      <c r="U3032" s="23">
        <v>4681.8</v>
      </c>
      <c r="V3032" s="25">
        <v>576</v>
      </c>
      <c r="W3032" s="24">
        <v>3006.76</v>
      </c>
      <c r="X3032" s="24">
        <f>U3032-W3032</f>
        <v>1675.04</v>
      </c>
      <c r="Y3032" s="53">
        <f>IF(U3032&lt;&gt;0,X3032/U3032,"")</f>
        <v>0.35777692340552775</v>
      </c>
      <c r="Z3032" s="23">
        <v>0</v>
      </c>
      <c r="AA3032" s="25">
        <v>0</v>
      </c>
      <c r="AB3032" s="24">
        <v>0</v>
      </c>
      <c r="AC3032" s="24">
        <f t="shared" si="821"/>
        <v>0</v>
      </c>
      <c r="AD3032" s="53" t="str">
        <f t="shared" si="822"/>
        <v/>
      </c>
      <c r="AE3032" s="10"/>
    </row>
    <row r="3033" spans="1:31" x14ac:dyDescent="0.25">
      <c r="A3033" s="14" t="s">
        <v>109</v>
      </c>
      <c r="C3033" s="61" t="str">
        <f t="shared" si="820"/>
        <v>C100145</v>
      </c>
      <c r="F3033" s="8" t="str">
        <f>"S100006"</f>
        <v>S100006</v>
      </c>
      <c r="G3033" s="9" t="str">
        <f>"Award Medallian - 3''"</f>
        <v>Award Medallian - 3''</v>
      </c>
      <c r="H3033" s="47"/>
      <c r="I3033" s="47"/>
      <c r="J3033" s="23">
        <v>0</v>
      </c>
      <c r="K3033" s="25">
        <v>0</v>
      </c>
      <c r="L3033" s="24">
        <v>0</v>
      </c>
      <c r="M3033" s="24">
        <f>J3033-L3033</f>
        <v>0</v>
      </c>
      <c r="N3033" s="53" t="str">
        <f>IF(J3033&lt;&gt;0,M3033/J3033,"")</f>
        <v/>
      </c>
      <c r="O3033" s="23">
        <v>1725.05</v>
      </c>
      <c r="P3033" s="25">
        <v>156</v>
      </c>
      <c r="Q3033" s="24">
        <v>1154.3899999999999</v>
      </c>
      <c r="R3033" s="24">
        <f>O3033-Q3033</f>
        <v>570.66000000000008</v>
      </c>
      <c r="S3033" s="53">
        <f>IF(O3033&lt;&gt;0,R3033/O3033,"")</f>
        <v>0.33080780267238635</v>
      </c>
      <c r="T3033" s="10"/>
      <c r="U3033" s="23">
        <v>0</v>
      </c>
      <c r="V3033" s="25">
        <v>0</v>
      </c>
      <c r="W3033" s="24">
        <v>0</v>
      </c>
      <c r="X3033" s="24">
        <f>U3033-W3033</f>
        <v>0</v>
      </c>
      <c r="Y3033" s="53" t="str">
        <f>IF(U3033&lt;&gt;0,X3033/U3033,"")</f>
        <v/>
      </c>
      <c r="Z3033" s="23">
        <v>0</v>
      </c>
      <c r="AA3033" s="25">
        <v>0</v>
      </c>
      <c r="AB3033" s="24">
        <v>0</v>
      </c>
      <c r="AC3033" s="24">
        <f t="shared" si="821"/>
        <v>0</v>
      </c>
      <c r="AD3033" s="53" t="str">
        <f t="shared" si="822"/>
        <v/>
      </c>
      <c r="AE3033" s="10"/>
    </row>
    <row r="3034" spans="1:31" x14ac:dyDescent="0.25">
      <c r="A3034" s="14" t="s">
        <v>109</v>
      </c>
      <c r="C3034" s="61" t="str">
        <f t="shared" si="820"/>
        <v>C100145</v>
      </c>
      <c r="F3034" s="8" t="str">
        <f>"S100007"</f>
        <v>S100007</v>
      </c>
      <c r="G3034" s="9" t="str">
        <f>"Baseball Figure Trophy"</f>
        <v>Baseball Figure Trophy</v>
      </c>
      <c r="H3034" s="47"/>
      <c r="I3034" s="47"/>
      <c r="J3034" s="23">
        <v>1044.29</v>
      </c>
      <c r="K3034" s="25">
        <v>144</v>
      </c>
      <c r="L3034" s="24">
        <v>529.91999999999996</v>
      </c>
      <c r="M3034" s="24">
        <f>J3034-L3034</f>
        <v>514.37</v>
      </c>
      <c r="N3034" s="53">
        <f>IF(J3034&lt;&gt;0,M3034/J3034,"")</f>
        <v>0.4925547501173046</v>
      </c>
      <c r="O3034" s="23">
        <v>1012.32</v>
      </c>
      <c r="P3034" s="25">
        <v>144</v>
      </c>
      <c r="Q3034" s="24">
        <v>529.91999999999996</v>
      </c>
      <c r="R3034" s="24">
        <f>O3034-Q3034</f>
        <v>482.40000000000009</v>
      </c>
      <c r="S3034" s="53">
        <f>IF(O3034&lt;&gt;0,R3034/O3034,"")</f>
        <v>0.4765291607396871</v>
      </c>
      <c r="T3034" s="10"/>
      <c r="U3034" s="23">
        <v>2923.96</v>
      </c>
      <c r="V3034" s="25">
        <v>439</v>
      </c>
      <c r="W3034" s="24">
        <v>1615.52</v>
      </c>
      <c r="X3034" s="24">
        <f>U3034-W3034</f>
        <v>1308.44</v>
      </c>
      <c r="Y3034" s="53">
        <f>IF(U3034&lt;&gt;0,X3034/U3034,"")</f>
        <v>0.44748902173764349</v>
      </c>
      <c r="Z3034" s="23">
        <v>6.88</v>
      </c>
      <c r="AA3034" s="25">
        <v>1</v>
      </c>
      <c r="AB3034" s="24">
        <v>3.68</v>
      </c>
      <c r="AC3034" s="24">
        <f t="shared" si="821"/>
        <v>3.1999999999999997</v>
      </c>
      <c r="AD3034" s="53">
        <f t="shared" si="822"/>
        <v>0.46511627906976744</v>
      </c>
      <c r="AE3034" s="10"/>
    </row>
    <row r="3035" spans="1:31" x14ac:dyDescent="0.25">
      <c r="A3035" s="14" t="s">
        <v>109</v>
      </c>
      <c r="C3035" s="61" t="str">
        <f t="shared" si="820"/>
        <v>C100145</v>
      </c>
      <c r="F3035" s="8" t="str">
        <f>"S100008"</f>
        <v>S100008</v>
      </c>
      <c r="G3035" s="9" t="str">
        <f>"Soccer Figure Trophy"</f>
        <v>Soccer Figure Trophy</v>
      </c>
      <c r="H3035" s="47"/>
      <c r="I3035" s="47"/>
      <c r="J3035" s="23">
        <v>0</v>
      </c>
      <c r="K3035" s="25">
        <v>0</v>
      </c>
      <c r="L3035" s="24">
        <v>0</v>
      </c>
      <c r="M3035" s="24">
        <f>J3035-L3035</f>
        <v>0</v>
      </c>
      <c r="N3035" s="53" t="str">
        <f>IF(J3035&lt;&gt;0,M3035/J3035,"")</f>
        <v/>
      </c>
      <c r="O3035" s="23">
        <v>809.86</v>
      </c>
      <c r="P3035" s="25">
        <v>144</v>
      </c>
      <c r="Q3035" s="24">
        <v>529.91999999999996</v>
      </c>
      <c r="R3035" s="24">
        <f>O3035-Q3035</f>
        <v>279.94000000000005</v>
      </c>
      <c r="S3035" s="53">
        <f>IF(O3035&lt;&gt;0,R3035/O3035,"")</f>
        <v>0.34566468278467888</v>
      </c>
      <c r="T3035" s="10"/>
      <c r="U3035" s="23">
        <v>1937.9099999999999</v>
      </c>
      <c r="V3035" s="25">
        <v>338</v>
      </c>
      <c r="W3035" s="24">
        <v>1243.8400000000001</v>
      </c>
      <c r="X3035" s="24">
        <f>U3035-W3035</f>
        <v>694.06999999999971</v>
      </c>
      <c r="Y3035" s="53">
        <f>IF(U3035&lt;&gt;0,X3035/U3035,"")</f>
        <v>0.35815388743543292</v>
      </c>
      <c r="Z3035" s="23">
        <v>792.81</v>
      </c>
      <c r="AA3035" s="25">
        <v>144</v>
      </c>
      <c r="AB3035" s="24">
        <v>529.91999999999996</v>
      </c>
      <c r="AC3035" s="24">
        <f t="shared" si="821"/>
        <v>262.89</v>
      </c>
      <c r="AD3035" s="53">
        <f t="shared" si="822"/>
        <v>0.33159268929503916</v>
      </c>
      <c r="AE3035" s="10"/>
    </row>
    <row r="3036" spans="1:31" x14ac:dyDescent="0.25">
      <c r="A3036" s="14" t="s">
        <v>109</v>
      </c>
      <c r="C3036" s="61" t="str">
        <f t="shared" si="820"/>
        <v>C100145</v>
      </c>
      <c r="F3036" s="8" t="str">
        <f>"S100009"</f>
        <v>S100009</v>
      </c>
      <c r="G3036" s="9" t="str">
        <f>"Engraved Basketball Award"</f>
        <v>Engraved Basketball Award</v>
      </c>
      <c r="H3036" s="47"/>
      <c r="I3036" s="47"/>
      <c r="J3036" s="23">
        <v>2535.67</v>
      </c>
      <c r="K3036" s="25">
        <v>144</v>
      </c>
      <c r="L3036" s="24">
        <v>1270.07</v>
      </c>
      <c r="M3036" s="24">
        <f>J3036-L3036</f>
        <v>1265.6000000000001</v>
      </c>
      <c r="N3036" s="53">
        <f>IF(J3036&lt;&gt;0,M3036/J3036,"")</f>
        <v>0.49911857615541461</v>
      </c>
      <c r="O3036" s="23">
        <v>0</v>
      </c>
      <c r="P3036" s="25">
        <v>0</v>
      </c>
      <c r="Q3036" s="24">
        <v>0</v>
      </c>
      <c r="R3036" s="24">
        <f>O3036-Q3036</f>
        <v>0</v>
      </c>
      <c r="S3036" s="53" t="str">
        <f>IF(O3036&lt;&gt;0,R3036/O3036,"")</f>
        <v/>
      </c>
      <c r="T3036" s="10"/>
      <c r="U3036" s="23">
        <v>647.69000000000005</v>
      </c>
      <c r="V3036" s="25">
        <v>36</v>
      </c>
      <c r="W3036" s="24">
        <v>317.52</v>
      </c>
      <c r="X3036" s="24">
        <f>U3036-W3036</f>
        <v>330.17000000000007</v>
      </c>
      <c r="Y3036" s="53">
        <f>IF(U3036&lt;&gt;0,X3036/U3036,"")</f>
        <v>0.50976547422377994</v>
      </c>
      <c r="Z3036" s="23">
        <v>0</v>
      </c>
      <c r="AA3036" s="25">
        <v>0</v>
      </c>
      <c r="AB3036" s="24">
        <v>0</v>
      </c>
      <c r="AC3036" s="24">
        <f t="shared" si="821"/>
        <v>0</v>
      </c>
      <c r="AD3036" s="53" t="str">
        <f t="shared" si="822"/>
        <v/>
      </c>
      <c r="AE3036" s="10"/>
    </row>
    <row r="3037" spans="1:31" x14ac:dyDescent="0.25">
      <c r="A3037" s="14" t="s">
        <v>109</v>
      </c>
      <c r="C3037" s="61" t="str">
        <f t="shared" si="820"/>
        <v>C100145</v>
      </c>
      <c r="F3037" s="8" t="str">
        <f>"S100010"</f>
        <v>S100010</v>
      </c>
      <c r="G3037" s="9" t="str">
        <f>"Golf Relaxed Cap"</f>
        <v>Golf Relaxed Cap</v>
      </c>
      <c r="H3037" s="47"/>
      <c r="I3037" s="47"/>
      <c r="J3037" s="23">
        <v>2741.2599999999998</v>
      </c>
      <c r="K3037" s="25">
        <v>288</v>
      </c>
      <c r="L3037" s="24">
        <v>1753.94</v>
      </c>
      <c r="M3037" s="24">
        <f>J3037-L3037</f>
        <v>987.31999999999971</v>
      </c>
      <c r="N3037" s="53">
        <f>IF(J3037&lt;&gt;0,M3037/J3037,"")</f>
        <v>0.36017014073820058</v>
      </c>
      <c r="O3037" s="23">
        <v>0</v>
      </c>
      <c r="P3037" s="25">
        <v>0</v>
      </c>
      <c r="Q3037" s="24">
        <v>0</v>
      </c>
      <c r="R3037" s="24">
        <f>O3037-Q3037</f>
        <v>0</v>
      </c>
      <c r="S3037" s="53" t="str">
        <f>IF(O3037&lt;&gt;0,R3037/O3037,"")</f>
        <v/>
      </c>
      <c r="T3037" s="10"/>
      <c r="U3037" s="23">
        <v>1452.12</v>
      </c>
      <c r="V3037" s="25">
        <v>144</v>
      </c>
      <c r="W3037" s="24">
        <v>876.97</v>
      </c>
      <c r="X3037" s="24">
        <f>U3037-W3037</f>
        <v>575.14999999999986</v>
      </c>
      <c r="Y3037" s="53">
        <f>IF(U3037&lt;&gt;0,X3037/U3037,"")</f>
        <v>0.39607608186651233</v>
      </c>
      <c r="Z3037" s="23">
        <v>0</v>
      </c>
      <c r="AA3037" s="25">
        <v>0</v>
      </c>
      <c r="AB3037" s="24">
        <v>0</v>
      </c>
      <c r="AC3037" s="24">
        <f t="shared" si="821"/>
        <v>0</v>
      </c>
      <c r="AD3037" s="53" t="str">
        <f t="shared" si="822"/>
        <v/>
      </c>
      <c r="AE3037" s="10"/>
    </row>
    <row r="3038" spans="1:31" x14ac:dyDescent="0.25">
      <c r="A3038" s="14" t="s">
        <v>109</v>
      </c>
      <c r="C3038" s="61" t="str">
        <f t="shared" si="820"/>
        <v>C100145</v>
      </c>
      <c r="F3038" s="8" t="str">
        <f>"S100011"</f>
        <v>S100011</v>
      </c>
      <c r="G3038" s="9" t="str">
        <f>"All Star Cap"</f>
        <v>All Star Cap</v>
      </c>
      <c r="H3038" s="47"/>
      <c r="I3038" s="47"/>
      <c r="J3038" s="23">
        <v>1.42</v>
      </c>
      <c r="K3038" s="25">
        <v>1</v>
      </c>
      <c r="L3038" s="24">
        <v>0.85</v>
      </c>
      <c r="M3038" s="24">
        <f>J3038-L3038</f>
        <v>0.56999999999999995</v>
      </c>
      <c r="N3038" s="53">
        <f>IF(J3038&lt;&gt;0,M3038/J3038,"")</f>
        <v>0.40140845070422532</v>
      </c>
      <c r="O3038" s="23">
        <v>396.72</v>
      </c>
      <c r="P3038" s="25">
        <v>288</v>
      </c>
      <c r="Q3038" s="24">
        <v>244.81000000000003</v>
      </c>
      <c r="R3038" s="24">
        <f>O3038-Q3038</f>
        <v>151.91</v>
      </c>
      <c r="S3038" s="53">
        <f>IF(O3038&lt;&gt;0,R3038/O3038,"")</f>
        <v>0.38291490219802377</v>
      </c>
      <c r="T3038" s="10"/>
      <c r="U3038" s="23">
        <v>982.66</v>
      </c>
      <c r="V3038" s="25">
        <v>721</v>
      </c>
      <c r="W3038" s="24">
        <v>612.89</v>
      </c>
      <c r="X3038" s="24">
        <f>U3038-W3038</f>
        <v>369.77</v>
      </c>
      <c r="Y3038" s="53">
        <f>IF(U3038&lt;&gt;0,X3038/U3038,"")</f>
        <v>0.37629495451122463</v>
      </c>
      <c r="Z3038" s="23">
        <v>592.99</v>
      </c>
      <c r="AA3038" s="25">
        <v>432</v>
      </c>
      <c r="AB3038" s="24">
        <v>367.21999999999997</v>
      </c>
      <c r="AC3038" s="24">
        <f t="shared" si="821"/>
        <v>225.77000000000004</v>
      </c>
      <c r="AD3038" s="53">
        <f t="shared" si="822"/>
        <v>0.38073154690635597</v>
      </c>
      <c r="AE3038" s="10"/>
    </row>
    <row r="3039" spans="1:31" x14ac:dyDescent="0.25">
      <c r="A3039" s="14" t="s">
        <v>109</v>
      </c>
      <c r="C3039" s="61" t="str">
        <f t="shared" si="820"/>
        <v>C100145</v>
      </c>
      <c r="F3039" s="8" t="str">
        <f>"S100012"</f>
        <v>S100012</v>
      </c>
      <c r="G3039" s="9" t="str">
        <f>"Raw-Edge Patch BALL CAP"</f>
        <v>Raw-Edge Patch BALL CAP</v>
      </c>
      <c r="H3039" s="47"/>
      <c r="I3039" s="47"/>
      <c r="J3039" s="23">
        <v>0</v>
      </c>
      <c r="K3039" s="25">
        <v>0</v>
      </c>
      <c r="L3039" s="24">
        <v>0</v>
      </c>
      <c r="M3039" s="24">
        <f>J3039-L3039</f>
        <v>0</v>
      </c>
      <c r="N3039" s="53" t="str">
        <f>IF(J3039&lt;&gt;0,M3039/J3039,"")</f>
        <v/>
      </c>
      <c r="O3039" s="23">
        <v>1436.73</v>
      </c>
      <c r="P3039" s="25">
        <v>145</v>
      </c>
      <c r="Q3039" s="24">
        <v>813.44999999999993</v>
      </c>
      <c r="R3039" s="24">
        <f>O3039-Q3039</f>
        <v>623.28000000000009</v>
      </c>
      <c r="S3039" s="53">
        <f>IF(O3039&lt;&gt;0,R3039/O3039,"")</f>
        <v>0.43381846275918234</v>
      </c>
      <c r="T3039" s="10"/>
      <c r="U3039" s="23">
        <v>2838.62</v>
      </c>
      <c r="V3039" s="25">
        <v>288</v>
      </c>
      <c r="W3039" s="24">
        <v>1615.6799999999998</v>
      </c>
      <c r="X3039" s="24">
        <f>U3039-W3039</f>
        <v>1222.94</v>
      </c>
      <c r="Y3039" s="53">
        <f>IF(U3039&lt;&gt;0,X3039/U3039,"")</f>
        <v>0.43082201915015045</v>
      </c>
      <c r="Z3039" s="23">
        <v>116.4</v>
      </c>
      <c r="AA3039" s="25">
        <v>12</v>
      </c>
      <c r="AB3039" s="24">
        <v>67.319999999999993</v>
      </c>
      <c r="AC3039" s="24">
        <f t="shared" si="821"/>
        <v>49.080000000000013</v>
      </c>
      <c r="AD3039" s="53">
        <f t="shared" si="822"/>
        <v>0.42164948453608259</v>
      </c>
      <c r="AE3039" s="10"/>
    </row>
    <row r="3040" spans="1:31" x14ac:dyDescent="0.25">
      <c r="A3040" s="14" t="s">
        <v>109</v>
      </c>
      <c r="C3040" s="61" t="str">
        <f t="shared" si="820"/>
        <v>C100145</v>
      </c>
      <c r="F3040" s="8" t="str">
        <f>"S100013"</f>
        <v>S100013</v>
      </c>
      <c r="G3040" s="9" t="str">
        <f>"Mesh BALL CAP"</f>
        <v>Mesh BALL CAP</v>
      </c>
      <c r="H3040" s="47"/>
      <c r="I3040" s="47"/>
      <c r="J3040" s="23">
        <v>38.020000000000003</v>
      </c>
      <c r="K3040" s="25">
        <v>6</v>
      </c>
      <c r="L3040" s="24">
        <v>20.64</v>
      </c>
      <c r="M3040" s="24">
        <f>J3040-L3040</f>
        <v>17.380000000000003</v>
      </c>
      <c r="N3040" s="53">
        <f>IF(J3040&lt;&gt;0,M3040/J3040,"")</f>
        <v>0.45712782745923203</v>
      </c>
      <c r="O3040" s="23">
        <v>0</v>
      </c>
      <c r="P3040" s="25">
        <v>0</v>
      </c>
      <c r="Q3040" s="24">
        <v>0</v>
      </c>
      <c r="R3040" s="24">
        <f>O3040-Q3040</f>
        <v>0</v>
      </c>
      <c r="S3040" s="53" t="str">
        <f>IF(O3040&lt;&gt;0,R3040/O3040,"")</f>
        <v/>
      </c>
      <c r="T3040" s="10"/>
      <c r="U3040" s="23">
        <v>2594.59</v>
      </c>
      <c r="V3040" s="25">
        <v>432</v>
      </c>
      <c r="W3040" s="24">
        <v>1486.11</v>
      </c>
      <c r="X3040" s="24">
        <f>U3040-W3040</f>
        <v>1108.4800000000002</v>
      </c>
      <c r="Y3040" s="53">
        <f>IF(U3040&lt;&gt;0,X3040/U3040,"")</f>
        <v>0.42722742321522866</v>
      </c>
      <c r="Z3040" s="23">
        <v>931.38999999999987</v>
      </c>
      <c r="AA3040" s="25">
        <v>144</v>
      </c>
      <c r="AB3040" s="24">
        <v>495.37</v>
      </c>
      <c r="AC3040" s="24">
        <f t="shared" si="821"/>
        <v>436.01999999999987</v>
      </c>
      <c r="AD3040" s="53">
        <f t="shared" si="822"/>
        <v>0.46813901802682006</v>
      </c>
      <c r="AE3040" s="10"/>
    </row>
    <row r="3041" spans="1:31" x14ac:dyDescent="0.25">
      <c r="A3041" s="14" t="s">
        <v>109</v>
      </c>
      <c r="C3041" s="61" t="str">
        <f t="shared" si="820"/>
        <v>C100145</v>
      </c>
      <c r="F3041" s="8" t="str">
        <f>"S100014"</f>
        <v>S100014</v>
      </c>
      <c r="G3041" s="9" t="str">
        <f>"Chunky Knit Hat"</f>
        <v>Chunky Knit Hat</v>
      </c>
      <c r="H3041" s="47"/>
      <c r="I3041" s="47"/>
      <c r="J3041" s="23">
        <v>2638.95</v>
      </c>
      <c r="K3041" s="25">
        <v>288</v>
      </c>
      <c r="L3041" s="24">
        <v>1486.06</v>
      </c>
      <c r="M3041" s="24">
        <f>J3041-L3041</f>
        <v>1152.8899999999999</v>
      </c>
      <c r="N3041" s="53">
        <f>IF(J3041&lt;&gt;0,M3041/J3041,"")</f>
        <v>0.4368745144849277</v>
      </c>
      <c r="O3041" s="23">
        <v>0</v>
      </c>
      <c r="P3041" s="25">
        <v>0</v>
      </c>
      <c r="Q3041" s="24">
        <v>0</v>
      </c>
      <c r="R3041" s="24">
        <f>O3041-Q3041</f>
        <v>0</v>
      </c>
      <c r="S3041" s="53" t="str">
        <f>IF(O3041&lt;&gt;0,R3041/O3041,"")</f>
        <v/>
      </c>
      <c r="T3041" s="10"/>
      <c r="U3041" s="23">
        <v>423.36</v>
      </c>
      <c r="V3041" s="25">
        <v>48</v>
      </c>
      <c r="W3041" s="24">
        <v>247.68</v>
      </c>
      <c r="X3041" s="24">
        <f>U3041-W3041</f>
        <v>175.68</v>
      </c>
      <c r="Y3041" s="53">
        <f>IF(U3041&lt;&gt;0,X3041/U3041,"")</f>
        <v>0.41496598639455784</v>
      </c>
      <c r="Z3041" s="23">
        <v>0</v>
      </c>
      <c r="AA3041" s="25">
        <v>0</v>
      </c>
      <c r="AB3041" s="24">
        <v>0</v>
      </c>
      <c r="AC3041" s="24">
        <f t="shared" si="821"/>
        <v>0</v>
      </c>
      <c r="AD3041" s="53" t="str">
        <f t="shared" si="822"/>
        <v/>
      </c>
      <c r="AE3041" s="10"/>
    </row>
    <row r="3042" spans="1:31" x14ac:dyDescent="0.25">
      <c r="A3042" s="14" t="s">
        <v>109</v>
      </c>
      <c r="C3042" s="61" t="str">
        <f t="shared" si="820"/>
        <v>C100145</v>
      </c>
      <c r="F3042" s="8" t="str">
        <f>"S100015"</f>
        <v>S100015</v>
      </c>
      <c r="G3042" s="9" t="str">
        <f>"Raw-Edge Bucket Hat"</f>
        <v>Raw-Edge Bucket Hat</v>
      </c>
      <c r="H3042" s="47"/>
      <c r="I3042" s="47"/>
      <c r="J3042" s="23">
        <v>1042.8800000000001</v>
      </c>
      <c r="K3042" s="25">
        <v>144</v>
      </c>
      <c r="L3042" s="24">
        <v>524.17000000000007</v>
      </c>
      <c r="M3042" s="24">
        <f>J3042-L3042</f>
        <v>518.71</v>
      </c>
      <c r="N3042" s="53">
        <f>IF(J3042&lt;&gt;0,M3042/J3042,"")</f>
        <v>0.49738224915618284</v>
      </c>
      <c r="O3042" s="23">
        <v>2401.4500000000003</v>
      </c>
      <c r="P3042" s="25">
        <v>336</v>
      </c>
      <c r="Q3042" s="24">
        <v>1223.06</v>
      </c>
      <c r="R3042" s="24">
        <f>O3042-Q3042</f>
        <v>1178.3900000000003</v>
      </c>
      <c r="S3042" s="53">
        <f>IF(O3042&lt;&gt;0,R3042/O3042,"")</f>
        <v>0.49069936913115003</v>
      </c>
      <c r="T3042" s="10"/>
      <c r="U3042" s="23">
        <v>1000.3100000000001</v>
      </c>
      <c r="V3042" s="25">
        <v>144</v>
      </c>
      <c r="W3042" s="24">
        <v>524.17000000000007</v>
      </c>
      <c r="X3042" s="24">
        <f>U3042-W3042</f>
        <v>476.14</v>
      </c>
      <c r="Y3042" s="53">
        <f>IF(U3042&lt;&gt;0,X3042/U3042,"")</f>
        <v>0.47599244234287369</v>
      </c>
      <c r="Z3042" s="23">
        <v>1042.8800000000001</v>
      </c>
      <c r="AA3042" s="25">
        <v>144</v>
      </c>
      <c r="AB3042" s="24">
        <v>524.17000000000007</v>
      </c>
      <c r="AC3042" s="24">
        <f t="shared" si="821"/>
        <v>518.71</v>
      </c>
      <c r="AD3042" s="53">
        <f t="shared" si="822"/>
        <v>0.49738224915618284</v>
      </c>
      <c r="AE3042" s="10"/>
    </row>
    <row r="3043" spans="1:31" x14ac:dyDescent="0.25">
      <c r="A3043" s="14" t="s">
        <v>109</v>
      </c>
      <c r="C3043" s="61" t="str">
        <f t="shared" si="820"/>
        <v>C100145</v>
      </c>
      <c r="F3043" s="8" t="str">
        <f>"S100016"</f>
        <v>S100016</v>
      </c>
      <c r="G3043" s="9" t="str">
        <f>"Mesh Bucket Hat"</f>
        <v>Mesh Bucket Hat</v>
      </c>
      <c r="H3043" s="47"/>
      <c r="I3043" s="47"/>
      <c r="J3043" s="23">
        <v>2256.54</v>
      </c>
      <c r="K3043" s="25">
        <v>480</v>
      </c>
      <c r="L3043" s="24">
        <v>1320.04</v>
      </c>
      <c r="M3043" s="24">
        <f>J3043-L3043</f>
        <v>936.5</v>
      </c>
      <c r="N3043" s="53">
        <f>IF(J3043&lt;&gt;0,M3043/J3043,"")</f>
        <v>0.41501590931248727</v>
      </c>
      <c r="O3043" s="23">
        <v>681.26</v>
      </c>
      <c r="P3043" s="25">
        <v>144</v>
      </c>
      <c r="Q3043" s="24">
        <v>396.01</v>
      </c>
      <c r="R3043" s="24">
        <f>O3043-Q3043</f>
        <v>285.25</v>
      </c>
      <c r="S3043" s="53">
        <f>IF(O3043&lt;&gt;0,R3043/O3043,"")</f>
        <v>0.41870945013651178</v>
      </c>
      <c r="T3043" s="10"/>
      <c r="U3043" s="23">
        <v>2607.63</v>
      </c>
      <c r="V3043" s="25">
        <v>577</v>
      </c>
      <c r="W3043" s="24">
        <v>1586.7899999999997</v>
      </c>
      <c r="X3043" s="24">
        <f>U3043-W3043</f>
        <v>1020.8400000000004</v>
      </c>
      <c r="Y3043" s="53">
        <f>IF(U3043&lt;&gt;0,X3043/U3043,"")</f>
        <v>0.39148192036446899</v>
      </c>
      <c r="Z3043" s="23">
        <v>29.28</v>
      </c>
      <c r="AA3043" s="25">
        <v>6</v>
      </c>
      <c r="AB3043" s="24">
        <v>16.5</v>
      </c>
      <c r="AC3043" s="24">
        <f t="shared" si="821"/>
        <v>12.780000000000001</v>
      </c>
      <c r="AD3043" s="53">
        <f t="shared" si="822"/>
        <v>0.43647540983606559</v>
      </c>
      <c r="AE3043" s="10"/>
    </row>
    <row r="3044" spans="1:31" x14ac:dyDescent="0.25">
      <c r="A3044" s="14" t="s">
        <v>109</v>
      </c>
      <c r="C3044" s="61" t="str">
        <f t="shared" si="820"/>
        <v>C100145</v>
      </c>
      <c r="F3044" s="8" t="str">
        <f>"S100017"</f>
        <v>S100017</v>
      </c>
      <c r="G3044" s="9" t="str">
        <f>"Microfiber Bucket Hat"</f>
        <v>Microfiber Bucket Hat</v>
      </c>
      <c r="H3044" s="47"/>
      <c r="I3044" s="47"/>
      <c r="J3044" s="23">
        <v>0</v>
      </c>
      <c r="K3044" s="25">
        <v>0</v>
      </c>
      <c r="L3044" s="24">
        <v>0</v>
      </c>
      <c r="M3044" s="24">
        <f>J3044-L3044</f>
        <v>0</v>
      </c>
      <c r="N3044" s="53" t="str">
        <f>IF(J3044&lt;&gt;0,M3044/J3044,"")</f>
        <v/>
      </c>
      <c r="O3044" s="23">
        <v>2061.6799999999998</v>
      </c>
      <c r="P3044" s="25">
        <v>288</v>
      </c>
      <c r="Q3044" s="24">
        <v>1370.88</v>
      </c>
      <c r="R3044" s="24">
        <f>O3044-Q3044</f>
        <v>690.79999999999973</v>
      </c>
      <c r="S3044" s="53">
        <f>IF(O3044&lt;&gt;0,R3044/O3044,"")</f>
        <v>0.33506654766986138</v>
      </c>
      <c r="T3044" s="10"/>
      <c r="U3044" s="23">
        <v>988.33</v>
      </c>
      <c r="V3044" s="25">
        <v>144</v>
      </c>
      <c r="W3044" s="24">
        <v>685.44</v>
      </c>
      <c r="X3044" s="24">
        <f>U3044-W3044</f>
        <v>302.89</v>
      </c>
      <c r="Y3044" s="53">
        <f>IF(U3044&lt;&gt;0,X3044/U3044,"")</f>
        <v>0.30646646363056873</v>
      </c>
      <c r="Z3044" s="23">
        <v>0</v>
      </c>
      <c r="AA3044" s="25">
        <v>0</v>
      </c>
      <c r="AB3044" s="24">
        <v>0</v>
      </c>
      <c r="AC3044" s="24">
        <f t="shared" si="821"/>
        <v>0</v>
      </c>
      <c r="AD3044" s="53" t="str">
        <f t="shared" si="822"/>
        <v/>
      </c>
      <c r="AE3044" s="10"/>
    </row>
    <row r="3045" spans="1:31" x14ac:dyDescent="0.25">
      <c r="A3045" s="14" t="s">
        <v>109</v>
      </c>
      <c r="C3045" s="61" t="str">
        <f t="shared" si="820"/>
        <v>C100145</v>
      </c>
      <c r="F3045" s="8" t="str">
        <f>"S100018"</f>
        <v>S100018</v>
      </c>
      <c r="G3045" s="9" t="str">
        <f>"Crusher Bucket Hat"</f>
        <v>Crusher Bucket Hat</v>
      </c>
      <c r="H3045" s="47"/>
      <c r="I3045" s="47"/>
      <c r="J3045" s="23">
        <v>2051.48</v>
      </c>
      <c r="K3045" s="25">
        <v>288</v>
      </c>
      <c r="L3045" s="24">
        <v>1008</v>
      </c>
      <c r="M3045" s="24">
        <f>J3045-L3045</f>
        <v>1043.48</v>
      </c>
      <c r="N3045" s="53">
        <f>IF(J3045&lt;&gt;0,M3045/J3045,"")</f>
        <v>0.50864741552440185</v>
      </c>
      <c r="O3045" s="23">
        <v>1036.43</v>
      </c>
      <c r="P3045" s="25">
        <v>144</v>
      </c>
      <c r="Q3045" s="24">
        <v>504</v>
      </c>
      <c r="R3045" s="24">
        <f>O3045-Q3045</f>
        <v>532.43000000000006</v>
      </c>
      <c r="S3045" s="53">
        <f>IF(O3045&lt;&gt;0,R3045/O3045,"")</f>
        <v>0.51371534980654754</v>
      </c>
      <c r="T3045" s="10"/>
      <c r="U3045" s="23">
        <v>0</v>
      </c>
      <c r="V3045" s="25">
        <v>0</v>
      </c>
      <c r="W3045" s="24">
        <v>0</v>
      </c>
      <c r="X3045" s="24">
        <f>U3045-W3045</f>
        <v>0</v>
      </c>
      <c r="Y3045" s="53" t="str">
        <f>IF(U3045&lt;&gt;0,X3045/U3045,"")</f>
        <v/>
      </c>
      <c r="Z3045" s="23">
        <v>338.13</v>
      </c>
      <c r="AA3045" s="25">
        <v>49</v>
      </c>
      <c r="AB3045" s="24">
        <v>171.5</v>
      </c>
      <c r="AC3045" s="24">
        <f t="shared" si="821"/>
        <v>166.63</v>
      </c>
      <c r="AD3045" s="53">
        <f t="shared" si="822"/>
        <v>0.49279862774672462</v>
      </c>
      <c r="AE3045" s="10"/>
    </row>
    <row r="3046" spans="1:31" x14ac:dyDescent="0.25">
      <c r="A3046" s="14" t="s">
        <v>109</v>
      </c>
      <c r="C3046" s="61" t="str">
        <f t="shared" si="820"/>
        <v>C100145</v>
      </c>
      <c r="F3046" s="8" t="str">
        <f>"S100019"</f>
        <v>S100019</v>
      </c>
      <c r="G3046" s="9" t="str">
        <f>"Sportsman Bucket Hat"</f>
        <v>Sportsman Bucket Hat</v>
      </c>
      <c r="H3046" s="47"/>
      <c r="I3046" s="47"/>
      <c r="J3046" s="23">
        <v>1222.77</v>
      </c>
      <c r="K3046" s="25">
        <v>288</v>
      </c>
      <c r="L3046" s="24">
        <v>699.86</v>
      </c>
      <c r="M3046" s="24">
        <f>J3046-L3046</f>
        <v>522.91</v>
      </c>
      <c r="N3046" s="53">
        <f>IF(J3046&lt;&gt;0,M3046/J3046,"")</f>
        <v>0.42764379237305461</v>
      </c>
      <c r="O3046" s="23">
        <v>641.13</v>
      </c>
      <c r="P3046" s="25">
        <v>144</v>
      </c>
      <c r="Q3046" s="24">
        <v>349.93</v>
      </c>
      <c r="R3046" s="24">
        <f>O3046-Q3046</f>
        <v>291.2</v>
      </c>
      <c r="S3046" s="53">
        <f>IF(O3046&lt;&gt;0,R3046/O3046,"")</f>
        <v>0.45419805655639262</v>
      </c>
      <c r="T3046" s="10"/>
      <c r="U3046" s="23">
        <v>0</v>
      </c>
      <c r="V3046" s="25">
        <v>0</v>
      </c>
      <c r="W3046" s="24">
        <v>0</v>
      </c>
      <c r="X3046" s="24">
        <f>U3046-W3046</f>
        <v>0</v>
      </c>
      <c r="Y3046" s="53" t="str">
        <f>IF(U3046&lt;&gt;0,X3046/U3046,"")</f>
        <v/>
      </c>
      <c r="Z3046" s="23">
        <v>4.2699999999999996</v>
      </c>
      <c r="AA3046" s="25">
        <v>1</v>
      </c>
      <c r="AB3046" s="24">
        <v>2.4300000000000002</v>
      </c>
      <c r="AC3046" s="24">
        <f t="shared" si="821"/>
        <v>1.8399999999999994</v>
      </c>
      <c r="AD3046" s="53">
        <f t="shared" si="822"/>
        <v>0.43091334894613575</v>
      </c>
      <c r="AE3046" s="10"/>
    </row>
    <row r="3047" spans="1:31" x14ac:dyDescent="0.25">
      <c r="A3047" s="14" t="s">
        <v>109</v>
      </c>
      <c r="C3047" s="61" t="str">
        <f t="shared" si="820"/>
        <v>C100145</v>
      </c>
      <c r="F3047" s="8" t="str">
        <f>"S100020"</f>
        <v>S100020</v>
      </c>
      <c r="G3047" s="9" t="str">
        <f>"Super Sport Stopwatch"</f>
        <v>Super Sport Stopwatch</v>
      </c>
      <c r="H3047" s="47"/>
      <c r="I3047" s="47"/>
      <c r="J3047" s="23">
        <v>307.64</v>
      </c>
      <c r="K3047" s="25">
        <v>144</v>
      </c>
      <c r="L3047" s="24">
        <v>151.19999999999999</v>
      </c>
      <c r="M3047" s="24">
        <f>J3047-L3047</f>
        <v>156.44</v>
      </c>
      <c r="N3047" s="53">
        <f>IF(J3047&lt;&gt;0,M3047/J3047,"")</f>
        <v>0.50851644779612537</v>
      </c>
      <c r="O3047" s="23">
        <v>114.21000000000001</v>
      </c>
      <c r="P3047" s="25">
        <v>55</v>
      </c>
      <c r="Q3047" s="24">
        <v>57.75</v>
      </c>
      <c r="R3047" s="24">
        <f>O3047-Q3047</f>
        <v>56.460000000000008</v>
      </c>
      <c r="S3047" s="53">
        <f>IF(O3047&lt;&gt;0,R3047/O3047,"")</f>
        <v>0.49435250853690571</v>
      </c>
      <c r="T3047" s="10"/>
      <c r="U3047" s="23">
        <v>4.01</v>
      </c>
      <c r="V3047" s="25">
        <v>2</v>
      </c>
      <c r="W3047" s="24">
        <v>2.1</v>
      </c>
      <c r="X3047" s="24">
        <f>U3047-W3047</f>
        <v>1.9099999999999997</v>
      </c>
      <c r="Y3047" s="53">
        <f>IF(U3047&lt;&gt;0,X3047/U3047,"")</f>
        <v>0.47630922693266831</v>
      </c>
      <c r="Z3047" s="23">
        <v>0</v>
      </c>
      <c r="AA3047" s="25">
        <v>0</v>
      </c>
      <c r="AB3047" s="24">
        <v>0</v>
      </c>
      <c r="AC3047" s="24">
        <f t="shared" si="821"/>
        <v>0</v>
      </c>
      <c r="AD3047" s="53" t="str">
        <f t="shared" si="822"/>
        <v/>
      </c>
      <c r="AE3047" s="10"/>
    </row>
    <row r="3048" spans="1:31" x14ac:dyDescent="0.25">
      <c r="A3048" s="14" t="s">
        <v>109</v>
      </c>
      <c r="C3048" s="61" t="str">
        <f t="shared" si="820"/>
        <v>C100145</v>
      </c>
      <c r="F3048" s="8" t="str">
        <f>"S100021"</f>
        <v>S100021</v>
      </c>
      <c r="G3048" s="9" t="str">
        <f>"Translucent Stopwatch"</f>
        <v>Translucent Stopwatch</v>
      </c>
      <c r="H3048" s="47"/>
      <c r="I3048" s="47"/>
      <c r="J3048" s="23">
        <v>1709.14</v>
      </c>
      <c r="K3048" s="25">
        <v>432</v>
      </c>
      <c r="L3048" s="24">
        <v>928.77</v>
      </c>
      <c r="M3048" s="24">
        <f>J3048-L3048</f>
        <v>780.37000000000012</v>
      </c>
      <c r="N3048" s="53">
        <f>IF(J3048&lt;&gt;0,M3048/J3048,"")</f>
        <v>0.45658635337070108</v>
      </c>
      <c r="O3048" s="23">
        <v>2310.67</v>
      </c>
      <c r="P3048" s="25">
        <v>577</v>
      </c>
      <c r="Q3048" s="24">
        <v>1240.51</v>
      </c>
      <c r="R3048" s="24">
        <f>O3048-Q3048</f>
        <v>1070.1600000000001</v>
      </c>
      <c r="S3048" s="53">
        <f>IF(O3048&lt;&gt;0,R3048/O3048,"")</f>
        <v>0.46313839708829041</v>
      </c>
      <c r="T3048" s="10"/>
      <c r="U3048" s="23">
        <v>2581.63</v>
      </c>
      <c r="V3048" s="25">
        <v>672</v>
      </c>
      <c r="W3048" s="24">
        <v>1444.76</v>
      </c>
      <c r="X3048" s="24">
        <f>U3048-W3048</f>
        <v>1136.8700000000001</v>
      </c>
      <c r="Y3048" s="53">
        <f>IF(U3048&lt;&gt;0,X3048/U3048,"")</f>
        <v>0.44036906915398416</v>
      </c>
      <c r="Z3048" s="23">
        <v>1111.5400000000002</v>
      </c>
      <c r="AA3048" s="25">
        <v>288</v>
      </c>
      <c r="AB3048" s="24">
        <v>619.17999999999995</v>
      </c>
      <c r="AC3048" s="24">
        <f t="shared" si="821"/>
        <v>492.36000000000024</v>
      </c>
      <c r="AD3048" s="53">
        <f t="shared" si="822"/>
        <v>0.44295302013422833</v>
      </c>
      <c r="AE3048" s="10"/>
    </row>
    <row r="3049" spans="1:31" ht="15.75" thickBot="1" x14ac:dyDescent="0.3">
      <c r="A3049" s="14" t="s">
        <v>109</v>
      </c>
      <c r="C3049" s="61" t="str">
        <f>C3004</f>
        <v>C100145</v>
      </c>
      <c r="J3049" s="10"/>
      <c r="K3049" s="11"/>
      <c r="L3049" s="11"/>
      <c r="M3049" s="11"/>
      <c r="N3049" s="12"/>
      <c r="O3049" s="10"/>
      <c r="P3049" s="11"/>
      <c r="Q3049" s="11"/>
      <c r="R3049" s="11"/>
      <c r="S3049" s="12"/>
      <c r="U3049" s="10"/>
      <c r="V3049" s="11"/>
      <c r="W3049" s="11"/>
      <c r="X3049" s="11"/>
      <c r="Y3049" s="12"/>
      <c r="Z3049" s="10"/>
      <c r="AA3049" s="11"/>
      <c r="AB3049" s="11"/>
      <c r="AC3049" s="11"/>
      <c r="AD3049" s="12"/>
    </row>
    <row r="3050" spans="1:31" ht="15.75" thickBot="1" x14ac:dyDescent="0.3">
      <c r="A3050" s="14" t="s">
        <v>109</v>
      </c>
      <c r="C3050" s="61" t="str">
        <f t="shared" si="817"/>
        <v>C100145</v>
      </c>
      <c r="G3050" s="48" t="str">
        <f>C3050&amp;" TOTAL:"</f>
        <v>C100145 TOTAL:</v>
      </c>
      <c r="H3050" s="50"/>
      <c r="I3050" s="50"/>
      <c r="J3050" s="34">
        <f>SUBTOTAL(9,J3003:J3049)</f>
        <v>79669.73000000001</v>
      </c>
      <c r="K3050" s="35">
        <f>SUBTOTAL(9,K3003:K3049)</f>
        <v>7417</v>
      </c>
      <c r="L3050" s="36">
        <f>SUBTOTAL(9,L3003:L3049)</f>
        <v>43609.919999999984</v>
      </c>
      <c r="M3050" s="36">
        <f>J3050-L3050</f>
        <v>36059.810000000027</v>
      </c>
      <c r="N3050" s="37">
        <f>IF(J3050&lt;&gt;0,M3050/J3050,"")</f>
        <v>0.45261619438147993</v>
      </c>
      <c r="O3050" s="34">
        <f>SUBTOTAL(9,O3003:O3049)</f>
        <v>58677.659999999996</v>
      </c>
      <c r="P3050" s="35">
        <f>SUBTOTAL(9,P3003:P3049)</f>
        <v>5152</v>
      </c>
      <c r="Q3050" s="36">
        <f>SUBTOTAL(9,Q3003:Q3049)</f>
        <v>31465.320000000003</v>
      </c>
      <c r="R3050" s="36">
        <f>O3050-Q3050</f>
        <v>27212.339999999993</v>
      </c>
      <c r="S3050" s="37">
        <f>IF(O3050&lt;&gt;0,R3050/O3050,"")</f>
        <v>0.46375980228250402</v>
      </c>
      <c r="U3050" s="34">
        <f>SUBTOTAL(9,U3003:U3049)</f>
        <v>92411.24</v>
      </c>
      <c r="V3050" s="35">
        <f>SUBTOTAL(9,V3003:V3049)</f>
        <v>10040</v>
      </c>
      <c r="W3050" s="36">
        <f>SUBTOTAL(9,W3003:W3049)</f>
        <v>50488.990000000005</v>
      </c>
      <c r="X3050" s="36">
        <f>U3050-W3050</f>
        <v>41922.25</v>
      </c>
      <c r="Y3050" s="37">
        <f>IF(U3050&lt;&gt;0,X3050/U3050,"")</f>
        <v>0.45364882020845082</v>
      </c>
      <c r="Z3050" s="34">
        <f>SUBTOTAL(9,Z3003:Z3049)</f>
        <v>22262.190000000006</v>
      </c>
      <c r="AA3050" s="35">
        <f>SUBTOTAL(9,AA3003:AA3049)</f>
        <v>3002</v>
      </c>
      <c r="AB3050" s="36">
        <f>SUBTOTAL(9,AB3003:AB3049)</f>
        <v>12054.03</v>
      </c>
      <c r="AC3050" s="36">
        <f t="shared" ref="AC3050" si="823">Z3050-AB3050</f>
        <v>10208.160000000005</v>
      </c>
      <c r="AD3050" s="37">
        <f t="shared" ref="AD3050" si="824">IF(Z3050&lt;&gt;0,AC3050/Z3050,"")</f>
        <v>0.45854248840747486</v>
      </c>
    </row>
    <row r="3051" spans="1:31" x14ac:dyDescent="0.25">
      <c r="A3051" s="14" t="s">
        <v>109</v>
      </c>
      <c r="C3051" s="66"/>
      <c r="J3051" s="10"/>
      <c r="K3051" s="11"/>
      <c r="L3051" s="11"/>
      <c r="M3051" s="11"/>
      <c r="N3051" s="12"/>
      <c r="O3051" s="10"/>
      <c r="P3051" s="11"/>
      <c r="Q3051" s="11"/>
      <c r="R3051" s="11"/>
      <c r="S3051" s="12"/>
      <c r="U3051" s="10"/>
      <c r="V3051" s="11"/>
      <c r="W3051" s="11"/>
      <c r="X3051" s="11"/>
      <c r="Y3051" s="12"/>
      <c r="Z3051" s="10"/>
      <c r="AA3051" s="11"/>
      <c r="AB3051" s="11"/>
      <c r="AC3051" s="11"/>
      <c r="AD3051" s="12"/>
    </row>
    <row r="3052" spans="1:31" ht="15.75" x14ac:dyDescent="0.25">
      <c r="A3052" s="14" t="s">
        <v>109</v>
      </c>
      <c r="C3052" s="66" t="str">
        <f t="shared" ref="C3052" si="825">E3052</f>
        <v>C100146</v>
      </c>
      <c r="E3052" s="13" t="str">
        <f>"C100146"</f>
        <v>C100146</v>
      </c>
      <c r="F3052" s="13"/>
      <c r="G3052" s="13" t="str">
        <f>"Soron Kamstrol AG"</f>
        <v>Soron Kamstrol AG</v>
      </c>
      <c r="H3052" s="13"/>
      <c r="I3052" s="13"/>
      <c r="J3052" s="10"/>
      <c r="K3052" s="11"/>
      <c r="L3052" s="11"/>
      <c r="M3052" s="11"/>
      <c r="N3052" s="12"/>
      <c r="O3052" s="10"/>
      <c r="P3052" s="11"/>
      <c r="Q3052" s="11"/>
      <c r="R3052" s="11"/>
      <c r="S3052" s="12"/>
      <c r="U3052" s="10"/>
      <c r="V3052" s="11"/>
      <c r="W3052" s="11"/>
      <c r="X3052" s="11"/>
      <c r="Y3052" s="12"/>
      <c r="Z3052" s="10"/>
      <c r="AA3052" s="11"/>
      <c r="AB3052" s="11"/>
      <c r="AC3052" s="11"/>
      <c r="AD3052" s="12"/>
    </row>
    <row r="3053" spans="1:31" ht="6.6" customHeight="1" x14ac:dyDescent="0.25">
      <c r="A3053" s="14" t="s">
        <v>109</v>
      </c>
      <c r="C3053" s="61" t="str">
        <f t="shared" ref="C3053:C3060" si="826">C3052</f>
        <v>C100146</v>
      </c>
      <c r="J3053" s="10"/>
      <c r="K3053" s="11"/>
      <c r="L3053" s="11"/>
      <c r="M3053" s="11"/>
      <c r="N3053" s="12"/>
      <c r="O3053" s="10"/>
      <c r="P3053" s="11"/>
      <c r="Q3053" s="11"/>
      <c r="R3053" s="11"/>
      <c r="S3053" s="12"/>
      <c r="U3053" s="10"/>
      <c r="V3053" s="11"/>
      <c r="W3053" s="11"/>
      <c r="X3053" s="11"/>
      <c r="Y3053" s="12"/>
      <c r="Z3053" s="10"/>
      <c r="AA3053" s="11"/>
      <c r="AB3053" s="11"/>
      <c r="AC3053" s="11"/>
      <c r="AD3053" s="12"/>
    </row>
    <row r="3054" spans="1:31" x14ac:dyDescent="0.25">
      <c r="A3054" s="14" t="s">
        <v>109</v>
      </c>
      <c r="C3054" s="61" t="str">
        <f t="shared" si="826"/>
        <v>C100146</v>
      </c>
      <c r="F3054" s="8" t="str">
        <f>"C100032"</f>
        <v>C100032</v>
      </c>
      <c r="G3054" s="9" t="str">
        <f>"Clip-on Clock"</f>
        <v>Clip-on Clock</v>
      </c>
      <c r="H3054" s="47"/>
      <c r="I3054" s="47"/>
      <c r="J3054" s="23">
        <v>0</v>
      </c>
      <c r="K3054" s="25">
        <v>0</v>
      </c>
      <c r="L3054" s="24">
        <v>0</v>
      </c>
      <c r="M3054" s="24">
        <f>J3054-L3054</f>
        <v>0</v>
      </c>
      <c r="N3054" s="53" t="str">
        <f>IF(J3054&lt;&gt;0,M3054/J3054,"")</f>
        <v/>
      </c>
      <c r="O3054" s="23">
        <v>1139.1299999999999</v>
      </c>
      <c r="P3054" s="25">
        <v>144</v>
      </c>
      <c r="Q3054" s="24">
        <v>599.05000000000007</v>
      </c>
      <c r="R3054" s="24">
        <f>O3054-Q3054</f>
        <v>540.07999999999981</v>
      </c>
      <c r="S3054" s="53">
        <f>IF(O3054&lt;&gt;0,R3054/O3054,"")</f>
        <v>0.47411621149473709</v>
      </c>
      <c r="T3054" s="10"/>
      <c r="U3054" s="23">
        <v>56.540000000000006</v>
      </c>
      <c r="V3054" s="25">
        <v>7</v>
      </c>
      <c r="W3054" s="24">
        <v>29.12</v>
      </c>
      <c r="X3054" s="24">
        <f>U3054-W3054</f>
        <v>27.420000000000005</v>
      </c>
      <c r="Y3054" s="53">
        <f>IF(U3054&lt;&gt;0,X3054/U3054,"")</f>
        <v>0.48496639547223208</v>
      </c>
      <c r="Z3054" s="23">
        <v>0</v>
      </c>
      <c r="AA3054" s="25">
        <v>0</v>
      </c>
      <c r="AB3054" s="24">
        <v>0</v>
      </c>
      <c r="AC3054" s="24">
        <f t="shared" ref="AC3054" si="827">Z3054-AB3054</f>
        <v>0</v>
      </c>
      <c r="AD3054" s="53" t="str">
        <f t="shared" ref="AD3054" si="828">IF(Z3054&lt;&gt;0,AC3054/Z3054,"")</f>
        <v/>
      </c>
      <c r="AE3054" s="10"/>
    </row>
    <row r="3055" spans="1:31" x14ac:dyDescent="0.25">
      <c r="A3055" s="14" t="s">
        <v>109</v>
      </c>
      <c r="C3055" s="61" t="str">
        <f t="shared" ref="C3055:C3058" si="829">C3054</f>
        <v>C100146</v>
      </c>
      <c r="F3055" s="8" t="str">
        <f>"C100045"</f>
        <v>C100045</v>
      </c>
      <c r="G3055" s="9" t="str">
        <f>"Wireless Headphones"</f>
        <v>Wireless Headphones</v>
      </c>
      <c r="H3055" s="47"/>
      <c r="I3055" s="47"/>
      <c r="J3055" s="23">
        <v>0</v>
      </c>
      <c r="K3055" s="25">
        <v>0</v>
      </c>
      <c r="L3055" s="24">
        <v>0</v>
      </c>
      <c r="M3055" s="24">
        <f>J3055-L3055</f>
        <v>0</v>
      </c>
      <c r="N3055" s="53" t="str">
        <f>IF(J3055&lt;&gt;0,M3055/J3055,"")</f>
        <v/>
      </c>
      <c r="O3055" s="23">
        <v>1310.04</v>
      </c>
      <c r="P3055" s="25">
        <v>48</v>
      </c>
      <c r="Q3055" s="24">
        <v>662.42000000000007</v>
      </c>
      <c r="R3055" s="24">
        <f>O3055-Q3055</f>
        <v>647.61999999999989</v>
      </c>
      <c r="S3055" s="53">
        <f>IF(O3055&lt;&gt;0,R3055/O3055,"")</f>
        <v>0.49435131751702233</v>
      </c>
      <c r="T3055" s="10"/>
      <c r="U3055" s="23">
        <v>1310.5999999999999</v>
      </c>
      <c r="V3055" s="25">
        <v>49</v>
      </c>
      <c r="W3055" s="24">
        <v>676.22</v>
      </c>
      <c r="X3055" s="24">
        <f>U3055-W3055</f>
        <v>634.37999999999988</v>
      </c>
      <c r="Y3055" s="53">
        <f>IF(U3055&lt;&gt;0,X3055/U3055,"")</f>
        <v>0.48403784526171212</v>
      </c>
      <c r="Z3055" s="23">
        <v>0</v>
      </c>
      <c r="AA3055" s="25">
        <v>0</v>
      </c>
      <c r="AB3055" s="24">
        <v>0</v>
      </c>
      <c r="AC3055" s="24">
        <f t="shared" ref="AC3055:AC3058" si="830">Z3055-AB3055</f>
        <v>0</v>
      </c>
      <c r="AD3055" s="53" t="str">
        <f t="shared" ref="AD3055:AD3058" si="831">IF(Z3055&lt;&gt;0,AC3055/Z3055,"")</f>
        <v/>
      </c>
      <c r="AE3055" s="10"/>
    </row>
    <row r="3056" spans="1:31" x14ac:dyDescent="0.25">
      <c r="A3056" s="14" t="s">
        <v>109</v>
      </c>
      <c r="C3056" s="61" t="str">
        <f t="shared" si="829"/>
        <v>C100146</v>
      </c>
      <c r="F3056" s="8" t="str">
        <f>"C100051"</f>
        <v>C100051</v>
      </c>
      <c r="G3056" s="9" t="str">
        <f>"Bamboo Digital Picutre Frame"</f>
        <v>Bamboo Digital Picutre Frame</v>
      </c>
      <c r="H3056" s="47"/>
      <c r="I3056" s="47"/>
      <c r="J3056" s="23">
        <v>0</v>
      </c>
      <c r="K3056" s="25">
        <v>0</v>
      </c>
      <c r="L3056" s="24">
        <v>0</v>
      </c>
      <c r="M3056" s="24">
        <f>J3056-L3056</f>
        <v>0</v>
      </c>
      <c r="N3056" s="53" t="str">
        <f>IF(J3056&lt;&gt;0,M3056/J3056,"")</f>
        <v/>
      </c>
      <c r="O3056" s="23">
        <v>2319.6799999999998</v>
      </c>
      <c r="P3056" s="25">
        <v>48</v>
      </c>
      <c r="Q3056" s="24">
        <v>1167.3800000000001</v>
      </c>
      <c r="R3056" s="24">
        <f>O3056-Q3056</f>
        <v>1152.2999999999997</v>
      </c>
      <c r="S3056" s="53">
        <f>IF(O3056&lt;&gt;0,R3056/O3056,"")</f>
        <v>0.49674955166229817</v>
      </c>
      <c r="T3056" s="10"/>
      <c r="U3056" s="23">
        <v>0</v>
      </c>
      <c r="V3056" s="25">
        <v>0</v>
      </c>
      <c r="W3056" s="24">
        <v>0</v>
      </c>
      <c r="X3056" s="24">
        <f>U3056-W3056</f>
        <v>0</v>
      </c>
      <c r="Y3056" s="53" t="str">
        <f>IF(U3056&lt;&gt;0,X3056/U3056,"")</f>
        <v/>
      </c>
      <c r="Z3056" s="23">
        <v>0</v>
      </c>
      <c r="AA3056" s="25">
        <v>0</v>
      </c>
      <c r="AB3056" s="24">
        <v>0</v>
      </c>
      <c r="AC3056" s="24">
        <f t="shared" si="830"/>
        <v>0</v>
      </c>
      <c r="AD3056" s="53" t="str">
        <f t="shared" si="831"/>
        <v/>
      </c>
      <c r="AE3056" s="10"/>
    </row>
    <row r="3057" spans="1:33" x14ac:dyDescent="0.25">
      <c r="A3057" s="14" t="s">
        <v>109</v>
      </c>
      <c r="C3057" s="61" t="str">
        <f t="shared" si="829"/>
        <v>C100146</v>
      </c>
      <c r="F3057" s="8" t="str">
        <f>"C100053"</f>
        <v>C100053</v>
      </c>
      <c r="G3057" s="9" t="str">
        <f>"Book Style Photo Frame &amp; Clock"</f>
        <v>Book Style Photo Frame &amp; Clock</v>
      </c>
      <c r="H3057" s="47"/>
      <c r="I3057" s="47"/>
      <c r="J3057" s="23">
        <v>0</v>
      </c>
      <c r="K3057" s="25">
        <v>0</v>
      </c>
      <c r="L3057" s="24">
        <v>0</v>
      </c>
      <c r="M3057" s="24">
        <f>J3057-L3057</f>
        <v>0</v>
      </c>
      <c r="N3057" s="53" t="str">
        <f>IF(J3057&lt;&gt;0,M3057/J3057,"")</f>
        <v/>
      </c>
      <c r="O3057" s="23">
        <v>119.98</v>
      </c>
      <c r="P3057" s="25">
        <v>6</v>
      </c>
      <c r="Q3057" s="24">
        <v>72.239999999999995</v>
      </c>
      <c r="R3057" s="24">
        <f>O3057-Q3057</f>
        <v>47.740000000000009</v>
      </c>
      <c r="S3057" s="53">
        <f>IF(O3057&lt;&gt;0,R3057/O3057,"")</f>
        <v>0.397899649941657</v>
      </c>
      <c r="T3057" s="10"/>
      <c r="U3057" s="23">
        <v>20.420000000000002</v>
      </c>
      <c r="V3057" s="25">
        <v>1</v>
      </c>
      <c r="W3057" s="24">
        <v>12.04</v>
      </c>
      <c r="X3057" s="24">
        <f>U3057-W3057</f>
        <v>8.3800000000000026</v>
      </c>
      <c r="Y3057" s="53">
        <f>IF(U3057&lt;&gt;0,X3057/U3057,"")</f>
        <v>0.41038197845249763</v>
      </c>
      <c r="Z3057" s="23">
        <v>0</v>
      </c>
      <c r="AA3057" s="25">
        <v>0</v>
      </c>
      <c r="AB3057" s="24">
        <v>0</v>
      </c>
      <c r="AC3057" s="24">
        <f t="shared" si="830"/>
        <v>0</v>
      </c>
      <c r="AD3057" s="53" t="str">
        <f t="shared" si="831"/>
        <v/>
      </c>
      <c r="AE3057" s="10"/>
    </row>
    <row r="3058" spans="1:33" x14ac:dyDescent="0.25">
      <c r="A3058" s="14" t="s">
        <v>109</v>
      </c>
      <c r="C3058" s="61" t="str">
        <f t="shared" si="829"/>
        <v>C100146</v>
      </c>
      <c r="F3058" s="8" t="str">
        <f>"E100021"</f>
        <v>E100021</v>
      </c>
      <c r="G3058" s="9" t="str">
        <f>"Slim Travel Alarm"</f>
        <v>Slim Travel Alarm</v>
      </c>
      <c r="H3058" s="47"/>
      <c r="I3058" s="47"/>
      <c r="J3058" s="23">
        <v>0</v>
      </c>
      <c r="K3058" s="25">
        <v>0</v>
      </c>
      <c r="L3058" s="24">
        <v>0</v>
      </c>
      <c r="M3058" s="24">
        <f>J3058-L3058</f>
        <v>0</v>
      </c>
      <c r="N3058" s="53" t="str">
        <f>IF(J3058&lt;&gt;0,M3058/J3058,"")</f>
        <v/>
      </c>
      <c r="O3058" s="23">
        <v>2.75</v>
      </c>
      <c r="P3058" s="25">
        <v>1</v>
      </c>
      <c r="Q3058" s="24">
        <v>1.44</v>
      </c>
      <c r="R3058" s="24">
        <f>O3058-Q3058</f>
        <v>1.31</v>
      </c>
      <c r="S3058" s="53">
        <f>IF(O3058&lt;&gt;0,R3058/O3058,"")</f>
        <v>0.47636363636363638</v>
      </c>
      <c r="T3058" s="10"/>
      <c r="U3058" s="23">
        <v>16.93</v>
      </c>
      <c r="V3058" s="25">
        <v>6</v>
      </c>
      <c r="W3058" s="24">
        <v>8.64</v>
      </c>
      <c r="X3058" s="24">
        <f>U3058-W3058</f>
        <v>8.2899999999999991</v>
      </c>
      <c r="Y3058" s="53">
        <f>IF(U3058&lt;&gt;0,X3058/U3058,"")</f>
        <v>0.48966331955109271</v>
      </c>
      <c r="Z3058" s="23">
        <v>0</v>
      </c>
      <c r="AA3058" s="25">
        <v>0</v>
      </c>
      <c r="AB3058" s="24">
        <v>0</v>
      </c>
      <c r="AC3058" s="24">
        <f t="shared" si="830"/>
        <v>0</v>
      </c>
      <c r="AD3058" s="53" t="str">
        <f t="shared" si="831"/>
        <v/>
      </c>
      <c r="AE3058" s="10"/>
    </row>
    <row r="3059" spans="1:33" ht="15.75" thickBot="1" x14ac:dyDescent="0.3">
      <c r="A3059" s="14" t="s">
        <v>109</v>
      </c>
      <c r="C3059" s="61" t="str">
        <f>C3054</f>
        <v>C100146</v>
      </c>
      <c r="J3059" s="10"/>
      <c r="K3059" s="11"/>
      <c r="L3059" s="11"/>
      <c r="M3059" s="11"/>
      <c r="N3059" s="12"/>
      <c r="O3059" s="10"/>
      <c r="P3059" s="11"/>
      <c r="Q3059" s="11"/>
      <c r="R3059" s="11"/>
      <c r="S3059" s="12"/>
      <c r="U3059" s="10"/>
      <c r="V3059" s="11"/>
      <c r="W3059" s="11"/>
      <c r="X3059" s="11"/>
      <c r="Y3059" s="12"/>
      <c r="Z3059" s="10"/>
      <c r="AA3059" s="11"/>
      <c r="AB3059" s="11"/>
      <c r="AC3059" s="11"/>
      <c r="AD3059" s="12"/>
    </row>
    <row r="3060" spans="1:33" ht="15.75" thickBot="1" x14ac:dyDescent="0.3">
      <c r="A3060" s="14" t="s">
        <v>109</v>
      </c>
      <c r="C3060" s="61" t="str">
        <f t="shared" si="826"/>
        <v>C100146</v>
      </c>
      <c r="G3060" s="48" t="str">
        <f t="shared" ref="G3060:G3061" si="832">C3060&amp;" TOTAL:"</f>
        <v>C100146 TOTAL:</v>
      </c>
      <c r="H3060" s="50"/>
      <c r="I3060" s="50"/>
      <c r="J3060" s="34">
        <f t="shared" ref="J3060:L3060" si="833">SUBTOTAL(9,J3053:J3059)</f>
        <v>0</v>
      </c>
      <c r="K3060" s="35">
        <f t="shared" si="833"/>
        <v>0</v>
      </c>
      <c r="L3060" s="36">
        <f t="shared" si="833"/>
        <v>0</v>
      </c>
      <c r="M3060" s="36">
        <f t="shared" ref="M3060" si="834">J3060-L3060</f>
        <v>0</v>
      </c>
      <c r="N3060" s="37" t="str">
        <f t="shared" ref="N3060" si="835">IF(J3060&lt;&gt;0,M3060/J3060,"")</f>
        <v/>
      </c>
      <c r="O3060" s="34">
        <f t="shared" ref="O3060:Q3060" si="836">SUBTOTAL(9,O3053:O3059)</f>
        <v>4891.58</v>
      </c>
      <c r="P3060" s="35">
        <f t="shared" si="836"/>
        <v>247</v>
      </c>
      <c r="Q3060" s="36">
        <f t="shared" si="836"/>
        <v>2502.5300000000002</v>
      </c>
      <c r="R3060" s="36">
        <f t="shared" ref="R3060" si="837">O3060-Q3060</f>
        <v>2389.0499999999997</v>
      </c>
      <c r="S3060" s="37">
        <f t="shared" ref="S3060" si="838">IF(O3060&lt;&gt;0,R3060/O3060,"")</f>
        <v>0.48840047591984587</v>
      </c>
      <c r="U3060" s="34">
        <f t="shared" ref="U3060:W3060" si="839">SUBTOTAL(9,U3053:U3059)</f>
        <v>1404.49</v>
      </c>
      <c r="V3060" s="35">
        <f t="shared" si="839"/>
        <v>63</v>
      </c>
      <c r="W3060" s="36">
        <f t="shared" si="839"/>
        <v>726.02</v>
      </c>
      <c r="X3060" s="36">
        <f t="shared" ref="X3060" si="840">U3060-W3060</f>
        <v>678.47</v>
      </c>
      <c r="Y3060" s="37">
        <f t="shared" ref="Y3060" si="841">IF(U3060&lt;&gt;0,X3060/U3060,"")</f>
        <v>0.48307214718509922</v>
      </c>
      <c r="Z3060" s="34">
        <f t="shared" ref="Z3060:AB3060" si="842">SUBTOTAL(9,Z3053:Z3059)</f>
        <v>0</v>
      </c>
      <c r="AA3060" s="35">
        <f t="shared" si="842"/>
        <v>0</v>
      </c>
      <c r="AB3060" s="36">
        <f t="shared" si="842"/>
        <v>0</v>
      </c>
      <c r="AC3060" s="36">
        <f t="shared" ref="AC3060" si="843">Z3060-AB3060</f>
        <v>0</v>
      </c>
      <c r="AD3060" s="37" t="str">
        <f t="shared" ref="AD3060" si="844">IF(Z3060&lt;&gt;0,AC3060/Z3060,"")</f>
        <v/>
      </c>
    </row>
    <row r="3061" spans="1:33" ht="15.75" thickBot="1" x14ac:dyDescent="0.3">
      <c r="A3061" s="14" t="s">
        <v>109</v>
      </c>
      <c r="C3061" s="66"/>
      <c r="J3061" s="10"/>
      <c r="K3061" s="11"/>
      <c r="L3061" s="11"/>
      <c r="M3061" s="11"/>
      <c r="N3061" s="12"/>
      <c r="O3061" s="10"/>
      <c r="P3061" s="11"/>
      <c r="Q3061" s="11"/>
      <c r="R3061" s="11"/>
      <c r="S3061" s="12"/>
      <c r="U3061" s="10"/>
      <c r="V3061" s="11"/>
      <c r="W3061" s="11"/>
      <c r="X3061" s="11"/>
      <c r="Y3061" s="12"/>
      <c r="Z3061" s="10"/>
      <c r="AA3061" s="11"/>
      <c r="AB3061" s="11"/>
      <c r="AC3061" s="11"/>
      <c r="AD3061" s="12"/>
    </row>
    <row r="3062" spans="1:33" ht="15.75" thickBot="1" x14ac:dyDescent="0.3">
      <c r="G3062" s="49" t="s">
        <v>26</v>
      </c>
      <c r="H3062" s="51"/>
      <c r="I3062" s="51"/>
      <c r="J3062" s="43">
        <f>SUBTOTAL(9,J20:J63)</f>
        <v>42599.679999999993</v>
      </c>
      <c r="K3062" s="44"/>
      <c r="L3062" s="45">
        <f>SUBTOTAL(9,L20:L63)</f>
        <v>22986.47</v>
      </c>
      <c r="M3062" s="45">
        <f>J3062-L3062</f>
        <v>19613.209999999992</v>
      </c>
      <c r="N3062" s="52">
        <f>IF(J3062&lt;&gt;0,M3062/J3062,"")</f>
        <v>0.46040744907003983</v>
      </c>
      <c r="O3062" s="43">
        <f>SUBTOTAL(9,O20:O63)</f>
        <v>34131.31</v>
      </c>
      <c r="P3062" s="44"/>
      <c r="Q3062" s="45">
        <f>SUBTOTAL(9,Q20:Q63)</f>
        <v>17712.04</v>
      </c>
      <c r="R3062" s="45">
        <f>O3062-Q3062</f>
        <v>16419.269999999997</v>
      </c>
      <c r="S3062" s="52">
        <f>IF(O3062&lt;&gt;0,R3062/O3062,"")</f>
        <v>0.48106181684793226</v>
      </c>
      <c r="U3062" s="43">
        <f>SUBTOTAL(9,U20:U63)</f>
        <v>31041.489999999994</v>
      </c>
      <c r="V3062" s="44"/>
      <c r="W3062" s="45">
        <f>SUBTOTAL(9,W20:W63)</f>
        <v>18557.97</v>
      </c>
      <c r="X3062" s="45">
        <f>U3062-W3062</f>
        <v>12483.519999999993</v>
      </c>
      <c r="Y3062" s="52">
        <f>IF(U3062&lt;&gt;0,X3062/U3062,"")</f>
        <v>0.40215595320972014</v>
      </c>
      <c r="Z3062" s="43">
        <f>SUBTOTAL(9,Z20:Z63)</f>
        <v>13144.379999999997</v>
      </c>
      <c r="AA3062" s="44"/>
      <c r="AB3062" s="45">
        <f>SUBTOTAL(9,AB20:AB63)</f>
        <v>7407.41</v>
      </c>
      <c r="AC3062" s="45">
        <f>Z3062-AB3062</f>
        <v>5736.9699999999975</v>
      </c>
      <c r="AD3062" s="52">
        <f>IF(Z3062&lt;&gt;0,AC3062/Z3062,"")</f>
        <v>0.43645801475611617</v>
      </c>
    </row>
    <row r="3063" spans="1:33" x14ac:dyDescent="0.25">
      <c r="AF3063" s="60"/>
    </row>
    <row r="3064" spans="1:33" x14ac:dyDescent="0.25">
      <c r="AG3064" s="60"/>
    </row>
  </sheetData>
  <mergeCells count="22">
    <mergeCell ref="E12:G12"/>
    <mergeCell ref="E13:G13"/>
    <mergeCell ref="E14:F14"/>
    <mergeCell ref="E15:F15"/>
    <mergeCell ref="J7:N7"/>
    <mergeCell ref="J8:N8"/>
    <mergeCell ref="J9:N9"/>
    <mergeCell ref="O6:S6"/>
    <mergeCell ref="O7:S7"/>
    <mergeCell ref="O8:S8"/>
    <mergeCell ref="O9:S9"/>
    <mergeCell ref="J17:N17"/>
    <mergeCell ref="O17:S17"/>
    <mergeCell ref="U9:Y9"/>
    <mergeCell ref="Z9:AD9"/>
    <mergeCell ref="U17:Y17"/>
    <mergeCell ref="Z17:AD17"/>
    <mergeCell ref="Z6:AD6"/>
    <mergeCell ref="U7:Y7"/>
    <mergeCell ref="Z7:AD7"/>
    <mergeCell ref="U8:Y8"/>
    <mergeCell ref="Z8:AD8"/>
  </mergeCells>
  <conditionalFormatting sqref="F22:S22">
    <cfRule type="expression" dxfId="185" priority="2116">
      <formula>MOD(ROW(),2)=0</formula>
    </cfRule>
  </conditionalFormatting>
  <conditionalFormatting sqref="U22:AD22">
    <cfRule type="expression" dxfId="184" priority="185">
      <formula>MOD(ROW(),2)=0</formula>
    </cfRule>
  </conditionalFormatting>
  <conditionalFormatting sqref="F66:S66 F111:S111 F142:S142 F167:S167 F181:S181 F225:S225 F236:S236 F257:S257 F275:S275 F297:S297 F315:S315 F350:S350 F367:S367 F393:S393 F441:S441 F463:S463 F498:S498 F523:S523 F549:S549 F589:S589 F595:S595 F618:S618 F633:S633 F690:S690 F708:S708 F745:S745 F772:S772 F795:S795 F829:S829 F869:S869 F875:S875 F901:S901 F907:S907 F943:S943 F977:S977 F992:S992 F1018:S1018 F1063:S1063 F1084:S1084 F1115:S1115 F1141:S1141 F1155:S1155 F1196:S1196 F1232:S1232 F1266:S1266 F1300:S1300 F1348:S1348 F1362:S1362 F1395:S1395 F1409:S1409 F1432:S1432 F1460:S1460 F1514:S1514 F1566:S1566 F1597:S1597 F1640:S1640 F1693:S1693 F1728:S1728 F1762:S1762 F1802:S1802 F1839:S1839 F1855:S1855 F1921:S1921 F1957:S1957 F1993:S1993 F2039:S2039 F2097:S2097 F2135:S2135 F2172:S2172 F2184:S2184 F2212:S2212 F2231:S2231 F2268:S2268 F2309:S2309 F2344:S2344 F2354:S2354 F2381:S2381 F2409:S2409 F2431:S2431 F2468:S2468 F2497:S2497 F2526:S2526 F2582:S2582 F2640:S2640 F2683:S2683 F2735:S2735 F2775:S2775 F2851:S2851 F2905:S2905 F2913:S2913 F2964:S2964 F3004:S3004 F3054:S3054">
    <cfRule type="expression" dxfId="183" priority="184">
      <formula>MOD(ROW(),2)=0</formula>
    </cfRule>
  </conditionalFormatting>
  <conditionalFormatting sqref="U66:AD66 U111:AD111 U142:AD142 U167:AD167 U181:AD181 U225:AD225 U236:AD236 U257:AD257 U275:AD275 U297:AD297 U315:AD315 U350:AD350 U367:AD367 U393:AD393 U441:AD441 U463:AD463 U498:AD498 U523:AD523 U549:AD549 U589:AD589 U595:AD595 U618:AD618 U633:AD633 U690:AD690 U708:AD708 U745:AD745 U772:AD772 U795:AD795 U829:AD829 U869:AD869 U875:AD875 U901:AD901 U907:AD907 U943:AD943 U977:AD977 U992:AD992 U1018:AD1018 U1063:AD1063 U1084:AD1084 U1115:AD1115 U1141:AD1141 U1155:AD1155 U1196:AD1196 U1232:AD1232 U1266:AD1266 U1300:AD1300 U1348:AD1348 U1362:AD1362 U1395:AD1395 U1409:AD1409 U1432:AD1432 U1460:AD1460 U1514:AD1514 U1566:AD1566 U1597:AD1597 U1640:AD1640 U1693:AD1693 U1728:AD1728 U1762:AD1762 U1802:AD1802 U1839:AD1839 U1855:AD1855 U1921:AD1921 U1957:AD1957 U1993:AD1993 U2039:AD2039 U2097:AD2097 U2135:AD2135 U2172:AD2172 U2184:AD2184 U2212:AD2212 U2231:AD2231 U2268:AD2268 U2309:AD2309 U2344:AD2344 U2354:AD2354 U2381:AD2381 U2409:AD2409 U2431:AD2431 U2468:AD2468 U2497:AD2497 U2526:AD2526 U2582:AD2582 U2640:AD2640 U2683:AD2683 U2735:AD2735 U2775:AD2775 U2851:AD2851 U2905:AD2905 U2913:AD2913 U2964:AD2964 U3004:AD3004 U3054:AD3054">
    <cfRule type="expression" dxfId="182" priority="183">
      <formula>MOD(ROW(),2)=0</formula>
    </cfRule>
  </conditionalFormatting>
  <conditionalFormatting sqref="F23:S60">
    <cfRule type="expression" dxfId="181" priority="182">
      <formula>MOD(ROW(),2)=0</formula>
    </cfRule>
  </conditionalFormatting>
  <conditionalFormatting sqref="U23:AD60">
    <cfRule type="expression" dxfId="180" priority="181">
      <formula>MOD(ROW(),2)=0</formula>
    </cfRule>
  </conditionalFormatting>
  <conditionalFormatting sqref="F3055:S3058">
    <cfRule type="expression" dxfId="179" priority="180">
      <formula>MOD(ROW(),2)=0</formula>
    </cfRule>
  </conditionalFormatting>
  <conditionalFormatting sqref="U3055:AD3058">
    <cfRule type="expression" dxfId="178" priority="179">
      <formula>MOD(ROW(),2)=0</formula>
    </cfRule>
  </conditionalFormatting>
  <conditionalFormatting sqref="F3005:S3048">
    <cfRule type="expression" dxfId="177" priority="178">
      <formula>MOD(ROW(),2)=0</formula>
    </cfRule>
  </conditionalFormatting>
  <conditionalFormatting sqref="U3005:AD3048">
    <cfRule type="expression" dxfId="176" priority="177">
      <formula>MOD(ROW(),2)=0</formula>
    </cfRule>
  </conditionalFormatting>
  <conditionalFormatting sqref="F2965:S2998">
    <cfRule type="expression" dxfId="175" priority="176">
      <formula>MOD(ROW(),2)=0</formula>
    </cfRule>
  </conditionalFormatting>
  <conditionalFormatting sqref="U2965:AD2998">
    <cfRule type="expression" dxfId="174" priority="175">
      <formula>MOD(ROW(),2)=0</formula>
    </cfRule>
  </conditionalFormatting>
  <conditionalFormatting sqref="F2914:S2958">
    <cfRule type="expression" dxfId="173" priority="174">
      <formula>MOD(ROW(),2)=0</formula>
    </cfRule>
  </conditionalFormatting>
  <conditionalFormatting sqref="U2914:AD2958">
    <cfRule type="expression" dxfId="172" priority="173">
      <formula>MOD(ROW(),2)=0</formula>
    </cfRule>
  </conditionalFormatting>
  <conditionalFormatting sqref="F2906:S2907">
    <cfRule type="expression" dxfId="171" priority="172">
      <formula>MOD(ROW(),2)=0</formula>
    </cfRule>
  </conditionalFormatting>
  <conditionalFormatting sqref="U2906:AD2907">
    <cfRule type="expression" dxfId="170" priority="171">
      <formula>MOD(ROW(),2)=0</formula>
    </cfRule>
  </conditionalFormatting>
  <conditionalFormatting sqref="F2852:S2899">
    <cfRule type="expression" dxfId="169" priority="170">
      <formula>MOD(ROW(),2)=0</formula>
    </cfRule>
  </conditionalFormatting>
  <conditionalFormatting sqref="U2852:AD2899">
    <cfRule type="expression" dxfId="168" priority="169">
      <formula>MOD(ROW(),2)=0</formula>
    </cfRule>
  </conditionalFormatting>
  <conditionalFormatting sqref="F2776:S2845">
    <cfRule type="expression" dxfId="167" priority="168">
      <formula>MOD(ROW(),2)=0</formula>
    </cfRule>
  </conditionalFormatting>
  <conditionalFormatting sqref="U2776:AD2845">
    <cfRule type="expression" dxfId="166" priority="167">
      <formula>MOD(ROW(),2)=0</formula>
    </cfRule>
  </conditionalFormatting>
  <conditionalFormatting sqref="F2736:S2769">
    <cfRule type="expression" dxfId="165" priority="166">
      <formula>MOD(ROW(),2)=0</formula>
    </cfRule>
  </conditionalFormatting>
  <conditionalFormatting sqref="U2736:AD2769">
    <cfRule type="expression" dxfId="164" priority="165">
      <formula>MOD(ROW(),2)=0</formula>
    </cfRule>
  </conditionalFormatting>
  <conditionalFormatting sqref="F2684:S2729">
    <cfRule type="expression" dxfId="163" priority="164">
      <formula>MOD(ROW(),2)=0</formula>
    </cfRule>
  </conditionalFormatting>
  <conditionalFormatting sqref="U2684:AD2729">
    <cfRule type="expression" dxfId="162" priority="163">
      <formula>MOD(ROW(),2)=0</formula>
    </cfRule>
  </conditionalFormatting>
  <conditionalFormatting sqref="F2641:S2677">
    <cfRule type="expression" dxfId="161" priority="162">
      <formula>MOD(ROW(),2)=0</formula>
    </cfRule>
  </conditionalFormatting>
  <conditionalFormatting sqref="U2641:AD2677">
    <cfRule type="expression" dxfId="160" priority="161">
      <formula>MOD(ROW(),2)=0</formula>
    </cfRule>
  </conditionalFormatting>
  <conditionalFormatting sqref="F2583:S2634">
    <cfRule type="expression" dxfId="159" priority="160">
      <formula>MOD(ROW(),2)=0</formula>
    </cfRule>
  </conditionalFormatting>
  <conditionalFormatting sqref="U2583:AD2634">
    <cfRule type="expression" dxfId="158" priority="159">
      <formula>MOD(ROW(),2)=0</formula>
    </cfRule>
  </conditionalFormatting>
  <conditionalFormatting sqref="F2527:S2576">
    <cfRule type="expression" dxfId="157" priority="158">
      <formula>MOD(ROW(),2)=0</formula>
    </cfRule>
  </conditionalFormatting>
  <conditionalFormatting sqref="U2527:AD2576">
    <cfRule type="expression" dxfId="156" priority="157">
      <formula>MOD(ROW(),2)=0</formula>
    </cfRule>
  </conditionalFormatting>
  <conditionalFormatting sqref="F2498:S2520">
    <cfRule type="expression" dxfId="155" priority="156">
      <formula>MOD(ROW(),2)=0</formula>
    </cfRule>
  </conditionalFormatting>
  <conditionalFormatting sqref="U2498:AD2520">
    <cfRule type="expression" dxfId="154" priority="155">
      <formula>MOD(ROW(),2)=0</formula>
    </cfRule>
  </conditionalFormatting>
  <conditionalFormatting sqref="F2469:S2491">
    <cfRule type="expression" dxfId="153" priority="154">
      <formula>MOD(ROW(),2)=0</formula>
    </cfRule>
  </conditionalFormatting>
  <conditionalFormatting sqref="U2469:AD2491">
    <cfRule type="expression" dxfId="152" priority="153">
      <formula>MOD(ROW(),2)=0</formula>
    </cfRule>
  </conditionalFormatting>
  <conditionalFormatting sqref="F2432:S2462">
    <cfRule type="expression" dxfId="151" priority="152">
      <formula>MOD(ROW(),2)=0</formula>
    </cfRule>
  </conditionalFormatting>
  <conditionalFormatting sqref="U2432:AD2462">
    <cfRule type="expression" dxfId="150" priority="151">
      <formula>MOD(ROW(),2)=0</formula>
    </cfRule>
  </conditionalFormatting>
  <conditionalFormatting sqref="F2410:S2425">
    <cfRule type="expression" dxfId="149" priority="150">
      <formula>MOD(ROW(),2)=0</formula>
    </cfRule>
  </conditionalFormatting>
  <conditionalFormatting sqref="U2410:AD2425">
    <cfRule type="expression" dxfId="148" priority="149">
      <formula>MOD(ROW(),2)=0</formula>
    </cfRule>
  </conditionalFormatting>
  <conditionalFormatting sqref="F2382:S2403">
    <cfRule type="expression" dxfId="147" priority="148">
      <formula>MOD(ROW(),2)=0</formula>
    </cfRule>
  </conditionalFormatting>
  <conditionalFormatting sqref="U2382:AD2403">
    <cfRule type="expression" dxfId="146" priority="147">
      <formula>MOD(ROW(),2)=0</formula>
    </cfRule>
  </conditionalFormatting>
  <conditionalFormatting sqref="F2355:S2375">
    <cfRule type="expression" dxfId="145" priority="146">
      <formula>MOD(ROW(),2)=0</formula>
    </cfRule>
  </conditionalFormatting>
  <conditionalFormatting sqref="U2355:AD2375">
    <cfRule type="expression" dxfId="144" priority="145">
      <formula>MOD(ROW(),2)=0</formula>
    </cfRule>
  </conditionalFormatting>
  <conditionalFormatting sqref="F2345:S2348">
    <cfRule type="expression" dxfId="143" priority="144">
      <formula>MOD(ROW(),2)=0</formula>
    </cfRule>
  </conditionalFormatting>
  <conditionalFormatting sqref="U2345:AD2348">
    <cfRule type="expression" dxfId="142" priority="143">
      <formula>MOD(ROW(),2)=0</formula>
    </cfRule>
  </conditionalFormatting>
  <conditionalFormatting sqref="F2310:S2338">
    <cfRule type="expression" dxfId="141" priority="142">
      <formula>MOD(ROW(),2)=0</formula>
    </cfRule>
  </conditionalFormatting>
  <conditionalFormatting sqref="U2310:AD2338">
    <cfRule type="expression" dxfId="140" priority="141">
      <formula>MOD(ROW(),2)=0</formula>
    </cfRule>
  </conditionalFormatting>
  <conditionalFormatting sqref="F2269:S2303">
    <cfRule type="expression" dxfId="139" priority="140">
      <formula>MOD(ROW(),2)=0</formula>
    </cfRule>
  </conditionalFormatting>
  <conditionalFormatting sqref="U2269:AD2303">
    <cfRule type="expression" dxfId="138" priority="139">
      <formula>MOD(ROW(),2)=0</formula>
    </cfRule>
  </conditionalFormatting>
  <conditionalFormatting sqref="F2232:S2262">
    <cfRule type="expression" dxfId="137" priority="138">
      <formula>MOD(ROW(),2)=0</formula>
    </cfRule>
  </conditionalFormatting>
  <conditionalFormatting sqref="U2232:AD2262">
    <cfRule type="expression" dxfId="136" priority="137">
      <formula>MOD(ROW(),2)=0</formula>
    </cfRule>
  </conditionalFormatting>
  <conditionalFormatting sqref="F2213:S2225">
    <cfRule type="expression" dxfId="135" priority="136">
      <formula>MOD(ROW(),2)=0</formula>
    </cfRule>
  </conditionalFormatting>
  <conditionalFormatting sqref="U2213:AD2225">
    <cfRule type="expression" dxfId="134" priority="135">
      <formula>MOD(ROW(),2)=0</formula>
    </cfRule>
  </conditionalFormatting>
  <conditionalFormatting sqref="F2185:S2206">
    <cfRule type="expression" dxfId="133" priority="134">
      <formula>MOD(ROW(),2)=0</formula>
    </cfRule>
  </conditionalFormatting>
  <conditionalFormatting sqref="U2185:AD2206">
    <cfRule type="expression" dxfId="132" priority="133">
      <formula>MOD(ROW(),2)=0</formula>
    </cfRule>
  </conditionalFormatting>
  <conditionalFormatting sqref="F2173:S2178">
    <cfRule type="expression" dxfId="131" priority="132">
      <formula>MOD(ROW(),2)=0</formula>
    </cfRule>
  </conditionalFormatting>
  <conditionalFormatting sqref="U2173:AD2178">
    <cfRule type="expression" dxfId="130" priority="131">
      <formula>MOD(ROW(),2)=0</formula>
    </cfRule>
  </conditionalFormatting>
  <conditionalFormatting sqref="F2136:S2166">
    <cfRule type="expression" dxfId="129" priority="130">
      <formula>MOD(ROW(),2)=0</formula>
    </cfRule>
  </conditionalFormatting>
  <conditionalFormatting sqref="U2136:AD2166">
    <cfRule type="expression" dxfId="128" priority="129">
      <formula>MOD(ROW(),2)=0</formula>
    </cfRule>
  </conditionalFormatting>
  <conditionalFormatting sqref="F2098:S2129">
    <cfRule type="expression" dxfId="127" priority="128">
      <formula>MOD(ROW(),2)=0</formula>
    </cfRule>
  </conditionalFormatting>
  <conditionalFormatting sqref="U2098:AD2129">
    <cfRule type="expression" dxfId="126" priority="127">
      <formula>MOD(ROW(),2)=0</formula>
    </cfRule>
  </conditionalFormatting>
  <conditionalFormatting sqref="F2040:S2091">
    <cfRule type="expression" dxfId="125" priority="126">
      <formula>MOD(ROW(),2)=0</formula>
    </cfRule>
  </conditionalFormatting>
  <conditionalFormatting sqref="U2040:AD2091">
    <cfRule type="expression" dxfId="124" priority="125">
      <formula>MOD(ROW(),2)=0</formula>
    </cfRule>
  </conditionalFormatting>
  <conditionalFormatting sqref="F1994:S2033">
    <cfRule type="expression" dxfId="123" priority="124">
      <formula>MOD(ROW(),2)=0</formula>
    </cfRule>
  </conditionalFormatting>
  <conditionalFormatting sqref="U1994:AD2033">
    <cfRule type="expression" dxfId="122" priority="123">
      <formula>MOD(ROW(),2)=0</formula>
    </cfRule>
  </conditionalFormatting>
  <conditionalFormatting sqref="F1958:S1987">
    <cfRule type="expression" dxfId="121" priority="122">
      <formula>MOD(ROW(),2)=0</formula>
    </cfRule>
  </conditionalFormatting>
  <conditionalFormatting sqref="U1958:AD1987">
    <cfRule type="expression" dxfId="120" priority="121">
      <formula>MOD(ROW(),2)=0</formula>
    </cfRule>
  </conditionalFormatting>
  <conditionalFormatting sqref="F1922:S1951">
    <cfRule type="expression" dxfId="119" priority="120">
      <formula>MOD(ROW(),2)=0</formula>
    </cfRule>
  </conditionalFormatting>
  <conditionalFormatting sqref="U1922:AD1951">
    <cfRule type="expression" dxfId="118" priority="119">
      <formula>MOD(ROW(),2)=0</formula>
    </cfRule>
  </conditionalFormatting>
  <conditionalFormatting sqref="F1856:S1915">
    <cfRule type="expression" dxfId="117" priority="118">
      <formula>MOD(ROW(),2)=0</formula>
    </cfRule>
  </conditionalFormatting>
  <conditionalFormatting sqref="U1856:AD1915">
    <cfRule type="expression" dxfId="116" priority="117">
      <formula>MOD(ROW(),2)=0</formula>
    </cfRule>
  </conditionalFormatting>
  <conditionalFormatting sqref="F1840:S1849">
    <cfRule type="expression" dxfId="115" priority="116">
      <formula>MOD(ROW(),2)=0</formula>
    </cfRule>
  </conditionalFormatting>
  <conditionalFormatting sqref="U1840:AD1849">
    <cfRule type="expression" dxfId="114" priority="115">
      <formula>MOD(ROW(),2)=0</formula>
    </cfRule>
  </conditionalFormatting>
  <conditionalFormatting sqref="F1803:S1833">
    <cfRule type="expression" dxfId="113" priority="114">
      <formula>MOD(ROW(),2)=0</formula>
    </cfRule>
  </conditionalFormatting>
  <conditionalFormatting sqref="U1803:AD1833">
    <cfRule type="expression" dxfId="112" priority="113">
      <formula>MOD(ROW(),2)=0</formula>
    </cfRule>
  </conditionalFormatting>
  <conditionalFormatting sqref="F1763:S1796">
    <cfRule type="expression" dxfId="111" priority="112">
      <formula>MOD(ROW(),2)=0</formula>
    </cfRule>
  </conditionalFormatting>
  <conditionalFormatting sqref="U1763:AD1796">
    <cfRule type="expression" dxfId="110" priority="111">
      <formula>MOD(ROW(),2)=0</formula>
    </cfRule>
  </conditionalFormatting>
  <conditionalFormatting sqref="F1729:S1756">
    <cfRule type="expression" dxfId="109" priority="110">
      <formula>MOD(ROW(),2)=0</formula>
    </cfRule>
  </conditionalFormatting>
  <conditionalFormatting sqref="U1729:AD1756">
    <cfRule type="expression" dxfId="108" priority="109">
      <formula>MOD(ROW(),2)=0</formula>
    </cfRule>
  </conditionalFormatting>
  <conditionalFormatting sqref="F1694:S1722">
    <cfRule type="expression" dxfId="107" priority="108">
      <formula>MOD(ROW(),2)=0</formula>
    </cfRule>
  </conditionalFormatting>
  <conditionalFormatting sqref="U1694:AD1722">
    <cfRule type="expression" dxfId="106" priority="107">
      <formula>MOD(ROW(),2)=0</formula>
    </cfRule>
  </conditionalFormatting>
  <conditionalFormatting sqref="F1641:S1687">
    <cfRule type="expression" dxfId="105" priority="106">
      <formula>MOD(ROW(),2)=0</formula>
    </cfRule>
  </conditionalFormatting>
  <conditionalFormatting sqref="U1641:AD1687">
    <cfRule type="expression" dxfId="104" priority="105">
      <formula>MOD(ROW(),2)=0</formula>
    </cfRule>
  </conditionalFormatting>
  <conditionalFormatting sqref="F1598:S1634">
    <cfRule type="expression" dxfId="103" priority="104">
      <formula>MOD(ROW(),2)=0</formula>
    </cfRule>
  </conditionalFormatting>
  <conditionalFormatting sqref="U1598:AD1634">
    <cfRule type="expression" dxfId="102" priority="103">
      <formula>MOD(ROW(),2)=0</formula>
    </cfRule>
  </conditionalFormatting>
  <conditionalFormatting sqref="F1567:S1591">
    <cfRule type="expression" dxfId="101" priority="102">
      <formula>MOD(ROW(),2)=0</formula>
    </cfRule>
  </conditionalFormatting>
  <conditionalFormatting sqref="U1567:AD1591">
    <cfRule type="expression" dxfId="100" priority="101">
      <formula>MOD(ROW(),2)=0</formula>
    </cfRule>
  </conditionalFormatting>
  <conditionalFormatting sqref="F1515:S1560">
    <cfRule type="expression" dxfId="99" priority="100">
      <formula>MOD(ROW(),2)=0</formula>
    </cfRule>
  </conditionalFormatting>
  <conditionalFormatting sqref="U1515:AD1560">
    <cfRule type="expression" dxfId="98" priority="99">
      <formula>MOD(ROW(),2)=0</formula>
    </cfRule>
  </conditionalFormatting>
  <conditionalFormatting sqref="F1461:S1508">
    <cfRule type="expression" dxfId="97" priority="98">
      <formula>MOD(ROW(),2)=0</formula>
    </cfRule>
  </conditionalFormatting>
  <conditionalFormatting sqref="U1461:AD1508">
    <cfRule type="expression" dxfId="96" priority="97">
      <formula>MOD(ROW(),2)=0</formula>
    </cfRule>
  </conditionalFormatting>
  <conditionalFormatting sqref="F1433:S1454">
    <cfRule type="expression" dxfId="95" priority="96">
      <formula>MOD(ROW(),2)=0</formula>
    </cfRule>
  </conditionalFormatting>
  <conditionalFormatting sqref="U1433:AD1454">
    <cfRule type="expression" dxfId="94" priority="95">
      <formula>MOD(ROW(),2)=0</formula>
    </cfRule>
  </conditionalFormatting>
  <conditionalFormatting sqref="F1410:S1426">
    <cfRule type="expression" dxfId="93" priority="94">
      <formula>MOD(ROW(),2)=0</formula>
    </cfRule>
  </conditionalFormatting>
  <conditionalFormatting sqref="U1410:AD1426">
    <cfRule type="expression" dxfId="92" priority="93">
      <formula>MOD(ROW(),2)=0</formula>
    </cfRule>
  </conditionalFormatting>
  <conditionalFormatting sqref="F1396:S1403">
    <cfRule type="expression" dxfId="91" priority="92">
      <formula>MOD(ROW(),2)=0</formula>
    </cfRule>
  </conditionalFormatting>
  <conditionalFormatting sqref="U1396:AD1403">
    <cfRule type="expression" dxfId="90" priority="91">
      <formula>MOD(ROW(),2)=0</formula>
    </cfRule>
  </conditionalFormatting>
  <conditionalFormatting sqref="F1363:S1389">
    <cfRule type="expression" dxfId="89" priority="90">
      <formula>MOD(ROW(),2)=0</formula>
    </cfRule>
  </conditionalFormatting>
  <conditionalFormatting sqref="U1363:AD1389">
    <cfRule type="expression" dxfId="88" priority="89">
      <formula>MOD(ROW(),2)=0</formula>
    </cfRule>
  </conditionalFormatting>
  <conditionalFormatting sqref="F1349:S1356">
    <cfRule type="expression" dxfId="87" priority="88">
      <formula>MOD(ROW(),2)=0</formula>
    </cfRule>
  </conditionalFormatting>
  <conditionalFormatting sqref="U1349:AD1356">
    <cfRule type="expression" dxfId="86" priority="87">
      <formula>MOD(ROW(),2)=0</formula>
    </cfRule>
  </conditionalFormatting>
  <conditionalFormatting sqref="F1301:S1342">
    <cfRule type="expression" dxfId="85" priority="86">
      <formula>MOD(ROW(),2)=0</formula>
    </cfRule>
  </conditionalFormatting>
  <conditionalFormatting sqref="U1301:AD1342">
    <cfRule type="expression" dxfId="84" priority="85">
      <formula>MOD(ROW(),2)=0</formula>
    </cfRule>
  </conditionalFormatting>
  <conditionalFormatting sqref="F1267:S1294">
    <cfRule type="expression" dxfId="83" priority="84">
      <formula>MOD(ROW(),2)=0</formula>
    </cfRule>
  </conditionalFormatting>
  <conditionalFormatting sqref="U1267:AD1294">
    <cfRule type="expression" dxfId="82" priority="83">
      <formula>MOD(ROW(),2)=0</formula>
    </cfRule>
  </conditionalFormatting>
  <conditionalFormatting sqref="F1233:S1260">
    <cfRule type="expression" dxfId="81" priority="82">
      <formula>MOD(ROW(),2)=0</formula>
    </cfRule>
  </conditionalFormatting>
  <conditionalFormatting sqref="U1233:AD1260">
    <cfRule type="expression" dxfId="80" priority="81">
      <formula>MOD(ROW(),2)=0</formula>
    </cfRule>
  </conditionalFormatting>
  <conditionalFormatting sqref="F1197:S1226">
    <cfRule type="expression" dxfId="79" priority="80">
      <formula>MOD(ROW(),2)=0</formula>
    </cfRule>
  </conditionalFormatting>
  <conditionalFormatting sqref="U1197:AD1226">
    <cfRule type="expression" dxfId="78" priority="79">
      <formula>MOD(ROW(),2)=0</formula>
    </cfRule>
  </conditionalFormatting>
  <conditionalFormatting sqref="F1156:S1190">
    <cfRule type="expression" dxfId="77" priority="78">
      <formula>MOD(ROW(),2)=0</formula>
    </cfRule>
  </conditionalFormatting>
  <conditionalFormatting sqref="U1156:AD1190">
    <cfRule type="expression" dxfId="76" priority="77">
      <formula>MOD(ROW(),2)=0</formula>
    </cfRule>
  </conditionalFormatting>
  <conditionalFormatting sqref="F1142:S1149">
    <cfRule type="expression" dxfId="75" priority="76">
      <formula>MOD(ROW(),2)=0</formula>
    </cfRule>
  </conditionalFormatting>
  <conditionalFormatting sqref="U1142:AD1149">
    <cfRule type="expression" dxfId="74" priority="75">
      <formula>MOD(ROW(),2)=0</formula>
    </cfRule>
  </conditionalFormatting>
  <conditionalFormatting sqref="F1116:S1135">
    <cfRule type="expression" dxfId="73" priority="74">
      <formula>MOD(ROW(),2)=0</formula>
    </cfRule>
  </conditionalFormatting>
  <conditionalFormatting sqref="U1116:AD1135">
    <cfRule type="expression" dxfId="72" priority="73">
      <formula>MOD(ROW(),2)=0</formula>
    </cfRule>
  </conditionalFormatting>
  <conditionalFormatting sqref="F1085:S1109">
    <cfRule type="expression" dxfId="71" priority="72">
      <formula>MOD(ROW(),2)=0</formula>
    </cfRule>
  </conditionalFormatting>
  <conditionalFormatting sqref="U1085:AD1109">
    <cfRule type="expression" dxfId="70" priority="71">
      <formula>MOD(ROW(),2)=0</formula>
    </cfRule>
  </conditionalFormatting>
  <conditionalFormatting sqref="F1064:S1078">
    <cfRule type="expression" dxfId="69" priority="70">
      <formula>MOD(ROW(),2)=0</formula>
    </cfRule>
  </conditionalFormatting>
  <conditionalFormatting sqref="U1064:AD1078">
    <cfRule type="expression" dxfId="68" priority="69">
      <formula>MOD(ROW(),2)=0</formula>
    </cfRule>
  </conditionalFormatting>
  <conditionalFormatting sqref="F1019:S1057">
    <cfRule type="expression" dxfId="67" priority="68">
      <formula>MOD(ROW(),2)=0</formula>
    </cfRule>
  </conditionalFormatting>
  <conditionalFormatting sqref="U1019:AD1057">
    <cfRule type="expression" dxfId="66" priority="67">
      <formula>MOD(ROW(),2)=0</formula>
    </cfRule>
  </conditionalFormatting>
  <conditionalFormatting sqref="F993:S1012">
    <cfRule type="expression" dxfId="65" priority="66">
      <formula>MOD(ROW(),2)=0</formula>
    </cfRule>
  </conditionalFormatting>
  <conditionalFormatting sqref="U993:AD1012">
    <cfRule type="expression" dxfId="64" priority="65">
      <formula>MOD(ROW(),2)=0</formula>
    </cfRule>
  </conditionalFormatting>
  <conditionalFormatting sqref="F978:S986">
    <cfRule type="expression" dxfId="63" priority="64">
      <formula>MOD(ROW(),2)=0</formula>
    </cfRule>
  </conditionalFormatting>
  <conditionalFormatting sqref="U978:AD986">
    <cfRule type="expression" dxfId="62" priority="63">
      <formula>MOD(ROW(),2)=0</formula>
    </cfRule>
  </conditionalFormatting>
  <conditionalFormatting sqref="F944:S971">
    <cfRule type="expression" dxfId="61" priority="62">
      <formula>MOD(ROW(),2)=0</formula>
    </cfRule>
  </conditionalFormatting>
  <conditionalFormatting sqref="U944:AD971">
    <cfRule type="expression" dxfId="60" priority="61">
      <formula>MOD(ROW(),2)=0</formula>
    </cfRule>
  </conditionalFormatting>
  <conditionalFormatting sqref="F908:S937">
    <cfRule type="expression" dxfId="59" priority="60">
      <formula>MOD(ROW(),2)=0</formula>
    </cfRule>
  </conditionalFormatting>
  <conditionalFormatting sqref="U908:AD937">
    <cfRule type="expression" dxfId="58" priority="59">
      <formula>MOD(ROW(),2)=0</formula>
    </cfRule>
  </conditionalFormatting>
  <conditionalFormatting sqref="F876:S895">
    <cfRule type="expression" dxfId="57" priority="58">
      <formula>MOD(ROW(),2)=0</formula>
    </cfRule>
  </conditionalFormatting>
  <conditionalFormatting sqref="U876:AD895">
    <cfRule type="expression" dxfId="56" priority="57">
      <formula>MOD(ROW(),2)=0</formula>
    </cfRule>
  </conditionalFormatting>
  <conditionalFormatting sqref="F830:S863">
    <cfRule type="expression" dxfId="55" priority="56">
      <formula>MOD(ROW(),2)=0</formula>
    </cfRule>
  </conditionalFormatting>
  <conditionalFormatting sqref="U830:AD863">
    <cfRule type="expression" dxfId="54" priority="55">
      <formula>MOD(ROW(),2)=0</formula>
    </cfRule>
  </conditionalFormatting>
  <conditionalFormatting sqref="F796:S823">
    <cfRule type="expression" dxfId="53" priority="54">
      <formula>MOD(ROW(),2)=0</formula>
    </cfRule>
  </conditionalFormatting>
  <conditionalFormatting sqref="U796:AD823">
    <cfRule type="expression" dxfId="52" priority="53">
      <formula>MOD(ROW(),2)=0</formula>
    </cfRule>
  </conditionalFormatting>
  <conditionalFormatting sqref="F773:S789">
    <cfRule type="expression" dxfId="51" priority="52">
      <formula>MOD(ROW(),2)=0</formula>
    </cfRule>
  </conditionalFormatting>
  <conditionalFormatting sqref="U773:AD789">
    <cfRule type="expression" dxfId="50" priority="51">
      <formula>MOD(ROW(),2)=0</formula>
    </cfRule>
  </conditionalFormatting>
  <conditionalFormatting sqref="F746:S766">
    <cfRule type="expression" dxfId="49" priority="50">
      <formula>MOD(ROW(),2)=0</formula>
    </cfRule>
  </conditionalFormatting>
  <conditionalFormatting sqref="U746:AD766">
    <cfRule type="expression" dxfId="48" priority="49">
      <formula>MOD(ROW(),2)=0</formula>
    </cfRule>
  </conditionalFormatting>
  <conditionalFormatting sqref="F709:S739">
    <cfRule type="expression" dxfId="47" priority="48">
      <formula>MOD(ROW(),2)=0</formula>
    </cfRule>
  </conditionalFormatting>
  <conditionalFormatting sqref="U709:AD739">
    <cfRule type="expression" dxfId="46" priority="47">
      <formula>MOD(ROW(),2)=0</formula>
    </cfRule>
  </conditionalFormatting>
  <conditionalFormatting sqref="F691:S702">
    <cfRule type="expression" dxfId="45" priority="46">
      <formula>MOD(ROW(),2)=0</formula>
    </cfRule>
  </conditionalFormatting>
  <conditionalFormatting sqref="U691:AD702">
    <cfRule type="expression" dxfId="44" priority="45">
      <formula>MOD(ROW(),2)=0</formula>
    </cfRule>
  </conditionalFormatting>
  <conditionalFormatting sqref="F634:S684">
    <cfRule type="expression" dxfId="43" priority="44">
      <formula>MOD(ROW(),2)=0</formula>
    </cfRule>
  </conditionalFormatting>
  <conditionalFormatting sqref="U634:AD684">
    <cfRule type="expression" dxfId="42" priority="43">
      <formula>MOD(ROW(),2)=0</formula>
    </cfRule>
  </conditionalFormatting>
  <conditionalFormatting sqref="F619:S627">
    <cfRule type="expression" dxfId="41" priority="42">
      <formula>MOD(ROW(),2)=0</formula>
    </cfRule>
  </conditionalFormatting>
  <conditionalFormatting sqref="U619:AD627">
    <cfRule type="expression" dxfId="40" priority="41">
      <formula>MOD(ROW(),2)=0</formula>
    </cfRule>
  </conditionalFormatting>
  <conditionalFormatting sqref="F596:S612">
    <cfRule type="expression" dxfId="39" priority="40">
      <formula>MOD(ROW(),2)=0</formula>
    </cfRule>
  </conditionalFormatting>
  <conditionalFormatting sqref="U596:AD612">
    <cfRule type="expression" dxfId="38" priority="39">
      <formula>MOD(ROW(),2)=0</formula>
    </cfRule>
  </conditionalFormatting>
  <conditionalFormatting sqref="F550:S583">
    <cfRule type="expression" dxfId="37" priority="38">
      <formula>MOD(ROW(),2)=0</formula>
    </cfRule>
  </conditionalFormatting>
  <conditionalFormatting sqref="U550:AD583">
    <cfRule type="expression" dxfId="36" priority="37">
      <formula>MOD(ROW(),2)=0</formula>
    </cfRule>
  </conditionalFormatting>
  <conditionalFormatting sqref="F524:S543">
    <cfRule type="expression" dxfId="35" priority="36">
      <formula>MOD(ROW(),2)=0</formula>
    </cfRule>
  </conditionalFormatting>
  <conditionalFormatting sqref="U524:AD543">
    <cfRule type="expression" dxfId="34" priority="35">
      <formula>MOD(ROW(),2)=0</formula>
    </cfRule>
  </conditionalFormatting>
  <conditionalFormatting sqref="F499:S517">
    <cfRule type="expression" dxfId="33" priority="34">
      <formula>MOD(ROW(),2)=0</formula>
    </cfRule>
  </conditionalFormatting>
  <conditionalFormatting sqref="U499:AD517">
    <cfRule type="expression" dxfId="32" priority="33">
      <formula>MOD(ROW(),2)=0</formula>
    </cfRule>
  </conditionalFormatting>
  <conditionalFormatting sqref="F464:S492">
    <cfRule type="expression" dxfId="31" priority="32">
      <formula>MOD(ROW(),2)=0</formula>
    </cfRule>
  </conditionalFormatting>
  <conditionalFormatting sqref="U464:AD492">
    <cfRule type="expression" dxfId="30" priority="31">
      <formula>MOD(ROW(),2)=0</formula>
    </cfRule>
  </conditionalFormatting>
  <conditionalFormatting sqref="F442:S457">
    <cfRule type="expression" dxfId="29" priority="30">
      <formula>MOD(ROW(),2)=0</formula>
    </cfRule>
  </conditionalFormatting>
  <conditionalFormatting sqref="U442:AD457">
    <cfRule type="expression" dxfId="28" priority="29">
      <formula>MOD(ROW(),2)=0</formula>
    </cfRule>
  </conditionalFormatting>
  <conditionalFormatting sqref="F394:S435">
    <cfRule type="expression" dxfId="27" priority="28">
      <formula>MOD(ROW(),2)=0</formula>
    </cfRule>
  </conditionalFormatting>
  <conditionalFormatting sqref="U394:AD435">
    <cfRule type="expression" dxfId="26" priority="27">
      <formula>MOD(ROW(),2)=0</formula>
    </cfRule>
  </conditionalFormatting>
  <conditionalFormatting sqref="F368:S387">
    <cfRule type="expression" dxfId="25" priority="26">
      <formula>MOD(ROW(),2)=0</formula>
    </cfRule>
  </conditionalFormatting>
  <conditionalFormatting sqref="U368:AD387">
    <cfRule type="expression" dxfId="24" priority="25">
      <formula>MOD(ROW(),2)=0</formula>
    </cfRule>
  </conditionalFormatting>
  <conditionalFormatting sqref="F351:S361">
    <cfRule type="expression" dxfId="23" priority="24">
      <formula>MOD(ROW(),2)=0</formula>
    </cfRule>
  </conditionalFormatting>
  <conditionalFormatting sqref="U351:AD361">
    <cfRule type="expression" dxfId="22" priority="23">
      <formula>MOD(ROW(),2)=0</formula>
    </cfRule>
  </conditionalFormatting>
  <conditionalFormatting sqref="F316:S344">
    <cfRule type="expression" dxfId="21" priority="22">
      <formula>MOD(ROW(),2)=0</formula>
    </cfRule>
  </conditionalFormatting>
  <conditionalFormatting sqref="U316:AD344">
    <cfRule type="expression" dxfId="20" priority="21">
      <formula>MOD(ROW(),2)=0</formula>
    </cfRule>
  </conditionalFormatting>
  <conditionalFormatting sqref="F298:S309">
    <cfRule type="expression" dxfId="19" priority="20">
      <formula>MOD(ROW(),2)=0</formula>
    </cfRule>
  </conditionalFormatting>
  <conditionalFormatting sqref="U298:AD309">
    <cfRule type="expression" dxfId="18" priority="19">
      <formula>MOD(ROW(),2)=0</formula>
    </cfRule>
  </conditionalFormatting>
  <conditionalFormatting sqref="F276:S291">
    <cfRule type="expression" dxfId="17" priority="18">
      <formula>MOD(ROW(),2)=0</formula>
    </cfRule>
  </conditionalFormatting>
  <conditionalFormatting sqref="U276:AD291">
    <cfRule type="expression" dxfId="16" priority="17">
      <formula>MOD(ROW(),2)=0</formula>
    </cfRule>
  </conditionalFormatting>
  <conditionalFormatting sqref="F258:S269">
    <cfRule type="expression" dxfId="15" priority="16">
      <formula>MOD(ROW(),2)=0</formula>
    </cfRule>
  </conditionalFormatting>
  <conditionalFormatting sqref="U258:AD269">
    <cfRule type="expression" dxfId="14" priority="15">
      <formula>MOD(ROW(),2)=0</formula>
    </cfRule>
  </conditionalFormatting>
  <conditionalFormatting sqref="F237:S251">
    <cfRule type="expression" dxfId="13" priority="14">
      <formula>MOD(ROW(),2)=0</formula>
    </cfRule>
  </conditionalFormatting>
  <conditionalFormatting sqref="U237:AD251">
    <cfRule type="expression" dxfId="12" priority="13">
      <formula>MOD(ROW(),2)=0</formula>
    </cfRule>
  </conditionalFormatting>
  <conditionalFormatting sqref="F226:S230">
    <cfRule type="expression" dxfId="11" priority="12">
      <formula>MOD(ROW(),2)=0</formula>
    </cfRule>
  </conditionalFormatting>
  <conditionalFormatting sqref="U226:AD230">
    <cfRule type="expression" dxfId="10" priority="11">
      <formula>MOD(ROW(),2)=0</formula>
    </cfRule>
  </conditionalFormatting>
  <conditionalFormatting sqref="F182:S219">
    <cfRule type="expression" dxfId="9" priority="10">
      <formula>MOD(ROW(),2)=0</formula>
    </cfRule>
  </conditionalFormatting>
  <conditionalFormatting sqref="U182:AD219">
    <cfRule type="expression" dxfId="8" priority="9">
      <formula>MOD(ROW(),2)=0</formula>
    </cfRule>
  </conditionalFormatting>
  <conditionalFormatting sqref="F168:S175">
    <cfRule type="expression" dxfId="7" priority="8">
      <formula>MOD(ROW(),2)=0</formula>
    </cfRule>
  </conditionalFormatting>
  <conditionalFormatting sqref="U168:AD175">
    <cfRule type="expression" dxfId="6" priority="7">
      <formula>MOD(ROW(),2)=0</formula>
    </cfRule>
  </conditionalFormatting>
  <conditionalFormatting sqref="F143:S161">
    <cfRule type="expression" dxfId="5" priority="6">
      <formula>MOD(ROW(),2)=0</formula>
    </cfRule>
  </conditionalFormatting>
  <conditionalFormatting sqref="U143:AD161">
    <cfRule type="expression" dxfId="4" priority="5">
      <formula>MOD(ROW(),2)=0</formula>
    </cfRule>
  </conditionalFormatting>
  <conditionalFormatting sqref="F112:S136">
    <cfRule type="expression" dxfId="3" priority="4">
      <formula>MOD(ROW(),2)=0</formula>
    </cfRule>
  </conditionalFormatting>
  <conditionalFormatting sqref="U112:AD136">
    <cfRule type="expression" dxfId="2" priority="3">
      <formula>MOD(ROW(),2)=0</formula>
    </cfRule>
  </conditionalFormatting>
  <conditionalFormatting sqref="F67:S105">
    <cfRule type="expression" dxfId="1" priority="2">
      <formula>MOD(ROW(),2)=0</formula>
    </cfRule>
  </conditionalFormatting>
  <conditionalFormatting sqref="U67:AD105">
    <cfRule type="expression" dxfId="0" priority="1">
      <formula>MOD(ROW(),2)=0</formula>
    </cfRule>
  </conditionalFormatting>
  <pageMargins left="0.7" right="0.7" top="0.75" bottom="0.75" header="0.3" footer="0.3"/>
  <pageSetup scale="83" fitToHeight="0" orientation="landscape" horizontalDpi="300" verticalDpi="300" r:id="rId1"/>
  <headerFooter>
    <oddFooter>&amp;L&amp;"-,Bold" Confidential&amp;C&amp;D&amp;RPage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heetViews>
  <sheetFormatPr defaultRowHeight="15" x14ac:dyDescent="0.25"/>
  <sheetData>
    <row r="1" spans="1:6" x14ac:dyDescent="0.25">
      <c r="A1" s="62" t="s">
        <v>59383</v>
      </c>
      <c r="C1" s="62" t="s">
        <v>15</v>
      </c>
      <c r="D1" s="62" t="s">
        <v>16</v>
      </c>
      <c r="E1" s="62" t="s">
        <v>17</v>
      </c>
      <c r="F1" s="62" t="s">
        <v>46</v>
      </c>
    </row>
    <row r="3" spans="1:6" x14ac:dyDescent="0.25">
      <c r="A3" s="62" t="s">
        <v>14</v>
      </c>
      <c r="C3" s="62" t="s">
        <v>8</v>
      </c>
      <c r="D3" s="62" t="s">
        <v>42</v>
      </c>
      <c r="E3" s="62" t="s">
        <v>64</v>
      </c>
    </row>
    <row r="4" spans="1:6" x14ac:dyDescent="0.25">
      <c r="A4" s="62" t="s">
        <v>14</v>
      </c>
      <c r="C4" s="62" t="s">
        <v>12</v>
      </c>
      <c r="D4" s="62" t="s">
        <v>65</v>
      </c>
      <c r="F4" s="62" t="s">
        <v>47</v>
      </c>
    </row>
    <row r="5" spans="1:6" x14ac:dyDescent="0.25">
      <c r="A5" s="62" t="s">
        <v>14</v>
      </c>
      <c r="C5" s="62" t="s">
        <v>13</v>
      </c>
      <c r="D5" s="62" t="s">
        <v>39701</v>
      </c>
      <c r="F5" s="62" t="s">
        <v>47</v>
      </c>
    </row>
    <row r="6" spans="1:6" x14ac:dyDescent="0.25">
      <c r="A6" s="62" t="s">
        <v>14</v>
      </c>
      <c r="C6" s="62" t="s">
        <v>29</v>
      </c>
      <c r="D6" s="62" t="s">
        <v>66</v>
      </c>
      <c r="E6" s="62" t="s">
        <v>67</v>
      </c>
    </row>
    <row r="7" spans="1:6" x14ac:dyDescent="0.25">
      <c r="A7" s="62" t="s">
        <v>14</v>
      </c>
      <c r="C7" s="62" t="s">
        <v>11</v>
      </c>
      <c r="D7" s="62" t="s">
        <v>66</v>
      </c>
      <c r="E7" s="62" t="s">
        <v>69</v>
      </c>
    </row>
    <row r="10" spans="1:6" x14ac:dyDescent="0.25">
      <c r="C10" s="62" t="s">
        <v>30</v>
      </c>
      <c r="D10" s="62" t="s">
        <v>16</v>
      </c>
    </row>
    <row r="11" spans="1:6" x14ac:dyDescent="0.25">
      <c r="C11" s="62" t="s">
        <v>31</v>
      </c>
      <c r="D11" s="62" t="s">
        <v>70</v>
      </c>
    </row>
    <row r="12" spans="1:6" x14ac:dyDescent="0.25">
      <c r="C12" s="62" t="s">
        <v>32</v>
      </c>
      <c r="D12" s="62" t="s">
        <v>59382</v>
      </c>
    </row>
    <row r="13" spans="1:6" x14ac:dyDescent="0.25">
      <c r="C13" s="62" t="s">
        <v>33</v>
      </c>
      <c r="D13" s="62" t="s">
        <v>71</v>
      </c>
    </row>
    <row r="14" spans="1:6" x14ac:dyDescent="0.25">
      <c r="C14" s="62" t="s">
        <v>34</v>
      </c>
      <c r="D14" s="62" t="s">
        <v>72</v>
      </c>
      <c r="E14" s="62" t="s">
        <v>9</v>
      </c>
    </row>
    <row r="15" spans="1:6" x14ac:dyDescent="0.25">
      <c r="C15" s="62" t="s">
        <v>35</v>
      </c>
      <c r="D15" s="62" t="s">
        <v>72</v>
      </c>
      <c r="E15" s="62" t="s">
        <v>10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heetViews>
  <sheetFormatPr defaultRowHeight="15" x14ac:dyDescent="0.25"/>
  <sheetData>
    <row r="1" spans="1:6" x14ac:dyDescent="0.25">
      <c r="A1" s="62" t="s">
        <v>59383</v>
      </c>
      <c r="C1" s="62" t="s">
        <v>15</v>
      </c>
      <c r="D1" s="62" t="s">
        <v>16</v>
      </c>
      <c r="E1" s="62" t="s">
        <v>17</v>
      </c>
      <c r="F1" s="62" t="s">
        <v>46</v>
      </c>
    </row>
    <row r="3" spans="1:6" x14ac:dyDescent="0.25">
      <c r="A3" s="62" t="s">
        <v>14</v>
      </c>
      <c r="C3" s="62" t="s">
        <v>8</v>
      </c>
      <c r="D3" s="62" t="s">
        <v>42</v>
      </c>
      <c r="E3" s="62" t="s">
        <v>64</v>
      </c>
    </row>
    <row r="4" spans="1:6" x14ac:dyDescent="0.25">
      <c r="A4" s="62" t="s">
        <v>14</v>
      </c>
      <c r="C4" s="62" t="s">
        <v>12</v>
      </c>
      <c r="D4" s="62" t="s">
        <v>65</v>
      </c>
      <c r="F4" s="62" t="s">
        <v>47</v>
      </c>
    </row>
    <row r="5" spans="1:6" x14ac:dyDescent="0.25">
      <c r="A5" s="62" t="s">
        <v>14</v>
      </c>
      <c r="C5" s="62" t="s">
        <v>13</v>
      </c>
      <c r="D5" s="62" t="s">
        <v>39701</v>
      </c>
      <c r="F5" s="62" t="s">
        <v>47</v>
      </c>
    </row>
    <row r="6" spans="1:6" x14ac:dyDescent="0.25">
      <c r="A6" s="62" t="s">
        <v>14</v>
      </c>
      <c r="C6" s="62" t="s">
        <v>29</v>
      </c>
      <c r="D6" s="62" t="s">
        <v>66</v>
      </c>
      <c r="E6" s="62" t="s">
        <v>67</v>
      </c>
    </row>
    <row r="7" spans="1:6" x14ac:dyDescent="0.25">
      <c r="A7" s="62" t="s">
        <v>14</v>
      </c>
      <c r="C7" s="62" t="s">
        <v>11</v>
      </c>
      <c r="D7" s="62" t="s">
        <v>66</v>
      </c>
      <c r="E7" s="62" t="s">
        <v>69</v>
      </c>
    </row>
    <row r="10" spans="1:6" x14ac:dyDescent="0.25">
      <c r="C10" s="62" t="s">
        <v>30</v>
      </c>
      <c r="D10" s="62" t="s">
        <v>16</v>
      </c>
    </row>
    <row r="11" spans="1:6" x14ac:dyDescent="0.25">
      <c r="C11" s="62" t="s">
        <v>31</v>
      </c>
      <c r="D11" s="62" t="s">
        <v>70</v>
      </c>
    </row>
    <row r="12" spans="1:6" x14ac:dyDescent="0.25">
      <c r="C12" s="62" t="s">
        <v>32</v>
      </c>
      <c r="D12" s="62" t="s">
        <v>59382</v>
      </c>
    </row>
    <row r="13" spans="1:6" x14ac:dyDescent="0.25">
      <c r="C13" s="62" t="s">
        <v>33</v>
      </c>
      <c r="D13" s="62" t="s">
        <v>71</v>
      </c>
    </row>
    <row r="14" spans="1:6" x14ac:dyDescent="0.25">
      <c r="C14" s="62" t="s">
        <v>34</v>
      </c>
      <c r="D14" s="62" t="s">
        <v>72</v>
      </c>
      <c r="E14" s="62" t="s">
        <v>9</v>
      </c>
    </row>
    <row r="15" spans="1:6" x14ac:dyDescent="0.25">
      <c r="C15" s="62" t="s">
        <v>35</v>
      </c>
      <c r="D15" s="62" t="s">
        <v>72</v>
      </c>
      <c r="E15" s="62" t="s">
        <v>10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
  <sheetViews>
    <sheetView workbookViewId="0"/>
  </sheetViews>
  <sheetFormatPr defaultRowHeight="15" x14ac:dyDescent="0.25"/>
  <sheetData>
    <row r="1" spans="1:19" x14ac:dyDescent="0.25">
      <c r="A1" s="62" t="s">
        <v>59386</v>
      </c>
      <c r="B1" s="62" t="s">
        <v>18</v>
      </c>
      <c r="C1" s="62" t="s">
        <v>18</v>
      </c>
      <c r="E1" s="62" t="s">
        <v>27</v>
      </c>
      <c r="F1" s="62" t="s">
        <v>27</v>
      </c>
      <c r="G1" s="62" t="s">
        <v>27</v>
      </c>
      <c r="J1" s="62" t="s">
        <v>27</v>
      </c>
      <c r="K1" s="62" t="s">
        <v>27</v>
      </c>
      <c r="L1" s="62" t="s">
        <v>27</v>
      </c>
      <c r="M1" s="62" t="s">
        <v>27</v>
      </c>
      <c r="N1" s="62" t="s">
        <v>27</v>
      </c>
      <c r="O1" s="62" t="s">
        <v>28</v>
      </c>
      <c r="P1" s="62" t="s">
        <v>27</v>
      </c>
      <c r="Q1" s="62" t="s">
        <v>27</v>
      </c>
      <c r="R1" s="62" t="s">
        <v>27</v>
      </c>
      <c r="S1" s="62" t="s">
        <v>27</v>
      </c>
    </row>
    <row r="3" spans="1:19" x14ac:dyDescent="0.25">
      <c r="A3" s="62" t="s">
        <v>18</v>
      </c>
      <c r="B3" s="62" t="s">
        <v>19</v>
      </c>
      <c r="C3" s="62" t="s">
        <v>585</v>
      </c>
    </row>
    <row r="4" spans="1:19" x14ac:dyDescent="0.25">
      <c r="A4" s="62" t="s">
        <v>18</v>
      </c>
      <c r="B4" s="62" t="s">
        <v>34</v>
      </c>
      <c r="C4" s="62" t="s">
        <v>586</v>
      </c>
    </row>
    <row r="5" spans="1:19" x14ac:dyDescent="0.25">
      <c r="A5" s="62" t="s">
        <v>18</v>
      </c>
      <c r="B5" s="62" t="s">
        <v>36</v>
      </c>
      <c r="C5" s="62" t="s">
        <v>587</v>
      </c>
    </row>
    <row r="6" spans="1:19" x14ac:dyDescent="0.25">
      <c r="A6" s="62" t="s">
        <v>18</v>
      </c>
      <c r="B6" s="62" t="s">
        <v>39</v>
      </c>
      <c r="C6" s="62" t="s">
        <v>588</v>
      </c>
      <c r="J6" s="62" t="s">
        <v>73</v>
      </c>
    </row>
    <row r="7" spans="1:19" x14ac:dyDescent="0.25">
      <c r="A7" s="62" t="s">
        <v>18</v>
      </c>
      <c r="B7" s="62" t="s">
        <v>38</v>
      </c>
      <c r="C7" s="62" t="s">
        <v>589</v>
      </c>
      <c r="J7" s="62" t="s">
        <v>74</v>
      </c>
      <c r="O7" s="62" t="s">
        <v>75</v>
      </c>
    </row>
    <row r="8" spans="1:19" x14ac:dyDescent="0.25">
      <c r="A8" s="62" t="s">
        <v>18</v>
      </c>
      <c r="B8" s="62" t="s">
        <v>31</v>
      </c>
      <c r="C8" s="62" t="s">
        <v>590</v>
      </c>
      <c r="J8" s="62" t="s">
        <v>76</v>
      </c>
      <c r="O8" s="62" t="s">
        <v>77</v>
      </c>
    </row>
    <row r="9" spans="1:19" x14ac:dyDescent="0.25">
      <c r="A9" s="62" t="s">
        <v>18</v>
      </c>
      <c r="B9" s="62" t="s">
        <v>32</v>
      </c>
      <c r="C9" s="62" t="s">
        <v>591</v>
      </c>
      <c r="J9" s="62" t="s">
        <v>59384</v>
      </c>
      <c r="O9" s="62" t="s">
        <v>59385</v>
      </c>
    </row>
    <row r="10" spans="1:19" x14ac:dyDescent="0.25">
      <c r="A10" s="62" t="s">
        <v>18</v>
      </c>
      <c r="B10" s="62" t="s">
        <v>37</v>
      </c>
      <c r="C10" s="62" t="s">
        <v>592</v>
      </c>
    </row>
    <row r="12" spans="1:19" x14ac:dyDescent="0.25">
      <c r="E12" s="62" t="s">
        <v>20</v>
      </c>
    </row>
    <row r="13" spans="1:19" x14ac:dyDescent="0.25">
      <c r="E13" s="62" t="s">
        <v>41</v>
      </c>
    </row>
    <row r="14" spans="1:19" x14ac:dyDescent="0.25">
      <c r="E14" s="62" t="s">
        <v>39</v>
      </c>
      <c r="G14" s="62" t="s">
        <v>78</v>
      </c>
    </row>
    <row r="15" spans="1:19" x14ac:dyDescent="0.25">
      <c r="E15" s="62" t="s">
        <v>38</v>
      </c>
      <c r="G15" s="62" t="s">
        <v>79</v>
      </c>
    </row>
    <row r="17" spans="3:19" x14ac:dyDescent="0.25">
      <c r="J17" s="62" t="s">
        <v>80</v>
      </c>
      <c r="O17" s="62" t="s">
        <v>81</v>
      </c>
    </row>
    <row r="18" spans="3:19" x14ac:dyDescent="0.25">
      <c r="E18" s="62" t="s">
        <v>21</v>
      </c>
      <c r="G18" s="62" t="s">
        <v>22</v>
      </c>
      <c r="J18" s="62" t="s">
        <v>6</v>
      </c>
      <c r="K18" s="62" t="s">
        <v>23</v>
      </c>
      <c r="L18" s="62" t="s">
        <v>40</v>
      </c>
      <c r="M18" s="62" t="s">
        <v>24</v>
      </c>
      <c r="N18" s="62" t="s">
        <v>25</v>
      </c>
      <c r="O18" s="62" t="s">
        <v>6</v>
      </c>
      <c r="P18" s="62" t="s">
        <v>23</v>
      </c>
      <c r="Q18" s="62" t="s">
        <v>40</v>
      </c>
      <c r="R18" s="62" t="s">
        <v>24</v>
      </c>
      <c r="S18" s="62" t="s">
        <v>25</v>
      </c>
    </row>
    <row r="20" spans="3:19" x14ac:dyDescent="0.25">
      <c r="C20" s="62" t="s">
        <v>84</v>
      </c>
      <c r="E20" s="62" t="s">
        <v>82</v>
      </c>
      <c r="G20" s="62" t="s">
        <v>83</v>
      </c>
    </row>
    <row r="21" spans="3:19" x14ac:dyDescent="0.25">
      <c r="C21" s="62" t="s">
        <v>593</v>
      </c>
    </row>
    <row r="22" spans="3:19" x14ac:dyDescent="0.25">
      <c r="C22" s="62" t="s">
        <v>594</v>
      </c>
      <c r="F22" s="62" t="s">
        <v>595</v>
      </c>
      <c r="G22" s="62" t="s">
        <v>720</v>
      </c>
      <c r="J22" s="62" t="s">
        <v>721</v>
      </c>
      <c r="K22" s="62" t="s">
        <v>722</v>
      </c>
      <c r="L22" s="62" t="s">
        <v>723</v>
      </c>
      <c r="M22" s="62" t="s">
        <v>85</v>
      </c>
      <c r="N22" s="62" t="s">
        <v>86</v>
      </c>
      <c r="O22" s="62" t="s">
        <v>724</v>
      </c>
      <c r="P22" s="62" t="s">
        <v>725</v>
      </c>
      <c r="Q22" s="62" t="s">
        <v>726</v>
      </c>
      <c r="R22" s="62" t="s">
        <v>87</v>
      </c>
      <c r="S22" s="62" t="s">
        <v>88</v>
      </c>
    </row>
    <row r="23" spans="3:19" x14ac:dyDescent="0.25">
      <c r="C23" s="62" t="s">
        <v>596</v>
      </c>
    </row>
    <row r="24" spans="3:19" x14ac:dyDescent="0.25">
      <c r="C24" s="62" t="s">
        <v>597</v>
      </c>
      <c r="G24" s="62" t="s">
        <v>598</v>
      </c>
      <c r="J24" s="62" t="s">
        <v>89</v>
      </c>
      <c r="K24" s="62" t="s">
        <v>90</v>
      </c>
      <c r="L24" s="62" t="s">
        <v>91</v>
      </c>
      <c r="M24" s="62" t="s">
        <v>92</v>
      </c>
      <c r="N24" s="62" t="s">
        <v>93</v>
      </c>
      <c r="O24" s="62" t="s">
        <v>94</v>
      </c>
      <c r="P24" s="62" t="s">
        <v>95</v>
      </c>
      <c r="Q24" s="62" t="s">
        <v>96</v>
      </c>
      <c r="R24" s="62" t="s">
        <v>97</v>
      </c>
      <c r="S24" s="62" t="s">
        <v>98</v>
      </c>
    </row>
    <row r="26" spans="3:19" x14ac:dyDescent="0.25">
      <c r="G26" s="62" t="s">
        <v>26</v>
      </c>
      <c r="J26" s="62" t="s">
        <v>99</v>
      </c>
      <c r="L26" s="62" t="s">
        <v>100</v>
      </c>
      <c r="M26" s="62" t="s">
        <v>101</v>
      </c>
      <c r="N26" s="62" t="s">
        <v>102</v>
      </c>
      <c r="O26" s="62" t="s">
        <v>103</v>
      </c>
      <c r="Q26" s="62" t="s">
        <v>104</v>
      </c>
      <c r="R26" s="62" t="s">
        <v>105</v>
      </c>
      <c r="S26" s="62" t="s">
        <v>106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
  <sheetViews>
    <sheetView workbookViewId="0"/>
  </sheetViews>
  <sheetFormatPr defaultRowHeight="15" x14ac:dyDescent="0.25"/>
  <sheetData>
    <row r="1" spans="1:19" x14ac:dyDescent="0.25">
      <c r="A1" s="62" t="s">
        <v>59386</v>
      </c>
      <c r="B1" s="62" t="s">
        <v>18</v>
      </c>
      <c r="C1" s="62" t="s">
        <v>18</v>
      </c>
      <c r="E1" s="62" t="s">
        <v>27</v>
      </c>
      <c r="F1" s="62" t="s">
        <v>27</v>
      </c>
      <c r="G1" s="62" t="s">
        <v>27</v>
      </c>
      <c r="J1" s="62" t="s">
        <v>27</v>
      </c>
      <c r="K1" s="62" t="s">
        <v>27</v>
      </c>
      <c r="L1" s="62" t="s">
        <v>27</v>
      </c>
      <c r="M1" s="62" t="s">
        <v>27</v>
      </c>
      <c r="N1" s="62" t="s">
        <v>27</v>
      </c>
      <c r="O1" s="62" t="s">
        <v>28</v>
      </c>
      <c r="P1" s="62" t="s">
        <v>27</v>
      </c>
      <c r="Q1" s="62" t="s">
        <v>27</v>
      </c>
      <c r="R1" s="62" t="s">
        <v>27</v>
      </c>
      <c r="S1" s="62" t="s">
        <v>27</v>
      </c>
    </row>
    <row r="3" spans="1:19" x14ac:dyDescent="0.25">
      <c r="A3" s="62" t="s">
        <v>18</v>
      </c>
      <c r="B3" s="62" t="s">
        <v>19</v>
      </c>
      <c r="C3" s="62" t="s">
        <v>585</v>
      </c>
    </row>
    <row r="4" spans="1:19" x14ac:dyDescent="0.25">
      <c r="A4" s="62" t="s">
        <v>18</v>
      </c>
      <c r="B4" s="62" t="s">
        <v>34</v>
      </c>
      <c r="C4" s="62" t="s">
        <v>586</v>
      </c>
    </row>
    <row r="5" spans="1:19" x14ac:dyDescent="0.25">
      <c r="A5" s="62" t="s">
        <v>18</v>
      </c>
      <c r="B5" s="62" t="s">
        <v>36</v>
      </c>
      <c r="C5" s="62" t="s">
        <v>587</v>
      </c>
    </row>
    <row r="6" spans="1:19" x14ac:dyDescent="0.25">
      <c r="A6" s="62" t="s">
        <v>18</v>
      </c>
      <c r="B6" s="62" t="s">
        <v>39</v>
      </c>
      <c r="C6" s="62" t="s">
        <v>588</v>
      </c>
      <c r="J6" s="62" t="s">
        <v>73</v>
      </c>
    </row>
    <row r="7" spans="1:19" x14ac:dyDescent="0.25">
      <c r="A7" s="62" t="s">
        <v>18</v>
      </c>
      <c r="B7" s="62" t="s">
        <v>38</v>
      </c>
      <c r="C7" s="62" t="s">
        <v>589</v>
      </c>
      <c r="J7" s="62" t="s">
        <v>74</v>
      </c>
      <c r="O7" s="62" t="s">
        <v>75</v>
      </c>
    </row>
    <row r="8" spans="1:19" x14ac:dyDescent="0.25">
      <c r="A8" s="62" t="s">
        <v>18</v>
      </c>
      <c r="B8" s="62" t="s">
        <v>31</v>
      </c>
      <c r="C8" s="62" t="s">
        <v>590</v>
      </c>
      <c r="J8" s="62" t="s">
        <v>76</v>
      </c>
      <c r="O8" s="62" t="s">
        <v>77</v>
      </c>
    </row>
    <row r="9" spans="1:19" x14ac:dyDescent="0.25">
      <c r="A9" s="62" t="s">
        <v>18</v>
      </c>
      <c r="B9" s="62" t="s">
        <v>32</v>
      </c>
      <c r="C9" s="62" t="s">
        <v>591</v>
      </c>
      <c r="J9" s="62" t="s">
        <v>59384</v>
      </c>
      <c r="O9" s="62" t="s">
        <v>59385</v>
      </c>
    </row>
    <row r="10" spans="1:19" x14ac:dyDescent="0.25">
      <c r="A10" s="62" t="s">
        <v>18</v>
      </c>
      <c r="B10" s="62" t="s">
        <v>37</v>
      </c>
      <c r="C10" s="62" t="s">
        <v>592</v>
      </c>
    </row>
    <row r="12" spans="1:19" x14ac:dyDescent="0.25">
      <c r="E12" s="62" t="s">
        <v>20</v>
      </c>
    </row>
    <row r="13" spans="1:19" x14ac:dyDescent="0.25">
      <c r="E13" s="62" t="s">
        <v>41</v>
      </c>
    </row>
    <row r="14" spans="1:19" x14ac:dyDescent="0.25">
      <c r="E14" s="62" t="s">
        <v>39</v>
      </c>
      <c r="G14" s="62" t="s">
        <v>78</v>
      </c>
    </row>
    <row r="15" spans="1:19" x14ac:dyDescent="0.25">
      <c r="E15" s="62" t="s">
        <v>38</v>
      </c>
      <c r="G15" s="62" t="s">
        <v>79</v>
      </c>
    </row>
    <row r="17" spans="3:19" x14ac:dyDescent="0.25">
      <c r="J17" s="62" t="s">
        <v>80</v>
      </c>
      <c r="O17" s="62" t="s">
        <v>81</v>
      </c>
    </row>
    <row r="18" spans="3:19" x14ac:dyDescent="0.25">
      <c r="E18" s="62" t="s">
        <v>21</v>
      </c>
      <c r="G18" s="62" t="s">
        <v>22</v>
      </c>
      <c r="J18" s="62" t="s">
        <v>6</v>
      </c>
      <c r="K18" s="62" t="s">
        <v>23</v>
      </c>
      <c r="L18" s="62" t="s">
        <v>40</v>
      </c>
      <c r="M18" s="62" t="s">
        <v>24</v>
      </c>
      <c r="N18" s="62" t="s">
        <v>25</v>
      </c>
      <c r="O18" s="62" t="s">
        <v>6</v>
      </c>
      <c r="P18" s="62" t="s">
        <v>23</v>
      </c>
      <c r="Q18" s="62" t="s">
        <v>40</v>
      </c>
      <c r="R18" s="62" t="s">
        <v>24</v>
      </c>
      <c r="S18" s="62" t="s">
        <v>25</v>
      </c>
    </row>
    <row r="20" spans="3:19" x14ac:dyDescent="0.25">
      <c r="C20" s="62" t="s">
        <v>84</v>
      </c>
      <c r="E20" s="62" t="s">
        <v>82</v>
      </c>
      <c r="G20" s="62" t="s">
        <v>83</v>
      </c>
    </row>
    <row r="21" spans="3:19" x14ac:dyDescent="0.25">
      <c r="C21" s="62" t="s">
        <v>593</v>
      </c>
    </row>
    <row r="22" spans="3:19" x14ac:dyDescent="0.25">
      <c r="C22" s="62" t="s">
        <v>594</v>
      </c>
      <c r="F22" s="62" t="s">
        <v>595</v>
      </c>
      <c r="G22" s="62" t="s">
        <v>720</v>
      </c>
      <c r="J22" s="62" t="s">
        <v>721</v>
      </c>
      <c r="K22" s="62" t="s">
        <v>722</v>
      </c>
      <c r="L22" s="62" t="s">
        <v>723</v>
      </c>
      <c r="M22" s="62" t="s">
        <v>85</v>
      </c>
      <c r="N22" s="62" t="s">
        <v>86</v>
      </c>
      <c r="O22" s="62" t="s">
        <v>724</v>
      </c>
      <c r="P22" s="62" t="s">
        <v>725</v>
      </c>
      <c r="Q22" s="62" t="s">
        <v>726</v>
      </c>
      <c r="R22" s="62" t="s">
        <v>87</v>
      </c>
      <c r="S22" s="62" t="s">
        <v>88</v>
      </c>
    </row>
    <row r="23" spans="3:19" x14ac:dyDescent="0.25">
      <c r="C23" s="62" t="s">
        <v>596</v>
      </c>
    </row>
    <row r="24" spans="3:19" x14ac:dyDescent="0.25">
      <c r="C24" s="62" t="s">
        <v>597</v>
      </c>
      <c r="G24" s="62" t="s">
        <v>598</v>
      </c>
      <c r="J24" s="62" t="s">
        <v>89</v>
      </c>
      <c r="K24" s="62" t="s">
        <v>90</v>
      </c>
      <c r="L24" s="62" t="s">
        <v>91</v>
      </c>
      <c r="M24" s="62" t="s">
        <v>92</v>
      </c>
      <c r="N24" s="62" t="s">
        <v>93</v>
      </c>
      <c r="O24" s="62" t="s">
        <v>94</v>
      </c>
      <c r="P24" s="62" t="s">
        <v>95</v>
      </c>
      <c r="Q24" s="62" t="s">
        <v>96</v>
      </c>
      <c r="R24" s="62" t="s">
        <v>97</v>
      </c>
      <c r="S24" s="62" t="s">
        <v>98</v>
      </c>
    </row>
    <row r="26" spans="3:19" x14ac:dyDescent="0.25">
      <c r="G26" s="62" t="s">
        <v>26</v>
      </c>
      <c r="J26" s="62" t="s">
        <v>99</v>
      </c>
      <c r="L26" s="62" t="s">
        <v>100</v>
      </c>
      <c r="M26" s="62" t="s">
        <v>101</v>
      </c>
      <c r="N26" s="62" t="s">
        <v>102</v>
      </c>
      <c r="O26" s="62" t="s">
        <v>103</v>
      </c>
      <c r="Q26" s="62" t="s">
        <v>104</v>
      </c>
      <c r="R26" s="62" t="s">
        <v>105</v>
      </c>
      <c r="S26" s="62" t="s">
        <v>106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heetViews>
  <sheetFormatPr defaultRowHeight="15" x14ac:dyDescent="0.25"/>
  <sheetData>
    <row r="1" spans="1:6" x14ac:dyDescent="0.25">
      <c r="A1" s="62" t="s">
        <v>59388</v>
      </c>
      <c r="C1" s="62" t="s">
        <v>15</v>
      </c>
      <c r="D1" s="62" t="s">
        <v>16</v>
      </c>
      <c r="E1" s="62" t="s">
        <v>17</v>
      </c>
      <c r="F1" s="62" t="s">
        <v>46</v>
      </c>
    </row>
    <row r="3" spans="1:6" x14ac:dyDescent="0.25">
      <c r="A3" s="62" t="s">
        <v>14</v>
      </c>
      <c r="C3" s="62" t="s">
        <v>8</v>
      </c>
      <c r="D3" s="62" t="s">
        <v>42</v>
      </c>
      <c r="E3" s="62" t="s">
        <v>64</v>
      </c>
    </row>
    <row r="4" spans="1:6" x14ac:dyDescent="0.25">
      <c r="A4" s="62" t="s">
        <v>14</v>
      </c>
      <c r="C4" s="62" t="s">
        <v>12</v>
      </c>
      <c r="D4" s="62" t="s">
        <v>65</v>
      </c>
      <c r="F4" s="62" t="s">
        <v>47</v>
      </c>
    </row>
    <row r="5" spans="1:6" x14ac:dyDescent="0.25">
      <c r="A5" s="62" t="s">
        <v>14</v>
      </c>
      <c r="C5" s="62" t="s">
        <v>13</v>
      </c>
      <c r="D5" s="62" t="s">
        <v>39701</v>
      </c>
      <c r="F5" s="62" t="s">
        <v>47</v>
      </c>
    </row>
    <row r="6" spans="1:6" x14ac:dyDescent="0.25">
      <c r="A6" s="62" t="s">
        <v>14</v>
      </c>
      <c r="C6" s="62" t="s">
        <v>29</v>
      </c>
      <c r="D6" s="62" t="s">
        <v>66</v>
      </c>
      <c r="E6" s="62" t="s">
        <v>67</v>
      </c>
    </row>
    <row r="7" spans="1:6" x14ac:dyDescent="0.25">
      <c r="A7" s="62" t="s">
        <v>14</v>
      </c>
      <c r="C7" s="62" t="s">
        <v>11</v>
      </c>
      <c r="D7" s="62" t="s">
        <v>66</v>
      </c>
      <c r="E7" s="62" t="s">
        <v>69</v>
      </c>
    </row>
    <row r="10" spans="1:6" x14ac:dyDescent="0.25">
      <c r="C10" s="62" t="s">
        <v>30</v>
      </c>
      <c r="D10" s="62" t="s">
        <v>16</v>
      </c>
    </row>
    <row r="11" spans="1:6" x14ac:dyDescent="0.25">
      <c r="C11" s="62" t="s">
        <v>31</v>
      </c>
      <c r="D11" s="62" t="s">
        <v>70</v>
      </c>
    </row>
    <row r="12" spans="1:6" x14ac:dyDescent="0.25">
      <c r="C12" s="62" t="s">
        <v>32</v>
      </c>
      <c r="D12" s="62" t="s">
        <v>59382</v>
      </c>
    </row>
    <row r="13" spans="1:6" x14ac:dyDescent="0.25">
      <c r="C13" s="62" t="s">
        <v>33</v>
      </c>
      <c r="D13" s="62" t="s">
        <v>71</v>
      </c>
    </row>
    <row r="14" spans="1:6" x14ac:dyDescent="0.25">
      <c r="C14" s="62" t="s">
        <v>34</v>
      </c>
      <c r="D14" s="62" t="s">
        <v>72</v>
      </c>
      <c r="E14" s="62" t="s">
        <v>9</v>
      </c>
    </row>
    <row r="15" spans="1:6" x14ac:dyDescent="0.25">
      <c r="C15" s="62" t="s">
        <v>35</v>
      </c>
      <c r="D15" s="62" t="s">
        <v>72</v>
      </c>
      <c r="E15" s="62" t="s">
        <v>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62"/>
  <sheetViews>
    <sheetView workbookViewId="0"/>
  </sheetViews>
  <sheetFormatPr defaultRowHeight="15" x14ac:dyDescent="0.25"/>
  <sheetData>
    <row r="1" spans="1:31" x14ac:dyDescent="0.25">
      <c r="A1" s="62" t="s">
        <v>59392</v>
      </c>
      <c r="B1" s="62" t="s">
        <v>18</v>
      </c>
      <c r="C1" s="62" t="s">
        <v>18</v>
      </c>
      <c r="E1" s="62" t="s">
        <v>27</v>
      </c>
      <c r="F1" s="62" t="s">
        <v>27</v>
      </c>
      <c r="G1" s="62" t="s">
        <v>27</v>
      </c>
      <c r="J1" s="62" t="s">
        <v>27</v>
      </c>
      <c r="K1" s="62" t="s">
        <v>27</v>
      </c>
      <c r="L1" s="62" t="s">
        <v>27</v>
      </c>
      <c r="M1" s="62" t="s">
        <v>27</v>
      </c>
      <c r="N1" s="62" t="s">
        <v>27</v>
      </c>
      <c r="O1" s="62" t="s">
        <v>28</v>
      </c>
      <c r="P1" s="62" t="s">
        <v>27</v>
      </c>
      <c r="Q1" s="62" t="s">
        <v>27</v>
      </c>
      <c r="R1" s="62" t="s">
        <v>27</v>
      </c>
      <c r="S1" s="62" t="s">
        <v>27</v>
      </c>
      <c r="U1" s="62" t="s">
        <v>107</v>
      </c>
      <c r="V1" s="62" t="s">
        <v>107</v>
      </c>
      <c r="W1" s="62" t="s">
        <v>107</v>
      </c>
      <c r="X1" s="62" t="s">
        <v>107</v>
      </c>
      <c r="Y1" s="62" t="s">
        <v>107</v>
      </c>
      <c r="Z1" s="62" t="s">
        <v>108</v>
      </c>
      <c r="AA1" s="62" t="s">
        <v>107</v>
      </c>
      <c r="AB1" s="62" t="s">
        <v>107</v>
      </c>
      <c r="AC1" s="62" t="s">
        <v>107</v>
      </c>
      <c r="AD1" s="62" t="s">
        <v>107</v>
      </c>
      <c r="AE1" s="62" t="s">
        <v>109</v>
      </c>
    </row>
    <row r="3" spans="1:31" x14ac:dyDescent="0.25">
      <c r="A3" s="62" t="s">
        <v>18</v>
      </c>
      <c r="B3" s="62" t="s">
        <v>19</v>
      </c>
      <c r="C3" s="62" t="s">
        <v>585</v>
      </c>
    </row>
    <row r="4" spans="1:31" x14ac:dyDescent="0.25">
      <c r="A4" s="62" t="s">
        <v>18</v>
      </c>
      <c r="B4" s="62" t="s">
        <v>34</v>
      </c>
      <c r="C4" s="62" t="s">
        <v>586</v>
      </c>
    </row>
    <row r="5" spans="1:31" x14ac:dyDescent="0.25">
      <c r="A5" s="62" t="s">
        <v>18</v>
      </c>
      <c r="B5" s="62" t="s">
        <v>36</v>
      </c>
      <c r="C5" s="62" t="s">
        <v>587</v>
      </c>
    </row>
    <row r="6" spans="1:31" x14ac:dyDescent="0.25">
      <c r="A6" s="62" t="s">
        <v>18</v>
      </c>
      <c r="B6" s="62" t="s">
        <v>39</v>
      </c>
      <c r="C6" s="62" t="s">
        <v>588</v>
      </c>
      <c r="J6" s="62" t="s">
        <v>73</v>
      </c>
      <c r="U6" s="62" t="s">
        <v>110</v>
      </c>
    </row>
    <row r="7" spans="1:31" x14ac:dyDescent="0.25">
      <c r="A7" s="62" t="s">
        <v>18</v>
      </c>
      <c r="B7" s="62" t="s">
        <v>38</v>
      </c>
      <c r="C7" s="62" t="s">
        <v>589</v>
      </c>
      <c r="J7" s="62" t="s">
        <v>74</v>
      </c>
      <c r="O7" s="62" t="s">
        <v>75</v>
      </c>
      <c r="U7" s="62" t="s">
        <v>111</v>
      </c>
      <c r="Z7" s="62" t="s">
        <v>112</v>
      </c>
    </row>
    <row r="8" spans="1:31" x14ac:dyDescent="0.25">
      <c r="A8" s="62" t="s">
        <v>18</v>
      </c>
      <c r="B8" s="62" t="s">
        <v>31</v>
      </c>
      <c r="C8" s="62" t="s">
        <v>590</v>
      </c>
      <c r="J8" s="62" t="s">
        <v>76</v>
      </c>
      <c r="O8" s="62" t="s">
        <v>77</v>
      </c>
      <c r="U8" s="62" t="s">
        <v>113</v>
      </c>
      <c r="Z8" s="62" t="s">
        <v>114</v>
      </c>
    </row>
    <row r="9" spans="1:31" x14ac:dyDescent="0.25">
      <c r="A9" s="62" t="s">
        <v>18</v>
      </c>
      <c r="B9" s="62" t="s">
        <v>32</v>
      </c>
      <c r="C9" s="62" t="s">
        <v>591</v>
      </c>
      <c r="J9" s="62" t="s">
        <v>59384</v>
      </c>
      <c r="O9" s="62" t="s">
        <v>59385</v>
      </c>
      <c r="U9" s="62" t="s">
        <v>59390</v>
      </c>
      <c r="Z9" s="62" t="s">
        <v>59391</v>
      </c>
    </row>
    <row r="10" spans="1:31" x14ac:dyDescent="0.25">
      <c r="A10" s="62" t="s">
        <v>18</v>
      </c>
      <c r="B10" s="62" t="s">
        <v>37</v>
      </c>
      <c r="C10" s="62" t="s">
        <v>592</v>
      </c>
    </row>
    <row r="12" spans="1:31" x14ac:dyDescent="0.25">
      <c r="E12" s="62" t="s">
        <v>20</v>
      </c>
    </row>
    <row r="13" spans="1:31" x14ac:dyDescent="0.25">
      <c r="E13" s="62" t="s">
        <v>41</v>
      </c>
    </row>
    <row r="14" spans="1:31" x14ac:dyDescent="0.25">
      <c r="E14" s="62" t="s">
        <v>39</v>
      </c>
      <c r="G14" s="62" t="s">
        <v>78</v>
      </c>
    </row>
    <row r="15" spans="1:31" x14ac:dyDescent="0.25">
      <c r="E15" s="62" t="s">
        <v>38</v>
      </c>
      <c r="G15" s="62" t="s">
        <v>79</v>
      </c>
    </row>
    <row r="17" spans="1:30" x14ac:dyDescent="0.25">
      <c r="J17" s="62" t="s">
        <v>80</v>
      </c>
      <c r="O17" s="62" t="s">
        <v>81</v>
      </c>
      <c r="U17" s="62" t="s">
        <v>115</v>
      </c>
      <c r="Z17" s="62" t="s">
        <v>116</v>
      </c>
    </row>
    <row r="18" spans="1:30" x14ac:dyDescent="0.25">
      <c r="E18" s="62" t="s">
        <v>21</v>
      </c>
      <c r="G18" s="62" t="s">
        <v>22</v>
      </c>
      <c r="J18" s="62" t="s">
        <v>6</v>
      </c>
      <c r="K18" s="62" t="s">
        <v>23</v>
      </c>
      <c r="L18" s="62" t="s">
        <v>40</v>
      </c>
      <c r="M18" s="62" t="s">
        <v>24</v>
      </c>
      <c r="N18" s="62" t="s">
        <v>25</v>
      </c>
      <c r="O18" s="62" t="s">
        <v>6</v>
      </c>
      <c r="P18" s="62" t="s">
        <v>23</v>
      </c>
      <c r="Q18" s="62" t="s">
        <v>40</v>
      </c>
      <c r="R18" s="62" t="s">
        <v>24</v>
      </c>
      <c r="S18" s="62" t="s">
        <v>25</v>
      </c>
      <c r="U18" s="62" t="s">
        <v>6</v>
      </c>
      <c r="V18" s="62" t="s">
        <v>23</v>
      </c>
      <c r="W18" s="62" t="s">
        <v>40</v>
      </c>
      <c r="X18" s="62" t="s">
        <v>24</v>
      </c>
      <c r="Y18" s="62" t="s">
        <v>25</v>
      </c>
      <c r="Z18" s="62" t="s">
        <v>6</v>
      </c>
      <c r="AA18" s="62" t="s">
        <v>23</v>
      </c>
      <c r="AB18" s="62" t="s">
        <v>40</v>
      </c>
      <c r="AC18" s="62" t="s">
        <v>24</v>
      </c>
      <c r="AD18" s="62" t="s">
        <v>25</v>
      </c>
    </row>
    <row r="20" spans="1:30" x14ac:dyDescent="0.25">
      <c r="C20" s="62" t="s">
        <v>84</v>
      </c>
      <c r="E20" s="62" t="s">
        <v>82</v>
      </c>
      <c r="G20" s="62" t="s">
        <v>83</v>
      </c>
    </row>
    <row r="21" spans="1:30" x14ac:dyDescent="0.25">
      <c r="C21" s="62" t="s">
        <v>593</v>
      </c>
    </row>
    <row r="22" spans="1:30" x14ac:dyDescent="0.25">
      <c r="C22" s="62" t="s">
        <v>594</v>
      </c>
      <c r="F22" s="62" t="s">
        <v>595</v>
      </c>
      <c r="G22" s="62" t="s">
        <v>720</v>
      </c>
      <c r="J22" s="62" t="s">
        <v>721</v>
      </c>
      <c r="K22" s="62" t="s">
        <v>722</v>
      </c>
      <c r="L22" s="62" t="s">
        <v>723</v>
      </c>
      <c r="M22" s="62" t="s">
        <v>85</v>
      </c>
      <c r="N22" s="62" t="s">
        <v>86</v>
      </c>
      <c r="O22" s="62" t="s">
        <v>724</v>
      </c>
      <c r="P22" s="62" t="s">
        <v>725</v>
      </c>
      <c r="Q22" s="62" t="s">
        <v>726</v>
      </c>
      <c r="R22" s="62" t="s">
        <v>87</v>
      </c>
      <c r="S22" s="62" t="s">
        <v>88</v>
      </c>
      <c r="U22" s="62" t="s">
        <v>727</v>
      </c>
      <c r="V22" s="62" t="s">
        <v>46654</v>
      </c>
      <c r="W22" s="62" t="s">
        <v>728</v>
      </c>
      <c r="X22" s="62" t="s">
        <v>117</v>
      </c>
      <c r="Y22" s="62" t="s">
        <v>118</v>
      </c>
      <c r="Z22" s="62" t="s">
        <v>729</v>
      </c>
      <c r="AA22" s="62" t="s">
        <v>46693</v>
      </c>
      <c r="AB22" s="62" t="s">
        <v>730</v>
      </c>
      <c r="AC22" s="62" t="s">
        <v>119</v>
      </c>
      <c r="AD22" s="62" t="s">
        <v>120</v>
      </c>
    </row>
    <row r="23" spans="1:30" x14ac:dyDescent="0.25">
      <c r="A23" s="62" t="s">
        <v>109</v>
      </c>
      <c r="C23" s="62" t="s">
        <v>596</v>
      </c>
      <c r="F23" s="62" t="s">
        <v>731</v>
      </c>
      <c r="G23" s="62" t="s">
        <v>46540</v>
      </c>
      <c r="J23" s="62" t="s">
        <v>732</v>
      </c>
      <c r="K23" s="62" t="s">
        <v>46578</v>
      </c>
      <c r="L23" s="62" t="s">
        <v>733</v>
      </c>
      <c r="M23" s="62" t="s">
        <v>734</v>
      </c>
      <c r="N23" s="62" t="s">
        <v>735</v>
      </c>
      <c r="O23" s="62" t="s">
        <v>736</v>
      </c>
      <c r="P23" s="62" t="s">
        <v>46616</v>
      </c>
      <c r="Q23" s="62" t="s">
        <v>737</v>
      </c>
      <c r="R23" s="62" t="s">
        <v>738</v>
      </c>
      <c r="S23" s="62" t="s">
        <v>739</v>
      </c>
      <c r="U23" s="62" t="s">
        <v>740</v>
      </c>
      <c r="V23" s="62" t="s">
        <v>46655</v>
      </c>
      <c r="W23" s="62" t="s">
        <v>741</v>
      </c>
      <c r="X23" s="62" t="s">
        <v>742</v>
      </c>
      <c r="Y23" s="62" t="s">
        <v>743</v>
      </c>
      <c r="Z23" s="62" t="s">
        <v>744</v>
      </c>
      <c r="AA23" s="62" t="s">
        <v>46694</v>
      </c>
      <c r="AB23" s="62" t="s">
        <v>745</v>
      </c>
      <c r="AC23" s="62" t="s">
        <v>746</v>
      </c>
      <c r="AD23" s="62" t="s">
        <v>747</v>
      </c>
    </row>
    <row r="24" spans="1:30" x14ac:dyDescent="0.25">
      <c r="A24" s="62" t="s">
        <v>109</v>
      </c>
      <c r="C24" s="62" t="s">
        <v>597</v>
      </c>
      <c r="F24" s="62" t="s">
        <v>758</v>
      </c>
      <c r="G24" s="62" t="s">
        <v>46541</v>
      </c>
      <c r="J24" s="62" t="s">
        <v>749</v>
      </c>
      <c r="K24" s="62" t="s">
        <v>46579</v>
      </c>
      <c r="L24" s="62" t="s">
        <v>750</v>
      </c>
      <c r="M24" s="62" t="s">
        <v>92</v>
      </c>
      <c r="N24" s="62" t="s">
        <v>93</v>
      </c>
      <c r="O24" s="62" t="s">
        <v>751</v>
      </c>
      <c r="P24" s="62" t="s">
        <v>46617</v>
      </c>
      <c r="Q24" s="62" t="s">
        <v>752</v>
      </c>
      <c r="R24" s="62" t="s">
        <v>97</v>
      </c>
      <c r="S24" s="62" t="s">
        <v>98</v>
      </c>
      <c r="U24" s="62" t="s">
        <v>753</v>
      </c>
      <c r="V24" s="62" t="s">
        <v>46656</v>
      </c>
      <c r="W24" s="62" t="s">
        <v>754</v>
      </c>
      <c r="X24" s="62" t="s">
        <v>121</v>
      </c>
      <c r="Y24" s="62" t="s">
        <v>122</v>
      </c>
      <c r="Z24" s="62" t="s">
        <v>755</v>
      </c>
      <c r="AA24" s="62" t="s">
        <v>46695</v>
      </c>
      <c r="AB24" s="62" t="s">
        <v>756</v>
      </c>
      <c r="AC24" s="62" t="s">
        <v>123</v>
      </c>
      <c r="AD24" s="62" t="s">
        <v>124</v>
      </c>
    </row>
    <row r="25" spans="1:30" x14ac:dyDescent="0.25">
      <c r="A25" s="62" t="s">
        <v>109</v>
      </c>
      <c r="C25" s="62" t="s">
        <v>757</v>
      </c>
      <c r="F25" s="62" t="s">
        <v>776</v>
      </c>
      <c r="G25" s="62" t="s">
        <v>46542</v>
      </c>
      <c r="J25" s="62" t="s">
        <v>759</v>
      </c>
      <c r="K25" s="62" t="s">
        <v>46580</v>
      </c>
      <c r="L25" s="62" t="s">
        <v>760</v>
      </c>
      <c r="M25" s="62" t="s">
        <v>761</v>
      </c>
      <c r="N25" s="62" t="s">
        <v>762</v>
      </c>
      <c r="O25" s="62" t="s">
        <v>763</v>
      </c>
      <c r="P25" s="62" t="s">
        <v>46618</v>
      </c>
      <c r="Q25" s="62" t="s">
        <v>764</v>
      </c>
      <c r="R25" s="62" t="s">
        <v>765</v>
      </c>
      <c r="S25" s="62" t="s">
        <v>766</v>
      </c>
      <c r="U25" s="62" t="s">
        <v>767</v>
      </c>
      <c r="V25" s="62" t="s">
        <v>46657</v>
      </c>
      <c r="W25" s="62" t="s">
        <v>768</v>
      </c>
      <c r="X25" s="62" t="s">
        <v>769</v>
      </c>
      <c r="Y25" s="62" t="s">
        <v>770</v>
      </c>
      <c r="Z25" s="62" t="s">
        <v>771</v>
      </c>
      <c r="AA25" s="62" t="s">
        <v>46696</v>
      </c>
      <c r="AB25" s="62" t="s">
        <v>772</v>
      </c>
      <c r="AC25" s="62" t="s">
        <v>773</v>
      </c>
      <c r="AD25" s="62" t="s">
        <v>774</v>
      </c>
    </row>
    <row r="26" spans="1:30" x14ac:dyDescent="0.25">
      <c r="A26" s="62" t="s">
        <v>109</v>
      </c>
      <c r="C26" s="62" t="s">
        <v>775</v>
      </c>
      <c r="F26" s="62" t="s">
        <v>785</v>
      </c>
      <c r="G26" s="62" t="s">
        <v>46543</v>
      </c>
      <c r="J26" s="62" t="s">
        <v>777</v>
      </c>
      <c r="K26" s="62" t="s">
        <v>46581</v>
      </c>
      <c r="L26" s="62" t="s">
        <v>778</v>
      </c>
      <c r="M26" s="62" t="s">
        <v>101</v>
      </c>
      <c r="N26" s="62" t="s">
        <v>102</v>
      </c>
      <c r="O26" s="62" t="s">
        <v>779</v>
      </c>
      <c r="P26" s="62" t="s">
        <v>46619</v>
      </c>
      <c r="Q26" s="62" t="s">
        <v>780</v>
      </c>
      <c r="R26" s="62" t="s">
        <v>105</v>
      </c>
      <c r="S26" s="62" t="s">
        <v>106</v>
      </c>
      <c r="U26" s="62" t="s">
        <v>781</v>
      </c>
      <c r="V26" s="62" t="s">
        <v>46658</v>
      </c>
      <c r="W26" s="62" t="s">
        <v>782</v>
      </c>
      <c r="X26" s="62" t="s">
        <v>716</v>
      </c>
      <c r="Y26" s="62" t="s">
        <v>717</v>
      </c>
      <c r="Z26" s="62" t="s">
        <v>783</v>
      </c>
      <c r="AA26" s="62" t="s">
        <v>46697</v>
      </c>
      <c r="AB26" s="62" t="s">
        <v>784</v>
      </c>
      <c r="AC26" s="62" t="s">
        <v>718</v>
      </c>
      <c r="AD26" s="62" t="s">
        <v>719</v>
      </c>
    </row>
    <row r="27" spans="1:30" x14ac:dyDescent="0.25">
      <c r="A27" s="62" t="s">
        <v>109</v>
      </c>
      <c r="C27" s="62" t="s">
        <v>599</v>
      </c>
      <c r="F27" s="62" t="s">
        <v>802</v>
      </c>
      <c r="G27" s="62" t="s">
        <v>46544</v>
      </c>
      <c r="J27" s="62" t="s">
        <v>786</v>
      </c>
      <c r="K27" s="62" t="s">
        <v>46582</v>
      </c>
      <c r="L27" s="62" t="s">
        <v>787</v>
      </c>
      <c r="M27" s="62" t="s">
        <v>788</v>
      </c>
      <c r="N27" s="62" t="s">
        <v>789</v>
      </c>
      <c r="O27" s="62" t="s">
        <v>790</v>
      </c>
      <c r="P27" s="62" t="s">
        <v>46620</v>
      </c>
      <c r="Q27" s="62" t="s">
        <v>791</v>
      </c>
      <c r="R27" s="62" t="s">
        <v>792</v>
      </c>
      <c r="S27" s="62" t="s">
        <v>793</v>
      </c>
      <c r="U27" s="62" t="s">
        <v>794</v>
      </c>
      <c r="V27" s="62" t="s">
        <v>46659</v>
      </c>
      <c r="W27" s="62" t="s">
        <v>795</v>
      </c>
      <c r="X27" s="62" t="s">
        <v>796</v>
      </c>
      <c r="Y27" s="62" t="s">
        <v>797</v>
      </c>
      <c r="Z27" s="62" t="s">
        <v>798</v>
      </c>
      <c r="AA27" s="62" t="s">
        <v>46698</v>
      </c>
      <c r="AB27" s="62" t="s">
        <v>799</v>
      </c>
      <c r="AC27" s="62" t="s">
        <v>800</v>
      </c>
      <c r="AD27" s="62" t="s">
        <v>801</v>
      </c>
    </row>
    <row r="28" spans="1:30" x14ac:dyDescent="0.25">
      <c r="A28" s="62" t="s">
        <v>109</v>
      </c>
      <c r="C28" s="62" t="s">
        <v>600</v>
      </c>
      <c r="F28" s="62" t="s">
        <v>827</v>
      </c>
      <c r="G28" s="62" t="s">
        <v>46545</v>
      </c>
      <c r="J28" s="62" t="s">
        <v>803</v>
      </c>
      <c r="K28" s="62" t="s">
        <v>46583</v>
      </c>
      <c r="L28" s="62" t="s">
        <v>804</v>
      </c>
      <c r="M28" s="62" t="s">
        <v>126</v>
      </c>
      <c r="N28" s="62" t="s">
        <v>127</v>
      </c>
      <c r="O28" s="62" t="s">
        <v>805</v>
      </c>
      <c r="P28" s="62" t="s">
        <v>46621</v>
      </c>
      <c r="Q28" s="62" t="s">
        <v>806</v>
      </c>
      <c r="R28" s="62" t="s">
        <v>128</v>
      </c>
      <c r="S28" s="62" t="s">
        <v>129</v>
      </c>
      <c r="U28" s="62" t="s">
        <v>807</v>
      </c>
      <c r="V28" s="62" t="s">
        <v>46660</v>
      </c>
      <c r="W28" s="62" t="s">
        <v>808</v>
      </c>
      <c r="X28" s="62" t="s">
        <v>130</v>
      </c>
      <c r="Y28" s="62" t="s">
        <v>131</v>
      </c>
      <c r="Z28" s="62" t="s">
        <v>809</v>
      </c>
      <c r="AA28" s="62" t="s">
        <v>46699</v>
      </c>
      <c r="AB28" s="62" t="s">
        <v>810</v>
      </c>
      <c r="AC28" s="62" t="s">
        <v>132</v>
      </c>
      <c r="AD28" s="62" t="s">
        <v>133</v>
      </c>
    </row>
    <row r="29" spans="1:30" x14ac:dyDescent="0.25">
      <c r="A29" s="62" t="s">
        <v>109</v>
      </c>
      <c r="C29" s="62" t="s">
        <v>601</v>
      </c>
      <c r="F29" s="62" t="s">
        <v>837</v>
      </c>
      <c r="G29" s="62" t="s">
        <v>46546</v>
      </c>
      <c r="J29" s="62" t="s">
        <v>811</v>
      </c>
      <c r="K29" s="62" t="s">
        <v>46584</v>
      </c>
      <c r="L29" s="62" t="s">
        <v>812</v>
      </c>
      <c r="M29" s="62" t="s">
        <v>813</v>
      </c>
      <c r="N29" s="62" t="s">
        <v>814</v>
      </c>
      <c r="O29" s="62" t="s">
        <v>815</v>
      </c>
      <c r="P29" s="62" t="s">
        <v>46622</v>
      </c>
      <c r="Q29" s="62" t="s">
        <v>816</v>
      </c>
      <c r="R29" s="62" t="s">
        <v>817</v>
      </c>
      <c r="S29" s="62" t="s">
        <v>818</v>
      </c>
      <c r="U29" s="62" t="s">
        <v>819</v>
      </c>
      <c r="V29" s="62" t="s">
        <v>46661</v>
      </c>
      <c r="W29" s="62" t="s">
        <v>820</v>
      </c>
      <c r="X29" s="62" t="s">
        <v>821</v>
      </c>
      <c r="Y29" s="62" t="s">
        <v>822</v>
      </c>
      <c r="Z29" s="62" t="s">
        <v>823</v>
      </c>
      <c r="AA29" s="62" t="s">
        <v>46700</v>
      </c>
      <c r="AB29" s="62" t="s">
        <v>824</v>
      </c>
      <c r="AC29" s="62" t="s">
        <v>825</v>
      </c>
      <c r="AD29" s="62" t="s">
        <v>826</v>
      </c>
    </row>
    <row r="30" spans="1:30" x14ac:dyDescent="0.25">
      <c r="A30" s="62" t="s">
        <v>109</v>
      </c>
      <c r="C30" s="62" t="s">
        <v>602</v>
      </c>
      <c r="F30" s="62" t="s">
        <v>855</v>
      </c>
      <c r="G30" s="62" t="s">
        <v>46547</v>
      </c>
      <c r="J30" s="62" t="s">
        <v>828</v>
      </c>
      <c r="K30" s="62" t="s">
        <v>46585</v>
      </c>
      <c r="L30" s="62" t="s">
        <v>829</v>
      </c>
      <c r="M30" s="62" t="s">
        <v>134</v>
      </c>
      <c r="N30" s="62" t="s">
        <v>135</v>
      </c>
      <c r="O30" s="62" t="s">
        <v>830</v>
      </c>
      <c r="P30" s="62" t="s">
        <v>46623</v>
      </c>
      <c r="Q30" s="62" t="s">
        <v>831</v>
      </c>
      <c r="R30" s="62" t="s">
        <v>136</v>
      </c>
      <c r="S30" s="62" t="s">
        <v>137</v>
      </c>
      <c r="U30" s="62" t="s">
        <v>832</v>
      </c>
      <c r="V30" s="62" t="s">
        <v>46662</v>
      </c>
      <c r="W30" s="62" t="s">
        <v>833</v>
      </c>
      <c r="X30" s="62" t="s">
        <v>138</v>
      </c>
      <c r="Y30" s="62" t="s">
        <v>139</v>
      </c>
      <c r="Z30" s="62" t="s">
        <v>834</v>
      </c>
      <c r="AA30" s="62" t="s">
        <v>46701</v>
      </c>
      <c r="AB30" s="62" t="s">
        <v>835</v>
      </c>
      <c r="AC30" s="62" t="s">
        <v>140</v>
      </c>
      <c r="AD30" s="62" t="s">
        <v>141</v>
      </c>
    </row>
    <row r="31" spans="1:30" x14ac:dyDescent="0.25">
      <c r="A31" s="62" t="s">
        <v>109</v>
      </c>
      <c r="C31" s="62" t="s">
        <v>836</v>
      </c>
      <c r="F31" s="62" t="s">
        <v>872</v>
      </c>
      <c r="G31" s="62" t="s">
        <v>46548</v>
      </c>
      <c r="J31" s="62" t="s">
        <v>838</v>
      </c>
      <c r="K31" s="62" t="s">
        <v>46586</v>
      </c>
      <c r="L31" s="62" t="s">
        <v>839</v>
      </c>
      <c r="M31" s="62" t="s">
        <v>840</v>
      </c>
      <c r="N31" s="62" t="s">
        <v>841</v>
      </c>
      <c r="O31" s="62" t="s">
        <v>842</v>
      </c>
      <c r="P31" s="62" t="s">
        <v>46624</v>
      </c>
      <c r="Q31" s="62" t="s">
        <v>843</v>
      </c>
      <c r="R31" s="62" t="s">
        <v>844</v>
      </c>
      <c r="S31" s="62" t="s">
        <v>845</v>
      </c>
      <c r="U31" s="62" t="s">
        <v>846</v>
      </c>
      <c r="V31" s="62" t="s">
        <v>46663</v>
      </c>
      <c r="W31" s="62" t="s">
        <v>847</v>
      </c>
      <c r="X31" s="62" t="s">
        <v>848</v>
      </c>
      <c r="Y31" s="62" t="s">
        <v>849</v>
      </c>
      <c r="Z31" s="62" t="s">
        <v>850</v>
      </c>
      <c r="AA31" s="62" t="s">
        <v>46702</v>
      </c>
      <c r="AB31" s="62" t="s">
        <v>851</v>
      </c>
      <c r="AC31" s="62" t="s">
        <v>852</v>
      </c>
      <c r="AD31" s="62" t="s">
        <v>853</v>
      </c>
    </row>
    <row r="32" spans="1:30" x14ac:dyDescent="0.25">
      <c r="A32" s="62" t="s">
        <v>109</v>
      </c>
      <c r="C32" s="62" t="s">
        <v>854</v>
      </c>
      <c r="F32" s="62" t="s">
        <v>889</v>
      </c>
      <c r="G32" s="62" t="s">
        <v>46549</v>
      </c>
      <c r="J32" s="62" t="s">
        <v>856</v>
      </c>
      <c r="K32" s="62" t="s">
        <v>46587</v>
      </c>
      <c r="L32" s="62" t="s">
        <v>857</v>
      </c>
      <c r="M32" s="62" t="s">
        <v>858</v>
      </c>
      <c r="N32" s="62" t="s">
        <v>859</v>
      </c>
      <c r="O32" s="62" t="s">
        <v>860</v>
      </c>
      <c r="P32" s="62" t="s">
        <v>46625</v>
      </c>
      <c r="Q32" s="62" t="s">
        <v>861</v>
      </c>
      <c r="R32" s="62" t="s">
        <v>862</v>
      </c>
      <c r="S32" s="62" t="s">
        <v>863</v>
      </c>
      <c r="U32" s="62" t="s">
        <v>864</v>
      </c>
      <c r="V32" s="62" t="s">
        <v>46664</v>
      </c>
      <c r="W32" s="62" t="s">
        <v>865</v>
      </c>
      <c r="X32" s="62" t="s">
        <v>866</v>
      </c>
      <c r="Y32" s="62" t="s">
        <v>867</v>
      </c>
      <c r="Z32" s="62" t="s">
        <v>868</v>
      </c>
      <c r="AA32" s="62" t="s">
        <v>46703</v>
      </c>
      <c r="AB32" s="62" t="s">
        <v>869</v>
      </c>
      <c r="AC32" s="62" t="s">
        <v>870</v>
      </c>
      <c r="AD32" s="62" t="s">
        <v>871</v>
      </c>
    </row>
    <row r="33" spans="1:30" x14ac:dyDescent="0.25">
      <c r="A33" s="62" t="s">
        <v>109</v>
      </c>
      <c r="C33" s="62" t="s">
        <v>603</v>
      </c>
      <c r="F33" s="62" t="s">
        <v>898</v>
      </c>
      <c r="G33" s="62" t="s">
        <v>46550</v>
      </c>
      <c r="J33" s="62" t="s">
        <v>873</v>
      </c>
      <c r="K33" s="62" t="s">
        <v>46588</v>
      </c>
      <c r="L33" s="62" t="s">
        <v>874</v>
      </c>
      <c r="M33" s="62" t="s">
        <v>875</v>
      </c>
      <c r="N33" s="62" t="s">
        <v>876</v>
      </c>
      <c r="O33" s="62" t="s">
        <v>877</v>
      </c>
      <c r="P33" s="62" t="s">
        <v>46626</v>
      </c>
      <c r="Q33" s="62" t="s">
        <v>878</v>
      </c>
      <c r="R33" s="62" t="s">
        <v>879</v>
      </c>
      <c r="S33" s="62" t="s">
        <v>880</v>
      </c>
      <c r="U33" s="62" t="s">
        <v>881</v>
      </c>
      <c r="V33" s="62" t="s">
        <v>46665</v>
      </c>
      <c r="W33" s="62" t="s">
        <v>882</v>
      </c>
      <c r="X33" s="62" t="s">
        <v>883</v>
      </c>
      <c r="Y33" s="62" t="s">
        <v>884</v>
      </c>
      <c r="Z33" s="62" t="s">
        <v>885</v>
      </c>
      <c r="AA33" s="62" t="s">
        <v>46704</v>
      </c>
      <c r="AB33" s="62" t="s">
        <v>886</v>
      </c>
      <c r="AC33" s="62" t="s">
        <v>887</v>
      </c>
      <c r="AD33" s="62" t="s">
        <v>888</v>
      </c>
    </row>
    <row r="34" spans="1:30" x14ac:dyDescent="0.25">
      <c r="A34" s="62" t="s">
        <v>109</v>
      </c>
      <c r="C34" s="62" t="s">
        <v>604</v>
      </c>
      <c r="F34" s="62" t="s">
        <v>915</v>
      </c>
      <c r="G34" s="62" t="s">
        <v>46551</v>
      </c>
      <c r="J34" s="62" t="s">
        <v>890</v>
      </c>
      <c r="K34" s="62" t="s">
        <v>46589</v>
      </c>
      <c r="L34" s="62" t="s">
        <v>891</v>
      </c>
      <c r="M34" s="62" t="s">
        <v>143</v>
      </c>
      <c r="N34" s="62" t="s">
        <v>144</v>
      </c>
      <c r="O34" s="62" t="s">
        <v>892</v>
      </c>
      <c r="P34" s="62" t="s">
        <v>46627</v>
      </c>
      <c r="Q34" s="62" t="s">
        <v>893</v>
      </c>
      <c r="R34" s="62" t="s">
        <v>145</v>
      </c>
      <c r="S34" s="62" t="s">
        <v>146</v>
      </c>
      <c r="U34" s="62" t="s">
        <v>894</v>
      </c>
      <c r="V34" s="62" t="s">
        <v>46666</v>
      </c>
      <c r="W34" s="62" t="s">
        <v>895</v>
      </c>
      <c r="X34" s="62" t="s">
        <v>147</v>
      </c>
      <c r="Y34" s="62" t="s">
        <v>148</v>
      </c>
      <c r="Z34" s="62" t="s">
        <v>896</v>
      </c>
      <c r="AA34" s="62" t="s">
        <v>46705</v>
      </c>
      <c r="AB34" s="62" t="s">
        <v>897</v>
      </c>
      <c r="AC34" s="62" t="s">
        <v>149</v>
      </c>
      <c r="AD34" s="62" t="s">
        <v>150</v>
      </c>
    </row>
    <row r="35" spans="1:30" x14ac:dyDescent="0.25">
      <c r="A35" s="62" t="s">
        <v>109</v>
      </c>
      <c r="C35" s="62" t="s">
        <v>605</v>
      </c>
      <c r="F35" s="62" t="s">
        <v>925</v>
      </c>
      <c r="G35" s="62" t="s">
        <v>46552</v>
      </c>
      <c r="J35" s="62" t="s">
        <v>899</v>
      </c>
      <c r="K35" s="62" t="s">
        <v>46590</v>
      </c>
      <c r="L35" s="62" t="s">
        <v>900</v>
      </c>
      <c r="M35" s="62" t="s">
        <v>901</v>
      </c>
      <c r="N35" s="62" t="s">
        <v>902</v>
      </c>
      <c r="O35" s="62" t="s">
        <v>903</v>
      </c>
      <c r="P35" s="62" t="s">
        <v>46628</v>
      </c>
      <c r="Q35" s="62" t="s">
        <v>904</v>
      </c>
      <c r="R35" s="62" t="s">
        <v>905</v>
      </c>
      <c r="S35" s="62" t="s">
        <v>906</v>
      </c>
      <c r="U35" s="62" t="s">
        <v>907</v>
      </c>
      <c r="V35" s="62" t="s">
        <v>46667</v>
      </c>
      <c r="W35" s="62" t="s">
        <v>908</v>
      </c>
      <c r="X35" s="62" t="s">
        <v>909</v>
      </c>
      <c r="Y35" s="62" t="s">
        <v>910</v>
      </c>
      <c r="Z35" s="62" t="s">
        <v>911</v>
      </c>
      <c r="AA35" s="62" t="s">
        <v>46706</v>
      </c>
      <c r="AB35" s="62" t="s">
        <v>912</v>
      </c>
      <c r="AC35" s="62" t="s">
        <v>913</v>
      </c>
      <c r="AD35" s="62" t="s">
        <v>914</v>
      </c>
    </row>
    <row r="36" spans="1:30" x14ac:dyDescent="0.25">
      <c r="A36" s="62" t="s">
        <v>109</v>
      </c>
      <c r="C36" s="62" t="s">
        <v>606</v>
      </c>
      <c r="F36" s="62" t="s">
        <v>943</v>
      </c>
      <c r="G36" s="62" t="s">
        <v>46553</v>
      </c>
      <c r="J36" s="62" t="s">
        <v>916</v>
      </c>
      <c r="K36" s="62" t="s">
        <v>46591</v>
      </c>
      <c r="L36" s="62" t="s">
        <v>917</v>
      </c>
      <c r="M36" s="62" t="s">
        <v>151</v>
      </c>
      <c r="N36" s="62" t="s">
        <v>152</v>
      </c>
      <c r="O36" s="62" t="s">
        <v>918</v>
      </c>
      <c r="P36" s="62" t="s">
        <v>46629</v>
      </c>
      <c r="Q36" s="62" t="s">
        <v>919</v>
      </c>
      <c r="R36" s="62" t="s">
        <v>153</v>
      </c>
      <c r="S36" s="62" t="s">
        <v>154</v>
      </c>
      <c r="U36" s="62" t="s">
        <v>920</v>
      </c>
      <c r="V36" s="62" t="s">
        <v>46668</v>
      </c>
      <c r="W36" s="62" t="s">
        <v>921</v>
      </c>
      <c r="X36" s="62" t="s">
        <v>155</v>
      </c>
      <c r="Y36" s="62" t="s">
        <v>156</v>
      </c>
      <c r="Z36" s="62" t="s">
        <v>922</v>
      </c>
      <c r="AA36" s="62" t="s">
        <v>46707</v>
      </c>
      <c r="AB36" s="62" t="s">
        <v>923</v>
      </c>
      <c r="AC36" s="62" t="s">
        <v>157</v>
      </c>
      <c r="AD36" s="62" t="s">
        <v>158</v>
      </c>
    </row>
    <row r="37" spans="1:30" x14ac:dyDescent="0.25">
      <c r="A37" s="62" t="s">
        <v>109</v>
      </c>
      <c r="C37" s="62" t="s">
        <v>924</v>
      </c>
      <c r="F37" s="62" t="s">
        <v>176</v>
      </c>
      <c r="G37" s="62" t="s">
        <v>46554</v>
      </c>
      <c r="J37" s="62" t="s">
        <v>926</v>
      </c>
      <c r="K37" s="62" t="s">
        <v>46592</v>
      </c>
      <c r="L37" s="62" t="s">
        <v>927</v>
      </c>
      <c r="M37" s="62" t="s">
        <v>928</v>
      </c>
      <c r="N37" s="62" t="s">
        <v>929</v>
      </c>
      <c r="O37" s="62" t="s">
        <v>930</v>
      </c>
      <c r="P37" s="62" t="s">
        <v>46630</v>
      </c>
      <c r="Q37" s="62" t="s">
        <v>931</v>
      </c>
      <c r="R37" s="62" t="s">
        <v>932</v>
      </c>
      <c r="S37" s="62" t="s">
        <v>933</v>
      </c>
      <c r="U37" s="62" t="s">
        <v>934</v>
      </c>
      <c r="V37" s="62" t="s">
        <v>46669</v>
      </c>
      <c r="W37" s="62" t="s">
        <v>935</v>
      </c>
      <c r="X37" s="62" t="s">
        <v>936</v>
      </c>
      <c r="Y37" s="62" t="s">
        <v>937</v>
      </c>
      <c r="Z37" s="62" t="s">
        <v>938</v>
      </c>
      <c r="AA37" s="62" t="s">
        <v>46708</v>
      </c>
      <c r="AB37" s="62" t="s">
        <v>939</v>
      </c>
      <c r="AC37" s="62" t="s">
        <v>940</v>
      </c>
      <c r="AD37" s="62" t="s">
        <v>941</v>
      </c>
    </row>
    <row r="38" spans="1:30" x14ac:dyDescent="0.25">
      <c r="A38" s="62" t="s">
        <v>109</v>
      </c>
      <c r="C38" s="62" t="s">
        <v>942</v>
      </c>
      <c r="F38" s="62" t="s">
        <v>976</v>
      </c>
      <c r="G38" s="62" t="s">
        <v>46555</v>
      </c>
      <c r="J38" s="62" t="s">
        <v>944</v>
      </c>
      <c r="K38" s="62" t="s">
        <v>46593</v>
      </c>
      <c r="L38" s="62" t="s">
        <v>945</v>
      </c>
      <c r="M38" s="62" t="s">
        <v>946</v>
      </c>
      <c r="N38" s="62" t="s">
        <v>947</v>
      </c>
      <c r="O38" s="62" t="s">
        <v>948</v>
      </c>
      <c r="P38" s="62" t="s">
        <v>46631</v>
      </c>
      <c r="Q38" s="62" t="s">
        <v>949</v>
      </c>
      <c r="R38" s="62" t="s">
        <v>950</v>
      </c>
      <c r="S38" s="62" t="s">
        <v>951</v>
      </c>
      <c r="U38" s="62" t="s">
        <v>952</v>
      </c>
      <c r="V38" s="62" t="s">
        <v>46670</v>
      </c>
      <c r="W38" s="62" t="s">
        <v>953</v>
      </c>
      <c r="X38" s="62" t="s">
        <v>954</v>
      </c>
      <c r="Y38" s="62" t="s">
        <v>955</v>
      </c>
      <c r="Z38" s="62" t="s">
        <v>956</v>
      </c>
      <c r="AA38" s="62" t="s">
        <v>46709</v>
      </c>
      <c r="AB38" s="62" t="s">
        <v>957</v>
      </c>
      <c r="AC38" s="62" t="s">
        <v>958</v>
      </c>
      <c r="AD38" s="62" t="s">
        <v>959</v>
      </c>
    </row>
    <row r="39" spans="1:30" x14ac:dyDescent="0.25">
      <c r="A39" s="62" t="s">
        <v>109</v>
      </c>
      <c r="C39" s="62" t="s">
        <v>607</v>
      </c>
      <c r="F39" s="62" t="s">
        <v>1002</v>
      </c>
      <c r="G39" s="62" t="s">
        <v>46556</v>
      </c>
      <c r="J39" s="62" t="s">
        <v>960</v>
      </c>
      <c r="K39" s="62" t="s">
        <v>46594</v>
      </c>
      <c r="L39" s="62" t="s">
        <v>961</v>
      </c>
      <c r="M39" s="62" t="s">
        <v>962</v>
      </c>
      <c r="N39" s="62" t="s">
        <v>963</v>
      </c>
      <c r="O39" s="62" t="s">
        <v>964</v>
      </c>
      <c r="P39" s="62" t="s">
        <v>46632</v>
      </c>
      <c r="Q39" s="62" t="s">
        <v>965</v>
      </c>
      <c r="R39" s="62" t="s">
        <v>966</v>
      </c>
      <c r="S39" s="62" t="s">
        <v>967</v>
      </c>
      <c r="U39" s="62" t="s">
        <v>968</v>
      </c>
      <c r="V39" s="62" t="s">
        <v>46671</v>
      </c>
      <c r="W39" s="62" t="s">
        <v>969</v>
      </c>
      <c r="X39" s="62" t="s">
        <v>970</v>
      </c>
      <c r="Y39" s="62" t="s">
        <v>971</v>
      </c>
      <c r="Z39" s="62" t="s">
        <v>972</v>
      </c>
      <c r="AA39" s="62" t="s">
        <v>46710</v>
      </c>
      <c r="AB39" s="62" t="s">
        <v>973</v>
      </c>
      <c r="AC39" s="62" t="s">
        <v>974</v>
      </c>
      <c r="AD39" s="62" t="s">
        <v>975</v>
      </c>
    </row>
    <row r="40" spans="1:30" x14ac:dyDescent="0.25">
      <c r="A40" s="62" t="s">
        <v>109</v>
      </c>
      <c r="C40" s="62" t="s">
        <v>608</v>
      </c>
      <c r="F40" s="62" t="s">
        <v>1012</v>
      </c>
      <c r="G40" s="62" t="s">
        <v>46557</v>
      </c>
      <c r="J40" s="62" t="s">
        <v>977</v>
      </c>
      <c r="K40" s="62" t="s">
        <v>46595</v>
      </c>
      <c r="L40" s="62" t="s">
        <v>978</v>
      </c>
      <c r="M40" s="62" t="s">
        <v>160</v>
      </c>
      <c r="N40" s="62" t="s">
        <v>161</v>
      </c>
      <c r="O40" s="62" t="s">
        <v>979</v>
      </c>
      <c r="P40" s="62" t="s">
        <v>46633</v>
      </c>
      <c r="Q40" s="62" t="s">
        <v>980</v>
      </c>
      <c r="R40" s="62" t="s">
        <v>162</v>
      </c>
      <c r="S40" s="62" t="s">
        <v>163</v>
      </c>
      <c r="U40" s="62" t="s">
        <v>981</v>
      </c>
      <c r="V40" s="62" t="s">
        <v>46672</v>
      </c>
      <c r="W40" s="62" t="s">
        <v>982</v>
      </c>
      <c r="X40" s="62" t="s">
        <v>164</v>
      </c>
      <c r="Y40" s="62" t="s">
        <v>165</v>
      </c>
      <c r="Z40" s="62" t="s">
        <v>983</v>
      </c>
      <c r="AA40" s="62" t="s">
        <v>46711</v>
      </c>
      <c r="AB40" s="62" t="s">
        <v>984</v>
      </c>
      <c r="AC40" s="62" t="s">
        <v>166</v>
      </c>
      <c r="AD40" s="62" t="s">
        <v>167</v>
      </c>
    </row>
    <row r="41" spans="1:30" x14ac:dyDescent="0.25">
      <c r="A41" s="62" t="s">
        <v>109</v>
      </c>
      <c r="C41" s="62" t="s">
        <v>609</v>
      </c>
      <c r="F41" s="62" t="s">
        <v>1030</v>
      </c>
      <c r="G41" s="62" t="s">
        <v>46558</v>
      </c>
      <c r="J41" s="62" t="s">
        <v>986</v>
      </c>
      <c r="K41" s="62" t="s">
        <v>46596</v>
      </c>
      <c r="L41" s="62" t="s">
        <v>987</v>
      </c>
      <c r="M41" s="62" t="s">
        <v>988</v>
      </c>
      <c r="N41" s="62" t="s">
        <v>989</v>
      </c>
      <c r="O41" s="62" t="s">
        <v>990</v>
      </c>
      <c r="P41" s="62" t="s">
        <v>46634</v>
      </c>
      <c r="Q41" s="62" t="s">
        <v>991</v>
      </c>
      <c r="R41" s="62" t="s">
        <v>992</v>
      </c>
      <c r="S41" s="62" t="s">
        <v>993</v>
      </c>
      <c r="U41" s="62" t="s">
        <v>994</v>
      </c>
      <c r="V41" s="62" t="s">
        <v>46673</v>
      </c>
      <c r="W41" s="62" t="s">
        <v>995</v>
      </c>
      <c r="X41" s="62" t="s">
        <v>996</v>
      </c>
      <c r="Y41" s="62" t="s">
        <v>997</v>
      </c>
      <c r="Z41" s="62" t="s">
        <v>998</v>
      </c>
      <c r="AA41" s="62" t="s">
        <v>46712</v>
      </c>
      <c r="AB41" s="62" t="s">
        <v>999</v>
      </c>
      <c r="AC41" s="62" t="s">
        <v>1000</v>
      </c>
      <c r="AD41" s="62" t="s">
        <v>1001</v>
      </c>
    </row>
    <row r="42" spans="1:30" x14ac:dyDescent="0.25">
      <c r="A42" s="62" t="s">
        <v>109</v>
      </c>
      <c r="C42" s="62" t="s">
        <v>610</v>
      </c>
      <c r="F42" s="62" t="s">
        <v>1047</v>
      </c>
      <c r="G42" s="62" t="s">
        <v>46559</v>
      </c>
      <c r="J42" s="62" t="s">
        <v>1003</v>
      </c>
      <c r="K42" s="62" t="s">
        <v>46597</v>
      </c>
      <c r="L42" s="62" t="s">
        <v>1004</v>
      </c>
      <c r="M42" s="62" t="s">
        <v>168</v>
      </c>
      <c r="N42" s="62" t="s">
        <v>169</v>
      </c>
      <c r="O42" s="62" t="s">
        <v>1005</v>
      </c>
      <c r="P42" s="62" t="s">
        <v>46635</v>
      </c>
      <c r="Q42" s="62" t="s">
        <v>1006</v>
      </c>
      <c r="R42" s="62" t="s">
        <v>170</v>
      </c>
      <c r="S42" s="62" t="s">
        <v>171</v>
      </c>
      <c r="U42" s="62" t="s">
        <v>1007</v>
      </c>
      <c r="V42" s="62" t="s">
        <v>46674</v>
      </c>
      <c r="W42" s="62" t="s">
        <v>1008</v>
      </c>
      <c r="X42" s="62" t="s">
        <v>172</v>
      </c>
      <c r="Y42" s="62" t="s">
        <v>173</v>
      </c>
      <c r="Z42" s="62" t="s">
        <v>1009</v>
      </c>
      <c r="AA42" s="62" t="s">
        <v>46713</v>
      </c>
      <c r="AB42" s="62" t="s">
        <v>1010</v>
      </c>
      <c r="AC42" s="62" t="s">
        <v>174</v>
      </c>
      <c r="AD42" s="62" t="s">
        <v>175</v>
      </c>
    </row>
    <row r="43" spans="1:30" x14ac:dyDescent="0.25">
      <c r="A43" s="62" t="s">
        <v>109</v>
      </c>
      <c r="C43" s="62" t="s">
        <v>1011</v>
      </c>
      <c r="F43" s="62" t="s">
        <v>1064</v>
      </c>
      <c r="G43" s="62" t="s">
        <v>46560</v>
      </c>
      <c r="J43" s="62" t="s">
        <v>1013</v>
      </c>
      <c r="K43" s="62" t="s">
        <v>46598</v>
      </c>
      <c r="L43" s="62" t="s">
        <v>1014</v>
      </c>
      <c r="M43" s="62" t="s">
        <v>1015</v>
      </c>
      <c r="N43" s="62" t="s">
        <v>1016</v>
      </c>
      <c r="O43" s="62" t="s">
        <v>1017</v>
      </c>
      <c r="P43" s="62" t="s">
        <v>46636</v>
      </c>
      <c r="Q43" s="62" t="s">
        <v>1018</v>
      </c>
      <c r="R43" s="62" t="s">
        <v>1019</v>
      </c>
      <c r="S43" s="62" t="s">
        <v>1020</v>
      </c>
      <c r="U43" s="62" t="s">
        <v>1021</v>
      </c>
      <c r="V43" s="62" t="s">
        <v>46675</v>
      </c>
      <c r="W43" s="62" t="s">
        <v>1022</v>
      </c>
      <c r="X43" s="62" t="s">
        <v>1023</v>
      </c>
      <c r="Y43" s="62" t="s">
        <v>1024</v>
      </c>
      <c r="Z43" s="62" t="s">
        <v>1025</v>
      </c>
      <c r="AA43" s="62" t="s">
        <v>46714</v>
      </c>
      <c r="AB43" s="62" t="s">
        <v>1026</v>
      </c>
      <c r="AC43" s="62" t="s">
        <v>1027</v>
      </c>
      <c r="AD43" s="62" t="s">
        <v>1028</v>
      </c>
    </row>
    <row r="44" spans="1:30" x14ac:dyDescent="0.25">
      <c r="A44" s="62" t="s">
        <v>109</v>
      </c>
      <c r="C44" s="62" t="s">
        <v>1029</v>
      </c>
      <c r="F44" s="62" t="s">
        <v>1090</v>
      </c>
      <c r="G44" s="62" t="s">
        <v>46561</v>
      </c>
      <c r="J44" s="62" t="s">
        <v>1031</v>
      </c>
      <c r="K44" s="62" t="s">
        <v>46599</v>
      </c>
      <c r="L44" s="62" t="s">
        <v>1032</v>
      </c>
      <c r="M44" s="62" t="s">
        <v>1033</v>
      </c>
      <c r="N44" s="62" t="s">
        <v>1034</v>
      </c>
      <c r="O44" s="62" t="s">
        <v>1035</v>
      </c>
      <c r="P44" s="62" t="s">
        <v>46637</v>
      </c>
      <c r="Q44" s="62" t="s">
        <v>1036</v>
      </c>
      <c r="R44" s="62" t="s">
        <v>1037</v>
      </c>
      <c r="S44" s="62" t="s">
        <v>1038</v>
      </c>
      <c r="U44" s="62" t="s">
        <v>1039</v>
      </c>
      <c r="V44" s="62" t="s">
        <v>46676</v>
      </c>
      <c r="W44" s="62" t="s">
        <v>1040</v>
      </c>
      <c r="X44" s="62" t="s">
        <v>1041</v>
      </c>
      <c r="Y44" s="62" t="s">
        <v>1042</v>
      </c>
      <c r="Z44" s="62" t="s">
        <v>1043</v>
      </c>
      <c r="AA44" s="62" t="s">
        <v>46715</v>
      </c>
      <c r="AB44" s="62" t="s">
        <v>1044</v>
      </c>
      <c r="AC44" s="62" t="s">
        <v>1045</v>
      </c>
      <c r="AD44" s="62" t="s">
        <v>1046</v>
      </c>
    </row>
    <row r="45" spans="1:30" x14ac:dyDescent="0.25">
      <c r="A45" s="62" t="s">
        <v>109</v>
      </c>
      <c r="C45" s="62" t="s">
        <v>611</v>
      </c>
      <c r="F45" s="62" t="s">
        <v>1100</v>
      </c>
      <c r="G45" s="62" t="s">
        <v>46562</v>
      </c>
      <c r="J45" s="62" t="s">
        <v>1048</v>
      </c>
      <c r="K45" s="62" t="s">
        <v>46600</v>
      </c>
      <c r="L45" s="62" t="s">
        <v>1049</v>
      </c>
      <c r="M45" s="62" t="s">
        <v>1050</v>
      </c>
      <c r="N45" s="62" t="s">
        <v>1051</v>
      </c>
      <c r="O45" s="62" t="s">
        <v>1052</v>
      </c>
      <c r="P45" s="62" t="s">
        <v>46638</v>
      </c>
      <c r="Q45" s="62" t="s">
        <v>1053</v>
      </c>
      <c r="R45" s="62" t="s">
        <v>1054</v>
      </c>
      <c r="S45" s="62" t="s">
        <v>1055</v>
      </c>
      <c r="U45" s="62" t="s">
        <v>1056</v>
      </c>
      <c r="V45" s="62" t="s">
        <v>46677</v>
      </c>
      <c r="W45" s="62" t="s">
        <v>1057</v>
      </c>
      <c r="X45" s="62" t="s">
        <v>1058</v>
      </c>
      <c r="Y45" s="62" t="s">
        <v>1059</v>
      </c>
      <c r="Z45" s="62" t="s">
        <v>1060</v>
      </c>
      <c r="AA45" s="62" t="s">
        <v>46716</v>
      </c>
      <c r="AB45" s="62" t="s">
        <v>1061</v>
      </c>
      <c r="AC45" s="62" t="s">
        <v>1062</v>
      </c>
      <c r="AD45" s="62" t="s">
        <v>1063</v>
      </c>
    </row>
    <row r="46" spans="1:30" x14ac:dyDescent="0.25">
      <c r="A46" s="62" t="s">
        <v>109</v>
      </c>
      <c r="C46" s="62" t="s">
        <v>612</v>
      </c>
      <c r="F46" s="62" t="s">
        <v>1118</v>
      </c>
      <c r="G46" s="62" t="s">
        <v>46563</v>
      </c>
      <c r="J46" s="62" t="s">
        <v>1065</v>
      </c>
      <c r="K46" s="62" t="s">
        <v>46601</v>
      </c>
      <c r="L46" s="62" t="s">
        <v>1066</v>
      </c>
      <c r="M46" s="62" t="s">
        <v>177</v>
      </c>
      <c r="N46" s="62" t="s">
        <v>178</v>
      </c>
      <c r="O46" s="62" t="s">
        <v>1067</v>
      </c>
      <c r="P46" s="62" t="s">
        <v>46639</v>
      </c>
      <c r="Q46" s="62" t="s">
        <v>1068</v>
      </c>
      <c r="R46" s="62" t="s">
        <v>179</v>
      </c>
      <c r="S46" s="62" t="s">
        <v>180</v>
      </c>
      <c r="U46" s="62" t="s">
        <v>1069</v>
      </c>
      <c r="V46" s="62" t="s">
        <v>46678</v>
      </c>
      <c r="W46" s="62" t="s">
        <v>1070</v>
      </c>
      <c r="X46" s="62" t="s">
        <v>181</v>
      </c>
      <c r="Y46" s="62" t="s">
        <v>182</v>
      </c>
      <c r="Z46" s="62" t="s">
        <v>1071</v>
      </c>
      <c r="AA46" s="62" t="s">
        <v>46717</v>
      </c>
      <c r="AB46" s="62" t="s">
        <v>1072</v>
      </c>
      <c r="AC46" s="62" t="s">
        <v>183</v>
      </c>
      <c r="AD46" s="62" t="s">
        <v>184</v>
      </c>
    </row>
    <row r="47" spans="1:30" x14ac:dyDescent="0.25">
      <c r="A47" s="62" t="s">
        <v>109</v>
      </c>
      <c r="C47" s="62" t="s">
        <v>613</v>
      </c>
      <c r="F47" s="62" t="s">
        <v>1135</v>
      </c>
      <c r="G47" s="62" t="s">
        <v>46564</v>
      </c>
      <c r="J47" s="62" t="s">
        <v>1074</v>
      </c>
      <c r="K47" s="62" t="s">
        <v>46602</v>
      </c>
      <c r="L47" s="62" t="s">
        <v>1075</v>
      </c>
      <c r="M47" s="62" t="s">
        <v>1076</v>
      </c>
      <c r="N47" s="62" t="s">
        <v>1077</v>
      </c>
      <c r="O47" s="62" t="s">
        <v>1078</v>
      </c>
      <c r="P47" s="62" t="s">
        <v>46640</v>
      </c>
      <c r="Q47" s="62" t="s">
        <v>1079</v>
      </c>
      <c r="R47" s="62" t="s">
        <v>1080</v>
      </c>
      <c r="S47" s="62" t="s">
        <v>1081</v>
      </c>
      <c r="U47" s="62" t="s">
        <v>1082</v>
      </c>
      <c r="V47" s="62" t="s">
        <v>46679</v>
      </c>
      <c r="W47" s="62" t="s">
        <v>1083</v>
      </c>
      <c r="X47" s="62" t="s">
        <v>1084</v>
      </c>
      <c r="Y47" s="62" t="s">
        <v>1085</v>
      </c>
      <c r="Z47" s="62" t="s">
        <v>1086</v>
      </c>
      <c r="AA47" s="62" t="s">
        <v>46718</v>
      </c>
      <c r="AB47" s="62" t="s">
        <v>1087</v>
      </c>
      <c r="AC47" s="62" t="s">
        <v>1088</v>
      </c>
      <c r="AD47" s="62" t="s">
        <v>1089</v>
      </c>
    </row>
    <row r="48" spans="1:30" x14ac:dyDescent="0.25">
      <c r="A48" s="62" t="s">
        <v>109</v>
      </c>
      <c r="C48" s="62" t="s">
        <v>614</v>
      </c>
      <c r="F48" s="62" t="s">
        <v>1161</v>
      </c>
      <c r="G48" s="62" t="s">
        <v>46565</v>
      </c>
      <c r="J48" s="62" t="s">
        <v>1091</v>
      </c>
      <c r="K48" s="62" t="s">
        <v>46603</v>
      </c>
      <c r="L48" s="62" t="s">
        <v>1092</v>
      </c>
      <c r="M48" s="62" t="s">
        <v>185</v>
      </c>
      <c r="N48" s="62" t="s">
        <v>186</v>
      </c>
      <c r="O48" s="62" t="s">
        <v>1093</v>
      </c>
      <c r="P48" s="62" t="s">
        <v>46641</v>
      </c>
      <c r="Q48" s="62" t="s">
        <v>1094</v>
      </c>
      <c r="R48" s="62" t="s">
        <v>187</v>
      </c>
      <c r="S48" s="62" t="s">
        <v>188</v>
      </c>
      <c r="U48" s="62" t="s">
        <v>1095</v>
      </c>
      <c r="V48" s="62" t="s">
        <v>46680</v>
      </c>
      <c r="W48" s="62" t="s">
        <v>1096</v>
      </c>
      <c r="X48" s="62" t="s">
        <v>189</v>
      </c>
      <c r="Y48" s="62" t="s">
        <v>190</v>
      </c>
      <c r="Z48" s="62" t="s">
        <v>1097</v>
      </c>
      <c r="AA48" s="62" t="s">
        <v>46719</v>
      </c>
      <c r="AB48" s="62" t="s">
        <v>1098</v>
      </c>
      <c r="AC48" s="62" t="s">
        <v>191</v>
      </c>
      <c r="AD48" s="62" t="s">
        <v>192</v>
      </c>
    </row>
    <row r="49" spans="1:30" x14ac:dyDescent="0.25">
      <c r="A49" s="62" t="s">
        <v>109</v>
      </c>
      <c r="C49" s="62" t="s">
        <v>1099</v>
      </c>
      <c r="F49" s="62" t="s">
        <v>1178</v>
      </c>
      <c r="G49" s="62" t="s">
        <v>46566</v>
      </c>
      <c r="J49" s="62" t="s">
        <v>1101</v>
      </c>
      <c r="K49" s="62" t="s">
        <v>46604</v>
      </c>
      <c r="L49" s="62" t="s">
        <v>1102</v>
      </c>
      <c r="M49" s="62" t="s">
        <v>1103</v>
      </c>
      <c r="N49" s="62" t="s">
        <v>1104</v>
      </c>
      <c r="O49" s="62" t="s">
        <v>1105</v>
      </c>
      <c r="P49" s="62" t="s">
        <v>46642</v>
      </c>
      <c r="Q49" s="62" t="s">
        <v>1106</v>
      </c>
      <c r="R49" s="62" t="s">
        <v>1107</v>
      </c>
      <c r="S49" s="62" t="s">
        <v>1108</v>
      </c>
      <c r="U49" s="62" t="s">
        <v>1109</v>
      </c>
      <c r="V49" s="62" t="s">
        <v>46681</v>
      </c>
      <c r="W49" s="62" t="s">
        <v>1110</v>
      </c>
      <c r="X49" s="62" t="s">
        <v>1111</v>
      </c>
      <c r="Y49" s="62" t="s">
        <v>1112</v>
      </c>
      <c r="Z49" s="62" t="s">
        <v>1113</v>
      </c>
      <c r="AA49" s="62" t="s">
        <v>46720</v>
      </c>
      <c r="AB49" s="62" t="s">
        <v>1114</v>
      </c>
      <c r="AC49" s="62" t="s">
        <v>1115</v>
      </c>
      <c r="AD49" s="62" t="s">
        <v>1116</v>
      </c>
    </row>
    <row r="50" spans="1:30" x14ac:dyDescent="0.25">
      <c r="A50" s="62" t="s">
        <v>109</v>
      </c>
      <c r="C50" s="62" t="s">
        <v>1117</v>
      </c>
      <c r="F50" s="62" t="s">
        <v>1188</v>
      </c>
      <c r="G50" s="62" t="s">
        <v>46567</v>
      </c>
      <c r="J50" s="62" t="s">
        <v>1119</v>
      </c>
      <c r="K50" s="62" t="s">
        <v>46605</v>
      </c>
      <c r="L50" s="62" t="s">
        <v>1120</v>
      </c>
      <c r="M50" s="62" t="s">
        <v>1121</v>
      </c>
      <c r="N50" s="62" t="s">
        <v>1122</v>
      </c>
      <c r="O50" s="62" t="s">
        <v>1123</v>
      </c>
      <c r="P50" s="62" t="s">
        <v>46643</v>
      </c>
      <c r="Q50" s="62" t="s">
        <v>1124</v>
      </c>
      <c r="R50" s="62" t="s">
        <v>1125</v>
      </c>
      <c r="S50" s="62" t="s">
        <v>1126</v>
      </c>
      <c r="U50" s="62" t="s">
        <v>1127</v>
      </c>
      <c r="V50" s="62" t="s">
        <v>46682</v>
      </c>
      <c r="W50" s="62" t="s">
        <v>1128</v>
      </c>
      <c r="X50" s="62" t="s">
        <v>1129</v>
      </c>
      <c r="Y50" s="62" t="s">
        <v>1130</v>
      </c>
      <c r="Z50" s="62" t="s">
        <v>1131</v>
      </c>
      <c r="AA50" s="62" t="s">
        <v>46721</v>
      </c>
      <c r="AB50" s="62" t="s">
        <v>1132</v>
      </c>
      <c r="AC50" s="62" t="s">
        <v>1133</v>
      </c>
      <c r="AD50" s="62" t="s">
        <v>1134</v>
      </c>
    </row>
    <row r="51" spans="1:30" x14ac:dyDescent="0.25">
      <c r="A51" s="62" t="s">
        <v>109</v>
      </c>
      <c r="C51" s="62" t="s">
        <v>615</v>
      </c>
      <c r="F51" s="62" t="s">
        <v>1206</v>
      </c>
      <c r="G51" s="62" t="s">
        <v>46568</v>
      </c>
      <c r="J51" s="62" t="s">
        <v>1136</v>
      </c>
      <c r="K51" s="62" t="s">
        <v>46606</v>
      </c>
      <c r="L51" s="62" t="s">
        <v>1137</v>
      </c>
      <c r="M51" s="62" t="s">
        <v>1138</v>
      </c>
      <c r="N51" s="62" t="s">
        <v>1139</v>
      </c>
      <c r="O51" s="62" t="s">
        <v>1140</v>
      </c>
      <c r="P51" s="62" t="s">
        <v>46644</v>
      </c>
      <c r="Q51" s="62" t="s">
        <v>1141</v>
      </c>
      <c r="R51" s="62" t="s">
        <v>1142</v>
      </c>
      <c r="S51" s="62" t="s">
        <v>1143</v>
      </c>
      <c r="U51" s="62" t="s">
        <v>1144</v>
      </c>
      <c r="V51" s="62" t="s">
        <v>46683</v>
      </c>
      <c r="W51" s="62" t="s">
        <v>1145</v>
      </c>
      <c r="X51" s="62" t="s">
        <v>1146</v>
      </c>
      <c r="Y51" s="62" t="s">
        <v>1147</v>
      </c>
      <c r="Z51" s="62" t="s">
        <v>1148</v>
      </c>
      <c r="AA51" s="62" t="s">
        <v>46722</v>
      </c>
      <c r="AB51" s="62" t="s">
        <v>1149</v>
      </c>
      <c r="AC51" s="62" t="s">
        <v>1150</v>
      </c>
      <c r="AD51" s="62" t="s">
        <v>1151</v>
      </c>
    </row>
    <row r="52" spans="1:30" x14ac:dyDescent="0.25">
      <c r="A52" s="62" t="s">
        <v>109</v>
      </c>
      <c r="C52" s="62" t="s">
        <v>616</v>
      </c>
      <c r="F52" s="62" t="s">
        <v>1223</v>
      </c>
      <c r="G52" s="62" t="s">
        <v>46569</v>
      </c>
      <c r="J52" s="62" t="s">
        <v>1153</v>
      </c>
      <c r="K52" s="62" t="s">
        <v>46607</v>
      </c>
      <c r="L52" s="62" t="s">
        <v>1154</v>
      </c>
      <c r="M52" s="62" t="s">
        <v>194</v>
      </c>
      <c r="N52" s="62" t="s">
        <v>195</v>
      </c>
      <c r="O52" s="62" t="s">
        <v>1155</v>
      </c>
      <c r="P52" s="62" t="s">
        <v>46645</v>
      </c>
      <c r="Q52" s="62" t="s">
        <v>1156</v>
      </c>
      <c r="R52" s="62" t="s">
        <v>196</v>
      </c>
      <c r="S52" s="62" t="s">
        <v>197</v>
      </c>
      <c r="U52" s="62" t="s">
        <v>1157</v>
      </c>
      <c r="V52" s="62" t="s">
        <v>46684</v>
      </c>
      <c r="W52" s="62" t="s">
        <v>1158</v>
      </c>
      <c r="X52" s="62" t="s">
        <v>198</v>
      </c>
      <c r="Y52" s="62" t="s">
        <v>199</v>
      </c>
      <c r="Z52" s="62" t="s">
        <v>1159</v>
      </c>
      <c r="AA52" s="62" t="s">
        <v>46723</v>
      </c>
      <c r="AB52" s="62" t="s">
        <v>1160</v>
      </c>
      <c r="AC52" s="62" t="s">
        <v>200</v>
      </c>
      <c r="AD52" s="62" t="s">
        <v>201</v>
      </c>
    </row>
    <row r="53" spans="1:30" x14ac:dyDescent="0.25">
      <c r="A53" s="62" t="s">
        <v>109</v>
      </c>
      <c r="C53" s="62" t="s">
        <v>617</v>
      </c>
      <c r="F53" s="62" t="s">
        <v>1240</v>
      </c>
      <c r="G53" s="62" t="s">
        <v>46570</v>
      </c>
      <c r="J53" s="62" t="s">
        <v>1162</v>
      </c>
      <c r="K53" s="62" t="s">
        <v>46608</v>
      </c>
      <c r="L53" s="62" t="s">
        <v>1163</v>
      </c>
      <c r="M53" s="62" t="s">
        <v>1164</v>
      </c>
      <c r="N53" s="62" t="s">
        <v>1165</v>
      </c>
      <c r="O53" s="62" t="s">
        <v>1166</v>
      </c>
      <c r="P53" s="62" t="s">
        <v>46646</v>
      </c>
      <c r="Q53" s="62" t="s">
        <v>1167</v>
      </c>
      <c r="R53" s="62" t="s">
        <v>1168</v>
      </c>
      <c r="S53" s="62" t="s">
        <v>1169</v>
      </c>
      <c r="U53" s="62" t="s">
        <v>1170</v>
      </c>
      <c r="V53" s="62" t="s">
        <v>46685</v>
      </c>
      <c r="W53" s="62" t="s">
        <v>1171</v>
      </c>
      <c r="X53" s="62" t="s">
        <v>1172</v>
      </c>
      <c r="Y53" s="62" t="s">
        <v>1173</v>
      </c>
      <c r="Z53" s="62" t="s">
        <v>1174</v>
      </c>
      <c r="AA53" s="62" t="s">
        <v>46724</v>
      </c>
      <c r="AB53" s="62" t="s">
        <v>1175</v>
      </c>
      <c r="AC53" s="62" t="s">
        <v>1176</v>
      </c>
      <c r="AD53" s="62" t="s">
        <v>1177</v>
      </c>
    </row>
    <row r="54" spans="1:30" x14ac:dyDescent="0.25">
      <c r="A54" s="62" t="s">
        <v>109</v>
      </c>
      <c r="C54" s="62" t="s">
        <v>618</v>
      </c>
      <c r="F54" s="62" t="s">
        <v>1249</v>
      </c>
      <c r="G54" s="62" t="s">
        <v>46571</v>
      </c>
      <c r="J54" s="62" t="s">
        <v>1179</v>
      </c>
      <c r="K54" s="62" t="s">
        <v>46609</v>
      </c>
      <c r="L54" s="62" t="s">
        <v>1180</v>
      </c>
      <c r="M54" s="62" t="s">
        <v>202</v>
      </c>
      <c r="N54" s="62" t="s">
        <v>203</v>
      </c>
      <c r="O54" s="62" t="s">
        <v>1181</v>
      </c>
      <c r="P54" s="62" t="s">
        <v>46647</v>
      </c>
      <c r="Q54" s="62" t="s">
        <v>1182</v>
      </c>
      <c r="R54" s="62" t="s">
        <v>204</v>
      </c>
      <c r="S54" s="62" t="s">
        <v>205</v>
      </c>
      <c r="U54" s="62" t="s">
        <v>1183</v>
      </c>
      <c r="V54" s="62" t="s">
        <v>46686</v>
      </c>
      <c r="W54" s="62" t="s">
        <v>1184</v>
      </c>
      <c r="X54" s="62" t="s">
        <v>206</v>
      </c>
      <c r="Y54" s="62" t="s">
        <v>207</v>
      </c>
      <c r="Z54" s="62" t="s">
        <v>1185</v>
      </c>
      <c r="AA54" s="62" t="s">
        <v>46725</v>
      </c>
      <c r="AB54" s="62" t="s">
        <v>1186</v>
      </c>
      <c r="AC54" s="62" t="s">
        <v>208</v>
      </c>
      <c r="AD54" s="62" t="s">
        <v>209</v>
      </c>
    </row>
    <row r="55" spans="1:30" x14ac:dyDescent="0.25">
      <c r="A55" s="62" t="s">
        <v>109</v>
      </c>
      <c r="C55" s="62" t="s">
        <v>1187</v>
      </c>
      <c r="F55" s="62" t="s">
        <v>1266</v>
      </c>
      <c r="G55" s="62" t="s">
        <v>46572</v>
      </c>
      <c r="J55" s="62" t="s">
        <v>1189</v>
      </c>
      <c r="K55" s="62" t="s">
        <v>46610</v>
      </c>
      <c r="L55" s="62" t="s">
        <v>1190</v>
      </c>
      <c r="M55" s="62" t="s">
        <v>1191</v>
      </c>
      <c r="N55" s="62" t="s">
        <v>1192</v>
      </c>
      <c r="O55" s="62" t="s">
        <v>1193</v>
      </c>
      <c r="P55" s="62" t="s">
        <v>46648</v>
      </c>
      <c r="Q55" s="62" t="s">
        <v>1194</v>
      </c>
      <c r="R55" s="62" t="s">
        <v>1195</v>
      </c>
      <c r="S55" s="62" t="s">
        <v>1196</v>
      </c>
      <c r="U55" s="62" t="s">
        <v>1197</v>
      </c>
      <c r="V55" s="62" t="s">
        <v>46687</v>
      </c>
      <c r="W55" s="62" t="s">
        <v>1198</v>
      </c>
      <c r="X55" s="62" t="s">
        <v>1199</v>
      </c>
      <c r="Y55" s="62" t="s">
        <v>1200</v>
      </c>
      <c r="Z55" s="62" t="s">
        <v>1201</v>
      </c>
      <c r="AA55" s="62" t="s">
        <v>46726</v>
      </c>
      <c r="AB55" s="62" t="s">
        <v>1202</v>
      </c>
      <c r="AC55" s="62" t="s">
        <v>1203</v>
      </c>
      <c r="AD55" s="62" t="s">
        <v>1204</v>
      </c>
    </row>
    <row r="56" spans="1:30" x14ac:dyDescent="0.25">
      <c r="A56" s="62" t="s">
        <v>109</v>
      </c>
      <c r="C56" s="62" t="s">
        <v>1205</v>
      </c>
      <c r="F56" s="62" t="s">
        <v>1275</v>
      </c>
      <c r="G56" s="62" t="s">
        <v>46573</v>
      </c>
      <c r="J56" s="62" t="s">
        <v>1207</v>
      </c>
      <c r="K56" s="62" t="s">
        <v>46611</v>
      </c>
      <c r="L56" s="62" t="s">
        <v>1208</v>
      </c>
      <c r="M56" s="62" t="s">
        <v>1209</v>
      </c>
      <c r="N56" s="62" t="s">
        <v>1210</v>
      </c>
      <c r="O56" s="62" t="s">
        <v>1211</v>
      </c>
      <c r="P56" s="62" t="s">
        <v>46649</v>
      </c>
      <c r="Q56" s="62" t="s">
        <v>1212</v>
      </c>
      <c r="R56" s="62" t="s">
        <v>1213</v>
      </c>
      <c r="S56" s="62" t="s">
        <v>1214</v>
      </c>
      <c r="U56" s="62" t="s">
        <v>1215</v>
      </c>
      <c r="V56" s="62" t="s">
        <v>46688</v>
      </c>
      <c r="W56" s="62" t="s">
        <v>1216</v>
      </c>
      <c r="X56" s="62" t="s">
        <v>1217</v>
      </c>
      <c r="Y56" s="62" t="s">
        <v>1218</v>
      </c>
      <c r="Z56" s="62" t="s">
        <v>1219</v>
      </c>
      <c r="AA56" s="62" t="s">
        <v>46727</v>
      </c>
      <c r="AB56" s="62" t="s">
        <v>1220</v>
      </c>
      <c r="AC56" s="62" t="s">
        <v>1221</v>
      </c>
      <c r="AD56" s="62" t="s">
        <v>1222</v>
      </c>
    </row>
    <row r="57" spans="1:30" x14ac:dyDescent="0.25">
      <c r="A57" s="62" t="s">
        <v>109</v>
      </c>
      <c r="C57" s="62" t="s">
        <v>619</v>
      </c>
      <c r="F57" s="62" t="s">
        <v>1286</v>
      </c>
      <c r="G57" s="62" t="s">
        <v>46574</v>
      </c>
      <c r="J57" s="62" t="s">
        <v>1224</v>
      </c>
      <c r="K57" s="62" t="s">
        <v>46612</v>
      </c>
      <c r="L57" s="62" t="s">
        <v>1225</v>
      </c>
      <c r="M57" s="62" t="s">
        <v>1226</v>
      </c>
      <c r="N57" s="62" t="s">
        <v>1227</v>
      </c>
      <c r="O57" s="62" t="s">
        <v>1228</v>
      </c>
      <c r="P57" s="62" t="s">
        <v>46650</v>
      </c>
      <c r="Q57" s="62" t="s">
        <v>1229</v>
      </c>
      <c r="R57" s="62" t="s">
        <v>1230</v>
      </c>
      <c r="S57" s="62" t="s">
        <v>1231</v>
      </c>
      <c r="U57" s="62" t="s">
        <v>1232</v>
      </c>
      <c r="V57" s="62" t="s">
        <v>46689</v>
      </c>
      <c r="W57" s="62" t="s">
        <v>1233</v>
      </c>
      <c r="X57" s="62" t="s">
        <v>1234</v>
      </c>
      <c r="Y57" s="62" t="s">
        <v>1235</v>
      </c>
      <c r="Z57" s="62" t="s">
        <v>1236</v>
      </c>
      <c r="AA57" s="62" t="s">
        <v>46728</v>
      </c>
      <c r="AB57" s="62" t="s">
        <v>1237</v>
      </c>
      <c r="AC57" s="62" t="s">
        <v>1238</v>
      </c>
      <c r="AD57" s="62" t="s">
        <v>1239</v>
      </c>
    </row>
    <row r="58" spans="1:30" x14ac:dyDescent="0.25">
      <c r="A58" s="62" t="s">
        <v>109</v>
      </c>
      <c r="C58" s="62" t="s">
        <v>620</v>
      </c>
      <c r="F58" s="62" t="s">
        <v>1287</v>
      </c>
      <c r="G58" s="62" t="s">
        <v>46575</v>
      </c>
      <c r="J58" s="62" t="s">
        <v>1241</v>
      </c>
      <c r="K58" s="62" t="s">
        <v>46613</v>
      </c>
      <c r="L58" s="62" t="s">
        <v>1242</v>
      </c>
      <c r="M58" s="62" t="s">
        <v>211</v>
      </c>
      <c r="N58" s="62" t="s">
        <v>212</v>
      </c>
      <c r="O58" s="62" t="s">
        <v>1243</v>
      </c>
      <c r="P58" s="62" t="s">
        <v>46651</v>
      </c>
      <c r="Q58" s="62" t="s">
        <v>1244</v>
      </c>
      <c r="R58" s="62" t="s">
        <v>213</v>
      </c>
      <c r="S58" s="62" t="s">
        <v>214</v>
      </c>
      <c r="U58" s="62" t="s">
        <v>1245</v>
      </c>
      <c r="V58" s="62" t="s">
        <v>46690</v>
      </c>
      <c r="W58" s="62" t="s">
        <v>1246</v>
      </c>
      <c r="X58" s="62" t="s">
        <v>215</v>
      </c>
      <c r="Y58" s="62" t="s">
        <v>216</v>
      </c>
      <c r="Z58" s="62" t="s">
        <v>1247</v>
      </c>
      <c r="AA58" s="62" t="s">
        <v>46729</v>
      </c>
      <c r="AB58" s="62" t="s">
        <v>1248</v>
      </c>
      <c r="AC58" s="62" t="s">
        <v>217</v>
      </c>
      <c r="AD58" s="62" t="s">
        <v>218</v>
      </c>
    </row>
    <row r="59" spans="1:30" x14ac:dyDescent="0.25">
      <c r="A59" s="62" t="s">
        <v>109</v>
      </c>
      <c r="C59" s="62" t="s">
        <v>621</v>
      </c>
      <c r="F59" s="62" t="s">
        <v>1288</v>
      </c>
      <c r="G59" s="62" t="s">
        <v>46576</v>
      </c>
      <c r="J59" s="62" t="s">
        <v>1250</v>
      </c>
      <c r="K59" s="62" t="s">
        <v>46614</v>
      </c>
      <c r="L59" s="62" t="s">
        <v>1251</v>
      </c>
      <c r="M59" s="62" t="s">
        <v>1252</v>
      </c>
      <c r="N59" s="62" t="s">
        <v>1253</v>
      </c>
      <c r="O59" s="62" t="s">
        <v>1254</v>
      </c>
      <c r="P59" s="62" t="s">
        <v>46652</v>
      </c>
      <c r="Q59" s="62" t="s">
        <v>1255</v>
      </c>
      <c r="R59" s="62" t="s">
        <v>1256</v>
      </c>
      <c r="S59" s="62" t="s">
        <v>1257</v>
      </c>
      <c r="U59" s="62" t="s">
        <v>1258</v>
      </c>
      <c r="V59" s="62" t="s">
        <v>46691</v>
      </c>
      <c r="W59" s="62" t="s">
        <v>1259</v>
      </c>
      <c r="X59" s="62" t="s">
        <v>1260</v>
      </c>
      <c r="Y59" s="62" t="s">
        <v>1261</v>
      </c>
      <c r="Z59" s="62" t="s">
        <v>1262</v>
      </c>
      <c r="AA59" s="62" t="s">
        <v>46730</v>
      </c>
      <c r="AB59" s="62" t="s">
        <v>1263</v>
      </c>
      <c r="AC59" s="62" t="s">
        <v>1264</v>
      </c>
      <c r="AD59" s="62" t="s">
        <v>1265</v>
      </c>
    </row>
    <row r="60" spans="1:30" x14ac:dyDescent="0.25">
      <c r="A60" s="62" t="s">
        <v>109</v>
      </c>
      <c r="C60" s="62" t="s">
        <v>622</v>
      </c>
      <c r="F60" s="62" t="s">
        <v>1299</v>
      </c>
      <c r="G60" s="62" t="s">
        <v>46577</v>
      </c>
      <c r="J60" s="62" t="s">
        <v>1267</v>
      </c>
      <c r="K60" s="62" t="s">
        <v>46615</v>
      </c>
      <c r="L60" s="62" t="s">
        <v>1268</v>
      </c>
      <c r="M60" s="62" t="s">
        <v>219</v>
      </c>
      <c r="N60" s="62" t="s">
        <v>220</v>
      </c>
      <c r="O60" s="62" t="s">
        <v>1269</v>
      </c>
      <c r="P60" s="62" t="s">
        <v>46653</v>
      </c>
      <c r="Q60" s="62" t="s">
        <v>1270</v>
      </c>
      <c r="R60" s="62" t="s">
        <v>221</v>
      </c>
      <c r="S60" s="62" t="s">
        <v>222</v>
      </c>
      <c r="U60" s="62" t="s">
        <v>1271</v>
      </c>
      <c r="V60" s="62" t="s">
        <v>46692</v>
      </c>
      <c r="W60" s="62" t="s">
        <v>1272</v>
      </c>
      <c r="X60" s="62" t="s">
        <v>223</v>
      </c>
      <c r="Y60" s="62" t="s">
        <v>224</v>
      </c>
      <c r="Z60" s="62" t="s">
        <v>1273</v>
      </c>
      <c r="AA60" s="62" t="s">
        <v>46731</v>
      </c>
      <c r="AB60" s="62" t="s">
        <v>1274</v>
      </c>
      <c r="AC60" s="62" t="s">
        <v>225</v>
      </c>
      <c r="AD60" s="62" t="s">
        <v>226</v>
      </c>
    </row>
    <row r="61" spans="1:30" x14ac:dyDescent="0.25">
      <c r="C61" s="62" t="s">
        <v>596</v>
      </c>
    </row>
    <row r="62" spans="1:30" x14ac:dyDescent="0.25">
      <c r="C62" s="62" t="s">
        <v>1276</v>
      </c>
      <c r="G62" s="62" t="s">
        <v>39702</v>
      </c>
      <c r="J62" s="62" t="s">
        <v>39703</v>
      </c>
      <c r="K62" s="62" t="s">
        <v>39704</v>
      </c>
      <c r="L62" s="62" t="s">
        <v>39705</v>
      </c>
      <c r="M62" s="62" t="s">
        <v>1278</v>
      </c>
      <c r="N62" s="62" t="s">
        <v>1279</v>
      </c>
      <c r="O62" s="62" t="s">
        <v>39706</v>
      </c>
      <c r="P62" s="62" t="s">
        <v>39707</v>
      </c>
      <c r="Q62" s="62" t="s">
        <v>39708</v>
      </c>
      <c r="R62" s="62" t="s">
        <v>1280</v>
      </c>
      <c r="S62" s="62" t="s">
        <v>1281</v>
      </c>
      <c r="U62" s="62" t="s">
        <v>39709</v>
      </c>
      <c r="V62" s="62" t="s">
        <v>39710</v>
      </c>
      <c r="W62" s="62" t="s">
        <v>39711</v>
      </c>
      <c r="X62" s="62" t="s">
        <v>1282</v>
      </c>
      <c r="Y62" s="62" t="s">
        <v>1283</v>
      </c>
      <c r="Z62" s="62" t="s">
        <v>39712</v>
      </c>
      <c r="AA62" s="62" t="s">
        <v>39713</v>
      </c>
      <c r="AB62" s="62" t="s">
        <v>39714</v>
      </c>
      <c r="AC62" s="62" t="s">
        <v>1284</v>
      </c>
      <c r="AD62" s="62" t="s">
        <v>1285</v>
      </c>
    </row>
    <row r="64" spans="1:30" x14ac:dyDescent="0.25">
      <c r="A64" s="62" t="s">
        <v>109</v>
      </c>
      <c r="C64" s="62" t="s">
        <v>39715</v>
      </c>
      <c r="E64" s="62" t="s">
        <v>1324</v>
      </c>
      <c r="G64" s="62" t="s">
        <v>39716</v>
      </c>
    </row>
    <row r="65" spans="1:30" x14ac:dyDescent="0.25">
      <c r="A65" s="62" t="s">
        <v>109</v>
      </c>
      <c r="C65" s="62" t="s">
        <v>623</v>
      </c>
    </row>
    <row r="66" spans="1:30" x14ac:dyDescent="0.25">
      <c r="A66" s="62" t="s">
        <v>109</v>
      </c>
      <c r="C66" s="62" t="s">
        <v>624</v>
      </c>
      <c r="F66" s="62" t="s">
        <v>39717</v>
      </c>
      <c r="G66" s="62" t="s">
        <v>59182</v>
      </c>
      <c r="J66" s="62" t="s">
        <v>1290</v>
      </c>
      <c r="K66" s="62" t="s">
        <v>59222</v>
      </c>
      <c r="L66" s="62" t="s">
        <v>1291</v>
      </c>
      <c r="M66" s="62" t="s">
        <v>228</v>
      </c>
      <c r="N66" s="62" t="s">
        <v>229</v>
      </c>
      <c r="O66" s="62" t="s">
        <v>1292</v>
      </c>
      <c r="P66" s="62" t="s">
        <v>59262</v>
      </c>
      <c r="Q66" s="62" t="s">
        <v>1293</v>
      </c>
      <c r="R66" s="62" t="s">
        <v>230</v>
      </c>
      <c r="S66" s="62" t="s">
        <v>231</v>
      </c>
      <c r="U66" s="62" t="s">
        <v>1294</v>
      </c>
      <c r="V66" s="62" t="s">
        <v>59302</v>
      </c>
      <c r="W66" s="62" t="s">
        <v>1295</v>
      </c>
      <c r="X66" s="62" t="s">
        <v>232</v>
      </c>
      <c r="Y66" s="62" t="s">
        <v>233</v>
      </c>
      <c r="Z66" s="62" t="s">
        <v>1296</v>
      </c>
      <c r="AA66" s="62" t="s">
        <v>59342</v>
      </c>
      <c r="AB66" s="62" t="s">
        <v>1297</v>
      </c>
      <c r="AC66" s="62" t="s">
        <v>234</v>
      </c>
      <c r="AD66" s="62" t="s">
        <v>235</v>
      </c>
    </row>
    <row r="67" spans="1:30" x14ac:dyDescent="0.25">
      <c r="A67" s="62" t="s">
        <v>109</v>
      </c>
      <c r="C67" s="62" t="s">
        <v>1298</v>
      </c>
      <c r="F67" s="62" t="s">
        <v>776</v>
      </c>
      <c r="G67" s="62" t="s">
        <v>59183</v>
      </c>
      <c r="J67" s="62" t="s">
        <v>1300</v>
      </c>
      <c r="K67" s="62" t="s">
        <v>59223</v>
      </c>
      <c r="L67" s="62" t="s">
        <v>1301</v>
      </c>
      <c r="M67" s="62" t="s">
        <v>1302</v>
      </c>
      <c r="N67" s="62" t="s">
        <v>1303</v>
      </c>
      <c r="O67" s="62" t="s">
        <v>1304</v>
      </c>
      <c r="P67" s="62" t="s">
        <v>59263</v>
      </c>
      <c r="Q67" s="62" t="s">
        <v>1305</v>
      </c>
      <c r="R67" s="62" t="s">
        <v>1306</v>
      </c>
      <c r="S67" s="62" t="s">
        <v>1307</v>
      </c>
      <c r="U67" s="62" t="s">
        <v>1308</v>
      </c>
      <c r="V67" s="62" t="s">
        <v>59303</v>
      </c>
      <c r="W67" s="62" t="s">
        <v>1309</v>
      </c>
      <c r="X67" s="62" t="s">
        <v>1310</v>
      </c>
      <c r="Y67" s="62" t="s">
        <v>1311</v>
      </c>
      <c r="Z67" s="62" t="s">
        <v>1312</v>
      </c>
      <c r="AA67" s="62" t="s">
        <v>59343</v>
      </c>
      <c r="AB67" s="62" t="s">
        <v>1313</v>
      </c>
      <c r="AC67" s="62" t="s">
        <v>1314</v>
      </c>
      <c r="AD67" s="62" t="s">
        <v>1315</v>
      </c>
    </row>
    <row r="68" spans="1:30" x14ac:dyDescent="0.25">
      <c r="A68" s="62" t="s">
        <v>109</v>
      </c>
      <c r="C68" s="62" t="s">
        <v>39718</v>
      </c>
      <c r="F68" s="62" t="s">
        <v>1359</v>
      </c>
      <c r="G68" s="62" t="s">
        <v>59184</v>
      </c>
      <c r="J68" s="62" t="s">
        <v>39719</v>
      </c>
      <c r="K68" s="62" t="s">
        <v>59224</v>
      </c>
      <c r="L68" s="62" t="s">
        <v>39720</v>
      </c>
      <c r="M68" s="62" t="s">
        <v>39721</v>
      </c>
      <c r="N68" s="62" t="s">
        <v>39722</v>
      </c>
      <c r="O68" s="62" t="s">
        <v>39723</v>
      </c>
      <c r="P68" s="62" t="s">
        <v>59264</v>
      </c>
      <c r="Q68" s="62" t="s">
        <v>39724</v>
      </c>
      <c r="R68" s="62" t="s">
        <v>39725</v>
      </c>
      <c r="S68" s="62" t="s">
        <v>39726</v>
      </c>
      <c r="U68" s="62" t="s">
        <v>39727</v>
      </c>
      <c r="V68" s="62" t="s">
        <v>59304</v>
      </c>
      <c r="W68" s="62" t="s">
        <v>39728</v>
      </c>
      <c r="X68" s="62" t="s">
        <v>39729</v>
      </c>
      <c r="Y68" s="62" t="s">
        <v>39730</v>
      </c>
      <c r="Z68" s="62" t="s">
        <v>39731</v>
      </c>
      <c r="AA68" s="62" t="s">
        <v>59344</v>
      </c>
      <c r="AB68" s="62" t="s">
        <v>39732</v>
      </c>
      <c r="AC68" s="62" t="s">
        <v>39733</v>
      </c>
      <c r="AD68" s="62" t="s">
        <v>39734</v>
      </c>
    </row>
    <row r="69" spans="1:30" x14ac:dyDescent="0.25">
      <c r="A69" s="62" t="s">
        <v>109</v>
      </c>
      <c r="C69" s="62" t="s">
        <v>625</v>
      </c>
      <c r="F69" s="62" t="s">
        <v>142</v>
      </c>
      <c r="G69" s="62" t="s">
        <v>59185</v>
      </c>
      <c r="J69" s="62" t="s">
        <v>39735</v>
      </c>
      <c r="K69" s="62" t="s">
        <v>59225</v>
      </c>
      <c r="L69" s="62" t="s">
        <v>39736</v>
      </c>
      <c r="M69" s="62" t="s">
        <v>1316</v>
      </c>
      <c r="N69" s="62" t="s">
        <v>1317</v>
      </c>
      <c r="O69" s="62" t="s">
        <v>39737</v>
      </c>
      <c r="P69" s="62" t="s">
        <v>59265</v>
      </c>
      <c r="Q69" s="62" t="s">
        <v>39738</v>
      </c>
      <c r="R69" s="62" t="s">
        <v>1318</v>
      </c>
      <c r="S69" s="62" t="s">
        <v>1319</v>
      </c>
      <c r="U69" s="62" t="s">
        <v>39739</v>
      </c>
      <c r="V69" s="62" t="s">
        <v>59305</v>
      </c>
      <c r="W69" s="62" t="s">
        <v>39740</v>
      </c>
      <c r="X69" s="62" t="s">
        <v>1320</v>
      </c>
      <c r="Y69" s="62" t="s">
        <v>1321</v>
      </c>
      <c r="Z69" s="62" t="s">
        <v>39741</v>
      </c>
      <c r="AA69" s="62" t="s">
        <v>59345</v>
      </c>
      <c r="AB69" s="62" t="s">
        <v>39742</v>
      </c>
      <c r="AC69" s="62" t="s">
        <v>1322</v>
      </c>
      <c r="AD69" s="62" t="s">
        <v>1323</v>
      </c>
    </row>
    <row r="70" spans="1:30" x14ac:dyDescent="0.25">
      <c r="A70" s="62" t="s">
        <v>109</v>
      </c>
      <c r="C70" s="62" t="s">
        <v>39743</v>
      </c>
      <c r="F70" s="62" t="s">
        <v>785</v>
      </c>
      <c r="G70" s="62" t="s">
        <v>59186</v>
      </c>
      <c r="J70" s="62" t="s">
        <v>39744</v>
      </c>
      <c r="K70" s="62" t="s">
        <v>59226</v>
      </c>
      <c r="L70" s="62" t="s">
        <v>39745</v>
      </c>
      <c r="M70" s="62" t="s">
        <v>39746</v>
      </c>
      <c r="N70" s="62" t="s">
        <v>39747</v>
      </c>
      <c r="O70" s="62" t="s">
        <v>39748</v>
      </c>
      <c r="P70" s="62" t="s">
        <v>59266</v>
      </c>
      <c r="Q70" s="62" t="s">
        <v>39749</v>
      </c>
      <c r="R70" s="62" t="s">
        <v>39750</v>
      </c>
      <c r="S70" s="62" t="s">
        <v>39751</v>
      </c>
      <c r="U70" s="62" t="s">
        <v>39752</v>
      </c>
      <c r="V70" s="62" t="s">
        <v>59306</v>
      </c>
      <c r="W70" s="62" t="s">
        <v>39753</v>
      </c>
      <c r="X70" s="62" t="s">
        <v>39754</v>
      </c>
      <c r="Y70" s="62" t="s">
        <v>39755</v>
      </c>
      <c r="Z70" s="62" t="s">
        <v>39756</v>
      </c>
      <c r="AA70" s="62" t="s">
        <v>59346</v>
      </c>
      <c r="AB70" s="62" t="s">
        <v>39757</v>
      </c>
      <c r="AC70" s="62" t="s">
        <v>39758</v>
      </c>
      <c r="AD70" s="62" t="s">
        <v>39759</v>
      </c>
    </row>
    <row r="71" spans="1:30" x14ac:dyDescent="0.25">
      <c r="A71" s="62" t="s">
        <v>109</v>
      </c>
      <c r="C71" s="62" t="s">
        <v>39760</v>
      </c>
      <c r="F71" s="62" t="s">
        <v>802</v>
      </c>
      <c r="G71" s="62" t="s">
        <v>59187</v>
      </c>
      <c r="J71" s="62" t="s">
        <v>39761</v>
      </c>
      <c r="K71" s="62" t="s">
        <v>59227</v>
      </c>
      <c r="L71" s="62" t="s">
        <v>39762</v>
      </c>
      <c r="M71" s="62" t="s">
        <v>39763</v>
      </c>
      <c r="N71" s="62" t="s">
        <v>39764</v>
      </c>
      <c r="O71" s="62" t="s">
        <v>39765</v>
      </c>
      <c r="P71" s="62" t="s">
        <v>59267</v>
      </c>
      <c r="Q71" s="62" t="s">
        <v>39766</v>
      </c>
      <c r="R71" s="62" t="s">
        <v>39767</v>
      </c>
      <c r="S71" s="62" t="s">
        <v>39768</v>
      </c>
      <c r="U71" s="62" t="s">
        <v>39769</v>
      </c>
      <c r="V71" s="62" t="s">
        <v>59307</v>
      </c>
      <c r="W71" s="62" t="s">
        <v>39770</v>
      </c>
      <c r="X71" s="62" t="s">
        <v>39771</v>
      </c>
      <c r="Y71" s="62" t="s">
        <v>39772</v>
      </c>
      <c r="Z71" s="62" t="s">
        <v>39773</v>
      </c>
      <c r="AA71" s="62" t="s">
        <v>59347</v>
      </c>
      <c r="AB71" s="62" t="s">
        <v>39774</v>
      </c>
      <c r="AC71" s="62" t="s">
        <v>39775</v>
      </c>
      <c r="AD71" s="62" t="s">
        <v>39776</v>
      </c>
    </row>
    <row r="72" spans="1:30" x14ac:dyDescent="0.25">
      <c r="A72" s="62" t="s">
        <v>109</v>
      </c>
      <c r="C72" s="62" t="s">
        <v>626</v>
      </c>
      <c r="F72" s="62" t="s">
        <v>159</v>
      </c>
      <c r="G72" s="62" t="s">
        <v>59188</v>
      </c>
      <c r="J72" s="62" t="s">
        <v>39777</v>
      </c>
      <c r="K72" s="62" t="s">
        <v>59228</v>
      </c>
      <c r="L72" s="62" t="s">
        <v>39778</v>
      </c>
      <c r="M72" s="62" t="s">
        <v>39779</v>
      </c>
      <c r="N72" s="62" t="s">
        <v>39780</v>
      </c>
      <c r="O72" s="62" t="s">
        <v>39781</v>
      </c>
      <c r="P72" s="62" t="s">
        <v>59268</v>
      </c>
      <c r="Q72" s="62" t="s">
        <v>39782</v>
      </c>
      <c r="R72" s="62" t="s">
        <v>39783</v>
      </c>
      <c r="S72" s="62" t="s">
        <v>39784</v>
      </c>
      <c r="U72" s="62" t="s">
        <v>39785</v>
      </c>
      <c r="V72" s="62" t="s">
        <v>59308</v>
      </c>
      <c r="W72" s="62" t="s">
        <v>39786</v>
      </c>
      <c r="X72" s="62" t="s">
        <v>39787</v>
      </c>
      <c r="Y72" s="62" t="s">
        <v>39788</v>
      </c>
      <c r="Z72" s="62" t="s">
        <v>39789</v>
      </c>
      <c r="AA72" s="62" t="s">
        <v>59348</v>
      </c>
      <c r="AB72" s="62" t="s">
        <v>39790</v>
      </c>
      <c r="AC72" s="62" t="s">
        <v>39791</v>
      </c>
      <c r="AD72" s="62" t="s">
        <v>39792</v>
      </c>
    </row>
    <row r="73" spans="1:30" x14ac:dyDescent="0.25">
      <c r="A73" s="62" t="s">
        <v>109</v>
      </c>
      <c r="C73" s="62" t="s">
        <v>1325</v>
      </c>
      <c r="F73" s="62" t="s">
        <v>827</v>
      </c>
      <c r="G73" s="62" t="s">
        <v>59189</v>
      </c>
      <c r="J73" s="62" t="s">
        <v>1326</v>
      </c>
      <c r="K73" s="62" t="s">
        <v>59229</v>
      </c>
      <c r="L73" s="62" t="s">
        <v>1327</v>
      </c>
      <c r="M73" s="62" t="s">
        <v>1328</v>
      </c>
      <c r="N73" s="62" t="s">
        <v>1329</v>
      </c>
      <c r="O73" s="62" t="s">
        <v>1330</v>
      </c>
      <c r="P73" s="62" t="s">
        <v>59269</v>
      </c>
      <c r="Q73" s="62" t="s">
        <v>1331</v>
      </c>
      <c r="R73" s="62" t="s">
        <v>1332</v>
      </c>
      <c r="S73" s="62" t="s">
        <v>1333</v>
      </c>
      <c r="U73" s="62" t="s">
        <v>1334</v>
      </c>
      <c r="V73" s="62" t="s">
        <v>59309</v>
      </c>
      <c r="W73" s="62" t="s">
        <v>1335</v>
      </c>
      <c r="X73" s="62" t="s">
        <v>1336</v>
      </c>
      <c r="Y73" s="62" t="s">
        <v>1337</v>
      </c>
      <c r="Z73" s="62" t="s">
        <v>1338</v>
      </c>
      <c r="AA73" s="62" t="s">
        <v>59349</v>
      </c>
      <c r="AB73" s="62" t="s">
        <v>1339</v>
      </c>
      <c r="AC73" s="62" t="s">
        <v>1340</v>
      </c>
      <c r="AD73" s="62" t="s">
        <v>1341</v>
      </c>
    </row>
    <row r="74" spans="1:30" x14ac:dyDescent="0.25">
      <c r="A74" s="62" t="s">
        <v>109</v>
      </c>
      <c r="C74" s="62" t="s">
        <v>1342</v>
      </c>
      <c r="F74" s="62" t="s">
        <v>855</v>
      </c>
      <c r="G74" s="62" t="s">
        <v>59190</v>
      </c>
      <c r="J74" s="62" t="s">
        <v>1343</v>
      </c>
      <c r="K74" s="62" t="s">
        <v>59230</v>
      </c>
      <c r="L74" s="62" t="s">
        <v>1344</v>
      </c>
      <c r="M74" s="62" t="s">
        <v>1345</v>
      </c>
      <c r="N74" s="62" t="s">
        <v>1346</v>
      </c>
      <c r="O74" s="62" t="s">
        <v>1347</v>
      </c>
      <c r="P74" s="62" t="s">
        <v>59270</v>
      </c>
      <c r="Q74" s="62" t="s">
        <v>1348</v>
      </c>
      <c r="R74" s="62" t="s">
        <v>1349</v>
      </c>
      <c r="S74" s="62" t="s">
        <v>1350</v>
      </c>
      <c r="U74" s="62" t="s">
        <v>1351</v>
      </c>
      <c r="V74" s="62" t="s">
        <v>59310</v>
      </c>
      <c r="W74" s="62" t="s">
        <v>1352</v>
      </c>
      <c r="X74" s="62" t="s">
        <v>1353</v>
      </c>
      <c r="Y74" s="62" t="s">
        <v>1354</v>
      </c>
      <c r="Z74" s="62" t="s">
        <v>1355</v>
      </c>
      <c r="AA74" s="62" t="s">
        <v>59350</v>
      </c>
      <c r="AB74" s="62" t="s">
        <v>1356</v>
      </c>
      <c r="AC74" s="62" t="s">
        <v>1357</v>
      </c>
      <c r="AD74" s="62" t="s">
        <v>1358</v>
      </c>
    </row>
    <row r="75" spans="1:30" x14ac:dyDescent="0.25">
      <c r="A75" s="62" t="s">
        <v>109</v>
      </c>
      <c r="C75" s="62" t="s">
        <v>627</v>
      </c>
      <c r="F75" s="62" t="s">
        <v>872</v>
      </c>
      <c r="G75" s="62" t="s">
        <v>59191</v>
      </c>
      <c r="J75" s="62" t="s">
        <v>1360</v>
      </c>
      <c r="K75" s="62" t="s">
        <v>59231</v>
      </c>
      <c r="L75" s="62" t="s">
        <v>1361</v>
      </c>
      <c r="M75" s="62" t="s">
        <v>1362</v>
      </c>
      <c r="N75" s="62" t="s">
        <v>1363</v>
      </c>
      <c r="O75" s="62" t="s">
        <v>1364</v>
      </c>
      <c r="P75" s="62" t="s">
        <v>59271</v>
      </c>
      <c r="Q75" s="62" t="s">
        <v>1365</v>
      </c>
      <c r="R75" s="62" t="s">
        <v>1366</v>
      </c>
      <c r="S75" s="62" t="s">
        <v>1367</v>
      </c>
      <c r="U75" s="62" t="s">
        <v>1368</v>
      </c>
      <c r="V75" s="62" t="s">
        <v>59311</v>
      </c>
      <c r="W75" s="62" t="s">
        <v>1369</v>
      </c>
      <c r="X75" s="62" t="s">
        <v>1370</v>
      </c>
      <c r="Y75" s="62" t="s">
        <v>1371</v>
      </c>
      <c r="Z75" s="62" t="s">
        <v>1372</v>
      </c>
      <c r="AA75" s="62" t="s">
        <v>59351</v>
      </c>
      <c r="AB75" s="62" t="s">
        <v>1373</v>
      </c>
      <c r="AC75" s="62" t="s">
        <v>1374</v>
      </c>
      <c r="AD75" s="62" t="s">
        <v>1375</v>
      </c>
    </row>
    <row r="76" spans="1:30" x14ac:dyDescent="0.25">
      <c r="A76" s="62" t="s">
        <v>109</v>
      </c>
      <c r="C76" s="62" t="s">
        <v>628</v>
      </c>
      <c r="F76" s="62" t="s">
        <v>889</v>
      </c>
      <c r="G76" s="62" t="s">
        <v>59192</v>
      </c>
      <c r="J76" s="62" t="s">
        <v>1376</v>
      </c>
      <c r="K76" s="62" t="s">
        <v>59232</v>
      </c>
      <c r="L76" s="62" t="s">
        <v>1377</v>
      </c>
      <c r="M76" s="62" t="s">
        <v>238</v>
      </c>
      <c r="N76" s="62" t="s">
        <v>239</v>
      </c>
      <c r="O76" s="62" t="s">
        <v>1378</v>
      </c>
      <c r="P76" s="62" t="s">
        <v>59272</v>
      </c>
      <c r="Q76" s="62" t="s">
        <v>1379</v>
      </c>
      <c r="R76" s="62" t="s">
        <v>240</v>
      </c>
      <c r="S76" s="62" t="s">
        <v>241</v>
      </c>
      <c r="U76" s="62" t="s">
        <v>1380</v>
      </c>
      <c r="V76" s="62" t="s">
        <v>59312</v>
      </c>
      <c r="W76" s="62" t="s">
        <v>1381</v>
      </c>
      <c r="X76" s="62" t="s">
        <v>242</v>
      </c>
      <c r="Y76" s="62" t="s">
        <v>243</v>
      </c>
      <c r="Z76" s="62" t="s">
        <v>1382</v>
      </c>
      <c r="AA76" s="62" t="s">
        <v>59352</v>
      </c>
      <c r="AB76" s="62" t="s">
        <v>1383</v>
      </c>
      <c r="AC76" s="62" t="s">
        <v>244</v>
      </c>
      <c r="AD76" s="62" t="s">
        <v>245</v>
      </c>
    </row>
    <row r="77" spans="1:30" x14ac:dyDescent="0.25">
      <c r="A77" s="62" t="s">
        <v>109</v>
      </c>
      <c r="C77" s="62" t="s">
        <v>629</v>
      </c>
      <c r="F77" s="62" t="s">
        <v>898</v>
      </c>
      <c r="G77" s="62" t="s">
        <v>59193</v>
      </c>
      <c r="J77" s="62" t="s">
        <v>1384</v>
      </c>
      <c r="K77" s="62" t="s">
        <v>59233</v>
      </c>
      <c r="L77" s="62" t="s">
        <v>1385</v>
      </c>
      <c r="M77" s="62" t="s">
        <v>1386</v>
      </c>
      <c r="N77" s="62" t="s">
        <v>1387</v>
      </c>
      <c r="O77" s="62" t="s">
        <v>1388</v>
      </c>
      <c r="P77" s="62" t="s">
        <v>59273</v>
      </c>
      <c r="Q77" s="62" t="s">
        <v>1389</v>
      </c>
      <c r="R77" s="62" t="s">
        <v>1390</v>
      </c>
      <c r="S77" s="62" t="s">
        <v>1391</v>
      </c>
      <c r="U77" s="62" t="s">
        <v>1392</v>
      </c>
      <c r="V77" s="62" t="s">
        <v>59313</v>
      </c>
      <c r="W77" s="62" t="s">
        <v>1393</v>
      </c>
      <c r="X77" s="62" t="s">
        <v>1394</v>
      </c>
      <c r="Y77" s="62" t="s">
        <v>1395</v>
      </c>
      <c r="Z77" s="62" t="s">
        <v>1396</v>
      </c>
      <c r="AA77" s="62" t="s">
        <v>59353</v>
      </c>
      <c r="AB77" s="62" t="s">
        <v>1397</v>
      </c>
      <c r="AC77" s="62" t="s">
        <v>1398</v>
      </c>
      <c r="AD77" s="62" t="s">
        <v>1399</v>
      </c>
    </row>
    <row r="78" spans="1:30" x14ac:dyDescent="0.25">
      <c r="A78" s="62" t="s">
        <v>109</v>
      </c>
      <c r="C78" s="62" t="s">
        <v>630</v>
      </c>
      <c r="F78" s="62" t="s">
        <v>915</v>
      </c>
      <c r="G78" s="62" t="s">
        <v>59194</v>
      </c>
      <c r="J78" s="62" t="s">
        <v>1400</v>
      </c>
      <c r="K78" s="62" t="s">
        <v>59234</v>
      </c>
      <c r="L78" s="62" t="s">
        <v>1401</v>
      </c>
      <c r="M78" s="62" t="s">
        <v>246</v>
      </c>
      <c r="N78" s="62" t="s">
        <v>247</v>
      </c>
      <c r="O78" s="62" t="s">
        <v>1402</v>
      </c>
      <c r="P78" s="62" t="s">
        <v>59274</v>
      </c>
      <c r="Q78" s="62" t="s">
        <v>1403</v>
      </c>
      <c r="R78" s="62" t="s">
        <v>248</v>
      </c>
      <c r="S78" s="62" t="s">
        <v>249</v>
      </c>
      <c r="U78" s="62" t="s">
        <v>1404</v>
      </c>
      <c r="V78" s="62" t="s">
        <v>59314</v>
      </c>
      <c r="W78" s="62" t="s">
        <v>1405</v>
      </c>
      <c r="X78" s="62" t="s">
        <v>250</v>
      </c>
      <c r="Y78" s="62" t="s">
        <v>251</v>
      </c>
      <c r="Z78" s="62" t="s">
        <v>1406</v>
      </c>
      <c r="AA78" s="62" t="s">
        <v>59354</v>
      </c>
      <c r="AB78" s="62" t="s">
        <v>1407</v>
      </c>
      <c r="AC78" s="62" t="s">
        <v>252</v>
      </c>
      <c r="AD78" s="62" t="s">
        <v>253</v>
      </c>
    </row>
    <row r="79" spans="1:30" x14ac:dyDescent="0.25">
      <c r="A79" s="62" t="s">
        <v>109</v>
      </c>
      <c r="C79" s="62" t="s">
        <v>1408</v>
      </c>
      <c r="F79" s="62" t="s">
        <v>925</v>
      </c>
      <c r="G79" s="62" t="s">
        <v>59195</v>
      </c>
      <c r="J79" s="62" t="s">
        <v>1409</v>
      </c>
      <c r="K79" s="62" t="s">
        <v>59235</v>
      </c>
      <c r="L79" s="62" t="s">
        <v>1410</v>
      </c>
      <c r="M79" s="62" t="s">
        <v>1411</v>
      </c>
      <c r="N79" s="62" t="s">
        <v>1412</v>
      </c>
      <c r="O79" s="62" t="s">
        <v>1413</v>
      </c>
      <c r="P79" s="62" t="s">
        <v>59275</v>
      </c>
      <c r="Q79" s="62" t="s">
        <v>1414</v>
      </c>
      <c r="R79" s="62" t="s">
        <v>1415</v>
      </c>
      <c r="S79" s="62" t="s">
        <v>1416</v>
      </c>
      <c r="U79" s="62" t="s">
        <v>1417</v>
      </c>
      <c r="V79" s="62" t="s">
        <v>59315</v>
      </c>
      <c r="W79" s="62" t="s">
        <v>1418</v>
      </c>
      <c r="X79" s="62" t="s">
        <v>1419</v>
      </c>
      <c r="Y79" s="62" t="s">
        <v>1420</v>
      </c>
      <c r="Z79" s="62" t="s">
        <v>1421</v>
      </c>
      <c r="AA79" s="62" t="s">
        <v>59355</v>
      </c>
      <c r="AB79" s="62" t="s">
        <v>1422</v>
      </c>
      <c r="AC79" s="62" t="s">
        <v>1423</v>
      </c>
      <c r="AD79" s="62" t="s">
        <v>1424</v>
      </c>
    </row>
    <row r="80" spans="1:30" x14ac:dyDescent="0.25">
      <c r="A80" s="62" t="s">
        <v>109</v>
      </c>
      <c r="C80" s="62" t="s">
        <v>1425</v>
      </c>
      <c r="F80" s="62" t="s">
        <v>943</v>
      </c>
      <c r="G80" s="62" t="s">
        <v>59196</v>
      </c>
      <c r="J80" s="62" t="s">
        <v>1426</v>
      </c>
      <c r="K80" s="62" t="s">
        <v>59236</v>
      </c>
      <c r="L80" s="62" t="s">
        <v>1427</v>
      </c>
      <c r="M80" s="62" t="s">
        <v>1428</v>
      </c>
      <c r="N80" s="62" t="s">
        <v>1429</v>
      </c>
      <c r="O80" s="62" t="s">
        <v>1430</v>
      </c>
      <c r="P80" s="62" t="s">
        <v>59276</v>
      </c>
      <c r="Q80" s="62" t="s">
        <v>1431</v>
      </c>
      <c r="R80" s="62" t="s">
        <v>1432</v>
      </c>
      <c r="S80" s="62" t="s">
        <v>1433</v>
      </c>
      <c r="U80" s="62" t="s">
        <v>1434</v>
      </c>
      <c r="V80" s="62" t="s">
        <v>59316</v>
      </c>
      <c r="W80" s="62" t="s">
        <v>1435</v>
      </c>
      <c r="X80" s="62" t="s">
        <v>1436</v>
      </c>
      <c r="Y80" s="62" t="s">
        <v>1437</v>
      </c>
      <c r="Z80" s="62" t="s">
        <v>1438</v>
      </c>
      <c r="AA80" s="62" t="s">
        <v>59356</v>
      </c>
      <c r="AB80" s="62" t="s">
        <v>1439</v>
      </c>
      <c r="AC80" s="62" t="s">
        <v>1440</v>
      </c>
      <c r="AD80" s="62" t="s">
        <v>1441</v>
      </c>
    </row>
    <row r="81" spans="1:30" x14ac:dyDescent="0.25">
      <c r="A81" s="62" t="s">
        <v>109</v>
      </c>
      <c r="C81" s="62" t="s">
        <v>631</v>
      </c>
      <c r="F81" s="62" t="s">
        <v>976</v>
      </c>
      <c r="G81" s="62" t="s">
        <v>59197</v>
      </c>
      <c r="J81" s="62" t="s">
        <v>1442</v>
      </c>
      <c r="K81" s="62" t="s">
        <v>59237</v>
      </c>
      <c r="L81" s="62" t="s">
        <v>1443</v>
      </c>
      <c r="M81" s="62" t="s">
        <v>1444</v>
      </c>
      <c r="N81" s="62" t="s">
        <v>1445</v>
      </c>
      <c r="O81" s="62" t="s">
        <v>1446</v>
      </c>
      <c r="P81" s="62" t="s">
        <v>59277</v>
      </c>
      <c r="Q81" s="62" t="s">
        <v>1447</v>
      </c>
      <c r="R81" s="62" t="s">
        <v>1448</v>
      </c>
      <c r="S81" s="62" t="s">
        <v>1449</v>
      </c>
      <c r="U81" s="62" t="s">
        <v>1450</v>
      </c>
      <c r="V81" s="62" t="s">
        <v>59317</v>
      </c>
      <c r="W81" s="62" t="s">
        <v>1451</v>
      </c>
      <c r="X81" s="62" t="s">
        <v>1452</v>
      </c>
      <c r="Y81" s="62" t="s">
        <v>1453</v>
      </c>
      <c r="Z81" s="62" t="s">
        <v>1454</v>
      </c>
      <c r="AA81" s="62" t="s">
        <v>59357</v>
      </c>
      <c r="AB81" s="62" t="s">
        <v>1455</v>
      </c>
      <c r="AC81" s="62" t="s">
        <v>1456</v>
      </c>
      <c r="AD81" s="62" t="s">
        <v>1457</v>
      </c>
    </row>
    <row r="82" spans="1:30" x14ac:dyDescent="0.25">
      <c r="A82" s="62" t="s">
        <v>109</v>
      </c>
      <c r="C82" s="62" t="s">
        <v>632</v>
      </c>
      <c r="F82" s="62" t="s">
        <v>985</v>
      </c>
      <c r="G82" s="62" t="s">
        <v>59198</v>
      </c>
      <c r="J82" s="62" t="s">
        <v>1458</v>
      </c>
      <c r="K82" s="62" t="s">
        <v>59238</v>
      </c>
      <c r="L82" s="62" t="s">
        <v>1459</v>
      </c>
      <c r="M82" s="62" t="s">
        <v>255</v>
      </c>
      <c r="N82" s="62" t="s">
        <v>256</v>
      </c>
      <c r="O82" s="62" t="s">
        <v>1460</v>
      </c>
      <c r="P82" s="62" t="s">
        <v>59278</v>
      </c>
      <c r="Q82" s="62" t="s">
        <v>1461</v>
      </c>
      <c r="R82" s="62" t="s">
        <v>257</v>
      </c>
      <c r="S82" s="62" t="s">
        <v>258</v>
      </c>
      <c r="U82" s="62" t="s">
        <v>1462</v>
      </c>
      <c r="V82" s="62" t="s">
        <v>59318</v>
      </c>
      <c r="W82" s="62" t="s">
        <v>1463</v>
      </c>
      <c r="X82" s="62" t="s">
        <v>259</v>
      </c>
      <c r="Y82" s="62" t="s">
        <v>260</v>
      </c>
      <c r="Z82" s="62" t="s">
        <v>1464</v>
      </c>
      <c r="AA82" s="62" t="s">
        <v>59358</v>
      </c>
      <c r="AB82" s="62" t="s">
        <v>1465</v>
      </c>
      <c r="AC82" s="62" t="s">
        <v>261</v>
      </c>
      <c r="AD82" s="62" t="s">
        <v>262</v>
      </c>
    </row>
    <row r="83" spans="1:30" x14ac:dyDescent="0.25">
      <c r="A83" s="62" t="s">
        <v>109</v>
      </c>
      <c r="C83" s="62" t="s">
        <v>633</v>
      </c>
      <c r="F83" s="62" t="s">
        <v>1002</v>
      </c>
      <c r="G83" s="62" t="s">
        <v>59199</v>
      </c>
      <c r="J83" s="62" t="s">
        <v>1466</v>
      </c>
      <c r="K83" s="62" t="s">
        <v>59239</v>
      </c>
      <c r="L83" s="62" t="s">
        <v>1467</v>
      </c>
      <c r="M83" s="62" t="s">
        <v>1468</v>
      </c>
      <c r="N83" s="62" t="s">
        <v>1469</v>
      </c>
      <c r="O83" s="62" t="s">
        <v>1470</v>
      </c>
      <c r="P83" s="62" t="s">
        <v>59279</v>
      </c>
      <c r="Q83" s="62" t="s">
        <v>1471</v>
      </c>
      <c r="R83" s="62" t="s">
        <v>1472</v>
      </c>
      <c r="S83" s="62" t="s">
        <v>1473</v>
      </c>
      <c r="U83" s="62" t="s">
        <v>1474</v>
      </c>
      <c r="V83" s="62" t="s">
        <v>59319</v>
      </c>
      <c r="W83" s="62" t="s">
        <v>1475</v>
      </c>
      <c r="X83" s="62" t="s">
        <v>1476</v>
      </c>
      <c r="Y83" s="62" t="s">
        <v>1477</v>
      </c>
      <c r="Z83" s="62" t="s">
        <v>1478</v>
      </c>
      <c r="AA83" s="62" t="s">
        <v>59359</v>
      </c>
      <c r="AB83" s="62" t="s">
        <v>1479</v>
      </c>
      <c r="AC83" s="62" t="s">
        <v>1480</v>
      </c>
      <c r="AD83" s="62" t="s">
        <v>1481</v>
      </c>
    </row>
    <row r="84" spans="1:30" x14ac:dyDescent="0.25">
      <c r="A84" s="62" t="s">
        <v>109</v>
      </c>
      <c r="C84" s="62" t="s">
        <v>634</v>
      </c>
      <c r="F84" s="62" t="s">
        <v>1012</v>
      </c>
      <c r="G84" s="62" t="s">
        <v>59200</v>
      </c>
      <c r="J84" s="62" t="s">
        <v>1482</v>
      </c>
      <c r="K84" s="62" t="s">
        <v>59240</v>
      </c>
      <c r="L84" s="62" t="s">
        <v>1483</v>
      </c>
      <c r="M84" s="62" t="s">
        <v>263</v>
      </c>
      <c r="N84" s="62" t="s">
        <v>264</v>
      </c>
      <c r="O84" s="62" t="s">
        <v>1484</v>
      </c>
      <c r="P84" s="62" t="s">
        <v>59280</v>
      </c>
      <c r="Q84" s="62" t="s">
        <v>1485</v>
      </c>
      <c r="R84" s="62" t="s">
        <v>265</v>
      </c>
      <c r="S84" s="62" t="s">
        <v>266</v>
      </c>
      <c r="U84" s="62" t="s">
        <v>1486</v>
      </c>
      <c r="V84" s="62" t="s">
        <v>59320</v>
      </c>
      <c r="W84" s="62" t="s">
        <v>1487</v>
      </c>
      <c r="X84" s="62" t="s">
        <v>267</v>
      </c>
      <c r="Y84" s="62" t="s">
        <v>268</v>
      </c>
      <c r="Z84" s="62" t="s">
        <v>1488</v>
      </c>
      <c r="AA84" s="62" t="s">
        <v>59360</v>
      </c>
      <c r="AB84" s="62" t="s">
        <v>1489</v>
      </c>
      <c r="AC84" s="62" t="s">
        <v>269</v>
      </c>
      <c r="AD84" s="62" t="s">
        <v>270</v>
      </c>
    </row>
    <row r="85" spans="1:30" x14ac:dyDescent="0.25">
      <c r="A85" s="62" t="s">
        <v>109</v>
      </c>
      <c r="C85" s="62" t="s">
        <v>1490</v>
      </c>
      <c r="F85" s="62" t="s">
        <v>1047</v>
      </c>
      <c r="G85" s="62" t="s">
        <v>59201</v>
      </c>
      <c r="J85" s="62" t="s">
        <v>1491</v>
      </c>
      <c r="K85" s="62" t="s">
        <v>59241</v>
      </c>
      <c r="L85" s="62" t="s">
        <v>1492</v>
      </c>
      <c r="M85" s="62" t="s">
        <v>1493</v>
      </c>
      <c r="N85" s="62" t="s">
        <v>1494</v>
      </c>
      <c r="O85" s="62" t="s">
        <v>1495</v>
      </c>
      <c r="P85" s="62" t="s">
        <v>59281</v>
      </c>
      <c r="Q85" s="62" t="s">
        <v>1496</v>
      </c>
      <c r="R85" s="62" t="s">
        <v>1497</v>
      </c>
      <c r="S85" s="62" t="s">
        <v>1498</v>
      </c>
      <c r="U85" s="62" t="s">
        <v>1499</v>
      </c>
      <c r="V85" s="62" t="s">
        <v>59321</v>
      </c>
      <c r="W85" s="62" t="s">
        <v>1500</v>
      </c>
      <c r="X85" s="62" t="s">
        <v>1501</v>
      </c>
      <c r="Y85" s="62" t="s">
        <v>1502</v>
      </c>
      <c r="Z85" s="62" t="s">
        <v>1503</v>
      </c>
      <c r="AA85" s="62" t="s">
        <v>59361</v>
      </c>
      <c r="AB85" s="62" t="s">
        <v>1504</v>
      </c>
      <c r="AC85" s="62" t="s">
        <v>1505</v>
      </c>
      <c r="AD85" s="62" t="s">
        <v>1506</v>
      </c>
    </row>
    <row r="86" spans="1:30" x14ac:dyDescent="0.25">
      <c r="A86" s="62" t="s">
        <v>109</v>
      </c>
      <c r="C86" s="62" t="s">
        <v>1507</v>
      </c>
      <c r="F86" s="62" t="s">
        <v>1073</v>
      </c>
      <c r="G86" s="62" t="s">
        <v>59202</v>
      </c>
      <c r="J86" s="62" t="s">
        <v>1508</v>
      </c>
      <c r="K86" s="62" t="s">
        <v>59242</v>
      </c>
      <c r="L86" s="62" t="s">
        <v>1509</v>
      </c>
      <c r="M86" s="62" t="s">
        <v>1510</v>
      </c>
      <c r="N86" s="62" t="s">
        <v>1511</v>
      </c>
      <c r="O86" s="62" t="s">
        <v>1512</v>
      </c>
      <c r="P86" s="62" t="s">
        <v>59282</v>
      </c>
      <c r="Q86" s="62" t="s">
        <v>1513</v>
      </c>
      <c r="R86" s="62" t="s">
        <v>1514</v>
      </c>
      <c r="S86" s="62" t="s">
        <v>1515</v>
      </c>
      <c r="U86" s="62" t="s">
        <v>1516</v>
      </c>
      <c r="V86" s="62" t="s">
        <v>59322</v>
      </c>
      <c r="W86" s="62" t="s">
        <v>1517</v>
      </c>
      <c r="X86" s="62" t="s">
        <v>1518</v>
      </c>
      <c r="Y86" s="62" t="s">
        <v>1519</v>
      </c>
      <c r="Z86" s="62" t="s">
        <v>1520</v>
      </c>
      <c r="AA86" s="62" t="s">
        <v>59362</v>
      </c>
      <c r="AB86" s="62" t="s">
        <v>1521</v>
      </c>
      <c r="AC86" s="62" t="s">
        <v>1522</v>
      </c>
      <c r="AD86" s="62" t="s">
        <v>1523</v>
      </c>
    </row>
    <row r="87" spans="1:30" x14ac:dyDescent="0.25">
      <c r="A87" s="62" t="s">
        <v>109</v>
      </c>
      <c r="C87" s="62" t="s">
        <v>635</v>
      </c>
      <c r="F87" s="62" t="s">
        <v>1090</v>
      </c>
      <c r="G87" s="62" t="s">
        <v>59203</v>
      </c>
      <c r="J87" s="62" t="s">
        <v>1524</v>
      </c>
      <c r="K87" s="62" t="s">
        <v>59243</v>
      </c>
      <c r="L87" s="62" t="s">
        <v>1525</v>
      </c>
      <c r="M87" s="62" t="s">
        <v>1526</v>
      </c>
      <c r="N87" s="62" t="s">
        <v>1527</v>
      </c>
      <c r="O87" s="62" t="s">
        <v>1528</v>
      </c>
      <c r="P87" s="62" t="s">
        <v>59283</v>
      </c>
      <c r="Q87" s="62" t="s">
        <v>1529</v>
      </c>
      <c r="R87" s="62" t="s">
        <v>1530</v>
      </c>
      <c r="S87" s="62" t="s">
        <v>1531</v>
      </c>
      <c r="U87" s="62" t="s">
        <v>1532</v>
      </c>
      <c r="V87" s="62" t="s">
        <v>59323</v>
      </c>
      <c r="W87" s="62" t="s">
        <v>1533</v>
      </c>
      <c r="X87" s="62" t="s">
        <v>1534</v>
      </c>
      <c r="Y87" s="62" t="s">
        <v>1535</v>
      </c>
      <c r="Z87" s="62" t="s">
        <v>1536</v>
      </c>
      <c r="AA87" s="62" t="s">
        <v>59363</v>
      </c>
      <c r="AB87" s="62" t="s">
        <v>1537</v>
      </c>
      <c r="AC87" s="62" t="s">
        <v>1538</v>
      </c>
      <c r="AD87" s="62" t="s">
        <v>1539</v>
      </c>
    </row>
    <row r="88" spans="1:30" x14ac:dyDescent="0.25">
      <c r="A88" s="62" t="s">
        <v>109</v>
      </c>
      <c r="C88" s="62" t="s">
        <v>636</v>
      </c>
      <c r="F88" s="62" t="s">
        <v>1100</v>
      </c>
      <c r="G88" s="62" t="s">
        <v>59204</v>
      </c>
      <c r="J88" s="62" t="s">
        <v>1540</v>
      </c>
      <c r="K88" s="62" t="s">
        <v>59244</v>
      </c>
      <c r="L88" s="62" t="s">
        <v>1541</v>
      </c>
      <c r="M88" s="62" t="s">
        <v>272</v>
      </c>
      <c r="N88" s="62" t="s">
        <v>273</v>
      </c>
      <c r="O88" s="62" t="s">
        <v>1542</v>
      </c>
      <c r="P88" s="62" t="s">
        <v>59284</v>
      </c>
      <c r="Q88" s="62" t="s">
        <v>1543</v>
      </c>
      <c r="R88" s="62" t="s">
        <v>274</v>
      </c>
      <c r="S88" s="62" t="s">
        <v>275</v>
      </c>
      <c r="U88" s="62" t="s">
        <v>1544</v>
      </c>
      <c r="V88" s="62" t="s">
        <v>59324</v>
      </c>
      <c r="W88" s="62" t="s">
        <v>1545</v>
      </c>
      <c r="X88" s="62" t="s">
        <v>276</v>
      </c>
      <c r="Y88" s="62" t="s">
        <v>277</v>
      </c>
      <c r="Z88" s="62" t="s">
        <v>1546</v>
      </c>
      <c r="AA88" s="62" t="s">
        <v>59364</v>
      </c>
      <c r="AB88" s="62" t="s">
        <v>1547</v>
      </c>
      <c r="AC88" s="62" t="s">
        <v>278</v>
      </c>
      <c r="AD88" s="62" t="s">
        <v>279</v>
      </c>
    </row>
    <row r="89" spans="1:30" x14ac:dyDescent="0.25">
      <c r="A89" s="62" t="s">
        <v>109</v>
      </c>
      <c r="C89" s="62" t="s">
        <v>637</v>
      </c>
      <c r="F89" s="62" t="s">
        <v>1118</v>
      </c>
      <c r="G89" s="62" t="s">
        <v>59205</v>
      </c>
      <c r="J89" s="62" t="s">
        <v>1548</v>
      </c>
      <c r="K89" s="62" t="s">
        <v>59245</v>
      </c>
      <c r="L89" s="62" t="s">
        <v>1549</v>
      </c>
      <c r="M89" s="62" t="s">
        <v>1550</v>
      </c>
      <c r="N89" s="62" t="s">
        <v>1551</v>
      </c>
      <c r="O89" s="62" t="s">
        <v>1552</v>
      </c>
      <c r="P89" s="62" t="s">
        <v>59285</v>
      </c>
      <c r="Q89" s="62" t="s">
        <v>1553</v>
      </c>
      <c r="R89" s="62" t="s">
        <v>1554</v>
      </c>
      <c r="S89" s="62" t="s">
        <v>1555</v>
      </c>
      <c r="U89" s="62" t="s">
        <v>1556</v>
      </c>
      <c r="V89" s="62" t="s">
        <v>59325</v>
      </c>
      <c r="W89" s="62" t="s">
        <v>1557</v>
      </c>
      <c r="X89" s="62" t="s">
        <v>1558</v>
      </c>
      <c r="Y89" s="62" t="s">
        <v>1559</v>
      </c>
      <c r="Z89" s="62" t="s">
        <v>1560</v>
      </c>
      <c r="AA89" s="62" t="s">
        <v>59365</v>
      </c>
      <c r="AB89" s="62" t="s">
        <v>1561</v>
      </c>
      <c r="AC89" s="62" t="s">
        <v>1562</v>
      </c>
      <c r="AD89" s="62" t="s">
        <v>1563</v>
      </c>
    </row>
    <row r="90" spans="1:30" x14ac:dyDescent="0.25">
      <c r="A90" s="62" t="s">
        <v>109</v>
      </c>
      <c r="C90" s="62" t="s">
        <v>638</v>
      </c>
      <c r="F90" s="62" t="s">
        <v>1135</v>
      </c>
      <c r="G90" s="62" t="s">
        <v>59206</v>
      </c>
      <c r="J90" s="62" t="s">
        <v>1564</v>
      </c>
      <c r="K90" s="62" t="s">
        <v>59246</v>
      </c>
      <c r="L90" s="62" t="s">
        <v>1565</v>
      </c>
      <c r="M90" s="62" t="s">
        <v>280</v>
      </c>
      <c r="N90" s="62" t="s">
        <v>281</v>
      </c>
      <c r="O90" s="62" t="s">
        <v>1566</v>
      </c>
      <c r="P90" s="62" t="s">
        <v>59286</v>
      </c>
      <c r="Q90" s="62" t="s">
        <v>1567</v>
      </c>
      <c r="R90" s="62" t="s">
        <v>282</v>
      </c>
      <c r="S90" s="62" t="s">
        <v>283</v>
      </c>
      <c r="U90" s="62" t="s">
        <v>1568</v>
      </c>
      <c r="V90" s="62" t="s">
        <v>59326</v>
      </c>
      <c r="W90" s="62" t="s">
        <v>1569</v>
      </c>
      <c r="X90" s="62" t="s">
        <v>284</v>
      </c>
      <c r="Y90" s="62" t="s">
        <v>285</v>
      </c>
      <c r="Z90" s="62" t="s">
        <v>1570</v>
      </c>
      <c r="AA90" s="62" t="s">
        <v>59366</v>
      </c>
      <c r="AB90" s="62" t="s">
        <v>1571</v>
      </c>
      <c r="AC90" s="62" t="s">
        <v>286</v>
      </c>
      <c r="AD90" s="62" t="s">
        <v>287</v>
      </c>
    </row>
    <row r="91" spans="1:30" x14ac:dyDescent="0.25">
      <c r="A91" s="62" t="s">
        <v>109</v>
      </c>
      <c r="C91" s="62" t="s">
        <v>1572</v>
      </c>
      <c r="F91" s="62" t="s">
        <v>1152</v>
      </c>
      <c r="G91" s="62" t="s">
        <v>59207</v>
      </c>
      <c r="J91" s="62" t="s">
        <v>1573</v>
      </c>
      <c r="K91" s="62" t="s">
        <v>59247</v>
      </c>
      <c r="L91" s="62" t="s">
        <v>1574</v>
      </c>
      <c r="M91" s="62" t="s">
        <v>1575</v>
      </c>
      <c r="N91" s="62" t="s">
        <v>1576</v>
      </c>
      <c r="O91" s="62" t="s">
        <v>1577</v>
      </c>
      <c r="P91" s="62" t="s">
        <v>59287</v>
      </c>
      <c r="Q91" s="62" t="s">
        <v>1578</v>
      </c>
      <c r="R91" s="62" t="s">
        <v>1579</v>
      </c>
      <c r="S91" s="62" t="s">
        <v>1580</v>
      </c>
      <c r="U91" s="62" t="s">
        <v>1581</v>
      </c>
      <c r="V91" s="62" t="s">
        <v>59327</v>
      </c>
      <c r="W91" s="62" t="s">
        <v>1582</v>
      </c>
      <c r="X91" s="62" t="s">
        <v>1583</v>
      </c>
      <c r="Y91" s="62" t="s">
        <v>1584</v>
      </c>
      <c r="Z91" s="62" t="s">
        <v>1585</v>
      </c>
      <c r="AA91" s="62" t="s">
        <v>59367</v>
      </c>
      <c r="AB91" s="62" t="s">
        <v>1586</v>
      </c>
      <c r="AC91" s="62" t="s">
        <v>1587</v>
      </c>
      <c r="AD91" s="62" t="s">
        <v>1588</v>
      </c>
    </row>
    <row r="92" spans="1:30" x14ac:dyDescent="0.25">
      <c r="A92" s="62" t="s">
        <v>109</v>
      </c>
      <c r="C92" s="62" t="s">
        <v>1589</v>
      </c>
      <c r="F92" s="62" t="s">
        <v>1688</v>
      </c>
      <c r="G92" s="62" t="s">
        <v>59208</v>
      </c>
      <c r="J92" s="62" t="s">
        <v>1590</v>
      </c>
      <c r="K92" s="62" t="s">
        <v>59248</v>
      </c>
      <c r="L92" s="62" t="s">
        <v>1591</v>
      </c>
      <c r="M92" s="62" t="s">
        <v>1592</v>
      </c>
      <c r="N92" s="62" t="s">
        <v>1593</v>
      </c>
      <c r="O92" s="62" t="s">
        <v>1594</v>
      </c>
      <c r="P92" s="62" t="s">
        <v>59288</v>
      </c>
      <c r="Q92" s="62" t="s">
        <v>1595</v>
      </c>
      <c r="R92" s="62" t="s">
        <v>1596</v>
      </c>
      <c r="S92" s="62" t="s">
        <v>1597</v>
      </c>
      <c r="U92" s="62" t="s">
        <v>1598</v>
      </c>
      <c r="V92" s="62" t="s">
        <v>59328</v>
      </c>
      <c r="W92" s="62" t="s">
        <v>1599</v>
      </c>
      <c r="X92" s="62" t="s">
        <v>1600</v>
      </c>
      <c r="Y92" s="62" t="s">
        <v>1601</v>
      </c>
      <c r="Z92" s="62" t="s">
        <v>1602</v>
      </c>
      <c r="AA92" s="62" t="s">
        <v>59368</v>
      </c>
      <c r="AB92" s="62" t="s">
        <v>1603</v>
      </c>
      <c r="AC92" s="62" t="s">
        <v>1604</v>
      </c>
      <c r="AD92" s="62" t="s">
        <v>1605</v>
      </c>
    </row>
    <row r="93" spans="1:30" x14ac:dyDescent="0.25">
      <c r="A93" s="62" t="s">
        <v>109</v>
      </c>
      <c r="C93" s="62" t="s">
        <v>639</v>
      </c>
      <c r="F93" s="62" t="s">
        <v>1161</v>
      </c>
      <c r="G93" s="62" t="s">
        <v>59209</v>
      </c>
      <c r="J93" s="62" t="s">
        <v>1606</v>
      </c>
      <c r="K93" s="62" t="s">
        <v>59249</v>
      </c>
      <c r="L93" s="62" t="s">
        <v>1607</v>
      </c>
      <c r="M93" s="62" t="s">
        <v>1608</v>
      </c>
      <c r="N93" s="62" t="s">
        <v>1609</v>
      </c>
      <c r="O93" s="62" t="s">
        <v>1610</v>
      </c>
      <c r="P93" s="62" t="s">
        <v>59289</v>
      </c>
      <c r="Q93" s="62" t="s">
        <v>1611</v>
      </c>
      <c r="R93" s="62" t="s">
        <v>1612</v>
      </c>
      <c r="S93" s="62" t="s">
        <v>1613</v>
      </c>
      <c r="U93" s="62" t="s">
        <v>1614</v>
      </c>
      <c r="V93" s="62" t="s">
        <v>59329</v>
      </c>
      <c r="W93" s="62" t="s">
        <v>1615</v>
      </c>
      <c r="X93" s="62" t="s">
        <v>1616</v>
      </c>
      <c r="Y93" s="62" t="s">
        <v>1617</v>
      </c>
      <c r="Z93" s="62" t="s">
        <v>1618</v>
      </c>
      <c r="AA93" s="62" t="s">
        <v>59369</v>
      </c>
      <c r="AB93" s="62" t="s">
        <v>1619</v>
      </c>
      <c r="AC93" s="62" t="s">
        <v>1620</v>
      </c>
      <c r="AD93" s="62" t="s">
        <v>1621</v>
      </c>
    </row>
    <row r="94" spans="1:30" x14ac:dyDescent="0.25">
      <c r="A94" s="62" t="s">
        <v>109</v>
      </c>
      <c r="C94" s="62" t="s">
        <v>640</v>
      </c>
      <c r="F94" s="62" t="s">
        <v>1188</v>
      </c>
      <c r="G94" s="62" t="s">
        <v>59210</v>
      </c>
      <c r="J94" s="62" t="s">
        <v>1622</v>
      </c>
      <c r="K94" s="62" t="s">
        <v>59250</v>
      </c>
      <c r="L94" s="62" t="s">
        <v>1623</v>
      </c>
      <c r="M94" s="62" t="s">
        <v>289</v>
      </c>
      <c r="N94" s="62" t="s">
        <v>290</v>
      </c>
      <c r="O94" s="62" t="s">
        <v>1624</v>
      </c>
      <c r="P94" s="62" t="s">
        <v>59290</v>
      </c>
      <c r="Q94" s="62" t="s">
        <v>1625</v>
      </c>
      <c r="R94" s="62" t="s">
        <v>291</v>
      </c>
      <c r="S94" s="62" t="s">
        <v>292</v>
      </c>
      <c r="U94" s="62" t="s">
        <v>1626</v>
      </c>
      <c r="V94" s="62" t="s">
        <v>59330</v>
      </c>
      <c r="W94" s="62" t="s">
        <v>1627</v>
      </c>
      <c r="X94" s="62" t="s">
        <v>293</v>
      </c>
      <c r="Y94" s="62" t="s">
        <v>294</v>
      </c>
      <c r="Z94" s="62" t="s">
        <v>1628</v>
      </c>
      <c r="AA94" s="62" t="s">
        <v>59370</v>
      </c>
      <c r="AB94" s="62" t="s">
        <v>1629</v>
      </c>
      <c r="AC94" s="62" t="s">
        <v>295</v>
      </c>
      <c r="AD94" s="62" t="s">
        <v>296</v>
      </c>
    </row>
    <row r="95" spans="1:30" x14ac:dyDescent="0.25">
      <c r="A95" s="62" t="s">
        <v>109</v>
      </c>
      <c r="C95" s="62" t="s">
        <v>641</v>
      </c>
      <c r="F95" s="62" t="s">
        <v>1206</v>
      </c>
      <c r="G95" s="62" t="s">
        <v>59211</v>
      </c>
      <c r="J95" s="62" t="s">
        <v>1630</v>
      </c>
      <c r="K95" s="62" t="s">
        <v>59251</v>
      </c>
      <c r="L95" s="62" t="s">
        <v>1631</v>
      </c>
      <c r="M95" s="62" t="s">
        <v>1632</v>
      </c>
      <c r="N95" s="62" t="s">
        <v>1633</v>
      </c>
      <c r="O95" s="62" t="s">
        <v>1634</v>
      </c>
      <c r="P95" s="62" t="s">
        <v>59291</v>
      </c>
      <c r="Q95" s="62" t="s">
        <v>1635</v>
      </c>
      <c r="R95" s="62" t="s">
        <v>1636</v>
      </c>
      <c r="S95" s="62" t="s">
        <v>1637</v>
      </c>
      <c r="U95" s="62" t="s">
        <v>1638</v>
      </c>
      <c r="V95" s="62" t="s">
        <v>59331</v>
      </c>
      <c r="W95" s="62" t="s">
        <v>1639</v>
      </c>
      <c r="X95" s="62" t="s">
        <v>1640</v>
      </c>
      <c r="Y95" s="62" t="s">
        <v>1641</v>
      </c>
      <c r="Z95" s="62" t="s">
        <v>1642</v>
      </c>
      <c r="AA95" s="62" t="s">
        <v>59371</v>
      </c>
      <c r="AB95" s="62" t="s">
        <v>1643</v>
      </c>
      <c r="AC95" s="62" t="s">
        <v>1644</v>
      </c>
      <c r="AD95" s="62" t="s">
        <v>1645</v>
      </c>
    </row>
    <row r="96" spans="1:30" x14ac:dyDescent="0.25">
      <c r="A96" s="62" t="s">
        <v>109</v>
      </c>
      <c r="C96" s="62" t="s">
        <v>642</v>
      </c>
      <c r="F96" s="62" t="s">
        <v>1223</v>
      </c>
      <c r="G96" s="62" t="s">
        <v>59212</v>
      </c>
      <c r="J96" s="62" t="s">
        <v>1646</v>
      </c>
      <c r="K96" s="62" t="s">
        <v>59252</v>
      </c>
      <c r="L96" s="62" t="s">
        <v>1647</v>
      </c>
      <c r="M96" s="62" t="s">
        <v>297</v>
      </c>
      <c r="N96" s="62" t="s">
        <v>298</v>
      </c>
      <c r="O96" s="62" t="s">
        <v>1648</v>
      </c>
      <c r="P96" s="62" t="s">
        <v>59292</v>
      </c>
      <c r="Q96" s="62" t="s">
        <v>1649</v>
      </c>
      <c r="R96" s="62" t="s">
        <v>299</v>
      </c>
      <c r="S96" s="62" t="s">
        <v>300</v>
      </c>
      <c r="U96" s="62" t="s">
        <v>1650</v>
      </c>
      <c r="V96" s="62" t="s">
        <v>59332</v>
      </c>
      <c r="W96" s="62" t="s">
        <v>1651</v>
      </c>
      <c r="X96" s="62" t="s">
        <v>301</v>
      </c>
      <c r="Y96" s="62" t="s">
        <v>302</v>
      </c>
      <c r="Z96" s="62" t="s">
        <v>1652</v>
      </c>
      <c r="AA96" s="62" t="s">
        <v>59372</v>
      </c>
      <c r="AB96" s="62" t="s">
        <v>1653</v>
      </c>
      <c r="AC96" s="62" t="s">
        <v>303</v>
      </c>
      <c r="AD96" s="62" t="s">
        <v>304</v>
      </c>
    </row>
    <row r="97" spans="1:30" x14ac:dyDescent="0.25">
      <c r="A97" s="62" t="s">
        <v>109</v>
      </c>
      <c r="C97" s="62" t="s">
        <v>1654</v>
      </c>
      <c r="F97" s="62" t="s">
        <v>1240</v>
      </c>
      <c r="G97" s="62" t="s">
        <v>59213</v>
      </c>
      <c r="J97" s="62" t="s">
        <v>1655</v>
      </c>
      <c r="K97" s="62" t="s">
        <v>59253</v>
      </c>
      <c r="L97" s="62" t="s">
        <v>1656</v>
      </c>
      <c r="M97" s="62" t="s">
        <v>1657</v>
      </c>
      <c r="N97" s="62" t="s">
        <v>1658</v>
      </c>
      <c r="O97" s="62" t="s">
        <v>1659</v>
      </c>
      <c r="P97" s="62" t="s">
        <v>59293</v>
      </c>
      <c r="Q97" s="62" t="s">
        <v>1660</v>
      </c>
      <c r="R97" s="62" t="s">
        <v>1661</v>
      </c>
      <c r="S97" s="62" t="s">
        <v>1662</v>
      </c>
      <c r="U97" s="62" t="s">
        <v>1663</v>
      </c>
      <c r="V97" s="62" t="s">
        <v>59333</v>
      </c>
      <c r="W97" s="62" t="s">
        <v>1664</v>
      </c>
      <c r="X97" s="62" t="s">
        <v>1665</v>
      </c>
      <c r="Y97" s="62" t="s">
        <v>1666</v>
      </c>
      <c r="Z97" s="62" t="s">
        <v>1667</v>
      </c>
      <c r="AA97" s="62" t="s">
        <v>59373</v>
      </c>
      <c r="AB97" s="62" t="s">
        <v>1668</v>
      </c>
      <c r="AC97" s="62" t="s">
        <v>1669</v>
      </c>
      <c r="AD97" s="62" t="s">
        <v>1670</v>
      </c>
    </row>
    <row r="98" spans="1:30" x14ac:dyDescent="0.25">
      <c r="A98" s="62" t="s">
        <v>109</v>
      </c>
      <c r="C98" s="62" t="s">
        <v>1671</v>
      </c>
      <c r="F98" s="62" t="s">
        <v>1249</v>
      </c>
      <c r="G98" s="62" t="s">
        <v>59214</v>
      </c>
      <c r="J98" s="62" t="s">
        <v>1672</v>
      </c>
      <c r="K98" s="62" t="s">
        <v>59254</v>
      </c>
      <c r="L98" s="62" t="s">
        <v>1673</v>
      </c>
      <c r="M98" s="62" t="s">
        <v>1674</v>
      </c>
      <c r="N98" s="62" t="s">
        <v>1675</v>
      </c>
      <c r="O98" s="62" t="s">
        <v>1676</v>
      </c>
      <c r="P98" s="62" t="s">
        <v>59294</v>
      </c>
      <c r="Q98" s="62" t="s">
        <v>1677</v>
      </c>
      <c r="R98" s="62" t="s">
        <v>1678</v>
      </c>
      <c r="S98" s="62" t="s">
        <v>1679</v>
      </c>
      <c r="U98" s="62" t="s">
        <v>1680</v>
      </c>
      <c r="V98" s="62" t="s">
        <v>59334</v>
      </c>
      <c r="W98" s="62" t="s">
        <v>1681</v>
      </c>
      <c r="X98" s="62" t="s">
        <v>1682</v>
      </c>
      <c r="Y98" s="62" t="s">
        <v>1683</v>
      </c>
      <c r="Z98" s="62" t="s">
        <v>1684</v>
      </c>
      <c r="AA98" s="62" t="s">
        <v>59374</v>
      </c>
      <c r="AB98" s="62" t="s">
        <v>1685</v>
      </c>
      <c r="AC98" s="62" t="s">
        <v>1686</v>
      </c>
      <c r="AD98" s="62" t="s">
        <v>1687</v>
      </c>
    </row>
    <row r="99" spans="1:30" x14ac:dyDescent="0.25">
      <c r="A99" s="62" t="s">
        <v>109</v>
      </c>
      <c r="C99" s="62" t="s">
        <v>643</v>
      </c>
      <c r="F99" s="62" t="s">
        <v>1266</v>
      </c>
      <c r="G99" s="62" t="s">
        <v>59215</v>
      </c>
      <c r="J99" s="62" t="s">
        <v>1689</v>
      </c>
      <c r="K99" s="62" t="s">
        <v>59255</v>
      </c>
      <c r="L99" s="62" t="s">
        <v>1690</v>
      </c>
      <c r="M99" s="62" t="s">
        <v>1691</v>
      </c>
      <c r="N99" s="62" t="s">
        <v>1692</v>
      </c>
      <c r="O99" s="62" t="s">
        <v>1693</v>
      </c>
      <c r="P99" s="62" t="s">
        <v>59295</v>
      </c>
      <c r="Q99" s="62" t="s">
        <v>1694</v>
      </c>
      <c r="R99" s="62" t="s">
        <v>1695</v>
      </c>
      <c r="S99" s="62" t="s">
        <v>1696</v>
      </c>
      <c r="U99" s="62" t="s">
        <v>1697</v>
      </c>
      <c r="V99" s="62" t="s">
        <v>59335</v>
      </c>
      <c r="W99" s="62" t="s">
        <v>1698</v>
      </c>
      <c r="X99" s="62" t="s">
        <v>1699</v>
      </c>
      <c r="Y99" s="62" t="s">
        <v>1700</v>
      </c>
      <c r="Z99" s="62" t="s">
        <v>1701</v>
      </c>
      <c r="AA99" s="62" t="s">
        <v>59375</v>
      </c>
      <c r="AB99" s="62" t="s">
        <v>1702</v>
      </c>
      <c r="AC99" s="62" t="s">
        <v>1703</v>
      </c>
      <c r="AD99" s="62" t="s">
        <v>1704</v>
      </c>
    </row>
    <row r="100" spans="1:30" x14ac:dyDescent="0.25">
      <c r="A100" s="62" t="s">
        <v>109</v>
      </c>
      <c r="C100" s="62" t="s">
        <v>644</v>
      </c>
      <c r="F100" s="62" t="s">
        <v>1275</v>
      </c>
      <c r="G100" s="62" t="s">
        <v>59216</v>
      </c>
      <c r="J100" s="62" t="s">
        <v>1705</v>
      </c>
      <c r="K100" s="62" t="s">
        <v>59256</v>
      </c>
      <c r="L100" s="62" t="s">
        <v>1706</v>
      </c>
      <c r="M100" s="62" t="s">
        <v>306</v>
      </c>
      <c r="N100" s="62" t="s">
        <v>307</v>
      </c>
      <c r="O100" s="62" t="s">
        <v>1707</v>
      </c>
      <c r="P100" s="62" t="s">
        <v>59296</v>
      </c>
      <c r="Q100" s="62" t="s">
        <v>1708</v>
      </c>
      <c r="R100" s="62" t="s">
        <v>308</v>
      </c>
      <c r="S100" s="62" t="s">
        <v>309</v>
      </c>
      <c r="U100" s="62" t="s">
        <v>1709</v>
      </c>
      <c r="V100" s="62" t="s">
        <v>59336</v>
      </c>
      <c r="W100" s="62" t="s">
        <v>1710</v>
      </c>
      <c r="X100" s="62" t="s">
        <v>310</v>
      </c>
      <c r="Y100" s="62" t="s">
        <v>311</v>
      </c>
      <c r="Z100" s="62" t="s">
        <v>1711</v>
      </c>
      <c r="AA100" s="62" t="s">
        <v>59376</v>
      </c>
      <c r="AB100" s="62" t="s">
        <v>1712</v>
      </c>
      <c r="AC100" s="62" t="s">
        <v>312</v>
      </c>
      <c r="AD100" s="62" t="s">
        <v>313</v>
      </c>
    </row>
    <row r="101" spans="1:30" x14ac:dyDescent="0.25">
      <c r="A101" s="62" t="s">
        <v>109</v>
      </c>
      <c r="C101" s="62" t="s">
        <v>645</v>
      </c>
      <c r="F101" s="62" t="s">
        <v>1795</v>
      </c>
      <c r="G101" s="62" t="s">
        <v>59217</v>
      </c>
      <c r="J101" s="62" t="s">
        <v>1713</v>
      </c>
      <c r="K101" s="62" t="s">
        <v>59257</v>
      </c>
      <c r="L101" s="62" t="s">
        <v>1714</v>
      </c>
      <c r="M101" s="62" t="s">
        <v>1715</v>
      </c>
      <c r="N101" s="62" t="s">
        <v>1716</v>
      </c>
      <c r="O101" s="62" t="s">
        <v>1717</v>
      </c>
      <c r="P101" s="62" t="s">
        <v>59297</v>
      </c>
      <c r="Q101" s="62" t="s">
        <v>1718</v>
      </c>
      <c r="R101" s="62" t="s">
        <v>1719</v>
      </c>
      <c r="S101" s="62" t="s">
        <v>1720</v>
      </c>
      <c r="U101" s="62" t="s">
        <v>1721</v>
      </c>
      <c r="V101" s="62" t="s">
        <v>59337</v>
      </c>
      <c r="W101" s="62" t="s">
        <v>1722</v>
      </c>
      <c r="X101" s="62" t="s">
        <v>1723</v>
      </c>
      <c r="Y101" s="62" t="s">
        <v>1724</v>
      </c>
      <c r="Z101" s="62" t="s">
        <v>1725</v>
      </c>
      <c r="AA101" s="62" t="s">
        <v>59377</v>
      </c>
      <c r="AB101" s="62" t="s">
        <v>1726</v>
      </c>
      <c r="AC101" s="62" t="s">
        <v>1727</v>
      </c>
      <c r="AD101" s="62" t="s">
        <v>1728</v>
      </c>
    </row>
    <row r="102" spans="1:30" x14ac:dyDescent="0.25">
      <c r="A102" s="62" t="s">
        <v>109</v>
      </c>
      <c r="C102" s="62" t="s">
        <v>646</v>
      </c>
      <c r="F102" s="62" t="s">
        <v>1286</v>
      </c>
      <c r="G102" s="62" t="s">
        <v>59218</v>
      </c>
      <c r="J102" s="62" t="s">
        <v>1729</v>
      </c>
      <c r="K102" s="62" t="s">
        <v>59258</v>
      </c>
      <c r="L102" s="62" t="s">
        <v>1730</v>
      </c>
      <c r="M102" s="62" t="s">
        <v>314</v>
      </c>
      <c r="N102" s="62" t="s">
        <v>315</v>
      </c>
      <c r="O102" s="62" t="s">
        <v>1731</v>
      </c>
      <c r="P102" s="62" t="s">
        <v>59298</v>
      </c>
      <c r="Q102" s="62" t="s">
        <v>1732</v>
      </c>
      <c r="R102" s="62" t="s">
        <v>316</v>
      </c>
      <c r="S102" s="62" t="s">
        <v>317</v>
      </c>
      <c r="U102" s="62" t="s">
        <v>1733</v>
      </c>
      <c r="V102" s="62" t="s">
        <v>59338</v>
      </c>
      <c r="W102" s="62" t="s">
        <v>1734</v>
      </c>
      <c r="X102" s="62" t="s">
        <v>318</v>
      </c>
      <c r="Y102" s="62" t="s">
        <v>319</v>
      </c>
      <c r="Z102" s="62" t="s">
        <v>1735</v>
      </c>
      <c r="AA102" s="62" t="s">
        <v>59378</v>
      </c>
      <c r="AB102" s="62" t="s">
        <v>1736</v>
      </c>
      <c r="AC102" s="62" t="s">
        <v>320</v>
      </c>
      <c r="AD102" s="62" t="s">
        <v>321</v>
      </c>
    </row>
    <row r="103" spans="1:30" x14ac:dyDescent="0.25">
      <c r="A103" s="62" t="s">
        <v>109</v>
      </c>
      <c r="C103" s="62" t="s">
        <v>1737</v>
      </c>
      <c r="F103" s="62" t="s">
        <v>1289</v>
      </c>
      <c r="G103" s="62" t="s">
        <v>59219</v>
      </c>
      <c r="J103" s="62" t="s">
        <v>1738</v>
      </c>
      <c r="K103" s="62" t="s">
        <v>59259</v>
      </c>
      <c r="L103" s="62" t="s">
        <v>1739</v>
      </c>
      <c r="M103" s="62" t="s">
        <v>1740</v>
      </c>
      <c r="N103" s="62" t="s">
        <v>1741</v>
      </c>
      <c r="O103" s="62" t="s">
        <v>1742</v>
      </c>
      <c r="P103" s="62" t="s">
        <v>59299</v>
      </c>
      <c r="Q103" s="62" t="s">
        <v>1743</v>
      </c>
      <c r="R103" s="62" t="s">
        <v>1744</v>
      </c>
      <c r="S103" s="62" t="s">
        <v>1745</v>
      </c>
      <c r="U103" s="62" t="s">
        <v>1746</v>
      </c>
      <c r="V103" s="62" t="s">
        <v>59339</v>
      </c>
      <c r="W103" s="62" t="s">
        <v>1747</v>
      </c>
      <c r="X103" s="62" t="s">
        <v>1748</v>
      </c>
      <c r="Y103" s="62" t="s">
        <v>1749</v>
      </c>
      <c r="Z103" s="62" t="s">
        <v>1750</v>
      </c>
      <c r="AA103" s="62" t="s">
        <v>59379</v>
      </c>
      <c r="AB103" s="62" t="s">
        <v>1751</v>
      </c>
      <c r="AC103" s="62" t="s">
        <v>1752</v>
      </c>
      <c r="AD103" s="62" t="s">
        <v>1753</v>
      </c>
    </row>
    <row r="104" spans="1:30" x14ac:dyDescent="0.25">
      <c r="A104" s="62" t="s">
        <v>109</v>
      </c>
      <c r="C104" s="62" t="s">
        <v>1754</v>
      </c>
      <c r="F104" s="62" t="s">
        <v>1797</v>
      </c>
      <c r="G104" s="62" t="s">
        <v>59220</v>
      </c>
      <c r="J104" s="62" t="s">
        <v>1755</v>
      </c>
      <c r="K104" s="62" t="s">
        <v>59260</v>
      </c>
      <c r="L104" s="62" t="s">
        <v>1756</v>
      </c>
      <c r="M104" s="62" t="s">
        <v>1757</v>
      </c>
      <c r="N104" s="62" t="s">
        <v>1758</v>
      </c>
      <c r="O104" s="62" t="s">
        <v>1759</v>
      </c>
      <c r="P104" s="62" t="s">
        <v>59300</v>
      </c>
      <c r="Q104" s="62" t="s">
        <v>1760</v>
      </c>
      <c r="R104" s="62" t="s">
        <v>1761</v>
      </c>
      <c r="S104" s="62" t="s">
        <v>1762</v>
      </c>
      <c r="U104" s="62" t="s">
        <v>1763</v>
      </c>
      <c r="V104" s="62" t="s">
        <v>59340</v>
      </c>
      <c r="W104" s="62" t="s">
        <v>1764</v>
      </c>
      <c r="X104" s="62" t="s">
        <v>1765</v>
      </c>
      <c r="Y104" s="62" t="s">
        <v>1766</v>
      </c>
      <c r="Z104" s="62" t="s">
        <v>1767</v>
      </c>
      <c r="AA104" s="62" t="s">
        <v>59380</v>
      </c>
      <c r="AB104" s="62" t="s">
        <v>1768</v>
      </c>
      <c r="AC104" s="62" t="s">
        <v>1769</v>
      </c>
      <c r="AD104" s="62" t="s">
        <v>1770</v>
      </c>
    </row>
    <row r="105" spans="1:30" x14ac:dyDescent="0.25">
      <c r="A105" s="62" t="s">
        <v>109</v>
      </c>
      <c r="C105" s="62" t="s">
        <v>647</v>
      </c>
      <c r="F105" s="62" t="s">
        <v>1299</v>
      </c>
      <c r="G105" s="62" t="s">
        <v>59221</v>
      </c>
      <c r="J105" s="62" t="s">
        <v>1771</v>
      </c>
      <c r="K105" s="62" t="s">
        <v>59261</v>
      </c>
      <c r="L105" s="62" t="s">
        <v>1772</v>
      </c>
      <c r="M105" s="62" t="s">
        <v>1773</v>
      </c>
      <c r="N105" s="62" t="s">
        <v>1774</v>
      </c>
      <c r="O105" s="62" t="s">
        <v>1775</v>
      </c>
      <c r="P105" s="62" t="s">
        <v>59301</v>
      </c>
      <c r="Q105" s="62" t="s">
        <v>1776</v>
      </c>
      <c r="R105" s="62" t="s">
        <v>1777</v>
      </c>
      <c r="S105" s="62" t="s">
        <v>1778</v>
      </c>
      <c r="U105" s="62" t="s">
        <v>1779</v>
      </c>
      <c r="V105" s="62" t="s">
        <v>59341</v>
      </c>
      <c r="W105" s="62" t="s">
        <v>1780</v>
      </c>
      <c r="X105" s="62" t="s">
        <v>1781</v>
      </c>
      <c r="Y105" s="62" t="s">
        <v>1782</v>
      </c>
      <c r="Z105" s="62" t="s">
        <v>1783</v>
      </c>
      <c r="AA105" s="62" t="s">
        <v>59381</v>
      </c>
      <c r="AB105" s="62" t="s">
        <v>1784</v>
      </c>
      <c r="AC105" s="62" t="s">
        <v>1785</v>
      </c>
      <c r="AD105" s="62" t="s">
        <v>1786</v>
      </c>
    </row>
    <row r="106" spans="1:30" x14ac:dyDescent="0.25">
      <c r="A106" s="62" t="s">
        <v>109</v>
      </c>
      <c r="C106" s="62" t="s">
        <v>1298</v>
      </c>
    </row>
    <row r="107" spans="1:30" x14ac:dyDescent="0.25">
      <c r="A107" s="62" t="s">
        <v>109</v>
      </c>
      <c r="C107" s="62" t="s">
        <v>648</v>
      </c>
      <c r="G107" s="62" t="s">
        <v>39793</v>
      </c>
      <c r="J107" s="62" t="s">
        <v>39794</v>
      </c>
      <c r="K107" s="62" t="s">
        <v>39795</v>
      </c>
      <c r="L107" s="62" t="s">
        <v>39796</v>
      </c>
      <c r="M107" s="62" t="s">
        <v>1787</v>
      </c>
      <c r="N107" s="62" t="s">
        <v>1788</v>
      </c>
      <c r="O107" s="62" t="s">
        <v>39797</v>
      </c>
      <c r="P107" s="62" t="s">
        <v>39798</v>
      </c>
      <c r="Q107" s="62" t="s">
        <v>39799</v>
      </c>
      <c r="R107" s="62" t="s">
        <v>1789</v>
      </c>
      <c r="S107" s="62" t="s">
        <v>1790</v>
      </c>
      <c r="U107" s="62" t="s">
        <v>39800</v>
      </c>
      <c r="V107" s="62" t="s">
        <v>39801</v>
      </c>
      <c r="W107" s="62" t="s">
        <v>39802</v>
      </c>
      <c r="X107" s="62" t="s">
        <v>1791</v>
      </c>
      <c r="Y107" s="62" t="s">
        <v>1792</v>
      </c>
      <c r="Z107" s="62" t="s">
        <v>39803</v>
      </c>
      <c r="AA107" s="62" t="s">
        <v>39804</v>
      </c>
      <c r="AB107" s="62" t="s">
        <v>39805</v>
      </c>
      <c r="AC107" s="62" t="s">
        <v>1793</v>
      </c>
      <c r="AD107" s="62" t="s">
        <v>1794</v>
      </c>
    </row>
    <row r="108" spans="1:30" x14ac:dyDescent="0.25">
      <c r="A108" s="62" t="s">
        <v>109</v>
      </c>
    </row>
    <row r="109" spans="1:30" x14ac:dyDescent="0.25">
      <c r="A109" s="62" t="s">
        <v>109</v>
      </c>
      <c r="C109" s="62" t="s">
        <v>39806</v>
      </c>
      <c r="E109" s="62" t="s">
        <v>125</v>
      </c>
      <c r="G109" s="62" t="s">
        <v>39807</v>
      </c>
    </row>
    <row r="110" spans="1:30" x14ac:dyDescent="0.25">
      <c r="A110" s="62" t="s">
        <v>109</v>
      </c>
      <c r="C110" s="62" t="s">
        <v>1796</v>
      </c>
    </row>
    <row r="111" spans="1:30" x14ac:dyDescent="0.25">
      <c r="A111" s="62" t="s">
        <v>109</v>
      </c>
      <c r="C111" s="62" t="s">
        <v>649</v>
      </c>
      <c r="F111" s="62" t="s">
        <v>39808</v>
      </c>
      <c r="G111" s="62" t="s">
        <v>59052</v>
      </c>
      <c r="J111" s="62" t="s">
        <v>1798</v>
      </c>
      <c r="K111" s="62" t="s">
        <v>59078</v>
      </c>
      <c r="L111" s="62" t="s">
        <v>1799</v>
      </c>
      <c r="M111" s="62" t="s">
        <v>1800</v>
      </c>
      <c r="N111" s="62" t="s">
        <v>1801</v>
      </c>
      <c r="O111" s="62" t="s">
        <v>1802</v>
      </c>
      <c r="P111" s="62" t="s">
        <v>59104</v>
      </c>
      <c r="Q111" s="62" t="s">
        <v>1803</v>
      </c>
      <c r="R111" s="62" t="s">
        <v>1804</v>
      </c>
      <c r="S111" s="62" t="s">
        <v>1805</v>
      </c>
      <c r="U111" s="62" t="s">
        <v>1806</v>
      </c>
      <c r="V111" s="62" t="s">
        <v>59130</v>
      </c>
      <c r="W111" s="62" t="s">
        <v>1807</v>
      </c>
      <c r="X111" s="62" t="s">
        <v>1808</v>
      </c>
      <c r="Y111" s="62" t="s">
        <v>1809</v>
      </c>
      <c r="Z111" s="62" t="s">
        <v>1810</v>
      </c>
      <c r="AA111" s="62" t="s">
        <v>59156</v>
      </c>
      <c r="AB111" s="62" t="s">
        <v>1811</v>
      </c>
      <c r="AC111" s="62" t="s">
        <v>1812</v>
      </c>
      <c r="AD111" s="62" t="s">
        <v>1813</v>
      </c>
    </row>
    <row r="112" spans="1:30" x14ac:dyDescent="0.25">
      <c r="A112" s="62" t="s">
        <v>109</v>
      </c>
      <c r="C112" s="62" t="s">
        <v>650</v>
      </c>
      <c r="F112" s="62" t="s">
        <v>731</v>
      </c>
      <c r="G112" s="62" t="s">
        <v>59053</v>
      </c>
      <c r="J112" s="62" t="s">
        <v>1814</v>
      </c>
      <c r="K112" s="62" t="s">
        <v>59079</v>
      </c>
      <c r="L112" s="62" t="s">
        <v>1815</v>
      </c>
      <c r="M112" s="62" t="s">
        <v>324</v>
      </c>
      <c r="N112" s="62" t="s">
        <v>325</v>
      </c>
      <c r="O112" s="62" t="s">
        <v>1816</v>
      </c>
      <c r="P112" s="62" t="s">
        <v>59105</v>
      </c>
      <c r="Q112" s="62" t="s">
        <v>1817</v>
      </c>
      <c r="R112" s="62" t="s">
        <v>326</v>
      </c>
      <c r="S112" s="62" t="s">
        <v>327</v>
      </c>
      <c r="U112" s="62" t="s">
        <v>1818</v>
      </c>
      <c r="V112" s="62" t="s">
        <v>59131</v>
      </c>
      <c r="W112" s="62" t="s">
        <v>1819</v>
      </c>
      <c r="X112" s="62" t="s">
        <v>328</v>
      </c>
      <c r="Y112" s="62" t="s">
        <v>329</v>
      </c>
      <c r="Z112" s="62" t="s">
        <v>1820</v>
      </c>
      <c r="AA112" s="62" t="s">
        <v>59157</v>
      </c>
      <c r="AB112" s="62" t="s">
        <v>1821</v>
      </c>
      <c r="AC112" s="62" t="s">
        <v>330</v>
      </c>
      <c r="AD112" s="62" t="s">
        <v>331</v>
      </c>
    </row>
    <row r="113" spans="1:30" x14ac:dyDescent="0.25">
      <c r="A113" s="62" t="s">
        <v>109</v>
      </c>
      <c r="C113" s="62" t="s">
        <v>39809</v>
      </c>
      <c r="F113" s="62" t="s">
        <v>758</v>
      </c>
      <c r="G113" s="62" t="s">
        <v>59054</v>
      </c>
      <c r="J113" s="62" t="s">
        <v>39810</v>
      </c>
      <c r="K113" s="62" t="s">
        <v>59080</v>
      </c>
      <c r="L113" s="62" t="s">
        <v>39811</v>
      </c>
      <c r="M113" s="62" t="s">
        <v>39812</v>
      </c>
      <c r="N113" s="62" t="s">
        <v>39813</v>
      </c>
      <c r="O113" s="62" t="s">
        <v>39814</v>
      </c>
      <c r="P113" s="62" t="s">
        <v>59106</v>
      </c>
      <c r="Q113" s="62" t="s">
        <v>39815</v>
      </c>
      <c r="R113" s="62" t="s">
        <v>39816</v>
      </c>
      <c r="S113" s="62" t="s">
        <v>39817</v>
      </c>
      <c r="U113" s="62" t="s">
        <v>39818</v>
      </c>
      <c r="V113" s="62" t="s">
        <v>59132</v>
      </c>
      <c r="W113" s="62" t="s">
        <v>39819</v>
      </c>
      <c r="X113" s="62" t="s">
        <v>39820</v>
      </c>
      <c r="Y113" s="62" t="s">
        <v>39821</v>
      </c>
      <c r="Z113" s="62" t="s">
        <v>39822</v>
      </c>
      <c r="AA113" s="62" t="s">
        <v>59158</v>
      </c>
      <c r="AB113" s="62" t="s">
        <v>39823</v>
      </c>
      <c r="AC113" s="62" t="s">
        <v>39824</v>
      </c>
      <c r="AD113" s="62" t="s">
        <v>39825</v>
      </c>
    </row>
    <row r="114" spans="1:30" x14ac:dyDescent="0.25">
      <c r="A114" s="62" t="s">
        <v>109</v>
      </c>
      <c r="C114" s="62" t="s">
        <v>651</v>
      </c>
      <c r="F114" s="62" t="s">
        <v>776</v>
      </c>
      <c r="G114" s="62" t="s">
        <v>59055</v>
      </c>
      <c r="J114" s="62" t="s">
        <v>39826</v>
      </c>
      <c r="K114" s="62" t="s">
        <v>59081</v>
      </c>
      <c r="L114" s="62" t="s">
        <v>39827</v>
      </c>
      <c r="M114" s="62" t="s">
        <v>332</v>
      </c>
      <c r="N114" s="62" t="s">
        <v>333</v>
      </c>
      <c r="O114" s="62" t="s">
        <v>39828</v>
      </c>
      <c r="P114" s="62" t="s">
        <v>59107</v>
      </c>
      <c r="Q114" s="62" t="s">
        <v>39829</v>
      </c>
      <c r="R114" s="62" t="s">
        <v>334</v>
      </c>
      <c r="S114" s="62" t="s">
        <v>335</v>
      </c>
      <c r="U114" s="62" t="s">
        <v>39830</v>
      </c>
      <c r="V114" s="62" t="s">
        <v>59133</v>
      </c>
      <c r="W114" s="62" t="s">
        <v>39831</v>
      </c>
      <c r="X114" s="62" t="s">
        <v>336</v>
      </c>
      <c r="Y114" s="62" t="s">
        <v>337</v>
      </c>
      <c r="Z114" s="62" t="s">
        <v>39832</v>
      </c>
      <c r="AA114" s="62" t="s">
        <v>59159</v>
      </c>
      <c r="AB114" s="62" t="s">
        <v>39833</v>
      </c>
      <c r="AC114" s="62" t="s">
        <v>338</v>
      </c>
      <c r="AD114" s="62" t="s">
        <v>339</v>
      </c>
    </row>
    <row r="115" spans="1:30" x14ac:dyDescent="0.25">
      <c r="A115" s="62" t="s">
        <v>109</v>
      </c>
      <c r="C115" s="62" t="s">
        <v>39834</v>
      </c>
      <c r="F115" s="62" t="s">
        <v>785</v>
      </c>
      <c r="G115" s="62" t="s">
        <v>59056</v>
      </c>
      <c r="J115" s="62" t="s">
        <v>39835</v>
      </c>
      <c r="K115" s="62" t="s">
        <v>59082</v>
      </c>
      <c r="L115" s="62" t="s">
        <v>39836</v>
      </c>
      <c r="M115" s="62" t="s">
        <v>39837</v>
      </c>
      <c r="N115" s="62" t="s">
        <v>39838</v>
      </c>
      <c r="O115" s="62" t="s">
        <v>39839</v>
      </c>
      <c r="P115" s="62" t="s">
        <v>59108</v>
      </c>
      <c r="Q115" s="62" t="s">
        <v>39840</v>
      </c>
      <c r="R115" s="62" t="s">
        <v>39841</v>
      </c>
      <c r="S115" s="62" t="s">
        <v>39842</v>
      </c>
      <c r="U115" s="62" t="s">
        <v>39843</v>
      </c>
      <c r="V115" s="62" t="s">
        <v>59134</v>
      </c>
      <c r="W115" s="62" t="s">
        <v>39844</v>
      </c>
      <c r="X115" s="62" t="s">
        <v>39845</v>
      </c>
      <c r="Y115" s="62" t="s">
        <v>39846</v>
      </c>
      <c r="Z115" s="62" t="s">
        <v>39847</v>
      </c>
      <c r="AA115" s="62" t="s">
        <v>59160</v>
      </c>
      <c r="AB115" s="62" t="s">
        <v>39848</v>
      </c>
      <c r="AC115" s="62" t="s">
        <v>39849</v>
      </c>
      <c r="AD115" s="62" t="s">
        <v>39850</v>
      </c>
    </row>
    <row r="116" spans="1:30" x14ac:dyDescent="0.25">
      <c r="A116" s="62" t="s">
        <v>109</v>
      </c>
      <c r="C116" s="62" t="s">
        <v>39851</v>
      </c>
      <c r="F116" s="62" t="s">
        <v>802</v>
      </c>
      <c r="G116" s="62" t="s">
        <v>59057</v>
      </c>
      <c r="J116" s="62" t="s">
        <v>39852</v>
      </c>
      <c r="K116" s="62" t="s">
        <v>59083</v>
      </c>
      <c r="L116" s="62" t="s">
        <v>39853</v>
      </c>
      <c r="M116" s="62" t="s">
        <v>39854</v>
      </c>
      <c r="N116" s="62" t="s">
        <v>39855</v>
      </c>
      <c r="O116" s="62" t="s">
        <v>39856</v>
      </c>
      <c r="P116" s="62" t="s">
        <v>59109</v>
      </c>
      <c r="Q116" s="62" t="s">
        <v>39857</v>
      </c>
      <c r="R116" s="62" t="s">
        <v>39858</v>
      </c>
      <c r="S116" s="62" t="s">
        <v>39859</v>
      </c>
      <c r="U116" s="62" t="s">
        <v>39860</v>
      </c>
      <c r="V116" s="62" t="s">
        <v>59135</v>
      </c>
      <c r="W116" s="62" t="s">
        <v>39861</v>
      </c>
      <c r="X116" s="62" t="s">
        <v>39862</v>
      </c>
      <c r="Y116" s="62" t="s">
        <v>39863</v>
      </c>
      <c r="Z116" s="62" t="s">
        <v>39864</v>
      </c>
      <c r="AA116" s="62" t="s">
        <v>59161</v>
      </c>
      <c r="AB116" s="62" t="s">
        <v>39865</v>
      </c>
      <c r="AC116" s="62" t="s">
        <v>39866</v>
      </c>
      <c r="AD116" s="62" t="s">
        <v>39867</v>
      </c>
    </row>
    <row r="117" spans="1:30" x14ac:dyDescent="0.25">
      <c r="A117" s="62" t="s">
        <v>109</v>
      </c>
      <c r="C117" s="62" t="s">
        <v>652</v>
      </c>
      <c r="F117" s="62" t="s">
        <v>159</v>
      </c>
      <c r="G117" s="62" t="s">
        <v>59058</v>
      </c>
      <c r="J117" s="62" t="s">
        <v>39868</v>
      </c>
      <c r="K117" s="62" t="s">
        <v>59084</v>
      </c>
      <c r="L117" s="62" t="s">
        <v>39869</v>
      </c>
      <c r="M117" s="62" t="s">
        <v>39870</v>
      </c>
      <c r="N117" s="62" t="s">
        <v>39871</v>
      </c>
      <c r="O117" s="62" t="s">
        <v>39872</v>
      </c>
      <c r="P117" s="62" t="s">
        <v>59110</v>
      </c>
      <c r="Q117" s="62" t="s">
        <v>39873</v>
      </c>
      <c r="R117" s="62" t="s">
        <v>39874</v>
      </c>
      <c r="S117" s="62" t="s">
        <v>39875</v>
      </c>
      <c r="U117" s="62" t="s">
        <v>39876</v>
      </c>
      <c r="V117" s="62" t="s">
        <v>59136</v>
      </c>
      <c r="W117" s="62" t="s">
        <v>39877</v>
      </c>
      <c r="X117" s="62" t="s">
        <v>39878</v>
      </c>
      <c r="Y117" s="62" t="s">
        <v>39879</v>
      </c>
      <c r="Z117" s="62" t="s">
        <v>39880</v>
      </c>
      <c r="AA117" s="62" t="s">
        <v>59162</v>
      </c>
      <c r="AB117" s="62" t="s">
        <v>39881</v>
      </c>
      <c r="AC117" s="62" t="s">
        <v>39882</v>
      </c>
      <c r="AD117" s="62" t="s">
        <v>39883</v>
      </c>
    </row>
    <row r="118" spans="1:30" x14ac:dyDescent="0.25">
      <c r="A118" s="62" t="s">
        <v>109</v>
      </c>
      <c r="C118" s="62" t="s">
        <v>653</v>
      </c>
      <c r="F118" s="62" t="s">
        <v>827</v>
      </c>
      <c r="G118" s="62" t="s">
        <v>59059</v>
      </c>
      <c r="J118" s="62" t="s">
        <v>1822</v>
      </c>
      <c r="K118" s="62" t="s">
        <v>59085</v>
      </c>
      <c r="L118" s="62" t="s">
        <v>1823</v>
      </c>
      <c r="M118" s="62" t="s">
        <v>341</v>
      </c>
      <c r="N118" s="62" t="s">
        <v>342</v>
      </c>
      <c r="O118" s="62" t="s">
        <v>1824</v>
      </c>
      <c r="P118" s="62" t="s">
        <v>59111</v>
      </c>
      <c r="Q118" s="62" t="s">
        <v>1825</v>
      </c>
      <c r="R118" s="62" t="s">
        <v>343</v>
      </c>
      <c r="S118" s="62" t="s">
        <v>344</v>
      </c>
      <c r="U118" s="62" t="s">
        <v>1826</v>
      </c>
      <c r="V118" s="62" t="s">
        <v>59137</v>
      </c>
      <c r="W118" s="62" t="s">
        <v>1827</v>
      </c>
      <c r="X118" s="62" t="s">
        <v>345</v>
      </c>
      <c r="Y118" s="62" t="s">
        <v>346</v>
      </c>
      <c r="Z118" s="62" t="s">
        <v>1828</v>
      </c>
      <c r="AA118" s="62" t="s">
        <v>59163</v>
      </c>
      <c r="AB118" s="62" t="s">
        <v>1829</v>
      </c>
      <c r="AC118" s="62" t="s">
        <v>347</v>
      </c>
      <c r="AD118" s="62" t="s">
        <v>348</v>
      </c>
    </row>
    <row r="119" spans="1:30" x14ac:dyDescent="0.25">
      <c r="A119" s="62" t="s">
        <v>109</v>
      </c>
      <c r="C119" s="62" t="s">
        <v>654</v>
      </c>
      <c r="F119" s="62" t="s">
        <v>889</v>
      </c>
      <c r="G119" s="62" t="s">
        <v>59060</v>
      </c>
      <c r="J119" s="62" t="s">
        <v>1830</v>
      </c>
      <c r="K119" s="62" t="s">
        <v>59086</v>
      </c>
      <c r="L119" s="62" t="s">
        <v>1831</v>
      </c>
      <c r="M119" s="62" t="s">
        <v>1832</v>
      </c>
      <c r="N119" s="62" t="s">
        <v>1833</v>
      </c>
      <c r="O119" s="62" t="s">
        <v>1834</v>
      </c>
      <c r="P119" s="62" t="s">
        <v>59112</v>
      </c>
      <c r="Q119" s="62" t="s">
        <v>1835</v>
      </c>
      <c r="R119" s="62" t="s">
        <v>1836</v>
      </c>
      <c r="S119" s="62" t="s">
        <v>1837</v>
      </c>
      <c r="U119" s="62" t="s">
        <v>1838</v>
      </c>
      <c r="V119" s="62" t="s">
        <v>59138</v>
      </c>
      <c r="W119" s="62" t="s">
        <v>1839</v>
      </c>
      <c r="X119" s="62" t="s">
        <v>1840</v>
      </c>
      <c r="Y119" s="62" t="s">
        <v>1841</v>
      </c>
      <c r="Z119" s="62" t="s">
        <v>1842</v>
      </c>
      <c r="AA119" s="62" t="s">
        <v>59164</v>
      </c>
      <c r="AB119" s="62" t="s">
        <v>1843</v>
      </c>
      <c r="AC119" s="62" t="s">
        <v>1844</v>
      </c>
      <c r="AD119" s="62" t="s">
        <v>1845</v>
      </c>
    </row>
    <row r="120" spans="1:30" x14ac:dyDescent="0.25">
      <c r="A120" s="62" t="s">
        <v>109</v>
      </c>
      <c r="C120" s="62" t="s">
        <v>655</v>
      </c>
      <c r="F120" s="62" t="s">
        <v>898</v>
      </c>
      <c r="G120" s="62" t="s">
        <v>59061</v>
      </c>
      <c r="J120" s="62" t="s">
        <v>1846</v>
      </c>
      <c r="K120" s="62" t="s">
        <v>59087</v>
      </c>
      <c r="L120" s="62" t="s">
        <v>1847</v>
      </c>
      <c r="M120" s="62" t="s">
        <v>349</v>
      </c>
      <c r="N120" s="62" t="s">
        <v>350</v>
      </c>
      <c r="O120" s="62" t="s">
        <v>1848</v>
      </c>
      <c r="P120" s="62" t="s">
        <v>59113</v>
      </c>
      <c r="Q120" s="62" t="s">
        <v>1849</v>
      </c>
      <c r="R120" s="62" t="s">
        <v>351</v>
      </c>
      <c r="S120" s="62" t="s">
        <v>352</v>
      </c>
      <c r="U120" s="62" t="s">
        <v>1850</v>
      </c>
      <c r="V120" s="62" t="s">
        <v>59139</v>
      </c>
      <c r="W120" s="62" t="s">
        <v>1851</v>
      </c>
      <c r="X120" s="62" t="s">
        <v>353</v>
      </c>
      <c r="Y120" s="62" t="s">
        <v>354</v>
      </c>
      <c r="Z120" s="62" t="s">
        <v>1852</v>
      </c>
      <c r="AA120" s="62" t="s">
        <v>59165</v>
      </c>
      <c r="AB120" s="62" t="s">
        <v>1853</v>
      </c>
      <c r="AC120" s="62" t="s">
        <v>355</v>
      </c>
      <c r="AD120" s="62" t="s">
        <v>356</v>
      </c>
    </row>
    <row r="121" spans="1:30" x14ac:dyDescent="0.25">
      <c r="A121" s="62" t="s">
        <v>109</v>
      </c>
      <c r="C121" s="62" t="s">
        <v>1854</v>
      </c>
      <c r="F121" s="62" t="s">
        <v>943</v>
      </c>
      <c r="G121" s="62" t="s">
        <v>59062</v>
      </c>
      <c r="J121" s="62" t="s">
        <v>1855</v>
      </c>
      <c r="K121" s="62" t="s">
        <v>59088</v>
      </c>
      <c r="L121" s="62" t="s">
        <v>1856</v>
      </c>
      <c r="M121" s="62" t="s">
        <v>1857</v>
      </c>
      <c r="N121" s="62" t="s">
        <v>1858</v>
      </c>
      <c r="O121" s="62" t="s">
        <v>1859</v>
      </c>
      <c r="P121" s="62" t="s">
        <v>59114</v>
      </c>
      <c r="Q121" s="62" t="s">
        <v>1860</v>
      </c>
      <c r="R121" s="62" t="s">
        <v>1861</v>
      </c>
      <c r="S121" s="62" t="s">
        <v>1862</v>
      </c>
      <c r="U121" s="62" t="s">
        <v>1863</v>
      </c>
      <c r="V121" s="62" t="s">
        <v>59140</v>
      </c>
      <c r="W121" s="62" t="s">
        <v>1864</v>
      </c>
      <c r="X121" s="62" t="s">
        <v>1865</v>
      </c>
      <c r="Y121" s="62" t="s">
        <v>1866</v>
      </c>
      <c r="Z121" s="62" t="s">
        <v>1867</v>
      </c>
      <c r="AA121" s="62" t="s">
        <v>59166</v>
      </c>
      <c r="AB121" s="62" t="s">
        <v>1868</v>
      </c>
      <c r="AC121" s="62" t="s">
        <v>1869</v>
      </c>
      <c r="AD121" s="62" t="s">
        <v>1870</v>
      </c>
    </row>
    <row r="122" spans="1:30" x14ac:dyDescent="0.25">
      <c r="A122" s="62" t="s">
        <v>109</v>
      </c>
      <c r="C122" s="62" t="s">
        <v>1871</v>
      </c>
      <c r="F122" s="62" t="s">
        <v>176</v>
      </c>
      <c r="G122" s="62" t="s">
        <v>59063</v>
      </c>
      <c r="J122" s="62" t="s">
        <v>1872</v>
      </c>
      <c r="K122" s="62" t="s">
        <v>59089</v>
      </c>
      <c r="L122" s="62" t="s">
        <v>1873</v>
      </c>
      <c r="M122" s="62" t="s">
        <v>1874</v>
      </c>
      <c r="N122" s="62" t="s">
        <v>1875</v>
      </c>
      <c r="O122" s="62" t="s">
        <v>1876</v>
      </c>
      <c r="P122" s="62" t="s">
        <v>59115</v>
      </c>
      <c r="Q122" s="62" t="s">
        <v>1877</v>
      </c>
      <c r="R122" s="62" t="s">
        <v>1878</v>
      </c>
      <c r="S122" s="62" t="s">
        <v>1879</v>
      </c>
      <c r="U122" s="62" t="s">
        <v>1880</v>
      </c>
      <c r="V122" s="62" t="s">
        <v>59141</v>
      </c>
      <c r="W122" s="62" t="s">
        <v>1881</v>
      </c>
      <c r="X122" s="62" t="s">
        <v>1882</v>
      </c>
      <c r="Y122" s="62" t="s">
        <v>1883</v>
      </c>
      <c r="Z122" s="62" t="s">
        <v>1884</v>
      </c>
      <c r="AA122" s="62" t="s">
        <v>59167</v>
      </c>
      <c r="AB122" s="62" t="s">
        <v>1885</v>
      </c>
      <c r="AC122" s="62" t="s">
        <v>1886</v>
      </c>
      <c r="AD122" s="62" t="s">
        <v>1887</v>
      </c>
    </row>
    <row r="123" spans="1:30" x14ac:dyDescent="0.25">
      <c r="A123" s="62" t="s">
        <v>109</v>
      </c>
      <c r="C123" s="62" t="s">
        <v>656</v>
      </c>
      <c r="F123" s="62" t="s">
        <v>985</v>
      </c>
      <c r="G123" s="62" t="s">
        <v>59064</v>
      </c>
      <c r="J123" s="62" t="s">
        <v>1888</v>
      </c>
      <c r="K123" s="62" t="s">
        <v>59090</v>
      </c>
      <c r="L123" s="62" t="s">
        <v>1889</v>
      </c>
      <c r="M123" s="62" t="s">
        <v>1890</v>
      </c>
      <c r="N123" s="62" t="s">
        <v>1891</v>
      </c>
      <c r="O123" s="62" t="s">
        <v>1892</v>
      </c>
      <c r="P123" s="62" t="s">
        <v>59116</v>
      </c>
      <c r="Q123" s="62" t="s">
        <v>1893</v>
      </c>
      <c r="R123" s="62" t="s">
        <v>1894</v>
      </c>
      <c r="S123" s="62" t="s">
        <v>1895</v>
      </c>
      <c r="U123" s="62" t="s">
        <v>1896</v>
      </c>
      <c r="V123" s="62" t="s">
        <v>59142</v>
      </c>
      <c r="W123" s="62" t="s">
        <v>1897</v>
      </c>
      <c r="X123" s="62" t="s">
        <v>1898</v>
      </c>
      <c r="Y123" s="62" t="s">
        <v>1899</v>
      </c>
      <c r="Z123" s="62" t="s">
        <v>1900</v>
      </c>
      <c r="AA123" s="62" t="s">
        <v>59168</v>
      </c>
      <c r="AB123" s="62" t="s">
        <v>1901</v>
      </c>
      <c r="AC123" s="62" t="s">
        <v>1902</v>
      </c>
      <c r="AD123" s="62" t="s">
        <v>1903</v>
      </c>
    </row>
    <row r="124" spans="1:30" x14ac:dyDescent="0.25">
      <c r="A124" s="62" t="s">
        <v>109</v>
      </c>
      <c r="C124" s="62" t="s">
        <v>657</v>
      </c>
      <c r="F124" s="62" t="s">
        <v>1012</v>
      </c>
      <c r="G124" s="62" t="s">
        <v>59065</v>
      </c>
      <c r="J124" s="62" t="s">
        <v>1904</v>
      </c>
      <c r="K124" s="62" t="s">
        <v>59091</v>
      </c>
      <c r="L124" s="62" t="s">
        <v>1905</v>
      </c>
      <c r="M124" s="62" t="s">
        <v>358</v>
      </c>
      <c r="N124" s="62" t="s">
        <v>359</v>
      </c>
      <c r="O124" s="62" t="s">
        <v>1906</v>
      </c>
      <c r="P124" s="62" t="s">
        <v>59117</v>
      </c>
      <c r="Q124" s="62" t="s">
        <v>1907</v>
      </c>
      <c r="R124" s="62" t="s">
        <v>360</v>
      </c>
      <c r="S124" s="62" t="s">
        <v>361</v>
      </c>
      <c r="U124" s="62" t="s">
        <v>1908</v>
      </c>
      <c r="V124" s="62" t="s">
        <v>59143</v>
      </c>
      <c r="W124" s="62" t="s">
        <v>1909</v>
      </c>
      <c r="X124" s="62" t="s">
        <v>362</v>
      </c>
      <c r="Y124" s="62" t="s">
        <v>363</v>
      </c>
      <c r="Z124" s="62" t="s">
        <v>1910</v>
      </c>
      <c r="AA124" s="62" t="s">
        <v>59169</v>
      </c>
      <c r="AB124" s="62" t="s">
        <v>1911</v>
      </c>
      <c r="AC124" s="62" t="s">
        <v>364</v>
      </c>
      <c r="AD124" s="62" t="s">
        <v>365</v>
      </c>
    </row>
    <row r="125" spans="1:30" x14ac:dyDescent="0.25">
      <c r="A125" s="62" t="s">
        <v>109</v>
      </c>
      <c r="C125" s="62" t="s">
        <v>658</v>
      </c>
      <c r="F125" s="62" t="s">
        <v>1047</v>
      </c>
      <c r="G125" s="62" t="s">
        <v>59066</v>
      </c>
      <c r="J125" s="62" t="s">
        <v>1912</v>
      </c>
      <c r="K125" s="62" t="s">
        <v>59092</v>
      </c>
      <c r="L125" s="62" t="s">
        <v>1913</v>
      </c>
      <c r="M125" s="62" t="s">
        <v>1914</v>
      </c>
      <c r="N125" s="62" t="s">
        <v>1915</v>
      </c>
      <c r="O125" s="62" t="s">
        <v>1916</v>
      </c>
      <c r="P125" s="62" t="s">
        <v>59118</v>
      </c>
      <c r="Q125" s="62" t="s">
        <v>1917</v>
      </c>
      <c r="R125" s="62" t="s">
        <v>1918</v>
      </c>
      <c r="S125" s="62" t="s">
        <v>1919</v>
      </c>
      <c r="U125" s="62" t="s">
        <v>1920</v>
      </c>
      <c r="V125" s="62" t="s">
        <v>59144</v>
      </c>
      <c r="W125" s="62" t="s">
        <v>1921</v>
      </c>
      <c r="X125" s="62" t="s">
        <v>1922</v>
      </c>
      <c r="Y125" s="62" t="s">
        <v>1923</v>
      </c>
      <c r="Z125" s="62" t="s">
        <v>1924</v>
      </c>
      <c r="AA125" s="62" t="s">
        <v>59170</v>
      </c>
      <c r="AB125" s="62" t="s">
        <v>1925</v>
      </c>
      <c r="AC125" s="62" t="s">
        <v>1926</v>
      </c>
      <c r="AD125" s="62" t="s">
        <v>1927</v>
      </c>
    </row>
    <row r="126" spans="1:30" x14ac:dyDescent="0.25">
      <c r="A126" s="62" t="s">
        <v>109</v>
      </c>
      <c r="C126" s="62" t="s">
        <v>659</v>
      </c>
      <c r="F126" s="62" t="s">
        <v>1064</v>
      </c>
      <c r="G126" s="62" t="s">
        <v>59067</v>
      </c>
      <c r="J126" s="62" t="s">
        <v>1928</v>
      </c>
      <c r="K126" s="62" t="s">
        <v>59093</v>
      </c>
      <c r="L126" s="62" t="s">
        <v>1929</v>
      </c>
      <c r="M126" s="62" t="s">
        <v>366</v>
      </c>
      <c r="N126" s="62" t="s">
        <v>367</v>
      </c>
      <c r="O126" s="62" t="s">
        <v>1930</v>
      </c>
      <c r="P126" s="62" t="s">
        <v>59119</v>
      </c>
      <c r="Q126" s="62" t="s">
        <v>1931</v>
      </c>
      <c r="R126" s="62" t="s">
        <v>368</v>
      </c>
      <c r="S126" s="62" t="s">
        <v>369</v>
      </c>
      <c r="U126" s="62" t="s">
        <v>1932</v>
      </c>
      <c r="V126" s="62" t="s">
        <v>59145</v>
      </c>
      <c r="W126" s="62" t="s">
        <v>1933</v>
      </c>
      <c r="X126" s="62" t="s">
        <v>370</v>
      </c>
      <c r="Y126" s="62" t="s">
        <v>371</v>
      </c>
      <c r="Z126" s="62" t="s">
        <v>1934</v>
      </c>
      <c r="AA126" s="62" t="s">
        <v>59171</v>
      </c>
      <c r="AB126" s="62" t="s">
        <v>1935</v>
      </c>
      <c r="AC126" s="62" t="s">
        <v>372</v>
      </c>
      <c r="AD126" s="62" t="s">
        <v>373</v>
      </c>
    </row>
    <row r="127" spans="1:30" x14ac:dyDescent="0.25">
      <c r="A127" s="62" t="s">
        <v>109</v>
      </c>
      <c r="C127" s="62" t="s">
        <v>1936</v>
      </c>
      <c r="F127" s="62" t="s">
        <v>1073</v>
      </c>
      <c r="G127" s="62" t="s">
        <v>59068</v>
      </c>
      <c r="J127" s="62" t="s">
        <v>1937</v>
      </c>
      <c r="K127" s="62" t="s">
        <v>59094</v>
      </c>
      <c r="L127" s="62" t="s">
        <v>1938</v>
      </c>
      <c r="M127" s="62" t="s">
        <v>1939</v>
      </c>
      <c r="N127" s="62" t="s">
        <v>1940</v>
      </c>
      <c r="O127" s="62" t="s">
        <v>1941</v>
      </c>
      <c r="P127" s="62" t="s">
        <v>59120</v>
      </c>
      <c r="Q127" s="62" t="s">
        <v>1942</v>
      </c>
      <c r="R127" s="62" t="s">
        <v>1943</v>
      </c>
      <c r="S127" s="62" t="s">
        <v>1944</v>
      </c>
      <c r="U127" s="62" t="s">
        <v>1945</v>
      </c>
      <c r="V127" s="62" t="s">
        <v>59146</v>
      </c>
      <c r="W127" s="62" t="s">
        <v>1946</v>
      </c>
      <c r="X127" s="62" t="s">
        <v>1947</v>
      </c>
      <c r="Y127" s="62" t="s">
        <v>1948</v>
      </c>
      <c r="Z127" s="62" t="s">
        <v>1949</v>
      </c>
      <c r="AA127" s="62" t="s">
        <v>59172</v>
      </c>
      <c r="AB127" s="62" t="s">
        <v>1950</v>
      </c>
      <c r="AC127" s="62" t="s">
        <v>1951</v>
      </c>
      <c r="AD127" s="62" t="s">
        <v>1952</v>
      </c>
    </row>
    <row r="128" spans="1:30" x14ac:dyDescent="0.25">
      <c r="A128" s="62" t="s">
        <v>109</v>
      </c>
      <c r="C128" s="62" t="s">
        <v>1953</v>
      </c>
      <c r="F128" s="62" t="s">
        <v>1090</v>
      </c>
      <c r="G128" s="62" t="s">
        <v>59069</v>
      </c>
      <c r="J128" s="62" t="s">
        <v>1954</v>
      </c>
      <c r="K128" s="62" t="s">
        <v>59095</v>
      </c>
      <c r="L128" s="62" t="s">
        <v>1955</v>
      </c>
      <c r="M128" s="62" t="s">
        <v>1956</v>
      </c>
      <c r="N128" s="62" t="s">
        <v>1957</v>
      </c>
      <c r="O128" s="62" t="s">
        <v>1958</v>
      </c>
      <c r="P128" s="62" t="s">
        <v>59121</v>
      </c>
      <c r="Q128" s="62" t="s">
        <v>1959</v>
      </c>
      <c r="R128" s="62" t="s">
        <v>1960</v>
      </c>
      <c r="S128" s="62" t="s">
        <v>1961</v>
      </c>
      <c r="U128" s="62" t="s">
        <v>1962</v>
      </c>
      <c r="V128" s="62" t="s">
        <v>59147</v>
      </c>
      <c r="W128" s="62" t="s">
        <v>1963</v>
      </c>
      <c r="X128" s="62" t="s">
        <v>1964</v>
      </c>
      <c r="Y128" s="62" t="s">
        <v>1965</v>
      </c>
      <c r="Z128" s="62" t="s">
        <v>1966</v>
      </c>
      <c r="AA128" s="62" t="s">
        <v>59173</v>
      </c>
      <c r="AB128" s="62" t="s">
        <v>1967</v>
      </c>
      <c r="AC128" s="62" t="s">
        <v>1968</v>
      </c>
      <c r="AD128" s="62" t="s">
        <v>1969</v>
      </c>
    </row>
    <row r="129" spans="1:30" x14ac:dyDescent="0.25">
      <c r="A129" s="62" t="s">
        <v>109</v>
      </c>
      <c r="C129" s="62" t="s">
        <v>660</v>
      </c>
      <c r="F129" s="62" t="s">
        <v>1135</v>
      </c>
      <c r="G129" s="62" t="s">
        <v>59070</v>
      </c>
      <c r="J129" s="62" t="s">
        <v>1970</v>
      </c>
      <c r="K129" s="62" t="s">
        <v>59096</v>
      </c>
      <c r="L129" s="62" t="s">
        <v>1971</v>
      </c>
      <c r="M129" s="62" t="s">
        <v>1972</v>
      </c>
      <c r="N129" s="62" t="s">
        <v>1973</v>
      </c>
      <c r="O129" s="62" t="s">
        <v>1974</v>
      </c>
      <c r="P129" s="62" t="s">
        <v>59122</v>
      </c>
      <c r="Q129" s="62" t="s">
        <v>1975</v>
      </c>
      <c r="R129" s="62" t="s">
        <v>1976</v>
      </c>
      <c r="S129" s="62" t="s">
        <v>1977</v>
      </c>
      <c r="U129" s="62" t="s">
        <v>1978</v>
      </c>
      <c r="V129" s="62" t="s">
        <v>59148</v>
      </c>
      <c r="W129" s="62" t="s">
        <v>1979</v>
      </c>
      <c r="X129" s="62" t="s">
        <v>1980</v>
      </c>
      <c r="Y129" s="62" t="s">
        <v>1981</v>
      </c>
      <c r="Z129" s="62" t="s">
        <v>1982</v>
      </c>
      <c r="AA129" s="62" t="s">
        <v>59174</v>
      </c>
      <c r="AB129" s="62" t="s">
        <v>1983</v>
      </c>
      <c r="AC129" s="62" t="s">
        <v>1984</v>
      </c>
      <c r="AD129" s="62" t="s">
        <v>1985</v>
      </c>
    </row>
    <row r="130" spans="1:30" x14ac:dyDescent="0.25">
      <c r="A130" s="62" t="s">
        <v>109</v>
      </c>
      <c r="C130" s="62" t="s">
        <v>661</v>
      </c>
      <c r="F130" s="62" t="s">
        <v>1161</v>
      </c>
      <c r="G130" s="62" t="s">
        <v>59071</v>
      </c>
      <c r="J130" s="62" t="s">
        <v>1986</v>
      </c>
      <c r="K130" s="62" t="s">
        <v>59097</v>
      </c>
      <c r="L130" s="62" t="s">
        <v>1987</v>
      </c>
      <c r="M130" s="62" t="s">
        <v>375</v>
      </c>
      <c r="N130" s="62" t="s">
        <v>376</v>
      </c>
      <c r="O130" s="62" t="s">
        <v>1988</v>
      </c>
      <c r="P130" s="62" t="s">
        <v>59123</v>
      </c>
      <c r="Q130" s="62" t="s">
        <v>1989</v>
      </c>
      <c r="R130" s="62" t="s">
        <v>377</v>
      </c>
      <c r="S130" s="62" t="s">
        <v>378</v>
      </c>
      <c r="U130" s="62" t="s">
        <v>1990</v>
      </c>
      <c r="V130" s="62" t="s">
        <v>59149</v>
      </c>
      <c r="W130" s="62" t="s">
        <v>1991</v>
      </c>
      <c r="X130" s="62" t="s">
        <v>379</v>
      </c>
      <c r="Y130" s="62" t="s">
        <v>380</v>
      </c>
      <c r="Z130" s="62" t="s">
        <v>1992</v>
      </c>
      <c r="AA130" s="62" t="s">
        <v>59175</v>
      </c>
      <c r="AB130" s="62" t="s">
        <v>1993</v>
      </c>
      <c r="AC130" s="62" t="s">
        <v>381</v>
      </c>
      <c r="AD130" s="62" t="s">
        <v>382</v>
      </c>
    </row>
    <row r="131" spans="1:30" x14ac:dyDescent="0.25">
      <c r="A131" s="62" t="s">
        <v>109</v>
      </c>
      <c r="C131" s="62" t="s">
        <v>662</v>
      </c>
      <c r="F131" s="62" t="s">
        <v>1206</v>
      </c>
      <c r="G131" s="62" t="s">
        <v>59072</v>
      </c>
      <c r="J131" s="62" t="s">
        <v>1994</v>
      </c>
      <c r="K131" s="62" t="s">
        <v>59098</v>
      </c>
      <c r="L131" s="62" t="s">
        <v>1995</v>
      </c>
      <c r="M131" s="62" t="s">
        <v>1996</v>
      </c>
      <c r="N131" s="62" t="s">
        <v>1997</v>
      </c>
      <c r="O131" s="62" t="s">
        <v>1998</v>
      </c>
      <c r="P131" s="62" t="s">
        <v>59124</v>
      </c>
      <c r="Q131" s="62" t="s">
        <v>1999</v>
      </c>
      <c r="R131" s="62" t="s">
        <v>2000</v>
      </c>
      <c r="S131" s="62" t="s">
        <v>2001</v>
      </c>
      <c r="U131" s="62" t="s">
        <v>2002</v>
      </c>
      <c r="V131" s="62" t="s">
        <v>59150</v>
      </c>
      <c r="W131" s="62" t="s">
        <v>2003</v>
      </c>
      <c r="X131" s="62" t="s">
        <v>2004</v>
      </c>
      <c r="Y131" s="62" t="s">
        <v>2005</v>
      </c>
      <c r="Z131" s="62" t="s">
        <v>2006</v>
      </c>
      <c r="AA131" s="62" t="s">
        <v>59176</v>
      </c>
      <c r="AB131" s="62" t="s">
        <v>2007</v>
      </c>
      <c r="AC131" s="62" t="s">
        <v>2008</v>
      </c>
      <c r="AD131" s="62" t="s">
        <v>2009</v>
      </c>
    </row>
    <row r="132" spans="1:30" x14ac:dyDescent="0.25">
      <c r="A132" s="62" t="s">
        <v>109</v>
      </c>
      <c r="C132" s="62" t="s">
        <v>663</v>
      </c>
      <c r="F132" s="62" t="s">
        <v>1275</v>
      </c>
      <c r="G132" s="62" t="s">
        <v>59073</v>
      </c>
      <c r="J132" s="62" t="s">
        <v>2010</v>
      </c>
      <c r="K132" s="62" t="s">
        <v>59099</v>
      </c>
      <c r="L132" s="62" t="s">
        <v>2011</v>
      </c>
      <c r="M132" s="62" t="s">
        <v>383</v>
      </c>
      <c r="N132" s="62" t="s">
        <v>384</v>
      </c>
      <c r="O132" s="62" t="s">
        <v>2012</v>
      </c>
      <c r="P132" s="62" t="s">
        <v>59125</v>
      </c>
      <c r="Q132" s="62" t="s">
        <v>2013</v>
      </c>
      <c r="R132" s="62" t="s">
        <v>385</v>
      </c>
      <c r="S132" s="62" t="s">
        <v>386</v>
      </c>
      <c r="U132" s="62" t="s">
        <v>2014</v>
      </c>
      <c r="V132" s="62" t="s">
        <v>59151</v>
      </c>
      <c r="W132" s="62" t="s">
        <v>2015</v>
      </c>
      <c r="X132" s="62" t="s">
        <v>387</v>
      </c>
      <c r="Y132" s="62" t="s">
        <v>388</v>
      </c>
      <c r="Z132" s="62" t="s">
        <v>2016</v>
      </c>
      <c r="AA132" s="62" t="s">
        <v>59177</v>
      </c>
      <c r="AB132" s="62" t="s">
        <v>2017</v>
      </c>
      <c r="AC132" s="62" t="s">
        <v>389</v>
      </c>
      <c r="AD132" s="62" t="s">
        <v>390</v>
      </c>
    </row>
    <row r="133" spans="1:30" x14ac:dyDescent="0.25">
      <c r="A133" s="62" t="s">
        <v>109</v>
      </c>
      <c r="C133" s="62" t="s">
        <v>2018</v>
      </c>
      <c r="F133" s="62" t="s">
        <v>1795</v>
      </c>
      <c r="G133" s="62" t="s">
        <v>59074</v>
      </c>
      <c r="J133" s="62" t="s">
        <v>2019</v>
      </c>
      <c r="K133" s="62" t="s">
        <v>59100</v>
      </c>
      <c r="L133" s="62" t="s">
        <v>2020</v>
      </c>
      <c r="M133" s="62" t="s">
        <v>2021</v>
      </c>
      <c r="N133" s="62" t="s">
        <v>2022</v>
      </c>
      <c r="O133" s="62" t="s">
        <v>2023</v>
      </c>
      <c r="P133" s="62" t="s">
        <v>59126</v>
      </c>
      <c r="Q133" s="62" t="s">
        <v>2024</v>
      </c>
      <c r="R133" s="62" t="s">
        <v>2025</v>
      </c>
      <c r="S133" s="62" t="s">
        <v>2026</v>
      </c>
      <c r="U133" s="62" t="s">
        <v>2027</v>
      </c>
      <c r="V133" s="62" t="s">
        <v>59152</v>
      </c>
      <c r="W133" s="62" t="s">
        <v>2028</v>
      </c>
      <c r="X133" s="62" t="s">
        <v>2029</v>
      </c>
      <c r="Y133" s="62" t="s">
        <v>2030</v>
      </c>
      <c r="Z133" s="62" t="s">
        <v>2031</v>
      </c>
      <c r="AA133" s="62" t="s">
        <v>59178</v>
      </c>
      <c r="AB133" s="62" t="s">
        <v>2032</v>
      </c>
      <c r="AC133" s="62" t="s">
        <v>2033</v>
      </c>
      <c r="AD133" s="62" t="s">
        <v>2034</v>
      </c>
    </row>
    <row r="134" spans="1:30" x14ac:dyDescent="0.25">
      <c r="A134" s="62" t="s">
        <v>109</v>
      </c>
      <c r="C134" s="62" t="s">
        <v>2035</v>
      </c>
      <c r="F134" s="62" t="s">
        <v>1288</v>
      </c>
      <c r="G134" s="62" t="s">
        <v>59075</v>
      </c>
      <c r="J134" s="62" t="s">
        <v>2036</v>
      </c>
      <c r="K134" s="62" t="s">
        <v>59101</v>
      </c>
      <c r="L134" s="62" t="s">
        <v>2037</v>
      </c>
      <c r="M134" s="62" t="s">
        <v>2038</v>
      </c>
      <c r="N134" s="62" t="s">
        <v>2039</v>
      </c>
      <c r="O134" s="62" t="s">
        <v>2040</v>
      </c>
      <c r="P134" s="62" t="s">
        <v>59127</v>
      </c>
      <c r="Q134" s="62" t="s">
        <v>2041</v>
      </c>
      <c r="R134" s="62" t="s">
        <v>2042</v>
      </c>
      <c r="S134" s="62" t="s">
        <v>2043</v>
      </c>
      <c r="U134" s="62" t="s">
        <v>2044</v>
      </c>
      <c r="V134" s="62" t="s">
        <v>59153</v>
      </c>
      <c r="W134" s="62" t="s">
        <v>2045</v>
      </c>
      <c r="X134" s="62" t="s">
        <v>2046</v>
      </c>
      <c r="Y134" s="62" t="s">
        <v>2047</v>
      </c>
      <c r="Z134" s="62" t="s">
        <v>2048</v>
      </c>
      <c r="AA134" s="62" t="s">
        <v>59179</v>
      </c>
      <c r="AB134" s="62" t="s">
        <v>2049</v>
      </c>
      <c r="AC134" s="62" t="s">
        <v>2050</v>
      </c>
      <c r="AD134" s="62" t="s">
        <v>2051</v>
      </c>
    </row>
    <row r="135" spans="1:30" x14ac:dyDescent="0.25">
      <c r="A135" s="62" t="s">
        <v>109</v>
      </c>
      <c r="C135" s="62" t="s">
        <v>664</v>
      </c>
      <c r="F135" s="62" t="s">
        <v>1289</v>
      </c>
      <c r="G135" s="62" t="s">
        <v>59076</v>
      </c>
      <c r="J135" s="62" t="s">
        <v>2052</v>
      </c>
      <c r="K135" s="62" t="s">
        <v>59102</v>
      </c>
      <c r="L135" s="62" t="s">
        <v>2053</v>
      </c>
      <c r="M135" s="62" t="s">
        <v>2054</v>
      </c>
      <c r="N135" s="62" t="s">
        <v>2055</v>
      </c>
      <c r="O135" s="62" t="s">
        <v>2056</v>
      </c>
      <c r="P135" s="62" t="s">
        <v>59128</v>
      </c>
      <c r="Q135" s="62" t="s">
        <v>2057</v>
      </c>
      <c r="R135" s="62" t="s">
        <v>2058</v>
      </c>
      <c r="S135" s="62" t="s">
        <v>2059</v>
      </c>
      <c r="U135" s="62" t="s">
        <v>2060</v>
      </c>
      <c r="V135" s="62" t="s">
        <v>59154</v>
      </c>
      <c r="W135" s="62" t="s">
        <v>2061</v>
      </c>
      <c r="X135" s="62" t="s">
        <v>2062</v>
      </c>
      <c r="Y135" s="62" t="s">
        <v>2063</v>
      </c>
      <c r="Z135" s="62" t="s">
        <v>2064</v>
      </c>
      <c r="AA135" s="62" t="s">
        <v>59180</v>
      </c>
      <c r="AB135" s="62" t="s">
        <v>2065</v>
      </c>
      <c r="AC135" s="62" t="s">
        <v>2066</v>
      </c>
      <c r="AD135" s="62" t="s">
        <v>2067</v>
      </c>
    </row>
    <row r="136" spans="1:30" x14ac:dyDescent="0.25">
      <c r="A136" s="62" t="s">
        <v>109</v>
      </c>
      <c r="C136" s="62" t="s">
        <v>665</v>
      </c>
      <c r="F136" s="62" t="s">
        <v>1797</v>
      </c>
      <c r="G136" s="62" t="s">
        <v>59077</v>
      </c>
      <c r="J136" s="62" t="s">
        <v>2068</v>
      </c>
      <c r="K136" s="62" t="s">
        <v>59103</v>
      </c>
      <c r="L136" s="62" t="s">
        <v>2069</v>
      </c>
      <c r="M136" s="62" t="s">
        <v>392</v>
      </c>
      <c r="N136" s="62" t="s">
        <v>393</v>
      </c>
      <c r="O136" s="62" t="s">
        <v>2070</v>
      </c>
      <c r="P136" s="62" t="s">
        <v>59129</v>
      </c>
      <c r="Q136" s="62" t="s">
        <v>2071</v>
      </c>
      <c r="R136" s="62" t="s">
        <v>394</v>
      </c>
      <c r="S136" s="62" t="s">
        <v>395</v>
      </c>
      <c r="U136" s="62" t="s">
        <v>2072</v>
      </c>
      <c r="V136" s="62" t="s">
        <v>59155</v>
      </c>
      <c r="W136" s="62" t="s">
        <v>2073</v>
      </c>
      <c r="X136" s="62" t="s">
        <v>396</v>
      </c>
      <c r="Y136" s="62" t="s">
        <v>397</v>
      </c>
      <c r="Z136" s="62" t="s">
        <v>2074</v>
      </c>
      <c r="AA136" s="62" t="s">
        <v>59181</v>
      </c>
      <c r="AB136" s="62" t="s">
        <v>2075</v>
      </c>
      <c r="AC136" s="62" t="s">
        <v>398</v>
      </c>
      <c r="AD136" s="62" t="s">
        <v>399</v>
      </c>
    </row>
    <row r="137" spans="1:30" x14ac:dyDescent="0.25">
      <c r="A137" s="62" t="s">
        <v>109</v>
      </c>
      <c r="C137" s="62" t="s">
        <v>650</v>
      </c>
    </row>
    <row r="138" spans="1:30" x14ac:dyDescent="0.25">
      <c r="A138" s="62" t="s">
        <v>109</v>
      </c>
      <c r="C138" s="62" t="s">
        <v>666</v>
      </c>
      <c r="G138" s="62" t="s">
        <v>39884</v>
      </c>
      <c r="J138" s="62" t="s">
        <v>39885</v>
      </c>
      <c r="K138" s="62" t="s">
        <v>39886</v>
      </c>
      <c r="L138" s="62" t="s">
        <v>39887</v>
      </c>
      <c r="M138" s="62" t="s">
        <v>400</v>
      </c>
      <c r="N138" s="62" t="s">
        <v>401</v>
      </c>
      <c r="O138" s="62" t="s">
        <v>39888</v>
      </c>
      <c r="P138" s="62" t="s">
        <v>39889</v>
      </c>
      <c r="Q138" s="62" t="s">
        <v>39890</v>
      </c>
      <c r="R138" s="62" t="s">
        <v>402</v>
      </c>
      <c r="S138" s="62" t="s">
        <v>403</v>
      </c>
      <c r="U138" s="62" t="s">
        <v>39891</v>
      </c>
      <c r="V138" s="62" t="s">
        <v>39892</v>
      </c>
      <c r="W138" s="62" t="s">
        <v>39893</v>
      </c>
      <c r="X138" s="62" t="s">
        <v>404</v>
      </c>
      <c r="Y138" s="62" t="s">
        <v>405</v>
      </c>
      <c r="Z138" s="62" t="s">
        <v>39894</v>
      </c>
      <c r="AA138" s="62" t="s">
        <v>39895</v>
      </c>
      <c r="AB138" s="62" t="s">
        <v>39896</v>
      </c>
      <c r="AC138" s="62" t="s">
        <v>406</v>
      </c>
      <c r="AD138" s="62" t="s">
        <v>407</v>
      </c>
    </row>
    <row r="139" spans="1:30" x14ac:dyDescent="0.25">
      <c r="A139" s="62" t="s">
        <v>109</v>
      </c>
    </row>
    <row r="140" spans="1:30" x14ac:dyDescent="0.25">
      <c r="A140" s="62" t="s">
        <v>109</v>
      </c>
      <c r="C140" s="62" t="s">
        <v>39897</v>
      </c>
      <c r="E140" s="62" t="s">
        <v>2109</v>
      </c>
      <c r="G140" s="62" t="s">
        <v>39898</v>
      </c>
    </row>
    <row r="141" spans="1:30" x14ac:dyDescent="0.25">
      <c r="A141" s="62" t="s">
        <v>109</v>
      </c>
      <c r="C141" s="62" t="s">
        <v>667</v>
      </c>
    </row>
    <row r="142" spans="1:30" x14ac:dyDescent="0.25">
      <c r="A142" s="62" t="s">
        <v>109</v>
      </c>
      <c r="C142" s="62" t="s">
        <v>668</v>
      </c>
      <c r="F142" s="62" t="s">
        <v>39899</v>
      </c>
      <c r="G142" s="62" t="s">
        <v>58952</v>
      </c>
      <c r="J142" s="62" t="s">
        <v>2076</v>
      </c>
      <c r="K142" s="62" t="s">
        <v>58972</v>
      </c>
      <c r="L142" s="62" t="s">
        <v>2077</v>
      </c>
      <c r="M142" s="62" t="s">
        <v>409</v>
      </c>
      <c r="N142" s="62" t="s">
        <v>410</v>
      </c>
      <c r="O142" s="62" t="s">
        <v>2078</v>
      </c>
      <c r="P142" s="62" t="s">
        <v>58992</v>
      </c>
      <c r="Q142" s="62" t="s">
        <v>2079</v>
      </c>
      <c r="R142" s="62" t="s">
        <v>411</v>
      </c>
      <c r="S142" s="62" t="s">
        <v>412</v>
      </c>
      <c r="U142" s="62" t="s">
        <v>2080</v>
      </c>
      <c r="V142" s="62" t="s">
        <v>59012</v>
      </c>
      <c r="W142" s="62" t="s">
        <v>2081</v>
      </c>
      <c r="X142" s="62" t="s">
        <v>413</v>
      </c>
      <c r="Y142" s="62" t="s">
        <v>414</v>
      </c>
      <c r="Z142" s="62" t="s">
        <v>2082</v>
      </c>
      <c r="AA142" s="62" t="s">
        <v>59032</v>
      </c>
      <c r="AB142" s="62" t="s">
        <v>2083</v>
      </c>
      <c r="AC142" s="62" t="s">
        <v>415</v>
      </c>
      <c r="AD142" s="62" t="s">
        <v>416</v>
      </c>
    </row>
    <row r="143" spans="1:30" x14ac:dyDescent="0.25">
      <c r="A143" s="62" t="s">
        <v>109</v>
      </c>
      <c r="C143" s="62" t="s">
        <v>669</v>
      </c>
      <c r="F143" s="62" t="s">
        <v>758</v>
      </c>
      <c r="G143" s="62" t="s">
        <v>58953</v>
      </c>
      <c r="J143" s="62" t="s">
        <v>2084</v>
      </c>
      <c r="K143" s="62" t="s">
        <v>58973</v>
      </c>
      <c r="L143" s="62" t="s">
        <v>2085</v>
      </c>
      <c r="M143" s="62" t="s">
        <v>2086</v>
      </c>
      <c r="N143" s="62" t="s">
        <v>2087</v>
      </c>
      <c r="O143" s="62" t="s">
        <v>2088</v>
      </c>
      <c r="P143" s="62" t="s">
        <v>58993</v>
      </c>
      <c r="Q143" s="62" t="s">
        <v>2089</v>
      </c>
      <c r="R143" s="62" t="s">
        <v>2090</v>
      </c>
      <c r="S143" s="62" t="s">
        <v>2091</v>
      </c>
      <c r="U143" s="62" t="s">
        <v>2092</v>
      </c>
      <c r="V143" s="62" t="s">
        <v>59013</v>
      </c>
      <c r="W143" s="62" t="s">
        <v>2093</v>
      </c>
      <c r="X143" s="62" t="s">
        <v>2094</v>
      </c>
      <c r="Y143" s="62" t="s">
        <v>2095</v>
      </c>
      <c r="Z143" s="62" t="s">
        <v>2096</v>
      </c>
      <c r="AA143" s="62" t="s">
        <v>59033</v>
      </c>
      <c r="AB143" s="62" t="s">
        <v>2097</v>
      </c>
      <c r="AC143" s="62" t="s">
        <v>2098</v>
      </c>
      <c r="AD143" s="62" t="s">
        <v>2099</v>
      </c>
    </row>
    <row r="144" spans="1:30" x14ac:dyDescent="0.25">
      <c r="A144" s="62" t="s">
        <v>109</v>
      </c>
      <c r="C144" s="62" t="s">
        <v>39900</v>
      </c>
      <c r="F144" s="62" t="s">
        <v>2135</v>
      </c>
      <c r="G144" s="62" t="s">
        <v>58954</v>
      </c>
      <c r="J144" s="62" t="s">
        <v>39901</v>
      </c>
      <c r="K144" s="62" t="s">
        <v>58974</v>
      </c>
      <c r="L144" s="62" t="s">
        <v>39902</v>
      </c>
      <c r="M144" s="62" t="s">
        <v>39903</v>
      </c>
      <c r="N144" s="62" t="s">
        <v>39904</v>
      </c>
      <c r="O144" s="62" t="s">
        <v>39905</v>
      </c>
      <c r="P144" s="62" t="s">
        <v>58994</v>
      </c>
      <c r="Q144" s="62" t="s">
        <v>39906</v>
      </c>
      <c r="R144" s="62" t="s">
        <v>39907</v>
      </c>
      <c r="S144" s="62" t="s">
        <v>39908</v>
      </c>
      <c r="U144" s="62" t="s">
        <v>39909</v>
      </c>
      <c r="V144" s="62" t="s">
        <v>59014</v>
      </c>
      <c r="W144" s="62" t="s">
        <v>39910</v>
      </c>
      <c r="X144" s="62" t="s">
        <v>39911</v>
      </c>
      <c r="Y144" s="62" t="s">
        <v>39912</v>
      </c>
      <c r="Z144" s="62" t="s">
        <v>39913</v>
      </c>
      <c r="AA144" s="62" t="s">
        <v>59034</v>
      </c>
      <c r="AB144" s="62" t="s">
        <v>39914</v>
      </c>
      <c r="AC144" s="62" t="s">
        <v>39915</v>
      </c>
      <c r="AD144" s="62" t="s">
        <v>39916</v>
      </c>
    </row>
    <row r="145" spans="1:30" x14ac:dyDescent="0.25">
      <c r="A145" s="62" t="s">
        <v>109</v>
      </c>
      <c r="C145" s="62" t="s">
        <v>2100</v>
      </c>
      <c r="F145" s="62" t="s">
        <v>2153</v>
      </c>
      <c r="G145" s="62" t="s">
        <v>58955</v>
      </c>
      <c r="J145" s="62" t="s">
        <v>39917</v>
      </c>
      <c r="K145" s="62" t="s">
        <v>58975</v>
      </c>
      <c r="L145" s="62" t="s">
        <v>39918</v>
      </c>
      <c r="M145" s="62" t="s">
        <v>2101</v>
      </c>
      <c r="N145" s="62" t="s">
        <v>2102</v>
      </c>
      <c r="O145" s="62" t="s">
        <v>39919</v>
      </c>
      <c r="P145" s="62" t="s">
        <v>58995</v>
      </c>
      <c r="Q145" s="62" t="s">
        <v>39920</v>
      </c>
      <c r="R145" s="62" t="s">
        <v>2103</v>
      </c>
      <c r="S145" s="62" t="s">
        <v>2104</v>
      </c>
      <c r="U145" s="62" t="s">
        <v>39921</v>
      </c>
      <c r="V145" s="62" t="s">
        <v>59015</v>
      </c>
      <c r="W145" s="62" t="s">
        <v>39922</v>
      </c>
      <c r="X145" s="62" t="s">
        <v>2105</v>
      </c>
      <c r="Y145" s="62" t="s">
        <v>2106</v>
      </c>
      <c r="Z145" s="62" t="s">
        <v>39923</v>
      </c>
      <c r="AA145" s="62" t="s">
        <v>59035</v>
      </c>
      <c r="AB145" s="62" t="s">
        <v>39924</v>
      </c>
      <c r="AC145" s="62" t="s">
        <v>2107</v>
      </c>
      <c r="AD145" s="62" t="s">
        <v>2108</v>
      </c>
    </row>
    <row r="146" spans="1:30" x14ac:dyDescent="0.25">
      <c r="A146" s="62" t="s">
        <v>109</v>
      </c>
      <c r="C146" s="62" t="s">
        <v>39925</v>
      </c>
      <c r="F146" s="62" t="s">
        <v>2170</v>
      </c>
      <c r="G146" s="62" t="s">
        <v>58956</v>
      </c>
      <c r="J146" s="62" t="s">
        <v>39926</v>
      </c>
      <c r="K146" s="62" t="s">
        <v>58976</v>
      </c>
      <c r="L146" s="62" t="s">
        <v>39927</v>
      </c>
      <c r="M146" s="62" t="s">
        <v>39928</v>
      </c>
      <c r="N146" s="62" t="s">
        <v>39929</v>
      </c>
      <c r="O146" s="62" t="s">
        <v>39930</v>
      </c>
      <c r="P146" s="62" t="s">
        <v>58996</v>
      </c>
      <c r="Q146" s="62" t="s">
        <v>39931</v>
      </c>
      <c r="R146" s="62" t="s">
        <v>39932</v>
      </c>
      <c r="S146" s="62" t="s">
        <v>39933</v>
      </c>
      <c r="U146" s="62" t="s">
        <v>39934</v>
      </c>
      <c r="V146" s="62" t="s">
        <v>59016</v>
      </c>
      <c r="W146" s="62" t="s">
        <v>39935</v>
      </c>
      <c r="X146" s="62" t="s">
        <v>39936</v>
      </c>
      <c r="Y146" s="62" t="s">
        <v>39937</v>
      </c>
      <c r="Z146" s="62" t="s">
        <v>39938</v>
      </c>
      <c r="AA146" s="62" t="s">
        <v>59036</v>
      </c>
      <c r="AB146" s="62" t="s">
        <v>39939</v>
      </c>
      <c r="AC146" s="62" t="s">
        <v>39940</v>
      </c>
      <c r="AD146" s="62" t="s">
        <v>39941</v>
      </c>
    </row>
    <row r="147" spans="1:30" x14ac:dyDescent="0.25">
      <c r="A147" s="62" t="s">
        <v>109</v>
      </c>
      <c r="C147" s="62" t="s">
        <v>39942</v>
      </c>
      <c r="F147" s="62" t="s">
        <v>2187</v>
      </c>
      <c r="G147" s="62" t="s">
        <v>58957</v>
      </c>
      <c r="J147" s="62" t="s">
        <v>39943</v>
      </c>
      <c r="K147" s="62" t="s">
        <v>58977</v>
      </c>
      <c r="L147" s="62" t="s">
        <v>39944</v>
      </c>
      <c r="M147" s="62" t="s">
        <v>39945</v>
      </c>
      <c r="N147" s="62" t="s">
        <v>39946</v>
      </c>
      <c r="O147" s="62" t="s">
        <v>39947</v>
      </c>
      <c r="P147" s="62" t="s">
        <v>58997</v>
      </c>
      <c r="Q147" s="62" t="s">
        <v>39948</v>
      </c>
      <c r="R147" s="62" t="s">
        <v>39949</v>
      </c>
      <c r="S147" s="62" t="s">
        <v>39950</v>
      </c>
      <c r="U147" s="62" t="s">
        <v>39951</v>
      </c>
      <c r="V147" s="62" t="s">
        <v>59017</v>
      </c>
      <c r="W147" s="62" t="s">
        <v>39952</v>
      </c>
      <c r="X147" s="62" t="s">
        <v>39953</v>
      </c>
      <c r="Y147" s="62" t="s">
        <v>39954</v>
      </c>
      <c r="Z147" s="62" t="s">
        <v>39955</v>
      </c>
      <c r="AA147" s="62" t="s">
        <v>59037</v>
      </c>
      <c r="AB147" s="62" t="s">
        <v>39956</v>
      </c>
      <c r="AC147" s="62" t="s">
        <v>39957</v>
      </c>
      <c r="AD147" s="62" t="s">
        <v>39958</v>
      </c>
    </row>
    <row r="148" spans="1:30" x14ac:dyDescent="0.25">
      <c r="A148" s="62" t="s">
        <v>109</v>
      </c>
      <c r="C148" s="62" t="s">
        <v>670</v>
      </c>
      <c r="F148" s="62" t="s">
        <v>176</v>
      </c>
      <c r="G148" s="62" t="s">
        <v>58958</v>
      </c>
      <c r="J148" s="62" t="s">
        <v>39959</v>
      </c>
      <c r="K148" s="62" t="s">
        <v>58978</v>
      </c>
      <c r="L148" s="62" t="s">
        <v>39960</v>
      </c>
      <c r="M148" s="62" t="s">
        <v>39961</v>
      </c>
      <c r="N148" s="62" t="s">
        <v>39962</v>
      </c>
      <c r="O148" s="62" t="s">
        <v>39963</v>
      </c>
      <c r="P148" s="62" t="s">
        <v>58998</v>
      </c>
      <c r="Q148" s="62" t="s">
        <v>39964</v>
      </c>
      <c r="R148" s="62" t="s">
        <v>39965</v>
      </c>
      <c r="S148" s="62" t="s">
        <v>39966</v>
      </c>
      <c r="U148" s="62" t="s">
        <v>39967</v>
      </c>
      <c r="V148" s="62" t="s">
        <v>59018</v>
      </c>
      <c r="W148" s="62" t="s">
        <v>39968</v>
      </c>
      <c r="X148" s="62" t="s">
        <v>39969</v>
      </c>
      <c r="Y148" s="62" t="s">
        <v>39970</v>
      </c>
      <c r="Z148" s="62" t="s">
        <v>39971</v>
      </c>
      <c r="AA148" s="62" t="s">
        <v>59038</v>
      </c>
      <c r="AB148" s="62" t="s">
        <v>39972</v>
      </c>
      <c r="AC148" s="62" t="s">
        <v>39973</v>
      </c>
      <c r="AD148" s="62" t="s">
        <v>39974</v>
      </c>
    </row>
    <row r="149" spans="1:30" x14ac:dyDescent="0.25">
      <c r="A149" s="62" t="s">
        <v>109</v>
      </c>
      <c r="C149" s="62" t="s">
        <v>671</v>
      </c>
      <c r="F149" s="62" t="s">
        <v>2212</v>
      </c>
      <c r="G149" s="62" t="s">
        <v>58959</v>
      </c>
      <c r="J149" s="62" t="s">
        <v>2110</v>
      </c>
      <c r="K149" s="62" t="s">
        <v>58979</v>
      </c>
      <c r="L149" s="62" t="s">
        <v>2111</v>
      </c>
      <c r="M149" s="62" t="s">
        <v>2112</v>
      </c>
      <c r="N149" s="62" t="s">
        <v>2113</v>
      </c>
      <c r="O149" s="62" t="s">
        <v>2114</v>
      </c>
      <c r="P149" s="62" t="s">
        <v>58999</v>
      </c>
      <c r="Q149" s="62" t="s">
        <v>2115</v>
      </c>
      <c r="R149" s="62" t="s">
        <v>2116</v>
      </c>
      <c r="S149" s="62" t="s">
        <v>2117</v>
      </c>
      <c r="U149" s="62" t="s">
        <v>2118</v>
      </c>
      <c r="V149" s="62" t="s">
        <v>59019</v>
      </c>
      <c r="W149" s="62" t="s">
        <v>2119</v>
      </c>
      <c r="X149" s="62" t="s">
        <v>2120</v>
      </c>
      <c r="Y149" s="62" t="s">
        <v>2121</v>
      </c>
      <c r="Z149" s="62" t="s">
        <v>2122</v>
      </c>
      <c r="AA149" s="62" t="s">
        <v>59039</v>
      </c>
      <c r="AB149" s="62" t="s">
        <v>2123</v>
      </c>
      <c r="AC149" s="62" t="s">
        <v>2124</v>
      </c>
      <c r="AD149" s="62" t="s">
        <v>2125</v>
      </c>
    </row>
    <row r="150" spans="1:30" x14ac:dyDescent="0.25">
      <c r="A150" s="62" t="s">
        <v>109</v>
      </c>
      <c r="C150" s="62" t="s">
        <v>672</v>
      </c>
      <c r="F150" s="62" t="s">
        <v>2222</v>
      </c>
      <c r="G150" s="62" t="s">
        <v>58960</v>
      </c>
      <c r="J150" s="62" t="s">
        <v>2126</v>
      </c>
      <c r="K150" s="62" t="s">
        <v>58980</v>
      </c>
      <c r="L150" s="62" t="s">
        <v>2127</v>
      </c>
      <c r="M150" s="62" t="s">
        <v>418</v>
      </c>
      <c r="N150" s="62" t="s">
        <v>419</v>
      </c>
      <c r="O150" s="62" t="s">
        <v>2128</v>
      </c>
      <c r="P150" s="62" t="s">
        <v>59000</v>
      </c>
      <c r="Q150" s="62" t="s">
        <v>2129</v>
      </c>
      <c r="R150" s="62" t="s">
        <v>420</v>
      </c>
      <c r="S150" s="62" t="s">
        <v>421</v>
      </c>
      <c r="U150" s="62" t="s">
        <v>2130</v>
      </c>
      <c r="V150" s="62" t="s">
        <v>59020</v>
      </c>
      <c r="W150" s="62" t="s">
        <v>2131</v>
      </c>
      <c r="X150" s="62" t="s">
        <v>422</v>
      </c>
      <c r="Y150" s="62" t="s">
        <v>423</v>
      </c>
      <c r="Z150" s="62" t="s">
        <v>2132</v>
      </c>
      <c r="AA150" s="62" t="s">
        <v>59040</v>
      </c>
      <c r="AB150" s="62" t="s">
        <v>2133</v>
      </c>
      <c r="AC150" s="62" t="s">
        <v>424</v>
      </c>
      <c r="AD150" s="62" t="s">
        <v>425</v>
      </c>
    </row>
    <row r="151" spans="1:30" x14ac:dyDescent="0.25">
      <c r="A151" s="62" t="s">
        <v>109</v>
      </c>
      <c r="C151" s="62" t="s">
        <v>2134</v>
      </c>
      <c r="F151" s="62" t="s">
        <v>2240</v>
      </c>
      <c r="G151" s="62" t="s">
        <v>58961</v>
      </c>
      <c r="J151" s="62" t="s">
        <v>2136</v>
      </c>
      <c r="K151" s="62" t="s">
        <v>58981</v>
      </c>
      <c r="L151" s="62" t="s">
        <v>2137</v>
      </c>
      <c r="M151" s="62" t="s">
        <v>2138</v>
      </c>
      <c r="N151" s="62" t="s">
        <v>2139</v>
      </c>
      <c r="O151" s="62" t="s">
        <v>2140</v>
      </c>
      <c r="P151" s="62" t="s">
        <v>59001</v>
      </c>
      <c r="Q151" s="62" t="s">
        <v>2141</v>
      </c>
      <c r="R151" s="62" t="s">
        <v>2142</v>
      </c>
      <c r="S151" s="62" t="s">
        <v>2143</v>
      </c>
      <c r="U151" s="62" t="s">
        <v>2144</v>
      </c>
      <c r="V151" s="62" t="s">
        <v>59021</v>
      </c>
      <c r="W151" s="62" t="s">
        <v>2145</v>
      </c>
      <c r="X151" s="62" t="s">
        <v>2146</v>
      </c>
      <c r="Y151" s="62" t="s">
        <v>2147</v>
      </c>
      <c r="Z151" s="62" t="s">
        <v>2148</v>
      </c>
      <c r="AA151" s="62" t="s">
        <v>59041</v>
      </c>
      <c r="AB151" s="62" t="s">
        <v>2149</v>
      </c>
      <c r="AC151" s="62" t="s">
        <v>2150</v>
      </c>
      <c r="AD151" s="62" t="s">
        <v>2151</v>
      </c>
    </row>
    <row r="152" spans="1:30" x14ac:dyDescent="0.25">
      <c r="A152" s="62" t="s">
        <v>109</v>
      </c>
      <c r="C152" s="62" t="s">
        <v>2152</v>
      </c>
      <c r="F152" s="62" t="s">
        <v>210</v>
      </c>
      <c r="G152" s="62" t="s">
        <v>58962</v>
      </c>
      <c r="J152" s="62" t="s">
        <v>2154</v>
      </c>
      <c r="K152" s="62" t="s">
        <v>58982</v>
      </c>
      <c r="L152" s="62" t="s">
        <v>2155</v>
      </c>
      <c r="M152" s="62" t="s">
        <v>2156</v>
      </c>
      <c r="N152" s="62" t="s">
        <v>2157</v>
      </c>
      <c r="O152" s="62" t="s">
        <v>2158</v>
      </c>
      <c r="P152" s="62" t="s">
        <v>59002</v>
      </c>
      <c r="Q152" s="62" t="s">
        <v>2159</v>
      </c>
      <c r="R152" s="62" t="s">
        <v>2160</v>
      </c>
      <c r="S152" s="62" t="s">
        <v>2161</v>
      </c>
      <c r="U152" s="62" t="s">
        <v>2162</v>
      </c>
      <c r="V152" s="62" t="s">
        <v>59022</v>
      </c>
      <c r="W152" s="62" t="s">
        <v>2163</v>
      </c>
      <c r="X152" s="62" t="s">
        <v>2164</v>
      </c>
      <c r="Y152" s="62" t="s">
        <v>2165</v>
      </c>
      <c r="Z152" s="62" t="s">
        <v>2166</v>
      </c>
      <c r="AA152" s="62" t="s">
        <v>59042</v>
      </c>
      <c r="AB152" s="62" t="s">
        <v>2167</v>
      </c>
      <c r="AC152" s="62" t="s">
        <v>2168</v>
      </c>
      <c r="AD152" s="62" t="s">
        <v>2169</v>
      </c>
    </row>
    <row r="153" spans="1:30" x14ac:dyDescent="0.25">
      <c r="A153" s="62" t="s">
        <v>109</v>
      </c>
      <c r="C153" s="62" t="s">
        <v>673</v>
      </c>
      <c r="F153" s="62" t="s">
        <v>227</v>
      </c>
      <c r="G153" s="62" t="s">
        <v>58963</v>
      </c>
      <c r="J153" s="62" t="s">
        <v>2171</v>
      </c>
      <c r="K153" s="62" t="s">
        <v>58983</v>
      </c>
      <c r="L153" s="62" t="s">
        <v>2172</v>
      </c>
      <c r="M153" s="62" t="s">
        <v>2173</v>
      </c>
      <c r="N153" s="62" t="s">
        <v>2174</v>
      </c>
      <c r="O153" s="62" t="s">
        <v>2175</v>
      </c>
      <c r="P153" s="62" t="s">
        <v>59003</v>
      </c>
      <c r="Q153" s="62" t="s">
        <v>2176</v>
      </c>
      <c r="R153" s="62" t="s">
        <v>2177</v>
      </c>
      <c r="S153" s="62" t="s">
        <v>2178</v>
      </c>
      <c r="U153" s="62" t="s">
        <v>2179</v>
      </c>
      <c r="V153" s="62" t="s">
        <v>59023</v>
      </c>
      <c r="W153" s="62" t="s">
        <v>2180</v>
      </c>
      <c r="X153" s="62" t="s">
        <v>2181</v>
      </c>
      <c r="Y153" s="62" t="s">
        <v>2182</v>
      </c>
      <c r="Z153" s="62" t="s">
        <v>2183</v>
      </c>
      <c r="AA153" s="62" t="s">
        <v>59043</v>
      </c>
      <c r="AB153" s="62" t="s">
        <v>2184</v>
      </c>
      <c r="AC153" s="62" t="s">
        <v>2185</v>
      </c>
      <c r="AD153" s="62" t="s">
        <v>2186</v>
      </c>
    </row>
    <row r="154" spans="1:30" x14ac:dyDescent="0.25">
      <c r="A154" s="62" t="s">
        <v>109</v>
      </c>
      <c r="C154" s="62" t="s">
        <v>674</v>
      </c>
      <c r="F154" s="62" t="s">
        <v>236</v>
      </c>
      <c r="G154" s="62" t="s">
        <v>58964</v>
      </c>
      <c r="J154" s="62" t="s">
        <v>2188</v>
      </c>
      <c r="K154" s="62" t="s">
        <v>58984</v>
      </c>
      <c r="L154" s="62" t="s">
        <v>2189</v>
      </c>
      <c r="M154" s="62" t="s">
        <v>427</v>
      </c>
      <c r="N154" s="62" t="s">
        <v>428</v>
      </c>
      <c r="O154" s="62" t="s">
        <v>2190</v>
      </c>
      <c r="P154" s="62" t="s">
        <v>59004</v>
      </c>
      <c r="Q154" s="62" t="s">
        <v>2191</v>
      </c>
      <c r="R154" s="62" t="s">
        <v>429</v>
      </c>
      <c r="S154" s="62" t="s">
        <v>430</v>
      </c>
      <c r="U154" s="62" t="s">
        <v>2192</v>
      </c>
      <c r="V154" s="62" t="s">
        <v>59024</v>
      </c>
      <c r="W154" s="62" t="s">
        <v>2193</v>
      </c>
      <c r="X154" s="62" t="s">
        <v>431</v>
      </c>
      <c r="Y154" s="62" t="s">
        <v>432</v>
      </c>
      <c r="Z154" s="62" t="s">
        <v>2194</v>
      </c>
      <c r="AA154" s="62" t="s">
        <v>59044</v>
      </c>
      <c r="AB154" s="62" t="s">
        <v>2195</v>
      </c>
      <c r="AC154" s="62" t="s">
        <v>433</v>
      </c>
      <c r="AD154" s="62" t="s">
        <v>434</v>
      </c>
    </row>
    <row r="155" spans="1:30" x14ac:dyDescent="0.25">
      <c r="A155" s="62" t="s">
        <v>109</v>
      </c>
      <c r="C155" s="62" t="s">
        <v>675</v>
      </c>
      <c r="F155" s="62" t="s">
        <v>2297</v>
      </c>
      <c r="G155" s="62" t="s">
        <v>58965</v>
      </c>
      <c r="J155" s="62" t="s">
        <v>2196</v>
      </c>
      <c r="K155" s="62" t="s">
        <v>58985</v>
      </c>
      <c r="L155" s="62" t="s">
        <v>2197</v>
      </c>
      <c r="M155" s="62" t="s">
        <v>2198</v>
      </c>
      <c r="N155" s="62" t="s">
        <v>2199</v>
      </c>
      <c r="O155" s="62" t="s">
        <v>2200</v>
      </c>
      <c r="P155" s="62" t="s">
        <v>59005</v>
      </c>
      <c r="Q155" s="62" t="s">
        <v>2201</v>
      </c>
      <c r="R155" s="62" t="s">
        <v>2202</v>
      </c>
      <c r="S155" s="62" t="s">
        <v>2203</v>
      </c>
      <c r="U155" s="62" t="s">
        <v>2204</v>
      </c>
      <c r="V155" s="62" t="s">
        <v>59025</v>
      </c>
      <c r="W155" s="62" t="s">
        <v>2205</v>
      </c>
      <c r="X155" s="62" t="s">
        <v>2206</v>
      </c>
      <c r="Y155" s="62" t="s">
        <v>2207</v>
      </c>
      <c r="Z155" s="62" t="s">
        <v>2208</v>
      </c>
      <c r="AA155" s="62" t="s">
        <v>59045</v>
      </c>
      <c r="AB155" s="62" t="s">
        <v>2209</v>
      </c>
      <c r="AC155" s="62" t="s">
        <v>2210</v>
      </c>
      <c r="AD155" s="62" t="s">
        <v>2211</v>
      </c>
    </row>
    <row r="156" spans="1:30" x14ac:dyDescent="0.25">
      <c r="A156" s="62" t="s">
        <v>109</v>
      </c>
      <c r="C156" s="62" t="s">
        <v>676</v>
      </c>
      <c r="F156" s="62" t="s">
        <v>2299</v>
      </c>
      <c r="G156" s="62" t="s">
        <v>58966</v>
      </c>
      <c r="J156" s="62" t="s">
        <v>2213</v>
      </c>
      <c r="K156" s="62" t="s">
        <v>58986</v>
      </c>
      <c r="L156" s="62" t="s">
        <v>2214</v>
      </c>
      <c r="M156" s="62" t="s">
        <v>435</v>
      </c>
      <c r="N156" s="62" t="s">
        <v>436</v>
      </c>
      <c r="O156" s="62" t="s">
        <v>2215</v>
      </c>
      <c r="P156" s="62" t="s">
        <v>59006</v>
      </c>
      <c r="Q156" s="62" t="s">
        <v>2216</v>
      </c>
      <c r="R156" s="62" t="s">
        <v>437</v>
      </c>
      <c r="S156" s="62" t="s">
        <v>438</v>
      </c>
      <c r="U156" s="62" t="s">
        <v>2217</v>
      </c>
      <c r="V156" s="62" t="s">
        <v>59026</v>
      </c>
      <c r="W156" s="62" t="s">
        <v>2218</v>
      </c>
      <c r="X156" s="62" t="s">
        <v>439</v>
      </c>
      <c r="Y156" s="62" t="s">
        <v>440</v>
      </c>
      <c r="Z156" s="62" t="s">
        <v>2219</v>
      </c>
      <c r="AA156" s="62" t="s">
        <v>59046</v>
      </c>
      <c r="AB156" s="62" t="s">
        <v>2220</v>
      </c>
      <c r="AC156" s="62" t="s">
        <v>441</v>
      </c>
      <c r="AD156" s="62" t="s">
        <v>442</v>
      </c>
    </row>
    <row r="157" spans="1:30" x14ac:dyDescent="0.25">
      <c r="A157" s="62" t="s">
        <v>109</v>
      </c>
      <c r="C157" s="62" t="s">
        <v>2221</v>
      </c>
      <c r="F157" s="62" t="s">
        <v>2308</v>
      </c>
      <c r="G157" s="62" t="s">
        <v>58967</v>
      </c>
      <c r="J157" s="62" t="s">
        <v>2223</v>
      </c>
      <c r="K157" s="62" t="s">
        <v>58987</v>
      </c>
      <c r="L157" s="62" t="s">
        <v>2224</v>
      </c>
      <c r="M157" s="62" t="s">
        <v>2225</v>
      </c>
      <c r="N157" s="62" t="s">
        <v>2226</v>
      </c>
      <c r="O157" s="62" t="s">
        <v>2227</v>
      </c>
      <c r="P157" s="62" t="s">
        <v>59007</v>
      </c>
      <c r="Q157" s="62" t="s">
        <v>2228</v>
      </c>
      <c r="R157" s="62" t="s">
        <v>2229</v>
      </c>
      <c r="S157" s="62" t="s">
        <v>2230</v>
      </c>
      <c r="U157" s="62" t="s">
        <v>2231</v>
      </c>
      <c r="V157" s="62" t="s">
        <v>59027</v>
      </c>
      <c r="W157" s="62" t="s">
        <v>2232</v>
      </c>
      <c r="X157" s="62" t="s">
        <v>2233</v>
      </c>
      <c r="Y157" s="62" t="s">
        <v>2234</v>
      </c>
      <c r="Z157" s="62" t="s">
        <v>2235</v>
      </c>
      <c r="AA157" s="62" t="s">
        <v>59047</v>
      </c>
      <c r="AB157" s="62" t="s">
        <v>2236</v>
      </c>
      <c r="AC157" s="62" t="s">
        <v>2237</v>
      </c>
      <c r="AD157" s="62" t="s">
        <v>2238</v>
      </c>
    </row>
    <row r="158" spans="1:30" x14ac:dyDescent="0.25">
      <c r="A158" s="62" t="s">
        <v>109</v>
      </c>
      <c r="C158" s="62" t="s">
        <v>2239</v>
      </c>
      <c r="F158" s="62" t="s">
        <v>2309</v>
      </c>
      <c r="G158" s="62" t="s">
        <v>58968</v>
      </c>
      <c r="J158" s="62" t="s">
        <v>2241</v>
      </c>
      <c r="K158" s="62" t="s">
        <v>58988</v>
      </c>
      <c r="L158" s="62" t="s">
        <v>2242</v>
      </c>
      <c r="M158" s="62" t="s">
        <v>2243</v>
      </c>
      <c r="N158" s="62" t="s">
        <v>2244</v>
      </c>
      <c r="O158" s="62" t="s">
        <v>2245</v>
      </c>
      <c r="P158" s="62" t="s">
        <v>59008</v>
      </c>
      <c r="Q158" s="62" t="s">
        <v>2246</v>
      </c>
      <c r="R158" s="62" t="s">
        <v>2247</v>
      </c>
      <c r="S158" s="62" t="s">
        <v>2248</v>
      </c>
      <c r="U158" s="62" t="s">
        <v>2249</v>
      </c>
      <c r="V158" s="62" t="s">
        <v>59028</v>
      </c>
      <c r="W158" s="62" t="s">
        <v>2250</v>
      </c>
      <c r="X158" s="62" t="s">
        <v>2251</v>
      </c>
      <c r="Y158" s="62" t="s">
        <v>2252</v>
      </c>
      <c r="Z158" s="62" t="s">
        <v>2253</v>
      </c>
      <c r="AA158" s="62" t="s">
        <v>59048</v>
      </c>
      <c r="AB158" s="62" t="s">
        <v>2254</v>
      </c>
      <c r="AC158" s="62" t="s">
        <v>2255</v>
      </c>
      <c r="AD158" s="62" t="s">
        <v>2256</v>
      </c>
    </row>
    <row r="159" spans="1:30" x14ac:dyDescent="0.25">
      <c r="A159" s="62" t="s">
        <v>109</v>
      </c>
      <c r="C159" s="62" t="s">
        <v>677</v>
      </c>
      <c r="F159" s="62" t="s">
        <v>1100</v>
      </c>
      <c r="G159" s="62" t="s">
        <v>58969</v>
      </c>
      <c r="J159" s="62" t="s">
        <v>2257</v>
      </c>
      <c r="K159" s="62" t="s">
        <v>58989</v>
      </c>
      <c r="L159" s="62" t="s">
        <v>2258</v>
      </c>
      <c r="M159" s="62" t="s">
        <v>2259</v>
      </c>
      <c r="N159" s="62" t="s">
        <v>2260</v>
      </c>
      <c r="O159" s="62" t="s">
        <v>2261</v>
      </c>
      <c r="P159" s="62" t="s">
        <v>59009</v>
      </c>
      <c r="Q159" s="62" t="s">
        <v>2262</v>
      </c>
      <c r="R159" s="62" t="s">
        <v>2263</v>
      </c>
      <c r="S159" s="62" t="s">
        <v>2264</v>
      </c>
      <c r="U159" s="62" t="s">
        <v>2265</v>
      </c>
      <c r="V159" s="62" t="s">
        <v>59029</v>
      </c>
      <c r="W159" s="62" t="s">
        <v>2266</v>
      </c>
      <c r="X159" s="62" t="s">
        <v>2267</v>
      </c>
      <c r="Y159" s="62" t="s">
        <v>2268</v>
      </c>
      <c r="Z159" s="62" t="s">
        <v>2269</v>
      </c>
      <c r="AA159" s="62" t="s">
        <v>59049</v>
      </c>
      <c r="AB159" s="62" t="s">
        <v>2270</v>
      </c>
      <c r="AC159" s="62" t="s">
        <v>2271</v>
      </c>
      <c r="AD159" s="62" t="s">
        <v>2272</v>
      </c>
    </row>
    <row r="160" spans="1:30" x14ac:dyDescent="0.25">
      <c r="A160" s="62" t="s">
        <v>109</v>
      </c>
      <c r="C160" s="62" t="s">
        <v>678</v>
      </c>
      <c r="F160" s="62" t="s">
        <v>2355</v>
      </c>
      <c r="G160" s="62" t="s">
        <v>58970</v>
      </c>
      <c r="J160" s="62" t="s">
        <v>2273</v>
      </c>
      <c r="K160" s="62" t="s">
        <v>58990</v>
      </c>
      <c r="L160" s="62" t="s">
        <v>2274</v>
      </c>
      <c r="M160" s="62" t="s">
        <v>444</v>
      </c>
      <c r="N160" s="62" t="s">
        <v>445</v>
      </c>
      <c r="O160" s="62" t="s">
        <v>2275</v>
      </c>
      <c r="P160" s="62" t="s">
        <v>59010</v>
      </c>
      <c r="Q160" s="62" t="s">
        <v>2276</v>
      </c>
      <c r="R160" s="62" t="s">
        <v>446</v>
      </c>
      <c r="S160" s="62" t="s">
        <v>447</v>
      </c>
      <c r="U160" s="62" t="s">
        <v>2277</v>
      </c>
      <c r="V160" s="62" t="s">
        <v>59030</v>
      </c>
      <c r="W160" s="62" t="s">
        <v>2278</v>
      </c>
      <c r="X160" s="62" t="s">
        <v>448</v>
      </c>
      <c r="Y160" s="62" t="s">
        <v>449</v>
      </c>
      <c r="Z160" s="62" t="s">
        <v>2279</v>
      </c>
      <c r="AA160" s="62" t="s">
        <v>59050</v>
      </c>
      <c r="AB160" s="62" t="s">
        <v>2280</v>
      </c>
      <c r="AC160" s="62" t="s">
        <v>450</v>
      </c>
      <c r="AD160" s="62" t="s">
        <v>451</v>
      </c>
    </row>
    <row r="161" spans="1:30" x14ac:dyDescent="0.25">
      <c r="A161" s="62" t="s">
        <v>109</v>
      </c>
      <c r="C161" s="62" t="s">
        <v>679</v>
      </c>
      <c r="F161" s="62" t="s">
        <v>2372</v>
      </c>
      <c r="G161" s="62" t="s">
        <v>58971</v>
      </c>
      <c r="J161" s="62" t="s">
        <v>2281</v>
      </c>
      <c r="K161" s="62" t="s">
        <v>58991</v>
      </c>
      <c r="L161" s="62" t="s">
        <v>2282</v>
      </c>
      <c r="M161" s="62" t="s">
        <v>2283</v>
      </c>
      <c r="N161" s="62" t="s">
        <v>2284</v>
      </c>
      <c r="O161" s="62" t="s">
        <v>2285</v>
      </c>
      <c r="P161" s="62" t="s">
        <v>59011</v>
      </c>
      <c r="Q161" s="62" t="s">
        <v>2286</v>
      </c>
      <c r="R161" s="62" t="s">
        <v>2287</v>
      </c>
      <c r="S161" s="62" t="s">
        <v>2288</v>
      </c>
      <c r="U161" s="62" t="s">
        <v>2289</v>
      </c>
      <c r="V161" s="62" t="s">
        <v>59031</v>
      </c>
      <c r="W161" s="62" t="s">
        <v>2290</v>
      </c>
      <c r="X161" s="62" t="s">
        <v>2291</v>
      </c>
      <c r="Y161" s="62" t="s">
        <v>2292</v>
      </c>
      <c r="Z161" s="62" t="s">
        <v>2293</v>
      </c>
      <c r="AA161" s="62" t="s">
        <v>59051</v>
      </c>
      <c r="AB161" s="62" t="s">
        <v>2294</v>
      </c>
      <c r="AC161" s="62" t="s">
        <v>2295</v>
      </c>
      <c r="AD161" s="62" t="s">
        <v>2296</v>
      </c>
    </row>
    <row r="162" spans="1:30" x14ac:dyDescent="0.25">
      <c r="A162" s="62" t="s">
        <v>109</v>
      </c>
      <c r="C162" s="62" t="s">
        <v>669</v>
      </c>
    </row>
    <row r="163" spans="1:30" x14ac:dyDescent="0.25">
      <c r="A163" s="62" t="s">
        <v>109</v>
      </c>
      <c r="C163" s="62" t="s">
        <v>2298</v>
      </c>
      <c r="G163" s="62" t="s">
        <v>39975</v>
      </c>
      <c r="J163" s="62" t="s">
        <v>39976</v>
      </c>
      <c r="K163" s="62" t="s">
        <v>39977</v>
      </c>
      <c r="L163" s="62" t="s">
        <v>39978</v>
      </c>
      <c r="M163" s="62" t="s">
        <v>2300</v>
      </c>
      <c r="N163" s="62" t="s">
        <v>2301</v>
      </c>
      <c r="O163" s="62" t="s">
        <v>39979</v>
      </c>
      <c r="P163" s="62" t="s">
        <v>39980</v>
      </c>
      <c r="Q163" s="62" t="s">
        <v>39981</v>
      </c>
      <c r="R163" s="62" t="s">
        <v>2302</v>
      </c>
      <c r="S163" s="62" t="s">
        <v>2303</v>
      </c>
      <c r="U163" s="62" t="s">
        <v>39982</v>
      </c>
      <c r="V163" s="62" t="s">
        <v>39983</v>
      </c>
      <c r="W163" s="62" t="s">
        <v>39984</v>
      </c>
      <c r="X163" s="62" t="s">
        <v>2304</v>
      </c>
      <c r="Y163" s="62" t="s">
        <v>2305</v>
      </c>
      <c r="Z163" s="62" t="s">
        <v>39985</v>
      </c>
      <c r="AA163" s="62" t="s">
        <v>39986</v>
      </c>
      <c r="AB163" s="62" t="s">
        <v>39987</v>
      </c>
      <c r="AC163" s="62" t="s">
        <v>2306</v>
      </c>
      <c r="AD163" s="62" t="s">
        <v>2307</v>
      </c>
    </row>
    <row r="164" spans="1:30" x14ac:dyDescent="0.25">
      <c r="A164" s="62" t="s">
        <v>109</v>
      </c>
    </row>
    <row r="165" spans="1:30" x14ac:dyDescent="0.25">
      <c r="A165" s="62" t="s">
        <v>109</v>
      </c>
      <c r="C165" s="62" t="s">
        <v>39988</v>
      </c>
      <c r="E165" s="62" t="s">
        <v>1359</v>
      </c>
      <c r="G165" s="62" t="s">
        <v>39989</v>
      </c>
    </row>
    <row r="166" spans="1:30" x14ac:dyDescent="0.25">
      <c r="A166" s="62" t="s">
        <v>109</v>
      </c>
      <c r="C166" s="62" t="s">
        <v>680</v>
      </c>
    </row>
    <row r="167" spans="1:30" x14ac:dyDescent="0.25">
      <c r="A167" s="62" t="s">
        <v>109</v>
      </c>
      <c r="C167" s="62" t="s">
        <v>681</v>
      </c>
      <c r="F167" s="62" t="s">
        <v>39990</v>
      </c>
      <c r="G167" s="62" t="s">
        <v>58907</v>
      </c>
      <c r="J167" s="62" t="s">
        <v>2312</v>
      </c>
      <c r="K167" s="62" t="s">
        <v>58916</v>
      </c>
      <c r="L167" s="62" t="s">
        <v>2313</v>
      </c>
      <c r="M167" s="62" t="s">
        <v>2314</v>
      </c>
      <c r="N167" s="62" t="s">
        <v>2315</v>
      </c>
      <c r="O167" s="62" t="s">
        <v>2316</v>
      </c>
      <c r="P167" s="62" t="s">
        <v>58925</v>
      </c>
      <c r="Q167" s="62" t="s">
        <v>2317</v>
      </c>
      <c r="R167" s="62" t="s">
        <v>2318</v>
      </c>
      <c r="S167" s="62" t="s">
        <v>2319</v>
      </c>
      <c r="U167" s="62" t="s">
        <v>2320</v>
      </c>
      <c r="V167" s="62" t="s">
        <v>58934</v>
      </c>
      <c r="W167" s="62" t="s">
        <v>2321</v>
      </c>
      <c r="X167" s="62" t="s">
        <v>2322</v>
      </c>
      <c r="Y167" s="62" t="s">
        <v>2323</v>
      </c>
      <c r="Z167" s="62" t="s">
        <v>2324</v>
      </c>
      <c r="AA167" s="62" t="s">
        <v>58943</v>
      </c>
      <c r="AB167" s="62" t="s">
        <v>2325</v>
      </c>
      <c r="AC167" s="62" t="s">
        <v>2326</v>
      </c>
      <c r="AD167" s="62" t="s">
        <v>2327</v>
      </c>
    </row>
    <row r="168" spans="1:30" x14ac:dyDescent="0.25">
      <c r="A168" s="62" t="s">
        <v>109</v>
      </c>
      <c r="C168" s="62" t="s">
        <v>682</v>
      </c>
      <c r="F168" s="62" t="s">
        <v>2405</v>
      </c>
      <c r="G168" s="62" t="s">
        <v>58908</v>
      </c>
      <c r="J168" s="62" t="s">
        <v>2328</v>
      </c>
      <c r="K168" s="62" t="s">
        <v>58917</v>
      </c>
      <c r="L168" s="62" t="s">
        <v>2329</v>
      </c>
      <c r="M168" s="62" t="s">
        <v>453</v>
      </c>
      <c r="N168" s="62" t="s">
        <v>454</v>
      </c>
      <c r="O168" s="62" t="s">
        <v>2330</v>
      </c>
      <c r="P168" s="62" t="s">
        <v>58926</v>
      </c>
      <c r="Q168" s="62" t="s">
        <v>2331</v>
      </c>
      <c r="R168" s="62" t="s">
        <v>455</v>
      </c>
      <c r="S168" s="62" t="s">
        <v>456</v>
      </c>
      <c r="U168" s="62" t="s">
        <v>2332</v>
      </c>
      <c r="V168" s="62" t="s">
        <v>58935</v>
      </c>
      <c r="W168" s="62" t="s">
        <v>2333</v>
      </c>
      <c r="X168" s="62" t="s">
        <v>457</v>
      </c>
      <c r="Y168" s="62" t="s">
        <v>458</v>
      </c>
      <c r="Z168" s="62" t="s">
        <v>2334</v>
      </c>
      <c r="AA168" s="62" t="s">
        <v>58944</v>
      </c>
      <c r="AB168" s="62" t="s">
        <v>2335</v>
      </c>
      <c r="AC168" s="62" t="s">
        <v>459</v>
      </c>
      <c r="AD168" s="62" t="s">
        <v>460</v>
      </c>
    </row>
    <row r="169" spans="1:30" x14ac:dyDescent="0.25">
      <c r="A169" s="62" t="s">
        <v>109</v>
      </c>
      <c r="C169" s="62" t="s">
        <v>2336</v>
      </c>
      <c r="F169" s="62" t="s">
        <v>236</v>
      </c>
      <c r="G169" s="62" t="s">
        <v>58909</v>
      </c>
      <c r="J169" s="62" t="s">
        <v>2338</v>
      </c>
      <c r="K169" s="62" t="s">
        <v>58918</v>
      </c>
      <c r="L169" s="62" t="s">
        <v>2339</v>
      </c>
      <c r="M169" s="62" t="s">
        <v>2340</v>
      </c>
      <c r="N169" s="62" t="s">
        <v>2341</v>
      </c>
      <c r="O169" s="62" t="s">
        <v>2342</v>
      </c>
      <c r="P169" s="62" t="s">
        <v>58927</v>
      </c>
      <c r="Q169" s="62" t="s">
        <v>2343</v>
      </c>
      <c r="R169" s="62" t="s">
        <v>2344</v>
      </c>
      <c r="S169" s="62" t="s">
        <v>2345</v>
      </c>
      <c r="U169" s="62" t="s">
        <v>2346</v>
      </c>
      <c r="V169" s="62" t="s">
        <v>58936</v>
      </c>
      <c r="W169" s="62" t="s">
        <v>2347</v>
      </c>
      <c r="X169" s="62" t="s">
        <v>2348</v>
      </c>
      <c r="Y169" s="62" t="s">
        <v>2349</v>
      </c>
      <c r="Z169" s="62" t="s">
        <v>2350</v>
      </c>
      <c r="AA169" s="62" t="s">
        <v>58945</v>
      </c>
      <c r="AB169" s="62" t="s">
        <v>2351</v>
      </c>
      <c r="AC169" s="62" t="s">
        <v>2352</v>
      </c>
      <c r="AD169" s="62" t="s">
        <v>2353</v>
      </c>
    </row>
    <row r="170" spans="1:30" x14ac:dyDescent="0.25">
      <c r="A170" s="62" t="s">
        <v>109</v>
      </c>
      <c r="C170" s="62" t="s">
        <v>2354</v>
      </c>
      <c r="F170" s="62" t="s">
        <v>2297</v>
      </c>
      <c r="G170" s="62" t="s">
        <v>58910</v>
      </c>
      <c r="J170" s="62" t="s">
        <v>2356</v>
      </c>
      <c r="K170" s="62" t="s">
        <v>58919</v>
      </c>
      <c r="L170" s="62" t="s">
        <v>2357</v>
      </c>
      <c r="M170" s="62" t="s">
        <v>2358</v>
      </c>
      <c r="N170" s="62" t="s">
        <v>2359</v>
      </c>
      <c r="O170" s="62" t="s">
        <v>2360</v>
      </c>
      <c r="P170" s="62" t="s">
        <v>58928</v>
      </c>
      <c r="Q170" s="62" t="s">
        <v>2361</v>
      </c>
      <c r="R170" s="62" t="s">
        <v>2362</v>
      </c>
      <c r="S170" s="62" t="s">
        <v>2363</v>
      </c>
      <c r="U170" s="62" t="s">
        <v>2364</v>
      </c>
      <c r="V170" s="62" t="s">
        <v>58937</v>
      </c>
      <c r="W170" s="62" t="s">
        <v>2365</v>
      </c>
      <c r="X170" s="62" t="s">
        <v>2366</v>
      </c>
      <c r="Y170" s="62" t="s">
        <v>2367</v>
      </c>
      <c r="Z170" s="62" t="s">
        <v>2368</v>
      </c>
      <c r="AA170" s="62" t="s">
        <v>58946</v>
      </c>
      <c r="AB170" s="62" t="s">
        <v>2369</v>
      </c>
      <c r="AC170" s="62" t="s">
        <v>2370</v>
      </c>
      <c r="AD170" s="62" t="s">
        <v>2371</v>
      </c>
    </row>
    <row r="171" spans="1:30" x14ac:dyDescent="0.25">
      <c r="A171" s="62" t="s">
        <v>109</v>
      </c>
      <c r="C171" s="62" t="s">
        <v>683</v>
      </c>
      <c r="F171" s="62" t="s">
        <v>2299</v>
      </c>
      <c r="G171" s="62" t="s">
        <v>58911</v>
      </c>
      <c r="J171" s="62" t="s">
        <v>2373</v>
      </c>
      <c r="K171" s="62" t="s">
        <v>58920</v>
      </c>
      <c r="L171" s="62" t="s">
        <v>2374</v>
      </c>
      <c r="M171" s="62" t="s">
        <v>2375</v>
      </c>
      <c r="N171" s="62" t="s">
        <v>2376</v>
      </c>
      <c r="O171" s="62" t="s">
        <v>2377</v>
      </c>
      <c r="P171" s="62" t="s">
        <v>58929</v>
      </c>
      <c r="Q171" s="62" t="s">
        <v>2378</v>
      </c>
      <c r="R171" s="62" t="s">
        <v>2379</v>
      </c>
      <c r="S171" s="62" t="s">
        <v>2380</v>
      </c>
      <c r="U171" s="62" t="s">
        <v>2381</v>
      </c>
      <c r="V171" s="62" t="s">
        <v>58938</v>
      </c>
      <c r="W171" s="62" t="s">
        <v>2382</v>
      </c>
      <c r="X171" s="62" t="s">
        <v>2383</v>
      </c>
      <c r="Y171" s="62" t="s">
        <v>2384</v>
      </c>
      <c r="Z171" s="62" t="s">
        <v>2385</v>
      </c>
      <c r="AA171" s="62" t="s">
        <v>58947</v>
      </c>
      <c r="AB171" s="62" t="s">
        <v>2386</v>
      </c>
      <c r="AC171" s="62" t="s">
        <v>2387</v>
      </c>
      <c r="AD171" s="62" t="s">
        <v>2388</v>
      </c>
    </row>
    <row r="172" spans="1:30" x14ac:dyDescent="0.25">
      <c r="A172" s="62" t="s">
        <v>109</v>
      </c>
      <c r="C172" s="62" t="s">
        <v>39991</v>
      </c>
      <c r="F172" s="62" t="s">
        <v>2464</v>
      </c>
      <c r="G172" s="62" t="s">
        <v>58912</v>
      </c>
      <c r="J172" s="62" t="s">
        <v>39992</v>
      </c>
      <c r="K172" s="62" t="s">
        <v>58921</v>
      </c>
      <c r="L172" s="62" t="s">
        <v>39993</v>
      </c>
      <c r="M172" s="62" t="s">
        <v>39994</v>
      </c>
      <c r="N172" s="62" t="s">
        <v>39995</v>
      </c>
      <c r="O172" s="62" t="s">
        <v>39996</v>
      </c>
      <c r="P172" s="62" t="s">
        <v>58930</v>
      </c>
      <c r="Q172" s="62" t="s">
        <v>39997</v>
      </c>
      <c r="R172" s="62" t="s">
        <v>39998</v>
      </c>
      <c r="S172" s="62" t="s">
        <v>39999</v>
      </c>
      <c r="U172" s="62" t="s">
        <v>40000</v>
      </c>
      <c r="V172" s="62" t="s">
        <v>58939</v>
      </c>
      <c r="W172" s="62" t="s">
        <v>40001</v>
      </c>
      <c r="X172" s="62" t="s">
        <v>40002</v>
      </c>
      <c r="Y172" s="62" t="s">
        <v>40003</v>
      </c>
      <c r="Z172" s="62" t="s">
        <v>40004</v>
      </c>
      <c r="AA172" s="62" t="s">
        <v>58948</v>
      </c>
      <c r="AB172" s="62" t="s">
        <v>40005</v>
      </c>
      <c r="AC172" s="62" t="s">
        <v>40006</v>
      </c>
      <c r="AD172" s="62" t="s">
        <v>40007</v>
      </c>
    </row>
    <row r="173" spans="1:30" x14ac:dyDescent="0.25">
      <c r="A173" s="62" t="s">
        <v>109</v>
      </c>
      <c r="C173" s="62" t="s">
        <v>684</v>
      </c>
      <c r="F173" s="62" t="s">
        <v>1100</v>
      </c>
      <c r="G173" s="62" t="s">
        <v>58913</v>
      </c>
      <c r="J173" s="62" t="s">
        <v>40008</v>
      </c>
      <c r="K173" s="62" t="s">
        <v>58922</v>
      </c>
      <c r="L173" s="62" t="s">
        <v>40009</v>
      </c>
      <c r="M173" s="62" t="s">
        <v>2389</v>
      </c>
      <c r="N173" s="62" t="s">
        <v>2390</v>
      </c>
      <c r="O173" s="62" t="s">
        <v>40010</v>
      </c>
      <c r="P173" s="62" t="s">
        <v>58931</v>
      </c>
      <c r="Q173" s="62" t="s">
        <v>40011</v>
      </c>
      <c r="R173" s="62" t="s">
        <v>2391</v>
      </c>
      <c r="S173" s="62" t="s">
        <v>2392</v>
      </c>
      <c r="U173" s="62" t="s">
        <v>40012</v>
      </c>
      <c r="V173" s="62" t="s">
        <v>58940</v>
      </c>
      <c r="W173" s="62" t="s">
        <v>40013</v>
      </c>
      <c r="X173" s="62" t="s">
        <v>2393</v>
      </c>
      <c r="Y173" s="62" t="s">
        <v>2394</v>
      </c>
      <c r="Z173" s="62" t="s">
        <v>40014</v>
      </c>
      <c r="AA173" s="62" t="s">
        <v>58949</v>
      </c>
      <c r="AB173" s="62" t="s">
        <v>40015</v>
      </c>
      <c r="AC173" s="62" t="s">
        <v>2395</v>
      </c>
      <c r="AD173" s="62" t="s">
        <v>2396</v>
      </c>
    </row>
    <row r="174" spans="1:30" x14ac:dyDescent="0.25">
      <c r="A174" s="62" t="s">
        <v>109</v>
      </c>
      <c r="C174" s="62" t="s">
        <v>40016</v>
      </c>
      <c r="F174" s="62" t="s">
        <v>2337</v>
      </c>
      <c r="G174" s="62" t="s">
        <v>58914</v>
      </c>
      <c r="J174" s="62" t="s">
        <v>40017</v>
      </c>
      <c r="K174" s="62" t="s">
        <v>58923</v>
      </c>
      <c r="L174" s="62" t="s">
        <v>40018</v>
      </c>
      <c r="M174" s="62" t="s">
        <v>40019</v>
      </c>
      <c r="N174" s="62" t="s">
        <v>40020</v>
      </c>
      <c r="O174" s="62" t="s">
        <v>40021</v>
      </c>
      <c r="P174" s="62" t="s">
        <v>58932</v>
      </c>
      <c r="Q174" s="62" t="s">
        <v>40022</v>
      </c>
      <c r="R174" s="62" t="s">
        <v>40023</v>
      </c>
      <c r="S174" s="62" t="s">
        <v>40024</v>
      </c>
      <c r="U174" s="62" t="s">
        <v>40025</v>
      </c>
      <c r="V174" s="62" t="s">
        <v>58941</v>
      </c>
      <c r="W174" s="62" t="s">
        <v>40026</v>
      </c>
      <c r="X174" s="62" t="s">
        <v>40027</v>
      </c>
      <c r="Y174" s="62" t="s">
        <v>40028</v>
      </c>
      <c r="Z174" s="62" t="s">
        <v>40029</v>
      </c>
      <c r="AA174" s="62" t="s">
        <v>58950</v>
      </c>
      <c r="AB174" s="62" t="s">
        <v>40030</v>
      </c>
      <c r="AC174" s="62" t="s">
        <v>40031</v>
      </c>
      <c r="AD174" s="62" t="s">
        <v>40032</v>
      </c>
    </row>
    <row r="175" spans="1:30" x14ac:dyDescent="0.25">
      <c r="A175" s="62" t="s">
        <v>109</v>
      </c>
      <c r="C175" s="62" t="s">
        <v>40033</v>
      </c>
      <c r="F175" s="62" t="s">
        <v>2372</v>
      </c>
      <c r="G175" s="62" t="s">
        <v>58915</v>
      </c>
      <c r="J175" s="62" t="s">
        <v>40034</v>
      </c>
      <c r="K175" s="62" t="s">
        <v>58924</v>
      </c>
      <c r="L175" s="62" t="s">
        <v>40035</v>
      </c>
      <c r="M175" s="62" t="s">
        <v>40036</v>
      </c>
      <c r="N175" s="62" t="s">
        <v>40037</v>
      </c>
      <c r="O175" s="62" t="s">
        <v>40038</v>
      </c>
      <c r="P175" s="62" t="s">
        <v>58933</v>
      </c>
      <c r="Q175" s="62" t="s">
        <v>40039</v>
      </c>
      <c r="R175" s="62" t="s">
        <v>40040</v>
      </c>
      <c r="S175" s="62" t="s">
        <v>40041</v>
      </c>
      <c r="U175" s="62" t="s">
        <v>40042</v>
      </c>
      <c r="V175" s="62" t="s">
        <v>58942</v>
      </c>
      <c r="W175" s="62" t="s">
        <v>40043</v>
      </c>
      <c r="X175" s="62" t="s">
        <v>40044</v>
      </c>
      <c r="Y175" s="62" t="s">
        <v>40045</v>
      </c>
      <c r="Z175" s="62" t="s">
        <v>40046</v>
      </c>
      <c r="AA175" s="62" t="s">
        <v>58951</v>
      </c>
      <c r="AB175" s="62" t="s">
        <v>40047</v>
      </c>
      <c r="AC175" s="62" t="s">
        <v>40048</v>
      </c>
      <c r="AD175" s="62" t="s">
        <v>40049</v>
      </c>
    </row>
    <row r="176" spans="1:30" x14ac:dyDescent="0.25">
      <c r="A176" s="62" t="s">
        <v>109</v>
      </c>
      <c r="C176" s="62" t="s">
        <v>682</v>
      </c>
    </row>
    <row r="177" spans="1:30" x14ac:dyDescent="0.25">
      <c r="A177" s="62" t="s">
        <v>109</v>
      </c>
      <c r="C177" s="62" t="s">
        <v>685</v>
      </c>
      <c r="G177" s="62" t="s">
        <v>40050</v>
      </c>
      <c r="J177" s="62" t="s">
        <v>40051</v>
      </c>
      <c r="K177" s="62" t="s">
        <v>40052</v>
      </c>
      <c r="L177" s="62" t="s">
        <v>40053</v>
      </c>
      <c r="M177" s="62" t="s">
        <v>2397</v>
      </c>
      <c r="N177" s="62" t="s">
        <v>2398</v>
      </c>
      <c r="O177" s="62" t="s">
        <v>40054</v>
      </c>
      <c r="P177" s="62" t="s">
        <v>40055</v>
      </c>
      <c r="Q177" s="62" t="s">
        <v>40056</v>
      </c>
      <c r="R177" s="62" t="s">
        <v>2399</v>
      </c>
      <c r="S177" s="62" t="s">
        <v>2400</v>
      </c>
      <c r="U177" s="62" t="s">
        <v>40057</v>
      </c>
      <c r="V177" s="62" t="s">
        <v>40058</v>
      </c>
      <c r="W177" s="62" t="s">
        <v>40059</v>
      </c>
      <c r="X177" s="62" t="s">
        <v>2401</v>
      </c>
      <c r="Y177" s="62" t="s">
        <v>2402</v>
      </c>
      <c r="Z177" s="62" t="s">
        <v>40060</v>
      </c>
      <c r="AA177" s="62" t="s">
        <v>40061</v>
      </c>
      <c r="AB177" s="62" t="s">
        <v>40062</v>
      </c>
      <c r="AC177" s="62" t="s">
        <v>2403</v>
      </c>
      <c r="AD177" s="62" t="s">
        <v>2404</v>
      </c>
    </row>
    <row r="178" spans="1:30" x14ac:dyDescent="0.25">
      <c r="A178" s="62" t="s">
        <v>109</v>
      </c>
    </row>
    <row r="179" spans="1:30" x14ac:dyDescent="0.25">
      <c r="A179" s="62" t="s">
        <v>109</v>
      </c>
      <c r="C179" s="62" t="s">
        <v>40063</v>
      </c>
      <c r="E179" s="62" t="s">
        <v>142</v>
      </c>
      <c r="G179" s="62" t="s">
        <v>40064</v>
      </c>
    </row>
    <row r="180" spans="1:30" x14ac:dyDescent="0.25">
      <c r="A180" s="62" t="s">
        <v>109</v>
      </c>
      <c r="C180" s="62" t="s">
        <v>686</v>
      </c>
    </row>
    <row r="181" spans="1:30" x14ac:dyDescent="0.25">
      <c r="A181" s="62" t="s">
        <v>109</v>
      </c>
      <c r="C181" s="62" t="s">
        <v>2406</v>
      </c>
      <c r="F181" s="62" t="s">
        <v>40065</v>
      </c>
      <c r="G181" s="62" t="s">
        <v>58712</v>
      </c>
      <c r="J181" s="62" t="s">
        <v>2407</v>
      </c>
      <c r="K181" s="62" t="s">
        <v>58751</v>
      </c>
      <c r="L181" s="62" t="s">
        <v>2408</v>
      </c>
      <c r="M181" s="62" t="s">
        <v>2409</v>
      </c>
      <c r="N181" s="62" t="s">
        <v>2410</v>
      </c>
      <c r="O181" s="62" t="s">
        <v>2411</v>
      </c>
      <c r="P181" s="62" t="s">
        <v>58790</v>
      </c>
      <c r="Q181" s="62" t="s">
        <v>2412</v>
      </c>
      <c r="R181" s="62" t="s">
        <v>2413</v>
      </c>
      <c r="S181" s="62" t="s">
        <v>2414</v>
      </c>
      <c r="U181" s="62" t="s">
        <v>2415</v>
      </c>
      <c r="V181" s="62" t="s">
        <v>58829</v>
      </c>
      <c r="W181" s="62" t="s">
        <v>2416</v>
      </c>
      <c r="X181" s="62" t="s">
        <v>2417</v>
      </c>
      <c r="Y181" s="62" t="s">
        <v>2418</v>
      </c>
      <c r="Z181" s="62" t="s">
        <v>2419</v>
      </c>
      <c r="AA181" s="62" t="s">
        <v>58868</v>
      </c>
      <c r="AB181" s="62" t="s">
        <v>2420</v>
      </c>
      <c r="AC181" s="62" t="s">
        <v>2421</v>
      </c>
      <c r="AD181" s="62" t="s">
        <v>2422</v>
      </c>
    </row>
    <row r="182" spans="1:30" x14ac:dyDescent="0.25">
      <c r="A182" s="62" t="s">
        <v>109</v>
      </c>
      <c r="C182" s="62" t="s">
        <v>2423</v>
      </c>
      <c r="F182" s="62" t="s">
        <v>758</v>
      </c>
      <c r="G182" s="62" t="s">
        <v>58713</v>
      </c>
      <c r="J182" s="62" t="s">
        <v>2424</v>
      </c>
      <c r="K182" s="62" t="s">
        <v>58752</v>
      </c>
      <c r="L182" s="62" t="s">
        <v>2425</v>
      </c>
      <c r="M182" s="62" t="s">
        <v>2426</v>
      </c>
      <c r="N182" s="62" t="s">
        <v>2427</v>
      </c>
      <c r="O182" s="62" t="s">
        <v>2428</v>
      </c>
      <c r="P182" s="62" t="s">
        <v>58791</v>
      </c>
      <c r="Q182" s="62" t="s">
        <v>2429</v>
      </c>
      <c r="R182" s="62" t="s">
        <v>2430</v>
      </c>
      <c r="S182" s="62" t="s">
        <v>2431</v>
      </c>
      <c r="U182" s="62" t="s">
        <v>2432</v>
      </c>
      <c r="V182" s="62" t="s">
        <v>58830</v>
      </c>
      <c r="W182" s="62" t="s">
        <v>2433</v>
      </c>
      <c r="X182" s="62" t="s">
        <v>2434</v>
      </c>
      <c r="Y182" s="62" t="s">
        <v>2435</v>
      </c>
      <c r="Z182" s="62" t="s">
        <v>2436</v>
      </c>
      <c r="AA182" s="62" t="s">
        <v>58869</v>
      </c>
      <c r="AB182" s="62" t="s">
        <v>2437</v>
      </c>
      <c r="AC182" s="62" t="s">
        <v>2438</v>
      </c>
      <c r="AD182" s="62" t="s">
        <v>2439</v>
      </c>
    </row>
    <row r="183" spans="1:30" x14ac:dyDescent="0.25">
      <c r="A183" s="62" t="s">
        <v>109</v>
      </c>
      <c r="C183" s="62" t="s">
        <v>687</v>
      </c>
      <c r="F183" s="62" t="s">
        <v>776</v>
      </c>
      <c r="G183" s="62" t="s">
        <v>58714</v>
      </c>
      <c r="J183" s="62" t="s">
        <v>2440</v>
      </c>
      <c r="K183" s="62" t="s">
        <v>58753</v>
      </c>
      <c r="L183" s="62" t="s">
        <v>2441</v>
      </c>
      <c r="M183" s="62" t="s">
        <v>2442</v>
      </c>
      <c r="N183" s="62" t="s">
        <v>2443</v>
      </c>
      <c r="O183" s="62" t="s">
        <v>2444</v>
      </c>
      <c r="P183" s="62" t="s">
        <v>58792</v>
      </c>
      <c r="Q183" s="62" t="s">
        <v>2445</v>
      </c>
      <c r="R183" s="62" t="s">
        <v>2446</v>
      </c>
      <c r="S183" s="62" t="s">
        <v>2447</v>
      </c>
      <c r="U183" s="62" t="s">
        <v>2448</v>
      </c>
      <c r="V183" s="62" t="s">
        <v>58831</v>
      </c>
      <c r="W183" s="62" t="s">
        <v>2449</v>
      </c>
      <c r="X183" s="62" t="s">
        <v>2450</v>
      </c>
      <c r="Y183" s="62" t="s">
        <v>2451</v>
      </c>
      <c r="Z183" s="62" t="s">
        <v>2452</v>
      </c>
      <c r="AA183" s="62" t="s">
        <v>58870</v>
      </c>
      <c r="AB183" s="62" t="s">
        <v>2453</v>
      </c>
      <c r="AC183" s="62" t="s">
        <v>2454</v>
      </c>
      <c r="AD183" s="62" t="s">
        <v>2455</v>
      </c>
    </row>
    <row r="184" spans="1:30" x14ac:dyDescent="0.25">
      <c r="A184" s="62" t="s">
        <v>109</v>
      </c>
      <c r="C184" s="62" t="s">
        <v>688</v>
      </c>
      <c r="F184" s="62" t="s">
        <v>1359</v>
      </c>
      <c r="G184" s="62" t="s">
        <v>58715</v>
      </c>
      <c r="J184" s="62" t="s">
        <v>2456</v>
      </c>
      <c r="K184" s="62" t="s">
        <v>58754</v>
      </c>
      <c r="L184" s="62" t="s">
        <v>2457</v>
      </c>
      <c r="M184" s="62" t="s">
        <v>464</v>
      </c>
      <c r="N184" s="62" t="s">
        <v>465</v>
      </c>
      <c r="O184" s="62" t="s">
        <v>2458</v>
      </c>
      <c r="P184" s="62" t="s">
        <v>58793</v>
      </c>
      <c r="Q184" s="62" t="s">
        <v>2459</v>
      </c>
      <c r="R184" s="62" t="s">
        <v>466</v>
      </c>
      <c r="S184" s="62" t="s">
        <v>467</v>
      </c>
      <c r="U184" s="62" t="s">
        <v>2460</v>
      </c>
      <c r="V184" s="62" t="s">
        <v>58832</v>
      </c>
      <c r="W184" s="62" t="s">
        <v>2461</v>
      </c>
      <c r="X184" s="62" t="s">
        <v>468</v>
      </c>
      <c r="Y184" s="62" t="s">
        <v>469</v>
      </c>
      <c r="Z184" s="62" t="s">
        <v>2462</v>
      </c>
      <c r="AA184" s="62" t="s">
        <v>58871</v>
      </c>
      <c r="AB184" s="62" t="s">
        <v>2463</v>
      </c>
      <c r="AC184" s="62" t="s">
        <v>470</v>
      </c>
      <c r="AD184" s="62" t="s">
        <v>471</v>
      </c>
    </row>
    <row r="185" spans="1:30" x14ac:dyDescent="0.25">
      <c r="A185" s="62" t="s">
        <v>109</v>
      </c>
      <c r="C185" s="62" t="s">
        <v>689</v>
      </c>
      <c r="F185" s="62" t="s">
        <v>142</v>
      </c>
      <c r="G185" s="62" t="s">
        <v>58716</v>
      </c>
      <c r="J185" s="62" t="s">
        <v>2465</v>
      </c>
      <c r="K185" s="62" t="s">
        <v>58755</v>
      </c>
      <c r="L185" s="62" t="s">
        <v>2466</v>
      </c>
      <c r="M185" s="62" t="s">
        <v>2467</v>
      </c>
      <c r="N185" s="62" t="s">
        <v>2468</v>
      </c>
      <c r="O185" s="62" t="s">
        <v>2469</v>
      </c>
      <c r="P185" s="62" t="s">
        <v>58794</v>
      </c>
      <c r="Q185" s="62" t="s">
        <v>2470</v>
      </c>
      <c r="R185" s="62" t="s">
        <v>2471</v>
      </c>
      <c r="S185" s="62" t="s">
        <v>2472</v>
      </c>
      <c r="U185" s="62" t="s">
        <v>2473</v>
      </c>
      <c r="V185" s="62" t="s">
        <v>58833</v>
      </c>
      <c r="W185" s="62" t="s">
        <v>2474</v>
      </c>
      <c r="X185" s="62" t="s">
        <v>2475</v>
      </c>
      <c r="Y185" s="62" t="s">
        <v>2476</v>
      </c>
      <c r="Z185" s="62" t="s">
        <v>2477</v>
      </c>
      <c r="AA185" s="62" t="s">
        <v>58872</v>
      </c>
      <c r="AB185" s="62" t="s">
        <v>2478</v>
      </c>
      <c r="AC185" s="62" t="s">
        <v>2479</v>
      </c>
      <c r="AD185" s="62" t="s">
        <v>2480</v>
      </c>
    </row>
    <row r="186" spans="1:30" x14ac:dyDescent="0.25">
      <c r="A186" s="62" t="s">
        <v>109</v>
      </c>
      <c r="C186" s="62" t="s">
        <v>690</v>
      </c>
      <c r="F186" s="62" t="s">
        <v>785</v>
      </c>
      <c r="G186" s="62" t="s">
        <v>58717</v>
      </c>
      <c r="J186" s="62" t="s">
        <v>2482</v>
      </c>
      <c r="K186" s="62" t="s">
        <v>58756</v>
      </c>
      <c r="L186" s="62" t="s">
        <v>2483</v>
      </c>
      <c r="M186" s="62" t="s">
        <v>472</v>
      </c>
      <c r="N186" s="62" t="s">
        <v>473</v>
      </c>
      <c r="O186" s="62" t="s">
        <v>2484</v>
      </c>
      <c r="P186" s="62" t="s">
        <v>58795</v>
      </c>
      <c r="Q186" s="62" t="s">
        <v>2485</v>
      </c>
      <c r="R186" s="62" t="s">
        <v>474</v>
      </c>
      <c r="S186" s="62" t="s">
        <v>475</v>
      </c>
      <c r="U186" s="62" t="s">
        <v>2486</v>
      </c>
      <c r="V186" s="62" t="s">
        <v>58834</v>
      </c>
      <c r="W186" s="62" t="s">
        <v>2487</v>
      </c>
      <c r="X186" s="62" t="s">
        <v>476</v>
      </c>
      <c r="Y186" s="62" t="s">
        <v>477</v>
      </c>
      <c r="Z186" s="62" t="s">
        <v>2488</v>
      </c>
      <c r="AA186" s="62" t="s">
        <v>58873</v>
      </c>
      <c r="AB186" s="62" t="s">
        <v>2489</v>
      </c>
      <c r="AC186" s="62" t="s">
        <v>478</v>
      </c>
      <c r="AD186" s="62" t="s">
        <v>479</v>
      </c>
    </row>
    <row r="187" spans="1:30" x14ac:dyDescent="0.25">
      <c r="A187" s="62" t="s">
        <v>109</v>
      </c>
      <c r="C187" s="62" t="s">
        <v>2490</v>
      </c>
      <c r="F187" s="62" t="s">
        <v>802</v>
      </c>
      <c r="G187" s="62" t="s">
        <v>58718</v>
      </c>
      <c r="J187" s="62" t="s">
        <v>2491</v>
      </c>
      <c r="K187" s="62" t="s">
        <v>58757</v>
      </c>
      <c r="L187" s="62" t="s">
        <v>2492</v>
      </c>
      <c r="M187" s="62" t="s">
        <v>2493</v>
      </c>
      <c r="N187" s="62" t="s">
        <v>2494</v>
      </c>
      <c r="O187" s="62" t="s">
        <v>2495</v>
      </c>
      <c r="P187" s="62" t="s">
        <v>58796</v>
      </c>
      <c r="Q187" s="62" t="s">
        <v>2496</v>
      </c>
      <c r="R187" s="62" t="s">
        <v>2497</v>
      </c>
      <c r="S187" s="62" t="s">
        <v>2498</v>
      </c>
      <c r="U187" s="62" t="s">
        <v>2499</v>
      </c>
      <c r="V187" s="62" t="s">
        <v>58835</v>
      </c>
      <c r="W187" s="62" t="s">
        <v>2500</v>
      </c>
      <c r="X187" s="62" t="s">
        <v>2501</v>
      </c>
      <c r="Y187" s="62" t="s">
        <v>2502</v>
      </c>
      <c r="Z187" s="62" t="s">
        <v>2503</v>
      </c>
      <c r="AA187" s="62" t="s">
        <v>58874</v>
      </c>
      <c r="AB187" s="62" t="s">
        <v>2504</v>
      </c>
      <c r="AC187" s="62" t="s">
        <v>2505</v>
      </c>
      <c r="AD187" s="62" t="s">
        <v>2506</v>
      </c>
    </row>
    <row r="188" spans="1:30" x14ac:dyDescent="0.25">
      <c r="A188" s="62" t="s">
        <v>109</v>
      </c>
      <c r="C188" s="62" t="s">
        <v>2507</v>
      </c>
      <c r="F188" s="62" t="s">
        <v>159</v>
      </c>
      <c r="G188" s="62" t="s">
        <v>58719</v>
      </c>
      <c r="J188" s="62" t="s">
        <v>2508</v>
      </c>
      <c r="K188" s="62" t="s">
        <v>58758</v>
      </c>
      <c r="L188" s="62" t="s">
        <v>2509</v>
      </c>
      <c r="M188" s="62" t="s">
        <v>2510</v>
      </c>
      <c r="N188" s="62" t="s">
        <v>2511</v>
      </c>
      <c r="O188" s="62" t="s">
        <v>2512</v>
      </c>
      <c r="P188" s="62" t="s">
        <v>58797</v>
      </c>
      <c r="Q188" s="62" t="s">
        <v>2513</v>
      </c>
      <c r="R188" s="62" t="s">
        <v>2514</v>
      </c>
      <c r="S188" s="62" t="s">
        <v>2515</v>
      </c>
      <c r="U188" s="62" t="s">
        <v>2516</v>
      </c>
      <c r="V188" s="62" t="s">
        <v>58836</v>
      </c>
      <c r="W188" s="62" t="s">
        <v>2517</v>
      </c>
      <c r="X188" s="62" t="s">
        <v>2518</v>
      </c>
      <c r="Y188" s="62" t="s">
        <v>2519</v>
      </c>
      <c r="Z188" s="62" t="s">
        <v>2520</v>
      </c>
      <c r="AA188" s="62" t="s">
        <v>58875</v>
      </c>
      <c r="AB188" s="62" t="s">
        <v>2521</v>
      </c>
      <c r="AC188" s="62" t="s">
        <v>2522</v>
      </c>
      <c r="AD188" s="62" t="s">
        <v>2523</v>
      </c>
    </row>
    <row r="189" spans="1:30" x14ac:dyDescent="0.25">
      <c r="A189" s="62" t="s">
        <v>109</v>
      </c>
      <c r="C189" s="62" t="s">
        <v>691</v>
      </c>
      <c r="F189" s="62" t="s">
        <v>827</v>
      </c>
      <c r="G189" s="62" t="s">
        <v>58720</v>
      </c>
      <c r="J189" s="62" t="s">
        <v>2524</v>
      </c>
      <c r="K189" s="62" t="s">
        <v>58759</v>
      </c>
      <c r="L189" s="62" t="s">
        <v>2525</v>
      </c>
      <c r="M189" s="62" t="s">
        <v>2526</v>
      </c>
      <c r="N189" s="62" t="s">
        <v>2527</v>
      </c>
      <c r="O189" s="62" t="s">
        <v>2528</v>
      </c>
      <c r="P189" s="62" t="s">
        <v>58798</v>
      </c>
      <c r="Q189" s="62" t="s">
        <v>2529</v>
      </c>
      <c r="R189" s="62" t="s">
        <v>2530</v>
      </c>
      <c r="S189" s="62" t="s">
        <v>2531</v>
      </c>
      <c r="U189" s="62" t="s">
        <v>2532</v>
      </c>
      <c r="V189" s="62" t="s">
        <v>58837</v>
      </c>
      <c r="W189" s="62" t="s">
        <v>2533</v>
      </c>
      <c r="X189" s="62" t="s">
        <v>2534</v>
      </c>
      <c r="Y189" s="62" t="s">
        <v>2535</v>
      </c>
      <c r="Z189" s="62" t="s">
        <v>2536</v>
      </c>
      <c r="AA189" s="62" t="s">
        <v>58876</v>
      </c>
      <c r="AB189" s="62" t="s">
        <v>2537</v>
      </c>
      <c r="AC189" s="62" t="s">
        <v>2538</v>
      </c>
      <c r="AD189" s="62" t="s">
        <v>2539</v>
      </c>
    </row>
    <row r="190" spans="1:30" x14ac:dyDescent="0.25">
      <c r="A190" s="62" t="s">
        <v>109</v>
      </c>
      <c r="C190" s="62" t="s">
        <v>40066</v>
      </c>
      <c r="F190" s="62" t="s">
        <v>837</v>
      </c>
      <c r="G190" s="62" t="s">
        <v>58721</v>
      </c>
      <c r="J190" s="62" t="s">
        <v>40067</v>
      </c>
      <c r="K190" s="62" t="s">
        <v>58760</v>
      </c>
      <c r="L190" s="62" t="s">
        <v>40068</v>
      </c>
      <c r="M190" s="62" t="s">
        <v>40069</v>
      </c>
      <c r="N190" s="62" t="s">
        <v>40070</v>
      </c>
      <c r="O190" s="62" t="s">
        <v>40071</v>
      </c>
      <c r="P190" s="62" t="s">
        <v>58799</v>
      </c>
      <c r="Q190" s="62" t="s">
        <v>40072</v>
      </c>
      <c r="R190" s="62" t="s">
        <v>40073</v>
      </c>
      <c r="S190" s="62" t="s">
        <v>40074</v>
      </c>
      <c r="U190" s="62" t="s">
        <v>40075</v>
      </c>
      <c r="V190" s="62" t="s">
        <v>58838</v>
      </c>
      <c r="W190" s="62" t="s">
        <v>40076</v>
      </c>
      <c r="X190" s="62" t="s">
        <v>40077</v>
      </c>
      <c r="Y190" s="62" t="s">
        <v>40078</v>
      </c>
      <c r="Z190" s="62" t="s">
        <v>40079</v>
      </c>
      <c r="AA190" s="62" t="s">
        <v>58877</v>
      </c>
      <c r="AB190" s="62" t="s">
        <v>40080</v>
      </c>
      <c r="AC190" s="62" t="s">
        <v>40081</v>
      </c>
      <c r="AD190" s="62" t="s">
        <v>40082</v>
      </c>
    </row>
    <row r="191" spans="1:30" x14ac:dyDescent="0.25">
      <c r="A191" s="62" t="s">
        <v>109</v>
      </c>
      <c r="C191" s="62" t="s">
        <v>692</v>
      </c>
      <c r="F191" s="62" t="s">
        <v>889</v>
      </c>
      <c r="G191" s="62" t="s">
        <v>58722</v>
      </c>
      <c r="J191" s="62" t="s">
        <v>40083</v>
      </c>
      <c r="K191" s="62" t="s">
        <v>58761</v>
      </c>
      <c r="L191" s="62" t="s">
        <v>40084</v>
      </c>
      <c r="M191" s="62" t="s">
        <v>2540</v>
      </c>
      <c r="N191" s="62" t="s">
        <v>2541</v>
      </c>
      <c r="O191" s="62" t="s">
        <v>40085</v>
      </c>
      <c r="P191" s="62" t="s">
        <v>58800</v>
      </c>
      <c r="Q191" s="62" t="s">
        <v>40086</v>
      </c>
      <c r="R191" s="62" t="s">
        <v>2542</v>
      </c>
      <c r="S191" s="62" t="s">
        <v>2543</v>
      </c>
      <c r="U191" s="62" t="s">
        <v>40087</v>
      </c>
      <c r="V191" s="62" t="s">
        <v>58839</v>
      </c>
      <c r="W191" s="62" t="s">
        <v>40088</v>
      </c>
      <c r="X191" s="62" t="s">
        <v>2544</v>
      </c>
      <c r="Y191" s="62" t="s">
        <v>2545</v>
      </c>
      <c r="Z191" s="62" t="s">
        <v>40089</v>
      </c>
      <c r="AA191" s="62" t="s">
        <v>58878</v>
      </c>
      <c r="AB191" s="62" t="s">
        <v>40090</v>
      </c>
      <c r="AC191" s="62" t="s">
        <v>2546</v>
      </c>
      <c r="AD191" s="62" t="s">
        <v>2547</v>
      </c>
    </row>
    <row r="192" spans="1:30" x14ac:dyDescent="0.25">
      <c r="A192" s="62" t="s">
        <v>109</v>
      </c>
      <c r="C192" s="62" t="s">
        <v>40091</v>
      </c>
      <c r="F192" s="62" t="s">
        <v>898</v>
      </c>
      <c r="G192" s="62" t="s">
        <v>58723</v>
      </c>
      <c r="J192" s="62" t="s">
        <v>40092</v>
      </c>
      <c r="K192" s="62" t="s">
        <v>58762</v>
      </c>
      <c r="L192" s="62" t="s">
        <v>40093</v>
      </c>
      <c r="M192" s="62" t="s">
        <v>40094</v>
      </c>
      <c r="N192" s="62" t="s">
        <v>40095</v>
      </c>
      <c r="O192" s="62" t="s">
        <v>40096</v>
      </c>
      <c r="P192" s="62" t="s">
        <v>58801</v>
      </c>
      <c r="Q192" s="62" t="s">
        <v>40097</v>
      </c>
      <c r="R192" s="62" t="s">
        <v>40098</v>
      </c>
      <c r="S192" s="62" t="s">
        <v>40099</v>
      </c>
      <c r="U192" s="62" t="s">
        <v>40100</v>
      </c>
      <c r="V192" s="62" t="s">
        <v>58840</v>
      </c>
      <c r="W192" s="62" t="s">
        <v>40101</v>
      </c>
      <c r="X192" s="62" t="s">
        <v>40102</v>
      </c>
      <c r="Y192" s="62" t="s">
        <v>40103</v>
      </c>
      <c r="Z192" s="62" t="s">
        <v>40104</v>
      </c>
      <c r="AA192" s="62" t="s">
        <v>58879</v>
      </c>
      <c r="AB192" s="62" t="s">
        <v>40105</v>
      </c>
      <c r="AC192" s="62" t="s">
        <v>40106</v>
      </c>
      <c r="AD192" s="62" t="s">
        <v>40107</v>
      </c>
    </row>
    <row r="193" spans="1:30" x14ac:dyDescent="0.25">
      <c r="A193" s="62" t="s">
        <v>109</v>
      </c>
      <c r="C193" s="62" t="s">
        <v>40108</v>
      </c>
      <c r="F193" s="62" t="s">
        <v>915</v>
      </c>
      <c r="G193" s="62" t="s">
        <v>58724</v>
      </c>
      <c r="J193" s="62" t="s">
        <v>40109</v>
      </c>
      <c r="K193" s="62" t="s">
        <v>58763</v>
      </c>
      <c r="L193" s="62" t="s">
        <v>40110</v>
      </c>
      <c r="M193" s="62" t="s">
        <v>40111</v>
      </c>
      <c r="N193" s="62" t="s">
        <v>40112</v>
      </c>
      <c r="O193" s="62" t="s">
        <v>40113</v>
      </c>
      <c r="P193" s="62" t="s">
        <v>58802</v>
      </c>
      <c r="Q193" s="62" t="s">
        <v>40114</v>
      </c>
      <c r="R193" s="62" t="s">
        <v>40115</v>
      </c>
      <c r="S193" s="62" t="s">
        <v>40116</v>
      </c>
      <c r="U193" s="62" t="s">
        <v>40117</v>
      </c>
      <c r="V193" s="62" t="s">
        <v>58841</v>
      </c>
      <c r="W193" s="62" t="s">
        <v>40118</v>
      </c>
      <c r="X193" s="62" t="s">
        <v>40119</v>
      </c>
      <c r="Y193" s="62" t="s">
        <v>40120</v>
      </c>
      <c r="Z193" s="62" t="s">
        <v>40121</v>
      </c>
      <c r="AA193" s="62" t="s">
        <v>58880</v>
      </c>
      <c r="AB193" s="62" t="s">
        <v>40122</v>
      </c>
      <c r="AC193" s="62" t="s">
        <v>40123</v>
      </c>
      <c r="AD193" s="62" t="s">
        <v>40124</v>
      </c>
    </row>
    <row r="194" spans="1:30" x14ac:dyDescent="0.25">
      <c r="A194" s="62" t="s">
        <v>109</v>
      </c>
      <c r="C194" s="62" t="s">
        <v>2548</v>
      </c>
      <c r="F194" s="62" t="s">
        <v>925</v>
      </c>
      <c r="G194" s="62" t="s">
        <v>58725</v>
      </c>
      <c r="J194" s="62" t="s">
        <v>40125</v>
      </c>
      <c r="K194" s="62" t="s">
        <v>58764</v>
      </c>
      <c r="L194" s="62" t="s">
        <v>40126</v>
      </c>
      <c r="M194" s="62" t="s">
        <v>40127</v>
      </c>
      <c r="N194" s="62" t="s">
        <v>40128</v>
      </c>
      <c r="O194" s="62" t="s">
        <v>40129</v>
      </c>
      <c r="P194" s="62" t="s">
        <v>58803</v>
      </c>
      <c r="Q194" s="62" t="s">
        <v>40130</v>
      </c>
      <c r="R194" s="62" t="s">
        <v>40131</v>
      </c>
      <c r="S194" s="62" t="s">
        <v>40132</v>
      </c>
      <c r="U194" s="62" t="s">
        <v>40133</v>
      </c>
      <c r="V194" s="62" t="s">
        <v>58842</v>
      </c>
      <c r="W194" s="62" t="s">
        <v>40134</v>
      </c>
      <c r="X194" s="62" t="s">
        <v>40135</v>
      </c>
      <c r="Y194" s="62" t="s">
        <v>40136</v>
      </c>
      <c r="Z194" s="62" t="s">
        <v>40137</v>
      </c>
      <c r="AA194" s="62" t="s">
        <v>58881</v>
      </c>
      <c r="AB194" s="62" t="s">
        <v>40138</v>
      </c>
      <c r="AC194" s="62" t="s">
        <v>40139</v>
      </c>
      <c r="AD194" s="62" t="s">
        <v>40140</v>
      </c>
    </row>
    <row r="195" spans="1:30" x14ac:dyDescent="0.25">
      <c r="A195" s="62" t="s">
        <v>109</v>
      </c>
      <c r="C195" s="62" t="s">
        <v>693</v>
      </c>
      <c r="F195" s="62" t="s">
        <v>943</v>
      </c>
      <c r="G195" s="62" t="s">
        <v>58726</v>
      </c>
      <c r="J195" s="62" t="s">
        <v>2549</v>
      </c>
      <c r="K195" s="62" t="s">
        <v>58765</v>
      </c>
      <c r="L195" s="62" t="s">
        <v>2550</v>
      </c>
      <c r="M195" s="62" t="s">
        <v>2551</v>
      </c>
      <c r="N195" s="62" t="s">
        <v>2552</v>
      </c>
      <c r="O195" s="62" t="s">
        <v>2553</v>
      </c>
      <c r="P195" s="62" t="s">
        <v>58804</v>
      </c>
      <c r="Q195" s="62" t="s">
        <v>2554</v>
      </c>
      <c r="R195" s="62" t="s">
        <v>2555</v>
      </c>
      <c r="S195" s="62" t="s">
        <v>2556</v>
      </c>
      <c r="U195" s="62" t="s">
        <v>2557</v>
      </c>
      <c r="V195" s="62" t="s">
        <v>58843</v>
      </c>
      <c r="W195" s="62" t="s">
        <v>2558</v>
      </c>
      <c r="X195" s="62" t="s">
        <v>2559</v>
      </c>
      <c r="Y195" s="62" t="s">
        <v>2560</v>
      </c>
      <c r="Z195" s="62" t="s">
        <v>2561</v>
      </c>
      <c r="AA195" s="62" t="s">
        <v>58882</v>
      </c>
      <c r="AB195" s="62" t="s">
        <v>2562</v>
      </c>
      <c r="AC195" s="62" t="s">
        <v>2563</v>
      </c>
      <c r="AD195" s="62" t="s">
        <v>2564</v>
      </c>
    </row>
    <row r="196" spans="1:30" x14ac:dyDescent="0.25">
      <c r="A196" s="62" t="s">
        <v>109</v>
      </c>
      <c r="C196" s="62" t="s">
        <v>694</v>
      </c>
      <c r="F196" s="62" t="s">
        <v>176</v>
      </c>
      <c r="G196" s="62" t="s">
        <v>58727</v>
      </c>
      <c r="J196" s="62" t="s">
        <v>2565</v>
      </c>
      <c r="K196" s="62" t="s">
        <v>58766</v>
      </c>
      <c r="L196" s="62" t="s">
        <v>2566</v>
      </c>
      <c r="M196" s="62" t="s">
        <v>482</v>
      </c>
      <c r="N196" s="62" t="s">
        <v>483</v>
      </c>
      <c r="O196" s="62" t="s">
        <v>2567</v>
      </c>
      <c r="P196" s="62" t="s">
        <v>58805</v>
      </c>
      <c r="Q196" s="62" t="s">
        <v>2568</v>
      </c>
      <c r="R196" s="62" t="s">
        <v>484</v>
      </c>
      <c r="S196" s="62" t="s">
        <v>485</v>
      </c>
      <c r="U196" s="62" t="s">
        <v>2569</v>
      </c>
      <c r="V196" s="62" t="s">
        <v>58844</v>
      </c>
      <c r="W196" s="62" t="s">
        <v>2570</v>
      </c>
      <c r="X196" s="62" t="s">
        <v>486</v>
      </c>
      <c r="Y196" s="62" t="s">
        <v>487</v>
      </c>
      <c r="Z196" s="62" t="s">
        <v>2571</v>
      </c>
      <c r="AA196" s="62" t="s">
        <v>58883</v>
      </c>
      <c r="AB196" s="62" t="s">
        <v>2572</v>
      </c>
      <c r="AC196" s="62" t="s">
        <v>488</v>
      </c>
      <c r="AD196" s="62" t="s">
        <v>489</v>
      </c>
    </row>
    <row r="197" spans="1:30" x14ac:dyDescent="0.25">
      <c r="A197" s="62" t="s">
        <v>109</v>
      </c>
      <c r="C197" s="62" t="s">
        <v>695</v>
      </c>
      <c r="F197" s="62" t="s">
        <v>976</v>
      </c>
      <c r="G197" s="62" t="s">
        <v>58728</v>
      </c>
      <c r="J197" s="62" t="s">
        <v>2573</v>
      </c>
      <c r="K197" s="62" t="s">
        <v>58767</v>
      </c>
      <c r="L197" s="62" t="s">
        <v>2574</v>
      </c>
      <c r="M197" s="62" t="s">
        <v>2575</v>
      </c>
      <c r="N197" s="62" t="s">
        <v>2576</v>
      </c>
      <c r="O197" s="62" t="s">
        <v>2577</v>
      </c>
      <c r="P197" s="62" t="s">
        <v>58806</v>
      </c>
      <c r="Q197" s="62" t="s">
        <v>2578</v>
      </c>
      <c r="R197" s="62" t="s">
        <v>2579</v>
      </c>
      <c r="S197" s="62" t="s">
        <v>2580</v>
      </c>
      <c r="U197" s="62" t="s">
        <v>2581</v>
      </c>
      <c r="V197" s="62" t="s">
        <v>58845</v>
      </c>
      <c r="W197" s="62" t="s">
        <v>2582</v>
      </c>
      <c r="X197" s="62" t="s">
        <v>2583</v>
      </c>
      <c r="Y197" s="62" t="s">
        <v>2584</v>
      </c>
      <c r="Z197" s="62" t="s">
        <v>2585</v>
      </c>
      <c r="AA197" s="62" t="s">
        <v>58884</v>
      </c>
      <c r="AB197" s="62" t="s">
        <v>2586</v>
      </c>
      <c r="AC197" s="62" t="s">
        <v>2587</v>
      </c>
      <c r="AD197" s="62" t="s">
        <v>2588</v>
      </c>
    </row>
    <row r="198" spans="1:30" x14ac:dyDescent="0.25">
      <c r="A198" s="62" t="s">
        <v>109</v>
      </c>
      <c r="C198" s="62" t="s">
        <v>696</v>
      </c>
      <c r="F198" s="62" t="s">
        <v>985</v>
      </c>
      <c r="G198" s="62" t="s">
        <v>58729</v>
      </c>
      <c r="J198" s="62" t="s">
        <v>2589</v>
      </c>
      <c r="K198" s="62" t="s">
        <v>58768</v>
      </c>
      <c r="L198" s="62" t="s">
        <v>2590</v>
      </c>
      <c r="M198" s="62" t="s">
        <v>490</v>
      </c>
      <c r="N198" s="62" t="s">
        <v>491</v>
      </c>
      <c r="O198" s="62" t="s">
        <v>2591</v>
      </c>
      <c r="P198" s="62" t="s">
        <v>58807</v>
      </c>
      <c r="Q198" s="62" t="s">
        <v>2592</v>
      </c>
      <c r="R198" s="62" t="s">
        <v>492</v>
      </c>
      <c r="S198" s="62" t="s">
        <v>493</v>
      </c>
      <c r="U198" s="62" t="s">
        <v>2593</v>
      </c>
      <c r="V198" s="62" t="s">
        <v>58846</v>
      </c>
      <c r="W198" s="62" t="s">
        <v>2594</v>
      </c>
      <c r="X198" s="62" t="s">
        <v>494</v>
      </c>
      <c r="Y198" s="62" t="s">
        <v>495</v>
      </c>
      <c r="Z198" s="62" t="s">
        <v>2595</v>
      </c>
      <c r="AA198" s="62" t="s">
        <v>58885</v>
      </c>
      <c r="AB198" s="62" t="s">
        <v>2596</v>
      </c>
      <c r="AC198" s="62" t="s">
        <v>496</v>
      </c>
      <c r="AD198" s="62" t="s">
        <v>497</v>
      </c>
    </row>
    <row r="199" spans="1:30" x14ac:dyDescent="0.25">
      <c r="A199" s="62" t="s">
        <v>109</v>
      </c>
      <c r="C199" s="62" t="s">
        <v>2597</v>
      </c>
      <c r="F199" s="62" t="s">
        <v>1002</v>
      </c>
      <c r="G199" s="62" t="s">
        <v>58730</v>
      </c>
      <c r="J199" s="62" t="s">
        <v>2598</v>
      </c>
      <c r="K199" s="62" t="s">
        <v>58769</v>
      </c>
      <c r="L199" s="62" t="s">
        <v>2599</v>
      </c>
      <c r="M199" s="62" t="s">
        <v>2600</v>
      </c>
      <c r="N199" s="62" t="s">
        <v>2601</v>
      </c>
      <c r="O199" s="62" t="s">
        <v>2602</v>
      </c>
      <c r="P199" s="62" t="s">
        <v>58808</v>
      </c>
      <c r="Q199" s="62" t="s">
        <v>2603</v>
      </c>
      <c r="R199" s="62" t="s">
        <v>2604</v>
      </c>
      <c r="S199" s="62" t="s">
        <v>2605</v>
      </c>
      <c r="U199" s="62" t="s">
        <v>2606</v>
      </c>
      <c r="V199" s="62" t="s">
        <v>58847</v>
      </c>
      <c r="W199" s="62" t="s">
        <v>2607</v>
      </c>
      <c r="X199" s="62" t="s">
        <v>2608</v>
      </c>
      <c r="Y199" s="62" t="s">
        <v>2609</v>
      </c>
      <c r="Z199" s="62" t="s">
        <v>2610</v>
      </c>
      <c r="AA199" s="62" t="s">
        <v>58886</v>
      </c>
      <c r="AB199" s="62" t="s">
        <v>2611</v>
      </c>
      <c r="AC199" s="62" t="s">
        <v>2612</v>
      </c>
      <c r="AD199" s="62" t="s">
        <v>2613</v>
      </c>
    </row>
    <row r="200" spans="1:30" x14ac:dyDescent="0.25">
      <c r="A200" s="62" t="s">
        <v>109</v>
      </c>
      <c r="C200" s="62" t="s">
        <v>2614</v>
      </c>
      <c r="F200" s="62" t="s">
        <v>1012</v>
      </c>
      <c r="G200" s="62" t="s">
        <v>58731</v>
      </c>
      <c r="J200" s="62" t="s">
        <v>2615</v>
      </c>
      <c r="K200" s="62" t="s">
        <v>58770</v>
      </c>
      <c r="L200" s="62" t="s">
        <v>2616</v>
      </c>
      <c r="M200" s="62" t="s">
        <v>2617</v>
      </c>
      <c r="N200" s="62" t="s">
        <v>2618</v>
      </c>
      <c r="O200" s="62" t="s">
        <v>2619</v>
      </c>
      <c r="P200" s="62" t="s">
        <v>58809</v>
      </c>
      <c r="Q200" s="62" t="s">
        <v>2620</v>
      </c>
      <c r="R200" s="62" t="s">
        <v>2621</v>
      </c>
      <c r="S200" s="62" t="s">
        <v>2622</v>
      </c>
      <c r="U200" s="62" t="s">
        <v>2623</v>
      </c>
      <c r="V200" s="62" t="s">
        <v>58848</v>
      </c>
      <c r="W200" s="62" t="s">
        <v>2624</v>
      </c>
      <c r="X200" s="62" t="s">
        <v>2625</v>
      </c>
      <c r="Y200" s="62" t="s">
        <v>2626</v>
      </c>
      <c r="Z200" s="62" t="s">
        <v>2627</v>
      </c>
      <c r="AA200" s="62" t="s">
        <v>58887</v>
      </c>
      <c r="AB200" s="62" t="s">
        <v>2628</v>
      </c>
      <c r="AC200" s="62" t="s">
        <v>2629</v>
      </c>
      <c r="AD200" s="62" t="s">
        <v>2630</v>
      </c>
    </row>
    <row r="201" spans="1:30" x14ac:dyDescent="0.25">
      <c r="A201" s="62" t="s">
        <v>109</v>
      </c>
      <c r="C201" s="62" t="s">
        <v>697</v>
      </c>
      <c r="F201" s="62" t="s">
        <v>1030</v>
      </c>
      <c r="G201" s="62" t="s">
        <v>58732</v>
      </c>
      <c r="J201" s="62" t="s">
        <v>2631</v>
      </c>
      <c r="K201" s="62" t="s">
        <v>58771</v>
      </c>
      <c r="L201" s="62" t="s">
        <v>2632</v>
      </c>
      <c r="M201" s="62" t="s">
        <v>2633</v>
      </c>
      <c r="N201" s="62" t="s">
        <v>2634</v>
      </c>
      <c r="O201" s="62" t="s">
        <v>2635</v>
      </c>
      <c r="P201" s="62" t="s">
        <v>58810</v>
      </c>
      <c r="Q201" s="62" t="s">
        <v>2636</v>
      </c>
      <c r="R201" s="62" t="s">
        <v>2637</v>
      </c>
      <c r="S201" s="62" t="s">
        <v>2638</v>
      </c>
      <c r="U201" s="62" t="s">
        <v>2639</v>
      </c>
      <c r="V201" s="62" t="s">
        <v>58849</v>
      </c>
      <c r="W201" s="62" t="s">
        <v>2640</v>
      </c>
      <c r="X201" s="62" t="s">
        <v>2641</v>
      </c>
      <c r="Y201" s="62" t="s">
        <v>2642</v>
      </c>
      <c r="Z201" s="62" t="s">
        <v>2643</v>
      </c>
      <c r="AA201" s="62" t="s">
        <v>58888</v>
      </c>
      <c r="AB201" s="62" t="s">
        <v>2644</v>
      </c>
      <c r="AC201" s="62" t="s">
        <v>2645</v>
      </c>
      <c r="AD201" s="62" t="s">
        <v>2646</v>
      </c>
    </row>
    <row r="202" spans="1:30" x14ac:dyDescent="0.25">
      <c r="A202" s="62" t="s">
        <v>109</v>
      </c>
      <c r="C202" s="62" t="s">
        <v>698</v>
      </c>
      <c r="F202" s="62" t="s">
        <v>1047</v>
      </c>
      <c r="G202" s="62" t="s">
        <v>58733</v>
      </c>
      <c r="J202" s="62" t="s">
        <v>2647</v>
      </c>
      <c r="K202" s="62" t="s">
        <v>58772</v>
      </c>
      <c r="L202" s="62" t="s">
        <v>2648</v>
      </c>
      <c r="M202" s="62" t="s">
        <v>499</v>
      </c>
      <c r="N202" s="62" t="s">
        <v>500</v>
      </c>
      <c r="O202" s="62" t="s">
        <v>2649</v>
      </c>
      <c r="P202" s="62" t="s">
        <v>58811</v>
      </c>
      <c r="Q202" s="62" t="s">
        <v>2650</v>
      </c>
      <c r="R202" s="62" t="s">
        <v>501</v>
      </c>
      <c r="S202" s="62" t="s">
        <v>502</v>
      </c>
      <c r="U202" s="62" t="s">
        <v>2651</v>
      </c>
      <c r="V202" s="62" t="s">
        <v>58850</v>
      </c>
      <c r="W202" s="62" t="s">
        <v>2652</v>
      </c>
      <c r="X202" s="62" t="s">
        <v>503</v>
      </c>
      <c r="Y202" s="62" t="s">
        <v>504</v>
      </c>
      <c r="Z202" s="62" t="s">
        <v>2653</v>
      </c>
      <c r="AA202" s="62" t="s">
        <v>58889</v>
      </c>
      <c r="AB202" s="62" t="s">
        <v>2654</v>
      </c>
      <c r="AC202" s="62" t="s">
        <v>505</v>
      </c>
      <c r="AD202" s="62" t="s">
        <v>506</v>
      </c>
    </row>
    <row r="203" spans="1:30" x14ac:dyDescent="0.25">
      <c r="A203" s="62" t="s">
        <v>109</v>
      </c>
      <c r="C203" s="62" t="s">
        <v>699</v>
      </c>
      <c r="F203" s="62" t="s">
        <v>1064</v>
      </c>
      <c r="G203" s="62" t="s">
        <v>58734</v>
      </c>
      <c r="J203" s="62" t="s">
        <v>2655</v>
      </c>
      <c r="K203" s="62" t="s">
        <v>58773</v>
      </c>
      <c r="L203" s="62" t="s">
        <v>2656</v>
      </c>
      <c r="M203" s="62" t="s">
        <v>2657</v>
      </c>
      <c r="N203" s="62" t="s">
        <v>2658</v>
      </c>
      <c r="O203" s="62" t="s">
        <v>2659</v>
      </c>
      <c r="P203" s="62" t="s">
        <v>58812</v>
      </c>
      <c r="Q203" s="62" t="s">
        <v>2660</v>
      </c>
      <c r="R203" s="62" t="s">
        <v>2661</v>
      </c>
      <c r="S203" s="62" t="s">
        <v>2662</v>
      </c>
      <c r="U203" s="62" t="s">
        <v>2663</v>
      </c>
      <c r="V203" s="62" t="s">
        <v>58851</v>
      </c>
      <c r="W203" s="62" t="s">
        <v>2664</v>
      </c>
      <c r="X203" s="62" t="s">
        <v>2665</v>
      </c>
      <c r="Y203" s="62" t="s">
        <v>2666</v>
      </c>
      <c r="Z203" s="62" t="s">
        <v>2667</v>
      </c>
      <c r="AA203" s="62" t="s">
        <v>58890</v>
      </c>
      <c r="AB203" s="62" t="s">
        <v>2668</v>
      </c>
      <c r="AC203" s="62" t="s">
        <v>2669</v>
      </c>
      <c r="AD203" s="62" t="s">
        <v>2670</v>
      </c>
    </row>
    <row r="204" spans="1:30" x14ac:dyDescent="0.25">
      <c r="A204" s="62" t="s">
        <v>109</v>
      </c>
      <c r="C204" s="62" t="s">
        <v>700</v>
      </c>
      <c r="F204" s="62" t="s">
        <v>1135</v>
      </c>
      <c r="G204" s="62" t="s">
        <v>58735</v>
      </c>
      <c r="J204" s="62" t="s">
        <v>2671</v>
      </c>
      <c r="K204" s="62" t="s">
        <v>58774</v>
      </c>
      <c r="L204" s="62" t="s">
        <v>2672</v>
      </c>
      <c r="M204" s="62" t="s">
        <v>507</v>
      </c>
      <c r="N204" s="62" t="s">
        <v>508</v>
      </c>
      <c r="O204" s="62" t="s">
        <v>2673</v>
      </c>
      <c r="P204" s="62" t="s">
        <v>58813</v>
      </c>
      <c r="Q204" s="62" t="s">
        <v>2674</v>
      </c>
      <c r="R204" s="62" t="s">
        <v>509</v>
      </c>
      <c r="S204" s="62" t="s">
        <v>510</v>
      </c>
      <c r="U204" s="62" t="s">
        <v>2675</v>
      </c>
      <c r="V204" s="62" t="s">
        <v>58852</v>
      </c>
      <c r="W204" s="62" t="s">
        <v>2676</v>
      </c>
      <c r="X204" s="62" t="s">
        <v>511</v>
      </c>
      <c r="Y204" s="62" t="s">
        <v>512</v>
      </c>
      <c r="Z204" s="62" t="s">
        <v>2677</v>
      </c>
      <c r="AA204" s="62" t="s">
        <v>58891</v>
      </c>
      <c r="AB204" s="62" t="s">
        <v>2678</v>
      </c>
      <c r="AC204" s="62" t="s">
        <v>513</v>
      </c>
      <c r="AD204" s="62" t="s">
        <v>514</v>
      </c>
    </row>
    <row r="205" spans="1:30" x14ac:dyDescent="0.25">
      <c r="A205" s="62" t="s">
        <v>109</v>
      </c>
      <c r="C205" s="62" t="s">
        <v>2679</v>
      </c>
      <c r="F205" s="62" t="s">
        <v>1152</v>
      </c>
      <c r="G205" s="62" t="s">
        <v>58736</v>
      </c>
      <c r="J205" s="62" t="s">
        <v>2680</v>
      </c>
      <c r="K205" s="62" t="s">
        <v>58775</v>
      </c>
      <c r="L205" s="62" t="s">
        <v>2681</v>
      </c>
      <c r="M205" s="62" t="s">
        <v>2682</v>
      </c>
      <c r="N205" s="62" t="s">
        <v>2683</v>
      </c>
      <c r="O205" s="62" t="s">
        <v>2684</v>
      </c>
      <c r="P205" s="62" t="s">
        <v>58814</v>
      </c>
      <c r="Q205" s="62" t="s">
        <v>2685</v>
      </c>
      <c r="R205" s="62" t="s">
        <v>2686</v>
      </c>
      <c r="S205" s="62" t="s">
        <v>2687</v>
      </c>
      <c r="U205" s="62" t="s">
        <v>2688</v>
      </c>
      <c r="V205" s="62" t="s">
        <v>58853</v>
      </c>
      <c r="W205" s="62" t="s">
        <v>2689</v>
      </c>
      <c r="X205" s="62" t="s">
        <v>2690</v>
      </c>
      <c r="Y205" s="62" t="s">
        <v>2691</v>
      </c>
      <c r="Z205" s="62" t="s">
        <v>2692</v>
      </c>
      <c r="AA205" s="62" t="s">
        <v>58892</v>
      </c>
      <c r="AB205" s="62" t="s">
        <v>2693</v>
      </c>
      <c r="AC205" s="62" t="s">
        <v>2694</v>
      </c>
      <c r="AD205" s="62" t="s">
        <v>2695</v>
      </c>
    </row>
    <row r="206" spans="1:30" x14ac:dyDescent="0.25">
      <c r="A206" s="62" t="s">
        <v>109</v>
      </c>
      <c r="C206" s="62" t="s">
        <v>2696</v>
      </c>
      <c r="F206" s="62" t="s">
        <v>1688</v>
      </c>
      <c r="G206" s="62" t="s">
        <v>58737</v>
      </c>
      <c r="J206" s="62" t="s">
        <v>2697</v>
      </c>
      <c r="K206" s="62" t="s">
        <v>58776</v>
      </c>
      <c r="L206" s="62" t="s">
        <v>2698</v>
      </c>
      <c r="M206" s="62" t="s">
        <v>2699</v>
      </c>
      <c r="N206" s="62" t="s">
        <v>2700</v>
      </c>
      <c r="O206" s="62" t="s">
        <v>2701</v>
      </c>
      <c r="P206" s="62" t="s">
        <v>58815</v>
      </c>
      <c r="Q206" s="62" t="s">
        <v>2702</v>
      </c>
      <c r="R206" s="62" t="s">
        <v>2703</v>
      </c>
      <c r="S206" s="62" t="s">
        <v>2704</v>
      </c>
      <c r="U206" s="62" t="s">
        <v>2705</v>
      </c>
      <c r="V206" s="62" t="s">
        <v>58854</v>
      </c>
      <c r="W206" s="62" t="s">
        <v>2706</v>
      </c>
      <c r="X206" s="62" t="s">
        <v>2707</v>
      </c>
      <c r="Y206" s="62" t="s">
        <v>2708</v>
      </c>
      <c r="Z206" s="62" t="s">
        <v>2709</v>
      </c>
      <c r="AA206" s="62" t="s">
        <v>58893</v>
      </c>
      <c r="AB206" s="62" t="s">
        <v>2710</v>
      </c>
      <c r="AC206" s="62" t="s">
        <v>2711</v>
      </c>
      <c r="AD206" s="62" t="s">
        <v>2712</v>
      </c>
    </row>
    <row r="207" spans="1:30" x14ac:dyDescent="0.25">
      <c r="A207" s="62" t="s">
        <v>109</v>
      </c>
      <c r="C207" s="62" t="s">
        <v>701</v>
      </c>
      <c r="F207" s="62" t="s">
        <v>1161</v>
      </c>
      <c r="G207" s="62" t="s">
        <v>58738</v>
      </c>
      <c r="J207" s="62" t="s">
        <v>2713</v>
      </c>
      <c r="K207" s="62" t="s">
        <v>58777</v>
      </c>
      <c r="L207" s="62" t="s">
        <v>2714</v>
      </c>
      <c r="M207" s="62" t="s">
        <v>2715</v>
      </c>
      <c r="N207" s="62" t="s">
        <v>2716</v>
      </c>
      <c r="O207" s="62" t="s">
        <v>2717</v>
      </c>
      <c r="P207" s="62" t="s">
        <v>58816</v>
      </c>
      <c r="Q207" s="62" t="s">
        <v>2718</v>
      </c>
      <c r="R207" s="62" t="s">
        <v>2719</v>
      </c>
      <c r="S207" s="62" t="s">
        <v>2720</v>
      </c>
      <c r="U207" s="62" t="s">
        <v>2721</v>
      </c>
      <c r="V207" s="62" t="s">
        <v>58855</v>
      </c>
      <c r="W207" s="62" t="s">
        <v>2722</v>
      </c>
      <c r="X207" s="62" t="s">
        <v>2723</v>
      </c>
      <c r="Y207" s="62" t="s">
        <v>2724</v>
      </c>
      <c r="Z207" s="62" t="s">
        <v>2725</v>
      </c>
      <c r="AA207" s="62" t="s">
        <v>58894</v>
      </c>
      <c r="AB207" s="62" t="s">
        <v>2726</v>
      </c>
      <c r="AC207" s="62" t="s">
        <v>2727</v>
      </c>
      <c r="AD207" s="62" t="s">
        <v>2728</v>
      </c>
    </row>
    <row r="208" spans="1:30" x14ac:dyDescent="0.25">
      <c r="A208" s="62" t="s">
        <v>109</v>
      </c>
      <c r="C208" s="62" t="s">
        <v>702</v>
      </c>
      <c r="F208" s="62" t="s">
        <v>1188</v>
      </c>
      <c r="G208" s="62" t="s">
        <v>58739</v>
      </c>
      <c r="J208" s="62" t="s">
        <v>2729</v>
      </c>
      <c r="K208" s="62" t="s">
        <v>58778</v>
      </c>
      <c r="L208" s="62" t="s">
        <v>2730</v>
      </c>
      <c r="M208" s="62" t="s">
        <v>516</v>
      </c>
      <c r="N208" s="62" t="s">
        <v>517</v>
      </c>
      <c r="O208" s="62" t="s">
        <v>2731</v>
      </c>
      <c r="P208" s="62" t="s">
        <v>58817</v>
      </c>
      <c r="Q208" s="62" t="s">
        <v>2732</v>
      </c>
      <c r="R208" s="62" t="s">
        <v>518</v>
      </c>
      <c r="S208" s="62" t="s">
        <v>519</v>
      </c>
      <c r="U208" s="62" t="s">
        <v>2733</v>
      </c>
      <c r="V208" s="62" t="s">
        <v>58856</v>
      </c>
      <c r="W208" s="62" t="s">
        <v>2734</v>
      </c>
      <c r="X208" s="62" t="s">
        <v>520</v>
      </c>
      <c r="Y208" s="62" t="s">
        <v>521</v>
      </c>
      <c r="Z208" s="62" t="s">
        <v>2735</v>
      </c>
      <c r="AA208" s="62" t="s">
        <v>58895</v>
      </c>
      <c r="AB208" s="62" t="s">
        <v>2736</v>
      </c>
      <c r="AC208" s="62" t="s">
        <v>522</v>
      </c>
      <c r="AD208" s="62" t="s">
        <v>523</v>
      </c>
    </row>
    <row r="209" spans="1:30" x14ac:dyDescent="0.25">
      <c r="A209" s="62" t="s">
        <v>109</v>
      </c>
      <c r="C209" s="62" t="s">
        <v>703</v>
      </c>
      <c r="F209" s="62" t="s">
        <v>1206</v>
      </c>
      <c r="G209" s="62" t="s">
        <v>58740</v>
      </c>
      <c r="J209" s="62" t="s">
        <v>2737</v>
      </c>
      <c r="K209" s="62" t="s">
        <v>58779</v>
      </c>
      <c r="L209" s="62" t="s">
        <v>2738</v>
      </c>
      <c r="M209" s="62" t="s">
        <v>2739</v>
      </c>
      <c r="N209" s="62" t="s">
        <v>2740</v>
      </c>
      <c r="O209" s="62" t="s">
        <v>2741</v>
      </c>
      <c r="P209" s="62" t="s">
        <v>58818</v>
      </c>
      <c r="Q209" s="62" t="s">
        <v>2742</v>
      </c>
      <c r="R209" s="62" t="s">
        <v>2743</v>
      </c>
      <c r="S209" s="62" t="s">
        <v>2744</v>
      </c>
      <c r="U209" s="62" t="s">
        <v>2745</v>
      </c>
      <c r="V209" s="62" t="s">
        <v>58857</v>
      </c>
      <c r="W209" s="62" t="s">
        <v>2746</v>
      </c>
      <c r="X209" s="62" t="s">
        <v>2747</v>
      </c>
      <c r="Y209" s="62" t="s">
        <v>2748</v>
      </c>
      <c r="Z209" s="62" t="s">
        <v>2749</v>
      </c>
      <c r="AA209" s="62" t="s">
        <v>58896</v>
      </c>
      <c r="AB209" s="62" t="s">
        <v>2750</v>
      </c>
      <c r="AC209" s="62" t="s">
        <v>2751</v>
      </c>
      <c r="AD209" s="62" t="s">
        <v>2752</v>
      </c>
    </row>
    <row r="210" spans="1:30" x14ac:dyDescent="0.25">
      <c r="A210" s="62" t="s">
        <v>109</v>
      </c>
      <c r="C210" s="62" t="s">
        <v>704</v>
      </c>
      <c r="F210" s="62" t="s">
        <v>1223</v>
      </c>
      <c r="G210" s="62" t="s">
        <v>58741</v>
      </c>
      <c r="J210" s="62" t="s">
        <v>2753</v>
      </c>
      <c r="K210" s="62" t="s">
        <v>58780</v>
      </c>
      <c r="L210" s="62" t="s">
        <v>2754</v>
      </c>
      <c r="M210" s="62" t="s">
        <v>524</v>
      </c>
      <c r="N210" s="62" t="s">
        <v>525</v>
      </c>
      <c r="O210" s="62" t="s">
        <v>2755</v>
      </c>
      <c r="P210" s="62" t="s">
        <v>58819</v>
      </c>
      <c r="Q210" s="62" t="s">
        <v>2756</v>
      </c>
      <c r="R210" s="62" t="s">
        <v>526</v>
      </c>
      <c r="S210" s="62" t="s">
        <v>527</v>
      </c>
      <c r="U210" s="62" t="s">
        <v>2757</v>
      </c>
      <c r="V210" s="62" t="s">
        <v>58858</v>
      </c>
      <c r="W210" s="62" t="s">
        <v>2758</v>
      </c>
      <c r="X210" s="62" t="s">
        <v>528</v>
      </c>
      <c r="Y210" s="62" t="s">
        <v>529</v>
      </c>
      <c r="Z210" s="62" t="s">
        <v>2759</v>
      </c>
      <c r="AA210" s="62" t="s">
        <v>58897</v>
      </c>
      <c r="AB210" s="62" t="s">
        <v>2760</v>
      </c>
      <c r="AC210" s="62" t="s">
        <v>530</v>
      </c>
      <c r="AD210" s="62" t="s">
        <v>531</v>
      </c>
    </row>
    <row r="211" spans="1:30" x14ac:dyDescent="0.25">
      <c r="A211" s="62" t="s">
        <v>109</v>
      </c>
      <c r="C211" s="62" t="s">
        <v>2761</v>
      </c>
      <c r="F211" s="62" t="s">
        <v>1240</v>
      </c>
      <c r="G211" s="62" t="s">
        <v>58742</v>
      </c>
      <c r="J211" s="62" t="s">
        <v>2762</v>
      </c>
      <c r="K211" s="62" t="s">
        <v>58781</v>
      </c>
      <c r="L211" s="62" t="s">
        <v>2763</v>
      </c>
      <c r="M211" s="62" t="s">
        <v>2764</v>
      </c>
      <c r="N211" s="62" t="s">
        <v>2765</v>
      </c>
      <c r="O211" s="62" t="s">
        <v>2766</v>
      </c>
      <c r="P211" s="62" t="s">
        <v>58820</v>
      </c>
      <c r="Q211" s="62" t="s">
        <v>2767</v>
      </c>
      <c r="R211" s="62" t="s">
        <v>2768</v>
      </c>
      <c r="S211" s="62" t="s">
        <v>2769</v>
      </c>
      <c r="U211" s="62" t="s">
        <v>2770</v>
      </c>
      <c r="V211" s="62" t="s">
        <v>58859</v>
      </c>
      <c r="W211" s="62" t="s">
        <v>2771</v>
      </c>
      <c r="X211" s="62" t="s">
        <v>2772</v>
      </c>
      <c r="Y211" s="62" t="s">
        <v>2773</v>
      </c>
      <c r="Z211" s="62" t="s">
        <v>2774</v>
      </c>
      <c r="AA211" s="62" t="s">
        <v>58898</v>
      </c>
      <c r="AB211" s="62" t="s">
        <v>2775</v>
      </c>
      <c r="AC211" s="62" t="s">
        <v>2776</v>
      </c>
      <c r="AD211" s="62" t="s">
        <v>2777</v>
      </c>
    </row>
    <row r="212" spans="1:30" x14ac:dyDescent="0.25">
      <c r="A212" s="62" t="s">
        <v>109</v>
      </c>
      <c r="C212" s="62" t="s">
        <v>2778</v>
      </c>
      <c r="F212" s="62" t="s">
        <v>1275</v>
      </c>
      <c r="G212" s="62" t="s">
        <v>58743</v>
      </c>
      <c r="J212" s="62" t="s">
        <v>2779</v>
      </c>
      <c r="K212" s="62" t="s">
        <v>58782</v>
      </c>
      <c r="L212" s="62" t="s">
        <v>2780</v>
      </c>
      <c r="M212" s="62" t="s">
        <v>2781</v>
      </c>
      <c r="N212" s="62" t="s">
        <v>2782</v>
      </c>
      <c r="O212" s="62" t="s">
        <v>2783</v>
      </c>
      <c r="P212" s="62" t="s">
        <v>58821</v>
      </c>
      <c r="Q212" s="62" t="s">
        <v>2784</v>
      </c>
      <c r="R212" s="62" t="s">
        <v>2785</v>
      </c>
      <c r="S212" s="62" t="s">
        <v>2786</v>
      </c>
      <c r="U212" s="62" t="s">
        <v>2787</v>
      </c>
      <c r="V212" s="62" t="s">
        <v>58860</v>
      </c>
      <c r="W212" s="62" t="s">
        <v>2788</v>
      </c>
      <c r="X212" s="62" t="s">
        <v>2789</v>
      </c>
      <c r="Y212" s="62" t="s">
        <v>2790</v>
      </c>
      <c r="Z212" s="62" t="s">
        <v>2791</v>
      </c>
      <c r="AA212" s="62" t="s">
        <v>58899</v>
      </c>
      <c r="AB212" s="62" t="s">
        <v>2792</v>
      </c>
      <c r="AC212" s="62" t="s">
        <v>2793</v>
      </c>
      <c r="AD212" s="62" t="s">
        <v>2794</v>
      </c>
    </row>
    <row r="213" spans="1:30" x14ac:dyDescent="0.25">
      <c r="A213" s="62" t="s">
        <v>109</v>
      </c>
      <c r="C213" s="62" t="s">
        <v>705</v>
      </c>
      <c r="F213" s="62" t="s">
        <v>1277</v>
      </c>
      <c r="G213" s="62" t="s">
        <v>58744</v>
      </c>
      <c r="J213" s="62" t="s">
        <v>2795</v>
      </c>
      <c r="K213" s="62" t="s">
        <v>58783</v>
      </c>
      <c r="L213" s="62" t="s">
        <v>2796</v>
      </c>
      <c r="M213" s="62" t="s">
        <v>2797</v>
      </c>
      <c r="N213" s="62" t="s">
        <v>2798</v>
      </c>
      <c r="O213" s="62" t="s">
        <v>2799</v>
      </c>
      <c r="P213" s="62" t="s">
        <v>58822</v>
      </c>
      <c r="Q213" s="62" t="s">
        <v>2800</v>
      </c>
      <c r="R213" s="62" t="s">
        <v>2801</v>
      </c>
      <c r="S213" s="62" t="s">
        <v>2802</v>
      </c>
      <c r="U213" s="62" t="s">
        <v>2803</v>
      </c>
      <c r="V213" s="62" t="s">
        <v>58861</v>
      </c>
      <c r="W213" s="62" t="s">
        <v>2804</v>
      </c>
      <c r="X213" s="62" t="s">
        <v>2805</v>
      </c>
      <c r="Y213" s="62" t="s">
        <v>2806</v>
      </c>
      <c r="Z213" s="62" t="s">
        <v>2807</v>
      </c>
      <c r="AA213" s="62" t="s">
        <v>58900</v>
      </c>
      <c r="AB213" s="62" t="s">
        <v>2808</v>
      </c>
      <c r="AC213" s="62" t="s">
        <v>2809</v>
      </c>
      <c r="AD213" s="62" t="s">
        <v>2810</v>
      </c>
    </row>
    <row r="214" spans="1:30" x14ac:dyDescent="0.25">
      <c r="A214" s="62" t="s">
        <v>109</v>
      </c>
      <c r="C214" s="62" t="s">
        <v>706</v>
      </c>
      <c r="F214" s="62" t="s">
        <v>1795</v>
      </c>
      <c r="G214" s="62" t="s">
        <v>58745</v>
      </c>
      <c r="J214" s="62" t="s">
        <v>2811</v>
      </c>
      <c r="K214" s="62" t="s">
        <v>58784</v>
      </c>
      <c r="L214" s="62" t="s">
        <v>2812</v>
      </c>
      <c r="M214" s="62" t="s">
        <v>533</v>
      </c>
      <c r="N214" s="62" t="s">
        <v>534</v>
      </c>
      <c r="O214" s="62" t="s">
        <v>2813</v>
      </c>
      <c r="P214" s="62" t="s">
        <v>58823</v>
      </c>
      <c r="Q214" s="62" t="s">
        <v>2814</v>
      </c>
      <c r="R214" s="62" t="s">
        <v>535</v>
      </c>
      <c r="S214" s="62" t="s">
        <v>536</v>
      </c>
      <c r="U214" s="62" t="s">
        <v>2815</v>
      </c>
      <c r="V214" s="62" t="s">
        <v>58862</v>
      </c>
      <c r="W214" s="62" t="s">
        <v>2816</v>
      </c>
      <c r="X214" s="62" t="s">
        <v>537</v>
      </c>
      <c r="Y214" s="62" t="s">
        <v>538</v>
      </c>
      <c r="Z214" s="62" t="s">
        <v>2817</v>
      </c>
      <c r="AA214" s="62" t="s">
        <v>58901</v>
      </c>
      <c r="AB214" s="62" t="s">
        <v>2818</v>
      </c>
      <c r="AC214" s="62" t="s">
        <v>539</v>
      </c>
      <c r="AD214" s="62" t="s">
        <v>540</v>
      </c>
    </row>
    <row r="215" spans="1:30" x14ac:dyDescent="0.25">
      <c r="A215" s="62" t="s">
        <v>109</v>
      </c>
      <c r="C215" s="62" t="s">
        <v>707</v>
      </c>
      <c r="F215" s="62" t="s">
        <v>1286</v>
      </c>
      <c r="G215" s="62" t="s">
        <v>58746</v>
      </c>
      <c r="J215" s="62" t="s">
        <v>2819</v>
      </c>
      <c r="K215" s="62" t="s">
        <v>58785</v>
      </c>
      <c r="L215" s="62" t="s">
        <v>2820</v>
      </c>
      <c r="M215" s="62" t="s">
        <v>2821</v>
      </c>
      <c r="N215" s="62" t="s">
        <v>2822</v>
      </c>
      <c r="O215" s="62" t="s">
        <v>2823</v>
      </c>
      <c r="P215" s="62" t="s">
        <v>58824</v>
      </c>
      <c r="Q215" s="62" t="s">
        <v>2824</v>
      </c>
      <c r="R215" s="62" t="s">
        <v>2825</v>
      </c>
      <c r="S215" s="62" t="s">
        <v>2826</v>
      </c>
      <c r="U215" s="62" t="s">
        <v>2827</v>
      </c>
      <c r="V215" s="62" t="s">
        <v>58863</v>
      </c>
      <c r="W215" s="62" t="s">
        <v>2828</v>
      </c>
      <c r="X215" s="62" t="s">
        <v>2829</v>
      </c>
      <c r="Y215" s="62" t="s">
        <v>2830</v>
      </c>
      <c r="Z215" s="62" t="s">
        <v>2831</v>
      </c>
      <c r="AA215" s="62" t="s">
        <v>58902</v>
      </c>
      <c r="AB215" s="62" t="s">
        <v>2832</v>
      </c>
      <c r="AC215" s="62" t="s">
        <v>2833</v>
      </c>
      <c r="AD215" s="62" t="s">
        <v>2834</v>
      </c>
    </row>
    <row r="216" spans="1:30" x14ac:dyDescent="0.25">
      <c r="A216" s="62" t="s">
        <v>109</v>
      </c>
      <c r="C216" s="62" t="s">
        <v>708</v>
      </c>
      <c r="F216" s="62" t="s">
        <v>1288</v>
      </c>
      <c r="G216" s="62" t="s">
        <v>58747</v>
      </c>
      <c r="J216" s="62" t="s">
        <v>2835</v>
      </c>
      <c r="K216" s="62" t="s">
        <v>58786</v>
      </c>
      <c r="L216" s="62" t="s">
        <v>2836</v>
      </c>
      <c r="M216" s="62" t="s">
        <v>541</v>
      </c>
      <c r="N216" s="62" t="s">
        <v>542</v>
      </c>
      <c r="O216" s="62" t="s">
        <v>2837</v>
      </c>
      <c r="P216" s="62" t="s">
        <v>58825</v>
      </c>
      <c r="Q216" s="62" t="s">
        <v>2838</v>
      </c>
      <c r="R216" s="62" t="s">
        <v>543</v>
      </c>
      <c r="S216" s="62" t="s">
        <v>544</v>
      </c>
      <c r="U216" s="62" t="s">
        <v>2839</v>
      </c>
      <c r="V216" s="62" t="s">
        <v>58864</v>
      </c>
      <c r="W216" s="62" t="s">
        <v>2840</v>
      </c>
      <c r="X216" s="62" t="s">
        <v>545</v>
      </c>
      <c r="Y216" s="62" t="s">
        <v>546</v>
      </c>
      <c r="Z216" s="62" t="s">
        <v>2841</v>
      </c>
      <c r="AA216" s="62" t="s">
        <v>58903</v>
      </c>
      <c r="AB216" s="62" t="s">
        <v>2842</v>
      </c>
      <c r="AC216" s="62" t="s">
        <v>547</v>
      </c>
      <c r="AD216" s="62" t="s">
        <v>548</v>
      </c>
    </row>
    <row r="217" spans="1:30" x14ac:dyDescent="0.25">
      <c r="A217" s="62" t="s">
        <v>109</v>
      </c>
      <c r="C217" s="62" t="s">
        <v>2843</v>
      </c>
      <c r="F217" s="62" t="s">
        <v>1289</v>
      </c>
      <c r="G217" s="62" t="s">
        <v>58748</v>
      </c>
      <c r="J217" s="62" t="s">
        <v>2844</v>
      </c>
      <c r="K217" s="62" t="s">
        <v>58787</v>
      </c>
      <c r="L217" s="62" t="s">
        <v>2845</v>
      </c>
      <c r="M217" s="62" t="s">
        <v>2846</v>
      </c>
      <c r="N217" s="62" t="s">
        <v>2847</v>
      </c>
      <c r="O217" s="62" t="s">
        <v>2848</v>
      </c>
      <c r="P217" s="62" t="s">
        <v>58826</v>
      </c>
      <c r="Q217" s="62" t="s">
        <v>2849</v>
      </c>
      <c r="R217" s="62" t="s">
        <v>2850</v>
      </c>
      <c r="S217" s="62" t="s">
        <v>2851</v>
      </c>
      <c r="U217" s="62" t="s">
        <v>2852</v>
      </c>
      <c r="V217" s="62" t="s">
        <v>58865</v>
      </c>
      <c r="W217" s="62" t="s">
        <v>2853</v>
      </c>
      <c r="X217" s="62" t="s">
        <v>2854</v>
      </c>
      <c r="Y217" s="62" t="s">
        <v>2855</v>
      </c>
      <c r="Z217" s="62" t="s">
        <v>2856</v>
      </c>
      <c r="AA217" s="62" t="s">
        <v>58904</v>
      </c>
      <c r="AB217" s="62" t="s">
        <v>2857</v>
      </c>
      <c r="AC217" s="62" t="s">
        <v>2858</v>
      </c>
      <c r="AD217" s="62" t="s">
        <v>2859</v>
      </c>
    </row>
    <row r="218" spans="1:30" x14ac:dyDescent="0.25">
      <c r="A218" s="62" t="s">
        <v>109</v>
      </c>
      <c r="C218" s="62" t="s">
        <v>2860</v>
      </c>
      <c r="F218" s="62" t="s">
        <v>1797</v>
      </c>
      <c r="G218" s="62" t="s">
        <v>58749</v>
      </c>
      <c r="J218" s="62" t="s">
        <v>2861</v>
      </c>
      <c r="K218" s="62" t="s">
        <v>58788</v>
      </c>
      <c r="L218" s="62" t="s">
        <v>2862</v>
      </c>
      <c r="M218" s="62" t="s">
        <v>2863</v>
      </c>
      <c r="N218" s="62" t="s">
        <v>2864</v>
      </c>
      <c r="O218" s="62" t="s">
        <v>2865</v>
      </c>
      <c r="P218" s="62" t="s">
        <v>58827</v>
      </c>
      <c r="Q218" s="62" t="s">
        <v>2866</v>
      </c>
      <c r="R218" s="62" t="s">
        <v>2867</v>
      </c>
      <c r="S218" s="62" t="s">
        <v>2868</v>
      </c>
      <c r="U218" s="62" t="s">
        <v>2869</v>
      </c>
      <c r="V218" s="62" t="s">
        <v>58866</v>
      </c>
      <c r="W218" s="62" t="s">
        <v>2870</v>
      </c>
      <c r="X218" s="62" t="s">
        <v>2871</v>
      </c>
      <c r="Y218" s="62" t="s">
        <v>2872</v>
      </c>
      <c r="Z218" s="62" t="s">
        <v>2873</v>
      </c>
      <c r="AA218" s="62" t="s">
        <v>58905</v>
      </c>
      <c r="AB218" s="62" t="s">
        <v>2874</v>
      </c>
      <c r="AC218" s="62" t="s">
        <v>2875</v>
      </c>
      <c r="AD218" s="62" t="s">
        <v>2876</v>
      </c>
    </row>
    <row r="219" spans="1:30" x14ac:dyDescent="0.25">
      <c r="A219" s="62" t="s">
        <v>109</v>
      </c>
      <c r="C219" s="62" t="s">
        <v>709</v>
      </c>
      <c r="F219" s="62" t="s">
        <v>1299</v>
      </c>
      <c r="G219" s="62" t="s">
        <v>58750</v>
      </c>
      <c r="J219" s="62" t="s">
        <v>2877</v>
      </c>
      <c r="K219" s="62" t="s">
        <v>58789</v>
      </c>
      <c r="L219" s="62" t="s">
        <v>2878</v>
      </c>
      <c r="M219" s="62" t="s">
        <v>2879</v>
      </c>
      <c r="N219" s="62" t="s">
        <v>2880</v>
      </c>
      <c r="O219" s="62" t="s">
        <v>2881</v>
      </c>
      <c r="P219" s="62" t="s">
        <v>58828</v>
      </c>
      <c r="Q219" s="62" t="s">
        <v>2882</v>
      </c>
      <c r="R219" s="62" t="s">
        <v>2883</v>
      </c>
      <c r="S219" s="62" t="s">
        <v>2884</v>
      </c>
      <c r="U219" s="62" t="s">
        <v>2885</v>
      </c>
      <c r="V219" s="62" t="s">
        <v>58867</v>
      </c>
      <c r="W219" s="62" t="s">
        <v>2886</v>
      </c>
      <c r="X219" s="62" t="s">
        <v>2887</v>
      </c>
      <c r="Y219" s="62" t="s">
        <v>2888</v>
      </c>
      <c r="Z219" s="62" t="s">
        <v>2889</v>
      </c>
      <c r="AA219" s="62" t="s">
        <v>58906</v>
      </c>
      <c r="AB219" s="62" t="s">
        <v>2890</v>
      </c>
      <c r="AC219" s="62" t="s">
        <v>2891</v>
      </c>
      <c r="AD219" s="62" t="s">
        <v>2892</v>
      </c>
    </row>
    <row r="220" spans="1:30" x14ac:dyDescent="0.25">
      <c r="A220" s="62" t="s">
        <v>109</v>
      </c>
      <c r="C220" s="62" t="s">
        <v>2423</v>
      </c>
    </row>
    <row r="221" spans="1:30" x14ac:dyDescent="0.25">
      <c r="A221" s="62" t="s">
        <v>109</v>
      </c>
      <c r="C221" s="62" t="s">
        <v>710</v>
      </c>
      <c r="G221" s="62" t="s">
        <v>40141</v>
      </c>
      <c r="J221" s="62" t="s">
        <v>40142</v>
      </c>
      <c r="K221" s="62" t="s">
        <v>40143</v>
      </c>
      <c r="L221" s="62" t="s">
        <v>40144</v>
      </c>
      <c r="M221" s="62" t="s">
        <v>2893</v>
      </c>
      <c r="N221" s="62" t="s">
        <v>2894</v>
      </c>
      <c r="O221" s="62" t="s">
        <v>40145</v>
      </c>
      <c r="P221" s="62" t="s">
        <v>40146</v>
      </c>
      <c r="Q221" s="62" t="s">
        <v>40147</v>
      </c>
      <c r="R221" s="62" t="s">
        <v>2895</v>
      </c>
      <c r="S221" s="62" t="s">
        <v>2896</v>
      </c>
      <c r="U221" s="62" t="s">
        <v>40148</v>
      </c>
      <c r="V221" s="62" t="s">
        <v>40149</v>
      </c>
      <c r="W221" s="62" t="s">
        <v>40150</v>
      </c>
      <c r="X221" s="62" t="s">
        <v>2897</v>
      </c>
      <c r="Y221" s="62" t="s">
        <v>2898</v>
      </c>
      <c r="Z221" s="62" t="s">
        <v>40151</v>
      </c>
      <c r="AA221" s="62" t="s">
        <v>40152</v>
      </c>
      <c r="AB221" s="62" t="s">
        <v>40153</v>
      </c>
      <c r="AC221" s="62" t="s">
        <v>2899</v>
      </c>
      <c r="AD221" s="62" t="s">
        <v>2900</v>
      </c>
    </row>
    <row r="222" spans="1:30" x14ac:dyDescent="0.25">
      <c r="A222" s="62" t="s">
        <v>109</v>
      </c>
    </row>
    <row r="223" spans="1:30" x14ac:dyDescent="0.25">
      <c r="A223" s="62" t="s">
        <v>109</v>
      </c>
      <c r="C223" s="62" t="s">
        <v>40154</v>
      </c>
      <c r="E223" s="62" t="s">
        <v>802</v>
      </c>
      <c r="G223" s="62" t="s">
        <v>40155</v>
      </c>
    </row>
    <row r="224" spans="1:30" x14ac:dyDescent="0.25">
      <c r="A224" s="62" t="s">
        <v>109</v>
      </c>
      <c r="C224" s="62" t="s">
        <v>2901</v>
      </c>
    </row>
    <row r="225" spans="1:30" x14ac:dyDescent="0.25">
      <c r="A225" s="62" t="s">
        <v>109</v>
      </c>
      <c r="C225" s="62" t="s">
        <v>711</v>
      </c>
      <c r="F225" s="62" t="s">
        <v>40156</v>
      </c>
      <c r="G225" s="62" t="s">
        <v>58682</v>
      </c>
      <c r="J225" s="62" t="s">
        <v>2902</v>
      </c>
      <c r="K225" s="62" t="s">
        <v>58688</v>
      </c>
      <c r="L225" s="62" t="s">
        <v>2903</v>
      </c>
      <c r="M225" s="62" t="s">
        <v>2904</v>
      </c>
      <c r="N225" s="62" t="s">
        <v>2905</v>
      </c>
      <c r="O225" s="62" t="s">
        <v>2906</v>
      </c>
      <c r="P225" s="62" t="s">
        <v>58694</v>
      </c>
      <c r="Q225" s="62" t="s">
        <v>2907</v>
      </c>
      <c r="R225" s="62" t="s">
        <v>2908</v>
      </c>
      <c r="S225" s="62" t="s">
        <v>2909</v>
      </c>
      <c r="U225" s="62" t="s">
        <v>2910</v>
      </c>
      <c r="V225" s="62" t="s">
        <v>58700</v>
      </c>
      <c r="W225" s="62" t="s">
        <v>2911</v>
      </c>
      <c r="X225" s="62" t="s">
        <v>2912</v>
      </c>
      <c r="Y225" s="62" t="s">
        <v>2913</v>
      </c>
      <c r="Z225" s="62" t="s">
        <v>2914</v>
      </c>
      <c r="AA225" s="62" t="s">
        <v>58706</v>
      </c>
      <c r="AB225" s="62" t="s">
        <v>2915</v>
      </c>
      <c r="AC225" s="62" t="s">
        <v>2916</v>
      </c>
      <c r="AD225" s="62" t="s">
        <v>2917</v>
      </c>
    </row>
    <row r="226" spans="1:30" x14ac:dyDescent="0.25">
      <c r="A226" s="62" t="s">
        <v>109</v>
      </c>
      <c r="C226" s="62" t="s">
        <v>712</v>
      </c>
      <c r="F226" s="62" t="s">
        <v>2297</v>
      </c>
      <c r="G226" s="62" t="s">
        <v>58683</v>
      </c>
      <c r="J226" s="62" t="s">
        <v>2918</v>
      </c>
      <c r="K226" s="62" t="s">
        <v>58689</v>
      </c>
      <c r="L226" s="62" t="s">
        <v>2919</v>
      </c>
      <c r="M226" s="62" t="s">
        <v>551</v>
      </c>
      <c r="N226" s="62" t="s">
        <v>552</v>
      </c>
      <c r="O226" s="62" t="s">
        <v>2920</v>
      </c>
      <c r="P226" s="62" t="s">
        <v>58695</v>
      </c>
      <c r="Q226" s="62" t="s">
        <v>2921</v>
      </c>
      <c r="R226" s="62" t="s">
        <v>553</v>
      </c>
      <c r="S226" s="62" t="s">
        <v>554</v>
      </c>
      <c r="U226" s="62" t="s">
        <v>2922</v>
      </c>
      <c r="V226" s="62" t="s">
        <v>58701</v>
      </c>
      <c r="W226" s="62" t="s">
        <v>2923</v>
      </c>
      <c r="X226" s="62" t="s">
        <v>555</v>
      </c>
      <c r="Y226" s="62" t="s">
        <v>556</v>
      </c>
      <c r="Z226" s="62" t="s">
        <v>2924</v>
      </c>
      <c r="AA226" s="62" t="s">
        <v>58707</v>
      </c>
      <c r="AB226" s="62" t="s">
        <v>2925</v>
      </c>
      <c r="AC226" s="62" t="s">
        <v>557</v>
      </c>
      <c r="AD226" s="62" t="s">
        <v>558</v>
      </c>
    </row>
    <row r="227" spans="1:30" x14ac:dyDescent="0.25">
      <c r="A227" s="62" t="s">
        <v>109</v>
      </c>
      <c r="C227" s="62" t="s">
        <v>713</v>
      </c>
      <c r="F227" s="62" t="s">
        <v>3185</v>
      </c>
      <c r="G227" s="62" t="s">
        <v>58684</v>
      </c>
      <c r="J227" s="62" t="s">
        <v>2926</v>
      </c>
      <c r="K227" s="62" t="s">
        <v>58690</v>
      </c>
      <c r="L227" s="62" t="s">
        <v>2927</v>
      </c>
      <c r="M227" s="62" t="s">
        <v>2928</v>
      </c>
      <c r="N227" s="62" t="s">
        <v>2929</v>
      </c>
      <c r="O227" s="62" t="s">
        <v>2930</v>
      </c>
      <c r="P227" s="62" t="s">
        <v>58696</v>
      </c>
      <c r="Q227" s="62" t="s">
        <v>2931</v>
      </c>
      <c r="R227" s="62" t="s">
        <v>2932</v>
      </c>
      <c r="S227" s="62" t="s">
        <v>2933</v>
      </c>
      <c r="U227" s="62" t="s">
        <v>2934</v>
      </c>
      <c r="V227" s="62" t="s">
        <v>58702</v>
      </c>
      <c r="W227" s="62" t="s">
        <v>2935</v>
      </c>
      <c r="X227" s="62" t="s">
        <v>2936</v>
      </c>
      <c r="Y227" s="62" t="s">
        <v>2937</v>
      </c>
      <c r="Z227" s="62" t="s">
        <v>2938</v>
      </c>
      <c r="AA227" s="62" t="s">
        <v>58708</v>
      </c>
      <c r="AB227" s="62" t="s">
        <v>2939</v>
      </c>
      <c r="AC227" s="62" t="s">
        <v>2940</v>
      </c>
      <c r="AD227" s="62" t="s">
        <v>2941</v>
      </c>
    </row>
    <row r="228" spans="1:30" x14ac:dyDescent="0.25">
      <c r="A228" s="62" t="s">
        <v>109</v>
      </c>
      <c r="C228" s="62" t="s">
        <v>714</v>
      </c>
      <c r="F228" s="62" t="s">
        <v>3237</v>
      </c>
      <c r="G228" s="62" t="s">
        <v>58685</v>
      </c>
      <c r="J228" s="62" t="s">
        <v>2942</v>
      </c>
      <c r="K228" s="62" t="s">
        <v>58691</v>
      </c>
      <c r="L228" s="62" t="s">
        <v>2943</v>
      </c>
      <c r="M228" s="62" t="s">
        <v>559</v>
      </c>
      <c r="N228" s="62" t="s">
        <v>560</v>
      </c>
      <c r="O228" s="62" t="s">
        <v>2944</v>
      </c>
      <c r="P228" s="62" t="s">
        <v>58697</v>
      </c>
      <c r="Q228" s="62" t="s">
        <v>2945</v>
      </c>
      <c r="R228" s="62" t="s">
        <v>561</v>
      </c>
      <c r="S228" s="62" t="s">
        <v>562</v>
      </c>
      <c r="U228" s="62" t="s">
        <v>2946</v>
      </c>
      <c r="V228" s="62" t="s">
        <v>58703</v>
      </c>
      <c r="W228" s="62" t="s">
        <v>2947</v>
      </c>
      <c r="X228" s="62" t="s">
        <v>563</v>
      </c>
      <c r="Y228" s="62" t="s">
        <v>564</v>
      </c>
      <c r="Z228" s="62" t="s">
        <v>2948</v>
      </c>
      <c r="AA228" s="62" t="s">
        <v>58709</v>
      </c>
      <c r="AB228" s="62" t="s">
        <v>2949</v>
      </c>
      <c r="AC228" s="62" t="s">
        <v>565</v>
      </c>
      <c r="AD228" s="62" t="s">
        <v>566</v>
      </c>
    </row>
    <row r="229" spans="1:30" x14ac:dyDescent="0.25">
      <c r="A229" s="62" t="s">
        <v>109</v>
      </c>
      <c r="C229" s="62" t="s">
        <v>2950</v>
      </c>
      <c r="F229" s="62" t="s">
        <v>2355</v>
      </c>
      <c r="G229" s="62" t="s">
        <v>58686</v>
      </c>
      <c r="J229" s="62" t="s">
        <v>2951</v>
      </c>
      <c r="K229" s="62" t="s">
        <v>58692</v>
      </c>
      <c r="L229" s="62" t="s">
        <v>2952</v>
      </c>
      <c r="M229" s="62" t="s">
        <v>2953</v>
      </c>
      <c r="N229" s="62" t="s">
        <v>2954</v>
      </c>
      <c r="O229" s="62" t="s">
        <v>2955</v>
      </c>
      <c r="P229" s="62" t="s">
        <v>58698</v>
      </c>
      <c r="Q229" s="62" t="s">
        <v>2956</v>
      </c>
      <c r="R229" s="62" t="s">
        <v>2957</v>
      </c>
      <c r="S229" s="62" t="s">
        <v>2958</v>
      </c>
      <c r="U229" s="62" t="s">
        <v>2959</v>
      </c>
      <c r="V229" s="62" t="s">
        <v>58704</v>
      </c>
      <c r="W229" s="62" t="s">
        <v>2960</v>
      </c>
      <c r="X229" s="62" t="s">
        <v>2961</v>
      </c>
      <c r="Y229" s="62" t="s">
        <v>2962</v>
      </c>
      <c r="Z229" s="62" t="s">
        <v>2963</v>
      </c>
      <c r="AA229" s="62" t="s">
        <v>58710</v>
      </c>
      <c r="AB229" s="62" t="s">
        <v>2964</v>
      </c>
      <c r="AC229" s="62" t="s">
        <v>2965</v>
      </c>
      <c r="AD229" s="62" t="s">
        <v>2966</v>
      </c>
    </row>
    <row r="230" spans="1:30" x14ac:dyDescent="0.25">
      <c r="A230" s="62" t="s">
        <v>109</v>
      </c>
      <c r="C230" s="62" t="s">
        <v>2967</v>
      </c>
      <c r="F230" s="62" t="s">
        <v>2372</v>
      </c>
      <c r="G230" s="62" t="s">
        <v>58687</v>
      </c>
      <c r="J230" s="62" t="s">
        <v>2968</v>
      </c>
      <c r="K230" s="62" t="s">
        <v>58693</v>
      </c>
      <c r="L230" s="62" t="s">
        <v>2969</v>
      </c>
      <c r="M230" s="62" t="s">
        <v>2970</v>
      </c>
      <c r="N230" s="62" t="s">
        <v>2971</v>
      </c>
      <c r="O230" s="62" t="s">
        <v>2972</v>
      </c>
      <c r="P230" s="62" t="s">
        <v>58699</v>
      </c>
      <c r="Q230" s="62" t="s">
        <v>2973</v>
      </c>
      <c r="R230" s="62" t="s">
        <v>2974</v>
      </c>
      <c r="S230" s="62" t="s">
        <v>2975</v>
      </c>
      <c r="U230" s="62" t="s">
        <v>2976</v>
      </c>
      <c r="V230" s="62" t="s">
        <v>58705</v>
      </c>
      <c r="W230" s="62" t="s">
        <v>2977</v>
      </c>
      <c r="X230" s="62" t="s">
        <v>2978</v>
      </c>
      <c r="Y230" s="62" t="s">
        <v>2979</v>
      </c>
      <c r="Z230" s="62" t="s">
        <v>2980</v>
      </c>
      <c r="AA230" s="62" t="s">
        <v>58711</v>
      </c>
      <c r="AB230" s="62" t="s">
        <v>2981</v>
      </c>
      <c r="AC230" s="62" t="s">
        <v>2982</v>
      </c>
      <c r="AD230" s="62" t="s">
        <v>2983</v>
      </c>
    </row>
    <row r="231" spans="1:30" x14ac:dyDescent="0.25">
      <c r="A231" s="62" t="s">
        <v>109</v>
      </c>
      <c r="C231" s="62" t="s">
        <v>712</v>
      </c>
    </row>
    <row r="232" spans="1:30" x14ac:dyDescent="0.25">
      <c r="A232" s="62" t="s">
        <v>109</v>
      </c>
      <c r="C232" s="62" t="s">
        <v>715</v>
      </c>
      <c r="G232" s="62" t="s">
        <v>40157</v>
      </c>
      <c r="J232" s="62" t="s">
        <v>40158</v>
      </c>
      <c r="K232" s="62" t="s">
        <v>40159</v>
      </c>
      <c r="L232" s="62" t="s">
        <v>40160</v>
      </c>
      <c r="M232" s="62" t="s">
        <v>568</v>
      </c>
      <c r="N232" s="62" t="s">
        <v>569</v>
      </c>
      <c r="O232" s="62" t="s">
        <v>40161</v>
      </c>
      <c r="P232" s="62" t="s">
        <v>40162</v>
      </c>
      <c r="Q232" s="62" t="s">
        <v>40163</v>
      </c>
      <c r="R232" s="62" t="s">
        <v>570</v>
      </c>
      <c r="S232" s="62" t="s">
        <v>571</v>
      </c>
      <c r="U232" s="62" t="s">
        <v>40164</v>
      </c>
      <c r="V232" s="62" t="s">
        <v>40165</v>
      </c>
      <c r="W232" s="62" t="s">
        <v>40166</v>
      </c>
      <c r="X232" s="62" t="s">
        <v>572</v>
      </c>
      <c r="Y232" s="62" t="s">
        <v>573</v>
      </c>
      <c r="Z232" s="62" t="s">
        <v>40167</v>
      </c>
      <c r="AA232" s="62" t="s">
        <v>40168</v>
      </c>
      <c r="AB232" s="62" t="s">
        <v>40169</v>
      </c>
      <c r="AC232" s="62" t="s">
        <v>574</v>
      </c>
      <c r="AD232" s="62" t="s">
        <v>575</v>
      </c>
    </row>
    <row r="233" spans="1:30" x14ac:dyDescent="0.25">
      <c r="A233" s="62" t="s">
        <v>109</v>
      </c>
    </row>
    <row r="234" spans="1:30" x14ac:dyDescent="0.25">
      <c r="A234" s="62" t="s">
        <v>109</v>
      </c>
      <c r="C234" s="62" t="s">
        <v>40170</v>
      </c>
      <c r="E234" s="62" t="s">
        <v>159</v>
      </c>
      <c r="G234" s="62" t="s">
        <v>40171</v>
      </c>
    </row>
    <row r="235" spans="1:30" x14ac:dyDescent="0.25">
      <c r="A235" s="62" t="s">
        <v>109</v>
      </c>
      <c r="C235" s="62" t="s">
        <v>2984</v>
      </c>
    </row>
    <row r="236" spans="1:30" x14ac:dyDescent="0.25">
      <c r="A236" s="62" t="s">
        <v>109</v>
      </c>
      <c r="C236" s="62" t="s">
        <v>2985</v>
      </c>
      <c r="F236" s="62" t="s">
        <v>40172</v>
      </c>
      <c r="G236" s="62" t="s">
        <v>58602</v>
      </c>
      <c r="J236" s="62" t="s">
        <v>2986</v>
      </c>
      <c r="K236" s="62" t="s">
        <v>58618</v>
      </c>
      <c r="L236" s="62" t="s">
        <v>2987</v>
      </c>
      <c r="M236" s="62" t="s">
        <v>576</v>
      </c>
      <c r="N236" s="62" t="s">
        <v>577</v>
      </c>
      <c r="O236" s="62" t="s">
        <v>2988</v>
      </c>
      <c r="P236" s="62" t="s">
        <v>58634</v>
      </c>
      <c r="Q236" s="62" t="s">
        <v>2989</v>
      </c>
      <c r="R236" s="62" t="s">
        <v>578</v>
      </c>
      <c r="S236" s="62" t="s">
        <v>579</v>
      </c>
      <c r="U236" s="62" t="s">
        <v>2990</v>
      </c>
      <c r="V236" s="62" t="s">
        <v>58650</v>
      </c>
      <c r="W236" s="62" t="s">
        <v>2991</v>
      </c>
      <c r="X236" s="62" t="s">
        <v>580</v>
      </c>
      <c r="Y236" s="62" t="s">
        <v>581</v>
      </c>
      <c r="Z236" s="62" t="s">
        <v>2992</v>
      </c>
      <c r="AA236" s="62" t="s">
        <v>58666</v>
      </c>
      <c r="AB236" s="62" t="s">
        <v>2993</v>
      </c>
      <c r="AC236" s="62" t="s">
        <v>582</v>
      </c>
      <c r="AD236" s="62" t="s">
        <v>583</v>
      </c>
    </row>
    <row r="237" spans="1:30" x14ac:dyDescent="0.25">
      <c r="A237" s="62" t="s">
        <v>109</v>
      </c>
      <c r="C237" s="62" t="s">
        <v>2994</v>
      </c>
      <c r="F237" s="62" t="s">
        <v>748</v>
      </c>
      <c r="G237" s="62" t="s">
        <v>58603</v>
      </c>
      <c r="J237" s="62" t="s">
        <v>2995</v>
      </c>
      <c r="K237" s="62" t="s">
        <v>58619</v>
      </c>
      <c r="L237" s="62" t="s">
        <v>2996</v>
      </c>
      <c r="M237" s="62" t="s">
        <v>2997</v>
      </c>
      <c r="N237" s="62" t="s">
        <v>2998</v>
      </c>
      <c r="O237" s="62" t="s">
        <v>2999</v>
      </c>
      <c r="P237" s="62" t="s">
        <v>58635</v>
      </c>
      <c r="Q237" s="62" t="s">
        <v>3000</v>
      </c>
      <c r="R237" s="62" t="s">
        <v>3001</v>
      </c>
      <c r="S237" s="62" t="s">
        <v>3002</v>
      </c>
      <c r="U237" s="62" t="s">
        <v>3003</v>
      </c>
      <c r="V237" s="62" t="s">
        <v>58651</v>
      </c>
      <c r="W237" s="62" t="s">
        <v>3004</v>
      </c>
      <c r="X237" s="62" t="s">
        <v>3005</v>
      </c>
      <c r="Y237" s="62" t="s">
        <v>3006</v>
      </c>
      <c r="Z237" s="62" t="s">
        <v>3007</v>
      </c>
      <c r="AA237" s="62" t="s">
        <v>58667</v>
      </c>
      <c r="AB237" s="62" t="s">
        <v>3008</v>
      </c>
      <c r="AC237" s="62" t="s">
        <v>3009</v>
      </c>
      <c r="AD237" s="62" t="s">
        <v>3010</v>
      </c>
    </row>
    <row r="238" spans="1:30" x14ac:dyDescent="0.25">
      <c r="A238" s="62" t="s">
        <v>109</v>
      </c>
      <c r="C238" s="62" t="s">
        <v>3011</v>
      </c>
      <c r="F238" s="62" t="s">
        <v>827</v>
      </c>
      <c r="G238" s="62" t="s">
        <v>58604</v>
      </c>
      <c r="J238" s="62" t="s">
        <v>3012</v>
      </c>
      <c r="K238" s="62" t="s">
        <v>58620</v>
      </c>
      <c r="L238" s="62" t="s">
        <v>3013</v>
      </c>
      <c r="M238" s="62" t="s">
        <v>3014</v>
      </c>
      <c r="N238" s="62" t="s">
        <v>3015</v>
      </c>
      <c r="O238" s="62" t="s">
        <v>3016</v>
      </c>
      <c r="P238" s="62" t="s">
        <v>58636</v>
      </c>
      <c r="Q238" s="62" t="s">
        <v>3017</v>
      </c>
      <c r="R238" s="62" t="s">
        <v>3018</v>
      </c>
      <c r="S238" s="62" t="s">
        <v>3019</v>
      </c>
      <c r="U238" s="62" t="s">
        <v>3020</v>
      </c>
      <c r="V238" s="62" t="s">
        <v>58652</v>
      </c>
      <c r="W238" s="62" t="s">
        <v>3021</v>
      </c>
      <c r="X238" s="62" t="s">
        <v>3022</v>
      </c>
      <c r="Y238" s="62" t="s">
        <v>3023</v>
      </c>
      <c r="Z238" s="62" t="s">
        <v>3024</v>
      </c>
      <c r="AA238" s="62" t="s">
        <v>58668</v>
      </c>
      <c r="AB238" s="62" t="s">
        <v>3025</v>
      </c>
      <c r="AC238" s="62" t="s">
        <v>3026</v>
      </c>
      <c r="AD238" s="62" t="s">
        <v>3027</v>
      </c>
    </row>
    <row r="239" spans="1:30" x14ac:dyDescent="0.25">
      <c r="A239" s="62" t="s">
        <v>109</v>
      </c>
      <c r="C239" s="62" t="s">
        <v>3028</v>
      </c>
      <c r="F239" s="62" t="s">
        <v>837</v>
      </c>
      <c r="G239" s="62" t="s">
        <v>58605</v>
      </c>
      <c r="J239" s="62" t="s">
        <v>3029</v>
      </c>
      <c r="K239" s="62" t="s">
        <v>58621</v>
      </c>
      <c r="L239" s="62" t="s">
        <v>3030</v>
      </c>
      <c r="M239" s="62" t="s">
        <v>3031</v>
      </c>
      <c r="N239" s="62" t="s">
        <v>3032</v>
      </c>
      <c r="O239" s="62" t="s">
        <v>3033</v>
      </c>
      <c r="P239" s="62" t="s">
        <v>58637</v>
      </c>
      <c r="Q239" s="62" t="s">
        <v>3034</v>
      </c>
      <c r="R239" s="62" t="s">
        <v>3035</v>
      </c>
      <c r="S239" s="62" t="s">
        <v>3036</v>
      </c>
      <c r="U239" s="62" t="s">
        <v>3037</v>
      </c>
      <c r="V239" s="62" t="s">
        <v>58653</v>
      </c>
      <c r="W239" s="62" t="s">
        <v>3038</v>
      </c>
      <c r="X239" s="62" t="s">
        <v>3039</v>
      </c>
      <c r="Y239" s="62" t="s">
        <v>3040</v>
      </c>
      <c r="Z239" s="62" t="s">
        <v>3041</v>
      </c>
      <c r="AA239" s="62" t="s">
        <v>58669</v>
      </c>
      <c r="AB239" s="62" t="s">
        <v>3042</v>
      </c>
      <c r="AC239" s="62" t="s">
        <v>3043</v>
      </c>
      <c r="AD239" s="62" t="s">
        <v>3044</v>
      </c>
    </row>
    <row r="240" spans="1:30" x14ac:dyDescent="0.25">
      <c r="A240" s="62" t="s">
        <v>109</v>
      </c>
      <c r="C240" s="62" t="s">
        <v>3045</v>
      </c>
      <c r="F240" s="62" t="s">
        <v>898</v>
      </c>
      <c r="G240" s="62" t="s">
        <v>58606</v>
      </c>
      <c r="J240" s="62" t="s">
        <v>3046</v>
      </c>
      <c r="K240" s="62" t="s">
        <v>58622</v>
      </c>
      <c r="L240" s="62" t="s">
        <v>3047</v>
      </c>
      <c r="M240" s="62" t="s">
        <v>3048</v>
      </c>
      <c r="N240" s="62" t="s">
        <v>3049</v>
      </c>
      <c r="O240" s="62" t="s">
        <v>3050</v>
      </c>
      <c r="P240" s="62" t="s">
        <v>58638</v>
      </c>
      <c r="Q240" s="62" t="s">
        <v>3051</v>
      </c>
      <c r="R240" s="62" t="s">
        <v>3052</v>
      </c>
      <c r="S240" s="62" t="s">
        <v>3053</v>
      </c>
      <c r="U240" s="62" t="s">
        <v>3054</v>
      </c>
      <c r="V240" s="62" t="s">
        <v>58654</v>
      </c>
      <c r="W240" s="62" t="s">
        <v>3055</v>
      </c>
      <c r="X240" s="62" t="s">
        <v>3056</v>
      </c>
      <c r="Y240" s="62" t="s">
        <v>3057</v>
      </c>
      <c r="Z240" s="62" t="s">
        <v>3058</v>
      </c>
      <c r="AA240" s="62" t="s">
        <v>58670</v>
      </c>
      <c r="AB240" s="62" t="s">
        <v>3059</v>
      </c>
      <c r="AC240" s="62" t="s">
        <v>3060</v>
      </c>
      <c r="AD240" s="62" t="s">
        <v>3061</v>
      </c>
    </row>
    <row r="241" spans="1:30" x14ac:dyDescent="0.25">
      <c r="A241" s="62" t="s">
        <v>109</v>
      </c>
      <c r="C241" s="62" t="s">
        <v>40173</v>
      </c>
      <c r="F241" s="62" t="s">
        <v>915</v>
      </c>
      <c r="G241" s="62" t="s">
        <v>58607</v>
      </c>
      <c r="J241" s="62" t="s">
        <v>40174</v>
      </c>
      <c r="K241" s="62" t="s">
        <v>58623</v>
      </c>
      <c r="L241" s="62" t="s">
        <v>40175</v>
      </c>
      <c r="M241" s="62" t="s">
        <v>40176</v>
      </c>
      <c r="N241" s="62" t="s">
        <v>40177</v>
      </c>
      <c r="O241" s="62" t="s">
        <v>40178</v>
      </c>
      <c r="P241" s="62" t="s">
        <v>58639</v>
      </c>
      <c r="Q241" s="62" t="s">
        <v>40179</v>
      </c>
      <c r="R241" s="62" t="s">
        <v>40180</v>
      </c>
      <c r="S241" s="62" t="s">
        <v>40181</v>
      </c>
      <c r="U241" s="62" t="s">
        <v>40182</v>
      </c>
      <c r="V241" s="62" t="s">
        <v>58655</v>
      </c>
      <c r="W241" s="62" t="s">
        <v>40183</v>
      </c>
      <c r="X241" s="62" t="s">
        <v>40184</v>
      </c>
      <c r="Y241" s="62" t="s">
        <v>40185</v>
      </c>
      <c r="Z241" s="62" t="s">
        <v>40186</v>
      </c>
      <c r="AA241" s="62" t="s">
        <v>58671</v>
      </c>
      <c r="AB241" s="62" t="s">
        <v>40187</v>
      </c>
      <c r="AC241" s="62" t="s">
        <v>40188</v>
      </c>
      <c r="AD241" s="62" t="s">
        <v>40189</v>
      </c>
    </row>
    <row r="242" spans="1:30" x14ac:dyDescent="0.25">
      <c r="A242" s="62" t="s">
        <v>109</v>
      </c>
      <c r="C242" s="62" t="s">
        <v>3062</v>
      </c>
      <c r="F242" s="62" t="s">
        <v>976</v>
      </c>
      <c r="G242" s="62" t="s">
        <v>58608</v>
      </c>
      <c r="J242" s="62" t="s">
        <v>40190</v>
      </c>
      <c r="K242" s="62" t="s">
        <v>58624</v>
      </c>
      <c r="L242" s="62" t="s">
        <v>40191</v>
      </c>
      <c r="M242" s="62" t="s">
        <v>3063</v>
      </c>
      <c r="N242" s="62" t="s">
        <v>3064</v>
      </c>
      <c r="O242" s="62" t="s">
        <v>40192</v>
      </c>
      <c r="P242" s="62" t="s">
        <v>58640</v>
      </c>
      <c r="Q242" s="62" t="s">
        <v>40193</v>
      </c>
      <c r="R242" s="62" t="s">
        <v>3065</v>
      </c>
      <c r="S242" s="62" t="s">
        <v>3066</v>
      </c>
      <c r="U242" s="62" t="s">
        <v>40194</v>
      </c>
      <c r="V242" s="62" t="s">
        <v>58656</v>
      </c>
      <c r="W242" s="62" t="s">
        <v>40195</v>
      </c>
      <c r="X242" s="62" t="s">
        <v>3067</v>
      </c>
      <c r="Y242" s="62" t="s">
        <v>3068</v>
      </c>
      <c r="Z242" s="62" t="s">
        <v>40196</v>
      </c>
      <c r="AA242" s="62" t="s">
        <v>58672</v>
      </c>
      <c r="AB242" s="62" t="s">
        <v>40197</v>
      </c>
      <c r="AC242" s="62" t="s">
        <v>3069</v>
      </c>
      <c r="AD242" s="62" t="s">
        <v>3070</v>
      </c>
    </row>
    <row r="243" spans="1:30" x14ac:dyDescent="0.25">
      <c r="A243" s="62" t="s">
        <v>109</v>
      </c>
      <c r="C243" s="62" t="s">
        <v>40198</v>
      </c>
      <c r="F243" s="62" t="s">
        <v>1002</v>
      </c>
      <c r="G243" s="62" t="s">
        <v>58609</v>
      </c>
      <c r="J243" s="62" t="s">
        <v>40199</v>
      </c>
      <c r="K243" s="62" t="s">
        <v>58625</v>
      </c>
      <c r="L243" s="62" t="s">
        <v>40200</v>
      </c>
      <c r="M243" s="62" t="s">
        <v>40201</v>
      </c>
      <c r="N243" s="62" t="s">
        <v>40202</v>
      </c>
      <c r="O243" s="62" t="s">
        <v>40203</v>
      </c>
      <c r="P243" s="62" t="s">
        <v>58641</v>
      </c>
      <c r="Q243" s="62" t="s">
        <v>40204</v>
      </c>
      <c r="R243" s="62" t="s">
        <v>40205</v>
      </c>
      <c r="S243" s="62" t="s">
        <v>40206</v>
      </c>
      <c r="U243" s="62" t="s">
        <v>40207</v>
      </c>
      <c r="V243" s="62" t="s">
        <v>58657</v>
      </c>
      <c r="W243" s="62" t="s">
        <v>40208</v>
      </c>
      <c r="X243" s="62" t="s">
        <v>40209</v>
      </c>
      <c r="Y243" s="62" t="s">
        <v>40210</v>
      </c>
      <c r="Z243" s="62" t="s">
        <v>40211</v>
      </c>
      <c r="AA243" s="62" t="s">
        <v>58673</v>
      </c>
      <c r="AB243" s="62" t="s">
        <v>40212</v>
      </c>
      <c r="AC243" s="62" t="s">
        <v>40213</v>
      </c>
      <c r="AD243" s="62" t="s">
        <v>40214</v>
      </c>
    </row>
    <row r="244" spans="1:30" x14ac:dyDescent="0.25">
      <c r="A244" s="62" t="s">
        <v>109</v>
      </c>
      <c r="C244" s="62" t="s">
        <v>40215</v>
      </c>
      <c r="F244" s="62" t="s">
        <v>1012</v>
      </c>
      <c r="G244" s="62" t="s">
        <v>58610</v>
      </c>
      <c r="J244" s="62" t="s">
        <v>40216</v>
      </c>
      <c r="K244" s="62" t="s">
        <v>58626</v>
      </c>
      <c r="L244" s="62" t="s">
        <v>40217</v>
      </c>
      <c r="M244" s="62" t="s">
        <v>40218</v>
      </c>
      <c r="N244" s="62" t="s">
        <v>40219</v>
      </c>
      <c r="O244" s="62" t="s">
        <v>40220</v>
      </c>
      <c r="P244" s="62" t="s">
        <v>58642</v>
      </c>
      <c r="Q244" s="62" t="s">
        <v>40221</v>
      </c>
      <c r="R244" s="62" t="s">
        <v>40222</v>
      </c>
      <c r="S244" s="62" t="s">
        <v>40223</v>
      </c>
      <c r="U244" s="62" t="s">
        <v>40224</v>
      </c>
      <c r="V244" s="62" t="s">
        <v>58658</v>
      </c>
      <c r="W244" s="62" t="s">
        <v>40225</v>
      </c>
      <c r="X244" s="62" t="s">
        <v>40226</v>
      </c>
      <c r="Y244" s="62" t="s">
        <v>40227</v>
      </c>
      <c r="Z244" s="62" t="s">
        <v>40228</v>
      </c>
      <c r="AA244" s="62" t="s">
        <v>58674</v>
      </c>
      <c r="AB244" s="62" t="s">
        <v>40229</v>
      </c>
      <c r="AC244" s="62" t="s">
        <v>40230</v>
      </c>
      <c r="AD244" s="62" t="s">
        <v>40231</v>
      </c>
    </row>
    <row r="245" spans="1:30" x14ac:dyDescent="0.25">
      <c r="A245" s="62" t="s">
        <v>109</v>
      </c>
      <c r="C245" s="62" t="s">
        <v>3071</v>
      </c>
      <c r="F245" s="62" t="s">
        <v>1030</v>
      </c>
      <c r="G245" s="62" t="s">
        <v>58611</v>
      </c>
      <c r="J245" s="62" t="s">
        <v>40232</v>
      </c>
      <c r="K245" s="62" t="s">
        <v>58627</v>
      </c>
      <c r="L245" s="62" t="s">
        <v>40233</v>
      </c>
      <c r="M245" s="62" t="s">
        <v>40234</v>
      </c>
      <c r="N245" s="62" t="s">
        <v>40235</v>
      </c>
      <c r="O245" s="62" t="s">
        <v>40236</v>
      </c>
      <c r="P245" s="62" t="s">
        <v>58643</v>
      </c>
      <c r="Q245" s="62" t="s">
        <v>40237</v>
      </c>
      <c r="R245" s="62" t="s">
        <v>40238</v>
      </c>
      <c r="S245" s="62" t="s">
        <v>40239</v>
      </c>
      <c r="U245" s="62" t="s">
        <v>40240</v>
      </c>
      <c r="V245" s="62" t="s">
        <v>58659</v>
      </c>
      <c r="W245" s="62" t="s">
        <v>40241</v>
      </c>
      <c r="X245" s="62" t="s">
        <v>40242</v>
      </c>
      <c r="Y245" s="62" t="s">
        <v>40243</v>
      </c>
      <c r="Z245" s="62" t="s">
        <v>40244</v>
      </c>
      <c r="AA245" s="62" t="s">
        <v>58675</v>
      </c>
      <c r="AB245" s="62" t="s">
        <v>40245</v>
      </c>
      <c r="AC245" s="62" t="s">
        <v>40246</v>
      </c>
      <c r="AD245" s="62" t="s">
        <v>40247</v>
      </c>
    </row>
    <row r="246" spans="1:30" x14ac:dyDescent="0.25">
      <c r="A246" s="62" t="s">
        <v>109</v>
      </c>
      <c r="C246" s="62" t="s">
        <v>3072</v>
      </c>
      <c r="F246" s="62" t="s">
        <v>1047</v>
      </c>
      <c r="G246" s="62" t="s">
        <v>58612</v>
      </c>
      <c r="J246" s="62" t="s">
        <v>3073</v>
      </c>
      <c r="K246" s="62" t="s">
        <v>58628</v>
      </c>
      <c r="L246" s="62" t="s">
        <v>3074</v>
      </c>
      <c r="M246" s="62" t="s">
        <v>3075</v>
      </c>
      <c r="N246" s="62" t="s">
        <v>3076</v>
      </c>
      <c r="O246" s="62" t="s">
        <v>3077</v>
      </c>
      <c r="P246" s="62" t="s">
        <v>58644</v>
      </c>
      <c r="Q246" s="62" t="s">
        <v>3078</v>
      </c>
      <c r="R246" s="62" t="s">
        <v>3079</v>
      </c>
      <c r="S246" s="62" t="s">
        <v>3080</v>
      </c>
      <c r="U246" s="62" t="s">
        <v>3081</v>
      </c>
      <c r="V246" s="62" t="s">
        <v>58660</v>
      </c>
      <c r="W246" s="62" t="s">
        <v>3082</v>
      </c>
      <c r="X246" s="62" t="s">
        <v>3083</v>
      </c>
      <c r="Y246" s="62" t="s">
        <v>3084</v>
      </c>
      <c r="Z246" s="62" t="s">
        <v>3085</v>
      </c>
      <c r="AA246" s="62" t="s">
        <v>58676</v>
      </c>
      <c r="AB246" s="62" t="s">
        <v>3086</v>
      </c>
      <c r="AC246" s="62" t="s">
        <v>3087</v>
      </c>
      <c r="AD246" s="62" t="s">
        <v>3088</v>
      </c>
    </row>
    <row r="247" spans="1:30" x14ac:dyDescent="0.25">
      <c r="A247" s="62" t="s">
        <v>109</v>
      </c>
      <c r="C247" s="62" t="s">
        <v>3089</v>
      </c>
      <c r="F247" s="62" t="s">
        <v>1064</v>
      </c>
      <c r="G247" s="62" t="s">
        <v>58613</v>
      </c>
      <c r="J247" s="62" t="s">
        <v>3090</v>
      </c>
      <c r="K247" s="62" t="s">
        <v>58629</v>
      </c>
      <c r="L247" s="62" t="s">
        <v>3091</v>
      </c>
      <c r="M247" s="62" t="s">
        <v>3092</v>
      </c>
      <c r="N247" s="62" t="s">
        <v>3093</v>
      </c>
      <c r="O247" s="62" t="s">
        <v>3094</v>
      </c>
      <c r="P247" s="62" t="s">
        <v>58645</v>
      </c>
      <c r="Q247" s="62" t="s">
        <v>3095</v>
      </c>
      <c r="R247" s="62" t="s">
        <v>3096</v>
      </c>
      <c r="S247" s="62" t="s">
        <v>3097</v>
      </c>
      <c r="U247" s="62" t="s">
        <v>3098</v>
      </c>
      <c r="V247" s="62" t="s">
        <v>58661</v>
      </c>
      <c r="W247" s="62" t="s">
        <v>3099</v>
      </c>
      <c r="X247" s="62" t="s">
        <v>3100</v>
      </c>
      <c r="Y247" s="62" t="s">
        <v>3101</v>
      </c>
      <c r="Z247" s="62" t="s">
        <v>3102</v>
      </c>
      <c r="AA247" s="62" t="s">
        <v>58677</v>
      </c>
      <c r="AB247" s="62" t="s">
        <v>3103</v>
      </c>
      <c r="AC247" s="62" t="s">
        <v>3104</v>
      </c>
      <c r="AD247" s="62" t="s">
        <v>3105</v>
      </c>
    </row>
    <row r="248" spans="1:30" x14ac:dyDescent="0.25">
      <c r="A248" s="62" t="s">
        <v>109</v>
      </c>
      <c r="C248" s="62" t="s">
        <v>3106</v>
      </c>
      <c r="F248" s="62" t="s">
        <v>1152</v>
      </c>
      <c r="G248" s="62" t="s">
        <v>58614</v>
      </c>
      <c r="J248" s="62" t="s">
        <v>3107</v>
      </c>
      <c r="K248" s="62" t="s">
        <v>58630</v>
      </c>
      <c r="L248" s="62" t="s">
        <v>3108</v>
      </c>
      <c r="M248" s="62" t="s">
        <v>3109</v>
      </c>
      <c r="N248" s="62" t="s">
        <v>3110</v>
      </c>
      <c r="O248" s="62" t="s">
        <v>3111</v>
      </c>
      <c r="P248" s="62" t="s">
        <v>58646</v>
      </c>
      <c r="Q248" s="62" t="s">
        <v>3112</v>
      </c>
      <c r="R248" s="62" t="s">
        <v>3113</v>
      </c>
      <c r="S248" s="62" t="s">
        <v>3114</v>
      </c>
      <c r="U248" s="62" t="s">
        <v>3115</v>
      </c>
      <c r="V248" s="62" t="s">
        <v>58662</v>
      </c>
      <c r="W248" s="62" t="s">
        <v>3116</v>
      </c>
      <c r="X248" s="62" t="s">
        <v>3117</v>
      </c>
      <c r="Y248" s="62" t="s">
        <v>3118</v>
      </c>
      <c r="Z248" s="62" t="s">
        <v>3119</v>
      </c>
      <c r="AA248" s="62" t="s">
        <v>58678</v>
      </c>
      <c r="AB248" s="62" t="s">
        <v>3120</v>
      </c>
      <c r="AC248" s="62" t="s">
        <v>3121</v>
      </c>
      <c r="AD248" s="62" t="s">
        <v>3122</v>
      </c>
    </row>
    <row r="249" spans="1:30" x14ac:dyDescent="0.25">
      <c r="A249" s="62" t="s">
        <v>109</v>
      </c>
      <c r="C249" s="62" t="s">
        <v>3123</v>
      </c>
      <c r="F249" s="62" t="s">
        <v>1795</v>
      </c>
      <c r="G249" s="62" t="s">
        <v>58615</v>
      </c>
      <c r="J249" s="62" t="s">
        <v>3124</v>
      </c>
      <c r="K249" s="62" t="s">
        <v>58631</v>
      </c>
      <c r="L249" s="62" t="s">
        <v>3125</v>
      </c>
      <c r="M249" s="62" t="s">
        <v>3126</v>
      </c>
      <c r="N249" s="62" t="s">
        <v>3127</v>
      </c>
      <c r="O249" s="62" t="s">
        <v>3128</v>
      </c>
      <c r="P249" s="62" t="s">
        <v>58647</v>
      </c>
      <c r="Q249" s="62" t="s">
        <v>3129</v>
      </c>
      <c r="R249" s="62" t="s">
        <v>3130</v>
      </c>
      <c r="S249" s="62" t="s">
        <v>3131</v>
      </c>
      <c r="U249" s="62" t="s">
        <v>3132</v>
      </c>
      <c r="V249" s="62" t="s">
        <v>58663</v>
      </c>
      <c r="W249" s="62" t="s">
        <v>3133</v>
      </c>
      <c r="X249" s="62" t="s">
        <v>3134</v>
      </c>
      <c r="Y249" s="62" t="s">
        <v>3135</v>
      </c>
      <c r="Z249" s="62" t="s">
        <v>3136</v>
      </c>
      <c r="AA249" s="62" t="s">
        <v>58679</v>
      </c>
      <c r="AB249" s="62" t="s">
        <v>3137</v>
      </c>
      <c r="AC249" s="62" t="s">
        <v>3138</v>
      </c>
      <c r="AD249" s="62" t="s">
        <v>3139</v>
      </c>
    </row>
    <row r="250" spans="1:30" x14ac:dyDescent="0.25">
      <c r="A250" s="62" t="s">
        <v>109</v>
      </c>
      <c r="C250" s="62" t="s">
        <v>3140</v>
      </c>
      <c r="F250" s="62" t="s">
        <v>1287</v>
      </c>
      <c r="G250" s="62" t="s">
        <v>58616</v>
      </c>
      <c r="J250" s="62" t="s">
        <v>3141</v>
      </c>
      <c r="K250" s="62" t="s">
        <v>58632</v>
      </c>
      <c r="L250" s="62" t="s">
        <v>3142</v>
      </c>
      <c r="M250" s="62" t="s">
        <v>3143</v>
      </c>
      <c r="N250" s="62" t="s">
        <v>3144</v>
      </c>
      <c r="O250" s="62" t="s">
        <v>3145</v>
      </c>
      <c r="P250" s="62" t="s">
        <v>58648</v>
      </c>
      <c r="Q250" s="62" t="s">
        <v>3146</v>
      </c>
      <c r="R250" s="62" t="s">
        <v>3147</v>
      </c>
      <c r="S250" s="62" t="s">
        <v>3148</v>
      </c>
      <c r="U250" s="62" t="s">
        <v>3149</v>
      </c>
      <c r="V250" s="62" t="s">
        <v>58664</v>
      </c>
      <c r="W250" s="62" t="s">
        <v>3150</v>
      </c>
      <c r="X250" s="62" t="s">
        <v>3151</v>
      </c>
      <c r="Y250" s="62" t="s">
        <v>3152</v>
      </c>
      <c r="Z250" s="62" t="s">
        <v>3153</v>
      </c>
      <c r="AA250" s="62" t="s">
        <v>58680</v>
      </c>
      <c r="AB250" s="62" t="s">
        <v>3154</v>
      </c>
      <c r="AC250" s="62" t="s">
        <v>3155</v>
      </c>
      <c r="AD250" s="62" t="s">
        <v>3156</v>
      </c>
    </row>
    <row r="251" spans="1:30" x14ac:dyDescent="0.25">
      <c r="A251" s="62" t="s">
        <v>109</v>
      </c>
      <c r="C251" s="62" t="s">
        <v>3157</v>
      </c>
      <c r="F251" s="62" t="s">
        <v>1288</v>
      </c>
      <c r="G251" s="62" t="s">
        <v>58617</v>
      </c>
      <c r="J251" s="62" t="s">
        <v>3158</v>
      </c>
      <c r="K251" s="62" t="s">
        <v>58633</v>
      </c>
      <c r="L251" s="62" t="s">
        <v>3159</v>
      </c>
      <c r="M251" s="62" t="s">
        <v>3160</v>
      </c>
      <c r="N251" s="62" t="s">
        <v>3161</v>
      </c>
      <c r="O251" s="62" t="s">
        <v>3162</v>
      </c>
      <c r="P251" s="62" t="s">
        <v>58649</v>
      </c>
      <c r="Q251" s="62" t="s">
        <v>3163</v>
      </c>
      <c r="R251" s="62" t="s">
        <v>3164</v>
      </c>
      <c r="S251" s="62" t="s">
        <v>3165</v>
      </c>
      <c r="U251" s="62" t="s">
        <v>3166</v>
      </c>
      <c r="V251" s="62" t="s">
        <v>58665</v>
      </c>
      <c r="W251" s="62" t="s">
        <v>3167</v>
      </c>
      <c r="X251" s="62" t="s">
        <v>3168</v>
      </c>
      <c r="Y251" s="62" t="s">
        <v>3169</v>
      </c>
      <c r="Z251" s="62" t="s">
        <v>3170</v>
      </c>
      <c r="AA251" s="62" t="s">
        <v>58681</v>
      </c>
      <c r="AB251" s="62" t="s">
        <v>3171</v>
      </c>
      <c r="AC251" s="62" t="s">
        <v>3172</v>
      </c>
      <c r="AD251" s="62" t="s">
        <v>3173</v>
      </c>
    </row>
    <row r="252" spans="1:30" x14ac:dyDescent="0.25">
      <c r="A252" s="62" t="s">
        <v>109</v>
      </c>
      <c r="C252" s="62" t="s">
        <v>2994</v>
      </c>
    </row>
    <row r="253" spans="1:30" x14ac:dyDescent="0.25">
      <c r="A253" s="62" t="s">
        <v>109</v>
      </c>
      <c r="C253" s="62" t="s">
        <v>3174</v>
      </c>
      <c r="G253" s="62" t="s">
        <v>40248</v>
      </c>
      <c r="J253" s="62" t="s">
        <v>40249</v>
      </c>
      <c r="K253" s="62" t="s">
        <v>40250</v>
      </c>
      <c r="L253" s="62" t="s">
        <v>40251</v>
      </c>
      <c r="M253" s="62" t="s">
        <v>3175</v>
      </c>
      <c r="N253" s="62" t="s">
        <v>3176</v>
      </c>
      <c r="O253" s="62" t="s">
        <v>40252</v>
      </c>
      <c r="P253" s="62" t="s">
        <v>40253</v>
      </c>
      <c r="Q253" s="62" t="s">
        <v>40254</v>
      </c>
      <c r="R253" s="62" t="s">
        <v>3177</v>
      </c>
      <c r="S253" s="62" t="s">
        <v>3178</v>
      </c>
      <c r="U253" s="62" t="s">
        <v>40255</v>
      </c>
      <c r="V253" s="62" t="s">
        <v>40256</v>
      </c>
      <c r="W253" s="62" t="s">
        <v>40257</v>
      </c>
      <c r="X253" s="62" t="s">
        <v>3179</v>
      </c>
      <c r="Y253" s="62" t="s">
        <v>3180</v>
      </c>
      <c r="Z253" s="62" t="s">
        <v>40258</v>
      </c>
      <c r="AA253" s="62" t="s">
        <v>40259</v>
      </c>
      <c r="AB253" s="62" t="s">
        <v>40260</v>
      </c>
      <c r="AC253" s="62" t="s">
        <v>3181</v>
      </c>
      <c r="AD253" s="62" t="s">
        <v>3182</v>
      </c>
    </row>
    <row r="254" spans="1:30" x14ac:dyDescent="0.25">
      <c r="A254" s="62" t="s">
        <v>109</v>
      </c>
    </row>
    <row r="255" spans="1:30" x14ac:dyDescent="0.25">
      <c r="A255" s="62" t="s">
        <v>109</v>
      </c>
      <c r="C255" s="62" t="s">
        <v>40261</v>
      </c>
      <c r="E255" s="62" t="s">
        <v>837</v>
      </c>
      <c r="G255" s="62" t="s">
        <v>40262</v>
      </c>
    </row>
    <row r="256" spans="1:30" x14ac:dyDescent="0.25">
      <c r="A256" s="62" t="s">
        <v>109</v>
      </c>
      <c r="C256" s="62" t="s">
        <v>3183</v>
      </c>
    </row>
    <row r="257" spans="1:30" x14ac:dyDescent="0.25">
      <c r="A257" s="62" t="s">
        <v>109</v>
      </c>
      <c r="C257" s="62" t="s">
        <v>3184</v>
      </c>
      <c r="F257" s="62" t="s">
        <v>40263</v>
      </c>
      <c r="G257" s="62" t="s">
        <v>58537</v>
      </c>
      <c r="J257" s="62" t="s">
        <v>3186</v>
      </c>
      <c r="K257" s="62" t="s">
        <v>58550</v>
      </c>
      <c r="L257" s="62" t="s">
        <v>3187</v>
      </c>
      <c r="M257" s="62" t="s">
        <v>3188</v>
      </c>
      <c r="N257" s="62" t="s">
        <v>3189</v>
      </c>
      <c r="O257" s="62" t="s">
        <v>3190</v>
      </c>
      <c r="P257" s="62" t="s">
        <v>58563</v>
      </c>
      <c r="Q257" s="62" t="s">
        <v>3191</v>
      </c>
      <c r="R257" s="62" t="s">
        <v>3192</v>
      </c>
      <c r="S257" s="62" t="s">
        <v>3193</v>
      </c>
      <c r="U257" s="62" t="s">
        <v>3194</v>
      </c>
      <c r="V257" s="62" t="s">
        <v>58576</v>
      </c>
      <c r="W257" s="62" t="s">
        <v>3195</v>
      </c>
      <c r="X257" s="62" t="s">
        <v>3196</v>
      </c>
      <c r="Y257" s="62" t="s">
        <v>3197</v>
      </c>
      <c r="Z257" s="62" t="s">
        <v>3198</v>
      </c>
      <c r="AA257" s="62" t="s">
        <v>58589</v>
      </c>
      <c r="AB257" s="62" t="s">
        <v>3199</v>
      </c>
      <c r="AC257" s="62" t="s">
        <v>3200</v>
      </c>
      <c r="AD257" s="62" t="s">
        <v>3201</v>
      </c>
    </row>
    <row r="258" spans="1:30" x14ac:dyDescent="0.25">
      <c r="A258" s="62" t="s">
        <v>109</v>
      </c>
      <c r="C258" s="62" t="s">
        <v>3202</v>
      </c>
      <c r="F258" s="62" t="s">
        <v>2170</v>
      </c>
      <c r="G258" s="62" t="s">
        <v>58538</v>
      </c>
      <c r="J258" s="62" t="s">
        <v>3203</v>
      </c>
      <c r="K258" s="62" t="s">
        <v>58551</v>
      </c>
      <c r="L258" s="62" t="s">
        <v>3204</v>
      </c>
      <c r="M258" s="62" t="s">
        <v>3205</v>
      </c>
      <c r="N258" s="62" t="s">
        <v>3206</v>
      </c>
      <c r="O258" s="62" t="s">
        <v>3207</v>
      </c>
      <c r="P258" s="62" t="s">
        <v>58564</v>
      </c>
      <c r="Q258" s="62" t="s">
        <v>3208</v>
      </c>
      <c r="R258" s="62" t="s">
        <v>3209</v>
      </c>
      <c r="S258" s="62" t="s">
        <v>3210</v>
      </c>
      <c r="U258" s="62" t="s">
        <v>3211</v>
      </c>
      <c r="V258" s="62" t="s">
        <v>58577</v>
      </c>
      <c r="W258" s="62" t="s">
        <v>3212</v>
      </c>
      <c r="X258" s="62" t="s">
        <v>3213</v>
      </c>
      <c r="Y258" s="62" t="s">
        <v>3214</v>
      </c>
      <c r="Z258" s="62" t="s">
        <v>3215</v>
      </c>
      <c r="AA258" s="62" t="s">
        <v>58590</v>
      </c>
      <c r="AB258" s="62" t="s">
        <v>3216</v>
      </c>
      <c r="AC258" s="62" t="s">
        <v>3217</v>
      </c>
      <c r="AD258" s="62" t="s">
        <v>3218</v>
      </c>
    </row>
    <row r="259" spans="1:30" x14ac:dyDescent="0.25">
      <c r="A259" s="62" t="s">
        <v>109</v>
      </c>
      <c r="C259" s="62" t="s">
        <v>3219</v>
      </c>
      <c r="F259" s="62" t="s">
        <v>176</v>
      </c>
      <c r="G259" s="62" t="s">
        <v>58539</v>
      </c>
      <c r="J259" s="62" t="s">
        <v>3220</v>
      </c>
      <c r="K259" s="62" t="s">
        <v>58552</v>
      </c>
      <c r="L259" s="62" t="s">
        <v>3221</v>
      </c>
      <c r="M259" s="62" t="s">
        <v>3222</v>
      </c>
      <c r="N259" s="62" t="s">
        <v>3223</v>
      </c>
      <c r="O259" s="62" t="s">
        <v>3224</v>
      </c>
      <c r="P259" s="62" t="s">
        <v>58565</v>
      </c>
      <c r="Q259" s="62" t="s">
        <v>3225</v>
      </c>
      <c r="R259" s="62" t="s">
        <v>3226</v>
      </c>
      <c r="S259" s="62" t="s">
        <v>3227</v>
      </c>
      <c r="U259" s="62" t="s">
        <v>3228</v>
      </c>
      <c r="V259" s="62" t="s">
        <v>58578</v>
      </c>
      <c r="W259" s="62" t="s">
        <v>3229</v>
      </c>
      <c r="X259" s="62" t="s">
        <v>3230</v>
      </c>
      <c r="Y259" s="62" t="s">
        <v>3231</v>
      </c>
      <c r="Z259" s="62" t="s">
        <v>3232</v>
      </c>
      <c r="AA259" s="62" t="s">
        <v>58591</v>
      </c>
      <c r="AB259" s="62" t="s">
        <v>3233</v>
      </c>
      <c r="AC259" s="62" t="s">
        <v>3234</v>
      </c>
      <c r="AD259" s="62" t="s">
        <v>3235</v>
      </c>
    </row>
    <row r="260" spans="1:30" x14ac:dyDescent="0.25">
      <c r="A260" s="62" t="s">
        <v>109</v>
      </c>
      <c r="C260" s="62" t="s">
        <v>3236</v>
      </c>
      <c r="F260" s="62" t="s">
        <v>193</v>
      </c>
      <c r="G260" s="62" t="s">
        <v>58540</v>
      </c>
      <c r="J260" s="62" t="s">
        <v>3238</v>
      </c>
      <c r="K260" s="62" t="s">
        <v>58553</v>
      </c>
      <c r="L260" s="62" t="s">
        <v>3239</v>
      </c>
      <c r="M260" s="62" t="s">
        <v>3240</v>
      </c>
      <c r="N260" s="62" t="s">
        <v>3241</v>
      </c>
      <c r="O260" s="62" t="s">
        <v>3242</v>
      </c>
      <c r="P260" s="62" t="s">
        <v>58566</v>
      </c>
      <c r="Q260" s="62" t="s">
        <v>3243</v>
      </c>
      <c r="R260" s="62" t="s">
        <v>3244</v>
      </c>
      <c r="S260" s="62" t="s">
        <v>3245</v>
      </c>
      <c r="U260" s="62" t="s">
        <v>3246</v>
      </c>
      <c r="V260" s="62" t="s">
        <v>58579</v>
      </c>
      <c r="W260" s="62" t="s">
        <v>3247</v>
      </c>
      <c r="X260" s="62" t="s">
        <v>3248</v>
      </c>
      <c r="Y260" s="62" t="s">
        <v>3249</v>
      </c>
      <c r="Z260" s="62" t="s">
        <v>3250</v>
      </c>
      <c r="AA260" s="62" t="s">
        <v>58592</v>
      </c>
      <c r="AB260" s="62" t="s">
        <v>3251</v>
      </c>
      <c r="AC260" s="62" t="s">
        <v>3252</v>
      </c>
      <c r="AD260" s="62" t="s">
        <v>3253</v>
      </c>
    </row>
    <row r="261" spans="1:30" x14ac:dyDescent="0.25">
      <c r="A261" s="62" t="s">
        <v>109</v>
      </c>
      <c r="C261" s="62" t="s">
        <v>3254</v>
      </c>
      <c r="F261" s="62" t="s">
        <v>2240</v>
      </c>
      <c r="G261" s="62" t="s">
        <v>58541</v>
      </c>
      <c r="J261" s="62" t="s">
        <v>3255</v>
      </c>
      <c r="K261" s="62" t="s">
        <v>58554</v>
      </c>
      <c r="L261" s="62" t="s">
        <v>3256</v>
      </c>
      <c r="M261" s="62" t="s">
        <v>3257</v>
      </c>
      <c r="N261" s="62" t="s">
        <v>3258</v>
      </c>
      <c r="O261" s="62" t="s">
        <v>3259</v>
      </c>
      <c r="P261" s="62" t="s">
        <v>58567</v>
      </c>
      <c r="Q261" s="62" t="s">
        <v>3260</v>
      </c>
      <c r="R261" s="62" t="s">
        <v>3261</v>
      </c>
      <c r="S261" s="62" t="s">
        <v>3262</v>
      </c>
      <c r="U261" s="62" t="s">
        <v>3263</v>
      </c>
      <c r="V261" s="62" t="s">
        <v>58580</v>
      </c>
      <c r="W261" s="62" t="s">
        <v>3264</v>
      </c>
      <c r="X261" s="62" t="s">
        <v>3265</v>
      </c>
      <c r="Y261" s="62" t="s">
        <v>3266</v>
      </c>
      <c r="Z261" s="62" t="s">
        <v>3267</v>
      </c>
      <c r="AA261" s="62" t="s">
        <v>58593</v>
      </c>
      <c r="AB261" s="62" t="s">
        <v>3268</v>
      </c>
      <c r="AC261" s="62" t="s">
        <v>3269</v>
      </c>
      <c r="AD261" s="62" t="s">
        <v>3270</v>
      </c>
    </row>
    <row r="262" spans="1:30" x14ac:dyDescent="0.25">
      <c r="A262" s="62" t="s">
        <v>109</v>
      </c>
      <c r="C262" s="62" t="s">
        <v>3271</v>
      </c>
      <c r="F262" s="62" t="s">
        <v>210</v>
      </c>
      <c r="G262" s="62" t="s">
        <v>58542</v>
      </c>
      <c r="J262" s="62" t="s">
        <v>3272</v>
      </c>
      <c r="K262" s="62" t="s">
        <v>58555</v>
      </c>
      <c r="L262" s="62" t="s">
        <v>3273</v>
      </c>
      <c r="M262" s="62" t="s">
        <v>3274</v>
      </c>
      <c r="N262" s="62" t="s">
        <v>3275</v>
      </c>
      <c r="O262" s="62" t="s">
        <v>3276</v>
      </c>
      <c r="P262" s="62" t="s">
        <v>58568</v>
      </c>
      <c r="Q262" s="62" t="s">
        <v>3277</v>
      </c>
      <c r="R262" s="62" t="s">
        <v>3278</v>
      </c>
      <c r="S262" s="62" t="s">
        <v>3279</v>
      </c>
      <c r="U262" s="62" t="s">
        <v>3280</v>
      </c>
      <c r="V262" s="62" t="s">
        <v>58581</v>
      </c>
      <c r="W262" s="62" t="s">
        <v>3281</v>
      </c>
      <c r="X262" s="62" t="s">
        <v>3282</v>
      </c>
      <c r="Y262" s="62" t="s">
        <v>3283</v>
      </c>
      <c r="Z262" s="62" t="s">
        <v>3284</v>
      </c>
      <c r="AA262" s="62" t="s">
        <v>58594</v>
      </c>
      <c r="AB262" s="62" t="s">
        <v>3285</v>
      </c>
      <c r="AC262" s="62" t="s">
        <v>3286</v>
      </c>
      <c r="AD262" s="62" t="s">
        <v>3287</v>
      </c>
    </row>
    <row r="263" spans="1:30" x14ac:dyDescent="0.25">
      <c r="A263" s="62" t="s">
        <v>109</v>
      </c>
      <c r="C263" s="62" t="s">
        <v>40264</v>
      </c>
      <c r="F263" s="62" t="s">
        <v>236</v>
      </c>
      <c r="G263" s="62" t="s">
        <v>58543</v>
      </c>
      <c r="J263" s="62" t="s">
        <v>40265</v>
      </c>
      <c r="K263" s="62" t="s">
        <v>58556</v>
      </c>
      <c r="L263" s="62" t="s">
        <v>40266</v>
      </c>
      <c r="M263" s="62" t="s">
        <v>40267</v>
      </c>
      <c r="N263" s="62" t="s">
        <v>40268</v>
      </c>
      <c r="O263" s="62" t="s">
        <v>40269</v>
      </c>
      <c r="P263" s="62" t="s">
        <v>58569</v>
      </c>
      <c r="Q263" s="62" t="s">
        <v>40270</v>
      </c>
      <c r="R263" s="62" t="s">
        <v>40271</v>
      </c>
      <c r="S263" s="62" t="s">
        <v>40272</v>
      </c>
      <c r="U263" s="62" t="s">
        <v>40273</v>
      </c>
      <c r="V263" s="62" t="s">
        <v>58582</v>
      </c>
      <c r="W263" s="62" t="s">
        <v>40274</v>
      </c>
      <c r="X263" s="62" t="s">
        <v>40275</v>
      </c>
      <c r="Y263" s="62" t="s">
        <v>40276</v>
      </c>
      <c r="Z263" s="62" t="s">
        <v>40277</v>
      </c>
      <c r="AA263" s="62" t="s">
        <v>58595</v>
      </c>
      <c r="AB263" s="62" t="s">
        <v>40278</v>
      </c>
      <c r="AC263" s="62" t="s">
        <v>40279</v>
      </c>
      <c r="AD263" s="62" t="s">
        <v>40280</v>
      </c>
    </row>
    <row r="264" spans="1:30" x14ac:dyDescent="0.25">
      <c r="A264" s="62" t="s">
        <v>109</v>
      </c>
      <c r="C264" s="62" t="s">
        <v>3288</v>
      </c>
      <c r="F264" s="62" t="s">
        <v>3799</v>
      </c>
      <c r="G264" s="62" t="s">
        <v>58544</v>
      </c>
      <c r="J264" s="62" t="s">
        <v>40281</v>
      </c>
      <c r="K264" s="62" t="s">
        <v>58557</v>
      </c>
      <c r="L264" s="62" t="s">
        <v>40282</v>
      </c>
      <c r="M264" s="62" t="s">
        <v>3289</v>
      </c>
      <c r="N264" s="62" t="s">
        <v>3290</v>
      </c>
      <c r="O264" s="62" t="s">
        <v>40283</v>
      </c>
      <c r="P264" s="62" t="s">
        <v>58570</v>
      </c>
      <c r="Q264" s="62" t="s">
        <v>40284</v>
      </c>
      <c r="R264" s="62" t="s">
        <v>3291</v>
      </c>
      <c r="S264" s="62" t="s">
        <v>3292</v>
      </c>
      <c r="U264" s="62" t="s">
        <v>40285</v>
      </c>
      <c r="V264" s="62" t="s">
        <v>58583</v>
      </c>
      <c r="W264" s="62" t="s">
        <v>40286</v>
      </c>
      <c r="X264" s="62" t="s">
        <v>3293</v>
      </c>
      <c r="Y264" s="62" t="s">
        <v>3294</v>
      </c>
      <c r="Z264" s="62" t="s">
        <v>40287</v>
      </c>
      <c r="AA264" s="62" t="s">
        <v>58596</v>
      </c>
      <c r="AB264" s="62" t="s">
        <v>40288</v>
      </c>
      <c r="AC264" s="62" t="s">
        <v>3295</v>
      </c>
      <c r="AD264" s="62" t="s">
        <v>3296</v>
      </c>
    </row>
    <row r="265" spans="1:30" x14ac:dyDescent="0.25">
      <c r="A265" s="62" t="s">
        <v>109</v>
      </c>
      <c r="C265" s="62" t="s">
        <v>40289</v>
      </c>
      <c r="F265" s="62" t="s">
        <v>271</v>
      </c>
      <c r="G265" s="62" t="s">
        <v>58545</v>
      </c>
      <c r="J265" s="62" t="s">
        <v>40290</v>
      </c>
      <c r="K265" s="62" t="s">
        <v>58558</v>
      </c>
      <c r="L265" s="62" t="s">
        <v>40291</v>
      </c>
      <c r="M265" s="62" t="s">
        <v>40292</v>
      </c>
      <c r="N265" s="62" t="s">
        <v>40293</v>
      </c>
      <c r="O265" s="62" t="s">
        <v>40294</v>
      </c>
      <c r="P265" s="62" t="s">
        <v>58571</v>
      </c>
      <c r="Q265" s="62" t="s">
        <v>40295</v>
      </c>
      <c r="R265" s="62" t="s">
        <v>40296</v>
      </c>
      <c r="S265" s="62" t="s">
        <v>40297</v>
      </c>
      <c r="U265" s="62" t="s">
        <v>40298</v>
      </c>
      <c r="V265" s="62" t="s">
        <v>58584</v>
      </c>
      <c r="W265" s="62" t="s">
        <v>40299</v>
      </c>
      <c r="X265" s="62" t="s">
        <v>40300</v>
      </c>
      <c r="Y265" s="62" t="s">
        <v>40301</v>
      </c>
      <c r="Z265" s="62" t="s">
        <v>40302</v>
      </c>
      <c r="AA265" s="62" t="s">
        <v>58597</v>
      </c>
      <c r="AB265" s="62" t="s">
        <v>40303</v>
      </c>
      <c r="AC265" s="62" t="s">
        <v>40304</v>
      </c>
      <c r="AD265" s="62" t="s">
        <v>40305</v>
      </c>
    </row>
    <row r="266" spans="1:30" x14ac:dyDescent="0.25">
      <c r="A266" s="62" t="s">
        <v>109</v>
      </c>
      <c r="C266" s="62" t="s">
        <v>40306</v>
      </c>
      <c r="F266" s="62" t="s">
        <v>3185</v>
      </c>
      <c r="G266" s="62" t="s">
        <v>58546</v>
      </c>
      <c r="J266" s="62" t="s">
        <v>40307</v>
      </c>
      <c r="K266" s="62" t="s">
        <v>58559</v>
      </c>
      <c r="L266" s="62" t="s">
        <v>40308</v>
      </c>
      <c r="M266" s="62" t="s">
        <v>40309</v>
      </c>
      <c r="N266" s="62" t="s">
        <v>40310</v>
      </c>
      <c r="O266" s="62" t="s">
        <v>40311</v>
      </c>
      <c r="P266" s="62" t="s">
        <v>58572</v>
      </c>
      <c r="Q266" s="62" t="s">
        <v>40312</v>
      </c>
      <c r="R266" s="62" t="s">
        <v>40313</v>
      </c>
      <c r="S266" s="62" t="s">
        <v>40314</v>
      </c>
      <c r="U266" s="62" t="s">
        <v>40315</v>
      </c>
      <c r="V266" s="62" t="s">
        <v>58585</v>
      </c>
      <c r="W266" s="62" t="s">
        <v>40316</v>
      </c>
      <c r="X266" s="62" t="s">
        <v>40317</v>
      </c>
      <c r="Y266" s="62" t="s">
        <v>40318</v>
      </c>
      <c r="Z266" s="62" t="s">
        <v>40319</v>
      </c>
      <c r="AA266" s="62" t="s">
        <v>58598</v>
      </c>
      <c r="AB266" s="62" t="s">
        <v>40320</v>
      </c>
      <c r="AC266" s="62" t="s">
        <v>40321</v>
      </c>
      <c r="AD266" s="62" t="s">
        <v>40322</v>
      </c>
    </row>
    <row r="267" spans="1:30" x14ac:dyDescent="0.25">
      <c r="A267" s="62" t="s">
        <v>109</v>
      </c>
      <c r="C267" s="62" t="s">
        <v>3297</v>
      </c>
      <c r="F267" s="62" t="s">
        <v>2481</v>
      </c>
      <c r="G267" s="62" t="s">
        <v>58547</v>
      </c>
      <c r="J267" s="62" t="s">
        <v>40323</v>
      </c>
      <c r="K267" s="62" t="s">
        <v>58560</v>
      </c>
      <c r="L267" s="62" t="s">
        <v>40324</v>
      </c>
      <c r="M267" s="62" t="s">
        <v>40325</v>
      </c>
      <c r="N267" s="62" t="s">
        <v>40326</v>
      </c>
      <c r="O267" s="62" t="s">
        <v>40327</v>
      </c>
      <c r="P267" s="62" t="s">
        <v>58573</v>
      </c>
      <c r="Q267" s="62" t="s">
        <v>40328</v>
      </c>
      <c r="R267" s="62" t="s">
        <v>40329</v>
      </c>
      <c r="S267" s="62" t="s">
        <v>40330</v>
      </c>
      <c r="U267" s="62" t="s">
        <v>40331</v>
      </c>
      <c r="V267" s="62" t="s">
        <v>58586</v>
      </c>
      <c r="W267" s="62" t="s">
        <v>40332</v>
      </c>
      <c r="X267" s="62" t="s">
        <v>40333</v>
      </c>
      <c r="Y267" s="62" t="s">
        <v>40334</v>
      </c>
      <c r="Z267" s="62" t="s">
        <v>40335</v>
      </c>
      <c r="AA267" s="62" t="s">
        <v>58599</v>
      </c>
      <c r="AB267" s="62" t="s">
        <v>40336</v>
      </c>
      <c r="AC267" s="62" t="s">
        <v>40337</v>
      </c>
      <c r="AD267" s="62" t="s">
        <v>40338</v>
      </c>
    </row>
    <row r="268" spans="1:30" x14ac:dyDescent="0.25">
      <c r="A268" s="62" t="s">
        <v>109</v>
      </c>
      <c r="C268" s="62" t="s">
        <v>3298</v>
      </c>
      <c r="F268" s="62" t="s">
        <v>1100</v>
      </c>
      <c r="G268" s="62" t="s">
        <v>58548</v>
      </c>
      <c r="J268" s="62" t="s">
        <v>3299</v>
      </c>
      <c r="K268" s="62" t="s">
        <v>58561</v>
      </c>
      <c r="L268" s="62" t="s">
        <v>3300</v>
      </c>
      <c r="M268" s="62" t="s">
        <v>3301</v>
      </c>
      <c r="N268" s="62" t="s">
        <v>3302</v>
      </c>
      <c r="O268" s="62" t="s">
        <v>3303</v>
      </c>
      <c r="P268" s="62" t="s">
        <v>58574</v>
      </c>
      <c r="Q268" s="62" t="s">
        <v>3304</v>
      </c>
      <c r="R268" s="62" t="s">
        <v>3305</v>
      </c>
      <c r="S268" s="62" t="s">
        <v>3306</v>
      </c>
      <c r="U268" s="62" t="s">
        <v>3307</v>
      </c>
      <c r="V268" s="62" t="s">
        <v>58587</v>
      </c>
      <c r="W268" s="62" t="s">
        <v>3308</v>
      </c>
      <c r="X268" s="62" t="s">
        <v>3309</v>
      </c>
      <c r="Y268" s="62" t="s">
        <v>3310</v>
      </c>
      <c r="Z268" s="62" t="s">
        <v>3311</v>
      </c>
      <c r="AA268" s="62" t="s">
        <v>58600</v>
      </c>
      <c r="AB268" s="62" t="s">
        <v>3312</v>
      </c>
      <c r="AC268" s="62" t="s">
        <v>3313</v>
      </c>
      <c r="AD268" s="62" t="s">
        <v>3314</v>
      </c>
    </row>
    <row r="269" spans="1:30" x14ac:dyDescent="0.25">
      <c r="A269" s="62" t="s">
        <v>109</v>
      </c>
      <c r="C269" s="62" t="s">
        <v>3315</v>
      </c>
      <c r="F269" s="62" t="s">
        <v>2372</v>
      </c>
      <c r="G269" s="62" t="s">
        <v>58549</v>
      </c>
      <c r="J269" s="62" t="s">
        <v>3316</v>
      </c>
      <c r="K269" s="62" t="s">
        <v>58562</v>
      </c>
      <c r="L269" s="62" t="s">
        <v>3317</v>
      </c>
      <c r="M269" s="62" t="s">
        <v>3318</v>
      </c>
      <c r="N269" s="62" t="s">
        <v>3319</v>
      </c>
      <c r="O269" s="62" t="s">
        <v>3320</v>
      </c>
      <c r="P269" s="62" t="s">
        <v>58575</v>
      </c>
      <c r="Q269" s="62" t="s">
        <v>3321</v>
      </c>
      <c r="R269" s="62" t="s">
        <v>3322</v>
      </c>
      <c r="S269" s="62" t="s">
        <v>3323</v>
      </c>
      <c r="U269" s="62" t="s">
        <v>3324</v>
      </c>
      <c r="V269" s="62" t="s">
        <v>58588</v>
      </c>
      <c r="W269" s="62" t="s">
        <v>3325</v>
      </c>
      <c r="X269" s="62" t="s">
        <v>3326</v>
      </c>
      <c r="Y269" s="62" t="s">
        <v>3327</v>
      </c>
      <c r="Z269" s="62" t="s">
        <v>3328</v>
      </c>
      <c r="AA269" s="62" t="s">
        <v>58601</v>
      </c>
      <c r="AB269" s="62" t="s">
        <v>3329</v>
      </c>
      <c r="AC269" s="62" t="s">
        <v>3330</v>
      </c>
      <c r="AD269" s="62" t="s">
        <v>3331</v>
      </c>
    </row>
    <row r="270" spans="1:30" x14ac:dyDescent="0.25">
      <c r="A270" s="62" t="s">
        <v>109</v>
      </c>
      <c r="C270" s="62" t="s">
        <v>3202</v>
      </c>
    </row>
    <row r="271" spans="1:30" x14ac:dyDescent="0.25">
      <c r="A271" s="62" t="s">
        <v>109</v>
      </c>
      <c r="C271" s="62" t="s">
        <v>3332</v>
      </c>
      <c r="G271" s="62" t="s">
        <v>40339</v>
      </c>
      <c r="J271" s="62" t="s">
        <v>40340</v>
      </c>
      <c r="K271" s="62" t="s">
        <v>40341</v>
      </c>
      <c r="L271" s="62" t="s">
        <v>40342</v>
      </c>
      <c r="M271" s="62" t="s">
        <v>3333</v>
      </c>
      <c r="N271" s="62" t="s">
        <v>3334</v>
      </c>
      <c r="O271" s="62" t="s">
        <v>40343</v>
      </c>
      <c r="P271" s="62" t="s">
        <v>40344</v>
      </c>
      <c r="Q271" s="62" t="s">
        <v>40345</v>
      </c>
      <c r="R271" s="62" t="s">
        <v>3335</v>
      </c>
      <c r="S271" s="62" t="s">
        <v>3336</v>
      </c>
      <c r="U271" s="62" t="s">
        <v>40346</v>
      </c>
      <c r="V271" s="62" t="s">
        <v>40347</v>
      </c>
      <c r="W271" s="62" t="s">
        <v>40348</v>
      </c>
      <c r="X271" s="62" t="s">
        <v>3337</v>
      </c>
      <c r="Y271" s="62" t="s">
        <v>3338</v>
      </c>
      <c r="Z271" s="62" t="s">
        <v>40349</v>
      </c>
      <c r="AA271" s="62" t="s">
        <v>40350</v>
      </c>
      <c r="AB271" s="62" t="s">
        <v>40351</v>
      </c>
      <c r="AC271" s="62" t="s">
        <v>3339</v>
      </c>
      <c r="AD271" s="62" t="s">
        <v>3340</v>
      </c>
    </row>
    <row r="272" spans="1:30" x14ac:dyDescent="0.25">
      <c r="A272" s="62" t="s">
        <v>109</v>
      </c>
    </row>
    <row r="273" spans="1:30" x14ac:dyDescent="0.25">
      <c r="A273" s="62" t="s">
        <v>109</v>
      </c>
      <c r="C273" s="62" t="s">
        <v>40352</v>
      </c>
      <c r="E273" s="62" t="s">
        <v>872</v>
      </c>
      <c r="G273" s="62" t="s">
        <v>40353</v>
      </c>
    </row>
    <row r="274" spans="1:30" x14ac:dyDescent="0.25">
      <c r="A274" s="62" t="s">
        <v>109</v>
      </c>
      <c r="C274" s="62" t="s">
        <v>3341</v>
      </c>
    </row>
    <row r="275" spans="1:30" x14ac:dyDescent="0.25">
      <c r="A275" s="62" t="s">
        <v>109</v>
      </c>
      <c r="C275" s="62" t="s">
        <v>3342</v>
      </c>
      <c r="F275" s="62" t="s">
        <v>40354</v>
      </c>
      <c r="G275" s="62" t="s">
        <v>58452</v>
      </c>
      <c r="J275" s="62" t="s">
        <v>3343</v>
      </c>
      <c r="K275" s="62" t="s">
        <v>58469</v>
      </c>
      <c r="L275" s="62" t="s">
        <v>3344</v>
      </c>
      <c r="M275" s="62" t="s">
        <v>3345</v>
      </c>
      <c r="N275" s="62" t="s">
        <v>3346</v>
      </c>
      <c r="O275" s="62" t="s">
        <v>3347</v>
      </c>
      <c r="P275" s="62" t="s">
        <v>58486</v>
      </c>
      <c r="Q275" s="62" t="s">
        <v>3348</v>
      </c>
      <c r="R275" s="62" t="s">
        <v>3349</v>
      </c>
      <c r="S275" s="62" t="s">
        <v>3350</v>
      </c>
      <c r="U275" s="62" t="s">
        <v>3351</v>
      </c>
      <c r="V275" s="62" t="s">
        <v>58503</v>
      </c>
      <c r="W275" s="62" t="s">
        <v>3352</v>
      </c>
      <c r="X275" s="62" t="s">
        <v>3353</v>
      </c>
      <c r="Y275" s="62" t="s">
        <v>3354</v>
      </c>
      <c r="Z275" s="62" t="s">
        <v>3355</v>
      </c>
      <c r="AA275" s="62" t="s">
        <v>58520</v>
      </c>
      <c r="AB275" s="62" t="s">
        <v>3356</v>
      </c>
      <c r="AC275" s="62" t="s">
        <v>3357</v>
      </c>
      <c r="AD275" s="62" t="s">
        <v>3358</v>
      </c>
    </row>
    <row r="276" spans="1:30" x14ac:dyDescent="0.25">
      <c r="A276" s="62" t="s">
        <v>109</v>
      </c>
      <c r="C276" s="62" t="s">
        <v>3359</v>
      </c>
      <c r="F276" s="62" t="s">
        <v>802</v>
      </c>
      <c r="G276" s="62" t="s">
        <v>58453</v>
      </c>
      <c r="J276" s="62" t="s">
        <v>3360</v>
      </c>
      <c r="K276" s="62" t="s">
        <v>58470</v>
      </c>
      <c r="L276" s="62" t="s">
        <v>3361</v>
      </c>
      <c r="M276" s="62" t="s">
        <v>3362</v>
      </c>
      <c r="N276" s="62" t="s">
        <v>3363</v>
      </c>
      <c r="O276" s="62" t="s">
        <v>3364</v>
      </c>
      <c r="P276" s="62" t="s">
        <v>58487</v>
      </c>
      <c r="Q276" s="62" t="s">
        <v>3365</v>
      </c>
      <c r="R276" s="62" t="s">
        <v>3366</v>
      </c>
      <c r="S276" s="62" t="s">
        <v>3367</v>
      </c>
      <c r="U276" s="62" t="s">
        <v>3368</v>
      </c>
      <c r="V276" s="62" t="s">
        <v>58504</v>
      </c>
      <c r="W276" s="62" t="s">
        <v>3369</v>
      </c>
      <c r="X276" s="62" t="s">
        <v>3370</v>
      </c>
      <c r="Y276" s="62" t="s">
        <v>3371</v>
      </c>
      <c r="Z276" s="62" t="s">
        <v>3372</v>
      </c>
      <c r="AA276" s="62" t="s">
        <v>58521</v>
      </c>
      <c r="AB276" s="62" t="s">
        <v>3373</v>
      </c>
      <c r="AC276" s="62" t="s">
        <v>3374</v>
      </c>
      <c r="AD276" s="62" t="s">
        <v>3375</v>
      </c>
    </row>
    <row r="277" spans="1:30" x14ac:dyDescent="0.25">
      <c r="A277" s="62" t="s">
        <v>109</v>
      </c>
      <c r="C277" s="62" t="s">
        <v>3376</v>
      </c>
      <c r="F277" s="62" t="s">
        <v>159</v>
      </c>
      <c r="G277" s="62" t="s">
        <v>58454</v>
      </c>
      <c r="J277" s="62" t="s">
        <v>3377</v>
      </c>
      <c r="K277" s="62" t="s">
        <v>58471</v>
      </c>
      <c r="L277" s="62" t="s">
        <v>3378</v>
      </c>
      <c r="M277" s="62" t="s">
        <v>3379</v>
      </c>
      <c r="N277" s="62" t="s">
        <v>3380</v>
      </c>
      <c r="O277" s="62" t="s">
        <v>3381</v>
      </c>
      <c r="P277" s="62" t="s">
        <v>58488</v>
      </c>
      <c r="Q277" s="62" t="s">
        <v>3382</v>
      </c>
      <c r="R277" s="62" t="s">
        <v>3383</v>
      </c>
      <c r="S277" s="62" t="s">
        <v>3384</v>
      </c>
      <c r="U277" s="62" t="s">
        <v>3385</v>
      </c>
      <c r="V277" s="62" t="s">
        <v>58505</v>
      </c>
      <c r="W277" s="62" t="s">
        <v>3386</v>
      </c>
      <c r="X277" s="62" t="s">
        <v>3387</v>
      </c>
      <c r="Y277" s="62" t="s">
        <v>3388</v>
      </c>
      <c r="Z277" s="62" t="s">
        <v>3389</v>
      </c>
      <c r="AA277" s="62" t="s">
        <v>58522</v>
      </c>
      <c r="AB277" s="62" t="s">
        <v>3390</v>
      </c>
      <c r="AC277" s="62" t="s">
        <v>3391</v>
      </c>
      <c r="AD277" s="62" t="s">
        <v>3392</v>
      </c>
    </row>
    <row r="278" spans="1:30" x14ac:dyDescent="0.25">
      <c r="A278" s="62" t="s">
        <v>109</v>
      </c>
      <c r="C278" s="62" t="s">
        <v>3393</v>
      </c>
      <c r="F278" s="62" t="s">
        <v>827</v>
      </c>
      <c r="G278" s="62" t="s">
        <v>58455</v>
      </c>
      <c r="J278" s="62" t="s">
        <v>3394</v>
      </c>
      <c r="K278" s="62" t="s">
        <v>58472</v>
      </c>
      <c r="L278" s="62" t="s">
        <v>3395</v>
      </c>
      <c r="M278" s="62" t="s">
        <v>3396</v>
      </c>
      <c r="N278" s="62" t="s">
        <v>3397</v>
      </c>
      <c r="O278" s="62" t="s">
        <v>3398</v>
      </c>
      <c r="P278" s="62" t="s">
        <v>58489</v>
      </c>
      <c r="Q278" s="62" t="s">
        <v>3399</v>
      </c>
      <c r="R278" s="62" t="s">
        <v>3400</v>
      </c>
      <c r="S278" s="62" t="s">
        <v>3401</v>
      </c>
      <c r="U278" s="62" t="s">
        <v>3402</v>
      </c>
      <c r="V278" s="62" t="s">
        <v>58506</v>
      </c>
      <c r="W278" s="62" t="s">
        <v>3403</v>
      </c>
      <c r="X278" s="62" t="s">
        <v>3404</v>
      </c>
      <c r="Y278" s="62" t="s">
        <v>3405</v>
      </c>
      <c r="Z278" s="62" t="s">
        <v>3406</v>
      </c>
      <c r="AA278" s="62" t="s">
        <v>58523</v>
      </c>
      <c r="AB278" s="62" t="s">
        <v>3407</v>
      </c>
      <c r="AC278" s="62" t="s">
        <v>3408</v>
      </c>
      <c r="AD278" s="62" t="s">
        <v>3409</v>
      </c>
    </row>
    <row r="279" spans="1:30" x14ac:dyDescent="0.25">
      <c r="A279" s="62" t="s">
        <v>109</v>
      </c>
      <c r="C279" s="62" t="s">
        <v>3410</v>
      </c>
      <c r="F279" s="62" t="s">
        <v>889</v>
      </c>
      <c r="G279" s="62" t="s">
        <v>58456</v>
      </c>
      <c r="J279" s="62" t="s">
        <v>3411</v>
      </c>
      <c r="K279" s="62" t="s">
        <v>58473</v>
      </c>
      <c r="L279" s="62" t="s">
        <v>3412</v>
      </c>
      <c r="M279" s="62" t="s">
        <v>3413</v>
      </c>
      <c r="N279" s="62" t="s">
        <v>3414</v>
      </c>
      <c r="O279" s="62" t="s">
        <v>3415</v>
      </c>
      <c r="P279" s="62" t="s">
        <v>58490</v>
      </c>
      <c r="Q279" s="62" t="s">
        <v>3416</v>
      </c>
      <c r="R279" s="62" t="s">
        <v>3417</v>
      </c>
      <c r="S279" s="62" t="s">
        <v>3418</v>
      </c>
      <c r="U279" s="62" t="s">
        <v>3419</v>
      </c>
      <c r="V279" s="62" t="s">
        <v>58507</v>
      </c>
      <c r="W279" s="62" t="s">
        <v>3420</v>
      </c>
      <c r="X279" s="62" t="s">
        <v>3421</v>
      </c>
      <c r="Y279" s="62" t="s">
        <v>3422</v>
      </c>
      <c r="Z279" s="62" t="s">
        <v>3423</v>
      </c>
      <c r="AA279" s="62" t="s">
        <v>58524</v>
      </c>
      <c r="AB279" s="62" t="s">
        <v>3424</v>
      </c>
      <c r="AC279" s="62" t="s">
        <v>3425</v>
      </c>
      <c r="AD279" s="62" t="s">
        <v>3426</v>
      </c>
    </row>
    <row r="280" spans="1:30" x14ac:dyDescent="0.25">
      <c r="A280" s="62" t="s">
        <v>109</v>
      </c>
      <c r="C280" s="62" t="s">
        <v>3427</v>
      </c>
      <c r="F280" s="62" t="s">
        <v>925</v>
      </c>
      <c r="G280" s="62" t="s">
        <v>58457</v>
      </c>
      <c r="J280" s="62" t="s">
        <v>3428</v>
      </c>
      <c r="K280" s="62" t="s">
        <v>58474</v>
      </c>
      <c r="L280" s="62" t="s">
        <v>3429</v>
      </c>
      <c r="M280" s="62" t="s">
        <v>3430</v>
      </c>
      <c r="N280" s="62" t="s">
        <v>3431</v>
      </c>
      <c r="O280" s="62" t="s">
        <v>3432</v>
      </c>
      <c r="P280" s="62" t="s">
        <v>58491</v>
      </c>
      <c r="Q280" s="62" t="s">
        <v>3433</v>
      </c>
      <c r="R280" s="62" t="s">
        <v>3434</v>
      </c>
      <c r="S280" s="62" t="s">
        <v>3435</v>
      </c>
      <c r="U280" s="62" t="s">
        <v>3436</v>
      </c>
      <c r="V280" s="62" t="s">
        <v>58508</v>
      </c>
      <c r="W280" s="62" t="s">
        <v>3437</v>
      </c>
      <c r="X280" s="62" t="s">
        <v>3438</v>
      </c>
      <c r="Y280" s="62" t="s">
        <v>3439</v>
      </c>
      <c r="Z280" s="62" t="s">
        <v>3440</v>
      </c>
      <c r="AA280" s="62" t="s">
        <v>58525</v>
      </c>
      <c r="AB280" s="62" t="s">
        <v>3441</v>
      </c>
      <c r="AC280" s="62" t="s">
        <v>3442</v>
      </c>
      <c r="AD280" s="62" t="s">
        <v>3443</v>
      </c>
    </row>
    <row r="281" spans="1:30" x14ac:dyDescent="0.25">
      <c r="A281" s="62" t="s">
        <v>109</v>
      </c>
      <c r="C281" s="62" t="s">
        <v>3444</v>
      </c>
      <c r="F281" s="62" t="s">
        <v>943</v>
      </c>
      <c r="G281" s="62" t="s">
        <v>58458</v>
      </c>
      <c r="J281" s="62" t="s">
        <v>3445</v>
      </c>
      <c r="K281" s="62" t="s">
        <v>58475</v>
      </c>
      <c r="L281" s="62" t="s">
        <v>3446</v>
      </c>
      <c r="M281" s="62" t="s">
        <v>3447</v>
      </c>
      <c r="N281" s="62" t="s">
        <v>3448</v>
      </c>
      <c r="O281" s="62" t="s">
        <v>3449</v>
      </c>
      <c r="P281" s="62" t="s">
        <v>58492</v>
      </c>
      <c r="Q281" s="62" t="s">
        <v>3450</v>
      </c>
      <c r="R281" s="62" t="s">
        <v>3451</v>
      </c>
      <c r="S281" s="62" t="s">
        <v>3452</v>
      </c>
      <c r="U281" s="62" t="s">
        <v>3453</v>
      </c>
      <c r="V281" s="62" t="s">
        <v>58509</v>
      </c>
      <c r="W281" s="62" t="s">
        <v>3454</v>
      </c>
      <c r="X281" s="62" t="s">
        <v>3455</v>
      </c>
      <c r="Y281" s="62" t="s">
        <v>3456</v>
      </c>
      <c r="Z281" s="62" t="s">
        <v>3457</v>
      </c>
      <c r="AA281" s="62" t="s">
        <v>58526</v>
      </c>
      <c r="AB281" s="62" t="s">
        <v>3458</v>
      </c>
      <c r="AC281" s="62" t="s">
        <v>3459</v>
      </c>
      <c r="AD281" s="62" t="s">
        <v>3460</v>
      </c>
    </row>
    <row r="282" spans="1:30" x14ac:dyDescent="0.25">
      <c r="A282" s="62" t="s">
        <v>109</v>
      </c>
      <c r="C282" s="62" t="s">
        <v>3461</v>
      </c>
      <c r="F282" s="62" t="s">
        <v>1002</v>
      </c>
      <c r="G282" s="62" t="s">
        <v>58459</v>
      </c>
      <c r="J282" s="62" t="s">
        <v>3462</v>
      </c>
      <c r="K282" s="62" t="s">
        <v>58476</v>
      </c>
      <c r="L282" s="62" t="s">
        <v>3463</v>
      </c>
      <c r="M282" s="62" t="s">
        <v>3464</v>
      </c>
      <c r="N282" s="62" t="s">
        <v>3465</v>
      </c>
      <c r="O282" s="62" t="s">
        <v>3466</v>
      </c>
      <c r="P282" s="62" t="s">
        <v>58493</v>
      </c>
      <c r="Q282" s="62" t="s">
        <v>3467</v>
      </c>
      <c r="R282" s="62" t="s">
        <v>3468</v>
      </c>
      <c r="S282" s="62" t="s">
        <v>3469</v>
      </c>
      <c r="U282" s="62" t="s">
        <v>3470</v>
      </c>
      <c r="V282" s="62" t="s">
        <v>58510</v>
      </c>
      <c r="W282" s="62" t="s">
        <v>3471</v>
      </c>
      <c r="X282" s="62" t="s">
        <v>3472</v>
      </c>
      <c r="Y282" s="62" t="s">
        <v>3473</v>
      </c>
      <c r="Z282" s="62" t="s">
        <v>3474</v>
      </c>
      <c r="AA282" s="62" t="s">
        <v>58527</v>
      </c>
      <c r="AB282" s="62" t="s">
        <v>3475</v>
      </c>
      <c r="AC282" s="62" t="s">
        <v>3476</v>
      </c>
      <c r="AD282" s="62" t="s">
        <v>3477</v>
      </c>
    </row>
    <row r="283" spans="1:30" x14ac:dyDescent="0.25">
      <c r="A283" s="62" t="s">
        <v>109</v>
      </c>
      <c r="C283" s="62" t="s">
        <v>3478</v>
      </c>
      <c r="F283" s="62" t="s">
        <v>1100</v>
      </c>
      <c r="G283" s="62" t="s">
        <v>58460</v>
      </c>
      <c r="J283" s="62" t="s">
        <v>3479</v>
      </c>
      <c r="K283" s="62" t="s">
        <v>58477</v>
      </c>
      <c r="L283" s="62" t="s">
        <v>3480</v>
      </c>
      <c r="M283" s="62" t="s">
        <v>3481</v>
      </c>
      <c r="N283" s="62" t="s">
        <v>3482</v>
      </c>
      <c r="O283" s="62" t="s">
        <v>3483</v>
      </c>
      <c r="P283" s="62" t="s">
        <v>58494</v>
      </c>
      <c r="Q283" s="62" t="s">
        <v>3484</v>
      </c>
      <c r="R283" s="62" t="s">
        <v>3485</v>
      </c>
      <c r="S283" s="62" t="s">
        <v>3486</v>
      </c>
      <c r="U283" s="62" t="s">
        <v>3487</v>
      </c>
      <c r="V283" s="62" t="s">
        <v>58511</v>
      </c>
      <c r="W283" s="62" t="s">
        <v>3488</v>
      </c>
      <c r="X283" s="62" t="s">
        <v>3489</v>
      </c>
      <c r="Y283" s="62" t="s">
        <v>3490</v>
      </c>
      <c r="Z283" s="62" t="s">
        <v>3491</v>
      </c>
      <c r="AA283" s="62" t="s">
        <v>58528</v>
      </c>
      <c r="AB283" s="62" t="s">
        <v>3492</v>
      </c>
      <c r="AC283" s="62" t="s">
        <v>3493</v>
      </c>
      <c r="AD283" s="62" t="s">
        <v>3494</v>
      </c>
    </row>
    <row r="284" spans="1:30" x14ac:dyDescent="0.25">
      <c r="A284" s="62" t="s">
        <v>109</v>
      </c>
      <c r="C284" s="62" t="s">
        <v>3495</v>
      </c>
      <c r="F284" s="62" t="s">
        <v>1161</v>
      </c>
      <c r="G284" s="62" t="s">
        <v>58461</v>
      </c>
      <c r="J284" s="62" t="s">
        <v>3496</v>
      </c>
      <c r="K284" s="62" t="s">
        <v>58478</v>
      </c>
      <c r="L284" s="62" t="s">
        <v>3497</v>
      </c>
      <c r="M284" s="62" t="s">
        <v>3498</v>
      </c>
      <c r="N284" s="62" t="s">
        <v>3499</v>
      </c>
      <c r="O284" s="62" t="s">
        <v>3500</v>
      </c>
      <c r="P284" s="62" t="s">
        <v>58495</v>
      </c>
      <c r="Q284" s="62" t="s">
        <v>3501</v>
      </c>
      <c r="R284" s="62" t="s">
        <v>3502</v>
      </c>
      <c r="S284" s="62" t="s">
        <v>3503</v>
      </c>
      <c r="U284" s="62" t="s">
        <v>3504</v>
      </c>
      <c r="V284" s="62" t="s">
        <v>58512</v>
      </c>
      <c r="W284" s="62" t="s">
        <v>3505</v>
      </c>
      <c r="X284" s="62" t="s">
        <v>3506</v>
      </c>
      <c r="Y284" s="62" t="s">
        <v>3507</v>
      </c>
      <c r="Z284" s="62" t="s">
        <v>3508</v>
      </c>
      <c r="AA284" s="62" t="s">
        <v>58529</v>
      </c>
      <c r="AB284" s="62" t="s">
        <v>3509</v>
      </c>
      <c r="AC284" s="62" t="s">
        <v>3510</v>
      </c>
      <c r="AD284" s="62" t="s">
        <v>3511</v>
      </c>
    </row>
    <row r="285" spans="1:30" x14ac:dyDescent="0.25">
      <c r="A285" s="62" t="s">
        <v>109</v>
      </c>
      <c r="C285" s="62" t="s">
        <v>3512</v>
      </c>
      <c r="F285" s="62" t="s">
        <v>1178</v>
      </c>
      <c r="G285" s="62" t="s">
        <v>58462</v>
      </c>
      <c r="J285" s="62" t="s">
        <v>3513</v>
      </c>
      <c r="K285" s="62" t="s">
        <v>58479</v>
      </c>
      <c r="L285" s="62" t="s">
        <v>3514</v>
      </c>
      <c r="M285" s="62" t="s">
        <v>3515</v>
      </c>
      <c r="N285" s="62" t="s">
        <v>3516</v>
      </c>
      <c r="O285" s="62" t="s">
        <v>3517</v>
      </c>
      <c r="P285" s="62" t="s">
        <v>58496</v>
      </c>
      <c r="Q285" s="62" t="s">
        <v>3518</v>
      </c>
      <c r="R285" s="62" t="s">
        <v>3519</v>
      </c>
      <c r="S285" s="62" t="s">
        <v>3520</v>
      </c>
      <c r="U285" s="62" t="s">
        <v>3521</v>
      </c>
      <c r="V285" s="62" t="s">
        <v>58513</v>
      </c>
      <c r="W285" s="62" t="s">
        <v>3522</v>
      </c>
      <c r="X285" s="62" t="s">
        <v>3523</v>
      </c>
      <c r="Y285" s="62" t="s">
        <v>3524</v>
      </c>
      <c r="Z285" s="62" t="s">
        <v>3525</v>
      </c>
      <c r="AA285" s="62" t="s">
        <v>58530</v>
      </c>
      <c r="AB285" s="62" t="s">
        <v>3526</v>
      </c>
      <c r="AC285" s="62" t="s">
        <v>3527</v>
      </c>
      <c r="AD285" s="62" t="s">
        <v>3528</v>
      </c>
    </row>
    <row r="286" spans="1:30" x14ac:dyDescent="0.25">
      <c r="A286" s="62" t="s">
        <v>109</v>
      </c>
      <c r="C286" s="62" t="s">
        <v>3529</v>
      </c>
      <c r="F286" s="62" t="s">
        <v>1206</v>
      </c>
      <c r="G286" s="62" t="s">
        <v>58463</v>
      </c>
      <c r="J286" s="62" t="s">
        <v>3530</v>
      </c>
      <c r="K286" s="62" t="s">
        <v>58480</v>
      </c>
      <c r="L286" s="62" t="s">
        <v>3531</v>
      </c>
      <c r="M286" s="62" t="s">
        <v>3532</v>
      </c>
      <c r="N286" s="62" t="s">
        <v>3533</v>
      </c>
      <c r="O286" s="62" t="s">
        <v>3534</v>
      </c>
      <c r="P286" s="62" t="s">
        <v>58497</v>
      </c>
      <c r="Q286" s="62" t="s">
        <v>3535</v>
      </c>
      <c r="R286" s="62" t="s">
        <v>3536</v>
      </c>
      <c r="S286" s="62" t="s">
        <v>3537</v>
      </c>
      <c r="U286" s="62" t="s">
        <v>3538</v>
      </c>
      <c r="V286" s="62" t="s">
        <v>58514</v>
      </c>
      <c r="W286" s="62" t="s">
        <v>3539</v>
      </c>
      <c r="X286" s="62" t="s">
        <v>3540</v>
      </c>
      <c r="Y286" s="62" t="s">
        <v>3541</v>
      </c>
      <c r="Z286" s="62" t="s">
        <v>3542</v>
      </c>
      <c r="AA286" s="62" t="s">
        <v>58531</v>
      </c>
      <c r="AB286" s="62" t="s">
        <v>3543</v>
      </c>
      <c r="AC286" s="62" t="s">
        <v>3544</v>
      </c>
      <c r="AD286" s="62" t="s">
        <v>3545</v>
      </c>
    </row>
    <row r="287" spans="1:30" x14ac:dyDescent="0.25">
      <c r="A287" s="62" t="s">
        <v>109</v>
      </c>
      <c r="C287" s="62" t="s">
        <v>3546</v>
      </c>
      <c r="F287" s="62" t="s">
        <v>1223</v>
      </c>
      <c r="G287" s="62" t="s">
        <v>58464</v>
      </c>
      <c r="J287" s="62" t="s">
        <v>3547</v>
      </c>
      <c r="K287" s="62" t="s">
        <v>58481</v>
      </c>
      <c r="L287" s="62" t="s">
        <v>3548</v>
      </c>
      <c r="M287" s="62" t="s">
        <v>3549</v>
      </c>
      <c r="N287" s="62" t="s">
        <v>3550</v>
      </c>
      <c r="O287" s="62" t="s">
        <v>3551</v>
      </c>
      <c r="P287" s="62" t="s">
        <v>58498</v>
      </c>
      <c r="Q287" s="62" t="s">
        <v>3552</v>
      </c>
      <c r="R287" s="62" t="s">
        <v>3553</v>
      </c>
      <c r="S287" s="62" t="s">
        <v>3554</v>
      </c>
      <c r="U287" s="62" t="s">
        <v>3555</v>
      </c>
      <c r="V287" s="62" t="s">
        <v>58515</v>
      </c>
      <c r="W287" s="62" t="s">
        <v>3556</v>
      </c>
      <c r="X287" s="62" t="s">
        <v>3557</v>
      </c>
      <c r="Y287" s="62" t="s">
        <v>3558</v>
      </c>
      <c r="Z287" s="62" t="s">
        <v>3559</v>
      </c>
      <c r="AA287" s="62" t="s">
        <v>58532</v>
      </c>
      <c r="AB287" s="62" t="s">
        <v>3560</v>
      </c>
      <c r="AC287" s="62" t="s">
        <v>3561</v>
      </c>
      <c r="AD287" s="62" t="s">
        <v>3562</v>
      </c>
    </row>
    <row r="288" spans="1:30" x14ac:dyDescent="0.25">
      <c r="A288" s="62" t="s">
        <v>109</v>
      </c>
      <c r="C288" s="62" t="s">
        <v>3563</v>
      </c>
      <c r="F288" s="62" t="s">
        <v>1795</v>
      </c>
      <c r="G288" s="62" t="s">
        <v>58465</v>
      </c>
      <c r="J288" s="62" t="s">
        <v>3564</v>
      </c>
      <c r="K288" s="62" t="s">
        <v>58482</v>
      </c>
      <c r="L288" s="62" t="s">
        <v>3565</v>
      </c>
      <c r="M288" s="62" t="s">
        <v>3566</v>
      </c>
      <c r="N288" s="62" t="s">
        <v>3567</v>
      </c>
      <c r="O288" s="62" t="s">
        <v>3568</v>
      </c>
      <c r="P288" s="62" t="s">
        <v>58499</v>
      </c>
      <c r="Q288" s="62" t="s">
        <v>3569</v>
      </c>
      <c r="R288" s="62" t="s">
        <v>3570</v>
      </c>
      <c r="S288" s="62" t="s">
        <v>3571</v>
      </c>
      <c r="U288" s="62" t="s">
        <v>3572</v>
      </c>
      <c r="V288" s="62" t="s">
        <v>58516</v>
      </c>
      <c r="W288" s="62" t="s">
        <v>3573</v>
      </c>
      <c r="X288" s="62" t="s">
        <v>3574</v>
      </c>
      <c r="Y288" s="62" t="s">
        <v>3575</v>
      </c>
      <c r="Z288" s="62" t="s">
        <v>3576</v>
      </c>
      <c r="AA288" s="62" t="s">
        <v>58533</v>
      </c>
      <c r="AB288" s="62" t="s">
        <v>3577</v>
      </c>
      <c r="AC288" s="62" t="s">
        <v>3578</v>
      </c>
      <c r="AD288" s="62" t="s">
        <v>3579</v>
      </c>
    </row>
    <row r="289" spans="1:30" x14ac:dyDescent="0.25">
      <c r="A289" s="62" t="s">
        <v>109</v>
      </c>
      <c r="C289" s="62" t="s">
        <v>3580</v>
      </c>
      <c r="F289" s="62" t="s">
        <v>1287</v>
      </c>
      <c r="G289" s="62" t="s">
        <v>58466</v>
      </c>
      <c r="J289" s="62" t="s">
        <v>3581</v>
      </c>
      <c r="K289" s="62" t="s">
        <v>58483</v>
      </c>
      <c r="L289" s="62" t="s">
        <v>3582</v>
      </c>
      <c r="M289" s="62" t="s">
        <v>3583</v>
      </c>
      <c r="N289" s="62" t="s">
        <v>3584</v>
      </c>
      <c r="O289" s="62" t="s">
        <v>3585</v>
      </c>
      <c r="P289" s="62" t="s">
        <v>58500</v>
      </c>
      <c r="Q289" s="62" t="s">
        <v>3586</v>
      </c>
      <c r="R289" s="62" t="s">
        <v>3587</v>
      </c>
      <c r="S289" s="62" t="s">
        <v>3588</v>
      </c>
      <c r="U289" s="62" t="s">
        <v>3589</v>
      </c>
      <c r="V289" s="62" t="s">
        <v>58517</v>
      </c>
      <c r="W289" s="62" t="s">
        <v>3590</v>
      </c>
      <c r="X289" s="62" t="s">
        <v>3591</v>
      </c>
      <c r="Y289" s="62" t="s">
        <v>3592</v>
      </c>
      <c r="Z289" s="62" t="s">
        <v>3593</v>
      </c>
      <c r="AA289" s="62" t="s">
        <v>58534</v>
      </c>
      <c r="AB289" s="62" t="s">
        <v>3594</v>
      </c>
      <c r="AC289" s="62" t="s">
        <v>3595</v>
      </c>
      <c r="AD289" s="62" t="s">
        <v>3596</v>
      </c>
    </row>
    <row r="290" spans="1:30" x14ac:dyDescent="0.25">
      <c r="A290" s="62" t="s">
        <v>109</v>
      </c>
      <c r="C290" s="62" t="s">
        <v>3597</v>
      </c>
      <c r="F290" s="62" t="s">
        <v>1797</v>
      </c>
      <c r="G290" s="62" t="s">
        <v>58467</v>
      </c>
      <c r="J290" s="62" t="s">
        <v>3598</v>
      </c>
      <c r="K290" s="62" t="s">
        <v>58484</v>
      </c>
      <c r="L290" s="62" t="s">
        <v>3599</v>
      </c>
      <c r="M290" s="62" t="s">
        <v>3600</v>
      </c>
      <c r="N290" s="62" t="s">
        <v>3601</v>
      </c>
      <c r="O290" s="62" t="s">
        <v>3602</v>
      </c>
      <c r="P290" s="62" t="s">
        <v>58501</v>
      </c>
      <c r="Q290" s="62" t="s">
        <v>3603</v>
      </c>
      <c r="R290" s="62" t="s">
        <v>3604</v>
      </c>
      <c r="S290" s="62" t="s">
        <v>3605</v>
      </c>
      <c r="U290" s="62" t="s">
        <v>3606</v>
      </c>
      <c r="V290" s="62" t="s">
        <v>58518</v>
      </c>
      <c r="W290" s="62" t="s">
        <v>3607</v>
      </c>
      <c r="X290" s="62" t="s">
        <v>3608</v>
      </c>
      <c r="Y290" s="62" t="s">
        <v>3609</v>
      </c>
      <c r="Z290" s="62" t="s">
        <v>3610</v>
      </c>
      <c r="AA290" s="62" t="s">
        <v>58535</v>
      </c>
      <c r="AB290" s="62" t="s">
        <v>3611</v>
      </c>
      <c r="AC290" s="62" t="s">
        <v>3612</v>
      </c>
      <c r="AD290" s="62" t="s">
        <v>3613</v>
      </c>
    </row>
    <row r="291" spans="1:30" x14ac:dyDescent="0.25">
      <c r="A291" s="62" t="s">
        <v>109</v>
      </c>
      <c r="C291" s="62" t="s">
        <v>3614</v>
      </c>
      <c r="F291" s="62" t="s">
        <v>1299</v>
      </c>
      <c r="G291" s="62" t="s">
        <v>58468</v>
      </c>
      <c r="J291" s="62" t="s">
        <v>3615</v>
      </c>
      <c r="K291" s="62" t="s">
        <v>58485</v>
      </c>
      <c r="L291" s="62" t="s">
        <v>3616</v>
      </c>
      <c r="M291" s="62" t="s">
        <v>3617</v>
      </c>
      <c r="N291" s="62" t="s">
        <v>3618</v>
      </c>
      <c r="O291" s="62" t="s">
        <v>3619</v>
      </c>
      <c r="P291" s="62" t="s">
        <v>58502</v>
      </c>
      <c r="Q291" s="62" t="s">
        <v>3620</v>
      </c>
      <c r="R291" s="62" t="s">
        <v>3621</v>
      </c>
      <c r="S291" s="62" t="s">
        <v>3622</v>
      </c>
      <c r="U291" s="62" t="s">
        <v>3623</v>
      </c>
      <c r="V291" s="62" t="s">
        <v>58519</v>
      </c>
      <c r="W291" s="62" t="s">
        <v>3624</v>
      </c>
      <c r="X291" s="62" t="s">
        <v>3625</v>
      </c>
      <c r="Y291" s="62" t="s">
        <v>3626</v>
      </c>
      <c r="Z291" s="62" t="s">
        <v>3627</v>
      </c>
      <c r="AA291" s="62" t="s">
        <v>58536</v>
      </c>
      <c r="AB291" s="62" t="s">
        <v>3628</v>
      </c>
      <c r="AC291" s="62" t="s">
        <v>3629</v>
      </c>
      <c r="AD291" s="62" t="s">
        <v>3630</v>
      </c>
    </row>
    <row r="292" spans="1:30" x14ac:dyDescent="0.25">
      <c r="A292" s="62" t="s">
        <v>109</v>
      </c>
      <c r="C292" s="62" t="s">
        <v>3359</v>
      </c>
    </row>
    <row r="293" spans="1:30" x14ac:dyDescent="0.25">
      <c r="A293" s="62" t="s">
        <v>109</v>
      </c>
      <c r="C293" s="62" t="s">
        <v>3631</v>
      </c>
      <c r="G293" s="62" t="s">
        <v>3632</v>
      </c>
      <c r="J293" s="62" t="s">
        <v>40355</v>
      </c>
      <c r="K293" s="62" t="s">
        <v>40356</v>
      </c>
      <c r="L293" s="62" t="s">
        <v>40357</v>
      </c>
      <c r="M293" s="62" t="s">
        <v>3633</v>
      </c>
      <c r="N293" s="62" t="s">
        <v>3634</v>
      </c>
      <c r="O293" s="62" t="s">
        <v>40358</v>
      </c>
      <c r="P293" s="62" t="s">
        <v>40359</v>
      </c>
      <c r="Q293" s="62" t="s">
        <v>40360</v>
      </c>
      <c r="R293" s="62" t="s">
        <v>3635</v>
      </c>
      <c r="S293" s="62" t="s">
        <v>3636</v>
      </c>
      <c r="U293" s="62" t="s">
        <v>40361</v>
      </c>
      <c r="V293" s="62" t="s">
        <v>40362</v>
      </c>
      <c r="W293" s="62" t="s">
        <v>40363</v>
      </c>
      <c r="X293" s="62" t="s">
        <v>3637</v>
      </c>
      <c r="Y293" s="62" t="s">
        <v>3638</v>
      </c>
      <c r="Z293" s="62" t="s">
        <v>40364</v>
      </c>
      <c r="AA293" s="62" t="s">
        <v>40365</v>
      </c>
      <c r="AB293" s="62" t="s">
        <v>40366</v>
      </c>
      <c r="AC293" s="62" t="s">
        <v>3639</v>
      </c>
      <c r="AD293" s="62" t="s">
        <v>3640</v>
      </c>
    </row>
    <row r="294" spans="1:30" x14ac:dyDescent="0.25">
      <c r="A294" s="62" t="s">
        <v>109</v>
      </c>
    </row>
    <row r="295" spans="1:30" x14ac:dyDescent="0.25">
      <c r="A295" s="62" t="s">
        <v>109</v>
      </c>
      <c r="C295" s="62" t="s">
        <v>3641</v>
      </c>
      <c r="E295" s="62" t="s">
        <v>925</v>
      </c>
      <c r="G295" s="62" t="s">
        <v>3642</v>
      </c>
    </row>
    <row r="296" spans="1:30" x14ac:dyDescent="0.25">
      <c r="A296" s="62" t="s">
        <v>109</v>
      </c>
      <c r="C296" s="62" t="s">
        <v>3643</v>
      </c>
    </row>
    <row r="297" spans="1:30" x14ac:dyDescent="0.25">
      <c r="A297" s="62" t="s">
        <v>109</v>
      </c>
      <c r="C297" s="62" t="s">
        <v>3644</v>
      </c>
      <c r="F297" s="62" t="s">
        <v>3645</v>
      </c>
      <c r="G297" s="62" t="s">
        <v>58387</v>
      </c>
      <c r="J297" s="62" t="s">
        <v>3646</v>
      </c>
      <c r="K297" s="62" t="s">
        <v>58400</v>
      </c>
      <c r="L297" s="62" t="s">
        <v>3647</v>
      </c>
      <c r="M297" s="62" t="s">
        <v>3648</v>
      </c>
      <c r="N297" s="62" t="s">
        <v>3649</v>
      </c>
      <c r="O297" s="62" t="s">
        <v>3650</v>
      </c>
      <c r="P297" s="62" t="s">
        <v>58413</v>
      </c>
      <c r="Q297" s="62" t="s">
        <v>3651</v>
      </c>
      <c r="R297" s="62" t="s">
        <v>3652</v>
      </c>
      <c r="S297" s="62" t="s">
        <v>3653</v>
      </c>
      <c r="U297" s="62" t="s">
        <v>3654</v>
      </c>
      <c r="V297" s="62" t="s">
        <v>58426</v>
      </c>
      <c r="W297" s="62" t="s">
        <v>3655</v>
      </c>
      <c r="X297" s="62" t="s">
        <v>3656</v>
      </c>
      <c r="Y297" s="62" t="s">
        <v>3657</v>
      </c>
      <c r="Z297" s="62" t="s">
        <v>3658</v>
      </c>
      <c r="AA297" s="62" t="s">
        <v>58439</v>
      </c>
      <c r="AB297" s="62" t="s">
        <v>3659</v>
      </c>
      <c r="AC297" s="62" t="s">
        <v>3660</v>
      </c>
      <c r="AD297" s="62" t="s">
        <v>3661</v>
      </c>
    </row>
    <row r="298" spans="1:30" x14ac:dyDescent="0.25">
      <c r="A298" s="62" t="s">
        <v>109</v>
      </c>
      <c r="C298" s="62" t="s">
        <v>3662</v>
      </c>
      <c r="F298" s="62" t="s">
        <v>827</v>
      </c>
      <c r="G298" s="62" t="s">
        <v>58388</v>
      </c>
      <c r="J298" s="62" t="s">
        <v>3663</v>
      </c>
      <c r="K298" s="62" t="s">
        <v>58401</v>
      </c>
      <c r="L298" s="62" t="s">
        <v>3664</v>
      </c>
      <c r="M298" s="62" t="s">
        <v>3665</v>
      </c>
      <c r="N298" s="62" t="s">
        <v>3666</v>
      </c>
      <c r="O298" s="62" t="s">
        <v>3667</v>
      </c>
      <c r="P298" s="62" t="s">
        <v>58414</v>
      </c>
      <c r="Q298" s="62" t="s">
        <v>3668</v>
      </c>
      <c r="R298" s="62" t="s">
        <v>3669</v>
      </c>
      <c r="S298" s="62" t="s">
        <v>3670</v>
      </c>
      <c r="U298" s="62" t="s">
        <v>3671</v>
      </c>
      <c r="V298" s="62" t="s">
        <v>58427</v>
      </c>
      <c r="W298" s="62" t="s">
        <v>3672</v>
      </c>
      <c r="X298" s="62" t="s">
        <v>3673</v>
      </c>
      <c r="Y298" s="62" t="s">
        <v>3674</v>
      </c>
      <c r="Z298" s="62" t="s">
        <v>3675</v>
      </c>
      <c r="AA298" s="62" t="s">
        <v>58440</v>
      </c>
      <c r="AB298" s="62" t="s">
        <v>3676</v>
      </c>
      <c r="AC298" s="62" t="s">
        <v>3677</v>
      </c>
      <c r="AD298" s="62" t="s">
        <v>3678</v>
      </c>
    </row>
    <row r="299" spans="1:30" x14ac:dyDescent="0.25">
      <c r="A299" s="62" t="s">
        <v>109</v>
      </c>
      <c r="C299" s="62" t="s">
        <v>3679</v>
      </c>
      <c r="F299" s="62" t="s">
        <v>872</v>
      </c>
      <c r="G299" s="62" t="s">
        <v>58389</v>
      </c>
      <c r="J299" s="62" t="s">
        <v>3680</v>
      </c>
      <c r="K299" s="62" t="s">
        <v>58402</v>
      </c>
      <c r="L299" s="62" t="s">
        <v>3681</v>
      </c>
      <c r="M299" s="62" t="s">
        <v>3682</v>
      </c>
      <c r="N299" s="62" t="s">
        <v>3683</v>
      </c>
      <c r="O299" s="62" t="s">
        <v>3684</v>
      </c>
      <c r="P299" s="62" t="s">
        <v>58415</v>
      </c>
      <c r="Q299" s="62" t="s">
        <v>3685</v>
      </c>
      <c r="R299" s="62" t="s">
        <v>3686</v>
      </c>
      <c r="S299" s="62" t="s">
        <v>3687</v>
      </c>
      <c r="U299" s="62" t="s">
        <v>3688</v>
      </c>
      <c r="V299" s="62" t="s">
        <v>58428</v>
      </c>
      <c r="W299" s="62" t="s">
        <v>3689</v>
      </c>
      <c r="X299" s="62" t="s">
        <v>3690</v>
      </c>
      <c r="Y299" s="62" t="s">
        <v>3691</v>
      </c>
      <c r="Z299" s="62" t="s">
        <v>3692</v>
      </c>
      <c r="AA299" s="62" t="s">
        <v>58441</v>
      </c>
      <c r="AB299" s="62" t="s">
        <v>3693</v>
      </c>
      <c r="AC299" s="62" t="s">
        <v>3694</v>
      </c>
      <c r="AD299" s="62" t="s">
        <v>3695</v>
      </c>
    </row>
    <row r="300" spans="1:30" x14ac:dyDescent="0.25">
      <c r="A300" s="62" t="s">
        <v>109</v>
      </c>
      <c r="C300" s="62" t="s">
        <v>3696</v>
      </c>
      <c r="F300" s="62" t="s">
        <v>889</v>
      </c>
      <c r="G300" s="62" t="s">
        <v>58390</v>
      </c>
      <c r="J300" s="62" t="s">
        <v>3697</v>
      </c>
      <c r="K300" s="62" t="s">
        <v>58403</v>
      </c>
      <c r="L300" s="62" t="s">
        <v>3698</v>
      </c>
      <c r="M300" s="62" t="s">
        <v>3699</v>
      </c>
      <c r="N300" s="62" t="s">
        <v>3700</v>
      </c>
      <c r="O300" s="62" t="s">
        <v>3701</v>
      </c>
      <c r="P300" s="62" t="s">
        <v>58416</v>
      </c>
      <c r="Q300" s="62" t="s">
        <v>3702</v>
      </c>
      <c r="R300" s="62" t="s">
        <v>3703</v>
      </c>
      <c r="S300" s="62" t="s">
        <v>3704</v>
      </c>
      <c r="U300" s="62" t="s">
        <v>3705</v>
      </c>
      <c r="V300" s="62" t="s">
        <v>58429</v>
      </c>
      <c r="W300" s="62" t="s">
        <v>3706</v>
      </c>
      <c r="X300" s="62" t="s">
        <v>3707</v>
      </c>
      <c r="Y300" s="62" t="s">
        <v>3708</v>
      </c>
      <c r="Z300" s="62" t="s">
        <v>3709</v>
      </c>
      <c r="AA300" s="62" t="s">
        <v>58442</v>
      </c>
      <c r="AB300" s="62" t="s">
        <v>3710</v>
      </c>
      <c r="AC300" s="62" t="s">
        <v>3711</v>
      </c>
      <c r="AD300" s="62" t="s">
        <v>3712</v>
      </c>
    </row>
    <row r="301" spans="1:30" x14ac:dyDescent="0.25">
      <c r="A301" s="62" t="s">
        <v>109</v>
      </c>
      <c r="C301" s="62" t="s">
        <v>3713</v>
      </c>
      <c r="F301" s="62" t="s">
        <v>976</v>
      </c>
      <c r="G301" s="62" t="s">
        <v>58391</v>
      </c>
      <c r="J301" s="62" t="s">
        <v>3714</v>
      </c>
      <c r="K301" s="62" t="s">
        <v>58404</v>
      </c>
      <c r="L301" s="62" t="s">
        <v>3715</v>
      </c>
      <c r="M301" s="62" t="s">
        <v>3716</v>
      </c>
      <c r="N301" s="62" t="s">
        <v>3717</v>
      </c>
      <c r="O301" s="62" t="s">
        <v>3718</v>
      </c>
      <c r="P301" s="62" t="s">
        <v>58417</v>
      </c>
      <c r="Q301" s="62" t="s">
        <v>3719</v>
      </c>
      <c r="R301" s="62" t="s">
        <v>3720</v>
      </c>
      <c r="S301" s="62" t="s">
        <v>3721</v>
      </c>
      <c r="U301" s="62" t="s">
        <v>3722</v>
      </c>
      <c r="V301" s="62" t="s">
        <v>58430</v>
      </c>
      <c r="W301" s="62" t="s">
        <v>3723</v>
      </c>
      <c r="X301" s="62" t="s">
        <v>3724</v>
      </c>
      <c r="Y301" s="62" t="s">
        <v>3725</v>
      </c>
      <c r="Z301" s="62" t="s">
        <v>3726</v>
      </c>
      <c r="AA301" s="62" t="s">
        <v>58443</v>
      </c>
      <c r="AB301" s="62" t="s">
        <v>3727</v>
      </c>
      <c r="AC301" s="62" t="s">
        <v>3728</v>
      </c>
      <c r="AD301" s="62" t="s">
        <v>3729</v>
      </c>
    </row>
    <row r="302" spans="1:30" x14ac:dyDescent="0.25">
      <c r="A302" s="62" t="s">
        <v>109</v>
      </c>
      <c r="C302" s="62" t="s">
        <v>3730</v>
      </c>
      <c r="F302" s="62" t="s">
        <v>1047</v>
      </c>
      <c r="G302" s="62" t="s">
        <v>58392</v>
      </c>
      <c r="J302" s="62" t="s">
        <v>3731</v>
      </c>
      <c r="K302" s="62" t="s">
        <v>58405</v>
      </c>
      <c r="L302" s="62" t="s">
        <v>3732</v>
      </c>
      <c r="M302" s="62" t="s">
        <v>3733</v>
      </c>
      <c r="N302" s="62" t="s">
        <v>3734</v>
      </c>
      <c r="O302" s="62" t="s">
        <v>3735</v>
      </c>
      <c r="P302" s="62" t="s">
        <v>58418</v>
      </c>
      <c r="Q302" s="62" t="s">
        <v>3736</v>
      </c>
      <c r="R302" s="62" t="s">
        <v>3737</v>
      </c>
      <c r="S302" s="62" t="s">
        <v>3738</v>
      </c>
      <c r="U302" s="62" t="s">
        <v>3739</v>
      </c>
      <c r="V302" s="62" t="s">
        <v>58431</v>
      </c>
      <c r="W302" s="62" t="s">
        <v>3740</v>
      </c>
      <c r="X302" s="62" t="s">
        <v>3741</v>
      </c>
      <c r="Y302" s="62" t="s">
        <v>3742</v>
      </c>
      <c r="Z302" s="62" t="s">
        <v>3743</v>
      </c>
      <c r="AA302" s="62" t="s">
        <v>58444</v>
      </c>
      <c r="AB302" s="62" t="s">
        <v>3744</v>
      </c>
      <c r="AC302" s="62" t="s">
        <v>3745</v>
      </c>
      <c r="AD302" s="62" t="s">
        <v>3746</v>
      </c>
    </row>
    <row r="303" spans="1:30" x14ac:dyDescent="0.25">
      <c r="A303" s="62" t="s">
        <v>109</v>
      </c>
      <c r="C303" s="62" t="s">
        <v>3747</v>
      </c>
      <c r="F303" s="62" t="s">
        <v>1064</v>
      </c>
      <c r="G303" s="62" t="s">
        <v>58393</v>
      </c>
      <c r="J303" s="62" t="s">
        <v>3748</v>
      </c>
      <c r="K303" s="62" t="s">
        <v>58406</v>
      </c>
      <c r="L303" s="62" t="s">
        <v>3749</v>
      </c>
      <c r="M303" s="62" t="s">
        <v>3750</v>
      </c>
      <c r="N303" s="62" t="s">
        <v>3751</v>
      </c>
      <c r="O303" s="62" t="s">
        <v>3752</v>
      </c>
      <c r="P303" s="62" t="s">
        <v>58419</v>
      </c>
      <c r="Q303" s="62" t="s">
        <v>3753</v>
      </c>
      <c r="R303" s="62" t="s">
        <v>3754</v>
      </c>
      <c r="S303" s="62" t="s">
        <v>3755</v>
      </c>
      <c r="U303" s="62" t="s">
        <v>3756</v>
      </c>
      <c r="V303" s="62" t="s">
        <v>58432</v>
      </c>
      <c r="W303" s="62" t="s">
        <v>3757</v>
      </c>
      <c r="X303" s="62" t="s">
        <v>3758</v>
      </c>
      <c r="Y303" s="62" t="s">
        <v>3759</v>
      </c>
      <c r="Z303" s="62" t="s">
        <v>3760</v>
      </c>
      <c r="AA303" s="62" t="s">
        <v>58445</v>
      </c>
      <c r="AB303" s="62" t="s">
        <v>3761</v>
      </c>
      <c r="AC303" s="62" t="s">
        <v>3762</v>
      </c>
      <c r="AD303" s="62" t="s">
        <v>3763</v>
      </c>
    </row>
    <row r="304" spans="1:30" x14ac:dyDescent="0.25">
      <c r="A304" s="62" t="s">
        <v>109</v>
      </c>
      <c r="C304" s="62" t="s">
        <v>3764</v>
      </c>
      <c r="F304" s="62" t="s">
        <v>1090</v>
      </c>
      <c r="G304" s="62" t="s">
        <v>58394</v>
      </c>
      <c r="J304" s="62" t="s">
        <v>3765</v>
      </c>
      <c r="K304" s="62" t="s">
        <v>58407</v>
      </c>
      <c r="L304" s="62" t="s">
        <v>3766</v>
      </c>
      <c r="M304" s="62" t="s">
        <v>3767</v>
      </c>
      <c r="N304" s="62" t="s">
        <v>3768</v>
      </c>
      <c r="O304" s="62" t="s">
        <v>3769</v>
      </c>
      <c r="P304" s="62" t="s">
        <v>58420</v>
      </c>
      <c r="Q304" s="62" t="s">
        <v>3770</v>
      </c>
      <c r="R304" s="62" t="s">
        <v>3771</v>
      </c>
      <c r="S304" s="62" t="s">
        <v>3772</v>
      </c>
      <c r="U304" s="62" t="s">
        <v>3773</v>
      </c>
      <c r="V304" s="62" t="s">
        <v>58433</v>
      </c>
      <c r="W304" s="62" t="s">
        <v>3774</v>
      </c>
      <c r="X304" s="62" t="s">
        <v>3775</v>
      </c>
      <c r="Y304" s="62" t="s">
        <v>3776</v>
      </c>
      <c r="Z304" s="62" t="s">
        <v>3777</v>
      </c>
      <c r="AA304" s="62" t="s">
        <v>58446</v>
      </c>
      <c r="AB304" s="62" t="s">
        <v>3778</v>
      </c>
      <c r="AC304" s="62" t="s">
        <v>3779</v>
      </c>
      <c r="AD304" s="62" t="s">
        <v>3780</v>
      </c>
    </row>
    <row r="305" spans="1:30" x14ac:dyDescent="0.25">
      <c r="A305" s="62" t="s">
        <v>109</v>
      </c>
      <c r="C305" s="62" t="s">
        <v>3781</v>
      </c>
      <c r="F305" s="62" t="s">
        <v>1135</v>
      </c>
      <c r="G305" s="62" t="s">
        <v>58395</v>
      </c>
      <c r="J305" s="62" t="s">
        <v>3782</v>
      </c>
      <c r="K305" s="62" t="s">
        <v>58408</v>
      </c>
      <c r="L305" s="62" t="s">
        <v>3783</v>
      </c>
      <c r="M305" s="62" t="s">
        <v>3784</v>
      </c>
      <c r="N305" s="62" t="s">
        <v>3785</v>
      </c>
      <c r="O305" s="62" t="s">
        <v>3786</v>
      </c>
      <c r="P305" s="62" t="s">
        <v>58421</v>
      </c>
      <c r="Q305" s="62" t="s">
        <v>3787</v>
      </c>
      <c r="R305" s="62" t="s">
        <v>3788</v>
      </c>
      <c r="S305" s="62" t="s">
        <v>3789</v>
      </c>
      <c r="U305" s="62" t="s">
        <v>3790</v>
      </c>
      <c r="V305" s="62" t="s">
        <v>58434</v>
      </c>
      <c r="W305" s="62" t="s">
        <v>3791</v>
      </c>
      <c r="X305" s="62" t="s">
        <v>3792</v>
      </c>
      <c r="Y305" s="62" t="s">
        <v>3793</v>
      </c>
      <c r="Z305" s="62" t="s">
        <v>3794</v>
      </c>
      <c r="AA305" s="62" t="s">
        <v>58447</v>
      </c>
      <c r="AB305" s="62" t="s">
        <v>3795</v>
      </c>
      <c r="AC305" s="62" t="s">
        <v>3796</v>
      </c>
      <c r="AD305" s="62" t="s">
        <v>3797</v>
      </c>
    </row>
    <row r="306" spans="1:30" x14ac:dyDescent="0.25">
      <c r="A306" s="62" t="s">
        <v>109</v>
      </c>
      <c r="C306" s="62" t="s">
        <v>3798</v>
      </c>
      <c r="F306" s="62" t="s">
        <v>1206</v>
      </c>
      <c r="G306" s="62" t="s">
        <v>58396</v>
      </c>
      <c r="J306" s="62" t="s">
        <v>3800</v>
      </c>
      <c r="K306" s="62" t="s">
        <v>58409</v>
      </c>
      <c r="L306" s="62" t="s">
        <v>3801</v>
      </c>
      <c r="M306" s="62" t="s">
        <v>3802</v>
      </c>
      <c r="N306" s="62" t="s">
        <v>3803</v>
      </c>
      <c r="O306" s="62" t="s">
        <v>3804</v>
      </c>
      <c r="P306" s="62" t="s">
        <v>58422</v>
      </c>
      <c r="Q306" s="62" t="s">
        <v>3805</v>
      </c>
      <c r="R306" s="62" t="s">
        <v>3806</v>
      </c>
      <c r="S306" s="62" t="s">
        <v>3807</v>
      </c>
      <c r="U306" s="62" t="s">
        <v>3808</v>
      </c>
      <c r="V306" s="62" t="s">
        <v>58435</v>
      </c>
      <c r="W306" s="62" t="s">
        <v>3809</v>
      </c>
      <c r="X306" s="62" t="s">
        <v>3810</v>
      </c>
      <c r="Y306" s="62" t="s">
        <v>3811</v>
      </c>
      <c r="Z306" s="62" t="s">
        <v>3812</v>
      </c>
      <c r="AA306" s="62" t="s">
        <v>58448</v>
      </c>
      <c r="AB306" s="62" t="s">
        <v>3813</v>
      </c>
      <c r="AC306" s="62" t="s">
        <v>3814</v>
      </c>
      <c r="AD306" s="62" t="s">
        <v>3815</v>
      </c>
    </row>
    <row r="307" spans="1:30" x14ac:dyDescent="0.25">
      <c r="A307" s="62" t="s">
        <v>109</v>
      </c>
      <c r="C307" s="62" t="s">
        <v>3816</v>
      </c>
      <c r="F307" s="62" t="s">
        <v>1240</v>
      </c>
      <c r="G307" s="62" t="s">
        <v>58397</v>
      </c>
      <c r="J307" s="62" t="s">
        <v>3817</v>
      </c>
      <c r="K307" s="62" t="s">
        <v>58410</v>
      </c>
      <c r="L307" s="62" t="s">
        <v>3818</v>
      </c>
      <c r="M307" s="62" t="s">
        <v>3819</v>
      </c>
      <c r="N307" s="62" t="s">
        <v>3820</v>
      </c>
      <c r="O307" s="62" t="s">
        <v>3821</v>
      </c>
      <c r="P307" s="62" t="s">
        <v>58423</v>
      </c>
      <c r="Q307" s="62" t="s">
        <v>3822</v>
      </c>
      <c r="R307" s="62" t="s">
        <v>3823</v>
      </c>
      <c r="S307" s="62" t="s">
        <v>3824</v>
      </c>
      <c r="U307" s="62" t="s">
        <v>3825</v>
      </c>
      <c r="V307" s="62" t="s">
        <v>58436</v>
      </c>
      <c r="W307" s="62" t="s">
        <v>3826</v>
      </c>
      <c r="X307" s="62" t="s">
        <v>3827</v>
      </c>
      <c r="Y307" s="62" t="s">
        <v>3828</v>
      </c>
      <c r="Z307" s="62" t="s">
        <v>3829</v>
      </c>
      <c r="AA307" s="62" t="s">
        <v>58449</v>
      </c>
      <c r="AB307" s="62" t="s">
        <v>3830</v>
      </c>
      <c r="AC307" s="62" t="s">
        <v>3831</v>
      </c>
      <c r="AD307" s="62" t="s">
        <v>3832</v>
      </c>
    </row>
    <row r="308" spans="1:30" x14ac:dyDescent="0.25">
      <c r="A308" s="62" t="s">
        <v>109</v>
      </c>
      <c r="C308" s="62" t="s">
        <v>3833</v>
      </c>
      <c r="F308" s="62" t="s">
        <v>1289</v>
      </c>
      <c r="G308" s="62" t="s">
        <v>58398</v>
      </c>
      <c r="J308" s="62" t="s">
        <v>3834</v>
      </c>
      <c r="K308" s="62" t="s">
        <v>58411</v>
      </c>
      <c r="L308" s="62" t="s">
        <v>3835</v>
      </c>
      <c r="M308" s="62" t="s">
        <v>3836</v>
      </c>
      <c r="N308" s="62" t="s">
        <v>3837</v>
      </c>
      <c r="O308" s="62" t="s">
        <v>3838</v>
      </c>
      <c r="P308" s="62" t="s">
        <v>58424</v>
      </c>
      <c r="Q308" s="62" t="s">
        <v>3839</v>
      </c>
      <c r="R308" s="62" t="s">
        <v>3840</v>
      </c>
      <c r="S308" s="62" t="s">
        <v>3841</v>
      </c>
      <c r="U308" s="62" t="s">
        <v>3842</v>
      </c>
      <c r="V308" s="62" t="s">
        <v>58437</v>
      </c>
      <c r="W308" s="62" t="s">
        <v>3843</v>
      </c>
      <c r="X308" s="62" t="s">
        <v>3844</v>
      </c>
      <c r="Y308" s="62" t="s">
        <v>3845</v>
      </c>
      <c r="Z308" s="62" t="s">
        <v>3846</v>
      </c>
      <c r="AA308" s="62" t="s">
        <v>58450</v>
      </c>
      <c r="AB308" s="62" t="s">
        <v>3847</v>
      </c>
      <c r="AC308" s="62" t="s">
        <v>3848</v>
      </c>
      <c r="AD308" s="62" t="s">
        <v>3849</v>
      </c>
    </row>
    <row r="309" spans="1:30" x14ac:dyDescent="0.25">
      <c r="A309" s="62" t="s">
        <v>109</v>
      </c>
      <c r="C309" s="62" t="s">
        <v>3850</v>
      </c>
      <c r="F309" s="62" t="s">
        <v>1797</v>
      </c>
      <c r="G309" s="62" t="s">
        <v>58399</v>
      </c>
      <c r="J309" s="62" t="s">
        <v>3851</v>
      </c>
      <c r="K309" s="62" t="s">
        <v>58412</v>
      </c>
      <c r="L309" s="62" t="s">
        <v>3852</v>
      </c>
      <c r="M309" s="62" t="s">
        <v>3853</v>
      </c>
      <c r="N309" s="62" t="s">
        <v>3854</v>
      </c>
      <c r="O309" s="62" t="s">
        <v>3855</v>
      </c>
      <c r="P309" s="62" t="s">
        <v>58425</v>
      </c>
      <c r="Q309" s="62" t="s">
        <v>3856</v>
      </c>
      <c r="R309" s="62" t="s">
        <v>3857</v>
      </c>
      <c r="S309" s="62" t="s">
        <v>3858</v>
      </c>
      <c r="U309" s="62" t="s">
        <v>3859</v>
      </c>
      <c r="V309" s="62" t="s">
        <v>58438</v>
      </c>
      <c r="W309" s="62" t="s">
        <v>3860</v>
      </c>
      <c r="X309" s="62" t="s">
        <v>3861</v>
      </c>
      <c r="Y309" s="62" t="s">
        <v>3862</v>
      </c>
      <c r="Z309" s="62" t="s">
        <v>3863</v>
      </c>
      <c r="AA309" s="62" t="s">
        <v>58451</v>
      </c>
      <c r="AB309" s="62" t="s">
        <v>3864</v>
      </c>
      <c r="AC309" s="62" t="s">
        <v>3865</v>
      </c>
      <c r="AD309" s="62" t="s">
        <v>3866</v>
      </c>
    </row>
    <row r="310" spans="1:30" x14ac:dyDescent="0.25">
      <c r="A310" s="62" t="s">
        <v>109</v>
      </c>
      <c r="C310" s="62" t="s">
        <v>3662</v>
      </c>
    </row>
    <row r="311" spans="1:30" x14ac:dyDescent="0.25">
      <c r="A311" s="62" t="s">
        <v>109</v>
      </c>
      <c r="C311" s="62" t="s">
        <v>3867</v>
      </c>
      <c r="G311" s="62" t="s">
        <v>40367</v>
      </c>
      <c r="J311" s="62" t="s">
        <v>40368</v>
      </c>
      <c r="K311" s="62" t="s">
        <v>40369</v>
      </c>
      <c r="L311" s="62" t="s">
        <v>40370</v>
      </c>
      <c r="M311" s="62" t="s">
        <v>3868</v>
      </c>
      <c r="N311" s="62" t="s">
        <v>3869</v>
      </c>
      <c r="O311" s="62" t="s">
        <v>40371</v>
      </c>
      <c r="P311" s="62" t="s">
        <v>40372</v>
      </c>
      <c r="Q311" s="62" t="s">
        <v>40373</v>
      </c>
      <c r="R311" s="62" t="s">
        <v>3870</v>
      </c>
      <c r="S311" s="62" t="s">
        <v>3871</v>
      </c>
      <c r="U311" s="62" t="s">
        <v>40374</v>
      </c>
      <c r="V311" s="62" t="s">
        <v>40375</v>
      </c>
      <c r="W311" s="62" t="s">
        <v>40376</v>
      </c>
      <c r="X311" s="62" t="s">
        <v>3872</v>
      </c>
      <c r="Y311" s="62" t="s">
        <v>3873</v>
      </c>
      <c r="Z311" s="62" t="s">
        <v>40377</v>
      </c>
      <c r="AA311" s="62" t="s">
        <v>40378</v>
      </c>
      <c r="AB311" s="62" t="s">
        <v>40379</v>
      </c>
      <c r="AC311" s="62" t="s">
        <v>3874</v>
      </c>
      <c r="AD311" s="62" t="s">
        <v>3875</v>
      </c>
    </row>
    <row r="312" spans="1:30" x14ac:dyDescent="0.25">
      <c r="A312" s="62" t="s">
        <v>109</v>
      </c>
    </row>
    <row r="313" spans="1:30" x14ac:dyDescent="0.25">
      <c r="A313" s="62" t="s">
        <v>109</v>
      </c>
      <c r="C313" s="62" t="s">
        <v>40380</v>
      </c>
      <c r="E313" s="62" t="s">
        <v>943</v>
      </c>
      <c r="G313" s="62" t="s">
        <v>40381</v>
      </c>
    </row>
    <row r="314" spans="1:30" x14ac:dyDescent="0.25">
      <c r="A314" s="62" t="s">
        <v>109</v>
      </c>
      <c r="C314" s="62" t="s">
        <v>3876</v>
      </c>
    </row>
    <row r="315" spans="1:30" x14ac:dyDescent="0.25">
      <c r="A315" s="62" t="s">
        <v>109</v>
      </c>
      <c r="C315" s="62" t="s">
        <v>40382</v>
      </c>
      <c r="F315" s="62" t="s">
        <v>40383</v>
      </c>
      <c r="G315" s="62" t="s">
        <v>58237</v>
      </c>
      <c r="J315" s="62" t="s">
        <v>40384</v>
      </c>
      <c r="K315" s="62" t="s">
        <v>58267</v>
      </c>
      <c r="L315" s="62" t="s">
        <v>40385</v>
      </c>
      <c r="M315" s="62" t="s">
        <v>40386</v>
      </c>
      <c r="N315" s="62" t="s">
        <v>40387</v>
      </c>
      <c r="O315" s="62" t="s">
        <v>40388</v>
      </c>
      <c r="P315" s="62" t="s">
        <v>58297</v>
      </c>
      <c r="Q315" s="62" t="s">
        <v>40389</v>
      </c>
      <c r="R315" s="62" t="s">
        <v>40390</v>
      </c>
      <c r="S315" s="62" t="s">
        <v>40391</v>
      </c>
      <c r="U315" s="62" t="s">
        <v>40392</v>
      </c>
      <c r="V315" s="62" t="s">
        <v>58327</v>
      </c>
      <c r="W315" s="62" t="s">
        <v>40393</v>
      </c>
      <c r="X315" s="62" t="s">
        <v>40394</v>
      </c>
      <c r="Y315" s="62" t="s">
        <v>40395</v>
      </c>
      <c r="Z315" s="62" t="s">
        <v>40396</v>
      </c>
      <c r="AA315" s="62" t="s">
        <v>58357</v>
      </c>
      <c r="AB315" s="62" t="s">
        <v>40397</v>
      </c>
      <c r="AC315" s="62" t="s">
        <v>40398</v>
      </c>
      <c r="AD315" s="62" t="s">
        <v>40399</v>
      </c>
    </row>
    <row r="316" spans="1:30" x14ac:dyDescent="0.25">
      <c r="A316" s="62" t="s">
        <v>109</v>
      </c>
      <c r="C316" s="62" t="s">
        <v>40400</v>
      </c>
      <c r="F316" s="62" t="s">
        <v>748</v>
      </c>
      <c r="G316" s="62" t="s">
        <v>58238</v>
      </c>
      <c r="J316" s="62" t="s">
        <v>40401</v>
      </c>
      <c r="K316" s="62" t="s">
        <v>58268</v>
      </c>
      <c r="L316" s="62" t="s">
        <v>40402</v>
      </c>
      <c r="M316" s="62" t="s">
        <v>40403</v>
      </c>
      <c r="N316" s="62" t="s">
        <v>40404</v>
      </c>
      <c r="O316" s="62" t="s">
        <v>40405</v>
      </c>
      <c r="P316" s="62" t="s">
        <v>58298</v>
      </c>
      <c r="Q316" s="62" t="s">
        <v>40406</v>
      </c>
      <c r="R316" s="62" t="s">
        <v>40407</v>
      </c>
      <c r="S316" s="62" t="s">
        <v>40408</v>
      </c>
      <c r="U316" s="62" t="s">
        <v>40409</v>
      </c>
      <c r="V316" s="62" t="s">
        <v>58328</v>
      </c>
      <c r="W316" s="62" t="s">
        <v>40410</v>
      </c>
      <c r="X316" s="62" t="s">
        <v>40411</v>
      </c>
      <c r="Y316" s="62" t="s">
        <v>40412</v>
      </c>
      <c r="Z316" s="62" t="s">
        <v>40413</v>
      </c>
      <c r="AA316" s="62" t="s">
        <v>58358</v>
      </c>
      <c r="AB316" s="62" t="s">
        <v>40414</v>
      </c>
      <c r="AC316" s="62" t="s">
        <v>40415</v>
      </c>
      <c r="AD316" s="62" t="s">
        <v>40416</v>
      </c>
    </row>
    <row r="317" spans="1:30" x14ac:dyDescent="0.25">
      <c r="A317" s="62" t="s">
        <v>109</v>
      </c>
      <c r="C317" s="62" t="s">
        <v>3877</v>
      </c>
      <c r="F317" s="62" t="s">
        <v>758</v>
      </c>
      <c r="G317" s="62" t="s">
        <v>58239</v>
      </c>
      <c r="J317" s="62" t="s">
        <v>40417</v>
      </c>
      <c r="K317" s="62" t="s">
        <v>58269</v>
      </c>
      <c r="L317" s="62" t="s">
        <v>40418</v>
      </c>
      <c r="M317" s="62" t="s">
        <v>40419</v>
      </c>
      <c r="N317" s="62" t="s">
        <v>40420</v>
      </c>
      <c r="O317" s="62" t="s">
        <v>40421</v>
      </c>
      <c r="P317" s="62" t="s">
        <v>58299</v>
      </c>
      <c r="Q317" s="62" t="s">
        <v>40422</v>
      </c>
      <c r="R317" s="62" t="s">
        <v>40423</v>
      </c>
      <c r="S317" s="62" t="s">
        <v>40424</v>
      </c>
      <c r="U317" s="62" t="s">
        <v>40425</v>
      </c>
      <c r="V317" s="62" t="s">
        <v>58329</v>
      </c>
      <c r="W317" s="62" t="s">
        <v>40426</v>
      </c>
      <c r="X317" s="62" t="s">
        <v>40427</v>
      </c>
      <c r="Y317" s="62" t="s">
        <v>40428</v>
      </c>
      <c r="Z317" s="62" t="s">
        <v>40429</v>
      </c>
      <c r="AA317" s="62" t="s">
        <v>58359</v>
      </c>
      <c r="AB317" s="62" t="s">
        <v>40430</v>
      </c>
      <c r="AC317" s="62" t="s">
        <v>40431</v>
      </c>
      <c r="AD317" s="62" t="s">
        <v>40432</v>
      </c>
    </row>
    <row r="318" spans="1:30" x14ac:dyDescent="0.25">
      <c r="A318" s="62" t="s">
        <v>109</v>
      </c>
      <c r="C318" s="62" t="s">
        <v>3878</v>
      </c>
      <c r="F318" s="62" t="s">
        <v>2135</v>
      </c>
      <c r="G318" s="62" t="s">
        <v>58240</v>
      </c>
      <c r="J318" s="62" t="s">
        <v>3879</v>
      </c>
      <c r="K318" s="62" t="s">
        <v>58270</v>
      </c>
      <c r="L318" s="62" t="s">
        <v>3880</v>
      </c>
      <c r="M318" s="62" t="s">
        <v>3881</v>
      </c>
      <c r="N318" s="62" t="s">
        <v>3882</v>
      </c>
      <c r="O318" s="62" t="s">
        <v>3883</v>
      </c>
      <c r="P318" s="62" t="s">
        <v>58300</v>
      </c>
      <c r="Q318" s="62" t="s">
        <v>3884</v>
      </c>
      <c r="R318" s="62" t="s">
        <v>3885</v>
      </c>
      <c r="S318" s="62" t="s">
        <v>3886</v>
      </c>
      <c r="U318" s="62" t="s">
        <v>3887</v>
      </c>
      <c r="V318" s="62" t="s">
        <v>58330</v>
      </c>
      <c r="W318" s="62" t="s">
        <v>3888</v>
      </c>
      <c r="X318" s="62" t="s">
        <v>3889</v>
      </c>
      <c r="Y318" s="62" t="s">
        <v>3890</v>
      </c>
      <c r="Z318" s="62" t="s">
        <v>3891</v>
      </c>
      <c r="AA318" s="62" t="s">
        <v>58360</v>
      </c>
      <c r="AB318" s="62" t="s">
        <v>3892</v>
      </c>
      <c r="AC318" s="62" t="s">
        <v>3893</v>
      </c>
      <c r="AD318" s="62" t="s">
        <v>3894</v>
      </c>
    </row>
    <row r="319" spans="1:30" x14ac:dyDescent="0.25">
      <c r="A319" s="62" t="s">
        <v>109</v>
      </c>
      <c r="C319" s="62" t="s">
        <v>3895</v>
      </c>
      <c r="F319" s="62" t="s">
        <v>2153</v>
      </c>
      <c r="G319" s="62" t="s">
        <v>58241</v>
      </c>
      <c r="J319" s="62" t="s">
        <v>3896</v>
      </c>
      <c r="K319" s="62" t="s">
        <v>58271</v>
      </c>
      <c r="L319" s="62" t="s">
        <v>3897</v>
      </c>
      <c r="M319" s="62" t="s">
        <v>3898</v>
      </c>
      <c r="N319" s="62" t="s">
        <v>3899</v>
      </c>
      <c r="O319" s="62" t="s">
        <v>3900</v>
      </c>
      <c r="P319" s="62" t="s">
        <v>58301</v>
      </c>
      <c r="Q319" s="62" t="s">
        <v>3901</v>
      </c>
      <c r="R319" s="62" t="s">
        <v>3902</v>
      </c>
      <c r="S319" s="62" t="s">
        <v>3903</v>
      </c>
      <c r="U319" s="62" t="s">
        <v>3904</v>
      </c>
      <c r="V319" s="62" t="s">
        <v>58331</v>
      </c>
      <c r="W319" s="62" t="s">
        <v>3905</v>
      </c>
      <c r="X319" s="62" t="s">
        <v>3906</v>
      </c>
      <c r="Y319" s="62" t="s">
        <v>3907</v>
      </c>
      <c r="Z319" s="62" t="s">
        <v>3908</v>
      </c>
      <c r="AA319" s="62" t="s">
        <v>58361</v>
      </c>
      <c r="AB319" s="62" t="s">
        <v>3909</v>
      </c>
      <c r="AC319" s="62" t="s">
        <v>3910</v>
      </c>
      <c r="AD319" s="62" t="s">
        <v>3911</v>
      </c>
    </row>
    <row r="320" spans="1:30" x14ac:dyDescent="0.25">
      <c r="A320" s="62" t="s">
        <v>109</v>
      </c>
      <c r="C320" s="62" t="s">
        <v>3912</v>
      </c>
      <c r="F320" s="62" t="s">
        <v>2170</v>
      </c>
      <c r="G320" s="62" t="s">
        <v>58242</v>
      </c>
      <c r="J320" s="62" t="s">
        <v>3913</v>
      </c>
      <c r="K320" s="62" t="s">
        <v>58272</v>
      </c>
      <c r="L320" s="62" t="s">
        <v>3914</v>
      </c>
      <c r="M320" s="62" t="s">
        <v>3915</v>
      </c>
      <c r="N320" s="62" t="s">
        <v>3916</v>
      </c>
      <c r="O320" s="62" t="s">
        <v>3917</v>
      </c>
      <c r="P320" s="62" t="s">
        <v>58302</v>
      </c>
      <c r="Q320" s="62" t="s">
        <v>3918</v>
      </c>
      <c r="R320" s="62" t="s">
        <v>3919</v>
      </c>
      <c r="S320" s="62" t="s">
        <v>3920</v>
      </c>
      <c r="U320" s="62" t="s">
        <v>3921</v>
      </c>
      <c r="V320" s="62" t="s">
        <v>58332</v>
      </c>
      <c r="W320" s="62" t="s">
        <v>3922</v>
      </c>
      <c r="X320" s="62" t="s">
        <v>3923</v>
      </c>
      <c r="Y320" s="62" t="s">
        <v>3924</v>
      </c>
      <c r="Z320" s="62" t="s">
        <v>3925</v>
      </c>
      <c r="AA320" s="62" t="s">
        <v>58362</v>
      </c>
      <c r="AB320" s="62" t="s">
        <v>3926</v>
      </c>
      <c r="AC320" s="62" t="s">
        <v>3927</v>
      </c>
      <c r="AD320" s="62" t="s">
        <v>3928</v>
      </c>
    </row>
    <row r="321" spans="1:30" x14ac:dyDescent="0.25">
      <c r="A321" s="62" t="s">
        <v>109</v>
      </c>
      <c r="C321" s="62" t="s">
        <v>3929</v>
      </c>
      <c r="F321" s="62" t="s">
        <v>2187</v>
      </c>
      <c r="G321" s="62" t="s">
        <v>58243</v>
      </c>
      <c r="J321" s="62" t="s">
        <v>3930</v>
      </c>
      <c r="K321" s="62" t="s">
        <v>58273</v>
      </c>
      <c r="L321" s="62" t="s">
        <v>3931</v>
      </c>
      <c r="M321" s="62" t="s">
        <v>3932</v>
      </c>
      <c r="N321" s="62" t="s">
        <v>3933</v>
      </c>
      <c r="O321" s="62" t="s">
        <v>3934</v>
      </c>
      <c r="P321" s="62" t="s">
        <v>58303</v>
      </c>
      <c r="Q321" s="62" t="s">
        <v>3935</v>
      </c>
      <c r="R321" s="62" t="s">
        <v>3936</v>
      </c>
      <c r="S321" s="62" t="s">
        <v>3937</v>
      </c>
      <c r="U321" s="62" t="s">
        <v>3938</v>
      </c>
      <c r="V321" s="62" t="s">
        <v>58333</v>
      </c>
      <c r="W321" s="62" t="s">
        <v>3939</v>
      </c>
      <c r="X321" s="62" t="s">
        <v>3940</v>
      </c>
      <c r="Y321" s="62" t="s">
        <v>3941</v>
      </c>
      <c r="Z321" s="62" t="s">
        <v>3942</v>
      </c>
      <c r="AA321" s="62" t="s">
        <v>58363</v>
      </c>
      <c r="AB321" s="62" t="s">
        <v>3943</v>
      </c>
      <c r="AC321" s="62" t="s">
        <v>3944</v>
      </c>
      <c r="AD321" s="62" t="s">
        <v>3945</v>
      </c>
    </row>
    <row r="322" spans="1:30" x14ac:dyDescent="0.25">
      <c r="A322" s="62" t="s">
        <v>109</v>
      </c>
      <c r="C322" s="62" t="s">
        <v>3946</v>
      </c>
      <c r="F322" s="62" t="s">
        <v>176</v>
      </c>
      <c r="G322" s="62" t="s">
        <v>58244</v>
      </c>
      <c r="J322" s="62" t="s">
        <v>3947</v>
      </c>
      <c r="K322" s="62" t="s">
        <v>58274</v>
      </c>
      <c r="L322" s="62" t="s">
        <v>3948</v>
      </c>
      <c r="M322" s="62" t="s">
        <v>3949</v>
      </c>
      <c r="N322" s="62" t="s">
        <v>3950</v>
      </c>
      <c r="O322" s="62" t="s">
        <v>3951</v>
      </c>
      <c r="P322" s="62" t="s">
        <v>58304</v>
      </c>
      <c r="Q322" s="62" t="s">
        <v>3952</v>
      </c>
      <c r="R322" s="62" t="s">
        <v>3953</v>
      </c>
      <c r="S322" s="62" t="s">
        <v>3954</v>
      </c>
      <c r="U322" s="62" t="s">
        <v>3955</v>
      </c>
      <c r="V322" s="62" t="s">
        <v>58334</v>
      </c>
      <c r="W322" s="62" t="s">
        <v>3956</v>
      </c>
      <c r="X322" s="62" t="s">
        <v>3957</v>
      </c>
      <c r="Y322" s="62" t="s">
        <v>3958</v>
      </c>
      <c r="Z322" s="62" t="s">
        <v>3959</v>
      </c>
      <c r="AA322" s="62" t="s">
        <v>58364</v>
      </c>
      <c r="AB322" s="62" t="s">
        <v>3960</v>
      </c>
      <c r="AC322" s="62" t="s">
        <v>3961</v>
      </c>
      <c r="AD322" s="62" t="s">
        <v>3962</v>
      </c>
    </row>
    <row r="323" spans="1:30" x14ac:dyDescent="0.25">
      <c r="A323" s="62" t="s">
        <v>109</v>
      </c>
      <c r="C323" s="62" t="s">
        <v>3963</v>
      </c>
      <c r="F323" s="62" t="s">
        <v>976</v>
      </c>
      <c r="G323" s="62" t="s">
        <v>58245</v>
      </c>
      <c r="J323" s="62" t="s">
        <v>3964</v>
      </c>
      <c r="K323" s="62" t="s">
        <v>58275</v>
      </c>
      <c r="L323" s="62" t="s">
        <v>3965</v>
      </c>
      <c r="M323" s="62" t="s">
        <v>3966</v>
      </c>
      <c r="N323" s="62" t="s">
        <v>3967</v>
      </c>
      <c r="O323" s="62" t="s">
        <v>3968</v>
      </c>
      <c r="P323" s="62" t="s">
        <v>58305</v>
      </c>
      <c r="Q323" s="62" t="s">
        <v>3969</v>
      </c>
      <c r="R323" s="62" t="s">
        <v>3970</v>
      </c>
      <c r="S323" s="62" t="s">
        <v>3971</v>
      </c>
      <c r="U323" s="62" t="s">
        <v>3972</v>
      </c>
      <c r="V323" s="62" t="s">
        <v>58335</v>
      </c>
      <c r="W323" s="62" t="s">
        <v>3973</v>
      </c>
      <c r="X323" s="62" t="s">
        <v>3974</v>
      </c>
      <c r="Y323" s="62" t="s">
        <v>3975</v>
      </c>
      <c r="Z323" s="62" t="s">
        <v>3976</v>
      </c>
      <c r="AA323" s="62" t="s">
        <v>58365</v>
      </c>
      <c r="AB323" s="62" t="s">
        <v>3977</v>
      </c>
      <c r="AC323" s="62" t="s">
        <v>3978</v>
      </c>
      <c r="AD323" s="62" t="s">
        <v>3979</v>
      </c>
    </row>
    <row r="324" spans="1:30" x14ac:dyDescent="0.25">
      <c r="A324" s="62" t="s">
        <v>109</v>
      </c>
      <c r="C324" s="62" t="s">
        <v>3980</v>
      </c>
      <c r="F324" s="62" t="s">
        <v>2212</v>
      </c>
      <c r="G324" s="62" t="s">
        <v>58246</v>
      </c>
      <c r="J324" s="62" t="s">
        <v>3981</v>
      </c>
      <c r="K324" s="62" t="s">
        <v>58276</v>
      </c>
      <c r="L324" s="62" t="s">
        <v>3982</v>
      </c>
      <c r="M324" s="62" t="s">
        <v>3983</v>
      </c>
      <c r="N324" s="62" t="s">
        <v>3984</v>
      </c>
      <c r="O324" s="62" t="s">
        <v>3985</v>
      </c>
      <c r="P324" s="62" t="s">
        <v>58306</v>
      </c>
      <c r="Q324" s="62" t="s">
        <v>3986</v>
      </c>
      <c r="R324" s="62" t="s">
        <v>3987</v>
      </c>
      <c r="S324" s="62" t="s">
        <v>3988</v>
      </c>
      <c r="U324" s="62" t="s">
        <v>3989</v>
      </c>
      <c r="V324" s="62" t="s">
        <v>58336</v>
      </c>
      <c r="W324" s="62" t="s">
        <v>3990</v>
      </c>
      <c r="X324" s="62" t="s">
        <v>3991</v>
      </c>
      <c r="Y324" s="62" t="s">
        <v>3992</v>
      </c>
      <c r="Z324" s="62" t="s">
        <v>3993</v>
      </c>
      <c r="AA324" s="62" t="s">
        <v>58366</v>
      </c>
      <c r="AB324" s="62" t="s">
        <v>3994</v>
      </c>
      <c r="AC324" s="62" t="s">
        <v>3995</v>
      </c>
      <c r="AD324" s="62" t="s">
        <v>3996</v>
      </c>
    </row>
    <row r="325" spans="1:30" x14ac:dyDescent="0.25">
      <c r="A325" s="62" t="s">
        <v>109</v>
      </c>
      <c r="C325" s="62" t="s">
        <v>3997</v>
      </c>
      <c r="F325" s="62" t="s">
        <v>2405</v>
      </c>
      <c r="G325" s="62" t="s">
        <v>58247</v>
      </c>
      <c r="J325" s="62" t="s">
        <v>3998</v>
      </c>
      <c r="K325" s="62" t="s">
        <v>58277</v>
      </c>
      <c r="L325" s="62" t="s">
        <v>3999</v>
      </c>
      <c r="M325" s="62" t="s">
        <v>4000</v>
      </c>
      <c r="N325" s="62" t="s">
        <v>4001</v>
      </c>
      <c r="O325" s="62" t="s">
        <v>4002</v>
      </c>
      <c r="P325" s="62" t="s">
        <v>58307</v>
      </c>
      <c r="Q325" s="62" t="s">
        <v>4003</v>
      </c>
      <c r="R325" s="62" t="s">
        <v>4004</v>
      </c>
      <c r="S325" s="62" t="s">
        <v>4005</v>
      </c>
      <c r="U325" s="62" t="s">
        <v>4006</v>
      </c>
      <c r="V325" s="62" t="s">
        <v>58337</v>
      </c>
      <c r="W325" s="62" t="s">
        <v>4007</v>
      </c>
      <c r="X325" s="62" t="s">
        <v>4008</v>
      </c>
      <c r="Y325" s="62" t="s">
        <v>4009</v>
      </c>
      <c r="Z325" s="62" t="s">
        <v>4010</v>
      </c>
      <c r="AA325" s="62" t="s">
        <v>58367</v>
      </c>
      <c r="AB325" s="62" t="s">
        <v>4011</v>
      </c>
      <c r="AC325" s="62" t="s">
        <v>4012</v>
      </c>
      <c r="AD325" s="62" t="s">
        <v>4013</v>
      </c>
    </row>
    <row r="326" spans="1:30" x14ac:dyDescent="0.25">
      <c r="A326" s="62" t="s">
        <v>109</v>
      </c>
      <c r="C326" s="62" t="s">
        <v>4014</v>
      </c>
      <c r="F326" s="62" t="s">
        <v>193</v>
      </c>
      <c r="G326" s="62" t="s">
        <v>58248</v>
      </c>
      <c r="J326" s="62" t="s">
        <v>4015</v>
      </c>
      <c r="K326" s="62" t="s">
        <v>58278</v>
      </c>
      <c r="L326" s="62" t="s">
        <v>4016</v>
      </c>
      <c r="M326" s="62" t="s">
        <v>4017</v>
      </c>
      <c r="N326" s="62" t="s">
        <v>4018</v>
      </c>
      <c r="O326" s="62" t="s">
        <v>4019</v>
      </c>
      <c r="P326" s="62" t="s">
        <v>58308</v>
      </c>
      <c r="Q326" s="62" t="s">
        <v>4020</v>
      </c>
      <c r="R326" s="62" t="s">
        <v>4021</v>
      </c>
      <c r="S326" s="62" t="s">
        <v>4022</v>
      </c>
      <c r="U326" s="62" t="s">
        <v>4023</v>
      </c>
      <c r="V326" s="62" t="s">
        <v>58338</v>
      </c>
      <c r="W326" s="62" t="s">
        <v>4024</v>
      </c>
      <c r="X326" s="62" t="s">
        <v>4025</v>
      </c>
      <c r="Y326" s="62" t="s">
        <v>4026</v>
      </c>
      <c r="Z326" s="62" t="s">
        <v>4027</v>
      </c>
      <c r="AA326" s="62" t="s">
        <v>58368</v>
      </c>
      <c r="AB326" s="62" t="s">
        <v>4028</v>
      </c>
      <c r="AC326" s="62" t="s">
        <v>4029</v>
      </c>
      <c r="AD326" s="62" t="s">
        <v>4030</v>
      </c>
    </row>
    <row r="327" spans="1:30" x14ac:dyDescent="0.25">
      <c r="A327" s="62" t="s">
        <v>109</v>
      </c>
      <c r="C327" s="62" t="s">
        <v>4031</v>
      </c>
      <c r="F327" s="62" t="s">
        <v>2240</v>
      </c>
      <c r="G327" s="62" t="s">
        <v>58249</v>
      </c>
      <c r="J327" s="62" t="s">
        <v>4032</v>
      </c>
      <c r="K327" s="62" t="s">
        <v>58279</v>
      </c>
      <c r="L327" s="62" t="s">
        <v>4033</v>
      </c>
      <c r="M327" s="62" t="s">
        <v>4034</v>
      </c>
      <c r="N327" s="62" t="s">
        <v>4035</v>
      </c>
      <c r="O327" s="62" t="s">
        <v>4036</v>
      </c>
      <c r="P327" s="62" t="s">
        <v>58309</v>
      </c>
      <c r="Q327" s="62" t="s">
        <v>4037</v>
      </c>
      <c r="R327" s="62" t="s">
        <v>4038</v>
      </c>
      <c r="S327" s="62" t="s">
        <v>4039</v>
      </c>
      <c r="U327" s="62" t="s">
        <v>4040</v>
      </c>
      <c r="V327" s="62" t="s">
        <v>58339</v>
      </c>
      <c r="W327" s="62" t="s">
        <v>4041</v>
      </c>
      <c r="X327" s="62" t="s">
        <v>4042</v>
      </c>
      <c r="Y327" s="62" t="s">
        <v>4043</v>
      </c>
      <c r="Z327" s="62" t="s">
        <v>4044</v>
      </c>
      <c r="AA327" s="62" t="s">
        <v>58369</v>
      </c>
      <c r="AB327" s="62" t="s">
        <v>4045</v>
      </c>
      <c r="AC327" s="62" t="s">
        <v>4046</v>
      </c>
      <c r="AD327" s="62" t="s">
        <v>4047</v>
      </c>
    </row>
    <row r="328" spans="1:30" x14ac:dyDescent="0.25">
      <c r="A328" s="62" t="s">
        <v>109</v>
      </c>
      <c r="C328" s="62" t="s">
        <v>4048</v>
      </c>
      <c r="F328" s="62" t="s">
        <v>210</v>
      </c>
      <c r="G328" s="62" t="s">
        <v>58250</v>
      </c>
      <c r="J328" s="62" t="s">
        <v>4049</v>
      </c>
      <c r="K328" s="62" t="s">
        <v>58280</v>
      </c>
      <c r="L328" s="62" t="s">
        <v>4050</v>
      </c>
      <c r="M328" s="62" t="s">
        <v>4051</v>
      </c>
      <c r="N328" s="62" t="s">
        <v>4052</v>
      </c>
      <c r="O328" s="62" t="s">
        <v>4053</v>
      </c>
      <c r="P328" s="62" t="s">
        <v>58310</v>
      </c>
      <c r="Q328" s="62" t="s">
        <v>4054</v>
      </c>
      <c r="R328" s="62" t="s">
        <v>4055</v>
      </c>
      <c r="S328" s="62" t="s">
        <v>4056</v>
      </c>
      <c r="U328" s="62" t="s">
        <v>4057</v>
      </c>
      <c r="V328" s="62" t="s">
        <v>58340</v>
      </c>
      <c r="W328" s="62" t="s">
        <v>4058</v>
      </c>
      <c r="X328" s="62" t="s">
        <v>4059</v>
      </c>
      <c r="Y328" s="62" t="s">
        <v>4060</v>
      </c>
      <c r="Z328" s="62" t="s">
        <v>4061</v>
      </c>
      <c r="AA328" s="62" t="s">
        <v>58370</v>
      </c>
      <c r="AB328" s="62" t="s">
        <v>4062</v>
      </c>
      <c r="AC328" s="62" t="s">
        <v>4063</v>
      </c>
      <c r="AD328" s="62" t="s">
        <v>4064</v>
      </c>
    </row>
    <row r="329" spans="1:30" x14ac:dyDescent="0.25">
      <c r="A329" s="62" t="s">
        <v>109</v>
      </c>
      <c r="C329" s="62" t="s">
        <v>4065</v>
      </c>
      <c r="F329" s="62" t="s">
        <v>227</v>
      </c>
      <c r="G329" s="62" t="s">
        <v>58251</v>
      </c>
      <c r="J329" s="62" t="s">
        <v>4066</v>
      </c>
      <c r="K329" s="62" t="s">
        <v>58281</v>
      </c>
      <c r="L329" s="62" t="s">
        <v>4067</v>
      </c>
      <c r="M329" s="62" t="s">
        <v>4068</v>
      </c>
      <c r="N329" s="62" t="s">
        <v>4069</v>
      </c>
      <c r="O329" s="62" t="s">
        <v>4070</v>
      </c>
      <c r="P329" s="62" t="s">
        <v>58311</v>
      </c>
      <c r="Q329" s="62" t="s">
        <v>4071</v>
      </c>
      <c r="R329" s="62" t="s">
        <v>4072</v>
      </c>
      <c r="S329" s="62" t="s">
        <v>4073</v>
      </c>
      <c r="U329" s="62" t="s">
        <v>4074</v>
      </c>
      <c r="V329" s="62" t="s">
        <v>58341</v>
      </c>
      <c r="W329" s="62" t="s">
        <v>4075</v>
      </c>
      <c r="X329" s="62" t="s">
        <v>4076</v>
      </c>
      <c r="Y329" s="62" t="s">
        <v>4077</v>
      </c>
      <c r="Z329" s="62" t="s">
        <v>4078</v>
      </c>
      <c r="AA329" s="62" t="s">
        <v>58371</v>
      </c>
      <c r="AB329" s="62" t="s">
        <v>4079</v>
      </c>
      <c r="AC329" s="62" t="s">
        <v>4080</v>
      </c>
      <c r="AD329" s="62" t="s">
        <v>4081</v>
      </c>
    </row>
    <row r="330" spans="1:30" x14ac:dyDescent="0.25">
      <c r="A330" s="62" t="s">
        <v>109</v>
      </c>
      <c r="C330" s="62" t="s">
        <v>4082</v>
      </c>
      <c r="F330" s="62" t="s">
        <v>236</v>
      </c>
      <c r="G330" s="62" t="s">
        <v>58252</v>
      </c>
      <c r="J330" s="62" t="s">
        <v>4083</v>
      </c>
      <c r="K330" s="62" t="s">
        <v>58282</v>
      </c>
      <c r="L330" s="62" t="s">
        <v>4084</v>
      </c>
      <c r="M330" s="62" t="s">
        <v>4085</v>
      </c>
      <c r="N330" s="62" t="s">
        <v>4086</v>
      </c>
      <c r="O330" s="62" t="s">
        <v>4087</v>
      </c>
      <c r="P330" s="62" t="s">
        <v>58312</v>
      </c>
      <c r="Q330" s="62" t="s">
        <v>4088</v>
      </c>
      <c r="R330" s="62" t="s">
        <v>4089</v>
      </c>
      <c r="S330" s="62" t="s">
        <v>4090</v>
      </c>
      <c r="U330" s="62" t="s">
        <v>4091</v>
      </c>
      <c r="V330" s="62" t="s">
        <v>58342</v>
      </c>
      <c r="W330" s="62" t="s">
        <v>4092</v>
      </c>
      <c r="X330" s="62" t="s">
        <v>4093</v>
      </c>
      <c r="Y330" s="62" t="s">
        <v>4094</v>
      </c>
      <c r="Z330" s="62" t="s">
        <v>4095</v>
      </c>
      <c r="AA330" s="62" t="s">
        <v>58372</v>
      </c>
      <c r="AB330" s="62" t="s">
        <v>4096</v>
      </c>
      <c r="AC330" s="62" t="s">
        <v>4097</v>
      </c>
      <c r="AD330" s="62" t="s">
        <v>4098</v>
      </c>
    </row>
    <row r="331" spans="1:30" x14ac:dyDescent="0.25">
      <c r="A331" s="62" t="s">
        <v>109</v>
      </c>
      <c r="C331" s="62" t="s">
        <v>4099</v>
      </c>
      <c r="F331" s="62" t="s">
        <v>3799</v>
      </c>
      <c r="G331" s="62" t="s">
        <v>58253</v>
      </c>
      <c r="J331" s="62" t="s">
        <v>4100</v>
      </c>
      <c r="K331" s="62" t="s">
        <v>58283</v>
      </c>
      <c r="L331" s="62" t="s">
        <v>4101</v>
      </c>
      <c r="M331" s="62" t="s">
        <v>4102</v>
      </c>
      <c r="N331" s="62" t="s">
        <v>4103</v>
      </c>
      <c r="O331" s="62" t="s">
        <v>4104</v>
      </c>
      <c r="P331" s="62" t="s">
        <v>58313</v>
      </c>
      <c r="Q331" s="62" t="s">
        <v>4105</v>
      </c>
      <c r="R331" s="62" t="s">
        <v>4106</v>
      </c>
      <c r="S331" s="62" t="s">
        <v>4107</v>
      </c>
      <c r="U331" s="62" t="s">
        <v>4108</v>
      </c>
      <c r="V331" s="62" t="s">
        <v>58343</v>
      </c>
      <c r="W331" s="62" t="s">
        <v>4109</v>
      </c>
      <c r="X331" s="62" t="s">
        <v>4110</v>
      </c>
      <c r="Y331" s="62" t="s">
        <v>4111</v>
      </c>
      <c r="Z331" s="62" t="s">
        <v>4112</v>
      </c>
      <c r="AA331" s="62" t="s">
        <v>58373</v>
      </c>
      <c r="AB331" s="62" t="s">
        <v>4113</v>
      </c>
      <c r="AC331" s="62" t="s">
        <v>4114</v>
      </c>
      <c r="AD331" s="62" t="s">
        <v>4115</v>
      </c>
    </row>
    <row r="332" spans="1:30" x14ac:dyDescent="0.25">
      <c r="A332" s="62" t="s">
        <v>109</v>
      </c>
      <c r="C332" s="62" t="s">
        <v>4116</v>
      </c>
      <c r="F332" s="62" t="s">
        <v>2297</v>
      </c>
      <c r="G332" s="62" t="s">
        <v>58254</v>
      </c>
      <c r="J332" s="62" t="s">
        <v>4117</v>
      </c>
      <c r="K332" s="62" t="s">
        <v>58284</v>
      </c>
      <c r="L332" s="62" t="s">
        <v>4118</v>
      </c>
      <c r="M332" s="62" t="s">
        <v>4119</v>
      </c>
      <c r="N332" s="62" t="s">
        <v>4120</v>
      </c>
      <c r="O332" s="62" t="s">
        <v>4121</v>
      </c>
      <c r="P332" s="62" t="s">
        <v>58314</v>
      </c>
      <c r="Q332" s="62" t="s">
        <v>4122</v>
      </c>
      <c r="R332" s="62" t="s">
        <v>4123</v>
      </c>
      <c r="S332" s="62" t="s">
        <v>4124</v>
      </c>
      <c r="U332" s="62" t="s">
        <v>4125</v>
      </c>
      <c r="V332" s="62" t="s">
        <v>58344</v>
      </c>
      <c r="W332" s="62" t="s">
        <v>4126</v>
      </c>
      <c r="X332" s="62" t="s">
        <v>4127</v>
      </c>
      <c r="Y332" s="62" t="s">
        <v>4128</v>
      </c>
      <c r="Z332" s="62" t="s">
        <v>4129</v>
      </c>
      <c r="AA332" s="62" t="s">
        <v>58374</v>
      </c>
      <c r="AB332" s="62" t="s">
        <v>4130</v>
      </c>
      <c r="AC332" s="62" t="s">
        <v>4131</v>
      </c>
      <c r="AD332" s="62" t="s">
        <v>4132</v>
      </c>
    </row>
    <row r="333" spans="1:30" x14ac:dyDescent="0.25">
      <c r="A333" s="62" t="s">
        <v>109</v>
      </c>
      <c r="C333" s="62" t="s">
        <v>4133</v>
      </c>
      <c r="F333" s="62" t="s">
        <v>2308</v>
      </c>
      <c r="G333" s="62" t="s">
        <v>58255</v>
      </c>
      <c r="J333" s="62" t="s">
        <v>4134</v>
      </c>
      <c r="K333" s="62" t="s">
        <v>58285</v>
      </c>
      <c r="L333" s="62" t="s">
        <v>4135</v>
      </c>
      <c r="M333" s="62" t="s">
        <v>4136</v>
      </c>
      <c r="N333" s="62" t="s">
        <v>4137</v>
      </c>
      <c r="O333" s="62" t="s">
        <v>4138</v>
      </c>
      <c r="P333" s="62" t="s">
        <v>58315</v>
      </c>
      <c r="Q333" s="62" t="s">
        <v>4139</v>
      </c>
      <c r="R333" s="62" t="s">
        <v>4140</v>
      </c>
      <c r="S333" s="62" t="s">
        <v>4141</v>
      </c>
      <c r="U333" s="62" t="s">
        <v>4142</v>
      </c>
      <c r="V333" s="62" t="s">
        <v>58345</v>
      </c>
      <c r="W333" s="62" t="s">
        <v>4143</v>
      </c>
      <c r="X333" s="62" t="s">
        <v>4144</v>
      </c>
      <c r="Y333" s="62" t="s">
        <v>4145</v>
      </c>
      <c r="Z333" s="62" t="s">
        <v>4146</v>
      </c>
      <c r="AA333" s="62" t="s">
        <v>58375</v>
      </c>
      <c r="AB333" s="62" t="s">
        <v>4147</v>
      </c>
      <c r="AC333" s="62" t="s">
        <v>4148</v>
      </c>
      <c r="AD333" s="62" t="s">
        <v>4149</v>
      </c>
    </row>
    <row r="334" spans="1:30" x14ac:dyDescent="0.25">
      <c r="A334" s="62" t="s">
        <v>109</v>
      </c>
      <c r="C334" s="62" t="s">
        <v>4150</v>
      </c>
      <c r="F334" s="62" t="s">
        <v>4942</v>
      </c>
      <c r="G334" s="62" t="s">
        <v>58256</v>
      </c>
      <c r="J334" s="62" t="s">
        <v>4151</v>
      </c>
      <c r="K334" s="62" t="s">
        <v>58286</v>
      </c>
      <c r="L334" s="62" t="s">
        <v>4152</v>
      </c>
      <c r="M334" s="62" t="s">
        <v>4153</v>
      </c>
      <c r="N334" s="62" t="s">
        <v>4154</v>
      </c>
      <c r="O334" s="62" t="s">
        <v>4155</v>
      </c>
      <c r="P334" s="62" t="s">
        <v>58316</v>
      </c>
      <c r="Q334" s="62" t="s">
        <v>4156</v>
      </c>
      <c r="R334" s="62" t="s">
        <v>4157</v>
      </c>
      <c r="S334" s="62" t="s">
        <v>4158</v>
      </c>
      <c r="U334" s="62" t="s">
        <v>4159</v>
      </c>
      <c r="V334" s="62" t="s">
        <v>58346</v>
      </c>
      <c r="W334" s="62" t="s">
        <v>4160</v>
      </c>
      <c r="X334" s="62" t="s">
        <v>4161</v>
      </c>
      <c r="Y334" s="62" t="s">
        <v>4162</v>
      </c>
      <c r="Z334" s="62" t="s">
        <v>4163</v>
      </c>
      <c r="AA334" s="62" t="s">
        <v>58376</v>
      </c>
      <c r="AB334" s="62" t="s">
        <v>4164</v>
      </c>
      <c r="AC334" s="62" t="s">
        <v>4165</v>
      </c>
      <c r="AD334" s="62" t="s">
        <v>4166</v>
      </c>
    </row>
    <row r="335" spans="1:30" x14ac:dyDescent="0.25">
      <c r="A335" s="62" t="s">
        <v>109</v>
      </c>
      <c r="C335" s="62" t="s">
        <v>40433</v>
      </c>
      <c r="F335" s="62" t="s">
        <v>271</v>
      </c>
      <c r="G335" s="62" t="s">
        <v>58257</v>
      </c>
      <c r="J335" s="62" t="s">
        <v>40434</v>
      </c>
      <c r="K335" s="62" t="s">
        <v>58287</v>
      </c>
      <c r="L335" s="62" t="s">
        <v>40435</v>
      </c>
      <c r="M335" s="62" t="s">
        <v>40436</v>
      </c>
      <c r="N335" s="62" t="s">
        <v>40437</v>
      </c>
      <c r="O335" s="62" t="s">
        <v>40438</v>
      </c>
      <c r="P335" s="62" t="s">
        <v>58317</v>
      </c>
      <c r="Q335" s="62" t="s">
        <v>40439</v>
      </c>
      <c r="R335" s="62" t="s">
        <v>40440</v>
      </c>
      <c r="S335" s="62" t="s">
        <v>40441</v>
      </c>
      <c r="U335" s="62" t="s">
        <v>40442</v>
      </c>
      <c r="V335" s="62" t="s">
        <v>58347</v>
      </c>
      <c r="W335" s="62" t="s">
        <v>40443</v>
      </c>
      <c r="X335" s="62" t="s">
        <v>40444</v>
      </c>
      <c r="Y335" s="62" t="s">
        <v>40445</v>
      </c>
      <c r="Z335" s="62" t="s">
        <v>40446</v>
      </c>
      <c r="AA335" s="62" t="s">
        <v>58377</v>
      </c>
      <c r="AB335" s="62" t="s">
        <v>40447</v>
      </c>
      <c r="AC335" s="62" t="s">
        <v>40448</v>
      </c>
      <c r="AD335" s="62" t="s">
        <v>40449</v>
      </c>
    </row>
    <row r="336" spans="1:30" x14ac:dyDescent="0.25">
      <c r="A336" s="62" t="s">
        <v>109</v>
      </c>
      <c r="C336" s="62" t="s">
        <v>4167</v>
      </c>
      <c r="F336" s="62" t="s">
        <v>2464</v>
      </c>
      <c r="G336" s="62" t="s">
        <v>58258</v>
      </c>
      <c r="J336" s="62" t="s">
        <v>40450</v>
      </c>
      <c r="K336" s="62" t="s">
        <v>58288</v>
      </c>
      <c r="L336" s="62" t="s">
        <v>40451</v>
      </c>
      <c r="M336" s="62" t="s">
        <v>4168</v>
      </c>
      <c r="N336" s="62" t="s">
        <v>4169</v>
      </c>
      <c r="O336" s="62" t="s">
        <v>40452</v>
      </c>
      <c r="P336" s="62" t="s">
        <v>58318</v>
      </c>
      <c r="Q336" s="62" t="s">
        <v>40453</v>
      </c>
      <c r="R336" s="62" t="s">
        <v>4170</v>
      </c>
      <c r="S336" s="62" t="s">
        <v>4171</v>
      </c>
      <c r="U336" s="62" t="s">
        <v>40454</v>
      </c>
      <c r="V336" s="62" t="s">
        <v>58348</v>
      </c>
      <c r="W336" s="62" t="s">
        <v>40455</v>
      </c>
      <c r="X336" s="62" t="s">
        <v>4172</v>
      </c>
      <c r="Y336" s="62" t="s">
        <v>4173</v>
      </c>
      <c r="Z336" s="62" t="s">
        <v>40456</v>
      </c>
      <c r="AA336" s="62" t="s">
        <v>58378</v>
      </c>
      <c r="AB336" s="62" t="s">
        <v>40457</v>
      </c>
      <c r="AC336" s="62" t="s">
        <v>4174</v>
      </c>
      <c r="AD336" s="62" t="s">
        <v>4175</v>
      </c>
    </row>
    <row r="337" spans="1:30" x14ac:dyDescent="0.25">
      <c r="A337" s="62" t="s">
        <v>109</v>
      </c>
      <c r="C337" s="62" t="s">
        <v>40458</v>
      </c>
      <c r="F337" s="62" t="s">
        <v>2311</v>
      </c>
      <c r="G337" s="62" t="s">
        <v>58259</v>
      </c>
      <c r="J337" s="62" t="s">
        <v>40459</v>
      </c>
      <c r="K337" s="62" t="s">
        <v>58289</v>
      </c>
      <c r="L337" s="62" t="s">
        <v>40460</v>
      </c>
      <c r="M337" s="62" t="s">
        <v>40461</v>
      </c>
      <c r="N337" s="62" t="s">
        <v>40462</v>
      </c>
      <c r="O337" s="62" t="s">
        <v>40463</v>
      </c>
      <c r="P337" s="62" t="s">
        <v>58319</v>
      </c>
      <c r="Q337" s="62" t="s">
        <v>40464</v>
      </c>
      <c r="R337" s="62" t="s">
        <v>40465</v>
      </c>
      <c r="S337" s="62" t="s">
        <v>40466</v>
      </c>
      <c r="U337" s="62" t="s">
        <v>40467</v>
      </c>
      <c r="V337" s="62" t="s">
        <v>58349</v>
      </c>
      <c r="W337" s="62" t="s">
        <v>40468</v>
      </c>
      <c r="X337" s="62" t="s">
        <v>40469</v>
      </c>
      <c r="Y337" s="62" t="s">
        <v>40470</v>
      </c>
      <c r="Z337" s="62" t="s">
        <v>40471</v>
      </c>
      <c r="AA337" s="62" t="s">
        <v>58379</v>
      </c>
      <c r="AB337" s="62" t="s">
        <v>40472</v>
      </c>
      <c r="AC337" s="62" t="s">
        <v>40473</v>
      </c>
      <c r="AD337" s="62" t="s">
        <v>40474</v>
      </c>
    </row>
    <row r="338" spans="1:30" x14ac:dyDescent="0.25">
      <c r="A338" s="62" t="s">
        <v>109</v>
      </c>
      <c r="C338" s="62" t="s">
        <v>40475</v>
      </c>
      <c r="F338" s="62" t="s">
        <v>288</v>
      </c>
      <c r="G338" s="62" t="s">
        <v>58260</v>
      </c>
      <c r="J338" s="62" t="s">
        <v>40476</v>
      </c>
      <c r="K338" s="62" t="s">
        <v>58290</v>
      </c>
      <c r="L338" s="62" t="s">
        <v>40477</v>
      </c>
      <c r="M338" s="62" t="s">
        <v>40478</v>
      </c>
      <c r="N338" s="62" t="s">
        <v>40479</v>
      </c>
      <c r="O338" s="62" t="s">
        <v>40480</v>
      </c>
      <c r="P338" s="62" t="s">
        <v>58320</v>
      </c>
      <c r="Q338" s="62" t="s">
        <v>40481</v>
      </c>
      <c r="R338" s="62" t="s">
        <v>40482</v>
      </c>
      <c r="S338" s="62" t="s">
        <v>40483</v>
      </c>
      <c r="U338" s="62" t="s">
        <v>40484</v>
      </c>
      <c r="V338" s="62" t="s">
        <v>58350</v>
      </c>
      <c r="W338" s="62" t="s">
        <v>40485</v>
      </c>
      <c r="X338" s="62" t="s">
        <v>40486</v>
      </c>
      <c r="Y338" s="62" t="s">
        <v>40487</v>
      </c>
      <c r="Z338" s="62" t="s">
        <v>40488</v>
      </c>
      <c r="AA338" s="62" t="s">
        <v>58380</v>
      </c>
      <c r="AB338" s="62" t="s">
        <v>40489</v>
      </c>
      <c r="AC338" s="62" t="s">
        <v>40490</v>
      </c>
      <c r="AD338" s="62" t="s">
        <v>40491</v>
      </c>
    </row>
    <row r="339" spans="1:30" x14ac:dyDescent="0.25">
      <c r="A339" s="62" t="s">
        <v>109</v>
      </c>
      <c r="C339" s="62" t="s">
        <v>4176</v>
      </c>
      <c r="F339" s="62" t="s">
        <v>2481</v>
      </c>
      <c r="G339" s="62" t="s">
        <v>58261</v>
      </c>
      <c r="J339" s="62" t="s">
        <v>40492</v>
      </c>
      <c r="K339" s="62" t="s">
        <v>58291</v>
      </c>
      <c r="L339" s="62" t="s">
        <v>40493</v>
      </c>
      <c r="M339" s="62" t="s">
        <v>40494</v>
      </c>
      <c r="N339" s="62" t="s">
        <v>40495</v>
      </c>
      <c r="O339" s="62" t="s">
        <v>40496</v>
      </c>
      <c r="P339" s="62" t="s">
        <v>58321</v>
      </c>
      <c r="Q339" s="62" t="s">
        <v>40497</v>
      </c>
      <c r="R339" s="62" t="s">
        <v>40498</v>
      </c>
      <c r="S339" s="62" t="s">
        <v>40499</v>
      </c>
      <c r="U339" s="62" t="s">
        <v>40500</v>
      </c>
      <c r="V339" s="62" t="s">
        <v>58351</v>
      </c>
      <c r="W339" s="62" t="s">
        <v>40501</v>
      </c>
      <c r="X339" s="62" t="s">
        <v>40502</v>
      </c>
      <c r="Y339" s="62" t="s">
        <v>40503</v>
      </c>
      <c r="Z339" s="62" t="s">
        <v>40504</v>
      </c>
      <c r="AA339" s="62" t="s">
        <v>58381</v>
      </c>
      <c r="AB339" s="62" t="s">
        <v>40505</v>
      </c>
      <c r="AC339" s="62" t="s">
        <v>40506</v>
      </c>
      <c r="AD339" s="62" t="s">
        <v>40507</v>
      </c>
    </row>
    <row r="340" spans="1:30" x14ac:dyDescent="0.25">
      <c r="A340" s="62" t="s">
        <v>109</v>
      </c>
      <c r="C340" s="62" t="s">
        <v>4177</v>
      </c>
      <c r="F340" s="62" t="s">
        <v>1100</v>
      </c>
      <c r="G340" s="62" t="s">
        <v>58262</v>
      </c>
      <c r="J340" s="62" t="s">
        <v>4178</v>
      </c>
      <c r="K340" s="62" t="s">
        <v>58292</v>
      </c>
      <c r="L340" s="62" t="s">
        <v>4179</v>
      </c>
      <c r="M340" s="62" t="s">
        <v>4180</v>
      </c>
      <c r="N340" s="62" t="s">
        <v>4181</v>
      </c>
      <c r="O340" s="62" t="s">
        <v>4182</v>
      </c>
      <c r="P340" s="62" t="s">
        <v>58322</v>
      </c>
      <c r="Q340" s="62" t="s">
        <v>4183</v>
      </c>
      <c r="R340" s="62" t="s">
        <v>4184</v>
      </c>
      <c r="S340" s="62" t="s">
        <v>4185</v>
      </c>
      <c r="U340" s="62" t="s">
        <v>4186</v>
      </c>
      <c r="V340" s="62" t="s">
        <v>58352</v>
      </c>
      <c r="W340" s="62" t="s">
        <v>4187</v>
      </c>
      <c r="X340" s="62" t="s">
        <v>4188</v>
      </c>
      <c r="Y340" s="62" t="s">
        <v>4189</v>
      </c>
      <c r="Z340" s="62" t="s">
        <v>4190</v>
      </c>
      <c r="AA340" s="62" t="s">
        <v>58382</v>
      </c>
      <c r="AB340" s="62" t="s">
        <v>4191</v>
      </c>
      <c r="AC340" s="62" t="s">
        <v>4192</v>
      </c>
      <c r="AD340" s="62" t="s">
        <v>4193</v>
      </c>
    </row>
    <row r="341" spans="1:30" x14ac:dyDescent="0.25">
      <c r="A341" s="62" t="s">
        <v>109</v>
      </c>
      <c r="C341" s="62" t="s">
        <v>4194</v>
      </c>
      <c r="F341" s="62" t="s">
        <v>2337</v>
      </c>
      <c r="G341" s="62" t="s">
        <v>58263</v>
      </c>
      <c r="J341" s="62" t="s">
        <v>4195</v>
      </c>
      <c r="K341" s="62" t="s">
        <v>58293</v>
      </c>
      <c r="L341" s="62" t="s">
        <v>4196</v>
      </c>
      <c r="M341" s="62" t="s">
        <v>4197</v>
      </c>
      <c r="N341" s="62" t="s">
        <v>4198</v>
      </c>
      <c r="O341" s="62" t="s">
        <v>4199</v>
      </c>
      <c r="P341" s="62" t="s">
        <v>58323</v>
      </c>
      <c r="Q341" s="62" t="s">
        <v>4200</v>
      </c>
      <c r="R341" s="62" t="s">
        <v>4201</v>
      </c>
      <c r="S341" s="62" t="s">
        <v>4202</v>
      </c>
      <c r="U341" s="62" t="s">
        <v>4203</v>
      </c>
      <c r="V341" s="62" t="s">
        <v>58353</v>
      </c>
      <c r="W341" s="62" t="s">
        <v>4204</v>
      </c>
      <c r="X341" s="62" t="s">
        <v>4205</v>
      </c>
      <c r="Y341" s="62" t="s">
        <v>4206</v>
      </c>
      <c r="Z341" s="62" t="s">
        <v>4207</v>
      </c>
      <c r="AA341" s="62" t="s">
        <v>58383</v>
      </c>
      <c r="AB341" s="62" t="s">
        <v>4208</v>
      </c>
      <c r="AC341" s="62" t="s">
        <v>4209</v>
      </c>
      <c r="AD341" s="62" t="s">
        <v>4210</v>
      </c>
    </row>
    <row r="342" spans="1:30" x14ac:dyDescent="0.25">
      <c r="A342" s="62" t="s">
        <v>109</v>
      </c>
      <c r="C342" s="62" t="s">
        <v>4211</v>
      </c>
      <c r="F342" s="62" t="s">
        <v>3237</v>
      </c>
      <c r="G342" s="62" t="s">
        <v>58264</v>
      </c>
      <c r="J342" s="62" t="s">
        <v>4212</v>
      </c>
      <c r="K342" s="62" t="s">
        <v>58294</v>
      </c>
      <c r="L342" s="62" t="s">
        <v>4213</v>
      </c>
      <c r="M342" s="62" t="s">
        <v>4214</v>
      </c>
      <c r="N342" s="62" t="s">
        <v>4215</v>
      </c>
      <c r="O342" s="62" t="s">
        <v>4216</v>
      </c>
      <c r="P342" s="62" t="s">
        <v>58324</v>
      </c>
      <c r="Q342" s="62" t="s">
        <v>4217</v>
      </c>
      <c r="R342" s="62" t="s">
        <v>4218</v>
      </c>
      <c r="S342" s="62" t="s">
        <v>4219</v>
      </c>
      <c r="U342" s="62" t="s">
        <v>4220</v>
      </c>
      <c r="V342" s="62" t="s">
        <v>58354</v>
      </c>
      <c r="W342" s="62" t="s">
        <v>4221</v>
      </c>
      <c r="X342" s="62" t="s">
        <v>4222</v>
      </c>
      <c r="Y342" s="62" t="s">
        <v>4223</v>
      </c>
      <c r="Z342" s="62" t="s">
        <v>4224</v>
      </c>
      <c r="AA342" s="62" t="s">
        <v>58384</v>
      </c>
      <c r="AB342" s="62" t="s">
        <v>4225</v>
      </c>
      <c r="AC342" s="62" t="s">
        <v>4226</v>
      </c>
      <c r="AD342" s="62" t="s">
        <v>4227</v>
      </c>
    </row>
    <row r="343" spans="1:30" x14ac:dyDescent="0.25">
      <c r="A343" s="62" t="s">
        <v>109</v>
      </c>
      <c r="C343" s="62" t="s">
        <v>4228</v>
      </c>
      <c r="F343" s="62" t="s">
        <v>2355</v>
      </c>
      <c r="G343" s="62" t="s">
        <v>58265</v>
      </c>
      <c r="J343" s="62" t="s">
        <v>4229</v>
      </c>
      <c r="K343" s="62" t="s">
        <v>58295</v>
      </c>
      <c r="L343" s="62" t="s">
        <v>4230</v>
      </c>
      <c r="M343" s="62" t="s">
        <v>4231</v>
      </c>
      <c r="N343" s="62" t="s">
        <v>4232</v>
      </c>
      <c r="O343" s="62" t="s">
        <v>4233</v>
      </c>
      <c r="P343" s="62" t="s">
        <v>58325</v>
      </c>
      <c r="Q343" s="62" t="s">
        <v>4234</v>
      </c>
      <c r="R343" s="62" t="s">
        <v>4235</v>
      </c>
      <c r="S343" s="62" t="s">
        <v>4236</v>
      </c>
      <c r="U343" s="62" t="s">
        <v>4237</v>
      </c>
      <c r="V343" s="62" t="s">
        <v>58355</v>
      </c>
      <c r="W343" s="62" t="s">
        <v>4238</v>
      </c>
      <c r="X343" s="62" t="s">
        <v>4239</v>
      </c>
      <c r="Y343" s="62" t="s">
        <v>4240</v>
      </c>
      <c r="Z343" s="62" t="s">
        <v>4241</v>
      </c>
      <c r="AA343" s="62" t="s">
        <v>58385</v>
      </c>
      <c r="AB343" s="62" t="s">
        <v>4242</v>
      </c>
      <c r="AC343" s="62" t="s">
        <v>4243</v>
      </c>
      <c r="AD343" s="62" t="s">
        <v>4244</v>
      </c>
    </row>
    <row r="344" spans="1:30" x14ac:dyDescent="0.25">
      <c r="A344" s="62" t="s">
        <v>109</v>
      </c>
      <c r="C344" s="62" t="s">
        <v>4245</v>
      </c>
      <c r="F344" s="62" t="s">
        <v>2372</v>
      </c>
      <c r="G344" s="62" t="s">
        <v>58266</v>
      </c>
      <c r="J344" s="62" t="s">
        <v>4246</v>
      </c>
      <c r="K344" s="62" t="s">
        <v>58296</v>
      </c>
      <c r="L344" s="62" t="s">
        <v>4247</v>
      </c>
      <c r="M344" s="62" t="s">
        <v>4248</v>
      </c>
      <c r="N344" s="62" t="s">
        <v>4249</v>
      </c>
      <c r="O344" s="62" t="s">
        <v>4250</v>
      </c>
      <c r="P344" s="62" t="s">
        <v>58326</v>
      </c>
      <c r="Q344" s="62" t="s">
        <v>4251</v>
      </c>
      <c r="R344" s="62" t="s">
        <v>4252</v>
      </c>
      <c r="S344" s="62" t="s">
        <v>4253</v>
      </c>
      <c r="U344" s="62" t="s">
        <v>4254</v>
      </c>
      <c r="V344" s="62" t="s">
        <v>58356</v>
      </c>
      <c r="W344" s="62" t="s">
        <v>4255</v>
      </c>
      <c r="X344" s="62" t="s">
        <v>4256</v>
      </c>
      <c r="Y344" s="62" t="s">
        <v>4257</v>
      </c>
      <c r="Z344" s="62" t="s">
        <v>4258</v>
      </c>
      <c r="AA344" s="62" t="s">
        <v>58386</v>
      </c>
      <c r="AB344" s="62" t="s">
        <v>4259</v>
      </c>
      <c r="AC344" s="62" t="s">
        <v>4260</v>
      </c>
      <c r="AD344" s="62" t="s">
        <v>4261</v>
      </c>
    </row>
    <row r="345" spans="1:30" x14ac:dyDescent="0.25">
      <c r="A345" s="62" t="s">
        <v>109</v>
      </c>
      <c r="C345" s="62" t="s">
        <v>40400</v>
      </c>
    </row>
    <row r="346" spans="1:30" x14ac:dyDescent="0.25">
      <c r="A346" s="62" t="s">
        <v>109</v>
      </c>
      <c r="C346" s="62" t="s">
        <v>4262</v>
      </c>
      <c r="G346" s="62" t="s">
        <v>40508</v>
      </c>
      <c r="J346" s="62" t="s">
        <v>40509</v>
      </c>
      <c r="K346" s="62" t="s">
        <v>40510</v>
      </c>
      <c r="L346" s="62" t="s">
        <v>40511</v>
      </c>
      <c r="M346" s="62" t="s">
        <v>4263</v>
      </c>
      <c r="N346" s="62" t="s">
        <v>4264</v>
      </c>
      <c r="O346" s="62" t="s">
        <v>40512</v>
      </c>
      <c r="P346" s="62" t="s">
        <v>40513</v>
      </c>
      <c r="Q346" s="62" t="s">
        <v>40514</v>
      </c>
      <c r="R346" s="62" t="s">
        <v>4265</v>
      </c>
      <c r="S346" s="62" t="s">
        <v>4266</v>
      </c>
      <c r="U346" s="62" t="s">
        <v>40515</v>
      </c>
      <c r="V346" s="62" t="s">
        <v>40516</v>
      </c>
      <c r="W346" s="62" t="s">
        <v>40517</v>
      </c>
      <c r="X346" s="62" t="s">
        <v>4267</v>
      </c>
      <c r="Y346" s="62" t="s">
        <v>4268</v>
      </c>
      <c r="Z346" s="62" t="s">
        <v>40518</v>
      </c>
      <c r="AA346" s="62" t="s">
        <v>40519</v>
      </c>
      <c r="AB346" s="62" t="s">
        <v>40520</v>
      </c>
      <c r="AC346" s="62" t="s">
        <v>4269</v>
      </c>
      <c r="AD346" s="62" t="s">
        <v>4270</v>
      </c>
    </row>
    <row r="347" spans="1:30" x14ac:dyDescent="0.25">
      <c r="A347" s="62" t="s">
        <v>109</v>
      </c>
    </row>
    <row r="348" spans="1:30" x14ac:dyDescent="0.25">
      <c r="A348" s="62" t="s">
        <v>109</v>
      </c>
      <c r="C348" s="62" t="s">
        <v>40521</v>
      </c>
      <c r="E348" s="62" t="s">
        <v>976</v>
      </c>
      <c r="G348" s="62" t="s">
        <v>40522</v>
      </c>
    </row>
    <row r="349" spans="1:30" x14ac:dyDescent="0.25">
      <c r="A349" s="62" t="s">
        <v>109</v>
      </c>
      <c r="C349" s="62" t="s">
        <v>4271</v>
      </c>
    </row>
    <row r="350" spans="1:30" x14ac:dyDescent="0.25">
      <c r="A350" s="62" t="s">
        <v>109</v>
      </c>
      <c r="C350" s="62" t="s">
        <v>4272</v>
      </c>
      <c r="F350" s="62" t="s">
        <v>40523</v>
      </c>
      <c r="G350" s="62" t="s">
        <v>58177</v>
      </c>
      <c r="J350" s="62" t="s">
        <v>4273</v>
      </c>
      <c r="K350" s="62" t="s">
        <v>58189</v>
      </c>
      <c r="L350" s="62" t="s">
        <v>4274</v>
      </c>
      <c r="M350" s="62" t="s">
        <v>4275</v>
      </c>
      <c r="N350" s="62" t="s">
        <v>4276</v>
      </c>
      <c r="O350" s="62" t="s">
        <v>4277</v>
      </c>
      <c r="P350" s="62" t="s">
        <v>58201</v>
      </c>
      <c r="Q350" s="62" t="s">
        <v>4278</v>
      </c>
      <c r="R350" s="62" t="s">
        <v>4279</v>
      </c>
      <c r="S350" s="62" t="s">
        <v>4280</v>
      </c>
      <c r="U350" s="62" t="s">
        <v>4281</v>
      </c>
      <c r="V350" s="62" t="s">
        <v>58213</v>
      </c>
      <c r="W350" s="62" t="s">
        <v>4282</v>
      </c>
      <c r="X350" s="62" t="s">
        <v>4283</v>
      </c>
      <c r="Y350" s="62" t="s">
        <v>4284</v>
      </c>
      <c r="Z350" s="62" t="s">
        <v>4285</v>
      </c>
      <c r="AA350" s="62" t="s">
        <v>58225</v>
      </c>
      <c r="AB350" s="62" t="s">
        <v>4286</v>
      </c>
      <c r="AC350" s="62" t="s">
        <v>4287</v>
      </c>
      <c r="AD350" s="62" t="s">
        <v>4288</v>
      </c>
    </row>
    <row r="351" spans="1:30" x14ac:dyDescent="0.25">
      <c r="A351" s="62" t="s">
        <v>109</v>
      </c>
      <c r="C351" s="62" t="s">
        <v>4289</v>
      </c>
      <c r="F351" s="62" t="s">
        <v>2153</v>
      </c>
      <c r="G351" s="62" t="s">
        <v>58178</v>
      </c>
      <c r="J351" s="62" t="s">
        <v>4290</v>
      </c>
      <c r="K351" s="62" t="s">
        <v>58190</v>
      </c>
      <c r="L351" s="62" t="s">
        <v>4291</v>
      </c>
      <c r="M351" s="62" t="s">
        <v>4292</v>
      </c>
      <c r="N351" s="62" t="s">
        <v>4293</v>
      </c>
      <c r="O351" s="62" t="s">
        <v>4294</v>
      </c>
      <c r="P351" s="62" t="s">
        <v>58202</v>
      </c>
      <c r="Q351" s="62" t="s">
        <v>4295</v>
      </c>
      <c r="R351" s="62" t="s">
        <v>4296</v>
      </c>
      <c r="S351" s="62" t="s">
        <v>4297</v>
      </c>
      <c r="U351" s="62" t="s">
        <v>4298</v>
      </c>
      <c r="V351" s="62" t="s">
        <v>58214</v>
      </c>
      <c r="W351" s="62" t="s">
        <v>4299</v>
      </c>
      <c r="X351" s="62" t="s">
        <v>4300</v>
      </c>
      <c r="Y351" s="62" t="s">
        <v>4301</v>
      </c>
      <c r="Z351" s="62" t="s">
        <v>4302</v>
      </c>
      <c r="AA351" s="62" t="s">
        <v>58226</v>
      </c>
      <c r="AB351" s="62" t="s">
        <v>4303</v>
      </c>
      <c r="AC351" s="62" t="s">
        <v>4304</v>
      </c>
      <c r="AD351" s="62" t="s">
        <v>4305</v>
      </c>
    </row>
    <row r="352" spans="1:30" x14ac:dyDescent="0.25">
      <c r="A352" s="62" t="s">
        <v>109</v>
      </c>
      <c r="C352" s="62" t="s">
        <v>4306</v>
      </c>
      <c r="F352" s="62" t="s">
        <v>2170</v>
      </c>
      <c r="G352" s="62" t="s">
        <v>58179</v>
      </c>
      <c r="J352" s="62" t="s">
        <v>4307</v>
      </c>
      <c r="K352" s="62" t="s">
        <v>58191</v>
      </c>
      <c r="L352" s="62" t="s">
        <v>4308</v>
      </c>
      <c r="M352" s="62" t="s">
        <v>4309</v>
      </c>
      <c r="N352" s="62" t="s">
        <v>4310</v>
      </c>
      <c r="O352" s="62" t="s">
        <v>4311</v>
      </c>
      <c r="P352" s="62" t="s">
        <v>58203</v>
      </c>
      <c r="Q352" s="62" t="s">
        <v>4312</v>
      </c>
      <c r="R352" s="62" t="s">
        <v>4313</v>
      </c>
      <c r="S352" s="62" t="s">
        <v>4314</v>
      </c>
      <c r="U352" s="62" t="s">
        <v>4315</v>
      </c>
      <c r="V352" s="62" t="s">
        <v>58215</v>
      </c>
      <c r="W352" s="62" t="s">
        <v>4316</v>
      </c>
      <c r="X352" s="62" t="s">
        <v>4317</v>
      </c>
      <c r="Y352" s="62" t="s">
        <v>4318</v>
      </c>
      <c r="Z352" s="62" t="s">
        <v>4319</v>
      </c>
      <c r="AA352" s="62" t="s">
        <v>58227</v>
      </c>
      <c r="AB352" s="62" t="s">
        <v>4320</v>
      </c>
      <c r="AC352" s="62" t="s">
        <v>4321</v>
      </c>
      <c r="AD352" s="62" t="s">
        <v>4322</v>
      </c>
    </row>
    <row r="353" spans="1:30" x14ac:dyDescent="0.25">
      <c r="A353" s="62" t="s">
        <v>109</v>
      </c>
      <c r="C353" s="62" t="s">
        <v>40524</v>
      </c>
      <c r="F353" s="62" t="s">
        <v>976</v>
      </c>
      <c r="G353" s="62" t="s">
        <v>58180</v>
      </c>
      <c r="J353" s="62" t="s">
        <v>40525</v>
      </c>
      <c r="K353" s="62" t="s">
        <v>58192</v>
      </c>
      <c r="L353" s="62" t="s">
        <v>40526</v>
      </c>
      <c r="M353" s="62" t="s">
        <v>40527</v>
      </c>
      <c r="N353" s="62" t="s">
        <v>40528</v>
      </c>
      <c r="O353" s="62" t="s">
        <v>40529</v>
      </c>
      <c r="P353" s="62" t="s">
        <v>58204</v>
      </c>
      <c r="Q353" s="62" t="s">
        <v>40530</v>
      </c>
      <c r="R353" s="62" t="s">
        <v>40531</v>
      </c>
      <c r="S353" s="62" t="s">
        <v>40532</v>
      </c>
      <c r="U353" s="62" t="s">
        <v>40533</v>
      </c>
      <c r="V353" s="62" t="s">
        <v>58216</v>
      </c>
      <c r="W353" s="62" t="s">
        <v>40534</v>
      </c>
      <c r="X353" s="62" t="s">
        <v>40535</v>
      </c>
      <c r="Y353" s="62" t="s">
        <v>40536</v>
      </c>
      <c r="Z353" s="62" t="s">
        <v>40537</v>
      </c>
      <c r="AA353" s="62" t="s">
        <v>58228</v>
      </c>
      <c r="AB353" s="62" t="s">
        <v>40538</v>
      </c>
      <c r="AC353" s="62" t="s">
        <v>40539</v>
      </c>
      <c r="AD353" s="62" t="s">
        <v>40540</v>
      </c>
    </row>
    <row r="354" spans="1:30" x14ac:dyDescent="0.25">
      <c r="A354" s="62" t="s">
        <v>109</v>
      </c>
      <c r="C354" s="62" t="s">
        <v>4323</v>
      </c>
      <c r="F354" s="62" t="s">
        <v>193</v>
      </c>
      <c r="G354" s="62" t="s">
        <v>58181</v>
      </c>
      <c r="J354" s="62" t="s">
        <v>40541</v>
      </c>
      <c r="K354" s="62" t="s">
        <v>58193</v>
      </c>
      <c r="L354" s="62" t="s">
        <v>40542</v>
      </c>
      <c r="M354" s="62" t="s">
        <v>4324</v>
      </c>
      <c r="N354" s="62" t="s">
        <v>4325</v>
      </c>
      <c r="O354" s="62" t="s">
        <v>40543</v>
      </c>
      <c r="P354" s="62" t="s">
        <v>58205</v>
      </c>
      <c r="Q354" s="62" t="s">
        <v>40544</v>
      </c>
      <c r="R354" s="62" t="s">
        <v>4326</v>
      </c>
      <c r="S354" s="62" t="s">
        <v>4327</v>
      </c>
      <c r="U354" s="62" t="s">
        <v>40545</v>
      </c>
      <c r="V354" s="62" t="s">
        <v>58217</v>
      </c>
      <c r="W354" s="62" t="s">
        <v>40546</v>
      </c>
      <c r="X354" s="62" t="s">
        <v>4328</v>
      </c>
      <c r="Y354" s="62" t="s">
        <v>4329</v>
      </c>
      <c r="Z354" s="62" t="s">
        <v>40547</v>
      </c>
      <c r="AA354" s="62" t="s">
        <v>58229</v>
      </c>
      <c r="AB354" s="62" t="s">
        <v>40548</v>
      </c>
      <c r="AC354" s="62" t="s">
        <v>4330</v>
      </c>
      <c r="AD354" s="62" t="s">
        <v>4331</v>
      </c>
    </row>
    <row r="355" spans="1:30" x14ac:dyDescent="0.25">
      <c r="A355" s="62" t="s">
        <v>109</v>
      </c>
      <c r="C355" s="62" t="s">
        <v>40549</v>
      </c>
      <c r="F355" s="62" t="s">
        <v>210</v>
      </c>
      <c r="G355" s="62" t="s">
        <v>58182</v>
      </c>
      <c r="J355" s="62" t="s">
        <v>40550</v>
      </c>
      <c r="K355" s="62" t="s">
        <v>58194</v>
      </c>
      <c r="L355" s="62" t="s">
        <v>40551</v>
      </c>
      <c r="M355" s="62" t="s">
        <v>40552</v>
      </c>
      <c r="N355" s="62" t="s">
        <v>40553</v>
      </c>
      <c r="O355" s="62" t="s">
        <v>40554</v>
      </c>
      <c r="P355" s="62" t="s">
        <v>58206</v>
      </c>
      <c r="Q355" s="62" t="s">
        <v>40555</v>
      </c>
      <c r="R355" s="62" t="s">
        <v>40556</v>
      </c>
      <c r="S355" s="62" t="s">
        <v>40557</v>
      </c>
      <c r="U355" s="62" t="s">
        <v>40558</v>
      </c>
      <c r="V355" s="62" t="s">
        <v>58218</v>
      </c>
      <c r="W355" s="62" t="s">
        <v>40559</v>
      </c>
      <c r="X355" s="62" t="s">
        <v>40560</v>
      </c>
      <c r="Y355" s="62" t="s">
        <v>40561</v>
      </c>
      <c r="Z355" s="62" t="s">
        <v>40562</v>
      </c>
      <c r="AA355" s="62" t="s">
        <v>58230</v>
      </c>
      <c r="AB355" s="62" t="s">
        <v>40563</v>
      </c>
      <c r="AC355" s="62" t="s">
        <v>40564</v>
      </c>
      <c r="AD355" s="62" t="s">
        <v>40565</v>
      </c>
    </row>
    <row r="356" spans="1:30" x14ac:dyDescent="0.25">
      <c r="A356" s="62" t="s">
        <v>109</v>
      </c>
      <c r="C356" s="62" t="s">
        <v>40566</v>
      </c>
      <c r="F356" s="62" t="s">
        <v>2297</v>
      </c>
      <c r="G356" s="62" t="s">
        <v>58183</v>
      </c>
      <c r="J356" s="62" t="s">
        <v>40567</v>
      </c>
      <c r="K356" s="62" t="s">
        <v>58195</v>
      </c>
      <c r="L356" s="62" t="s">
        <v>40568</v>
      </c>
      <c r="M356" s="62" t="s">
        <v>40569</v>
      </c>
      <c r="N356" s="62" t="s">
        <v>40570</v>
      </c>
      <c r="O356" s="62" t="s">
        <v>40571</v>
      </c>
      <c r="P356" s="62" t="s">
        <v>58207</v>
      </c>
      <c r="Q356" s="62" t="s">
        <v>40572</v>
      </c>
      <c r="R356" s="62" t="s">
        <v>40573</v>
      </c>
      <c r="S356" s="62" t="s">
        <v>40574</v>
      </c>
      <c r="U356" s="62" t="s">
        <v>40575</v>
      </c>
      <c r="V356" s="62" t="s">
        <v>58219</v>
      </c>
      <c r="W356" s="62" t="s">
        <v>40576</v>
      </c>
      <c r="X356" s="62" t="s">
        <v>40577</v>
      </c>
      <c r="Y356" s="62" t="s">
        <v>40578</v>
      </c>
      <c r="Z356" s="62" t="s">
        <v>40579</v>
      </c>
      <c r="AA356" s="62" t="s">
        <v>58231</v>
      </c>
      <c r="AB356" s="62" t="s">
        <v>40580</v>
      </c>
      <c r="AC356" s="62" t="s">
        <v>40581</v>
      </c>
      <c r="AD356" s="62" t="s">
        <v>40582</v>
      </c>
    </row>
    <row r="357" spans="1:30" x14ac:dyDescent="0.25">
      <c r="A357" s="62" t="s">
        <v>109</v>
      </c>
      <c r="C357" s="62" t="s">
        <v>4332</v>
      </c>
      <c r="F357" s="62" t="s">
        <v>4942</v>
      </c>
      <c r="G357" s="62" t="s">
        <v>58184</v>
      </c>
      <c r="J357" s="62" t="s">
        <v>40583</v>
      </c>
      <c r="K357" s="62" t="s">
        <v>58196</v>
      </c>
      <c r="L357" s="62" t="s">
        <v>40584</v>
      </c>
      <c r="M357" s="62" t="s">
        <v>40585</v>
      </c>
      <c r="N357" s="62" t="s">
        <v>40586</v>
      </c>
      <c r="O357" s="62" t="s">
        <v>40587</v>
      </c>
      <c r="P357" s="62" t="s">
        <v>58208</v>
      </c>
      <c r="Q357" s="62" t="s">
        <v>40588</v>
      </c>
      <c r="R357" s="62" t="s">
        <v>40589</v>
      </c>
      <c r="S357" s="62" t="s">
        <v>40590</v>
      </c>
      <c r="U357" s="62" t="s">
        <v>40591</v>
      </c>
      <c r="V357" s="62" t="s">
        <v>58220</v>
      </c>
      <c r="W357" s="62" t="s">
        <v>40592</v>
      </c>
      <c r="X357" s="62" t="s">
        <v>40593</v>
      </c>
      <c r="Y357" s="62" t="s">
        <v>40594</v>
      </c>
      <c r="Z357" s="62" t="s">
        <v>40595</v>
      </c>
      <c r="AA357" s="62" t="s">
        <v>58232</v>
      </c>
      <c r="AB357" s="62" t="s">
        <v>40596</v>
      </c>
      <c r="AC357" s="62" t="s">
        <v>40597</v>
      </c>
      <c r="AD357" s="62" t="s">
        <v>40598</v>
      </c>
    </row>
    <row r="358" spans="1:30" x14ac:dyDescent="0.25">
      <c r="A358" s="62" t="s">
        <v>109</v>
      </c>
      <c r="C358" s="62" t="s">
        <v>4333</v>
      </c>
      <c r="F358" s="62" t="s">
        <v>3185</v>
      </c>
      <c r="G358" s="62" t="s">
        <v>58185</v>
      </c>
      <c r="J358" s="62" t="s">
        <v>4334</v>
      </c>
      <c r="K358" s="62" t="s">
        <v>58197</v>
      </c>
      <c r="L358" s="62" t="s">
        <v>4335</v>
      </c>
      <c r="M358" s="62" t="s">
        <v>4336</v>
      </c>
      <c r="N358" s="62" t="s">
        <v>4337</v>
      </c>
      <c r="O358" s="62" t="s">
        <v>4338</v>
      </c>
      <c r="P358" s="62" t="s">
        <v>58209</v>
      </c>
      <c r="Q358" s="62" t="s">
        <v>4339</v>
      </c>
      <c r="R358" s="62" t="s">
        <v>4340</v>
      </c>
      <c r="S358" s="62" t="s">
        <v>4341</v>
      </c>
      <c r="U358" s="62" t="s">
        <v>4342</v>
      </c>
      <c r="V358" s="62" t="s">
        <v>58221</v>
      </c>
      <c r="W358" s="62" t="s">
        <v>4343</v>
      </c>
      <c r="X358" s="62" t="s">
        <v>4344</v>
      </c>
      <c r="Y358" s="62" t="s">
        <v>4345</v>
      </c>
      <c r="Z358" s="62" t="s">
        <v>4346</v>
      </c>
      <c r="AA358" s="62" t="s">
        <v>58233</v>
      </c>
      <c r="AB358" s="62" t="s">
        <v>4347</v>
      </c>
      <c r="AC358" s="62" t="s">
        <v>4348</v>
      </c>
      <c r="AD358" s="62" t="s">
        <v>4349</v>
      </c>
    </row>
    <row r="359" spans="1:30" x14ac:dyDescent="0.25">
      <c r="A359" s="62" t="s">
        <v>109</v>
      </c>
      <c r="C359" s="62" t="s">
        <v>4350</v>
      </c>
      <c r="F359" s="62" t="s">
        <v>2481</v>
      </c>
      <c r="G359" s="62" t="s">
        <v>58186</v>
      </c>
      <c r="J359" s="62" t="s">
        <v>4351</v>
      </c>
      <c r="K359" s="62" t="s">
        <v>58198</v>
      </c>
      <c r="L359" s="62" t="s">
        <v>4352</v>
      </c>
      <c r="M359" s="62" t="s">
        <v>4353</v>
      </c>
      <c r="N359" s="62" t="s">
        <v>4354</v>
      </c>
      <c r="O359" s="62" t="s">
        <v>4355</v>
      </c>
      <c r="P359" s="62" t="s">
        <v>58210</v>
      </c>
      <c r="Q359" s="62" t="s">
        <v>4356</v>
      </c>
      <c r="R359" s="62" t="s">
        <v>4357</v>
      </c>
      <c r="S359" s="62" t="s">
        <v>4358</v>
      </c>
      <c r="U359" s="62" t="s">
        <v>4359</v>
      </c>
      <c r="V359" s="62" t="s">
        <v>58222</v>
      </c>
      <c r="W359" s="62" t="s">
        <v>4360</v>
      </c>
      <c r="X359" s="62" t="s">
        <v>4361</v>
      </c>
      <c r="Y359" s="62" t="s">
        <v>4362</v>
      </c>
      <c r="Z359" s="62" t="s">
        <v>4363</v>
      </c>
      <c r="AA359" s="62" t="s">
        <v>58234</v>
      </c>
      <c r="AB359" s="62" t="s">
        <v>4364</v>
      </c>
      <c r="AC359" s="62" t="s">
        <v>4365</v>
      </c>
      <c r="AD359" s="62" t="s">
        <v>4366</v>
      </c>
    </row>
    <row r="360" spans="1:30" x14ac:dyDescent="0.25">
      <c r="A360" s="62" t="s">
        <v>109</v>
      </c>
      <c r="C360" s="62" t="s">
        <v>4367</v>
      </c>
      <c r="F360" s="62" t="s">
        <v>2337</v>
      </c>
      <c r="G360" s="62" t="s">
        <v>58187</v>
      </c>
      <c r="J360" s="62" t="s">
        <v>4368</v>
      </c>
      <c r="K360" s="62" t="s">
        <v>58199</v>
      </c>
      <c r="L360" s="62" t="s">
        <v>4369</v>
      </c>
      <c r="M360" s="62" t="s">
        <v>4370</v>
      </c>
      <c r="N360" s="62" t="s">
        <v>4371</v>
      </c>
      <c r="O360" s="62" t="s">
        <v>4372</v>
      </c>
      <c r="P360" s="62" t="s">
        <v>58211</v>
      </c>
      <c r="Q360" s="62" t="s">
        <v>4373</v>
      </c>
      <c r="R360" s="62" t="s">
        <v>4374</v>
      </c>
      <c r="S360" s="62" t="s">
        <v>4375</v>
      </c>
      <c r="U360" s="62" t="s">
        <v>4376</v>
      </c>
      <c r="V360" s="62" t="s">
        <v>58223</v>
      </c>
      <c r="W360" s="62" t="s">
        <v>4377</v>
      </c>
      <c r="X360" s="62" t="s">
        <v>4378</v>
      </c>
      <c r="Y360" s="62" t="s">
        <v>4379</v>
      </c>
      <c r="Z360" s="62" t="s">
        <v>4380</v>
      </c>
      <c r="AA360" s="62" t="s">
        <v>58235</v>
      </c>
      <c r="AB360" s="62" t="s">
        <v>4381</v>
      </c>
      <c r="AC360" s="62" t="s">
        <v>4382</v>
      </c>
      <c r="AD360" s="62" t="s">
        <v>4383</v>
      </c>
    </row>
    <row r="361" spans="1:30" x14ac:dyDescent="0.25">
      <c r="A361" s="62" t="s">
        <v>109</v>
      </c>
      <c r="C361" s="62" t="s">
        <v>4384</v>
      </c>
      <c r="F361" s="62" t="s">
        <v>2372</v>
      </c>
      <c r="G361" s="62" t="s">
        <v>58188</v>
      </c>
      <c r="J361" s="62" t="s">
        <v>4385</v>
      </c>
      <c r="K361" s="62" t="s">
        <v>58200</v>
      </c>
      <c r="L361" s="62" t="s">
        <v>4386</v>
      </c>
      <c r="M361" s="62" t="s">
        <v>4387</v>
      </c>
      <c r="N361" s="62" t="s">
        <v>4388</v>
      </c>
      <c r="O361" s="62" t="s">
        <v>4389</v>
      </c>
      <c r="P361" s="62" t="s">
        <v>58212</v>
      </c>
      <c r="Q361" s="62" t="s">
        <v>4390</v>
      </c>
      <c r="R361" s="62" t="s">
        <v>4391</v>
      </c>
      <c r="S361" s="62" t="s">
        <v>4392</v>
      </c>
      <c r="U361" s="62" t="s">
        <v>4393</v>
      </c>
      <c r="V361" s="62" t="s">
        <v>58224</v>
      </c>
      <c r="W361" s="62" t="s">
        <v>4394</v>
      </c>
      <c r="X361" s="62" t="s">
        <v>4395</v>
      </c>
      <c r="Y361" s="62" t="s">
        <v>4396</v>
      </c>
      <c r="Z361" s="62" t="s">
        <v>4397</v>
      </c>
      <c r="AA361" s="62" t="s">
        <v>58236</v>
      </c>
      <c r="AB361" s="62" t="s">
        <v>4398</v>
      </c>
      <c r="AC361" s="62" t="s">
        <v>4399</v>
      </c>
      <c r="AD361" s="62" t="s">
        <v>4400</v>
      </c>
    </row>
    <row r="362" spans="1:30" x14ac:dyDescent="0.25">
      <c r="A362" s="62" t="s">
        <v>109</v>
      </c>
      <c r="C362" s="62" t="s">
        <v>4289</v>
      </c>
    </row>
    <row r="363" spans="1:30" x14ac:dyDescent="0.25">
      <c r="A363" s="62" t="s">
        <v>109</v>
      </c>
      <c r="C363" s="62" t="s">
        <v>4401</v>
      </c>
      <c r="G363" s="62" t="s">
        <v>40599</v>
      </c>
      <c r="J363" s="62" t="s">
        <v>40600</v>
      </c>
      <c r="K363" s="62" t="s">
        <v>40601</v>
      </c>
      <c r="L363" s="62" t="s">
        <v>40602</v>
      </c>
      <c r="M363" s="62" t="s">
        <v>4402</v>
      </c>
      <c r="N363" s="62" t="s">
        <v>4403</v>
      </c>
      <c r="O363" s="62" t="s">
        <v>40603</v>
      </c>
      <c r="P363" s="62" t="s">
        <v>40604</v>
      </c>
      <c r="Q363" s="62" t="s">
        <v>40605</v>
      </c>
      <c r="R363" s="62" t="s">
        <v>4404</v>
      </c>
      <c r="S363" s="62" t="s">
        <v>4405</v>
      </c>
      <c r="U363" s="62" t="s">
        <v>40606</v>
      </c>
      <c r="V363" s="62" t="s">
        <v>40607</v>
      </c>
      <c r="W363" s="62" t="s">
        <v>40608</v>
      </c>
      <c r="X363" s="62" t="s">
        <v>4406</v>
      </c>
      <c r="Y363" s="62" t="s">
        <v>4407</v>
      </c>
      <c r="Z363" s="62" t="s">
        <v>40609</v>
      </c>
      <c r="AA363" s="62" t="s">
        <v>40610</v>
      </c>
      <c r="AB363" s="62" t="s">
        <v>40611</v>
      </c>
      <c r="AC363" s="62" t="s">
        <v>4408</v>
      </c>
      <c r="AD363" s="62" t="s">
        <v>4409</v>
      </c>
    </row>
    <row r="364" spans="1:30" x14ac:dyDescent="0.25">
      <c r="A364" s="62" t="s">
        <v>109</v>
      </c>
    </row>
    <row r="365" spans="1:30" x14ac:dyDescent="0.25">
      <c r="A365" s="62" t="s">
        <v>109</v>
      </c>
      <c r="C365" s="62" t="s">
        <v>40612</v>
      </c>
      <c r="E365" s="62" t="s">
        <v>2212</v>
      </c>
      <c r="G365" s="62" t="s">
        <v>40613</v>
      </c>
    </row>
    <row r="366" spans="1:30" x14ac:dyDescent="0.25">
      <c r="A366" s="62" t="s">
        <v>109</v>
      </c>
      <c r="C366" s="62" t="s">
        <v>4410</v>
      </c>
    </row>
    <row r="367" spans="1:30" x14ac:dyDescent="0.25">
      <c r="A367" s="62" t="s">
        <v>109</v>
      </c>
      <c r="C367" s="62" t="s">
        <v>4411</v>
      </c>
      <c r="F367" s="62" t="s">
        <v>40614</v>
      </c>
      <c r="G367" s="62" t="s">
        <v>58072</v>
      </c>
      <c r="J367" s="62" t="s">
        <v>4412</v>
      </c>
      <c r="K367" s="62" t="s">
        <v>58093</v>
      </c>
      <c r="L367" s="62" t="s">
        <v>4413</v>
      </c>
      <c r="M367" s="62" t="s">
        <v>4414</v>
      </c>
      <c r="N367" s="62" t="s">
        <v>4415</v>
      </c>
      <c r="O367" s="62" t="s">
        <v>4416</v>
      </c>
      <c r="P367" s="62" t="s">
        <v>58114</v>
      </c>
      <c r="Q367" s="62" t="s">
        <v>4417</v>
      </c>
      <c r="R367" s="62" t="s">
        <v>4418</v>
      </c>
      <c r="S367" s="62" t="s">
        <v>4419</v>
      </c>
      <c r="U367" s="62" t="s">
        <v>4420</v>
      </c>
      <c r="V367" s="62" t="s">
        <v>58135</v>
      </c>
      <c r="W367" s="62" t="s">
        <v>4421</v>
      </c>
      <c r="X367" s="62" t="s">
        <v>4422</v>
      </c>
      <c r="Y367" s="62" t="s">
        <v>4423</v>
      </c>
      <c r="Z367" s="62" t="s">
        <v>4424</v>
      </c>
      <c r="AA367" s="62" t="s">
        <v>58156</v>
      </c>
      <c r="AB367" s="62" t="s">
        <v>4425</v>
      </c>
      <c r="AC367" s="62" t="s">
        <v>4426</v>
      </c>
      <c r="AD367" s="62" t="s">
        <v>4427</v>
      </c>
    </row>
    <row r="368" spans="1:30" x14ac:dyDescent="0.25">
      <c r="A368" s="62" t="s">
        <v>109</v>
      </c>
      <c r="C368" s="62" t="s">
        <v>4428</v>
      </c>
      <c r="F368" s="62" t="s">
        <v>748</v>
      </c>
      <c r="G368" s="62" t="s">
        <v>58073</v>
      </c>
      <c r="J368" s="62" t="s">
        <v>4429</v>
      </c>
      <c r="K368" s="62" t="s">
        <v>58094</v>
      </c>
      <c r="L368" s="62" t="s">
        <v>4430</v>
      </c>
      <c r="M368" s="62" t="s">
        <v>4431</v>
      </c>
      <c r="N368" s="62" t="s">
        <v>4432</v>
      </c>
      <c r="O368" s="62" t="s">
        <v>4433</v>
      </c>
      <c r="P368" s="62" t="s">
        <v>58115</v>
      </c>
      <c r="Q368" s="62" t="s">
        <v>4434</v>
      </c>
      <c r="R368" s="62" t="s">
        <v>4435</v>
      </c>
      <c r="S368" s="62" t="s">
        <v>4436</v>
      </c>
      <c r="U368" s="62" t="s">
        <v>4437</v>
      </c>
      <c r="V368" s="62" t="s">
        <v>58136</v>
      </c>
      <c r="W368" s="62" t="s">
        <v>4438</v>
      </c>
      <c r="X368" s="62" t="s">
        <v>4439</v>
      </c>
      <c r="Y368" s="62" t="s">
        <v>4440</v>
      </c>
      <c r="Z368" s="62" t="s">
        <v>4441</v>
      </c>
      <c r="AA368" s="62" t="s">
        <v>58157</v>
      </c>
      <c r="AB368" s="62" t="s">
        <v>4442</v>
      </c>
      <c r="AC368" s="62" t="s">
        <v>4443</v>
      </c>
      <c r="AD368" s="62" t="s">
        <v>4444</v>
      </c>
    </row>
    <row r="369" spans="1:30" x14ac:dyDescent="0.25">
      <c r="A369" s="62" t="s">
        <v>109</v>
      </c>
      <c r="C369" s="62" t="s">
        <v>4445</v>
      </c>
      <c r="F369" s="62" t="s">
        <v>2153</v>
      </c>
      <c r="G369" s="62" t="s">
        <v>58074</v>
      </c>
      <c r="J369" s="62" t="s">
        <v>4446</v>
      </c>
      <c r="K369" s="62" t="s">
        <v>58095</v>
      </c>
      <c r="L369" s="62" t="s">
        <v>4447</v>
      </c>
      <c r="M369" s="62" t="s">
        <v>4448</v>
      </c>
      <c r="N369" s="62" t="s">
        <v>4449</v>
      </c>
      <c r="O369" s="62" t="s">
        <v>4450</v>
      </c>
      <c r="P369" s="62" t="s">
        <v>58116</v>
      </c>
      <c r="Q369" s="62" t="s">
        <v>4451</v>
      </c>
      <c r="R369" s="62" t="s">
        <v>4452</v>
      </c>
      <c r="S369" s="62" t="s">
        <v>4453</v>
      </c>
      <c r="U369" s="62" t="s">
        <v>4454</v>
      </c>
      <c r="V369" s="62" t="s">
        <v>58137</v>
      </c>
      <c r="W369" s="62" t="s">
        <v>4455</v>
      </c>
      <c r="X369" s="62" t="s">
        <v>4456</v>
      </c>
      <c r="Y369" s="62" t="s">
        <v>4457</v>
      </c>
      <c r="Z369" s="62" t="s">
        <v>4458</v>
      </c>
      <c r="AA369" s="62" t="s">
        <v>58158</v>
      </c>
      <c r="AB369" s="62" t="s">
        <v>4459</v>
      </c>
      <c r="AC369" s="62" t="s">
        <v>4460</v>
      </c>
      <c r="AD369" s="62" t="s">
        <v>4461</v>
      </c>
    </row>
    <row r="370" spans="1:30" x14ac:dyDescent="0.25">
      <c r="A370" s="62" t="s">
        <v>109</v>
      </c>
      <c r="C370" s="62" t="s">
        <v>4462</v>
      </c>
      <c r="F370" s="62" t="s">
        <v>2170</v>
      </c>
      <c r="G370" s="62" t="s">
        <v>58075</v>
      </c>
      <c r="J370" s="62" t="s">
        <v>4463</v>
      </c>
      <c r="K370" s="62" t="s">
        <v>58096</v>
      </c>
      <c r="L370" s="62" t="s">
        <v>4464</v>
      </c>
      <c r="M370" s="62" t="s">
        <v>4465</v>
      </c>
      <c r="N370" s="62" t="s">
        <v>4466</v>
      </c>
      <c r="O370" s="62" t="s">
        <v>4467</v>
      </c>
      <c r="P370" s="62" t="s">
        <v>58117</v>
      </c>
      <c r="Q370" s="62" t="s">
        <v>4468</v>
      </c>
      <c r="R370" s="62" t="s">
        <v>4469</v>
      </c>
      <c r="S370" s="62" t="s">
        <v>4470</v>
      </c>
      <c r="U370" s="62" t="s">
        <v>4471</v>
      </c>
      <c r="V370" s="62" t="s">
        <v>58138</v>
      </c>
      <c r="W370" s="62" t="s">
        <v>4472</v>
      </c>
      <c r="X370" s="62" t="s">
        <v>4473</v>
      </c>
      <c r="Y370" s="62" t="s">
        <v>4474</v>
      </c>
      <c r="Z370" s="62" t="s">
        <v>4475</v>
      </c>
      <c r="AA370" s="62" t="s">
        <v>58159</v>
      </c>
      <c r="AB370" s="62" t="s">
        <v>4476</v>
      </c>
      <c r="AC370" s="62" t="s">
        <v>4477</v>
      </c>
      <c r="AD370" s="62" t="s">
        <v>4478</v>
      </c>
    </row>
    <row r="371" spans="1:30" x14ac:dyDescent="0.25">
      <c r="A371" s="62" t="s">
        <v>109</v>
      </c>
      <c r="C371" s="62" t="s">
        <v>4479</v>
      </c>
      <c r="F371" s="62" t="s">
        <v>2187</v>
      </c>
      <c r="G371" s="62" t="s">
        <v>58076</v>
      </c>
      <c r="J371" s="62" t="s">
        <v>4480</v>
      </c>
      <c r="K371" s="62" t="s">
        <v>58097</v>
      </c>
      <c r="L371" s="62" t="s">
        <v>4481</v>
      </c>
      <c r="M371" s="62" t="s">
        <v>4482</v>
      </c>
      <c r="N371" s="62" t="s">
        <v>4483</v>
      </c>
      <c r="O371" s="62" t="s">
        <v>4484</v>
      </c>
      <c r="P371" s="62" t="s">
        <v>58118</v>
      </c>
      <c r="Q371" s="62" t="s">
        <v>4485</v>
      </c>
      <c r="R371" s="62" t="s">
        <v>4486</v>
      </c>
      <c r="S371" s="62" t="s">
        <v>4487</v>
      </c>
      <c r="U371" s="62" t="s">
        <v>4488</v>
      </c>
      <c r="V371" s="62" t="s">
        <v>58139</v>
      </c>
      <c r="W371" s="62" t="s">
        <v>4489</v>
      </c>
      <c r="X371" s="62" t="s">
        <v>4490</v>
      </c>
      <c r="Y371" s="62" t="s">
        <v>4491</v>
      </c>
      <c r="Z371" s="62" t="s">
        <v>4492</v>
      </c>
      <c r="AA371" s="62" t="s">
        <v>58160</v>
      </c>
      <c r="AB371" s="62" t="s">
        <v>4493</v>
      </c>
      <c r="AC371" s="62" t="s">
        <v>4494</v>
      </c>
      <c r="AD371" s="62" t="s">
        <v>4495</v>
      </c>
    </row>
    <row r="372" spans="1:30" x14ac:dyDescent="0.25">
      <c r="A372" s="62" t="s">
        <v>109</v>
      </c>
      <c r="C372" s="62" t="s">
        <v>4496</v>
      </c>
      <c r="F372" s="62" t="s">
        <v>5259</v>
      </c>
      <c r="G372" s="62" t="s">
        <v>58077</v>
      </c>
      <c r="J372" s="62" t="s">
        <v>4497</v>
      </c>
      <c r="K372" s="62" t="s">
        <v>58098</v>
      </c>
      <c r="L372" s="62" t="s">
        <v>4498</v>
      </c>
      <c r="M372" s="62" t="s">
        <v>4499</v>
      </c>
      <c r="N372" s="62" t="s">
        <v>4500</v>
      </c>
      <c r="O372" s="62" t="s">
        <v>4501</v>
      </c>
      <c r="P372" s="62" t="s">
        <v>58119</v>
      </c>
      <c r="Q372" s="62" t="s">
        <v>4502</v>
      </c>
      <c r="R372" s="62" t="s">
        <v>4503</v>
      </c>
      <c r="S372" s="62" t="s">
        <v>4504</v>
      </c>
      <c r="U372" s="62" t="s">
        <v>4505</v>
      </c>
      <c r="V372" s="62" t="s">
        <v>58140</v>
      </c>
      <c r="W372" s="62" t="s">
        <v>4506</v>
      </c>
      <c r="X372" s="62" t="s">
        <v>4507</v>
      </c>
      <c r="Y372" s="62" t="s">
        <v>4508</v>
      </c>
      <c r="Z372" s="62" t="s">
        <v>4509</v>
      </c>
      <c r="AA372" s="62" t="s">
        <v>58161</v>
      </c>
      <c r="AB372" s="62" t="s">
        <v>4510</v>
      </c>
      <c r="AC372" s="62" t="s">
        <v>4511</v>
      </c>
      <c r="AD372" s="62" t="s">
        <v>4512</v>
      </c>
    </row>
    <row r="373" spans="1:30" x14ac:dyDescent="0.25">
      <c r="A373" s="62" t="s">
        <v>109</v>
      </c>
      <c r="C373" s="62" t="s">
        <v>4513</v>
      </c>
      <c r="F373" s="62" t="s">
        <v>2405</v>
      </c>
      <c r="G373" s="62" t="s">
        <v>58078</v>
      </c>
      <c r="J373" s="62" t="s">
        <v>4514</v>
      </c>
      <c r="K373" s="62" t="s">
        <v>58099</v>
      </c>
      <c r="L373" s="62" t="s">
        <v>4515</v>
      </c>
      <c r="M373" s="62" t="s">
        <v>4516</v>
      </c>
      <c r="N373" s="62" t="s">
        <v>4517</v>
      </c>
      <c r="O373" s="62" t="s">
        <v>4518</v>
      </c>
      <c r="P373" s="62" t="s">
        <v>58120</v>
      </c>
      <c r="Q373" s="62" t="s">
        <v>4519</v>
      </c>
      <c r="R373" s="62" t="s">
        <v>4520</v>
      </c>
      <c r="S373" s="62" t="s">
        <v>4521</v>
      </c>
      <c r="U373" s="62" t="s">
        <v>4522</v>
      </c>
      <c r="V373" s="62" t="s">
        <v>58141</v>
      </c>
      <c r="W373" s="62" t="s">
        <v>4523</v>
      </c>
      <c r="X373" s="62" t="s">
        <v>4524</v>
      </c>
      <c r="Y373" s="62" t="s">
        <v>4525</v>
      </c>
      <c r="Z373" s="62" t="s">
        <v>4526</v>
      </c>
      <c r="AA373" s="62" t="s">
        <v>58162</v>
      </c>
      <c r="AB373" s="62" t="s">
        <v>4527</v>
      </c>
      <c r="AC373" s="62" t="s">
        <v>4528</v>
      </c>
      <c r="AD373" s="62" t="s">
        <v>4529</v>
      </c>
    </row>
    <row r="374" spans="1:30" x14ac:dyDescent="0.25">
      <c r="A374" s="62" t="s">
        <v>109</v>
      </c>
      <c r="C374" s="62" t="s">
        <v>4530</v>
      </c>
      <c r="F374" s="62" t="s">
        <v>193</v>
      </c>
      <c r="G374" s="62" t="s">
        <v>58079</v>
      </c>
      <c r="J374" s="62" t="s">
        <v>4531</v>
      </c>
      <c r="K374" s="62" t="s">
        <v>58100</v>
      </c>
      <c r="L374" s="62" t="s">
        <v>4532</v>
      </c>
      <c r="M374" s="62" t="s">
        <v>4533</v>
      </c>
      <c r="N374" s="62" t="s">
        <v>4534</v>
      </c>
      <c r="O374" s="62" t="s">
        <v>4535</v>
      </c>
      <c r="P374" s="62" t="s">
        <v>58121</v>
      </c>
      <c r="Q374" s="62" t="s">
        <v>4536</v>
      </c>
      <c r="R374" s="62" t="s">
        <v>4537</v>
      </c>
      <c r="S374" s="62" t="s">
        <v>4538</v>
      </c>
      <c r="U374" s="62" t="s">
        <v>4539</v>
      </c>
      <c r="V374" s="62" t="s">
        <v>58142</v>
      </c>
      <c r="W374" s="62" t="s">
        <v>4540</v>
      </c>
      <c r="X374" s="62" t="s">
        <v>4541</v>
      </c>
      <c r="Y374" s="62" t="s">
        <v>4542</v>
      </c>
      <c r="Z374" s="62" t="s">
        <v>4543</v>
      </c>
      <c r="AA374" s="62" t="s">
        <v>58163</v>
      </c>
      <c r="AB374" s="62" t="s">
        <v>4544</v>
      </c>
      <c r="AC374" s="62" t="s">
        <v>4545</v>
      </c>
      <c r="AD374" s="62" t="s">
        <v>4546</v>
      </c>
    </row>
    <row r="375" spans="1:30" x14ac:dyDescent="0.25">
      <c r="A375" s="62" t="s">
        <v>109</v>
      </c>
      <c r="C375" s="62" t="s">
        <v>4547</v>
      </c>
      <c r="F375" s="62" t="s">
        <v>2222</v>
      </c>
      <c r="G375" s="62" t="s">
        <v>58080</v>
      </c>
      <c r="J375" s="62" t="s">
        <v>4548</v>
      </c>
      <c r="K375" s="62" t="s">
        <v>58101</v>
      </c>
      <c r="L375" s="62" t="s">
        <v>4549</v>
      </c>
      <c r="M375" s="62" t="s">
        <v>4550</v>
      </c>
      <c r="N375" s="62" t="s">
        <v>4551</v>
      </c>
      <c r="O375" s="62" t="s">
        <v>4552</v>
      </c>
      <c r="P375" s="62" t="s">
        <v>58122</v>
      </c>
      <c r="Q375" s="62" t="s">
        <v>4553</v>
      </c>
      <c r="R375" s="62" t="s">
        <v>4554</v>
      </c>
      <c r="S375" s="62" t="s">
        <v>4555</v>
      </c>
      <c r="U375" s="62" t="s">
        <v>4556</v>
      </c>
      <c r="V375" s="62" t="s">
        <v>58143</v>
      </c>
      <c r="W375" s="62" t="s">
        <v>4557</v>
      </c>
      <c r="X375" s="62" t="s">
        <v>4558</v>
      </c>
      <c r="Y375" s="62" t="s">
        <v>4559</v>
      </c>
      <c r="Z375" s="62" t="s">
        <v>4560</v>
      </c>
      <c r="AA375" s="62" t="s">
        <v>58164</v>
      </c>
      <c r="AB375" s="62" t="s">
        <v>4561</v>
      </c>
      <c r="AC375" s="62" t="s">
        <v>4562</v>
      </c>
      <c r="AD375" s="62" t="s">
        <v>4563</v>
      </c>
    </row>
    <row r="376" spans="1:30" x14ac:dyDescent="0.25">
      <c r="A376" s="62" t="s">
        <v>109</v>
      </c>
      <c r="C376" s="62" t="s">
        <v>4564</v>
      </c>
      <c r="F376" s="62" t="s">
        <v>2240</v>
      </c>
      <c r="G376" s="62" t="s">
        <v>58081</v>
      </c>
      <c r="J376" s="62" t="s">
        <v>4565</v>
      </c>
      <c r="K376" s="62" t="s">
        <v>58102</v>
      </c>
      <c r="L376" s="62" t="s">
        <v>4566</v>
      </c>
      <c r="M376" s="62" t="s">
        <v>4567</v>
      </c>
      <c r="N376" s="62" t="s">
        <v>4568</v>
      </c>
      <c r="O376" s="62" t="s">
        <v>4569</v>
      </c>
      <c r="P376" s="62" t="s">
        <v>58123</v>
      </c>
      <c r="Q376" s="62" t="s">
        <v>4570</v>
      </c>
      <c r="R376" s="62" t="s">
        <v>4571</v>
      </c>
      <c r="S376" s="62" t="s">
        <v>4572</v>
      </c>
      <c r="U376" s="62" t="s">
        <v>4573</v>
      </c>
      <c r="V376" s="62" t="s">
        <v>58144</v>
      </c>
      <c r="W376" s="62" t="s">
        <v>4574</v>
      </c>
      <c r="X376" s="62" t="s">
        <v>4575</v>
      </c>
      <c r="Y376" s="62" t="s">
        <v>4576</v>
      </c>
      <c r="Z376" s="62" t="s">
        <v>4577</v>
      </c>
      <c r="AA376" s="62" t="s">
        <v>58165</v>
      </c>
      <c r="AB376" s="62" t="s">
        <v>4578</v>
      </c>
      <c r="AC376" s="62" t="s">
        <v>4579</v>
      </c>
      <c r="AD376" s="62" t="s">
        <v>4580</v>
      </c>
    </row>
    <row r="377" spans="1:30" x14ac:dyDescent="0.25">
      <c r="A377" s="62" t="s">
        <v>109</v>
      </c>
      <c r="C377" s="62" t="s">
        <v>4581</v>
      </c>
      <c r="F377" s="62" t="s">
        <v>210</v>
      </c>
      <c r="G377" s="62" t="s">
        <v>58082</v>
      </c>
      <c r="J377" s="62" t="s">
        <v>4582</v>
      </c>
      <c r="K377" s="62" t="s">
        <v>58103</v>
      </c>
      <c r="L377" s="62" t="s">
        <v>4583</v>
      </c>
      <c r="M377" s="62" t="s">
        <v>4584</v>
      </c>
      <c r="N377" s="62" t="s">
        <v>4585</v>
      </c>
      <c r="O377" s="62" t="s">
        <v>4586</v>
      </c>
      <c r="P377" s="62" t="s">
        <v>58124</v>
      </c>
      <c r="Q377" s="62" t="s">
        <v>4587</v>
      </c>
      <c r="R377" s="62" t="s">
        <v>4588</v>
      </c>
      <c r="S377" s="62" t="s">
        <v>4589</v>
      </c>
      <c r="U377" s="62" t="s">
        <v>4590</v>
      </c>
      <c r="V377" s="62" t="s">
        <v>58145</v>
      </c>
      <c r="W377" s="62" t="s">
        <v>4591</v>
      </c>
      <c r="X377" s="62" t="s">
        <v>4592</v>
      </c>
      <c r="Y377" s="62" t="s">
        <v>4593</v>
      </c>
      <c r="Z377" s="62" t="s">
        <v>4594</v>
      </c>
      <c r="AA377" s="62" t="s">
        <v>58166</v>
      </c>
      <c r="AB377" s="62" t="s">
        <v>4595</v>
      </c>
      <c r="AC377" s="62" t="s">
        <v>4596</v>
      </c>
      <c r="AD377" s="62" t="s">
        <v>4597</v>
      </c>
    </row>
    <row r="378" spans="1:30" x14ac:dyDescent="0.25">
      <c r="A378" s="62" t="s">
        <v>109</v>
      </c>
      <c r="C378" s="62" t="s">
        <v>4598</v>
      </c>
      <c r="F378" s="62" t="s">
        <v>227</v>
      </c>
      <c r="G378" s="62" t="s">
        <v>58083</v>
      </c>
      <c r="J378" s="62" t="s">
        <v>4599</v>
      </c>
      <c r="K378" s="62" t="s">
        <v>58104</v>
      </c>
      <c r="L378" s="62" t="s">
        <v>4600</v>
      </c>
      <c r="M378" s="62" t="s">
        <v>4601</v>
      </c>
      <c r="N378" s="62" t="s">
        <v>4602</v>
      </c>
      <c r="O378" s="62" t="s">
        <v>4603</v>
      </c>
      <c r="P378" s="62" t="s">
        <v>58125</v>
      </c>
      <c r="Q378" s="62" t="s">
        <v>4604</v>
      </c>
      <c r="R378" s="62" t="s">
        <v>4605</v>
      </c>
      <c r="S378" s="62" t="s">
        <v>4606</v>
      </c>
      <c r="U378" s="62" t="s">
        <v>4607</v>
      </c>
      <c r="V378" s="62" t="s">
        <v>58146</v>
      </c>
      <c r="W378" s="62" t="s">
        <v>4608</v>
      </c>
      <c r="X378" s="62" t="s">
        <v>4609</v>
      </c>
      <c r="Y378" s="62" t="s">
        <v>4610</v>
      </c>
      <c r="Z378" s="62" t="s">
        <v>4611</v>
      </c>
      <c r="AA378" s="62" t="s">
        <v>58167</v>
      </c>
      <c r="AB378" s="62" t="s">
        <v>4612</v>
      </c>
      <c r="AC378" s="62" t="s">
        <v>4613</v>
      </c>
      <c r="AD378" s="62" t="s">
        <v>4614</v>
      </c>
    </row>
    <row r="379" spans="1:30" x14ac:dyDescent="0.25">
      <c r="A379" s="62" t="s">
        <v>109</v>
      </c>
      <c r="C379" s="62" t="s">
        <v>4615</v>
      </c>
      <c r="F379" s="62" t="s">
        <v>237</v>
      </c>
      <c r="G379" s="62" t="s">
        <v>58084</v>
      </c>
      <c r="J379" s="62" t="s">
        <v>4616</v>
      </c>
      <c r="K379" s="62" t="s">
        <v>58105</v>
      </c>
      <c r="L379" s="62" t="s">
        <v>4617</v>
      </c>
      <c r="M379" s="62" t="s">
        <v>4618</v>
      </c>
      <c r="N379" s="62" t="s">
        <v>4619</v>
      </c>
      <c r="O379" s="62" t="s">
        <v>4620</v>
      </c>
      <c r="P379" s="62" t="s">
        <v>58126</v>
      </c>
      <c r="Q379" s="62" t="s">
        <v>4621</v>
      </c>
      <c r="R379" s="62" t="s">
        <v>4622</v>
      </c>
      <c r="S379" s="62" t="s">
        <v>4623</v>
      </c>
      <c r="U379" s="62" t="s">
        <v>4624</v>
      </c>
      <c r="V379" s="62" t="s">
        <v>58147</v>
      </c>
      <c r="W379" s="62" t="s">
        <v>4625</v>
      </c>
      <c r="X379" s="62" t="s">
        <v>4626</v>
      </c>
      <c r="Y379" s="62" t="s">
        <v>4627</v>
      </c>
      <c r="Z379" s="62" t="s">
        <v>4628</v>
      </c>
      <c r="AA379" s="62" t="s">
        <v>58168</v>
      </c>
      <c r="AB379" s="62" t="s">
        <v>4629</v>
      </c>
      <c r="AC379" s="62" t="s">
        <v>4630</v>
      </c>
      <c r="AD379" s="62" t="s">
        <v>4631</v>
      </c>
    </row>
    <row r="380" spans="1:30" x14ac:dyDescent="0.25">
      <c r="A380" s="62" t="s">
        <v>109</v>
      </c>
      <c r="C380" s="62" t="s">
        <v>40615</v>
      </c>
      <c r="F380" s="62" t="s">
        <v>3799</v>
      </c>
      <c r="G380" s="62" t="s">
        <v>58085</v>
      </c>
      <c r="J380" s="62" t="s">
        <v>40616</v>
      </c>
      <c r="K380" s="62" t="s">
        <v>58106</v>
      </c>
      <c r="L380" s="62" t="s">
        <v>40617</v>
      </c>
      <c r="M380" s="62" t="s">
        <v>40618</v>
      </c>
      <c r="N380" s="62" t="s">
        <v>40619</v>
      </c>
      <c r="O380" s="62" t="s">
        <v>40620</v>
      </c>
      <c r="P380" s="62" t="s">
        <v>58127</v>
      </c>
      <c r="Q380" s="62" t="s">
        <v>40621</v>
      </c>
      <c r="R380" s="62" t="s">
        <v>40622</v>
      </c>
      <c r="S380" s="62" t="s">
        <v>40623</v>
      </c>
      <c r="U380" s="62" t="s">
        <v>40624</v>
      </c>
      <c r="V380" s="62" t="s">
        <v>58148</v>
      </c>
      <c r="W380" s="62" t="s">
        <v>40625</v>
      </c>
      <c r="X380" s="62" t="s">
        <v>40626</v>
      </c>
      <c r="Y380" s="62" t="s">
        <v>40627</v>
      </c>
      <c r="Z380" s="62" t="s">
        <v>40628</v>
      </c>
      <c r="AA380" s="62" t="s">
        <v>58169</v>
      </c>
      <c r="AB380" s="62" t="s">
        <v>40629</v>
      </c>
      <c r="AC380" s="62" t="s">
        <v>40630</v>
      </c>
      <c r="AD380" s="62" t="s">
        <v>40631</v>
      </c>
    </row>
    <row r="381" spans="1:30" x14ac:dyDescent="0.25">
      <c r="A381" s="62" t="s">
        <v>109</v>
      </c>
      <c r="C381" s="62" t="s">
        <v>4632</v>
      </c>
      <c r="F381" s="62" t="s">
        <v>2297</v>
      </c>
      <c r="G381" s="62" t="s">
        <v>58086</v>
      </c>
      <c r="J381" s="62" t="s">
        <v>40632</v>
      </c>
      <c r="K381" s="62" t="s">
        <v>58107</v>
      </c>
      <c r="L381" s="62" t="s">
        <v>40633</v>
      </c>
      <c r="M381" s="62" t="s">
        <v>4633</v>
      </c>
      <c r="N381" s="62" t="s">
        <v>4634</v>
      </c>
      <c r="O381" s="62" t="s">
        <v>40634</v>
      </c>
      <c r="P381" s="62" t="s">
        <v>58128</v>
      </c>
      <c r="Q381" s="62" t="s">
        <v>40635</v>
      </c>
      <c r="R381" s="62" t="s">
        <v>4635</v>
      </c>
      <c r="S381" s="62" t="s">
        <v>4636</v>
      </c>
      <c r="U381" s="62" t="s">
        <v>40636</v>
      </c>
      <c r="V381" s="62" t="s">
        <v>58149</v>
      </c>
      <c r="W381" s="62" t="s">
        <v>40637</v>
      </c>
      <c r="X381" s="62" t="s">
        <v>4637</v>
      </c>
      <c r="Y381" s="62" t="s">
        <v>4638</v>
      </c>
      <c r="Z381" s="62" t="s">
        <v>40638</v>
      </c>
      <c r="AA381" s="62" t="s">
        <v>58170</v>
      </c>
      <c r="AB381" s="62" t="s">
        <v>40639</v>
      </c>
      <c r="AC381" s="62" t="s">
        <v>4639</v>
      </c>
      <c r="AD381" s="62" t="s">
        <v>4640</v>
      </c>
    </row>
    <row r="382" spans="1:30" x14ac:dyDescent="0.25">
      <c r="A382" s="62" t="s">
        <v>109</v>
      </c>
      <c r="C382" s="62" t="s">
        <v>40640</v>
      </c>
      <c r="F382" s="62" t="s">
        <v>2299</v>
      </c>
      <c r="G382" s="62" t="s">
        <v>58087</v>
      </c>
      <c r="J382" s="62" t="s">
        <v>40641</v>
      </c>
      <c r="K382" s="62" t="s">
        <v>58108</v>
      </c>
      <c r="L382" s="62" t="s">
        <v>40642</v>
      </c>
      <c r="M382" s="62" t="s">
        <v>40643</v>
      </c>
      <c r="N382" s="62" t="s">
        <v>40644</v>
      </c>
      <c r="O382" s="62" t="s">
        <v>40645</v>
      </c>
      <c r="P382" s="62" t="s">
        <v>58129</v>
      </c>
      <c r="Q382" s="62" t="s">
        <v>40646</v>
      </c>
      <c r="R382" s="62" t="s">
        <v>40647</v>
      </c>
      <c r="S382" s="62" t="s">
        <v>40648</v>
      </c>
      <c r="U382" s="62" t="s">
        <v>40649</v>
      </c>
      <c r="V382" s="62" t="s">
        <v>58150</v>
      </c>
      <c r="W382" s="62" t="s">
        <v>40650</v>
      </c>
      <c r="X382" s="62" t="s">
        <v>40651</v>
      </c>
      <c r="Y382" s="62" t="s">
        <v>40652</v>
      </c>
      <c r="Z382" s="62" t="s">
        <v>40653</v>
      </c>
      <c r="AA382" s="62" t="s">
        <v>58171</v>
      </c>
      <c r="AB382" s="62" t="s">
        <v>40654</v>
      </c>
      <c r="AC382" s="62" t="s">
        <v>40655</v>
      </c>
      <c r="AD382" s="62" t="s">
        <v>40656</v>
      </c>
    </row>
    <row r="383" spans="1:30" x14ac:dyDescent="0.25">
      <c r="A383" s="62" t="s">
        <v>109</v>
      </c>
      <c r="C383" s="62" t="s">
        <v>40657</v>
      </c>
      <c r="F383" s="62" t="s">
        <v>2309</v>
      </c>
      <c r="G383" s="62" t="s">
        <v>58088</v>
      </c>
      <c r="J383" s="62" t="s">
        <v>40658</v>
      </c>
      <c r="K383" s="62" t="s">
        <v>58109</v>
      </c>
      <c r="L383" s="62" t="s">
        <v>40659</v>
      </c>
      <c r="M383" s="62" t="s">
        <v>40660</v>
      </c>
      <c r="N383" s="62" t="s">
        <v>40661</v>
      </c>
      <c r="O383" s="62" t="s">
        <v>40662</v>
      </c>
      <c r="P383" s="62" t="s">
        <v>58130</v>
      </c>
      <c r="Q383" s="62" t="s">
        <v>40663</v>
      </c>
      <c r="R383" s="62" t="s">
        <v>40664</v>
      </c>
      <c r="S383" s="62" t="s">
        <v>40665</v>
      </c>
      <c r="U383" s="62" t="s">
        <v>40666</v>
      </c>
      <c r="V383" s="62" t="s">
        <v>58151</v>
      </c>
      <c r="W383" s="62" t="s">
        <v>40667</v>
      </c>
      <c r="X383" s="62" t="s">
        <v>40668</v>
      </c>
      <c r="Y383" s="62" t="s">
        <v>40669</v>
      </c>
      <c r="Z383" s="62" t="s">
        <v>40670</v>
      </c>
      <c r="AA383" s="62" t="s">
        <v>58172</v>
      </c>
      <c r="AB383" s="62" t="s">
        <v>40671</v>
      </c>
      <c r="AC383" s="62" t="s">
        <v>40672</v>
      </c>
      <c r="AD383" s="62" t="s">
        <v>40673</v>
      </c>
    </row>
    <row r="384" spans="1:30" x14ac:dyDescent="0.25">
      <c r="A384" s="62" t="s">
        <v>109</v>
      </c>
      <c r="C384" s="62" t="s">
        <v>4641</v>
      </c>
      <c r="F384" s="62" t="s">
        <v>4942</v>
      </c>
      <c r="G384" s="62" t="s">
        <v>58089</v>
      </c>
      <c r="J384" s="62" t="s">
        <v>40674</v>
      </c>
      <c r="K384" s="62" t="s">
        <v>58110</v>
      </c>
      <c r="L384" s="62" t="s">
        <v>40675</v>
      </c>
      <c r="M384" s="62" t="s">
        <v>40676</v>
      </c>
      <c r="N384" s="62" t="s">
        <v>40677</v>
      </c>
      <c r="O384" s="62" t="s">
        <v>40678</v>
      </c>
      <c r="P384" s="62" t="s">
        <v>58131</v>
      </c>
      <c r="Q384" s="62" t="s">
        <v>40679</v>
      </c>
      <c r="R384" s="62" t="s">
        <v>40680</v>
      </c>
      <c r="S384" s="62" t="s">
        <v>40681</v>
      </c>
      <c r="U384" s="62" t="s">
        <v>40682</v>
      </c>
      <c r="V384" s="62" t="s">
        <v>58152</v>
      </c>
      <c r="W384" s="62" t="s">
        <v>40683</v>
      </c>
      <c r="X384" s="62" t="s">
        <v>40684</v>
      </c>
      <c r="Y384" s="62" t="s">
        <v>40685</v>
      </c>
      <c r="Z384" s="62" t="s">
        <v>40686</v>
      </c>
      <c r="AA384" s="62" t="s">
        <v>58173</v>
      </c>
      <c r="AB384" s="62" t="s">
        <v>40687</v>
      </c>
      <c r="AC384" s="62" t="s">
        <v>40688</v>
      </c>
      <c r="AD384" s="62" t="s">
        <v>40689</v>
      </c>
    </row>
    <row r="385" spans="1:30" x14ac:dyDescent="0.25">
      <c r="A385" s="62" t="s">
        <v>109</v>
      </c>
      <c r="C385" s="62" t="s">
        <v>4642</v>
      </c>
      <c r="F385" s="62" t="s">
        <v>271</v>
      </c>
      <c r="G385" s="62" t="s">
        <v>58090</v>
      </c>
      <c r="J385" s="62" t="s">
        <v>4643</v>
      </c>
      <c r="K385" s="62" t="s">
        <v>58111</v>
      </c>
      <c r="L385" s="62" t="s">
        <v>4644</v>
      </c>
      <c r="M385" s="62" t="s">
        <v>4645</v>
      </c>
      <c r="N385" s="62" t="s">
        <v>4646</v>
      </c>
      <c r="O385" s="62" t="s">
        <v>4647</v>
      </c>
      <c r="P385" s="62" t="s">
        <v>58132</v>
      </c>
      <c r="Q385" s="62" t="s">
        <v>4648</v>
      </c>
      <c r="R385" s="62" t="s">
        <v>4649</v>
      </c>
      <c r="S385" s="62" t="s">
        <v>4650</v>
      </c>
      <c r="U385" s="62" t="s">
        <v>4651</v>
      </c>
      <c r="V385" s="62" t="s">
        <v>58153</v>
      </c>
      <c r="W385" s="62" t="s">
        <v>4652</v>
      </c>
      <c r="X385" s="62" t="s">
        <v>4653</v>
      </c>
      <c r="Y385" s="62" t="s">
        <v>4654</v>
      </c>
      <c r="Z385" s="62" t="s">
        <v>4655</v>
      </c>
      <c r="AA385" s="62" t="s">
        <v>58174</v>
      </c>
      <c r="AB385" s="62" t="s">
        <v>4656</v>
      </c>
      <c r="AC385" s="62" t="s">
        <v>4657</v>
      </c>
      <c r="AD385" s="62" t="s">
        <v>4658</v>
      </c>
    </row>
    <row r="386" spans="1:30" x14ac:dyDescent="0.25">
      <c r="A386" s="62" t="s">
        <v>109</v>
      </c>
      <c r="C386" s="62" t="s">
        <v>4659</v>
      </c>
      <c r="F386" s="62" t="s">
        <v>1100</v>
      </c>
      <c r="G386" s="62" t="s">
        <v>58091</v>
      </c>
      <c r="J386" s="62" t="s">
        <v>4660</v>
      </c>
      <c r="K386" s="62" t="s">
        <v>58112</v>
      </c>
      <c r="L386" s="62" t="s">
        <v>4661</v>
      </c>
      <c r="M386" s="62" t="s">
        <v>4662</v>
      </c>
      <c r="N386" s="62" t="s">
        <v>4663</v>
      </c>
      <c r="O386" s="62" t="s">
        <v>4664</v>
      </c>
      <c r="P386" s="62" t="s">
        <v>58133</v>
      </c>
      <c r="Q386" s="62" t="s">
        <v>4665</v>
      </c>
      <c r="R386" s="62" t="s">
        <v>4666</v>
      </c>
      <c r="S386" s="62" t="s">
        <v>4667</v>
      </c>
      <c r="U386" s="62" t="s">
        <v>4668</v>
      </c>
      <c r="V386" s="62" t="s">
        <v>58154</v>
      </c>
      <c r="W386" s="62" t="s">
        <v>4669</v>
      </c>
      <c r="X386" s="62" t="s">
        <v>4670</v>
      </c>
      <c r="Y386" s="62" t="s">
        <v>4671</v>
      </c>
      <c r="Z386" s="62" t="s">
        <v>4672</v>
      </c>
      <c r="AA386" s="62" t="s">
        <v>58175</v>
      </c>
      <c r="AB386" s="62" t="s">
        <v>4673</v>
      </c>
      <c r="AC386" s="62" t="s">
        <v>4674</v>
      </c>
      <c r="AD386" s="62" t="s">
        <v>4675</v>
      </c>
    </row>
    <row r="387" spans="1:30" x14ac:dyDescent="0.25">
      <c r="A387" s="62" t="s">
        <v>109</v>
      </c>
      <c r="C387" s="62" t="s">
        <v>4676</v>
      </c>
      <c r="F387" s="62" t="s">
        <v>3237</v>
      </c>
      <c r="G387" s="62" t="s">
        <v>58092</v>
      </c>
      <c r="J387" s="62" t="s">
        <v>4677</v>
      </c>
      <c r="K387" s="62" t="s">
        <v>58113</v>
      </c>
      <c r="L387" s="62" t="s">
        <v>4678</v>
      </c>
      <c r="M387" s="62" t="s">
        <v>4679</v>
      </c>
      <c r="N387" s="62" t="s">
        <v>4680</v>
      </c>
      <c r="O387" s="62" t="s">
        <v>4681</v>
      </c>
      <c r="P387" s="62" t="s">
        <v>58134</v>
      </c>
      <c r="Q387" s="62" t="s">
        <v>4682</v>
      </c>
      <c r="R387" s="62" t="s">
        <v>4683</v>
      </c>
      <c r="S387" s="62" t="s">
        <v>4684</v>
      </c>
      <c r="U387" s="62" t="s">
        <v>4685</v>
      </c>
      <c r="V387" s="62" t="s">
        <v>58155</v>
      </c>
      <c r="W387" s="62" t="s">
        <v>4686</v>
      </c>
      <c r="X387" s="62" t="s">
        <v>4687</v>
      </c>
      <c r="Y387" s="62" t="s">
        <v>4688</v>
      </c>
      <c r="Z387" s="62" t="s">
        <v>4689</v>
      </c>
      <c r="AA387" s="62" t="s">
        <v>58176</v>
      </c>
      <c r="AB387" s="62" t="s">
        <v>4690</v>
      </c>
      <c r="AC387" s="62" t="s">
        <v>4691</v>
      </c>
      <c r="AD387" s="62" t="s">
        <v>4692</v>
      </c>
    </row>
    <row r="388" spans="1:30" x14ac:dyDescent="0.25">
      <c r="A388" s="62" t="s">
        <v>109</v>
      </c>
      <c r="C388" s="62" t="s">
        <v>4428</v>
      </c>
    </row>
    <row r="389" spans="1:30" x14ac:dyDescent="0.25">
      <c r="A389" s="62" t="s">
        <v>109</v>
      </c>
      <c r="C389" s="62" t="s">
        <v>4693</v>
      </c>
      <c r="G389" s="62" t="s">
        <v>40690</v>
      </c>
      <c r="J389" s="62" t="s">
        <v>40691</v>
      </c>
      <c r="K389" s="62" t="s">
        <v>40692</v>
      </c>
      <c r="L389" s="62" t="s">
        <v>40693</v>
      </c>
      <c r="M389" s="62" t="s">
        <v>4694</v>
      </c>
      <c r="N389" s="62" t="s">
        <v>4695</v>
      </c>
      <c r="O389" s="62" t="s">
        <v>40694</v>
      </c>
      <c r="P389" s="62" t="s">
        <v>40695</v>
      </c>
      <c r="Q389" s="62" t="s">
        <v>40696</v>
      </c>
      <c r="R389" s="62" t="s">
        <v>4696</v>
      </c>
      <c r="S389" s="62" t="s">
        <v>4697</v>
      </c>
      <c r="U389" s="62" t="s">
        <v>40697</v>
      </c>
      <c r="V389" s="62" t="s">
        <v>40698</v>
      </c>
      <c r="W389" s="62" t="s">
        <v>40699</v>
      </c>
      <c r="X389" s="62" t="s">
        <v>4698</v>
      </c>
      <c r="Y389" s="62" t="s">
        <v>4699</v>
      </c>
      <c r="Z389" s="62" t="s">
        <v>40700</v>
      </c>
      <c r="AA389" s="62" t="s">
        <v>40701</v>
      </c>
      <c r="AB389" s="62" t="s">
        <v>40702</v>
      </c>
      <c r="AC389" s="62" t="s">
        <v>4700</v>
      </c>
      <c r="AD389" s="62" t="s">
        <v>4701</v>
      </c>
    </row>
    <row r="390" spans="1:30" x14ac:dyDescent="0.25">
      <c r="A390" s="62" t="s">
        <v>109</v>
      </c>
    </row>
    <row r="391" spans="1:30" x14ac:dyDescent="0.25">
      <c r="A391" s="62" t="s">
        <v>109</v>
      </c>
      <c r="C391" s="62" t="s">
        <v>40703</v>
      </c>
      <c r="E391" s="62" t="s">
        <v>193</v>
      </c>
      <c r="G391" s="62" t="s">
        <v>40704</v>
      </c>
    </row>
    <row r="392" spans="1:30" x14ac:dyDescent="0.25">
      <c r="A392" s="62" t="s">
        <v>109</v>
      </c>
      <c r="C392" s="62" t="s">
        <v>4702</v>
      </c>
    </row>
    <row r="393" spans="1:30" x14ac:dyDescent="0.25">
      <c r="A393" s="62" t="s">
        <v>109</v>
      </c>
      <c r="C393" s="62" t="s">
        <v>4703</v>
      </c>
      <c r="F393" s="62" t="s">
        <v>40705</v>
      </c>
      <c r="G393" s="62" t="s">
        <v>57857</v>
      </c>
      <c r="J393" s="62" t="s">
        <v>4704</v>
      </c>
      <c r="K393" s="62" t="s">
        <v>57900</v>
      </c>
      <c r="L393" s="62" t="s">
        <v>4705</v>
      </c>
      <c r="M393" s="62" t="s">
        <v>4706</v>
      </c>
      <c r="N393" s="62" t="s">
        <v>4707</v>
      </c>
      <c r="O393" s="62" t="s">
        <v>4708</v>
      </c>
      <c r="P393" s="62" t="s">
        <v>57943</v>
      </c>
      <c r="Q393" s="62" t="s">
        <v>4709</v>
      </c>
      <c r="R393" s="62" t="s">
        <v>4710</v>
      </c>
      <c r="S393" s="62" t="s">
        <v>4711</v>
      </c>
      <c r="U393" s="62" t="s">
        <v>4712</v>
      </c>
      <c r="V393" s="62" t="s">
        <v>57986</v>
      </c>
      <c r="W393" s="62" t="s">
        <v>4713</v>
      </c>
      <c r="X393" s="62" t="s">
        <v>4714</v>
      </c>
      <c r="Y393" s="62" t="s">
        <v>4715</v>
      </c>
      <c r="Z393" s="62" t="s">
        <v>4716</v>
      </c>
      <c r="AA393" s="62" t="s">
        <v>58029</v>
      </c>
      <c r="AB393" s="62" t="s">
        <v>4717</v>
      </c>
      <c r="AC393" s="62" t="s">
        <v>4718</v>
      </c>
      <c r="AD393" s="62" t="s">
        <v>4719</v>
      </c>
    </row>
    <row r="394" spans="1:30" x14ac:dyDescent="0.25">
      <c r="A394" s="62" t="s">
        <v>109</v>
      </c>
      <c r="C394" s="62" t="s">
        <v>4720</v>
      </c>
      <c r="F394" s="62" t="s">
        <v>748</v>
      </c>
      <c r="G394" s="62" t="s">
        <v>57858</v>
      </c>
      <c r="J394" s="62" t="s">
        <v>4721</v>
      </c>
      <c r="K394" s="62" t="s">
        <v>57901</v>
      </c>
      <c r="L394" s="62" t="s">
        <v>4722</v>
      </c>
      <c r="M394" s="62" t="s">
        <v>4723</v>
      </c>
      <c r="N394" s="62" t="s">
        <v>4724</v>
      </c>
      <c r="O394" s="62" t="s">
        <v>4725</v>
      </c>
      <c r="P394" s="62" t="s">
        <v>57944</v>
      </c>
      <c r="Q394" s="62" t="s">
        <v>4726</v>
      </c>
      <c r="R394" s="62" t="s">
        <v>4727</v>
      </c>
      <c r="S394" s="62" t="s">
        <v>4728</v>
      </c>
      <c r="U394" s="62" t="s">
        <v>4729</v>
      </c>
      <c r="V394" s="62" t="s">
        <v>57987</v>
      </c>
      <c r="W394" s="62" t="s">
        <v>4730</v>
      </c>
      <c r="X394" s="62" t="s">
        <v>4731</v>
      </c>
      <c r="Y394" s="62" t="s">
        <v>4732</v>
      </c>
      <c r="Z394" s="62" t="s">
        <v>4733</v>
      </c>
      <c r="AA394" s="62" t="s">
        <v>58030</v>
      </c>
      <c r="AB394" s="62" t="s">
        <v>4734</v>
      </c>
      <c r="AC394" s="62" t="s">
        <v>4735</v>
      </c>
      <c r="AD394" s="62" t="s">
        <v>4736</v>
      </c>
    </row>
    <row r="395" spans="1:30" x14ac:dyDescent="0.25">
      <c r="A395" s="62" t="s">
        <v>109</v>
      </c>
      <c r="C395" s="62" t="s">
        <v>4737</v>
      </c>
      <c r="F395" s="62" t="s">
        <v>758</v>
      </c>
      <c r="G395" s="62" t="s">
        <v>57859</v>
      </c>
      <c r="J395" s="62" t="s">
        <v>4738</v>
      </c>
      <c r="K395" s="62" t="s">
        <v>57902</v>
      </c>
      <c r="L395" s="62" t="s">
        <v>4739</v>
      </c>
      <c r="M395" s="62" t="s">
        <v>4740</v>
      </c>
      <c r="N395" s="62" t="s">
        <v>4741</v>
      </c>
      <c r="O395" s="62" t="s">
        <v>4742</v>
      </c>
      <c r="P395" s="62" t="s">
        <v>57945</v>
      </c>
      <c r="Q395" s="62" t="s">
        <v>4743</v>
      </c>
      <c r="R395" s="62" t="s">
        <v>4744</v>
      </c>
      <c r="S395" s="62" t="s">
        <v>4745</v>
      </c>
      <c r="U395" s="62" t="s">
        <v>4746</v>
      </c>
      <c r="V395" s="62" t="s">
        <v>57988</v>
      </c>
      <c r="W395" s="62" t="s">
        <v>4747</v>
      </c>
      <c r="X395" s="62" t="s">
        <v>4748</v>
      </c>
      <c r="Y395" s="62" t="s">
        <v>4749</v>
      </c>
      <c r="Z395" s="62" t="s">
        <v>4750</v>
      </c>
      <c r="AA395" s="62" t="s">
        <v>58031</v>
      </c>
      <c r="AB395" s="62" t="s">
        <v>4751</v>
      </c>
      <c r="AC395" s="62" t="s">
        <v>4752</v>
      </c>
      <c r="AD395" s="62" t="s">
        <v>4753</v>
      </c>
    </row>
    <row r="396" spans="1:30" x14ac:dyDescent="0.25">
      <c r="A396" s="62" t="s">
        <v>109</v>
      </c>
      <c r="C396" s="62" t="s">
        <v>4754</v>
      </c>
      <c r="F396" s="62" t="s">
        <v>1359</v>
      </c>
      <c r="G396" s="62" t="s">
        <v>57860</v>
      </c>
      <c r="J396" s="62" t="s">
        <v>4755</v>
      </c>
      <c r="K396" s="62" t="s">
        <v>57903</v>
      </c>
      <c r="L396" s="62" t="s">
        <v>4756</v>
      </c>
      <c r="M396" s="62" t="s">
        <v>4757</v>
      </c>
      <c r="N396" s="62" t="s">
        <v>4758</v>
      </c>
      <c r="O396" s="62" t="s">
        <v>4759</v>
      </c>
      <c r="P396" s="62" t="s">
        <v>57946</v>
      </c>
      <c r="Q396" s="62" t="s">
        <v>4760</v>
      </c>
      <c r="R396" s="62" t="s">
        <v>4761</v>
      </c>
      <c r="S396" s="62" t="s">
        <v>4762</v>
      </c>
      <c r="U396" s="62" t="s">
        <v>4763</v>
      </c>
      <c r="V396" s="62" t="s">
        <v>57989</v>
      </c>
      <c r="W396" s="62" t="s">
        <v>4764</v>
      </c>
      <c r="X396" s="62" t="s">
        <v>4765</v>
      </c>
      <c r="Y396" s="62" t="s">
        <v>4766</v>
      </c>
      <c r="Z396" s="62" t="s">
        <v>4767</v>
      </c>
      <c r="AA396" s="62" t="s">
        <v>58032</v>
      </c>
      <c r="AB396" s="62" t="s">
        <v>4768</v>
      </c>
      <c r="AC396" s="62" t="s">
        <v>4769</v>
      </c>
      <c r="AD396" s="62" t="s">
        <v>4770</v>
      </c>
    </row>
    <row r="397" spans="1:30" x14ac:dyDescent="0.25">
      <c r="A397" s="62" t="s">
        <v>109</v>
      </c>
      <c r="C397" s="62" t="s">
        <v>4771</v>
      </c>
      <c r="F397" s="62" t="s">
        <v>142</v>
      </c>
      <c r="G397" s="62" t="s">
        <v>57861</v>
      </c>
      <c r="J397" s="62" t="s">
        <v>4772</v>
      </c>
      <c r="K397" s="62" t="s">
        <v>57904</v>
      </c>
      <c r="L397" s="62" t="s">
        <v>4773</v>
      </c>
      <c r="M397" s="62" t="s">
        <v>4774</v>
      </c>
      <c r="N397" s="62" t="s">
        <v>4775</v>
      </c>
      <c r="O397" s="62" t="s">
        <v>4776</v>
      </c>
      <c r="P397" s="62" t="s">
        <v>57947</v>
      </c>
      <c r="Q397" s="62" t="s">
        <v>4777</v>
      </c>
      <c r="R397" s="62" t="s">
        <v>4778</v>
      </c>
      <c r="S397" s="62" t="s">
        <v>4779</v>
      </c>
      <c r="U397" s="62" t="s">
        <v>4780</v>
      </c>
      <c r="V397" s="62" t="s">
        <v>57990</v>
      </c>
      <c r="W397" s="62" t="s">
        <v>4781</v>
      </c>
      <c r="X397" s="62" t="s">
        <v>4782</v>
      </c>
      <c r="Y397" s="62" t="s">
        <v>4783</v>
      </c>
      <c r="Z397" s="62" t="s">
        <v>4784</v>
      </c>
      <c r="AA397" s="62" t="s">
        <v>58033</v>
      </c>
      <c r="AB397" s="62" t="s">
        <v>4785</v>
      </c>
      <c r="AC397" s="62" t="s">
        <v>4786</v>
      </c>
      <c r="AD397" s="62" t="s">
        <v>4787</v>
      </c>
    </row>
    <row r="398" spans="1:30" x14ac:dyDescent="0.25">
      <c r="A398" s="62" t="s">
        <v>109</v>
      </c>
      <c r="C398" s="62" t="s">
        <v>4788</v>
      </c>
      <c r="F398" s="62" t="s">
        <v>785</v>
      </c>
      <c r="G398" s="62" t="s">
        <v>57862</v>
      </c>
      <c r="J398" s="62" t="s">
        <v>4789</v>
      </c>
      <c r="K398" s="62" t="s">
        <v>57905</v>
      </c>
      <c r="L398" s="62" t="s">
        <v>4790</v>
      </c>
      <c r="M398" s="62" t="s">
        <v>4791</v>
      </c>
      <c r="N398" s="62" t="s">
        <v>4792</v>
      </c>
      <c r="O398" s="62" t="s">
        <v>4793</v>
      </c>
      <c r="P398" s="62" t="s">
        <v>57948</v>
      </c>
      <c r="Q398" s="62" t="s">
        <v>4794</v>
      </c>
      <c r="R398" s="62" t="s">
        <v>4795</v>
      </c>
      <c r="S398" s="62" t="s">
        <v>4796</v>
      </c>
      <c r="U398" s="62" t="s">
        <v>4797</v>
      </c>
      <c r="V398" s="62" t="s">
        <v>57991</v>
      </c>
      <c r="W398" s="62" t="s">
        <v>4798</v>
      </c>
      <c r="X398" s="62" t="s">
        <v>4799</v>
      </c>
      <c r="Y398" s="62" t="s">
        <v>4800</v>
      </c>
      <c r="Z398" s="62" t="s">
        <v>4801</v>
      </c>
      <c r="AA398" s="62" t="s">
        <v>58034</v>
      </c>
      <c r="AB398" s="62" t="s">
        <v>4802</v>
      </c>
      <c r="AC398" s="62" t="s">
        <v>4803</v>
      </c>
      <c r="AD398" s="62" t="s">
        <v>4804</v>
      </c>
    </row>
    <row r="399" spans="1:30" x14ac:dyDescent="0.25">
      <c r="A399" s="62" t="s">
        <v>109</v>
      </c>
      <c r="C399" s="62" t="s">
        <v>4805</v>
      </c>
      <c r="F399" s="62" t="s">
        <v>802</v>
      </c>
      <c r="G399" s="62" t="s">
        <v>57863</v>
      </c>
      <c r="J399" s="62" t="s">
        <v>4806</v>
      </c>
      <c r="K399" s="62" t="s">
        <v>57906</v>
      </c>
      <c r="L399" s="62" t="s">
        <v>4807</v>
      </c>
      <c r="M399" s="62" t="s">
        <v>4808</v>
      </c>
      <c r="N399" s="62" t="s">
        <v>4809</v>
      </c>
      <c r="O399" s="62" t="s">
        <v>4810</v>
      </c>
      <c r="P399" s="62" t="s">
        <v>57949</v>
      </c>
      <c r="Q399" s="62" t="s">
        <v>4811</v>
      </c>
      <c r="R399" s="62" t="s">
        <v>4812</v>
      </c>
      <c r="S399" s="62" t="s">
        <v>4813</v>
      </c>
      <c r="U399" s="62" t="s">
        <v>4814</v>
      </c>
      <c r="V399" s="62" t="s">
        <v>57992</v>
      </c>
      <c r="W399" s="62" t="s">
        <v>4815</v>
      </c>
      <c r="X399" s="62" t="s">
        <v>4816</v>
      </c>
      <c r="Y399" s="62" t="s">
        <v>4817</v>
      </c>
      <c r="Z399" s="62" t="s">
        <v>4818</v>
      </c>
      <c r="AA399" s="62" t="s">
        <v>58035</v>
      </c>
      <c r="AB399" s="62" t="s">
        <v>4819</v>
      </c>
      <c r="AC399" s="62" t="s">
        <v>4820</v>
      </c>
      <c r="AD399" s="62" t="s">
        <v>4821</v>
      </c>
    </row>
    <row r="400" spans="1:30" x14ac:dyDescent="0.25">
      <c r="A400" s="62" t="s">
        <v>109</v>
      </c>
      <c r="C400" s="62" t="s">
        <v>4822</v>
      </c>
      <c r="F400" s="62" t="s">
        <v>827</v>
      </c>
      <c r="G400" s="62" t="s">
        <v>57864</v>
      </c>
      <c r="J400" s="62" t="s">
        <v>4823</v>
      </c>
      <c r="K400" s="62" t="s">
        <v>57907</v>
      </c>
      <c r="L400" s="62" t="s">
        <v>4824</v>
      </c>
      <c r="M400" s="62" t="s">
        <v>4825</v>
      </c>
      <c r="N400" s="62" t="s">
        <v>4826</v>
      </c>
      <c r="O400" s="62" t="s">
        <v>4827</v>
      </c>
      <c r="P400" s="62" t="s">
        <v>57950</v>
      </c>
      <c r="Q400" s="62" t="s">
        <v>4828</v>
      </c>
      <c r="R400" s="62" t="s">
        <v>4829</v>
      </c>
      <c r="S400" s="62" t="s">
        <v>4830</v>
      </c>
      <c r="U400" s="62" t="s">
        <v>4831</v>
      </c>
      <c r="V400" s="62" t="s">
        <v>57993</v>
      </c>
      <c r="W400" s="62" t="s">
        <v>4832</v>
      </c>
      <c r="X400" s="62" t="s">
        <v>4833</v>
      </c>
      <c r="Y400" s="62" t="s">
        <v>4834</v>
      </c>
      <c r="Z400" s="62" t="s">
        <v>4835</v>
      </c>
      <c r="AA400" s="62" t="s">
        <v>58036</v>
      </c>
      <c r="AB400" s="62" t="s">
        <v>4836</v>
      </c>
      <c r="AC400" s="62" t="s">
        <v>4837</v>
      </c>
      <c r="AD400" s="62" t="s">
        <v>4838</v>
      </c>
    </row>
    <row r="401" spans="1:30" x14ac:dyDescent="0.25">
      <c r="A401" s="62" t="s">
        <v>109</v>
      </c>
      <c r="C401" s="62" t="s">
        <v>4839</v>
      </c>
      <c r="F401" s="62" t="s">
        <v>837</v>
      </c>
      <c r="G401" s="62" t="s">
        <v>57865</v>
      </c>
      <c r="J401" s="62" t="s">
        <v>4840</v>
      </c>
      <c r="K401" s="62" t="s">
        <v>57908</v>
      </c>
      <c r="L401" s="62" t="s">
        <v>4841</v>
      </c>
      <c r="M401" s="62" t="s">
        <v>4842</v>
      </c>
      <c r="N401" s="62" t="s">
        <v>4843</v>
      </c>
      <c r="O401" s="62" t="s">
        <v>4844</v>
      </c>
      <c r="P401" s="62" t="s">
        <v>57951</v>
      </c>
      <c r="Q401" s="62" t="s">
        <v>4845</v>
      </c>
      <c r="R401" s="62" t="s">
        <v>4846</v>
      </c>
      <c r="S401" s="62" t="s">
        <v>4847</v>
      </c>
      <c r="U401" s="62" t="s">
        <v>4848</v>
      </c>
      <c r="V401" s="62" t="s">
        <v>57994</v>
      </c>
      <c r="W401" s="62" t="s">
        <v>4849</v>
      </c>
      <c r="X401" s="62" t="s">
        <v>4850</v>
      </c>
      <c r="Y401" s="62" t="s">
        <v>4851</v>
      </c>
      <c r="Z401" s="62" t="s">
        <v>4852</v>
      </c>
      <c r="AA401" s="62" t="s">
        <v>58037</v>
      </c>
      <c r="AB401" s="62" t="s">
        <v>4853</v>
      </c>
      <c r="AC401" s="62" t="s">
        <v>4854</v>
      </c>
      <c r="AD401" s="62" t="s">
        <v>4855</v>
      </c>
    </row>
    <row r="402" spans="1:30" x14ac:dyDescent="0.25">
      <c r="A402" s="62" t="s">
        <v>109</v>
      </c>
      <c r="C402" s="62" t="s">
        <v>4856</v>
      </c>
      <c r="F402" s="62" t="s">
        <v>855</v>
      </c>
      <c r="G402" s="62" t="s">
        <v>57866</v>
      </c>
      <c r="J402" s="62" t="s">
        <v>4857</v>
      </c>
      <c r="K402" s="62" t="s">
        <v>57909</v>
      </c>
      <c r="L402" s="62" t="s">
        <v>4858</v>
      </c>
      <c r="M402" s="62" t="s">
        <v>4859</v>
      </c>
      <c r="N402" s="62" t="s">
        <v>4860</v>
      </c>
      <c r="O402" s="62" t="s">
        <v>4861</v>
      </c>
      <c r="P402" s="62" t="s">
        <v>57952</v>
      </c>
      <c r="Q402" s="62" t="s">
        <v>4862</v>
      </c>
      <c r="R402" s="62" t="s">
        <v>4863</v>
      </c>
      <c r="S402" s="62" t="s">
        <v>4864</v>
      </c>
      <c r="U402" s="62" t="s">
        <v>4865</v>
      </c>
      <c r="V402" s="62" t="s">
        <v>57995</v>
      </c>
      <c r="W402" s="62" t="s">
        <v>4866</v>
      </c>
      <c r="X402" s="62" t="s">
        <v>4867</v>
      </c>
      <c r="Y402" s="62" t="s">
        <v>4868</v>
      </c>
      <c r="Z402" s="62" t="s">
        <v>4869</v>
      </c>
      <c r="AA402" s="62" t="s">
        <v>58038</v>
      </c>
      <c r="AB402" s="62" t="s">
        <v>4870</v>
      </c>
      <c r="AC402" s="62" t="s">
        <v>4871</v>
      </c>
      <c r="AD402" s="62" t="s">
        <v>4872</v>
      </c>
    </row>
    <row r="403" spans="1:30" x14ac:dyDescent="0.25">
      <c r="A403" s="62" t="s">
        <v>109</v>
      </c>
      <c r="C403" s="62" t="s">
        <v>4873</v>
      </c>
      <c r="F403" s="62" t="s">
        <v>872</v>
      </c>
      <c r="G403" s="62" t="s">
        <v>57867</v>
      </c>
      <c r="J403" s="62" t="s">
        <v>4874</v>
      </c>
      <c r="K403" s="62" t="s">
        <v>57910</v>
      </c>
      <c r="L403" s="62" t="s">
        <v>4875</v>
      </c>
      <c r="M403" s="62" t="s">
        <v>4876</v>
      </c>
      <c r="N403" s="62" t="s">
        <v>4877</v>
      </c>
      <c r="O403" s="62" t="s">
        <v>4878</v>
      </c>
      <c r="P403" s="62" t="s">
        <v>57953</v>
      </c>
      <c r="Q403" s="62" t="s">
        <v>4879</v>
      </c>
      <c r="R403" s="62" t="s">
        <v>4880</v>
      </c>
      <c r="S403" s="62" t="s">
        <v>4881</v>
      </c>
      <c r="U403" s="62" t="s">
        <v>4882</v>
      </c>
      <c r="V403" s="62" t="s">
        <v>57996</v>
      </c>
      <c r="W403" s="62" t="s">
        <v>4883</v>
      </c>
      <c r="X403" s="62" t="s">
        <v>4884</v>
      </c>
      <c r="Y403" s="62" t="s">
        <v>4885</v>
      </c>
      <c r="Z403" s="62" t="s">
        <v>4886</v>
      </c>
      <c r="AA403" s="62" t="s">
        <v>58039</v>
      </c>
      <c r="AB403" s="62" t="s">
        <v>4887</v>
      </c>
      <c r="AC403" s="62" t="s">
        <v>4888</v>
      </c>
      <c r="AD403" s="62" t="s">
        <v>4889</v>
      </c>
    </row>
    <row r="404" spans="1:30" x14ac:dyDescent="0.25">
      <c r="A404" s="62" t="s">
        <v>109</v>
      </c>
      <c r="C404" s="62" t="s">
        <v>4890</v>
      </c>
      <c r="F404" s="62" t="s">
        <v>889</v>
      </c>
      <c r="G404" s="62" t="s">
        <v>57868</v>
      </c>
      <c r="J404" s="62" t="s">
        <v>4891</v>
      </c>
      <c r="K404" s="62" t="s">
        <v>57911</v>
      </c>
      <c r="L404" s="62" t="s">
        <v>4892</v>
      </c>
      <c r="M404" s="62" t="s">
        <v>4893</v>
      </c>
      <c r="N404" s="62" t="s">
        <v>4894</v>
      </c>
      <c r="O404" s="62" t="s">
        <v>4895</v>
      </c>
      <c r="P404" s="62" t="s">
        <v>57954</v>
      </c>
      <c r="Q404" s="62" t="s">
        <v>4896</v>
      </c>
      <c r="R404" s="62" t="s">
        <v>4897</v>
      </c>
      <c r="S404" s="62" t="s">
        <v>4898</v>
      </c>
      <c r="U404" s="62" t="s">
        <v>4899</v>
      </c>
      <c r="V404" s="62" t="s">
        <v>57997</v>
      </c>
      <c r="W404" s="62" t="s">
        <v>4900</v>
      </c>
      <c r="X404" s="62" t="s">
        <v>4901</v>
      </c>
      <c r="Y404" s="62" t="s">
        <v>4902</v>
      </c>
      <c r="Z404" s="62" t="s">
        <v>4903</v>
      </c>
      <c r="AA404" s="62" t="s">
        <v>58040</v>
      </c>
      <c r="AB404" s="62" t="s">
        <v>4904</v>
      </c>
      <c r="AC404" s="62" t="s">
        <v>4905</v>
      </c>
      <c r="AD404" s="62" t="s">
        <v>4906</v>
      </c>
    </row>
    <row r="405" spans="1:30" x14ac:dyDescent="0.25">
      <c r="A405" s="62" t="s">
        <v>109</v>
      </c>
      <c r="C405" s="62" t="s">
        <v>4907</v>
      </c>
      <c r="F405" s="62" t="s">
        <v>898</v>
      </c>
      <c r="G405" s="62" t="s">
        <v>57869</v>
      </c>
      <c r="J405" s="62" t="s">
        <v>4908</v>
      </c>
      <c r="K405" s="62" t="s">
        <v>57912</v>
      </c>
      <c r="L405" s="62" t="s">
        <v>4909</v>
      </c>
      <c r="M405" s="62" t="s">
        <v>4910</v>
      </c>
      <c r="N405" s="62" t="s">
        <v>4911</v>
      </c>
      <c r="O405" s="62" t="s">
        <v>4912</v>
      </c>
      <c r="P405" s="62" t="s">
        <v>57955</v>
      </c>
      <c r="Q405" s="62" t="s">
        <v>4913</v>
      </c>
      <c r="R405" s="62" t="s">
        <v>4914</v>
      </c>
      <c r="S405" s="62" t="s">
        <v>4915</v>
      </c>
      <c r="U405" s="62" t="s">
        <v>4916</v>
      </c>
      <c r="V405" s="62" t="s">
        <v>57998</v>
      </c>
      <c r="W405" s="62" t="s">
        <v>4917</v>
      </c>
      <c r="X405" s="62" t="s">
        <v>4918</v>
      </c>
      <c r="Y405" s="62" t="s">
        <v>4919</v>
      </c>
      <c r="Z405" s="62" t="s">
        <v>4920</v>
      </c>
      <c r="AA405" s="62" t="s">
        <v>58041</v>
      </c>
      <c r="AB405" s="62" t="s">
        <v>4921</v>
      </c>
      <c r="AC405" s="62" t="s">
        <v>4922</v>
      </c>
      <c r="AD405" s="62" t="s">
        <v>4923</v>
      </c>
    </row>
    <row r="406" spans="1:30" x14ac:dyDescent="0.25">
      <c r="A406" s="62" t="s">
        <v>109</v>
      </c>
      <c r="C406" s="62" t="s">
        <v>4924</v>
      </c>
      <c r="F406" s="62" t="s">
        <v>915</v>
      </c>
      <c r="G406" s="62" t="s">
        <v>57870</v>
      </c>
      <c r="J406" s="62" t="s">
        <v>4925</v>
      </c>
      <c r="K406" s="62" t="s">
        <v>57913</v>
      </c>
      <c r="L406" s="62" t="s">
        <v>4926</v>
      </c>
      <c r="M406" s="62" t="s">
        <v>4927</v>
      </c>
      <c r="N406" s="62" t="s">
        <v>4928</v>
      </c>
      <c r="O406" s="62" t="s">
        <v>4929</v>
      </c>
      <c r="P406" s="62" t="s">
        <v>57956</v>
      </c>
      <c r="Q406" s="62" t="s">
        <v>4930</v>
      </c>
      <c r="R406" s="62" t="s">
        <v>4931</v>
      </c>
      <c r="S406" s="62" t="s">
        <v>4932</v>
      </c>
      <c r="U406" s="62" t="s">
        <v>4933</v>
      </c>
      <c r="V406" s="62" t="s">
        <v>57999</v>
      </c>
      <c r="W406" s="62" t="s">
        <v>4934</v>
      </c>
      <c r="X406" s="62" t="s">
        <v>4935</v>
      </c>
      <c r="Y406" s="62" t="s">
        <v>4936</v>
      </c>
      <c r="Z406" s="62" t="s">
        <v>4937</v>
      </c>
      <c r="AA406" s="62" t="s">
        <v>58042</v>
      </c>
      <c r="AB406" s="62" t="s">
        <v>4938</v>
      </c>
      <c r="AC406" s="62" t="s">
        <v>4939</v>
      </c>
      <c r="AD406" s="62" t="s">
        <v>4940</v>
      </c>
    </row>
    <row r="407" spans="1:30" x14ac:dyDescent="0.25">
      <c r="A407" s="62" t="s">
        <v>109</v>
      </c>
      <c r="C407" s="62" t="s">
        <v>4941</v>
      </c>
      <c r="F407" s="62" t="s">
        <v>925</v>
      </c>
      <c r="G407" s="62" t="s">
        <v>57871</v>
      </c>
      <c r="J407" s="62" t="s">
        <v>4943</v>
      </c>
      <c r="K407" s="62" t="s">
        <v>57914</v>
      </c>
      <c r="L407" s="62" t="s">
        <v>4944</v>
      </c>
      <c r="M407" s="62" t="s">
        <v>4945</v>
      </c>
      <c r="N407" s="62" t="s">
        <v>4946</v>
      </c>
      <c r="O407" s="62" t="s">
        <v>4947</v>
      </c>
      <c r="P407" s="62" t="s">
        <v>57957</v>
      </c>
      <c r="Q407" s="62" t="s">
        <v>4948</v>
      </c>
      <c r="R407" s="62" t="s">
        <v>4949</v>
      </c>
      <c r="S407" s="62" t="s">
        <v>4950</v>
      </c>
      <c r="U407" s="62" t="s">
        <v>4951</v>
      </c>
      <c r="V407" s="62" t="s">
        <v>58000</v>
      </c>
      <c r="W407" s="62" t="s">
        <v>4952</v>
      </c>
      <c r="X407" s="62" t="s">
        <v>4953</v>
      </c>
      <c r="Y407" s="62" t="s">
        <v>4954</v>
      </c>
      <c r="Z407" s="62" t="s">
        <v>4955</v>
      </c>
      <c r="AA407" s="62" t="s">
        <v>58043</v>
      </c>
      <c r="AB407" s="62" t="s">
        <v>4956</v>
      </c>
      <c r="AC407" s="62" t="s">
        <v>4957</v>
      </c>
      <c r="AD407" s="62" t="s">
        <v>4958</v>
      </c>
    </row>
    <row r="408" spans="1:30" x14ac:dyDescent="0.25">
      <c r="A408" s="62" t="s">
        <v>109</v>
      </c>
      <c r="C408" s="62" t="s">
        <v>4959</v>
      </c>
      <c r="F408" s="62" t="s">
        <v>176</v>
      </c>
      <c r="G408" s="62" t="s">
        <v>57872</v>
      </c>
      <c r="J408" s="62" t="s">
        <v>4960</v>
      </c>
      <c r="K408" s="62" t="s">
        <v>57915</v>
      </c>
      <c r="L408" s="62" t="s">
        <v>4961</v>
      </c>
      <c r="M408" s="62" t="s">
        <v>4962</v>
      </c>
      <c r="N408" s="62" t="s">
        <v>4963</v>
      </c>
      <c r="O408" s="62" t="s">
        <v>4964</v>
      </c>
      <c r="P408" s="62" t="s">
        <v>57958</v>
      </c>
      <c r="Q408" s="62" t="s">
        <v>4965</v>
      </c>
      <c r="R408" s="62" t="s">
        <v>4966</v>
      </c>
      <c r="S408" s="62" t="s">
        <v>4967</v>
      </c>
      <c r="U408" s="62" t="s">
        <v>4968</v>
      </c>
      <c r="V408" s="62" t="s">
        <v>58001</v>
      </c>
      <c r="W408" s="62" t="s">
        <v>4969</v>
      </c>
      <c r="X408" s="62" t="s">
        <v>4970</v>
      </c>
      <c r="Y408" s="62" t="s">
        <v>4971</v>
      </c>
      <c r="Z408" s="62" t="s">
        <v>4972</v>
      </c>
      <c r="AA408" s="62" t="s">
        <v>58044</v>
      </c>
      <c r="AB408" s="62" t="s">
        <v>4973</v>
      </c>
      <c r="AC408" s="62" t="s">
        <v>4974</v>
      </c>
      <c r="AD408" s="62" t="s">
        <v>4975</v>
      </c>
    </row>
    <row r="409" spans="1:30" x14ac:dyDescent="0.25">
      <c r="A409" s="62" t="s">
        <v>109</v>
      </c>
      <c r="C409" s="62" t="s">
        <v>4976</v>
      </c>
      <c r="F409" s="62" t="s">
        <v>976</v>
      </c>
      <c r="G409" s="62" t="s">
        <v>57873</v>
      </c>
      <c r="J409" s="62" t="s">
        <v>4977</v>
      </c>
      <c r="K409" s="62" t="s">
        <v>57916</v>
      </c>
      <c r="L409" s="62" t="s">
        <v>4978</v>
      </c>
      <c r="M409" s="62" t="s">
        <v>4979</v>
      </c>
      <c r="N409" s="62" t="s">
        <v>4980</v>
      </c>
      <c r="O409" s="62" t="s">
        <v>4981</v>
      </c>
      <c r="P409" s="62" t="s">
        <v>57959</v>
      </c>
      <c r="Q409" s="62" t="s">
        <v>4982</v>
      </c>
      <c r="R409" s="62" t="s">
        <v>4983</v>
      </c>
      <c r="S409" s="62" t="s">
        <v>4984</v>
      </c>
      <c r="U409" s="62" t="s">
        <v>4985</v>
      </c>
      <c r="V409" s="62" t="s">
        <v>58002</v>
      </c>
      <c r="W409" s="62" t="s">
        <v>4986</v>
      </c>
      <c r="X409" s="62" t="s">
        <v>4987</v>
      </c>
      <c r="Y409" s="62" t="s">
        <v>4988</v>
      </c>
      <c r="Z409" s="62" t="s">
        <v>4989</v>
      </c>
      <c r="AA409" s="62" t="s">
        <v>58045</v>
      </c>
      <c r="AB409" s="62" t="s">
        <v>4990</v>
      </c>
      <c r="AC409" s="62" t="s">
        <v>4991</v>
      </c>
      <c r="AD409" s="62" t="s">
        <v>4992</v>
      </c>
    </row>
    <row r="410" spans="1:30" x14ac:dyDescent="0.25">
      <c r="A410" s="62" t="s">
        <v>109</v>
      </c>
      <c r="C410" s="62" t="s">
        <v>4993</v>
      </c>
      <c r="F410" s="62" t="s">
        <v>1002</v>
      </c>
      <c r="G410" s="62" t="s">
        <v>57874</v>
      </c>
      <c r="J410" s="62" t="s">
        <v>4994</v>
      </c>
      <c r="K410" s="62" t="s">
        <v>57917</v>
      </c>
      <c r="L410" s="62" t="s">
        <v>4995</v>
      </c>
      <c r="M410" s="62" t="s">
        <v>4996</v>
      </c>
      <c r="N410" s="62" t="s">
        <v>4997</v>
      </c>
      <c r="O410" s="62" t="s">
        <v>4998</v>
      </c>
      <c r="P410" s="62" t="s">
        <v>57960</v>
      </c>
      <c r="Q410" s="62" t="s">
        <v>4999</v>
      </c>
      <c r="R410" s="62" t="s">
        <v>5000</v>
      </c>
      <c r="S410" s="62" t="s">
        <v>5001</v>
      </c>
      <c r="U410" s="62" t="s">
        <v>5002</v>
      </c>
      <c r="V410" s="62" t="s">
        <v>58003</v>
      </c>
      <c r="W410" s="62" t="s">
        <v>5003</v>
      </c>
      <c r="X410" s="62" t="s">
        <v>5004</v>
      </c>
      <c r="Y410" s="62" t="s">
        <v>5005</v>
      </c>
      <c r="Z410" s="62" t="s">
        <v>5006</v>
      </c>
      <c r="AA410" s="62" t="s">
        <v>58046</v>
      </c>
      <c r="AB410" s="62" t="s">
        <v>5007</v>
      </c>
      <c r="AC410" s="62" t="s">
        <v>5008</v>
      </c>
      <c r="AD410" s="62" t="s">
        <v>5009</v>
      </c>
    </row>
    <row r="411" spans="1:30" x14ac:dyDescent="0.25">
      <c r="A411" s="62" t="s">
        <v>109</v>
      </c>
      <c r="C411" s="62" t="s">
        <v>5010</v>
      </c>
      <c r="F411" s="62" t="s">
        <v>1012</v>
      </c>
      <c r="G411" s="62" t="s">
        <v>57875</v>
      </c>
      <c r="J411" s="62" t="s">
        <v>5011</v>
      </c>
      <c r="K411" s="62" t="s">
        <v>57918</v>
      </c>
      <c r="L411" s="62" t="s">
        <v>5012</v>
      </c>
      <c r="M411" s="62" t="s">
        <v>5013</v>
      </c>
      <c r="N411" s="62" t="s">
        <v>5014</v>
      </c>
      <c r="O411" s="62" t="s">
        <v>5015</v>
      </c>
      <c r="P411" s="62" t="s">
        <v>57961</v>
      </c>
      <c r="Q411" s="62" t="s">
        <v>5016</v>
      </c>
      <c r="R411" s="62" t="s">
        <v>5017</v>
      </c>
      <c r="S411" s="62" t="s">
        <v>5018</v>
      </c>
      <c r="U411" s="62" t="s">
        <v>5019</v>
      </c>
      <c r="V411" s="62" t="s">
        <v>58004</v>
      </c>
      <c r="W411" s="62" t="s">
        <v>5020</v>
      </c>
      <c r="X411" s="62" t="s">
        <v>5021</v>
      </c>
      <c r="Y411" s="62" t="s">
        <v>5022</v>
      </c>
      <c r="Z411" s="62" t="s">
        <v>5023</v>
      </c>
      <c r="AA411" s="62" t="s">
        <v>58047</v>
      </c>
      <c r="AB411" s="62" t="s">
        <v>5024</v>
      </c>
      <c r="AC411" s="62" t="s">
        <v>5025</v>
      </c>
      <c r="AD411" s="62" t="s">
        <v>5026</v>
      </c>
    </row>
    <row r="412" spans="1:30" x14ac:dyDescent="0.25">
      <c r="A412" s="62" t="s">
        <v>109</v>
      </c>
      <c r="C412" s="62" t="s">
        <v>5027</v>
      </c>
      <c r="F412" s="62" t="s">
        <v>1030</v>
      </c>
      <c r="G412" s="62" t="s">
        <v>57876</v>
      </c>
      <c r="J412" s="62" t="s">
        <v>5028</v>
      </c>
      <c r="K412" s="62" t="s">
        <v>57919</v>
      </c>
      <c r="L412" s="62" t="s">
        <v>5029</v>
      </c>
      <c r="M412" s="62" t="s">
        <v>5030</v>
      </c>
      <c r="N412" s="62" t="s">
        <v>5031</v>
      </c>
      <c r="O412" s="62" t="s">
        <v>5032</v>
      </c>
      <c r="P412" s="62" t="s">
        <v>57962</v>
      </c>
      <c r="Q412" s="62" t="s">
        <v>5033</v>
      </c>
      <c r="R412" s="62" t="s">
        <v>5034</v>
      </c>
      <c r="S412" s="62" t="s">
        <v>5035</v>
      </c>
      <c r="U412" s="62" t="s">
        <v>5036</v>
      </c>
      <c r="V412" s="62" t="s">
        <v>58005</v>
      </c>
      <c r="W412" s="62" t="s">
        <v>5037</v>
      </c>
      <c r="X412" s="62" t="s">
        <v>5038</v>
      </c>
      <c r="Y412" s="62" t="s">
        <v>5039</v>
      </c>
      <c r="Z412" s="62" t="s">
        <v>5040</v>
      </c>
      <c r="AA412" s="62" t="s">
        <v>58048</v>
      </c>
      <c r="AB412" s="62" t="s">
        <v>5041</v>
      </c>
      <c r="AC412" s="62" t="s">
        <v>5042</v>
      </c>
      <c r="AD412" s="62" t="s">
        <v>5043</v>
      </c>
    </row>
    <row r="413" spans="1:30" x14ac:dyDescent="0.25">
      <c r="A413" s="62" t="s">
        <v>109</v>
      </c>
      <c r="C413" s="62" t="s">
        <v>5044</v>
      </c>
      <c r="F413" s="62" t="s">
        <v>1047</v>
      </c>
      <c r="G413" s="62" t="s">
        <v>57877</v>
      </c>
      <c r="J413" s="62" t="s">
        <v>5045</v>
      </c>
      <c r="K413" s="62" t="s">
        <v>57920</v>
      </c>
      <c r="L413" s="62" t="s">
        <v>5046</v>
      </c>
      <c r="M413" s="62" t="s">
        <v>5047</v>
      </c>
      <c r="N413" s="62" t="s">
        <v>5048</v>
      </c>
      <c r="O413" s="62" t="s">
        <v>5049</v>
      </c>
      <c r="P413" s="62" t="s">
        <v>57963</v>
      </c>
      <c r="Q413" s="62" t="s">
        <v>5050</v>
      </c>
      <c r="R413" s="62" t="s">
        <v>5051</v>
      </c>
      <c r="S413" s="62" t="s">
        <v>5052</v>
      </c>
      <c r="U413" s="62" t="s">
        <v>5053</v>
      </c>
      <c r="V413" s="62" t="s">
        <v>58006</v>
      </c>
      <c r="W413" s="62" t="s">
        <v>5054</v>
      </c>
      <c r="X413" s="62" t="s">
        <v>5055</v>
      </c>
      <c r="Y413" s="62" t="s">
        <v>5056</v>
      </c>
      <c r="Z413" s="62" t="s">
        <v>5057</v>
      </c>
      <c r="AA413" s="62" t="s">
        <v>58049</v>
      </c>
      <c r="AB413" s="62" t="s">
        <v>5058</v>
      </c>
      <c r="AC413" s="62" t="s">
        <v>5059</v>
      </c>
      <c r="AD413" s="62" t="s">
        <v>5060</v>
      </c>
    </row>
    <row r="414" spans="1:30" x14ac:dyDescent="0.25">
      <c r="A414" s="62" t="s">
        <v>109</v>
      </c>
      <c r="C414" s="62" t="s">
        <v>5061</v>
      </c>
      <c r="F414" s="62" t="s">
        <v>1064</v>
      </c>
      <c r="G414" s="62" t="s">
        <v>57878</v>
      </c>
      <c r="J414" s="62" t="s">
        <v>5062</v>
      </c>
      <c r="K414" s="62" t="s">
        <v>57921</v>
      </c>
      <c r="L414" s="62" t="s">
        <v>5063</v>
      </c>
      <c r="M414" s="62" t="s">
        <v>5064</v>
      </c>
      <c r="N414" s="62" t="s">
        <v>5065</v>
      </c>
      <c r="O414" s="62" t="s">
        <v>5066</v>
      </c>
      <c r="P414" s="62" t="s">
        <v>57964</v>
      </c>
      <c r="Q414" s="62" t="s">
        <v>5067</v>
      </c>
      <c r="R414" s="62" t="s">
        <v>5068</v>
      </c>
      <c r="S414" s="62" t="s">
        <v>5069</v>
      </c>
      <c r="U414" s="62" t="s">
        <v>5070</v>
      </c>
      <c r="V414" s="62" t="s">
        <v>58007</v>
      </c>
      <c r="W414" s="62" t="s">
        <v>5071</v>
      </c>
      <c r="X414" s="62" t="s">
        <v>5072</v>
      </c>
      <c r="Y414" s="62" t="s">
        <v>5073</v>
      </c>
      <c r="Z414" s="62" t="s">
        <v>5074</v>
      </c>
      <c r="AA414" s="62" t="s">
        <v>58050</v>
      </c>
      <c r="AB414" s="62" t="s">
        <v>5075</v>
      </c>
      <c r="AC414" s="62" t="s">
        <v>5076</v>
      </c>
      <c r="AD414" s="62" t="s">
        <v>5077</v>
      </c>
    </row>
    <row r="415" spans="1:30" x14ac:dyDescent="0.25">
      <c r="A415" s="62" t="s">
        <v>109</v>
      </c>
      <c r="C415" s="62" t="s">
        <v>5078</v>
      </c>
      <c r="F415" s="62" t="s">
        <v>1073</v>
      </c>
      <c r="G415" s="62" t="s">
        <v>57879</v>
      </c>
      <c r="J415" s="62" t="s">
        <v>5079</v>
      </c>
      <c r="K415" s="62" t="s">
        <v>57922</v>
      </c>
      <c r="L415" s="62" t="s">
        <v>5080</v>
      </c>
      <c r="M415" s="62" t="s">
        <v>5081</v>
      </c>
      <c r="N415" s="62" t="s">
        <v>5082</v>
      </c>
      <c r="O415" s="62" t="s">
        <v>5083</v>
      </c>
      <c r="P415" s="62" t="s">
        <v>57965</v>
      </c>
      <c r="Q415" s="62" t="s">
        <v>5084</v>
      </c>
      <c r="R415" s="62" t="s">
        <v>5085</v>
      </c>
      <c r="S415" s="62" t="s">
        <v>5086</v>
      </c>
      <c r="U415" s="62" t="s">
        <v>5087</v>
      </c>
      <c r="V415" s="62" t="s">
        <v>58008</v>
      </c>
      <c r="W415" s="62" t="s">
        <v>5088</v>
      </c>
      <c r="X415" s="62" t="s">
        <v>5089</v>
      </c>
      <c r="Y415" s="62" t="s">
        <v>5090</v>
      </c>
      <c r="Z415" s="62" t="s">
        <v>5091</v>
      </c>
      <c r="AA415" s="62" t="s">
        <v>58051</v>
      </c>
      <c r="AB415" s="62" t="s">
        <v>5092</v>
      </c>
      <c r="AC415" s="62" t="s">
        <v>5093</v>
      </c>
      <c r="AD415" s="62" t="s">
        <v>5094</v>
      </c>
    </row>
    <row r="416" spans="1:30" x14ac:dyDescent="0.25">
      <c r="A416" s="62" t="s">
        <v>109</v>
      </c>
      <c r="C416" s="62" t="s">
        <v>5095</v>
      </c>
      <c r="F416" s="62" t="s">
        <v>1090</v>
      </c>
      <c r="G416" s="62" t="s">
        <v>57880</v>
      </c>
      <c r="J416" s="62" t="s">
        <v>5096</v>
      </c>
      <c r="K416" s="62" t="s">
        <v>57923</v>
      </c>
      <c r="L416" s="62" t="s">
        <v>5097</v>
      </c>
      <c r="M416" s="62" t="s">
        <v>5098</v>
      </c>
      <c r="N416" s="62" t="s">
        <v>5099</v>
      </c>
      <c r="O416" s="62" t="s">
        <v>5100</v>
      </c>
      <c r="P416" s="62" t="s">
        <v>57966</v>
      </c>
      <c r="Q416" s="62" t="s">
        <v>5101</v>
      </c>
      <c r="R416" s="62" t="s">
        <v>5102</v>
      </c>
      <c r="S416" s="62" t="s">
        <v>5103</v>
      </c>
      <c r="U416" s="62" t="s">
        <v>5104</v>
      </c>
      <c r="V416" s="62" t="s">
        <v>58009</v>
      </c>
      <c r="W416" s="62" t="s">
        <v>5105</v>
      </c>
      <c r="X416" s="62" t="s">
        <v>5106</v>
      </c>
      <c r="Y416" s="62" t="s">
        <v>5107</v>
      </c>
      <c r="Z416" s="62" t="s">
        <v>5108</v>
      </c>
      <c r="AA416" s="62" t="s">
        <v>58052</v>
      </c>
      <c r="AB416" s="62" t="s">
        <v>5109</v>
      </c>
      <c r="AC416" s="62" t="s">
        <v>5110</v>
      </c>
      <c r="AD416" s="62" t="s">
        <v>5111</v>
      </c>
    </row>
    <row r="417" spans="1:30" x14ac:dyDescent="0.25">
      <c r="A417" s="62" t="s">
        <v>109</v>
      </c>
      <c r="C417" s="62" t="s">
        <v>5112</v>
      </c>
      <c r="F417" s="62" t="s">
        <v>1100</v>
      </c>
      <c r="G417" s="62" t="s">
        <v>57881</v>
      </c>
      <c r="J417" s="62" t="s">
        <v>5113</v>
      </c>
      <c r="K417" s="62" t="s">
        <v>57924</v>
      </c>
      <c r="L417" s="62" t="s">
        <v>5114</v>
      </c>
      <c r="M417" s="62" t="s">
        <v>5115</v>
      </c>
      <c r="N417" s="62" t="s">
        <v>5116</v>
      </c>
      <c r="O417" s="62" t="s">
        <v>5117</v>
      </c>
      <c r="P417" s="62" t="s">
        <v>57967</v>
      </c>
      <c r="Q417" s="62" t="s">
        <v>5118</v>
      </c>
      <c r="R417" s="62" t="s">
        <v>5119</v>
      </c>
      <c r="S417" s="62" t="s">
        <v>5120</v>
      </c>
      <c r="U417" s="62" t="s">
        <v>5121</v>
      </c>
      <c r="V417" s="62" t="s">
        <v>58010</v>
      </c>
      <c r="W417" s="62" t="s">
        <v>5122</v>
      </c>
      <c r="X417" s="62" t="s">
        <v>5123</v>
      </c>
      <c r="Y417" s="62" t="s">
        <v>5124</v>
      </c>
      <c r="Z417" s="62" t="s">
        <v>5125</v>
      </c>
      <c r="AA417" s="62" t="s">
        <v>58053</v>
      </c>
      <c r="AB417" s="62" t="s">
        <v>5126</v>
      </c>
      <c r="AC417" s="62" t="s">
        <v>5127</v>
      </c>
      <c r="AD417" s="62" t="s">
        <v>5128</v>
      </c>
    </row>
    <row r="418" spans="1:30" x14ac:dyDescent="0.25">
      <c r="A418" s="62" t="s">
        <v>109</v>
      </c>
      <c r="C418" s="62" t="s">
        <v>5129</v>
      </c>
      <c r="F418" s="62" t="s">
        <v>1135</v>
      </c>
      <c r="G418" s="62" t="s">
        <v>57882</v>
      </c>
      <c r="J418" s="62" t="s">
        <v>5130</v>
      </c>
      <c r="K418" s="62" t="s">
        <v>57925</v>
      </c>
      <c r="L418" s="62" t="s">
        <v>5131</v>
      </c>
      <c r="M418" s="62" t="s">
        <v>5132</v>
      </c>
      <c r="N418" s="62" t="s">
        <v>5133</v>
      </c>
      <c r="O418" s="62" t="s">
        <v>5134</v>
      </c>
      <c r="P418" s="62" t="s">
        <v>57968</v>
      </c>
      <c r="Q418" s="62" t="s">
        <v>5135</v>
      </c>
      <c r="R418" s="62" t="s">
        <v>5136</v>
      </c>
      <c r="S418" s="62" t="s">
        <v>5137</v>
      </c>
      <c r="U418" s="62" t="s">
        <v>5138</v>
      </c>
      <c r="V418" s="62" t="s">
        <v>58011</v>
      </c>
      <c r="W418" s="62" t="s">
        <v>5139</v>
      </c>
      <c r="X418" s="62" t="s">
        <v>5140</v>
      </c>
      <c r="Y418" s="62" t="s">
        <v>5141</v>
      </c>
      <c r="Z418" s="62" t="s">
        <v>5142</v>
      </c>
      <c r="AA418" s="62" t="s">
        <v>58054</v>
      </c>
      <c r="AB418" s="62" t="s">
        <v>5143</v>
      </c>
      <c r="AC418" s="62" t="s">
        <v>5144</v>
      </c>
      <c r="AD418" s="62" t="s">
        <v>5145</v>
      </c>
    </row>
    <row r="419" spans="1:30" x14ac:dyDescent="0.25">
      <c r="A419" s="62" t="s">
        <v>109</v>
      </c>
      <c r="C419" s="62" t="s">
        <v>40706</v>
      </c>
      <c r="F419" s="62" t="s">
        <v>1152</v>
      </c>
      <c r="G419" s="62" t="s">
        <v>57883</v>
      </c>
      <c r="J419" s="62" t="s">
        <v>40707</v>
      </c>
      <c r="K419" s="62" t="s">
        <v>57926</v>
      </c>
      <c r="L419" s="62" t="s">
        <v>40708</v>
      </c>
      <c r="M419" s="62" t="s">
        <v>40709</v>
      </c>
      <c r="N419" s="62" t="s">
        <v>40710</v>
      </c>
      <c r="O419" s="62" t="s">
        <v>40711</v>
      </c>
      <c r="P419" s="62" t="s">
        <v>57969</v>
      </c>
      <c r="Q419" s="62" t="s">
        <v>40712</v>
      </c>
      <c r="R419" s="62" t="s">
        <v>40713</v>
      </c>
      <c r="S419" s="62" t="s">
        <v>40714</v>
      </c>
      <c r="U419" s="62" t="s">
        <v>40715</v>
      </c>
      <c r="V419" s="62" t="s">
        <v>58012</v>
      </c>
      <c r="W419" s="62" t="s">
        <v>40716</v>
      </c>
      <c r="X419" s="62" t="s">
        <v>40717</v>
      </c>
      <c r="Y419" s="62" t="s">
        <v>40718</v>
      </c>
      <c r="Z419" s="62" t="s">
        <v>40719</v>
      </c>
      <c r="AA419" s="62" t="s">
        <v>58055</v>
      </c>
      <c r="AB419" s="62" t="s">
        <v>40720</v>
      </c>
      <c r="AC419" s="62" t="s">
        <v>40721</v>
      </c>
      <c r="AD419" s="62" t="s">
        <v>40722</v>
      </c>
    </row>
    <row r="420" spans="1:30" x14ac:dyDescent="0.25">
      <c r="A420" s="62" t="s">
        <v>109</v>
      </c>
      <c r="C420" s="62" t="s">
        <v>5146</v>
      </c>
      <c r="F420" s="62" t="s">
        <v>1688</v>
      </c>
      <c r="G420" s="62" t="s">
        <v>57884</v>
      </c>
      <c r="J420" s="62" t="s">
        <v>40723</v>
      </c>
      <c r="K420" s="62" t="s">
        <v>57927</v>
      </c>
      <c r="L420" s="62" t="s">
        <v>40724</v>
      </c>
      <c r="M420" s="62" t="s">
        <v>5147</v>
      </c>
      <c r="N420" s="62" t="s">
        <v>5148</v>
      </c>
      <c r="O420" s="62" t="s">
        <v>40725</v>
      </c>
      <c r="P420" s="62" t="s">
        <v>57970</v>
      </c>
      <c r="Q420" s="62" t="s">
        <v>40726</v>
      </c>
      <c r="R420" s="62" t="s">
        <v>5149</v>
      </c>
      <c r="S420" s="62" t="s">
        <v>5150</v>
      </c>
      <c r="U420" s="62" t="s">
        <v>40727</v>
      </c>
      <c r="V420" s="62" t="s">
        <v>58013</v>
      </c>
      <c r="W420" s="62" t="s">
        <v>40728</v>
      </c>
      <c r="X420" s="62" t="s">
        <v>5151</v>
      </c>
      <c r="Y420" s="62" t="s">
        <v>5152</v>
      </c>
      <c r="Z420" s="62" t="s">
        <v>40729</v>
      </c>
      <c r="AA420" s="62" t="s">
        <v>58056</v>
      </c>
      <c r="AB420" s="62" t="s">
        <v>40730</v>
      </c>
      <c r="AC420" s="62" t="s">
        <v>5153</v>
      </c>
      <c r="AD420" s="62" t="s">
        <v>5154</v>
      </c>
    </row>
    <row r="421" spans="1:30" x14ac:dyDescent="0.25">
      <c r="A421" s="62" t="s">
        <v>109</v>
      </c>
      <c r="C421" s="62" t="s">
        <v>40731</v>
      </c>
      <c r="F421" s="62" t="s">
        <v>1161</v>
      </c>
      <c r="G421" s="62" t="s">
        <v>57885</v>
      </c>
      <c r="J421" s="62" t="s">
        <v>40732</v>
      </c>
      <c r="K421" s="62" t="s">
        <v>57928</v>
      </c>
      <c r="L421" s="62" t="s">
        <v>40733</v>
      </c>
      <c r="M421" s="62" t="s">
        <v>40734</v>
      </c>
      <c r="N421" s="62" t="s">
        <v>40735</v>
      </c>
      <c r="O421" s="62" t="s">
        <v>40736</v>
      </c>
      <c r="P421" s="62" t="s">
        <v>57971</v>
      </c>
      <c r="Q421" s="62" t="s">
        <v>40737</v>
      </c>
      <c r="R421" s="62" t="s">
        <v>40738</v>
      </c>
      <c r="S421" s="62" t="s">
        <v>40739</v>
      </c>
      <c r="U421" s="62" t="s">
        <v>40740</v>
      </c>
      <c r="V421" s="62" t="s">
        <v>58014</v>
      </c>
      <c r="W421" s="62" t="s">
        <v>40741</v>
      </c>
      <c r="X421" s="62" t="s">
        <v>40742</v>
      </c>
      <c r="Y421" s="62" t="s">
        <v>40743</v>
      </c>
      <c r="Z421" s="62" t="s">
        <v>40744</v>
      </c>
      <c r="AA421" s="62" t="s">
        <v>58057</v>
      </c>
      <c r="AB421" s="62" t="s">
        <v>40745</v>
      </c>
      <c r="AC421" s="62" t="s">
        <v>40746</v>
      </c>
      <c r="AD421" s="62" t="s">
        <v>40747</v>
      </c>
    </row>
    <row r="422" spans="1:30" x14ac:dyDescent="0.25">
      <c r="A422" s="62" t="s">
        <v>109</v>
      </c>
      <c r="C422" s="62" t="s">
        <v>40748</v>
      </c>
      <c r="F422" s="62" t="s">
        <v>1188</v>
      </c>
      <c r="G422" s="62" t="s">
        <v>57886</v>
      </c>
      <c r="J422" s="62" t="s">
        <v>40749</v>
      </c>
      <c r="K422" s="62" t="s">
        <v>57929</v>
      </c>
      <c r="L422" s="62" t="s">
        <v>40750</v>
      </c>
      <c r="M422" s="62" t="s">
        <v>40751</v>
      </c>
      <c r="N422" s="62" t="s">
        <v>40752</v>
      </c>
      <c r="O422" s="62" t="s">
        <v>40753</v>
      </c>
      <c r="P422" s="62" t="s">
        <v>57972</v>
      </c>
      <c r="Q422" s="62" t="s">
        <v>40754</v>
      </c>
      <c r="R422" s="62" t="s">
        <v>40755</v>
      </c>
      <c r="S422" s="62" t="s">
        <v>40756</v>
      </c>
      <c r="U422" s="62" t="s">
        <v>40757</v>
      </c>
      <c r="V422" s="62" t="s">
        <v>58015</v>
      </c>
      <c r="W422" s="62" t="s">
        <v>40758</v>
      </c>
      <c r="X422" s="62" t="s">
        <v>40759</v>
      </c>
      <c r="Y422" s="62" t="s">
        <v>40760</v>
      </c>
      <c r="Z422" s="62" t="s">
        <v>40761</v>
      </c>
      <c r="AA422" s="62" t="s">
        <v>58058</v>
      </c>
      <c r="AB422" s="62" t="s">
        <v>40762</v>
      </c>
      <c r="AC422" s="62" t="s">
        <v>40763</v>
      </c>
      <c r="AD422" s="62" t="s">
        <v>40764</v>
      </c>
    </row>
    <row r="423" spans="1:30" x14ac:dyDescent="0.25">
      <c r="A423" s="62" t="s">
        <v>109</v>
      </c>
      <c r="C423" s="62" t="s">
        <v>5155</v>
      </c>
      <c r="F423" s="62" t="s">
        <v>1206</v>
      </c>
      <c r="G423" s="62" t="s">
        <v>57887</v>
      </c>
      <c r="J423" s="62" t="s">
        <v>40765</v>
      </c>
      <c r="K423" s="62" t="s">
        <v>57930</v>
      </c>
      <c r="L423" s="62" t="s">
        <v>40766</v>
      </c>
      <c r="M423" s="62" t="s">
        <v>40767</v>
      </c>
      <c r="N423" s="62" t="s">
        <v>40768</v>
      </c>
      <c r="O423" s="62" t="s">
        <v>40769</v>
      </c>
      <c r="P423" s="62" t="s">
        <v>57973</v>
      </c>
      <c r="Q423" s="62" t="s">
        <v>40770</v>
      </c>
      <c r="R423" s="62" t="s">
        <v>40771</v>
      </c>
      <c r="S423" s="62" t="s">
        <v>40772</v>
      </c>
      <c r="U423" s="62" t="s">
        <v>40773</v>
      </c>
      <c r="V423" s="62" t="s">
        <v>58016</v>
      </c>
      <c r="W423" s="62" t="s">
        <v>40774</v>
      </c>
      <c r="X423" s="62" t="s">
        <v>40775</v>
      </c>
      <c r="Y423" s="62" t="s">
        <v>40776</v>
      </c>
      <c r="Z423" s="62" t="s">
        <v>40777</v>
      </c>
      <c r="AA423" s="62" t="s">
        <v>58059</v>
      </c>
      <c r="AB423" s="62" t="s">
        <v>40778</v>
      </c>
      <c r="AC423" s="62" t="s">
        <v>40779</v>
      </c>
      <c r="AD423" s="62" t="s">
        <v>40780</v>
      </c>
    </row>
    <row r="424" spans="1:30" x14ac:dyDescent="0.25">
      <c r="A424" s="62" t="s">
        <v>109</v>
      </c>
      <c r="C424" s="62" t="s">
        <v>5156</v>
      </c>
      <c r="F424" s="62" t="s">
        <v>1223</v>
      </c>
      <c r="G424" s="62" t="s">
        <v>57888</v>
      </c>
      <c r="J424" s="62" t="s">
        <v>5157</v>
      </c>
      <c r="K424" s="62" t="s">
        <v>57931</v>
      </c>
      <c r="L424" s="62" t="s">
        <v>5158</v>
      </c>
      <c r="M424" s="62" t="s">
        <v>5159</v>
      </c>
      <c r="N424" s="62" t="s">
        <v>5160</v>
      </c>
      <c r="O424" s="62" t="s">
        <v>5161</v>
      </c>
      <c r="P424" s="62" t="s">
        <v>57974</v>
      </c>
      <c r="Q424" s="62" t="s">
        <v>5162</v>
      </c>
      <c r="R424" s="62" t="s">
        <v>5163</v>
      </c>
      <c r="S424" s="62" t="s">
        <v>5164</v>
      </c>
      <c r="U424" s="62" t="s">
        <v>5165</v>
      </c>
      <c r="V424" s="62" t="s">
        <v>58017</v>
      </c>
      <c r="W424" s="62" t="s">
        <v>5166</v>
      </c>
      <c r="X424" s="62" t="s">
        <v>5167</v>
      </c>
      <c r="Y424" s="62" t="s">
        <v>5168</v>
      </c>
      <c r="Z424" s="62" t="s">
        <v>5169</v>
      </c>
      <c r="AA424" s="62" t="s">
        <v>58060</v>
      </c>
      <c r="AB424" s="62" t="s">
        <v>5170</v>
      </c>
      <c r="AC424" s="62" t="s">
        <v>5171</v>
      </c>
      <c r="AD424" s="62" t="s">
        <v>5172</v>
      </c>
    </row>
    <row r="425" spans="1:30" x14ac:dyDescent="0.25">
      <c r="A425" s="62" t="s">
        <v>109</v>
      </c>
      <c r="C425" s="62" t="s">
        <v>5173</v>
      </c>
      <c r="F425" s="62" t="s">
        <v>1240</v>
      </c>
      <c r="G425" s="62" t="s">
        <v>57889</v>
      </c>
      <c r="J425" s="62" t="s">
        <v>5174</v>
      </c>
      <c r="K425" s="62" t="s">
        <v>57932</v>
      </c>
      <c r="L425" s="62" t="s">
        <v>5175</v>
      </c>
      <c r="M425" s="62" t="s">
        <v>5176</v>
      </c>
      <c r="N425" s="62" t="s">
        <v>5177</v>
      </c>
      <c r="O425" s="62" t="s">
        <v>5178</v>
      </c>
      <c r="P425" s="62" t="s">
        <v>57975</v>
      </c>
      <c r="Q425" s="62" t="s">
        <v>5179</v>
      </c>
      <c r="R425" s="62" t="s">
        <v>5180</v>
      </c>
      <c r="S425" s="62" t="s">
        <v>5181</v>
      </c>
      <c r="U425" s="62" t="s">
        <v>5182</v>
      </c>
      <c r="V425" s="62" t="s">
        <v>58018</v>
      </c>
      <c r="W425" s="62" t="s">
        <v>5183</v>
      </c>
      <c r="X425" s="62" t="s">
        <v>5184</v>
      </c>
      <c r="Y425" s="62" t="s">
        <v>5185</v>
      </c>
      <c r="Z425" s="62" t="s">
        <v>5186</v>
      </c>
      <c r="AA425" s="62" t="s">
        <v>58061</v>
      </c>
      <c r="AB425" s="62" t="s">
        <v>5187</v>
      </c>
      <c r="AC425" s="62" t="s">
        <v>5188</v>
      </c>
      <c r="AD425" s="62" t="s">
        <v>5189</v>
      </c>
    </row>
    <row r="426" spans="1:30" x14ac:dyDescent="0.25">
      <c r="A426" s="62" t="s">
        <v>109</v>
      </c>
      <c r="C426" s="62" t="s">
        <v>5190</v>
      </c>
      <c r="F426" s="62" t="s">
        <v>1249</v>
      </c>
      <c r="G426" s="62" t="s">
        <v>57890</v>
      </c>
      <c r="J426" s="62" t="s">
        <v>5191</v>
      </c>
      <c r="K426" s="62" t="s">
        <v>57933</v>
      </c>
      <c r="L426" s="62" t="s">
        <v>5192</v>
      </c>
      <c r="M426" s="62" t="s">
        <v>5193</v>
      </c>
      <c r="N426" s="62" t="s">
        <v>5194</v>
      </c>
      <c r="O426" s="62" t="s">
        <v>5195</v>
      </c>
      <c r="P426" s="62" t="s">
        <v>57976</v>
      </c>
      <c r="Q426" s="62" t="s">
        <v>5196</v>
      </c>
      <c r="R426" s="62" t="s">
        <v>5197</v>
      </c>
      <c r="S426" s="62" t="s">
        <v>5198</v>
      </c>
      <c r="U426" s="62" t="s">
        <v>5199</v>
      </c>
      <c r="V426" s="62" t="s">
        <v>58019</v>
      </c>
      <c r="W426" s="62" t="s">
        <v>5200</v>
      </c>
      <c r="X426" s="62" t="s">
        <v>5201</v>
      </c>
      <c r="Y426" s="62" t="s">
        <v>5202</v>
      </c>
      <c r="Z426" s="62" t="s">
        <v>5203</v>
      </c>
      <c r="AA426" s="62" t="s">
        <v>58062</v>
      </c>
      <c r="AB426" s="62" t="s">
        <v>5204</v>
      </c>
      <c r="AC426" s="62" t="s">
        <v>5205</v>
      </c>
      <c r="AD426" s="62" t="s">
        <v>5206</v>
      </c>
    </row>
    <row r="427" spans="1:30" x14ac:dyDescent="0.25">
      <c r="A427" s="62" t="s">
        <v>109</v>
      </c>
      <c r="C427" s="62" t="s">
        <v>5207</v>
      </c>
      <c r="F427" s="62" t="s">
        <v>1266</v>
      </c>
      <c r="G427" s="62" t="s">
        <v>57891</v>
      </c>
      <c r="J427" s="62" t="s">
        <v>5208</v>
      </c>
      <c r="K427" s="62" t="s">
        <v>57934</v>
      </c>
      <c r="L427" s="62" t="s">
        <v>5209</v>
      </c>
      <c r="M427" s="62" t="s">
        <v>5210</v>
      </c>
      <c r="N427" s="62" t="s">
        <v>5211</v>
      </c>
      <c r="O427" s="62" t="s">
        <v>5212</v>
      </c>
      <c r="P427" s="62" t="s">
        <v>57977</v>
      </c>
      <c r="Q427" s="62" t="s">
        <v>5213</v>
      </c>
      <c r="R427" s="62" t="s">
        <v>5214</v>
      </c>
      <c r="S427" s="62" t="s">
        <v>5215</v>
      </c>
      <c r="U427" s="62" t="s">
        <v>5216</v>
      </c>
      <c r="V427" s="62" t="s">
        <v>58020</v>
      </c>
      <c r="W427" s="62" t="s">
        <v>5217</v>
      </c>
      <c r="X427" s="62" t="s">
        <v>5218</v>
      </c>
      <c r="Y427" s="62" t="s">
        <v>5219</v>
      </c>
      <c r="Z427" s="62" t="s">
        <v>5220</v>
      </c>
      <c r="AA427" s="62" t="s">
        <v>58063</v>
      </c>
      <c r="AB427" s="62" t="s">
        <v>5221</v>
      </c>
      <c r="AC427" s="62" t="s">
        <v>5222</v>
      </c>
      <c r="AD427" s="62" t="s">
        <v>5223</v>
      </c>
    </row>
    <row r="428" spans="1:30" x14ac:dyDescent="0.25">
      <c r="A428" s="62" t="s">
        <v>109</v>
      </c>
      <c r="C428" s="62" t="s">
        <v>5224</v>
      </c>
      <c r="F428" s="62" t="s">
        <v>1275</v>
      </c>
      <c r="G428" s="62" t="s">
        <v>57892</v>
      </c>
      <c r="J428" s="62" t="s">
        <v>5225</v>
      </c>
      <c r="K428" s="62" t="s">
        <v>57935</v>
      </c>
      <c r="L428" s="62" t="s">
        <v>5226</v>
      </c>
      <c r="M428" s="62" t="s">
        <v>5227</v>
      </c>
      <c r="N428" s="62" t="s">
        <v>5228</v>
      </c>
      <c r="O428" s="62" t="s">
        <v>5229</v>
      </c>
      <c r="P428" s="62" t="s">
        <v>57978</v>
      </c>
      <c r="Q428" s="62" t="s">
        <v>5230</v>
      </c>
      <c r="R428" s="62" t="s">
        <v>5231</v>
      </c>
      <c r="S428" s="62" t="s">
        <v>5232</v>
      </c>
      <c r="U428" s="62" t="s">
        <v>5233</v>
      </c>
      <c r="V428" s="62" t="s">
        <v>58021</v>
      </c>
      <c r="W428" s="62" t="s">
        <v>5234</v>
      </c>
      <c r="X428" s="62" t="s">
        <v>5235</v>
      </c>
      <c r="Y428" s="62" t="s">
        <v>5236</v>
      </c>
      <c r="Z428" s="62" t="s">
        <v>5237</v>
      </c>
      <c r="AA428" s="62" t="s">
        <v>58064</v>
      </c>
      <c r="AB428" s="62" t="s">
        <v>5238</v>
      </c>
      <c r="AC428" s="62" t="s">
        <v>5239</v>
      </c>
      <c r="AD428" s="62" t="s">
        <v>5240</v>
      </c>
    </row>
    <row r="429" spans="1:30" x14ac:dyDescent="0.25">
      <c r="A429" s="62" t="s">
        <v>109</v>
      </c>
      <c r="C429" s="62" t="s">
        <v>5241</v>
      </c>
      <c r="F429" s="62" t="s">
        <v>1277</v>
      </c>
      <c r="G429" s="62" t="s">
        <v>57893</v>
      </c>
      <c r="J429" s="62" t="s">
        <v>5242</v>
      </c>
      <c r="K429" s="62" t="s">
        <v>57936</v>
      </c>
      <c r="L429" s="62" t="s">
        <v>5243</v>
      </c>
      <c r="M429" s="62" t="s">
        <v>5244</v>
      </c>
      <c r="N429" s="62" t="s">
        <v>5245</v>
      </c>
      <c r="O429" s="62" t="s">
        <v>5246</v>
      </c>
      <c r="P429" s="62" t="s">
        <v>57979</v>
      </c>
      <c r="Q429" s="62" t="s">
        <v>5247</v>
      </c>
      <c r="R429" s="62" t="s">
        <v>5248</v>
      </c>
      <c r="S429" s="62" t="s">
        <v>5249</v>
      </c>
      <c r="U429" s="62" t="s">
        <v>5250</v>
      </c>
      <c r="V429" s="62" t="s">
        <v>58022</v>
      </c>
      <c r="W429" s="62" t="s">
        <v>5251</v>
      </c>
      <c r="X429" s="62" t="s">
        <v>5252</v>
      </c>
      <c r="Y429" s="62" t="s">
        <v>5253</v>
      </c>
      <c r="Z429" s="62" t="s">
        <v>5254</v>
      </c>
      <c r="AA429" s="62" t="s">
        <v>58065</v>
      </c>
      <c r="AB429" s="62" t="s">
        <v>5255</v>
      </c>
      <c r="AC429" s="62" t="s">
        <v>5256</v>
      </c>
      <c r="AD429" s="62" t="s">
        <v>5257</v>
      </c>
    </row>
    <row r="430" spans="1:30" x14ac:dyDescent="0.25">
      <c r="A430" s="62" t="s">
        <v>109</v>
      </c>
      <c r="C430" s="62" t="s">
        <v>5258</v>
      </c>
      <c r="F430" s="62" t="s">
        <v>1286</v>
      </c>
      <c r="G430" s="62" t="s">
        <v>57894</v>
      </c>
      <c r="J430" s="62" t="s">
        <v>5260</v>
      </c>
      <c r="K430" s="62" t="s">
        <v>57937</v>
      </c>
      <c r="L430" s="62" t="s">
        <v>5261</v>
      </c>
      <c r="M430" s="62" t="s">
        <v>5262</v>
      </c>
      <c r="N430" s="62" t="s">
        <v>5263</v>
      </c>
      <c r="O430" s="62" t="s">
        <v>5264</v>
      </c>
      <c r="P430" s="62" t="s">
        <v>57980</v>
      </c>
      <c r="Q430" s="62" t="s">
        <v>5265</v>
      </c>
      <c r="R430" s="62" t="s">
        <v>5266</v>
      </c>
      <c r="S430" s="62" t="s">
        <v>5267</v>
      </c>
      <c r="U430" s="62" t="s">
        <v>5268</v>
      </c>
      <c r="V430" s="62" t="s">
        <v>58023</v>
      </c>
      <c r="W430" s="62" t="s">
        <v>5269</v>
      </c>
      <c r="X430" s="62" t="s">
        <v>5270</v>
      </c>
      <c r="Y430" s="62" t="s">
        <v>5271</v>
      </c>
      <c r="Z430" s="62" t="s">
        <v>5272</v>
      </c>
      <c r="AA430" s="62" t="s">
        <v>58066</v>
      </c>
      <c r="AB430" s="62" t="s">
        <v>5273</v>
      </c>
      <c r="AC430" s="62" t="s">
        <v>5274</v>
      </c>
      <c r="AD430" s="62" t="s">
        <v>5275</v>
      </c>
    </row>
    <row r="431" spans="1:30" x14ac:dyDescent="0.25">
      <c r="A431" s="62" t="s">
        <v>109</v>
      </c>
      <c r="C431" s="62" t="s">
        <v>5276</v>
      </c>
      <c r="F431" s="62" t="s">
        <v>1287</v>
      </c>
      <c r="G431" s="62" t="s">
        <v>57895</v>
      </c>
      <c r="J431" s="62" t="s">
        <v>5277</v>
      </c>
      <c r="K431" s="62" t="s">
        <v>57938</v>
      </c>
      <c r="L431" s="62" t="s">
        <v>5278</v>
      </c>
      <c r="M431" s="62" t="s">
        <v>5279</v>
      </c>
      <c r="N431" s="62" t="s">
        <v>5280</v>
      </c>
      <c r="O431" s="62" t="s">
        <v>5281</v>
      </c>
      <c r="P431" s="62" t="s">
        <v>57981</v>
      </c>
      <c r="Q431" s="62" t="s">
        <v>5282</v>
      </c>
      <c r="R431" s="62" t="s">
        <v>5283</v>
      </c>
      <c r="S431" s="62" t="s">
        <v>5284</v>
      </c>
      <c r="U431" s="62" t="s">
        <v>5285</v>
      </c>
      <c r="V431" s="62" t="s">
        <v>58024</v>
      </c>
      <c r="W431" s="62" t="s">
        <v>5286</v>
      </c>
      <c r="X431" s="62" t="s">
        <v>5287</v>
      </c>
      <c r="Y431" s="62" t="s">
        <v>5288</v>
      </c>
      <c r="Z431" s="62" t="s">
        <v>5289</v>
      </c>
      <c r="AA431" s="62" t="s">
        <v>58067</v>
      </c>
      <c r="AB431" s="62" t="s">
        <v>5290</v>
      </c>
      <c r="AC431" s="62" t="s">
        <v>5291</v>
      </c>
      <c r="AD431" s="62" t="s">
        <v>5292</v>
      </c>
    </row>
    <row r="432" spans="1:30" x14ac:dyDescent="0.25">
      <c r="A432" s="62" t="s">
        <v>109</v>
      </c>
      <c r="C432" s="62" t="s">
        <v>5293</v>
      </c>
      <c r="F432" s="62" t="s">
        <v>1288</v>
      </c>
      <c r="G432" s="62" t="s">
        <v>57896</v>
      </c>
      <c r="J432" s="62" t="s">
        <v>5294</v>
      </c>
      <c r="K432" s="62" t="s">
        <v>57939</v>
      </c>
      <c r="L432" s="62" t="s">
        <v>5295</v>
      </c>
      <c r="M432" s="62" t="s">
        <v>5296</v>
      </c>
      <c r="N432" s="62" t="s">
        <v>5297</v>
      </c>
      <c r="O432" s="62" t="s">
        <v>5298</v>
      </c>
      <c r="P432" s="62" t="s">
        <v>57982</v>
      </c>
      <c r="Q432" s="62" t="s">
        <v>5299</v>
      </c>
      <c r="R432" s="62" t="s">
        <v>5300</v>
      </c>
      <c r="S432" s="62" t="s">
        <v>5301</v>
      </c>
      <c r="U432" s="62" t="s">
        <v>5302</v>
      </c>
      <c r="V432" s="62" t="s">
        <v>58025</v>
      </c>
      <c r="W432" s="62" t="s">
        <v>5303</v>
      </c>
      <c r="X432" s="62" t="s">
        <v>5304</v>
      </c>
      <c r="Y432" s="62" t="s">
        <v>5305</v>
      </c>
      <c r="Z432" s="62" t="s">
        <v>5306</v>
      </c>
      <c r="AA432" s="62" t="s">
        <v>58068</v>
      </c>
      <c r="AB432" s="62" t="s">
        <v>5307</v>
      </c>
      <c r="AC432" s="62" t="s">
        <v>5308</v>
      </c>
      <c r="AD432" s="62" t="s">
        <v>5309</v>
      </c>
    </row>
    <row r="433" spans="1:30" x14ac:dyDescent="0.25">
      <c r="A433" s="62" t="s">
        <v>109</v>
      </c>
      <c r="C433" s="62" t="s">
        <v>5310</v>
      </c>
      <c r="F433" s="62" t="s">
        <v>1289</v>
      </c>
      <c r="G433" s="62" t="s">
        <v>57897</v>
      </c>
      <c r="J433" s="62" t="s">
        <v>5311</v>
      </c>
      <c r="K433" s="62" t="s">
        <v>57940</v>
      </c>
      <c r="L433" s="62" t="s">
        <v>5312</v>
      </c>
      <c r="M433" s="62" t="s">
        <v>5313</v>
      </c>
      <c r="N433" s="62" t="s">
        <v>5314</v>
      </c>
      <c r="O433" s="62" t="s">
        <v>5315</v>
      </c>
      <c r="P433" s="62" t="s">
        <v>57983</v>
      </c>
      <c r="Q433" s="62" t="s">
        <v>5316</v>
      </c>
      <c r="R433" s="62" t="s">
        <v>5317</v>
      </c>
      <c r="S433" s="62" t="s">
        <v>5318</v>
      </c>
      <c r="U433" s="62" t="s">
        <v>5319</v>
      </c>
      <c r="V433" s="62" t="s">
        <v>58026</v>
      </c>
      <c r="W433" s="62" t="s">
        <v>5320</v>
      </c>
      <c r="X433" s="62" t="s">
        <v>5321</v>
      </c>
      <c r="Y433" s="62" t="s">
        <v>5322</v>
      </c>
      <c r="Z433" s="62" t="s">
        <v>5323</v>
      </c>
      <c r="AA433" s="62" t="s">
        <v>58069</v>
      </c>
      <c r="AB433" s="62" t="s">
        <v>5324</v>
      </c>
      <c r="AC433" s="62" t="s">
        <v>5325</v>
      </c>
      <c r="AD433" s="62" t="s">
        <v>5326</v>
      </c>
    </row>
    <row r="434" spans="1:30" x14ac:dyDescent="0.25">
      <c r="A434" s="62" t="s">
        <v>109</v>
      </c>
      <c r="C434" s="62" t="s">
        <v>5327</v>
      </c>
      <c r="F434" s="62" t="s">
        <v>1797</v>
      </c>
      <c r="G434" s="62" t="s">
        <v>57898</v>
      </c>
      <c r="J434" s="62" t="s">
        <v>5328</v>
      </c>
      <c r="K434" s="62" t="s">
        <v>57941</v>
      </c>
      <c r="L434" s="62" t="s">
        <v>5329</v>
      </c>
      <c r="M434" s="62" t="s">
        <v>5330</v>
      </c>
      <c r="N434" s="62" t="s">
        <v>5331</v>
      </c>
      <c r="O434" s="62" t="s">
        <v>5332</v>
      </c>
      <c r="P434" s="62" t="s">
        <v>57984</v>
      </c>
      <c r="Q434" s="62" t="s">
        <v>5333</v>
      </c>
      <c r="R434" s="62" t="s">
        <v>5334</v>
      </c>
      <c r="S434" s="62" t="s">
        <v>5335</v>
      </c>
      <c r="U434" s="62" t="s">
        <v>5336</v>
      </c>
      <c r="V434" s="62" t="s">
        <v>58027</v>
      </c>
      <c r="W434" s="62" t="s">
        <v>5337</v>
      </c>
      <c r="X434" s="62" t="s">
        <v>5338</v>
      </c>
      <c r="Y434" s="62" t="s">
        <v>5339</v>
      </c>
      <c r="Z434" s="62" t="s">
        <v>5340</v>
      </c>
      <c r="AA434" s="62" t="s">
        <v>58070</v>
      </c>
      <c r="AB434" s="62" t="s">
        <v>5341</v>
      </c>
      <c r="AC434" s="62" t="s">
        <v>5342</v>
      </c>
      <c r="AD434" s="62" t="s">
        <v>5343</v>
      </c>
    </row>
    <row r="435" spans="1:30" x14ac:dyDescent="0.25">
      <c r="A435" s="62" t="s">
        <v>109</v>
      </c>
      <c r="C435" s="62" t="s">
        <v>5344</v>
      </c>
      <c r="F435" s="62" t="s">
        <v>1299</v>
      </c>
      <c r="G435" s="62" t="s">
        <v>57899</v>
      </c>
      <c r="J435" s="62" t="s">
        <v>5345</v>
      </c>
      <c r="K435" s="62" t="s">
        <v>57942</v>
      </c>
      <c r="L435" s="62" t="s">
        <v>5346</v>
      </c>
      <c r="M435" s="62" t="s">
        <v>5347</v>
      </c>
      <c r="N435" s="62" t="s">
        <v>5348</v>
      </c>
      <c r="O435" s="62" t="s">
        <v>5349</v>
      </c>
      <c r="P435" s="62" t="s">
        <v>57985</v>
      </c>
      <c r="Q435" s="62" t="s">
        <v>5350</v>
      </c>
      <c r="R435" s="62" t="s">
        <v>5351</v>
      </c>
      <c r="S435" s="62" t="s">
        <v>5352</v>
      </c>
      <c r="U435" s="62" t="s">
        <v>5353</v>
      </c>
      <c r="V435" s="62" t="s">
        <v>58028</v>
      </c>
      <c r="W435" s="62" t="s">
        <v>5354</v>
      </c>
      <c r="X435" s="62" t="s">
        <v>5355</v>
      </c>
      <c r="Y435" s="62" t="s">
        <v>5356</v>
      </c>
      <c r="Z435" s="62" t="s">
        <v>5357</v>
      </c>
      <c r="AA435" s="62" t="s">
        <v>58071</v>
      </c>
      <c r="AB435" s="62" t="s">
        <v>5358</v>
      </c>
      <c r="AC435" s="62" t="s">
        <v>5359</v>
      </c>
      <c r="AD435" s="62" t="s">
        <v>5360</v>
      </c>
    </row>
    <row r="436" spans="1:30" x14ac:dyDescent="0.25">
      <c r="A436" s="62" t="s">
        <v>109</v>
      </c>
      <c r="C436" s="62" t="s">
        <v>4720</v>
      </c>
    </row>
    <row r="437" spans="1:30" x14ac:dyDescent="0.25">
      <c r="A437" s="62" t="s">
        <v>109</v>
      </c>
      <c r="C437" s="62" t="s">
        <v>5361</v>
      </c>
      <c r="G437" s="62" t="s">
        <v>40781</v>
      </c>
      <c r="J437" s="62" t="s">
        <v>40782</v>
      </c>
      <c r="K437" s="62" t="s">
        <v>40783</v>
      </c>
      <c r="L437" s="62" t="s">
        <v>40784</v>
      </c>
      <c r="M437" s="62" t="s">
        <v>5362</v>
      </c>
      <c r="N437" s="62" t="s">
        <v>5363</v>
      </c>
      <c r="O437" s="62" t="s">
        <v>40785</v>
      </c>
      <c r="P437" s="62" t="s">
        <v>40786</v>
      </c>
      <c r="Q437" s="62" t="s">
        <v>40787</v>
      </c>
      <c r="R437" s="62" t="s">
        <v>5364</v>
      </c>
      <c r="S437" s="62" t="s">
        <v>5365</v>
      </c>
      <c r="U437" s="62" t="s">
        <v>40788</v>
      </c>
      <c r="V437" s="62" t="s">
        <v>40789</v>
      </c>
      <c r="W437" s="62" t="s">
        <v>40790</v>
      </c>
      <c r="X437" s="62" t="s">
        <v>5366</v>
      </c>
      <c r="Y437" s="62" t="s">
        <v>5367</v>
      </c>
      <c r="Z437" s="62" t="s">
        <v>40791</v>
      </c>
      <c r="AA437" s="62" t="s">
        <v>40792</v>
      </c>
      <c r="AB437" s="62" t="s">
        <v>40793</v>
      </c>
      <c r="AC437" s="62" t="s">
        <v>5368</v>
      </c>
      <c r="AD437" s="62" t="s">
        <v>5369</v>
      </c>
    </row>
    <row r="438" spans="1:30" x14ac:dyDescent="0.25">
      <c r="A438" s="62" t="s">
        <v>109</v>
      </c>
    </row>
    <row r="439" spans="1:30" x14ac:dyDescent="0.25">
      <c r="A439" s="62" t="s">
        <v>109</v>
      </c>
      <c r="C439" s="62" t="s">
        <v>40794</v>
      </c>
      <c r="E439" s="62" t="s">
        <v>2222</v>
      </c>
      <c r="G439" s="62" t="s">
        <v>40795</v>
      </c>
    </row>
    <row r="440" spans="1:30" x14ac:dyDescent="0.25">
      <c r="A440" s="62" t="s">
        <v>109</v>
      </c>
      <c r="C440" s="62" t="s">
        <v>5370</v>
      </c>
    </row>
    <row r="441" spans="1:30" x14ac:dyDescent="0.25">
      <c r="A441" s="62" t="s">
        <v>109</v>
      </c>
      <c r="C441" s="62" t="s">
        <v>5371</v>
      </c>
      <c r="F441" s="62" t="s">
        <v>40796</v>
      </c>
      <c r="G441" s="62" t="s">
        <v>57772</v>
      </c>
      <c r="J441" s="62" t="s">
        <v>5372</v>
      </c>
      <c r="K441" s="62" t="s">
        <v>57789</v>
      </c>
      <c r="L441" s="62" t="s">
        <v>5373</v>
      </c>
      <c r="M441" s="62" t="s">
        <v>5374</v>
      </c>
      <c r="N441" s="62" t="s">
        <v>5375</v>
      </c>
      <c r="O441" s="62" t="s">
        <v>5376</v>
      </c>
      <c r="P441" s="62" t="s">
        <v>57806</v>
      </c>
      <c r="Q441" s="62" t="s">
        <v>5377</v>
      </c>
      <c r="R441" s="62" t="s">
        <v>5378</v>
      </c>
      <c r="S441" s="62" t="s">
        <v>5379</v>
      </c>
      <c r="U441" s="62" t="s">
        <v>5380</v>
      </c>
      <c r="V441" s="62" t="s">
        <v>57823</v>
      </c>
      <c r="W441" s="62" t="s">
        <v>5381</v>
      </c>
      <c r="X441" s="62" t="s">
        <v>5382</v>
      </c>
      <c r="Y441" s="62" t="s">
        <v>5383</v>
      </c>
      <c r="Z441" s="62" t="s">
        <v>5384</v>
      </c>
      <c r="AA441" s="62" t="s">
        <v>57840</v>
      </c>
      <c r="AB441" s="62" t="s">
        <v>5385</v>
      </c>
      <c r="AC441" s="62" t="s">
        <v>5386</v>
      </c>
      <c r="AD441" s="62" t="s">
        <v>5387</v>
      </c>
    </row>
    <row r="442" spans="1:30" x14ac:dyDescent="0.25">
      <c r="A442" s="62" t="s">
        <v>109</v>
      </c>
      <c r="C442" s="62" t="s">
        <v>5388</v>
      </c>
      <c r="F442" s="62" t="s">
        <v>776</v>
      </c>
      <c r="G442" s="62" t="s">
        <v>57773</v>
      </c>
      <c r="J442" s="62" t="s">
        <v>5389</v>
      </c>
      <c r="K442" s="62" t="s">
        <v>57790</v>
      </c>
      <c r="L442" s="62" t="s">
        <v>5390</v>
      </c>
      <c r="M442" s="62" t="s">
        <v>5391</v>
      </c>
      <c r="N442" s="62" t="s">
        <v>5392</v>
      </c>
      <c r="O442" s="62" t="s">
        <v>5393</v>
      </c>
      <c r="P442" s="62" t="s">
        <v>57807</v>
      </c>
      <c r="Q442" s="62" t="s">
        <v>5394</v>
      </c>
      <c r="R442" s="62" t="s">
        <v>5395</v>
      </c>
      <c r="S442" s="62" t="s">
        <v>5396</v>
      </c>
      <c r="U442" s="62" t="s">
        <v>5397</v>
      </c>
      <c r="V442" s="62" t="s">
        <v>57824</v>
      </c>
      <c r="W442" s="62" t="s">
        <v>5398</v>
      </c>
      <c r="X442" s="62" t="s">
        <v>5399</v>
      </c>
      <c r="Y442" s="62" t="s">
        <v>5400</v>
      </c>
      <c r="Z442" s="62" t="s">
        <v>5401</v>
      </c>
      <c r="AA442" s="62" t="s">
        <v>57841</v>
      </c>
      <c r="AB442" s="62" t="s">
        <v>5402</v>
      </c>
      <c r="AC442" s="62" t="s">
        <v>5403</v>
      </c>
      <c r="AD442" s="62" t="s">
        <v>5404</v>
      </c>
    </row>
    <row r="443" spans="1:30" x14ac:dyDescent="0.25">
      <c r="A443" s="62" t="s">
        <v>109</v>
      </c>
      <c r="C443" s="62" t="s">
        <v>5405</v>
      </c>
      <c r="F443" s="62" t="s">
        <v>1359</v>
      </c>
      <c r="G443" s="62" t="s">
        <v>57774</v>
      </c>
      <c r="J443" s="62" t="s">
        <v>5406</v>
      </c>
      <c r="K443" s="62" t="s">
        <v>57791</v>
      </c>
      <c r="L443" s="62" t="s">
        <v>5407</v>
      </c>
      <c r="M443" s="62" t="s">
        <v>5408</v>
      </c>
      <c r="N443" s="62" t="s">
        <v>5409</v>
      </c>
      <c r="O443" s="62" t="s">
        <v>5410</v>
      </c>
      <c r="P443" s="62" t="s">
        <v>57808</v>
      </c>
      <c r="Q443" s="62" t="s">
        <v>5411</v>
      </c>
      <c r="R443" s="62" t="s">
        <v>5412</v>
      </c>
      <c r="S443" s="62" t="s">
        <v>5413</v>
      </c>
      <c r="U443" s="62" t="s">
        <v>5414</v>
      </c>
      <c r="V443" s="62" t="s">
        <v>57825</v>
      </c>
      <c r="W443" s="62" t="s">
        <v>5415</v>
      </c>
      <c r="X443" s="62" t="s">
        <v>5416</v>
      </c>
      <c r="Y443" s="62" t="s">
        <v>5417</v>
      </c>
      <c r="Z443" s="62" t="s">
        <v>5418</v>
      </c>
      <c r="AA443" s="62" t="s">
        <v>57842</v>
      </c>
      <c r="AB443" s="62" t="s">
        <v>5419</v>
      </c>
      <c r="AC443" s="62" t="s">
        <v>5420</v>
      </c>
      <c r="AD443" s="62" t="s">
        <v>5421</v>
      </c>
    </row>
    <row r="444" spans="1:30" x14ac:dyDescent="0.25">
      <c r="A444" s="62" t="s">
        <v>109</v>
      </c>
      <c r="C444" s="62" t="s">
        <v>5422</v>
      </c>
      <c r="F444" s="62" t="s">
        <v>872</v>
      </c>
      <c r="G444" s="62" t="s">
        <v>57775</v>
      </c>
      <c r="J444" s="62" t="s">
        <v>5423</v>
      </c>
      <c r="K444" s="62" t="s">
        <v>57792</v>
      </c>
      <c r="L444" s="62" t="s">
        <v>5424</v>
      </c>
      <c r="M444" s="62" t="s">
        <v>5425</v>
      </c>
      <c r="N444" s="62" t="s">
        <v>5426</v>
      </c>
      <c r="O444" s="62" t="s">
        <v>5427</v>
      </c>
      <c r="P444" s="62" t="s">
        <v>57809</v>
      </c>
      <c r="Q444" s="62" t="s">
        <v>5428</v>
      </c>
      <c r="R444" s="62" t="s">
        <v>5429</v>
      </c>
      <c r="S444" s="62" t="s">
        <v>5430</v>
      </c>
      <c r="U444" s="62" t="s">
        <v>5431</v>
      </c>
      <c r="V444" s="62" t="s">
        <v>57826</v>
      </c>
      <c r="W444" s="62" t="s">
        <v>5432</v>
      </c>
      <c r="X444" s="62" t="s">
        <v>5433</v>
      </c>
      <c r="Y444" s="62" t="s">
        <v>5434</v>
      </c>
      <c r="Z444" s="62" t="s">
        <v>5435</v>
      </c>
      <c r="AA444" s="62" t="s">
        <v>57843</v>
      </c>
      <c r="AB444" s="62" t="s">
        <v>5436</v>
      </c>
      <c r="AC444" s="62" t="s">
        <v>5437</v>
      </c>
      <c r="AD444" s="62" t="s">
        <v>5438</v>
      </c>
    </row>
    <row r="445" spans="1:30" x14ac:dyDescent="0.25">
      <c r="A445" s="62" t="s">
        <v>109</v>
      </c>
      <c r="C445" s="62" t="s">
        <v>5439</v>
      </c>
      <c r="F445" s="62" t="s">
        <v>889</v>
      </c>
      <c r="G445" s="62" t="s">
        <v>57776</v>
      </c>
      <c r="J445" s="62" t="s">
        <v>5440</v>
      </c>
      <c r="K445" s="62" t="s">
        <v>57793</v>
      </c>
      <c r="L445" s="62" t="s">
        <v>5441</v>
      </c>
      <c r="M445" s="62" t="s">
        <v>5442</v>
      </c>
      <c r="N445" s="62" t="s">
        <v>5443</v>
      </c>
      <c r="O445" s="62" t="s">
        <v>5444</v>
      </c>
      <c r="P445" s="62" t="s">
        <v>57810</v>
      </c>
      <c r="Q445" s="62" t="s">
        <v>5445</v>
      </c>
      <c r="R445" s="62" t="s">
        <v>5446</v>
      </c>
      <c r="S445" s="62" t="s">
        <v>5447</v>
      </c>
      <c r="U445" s="62" t="s">
        <v>5448</v>
      </c>
      <c r="V445" s="62" t="s">
        <v>57827</v>
      </c>
      <c r="W445" s="62" t="s">
        <v>5449</v>
      </c>
      <c r="X445" s="62" t="s">
        <v>5450</v>
      </c>
      <c r="Y445" s="62" t="s">
        <v>5451</v>
      </c>
      <c r="Z445" s="62" t="s">
        <v>5452</v>
      </c>
      <c r="AA445" s="62" t="s">
        <v>57844</v>
      </c>
      <c r="AB445" s="62" t="s">
        <v>5453</v>
      </c>
      <c r="AC445" s="62" t="s">
        <v>5454</v>
      </c>
      <c r="AD445" s="62" t="s">
        <v>5455</v>
      </c>
    </row>
    <row r="446" spans="1:30" x14ac:dyDescent="0.25">
      <c r="A446" s="62" t="s">
        <v>109</v>
      </c>
      <c r="C446" s="62" t="s">
        <v>5456</v>
      </c>
      <c r="F446" s="62" t="s">
        <v>925</v>
      </c>
      <c r="G446" s="62" t="s">
        <v>57777</v>
      </c>
      <c r="J446" s="62" t="s">
        <v>5457</v>
      </c>
      <c r="K446" s="62" t="s">
        <v>57794</v>
      </c>
      <c r="L446" s="62" t="s">
        <v>5458</v>
      </c>
      <c r="M446" s="62" t="s">
        <v>5459</v>
      </c>
      <c r="N446" s="62" t="s">
        <v>5460</v>
      </c>
      <c r="O446" s="62" t="s">
        <v>5461</v>
      </c>
      <c r="P446" s="62" t="s">
        <v>57811</v>
      </c>
      <c r="Q446" s="62" t="s">
        <v>5462</v>
      </c>
      <c r="R446" s="62" t="s">
        <v>5463</v>
      </c>
      <c r="S446" s="62" t="s">
        <v>5464</v>
      </c>
      <c r="U446" s="62" t="s">
        <v>5465</v>
      </c>
      <c r="V446" s="62" t="s">
        <v>57828</v>
      </c>
      <c r="W446" s="62" t="s">
        <v>5466</v>
      </c>
      <c r="X446" s="62" t="s">
        <v>5467</v>
      </c>
      <c r="Y446" s="62" t="s">
        <v>5468</v>
      </c>
      <c r="Z446" s="62" t="s">
        <v>5469</v>
      </c>
      <c r="AA446" s="62" t="s">
        <v>57845</v>
      </c>
      <c r="AB446" s="62" t="s">
        <v>5470</v>
      </c>
      <c r="AC446" s="62" t="s">
        <v>5471</v>
      </c>
      <c r="AD446" s="62" t="s">
        <v>5472</v>
      </c>
    </row>
    <row r="447" spans="1:30" x14ac:dyDescent="0.25">
      <c r="A447" s="62" t="s">
        <v>109</v>
      </c>
      <c r="C447" s="62" t="s">
        <v>5473</v>
      </c>
      <c r="F447" s="62" t="s">
        <v>976</v>
      </c>
      <c r="G447" s="62" t="s">
        <v>57778</v>
      </c>
      <c r="J447" s="62" t="s">
        <v>5474</v>
      </c>
      <c r="K447" s="62" t="s">
        <v>57795</v>
      </c>
      <c r="L447" s="62" t="s">
        <v>5475</v>
      </c>
      <c r="M447" s="62" t="s">
        <v>5476</v>
      </c>
      <c r="N447" s="62" t="s">
        <v>5477</v>
      </c>
      <c r="O447" s="62" t="s">
        <v>5478</v>
      </c>
      <c r="P447" s="62" t="s">
        <v>57812</v>
      </c>
      <c r="Q447" s="62" t="s">
        <v>5479</v>
      </c>
      <c r="R447" s="62" t="s">
        <v>5480</v>
      </c>
      <c r="S447" s="62" t="s">
        <v>5481</v>
      </c>
      <c r="U447" s="62" t="s">
        <v>5482</v>
      </c>
      <c r="V447" s="62" t="s">
        <v>57829</v>
      </c>
      <c r="W447" s="62" t="s">
        <v>5483</v>
      </c>
      <c r="X447" s="62" t="s">
        <v>5484</v>
      </c>
      <c r="Y447" s="62" t="s">
        <v>5485</v>
      </c>
      <c r="Z447" s="62" t="s">
        <v>5486</v>
      </c>
      <c r="AA447" s="62" t="s">
        <v>57846</v>
      </c>
      <c r="AB447" s="62" t="s">
        <v>5487</v>
      </c>
      <c r="AC447" s="62" t="s">
        <v>5488</v>
      </c>
      <c r="AD447" s="62" t="s">
        <v>5489</v>
      </c>
    </row>
    <row r="448" spans="1:30" x14ac:dyDescent="0.25">
      <c r="A448" s="62" t="s">
        <v>109</v>
      </c>
      <c r="C448" s="62" t="s">
        <v>5490</v>
      </c>
      <c r="F448" s="62" t="s">
        <v>985</v>
      </c>
      <c r="G448" s="62" t="s">
        <v>57779</v>
      </c>
      <c r="J448" s="62" t="s">
        <v>5491</v>
      </c>
      <c r="K448" s="62" t="s">
        <v>57796</v>
      </c>
      <c r="L448" s="62" t="s">
        <v>5492</v>
      </c>
      <c r="M448" s="62" t="s">
        <v>5493</v>
      </c>
      <c r="N448" s="62" t="s">
        <v>5494</v>
      </c>
      <c r="O448" s="62" t="s">
        <v>5495</v>
      </c>
      <c r="P448" s="62" t="s">
        <v>57813</v>
      </c>
      <c r="Q448" s="62" t="s">
        <v>5496</v>
      </c>
      <c r="R448" s="62" t="s">
        <v>5497</v>
      </c>
      <c r="S448" s="62" t="s">
        <v>5498</v>
      </c>
      <c r="U448" s="62" t="s">
        <v>5499</v>
      </c>
      <c r="V448" s="62" t="s">
        <v>57830</v>
      </c>
      <c r="W448" s="62" t="s">
        <v>5500</v>
      </c>
      <c r="X448" s="62" t="s">
        <v>5501</v>
      </c>
      <c r="Y448" s="62" t="s">
        <v>5502</v>
      </c>
      <c r="Z448" s="62" t="s">
        <v>5503</v>
      </c>
      <c r="AA448" s="62" t="s">
        <v>57847</v>
      </c>
      <c r="AB448" s="62" t="s">
        <v>5504</v>
      </c>
      <c r="AC448" s="62" t="s">
        <v>5505</v>
      </c>
      <c r="AD448" s="62" t="s">
        <v>5506</v>
      </c>
    </row>
    <row r="449" spans="1:30" x14ac:dyDescent="0.25">
      <c r="A449" s="62" t="s">
        <v>109</v>
      </c>
      <c r="C449" s="62" t="s">
        <v>5507</v>
      </c>
      <c r="F449" s="62" t="s">
        <v>1047</v>
      </c>
      <c r="G449" s="62" t="s">
        <v>57780</v>
      </c>
      <c r="J449" s="62" t="s">
        <v>5508</v>
      </c>
      <c r="K449" s="62" t="s">
        <v>57797</v>
      </c>
      <c r="L449" s="62" t="s">
        <v>5509</v>
      </c>
      <c r="M449" s="62" t="s">
        <v>5510</v>
      </c>
      <c r="N449" s="62" t="s">
        <v>5511</v>
      </c>
      <c r="O449" s="62" t="s">
        <v>5512</v>
      </c>
      <c r="P449" s="62" t="s">
        <v>57814</v>
      </c>
      <c r="Q449" s="62" t="s">
        <v>5513</v>
      </c>
      <c r="R449" s="62" t="s">
        <v>5514</v>
      </c>
      <c r="S449" s="62" t="s">
        <v>5515</v>
      </c>
      <c r="U449" s="62" t="s">
        <v>5516</v>
      </c>
      <c r="V449" s="62" t="s">
        <v>57831</v>
      </c>
      <c r="W449" s="62" t="s">
        <v>5517</v>
      </c>
      <c r="X449" s="62" t="s">
        <v>5518</v>
      </c>
      <c r="Y449" s="62" t="s">
        <v>5519</v>
      </c>
      <c r="Z449" s="62" t="s">
        <v>5520</v>
      </c>
      <c r="AA449" s="62" t="s">
        <v>57848</v>
      </c>
      <c r="AB449" s="62" t="s">
        <v>5521</v>
      </c>
      <c r="AC449" s="62" t="s">
        <v>5522</v>
      </c>
      <c r="AD449" s="62" t="s">
        <v>5523</v>
      </c>
    </row>
    <row r="450" spans="1:30" x14ac:dyDescent="0.25">
      <c r="A450" s="62" t="s">
        <v>109</v>
      </c>
      <c r="C450" s="62" t="s">
        <v>40797</v>
      </c>
      <c r="F450" s="62" t="s">
        <v>1090</v>
      </c>
      <c r="G450" s="62" t="s">
        <v>57781</v>
      </c>
      <c r="J450" s="62" t="s">
        <v>40798</v>
      </c>
      <c r="K450" s="62" t="s">
        <v>57798</v>
      </c>
      <c r="L450" s="62" t="s">
        <v>40799</v>
      </c>
      <c r="M450" s="62" t="s">
        <v>40800</v>
      </c>
      <c r="N450" s="62" t="s">
        <v>40801</v>
      </c>
      <c r="O450" s="62" t="s">
        <v>40802</v>
      </c>
      <c r="P450" s="62" t="s">
        <v>57815</v>
      </c>
      <c r="Q450" s="62" t="s">
        <v>40803</v>
      </c>
      <c r="R450" s="62" t="s">
        <v>40804</v>
      </c>
      <c r="S450" s="62" t="s">
        <v>40805</v>
      </c>
      <c r="U450" s="62" t="s">
        <v>40806</v>
      </c>
      <c r="V450" s="62" t="s">
        <v>57832</v>
      </c>
      <c r="W450" s="62" t="s">
        <v>40807</v>
      </c>
      <c r="X450" s="62" t="s">
        <v>40808</v>
      </c>
      <c r="Y450" s="62" t="s">
        <v>40809</v>
      </c>
      <c r="Z450" s="62" t="s">
        <v>40810</v>
      </c>
      <c r="AA450" s="62" t="s">
        <v>57849</v>
      </c>
      <c r="AB450" s="62" t="s">
        <v>40811</v>
      </c>
      <c r="AC450" s="62" t="s">
        <v>40812</v>
      </c>
      <c r="AD450" s="62" t="s">
        <v>40813</v>
      </c>
    </row>
    <row r="451" spans="1:30" x14ac:dyDescent="0.25">
      <c r="A451" s="62" t="s">
        <v>109</v>
      </c>
      <c r="C451" s="62" t="s">
        <v>5524</v>
      </c>
      <c r="F451" s="62" t="s">
        <v>1100</v>
      </c>
      <c r="G451" s="62" t="s">
        <v>57782</v>
      </c>
      <c r="J451" s="62" t="s">
        <v>40814</v>
      </c>
      <c r="K451" s="62" t="s">
        <v>57799</v>
      </c>
      <c r="L451" s="62" t="s">
        <v>40815</v>
      </c>
      <c r="M451" s="62" t="s">
        <v>5525</v>
      </c>
      <c r="N451" s="62" t="s">
        <v>5526</v>
      </c>
      <c r="O451" s="62" t="s">
        <v>40816</v>
      </c>
      <c r="P451" s="62" t="s">
        <v>57816</v>
      </c>
      <c r="Q451" s="62" t="s">
        <v>40817</v>
      </c>
      <c r="R451" s="62" t="s">
        <v>5527</v>
      </c>
      <c r="S451" s="62" t="s">
        <v>5528</v>
      </c>
      <c r="U451" s="62" t="s">
        <v>40818</v>
      </c>
      <c r="V451" s="62" t="s">
        <v>57833</v>
      </c>
      <c r="W451" s="62" t="s">
        <v>40819</v>
      </c>
      <c r="X451" s="62" t="s">
        <v>5529</v>
      </c>
      <c r="Y451" s="62" t="s">
        <v>5530</v>
      </c>
      <c r="Z451" s="62" t="s">
        <v>40820</v>
      </c>
      <c r="AA451" s="62" t="s">
        <v>57850</v>
      </c>
      <c r="AB451" s="62" t="s">
        <v>40821</v>
      </c>
      <c r="AC451" s="62" t="s">
        <v>5531</v>
      </c>
      <c r="AD451" s="62" t="s">
        <v>5532</v>
      </c>
    </row>
    <row r="452" spans="1:30" x14ac:dyDescent="0.25">
      <c r="A452" s="62" t="s">
        <v>109</v>
      </c>
      <c r="C452" s="62" t="s">
        <v>40822</v>
      </c>
      <c r="F452" s="62" t="s">
        <v>1118</v>
      </c>
      <c r="G452" s="62" t="s">
        <v>57783</v>
      </c>
      <c r="J452" s="62" t="s">
        <v>40823</v>
      </c>
      <c r="K452" s="62" t="s">
        <v>57800</v>
      </c>
      <c r="L452" s="62" t="s">
        <v>40824</v>
      </c>
      <c r="M452" s="62" t="s">
        <v>40825</v>
      </c>
      <c r="N452" s="62" t="s">
        <v>40826</v>
      </c>
      <c r="O452" s="62" t="s">
        <v>40827</v>
      </c>
      <c r="P452" s="62" t="s">
        <v>57817</v>
      </c>
      <c r="Q452" s="62" t="s">
        <v>40828</v>
      </c>
      <c r="R452" s="62" t="s">
        <v>40829</v>
      </c>
      <c r="S452" s="62" t="s">
        <v>40830</v>
      </c>
      <c r="U452" s="62" t="s">
        <v>40831</v>
      </c>
      <c r="V452" s="62" t="s">
        <v>57834</v>
      </c>
      <c r="W452" s="62" t="s">
        <v>40832</v>
      </c>
      <c r="X452" s="62" t="s">
        <v>40833</v>
      </c>
      <c r="Y452" s="62" t="s">
        <v>40834</v>
      </c>
      <c r="Z452" s="62" t="s">
        <v>40835</v>
      </c>
      <c r="AA452" s="62" t="s">
        <v>57851</v>
      </c>
      <c r="AB452" s="62" t="s">
        <v>40836</v>
      </c>
      <c r="AC452" s="62" t="s">
        <v>40837</v>
      </c>
      <c r="AD452" s="62" t="s">
        <v>40838</v>
      </c>
    </row>
    <row r="453" spans="1:30" x14ac:dyDescent="0.25">
      <c r="A453" s="62" t="s">
        <v>109</v>
      </c>
      <c r="C453" s="62" t="s">
        <v>40839</v>
      </c>
      <c r="F453" s="62" t="s">
        <v>1152</v>
      </c>
      <c r="G453" s="62" t="s">
        <v>57784</v>
      </c>
      <c r="J453" s="62" t="s">
        <v>40840</v>
      </c>
      <c r="K453" s="62" t="s">
        <v>57801</v>
      </c>
      <c r="L453" s="62" t="s">
        <v>40841</v>
      </c>
      <c r="M453" s="62" t="s">
        <v>40842</v>
      </c>
      <c r="N453" s="62" t="s">
        <v>40843</v>
      </c>
      <c r="O453" s="62" t="s">
        <v>40844</v>
      </c>
      <c r="P453" s="62" t="s">
        <v>57818</v>
      </c>
      <c r="Q453" s="62" t="s">
        <v>40845</v>
      </c>
      <c r="R453" s="62" t="s">
        <v>40846</v>
      </c>
      <c r="S453" s="62" t="s">
        <v>40847</v>
      </c>
      <c r="U453" s="62" t="s">
        <v>40848</v>
      </c>
      <c r="V453" s="62" t="s">
        <v>57835</v>
      </c>
      <c r="W453" s="62" t="s">
        <v>40849</v>
      </c>
      <c r="X453" s="62" t="s">
        <v>40850</v>
      </c>
      <c r="Y453" s="62" t="s">
        <v>40851</v>
      </c>
      <c r="Z453" s="62" t="s">
        <v>40852</v>
      </c>
      <c r="AA453" s="62" t="s">
        <v>57852</v>
      </c>
      <c r="AB453" s="62" t="s">
        <v>40853</v>
      </c>
      <c r="AC453" s="62" t="s">
        <v>40854</v>
      </c>
      <c r="AD453" s="62" t="s">
        <v>40855</v>
      </c>
    </row>
    <row r="454" spans="1:30" x14ac:dyDescent="0.25">
      <c r="A454" s="62" t="s">
        <v>109</v>
      </c>
      <c r="C454" s="62" t="s">
        <v>5533</v>
      </c>
      <c r="F454" s="62" t="s">
        <v>1206</v>
      </c>
      <c r="G454" s="62" t="s">
        <v>57785</v>
      </c>
      <c r="J454" s="62" t="s">
        <v>40856</v>
      </c>
      <c r="K454" s="62" t="s">
        <v>57802</v>
      </c>
      <c r="L454" s="62" t="s">
        <v>40857</v>
      </c>
      <c r="M454" s="62" t="s">
        <v>40858</v>
      </c>
      <c r="N454" s="62" t="s">
        <v>40859</v>
      </c>
      <c r="O454" s="62" t="s">
        <v>40860</v>
      </c>
      <c r="P454" s="62" t="s">
        <v>57819</v>
      </c>
      <c r="Q454" s="62" t="s">
        <v>40861</v>
      </c>
      <c r="R454" s="62" t="s">
        <v>40862</v>
      </c>
      <c r="S454" s="62" t="s">
        <v>40863</v>
      </c>
      <c r="U454" s="62" t="s">
        <v>40864</v>
      </c>
      <c r="V454" s="62" t="s">
        <v>57836</v>
      </c>
      <c r="W454" s="62" t="s">
        <v>40865</v>
      </c>
      <c r="X454" s="62" t="s">
        <v>40866</v>
      </c>
      <c r="Y454" s="62" t="s">
        <v>40867</v>
      </c>
      <c r="Z454" s="62" t="s">
        <v>40868</v>
      </c>
      <c r="AA454" s="62" t="s">
        <v>57853</v>
      </c>
      <c r="AB454" s="62" t="s">
        <v>40869</v>
      </c>
      <c r="AC454" s="62" t="s">
        <v>40870</v>
      </c>
      <c r="AD454" s="62" t="s">
        <v>40871</v>
      </c>
    </row>
    <row r="455" spans="1:30" x14ac:dyDescent="0.25">
      <c r="A455" s="62" t="s">
        <v>109</v>
      </c>
      <c r="C455" s="62" t="s">
        <v>5534</v>
      </c>
      <c r="F455" s="62" t="s">
        <v>1249</v>
      </c>
      <c r="G455" s="62" t="s">
        <v>57786</v>
      </c>
      <c r="J455" s="62" t="s">
        <v>5535</v>
      </c>
      <c r="K455" s="62" t="s">
        <v>57803</v>
      </c>
      <c r="L455" s="62" t="s">
        <v>5536</v>
      </c>
      <c r="M455" s="62" t="s">
        <v>5537</v>
      </c>
      <c r="N455" s="62" t="s">
        <v>5538</v>
      </c>
      <c r="O455" s="62" t="s">
        <v>5539</v>
      </c>
      <c r="P455" s="62" t="s">
        <v>57820</v>
      </c>
      <c r="Q455" s="62" t="s">
        <v>5540</v>
      </c>
      <c r="R455" s="62" t="s">
        <v>5541</v>
      </c>
      <c r="S455" s="62" t="s">
        <v>5542</v>
      </c>
      <c r="U455" s="62" t="s">
        <v>5543</v>
      </c>
      <c r="V455" s="62" t="s">
        <v>57837</v>
      </c>
      <c r="W455" s="62" t="s">
        <v>5544</v>
      </c>
      <c r="X455" s="62" t="s">
        <v>5545</v>
      </c>
      <c r="Y455" s="62" t="s">
        <v>5546</v>
      </c>
      <c r="Z455" s="62" t="s">
        <v>5547</v>
      </c>
      <c r="AA455" s="62" t="s">
        <v>57854</v>
      </c>
      <c r="AB455" s="62" t="s">
        <v>5548</v>
      </c>
      <c r="AC455" s="62" t="s">
        <v>5549</v>
      </c>
      <c r="AD455" s="62" t="s">
        <v>5550</v>
      </c>
    </row>
    <row r="456" spans="1:30" x14ac:dyDescent="0.25">
      <c r="A456" s="62" t="s">
        <v>109</v>
      </c>
      <c r="C456" s="62" t="s">
        <v>5551</v>
      </c>
      <c r="F456" s="62" t="s">
        <v>1795</v>
      </c>
      <c r="G456" s="62" t="s">
        <v>57787</v>
      </c>
      <c r="J456" s="62" t="s">
        <v>5552</v>
      </c>
      <c r="K456" s="62" t="s">
        <v>57804</v>
      </c>
      <c r="L456" s="62" t="s">
        <v>5553</v>
      </c>
      <c r="M456" s="62" t="s">
        <v>5554</v>
      </c>
      <c r="N456" s="62" t="s">
        <v>5555</v>
      </c>
      <c r="O456" s="62" t="s">
        <v>5556</v>
      </c>
      <c r="P456" s="62" t="s">
        <v>57821</v>
      </c>
      <c r="Q456" s="62" t="s">
        <v>5557</v>
      </c>
      <c r="R456" s="62" t="s">
        <v>5558</v>
      </c>
      <c r="S456" s="62" t="s">
        <v>5559</v>
      </c>
      <c r="U456" s="62" t="s">
        <v>5560</v>
      </c>
      <c r="V456" s="62" t="s">
        <v>57838</v>
      </c>
      <c r="W456" s="62" t="s">
        <v>5561</v>
      </c>
      <c r="X456" s="62" t="s">
        <v>5562</v>
      </c>
      <c r="Y456" s="62" t="s">
        <v>5563</v>
      </c>
      <c r="Z456" s="62" t="s">
        <v>5564</v>
      </c>
      <c r="AA456" s="62" t="s">
        <v>57855</v>
      </c>
      <c r="AB456" s="62" t="s">
        <v>5565</v>
      </c>
      <c r="AC456" s="62" t="s">
        <v>5566</v>
      </c>
      <c r="AD456" s="62" t="s">
        <v>5567</v>
      </c>
    </row>
    <row r="457" spans="1:30" x14ac:dyDescent="0.25">
      <c r="A457" s="62" t="s">
        <v>109</v>
      </c>
      <c r="C457" s="62" t="s">
        <v>5568</v>
      </c>
      <c r="F457" s="62" t="s">
        <v>1288</v>
      </c>
      <c r="G457" s="62" t="s">
        <v>57788</v>
      </c>
      <c r="J457" s="62" t="s">
        <v>5569</v>
      </c>
      <c r="K457" s="62" t="s">
        <v>57805</v>
      </c>
      <c r="L457" s="62" t="s">
        <v>5570</v>
      </c>
      <c r="M457" s="62" t="s">
        <v>5571</v>
      </c>
      <c r="N457" s="62" t="s">
        <v>5572</v>
      </c>
      <c r="O457" s="62" t="s">
        <v>5573</v>
      </c>
      <c r="P457" s="62" t="s">
        <v>57822</v>
      </c>
      <c r="Q457" s="62" t="s">
        <v>5574</v>
      </c>
      <c r="R457" s="62" t="s">
        <v>5575</v>
      </c>
      <c r="S457" s="62" t="s">
        <v>5576</v>
      </c>
      <c r="U457" s="62" t="s">
        <v>5577</v>
      </c>
      <c r="V457" s="62" t="s">
        <v>57839</v>
      </c>
      <c r="W457" s="62" t="s">
        <v>5578</v>
      </c>
      <c r="X457" s="62" t="s">
        <v>5579</v>
      </c>
      <c r="Y457" s="62" t="s">
        <v>5580</v>
      </c>
      <c r="Z457" s="62" t="s">
        <v>5581</v>
      </c>
      <c r="AA457" s="62" t="s">
        <v>57856</v>
      </c>
      <c r="AB457" s="62" t="s">
        <v>5582</v>
      </c>
      <c r="AC457" s="62" t="s">
        <v>5583</v>
      </c>
      <c r="AD457" s="62" t="s">
        <v>5584</v>
      </c>
    </row>
    <row r="458" spans="1:30" x14ac:dyDescent="0.25">
      <c r="A458" s="62" t="s">
        <v>109</v>
      </c>
      <c r="C458" s="62" t="s">
        <v>5388</v>
      </c>
    </row>
    <row r="459" spans="1:30" x14ac:dyDescent="0.25">
      <c r="A459" s="62" t="s">
        <v>109</v>
      </c>
      <c r="C459" s="62" t="s">
        <v>5585</v>
      </c>
      <c r="G459" s="62" t="s">
        <v>40872</v>
      </c>
      <c r="J459" s="62" t="s">
        <v>40873</v>
      </c>
      <c r="K459" s="62" t="s">
        <v>40874</v>
      </c>
      <c r="L459" s="62" t="s">
        <v>40875</v>
      </c>
      <c r="M459" s="62" t="s">
        <v>5586</v>
      </c>
      <c r="N459" s="62" t="s">
        <v>5587</v>
      </c>
      <c r="O459" s="62" t="s">
        <v>40876</v>
      </c>
      <c r="P459" s="62" t="s">
        <v>40877</v>
      </c>
      <c r="Q459" s="62" t="s">
        <v>40878</v>
      </c>
      <c r="R459" s="62" t="s">
        <v>5588</v>
      </c>
      <c r="S459" s="62" t="s">
        <v>5589</v>
      </c>
      <c r="U459" s="62" t="s">
        <v>40879</v>
      </c>
      <c r="V459" s="62" t="s">
        <v>40880</v>
      </c>
      <c r="W459" s="62" t="s">
        <v>40881</v>
      </c>
      <c r="X459" s="62" t="s">
        <v>5590</v>
      </c>
      <c r="Y459" s="62" t="s">
        <v>5591</v>
      </c>
      <c r="Z459" s="62" t="s">
        <v>40882</v>
      </c>
      <c r="AA459" s="62" t="s">
        <v>40883</v>
      </c>
      <c r="AB459" s="62" t="s">
        <v>40884</v>
      </c>
      <c r="AC459" s="62" t="s">
        <v>5592</v>
      </c>
      <c r="AD459" s="62" t="s">
        <v>5593</v>
      </c>
    </row>
    <row r="460" spans="1:30" x14ac:dyDescent="0.25">
      <c r="A460" s="62" t="s">
        <v>109</v>
      </c>
    </row>
    <row r="461" spans="1:30" x14ac:dyDescent="0.25">
      <c r="A461" s="62" t="s">
        <v>109</v>
      </c>
      <c r="C461" s="62" t="s">
        <v>40885</v>
      </c>
      <c r="E461" s="62" t="s">
        <v>2240</v>
      </c>
      <c r="G461" s="62" t="s">
        <v>40886</v>
      </c>
    </row>
    <row r="462" spans="1:30" x14ac:dyDescent="0.25">
      <c r="A462" s="62" t="s">
        <v>109</v>
      </c>
      <c r="C462" s="62" t="s">
        <v>5594</v>
      </c>
    </row>
    <row r="463" spans="1:30" x14ac:dyDescent="0.25">
      <c r="A463" s="62" t="s">
        <v>109</v>
      </c>
      <c r="C463" s="62" t="s">
        <v>5595</v>
      </c>
      <c r="F463" s="62" t="s">
        <v>40887</v>
      </c>
      <c r="G463" s="62" t="s">
        <v>57622</v>
      </c>
      <c r="J463" s="62" t="s">
        <v>5596</v>
      </c>
      <c r="K463" s="62" t="s">
        <v>57652</v>
      </c>
      <c r="L463" s="62" t="s">
        <v>5597</v>
      </c>
      <c r="M463" s="62" t="s">
        <v>5598</v>
      </c>
      <c r="N463" s="62" t="s">
        <v>5599</v>
      </c>
      <c r="O463" s="62" t="s">
        <v>5600</v>
      </c>
      <c r="P463" s="62" t="s">
        <v>57682</v>
      </c>
      <c r="Q463" s="62" t="s">
        <v>5601</v>
      </c>
      <c r="R463" s="62" t="s">
        <v>5602</v>
      </c>
      <c r="S463" s="62" t="s">
        <v>5603</v>
      </c>
      <c r="U463" s="62" t="s">
        <v>5604</v>
      </c>
      <c r="V463" s="62" t="s">
        <v>57712</v>
      </c>
      <c r="W463" s="62" t="s">
        <v>5605</v>
      </c>
      <c r="X463" s="62" t="s">
        <v>5606</v>
      </c>
      <c r="Y463" s="62" t="s">
        <v>5607</v>
      </c>
      <c r="Z463" s="62" t="s">
        <v>5608</v>
      </c>
      <c r="AA463" s="62" t="s">
        <v>57742</v>
      </c>
      <c r="AB463" s="62" t="s">
        <v>5609</v>
      </c>
      <c r="AC463" s="62" t="s">
        <v>5610</v>
      </c>
      <c r="AD463" s="62" t="s">
        <v>5611</v>
      </c>
    </row>
    <row r="464" spans="1:30" x14ac:dyDescent="0.25">
      <c r="A464" s="62" t="s">
        <v>109</v>
      </c>
      <c r="C464" s="62" t="s">
        <v>5612</v>
      </c>
      <c r="F464" s="62" t="s">
        <v>2135</v>
      </c>
      <c r="G464" s="62" t="s">
        <v>57623</v>
      </c>
      <c r="J464" s="62" t="s">
        <v>5613</v>
      </c>
      <c r="K464" s="62" t="s">
        <v>57653</v>
      </c>
      <c r="L464" s="62" t="s">
        <v>5614</v>
      </c>
      <c r="M464" s="62" t="s">
        <v>5615</v>
      </c>
      <c r="N464" s="62" t="s">
        <v>5616</v>
      </c>
      <c r="O464" s="62" t="s">
        <v>5617</v>
      </c>
      <c r="P464" s="62" t="s">
        <v>57683</v>
      </c>
      <c r="Q464" s="62" t="s">
        <v>5618</v>
      </c>
      <c r="R464" s="62" t="s">
        <v>5619</v>
      </c>
      <c r="S464" s="62" t="s">
        <v>5620</v>
      </c>
      <c r="U464" s="62" t="s">
        <v>5621</v>
      </c>
      <c r="V464" s="62" t="s">
        <v>57713</v>
      </c>
      <c r="W464" s="62" t="s">
        <v>5622</v>
      </c>
      <c r="X464" s="62" t="s">
        <v>5623</v>
      </c>
      <c r="Y464" s="62" t="s">
        <v>5624</v>
      </c>
      <c r="Z464" s="62" t="s">
        <v>5625</v>
      </c>
      <c r="AA464" s="62" t="s">
        <v>57743</v>
      </c>
      <c r="AB464" s="62" t="s">
        <v>5626</v>
      </c>
      <c r="AC464" s="62" t="s">
        <v>5627</v>
      </c>
      <c r="AD464" s="62" t="s">
        <v>5628</v>
      </c>
    </row>
    <row r="465" spans="1:30" x14ac:dyDescent="0.25">
      <c r="A465" s="62" t="s">
        <v>109</v>
      </c>
      <c r="C465" s="62" t="s">
        <v>5629</v>
      </c>
      <c r="F465" s="62" t="s">
        <v>2153</v>
      </c>
      <c r="G465" s="62" t="s">
        <v>57624</v>
      </c>
      <c r="J465" s="62" t="s">
        <v>5630</v>
      </c>
      <c r="K465" s="62" t="s">
        <v>57654</v>
      </c>
      <c r="L465" s="62" t="s">
        <v>5631</v>
      </c>
      <c r="M465" s="62" t="s">
        <v>5632</v>
      </c>
      <c r="N465" s="62" t="s">
        <v>5633</v>
      </c>
      <c r="O465" s="62" t="s">
        <v>5634</v>
      </c>
      <c r="P465" s="62" t="s">
        <v>57684</v>
      </c>
      <c r="Q465" s="62" t="s">
        <v>5635</v>
      </c>
      <c r="R465" s="62" t="s">
        <v>5636</v>
      </c>
      <c r="S465" s="62" t="s">
        <v>5637</v>
      </c>
      <c r="U465" s="62" t="s">
        <v>5638</v>
      </c>
      <c r="V465" s="62" t="s">
        <v>57714</v>
      </c>
      <c r="W465" s="62" t="s">
        <v>5639</v>
      </c>
      <c r="X465" s="62" t="s">
        <v>5640</v>
      </c>
      <c r="Y465" s="62" t="s">
        <v>5641</v>
      </c>
      <c r="Z465" s="62" t="s">
        <v>5642</v>
      </c>
      <c r="AA465" s="62" t="s">
        <v>57744</v>
      </c>
      <c r="AB465" s="62" t="s">
        <v>5643</v>
      </c>
      <c r="AC465" s="62" t="s">
        <v>5644</v>
      </c>
      <c r="AD465" s="62" t="s">
        <v>5645</v>
      </c>
    </row>
    <row r="466" spans="1:30" x14ac:dyDescent="0.25">
      <c r="A466" s="62" t="s">
        <v>109</v>
      </c>
      <c r="C466" s="62" t="s">
        <v>5646</v>
      </c>
      <c r="F466" s="62" t="s">
        <v>5259</v>
      </c>
      <c r="G466" s="62" t="s">
        <v>57625</v>
      </c>
      <c r="J466" s="62" t="s">
        <v>5647</v>
      </c>
      <c r="K466" s="62" t="s">
        <v>57655</v>
      </c>
      <c r="L466" s="62" t="s">
        <v>5648</v>
      </c>
      <c r="M466" s="62" t="s">
        <v>5649</v>
      </c>
      <c r="N466" s="62" t="s">
        <v>5650</v>
      </c>
      <c r="O466" s="62" t="s">
        <v>5651</v>
      </c>
      <c r="P466" s="62" t="s">
        <v>57685</v>
      </c>
      <c r="Q466" s="62" t="s">
        <v>5652</v>
      </c>
      <c r="R466" s="62" t="s">
        <v>5653</v>
      </c>
      <c r="S466" s="62" t="s">
        <v>5654</v>
      </c>
      <c r="U466" s="62" t="s">
        <v>5655</v>
      </c>
      <c r="V466" s="62" t="s">
        <v>57715</v>
      </c>
      <c r="W466" s="62" t="s">
        <v>5656</v>
      </c>
      <c r="X466" s="62" t="s">
        <v>5657</v>
      </c>
      <c r="Y466" s="62" t="s">
        <v>5658</v>
      </c>
      <c r="Z466" s="62" t="s">
        <v>5659</v>
      </c>
      <c r="AA466" s="62" t="s">
        <v>57745</v>
      </c>
      <c r="AB466" s="62" t="s">
        <v>5660</v>
      </c>
      <c r="AC466" s="62" t="s">
        <v>5661</v>
      </c>
      <c r="AD466" s="62" t="s">
        <v>5662</v>
      </c>
    </row>
    <row r="467" spans="1:30" x14ac:dyDescent="0.25">
      <c r="A467" s="62" t="s">
        <v>109</v>
      </c>
      <c r="C467" s="62" t="s">
        <v>5663</v>
      </c>
      <c r="F467" s="62" t="s">
        <v>176</v>
      </c>
      <c r="G467" s="62" t="s">
        <v>57626</v>
      </c>
      <c r="J467" s="62" t="s">
        <v>5664</v>
      </c>
      <c r="K467" s="62" t="s">
        <v>57656</v>
      </c>
      <c r="L467" s="62" t="s">
        <v>5665</v>
      </c>
      <c r="M467" s="62" t="s">
        <v>5666</v>
      </c>
      <c r="N467" s="62" t="s">
        <v>5667</v>
      </c>
      <c r="O467" s="62" t="s">
        <v>5668</v>
      </c>
      <c r="P467" s="62" t="s">
        <v>57686</v>
      </c>
      <c r="Q467" s="62" t="s">
        <v>5669</v>
      </c>
      <c r="R467" s="62" t="s">
        <v>5670</v>
      </c>
      <c r="S467" s="62" t="s">
        <v>5671</v>
      </c>
      <c r="U467" s="62" t="s">
        <v>5672</v>
      </c>
      <c r="V467" s="62" t="s">
        <v>57716</v>
      </c>
      <c r="W467" s="62" t="s">
        <v>5673</v>
      </c>
      <c r="X467" s="62" t="s">
        <v>5674</v>
      </c>
      <c r="Y467" s="62" t="s">
        <v>5675</v>
      </c>
      <c r="Z467" s="62" t="s">
        <v>5676</v>
      </c>
      <c r="AA467" s="62" t="s">
        <v>57746</v>
      </c>
      <c r="AB467" s="62" t="s">
        <v>5677</v>
      </c>
      <c r="AC467" s="62" t="s">
        <v>5678</v>
      </c>
      <c r="AD467" s="62" t="s">
        <v>5679</v>
      </c>
    </row>
    <row r="468" spans="1:30" x14ac:dyDescent="0.25">
      <c r="A468" s="62" t="s">
        <v>109</v>
      </c>
      <c r="C468" s="62" t="s">
        <v>5680</v>
      </c>
      <c r="F468" s="62" t="s">
        <v>976</v>
      </c>
      <c r="G468" s="62" t="s">
        <v>57627</v>
      </c>
      <c r="J468" s="62" t="s">
        <v>5681</v>
      </c>
      <c r="K468" s="62" t="s">
        <v>57657</v>
      </c>
      <c r="L468" s="62" t="s">
        <v>5682</v>
      </c>
      <c r="M468" s="62" t="s">
        <v>5683</v>
      </c>
      <c r="N468" s="62" t="s">
        <v>5684</v>
      </c>
      <c r="O468" s="62" t="s">
        <v>5685</v>
      </c>
      <c r="P468" s="62" t="s">
        <v>57687</v>
      </c>
      <c r="Q468" s="62" t="s">
        <v>5686</v>
      </c>
      <c r="R468" s="62" t="s">
        <v>5687</v>
      </c>
      <c r="S468" s="62" t="s">
        <v>5688</v>
      </c>
      <c r="U468" s="62" t="s">
        <v>5689</v>
      </c>
      <c r="V468" s="62" t="s">
        <v>57717</v>
      </c>
      <c r="W468" s="62" t="s">
        <v>5690</v>
      </c>
      <c r="X468" s="62" t="s">
        <v>5691</v>
      </c>
      <c r="Y468" s="62" t="s">
        <v>5692</v>
      </c>
      <c r="Z468" s="62" t="s">
        <v>5693</v>
      </c>
      <c r="AA468" s="62" t="s">
        <v>57747</v>
      </c>
      <c r="AB468" s="62" t="s">
        <v>5694</v>
      </c>
      <c r="AC468" s="62" t="s">
        <v>5695</v>
      </c>
      <c r="AD468" s="62" t="s">
        <v>5696</v>
      </c>
    </row>
    <row r="469" spans="1:30" x14ac:dyDescent="0.25">
      <c r="A469" s="62" t="s">
        <v>109</v>
      </c>
      <c r="C469" s="62" t="s">
        <v>5697</v>
      </c>
      <c r="F469" s="62" t="s">
        <v>2405</v>
      </c>
      <c r="G469" s="62" t="s">
        <v>57628</v>
      </c>
      <c r="J469" s="62" t="s">
        <v>5698</v>
      </c>
      <c r="K469" s="62" t="s">
        <v>57658</v>
      </c>
      <c r="L469" s="62" t="s">
        <v>5699</v>
      </c>
      <c r="M469" s="62" t="s">
        <v>5700</v>
      </c>
      <c r="N469" s="62" t="s">
        <v>5701</v>
      </c>
      <c r="O469" s="62" t="s">
        <v>5702</v>
      </c>
      <c r="P469" s="62" t="s">
        <v>57688</v>
      </c>
      <c r="Q469" s="62" t="s">
        <v>5703</v>
      </c>
      <c r="R469" s="62" t="s">
        <v>5704</v>
      </c>
      <c r="S469" s="62" t="s">
        <v>5705</v>
      </c>
      <c r="U469" s="62" t="s">
        <v>5706</v>
      </c>
      <c r="V469" s="62" t="s">
        <v>57718</v>
      </c>
      <c r="W469" s="62" t="s">
        <v>5707</v>
      </c>
      <c r="X469" s="62" t="s">
        <v>5708</v>
      </c>
      <c r="Y469" s="62" t="s">
        <v>5709</v>
      </c>
      <c r="Z469" s="62" t="s">
        <v>5710</v>
      </c>
      <c r="AA469" s="62" t="s">
        <v>57748</v>
      </c>
      <c r="AB469" s="62" t="s">
        <v>5711</v>
      </c>
      <c r="AC469" s="62" t="s">
        <v>5712</v>
      </c>
      <c r="AD469" s="62" t="s">
        <v>5713</v>
      </c>
    </row>
    <row r="470" spans="1:30" x14ac:dyDescent="0.25">
      <c r="A470" s="62" t="s">
        <v>109</v>
      </c>
      <c r="C470" s="62" t="s">
        <v>5714</v>
      </c>
      <c r="F470" s="62" t="s">
        <v>193</v>
      </c>
      <c r="G470" s="62" t="s">
        <v>57629</v>
      </c>
      <c r="J470" s="62" t="s">
        <v>5715</v>
      </c>
      <c r="K470" s="62" t="s">
        <v>57659</v>
      </c>
      <c r="L470" s="62" t="s">
        <v>5716</v>
      </c>
      <c r="M470" s="62" t="s">
        <v>5717</v>
      </c>
      <c r="N470" s="62" t="s">
        <v>5718</v>
      </c>
      <c r="O470" s="62" t="s">
        <v>5719</v>
      </c>
      <c r="P470" s="62" t="s">
        <v>57689</v>
      </c>
      <c r="Q470" s="62" t="s">
        <v>5720</v>
      </c>
      <c r="R470" s="62" t="s">
        <v>5721</v>
      </c>
      <c r="S470" s="62" t="s">
        <v>5722</v>
      </c>
      <c r="U470" s="62" t="s">
        <v>5723</v>
      </c>
      <c r="V470" s="62" t="s">
        <v>57719</v>
      </c>
      <c r="W470" s="62" t="s">
        <v>5724</v>
      </c>
      <c r="X470" s="62" t="s">
        <v>5725</v>
      </c>
      <c r="Y470" s="62" t="s">
        <v>5726</v>
      </c>
      <c r="Z470" s="62" t="s">
        <v>5727</v>
      </c>
      <c r="AA470" s="62" t="s">
        <v>57749</v>
      </c>
      <c r="AB470" s="62" t="s">
        <v>5728</v>
      </c>
      <c r="AC470" s="62" t="s">
        <v>5729</v>
      </c>
      <c r="AD470" s="62" t="s">
        <v>5730</v>
      </c>
    </row>
    <row r="471" spans="1:30" x14ac:dyDescent="0.25">
      <c r="A471" s="62" t="s">
        <v>109</v>
      </c>
      <c r="C471" s="62" t="s">
        <v>5731</v>
      </c>
      <c r="F471" s="62" t="s">
        <v>2222</v>
      </c>
      <c r="G471" s="62" t="s">
        <v>57630</v>
      </c>
      <c r="J471" s="62" t="s">
        <v>5732</v>
      </c>
      <c r="K471" s="62" t="s">
        <v>57660</v>
      </c>
      <c r="L471" s="62" t="s">
        <v>5733</v>
      </c>
      <c r="M471" s="62" t="s">
        <v>5734</v>
      </c>
      <c r="N471" s="62" t="s">
        <v>5735</v>
      </c>
      <c r="O471" s="62" t="s">
        <v>5736</v>
      </c>
      <c r="P471" s="62" t="s">
        <v>57690</v>
      </c>
      <c r="Q471" s="62" t="s">
        <v>5737</v>
      </c>
      <c r="R471" s="62" t="s">
        <v>5738</v>
      </c>
      <c r="S471" s="62" t="s">
        <v>5739</v>
      </c>
      <c r="U471" s="62" t="s">
        <v>5740</v>
      </c>
      <c r="V471" s="62" t="s">
        <v>57720</v>
      </c>
      <c r="W471" s="62" t="s">
        <v>5741</v>
      </c>
      <c r="X471" s="62" t="s">
        <v>5742</v>
      </c>
      <c r="Y471" s="62" t="s">
        <v>5743</v>
      </c>
      <c r="Z471" s="62" t="s">
        <v>5744</v>
      </c>
      <c r="AA471" s="62" t="s">
        <v>57750</v>
      </c>
      <c r="AB471" s="62" t="s">
        <v>5745</v>
      </c>
      <c r="AC471" s="62" t="s">
        <v>5746</v>
      </c>
      <c r="AD471" s="62" t="s">
        <v>5747</v>
      </c>
    </row>
    <row r="472" spans="1:30" x14ac:dyDescent="0.25">
      <c r="A472" s="62" t="s">
        <v>109</v>
      </c>
      <c r="C472" s="62" t="s">
        <v>5748</v>
      </c>
      <c r="F472" s="62" t="s">
        <v>2240</v>
      </c>
      <c r="G472" s="62" t="s">
        <v>57631</v>
      </c>
      <c r="J472" s="62" t="s">
        <v>5749</v>
      </c>
      <c r="K472" s="62" t="s">
        <v>57661</v>
      </c>
      <c r="L472" s="62" t="s">
        <v>5750</v>
      </c>
      <c r="M472" s="62" t="s">
        <v>5751</v>
      </c>
      <c r="N472" s="62" t="s">
        <v>5752</v>
      </c>
      <c r="O472" s="62" t="s">
        <v>5753</v>
      </c>
      <c r="P472" s="62" t="s">
        <v>57691</v>
      </c>
      <c r="Q472" s="62" t="s">
        <v>5754</v>
      </c>
      <c r="R472" s="62" t="s">
        <v>5755</v>
      </c>
      <c r="S472" s="62" t="s">
        <v>5756</v>
      </c>
      <c r="U472" s="62" t="s">
        <v>5757</v>
      </c>
      <c r="V472" s="62" t="s">
        <v>57721</v>
      </c>
      <c r="W472" s="62" t="s">
        <v>5758</v>
      </c>
      <c r="X472" s="62" t="s">
        <v>5759</v>
      </c>
      <c r="Y472" s="62" t="s">
        <v>5760</v>
      </c>
      <c r="Z472" s="62" t="s">
        <v>5761</v>
      </c>
      <c r="AA472" s="62" t="s">
        <v>57751</v>
      </c>
      <c r="AB472" s="62" t="s">
        <v>5762</v>
      </c>
      <c r="AC472" s="62" t="s">
        <v>5763</v>
      </c>
      <c r="AD472" s="62" t="s">
        <v>5764</v>
      </c>
    </row>
    <row r="473" spans="1:30" x14ac:dyDescent="0.25">
      <c r="A473" s="62" t="s">
        <v>109</v>
      </c>
      <c r="C473" s="62" t="s">
        <v>5765</v>
      </c>
      <c r="F473" s="62" t="s">
        <v>210</v>
      </c>
      <c r="G473" s="62" t="s">
        <v>57632</v>
      </c>
      <c r="J473" s="62" t="s">
        <v>5766</v>
      </c>
      <c r="K473" s="62" t="s">
        <v>57662</v>
      </c>
      <c r="L473" s="62" t="s">
        <v>5767</v>
      </c>
      <c r="M473" s="62" t="s">
        <v>5768</v>
      </c>
      <c r="N473" s="62" t="s">
        <v>5769</v>
      </c>
      <c r="O473" s="62" t="s">
        <v>5770</v>
      </c>
      <c r="P473" s="62" t="s">
        <v>57692</v>
      </c>
      <c r="Q473" s="62" t="s">
        <v>5771</v>
      </c>
      <c r="R473" s="62" t="s">
        <v>5772</v>
      </c>
      <c r="S473" s="62" t="s">
        <v>5773</v>
      </c>
      <c r="U473" s="62" t="s">
        <v>5774</v>
      </c>
      <c r="V473" s="62" t="s">
        <v>57722</v>
      </c>
      <c r="W473" s="62" t="s">
        <v>5775</v>
      </c>
      <c r="X473" s="62" t="s">
        <v>5776</v>
      </c>
      <c r="Y473" s="62" t="s">
        <v>5777</v>
      </c>
      <c r="Z473" s="62" t="s">
        <v>5778</v>
      </c>
      <c r="AA473" s="62" t="s">
        <v>57752</v>
      </c>
      <c r="AB473" s="62" t="s">
        <v>5779</v>
      </c>
      <c r="AC473" s="62" t="s">
        <v>5780</v>
      </c>
      <c r="AD473" s="62" t="s">
        <v>5781</v>
      </c>
    </row>
    <row r="474" spans="1:30" x14ac:dyDescent="0.25">
      <c r="A474" s="62" t="s">
        <v>109</v>
      </c>
      <c r="C474" s="62" t="s">
        <v>5782</v>
      </c>
      <c r="F474" s="62" t="s">
        <v>227</v>
      </c>
      <c r="G474" s="62" t="s">
        <v>57633</v>
      </c>
      <c r="J474" s="62" t="s">
        <v>5783</v>
      </c>
      <c r="K474" s="62" t="s">
        <v>57663</v>
      </c>
      <c r="L474" s="62" t="s">
        <v>5784</v>
      </c>
      <c r="M474" s="62" t="s">
        <v>5785</v>
      </c>
      <c r="N474" s="62" t="s">
        <v>5786</v>
      </c>
      <c r="O474" s="62" t="s">
        <v>5787</v>
      </c>
      <c r="P474" s="62" t="s">
        <v>57693</v>
      </c>
      <c r="Q474" s="62" t="s">
        <v>5788</v>
      </c>
      <c r="R474" s="62" t="s">
        <v>5789</v>
      </c>
      <c r="S474" s="62" t="s">
        <v>5790</v>
      </c>
      <c r="U474" s="62" t="s">
        <v>5791</v>
      </c>
      <c r="V474" s="62" t="s">
        <v>57723</v>
      </c>
      <c r="W474" s="62" t="s">
        <v>5792</v>
      </c>
      <c r="X474" s="62" t="s">
        <v>5793</v>
      </c>
      <c r="Y474" s="62" t="s">
        <v>5794</v>
      </c>
      <c r="Z474" s="62" t="s">
        <v>5795</v>
      </c>
      <c r="AA474" s="62" t="s">
        <v>57753</v>
      </c>
      <c r="AB474" s="62" t="s">
        <v>5796</v>
      </c>
      <c r="AC474" s="62" t="s">
        <v>5797</v>
      </c>
      <c r="AD474" s="62" t="s">
        <v>5798</v>
      </c>
    </row>
    <row r="475" spans="1:30" x14ac:dyDescent="0.25">
      <c r="A475" s="62" t="s">
        <v>109</v>
      </c>
      <c r="C475" s="62" t="s">
        <v>5799</v>
      </c>
      <c r="F475" s="62" t="s">
        <v>236</v>
      </c>
      <c r="G475" s="62" t="s">
        <v>57634</v>
      </c>
      <c r="J475" s="62" t="s">
        <v>5800</v>
      </c>
      <c r="K475" s="62" t="s">
        <v>57664</v>
      </c>
      <c r="L475" s="62" t="s">
        <v>5801</v>
      </c>
      <c r="M475" s="62" t="s">
        <v>5802</v>
      </c>
      <c r="N475" s="62" t="s">
        <v>5803</v>
      </c>
      <c r="O475" s="62" t="s">
        <v>5804</v>
      </c>
      <c r="P475" s="62" t="s">
        <v>57694</v>
      </c>
      <c r="Q475" s="62" t="s">
        <v>5805</v>
      </c>
      <c r="R475" s="62" t="s">
        <v>5806</v>
      </c>
      <c r="S475" s="62" t="s">
        <v>5807</v>
      </c>
      <c r="U475" s="62" t="s">
        <v>5808</v>
      </c>
      <c r="V475" s="62" t="s">
        <v>57724</v>
      </c>
      <c r="W475" s="62" t="s">
        <v>5809</v>
      </c>
      <c r="X475" s="62" t="s">
        <v>5810</v>
      </c>
      <c r="Y475" s="62" t="s">
        <v>5811</v>
      </c>
      <c r="Z475" s="62" t="s">
        <v>5812</v>
      </c>
      <c r="AA475" s="62" t="s">
        <v>57754</v>
      </c>
      <c r="AB475" s="62" t="s">
        <v>5813</v>
      </c>
      <c r="AC475" s="62" t="s">
        <v>5814</v>
      </c>
      <c r="AD475" s="62" t="s">
        <v>5815</v>
      </c>
    </row>
    <row r="476" spans="1:30" x14ac:dyDescent="0.25">
      <c r="A476" s="62" t="s">
        <v>109</v>
      </c>
      <c r="C476" s="62" t="s">
        <v>5816</v>
      </c>
      <c r="F476" s="62" t="s">
        <v>3799</v>
      </c>
      <c r="G476" s="62" t="s">
        <v>57635</v>
      </c>
      <c r="J476" s="62" t="s">
        <v>5817</v>
      </c>
      <c r="K476" s="62" t="s">
        <v>57665</v>
      </c>
      <c r="L476" s="62" t="s">
        <v>5818</v>
      </c>
      <c r="M476" s="62" t="s">
        <v>5819</v>
      </c>
      <c r="N476" s="62" t="s">
        <v>5820</v>
      </c>
      <c r="O476" s="62" t="s">
        <v>5821</v>
      </c>
      <c r="P476" s="62" t="s">
        <v>57695</v>
      </c>
      <c r="Q476" s="62" t="s">
        <v>5822</v>
      </c>
      <c r="R476" s="62" t="s">
        <v>5823</v>
      </c>
      <c r="S476" s="62" t="s">
        <v>5824</v>
      </c>
      <c r="U476" s="62" t="s">
        <v>5825</v>
      </c>
      <c r="V476" s="62" t="s">
        <v>57725</v>
      </c>
      <c r="W476" s="62" t="s">
        <v>5826</v>
      </c>
      <c r="X476" s="62" t="s">
        <v>5827</v>
      </c>
      <c r="Y476" s="62" t="s">
        <v>5828</v>
      </c>
      <c r="Z476" s="62" t="s">
        <v>5829</v>
      </c>
      <c r="AA476" s="62" t="s">
        <v>57755</v>
      </c>
      <c r="AB476" s="62" t="s">
        <v>5830</v>
      </c>
      <c r="AC476" s="62" t="s">
        <v>5831</v>
      </c>
      <c r="AD476" s="62" t="s">
        <v>5832</v>
      </c>
    </row>
    <row r="477" spans="1:30" x14ac:dyDescent="0.25">
      <c r="A477" s="62" t="s">
        <v>109</v>
      </c>
      <c r="C477" s="62" t="s">
        <v>40888</v>
      </c>
      <c r="F477" s="62" t="s">
        <v>2297</v>
      </c>
      <c r="G477" s="62" t="s">
        <v>57636</v>
      </c>
      <c r="J477" s="62" t="s">
        <v>40889</v>
      </c>
      <c r="K477" s="62" t="s">
        <v>57666</v>
      </c>
      <c r="L477" s="62" t="s">
        <v>40890</v>
      </c>
      <c r="M477" s="62" t="s">
        <v>40891</v>
      </c>
      <c r="N477" s="62" t="s">
        <v>40892</v>
      </c>
      <c r="O477" s="62" t="s">
        <v>40893</v>
      </c>
      <c r="P477" s="62" t="s">
        <v>57696</v>
      </c>
      <c r="Q477" s="62" t="s">
        <v>40894</v>
      </c>
      <c r="R477" s="62" t="s">
        <v>40895</v>
      </c>
      <c r="S477" s="62" t="s">
        <v>40896</v>
      </c>
      <c r="U477" s="62" t="s">
        <v>40897</v>
      </c>
      <c r="V477" s="62" t="s">
        <v>57726</v>
      </c>
      <c r="W477" s="62" t="s">
        <v>40898</v>
      </c>
      <c r="X477" s="62" t="s">
        <v>40899</v>
      </c>
      <c r="Y477" s="62" t="s">
        <v>40900</v>
      </c>
      <c r="Z477" s="62" t="s">
        <v>40901</v>
      </c>
      <c r="AA477" s="62" t="s">
        <v>57756</v>
      </c>
      <c r="AB477" s="62" t="s">
        <v>40902</v>
      </c>
      <c r="AC477" s="62" t="s">
        <v>40903</v>
      </c>
      <c r="AD477" s="62" t="s">
        <v>40904</v>
      </c>
    </row>
    <row r="478" spans="1:30" x14ac:dyDescent="0.25">
      <c r="A478" s="62" t="s">
        <v>109</v>
      </c>
      <c r="C478" s="62" t="s">
        <v>5833</v>
      </c>
      <c r="F478" s="62" t="s">
        <v>2299</v>
      </c>
      <c r="G478" s="62" t="s">
        <v>57637</v>
      </c>
      <c r="J478" s="62" t="s">
        <v>40905</v>
      </c>
      <c r="K478" s="62" t="s">
        <v>57667</v>
      </c>
      <c r="L478" s="62" t="s">
        <v>40906</v>
      </c>
      <c r="M478" s="62" t="s">
        <v>5834</v>
      </c>
      <c r="N478" s="62" t="s">
        <v>5835</v>
      </c>
      <c r="O478" s="62" t="s">
        <v>40907</v>
      </c>
      <c r="P478" s="62" t="s">
        <v>57697</v>
      </c>
      <c r="Q478" s="62" t="s">
        <v>40908</v>
      </c>
      <c r="R478" s="62" t="s">
        <v>5836</v>
      </c>
      <c r="S478" s="62" t="s">
        <v>5837</v>
      </c>
      <c r="U478" s="62" t="s">
        <v>40909</v>
      </c>
      <c r="V478" s="62" t="s">
        <v>57727</v>
      </c>
      <c r="W478" s="62" t="s">
        <v>40910</v>
      </c>
      <c r="X478" s="62" t="s">
        <v>5838</v>
      </c>
      <c r="Y478" s="62" t="s">
        <v>5839</v>
      </c>
      <c r="Z478" s="62" t="s">
        <v>40911</v>
      </c>
      <c r="AA478" s="62" t="s">
        <v>57757</v>
      </c>
      <c r="AB478" s="62" t="s">
        <v>40912</v>
      </c>
      <c r="AC478" s="62" t="s">
        <v>5840</v>
      </c>
      <c r="AD478" s="62" t="s">
        <v>5841</v>
      </c>
    </row>
    <row r="479" spans="1:30" x14ac:dyDescent="0.25">
      <c r="A479" s="62" t="s">
        <v>109</v>
      </c>
      <c r="C479" s="62" t="s">
        <v>40913</v>
      </c>
      <c r="F479" s="62" t="s">
        <v>2309</v>
      </c>
      <c r="G479" s="62" t="s">
        <v>57638</v>
      </c>
      <c r="J479" s="62" t="s">
        <v>40914</v>
      </c>
      <c r="K479" s="62" t="s">
        <v>57668</v>
      </c>
      <c r="L479" s="62" t="s">
        <v>40915</v>
      </c>
      <c r="M479" s="62" t="s">
        <v>40916</v>
      </c>
      <c r="N479" s="62" t="s">
        <v>40917</v>
      </c>
      <c r="O479" s="62" t="s">
        <v>40918</v>
      </c>
      <c r="P479" s="62" t="s">
        <v>57698</v>
      </c>
      <c r="Q479" s="62" t="s">
        <v>40919</v>
      </c>
      <c r="R479" s="62" t="s">
        <v>40920</v>
      </c>
      <c r="S479" s="62" t="s">
        <v>40921</v>
      </c>
      <c r="U479" s="62" t="s">
        <v>40922</v>
      </c>
      <c r="V479" s="62" t="s">
        <v>57728</v>
      </c>
      <c r="W479" s="62" t="s">
        <v>40923</v>
      </c>
      <c r="X479" s="62" t="s">
        <v>40924</v>
      </c>
      <c r="Y479" s="62" t="s">
        <v>40925</v>
      </c>
      <c r="Z479" s="62" t="s">
        <v>40926</v>
      </c>
      <c r="AA479" s="62" t="s">
        <v>57758</v>
      </c>
      <c r="AB479" s="62" t="s">
        <v>40927</v>
      </c>
      <c r="AC479" s="62" t="s">
        <v>40928</v>
      </c>
      <c r="AD479" s="62" t="s">
        <v>40929</v>
      </c>
    </row>
    <row r="480" spans="1:30" x14ac:dyDescent="0.25">
      <c r="A480" s="62" t="s">
        <v>109</v>
      </c>
      <c r="C480" s="62" t="s">
        <v>40930</v>
      </c>
      <c r="F480" s="62" t="s">
        <v>4942</v>
      </c>
      <c r="G480" s="62" t="s">
        <v>57639</v>
      </c>
      <c r="J480" s="62" t="s">
        <v>40931</v>
      </c>
      <c r="K480" s="62" t="s">
        <v>57669</v>
      </c>
      <c r="L480" s="62" t="s">
        <v>40932</v>
      </c>
      <c r="M480" s="62" t="s">
        <v>40933</v>
      </c>
      <c r="N480" s="62" t="s">
        <v>40934</v>
      </c>
      <c r="O480" s="62" t="s">
        <v>40935</v>
      </c>
      <c r="P480" s="62" t="s">
        <v>57699</v>
      </c>
      <c r="Q480" s="62" t="s">
        <v>40936</v>
      </c>
      <c r="R480" s="62" t="s">
        <v>40937</v>
      </c>
      <c r="S480" s="62" t="s">
        <v>40938</v>
      </c>
      <c r="U480" s="62" t="s">
        <v>40939</v>
      </c>
      <c r="V480" s="62" t="s">
        <v>57729</v>
      </c>
      <c r="W480" s="62" t="s">
        <v>40940</v>
      </c>
      <c r="X480" s="62" t="s">
        <v>40941</v>
      </c>
      <c r="Y480" s="62" t="s">
        <v>40942</v>
      </c>
      <c r="Z480" s="62" t="s">
        <v>40943</v>
      </c>
      <c r="AA480" s="62" t="s">
        <v>57759</v>
      </c>
      <c r="AB480" s="62" t="s">
        <v>40944</v>
      </c>
      <c r="AC480" s="62" t="s">
        <v>40945</v>
      </c>
      <c r="AD480" s="62" t="s">
        <v>40946</v>
      </c>
    </row>
    <row r="481" spans="1:30" x14ac:dyDescent="0.25">
      <c r="A481" s="62" t="s">
        <v>109</v>
      </c>
      <c r="C481" s="62" t="s">
        <v>5842</v>
      </c>
      <c r="F481" s="62" t="s">
        <v>2310</v>
      </c>
      <c r="G481" s="62" t="s">
        <v>57640</v>
      </c>
      <c r="J481" s="62" t="s">
        <v>40947</v>
      </c>
      <c r="K481" s="62" t="s">
        <v>57670</v>
      </c>
      <c r="L481" s="62" t="s">
        <v>40948</v>
      </c>
      <c r="M481" s="62" t="s">
        <v>40949</v>
      </c>
      <c r="N481" s="62" t="s">
        <v>40950</v>
      </c>
      <c r="O481" s="62" t="s">
        <v>40951</v>
      </c>
      <c r="P481" s="62" t="s">
        <v>57700</v>
      </c>
      <c r="Q481" s="62" t="s">
        <v>40952</v>
      </c>
      <c r="R481" s="62" t="s">
        <v>40953</v>
      </c>
      <c r="S481" s="62" t="s">
        <v>40954</v>
      </c>
      <c r="U481" s="62" t="s">
        <v>40955</v>
      </c>
      <c r="V481" s="62" t="s">
        <v>57730</v>
      </c>
      <c r="W481" s="62" t="s">
        <v>40956</v>
      </c>
      <c r="X481" s="62" t="s">
        <v>40957</v>
      </c>
      <c r="Y481" s="62" t="s">
        <v>40958</v>
      </c>
      <c r="Z481" s="62" t="s">
        <v>40959</v>
      </c>
      <c r="AA481" s="62" t="s">
        <v>57760</v>
      </c>
      <c r="AB481" s="62" t="s">
        <v>40960</v>
      </c>
      <c r="AC481" s="62" t="s">
        <v>40961</v>
      </c>
      <c r="AD481" s="62" t="s">
        <v>40962</v>
      </c>
    </row>
    <row r="482" spans="1:30" x14ac:dyDescent="0.25">
      <c r="A482" s="62" t="s">
        <v>109</v>
      </c>
      <c r="C482" s="62" t="s">
        <v>5843</v>
      </c>
      <c r="F482" s="62" t="s">
        <v>271</v>
      </c>
      <c r="G482" s="62" t="s">
        <v>57641</v>
      </c>
      <c r="J482" s="62" t="s">
        <v>5844</v>
      </c>
      <c r="K482" s="62" t="s">
        <v>57671</v>
      </c>
      <c r="L482" s="62" t="s">
        <v>5845</v>
      </c>
      <c r="M482" s="62" t="s">
        <v>5846</v>
      </c>
      <c r="N482" s="62" t="s">
        <v>5847</v>
      </c>
      <c r="O482" s="62" t="s">
        <v>5848</v>
      </c>
      <c r="P482" s="62" t="s">
        <v>57701</v>
      </c>
      <c r="Q482" s="62" t="s">
        <v>5849</v>
      </c>
      <c r="R482" s="62" t="s">
        <v>5850</v>
      </c>
      <c r="S482" s="62" t="s">
        <v>5851</v>
      </c>
      <c r="U482" s="62" t="s">
        <v>5852</v>
      </c>
      <c r="V482" s="62" t="s">
        <v>57731</v>
      </c>
      <c r="W482" s="62" t="s">
        <v>5853</v>
      </c>
      <c r="X482" s="62" t="s">
        <v>5854</v>
      </c>
      <c r="Y482" s="62" t="s">
        <v>5855</v>
      </c>
      <c r="Z482" s="62" t="s">
        <v>5856</v>
      </c>
      <c r="AA482" s="62" t="s">
        <v>57761</v>
      </c>
      <c r="AB482" s="62" t="s">
        <v>5857</v>
      </c>
      <c r="AC482" s="62" t="s">
        <v>5858</v>
      </c>
      <c r="AD482" s="62" t="s">
        <v>5859</v>
      </c>
    </row>
    <row r="483" spans="1:30" x14ac:dyDescent="0.25">
      <c r="A483" s="62" t="s">
        <v>109</v>
      </c>
      <c r="C483" s="62" t="s">
        <v>5860</v>
      </c>
      <c r="F483" s="62" t="s">
        <v>3185</v>
      </c>
      <c r="G483" s="62" t="s">
        <v>57642</v>
      </c>
      <c r="J483" s="62" t="s">
        <v>5861</v>
      </c>
      <c r="K483" s="62" t="s">
        <v>57672</v>
      </c>
      <c r="L483" s="62" t="s">
        <v>5862</v>
      </c>
      <c r="M483" s="62" t="s">
        <v>5863</v>
      </c>
      <c r="N483" s="62" t="s">
        <v>5864</v>
      </c>
      <c r="O483" s="62" t="s">
        <v>5865</v>
      </c>
      <c r="P483" s="62" t="s">
        <v>57702</v>
      </c>
      <c r="Q483" s="62" t="s">
        <v>5866</v>
      </c>
      <c r="R483" s="62" t="s">
        <v>5867</v>
      </c>
      <c r="S483" s="62" t="s">
        <v>5868</v>
      </c>
      <c r="U483" s="62" t="s">
        <v>5869</v>
      </c>
      <c r="V483" s="62" t="s">
        <v>57732</v>
      </c>
      <c r="W483" s="62" t="s">
        <v>5870</v>
      </c>
      <c r="X483" s="62" t="s">
        <v>5871</v>
      </c>
      <c r="Y483" s="62" t="s">
        <v>5872</v>
      </c>
      <c r="Z483" s="62" t="s">
        <v>5873</v>
      </c>
      <c r="AA483" s="62" t="s">
        <v>57762</v>
      </c>
      <c r="AB483" s="62" t="s">
        <v>5874</v>
      </c>
      <c r="AC483" s="62" t="s">
        <v>5875</v>
      </c>
      <c r="AD483" s="62" t="s">
        <v>5876</v>
      </c>
    </row>
    <row r="484" spans="1:30" x14ac:dyDescent="0.25">
      <c r="A484" s="62" t="s">
        <v>109</v>
      </c>
      <c r="C484" s="62" t="s">
        <v>5877</v>
      </c>
      <c r="F484" s="62" t="s">
        <v>2464</v>
      </c>
      <c r="G484" s="62" t="s">
        <v>57643</v>
      </c>
      <c r="J484" s="62" t="s">
        <v>5878</v>
      </c>
      <c r="K484" s="62" t="s">
        <v>57673</v>
      </c>
      <c r="L484" s="62" t="s">
        <v>5879</v>
      </c>
      <c r="M484" s="62" t="s">
        <v>5880</v>
      </c>
      <c r="N484" s="62" t="s">
        <v>5881</v>
      </c>
      <c r="O484" s="62" t="s">
        <v>5882</v>
      </c>
      <c r="P484" s="62" t="s">
        <v>57703</v>
      </c>
      <c r="Q484" s="62" t="s">
        <v>5883</v>
      </c>
      <c r="R484" s="62" t="s">
        <v>5884</v>
      </c>
      <c r="S484" s="62" t="s">
        <v>5885</v>
      </c>
      <c r="U484" s="62" t="s">
        <v>5886</v>
      </c>
      <c r="V484" s="62" t="s">
        <v>57733</v>
      </c>
      <c r="W484" s="62" t="s">
        <v>5887</v>
      </c>
      <c r="X484" s="62" t="s">
        <v>5888</v>
      </c>
      <c r="Y484" s="62" t="s">
        <v>5889</v>
      </c>
      <c r="Z484" s="62" t="s">
        <v>5890</v>
      </c>
      <c r="AA484" s="62" t="s">
        <v>57763</v>
      </c>
      <c r="AB484" s="62" t="s">
        <v>5891</v>
      </c>
      <c r="AC484" s="62" t="s">
        <v>5892</v>
      </c>
      <c r="AD484" s="62" t="s">
        <v>5893</v>
      </c>
    </row>
    <row r="485" spans="1:30" x14ac:dyDescent="0.25">
      <c r="A485" s="62" t="s">
        <v>109</v>
      </c>
      <c r="C485" s="62" t="s">
        <v>5894</v>
      </c>
      <c r="F485" s="62" t="s">
        <v>2311</v>
      </c>
      <c r="G485" s="62" t="s">
        <v>57644</v>
      </c>
      <c r="J485" s="62" t="s">
        <v>5895</v>
      </c>
      <c r="K485" s="62" t="s">
        <v>57674</v>
      </c>
      <c r="L485" s="62" t="s">
        <v>5896</v>
      </c>
      <c r="M485" s="62" t="s">
        <v>5897</v>
      </c>
      <c r="N485" s="62" t="s">
        <v>5898</v>
      </c>
      <c r="O485" s="62" t="s">
        <v>5899</v>
      </c>
      <c r="P485" s="62" t="s">
        <v>57704</v>
      </c>
      <c r="Q485" s="62" t="s">
        <v>5900</v>
      </c>
      <c r="R485" s="62" t="s">
        <v>5901</v>
      </c>
      <c r="S485" s="62" t="s">
        <v>5902</v>
      </c>
      <c r="U485" s="62" t="s">
        <v>5903</v>
      </c>
      <c r="V485" s="62" t="s">
        <v>57734</v>
      </c>
      <c r="W485" s="62" t="s">
        <v>5904</v>
      </c>
      <c r="X485" s="62" t="s">
        <v>5905</v>
      </c>
      <c r="Y485" s="62" t="s">
        <v>5906</v>
      </c>
      <c r="Z485" s="62" t="s">
        <v>5907</v>
      </c>
      <c r="AA485" s="62" t="s">
        <v>57764</v>
      </c>
      <c r="AB485" s="62" t="s">
        <v>5908</v>
      </c>
      <c r="AC485" s="62" t="s">
        <v>5909</v>
      </c>
      <c r="AD485" s="62" t="s">
        <v>5910</v>
      </c>
    </row>
    <row r="486" spans="1:30" x14ac:dyDescent="0.25">
      <c r="A486" s="62" t="s">
        <v>109</v>
      </c>
      <c r="C486" s="62" t="s">
        <v>5911</v>
      </c>
      <c r="F486" s="62" t="s">
        <v>288</v>
      </c>
      <c r="G486" s="62" t="s">
        <v>57645</v>
      </c>
      <c r="J486" s="62" t="s">
        <v>5912</v>
      </c>
      <c r="K486" s="62" t="s">
        <v>57675</v>
      </c>
      <c r="L486" s="62" t="s">
        <v>5913</v>
      </c>
      <c r="M486" s="62" t="s">
        <v>5914</v>
      </c>
      <c r="N486" s="62" t="s">
        <v>5915</v>
      </c>
      <c r="O486" s="62" t="s">
        <v>5916</v>
      </c>
      <c r="P486" s="62" t="s">
        <v>57705</v>
      </c>
      <c r="Q486" s="62" t="s">
        <v>5917</v>
      </c>
      <c r="R486" s="62" t="s">
        <v>5918</v>
      </c>
      <c r="S486" s="62" t="s">
        <v>5919</v>
      </c>
      <c r="U486" s="62" t="s">
        <v>5920</v>
      </c>
      <c r="V486" s="62" t="s">
        <v>57735</v>
      </c>
      <c r="W486" s="62" t="s">
        <v>5921</v>
      </c>
      <c r="X486" s="62" t="s">
        <v>5922</v>
      </c>
      <c r="Y486" s="62" t="s">
        <v>5923</v>
      </c>
      <c r="Z486" s="62" t="s">
        <v>5924</v>
      </c>
      <c r="AA486" s="62" t="s">
        <v>57765</v>
      </c>
      <c r="AB486" s="62" t="s">
        <v>5925</v>
      </c>
      <c r="AC486" s="62" t="s">
        <v>5926</v>
      </c>
      <c r="AD486" s="62" t="s">
        <v>5927</v>
      </c>
    </row>
    <row r="487" spans="1:30" x14ac:dyDescent="0.25">
      <c r="A487" s="62" t="s">
        <v>109</v>
      </c>
      <c r="C487" s="62" t="s">
        <v>5928</v>
      </c>
      <c r="F487" s="62" t="s">
        <v>2481</v>
      </c>
      <c r="G487" s="62" t="s">
        <v>57646</v>
      </c>
      <c r="J487" s="62" t="s">
        <v>5929</v>
      </c>
      <c r="K487" s="62" t="s">
        <v>57676</v>
      </c>
      <c r="L487" s="62" t="s">
        <v>5930</v>
      </c>
      <c r="M487" s="62" t="s">
        <v>5931</v>
      </c>
      <c r="N487" s="62" t="s">
        <v>5932</v>
      </c>
      <c r="O487" s="62" t="s">
        <v>5933</v>
      </c>
      <c r="P487" s="62" t="s">
        <v>57706</v>
      </c>
      <c r="Q487" s="62" t="s">
        <v>5934</v>
      </c>
      <c r="R487" s="62" t="s">
        <v>5935</v>
      </c>
      <c r="S487" s="62" t="s">
        <v>5936</v>
      </c>
      <c r="U487" s="62" t="s">
        <v>5937</v>
      </c>
      <c r="V487" s="62" t="s">
        <v>57736</v>
      </c>
      <c r="W487" s="62" t="s">
        <v>5938</v>
      </c>
      <c r="X487" s="62" t="s">
        <v>5939</v>
      </c>
      <c r="Y487" s="62" t="s">
        <v>5940</v>
      </c>
      <c r="Z487" s="62" t="s">
        <v>5941</v>
      </c>
      <c r="AA487" s="62" t="s">
        <v>57766</v>
      </c>
      <c r="AB487" s="62" t="s">
        <v>5942</v>
      </c>
      <c r="AC487" s="62" t="s">
        <v>5943</v>
      </c>
      <c r="AD487" s="62" t="s">
        <v>5944</v>
      </c>
    </row>
    <row r="488" spans="1:30" x14ac:dyDescent="0.25">
      <c r="A488" s="62" t="s">
        <v>109</v>
      </c>
      <c r="C488" s="62" t="s">
        <v>5945</v>
      </c>
      <c r="F488" s="62" t="s">
        <v>1100</v>
      </c>
      <c r="G488" s="62" t="s">
        <v>57647</v>
      </c>
      <c r="J488" s="62" t="s">
        <v>5946</v>
      </c>
      <c r="K488" s="62" t="s">
        <v>57677</v>
      </c>
      <c r="L488" s="62" t="s">
        <v>5947</v>
      </c>
      <c r="M488" s="62" t="s">
        <v>5948</v>
      </c>
      <c r="N488" s="62" t="s">
        <v>5949</v>
      </c>
      <c r="O488" s="62" t="s">
        <v>5950</v>
      </c>
      <c r="P488" s="62" t="s">
        <v>57707</v>
      </c>
      <c r="Q488" s="62" t="s">
        <v>5951</v>
      </c>
      <c r="R488" s="62" t="s">
        <v>5952</v>
      </c>
      <c r="S488" s="62" t="s">
        <v>5953</v>
      </c>
      <c r="U488" s="62" t="s">
        <v>5954</v>
      </c>
      <c r="V488" s="62" t="s">
        <v>57737</v>
      </c>
      <c r="W488" s="62" t="s">
        <v>5955</v>
      </c>
      <c r="X488" s="62" t="s">
        <v>5956</v>
      </c>
      <c r="Y488" s="62" t="s">
        <v>5957</v>
      </c>
      <c r="Z488" s="62" t="s">
        <v>5958</v>
      </c>
      <c r="AA488" s="62" t="s">
        <v>57767</v>
      </c>
      <c r="AB488" s="62" t="s">
        <v>5959</v>
      </c>
      <c r="AC488" s="62" t="s">
        <v>5960</v>
      </c>
      <c r="AD488" s="62" t="s">
        <v>5961</v>
      </c>
    </row>
    <row r="489" spans="1:30" x14ac:dyDescent="0.25">
      <c r="A489" s="62" t="s">
        <v>109</v>
      </c>
      <c r="C489" s="62" t="s">
        <v>5962</v>
      </c>
      <c r="F489" s="62" t="s">
        <v>2337</v>
      </c>
      <c r="G489" s="62" t="s">
        <v>57648</v>
      </c>
      <c r="J489" s="62" t="s">
        <v>5963</v>
      </c>
      <c r="K489" s="62" t="s">
        <v>57678</v>
      </c>
      <c r="L489" s="62" t="s">
        <v>5964</v>
      </c>
      <c r="M489" s="62" t="s">
        <v>5965</v>
      </c>
      <c r="N489" s="62" t="s">
        <v>5966</v>
      </c>
      <c r="O489" s="62" t="s">
        <v>5967</v>
      </c>
      <c r="P489" s="62" t="s">
        <v>57708</v>
      </c>
      <c r="Q489" s="62" t="s">
        <v>5968</v>
      </c>
      <c r="R489" s="62" t="s">
        <v>5969</v>
      </c>
      <c r="S489" s="62" t="s">
        <v>5970</v>
      </c>
      <c r="U489" s="62" t="s">
        <v>5971</v>
      </c>
      <c r="V489" s="62" t="s">
        <v>57738</v>
      </c>
      <c r="W489" s="62" t="s">
        <v>5972</v>
      </c>
      <c r="X489" s="62" t="s">
        <v>5973</v>
      </c>
      <c r="Y489" s="62" t="s">
        <v>5974</v>
      </c>
      <c r="Z489" s="62" t="s">
        <v>5975</v>
      </c>
      <c r="AA489" s="62" t="s">
        <v>57768</v>
      </c>
      <c r="AB489" s="62" t="s">
        <v>5976</v>
      </c>
      <c r="AC489" s="62" t="s">
        <v>5977</v>
      </c>
      <c r="AD489" s="62" t="s">
        <v>5978</v>
      </c>
    </row>
    <row r="490" spans="1:30" x14ac:dyDescent="0.25">
      <c r="A490" s="62" t="s">
        <v>109</v>
      </c>
      <c r="C490" s="62" t="s">
        <v>5979</v>
      </c>
      <c r="F490" s="62" t="s">
        <v>3237</v>
      </c>
      <c r="G490" s="62" t="s">
        <v>57649</v>
      </c>
      <c r="J490" s="62" t="s">
        <v>5980</v>
      </c>
      <c r="K490" s="62" t="s">
        <v>57679</v>
      </c>
      <c r="L490" s="62" t="s">
        <v>5981</v>
      </c>
      <c r="M490" s="62" t="s">
        <v>5982</v>
      </c>
      <c r="N490" s="62" t="s">
        <v>5983</v>
      </c>
      <c r="O490" s="62" t="s">
        <v>5984</v>
      </c>
      <c r="P490" s="62" t="s">
        <v>57709</v>
      </c>
      <c r="Q490" s="62" t="s">
        <v>5985</v>
      </c>
      <c r="R490" s="62" t="s">
        <v>5986</v>
      </c>
      <c r="S490" s="62" t="s">
        <v>5987</v>
      </c>
      <c r="U490" s="62" t="s">
        <v>5988</v>
      </c>
      <c r="V490" s="62" t="s">
        <v>57739</v>
      </c>
      <c r="W490" s="62" t="s">
        <v>5989</v>
      </c>
      <c r="X490" s="62" t="s">
        <v>5990</v>
      </c>
      <c r="Y490" s="62" t="s">
        <v>5991</v>
      </c>
      <c r="Z490" s="62" t="s">
        <v>5992</v>
      </c>
      <c r="AA490" s="62" t="s">
        <v>57769</v>
      </c>
      <c r="AB490" s="62" t="s">
        <v>5993</v>
      </c>
      <c r="AC490" s="62" t="s">
        <v>5994</v>
      </c>
      <c r="AD490" s="62" t="s">
        <v>5995</v>
      </c>
    </row>
    <row r="491" spans="1:30" x14ac:dyDescent="0.25">
      <c r="A491" s="62" t="s">
        <v>109</v>
      </c>
      <c r="C491" s="62" t="s">
        <v>5996</v>
      </c>
      <c r="F491" s="62" t="s">
        <v>2355</v>
      </c>
      <c r="G491" s="62" t="s">
        <v>57650</v>
      </c>
      <c r="J491" s="62" t="s">
        <v>5997</v>
      </c>
      <c r="K491" s="62" t="s">
        <v>57680</v>
      </c>
      <c r="L491" s="62" t="s">
        <v>5998</v>
      </c>
      <c r="M491" s="62" t="s">
        <v>5999</v>
      </c>
      <c r="N491" s="62" t="s">
        <v>6000</v>
      </c>
      <c r="O491" s="62" t="s">
        <v>6001</v>
      </c>
      <c r="P491" s="62" t="s">
        <v>57710</v>
      </c>
      <c r="Q491" s="62" t="s">
        <v>6002</v>
      </c>
      <c r="R491" s="62" t="s">
        <v>6003</v>
      </c>
      <c r="S491" s="62" t="s">
        <v>6004</v>
      </c>
      <c r="U491" s="62" t="s">
        <v>6005</v>
      </c>
      <c r="V491" s="62" t="s">
        <v>57740</v>
      </c>
      <c r="W491" s="62" t="s">
        <v>6006</v>
      </c>
      <c r="X491" s="62" t="s">
        <v>6007</v>
      </c>
      <c r="Y491" s="62" t="s">
        <v>6008</v>
      </c>
      <c r="Z491" s="62" t="s">
        <v>6009</v>
      </c>
      <c r="AA491" s="62" t="s">
        <v>57770</v>
      </c>
      <c r="AB491" s="62" t="s">
        <v>6010</v>
      </c>
      <c r="AC491" s="62" t="s">
        <v>6011</v>
      </c>
      <c r="AD491" s="62" t="s">
        <v>6012</v>
      </c>
    </row>
    <row r="492" spans="1:30" x14ac:dyDescent="0.25">
      <c r="A492" s="62" t="s">
        <v>109</v>
      </c>
      <c r="C492" s="62" t="s">
        <v>6013</v>
      </c>
      <c r="F492" s="62" t="s">
        <v>2372</v>
      </c>
      <c r="G492" s="62" t="s">
        <v>57651</v>
      </c>
      <c r="J492" s="62" t="s">
        <v>6014</v>
      </c>
      <c r="K492" s="62" t="s">
        <v>57681</v>
      </c>
      <c r="L492" s="62" t="s">
        <v>6015</v>
      </c>
      <c r="M492" s="62" t="s">
        <v>6016</v>
      </c>
      <c r="N492" s="62" t="s">
        <v>6017</v>
      </c>
      <c r="O492" s="62" t="s">
        <v>6018</v>
      </c>
      <c r="P492" s="62" t="s">
        <v>57711</v>
      </c>
      <c r="Q492" s="62" t="s">
        <v>6019</v>
      </c>
      <c r="R492" s="62" t="s">
        <v>6020</v>
      </c>
      <c r="S492" s="62" t="s">
        <v>6021</v>
      </c>
      <c r="U492" s="62" t="s">
        <v>6022</v>
      </c>
      <c r="V492" s="62" t="s">
        <v>57741</v>
      </c>
      <c r="W492" s="62" t="s">
        <v>6023</v>
      </c>
      <c r="X492" s="62" t="s">
        <v>6024</v>
      </c>
      <c r="Y492" s="62" t="s">
        <v>6025</v>
      </c>
      <c r="Z492" s="62" t="s">
        <v>6026</v>
      </c>
      <c r="AA492" s="62" t="s">
        <v>57771</v>
      </c>
      <c r="AB492" s="62" t="s">
        <v>6027</v>
      </c>
      <c r="AC492" s="62" t="s">
        <v>6028</v>
      </c>
      <c r="AD492" s="62" t="s">
        <v>6029</v>
      </c>
    </row>
    <row r="493" spans="1:30" x14ac:dyDescent="0.25">
      <c r="A493" s="62" t="s">
        <v>109</v>
      </c>
      <c r="C493" s="62" t="s">
        <v>5612</v>
      </c>
    </row>
    <row r="494" spans="1:30" x14ac:dyDescent="0.25">
      <c r="A494" s="62" t="s">
        <v>109</v>
      </c>
      <c r="C494" s="62" t="s">
        <v>6030</v>
      </c>
      <c r="G494" s="62" t="s">
        <v>40963</v>
      </c>
      <c r="J494" s="62" t="s">
        <v>40964</v>
      </c>
      <c r="K494" s="62" t="s">
        <v>40965</v>
      </c>
      <c r="L494" s="62" t="s">
        <v>40966</v>
      </c>
      <c r="M494" s="62" t="s">
        <v>6031</v>
      </c>
      <c r="N494" s="62" t="s">
        <v>6032</v>
      </c>
      <c r="O494" s="62" t="s">
        <v>40967</v>
      </c>
      <c r="P494" s="62" t="s">
        <v>40968</v>
      </c>
      <c r="Q494" s="62" t="s">
        <v>40969</v>
      </c>
      <c r="R494" s="62" t="s">
        <v>6033</v>
      </c>
      <c r="S494" s="62" t="s">
        <v>6034</v>
      </c>
      <c r="U494" s="62" t="s">
        <v>40970</v>
      </c>
      <c r="V494" s="62" t="s">
        <v>40971</v>
      </c>
      <c r="W494" s="62" t="s">
        <v>40972</v>
      </c>
      <c r="X494" s="62" t="s">
        <v>6035</v>
      </c>
      <c r="Y494" s="62" t="s">
        <v>6036</v>
      </c>
      <c r="Z494" s="62" t="s">
        <v>40973</v>
      </c>
      <c r="AA494" s="62" t="s">
        <v>40974</v>
      </c>
      <c r="AB494" s="62" t="s">
        <v>40975</v>
      </c>
      <c r="AC494" s="62" t="s">
        <v>6037</v>
      </c>
      <c r="AD494" s="62" t="s">
        <v>6038</v>
      </c>
    </row>
    <row r="495" spans="1:30" x14ac:dyDescent="0.25">
      <c r="A495" s="62" t="s">
        <v>109</v>
      </c>
    </row>
    <row r="496" spans="1:30" x14ac:dyDescent="0.25">
      <c r="A496" s="62" t="s">
        <v>109</v>
      </c>
      <c r="C496" s="62" t="s">
        <v>40976</v>
      </c>
      <c r="E496" s="62" t="s">
        <v>210</v>
      </c>
      <c r="G496" s="62" t="s">
        <v>40977</v>
      </c>
    </row>
    <row r="497" spans="1:30" x14ac:dyDescent="0.25">
      <c r="A497" s="62" t="s">
        <v>109</v>
      </c>
      <c r="C497" s="62" t="s">
        <v>6039</v>
      </c>
    </row>
    <row r="498" spans="1:30" x14ac:dyDescent="0.25">
      <c r="A498" s="62" t="s">
        <v>109</v>
      </c>
      <c r="C498" s="62" t="s">
        <v>6040</v>
      </c>
      <c r="F498" s="62" t="s">
        <v>40978</v>
      </c>
      <c r="G498" s="62" t="s">
        <v>57522</v>
      </c>
      <c r="J498" s="62" t="s">
        <v>6041</v>
      </c>
      <c r="K498" s="62" t="s">
        <v>57542</v>
      </c>
      <c r="L498" s="62" t="s">
        <v>6042</v>
      </c>
      <c r="M498" s="62" t="s">
        <v>6043</v>
      </c>
      <c r="N498" s="62" t="s">
        <v>6044</v>
      </c>
      <c r="O498" s="62" t="s">
        <v>6045</v>
      </c>
      <c r="P498" s="62" t="s">
        <v>57562</v>
      </c>
      <c r="Q498" s="62" t="s">
        <v>6046</v>
      </c>
      <c r="R498" s="62" t="s">
        <v>6047</v>
      </c>
      <c r="S498" s="62" t="s">
        <v>6048</v>
      </c>
      <c r="U498" s="62" t="s">
        <v>6049</v>
      </c>
      <c r="V498" s="62" t="s">
        <v>57582</v>
      </c>
      <c r="W498" s="62" t="s">
        <v>6050</v>
      </c>
      <c r="X498" s="62" t="s">
        <v>6051</v>
      </c>
      <c r="Y498" s="62" t="s">
        <v>6052</v>
      </c>
      <c r="Z498" s="62" t="s">
        <v>6053</v>
      </c>
      <c r="AA498" s="62" t="s">
        <v>57602</v>
      </c>
      <c r="AB498" s="62" t="s">
        <v>6054</v>
      </c>
      <c r="AC498" s="62" t="s">
        <v>6055</v>
      </c>
      <c r="AD498" s="62" t="s">
        <v>6056</v>
      </c>
    </row>
    <row r="499" spans="1:30" x14ac:dyDescent="0.25">
      <c r="A499" s="62" t="s">
        <v>109</v>
      </c>
      <c r="C499" s="62" t="s">
        <v>6057</v>
      </c>
      <c r="F499" s="62" t="s">
        <v>731</v>
      </c>
      <c r="G499" s="62" t="s">
        <v>57523</v>
      </c>
      <c r="J499" s="62" t="s">
        <v>6058</v>
      </c>
      <c r="K499" s="62" t="s">
        <v>57543</v>
      </c>
      <c r="L499" s="62" t="s">
        <v>6059</v>
      </c>
      <c r="M499" s="62" t="s">
        <v>6060</v>
      </c>
      <c r="N499" s="62" t="s">
        <v>6061</v>
      </c>
      <c r="O499" s="62" t="s">
        <v>6062</v>
      </c>
      <c r="P499" s="62" t="s">
        <v>57563</v>
      </c>
      <c r="Q499" s="62" t="s">
        <v>6063</v>
      </c>
      <c r="R499" s="62" t="s">
        <v>6064</v>
      </c>
      <c r="S499" s="62" t="s">
        <v>6065</v>
      </c>
      <c r="U499" s="62" t="s">
        <v>6066</v>
      </c>
      <c r="V499" s="62" t="s">
        <v>57583</v>
      </c>
      <c r="W499" s="62" t="s">
        <v>6067</v>
      </c>
      <c r="X499" s="62" t="s">
        <v>6068</v>
      </c>
      <c r="Y499" s="62" t="s">
        <v>6069</v>
      </c>
      <c r="Z499" s="62" t="s">
        <v>6070</v>
      </c>
      <c r="AA499" s="62" t="s">
        <v>57603</v>
      </c>
      <c r="AB499" s="62" t="s">
        <v>6071</v>
      </c>
      <c r="AC499" s="62" t="s">
        <v>6072</v>
      </c>
      <c r="AD499" s="62" t="s">
        <v>6073</v>
      </c>
    </row>
    <row r="500" spans="1:30" x14ac:dyDescent="0.25">
      <c r="A500" s="62" t="s">
        <v>109</v>
      </c>
      <c r="C500" s="62" t="s">
        <v>6074</v>
      </c>
      <c r="F500" s="62" t="s">
        <v>758</v>
      </c>
      <c r="G500" s="62" t="s">
        <v>57524</v>
      </c>
      <c r="J500" s="62" t="s">
        <v>6075</v>
      </c>
      <c r="K500" s="62" t="s">
        <v>57544</v>
      </c>
      <c r="L500" s="62" t="s">
        <v>6076</v>
      </c>
      <c r="M500" s="62" t="s">
        <v>6077</v>
      </c>
      <c r="N500" s="62" t="s">
        <v>6078</v>
      </c>
      <c r="O500" s="62" t="s">
        <v>6079</v>
      </c>
      <c r="P500" s="62" t="s">
        <v>57564</v>
      </c>
      <c r="Q500" s="62" t="s">
        <v>6080</v>
      </c>
      <c r="R500" s="62" t="s">
        <v>6081</v>
      </c>
      <c r="S500" s="62" t="s">
        <v>6082</v>
      </c>
      <c r="U500" s="62" t="s">
        <v>6083</v>
      </c>
      <c r="V500" s="62" t="s">
        <v>57584</v>
      </c>
      <c r="W500" s="62" t="s">
        <v>6084</v>
      </c>
      <c r="X500" s="62" t="s">
        <v>6085</v>
      </c>
      <c r="Y500" s="62" t="s">
        <v>6086</v>
      </c>
      <c r="Z500" s="62" t="s">
        <v>6087</v>
      </c>
      <c r="AA500" s="62" t="s">
        <v>57604</v>
      </c>
      <c r="AB500" s="62" t="s">
        <v>6088</v>
      </c>
      <c r="AC500" s="62" t="s">
        <v>6089</v>
      </c>
      <c r="AD500" s="62" t="s">
        <v>6090</v>
      </c>
    </row>
    <row r="501" spans="1:30" x14ac:dyDescent="0.25">
      <c r="A501" s="62" t="s">
        <v>109</v>
      </c>
      <c r="C501" s="62" t="s">
        <v>6091</v>
      </c>
      <c r="F501" s="62" t="s">
        <v>802</v>
      </c>
      <c r="G501" s="62" t="s">
        <v>57525</v>
      </c>
      <c r="J501" s="62" t="s">
        <v>6092</v>
      </c>
      <c r="K501" s="62" t="s">
        <v>57545</v>
      </c>
      <c r="L501" s="62" t="s">
        <v>6093</v>
      </c>
      <c r="M501" s="62" t="s">
        <v>6094</v>
      </c>
      <c r="N501" s="62" t="s">
        <v>6095</v>
      </c>
      <c r="O501" s="62" t="s">
        <v>6096</v>
      </c>
      <c r="P501" s="62" t="s">
        <v>57565</v>
      </c>
      <c r="Q501" s="62" t="s">
        <v>6097</v>
      </c>
      <c r="R501" s="62" t="s">
        <v>6098</v>
      </c>
      <c r="S501" s="62" t="s">
        <v>6099</v>
      </c>
      <c r="U501" s="62" t="s">
        <v>6100</v>
      </c>
      <c r="V501" s="62" t="s">
        <v>57585</v>
      </c>
      <c r="W501" s="62" t="s">
        <v>6101</v>
      </c>
      <c r="X501" s="62" t="s">
        <v>6102</v>
      </c>
      <c r="Y501" s="62" t="s">
        <v>6103</v>
      </c>
      <c r="Z501" s="62" t="s">
        <v>6104</v>
      </c>
      <c r="AA501" s="62" t="s">
        <v>57605</v>
      </c>
      <c r="AB501" s="62" t="s">
        <v>6105</v>
      </c>
      <c r="AC501" s="62" t="s">
        <v>6106</v>
      </c>
      <c r="AD501" s="62" t="s">
        <v>6107</v>
      </c>
    </row>
    <row r="502" spans="1:30" x14ac:dyDescent="0.25">
      <c r="A502" s="62" t="s">
        <v>109</v>
      </c>
      <c r="C502" s="62" t="s">
        <v>6108</v>
      </c>
      <c r="F502" s="62" t="s">
        <v>827</v>
      </c>
      <c r="G502" s="62" t="s">
        <v>57526</v>
      </c>
      <c r="J502" s="62" t="s">
        <v>6109</v>
      </c>
      <c r="K502" s="62" t="s">
        <v>57546</v>
      </c>
      <c r="L502" s="62" t="s">
        <v>6110</v>
      </c>
      <c r="M502" s="62" t="s">
        <v>6111</v>
      </c>
      <c r="N502" s="62" t="s">
        <v>6112</v>
      </c>
      <c r="O502" s="62" t="s">
        <v>6113</v>
      </c>
      <c r="P502" s="62" t="s">
        <v>57566</v>
      </c>
      <c r="Q502" s="62" t="s">
        <v>6114</v>
      </c>
      <c r="R502" s="62" t="s">
        <v>6115</v>
      </c>
      <c r="S502" s="62" t="s">
        <v>6116</v>
      </c>
      <c r="U502" s="62" t="s">
        <v>6117</v>
      </c>
      <c r="V502" s="62" t="s">
        <v>57586</v>
      </c>
      <c r="W502" s="62" t="s">
        <v>6118</v>
      </c>
      <c r="X502" s="62" t="s">
        <v>6119</v>
      </c>
      <c r="Y502" s="62" t="s">
        <v>6120</v>
      </c>
      <c r="Z502" s="62" t="s">
        <v>6121</v>
      </c>
      <c r="AA502" s="62" t="s">
        <v>57606</v>
      </c>
      <c r="AB502" s="62" t="s">
        <v>6122</v>
      </c>
      <c r="AC502" s="62" t="s">
        <v>6123</v>
      </c>
      <c r="AD502" s="62" t="s">
        <v>6124</v>
      </c>
    </row>
    <row r="503" spans="1:30" x14ac:dyDescent="0.25">
      <c r="A503" s="62" t="s">
        <v>109</v>
      </c>
      <c r="C503" s="62" t="s">
        <v>6125</v>
      </c>
      <c r="F503" s="62" t="s">
        <v>837</v>
      </c>
      <c r="G503" s="62" t="s">
        <v>57527</v>
      </c>
      <c r="J503" s="62" t="s">
        <v>6126</v>
      </c>
      <c r="K503" s="62" t="s">
        <v>57547</v>
      </c>
      <c r="L503" s="62" t="s">
        <v>6127</v>
      </c>
      <c r="M503" s="62" t="s">
        <v>6128</v>
      </c>
      <c r="N503" s="62" t="s">
        <v>6129</v>
      </c>
      <c r="O503" s="62" t="s">
        <v>6130</v>
      </c>
      <c r="P503" s="62" t="s">
        <v>57567</v>
      </c>
      <c r="Q503" s="62" t="s">
        <v>6131</v>
      </c>
      <c r="R503" s="62" t="s">
        <v>6132</v>
      </c>
      <c r="S503" s="62" t="s">
        <v>6133</v>
      </c>
      <c r="U503" s="62" t="s">
        <v>6134</v>
      </c>
      <c r="V503" s="62" t="s">
        <v>57587</v>
      </c>
      <c r="W503" s="62" t="s">
        <v>6135</v>
      </c>
      <c r="X503" s="62" t="s">
        <v>6136</v>
      </c>
      <c r="Y503" s="62" t="s">
        <v>6137</v>
      </c>
      <c r="Z503" s="62" t="s">
        <v>6138</v>
      </c>
      <c r="AA503" s="62" t="s">
        <v>57607</v>
      </c>
      <c r="AB503" s="62" t="s">
        <v>6139</v>
      </c>
      <c r="AC503" s="62" t="s">
        <v>6140</v>
      </c>
      <c r="AD503" s="62" t="s">
        <v>6141</v>
      </c>
    </row>
    <row r="504" spans="1:30" x14ac:dyDescent="0.25">
      <c r="A504" s="62" t="s">
        <v>109</v>
      </c>
      <c r="C504" s="62" t="s">
        <v>6142</v>
      </c>
      <c r="F504" s="62" t="s">
        <v>889</v>
      </c>
      <c r="G504" s="62" t="s">
        <v>57528</v>
      </c>
      <c r="J504" s="62" t="s">
        <v>6143</v>
      </c>
      <c r="K504" s="62" t="s">
        <v>57548</v>
      </c>
      <c r="L504" s="62" t="s">
        <v>6144</v>
      </c>
      <c r="M504" s="62" t="s">
        <v>6145</v>
      </c>
      <c r="N504" s="62" t="s">
        <v>6146</v>
      </c>
      <c r="O504" s="62" t="s">
        <v>6147</v>
      </c>
      <c r="P504" s="62" t="s">
        <v>57568</v>
      </c>
      <c r="Q504" s="62" t="s">
        <v>6148</v>
      </c>
      <c r="R504" s="62" t="s">
        <v>6149</v>
      </c>
      <c r="S504" s="62" t="s">
        <v>6150</v>
      </c>
      <c r="U504" s="62" t="s">
        <v>6151</v>
      </c>
      <c r="V504" s="62" t="s">
        <v>57588</v>
      </c>
      <c r="W504" s="62" t="s">
        <v>6152</v>
      </c>
      <c r="X504" s="62" t="s">
        <v>6153</v>
      </c>
      <c r="Y504" s="62" t="s">
        <v>6154</v>
      </c>
      <c r="Z504" s="62" t="s">
        <v>6155</v>
      </c>
      <c r="AA504" s="62" t="s">
        <v>57608</v>
      </c>
      <c r="AB504" s="62" t="s">
        <v>6156</v>
      </c>
      <c r="AC504" s="62" t="s">
        <v>6157</v>
      </c>
      <c r="AD504" s="62" t="s">
        <v>6158</v>
      </c>
    </row>
    <row r="505" spans="1:30" x14ac:dyDescent="0.25">
      <c r="A505" s="62" t="s">
        <v>109</v>
      </c>
      <c r="C505" s="62" t="s">
        <v>6159</v>
      </c>
      <c r="F505" s="62" t="s">
        <v>915</v>
      </c>
      <c r="G505" s="62" t="s">
        <v>57529</v>
      </c>
      <c r="J505" s="62" t="s">
        <v>6160</v>
      </c>
      <c r="K505" s="62" t="s">
        <v>57549</v>
      </c>
      <c r="L505" s="62" t="s">
        <v>6161</v>
      </c>
      <c r="M505" s="62" t="s">
        <v>6162</v>
      </c>
      <c r="N505" s="62" t="s">
        <v>6163</v>
      </c>
      <c r="O505" s="62" t="s">
        <v>6164</v>
      </c>
      <c r="P505" s="62" t="s">
        <v>57569</v>
      </c>
      <c r="Q505" s="62" t="s">
        <v>6165</v>
      </c>
      <c r="R505" s="62" t="s">
        <v>6166</v>
      </c>
      <c r="S505" s="62" t="s">
        <v>6167</v>
      </c>
      <c r="U505" s="62" t="s">
        <v>6168</v>
      </c>
      <c r="V505" s="62" t="s">
        <v>57589</v>
      </c>
      <c r="W505" s="62" t="s">
        <v>6169</v>
      </c>
      <c r="X505" s="62" t="s">
        <v>6170</v>
      </c>
      <c r="Y505" s="62" t="s">
        <v>6171</v>
      </c>
      <c r="Z505" s="62" t="s">
        <v>6172</v>
      </c>
      <c r="AA505" s="62" t="s">
        <v>57609</v>
      </c>
      <c r="AB505" s="62" t="s">
        <v>6173</v>
      </c>
      <c r="AC505" s="62" t="s">
        <v>6174</v>
      </c>
      <c r="AD505" s="62" t="s">
        <v>6175</v>
      </c>
    </row>
    <row r="506" spans="1:30" x14ac:dyDescent="0.25">
      <c r="A506" s="62" t="s">
        <v>109</v>
      </c>
      <c r="C506" s="62" t="s">
        <v>6176</v>
      </c>
      <c r="F506" s="62" t="s">
        <v>943</v>
      </c>
      <c r="G506" s="62" t="s">
        <v>57530</v>
      </c>
      <c r="J506" s="62" t="s">
        <v>6177</v>
      </c>
      <c r="K506" s="62" t="s">
        <v>57550</v>
      </c>
      <c r="L506" s="62" t="s">
        <v>6178</v>
      </c>
      <c r="M506" s="62" t="s">
        <v>6179</v>
      </c>
      <c r="N506" s="62" t="s">
        <v>6180</v>
      </c>
      <c r="O506" s="62" t="s">
        <v>6181</v>
      </c>
      <c r="P506" s="62" t="s">
        <v>57570</v>
      </c>
      <c r="Q506" s="62" t="s">
        <v>6182</v>
      </c>
      <c r="R506" s="62" t="s">
        <v>6183</v>
      </c>
      <c r="S506" s="62" t="s">
        <v>6184</v>
      </c>
      <c r="U506" s="62" t="s">
        <v>6185</v>
      </c>
      <c r="V506" s="62" t="s">
        <v>57590</v>
      </c>
      <c r="W506" s="62" t="s">
        <v>6186</v>
      </c>
      <c r="X506" s="62" t="s">
        <v>6187</v>
      </c>
      <c r="Y506" s="62" t="s">
        <v>6188</v>
      </c>
      <c r="Z506" s="62" t="s">
        <v>6189</v>
      </c>
      <c r="AA506" s="62" t="s">
        <v>57610</v>
      </c>
      <c r="AB506" s="62" t="s">
        <v>6190</v>
      </c>
      <c r="AC506" s="62" t="s">
        <v>6191</v>
      </c>
      <c r="AD506" s="62" t="s">
        <v>6192</v>
      </c>
    </row>
    <row r="507" spans="1:30" x14ac:dyDescent="0.25">
      <c r="A507" s="62" t="s">
        <v>109</v>
      </c>
      <c r="C507" s="62" t="s">
        <v>6193</v>
      </c>
      <c r="F507" s="62" t="s">
        <v>985</v>
      </c>
      <c r="G507" s="62" t="s">
        <v>57531</v>
      </c>
      <c r="J507" s="62" t="s">
        <v>6194</v>
      </c>
      <c r="K507" s="62" t="s">
        <v>57551</v>
      </c>
      <c r="L507" s="62" t="s">
        <v>6195</v>
      </c>
      <c r="M507" s="62" t="s">
        <v>6196</v>
      </c>
      <c r="N507" s="62" t="s">
        <v>6197</v>
      </c>
      <c r="O507" s="62" t="s">
        <v>6198</v>
      </c>
      <c r="P507" s="62" t="s">
        <v>57571</v>
      </c>
      <c r="Q507" s="62" t="s">
        <v>6199</v>
      </c>
      <c r="R507" s="62" t="s">
        <v>6200</v>
      </c>
      <c r="S507" s="62" t="s">
        <v>6201</v>
      </c>
      <c r="U507" s="62" t="s">
        <v>6202</v>
      </c>
      <c r="V507" s="62" t="s">
        <v>57591</v>
      </c>
      <c r="W507" s="62" t="s">
        <v>6203</v>
      </c>
      <c r="X507" s="62" t="s">
        <v>6204</v>
      </c>
      <c r="Y507" s="62" t="s">
        <v>6205</v>
      </c>
      <c r="Z507" s="62" t="s">
        <v>6206</v>
      </c>
      <c r="AA507" s="62" t="s">
        <v>57611</v>
      </c>
      <c r="AB507" s="62" t="s">
        <v>6207</v>
      </c>
      <c r="AC507" s="62" t="s">
        <v>6208</v>
      </c>
      <c r="AD507" s="62" t="s">
        <v>6209</v>
      </c>
    </row>
    <row r="508" spans="1:30" x14ac:dyDescent="0.25">
      <c r="A508" s="62" t="s">
        <v>109</v>
      </c>
      <c r="C508" s="62" t="s">
        <v>6210</v>
      </c>
      <c r="F508" s="62" t="s">
        <v>1002</v>
      </c>
      <c r="G508" s="62" t="s">
        <v>57532</v>
      </c>
      <c r="J508" s="62" t="s">
        <v>6211</v>
      </c>
      <c r="K508" s="62" t="s">
        <v>57552</v>
      </c>
      <c r="L508" s="62" t="s">
        <v>6212</v>
      </c>
      <c r="M508" s="62" t="s">
        <v>6213</v>
      </c>
      <c r="N508" s="62" t="s">
        <v>6214</v>
      </c>
      <c r="O508" s="62" t="s">
        <v>6215</v>
      </c>
      <c r="P508" s="62" t="s">
        <v>57572</v>
      </c>
      <c r="Q508" s="62" t="s">
        <v>6216</v>
      </c>
      <c r="R508" s="62" t="s">
        <v>6217</v>
      </c>
      <c r="S508" s="62" t="s">
        <v>6218</v>
      </c>
      <c r="U508" s="62" t="s">
        <v>6219</v>
      </c>
      <c r="V508" s="62" t="s">
        <v>57592</v>
      </c>
      <c r="W508" s="62" t="s">
        <v>6220</v>
      </c>
      <c r="X508" s="62" t="s">
        <v>6221</v>
      </c>
      <c r="Y508" s="62" t="s">
        <v>6222</v>
      </c>
      <c r="Z508" s="62" t="s">
        <v>6223</v>
      </c>
      <c r="AA508" s="62" t="s">
        <v>57612</v>
      </c>
      <c r="AB508" s="62" t="s">
        <v>6224</v>
      </c>
      <c r="AC508" s="62" t="s">
        <v>6225</v>
      </c>
      <c r="AD508" s="62" t="s">
        <v>6226</v>
      </c>
    </row>
    <row r="509" spans="1:30" x14ac:dyDescent="0.25">
      <c r="A509" s="62" t="s">
        <v>109</v>
      </c>
      <c r="C509" s="62" t="s">
        <v>6227</v>
      </c>
      <c r="F509" s="62" t="s">
        <v>1030</v>
      </c>
      <c r="G509" s="62" t="s">
        <v>57533</v>
      </c>
      <c r="J509" s="62" t="s">
        <v>6228</v>
      </c>
      <c r="K509" s="62" t="s">
        <v>57553</v>
      </c>
      <c r="L509" s="62" t="s">
        <v>6229</v>
      </c>
      <c r="M509" s="62" t="s">
        <v>6230</v>
      </c>
      <c r="N509" s="62" t="s">
        <v>6231</v>
      </c>
      <c r="O509" s="62" t="s">
        <v>6232</v>
      </c>
      <c r="P509" s="62" t="s">
        <v>57573</v>
      </c>
      <c r="Q509" s="62" t="s">
        <v>6233</v>
      </c>
      <c r="R509" s="62" t="s">
        <v>6234</v>
      </c>
      <c r="S509" s="62" t="s">
        <v>6235</v>
      </c>
      <c r="U509" s="62" t="s">
        <v>6236</v>
      </c>
      <c r="V509" s="62" t="s">
        <v>57593</v>
      </c>
      <c r="W509" s="62" t="s">
        <v>6237</v>
      </c>
      <c r="X509" s="62" t="s">
        <v>6238</v>
      </c>
      <c r="Y509" s="62" t="s">
        <v>6239</v>
      </c>
      <c r="Z509" s="62" t="s">
        <v>6240</v>
      </c>
      <c r="AA509" s="62" t="s">
        <v>57613</v>
      </c>
      <c r="AB509" s="62" t="s">
        <v>6241</v>
      </c>
      <c r="AC509" s="62" t="s">
        <v>6242</v>
      </c>
      <c r="AD509" s="62" t="s">
        <v>6243</v>
      </c>
    </row>
    <row r="510" spans="1:30" x14ac:dyDescent="0.25">
      <c r="A510" s="62" t="s">
        <v>109</v>
      </c>
      <c r="C510" s="62" t="s">
        <v>6244</v>
      </c>
      <c r="F510" s="62" t="s">
        <v>1064</v>
      </c>
      <c r="G510" s="62" t="s">
        <v>57534</v>
      </c>
      <c r="J510" s="62" t="s">
        <v>6245</v>
      </c>
      <c r="K510" s="62" t="s">
        <v>57554</v>
      </c>
      <c r="L510" s="62" t="s">
        <v>6246</v>
      </c>
      <c r="M510" s="62" t="s">
        <v>6247</v>
      </c>
      <c r="N510" s="62" t="s">
        <v>6248</v>
      </c>
      <c r="O510" s="62" t="s">
        <v>6249</v>
      </c>
      <c r="P510" s="62" t="s">
        <v>57574</v>
      </c>
      <c r="Q510" s="62" t="s">
        <v>6250</v>
      </c>
      <c r="R510" s="62" t="s">
        <v>6251</v>
      </c>
      <c r="S510" s="62" t="s">
        <v>6252</v>
      </c>
      <c r="U510" s="62" t="s">
        <v>6253</v>
      </c>
      <c r="V510" s="62" t="s">
        <v>57594</v>
      </c>
      <c r="W510" s="62" t="s">
        <v>6254</v>
      </c>
      <c r="X510" s="62" t="s">
        <v>6255</v>
      </c>
      <c r="Y510" s="62" t="s">
        <v>6256</v>
      </c>
      <c r="Z510" s="62" t="s">
        <v>6257</v>
      </c>
      <c r="AA510" s="62" t="s">
        <v>57614</v>
      </c>
      <c r="AB510" s="62" t="s">
        <v>6258</v>
      </c>
      <c r="AC510" s="62" t="s">
        <v>6259</v>
      </c>
      <c r="AD510" s="62" t="s">
        <v>6260</v>
      </c>
    </row>
    <row r="511" spans="1:30" x14ac:dyDescent="0.25">
      <c r="A511" s="62" t="s">
        <v>109</v>
      </c>
      <c r="C511" s="62" t="s">
        <v>6261</v>
      </c>
      <c r="F511" s="62" t="s">
        <v>1152</v>
      </c>
      <c r="G511" s="62" t="s">
        <v>57535</v>
      </c>
      <c r="J511" s="62" t="s">
        <v>6262</v>
      </c>
      <c r="K511" s="62" t="s">
        <v>57555</v>
      </c>
      <c r="L511" s="62" t="s">
        <v>6263</v>
      </c>
      <c r="M511" s="62" t="s">
        <v>6264</v>
      </c>
      <c r="N511" s="62" t="s">
        <v>6265</v>
      </c>
      <c r="O511" s="62" t="s">
        <v>6266</v>
      </c>
      <c r="P511" s="62" t="s">
        <v>57575</v>
      </c>
      <c r="Q511" s="62" t="s">
        <v>6267</v>
      </c>
      <c r="R511" s="62" t="s">
        <v>6268</v>
      </c>
      <c r="S511" s="62" t="s">
        <v>6269</v>
      </c>
      <c r="U511" s="62" t="s">
        <v>6270</v>
      </c>
      <c r="V511" s="62" t="s">
        <v>57595</v>
      </c>
      <c r="W511" s="62" t="s">
        <v>6271</v>
      </c>
      <c r="X511" s="62" t="s">
        <v>6272</v>
      </c>
      <c r="Y511" s="62" t="s">
        <v>6273</v>
      </c>
      <c r="Z511" s="62" t="s">
        <v>6274</v>
      </c>
      <c r="AA511" s="62" t="s">
        <v>57615</v>
      </c>
      <c r="AB511" s="62" t="s">
        <v>6275</v>
      </c>
      <c r="AC511" s="62" t="s">
        <v>6276</v>
      </c>
      <c r="AD511" s="62" t="s">
        <v>6277</v>
      </c>
    </row>
    <row r="512" spans="1:30" x14ac:dyDescent="0.25">
      <c r="A512" s="62" t="s">
        <v>109</v>
      </c>
      <c r="C512" s="62" t="s">
        <v>40979</v>
      </c>
      <c r="F512" s="62" t="s">
        <v>1188</v>
      </c>
      <c r="G512" s="62" t="s">
        <v>57536</v>
      </c>
      <c r="J512" s="62" t="s">
        <v>40980</v>
      </c>
      <c r="K512" s="62" t="s">
        <v>57556</v>
      </c>
      <c r="L512" s="62" t="s">
        <v>40981</v>
      </c>
      <c r="M512" s="62" t="s">
        <v>40982</v>
      </c>
      <c r="N512" s="62" t="s">
        <v>40983</v>
      </c>
      <c r="O512" s="62" t="s">
        <v>40984</v>
      </c>
      <c r="P512" s="62" t="s">
        <v>57576</v>
      </c>
      <c r="Q512" s="62" t="s">
        <v>40985</v>
      </c>
      <c r="R512" s="62" t="s">
        <v>40986</v>
      </c>
      <c r="S512" s="62" t="s">
        <v>40987</v>
      </c>
      <c r="U512" s="62" t="s">
        <v>40988</v>
      </c>
      <c r="V512" s="62" t="s">
        <v>57596</v>
      </c>
      <c r="W512" s="62" t="s">
        <v>40989</v>
      </c>
      <c r="X512" s="62" t="s">
        <v>40990</v>
      </c>
      <c r="Y512" s="62" t="s">
        <v>40991</v>
      </c>
      <c r="Z512" s="62" t="s">
        <v>40992</v>
      </c>
      <c r="AA512" s="62" t="s">
        <v>57616</v>
      </c>
      <c r="AB512" s="62" t="s">
        <v>40993</v>
      </c>
      <c r="AC512" s="62" t="s">
        <v>40994</v>
      </c>
      <c r="AD512" s="62" t="s">
        <v>40995</v>
      </c>
    </row>
    <row r="513" spans="1:30" x14ac:dyDescent="0.25">
      <c r="A513" s="62" t="s">
        <v>109</v>
      </c>
      <c r="C513" s="62" t="s">
        <v>6278</v>
      </c>
      <c r="F513" s="62" t="s">
        <v>1249</v>
      </c>
      <c r="G513" s="62" t="s">
        <v>57537</v>
      </c>
      <c r="J513" s="62" t="s">
        <v>40996</v>
      </c>
      <c r="K513" s="62" t="s">
        <v>57557</v>
      </c>
      <c r="L513" s="62" t="s">
        <v>40997</v>
      </c>
      <c r="M513" s="62" t="s">
        <v>6279</v>
      </c>
      <c r="N513" s="62" t="s">
        <v>6280</v>
      </c>
      <c r="O513" s="62" t="s">
        <v>40998</v>
      </c>
      <c r="P513" s="62" t="s">
        <v>57577</v>
      </c>
      <c r="Q513" s="62" t="s">
        <v>40999</v>
      </c>
      <c r="R513" s="62" t="s">
        <v>6281</v>
      </c>
      <c r="S513" s="62" t="s">
        <v>6282</v>
      </c>
      <c r="U513" s="62" t="s">
        <v>41000</v>
      </c>
      <c r="V513" s="62" t="s">
        <v>57597</v>
      </c>
      <c r="W513" s="62" t="s">
        <v>41001</v>
      </c>
      <c r="X513" s="62" t="s">
        <v>6283</v>
      </c>
      <c r="Y513" s="62" t="s">
        <v>6284</v>
      </c>
      <c r="Z513" s="62" t="s">
        <v>41002</v>
      </c>
      <c r="AA513" s="62" t="s">
        <v>57617</v>
      </c>
      <c r="AB513" s="62" t="s">
        <v>41003</v>
      </c>
      <c r="AC513" s="62" t="s">
        <v>6285</v>
      </c>
      <c r="AD513" s="62" t="s">
        <v>6286</v>
      </c>
    </row>
    <row r="514" spans="1:30" x14ac:dyDescent="0.25">
      <c r="A514" s="62" t="s">
        <v>109</v>
      </c>
      <c r="C514" s="62" t="s">
        <v>41004</v>
      </c>
      <c r="F514" s="62" t="s">
        <v>1286</v>
      </c>
      <c r="G514" s="62" t="s">
        <v>57538</v>
      </c>
      <c r="J514" s="62" t="s">
        <v>41005</v>
      </c>
      <c r="K514" s="62" t="s">
        <v>57558</v>
      </c>
      <c r="L514" s="62" t="s">
        <v>41006</v>
      </c>
      <c r="M514" s="62" t="s">
        <v>41007</v>
      </c>
      <c r="N514" s="62" t="s">
        <v>41008</v>
      </c>
      <c r="O514" s="62" t="s">
        <v>41009</v>
      </c>
      <c r="P514" s="62" t="s">
        <v>57578</v>
      </c>
      <c r="Q514" s="62" t="s">
        <v>41010</v>
      </c>
      <c r="R514" s="62" t="s">
        <v>41011</v>
      </c>
      <c r="S514" s="62" t="s">
        <v>41012</v>
      </c>
      <c r="U514" s="62" t="s">
        <v>41013</v>
      </c>
      <c r="V514" s="62" t="s">
        <v>57598</v>
      </c>
      <c r="W514" s="62" t="s">
        <v>41014</v>
      </c>
      <c r="X514" s="62" t="s">
        <v>41015</v>
      </c>
      <c r="Y514" s="62" t="s">
        <v>41016</v>
      </c>
      <c r="Z514" s="62" t="s">
        <v>41017</v>
      </c>
      <c r="AA514" s="62" t="s">
        <v>57618</v>
      </c>
      <c r="AB514" s="62" t="s">
        <v>41018</v>
      </c>
      <c r="AC514" s="62" t="s">
        <v>41019</v>
      </c>
      <c r="AD514" s="62" t="s">
        <v>41020</v>
      </c>
    </row>
    <row r="515" spans="1:30" x14ac:dyDescent="0.25">
      <c r="A515" s="62" t="s">
        <v>109</v>
      </c>
      <c r="C515" s="62" t="s">
        <v>41021</v>
      </c>
      <c r="F515" s="62" t="s">
        <v>1287</v>
      </c>
      <c r="G515" s="62" t="s">
        <v>57539</v>
      </c>
      <c r="J515" s="62" t="s">
        <v>41022</v>
      </c>
      <c r="K515" s="62" t="s">
        <v>57559</v>
      </c>
      <c r="L515" s="62" t="s">
        <v>41023</v>
      </c>
      <c r="M515" s="62" t="s">
        <v>41024</v>
      </c>
      <c r="N515" s="62" t="s">
        <v>41025</v>
      </c>
      <c r="O515" s="62" t="s">
        <v>41026</v>
      </c>
      <c r="P515" s="62" t="s">
        <v>57579</v>
      </c>
      <c r="Q515" s="62" t="s">
        <v>41027</v>
      </c>
      <c r="R515" s="62" t="s">
        <v>41028</v>
      </c>
      <c r="S515" s="62" t="s">
        <v>41029</v>
      </c>
      <c r="U515" s="62" t="s">
        <v>41030</v>
      </c>
      <c r="V515" s="62" t="s">
        <v>57599</v>
      </c>
      <c r="W515" s="62" t="s">
        <v>41031</v>
      </c>
      <c r="X515" s="62" t="s">
        <v>41032</v>
      </c>
      <c r="Y515" s="62" t="s">
        <v>41033</v>
      </c>
      <c r="Z515" s="62" t="s">
        <v>41034</v>
      </c>
      <c r="AA515" s="62" t="s">
        <v>57619</v>
      </c>
      <c r="AB515" s="62" t="s">
        <v>41035</v>
      </c>
      <c r="AC515" s="62" t="s">
        <v>41036</v>
      </c>
      <c r="AD515" s="62" t="s">
        <v>41037</v>
      </c>
    </row>
    <row r="516" spans="1:30" x14ac:dyDescent="0.25">
      <c r="A516" s="62" t="s">
        <v>109</v>
      </c>
      <c r="C516" s="62" t="s">
        <v>6287</v>
      </c>
      <c r="F516" s="62" t="s">
        <v>1289</v>
      </c>
      <c r="G516" s="62" t="s">
        <v>57540</v>
      </c>
      <c r="J516" s="62" t="s">
        <v>41038</v>
      </c>
      <c r="K516" s="62" t="s">
        <v>57560</v>
      </c>
      <c r="L516" s="62" t="s">
        <v>41039</v>
      </c>
      <c r="M516" s="62" t="s">
        <v>41040</v>
      </c>
      <c r="N516" s="62" t="s">
        <v>41041</v>
      </c>
      <c r="O516" s="62" t="s">
        <v>41042</v>
      </c>
      <c r="P516" s="62" t="s">
        <v>57580</v>
      </c>
      <c r="Q516" s="62" t="s">
        <v>41043</v>
      </c>
      <c r="R516" s="62" t="s">
        <v>41044</v>
      </c>
      <c r="S516" s="62" t="s">
        <v>41045</v>
      </c>
      <c r="U516" s="62" t="s">
        <v>41046</v>
      </c>
      <c r="V516" s="62" t="s">
        <v>57600</v>
      </c>
      <c r="W516" s="62" t="s">
        <v>41047</v>
      </c>
      <c r="X516" s="62" t="s">
        <v>41048</v>
      </c>
      <c r="Y516" s="62" t="s">
        <v>41049</v>
      </c>
      <c r="Z516" s="62" t="s">
        <v>41050</v>
      </c>
      <c r="AA516" s="62" t="s">
        <v>57620</v>
      </c>
      <c r="AB516" s="62" t="s">
        <v>41051</v>
      </c>
      <c r="AC516" s="62" t="s">
        <v>41052</v>
      </c>
      <c r="AD516" s="62" t="s">
        <v>41053</v>
      </c>
    </row>
    <row r="517" spans="1:30" x14ac:dyDescent="0.25">
      <c r="A517" s="62" t="s">
        <v>109</v>
      </c>
      <c r="C517" s="62" t="s">
        <v>6288</v>
      </c>
      <c r="F517" s="62" t="s">
        <v>1797</v>
      </c>
      <c r="G517" s="62" t="s">
        <v>57541</v>
      </c>
      <c r="J517" s="62" t="s">
        <v>6289</v>
      </c>
      <c r="K517" s="62" t="s">
        <v>57561</v>
      </c>
      <c r="L517" s="62" t="s">
        <v>6290</v>
      </c>
      <c r="M517" s="62" t="s">
        <v>6291</v>
      </c>
      <c r="N517" s="62" t="s">
        <v>6292</v>
      </c>
      <c r="O517" s="62" t="s">
        <v>6293</v>
      </c>
      <c r="P517" s="62" t="s">
        <v>57581</v>
      </c>
      <c r="Q517" s="62" t="s">
        <v>6294</v>
      </c>
      <c r="R517" s="62" t="s">
        <v>6295</v>
      </c>
      <c r="S517" s="62" t="s">
        <v>6296</v>
      </c>
      <c r="U517" s="62" t="s">
        <v>6297</v>
      </c>
      <c r="V517" s="62" t="s">
        <v>57601</v>
      </c>
      <c r="W517" s="62" t="s">
        <v>6298</v>
      </c>
      <c r="X517" s="62" t="s">
        <v>6299</v>
      </c>
      <c r="Y517" s="62" t="s">
        <v>6300</v>
      </c>
      <c r="Z517" s="62" t="s">
        <v>6301</v>
      </c>
      <c r="AA517" s="62" t="s">
        <v>57621</v>
      </c>
      <c r="AB517" s="62" t="s">
        <v>6302</v>
      </c>
      <c r="AC517" s="62" t="s">
        <v>6303</v>
      </c>
      <c r="AD517" s="62" t="s">
        <v>6304</v>
      </c>
    </row>
    <row r="518" spans="1:30" x14ac:dyDescent="0.25">
      <c r="A518" s="62" t="s">
        <v>109</v>
      </c>
      <c r="C518" s="62" t="s">
        <v>6057</v>
      </c>
    </row>
    <row r="519" spans="1:30" x14ac:dyDescent="0.25">
      <c r="A519" s="62" t="s">
        <v>109</v>
      </c>
      <c r="C519" s="62" t="s">
        <v>6305</v>
      </c>
      <c r="G519" s="62" t="s">
        <v>41054</v>
      </c>
      <c r="J519" s="62" t="s">
        <v>41055</v>
      </c>
      <c r="K519" s="62" t="s">
        <v>41056</v>
      </c>
      <c r="L519" s="62" t="s">
        <v>41057</v>
      </c>
      <c r="M519" s="62" t="s">
        <v>6306</v>
      </c>
      <c r="N519" s="62" t="s">
        <v>6307</v>
      </c>
      <c r="O519" s="62" t="s">
        <v>41058</v>
      </c>
      <c r="P519" s="62" t="s">
        <v>41059</v>
      </c>
      <c r="Q519" s="62" t="s">
        <v>41060</v>
      </c>
      <c r="R519" s="62" t="s">
        <v>6308</v>
      </c>
      <c r="S519" s="62" t="s">
        <v>6309</v>
      </c>
      <c r="U519" s="62" t="s">
        <v>41061</v>
      </c>
      <c r="V519" s="62" t="s">
        <v>41062</v>
      </c>
      <c r="W519" s="62" t="s">
        <v>41063</v>
      </c>
      <c r="X519" s="62" t="s">
        <v>6310</v>
      </c>
      <c r="Y519" s="62" t="s">
        <v>6311</v>
      </c>
      <c r="Z519" s="62" t="s">
        <v>41064</v>
      </c>
      <c r="AA519" s="62" t="s">
        <v>41065</v>
      </c>
      <c r="AB519" s="62" t="s">
        <v>41066</v>
      </c>
      <c r="AC519" s="62" t="s">
        <v>6312</v>
      </c>
      <c r="AD519" s="62" t="s">
        <v>6313</v>
      </c>
    </row>
    <row r="520" spans="1:30" x14ac:dyDescent="0.25">
      <c r="A520" s="62" t="s">
        <v>109</v>
      </c>
    </row>
    <row r="521" spans="1:30" x14ac:dyDescent="0.25">
      <c r="A521" s="62" t="s">
        <v>109</v>
      </c>
      <c r="C521" s="62" t="s">
        <v>41067</v>
      </c>
      <c r="E521" s="62" t="s">
        <v>227</v>
      </c>
      <c r="G521" s="62" t="s">
        <v>41068</v>
      </c>
    </row>
    <row r="522" spans="1:30" x14ac:dyDescent="0.25">
      <c r="A522" s="62" t="s">
        <v>109</v>
      </c>
      <c r="C522" s="62" t="s">
        <v>6314</v>
      </c>
    </row>
    <row r="523" spans="1:30" x14ac:dyDescent="0.25">
      <c r="A523" s="62" t="s">
        <v>109</v>
      </c>
      <c r="C523" s="62" t="s">
        <v>6315</v>
      </c>
      <c r="F523" s="62" t="s">
        <v>41069</v>
      </c>
      <c r="G523" s="62" t="s">
        <v>57417</v>
      </c>
      <c r="J523" s="62" t="s">
        <v>6316</v>
      </c>
      <c r="K523" s="62" t="s">
        <v>57438</v>
      </c>
      <c r="L523" s="62" t="s">
        <v>6317</v>
      </c>
      <c r="M523" s="62" t="s">
        <v>6318</v>
      </c>
      <c r="N523" s="62" t="s">
        <v>6319</v>
      </c>
      <c r="O523" s="62" t="s">
        <v>6320</v>
      </c>
      <c r="P523" s="62" t="s">
        <v>57459</v>
      </c>
      <c r="Q523" s="62" t="s">
        <v>6321</v>
      </c>
      <c r="R523" s="62" t="s">
        <v>6322</v>
      </c>
      <c r="S523" s="62" t="s">
        <v>6323</v>
      </c>
      <c r="U523" s="62" t="s">
        <v>6324</v>
      </c>
      <c r="V523" s="62" t="s">
        <v>57480</v>
      </c>
      <c r="W523" s="62" t="s">
        <v>6325</v>
      </c>
      <c r="X523" s="62" t="s">
        <v>6326</v>
      </c>
      <c r="Y523" s="62" t="s">
        <v>6327</v>
      </c>
      <c r="Z523" s="62" t="s">
        <v>6328</v>
      </c>
      <c r="AA523" s="62" t="s">
        <v>57501</v>
      </c>
      <c r="AB523" s="62" t="s">
        <v>6329</v>
      </c>
      <c r="AC523" s="62" t="s">
        <v>6330</v>
      </c>
      <c r="AD523" s="62" t="s">
        <v>6331</v>
      </c>
    </row>
    <row r="524" spans="1:30" x14ac:dyDescent="0.25">
      <c r="A524" s="62" t="s">
        <v>109</v>
      </c>
      <c r="C524" s="62" t="s">
        <v>6332</v>
      </c>
      <c r="F524" s="62" t="s">
        <v>731</v>
      </c>
      <c r="G524" s="62" t="s">
        <v>57418</v>
      </c>
      <c r="J524" s="62" t="s">
        <v>6333</v>
      </c>
      <c r="K524" s="62" t="s">
        <v>57439</v>
      </c>
      <c r="L524" s="62" t="s">
        <v>6334</v>
      </c>
      <c r="M524" s="62" t="s">
        <v>6335</v>
      </c>
      <c r="N524" s="62" t="s">
        <v>6336</v>
      </c>
      <c r="O524" s="62" t="s">
        <v>6337</v>
      </c>
      <c r="P524" s="62" t="s">
        <v>57460</v>
      </c>
      <c r="Q524" s="62" t="s">
        <v>6338</v>
      </c>
      <c r="R524" s="62" t="s">
        <v>6339</v>
      </c>
      <c r="S524" s="62" t="s">
        <v>6340</v>
      </c>
      <c r="U524" s="62" t="s">
        <v>6341</v>
      </c>
      <c r="V524" s="62" t="s">
        <v>57481</v>
      </c>
      <c r="W524" s="62" t="s">
        <v>6342</v>
      </c>
      <c r="X524" s="62" t="s">
        <v>6343</v>
      </c>
      <c r="Y524" s="62" t="s">
        <v>6344</v>
      </c>
      <c r="Z524" s="62" t="s">
        <v>6345</v>
      </c>
      <c r="AA524" s="62" t="s">
        <v>57502</v>
      </c>
      <c r="AB524" s="62" t="s">
        <v>6346</v>
      </c>
      <c r="AC524" s="62" t="s">
        <v>6347</v>
      </c>
      <c r="AD524" s="62" t="s">
        <v>6348</v>
      </c>
    </row>
    <row r="525" spans="1:30" x14ac:dyDescent="0.25">
      <c r="A525" s="62" t="s">
        <v>109</v>
      </c>
      <c r="C525" s="62" t="s">
        <v>6349</v>
      </c>
      <c r="F525" s="62" t="s">
        <v>748</v>
      </c>
      <c r="G525" s="62" t="s">
        <v>57419</v>
      </c>
      <c r="J525" s="62" t="s">
        <v>6350</v>
      </c>
      <c r="K525" s="62" t="s">
        <v>57440</v>
      </c>
      <c r="L525" s="62" t="s">
        <v>6351</v>
      </c>
      <c r="M525" s="62" t="s">
        <v>6352</v>
      </c>
      <c r="N525" s="62" t="s">
        <v>6353</v>
      </c>
      <c r="O525" s="62" t="s">
        <v>6354</v>
      </c>
      <c r="P525" s="62" t="s">
        <v>57461</v>
      </c>
      <c r="Q525" s="62" t="s">
        <v>6355</v>
      </c>
      <c r="R525" s="62" t="s">
        <v>6356</v>
      </c>
      <c r="S525" s="62" t="s">
        <v>6357</v>
      </c>
      <c r="U525" s="62" t="s">
        <v>6358</v>
      </c>
      <c r="V525" s="62" t="s">
        <v>57482</v>
      </c>
      <c r="W525" s="62" t="s">
        <v>6359</v>
      </c>
      <c r="X525" s="62" t="s">
        <v>6360</v>
      </c>
      <c r="Y525" s="62" t="s">
        <v>6361</v>
      </c>
      <c r="Z525" s="62" t="s">
        <v>6362</v>
      </c>
      <c r="AA525" s="62" t="s">
        <v>57503</v>
      </c>
      <c r="AB525" s="62" t="s">
        <v>6363</v>
      </c>
      <c r="AC525" s="62" t="s">
        <v>6364</v>
      </c>
      <c r="AD525" s="62" t="s">
        <v>6365</v>
      </c>
    </row>
    <row r="526" spans="1:30" x14ac:dyDescent="0.25">
      <c r="A526" s="62" t="s">
        <v>109</v>
      </c>
      <c r="C526" s="62" t="s">
        <v>6366</v>
      </c>
      <c r="F526" s="62" t="s">
        <v>1359</v>
      </c>
      <c r="G526" s="62" t="s">
        <v>57420</v>
      </c>
      <c r="J526" s="62" t="s">
        <v>6367</v>
      </c>
      <c r="K526" s="62" t="s">
        <v>57441</v>
      </c>
      <c r="L526" s="62" t="s">
        <v>6368</v>
      </c>
      <c r="M526" s="62" t="s">
        <v>6369</v>
      </c>
      <c r="N526" s="62" t="s">
        <v>6370</v>
      </c>
      <c r="O526" s="62" t="s">
        <v>6371</v>
      </c>
      <c r="P526" s="62" t="s">
        <v>57462</v>
      </c>
      <c r="Q526" s="62" t="s">
        <v>6372</v>
      </c>
      <c r="R526" s="62" t="s">
        <v>6373</v>
      </c>
      <c r="S526" s="62" t="s">
        <v>6374</v>
      </c>
      <c r="U526" s="62" t="s">
        <v>6375</v>
      </c>
      <c r="V526" s="62" t="s">
        <v>57483</v>
      </c>
      <c r="W526" s="62" t="s">
        <v>6376</v>
      </c>
      <c r="X526" s="62" t="s">
        <v>6377</v>
      </c>
      <c r="Y526" s="62" t="s">
        <v>6378</v>
      </c>
      <c r="Z526" s="62" t="s">
        <v>6379</v>
      </c>
      <c r="AA526" s="62" t="s">
        <v>57504</v>
      </c>
      <c r="AB526" s="62" t="s">
        <v>6380</v>
      </c>
      <c r="AC526" s="62" t="s">
        <v>6381</v>
      </c>
      <c r="AD526" s="62" t="s">
        <v>6382</v>
      </c>
    </row>
    <row r="527" spans="1:30" x14ac:dyDescent="0.25">
      <c r="A527" s="62" t="s">
        <v>109</v>
      </c>
      <c r="C527" s="62" t="s">
        <v>6383</v>
      </c>
      <c r="F527" s="62" t="s">
        <v>159</v>
      </c>
      <c r="G527" s="62" t="s">
        <v>57421</v>
      </c>
      <c r="J527" s="62" t="s">
        <v>6384</v>
      </c>
      <c r="K527" s="62" t="s">
        <v>57442</v>
      </c>
      <c r="L527" s="62" t="s">
        <v>6385</v>
      </c>
      <c r="M527" s="62" t="s">
        <v>6386</v>
      </c>
      <c r="N527" s="62" t="s">
        <v>6387</v>
      </c>
      <c r="O527" s="62" t="s">
        <v>6388</v>
      </c>
      <c r="P527" s="62" t="s">
        <v>57463</v>
      </c>
      <c r="Q527" s="62" t="s">
        <v>6389</v>
      </c>
      <c r="R527" s="62" t="s">
        <v>6390</v>
      </c>
      <c r="S527" s="62" t="s">
        <v>6391</v>
      </c>
      <c r="U527" s="62" t="s">
        <v>6392</v>
      </c>
      <c r="V527" s="62" t="s">
        <v>57484</v>
      </c>
      <c r="W527" s="62" t="s">
        <v>6393</v>
      </c>
      <c r="X527" s="62" t="s">
        <v>6394</v>
      </c>
      <c r="Y527" s="62" t="s">
        <v>6395</v>
      </c>
      <c r="Z527" s="62" t="s">
        <v>6396</v>
      </c>
      <c r="AA527" s="62" t="s">
        <v>57505</v>
      </c>
      <c r="AB527" s="62" t="s">
        <v>6397</v>
      </c>
      <c r="AC527" s="62" t="s">
        <v>6398</v>
      </c>
      <c r="AD527" s="62" t="s">
        <v>6399</v>
      </c>
    </row>
    <row r="528" spans="1:30" x14ac:dyDescent="0.25">
      <c r="A528" s="62" t="s">
        <v>109</v>
      </c>
      <c r="C528" s="62" t="s">
        <v>6400</v>
      </c>
      <c r="F528" s="62" t="s">
        <v>855</v>
      </c>
      <c r="G528" s="62" t="s">
        <v>57422</v>
      </c>
      <c r="J528" s="62" t="s">
        <v>6401</v>
      </c>
      <c r="K528" s="62" t="s">
        <v>57443</v>
      </c>
      <c r="L528" s="62" t="s">
        <v>6402</v>
      </c>
      <c r="M528" s="62" t="s">
        <v>6403</v>
      </c>
      <c r="N528" s="62" t="s">
        <v>6404</v>
      </c>
      <c r="O528" s="62" t="s">
        <v>6405</v>
      </c>
      <c r="P528" s="62" t="s">
        <v>57464</v>
      </c>
      <c r="Q528" s="62" t="s">
        <v>6406</v>
      </c>
      <c r="R528" s="62" t="s">
        <v>6407</v>
      </c>
      <c r="S528" s="62" t="s">
        <v>6408</v>
      </c>
      <c r="U528" s="62" t="s">
        <v>6409</v>
      </c>
      <c r="V528" s="62" t="s">
        <v>57485</v>
      </c>
      <c r="W528" s="62" t="s">
        <v>6410</v>
      </c>
      <c r="X528" s="62" t="s">
        <v>6411</v>
      </c>
      <c r="Y528" s="62" t="s">
        <v>6412</v>
      </c>
      <c r="Z528" s="62" t="s">
        <v>6413</v>
      </c>
      <c r="AA528" s="62" t="s">
        <v>57506</v>
      </c>
      <c r="AB528" s="62" t="s">
        <v>6414</v>
      </c>
      <c r="AC528" s="62" t="s">
        <v>6415</v>
      </c>
      <c r="AD528" s="62" t="s">
        <v>6416</v>
      </c>
    </row>
    <row r="529" spans="1:30" x14ac:dyDescent="0.25">
      <c r="A529" s="62" t="s">
        <v>109</v>
      </c>
      <c r="C529" s="62" t="s">
        <v>6417</v>
      </c>
      <c r="F529" s="62" t="s">
        <v>872</v>
      </c>
      <c r="G529" s="62" t="s">
        <v>57423</v>
      </c>
      <c r="J529" s="62" t="s">
        <v>6418</v>
      </c>
      <c r="K529" s="62" t="s">
        <v>57444</v>
      </c>
      <c r="L529" s="62" t="s">
        <v>6419</v>
      </c>
      <c r="M529" s="62" t="s">
        <v>6420</v>
      </c>
      <c r="N529" s="62" t="s">
        <v>6421</v>
      </c>
      <c r="O529" s="62" t="s">
        <v>6422</v>
      </c>
      <c r="P529" s="62" t="s">
        <v>57465</v>
      </c>
      <c r="Q529" s="62" t="s">
        <v>6423</v>
      </c>
      <c r="R529" s="62" t="s">
        <v>6424</v>
      </c>
      <c r="S529" s="62" t="s">
        <v>6425</v>
      </c>
      <c r="U529" s="62" t="s">
        <v>6426</v>
      </c>
      <c r="V529" s="62" t="s">
        <v>57486</v>
      </c>
      <c r="W529" s="62" t="s">
        <v>6427</v>
      </c>
      <c r="X529" s="62" t="s">
        <v>6428</v>
      </c>
      <c r="Y529" s="62" t="s">
        <v>6429</v>
      </c>
      <c r="Z529" s="62" t="s">
        <v>6430</v>
      </c>
      <c r="AA529" s="62" t="s">
        <v>57507</v>
      </c>
      <c r="AB529" s="62" t="s">
        <v>6431</v>
      </c>
      <c r="AC529" s="62" t="s">
        <v>6432</v>
      </c>
      <c r="AD529" s="62" t="s">
        <v>6433</v>
      </c>
    </row>
    <row r="530" spans="1:30" x14ac:dyDescent="0.25">
      <c r="A530" s="62" t="s">
        <v>109</v>
      </c>
      <c r="C530" s="62" t="s">
        <v>6434</v>
      </c>
      <c r="F530" s="62" t="s">
        <v>889</v>
      </c>
      <c r="G530" s="62" t="s">
        <v>57424</v>
      </c>
      <c r="J530" s="62" t="s">
        <v>6435</v>
      </c>
      <c r="K530" s="62" t="s">
        <v>57445</v>
      </c>
      <c r="L530" s="62" t="s">
        <v>6436</v>
      </c>
      <c r="M530" s="62" t="s">
        <v>6437</v>
      </c>
      <c r="N530" s="62" t="s">
        <v>6438</v>
      </c>
      <c r="O530" s="62" t="s">
        <v>6439</v>
      </c>
      <c r="P530" s="62" t="s">
        <v>57466</v>
      </c>
      <c r="Q530" s="62" t="s">
        <v>6440</v>
      </c>
      <c r="R530" s="62" t="s">
        <v>6441</v>
      </c>
      <c r="S530" s="62" t="s">
        <v>6442</v>
      </c>
      <c r="U530" s="62" t="s">
        <v>6443</v>
      </c>
      <c r="V530" s="62" t="s">
        <v>57487</v>
      </c>
      <c r="W530" s="62" t="s">
        <v>6444</v>
      </c>
      <c r="X530" s="62" t="s">
        <v>6445</v>
      </c>
      <c r="Y530" s="62" t="s">
        <v>6446</v>
      </c>
      <c r="Z530" s="62" t="s">
        <v>6447</v>
      </c>
      <c r="AA530" s="62" t="s">
        <v>57508</v>
      </c>
      <c r="AB530" s="62" t="s">
        <v>6448</v>
      </c>
      <c r="AC530" s="62" t="s">
        <v>6449</v>
      </c>
      <c r="AD530" s="62" t="s">
        <v>6450</v>
      </c>
    </row>
    <row r="531" spans="1:30" x14ac:dyDescent="0.25">
      <c r="A531" s="62" t="s">
        <v>109</v>
      </c>
      <c r="C531" s="62" t="s">
        <v>6451</v>
      </c>
      <c r="F531" s="62" t="s">
        <v>925</v>
      </c>
      <c r="G531" s="62" t="s">
        <v>57425</v>
      </c>
      <c r="J531" s="62" t="s">
        <v>6452</v>
      </c>
      <c r="K531" s="62" t="s">
        <v>57446</v>
      </c>
      <c r="L531" s="62" t="s">
        <v>6453</v>
      </c>
      <c r="M531" s="62" t="s">
        <v>6454</v>
      </c>
      <c r="N531" s="62" t="s">
        <v>6455</v>
      </c>
      <c r="O531" s="62" t="s">
        <v>6456</v>
      </c>
      <c r="P531" s="62" t="s">
        <v>57467</v>
      </c>
      <c r="Q531" s="62" t="s">
        <v>6457</v>
      </c>
      <c r="R531" s="62" t="s">
        <v>6458</v>
      </c>
      <c r="S531" s="62" t="s">
        <v>6459</v>
      </c>
      <c r="U531" s="62" t="s">
        <v>6460</v>
      </c>
      <c r="V531" s="62" t="s">
        <v>57488</v>
      </c>
      <c r="W531" s="62" t="s">
        <v>6461</v>
      </c>
      <c r="X531" s="62" t="s">
        <v>6462</v>
      </c>
      <c r="Y531" s="62" t="s">
        <v>6463</v>
      </c>
      <c r="Z531" s="62" t="s">
        <v>6464</v>
      </c>
      <c r="AA531" s="62" t="s">
        <v>57509</v>
      </c>
      <c r="AB531" s="62" t="s">
        <v>6465</v>
      </c>
      <c r="AC531" s="62" t="s">
        <v>6466</v>
      </c>
      <c r="AD531" s="62" t="s">
        <v>6467</v>
      </c>
    </row>
    <row r="532" spans="1:30" x14ac:dyDescent="0.25">
      <c r="A532" s="62" t="s">
        <v>109</v>
      </c>
      <c r="C532" s="62" t="s">
        <v>6468</v>
      </c>
      <c r="F532" s="62" t="s">
        <v>943</v>
      </c>
      <c r="G532" s="62" t="s">
        <v>57426</v>
      </c>
      <c r="J532" s="62" t="s">
        <v>6469</v>
      </c>
      <c r="K532" s="62" t="s">
        <v>57447</v>
      </c>
      <c r="L532" s="62" t="s">
        <v>6470</v>
      </c>
      <c r="M532" s="62" t="s">
        <v>6471</v>
      </c>
      <c r="N532" s="62" t="s">
        <v>6472</v>
      </c>
      <c r="O532" s="62" t="s">
        <v>6473</v>
      </c>
      <c r="P532" s="62" t="s">
        <v>57468</v>
      </c>
      <c r="Q532" s="62" t="s">
        <v>6474</v>
      </c>
      <c r="R532" s="62" t="s">
        <v>6475</v>
      </c>
      <c r="S532" s="62" t="s">
        <v>6476</v>
      </c>
      <c r="U532" s="62" t="s">
        <v>6477</v>
      </c>
      <c r="V532" s="62" t="s">
        <v>57489</v>
      </c>
      <c r="W532" s="62" t="s">
        <v>6478</v>
      </c>
      <c r="X532" s="62" t="s">
        <v>6479</v>
      </c>
      <c r="Y532" s="62" t="s">
        <v>6480</v>
      </c>
      <c r="Z532" s="62" t="s">
        <v>6481</v>
      </c>
      <c r="AA532" s="62" t="s">
        <v>57510</v>
      </c>
      <c r="AB532" s="62" t="s">
        <v>6482</v>
      </c>
      <c r="AC532" s="62" t="s">
        <v>6483</v>
      </c>
      <c r="AD532" s="62" t="s">
        <v>6484</v>
      </c>
    </row>
    <row r="533" spans="1:30" x14ac:dyDescent="0.25">
      <c r="A533" s="62" t="s">
        <v>109</v>
      </c>
      <c r="C533" s="62" t="s">
        <v>6485</v>
      </c>
      <c r="F533" s="62" t="s">
        <v>985</v>
      </c>
      <c r="G533" s="62" t="s">
        <v>57427</v>
      </c>
      <c r="J533" s="62" t="s">
        <v>6486</v>
      </c>
      <c r="K533" s="62" t="s">
        <v>57448</v>
      </c>
      <c r="L533" s="62" t="s">
        <v>6487</v>
      </c>
      <c r="M533" s="62" t="s">
        <v>6488</v>
      </c>
      <c r="N533" s="62" t="s">
        <v>6489</v>
      </c>
      <c r="O533" s="62" t="s">
        <v>6490</v>
      </c>
      <c r="P533" s="62" t="s">
        <v>57469</v>
      </c>
      <c r="Q533" s="62" t="s">
        <v>6491</v>
      </c>
      <c r="R533" s="62" t="s">
        <v>6492</v>
      </c>
      <c r="S533" s="62" t="s">
        <v>6493</v>
      </c>
      <c r="U533" s="62" t="s">
        <v>6494</v>
      </c>
      <c r="V533" s="62" t="s">
        <v>57490</v>
      </c>
      <c r="W533" s="62" t="s">
        <v>6495</v>
      </c>
      <c r="X533" s="62" t="s">
        <v>6496</v>
      </c>
      <c r="Y533" s="62" t="s">
        <v>6497</v>
      </c>
      <c r="Z533" s="62" t="s">
        <v>6498</v>
      </c>
      <c r="AA533" s="62" t="s">
        <v>57511</v>
      </c>
      <c r="AB533" s="62" t="s">
        <v>6499</v>
      </c>
      <c r="AC533" s="62" t="s">
        <v>6500</v>
      </c>
      <c r="AD533" s="62" t="s">
        <v>6501</v>
      </c>
    </row>
    <row r="534" spans="1:30" x14ac:dyDescent="0.25">
      <c r="A534" s="62" t="s">
        <v>109</v>
      </c>
      <c r="C534" s="62" t="s">
        <v>6502</v>
      </c>
      <c r="F534" s="62" t="s">
        <v>1090</v>
      </c>
      <c r="G534" s="62" t="s">
        <v>57428</v>
      </c>
      <c r="J534" s="62" t="s">
        <v>6503</v>
      </c>
      <c r="K534" s="62" t="s">
        <v>57449</v>
      </c>
      <c r="L534" s="62" t="s">
        <v>6504</v>
      </c>
      <c r="M534" s="62" t="s">
        <v>6505</v>
      </c>
      <c r="N534" s="62" t="s">
        <v>6506</v>
      </c>
      <c r="O534" s="62" t="s">
        <v>6507</v>
      </c>
      <c r="P534" s="62" t="s">
        <v>57470</v>
      </c>
      <c r="Q534" s="62" t="s">
        <v>6508</v>
      </c>
      <c r="R534" s="62" t="s">
        <v>6509</v>
      </c>
      <c r="S534" s="62" t="s">
        <v>6510</v>
      </c>
      <c r="U534" s="62" t="s">
        <v>6511</v>
      </c>
      <c r="V534" s="62" t="s">
        <v>57491</v>
      </c>
      <c r="W534" s="62" t="s">
        <v>6512</v>
      </c>
      <c r="X534" s="62" t="s">
        <v>6513</v>
      </c>
      <c r="Y534" s="62" t="s">
        <v>6514</v>
      </c>
      <c r="Z534" s="62" t="s">
        <v>6515</v>
      </c>
      <c r="AA534" s="62" t="s">
        <v>57512</v>
      </c>
      <c r="AB534" s="62" t="s">
        <v>6516</v>
      </c>
      <c r="AC534" s="62" t="s">
        <v>6517</v>
      </c>
      <c r="AD534" s="62" t="s">
        <v>6518</v>
      </c>
    </row>
    <row r="535" spans="1:30" x14ac:dyDescent="0.25">
      <c r="A535" s="62" t="s">
        <v>109</v>
      </c>
      <c r="C535" s="62" t="s">
        <v>6519</v>
      </c>
      <c r="F535" s="62" t="s">
        <v>1100</v>
      </c>
      <c r="G535" s="62" t="s">
        <v>57429</v>
      </c>
      <c r="J535" s="62" t="s">
        <v>6520</v>
      </c>
      <c r="K535" s="62" t="s">
        <v>57450</v>
      </c>
      <c r="L535" s="62" t="s">
        <v>6521</v>
      </c>
      <c r="M535" s="62" t="s">
        <v>6522</v>
      </c>
      <c r="N535" s="62" t="s">
        <v>6523</v>
      </c>
      <c r="O535" s="62" t="s">
        <v>6524</v>
      </c>
      <c r="P535" s="62" t="s">
        <v>57471</v>
      </c>
      <c r="Q535" s="62" t="s">
        <v>6525</v>
      </c>
      <c r="R535" s="62" t="s">
        <v>6526</v>
      </c>
      <c r="S535" s="62" t="s">
        <v>6527</v>
      </c>
      <c r="U535" s="62" t="s">
        <v>6528</v>
      </c>
      <c r="V535" s="62" t="s">
        <v>57492</v>
      </c>
      <c r="W535" s="62" t="s">
        <v>6529</v>
      </c>
      <c r="X535" s="62" t="s">
        <v>6530</v>
      </c>
      <c r="Y535" s="62" t="s">
        <v>6531</v>
      </c>
      <c r="Z535" s="62" t="s">
        <v>6532</v>
      </c>
      <c r="AA535" s="62" t="s">
        <v>57513</v>
      </c>
      <c r="AB535" s="62" t="s">
        <v>6533</v>
      </c>
      <c r="AC535" s="62" t="s">
        <v>6534</v>
      </c>
      <c r="AD535" s="62" t="s">
        <v>6535</v>
      </c>
    </row>
    <row r="536" spans="1:30" x14ac:dyDescent="0.25">
      <c r="A536" s="62" t="s">
        <v>109</v>
      </c>
      <c r="C536" s="62" t="s">
        <v>6536</v>
      </c>
      <c r="F536" s="62" t="s">
        <v>1688</v>
      </c>
      <c r="G536" s="62" t="s">
        <v>57430</v>
      </c>
      <c r="J536" s="62" t="s">
        <v>6537</v>
      </c>
      <c r="K536" s="62" t="s">
        <v>57451</v>
      </c>
      <c r="L536" s="62" t="s">
        <v>6538</v>
      </c>
      <c r="M536" s="62" t="s">
        <v>6539</v>
      </c>
      <c r="N536" s="62" t="s">
        <v>6540</v>
      </c>
      <c r="O536" s="62" t="s">
        <v>6541</v>
      </c>
      <c r="P536" s="62" t="s">
        <v>57472</v>
      </c>
      <c r="Q536" s="62" t="s">
        <v>6542</v>
      </c>
      <c r="R536" s="62" t="s">
        <v>6543</v>
      </c>
      <c r="S536" s="62" t="s">
        <v>6544</v>
      </c>
      <c r="U536" s="62" t="s">
        <v>6545</v>
      </c>
      <c r="V536" s="62" t="s">
        <v>57493</v>
      </c>
      <c r="W536" s="62" t="s">
        <v>6546</v>
      </c>
      <c r="X536" s="62" t="s">
        <v>6547</v>
      </c>
      <c r="Y536" s="62" t="s">
        <v>6548</v>
      </c>
      <c r="Z536" s="62" t="s">
        <v>6549</v>
      </c>
      <c r="AA536" s="62" t="s">
        <v>57514</v>
      </c>
      <c r="AB536" s="62" t="s">
        <v>6550</v>
      </c>
      <c r="AC536" s="62" t="s">
        <v>6551</v>
      </c>
      <c r="AD536" s="62" t="s">
        <v>6552</v>
      </c>
    </row>
    <row r="537" spans="1:30" x14ac:dyDescent="0.25">
      <c r="A537" s="62" t="s">
        <v>109</v>
      </c>
      <c r="C537" s="62" t="s">
        <v>6553</v>
      </c>
      <c r="F537" s="62" t="s">
        <v>1161</v>
      </c>
      <c r="G537" s="62" t="s">
        <v>57431</v>
      </c>
      <c r="J537" s="62" t="s">
        <v>6554</v>
      </c>
      <c r="K537" s="62" t="s">
        <v>57452</v>
      </c>
      <c r="L537" s="62" t="s">
        <v>6555</v>
      </c>
      <c r="M537" s="62" t="s">
        <v>6556</v>
      </c>
      <c r="N537" s="62" t="s">
        <v>6557</v>
      </c>
      <c r="O537" s="62" t="s">
        <v>6558</v>
      </c>
      <c r="P537" s="62" t="s">
        <v>57473</v>
      </c>
      <c r="Q537" s="62" t="s">
        <v>6559</v>
      </c>
      <c r="R537" s="62" t="s">
        <v>6560</v>
      </c>
      <c r="S537" s="62" t="s">
        <v>6561</v>
      </c>
      <c r="U537" s="62" t="s">
        <v>6562</v>
      </c>
      <c r="V537" s="62" t="s">
        <v>57494</v>
      </c>
      <c r="W537" s="62" t="s">
        <v>6563</v>
      </c>
      <c r="X537" s="62" t="s">
        <v>6564</v>
      </c>
      <c r="Y537" s="62" t="s">
        <v>6565</v>
      </c>
      <c r="Z537" s="62" t="s">
        <v>6566</v>
      </c>
      <c r="AA537" s="62" t="s">
        <v>57515</v>
      </c>
      <c r="AB537" s="62" t="s">
        <v>6567</v>
      </c>
      <c r="AC537" s="62" t="s">
        <v>6568</v>
      </c>
      <c r="AD537" s="62" t="s">
        <v>6569</v>
      </c>
    </row>
    <row r="538" spans="1:30" x14ac:dyDescent="0.25">
      <c r="A538" s="62" t="s">
        <v>109</v>
      </c>
      <c r="C538" s="62" t="s">
        <v>6570</v>
      </c>
      <c r="F538" s="62" t="s">
        <v>1178</v>
      </c>
      <c r="G538" s="62" t="s">
        <v>57432</v>
      </c>
      <c r="J538" s="62" t="s">
        <v>6571</v>
      </c>
      <c r="K538" s="62" t="s">
        <v>57453</v>
      </c>
      <c r="L538" s="62" t="s">
        <v>6572</v>
      </c>
      <c r="M538" s="62" t="s">
        <v>6573</v>
      </c>
      <c r="N538" s="62" t="s">
        <v>6574</v>
      </c>
      <c r="O538" s="62" t="s">
        <v>6575</v>
      </c>
      <c r="P538" s="62" t="s">
        <v>57474</v>
      </c>
      <c r="Q538" s="62" t="s">
        <v>6576</v>
      </c>
      <c r="R538" s="62" t="s">
        <v>6577</v>
      </c>
      <c r="S538" s="62" t="s">
        <v>6578</v>
      </c>
      <c r="U538" s="62" t="s">
        <v>6579</v>
      </c>
      <c r="V538" s="62" t="s">
        <v>57495</v>
      </c>
      <c r="W538" s="62" t="s">
        <v>6580</v>
      </c>
      <c r="X538" s="62" t="s">
        <v>6581</v>
      </c>
      <c r="Y538" s="62" t="s">
        <v>6582</v>
      </c>
      <c r="Z538" s="62" t="s">
        <v>6583</v>
      </c>
      <c r="AA538" s="62" t="s">
        <v>57516</v>
      </c>
      <c r="AB538" s="62" t="s">
        <v>6584</v>
      </c>
      <c r="AC538" s="62" t="s">
        <v>6585</v>
      </c>
      <c r="AD538" s="62" t="s">
        <v>6586</v>
      </c>
    </row>
    <row r="539" spans="1:30" x14ac:dyDescent="0.25">
      <c r="A539" s="62" t="s">
        <v>109</v>
      </c>
      <c r="C539" s="62" t="s">
        <v>6587</v>
      </c>
      <c r="F539" s="62" t="s">
        <v>1206</v>
      </c>
      <c r="G539" s="62" t="s">
        <v>57433</v>
      </c>
      <c r="J539" s="62" t="s">
        <v>6588</v>
      </c>
      <c r="K539" s="62" t="s">
        <v>57454</v>
      </c>
      <c r="L539" s="62" t="s">
        <v>6589</v>
      </c>
      <c r="M539" s="62" t="s">
        <v>6590</v>
      </c>
      <c r="N539" s="62" t="s">
        <v>6591</v>
      </c>
      <c r="O539" s="62" t="s">
        <v>6592</v>
      </c>
      <c r="P539" s="62" t="s">
        <v>57475</v>
      </c>
      <c r="Q539" s="62" t="s">
        <v>6593</v>
      </c>
      <c r="R539" s="62" t="s">
        <v>6594</v>
      </c>
      <c r="S539" s="62" t="s">
        <v>6595</v>
      </c>
      <c r="U539" s="62" t="s">
        <v>6596</v>
      </c>
      <c r="V539" s="62" t="s">
        <v>57496</v>
      </c>
      <c r="W539" s="62" t="s">
        <v>6597</v>
      </c>
      <c r="X539" s="62" t="s">
        <v>6598</v>
      </c>
      <c r="Y539" s="62" t="s">
        <v>6599</v>
      </c>
      <c r="Z539" s="62" t="s">
        <v>6600</v>
      </c>
      <c r="AA539" s="62" t="s">
        <v>57517</v>
      </c>
      <c r="AB539" s="62" t="s">
        <v>6601</v>
      </c>
      <c r="AC539" s="62" t="s">
        <v>6602</v>
      </c>
      <c r="AD539" s="62" t="s">
        <v>6603</v>
      </c>
    </row>
    <row r="540" spans="1:30" x14ac:dyDescent="0.25">
      <c r="A540" s="62" t="s">
        <v>109</v>
      </c>
      <c r="C540" s="62" t="s">
        <v>6604</v>
      </c>
      <c r="F540" s="62" t="s">
        <v>1223</v>
      </c>
      <c r="G540" s="62" t="s">
        <v>57434</v>
      </c>
      <c r="J540" s="62" t="s">
        <v>6605</v>
      </c>
      <c r="K540" s="62" t="s">
        <v>57455</v>
      </c>
      <c r="L540" s="62" t="s">
        <v>6606</v>
      </c>
      <c r="M540" s="62" t="s">
        <v>6607</v>
      </c>
      <c r="N540" s="62" t="s">
        <v>6608</v>
      </c>
      <c r="O540" s="62" t="s">
        <v>6609</v>
      </c>
      <c r="P540" s="62" t="s">
        <v>57476</v>
      </c>
      <c r="Q540" s="62" t="s">
        <v>6610</v>
      </c>
      <c r="R540" s="62" t="s">
        <v>6611</v>
      </c>
      <c r="S540" s="62" t="s">
        <v>6612</v>
      </c>
      <c r="U540" s="62" t="s">
        <v>6613</v>
      </c>
      <c r="V540" s="62" t="s">
        <v>57497</v>
      </c>
      <c r="W540" s="62" t="s">
        <v>6614</v>
      </c>
      <c r="X540" s="62" t="s">
        <v>6615</v>
      </c>
      <c r="Y540" s="62" t="s">
        <v>6616</v>
      </c>
      <c r="Z540" s="62" t="s">
        <v>6617</v>
      </c>
      <c r="AA540" s="62" t="s">
        <v>57518</v>
      </c>
      <c r="AB540" s="62" t="s">
        <v>6618</v>
      </c>
      <c r="AC540" s="62" t="s">
        <v>6619</v>
      </c>
      <c r="AD540" s="62" t="s">
        <v>6620</v>
      </c>
    </row>
    <row r="541" spans="1:30" x14ac:dyDescent="0.25">
      <c r="A541" s="62" t="s">
        <v>109</v>
      </c>
      <c r="C541" s="62" t="s">
        <v>6621</v>
      </c>
      <c r="F541" s="62" t="s">
        <v>1240</v>
      </c>
      <c r="G541" s="62" t="s">
        <v>57435</v>
      </c>
      <c r="J541" s="62" t="s">
        <v>6622</v>
      </c>
      <c r="K541" s="62" t="s">
        <v>57456</v>
      </c>
      <c r="L541" s="62" t="s">
        <v>6623</v>
      </c>
      <c r="M541" s="62" t="s">
        <v>6624</v>
      </c>
      <c r="N541" s="62" t="s">
        <v>6625</v>
      </c>
      <c r="O541" s="62" t="s">
        <v>6626</v>
      </c>
      <c r="P541" s="62" t="s">
        <v>57477</v>
      </c>
      <c r="Q541" s="62" t="s">
        <v>6627</v>
      </c>
      <c r="R541" s="62" t="s">
        <v>6628</v>
      </c>
      <c r="S541" s="62" t="s">
        <v>6629</v>
      </c>
      <c r="U541" s="62" t="s">
        <v>6630</v>
      </c>
      <c r="V541" s="62" t="s">
        <v>57498</v>
      </c>
      <c r="W541" s="62" t="s">
        <v>6631</v>
      </c>
      <c r="X541" s="62" t="s">
        <v>6632</v>
      </c>
      <c r="Y541" s="62" t="s">
        <v>6633</v>
      </c>
      <c r="Z541" s="62" t="s">
        <v>6634</v>
      </c>
      <c r="AA541" s="62" t="s">
        <v>57519</v>
      </c>
      <c r="AB541" s="62" t="s">
        <v>6635</v>
      </c>
      <c r="AC541" s="62" t="s">
        <v>6636</v>
      </c>
      <c r="AD541" s="62" t="s">
        <v>6637</v>
      </c>
    </row>
    <row r="542" spans="1:30" x14ac:dyDescent="0.25">
      <c r="A542" s="62" t="s">
        <v>109</v>
      </c>
      <c r="C542" s="62" t="s">
        <v>6638</v>
      </c>
      <c r="F542" s="62" t="s">
        <v>1249</v>
      </c>
      <c r="G542" s="62" t="s">
        <v>57436</v>
      </c>
      <c r="J542" s="62" t="s">
        <v>6639</v>
      </c>
      <c r="K542" s="62" t="s">
        <v>57457</v>
      </c>
      <c r="L542" s="62" t="s">
        <v>6640</v>
      </c>
      <c r="M542" s="62" t="s">
        <v>6641</v>
      </c>
      <c r="N542" s="62" t="s">
        <v>6642</v>
      </c>
      <c r="O542" s="62" t="s">
        <v>6643</v>
      </c>
      <c r="P542" s="62" t="s">
        <v>57478</v>
      </c>
      <c r="Q542" s="62" t="s">
        <v>6644</v>
      </c>
      <c r="R542" s="62" t="s">
        <v>6645</v>
      </c>
      <c r="S542" s="62" t="s">
        <v>6646</v>
      </c>
      <c r="U542" s="62" t="s">
        <v>6647</v>
      </c>
      <c r="V542" s="62" t="s">
        <v>57499</v>
      </c>
      <c r="W542" s="62" t="s">
        <v>6648</v>
      </c>
      <c r="X542" s="62" t="s">
        <v>6649</v>
      </c>
      <c r="Y542" s="62" t="s">
        <v>6650</v>
      </c>
      <c r="Z542" s="62" t="s">
        <v>6651</v>
      </c>
      <c r="AA542" s="62" t="s">
        <v>57520</v>
      </c>
      <c r="AB542" s="62" t="s">
        <v>6652</v>
      </c>
      <c r="AC542" s="62" t="s">
        <v>6653</v>
      </c>
      <c r="AD542" s="62" t="s">
        <v>6654</v>
      </c>
    </row>
    <row r="543" spans="1:30" x14ac:dyDescent="0.25">
      <c r="A543" s="62" t="s">
        <v>109</v>
      </c>
      <c r="C543" s="62" t="s">
        <v>6655</v>
      </c>
      <c r="F543" s="62" t="s">
        <v>1287</v>
      </c>
      <c r="G543" s="62" t="s">
        <v>57437</v>
      </c>
      <c r="J543" s="62" t="s">
        <v>6656</v>
      </c>
      <c r="K543" s="62" t="s">
        <v>57458</v>
      </c>
      <c r="L543" s="62" t="s">
        <v>6657</v>
      </c>
      <c r="M543" s="62" t="s">
        <v>6658</v>
      </c>
      <c r="N543" s="62" t="s">
        <v>6659</v>
      </c>
      <c r="O543" s="62" t="s">
        <v>6660</v>
      </c>
      <c r="P543" s="62" t="s">
        <v>57479</v>
      </c>
      <c r="Q543" s="62" t="s">
        <v>6661</v>
      </c>
      <c r="R543" s="62" t="s">
        <v>6662</v>
      </c>
      <c r="S543" s="62" t="s">
        <v>6663</v>
      </c>
      <c r="U543" s="62" t="s">
        <v>6664</v>
      </c>
      <c r="V543" s="62" t="s">
        <v>57500</v>
      </c>
      <c r="W543" s="62" t="s">
        <v>6665</v>
      </c>
      <c r="X543" s="62" t="s">
        <v>6666</v>
      </c>
      <c r="Y543" s="62" t="s">
        <v>6667</v>
      </c>
      <c r="Z543" s="62" t="s">
        <v>6668</v>
      </c>
      <c r="AA543" s="62" t="s">
        <v>57521</v>
      </c>
      <c r="AB543" s="62" t="s">
        <v>6669</v>
      </c>
      <c r="AC543" s="62" t="s">
        <v>6670</v>
      </c>
      <c r="AD543" s="62" t="s">
        <v>6671</v>
      </c>
    </row>
    <row r="544" spans="1:30" x14ac:dyDescent="0.25">
      <c r="A544" s="62" t="s">
        <v>109</v>
      </c>
      <c r="C544" s="62" t="s">
        <v>6332</v>
      </c>
    </row>
    <row r="545" spans="1:30" x14ac:dyDescent="0.25">
      <c r="A545" s="62" t="s">
        <v>109</v>
      </c>
      <c r="C545" s="62" t="s">
        <v>6672</v>
      </c>
      <c r="G545" s="62" t="s">
        <v>41070</v>
      </c>
      <c r="J545" s="62" t="s">
        <v>41071</v>
      </c>
      <c r="K545" s="62" t="s">
        <v>41072</v>
      </c>
      <c r="L545" s="62" t="s">
        <v>41073</v>
      </c>
      <c r="M545" s="62" t="s">
        <v>6673</v>
      </c>
      <c r="N545" s="62" t="s">
        <v>6674</v>
      </c>
      <c r="O545" s="62" t="s">
        <v>41074</v>
      </c>
      <c r="P545" s="62" t="s">
        <v>41075</v>
      </c>
      <c r="Q545" s="62" t="s">
        <v>41076</v>
      </c>
      <c r="R545" s="62" t="s">
        <v>6675</v>
      </c>
      <c r="S545" s="62" t="s">
        <v>6676</v>
      </c>
      <c r="U545" s="62" t="s">
        <v>41077</v>
      </c>
      <c r="V545" s="62" t="s">
        <v>41078</v>
      </c>
      <c r="W545" s="62" t="s">
        <v>41079</v>
      </c>
      <c r="X545" s="62" t="s">
        <v>6677</v>
      </c>
      <c r="Y545" s="62" t="s">
        <v>6678</v>
      </c>
      <c r="Z545" s="62" t="s">
        <v>41080</v>
      </c>
      <c r="AA545" s="62" t="s">
        <v>41081</v>
      </c>
      <c r="AB545" s="62" t="s">
        <v>41082</v>
      </c>
      <c r="AC545" s="62" t="s">
        <v>6679</v>
      </c>
      <c r="AD545" s="62" t="s">
        <v>6680</v>
      </c>
    </row>
    <row r="546" spans="1:30" x14ac:dyDescent="0.25">
      <c r="A546" s="62" t="s">
        <v>109</v>
      </c>
    </row>
    <row r="547" spans="1:30" x14ac:dyDescent="0.25">
      <c r="A547" s="62" t="s">
        <v>109</v>
      </c>
      <c r="C547" s="62" t="s">
        <v>41083</v>
      </c>
      <c r="E547" s="62" t="s">
        <v>236</v>
      </c>
      <c r="G547" s="62" t="s">
        <v>41084</v>
      </c>
    </row>
    <row r="548" spans="1:30" x14ac:dyDescent="0.25">
      <c r="A548" s="62" t="s">
        <v>109</v>
      </c>
      <c r="C548" s="62" t="s">
        <v>6681</v>
      </c>
    </row>
    <row r="549" spans="1:30" x14ac:dyDescent="0.25">
      <c r="A549" s="62" t="s">
        <v>109</v>
      </c>
      <c r="C549" s="62" t="s">
        <v>6682</v>
      </c>
      <c r="F549" s="62" t="s">
        <v>41085</v>
      </c>
      <c r="G549" s="62" t="s">
        <v>57242</v>
      </c>
      <c r="J549" s="62" t="s">
        <v>6683</v>
      </c>
      <c r="K549" s="62" t="s">
        <v>57277</v>
      </c>
      <c r="L549" s="62" t="s">
        <v>6684</v>
      </c>
      <c r="M549" s="62" t="s">
        <v>6685</v>
      </c>
      <c r="N549" s="62" t="s">
        <v>6686</v>
      </c>
      <c r="O549" s="62" t="s">
        <v>6687</v>
      </c>
      <c r="P549" s="62" t="s">
        <v>57312</v>
      </c>
      <c r="Q549" s="62" t="s">
        <v>6688</v>
      </c>
      <c r="R549" s="62" t="s">
        <v>6689</v>
      </c>
      <c r="S549" s="62" t="s">
        <v>6690</v>
      </c>
      <c r="U549" s="62" t="s">
        <v>6691</v>
      </c>
      <c r="V549" s="62" t="s">
        <v>57347</v>
      </c>
      <c r="W549" s="62" t="s">
        <v>6692</v>
      </c>
      <c r="X549" s="62" t="s">
        <v>6693</v>
      </c>
      <c r="Y549" s="62" t="s">
        <v>6694</v>
      </c>
      <c r="Z549" s="62" t="s">
        <v>6695</v>
      </c>
      <c r="AA549" s="62" t="s">
        <v>57382</v>
      </c>
      <c r="AB549" s="62" t="s">
        <v>6696</v>
      </c>
      <c r="AC549" s="62" t="s">
        <v>6697</v>
      </c>
      <c r="AD549" s="62" t="s">
        <v>6698</v>
      </c>
    </row>
    <row r="550" spans="1:30" x14ac:dyDescent="0.25">
      <c r="A550" s="62" t="s">
        <v>109</v>
      </c>
      <c r="C550" s="62" t="s">
        <v>6699</v>
      </c>
      <c r="F550" s="62" t="s">
        <v>748</v>
      </c>
      <c r="G550" s="62" t="s">
        <v>57243</v>
      </c>
      <c r="J550" s="62" t="s">
        <v>6700</v>
      </c>
      <c r="K550" s="62" t="s">
        <v>57278</v>
      </c>
      <c r="L550" s="62" t="s">
        <v>6701</v>
      </c>
      <c r="M550" s="62" t="s">
        <v>6702</v>
      </c>
      <c r="N550" s="62" t="s">
        <v>6703</v>
      </c>
      <c r="O550" s="62" t="s">
        <v>6704</v>
      </c>
      <c r="P550" s="62" t="s">
        <v>57313</v>
      </c>
      <c r="Q550" s="62" t="s">
        <v>6705</v>
      </c>
      <c r="R550" s="62" t="s">
        <v>6706</v>
      </c>
      <c r="S550" s="62" t="s">
        <v>6707</v>
      </c>
      <c r="U550" s="62" t="s">
        <v>6708</v>
      </c>
      <c r="V550" s="62" t="s">
        <v>57348</v>
      </c>
      <c r="W550" s="62" t="s">
        <v>6709</v>
      </c>
      <c r="X550" s="62" t="s">
        <v>6710</v>
      </c>
      <c r="Y550" s="62" t="s">
        <v>6711</v>
      </c>
      <c r="Z550" s="62" t="s">
        <v>6712</v>
      </c>
      <c r="AA550" s="62" t="s">
        <v>57383</v>
      </c>
      <c r="AB550" s="62" t="s">
        <v>6713</v>
      </c>
      <c r="AC550" s="62" t="s">
        <v>6714</v>
      </c>
      <c r="AD550" s="62" t="s">
        <v>6715</v>
      </c>
    </row>
    <row r="551" spans="1:30" x14ac:dyDescent="0.25">
      <c r="A551" s="62" t="s">
        <v>109</v>
      </c>
      <c r="C551" s="62" t="s">
        <v>6716</v>
      </c>
      <c r="F551" s="62" t="s">
        <v>142</v>
      </c>
      <c r="G551" s="62" t="s">
        <v>57244</v>
      </c>
      <c r="J551" s="62" t="s">
        <v>6717</v>
      </c>
      <c r="K551" s="62" t="s">
        <v>57279</v>
      </c>
      <c r="L551" s="62" t="s">
        <v>6718</v>
      </c>
      <c r="M551" s="62" t="s">
        <v>6719</v>
      </c>
      <c r="N551" s="62" t="s">
        <v>6720</v>
      </c>
      <c r="O551" s="62" t="s">
        <v>6721</v>
      </c>
      <c r="P551" s="62" t="s">
        <v>57314</v>
      </c>
      <c r="Q551" s="62" t="s">
        <v>6722</v>
      </c>
      <c r="R551" s="62" t="s">
        <v>6723</v>
      </c>
      <c r="S551" s="62" t="s">
        <v>6724</v>
      </c>
      <c r="U551" s="62" t="s">
        <v>6725</v>
      </c>
      <c r="V551" s="62" t="s">
        <v>57349</v>
      </c>
      <c r="W551" s="62" t="s">
        <v>6726</v>
      </c>
      <c r="X551" s="62" t="s">
        <v>6727</v>
      </c>
      <c r="Y551" s="62" t="s">
        <v>6728</v>
      </c>
      <c r="Z551" s="62" t="s">
        <v>6729</v>
      </c>
      <c r="AA551" s="62" t="s">
        <v>57384</v>
      </c>
      <c r="AB551" s="62" t="s">
        <v>6730</v>
      </c>
      <c r="AC551" s="62" t="s">
        <v>6731</v>
      </c>
      <c r="AD551" s="62" t="s">
        <v>6732</v>
      </c>
    </row>
    <row r="552" spans="1:30" x14ac:dyDescent="0.25">
      <c r="A552" s="62" t="s">
        <v>109</v>
      </c>
      <c r="C552" s="62" t="s">
        <v>6733</v>
      </c>
      <c r="F552" s="62" t="s">
        <v>785</v>
      </c>
      <c r="G552" s="62" t="s">
        <v>57245</v>
      </c>
      <c r="J552" s="62" t="s">
        <v>6734</v>
      </c>
      <c r="K552" s="62" t="s">
        <v>57280</v>
      </c>
      <c r="L552" s="62" t="s">
        <v>6735</v>
      </c>
      <c r="M552" s="62" t="s">
        <v>6736</v>
      </c>
      <c r="N552" s="62" t="s">
        <v>6737</v>
      </c>
      <c r="O552" s="62" t="s">
        <v>6738</v>
      </c>
      <c r="P552" s="62" t="s">
        <v>57315</v>
      </c>
      <c r="Q552" s="62" t="s">
        <v>6739</v>
      </c>
      <c r="R552" s="62" t="s">
        <v>6740</v>
      </c>
      <c r="S552" s="62" t="s">
        <v>6741</v>
      </c>
      <c r="U552" s="62" t="s">
        <v>6742</v>
      </c>
      <c r="V552" s="62" t="s">
        <v>57350</v>
      </c>
      <c r="W552" s="62" t="s">
        <v>6743</v>
      </c>
      <c r="X552" s="62" t="s">
        <v>6744</v>
      </c>
      <c r="Y552" s="62" t="s">
        <v>6745</v>
      </c>
      <c r="Z552" s="62" t="s">
        <v>6746</v>
      </c>
      <c r="AA552" s="62" t="s">
        <v>57385</v>
      </c>
      <c r="AB552" s="62" t="s">
        <v>6747</v>
      </c>
      <c r="AC552" s="62" t="s">
        <v>6748</v>
      </c>
      <c r="AD552" s="62" t="s">
        <v>6749</v>
      </c>
    </row>
    <row r="553" spans="1:30" x14ac:dyDescent="0.25">
      <c r="A553" s="62" t="s">
        <v>109</v>
      </c>
      <c r="C553" s="62" t="s">
        <v>6750</v>
      </c>
      <c r="F553" s="62" t="s">
        <v>159</v>
      </c>
      <c r="G553" s="62" t="s">
        <v>57246</v>
      </c>
      <c r="J553" s="62" t="s">
        <v>6751</v>
      </c>
      <c r="K553" s="62" t="s">
        <v>57281</v>
      </c>
      <c r="L553" s="62" t="s">
        <v>6752</v>
      </c>
      <c r="M553" s="62" t="s">
        <v>6753</v>
      </c>
      <c r="N553" s="62" t="s">
        <v>6754</v>
      </c>
      <c r="O553" s="62" t="s">
        <v>6755</v>
      </c>
      <c r="P553" s="62" t="s">
        <v>57316</v>
      </c>
      <c r="Q553" s="62" t="s">
        <v>6756</v>
      </c>
      <c r="R553" s="62" t="s">
        <v>6757</v>
      </c>
      <c r="S553" s="62" t="s">
        <v>6758</v>
      </c>
      <c r="U553" s="62" t="s">
        <v>6759</v>
      </c>
      <c r="V553" s="62" t="s">
        <v>57351</v>
      </c>
      <c r="W553" s="62" t="s">
        <v>6760</v>
      </c>
      <c r="X553" s="62" t="s">
        <v>6761</v>
      </c>
      <c r="Y553" s="62" t="s">
        <v>6762</v>
      </c>
      <c r="Z553" s="62" t="s">
        <v>6763</v>
      </c>
      <c r="AA553" s="62" t="s">
        <v>57386</v>
      </c>
      <c r="AB553" s="62" t="s">
        <v>6764</v>
      </c>
      <c r="AC553" s="62" t="s">
        <v>6765</v>
      </c>
      <c r="AD553" s="62" t="s">
        <v>6766</v>
      </c>
    </row>
    <row r="554" spans="1:30" x14ac:dyDescent="0.25">
      <c r="A554" s="62" t="s">
        <v>109</v>
      </c>
      <c r="C554" s="62" t="s">
        <v>6767</v>
      </c>
      <c r="F554" s="62" t="s">
        <v>827</v>
      </c>
      <c r="G554" s="62" t="s">
        <v>57247</v>
      </c>
      <c r="J554" s="62" t="s">
        <v>6768</v>
      </c>
      <c r="K554" s="62" t="s">
        <v>57282</v>
      </c>
      <c r="L554" s="62" t="s">
        <v>6769</v>
      </c>
      <c r="M554" s="62" t="s">
        <v>6770</v>
      </c>
      <c r="N554" s="62" t="s">
        <v>6771</v>
      </c>
      <c r="O554" s="62" t="s">
        <v>6772</v>
      </c>
      <c r="P554" s="62" t="s">
        <v>57317</v>
      </c>
      <c r="Q554" s="62" t="s">
        <v>6773</v>
      </c>
      <c r="R554" s="62" t="s">
        <v>6774</v>
      </c>
      <c r="S554" s="62" t="s">
        <v>6775</v>
      </c>
      <c r="U554" s="62" t="s">
        <v>6776</v>
      </c>
      <c r="V554" s="62" t="s">
        <v>57352</v>
      </c>
      <c r="W554" s="62" t="s">
        <v>6777</v>
      </c>
      <c r="X554" s="62" t="s">
        <v>6778</v>
      </c>
      <c r="Y554" s="62" t="s">
        <v>6779</v>
      </c>
      <c r="Z554" s="62" t="s">
        <v>6780</v>
      </c>
      <c r="AA554" s="62" t="s">
        <v>57387</v>
      </c>
      <c r="AB554" s="62" t="s">
        <v>6781</v>
      </c>
      <c r="AC554" s="62" t="s">
        <v>6782</v>
      </c>
      <c r="AD554" s="62" t="s">
        <v>6783</v>
      </c>
    </row>
    <row r="555" spans="1:30" x14ac:dyDescent="0.25">
      <c r="A555" s="62" t="s">
        <v>109</v>
      </c>
      <c r="C555" s="62" t="s">
        <v>6784</v>
      </c>
      <c r="F555" s="62" t="s">
        <v>837</v>
      </c>
      <c r="G555" s="62" t="s">
        <v>57248</v>
      </c>
      <c r="J555" s="62" t="s">
        <v>6785</v>
      </c>
      <c r="K555" s="62" t="s">
        <v>57283</v>
      </c>
      <c r="L555" s="62" t="s">
        <v>6786</v>
      </c>
      <c r="M555" s="62" t="s">
        <v>6787</v>
      </c>
      <c r="N555" s="62" t="s">
        <v>6788</v>
      </c>
      <c r="O555" s="62" t="s">
        <v>6789</v>
      </c>
      <c r="P555" s="62" t="s">
        <v>57318</v>
      </c>
      <c r="Q555" s="62" t="s">
        <v>6790</v>
      </c>
      <c r="R555" s="62" t="s">
        <v>6791</v>
      </c>
      <c r="S555" s="62" t="s">
        <v>6792</v>
      </c>
      <c r="U555" s="62" t="s">
        <v>6793</v>
      </c>
      <c r="V555" s="62" t="s">
        <v>57353</v>
      </c>
      <c r="W555" s="62" t="s">
        <v>6794</v>
      </c>
      <c r="X555" s="62" t="s">
        <v>6795</v>
      </c>
      <c r="Y555" s="62" t="s">
        <v>6796</v>
      </c>
      <c r="Z555" s="62" t="s">
        <v>6797</v>
      </c>
      <c r="AA555" s="62" t="s">
        <v>57388</v>
      </c>
      <c r="AB555" s="62" t="s">
        <v>6798</v>
      </c>
      <c r="AC555" s="62" t="s">
        <v>6799</v>
      </c>
      <c r="AD555" s="62" t="s">
        <v>6800</v>
      </c>
    </row>
    <row r="556" spans="1:30" x14ac:dyDescent="0.25">
      <c r="A556" s="62" t="s">
        <v>109</v>
      </c>
      <c r="C556" s="62" t="s">
        <v>6801</v>
      </c>
      <c r="F556" s="62" t="s">
        <v>855</v>
      </c>
      <c r="G556" s="62" t="s">
        <v>57249</v>
      </c>
      <c r="J556" s="62" t="s">
        <v>6802</v>
      </c>
      <c r="K556" s="62" t="s">
        <v>57284</v>
      </c>
      <c r="L556" s="62" t="s">
        <v>6803</v>
      </c>
      <c r="M556" s="62" t="s">
        <v>6804</v>
      </c>
      <c r="N556" s="62" t="s">
        <v>6805</v>
      </c>
      <c r="O556" s="62" t="s">
        <v>6806</v>
      </c>
      <c r="P556" s="62" t="s">
        <v>57319</v>
      </c>
      <c r="Q556" s="62" t="s">
        <v>6807</v>
      </c>
      <c r="R556" s="62" t="s">
        <v>6808</v>
      </c>
      <c r="S556" s="62" t="s">
        <v>6809</v>
      </c>
      <c r="U556" s="62" t="s">
        <v>6810</v>
      </c>
      <c r="V556" s="62" t="s">
        <v>57354</v>
      </c>
      <c r="W556" s="62" t="s">
        <v>6811</v>
      </c>
      <c r="X556" s="62" t="s">
        <v>6812</v>
      </c>
      <c r="Y556" s="62" t="s">
        <v>6813</v>
      </c>
      <c r="Z556" s="62" t="s">
        <v>6814</v>
      </c>
      <c r="AA556" s="62" t="s">
        <v>57389</v>
      </c>
      <c r="AB556" s="62" t="s">
        <v>6815</v>
      </c>
      <c r="AC556" s="62" t="s">
        <v>6816</v>
      </c>
      <c r="AD556" s="62" t="s">
        <v>6817</v>
      </c>
    </row>
    <row r="557" spans="1:30" x14ac:dyDescent="0.25">
      <c r="A557" s="62" t="s">
        <v>109</v>
      </c>
      <c r="C557" s="62" t="s">
        <v>6818</v>
      </c>
      <c r="F557" s="62" t="s">
        <v>872</v>
      </c>
      <c r="G557" s="62" t="s">
        <v>57250</v>
      </c>
      <c r="J557" s="62" t="s">
        <v>6819</v>
      </c>
      <c r="K557" s="62" t="s">
        <v>57285</v>
      </c>
      <c r="L557" s="62" t="s">
        <v>6820</v>
      </c>
      <c r="M557" s="62" t="s">
        <v>6821</v>
      </c>
      <c r="N557" s="62" t="s">
        <v>6822</v>
      </c>
      <c r="O557" s="62" t="s">
        <v>6823</v>
      </c>
      <c r="P557" s="62" t="s">
        <v>57320</v>
      </c>
      <c r="Q557" s="62" t="s">
        <v>6824</v>
      </c>
      <c r="R557" s="62" t="s">
        <v>6825</v>
      </c>
      <c r="S557" s="62" t="s">
        <v>6826</v>
      </c>
      <c r="U557" s="62" t="s">
        <v>6827</v>
      </c>
      <c r="V557" s="62" t="s">
        <v>57355</v>
      </c>
      <c r="W557" s="62" t="s">
        <v>6828</v>
      </c>
      <c r="X557" s="62" t="s">
        <v>6829</v>
      </c>
      <c r="Y557" s="62" t="s">
        <v>6830</v>
      </c>
      <c r="Z557" s="62" t="s">
        <v>6831</v>
      </c>
      <c r="AA557" s="62" t="s">
        <v>57390</v>
      </c>
      <c r="AB557" s="62" t="s">
        <v>6832</v>
      </c>
      <c r="AC557" s="62" t="s">
        <v>6833</v>
      </c>
      <c r="AD557" s="62" t="s">
        <v>6834</v>
      </c>
    </row>
    <row r="558" spans="1:30" x14ac:dyDescent="0.25">
      <c r="A558" s="62" t="s">
        <v>109</v>
      </c>
      <c r="C558" s="62" t="s">
        <v>6835</v>
      </c>
      <c r="F558" s="62" t="s">
        <v>889</v>
      </c>
      <c r="G558" s="62" t="s">
        <v>57251</v>
      </c>
      <c r="J558" s="62" t="s">
        <v>6836</v>
      </c>
      <c r="K558" s="62" t="s">
        <v>57286</v>
      </c>
      <c r="L558" s="62" t="s">
        <v>6837</v>
      </c>
      <c r="M558" s="62" t="s">
        <v>6838</v>
      </c>
      <c r="N558" s="62" t="s">
        <v>6839</v>
      </c>
      <c r="O558" s="62" t="s">
        <v>6840</v>
      </c>
      <c r="P558" s="62" t="s">
        <v>57321</v>
      </c>
      <c r="Q558" s="62" t="s">
        <v>6841</v>
      </c>
      <c r="R558" s="62" t="s">
        <v>6842</v>
      </c>
      <c r="S558" s="62" t="s">
        <v>6843</v>
      </c>
      <c r="U558" s="62" t="s">
        <v>6844</v>
      </c>
      <c r="V558" s="62" t="s">
        <v>57356</v>
      </c>
      <c r="W558" s="62" t="s">
        <v>6845</v>
      </c>
      <c r="X558" s="62" t="s">
        <v>6846</v>
      </c>
      <c r="Y558" s="62" t="s">
        <v>6847</v>
      </c>
      <c r="Z558" s="62" t="s">
        <v>6848</v>
      </c>
      <c r="AA558" s="62" t="s">
        <v>57391</v>
      </c>
      <c r="AB558" s="62" t="s">
        <v>6849</v>
      </c>
      <c r="AC558" s="62" t="s">
        <v>6850</v>
      </c>
      <c r="AD558" s="62" t="s">
        <v>6851</v>
      </c>
    </row>
    <row r="559" spans="1:30" x14ac:dyDescent="0.25">
      <c r="A559" s="62" t="s">
        <v>109</v>
      </c>
      <c r="C559" s="62" t="s">
        <v>6852</v>
      </c>
      <c r="F559" s="62" t="s">
        <v>898</v>
      </c>
      <c r="G559" s="62" t="s">
        <v>57252</v>
      </c>
      <c r="J559" s="62" t="s">
        <v>6853</v>
      </c>
      <c r="K559" s="62" t="s">
        <v>57287</v>
      </c>
      <c r="L559" s="62" t="s">
        <v>6854</v>
      </c>
      <c r="M559" s="62" t="s">
        <v>6855</v>
      </c>
      <c r="N559" s="62" t="s">
        <v>6856</v>
      </c>
      <c r="O559" s="62" t="s">
        <v>6857</v>
      </c>
      <c r="P559" s="62" t="s">
        <v>57322</v>
      </c>
      <c r="Q559" s="62" t="s">
        <v>6858</v>
      </c>
      <c r="R559" s="62" t="s">
        <v>6859</v>
      </c>
      <c r="S559" s="62" t="s">
        <v>6860</v>
      </c>
      <c r="U559" s="62" t="s">
        <v>6861</v>
      </c>
      <c r="V559" s="62" t="s">
        <v>57357</v>
      </c>
      <c r="W559" s="62" t="s">
        <v>6862</v>
      </c>
      <c r="X559" s="62" t="s">
        <v>6863</v>
      </c>
      <c r="Y559" s="62" t="s">
        <v>6864</v>
      </c>
      <c r="Z559" s="62" t="s">
        <v>6865</v>
      </c>
      <c r="AA559" s="62" t="s">
        <v>57392</v>
      </c>
      <c r="AB559" s="62" t="s">
        <v>6866</v>
      </c>
      <c r="AC559" s="62" t="s">
        <v>6867</v>
      </c>
      <c r="AD559" s="62" t="s">
        <v>6868</v>
      </c>
    </row>
    <row r="560" spans="1:30" x14ac:dyDescent="0.25">
      <c r="A560" s="62" t="s">
        <v>109</v>
      </c>
      <c r="C560" s="62" t="s">
        <v>6869</v>
      </c>
      <c r="F560" s="62" t="s">
        <v>925</v>
      </c>
      <c r="G560" s="62" t="s">
        <v>57253</v>
      </c>
      <c r="J560" s="62" t="s">
        <v>6870</v>
      </c>
      <c r="K560" s="62" t="s">
        <v>57288</v>
      </c>
      <c r="L560" s="62" t="s">
        <v>6871</v>
      </c>
      <c r="M560" s="62" t="s">
        <v>6872</v>
      </c>
      <c r="N560" s="62" t="s">
        <v>6873</v>
      </c>
      <c r="O560" s="62" t="s">
        <v>6874</v>
      </c>
      <c r="P560" s="62" t="s">
        <v>57323</v>
      </c>
      <c r="Q560" s="62" t="s">
        <v>6875</v>
      </c>
      <c r="R560" s="62" t="s">
        <v>6876</v>
      </c>
      <c r="S560" s="62" t="s">
        <v>6877</v>
      </c>
      <c r="U560" s="62" t="s">
        <v>6878</v>
      </c>
      <c r="V560" s="62" t="s">
        <v>57358</v>
      </c>
      <c r="W560" s="62" t="s">
        <v>6879</v>
      </c>
      <c r="X560" s="62" t="s">
        <v>6880</v>
      </c>
      <c r="Y560" s="62" t="s">
        <v>6881</v>
      </c>
      <c r="Z560" s="62" t="s">
        <v>6882</v>
      </c>
      <c r="AA560" s="62" t="s">
        <v>57393</v>
      </c>
      <c r="AB560" s="62" t="s">
        <v>6883</v>
      </c>
      <c r="AC560" s="62" t="s">
        <v>6884</v>
      </c>
      <c r="AD560" s="62" t="s">
        <v>6885</v>
      </c>
    </row>
    <row r="561" spans="1:30" x14ac:dyDescent="0.25">
      <c r="A561" s="62" t="s">
        <v>109</v>
      </c>
      <c r="C561" s="62" t="s">
        <v>6886</v>
      </c>
      <c r="F561" s="62" t="s">
        <v>176</v>
      </c>
      <c r="G561" s="62" t="s">
        <v>57254</v>
      </c>
      <c r="J561" s="62" t="s">
        <v>6887</v>
      </c>
      <c r="K561" s="62" t="s">
        <v>57289</v>
      </c>
      <c r="L561" s="62" t="s">
        <v>6888</v>
      </c>
      <c r="M561" s="62" t="s">
        <v>6889</v>
      </c>
      <c r="N561" s="62" t="s">
        <v>6890</v>
      </c>
      <c r="O561" s="62" t="s">
        <v>6891</v>
      </c>
      <c r="P561" s="62" t="s">
        <v>57324</v>
      </c>
      <c r="Q561" s="62" t="s">
        <v>6892</v>
      </c>
      <c r="R561" s="62" t="s">
        <v>6893</v>
      </c>
      <c r="S561" s="62" t="s">
        <v>6894</v>
      </c>
      <c r="U561" s="62" t="s">
        <v>6895</v>
      </c>
      <c r="V561" s="62" t="s">
        <v>57359</v>
      </c>
      <c r="W561" s="62" t="s">
        <v>6896</v>
      </c>
      <c r="X561" s="62" t="s">
        <v>6897</v>
      </c>
      <c r="Y561" s="62" t="s">
        <v>6898</v>
      </c>
      <c r="Z561" s="62" t="s">
        <v>6899</v>
      </c>
      <c r="AA561" s="62" t="s">
        <v>57394</v>
      </c>
      <c r="AB561" s="62" t="s">
        <v>6900</v>
      </c>
      <c r="AC561" s="62" t="s">
        <v>6901</v>
      </c>
      <c r="AD561" s="62" t="s">
        <v>6902</v>
      </c>
    </row>
    <row r="562" spans="1:30" x14ac:dyDescent="0.25">
      <c r="A562" s="62" t="s">
        <v>109</v>
      </c>
      <c r="C562" s="62" t="s">
        <v>41086</v>
      </c>
      <c r="F562" s="62" t="s">
        <v>1012</v>
      </c>
      <c r="G562" s="62" t="s">
        <v>57255</v>
      </c>
      <c r="J562" s="62" t="s">
        <v>41087</v>
      </c>
      <c r="K562" s="62" t="s">
        <v>57290</v>
      </c>
      <c r="L562" s="62" t="s">
        <v>41088</v>
      </c>
      <c r="M562" s="62" t="s">
        <v>41089</v>
      </c>
      <c r="N562" s="62" t="s">
        <v>41090</v>
      </c>
      <c r="O562" s="62" t="s">
        <v>41091</v>
      </c>
      <c r="P562" s="62" t="s">
        <v>57325</v>
      </c>
      <c r="Q562" s="62" t="s">
        <v>41092</v>
      </c>
      <c r="R562" s="62" t="s">
        <v>41093</v>
      </c>
      <c r="S562" s="62" t="s">
        <v>41094</v>
      </c>
      <c r="U562" s="62" t="s">
        <v>41095</v>
      </c>
      <c r="V562" s="62" t="s">
        <v>57360</v>
      </c>
      <c r="W562" s="62" t="s">
        <v>41096</v>
      </c>
      <c r="X562" s="62" t="s">
        <v>41097</v>
      </c>
      <c r="Y562" s="62" t="s">
        <v>41098</v>
      </c>
      <c r="Z562" s="62" t="s">
        <v>41099</v>
      </c>
      <c r="AA562" s="62" t="s">
        <v>57395</v>
      </c>
      <c r="AB562" s="62" t="s">
        <v>41100</v>
      </c>
      <c r="AC562" s="62" t="s">
        <v>41101</v>
      </c>
      <c r="AD562" s="62" t="s">
        <v>41102</v>
      </c>
    </row>
    <row r="563" spans="1:30" x14ac:dyDescent="0.25">
      <c r="A563" s="62" t="s">
        <v>109</v>
      </c>
      <c r="C563" s="62" t="s">
        <v>6903</v>
      </c>
      <c r="F563" s="62" t="s">
        <v>1030</v>
      </c>
      <c r="G563" s="62" t="s">
        <v>57256</v>
      </c>
      <c r="J563" s="62" t="s">
        <v>41103</v>
      </c>
      <c r="K563" s="62" t="s">
        <v>57291</v>
      </c>
      <c r="L563" s="62" t="s">
        <v>41104</v>
      </c>
      <c r="M563" s="62" t="s">
        <v>6904</v>
      </c>
      <c r="N563" s="62" t="s">
        <v>6905</v>
      </c>
      <c r="O563" s="62" t="s">
        <v>41105</v>
      </c>
      <c r="P563" s="62" t="s">
        <v>57326</v>
      </c>
      <c r="Q563" s="62" t="s">
        <v>41106</v>
      </c>
      <c r="R563" s="62" t="s">
        <v>6906</v>
      </c>
      <c r="S563" s="62" t="s">
        <v>6907</v>
      </c>
      <c r="U563" s="62" t="s">
        <v>41107</v>
      </c>
      <c r="V563" s="62" t="s">
        <v>57361</v>
      </c>
      <c r="W563" s="62" t="s">
        <v>41108</v>
      </c>
      <c r="X563" s="62" t="s">
        <v>6908</v>
      </c>
      <c r="Y563" s="62" t="s">
        <v>6909</v>
      </c>
      <c r="Z563" s="62" t="s">
        <v>41109</v>
      </c>
      <c r="AA563" s="62" t="s">
        <v>57396</v>
      </c>
      <c r="AB563" s="62" t="s">
        <v>41110</v>
      </c>
      <c r="AC563" s="62" t="s">
        <v>6910</v>
      </c>
      <c r="AD563" s="62" t="s">
        <v>6911</v>
      </c>
    </row>
    <row r="564" spans="1:30" x14ac:dyDescent="0.25">
      <c r="A564" s="62" t="s">
        <v>109</v>
      </c>
      <c r="C564" s="62" t="s">
        <v>41111</v>
      </c>
      <c r="F564" s="62" t="s">
        <v>1047</v>
      </c>
      <c r="G564" s="62" t="s">
        <v>57257</v>
      </c>
      <c r="J564" s="62" t="s">
        <v>41112</v>
      </c>
      <c r="K564" s="62" t="s">
        <v>57292</v>
      </c>
      <c r="L564" s="62" t="s">
        <v>41113</v>
      </c>
      <c r="M564" s="62" t="s">
        <v>41114</v>
      </c>
      <c r="N564" s="62" t="s">
        <v>41115</v>
      </c>
      <c r="O564" s="62" t="s">
        <v>41116</v>
      </c>
      <c r="P564" s="62" t="s">
        <v>57327</v>
      </c>
      <c r="Q564" s="62" t="s">
        <v>41117</v>
      </c>
      <c r="R564" s="62" t="s">
        <v>41118</v>
      </c>
      <c r="S564" s="62" t="s">
        <v>41119</v>
      </c>
      <c r="U564" s="62" t="s">
        <v>41120</v>
      </c>
      <c r="V564" s="62" t="s">
        <v>57362</v>
      </c>
      <c r="W564" s="62" t="s">
        <v>41121</v>
      </c>
      <c r="X564" s="62" t="s">
        <v>41122</v>
      </c>
      <c r="Y564" s="62" t="s">
        <v>41123</v>
      </c>
      <c r="Z564" s="62" t="s">
        <v>41124</v>
      </c>
      <c r="AA564" s="62" t="s">
        <v>57397</v>
      </c>
      <c r="AB564" s="62" t="s">
        <v>41125</v>
      </c>
      <c r="AC564" s="62" t="s">
        <v>41126</v>
      </c>
      <c r="AD564" s="62" t="s">
        <v>41127</v>
      </c>
    </row>
    <row r="565" spans="1:30" x14ac:dyDescent="0.25">
      <c r="A565" s="62" t="s">
        <v>109</v>
      </c>
      <c r="C565" s="62" t="s">
        <v>41128</v>
      </c>
      <c r="F565" s="62" t="s">
        <v>1064</v>
      </c>
      <c r="G565" s="62" t="s">
        <v>57258</v>
      </c>
      <c r="J565" s="62" t="s">
        <v>41129</v>
      </c>
      <c r="K565" s="62" t="s">
        <v>57293</v>
      </c>
      <c r="L565" s="62" t="s">
        <v>41130</v>
      </c>
      <c r="M565" s="62" t="s">
        <v>41131</v>
      </c>
      <c r="N565" s="62" t="s">
        <v>41132</v>
      </c>
      <c r="O565" s="62" t="s">
        <v>41133</v>
      </c>
      <c r="P565" s="62" t="s">
        <v>57328</v>
      </c>
      <c r="Q565" s="62" t="s">
        <v>41134</v>
      </c>
      <c r="R565" s="62" t="s">
        <v>41135</v>
      </c>
      <c r="S565" s="62" t="s">
        <v>41136</v>
      </c>
      <c r="U565" s="62" t="s">
        <v>41137</v>
      </c>
      <c r="V565" s="62" t="s">
        <v>57363</v>
      </c>
      <c r="W565" s="62" t="s">
        <v>41138</v>
      </c>
      <c r="X565" s="62" t="s">
        <v>41139</v>
      </c>
      <c r="Y565" s="62" t="s">
        <v>41140</v>
      </c>
      <c r="Z565" s="62" t="s">
        <v>41141</v>
      </c>
      <c r="AA565" s="62" t="s">
        <v>57398</v>
      </c>
      <c r="AB565" s="62" t="s">
        <v>41142</v>
      </c>
      <c r="AC565" s="62" t="s">
        <v>41143</v>
      </c>
      <c r="AD565" s="62" t="s">
        <v>41144</v>
      </c>
    </row>
    <row r="566" spans="1:30" x14ac:dyDescent="0.25">
      <c r="A566" s="62" t="s">
        <v>109</v>
      </c>
      <c r="C566" s="62" t="s">
        <v>6912</v>
      </c>
      <c r="F566" s="62" t="s">
        <v>1073</v>
      </c>
      <c r="G566" s="62" t="s">
        <v>57259</v>
      </c>
      <c r="J566" s="62" t="s">
        <v>41145</v>
      </c>
      <c r="K566" s="62" t="s">
        <v>57294</v>
      </c>
      <c r="L566" s="62" t="s">
        <v>41146</v>
      </c>
      <c r="M566" s="62" t="s">
        <v>41147</v>
      </c>
      <c r="N566" s="62" t="s">
        <v>41148</v>
      </c>
      <c r="O566" s="62" t="s">
        <v>41149</v>
      </c>
      <c r="P566" s="62" t="s">
        <v>57329</v>
      </c>
      <c r="Q566" s="62" t="s">
        <v>41150</v>
      </c>
      <c r="R566" s="62" t="s">
        <v>41151</v>
      </c>
      <c r="S566" s="62" t="s">
        <v>41152</v>
      </c>
      <c r="U566" s="62" t="s">
        <v>41153</v>
      </c>
      <c r="V566" s="62" t="s">
        <v>57364</v>
      </c>
      <c r="W566" s="62" t="s">
        <v>41154</v>
      </c>
      <c r="X566" s="62" t="s">
        <v>41155</v>
      </c>
      <c r="Y566" s="62" t="s">
        <v>41156</v>
      </c>
      <c r="Z566" s="62" t="s">
        <v>41157</v>
      </c>
      <c r="AA566" s="62" t="s">
        <v>57399</v>
      </c>
      <c r="AB566" s="62" t="s">
        <v>41158</v>
      </c>
      <c r="AC566" s="62" t="s">
        <v>41159</v>
      </c>
      <c r="AD566" s="62" t="s">
        <v>41160</v>
      </c>
    </row>
    <row r="567" spans="1:30" x14ac:dyDescent="0.25">
      <c r="A567" s="62" t="s">
        <v>109</v>
      </c>
      <c r="C567" s="62" t="s">
        <v>6913</v>
      </c>
      <c r="F567" s="62" t="s">
        <v>1100</v>
      </c>
      <c r="G567" s="62" t="s">
        <v>57260</v>
      </c>
      <c r="J567" s="62" t="s">
        <v>6914</v>
      </c>
      <c r="K567" s="62" t="s">
        <v>57295</v>
      </c>
      <c r="L567" s="62" t="s">
        <v>6915</v>
      </c>
      <c r="M567" s="62" t="s">
        <v>6916</v>
      </c>
      <c r="N567" s="62" t="s">
        <v>6917</v>
      </c>
      <c r="O567" s="62" t="s">
        <v>6918</v>
      </c>
      <c r="P567" s="62" t="s">
        <v>57330</v>
      </c>
      <c r="Q567" s="62" t="s">
        <v>6919</v>
      </c>
      <c r="R567" s="62" t="s">
        <v>6920</v>
      </c>
      <c r="S567" s="62" t="s">
        <v>6921</v>
      </c>
      <c r="U567" s="62" t="s">
        <v>6922</v>
      </c>
      <c r="V567" s="62" t="s">
        <v>57365</v>
      </c>
      <c r="W567" s="62" t="s">
        <v>6923</v>
      </c>
      <c r="X567" s="62" t="s">
        <v>6924</v>
      </c>
      <c r="Y567" s="62" t="s">
        <v>6925</v>
      </c>
      <c r="Z567" s="62" t="s">
        <v>6926</v>
      </c>
      <c r="AA567" s="62" t="s">
        <v>57400</v>
      </c>
      <c r="AB567" s="62" t="s">
        <v>6927</v>
      </c>
      <c r="AC567" s="62" t="s">
        <v>6928</v>
      </c>
      <c r="AD567" s="62" t="s">
        <v>6929</v>
      </c>
    </row>
    <row r="568" spans="1:30" x14ac:dyDescent="0.25">
      <c r="A568" s="62" t="s">
        <v>109</v>
      </c>
      <c r="C568" s="62" t="s">
        <v>6930</v>
      </c>
      <c r="F568" s="62" t="s">
        <v>1118</v>
      </c>
      <c r="G568" s="62" t="s">
        <v>57261</v>
      </c>
      <c r="J568" s="62" t="s">
        <v>6931</v>
      </c>
      <c r="K568" s="62" t="s">
        <v>57296</v>
      </c>
      <c r="L568" s="62" t="s">
        <v>6932</v>
      </c>
      <c r="M568" s="62" t="s">
        <v>6933</v>
      </c>
      <c r="N568" s="62" t="s">
        <v>6934</v>
      </c>
      <c r="O568" s="62" t="s">
        <v>6935</v>
      </c>
      <c r="P568" s="62" t="s">
        <v>57331</v>
      </c>
      <c r="Q568" s="62" t="s">
        <v>6936</v>
      </c>
      <c r="R568" s="62" t="s">
        <v>6937</v>
      </c>
      <c r="S568" s="62" t="s">
        <v>6938</v>
      </c>
      <c r="U568" s="62" t="s">
        <v>6939</v>
      </c>
      <c r="V568" s="62" t="s">
        <v>57366</v>
      </c>
      <c r="W568" s="62" t="s">
        <v>6940</v>
      </c>
      <c r="X568" s="62" t="s">
        <v>6941</v>
      </c>
      <c r="Y568" s="62" t="s">
        <v>6942</v>
      </c>
      <c r="Z568" s="62" t="s">
        <v>6943</v>
      </c>
      <c r="AA568" s="62" t="s">
        <v>57401</v>
      </c>
      <c r="AB568" s="62" t="s">
        <v>6944</v>
      </c>
      <c r="AC568" s="62" t="s">
        <v>6945</v>
      </c>
      <c r="AD568" s="62" t="s">
        <v>6946</v>
      </c>
    </row>
    <row r="569" spans="1:30" x14ac:dyDescent="0.25">
      <c r="A569" s="62" t="s">
        <v>109</v>
      </c>
      <c r="C569" s="62" t="s">
        <v>6947</v>
      </c>
      <c r="F569" s="62" t="s">
        <v>1152</v>
      </c>
      <c r="G569" s="62" t="s">
        <v>57262</v>
      </c>
      <c r="J569" s="62" t="s">
        <v>6948</v>
      </c>
      <c r="K569" s="62" t="s">
        <v>57297</v>
      </c>
      <c r="L569" s="62" t="s">
        <v>6949</v>
      </c>
      <c r="M569" s="62" t="s">
        <v>6950</v>
      </c>
      <c r="N569" s="62" t="s">
        <v>6951</v>
      </c>
      <c r="O569" s="62" t="s">
        <v>6952</v>
      </c>
      <c r="P569" s="62" t="s">
        <v>57332</v>
      </c>
      <c r="Q569" s="62" t="s">
        <v>6953</v>
      </c>
      <c r="R569" s="62" t="s">
        <v>6954</v>
      </c>
      <c r="S569" s="62" t="s">
        <v>6955</v>
      </c>
      <c r="U569" s="62" t="s">
        <v>6956</v>
      </c>
      <c r="V569" s="62" t="s">
        <v>57367</v>
      </c>
      <c r="W569" s="62" t="s">
        <v>6957</v>
      </c>
      <c r="X569" s="62" t="s">
        <v>6958</v>
      </c>
      <c r="Y569" s="62" t="s">
        <v>6959</v>
      </c>
      <c r="Z569" s="62" t="s">
        <v>6960</v>
      </c>
      <c r="AA569" s="62" t="s">
        <v>57402</v>
      </c>
      <c r="AB569" s="62" t="s">
        <v>6961</v>
      </c>
      <c r="AC569" s="62" t="s">
        <v>6962</v>
      </c>
      <c r="AD569" s="62" t="s">
        <v>6963</v>
      </c>
    </row>
    <row r="570" spans="1:30" x14ac:dyDescent="0.25">
      <c r="A570" s="62" t="s">
        <v>109</v>
      </c>
      <c r="C570" s="62" t="s">
        <v>6964</v>
      </c>
      <c r="F570" s="62" t="s">
        <v>1161</v>
      </c>
      <c r="G570" s="62" t="s">
        <v>57263</v>
      </c>
      <c r="J570" s="62" t="s">
        <v>6965</v>
      </c>
      <c r="K570" s="62" t="s">
        <v>57298</v>
      </c>
      <c r="L570" s="62" t="s">
        <v>6966</v>
      </c>
      <c r="M570" s="62" t="s">
        <v>6967</v>
      </c>
      <c r="N570" s="62" t="s">
        <v>6968</v>
      </c>
      <c r="O570" s="62" t="s">
        <v>6969</v>
      </c>
      <c r="P570" s="62" t="s">
        <v>57333</v>
      </c>
      <c r="Q570" s="62" t="s">
        <v>6970</v>
      </c>
      <c r="R570" s="62" t="s">
        <v>6971</v>
      </c>
      <c r="S570" s="62" t="s">
        <v>6972</v>
      </c>
      <c r="U570" s="62" t="s">
        <v>6973</v>
      </c>
      <c r="V570" s="62" t="s">
        <v>57368</v>
      </c>
      <c r="W570" s="62" t="s">
        <v>6974</v>
      </c>
      <c r="X570" s="62" t="s">
        <v>6975</v>
      </c>
      <c r="Y570" s="62" t="s">
        <v>6976</v>
      </c>
      <c r="Z570" s="62" t="s">
        <v>6977</v>
      </c>
      <c r="AA570" s="62" t="s">
        <v>57403</v>
      </c>
      <c r="AB570" s="62" t="s">
        <v>6978</v>
      </c>
      <c r="AC570" s="62" t="s">
        <v>6979</v>
      </c>
      <c r="AD570" s="62" t="s">
        <v>6980</v>
      </c>
    </row>
    <row r="571" spans="1:30" x14ac:dyDescent="0.25">
      <c r="A571" s="62" t="s">
        <v>109</v>
      </c>
      <c r="C571" s="62" t="s">
        <v>6981</v>
      </c>
      <c r="F571" s="62" t="s">
        <v>1178</v>
      </c>
      <c r="G571" s="62" t="s">
        <v>57264</v>
      </c>
      <c r="J571" s="62" t="s">
        <v>6982</v>
      </c>
      <c r="K571" s="62" t="s">
        <v>57299</v>
      </c>
      <c r="L571" s="62" t="s">
        <v>6983</v>
      </c>
      <c r="M571" s="62" t="s">
        <v>6984</v>
      </c>
      <c r="N571" s="62" t="s">
        <v>6985</v>
      </c>
      <c r="O571" s="62" t="s">
        <v>6986</v>
      </c>
      <c r="P571" s="62" t="s">
        <v>57334</v>
      </c>
      <c r="Q571" s="62" t="s">
        <v>6987</v>
      </c>
      <c r="R571" s="62" t="s">
        <v>6988</v>
      </c>
      <c r="S571" s="62" t="s">
        <v>6989</v>
      </c>
      <c r="U571" s="62" t="s">
        <v>6990</v>
      </c>
      <c r="V571" s="62" t="s">
        <v>57369</v>
      </c>
      <c r="W571" s="62" t="s">
        <v>6991</v>
      </c>
      <c r="X571" s="62" t="s">
        <v>6992</v>
      </c>
      <c r="Y571" s="62" t="s">
        <v>6993</v>
      </c>
      <c r="Z571" s="62" t="s">
        <v>6994</v>
      </c>
      <c r="AA571" s="62" t="s">
        <v>57404</v>
      </c>
      <c r="AB571" s="62" t="s">
        <v>6995</v>
      </c>
      <c r="AC571" s="62" t="s">
        <v>6996</v>
      </c>
      <c r="AD571" s="62" t="s">
        <v>6997</v>
      </c>
    </row>
    <row r="572" spans="1:30" x14ac:dyDescent="0.25">
      <c r="A572" s="62" t="s">
        <v>109</v>
      </c>
      <c r="C572" s="62" t="s">
        <v>6998</v>
      </c>
      <c r="F572" s="62" t="s">
        <v>1188</v>
      </c>
      <c r="G572" s="62" t="s">
        <v>57265</v>
      </c>
      <c r="J572" s="62" t="s">
        <v>6999</v>
      </c>
      <c r="K572" s="62" t="s">
        <v>57300</v>
      </c>
      <c r="L572" s="62" t="s">
        <v>7000</v>
      </c>
      <c r="M572" s="62" t="s">
        <v>7001</v>
      </c>
      <c r="N572" s="62" t="s">
        <v>7002</v>
      </c>
      <c r="O572" s="62" t="s">
        <v>7003</v>
      </c>
      <c r="P572" s="62" t="s">
        <v>57335</v>
      </c>
      <c r="Q572" s="62" t="s">
        <v>7004</v>
      </c>
      <c r="R572" s="62" t="s">
        <v>7005</v>
      </c>
      <c r="S572" s="62" t="s">
        <v>7006</v>
      </c>
      <c r="U572" s="62" t="s">
        <v>7007</v>
      </c>
      <c r="V572" s="62" t="s">
        <v>57370</v>
      </c>
      <c r="W572" s="62" t="s">
        <v>7008</v>
      </c>
      <c r="X572" s="62" t="s">
        <v>7009</v>
      </c>
      <c r="Y572" s="62" t="s">
        <v>7010</v>
      </c>
      <c r="Z572" s="62" t="s">
        <v>7011</v>
      </c>
      <c r="AA572" s="62" t="s">
        <v>57405</v>
      </c>
      <c r="AB572" s="62" t="s">
        <v>7012</v>
      </c>
      <c r="AC572" s="62" t="s">
        <v>7013</v>
      </c>
      <c r="AD572" s="62" t="s">
        <v>7014</v>
      </c>
    </row>
    <row r="573" spans="1:30" x14ac:dyDescent="0.25">
      <c r="A573" s="62" t="s">
        <v>109</v>
      </c>
      <c r="C573" s="62" t="s">
        <v>7015</v>
      </c>
      <c r="F573" s="62" t="s">
        <v>1240</v>
      </c>
      <c r="G573" s="62" t="s">
        <v>57266</v>
      </c>
      <c r="J573" s="62" t="s">
        <v>7016</v>
      </c>
      <c r="K573" s="62" t="s">
        <v>57301</v>
      </c>
      <c r="L573" s="62" t="s">
        <v>7017</v>
      </c>
      <c r="M573" s="62" t="s">
        <v>7018</v>
      </c>
      <c r="N573" s="62" t="s">
        <v>7019</v>
      </c>
      <c r="O573" s="62" t="s">
        <v>7020</v>
      </c>
      <c r="P573" s="62" t="s">
        <v>57336</v>
      </c>
      <c r="Q573" s="62" t="s">
        <v>7021</v>
      </c>
      <c r="R573" s="62" t="s">
        <v>7022</v>
      </c>
      <c r="S573" s="62" t="s">
        <v>7023</v>
      </c>
      <c r="U573" s="62" t="s">
        <v>7024</v>
      </c>
      <c r="V573" s="62" t="s">
        <v>57371</v>
      </c>
      <c r="W573" s="62" t="s">
        <v>7025</v>
      </c>
      <c r="X573" s="62" t="s">
        <v>7026</v>
      </c>
      <c r="Y573" s="62" t="s">
        <v>7027</v>
      </c>
      <c r="Z573" s="62" t="s">
        <v>7028</v>
      </c>
      <c r="AA573" s="62" t="s">
        <v>57406</v>
      </c>
      <c r="AB573" s="62" t="s">
        <v>7029</v>
      </c>
      <c r="AC573" s="62" t="s">
        <v>7030</v>
      </c>
      <c r="AD573" s="62" t="s">
        <v>7031</v>
      </c>
    </row>
    <row r="574" spans="1:30" x14ac:dyDescent="0.25">
      <c r="A574" s="62" t="s">
        <v>109</v>
      </c>
      <c r="C574" s="62" t="s">
        <v>7032</v>
      </c>
      <c r="F574" s="62" t="s">
        <v>1249</v>
      </c>
      <c r="G574" s="62" t="s">
        <v>57267</v>
      </c>
      <c r="J574" s="62" t="s">
        <v>7033</v>
      </c>
      <c r="K574" s="62" t="s">
        <v>57302</v>
      </c>
      <c r="L574" s="62" t="s">
        <v>7034</v>
      </c>
      <c r="M574" s="62" t="s">
        <v>7035</v>
      </c>
      <c r="N574" s="62" t="s">
        <v>7036</v>
      </c>
      <c r="O574" s="62" t="s">
        <v>7037</v>
      </c>
      <c r="P574" s="62" t="s">
        <v>57337</v>
      </c>
      <c r="Q574" s="62" t="s">
        <v>7038</v>
      </c>
      <c r="R574" s="62" t="s">
        <v>7039</v>
      </c>
      <c r="S574" s="62" t="s">
        <v>7040</v>
      </c>
      <c r="U574" s="62" t="s">
        <v>7041</v>
      </c>
      <c r="V574" s="62" t="s">
        <v>57372</v>
      </c>
      <c r="W574" s="62" t="s">
        <v>7042</v>
      </c>
      <c r="X574" s="62" t="s">
        <v>7043</v>
      </c>
      <c r="Y574" s="62" t="s">
        <v>7044</v>
      </c>
      <c r="Z574" s="62" t="s">
        <v>7045</v>
      </c>
      <c r="AA574" s="62" t="s">
        <v>57407</v>
      </c>
      <c r="AB574" s="62" t="s">
        <v>7046</v>
      </c>
      <c r="AC574" s="62" t="s">
        <v>7047</v>
      </c>
      <c r="AD574" s="62" t="s">
        <v>7048</v>
      </c>
    </row>
    <row r="575" spans="1:30" x14ac:dyDescent="0.25">
      <c r="A575" s="62" t="s">
        <v>109</v>
      </c>
      <c r="C575" s="62" t="s">
        <v>7049</v>
      </c>
      <c r="F575" s="62" t="s">
        <v>1266</v>
      </c>
      <c r="G575" s="62" t="s">
        <v>57268</v>
      </c>
      <c r="J575" s="62" t="s">
        <v>7050</v>
      </c>
      <c r="K575" s="62" t="s">
        <v>57303</v>
      </c>
      <c r="L575" s="62" t="s">
        <v>7051</v>
      </c>
      <c r="M575" s="62" t="s">
        <v>7052</v>
      </c>
      <c r="N575" s="62" t="s">
        <v>7053</v>
      </c>
      <c r="O575" s="62" t="s">
        <v>7054</v>
      </c>
      <c r="P575" s="62" t="s">
        <v>57338</v>
      </c>
      <c r="Q575" s="62" t="s">
        <v>7055</v>
      </c>
      <c r="R575" s="62" t="s">
        <v>7056</v>
      </c>
      <c r="S575" s="62" t="s">
        <v>7057</v>
      </c>
      <c r="U575" s="62" t="s">
        <v>7058</v>
      </c>
      <c r="V575" s="62" t="s">
        <v>57373</v>
      </c>
      <c r="W575" s="62" t="s">
        <v>7059</v>
      </c>
      <c r="X575" s="62" t="s">
        <v>7060</v>
      </c>
      <c r="Y575" s="62" t="s">
        <v>7061</v>
      </c>
      <c r="Z575" s="62" t="s">
        <v>7062</v>
      </c>
      <c r="AA575" s="62" t="s">
        <v>57408</v>
      </c>
      <c r="AB575" s="62" t="s">
        <v>7063</v>
      </c>
      <c r="AC575" s="62" t="s">
        <v>7064</v>
      </c>
      <c r="AD575" s="62" t="s">
        <v>7065</v>
      </c>
    </row>
    <row r="576" spans="1:30" x14ac:dyDescent="0.25">
      <c r="A576" s="62" t="s">
        <v>109</v>
      </c>
      <c r="C576" s="62" t="s">
        <v>7066</v>
      </c>
      <c r="F576" s="62" t="s">
        <v>1275</v>
      </c>
      <c r="G576" s="62" t="s">
        <v>57269</v>
      </c>
      <c r="J576" s="62" t="s">
        <v>7067</v>
      </c>
      <c r="K576" s="62" t="s">
        <v>57304</v>
      </c>
      <c r="L576" s="62" t="s">
        <v>7068</v>
      </c>
      <c r="M576" s="62" t="s">
        <v>7069</v>
      </c>
      <c r="N576" s="62" t="s">
        <v>7070</v>
      </c>
      <c r="O576" s="62" t="s">
        <v>7071</v>
      </c>
      <c r="P576" s="62" t="s">
        <v>57339</v>
      </c>
      <c r="Q576" s="62" t="s">
        <v>7072</v>
      </c>
      <c r="R576" s="62" t="s">
        <v>7073</v>
      </c>
      <c r="S576" s="62" t="s">
        <v>7074</v>
      </c>
      <c r="U576" s="62" t="s">
        <v>7075</v>
      </c>
      <c r="V576" s="62" t="s">
        <v>57374</v>
      </c>
      <c r="W576" s="62" t="s">
        <v>7076</v>
      </c>
      <c r="X576" s="62" t="s">
        <v>7077</v>
      </c>
      <c r="Y576" s="62" t="s">
        <v>7078</v>
      </c>
      <c r="Z576" s="62" t="s">
        <v>7079</v>
      </c>
      <c r="AA576" s="62" t="s">
        <v>57409</v>
      </c>
      <c r="AB576" s="62" t="s">
        <v>7080</v>
      </c>
      <c r="AC576" s="62" t="s">
        <v>7081</v>
      </c>
      <c r="AD576" s="62" t="s">
        <v>7082</v>
      </c>
    </row>
    <row r="577" spans="1:30" x14ac:dyDescent="0.25">
      <c r="A577" s="62" t="s">
        <v>109</v>
      </c>
      <c r="C577" s="62" t="s">
        <v>7083</v>
      </c>
      <c r="F577" s="62" t="s">
        <v>1277</v>
      </c>
      <c r="G577" s="62" t="s">
        <v>57270</v>
      </c>
      <c r="J577" s="62" t="s">
        <v>7084</v>
      </c>
      <c r="K577" s="62" t="s">
        <v>57305</v>
      </c>
      <c r="L577" s="62" t="s">
        <v>7085</v>
      </c>
      <c r="M577" s="62" t="s">
        <v>7086</v>
      </c>
      <c r="N577" s="62" t="s">
        <v>7087</v>
      </c>
      <c r="O577" s="62" t="s">
        <v>7088</v>
      </c>
      <c r="P577" s="62" t="s">
        <v>57340</v>
      </c>
      <c r="Q577" s="62" t="s">
        <v>7089</v>
      </c>
      <c r="R577" s="62" t="s">
        <v>7090</v>
      </c>
      <c r="S577" s="62" t="s">
        <v>7091</v>
      </c>
      <c r="U577" s="62" t="s">
        <v>7092</v>
      </c>
      <c r="V577" s="62" t="s">
        <v>57375</v>
      </c>
      <c r="W577" s="62" t="s">
        <v>7093</v>
      </c>
      <c r="X577" s="62" t="s">
        <v>7094</v>
      </c>
      <c r="Y577" s="62" t="s">
        <v>7095</v>
      </c>
      <c r="Z577" s="62" t="s">
        <v>7096</v>
      </c>
      <c r="AA577" s="62" t="s">
        <v>57410</v>
      </c>
      <c r="AB577" s="62" t="s">
        <v>7097</v>
      </c>
      <c r="AC577" s="62" t="s">
        <v>7098</v>
      </c>
      <c r="AD577" s="62" t="s">
        <v>7099</v>
      </c>
    </row>
    <row r="578" spans="1:30" x14ac:dyDescent="0.25">
      <c r="A578" s="62" t="s">
        <v>109</v>
      </c>
      <c r="C578" s="62" t="s">
        <v>7100</v>
      </c>
      <c r="F578" s="62" t="s">
        <v>1286</v>
      </c>
      <c r="G578" s="62" t="s">
        <v>57271</v>
      </c>
      <c r="J578" s="62" t="s">
        <v>7101</v>
      </c>
      <c r="K578" s="62" t="s">
        <v>57306</v>
      </c>
      <c r="L578" s="62" t="s">
        <v>7102</v>
      </c>
      <c r="M578" s="62" t="s">
        <v>7103</v>
      </c>
      <c r="N578" s="62" t="s">
        <v>7104</v>
      </c>
      <c r="O578" s="62" t="s">
        <v>7105</v>
      </c>
      <c r="P578" s="62" t="s">
        <v>57341</v>
      </c>
      <c r="Q578" s="62" t="s">
        <v>7106</v>
      </c>
      <c r="R578" s="62" t="s">
        <v>7107</v>
      </c>
      <c r="S578" s="62" t="s">
        <v>7108</v>
      </c>
      <c r="U578" s="62" t="s">
        <v>7109</v>
      </c>
      <c r="V578" s="62" t="s">
        <v>57376</v>
      </c>
      <c r="W578" s="62" t="s">
        <v>7110</v>
      </c>
      <c r="X578" s="62" t="s">
        <v>7111</v>
      </c>
      <c r="Y578" s="62" t="s">
        <v>7112</v>
      </c>
      <c r="Z578" s="62" t="s">
        <v>7113</v>
      </c>
      <c r="AA578" s="62" t="s">
        <v>57411</v>
      </c>
      <c r="AB578" s="62" t="s">
        <v>7114</v>
      </c>
      <c r="AC578" s="62" t="s">
        <v>7115</v>
      </c>
      <c r="AD578" s="62" t="s">
        <v>7116</v>
      </c>
    </row>
    <row r="579" spans="1:30" x14ac:dyDescent="0.25">
      <c r="A579" s="62" t="s">
        <v>109</v>
      </c>
      <c r="C579" s="62" t="s">
        <v>7117</v>
      </c>
      <c r="F579" s="62" t="s">
        <v>1287</v>
      </c>
      <c r="G579" s="62" t="s">
        <v>57272</v>
      </c>
      <c r="J579" s="62" t="s">
        <v>7118</v>
      </c>
      <c r="K579" s="62" t="s">
        <v>57307</v>
      </c>
      <c r="L579" s="62" t="s">
        <v>7119</v>
      </c>
      <c r="M579" s="62" t="s">
        <v>7120</v>
      </c>
      <c r="N579" s="62" t="s">
        <v>7121</v>
      </c>
      <c r="O579" s="62" t="s">
        <v>7122</v>
      </c>
      <c r="P579" s="62" t="s">
        <v>57342</v>
      </c>
      <c r="Q579" s="62" t="s">
        <v>7123</v>
      </c>
      <c r="R579" s="62" t="s">
        <v>7124</v>
      </c>
      <c r="S579" s="62" t="s">
        <v>7125</v>
      </c>
      <c r="U579" s="62" t="s">
        <v>7126</v>
      </c>
      <c r="V579" s="62" t="s">
        <v>57377</v>
      </c>
      <c r="W579" s="62" t="s">
        <v>7127</v>
      </c>
      <c r="X579" s="62" t="s">
        <v>7128</v>
      </c>
      <c r="Y579" s="62" t="s">
        <v>7129</v>
      </c>
      <c r="Z579" s="62" t="s">
        <v>7130</v>
      </c>
      <c r="AA579" s="62" t="s">
        <v>57412</v>
      </c>
      <c r="AB579" s="62" t="s">
        <v>7131</v>
      </c>
      <c r="AC579" s="62" t="s">
        <v>7132</v>
      </c>
      <c r="AD579" s="62" t="s">
        <v>7133</v>
      </c>
    </row>
    <row r="580" spans="1:30" x14ac:dyDescent="0.25">
      <c r="A580" s="62" t="s">
        <v>109</v>
      </c>
      <c r="C580" s="62" t="s">
        <v>7134</v>
      </c>
      <c r="F580" s="62" t="s">
        <v>1288</v>
      </c>
      <c r="G580" s="62" t="s">
        <v>57273</v>
      </c>
      <c r="J580" s="62" t="s">
        <v>7135</v>
      </c>
      <c r="K580" s="62" t="s">
        <v>57308</v>
      </c>
      <c r="L580" s="62" t="s">
        <v>7136</v>
      </c>
      <c r="M580" s="62" t="s">
        <v>7137</v>
      </c>
      <c r="N580" s="62" t="s">
        <v>7138</v>
      </c>
      <c r="O580" s="62" t="s">
        <v>7139</v>
      </c>
      <c r="P580" s="62" t="s">
        <v>57343</v>
      </c>
      <c r="Q580" s="62" t="s">
        <v>7140</v>
      </c>
      <c r="R580" s="62" t="s">
        <v>7141</v>
      </c>
      <c r="S580" s="62" t="s">
        <v>7142</v>
      </c>
      <c r="U580" s="62" t="s">
        <v>7143</v>
      </c>
      <c r="V580" s="62" t="s">
        <v>57378</v>
      </c>
      <c r="W580" s="62" t="s">
        <v>7144</v>
      </c>
      <c r="X580" s="62" t="s">
        <v>7145</v>
      </c>
      <c r="Y580" s="62" t="s">
        <v>7146</v>
      </c>
      <c r="Z580" s="62" t="s">
        <v>7147</v>
      </c>
      <c r="AA580" s="62" t="s">
        <v>57413</v>
      </c>
      <c r="AB580" s="62" t="s">
        <v>7148</v>
      </c>
      <c r="AC580" s="62" t="s">
        <v>7149</v>
      </c>
      <c r="AD580" s="62" t="s">
        <v>7150</v>
      </c>
    </row>
    <row r="581" spans="1:30" x14ac:dyDescent="0.25">
      <c r="A581" s="62" t="s">
        <v>109</v>
      </c>
      <c r="C581" s="62" t="s">
        <v>7151</v>
      </c>
      <c r="F581" s="62" t="s">
        <v>1289</v>
      </c>
      <c r="G581" s="62" t="s">
        <v>57274</v>
      </c>
      <c r="J581" s="62" t="s">
        <v>7152</v>
      </c>
      <c r="K581" s="62" t="s">
        <v>57309</v>
      </c>
      <c r="L581" s="62" t="s">
        <v>7153</v>
      </c>
      <c r="M581" s="62" t="s">
        <v>7154</v>
      </c>
      <c r="N581" s="62" t="s">
        <v>7155</v>
      </c>
      <c r="O581" s="62" t="s">
        <v>7156</v>
      </c>
      <c r="P581" s="62" t="s">
        <v>57344</v>
      </c>
      <c r="Q581" s="62" t="s">
        <v>7157</v>
      </c>
      <c r="R581" s="62" t="s">
        <v>7158</v>
      </c>
      <c r="S581" s="62" t="s">
        <v>7159</v>
      </c>
      <c r="U581" s="62" t="s">
        <v>7160</v>
      </c>
      <c r="V581" s="62" t="s">
        <v>57379</v>
      </c>
      <c r="W581" s="62" t="s">
        <v>7161</v>
      </c>
      <c r="X581" s="62" t="s">
        <v>7162</v>
      </c>
      <c r="Y581" s="62" t="s">
        <v>7163</v>
      </c>
      <c r="Z581" s="62" t="s">
        <v>7164</v>
      </c>
      <c r="AA581" s="62" t="s">
        <v>57414</v>
      </c>
      <c r="AB581" s="62" t="s">
        <v>7165</v>
      </c>
      <c r="AC581" s="62" t="s">
        <v>7166</v>
      </c>
      <c r="AD581" s="62" t="s">
        <v>7167</v>
      </c>
    </row>
    <row r="582" spans="1:30" x14ac:dyDescent="0.25">
      <c r="A582" s="62" t="s">
        <v>109</v>
      </c>
      <c r="C582" s="62" t="s">
        <v>7168</v>
      </c>
      <c r="F582" s="62" t="s">
        <v>1797</v>
      </c>
      <c r="G582" s="62" t="s">
        <v>57275</v>
      </c>
      <c r="J582" s="62" t="s">
        <v>7169</v>
      </c>
      <c r="K582" s="62" t="s">
        <v>57310</v>
      </c>
      <c r="L582" s="62" t="s">
        <v>7170</v>
      </c>
      <c r="M582" s="62" t="s">
        <v>7171</v>
      </c>
      <c r="N582" s="62" t="s">
        <v>7172</v>
      </c>
      <c r="O582" s="62" t="s">
        <v>7173</v>
      </c>
      <c r="P582" s="62" t="s">
        <v>57345</v>
      </c>
      <c r="Q582" s="62" t="s">
        <v>7174</v>
      </c>
      <c r="R582" s="62" t="s">
        <v>7175</v>
      </c>
      <c r="S582" s="62" t="s">
        <v>7176</v>
      </c>
      <c r="U582" s="62" t="s">
        <v>7177</v>
      </c>
      <c r="V582" s="62" t="s">
        <v>57380</v>
      </c>
      <c r="W582" s="62" t="s">
        <v>7178</v>
      </c>
      <c r="X582" s="62" t="s">
        <v>7179</v>
      </c>
      <c r="Y582" s="62" t="s">
        <v>7180</v>
      </c>
      <c r="Z582" s="62" t="s">
        <v>7181</v>
      </c>
      <c r="AA582" s="62" t="s">
        <v>57415</v>
      </c>
      <c r="AB582" s="62" t="s">
        <v>7182</v>
      </c>
      <c r="AC582" s="62" t="s">
        <v>7183</v>
      </c>
      <c r="AD582" s="62" t="s">
        <v>7184</v>
      </c>
    </row>
    <row r="583" spans="1:30" x14ac:dyDescent="0.25">
      <c r="A583" s="62" t="s">
        <v>109</v>
      </c>
      <c r="C583" s="62" t="s">
        <v>7185</v>
      </c>
      <c r="F583" s="62" t="s">
        <v>1299</v>
      </c>
      <c r="G583" s="62" t="s">
        <v>57276</v>
      </c>
      <c r="J583" s="62" t="s">
        <v>7186</v>
      </c>
      <c r="K583" s="62" t="s">
        <v>57311</v>
      </c>
      <c r="L583" s="62" t="s">
        <v>7187</v>
      </c>
      <c r="M583" s="62" t="s">
        <v>7188</v>
      </c>
      <c r="N583" s="62" t="s">
        <v>7189</v>
      </c>
      <c r="O583" s="62" t="s">
        <v>7190</v>
      </c>
      <c r="P583" s="62" t="s">
        <v>57346</v>
      </c>
      <c r="Q583" s="62" t="s">
        <v>7191</v>
      </c>
      <c r="R583" s="62" t="s">
        <v>7192</v>
      </c>
      <c r="S583" s="62" t="s">
        <v>7193</v>
      </c>
      <c r="U583" s="62" t="s">
        <v>7194</v>
      </c>
      <c r="V583" s="62" t="s">
        <v>57381</v>
      </c>
      <c r="W583" s="62" t="s">
        <v>7195</v>
      </c>
      <c r="X583" s="62" t="s">
        <v>7196</v>
      </c>
      <c r="Y583" s="62" t="s">
        <v>7197</v>
      </c>
      <c r="Z583" s="62" t="s">
        <v>7198</v>
      </c>
      <c r="AA583" s="62" t="s">
        <v>57416</v>
      </c>
      <c r="AB583" s="62" t="s">
        <v>7199</v>
      </c>
      <c r="AC583" s="62" t="s">
        <v>7200</v>
      </c>
      <c r="AD583" s="62" t="s">
        <v>7201</v>
      </c>
    </row>
    <row r="584" spans="1:30" x14ac:dyDescent="0.25">
      <c r="A584" s="62" t="s">
        <v>109</v>
      </c>
      <c r="C584" s="62" t="s">
        <v>6699</v>
      </c>
    </row>
    <row r="585" spans="1:30" x14ac:dyDescent="0.25">
      <c r="A585" s="62" t="s">
        <v>109</v>
      </c>
      <c r="C585" s="62" t="s">
        <v>7202</v>
      </c>
      <c r="G585" s="62" t="s">
        <v>7203</v>
      </c>
      <c r="J585" s="62" t="s">
        <v>41161</v>
      </c>
      <c r="K585" s="62" t="s">
        <v>41162</v>
      </c>
      <c r="L585" s="62" t="s">
        <v>41163</v>
      </c>
      <c r="M585" s="62" t="s">
        <v>7204</v>
      </c>
      <c r="N585" s="62" t="s">
        <v>7205</v>
      </c>
      <c r="O585" s="62" t="s">
        <v>41164</v>
      </c>
      <c r="P585" s="62" t="s">
        <v>41165</v>
      </c>
      <c r="Q585" s="62" t="s">
        <v>41166</v>
      </c>
      <c r="R585" s="62" t="s">
        <v>7206</v>
      </c>
      <c r="S585" s="62" t="s">
        <v>7207</v>
      </c>
      <c r="U585" s="62" t="s">
        <v>41167</v>
      </c>
      <c r="V585" s="62" t="s">
        <v>41168</v>
      </c>
      <c r="W585" s="62" t="s">
        <v>41169</v>
      </c>
      <c r="X585" s="62" t="s">
        <v>7208</v>
      </c>
      <c r="Y585" s="62" t="s">
        <v>7209</v>
      </c>
      <c r="Z585" s="62" t="s">
        <v>41170</v>
      </c>
      <c r="AA585" s="62" t="s">
        <v>41171</v>
      </c>
      <c r="AB585" s="62" t="s">
        <v>41172</v>
      </c>
      <c r="AC585" s="62" t="s">
        <v>7210</v>
      </c>
      <c r="AD585" s="62" t="s">
        <v>7211</v>
      </c>
    </row>
    <row r="586" spans="1:30" x14ac:dyDescent="0.25">
      <c r="A586" s="62" t="s">
        <v>109</v>
      </c>
    </row>
    <row r="587" spans="1:30" x14ac:dyDescent="0.25">
      <c r="A587" s="62" t="s">
        <v>109</v>
      </c>
      <c r="C587" s="62" t="s">
        <v>7212</v>
      </c>
      <c r="E587" s="62" t="s">
        <v>237</v>
      </c>
      <c r="G587" s="62" t="s">
        <v>7213</v>
      </c>
    </row>
    <row r="588" spans="1:30" x14ac:dyDescent="0.25">
      <c r="A588" s="62" t="s">
        <v>109</v>
      </c>
      <c r="C588" s="62" t="s">
        <v>7214</v>
      </c>
    </row>
    <row r="589" spans="1:30" x14ac:dyDescent="0.25">
      <c r="A589" s="62" t="s">
        <v>109</v>
      </c>
      <c r="C589" s="62" t="s">
        <v>7215</v>
      </c>
      <c r="F589" s="62" t="s">
        <v>7216</v>
      </c>
      <c r="G589" s="62" t="s">
        <v>46525</v>
      </c>
      <c r="J589" s="62" t="s">
        <v>7217</v>
      </c>
      <c r="K589" s="62" t="s">
        <v>46526</v>
      </c>
      <c r="L589" s="62" t="s">
        <v>7218</v>
      </c>
      <c r="M589" s="62" t="s">
        <v>7219</v>
      </c>
      <c r="N589" s="62" t="s">
        <v>7220</v>
      </c>
      <c r="O589" s="62" t="s">
        <v>7221</v>
      </c>
      <c r="P589" s="62" t="s">
        <v>46527</v>
      </c>
      <c r="Q589" s="62" t="s">
        <v>7222</v>
      </c>
      <c r="R589" s="62" t="s">
        <v>7223</v>
      </c>
      <c r="S589" s="62" t="s">
        <v>7224</v>
      </c>
      <c r="U589" s="62" t="s">
        <v>7225</v>
      </c>
      <c r="V589" s="62" t="s">
        <v>46528</v>
      </c>
      <c r="W589" s="62" t="s">
        <v>7226</v>
      </c>
      <c r="X589" s="62" t="s">
        <v>7227</v>
      </c>
      <c r="Y589" s="62" t="s">
        <v>7228</v>
      </c>
      <c r="Z589" s="62" t="s">
        <v>7229</v>
      </c>
      <c r="AA589" s="62" t="s">
        <v>46529</v>
      </c>
      <c r="AB589" s="62" t="s">
        <v>7230</v>
      </c>
      <c r="AC589" s="62" t="s">
        <v>7231</v>
      </c>
      <c r="AD589" s="62" t="s">
        <v>7232</v>
      </c>
    </row>
    <row r="590" spans="1:30" x14ac:dyDescent="0.25">
      <c r="A590" s="62" t="s">
        <v>109</v>
      </c>
      <c r="C590" s="62" t="s">
        <v>7233</v>
      </c>
    </row>
    <row r="591" spans="1:30" x14ac:dyDescent="0.25">
      <c r="A591" s="62" t="s">
        <v>109</v>
      </c>
      <c r="C591" s="62" t="s">
        <v>7234</v>
      </c>
      <c r="G591" s="62" t="s">
        <v>41173</v>
      </c>
      <c r="J591" s="62" t="s">
        <v>41174</v>
      </c>
      <c r="K591" s="62" t="s">
        <v>41175</v>
      </c>
      <c r="L591" s="62" t="s">
        <v>41176</v>
      </c>
      <c r="M591" s="62" t="s">
        <v>7235</v>
      </c>
      <c r="N591" s="62" t="s">
        <v>7236</v>
      </c>
      <c r="O591" s="62" t="s">
        <v>41177</v>
      </c>
      <c r="P591" s="62" t="s">
        <v>41178</v>
      </c>
      <c r="Q591" s="62" t="s">
        <v>41179</v>
      </c>
      <c r="R591" s="62" t="s">
        <v>7237</v>
      </c>
      <c r="S591" s="62" t="s">
        <v>7238</v>
      </c>
      <c r="U591" s="62" t="s">
        <v>41180</v>
      </c>
      <c r="V591" s="62" t="s">
        <v>41181</v>
      </c>
      <c r="W591" s="62" t="s">
        <v>41182</v>
      </c>
      <c r="X591" s="62" t="s">
        <v>7239</v>
      </c>
      <c r="Y591" s="62" t="s">
        <v>7240</v>
      </c>
      <c r="Z591" s="62" t="s">
        <v>41183</v>
      </c>
      <c r="AA591" s="62" t="s">
        <v>41184</v>
      </c>
      <c r="AB591" s="62" t="s">
        <v>41185</v>
      </c>
      <c r="AC591" s="62" t="s">
        <v>7241</v>
      </c>
      <c r="AD591" s="62" t="s">
        <v>7242</v>
      </c>
    </row>
    <row r="592" spans="1:30" x14ac:dyDescent="0.25">
      <c r="A592" s="62" t="s">
        <v>109</v>
      </c>
    </row>
    <row r="593" spans="1:30" x14ac:dyDescent="0.25">
      <c r="A593" s="62" t="s">
        <v>109</v>
      </c>
      <c r="C593" s="62" t="s">
        <v>41186</v>
      </c>
      <c r="E593" s="62" t="s">
        <v>254</v>
      </c>
      <c r="G593" s="62" t="s">
        <v>41187</v>
      </c>
    </row>
    <row r="594" spans="1:30" x14ac:dyDescent="0.25">
      <c r="A594" s="62" t="s">
        <v>109</v>
      </c>
      <c r="C594" s="62" t="s">
        <v>7243</v>
      </c>
    </row>
    <row r="595" spans="1:30" x14ac:dyDescent="0.25">
      <c r="A595" s="62" t="s">
        <v>109</v>
      </c>
      <c r="C595" s="62" t="s">
        <v>7244</v>
      </c>
      <c r="F595" s="62" t="s">
        <v>41188</v>
      </c>
      <c r="G595" s="62" t="s">
        <v>57152</v>
      </c>
      <c r="J595" s="62" t="s">
        <v>7245</v>
      </c>
      <c r="K595" s="62" t="s">
        <v>57170</v>
      </c>
      <c r="L595" s="62" t="s">
        <v>7246</v>
      </c>
      <c r="M595" s="62" t="s">
        <v>7247</v>
      </c>
      <c r="N595" s="62" t="s">
        <v>7248</v>
      </c>
      <c r="O595" s="62" t="s">
        <v>7249</v>
      </c>
      <c r="P595" s="62" t="s">
        <v>57188</v>
      </c>
      <c r="Q595" s="62" t="s">
        <v>7250</v>
      </c>
      <c r="R595" s="62" t="s">
        <v>7251</v>
      </c>
      <c r="S595" s="62" t="s">
        <v>7252</v>
      </c>
      <c r="U595" s="62" t="s">
        <v>7253</v>
      </c>
      <c r="V595" s="62" t="s">
        <v>57206</v>
      </c>
      <c r="W595" s="62" t="s">
        <v>7254</v>
      </c>
      <c r="X595" s="62" t="s">
        <v>7255</v>
      </c>
      <c r="Y595" s="62" t="s">
        <v>7256</v>
      </c>
      <c r="Z595" s="62" t="s">
        <v>7257</v>
      </c>
      <c r="AA595" s="62" t="s">
        <v>57224</v>
      </c>
      <c r="AB595" s="62" t="s">
        <v>7258</v>
      </c>
      <c r="AC595" s="62" t="s">
        <v>7259</v>
      </c>
      <c r="AD595" s="62" t="s">
        <v>7260</v>
      </c>
    </row>
    <row r="596" spans="1:30" x14ac:dyDescent="0.25">
      <c r="A596" s="62" t="s">
        <v>109</v>
      </c>
      <c r="C596" s="62" t="s">
        <v>7261</v>
      </c>
      <c r="F596" s="62" t="s">
        <v>731</v>
      </c>
      <c r="G596" s="62" t="s">
        <v>57153</v>
      </c>
      <c r="J596" s="62" t="s">
        <v>7262</v>
      </c>
      <c r="K596" s="62" t="s">
        <v>57171</v>
      </c>
      <c r="L596" s="62" t="s">
        <v>7263</v>
      </c>
      <c r="M596" s="62" t="s">
        <v>7264</v>
      </c>
      <c r="N596" s="62" t="s">
        <v>7265</v>
      </c>
      <c r="O596" s="62" t="s">
        <v>7266</v>
      </c>
      <c r="P596" s="62" t="s">
        <v>57189</v>
      </c>
      <c r="Q596" s="62" t="s">
        <v>7267</v>
      </c>
      <c r="R596" s="62" t="s">
        <v>7268</v>
      </c>
      <c r="S596" s="62" t="s">
        <v>7269</v>
      </c>
      <c r="U596" s="62" t="s">
        <v>7270</v>
      </c>
      <c r="V596" s="62" t="s">
        <v>57207</v>
      </c>
      <c r="W596" s="62" t="s">
        <v>7271</v>
      </c>
      <c r="X596" s="62" t="s">
        <v>7272</v>
      </c>
      <c r="Y596" s="62" t="s">
        <v>7273</v>
      </c>
      <c r="Z596" s="62" t="s">
        <v>7274</v>
      </c>
      <c r="AA596" s="62" t="s">
        <v>57225</v>
      </c>
      <c r="AB596" s="62" t="s">
        <v>7275</v>
      </c>
      <c r="AC596" s="62" t="s">
        <v>7276</v>
      </c>
      <c r="AD596" s="62" t="s">
        <v>7277</v>
      </c>
    </row>
    <row r="597" spans="1:30" x14ac:dyDescent="0.25">
      <c r="A597" s="62" t="s">
        <v>109</v>
      </c>
      <c r="C597" s="62" t="s">
        <v>7278</v>
      </c>
      <c r="F597" s="62" t="s">
        <v>748</v>
      </c>
      <c r="G597" s="62" t="s">
        <v>57154</v>
      </c>
      <c r="J597" s="62" t="s">
        <v>7279</v>
      </c>
      <c r="K597" s="62" t="s">
        <v>57172</v>
      </c>
      <c r="L597" s="62" t="s">
        <v>7280</v>
      </c>
      <c r="M597" s="62" t="s">
        <v>7281</v>
      </c>
      <c r="N597" s="62" t="s">
        <v>7282</v>
      </c>
      <c r="O597" s="62" t="s">
        <v>7283</v>
      </c>
      <c r="P597" s="62" t="s">
        <v>57190</v>
      </c>
      <c r="Q597" s="62" t="s">
        <v>7284</v>
      </c>
      <c r="R597" s="62" t="s">
        <v>7285</v>
      </c>
      <c r="S597" s="62" t="s">
        <v>7286</v>
      </c>
      <c r="U597" s="62" t="s">
        <v>7287</v>
      </c>
      <c r="V597" s="62" t="s">
        <v>57208</v>
      </c>
      <c r="W597" s="62" t="s">
        <v>7288</v>
      </c>
      <c r="X597" s="62" t="s">
        <v>7289</v>
      </c>
      <c r="Y597" s="62" t="s">
        <v>7290</v>
      </c>
      <c r="Z597" s="62" t="s">
        <v>7291</v>
      </c>
      <c r="AA597" s="62" t="s">
        <v>57226</v>
      </c>
      <c r="AB597" s="62" t="s">
        <v>7292</v>
      </c>
      <c r="AC597" s="62" t="s">
        <v>7293</v>
      </c>
      <c r="AD597" s="62" t="s">
        <v>7294</v>
      </c>
    </row>
    <row r="598" spans="1:30" x14ac:dyDescent="0.25">
      <c r="A598" s="62" t="s">
        <v>109</v>
      </c>
      <c r="C598" s="62" t="s">
        <v>7295</v>
      </c>
      <c r="F598" s="62" t="s">
        <v>2153</v>
      </c>
      <c r="G598" s="62" t="s">
        <v>57155</v>
      </c>
      <c r="J598" s="62" t="s">
        <v>7296</v>
      </c>
      <c r="K598" s="62" t="s">
        <v>57173</v>
      </c>
      <c r="L598" s="62" t="s">
        <v>7297</v>
      </c>
      <c r="M598" s="62" t="s">
        <v>7298</v>
      </c>
      <c r="N598" s="62" t="s">
        <v>7299</v>
      </c>
      <c r="O598" s="62" t="s">
        <v>7300</v>
      </c>
      <c r="P598" s="62" t="s">
        <v>57191</v>
      </c>
      <c r="Q598" s="62" t="s">
        <v>7301</v>
      </c>
      <c r="R598" s="62" t="s">
        <v>7302</v>
      </c>
      <c r="S598" s="62" t="s">
        <v>7303</v>
      </c>
      <c r="U598" s="62" t="s">
        <v>7304</v>
      </c>
      <c r="V598" s="62" t="s">
        <v>57209</v>
      </c>
      <c r="W598" s="62" t="s">
        <v>7305</v>
      </c>
      <c r="X598" s="62" t="s">
        <v>7306</v>
      </c>
      <c r="Y598" s="62" t="s">
        <v>7307</v>
      </c>
      <c r="Z598" s="62" t="s">
        <v>7308</v>
      </c>
      <c r="AA598" s="62" t="s">
        <v>57227</v>
      </c>
      <c r="AB598" s="62" t="s">
        <v>7309</v>
      </c>
      <c r="AC598" s="62" t="s">
        <v>7310</v>
      </c>
      <c r="AD598" s="62" t="s">
        <v>7311</v>
      </c>
    </row>
    <row r="599" spans="1:30" x14ac:dyDescent="0.25">
      <c r="A599" s="62" t="s">
        <v>109</v>
      </c>
      <c r="C599" s="62" t="s">
        <v>7312</v>
      </c>
      <c r="F599" s="62" t="s">
        <v>5259</v>
      </c>
      <c r="G599" s="62" t="s">
        <v>57156</v>
      </c>
      <c r="J599" s="62" t="s">
        <v>7313</v>
      </c>
      <c r="K599" s="62" t="s">
        <v>57174</v>
      </c>
      <c r="L599" s="62" t="s">
        <v>7314</v>
      </c>
      <c r="M599" s="62" t="s">
        <v>7315</v>
      </c>
      <c r="N599" s="62" t="s">
        <v>7316</v>
      </c>
      <c r="O599" s="62" t="s">
        <v>7317</v>
      </c>
      <c r="P599" s="62" t="s">
        <v>57192</v>
      </c>
      <c r="Q599" s="62" t="s">
        <v>7318</v>
      </c>
      <c r="R599" s="62" t="s">
        <v>7319</v>
      </c>
      <c r="S599" s="62" t="s">
        <v>7320</v>
      </c>
      <c r="U599" s="62" t="s">
        <v>7321</v>
      </c>
      <c r="V599" s="62" t="s">
        <v>57210</v>
      </c>
      <c r="W599" s="62" t="s">
        <v>7322</v>
      </c>
      <c r="X599" s="62" t="s">
        <v>7323</v>
      </c>
      <c r="Y599" s="62" t="s">
        <v>7324</v>
      </c>
      <c r="Z599" s="62" t="s">
        <v>7325</v>
      </c>
      <c r="AA599" s="62" t="s">
        <v>57228</v>
      </c>
      <c r="AB599" s="62" t="s">
        <v>7326</v>
      </c>
      <c r="AC599" s="62" t="s">
        <v>7327</v>
      </c>
      <c r="AD599" s="62" t="s">
        <v>7328</v>
      </c>
    </row>
    <row r="600" spans="1:30" x14ac:dyDescent="0.25">
      <c r="A600" s="62" t="s">
        <v>109</v>
      </c>
      <c r="C600" s="62" t="s">
        <v>7329</v>
      </c>
      <c r="F600" s="62" t="s">
        <v>176</v>
      </c>
      <c r="G600" s="62" t="s">
        <v>57157</v>
      </c>
      <c r="J600" s="62" t="s">
        <v>7330</v>
      </c>
      <c r="K600" s="62" t="s">
        <v>57175</v>
      </c>
      <c r="L600" s="62" t="s">
        <v>7331</v>
      </c>
      <c r="M600" s="62" t="s">
        <v>7332</v>
      </c>
      <c r="N600" s="62" t="s">
        <v>7333</v>
      </c>
      <c r="O600" s="62" t="s">
        <v>7334</v>
      </c>
      <c r="P600" s="62" t="s">
        <v>57193</v>
      </c>
      <c r="Q600" s="62" t="s">
        <v>7335</v>
      </c>
      <c r="R600" s="62" t="s">
        <v>7336</v>
      </c>
      <c r="S600" s="62" t="s">
        <v>7337</v>
      </c>
      <c r="U600" s="62" t="s">
        <v>7338</v>
      </c>
      <c r="V600" s="62" t="s">
        <v>57211</v>
      </c>
      <c r="W600" s="62" t="s">
        <v>7339</v>
      </c>
      <c r="X600" s="62" t="s">
        <v>7340</v>
      </c>
      <c r="Y600" s="62" t="s">
        <v>7341</v>
      </c>
      <c r="Z600" s="62" t="s">
        <v>7342</v>
      </c>
      <c r="AA600" s="62" t="s">
        <v>57229</v>
      </c>
      <c r="AB600" s="62" t="s">
        <v>7343</v>
      </c>
      <c r="AC600" s="62" t="s">
        <v>7344</v>
      </c>
      <c r="AD600" s="62" t="s">
        <v>7345</v>
      </c>
    </row>
    <row r="601" spans="1:30" x14ac:dyDescent="0.25">
      <c r="A601" s="62" t="s">
        <v>109</v>
      </c>
      <c r="C601" s="62" t="s">
        <v>7346</v>
      </c>
      <c r="F601" s="62" t="s">
        <v>976</v>
      </c>
      <c r="G601" s="62" t="s">
        <v>57158</v>
      </c>
      <c r="J601" s="62" t="s">
        <v>7347</v>
      </c>
      <c r="K601" s="62" t="s">
        <v>57176</v>
      </c>
      <c r="L601" s="62" t="s">
        <v>7348</v>
      </c>
      <c r="M601" s="62" t="s">
        <v>7349</v>
      </c>
      <c r="N601" s="62" t="s">
        <v>7350</v>
      </c>
      <c r="O601" s="62" t="s">
        <v>7351</v>
      </c>
      <c r="P601" s="62" t="s">
        <v>57194</v>
      </c>
      <c r="Q601" s="62" t="s">
        <v>7352</v>
      </c>
      <c r="R601" s="62" t="s">
        <v>7353</v>
      </c>
      <c r="S601" s="62" t="s">
        <v>7354</v>
      </c>
      <c r="U601" s="62" t="s">
        <v>7355</v>
      </c>
      <c r="V601" s="62" t="s">
        <v>57212</v>
      </c>
      <c r="W601" s="62" t="s">
        <v>7356</v>
      </c>
      <c r="X601" s="62" t="s">
        <v>7357</v>
      </c>
      <c r="Y601" s="62" t="s">
        <v>7358</v>
      </c>
      <c r="Z601" s="62" t="s">
        <v>7359</v>
      </c>
      <c r="AA601" s="62" t="s">
        <v>57230</v>
      </c>
      <c r="AB601" s="62" t="s">
        <v>7360</v>
      </c>
      <c r="AC601" s="62" t="s">
        <v>7361</v>
      </c>
      <c r="AD601" s="62" t="s">
        <v>7362</v>
      </c>
    </row>
    <row r="602" spans="1:30" x14ac:dyDescent="0.25">
      <c r="A602" s="62" t="s">
        <v>109</v>
      </c>
      <c r="C602" s="62" t="s">
        <v>7363</v>
      </c>
      <c r="F602" s="62" t="s">
        <v>193</v>
      </c>
      <c r="G602" s="62" t="s">
        <v>57159</v>
      </c>
      <c r="J602" s="62" t="s">
        <v>7364</v>
      </c>
      <c r="K602" s="62" t="s">
        <v>57177</v>
      </c>
      <c r="L602" s="62" t="s">
        <v>7365</v>
      </c>
      <c r="M602" s="62" t="s">
        <v>7366</v>
      </c>
      <c r="N602" s="62" t="s">
        <v>7367</v>
      </c>
      <c r="O602" s="62" t="s">
        <v>7368</v>
      </c>
      <c r="P602" s="62" t="s">
        <v>57195</v>
      </c>
      <c r="Q602" s="62" t="s">
        <v>7369</v>
      </c>
      <c r="R602" s="62" t="s">
        <v>7370</v>
      </c>
      <c r="S602" s="62" t="s">
        <v>7371</v>
      </c>
      <c r="U602" s="62" t="s">
        <v>7372</v>
      </c>
      <c r="V602" s="62" t="s">
        <v>57213</v>
      </c>
      <c r="W602" s="62" t="s">
        <v>7373</v>
      </c>
      <c r="X602" s="62" t="s">
        <v>7374</v>
      </c>
      <c r="Y602" s="62" t="s">
        <v>7375</v>
      </c>
      <c r="Z602" s="62" t="s">
        <v>7376</v>
      </c>
      <c r="AA602" s="62" t="s">
        <v>57231</v>
      </c>
      <c r="AB602" s="62" t="s">
        <v>7377</v>
      </c>
      <c r="AC602" s="62" t="s">
        <v>7378</v>
      </c>
      <c r="AD602" s="62" t="s">
        <v>7379</v>
      </c>
    </row>
    <row r="603" spans="1:30" x14ac:dyDescent="0.25">
      <c r="A603" s="62" t="s">
        <v>109</v>
      </c>
      <c r="C603" s="62" t="s">
        <v>7380</v>
      </c>
      <c r="F603" s="62" t="s">
        <v>2222</v>
      </c>
      <c r="G603" s="62" t="s">
        <v>57160</v>
      </c>
      <c r="J603" s="62" t="s">
        <v>7381</v>
      </c>
      <c r="K603" s="62" t="s">
        <v>57178</v>
      </c>
      <c r="L603" s="62" t="s">
        <v>7382</v>
      </c>
      <c r="M603" s="62" t="s">
        <v>7383</v>
      </c>
      <c r="N603" s="62" t="s">
        <v>7384</v>
      </c>
      <c r="O603" s="62" t="s">
        <v>7385</v>
      </c>
      <c r="P603" s="62" t="s">
        <v>57196</v>
      </c>
      <c r="Q603" s="62" t="s">
        <v>7386</v>
      </c>
      <c r="R603" s="62" t="s">
        <v>7387</v>
      </c>
      <c r="S603" s="62" t="s">
        <v>7388</v>
      </c>
      <c r="U603" s="62" t="s">
        <v>7389</v>
      </c>
      <c r="V603" s="62" t="s">
        <v>57214</v>
      </c>
      <c r="W603" s="62" t="s">
        <v>7390</v>
      </c>
      <c r="X603" s="62" t="s">
        <v>7391</v>
      </c>
      <c r="Y603" s="62" t="s">
        <v>7392</v>
      </c>
      <c r="Z603" s="62" t="s">
        <v>7393</v>
      </c>
      <c r="AA603" s="62" t="s">
        <v>57232</v>
      </c>
      <c r="AB603" s="62" t="s">
        <v>7394</v>
      </c>
      <c r="AC603" s="62" t="s">
        <v>7395</v>
      </c>
      <c r="AD603" s="62" t="s">
        <v>7396</v>
      </c>
    </row>
    <row r="604" spans="1:30" x14ac:dyDescent="0.25">
      <c r="A604" s="62" t="s">
        <v>109</v>
      </c>
      <c r="C604" s="62" t="s">
        <v>7397</v>
      </c>
      <c r="F604" s="62" t="s">
        <v>2240</v>
      </c>
      <c r="G604" s="62" t="s">
        <v>57161</v>
      </c>
      <c r="J604" s="62" t="s">
        <v>7398</v>
      </c>
      <c r="K604" s="62" t="s">
        <v>57179</v>
      </c>
      <c r="L604" s="62" t="s">
        <v>7399</v>
      </c>
      <c r="M604" s="62" t="s">
        <v>7400</v>
      </c>
      <c r="N604" s="62" t="s">
        <v>7401</v>
      </c>
      <c r="O604" s="62" t="s">
        <v>7402</v>
      </c>
      <c r="P604" s="62" t="s">
        <v>57197</v>
      </c>
      <c r="Q604" s="62" t="s">
        <v>7403</v>
      </c>
      <c r="R604" s="62" t="s">
        <v>7404</v>
      </c>
      <c r="S604" s="62" t="s">
        <v>7405</v>
      </c>
      <c r="U604" s="62" t="s">
        <v>7406</v>
      </c>
      <c r="V604" s="62" t="s">
        <v>57215</v>
      </c>
      <c r="W604" s="62" t="s">
        <v>7407</v>
      </c>
      <c r="X604" s="62" t="s">
        <v>7408</v>
      </c>
      <c r="Y604" s="62" t="s">
        <v>7409</v>
      </c>
      <c r="Z604" s="62" t="s">
        <v>7410</v>
      </c>
      <c r="AA604" s="62" t="s">
        <v>57233</v>
      </c>
      <c r="AB604" s="62" t="s">
        <v>7411</v>
      </c>
      <c r="AC604" s="62" t="s">
        <v>7412</v>
      </c>
      <c r="AD604" s="62" t="s">
        <v>7413</v>
      </c>
    </row>
    <row r="605" spans="1:30" x14ac:dyDescent="0.25">
      <c r="A605" s="62" t="s">
        <v>109</v>
      </c>
      <c r="C605" s="62" t="s">
        <v>7414</v>
      </c>
      <c r="F605" s="62" t="s">
        <v>210</v>
      </c>
      <c r="G605" s="62" t="s">
        <v>57162</v>
      </c>
      <c r="J605" s="62" t="s">
        <v>7415</v>
      </c>
      <c r="K605" s="62" t="s">
        <v>57180</v>
      </c>
      <c r="L605" s="62" t="s">
        <v>7416</v>
      </c>
      <c r="M605" s="62" t="s">
        <v>7417</v>
      </c>
      <c r="N605" s="62" t="s">
        <v>7418</v>
      </c>
      <c r="O605" s="62" t="s">
        <v>7419</v>
      </c>
      <c r="P605" s="62" t="s">
        <v>57198</v>
      </c>
      <c r="Q605" s="62" t="s">
        <v>7420</v>
      </c>
      <c r="R605" s="62" t="s">
        <v>7421</v>
      </c>
      <c r="S605" s="62" t="s">
        <v>7422</v>
      </c>
      <c r="U605" s="62" t="s">
        <v>7423</v>
      </c>
      <c r="V605" s="62" t="s">
        <v>57216</v>
      </c>
      <c r="W605" s="62" t="s">
        <v>7424</v>
      </c>
      <c r="X605" s="62" t="s">
        <v>7425</v>
      </c>
      <c r="Y605" s="62" t="s">
        <v>7426</v>
      </c>
      <c r="Z605" s="62" t="s">
        <v>7427</v>
      </c>
      <c r="AA605" s="62" t="s">
        <v>57234</v>
      </c>
      <c r="AB605" s="62" t="s">
        <v>7428</v>
      </c>
      <c r="AC605" s="62" t="s">
        <v>7429</v>
      </c>
      <c r="AD605" s="62" t="s">
        <v>7430</v>
      </c>
    </row>
    <row r="606" spans="1:30" x14ac:dyDescent="0.25">
      <c r="A606" s="62" t="s">
        <v>109</v>
      </c>
      <c r="C606" s="62" t="s">
        <v>7431</v>
      </c>
      <c r="F606" s="62" t="s">
        <v>2297</v>
      </c>
      <c r="G606" s="62" t="s">
        <v>57163</v>
      </c>
      <c r="J606" s="62" t="s">
        <v>7432</v>
      </c>
      <c r="K606" s="62" t="s">
        <v>57181</v>
      </c>
      <c r="L606" s="62" t="s">
        <v>7433</v>
      </c>
      <c r="M606" s="62" t="s">
        <v>7434</v>
      </c>
      <c r="N606" s="62" t="s">
        <v>7435</v>
      </c>
      <c r="O606" s="62" t="s">
        <v>7436</v>
      </c>
      <c r="P606" s="62" t="s">
        <v>57199</v>
      </c>
      <c r="Q606" s="62" t="s">
        <v>7437</v>
      </c>
      <c r="R606" s="62" t="s">
        <v>7438</v>
      </c>
      <c r="S606" s="62" t="s">
        <v>7439</v>
      </c>
      <c r="U606" s="62" t="s">
        <v>7440</v>
      </c>
      <c r="V606" s="62" t="s">
        <v>57217</v>
      </c>
      <c r="W606" s="62" t="s">
        <v>7441</v>
      </c>
      <c r="X606" s="62" t="s">
        <v>7442</v>
      </c>
      <c r="Y606" s="62" t="s">
        <v>7443</v>
      </c>
      <c r="Z606" s="62" t="s">
        <v>7444</v>
      </c>
      <c r="AA606" s="62" t="s">
        <v>57235</v>
      </c>
      <c r="AB606" s="62" t="s">
        <v>7445</v>
      </c>
      <c r="AC606" s="62" t="s">
        <v>7446</v>
      </c>
      <c r="AD606" s="62" t="s">
        <v>7447</v>
      </c>
    </row>
    <row r="607" spans="1:30" x14ac:dyDescent="0.25">
      <c r="A607" s="62" t="s">
        <v>109</v>
      </c>
      <c r="C607" s="62" t="s">
        <v>7448</v>
      </c>
      <c r="F607" s="62" t="s">
        <v>4942</v>
      </c>
      <c r="G607" s="62" t="s">
        <v>57164</v>
      </c>
      <c r="J607" s="62" t="s">
        <v>7449</v>
      </c>
      <c r="K607" s="62" t="s">
        <v>57182</v>
      </c>
      <c r="L607" s="62" t="s">
        <v>7450</v>
      </c>
      <c r="M607" s="62" t="s">
        <v>7451</v>
      </c>
      <c r="N607" s="62" t="s">
        <v>7452</v>
      </c>
      <c r="O607" s="62" t="s">
        <v>7453</v>
      </c>
      <c r="P607" s="62" t="s">
        <v>57200</v>
      </c>
      <c r="Q607" s="62" t="s">
        <v>7454</v>
      </c>
      <c r="R607" s="62" t="s">
        <v>7455</v>
      </c>
      <c r="S607" s="62" t="s">
        <v>7456</v>
      </c>
      <c r="U607" s="62" t="s">
        <v>7457</v>
      </c>
      <c r="V607" s="62" t="s">
        <v>57218</v>
      </c>
      <c r="W607" s="62" t="s">
        <v>7458</v>
      </c>
      <c r="X607" s="62" t="s">
        <v>7459</v>
      </c>
      <c r="Y607" s="62" t="s">
        <v>7460</v>
      </c>
      <c r="Z607" s="62" t="s">
        <v>7461</v>
      </c>
      <c r="AA607" s="62" t="s">
        <v>57236</v>
      </c>
      <c r="AB607" s="62" t="s">
        <v>7462</v>
      </c>
      <c r="AC607" s="62" t="s">
        <v>7463</v>
      </c>
      <c r="AD607" s="62" t="s">
        <v>7464</v>
      </c>
    </row>
    <row r="608" spans="1:30" x14ac:dyDescent="0.25">
      <c r="A608" s="62" t="s">
        <v>109</v>
      </c>
      <c r="C608" s="62" t="s">
        <v>7465</v>
      </c>
      <c r="F608" s="62" t="s">
        <v>2464</v>
      </c>
      <c r="G608" s="62" t="s">
        <v>57165</v>
      </c>
      <c r="J608" s="62" t="s">
        <v>7466</v>
      </c>
      <c r="K608" s="62" t="s">
        <v>57183</v>
      </c>
      <c r="L608" s="62" t="s">
        <v>7467</v>
      </c>
      <c r="M608" s="62" t="s">
        <v>7468</v>
      </c>
      <c r="N608" s="62" t="s">
        <v>7469</v>
      </c>
      <c r="O608" s="62" t="s">
        <v>7470</v>
      </c>
      <c r="P608" s="62" t="s">
        <v>57201</v>
      </c>
      <c r="Q608" s="62" t="s">
        <v>7471</v>
      </c>
      <c r="R608" s="62" t="s">
        <v>7472</v>
      </c>
      <c r="S608" s="62" t="s">
        <v>7473</v>
      </c>
      <c r="U608" s="62" t="s">
        <v>7474</v>
      </c>
      <c r="V608" s="62" t="s">
        <v>57219</v>
      </c>
      <c r="W608" s="62" t="s">
        <v>7475</v>
      </c>
      <c r="X608" s="62" t="s">
        <v>7476</v>
      </c>
      <c r="Y608" s="62" t="s">
        <v>7477</v>
      </c>
      <c r="Z608" s="62" t="s">
        <v>7478</v>
      </c>
      <c r="AA608" s="62" t="s">
        <v>57237</v>
      </c>
      <c r="AB608" s="62" t="s">
        <v>7479</v>
      </c>
      <c r="AC608" s="62" t="s">
        <v>7480</v>
      </c>
      <c r="AD608" s="62" t="s">
        <v>7481</v>
      </c>
    </row>
    <row r="609" spans="1:30" x14ac:dyDescent="0.25">
      <c r="A609" s="62" t="s">
        <v>109</v>
      </c>
      <c r="C609" s="62" t="s">
        <v>7482</v>
      </c>
      <c r="F609" s="62" t="s">
        <v>2481</v>
      </c>
      <c r="G609" s="62" t="s">
        <v>57166</v>
      </c>
      <c r="J609" s="62" t="s">
        <v>7483</v>
      </c>
      <c r="K609" s="62" t="s">
        <v>57184</v>
      </c>
      <c r="L609" s="62" t="s">
        <v>7484</v>
      </c>
      <c r="M609" s="62" t="s">
        <v>7485</v>
      </c>
      <c r="N609" s="62" t="s">
        <v>7486</v>
      </c>
      <c r="O609" s="62" t="s">
        <v>7487</v>
      </c>
      <c r="P609" s="62" t="s">
        <v>57202</v>
      </c>
      <c r="Q609" s="62" t="s">
        <v>7488</v>
      </c>
      <c r="R609" s="62" t="s">
        <v>7489</v>
      </c>
      <c r="S609" s="62" t="s">
        <v>7490</v>
      </c>
      <c r="U609" s="62" t="s">
        <v>7491</v>
      </c>
      <c r="V609" s="62" t="s">
        <v>57220</v>
      </c>
      <c r="W609" s="62" t="s">
        <v>7492</v>
      </c>
      <c r="X609" s="62" t="s">
        <v>7493</v>
      </c>
      <c r="Y609" s="62" t="s">
        <v>7494</v>
      </c>
      <c r="Z609" s="62" t="s">
        <v>7495</v>
      </c>
      <c r="AA609" s="62" t="s">
        <v>57238</v>
      </c>
      <c r="AB609" s="62" t="s">
        <v>7496</v>
      </c>
      <c r="AC609" s="62" t="s">
        <v>7497</v>
      </c>
      <c r="AD609" s="62" t="s">
        <v>7498</v>
      </c>
    </row>
    <row r="610" spans="1:30" x14ac:dyDescent="0.25">
      <c r="A610" s="62" t="s">
        <v>109</v>
      </c>
      <c r="C610" s="62" t="s">
        <v>7499</v>
      </c>
      <c r="F610" s="62" t="s">
        <v>2337</v>
      </c>
      <c r="G610" s="62" t="s">
        <v>57167</v>
      </c>
      <c r="J610" s="62" t="s">
        <v>7500</v>
      </c>
      <c r="K610" s="62" t="s">
        <v>57185</v>
      </c>
      <c r="L610" s="62" t="s">
        <v>7501</v>
      </c>
      <c r="M610" s="62" t="s">
        <v>7502</v>
      </c>
      <c r="N610" s="62" t="s">
        <v>7503</v>
      </c>
      <c r="O610" s="62" t="s">
        <v>7504</v>
      </c>
      <c r="P610" s="62" t="s">
        <v>57203</v>
      </c>
      <c r="Q610" s="62" t="s">
        <v>7505</v>
      </c>
      <c r="R610" s="62" t="s">
        <v>7506</v>
      </c>
      <c r="S610" s="62" t="s">
        <v>7507</v>
      </c>
      <c r="U610" s="62" t="s">
        <v>7508</v>
      </c>
      <c r="V610" s="62" t="s">
        <v>57221</v>
      </c>
      <c r="W610" s="62" t="s">
        <v>7509</v>
      </c>
      <c r="X610" s="62" t="s">
        <v>7510</v>
      </c>
      <c r="Y610" s="62" t="s">
        <v>7511</v>
      </c>
      <c r="Z610" s="62" t="s">
        <v>7512</v>
      </c>
      <c r="AA610" s="62" t="s">
        <v>57239</v>
      </c>
      <c r="AB610" s="62" t="s">
        <v>7513</v>
      </c>
      <c r="AC610" s="62" t="s">
        <v>7514</v>
      </c>
      <c r="AD610" s="62" t="s">
        <v>7515</v>
      </c>
    </row>
    <row r="611" spans="1:30" x14ac:dyDescent="0.25">
      <c r="A611" s="62" t="s">
        <v>109</v>
      </c>
      <c r="C611" s="62" t="s">
        <v>7516</v>
      </c>
      <c r="F611" s="62" t="s">
        <v>2355</v>
      </c>
      <c r="G611" s="62" t="s">
        <v>57168</v>
      </c>
      <c r="J611" s="62" t="s">
        <v>7517</v>
      </c>
      <c r="K611" s="62" t="s">
        <v>57186</v>
      </c>
      <c r="L611" s="62" t="s">
        <v>7518</v>
      </c>
      <c r="M611" s="62" t="s">
        <v>7519</v>
      </c>
      <c r="N611" s="62" t="s">
        <v>7520</v>
      </c>
      <c r="O611" s="62" t="s">
        <v>7521</v>
      </c>
      <c r="P611" s="62" t="s">
        <v>57204</v>
      </c>
      <c r="Q611" s="62" t="s">
        <v>7522</v>
      </c>
      <c r="R611" s="62" t="s">
        <v>7523</v>
      </c>
      <c r="S611" s="62" t="s">
        <v>7524</v>
      </c>
      <c r="U611" s="62" t="s">
        <v>7525</v>
      </c>
      <c r="V611" s="62" t="s">
        <v>57222</v>
      </c>
      <c r="W611" s="62" t="s">
        <v>7526</v>
      </c>
      <c r="X611" s="62" t="s">
        <v>7527</v>
      </c>
      <c r="Y611" s="62" t="s">
        <v>7528</v>
      </c>
      <c r="Z611" s="62" t="s">
        <v>7529</v>
      </c>
      <c r="AA611" s="62" t="s">
        <v>57240</v>
      </c>
      <c r="AB611" s="62" t="s">
        <v>7530</v>
      </c>
      <c r="AC611" s="62" t="s">
        <v>7531</v>
      </c>
      <c r="AD611" s="62" t="s">
        <v>7532</v>
      </c>
    </row>
    <row r="612" spans="1:30" x14ac:dyDescent="0.25">
      <c r="A612" s="62" t="s">
        <v>109</v>
      </c>
      <c r="C612" s="62" t="s">
        <v>7533</v>
      </c>
      <c r="F612" s="62" t="s">
        <v>2372</v>
      </c>
      <c r="G612" s="62" t="s">
        <v>57169</v>
      </c>
      <c r="J612" s="62" t="s">
        <v>7534</v>
      </c>
      <c r="K612" s="62" t="s">
        <v>57187</v>
      </c>
      <c r="L612" s="62" t="s">
        <v>7535</v>
      </c>
      <c r="M612" s="62" t="s">
        <v>7536</v>
      </c>
      <c r="N612" s="62" t="s">
        <v>7537</v>
      </c>
      <c r="O612" s="62" t="s">
        <v>7538</v>
      </c>
      <c r="P612" s="62" t="s">
        <v>57205</v>
      </c>
      <c r="Q612" s="62" t="s">
        <v>7539</v>
      </c>
      <c r="R612" s="62" t="s">
        <v>7540</v>
      </c>
      <c r="S612" s="62" t="s">
        <v>7541</v>
      </c>
      <c r="U612" s="62" t="s">
        <v>7542</v>
      </c>
      <c r="V612" s="62" t="s">
        <v>57223</v>
      </c>
      <c r="W612" s="62" t="s">
        <v>7543</v>
      </c>
      <c r="X612" s="62" t="s">
        <v>7544</v>
      </c>
      <c r="Y612" s="62" t="s">
        <v>7545</v>
      </c>
      <c r="Z612" s="62" t="s">
        <v>7546</v>
      </c>
      <c r="AA612" s="62" t="s">
        <v>57241</v>
      </c>
      <c r="AB612" s="62" t="s">
        <v>7547</v>
      </c>
      <c r="AC612" s="62" t="s">
        <v>7548</v>
      </c>
      <c r="AD612" s="62" t="s">
        <v>7549</v>
      </c>
    </row>
    <row r="613" spans="1:30" x14ac:dyDescent="0.25">
      <c r="A613" s="62" t="s">
        <v>109</v>
      </c>
      <c r="C613" s="62" t="s">
        <v>7261</v>
      </c>
    </row>
    <row r="614" spans="1:30" x14ac:dyDescent="0.25">
      <c r="A614" s="62" t="s">
        <v>109</v>
      </c>
      <c r="C614" s="62" t="s">
        <v>7550</v>
      </c>
      <c r="G614" s="62" t="s">
        <v>41189</v>
      </c>
      <c r="J614" s="62" t="s">
        <v>41190</v>
      </c>
      <c r="K614" s="62" t="s">
        <v>41191</v>
      </c>
      <c r="L614" s="62" t="s">
        <v>41192</v>
      </c>
      <c r="M614" s="62" t="s">
        <v>7551</v>
      </c>
      <c r="N614" s="62" t="s">
        <v>7552</v>
      </c>
      <c r="O614" s="62" t="s">
        <v>41193</v>
      </c>
      <c r="P614" s="62" t="s">
        <v>41194</v>
      </c>
      <c r="Q614" s="62" t="s">
        <v>41195</v>
      </c>
      <c r="R614" s="62" t="s">
        <v>7553</v>
      </c>
      <c r="S614" s="62" t="s">
        <v>7554</v>
      </c>
      <c r="U614" s="62" t="s">
        <v>41196</v>
      </c>
      <c r="V614" s="62" t="s">
        <v>41197</v>
      </c>
      <c r="W614" s="62" t="s">
        <v>41198</v>
      </c>
      <c r="X614" s="62" t="s">
        <v>7555</v>
      </c>
      <c r="Y614" s="62" t="s">
        <v>7556</v>
      </c>
      <c r="Z614" s="62" t="s">
        <v>41199</v>
      </c>
      <c r="AA614" s="62" t="s">
        <v>41200</v>
      </c>
      <c r="AB614" s="62" t="s">
        <v>41201</v>
      </c>
      <c r="AC614" s="62" t="s">
        <v>7557</v>
      </c>
      <c r="AD614" s="62" t="s">
        <v>7558</v>
      </c>
    </row>
    <row r="615" spans="1:30" x14ac:dyDescent="0.25">
      <c r="A615" s="62" t="s">
        <v>109</v>
      </c>
    </row>
    <row r="616" spans="1:30" x14ac:dyDescent="0.25">
      <c r="A616" s="62" t="s">
        <v>109</v>
      </c>
      <c r="C616" s="62" t="s">
        <v>41202</v>
      </c>
      <c r="E616" s="62" t="s">
        <v>2297</v>
      </c>
      <c r="G616" s="62" t="s">
        <v>41203</v>
      </c>
    </row>
    <row r="617" spans="1:30" x14ac:dyDescent="0.25">
      <c r="A617" s="62" t="s">
        <v>109</v>
      </c>
      <c r="C617" s="62" t="s">
        <v>7559</v>
      </c>
    </row>
    <row r="618" spans="1:30" x14ac:dyDescent="0.25">
      <c r="A618" s="62" t="s">
        <v>109</v>
      </c>
      <c r="C618" s="62" t="s">
        <v>7560</v>
      </c>
      <c r="F618" s="62" t="s">
        <v>41204</v>
      </c>
      <c r="G618" s="62" t="s">
        <v>57102</v>
      </c>
      <c r="J618" s="62" t="s">
        <v>7561</v>
      </c>
      <c r="K618" s="62" t="s">
        <v>57112</v>
      </c>
      <c r="L618" s="62" t="s">
        <v>7562</v>
      </c>
      <c r="M618" s="62" t="s">
        <v>7563</v>
      </c>
      <c r="N618" s="62" t="s">
        <v>7564</v>
      </c>
      <c r="O618" s="62" t="s">
        <v>7565</v>
      </c>
      <c r="P618" s="62" t="s">
        <v>57122</v>
      </c>
      <c r="Q618" s="62" t="s">
        <v>7566</v>
      </c>
      <c r="R618" s="62" t="s">
        <v>7567</v>
      </c>
      <c r="S618" s="62" t="s">
        <v>7568</v>
      </c>
      <c r="U618" s="62" t="s">
        <v>7569</v>
      </c>
      <c r="V618" s="62" t="s">
        <v>57132</v>
      </c>
      <c r="W618" s="62" t="s">
        <v>7570</v>
      </c>
      <c r="X618" s="62" t="s">
        <v>7571</v>
      </c>
      <c r="Y618" s="62" t="s">
        <v>7572</v>
      </c>
      <c r="Z618" s="62" t="s">
        <v>7573</v>
      </c>
      <c r="AA618" s="62" t="s">
        <v>57142</v>
      </c>
      <c r="AB618" s="62" t="s">
        <v>7574</v>
      </c>
      <c r="AC618" s="62" t="s">
        <v>7575</v>
      </c>
      <c r="AD618" s="62" t="s">
        <v>7576</v>
      </c>
    </row>
    <row r="619" spans="1:30" x14ac:dyDescent="0.25">
      <c r="A619" s="62" t="s">
        <v>109</v>
      </c>
      <c r="C619" s="62" t="s">
        <v>7577</v>
      </c>
      <c r="F619" s="62" t="s">
        <v>2187</v>
      </c>
      <c r="G619" s="62" t="s">
        <v>57103</v>
      </c>
      <c r="J619" s="62" t="s">
        <v>7578</v>
      </c>
      <c r="K619" s="62" t="s">
        <v>57113</v>
      </c>
      <c r="L619" s="62" t="s">
        <v>7579</v>
      </c>
      <c r="M619" s="62" t="s">
        <v>7580</v>
      </c>
      <c r="N619" s="62" t="s">
        <v>7581</v>
      </c>
      <c r="O619" s="62" t="s">
        <v>7582</v>
      </c>
      <c r="P619" s="62" t="s">
        <v>57123</v>
      </c>
      <c r="Q619" s="62" t="s">
        <v>7583</v>
      </c>
      <c r="R619" s="62" t="s">
        <v>7584</v>
      </c>
      <c r="S619" s="62" t="s">
        <v>7585</v>
      </c>
      <c r="U619" s="62" t="s">
        <v>7586</v>
      </c>
      <c r="V619" s="62" t="s">
        <v>57133</v>
      </c>
      <c r="W619" s="62" t="s">
        <v>7587</v>
      </c>
      <c r="X619" s="62" t="s">
        <v>7588</v>
      </c>
      <c r="Y619" s="62" t="s">
        <v>7589</v>
      </c>
      <c r="Z619" s="62" t="s">
        <v>7590</v>
      </c>
      <c r="AA619" s="62" t="s">
        <v>57143</v>
      </c>
      <c r="AB619" s="62" t="s">
        <v>7591</v>
      </c>
      <c r="AC619" s="62" t="s">
        <v>7592</v>
      </c>
      <c r="AD619" s="62" t="s">
        <v>7593</v>
      </c>
    </row>
    <row r="620" spans="1:30" x14ac:dyDescent="0.25">
      <c r="A620" s="62" t="s">
        <v>109</v>
      </c>
      <c r="C620" s="62" t="s">
        <v>7594</v>
      </c>
      <c r="F620" s="62" t="s">
        <v>976</v>
      </c>
      <c r="G620" s="62" t="s">
        <v>57104</v>
      </c>
      <c r="J620" s="62" t="s">
        <v>7595</v>
      </c>
      <c r="K620" s="62" t="s">
        <v>57114</v>
      </c>
      <c r="L620" s="62" t="s">
        <v>7596</v>
      </c>
      <c r="M620" s="62" t="s">
        <v>7597</v>
      </c>
      <c r="N620" s="62" t="s">
        <v>7598</v>
      </c>
      <c r="O620" s="62" t="s">
        <v>7599</v>
      </c>
      <c r="P620" s="62" t="s">
        <v>57124</v>
      </c>
      <c r="Q620" s="62" t="s">
        <v>7600</v>
      </c>
      <c r="R620" s="62" t="s">
        <v>7601</v>
      </c>
      <c r="S620" s="62" t="s">
        <v>7602</v>
      </c>
      <c r="U620" s="62" t="s">
        <v>7603</v>
      </c>
      <c r="V620" s="62" t="s">
        <v>57134</v>
      </c>
      <c r="W620" s="62" t="s">
        <v>7604</v>
      </c>
      <c r="X620" s="62" t="s">
        <v>7605</v>
      </c>
      <c r="Y620" s="62" t="s">
        <v>7606</v>
      </c>
      <c r="Z620" s="62" t="s">
        <v>7607</v>
      </c>
      <c r="AA620" s="62" t="s">
        <v>57144</v>
      </c>
      <c r="AB620" s="62" t="s">
        <v>7608</v>
      </c>
      <c r="AC620" s="62" t="s">
        <v>7609</v>
      </c>
      <c r="AD620" s="62" t="s">
        <v>7610</v>
      </c>
    </row>
    <row r="621" spans="1:30" x14ac:dyDescent="0.25">
      <c r="A621" s="62" t="s">
        <v>109</v>
      </c>
      <c r="C621" s="62" t="s">
        <v>7611</v>
      </c>
      <c r="F621" s="62" t="s">
        <v>2212</v>
      </c>
      <c r="G621" s="62" t="s">
        <v>57105</v>
      </c>
      <c r="J621" s="62" t="s">
        <v>7612</v>
      </c>
      <c r="K621" s="62" t="s">
        <v>57115</v>
      </c>
      <c r="L621" s="62" t="s">
        <v>7613</v>
      </c>
      <c r="M621" s="62" t="s">
        <v>7614</v>
      </c>
      <c r="N621" s="62" t="s">
        <v>7615</v>
      </c>
      <c r="O621" s="62" t="s">
        <v>7616</v>
      </c>
      <c r="P621" s="62" t="s">
        <v>57125</v>
      </c>
      <c r="Q621" s="62" t="s">
        <v>7617</v>
      </c>
      <c r="R621" s="62" t="s">
        <v>7618</v>
      </c>
      <c r="S621" s="62" t="s">
        <v>7619</v>
      </c>
      <c r="U621" s="62" t="s">
        <v>7620</v>
      </c>
      <c r="V621" s="62" t="s">
        <v>57135</v>
      </c>
      <c r="W621" s="62" t="s">
        <v>7621</v>
      </c>
      <c r="X621" s="62" t="s">
        <v>7622</v>
      </c>
      <c r="Y621" s="62" t="s">
        <v>7623</v>
      </c>
      <c r="Z621" s="62" t="s">
        <v>7624</v>
      </c>
      <c r="AA621" s="62" t="s">
        <v>57145</v>
      </c>
      <c r="AB621" s="62" t="s">
        <v>7625</v>
      </c>
      <c r="AC621" s="62" t="s">
        <v>7626</v>
      </c>
      <c r="AD621" s="62" t="s">
        <v>7627</v>
      </c>
    </row>
    <row r="622" spans="1:30" x14ac:dyDescent="0.25">
      <c r="A622" s="62" t="s">
        <v>109</v>
      </c>
      <c r="C622" s="62" t="s">
        <v>7628</v>
      </c>
      <c r="F622" s="62" t="s">
        <v>2405</v>
      </c>
      <c r="G622" s="62" t="s">
        <v>57106</v>
      </c>
      <c r="J622" s="62" t="s">
        <v>7629</v>
      </c>
      <c r="K622" s="62" t="s">
        <v>57116</v>
      </c>
      <c r="L622" s="62" t="s">
        <v>7630</v>
      </c>
      <c r="M622" s="62" t="s">
        <v>7631</v>
      </c>
      <c r="N622" s="62" t="s">
        <v>7632</v>
      </c>
      <c r="O622" s="62" t="s">
        <v>7633</v>
      </c>
      <c r="P622" s="62" t="s">
        <v>57126</v>
      </c>
      <c r="Q622" s="62" t="s">
        <v>7634</v>
      </c>
      <c r="R622" s="62" t="s">
        <v>7635</v>
      </c>
      <c r="S622" s="62" t="s">
        <v>7636</v>
      </c>
      <c r="U622" s="62" t="s">
        <v>7637</v>
      </c>
      <c r="V622" s="62" t="s">
        <v>57136</v>
      </c>
      <c r="W622" s="62" t="s">
        <v>7638</v>
      </c>
      <c r="X622" s="62" t="s">
        <v>7639</v>
      </c>
      <c r="Y622" s="62" t="s">
        <v>7640</v>
      </c>
      <c r="Z622" s="62" t="s">
        <v>7641</v>
      </c>
      <c r="AA622" s="62" t="s">
        <v>57146</v>
      </c>
      <c r="AB622" s="62" t="s">
        <v>7642</v>
      </c>
      <c r="AC622" s="62" t="s">
        <v>7643</v>
      </c>
      <c r="AD622" s="62" t="s">
        <v>7644</v>
      </c>
    </row>
    <row r="623" spans="1:30" x14ac:dyDescent="0.25">
      <c r="A623" s="62" t="s">
        <v>109</v>
      </c>
      <c r="C623" s="62" t="s">
        <v>7645</v>
      </c>
      <c r="F623" s="62" t="s">
        <v>237</v>
      </c>
      <c r="G623" s="62" t="s">
        <v>57107</v>
      </c>
      <c r="J623" s="62" t="s">
        <v>7646</v>
      </c>
      <c r="K623" s="62" t="s">
        <v>57117</v>
      </c>
      <c r="L623" s="62" t="s">
        <v>7647</v>
      </c>
      <c r="M623" s="62" t="s">
        <v>7648</v>
      </c>
      <c r="N623" s="62" t="s">
        <v>7649</v>
      </c>
      <c r="O623" s="62" t="s">
        <v>7650</v>
      </c>
      <c r="P623" s="62" t="s">
        <v>57127</v>
      </c>
      <c r="Q623" s="62" t="s">
        <v>7651</v>
      </c>
      <c r="R623" s="62" t="s">
        <v>7652</v>
      </c>
      <c r="S623" s="62" t="s">
        <v>7653</v>
      </c>
      <c r="U623" s="62" t="s">
        <v>7654</v>
      </c>
      <c r="V623" s="62" t="s">
        <v>57137</v>
      </c>
      <c r="W623" s="62" t="s">
        <v>7655</v>
      </c>
      <c r="X623" s="62" t="s">
        <v>7656</v>
      </c>
      <c r="Y623" s="62" t="s">
        <v>7657</v>
      </c>
      <c r="Z623" s="62" t="s">
        <v>7658</v>
      </c>
      <c r="AA623" s="62" t="s">
        <v>57147</v>
      </c>
      <c r="AB623" s="62" t="s">
        <v>7659</v>
      </c>
      <c r="AC623" s="62" t="s">
        <v>7660</v>
      </c>
      <c r="AD623" s="62" t="s">
        <v>7661</v>
      </c>
    </row>
    <row r="624" spans="1:30" x14ac:dyDescent="0.25">
      <c r="A624" s="62" t="s">
        <v>109</v>
      </c>
      <c r="C624" s="62" t="s">
        <v>7662</v>
      </c>
      <c r="F624" s="62" t="s">
        <v>3185</v>
      </c>
      <c r="G624" s="62" t="s">
        <v>57108</v>
      </c>
      <c r="J624" s="62" t="s">
        <v>7663</v>
      </c>
      <c r="K624" s="62" t="s">
        <v>57118</v>
      </c>
      <c r="L624" s="62" t="s">
        <v>7664</v>
      </c>
      <c r="M624" s="62" t="s">
        <v>7665</v>
      </c>
      <c r="N624" s="62" t="s">
        <v>7666</v>
      </c>
      <c r="O624" s="62" t="s">
        <v>7667</v>
      </c>
      <c r="P624" s="62" t="s">
        <v>57128</v>
      </c>
      <c r="Q624" s="62" t="s">
        <v>7668</v>
      </c>
      <c r="R624" s="62" t="s">
        <v>7669</v>
      </c>
      <c r="S624" s="62" t="s">
        <v>7670</v>
      </c>
      <c r="U624" s="62" t="s">
        <v>7671</v>
      </c>
      <c r="V624" s="62" t="s">
        <v>57138</v>
      </c>
      <c r="W624" s="62" t="s">
        <v>7672</v>
      </c>
      <c r="X624" s="62" t="s">
        <v>7673</v>
      </c>
      <c r="Y624" s="62" t="s">
        <v>7674</v>
      </c>
      <c r="Z624" s="62" t="s">
        <v>7675</v>
      </c>
      <c r="AA624" s="62" t="s">
        <v>57148</v>
      </c>
      <c r="AB624" s="62" t="s">
        <v>7676</v>
      </c>
      <c r="AC624" s="62" t="s">
        <v>7677</v>
      </c>
      <c r="AD624" s="62" t="s">
        <v>7678</v>
      </c>
    </row>
    <row r="625" spans="1:30" x14ac:dyDescent="0.25">
      <c r="A625" s="62" t="s">
        <v>109</v>
      </c>
      <c r="C625" s="62" t="s">
        <v>41205</v>
      </c>
      <c r="F625" s="62" t="s">
        <v>2481</v>
      </c>
      <c r="G625" s="62" t="s">
        <v>57109</v>
      </c>
      <c r="J625" s="62" t="s">
        <v>41206</v>
      </c>
      <c r="K625" s="62" t="s">
        <v>57119</v>
      </c>
      <c r="L625" s="62" t="s">
        <v>41207</v>
      </c>
      <c r="M625" s="62" t="s">
        <v>41208</v>
      </c>
      <c r="N625" s="62" t="s">
        <v>41209</v>
      </c>
      <c r="O625" s="62" t="s">
        <v>41210</v>
      </c>
      <c r="P625" s="62" t="s">
        <v>57129</v>
      </c>
      <c r="Q625" s="62" t="s">
        <v>41211</v>
      </c>
      <c r="R625" s="62" t="s">
        <v>41212</v>
      </c>
      <c r="S625" s="62" t="s">
        <v>41213</v>
      </c>
      <c r="U625" s="62" t="s">
        <v>41214</v>
      </c>
      <c r="V625" s="62" t="s">
        <v>57139</v>
      </c>
      <c r="W625" s="62" t="s">
        <v>41215</v>
      </c>
      <c r="X625" s="62" t="s">
        <v>41216</v>
      </c>
      <c r="Y625" s="62" t="s">
        <v>41217</v>
      </c>
      <c r="Z625" s="62" t="s">
        <v>41218</v>
      </c>
      <c r="AA625" s="62" t="s">
        <v>57149</v>
      </c>
      <c r="AB625" s="62" t="s">
        <v>41219</v>
      </c>
      <c r="AC625" s="62" t="s">
        <v>41220</v>
      </c>
      <c r="AD625" s="62" t="s">
        <v>41221</v>
      </c>
    </row>
    <row r="626" spans="1:30" x14ac:dyDescent="0.25">
      <c r="A626" s="62" t="s">
        <v>109</v>
      </c>
      <c r="C626" s="62" t="s">
        <v>7679</v>
      </c>
      <c r="F626" s="62" t="s">
        <v>2355</v>
      </c>
      <c r="G626" s="62" t="s">
        <v>57110</v>
      </c>
      <c r="J626" s="62" t="s">
        <v>41222</v>
      </c>
      <c r="K626" s="62" t="s">
        <v>57120</v>
      </c>
      <c r="L626" s="62" t="s">
        <v>41223</v>
      </c>
      <c r="M626" s="62" t="s">
        <v>7680</v>
      </c>
      <c r="N626" s="62" t="s">
        <v>7681</v>
      </c>
      <c r="O626" s="62" t="s">
        <v>41224</v>
      </c>
      <c r="P626" s="62" t="s">
        <v>57130</v>
      </c>
      <c r="Q626" s="62" t="s">
        <v>41225</v>
      </c>
      <c r="R626" s="62" t="s">
        <v>7682</v>
      </c>
      <c r="S626" s="62" t="s">
        <v>7683</v>
      </c>
      <c r="U626" s="62" t="s">
        <v>41226</v>
      </c>
      <c r="V626" s="62" t="s">
        <v>57140</v>
      </c>
      <c r="W626" s="62" t="s">
        <v>41227</v>
      </c>
      <c r="X626" s="62" t="s">
        <v>7684</v>
      </c>
      <c r="Y626" s="62" t="s">
        <v>7685</v>
      </c>
      <c r="Z626" s="62" t="s">
        <v>41228</v>
      </c>
      <c r="AA626" s="62" t="s">
        <v>57150</v>
      </c>
      <c r="AB626" s="62" t="s">
        <v>41229</v>
      </c>
      <c r="AC626" s="62" t="s">
        <v>7686</v>
      </c>
      <c r="AD626" s="62" t="s">
        <v>7687</v>
      </c>
    </row>
    <row r="627" spans="1:30" x14ac:dyDescent="0.25">
      <c r="A627" s="62" t="s">
        <v>109</v>
      </c>
      <c r="C627" s="62" t="s">
        <v>41230</v>
      </c>
      <c r="F627" s="62" t="s">
        <v>2372</v>
      </c>
      <c r="G627" s="62" t="s">
        <v>57111</v>
      </c>
      <c r="J627" s="62" t="s">
        <v>41231</v>
      </c>
      <c r="K627" s="62" t="s">
        <v>57121</v>
      </c>
      <c r="L627" s="62" t="s">
        <v>41232</v>
      </c>
      <c r="M627" s="62" t="s">
        <v>41233</v>
      </c>
      <c r="N627" s="62" t="s">
        <v>41234</v>
      </c>
      <c r="O627" s="62" t="s">
        <v>41235</v>
      </c>
      <c r="P627" s="62" t="s">
        <v>57131</v>
      </c>
      <c r="Q627" s="62" t="s">
        <v>41236</v>
      </c>
      <c r="R627" s="62" t="s">
        <v>41237</v>
      </c>
      <c r="S627" s="62" t="s">
        <v>41238</v>
      </c>
      <c r="U627" s="62" t="s">
        <v>41239</v>
      </c>
      <c r="V627" s="62" t="s">
        <v>57141</v>
      </c>
      <c r="W627" s="62" t="s">
        <v>41240</v>
      </c>
      <c r="X627" s="62" t="s">
        <v>41241</v>
      </c>
      <c r="Y627" s="62" t="s">
        <v>41242</v>
      </c>
      <c r="Z627" s="62" t="s">
        <v>41243</v>
      </c>
      <c r="AA627" s="62" t="s">
        <v>57151</v>
      </c>
      <c r="AB627" s="62" t="s">
        <v>41244</v>
      </c>
      <c r="AC627" s="62" t="s">
        <v>41245</v>
      </c>
      <c r="AD627" s="62" t="s">
        <v>41246</v>
      </c>
    </row>
    <row r="628" spans="1:30" x14ac:dyDescent="0.25">
      <c r="A628" s="62" t="s">
        <v>109</v>
      </c>
      <c r="C628" s="62" t="s">
        <v>7577</v>
      </c>
    </row>
    <row r="629" spans="1:30" x14ac:dyDescent="0.25">
      <c r="A629" s="62" t="s">
        <v>109</v>
      </c>
      <c r="C629" s="62" t="s">
        <v>7688</v>
      </c>
      <c r="G629" s="62" t="s">
        <v>41247</v>
      </c>
      <c r="J629" s="62" t="s">
        <v>41248</v>
      </c>
      <c r="K629" s="62" t="s">
        <v>41249</v>
      </c>
      <c r="L629" s="62" t="s">
        <v>41250</v>
      </c>
      <c r="M629" s="62" t="s">
        <v>41251</v>
      </c>
      <c r="N629" s="62" t="s">
        <v>41252</v>
      </c>
      <c r="O629" s="62" t="s">
        <v>41253</v>
      </c>
      <c r="P629" s="62" t="s">
        <v>41254</v>
      </c>
      <c r="Q629" s="62" t="s">
        <v>41255</v>
      </c>
      <c r="R629" s="62" t="s">
        <v>41256</v>
      </c>
      <c r="S629" s="62" t="s">
        <v>41257</v>
      </c>
      <c r="U629" s="62" t="s">
        <v>41258</v>
      </c>
      <c r="V629" s="62" t="s">
        <v>41259</v>
      </c>
      <c r="W629" s="62" t="s">
        <v>41260</v>
      </c>
      <c r="X629" s="62" t="s">
        <v>41261</v>
      </c>
      <c r="Y629" s="62" t="s">
        <v>41262</v>
      </c>
      <c r="Z629" s="62" t="s">
        <v>41263</v>
      </c>
      <c r="AA629" s="62" t="s">
        <v>41264</v>
      </c>
      <c r="AB629" s="62" t="s">
        <v>41265</v>
      </c>
      <c r="AC629" s="62" t="s">
        <v>41266</v>
      </c>
      <c r="AD629" s="62" t="s">
        <v>41267</v>
      </c>
    </row>
    <row r="630" spans="1:30" x14ac:dyDescent="0.25">
      <c r="A630" s="62" t="s">
        <v>109</v>
      </c>
    </row>
    <row r="631" spans="1:30" x14ac:dyDescent="0.25">
      <c r="A631" s="62" t="s">
        <v>109</v>
      </c>
      <c r="C631" s="62" t="s">
        <v>41268</v>
      </c>
      <c r="E631" s="62" t="s">
        <v>2308</v>
      </c>
      <c r="G631" s="62" t="s">
        <v>41269</v>
      </c>
    </row>
    <row r="632" spans="1:30" x14ac:dyDescent="0.25">
      <c r="A632" s="62" t="s">
        <v>109</v>
      </c>
      <c r="C632" s="62" t="s">
        <v>7689</v>
      </c>
    </row>
    <row r="633" spans="1:30" x14ac:dyDescent="0.25">
      <c r="A633" s="62" t="s">
        <v>109</v>
      </c>
      <c r="C633" s="62" t="s">
        <v>7690</v>
      </c>
      <c r="F633" s="62" t="s">
        <v>41270</v>
      </c>
      <c r="G633" s="62" t="s">
        <v>56842</v>
      </c>
      <c r="J633" s="62" t="s">
        <v>7691</v>
      </c>
      <c r="K633" s="62" t="s">
        <v>56894</v>
      </c>
      <c r="L633" s="62" t="s">
        <v>7692</v>
      </c>
      <c r="M633" s="62" t="s">
        <v>7693</v>
      </c>
      <c r="N633" s="62" t="s">
        <v>7694</v>
      </c>
      <c r="O633" s="62" t="s">
        <v>7695</v>
      </c>
      <c r="P633" s="62" t="s">
        <v>56946</v>
      </c>
      <c r="Q633" s="62" t="s">
        <v>7696</v>
      </c>
      <c r="R633" s="62" t="s">
        <v>7697</v>
      </c>
      <c r="S633" s="62" t="s">
        <v>7698</v>
      </c>
      <c r="U633" s="62" t="s">
        <v>7699</v>
      </c>
      <c r="V633" s="62" t="s">
        <v>56998</v>
      </c>
      <c r="W633" s="62" t="s">
        <v>7700</v>
      </c>
      <c r="X633" s="62" t="s">
        <v>7701</v>
      </c>
      <c r="Y633" s="62" t="s">
        <v>7702</v>
      </c>
      <c r="Z633" s="62" t="s">
        <v>7703</v>
      </c>
      <c r="AA633" s="62" t="s">
        <v>57050</v>
      </c>
      <c r="AB633" s="62" t="s">
        <v>7704</v>
      </c>
      <c r="AC633" s="62" t="s">
        <v>7705</v>
      </c>
      <c r="AD633" s="62" t="s">
        <v>7706</v>
      </c>
    </row>
    <row r="634" spans="1:30" x14ac:dyDescent="0.25">
      <c r="A634" s="62" t="s">
        <v>109</v>
      </c>
      <c r="C634" s="62" t="s">
        <v>7707</v>
      </c>
      <c r="F634" s="62" t="s">
        <v>872</v>
      </c>
      <c r="G634" s="62" t="s">
        <v>56843</v>
      </c>
      <c r="J634" s="62" t="s">
        <v>7708</v>
      </c>
      <c r="K634" s="62" t="s">
        <v>56895</v>
      </c>
      <c r="L634" s="62" t="s">
        <v>7709</v>
      </c>
      <c r="M634" s="62" t="s">
        <v>7710</v>
      </c>
      <c r="N634" s="62" t="s">
        <v>7711</v>
      </c>
      <c r="O634" s="62" t="s">
        <v>7712</v>
      </c>
      <c r="P634" s="62" t="s">
        <v>56947</v>
      </c>
      <c r="Q634" s="62" t="s">
        <v>7713</v>
      </c>
      <c r="R634" s="62" t="s">
        <v>7714</v>
      </c>
      <c r="S634" s="62" t="s">
        <v>7715</v>
      </c>
      <c r="U634" s="62" t="s">
        <v>7716</v>
      </c>
      <c r="V634" s="62" t="s">
        <v>56999</v>
      </c>
      <c r="W634" s="62" t="s">
        <v>7717</v>
      </c>
      <c r="X634" s="62" t="s">
        <v>7718</v>
      </c>
      <c r="Y634" s="62" t="s">
        <v>7719</v>
      </c>
      <c r="Z634" s="62" t="s">
        <v>7720</v>
      </c>
      <c r="AA634" s="62" t="s">
        <v>57051</v>
      </c>
      <c r="AB634" s="62" t="s">
        <v>7721</v>
      </c>
      <c r="AC634" s="62" t="s">
        <v>7722</v>
      </c>
      <c r="AD634" s="62" t="s">
        <v>7723</v>
      </c>
    </row>
    <row r="635" spans="1:30" x14ac:dyDescent="0.25">
      <c r="A635" s="62" t="s">
        <v>109</v>
      </c>
      <c r="C635" s="62" t="s">
        <v>7724</v>
      </c>
      <c r="F635" s="62" t="s">
        <v>925</v>
      </c>
      <c r="G635" s="62" t="s">
        <v>56844</v>
      </c>
      <c r="J635" s="62" t="s">
        <v>7725</v>
      </c>
      <c r="K635" s="62" t="s">
        <v>56896</v>
      </c>
      <c r="L635" s="62" t="s">
        <v>7726</v>
      </c>
      <c r="M635" s="62" t="s">
        <v>7727</v>
      </c>
      <c r="N635" s="62" t="s">
        <v>7728</v>
      </c>
      <c r="O635" s="62" t="s">
        <v>7729</v>
      </c>
      <c r="P635" s="62" t="s">
        <v>56948</v>
      </c>
      <c r="Q635" s="62" t="s">
        <v>7730</v>
      </c>
      <c r="R635" s="62" t="s">
        <v>7731</v>
      </c>
      <c r="S635" s="62" t="s">
        <v>7732</v>
      </c>
      <c r="U635" s="62" t="s">
        <v>7733</v>
      </c>
      <c r="V635" s="62" t="s">
        <v>57000</v>
      </c>
      <c r="W635" s="62" t="s">
        <v>7734</v>
      </c>
      <c r="X635" s="62" t="s">
        <v>7735</v>
      </c>
      <c r="Y635" s="62" t="s">
        <v>7736</v>
      </c>
      <c r="Z635" s="62" t="s">
        <v>7737</v>
      </c>
      <c r="AA635" s="62" t="s">
        <v>57052</v>
      </c>
      <c r="AB635" s="62" t="s">
        <v>7738</v>
      </c>
      <c r="AC635" s="62" t="s">
        <v>7739</v>
      </c>
      <c r="AD635" s="62" t="s">
        <v>7740</v>
      </c>
    </row>
    <row r="636" spans="1:30" x14ac:dyDescent="0.25">
      <c r="A636" s="62" t="s">
        <v>109</v>
      </c>
      <c r="C636" s="62" t="s">
        <v>7741</v>
      </c>
      <c r="F636" s="62" t="s">
        <v>943</v>
      </c>
      <c r="G636" s="62" t="s">
        <v>56845</v>
      </c>
      <c r="J636" s="62" t="s">
        <v>7742</v>
      </c>
      <c r="K636" s="62" t="s">
        <v>56897</v>
      </c>
      <c r="L636" s="62" t="s">
        <v>7743</v>
      </c>
      <c r="M636" s="62" t="s">
        <v>7744</v>
      </c>
      <c r="N636" s="62" t="s">
        <v>7745</v>
      </c>
      <c r="O636" s="62" t="s">
        <v>7746</v>
      </c>
      <c r="P636" s="62" t="s">
        <v>56949</v>
      </c>
      <c r="Q636" s="62" t="s">
        <v>7747</v>
      </c>
      <c r="R636" s="62" t="s">
        <v>7748</v>
      </c>
      <c r="S636" s="62" t="s">
        <v>7749</v>
      </c>
      <c r="U636" s="62" t="s">
        <v>7750</v>
      </c>
      <c r="V636" s="62" t="s">
        <v>57001</v>
      </c>
      <c r="W636" s="62" t="s">
        <v>7751</v>
      </c>
      <c r="X636" s="62" t="s">
        <v>7752</v>
      </c>
      <c r="Y636" s="62" t="s">
        <v>7753</v>
      </c>
      <c r="Z636" s="62" t="s">
        <v>7754</v>
      </c>
      <c r="AA636" s="62" t="s">
        <v>57053</v>
      </c>
      <c r="AB636" s="62" t="s">
        <v>7755</v>
      </c>
      <c r="AC636" s="62" t="s">
        <v>7756</v>
      </c>
      <c r="AD636" s="62" t="s">
        <v>7757</v>
      </c>
    </row>
    <row r="637" spans="1:30" x14ac:dyDescent="0.25">
      <c r="A637" s="62" t="s">
        <v>109</v>
      </c>
      <c r="C637" s="62" t="s">
        <v>7758</v>
      </c>
      <c r="F637" s="62" t="s">
        <v>2212</v>
      </c>
      <c r="G637" s="62" t="s">
        <v>56846</v>
      </c>
      <c r="J637" s="62" t="s">
        <v>7759</v>
      </c>
      <c r="K637" s="62" t="s">
        <v>56898</v>
      </c>
      <c r="L637" s="62" t="s">
        <v>7760</v>
      </c>
      <c r="M637" s="62" t="s">
        <v>7761</v>
      </c>
      <c r="N637" s="62" t="s">
        <v>7762</v>
      </c>
      <c r="O637" s="62" t="s">
        <v>7763</v>
      </c>
      <c r="P637" s="62" t="s">
        <v>56950</v>
      </c>
      <c r="Q637" s="62" t="s">
        <v>7764</v>
      </c>
      <c r="R637" s="62" t="s">
        <v>7765</v>
      </c>
      <c r="S637" s="62" t="s">
        <v>7766</v>
      </c>
      <c r="U637" s="62" t="s">
        <v>7767</v>
      </c>
      <c r="V637" s="62" t="s">
        <v>57002</v>
      </c>
      <c r="W637" s="62" t="s">
        <v>7768</v>
      </c>
      <c r="X637" s="62" t="s">
        <v>7769</v>
      </c>
      <c r="Y637" s="62" t="s">
        <v>7770</v>
      </c>
      <c r="Z637" s="62" t="s">
        <v>7771</v>
      </c>
      <c r="AA637" s="62" t="s">
        <v>57054</v>
      </c>
      <c r="AB637" s="62" t="s">
        <v>7772</v>
      </c>
      <c r="AC637" s="62" t="s">
        <v>7773</v>
      </c>
      <c r="AD637" s="62" t="s">
        <v>7774</v>
      </c>
    </row>
    <row r="638" spans="1:30" x14ac:dyDescent="0.25">
      <c r="A638" s="62" t="s">
        <v>109</v>
      </c>
      <c r="C638" s="62" t="s">
        <v>7775</v>
      </c>
      <c r="F638" s="62" t="s">
        <v>254</v>
      </c>
      <c r="G638" s="62" t="s">
        <v>56847</v>
      </c>
      <c r="J638" s="62" t="s">
        <v>7776</v>
      </c>
      <c r="K638" s="62" t="s">
        <v>56899</v>
      </c>
      <c r="L638" s="62" t="s">
        <v>7777</v>
      </c>
      <c r="M638" s="62" t="s">
        <v>7778</v>
      </c>
      <c r="N638" s="62" t="s">
        <v>7779</v>
      </c>
      <c r="O638" s="62" t="s">
        <v>7780</v>
      </c>
      <c r="P638" s="62" t="s">
        <v>56951</v>
      </c>
      <c r="Q638" s="62" t="s">
        <v>7781</v>
      </c>
      <c r="R638" s="62" t="s">
        <v>7782</v>
      </c>
      <c r="S638" s="62" t="s">
        <v>7783</v>
      </c>
      <c r="U638" s="62" t="s">
        <v>7784</v>
      </c>
      <c r="V638" s="62" t="s">
        <v>57003</v>
      </c>
      <c r="W638" s="62" t="s">
        <v>7785</v>
      </c>
      <c r="X638" s="62" t="s">
        <v>7786</v>
      </c>
      <c r="Y638" s="62" t="s">
        <v>7787</v>
      </c>
      <c r="Z638" s="62" t="s">
        <v>7788</v>
      </c>
      <c r="AA638" s="62" t="s">
        <v>57055</v>
      </c>
      <c r="AB638" s="62" t="s">
        <v>7789</v>
      </c>
      <c r="AC638" s="62" t="s">
        <v>7790</v>
      </c>
      <c r="AD638" s="62" t="s">
        <v>7791</v>
      </c>
    </row>
    <row r="639" spans="1:30" x14ac:dyDescent="0.25">
      <c r="A639" s="62" t="s">
        <v>109</v>
      </c>
      <c r="C639" s="62" t="s">
        <v>7792</v>
      </c>
      <c r="F639" s="62" t="s">
        <v>10282</v>
      </c>
      <c r="G639" s="62" t="s">
        <v>56848</v>
      </c>
      <c r="J639" s="62" t="s">
        <v>7793</v>
      </c>
      <c r="K639" s="62" t="s">
        <v>56900</v>
      </c>
      <c r="L639" s="62" t="s">
        <v>7794</v>
      </c>
      <c r="M639" s="62" t="s">
        <v>7795</v>
      </c>
      <c r="N639" s="62" t="s">
        <v>7796</v>
      </c>
      <c r="O639" s="62" t="s">
        <v>7797</v>
      </c>
      <c r="P639" s="62" t="s">
        <v>56952</v>
      </c>
      <c r="Q639" s="62" t="s">
        <v>7798</v>
      </c>
      <c r="R639" s="62" t="s">
        <v>7799</v>
      </c>
      <c r="S639" s="62" t="s">
        <v>7800</v>
      </c>
      <c r="U639" s="62" t="s">
        <v>7801</v>
      </c>
      <c r="V639" s="62" t="s">
        <v>57004</v>
      </c>
      <c r="W639" s="62" t="s">
        <v>7802</v>
      </c>
      <c r="X639" s="62" t="s">
        <v>7803</v>
      </c>
      <c r="Y639" s="62" t="s">
        <v>7804</v>
      </c>
      <c r="Z639" s="62" t="s">
        <v>7805</v>
      </c>
      <c r="AA639" s="62" t="s">
        <v>57056</v>
      </c>
      <c r="AB639" s="62" t="s">
        <v>7806</v>
      </c>
      <c r="AC639" s="62" t="s">
        <v>7807</v>
      </c>
      <c r="AD639" s="62" t="s">
        <v>7808</v>
      </c>
    </row>
    <row r="640" spans="1:30" x14ac:dyDescent="0.25">
      <c r="A640" s="62" t="s">
        <v>109</v>
      </c>
      <c r="C640" s="62" t="s">
        <v>7809</v>
      </c>
      <c r="F640" s="62" t="s">
        <v>10293</v>
      </c>
      <c r="G640" s="62" t="s">
        <v>56849</v>
      </c>
      <c r="J640" s="62" t="s">
        <v>7810</v>
      </c>
      <c r="K640" s="62" t="s">
        <v>56901</v>
      </c>
      <c r="L640" s="62" t="s">
        <v>7811</v>
      </c>
      <c r="M640" s="62" t="s">
        <v>7812</v>
      </c>
      <c r="N640" s="62" t="s">
        <v>7813</v>
      </c>
      <c r="O640" s="62" t="s">
        <v>7814</v>
      </c>
      <c r="P640" s="62" t="s">
        <v>56953</v>
      </c>
      <c r="Q640" s="62" t="s">
        <v>7815</v>
      </c>
      <c r="R640" s="62" t="s">
        <v>7816</v>
      </c>
      <c r="S640" s="62" t="s">
        <v>7817</v>
      </c>
      <c r="U640" s="62" t="s">
        <v>7818</v>
      </c>
      <c r="V640" s="62" t="s">
        <v>57005</v>
      </c>
      <c r="W640" s="62" t="s">
        <v>7819</v>
      </c>
      <c r="X640" s="62" t="s">
        <v>7820</v>
      </c>
      <c r="Y640" s="62" t="s">
        <v>7821</v>
      </c>
      <c r="Z640" s="62" t="s">
        <v>7822</v>
      </c>
      <c r="AA640" s="62" t="s">
        <v>57057</v>
      </c>
      <c r="AB640" s="62" t="s">
        <v>7823</v>
      </c>
      <c r="AC640" s="62" t="s">
        <v>7824</v>
      </c>
      <c r="AD640" s="62" t="s">
        <v>7825</v>
      </c>
    </row>
    <row r="641" spans="1:30" x14ac:dyDescent="0.25">
      <c r="A641" s="62" t="s">
        <v>109</v>
      </c>
      <c r="C641" s="62" t="s">
        <v>7826</v>
      </c>
      <c r="F641" s="62" t="s">
        <v>340</v>
      </c>
      <c r="G641" s="62" t="s">
        <v>56850</v>
      </c>
      <c r="J641" s="62" t="s">
        <v>7827</v>
      </c>
      <c r="K641" s="62" t="s">
        <v>56902</v>
      </c>
      <c r="L641" s="62" t="s">
        <v>7828</v>
      </c>
      <c r="M641" s="62" t="s">
        <v>7829</v>
      </c>
      <c r="N641" s="62" t="s">
        <v>7830</v>
      </c>
      <c r="O641" s="62" t="s">
        <v>7831</v>
      </c>
      <c r="P641" s="62" t="s">
        <v>56954</v>
      </c>
      <c r="Q641" s="62" t="s">
        <v>7832</v>
      </c>
      <c r="R641" s="62" t="s">
        <v>7833</v>
      </c>
      <c r="S641" s="62" t="s">
        <v>7834</v>
      </c>
      <c r="U641" s="62" t="s">
        <v>7835</v>
      </c>
      <c r="V641" s="62" t="s">
        <v>57006</v>
      </c>
      <c r="W641" s="62" t="s">
        <v>7836</v>
      </c>
      <c r="X641" s="62" t="s">
        <v>7837</v>
      </c>
      <c r="Y641" s="62" t="s">
        <v>7838</v>
      </c>
      <c r="Z641" s="62" t="s">
        <v>7839</v>
      </c>
      <c r="AA641" s="62" t="s">
        <v>57058</v>
      </c>
      <c r="AB641" s="62" t="s">
        <v>7840</v>
      </c>
      <c r="AC641" s="62" t="s">
        <v>7841</v>
      </c>
      <c r="AD641" s="62" t="s">
        <v>7842</v>
      </c>
    </row>
    <row r="642" spans="1:30" x14ac:dyDescent="0.25">
      <c r="A642" s="62" t="s">
        <v>109</v>
      </c>
      <c r="C642" s="62" t="s">
        <v>7843</v>
      </c>
      <c r="F642" s="62" t="s">
        <v>10295</v>
      </c>
      <c r="G642" s="62" t="s">
        <v>56851</v>
      </c>
      <c r="J642" s="62" t="s">
        <v>7844</v>
      </c>
      <c r="K642" s="62" t="s">
        <v>56903</v>
      </c>
      <c r="L642" s="62" t="s">
        <v>7845</v>
      </c>
      <c r="M642" s="62" t="s">
        <v>7846</v>
      </c>
      <c r="N642" s="62" t="s">
        <v>7847</v>
      </c>
      <c r="O642" s="62" t="s">
        <v>7848</v>
      </c>
      <c r="P642" s="62" t="s">
        <v>56955</v>
      </c>
      <c r="Q642" s="62" t="s">
        <v>7849</v>
      </c>
      <c r="R642" s="62" t="s">
        <v>7850</v>
      </c>
      <c r="S642" s="62" t="s">
        <v>7851</v>
      </c>
      <c r="U642" s="62" t="s">
        <v>7852</v>
      </c>
      <c r="V642" s="62" t="s">
        <v>57007</v>
      </c>
      <c r="W642" s="62" t="s">
        <v>7853</v>
      </c>
      <c r="X642" s="62" t="s">
        <v>7854</v>
      </c>
      <c r="Y642" s="62" t="s">
        <v>7855</v>
      </c>
      <c r="Z642" s="62" t="s">
        <v>7856</v>
      </c>
      <c r="AA642" s="62" t="s">
        <v>57059</v>
      </c>
      <c r="AB642" s="62" t="s">
        <v>7857</v>
      </c>
      <c r="AC642" s="62" t="s">
        <v>7858</v>
      </c>
      <c r="AD642" s="62" t="s">
        <v>7859</v>
      </c>
    </row>
    <row r="643" spans="1:30" x14ac:dyDescent="0.25">
      <c r="A643" s="62" t="s">
        <v>109</v>
      </c>
      <c r="C643" s="62" t="s">
        <v>7860</v>
      </c>
      <c r="F643" s="62" t="s">
        <v>985</v>
      </c>
      <c r="G643" s="62" t="s">
        <v>56852</v>
      </c>
      <c r="J643" s="62" t="s">
        <v>7861</v>
      </c>
      <c r="K643" s="62" t="s">
        <v>56904</v>
      </c>
      <c r="L643" s="62" t="s">
        <v>7862</v>
      </c>
      <c r="M643" s="62" t="s">
        <v>7863</v>
      </c>
      <c r="N643" s="62" t="s">
        <v>7864</v>
      </c>
      <c r="O643" s="62" t="s">
        <v>7865</v>
      </c>
      <c r="P643" s="62" t="s">
        <v>56956</v>
      </c>
      <c r="Q643" s="62" t="s">
        <v>7866</v>
      </c>
      <c r="R643" s="62" t="s">
        <v>7867</v>
      </c>
      <c r="S643" s="62" t="s">
        <v>7868</v>
      </c>
      <c r="U643" s="62" t="s">
        <v>7869</v>
      </c>
      <c r="V643" s="62" t="s">
        <v>57008</v>
      </c>
      <c r="W643" s="62" t="s">
        <v>7870</v>
      </c>
      <c r="X643" s="62" t="s">
        <v>7871</v>
      </c>
      <c r="Y643" s="62" t="s">
        <v>7872</v>
      </c>
      <c r="Z643" s="62" t="s">
        <v>7873</v>
      </c>
      <c r="AA643" s="62" t="s">
        <v>57060</v>
      </c>
      <c r="AB643" s="62" t="s">
        <v>7874</v>
      </c>
      <c r="AC643" s="62" t="s">
        <v>7875</v>
      </c>
      <c r="AD643" s="62" t="s">
        <v>7876</v>
      </c>
    </row>
    <row r="644" spans="1:30" x14ac:dyDescent="0.25">
      <c r="A644" s="62" t="s">
        <v>109</v>
      </c>
      <c r="C644" s="62" t="s">
        <v>7877</v>
      </c>
      <c r="F644" s="62" t="s">
        <v>10314</v>
      </c>
      <c r="G644" s="62" t="s">
        <v>56853</v>
      </c>
      <c r="J644" s="62" t="s">
        <v>7878</v>
      </c>
      <c r="K644" s="62" t="s">
        <v>56905</v>
      </c>
      <c r="L644" s="62" t="s">
        <v>7879</v>
      </c>
      <c r="M644" s="62" t="s">
        <v>7880</v>
      </c>
      <c r="N644" s="62" t="s">
        <v>7881</v>
      </c>
      <c r="O644" s="62" t="s">
        <v>7882</v>
      </c>
      <c r="P644" s="62" t="s">
        <v>56957</v>
      </c>
      <c r="Q644" s="62" t="s">
        <v>7883</v>
      </c>
      <c r="R644" s="62" t="s">
        <v>7884</v>
      </c>
      <c r="S644" s="62" t="s">
        <v>7885</v>
      </c>
      <c r="U644" s="62" t="s">
        <v>7886</v>
      </c>
      <c r="V644" s="62" t="s">
        <v>57009</v>
      </c>
      <c r="W644" s="62" t="s">
        <v>7887</v>
      </c>
      <c r="X644" s="62" t="s">
        <v>7888</v>
      </c>
      <c r="Y644" s="62" t="s">
        <v>7889</v>
      </c>
      <c r="Z644" s="62" t="s">
        <v>7890</v>
      </c>
      <c r="AA644" s="62" t="s">
        <v>57061</v>
      </c>
      <c r="AB644" s="62" t="s">
        <v>7891</v>
      </c>
      <c r="AC644" s="62" t="s">
        <v>7892</v>
      </c>
      <c r="AD644" s="62" t="s">
        <v>7893</v>
      </c>
    </row>
    <row r="645" spans="1:30" x14ac:dyDescent="0.25">
      <c r="A645" s="62" t="s">
        <v>109</v>
      </c>
      <c r="C645" s="62" t="s">
        <v>7894</v>
      </c>
      <c r="F645" s="62" t="s">
        <v>10332</v>
      </c>
      <c r="G645" s="62" t="s">
        <v>56854</v>
      </c>
      <c r="J645" s="62" t="s">
        <v>7895</v>
      </c>
      <c r="K645" s="62" t="s">
        <v>56906</v>
      </c>
      <c r="L645" s="62" t="s">
        <v>7896</v>
      </c>
      <c r="M645" s="62" t="s">
        <v>7897</v>
      </c>
      <c r="N645" s="62" t="s">
        <v>7898</v>
      </c>
      <c r="O645" s="62" t="s">
        <v>7899</v>
      </c>
      <c r="P645" s="62" t="s">
        <v>56958</v>
      </c>
      <c r="Q645" s="62" t="s">
        <v>7900</v>
      </c>
      <c r="R645" s="62" t="s">
        <v>7901</v>
      </c>
      <c r="S645" s="62" t="s">
        <v>7902</v>
      </c>
      <c r="U645" s="62" t="s">
        <v>7903</v>
      </c>
      <c r="V645" s="62" t="s">
        <v>57010</v>
      </c>
      <c r="W645" s="62" t="s">
        <v>7904</v>
      </c>
      <c r="X645" s="62" t="s">
        <v>7905</v>
      </c>
      <c r="Y645" s="62" t="s">
        <v>7906</v>
      </c>
      <c r="Z645" s="62" t="s">
        <v>7907</v>
      </c>
      <c r="AA645" s="62" t="s">
        <v>57062</v>
      </c>
      <c r="AB645" s="62" t="s">
        <v>7908</v>
      </c>
      <c r="AC645" s="62" t="s">
        <v>7909</v>
      </c>
      <c r="AD645" s="62" t="s">
        <v>7910</v>
      </c>
    </row>
    <row r="646" spans="1:30" x14ac:dyDescent="0.25">
      <c r="A646" s="62" t="s">
        <v>109</v>
      </c>
      <c r="C646" s="62" t="s">
        <v>7911</v>
      </c>
      <c r="F646" s="62" t="s">
        <v>10350</v>
      </c>
      <c r="G646" s="62" t="s">
        <v>56855</v>
      </c>
      <c r="J646" s="62" t="s">
        <v>7912</v>
      </c>
      <c r="K646" s="62" t="s">
        <v>56907</v>
      </c>
      <c r="L646" s="62" t="s">
        <v>7913</v>
      </c>
      <c r="M646" s="62" t="s">
        <v>7914</v>
      </c>
      <c r="N646" s="62" t="s">
        <v>7915</v>
      </c>
      <c r="O646" s="62" t="s">
        <v>7916</v>
      </c>
      <c r="P646" s="62" t="s">
        <v>56959</v>
      </c>
      <c r="Q646" s="62" t="s">
        <v>7917</v>
      </c>
      <c r="R646" s="62" t="s">
        <v>7918</v>
      </c>
      <c r="S646" s="62" t="s">
        <v>7919</v>
      </c>
      <c r="U646" s="62" t="s">
        <v>7920</v>
      </c>
      <c r="V646" s="62" t="s">
        <v>57011</v>
      </c>
      <c r="W646" s="62" t="s">
        <v>7921</v>
      </c>
      <c r="X646" s="62" t="s">
        <v>7922</v>
      </c>
      <c r="Y646" s="62" t="s">
        <v>7923</v>
      </c>
      <c r="Z646" s="62" t="s">
        <v>7924</v>
      </c>
      <c r="AA646" s="62" t="s">
        <v>57063</v>
      </c>
      <c r="AB646" s="62" t="s">
        <v>7925</v>
      </c>
      <c r="AC646" s="62" t="s">
        <v>7926</v>
      </c>
      <c r="AD646" s="62" t="s">
        <v>7927</v>
      </c>
    </row>
    <row r="647" spans="1:30" x14ac:dyDescent="0.25">
      <c r="A647" s="62" t="s">
        <v>109</v>
      </c>
      <c r="C647" s="62" t="s">
        <v>7928</v>
      </c>
      <c r="F647" s="62" t="s">
        <v>10368</v>
      </c>
      <c r="G647" s="62" t="s">
        <v>56856</v>
      </c>
      <c r="J647" s="62" t="s">
        <v>7929</v>
      </c>
      <c r="K647" s="62" t="s">
        <v>56908</v>
      </c>
      <c r="L647" s="62" t="s">
        <v>7930</v>
      </c>
      <c r="M647" s="62" t="s">
        <v>7931</v>
      </c>
      <c r="N647" s="62" t="s">
        <v>7932</v>
      </c>
      <c r="O647" s="62" t="s">
        <v>7933</v>
      </c>
      <c r="P647" s="62" t="s">
        <v>56960</v>
      </c>
      <c r="Q647" s="62" t="s">
        <v>7934</v>
      </c>
      <c r="R647" s="62" t="s">
        <v>7935</v>
      </c>
      <c r="S647" s="62" t="s">
        <v>7936</v>
      </c>
      <c r="U647" s="62" t="s">
        <v>7937</v>
      </c>
      <c r="V647" s="62" t="s">
        <v>57012</v>
      </c>
      <c r="W647" s="62" t="s">
        <v>7938</v>
      </c>
      <c r="X647" s="62" t="s">
        <v>7939</v>
      </c>
      <c r="Y647" s="62" t="s">
        <v>7940</v>
      </c>
      <c r="Z647" s="62" t="s">
        <v>7941</v>
      </c>
      <c r="AA647" s="62" t="s">
        <v>57064</v>
      </c>
      <c r="AB647" s="62" t="s">
        <v>7942</v>
      </c>
      <c r="AC647" s="62" t="s">
        <v>7943</v>
      </c>
      <c r="AD647" s="62" t="s">
        <v>7944</v>
      </c>
    </row>
    <row r="648" spans="1:30" x14ac:dyDescent="0.25">
      <c r="A648" s="62" t="s">
        <v>109</v>
      </c>
      <c r="C648" s="62" t="s">
        <v>7945</v>
      </c>
      <c r="F648" s="62" t="s">
        <v>10386</v>
      </c>
      <c r="G648" s="62" t="s">
        <v>56857</v>
      </c>
      <c r="J648" s="62" t="s">
        <v>7946</v>
      </c>
      <c r="K648" s="62" t="s">
        <v>56909</v>
      </c>
      <c r="L648" s="62" t="s">
        <v>7947</v>
      </c>
      <c r="M648" s="62" t="s">
        <v>7948</v>
      </c>
      <c r="N648" s="62" t="s">
        <v>7949</v>
      </c>
      <c r="O648" s="62" t="s">
        <v>7950</v>
      </c>
      <c r="P648" s="62" t="s">
        <v>56961</v>
      </c>
      <c r="Q648" s="62" t="s">
        <v>7951</v>
      </c>
      <c r="R648" s="62" t="s">
        <v>7952</v>
      </c>
      <c r="S648" s="62" t="s">
        <v>7953</v>
      </c>
      <c r="U648" s="62" t="s">
        <v>7954</v>
      </c>
      <c r="V648" s="62" t="s">
        <v>57013</v>
      </c>
      <c r="W648" s="62" t="s">
        <v>7955</v>
      </c>
      <c r="X648" s="62" t="s">
        <v>7956</v>
      </c>
      <c r="Y648" s="62" t="s">
        <v>7957</v>
      </c>
      <c r="Z648" s="62" t="s">
        <v>7958</v>
      </c>
      <c r="AA648" s="62" t="s">
        <v>57065</v>
      </c>
      <c r="AB648" s="62" t="s">
        <v>7959</v>
      </c>
      <c r="AC648" s="62" t="s">
        <v>7960</v>
      </c>
      <c r="AD648" s="62" t="s">
        <v>7961</v>
      </c>
    </row>
    <row r="649" spans="1:30" x14ac:dyDescent="0.25">
      <c r="A649" s="62" t="s">
        <v>109</v>
      </c>
      <c r="C649" s="62" t="s">
        <v>7962</v>
      </c>
      <c r="F649" s="62" t="s">
        <v>10404</v>
      </c>
      <c r="G649" s="62" t="s">
        <v>56858</v>
      </c>
      <c r="J649" s="62" t="s">
        <v>7963</v>
      </c>
      <c r="K649" s="62" t="s">
        <v>56910</v>
      </c>
      <c r="L649" s="62" t="s">
        <v>7964</v>
      </c>
      <c r="M649" s="62" t="s">
        <v>7965</v>
      </c>
      <c r="N649" s="62" t="s">
        <v>7966</v>
      </c>
      <c r="O649" s="62" t="s">
        <v>7967</v>
      </c>
      <c r="P649" s="62" t="s">
        <v>56962</v>
      </c>
      <c r="Q649" s="62" t="s">
        <v>7968</v>
      </c>
      <c r="R649" s="62" t="s">
        <v>7969</v>
      </c>
      <c r="S649" s="62" t="s">
        <v>7970</v>
      </c>
      <c r="U649" s="62" t="s">
        <v>7971</v>
      </c>
      <c r="V649" s="62" t="s">
        <v>57014</v>
      </c>
      <c r="W649" s="62" t="s">
        <v>7972</v>
      </c>
      <c r="X649" s="62" t="s">
        <v>7973</v>
      </c>
      <c r="Y649" s="62" t="s">
        <v>7974</v>
      </c>
      <c r="Z649" s="62" t="s">
        <v>7975</v>
      </c>
      <c r="AA649" s="62" t="s">
        <v>57066</v>
      </c>
      <c r="AB649" s="62" t="s">
        <v>7976</v>
      </c>
      <c r="AC649" s="62" t="s">
        <v>7977</v>
      </c>
      <c r="AD649" s="62" t="s">
        <v>7978</v>
      </c>
    </row>
    <row r="650" spans="1:30" x14ac:dyDescent="0.25">
      <c r="A650" s="62" t="s">
        <v>109</v>
      </c>
      <c r="C650" s="62" t="s">
        <v>7979</v>
      </c>
      <c r="F650" s="62" t="s">
        <v>10422</v>
      </c>
      <c r="G650" s="62" t="s">
        <v>56859</v>
      </c>
      <c r="J650" s="62" t="s">
        <v>7980</v>
      </c>
      <c r="K650" s="62" t="s">
        <v>56911</v>
      </c>
      <c r="L650" s="62" t="s">
        <v>7981</v>
      </c>
      <c r="M650" s="62" t="s">
        <v>7982</v>
      </c>
      <c r="N650" s="62" t="s">
        <v>7983</v>
      </c>
      <c r="O650" s="62" t="s">
        <v>7984</v>
      </c>
      <c r="P650" s="62" t="s">
        <v>56963</v>
      </c>
      <c r="Q650" s="62" t="s">
        <v>7985</v>
      </c>
      <c r="R650" s="62" t="s">
        <v>7986</v>
      </c>
      <c r="S650" s="62" t="s">
        <v>7987</v>
      </c>
      <c r="U650" s="62" t="s">
        <v>7988</v>
      </c>
      <c r="V650" s="62" t="s">
        <v>57015</v>
      </c>
      <c r="W650" s="62" t="s">
        <v>7989</v>
      </c>
      <c r="X650" s="62" t="s">
        <v>7990</v>
      </c>
      <c r="Y650" s="62" t="s">
        <v>7991</v>
      </c>
      <c r="Z650" s="62" t="s">
        <v>7992</v>
      </c>
      <c r="AA650" s="62" t="s">
        <v>57067</v>
      </c>
      <c r="AB650" s="62" t="s">
        <v>7993</v>
      </c>
      <c r="AC650" s="62" t="s">
        <v>7994</v>
      </c>
      <c r="AD650" s="62" t="s">
        <v>7995</v>
      </c>
    </row>
    <row r="651" spans="1:30" x14ac:dyDescent="0.25">
      <c r="A651" s="62" t="s">
        <v>109</v>
      </c>
      <c r="C651" s="62" t="s">
        <v>7996</v>
      </c>
      <c r="F651" s="62" t="s">
        <v>1002</v>
      </c>
      <c r="G651" s="62" t="s">
        <v>56860</v>
      </c>
      <c r="J651" s="62" t="s">
        <v>7997</v>
      </c>
      <c r="K651" s="62" t="s">
        <v>56912</v>
      </c>
      <c r="L651" s="62" t="s">
        <v>7998</v>
      </c>
      <c r="M651" s="62" t="s">
        <v>7999</v>
      </c>
      <c r="N651" s="62" t="s">
        <v>8000</v>
      </c>
      <c r="O651" s="62" t="s">
        <v>8001</v>
      </c>
      <c r="P651" s="62" t="s">
        <v>56964</v>
      </c>
      <c r="Q651" s="62" t="s">
        <v>8002</v>
      </c>
      <c r="R651" s="62" t="s">
        <v>8003</v>
      </c>
      <c r="S651" s="62" t="s">
        <v>8004</v>
      </c>
      <c r="U651" s="62" t="s">
        <v>8005</v>
      </c>
      <c r="V651" s="62" t="s">
        <v>57016</v>
      </c>
      <c r="W651" s="62" t="s">
        <v>8006</v>
      </c>
      <c r="X651" s="62" t="s">
        <v>8007</v>
      </c>
      <c r="Y651" s="62" t="s">
        <v>8008</v>
      </c>
      <c r="Z651" s="62" t="s">
        <v>8009</v>
      </c>
      <c r="AA651" s="62" t="s">
        <v>57068</v>
      </c>
      <c r="AB651" s="62" t="s">
        <v>8010</v>
      </c>
      <c r="AC651" s="62" t="s">
        <v>8011</v>
      </c>
      <c r="AD651" s="62" t="s">
        <v>8012</v>
      </c>
    </row>
    <row r="652" spans="1:30" x14ac:dyDescent="0.25">
      <c r="A652" s="62" t="s">
        <v>109</v>
      </c>
      <c r="C652" s="62" t="s">
        <v>8013</v>
      </c>
      <c r="F652" s="62" t="s">
        <v>1012</v>
      </c>
      <c r="G652" s="62" t="s">
        <v>56861</v>
      </c>
      <c r="J652" s="62" t="s">
        <v>8014</v>
      </c>
      <c r="K652" s="62" t="s">
        <v>56913</v>
      </c>
      <c r="L652" s="62" t="s">
        <v>8015</v>
      </c>
      <c r="M652" s="62" t="s">
        <v>8016</v>
      </c>
      <c r="N652" s="62" t="s">
        <v>8017</v>
      </c>
      <c r="O652" s="62" t="s">
        <v>8018</v>
      </c>
      <c r="P652" s="62" t="s">
        <v>56965</v>
      </c>
      <c r="Q652" s="62" t="s">
        <v>8019</v>
      </c>
      <c r="R652" s="62" t="s">
        <v>8020</v>
      </c>
      <c r="S652" s="62" t="s">
        <v>8021</v>
      </c>
      <c r="U652" s="62" t="s">
        <v>8022</v>
      </c>
      <c r="V652" s="62" t="s">
        <v>57017</v>
      </c>
      <c r="W652" s="62" t="s">
        <v>8023</v>
      </c>
      <c r="X652" s="62" t="s">
        <v>8024</v>
      </c>
      <c r="Y652" s="62" t="s">
        <v>8025</v>
      </c>
      <c r="Z652" s="62" t="s">
        <v>8026</v>
      </c>
      <c r="AA652" s="62" t="s">
        <v>57069</v>
      </c>
      <c r="AB652" s="62" t="s">
        <v>8027</v>
      </c>
      <c r="AC652" s="62" t="s">
        <v>8028</v>
      </c>
      <c r="AD652" s="62" t="s">
        <v>8029</v>
      </c>
    </row>
    <row r="653" spans="1:30" x14ac:dyDescent="0.25">
      <c r="A653" s="62" t="s">
        <v>109</v>
      </c>
      <c r="C653" s="62" t="s">
        <v>8030</v>
      </c>
      <c r="F653" s="62" t="s">
        <v>1030</v>
      </c>
      <c r="G653" s="62" t="s">
        <v>56862</v>
      </c>
      <c r="J653" s="62" t="s">
        <v>8031</v>
      </c>
      <c r="K653" s="62" t="s">
        <v>56914</v>
      </c>
      <c r="L653" s="62" t="s">
        <v>8032</v>
      </c>
      <c r="M653" s="62" t="s">
        <v>8033</v>
      </c>
      <c r="N653" s="62" t="s">
        <v>8034</v>
      </c>
      <c r="O653" s="62" t="s">
        <v>8035</v>
      </c>
      <c r="P653" s="62" t="s">
        <v>56966</v>
      </c>
      <c r="Q653" s="62" t="s">
        <v>8036</v>
      </c>
      <c r="R653" s="62" t="s">
        <v>8037</v>
      </c>
      <c r="S653" s="62" t="s">
        <v>8038</v>
      </c>
      <c r="U653" s="62" t="s">
        <v>8039</v>
      </c>
      <c r="V653" s="62" t="s">
        <v>57018</v>
      </c>
      <c r="W653" s="62" t="s">
        <v>8040</v>
      </c>
      <c r="X653" s="62" t="s">
        <v>8041</v>
      </c>
      <c r="Y653" s="62" t="s">
        <v>8042</v>
      </c>
      <c r="Z653" s="62" t="s">
        <v>8043</v>
      </c>
      <c r="AA653" s="62" t="s">
        <v>57070</v>
      </c>
      <c r="AB653" s="62" t="s">
        <v>8044</v>
      </c>
      <c r="AC653" s="62" t="s">
        <v>8045</v>
      </c>
      <c r="AD653" s="62" t="s">
        <v>8046</v>
      </c>
    </row>
    <row r="654" spans="1:30" x14ac:dyDescent="0.25">
      <c r="A654" s="62" t="s">
        <v>109</v>
      </c>
      <c r="C654" s="62" t="s">
        <v>8047</v>
      </c>
      <c r="F654" s="62" t="s">
        <v>1064</v>
      </c>
      <c r="G654" s="62" t="s">
        <v>56863</v>
      </c>
      <c r="J654" s="62" t="s">
        <v>8048</v>
      </c>
      <c r="K654" s="62" t="s">
        <v>56915</v>
      </c>
      <c r="L654" s="62" t="s">
        <v>8049</v>
      </c>
      <c r="M654" s="62" t="s">
        <v>8050</v>
      </c>
      <c r="N654" s="62" t="s">
        <v>8051</v>
      </c>
      <c r="O654" s="62" t="s">
        <v>8052</v>
      </c>
      <c r="P654" s="62" t="s">
        <v>56967</v>
      </c>
      <c r="Q654" s="62" t="s">
        <v>8053</v>
      </c>
      <c r="R654" s="62" t="s">
        <v>8054</v>
      </c>
      <c r="S654" s="62" t="s">
        <v>8055</v>
      </c>
      <c r="U654" s="62" t="s">
        <v>8056</v>
      </c>
      <c r="V654" s="62" t="s">
        <v>57019</v>
      </c>
      <c r="W654" s="62" t="s">
        <v>8057</v>
      </c>
      <c r="X654" s="62" t="s">
        <v>8058</v>
      </c>
      <c r="Y654" s="62" t="s">
        <v>8059</v>
      </c>
      <c r="Z654" s="62" t="s">
        <v>8060</v>
      </c>
      <c r="AA654" s="62" t="s">
        <v>57071</v>
      </c>
      <c r="AB654" s="62" t="s">
        <v>8061</v>
      </c>
      <c r="AC654" s="62" t="s">
        <v>8062</v>
      </c>
      <c r="AD654" s="62" t="s">
        <v>8063</v>
      </c>
    </row>
    <row r="655" spans="1:30" x14ac:dyDescent="0.25">
      <c r="A655" s="62" t="s">
        <v>109</v>
      </c>
      <c r="C655" s="62" t="s">
        <v>8064</v>
      </c>
      <c r="F655" s="62" t="s">
        <v>1090</v>
      </c>
      <c r="G655" s="62" t="s">
        <v>56864</v>
      </c>
      <c r="J655" s="62" t="s">
        <v>8065</v>
      </c>
      <c r="K655" s="62" t="s">
        <v>56916</v>
      </c>
      <c r="L655" s="62" t="s">
        <v>8066</v>
      </c>
      <c r="M655" s="62" t="s">
        <v>8067</v>
      </c>
      <c r="N655" s="62" t="s">
        <v>8068</v>
      </c>
      <c r="O655" s="62" t="s">
        <v>8069</v>
      </c>
      <c r="P655" s="62" t="s">
        <v>56968</v>
      </c>
      <c r="Q655" s="62" t="s">
        <v>8070</v>
      </c>
      <c r="R655" s="62" t="s">
        <v>8071</v>
      </c>
      <c r="S655" s="62" t="s">
        <v>8072</v>
      </c>
      <c r="U655" s="62" t="s">
        <v>8073</v>
      </c>
      <c r="V655" s="62" t="s">
        <v>57020</v>
      </c>
      <c r="W655" s="62" t="s">
        <v>8074</v>
      </c>
      <c r="X655" s="62" t="s">
        <v>8075</v>
      </c>
      <c r="Y655" s="62" t="s">
        <v>8076</v>
      </c>
      <c r="Z655" s="62" t="s">
        <v>8077</v>
      </c>
      <c r="AA655" s="62" t="s">
        <v>57072</v>
      </c>
      <c r="AB655" s="62" t="s">
        <v>8078</v>
      </c>
      <c r="AC655" s="62" t="s">
        <v>8079</v>
      </c>
      <c r="AD655" s="62" t="s">
        <v>8080</v>
      </c>
    </row>
    <row r="656" spans="1:30" x14ac:dyDescent="0.25">
      <c r="A656" s="62" t="s">
        <v>109</v>
      </c>
      <c r="C656" s="62" t="s">
        <v>8081</v>
      </c>
      <c r="F656" s="62" t="s">
        <v>2355</v>
      </c>
      <c r="G656" s="62" t="s">
        <v>56865</v>
      </c>
      <c r="J656" s="62" t="s">
        <v>8082</v>
      </c>
      <c r="K656" s="62" t="s">
        <v>56917</v>
      </c>
      <c r="L656" s="62" t="s">
        <v>8083</v>
      </c>
      <c r="M656" s="62" t="s">
        <v>8084</v>
      </c>
      <c r="N656" s="62" t="s">
        <v>8085</v>
      </c>
      <c r="O656" s="62" t="s">
        <v>8086</v>
      </c>
      <c r="P656" s="62" t="s">
        <v>56969</v>
      </c>
      <c r="Q656" s="62" t="s">
        <v>8087</v>
      </c>
      <c r="R656" s="62" t="s">
        <v>8088</v>
      </c>
      <c r="S656" s="62" t="s">
        <v>8089</v>
      </c>
      <c r="U656" s="62" t="s">
        <v>8090</v>
      </c>
      <c r="V656" s="62" t="s">
        <v>57021</v>
      </c>
      <c r="W656" s="62" t="s">
        <v>8091</v>
      </c>
      <c r="X656" s="62" t="s">
        <v>8092</v>
      </c>
      <c r="Y656" s="62" t="s">
        <v>8093</v>
      </c>
      <c r="Z656" s="62" t="s">
        <v>8094</v>
      </c>
      <c r="AA656" s="62" t="s">
        <v>57073</v>
      </c>
      <c r="AB656" s="62" t="s">
        <v>8095</v>
      </c>
      <c r="AC656" s="62" t="s">
        <v>8096</v>
      </c>
      <c r="AD656" s="62" t="s">
        <v>8097</v>
      </c>
    </row>
    <row r="657" spans="1:30" x14ac:dyDescent="0.25">
      <c r="A657" s="62" t="s">
        <v>109</v>
      </c>
      <c r="C657" s="62" t="s">
        <v>8098</v>
      </c>
      <c r="F657" s="62" t="s">
        <v>2372</v>
      </c>
      <c r="G657" s="62" t="s">
        <v>56866</v>
      </c>
      <c r="J657" s="62" t="s">
        <v>8099</v>
      </c>
      <c r="K657" s="62" t="s">
        <v>56918</v>
      </c>
      <c r="L657" s="62" t="s">
        <v>8100</v>
      </c>
      <c r="M657" s="62" t="s">
        <v>8101</v>
      </c>
      <c r="N657" s="62" t="s">
        <v>8102</v>
      </c>
      <c r="O657" s="62" t="s">
        <v>8103</v>
      </c>
      <c r="P657" s="62" t="s">
        <v>56970</v>
      </c>
      <c r="Q657" s="62" t="s">
        <v>8104</v>
      </c>
      <c r="R657" s="62" t="s">
        <v>8105</v>
      </c>
      <c r="S657" s="62" t="s">
        <v>8106</v>
      </c>
      <c r="U657" s="62" t="s">
        <v>8107</v>
      </c>
      <c r="V657" s="62" t="s">
        <v>57022</v>
      </c>
      <c r="W657" s="62" t="s">
        <v>8108</v>
      </c>
      <c r="X657" s="62" t="s">
        <v>8109</v>
      </c>
      <c r="Y657" s="62" t="s">
        <v>8110</v>
      </c>
      <c r="Z657" s="62" t="s">
        <v>8111</v>
      </c>
      <c r="AA657" s="62" t="s">
        <v>57074</v>
      </c>
      <c r="AB657" s="62" t="s">
        <v>8112</v>
      </c>
      <c r="AC657" s="62" t="s">
        <v>8113</v>
      </c>
      <c r="AD657" s="62" t="s">
        <v>8114</v>
      </c>
    </row>
    <row r="658" spans="1:30" x14ac:dyDescent="0.25">
      <c r="A658" s="62" t="s">
        <v>109</v>
      </c>
      <c r="C658" s="62" t="s">
        <v>8115</v>
      </c>
      <c r="F658" s="62" t="s">
        <v>10559</v>
      </c>
      <c r="G658" s="62" t="s">
        <v>56867</v>
      </c>
      <c r="J658" s="62" t="s">
        <v>8116</v>
      </c>
      <c r="K658" s="62" t="s">
        <v>56919</v>
      </c>
      <c r="L658" s="62" t="s">
        <v>8117</v>
      </c>
      <c r="M658" s="62" t="s">
        <v>8118</v>
      </c>
      <c r="N658" s="62" t="s">
        <v>8119</v>
      </c>
      <c r="O658" s="62" t="s">
        <v>8120</v>
      </c>
      <c r="P658" s="62" t="s">
        <v>56971</v>
      </c>
      <c r="Q658" s="62" t="s">
        <v>8121</v>
      </c>
      <c r="R658" s="62" t="s">
        <v>8122</v>
      </c>
      <c r="S658" s="62" t="s">
        <v>8123</v>
      </c>
      <c r="U658" s="62" t="s">
        <v>8124</v>
      </c>
      <c r="V658" s="62" t="s">
        <v>57023</v>
      </c>
      <c r="W658" s="62" t="s">
        <v>8125</v>
      </c>
      <c r="X658" s="62" t="s">
        <v>8126</v>
      </c>
      <c r="Y658" s="62" t="s">
        <v>8127</v>
      </c>
      <c r="Z658" s="62" t="s">
        <v>8128</v>
      </c>
      <c r="AA658" s="62" t="s">
        <v>57075</v>
      </c>
      <c r="AB658" s="62" t="s">
        <v>8129</v>
      </c>
      <c r="AC658" s="62" t="s">
        <v>8130</v>
      </c>
      <c r="AD658" s="62" t="s">
        <v>8131</v>
      </c>
    </row>
    <row r="659" spans="1:30" x14ac:dyDescent="0.25">
      <c r="A659" s="62" t="s">
        <v>109</v>
      </c>
      <c r="C659" s="62" t="s">
        <v>8132</v>
      </c>
      <c r="F659" s="62" t="s">
        <v>10577</v>
      </c>
      <c r="G659" s="62" t="s">
        <v>56868</v>
      </c>
      <c r="J659" s="62" t="s">
        <v>8133</v>
      </c>
      <c r="K659" s="62" t="s">
        <v>56920</v>
      </c>
      <c r="L659" s="62" t="s">
        <v>8134</v>
      </c>
      <c r="M659" s="62" t="s">
        <v>8135</v>
      </c>
      <c r="N659" s="62" t="s">
        <v>8136</v>
      </c>
      <c r="O659" s="62" t="s">
        <v>8137</v>
      </c>
      <c r="P659" s="62" t="s">
        <v>56972</v>
      </c>
      <c r="Q659" s="62" t="s">
        <v>8138</v>
      </c>
      <c r="R659" s="62" t="s">
        <v>8139</v>
      </c>
      <c r="S659" s="62" t="s">
        <v>8140</v>
      </c>
      <c r="U659" s="62" t="s">
        <v>8141</v>
      </c>
      <c r="V659" s="62" t="s">
        <v>57024</v>
      </c>
      <c r="W659" s="62" t="s">
        <v>8142</v>
      </c>
      <c r="X659" s="62" t="s">
        <v>8143</v>
      </c>
      <c r="Y659" s="62" t="s">
        <v>8144</v>
      </c>
      <c r="Z659" s="62" t="s">
        <v>8145</v>
      </c>
      <c r="AA659" s="62" t="s">
        <v>57076</v>
      </c>
      <c r="AB659" s="62" t="s">
        <v>8146</v>
      </c>
      <c r="AC659" s="62" t="s">
        <v>8147</v>
      </c>
      <c r="AD659" s="62" t="s">
        <v>8148</v>
      </c>
    </row>
    <row r="660" spans="1:30" x14ac:dyDescent="0.25">
      <c r="A660" s="62" t="s">
        <v>109</v>
      </c>
      <c r="C660" s="62" t="s">
        <v>8149</v>
      </c>
      <c r="F660" s="62" t="s">
        <v>10595</v>
      </c>
      <c r="G660" s="62" t="s">
        <v>56869</v>
      </c>
      <c r="J660" s="62" t="s">
        <v>8150</v>
      </c>
      <c r="K660" s="62" t="s">
        <v>56921</v>
      </c>
      <c r="L660" s="62" t="s">
        <v>8151</v>
      </c>
      <c r="M660" s="62" t="s">
        <v>8152</v>
      </c>
      <c r="N660" s="62" t="s">
        <v>8153</v>
      </c>
      <c r="O660" s="62" t="s">
        <v>8154</v>
      </c>
      <c r="P660" s="62" t="s">
        <v>56973</v>
      </c>
      <c r="Q660" s="62" t="s">
        <v>8155</v>
      </c>
      <c r="R660" s="62" t="s">
        <v>8156</v>
      </c>
      <c r="S660" s="62" t="s">
        <v>8157</v>
      </c>
      <c r="U660" s="62" t="s">
        <v>8158</v>
      </c>
      <c r="V660" s="62" t="s">
        <v>57025</v>
      </c>
      <c r="W660" s="62" t="s">
        <v>8159</v>
      </c>
      <c r="X660" s="62" t="s">
        <v>8160</v>
      </c>
      <c r="Y660" s="62" t="s">
        <v>8161</v>
      </c>
      <c r="Z660" s="62" t="s">
        <v>8162</v>
      </c>
      <c r="AA660" s="62" t="s">
        <v>57077</v>
      </c>
      <c r="AB660" s="62" t="s">
        <v>8163</v>
      </c>
      <c r="AC660" s="62" t="s">
        <v>8164</v>
      </c>
      <c r="AD660" s="62" t="s">
        <v>8165</v>
      </c>
    </row>
    <row r="661" spans="1:30" x14ac:dyDescent="0.25">
      <c r="A661" s="62" t="s">
        <v>109</v>
      </c>
      <c r="C661" s="62" t="s">
        <v>41271</v>
      </c>
      <c r="F661" s="62" t="s">
        <v>10613</v>
      </c>
      <c r="G661" s="62" t="s">
        <v>56870</v>
      </c>
      <c r="J661" s="62" t="s">
        <v>41272</v>
      </c>
      <c r="K661" s="62" t="s">
        <v>56922</v>
      </c>
      <c r="L661" s="62" t="s">
        <v>41273</v>
      </c>
      <c r="M661" s="62" t="s">
        <v>41274</v>
      </c>
      <c r="N661" s="62" t="s">
        <v>41275</v>
      </c>
      <c r="O661" s="62" t="s">
        <v>41276</v>
      </c>
      <c r="P661" s="62" t="s">
        <v>56974</v>
      </c>
      <c r="Q661" s="62" t="s">
        <v>41277</v>
      </c>
      <c r="R661" s="62" t="s">
        <v>41278</v>
      </c>
      <c r="S661" s="62" t="s">
        <v>41279</v>
      </c>
      <c r="U661" s="62" t="s">
        <v>41280</v>
      </c>
      <c r="V661" s="62" t="s">
        <v>57026</v>
      </c>
      <c r="W661" s="62" t="s">
        <v>41281</v>
      </c>
      <c r="X661" s="62" t="s">
        <v>41282</v>
      </c>
      <c r="Y661" s="62" t="s">
        <v>41283</v>
      </c>
      <c r="Z661" s="62" t="s">
        <v>41284</v>
      </c>
      <c r="AA661" s="62" t="s">
        <v>57078</v>
      </c>
      <c r="AB661" s="62" t="s">
        <v>41285</v>
      </c>
      <c r="AC661" s="62" t="s">
        <v>41286</v>
      </c>
      <c r="AD661" s="62" t="s">
        <v>41287</v>
      </c>
    </row>
    <row r="662" spans="1:30" x14ac:dyDescent="0.25">
      <c r="A662" s="62" t="s">
        <v>109</v>
      </c>
      <c r="C662" s="62" t="s">
        <v>8166</v>
      </c>
      <c r="F662" s="62" t="s">
        <v>10631</v>
      </c>
      <c r="G662" s="62" t="s">
        <v>56871</v>
      </c>
      <c r="J662" s="62" t="s">
        <v>41288</v>
      </c>
      <c r="K662" s="62" t="s">
        <v>56923</v>
      </c>
      <c r="L662" s="62" t="s">
        <v>41289</v>
      </c>
      <c r="M662" s="62" t="s">
        <v>8167</v>
      </c>
      <c r="N662" s="62" t="s">
        <v>8168</v>
      </c>
      <c r="O662" s="62" t="s">
        <v>41290</v>
      </c>
      <c r="P662" s="62" t="s">
        <v>56975</v>
      </c>
      <c r="Q662" s="62" t="s">
        <v>41291</v>
      </c>
      <c r="R662" s="62" t="s">
        <v>8169</v>
      </c>
      <c r="S662" s="62" t="s">
        <v>8170</v>
      </c>
      <c r="U662" s="62" t="s">
        <v>41292</v>
      </c>
      <c r="V662" s="62" t="s">
        <v>57027</v>
      </c>
      <c r="W662" s="62" t="s">
        <v>41293</v>
      </c>
      <c r="X662" s="62" t="s">
        <v>8171</v>
      </c>
      <c r="Y662" s="62" t="s">
        <v>8172</v>
      </c>
      <c r="Z662" s="62" t="s">
        <v>41294</v>
      </c>
      <c r="AA662" s="62" t="s">
        <v>57079</v>
      </c>
      <c r="AB662" s="62" t="s">
        <v>41295</v>
      </c>
      <c r="AC662" s="62" t="s">
        <v>8173</v>
      </c>
      <c r="AD662" s="62" t="s">
        <v>8174</v>
      </c>
    </row>
    <row r="663" spans="1:30" x14ac:dyDescent="0.25">
      <c r="A663" s="62" t="s">
        <v>109</v>
      </c>
      <c r="C663" s="62" t="s">
        <v>41296</v>
      </c>
      <c r="F663" s="62" t="s">
        <v>10649</v>
      </c>
      <c r="G663" s="62" t="s">
        <v>56872</v>
      </c>
      <c r="J663" s="62" t="s">
        <v>41297</v>
      </c>
      <c r="K663" s="62" t="s">
        <v>56924</v>
      </c>
      <c r="L663" s="62" t="s">
        <v>41298</v>
      </c>
      <c r="M663" s="62" t="s">
        <v>41299</v>
      </c>
      <c r="N663" s="62" t="s">
        <v>41300</v>
      </c>
      <c r="O663" s="62" t="s">
        <v>41301</v>
      </c>
      <c r="P663" s="62" t="s">
        <v>56976</v>
      </c>
      <c r="Q663" s="62" t="s">
        <v>41302</v>
      </c>
      <c r="R663" s="62" t="s">
        <v>41303</v>
      </c>
      <c r="S663" s="62" t="s">
        <v>41304</v>
      </c>
      <c r="U663" s="62" t="s">
        <v>41305</v>
      </c>
      <c r="V663" s="62" t="s">
        <v>57028</v>
      </c>
      <c r="W663" s="62" t="s">
        <v>41306</v>
      </c>
      <c r="X663" s="62" t="s">
        <v>41307</v>
      </c>
      <c r="Y663" s="62" t="s">
        <v>41308</v>
      </c>
      <c r="Z663" s="62" t="s">
        <v>41309</v>
      </c>
      <c r="AA663" s="62" t="s">
        <v>57080</v>
      </c>
      <c r="AB663" s="62" t="s">
        <v>41310</v>
      </c>
      <c r="AC663" s="62" t="s">
        <v>41311</v>
      </c>
      <c r="AD663" s="62" t="s">
        <v>41312</v>
      </c>
    </row>
    <row r="664" spans="1:30" x14ac:dyDescent="0.25">
      <c r="A664" s="62" t="s">
        <v>109</v>
      </c>
      <c r="C664" s="62" t="s">
        <v>41313</v>
      </c>
      <c r="F664" s="62" t="s">
        <v>10667</v>
      </c>
      <c r="G664" s="62" t="s">
        <v>56873</v>
      </c>
      <c r="J664" s="62" t="s">
        <v>41314</v>
      </c>
      <c r="K664" s="62" t="s">
        <v>56925</v>
      </c>
      <c r="L664" s="62" t="s">
        <v>41315</v>
      </c>
      <c r="M664" s="62" t="s">
        <v>41316</v>
      </c>
      <c r="N664" s="62" t="s">
        <v>41317</v>
      </c>
      <c r="O664" s="62" t="s">
        <v>41318</v>
      </c>
      <c r="P664" s="62" t="s">
        <v>56977</v>
      </c>
      <c r="Q664" s="62" t="s">
        <v>41319</v>
      </c>
      <c r="R664" s="62" t="s">
        <v>41320</v>
      </c>
      <c r="S664" s="62" t="s">
        <v>41321</v>
      </c>
      <c r="U664" s="62" t="s">
        <v>41322</v>
      </c>
      <c r="V664" s="62" t="s">
        <v>57029</v>
      </c>
      <c r="W664" s="62" t="s">
        <v>41323</v>
      </c>
      <c r="X664" s="62" t="s">
        <v>41324</v>
      </c>
      <c r="Y664" s="62" t="s">
        <v>41325</v>
      </c>
      <c r="Z664" s="62" t="s">
        <v>41326</v>
      </c>
      <c r="AA664" s="62" t="s">
        <v>57081</v>
      </c>
      <c r="AB664" s="62" t="s">
        <v>41327</v>
      </c>
      <c r="AC664" s="62" t="s">
        <v>41328</v>
      </c>
      <c r="AD664" s="62" t="s">
        <v>41329</v>
      </c>
    </row>
    <row r="665" spans="1:30" x14ac:dyDescent="0.25">
      <c r="A665" s="62" t="s">
        <v>109</v>
      </c>
      <c r="C665" s="62" t="s">
        <v>8175</v>
      </c>
      <c r="F665" s="62" t="s">
        <v>10685</v>
      </c>
      <c r="G665" s="62" t="s">
        <v>56874</v>
      </c>
      <c r="J665" s="62" t="s">
        <v>41330</v>
      </c>
      <c r="K665" s="62" t="s">
        <v>56926</v>
      </c>
      <c r="L665" s="62" t="s">
        <v>41331</v>
      </c>
      <c r="M665" s="62" t="s">
        <v>41332</v>
      </c>
      <c r="N665" s="62" t="s">
        <v>41333</v>
      </c>
      <c r="O665" s="62" t="s">
        <v>41334</v>
      </c>
      <c r="P665" s="62" t="s">
        <v>56978</v>
      </c>
      <c r="Q665" s="62" t="s">
        <v>41335</v>
      </c>
      <c r="R665" s="62" t="s">
        <v>41336</v>
      </c>
      <c r="S665" s="62" t="s">
        <v>41337</v>
      </c>
      <c r="U665" s="62" t="s">
        <v>41338</v>
      </c>
      <c r="V665" s="62" t="s">
        <v>57030</v>
      </c>
      <c r="W665" s="62" t="s">
        <v>41339</v>
      </c>
      <c r="X665" s="62" t="s">
        <v>41340</v>
      </c>
      <c r="Y665" s="62" t="s">
        <v>41341</v>
      </c>
      <c r="Z665" s="62" t="s">
        <v>41342</v>
      </c>
      <c r="AA665" s="62" t="s">
        <v>57082</v>
      </c>
      <c r="AB665" s="62" t="s">
        <v>41343</v>
      </c>
      <c r="AC665" s="62" t="s">
        <v>41344</v>
      </c>
      <c r="AD665" s="62" t="s">
        <v>41345</v>
      </c>
    </row>
    <row r="666" spans="1:30" x14ac:dyDescent="0.25">
      <c r="A666" s="62" t="s">
        <v>109</v>
      </c>
      <c r="C666" s="62" t="s">
        <v>8176</v>
      </c>
      <c r="F666" s="62" t="s">
        <v>10703</v>
      </c>
      <c r="G666" s="62" t="s">
        <v>56875</v>
      </c>
      <c r="J666" s="62" t="s">
        <v>8177</v>
      </c>
      <c r="K666" s="62" t="s">
        <v>56927</v>
      </c>
      <c r="L666" s="62" t="s">
        <v>8178</v>
      </c>
      <c r="M666" s="62" t="s">
        <v>8179</v>
      </c>
      <c r="N666" s="62" t="s">
        <v>8180</v>
      </c>
      <c r="O666" s="62" t="s">
        <v>8181</v>
      </c>
      <c r="P666" s="62" t="s">
        <v>56979</v>
      </c>
      <c r="Q666" s="62" t="s">
        <v>8182</v>
      </c>
      <c r="R666" s="62" t="s">
        <v>8183</v>
      </c>
      <c r="S666" s="62" t="s">
        <v>8184</v>
      </c>
      <c r="U666" s="62" t="s">
        <v>8185</v>
      </c>
      <c r="V666" s="62" t="s">
        <v>57031</v>
      </c>
      <c r="W666" s="62" t="s">
        <v>8186</v>
      </c>
      <c r="X666" s="62" t="s">
        <v>8187</v>
      </c>
      <c r="Y666" s="62" t="s">
        <v>8188</v>
      </c>
      <c r="Z666" s="62" t="s">
        <v>8189</v>
      </c>
      <c r="AA666" s="62" t="s">
        <v>57083</v>
      </c>
      <c r="AB666" s="62" t="s">
        <v>8190</v>
      </c>
      <c r="AC666" s="62" t="s">
        <v>8191</v>
      </c>
      <c r="AD666" s="62" t="s">
        <v>8192</v>
      </c>
    </row>
    <row r="667" spans="1:30" x14ac:dyDescent="0.25">
      <c r="A667" s="62" t="s">
        <v>109</v>
      </c>
      <c r="C667" s="62" t="s">
        <v>8193</v>
      </c>
      <c r="F667" s="62" t="s">
        <v>10721</v>
      </c>
      <c r="G667" s="62" t="s">
        <v>56876</v>
      </c>
      <c r="J667" s="62" t="s">
        <v>8194</v>
      </c>
      <c r="K667" s="62" t="s">
        <v>56928</v>
      </c>
      <c r="L667" s="62" t="s">
        <v>8195</v>
      </c>
      <c r="M667" s="62" t="s">
        <v>8196</v>
      </c>
      <c r="N667" s="62" t="s">
        <v>8197</v>
      </c>
      <c r="O667" s="62" t="s">
        <v>8198</v>
      </c>
      <c r="P667" s="62" t="s">
        <v>56980</v>
      </c>
      <c r="Q667" s="62" t="s">
        <v>8199</v>
      </c>
      <c r="R667" s="62" t="s">
        <v>8200</v>
      </c>
      <c r="S667" s="62" t="s">
        <v>8201</v>
      </c>
      <c r="U667" s="62" t="s">
        <v>8202</v>
      </c>
      <c r="V667" s="62" t="s">
        <v>57032</v>
      </c>
      <c r="W667" s="62" t="s">
        <v>8203</v>
      </c>
      <c r="X667" s="62" t="s">
        <v>8204</v>
      </c>
      <c r="Y667" s="62" t="s">
        <v>8205</v>
      </c>
      <c r="Z667" s="62" t="s">
        <v>8206</v>
      </c>
      <c r="AA667" s="62" t="s">
        <v>57084</v>
      </c>
      <c r="AB667" s="62" t="s">
        <v>8207</v>
      </c>
      <c r="AC667" s="62" t="s">
        <v>8208</v>
      </c>
      <c r="AD667" s="62" t="s">
        <v>8209</v>
      </c>
    </row>
    <row r="668" spans="1:30" x14ac:dyDescent="0.25">
      <c r="A668" s="62" t="s">
        <v>109</v>
      </c>
      <c r="C668" s="62" t="s">
        <v>8210</v>
      </c>
      <c r="F668" s="62" t="s">
        <v>10739</v>
      </c>
      <c r="G668" s="62" t="s">
        <v>56877</v>
      </c>
      <c r="J668" s="62" t="s">
        <v>8211</v>
      </c>
      <c r="K668" s="62" t="s">
        <v>56929</v>
      </c>
      <c r="L668" s="62" t="s">
        <v>8212</v>
      </c>
      <c r="M668" s="62" t="s">
        <v>8213</v>
      </c>
      <c r="N668" s="62" t="s">
        <v>8214</v>
      </c>
      <c r="O668" s="62" t="s">
        <v>8215</v>
      </c>
      <c r="P668" s="62" t="s">
        <v>56981</v>
      </c>
      <c r="Q668" s="62" t="s">
        <v>8216</v>
      </c>
      <c r="R668" s="62" t="s">
        <v>8217</v>
      </c>
      <c r="S668" s="62" t="s">
        <v>8218</v>
      </c>
      <c r="U668" s="62" t="s">
        <v>8219</v>
      </c>
      <c r="V668" s="62" t="s">
        <v>57033</v>
      </c>
      <c r="W668" s="62" t="s">
        <v>8220</v>
      </c>
      <c r="X668" s="62" t="s">
        <v>8221</v>
      </c>
      <c r="Y668" s="62" t="s">
        <v>8222</v>
      </c>
      <c r="Z668" s="62" t="s">
        <v>8223</v>
      </c>
      <c r="AA668" s="62" t="s">
        <v>57085</v>
      </c>
      <c r="AB668" s="62" t="s">
        <v>8224</v>
      </c>
      <c r="AC668" s="62" t="s">
        <v>8225</v>
      </c>
      <c r="AD668" s="62" t="s">
        <v>8226</v>
      </c>
    </row>
    <row r="669" spans="1:30" x14ac:dyDescent="0.25">
      <c r="A669" s="62" t="s">
        <v>109</v>
      </c>
      <c r="C669" s="62" t="s">
        <v>8227</v>
      </c>
      <c r="F669" s="62" t="s">
        <v>10757</v>
      </c>
      <c r="G669" s="62" t="s">
        <v>56878</v>
      </c>
      <c r="J669" s="62" t="s">
        <v>8228</v>
      </c>
      <c r="K669" s="62" t="s">
        <v>56930</v>
      </c>
      <c r="L669" s="62" t="s">
        <v>8229</v>
      </c>
      <c r="M669" s="62" t="s">
        <v>8230</v>
      </c>
      <c r="N669" s="62" t="s">
        <v>8231</v>
      </c>
      <c r="O669" s="62" t="s">
        <v>8232</v>
      </c>
      <c r="P669" s="62" t="s">
        <v>56982</v>
      </c>
      <c r="Q669" s="62" t="s">
        <v>8233</v>
      </c>
      <c r="R669" s="62" t="s">
        <v>8234</v>
      </c>
      <c r="S669" s="62" t="s">
        <v>8235</v>
      </c>
      <c r="U669" s="62" t="s">
        <v>8236</v>
      </c>
      <c r="V669" s="62" t="s">
        <v>57034</v>
      </c>
      <c r="W669" s="62" t="s">
        <v>8237</v>
      </c>
      <c r="X669" s="62" t="s">
        <v>8238</v>
      </c>
      <c r="Y669" s="62" t="s">
        <v>8239</v>
      </c>
      <c r="Z669" s="62" t="s">
        <v>8240</v>
      </c>
      <c r="AA669" s="62" t="s">
        <v>57086</v>
      </c>
      <c r="AB669" s="62" t="s">
        <v>8241</v>
      </c>
      <c r="AC669" s="62" t="s">
        <v>8242</v>
      </c>
      <c r="AD669" s="62" t="s">
        <v>8243</v>
      </c>
    </row>
    <row r="670" spans="1:30" x14ac:dyDescent="0.25">
      <c r="A670" s="62" t="s">
        <v>109</v>
      </c>
      <c r="C670" s="62" t="s">
        <v>8244</v>
      </c>
      <c r="F670" s="62" t="s">
        <v>10775</v>
      </c>
      <c r="G670" s="62" t="s">
        <v>56879</v>
      </c>
      <c r="J670" s="62" t="s">
        <v>8245</v>
      </c>
      <c r="K670" s="62" t="s">
        <v>56931</v>
      </c>
      <c r="L670" s="62" t="s">
        <v>8246</v>
      </c>
      <c r="M670" s="62" t="s">
        <v>8247</v>
      </c>
      <c r="N670" s="62" t="s">
        <v>8248</v>
      </c>
      <c r="O670" s="62" t="s">
        <v>8249</v>
      </c>
      <c r="P670" s="62" t="s">
        <v>56983</v>
      </c>
      <c r="Q670" s="62" t="s">
        <v>8250</v>
      </c>
      <c r="R670" s="62" t="s">
        <v>8251</v>
      </c>
      <c r="S670" s="62" t="s">
        <v>8252</v>
      </c>
      <c r="U670" s="62" t="s">
        <v>8253</v>
      </c>
      <c r="V670" s="62" t="s">
        <v>57035</v>
      </c>
      <c r="W670" s="62" t="s">
        <v>8254</v>
      </c>
      <c r="X670" s="62" t="s">
        <v>8255</v>
      </c>
      <c r="Y670" s="62" t="s">
        <v>8256</v>
      </c>
      <c r="Z670" s="62" t="s">
        <v>8257</v>
      </c>
      <c r="AA670" s="62" t="s">
        <v>57087</v>
      </c>
      <c r="AB670" s="62" t="s">
        <v>8258</v>
      </c>
      <c r="AC670" s="62" t="s">
        <v>8259</v>
      </c>
      <c r="AD670" s="62" t="s">
        <v>8260</v>
      </c>
    </row>
    <row r="671" spans="1:30" x14ac:dyDescent="0.25">
      <c r="A671" s="62" t="s">
        <v>109</v>
      </c>
      <c r="C671" s="62" t="s">
        <v>8261</v>
      </c>
      <c r="F671" s="62" t="s">
        <v>10793</v>
      </c>
      <c r="G671" s="62" t="s">
        <v>56880</v>
      </c>
      <c r="J671" s="62" t="s">
        <v>8262</v>
      </c>
      <c r="K671" s="62" t="s">
        <v>56932</v>
      </c>
      <c r="L671" s="62" t="s">
        <v>8263</v>
      </c>
      <c r="M671" s="62" t="s">
        <v>8264</v>
      </c>
      <c r="N671" s="62" t="s">
        <v>8265</v>
      </c>
      <c r="O671" s="62" t="s">
        <v>8266</v>
      </c>
      <c r="P671" s="62" t="s">
        <v>56984</v>
      </c>
      <c r="Q671" s="62" t="s">
        <v>8267</v>
      </c>
      <c r="R671" s="62" t="s">
        <v>8268</v>
      </c>
      <c r="S671" s="62" t="s">
        <v>8269</v>
      </c>
      <c r="U671" s="62" t="s">
        <v>8270</v>
      </c>
      <c r="V671" s="62" t="s">
        <v>57036</v>
      </c>
      <c r="W671" s="62" t="s">
        <v>8271</v>
      </c>
      <c r="X671" s="62" t="s">
        <v>8272</v>
      </c>
      <c r="Y671" s="62" t="s">
        <v>8273</v>
      </c>
      <c r="Z671" s="62" t="s">
        <v>8274</v>
      </c>
      <c r="AA671" s="62" t="s">
        <v>57088</v>
      </c>
      <c r="AB671" s="62" t="s">
        <v>8275</v>
      </c>
      <c r="AC671" s="62" t="s">
        <v>8276</v>
      </c>
      <c r="AD671" s="62" t="s">
        <v>8277</v>
      </c>
    </row>
    <row r="672" spans="1:30" x14ac:dyDescent="0.25">
      <c r="A672" s="62" t="s">
        <v>109</v>
      </c>
      <c r="C672" s="62" t="s">
        <v>8278</v>
      </c>
      <c r="F672" s="62" t="s">
        <v>10811</v>
      </c>
      <c r="G672" s="62" t="s">
        <v>56881</v>
      </c>
      <c r="J672" s="62" t="s">
        <v>8279</v>
      </c>
      <c r="K672" s="62" t="s">
        <v>56933</v>
      </c>
      <c r="L672" s="62" t="s">
        <v>8280</v>
      </c>
      <c r="M672" s="62" t="s">
        <v>8281</v>
      </c>
      <c r="N672" s="62" t="s">
        <v>8282</v>
      </c>
      <c r="O672" s="62" t="s">
        <v>8283</v>
      </c>
      <c r="P672" s="62" t="s">
        <v>56985</v>
      </c>
      <c r="Q672" s="62" t="s">
        <v>8284</v>
      </c>
      <c r="R672" s="62" t="s">
        <v>8285</v>
      </c>
      <c r="S672" s="62" t="s">
        <v>8286</v>
      </c>
      <c r="U672" s="62" t="s">
        <v>8287</v>
      </c>
      <c r="V672" s="62" t="s">
        <v>57037</v>
      </c>
      <c r="W672" s="62" t="s">
        <v>8288</v>
      </c>
      <c r="X672" s="62" t="s">
        <v>8289</v>
      </c>
      <c r="Y672" s="62" t="s">
        <v>8290</v>
      </c>
      <c r="Z672" s="62" t="s">
        <v>8291</v>
      </c>
      <c r="AA672" s="62" t="s">
        <v>57089</v>
      </c>
      <c r="AB672" s="62" t="s">
        <v>8292</v>
      </c>
      <c r="AC672" s="62" t="s">
        <v>8293</v>
      </c>
      <c r="AD672" s="62" t="s">
        <v>8294</v>
      </c>
    </row>
    <row r="673" spans="1:30" x14ac:dyDescent="0.25">
      <c r="A673" s="62" t="s">
        <v>109</v>
      </c>
      <c r="C673" s="62" t="s">
        <v>8295</v>
      </c>
      <c r="F673" s="62" t="s">
        <v>10829</v>
      </c>
      <c r="G673" s="62" t="s">
        <v>56882</v>
      </c>
      <c r="J673" s="62" t="s">
        <v>8296</v>
      </c>
      <c r="K673" s="62" t="s">
        <v>56934</v>
      </c>
      <c r="L673" s="62" t="s">
        <v>8297</v>
      </c>
      <c r="M673" s="62" t="s">
        <v>8298</v>
      </c>
      <c r="N673" s="62" t="s">
        <v>8299</v>
      </c>
      <c r="O673" s="62" t="s">
        <v>8300</v>
      </c>
      <c r="P673" s="62" t="s">
        <v>56986</v>
      </c>
      <c r="Q673" s="62" t="s">
        <v>8301</v>
      </c>
      <c r="R673" s="62" t="s">
        <v>8302</v>
      </c>
      <c r="S673" s="62" t="s">
        <v>8303</v>
      </c>
      <c r="U673" s="62" t="s">
        <v>8304</v>
      </c>
      <c r="V673" s="62" t="s">
        <v>57038</v>
      </c>
      <c r="W673" s="62" t="s">
        <v>8305</v>
      </c>
      <c r="X673" s="62" t="s">
        <v>8306</v>
      </c>
      <c r="Y673" s="62" t="s">
        <v>8307</v>
      </c>
      <c r="Z673" s="62" t="s">
        <v>8308</v>
      </c>
      <c r="AA673" s="62" t="s">
        <v>57090</v>
      </c>
      <c r="AB673" s="62" t="s">
        <v>8309</v>
      </c>
      <c r="AC673" s="62" t="s">
        <v>8310</v>
      </c>
      <c r="AD673" s="62" t="s">
        <v>8311</v>
      </c>
    </row>
    <row r="674" spans="1:30" x14ac:dyDescent="0.25">
      <c r="A674" s="62" t="s">
        <v>109</v>
      </c>
      <c r="C674" s="62" t="s">
        <v>8312</v>
      </c>
      <c r="F674" s="62" t="s">
        <v>10847</v>
      </c>
      <c r="G674" s="62" t="s">
        <v>56883</v>
      </c>
      <c r="J674" s="62" t="s">
        <v>8313</v>
      </c>
      <c r="K674" s="62" t="s">
        <v>56935</v>
      </c>
      <c r="L674" s="62" t="s">
        <v>8314</v>
      </c>
      <c r="M674" s="62" t="s">
        <v>8315</v>
      </c>
      <c r="N674" s="62" t="s">
        <v>8316</v>
      </c>
      <c r="O674" s="62" t="s">
        <v>8317</v>
      </c>
      <c r="P674" s="62" t="s">
        <v>56987</v>
      </c>
      <c r="Q674" s="62" t="s">
        <v>8318</v>
      </c>
      <c r="R674" s="62" t="s">
        <v>8319</v>
      </c>
      <c r="S674" s="62" t="s">
        <v>8320</v>
      </c>
      <c r="U674" s="62" t="s">
        <v>8321</v>
      </c>
      <c r="V674" s="62" t="s">
        <v>57039</v>
      </c>
      <c r="W674" s="62" t="s">
        <v>8322</v>
      </c>
      <c r="X674" s="62" t="s">
        <v>8323</v>
      </c>
      <c r="Y674" s="62" t="s">
        <v>8324</v>
      </c>
      <c r="Z674" s="62" t="s">
        <v>8325</v>
      </c>
      <c r="AA674" s="62" t="s">
        <v>57091</v>
      </c>
      <c r="AB674" s="62" t="s">
        <v>8326</v>
      </c>
      <c r="AC674" s="62" t="s">
        <v>8327</v>
      </c>
      <c r="AD674" s="62" t="s">
        <v>8328</v>
      </c>
    </row>
    <row r="675" spans="1:30" x14ac:dyDescent="0.25">
      <c r="A675" s="62" t="s">
        <v>109</v>
      </c>
      <c r="C675" s="62" t="s">
        <v>8329</v>
      </c>
      <c r="F675" s="62" t="s">
        <v>10865</v>
      </c>
      <c r="G675" s="62" t="s">
        <v>56884</v>
      </c>
      <c r="J675" s="62" t="s">
        <v>8330</v>
      </c>
      <c r="K675" s="62" t="s">
        <v>56936</v>
      </c>
      <c r="L675" s="62" t="s">
        <v>8331</v>
      </c>
      <c r="M675" s="62" t="s">
        <v>8332</v>
      </c>
      <c r="N675" s="62" t="s">
        <v>8333</v>
      </c>
      <c r="O675" s="62" t="s">
        <v>8334</v>
      </c>
      <c r="P675" s="62" t="s">
        <v>56988</v>
      </c>
      <c r="Q675" s="62" t="s">
        <v>8335</v>
      </c>
      <c r="R675" s="62" t="s">
        <v>8336</v>
      </c>
      <c r="S675" s="62" t="s">
        <v>8337</v>
      </c>
      <c r="U675" s="62" t="s">
        <v>8338</v>
      </c>
      <c r="V675" s="62" t="s">
        <v>57040</v>
      </c>
      <c r="W675" s="62" t="s">
        <v>8339</v>
      </c>
      <c r="X675" s="62" t="s">
        <v>8340</v>
      </c>
      <c r="Y675" s="62" t="s">
        <v>8341</v>
      </c>
      <c r="Z675" s="62" t="s">
        <v>8342</v>
      </c>
      <c r="AA675" s="62" t="s">
        <v>57092</v>
      </c>
      <c r="AB675" s="62" t="s">
        <v>8343</v>
      </c>
      <c r="AC675" s="62" t="s">
        <v>8344</v>
      </c>
      <c r="AD675" s="62" t="s">
        <v>8345</v>
      </c>
    </row>
    <row r="676" spans="1:30" x14ac:dyDescent="0.25">
      <c r="A676" s="62" t="s">
        <v>109</v>
      </c>
      <c r="C676" s="62" t="s">
        <v>8346</v>
      </c>
      <c r="F676" s="62" t="s">
        <v>1152</v>
      </c>
      <c r="G676" s="62" t="s">
        <v>56885</v>
      </c>
      <c r="J676" s="62" t="s">
        <v>8347</v>
      </c>
      <c r="K676" s="62" t="s">
        <v>56937</v>
      </c>
      <c r="L676" s="62" t="s">
        <v>8348</v>
      </c>
      <c r="M676" s="62" t="s">
        <v>8349</v>
      </c>
      <c r="N676" s="62" t="s">
        <v>8350</v>
      </c>
      <c r="O676" s="62" t="s">
        <v>8351</v>
      </c>
      <c r="P676" s="62" t="s">
        <v>56989</v>
      </c>
      <c r="Q676" s="62" t="s">
        <v>8352</v>
      </c>
      <c r="R676" s="62" t="s">
        <v>8353</v>
      </c>
      <c r="S676" s="62" t="s">
        <v>8354</v>
      </c>
      <c r="U676" s="62" t="s">
        <v>8355</v>
      </c>
      <c r="V676" s="62" t="s">
        <v>57041</v>
      </c>
      <c r="W676" s="62" t="s">
        <v>8356</v>
      </c>
      <c r="X676" s="62" t="s">
        <v>8357</v>
      </c>
      <c r="Y676" s="62" t="s">
        <v>8358</v>
      </c>
      <c r="Z676" s="62" t="s">
        <v>8359</v>
      </c>
      <c r="AA676" s="62" t="s">
        <v>57093</v>
      </c>
      <c r="AB676" s="62" t="s">
        <v>8360</v>
      </c>
      <c r="AC676" s="62" t="s">
        <v>8361</v>
      </c>
      <c r="AD676" s="62" t="s">
        <v>8362</v>
      </c>
    </row>
    <row r="677" spans="1:30" x14ac:dyDescent="0.25">
      <c r="A677" s="62" t="s">
        <v>109</v>
      </c>
      <c r="C677" s="62" t="s">
        <v>8363</v>
      </c>
      <c r="F677" s="62" t="s">
        <v>1249</v>
      </c>
      <c r="G677" s="62" t="s">
        <v>56886</v>
      </c>
      <c r="J677" s="62" t="s">
        <v>8364</v>
      </c>
      <c r="K677" s="62" t="s">
        <v>56938</v>
      </c>
      <c r="L677" s="62" t="s">
        <v>8365</v>
      </c>
      <c r="M677" s="62" t="s">
        <v>8366</v>
      </c>
      <c r="N677" s="62" t="s">
        <v>8367</v>
      </c>
      <c r="O677" s="62" t="s">
        <v>8368</v>
      </c>
      <c r="P677" s="62" t="s">
        <v>56990</v>
      </c>
      <c r="Q677" s="62" t="s">
        <v>8369</v>
      </c>
      <c r="R677" s="62" t="s">
        <v>8370</v>
      </c>
      <c r="S677" s="62" t="s">
        <v>8371</v>
      </c>
      <c r="U677" s="62" t="s">
        <v>8372</v>
      </c>
      <c r="V677" s="62" t="s">
        <v>57042</v>
      </c>
      <c r="W677" s="62" t="s">
        <v>8373</v>
      </c>
      <c r="X677" s="62" t="s">
        <v>8374</v>
      </c>
      <c r="Y677" s="62" t="s">
        <v>8375</v>
      </c>
      <c r="Z677" s="62" t="s">
        <v>8376</v>
      </c>
      <c r="AA677" s="62" t="s">
        <v>57094</v>
      </c>
      <c r="AB677" s="62" t="s">
        <v>8377</v>
      </c>
      <c r="AC677" s="62" t="s">
        <v>8378</v>
      </c>
      <c r="AD677" s="62" t="s">
        <v>8379</v>
      </c>
    </row>
    <row r="678" spans="1:30" x14ac:dyDescent="0.25">
      <c r="A678" s="62" t="s">
        <v>109</v>
      </c>
      <c r="C678" s="62" t="s">
        <v>8380</v>
      </c>
      <c r="F678" s="62" t="s">
        <v>1286</v>
      </c>
      <c r="G678" s="62" t="s">
        <v>56887</v>
      </c>
      <c r="J678" s="62" t="s">
        <v>8381</v>
      </c>
      <c r="K678" s="62" t="s">
        <v>56939</v>
      </c>
      <c r="L678" s="62" t="s">
        <v>8382</v>
      </c>
      <c r="M678" s="62" t="s">
        <v>8383</v>
      </c>
      <c r="N678" s="62" t="s">
        <v>8384</v>
      </c>
      <c r="O678" s="62" t="s">
        <v>8385</v>
      </c>
      <c r="P678" s="62" t="s">
        <v>56991</v>
      </c>
      <c r="Q678" s="62" t="s">
        <v>8386</v>
      </c>
      <c r="R678" s="62" t="s">
        <v>8387</v>
      </c>
      <c r="S678" s="62" t="s">
        <v>8388</v>
      </c>
      <c r="U678" s="62" t="s">
        <v>8389</v>
      </c>
      <c r="V678" s="62" t="s">
        <v>57043</v>
      </c>
      <c r="W678" s="62" t="s">
        <v>8390</v>
      </c>
      <c r="X678" s="62" t="s">
        <v>8391</v>
      </c>
      <c r="Y678" s="62" t="s">
        <v>8392</v>
      </c>
      <c r="Z678" s="62" t="s">
        <v>8393</v>
      </c>
      <c r="AA678" s="62" t="s">
        <v>57095</v>
      </c>
      <c r="AB678" s="62" t="s">
        <v>8394</v>
      </c>
      <c r="AC678" s="62" t="s">
        <v>8395</v>
      </c>
      <c r="AD678" s="62" t="s">
        <v>8396</v>
      </c>
    </row>
    <row r="679" spans="1:30" x14ac:dyDescent="0.25">
      <c r="A679" s="62" t="s">
        <v>109</v>
      </c>
      <c r="C679" s="62" t="s">
        <v>8397</v>
      </c>
      <c r="F679" s="62" t="s">
        <v>1289</v>
      </c>
      <c r="G679" s="62" t="s">
        <v>56888</v>
      </c>
      <c r="J679" s="62" t="s">
        <v>8398</v>
      </c>
      <c r="K679" s="62" t="s">
        <v>56940</v>
      </c>
      <c r="L679" s="62" t="s">
        <v>8399</v>
      </c>
      <c r="M679" s="62" t="s">
        <v>8400</v>
      </c>
      <c r="N679" s="62" t="s">
        <v>8401</v>
      </c>
      <c r="O679" s="62" t="s">
        <v>8402</v>
      </c>
      <c r="P679" s="62" t="s">
        <v>56992</v>
      </c>
      <c r="Q679" s="62" t="s">
        <v>8403</v>
      </c>
      <c r="R679" s="62" t="s">
        <v>8404</v>
      </c>
      <c r="S679" s="62" t="s">
        <v>8405</v>
      </c>
      <c r="U679" s="62" t="s">
        <v>8406</v>
      </c>
      <c r="V679" s="62" t="s">
        <v>57044</v>
      </c>
      <c r="W679" s="62" t="s">
        <v>8407</v>
      </c>
      <c r="X679" s="62" t="s">
        <v>8408</v>
      </c>
      <c r="Y679" s="62" t="s">
        <v>8409</v>
      </c>
      <c r="Z679" s="62" t="s">
        <v>8410</v>
      </c>
      <c r="AA679" s="62" t="s">
        <v>57096</v>
      </c>
      <c r="AB679" s="62" t="s">
        <v>8411</v>
      </c>
      <c r="AC679" s="62" t="s">
        <v>8412</v>
      </c>
      <c r="AD679" s="62" t="s">
        <v>8413</v>
      </c>
    </row>
    <row r="680" spans="1:30" x14ac:dyDescent="0.25">
      <c r="A680" s="62" t="s">
        <v>109</v>
      </c>
      <c r="C680" s="62" t="s">
        <v>8414</v>
      </c>
      <c r="F680" s="62" t="s">
        <v>1299</v>
      </c>
      <c r="G680" s="62" t="s">
        <v>56889</v>
      </c>
      <c r="J680" s="62" t="s">
        <v>8415</v>
      </c>
      <c r="K680" s="62" t="s">
        <v>56941</v>
      </c>
      <c r="L680" s="62" t="s">
        <v>8416</v>
      </c>
      <c r="M680" s="62" t="s">
        <v>8417</v>
      </c>
      <c r="N680" s="62" t="s">
        <v>8418</v>
      </c>
      <c r="O680" s="62" t="s">
        <v>8419</v>
      </c>
      <c r="P680" s="62" t="s">
        <v>56993</v>
      </c>
      <c r="Q680" s="62" t="s">
        <v>8420</v>
      </c>
      <c r="R680" s="62" t="s">
        <v>8421</v>
      </c>
      <c r="S680" s="62" t="s">
        <v>8422</v>
      </c>
      <c r="U680" s="62" t="s">
        <v>8423</v>
      </c>
      <c r="V680" s="62" t="s">
        <v>57045</v>
      </c>
      <c r="W680" s="62" t="s">
        <v>8424</v>
      </c>
      <c r="X680" s="62" t="s">
        <v>8425</v>
      </c>
      <c r="Y680" s="62" t="s">
        <v>8426</v>
      </c>
      <c r="Z680" s="62" t="s">
        <v>8427</v>
      </c>
      <c r="AA680" s="62" t="s">
        <v>57097</v>
      </c>
      <c r="AB680" s="62" t="s">
        <v>8428</v>
      </c>
      <c r="AC680" s="62" t="s">
        <v>8429</v>
      </c>
      <c r="AD680" s="62" t="s">
        <v>8430</v>
      </c>
    </row>
    <row r="681" spans="1:30" x14ac:dyDescent="0.25">
      <c r="A681" s="62" t="s">
        <v>109</v>
      </c>
      <c r="C681" s="62" t="s">
        <v>8431</v>
      </c>
      <c r="F681" s="62" t="s">
        <v>10925</v>
      </c>
      <c r="G681" s="62" t="s">
        <v>56890</v>
      </c>
      <c r="J681" s="62" t="s">
        <v>8432</v>
      </c>
      <c r="K681" s="62" t="s">
        <v>56942</v>
      </c>
      <c r="L681" s="62" t="s">
        <v>8433</v>
      </c>
      <c r="M681" s="62" t="s">
        <v>8434</v>
      </c>
      <c r="N681" s="62" t="s">
        <v>8435</v>
      </c>
      <c r="O681" s="62" t="s">
        <v>8436</v>
      </c>
      <c r="P681" s="62" t="s">
        <v>56994</v>
      </c>
      <c r="Q681" s="62" t="s">
        <v>8437</v>
      </c>
      <c r="R681" s="62" t="s">
        <v>8438</v>
      </c>
      <c r="S681" s="62" t="s">
        <v>8439</v>
      </c>
      <c r="U681" s="62" t="s">
        <v>8440</v>
      </c>
      <c r="V681" s="62" t="s">
        <v>57046</v>
      </c>
      <c r="W681" s="62" t="s">
        <v>8441</v>
      </c>
      <c r="X681" s="62" t="s">
        <v>8442</v>
      </c>
      <c r="Y681" s="62" t="s">
        <v>8443</v>
      </c>
      <c r="Z681" s="62" t="s">
        <v>8444</v>
      </c>
      <c r="AA681" s="62" t="s">
        <v>57098</v>
      </c>
      <c r="AB681" s="62" t="s">
        <v>8445</v>
      </c>
      <c r="AC681" s="62" t="s">
        <v>8446</v>
      </c>
      <c r="AD681" s="62" t="s">
        <v>8447</v>
      </c>
    </row>
    <row r="682" spans="1:30" x14ac:dyDescent="0.25">
      <c r="A682" s="62" t="s">
        <v>109</v>
      </c>
      <c r="C682" s="62" t="s">
        <v>8448</v>
      </c>
      <c r="F682" s="62" t="s">
        <v>10927</v>
      </c>
      <c r="G682" s="62" t="s">
        <v>56891</v>
      </c>
      <c r="J682" s="62" t="s">
        <v>8449</v>
      </c>
      <c r="K682" s="62" t="s">
        <v>56943</v>
      </c>
      <c r="L682" s="62" t="s">
        <v>8450</v>
      </c>
      <c r="M682" s="62" t="s">
        <v>8451</v>
      </c>
      <c r="N682" s="62" t="s">
        <v>8452</v>
      </c>
      <c r="O682" s="62" t="s">
        <v>8453</v>
      </c>
      <c r="P682" s="62" t="s">
        <v>56995</v>
      </c>
      <c r="Q682" s="62" t="s">
        <v>8454</v>
      </c>
      <c r="R682" s="62" t="s">
        <v>8455</v>
      </c>
      <c r="S682" s="62" t="s">
        <v>8456</v>
      </c>
      <c r="U682" s="62" t="s">
        <v>8457</v>
      </c>
      <c r="V682" s="62" t="s">
        <v>57047</v>
      </c>
      <c r="W682" s="62" t="s">
        <v>8458</v>
      </c>
      <c r="X682" s="62" t="s">
        <v>8459</v>
      </c>
      <c r="Y682" s="62" t="s">
        <v>8460</v>
      </c>
      <c r="Z682" s="62" t="s">
        <v>8461</v>
      </c>
      <c r="AA682" s="62" t="s">
        <v>57099</v>
      </c>
      <c r="AB682" s="62" t="s">
        <v>8462</v>
      </c>
      <c r="AC682" s="62" t="s">
        <v>8463</v>
      </c>
      <c r="AD682" s="62" t="s">
        <v>8464</v>
      </c>
    </row>
    <row r="683" spans="1:30" x14ac:dyDescent="0.25">
      <c r="A683" s="62" t="s">
        <v>109</v>
      </c>
      <c r="C683" s="62" t="s">
        <v>8465</v>
      </c>
      <c r="F683" s="62" t="s">
        <v>10929</v>
      </c>
      <c r="G683" s="62" t="s">
        <v>56892</v>
      </c>
      <c r="J683" s="62" t="s">
        <v>8466</v>
      </c>
      <c r="K683" s="62" t="s">
        <v>56944</v>
      </c>
      <c r="L683" s="62" t="s">
        <v>8467</v>
      </c>
      <c r="M683" s="62" t="s">
        <v>8468</v>
      </c>
      <c r="N683" s="62" t="s">
        <v>8469</v>
      </c>
      <c r="O683" s="62" t="s">
        <v>8470</v>
      </c>
      <c r="P683" s="62" t="s">
        <v>56996</v>
      </c>
      <c r="Q683" s="62" t="s">
        <v>8471</v>
      </c>
      <c r="R683" s="62" t="s">
        <v>8472</v>
      </c>
      <c r="S683" s="62" t="s">
        <v>8473</v>
      </c>
      <c r="U683" s="62" t="s">
        <v>8474</v>
      </c>
      <c r="V683" s="62" t="s">
        <v>57048</v>
      </c>
      <c r="W683" s="62" t="s">
        <v>8475</v>
      </c>
      <c r="X683" s="62" t="s">
        <v>8476</v>
      </c>
      <c r="Y683" s="62" t="s">
        <v>8477</v>
      </c>
      <c r="Z683" s="62" t="s">
        <v>8478</v>
      </c>
      <c r="AA683" s="62" t="s">
        <v>57100</v>
      </c>
      <c r="AB683" s="62" t="s">
        <v>8479</v>
      </c>
      <c r="AC683" s="62" t="s">
        <v>8480</v>
      </c>
      <c r="AD683" s="62" t="s">
        <v>8481</v>
      </c>
    </row>
    <row r="684" spans="1:30" x14ac:dyDescent="0.25">
      <c r="A684" s="62" t="s">
        <v>109</v>
      </c>
      <c r="C684" s="62" t="s">
        <v>8482</v>
      </c>
      <c r="F684" s="62" t="s">
        <v>10961</v>
      </c>
      <c r="G684" s="62" t="s">
        <v>56893</v>
      </c>
      <c r="J684" s="62" t="s">
        <v>8483</v>
      </c>
      <c r="K684" s="62" t="s">
        <v>56945</v>
      </c>
      <c r="L684" s="62" t="s">
        <v>8484</v>
      </c>
      <c r="M684" s="62" t="s">
        <v>8485</v>
      </c>
      <c r="N684" s="62" t="s">
        <v>8486</v>
      </c>
      <c r="O684" s="62" t="s">
        <v>8487</v>
      </c>
      <c r="P684" s="62" t="s">
        <v>56997</v>
      </c>
      <c r="Q684" s="62" t="s">
        <v>8488</v>
      </c>
      <c r="R684" s="62" t="s">
        <v>8489</v>
      </c>
      <c r="S684" s="62" t="s">
        <v>8490</v>
      </c>
      <c r="U684" s="62" t="s">
        <v>8491</v>
      </c>
      <c r="V684" s="62" t="s">
        <v>57049</v>
      </c>
      <c r="W684" s="62" t="s">
        <v>8492</v>
      </c>
      <c r="X684" s="62" t="s">
        <v>8493</v>
      </c>
      <c r="Y684" s="62" t="s">
        <v>8494</v>
      </c>
      <c r="Z684" s="62" t="s">
        <v>8495</v>
      </c>
      <c r="AA684" s="62" t="s">
        <v>57101</v>
      </c>
      <c r="AB684" s="62" t="s">
        <v>8496</v>
      </c>
      <c r="AC684" s="62" t="s">
        <v>8497</v>
      </c>
      <c r="AD684" s="62" t="s">
        <v>8498</v>
      </c>
    </row>
    <row r="685" spans="1:30" x14ac:dyDescent="0.25">
      <c r="A685" s="62" t="s">
        <v>109</v>
      </c>
      <c r="C685" s="62" t="s">
        <v>7707</v>
      </c>
    </row>
    <row r="686" spans="1:30" x14ac:dyDescent="0.25">
      <c r="A686" s="62" t="s">
        <v>109</v>
      </c>
      <c r="C686" s="62" t="s">
        <v>8499</v>
      </c>
      <c r="G686" s="62" t="s">
        <v>41346</v>
      </c>
      <c r="J686" s="62" t="s">
        <v>41347</v>
      </c>
      <c r="K686" s="62" t="s">
        <v>41348</v>
      </c>
      <c r="L686" s="62" t="s">
        <v>41349</v>
      </c>
      <c r="M686" s="62" t="s">
        <v>8500</v>
      </c>
      <c r="N686" s="62" t="s">
        <v>8501</v>
      </c>
      <c r="O686" s="62" t="s">
        <v>41350</v>
      </c>
      <c r="P686" s="62" t="s">
        <v>41351</v>
      </c>
      <c r="Q686" s="62" t="s">
        <v>41352</v>
      </c>
      <c r="R686" s="62" t="s">
        <v>8502</v>
      </c>
      <c r="S686" s="62" t="s">
        <v>8503</v>
      </c>
      <c r="U686" s="62" t="s">
        <v>41353</v>
      </c>
      <c r="V686" s="62" t="s">
        <v>41354</v>
      </c>
      <c r="W686" s="62" t="s">
        <v>41355</v>
      </c>
      <c r="X686" s="62" t="s">
        <v>8504</v>
      </c>
      <c r="Y686" s="62" t="s">
        <v>8505</v>
      </c>
      <c r="Z686" s="62" t="s">
        <v>41356</v>
      </c>
      <c r="AA686" s="62" t="s">
        <v>41357</v>
      </c>
      <c r="AB686" s="62" t="s">
        <v>41358</v>
      </c>
      <c r="AC686" s="62" t="s">
        <v>8506</v>
      </c>
      <c r="AD686" s="62" t="s">
        <v>8507</v>
      </c>
    </row>
    <row r="687" spans="1:30" x14ac:dyDescent="0.25">
      <c r="A687" s="62" t="s">
        <v>109</v>
      </c>
    </row>
    <row r="688" spans="1:30" x14ac:dyDescent="0.25">
      <c r="A688" s="62" t="s">
        <v>109</v>
      </c>
      <c r="C688" s="62" t="s">
        <v>41359</v>
      </c>
      <c r="E688" s="62" t="s">
        <v>2310</v>
      </c>
      <c r="G688" s="62" t="s">
        <v>41360</v>
      </c>
    </row>
    <row r="689" spans="1:30" x14ac:dyDescent="0.25">
      <c r="A689" s="62" t="s">
        <v>109</v>
      </c>
      <c r="C689" s="62" t="s">
        <v>8508</v>
      </c>
    </row>
    <row r="690" spans="1:30" x14ac:dyDescent="0.25">
      <c r="A690" s="62" t="s">
        <v>109</v>
      </c>
      <c r="C690" s="62" t="s">
        <v>8509</v>
      </c>
      <c r="F690" s="62" t="s">
        <v>41361</v>
      </c>
      <c r="G690" s="62" t="s">
        <v>56777</v>
      </c>
      <c r="J690" s="62" t="s">
        <v>8510</v>
      </c>
      <c r="K690" s="62" t="s">
        <v>56790</v>
      </c>
      <c r="L690" s="62" t="s">
        <v>8511</v>
      </c>
      <c r="M690" s="62" t="s">
        <v>8512</v>
      </c>
      <c r="N690" s="62" t="s">
        <v>8513</v>
      </c>
      <c r="O690" s="62" t="s">
        <v>8514</v>
      </c>
      <c r="P690" s="62" t="s">
        <v>56803</v>
      </c>
      <c r="Q690" s="62" t="s">
        <v>8515</v>
      </c>
      <c r="R690" s="62" t="s">
        <v>8516</v>
      </c>
      <c r="S690" s="62" t="s">
        <v>8517</v>
      </c>
      <c r="U690" s="62" t="s">
        <v>8518</v>
      </c>
      <c r="V690" s="62" t="s">
        <v>56816</v>
      </c>
      <c r="W690" s="62" t="s">
        <v>8519</v>
      </c>
      <c r="X690" s="62" t="s">
        <v>8520</v>
      </c>
      <c r="Y690" s="62" t="s">
        <v>8521</v>
      </c>
      <c r="Z690" s="62" t="s">
        <v>8522</v>
      </c>
      <c r="AA690" s="62" t="s">
        <v>56829</v>
      </c>
      <c r="AB690" s="62" t="s">
        <v>8523</v>
      </c>
      <c r="AC690" s="62" t="s">
        <v>8524</v>
      </c>
      <c r="AD690" s="62" t="s">
        <v>8525</v>
      </c>
    </row>
    <row r="691" spans="1:30" x14ac:dyDescent="0.25">
      <c r="A691" s="62" t="s">
        <v>109</v>
      </c>
      <c r="C691" s="62" t="s">
        <v>8526</v>
      </c>
      <c r="F691" s="62" t="s">
        <v>976</v>
      </c>
      <c r="G691" s="62" t="s">
        <v>56778</v>
      </c>
      <c r="J691" s="62" t="s">
        <v>8527</v>
      </c>
      <c r="K691" s="62" t="s">
        <v>56791</v>
      </c>
      <c r="L691" s="62" t="s">
        <v>8528</v>
      </c>
      <c r="M691" s="62" t="s">
        <v>8529</v>
      </c>
      <c r="N691" s="62" t="s">
        <v>8530</v>
      </c>
      <c r="O691" s="62" t="s">
        <v>8531</v>
      </c>
      <c r="P691" s="62" t="s">
        <v>56804</v>
      </c>
      <c r="Q691" s="62" t="s">
        <v>8532</v>
      </c>
      <c r="R691" s="62" t="s">
        <v>8533</v>
      </c>
      <c r="S691" s="62" t="s">
        <v>8534</v>
      </c>
      <c r="U691" s="62" t="s">
        <v>8535</v>
      </c>
      <c r="V691" s="62" t="s">
        <v>56817</v>
      </c>
      <c r="W691" s="62" t="s">
        <v>8536</v>
      </c>
      <c r="X691" s="62" t="s">
        <v>8537</v>
      </c>
      <c r="Y691" s="62" t="s">
        <v>8538</v>
      </c>
      <c r="Z691" s="62" t="s">
        <v>8539</v>
      </c>
      <c r="AA691" s="62" t="s">
        <v>56830</v>
      </c>
      <c r="AB691" s="62" t="s">
        <v>8540</v>
      </c>
      <c r="AC691" s="62" t="s">
        <v>8541</v>
      </c>
      <c r="AD691" s="62" t="s">
        <v>8542</v>
      </c>
    </row>
    <row r="692" spans="1:30" x14ac:dyDescent="0.25">
      <c r="A692" s="62" t="s">
        <v>109</v>
      </c>
      <c r="C692" s="62" t="s">
        <v>8543</v>
      </c>
      <c r="F692" s="62" t="s">
        <v>2212</v>
      </c>
      <c r="G692" s="62" t="s">
        <v>56779</v>
      </c>
      <c r="J692" s="62" t="s">
        <v>8544</v>
      </c>
      <c r="K692" s="62" t="s">
        <v>56792</v>
      </c>
      <c r="L692" s="62" t="s">
        <v>8545</v>
      </c>
      <c r="M692" s="62" t="s">
        <v>8546</v>
      </c>
      <c r="N692" s="62" t="s">
        <v>8547</v>
      </c>
      <c r="O692" s="62" t="s">
        <v>8548</v>
      </c>
      <c r="P692" s="62" t="s">
        <v>56805</v>
      </c>
      <c r="Q692" s="62" t="s">
        <v>8549</v>
      </c>
      <c r="R692" s="62" t="s">
        <v>8550</v>
      </c>
      <c r="S692" s="62" t="s">
        <v>8551</v>
      </c>
      <c r="U692" s="62" t="s">
        <v>8552</v>
      </c>
      <c r="V692" s="62" t="s">
        <v>56818</v>
      </c>
      <c r="W692" s="62" t="s">
        <v>8553</v>
      </c>
      <c r="X692" s="62" t="s">
        <v>8554</v>
      </c>
      <c r="Y692" s="62" t="s">
        <v>8555</v>
      </c>
      <c r="Z692" s="62" t="s">
        <v>8556</v>
      </c>
      <c r="AA692" s="62" t="s">
        <v>56831</v>
      </c>
      <c r="AB692" s="62" t="s">
        <v>8557</v>
      </c>
      <c r="AC692" s="62" t="s">
        <v>8558</v>
      </c>
      <c r="AD692" s="62" t="s">
        <v>8559</v>
      </c>
    </row>
    <row r="693" spans="1:30" x14ac:dyDescent="0.25">
      <c r="A693" s="62" t="s">
        <v>109</v>
      </c>
      <c r="C693" s="62" t="s">
        <v>8560</v>
      </c>
      <c r="F693" s="62" t="s">
        <v>2222</v>
      </c>
      <c r="G693" s="62" t="s">
        <v>56780</v>
      </c>
      <c r="J693" s="62" t="s">
        <v>8561</v>
      </c>
      <c r="K693" s="62" t="s">
        <v>56793</v>
      </c>
      <c r="L693" s="62" t="s">
        <v>8562</v>
      </c>
      <c r="M693" s="62" t="s">
        <v>8563</v>
      </c>
      <c r="N693" s="62" t="s">
        <v>8564</v>
      </c>
      <c r="O693" s="62" t="s">
        <v>8565</v>
      </c>
      <c r="P693" s="62" t="s">
        <v>56806</v>
      </c>
      <c r="Q693" s="62" t="s">
        <v>8566</v>
      </c>
      <c r="R693" s="62" t="s">
        <v>8567</v>
      </c>
      <c r="S693" s="62" t="s">
        <v>8568</v>
      </c>
      <c r="U693" s="62" t="s">
        <v>8569</v>
      </c>
      <c r="V693" s="62" t="s">
        <v>56819</v>
      </c>
      <c r="W693" s="62" t="s">
        <v>8570</v>
      </c>
      <c r="X693" s="62" t="s">
        <v>8571</v>
      </c>
      <c r="Y693" s="62" t="s">
        <v>8572</v>
      </c>
      <c r="Z693" s="62" t="s">
        <v>8573</v>
      </c>
      <c r="AA693" s="62" t="s">
        <v>56832</v>
      </c>
      <c r="AB693" s="62" t="s">
        <v>8574</v>
      </c>
      <c r="AC693" s="62" t="s">
        <v>8575</v>
      </c>
      <c r="AD693" s="62" t="s">
        <v>8576</v>
      </c>
    </row>
    <row r="694" spans="1:30" x14ac:dyDescent="0.25">
      <c r="A694" s="62" t="s">
        <v>109</v>
      </c>
      <c r="C694" s="62" t="s">
        <v>8577</v>
      </c>
      <c r="F694" s="62" t="s">
        <v>2240</v>
      </c>
      <c r="G694" s="62" t="s">
        <v>56781</v>
      </c>
      <c r="J694" s="62" t="s">
        <v>8578</v>
      </c>
      <c r="K694" s="62" t="s">
        <v>56794</v>
      </c>
      <c r="L694" s="62" t="s">
        <v>8579</v>
      </c>
      <c r="M694" s="62" t="s">
        <v>8580</v>
      </c>
      <c r="N694" s="62" t="s">
        <v>8581</v>
      </c>
      <c r="O694" s="62" t="s">
        <v>8582</v>
      </c>
      <c r="P694" s="62" t="s">
        <v>56807</v>
      </c>
      <c r="Q694" s="62" t="s">
        <v>8583</v>
      </c>
      <c r="R694" s="62" t="s">
        <v>8584</v>
      </c>
      <c r="S694" s="62" t="s">
        <v>8585</v>
      </c>
      <c r="U694" s="62" t="s">
        <v>8586</v>
      </c>
      <c r="V694" s="62" t="s">
        <v>56820</v>
      </c>
      <c r="W694" s="62" t="s">
        <v>8587</v>
      </c>
      <c r="X694" s="62" t="s">
        <v>8588</v>
      </c>
      <c r="Y694" s="62" t="s">
        <v>8589</v>
      </c>
      <c r="Z694" s="62" t="s">
        <v>8590</v>
      </c>
      <c r="AA694" s="62" t="s">
        <v>56833</v>
      </c>
      <c r="AB694" s="62" t="s">
        <v>8591</v>
      </c>
      <c r="AC694" s="62" t="s">
        <v>8592</v>
      </c>
      <c r="AD694" s="62" t="s">
        <v>8593</v>
      </c>
    </row>
    <row r="695" spans="1:30" x14ac:dyDescent="0.25">
      <c r="A695" s="62" t="s">
        <v>109</v>
      </c>
      <c r="C695" s="62" t="s">
        <v>8594</v>
      </c>
      <c r="F695" s="62" t="s">
        <v>2297</v>
      </c>
      <c r="G695" s="62" t="s">
        <v>56782</v>
      </c>
      <c r="J695" s="62" t="s">
        <v>8595</v>
      </c>
      <c r="K695" s="62" t="s">
        <v>56795</v>
      </c>
      <c r="L695" s="62" t="s">
        <v>8596</v>
      </c>
      <c r="M695" s="62" t="s">
        <v>8597</v>
      </c>
      <c r="N695" s="62" t="s">
        <v>8598</v>
      </c>
      <c r="O695" s="62" t="s">
        <v>8599</v>
      </c>
      <c r="P695" s="62" t="s">
        <v>56808</v>
      </c>
      <c r="Q695" s="62" t="s">
        <v>8600</v>
      </c>
      <c r="R695" s="62" t="s">
        <v>8601</v>
      </c>
      <c r="S695" s="62" t="s">
        <v>8602</v>
      </c>
      <c r="U695" s="62" t="s">
        <v>8603</v>
      </c>
      <c r="V695" s="62" t="s">
        <v>56821</v>
      </c>
      <c r="W695" s="62" t="s">
        <v>8604</v>
      </c>
      <c r="X695" s="62" t="s">
        <v>8605</v>
      </c>
      <c r="Y695" s="62" t="s">
        <v>8606</v>
      </c>
      <c r="Z695" s="62" t="s">
        <v>8607</v>
      </c>
      <c r="AA695" s="62" t="s">
        <v>56834</v>
      </c>
      <c r="AB695" s="62" t="s">
        <v>8608</v>
      </c>
      <c r="AC695" s="62" t="s">
        <v>8609</v>
      </c>
      <c r="AD695" s="62" t="s">
        <v>8610</v>
      </c>
    </row>
    <row r="696" spans="1:30" x14ac:dyDescent="0.25">
      <c r="A696" s="62" t="s">
        <v>109</v>
      </c>
      <c r="C696" s="62" t="s">
        <v>8611</v>
      </c>
      <c r="F696" s="62" t="s">
        <v>2299</v>
      </c>
      <c r="G696" s="62" t="s">
        <v>56783</v>
      </c>
      <c r="J696" s="62" t="s">
        <v>8612</v>
      </c>
      <c r="K696" s="62" t="s">
        <v>56796</v>
      </c>
      <c r="L696" s="62" t="s">
        <v>8613</v>
      </c>
      <c r="M696" s="62" t="s">
        <v>8614</v>
      </c>
      <c r="N696" s="62" t="s">
        <v>8615</v>
      </c>
      <c r="O696" s="62" t="s">
        <v>8616</v>
      </c>
      <c r="P696" s="62" t="s">
        <v>56809</v>
      </c>
      <c r="Q696" s="62" t="s">
        <v>8617</v>
      </c>
      <c r="R696" s="62" t="s">
        <v>8618</v>
      </c>
      <c r="S696" s="62" t="s">
        <v>8619</v>
      </c>
      <c r="U696" s="62" t="s">
        <v>8620</v>
      </c>
      <c r="V696" s="62" t="s">
        <v>56822</v>
      </c>
      <c r="W696" s="62" t="s">
        <v>8621</v>
      </c>
      <c r="X696" s="62" t="s">
        <v>8622</v>
      </c>
      <c r="Y696" s="62" t="s">
        <v>8623</v>
      </c>
      <c r="Z696" s="62" t="s">
        <v>8624</v>
      </c>
      <c r="AA696" s="62" t="s">
        <v>56835</v>
      </c>
      <c r="AB696" s="62" t="s">
        <v>8625</v>
      </c>
      <c r="AC696" s="62" t="s">
        <v>8626</v>
      </c>
      <c r="AD696" s="62" t="s">
        <v>8627</v>
      </c>
    </row>
    <row r="697" spans="1:30" x14ac:dyDescent="0.25">
      <c r="A697" s="62" t="s">
        <v>109</v>
      </c>
      <c r="C697" s="62" t="s">
        <v>8628</v>
      </c>
      <c r="F697" s="62" t="s">
        <v>4942</v>
      </c>
      <c r="G697" s="62" t="s">
        <v>56784</v>
      </c>
      <c r="J697" s="62" t="s">
        <v>8629</v>
      </c>
      <c r="K697" s="62" t="s">
        <v>56797</v>
      </c>
      <c r="L697" s="62" t="s">
        <v>8630</v>
      </c>
      <c r="M697" s="62" t="s">
        <v>8631</v>
      </c>
      <c r="N697" s="62" t="s">
        <v>8632</v>
      </c>
      <c r="O697" s="62" t="s">
        <v>8633</v>
      </c>
      <c r="P697" s="62" t="s">
        <v>56810</v>
      </c>
      <c r="Q697" s="62" t="s">
        <v>8634</v>
      </c>
      <c r="R697" s="62" t="s">
        <v>8635</v>
      </c>
      <c r="S697" s="62" t="s">
        <v>8636</v>
      </c>
      <c r="U697" s="62" t="s">
        <v>8637</v>
      </c>
      <c r="V697" s="62" t="s">
        <v>56823</v>
      </c>
      <c r="W697" s="62" t="s">
        <v>8638</v>
      </c>
      <c r="X697" s="62" t="s">
        <v>8639</v>
      </c>
      <c r="Y697" s="62" t="s">
        <v>8640</v>
      </c>
      <c r="Z697" s="62" t="s">
        <v>8641</v>
      </c>
      <c r="AA697" s="62" t="s">
        <v>56836</v>
      </c>
      <c r="AB697" s="62" t="s">
        <v>8642</v>
      </c>
      <c r="AC697" s="62" t="s">
        <v>8643</v>
      </c>
      <c r="AD697" s="62" t="s">
        <v>8644</v>
      </c>
    </row>
    <row r="698" spans="1:30" x14ac:dyDescent="0.25">
      <c r="A698" s="62" t="s">
        <v>109</v>
      </c>
      <c r="C698" s="62" t="s">
        <v>8645</v>
      </c>
      <c r="F698" s="62" t="s">
        <v>2310</v>
      </c>
      <c r="G698" s="62" t="s">
        <v>56785</v>
      </c>
      <c r="J698" s="62" t="s">
        <v>8646</v>
      </c>
      <c r="K698" s="62" t="s">
        <v>56798</v>
      </c>
      <c r="L698" s="62" t="s">
        <v>8647</v>
      </c>
      <c r="M698" s="62" t="s">
        <v>8648</v>
      </c>
      <c r="N698" s="62" t="s">
        <v>8649</v>
      </c>
      <c r="O698" s="62" t="s">
        <v>8650</v>
      </c>
      <c r="P698" s="62" t="s">
        <v>56811</v>
      </c>
      <c r="Q698" s="62" t="s">
        <v>8651</v>
      </c>
      <c r="R698" s="62" t="s">
        <v>8652</v>
      </c>
      <c r="S698" s="62" t="s">
        <v>8653</v>
      </c>
      <c r="U698" s="62" t="s">
        <v>8654</v>
      </c>
      <c r="V698" s="62" t="s">
        <v>56824</v>
      </c>
      <c r="W698" s="62" t="s">
        <v>8655</v>
      </c>
      <c r="X698" s="62" t="s">
        <v>8656</v>
      </c>
      <c r="Y698" s="62" t="s">
        <v>8657</v>
      </c>
      <c r="Z698" s="62" t="s">
        <v>8658</v>
      </c>
      <c r="AA698" s="62" t="s">
        <v>56837</v>
      </c>
      <c r="AB698" s="62" t="s">
        <v>8659</v>
      </c>
      <c r="AC698" s="62" t="s">
        <v>8660</v>
      </c>
      <c r="AD698" s="62" t="s">
        <v>8661</v>
      </c>
    </row>
    <row r="699" spans="1:30" x14ac:dyDescent="0.25">
      <c r="A699" s="62" t="s">
        <v>109</v>
      </c>
      <c r="C699" s="62" t="s">
        <v>8662</v>
      </c>
      <c r="F699" s="62" t="s">
        <v>2311</v>
      </c>
      <c r="G699" s="62" t="s">
        <v>56786</v>
      </c>
      <c r="J699" s="62" t="s">
        <v>8663</v>
      </c>
      <c r="K699" s="62" t="s">
        <v>56799</v>
      </c>
      <c r="L699" s="62" t="s">
        <v>8664</v>
      </c>
      <c r="M699" s="62" t="s">
        <v>8665</v>
      </c>
      <c r="N699" s="62" t="s">
        <v>8666</v>
      </c>
      <c r="O699" s="62" t="s">
        <v>8667</v>
      </c>
      <c r="P699" s="62" t="s">
        <v>56812</v>
      </c>
      <c r="Q699" s="62" t="s">
        <v>8668</v>
      </c>
      <c r="R699" s="62" t="s">
        <v>8669</v>
      </c>
      <c r="S699" s="62" t="s">
        <v>8670</v>
      </c>
      <c r="U699" s="62" t="s">
        <v>8671</v>
      </c>
      <c r="V699" s="62" t="s">
        <v>56825</v>
      </c>
      <c r="W699" s="62" t="s">
        <v>8672</v>
      </c>
      <c r="X699" s="62" t="s">
        <v>8673</v>
      </c>
      <c r="Y699" s="62" t="s">
        <v>8674</v>
      </c>
      <c r="Z699" s="62" t="s">
        <v>8675</v>
      </c>
      <c r="AA699" s="62" t="s">
        <v>56838</v>
      </c>
      <c r="AB699" s="62" t="s">
        <v>8676</v>
      </c>
      <c r="AC699" s="62" t="s">
        <v>8677</v>
      </c>
      <c r="AD699" s="62" t="s">
        <v>8678</v>
      </c>
    </row>
    <row r="700" spans="1:30" x14ac:dyDescent="0.25">
      <c r="A700" s="62" t="s">
        <v>109</v>
      </c>
      <c r="C700" s="62" t="s">
        <v>8679</v>
      </c>
      <c r="F700" s="62" t="s">
        <v>2481</v>
      </c>
      <c r="G700" s="62" t="s">
        <v>56787</v>
      </c>
      <c r="J700" s="62" t="s">
        <v>8680</v>
      </c>
      <c r="K700" s="62" t="s">
        <v>56800</v>
      </c>
      <c r="L700" s="62" t="s">
        <v>8681</v>
      </c>
      <c r="M700" s="62" t="s">
        <v>8682</v>
      </c>
      <c r="N700" s="62" t="s">
        <v>8683</v>
      </c>
      <c r="O700" s="62" t="s">
        <v>8684</v>
      </c>
      <c r="P700" s="62" t="s">
        <v>56813</v>
      </c>
      <c r="Q700" s="62" t="s">
        <v>8685</v>
      </c>
      <c r="R700" s="62" t="s">
        <v>8686</v>
      </c>
      <c r="S700" s="62" t="s">
        <v>8687</v>
      </c>
      <c r="U700" s="62" t="s">
        <v>8688</v>
      </c>
      <c r="V700" s="62" t="s">
        <v>56826</v>
      </c>
      <c r="W700" s="62" t="s">
        <v>8689</v>
      </c>
      <c r="X700" s="62" t="s">
        <v>8690</v>
      </c>
      <c r="Y700" s="62" t="s">
        <v>8691</v>
      </c>
      <c r="Z700" s="62" t="s">
        <v>8692</v>
      </c>
      <c r="AA700" s="62" t="s">
        <v>56839</v>
      </c>
      <c r="AB700" s="62" t="s">
        <v>8693</v>
      </c>
      <c r="AC700" s="62" t="s">
        <v>8694</v>
      </c>
      <c r="AD700" s="62" t="s">
        <v>8695</v>
      </c>
    </row>
    <row r="701" spans="1:30" x14ac:dyDescent="0.25">
      <c r="A701" s="62" t="s">
        <v>109</v>
      </c>
      <c r="C701" s="62" t="s">
        <v>8696</v>
      </c>
      <c r="F701" s="62" t="s">
        <v>1100</v>
      </c>
      <c r="G701" s="62" t="s">
        <v>56788</v>
      </c>
      <c r="J701" s="62" t="s">
        <v>8697</v>
      </c>
      <c r="K701" s="62" t="s">
        <v>56801</v>
      </c>
      <c r="L701" s="62" t="s">
        <v>8698</v>
      </c>
      <c r="M701" s="62" t="s">
        <v>8699</v>
      </c>
      <c r="N701" s="62" t="s">
        <v>8700</v>
      </c>
      <c r="O701" s="62" t="s">
        <v>8701</v>
      </c>
      <c r="P701" s="62" t="s">
        <v>56814</v>
      </c>
      <c r="Q701" s="62" t="s">
        <v>8702</v>
      </c>
      <c r="R701" s="62" t="s">
        <v>8703</v>
      </c>
      <c r="S701" s="62" t="s">
        <v>8704</v>
      </c>
      <c r="U701" s="62" t="s">
        <v>8705</v>
      </c>
      <c r="V701" s="62" t="s">
        <v>56827</v>
      </c>
      <c r="W701" s="62" t="s">
        <v>8706</v>
      </c>
      <c r="X701" s="62" t="s">
        <v>8707</v>
      </c>
      <c r="Y701" s="62" t="s">
        <v>8708</v>
      </c>
      <c r="Z701" s="62" t="s">
        <v>8709</v>
      </c>
      <c r="AA701" s="62" t="s">
        <v>56840</v>
      </c>
      <c r="AB701" s="62" t="s">
        <v>8710</v>
      </c>
      <c r="AC701" s="62" t="s">
        <v>8711</v>
      </c>
      <c r="AD701" s="62" t="s">
        <v>8712</v>
      </c>
    </row>
    <row r="702" spans="1:30" x14ac:dyDescent="0.25">
      <c r="A702" s="62" t="s">
        <v>109</v>
      </c>
      <c r="C702" s="62" t="s">
        <v>8713</v>
      </c>
      <c r="F702" s="62" t="s">
        <v>2372</v>
      </c>
      <c r="G702" s="62" t="s">
        <v>56789</v>
      </c>
      <c r="J702" s="62" t="s">
        <v>8714</v>
      </c>
      <c r="K702" s="62" t="s">
        <v>56802</v>
      </c>
      <c r="L702" s="62" t="s">
        <v>8715</v>
      </c>
      <c r="M702" s="62" t="s">
        <v>8716</v>
      </c>
      <c r="N702" s="62" t="s">
        <v>8717</v>
      </c>
      <c r="O702" s="62" t="s">
        <v>8718</v>
      </c>
      <c r="P702" s="62" t="s">
        <v>56815</v>
      </c>
      <c r="Q702" s="62" t="s">
        <v>8719</v>
      </c>
      <c r="R702" s="62" t="s">
        <v>8720</v>
      </c>
      <c r="S702" s="62" t="s">
        <v>8721</v>
      </c>
      <c r="U702" s="62" t="s">
        <v>8722</v>
      </c>
      <c r="V702" s="62" t="s">
        <v>56828</v>
      </c>
      <c r="W702" s="62" t="s">
        <v>8723</v>
      </c>
      <c r="X702" s="62" t="s">
        <v>8724</v>
      </c>
      <c r="Y702" s="62" t="s">
        <v>8725</v>
      </c>
      <c r="Z702" s="62" t="s">
        <v>8726</v>
      </c>
      <c r="AA702" s="62" t="s">
        <v>56841</v>
      </c>
      <c r="AB702" s="62" t="s">
        <v>8727</v>
      </c>
      <c r="AC702" s="62" t="s">
        <v>8728</v>
      </c>
      <c r="AD702" s="62" t="s">
        <v>8729</v>
      </c>
    </row>
    <row r="703" spans="1:30" x14ac:dyDescent="0.25">
      <c r="A703" s="62" t="s">
        <v>109</v>
      </c>
      <c r="C703" s="62" t="s">
        <v>8526</v>
      </c>
    </row>
    <row r="704" spans="1:30" x14ac:dyDescent="0.25">
      <c r="A704" s="62" t="s">
        <v>109</v>
      </c>
      <c r="C704" s="62" t="s">
        <v>8730</v>
      </c>
      <c r="G704" s="62" t="s">
        <v>41362</v>
      </c>
      <c r="J704" s="62" t="s">
        <v>41363</v>
      </c>
      <c r="K704" s="62" t="s">
        <v>41364</v>
      </c>
      <c r="L704" s="62" t="s">
        <v>41365</v>
      </c>
      <c r="M704" s="62" t="s">
        <v>8731</v>
      </c>
      <c r="N704" s="62" t="s">
        <v>8732</v>
      </c>
      <c r="O704" s="62" t="s">
        <v>41366</v>
      </c>
      <c r="P704" s="62" t="s">
        <v>41367</v>
      </c>
      <c r="Q704" s="62" t="s">
        <v>41368</v>
      </c>
      <c r="R704" s="62" t="s">
        <v>8733</v>
      </c>
      <c r="S704" s="62" t="s">
        <v>8734</v>
      </c>
      <c r="U704" s="62" t="s">
        <v>41369</v>
      </c>
      <c r="V704" s="62" t="s">
        <v>41370</v>
      </c>
      <c r="W704" s="62" t="s">
        <v>41371</v>
      </c>
      <c r="X704" s="62" t="s">
        <v>8735</v>
      </c>
      <c r="Y704" s="62" t="s">
        <v>8736</v>
      </c>
      <c r="Z704" s="62" t="s">
        <v>41372</v>
      </c>
      <c r="AA704" s="62" t="s">
        <v>41373</v>
      </c>
      <c r="AB704" s="62" t="s">
        <v>41374</v>
      </c>
      <c r="AC704" s="62" t="s">
        <v>8737</v>
      </c>
      <c r="AD704" s="62" t="s">
        <v>8738</v>
      </c>
    </row>
    <row r="705" spans="1:30" x14ac:dyDescent="0.25">
      <c r="A705" s="62" t="s">
        <v>109</v>
      </c>
    </row>
    <row r="706" spans="1:30" x14ac:dyDescent="0.25">
      <c r="A706" s="62" t="s">
        <v>109</v>
      </c>
      <c r="C706" s="62" t="s">
        <v>41375</v>
      </c>
      <c r="E706" s="62" t="s">
        <v>271</v>
      </c>
      <c r="G706" s="62" t="s">
        <v>41376</v>
      </c>
    </row>
    <row r="707" spans="1:30" x14ac:dyDescent="0.25">
      <c r="A707" s="62" t="s">
        <v>109</v>
      </c>
      <c r="C707" s="62" t="s">
        <v>8739</v>
      </c>
    </row>
    <row r="708" spans="1:30" x14ac:dyDescent="0.25">
      <c r="A708" s="62" t="s">
        <v>109</v>
      </c>
      <c r="C708" s="62" t="s">
        <v>41377</v>
      </c>
      <c r="F708" s="62" t="s">
        <v>41378</v>
      </c>
      <c r="G708" s="62" t="s">
        <v>56617</v>
      </c>
      <c r="J708" s="62" t="s">
        <v>41379</v>
      </c>
      <c r="K708" s="62" t="s">
        <v>56649</v>
      </c>
      <c r="L708" s="62" t="s">
        <v>41380</v>
      </c>
      <c r="M708" s="62" t="s">
        <v>41381</v>
      </c>
      <c r="N708" s="62" t="s">
        <v>41382</v>
      </c>
      <c r="O708" s="62" t="s">
        <v>41383</v>
      </c>
      <c r="P708" s="62" t="s">
        <v>56681</v>
      </c>
      <c r="Q708" s="62" t="s">
        <v>41384</v>
      </c>
      <c r="R708" s="62" t="s">
        <v>41385</v>
      </c>
      <c r="S708" s="62" t="s">
        <v>41386</v>
      </c>
      <c r="U708" s="62" t="s">
        <v>41387</v>
      </c>
      <c r="V708" s="62" t="s">
        <v>56713</v>
      </c>
      <c r="W708" s="62" t="s">
        <v>41388</v>
      </c>
      <c r="X708" s="62" t="s">
        <v>41389</v>
      </c>
      <c r="Y708" s="62" t="s">
        <v>41390</v>
      </c>
      <c r="Z708" s="62" t="s">
        <v>41391</v>
      </c>
      <c r="AA708" s="62" t="s">
        <v>56745</v>
      </c>
      <c r="AB708" s="62" t="s">
        <v>41392</v>
      </c>
      <c r="AC708" s="62" t="s">
        <v>41393</v>
      </c>
      <c r="AD708" s="62" t="s">
        <v>41394</v>
      </c>
    </row>
    <row r="709" spans="1:30" x14ac:dyDescent="0.25">
      <c r="A709" s="62" t="s">
        <v>109</v>
      </c>
      <c r="C709" s="62" t="s">
        <v>8740</v>
      </c>
      <c r="F709" s="62" t="s">
        <v>731</v>
      </c>
      <c r="G709" s="62" t="s">
        <v>56618</v>
      </c>
      <c r="J709" s="62" t="s">
        <v>41395</v>
      </c>
      <c r="K709" s="62" t="s">
        <v>56650</v>
      </c>
      <c r="L709" s="62" t="s">
        <v>41396</v>
      </c>
      <c r="M709" s="62" t="s">
        <v>8741</v>
      </c>
      <c r="N709" s="62" t="s">
        <v>8742</v>
      </c>
      <c r="O709" s="62" t="s">
        <v>41397</v>
      </c>
      <c r="P709" s="62" t="s">
        <v>56682</v>
      </c>
      <c r="Q709" s="62" t="s">
        <v>41398</v>
      </c>
      <c r="R709" s="62" t="s">
        <v>8743</v>
      </c>
      <c r="S709" s="62" t="s">
        <v>8744</v>
      </c>
      <c r="U709" s="62" t="s">
        <v>41399</v>
      </c>
      <c r="V709" s="62" t="s">
        <v>56714</v>
      </c>
      <c r="W709" s="62" t="s">
        <v>41400</v>
      </c>
      <c r="X709" s="62" t="s">
        <v>8745</v>
      </c>
      <c r="Y709" s="62" t="s">
        <v>8746</v>
      </c>
      <c r="Z709" s="62" t="s">
        <v>41401</v>
      </c>
      <c r="AA709" s="62" t="s">
        <v>56746</v>
      </c>
      <c r="AB709" s="62" t="s">
        <v>41402</v>
      </c>
      <c r="AC709" s="62" t="s">
        <v>8747</v>
      </c>
      <c r="AD709" s="62" t="s">
        <v>8748</v>
      </c>
    </row>
    <row r="710" spans="1:30" x14ac:dyDescent="0.25">
      <c r="A710" s="62" t="s">
        <v>109</v>
      </c>
      <c r="C710" s="62" t="s">
        <v>41403</v>
      </c>
      <c r="F710" s="62" t="s">
        <v>748</v>
      </c>
      <c r="G710" s="62" t="s">
        <v>56619</v>
      </c>
      <c r="J710" s="62" t="s">
        <v>41404</v>
      </c>
      <c r="K710" s="62" t="s">
        <v>56651</v>
      </c>
      <c r="L710" s="62" t="s">
        <v>41405</v>
      </c>
      <c r="M710" s="62" t="s">
        <v>41406</v>
      </c>
      <c r="N710" s="62" t="s">
        <v>41407</v>
      </c>
      <c r="O710" s="62" t="s">
        <v>41408</v>
      </c>
      <c r="P710" s="62" t="s">
        <v>56683</v>
      </c>
      <c r="Q710" s="62" t="s">
        <v>41409</v>
      </c>
      <c r="R710" s="62" t="s">
        <v>41410</v>
      </c>
      <c r="S710" s="62" t="s">
        <v>41411</v>
      </c>
      <c r="U710" s="62" t="s">
        <v>41412</v>
      </c>
      <c r="V710" s="62" t="s">
        <v>56715</v>
      </c>
      <c r="W710" s="62" t="s">
        <v>41413</v>
      </c>
      <c r="X710" s="62" t="s">
        <v>41414</v>
      </c>
      <c r="Y710" s="62" t="s">
        <v>41415</v>
      </c>
      <c r="Z710" s="62" t="s">
        <v>41416</v>
      </c>
      <c r="AA710" s="62" t="s">
        <v>56747</v>
      </c>
      <c r="AB710" s="62" t="s">
        <v>41417</v>
      </c>
      <c r="AC710" s="62" t="s">
        <v>41418</v>
      </c>
      <c r="AD710" s="62" t="s">
        <v>41419</v>
      </c>
    </row>
    <row r="711" spans="1:30" x14ac:dyDescent="0.25">
      <c r="A711" s="62" t="s">
        <v>109</v>
      </c>
      <c r="C711" s="62" t="s">
        <v>41420</v>
      </c>
      <c r="F711" s="62" t="s">
        <v>758</v>
      </c>
      <c r="G711" s="62" t="s">
        <v>56620</v>
      </c>
      <c r="J711" s="62" t="s">
        <v>41421</v>
      </c>
      <c r="K711" s="62" t="s">
        <v>56652</v>
      </c>
      <c r="L711" s="62" t="s">
        <v>41422</v>
      </c>
      <c r="M711" s="62" t="s">
        <v>41423</v>
      </c>
      <c r="N711" s="62" t="s">
        <v>41424</v>
      </c>
      <c r="O711" s="62" t="s">
        <v>41425</v>
      </c>
      <c r="P711" s="62" t="s">
        <v>56684</v>
      </c>
      <c r="Q711" s="62" t="s">
        <v>41426</v>
      </c>
      <c r="R711" s="62" t="s">
        <v>41427</v>
      </c>
      <c r="S711" s="62" t="s">
        <v>41428</v>
      </c>
      <c r="U711" s="62" t="s">
        <v>41429</v>
      </c>
      <c r="V711" s="62" t="s">
        <v>56716</v>
      </c>
      <c r="W711" s="62" t="s">
        <v>41430</v>
      </c>
      <c r="X711" s="62" t="s">
        <v>41431</v>
      </c>
      <c r="Y711" s="62" t="s">
        <v>41432</v>
      </c>
      <c r="Z711" s="62" t="s">
        <v>41433</v>
      </c>
      <c r="AA711" s="62" t="s">
        <v>56748</v>
      </c>
      <c r="AB711" s="62" t="s">
        <v>41434</v>
      </c>
      <c r="AC711" s="62" t="s">
        <v>41435</v>
      </c>
      <c r="AD711" s="62" t="s">
        <v>41436</v>
      </c>
    </row>
    <row r="712" spans="1:30" x14ac:dyDescent="0.25">
      <c r="A712" s="62" t="s">
        <v>109</v>
      </c>
      <c r="C712" s="62" t="s">
        <v>8749</v>
      </c>
      <c r="F712" s="62" t="s">
        <v>1359</v>
      </c>
      <c r="G712" s="62" t="s">
        <v>56621</v>
      </c>
      <c r="J712" s="62" t="s">
        <v>41437</v>
      </c>
      <c r="K712" s="62" t="s">
        <v>56653</v>
      </c>
      <c r="L712" s="62" t="s">
        <v>41438</v>
      </c>
      <c r="M712" s="62" t="s">
        <v>41439</v>
      </c>
      <c r="N712" s="62" t="s">
        <v>41440</v>
      </c>
      <c r="O712" s="62" t="s">
        <v>41441</v>
      </c>
      <c r="P712" s="62" t="s">
        <v>56685</v>
      </c>
      <c r="Q712" s="62" t="s">
        <v>41442</v>
      </c>
      <c r="R712" s="62" t="s">
        <v>41443</v>
      </c>
      <c r="S712" s="62" t="s">
        <v>41444</v>
      </c>
      <c r="U712" s="62" t="s">
        <v>41445</v>
      </c>
      <c r="V712" s="62" t="s">
        <v>56717</v>
      </c>
      <c r="W712" s="62" t="s">
        <v>41446</v>
      </c>
      <c r="X712" s="62" t="s">
        <v>41447</v>
      </c>
      <c r="Y712" s="62" t="s">
        <v>41448</v>
      </c>
      <c r="Z712" s="62" t="s">
        <v>41449</v>
      </c>
      <c r="AA712" s="62" t="s">
        <v>56749</v>
      </c>
      <c r="AB712" s="62" t="s">
        <v>41450</v>
      </c>
      <c r="AC712" s="62" t="s">
        <v>41451</v>
      </c>
      <c r="AD712" s="62" t="s">
        <v>41452</v>
      </c>
    </row>
    <row r="713" spans="1:30" x14ac:dyDescent="0.25">
      <c r="A713" s="62" t="s">
        <v>109</v>
      </c>
      <c r="C713" s="62" t="s">
        <v>8750</v>
      </c>
      <c r="F713" s="62" t="s">
        <v>142</v>
      </c>
      <c r="G713" s="62" t="s">
        <v>56622</v>
      </c>
      <c r="J713" s="62" t="s">
        <v>8751</v>
      </c>
      <c r="K713" s="62" t="s">
        <v>56654</v>
      </c>
      <c r="L713" s="62" t="s">
        <v>8752</v>
      </c>
      <c r="M713" s="62" t="s">
        <v>8753</v>
      </c>
      <c r="N713" s="62" t="s">
        <v>8754</v>
      </c>
      <c r="O713" s="62" t="s">
        <v>8755</v>
      </c>
      <c r="P713" s="62" t="s">
        <v>56686</v>
      </c>
      <c r="Q713" s="62" t="s">
        <v>8756</v>
      </c>
      <c r="R713" s="62" t="s">
        <v>8757</v>
      </c>
      <c r="S713" s="62" t="s">
        <v>8758</v>
      </c>
      <c r="U713" s="62" t="s">
        <v>8759</v>
      </c>
      <c r="V713" s="62" t="s">
        <v>56718</v>
      </c>
      <c r="W713" s="62" t="s">
        <v>8760</v>
      </c>
      <c r="X713" s="62" t="s">
        <v>8761</v>
      </c>
      <c r="Y713" s="62" t="s">
        <v>8762</v>
      </c>
      <c r="Z713" s="62" t="s">
        <v>8763</v>
      </c>
      <c r="AA713" s="62" t="s">
        <v>56750</v>
      </c>
      <c r="AB713" s="62" t="s">
        <v>8764</v>
      </c>
      <c r="AC713" s="62" t="s">
        <v>8765</v>
      </c>
      <c r="AD713" s="62" t="s">
        <v>8766</v>
      </c>
    </row>
    <row r="714" spans="1:30" x14ac:dyDescent="0.25">
      <c r="A714" s="62" t="s">
        <v>109</v>
      </c>
      <c r="C714" s="62" t="s">
        <v>8767</v>
      </c>
      <c r="F714" s="62" t="s">
        <v>827</v>
      </c>
      <c r="G714" s="62" t="s">
        <v>56623</v>
      </c>
      <c r="J714" s="62" t="s">
        <v>8768</v>
      </c>
      <c r="K714" s="62" t="s">
        <v>56655</v>
      </c>
      <c r="L714" s="62" t="s">
        <v>8769</v>
      </c>
      <c r="M714" s="62" t="s">
        <v>8770</v>
      </c>
      <c r="N714" s="62" t="s">
        <v>8771</v>
      </c>
      <c r="O714" s="62" t="s">
        <v>8772</v>
      </c>
      <c r="P714" s="62" t="s">
        <v>56687</v>
      </c>
      <c r="Q714" s="62" t="s">
        <v>8773</v>
      </c>
      <c r="R714" s="62" t="s">
        <v>8774</v>
      </c>
      <c r="S714" s="62" t="s">
        <v>8775</v>
      </c>
      <c r="U714" s="62" t="s">
        <v>8776</v>
      </c>
      <c r="V714" s="62" t="s">
        <v>56719</v>
      </c>
      <c r="W714" s="62" t="s">
        <v>8777</v>
      </c>
      <c r="X714" s="62" t="s">
        <v>8778</v>
      </c>
      <c r="Y714" s="62" t="s">
        <v>8779</v>
      </c>
      <c r="Z714" s="62" t="s">
        <v>8780</v>
      </c>
      <c r="AA714" s="62" t="s">
        <v>56751</v>
      </c>
      <c r="AB714" s="62" t="s">
        <v>8781</v>
      </c>
      <c r="AC714" s="62" t="s">
        <v>8782</v>
      </c>
      <c r="AD714" s="62" t="s">
        <v>8783</v>
      </c>
    </row>
    <row r="715" spans="1:30" x14ac:dyDescent="0.25">
      <c r="A715" s="62" t="s">
        <v>109</v>
      </c>
      <c r="C715" s="62" t="s">
        <v>8784</v>
      </c>
      <c r="F715" s="62" t="s">
        <v>837</v>
      </c>
      <c r="G715" s="62" t="s">
        <v>56624</v>
      </c>
      <c r="J715" s="62" t="s">
        <v>8785</v>
      </c>
      <c r="K715" s="62" t="s">
        <v>56656</v>
      </c>
      <c r="L715" s="62" t="s">
        <v>8786</v>
      </c>
      <c r="M715" s="62" t="s">
        <v>8787</v>
      </c>
      <c r="N715" s="62" t="s">
        <v>8788</v>
      </c>
      <c r="O715" s="62" t="s">
        <v>8789</v>
      </c>
      <c r="P715" s="62" t="s">
        <v>56688</v>
      </c>
      <c r="Q715" s="62" t="s">
        <v>8790</v>
      </c>
      <c r="R715" s="62" t="s">
        <v>8791</v>
      </c>
      <c r="S715" s="62" t="s">
        <v>8792</v>
      </c>
      <c r="U715" s="62" t="s">
        <v>8793</v>
      </c>
      <c r="V715" s="62" t="s">
        <v>56720</v>
      </c>
      <c r="W715" s="62" t="s">
        <v>8794</v>
      </c>
      <c r="X715" s="62" t="s">
        <v>8795</v>
      </c>
      <c r="Y715" s="62" t="s">
        <v>8796</v>
      </c>
      <c r="Z715" s="62" t="s">
        <v>8797</v>
      </c>
      <c r="AA715" s="62" t="s">
        <v>56752</v>
      </c>
      <c r="AB715" s="62" t="s">
        <v>8798</v>
      </c>
      <c r="AC715" s="62" t="s">
        <v>8799</v>
      </c>
      <c r="AD715" s="62" t="s">
        <v>8800</v>
      </c>
    </row>
    <row r="716" spans="1:30" x14ac:dyDescent="0.25">
      <c r="A716" s="62" t="s">
        <v>109</v>
      </c>
      <c r="C716" s="62" t="s">
        <v>8801</v>
      </c>
      <c r="F716" s="62" t="s">
        <v>855</v>
      </c>
      <c r="G716" s="62" t="s">
        <v>56625</v>
      </c>
      <c r="J716" s="62" t="s">
        <v>8802</v>
      </c>
      <c r="K716" s="62" t="s">
        <v>56657</v>
      </c>
      <c r="L716" s="62" t="s">
        <v>8803</v>
      </c>
      <c r="M716" s="62" t="s">
        <v>8804</v>
      </c>
      <c r="N716" s="62" t="s">
        <v>8805</v>
      </c>
      <c r="O716" s="62" t="s">
        <v>8806</v>
      </c>
      <c r="P716" s="62" t="s">
        <v>56689</v>
      </c>
      <c r="Q716" s="62" t="s">
        <v>8807</v>
      </c>
      <c r="R716" s="62" t="s">
        <v>8808</v>
      </c>
      <c r="S716" s="62" t="s">
        <v>8809</v>
      </c>
      <c r="U716" s="62" t="s">
        <v>8810</v>
      </c>
      <c r="V716" s="62" t="s">
        <v>56721</v>
      </c>
      <c r="W716" s="62" t="s">
        <v>8811</v>
      </c>
      <c r="X716" s="62" t="s">
        <v>8812</v>
      </c>
      <c r="Y716" s="62" t="s">
        <v>8813</v>
      </c>
      <c r="Z716" s="62" t="s">
        <v>8814</v>
      </c>
      <c r="AA716" s="62" t="s">
        <v>56753</v>
      </c>
      <c r="AB716" s="62" t="s">
        <v>8815</v>
      </c>
      <c r="AC716" s="62" t="s">
        <v>8816</v>
      </c>
      <c r="AD716" s="62" t="s">
        <v>8817</v>
      </c>
    </row>
    <row r="717" spans="1:30" x14ac:dyDescent="0.25">
      <c r="A717" s="62" t="s">
        <v>109</v>
      </c>
      <c r="C717" s="62" t="s">
        <v>8818</v>
      </c>
      <c r="F717" s="62" t="s">
        <v>872</v>
      </c>
      <c r="G717" s="62" t="s">
        <v>56626</v>
      </c>
      <c r="J717" s="62" t="s">
        <v>8819</v>
      </c>
      <c r="K717" s="62" t="s">
        <v>56658</v>
      </c>
      <c r="L717" s="62" t="s">
        <v>8820</v>
      </c>
      <c r="M717" s="62" t="s">
        <v>8821</v>
      </c>
      <c r="N717" s="62" t="s">
        <v>8822</v>
      </c>
      <c r="O717" s="62" t="s">
        <v>8823</v>
      </c>
      <c r="P717" s="62" t="s">
        <v>56690</v>
      </c>
      <c r="Q717" s="62" t="s">
        <v>8824</v>
      </c>
      <c r="R717" s="62" t="s">
        <v>8825</v>
      </c>
      <c r="S717" s="62" t="s">
        <v>8826</v>
      </c>
      <c r="U717" s="62" t="s">
        <v>8827</v>
      </c>
      <c r="V717" s="62" t="s">
        <v>56722</v>
      </c>
      <c r="W717" s="62" t="s">
        <v>8828</v>
      </c>
      <c r="X717" s="62" t="s">
        <v>8829</v>
      </c>
      <c r="Y717" s="62" t="s">
        <v>8830</v>
      </c>
      <c r="Z717" s="62" t="s">
        <v>8831</v>
      </c>
      <c r="AA717" s="62" t="s">
        <v>56754</v>
      </c>
      <c r="AB717" s="62" t="s">
        <v>8832</v>
      </c>
      <c r="AC717" s="62" t="s">
        <v>8833</v>
      </c>
      <c r="AD717" s="62" t="s">
        <v>8834</v>
      </c>
    </row>
    <row r="718" spans="1:30" x14ac:dyDescent="0.25">
      <c r="A718" s="62" t="s">
        <v>109</v>
      </c>
      <c r="C718" s="62" t="s">
        <v>8835</v>
      </c>
      <c r="F718" s="62" t="s">
        <v>889</v>
      </c>
      <c r="G718" s="62" t="s">
        <v>56627</v>
      </c>
      <c r="J718" s="62" t="s">
        <v>8836</v>
      </c>
      <c r="K718" s="62" t="s">
        <v>56659</v>
      </c>
      <c r="L718" s="62" t="s">
        <v>8837</v>
      </c>
      <c r="M718" s="62" t="s">
        <v>8838</v>
      </c>
      <c r="N718" s="62" t="s">
        <v>8839</v>
      </c>
      <c r="O718" s="62" t="s">
        <v>8840</v>
      </c>
      <c r="P718" s="62" t="s">
        <v>56691</v>
      </c>
      <c r="Q718" s="62" t="s">
        <v>8841</v>
      </c>
      <c r="R718" s="62" t="s">
        <v>8842</v>
      </c>
      <c r="S718" s="62" t="s">
        <v>8843</v>
      </c>
      <c r="U718" s="62" t="s">
        <v>8844</v>
      </c>
      <c r="V718" s="62" t="s">
        <v>56723</v>
      </c>
      <c r="W718" s="62" t="s">
        <v>8845</v>
      </c>
      <c r="X718" s="62" t="s">
        <v>8846</v>
      </c>
      <c r="Y718" s="62" t="s">
        <v>8847</v>
      </c>
      <c r="Z718" s="62" t="s">
        <v>8848</v>
      </c>
      <c r="AA718" s="62" t="s">
        <v>56755</v>
      </c>
      <c r="AB718" s="62" t="s">
        <v>8849</v>
      </c>
      <c r="AC718" s="62" t="s">
        <v>8850</v>
      </c>
      <c r="AD718" s="62" t="s">
        <v>8851</v>
      </c>
    </row>
    <row r="719" spans="1:30" x14ac:dyDescent="0.25">
      <c r="A719" s="62" t="s">
        <v>109</v>
      </c>
      <c r="C719" s="62" t="s">
        <v>8852</v>
      </c>
      <c r="F719" s="62" t="s">
        <v>925</v>
      </c>
      <c r="G719" s="62" t="s">
        <v>56628</v>
      </c>
      <c r="J719" s="62" t="s">
        <v>8853</v>
      </c>
      <c r="K719" s="62" t="s">
        <v>56660</v>
      </c>
      <c r="L719" s="62" t="s">
        <v>8854</v>
      </c>
      <c r="M719" s="62" t="s">
        <v>8855</v>
      </c>
      <c r="N719" s="62" t="s">
        <v>8856</v>
      </c>
      <c r="O719" s="62" t="s">
        <v>8857</v>
      </c>
      <c r="P719" s="62" t="s">
        <v>56692</v>
      </c>
      <c r="Q719" s="62" t="s">
        <v>8858</v>
      </c>
      <c r="R719" s="62" t="s">
        <v>8859</v>
      </c>
      <c r="S719" s="62" t="s">
        <v>8860</v>
      </c>
      <c r="U719" s="62" t="s">
        <v>8861</v>
      </c>
      <c r="V719" s="62" t="s">
        <v>56724</v>
      </c>
      <c r="W719" s="62" t="s">
        <v>8862</v>
      </c>
      <c r="X719" s="62" t="s">
        <v>8863</v>
      </c>
      <c r="Y719" s="62" t="s">
        <v>8864</v>
      </c>
      <c r="Z719" s="62" t="s">
        <v>8865</v>
      </c>
      <c r="AA719" s="62" t="s">
        <v>56756</v>
      </c>
      <c r="AB719" s="62" t="s">
        <v>8866</v>
      </c>
      <c r="AC719" s="62" t="s">
        <v>8867</v>
      </c>
      <c r="AD719" s="62" t="s">
        <v>8868</v>
      </c>
    </row>
    <row r="720" spans="1:30" x14ac:dyDescent="0.25">
      <c r="A720" s="62" t="s">
        <v>109</v>
      </c>
      <c r="C720" s="62" t="s">
        <v>8869</v>
      </c>
      <c r="F720" s="62" t="s">
        <v>985</v>
      </c>
      <c r="G720" s="62" t="s">
        <v>56629</v>
      </c>
      <c r="J720" s="62" t="s">
        <v>8870</v>
      </c>
      <c r="K720" s="62" t="s">
        <v>56661</v>
      </c>
      <c r="L720" s="62" t="s">
        <v>8871</v>
      </c>
      <c r="M720" s="62" t="s">
        <v>8872</v>
      </c>
      <c r="N720" s="62" t="s">
        <v>8873</v>
      </c>
      <c r="O720" s="62" t="s">
        <v>8874</v>
      </c>
      <c r="P720" s="62" t="s">
        <v>56693</v>
      </c>
      <c r="Q720" s="62" t="s">
        <v>8875</v>
      </c>
      <c r="R720" s="62" t="s">
        <v>8876</v>
      </c>
      <c r="S720" s="62" t="s">
        <v>8877</v>
      </c>
      <c r="U720" s="62" t="s">
        <v>8878</v>
      </c>
      <c r="V720" s="62" t="s">
        <v>56725</v>
      </c>
      <c r="W720" s="62" t="s">
        <v>8879</v>
      </c>
      <c r="X720" s="62" t="s">
        <v>8880</v>
      </c>
      <c r="Y720" s="62" t="s">
        <v>8881</v>
      </c>
      <c r="Z720" s="62" t="s">
        <v>8882</v>
      </c>
      <c r="AA720" s="62" t="s">
        <v>56757</v>
      </c>
      <c r="AB720" s="62" t="s">
        <v>8883</v>
      </c>
      <c r="AC720" s="62" t="s">
        <v>8884</v>
      </c>
      <c r="AD720" s="62" t="s">
        <v>8885</v>
      </c>
    </row>
    <row r="721" spans="1:30" x14ac:dyDescent="0.25">
      <c r="A721" s="62" t="s">
        <v>109</v>
      </c>
      <c r="C721" s="62" t="s">
        <v>8886</v>
      </c>
      <c r="F721" s="62" t="s">
        <v>1002</v>
      </c>
      <c r="G721" s="62" t="s">
        <v>56630</v>
      </c>
      <c r="J721" s="62" t="s">
        <v>8887</v>
      </c>
      <c r="K721" s="62" t="s">
        <v>56662</v>
      </c>
      <c r="L721" s="62" t="s">
        <v>8888</v>
      </c>
      <c r="M721" s="62" t="s">
        <v>8889</v>
      </c>
      <c r="N721" s="62" t="s">
        <v>8890</v>
      </c>
      <c r="O721" s="62" t="s">
        <v>8891</v>
      </c>
      <c r="P721" s="62" t="s">
        <v>56694</v>
      </c>
      <c r="Q721" s="62" t="s">
        <v>8892</v>
      </c>
      <c r="R721" s="62" t="s">
        <v>8893</v>
      </c>
      <c r="S721" s="62" t="s">
        <v>8894</v>
      </c>
      <c r="U721" s="62" t="s">
        <v>8895</v>
      </c>
      <c r="V721" s="62" t="s">
        <v>56726</v>
      </c>
      <c r="W721" s="62" t="s">
        <v>8896</v>
      </c>
      <c r="X721" s="62" t="s">
        <v>8897</v>
      </c>
      <c r="Y721" s="62" t="s">
        <v>8898</v>
      </c>
      <c r="Z721" s="62" t="s">
        <v>8899</v>
      </c>
      <c r="AA721" s="62" t="s">
        <v>56758</v>
      </c>
      <c r="AB721" s="62" t="s">
        <v>8900</v>
      </c>
      <c r="AC721" s="62" t="s">
        <v>8901</v>
      </c>
      <c r="AD721" s="62" t="s">
        <v>8902</v>
      </c>
    </row>
    <row r="722" spans="1:30" x14ac:dyDescent="0.25">
      <c r="A722" s="62" t="s">
        <v>109</v>
      </c>
      <c r="C722" s="62" t="s">
        <v>8903</v>
      </c>
      <c r="F722" s="62" t="s">
        <v>1012</v>
      </c>
      <c r="G722" s="62" t="s">
        <v>56631</v>
      </c>
      <c r="J722" s="62" t="s">
        <v>8904</v>
      </c>
      <c r="K722" s="62" t="s">
        <v>56663</v>
      </c>
      <c r="L722" s="62" t="s">
        <v>8905</v>
      </c>
      <c r="M722" s="62" t="s">
        <v>8906</v>
      </c>
      <c r="N722" s="62" t="s">
        <v>8907</v>
      </c>
      <c r="O722" s="62" t="s">
        <v>8908</v>
      </c>
      <c r="P722" s="62" t="s">
        <v>56695</v>
      </c>
      <c r="Q722" s="62" t="s">
        <v>8909</v>
      </c>
      <c r="R722" s="62" t="s">
        <v>8910</v>
      </c>
      <c r="S722" s="62" t="s">
        <v>8911</v>
      </c>
      <c r="U722" s="62" t="s">
        <v>8912</v>
      </c>
      <c r="V722" s="62" t="s">
        <v>56727</v>
      </c>
      <c r="W722" s="62" t="s">
        <v>8913</v>
      </c>
      <c r="X722" s="62" t="s">
        <v>8914</v>
      </c>
      <c r="Y722" s="62" t="s">
        <v>8915</v>
      </c>
      <c r="Z722" s="62" t="s">
        <v>8916</v>
      </c>
      <c r="AA722" s="62" t="s">
        <v>56759</v>
      </c>
      <c r="AB722" s="62" t="s">
        <v>8917</v>
      </c>
      <c r="AC722" s="62" t="s">
        <v>8918</v>
      </c>
      <c r="AD722" s="62" t="s">
        <v>8919</v>
      </c>
    </row>
    <row r="723" spans="1:30" x14ac:dyDescent="0.25">
      <c r="A723" s="62" t="s">
        <v>109</v>
      </c>
      <c r="C723" s="62" t="s">
        <v>8920</v>
      </c>
      <c r="F723" s="62" t="s">
        <v>1047</v>
      </c>
      <c r="G723" s="62" t="s">
        <v>56632</v>
      </c>
      <c r="J723" s="62" t="s">
        <v>8921</v>
      </c>
      <c r="K723" s="62" t="s">
        <v>56664</v>
      </c>
      <c r="L723" s="62" t="s">
        <v>8922</v>
      </c>
      <c r="M723" s="62" t="s">
        <v>8923</v>
      </c>
      <c r="N723" s="62" t="s">
        <v>8924</v>
      </c>
      <c r="O723" s="62" t="s">
        <v>8925</v>
      </c>
      <c r="P723" s="62" t="s">
        <v>56696</v>
      </c>
      <c r="Q723" s="62" t="s">
        <v>8926</v>
      </c>
      <c r="R723" s="62" t="s">
        <v>8927</v>
      </c>
      <c r="S723" s="62" t="s">
        <v>8928</v>
      </c>
      <c r="U723" s="62" t="s">
        <v>8929</v>
      </c>
      <c r="V723" s="62" t="s">
        <v>56728</v>
      </c>
      <c r="W723" s="62" t="s">
        <v>8930</v>
      </c>
      <c r="X723" s="62" t="s">
        <v>8931</v>
      </c>
      <c r="Y723" s="62" t="s">
        <v>8932</v>
      </c>
      <c r="Z723" s="62" t="s">
        <v>8933</v>
      </c>
      <c r="AA723" s="62" t="s">
        <v>56760</v>
      </c>
      <c r="AB723" s="62" t="s">
        <v>8934</v>
      </c>
      <c r="AC723" s="62" t="s">
        <v>8935</v>
      </c>
      <c r="AD723" s="62" t="s">
        <v>8936</v>
      </c>
    </row>
    <row r="724" spans="1:30" x14ac:dyDescent="0.25">
      <c r="A724" s="62" t="s">
        <v>109</v>
      </c>
      <c r="C724" s="62" t="s">
        <v>8937</v>
      </c>
      <c r="F724" s="62" t="s">
        <v>1064</v>
      </c>
      <c r="G724" s="62" t="s">
        <v>56633</v>
      </c>
      <c r="J724" s="62" t="s">
        <v>8938</v>
      </c>
      <c r="K724" s="62" t="s">
        <v>56665</v>
      </c>
      <c r="L724" s="62" t="s">
        <v>8939</v>
      </c>
      <c r="M724" s="62" t="s">
        <v>8940</v>
      </c>
      <c r="N724" s="62" t="s">
        <v>8941</v>
      </c>
      <c r="O724" s="62" t="s">
        <v>8942</v>
      </c>
      <c r="P724" s="62" t="s">
        <v>56697</v>
      </c>
      <c r="Q724" s="62" t="s">
        <v>8943</v>
      </c>
      <c r="R724" s="62" t="s">
        <v>8944</v>
      </c>
      <c r="S724" s="62" t="s">
        <v>8945</v>
      </c>
      <c r="U724" s="62" t="s">
        <v>8946</v>
      </c>
      <c r="V724" s="62" t="s">
        <v>56729</v>
      </c>
      <c r="W724" s="62" t="s">
        <v>8947</v>
      </c>
      <c r="X724" s="62" t="s">
        <v>8948</v>
      </c>
      <c r="Y724" s="62" t="s">
        <v>8949</v>
      </c>
      <c r="Z724" s="62" t="s">
        <v>8950</v>
      </c>
      <c r="AA724" s="62" t="s">
        <v>56761</v>
      </c>
      <c r="AB724" s="62" t="s">
        <v>8951</v>
      </c>
      <c r="AC724" s="62" t="s">
        <v>8952</v>
      </c>
      <c r="AD724" s="62" t="s">
        <v>8953</v>
      </c>
    </row>
    <row r="725" spans="1:30" x14ac:dyDescent="0.25">
      <c r="A725" s="62" t="s">
        <v>109</v>
      </c>
      <c r="C725" s="62" t="s">
        <v>8954</v>
      </c>
      <c r="F725" s="62" t="s">
        <v>1073</v>
      </c>
      <c r="G725" s="62" t="s">
        <v>56634</v>
      </c>
      <c r="J725" s="62" t="s">
        <v>8955</v>
      </c>
      <c r="K725" s="62" t="s">
        <v>56666</v>
      </c>
      <c r="L725" s="62" t="s">
        <v>8956</v>
      </c>
      <c r="M725" s="62" t="s">
        <v>8957</v>
      </c>
      <c r="N725" s="62" t="s">
        <v>8958</v>
      </c>
      <c r="O725" s="62" t="s">
        <v>8959</v>
      </c>
      <c r="P725" s="62" t="s">
        <v>56698</v>
      </c>
      <c r="Q725" s="62" t="s">
        <v>8960</v>
      </c>
      <c r="R725" s="62" t="s">
        <v>8961</v>
      </c>
      <c r="S725" s="62" t="s">
        <v>8962</v>
      </c>
      <c r="U725" s="62" t="s">
        <v>8963</v>
      </c>
      <c r="V725" s="62" t="s">
        <v>56730</v>
      </c>
      <c r="W725" s="62" t="s">
        <v>8964</v>
      </c>
      <c r="X725" s="62" t="s">
        <v>8965</v>
      </c>
      <c r="Y725" s="62" t="s">
        <v>8966</v>
      </c>
      <c r="Z725" s="62" t="s">
        <v>8967</v>
      </c>
      <c r="AA725" s="62" t="s">
        <v>56762</v>
      </c>
      <c r="AB725" s="62" t="s">
        <v>8968</v>
      </c>
      <c r="AC725" s="62" t="s">
        <v>8969</v>
      </c>
      <c r="AD725" s="62" t="s">
        <v>8970</v>
      </c>
    </row>
    <row r="726" spans="1:30" x14ac:dyDescent="0.25">
      <c r="A726" s="62" t="s">
        <v>109</v>
      </c>
      <c r="C726" s="62" t="s">
        <v>8971</v>
      </c>
      <c r="F726" s="62" t="s">
        <v>1090</v>
      </c>
      <c r="G726" s="62" t="s">
        <v>56635</v>
      </c>
      <c r="J726" s="62" t="s">
        <v>8972</v>
      </c>
      <c r="K726" s="62" t="s">
        <v>56667</v>
      </c>
      <c r="L726" s="62" t="s">
        <v>8973</v>
      </c>
      <c r="M726" s="62" t="s">
        <v>8974</v>
      </c>
      <c r="N726" s="62" t="s">
        <v>8975</v>
      </c>
      <c r="O726" s="62" t="s">
        <v>8976</v>
      </c>
      <c r="P726" s="62" t="s">
        <v>56699</v>
      </c>
      <c r="Q726" s="62" t="s">
        <v>8977</v>
      </c>
      <c r="R726" s="62" t="s">
        <v>8978</v>
      </c>
      <c r="S726" s="62" t="s">
        <v>8979</v>
      </c>
      <c r="U726" s="62" t="s">
        <v>8980</v>
      </c>
      <c r="V726" s="62" t="s">
        <v>56731</v>
      </c>
      <c r="W726" s="62" t="s">
        <v>8981</v>
      </c>
      <c r="X726" s="62" t="s">
        <v>8982</v>
      </c>
      <c r="Y726" s="62" t="s">
        <v>8983</v>
      </c>
      <c r="Z726" s="62" t="s">
        <v>8984</v>
      </c>
      <c r="AA726" s="62" t="s">
        <v>56763</v>
      </c>
      <c r="AB726" s="62" t="s">
        <v>8985</v>
      </c>
      <c r="AC726" s="62" t="s">
        <v>8986</v>
      </c>
      <c r="AD726" s="62" t="s">
        <v>8987</v>
      </c>
    </row>
    <row r="727" spans="1:30" x14ac:dyDescent="0.25">
      <c r="A727" s="62" t="s">
        <v>109</v>
      </c>
      <c r="C727" s="62" t="s">
        <v>8988</v>
      </c>
      <c r="F727" s="62" t="s">
        <v>1100</v>
      </c>
      <c r="G727" s="62" t="s">
        <v>56636</v>
      </c>
      <c r="J727" s="62" t="s">
        <v>8989</v>
      </c>
      <c r="K727" s="62" t="s">
        <v>56668</v>
      </c>
      <c r="L727" s="62" t="s">
        <v>8990</v>
      </c>
      <c r="M727" s="62" t="s">
        <v>8991</v>
      </c>
      <c r="N727" s="62" t="s">
        <v>8992</v>
      </c>
      <c r="O727" s="62" t="s">
        <v>8993</v>
      </c>
      <c r="P727" s="62" t="s">
        <v>56700</v>
      </c>
      <c r="Q727" s="62" t="s">
        <v>8994</v>
      </c>
      <c r="R727" s="62" t="s">
        <v>8995</v>
      </c>
      <c r="S727" s="62" t="s">
        <v>8996</v>
      </c>
      <c r="U727" s="62" t="s">
        <v>8997</v>
      </c>
      <c r="V727" s="62" t="s">
        <v>56732</v>
      </c>
      <c r="W727" s="62" t="s">
        <v>8998</v>
      </c>
      <c r="X727" s="62" t="s">
        <v>8999</v>
      </c>
      <c r="Y727" s="62" t="s">
        <v>9000</v>
      </c>
      <c r="Z727" s="62" t="s">
        <v>9001</v>
      </c>
      <c r="AA727" s="62" t="s">
        <v>56764</v>
      </c>
      <c r="AB727" s="62" t="s">
        <v>9002</v>
      </c>
      <c r="AC727" s="62" t="s">
        <v>9003</v>
      </c>
      <c r="AD727" s="62" t="s">
        <v>9004</v>
      </c>
    </row>
    <row r="728" spans="1:30" x14ac:dyDescent="0.25">
      <c r="A728" s="62" t="s">
        <v>109</v>
      </c>
      <c r="C728" s="62" t="s">
        <v>9005</v>
      </c>
      <c r="F728" s="62" t="s">
        <v>1118</v>
      </c>
      <c r="G728" s="62" t="s">
        <v>56637</v>
      </c>
      <c r="J728" s="62" t="s">
        <v>9006</v>
      </c>
      <c r="K728" s="62" t="s">
        <v>56669</v>
      </c>
      <c r="L728" s="62" t="s">
        <v>9007</v>
      </c>
      <c r="M728" s="62" t="s">
        <v>9008</v>
      </c>
      <c r="N728" s="62" t="s">
        <v>9009</v>
      </c>
      <c r="O728" s="62" t="s">
        <v>9010</v>
      </c>
      <c r="P728" s="62" t="s">
        <v>56701</v>
      </c>
      <c r="Q728" s="62" t="s">
        <v>9011</v>
      </c>
      <c r="R728" s="62" t="s">
        <v>9012</v>
      </c>
      <c r="S728" s="62" t="s">
        <v>9013</v>
      </c>
      <c r="U728" s="62" t="s">
        <v>9014</v>
      </c>
      <c r="V728" s="62" t="s">
        <v>56733</v>
      </c>
      <c r="W728" s="62" t="s">
        <v>9015</v>
      </c>
      <c r="X728" s="62" t="s">
        <v>9016</v>
      </c>
      <c r="Y728" s="62" t="s">
        <v>9017</v>
      </c>
      <c r="Z728" s="62" t="s">
        <v>9018</v>
      </c>
      <c r="AA728" s="62" t="s">
        <v>56765</v>
      </c>
      <c r="AB728" s="62" t="s">
        <v>9019</v>
      </c>
      <c r="AC728" s="62" t="s">
        <v>9020</v>
      </c>
      <c r="AD728" s="62" t="s">
        <v>9021</v>
      </c>
    </row>
    <row r="729" spans="1:30" x14ac:dyDescent="0.25">
      <c r="A729" s="62" t="s">
        <v>109</v>
      </c>
      <c r="C729" s="62" t="s">
        <v>9022</v>
      </c>
      <c r="F729" s="62" t="s">
        <v>1152</v>
      </c>
      <c r="G729" s="62" t="s">
        <v>56638</v>
      </c>
      <c r="J729" s="62" t="s">
        <v>9023</v>
      </c>
      <c r="K729" s="62" t="s">
        <v>56670</v>
      </c>
      <c r="L729" s="62" t="s">
        <v>9024</v>
      </c>
      <c r="M729" s="62" t="s">
        <v>9025</v>
      </c>
      <c r="N729" s="62" t="s">
        <v>9026</v>
      </c>
      <c r="O729" s="62" t="s">
        <v>9027</v>
      </c>
      <c r="P729" s="62" t="s">
        <v>56702</v>
      </c>
      <c r="Q729" s="62" t="s">
        <v>9028</v>
      </c>
      <c r="R729" s="62" t="s">
        <v>9029</v>
      </c>
      <c r="S729" s="62" t="s">
        <v>9030</v>
      </c>
      <c r="U729" s="62" t="s">
        <v>9031</v>
      </c>
      <c r="V729" s="62" t="s">
        <v>56734</v>
      </c>
      <c r="W729" s="62" t="s">
        <v>9032</v>
      </c>
      <c r="X729" s="62" t="s">
        <v>9033</v>
      </c>
      <c r="Y729" s="62" t="s">
        <v>9034</v>
      </c>
      <c r="Z729" s="62" t="s">
        <v>9035</v>
      </c>
      <c r="AA729" s="62" t="s">
        <v>56766</v>
      </c>
      <c r="AB729" s="62" t="s">
        <v>9036</v>
      </c>
      <c r="AC729" s="62" t="s">
        <v>9037</v>
      </c>
      <c r="AD729" s="62" t="s">
        <v>9038</v>
      </c>
    </row>
    <row r="730" spans="1:30" x14ac:dyDescent="0.25">
      <c r="A730" s="62" t="s">
        <v>109</v>
      </c>
      <c r="C730" s="62" t="s">
        <v>9039</v>
      </c>
      <c r="F730" s="62" t="s">
        <v>1161</v>
      </c>
      <c r="G730" s="62" t="s">
        <v>56639</v>
      </c>
      <c r="J730" s="62" t="s">
        <v>9040</v>
      </c>
      <c r="K730" s="62" t="s">
        <v>56671</v>
      </c>
      <c r="L730" s="62" t="s">
        <v>9041</v>
      </c>
      <c r="M730" s="62" t="s">
        <v>9042</v>
      </c>
      <c r="N730" s="62" t="s">
        <v>9043</v>
      </c>
      <c r="O730" s="62" t="s">
        <v>9044</v>
      </c>
      <c r="P730" s="62" t="s">
        <v>56703</v>
      </c>
      <c r="Q730" s="62" t="s">
        <v>9045</v>
      </c>
      <c r="R730" s="62" t="s">
        <v>9046</v>
      </c>
      <c r="S730" s="62" t="s">
        <v>9047</v>
      </c>
      <c r="U730" s="62" t="s">
        <v>9048</v>
      </c>
      <c r="V730" s="62" t="s">
        <v>56735</v>
      </c>
      <c r="W730" s="62" t="s">
        <v>9049</v>
      </c>
      <c r="X730" s="62" t="s">
        <v>9050</v>
      </c>
      <c r="Y730" s="62" t="s">
        <v>9051</v>
      </c>
      <c r="Z730" s="62" t="s">
        <v>9052</v>
      </c>
      <c r="AA730" s="62" t="s">
        <v>56767</v>
      </c>
      <c r="AB730" s="62" t="s">
        <v>9053</v>
      </c>
      <c r="AC730" s="62" t="s">
        <v>9054</v>
      </c>
      <c r="AD730" s="62" t="s">
        <v>9055</v>
      </c>
    </row>
    <row r="731" spans="1:30" x14ac:dyDescent="0.25">
      <c r="A731" s="62" t="s">
        <v>109</v>
      </c>
      <c r="C731" s="62" t="s">
        <v>9056</v>
      </c>
      <c r="F731" s="62" t="s">
        <v>1206</v>
      </c>
      <c r="G731" s="62" t="s">
        <v>56640</v>
      </c>
      <c r="J731" s="62" t="s">
        <v>9057</v>
      </c>
      <c r="K731" s="62" t="s">
        <v>56672</v>
      </c>
      <c r="L731" s="62" t="s">
        <v>9058</v>
      </c>
      <c r="M731" s="62" t="s">
        <v>9059</v>
      </c>
      <c r="N731" s="62" t="s">
        <v>9060</v>
      </c>
      <c r="O731" s="62" t="s">
        <v>9061</v>
      </c>
      <c r="P731" s="62" t="s">
        <v>56704</v>
      </c>
      <c r="Q731" s="62" t="s">
        <v>9062</v>
      </c>
      <c r="R731" s="62" t="s">
        <v>9063</v>
      </c>
      <c r="S731" s="62" t="s">
        <v>9064</v>
      </c>
      <c r="U731" s="62" t="s">
        <v>9065</v>
      </c>
      <c r="V731" s="62" t="s">
        <v>56736</v>
      </c>
      <c r="W731" s="62" t="s">
        <v>9066</v>
      </c>
      <c r="X731" s="62" t="s">
        <v>9067</v>
      </c>
      <c r="Y731" s="62" t="s">
        <v>9068</v>
      </c>
      <c r="Z731" s="62" t="s">
        <v>9069</v>
      </c>
      <c r="AA731" s="62" t="s">
        <v>56768</v>
      </c>
      <c r="AB731" s="62" t="s">
        <v>9070</v>
      </c>
      <c r="AC731" s="62" t="s">
        <v>9071</v>
      </c>
      <c r="AD731" s="62" t="s">
        <v>9072</v>
      </c>
    </row>
    <row r="732" spans="1:30" x14ac:dyDescent="0.25">
      <c r="A732" s="62" t="s">
        <v>109</v>
      </c>
      <c r="C732" s="62" t="s">
        <v>9073</v>
      </c>
      <c r="F732" s="62" t="s">
        <v>1223</v>
      </c>
      <c r="G732" s="62" t="s">
        <v>56641</v>
      </c>
      <c r="J732" s="62" t="s">
        <v>9074</v>
      </c>
      <c r="K732" s="62" t="s">
        <v>56673</v>
      </c>
      <c r="L732" s="62" t="s">
        <v>9075</v>
      </c>
      <c r="M732" s="62" t="s">
        <v>9076</v>
      </c>
      <c r="N732" s="62" t="s">
        <v>9077</v>
      </c>
      <c r="O732" s="62" t="s">
        <v>9078</v>
      </c>
      <c r="P732" s="62" t="s">
        <v>56705</v>
      </c>
      <c r="Q732" s="62" t="s">
        <v>9079</v>
      </c>
      <c r="R732" s="62" t="s">
        <v>9080</v>
      </c>
      <c r="S732" s="62" t="s">
        <v>9081</v>
      </c>
      <c r="U732" s="62" t="s">
        <v>9082</v>
      </c>
      <c r="V732" s="62" t="s">
        <v>56737</v>
      </c>
      <c r="W732" s="62" t="s">
        <v>9083</v>
      </c>
      <c r="X732" s="62" t="s">
        <v>9084</v>
      </c>
      <c r="Y732" s="62" t="s">
        <v>9085</v>
      </c>
      <c r="Z732" s="62" t="s">
        <v>9086</v>
      </c>
      <c r="AA732" s="62" t="s">
        <v>56769</v>
      </c>
      <c r="AB732" s="62" t="s">
        <v>9087</v>
      </c>
      <c r="AC732" s="62" t="s">
        <v>9088</v>
      </c>
      <c r="AD732" s="62" t="s">
        <v>9089</v>
      </c>
    </row>
    <row r="733" spans="1:30" x14ac:dyDescent="0.25">
      <c r="A733" s="62" t="s">
        <v>109</v>
      </c>
      <c r="C733" s="62" t="s">
        <v>9090</v>
      </c>
      <c r="F733" s="62" t="s">
        <v>1240</v>
      </c>
      <c r="G733" s="62" t="s">
        <v>56642</v>
      </c>
      <c r="J733" s="62" t="s">
        <v>9091</v>
      </c>
      <c r="K733" s="62" t="s">
        <v>56674</v>
      </c>
      <c r="L733" s="62" t="s">
        <v>9092</v>
      </c>
      <c r="M733" s="62" t="s">
        <v>9093</v>
      </c>
      <c r="N733" s="62" t="s">
        <v>9094</v>
      </c>
      <c r="O733" s="62" t="s">
        <v>9095</v>
      </c>
      <c r="P733" s="62" t="s">
        <v>56706</v>
      </c>
      <c r="Q733" s="62" t="s">
        <v>9096</v>
      </c>
      <c r="R733" s="62" t="s">
        <v>9097</v>
      </c>
      <c r="S733" s="62" t="s">
        <v>9098</v>
      </c>
      <c r="U733" s="62" t="s">
        <v>9099</v>
      </c>
      <c r="V733" s="62" t="s">
        <v>56738</v>
      </c>
      <c r="W733" s="62" t="s">
        <v>9100</v>
      </c>
      <c r="X733" s="62" t="s">
        <v>9101</v>
      </c>
      <c r="Y733" s="62" t="s">
        <v>9102</v>
      </c>
      <c r="Z733" s="62" t="s">
        <v>9103</v>
      </c>
      <c r="AA733" s="62" t="s">
        <v>56770</v>
      </c>
      <c r="AB733" s="62" t="s">
        <v>9104</v>
      </c>
      <c r="AC733" s="62" t="s">
        <v>9105</v>
      </c>
      <c r="AD733" s="62" t="s">
        <v>9106</v>
      </c>
    </row>
    <row r="734" spans="1:30" x14ac:dyDescent="0.25">
      <c r="A734" s="62" t="s">
        <v>109</v>
      </c>
      <c r="C734" s="62" t="s">
        <v>9107</v>
      </c>
      <c r="F734" s="62" t="s">
        <v>1277</v>
      </c>
      <c r="G734" s="62" t="s">
        <v>56643</v>
      </c>
      <c r="J734" s="62" t="s">
        <v>9108</v>
      </c>
      <c r="K734" s="62" t="s">
        <v>56675</v>
      </c>
      <c r="L734" s="62" t="s">
        <v>9109</v>
      </c>
      <c r="M734" s="62" t="s">
        <v>9110</v>
      </c>
      <c r="N734" s="62" t="s">
        <v>9111</v>
      </c>
      <c r="O734" s="62" t="s">
        <v>9112</v>
      </c>
      <c r="P734" s="62" t="s">
        <v>56707</v>
      </c>
      <c r="Q734" s="62" t="s">
        <v>9113</v>
      </c>
      <c r="R734" s="62" t="s">
        <v>9114</v>
      </c>
      <c r="S734" s="62" t="s">
        <v>9115</v>
      </c>
      <c r="U734" s="62" t="s">
        <v>9116</v>
      </c>
      <c r="V734" s="62" t="s">
        <v>56739</v>
      </c>
      <c r="W734" s="62" t="s">
        <v>9117</v>
      </c>
      <c r="X734" s="62" t="s">
        <v>9118</v>
      </c>
      <c r="Y734" s="62" t="s">
        <v>9119</v>
      </c>
      <c r="Z734" s="62" t="s">
        <v>9120</v>
      </c>
      <c r="AA734" s="62" t="s">
        <v>56771</v>
      </c>
      <c r="AB734" s="62" t="s">
        <v>9121</v>
      </c>
      <c r="AC734" s="62" t="s">
        <v>9122</v>
      </c>
      <c r="AD734" s="62" t="s">
        <v>9123</v>
      </c>
    </row>
    <row r="735" spans="1:30" x14ac:dyDescent="0.25">
      <c r="A735" s="62" t="s">
        <v>109</v>
      </c>
      <c r="C735" s="62" t="s">
        <v>9124</v>
      </c>
      <c r="F735" s="62" t="s">
        <v>1795</v>
      </c>
      <c r="G735" s="62" t="s">
        <v>56644</v>
      </c>
      <c r="J735" s="62" t="s">
        <v>9125</v>
      </c>
      <c r="K735" s="62" t="s">
        <v>56676</v>
      </c>
      <c r="L735" s="62" t="s">
        <v>9126</v>
      </c>
      <c r="M735" s="62" t="s">
        <v>9127</v>
      </c>
      <c r="N735" s="62" t="s">
        <v>9128</v>
      </c>
      <c r="O735" s="62" t="s">
        <v>9129</v>
      </c>
      <c r="P735" s="62" t="s">
        <v>56708</v>
      </c>
      <c r="Q735" s="62" t="s">
        <v>9130</v>
      </c>
      <c r="R735" s="62" t="s">
        <v>9131</v>
      </c>
      <c r="S735" s="62" t="s">
        <v>9132</v>
      </c>
      <c r="U735" s="62" t="s">
        <v>9133</v>
      </c>
      <c r="V735" s="62" t="s">
        <v>56740</v>
      </c>
      <c r="W735" s="62" t="s">
        <v>9134</v>
      </c>
      <c r="X735" s="62" t="s">
        <v>9135</v>
      </c>
      <c r="Y735" s="62" t="s">
        <v>9136</v>
      </c>
      <c r="Z735" s="62" t="s">
        <v>9137</v>
      </c>
      <c r="AA735" s="62" t="s">
        <v>56772</v>
      </c>
      <c r="AB735" s="62" t="s">
        <v>9138</v>
      </c>
      <c r="AC735" s="62" t="s">
        <v>9139</v>
      </c>
      <c r="AD735" s="62" t="s">
        <v>9140</v>
      </c>
    </row>
    <row r="736" spans="1:30" x14ac:dyDescent="0.25">
      <c r="A736" s="62" t="s">
        <v>109</v>
      </c>
      <c r="C736" s="62" t="s">
        <v>9141</v>
      </c>
      <c r="F736" s="62" t="s">
        <v>1286</v>
      </c>
      <c r="G736" s="62" t="s">
        <v>56645</v>
      </c>
      <c r="J736" s="62" t="s">
        <v>9142</v>
      </c>
      <c r="K736" s="62" t="s">
        <v>56677</v>
      </c>
      <c r="L736" s="62" t="s">
        <v>9143</v>
      </c>
      <c r="M736" s="62" t="s">
        <v>9144</v>
      </c>
      <c r="N736" s="62" t="s">
        <v>9145</v>
      </c>
      <c r="O736" s="62" t="s">
        <v>9146</v>
      </c>
      <c r="P736" s="62" t="s">
        <v>56709</v>
      </c>
      <c r="Q736" s="62" t="s">
        <v>9147</v>
      </c>
      <c r="R736" s="62" t="s">
        <v>9148</v>
      </c>
      <c r="S736" s="62" t="s">
        <v>9149</v>
      </c>
      <c r="U736" s="62" t="s">
        <v>9150</v>
      </c>
      <c r="V736" s="62" t="s">
        <v>56741</v>
      </c>
      <c r="W736" s="62" t="s">
        <v>9151</v>
      </c>
      <c r="X736" s="62" t="s">
        <v>9152</v>
      </c>
      <c r="Y736" s="62" t="s">
        <v>9153</v>
      </c>
      <c r="Z736" s="62" t="s">
        <v>9154</v>
      </c>
      <c r="AA736" s="62" t="s">
        <v>56773</v>
      </c>
      <c r="AB736" s="62" t="s">
        <v>9155</v>
      </c>
      <c r="AC736" s="62" t="s">
        <v>9156</v>
      </c>
      <c r="AD736" s="62" t="s">
        <v>9157</v>
      </c>
    </row>
    <row r="737" spans="1:30" x14ac:dyDescent="0.25">
      <c r="A737" s="62" t="s">
        <v>109</v>
      </c>
      <c r="C737" s="62" t="s">
        <v>9158</v>
      </c>
      <c r="F737" s="62" t="s">
        <v>1287</v>
      </c>
      <c r="G737" s="62" t="s">
        <v>56646</v>
      </c>
      <c r="J737" s="62" t="s">
        <v>9159</v>
      </c>
      <c r="K737" s="62" t="s">
        <v>56678</v>
      </c>
      <c r="L737" s="62" t="s">
        <v>9160</v>
      </c>
      <c r="M737" s="62" t="s">
        <v>9161</v>
      </c>
      <c r="N737" s="62" t="s">
        <v>9162</v>
      </c>
      <c r="O737" s="62" t="s">
        <v>9163</v>
      </c>
      <c r="P737" s="62" t="s">
        <v>56710</v>
      </c>
      <c r="Q737" s="62" t="s">
        <v>9164</v>
      </c>
      <c r="R737" s="62" t="s">
        <v>9165</v>
      </c>
      <c r="S737" s="62" t="s">
        <v>9166</v>
      </c>
      <c r="U737" s="62" t="s">
        <v>9167</v>
      </c>
      <c r="V737" s="62" t="s">
        <v>56742</v>
      </c>
      <c r="W737" s="62" t="s">
        <v>9168</v>
      </c>
      <c r="X737" s="62" t="s">
        <v>9169</v>
      </c>
      <c r="Y737" s="62" t="s">
        <v>9170</v>
      </c>
      <c r="Z737" s="62" t="s">
        <v>9171</v>
      </c>
      <c r="AA737" s="62" t="s">
        <v>56774</v>
      </c>
      <c r="AB737" s="62" t="s">
        <v>9172</v>
      </c>
      <c r="AC737" s="62" t="s">
        <v>9173</v>
      </c>
      <c r="AD737" s="62" t="s">
        <v>9174</v>
      </c>
    </row>
    <row r="738" spans="1:30" x14ac:dyDescent="0.25">
      <c r="A738" s="62" t="s">
        <v>109</v>
      </c>
      <c r="C738" s="62" t="s">
        <v>9175</v>
      </c>
      <c r="F738" s="62" t="s">
        <v>1797</v>
      </c>
      <c r="G738" s="62" t="s">
        <v>56647</v>
      </c>
      <c r="J738" s="62" t="s">
        <v>9176</v>
      </c>
      <c r="K738" s="62" t="s">
        <v>56679</v>
      </c>
      <c r="L738" s="62" t="s">
        <v>9177</v>
      </c>
      <c r="M738" s="62" t="s">
        <v>9178</v>
      </c>
      <c r="N738" s="62" t="s">
        <v>9179</v>
      </c>
      <c r="O738" s="62" t="s">
        <v>9180</v>
      </c>
      <c r="P738" s="62" t="s">
        <v>56711</v>
      </c>
      <c r="Q738" s="62" t="s">
        <v>9181</v>
      </c>
      <c r="R738" s="62" t="s">
        <v>9182</v>
      </c>
      <c r="S738" s="62" t="s">
        <v>9183</v>
      </c>
      <c r="U738" s="62" t="s">
        <v>9184</v>
      </c>
      <c r="V738" s="62" t="s">
        <v>56743</v>
      </c>
      <c r="W738" s="62" t="s">
        <v>9185</v>
      </c>
      <c r="X738" s="62" t="s">
        <v>9186</v>
      </c>
      <c r="Y738" s="62" t="s">
        <v>9187</v>
      </c>
      <c r="Z738" s="62" t="s">
        <v>9188</v>
      </c>
      <c r="AA738" s="62" t="s">
        <v>56775</v>
      </c>
      <c r="AB738" s="62" t="s">
        <v>9189</v>
      </c>
      <c r="AC738" s="62" t="s">
        <v>9190</v>
      </c>
      <c r="AD738" s="62" t="s">
        <v>9191</v>
      </c>
    </row>
    <row r="739" spans="1:30" x14ac:dyDescent="0.25">
      <c r="A739" s="62" t="s">
        <v>109</v>
      </c>
      <c r="C739" s="62" t="s">
        <v>9192</v>
      </c>
      <c r="F739" s="62" t="s">
        <v>1299</v>
      </c>
      <c r="G739" s="62" t="s">
        <v>56648</v>
      </c>
      <c r="J739" s="62" t="s">
        <v>9193</v>
      </c>
      <c r="K739" s="62" t="s">
        <v>56680</v>
      </c>
      <c r="L739" s="62" t="s">
        <v>9194</v>
      </c>
      <c r="M739" s="62" t="s">
        <v>9195</v>
      </c>
      <c r="N739" s="62" t="s">
        <v>9196</v>
      </c>
      <c r="O739" s="62" t="s">
        <v>9197</v>
      </c>
      <c r="P739" s="62" t="s">
        <v>56712</v>
      </c>
      <c r="Q739" s="62" t="s">
        <v>9198</v>
      </c>
      <c r="R739" s="62" t="s">
        <v>9199</v>
      </c>
      <c r="S739" s="62" t="s">
        <v>9200</v>
      </c>
      <c r="U739" s="62" t="s">
        <v>9201</v>
      </c>
      <c r="V739" s="62" t="s">
        <v>56744</v>
      </c>
      <c r="W739" s="62" t="s">
        <v>9202</v>
      </c>
      <c r="X739" s="62" t="s">
        <v>9203</v>
      </c>
      <c r="Y739" s="62" t="s">
        <v>9204</v>
      </c>
      <c r="Z739" s="62" t="s">
        <v>9205</v>
      </c>
      <c r="AA739" s="62" t="s">
        <v>56776</v>
      </c>
      <c r="AB739" s="62" t="s">
        <v>9206</v>
      </c>
      <c r="AC739" s="62" t="s">
        <v>9207</v>
      </c>
      <c r="AD739" s="62" t="s">
        <v>9208</v>
      </c>
    </row>
    <row r="740" spans="1:30" x14ac:dyDescent="0.25">
      <c r="A740" s="62" t="s">
        <v>109</v>
      </c>
      <c r="C740" s="62" t="s">
        <v>8740</v>
      </c>
    </row>
    <row r="741" spans="1:30" x14ac:dyDescent="0.25">
      <c r="A741" s="62" t="s">
        <v>109</v>
      </c>
      <c r="C741" s="62" t="s">
        <v>9209</v>
      </c>
      <c r="G741" s="62" t="s">
        <v>41453</v>
      </c>
      <c r="J741" s="62" t="s">
        <v>41454</v>
      </c>
      <c r="K741" s="62" t="s">
        <v>41455</v>
      </c>
      <c r="L741" s="62" t="s">
        <v>41456</v>
      </c>
      <c r="M741" s="62" t="s">
        <v>9210</v>
      </c>
      <c r="N741" s="62" t="s">
        <v>9211</v>
      </c>
      <c r="O741" s="62" t="s">
        <v>41457</v>
      </c>
      <c r="P741" s="62" t="s">
        <v>41458</v>
      </c>
      <c r="Q741" s="62" t="s">
        <v>41459</v>
      </c>
      <c r="R741" s="62" t="s">
        <v>9212</v>
      </c>
      <c r="S741" s="62" t="s">
        <v>9213</v>
      </c>
      <c r="U741" s="62" t="s">
        <v>41460</v>
      </c>
      <c r="V741" s="62" t="s">
        <v>41461</v>
      </c>
      <c r="W741" s="62" t="s">
        <v>41462</v>
      </c>
      <c r="X741" s="62" t="s">
        <v>9214</v>
      </c>
      <c r="Y741" s="62" t="s">
        <v>9215</v>
      </c>
      <c r="Z741" s="62" t="s">
        <v>41463</v>
      </c>
      <c r="AA741" s="62" t="s">
        <v>41464</v>
      </c>
      <c r="AB741" s="62" t="s">
        <v>41465</v>
      </c>
      <c r="AC741" s="62" t="s">
        <v>9216</v>
      </c>
      <c r="AD741" s="62" t="s">
        <v>9217</v>
      </c>
    </row>
    <row r="742" spans="1:30" x14ac:dyDescent="0.25">
      <c r="A742" s="62" t="s">
        <v>109</v>
      </c>
    </row>
    <row r="743" spans="1:30" x14ac:dyDescent="0.25">
      <c r="A743" s="62" t="s">
        <v>109</v>
      </c>
      <c r="C743" s="62" t="s">
        <v>41466</v>
      </c>
      <c r="E743" s="62" t="s">
        <v>2311</v>
      </c>
      <c r="G743" s="62" t="s">
        <v>41467</v>
      </c>
    </row>
    <row r="744" spans="1:30" x14ac:dyDescent="0.25">
      <c r="A744" s="62" t="s">
        <v>109</v>
      </c>
      <c r="C744" s="62" t="s">
        <v>9218</v>
      </c>
    </row>
    <row r="745" spans="1:30" x14ac:dyDescent="0.25">
      <c r="A745" s="62" t="s">
        <v>109</v>
      </c>
      <c r="C745" s="62" t="s">
        <v>9219</v>
      </c>
      <c r="F745" s="62" t="s">
        <v>41468</v>
      </c>
      <c r="G745" s="62" t="s">
        <v>56507</v>
      </c>
      <c r="J745" s="62" t="s">
        <v>9220</v>
      </c>
      <c r="K745" s="62" t="s">
        <v>56529</v>
      </c>
      <c r="L745" s="62" t="s">
        <v>9221</v>
      </c>
      <c r="M745" s="62" t="s">
        <v>9222</v>
      </c>
      <c r="N745" s="62" t="s">
        <v>9223</v>
      </c>
      <c r="O745" s="62" t="s">
        <v>9224</v>
      </c>
      <c r="P745" s="62" t="s">
        <v>56551</v>
      </c>
      <c r="Q745" s="62" t="s">
        <v>9225</v>
      </c>
      <c r="R745" s="62" t="s">
        <v>9226</v>
      </c>
      <c r="S745" s="62" t="s">
        <v>9227</v>
      </c>
      <c r="U745" s="62" t="s">
        <v>9228</v>
      </c>
      <c r="V745" s="62" t="s">
        <v>56573</v>
      </c>
      <c r="W745" s="62" t="s">
        <v>9229</v>
      </c>
      <c r="X745" s="62" t="s">
        <v>9230</v>
      </c>
      <c r="Y745" s="62" t="s">
        <v>9231</v>
      </c>
      <c r="Z745" s="62" t="s">
        <v>9232</v>
      </c>
      <c r="AA745" s="62" t="s">
        <v>56595</v>
      </c>
      <c r="AB745" s="62" t="s">
        <v>9233</v>
      </c>
      <c r="AC745" s="62" t="s">
        <v>9234</v>
      </c>
      <c r="AD745" s="62" t="s">
        <v>9235</v>
      </c>
    </row>
    <row r="746" spans="1:30" x14ac:dyDescent="0.25">
      <c r="A746" s="62" t="s">
        <v>109</v>
      </c>
      <c r="C746" s="62" t="s">
        <v>9236</v>
      </c>
      <c r="F746" s="62" t="s">
        <v>748</v>
      </c>
      <c r="G746" s="62" t="s">
        <v>56508</v>
      </c>
      <c r="J746" s="62" t="s">
        <v>9237</v>
      </c>
      <c r="K746" s="62" t="s">
        <v>56530</v>
      </c>
      <c r="L746" s="62" t="s">
        <v>9238</v>
      </c>
      <c r="M746" s="62" t="s">
        <v>9239</v>
      </c>
      <c r="N746" s="62" t="s">
        <v>9240</v>
      </c>
      <c r="O746" s="62" t="s">
        <v>9241</v>
      </c>
      <c r="P746" s="62" t="s">
        <v>56552</v>
      </c>
      <c r="Q746" s="62" t="s">
        <v>9242</v>
      </c>
      <c r="R746" s="62" t="s">
        <v>9243</v>
      </c>
      <c r="S746" s="62" t="s">
        <v>9244</v>
      </c>
      <c r="U746" s="62" t="s">
        <v>9245</v>
      </c>
      <c r="V746" s="62" t="s">
        <v>56574</v>
      </c>
      <c r="W746" s="62" t="s">
        <v>9246</v>
      </c>
      <c r="X746" s="62" t="s">
        <v>9247</v>
      </c>
      <c r="Y746" s="62" t="s">
        <v>9248</v>
      </c>
      <c r="Z746" s="62" t="s">
        <v>9249</v>
      </c>
      <c r="AA746" s="62" t="s">
        <v>56596</v>
      </c>
      <c r="AB746" s="62" t="s">
        <v>9250</v>
      </c>
      <c r="AC746" s="62" t="s">
        <v>9251</v>
      </c>
      <c r="AD746" s="62" t="s">
        <v>9252</v>
      </c>
    </row>
    <row r="747" spans="1:30" x14ac:dyDescent="0.25">
      <c r="A747" s="62" t="s">
        <v>109</v>
      </c>
      <c r="C747" s="62" t="s">
        <v>9253</v>
      </c>
      <c r="F747" s="62" t="s">
        <v>758</v>
      </c>
      <c r="G747" s="62" t="s">
        <v>56509</v>
      </c>
      <c r="J747" s="62" t="s">
        <v>9254</v>
      </c>
      <c r="K747" s="62" t="s">
        <v>56531</v>
      </c>
      <c r="L747" s="62" t="s">
        <v>9255</v>
      </c>
      <c r="M747" s="62" t="s">
        <v>9256</v>
      </c>
      <c r="N747" s="62" t="s">
        <v>9257</v>
      </c>
      <c r="O747" s="62" t="s">
        <v>9258</v>
      </c>
      <c r="P747" s="62" t="s">
        <v>56553</v>
      </c>
      <c r="Q747" s="62" t="s">
        <v>9259</v>
      </c>
      <c r="R747" s="62" t="s">
        <v>9260</v>
      </c>
      <c r="S747" s="62" t="s">
        <v>9261</v>
      </c>
      <c r="U747" s="62" t="s">
        <v>9262</v>
      </c>
      <c r="V747" s="62" t="s">
        <v>56575</v>
      </c>
      <c r="W747" s="62" t="s">
        <v>9263</v>
      </c>
      <c r="X747" s="62" t="s">
        <v>9264</v>
      </c>
      <c r="Y747" s="62" t="s">
        <v>9265</v>
      </c>
      <c r="Z747" s="62" t="s">
        <v>9266</v>
      </c>
      <c r="AA747" s="62" t="s">
        <v>56597</v>
      </c>
      <c r="AB747" s="62" t="s">
        <v>9267</v>
      </c>
      <c r="AC747" s="62" t="s">
        <v>9268</v>
      </c>
      <c r="AD747" s="62" t="s">
        <v>9269</v>
      </c>
    </row>
    <row r="748" spans="1:30" x14ac:dyDescent="0.25">
      <c r="A748" s="62" t="s">
        <v>109</v>
      </c>
      <c r="C748" s="62" t="s">
        <v>9270</v>
      </c>
      <c r="F748" s="62" t="s">
        <v>2135</v>
      </c>
      <c r="G748" s="62" t="s">
        <v>56510</v>
      </c>
      <c r="J748" s="62" t="s">
        <v>9271</v>
      </c>
      <c r="K748" s="62" t="s">
        <v>56532</v>
      </c>
      <c r="L748" s="62" t="s">
        <v>9272</v>
      </c>
      <c r="M748" s="62" t="s">
        <v>9273</v>
      </c>
      <c r="N748" s="62" t="s">
        <v>9274</v>
      </c>
      <c r="O748" s="62" t="s">
        <v>9275</v>
      </c>
      <c r="P748" s="62" t="s">
        <v>56554</v>
      </c>
      <c r="Q748" s="62" t="s">
        <v>9276</v>
      </c>
      <c r="R748" s="62" t="s">
        <v>9277</v>
      </c>
      <c r="S748" s="62" t="s">
        <v>9278</v>
      </c>
      <c r="U748" s="62" t="s">
        <v>9279</v>
      </c>
      <c r="V748" s="62" t="s">
        <v>56576</v>
      </c>
      <c r="W748" s="62" t="s">
        <v>9280</v>
      </c>
      <c r="X748" s="62" t="s">
        <v>9281</v>
      </c>
      <c r="Y748" s="62" t="s">
        <v>9282</v>
      </c>
      <c r="Z748" s="62" t="s">
        <v>9283</v>
      </c>
      <c r="AA748" s="62" t="s">
        <v>56598</v>
      </c>
      <c r="AB748" s="62" t="s">
        <v>9284</v>
      </c>
      <c r="AC748" s="62" t="s">
        <v>9285</v>
      </c>
      <c r="AD748" s="62" t="s">
        <v>9286</v>
      </c>
    </row>
    <row r="749" spans="1:30" x14ac:dyDescent="0.25">
      <c r="A749" s="62" t="s">
        <v>109</v>
      </c>
      <c r="C749" s="62" t="s">
        <v>9287</v>
      </c>
      <c r="F749" s="62" t="s">
        <v>2170</v>
      </c>
      <c r="G749" s="62" t="s">
        <v>56511</v>
      </c>
      <c r="J749" s="62" t="s">
        <v>9288</v>
      </c>
      <c r="K749" s="62" t="s">
        <v>56533</v>
      </c>
      <c r="L749" s="62" t="s">
        <v>9289</v>
      </c>
      <c r="M749" s="62" t="s">
        <v>9290</v>
      </c>
      <c r="N749" s="62" t="s">
        <v>9291</v>
      </c>
      <c r="O749" s="62" t="s">
        <v>9292</v>
      </c>
      <c r="P749" s="62" t="s">
        <v>56555</v>
      </c>
      <c r="Q749" s="62" t="s">
        <v>9293</v>
      </c>
      <c r="R749" s="62" t="s">
        <v>9294</v>
      </c>
      <c r="S749" s="62" t="s">
        <v>9295</v>
      </c>
      <c r="U749" s="62" t="s">
        <v>9296</v>
      </c>
      <c r="V749" s="62" t="s">
        <v>56577</v>
      </c>
      <c r="W749" s="62" t="s">
        <v>9297</v>
      </c>
      <c r="X749" s="62" t="s">
        <v>9298</v>
      </c>
      <c r="Y749" s="62" t="s">
        <v>9299</v>
      </c>
      <c r="Z749" s="62" t="s">
        <v>9300</v>
      </c>
      <c r="AA749" s="62" t="s">
        <v>56599</v>
      </c>
      <c r="AB749" s="62" t="s">
        <v>9301</v>
      </c>
      <c r="AC749" s="62" t="s">
        <v>9302</v>
      </c>
      <c r="AD749" s="62" t="s">
        <v>9303</v>
      </c>
    </row>
    <row r="750" spans="1:30" x14ac:dyDescent="0.25">
      <c r="A750" s="62" t="s">
        <v>109</v>
      </c>
      <c r="C750" s="62" t="s">
        <v>9304</v>
      </c>
      <c r="F750" s="62" t="s">
        <v>176</v>
      </c>
      <c r="G750" s="62" t="s">
        <v>56512</v>
      </c>
      <c r="J750" s="62" t="s">
        <v>9305</v>
      </c>
      <c r="K750" s="62" t="s">
        <v>56534</v>
      </c>
      <c r="L750" s="62" t="s">
        <v>9306</v>
      </c>
      <c r="M750" s="62" t="s">
        <v>9307</v>
      </c>
      <c r="N750" s="62" t="s">
        <v>9308</v>
      </c>
      <c r="O750" s="62" t="s">
        <v>9309</v>
      </c>
      <c r="P750" s="62" t="s">
        <v>56556</v>
      </c>
      <c r="Q750" s="62" t="s">
        <v>9310</v>
      </c>
      <c r="R750" s="62" t="s">
        <v>9311</v>
      </c>
      <c r="S750" s="62" t="s">
        <v>9312</v>
      </c>
      <c r="U750" s="62" t="s">
        <v>9313</v>
      </c>
      <c r="V750" s="62" t="s">
        <v>56578</v>
      </c>
      <c r="W750" s="62" t="s">
        <v>9314</v>
      </c>
      <c r="X750" s="62" t="s">
        <v>9315</v>
      </c>
      <c r="Y750" s="62" t="s">
        <v>9316</v>
      </c>
      <c r="Z750" s="62" t="s">
        <v>9317</v>
      </c>
      <c r="AA750" s="62" t="s">
        <v>56600</v>
      </c>
      <c r="AB750" s="62" t="s">
        <v>9318</v>
      </c>
      <c r="AC750" s="62" t="s">
        <v>9319</v>
      </c>
      <c r="AD750" s="62" t="s">
        <v>9320</v>
      </c>
    </row>
    <row r="751" spans="1:30" x14ac:dyDescent="0.25">
      <c r="A751" s="62" t="s">
        <v>109</v>
      </c>
      <c r="C751" s="62" t="s">
        <v>9321</v>
      </c>
      <c r="F751" s="62" t="s">
        <v>976</v>
      </c>
      <c r="G751" s="62" t="s">
        <v>56513</v>
      </c>
      <c r="J751" s="62" t="s">
        <v>9322</v>
      </c>
      <c r="K751" s="62" t="s">
        <v>56535</v>
      </c>
      <c r="L751" s="62" t="s">
        <v>9323</v>
      </c>
      <c r="M751" s="62" t="s">
        <v>9324</v>
      </c>
      <c r="N751" s="62" t="s">
        <v>9325</v>
      </c>
      <c r="O751" s="62" t="s">
        <v>9326</v>
      </c>
      <c r="P751" s="62" t="s">
        <v>56557</v>
      </c>
      <c r="Q751" s="62" t="s">
        <v>9327</v>
      </c>
      <c r="R751" s="62" t="s">
        <v>9328</v>
      </c>
      <c r="S751" s="62" t="s">
        <v>9329</v>
      </c>
      <c r="U751" s="62" t="s">
        <v>9330</v>
      </c>
      <c r="V751" s="62" t="s">
        <v>56579</v>
      </c>
      <c r="W751" s="62" t="s">
        <v>9331</v>
      </c>
      <c r="X751" s="62" t="s">
        <v>9332</v>
      </c>
      <c r="Y751" s="62" t="s">
        <v>9333</v>
      </c>
      <c r="Z751" s="62" t="s">
        <v>9334</v>
      </c>
      <c r="AA751" s="62" t="s">
        <v>56601</v>
      </c>
      <c r="AB751" s="62" t="s">
        <v>9335</v>
      </c>
      <c r="AC751" s="62" t="s">
        <v>9336</v>
      </c>
      <c r="AD751" s="62" t="s">
        <v>9337</v>
      </c>
    </row>
    <row r="752" spans="1:30" x14ac:dyDescent="0.25">
      <c r="A752" s="62" t="s">
        <v>109</v>
      </c>
      <c r="C752" s="62" t="s">
        <v>9338</v>
      </c>
      <c r="F752" s="62" t="s">
        <v>2212</v>
      </c>
      <c r="G752" s="62" t="s">
        <v>56514</v>
      </c>
      <c r="J752" s="62" t="s">
        <v>9339</v>
      </c>
      <c r="K752" s="62" t="s">
        <v>56536</v>
      </c>
      <c r="L752" s="62" t="s">
        <v>9340</v>
      </c>
      <c r="M752" s="62" t="s">
        <v>9341</v>
      </c>
      <c r="N752" s="62" t="s">
        <v>9342</v>
      </c>
      <c r="O752" s="62" t="s">
        <v>9343</v>
      </c>
      <c r="P752" s="62" t="s">
        <v>56558</v>
      </c>
      <c r="Q752" s="62" t="s">
        <v>9344</v>
      </c>
      <c r="R752" s="62" t="s">
        <v>9345</v>
      </c>
      <c r="S752" s="62" t="s">
        <v>9346</v>
      </c>
      <c r="U752" s="62" t="s">
        <v>9347</v>
      </c>
      <c r="V752" s="62" t="s">
        <v>56580</v>
      </c>
      <c r="W752" s="62" t="s">
        <v>9348</v>
      </c>
      <c r="X752" s="62" t="s">
        <v>9349</v>
      </c>
      <c r="Y752" s="62" t="s">
        <v>9350</v>
      </c>
      <c r="Z752" s="62" t="s">
        <v>9351</v>
      </c>
      <c r="AA752" s="62" t="s">
        <v>56602</v>
      </c>
      <c r="AB752" s="62" t="s">
        <v>9352</v>
      </c>
      <c r="AC752" s="62" t="s">
        <v>9353</v>
      </c>
      <c r="AD752" s="62" t="s">
        <v>9354</v>
      </c>
    </row>
    <row r="753" spans="1:30" x14ac:dyDescent="0.25">
      <c r="A753" s="62" t="s">
        <v>109</v>
      </c>
      <c r="C753" s="62" t="s">
        <v>9355</v>
      </c>
      <c r="F753" s="62" t="s">
        <v>193</v>
      </c>
      <c r="G753" s="62" t="s">
        <v>56515</v>
      </c>
      <c r="J753" s="62" t="s">
        <v>9356</v>
      </c>
      <c r="K753" s="62" t="s">
        <v>56537</v>
      </c>
      <c r="L753" s="62" t="s">
        <v>9357</v>
      </c>
      <c r="M753" s="62" t="s">
        <v>9358</v>
      </c>
      <c r="N753" s="62" t="s">
        <v>9359</v>
      </c>
      <c r="O753" s="62" t="s">
        <v>9360</v>
      </c>
      <c r="P753" s="62" t="s">
        <v>56559</v>
      </c>
      <c r="Q753" s="62" t="s">
        <v>9361</v>
      </c>
      <c r="R753" s="62" t="s">
        <v>9362</v>
      </c>
      <c r="S753" s="62" t="s">
        <v>9363</v>
      </c>
      <c r="U753" s="62" t="s">
        <v>9364</v>
      </c>
      <c r="V753" s="62" t="s">
        <v>56581</v>
      </c>
      <c r="W753" s="62" t="s">
        <v>9365</v>
      </c>
      <c r="X753" s="62" t="s">
        <v>9366</v>
      </c>
      <c r="Y753" s="62" t="s">
        <v>9367</v>
      </c>
      <c r="Z753" s="62" t="s">
        <v>9368</v>
      </c>
      <c r="AA753" s="62" t="s">
        <v>56603</v>
      </c>
      <c r="AB753" s="62" t="s">
        <v>9369</v>
      </c>
      <c r="AC753" s="62" t="s">
        <v>9370</v>
      </c>
      <c r="AD753" s="62" t="s">
        <v>9371</v>
      </c>
    </row>
    <row r="754" spans="1:30" x14ac:dyDescent="0.25">
      <c r="A754" s="62" t="s">
        <v>109</v>
      </c>
      <c r="C754" s="62" t="s">
        <v>9372</v>
      </c>
      <c r="F754" s="62" t="s">
        <v>2222</v>
      </c>
      <c r="G754" s="62" t="s">
        <v>56516</v>
      </c>
      <c r="J754" s="62" t="s">
        <v>9373</v>
      </c>
      <c r="K754" s="62" t="s">
        <v>56538</v>
      </c>
      <c r="L754" s="62" t="s">
        <v>9374</v>
      </c>
      <c r="M754" s="62" t="s">
        <v>9375</v>
      </c>
      <c r="N754" s="62" t="s">
        <v>9376</v>
      </c>
      <c r="O754" s="62" t="s">
        <v>9377</v>
      </c>
      <c r="P754" s="62" t="s">
        <v>56560</v>
      </c>
      <c r="Q754" s="62" t="s">
        <v>9378</v>
      </c>
      <c r="R754" s="62" t="s">
        <v>9379</v>
      </c>
      <c r="S754" s="62" t="s">
        <v>9380</v>
      </c>
      <c r="U754" s="62" t="s">
        <v>9381</v>
      </c>
      <c r="V754" s="62" t="s">
        <v>56582</v>
      </c>
      <c r="W754" s="62" t="s">
        <v>9382</v>
      </c>
      <c r="X754" s="62" t="s">
        <v>9383</v>
      </c>
      <c r="Y754" s="62" t="s">
        <v>9384</v>
      </c>
      <c r="Z754" s="62" t="s">
        <v>9385</v>
      </c>
      <c r="AA754" s="62" t="s">
        <v>56604</v>
      </c>
      <c r="AB754" s="62" t="s">
        <v>9386</v>
      </c>
      <c r="AC754" s="62" t="s">
        <v>9387</v>
      </c>
      <c r="AD754" s="62" t="s">
        <v>9388</v>
      </c>
    </row>
    <row r="755" spans="1:30" x14ac:dyDescent="0.25">
      <c r="A755" s="62" t="s">
        <v>109</v>
      </c>
      <c r="C755" s="62" t="s">
        <v>9389</v>
      </c>
      <c r="F755" s="62" t="s">
        <v>2240</v>
      </c>
      <c r="G755" s="62" t="s">
        <v>56517</v>
      </c>
      <c r="J755" s="62" t="s">
        <v>9390</v>
      </c>
      <c r="K755" s="62" t="s">
        <v>56539</v>
      </c>
      <c r="L755" s="62" t="s">
        <v>9391</v>
      </c>
      <c r="M755" s="62" t="s">
        <v>9392</v>
      </c>
      <c r="N755" s="62" t="s">
        <v>9393</v>
      </c>
      <c r="O755" s="62" t="s">
        <v>9394</v>
      </c>
      <c r="P755" s="62" t="s">
        <v>56561</v>
      </c>
      <c r="Q755" s="62" t="s">
        <v>9395</v>
      </c>
      <c r="R755" s="62" t="s">
        <v>9396</v>
      </c>
      <c r="S755" s="62" t="s">
        <v>9397</v>
      </c>
      <c r="U755" s="62" t="s">
        <v>9398</v>
      </c>
      <c r="V755" s="62" t="s">
        <v>56583</v>
      </c>
      <c r="W755" s="62" t="s">
        <v>9399</v>
      </c>
      <c r="X755" s="62" t="s">
        <v>9400</v>
      </c>
      <c r="Y755" s="62" t="s">
        <v>9401</v>
      </c>
      <c r="Z755" s="62" t="s">
        <v>9402</v>
      </c>
      <c r="AA755" s="62" t="s">
        <v>56605</v>
      </c>
      <c r="AB755" s="62" t="s">
        <v>9403</v>
      </c>
      <c r="AC755" s="62" t="s">
        <v>9404</v>
      </c>
      <c r="AD755" s="62" t="s">
        <v>9405</v>
      </c>
    </row>
    <row r="756" spans="1:30" x14ac:dyDescent="0.25">
      <c r="A756" s="62" t="s">
        <v>109</v>
      </c>
      <c r="C756" s="62" t="s">
        <v>9406</v>
      </c>
      <c r="F756" s="62" t="s">
        <v>236</v>
      </c>
      <c r="G756" s="62" t="s">
        <v>56518</v>
      </c>
      <c r="J756" s="62" t="s">
        <v>9407</v>
      </c>
      <c r="K756" s="62" t="s">
        <v>56540</v>
      </c>
      <c r="L756" s="62" t="s">
        <v>9408</v>
      </c>
      <c r="M756" s="62" t="s">
        <v>9409</v>
      </c>
      <c r="N756" s="62" t="s">
        <v>9410</v>
      </c>
      <c r="O756" s="62" t="s">
        <v>9411</v>
      </c>
      <c r="P756" s="62" t="s">
        <v>56562</v>
      </c>
      <c r="Q756" s="62" t="s">
        <v>9412</v>
      </c>
      <c r="R756" s="62" t="s">
        <v>9413</v>
      </c>
      <c r="S756" s="62" t="s">
        <v>9414</v>
      </c>
      <c r="U756" s="62" t="s">
        <v>9415</v>
      </c>
      <c r="V756" s="62" t="s">
        <v>56584</v>
      </c>
      <c r="W756" s="62" t="s">
        <v>9416</v>
      </c>
      <c r="X756" s="62" t="s">
        <v>9417</v>
      </c>
      <c r="Y756" s="62" t="s">
        <v>9418</v>
      </c>
      <c r="Z756" s="62" t="s">
        <v>9419</v>
      </c>
      <c r="AA756" s="62" t="s">
        <v>56606</v>
      </c>
      <c r="AB756" s="62" t="s">
        <v>9420</v>
      </c>
      <c r="AC756" s="62" t="s">
        <v>9421</v>
      </c>
      <c r="AD756" s="62" t="s">
        <v>9422</v>
      </c>
    </row>
    <row r="757" spans="1:30" x14ac:dyDescent="0.25">
      <c r="A757" s="62" t="s">
        <v>109</v>
      </c>
      <c r="C757" s="62" t="s">
        <v>9423</v>
      </c>
      <c r="F757" s="62" t="s">
        <v>237</v>
      </c>
      <c r="G757" s="62" t="s">
        <v>56519</v>
      </c>
      <c r="J757" s="62" t="s">
        <v>9424</v>
      </c>
      <c r="K757" s="62" t="s">
        <v>56541</v>
      </c>
      <c r="L757" s="62" t="s">
        <v>9425</v>
      </c>
      <c r="M757" s="62" t="s">
        <v>9426</v>
      </c>
      <c r="N757" s="62" t="s">
        <v>9427</v>
      </c>
      <c r="O757" s="62" t="s">
        <v>9428</v>
      </c>
      <c r="P757" s="62" t="s">
        <v>56563</v>
      </c>
      <c r="Q757" s="62" t="s">
        <v>9429</v>
      </c>
      <c r="R757" s="62" t="s">
        <v>9430</v>
      </c>
      <c r="S757" s="62" t="s">
        <v>9431</v>
      </c>
      <c r="U757" s="62" t="s">
        <v>9432</v>
      </c>
      <c r="V757" s="62" t="s">
        <v>56585</v>
      </c>
      <c r="W757" s="62" t="s">
        <v>9433</v>
      </c>
      <c r="X757" s="62" t="s">
        <v>9434</v>
      </c>
      <c r="Y757" s="62" t="s">
        <v>9435</v>
      </c>
      <c r="Z757" s="62" t="s">
        <v>9436</v>
      </c>
      <c r="AA757" s="62" t="s">
        <v>56607</v>
      </c>
      <c r="AB757" s="62" t="s">
        <v>9437</v>
      </c>
      <c r="AC757" s="62" t="s">
        <v>9438</v>
      </c>
      <c r="AD757" s="62" t="s">
        <v>9439</v>
      </c>
    </row>
    <row r="758" spans="1:30" x14ac:dyDescent="0.25">
      <c r="A758" s="62" t="s">
        <v>109</v>
      </c>
      <c r="C758" s="62" t="s">
        <v>9440</v>
      </c>
      <c r="F758" s="62" t="s">
        <v>4942</v>
      </c>
      <c r="G758" s="62" t="s">
        <v>56520</v>
      </c>
      <c r="J758" s="62" t="s">
        <v>9441</v>
      </c>
      <c r="K758" s="62" t="s">
        <v>56542</v>
      </c>
      <c r="L758" s="62" t="s">
        <v>9442</v>
      </c>
      <c r="M758" s="62" t="s">
        <v>9443</v>
      </c>
      <c r="N758" s="62" t="s">
        <v>9444</v>
      </c>
      <c r="O758" s="62" t="s">
        <v>9445</v>
      </c>
      <c r="P758" s="62" t="s">
        <v>56564</v>
      </c>
      <c r="Q758" s="62" t="s">
        <v>9446</v>
      </c>
      <c r="R758" s="62" t="s">
        <v>9447</v>
      </c>
      <c r="S758" s="62" t="s">
        <v>9448</v>
      </c>
      <c r="U758" s="62" t="s">
        <v>9449</v>
      </c>
      <c r="V758" s="62" t="s">
        <v>56586</v>
      </c>
      <c r="W758" s="62" t="s">
        <v>9450</v>
      </c>
      <c r="X758" s="62" t="s">
        <v>9451</v>
      </c>
      <c r="Y758" s="62" t="s">
        <v>9452</v>
      </c>
      <c r="Z758" s="62" t="s">
        <v>9453</v>
      </c>
      <c r="AA758" s="62" t="s">
        <v>56608</v>
      </c>
      <c r="AB758" s="62" t="s">
        <v>9454</v>
      </c>
      <c r="AC758" s="62" t="s">
        <v>9455</v>
      </c>
      <c r="AD758" s="62" t="s">
        <v>9456</v>
      </c>
    </row>
    <row r="759" spans="1:30" x14ac:dyDescent="0.25">
      <c r="A759" s="62" t="s">
        <v>109</v>
      </c>
      <c r="C759" s="62" t="s">
        <v>9457</v>
      </c>
      <c r="F759" s="62" t="s">
        <v>2310</v>
      </c>
      <c r="G759" s="62" t="s">
        <v>56521</v>
      </c>
      <c r="J759" s="62" t="s">
        <v>9458</v>
      </c>
      <c r="K759" s="62" t="s">
        <v>56543</v>
      </c>
      <c r="L759" s="62" t="s">
        <v>9459</v>
      </c>
      <c r="M759" s="62" t="s">
        <v>9460</v>
      </c>
      <c r="N759" s="62" t="s">
        <v>9461</v>
      </c>
      <c r="O759" s="62" t="s">
        <v>9462</v>
      </c>
      <c r="P759" s="62" t="s">
        <v>56565</v>
      </c>
      <c r="Q759" s="62" t="s">
        <v>9463</v>
      </c>
      <c r="R759" s="62" t="s">
        <v>9464</v>
      </c>
      <c r="S759" s="62" t="s">
        <v>9465</v>
      </c>
      <c r="U759" s="62" t="s">
        <v>9466</v>
      </c>
      <c r="V759" s="62" t="s">
        <v>56587</v>
      </c>
      <c r="W759" s="62" t="s">
        <v>9467</v>
      </c>
      <c r="X759" s="62" t="s">
        <v>9468</v>
      </c>
      <c r="Y759" s="62" t="s">
        <v>9469</v>
      </c>
      <c r="Z759" s="62" t="s">
        <v>9470</v>
      </c>
      <c r="AA759" s="62" t="s">
        <v>56609</v>
      </c>
      <c r="AB759" s="62" t="s">
        <v>9471</v>
      </c>
      <c r="AC759" s="62" t="s">
        <v>9472</v>
      </c>
      <c r="AD759" s="62" t="s">
        <v>9473</v>
      </c>
    </row>
    <row r="760" spans="1:30" x14ac:dyDescent="0.25">
      <c r="A760" s="62" t="s">
        <v>109</v>
      </c>
      <c r="C760" s="62" t="s">
        <v>9474</v>
      </c>
      <c r="F760" s="62" t="s">
        <v>271</v>
      </c>
      <c r="G760" s="62" t="s">
        <v>56522</v>
      </c>
      <c r="J760" s="62" t="s">
        <v>9475</v>
      </c>
      <c r="K760" s="62" t="s">
        <v>56544</v>
      </c>
      <c r="L760" s="62" t="s">
        <v>9476</v>
      </c>
      <c r="M760" s="62" t="s">
        <v>9477</v>
      </c>
      <c r="N760" s="62" t="s">
        <v>9478</v>
      </c>
      <c r="O760" s="62" t="s">
        <v>9479</v>
      </c>
      <c r="P760" s="62" t="s">
        <v>56566</v>
      </c>
      <c r="Q760" s="62" t="s">
        <v>9480</v>
      </c>
      <c r="R760" s="62" t="s">
        <v>9481</v>
      </c>
      <c r="S760" s="62" t="s">
        <v>9482</v>
      </c>
      <c r="U760" s="62" t="s">
        <v>9483</v>
      </c>
      <c r="V760" s="62" t="s">
        <v>56588</v>
      </c>
      <c r="W760" s="62" t="s">
        <v>9484</v>
      </c>
      <c r="X760" s="62" t="s">
        <v>9485</v>
      </c>
      <c r="Y760" s="62" t="s">
        <v>9486</v>
      </c>
      <c r="Z760" s="62" t="s">
        <v>9487</v>
      </c>
      <c r="AA760" s="62" t="s">
        <v>56610</v>
      </c>
      <c r="AB760" s="62" t="s">
        <v>9488</v>
      </c>
      <c r="AC760" s="62" t="s">
        <v>9489</v>
      </c>
      <c r="AD760" s="62" t="s">
        <v>9490</v>
      </c>
    </row>
    <row r="761" spans="1:30" x14ac:dyDescent="0.25">
      <c r="A761" s="62" t="s">
        <v>109</v>
      </c>
      <c r="C761" s="62" t="s">
        <v>41469</v>
      </c>
      <c r="F761" s="62" t="s">
        <v>3185</v>
      </c>
      <c r="G761" s="62" t="s">
        <v>56523</v>
      </c>
      <c r="J761" s="62" t="s">
        <v>41470</v>
      </c>
      <c r="K761" s="62" t="s">
        <v>56545</v>
      </c>
      <c r="L761" s="62" t="s">
        <v>41471</v>
      </c>
      <c r="M761" s="62" t="s">
        <v>41472</v>
      </c>
      <c r="N761" s="62" t="s">
        <v>41473</v>
      </c>
      <c r="O761" s="62" t="s">
        <v>41474</v>
      </c>
      <c r="P761" s="62" t="s">
        <v>56567</v>
      </c>
      <c r="Q761" s="62" t="s">
        <v>41475</v>
      </c>
      <c r="R761" s="62" t="s">
        <v>41476</v>
      </c>
      <c r="S761" s="62" t="s">
        <v>41477</v>
      </c>
      <c r="U761" s="62" t="s">
        <v>41478</v>
      </c>
      <c r="V761" s="62" t="s">
        <v>56589</v>
      </c>
      <c r="W761" s="62" t="s">
        <v>41479</v>
      </c>
      <c r="X761" s="62" t="s">
        <v>41480</v>
      </c>
      <c r="Y761" s="62" t="s">
        <v>41481</v>
      </c>
      <c r="Z761" s="62" t="s">
        <v>41482</v>
      </c>
      <c r="AA761" s="62" t="s">
        <v>56611</v>
      </c>
      <c r="AB761" s="62" t="s">
        <v>41483</v>
      </c>
      <c r="AC761" s="62" t="s">
        <v>41484</v>
      </c>
      <c r="AD761" s="62" t="s">
        <v>41485</v>
      </c>
    </row>
    <row r="762" spans="1:30" x14ac:dyDescent="0.25">
      <c r="A762" s="62" t="s">
        <v>109</v>
      </c>
      <c r="C762" s="62" t="s">
        <v>9491</v>
      </c>
      <c r="F762" s="62" t="s">
        <v>2464</v>
      </c>
      <c r="G762" s="62" t="s">
        <v>56524</v>
      </c>
      <c r="J762" s="62" t="s">
        <v>41486</v>
      </c>
      <c r="K762" s="62" t="s">
        <v>56546</v>
      </c>
      <c r="L762" s="62" t="s">
        <v>41487</v>
      </c>
      <c r="M762" s="62" t="s">
        <v>9492</v>
      </c>
      <c r="N762" s="62" t="s">
        <v>9493</v>
      </c>
      <c r="O762" s="62" t="s">
        <v>41488</v>
      </c>
      <c r="P762" s="62" t="s">
        <v>56568</v>
      </c>
      <c r="Q762" s="62" t="s">
        <v>41489</v>
      </c>
      <c r="R762" s="62" t="s">
        <v>9494</v>
      </c>
      <c r="S762" s="62" t="s">
        <v>9495</v>
      </c>
      <c r="U762" s="62" t="s">
        <v>41490</v>
      </c>
      <c r="V762" s="62" t="s">
        <v>56590</v>
      </c>
      <c r="W762" s="62" t="s">
        <v>41491</v>
      </c>
      <c r="X762" s="62" t="s">
        <v>9496</v>
      </c>
      <c r="Y762" s="62" t="s">
        <v>9497</v>
      </c>
      <c r="Z762" s="62" t="s">
        <v>41492</v>
      </c>
      <c r="AA762" s="62" t="s">
        <v>56612</v>
      </c>
      <c r="AB762" s="62" t="s">
        <v>41493</v>
      </c>
      <c r="AC762" s="62" t="s">
        <v>9498</v>
      </c>
      <c r="AD762" s="62" t="s">
        <v>9499</v>
      </c>
    </row>
    <row r="763" spans="1:30" x14ac:dyDescent="0.25">
      <c r="A763" s="62" t="s">
        <v>109</v>
      </c>
      <c r="C763" s="62" t="s">
        <v>41494</v>
      </c>
      <c r="F763" s="62" t="s">
        <v>1100</v>
      </c>
      <c r="G763" s="62" t="s">
        <v>56525</v>
      </c>
      <c r="J763" s="62" t="s">
        <v>41495</v>
      </c>
      <c r="K763" s="62" t="s">
        <v>56547</v>
      </c>
      <c r="L763" s="62" t="s">
        <v>41496</v>
      </c>
      <c r="M763" s="62" t="s">
        <v>41497</v>
      </c>
      <c r="N763" s="62" t="s">
        <v>41498</v>
      </c>
      <c r="O763" s="62" t="s">
        <v>41499</v>
      </c>
      <c r="P763" s="62" t="s">
        <v>56569</v>
      </c>
      <c r="Q763" s="62" t="s">
        <v>41500</v>
      </c>
      <c r="R763" s="62" t="s">
        <v>41501</v>
      </c>
      <c r="S763" s="62" t="s">
        <v>41502</v>
      </c>
      <c r="U763" s="62" t="s">
        <v>41503</v>
      </c>
      <c r="V763" s="62" t="s">
        <v>56591</v>
      </c>
      <c r="W763" s="62" t="s">
        <v>41504</v>
      </c>
      <c r="X763" s="62" t="s">
        <v>41505</v>
      </c>
      <c r="Y763" s="62" t="s">
        <v>41506</v>
      </c>
      <c r="Z763" s="62" t="s">
        <v>41507</v>
      </c>
      <c r="AA763" s="62" t="s">
        <v>56613</v>
      </c>
      <c r="AB763" s="62" t="s">
        <v>41508</v>
      </c>
      <c r="AC763" s="62" t="s">
        <v>41509</v>
      </c>
      <c r="AD763" s="62" t="s">
        <v>41510</v>
      </c>
    </row>
    <row r="764" spans="1:30" x14ac:dyDescent="0.25">
      <c r="A764" s="62" t="s">
        <v>109</v>
      </c>
      <c r="C764" s="62" t="s">
        <v>41511</v>
      </c>
      <c r="F764" s="62" t="s">
        <v>2337</v>
      </c>
      <c r="G764" s="62" t="s">
        <v>56526</v>
      </c>
      <c r="J764" s="62" t="s">
        <v>41512</v>
      </c>
      <c r="K764" s="62" t="s">
        <v>56548</v>
      </c>
      <c r="L764" s="62" t="s">
        <v>41513</v>
      </c>
      <c r="M764" s="62" t="s">
        <v>41514</v>
      </c>
      <c r="N764" s="62" t="s">
        <v>41515</v>
      </c>
      <c r="O764" s="62" t="s">
        <v>41516</v>
      </c>
      <c r="P764" s="62" t="s">
        <v>56570</v>
      </c>
      <c r="Q764" s="62" t="s">
        <v>41517</v>
      </c>
      <c r="R764" s="62" t="s">
        <v>41518</v>
      </c>
      <c r="S764" s="62" t="s">
        <v>41519</v>
      </c>
      <c r="U764" s="62" t="s">
        <v>41520</v>
      </c>
      <c r="V764" s="62" t="s">
        <v>56592</v>
      </c>
      <c r="W764" s="62" t="s">
        <v>41521</v>
      </c>
      <c r="X764" s="62" t="s">
        <v>41522</v>
      </c>
      <c r="Y764" s="62" t="s">
        <v>41523</v>
      </c>
      <c r="Z764" s="62" t="s">
        <v>41524</v>
      </c>
      <c r="AA764" s="62" t="s">
        <v>56614</v>
      </c>
      <c r="AB764" s="62" t="s">
        <v>41525</v>
      </c>
      <c r="AC764" s="62" t="s">
        <v>41526</v>
      </c>
      <c r="AD764" s="62" t="s">
        <v>41527</v>
      </c>
    </row>
    <row r="765" spans="1:30" x14ac:dyDescent="0.25">
      <c r="A765" s="62" t="s">
        <v>109</v>
      </c>
      <c r="C765" s="62" t="s">
        <v>9500</v>
      </c>
      <c r="F765" s="62" t="s">
        <v>2355</v>
      </c>
      <c r="G765" s="62" t="s">
        <v>56527</v>
      </c>
      <c r="J765" s="62" t="s">
        <v>41528</v>
      </c>
      <c r="K765" s="62" t="s">
        <v>56549</v>
      </c>
      <c r="L765" s="62" t="s">
        <v>41529</v>
      </c>
      <c r="M765" s="62" t="s">
        <v>41530</v>
      </c>
      <c r="N765" s="62" t="s">
        <v>41531</v>
      </c>
      <c r="O765" s="62" t="s">
        <v>41532</v>
      </c>
      <c r="P765" s="62" t="s">
        <v>56571</v>
      </c>
      <c r="Q765" s="62" t="s">
        <v>41533</v>
      </c>
      <c r="R765" s="62" t="s">
        <v>41534</v>
      </c>
      <c r="S765" s="62" t="s">
        <v>41535</v>
      </c>
      <c r="U765" s="62" t="s">
        <v>41536</v>
      </c>
      <c r="V765" s="62" t="s">
        <v>56593</v>
      </c>
      <c r="W765" s="62" t="s">
        <v>41537</v>
      </c>
      <c r="X765" s="62" t="s">
        <v>41538</v>
      </c>
      <c r="Y765" s="62" t="s">
        <v>41539</v>
      </c>
      <c r="Z765" s="62" t="s">
        <v>41540</v>
      </c>
      <c r="AA765" s="62" t="s">
        <v>56615</v>
      </c>
      <c r="AB765" s="62" t="s">
        <v>41541</v>
      </c>
      <c r="AC765" s="62" t="s">
        <v>41542</v>
      </c>
      <c r="AD765" s="62" t="s">
        <v>41543</v>
      </c>
    </row>
    <row r="766" spans="1:30" x14ac:dyDescent="0.25">
      <c r="A766" s="62" t="s">
        <v>109</v>
      </c>
      <c r="C766" s="62" t="s">
        <v>9501</v>
      </c>
      <c r="F766" s="62" t="s">
        <v>2372</v>
      </c>
      <c r="G766" s="62" t="s">
        <v>56528</v>
      </c>
      <c r="J766" s="62" t="s">
        <v>9502</v>
      </c>
      <c r="K766" s="62" t="s">
        <v>56550</v>
      </c>
      <c r="L766" s="62" t="s">
        <v>9503</v>
      </c>
      <c r="M766" s="62" t="s">
        <v>9504</v>
      </c>
      <c r="N766" s="62" t="s">
        <v>9505</v>
      </c>
      <c r="O766" s="62" t="s">
        <v>9506</v>
      </c>
      <c r="P766" s="62" t="s">
        <v>56572</v>
      </c>
      <c r="Q766" s="62" t="s">
        <v>9507</v>
      </c>
      <c r="R766" s="62" t="s">
        <v>9508</v>
      </c>
      <c r="S766" s="62" t="s">
        <v>9509</v>
      </c>
      <c r="U766" s="62" t="s">
        <v>9510</v>
      </c>
      <c r="V766" s="62" t="s">
        <v>56594</v>
      </c>
      <c r="W766" s="62" t="s">
        <v>9511</v>
      </c>
      <c r="X766" s="62" t="s">
        <v>9512</v>
      </c>
      <c r="Y766" s="62" t="s">
        <v>9513</v>
      </c>
      <c r="Z766" s="62" t="s">
        <v>9514</v>
      </c>
      <c r="AA766" s="62" t="s">
        <v>56616</v>
      </c>
      <c r="AB766" s="62" t="s">
        <v>9515</v>
      </c>
      <c r="AC766" s="62" t="s">
        <v>9516</v>
      </c>
      <c r="AD766" s="62" t="s">
        <v>9517</v>
      </c>
    </row>
    <row r="767" spans="1:30" x14ac:dyDescent="0.25">
      <c r="A767" s="62" t="s">
        <v>109</v>
      </c>
      <c r="C767" s="62" t="s">
        <v>9236</v>
      </c>
    </row>
    <row r="768" spans="1:30" x14ac:dyDescent="0.25">
      <c r="A768" s="62" t="s">
        <v>109</v>
      </c>
      <c r="C768" s="62" t="s">
        <v>9518</v>
      </c>
      <c r="G768" s="62" t="s">
        <v>9519</v>
      </c>
      <c r="J768" s="62" t="s">
        <v>41544</v>
      </c>
      <c r="K768" s="62" t="s">
        <v>41545</v>
      </c>
      <c r="L768" s="62" t="s">
        <v>41546</v>
      </c>
      <c r="M768" s="62" t="s">
        <v>9520</v>
      </c>
      <c r="N768" s="62" t="s">
        <v>9521</v>
      </c>
      <c r="O768" s="62" t="s">
        <v>41547</v>
      </c>
      <c r="P768" s="62" t="s">
        <v>41548</v>
      </c>
      <c r="Q768" s="62" t="s">
        <v>41549</v>
      </c>
      <c r="R768" s="62" t="s">
        <v>9522</v>
      </c>
      <c r="S768" s="62" t="s">
        <v>9523</v>
      </c>
      <c r="U768" s="62" t="s">
        <v>41550</v>
      </c>
      <c r="V768" s="62" t="s">
        <v>41551</v>
      </c>
      <c r="W768" s="62" t="s">
        <v>41552</v>
      </c>
      <c r="X768" s="62" t="s">
        <v>9524</v>
      </c>
      <c r="Y768" s="62" t="s">
        <v>9525</v>
      </c>
      <c r="Z768" s="62" t="s">
        <v>41553</v>
      </c>
      <c r="AA768" s="62" t="s">
        <v>41554</v>
      </c>
      <c r="AB768" s="62" t="s">
        <v>41555</v>
      </c>
      <c r="AC768" s="62" t="s">
        <v>9526</v>
      </c>
      <c r="AD768" s="62" t="s">
        <v>9527</v>
      </c>
    </row>
    <row r="769" spans="1:30" x14ac:dyDescent="0.25">
      <c r="A769" s="62" t="s">
        <v>109</v>
      </c>
    </row>
    <row r="770" spans="1:30" x14ac:dyDescent="0.25">
      <c r="A770" s="62" t="s">
        <v>109</v>
      </c>
      <c r="C770" s="62" t="s">
        <v>9528</v>
      </c>
      <c r="E770" s="62" t="s">
        <v>288</v>
      </c>
      <c r="G770" s="62" t="s">
        <v>9529</v>
      </c>
    </row>
    <row r="771" spans="1:30" x14ac:dyDescent="0.25">
      <c r="A771" s="62" t="s">
        <v>109</v>
      </c>
      <c r="C771" s="62" t="s">
        <v>9530</v>
      </c>
    </row>
    <row r="772" spans="1:30" x14ac:dyDescent="0.25">
      <c r="A772" s="62" t="s">
        <v>109</v>
      </c>
      <c r="C772" s="62" t="s">
        <v>9531</v>
      </c>
      <c r="F772" s="62" t="s">
        <v>9532</v>
      </c>
      <c r="G772" s="62" t="s">
        <v>56417</v>
      </c>
      <c r="J772" s="62" t="s">
        <v>9533</v>
      </c>
      <c r="K772" s="62" t="s">
        <v>56435</v>
      </c>
      <c r="L772" s="62" t="s">
        <v>9534</v>
      </c>
      <c r="M772" s="62" t="s">
        <v>9535</v>
      </c>
      <c r="N772" s="62" t="s">
        <v>9536</v>
      </c>
      <c r="O772" s="62" t="s">
        <v>9537</v>
      </c>
      <c r="P772" s="62" t="s">
        <v>56453</v>
      </c>
      <c r="Q772" s="62" t="s">
        <v>9538</v>
      </c>
      <c r="R772" s="62" t="s">
        <v>9539</v>
      </c>
      <c r="S772" s="62" t="s">
        <v>9540</v>
      </c>
      <c r="U772" s="62" t="s">
        <v>9541</v>
      </c>
      <c r="V772" s="62" t="s">
        <v>56471</v>
      </c>
      <c r="W772" s="62" t="s">
        <v>9542</v>
      </c>
      <c r="X772" s="62" t="s">
        <v>9543</v>
      </c>
      <c r="Y772" s="62" t="s">
        <v>9544</v>
      </c>
      <c r="Z772" s="62" t="s">
        <v>9545</v>
      </c>
      <c r="AA772" s="62" t="s">
        <v>56489</v>
      </c>
      <c r="AB772" s="62" t="s">
        <v>9546</v>
      </c>
      <c r="AC772" s="62" t="s">
        <v>9547</v>
      </c>
      <c r="AD772" s="62" t="s">
        <v>9548</v>
      </c>
    </row>
    <row r="773" spans="1:30" x14ac:dyDescent="0.25">
      <c r="A773" s="62" t="s">
        <v>109</v>
      </c>
      <c r="C773" s="62" t="s">
        <v>9549</v>
      </c>
      <c r="F773" s="62" t="s">
        <v>2153</v>
      </c>
      <c r="G773" s="62" t="s">
        <v>56418</v>
      </c>
      <c r="J773" s="62" t="s">
        <v>9550</v>
      </c>
      <c r="K773" s="62" t="s">
        <v>56436</v>
      </c>
      <c r="L773" s="62" t="s">
        <v>9551</v>
      </c>
      <c r="M773" s="62" t="s">
        <v>9552</v>
      </c>
      <c r="N773" s="62" t="s">
        <v>9553</v>
      </c>
      <c r="O773" s="62" t="s">
        <v>9554</v>
      </c>
      <c r="P773" s="62" t="s">
        <v>56454</v>
      </c>
      <c r="Q773" s="62" t="s">
        <v>9555</v>
      </c>
      <c r="R773" s="62" t="s">
        <v>9556</v>
      </c>
      <c r="S773" s="62" t="s">
        <v>9557</v>
      </c>
      <c r="U773" s="62" t="s">
        <v>9558</v>
      </c>
      <c r="V773" s="62" t="s">
        <v>56472</v>
      </c>
      <c r="W773" s="62" t="s">
        <v>9559</v>
      </c>
      <c r="X773" s="62" t="s">
        <v>9560</v>
      </c>
      <c r="Y773" s="62" t="s">
        <v>9561</v>
      </c>
      <c r="Z773" s="62" t="s">
        <v>9562</v>
      </c>
      <c r="AA773" s="62" t="s">
        <v>56490</v>
      </c>
      <c r="AB773" s="62" t="s">
        <v>9563</v>
      </c>
      <c r="AC773" s="62" t="s">
        <v>9564</v>
      </c>
      <c r="AD773" s="62" t="s">
        <v>9565</v>
      </c>
    </row>
    <row r="774" spans="1:30" x14ac:dyDescent="0.25">
      <c r="A774" s="62" t="s">
        <v>109</v>
      </c>
      <c r="C774" s="62" t="s">
        <v>9566</v>
      </c>
      <c r="F774" s="62" t="s">
        <v>2187</v>
      </c>
      <c r="G774" s="62" t="s">
        <v>56419</v>
      </c>
      <c r="J774" s="62" t="s">
        <v>9567</v>
      </c>
      <c r="K774" s="62" t="s">
        <v>56437</v>
      </c>
      <c r="L774" s="62" t="s">
        <v>9568</v>
      </c>
      <c r="M774" s="62" t="s">
        <v>9569</v>
      </c>
      <c r="N774" s="62" t="s">
        <v>9570</v>
      </c>
      <c r="O774" s="62" t="s">
        <v>9571</v>
      </c>
      <c r="P774" s="62" t="s">
        <v>56455</v>
      </c>
      <c r="Q774" s="62" t="s">
        <v>9572</v>
      </c>
      <c r="R774" s="62" t="s">
        <v>9573</v>
      </c>
      <c r="S774" s="62" t="s">
        <v>9574</v>
      </c>
      <c r="U774" s="62" t="s">
        <v>9575</v>
      </c>
      <c r="V774" s="62" t="s">
        <v>56473</v>
      </c>
      <c r="W774" s="62" t="s">
        <v>9576</v>
      </c>
      <c r="X774" s="62" t="s">
        <v>9577</v>
      </c>
      <c r="Y774" s="62" t="s">
        <v>9578</v>
      </c>
      <c r="Z774" s="62" t="s">
        <v>9579</v>
      </c>
      <c r="AA774" s="62" t="s">
        <v>56491</v>
      </c>
      <c r="AB774" s="62" t="s">
        <v>9580</v>
      </c>
      <c r="AC774" s="62" t="s">
        <v>9581</v>
      </c>
      <c r="AD774" s="62" t="s">
        <v>9582</v>
      </c>
    </row>
    <row r="775" spans="1:30" x14ac:dyDescent="0.25">
      <c r="A775" s="62" t="s">
        <v>109</v>
      </c>
      <c r="C775" s="62" t="s">
        <v>9583</v>
      </c>
      <c r="F775" s="62" t="s">
        <v>5259</v>
      </c>
      <c r="G775" s="62" t="s">
        <v>56420</v>
      </c>
      <c r="J775" s="62" t="s">
        <v>9584</v>
      </c>
      <c r="K775" s="62" t="s">
        <v>56438</v>
      </c>
      <c r="L775" s="62" t="s">
        <v>9585</v>
      </c>
      <c r="M775" s="62" t="s">
        <v>9586</v>
      </c>
      <c r="N775" s="62" t="s">
        <v>9587</v>
      </c>
      <c r="O775" s="62" t="s">
        <v>9588</v>
      </c>
      <c r="P775" s="62" t="s">
        <v>56456</v>
      </c>
      <c r="Q775" s="62" t="s">
        <v>9589</v>
      </c>
      <c r="R775" s="62" t="s">
        <v>9590</v>
      </c>
      <c r="S775" s="62" t="s">
        <v>9591</v>
      </c>
      <c r="U775" s="62" t="s">
        <v>9592</v>
      </c>
      <c r="V775" s="62" t="s">
        <v>56474</v>
      </c>
      <c r="W775" s="62" t="s">
        <v>9593</v>
      </c>
      <c r="X775" s="62" t="s">
        <v>9594</v>
      </c>
      <c r="Y775" s="62" t="s">
        <v>9595</v>
      </c>
      <c r="Z775" s="62" t="s">
        <v>9596</v>
      </c>
      <c r="AA775" s="62" t="s">
        <v>56492</v>
      </c>
      <c r="AB775" s="62" t="s">
        <v>9597</v>
      </c>
      <c r="AC775" s="62" t="s">
        <v>9598</v>
      </c>
      <c r="AD775" s="62" t="s">
        <v>9599</v>
      </c>
    </row>
    <row r="776" spans="1:30" x14ac:dyDescent="0.25">
      <c r="A776" s="62" t="s">
        <v>109</v>
      </c>
      <c r="C776" s="62" t="s">
        <v>9600</v>
      </c>
      <c r="F776" s="62" t="s">
        <v>2405</v>
      </c>
      <c r="G776" s="62" t="s">
        <v>56421</v>
      </c>
      <c r="J776" s="62" t="s">
        <v>9601</v>
      </c>
      <c r="K776" s="62" t="s">
        <v>56439</v>
      </c>
      <c r="L776" s="62" t="s">
        <v>9602</v>
      </c>
      <c r="M776" s="62" t="s">
        <v>9603</v>
      </c>
      <c r="N776" s="62" t="s">
        <v>9604</v>
      </c>
      <c r="O776" s="62" t="s">
        <v>9605</v>
      </c>
      <c r="P776" s="62" t="s">
        <v>56457</v>
      </c>
      <c r="Q776" s="62" t="s">
        <v>9606</v>
      </c>
      <c r="R776" s="62" t="s">
        <v>9607</v>
      </c>
      <c r="S776" s="62" t="s">
        <v>9608</v>
      </c>
      <c r="U776" s="62" t="s">
        <v>9609</v>
      </c>
      <c r="V776" s="62" t="s">
        <v>56475</v>
      </c>
      <c r="W776" s="62" t="s">
        <v>9610</v>
      </c>
      <c r="X776" s="62" t="s">
        <v>9611</v>
      </c>
      <c r="Y776" s="62" t="s">
        <v>9612</v>
      </c>
      <c r="Z776" s="62" t="s">
        <v>9613</v>
      </c>
      <c r="AA776" s="62" t="s">
        <v>56493</v>
      </c>
      <c r="AB776" s="62" t="s">
        <v>9614</v>
      </c>
      <c r="AC776" s="62" t="s">
        <v>9615</v>
      </c>
      <c r="AD776" s="62" t="s">
        <v>9616</v>
      </c>
    </row>
    <row r="777" spans="1:30" x14ac:dyDescent="0.25">
      <c r="A777" s="62" t="s">
        <v>109</v>
      </c>
      <c r="C777" s="62" t="s">
        <v>9617</v>
      </c>
      <c r="F777" s="62" t="s">
        <v>193</v>
      </c>
      <c r="G777" s="62" t="s">
        <v>56422</v>
      </c>
      <c r="J777" s="62" t="s">
        <v>9618</v>
      </c>
      <c r="K777" s="62" t="s">
        <v>56440</v>
      </c>
      <c r="L777" s="62" t="s">
        <v>9619</v>
      </c>
      <c r="M777" s="62" t="s">
        <v>9620</v>
      </c>
      <c r="N777" s="62" t="s">
        <v>9621</v>
      </c>
      <c r="O777" s="62" t="s">
        <v>9622</v>
      </c>
      <c r="P777" s="62" t="s">
        <v>56458</v>
      </c>
      <c r="Q777" s="62" t="s">
        <v>9623</v>
      </c>
      <c r="R777" s="62" t="s">
        <v>9624</v>
      </c>
      <c r="S777" s="62" t="s">
        <v>9625</v>
      </c>
      <c r="U777" s="62" t="s">
        <v>9626</v>
      </c>
      <c r="V777" s="62" t="s">
        <v>56476</v>
      </c>
      <c r="W777" s="62" t="s">
        <v>9627</v>
      </c>
      <c r="X777" s="62" t="s">
        <v>9628</v>
      </c>
      <c r="Y777" s="62" t="s">
        <v>9629</v>
      </c>
      <c r="Z777" s="62" t="s">
        <v>9630</v>
      </c>
      <c r="AA777" s="62" t="s">
        <v>56494</v>
      </c>
      <c r="AB777" s="62" t="s">
        <v>9631</v>
      </c>
      <c r="AC777" s="62" t="s">
        <v>9632</v>
      </c>
      <c r="AD777" s="62" t="s">
        <v>9633</v>
      </c>
    </row>
    <row r="778" spans="1:30" x14ac:dyDescent="0.25">
      <c r="A778" s="62" t="s">
        <v>109</v>
      </c>
      <c r="C778" s="62" t="s">
        <v>9634</v>
      </c>
      <c r="F778" s="62" t="s">
        <v>2240</v>
      </c>
      <c r="G778" s="62" t="s">
        <v>56423</v>
      </c>
      <c r="J778" s="62" t="s">
        <v>9635</v>
      </c>
      <c r="K778" s="62" t="s">
        <v>56441</v>
      </c>
      <c r="L778" s="62" t="s">
        <v>9636</v>
      </c>
      <c r="M778" s="62" t="s">
        <v>9637</v>
      </c>
      <c r="N778" s="62" t="s">
        <v>9638</v>
      </c>
      <c r="O778" s="62" t="s">
        <v>9639</v>
      </c>
      <c r="P778" s="62" t="s">
        <v>56459</v>
      </c>
      <c r="Q778" s="62" t="s">
        <v>9640</v>
      </c>
      <c r="R778" s="62" t="s">
        <v>9641</v>
      </c>
      <c r="S778" s="62" t="s">
        <v>9642</v>
      </c>
      <c r="U778" s="62" t="s">
        <v>9643</v>
      </c>
      <c r="V778" s="62" t="s">
        <v>56477</v>
      </c>
      <c r="W778" s="62" t="s">
        <v>9644</v>
      </c>
      <c r="X778" s="62" t="s">
        <v>9645</v>
      </c>
      <c r="Y778" s="62" t="s">
        <v>9646</v>
      </c>
      <c r="Z778" s="62" t="s">
        <v>9647</v>
      </c>
      <c r="AA778" s="62" t="s">
        <v>56495</v>
      </c>
      <c r="AB778" s="62" t="s">
        <v>9648</v>
      </c>
      <c r="AC778" s="62" t="s">
        <v>9649</v>
      </c>
      <c r="AD778" s="62" t="s">
        <v>9650</v>
      </c>
    </row>
    <row r="779" spans="1:30" x14ac:dyDescent="0.25">
      <c r="A779" s="62" t="s">
        <v>109</v>
      </c>
      <c r="C779" s="62" t="s">
        <v>9651</v>
      </c>
      <c r="F779" s="62" t="s">
        <v>227</v>
      </c>
      <c r="G779" s="62" t="s">
        <v>56424</v>
      </c>
      <c r="J779" s="62" t="s">
        <v>9652</v>
      </c>
      <c r="K779" s="62" t="s">
        <v>56442</v>
      </c>
      <c r="L779" s="62" t="s">
        <v>9653</v>
      </c>
      <c r="M779" s="62" t="s">
        <v>9654</v>
      </c>
      <c r="N779" s="62" t="s">
        <v>9655</v>
      </c>
      <c r="O779" s="62" t="s">
        <v>9656</v>
      </c>
      <c r="P779" s="62" t="s">
        <v>56460</v>
      </c>
      <c r="Q779" s="62" t="s">
        <v>9657</v>
      </c>
      <c r="R779" s="62" t="s">
        <v>9658</v>
      </c>
      <c r="S779" s="62" t="s">
        <v>9659</v>
      </c>
      <c r="U779" s="62" t="s">
        <v>9660</v>
      </c>
      <c r="V779" s="62" t="s">
        <v>56478</v>
      </c>
      <c r="W779" s="62" t="s">
        <v>9661</v>
      </c>
      <c r="X779" s="62" t="s">
        <v>9662</v>
      </c>
      <c r="Y779" s="62" t="s">
        <v>9663</v>
      </c>
      <c r="Z779" s="62" t="s">
        <v>9664</v>
      </c>
      <c r="AA779" s="62" t="s">
        <v>56496</v>
      </c>
      <c r="AB779" s="62" t="s">
        <v>9665</v>
      </c>
      <c r="AC779" s="62" t="s">
        <v>9666</v>
      </c>
      <c r="AD779" s="62" t="s">
        <v>9667</v>
      </c>
    </row>
    <row r="780" spans="1:30" x14ac:dyDescent="0.25">
      <c r="A780" s="62" t="s">
        <v>109</v>
      </c>
      <c r="C780" s="62" t="s">
        <v>9668</v>
      </c>
      <c r="F780" s="62" t="s">
        <v>236</v>
      </c>
      <c r="G780" s="62" t="s">
        <v>56425</v>
      </c>
      <c r="J780" s="62" t="s">
        <v>9669</v>
      </c>
      <c r="K780" s="62" t="s">
        <v>56443</v>
      </c>
      <c r="L780" s="62" t="s">
        <v>9670</v>
      </c>
      <c r="M780" s="62" t="s">
        <v>9671</v>
      </c>
      <c r="N780" s="62" t="s">
        <v>9672</v>
      </c>
      <c r="O780" s="62" t="s">
        <v>9673</v>
      </c>
      <c r="P780" s="62" t="s">
        <v>56461</v>
      </c>
      <c r="Q780" s="62" t="s">
        <v>9674</v>
      </c>
      <c r="R780" s="62" t="s">
        <v>9675</v>
      </c>
      <c r="S780" s="62" t="s">
        <v>9676</v>
      </c>
      <c r="U780" s="62" t="s">
        <v>9677</v>
      </c>
      <c r="V780" s="62" t="s">
        <v>56479</v>
      </c>
      <c r="W780" s="62" t="s">
        <v>9678</v>
      </c>
      <c r="X780" s="62" t="s">
        <v>9679</v>
      </c>
      <c r="Y780" s="62" t="s">
        <v>9680</v>
      </c>
      <c r="Z780" s="62" t="s">
        <v>9681</v>
      </c>
      <c r="AA780" s="62" t="s">
        <v>56497</v>
      </c>
      <c r="AB780" s="62" t="s">
        <v>9682</v>
      </c>
      <c r="AC780" s="62" t="s">
        <v>9683</v>
      </c>
      <c r="AD780" s="62" t="s">
        <v>9684</v>
      </c>
    </row>
    <row r="781" spans="1:30" x14ac:dyDescent="0.25">
      <c r="A781" s="62" t="s">
        <v>109</v>
      </c>
      <c r="C781" s="62" t="s">
        <v>9685</v>
      </c>
      <c r="F781" s="62" t="s">
        <v>237</v>
      </c>
      <c r="G781" s="62" t="s">
        <v>56426</v>
      </c>
      <c r="J781" s="62" t="s">
        <v>9686</v>
      </c>
      <c r="K781" s="62" t="s">
        <v>56444</v>
      </c>
      <c r="L781" s="62" t="s">
        <v>9687</v>
      </c>
      <c r="M781" s="62" t="s">
        <v>9688</v>
      </c>
      <c r="N781" s="62" t="s">
        <v>9689</v>
      </c>
      <c r="O781" s="62" t="s">
        <v>9690</v>
      </c>
      <c r="P781" s="62" t="s">
        <v>56462</v>
      </c>
      <c r="Q781" s="62" t="s">
        <v>9691</v>
      </c>
      <c r="R781" s="62" t="s">
        <v>9692</v>
      </c>
      <c r="S781" s="62" t="s">
        <v>9693</v>
      </c>
      <c r="U781" s="62" t="s">
        <v>9694</v>
      </c>
      <c r="V781" s="62" t="s">
        <v>56480</v>
      </c>
      <c r="W781" s="62" t="s">
        <v>9695</v>
      </c>
      <c r="X781" s="62" t="s">
        <v>9696</v>
      </c>
      <c r="Y781" s="62" t="s">
        <v>9697</v>
      </c>
      <c r="Z781" s="62" t="s">
        <v>9698</v>
      </c>
      <c r="AA781" s="62" t="s">
        <v>56498</v>
      </c>
      <c r="AB781" s="62" t="s">
        <v>9699</v>
      </c>
      <c r="AC781" s="62" t="s">
        <v>9700</v>
      </c>
      <c r="AD781" s="62" t="s">
        <v>9701</v>
      </c>
    </row>
    <row r="782" spans="1:30" x14ac:dyDescent="0.25">
      <c r="A782" s="62" t="s">
        <v>109</v>
      </c>
      <c r="C782" s="62" t="s">
        <v>9702</v>
      </c>
      <c r="F782" s="62" t="s">
        <v>2310</v>
      </c>
      <c r="G782" s="62" t="s">
        <v>56427</v>
      </c>
      <c r="J782" s="62" t="s">
        <v>9703</v>
      </c>
      <c r="K782" s="62" t="s">
        <v>56445</v>
      </c>
      <c r="L782" s="62" t="s">
        <v>9704</v>
      </c>
      <c r="M782" s="62" t="s">
        <v>9705</v>
      </c>
      <c r="N782" s="62" t="s">
        <v>9706</v>
      </c>
      <c r="O782" s="62" t="s">
        <v>9707</v>
      </c>
      <c r="P782" s="62" t="s">
        <v>56463</v>
      </c>
      <c r="Q782" s="62" t="s">
        <v>9708</v>
      </c>
      <c r="R782" s="62" t="s">
        <v>9709</v>
      </c>
      <c r="S782" s="62" t="s">
        <v>9710</v>
      </c>
      <c r="U782" s="62" t="s">
        <v>9711</v>
      </c>
      <c r="V782" s="62" t="s">
        <v>56481</v>
      </c>
      <c r="W782" s="62" t="s">
        <v>9712</v>
      </c>
      <c r="X782" s="62" t="s">
        <v>9713</v>
      </c>
      <c r="Y782" s="62" t="s">
        <v>9714</v>
      </c>
      <c r="Z782" s="62" t="s">
        <v>9715</v>
      </c>
      <c r="AA782" s="62" t="s">
        <v>56499</v>
      </c>
      <c r="AB782" s="62" t="s">
        <v>9716</v>
      </c>
      <c r="AC782" s="62" t="s">
        <v>9717</v>
      </c>
      <c r="AD782" s="62" t="s">
        <v>9718</v>
      </c>
    </row>
    <row r="783" spans="1:30" x14ac:dyDescent="0.25">
      <c r="A783" s="62" t="s">
        <v>109</v>
      </c>
      <c r="C783" s="62" t="s">
        <v>9719</v>
      </c>
      <c r="F783" s="62" t="s">
        <v>2311</v>
      </c>
      <c r="G783" s="62" t="s">
        <v>56428</v>
      </c>
      <c r="J783" s="62" t="s">
        <v>9720</v>
      </c>
      <c r="K783" s="62" t="s">
        <v>56446</v>
      </c>
      <c r="L783" s="62" t="s">
        <v>9721</v>
      </c>
      <c r="M783" s="62" t="s">
        <v>9722</v>
      </c>
      <c r="N783" s="62" t="s">
        <v>9723</v>
      </c>
      <c r="O783" s="62" t="s">
        <v>9724</v>
      </c>
      <c r="P783" s="62" t="s">
        <v>56464</v>
      </c>
      <c r="Q783" s="62" t="s">
        <v>9725</v>
      </c>
      <c r="R783" s="62" t="s">
        <v>9726</v>
      </c>
      <c r="S783" s="62" t="s">
        <v>9727</v>
      </c>
      <c r="U783" s="62" t="s">
        <v>9728</v>
      </c>
      <c r="V783" s="62" t="s">
        <v>56482</v>
      </c>
      <c r="W783" s="62" t="s">
        <v>9729</v>
      </c>
      <c r="X783" s="62" t="s">
        <v>9730</v>
      </c>
      <c r="Y783" s="62" t="s">
        <v>9731</v>
      </c>
      <c r="Z783" s="62" t="s">
        <v>9732</v>
      </c>
      <c r="AA783" s="62" t="s">
        <v>56500</v>
      </c>
      <c r="AB783" s="62" t="s">
        <v>9733</v>
      </c>
      <c r="AC783" s="62" t="s">
        <v>9734</v>
      </c>
      <c r="AD783" s="62" t="s">
        <v>9735</v>
      </c>
    </row>
    <row r="784" spans="1:30" x14ac:dyDescent="0.25">
      <c r="A784" s="62" t="s">
        <v>109</v>
      </c>
      <c r="C784" s="62" t="s">
        <v>9736</v>
      </c>
      <c r="F784" s="62" t="s">
        <v>288</v>
      </c>
      <c r="G784" s="62" t="s">
        <v>56429</v>
      </c>
      <c r="J784" s="62" t="s">
        <v>9737</v>
      </c>
      <c r="K784" s="62" t="s">
        <v>56447</v>
      </c>
      <c r="L784" s="62" t="s">
        <v>9738</v>
      </c>
      <c r="M784" s="62" t="s">
        <v>9739</v>
      </c>
      <c r="N784" s="62" t="s">
        <v>9740</v>
      </c>
      <c r="O784" s="62" t="s">
        <v>9741</v>
      </c>
      <c r="P784" s="62" t="s">
        <v>56465</v>
      </c>
      <c r="Q784" s="62" t="s">
        <v>9742</v>
      </c>
      <c r="R784" s="62" t="s">
        <v>9743</v>
      </c>
      <c r="S784" s="62" t="s">
        <v>9744</v>
      </c>
      <c r="U784" s="62" t="s">
        <v>9745</v>
      </c>
      <c r="V784" s="62" t="s">
        <v>56483</v>
      </c>
      <c r="W784" s="62" t="s">
        <v>9746</v>
      </c>
      <c r="X784" s="62" t="s">
        <v>9747</v>
      </c>
      <c r="Y784" s="62" t="s">
        <v>9748</v>
      </c>
      <c r="Z784" s="62" t="s">
        <v>9749</v>
      </c>
      <c r="AA784" s="62" t="s">
        <v>56501</v>
      </c>
      <c r="AB784" s="62" t="s">
        <v>9750</v>
      </c>
      <c r="AC784" s="62" t="s">
        <v>9751</v>
      </c>
      <c r="AD784" s="62" t="s">
        <v>9752</v>
      </c>
    </row>
    <row r="785" spans="1:30" x14ac:dyDescent="0.25">
      <c r="A785" s="62" t="s">
        <v>109</v>
      </c>
      <c r="C785" s="62" t="s">
        <v>9753</v>
      </c>
      <c r="F785" s="62" t="s">
        <v>2481</v>
      </c>
      <c r="G785" s="62" t="s">
        <v>56430</v>
      </c>
      <c r="J785" s="62" t="s">
        <v>9754</v>
      </c>
      <c r="K785" s="62" t="s">
        <v>56448</v>
      </c>
      <c r="L785" s="62" t="s">
        <v>9755</v>
      </c>
      <c r="M785" s="62" t="s">
        <v>9756</v>
      </c>
      <c r="N785" s="62" t="s">
        <v>9757</v>
      </c>
      <c r="O785" s="62" t="s">
        <v>9758</v>
      </c>
      <c r="P785" s="62" t="s">
        <v>56466</v>
      </c>
      <c r="Q785" s="62" t="s">
        <v>9759</v>
      </c>
      <c r="R785" s="62" t="s">
        <v>9760</v>
      </c>
      <c r="S785" s="62" t="s">
        <v>9761</v>
      </c>
      <c r="U785" s="62" t="s">
        <v>9762</v>
      </c>
      <c r="V785" s="62" t="s">
        <v>56484</v>
      </c>
      <c r="W785" s="62" t="s">
        <v>9763</v>
      </c>
      <c r="X785" s="62" t="s">
        <v>9764</v>
      </c>
      <c r="Y785" s="62" t="s">
        <v>9765</v>
      </c>
      <c r="Z785" s="62" t="s">
        <v>9766</v>
      </c>
      <c r="AA785" s="62" t="s">
        <v>56502</v>
      </c>
      <c r="AB785" s="62" t="s">
        <v>9767</v>
      </c>
      <c r="AC785" s="62" t="s">
        <v>9768</v>
      </c>
      <c r="AD785" s="62" t="s">
        <v>9769</v>
      </c>
    </row>
    <row r="786" spans="1:30" x14ac:dyDescent="0.25">
      <c r="A786" s="62" t="s">
        <v>109</v>
      </c>
      <c r="C786" s="62" t="s">
        <v>9770</v>
      </c>
      <c r="F786" s="62" t="s">
        <v>1100</v>
      </c>
      <c r="G786" s="62" t="s">
        <v>56431</v>
      </c>
      <c r="J786" s="62" t="s">
        <v>9771</v>
      </c>
      <c r="K786" s="62" t="s">
        <v>56449</v>
      </c>
      <c r="L786" s="62" t="s">
        <v>9772</v>
      </c>
      <c r="M786" s="62" t="s">
        <v>9773</v>
      </c>
      <c r="N786" s="62" t="s">
        <v>9774</v>
      </c>
      <c r="O786" s="62" t="s">
        <v>9775</v>
      </c>
      <c r="P786" s="62" t="s">
        <v>56467</v>
      </c>
      <c r="Q786" s="62" t="s">
        <v>9776</v>
      </c>
      <c r="R786" s="62" t="s">
        <v>9777</v>
      </c>
      <c r="S786" s="62" t="s">
        <v>9778</v>
      </c>
      <c r="U786" s="62" t="s">
        <v>9779</v>
      </c>
      <c r="V786" s="62" t="s">
        <v>56485</v>
      </c>
      <c r="W786" s="62" t="s">
        <v>9780</v>
      </c>
      <c r="X786" s="62" t="s">
        <v>9781</v>
      </c>
      <c r="Y786" s="62" t="s">
        <v>9782</v>
      </c>
      <c r="Z786" s="62" t="s">
        <v>9783</v>
      </c>
      <c r="AA786" s="62" t="s">
        <v>56503</v>
      </c>
      <c r="AB786" s="62" t="s">
        <v>9784</v>
      </c>
      <c r="AC786" s="62" t="s">
        <v>9785</v>
      </c>
      <c r="AD786" s="62" t="s">
        <v>9786</v>
      </c>
    </row>
    <row r="787" spans="1:30" x14ac:dyDescent="0.25">
      <c r="A787" s="62" t="s">
        <v>109</v>
      </c>
      <c r="C787" s="62" t="s">
        <v>9787</v>
      </c>
      <c r="F787" s="62" t="s">
        <v>3237</v>
      </c>
      <c r="G787" s="62" t="s">
        <v>56432</v>
      </c>
      <c r="J787" s="62" t="s">
        <v>9788</v>
      </c>
      <c r="K787" s="62" t="s">
        <v>56450</v>
      </c>
      <c r="L787" s="62" t="s">
        <v>9789</v>
      </c>
      <c r="M787" s="62" t="s">
        <v>9790</v>
      </c>
      <c r="N787" s="62" t="s">
        <v>9791</v>
      </c>
      <c r="O787" s="62" t="s">
        <v>9792</v>
      </c>
      <c r="P787" s="62" t="s">
        <v>56468</v>
      </c>
      <c r="Q787" s="62" t="s">
        <v>9793</v>
      </c>
      <c r="R787" s="62" t="s">
        <v>9794</v>
      </c>
      <c r="S787" s="62" t="s">
        <v>9795</v>
      </c>
      <c r="U787" s="62" t="s">
        <v>9796</v>
      </c>
      <c r="V787" s="62" t="s">
        <v>56486</v>
      </c>
      <c r="W787" s="62" t="s">
        <v>9797</v>
      </c>
      <c r="X787" s="62" t="s">
        <v>9798</v>
      </c>
      <c r="Y787" s="62" t="s">
        <v>9799</v>
      </c>
      <c r="Z787" s="62" t="s">
        <v>9800</v>
      </c>
      <c r="AA787" s="62" t="s">
        <v>56504</v>
      </c>
      <c r="AB787" s="62" t="s">
        <v>9801</v>
      </c>
      <c r="AC787" s="62" t="s">
        <v>9802</v>
      </c>
      <c r="AD787" s="62" t="s">
        <v>9803</v>
      </c>
    </row>
    <row r="788" spans="1:30" x14ac:dyDescent="0.25">
      <c r="A788" s="62" t="s">
        <v>109</v>
      </c>
      <c r="C788" s="62" t="s">
        <v>9804</v>
      </c>
      <c r="F788" s="62" t="s">
        <v>2355</v>
      </c>
      <c r="G788" s="62" t="s">
        <v>56433</v>
      </c>
      <c r="J788" s="62" t="s">
        <v>9805</v>
      </c>
      <c r="K788" s="62" t="s">
        <v>56451</v>
      </c>
      <c r="L788" s="62" t="s">
        <v>9806</v>
      </c>
      <c r="M788" s="62" t="s">
        <v>9807</v>
      </c>
      <c r="N788" s="62" t="s">
        <v>9808</v>
      </c>
      <c r="O788" s="62" t="s">
        <v>9809</v>
      </c>
      <c r="P788" s="62" t="s">
        <v>56469</v>
      </c>
      <c r="Q788" s="62" t="s">
        <v>9810</v>
      </c>
      <c r="R788" s="62" t="s">
        <v>9811</v>
      </c>
      <c r="S788" s="62" t="s">
        <v>9812</v>
      </c>
      <c r="U788" s="62" t="s">
        <v>9813</v>
      </c>
      <c r="V788" s="62" t="s">
        <v>56487</v>
      </c>
      <c r="W788" s="62" t="s">
        <v>9814</v>
      </c>
      <c r="X788" s="62" t="s">
        <v>9815</v>
      </c>
      <c r="Y788" s="62" t="s">
        <v>9816</v>
      </c>
      <c r="Z788" s="62" t="s">
        <v>9817</v>
      </c>
      <c r="AA788" s="62" t="s">
        <v>56505</v>
      </c>
      <c r="AB788" s="62" t="s">
        <v>9818</v>
      </c>
      <c r="AC788" s="62" t="s">
        <v>9819</v>
      </c>
      <c r="AD788" s="62" t="s">
        <v>9820</v>
      </c>
    </row>
    <row r="789" spans="1:30" x14ac:dyDescent="0.25">
      <c r="A789" s="62" t="s">
        <v>109</v>
      </c>
      <c r="C789" s="62" t="s">
        <v>9821</v>
      </c>
      <c r="F789" s="62" t="s">
        <v>2372</v>
      </c>
      <c r="G789" s="62" t="s">
        <v>56434</v>
      </c>
      <c r="J789" s="62" t="s">
        <v>9822</v>
      </c>
      <c r="K789" s="62" t="s">
        <v>56452</v>
      </c>
      <c r="L789" s="62" t="s">
        <v>9823</v>
      </c>
      <c r="M789" s="62" t="s">
        <v>9824</v>
      </c>
      <c r="N789" s="62" t="s">
        <v>9825</v>
      </c>
      <c r="O789" s="62" t="s">
        <v>9826</v>
      </c>
      <c r="P789" s="62" t="s">
        <v>56470</v>
      </c>
      <c r="Q789" s="62" t="s">
        <v>9827</v>
      </c>
      <c r="R789" s="62" t="s">
        <v>9828</v>
      </c>
      <c r="S789" s="62" t="s">
        <v>9829</v>
      </c>
      <c r="U789" s="62" t="s">
        <v>9830</v>
      </c>
      <c r="V789" s="62" t="s">
        <v>56488</v>
      </c>
      <c r="W789" s="62" t="s">
        <v>9831</v>
      </c>
      <c r="X789" s="62" t="s">
        <v>9832</v>
      </c>
      <c r="Y789" s="62" t="s">
        <v>9833</v>
      </c>
      <c r="Z789" s="62" t="s">
        <v>9834</v>
      </c>
      <c r="AA789" s="62" t="s">
        <v>56506</v>
      </c>
      <c r="AB789" s="62" t="s">
        <v>9835</v>
      </c>
      <c r="AC789" s="62" t="s">
        <v>9836</v>
      </c>
      <c r="AD789" s="62" t="s">
        <v>9837</v>
      </c>
    </row>
    <row r="790" spans="1:30" x14ac:dyDescent="0.25">
      <c r="A790" s="62" t="s">
        <v>109</v>
      </c>
      <c r="C790" s="62" t="s">
        <v>9549</v>
      </c>
    </row>
    <row r="791" spans="1:30" x14ac:dyDescent="0.25">
      <c r="A791" s="62" t="s">
        <v>109</v>
      </c>
      <c r="C791" s="62" t="s">
        <v>9838</v>
      </c>
      <c r="G791" s="62" t="s">
        <v>9839</v>
      </c>
      <c r="J791" s="62" t="s">
        <v>9840</v>
      </c>
      <c r="K791" s="62" t="s">
        <v>9841</v>
      </c>
      <c r="L791" s="62" t="s">
        <v>9842</v>
      </c>
      <c r="M791" s="62" t="s">
        <v>9843</v>
      </c>
      <c r="N791" s="62" t="s">
        <v>9844</v>
      </c>
      <c r="O791" s="62" t="s">
        <v>9845</v>
      </c>
      <c r="P791" s="62" t="s">
        <v>9846</v>
      </c>
      <c r="Q791" s="62" t="s">
        <v>9847</v>
      </c>
      <c r="R791" s="62" t="s">
        <v>9848</v>
      </c>
      <c r="S791" s="62" t="s">
        <v>9849</v>
      </c>
      <c r="U791" s="62" t="s">
        <v>9850</v>
      </c>
      <c r="V791" s="62" t="s">
        <v>9851</v>
      </c>
      <c r="W791" s="62" t="s">
        <v>9852</v>
      </c>
      <c r="X791" s="62" t="s">
        <v>9853</v>
      </c>
      <c r="Y791" s="62" t="s">
        <v>9854</v>
      </c>
      <c r="Z791" s="62" t="s">
        <v>9855</v>
      </c>
      <c r="AA791" s="62" t="s">
        <v>9856</v>
      </c>
      <c r="AB791" s="62" t="s">
        <v>9857</v>
      </c>
      <c r="AC791" s="62" t="s">
        <v>9858</v>
      </c>
      <c r="AD791" s="62" t="s">
        <v>9859</v>
      </c>
    </row>
    <row r="792" spans="1:30" x14ac:dyDescent="0.25">
      <c r="A792" s="62" t="s">
        <v>109</v>
      </c>
    </row>
    <row r="793" spans="1:30" x14ac:dyDescent="0.25">
      <c r="A793" s="62" t="s">
        <v>109</v>
      </c>
      <c r="C793" s="62" t="s">
        <v>9860</v>
      </c>
      <c r="E793" s="62" t="s">
        <v>12704</v>
      </c>
      <c r="G793" s="62" t="s">
        <v>9861</v>
      </c>
    </row>
    <row r="794" spans="1:30" x14ac:dyDescent="0.25">
      <c r="A794" s="62" t="s">
        <v>109</v>
      </c>
      <c r="C794" s="62" t="s">
        <v>9862</v>
      </c>
    </row>
    <row r="795" spans="1:30" x14ac:dyDescent="0.25">
      <c r="A795" s="62" t="s">
        <v>109</v>
      </c>
      <c r="C795" s="62" t="s">
        <v>9863</v>
      </c>
      <c r="F795" s="62" t="s">
        <v>9864</v>
      </c>
      <c r="G795" s="62" t="s">
        <v>56272</v>
      </c>
      <c r="J795" s="62" t="s">
        <v>9865</v>
      </c>
      <c r="K795" s="62" t="s">
        <v>56301</v>
      </c>
      <c r="L795" s="62" t="s">
        <v>9866</v>
      </c>
      <c r="M795" s="62" t="s">
        <v>9867</v>
      </c>
      <c r="N795" s="62" t="s">
        <v>9868</v>
      </c>
      <c r="O795" s="62" t="s">
        <v>9869</v>
      </c>
      <c r="P795" s="62" t="s">
        <v>56330</v>
      </c>
      <c r="Q795" s="62" t="s">
        <v>9870</v>
      </c>
      <c r="R795" s="62" t="s">
        <v>9871</v>
      </c>
      <c r="S795" s="62" t="s">
        <v>9872</v>
      </c>
      <c r="U795" s="62" t="s">
        <v>9873</v>
      </c>
      <c r="V795" s="62" t="s">
        <v>56359</v>
      </c>
      <c r="W795" s="62" t="s">
        <v>9874</v>
      </c>
      <c r="X795" s="62" t="s">
        <v>9875</v>
      </c>
      <c r="Y795" s="62" t="s">
        <v>9876</v>
      </c>
      <c r="Z795" s="62" t="s">
        <v>9877</v>
      </c>
      <c r="AA795" s="62" t="s">
        <v>56388</v>
      </c>
      <c r="AB795" s="62" t="s">
        <v>9878</v>
      </c>
      <c r="AC795" s="62" t="s">
        <v>9879</v>
      </c>
      <c r="AD795" s="62" t="s">
        <v>9880</v>
      </c>
    </row>
    <row r="796" spans="1:30" x14ac:dyDescent="0.25">
      <c r="A796" s="62" t="s">
        <v>109</v>
      </c>
      <c r="C796" s="62" t="s">
        <v>9881</v>
      </c>
      <c r="F796" s="62" t="s">
        <v>925</v>
      </c>
      <c r="G796" s="62" t="s">
        <v>56273</v>
      </c>
      <c r="J796" s="62" t="s">
        <v>9882</v>
      </c>
      <c r="K796" s="62" t="s">
        <v>56302</v>
      </c>
      <c r="L796" s="62" t="s">
        <v>9883</v>
      </c>
      <c r="M796" s="62" t="s">
        <v>9884</v>
      </c>
      <c r="N796" s="62" t="s">
        <v>9885</v>
      </c>
      <c r="O796" s="62" t="s">
        <v>9886</v>
      </c>
      <c r="P796" s="62" t="s">
        <v>56331</v>
      </c>
      <c r="Q796" s="62" t="s">
        <v>9887</v>
      </c>
      <c r="R796" s="62" t="s">
        <v>9888</v>
      </c>
      <c r="S796" s="62" t="s">
        <v>9889</v>
      </c>
      <c r="U796" s="62" t="s">
        <v>9890</v>
      </c>
      <c r="V796" s="62" t="s">
        <v>56360</v>
      </c>
      <c r="W796" s="62" t="s">
        <v>9891</v>
      </c>
      <c r="X796" s="62" t="s">
        <v>9892</v>
      </c>
      <c r="Y796" s="62" t="s">
        <v>9893</v>
      </c>
      <c r="Z796" s="62" t="s">
        <v>9894</v>
      </c>
      <c r="AA796" s="62" t="s">
        <v>56389</v>
      </c>
      <c r="AB796" s="62" t="s">
        <v>9895</v>
      </c>
      <c r="AC796" s="62" t="s">
        <v>9896</v>
      </c>
      <c r="AD796" s="62" t="s">
        <v>9897</v>
      </c>
    </row>
    <row r="797" spans="1:30" x14ac:dyDescent="0.25">
      <c r="A797" s="62" t="s">
        <v>109</v>
      </c>
      <c r="C797" s="62" t="s">
        <v>9898</v>
      </c>
      <c r="F797" s="62" t="s">
        <v>943</v>
      </c>
      <c r="G797" s="62" t="s">
        <v>56274</v>
      </c>
      <c r="J797" s="62" t="s">
        <v>9899</v>
      </c>
      <c r="K797" s="62" t="s">
        <v>56303</v>
      </c>
      <c r="L797" s="62" t="s">
        <v>9900</v>
      </c>
      <c r="M797" s="62" t="s">
        <v>9901</v>
      </c>
      <c r="N797" s="62" t="s">
        <v>9902</v>
      </c>
      <c r="O797" s="62" t="s">
        <v>9903</v>
      </c>
      <c r="P797" s="62" t="s">
        <v>56332</v>
      </c>
      <c r="Q797" s="62" t="s">
        <v>9904</v>
      </c>
      <c r="R797" s="62" t="s">
        <v>9905</v>
      </c>
      <c r="S797" s="62" t="s">
        <v>9906</v>
      </c>
      <c r="U797" s="62" t="s">
        <v>9907</v>
      </c>
      <c r="V797" s="62" t="s">
        <v>56361</v>
      </c>
      <c r="W797" s="62" t="s">
        <v>9908</v>
      </c>
      <c r="X797" s="62" t="s">
        <v>9909</v>
      </c>
      <c r="Y797" s="62" t="s">
        <v>9910</v>
      </c>
      <c r="Z797" s="62" t="s">
        <v>9911</v>
      </c>
      <c r="AA797" s="62" t="s">
        <v>56390</v>
      </c>
      <c r="AB797" s="62" t="s">
        <v>9912</v>
      </c>
      <c r="AC797" s="62" t="s">
        <v>9913</v>
      </c>
      <c r="AD797" s="62" t="s">
        <v>9914</v>
      </c>
    </row>
    <row r="798" spans="1:30" x14ac:dyDescent="0.25">
      <c r="A798" s="62" t="s">
        <v>109</v>
      </c>
      <c r="C798" s="62" t="s">
        <v>9915</v>
      </c>
      <c r="F798" s="62" t="s">
        <v>254</v>
      </c>
      <c r="G798" s="62" t="s">
        <v>56275</v>
      </c>
      <c r="J798" s="62" t="s">
        <v>9916</v>
      </c>
      <c r="K798" s="62" t="s">
        <v>56304</v>
      </c>
      <c r="L798" s="62" t="s">
        <v>9917</v>
      </c>
      <c r="M798" s="62" t="s">
        <v>9918</v>
      </c>
      <c r="N798" s="62" t="s">
        <v>9919</v>
      </c>
      <c r="O798" s="62" t="s">
        <v>9920</v>
      </c>
      <c r="P798" s="62" t="s">
        <v>56333</v>
      </c>
      <c r="Q798" s="62" t="s">
        <v>9921</v>
      </c>
      <c r="R798" s="62" t="s">
        <v>9922</v>
      </c>
      <c r="S798" s="62" t="s">
        <v>9923</v>
      </c>
      <c r="U798" s="62" t="s">
        <v>9924</v>
      </c>
      <c r="V798" s="62" t="s">
        <v>56362</v>
      </c>
      <c r="W798" s="62" t="s">
        <v>9925</v>
      </c>
      <c r="X798" s="62" t="s">
        <v>9926</v>
      </c>
      <c r="Y798" s="62" t="s">
        <v>9927</v>
      </c>
      <c r="Z798" s="62" t="s">
        <v>9928</v>
      </c>
      <c r="AA798" s="62" t="s">
        <v>56391</v>
      </c>
      <c r="AB798" s="62" t="s">
        <v>9929</v>
      </c>
      <c r="AC798" s="62" t="s">
        <v>9930</v>
      </c>
      <c r="AD798" s="62" t="s">
        <v>9931</v>
      </c>
    </row>
    <row r="799" spans="1:30" x14ac:dyDescent="0.25">
      <c r="A799" s="62" t="s">
        <v>109</v>
      </c>
      <c r="C799" s="62" t="s">
        <v>9932</v>
      </c>
      <c r="F799" s="62" t="s">
        <v>2297</v>
      </c>
      <c r="G799" s="62" t="s">
        <v>56276</v>
      </c>
      <c r="J799" s="62" t="s">
        <v>9933</v>
      </c>
      <c r="K799" s="62" t="s">
        <v>56305</v>
      </c>
      <c r="L799" s="62" t="s">
        <v>9934</v>
      </c>
      <c r="M799" s="62" t="s">
        <v>9935</v>
      </c>
      <c r="N799" s="62" t="s">
        <v>9936</v>
      </c>
      <c r="O799" s="62" t="s">
        <v>9937</v>
      </c>
      <c r="P799" s="62" t="s">
        <v>56334</v>
      </c>
      <c r="Q799" s="62" t="s">
        <v>9938</v>
      </c>
      <c r="R799" s="62" t="s">
        <v>9939</v>
      </c>
      <c r="S799" s="62" t="s">
        <v>9940</v>
      </c>
      <c r="U799" s="62" t="s">
        <v>9941</v>
      </c>
      <c r="V799" s="62" t="s">
        <v>56363</v>
      </c>
      <c r="W799" s="62" t="s">
        <v>9942</v>
      </c>
      <c r="X799" s="62" t="s">
        <v>9943</v>
      </c>
      <c r="Y799" s="62" t="s">
        <v>9944</v>
      </c>
      <c r="Z799" s="62" t="s">
        <v>9945</v>
      </c>
      <c r="AA799" s="62" t="s">
        <v>56392</v>
      </c>
      <c r="AB799" s="62" t="s">
        <v>9946</v>
      </c>
      <c r="AC799" s="62" t="s">
        <v>9947</v>
      </c>
      <c r="AD799" s="62" t="s">
        <v>9948</v>
      </c>
    </row>
    <row r="800" spans="1:30" x14ac:dyDescent="0.25">
      <c r="A800" s="62" t="s">
        <v>109</v>
      </c>
      <c r="C800" s="62" t="s">
        <v>9949</v>
      </c>
      <c r="F800" s="62" t="s">
        <v>10284</v>
      </c>
      <c r="G800" s="62" t="s">
        <v>56277</v>
      </c>
      <c r="J800" s="62" t="s">
        <v>9950</v>
      </c>
      <c r="K800" s="62" t="s">
        <v>56306</v>
      </c>
      <c r="L800" s="62" t="s">
        <v>9951</v>
      </c>
      <c r="M800" s="62" t="s">
        <v>9952</v>
      </c>
      <c r="N800" s="62" t="s">
        <v>9953</v>
      </c>
      <c r="O800" s="62" t="s">
        <v>9954</v>
      </c>
      <c r="P800" s="62" t="s">
        <v>56335</v>
      </c>
      <c r="Q800" s="62" t="s">
        <v>9955</v>
      </c>
      <c r="R800" s="62" t="s">
        <v>9956</v>
      </c>
      <c r="S800" s="62" t="s">
        <v>9957</v>
      </c>
      <c r="U800" s="62" t="s">
        <v>9958</v>
      </c>
      <c r="V800" s="62" t="s">
        <v>56364</v>
      </c>
      <c r="W800" s="62" t="s">
        <v>9959</v>
      </c>
      <c r="X800" s="62" t="s">
        <v>9960</v>
      </c>
      <c r="Y800" s="62" t="s">
        <v>9961</v>
      </c>
      <c r="Z800" s="62" t="s">
        <v>9962</v>
      </c>
      <c r="AA800" s="62" t="s">
        <v>56393</v>
      </c>
      <c r="AB800" s="62" t="s">
        <v>9963</v>
      </c>
      <c r="AC800" s="62" t="s">
        <v>9964</v>
      </c>
      <c r="AD800" s="62" t="s">
        <v>9965</v>
      </c>
    </row>
    <row r="801" spans="1:30" x14ac:dyDescent="0.25">
      <c r="A801" s="62" t="s">
        <v>109</v>
      </c>
      <c r="C801" s="62" t="s">
        <v>9966</v>
      </c>
      <c r="F801" s="62" t="s">
        <v>12860</v>
      </c>
      <c r="G801" s="62" t="s">
        <v>56278</v>
      </c>
      <c r="J801" s="62" t="s">
        <v>9967</v>
      </c>
      <c r="K801" s="62" t="s">
        <v>56307</v>
      </c>
      <c r="L801" s="62" t="s">
        <v>9968</v>
      </c>
      <c r="M801" s="62" t="s">
        <v>9969</v>
      </c>
      <c r="N801" s="62" t="s">
        <v>9970</v>
      </c>
      <c r="O801" s="62" t="s">
        <v>9971</v>
      </c>
      <c r="P801" s="62" t="s">
        <v>56336</v>
      </c>
      <c r="Q801" s="62" t="s">
        <v>9972</v>
      </c>
      <c r="R801" s="62" t="s">
        <v>9973</v>
      </c>
      <c r="S801" s="62" t="s">
        <v>9974</v>
      </c>
      <c r="U801" s="62" t="s">
        <v>9975</v>
      </c>
      <c r="V801" s="62" t="s">
        <v>56365</v>
      </c>
      <c r="W801" s="62" t="s">
        <v>9976</v>
      </c>
      <c r="X801" s="62" t="s">
        <v>9977</v>
      </c>
      <c r="Y801" s="62" t="s">
        <v>9978</v>
      </c>
      <c r="Z801" s="62" t="s">
        <v>9979</v>
      </c>
      <c r="AA801" s="62" t="s">
        <v>56394</v>
      </c>
      <c r="AB801" s="62" t="s">
        <v>9980</v>
      </c>
      <c r="AC801" s="62" t="s">
        <v>9981</v>
      </c>
      <c r="AD801" s="62" t="s">
        <v>9982</v>
      </c>
    </row>
    <row r="802" spans="1:30" x14ac:dyDescent="0.25">
      <c r="A802" s="62" t="s">
        <v>109</v>
      </c>
      <c r="C802" s="62" t="s">
        <v>9983</v>
      </c>
      <c r="F802" s="62" t="s">
        <v>10293</v>
      </c>
      <c r="G802" s="62" t="s">
        <v>56279</v>
      </c>
      <c r="J802" s="62" t="s">
        <v>9984</v>
      </c>
      <c r="K802" s="62" t="s">
        <v>56308</v>
      </c>
      <c r="L802" s="62" t="s">
        <v>9985</v>
      </c>
      <c r="M802" s="62" t="s">
        <v>9986</v>
      </c>
      <c r="N802" s="62" t="s">
        <v>9987</v>
      </c>
      <c r="O802" s="62" t="s">
        <v>9988</v>
      </c>
      <c r="P802" s="62" t="s">
        <v>56337</v>
      </c>
      <c r="Q802" s="62" t="s">
        <v>9989</v>
      </c>
      <c r="R802" s="62" t="s">
        <v>9990</v>
      </c>
      <c r="S802" s="62" t="s">
        <v>9991</v>
      </c>
      <c r="U802" s="62" t="s">
        <v>9992</v>
      </c>
      <c r="V802" s="62" t="s">
        <v>56366</v>
      </c>
      <c r="W802" s="62" t="s">
        <v>9993</v>
      </c>
      <c r="X802" s="62" t="s">
        <v>9994</v>
      </c>
      <c r="Y802" s="62" t="s">
        <v>9995</v>
      </c>
      <c r="Z802" s="62" t="s">
        <v>9996</v>
      </c>
      <c r="AA802" s="62" t="s">
        <v>56395</v>
      </c>
      <c r="AB802" s="62" t="s">
        <v>9997</v>
      </c>
      <c r="AC802" s="62" t="s">
        <v>9998</v>
      </c>
      <c r="AD802" s="62" t="s">
        <v>9999</v>
      </c>
    </row>
    <row r="803" spans="1:30" x14ac:dyDescent="0.25">
      <c r="A803" s="62" t="s">
        <v>109</v>
      </c>
      <c r="C803" s="62" t="s">
        <v>10000</v>
      </c>
      <c r="F803" s="62" t="s">
        <v>340</v>
      </c>
      <c r="G803" s="62" t="s">
        <v>56280</v>
      </c>
      <c r="J803" s="62" t="s">
        <v>10001</v>
      </c>
      <c r="K803" s="62" t="s">
        <v>56309</v>
      </c>
      <c r="L803" s="62" t="s">
        <v>10002</v>
      </c>
      <c r="M803" s="62" t="s">
        <v>10003</v>
      </c>
      <c r="N803" s="62" t="s">
        <v>10004</v>
      </c>
      <c r="O803" s="62" t="s">
        <v>10005</v>
      </c>
      <c r="P803" s="62" t="s">
        <v>56338</v>
      </c>
      <c r="Q803" s="62" t="s">
        <v>10006</v>
      </c>
      <c r="R803" s="62" t="s">
        <v>10007</v>
      </c>
      <c r="S803" s="62" t="s">
        <v>10008</v>
      </c>
      <c r="U803" s="62" t="s">
        <v>10009</v>
      </c>
      <c r="V803" s="62" t="s">
        <v>56367</v>
      </c>
      <c r="W803" s="62" t="s">
        <v>10010</v>
      </c>
      <c r="X803" s="62" t="s">
        <v>10011</v>
      </c>
      <c r="Y803" s="62" t="s">
        <v>10012</v>
      </c>
      <c r="Z803" s="62" t="s">
        <v>10013</v>
      </c>
      <c r="AA803" s="62" t="s">
        <v>56396</v>
      </c>
      <c r="AB803" s="62" t="s">
        <v>10014</v>
      </c>
      <c r="AC803" s="62" t="s">
        <v>10015</v>
      </c>
      <c r="AD803" s="62" t="s">
        <v>10016</v>
      </c>
    </row>
    <row r="804" spans="1:30" x14ac:dyDescent="0.25">
      <c r="A804" s="62" t="s">
        <v>109</v>
      </c>
      <c r="C804" s="62" t="s">
        <v>10017</v>
      </c>
      <c r="F804" s="62" t="s">
        <v>985</v>
      </c>
      <c r="G804" s="62" t="s">
        <v>56281</v>
      </c>
      <c r="J804" s="62" t="s">
        <v>10018</v>
      </c>
      <c r="K804" s="62" t="s">
        <v>56310</v>
      </c>
      <c r="L804" s="62" t="s">
        <v>10019</v>
      </c>
      <c r="M804" s="62" t="s">
        <v>10020</v>
      </c>
      <c r="N804" s="62" t="s">
        <v>10021</v>
      </c>
      <c r="O804" s="62" t="s">
        <v>10022</v>
      </c>
      <c r="P804" s="62" t="s">
        <v>56339</v>
      </c>
      <c r="Q804" s="62" t="s">
        <v>10023</v>
      </c>
      <c r="R804" s="62" t="s">
        <v>10024</v>
      </c>
      <c r="S804" s="62" t="s">
        <v>10025</v>
      </c>
      <c r="U804" s="62" t="s">
        <v>10026</v>
      </c>
      <c r="V804" s="62" t="s">
        <v>56368</v>
      </c>
      <c r="W804" s="62" t="s">
        <v>10027</v>
      </c>
      <c r="X804" s="62" t="s">
        <v>10028</v>
      </c>
      <c r="Y804" s="62" t="s">
        <v>10029</v>
      </c>
      <c r="Z804" s="62" t="s">
        <v>10030</v>
      </c>
      <c r="AA804" s="62" t="s">
        <v>56397</v>
      </c>
      <c r="AB804" s="62" t="s">
        <v>10031</v>
      </c>
      <c r="AC804" s="62" t="s">
        <v>10032</v>
      </c>
      <c r="AD804" s="62" t="s">
        <v>10033</v>
      </c>
    </row>
    <row r="805" spans="1:30" x14ac:dyDescent="0.25">
      <c r="A805" s="62" t="s">
        <v>109</v>
      </c>
      <c r="C805" s="62" t="s">
        <v>10034</v>
      </c>
      <c r="F805" s="62" t="s">
        <v>10332</v>
      </c>
      <c r="G805" s="62" t="s">
        <v>56282</v>
      </c>
      <c r="J805" s="62" t="s">
        <v>10035</v>
      </c>
      <c r="K805" s="62" t="s">
        <v>56311</v>
      </c>
      <c r="L805" s="62" t="s">
        <v>10036</v>
      </c>
      <c r="M805" s="62" t="s">
        <v>10037</v>
      </c>
      <c r="N805" s="62" t="s">
        <v>10038</v>
      </c>
      <c r="O805" s="62" t="s">
        <v>10039</v>
      </c>
      <c r="P805" s="62" t="s">
        <v>56340</v>
      </c>
      <c r="Q805" s="62" t="s">
        <v>10040</v>
      </c>
      <c r="R805" s="62" t="s">
        <v>10041</v>
      </c>
      <c r="S805" s="62" t="s">
        <v>10042</v>
      </c>
      <c r="U805" s="62" t="s">
        <v>10043</v>
      </c>
      <c r="V805" s="62" t="s">
        <v>56369</v>
      </c>
      <c r="W805" s="62" t="s">
        <v>10044</v>
      </c>
      <c r="X805" s="62" t="s">
        <v>10045</v>
      </c>
      <c r="Y805" s="62" t="s">
        <v>10046</v>
      </c>
      <c r="Z805" s="62" t="s">
        <v>10047</v>
      </c>
      <c r="AA805" s="62" t="s">
        <v>56398</v>
      </c>
      <c r="AB805" s="62" t="s">
        <v>10048</v>
      </c>
      <c r="AC805" s="62" t="s">
        <v>10049</v>
      </c>
      <c r="AD805" s="62" t="s">
        <v>10050</v>
      </c>
    </row>
    <row r="806" spans="1:30" x14ac:dyDescent="0.25">
      <c r="A806" s="62" t="s">
        <v>109</v>
      </c>
      <c r="C806" s="62" t="s">
        <v>10051</v>
      </c>
      <c r="F806" s="62" t="s">
        <v>10350</v>
      </c>
      <c r="G806" s="62" t="s">
        <v>56283</v>
      </c>
      <c r="J806" s="62" t="s">
        <v>10052</v>
      </c>
      <c r="K806" s="62" t="s">
        <v>56312</v>
      </c>
      <c r="L806" s="62" t="s">
        <v>10053</v>
      </c>
      <c r="M806" s="62" t="s">
        <v>10054</v>
      </c>
      <c r="N806" s="62" t="s">
        <v>10055</v>
      </c>
      <c r="O806" s="62" t="s">
        <v>10056</v>
      </c>
      <c r="P806" s="62" t="s">
        <v>56341</v>
      </c>
      <c r="Q806" s="62" t="s">
        <v>10057</v>
      </c>
      <c r="R806" s="62" t="s">
        <v>10058</v>
      </c>
      <c r="S806" s="62" t="s">
        <v>10059</v>
      </c>
      <c r="U806" s="62" t="s">
        <v>10060</v>
      </c>
      <c r="V806" s="62" t="s">
        <v>56370</v>
      </c>
      <c r="W806" s="62" t="s">
        <v>10061</v>
      </c>
      <c r="X806" s="62" t="s">
        <v>10062</v>
      </c>
      <c r="Y806" s="62" t="s">
        <v>10063</v>
      </c>
      <c r="Z806" s="62" t="s">
        <v>10064</v>
      </c>
      <c r="AA806" s="62" t="s">
        <v>56399</v>
      </c>
      <c r="AB806" s="62" t="s">
        <v>10065</v>
      </c>
      <c r="AC806" s="62" t="s">
        <v>10066</v>
      </c>
      <c r="AD806" s="62" t="s">
        <v>10067</v>
      </c>
    </row>
    <row r="807" spans="1:30" x14ac:dyDescent="0.25">
      <c r="A807" s="62" t="s">
        <v>109</v>
      </c>
      <c r="C807" s="62" t="s">
        <v>10068</v>
      </c>
      <c r="F807" s="62" t="s">
        <v>10368</v>
      </c>
      <c r="G807" s="62" t="s">
        <v>56284</v>
      </c>
      <c r="J807" s="62" t="s">
        <v>10069</v>
      </c>
      <c r="K807" s="62" t="s">
        <v>56313</v>
      </c>
      <c r="L807" s="62" t="s">
        <v>10070</v>
      </c>
      <c r="M807" s="62" t="s">
        <v>10071</v>
      </c>
      <c r="N807" s="62" t="s">
        <v>10072</v>
      </c>
      <c r="O807" s="62" t="s">
        <v>10073</v>
      </c>
      <c r="P807" s="62" t="s">
        <v>56342</v>
      </c>
      <c r="Q807" s="62" t="s">
        <v>10074</v>
      </c>
      <c r="R807" s="62" t="s">
        <v>10075</v>
      </c>
      <c r="S807" s="62" t="s">
        <v>10076</v>
      </c>
      <c r="U807" s="62" t="s">
        <v>10077</v>
      </c>
      <c r="V807" s="62" t="s">
        <v>56371</v>
      </c>
      <c r="W807" s="62" t="s">
        <v>10078</v>
      </c>
      <c r="X807" s="62" t="s">
        <v>10079</v>
      </c>
      <c r="Y807" s="62" t="s">
        <v>10080</v>
      </c>
      <c r="Z807" s="62" t="s">
        <v>10081</v>
      </c>
      <c r="AA807" s="62" t="s">
        <v>56400</v>
      </c>
      <c r="AB807" s="62" t="s">
        <v>10082</v>
      </c>
      <c r="AC807" s="62" t="s">
        <v>10083</v>
      </c>
      <c r="AD807" s="62" t="s">
        <v>10084</v>
      </c>
    </row>
    <row r="808" spans="1:30" x14ac:dyDescent="0.25">
      <c r="A808" s="62" t="s">
        <v>109</v>
      </c>
      <c r="C808" s="62" t="s">
        <v>10085</v>
      </c>
      <c r="F808" s="62" t="s">
        <v>1047</v>
      </c>
      <c r="G808" s="62" t="s">
        <v>56285</v>
      </c>
      <c r="J808" s="62" t="s">
        <v>10086</v>
      </c>
      <c r="K808" s="62" t="s">
        <v>56314</v>
      </c>
      <c r="L808" s="62" t="s">
        <v>10087</v>
      </c>
      <c r="M808" s="62" t="s">
        <v>10088</v>
      </c>
      <c r="N808" s="62" t="s">
        <v>10089</v>
      </c>
      <c r="O808" s="62" t="s">
        <v>10090</v>
      </c>
      <c r="P808" s="62" t="s">
        <v>56343</v>
      </c>
      <c r="Q808" s="62" t="s">
        <v>10091</v>
      </c>
      <c r="R808" s="62" t="s">
        <v>10092</v>
      </c>
      <c r="S808" s="62" t="s">
        <v>10093</v>
      </c>
      <c r="U808" s="62" t="s">
        <v>10094</v>
      </c>
      <c r="V808" s="62" t="s">
        <v>56372</v>
      </c>
      <c r="W808" s="62" t="s">
        <v>10095</v>
      </c>
      <c r="X808" s="62" t="s">
        <v>10096</v>
      </c>
      <c r="Y808" s="62" t="s">
        <v>10097</v>
      </c>
      <c r="Z808" s="62" t="s">
        <v>10098</v>
      </c>
      <c r="AA808" s="62" t="s">
        <v>56401</v>
      </c>
      <c r="AB808" s="62" t="s">
        <v>10099</v>
      </c>
      <c r="AC808" s="62" t="s">
        <v>10100</v>
      </c>
      <c r="AD808" s="62" t="s">
        <v>10101</v>
      </c>
    </row>
    <row r="809" spans="1:30" x14ac:dyDescent="0.25">
      <c r="A809" s="62" t="s">
        <v>109</v>
      </c>
      <c r="C809" s="62" t="s">
        <v>10102</v>
      </c>
      <c r="F809" s="62" t="s">
        <v>1090</v>
      </c>
      <c r="G809" s="62" t="s">
        <v>56286</v>
      </c>
      <c r="J809" s="62" t="s">
        <v>10103</v>
      </c>
      <c r="K809" s="62" t="s">
        <v>56315</v>
      </c>
      <c r="L809" s="62" t="s">
        <v>10104</v>
      </c>
      <c r="M809" s="62" t="s">
        <v>10105</v>
      </c>
      <c r="N809" s="62" t="s">
        <v>10106</v>
      </c>
      <c r="O809" s="62" t="s">
        <v>10107</v>
      </c>
      <c r="P809" s="62" t="s">
        <v>56344</v>
      </c>
      <c r="Q809" s="62" t="s">
        <v>10108</v>
      </c>
      <c r="R809" s="62" t="s">
        <v>10109</v>
      </c>
      <c r="S809" s="62" t="s">
        <v>10110</v>
      </c>
      <c r="U809" s="62" t="s">
        <v>10111</v>
      </c>
      <c r="V809" s="62" t="s">
        <v>56373</v>
      </c>
      <c r="W809" s="62" t="s">
        <v>10112</v>
      </c>
      <c r="X809" s="62" t="s">
        <v>10113</v>
      </c>
      <c r="Y809" s="62" t="s">
        <v>10114</v>
      </c>
      <c r="Z809" s="62" t="s">
        <v>10115</v>
      </c>
      <c r="AA809" s="62" t="s">
        <v>56402</v>
      </c>
      <c r="AB809" s="62" t="s">
        <v>10116</v>
      </c>
      <c r="AC809" s="62" t="s">
        <v>10117</v>
      </c>
      <c r="AD809" s="62" t="s">
        <v>10118</v>
      </c>
    </row>
    <row r="810" spans="1:30" x14ac:dyDescent="0.25">
      <c r="A810" s="62" t="s">
        <v>109</v>
      </c>
      <c r="C810" s="62" t="s">
        <v>10119</v>
      </c>
      <c r="F810" s="62" t="s">
        <v>1100</v>
      </c>
      <c r="G810" s="62" t="s">
        <v>56287</v>
      </c>
      <c r="J810" s="62" t="s">
        <v>10120</v>
      </c>
      <c r="K810" s="62" t="s">
        <v>56316</v>
      </c>
      <c r="L810" s="62" t="s">
        <v>10121</v>
      </c>
      <c r="M810" s="62" t="s">
        <v>10122</v>
      </c>
      <c r="N810" s="62" t="s">
        <v>10123</v>
      </c>
      <c r="O810" s="62" t="s">
        <v>10124</v>
      </c>
      <c r="P810" s="62" t="s">
        <v>56345</v>
      </c>
      <c r="Q810" s="62" t="s">
        <v>10125</v>
      </c>
      <c r="R810" s="62" t="s">
        <v>10126</v>
      </c>
      <c r="S810" s="62" t="s">
        <v>10127</v>
      </c>
      <c r="U810" s="62" t="s">
        <v>10128</v>
      </c>
      <c r="V810" s="62" t="s">
        <v>56374</v>
      </c>
      <c r="W810" s="62" t="s">
        <v>10129</v>
      </c>
      <c r="X810" s="62" t="s">
        <v>10130</v>
      </c>
      <c r="Y810" s="62" t="s">
        <v>10131</v>
      </c>
      <c r="Z810" s="62" t="s">
        <v>10132</v>
      </c>
      <c r="AA810" s="62" t="s">
        <v>56403</v>
      </c>
      <c r="AB810" s="62" t="s">
        <v>10133</v>
      </c>
      <c r="AC810" s="62" t="s">
        <v>10134</v>
      </c>
      <c r="AD810" s="62" t="s">
        <v>10135</v>
      </c>
    </row>
    <row r="811" spans="1:30" x14ac:dyDescent="0.25">
      <c r="A811" s="62" t="s">
        <v>109</v>
      </c>
      <c r="C811" s="62" t="s">
        <v>41556</v>
      </c>
      <c r="F811" s="62" t="s">
        <v>2337</v>
      </c>
      <c r="G811" s="62" t="s">
        <v>56288</v>
      </c>
      <c r="J811" s="62" t="s">
        <v>41557</v>
      </c>
      <c r="K811" s="62" t="s">
        <v>56317</v>
      </c>
      <c r="L811" s="62" t="s">
        <v>41558</v>
      </c>
      <c r="M811" s="62" t="s">
        <v>41559</v>
      </c>
      <c r="N811" s="62" t="s">
        <v>41560</v>
      </c>
      <c r="O811" s="62" t="s">
        <v>41561</v>
      </c>
      <c r="P811" s="62" t="s">
        <v>56346</v>
      </c>
      <c r="Q811" s="62" t="s">
        <v>41562</v>
      </c>
      <c r="R811" s="62" t="s">
        <v>41563</v>
      </c>
      <c r="S811" s="62" t="s">
        <v>41564</v>
      </c>
      <c r="U811" s="62" t="s">
        <v>41565</v>
      </c>
      <c r="V811" s="62" t="s">
        <v>56375</v>
      </c>
      <c r="W811" s="62" t="s">
        <v>41566</v>
      </c>
      <c r="X811" s="62" t="s">
        <v>41567</v>
      </c>
      <c r="Y811" s="62" t="s">
        <v>41568</v>
      </c>
      <c r="Z811" s="62" t="s">
        <v>41569</v>
      </c>
      <c r="AA811" s="62" t="s">
        <v>56404</v>
      </c>
      <c r="AB811" s="62" t="s">
        <v>41570</v>
      </c>
      <c r="AC811" s="62" t="s">
        <v>41571</v>
      </c>
      <c r="AD811" s="62" t="s">
        <v>41572</v>
      </c>
    </row>
    <row r="812" spans="1:30" x14ac:dyDescent="0.25">
      <c r="A812" s="62" t="s">
        <v>109</v>
      </c>
      <c r="C812" s="62" t="s">
        <v>10136</v>
      </c>
      <c r="F812" s="62" t="s">
        <v>10559</v>
      </c>
      <c r="G812" s="62" t="s">
        <v>56289</v>
      </c>
      <c r="J812" s="62" t="s">
        <v>41573</v>
      </c>
      <c r="K812" s="62" t="s">
        <v>56318</v>
      </c>
      <c r="L812" s="62" t="s">
        <v>41574</v>
      </c>
      <c r="M812" s="62" t="s">
        <v>10137</v>
      </c>
      <c r="N812" s="62" t="s">
        <v>10138</v>
      </c>
      <c r="O812" s="62" t="s">
        <v>41575</v>
      </c>
      <c r="P812" s="62" t="s">
        <v>56347</v>
      </c>
      <c r="Q812" s="62" t="s">
        <v>41576</v>
      </c>
      <c r="R812" s="62" t="s">
        <v>10139</v>
      </c>
      <c r="S812" s="62" t="s">
        <v>10140</v>
      </c>
      <c r="U812" s="62" t="s">
        <v>41577</v>
      </c>
      <c r="V812" s="62" t="s">
        <v>56376</v>
      </c>
      <c r="W812" s="62" t="s">
        <v>41578</v>
      </c>
      <c r="X812" s="62" t="s">
        <v>10141</v>
      </c>
      <c r="Y812" s="62" t="s">
        <v>10142</v>
      </c>
      <c r="Z812" s="62" t="s">
        <v>41579</v>
      </c>
      <c r="AA812" s="62" t="s">
        <v>56405</v>
      </c>
      <c r="AB812" s="62" t="s">
        <v>41580</v>
      </c>
      <c r="AC812" s="62" t="s">
        <v>10143</v>
      </c>
      <c r="AD812" s="62" t="s">
        <v>10144</v>
      </c>
    </row>
    <row r="813" spans="1:30" x14ac:dyDescent="0.25">
      <c r="A813" s="62" t="s">
        <v>109</v>
      </c>
      <c r="C813" s="62" t="s">
        <v>41581</v>
      </c>
      <c r="F813" s="62" t="s">
        <v>10667</v>
      </c>
      <c r="G813" s="62" t="s">
        <v>56290</v>
      </c>
      <c r="J813" s="62" t="s">
        <v>41582</v>
      </c>
      <c r="K813" s="62" t="s">
        <v>56319</v>
      </c>
      <c r="L813" s="62" t="s">
        <v>41583</v>
      </c>
      <c r="M813" s="62" t="s">
        <v>41584</v>
      </c>
      <c r="N813" s="62" t="s">
        <v>41585</v>
      </c>
      <c r="O813" s="62" t="s">
        <v>41586</v>
      </c>
      <c r="P813" s="62" t="s">
        <v>56348</v>
      </c>
      <c r="Q813" s="62" t="s">
        <v>41587</v>
      </c>
      <c r="R813" s="62" t="s">
        <v>41588</v>
      </c>
      <c r="S813" s="62" t="s">
        <v>41589</v>
      </c>
      <c r="U813" s="62" t="s">
        <v>41590</v>
      </c>
      <c r="V813" s="62" t="s">
        <v>56377</v>
      </c>
      <c r="W813" s="62" t="s">
        <v>41591</v>
      </c>
      <c r="X813" s="62" t="s">
        <v>41592</v>
      </c>
      <c r="Y813" s="62" t="s">
        <v>41593</v>
      </c>
      <c r="Z813" s="62" t="s">
        <v>41594</v>
      </c>
      <c r="AA813" s="62" t="s">
        <v>56406</v>
      </c>
      <c r="AB813" s="62" t="s">
        <v>41595</v>
      </c>
      <c r="AC813" s="62" t="s">
        <v>41596</v>
      </c>
      <c r="AD813" s="62" t="s">
        <v>41597</v>
      </c>
    </row>
    <row r="814" spans="1:30" x14ac:dyDescent="0.25">
      <c r="A814" s="62" t="s">
        <v>109</v>
      </c>
      <c r="C814" s="62" t="s">
        <v>41598</v>
      </c>
      <c r="F814" s="62" t="s">
        <v>10703</v>
      </c>
      <c r="G814" s="62" t="s">
        <v>56291</v>
      </c>
      <c r="J814" s="62" t="s">
        <v>41599</v>
      </c>
      <c r="K814" s="62" t="s">
        <v>56320</v>
      </c>
      <c r="L814" s="62" t="s">
        <v>41600</v>
      </c>
      <c r="M814" s="62" t="s">
        <v>41601</v>
      </c>
      <c r="N814" s="62" t="s">
        <v>41602</v>
      </c>
      <c r="O814" s="62" t="s">
        <v>41603</v>
      </c>
      <c r="P814" s="62" t="s">
        <v>56349</v>
      </c>
      <c r="Q814" s="62" t="s">
        <v>41604</v>
      </c>
      <c r="R814" s="62" t="s">
        <v>41605</v>
      </c>
      <c r="S814" s="62" t="s">
        <v>41606</v>
      </c>
      <c r="U814" s="62" t="s">
        <v>41607</v>
      </c>
      <c r="V814" s="62" t="s">
        <v>56378</v>
      </c>
      <c r="W814" s="62" t="s">
        <v>41608</v>
      </c>
      <c r="X814" s="62" t="s">
        <v>41609</v>
      </c>
      <c r="Y814" s="62" t="s">
        <v>41610</v>
      </c>
      <c r="Z814" s="62" t="s">
        <v>41611</v>
      </c>
      <c r="AA814" s="62" t="s">
        <v>56407</v>
      </c>
      <c r="AB814" s="62" t="s">
        <v>41612</v>
      </c>
      <c r="AC814" s="62" t="s">
        <v>41613</v>
      </c>
      <c r="AD814" s="62" t="s">
        <v>41614</v>
      </c>
    </row>
    <row r="815" spans="1:30" x14ac:dyDescent="0.25">
      <c r="A815" s="62" t="s">
        <v>109</v>
      </c>
      <c r="C815" s="62" t="s">
        <v>10145</v>
      </c>
      <c r="F815" s="62" t="s">
        <v>13202</v>
      </c>
      <c r="G815" s="62" t="s">
        <v>56292</v>
      </c>
      <c r="J815" s="62" t="s">
        <v>41615</v>
      </c>
      <c r="K815" s="62" t="s">
        <v>56321</v>
      </c>
      <c r="L815" s="62" t="s">
        <v>41616</v>
      </c>
      <c r="M815" s="62" t="s">
        <v>41617</v>
      </c>
      <c r="N815" s="62" t="s">
        <v>41618</v>
      </c>
      <c r="O815" s="62" t="s">
        <v>41619</v>
      </c>
      <c r="P815" s="62" t="s">
        <v>56350</v>
      </c>
      <c r="Q815" s="62" t="s">
        <v>41620</v>
      </c>
      <c r="R815" s="62" t="s">
        <v>41621</v>
      </c>
      <c r="S815" s="62" t="s">
        <v>41622</v>
      </c>
      <c r="U815" s="62" t="s">
        <v>41623</v>
      </c>
      <c r="V815" s="62" t="s">
        <v>56379</v>
      </c>
      <c r="W815" s="62" t="s">
        <v>41624</v>
      </c>
      <c r="X815" s="62" t="s">
        <v>41625</v>
      </c>
      <c r="Y815" s="62" t="s">
        <v>41626</v>
      </c>
      <c r="Z815" s="62" t="s">
        <v>41627</v>
      </c>
      <c r="AA815" s="62" t="s">
        <v>56408</v>
      </c>
      <c r="AB815" s="62" t="s">
        <v>41628</v>
      </c>
      <c r="AC815" s="62" t="s">
        <v>41629</v>
      </c>
      <c r="AD815" s="62" t="s">
        <v>41630</v>
      </c>
    </row>
    <row r="816" spans="1:30" x14ac:dyDescent="0.25">
      <c r="A816" s="62" t="s">
        <v>109</v>
      </c>
      <c r="C816" s="62" t="s">
        <v>10146</v>
      </c>
      <c r="F816" s="62" t="s">
        <v>10829</v>
      </c>
      <c r="G816" s="62" t="s">
        <v>56293</v>
      </c>
      <c r="J816" s="62" t="s">
        <v>10147</v>
      </c>
      <c r="K816" s="62" t="s">
        <v>56322</v>
      </c>
      <c r="L816" s="62" t="s">
        <v>10148</v>
      </c>
      <c r="M816" s="62" t="s">
        <v>10149</v>
      </c>
      <c r="N816" s="62" t="s">
        <v>10150</v>
      </c>
      <c r="O816" s="62" t="s">
        <v>10151</v>
      </c>
      <c r="P816" s="62" t="s">
        <v>56351</v>
      </c>
      <c r="Q816" s="62" t="s">
        <v>10152</v>
      </c>
      <c r="R816" s="62" t="s">
        <v>10153</v>
      </c>
      <c r="S816" s="62" t="s">
        <v>10154</v>
      </c>
      <c r="U816" s="62" t="s">
        <v>10155</v>
      </c>
      <c r="V816" s="62" t="s">
        <v>56380</v>
      </c>
      <c r="W816" s="62" t="s">
        <v>10156</v>
      </c>
      <c r="X816" s="62" t="s">
        <v>10157</v>
      </c>
      <c r="Y816" s="62" t="s">
        <v>10158</v>
      </c>
      <c r="Z816" s="62" t="s">
        <v>10159</v>
      </c>
      <c r="AA816" s="62" t="s">
        <v>56409</v>
      </c>
      <c r="AB816" s="62" t="s">
        <v>10160</v>
      </c>
      <c r="AC816" s="62" t="s">
        <v>10161</v>
      </c>
      <c r="AD816" s="62" t="s">
        <v>10162</v>
      </c>
    </row>
    <row r="817" spans="1:30" x14ac:dyDescent="0.25">
      <c r="A817" s="62" t="s">
        <v>109</v>
      </c>
      <c r="C817" s="62" t="s">
        <v>10163</v>
      </c>
      <c r="F817" s="62" t="s">
        <v>13236</v>
      </c>
      <c r="G817" s="62" t="s">
        <v>56294</v>
      </c>
      <c r="J817" s="62" t="s">
        <v>10164</v>
      </c>
      <c r="K817" s="62" t="s">
        <v>56323</v>
      </c>
      <c r="L817" s="62" t="s">
        <v>10165</v>
      </c>
      <c r="M817" s="62" t="s">
        <v>10166</v>
      </c>
      <c r="N817" s="62" t="s">
        <v>10167</v>
      </c>
      <c r="O817" s="62" t="s">
        <v>10168</v>
      </c>
      <c r="P817" s="62" t="s">
        <v>56352</v>
      </c>
      <c r="Q817" s="62" t="s">
        <v>10169</v>
      </c>
      <c r="R817" s="62" t="s">
        <v>10170</v>
      </c>
      <c r="S817" s="62" t="s">
        <v>10171</v>
      </c>
      <c r="U817" s="62" t="s">
        <v>10172</v>
      </c>
      <c r="V817" s="62" t="s">
        <v>56381</v>
      </c>
      <c r="W817" s="62" t="s">
        <v>10173</v>
      </c>
      <c r="X817" s="62" t="s">
        <v>10174</v>
      </c>
      <c r="Y817" s="62" t="s">
        <v>10175</v>
      </c>
      <c r="Z817" s="62" t="s">
        <v>10176</v>
      </c>
      <c r="AA817" s="62" t="s">
        <v>56410</v>
      </c>
      <c r="AB817" s="62" t="s">
        <v>10177</v>
      </c>
      <c r="AC817" s="62" t="s">
        <v>10178</v>
      </c>
      <c r="AD817" s="62" t="s">
        <v>10179</v>
      </c>
    </row>
    <row r="818" spans="1:30" x14ac:dyDescent="0.25">
      <c r="A818" s="62" t="s">
        <v>109</v>
      </c>
      <c r="C818" s="62" t="s">
        <v>10180</v>
      </c>
      <c r="F818" s="62" t="s">
        <v>1249</v>
      </c>
      <c r="G818" s="62" t="s">
        <v>56295</v>
      </c>
      <c r="J818" s="62" t="s">
        <v>10181</v>
      </c>
      <c r="K818" s="62" t="s">
        <v>56324</v>
      </c>
      <c r="L818" s="62" t="s">
        <v>10182</v>
      </c>
      <c r="M818" s="62" t="s">
        <v>10183</v>
      </c>
      <c r="N818" s="62" t="s">
        <v>10184</v>
      </c>
      <c r="O818" s="62" t="s">
        <v>10185</v>
      </c>
      <c r="P818" s="62" t="s">
        <v>56353</v>
      </c>
      <c r="Q818" s="62" t="s">
        <v>10186</v>
      </c>
      <c r="R818" s="62" t="s">
        <v>10187</v>
      </c>
      <c r="S818" s="62" t="s">
        <v>10188</v>
      </c>
      <c r="U818" s="62" t="s">
        <v>10189</v>
      </c>
      <c r="V818" s="62" t="s">
        <v>56382</v>
      </c>
      <c r="W818" s="62" t="s">
        <v>10190</v>
      </c>
      <c r="X818" s="62" t="s">
        <v>10191</v>
      </c>
      <c r="Y818" s="62" t="s">
        <v>10192</v>
      </c>
      <c r="Z818" s="62" t="s">
        <v>10193</v>
      </c>
      <c r="AA818" s="62" t="s">
        <v>56411</v>
      </c>
      <c r="AB818" s="62" t="s">
        <v>10194</v>
      </c>
      <c r="AC818" s="62" t="s">
        <v>10195</v>
      </c>
      <c r="AD818" s="62" t="s">
        <v>10196</v>
      </c>
    </row>
    <row r="819" spans="1:30" x14ac:dyDescent="0.25">
      <c r="A819" s="62" t="s">
        <v>109</v>
      </c>
      <c r="C819" s="62" t="s">
        <v>10197</v>
      </c>
      <c r="F819" s="62" t="s">
        <v>1289</v>
      </c>
      <c r="G819" s="62" t="s">
        <v>56296</v>
      </c>
      <c r="J819" s="62" t="s">
        <v>10198</v>
      </c>
      <c r="K819" s="62" t="s">
        <v>56325</v>
      </c>
      <c r="L819" s="62" t="s">
        <v>10199</v>
      </c>
      <c r="M819" s="62" t="s">
        <v>10200</v>
      </c>
      <c r="N819" s="62" t="s">
        <v>10201</v>
      </c>
      <c r="O819" s="62" t="s">
        <v>10202</v>
      </c>
      <c r="P819" s="62" t="s">
        <v>56354</v>
      </c>
      <c r="Q819" s="62" t="s">
        <v>10203</v>
      </c>
      <c r="R819" s="62" t="s">
        <v>10204</v>
      </c>
      <c r="S819" s="62" t="s">
        <v>10205</v>
      </c>
      <c r="U819" s="62" t="s">
        <v>10206</v>
      </c>
      <c r="V819" s="62" t="s">
        <v>56383</v>
      </c>
      <c r="W819" s="62" t="s">
        <v>10207</v>
      </c>
      <c r="X819" s="62" t="s">
        <v>10208</v>
      </c>
      <c r="Y819" s="62" t="s">
        <v>10209</v>
      </c>
      <c r="Z819" s="62" t="s">
        <v>10210</v>
      </c>
      <c r="AA819" s="62" t="s">
        <v>56412</v>
      </c>
      <c r="AB819" s="62" t="s">
        <v>10211</v>
      </c>
      <c r="AC819" s="62" t="s">
        <v>10212</v>
      </c>
      <c r="AD819" s="62" t="s">
        <v>10213</v>
      </c>
    </row>
    <row r="820" spans="1:30" x14ac:dyDescent="0.25">
      <c r="A820" s="62" t="s">
        <v>109</v>
      </c>
      <c r="C820" s="62" t="s">
        <v>10214</v>
      </c>
      <c r="F820" s="62" t="s">
        <v>13249</v>
      </c>
      <c r="G820" s="62" t="s">
        <v>56297</v>
      </c>
      <c r="J820" s="62" t="s">
        <v>10215</v>
      </c>
      <c r="K820" s="62" t="s">
        <v>56326</v>
      </c>
      <c r="L820" s="62" t="s">
        <v>10216</v>
      </c>
      <c r="M820" s="62" t="s">
        <v>10217</v>
      </c>
      <c r="N820" s="62" t="s">
        <v>10218</v>
      </c>
      <c r="O820" s="62" t="s">
        <v>10219</v>
      </c>
      <c r="P820" s="62" t="s">
        <v>56355</v>
      </c>
      <c r="Q820" s="62" t="s">
        <v>10220</v>
      </c>
      <c r="R820" s="62" t="s">
        <v>10221</v>
      </c>
      <c r="S820" s="62" t="s">
        <v>10222</v>
      </c>
      <c r="U820" s="62" t="s">
        <v>10223</v>
      </c>
      <c r="V820" s="62" t="s">
        <v>56384</v>
      </c>
      <c r="W820" s="62" t="s">
        <v>10224</v>
      </c>
      <c r="X820" s="62" t="s">
        <v>10225</v>
      </c>
      <c r="Y820" s="62" t="s">
        <v>10226</v>
      </c>
      <c r="Z820" s="62" t="s">
        <v>10227</v>
      </c>
      <c r="AA820" s="62" t="s">
        <v>56413</v>
      </c>
      <c r="AB820" s="62" t="s">
        <v>10228</v>
      </c>
      <c r="AC820" s="62" t="s">
        <v>10229</v>
      </c>
      <c r="AD820" s="62" t="s">
        <v>10230</v>
      </c>
    </row>
    <row r="821" spans="1:30" x14ac:dyDescent="0.25">
      <c r="A821" s="62" t="s">
        <v>109</v>
      </c>
      <c r="C821" s="62" t="s">
        <v>10231</v>
      </c>
      <c r="F821" s="62" t="s">
        <v>10925</v>
      </c>
      <c r="G821" s="62" t="s">
        <v>56298</v>
      </c>
      <c r="J821" s="62" t="s">
        <v>10232</v>
      </c>
      <c r="K821" s="62" t="s">
        <v>56327</v>
      </c>
      <c r="L821" s="62" t="s">
        <v>10233</v>
      </c>
      <c r="M821" s="62" t="s">
        <v>10234</v>
      </c>
      <c r="N821" s="62" t="s">
        <v>10235</v>
      </c>
      <c r="O821" s="62" t="s">
        <v>10236</v>
      </c>
      <c r="P821" s="62" t="s">
        <v>56356</v>
      </c>
      <c r="Q821" s="62" t="s">
        <v>10237</v>
      </c>
      <c r="R821" s="62" t="s">
        <v>10238</v>
      </c>
      <c r="S821" s="62" t="s">
        <v>10239</v>
      </c>
      <c r="U821" s="62" t="s">
        <v>10240</v>
      </c>
      <c r="V821" s="62" t="s">
        <v>56385</v>
      </c>
      <c r="W821" s="62" t="s">
        <v>10241</v>
      </c>
      <c r="X821" s="62" t="s">
        <v>10242</v>
      </c>
      <c r="Y821" s="62" t="s">
        <v>10243</v>
      </c>
      <c r="Z821" s="62" t="s">
        <v>10244</v>
      </c>
      <c r="AA821" s="62" t="s">
        <v>56414</v>
      </c>
      <c r="AB821" s="62" t="s">
        <v>10245</v>
      </c>
      <c r="AC821" s="62" t="s">
        <v>10246</v>
      </c>
      <c r="AD821" s="62" t="s">
        <v>10247</v>
      </c>
    </row>
    <row r="822" spans="1:30" x14ac:dyDescent="0.25">
      <c r="A822" s="62" t="s">
        <v>109</v>
      </c>
      <c r="C822" s="62" t="s">
        <v>10248</v>
      </c>
      <c r="F822" s="62" t="s">
        <v>10927</v>
      </c>
      <c r="G822" s="62" t="s">
        <v>56299</v>
      </c>
      <c r="J822" s="62" t="s">
        <v>10249</v>
      </c>
      <c r="K822" s="62" t="s">
        <v>56328</v>
      </c>
      <c r="L822" s="62" t="s">
        <v>10250</v>
      </c>
      <c r="M822" s="62" t="s">
        <v>10251</v>
      </c>
      <c r="N822" s="62" t="s">
        <v>10252</v>
      </c>
      <c r="O822" s="62" t="s">
        <v>10253</v>
      </c>
      <c r="P822" s="62" t="s">
        <v>56357</v>
      </c>
      <c r="Q822" s="62" t="s">
        <v>10254</v>
      </c>
      <c r="R822" s="62" t="s">
        <v>10255</v>
      </c>
      <c r="S822" s="62" t="s">
        <v>10256</v>
      </c>
      <c r="U822" s="62" t="s">
        <v>10257</v>
      </c>
      <c r="V822" s="62" t="s">
        <v>56386</v>
      </c>
      <c r="W822" s="62" t="s">
        <v>10258</v>
      </c>
      <c r="X822" s="62" t="s">
        <v>10259</v>
      </c>
      <c r="Y822" s="62" t="s">
        <v>10260</v>
      </c>
      <c r="Z822" s="62" t="s">
        <v>10261</v>
      </c>
      <c r="AA822" s="62" t="s">
        <v>56415</v>
      </c>
      <c r="AB822" s="62" t="s">
        <v>10262</v>
      </c>
      <c r="AC822" s="62" t="s">
        <v>10263</v>
      </c>
      <c r="AD822" s="62" t="s">
        <v>10264</v>
      </c>
    </row>
    <row r="823" spans="1:30" x14ac:dyDescent="0.25">
      <c r="A823" s="62" t="s">
        <v>109</v>
      </c>
      <c r="C823" s="62" t="s">
        <v>10265</v>
      </c>
      <c r="F823" s="62" t="s">
        <v>10929</v>
      </c>
      <c r="G823" s="62" t="s">
        <v>56300</v>
      </c>
      <c r="J823" s="62" t="s">
        <v>10266</v>
      </c>
      <c r="K823" s="62" t="s">
        <v>56329</v>
      </c>
      <c r="L823" s="62" t="s">
        <v>10267</v>
      </c>
      <c r="M823" s="62" t="s">
        <v>10268</v>
      </c>
      <c r="N823" s="62" t="s">
        <v>10269</v>
      </c>
      <c r="O823" s="62" t="s">
        <v>10270</v>
      </c>
      <c r="P823" s="62" t="s">
        <v>56358</v>
      </c>
      <c r="Q823" s="62" t="s">
        <v>10271</v>
      </c>
      <c r="R823" s="62" t="s">
        <v>10272</v>
      </c>
      <c r="S823" s="62" t="s">
        <v>10273</v>
      </c>
      <c r="U823" s="62" t="s">
        <v>10274</v>
      </c>
      <c r="V823" s="62" t="s">
        <v>56387</v>
      </c>
      <c r="W823" s="62" t="s">
        <v>10275</v>
      </c>
      <c r="X823" s="62" t="s">
        <v>10276</v>
      </c>
      <c r="Y823" s="62" t="s">
        <v>10277</v>
      </c>
      <c r="Z823" s="62" t="s">
        <v>10278</v>
      </c>
      <c r="AA823" s="62" t="s">
        <v>56416</v>
      </c>
      <c r="AB823" s="62" t="s">
        <v>10279</v>
      </c>
      <c r="AC823" s="62" t="s">
        <v>10280</v>
      </c>
      <c r="AD823" s="62" t="s">
        <v>10281</v>
      </c>
    </row>
    <row r="824" spans="1:30" x14ac:dyDescent="0.25">
      <c r="A824" s="62" t="s">
        <v>109</v>
      </c>
      <c r="C824" s="62" t="s">
        <v>9881</v>
      </c>
    </row>
    <row r="825" spans="1:30" x14ac:dyDescent="0.25">
      <c r="A825" s="62" t="s">
        <v>109</v>
      </c>
      <c r="C825" s="62" t="s">
        <v>10283</v>
      </c>
      <c r="G825" s="62" t="s">
        <v>41631</v>
      </c>
      <c r="J825" s="62" t="s">
        <v>41632</v>
      </c>
      <c r="K825" s="62" t="s">
        <v>41633</v>
      </c>
      <c r="L825" s="62" t="s">
        <v>41634</v>
      </c>
      <c r="M825" s="62" t="s">
        <v>10285</v>
      </c>
      <c r="N825" s="62" t="s">
        <v>10286</v>
      </c>
      <c r="O825" s="62" t="s">
        <v>41635</v>
      </c>
      <c r="P825" s="62" t="s">
        <v>41636</v>
      </c>
      <c r="Q825" s="62" t="s">
        <v>41637</v>
      </c>
      <c r="R825" s="62" t="s">
        <v>10287</v>
      </c>
      <c r="S825" s="62" t="s">
        <v>10288</v>
      </c>
      <c r="U825" s="62" t="s">
        <v>41638</v>
      </c>
      <c r="V825" s="62" t="s">
        <v>41639</v>
      </c>
      <c r="W825" s="62" t="s">
        <v>41640</v>
      </c>
      <c r="X825" s="62" t="s">
        <v>10289</v>
      </c>
      <c r="Y825" s="62" t="s">
        <v>10290</v>
      </c>
      <c r="Z825" s="62" t="s">
        <v>41641</v>
      </c>
      <c r="AA825" s="62" t="s">
        <v>41642</v>
      </c>
      <c r="AB825" s="62" t="s">
        <v>41643</v>
      </c>
      <c r="AC825" s="62" t="s">
        <v>10291</v>
      </c>
      <c r="AD825" s="62" t="s">
        <v>10292</v>
      </c>
    </row>
    <row r="826" spans="1:30" x14ac:dyDescent="0.25">
      <c r="A826" s="62" t="s">
        <v>109</v>
      </c>
    </row>
    <row r="827" spans="1:30" x14ac:dyDescent="0.25">
      <c r="A827" s="62" t="s">
        <v>109</v>
      </c>
      <c r="C827" s="62" t="s">
        <v>41644</v>
      </c>
      <c r="E827" s="62" t="s">
        <v>305</v>
      </c>
      <c r="G827" s="62" t="s">
        <v>41645</v>
      </c>
    </row>
    <row r="828" spans="1:30" x14ac:dyDescent="0.25">
      <c r="A828" s="62" t="s">
        <v>109</v>
      </c>
      <c r="C828" s="62" t="s">
        <v>10294</v>
      </c>
    </row>
    <row r="829" spans="1:30" x14ac:dyDescent="0.25">
      <c r="A829" s="62" t="s">
        <v>109</v>
      </c>
      <c r="C829" s="62" t="s">
        <v>10296</v>
      </c>
      <c r="F829" s="62" t="s">
        <v>41646</v>
      </c>
      <c r="G829" s="62" t="s">
        <v>56097</v>
      </c>
      <c r="J829" s="62" t="s">
        <v>10297</v>
      </c>
      <c r="K829" s="62" t="s">
        <v>56132</v>
      </c>
      <c r="L829" s="62" t="s">
        <v>10298</v>
      </c>
      <c r="M829" s="62" t="s">
        <v>10299</v>
      </c>
      <c r="N829" s="62" t="s">
        <v>10300</v>
      </c>
      <c r="O829" s="62" t="s">
        <v>10301</v>
      </c>
      <c r="P829" s="62" t="s">
        <v>56167</v>
      </c>
      <c r="Q829" s="62" t="s">
        <v>10302</v>
      </c>
      <c r="R829" s="62" t="s">
        <v>10303</v>
      </c>
      <c r="S829" s="62" t="s">
        <v>10304</v>
      </c>
      <c r="U829" s="62" t="s">
        <v>10305</v>
      </c>
      <c r="V829" s="62" t="s">
        <v>56202</v>
      </c>
      <c r="W829" s="62" t="s">
        <v>10306</v>
      </c>
      <c r="X829" s="62" t="s">
        <v>10307</v>
      </c>
      <c r="Y829" s="62" t="s">
        <v>10308</v>
      </c>
      <c r="Z829" s="62" t="s">
        <v>10309</v>
      </c>
      <c r="AA829" s="62" t="s">
        <v>56237</v>
      </c>
      <c r="AB829" s="62" t="s">
        <v>10310</v>
      </c>
      <c r="AC829" s="62" t="s">
        <v>10311</v>
      </c>
      <c r="AD829" s="62" t="s">
        <v>10312</v>
      </c>
    </row>
    <row r="830" spans="1:30" x14ac:dyDescent="0.25">
      <c r="A830" s="62" t="s">
        <v>109</v>
      </c>
      <c r="C830" s="62" t="s">
        <v>10313</v>
      </c>
      <c r="F830" s="62" t="s">
        <v>731</v>
      </c>
      <c r="G830" s="62" t="s">
        <v>56098</v>
      </c>
      <c r="J830" s="62" t="s">
        <v>10315</v>
      </c>
      <c r="K830" s="62" t="s">
        <v>56133</v>
      </c>
      <c r="L830" s="62" t="s">
        <v>10316</v>
      </c>
      <c r="M830" s="62" t="s">
        <v>10317</v>
      </c>
      <c r="N830" s="62" t="s">
        <v>10318</v>
      </c>
      <c r="O830" s="62" t="s">
        <v>10319</v>
      </c>
      <c r="P830" s="62" t="s">
        <v>56168</v>
      </c>
      <c r="Q830" s="62" t="s">
        <v>10320</v>
      </c>
      <c r="R830" s="62" t="s">
        <v>10321</v>
      </c>
      <c r="S830" s="62" t="s">
        <v>10322</v>
      </c>
      <c r="U830" s="62" t="s">
        <v>10323</v>
      </c>
      <c r="V830" s="62" t="s">
        <v>56203</v>
      </c>
      <c r="W830" s="62" t="s">
        <v>10324</v>
      </c>
      <c r="X830" s="62" t="s">
        <v>10325</v>
      </c>
      <c r="Y830" s="62" t="s">
        <v>10326</v>
      </c>
      <c r="Z830" s="62" t="s">
        <v>10327</v>
      </c>
      <c r="AA830" s="62" t="s">
        <v>56238</v>
      </c>
      <c r="AB830" s="62" t="s">
        <v>10328</v>
      </c>
      <c r="AC830" s="62" t="s">
        <v>10329</v>
      </c>
      <c r="AD830" s="62" t="s">
        <v>10330</v>
      </c>
    </row>
    <row r="831" spans="1:30" x14ac:dyDescent="0.25">
      <c r="A831" s="62" t="s">
        <v>109</v>
      </c>
      <c r="C831" s="62" t="s">
        <v>10331</v>
      </c>
      <c r="F831" s="62" t="s">
        <v>748</v>
      </c>
      <c r="G831" s="62" t="s">
        <v>56099</v>
      </c>
      <c r="J831" s="62" t="s">
        <v>10333</v>
      </c>
      <c r="K831" s="62" t="s">
        <v>56134</v>
      </c>
      <c r="L831" s="62" t="s">
        <v>10334</v>
      </c>
      <c r="M831" s="62" t="s">
        <v>10335</v>
      </c>
      <c r="N831" s="62" t="s">
        <v>10336</v>
      </c>
      <c r="O831" s="62" t="s">
        <v>10337</v>
      </c>
      <c r="P831" s="62" t="s">
        <v>56169</v>
      </c>
      <c r="Q831" s="62" t="s">
        <v>10338</v>
      </c>
      <c r="R831" s="62" t="s">
        <v>10339</v>
      </c>
      <c r="S831" s="62" t="s">
        <v>10340</v>
      </c>
      <c r="U831" s="62" t="s">
        <v>10341</v>
      </c>
      <c r="V831" s="62" t="s">
        <v>56204</v>
      </c>
      <c r="W831" s="62" t="s">
        <v>10342</v>
      </c>
      <c r="X831" s="62" t="s">
        <v>10343</v>
      </c>
      <c r="Y831" s="62" t="s">
        <v>10344</v>
      </c>
      <c r="Z831" s="62" t="s">
        <v>10345</v>
      </c>
      <c r="AA831" s="62" t="s">
        <v>56239</v>
      </c>
      <c r="AB831" s="62" t="s">
        <v>10346</v>
      </c>
      <c r="AC831" s="62" t="s">
        <v>10347</v>
      </c>
      <c r="AD831" s="62" t="s">
        <v>10348</v>
      </c>
    </row>
    <row r="832" spans="1:30" x14ac:dyDescent="0.25">
      <c r="A832" s="62" t="s">
        <v>109</v>
      </c>
      <c r="C832" s="62" t="s">
        <v>10349</v>
      </c>
      <c r="F832" s="62" t="s">
        <v>758</v>
      </c>
      <c r="G832" s="62" t="s">
        <v>56100</v>
      </c>
      <c r="J832" s="62" t="s">
        <v>10351</v>
      </c>
      <c r="K832" s="62" t="s">
        <v>56135</v>
      </c>
      <c r="L832" s="62" t="s">
        <v>10352</v>
      </c>
      <c r="M832" s="62" t="s">
        <v>10353</v>
      </c>
      <c r="N832" s="62" t="s">
        <v>10354</v>
      </c>
      <c r="O832" s="62" t="s">
        <v>10355</v>
      </c>
      <c r="P832" s="62" t="s">
        <v>56170</v>
      </c>
      <c r="Q832" s="62" t="s">
        <v>10356</v>
      </c>
      <c r="R832" s="62" t="s">
        <v>10357</v>
      </c>
      <c r="S832" s="62" t="s">
        <v>10358</v>
      </c>
      <c r="U832" s="62" t="s">
        <v>10359</v>
      </c>
      <c r="V832" s="62" t="s">
        <v>56205</v>
      </c>
      <c r="W832" s="62" t="s">
        <v>10360</v>
      </c>
      <c r="X832" s="62" t="s">
        <v>10361</v>
      </c>
      <c r="Y832" s="62" t="s">
        <v>10362</v>
      </c>
      <c r="Z832" s="62" t="s">
        <v>10363</v>
      </c>
      <c r="AA832" s="62" t="s">
        <v>56240</v>
      </c>
      <c r="AB832" s="62" t="s">
        <v>10364</v>
      </c>
      <c r="AC832" s="62" t="s">
        <v>10365</v>
      </c>
      <c r="AD832" s="62" t="s">
        <v>10366</v>
      </c>
    </row>
    <row r="833" spans="1:30" x14ac:dyDescent="0.25">
      <c r="A833" s="62" t="s">
        <v>109</v>
      </c>
      <c r="C833" s="62" t="s">
        <v>10367</v>
      </c>
      <c r="F833" s="62" t="s">
        <v>776</v>
      </c>
      <c r="G833" s="62" t="s">
        <v>56101</v>
      </c>
      <c r="J833" s="62" t="s">
        <v>10369</v>
      </c>
      <c r="K833" s="62" t="s">
        <v>56136</v>
      </c>
      <c r="L833" s="62" t="s">
        <v>10370</v>
      </c>
      <c r="M833" s="62" t="s">
        <v>10371</v>
      </c>
      <c r="N833" s="62" t="s">
        <v>10372</v>
      </c>
      <c r="O833" s="62" t="s">
        <v>10373</v>
      </c>
      <c r="P833" s="62" t="s">
        <v>56171</v>
      </c>
      <c r="Q833" s="62" t="s">
        <v>10374</v>
      </c>
      <c r="R833" s="62" t="s">
        <v>10375</v>
      </c>
      <c r="S833" s="62" t="s">
        <v>10376</v>
      </c>
      <c r="U833" s="62" t="s">
        <v>10377</v>
      </c>
      <c r="V833" s="62" t="s">
        <v>56206</v>
      </c>
      <c r="W833" s="62" t="s">
        <v>10378</v>
      </c>
      <c r="X833" s="62" t="s">
        <v>10379</v>
      </c>
      <c r="Y833" s="62" t="s">
        <v>10380</v>
      </c>
      <c r="Z833" s="62" t="s">
        <v>10381</v>
      </c>
      <c r="AA833" s="62" t="s">
        <v>56241</v>
      </c>
      <c r="AB833" s="62" t="s">
        <v>10382</v>
      </c>
      <c r="AC833" s="62" t="s">
        <v>10383</v>
      </c>
      <c r="AD833" s="62" t="s">
        <v>10384</v>
      </c>
    </row>
    <row r="834" spans="1:30" x14ac:dyDescent="0.25">
      <c r="A834" s="62" t="s">
        <v>109</v>
      </c>
      <c r="C834" s="62" t="s">
        <v>10385</v>
      </c>
      <c r="F834" s="62" t="s">
        <v>142</v>
      </c>
      <c r="G834" s="62" t="s">
        <v>56102</v>
      </c>
      <c r="J834" s="62" t="s">
        <v>10387</v>
      </c>
      <c r="K834" s="62" t="s">
        <v>56137</v>
      </c>
      <c r="L834" s="62" t="s">
        <v>10388</v>
      </c>
      <c r="M834" s="62" t="s">
        <v>10389</v>
      </c>
      <c r="N834" s="62" t="s">
        <v>10390</v>
      </c>
      <c r="O834" s="62" t="s">
        <v>10391</v>
      </c>
      <c r="P834" s="62" t="s">
        <v>56172</v>
      </c>
      <c r="Q834" s="62" t="s">
        <v>10392</v>
      </c>
      <c r="R834" s="62" t="s">
        <v>10393</v>
      </c>
      <c r="S834" s="62" t="s">
        <v>10394</v>
      </c>
      <c r="U834" s="62" t="s">
        <v>10395</v>
      </c>
      <c r="V834" s="62" t="s">
        <v>56207</v>
      </c>
      <c r="W834" s="62" t="s">
        <v>10396</v>
      </c>
      <c r="X834" s="62" t="s">
        <v>10397</v>
      </c>
      <c r="Y834" s="62" t="s">
        <v>10398</v>
      </c>
      <c r="Z834" s="62" t="s">
        <v>10399</v>
      </c>
      <c r="AA834" s="62" t="s">
        <v>56242</v>
      </c>
      <c r="AB834" s="62" t="s">
        <v>10400</v>
      </c>
      <c r="AC834" s="62" t="s">
        <v>10401</v>
      </c>
      <c r="AD834" s="62" t="s">
        <v>10402</v>
      </c>
    </row>
    <row r="835" spans="1:30" x14ac:dyDescent="0.25">
      <c r="A835" s="62" t="s">
        <v>109</v>
      </c>
      <c r="C835" s="62" t="s">
        <v>10403</v>
      </c>
      <c r="F835" s="62" t="s">
        <v>785</v>
      </c>
      <c r="G835" s="62" t="s">
        <v>56103</v>
      </c>
      <c r="J835" s="62" t="s">
        <v>10405</v>
      </c>
      <c r="K835" s="62" t="s">
        <v>56138</v>
      </c>
      <c r="L835" s="62" t="s">
        <v>10406</v>
      </c>
      <c r="M835" s="62" t="s">
        <v>10407</v>
      </c>
      <c r="N835" s="62" t="s">
        <v>10408</v>
      </c>
      <c r="O835" s="62" t="s">
        <v>10409</v>
      </c>
      <c r="P835" s="62" t="s">
        <v>56173</v>
      </c>
      <c r="Q835" s="62" t="s">
        <v>10410</v>
      </c>
      <c r="R835" s="62" t="s">
        <v>10411</v>
      </c>
      <c r="S835" s="62" t="s">
        <v>10412</v>
      </c>
      <c r="U835" s="62" t="s">
        <v>10413</v>
      </c>
      <c r="V835" s="62" t="s">
        <v>56208</v>
      </c>
      <c r="W835" s="62" t="s">
        <v>10414</v>
      </c>
      <c r="X835" s="62" t="s">
        <v>10415</v>
      </c>
      <c r="Y835" s="62" t="s">
        <v>10416</v>
      </c>
      <c r="Z835" s="62" t="s">
        <v>10417</v>
      </c>
      <c r="AA835" s="62" t="s">
        <v>56243</v>
      </c>
      <c r="AB835" s="62" t="s">
        <v>10418</v>
      </c>
      <c r="AC835" s="62" t="s">
        <v>10419</v>
      </c>
      <c r="AD835" s="62" t="s">
        <v>10420</v>
      </c>
    </row>
    <row r="836" spans="1:30" x14ac:dyDescent="0.25">
      <c r="A836" s="62" t="s">
        <v>109</v>
      </c>
      <c r="C836" s="62" t="s">
        <v>10421</v>
      </c>
      <c r="F836" s="62" t="s">
        <v>837</v>
      </c>
      <c r="G836" s="62" t="s">
        <v>56104</v>
      </c>
      <c r="J836" s="62" t="s">
        <v>10423</v>
      </c>
      <c r="K836" s="62" t="s">
        <v>56139</v>
      </c>
      <c r="L836" s="62" t="s">
        <v>10424</v>
      </c>
      <c r="M836" s="62" t="s">
        <v>10425</v>
      </c>
      <c r="N836" s="62" t="s">
        <v>10426</v>
      </c>
      <c r="O836" s="62" t="s">
        <v>10427</v>
      </c>
      <c r="P836" s="62" t="s">
        <v>56174</v>
      </c>
      <c r="Q836" s="62" t="s">
        <v>10428</v>
      </c>
      <c r="R836" s="62" t="s">
        <v>10429</v>
      </c>
      <c r="S836" s="62" t="s">
        <v>10430</v>
      </c>
      <c r="U836" s="62" t="s">
        <v>10431</v>
      </c>
      <c r="V836" s="62" t="s">
        <v>56209</v>
      </c>
      <c r="W836" s="62" t="s">
        <v>10432</v>
      </c>
      <c r="X836" s="62" t="s">
        <v>10433</v>
      </c>
      <c r="Y836" s="62" t="s">
        <v>10434</v>
      </c>
      <c r="Z836" s="62" t="s">
        <v>10435</v>
      </c>
      <c r="AA836" s="62" t="s">
        <v>56244</v>
      </c>
      <c r="AB836" s="62" t="s">
        <v>10436</v>
      </c>
      <c r="AC836" s="62" t="s">
        <v>10437</v>
      </c>
      <c r="AD836" s="62" t="s">
        <v>10438</v>
      </c>
    </row>
    <row r="837" spans="1:30" x14ac:dyDescent="0.25">
      <c r="A837" s="62" t="s">
        <v>109</v>
      </c>
      <c r="C837" s="62" t="s">
        <v>10439</v>
      </c>
      <c r="F837" s="62" t="s">
        <v>855</v>
      </c>
      <c r="G837" s="62" t="s">
        <v>56105</v>
      </c>
      <c r="J837" s="62" t="s">
        <v>10440</v>
      </c>
      <c r="K837" s="62" t="s">
        <v>56140</v>
      </c>
      <c r="L837" s="62" t="s">
        <v>10441</v>
      </c>
      <c r="M837" s="62" t="s">
        <v>10442</v>
      </c>
      <c r="N837" s="62" t="s">
        <v>10443</v>
      </c>
      <c r="O837" s="62" t="s">
        <v>10444</v>
      </c>
      <c r="P837" s="62" t="s">
        <v>56175</v>
      </c>
      <c r="Q837" s="62" t="s">
        <v>10445</v>
      </c>
      <c r="R837" s="62" t="s">
        <v>10446</v>
      </c>
      <c r="S837" s="62" t="s">
        <v>10447</v>
      </c>
      <c r="U837" s="62" t="s">
        <v>10448</v>
      </c>
      <c r="V837" s="62" t="s">
        <v>56210</v>
      </c>
      <c r="W837" s="62" t="s">
        <v>10449</v>
      </c>
      <c r="X837" s="62" t="s">
        <v>10450</v>
      </c>
      <c r="Y837" s="62" t="s">
        <v>10451</v>
      </c>
      <c r="Z837" s="62" t="s">
        <v>10452</v>
      </c>
      <c r="AA837" s="62" t="s">
        <v>56245</v>
      </c>
      <c r="AB837" s="62" t="s">
        <v>10453</v>
      </c>
      <c r="AC837" s="62" t="s">
        <v>10454</v>
      </c>
      <c r="AD837" s="62" t="s">
        <v>10455</v>
      </c>
    </row>
    <row r="838" spans="1:30" x14ac:dyDescent="0.25">
      <c r="A838" s="62" t="s">
        <v>109</v>
      </c>
      <c r="C838" s="62" t="s">
        <v>10456</v>
      </c>
      <c r="F838" s="62" t="s">
        <v>872</v>
      </c>
      <c r="G838" s="62" t="s">
        <v>56106</v>
      </c>
      <c r="J838" s="62" t="s">
        <v>10457</v>
      </c>
      <c r="K838" s="62" t="s">
        <v>56141</v>
      </c>
      <c r="L838" s="62" t="s">
        <v>10458</v>
      </c>
      <c r="M838" s="62" t="s">
        <v>10459</v>
      </c>
      <c r="N838" s="62" t="s">
        <v>10460</v>
      </c>
      <c r="O838" s="62" t="s">
        <v>10461</v>
      </c>
      <c r="P838" s="62" t="s">
        <v>56176</v>
      </c>
      <c r="Q838" s="62" t="s">
        <v>10462</v>
      </c>
      <c r="R838" s="62" t="s">
        <v>10463</v>
      </c>
      <c r="S838" s="62" t="s">
        <v>10464</v>
      </c>
      <c r="U838" s="62" t="s">
        <v>10465</v>
      </c>
      <c r="V838" s="62" t="s">
        <v>56211</v>
      </c>
      <c r="W838" s="62" t="s">
        <v>10466</v>
      </c>
      <c r="X838" s="62" t="s">
        <v>10467</v>
      </c>
      <c r="Y838" s="62" t="s">
        <v>10468</v>
      </c>
      <c r="Z838" s="62" t="s">
        <v>10469</v>
      </c>
      <c r="AA838" s="62" t="s">
        <v>56246</v>
      </c>
      <c r="AB838" s="62" t="s">
        <v>10470</v>
      </c>
      <c r="AC838" s="62" t="s">
        <v>10471</v>
      </c>
      <c r="AD838" s="62" t="s">
        <v>10472</v>
      </c>
    </row>
    <row r="839" spans="1:30" x14ac:dyDescent="0.25">
      <c r="A839" s="62" t="s">
        <v>109</v>
      </c>
      <c r="C839" s="62" t="s">
        <v>10473</v>
      </c>
      <c r="F839" s="62" t="s">
        <v>889</v>
      </c>
      <c r="G839" s="62" t="s">
        <v>56107</v>
      </c>
      <c r="J839" s="62" t="s">
        <v>10474</v>
      </c>
      <c r="K839" s="62" t="s">
        <v>56142</v>
      </c>
      <c r="L839" s="62" t="s">
        <v>10475</v>
      </c>
      <c r="M839" s="62" t="s">
        <v>10476</v>
      </c>
      <c r="N839" s="62" t="s">
        <v>10477</v>
      </c>
      <c r="O839" s="62" t="s">
        <v>10478</v>
      </c>
      <c r="P839" s="62" t="s">
        <v>56177</v>
      </c>
      <c r="Q839" s="62" t="s">
        <v>10479</v>
      </c>
      <c r="R839" s="62" t="s">
        <v>10480</v>
      </c>
      <c r="S839" s="62" t="s">
        <v>10481</v>
      </c>
      <c r="U839" s="62" t="s">
        <v>10482</v>
      </c>
      <c r="V839" s="62" t="s">
        <v>56212</v>
      </c>
      <c r="W839" s="62" t="s">
        <v>10483</v>
      </c>
      <c r="X839" s="62" t="s">
        <v>10484</v>
      </c>
      <c r="Y839" s="62" t="s">
        <v>10485</v>
      </c>
      <c r="Z839" s="62" t="s">
        <v>10486</v>
      </c>
      <c r="AA839" s="62" t="s">
        <v>56247</v>
      </c>
      <c r="AB839" s="62" t="s">
        <v>10487</v>
      </c>
      <c r="AC839" s="62" t="s">
        <v>10488</v>
      </c>
      <c r="AD839" s="62" t="s">
        <v>10489</v>
      </c>
    </row>
    <row r="840" spans="1:30" x14ac:dyDescent="0.25">
      <c r="A840" s="62" t="s">
        <v>109</v>
      </c>
      <c r="C840" s="62" t="s">
        <v>10490</v>
      </c>
      <c r="F840" s="62" t="s">
        <v>898</v>
      </c>
      <c r="G840" s="62" t="s">
        <v>56108</v>
      </c>
      <c r="J840" s="62" t="s">
        <v>10491</v>
      </c>
      <c r="K840" s="62" t="s">
        <v>56143</v>
      </c>
      <c r="L840" s="62" t="s">
        <v>10492</v>
      </c>
      <c r="M840" s="62" t="s">
        <v>10493</v>
      </c>
      <c r="N840" s="62" t="s">
        <v>10494</v>
      </c>
      <c r="O840" s="62" t="s">
        <v>10495</v>
      </c>
      <c r="P840" s="62" t="s">
        <v>56178</v>
      </c>
      <c r="Q840" s="62" t="s">
        <v>10496</v>
      </c>
      <c r="R840" s="62" t="s">
        <v>10497</v>
      </c>
      <c r="S840" s="62" t="s">
        <v>10498</v>
      </c>
      <c r="U840" s="62" t="s">
        <v>10499</v>
      </c>
      <c r="V840" s="62" t="s">
        <v>56213</v>
      </c>
      <c r="W840" s="62" t="s">
        <v>10500</v>
      </c>
      <c r="X840" s="62" t="s">
        <v>10501</v>
      </c>
      <c r="Y840" s="62" t="s">
        <v>10502</v>
      </c>
      <c r="Z840" s="62" t="s">
        <v>10503</v>
      </c>
      <c r="AA840" s="62" t="s">
        <v>56248</v>
      </c>
      <c r="AB840" s="62" t="s">
        <v>10504</v>
      </c>
      <c r="AC840" s="62" t="s">
        <v>10505</v>
      </c>
      <c r="AD840" s="62" t="s">
        <v>10506</v>
      </c>
    </row>
    <row r="841" spans="1:30" x14ac:dyDescent="0.25">
      <c r="A841" s="62" t="s">
        <v>109</v>
      </c>
      <c r="C841" s="62" t="s">
        <v>10507</v>
      </c>
      <c r="F841" s="62" t="s">
        <v>985</v>
      </c>
      <c r="G841" s="62" t="s">
        <v>56109</v>
      </c>
      <c r="J841" s="62" t="s">
        <v>10508</v>
      </c>
      <c r="K841" s="62" t="s">
        <v>56144</v>
      </c>
      <c r="L841" s="62" t="s">
        <v>10509</v>
      </c>
      <c r="M841" s="62" t="s">
        <v>10510</v>
      </c>
      <c r="N841" s="62" t="s">
        <v>10511</v>
      </c>
      <c r="O841" s="62" t="s">
        <v>10512</v>
      </c>
      <c r="P841" s="62" t="s">
        <v>56179</v>
      </c>
      <c r="Q841" s="62" t="s">
        <v>10513</v>
      </c>
      <c r="R841" s="62" t="s">
        <v>10514</v>
      </c>
      <c r="S841" s="62" t="s">
        <v>10515</v>
      </c>
      <c r="U841" s="62" t="s">
        <v>10516</v>
      </c>
      <c r="V841" s="62" t="s">
        <v>56214</v>
      </c>
      <c r="W841" s="62" t="s">
        <v>10517</v>
      </c>
      <c r="X841" s="62" t="s">
        <v>10518</v>
      </c>
      <c r="Y841" s="62" t="s">
        <v>10519</v>
      </c>
      <c r="Z841" s="62" t="s">
        <v>10520</v>
      </c>
      <c r="AA841" s="62" t="s">
        <v>56249</v>
      </c>
      <c r="AB841" s="62" t="s">
        <v>10521</v>
      </c>
      <c r="AC841" s="62" t="s">
        <v>10522</v>
      </c>
      <c r="AD841" s="62" t="s">
        <v>10523</v>
      </c>
    </row>
    <row r="842" spans="1:30" x14ac:dyDescent="0.25">
      <c r="A842" s="62" t="s">
        <v>109</v>
      </c>
      <c r="C842" s="62" t="s">
        <v>10524</v>
      </c>
      <c r="F842" s="62" t="s">
        <v>1012</v>
      </c>
      <c r="G842" s="62" t="s">
        <v>56110</v>
      </c>
      <c r="J842" s="62" t="s">
        <v>10525</v>
      </c>
      <c r="K842" s="62" t="s">
        <v>56145</v>
      </c>
      <c r="L842" s="62" t="s">
        <v>10526</v>
      </c>
      <c r="M842" s="62" t="s">
        <v>10527</v>
      </c>
      <c r="N842" s="62" t="s">
        <v>10528</v>
      </c>
      <c r="O842" s="62" t="s">
        <v>10529</v>
      </c>
      <c r="P842" s="62" t="s">
        <v>56180</v>
      </c>
      <c r="Q842" s="62" t="s">
        <v>10530</v>
      </c>
      <c r="R842" s="62" t="s">
        <v>10531</v>
      </c>
      <c r="S842" s="62" t="s">
        <v>10532</v>
      </c>
      <c r="U842" s="62" t="s">
        <v>10533</v>
      </c>
      <c r="V842" s="62" t="s">
        <v>56215</v>
      </c>
      <c r="W842" s="62" t="s">
        <v>10534</v>
      </c>
      <c r="X842" s="62" t="s">
        <v>10535</v>
      </c>
      <c r="Y842" s="62" t="s">
        <v>10536</v>
      </c>
      <c r="Z842" s="62" t="s">
        <v>10537</v>
      </c>
      <c r="AA842" s="62" t="s">
        <v>56250</v>
      </c>
      <c r="AB842" s="62" t="s">
        <v>10538</v>
      </c>
      <c r="AC842" s="62" t="s">
        <v>10539</v>
      </c>
      <c r="AD842" s="62" t="s">
        <v>10540</v>
      </c>
    </row>
    <row r="843" spans="1:30" x14ac:dyDescent="0.25">
      <c r="A843" s="62" t="s">
        <v>109</v>
      </c>
      <c r="C843" s="62" t="s">
        <v>10541</v>
      </c>
      <c r="F843" s="62" t="s">
        <v>1030</v>
      </c>
      <c r="G843" s="62" t="s">
        <v>56111</v>
      </c>
      <c r="J843" s="62" t="s">
        <v>10542</v>
      </c>
      <c r="K843" s="62" t="s">
        <v>56146</v>
      </c>
      <c r="L843" s="62" t="s">
        <v>10543</v>
      </c>
      <c r="M843" s="62" t="s">
        <v>10544</v>
      </c>
      <c r="N843" s="62" t="s">
        <v>10545</v>
      </c>
      <c r="O843" s="62" t="s">
        <v>10546</v>
      </c>
      <c r="P843" s="62" t="s">
        <v>56181</v>
      </c>
      <c r="Q843" s="62" t="s">
        <v>10547</v>
      </c>
      <c r="R843" s="62" t="s">
        <v>10548</v>
      </c>
      <c r="S843" s="62" t="s">
        <v>10549</v>
      </c>
      <c r="U843" s="62" t="s">
        <v>10550</v>
      </c>
      <c r="V843" s="62" t="s">
        <v>56216</v>
      </c>
      <c r="W843" s="62" t="s">
        <v>10551</v>
      </c>
      <c r="X843" s="62" t="s">
        <v>10552</v>
      </c>
      <c r="Y843" s="62" t="s">
        <v>10553</v>
      </c>
      <c r="Z843" s="62" t="s">
        <v>10554</v>
      </c>
      <c r="AA843" s="62" t="s">
        <v>56251</v>
      </c>
      <c r="AB843" s="62" t="s">
        <v>10555</v>
      </c>
      <c r="AC843" s="62" t="s">
        <v>10556</v>
      </c>
      <c r="AD843" s="62" t="s">
        <v>10557</v>
      </c>
    </row>
    <row r="844" spans="1:30" x14ac:dyDescent="0.25">
      <c r="A844" s="62" t="s">
        <v>109</v>
      </c>
      <c r="C844" s="62" t="s">
        <v>10558</v>
      </c>
      <c r="F844" s="62" t="s">
        <v>1047</v>
      </c>
      <c r="G844" s="62" t="s">
        <v>56112</v>
      </c>
      <c r="J844" s="62" t="s">
        <v>10560</v>
      </c>
      <c r="K844" s="62" t="s">
        <v>56147</v>
      </c>
      <c r="L844" s="62" t="s">
        <v>10561</v>
      </c>
      <c r="M844" s="62" t="s">
        <v>10562</v>
      </c>
      <c r="N844" s="62" t="s">
        <v>10563</v>
      </c>
      <c r="O844" s="62" t="s">
        <v>10564</v>
      </c>
      <c r="P844" s="62" t="s">
        <v>56182</v>
      </c>
      <c r="Q844" s="62" t="s">
        <v>10565</v>
      </c>
      <c r="R844" s="62" t="s">
        <v>10566</v>
      </c>
      <c r="S844" s="62" t="s">
        <v>10567</v>
      </c>
      <c r="U844" s="62" t="s">
        <v>10568</v>
      </c>
      <c r="V844" s="62" t="s">
        <v>56217</v>
      </c>
      <c r="W844" s="62" t="s">
        <v>10569</v>
      </c>
      <c r="X844" s="62" t="s">
        <v>10570</v>
      </c>
      <c r="Y844" s="62" t="s">
        <v>10571</v>
      </c>
      <c r="Z844" s="62" t="s">
        <v>10572</v>
      </c>
      <c r="AA844" s="62" t="s">
        <v>56252</v>
      </c>
      <c r="AB844" s="62" t="s">
        <v>10573</v>
      </c>
      <c r="AC844" s="62" t="s">
        <v>10574</v>
      </c>
      <c r="AD844" s="62" t="s">
        <v>10575</v>
      </c>
    </row>
    <row r="845" spans="1:30" x14ac:dyDescent="0.25">
      <c r="A845" s="62" t="s">
        <v>109</v>
      </c>
      <c r="C845" s="62" t="s">
        <v>10576</v>
      </c>
      <c r="F845" s="62" t="s">
        <v>1090</v>
      </c>
      <c r="G845" s="62" t="s">
        <v>56113</v>
      </c>
      <c r="J845" s="62" t="s">
        <v>10578</v>
      </c>
      <c r="K845" s="62" t="s">
        <v>56148</v>
      </c>
      <c r="L845" s="62" t="s">
        <v>10579</v>
      </c>
      <c r="M845" s="62" t="s">
        <v>10580</v>
      </c>
      <c r="N845" s="62" t="s">
        <v>10581</v>
      </c>
      <c r="O845" s="62" t="s">
        <v>10582</v>
      </c>
      <c r="P845" s="62" t="s">
        <v>56183</v>
      </c>
      <c r="Q845" s="62" t="s">
        <v>10583</v>
      </c>
      <c r="R845" s="62" t="s">
        <v>10584</v>
      </c>
      <c r="S845" s="62" t="s">
        <v>10585</v>
      </c>
      <c r="U845" s="62" t="s">
        <v>10586</v>
      </c>
      <c r="V845" s="62" t="s">
        <v>56218</v>
      </c>
      <c r="W845" s="62" t="s">
        <v>10587</v>
      </c>
      <c r="X845" s="62" t="s">
        <v>10588</v>
      </c>
      <c r="Y845" s="62" t="s">
        <v>10589</v>
      </c>
      <c r="Z845" s="62" t="s">
        <v>10590</v>
      </c>
      <c r="AA845" s="62" t="s">
        <v>56253</v>
      </c>
      <c r="AB845" s="62" t="s">
        <v>10591</v>
      </c>
      <c r="AC845" s="62" t="s">
        <v>10592</v>
      </c>
      <c r="AD845" s="62" t="s">
        <v>10593</v>
      </c>
    </row>
    <row r="846" spans="1:30" x14ac:dyDescent="0.25">
      <c r="A846" s="62" t="s">
        <v>109</v>
      </c>
      <c r="C846" s="62" t="s">
        <v>10594</v>
      </c>
      <c r="F846" s="62" t="s">
        <v>1100</v>
      </c>
      <c r="G846" s="62" t="s">
        <v>56114</v>
      </c>
      <c r="J846" s="62" t="s">
        <v>10596</v>
      </c>
      <c r="K846" s="62" t="s">
        <v>56149</v>
      </c>
      <c r="L846" s="62" t="s">
        <v>10597</v>
      </c>
      <c r="M846" s="62" t="s">
        <v>10598</v>
      </c>
      <c r="N846" s="62" t="s">
        <v>10599</v>
      </c>
      <c r="O846" s="62" t="s">
        <v>10600</v>
      </c>
      <c r="P846" s="62" t="s">
        <v>56184</v>
      </c>
      <c r="Q846" s="62" t="s">
        <v>10601</v>
      </c>
      <c r="R846" s="62" t="s">
        <v>10602</v>
      </c>
      <c r="S846" s="62" t="s">
        <v>10603</v>
      </c>
      <c r="U846" s="62" t="s">
        <v>10604</v>
      </c>
      <c r="V846" s="62" t="s">
        <v>56219</v>
      </c>
      <c r="W846" s="62" t="s">
        <v>10605</v>
      </c>
      <c r="X846" s="62" t="s">
        <v>10606</v>
      </c>
      <c r="Y846" s="62" t="s">
        <v>10607</v>
      </c>
      <c r="Z846" s="62" t="s">
        <v>10608</v>
      </c>
      <c r="AA846" s="62" t="s">
        <v>56254</v>
      </c>
      <c r="AB846" s="62" t="s">
        <v>10609</v>
      </c>
      <c r="AC846" s="62" t="s">
        <v>10610</v>
      </c>
      <c r="AD846" s="62" t="s">
        <v>10611</v>
      </c>
    </row>
    <row r="847" spans="1:30" x14ac:dyDescent="0.25">
      <c r="A847" s="62" t="s">
        <v>109</v>
      </c>
      <c r="C847" s="62" t="s">
        <v>10612</v>
      </c>
      <c r="F847" s="62" t="s">
        <v>1118</v>
      </c>
      <c r="G847" s="62" t="s">
        <v>56115</v>
      </c>
      <c r="J847" s="62" t="s">
        <v>10614</v>
      </c>
      <c r="K847" s="62" t="s">
        <v>56150</v>
      </c>
      <c r="L847" s="62" t="s">
        <v>10615</v>
      </c>
      <c r="M847" s="62" t="s">
        <v>10616</v>
      </c>
      <c r="N847" s="62" t="s">
        <v>10617</v>
      </c>
      <c r="O847" s="62" t="s">
        <v>10618</v>
      </c>
      <c r="P847" s="62" t="s">
        <v>56185</v>
      </c>
      <c r="Q847" s="62" t="s">
        <v>10619</v>
      </c>
      <c r="R847" s="62" t="s">
        <v>10620</v>
      </c>
      <c r="S847" s="62" t="s">
        <v>10621</v>
      </c>
      <c r="U847" s="62" t="s">
        <v>10622</v>
      </c>
      <c r="V847" s="62" t="s">
        <v>56220</v>
      </c>
      <c r="W847" s="62" t="s">
        <v>10623</v>
      </c>
      <c r="X847" s="62" t="s">
        <v>10624</v>
      </c>
      <c r="Y847" s="62" t="s">
        <v>10625</v>
      </c>
      <c r="Z847" s="62" t="s">
        <v>10626</v>
      </c>
      <c r="AA847" s="62" t="s">
        <v>56255</v>
      </c>
      <c r="AB847" s="62" t="s">
        <v>10627</v>
      </c>
      <c r="AC847" s="62" t="s">
        <v>10628</v>
      </c>
      <c r="AD847" s="62" t="s">
        <v>10629</v>
      </c>
    </row>
    <row r="848" spans="1:30" x14ac:dyDescent="0.25">
      <c r="A848" s="62" t="s">
        <v>109</v>
      </c>
      <c r="C848" s="62" t="s">
        <v>10630</v>
      </c>
      <c r="F848" s="62" t="s">
        <v>1152</v>
      </c>
      <c r="G848" s="62" t="s">
        <v>56116</v>
      </c>
      <c r="J848" s="62" t="s">
        <v>10632</v>
      </c>
      <c r="K848" s="62" t="s">
        <v>56151</v>
      </c>
      <c r="L848" s="62" t="s">
        <v>10633</v>
      </c>
      <c r="M848" s="62" t="s">
        <v>10634</v>
      </c>
      <c r="N848" s="62" t="s">
        <v>10635</v>
      </c>
      <c r="O848" s="62" t="s">
        <v>10636</v>
      </c>
      <c r="P848" s="62" t="s">
        <v>56186</v>
      </c>
      <c r="Q848" s="62" t="s">
        <v>10637</v>
      </c>
      <c r="R848" s="62" t="s">
        <v>10638</v>
      </c>
      <c r="S848" s="62" t="s">
        <v>10639</v>
      </c>
      <c r="U848" s="62" t="s">
        <v>10640</v>
      </c>
      <c r="V848" s="62" t="s">
        <v>56221</v>
      </c>
      <c r="W848" s="62" t="s">
        <v>10641</v>
      </c>
      <c r="X848" s="62" t="s">
        <v>10642</v>
      </c>
      <c r="Y848" s="62" t="s">
        <v>10643</v>
      </c>
      <c r="Z848" s="62" t="s">
        <v>10644</v>
      </c>
      <c r="AA848" s="62" t="s">
        <v>56256</v>
      </c>
      <c r="AB848" s="62" t="s">
        <v>10645</v>
      </c>
      <c r="AC848" s="62" t="s">
        <v>10646</v>
      </c>
      <c r="AD848" s="62" t="s">
        <v>10647</v>
      </c>
    </row>
    <row r="849" spans="1:30" x14ac:dyDescent="0.25">
      <c r="A849" s="62" t="s">
        <v>109</v>
      </c>
      <c r="C849" s="62" t="s">
        <v>10648</v>
      </c>
      <c r="F849" s="62" t="s">
        <v>1178</v>
      </c>
      <c r="G849" s="62" t="s">
        <v>56117</v>
      </c>
      <c r="J849" s="62" t="s">
        <v>10650</v>
      </c>
      <c r="K849" s="62" t="s">
        <v>56152</v>
      </c>
      <c r="L849" s="62" t="s">
        <v>10651</v>
      </c>
      <c r="M849" s="62" t="s">
        <v>10652</v>
      </c>
      <c r="N849" s="62" t="s">
        <v>10653</v>
      </c>
      <c r="O849" s="62" t="s">
        <v>10654</v>
      </c>
      <c r="P849" s="62" t="s">
        <v>56187</v>
      </c>
      <c r="Q849" s="62" t="s">
        <v>10655</v>
      </c>
      <c r="R849" s="62" t="s">
        <v>10656</v>
      </c>
      <c r="S849" s="62" t="s">
        <v>10657</v>
      </c>
      <c r="U849" s="62" t="s">
        <v>10658</v>
      </c>
      <c r="V849" s="62" t="s">
        <v>56222</v>
      </c>
      <c r="W849" s="62" t="s">
        <v>10659</v>
      </c>
      <c r="X849" s="62" t="s">
        <v>10660</v>
      </c>
      <c r="Y849" s="62" t="s">
        <v>10661</v>
      </c>
      <c r="Z849" s="62" t="s">
        <v>10662</v>
      </c>
      <c r="AA849" s="62" t="s">
        <v>56257</v>
      </c>
      <c r="AB849" s="62" t="s">
        <v>10663</v>
      </c>
      <c r="AC849" s="62" t="s">
        <v>10664</v>
      </c>
      <c r="AD849" s="62" t="s">
        <v>10665</v>
      </c>
    </row>
    <row r="850" spans="1:30" x14ac:dyDescent="0.25">
      <c r="A850" s="62" t="s">
        <v>109</v>
      </c>
      <c r="C850" s="62" t="s">
        <v>10666</v>
      </c>
      <c r="F850" s="62" t="s">
        <v>1188</v>
      </c>
      <c r="G850" s="62" t="s">
        <v>56118</v>
      </c>
      <c r="J850" s="62" t="s">
        <v>10668</v>
      </c>
      <c r="K850" s="62" t="s">
        <v>56153</v>
      </c>
      <c r="L850" s="62" t="s">
        <v>10669</v>
      </c>
      <c r="M850" s="62" t="s">
        <v>10670</v>
      </c>
      <c r="N850" s="62" t="s">
        <v>10671</v>
      </c>
      <c r="O850" s="62" t="s">
        <v>10672</v>
      </c>
      <c r="P850" s="62" t="s">
        <v>56188</v>
      </c>
      <c r="Q850" s="62" t="s">
        <v>10673</v>
      </c>
      <c r="R850" s="62" t="s">
        <v>10674</v>
      </c>
      <c r="S850" s="62" t="s">
        <v>10675</v>
      </c>
      <c r="U850" s="62" t="s">
        <v>10676</v>
      </c>
      <c r="V850" s="62" t="s">
        <v>56223</v>
      </c>
      <c r="W850" s="62" t="s">
        <v>10677</v>
      </c>
      <c r="X850" s="62" t="s">
        <v>10678</v>
      </c>
      <c r="Y850" s="62" t="s">
        <v>10679</v>
      </c>
      <c r="Z850" s="62" t="s">
        <v>10680</v>
      </c>
      <c r="AA850" s="62" t="s">
        <v>56258</v>
      </c>
      <c r="AB850" s="62" t="s">
        <v>10681</v>
      </c>
      <c r="AC850" s="62" t="s">
        <v>10682</v>
      </c>
      <c r="AD850" s="62" t="s">
        <v>10683</v>
      </c>
    </row>
    <row r="851" spans="1:30" x14ac:dyDescent="0.25">
      <c r="A851" s="62" t="s">
        <v>109</v>
      </c>
      <c r="C851" s="62" t="s">
        <v>10684</v>
      </c>
      <c r="F851" s="62" t="s">
        <v>1206</v>
      </c>
      <c r="G851" s="62" t="s">
        <v>56119</v>
      </c>
      <c r="J851" s="62" t="s">
        <v>10686</v>
      </c>
      <c r="K851" s="62" t="s">
        <v>56154</v>
      </c>
      <c r="L851" s="62" t="s">
        <v>10687</v>
      </c>
      <c r="M851" s="62" t="s">
        <v>10688</v>
      </c>
      <c r="N851" s="62" t="s">
        <v>10689</v>
      </c>
      <c r="O851" s="62" t="s">
        <v>10690</v>
      </c>
      <c r="P851" s="62" t="s">
        <v>56189</v>
      </c>
      <c r="Q851" s="62" t="s">
        <v>10691</v>
      </c>
      <c r="R851" s="62" t="s">
        <v>10692</v>
      </c>
      <c r="S851" s="62" t="s">
        <v>10693</v>
      </c>
      <c r="U851" s="62" t="s">
        <v>10694</v>
      </c>
      <c r="V851" s="62" t="s">
        <v>56224</v>
      </c>
      <c r="W851" s="62" t="s">
        <v>10695</v>
      </c>
      <c r="X851" s="62" t="s">
        <v>10696</v>
      </c>
      <c r="Y851" s="62" t="s">
        <v>10697</v>
      </c>
      <c r="Z851" s="62" t="s">
        <v>10698</v>
      </c>
      <c r="AA851" s="62" t="s">
        <v>56259</v>
      </c>
      <c r="AB851" s="62" t="s">
        <v>10699</v>
      </c>
      <c r="AC851" s="62" t="s">
        <v>10700</v>
      </c>
      <c r="AD851" s="62" t="s">
        <v>10701</v>
      </c>
    </row>
    <row r="852" spans="1:30" x14ac:dyDescent="0.25">
      <c r="A852" s="62" t="s">
        <v>109</v>
      </c>
      <c r="C852" s="62" t="s">
        <v>10702</v>
      </c>
      <c r="F852" s="62" t="s">
        <v>1240</v>
      </c>
      <c r="G852" s="62" t="s">
        <v>56120</v>
      </c>
      <c r="J852" s="62" t="s">
        <v>10704</v>
      </c>
      <c r="K852" s="62" t="s">
        <v>56155</v>
      </c>
      <c r="L852" s="62" t="s">
        <v>10705</v>
      </c>
      <c r="M852" s="62" t="s">
        <v>10706</v>
      </c>
      <c r="N852" s="62" t="s">
        <v>10707</v>
      </c>
      <c r="O852" s="62" t="s">
        <v>10708</v>
      </c>
      <c r="P852" s="62" t="s">
        <v>56190</v>
      </c>
      <c r="Q852" s="62" t="s">
        <v>10709</v>
      </c>
      <c r="R852" s="62" t="s">
        <v>10710</v>
      </c>
      <c r="S852" s="62" t="s">
        <v>10711</v>
      </c>
      <c r="U852" s="62" t="s">
        <v>10712</v>
      </c>
      <c r="V852" s="62" t="s">
        <v>56225</v>
      </c>
      <c r="W852" s="62" t="s">
        <v>10713</v>
      </c>
      <c r="X852" s="62" t="s">
        <v>10714</v>
      </c>
      <c r="Y852" s="62" t="s">
        <v>10715</v>
      </c>
      <c r="Z852" s="62" t="s">
        <v>10716</v>
      </c>
      <c r="AA852" s="62" t="s">
        <v>56260</v>
      </c>
      <c r="AB852" s="62" t="s">
        <v>10717</v>
      </c>
      <c r="AC852" s="62" t="s">
        <v>10718</v>
      </c>
      <c r="AD852" s="62" t="s">
        <v>10719</v>
      </c>
    </row>
    <row r="853" spans="1:30" x14ac:dyDescent="0.25">
      <c r="A853" s="62" t="s">
        <v>109</v>
      </c>
      <c r="C853" s="62" t="s">
        <v>10720</v>
      </c>
      <c r="F853" s="62" t="s">
        <v>1249</v>
      </c>
      <c r="G853" s="62" t="s">
        <v>56121</v>
      </c>
      <c r="J853" s="62" t="s">
        <v>10722</v>
      </c>
      <c r="K853" s="62" t="s">
        <v>56156</v>
      </c>
      <c r="L853" s="62" t="s">
        <v>10723</v>
      </c>
      <c r="M853" s="62" t="s">
        <v>10724</v>
      </c>
      <c r="N853" s="62" t="s">
        <v>10725</v>
      </c>
      <c r="O853" s="62" t="s">
        <v>10726</v>
      </c>
      <c r="P853" s="62" t="s">
        <v>56191</v>
      </c>
      <c r="Q853" s="62" t="s">
        <v>10727</v>
      </c>
      <c r="R853" s="62" t="s">
        <v>10728</v>
      </c>
      <c r="S853" s="62" t="s">
        <v>10729</v>
      </c>
      <c r="U853" s="62" t="s">
        <v>10730</v>
      </c>
      <c r="V853" s="62" t="s">
        <v>56226</v>
      </c>
      <c r="W853" s="62" t="s">
        <v>10731</v>
      </c>
      <c r="X853" s="62" t="s">
        <v>10732</v>
      </c>
      <c r="Y853" s="62" t="s">
        <v>10733</v>
      </c>
      <c r="Z853" s="62" t="s">
        <v>10734</v>
      </c>
      <c r="AA853" s="62" t="s">
        <v>56261</v>
      </c>
      <c r="AB853" s="62" t="s">
        <v>10735</v>
      </c>
      <c r="AC853" s="62" t="s">
        <v>10736</v>
      </c>
      <c r="AD853" s="62" t="s">
        <v>10737</v>
      </c>
    </row>
    <row r="854" spans="1:30" x14ac:dyDescent="0.25">
      <c r="A854" s="62" t="s">
        <v>109</v>
      </c>
      <c r="C854" s="62" t="s">
        <v>10738</v>
      </c>
      <c r="F854" s="62" t="s">
        <v>1266</v>
      </c>
      <c r="G854" s="62" t="s">
        <v>56122</v>
      </c>
      <c r="J854" s="62" t="s">
        <v>10740</v>
      </c>
      <c r="K854" s="62" t="s">
        <v>56157</v>
      </c>
      <c r="L854" s="62" t="s">
        <v>10741</v>
      </c>
      <c r="M854" s="62" t="s">
        <v>10742</v>
      </c>
      <c r="N854" s="62" t="s">
        <v>10743</v>
      </c>
      <c r="O854" s="62" t="s">
        <v>10744</v>
      </c>
      <c r="P854" s="62" t="s">
        <v>56192</v>
      </c>
      <c r="Q854" s="62" t="s">
        <v>10745</v>
      </c>
      <c r="R854" s="62" t="s">
        <v>10746</v>
      </c>
      <c r="S854" s="62" t="s">
        <v>10747</v>
      </c>
      <c r="U854" s="62" t="s">
        <v>10748</v>
      </c>
      <c r="V854" s="62" t="s">
        <v>56227</v>
      </c>
      <c r="W854" s="62" t="s">
        <v>10749</v>
      </c>
      <c r="X854" s="62" t="s">
        <v>10750</v>
      </c>
      <c r="Y854" s="62" t="s">
        <v>10751</v>
      </c>
      <c r="Z854" s="62" t="s">
        <v>10752</v>
      </c>
      <c r="AA854" s="62" t="s">
        <v>56262</v>
      </c>
      <c r="AB854" s="62" t="s">
        <v>10753</v>
      </c>
      <c r="AC854" s="62" t="s">
        <v>10754</v>
      </c>
      <c r="AD854" s="62" t="s">
        <v>10755</v>
      </c>
    </row>
    <row r="855" spans="1:30" x14ac:dyDescent="0.25">
      <c r="A855" s="62" t="s">
        <v>109</v>
      </c>
      <c r="C855" s="62" t="s">
        <v>10756</v>
      </c>
      <c r="F855" s="62" t="s">
        <v>1275</v>
      </c>
      <c r="G855" s="62" t="s">
        <v>56123</v>
      </c>
      <c r="J855" s="62" t="s">
        <v>10758</v>
      </c>
      <c r="K855" s="62" t="s">
        <v>56158</v>
      </c>
      <c r="L855" s="62" t="s">
        <v>10759</v>
      </c>
      <c r="M855" s="62" t="s">
        <v>10760</v>
      </c>
      <c r="N855" s="62" t="s">
        <v>10761</v>
      </c>
      <c r="O855" s="62" t="s">
        <v>10762</v>
      </c>
      <c r="P855" s="62" t="s">
        <v>56193</v>
      </c>
      <c r="Q855" s="62" t="s">
        <v>10763</v>
      </c>
      <c r="R855" s="62" t="s">
        <v>10764</v>
      </c>
      <c r="S855" s="62" t="s">
        <v>10765</v>
      </c>
      <c r="U855" s="62" t="s">
        <v>10766</v>
      </c>
      <c r="V855" s="62" t="s">
        <v>56228</v>
      </c>
      <c r="W855" s="62" t="s">
        <v>10767</v>
      </c>
      <c r="X855" s="62" t="s">
        <v>10768</v>
      </c>
      <c r="Y855" s="62" t="s">
        <v>10769</v>
      </c>
      <c r="Z855" s="62" t="s">
        <v>10770</v>
      </c>
      <c r="AA855" s="62" t="s">
        <v>56263</v>
      </c>
      <c r="AB855" s="62" t="s">
        <v>10771</v>
      </c>
      <c r="AC855" s="62" t="s">
        <v>10772</v>
      </c>
      <c r="AD855" s="62" t="s">
        <v>10773</v>
      </c>
    </row>
    <row r="856" spans="1:30" x14ac:dyDescent="0.25">
      <c r="A856" s="62" t="s">
        <v>109</v>
      </c>
      <c r="C856" s="62" t="s">
        <v>10774</v>
      </c>
      <c r="F856" s="62" t="s">
        <v>1277</v>
      </c>
      <c r="G856" s="62" t="s">
        <v>56124</v>
      </c>
      <c r="J856" s="62" t="s">
        <v>10776</v>
      </c>
      <c r="K856" s="62" t="s">
        <v>56159</v>
      </c>
      <c r="L856" s="62" t="s">
        <v>10777</v>
      </c>
      <c r="M856" s="62" t="s">
        <v>10778</v>
      </c>
      <c r="N856" s="62" t="s">
        <v>10779</v>
      </c>
      <c r="O856" s="62" t="s">
        <v>10780</v>
      </c>
      <c r="P856" s="62" t="s">
        <v>56194</v>
      </c>
      <c r="Q856" s="62" t="s">
        <v>10781</v>
      </c>
      <c r="R856" s="62" t="s">
        <v>10782</v>
      </c>
      <c r="S856" s="62" t="s">
        <v>10783</v>
      </c>
      <c r="U856" s="62" t="s">
        <v>10784</v>
      </c>
      <c r="V856" s="62" t="s">
        <v>56229</v>
      </c>
      <c r="W856" s="62" t="s">
        <v>10785</v>
      </c>
      <c r="X856" s="62" t="s">
        <v>10786</v>
      </c>
      <c r="Y856" s="62" t="s">
        <v>10787</v>
      </c>
      <c r="Z856" s="62" t="s">
        <v>10788</v>
      </c>
      <c r="AA856" s="62" t="s">
        <v>56264</v>
      </c>
      <c r="AB856" s="62" t="s">
        <v>10789</v>
      </c>
      <c r="AC856" s="62" t="s">
        <v>10790</v>
      </c>
      <c r="AD856" s="62" t="s">
        <v>10791</v>
      </c>
    </row>
    <row r="857" spans="1:30" x14ac:dyDescent="0.25">
      <c r="A857" s="62" t="s">
        <v>109</v>
      </c>
      <c r="C857" s="62" t="s">
        <v>10792</v>
      </c>
      <c r="F857" s="62" t="s">
        <v>1795</v>
      </c>
      <c r="G857" s="62" t="s">
        <v>56125</v>
      </c>
      <c r="J857" s="62" t="s">
        <v>10794</v>
      </c>
      <c r="K857" s="62" t="s">
        <v>56160</v>
      </c>
      <c r="L857" s="62" t="s">
        <v>10795</v>
      </c>
      <c r="M857" s="62" t="s">
        <v>10796</v>
      </c>
      <c r="N857" s="62" t="s">
        <v>10797</v>
      </c>
      <c r="O857" s="62" t="s">
        <v>10798</v>
      </c>
      <c r="P857" s="62" t="s">
        <v>56195</v>
      </c>
      <c r="Q857" s="62" t="s">
        <v>10799</v>
      </c>
      <c r="R857" s="62" t="s">
        <v>10800</v>
      </c>
      <c r="S857" s="62" t="s">
        <v>10801</v>
      </c>
      <c r="U857" s="62" t="s">
        <v>10802</v>
      </c>
      <c r="V857" s="62" t="s">
        <v>56230</v>
      </c>
      <c r="W857" s="62" t="s">
        <v>10803</v>
      </c>
      <c r="X857" s="62" t="s">
        <v>10804</v>
      </c>
      <c r="Y857" s="62" t="s">
        <v>10805</v>
      </c>
      <c r="Z857" s="62" t="s">
        <v>10806</v>
      </c>
      <c r="AA857" s="62" t="s">
        <v>56265</v>
      </c>
      <c r="AB857" s="62" t="s">
        <v>10807</v>
      </c>
      <c r="AC857" s="62" t="s">
        <v>10808</v>
      </c>
      <c r="AD857" s="62" t="s">
        <v>10809</v>
      </c>
    </row>
    <row r="858" spans="1:30" x14ac:dyDescent="0.25">
      <c r="A858" s="62" t="s">
        <v>109</v>
      </c>
      <c r="C858" s="62" t="s">
        <v>10810</v>
      </c>
      <c r="F858" s="62" t="s">
        <v>1286</v>
      </c>
      <c r="G858" s="62" t="s">
        <v>56126</v>
      </c>
      <c r="J858" s="62" t="s">
        <v>10812</v>
      </c>
      <c r="K858" s="62" t="s">
        <v>56161</v>
      </c>
      <c r="L858" s="62" t="s">
        <v>10813</v>
      </c>
      <c r="M858" s="62" t="s">
        <v>10814</v>
      </c>
      <c r="N858" s="62" t="s">
        <v>10815</v>
      </c>
      <c r="O858" s="62" t="s">
        <v>10816</v>
      </c>
      <c r="P858" s="62" t="s">
        <v>56196</v>
      </c>
      <c r="Q858" s="62" t="s">
        <v>10817</v>
      </c>
      <c r="R858" s="62" t="s">
        <v>10818</v>
      </c>
      <c r="S858" s="62" t="s">
        <v>10819</v>
      </c>
      <c r="U858" s="62" t="s">
        <v>10820</v>
      </c>
      <c r="V858" s="62" t="s">
        <v>56231</v>
      </c>
      <c r="W858" s="62" t="s">
        <v>10821</v>
      </c>
      <c r="X858" s="62" t="s">
        <v>10822</v>
      </c>
      <c r="Y858" s="62" t="s">
        <v>10823</v>
      </c>
      <c r="Z858" s="62" t="s">
        <v>10824</v>
      </c>
      <c r="AA858" s="62" t="s">
        <v>56266</v>
      </c>
      <c r="AB858" s="62" t="s">
        <v>10825</v>
      </c>
      <c r="AC858" s="62" t="s">
        <v>10826</v>
      </c>
      <c r="AD858" s="62" t="s">
        <v>10827</v>
      </c>
    </row>
    <row r="859" spans="1:30" x14ac:dyDescent="0.25">
      <c r="A859" s="62" t="s">
        <v>109</v>
      </c>
      <c r="C859" s="62" t="s">
        <v>10828</v>
      </c>
      <c r="F859" s="62" t="s">
        <v>1287</v>
      </c>
      <c r="G859" s="62" t="s">
        <v>56127</v>
      </c>
      <c r="J859" s="62" t="s">
        <v>10830</v>
      </c>
      <c r="K859" s="62" t="s">
        <v>56162</v>
      </c>
      <c r="L859" s="62" t="s">
        <v>10831</v>
      </c>
      <c r="M859" s="62" t="s">
        <v>10832</v>
      </c>
      <c r="N859" s="62" t="s">
        <v>10833</v>
      </c>
      <c r="O859" s="62" t="s">
        <v>10834</v>
      </c>
      <c r="P859" s="62" t="s">
        <v>56197</v>
      </c>
      <c r="Q859" s="62" t="s">
        <v>10835</v>
      </c>
      <c r="R859" s="62" t="s">
        <v>10836</v>
      </c>
      <c r="S859" s="62" t="s">
        <v>10837</v>
      </c>
      <c r="U859" s="62" t="s">
        <v>10838</v>
      </c>
      <c r="V859" s="62" t="s">
        <v>56232</v>
      </c>
      <c r="W859" s="62" t="s">
        <v>10839</v>
      </c>
      <c r="X859" s="62" t="s">
        <v>10840</v>
      </c>
      <c r="Y859" s="62" t="s">
        <v>10841</v>
      </c>
      <c r="Z859" s="62" t="s">
        <v>10842</v>
      </c>
      <c r="AA859" s="62" t="s">
        <v>56267</v>
      </c>
      <c r="AB859" s="62" t="s">
        <v>10843</v>
      </c>
      <c r="AC859" s="62" t="s">
        <v>10844</v>
      </c>
      <c r="AD859" s="62" t="s">
        <v>10845</v>
      </c>
    </row>
    <row r="860" spans="1:30" x14ac:dyDescent="0.25">
      <c r="A860" s="62" t="s">
        <v>109</v>
      </c>
      <c r="C860" s="62" t="s">
        <v>10846</v>
      </c>
      <c r="F860" s="62" t="s">
        <v>1288</v>
      </c>
      <c r="G860" s="62" t="s">
        <v>56128</v>
      </c>
      <c r="J860" s="62" t="s">
        <v>10848</v>
      </c>
      <c r="K860" s="62" t="s">
        <v>56163</v>
      </c>
      <c r="L860" s="62" t="s">
        <v>10849</v>
      </c>
      <c r="M860" s="62" t="s">
        <v>10850</v>
      </c>
      <c r="N860" s="62" t="s">
        <v>10851</v>
      </c>
      <c r="O860" s="62" t="s">
        <v>10852</v>
      </c>
      <c r="P860" s="62" t="s">
        <v>56198</v>
      </c>
      <c r="Q860" s="62" t="s">
        <v>10853</v>
      </c>
      <c r="R860" s="62" t="s">
        <v>10854</v>
      </c>
      <c r="S860" s="62" t="s">
        <v>10855</v>
      </c>
      <c r="U860" s="62" t="s">
        <v>10856</v>
      </c>
      <c r="V860" s="62" t="s">
        <v>56233</v>
      </c>
      <c r="W860" s="62" t="s">
        <v>10857</v>
      </c>
      <c r="X860" s="62" t="s">
        <v>10858</v>
      </c>
      <c r="Y860" s="62" t="s">
        <v>10859</v>
      </c>
      <c r="Z860" s="62" t="s">
        <v>10860</v>
      </c>
      <c r="AA860" s="62" t="s">
        <v>56268</v>
      </c>
      <c r="AB860" s="62" t="s">
        <v>10861</v>
      </c>
      <c r="AC860" s="62" t="s">
        <v>10862</v>
      </c>
      <c r="AD860" s="62" t="s">
        <v>10863</v>
      </c>
    </row>
    <row r="861" spans="1:30" x14ac:dyDescent="0.25">
      <c r="A861" s="62" t="s">
        <v>109</v>
      </c>
      <c r="C861" s="62" t="s">
        <v>10864</v>
      </c>
      <c r="F861" s="62" t="s">
        <v>1289</v>
      </c>
      <c r="G861" s="62" t="s">
        <v>56129</v>
      </c>
      <c r="J861" s="62" t="s">
        <v>10866</v>
      </c>
      <c r="K861" s="62" t="s">
        <v>56164</v>
      </c>
      <c r="L861" s="62" t="s">
        <v>10867</v>
      </c>
      <c r="M861" s="62" t="s">
        <v>10868</v>
      </c>
      <c r="N861" s="62" t="s">
        <v>10869</v>
      </c>
      <c r="O861" s="62" t="s">
        <v>10870</v>
      </c>
      <c r="P861" s="62" t="s">
        <v>56199</v>
      </c>
      <c r="Q861" s="62" t="s">
        <v>10871</v>
      </c>
      <c r="R861" s="62" t="s">
        <v>10872</v>
      </c>
      <c r="S861" s="62" t="s">
        <v>10873</v>
      </c>
      <c r="U861" s="62" t="s">
        <v>10874</v>
      </c>
      <c r="V861" s="62" t="s">
        <v>56234</v>
      </c>
      <c r="W861" s="62" t="s">
        <v>10875</v>
      </c>
      <c r="X861" s="62" t="s">
        <v>10876</v>
      </c>
      <c r="Y861" s="62" t="s">
        <v>10877</v>
      </c>
      <c r="Z861" s="62" t="s">
        <v>10878</v>
      </c>
      <c r="AA861" s="62" t="s">
        <v>56269</v>
      </c>
      <c r="AB861" s="62" t="s">
        <v>10879</v>
      </c>
      <c r="AC861" s="62" t="s">
        <v>10880</v>
      </c>
      <c r="AD861" s="62" t="s">
        <v>10881</v>
      </c>
    </row>
    <row r="862" spans="1:30" x14ac:dyDescent="0.25">
      <c r="A862" s="62" t="s">
        <v>109</v>
      </c>
      <c r="C862" s="62" t="s">
        <v>10882</v>
      </c>
      <c r="F862" s="62" t="s">
        <v>1797</v>
      </c>
      <c r="G862" s="62" t="s">
        <v>56130</v>
      </c>
      <c r="J862" s="62" t="s">
        <v>10883</v>
      </c>
      <c r="K862" s="62" t="s">
        <v>56165</v>
      </c>
      <c r="L862" s="62" t="s">
        <v>10884</v>
      </c>
      <c r="M862" s="62" t="s">
        <v>10885</v>
      </c>
      <c r="N862" s="62" t="s">
        <v>10886</v>
      </c>
      <c r="O862" s="62" t="s">
        <v>10887</v>
      </c>
      <c r="P862" s="62" t="s">
        <v>56200</v>
      </c>
      <c r="Q862" s="62" t="s">
        <v>10888</v>
      </c>
      <c r="R862" s="62" t="s">
        <v>10889</v>
      </c>
      <c r="S862" s="62" t="s">
        <v>10890</v>
      </c>
      <c r="U862" s="62" t="s">
        <v>10891</v>
      </c>
      <c r="V862" s="62" t="s">
        <v>56235</v>
      </c>
      <c r="W862" s="62" t="s">
        <v>10892</v>
      </c>
      <c r="X862" s="62" t="s">
        <v>10893</v>
      </c>
      <c r="Y862" s="62" t="s">
        <v>10894</v>
      </c>
      <c r="Z862" s="62" t="s">
        <v>10895</v>
      </c>
      <c r="AA862" s="62" t="s">
        <v>56270</v>
      </c>
      <c r="AB862" s="62" t="s">
        <v>10896</v>
      </c>
      <c r="AC862" s="62" t="s">
        <v>10897</v>
      </c>
      <c r="AD862" s="62" t="s">
        <v>10898</v>
      </c>
    </row>
    <row r="863" spans="1:30" x14ac:dyDescent="0.25">
      <c r="A863" s="62" t="s">
        <v>109</v>
      </c>
      <c r="C863" s="62" t="s">
        <v>10899</v>
      </c>
      <c r="F863" s="62" t="s">
        <v>1299</v>
      </c>
      <c r="G863" s="62" t="s">
        <v>56131</v>
      </c>
      <c r="J863" s="62" t="s">
        <v>10900</v>
      </c>
      <c r="K863" s="62" t="s">
        <v>56166</v>
      </c>
      <c r="L863" s="62" t="s">
        <v>10901</v>
      </c>
      <c r="M863" s="62" t="s">
        <v>10902</v>
      </c>
      <c r="N863" s="62" t="s">
        <v>10903</v>
      </c>
      <c r="O863" s="62" t="s">
        <v>10904</v>
      </c>
      <c r="P863" s="62" t="s">
        <v>56201</v>
      </c>
      <c r="Q863" s="62" t="s">
        <v>10905</v>
      </c>
      <c r="R863" s="62" t="s">
        <v>10906</v>
      </c>
      <c r="S863" s="62" t="s">
        <v>10907</v>
      </c>
      <c r="U863" s="62" t="s">
        <v>10908</v>
      </c>
      <c r="V863" s="62" t="s">
        <v>56236</v>
      </c>
      <c r="W863" s="62" t="s">
        <v>10909</v>
      </c>
      <c r="X863" s="62" t="s">
        <v>10910</v>
      </c>
      <c r="Y863" s="62" t="s">
        <v>10911</v>
      </c>
      <c r="Z863" s="62" t="s">
        <v>10912</v>
      </c>
      <c r="AA863" s="62" t="s">
        <v>56271</v>
      </c>
      <c r="AB863" s="62" t="s">
        <v>10913</v>
      </c>
      <c r="AC863" s="62" t="s">
        <v>10914</v>
      </c>
      <c r="AD863" s="62" t="s">
        <v>10915</v>
      </c>
    </row>
    <row r="864" spans="1:30" x14ac:dyDescent="0.25">
      <c r="A864" s="62" t="s">
        <v>109</v>
      </c>
      <c r="C864" s="62" t="s">
        <v>10313</v>
      </c>
    </row>
    <row r="865" spans="1:30" x14ac:dyDescent="0.25">
      <c r="A865" s="62" t="s">
        <v>109</v>
      </c>
      <c r="C865" s="62" t="s">
        <v>10916</v>
      </c>
      <c r="G865" s="62" t="s">
        <v>41647</v>
      </c>
      <c r="J865" s="62" t="s">
        <v>41648</v>
      </c>
      <c r="K865" s="62" t="s">
        <v>41649</v>
      </c>
      <c r="L865" s="62" t="s">
        <v>41650</v>
      </c>
      <c r="M865" s="62" t="s">
        <v>10917</v>
      </c>
      <c r="N865" s="62" t="s">
        <v>10918</v>
      </c>
      <c r="O865" s="62" t="s">
        <v>41651</v>
      </c>
      <c r="P865" s="62" t="s">
        <v>41652</v>
      </c>
      <c r="Q865" s="62" t="s">
        <v>41653</v>
      </c>
      <c r="R865" s="62" t="s">
        <v>10919</v>
      </c>
      <c r="S865" s="62" t="s">
        <v>10920</v>
      </c>
      <c r="U865" s="62" t="s">
        <v>41654</v>
      </c>
      <c r="V865" s="62" t="s">
        <v>41655</v>
      </c>
      <c r="W865" s="62" t="s">
        <v>41656</v>
      </c>
      <c r="X865" s="62" t="s">
        <v>10921</v>
      </c>
      <c r="Y865" s="62" t="s">
        <v>10922</v>
      </c>
      <c r="Z865" s="62" t="s">
        <v>41657</v>
      </c>
      <c r="AA865" s="62" t="s">
        <v>41658</v>
      </c>
      <c r="AB865" s="62" t="s">
        <v>41659</v>
      </c>
      <c r="AC865" s="62" t="s">
        <v>10923</v>
      </c>
      <c r="AD865" s="62" t="s">
        <v>10924</v>
      </c>
    </row>
    <row r="866" spans="1:30" x14ac:dyDescent="0.25">
      <c r="A866" s="62" t="s">
        <v>109</v>
      </c>
    </row>
    <row r="867" spans="1:30" x14ac:dyDescent="0.25">
      <c r="A867" s="62" t="s">
        <v>109</v>
      </c>
      <c r="C867" s="62" t="s">
        <v>41660</v>
      </c>
      <c r="E867" s="62" t="s">
        <v>322</v>
      </c>
      <c r="G867" s="62" t="s">
        <v>41661</v>
      </c>
    </row>
    <row r="868" spans="1:30" x14ac:dyDescent="0.25">
      <c r="A868" s="62" t="s">
        <v>109</v>
      </c>
      <c r="C868" s="62" t="s">
        <v>10926</v>
      </c>
    </row>
    <row r="869" spans="1:30" x14ac:dyDescent="0.25">
      <c r="A869" s="62" t="s">
        <v>109</v>
      </c>
      <c r="C869" s="62" t="s">
        <v>10928</v>
      </c>
      <c r="F869" s="62" t="s">
        <v>41662</v>
      </c>
      <c r="G869" s="62" t="s">
        <v>46530</v>
      </c>
      <c r="J869" s="62" t="s">
        <v>10930</v>
      </c>
      <c r="K869" s="62" t="s">
        <v>46531</v>
      </c>
      <c r="L869" s="62" t="s">
        <v>10931</v>
      </c>
      <c r="M869" s="62" t="s">
        <v>10932</v>
      </c>
      <c r="N869" s="62" t="s">
        <v>10933</v>
      </c>
      <c r="O869" s="62" t="s">
        <v>10934</v>
      </c>
      <c r="P869" s="62" t="s">
        <v>46532</v>
      </c>
      <c r="Q869" s="62" t="s">
        <v>10935</v>
      </c>
      <c r="R869" s="62" t="s">
        <v>10936</v>
      </c>
      <c r="S869" s="62" t="s">
        <v>10937</v>
      </c>
      <c r="U869" s="62" t="s">
        <v>10938</v>
      </c>
      <c r="V869" s="62" t="s">
        <v>46533</v>
      </c>
      <c r="W869" s="62" t="s">
        <v>10939</v>
      </c>
      <c r="X869" s="62" t="s">
        <v>10940</v>
      </c>
      <c r="Y869" s="62" t="s">
        <v>10941</v>
      </c>
      <c r="Z869" s="62" t="s">
        <v>10942</v>
      </c>
      <c r="AA869" s="62" t="s">
        <v>46534</v>
      </c>
      <c r="AB869" s="62" t="s">
        <v>10943</v>
      </c>
      <c r="AC869" s="62" t="s">
        <v>10944</v>
      </c>
      <c r="AD869" s="62" t="s">
        <v>10945</v>
      </c>
    </row>
    <row r="870" spans="1:30" x14ac:dyDescent="0.25">
      <c r="A870" s="62" t="s">
        <v>109</v>
      </c>
      <c r="C870" s="62" t="s">
        <v>10946</v>
      </c>
    </row>
    <row r="871" spans="1:30" x14ac:dyDescent="0.25">
      <c r="A871" s="62" t="s">
        <v>109</v>
      </c>
      <c r="C871" s="62" t="s">
        <v>10948</v>
      </c>
      <c r="G871" s="62" t="s">
        <v>41663</v>
      </c>
      <c r="J871" s="62" t="s">
        <v>41664</v>
      </c>
      <c r="K871" s="62" t="s">
        <v>41665</v>
      </c>
      <c r="L871" s="62" t="s">
        <v>41666</v>
      </c>
      <c r="M871" s="62" t="s">
        <v>10950</v>
      </c>
      <c r="N871" s="62" t="s">
        <v>10951</v>
      </c>
      <c r="O871" s="62" t="s">
        <v>41667</v>
      </c>
      <c r="P871" s="62" t="s">
        <v>41668</v>
      </c>
      <c r="Q871" s="62" t="s">
        <v>41669</v>
      </c>
      <c r="R871" s="62" t="s">
        <v>10952</v>
      </c>
      <c r="S871" s="62" t="s">
        <v>10953</v>
      </c>
      <c r="U871" s="62" t="s">
        <v>41670</v>
      </c>
      <c r="V871" s="62" t="s">
        <v>41671</v>
      </c>
      <c r="W871" s="62" t="s">
        <v>41672</v>
      </c>
      <c r="X871" s="62" t="s">
        <v>10954</v>
      </c>
      <c r="Y871" s="62" t="s">
        <v>10955</v>
      </c>
      <c r="Z871" s="62" t="s">
        <v>41673</v>
      </c>
      <c r="AA871" s="62" t="s">
        <v>41674</v>
      </c>
      <c r="AB871" s="62" t="s">
        <v>41675</v>
      </c>
      <c r="AC871" s="62" t="s">
        <v>10956</v>
      </c>
      <c r="AD871" s="62" t="s">
        <v>10957</v>
      </c>
    </row>
    <row r="872" spans="1:30" x14ac:dyDescent="0.25">
      <c r="A872" s="62" t="s">
        <v>109</v>
      </c>
    </row>
    <row r="873" spans="1:30" x14ac:dyDescent="0.25">
      <c r="A873" s="62" t="s">
        <v>109</v>
      </c>
      <c r="C873" s="62" t="s">
        <v>41676</v>
      </c>
      <c r="E873" s="62" t="s">
        <v>10293</v>
      </c>
      <c r="G873" s="62" t="s">
        <v>41677</v>
      </c>
    </row>
    <row r="874" spans="1:30" x14ac:dyDescent="0.25">
      <c r="A874" s="62" t="s">
        <v>109</v>
      </c>
      <c r="C874" s="62" t="s">
        <v>10960</v>
      </c>
    </row>
    <row r="875" spans="1:30" x14ac:dyDescent="0.25">
      <c r="A875" s="62" t="s">
        <v>109</v>
      </c>
      <c r="C875" s="62" t="s">
        <v>10962</v>
      </c>
      <c r="F875" s="62" t="s">
        <v>41678</v>
      </c>
      <c r="G875" s="62" t="s">
        <v>55992</v>
      </c>
      <c r="J875" s="62" t="s">
        <v>10964</v>
      </c>
      <c r="K875" s="62" t="s">
        <v>56013</v>
      </c>
      <c r="L875" s="62" t="s">
        <v>10965</v>
      </c>
      <c r="M875" s="62" t="s">
        <v>10966</v>
      </c>
      <c r="N875" s="62" t="s">
        <v>10967</v>
      </c>
      <c r="O875" s="62" t="s">
        <v>10968</v>
      </c>
      <c r="P875" s="62" t="s">
        <v>56034</v>
      </c>
      <c r="Q875" s="62" t="s">
        <v>10969</v>
      </c>
      <c r="R875" s="62" t="s">
        <v>10970</v>
      </c>
      <c r="S875" s="62" t="s">
        <v>10971</v>
      </c>
      <c r="U875" s="62" t="s">
        <v>10972</v>
      </c>
      <c r="V875" s="62" t="s">
        <v>56055</v>
      </c>
      <c r="W875" s="62" t="s">
        <v>10973</v>
      </c>
      <c r="X875" s="62" t="s">
        <v>10974</v>
      </c>
      <c r="Y875" s="62" t="s">
        <v>10975</v>
      </c>
      <c r="Z875" s="62" t="s">
        <v>10976</v>
      </c>
      <c r="AA875" s="62" t="s">
        <v>56076</v>
      </c>
      <c r="AB875" s="62" t="s">
        <v>10977</v>
      </c>
      <c r="AC875" s="62" t="s">
        <v>10978</v>
      </c>
      <c r="AD875" s="62" t="s">
        <v>10979</v>
      </c>
    </row>
    <row r="876" spans="1:30" x14ac:dyDescent="0.25">
      <c r="A876" s="62" t="s">
        <v>109</v>
      </c>
      <c r="C876" s="62" t="s">
        <v>10980</v>
      </c>
      <c r="F876" s="62" t="s">
        <v>748</v>
      </c>
      <c r="G876" s="62" t="s">
        <v>55993</v>
      </c>
      <c r="J876" s="62" t="s">
        <v>10982</v>
      </c>
      <c r="K876" s="62" t="s">
        <v>56014</v>
      </c>
      <c r="L876" s="62" t="s">
        <v>10983</v>
      </c>
      <c r="M876" s="62" t="s">
        <v>10984</v>
      </c>
      <c r="N876" s="62" t="s">
        <v>10985</v>
      </c>
      <c r="O876" s="62" t="s">
        <v>10986</v>
      </c>
      <c r="P876" s="62" t="s">
        <v>56035</v>
      </c>
      <c r="Q876" s="62" t="s">
        <v>10987</v>
      </c>
      <c r="R876" s="62" t="s">
        <v>10988</v>
      </c>
      <c r="S876" s="62" t="s">
        <v>10989</v>
      </c>
      <c r="U876" s="62" t="s">
        <v>10990</v>
      </c>
      <c r="V876" s="62" t="s">
        <v>56056</v>
      </c>
      <c r="W876" s="62" t="s">
        <v>10991</v>
      </c>
      <c r="X876" s="62" t="s">
        <v>10992</v>
      </c>
      <c r="Y876" s="62" t="s">
        <v>10993</v>
      </c>
      <c r="Z876" s="62" t="s">
        <v>10994</v>
      </c>
      <c r="AA876" s="62" t="s">
        <v>56077</v>
      </c>
      <c r="AB876" s="62" t="s">
        <v>10995</v>
      </c>
      <c r="AC876" s="62" t="s">
        <v>10996</v>
      </c>
      <c r="AD876" s="62" t="s">
        <v>10997</v>
      </c>
    </row>
    <row r="877" spans="1:30" x14ac:dyDescent="0.25">
      <c r="A877" s="62" t="s">
        <v>109</v>
      </c>
      <c r="C877" s="62" t="s">
        <v>41679</v>
      </c>
      <c r="F877" s="62" t="s">
        <v>758</v>
      </c>
      <c r="G877" s="62" t="s">
        <v>55994</v>
      </c>
      <c r="J877" s="62" t="s">
        <v>41680</v>
      </c>
      <c r="K877" s="62" t="s">
        <v>56015</v>
      </c>
      <c r="L877" s="62" t="s">
        <v>41681</v>
      </c>
      <c r="M877" s="62" t="s">
        <v>41682</v>
      </c>
      <c r="N877" s="62" t="s">
        <v>41683</v>
      </c>
      <c r="O877" s="62" t="s">
        <v>41684</v>
      </c>
      <c r="P877" s="62" t="s">
        <v>56036</v>
      </c>
      <c r="Q877" s="62" t="s">
        <v>41685</v>
      </c>
      <c r="R877" s="62" t="s">
        <v>41686</v>
      </c>
      <c r="S877" s="62" t="s">
        <v>41687</v>
      </c>
      <c r="U877" s="62" t="s">
        <v>41688</v>
      </c>
      <c r="V877" s="62" t="s">
        <v>56057</v>
      </c>
      <c r="W877" s="62" t="s">
        <v>41689</v>
      </c>
      <c r="X877" s="62" t="s">
        <v>41690</v>
      </c>
      <c r="Y877" s="62" t="s">
        <v>41691</v>
      </c>
      <c r="Z877" s="62" t="s">
        <v>41692</v>
      </c>
      <c r="AA877" s="62" t="s">
        <v>56078</v>
      </c>
      <c r="AB877" s="62" t="s">
        <v>41693</v>
      </c>
      <c r="AC877" s="62" t="s">
        <v>41694</v>
      </c>
      <c r="AD877" s="62" t="s">
        <v>41695</v>
      </c>
    </row>
    <row r="878" spans="1:30" x14ac:dyDescent="0.25">
      <c r="A878" s="62" t="s">
        <v>109</v>
      </c>
      <c r="C878" s="62" t="s">
        <v>10998</v>
      </c>
      <c r="F878" s="62" t="s">
        <v>776</v>
      </c>
      <c r="G878" s="62" t="s">
        <v>55995</v>
      </c>
      <c r="J878" s="62" t="s">
        <v>41696</v>
      </c>
      <c r="K878" s="62" t="s">
        <v>56016</v>
      </c>
      <c r="L878" s="62" t="s">
        <v>41697</v>
      </c>
      <c r="M878" s="62" t="s">
        <v>10999</v>
      </c>
      <c r="N878" s="62" t="s">
        <v>11000</v>
      </c>
      <c r="O878" s="62" t="s">
        <v>41698</v>
      </c>
      <c r="P878" s="62" t="s">
        <v>56037</v>
      </c>
      <c r="Q878" s="62" t="s">
        <v>41699</v>
      </c>
      <c r="R878" s="62" t="s">
        <v>11001</v>
      </c>
      <c r="S878" s="62" t="s">
        <v>11002</v>
      </c>
      <c r="U878" s="62" t="s">
        <v>41700</v>
      </c>
      <c r="V878" s="62" t="s">
        <v>56058</v>
      </c>
      <c r="W878" s="62" t="s">
        <v>41701</v>
      </c>
      <c r="X878" s="62" t="s">
        <v>11003</v>
      </c>
      <c r="Y878" s="62" t="s">
        <v>11004</v>
      </c>
      <c r="Z878" s="62" t="s">
        <v>41702</v>
      </c>
      <c r="AA878" s="62" t="s">
        <v>56079</v>
      </c>
      <c r="AB878" s="62" t="s">
        <v>41703</v>
      </c>
      <c r="AC878" s="62" t="s">
        <v>11005</v>
      </c>
      <c r="AD878" s="62" t="s">
        <v>11006</v>
      </c>
    </row>
    <row r="879" spans="1:30" x14ac:dyDescent="0.25">
      <c r="A879" s="62" t="s">
        <v>109</v>
      </c>
      <c r="C879" s="62" t="s">
        <v>41704</v>
      </c>
      <c r="F879" s="62" t="s">
        <v>1359</v>
      </c>
      <c r="G879" s="62" t="s">
        <v>55996</v>
      </c>
      <c r="J879" s="62" t="s">
        <v>41705</v>
      </c>
      <c r="K879" s="62" t="s">
        <v>56017</v>
      </c>
      <c r="L879" s="62" t="s">
        <v>41706</v>
      </c>
      <c r="M879" s="62" t="s">
        <v>41707</v>
      </c>
      <c r="N879" s="62" t="s">
        <v>41708</v>
      </c>
      <c r="O879" s="62" t="s">
        <v>41709</v>
      </c>
      <c r="P879" s="62" t="s">
        <v>56038</v>
      </c>
      <c r="Q879" s="62" t="s">
        <v>41710</v>
      </c>
      <c r="R879" s="62" t="s">
        <v>41711</v>
      </c>
      <c r="S879" s="62" t="s">
        <v>41712</v>
      </c>
      <c r="U879" s="62" t="s">
        <v>41713</v>
      </c>
      <c r="V879" s="62" t="s">
        <v>56059</v>
      </c>
      <c r="W879" s="62" t="s">
        <v>41714</v>
      </c>
      <c r="X879" s="62" t="s">
        <v>41715</v>
      </c>
      <c r="Y879" s="62" t="s">
        <v>41716</v>
      </c>
      <c r="Z879" s="62" t="s">
        <v>41717</v>
      </c>
      <c r="AA879" s="62" t="s">
        <v>56080</v>
      </c>
      <c r="AB879" s="62" t="s">
        <v>41718</v>
      </c>
      <c r="AC879" s="62" t="s">
        <v>41719</v>
      </c>
      <c r="AD879" s="62" t="s">
        <v>41720</v>
      </c>
    </row>
    <row r="880" spans="1:30" x14ac:dyDescent="0.25">
      <c r="A880" s="62" t="s">
        <v>109</v>
      </c>
      <c r="C880" s="62" t="s">
        <v>41721</v>
      </c>
      <c r="F880" s="62" t="s">
        <v>802</v>
      </c>
      <c r="G880" s="62" t="s">
        <v>55997</v>
      </c>
      <c r="J880" s="62" t="s">
        <v>41722</v>
      </c>
      <c r="K880" s="62" t="s">
        <v>56018</v>
      </c>
      <c r="L880" s="62" t="s">
        <v>41723</v>
      </c>
      <c r="M880" s="62" t="s">
        <v>41724</v>
      </c>
      <c r="N880" s="62" t="s">
        <v>41725</v>
      </c>
      <c r="O880" s="62" t="s">
        <v>41726</v>
      </c>
      <c r="P880" s="62" t="s">
        <v>56039</v>
      </c>
      <c r="Q880" s="62" t="s">
        <v>41727</v>
      </c>
      <c r="R880" s="62" t="s">
        <v>41728</v>
      </c>
      <c r="S880" s="62" t="s">
        <v>41729</v>
      </c>
      <c r="U880" s="62" t="s">
        <v>41730</v>
      </c>
      <c r="V880" s="62" t="s">
        <v>56060</v>
      </c>
      <c r="W880" s="62" t="s">
        <v>41731</v>
      </c>
      <c r="X880" s="62" t="s">
        <v>41732</v>
      </c>
      <c r="Y880" s="62" t="s">
        <v>41733</v>
      </c>
      <c r="Z880" s="62" t="s">
        <v>41734</v>
      </c>
      <c r="AA880" s="62" t="s">
        <v>56081</v>
      </c>
      <c r="AB880" s="62" t="s">
        <v>41735</v>
      </c>
      <c r="AC880" s="62" t="s">
        <v>41736</v>
      </c>
      <c r="AD880" s="62" t="s">
        <v>41737</v>
      </c>
    </row>
    <row r="881" spans="1:30" x14ac:dyDescent="0.25">
      <c r="A881" s="62" t="s">
        <v>109</v>
      </c>
      <c r="C881" s="62" t="s">
        <v>11007</v>
      </c>
      <c r="F881" s="62" t="s">
        <v>159</v>
      </c>
      <c r="G881" s="62" t="s">
        <v>55998</v>
      </c>
      <c r="J881" s="62" t="s">
        <v>41738</v>
      </c>
      <c r="K881" s="62" t="s">
        <v>56019</v>
      </c>
      <c r="L881" s="62" t="s">
        <v>41739</v>
      </c>
      <c r="M881" s="62" t="s">
        <v>41740</v>
      </c>
      <c r="N881" s="62" t="s">
        <v>41741</v>
      </c>
      <c r="O881" s="62" t="s">
        <v>41742</v>
      </c>
      <c r="P881" s="62" t="s">
        <v>56040</v>
      </c>
      <c r="Q881" s="62" t="s">
        <v>41743</v>
      </c>
      <c r="R881" s="62" t="s">
        <v>41744</v>
      </c>
      <c r="S881" s="62" t="s">
        <v>41745</v>
      </c>
      <c r="U881" s="62" t="s">
        <v>41746</v>
      </c>
      <c r="V881" s="62" t="s">
        <v>56061</v>
      </c>
      <c r="W881" s="62" t="s">
        <v>41747</v>
      </c>
      <c r="X881" s="62" t="s">
        <v>41748</v>
      </c>
      <c r="Y881" s="62" t="s">
        <v>41749</v>
      </c>
      <c r="Z881" s="62" t="s">
        <v>41750</v>
      </c>
      <c r="AA881" s="62" t="s">
        <v>56082</v>
      </c>
      <c r="AB881" s="62" t="s">
        <v>41751</v>
      </c>
      <c r="AC881" s="62" t="s">
        <v>41752</v>
      </c>
      <c r="AD881" s="62" t="s">
        <v>41753</v>
      </c>
    </row>
    <row r="882" spans="1:30" x14ac:dyDescent="0.25">
      <c r="A882" s="62" t="s">
        <v>109</v>
      </c>
      <c r="C882" s="62" t="s">
        <v>11008</v>
      </c>
      <c r="F882" s="62" t="s">
        <v>827</v>
      </c>
      <c r="G882" s="62" t="s">
        <v>55999</v>
      </c>
      <c r="J882" s="62" t="s">
        <v>11009</v>
      </c>
      <c r="K882" s="62" t="s">
        <v>56020</v>
      </c>
      <c r="L882" s="62" t="s">
        <v>11010</v>
      </c>
      <c r="M882" s="62" t="s">
        <v>11011</v>
      </c>
      <c r="N882" s="62" t="s">
        <v>11012</v>
      </c>
      <c r="O882" s="62" t="s">
        <v>11013</v>
      </c>
      <c r="P882" s="62" t="s">
        <v>56041</v>
      </c>
      <c r="Q882" s="62" t="s">
        <v>11014</v>
      </c>
      <c r="R882" s="62" t="s">
        <v>11015</v>
      </c>
      <c r="S882" s="62" t="s">
        <v>11016</v>
      </c>
      <c r="U882" s="62" t="s">
        <v>11017</v>
      </c>
      <c r="V882" s="62" t="s">
        <v>56062</v>
      </c>
      <c r="W882" s="62" t="s">
        <v>11018</v>
      </c>
      <c r="X882" s="62" t="s">
        <v>11019</v>
      </c>
      <c r="Y882" s="62" t="s">
        <v>11020</v>
      </c>
      <c r="Z882" s="62" t="s">
        <v>11021</v>
      </c>
      <c r="AA882" s="62" t="s">
        <v>56083</v>
      </c>
      <c r="AB882" s="62" t="s">
        <v>11022</v>
      </c>
      <c r="AC882" s="62" t="s">
        <v>11023</v>
      </c>
      <c r="AD882" s="62" t="s">
        <v>11024</v>
      </c>
    </row>
    <row r="883" spans="1:30" x14ac:dyDescent="0.25">
      <c r="A883" s="62" t="s">
        <v>109</v>
      </c>
      <c r="C883" s="62" t="s">
        <v>11025</v>
      </c>
      <c r="F883" s="62" t="s">
        <v>837</v>
      </c>
      <c r="G883" s="62" t="s">
        <v>56000</v>
      </c>
      <c r="J883" s="62" t="s">
        <v>11026</v>
      </c>
      <c r="K883" s="62" t="s">
        <v>56021</v>
      </c>
      <c r="L883" s="62" t="s">
        <v>11027</v>
      </c>
      <c r="M883" s="62" t="s">
        <v>11028</v>
      </c>
      <c r="N883" s="62" t="s">
        <v>11029</v>
      </c>
      <c r="O883" s="62" t="s">
        <v>11030</v>
      </c>
      <c r="P883" s="62" t="s">
        <v>56042</v>
      </c>
      <c r="Q883" s="62" t="s">
        <v>11031</v>
      </c>
      <c r="R883" s="62" t="s">
        <v>11032</v>
      </c>
      <c r="S883" s="62" t="s">
        <v>11033</v>
      </c>
      <c r="U883" s="62" t="s">
        <v>11034</v>
      </c>
      <c r="V883" s="62" t="s">
        <v>56063</v>
      </c>
      <c r="W883" s="62" t="s">
        <v>11035</v>
      </c>
      <c r="X883" s="62" t="s">
        <v>11036</v>
      </c>
      <c r="Y883" s="62" t="s">
        <v>11037</v>
      </c>
      <c r="Z883" s="62" t="s">
        <v>11038</v>
      </c>
      <c r="AA883" s="62" t="s">
        <v>56084</v>
      </c>
      <c r="AB883" s="62" t="s">
        <v>11039</v>
      </c>
      <c r="AC883" s="62" t="s">
        <v>11040</v>
      </c>
      <c r="AD883" s="62" t="s">
        <v>11041</v>
      </c>
    </row>
    <row r="884" spans="1:30" x14ac:dyDescent="0.25">
      <c r="A884" s="62" t="s">
        <v>109</v>
      </c>
      <c r="C884" s="62" t="s">
        <v>11042</v>
      </c>
      <c r="F884" s="62" t="s">
        <v>872</v>
      </c>
      <c r="G884" s="62" t="s">
        <v>56001</v>
      </c>
      <c r="J884" s="62" t="s">
        <v>11043</v>
      </c>
      <c r="K884" s="62" t="s">
        <v>56022</v>
      </c>
      <c r="L884" s="62" t="s">
        <v>11044</v>
      </c>
      <c r="M884" s="62" t="s">
        <v>11045</v>
      </c>
      <c r="N884" s="62" t="s">
        <v>11046</v>
      </c>
      <c r="O884" s="62" t="s">
        <v>11047</v>
      </c>
      <c r="P884" s="62" t="s">
        <v>56043</v>
      </c>
      <c r="Q884" s="62" t="s">
        <v>11048</v>
      </c>
      <c r="R884" s="62" t="s">
        <v>11049</v>
      </c>
      <c r="S884" s="62" t="s">
        <v>11050</v>
      </c>
      <c r="U884" s="62" t="s">
        <v>11051</v>
      </c>
      <c r="V884" s="62" t="s">
        <v>56064</v>
      </c>
      <c r="W884" s="62" t="s">
        <v>11052</v>
      </c>
      <c r="X884" s="62" t="s">
        <v>11053</v>
      </c>
      <c r="Y884" s="62" t="s">
        <v>11054</v>
      </c>
      <c r="Z884" s="62" t="s">
        <v>11055</v>
      </c>
      <c r="AA884" s="62" t="s">
        <v>56085</v>
      </c>
      <c r="AB884" s="62" t="s">
        <v>11056</v>
      </c>
      <c r="AC884" s="62" t="s">
        <v>11057</v>
      </c>
      <c r="AD884" s="62" t="s">
        <v>11058</v>
      </c>
    </row>
    <row r="885" spans="1:30" x14ac:dyDescent="0.25">
      <c r="A885" s="62" t="s">
        <v>109</v>
      </c>
      <c r="C885" s="62" t="s">
        <v>11059</v>
      </c>
      <c r="F885" s="62" t="s">
        <v>925</v>
      </c>
      <c r="G885" s="62" t="s">
        <v>56002</v>
      </c>
      <c r="J885" s="62" t="s">
        <v>11060</v>
      </c>
      <c r="K885" s="62" t="s">
        <v>56023</v>
      </c>
      <c r="L885" s="62" t="s">
        <v>11061</v>
      </c>
      <c r="M885" s="62" t="s">
        <v>11062</v>
      </c>
      <c r="N885" s="62" t="s">
        <v>11063</v>
      </c>
      <c r="O885" s="62" t="s">
        <v>11064</v>
      </c>
      <c r="P885" s="62" t="s">
        <v>56044</v>
      </c>
      <c r="Q885" s="62" t="s">
        <v>11065</v>
      </c>
      <c r="R885" s="62" t="s">
        <v>11066</v>
      </c>
      <c r="S885" s="62" t="s">
        <v>11067</v>
      </c>
      <c r="U885" s="62" t="s">
        <v>11068</v>
      </c>
      <c r="V885" s="62" t="s">
        <v>56065</v>
      </c>
      <c r="W885" s="62" t="s">
        <v>11069</v>
      </c>
      <c r="X885" s="62" t="s">
        <v>11070</v>
      </c>
      <c r="Y885" s="62" t="s">
        <v>11071</v>
      </c>
      <c r="Z885" s="62" t="s">
        <v>11072</v>
      </c>
      <c r="AA885" s="62" t="s">
        <v>56086</v>
      </c>
      <c r="AB885" s="62" t="s">
        <v>11073</v>
      </c>
      <c r="AC885" s="62" t="s">
        <v>11074</v>
      </c>
      <c r="AD885" s="62" t="s">
        <v>11075</v>
      </c>
    </row>
    <row r="886" spans="1:30" x14ac:dyDescent="0.25">
      <c r="A886" s="62" t="s">
        <v>109</v>
      </c>
      <c r="C886" s="62" t="s">
        <v>11076</v>
      </c>
      <c r="F886" s="62" t="s">
        <v>976</v>
      </c>
      <c r="G886" s="62" t="s">
        <v>56003</v>
      </c>
      <c r="J886" s="62" t="s">
        <v>11077</v>
      </c>
      <c r="K886" s="62" t="s">
        <v>56024</v>
      </c>
      <c r="L886" s="62" t="s">
        <v>11078</v>
      </c>
      <c r="M886" s="62" t="s">
        <v>11079</v>
      </c>
      <c r="N886" s="62" t="s">
        <v>11080</v>
      </c>
      <c r="O886" s="62" t="s">
        <v>11081</v>
      </c>
      <c r="P886" s="62" t="s">
        <v>56045</v>
      </c>
      <c r="Q886" s="62" t="s">
        <v>11082</v>
      </c>
      <c r="R886" s="62" t="s">
        <v>11083</v>
      </c>
      <c r="S886" s="62" t="s">
        <v>11084</v>
      </c>
      <c r="U886" s="62" t="s">
        <v>11085</v>
      </c>
      <c r="V886" s="62" t="s">
        <v>56066</v>
      </c>
      <c r="W886" s="62" t="s">
        <v>11086</v>
      </c>
      <c r="X886" s="62" t="s">
        <v>11087</v>
      </c>
      <c r="Y886" s="62" t="s">
        <v>11088</v>
      </c>
      <c r="Z886" s="62" t="s">
        <v>11089</v>
      </c>
      <c r="AA886" s="62" t="s">
        <v>56087</v>
      </c>
      <c r="AB886" s="62" t="s">
        <v>11090</v>
      </c>
      <c r="AC886" s="62" t="s">
        <v>11091</v>
      </c>
      <c r="AD886" s="62" t="s">
        <v>11092</v>
      </c>
    </row>
    <row r="887" spans="1:30" x14ac:dyDescent="0.25">
      <c r="A887" s="62" t="s">
        <v>109</v>
      </c>
      <c r="C887" s="62" t="s">
        <v>11093</v>
      </c>
      <c r="F887" s="62" t="s">
        <v>1012</v>
      </c>
      <c r="G887" s="62" t="s">
        <v>56004</v>
      </c>
      <c r="J887" s="62" t="s">
        <v>11094</v>
      </c>
      <c r="K887" s="62" t="s">
        <v>56025</v>
      </c>
      <c r="L887" s="62" t="s">
        <v>11095</v>
      </c>
      <c r="M887" s="62" t="s">
        <v>11096</v>
      </c>
      <c r="N887" s="62" t="s">
        <v>11097</v>
      </c>
      <c r="O887" s="62" t="s">
        <v>11098</v>
      </c>
      <c r="P887" s="62" t="s">
        <v>56046</v>
      </c>
      <c r="Q887" s="62" t="s">
        <v>11099</v>
      </c>
      <c r="R887" s="62" t="s">
        <v>11100</v>
      </c>
      <c r="S887" s="62" t="s">
        <v>11101</v>
      </c>
      <c r="U887" s="62" t="s">
        <v>11102</v>
      </c>
      <c r="V887" s="62" t="s">
        <v>56067</v>
      </c>
      <c r="W887" s="62" t="s">
        <v>11103</v>
      </c>
      <c r="X887" s="62" t="s">
        <v>11104</v>
      </c>
      <c r="Y887" s="62" t="s">
        <v>11105</v>
      </c>
      <c r="Z887" s="62" t="s">
        <v>11106</v>
      </c>
      <c r="AA887" s="62" t="s">
        <v>56088</v>
      </c>
      <c r="AB887" s="62" t="s">
        <v>11107</v>
      </c>
      <c r="AC887" s="62" t="s">
        <v>11108</v>
      </c>
      <c r="AD887" s="62" t="s">
        <v>11109</v>
      </c>
    </row>
    <row r="888" spans="1:30" x14ac:dyDescent="0.25">
      <c r="A888" s="62" t="s">
        <v>109</v>
      </c>
      <c r="C888" s="62" t="s">
        <v>11110</v>
      </c>
      <c r="F888" s="62" t="s">
        <v>1047</v>
      </c>
      <c r="G888" s="62" t="s">
        <v>56005</v>
      </c>
      <c r="J888" s="62" t="s">
        <v>11111</v>
      </c>
      <c r="K888" s="62" t="s">
        <v>56026</v>
      </c>
      <c r="L888" s="62" t="s">
        <v>11112</v>
      </c>
      <c r="M888" s="62" t="s">
        <v>11113</v>
      </c>
      <c r="N888" s="62" t="s">
        <v>11114</v>
      </c>
      <c r="O888" s="62" t="s">
        <v>11115</v>
      </c>
      <c r="P888" s="62" t="s">
        <v>56047</v>
      </c>
      <c r="Q888" s="62" t="s">
        <v>11116</v>
      </c>
      <c r="R888" s="62" t="s">
        <v>11117</v>
      </c>
      <c r="S888" s="62" t="s">
        <v>11118</v>
      </c>
      <c r="U888" s="62" t="s">
        <v>11119</v>
      </c>
      <c r="V888" s="62" t="s">
        <v>56068</v>
      </c>
      <c r="W888" s="62" t="s">
        <v>11120</v>
      </c>
      <c r="X888" s="62" t="s">
        <v>11121</v>
      </c>
      <c r="Y888" s="62" t="s">
        <v>11122</v>
      </c>
      <c r="Z888" s="62" t="s">
        <v>11123</v>
      </c>
      <c r="AA888" s="62" t="s">
        <v>56089</v>
      </c>
      <c r="AB888" s="62" t="s">
        <v>11124</v>
      </c>
      <c r="AC888" s="62" t="s">
        <v>11125</v>
      </c>
      <c r="AD888" s="62" t="s">
        <v>11126</v>
      </c>
    </row>
    <row r="889" spans="1:30" x14ac:dyDescent="0.25">
      <c r="A889" s="62" t="s">
        <v>109</v>
      </c>
      <c r="C889" s="62" t="s">
        <v>11127</v>
      </c>
      <c r="F889" s="62" t="s">
        <v>1073</v>
      </c>
      <c r="G889" s="62" t="s">
        <v>56006</v>
      </c>
      <c r="J889" s="62" t="s">
        <v>11128</v>
      </c>
      <c r="K889" s="62" t="s">
        <v>56027</v>
      </c>
      <c r="L889" s="62" t="s">
        <v>11129</v>
      </c>
      <c r="M889" s="62" t="s">
        <v>11130</v>
      </c>
      <c r="N889" s="62" t="s">
        <v>11131</v>
      </c>
      <c r="O889" s="62" t="s">
        <v>11132</v>
      </c>
      <c r="P889" s="62" t="s">
        <v>56048</v>
      </c>
      <c r="Q889" s="62" t="s">
        <v>11133</v>
      </c>
      <c r="R889" s="62" t="s">
        <v>11134</v>
      </c>
      <c r="S889" s="62" t="s">
        <v>11135</v>
      </c>
      <c r="U889" s="62" t="s">
        <v>11136</v>
      </c>
      <c r="V889" s="62" t="s">
        <v>56069</v>
      </c>
      <c r="W889" s="62" t="s">
        <v>11137</v>
      </c>
      <c r="X889" s="62" t="s">
        <v>11138</v>
      </c>
      <c r="Y889" s="62" t="s">
        <v>11139</v>
      </c>
      <c r="Z889" s="62" t="s">
        <v>11140</v>
      </c>
      <c r="AA889" s="62" t="s">
        <v>56090</v>
      </c>
      <c r="AB889" s="62" t="s">
        <v>11141</v>
      </c>
      <c r="AC889" s="62" t="s">
        <v>11142</v>
      </c>
      <c r="AD889" s="62" t="s">
        <v>11143</v>
      </c>
    </row>
    <row r="890" spans="1:30" x14ac:dyDescent="0.25">
      <c r="A890" s="62" t="s">
        <v>109</v>
      </c>
      <c r="C890" s="62" t="s">
        <v>11144</v>
      </c>
      <c r="F890" s="62" t="s">
        <v>1100</v>
      </c>
      <c r="G890" s="62" t="s">
        <v>56007</v>
      </c>
      <c r="J890" s="62" t="s">
        <v>11145</v>
      </c>
      <c r="K890" s="62" t="s">
        <v>56028</v>
      </c>
      <c r="L890" s="62" t="s">
        <v>11146</v>
      </c>
      <c r="M890" s="62" t="s">
        <v>11147</v>
      </c>
      <c r="N890" s="62" t="s">
        <v>11148</v>
      </c>
      <c r="O890" s="62" t="s">
        <v>11149</v>
      </c>
      <c r="P890" s="62" t="s">
        <v>56049</v>
      </c>
      <c r="Q890" s="62" t="s">
        <v>11150</v>
      </c>
      <c r="R890" s="62" t="s">
        <v>11151</v>
      </c>
      <c r="S890" s="62" t="s">
        <v>11152</v>
      </c>
      <c r="U890" s="62" t="s">
        <v>11153</v>
      </c>
      <c r="V890" s="62" t="s">
        <v>56070</v>
      </c>
      <c r="W890" s="62" t="s">
        <v>11154</v>
      </c>
      <c r="X890" s="62" t="s">
        <v>11155</v>
      </c>
      <c r="Y890" s="62" t="s">
        <v>11156</v>
      </c>
      <c r="Z890" s="62" t="s">
        <v>11157</v>
      </c>
      <c r="AA890" s="62" t="s">
        <v>56091</v>
      </c>
      <c r="AB890" s="62" t="s">
        <v>11158</v>
      </c>
      <c r="AC890" s="62" t="s">
        <v>11159</v>
      </c>
      <c r="AD890" s="62" t="s">
        <v>11160</v>
      </c>
    </row>
    <row r="891" spans="1:30" x14ac:dyDescent="0.25">
      <c r="A891" s="62" t="s">
        <v>109</v>
      </c>
      <c r="C891" s="62" t="s">
        <v>11161</v>
      </c>
      <c r="F891" s="62" t="s">
        <v>1188</v>
      </c>
      <c r="G891" s="62" t="s">
        <v>56008</v>
      </c>
      <c r="J891" s="62" t="s">
        <v>11162</v>
      </c>
      <c r="K891" s="62" t="s">
        <v>56029</v>
      </c>
      <c r="L891" s="62" t="s">
        <v>11163</v>
      </c>
      <c r="M891" s="62" t="s">
        <v>11164</v>
      </c>
      <c r="N891" s="62" t="s">
        <v>11165</v>
      </c>
      <c r="O891" s="62" t="s">
        <v>11166</v>
      </c>
      <c r="P891" s="62" t="s">
        <v>56050</v>
      </c>
      <c r="Q891" s="62" t="s">
        <v>11167</v>
      </c>
      <c r="R891" s="62" t="s">
        <v>11168</v>
      </c>
      <c r="S891" s="62" t="s">
        <v>11169</v>
      </c>
      <c r="U891" s="62" t="s">
        <v>11170</v>
      </c>
      <c r="V891" s="62" t="s">
        <v>56071</v>
      </c>
      <c r="W891" s="62" t="s">
        <v>11171</v>
      </c>
      <c r="X891" s="62" t="s">
        <v>11172</v>
      </c>
      <c r="Y891" s="62" t="s">
        <v>11173</v>
      </c>
      <c r="Z891" s="62" t="s">
        <v>11174</v>
      </c>
      <c r="AA891" s="62" t="s">
        <v>56092</v>
      </c>
      <c r="AB891" s="62" t="s">
        <v>11175</v>
      </c>
      <c r="AC891" s="62" t="s">
        <v>11176</v>
      </c>
      <c r="AD891" s="62" t="s">
        <v>11177</v>
      </c>
    </row>
    <row r="892" spans="1:30" x14ac:dyDescent="0.25">
      <c r="A892" s="62" t="s">
        <v>109</v>
      </c>
      <c r="C892" s="62" t="s">
        <v>11178</v>
      </c>
      <c r="F892" s="62" t="s">
        <v>1240</v>
      </c>
      <c r="G892" s="62" t="s">
        <v>56009</v>
      </c>
      <c r="J892" s="62" t="s">
        <v>11179</v>
      </c>
      <c r="K892" s="62" t="s">
        <v>56030</v>
      </c>
      <c r="L892" s="62" t="s">
        <v>11180</v>
      </c>
      <c r="M892" s="62" t="s">
        <v>11181</v>
      </c>
      <c r="N892" s="62" t="s">
        <v>11182</v>
      </c>
      <c r="O892" s="62" t="s">
        <v>11183</v>
      </c>
      <c r="P892" s="62" t="s">
        <v>56051</v>
      </c>
      <c r="Q892" s="62" t="s">
        <v>11184</v>
      </c>
      <c r="R892" s="62" t="s">
        <v>11185</v>
      </c>
      <c r="S892" s="62" t="s">
        <v>11186</v>
      </c>
      <c r="U892" s="62" t="s">
        <v>11187</v>
      </c>
      <c r="V892" s="62" t="s">
        <v>56072</v>
      </c>
      <c r="W892" s="62" t="s">
        <v>11188</v>
      </c>
      <c r="X892" s="62" t="s">
        <v>11189</v>
      </c>
      <c r="Y892" s="62" t="s">
        <v>11190</v>
      </c>
      <c r="Z892" s="62" t="s">
        <v>11191</v>
      </c>
      <c r="AA892" s="62" t="s">
        <v>56093</v>
      </c>
      <c r="AB892" s="62" t="s">
        <v>11192</v>
      </c>
      <c r="AC892" s="62" t="s">
        <v>11193</v>
      </c>
      <c r="AD892" s="62" t="s">
        <v>11194</v>
      </c>
    </row>
    <row r="893" spans="1:30" x14ac:dyDescent="0.25">
      <c r="A893" s="62" t="s">
        <v>109</v>
      </c>
      <c r="C893" s="62" t="s">
        <v>11195</v>
      </c>
      <c r="F893" s="62" t="s">
        <v>1249</v>
      </c>
      <c r="G893" s="62" t="s">
        <v>56010</v>
      </c>
      <c r="J893" s="62" t="s">
        <v>11196</v>
      </c>
      <c r="K893" s="62" t="s">
        <v>56031</v>
      </c>
      <c r="L893" s="62" t="s">
        <v>11197</v>
      </c>
      <c r="M893" s="62" t="s">
        <v>11198</v>
      </c>
      <c r="N893" s="62" t="s">
        <v>11199</v>
      </c>
      <c r="O893" s="62" t="s">
        <v>11200</v>
      </c>
      <c r="P893" s="62" t="s">
        <v>56052</v>
      </c>
      <c r="Q893" s="62" t="s">
        <v>11201</v>
      </c>
      <c r="R893" s="62" t="s">
        <v>11202</v>
      </c>
      <c r="S893" s="62" t="s">
        <v>11203</v>
      </c>
      <c r="U893" s="62" t="s">
        <v>11204</v>
      </c>
      <c r="V893" s="62" t="s">
        <v>56073</v>
      </c>
      <c r="W893" s="62" t="s">
        <v>11205</v>
      </c>
      <c r="X893" s="62" t="s">
        <v>11206</v>
      </c>
      <c r="Y893" s="62" t="s">
        <v>11207</v>
      </c>
      <c r="Z893" s="62" t="s">
        <v>11208</v>
      </c>
      <c r="AA893" s="62" t="s">
        <v>56094</v>
      </c>
      <c r="AB893" s="62" t="s">
        <v>11209</v>
      </c>
      <c r="AC893" s="62" t="s">
        <v>11210</v>
      </c>
      <c r="AD893" s="62" t="s">
        <v>11211</v>
      </c>
    </row>
    <row r="894" spans="1:30" x14ac:dyDescent="0.25">
      <c r="A894" s="62" t="s">
        <v>109</v>
      </c>
      <c r="C894" s="62" t="s">
        <v>11212</v>
      </c>
      <c r="F894" s="62" t="s">
        <v>1286</v>
      </c>
      <c r="G894" s="62" t="s">
        <v>56011</v>
      </c>
      <c r="J894" s="62" t="s">
        <v>11213</v>
      </c>
      <c r="K894" s="62" t="s">
        <v>56032</v>
      </c>
      <c r="L894" s="62" t="s">
        <v>11214</v>
      </c>
      <c r="M894" s="62" t="s">
        <v>11215</v>
      </c>
      <c r="N894" s="62" t="s">
        <v>11216</v>
      </c>
      <c r="O894" s="62" t="s">
        <v>11217</v>
      </c>
      <c r="P894" s="62" t="s">
        <v>56053</v>
      </c>
      <c r="Q894" s="62" t="s">
        <v>11218</v>
      </c>
      <c r="R894" s="62" t="s">
        <v>11219</v>
      </c>
      <c r="S894" s="62" t="s">
        <v>11220</v>
      </c>
      <c r="U894" s="62" t="s">
        <v>11221</v>
      </c>
      <c r="V894" s="62" t="s">
        <v>56074</v>
      </c>
      <c r="W894" s="62" t="s">
        <v>11222</v>
      </c>
      <c r="X894" s="62" t="s">
        <v>11223</v>
      </c>
      <c r="Y894" s="62" t="s">
        <v>11224</v>
      </c>
      <c r="Z894" s="62" t="s">
        <v>11225</v>
      </c>
      <c r="AA894" s="62" t="s">
        <v>56095</v>
      </c>
      <c r="AB894" s="62" t="s">
        <v>11226</v>
      </c>
      <c r="AC894" s="62" t="s">
        <v>11227</v>
      </c>
      <c r="AD894" s="62" t="s">
        <v>11228</v>
      </c>
    </row>
    <row r="895" spans="1:30" x14ac:dyDescent="0.25">
      <c r="A895" s="62" t="s">
        <v>109</v>
      </c>
      <c r="C895" s="62" t="s">
        <v>11229</v>
      </c>
      <c r="F895" s="62" t="s">
        <v>1299</v>
      </c>
      <c r="G895" s="62" t="s">
        <v>56012</v>
      </c>
      <c r="J895" s="62" t="s">
        <v>11230</v>
      </c>
      <c r="K895" s="62" t="s">
        <v>56033</v>
      </c>
      <c r="L895" s="62" t="s">
        <v>11231</v>
      </c>
      <c r="M895" s="62" t="s">
        <v>11232</v>
      </c>
      <c r="N895" s="62" t="s">
        <v>11233</v>
      </c>
      <c r="O895" s="62" t="s">
        <v>11234</v>
      </c>
      <c r="P895" s="62" t="s">
        <v>56054</v>
      </c>
      <c r="Q895" s="62" t="s">
        <v>11235</v>
      </c>
      <c r="R895" s="62" t="s">
        <v>11236</v>
      </c>
      <c r="S895" s="62" t="s">
        <v>11237</v>
      </c>
      <c r="U895" s="62" t="s">
        <v>11238</v>
      </c>
      <c r="V895" s="62" t="s">
        <v>56075</v>
      </c>
      <c r="W895" s="62" t="s">
        <v>11239</v>
      </c>
      <c r="X895" s="62" t="s">
        <v>11240</v>
      </c>
      <c r="Y895" s="62" t="s">
        <v>11241</v>
      </c>
      <c r="Z895" s="62" t="s">
        <v>11242</v>
      </c>
      <c r="AA895" s="62" t="s">
        <v>56096</v>
      </c>
      <c r="AB895" s="62" t="s">
        <v>11243</v>
      </c>
      <c r="AC895" s="62" t="s">
        <v>11244</v>
      </c>
      <c r="AD895" s="62" t="s">
        <v>11245</v>
      </c>
    </row>
    <row r="896" spans="1:30" x14ac:dyDescent="0.25">
      <c r="A896" s="62" t="s">
        <v>109</v>
      </c>
      <c r="C896" s="62" t="s">
        <v>10980</v>
      </c>
    </row>
    <row r="897" spans="1:30" x14ac:dyDescent="0.25">
      <c r="A897" s="62" t="s">
        <v>109</v>
      </c>
      <c r="C897" s="62" t="s">
        <v>11246</v>
      </c>
      <c r="G897" s="62" t="s">
        <v>41754</v>
      </c>
      <c r="J897" s="62" t="s">
        <v>41755</v>
      </c>
      <c r="K897" s="62" t="s">
        <v>41756</v>
      </c>
      <c r="L897" s="62" t="s">
        <v>41757</v>
      </c>
      <c r="M897" s="62" t="s">
        <v>11247</v>
      </c>
      <c r="N897" s="62" t="s">
        <v>11248</v>
      </c>
      <c r="O897" s="62" t="s">
        <v>41758</v>
      </c>
      <c r="P897" s="62" t="s">
        <v>41759</v>
      </c>
      <c r="Q897" s="62" t="s">
        <v>41760</v>
      </c>
      <c r="R897" s="62" t="s">
        <v>11249</v>
      </c>
      <c r="S897" s="62" t="s">
        <v>11250</v>
      </c>
      <c r="U897" s="62" t="s">
        <v>41761</v>
      </c>
      <c r="V897" s="62" t="s">
        <v>41762</v>
      </c>
      <c r="W897" s="62" t="s">
        <v>41763</v>
      </c>
      <c r="X897" s="62" t="s">
        <v>11251</v>
      </c>
      <c r="Y897" s="62" t="s">
        <v>11252</v>
      </c>
      <c r="Z897" s="62" t="s">
        <v>41764</v>
      </c>
      <c r="AA897" s="62" t="s">
        <v>41765</v>
      </c>
      <c r="AB897" s="62" t="s">
        <v>41766</v>
      </c>
      <c r="AC897" s="62" t="s">
        <v>11253</v>
      </c>
      <c r="AD897" s="62" t="s">
        <v>11254</v>
      </c>
    </row>
    <row r="898" spans="1:30" x14ac:dyDescent="0.25">
      <c r="A898" s="62" t="s">
        <v>109</v>
      </c>
    </row>
    <row r="899" spans="1:30" x14ac:dyDescent="0.25">
      <c r="A899" s="62" t="s">
        <v>109</v>
      </c>
      <c r="C899" s="62" t="s">
        <v>41767</v>
      </c>
      <c r="E899" s="62" t="s">
        <v>323</v>
      </c>
      <c r="G899" s="62" t="s">
        <v>41768</v>
      </c>
    </row>
    <row r="900" spans="1:30" x14ac:dyDescent="0.25">
      <c r="A900" s="62" t="s">
        <v>109</v>
      </c>
      <c r="C900" s="62" t="s">
        <v>11255</v>
      </c>
    </row>
    <row r="901" spans="1:30" x14ac:dyDescent="0.25">
      <c r="A901" s="62" t="s">
        <v>109</v>
      </c>
      <c r="C901" s="62" t="s">
        <v>41769</v>
      </c>
      <c r="F901" s="62" t="s">
        <v>41770</v>
      </c>
      <c r="G901" s="62" t="s">
        <v>46535</v>
      </c>
      <c r="J901" s="62" t="s">
        <v>41771</v>
      </c>
      <c r="K901" s="62" t="s">
        <v>46536</v>
      </c>
      <c r="L901" s="62" t="s">
        <v>41772</v>
      </c>
      <c r="M901" s="62" t="s">
        <v>41773</v>
      </c>
      <c r="N901" s="62" t="s">
        <v>41774</v>
      </c>
      <c r="O901" s="62" t="s">
        <v>41775</v>
      </c>
      <c r="P901" s="62" t="s">
        <v>46537</v>
      </c>
      <c r="Q901" s="62" t="s">
        <v>41776</v>
      </c>
      <c r="R901" s="62" t="s">
        <v>41777</v>
      </c>
      <c r="S901" s="62" t="s">
        <v>41778</v>
      </c>
      <c r="U901" s="62" t="s">
        <v>41779</v>
      </c>
      <c r="V901" s="62" t="s">
        <v>46538</v>
      </c>
      <c r="W901" s="62" t="s">
        <v>41780</v>
      </c>
      <c r="X901" s="62" t="s">
        <v>41781</v>
      </c>
      <c r="Y901" s="62" t="s">
        <v>41782</v>
      </c>
      <c r="Z901" s="62" t="s">
        <v>41783</v>
      </c>
      <c r="AA901" s="62" t="s">
        <v>46539</v>
      </c>
      <c r="AB901" s="62" t="s">
        <v>41784</v>
      </c>
      <c r="AC901" s="62" t="s">
        <v>41785</v>
      </c>
      <c r="AD901" s="62" t="s">
        <v>41786</v>
      </c>
    </row>
    <row r="902" spans="1:30" x14ac:dyDescent="0.25">
      <c r="A902" s="62" t="s">
        <v>109</v>
      </c>
      <c r="C902" s="62" t="s">
        <v>41787</v>
      </c>
    </row>
    <row r="903" spans="1:30" x14ac:dyDescent="0.25">
      <c r="A903" s="62" t="s">
        <v>109</v>
      </c>
      <c r="C903" s="62" t="s">
        <v>11256</v>
      </c>
      <c r="G903" s="62" t="s">
        <v>41788</v>
      </c>
      <c r="J903" s="62" t="s">
        <v>41789</v>
      </c>
      <c r="K903" s="62" t="s">
        <v>41790</v>
      </c>
      <c r="L903" s="62" t="s">
        <v>41791</v>
      </c>
      <c r="M903" s="62" t="s">
        <v>41792</v>
      </c>
      <c r="N903" s="62" t="s">
        <v>41793</v>
      </c>
      <c r="O903" s="62" t="s">
        <v>41794</v>
      </c>
      <c r="P903" s="62" t="s">
        <v>41795</v>
      </c>
      <c r="Q903" s="62" t="s">
        <v>41796</v>
      </c>
      <c r="R903" s="62" t="s">
        <v>41797</v>
      </c>
      <c r="S903" s="62" t="s">
        <v>41798</v>
      </c>
      <c r="U903" s="62" t="s">
        <v>41799</v>
      </c>
      <c r="V903" s="62" t="s">
        <v>41800</v>
      </c>
      <c r="W903" s="62" t="s">
        <v>41801</v>
      </c>
      <c r="X903" s="62" t="s">
        <v>41802</v>
      </c>
      <c r="Y903" s="62" t="s">
        <v>41803</v>
      </c>
      <c r="Z903" s="62" t="s">
        <v>41804</v>
      </c>
      <c r="AA903" s="62" t="s">
        <v>41805</v>
      </c>
      <c r="AB903" s="62" t="s">
        <v>41806</v>
      </c>
      <c r="AC903" s="62" t="s">
        <v>41807</v>
      </c>
      <c r="AD903" s="62" t="s">
        <v>41808</v>
      </c>
    </row>
    <row r="904" spans="1:30" x14ac:dyDescent="0.25">
      <c r="A904" s="62" t="s">
        <v>109</v>
      </c>
    </row>
    <row r="905" spans="1:30" x14ac:dyDescent="0.25">
      <c r="A905" s="62" t="s">
        <v>109</v>
      </c>
      <c r="C905" s="62" t="s">
        <v>41809</v>
      </c>
      <c r="E905" s="62" t="s">
        <v>340</v>
      </c>
      <c r="G905" s="62" t="s">
        <v>41810</v>
      </c>
    </row>
    <row r="906" spans="1:30" x14ac:dyDescent="0.25">
      <c r="A906" s="62" t="s">
        <v>109</v>
      </c>
      <c r="C906" s="62" t="s">
        <v>11257</v>
      </c>
    </row>
    <row r="907" spans="1:30" x14ac:dyDescent="0.25">
      <c r="A907" s="62" t="s">
        <v>109</v>
      </c>
      <c r="C907" s="62" t="s">
        <v>11258</v>
      </c>
      <c r="F907" s="62" t="s">
        <v>41811</v>
      </c>
      <c r="G907" s="62" t="s">
        <v>55837</v>
      </c>
      <c r="J907" s="62" t="s">
        <v>11259</v>
      </c>
      <c r="K907" s="62" t="s">
        <v>55868</v>
      </c>
      <c r="L907" s="62" t="s">
        <v>11260</v>
      </c>
      <c r="M907" s="62" t="s">
        <v>11261</v>
      </c>
      <c r="N907" s="62" t="s">
        <v>11262</v>
      </c>
      <c r="O907" s="62" t="s">
        <v>11263</v>
      </c>
      <c r="P907" s="62" t="s">
        <v>55899</v>
      </c>
      <c r="Q907" s="62" t="s">
        <v>11264</v>
      </c>
      <c r="R907" s="62" t="s">
        <v>11265</v>
      </c>
      <c r="S907" s="62" t="s">
        <v>11266</v>
      </c>
      <c r="U907" s="62" t="s">
        <v>11267</v>
      </c>
      <c r="V907" s="62" t="s">
        <v>55930</v>
      </c>
      <c r="W907" s="62" t="s">
        <v>11268</v>
      </c>
      <c r="X907" s="62" t="s">
        <v>11269</v>
      </c>
      <c r="Y907" s="62" t="s">
        <v>11270</v>
      </c>
      <c r="Z907" s="62" t="s">
        <v>11271</v>
      </c>
      <c r="AA907" s="62" t="s">
        <v>55961</v>
      </c>
      <c r="AB907" s="62" t="s">
        <v>11272</v>
      </c>
      <c r="AC907" s="62" t="s">
        <v>11273</v>
      </c>
      <c r="AD907" s="62" t="s">
        <v>11274</v>
      </c>
    </row>
    <row r="908" spans="1:30" x14ac:dyDescent="0.25">
      <c r="A908" s="62" t="s">
        <v>109</v>
      </c>
      <c r="C908" s="62" t="s">
        <v>11275</v>
      </c>
      <c r="F908" s="62" t="s">
        <v>731</v>
      </c>
      <c r="G908" s="62" t="s">
        <v>55838</v>
      </c>
      <c r="J908" s="62" t="s">
        <v>11276</v>
      </c>
      <c r="K908" s="62" t="s">
        <v>55869</v>
      </c>
      <c r="L908" s="62" t="s">
        <v>11277</v>
      </c>
      <c r="M908" s="62" t="s">
        <v>11278</v>
      </c>
      <c r="N908" s="62" t="s">
        <v>11279</v>
      </c>
      <c r="O908" s="62" t="s">
        <v>11280</v>
      </c>
      <c r="P908" s="62" t="s">
        <v>55900</v>
      </c>
      <c r="Q908" s="62" t="s">
        <v>11281</v>
      </c>
      <c r="R908" s="62" t="s">
        <v>11282</v>
      </c>
      <c r="S908" s="62" t="s">
        <v>11283</v>
      </c>
      <c r="U908" s="62" t="s">
        <v>11284</v>
      </c>
      <c r="V908" s="62" t="s">
        <v>55931</v>
      </c>
      <c r="W908" s="62" t="s">
        <v>11285</v>
      </c>
      <c r="X908" s="62" t="s">
        <v>11286</v>
      </c>
      <c r="Y908" s="62" t="s">
        <v>11287</v>
      </c>
      <c r="Z908" s="62" t="s">
        <v>11288</v>
      </c>
      <c r="AA908" s="62" t="s">
        <v>55962</v>
      </c>
      <c r="AB908" s="62" t="s">
        <v>11289</v>
      </c>
      <c r="AC908" s="62" t="s">
        <v>11290</v>
      </c>
      <c r="AD908" s="62" t="s">
        <v>11291</v>
      </c>
    </row>
    <row r="909" spans="1:30" x14ac:dyDescent="0.25">
      <c r="A909" s="62" t="s">
        <v>109</v>
      </c>
      <c r="C909" s="62" t="s">
        <v>11292</v>
      </c>
      <c r="F909" s="62" t="s">
        <v>2135</v>
      </c>
      <c r="G909" s="62" t="s">
        <v>55839</v>
      </c>
      <c r="J909" s="62" t="s">
        <v>11293</v>
      </c>
      <c r="K909" s="62" t="s">
        <v>55870</v>
      </c>
      <c r="L909" s="62" t="s">
        <v>11294</v>
      </c>
      <c r="M909" s="62" t="s">
        <v>11295</v>
      </c>
      <c r="N909" s="62" t="s">
        <v>11296</v>
      </c>
      <c r="O909" s="62" t="s">
        <v>11297</v>
      </c>
      <c r="P909" s="62" t="s">
        <v>55901</v>
      </c>
      <c r="Q909" s="62" t="s">
        <v>11298</v>
      </c>
      <c r="R909" s="62" t="s">
        <v>11299</v>
      </c>
      <c r="S909" s="62" t="s">
        <v>11300</v>
      </c>
      <c r="U909" s="62" t="s">
        <v>11301</v>
      </c>
      <c r="V909" s="62" t="s">
        <v>55932</v>
      </c>
      <c r="W909" s="62" t="s">
        <v>11302</v>
      </c>
      <c r="X909" s="62" t="s">
        <v>11303</v>
      </c>
      <c r="Y909" s="62" t="s">
        <v>11304</v>
      </c>
      <c r="Z909" s="62" t="s">
        <v>11305</v>
      </c>
      <c r="AA909" s="62" t="s">
        <v>55963</v>
      </c>
      <c r="AB909" s="62" t="s">
        <v>11306</v>
      </c>
      <c r="AC909" s="62" t="s">
        <v>11307</v>
      </c>
      <c r="AD909" s="62" t="s">
        <v>11308</v>
      </c>
    </row>
    <row r="910" spans="1:30" x14ac:dyDescent="0.25">
      <c r="A910" s="62" t="s">
        <v>109</v>
      </c>
      <c r="C910" s="62" t="s">
        <v>11309</v>
      </c>
      <c r="F910" s="62" t="s">
        <v>2153</v>
      </c>
      <c r="G910" s="62" t="s">
        <v>55840</v>
      </c>
      <c r="J910" s="62" t="s">
        <v>11310</v>
      </c>
      <c r="K910" s="62" t="s">
        <v>55871</v>
      </c>
      <c r="L910" s="62" t="s">
        <v>11311</v>
      </c>
      <c r="M910" s="62" t="s">
        <v>11312</v>
      </c>
      <c r="N910" s="62" t="s">
        <v>11313</v>
      </c>
      <c r="O910" s="62" t="s">
        <v>11314</v>
      </c>
      <c r="P910" s="62" t="s">
        <v>55902</v>
      </c>
      <c r="Q910" s="62" t="s">
        <v>11315</v>
      </c>
      <c r="R910" s="62" t="s">
        <v>11316</v>
      </c>
      <c r="S910" s="62" t="s">
        <v>11317</v>
      </c>
      <c r="U910" s="62" t="s">
        <v>11318</v>
      </c>
      <c r="V910" s="62" t="s">
        <v>55933</v>
      </c>
      <c r="W910" s="62" t="s">
        <v>11319</v>
      </c>
      <c r="X910" s="62" t="s">
        <v>11320</v>
      </c>
      <c r="Y910" s="62" t="s">
        <v>11321</v>
      </c>
      <c r="Z910" s="62" t="s">
        <v>11322</v>
      </c>
      <c r="AA910" s="62" t="s">
        <v>55964</v>
      </c>
      <c r="AB910" s="62" t="s">
        <v>11323</v>
      </c>
      <c r="AC910" s="62" t="s">
        <v>11324</v>
      </c>
      <c r="AD910" s="62" t="s">
        <v>11325</v>
      </c>
    </row>
    <row r="911" spans="1:30" x14ac:dyDescent="0.25">
      <c r="A911" s="62" t="s">
        <v>109</v>
      </c>
      <c r="C911" s="62" t="s">
        <v>11326</v>
      </c>
      <c r="F911" s="62" t="s">
        <v>2170</v>
      </c>
      <c r="G911" s="62" t="s">
        <v>55841</v>
      </c>
      <c r="J911" s="62" t="s">
        <v>11327</v>
      </c>
      <c r="K911" s="62" t="s">
        <v>55872</v>
      </c>
      <c r="L911" s="62" t="s">
        <v>11328</v>
      </c>
      <c r="M911" s="62" t="s">
        <v>11329</v>
      </c>
      <c r="N911" s="62" t="s">
        <v>11330</v>
      </c>
      <c r="O911" s="62" t="s">
        <v>11331</v>
      </c>
      <c r="P911" s="62" t="s">
        <v>55903</v>
      </c>
      <c r="Q911" s="62" t="s">
        <v>11332</v>
      </c>
      <c r="R911" s="62" t="s">
        <v>11333</v>
      </c>
      <c r="S911" s="62" t="s">
        <v>11334</v>
      </c>
      <c r="U911" s="62" t="s">
        <v>11335</v>
      </c>
      <c r="V911" s="62" t="s">
        <v>55934</v>
      </c>
      <c r="W911" s="62" t="s">
        <v>11336</v>
      </c>
      <c r="X911" s="62" t="s">
        <v>11337</v>
      </c>
      <c r="Y911" s="62" t="s">
        <v>11338</v>
      </c>
      <c r="Z911" s="62" t="s">
        <v>11339</v>
      </c>
      <c r="AA911" s="62" t="s">
        <v>55965</v>
      </c>
      <c r="AB911" s="62" t="s">
        <v>11340</v>
      </c>
      <c r="AC911" s="62" t="s">
        <v>11341</v>
      </c>
      <c r="AD911" s="62" t="s">
        <v>11342</v>
      </c>
    </row>
    <row r="912" spans="1:30" x14ac:dyDescent="0.25">
      <c r="A912" s="62" t="s">
        <v>109</v>
      </c>
      <c r="C912" s="62" t="s">
        <v>11343</v>
      </c>
      <c r="F912" s="62" t="s">
        <v>5259</v>
      </c>
      <c r="G912" s="62" t="s">
        <v>55842</v>
      </c>
      <c r="J912" s="62" t="s">
        <v>11344</v>
      </c>
      <c r="K912" s="62" t="s">
        <v>55873</v>
      </c>
      <c r="L912" s="62" t="s">
        <v>11345</v>
      </c>
      <c r="M912" s="62" t="s">
        <v>11346</v>
      </c>
      <c r="N912" s="62" t="s">
        <v>11347</v>
      </c>
      <c r="O912" s="62" t="s">
        <v>11348</v>
      </c>
      <c r="P912" s="62" t="s">
        <v>55904</v>
      </c>
      <c r="Q912" s="62" t="s">
        <v>11349</v>
      </c>
      <c r="R912" s="62" t="s">
        <v>11350</v>
      </c>
      <c r="S912" s="62" t="s">
        <v>11351</v>
      </c>
      <c r="U912" s="62" t="s">
        <v>11352</v>
      </c>
      <c r="V912" s="62" t="s">
        <v>55935</v>
      </c>
      <c r="W912" s="62" t="s">
        <v>11353</v>
      </c>
      <c r="X912" s="62" t="s">
        <v>11354</v>
      </c>
      <c r="Y912" s="62" t="s">
        <v>11355</v>
      </c>
      <c r="Z912" s="62" t="s">
        <v>11356</v>
      </c>
      <c r="AA912" s="62" t="s">
        <v>55966</v>
      </c>
      <c r="AB912" s="62" t="s">
        <v>11357</v>
      </c>
      <c r="AC912" s="62" t="s">
        <v>11358</v>
      </c>
      <c r="AD912" s="62" t="s">
        <v>11359</v>
      </c>
    </row>
    <row r="913" spans="1:30" x14ac:dyDescent="0.25">
      <c r="A913" s="62" t="s">
        <v>109</v>
      </c>
      <c r="C913" s="62" t="s">
        <v>11360</v>
      </c>
      <c r="F913" s="62" t="s">
        <v>176</v>
      </c>
      <c r="G913" s="62" t="s">
        <v>55843</v>
      </c>
      <c r="J913" s="62" t="s">
        <v>11361</v>
      </c>
      <c r="K913" s="62" t="s">
        <v>55874</v>
      </c>
      <c r="L913" s="62" t="s">
        <v>11362</v>
      </c>
      <c r="M913" s="62" t="s">
        <v>11363</v>
      </c>
      <c r="N913" s="62" t="s">
        <v>11364</v>
      </c>
      <c r="O913" s="62" t="s">
        <v>11365</v>
      </c>
      <c r="P913" s="62" t="s">
        <v>55905</v>
      </c>
      <c r="Q913" s="62" t="s">
        <v>11366</v>
      </c>
      <c r="R913" s="62" t="s">
        <v>11367</v>
      </c>
      <c r="S913" s="62" t="s">
        <v>11368</v>
      </c>
      <c r="U913" s="62" t="s">
        <v>11369</v>
      </c>
      <c r="V913" s="62" t="s">
        <v>55936</v>
      </c>
      <c r="W913" s="62" t="s">
        <v>11370</v>
      </c>
      <c r="X913" s="62" t="s">
        <v>11371</v>
      </c>
      <c r="Y913" s="62" t="s">
        <v>11372</v>
      </c>
      <c r="Z913" s="62" t="s">
        <v>11373</v>
      </c>
      <c r="AA913" s="62" t="s">
        <v>55967</v>
      </c>
      <c r="AB913" s="62" t="s">
        <v>11374</v>
      </c>
      <c r="AC913" s="62" t="s">
        <v>11375</v>
      </c>
      <c r="AD913" s="62" t="s">
        <v>11376</v>
      </c>
    </row>
    <row r="914" spans="1:30" x14ac:dyDescent="0.25">
      <c r="A914" s="62" t="s">
        <v>109</v>
      </c>
      <c r="C914" s="62" t="s">
        <v>11377</v>
      </c>
      <c r="F914" s="62" t="s">
        <v>976</v>
      </c>
      <c r="G914" s="62" t="s">
        <v>55844</v>
      </c>
      <c r="J914" s="62" t="s">
        <v>11378</v>
      </c>
      <c r="K914" s="62" t="s">
        <v>55875</v>
      </c>
      <c r="L914" s="62" t="s">
        <v>11379</v>
      </c>
      <c r="M914" s="62" t="s">
        <v>11380</v>
      </c>
      <c r="N914" s="62" t="s">
        <v>11381</v>
      </c>
      <c r="O914" s="62" t="s">
        <v>11382</v>
      </c>
      <c r="P914" s="62" t="s">
        <v>55906</v>
      </c>
      <c r="Q914" s="62" t="s">
        <v>11383</v>
      </c>
      <c r="R914" s="62" t="s">
        <v>11384</v>
      </c>
      <c r="S914" s="62" t="s">
        <v>11385</v>
      </c>
      <c r="U914" s="62" t="s">
        <v>11386</v>
      </c>
      <c r="V914" s="62" t="s">
        <v>55937</v>
      </c>
      <c r="W914" s="62" t="s">
        <v>11387</v>
      </c>
      <c r="X914" s="62" t="s">
        <v>11388</v>
      </c>
      <c r="Y914" s="62" t="s">
        <v>11389</v>
      </c>
      <c r="Z914" s="62" t="s">
        <v>11390</v>
      </c>
      <c r="AA914" s="62" t="s">
        <v>55968</v>
      </c>
      <c r="AB914" s="62" t="s">
        <v>11391</v>
      </c>
      <c r="AC914" s="62" t="s">
        <v>11392</v>
      </c>
      <c r="AD914" s="62" t="s">
        <v>11393</v>
      </c>
    </row>
    <row r="915" spans="1:30" x14ac:dyDescent="0.25">
      <c r="A915" s="62" t="s">
        <v>109</v>
      </c>
      <c r="C915" s="62" t="s">
        <v>11394</v>
      </c>
      <c r="F915" s="62" t="s">
        <v>2212</v>
      </c>
      <c r="G915" s="62" t="s">
        <v>55845</v>
      </c>
      <c r="J915" s="62" t="s">
        <v>11395</v>
      </c>
      <c r="K915" s="62" t="s">
        <v>55876</v>
      </c>
      <c r="L915" s="62" t="s">
        <v>11396</v>
      </c>
      <c r="M915" s="62" t="s">
        <v>11397</v>
      </c>
      <c r="N915" s="62" t="s">
        <v>11398</v>
      </c>
      <c r="O915" s="62" t="s">
        <v>11399</v>
      </c>
      <c r="P915" s="62" t="s">
        <v>55907</v>
      </c>
      <c r="Q915" s="62" t="s">
        <v>11400</v>
      </c>
      <c r="R915" s="62" t="s">
        <v>11401</v>
      </c>
      <c r="S915" s="62" t="s">
        <v>11402</v>
      </c>
      <c r="U915" s="62" t="s">
        <v>11403</v>
      </c>
      <c r="V915" s="62" t="s">
        <v>55938</v>
      </c>
      <c r="W915" s="62" t="s">
        <v>11404</v>
      </c>
      <c r="X915" s="62" t="s">
        <v>11405</v>
      </c>
      <c r="Y915" s="62" t="s">
        <v>11406</v>
      </c>
      <c r="Z915" s="62" t="s">
        <v>11407</v>
      </c>
      <c r="AA915" s="62" t="s">
        <v>55969</v>
      </c>
      <c r="AB915" s="62" t="s">
        <v>11408</v>
      </c>
      <c r="AC915" s="62" t="s">
        <v>11409</v>
      </c>
      <c r="AD915" s="62" t="s">
        <v>11410</v>
      </c>
    </row>
    <row r="916" spans="1:30" x14ac:dyDescent="0.25">
      <c r="A916" s="62" t="s">
        <v>109</v>
      </c>
      <c r="C916" s="62" t="s">
        <v>11411</v>
      </c>
      <c r="F916" s="62" t="s">
        <v>2405</v>
      </c>
      <c r="G916" s="62" t="s">
        <v>55846</v>
      </c>
      <c r="J916" s="62" t="s">
        <v>11412</v>
      </c>
      <c r="K916" s="62" t="s">
        <v>55877</v>
      </c>
      <c r="L916" s="62" t="s">
        <v>11413</v>
      </c>
      <c r="M916" s="62" t="s">
        <v>11414</v>
      </c>
      <c r="N916" s="62" t="s">
        <v>11415</v>
      </c>
      <c r="O916" s="62" t="s">
        <v>11416</v>
      </c>
      <c r="P916" s="62" t="s">
        <v>55908</v>
      </c>
      <c r="Q916" s="62" t="s">
        <v>11417</v>
      </c>
      <c r="R916" s="62" t="s">
        <v>11418</v>
      </c>
      <c r="S916" s="62" t="s">
        <v>11419</v>
      </c>
      <c r="U916" s="62" t="s">
        <v>11420</v>
      </c>
      <c r="V916" s="62" t="s">
        <v>55939</v>
      </c>
      <c r="W916" s="62" t="s">
        <v>11421</v>
      </c>
      <c r="X916" s="62" t="s">
        <v>11422</v>
      </c>
      <c r="Y916" s="62" t="s">
        <v>11423</v>
      </c>
      <c r="Z916" s="62" t="s">
        <v>11424</v>
      </c>
      <c r="AA916" s="62" t="s">
        <v>55970</v>
      </c>
      <c r="AB916" s="62" t="s">
        <v>11425</v>
      </c>
      <c r="AC916" s="62" t="s">
        <v>11426</v>
      </c>
      <c r="AD916" s="62" t="s">
        <v>11427</v>
      </c>
    </row>
    <row r="917" spans="1:30" x14ac:dyDescent="0.25">
      <c r="A917" s="62" t="s">
        <v>109</v>
      </c>
      <c r="C917" s="62" t="s">
        <v>11428</v>
      </c>
      <c r="F917" s="62" t="s">
        <v>193</v>
      </c>
      <c r="G917" s="62" t="s">
        <v>55847</v>
      </c>
      <c r="J917" s="62" t="s">
        <v>11429</v>
      </c>
      <c r="K917" s="62" t="s">
        <v>55878</v>
      </c>
      <c r="L917" s="62" t="s">
        <v>11430</v>
      </c>
      <c r="M917" s="62" t="s">
        <v>11431</v>
      </c>
      <c r="N917" s="62" t="s">
        <v>11432</v>
      </c>
      <c r="O917" s="62" t="s">
        <v>11433</v>
      </c>
      <c r="P917" s="62" t="s">
        <v>55909</v>
      </c>
      <c r="Q917" s="62" t="s">
        <v>11434</v>
      </c>
      <c r="R917" s="62" t="s">
        <v>11435</v>
      </c>
      <c r="S917" s="62" t="s">
        <v>11436</v>
      </c>
      <c r="U917" s="62" t="s">
        <v>11437</v>
      </c>
      <c r="V917" s="62" t="s">
        <v>55940</v>
      </c>
      <c r="W917" s="62" t="s">
        <v>11438</v>
      </c>
      <c r="X917" s="62" t="s">
        <v>11439</v>
      </c>
      <c r="Y917" s="62" t="s">
        <v>11440</v>
      </c>
      <c r="Z917" s="62" t="s">
        <v>11441</v>
      </c>
      <c r="AA917" s="62" t="s">
        <v>55971</v>
      </c>
      <c r="AB917" s="62" t="s">
        <v>11442</v>
      </c>
      <c r="AC917" s="62" t="s">
        <v>11443</v>
      </c>
      <c r="AD917" s="62" t="s">
        <v>11444</v>
      </c>
    </row>
    <row r="918" spans="1:30" x14ac:dyDescent="0.25">
      <c r="A918" s="62" t="s">
        <v>109</v>
      </c>
      <c r="C918" s="62" t="s">
        <v>11445</v>
      </c>
      <c r="F918" s="62" t="s">
        <v>2222</v>
      </c>
      <c r="G918" s="62" t="s">
        <v>55848</v>
      </c>
      <c r="J918" s="62" t="s">
        <v>11446</v>
      </c>
      <c r="K918" s="62" t="s">
        <v>55879</v>
      </c>
      <c r="L918" s="62" t="s">
        <v>11447</v>
      </c>
      <c r="M918" s="62" t="s">
        <v>11448</v>
      </c>
      <c r="N918" s="62" t="s">
        <v>11449</v>
      </c>
      <c r="O918" s="62" t="s">
        <v>11450</v>
      </c>
      <c r="P918" s="62" t="s">
        <v>55910</v>
      </c>
      <c r="Q918" s="62" t="s">
        <v>11451</v>
      </c>
      <c r="R918" s="62" t="s">
        <v>11452</v>
      </c>
      <c r="S918" s="62" t="s">
        <v>11453</v>
      </c>
      <c r="U918" s="62" t="s">
        <v>11454</v>
      </c>
      <c r="V918" s="62" t="s">
        <v>55941</v>
      </c>
      <c r="W918" s="62" t="s">
        <v>11455</v>
      </c>
      <c r="X918" s="62" t="s">
        <v>11456</v>
      </c>
      <c r="Y918" s="62" t="s">
        <v>11457</v>
      </c>
      <c r="Z918" s="62" t="s">
        <v>11458</v>
      </c>
      <c r="AA918" s="62" t="s">
        <v>55972</v>
      </c>
      <c r="AB918" s="62" t="s">
        <v>11459</v>
      </c>
      <c r="AC918" s="62" t="s">
        <v>11460</v>
      </c>
      <c r="AD918" s="62" t="s">
        <v>11461</v>
      </c>
    </row>
    <row r="919" spans="1:30" x14ac:dyDescent="0.25">
      <c r="A919" s="62" t="s">
        <v>109</v>
      </c>
      <c r="C919" s="62" t="s">
        <v>11462</v>
      </c>
      <c r="F919" s="62" t="s">
        <v>2240</v>
      </c>
      <c r="G919" s="62" t="s">
        <v>55849</v>
      </c>
      <c r="J919" s="62" t="s">
        <v>11463</v>
      </c>
      <c r="K919" s="62" t="s">
        <v>55880</v>
      </c>
      <c r="L919" s="62" t="s">
        <v>11464</v>
      </c>
      <c r="M919" s="62" t="s">
        <v>11465</v>
      </c>
      <c r="N919" s="62" t="s">
        <v>11466</v>
      </c>
      <c r="O919" s="62" t="s">
        <v>11467</v>
      </c>
      <c r="P919" s="62" t="s">
        <v>55911</v>
      </c>
      <c r="Q919" s="62" t="s">
        <v>11468</v>
      </c>
      <c r="R919" s="62" t="s">
        <v>11469</v>
      </c>
      <c r="S919" s="62" t="s">
        <v>11470</v>
      </c>
      <c r="U919" s="62" t="s">
        <v>11471</v>
      </c>
      <c r="V919" s="62" t="s">
        <v>55942</v>
      </c>
      <c r="W919" s="62" t="s">
        <v>11472</v>
      </c>
      <c r="X919" s="62" t="s">
        <v>11473</v>
      </c>
      <c r="Y919" s="62" t="s">
        <v>11474</v>
      </c>
      <c r="Z919" s="62" t="s">
        <v>11475</v>
      </c>
      <c r="AA919" s="62" t="s">
        <v>55973</v>
      </c>
      <c r="AB919" s="62" t="s">
        <v>11476</v>
      </c>
      <c r="AC919" s="62" t="s">
        <v>11477</v>
      </c>
      <c r="AD919" s="62" t="s">
        <v>11478</v>
      </c>
    </row>
    <row r="920" spans="1:30" x14ac:dyDescent="0.25">
      <c r="A920" s="62" t="s">
        <v>109</v>
      </c>
      <c r="C920" s="62" t="s">
        <v>11479</v>
      </c>
      <c r="F920" s="62" t="s">
        <v>210</v>
      </c>
      <c r="G920" s="62" t="s">
        <v>55850</v>
      </c>
      <c r="J920" s="62" t="s">
        <v>11480</v>
      </c>
      <c r="K920" s="62" t="s">
        <v>55881</v>
      </c>
      <c r="L920" s="62" t="s">
        <v>11481</v>
      </c>
      <c r="M920" s="62" t="s">
        <v>11482</v>
      </c>
      <c r="N920" s="62" t="s">
        <v>11483</v>
      </c>
      <c r="O920" s="62" t="s">
        <v>11484</v>
      </c>
      <c r="P920" s="62" t="s">
        <v>55912</v>
      </c>
      <c r="Q920" s="62" t="s">
        <v>11485</v>
      </c>
      <c r="R920" s="62" t="s">
        <v>11486</v>
      </c>
      <c r="S920" s="62" t="s">
        <v>11487</v>
      </c>
      <c r="U920" s="62" t="s">
        <v>11488</v>
      </c>
      <c r="V920" s="62" t="s">
        <v>55943</v>
      </c>
      <c r="W920" s="62" t="s">
        <v>11489</v>
      </c>
      <c r="X920" s="62" t="s">
        <v>11490</v>
      </c>
      <c r="Y920" s="62" t="s">
        <v>11491</v>
      </c>
      <c r="Z920" s="62" t="s">
        <v>11492</v>
      </c>
      <c r="AA920" s="62" t="s">
        <v>55974</v>
      </c>
      <c r="AB920" s="62" t="s">
        <v>11493</v>
      </c>
      <c r="AC920" s="62" t="s">
        <v>11494</v>
      </c>
      <c r="AD920" s="62" t="s">
        <v>11495</v>
      </c>
    </row>
    <row r="921" spans="1:30" x14ac:dyDescent="0.25">
      <c r="A921" s="62" t="s">
        <v>109</v>
      </c>
      <c r="C921" s="62" t="s">
        <v>11496</v>
      </c>
      <c r="F921" s="62" t="s">
        <v>227</v>
      </c>
      <c r="G921" s="62" t="s">
        <v>55851</v>
      </c>
      <c r="J921" s="62" t="s">
        <v>11497</v>
      </c>
      <c r="K921" s="62" t="s">
        <v>55882</v>
      </c>
      <c r="L921" s="62" t="s">
        <v>11498</v>
      </c>
      <c r="M921" s="62" t="s">
        <v>11499</v>
      </c>
      <c r="N921" s="62" t="s">
        <v>11500</v>
      </c>
      <c r="O921" s="62" t="s">
        <v>11501</v>
      </c>
      <c r="P921" s="62" t="s">
        <v>55913</v>
      </c>
      <c r="Q921" s="62" t="s">
        <v>11502</v>
      </c>
      <c r="R921" s="62" t="s">
        <v>11503</v>
      </c>
      <c r="S921" s="62" t="s">
        <v>11504</v>
      </c>
      <c r="U921" s="62" t="s">
        <v>11505</v>
      </c>
      <c r="V921" s="62" t="s">
        <v>55944</v>
      </c>
      <c r="W921" s="62" t="s">
        <v>11506</v>
      </c>
      <c r="X921" s="62" t="s">
        <v>11507</v>
      </c>
      <c r="Y921" s="62" t="s">
        <v>11508</v>
      </c>
      <c r="Z921" s="62" t="s">
        <v>11509</v>
      </c>
      <c r="AA921" s="62" t="s">
        <v>55975</v>
      </c>
      <c r="AB921" s="62" t="s">
        <v>11510</v>
      </c>
      <c r="AC921" s="62" t="s">
        <v>11511</v>
      </c>
      <c r="AD921" s="62" t="s">
        <v>11512</v>
      </c>
    </row>
    <row r="922" spans="1:30" x14ac:dyDescent="0.25">
      <c r="A922" s="62" t="s">
        <v>109</v>
      </c>
      <c r="C922" s="62" t="s">
        <v>11513</v>
      </c>
      <c r="F922" s="62" t="s">
        <v>236</v>
      </c>
      <c r="G922" s="62" t="s">
        <v>55852</v>
      </c>
      <c r="J922" s="62" t="s">
        <v>11514</v>
      </c>
      <c r="K922" s="62" t="s">
        <v>55883</v>
      </c>
      <c r="L922" s="62" t="s">
        <v>11515</v>
      </c>
      <c r="M922" s="62" t="s">
        <v>11516</v>
      </c>
      <c r="N922" s="62" t="s">
        <v>11517</v>
      </c>
      <c r="O922" s="62" t="s">
        <v>11518</v>
      </c>
      <c r="P922" s="62" t="s">
        <v>55914</v>
      </c>
      <c r="Q922" s="62" t="s">
        <v>11519</v>
      </c>
      <c r="R922" s="62" t="s">
        <v>11520</v>
      </c>
      <c r="S922" s="62" t="s">
        <v>11521</v>
      </c>
      <c r="U922" s="62" t="s">
        <v>11522</v>
      </c>
      <c r="V922" s="62" t="s">
        <v>55945</v>
      </c>
      <c r="W922" s="62" t="s">
        <v>11523</v>
      </c>
      <c r="X922" s="62" t="s">
        <v>11524</v>
      </c>
      <c r="Y922" s="62" t="s">
        <v>11525</v>
      </c>
      <c r="Z922" s="62" t="s">
        <v>11526</v>
      </c>
      <c r="AA922" s="62" t="s">
        <v>55976</v>
      </c>
      <c r="AB922" s="62" t="s">
        <v>11527</v>
      </c>
      <c r="AC922" s="62" t="s">
        <v>11528</v>
      </c>
      <c r="AD922" s="62" t="s">
        <v>11529</v>
      </c>
    </row>
    <row r="923" spans="1:30" x14ac:dyDescent="0.25">
      <c r="A923" s="62" t="s">
        <v>109</v>
      </c>
      <c r="C923" s="62" t="s">
        <v>11530</v>
      </c>
      <c r="F923" s="62" t="s">
        <v>237</v>
      </c>
      <c r="G923" s="62" t="s">
        <v>55853</v>
      </c>
      <c r="J923" s="62" t="s">
        <v>11531</v>
      </c>
      <c r="K923" s="62" t="s">
        <v>55884</v>
      </c>
      <c r="L923" s="62" t="s">
        <v>11532</v>
      </c>
      <c r="M923" s="62" t="s">
        <v>11533</v>
      </c>
      <c r="N923" s="62" t="s">
        <v>11534</v>
      </c>
      <c r="O923" s="62" t="s">
        <v>11535</v>
      </c>
      <c r="P923" s="62" t="s">
        <v>55915</v>
      </c>
      <c r="Q923" s="62" t="s">
        <v>11536</v>
      </c>
      <c r="R923" s="62" t="s">
        <v>11537</v>
      </c>
      <c r="S923" s="62" t="s">
        <v>11538</v>
      </c>
      <c r="U923" s="62" t="s">
        <v>11539</v>
      </c>
      <c r="V923" s="62" t="s">
        <v>55946</v>
      </c>
      <c r="W923" s="62" t="s">
        <v>11540</v>
      </c>
      <c r="X923" s="62" t="s">
        <v>11541</v>
      </c>
      <c r="Y923" s="62" t="s">
        <v>11542</v>
      </c>
      <c r="Z923" s="62" t="s">
        <v>11543</v>
      </c>
      <c r="AA923" s="62" t="s">
        <v>55977</v>
      </c>
      <c r="AB923" s="62" t="s">
        <v>11544</v>
      </c>
      <c r="AC923" s="62" t="s">
        <v>11545</v>
      </c>
      <c r="AD923" s="62" t="s">
        <v>11546</v>
      </c>
    </row>
    <row r="924" spans="1:30" x14ac:dyDescent="0.25">
      <c r="A924" s="62" t="s">
        <v>109</v>
      </c>
      <c r="C924" s="62" t="s">
        <v>11547</v>
      </c>
      <c r="F924" s="62" t="s">
        <v>3799</v>
      </c>
      <c r="G924" s="62" t="s">
        <v>55854</v>
      </c>
      <c r="J924" s="62" t="s">
        <v>11548</v>
      </c>
      <c r="K924" s="62" t="s">
        <v>55885</v>
      </c>
      <c r="L924" s="62" t="s">
        <v>11549</v>
      </c>
      <c r="M924" s="62" t="s">
        <v>11550</v>
      </c>
      <c r="N924" s="62" t="s">
        <v>11551</v>
      </c>
      <c r="O924" s="62" t="s">
        <v>11552</v>
      </c>
      <c r="P924" s="62" t="s">
        <v>55916</v>
      </c>
      <c r="Q924" s="62" t="s">
        <v>11553</v>
      </c>
      <c r="R924" s="62" t="s">
        <v>11554</v>
      </c>
      <c r="S924" s="62" t="s">
        <v>11555</v>
      </c>
      <c r="U924" s="62" t="s">
        <v>11556</v>
      </c>
      <c r="V924" s="62" t="s">
        <v>55947</v>
      </c>
      <c r="W924" s="62" t="s">
        <v>11557</v>
      </c>
      <c r="X924" s="62" t="s">
        <v>11558</v>
      </c>
      <c r="Y924" s="62" t="s">
        <v>11559</v>
      </c>
      <c r="Z924" s="62" t="s">
        <v>11560</v>
      </c>
      <c r="AA924" s="62" t="s">
        <v>55978</v>
      </c>
      <c r="AB924" s="62" t="s">
        <v>11561</v>
      </c>
      <c r="AC924" s="62" t="s">
        <v>11562</v>
      </c>
      <c r="AD924" s="62" t="s">
        <v>11563</v>
      </c>
    </row>
    <row r="925" spans="1:30" x14ac:dyDescent="0.25">
      <c r="A925" s="62" t="s">
        <v>109</v>
      </c>
      <c r="C925" s="62" t="s">
        <v>11564</v>
      </c>
      <c r="F925" s="62" t="s">
        <v>2297</v>
      </c>
      <c r="G925" s="62" t="s">
        <v>55855</v>
      </c>
      <c r="J925" s="62" t="s">
        <v>11565</v>
      </c>
      <c r="K925" s="62" t="s">
        <v>55886</v>
      </c>
      <c r="L925" s="62" t="s">
        <v>11566</v>
      </c>
      <c r="M925" s="62" t="s">
        <v>11567</v>
      </c>
      <c r="N925" s="62" t="s">
        <v>11568</v>
      </c>
      <c r="O925" s="62" t="s">
        <v>11569</v>
      </c>
      <c r="P925" s="62" t="s">
        <v>55917</v>
      </c>
      <c r="Q925" s="62" t="s">
        <v>11570</v>
      </c>
      <c r="R925" s="62" t="s">
        <v>11571</v>
      </c>
      <c r="S925" s="62" t="s">
        <v>11572</v>
      </c>
      <c r="U925" s="62" t="s">
        <v>11573</v>
      </c>
      <c r="V925" s="62" t="s">
        <v>55948</v>
      </c>
      <c r="W925" s="62" t="s">
        <v>11574</v>
      </c>
      <c r="X925" s="62" t="s">
        <v>11575</v>
      </c>
      <c r="Y925" s="62" t="s">
        <v>11576</v>
      </c>
      <c r="Z925" s="62" t="s">
        <v>11577</v>
      </c>
      <c r="AA925" s="62" t="s">
        <v>55979</v>
      </c>
      <c r="AB925" s="62" t="s">
        <v>11578</v>
      </c>
      <c r="AC925" s="62" t="s">
        <v>11579</v>
      </c>
      <c r="AD925" s="62" t="s">
        <v>11580</v>
      </c>
    </row>
    <row r="926" spans="1:30" x14ac:dyDescent="0.25">
      <c r="A926" s="62" t="s">
        <v>109</v>
      </c>
      <c r="C926" s="62" t="s">
        <v>11581</v>
      </c>
      <c r="F926" s="62" t="s">
        <v>4942</v>
      </c>
      <c r="G926" s="62" t="s">
        <v>55856</v>
      </c>
      <c r="J926" s="62" t="s">
        <v>11582</v>
      </c>
      <c r="K926" s="62" t="s">
        <v>55887</v>
      </c>
      <c r="L926" s="62" t="s">
        <v>11583</v>
      </c>
      <c r="M926" s="62" t="s">
        <v>11584</v>
      </c>
      <c r="N926" s="62" t="s">
        <v>11585</v>
      </c>
      <c r="O926" s="62" t="s">
        <v>11586</v>
      </c>
      <c r="P926" s="62" t="s">
        <v>55918</v>
      </c>
      <c r="Q926" s="62" t="s">
        <v>11587</v>
      </c>
      <c r="R926" s="62" t="s">
        <v>11588</v>
      </c>
      <c r="S926" s="62" t="s">
        <v>11589</v>
      </c>
      <c r="U926" s="62" t="s">
        <v>11590</v>
      </c>
      <c r="V926" s="62" t="s">
        <v>55949</v>
      </c>
      <c r="W926" s="62" t="s">
        <v>11591</v>
      </c>
      <c r="X926" s="62" t="s">
        <v>11592</v>
      </c>
      <c r="Y926" s="62" t="s">
        <v>11593</v>
      </c>
      <c r="Z926" s="62" t="s">
        <v>11594</v>
      </c>
      <c r="AA926" s="62" t="s">
        <v>55980</v>
      </c>
      <c r="AB926" s="62" t="s">
        <v>11595</v>
      </c>
      <c r="AC926" s="62" t="s">
        <v>11596</v>
      </c>
      <c r="AD926" s="62" t="s">
        <v>11597</v>
      </c>
    </row>
    <row r="927" spans="1:30" x14ac:dyDescent="0.25">
      <c r="A927" s="62" t="s">
        <v>109</v>
      </c>
      <c r="C927" s="62" t="s">
        <v>11598</v>
      </c>
      <c r="F927" s="62" t="s">
        <v>2310</v>
      </c>
      <c r="G927" s="62" t="s">
        <v>55857</v>
      </c>
      <c r="J927" s="62" t="s">
        <v>11599</v>
      </c>
      <c r="K927" s="62" t="s">
        <v>55888</v>
      </c>
      <c r="L927" s="62" t="s">
        <v>11600</v>
      </c>
      <c r="M927" s="62" t="s">
        <v>11601</v>
      </c>
      <c r="N927" s="62" t="s">
        <v>11602</v>
      </c>
      <c r="O927" s="62" t="s">
        <v>11603</v>
      </c>
      <c r="P927" s="62" t="s">
        <v>55919</v>
      </c>
      <c r="Q927" s="62" t="s">
        <v>11604</v>
      </c>
      <c r="R927" s="62" t="s">
        <v>11605</v>
      </c>
      <c r="S927" s="62" t="s">
        <v>11606</v>
      </c>
      <c r="U927" s="62" t="s">
        <v>11607</v>
      </c>
      <c r="V927" s="62" t="s">
        <v>55950</v>
      </c>
      <c r="W927" s="62" t="s">
        <v>11608</v>
      </c>
      <c r="X927" s="62" t="s">
        <v>11609</v>
      </c>
      <c r="Y927" s="62" t="s">
        <v>11610</v>
      </c>
      <c r="Z927" s="62" t="s">
        <v>11611</v>
      </c>
      <c r="AA927" s="62" t="s">
        <v>55981</v>
      </c>
      <c r="AB927" s="62" t="s">
        <v>11612</v>
      </c>
      <c r="AC927" s="62" t="s">
        <v>11613</v>
      </c>
      <c r="AD927" s="62" t="s">
        <v>11614</v>
      </c>
    </row>
    <row r="928" spans="1:30" x14ac:dyDescent="0.25">
      <c r="A928" s="62" t="s">
        <v>109</v>
      </c>
      <c r="C928" s="62" t="s">
        <v>11615</v>
      </c>
      <c r="F928" s="62" t="s">
        <v>271</v>
      </c>
      <c r="G928" s="62" t="s">
        <v>55858</v>
      </c>
      <c r="J928" s="62" t="s">
        <v>11616</v>
      </c>
      <c r="K928" s="62" t="s">
        <v>55889</v>
      </c>
      <c r="L928" s="62" t="s">
        <v>11617</v>
      </c>
      <c r="M928" s="62" t="s">
        <v>11618</v>
      </c>
      <c r="N928" s="62" t="s">
        <v>11619</v>
      </c>
      <c r="O928" s="62" t="s">
        <v>11620</v>
      </c>
      <c r="P928" s="62" t="s">
        <v>55920</v>
      </c>
      <c r="Q928" s="62" t="s">
        <v>11621</v>
      </c>
      <c r="R928" s="62" t="s">
        <v>11622</v>
      </c>
      <c r="S928" s="62" t="s">
        <v>11623</v>
      </c>
      <c r="U928" s="62" t="s">
        <v>11624</v>
      </c>
      <c r="V928" s="62" t="s">
        <v>55951</v>
      </c>
      <c r="W928" s="62" t="s">
        <v>11625</v>
      </c>
      <c r="X928" s="62" t="s">
        <v>11626</v>
      </c>
      <c r="Y928" s="62" t="s">
        <v>11627</v>
      </c>
      <c r="Z928" s="62" t="s">
        <v>11628</v>
      </c>
      <c r="AA928" s="62" t="s">
        <v>55982</v>
      </c>
      <c r="AB928" s="62" t="s">
        <v>11629</v>
      </c>
      <c r="AC928" s="62" t="s">
        <v>11630</v>
      </c>
      <c r="AD928" s="62" t="s">
        <v>11631</v>
      </c>
    </row>
    <row r="929" spans="1:30" x14ac:dyDescent="0.25">
      <c r="A929" s="62" t="s">
        <v>109</v>
      </c>
      <c r="C929" s="62" t="s">
        <v>11632</v>
      </c>
      <c r="F929" s="62" t="s">
        <v>2464</v>
      </c>
      <c r="G929" s="62" t="s">
        <v>55859</v>
      </c>
      <c r="J929" s="62" t="s">
        <v>11633</v>
      </c>
      <c r="K929" s="62" t="s">
        <v>55890</v>
      </c>
      <c r="L929" s="62" t="s">
        <v>11634</v>
      </c>
      <c r="M929" s="62" t="s">
        <v>11635</v>
      </c>
      <c r="N929" s="62" t="s">
        <v>11636</v>
      </c>
      <c r="O929" s="62" t="s">
        <v>11637</v>
      </c>
      <c r="P929" s="62" t="s">
        <v>55921</v>
      </c>
      <c r="Q929" s="62" t="s">
        <v>11638</v>
      </c>
      <c r="R929" s="62" t="s">
        <v>11639</v>
      </c>
      <c r="S929" s="62" t="s">
        <v>11640</v>
      </c>
      <c r="U929" s="62" t="s">
        <v>11641</v>
      </c>
      <c r="V929" s="62" t="s">
        <v>55952</v>
      </c>
      <c r="W929" s="62" t="s">
        <v>11642</v>
      </c>
      <c r="X929" s="62" t="s">
        <v>11643</v>
      </c>
      <c r="Y929" s="62" t="s">
        <v>11644</v>
      </c>
      <c r="Z929" s="62" t="s">
        <v>11645</v>
      </c>
      <c r="AA929" s="62" t="s">
        <v>55983</v>
      </c>
      <c r="AB929" s="62" t="s">
        <v>11646</v>
      </c>
      <c r="AC929" s="62" t="s">
        <v>11647</v>
      </c>
      <c r="AD929" s="62" t="s">
        <v>11648</v>
      </c>
    </row>
    <row r="930" spans="1:30" x14ac:dyDescent="0.25">
      <c r="A930" s="62" t="s">
        <v>109</v>
      </c>
      <c r="C930" s="62" t="s">
        <v>11649</v>
      </c>
      <c r="F930" s="62" t="s">
        <v>2311</v>
      </c>
      <c r="G930" s="62" t="s">
        <v>55860</v>
      </c>
      <c r="J930" s="62" t="s">
        <v>11650</v>
      </c>
      <c r="K930" s="62" t="s">
        <v>55891</v>
      </c>
      <c r="L930" s="62" t="s">
        <v>11651</v>
      </c>
      <c r="M930" s="62" t="s">
        <v>11652</v>
      </c>
      <c r="N930" s="62" t="s">
        <v>11653</v>
      </c>
      <c r="O930" s="62" t="s">
        <v>11654</v>
      </c>
      <c r="P930" s="62" t="s">
        <v>55922</v>
      </c>
      <c r="Q930" s="62" t="s">
        <v>11655</v>
      </c>
      <c r="R930" s="62" t="s">
        <v>11656</v>
      </c>
      <c r="S930" s="62" t="s">
        <v>11657</v>
      </c>
      <c r="U930" s="62" t="s">
        <v>11658</v>
      </c>
      <c r="V930" s="62" t="s">
        <v>55953</v>
      </c>
      <c r="W930" s="62" t="s">
        <v>11659</v>
      </c>
      <c r="X930" s="62" t="s">
        <v>11660</v>
      </c>
      <c r="Y930" s="62" t="s">
        <v>11661</v>
      </c>
      <c r="Z930" s="62" t="s">
        <v>11662</v>
      </c>
      <c r="AA930" s="62" t="s">
        <v>55984</v>
      </c>
      <c r="AB930" s="62" t="s">
        <v>11663</v>
      </c>
      <c r="AC930" s="62" t="s">
        <v>11664</v>
      </c>
      <c r="AD930" s="62" t="s">
        <v>11665</v>
      </c>
    </row>
    <row r="931" spans="1:30" x14ac:dyDescent="0.25">
      <c r="A931" s="62" t="s">
        <v>109</v>
      </c>
      <c r="C931" s="62" t="s">
        <v>11666</v>
      </c>
      <c r="F931" s="62" t="s">
        <v>288</v>
      </c>
      <c r="G931" s="62" t="s">
        <v>55861</v>
      </c>
      <c r="J931" s="62" t="s">
        <v>11667</v>
      </c>
      <c r="K931" s="62" t="s">
        <v>55892</v>
      </c>
      <c r="L931" s="62" t="s">
        <v>11668</v>
      </c>
      <c r="M931" s="62" t="s">
        <v>11669</v>
      </c>
      <c r="N931" s="62" t="s">
        <v>11670</v>
      </c>
      <c r="O931" s="62" t="s">
        <v>11671</v>
      </c>
      <c r="P931" s="62" t="s">
        <v>55923</v>
      </c>
      <c r="Q931" s="62" t="s">
        <v>11672</v>
      </c>
      <c r="R931" s="62" t="s">
        <v>11673</v>
      </c>
      <c r="S931" s="62" t="s">
        <v>11674</v>
      </c>
      <c r="U931" s="62" t="s">
        <v>11675</v>
      </c>
      <c r="V931" s="62" t="s">
        <v>55954</v>
      </c>
      <c r="W931" s="62" t="s">
        <v>11676</v>
      </c>
      <c r="X931" s="62" t="s">
        <v>11677</v>
      </c>
      <c r="Y931" s="62" t="s">
        <v>11678</v>
      </c>
      <c r="Z931" s="62" t="s">
        <v>11679</v>
      </c>
      <c r="AA931" s="62" t="s">
        <v>55985</v>
      </c>
      <c r="AB931" s="62" t="s">
        <v>11680</v>
      </c>
      <c r="AC931" s="62" t="s">
        <v>11681</v>
      </c>
      <c r="AD931" s="62" t="s">
        <v>11682</v>
      </c>
    </row>
    <row r="932" spans="1:30" x14ac:dyDescent="0.25">
      <c r="A932" s="62" t="s">
        <v>109</v>
      </c>
      <c r="C932" s="62" t="s">
        <v>11683</v>
      </c>
      <c r="F932" s="62" t="s">
        <v>2481</v>
      </c>
      <c r="G932" s="62" t="s">
        <v>55862</v>
      </c>
      <c r="J932" s="62" t="s">
        <v>11684</v>
      </c>
      <c r="K932" s="62" t="s">
        <v>55893</v>
      </c>
      <c r="L932" s="62" t="s">
        <v>11685</v>
      </c>
      <c r="M932" s="62" t="s">
        <v>11686</v>
      </c>
      <c r="N932" s="62" t="s">
        <v>11687</v>
      </c>
      <c r="O932" s="62" t="s">
        <v>11688</v>
      </c>
      <c r="P932" s="62" t="s">
        <v>55924</v>
      </c>
      <c r="Q932" s="62" t="s">
        <v>11689</v>
      </c>
      <c r="R932" s="62" t="s">
        <v>11690</v>
      </c>
      <c r="S932" s="62" t="s">
        <v>11691</v>
      </c>
      <c r="U932" s="62" t="s">
        <v>11692</v>
      </c>
      <c r="V932" s="62" t="s">
        <v>55955</v>
      </c>
      <c r="W932" s="62" t="s">
        <v>11693</v>
      </c>
      <c r="X932" s="62" t="s">
        <v>11694</v>
      </c>
      <c r="Y932" s="62" t="s">
        <v>11695</v>
      </c>
      <c r="Z932" s="62" t="s">
        <v>11696</v>
      </c>
      <c r="AA932" s="62" t="s">
        <v>55986</v>
      </c>
      <c r="AB932" s="62" t="s">
        <v>11697</v>
      </c>
      <c r="AC932" s="62" t="s">
        <v>11698</v>
      </c>
      <c r="AD932" s="62" t="s">
        <v>11699</v>
      </c>
    </row>
    <row r="933" spans="1:30" x14ac:dyDescent="0.25">
      <c r="A933" s="62" t="s">
        <v>109</v>
      </c>
      <c r="C933" s="62" t="s">
        <v>11700</v>
      </c>
      <c r="F933" s="62" t="s">
        <v>1100</v>
      </c>
      <c r="G933" s="62" t="s">
        <v>55863</v>
      </c>
      <c r="J933" s="62" t="s">
        <v>11701</v>
      </c>
      <c r="K933" s="62" t="s">
        <v>55894</v>
      </c>
      <c r="L933" s="62" t="s">
        <v>11702</v>
      </c>
      <c r="M933" s="62" t="s">
        <v>11703</v>
      </c>
      <c r="N933" s="62" t="s">
        <v>11704</v>
      </c>
      <c r="O933" s="62" t="s">
        <v>11705</v>
      </c>
      <c r="P933" s="62" t="s">
        <v>55925</v>
      </c>
      <c r="Q933" s="62" t="s">
        <v>11706</v>
      </c>
      <c r="R933" s="62" t="s">
        <v>11707</v>
      </c>
      <c r="S933" s="62" t="s">
        <v>11708</v>
      </c>
      <c r="U933" s="62" t="s">
        <v>11709</v>
      </c>
      <c r="V933" s="62" t="s">
        <v>55956</v>
      </c>
      <c r="W933" s="62" t="s">
        <v>11710</v>
      </c>
      <c r="X933" s="62" t="s">
        <v>11711</v>
      </c>
      <c r="Y933" s="62" t="s">
        <v>11712</v>
      </c>
      <c r="Z933" s="62" t="s">
        <v>11713</v>
      </c>
      <c r="AA933" s="62" t="s">
        <v>55987</v>
      </c>
      <c r="AB933" s="62" t="s">
        <v>11714</v>
      </c>
      <c r="AC933" s="62" t="s">
        <v>11715</v>
      </c>
      <c r="AD933" s="62" t="s">
        <v>11716</v>
      </c>
    </row>
    <row r="934" spans="1:30" x14ac:dyDescent="0.25">
      <c r="A934" s="62" t="s">
        <v>109</v>
      </c>
      <c r="C934" s="62" t="s">
        <v>11717</v>
      </c>
      <c r="F934" s="62" t="s">
        <v>2337</v>
      </c>
      <c r="G934" s="62" t="s">
        <v>55864</v>
      </c>
      <c r="J934" s="62" t="s">
        <v>11718</v>
      </c>
      <c r="K934" s="62" t="s">
        <v>55895</v>
      </c>
      <c r="L934" s="62" t="s">
        <v>11719</v>
      </c>
      <c r="M934" s="62" t="s">
        <v>11720</v>
      </c>
      <c r="N934" s="62" t="s">
        <v>11721</v>
      </c>
      <c r="O934" s="62" t="s">
        <v>11722</v>
      </c>
      <c r="P934" s="62" t="s">
        <v>55926</v>
      </c>
      <c r="Q934" s="62" t="s">
        <v>11723</v>
      </c>
      <c r="R934" s="62" t="s">
        <v>11724</v>
      </c>
      <c r="S934" s="62" t="s">
        <v>11725</v>
      </c>
      <c r="U934" s="62" t="s">
        <v>11726</v>
      </c>
      <c r="V934" s="62" t="s">
        <v>55957</v>
      </c>
      <c r="W934" s="62" t="s">
        <v>11727</v>
      </c>
      <c r="X934" s="62" t="s">
        <v>11728</v>
      </c>
      <c r="Y934" s="62" t="s">
        <v>11729</v>
      </c>
      <c r="Z934" s="62" t="s">
        <v>11730</v>
      </c>
      <c r="AA934" s="62" t="s">
        <v>55988</v>
      </c>
      <c r="AB934" s="62" t="s">
        <v>11731</v>
      </c>
      <c r="AC934" s="62" t="s">
        <v>11732</v>
      </c>
      <c r="AD934" s="62" t="s">
        <v>11733</v>
      </c>
    </row>
    <row r="935" spans="1:30" x14ac:dyDescent="0.25">
      <c r="A935" s="62" t="s">
        <v>109</v>
      </c>
      <c r="C935" s="62" t="s">
        <v>11734</v>
      </c>
      <c r="F935" s="62" t="s">
        <v>3237</v>
      </c>
      <c r="G935" s="62" t="s">
        <v>55865</v>
      </c>
      <c r="J935" s="62" t="s">
        <v>11735</v>
      </c>
      <c r="K935" s="62" t="s">
        <v>55896</v>
      </c>
      <c r="L935" s="62" t="s">
        <v>11736</v>
      </c>
      <c r="M935" s="62" t="s">
        <v>11737</v>
      </c>
      <c r="N935" s="62" t="s">
        <v>11738</v>
      </c>
      <c r="O935" s="62" t="s">
        <v>11739</v>
      </c>
      <c r="P935" s="62" t="s">
        <v>55927</v>
      </c>
      <c r="Q935" s="62" t="s">
        <v>11740</v>
      </c>
      <c r="R935" s="62" t="s">
        <v>11741</v>
      </c>
      <c r="S935" s="62" t="s">
        <v>11742</v>
      </c>
      <c r="U935" s="62" t="s">
        <v>11743</v>
      </c>
      <c r="V935" s="62" t="s">
        <v>55958</v>
      </c>
      <c r="W935" s="62" t="s">
        <v>11744</v>
      </c>
      <c r="X935" s="62" t="s">
        <v>11745</v>
      </c>
      <c r="Y935" s="62" t="s">
        <v>11746</v>
      </c>
      <c r="Z935" s="62" t="s">
        <v>11747</v>
      </c>
      <c r="AA935" s="62" t="s">
        <v>55989</v>
      </c>
      <c r="AB935" s="62" t="s">
        <v>11748</v>
      </c>
      <c r="AC935" s="62" t="s">
        <v>11749</v>
      </c>
      <c r="AD935" s="62" t="s">
        <v>11750</v>
      </c>
    </row>
    <row r="936" spans="1:30" x14ac:dyDescent="0.25">
      <c r="A936" s="62" t="s">
        <v>109</v>
      </c>
      <c r="C936" s="62" t="s">
        <v>41812</v>
      </c>
      <c r="F936" s="62" t="s">
        <v>2355</v>
      </c>
      <c r="G936" s="62" t="s">
        <v>55866</v>
      </c>
      <c r="J936" s="62" t="s">
        <v>41813</v>
      </c>
      <c r="K936" s="62" t="s">
        <v>55897</v>
      </c>
      <c r="L936" s="62" t="s">
        <v>41814</v>
      </c>
      <c r="M936" s="62" t="s">
        <v>41815</v>
      </c>
      <c r="N936" s="62" t="s">
        <v>41816</v>
      </c>
      <c r="O936" s="62" t="s">
        <v>41817</v>
      </c>
      <c r="P936" s="62" t="s">
        <v>55928</v>
      </c>
      <c r="Q936" s="62" t="s">
        <v>41818</v>
      </c>
      <c r="R936" s="62" t="s">
        <v>41819</v>
      </c>
      <c r="S936" s="62" t="s">
        <v>41820</v>
      </c>
      <c r="U936" s="62" t="s">
        <v>41821</v>
      </c>
      <c r="V936" s="62" t="s">
        <v>55959</v>
      </c>
      <c r="W936" s="62" t="s">
        <v>41822</v>
      </c>
      <c r="X936" s="62" t="s">
        <v>41823</v>
      </c>
      <c r="Y936" s="62" t="s">
        <v>41824</v>
      </c>
      <c r="Z936" s="62" t="s">
        <v>41825</v>
      </c>
      <c r="AA936" s="62" t="s">
        <v>55990</v>
      </c>
      <c r="AB936" s="62" t="s">
        <v>41826</v>
      </c>
      <c r="AC936" s="62" t="s">
        <v>41827</v>
      </c>
      <c r="AD936" s="62" t="s">
        <v>41828</v>
      </c>
    </row>
    <row r="937" spans="1:30" x14ac:dyDescent="0.25">
      <c r="A937" s="62" t="s">
        <v>109</v>
      </c>
      <c r="C937" s="62" t="s">
        <v>11751</v>
      </c>
      <c r="F937" s="62" t="s">
        <v>2372</v>
      </c>
      <c r="G937" s="62" t="s">
        <v>55867</v>
      </c>
      <c r="J937" s="62" t="s">
        <v>41829</v>
      </c>
      <c r="K937" s="62" t="s">
        <v>55898</v>
      </c>
      <c r="L937" s="62" t="s">
        <v>41830</v>
      </c>
      <c r="M937" s="62" t="s">
        <v>11752</v>
      </c>
      <c r="N937" s="62" t="s">
        <v>11753</v>
      </c>
      <c r="O937" s="62" t="s">
        <v>41831</v>
      </c>
      <c r="P937" s="62" t="s">
        <v>55929</v>
      </c>
      <c r="Q937" s="62" t="s">
        <v>41832</v>
      </c>
      <c r="R937" s="62" t="s">
        <v>11754</v>
      </c>
      <c r="S937" s="62" t="s">
        <v>11755</v>
      </c>
      <c r="U937" s="62" t="s">
        <v>41833</v>
      </c>
      <c r="V937" s="62" t="s">
        <v>55960</v>
      </c>
      <c r="W937" s="62" t="s">
        <v>41834</v>
      </c>
      <c r="X937" s="62" t="s">
        <v>11756</v>
      </c>
      <c r="Y937" s="62" t="s">
        <v>11757</v>
      </c>
      <c r="Z937" s="62" t="s">
        <v>41835</v>
      </c>
      <c r="AA937" s="62" t="s">
        <v>55991</v>
      </c>
      <c r="AB937" s="62" t="s">
        <v>41836</v>
      </c>
      <c r="AC937" s="62" t="s">
        <v>11758</v>
      </c>
      <c r="AD937" s="62" t="s">
        <v>11759</v>
      </c>
    </row>
    <row r="938" spans="1:30" x14ac:dyDescent="0.25">
      <c r="A938" s="62" t="s">
        <v>109</v>
      </c>
      <c r="C938" s="62" t="s">
        <v>11275</v>
      </c>
    </row>
    <row r="939" spans="1:30" x14ac:dyDescent="0.25">
      <c r="A939" s="62" t="s">
        <v>109</v>
      </c>
      <c r="C939" s="62" t="s">
        <v>41837</v>
      </c>
      <c r="G939" s="62" t="s">
        <v>41838</v>
      </c>
      <c r="J939" s="62" t="s">
        <v>41839</v>
      </c>
      <c r="K939" s="62" t="s">
        <v>41840</v>
      </c>
      <c r="L939" s="62" t="s">
        <v>41841</v>
      </c>
      <c r="M939" s="62" t="s">
        <v>41842</v>
      </c>
      <c r="N939" s="62" t="s">
        <v>41843</v>
      </c>
      <c r="O939" s="62" t="s">
        <v>41844</v>
      </c>
      <c r="P939" s="62" t="s">
        <v>41845</v>
      </c>
      <c r="Q939" s="62" t="s">
        <v>41846</v>
      </c>
      <c r="R939" s="62" t="s">
        <v>41847</v>
      </c>
      <c r="S939" s="62" t="s">
        <v>41848</v>
      </c>
      <c r="U939" s="62" t="s">
        <v>41849</v>
      </c>
      <c r="V939" s="62" t="s">
        <v>41850</v>
      </c>
      <c r="W939" s="62" t="s">
        <v>41851</v>
      </c>
      <c r="X939" s="62" t="s">
        <v>41852</v>
      </c>
      <c r="Y939" s="62" t="s">
        <v>41853</v>
      </c>
      <c r="Z939" s="62" t="s">
        <v>41854</v>
      </c>
      <c r="AA939" s="62" t="s">
        <v>41855</v>
      </c>
      <c r="AB939" s="62" t="s">
        <v>41856</v>
      </c>
      <c r="AC939" s="62" t="s">
        <v>41857</v>
      </c>
      <c r="AD939" s="62" t="s">
        <v>41858</v>
      </c>
    </row>
    <row r="940" spans="1:30" x14ac:dyDescent="0.25">
      <c r="A940" s="62" t="s">
        <v>109</v>
      </c>
    </row>
    <row r="941" spans="1:30" x14ac:dyDescent="0.25">
      <c r="A941" s="62" t="s">
        <v>109</v>
      </c>
      <c r="C941" s="62" t="s">
        <v>41859</v>
      </c>
      <c r="E941" s="62" t="s">
        <v>14839</v>
      </c>
      <c r="G941" s="62" t="s">
        <v>41860</v>
      </c>
    </row>
    <row r="942" spans="1:30" x14ac:dyDescent="0.25">
      <c r="A942" s="62" t="s">
        <v>109</v>
      </c>
      <c r="C942" s="62" t="s">
        <v>11760</v>
      </c>
    </row>
    <row r="943" spans="1:30" x14ac:dyDescent="0.25">
      <c r="A943" s="62" t="s">
        <v>109</v>
      </c>
      <c r="C943" s="62" t="s">
        <v>11761</v>
      </c>
      <c r="F943" s="62" t="s">
        <v>41861</v>
      </c>
      <c r="G943" s="62" t="s">
        <v>55692</v>
      </c>
      <c r="J943" s="62" t="s">
        <v>11762</v>
      </c>
      <c r="K943" s="62" t="s">
        <v>55721</v>
      </c>
      <c r="L943" s="62" t="s">
        <v>11763</v>
      </c>
      <c r="M943" s="62" t="s">
        <v>11764</v>
      </c>
      <c r="N943" s="62" t="s">
        <v>11765</v>
      </c>
      <c r="O943" s="62" t="s">
        <v>11766</v>
      </c>
      <c r="P943" s="62" t="s">
        <v>55750</v>
      </c>
      <c r="Q943" s="62" t="s">
        <v>11767</v>
      </c>
      <c r="R943" s="62" t="s">
        <v>11768</v>
      </c>
      <c r="S943" s="62" t="s">
        <v>11769</v>
      </c>
      <c r="U943" s="62" t="s">
        <v>11770</v>
      </c>
      <c r="V943" s="62" t="s">
        <v>55779</v>
      </c>
      <c r="W943" s="62" t="s">
        <v>11771</v>
      </c>
      <c r="X943" s="62" t="s">
        <v>11772</v>
      </c>
      <c r="Y943" s="62" t="s">
        <v>11773</v>
      </c>
      <c r="Z943" s="62" t="s">
        <v>11774</v>
      </c>
      <c r="AA943" s="62" t="s">
        <v>55808</v>
      </c>
      <c r="AB943" s="62" t="s">
        <v>11775</v>
      </c>
      <c r="AC943" s="62" t="s">
        <v>11776</v>
      </c>
      <c r="AD943" s="62" t="s">
        <v>11777</v>
      </c>
    </row>
    <row r="944" spans="1:30" x14ac:dyDescent="0.25">
      <c r="A944" s="62" t="s">
        <v>109</v>
      </c>
      <c r="C944" s="62" t="s">
        <v>11778</v>
      </c>
      <c r="F944" s="62" t="s">
        <v>915</v>
      </c>
      <c r="G944" s="62" t="s">
        <v>55693</v>
      </c>
      <c r="J944" s="62" t="s">
        <v>11779</v>
      </c>
      <c r="K944" s="62" t="s">
        <v>55722</v>
      </c>
      <c r="L944" s="62" t="s">
        <v>11780</v>
      </c>
      <c r="M944" s="62" t="s">
        <v>11781</v>
      </c>
      <c r="N944" s="62" t="s">
        <v>11782</v>
      </c>
      <c r="O944" s="62" t="s">
        <v>11783</v>
      </c>
      <c r="P944" s="62" t="s">
        <v>55751</v>
      </c>
      <c r="Q944" s="62" t="s">
        <v>11784</v>
      </c>
      <c r="R944" s="62" t="s">
        <v>11785</v>
      </c>
      <c r="S944" s="62" t="s">
        <v>11786</v>
      </c>
      <c r="U944" s="62" t="s">
        <v>11787</v>
      </c>
      <c r="V944" s="62" t="s">
        <v>55780</v>
      </c>
      <c r="W944" s="62" t="s">
        <v>11788</v>
      </c>
      <c r="X944" s="62" t="s">
        <v>11789</v>
      </c>
      <c r="Y944" s="62" t="s">
        <v>11790</v>
      </c>
      <c r="Z944" s="62" t="s">
        <v>11791</v>
      </c>
      <c r="AA944" s="62" t="s">
        <v>55809</v>
      </c>
      <c r="AB944" s="62" t="s">
        <v>11792</v>
      </c>
      <c r="AC944" s="62" t="s">
        <v>11793</v>
      </c>
      <c r="AD944" s="62" t="s">
        <v>11794</v>
      </c>
    </row>
    <row r="945" spans="1:30" x14ac:dyDescent="0.25">
      <c r="A945" s="62" t="s">
        <v>109</v>
      </c>
      <c r="C945" s="62" t="s">
        <v>11795</v>
      </c>
      <c r="F945" s="62" t="s">
        <v>193</v>
      </c>
      <c r="G945" s="62" t="s">
        <v>55694</v>
      </c>
      <c r="J945" s="62" t="s">
        <v>11796</v>
      </c>
      <c r="K945" s="62" t="s">
        <v>55723</v>
      </c>
      <c r="L945" s="62" t="s">
        <v>11797</v>
      </c>
      <c r="M945" s="62" t="s">
        <v>11798</v>
      </c>
      <c r="N945" s="62" t="s">
        <v>11799</v>
      </c>
      <c r="O945" s="62" t="s">
        <v>11800</v>
      </c>
      <c r="P945" s="62" t="s">
        <v>55752</v>
      </c>
      <c r="Q945" s="62" t="s">
        <v>11801</v>
      </c>
      <c r="R945" s="62" t="s">
        <v>11802</v>
      </c>
      <c r="S945" s="62" t="s">
        <v>11803</v>
      </c>
      <c r="U945" s="62" t="s">
        <v>11804</v>
      </c>
      <c r="V945" s="62" t="s">
        <v>55781</v>
      </c>
      <c r="W945" s="62" t="s">
        <v>11805</v>
      </c>
      <c r="X945" s="62" t="s">
        <v>11806</v>
      </c>
      <c r="Y945" s="62" t="s">
        <v>11807</v>
      </c>
      <c r="Z945" s="62" t="s">
        <v>11808</v>
      </c>
      <c r="AA945" s="62" t="s">
        <v>55810</v>
      </c>
      <c r="AB945" s="62" t="s">
        <v>11809</v>
      </c>
      <c r="AC945" s="62" t="s">
        <v>11810</v>
      </c>
      <c r="AD945" s="62" t="s">
        <v>11811</v>
      </c>
    </row>
    <row r="946" spans="1:30" x14ac:dyDescent="0.25">
      <c r="A946" s="62" t="s">
        <v>109</v>
      </c>
      <c r="C946" s="62" t="s">
        <v>11812</v>
      </c>
      <c r="F946" s="62" t="s">
        <v>254</v>
      </c>
      <c r="G946" s="62" t="s">
        <v>55695</v>
      </c>
      <c r="J946" s="62" t="s">
        <v>11813</v>
      </c>
      <c r="K946" s="62" t="s">
        <v>55724</v>
      </c>
      <c r="L946" s="62" t="s">
        <v>11814</v>
      </c>
      <c r="M946" s="62" t="s">
        <v>11815</v>
      </c>
      <c r="N946" s="62" t="s">
        <v>11816</v>
      </c>
      <c r="O946" s="62" t="s">
        <v>11817</v>
      </c>
      <c r="P946" s="62" t="s">
        <v>55753</v>
      </c>
      <c r="Q946" s="62" t="s">
        <v>11818</v>
      </c>
      <c r="R946" s="62" t="s">
        <v>11819</v>
      </c>
      <c r="S946" s="62" t="s">
        <v>11820</v>
      </c>
      <c r="U946" s="62" t="s">
        <v>11821</v>
      </c>
      <c r="V946" s="62" t="s">
        <v>55782</v>
      </c>
      <c r="W946" s="62" t="s">
        <v>11822</v>
      </c>
      <c r="X946" s="62" t="s">
        <v>11823</v>
      </c>
      <c r="Y946" s="62" t="s">
        <v>11824</v>
      </c>
      <c r="Z946" s="62" t="s">
        <v>11825</v>
      </c>
      <c r="AA946" s="62" t="s">
        <v>55811</v>
      </c>
      <c r="AB946" s="62" t="s">
        <v>11826</v>
      </c>
      <c r="AC946" s="62" t="s">
        <v>11827</v>
      </c>
      <c r="AD946" s="62" t="s">
        <v>11828</v>
      </c>
    </row>
    <row r="947" spans="1:30" x14ac:dyDescent="0.25">
      <c r="A947" s="62" t="s">
        <v>109</v>
      </c>
      <c r="C947" s="62" t="s">
        <v>41862</v>
      </c>
      <c r="F947" s="62" t="s">
        <v>2297</v>
      </c>
      <c r="G947" s="62" t="s">
        <v>55696</v>
      </c>
      <c r="J947" s="62" t="s">
        <v>41863</v>
      </c>
      <c r="K947" s="62" t="s">
        <v>55725</v>
      </c>
      <c r="L947" s="62" t="s">
        <v>41864</v>
      </c>
      <c r="M947" s="62" t="s">
        <v>41865</v>
      </c>
      <c r="N947" s="62" t="s">
        <v>41866</v>
      </c>
      <c r="O947" s="62" t="s">
        <v>41867</v>
      </c>
      <c r="P947" s="62" t="s">
        <v>55754</v>
      </c>
      <c r="Q947" s="62" t="s">
        <v>41868</v>
      </c>
      <c r="R947" s="62" t="s">
        <v>41869</v>
      </c>
      <c r="S947" s="62" t="s">
        <v>41870</v>
      </c>
      <c r="U947" s="62" t="s">
        <v>41871</v>
      </c>
      <c r="V947" s="62" t="s">
        <v>55783</v>
      </c>
      <c r="W947" s="62" t="s">
        <v>41872</v>
      </c>
      <c r="X947" s="62" t="s">
        <v>41873</v>
      </c>
      <c r="Y947" s="62" t="s">
        <v>41874</v>
      </c>
      <c r="Z947" s="62" t="s">
        <v>41875</v>
      </c>
      <c r="AA947" s="62" t="s">
        <v>55812</v>
      </c>
      <c r="AB947" s="62" t="s">
        <v>41876</v>
      </c>
      <c r="AC947" s="62" t="s">
        <v>41877</v>
      </c>
      <c r="AD947" s="62" t="s">
        <v>41878</v>
      </c>
    </row>
    <row r="948" spans="1:30" x14ac:dyDescent="0.25">
      <c r="A948" s="62" t="s">
        <v>109</v>
      </c>
      <c r="C948" s="62" t="s">
        <v>11829</v>
      </c>
      <c r="F948" s="62" t="s">
        <v>10282</v>
      </c>
      <c r="G948" s="62" t="s">
        <v>55697</v>
      </c>
      <c r="J948" s="62" t="s">
        <v>41879</v>
      </c>
      <c r="K948" s="62" t="s">
        <v>55726</v>
      </c>
      <c r="L948" s="62" t="s">
        <v>41880</v>
      </c>
      <c r="M948" s="62" t="s">
        <v>11830</v>
      </c>
      <c r="N948" s="62" t="s">
        <v>11831</v>
      </c>
      <c r="O948" s="62" t="s">
        <v>41881</v>
      </c>
      <c r="P948" s="62" t="s">
        <v>55755</v>
      </c>
      <c r="Q948" s="62" t="s">
        <v>41882</v>
      </c>
      <c r="R948" s="62" t="s">
        <v>11832</v>
      </c>
      <c r="S948" s="62" t="s">
        <v>11833</v>
      </c>
      <c r="U948" s="62" t="s">
        <v>41883</v>
      </c>
      <c r="V948" s="62" t="s">
        <v>55784</v>
      </c>
      <c r="W948" s="62" t="s">
        <v>41884</v>
      </c>
      <c r="X948" s="62" t="s">
        <v>11834</v>
      </c>
      <c r="Y948" s="62" t="s">
        <v>11835</v>
      </c>
      <c r="Z948" s="62" t="s">
        <v>41885</v>
      </c>
      <c r="AA948" s="62" t="s">
        <v>55813</v>
      </c>
      <c r="AB948" s="62" t="s">
        <v>41886</v>
      </c>
      <c r="AC948" s="62" t="s">
        <v>11836</v>
      </c>
      <c r="AD948" s="62" t="s">
        <v>11837</v>
      </c>
    </row>
    <row r="949" spans="1:30" x14ac:dyDescent="0.25">
      <c r="A949" s="62" t="s">
        <v>109</v>
      </c>
      <c r="C949" s="62" t="s">
        <v>41887</v>
      </c>
      <c r="F949" s="62" t="s">
        <v>12860</v>
      </c>
      <c r="G949" s="62" t="s">
        <v>55698</v>
      </c>
      <c r="J949" s="62" t="s">
        <v>41888</v>
      </c>
      <c r="K949" s="62" t="s">
        <v>55727</v>
      </c>
      <c r="L949" s="62" t="s">
        <v>41889</v>
      </c>
      <c r="M949" s="62" t="s">
        <v>41890</v>
      </c>
      <c r="N949" s="62" t="s">
        <v>41891</v>
      </c>
      <c r="O949" s="62" t="s">
        <v>41892</v>
      </c>
      <c r="P949" s="62" t="s">
        <v>55756</v>
      </c>
      <c r="Q949" s="62" t="s">
        <v>41893</v>
      </c>
      <c r="R949" s="62" t="s">
        <v>41894</v>
      </c>
      <c r="S949" s="62" t="s">
        <v>41895</v>
      </c>
      <c r="U949" s="62" t="s">
        <v>41896</v>
      </c>
      <c r="V949" s="62" t="s">
        <v>55785</v>
      </c>
      <c r="W949" s="62" t="s">
        <v>41897</v>
      </c>
      <c r="X949" s="62" t="s">
        <v>41898</v>
      </c>
      <c r="Y949" s="62" t="s">
        <v>41899</v>
      </c>
      <c r="Z949" s="62" t="s">
        <v>41900</v>
      </c>
      <c r="AA949" s="62" t="s">
        <v>55814</v>
      </c>
      <c r="AB949" s="62" t="s">
        <v>41901</v>
      </c>
      <c r="AC949" s="62" t="s">
        <v>41902</v>
      </c>
      <c r="AD949" s="62" t="s">
        <v>41903</v>
      </c>
    </row>
    <row r="950" spans="1:30" x14ac:dyDescent="0.25">
      <c r="A950" s="62" t="s">
        <v>109</v>
      </c>
      <c r="C950" s="62" t="s">
        <v>41904</v>
      </c>
      <c r="F950" s="62" t="s">
        <v>340</v>
      </c>
      <c r="G950" s="62" t="s">
        <v>55699</v>
      </c>
      <c r="J950" s="62" t="s">
        <v>41905</v>
      </c>
      <c r="K950" s="62" t="s">
        <v>55728</v>
      </c>
      <c r="L950" s="62" t="s">
        <v>41906</v>
      </c>
      <c r="M950" s="62" t="s">
        <v>41907</v>
      </c>
      <c r="N950" s="62" t="s">
        <v>41908</v>
      </c>
      <c r="O950" s="62" t="s">
        <v>41909</v>
      </c>
      <c r="P950" s="62" t="s">
        <v>55757</v>
      </c>
      <c r="Q950" s="62" t="s">
        <v>41910</v>
      </c>
      <c r="R950" s="62" t="s">
        <v>41911</v>
      </c>
      <c r="S950" s="62" t="s">
        <v>41912</v>
      </c>
      <c r="U950" s="62" t="s">
        <v>41913</v>
      </c>
      <c r="V950" s="62" t="s">
        <v>55786</v>
      </c>
      <c r="W950" s="62" t="s">
        <v>41914</v>
      </c>
      <c r="X950" s="62" t="s">
        <v>41915</v>
      </c>
      <c r="Y950" s="62" t="s">
        <v>41916</v>
      </c>
      <c r="Z950" s="62" t="s">
        <v>41917</v>
      </c>
      <c r="AA950" s="62" t="s">
        <v>55815</v>
      </c>
      <c r="AB950" s="62" t="s">
        <v>41918</v>
      </c>
      <c r="AC950" s="62" t="s">
        <v>41919</v>
      </c>
      <c r="AD950" s="62" t="s">
        <v>41920</v>
      </c>
    </row>
    <row r="951" spans="1:30" x14ac:dyDescent="0.25">
      <c r="A951" s="62" t="s">
        <v>109</v>
      </c>
      <c r="C951" s="62" t="s">
        <v>11838</v>
      </c>
      <c r="F951" s="62" t="s">
        <v>10368</v>
      </c>
      <c r="G951" s="62" t="s">
        <v>55700</v>
      </c>
      <c r="J951" s="62" t="s">
        <v>41921</v>
      </c>
      <c r="K951" s="62" t="s">
        <v>55729</v>
      </c>
      <c r="L951" s="62" t="s">
        <v>41922</v>
      </c>
      <c r="M951" s="62" t="s">
        <v>41923</v>
      </c>
      <c r="N951" s="62" t="s">
        <v>41924</v>
      </c>
      <c r="O951" s="62" t="s">
        <v>41925</v>
      </c>
      <c r="P951" s="62" t="s">
        <v>55758</v>
      </c>
      <c r="Q951" s="62" t="s">
        <v>41926</v>
      </c>
      <c r="R951" s="62" t="s">
        <v>41927</v>
      </c>
      <c r="S951" s="62" t="s">
        <v>41928</v>
      </c>
      <c r="U951" s="62" t="s">
        <v>41929</v>
      </c>
      <c r="V951" s="62" t="s">
        <v>55787</v>
      </c>
      <c r="W951" s="62" t="s">
        <v>41930</v>
      </c>
      <c r="X951" s="62" t="s">
        <v>41931</v>
      </c>
      <c r="Y951" s="62" t="s">
        <v>41932</v>
      </c>
      <c r="Z951" s="62" t="s">
        <v>41933</v>
      </c>
      <c r="AA951" s="62" t="s">
        <v>55816</v>
      </c>
      <c r="AB951" s="62" t="s">
        <v>41934</v>
      </c>
      <c r="AC951" s="62" t="s">
        <v>41935</v>
      </c>
      <c r="AD951" s="62" t="s">
        <v>41936</v>
      </c>
    </row>
    <row r="952" spans="1:30" x14ac:dyDescent="0.25">
      <c r="A952" s="62" t="s">
        <v>109</v>
      </c>
      <c r="C952" s="62" t="s">
        <v>11839</v>
      </c>
      <c r="F952" s="62" t="s">
        <v>10386</v>
      </c>
      <c r="G952" s="62" t="s">
        <v>55701</v>
      </c>
      <c r="J952" s="62" t="s">
        <v>11840</v>
      </c>
      <c r="K952" s="62" t="s">
        <v>55730</v>
      </c>
      <c r="L952" s="62" t="s">
        <v>11841</v>
      </c>
      <c r="M952" s="62" t="s">
        <v>11842</v>
      </c>
      <c r="N952" s="62" t="s">
        <v>11843</v>
      </c>
      <c r="O952" s="62" t="s">
        <v>11844</v>
      </c>
      <c r="P952" s="62" t="s">
        <v>55759</v>
      </c>
      <c r="Q952" s="62" t="s">
        <v>11845</v>
      </c>
      <c r="R952" s="62" t="s">
        <v>11846</v>
      </c>
      <c r="S952" s="62" t="s">
        <v>11847</v>
      </c>
      <c r="U952" s="62" t="s">
        <v>11848</v>
      </c>
      <c r="V952" s="62" t="s">
        <v>55788</v>
      </c>
      <c r="W952" s="62" t="s">
        <v>11849</v>
      </c>
      <c r="X952" s="62" t="s">
        <v>11850</v>
      </c>
      <c r="Y952" s="62" t="s">
        <v>11851</v>
      </c>
      <c r="Z952" s="62" t="s">
        <v>11852</v>
      </c>
      <c r="AA952" s="62" t="s">
        <v>55817</v>
      </c>
      <c r="AB952" s="62" t="s">
        <v>11853</v>
      </c>
      <c r="AC952" s="62" t="s">
        <v>11854</v>
      </c>
      <c r="AD952" s="62" t="s">
        <v>11855</v>
      </c>
    </row>
    <row r="953" spans="1:30" x14ac:dyDescent="0.25">
      <c r="A953" s="62" t="s">
        <v>109</v>
      </c>
      <c r="C953" s="62" t="s">
        <v>11856</v>
      </c>
      <c r="F953" s="62" t="s">
        <v>15012</v>
      </c>
      <c r="G953" s="62" t="s">
        <v>55702</v>
      </c>
      <c r="J953" s="62" t="s">
        <v>11857</v>
      </c>
      <c r="K953" s="62" t="s">
        <v>55731</v>
      </c>
      <c r="L953" s="62" t="s">
        <v>11858</v>
      </c>
      <c r="M953" s="62" t="s">
        <v>11859</v>
      </c>
      <c r="N953" s="62" t="s">
        <v>11860</v>
      </c>
      <c r="O953" s="62" t="s">
        <v>11861</v>
      </c>
      <c r="P953" s="62" t="s">
        <v>55760</v>
      </c>
      <c r="Q953" s="62" t="s">
        <v>11862</v>
      </c>
      <c r="R953" s="62" t="s">
        <v>11863</v>
      </c>
      <c r="S953" s="62" t="s">
        <v>11864</v>
      </c>
      <c r="U953" s="62" t="s">
        <v>11865</v>
      </c>
      <c r="V953" s="62" t="s">
        <v>55789</v>
      </c>
      <c r="W953" s="62" t="s">
        <v>11866</v>
      </c>
      <c r="X953" s="62" t="s">
        <v>11867</v>
      </c>
      <c r="Y953" s="62" t="s">
        <v>11868</v>
      </c>
      <c r="Z953" s="62" t="s">
        <v>11869</v>
      </c>
      <c r="AA953" s="62" t="s">
        <v>55818</v>
      </c>
      <c r="AB953" s="62" t="s">
        <v>11870</v>
      </c>
      <c r="AC953" s="62" t="s">
        <v>11871</v>
      </c>
      <c r="AD953" s="62" t="s">
        <v>11872</v>
      </c>
    </row>
    <row r="954" spans="1:30" x14ac:dyDescent="0.25">
      <c r="A954" s="62" t="s">
        <v>109</v>
      </c>
      <c r="C954" s="62" t="s">
        <v>11873</v>
      </c>
      <c r="F954" s="62" t="s">
        <v>10404</v>
      </c>
      <c r="G954" s="62" t="s">
        <v>55703</v>
      </c>
      <c r="J954" s="62" t="s">
        <v>11874</v>
      </c>
      <c r="K954" s="62" t="s">
        <v>55732</v>
      </c>
      <c r="L954" s="62" t="s">
        <v>11875</v>
      </c>
      <c r="M954" s="62" t="s">
        <v>11876</v>
      </c>
      <c r="N954" s="62" t="s">
        <v>11877</v>
      </c>
      <c r="O954" s="62" t="s">
        <v>11878</v>
      </c>
      <c r="P954" s="62" t="s">
        <v>55761</v>
      </c>
      <c r="Q954" s="62" t="s">
        <v>11879</v>
      </c>
      <c r="R954" s="62" t="s">
        <v>11880</v>
      </c>
      <c r="S954" s="62" t="s">
        <v>11881</v>
      </c>
      <c r="U954" s="62" t="s">
        <v>11882</v>
      </c>
      <c r="V954" s="62" t="s">
        <v>55790</v>
      </c>
      <c r="W954" s="62" t="s">
        <v>11883</v>
      </c>
      <c r="X954" s="62" t="s">
        <v>11884</v>
      </c>
      <c r="Y954" s="62" t="s">
        <v>11885</v>
      </c>
      <c r="Z954" s="62" t="s">
        <v>11886</v>
      </c>
      <c r="AA954" s="62" t="s">
        <v>55819</v>
      </c>
      <c r="AB954" s="62" t="s">
        <v>11887</v>
      </c>
      <c r="AC954" s="62" t="s">
        <v>11888</v>
      </c>
      <c r="AD954" s="62" t="s">
        <v>11889</v>
      </c>
    </row>
    <row r="955" spans="1:30" x14ac:dyDescent="0.25">
      <c r="A955" s="62" t="s">
        <v>109</v>
      </c>
      <c r="C955" s="62" t="s">
        <v>11890</v>
      </c>
      <c r="F955" s="62" t="s">
        <v>1090</v>
      </c>
      <c r="G955" s="62" t="s">
        <v>55704</v>
      </c>
      <c r="J955" s="62" t="s">
        <v>11891</v>
      </c>
      <c r="K955" s="62" t="s">
        <v>55733</v>
      </c>
      <c r="L955" s="62" t="s">
        <v>11892</v>
      </c>
      <c r="M955" s="62" t="s">
        <v>11893</v>
      </c>
      <c r="N955" s="62" t="s">
        <v>11894</v>
      </c>
      <c r="O955" s="62" t="s">
        <v>11895</v>
      </c>
      <c r="P955" s="62" t="s">
        <v>55762</v>
      </c>
      <c r="Q955" s="62" t="s">
        <v>11896</v>
      </c>
      <c r="R955" s="62" t="s">
        <v>11897</v>
      </c>
      <c r="S955" s="62" t="s">
        <v>11898</v>
      </c>
      <c r="U955" s="62" t="s">
        <v>11899</v>
      </c>
      <c r="V955" s="62" t="s">
        <v>55791</v>
      </c>
      <c r="W955" s="62" t="s">
        <v>11900</v>
      </c>
      <c r="X955" s="62" t="s">
        <v>11901</v>
      </c>
      <c r="Y955" s="62" t="s">
        <v>11902</v>
      </c>
      <c r="Z955" s="62" t="s">
        <v>11903</v>
      </c>
      <c r="AA955" s="62" t="s">
        <v>55820</v>
      </c>
      <c r="AB955" s="62" t="s">
        <v>11904</v>
      </c>
      <c r="AC955" s="62" t="s">
        <v>11905</v>
      </c>
      <c r="AD955" s="62" t="s">
        <v>11906</v>
      </c>
    </row>
    <row r="956" spans="1:30" x14ac:dyDescent="0.25">
      <c r="A956" s="62" t="s">
        <v>109</v>
      </c>
      <c r="C956" s="62" t="s">
        <v>11907</v>
      </c>
      <c r="F956" s="62" t="s">
        <v>1100</v>
      </c>
      <c r="G956" s="62" t="s">
        <v>55705</v>
      </c>
      <c r="J956" s="62" t="s">
        <v>11908</v>
      </c>
      <c r="K956" s="62" t="s">
        <v>55734</v>
      </c>
      <c r="L956" s="62" t="s">
        <v>11909</v>
      </c>
      <c r="M956" s="62" t="s">
        <v>11910</v>
      </c>
      <c r="N956" s="62" t="s">
        <v>11911</v>
      </c>
      <c r="O956" s="62" t="s">
        <v>11912</v>
      </c>
      <c r="P956" s="62" t="s">
        <v>55763</v>
      </c>
      <c r="Q956" s="62" t="s">
        <v>11913</v>
      </c>
      <c r="R956" s="62" t="s">
        <v>11914</v>
      </c>
      <c r="S956" s="62" t="s">
        <v>11915</v>
      </c>
      <c r="U956" s="62" t="s">
        <v>11916</v>
      </c>
      <c r="V956" s="62" t="s">
        <v>55792</v>
      </c>
      <c r="W956" s="62" t="s">
        <v>11917</v>
      </c>
      <c r="X956" s="62" t="s">
        <v>11918</v>
      </c>
      <c r="Y956" s="62" t="s">
        <v>11919</v>
      </c>
      <c r="Z956" s="62" t="s">
        <v>11920</v>
      </c>
      <c r="AA956" s="62" t="s">
        <v>55821</v>
      </c>
      <c r="AB956" s="62" t="s">
        <v>11921</v>
      </c>
      <c r="AC956" s="62" t="s">
        <v>11922</v>
      </c>
      <c r="AD956" s="62" t="s">
        <v>11923</v>
      </c>
    </row>
    <row r="957" spans="1:30" x14ac:dyDescent="0.25">
      <c r="A957" s="62" t="s">
        <v>109</v>
      </c>
      <c r="C957" s="62" t="s">
        <v>11924</v>
      </c>
      <c r="F957" s="62" t="s">
        <v>15081</v>
      </c>
      <c r="G957" s="62" t="s">
        <v>55706</v>
      </c>
      <c r="J957" s="62" t="s">
        <v>11925</v>
      </c>
      <c r="K957" s="62" t="s">
        <v>55735</v>
      </c>
      <c r="L957" s="62" t="s">
        <v>11926</v>
      </c>
      <c r="M957" s="62" t="s">
        <v>11927</v>
      </c>
      <c r="N957" s="62" t="s">
        <v>11928</v>
      </c>
      <c r="O957" s="62" t="s">
        <v>11929</v>
      </c>
      <c r="P957" s="62" t="s">
        <v>55764</v>
      </c>
      <c r="Q957" s="62" t="s">
        <v>11930</v>
      </c>
      <c r="R957" s="62" t="s">
        <v>11931</v>
      </c>
      <c r="S957" s="62" t="s">
        <v>11932</v>
      </c>
      <c r="U957" s="62" t="s">
        <v>11933</v>
      </c>
      <c r="V957" s="62" t="s">
        <v>55793</v>
      </c>
      <c r="W957" s="62" t="s">
        <v>11934</v>
      </c>
      <c r="X957" s="62" t="s">
        <v>11935</v>
      </c>
      <c r="Y957" s="62" t="s">
        <v>11936</v>
      </c>
      <c r="Z957" s="62" t="s">
        <v>11937</v>
      </c>
      <c r="AA957" s="62" t="s">
        <v>55822</v>
      </c>
      <c r="AB957" s="62" t="s">
        <v>11938</v>
      </c>
      <c r="AC957" s="62" t="s">
        <v>11939</v>
      </c>
      <c r="AD957" s="62" t="s">
        <v>11940</v>
      </c>
    </row>
    <row r="958" spans="1:30" x14ac:dyDescent="0.25">
      <c r="A958" s="62" t="s">
        <v>109</v>
      </c>
      <c r="C958" s="62" t="s">
        <v>11941</v>
      </c>
      <c r="F958" s="62" t="s">
        <v>10595</v>
      </c>
      <c r="G958" s="62" t="s">
        <v>55707</v>
      </c>
      <c r="J958" s="62" t="s">
        <v>11942</v>
      </c>
      <c r="K958" s="62" t="s">
        <v>55736</v>
      </c>
      <c r="L958" s="62" t="s">
        <v>11943</v>
      </c>
      <c r="M958" s="62" t="s">
        <v>11944</v>
      </c>
      <c r="N958" s="62" t="s">
        <v>11945</v>
      </c>
      <c r="O958" s="62" t="s">
        <v>11946</v>
      </c>
      <c r="P958" s="62" t="s">
        <v>55765</v>
      </c>
      <c r="Q958" s="62" t="s">
        <v>11947</v>
      </c>
      <c r="R958" s="62" t="s">
        <v>11948</v>
      </c>
      <c r="S958" s="62" t="s">
        <v>11949</v>
      </c>
      <c r="U958" s="62" t="s">
        <v>11950</v>
      </c>
      <c r="V958" s="62" t="s">
        <v>55794</v>
      </c>
      <c r="W958" s="62" t="s">
        <v>11951</v>
      </c>
      <c r="X958" s="62" t="s">
        <v>11952</v>
      </c>
      <c r="Y958" s="62" t="s">
        <v>11953</v>
      </c>
      <c r="Z958" s="62" t="s">
        <v>11954</v>
      </c>
      <c r="AA958" s="62" t="s">
        <v>55823</v>
      </c>
      <c r="AB958" s="62" t="s">
        <v>11955</v>
      </c>
      <c r="AC958" s="62" t="s">
        <v>11956</v>
      </c>
      <c r="AD958" s="62" t="s">
        <v>11957</v>
      </c>
    </row>
    <row r="959" spans="1:30" x14ac:dyDescent="0.25">
      <c r="A959" s="62" t="s">
        <v>109</v>
      </c>
      <c r="C959" s="62" t="s">
        <v>11958</v>
      </c>
      <c r="F959" s="62" t="s">
        <v>10613</v>
      </c>
      <c r="G959" s="62" t="s">
        <v>55708</v>
      </c>
      <c r="J959" s="62" t="s">
        <v>11959</v>
      </c>
      <c r="K959" s="62" t="s">
        <v>55737</v>
      </c>
      <c r="L959" s="62" t="s">
        <v>11960</v>
      </c>
      <c r="M959" s="62" t="s">
        <v>11961</v>
      </c>
      <c r="N959" s="62" t="s">
        <v>11962</v>
      </c>
      <c r="O959" s="62" t="s">
        <v>11963</v>
      </c>
      <c r="P959" s="62" t="s">
        <v>55766</v>
      </c>
      <c r="Q959" s="62" t="s">
        <v>11964</v>
      </c>
      <c r="R959" s="62" t="s">
        <v>11965</v>
      </c>
      <c r="S959" s="62" t="s">
        <v>11966</v>
      </c>
      <c r="U959" s="62" t="s">
        <v>11967</v>
      </c>
      <c r="V959" s="62" t="s">
        <v>55795</v>
      </c>
      <c r="W959" s="62" t="s">
        <v>11968</v>
      </c>
      <c r="X959" s="62" t="s">
        <v>11969</v>
      </c>
      <c r="Y959" s="62" t="s">
        <v>11970</v>
      </c>
      <c r="Z959" s="62" t="s">
        <v>11971</v>
      </c>
      <c r="AA959" s="62" t="s">
        <v>55824</v>
      </c>
      <c r="AB959" s="62" t="s">
        <v>11972</v>
      </c>
      <c r="AC959" s="62" t="s">
        <v>11973</v>
      </c>
      <c r="AD959" s="62" t="s">
        <v>11974</v>
      </c>
    </row>
    <row r="960" spans="1:30" x14ac:dyDescent="0.25">
      <c r="A960" s="62" t="s">
        <v>109</v>
      </c>
      <c r="C960" s="62" t="s">
        <v>11975</v>
      </c>
      <c r="F960" s="62" t="s">
        <v>10721</v>
      </c>
      <c r="G960" s="62" t="s">
        <v>55709</v>
      </c>
      <c r="J960" s="62" t="s">
        <v>11976</v>
      </c>
      <c r="K960" s="62" t="s">
        <v>55738</v>
      </c>
      <c r="L960" s="62" t="s">
        <v>11977</v>
      </c>
      <c r="M960" s="62" t="s">
        <v>11978</v>
      </c>
      <c r="N960" s="62" t="s">
        <v>11979</v>
      </c>
      <c r="O960" s="62" t="s">
        <v>11980</v>
      </c>
      <c r="P960" s="62" t="s">
        <v>55767</v>
      </c>
      <c r="Q960" s="62" t="s">
        <v>11981</v>
      </c>
      <c r="R960" s="62" t="s">
        <v>11982</v>
      </c>
      <c r="S960" s="62" t="s">
        <v>11983</v>
      </c>
      <c r="U960" s="62" t="s">
        <v>11984</v>
      </c>
      <c r="V960" s="62" t="s">
        <v>55796</v>
      </c>
      <c r="W960" s="62" t="s">
        <v>11985</v>
      </c>
      <c r="X960" s="62" t="s">
        <v>11986</v>
      </c>
      <c r="Y960" s="62" t="s">
        <v>11987</v>
      </c>
      <c r="Z960" s="62" t="s">
        <v>11988</v>
      </c>
      <c r="AA960" s="62" t="s">
        <v>55825</v>
      </c>
      <c r="AB960" s="62" t="s">
        <v>11989</v>
      </c>
      <c r="AC960" s="62" t="s">
        <v>11990</v>
      </c>
      <c r="AD960" s="62" t="s">
        <v>11991</v>
      </c>
    </row>
    <row r="961" spans="1:30" x14ac:dyDescent="0.25">
      <c r="A961" s="62" t="s">
        <v>109</v>
      </c>
      <c r="C961" s="62" t="s">
        <v>11992</v>
      </c>
      <c r="F961" s="62" t="s">
        <v>10739</v>
      </c>
      <c r="G961" s="62" t="s">
        <v>55710</v>
      </c>
      <c r="J961" s="62" t="s">
        <v>11993</v>
      </c>
      <c r="K961" s="62" t="s">
        <v>55739</v>
      </c>
      <c r="L961" s="62" t="s">
        <v>11994</v>
      </c>
      <c r="M961" s="62" t="s">
        <v>11995</v>
      </c>
      <c r="N961" s="62" t="s">
        <v>11996</v>
      </c>
      <c r="O961" s="62" t="s">
        <v>11997</v>
      </c>
      <c r="P961" s="62" t="s">
        <v>55768</v>
      </c>
      <c r="Q961" s="62" t="s">
        <v>11998</v>
      </c>
      <c r="R961" s="62" t="s">
        <v>11999</v>
      </c>
      <c r="S961" s="62" t="s">
        <v>12000</v>
      </c>
      <c r="U961" s="62" t="s">
        <v>12001</v>
      </c>
      <c r="V961" s="62" t="s">
        <v>55797</v>
      </c>
      <c r="W961" s="62" t="s">
        <v>12002</v>
      </c>
      <c r="X961" s="62" t="s">
        <v>12003</v>
      </c>
      <c r="Y961" s="62" t="s">
        <v>12004</v>
      </c>
      <c r="Z961" s="62" t="s">
        <v>12005</v>
      </c>
      <c r="AA961" s="62" t="s">
        <v>55826</v>
      </c>
      <c r="AB961" s="62" t="s">
        <v>12006</v>
      </c>
      <c r="AC961" s="62" t="s">
        <v>12007</v>
      </c>
      <c r="AD961" s="62" t="s">
        <v>12008</v>
      </c>
    </row>
    <row r="962" spans="1:30" x14ac:dyDescent="0.25">
      <c r="A962" s="62" t="s">
        <v>109</v>
      </c>
      <c r="C962" s="62" t="s">
        <v>12009</v>
      </c>
      <c r="F962" s="62" t="s">
        <v>13184</v>
      </c>
      <c r="G962" s="62" t="s">
        <v>55711</v>
      </c>
      <c r="J962" s="62" t="s">
        <v>12010</v>
      </c>
      <c r="K962" s="62" t="s">
        <v>55740</v>
      </c>
      <c r="L962" s="62" t="s">
        <v>12011</v>
      </c>
      <c r="M962" s="62" t="s">
        <v>12012</v>
      </c>
      <c r="N962" s="62" t="s">
        <v>12013</v>
      </c>
      <c r="O962" s="62" t="s">
        <v>12014</v>
      </c>
      <c r="P962" s="62" t="s">
        <v>55769</v>
      </c>
      <c r="Q962" s="62" t="s">
        <v>12015</v>
      </c>
      <c r="R962" s="62" t="s">
        <v>12016</v>
      </c>
      <c r="S962" s="62" t="s">
        <v>12017</v>
      </c>
      <c r="U962" s="62" t="s">
        <v>12018</v>
      </c>
      <c r="V962" s="62" t="s">
        <v>55798</v>
      </c>
      <c r="W962" s="62" t="s">
        <v>12019</v>
      </c>
      <c r="X962" s="62" t="s">
        <v>12020</v>
      </c>
      <c r="Y962" s="62" t="s">
        <v>12021</v>
      </c>
      <c r="Z962" s="62" t="s">
        <v>12022</v>
      </c>
      <c r="AA962" s="62" t="s">
        <v>55827</v>
      </c>
      <c r="AB962" s="62" t="s">
        <v>12023</v>
      </c>
      <c r="AC962" s="62" t="s">
        <v>12024</v>
      </c>
      <c r="AD962" s="62" t="s">
        <v>12025</v>
      </c>
    </row>
    <row r="963" spans="1:30" x14ac:dyDescent="0.25">
      <c r="A963" s="62" t="s">
        <v>109</v>
      </c>
      <c r="C963" s="62" t="s">
        <v>12026</v>
      </c>
      <c r="F963" s="62" t="s">
        <v>10793</v>
      </c>
      <c r="G963" s="62" t="s">
        <v>55712</v>
      </c>
      <c r="J963" s="62" t="s">
        <v>12027</v>
      </c>
      <c r="K963" s="62" t="s">
        <v>55741</v>
      </c>
      <c r="L963" s="62" t="s">
        <v>12028</v>
      </c>
      <c r="M963" s="62" t="s">
        <v>12029</v>
      </c>
      <c r="N963" s="62" t="s">
        <v>12030</v>
      </c>
      <c r="O963" s="62" t="s">
        <v>12031</v>
      </c>
      <c r="P963" s="62" t="s">
        <v>55770</v>
      </c>
      <c r="Q963" s="62" t="s">
        <v>12032</v>
      </c>
      <c r="R963" s="62" t="s">
        <v>12033</v>
      </c>
      <c r="S963" s="62" t="s">
        <v>12034</v>
      </c>
      <c r="U963" s="62" t="s">
        <v>12035</v>
      </c>
      <c r="V963" s="62" t="s">
        <v>55799</v>
      </c>
      <c r="W963" s="62" t="s">
        <v>12036</v>
      </c>
      <c r="X963" s="62" t="s">
        <v>12037</v>
      </c>
      <c r="Y963" s="62" t="s">
        <v>12038</v>
      </c>
      <c r="Z963" s="62" t="s">
        <v>12039</v>
      </c>
      <c r="AA963" s="62" t="s">
        <v>55828</v>
      </c>
      <c r="AB963" s="62" t="s">
        <v>12040</v>
      </c>
      <c r="AC963" s="62" t="s">
        <v>12041</v>
      </c>
      <c r="AD963" s="62" t="s">
        <v>12042</v>
      </c>
    </row>
    <row r="964" spans="1:30" x14ac:dyDescent="0.25">
      <c r="A964" s="62" t="s">
        <v>109</v>
      </c>
      <c r="C964" s="62" t="s">
        <v>12043</v>
      </c>
      <c r="F964" s="62" t="s">
        <v>10847</v>
      </c>
      <c r="G964" s="62" t="s">
        <v>55713</v>
      </c>
      <c r="J964" s="62" t="s">
        <v>12044</v>
      </c>
      <c r="K964" s="62" t="s">
        <v>55742</v>
      </c>
      <c r="L964" s="62" t="s">
        <v>12045</v>
      </c>
      <c r="M964" s="62" t="s">
        <v>12046</v>
      </c>
      <c r="N964" s="62" t="s">
        <v>12047</v>
      </c>
      <c r="O964" s="62" t="s">
        <v>12048</v>
      </c>
      <c r="P964" s="62" t="s">
        <v>55771</v>
      </c>
      <c r="Q964" s="62" t="s">
        <v>12049</v>
      </c>
      <c r="R964" s="62" t="s">
        <v>12050</v>
      </c>
      <c r="S964" s="62" t="s">
        <v>12051</v>
      </c>
      <c r="U964" s="62" t="s">
        <v>12052</v>
      </c>
      <c r="V964" s="62" t="s">
        <v>55800</v>
      </c>
      <c r="W964" s="62" t="s">
        <v>12053</v>
      </c>
      <c r="X964" s="62" t="s">
        <v>12054</v>
      </c>
      <c r="Y964" s="62" t="s">
        <v>12055</v>
      </c>
      <c r="Z964" s="62" t="s">
        <v>12056</v>
      </c>
      <c r="AA964" s="62" t="s">
        <v>55829</v>
      </c>
      <c r="AB964" s="62" t="s">
        <v>12057</v>
      </c>
      <c r="AC964" s="62" t="s">
        <v>12058</v>
      </c>
      <c r="AD964" s="62" t="s">
        <v>12059</v>
      </c>
    </row>
    <row r="965" spans="1:30" x14ac:dyDescent="0.25">
      <c r="A965" s="62" t="s">
        <v>109</v>
      </c>
      <c r="C965" s="62" t="s">
        <v>12060</v>
      </c>
      <c r="F965" s="62" t="s">
        <v>13238</v>
      </c>
      <c r="G965" s="62" t="s">
        <v>55714</v>
      </c>
      <c r="J965" s="62" t="s">
        <v>12061</v>
      </c>
      <c r="K965" s="62" t="s">
        <v>55743</v>
      </c>
      <c r="L965" s="62" t="s">
        <v>12062</v>
      </c>
      <c r="M965" s="62" t="s">
        <v>12063</v>
      </c>
      <c r="N965" s="62" t="s">
        <v>12064</v>
      </c>
      <c r="O965" s="62" t="s">
        <v>12065</v>
      </c>
      <c r="P965" s="62" t="s">
        <v>55772</v>
      </c>
      <c r="Q965" s="62" t="s">
        <v>12066</v>
      </c>
      <c r="R965" s="62" t="s">
        <v>12067</v>
      </c>
      <c r="S965" s="62" t="s">
        <v>12068</v>
      </c>
      <c r="U965" s="62" t="s">
        <v>12069</v>
      </c>
      <c r="V965" s="62" t="s">
        <v>55801</v>
      </c>
      <c r="W965" s="62" t="s">
        <v>12070</v>
      </c>
      <c r="X965" s="62" t="s">
        <v>12071</v>
      </c>
      <c r="Y965" s="62" t="s">
        <v>12072</v>
      </c>
      <c r="Z965" s="62" t="s">
        <v>12073</v>
      </c>
      <c r="AA965" s="62" t="s">
        <v>55830</v>
      </c>
      <c r="AB965" s="62" t="s">
        <v>12074</v>
      </c>
      <c r="AC965" s="62" t="s">
        <v>12075</v>
      </c>
      <c r="AD965" s="62" t="s">
        <v>12076</v>
      </c>
    </row>
    <row r="966" spans="1:30" x14ac:dyDescent="0.25">
      <c r="A966" s="62" t="s">
        <v>109</v>
      </c>
      <c r="C966" s="62" t="s">
        <v>12077</v>
      </c>
      <c r="F966" s="62" t="s">
        <v>1249</v>
      </c>
      <c r="G966" s="62" t="s">
        <v>55715</v>
      </c>
      <c r="J966" s="62" t="s">
        <v>12078</v>
      </c>
      <c r="K966" s="62" t="s">
        <v>55744</v>
      </c>
      <c r="L966" s="62" t="s">
        <v>12079</v>
      </c>
      <c r="M966" s="62" t="s">
        <v>12080</v>
      </c>
      <c r="N966" s="62" t="s">
        <v>12081</v>
      </c>
      <c r="O966" s="62" t="s">
        <v>12082</v>
      </c>
      <c r="P966" s="62" t="s">
        <v>55773</v>
      </c>
      <c r="Q966" s="62" t="s">
        <v>12083</v>
      </c>
      <c r="R966" s="62" t="s">
        <v>12084</v>
      </c>
      <c r="S966" s="62" t="s">
        <v>12085</v>
      </c>
      <c r="U966" s="62" t="s">
        <v>12086</v>
      </c>
      <c r="V966" s="62" t="s">
        <v>55802</v>
      </c>
      <c r="W966" s="62" t="s">
        <v>12087</v>
      </c>
      <c r="X966" s="62" t="s">
        <v>12088</v>
      </c>
      <c r="Y966" s="62" t="s">
        <v>12089</v>
      </c>
      <c r="Z966" s="62" t="s">
        <v>12090</v>
      </c>
      <c r="AA966" s="62" t="s">
        <v>55831</v>
      </c>
      <c r="AB966" s="62" t="s">
        <v>12091</v>
      </c>
      <c r="AC966" s="62" t="s">
        <v>12092</v>
      </c>
      <c r="AD966" s="62" t="s">
        <v>12093</v>
      </c>
    </row>
    <row r="967" spans="1:30" x14ac:dyDescent="0.25">
      <c r="A967" s="62" t="s">
        <v>109</v>
      </c>
      <c r="C967" s="62" t="s">
        <v>12094</v>
      </c>
      <c r="F967" s="62" t="s">
        <v>1286</v>
      </c>
      <c r="G967" s="62" t="s">
        <v>55716</v>
      </c>
      <c r="J967" s="62" t="s">
        <v>12095</v>
      </c>
      <c r="K967" s="62" t="s">
        <v>55745</v>
      </c>
      <c r="L967" s="62" t="s">
        <v>12096</v>
      </c>
      <c r="M967" s="62" t="s">
        <v>12097</v>
      </c>
      <c r="N967" s="62" t="s">
        <v>12098</v>
      </c>
      <c r="O967" s="62" t="s">
        <v>12099</v>
      </c>
      <c r="P967" s="62" t="s">
        <v>55774</v>
      </c>
      <c r="Q967" s="62" t="s">
        <v>12100</v>
      </c>
      <c r="R967" s="62" t="s">
        <v>12101</v>
      </c>
      <c r="S967" s="62" t="s">
        <v>12102</v>
      </c>
      <c r="U967" s="62" t="s">
        <v>12103</v>
      </c>
      <c r="V967" s="62" t="s">
        <v>55803</v>
      </c>
      <c r="W967" s="62" t="s">
        <v>12104</v>
      </c>
      <c r="X967" s="62" t="s">
        <v>12105</v>
      </c>
      <c r="Y967" s="62" t="s">
        <v>12106</v>
      </c>
      <c r="Z967" s="62" t="s">
        <v>12107</v>
      </c>
      <c r="AA967" s="62" t="s">
        <v>55832</v>
      </c>
      <c r="AB967" s="62" t="s">
        <v>12108</v>
      </c>
      <c r="AC967" s="62" t="s">
        <v>12109</v>
      </c>
      <c r="AD967" s="62" t="s">
        <v>12110</v>
      </c>
    </row>
    <row r="968" spans="1:30" x14ac:dyDescent="0.25">
      <c r="A968" s="62" t="s">
        <v>109</v>
      </c>
      <c r="C968" s="62" t="s">
        <v>12111</v>
      </c>
      <c r="F968" s="62" t="s">
        <v>1797</v>
      </c>
      <c r="G968" s="62" t="s">
        <v>55717</v>
      </c>
      <c r="J968" s="62" t="s">
        <v>12112</v>
      </c>
      <c r="K968" s="62" t="s">
        <v>55746</v>
      </c>
      <c r="L968" s="62" t="s">
        <v>12113</v>
      </c>
      <c r="M968" s="62" t="s">
        <v>12114</v>
      </c>
      <c r="N968" s="62" t="s">
        <v>12115</v>
      </c>
      <c r="O968" s="62" t="s">
        <v>12116</v>
      </c>
      <c r="P968" s="62" t="s">
        <v>55775</v>
      </c>
      <c r="Q968" s="62" t="s">
        <v>12117</v>
      </c>
      <c r="R968" s="62" t="s">
        <v>12118</v>
      </c>
      <c r="S968" s="62" t="s">
        <v>12119</v>
      </c>
      <c r="U968" s="62" t="s">
        <v>12120</v>
      </c>
      <c r="V968" s="62" t="s">
        <v>55804</v>
      </c>
      <c r="W968" s="62" t="s">
        <v>12121</v>
      </c>
      <c r="X968" s="62" t="s">
        <v>12122</v>
      </c>
      <c r="Y968" s="62" t="s">
        <v>12123</v>
      </c>
      <c r="Z968" s="62" t="s">
        <v>12124</v>
      </c>
      <c r="AA968" s="62" t="s">
        <v>55833</v>
      </c>
      <c r="AB968" s="62" t="s">
        <v>12125</v>
      </c>
      <c r="AC968" s="62" t="s">
        <v>12126</v>
      </c>
      <c r="AD968" s="62" t="s">
        <v>12127</v>
      </c>
    </row>
    <row r="969" spans="1:30" x14ac:dyDescent="0.25">
      <c r="A969" s="62" t="s">
        <v>109</v>
      </c>
      <c r="C969" s="62" t="s">
        <v>12128</v>
      </c>
      <c r="F969" s="62" t="s">
        <v>13249</v>
      </c>
      <c r="G969" s="62" t="s">
        <v>55718</v>
      </c>
      <c r="J969" s="62" t="s">
        <v>12129</v>
      </c>
      <c r="K969" s="62" t="s">
        <v>55747</v>
      </c>
      <c r="L969" s="62" t="s">
        <v>12130</v>
      </c>
      <c r="M969" s="62" t="s">
        <v>12131</v>
      </c>
      <c r="N969" s="62" t="s">
        <v>12132</v>
      </c>
      <c r="O969" s="62" t="s">
        <v>12133</v>
      </c>
      <c r="P969" s="62" t="s">
        <v>55776</v>
      </c>
      <c r="Q969" s="62" t="s">
        <v>12134</v>
      </c>
      <c r="R969" s="62" t="s">
        <v>12135</v>
      </c>
      <c r="S969" s="62" t="s">
        <v>12136</v>
      </c>
      <c r="U969" s="62" t="s">
        <v>12137</v>
      </c>
      <c r="V969" s="62" t="s">
        <v>55805</v>
      </c>
      <c r="W969" s="62" t="s">
        <v>12138</v>
      </c>
      <c r="X969" s="62" t="s">
        <v>12139</v>
      </c>
      <c r="Y969" s="62" t="s">
        <v>12140</v>
      </c>
      <c r="Z969" s="62" t="s">
        <v>12141</v>
      </c>
      <c r="AA969" s="62" t="s">
        <v>55834</v>
      </c>
      <c r="AB969" s="62" t="s">
        <v>12142</v>
      </c>
      <c r="AC969" s="62" t="s">
        <v>12143</v>
      </c>
      <c r="AD969" s="62" t="s">
        <v>12144</v>
      </c>
    </row>
    <row r="970" spans="1:30" x14ac:dyDescent="0.25">
      <c r="A970" s="62" t="s">
        <v>109</v>
      </c>
      <c r="C970" s="62" t="s">
        <v>12145</v>
      </c>
      <c r="F970" s="62" t="s">
        <v>10927</v>
      </c>
      <c r="G970" s="62" t="s">
        <v>55719</v>
      </c>
      <c r="J970" s="62" t="s">
        <v>12146</v>
      </c>
      <c r="K970" s="62" t="s">
        <v>55748</v>
      </c>
      <c r="L970" s="62" t="s">
        <v>12147</v>
      </c>
      <c r="M970" s="62" t="s">
        <v>12148</v>
      </c>
      <c r="N970" s="62" t="s">
        <v>12149</v>
      </c>
      <c r="O970" s="62" t="s">
        <v>12150</v>
      </c>
      <c r="P970" s="62" t="s">
        <v>55777</v>
      </c>
      <c r="Q970" s="62" t="s">
        <v>12151</v>
      </c>
      <c r="R970" s="62" t="s">
        <v>12152</v>
      </c>
      <c r="S970" s="62" t="s">
        <v>12153</v>
      </c>
      <c r="U970" s="62" t="s">
        <v>12154</v>
      </c>
      <c r="V970" s="62" t="s">
        <v>55806</v>
      </c>
      <c r="W970" s="62" t="s">
        <v>12155</v>
      </c>
      <c r="X970" s="62" t="s">
        <v>12156</v>
      </c>
      <c r="Y970" s="62" t="s">
        <v>12157</v>
      </c>
      <c r="Z970" s="62" t="s">
        <v>12158</v>
      </c>
      <c r="AA970" s="62" t="s">
        <v>55835</v>
      </c>
      <c r="AB970" s="62" t="s">
        <v>12159</v>
      </c>
      <c r="AC970" s="62" t="s">
        <v>12160</v>
      </c>
      <c r="AD970" s="62" t="s">
        <v>12161</v>
      </c>
    </row>
    <row r="971" spans="1:30" x14ac:dyDescent="0.25">
      <c r="A971" s="62" t="s">
        <v>109</v>
      </c>
      <c r="C971" s="62" t="s">
        <v>12162</v>
      </c>
      <c r="F971" s="62" t="s">
        <v>10929</v>
      </c>
      <c r="G971" s="62" t="s">
        <v>55720</v>
      </c>
      <c r="J971" s="62" t="s">
        <v>12163</v>
      </c>
      <c r="K971" s="62" t="s">
        <v>55749</v>
      </c>
      <c r="L971" s="62" t="s">
        <v>12164</v>
      </c>
      <c r="M971" s="62" t="s">
        <v>12165</v>
      </c>
      <c r="N971" s="62" t="s">
        <v>12166</v>
      </c>
      <c r="O971" s="62" t="s">
        <v>12167</v>
      </c>
      <c r="P971" s="62" t="s">
        <v>55778</v>
      </c>
      <c r="Q971" s="62" t="s">
        <v>12168</v>
      </c>
      <c r="R971" s="62" t="s">
        <v>12169</v>
      </c>
      <c r="S971" s="62" t="s">
        <v>12170</v>
      </c>
      <c r="U971" s="62" t="s">
        <v>12171</v>
      </c>
      <c r="V971" s="62" t="s">
        <v>55807</v>
      </c>
      <c r="W971" s="62" t="s">
        <v>12172</v>
      </c>
      <c r="X971" s="62" t="s">
        <v>12173</v>
      </c>
      <c r="Y971" s="62" t="s">
        <v>12174</v>
      </c>
      <c r="Z971" s="62" t="s">
        <v>12175</v>
      </c>
      <c r="AA971" s="62" t="s">
        <v>55836</v>
      </c>
      <c r="AB971" s="62" t="s">
        <v>12176</v>
      </c>
      <c r="AC971" s="62" t="s">
        <v>12177</v>
      </c>
      <c r="AD971" s="62" t="s">
        <v>12178</v>
      </c>
    </row>
    <row r="972" spans="1:30" x14ac:dyDescent="0.25">
      <c r="A972" s="62" t="s">
        <v>109</v>
      </c>
      <c r="C972" s="62" t="s">
        <v>11778</v>
      </c>
    </row>
    <row r="973" spans="1:30" x14ac:dyDescent="0.25">
      <c r="A973" s="62" t="s">
        <v>109</v>
      </c>
      <c r="C973" s="62" t="s">
        <v>12179</v>
      </c>
      <c r="G973" s="62" t="s">
        <v>41937</v>
      </c>
      <c r="J973" s="62" t="s">
        <v>41938</v>
      </c>
      <c r="K973" s="62" t="s">
        <v>41939</v>
      </c>
      <c r="L973" s="62" t="s">
        <v>41940</v>
      </c>
      <c r="M973" s="62" t="s">
        <v>12180</v>
      </c>
      <c r="N973" s="62" t="s">
        <v>12181</v>
      </c>
      <c r="O973" s="62" t="s">
        <v>41941</v>
      </c>
      <c r="P973" s="62" t="s">
        <v>41942</v>
      </c>
      <c r="Q973" s="62" t="s">
        <v>41943</v>
      </c>
      <c r="R973" s="62" t="s">
        <v>12182</v>
      </c>
      <c r="S973" s="62" t="s">
        <v>12183</v>
      </c>
      <c r="U973" s="62" t="s">
        <v>41944</v>
      </c>
      <c r="V973" s="62" t="s">
        <v>41945</v>
      </c>
      <c r="W973" s="62" t="s">
        <v>41946</v>
      </c>
      <c r="X973" s="62" t="s">
        <v>12184</v>
      </c>
      <c r="Y973" s="62" t="s">
        <v>12185</v>
      </c>
      <c r="Z973" s="62" t="s">
        <v>41947</v>
      </c>
      <c r="AA973" s="62" t="s">
        <v>41948</v>
      </c>
      <c r="AB973" s="62" t="s">
        <v>41949</v>
      </c>
      <c r="AC973" s="62" t="s">
        <v>12186</v>
      </c>
      <c r="AD973" s="62" t="s">
        <v>12187</v>
      </c>
    </row>
    <row r="974" spans="1:30" x14ac:dyDescent="0.25">
      <c r="A974" s="62" t="s">
        <v>109</v>
      </c>
    </row>
    <row r="975" spans="1:30" x14ac:dyDescent="0.25">
      <c r="A975" s="62" t="s">
        <v>109</v>
      </c>
      <c r="C975" s="62" t="s">
        <v>41950</v>
      </c>
      <c r="E975" s="62" t="s">
        <v>15270</v>
      </c>
      <c r="G975" s="62" t="s">
        <v>41951</v>
      </c>
    </row>
    <row r="976" spans="1:30" x14ac:dyDescent="0.25">
      <c r="A976" s="62" t="s">
        <v>109</v>
      </c>
      <c r="C976" s="62" t="s">
        <v>41952</v>
      </c>
    </row>
    <row r="977" spans="1:30" x14ac:dyDescent="0.25">
      <c r="A977" s="62" t="s">
        <v>109</v>
      </c>
      <c r="C977" s="62" t="s">
        <v>41953</v>
      </c>
      <c r="F977" s="62" t="s">
        <v>41954</v>
      </c>
      <c r="G977" s="62" t="s">
        <v>55642</v>
      </c>
      <c r="J977" s="62" t="s">
        <v>41955</v>
      </c>
      <c r="K977" s="62" t="s">
        <v>55652</v>
      </c>
      <c r="L977" s="62" t="s">
        <v>41956</v>
      </c>
      <c r="M977" s="62" t="s">
        <v>41957</v>
      </c>
      <c r="N977" s="62" t="s">
        <v>41958</v>
      </c>
      <c r="O977" s="62" t="s">
        <v>41959</v>
      </c>
      <c r="P977" s="62" t="s">
        <v>55662</v>
      </c>
      <c r="Q977" s="62" t="s">
        <v>41960</v>
      </c>
      <c r="R977" s="62" t="s">
        <v>41961</v>
      </c>
      <c r="S977" s="62" t="s">
        <v>41962</v>
      </c>
      <c r="U977" s="62" t="s">
        <v>41963</v>
      </c>
      <c r="V977" s="62" t="s">
        <v>55672</v>
      </c>
      <c r="W977" s="62" t="s">
        <v>41964</v>
      </c>
      <c r="X977" s="62" t="s">
        <v>41965</v>
      </c>
      <c r="Y977" s="62" t="s">
        <v>41966</v>
      </c>
      <c r="Z977" s="62" t="s">
        <v>41967</v>
      </c>
      <c r="AA977" s="62" t="s">
        <v>55682</v>
      </c>
      <c r="AB977" s="62" t="s">
        <v>41968</v>
      </c>
      <c r="AC977" s="62" t="s">
        <v>41969</v>
      </c>
      <c r="AD977" s="62" t="s">
        <v>41970</v>
      </c>
    </row>
    <row r="978" spans="1:30" x14ac:dyDescent="0.25">
      <c r="A978" s="62" t="s">
        <v>109</v>
      </c>
      <c r="C978" s="62" t="s">
        <v>12188</v>
      </c>
      <c r="F978" s="62" t="s">
        <v>176</v>
      </c>
      <c r="G978" s="62" t="s">
        <v>55643</v>
      </c>
      <c r="J978" s="62" t="s">
        <v>41971</v>
      </c>
      <c r="K978" s="62" t="s">
        <v>55653</v>
      </c>
      <c r="L978" s="62" t="s">
        <v>41972</v>
      </c>
      <c r="M978" s="62" t="s">
        <v>41973</v>
      </c>
      <c r="N978" s="62" t="s">
        <v>41974</v>
      </c>
      <c r="O978" s="62" t="s">
        <v>41975</v>
      </c>
      <c r="P978" s="62" t="s">
        <v>55663</v>
      </c>
      <c r="Q978" s="62" t="s">
        <v>41976</v>
      </c>
      <c r="R978" s="62" t="s">
        <v>41977</v>
      </c>
      <c r="S978" s="62" t="s">
        <v>41978</v>
      </c>
      <c r="U978" s="62" t="s">
        <v>41979</v>
      </c>
      <c r="V978" s="62" t="s">
        <v>55673</v>
      </c>
      <c r="W978" s="62" t="s">
        <v>41980</v>
      </c>
      <c r="X978" s="62" t="s">
        <v>41981</v>
      </c>
      <c r="Y978" s="62" t="s">
        <v>41982</v>
      </c>
      <c r="Z978" s="62" t="s">
        <v>41983</v>
      </c>
      <c r="AA978" s="62" t="s">
        <v>55683</v>
      </c>
      <c r="AB978" s="62" t="s">
        <v>41984</v>
      </c>
      <c r="AC978" s="62" t="s">
        <v>41985</v>
      </c>
      <c r="AD978" s="62" t="s">
        <v>41986</v>
      </c>
    </row>
    <row r="979" spans="1:30" x14ac:dyDescent="0.25">
      <c r="A979" s="62" t="s">
        <v>109</v>
      </c>
      <c r="C979" s="62" t="s">
        <v>12189</v>
      </c>
      <c r="F979" s="62" t="s">
        <v>976</v>
      </c>
      <c r="G979" s="62" t="s">
        <v>55644</v>
      </c>
      <c r="J979" s="62" t="s">
        <v>12190</v>
      </c>
      <c r="K979" s="62" t="s">
        <v>55654</v>
      </c>
      <c r="L979" s="62" t="s">
        <v>12191</v>
      </c>
      <c r="M979" s="62" t="s">
        <v>12192</v>
      </c>
      <c r="N979" s="62" t="s">
        <v>12193</v>
      </c>
      <c r="O979" s="62" t="s">
        <v>12194</v>
      </c>
      <c r="P979" s="62" t="s">
        <v>55664</v>
      </c>
      <c r="Q979" s="62" t="s">
        <v>12195</v>
      </c>
      <c r="R979" s="62" t="s">
        <v>12196</v>
      </c>
      <c r="S979" s="62" t="s">
        <v>12197</v>
      </c>
      <c r="U979" s="62" t="s">
        <v>12198</v>
      </c>
      <c r="V979" s="62" t="s">
        <v>55674</v>
      </c>
      <c r="W979" s="62" t="s">
        <v>12199</v>
      </c>
      <c r="X979" s="62" t="s">
        <v>12200</v>
      </c>
      <c r="Y979" s="62" t="s">
        <v>12201</v>
      </c>
      <c r="Z979" s="62" t="s">
        <v>12202</v>
      </c>
      <c r="AA979" s="62" t="s">
        <v>55684</v>
      </c>
      <c r="AB979" s="62" t="s">
        <v>12203</v>
      </c>
      <c r="AC979" s="62" t="s">
        <v>12204</v>
      </c>
      <c r="AD979" s="62" t="s">
        <v>12205</v>
      </c>
    </row>
    <row r="980" spans="1:30" x14ac:dyDescent="0.25">
      <c r="A980" s="62" t="s">
        <v>109</v>
      </c>
      <c r="C980" s="62" t="s">
        <v>12206</v>
      </c>
      <c r="F980" s="62" t="s">
        <v>2222</v>
      </c>
      <c r="G980" s="62" t="s">
        <v>55645</v>
      </c>
      <c r="J980" s="62" t="s">
        <v>12207</v>
      </c>
      <c r="K980" s="62" t="s">
        <v>55655</v>
      </c>
      <c r="L980" s="62" t="s">
        <v>12208</v>
      </c>
      <c r="M980" s="62" t="s">
        <v>12209</v>
      </c>
      <c r="N980" s="62" t="s">
        <v>12210</v>
      </c>
      <c r="O980" s="62" t="s">
        <v>12211</v>
      </c>
      <c r="P980" s="62" t="s">
        <v>55665</v>
      </c>
      <c r="Q980" s="62" t="s">
        <v>12212</v>
      </c>
      <c r="R980" s="62" t="s">
        <v>12213</v>
      </c>
      <c r="S980" s="62" t="s">
        <v>12214</v>
      </c>
      <c r="U980" s="62" t="s">
        <v>12215</v>
      </c>
      <c r="V980" s="62" t="s">
        <v>55675</v>
      </c>
      <c r="W980" s="62" t="s">
        <v>12216</v>
      </c>
      <c r="X980" s="62" t="s">
        <v>12217</v>
      </c>
      <c r="Y980" s="62" t="s">
        <v>12218</v>
      </c>
      <c r="Z980" s="62" t="s">
        <v>12219</v>
      </c>
      <c r="AA980" s="62" t="s">
        <v>55685</v>
      </c>
      <c r="AB980" s="62" t="s">
        <v>12220</v>
      </c>
      <c r="AC980" s="62" t="s">
        <v>12221</v>
      </c>
      <c r="AD980" s="62" t="s">
        <v>12222</v>
      </c>
    </row>
    <row r="981" spans="1:30" x14ac:dyDescent="0.25">
      <c r="A981" s="62" t="s">
        <v>109</v>
      </c>
      <c r="C981" s="62" t="s">
        <v>12223</v>
      </c>
      <c r="F981" s="62" t="s">
        <v>237</v>
      </c>
      <c r="G981" s="62" t="s">
        <v>55646</v>
      </c>
      <c r="J981" s="62" t="s">
        <v>12224</v>
      </c>
      <c r="K981" s="62" t="s">
        <v>55656</v>
      </c>
      <c r="L981" s="62" t="s">
        <v>12225</v>
      </c>
      <c r="M981" s="62" t="s">
        <v>12226</v>
      </c>
      <c r="N981" s="62" t="s">
        <v>12227</v>
      </c>
      <c r="O981" s="62" t="s">
        <v>12228</v>
      </c>
      <c r="P981" s="62" t="s">
        <v>55666</v>
      </c>
      <c r="Q981" s="62" t="s">
        <v>12229</v>
      </c>
      <c r="R981" s="62" t="s">
        <v>12230</v>
      </c>
      <c r="S981" s="62" t="s">
        <v>12231</v>
      </c>
      <c r="U981" s="62" t="s">
        <v>12232</v>
      </c>
      <c r="V981" s="62" t="s">
        <v>55676</v>
      </c>
      <c r="W981" s="62" t="s">
        <v>12233</v>
      </c>
      <c r="X981" s="62" t="s">
        <v>12234</v>
      </c>
      <c r="Y981" s="62" t="s">
        <v>12235</v>
      </c>
      <c r="Z981" s="62" t="s">
        <v>12236</v>
      </c>
      <c r="AA981" s="62" t="s">
        <v>55686</v>
      </c>
      <c r="AB981" s="62" t="s">
        <v>12237</v>
      </c>
      <c r="AC981" s="62" t="s">
        <v>12238</v>
      </c>
      <c r="AD981" s="62" t="s">
        <v>12239</v>
      </c>
    </row>
    <row r="982" spans="1:30" x14ac:dyDescent="0.25">
      <c r="A982" s="62" t="s">
        <v>109</v>
      </c>
      <c r="C982" s="62" t="s">
        <v>12240</v>
      </c>
      <c r="F982" s="62" t="s">
        <v>3799</v>
      </c>
      <c r="G982" s="62" t="s">
        <v>55647</v>
      </c>
      <c r="J982" s="62" t="s">
        <v>12241</v>
      </c>
      <c r="K982" s="62" t="s">
        <v>55657</v>
      </c>
      <c r="L982" s="62" t="s">
        <v>12242</v>
      </c>
      <c r="M982" s="62" t="s">
        <v>12243</v>
      </c>
      <c r="N982" s="62" t="s">
        <v>12244</v>
      </c>
      <c r="O982" s="62" t="s">
        <v>12245</v>
      </c>
      <c r="P982" s="62" t="s">
        <v>55667</v>
      </c>
      <c r="Q982" s="62" t="s">
        <v>12246</v>
      </c>
      <c r="R982" s="62" t="s">
        <v>12247</v>
      </c>
      <c r="S982" s="62" t="s">
        <v>12248</v>
      </c>
      <c r="U982" s="62" t="s">
        <v>12249</v>
      </c>
      <c r="V982" s="62" t="s">
        <v>55677</v>
      </c>
      <c r="W982" s="62" t="s">
        <v>12250</v>
      </c>
      <c r="X982" s="62" t="s">
        <v>12251</v>
      </c>
      <c r="Y982" s="62" t="s">
        <v>12252</v>
      </c>
      <c r="Z982" s="62" t="s">
        <v>12253</v>
      </c>
      <c r="AA982" s="62" t="s">
        <v>55687</v>
      </c>
      <c r="AB982" s="62" t="s">
        <v>12254</v>
      </c>
      <c r="AC982" s="62" t="s">
        <v>12255</v>
      </c>
      <c r="AD982" s="62" t="s">
        <v>12256</v>
      </c>
    </row>
    <row r="983" spans="1:30" x14ac:dyDescent="0.25">
      <c r="A983" s="62" t="s">
        <v>109</v>
      </c>
      <c r="C983" s="62" t="s">
        <v>12257</v>
      </c>
      <c r="F983" s="62" t="s">
        <v>271</v>
      </c>
      <c r="G983" s="62" t="s">
        <v>55648</v>
      </c>
      <c r="J983" s="62" t="s">
        <v>12258</v>
      </c>
      <c r="K983" s="62" t="s">
        <v>55658</v>
      </c>
      <c r="L983" s="62" t="s">
        <v>12259</v>
      </c>
      <c r="M983" s="62" t="s">
        <v>12260</v>
      </c>
      <c r="N983" s="62" t="s">
        <v>12261</v>
      </c>
      <c r="O983" s="62" t="s">
        <v>12262</v>
      </c>
      <c r="P983" s="62" t="s">
        <v>55668</v>
      </c>
      <c r="Q983" s="62" t="s">
        <v>12263</v>
      </c>
      <c r="R983" s="62" t="s">
        <v>12264</v>
      </c>
      <c r="S983" s="62" t="s">
        <v>12265</v>
      </c>
      <c r="U983" s="62" t="s">
        <v>12266</v>
      </c>
      <c r="V983" s="62" t="s">
        <v>55678</v>
      </c>
      <c r="W983" s="62" t="s">
        <v>12267</v>
      </c>
      <c r="X983" s="62" t="s">
        <v>12268</v>
      </c>
      <c r="Y983" s="62" t="s">
        <v>12269</v>
      </c>
      <c r="Z983" s="62" t="s">
        <v>12270</v>
      </c>
      <c r="AA983" s="62" t="s">
        <v>55688</v>
      </c>
      <c r="AB983" s="62" t="s">
        <v>12271</v>
      </c>
      <c r="AC983" s="62" t="s">
        <v>12272</v>
      </c>
      <c r="AD983" s="62" t="s">
        <v>12273</v>
      </c>
    </row>
    <row r="984" spans="1:30" x14ac:dyDescent="0.25">
      <c r="A984" s="62" t="s">
        <v>109</v>
      </c>
      <c r="C984" s="62" t="s">
        <v>12274</v>
      </c>
      <c r="F984" s="62" t="s">
        <v>2464</v>
      </c>
      <c r="G984" s="62" t="s">
        <v>55649</v>
      </c>
      <c r="J984" s="62" t="s">
        <v>12275</v>
      </c>
      <c r="K984" s="62" t="s">
        <v>55659</v>
      </c>
      <c r="L984" s="62" t="s">
        <v>12276</v>
      </c>
      <c r="M984" s="62" t="s">
        <v>12277</v>
      </c>
      <c r="N984" s="62" t="s">
        <v>12278</v>
      </c>
      <c r="O984" s="62" t="s">
        <v>12279</v>
      </c>
      <c r="P984" s="62" t="s">
        <v>55669</v>
      </c>
      <c r="Q984" s="62" t="s">
        <v>12280</v>
      </c>
      <c r="R984" s="62" t="s">
        <v>12281</v>
      </c>
      <c r="S984" s="62" t="s">
        <v>12282</v>
      </c>
      <c r="U984" s="62" t="s">
        <v>12283</v>
      </c>
      <c r="V984" s="62" t="s">
        <v>55679</v>
      </c>
      <c r="W984" s="62" t="s">
        <v>12284</v>
      </c>
      <c r="X984" s="62" t="s">
        <v>12285</v>
      </c>
      <c r="Y984" s="62" t="s">
        <v>12286</v>
      </c>
      <c r="Z984" s="62" t="s">
        <v>12287</v>
      </c>
      <c r="AA984" s="62" t="s">
        <v>55689</v>
      </c>
      <c r="AB984" s="62" t="s">
        <v>12288</v>
      </c>
      <c r="AC984" s="62" t="s">
        <v>12289</v>
      </c>
      <c r="AD984" s="62" t="s">
        <v>12290</v>
      </c>
    </row>
    <row r="985" spans="1:30" x14ac:dyDescent="0.25">
      <c r="A985" s="62" t="s">
        <v>109</v>
      </c>
      <c r="C985" s="62" t="s">
        <v>12291</v>
      </c>
      <c r="F985" s="62" t="s">
        <v>1100</v>
      </c>
      <c r="G985" s="62" t="s">
        <v>55650</v>
      </c>
      <c r="J985" s="62" t="s">
        <v>12292</v>
      </c>
      <c r="K985" s="62" t="s">
        <v>55660</v>
      </c>
      <c r="L985" s="62" t="s">
        <v>12293</v>
      </c>
      <c r="M985" s="62" t="s">
        <v>12294</v>
      </c>
      <c r="N985" s="62" t="s">
        <v>12295</v>
      </c>
      <c r="O985" s="62" t="s">
        <v>12296</v>
      </c>
      <c r="P985" s="62" t="s">
        <v>55670</v>
      </c>
      <c r="Q985" s="62" t="s">
        <v>12297</v>
      </c>
      <c r="R985" s="62" t="s">
        <v>12298</v>
      </c>
      <c r="S985" s="62" t="s">
        <v>12299</v>
      </c>
      <c r="U985" s="62" t="s">
        <v>12300</v>
      </c>
      <c r="V985" s="62" t="s">
        <v>55680</v>
      </c>
      <c r="W985" s="62" t="s">
        <v>12301</v>
      </c>
      <c r="X985" s="62" t="s">
        <v>12302</v>
      </c>
      <c r="Y985" s="62" t="s">
        <v>12303</v>
      </c>
      <c r="Z985" s="62" t="s">
        <v>12304</v>
      </c>
      <c r="AA985" s="62" t="s">
        <v>55690</v>
      </c>
      <c r="AB985" s="62" t="s">
        <v>12305</v>
      </c>
      <c r="AC985" s="62" t="s">
        <v>12306</v>
      </c>
      <c r="AD985" s="62" t="s">
        <v>12307</v>
      </c>
    </row>
    <row r="986" spans="1:30" x14ac:dyDescent="0.25">
      <c r="A986" s="62" t="s">
        <v>109</v>
      </c>
      <c r="C986" s="62" t="s">
        <v>12308</v>
      </c>
      <c r="F986" s="62" t="s">
        <v>2372</v>
      </c>
      <c r="G986" s="62" t="s">
        <v>55651</v>
      </c>
      <c r="J986" s="62" t="s">
        <v>12309</v>
      </c>
      <c r="K986" s="62" t="s">
        <v>55661</v>
      </c>
      <c r="L986" s="62" t="s">
        <v>12310</v>
      </c>
      <c r="M986" s="62" t="s">
        <v>12311</v>
      </c>
      <c r="N986" s="62" t="s">
        <v>12312</v>
      </c>
      <c r="O986" s="62" t="s">
        <v>12313</v>
      </c>
      <c r="P986" s="62" t="s">
        <v>55671</v>
      </c>
      <c r="Q986" s="62" t="s">
        <v>12314</v>
      </c>
      <c r="R986" s="62" t="s">
        <v>12315</v>
      </c>
      <c r="S986" s="62" t="s">
        <v>12316</v>
      </c>
      <c r="U986" s="62" t="s">
        <v>12317</v>
      </c>
      <c r="V986" s="62" t="s">
        <v>55681</v>
      </c>
      <c r="W986" s="62" t="s">
        <v>12318</v>
      </c>
      <c r="X986" s="62" t="s">
        <v>12319</v>
      </c>
      <c r="Y986" s="62" t="s">
        <v>12320</v>
      </c>
      <c r="Z986" s="62" t="s">
        <v>12321</v>
      </c>
      <c r="AA986" s="62" t="s">
        <v>55691</v>
      </c>
      <c r="AB986" s="62" t="s">
        <v>12322</v>
      </c>
      <c r="AC986" s="62" t="s">
        <v>12323</v>
      </c>
      <c r="AD986" s="62" t="s">
        <v>12324</v>
      </c>
    </row>
    <row r="987" spans="1:30" x14ac:dyDescent="0.25">
      <c r="A987" s="62" t="s">
        <v>109</v>
      </c>
      <c r="C987" s="62" t="s">
        <v>12188</v>
      </c>
    </row>
    <row r="988" spans="1:30" x14ac:dyDescent="0.25">
      <c r="A988" s="62" t="s">
        <v>109</v>
      </c>
      <c r="C988" s="62" t="s">
        <v>12325</v>
      </c>
      <c r="G988" s="62" t="s">
        <v>41987</v>
      </c>
      <c r="J988" s="62" t="s">
        <v>41988</v>
      </c>
      <c r="K988" s="62" t="s">
        <v>41989</v>
      </c>
      <c r="L988" s="62" t="s">
        <v>41990</v>
      </c>
      <c r="M988" s="62" t="s">
        <v>12326</v>
      </c>
      <c r="N988" s="62" t="s">
        <v>12327</v>
      </c>
      <c r="O988" s="62" t="s">
        <v>41991</v>
      </c>
      <c r="P988" s="62" t="s">
        <v>41992</v>
      </c>
      <c r="Q988" s="62" t="s">
        <v>41993</v>
      </c>
      <c r="R988" s="62" t="s">
        <v>12328</v>
      </c>
      <c r="S988" s="62" t="s">
        <v>12329</v>
      </c>
      <c r="U988" s="62" t="s">
        <v>41994</v>
      </c>
      <c r="V988" s="62" t="s">
        <v>41995</v>
      </c>
      <c r="W988" s="62" t="s">
        <v>41996</v>
      </c>
      <c r="X988" s="62" t="s">
        <v>12330</v>
      </c>
      <c r="Y988" s="62" t="s">
        <v>12331</v>
      </c>
      <c r="Z988" s="62" t="s">
        <v>41997</v>
      </c>
      <c r="AA988" s="62" t="s">
        <v>41998</v>
      </c>
      <c r="AB988" s="62" t="s">
        <v>41999</v>
      </c>
      <c r="AC988" s="62" t="s">
        <v>12332</v>
      </c>
      <c r="AD988" s="62" t="s">
        <v>12333</v>
      </c>
    </row>
    <row r="989" spans="1:30" x14ac:dyDescent="0.25">
      <c r="A989" s="62" t="s">
        <v>109</v>
      </c>
    </row>
    <row r="990" spans="1:30" x14ac:dyDescent="0.25">
      <c r="A990" s="62" t="s">
        <v>109</v>
      </c>
      <c r="C990" s="62" t="s">
        <v>42000</v>
      </c>
      <c r="E990" s="62" t="s">
        <v>357</v>
      </c>
      <c r="G990" s="62" t="s">
        <v>42001</v>
      </c>
    </row>
    <row r="991" spans="1:30" x14ac:dyDescent="0.25">
      <c r="A991" s="62" t="s">
        <v>109</v>
      </c>
      <c r="C991" s="62" t="s">
        <v>12334</v>
      </c>
    </row>
    <row r="992" spans="1:30" x14ac:dyDescent="0.25">
      <c r="A992" s="62" t="s">
        <v>109</v>
      </c>
      <c r="C992" s="62" t="s">
        <v>12335</v>
      </c>
      <c r="F992" s="62" t="s">
        <v>42002</v>
      </c>
      <c r="G992" s="62" t="s">
        <v>55537</v>
      </c>
      <c r="J992" s="62" t="s">
        <v>12336</v>
      </c>
      <c r="K992" s="62" t="s">
        <v>55558</v>
      </c>
      <c r="L992" s="62" t="s">
        <v>12337</v>
      </c>
      <c r="M992" s="62" t="s">
        <v>12338</v>
      </c>
      <c r="N992" s="62" t="s">
        <v>12339</v>
      </c>
      <c r="O992" s="62" t="s">
        <v>12340</v>
      </c>
      <c r="P992" s="62" t="s">
        <v>55579</v>
      </c>
      <c r="Q992" s="62" t="s">
        <v>12341</v>
      </c>
      <c r="R992" s="62" t="s">
        <v>12342</v>
      </c>
      <c r="S992" s="62" t="s">
        <v>12343</v>
      </c>
      <c r="U992" s="62" t="s">
        <v>12344</v>
      </c>
      <c r="V992" s="62" t="s">
        <v>55600</v>
      </c>
      <c r="W992" s="62" t="s">
        <v>12345</v>
      </c>
      <c r="X992" s="62" t="s">
        <v>12346</v>
      </c>
      <c r="Y992" s="62" t="s">
        <v>12347</v>
      </c>
      <c r="Z992" s="62" t="s">
        <v>12348</v>
      </c>
      <c r="AA992" s="62" t="s">
        <v>55621</v>
      </c>
      <c r="AB992" s="62" t="s">
        <v>12349</v>
      </c>
      <c r="AC992" s="62" t="s">
        <v>12350</v>
      </c>
      <c r="AD992" s="62" t="s">
        <v>12351</v>
      </c>
    </row>
    <row r="993" spans="1:30" x14ac:dyDescent="0.25">
      <c r="A993" s="62" t="s">
        <v>109</v>
      </c>
      <c r="C993" s="62" t="s">
        <v>12352</v>
      </c>
      <c r="F993" s="62" t="s">
        <v>68</v>
      </c>
      <c r="G993" s="62" t="s">
        <v>55538</v>
      </c>
      <c r="J993" s="62" t="s">
        <v>12353</v>
      </c>
      <c r="K993" s="62" t="s">
        <v>55559</v>
      </c>
      <c r="L993" s="62" t="s">
        <v>12354</v>
      </c>
      <c r="M993" s="62" t="s">
        <v>12355</v>
      </c>
      <c r="N993" s="62" t="s">
        <v>12356</v>
      </c>
      <c r="O993" s="62" t="s">
        <v>12357</v>
      </c>
      <c r="P993" s="62" t="s">
        <v>55580</v>
      </c>
      <c r="Q993" s="62" t="s">
        <v>12358</v>
      </c>
      <c r="R993" s="62" t="s">
        <v>12359</v>
      </c>
      <c r="S993" s="62" t="s">
        <v>12360</v>
      </c>
      <c r="U993" s="62" t="s">
        <v>12361</v>
      </c>
      <c r="V993" s="62" t="s">
        <v>55601</v>
      </c>
      <c r="W993" s="62" t="s">
        <v>12362</v>
      </c>
      <c r="X993" s="62" t="s">
        <v>12363</v>
      </c>
      <c r="Y993" s="62" t="s">
        <v>12364</v>
      </c>
      <c r="Z993" s="62" t="s">
        <v>12365</v>
      </c>
      <c r="AA993" s="62" t="s">
        <v>55622</v>
      </c>
      <c r="AB993" s="62" t="s">
        <v>12366</v>
      </c>
      <c r="AC993" s="62" t="s">
        <v>12367</v>
      </c>
      <c r="AD993" s="62" t="s">
        <v>12368</v>
      </c>
    </row>
    <row r="994" spans="1:30" x14ac:dyDescent="0.25">
      <c r="A994" s="62" t="s">
        <v>109</v>
      </c>
      <c r="C994" s="62" t="s">
        <v>12369</v>
      </c>
      <c r="F994" s="62" t="s">
        <v>2135</v>
      </c>
      <c r="G994" s="62" t="s">
        <v>55539</v>
      </c>
      <c r="J994" s="62" t="s">
        <v>12370</v>
      </c>
      <c r="K994" s="62" t="s">
        <v>55560</v>
      </c>
      <c r="L994" s="62" t="s">
        <v>12371</v>
      </c>
      <c r="M994" s="62" t="s">
        <v>12372</v>
      </c>
      <c r="N994" s="62" t="s">
        <v>12373</v>
      </c>
      <c r="O994" s="62" t="s">
        <v>12374</v>
      </c>
      <c r="P994" s="62" t="s">
        <v>55581</v>
      </c>
      <c r="Q994" s="62" t="s">
        <v>12375</v>
      </c>
      <c r="R994" s="62" t="s">
        <v>12376</v>
      </c>
      <c r="S994" s="62" t="s">
        <v>12377</v>
      </c>
      <c r="U994" s="62" t="s">
        <v>12378</v>
      </c>
      <c r="V994" s="62" t="s">
        <v>55602</v>
      </c>
      <c r="W994" s="62" t="s">
        <v>12379</v>
      </c>
      <c r="X994" s="62" t="s">
        <v>12380</v>
      </c>
      <c r="Y994" s="62" t="s">
        <v>12381</v>
      </c>
      <c r="Z994" s="62" t="s">
        <v>12382</v>
      </c>
      <c r="AA994" s="62" t="s">
        <v>55623</v>
      </c>
      <c r="AB994" s="62" t="s">
        <v>12383</v>
      </c>
      <c r="AC994" s="62" t="s">
        <v>12384</v>
      </c>
      <c r="AD994" s="62" t="s">
        <v>12385</v>
      </c>
    </row>
    <row r="995" spans="1:30" x14ac:dyDescent="0.25">
      <c r="A995" s="62" t="s">
        <v>109</v>
      </c>
      <c r="C995" s="62" t="s">
        <v>12386</v>
      </c>
      <c r="F995" s="62" t="s">
        <v>2170</v>
      </c>
      <c r="G995" s="62" t="s">
        <v>55540</v>
      </c>
      <c r="J995" s="62" t="s">
        <v>12387</v>
      </c>
      <c r="K995" s="62" t="s">
        <v>55561</v>
      </c>
      <c r="L995" s="62" t="s">
        <v>12388</v>
      </c>
      <c r="M995" s="62" t="s">
        <v>12389</v>
      </c>
      <c r="N995" s="62" t="s">
        <v>12390</v>
      </c>
      <c r="O995" s="62" t="s">
        <v>12391</v>
      </c>
      <c r="P995" s="62" t="s">
        <v>55582</v>
      </c>
      <c r="Q995" s="62" t="s">
        <v>12392</v>
      </c>
      <c r="R995" s="62" t="s">
        <v>12393</v>
      </c>
      <c r="S995" s="62" t="s">
        <v>12394</v>
      </c>
      <c r="U995" s="62" t="s">
        <v>12395</v>
      </c>
      <c r="V995" s="62" t="s">
        <v>55603</v>
      </c>
      <c r="W995" s="62" t="s">
        <v>12396</v>
      </c>
      <c r="X995" s="62" t="s">
        <v>12397</v>
      </c>
      <c r="Y995" s="62" t="s">
        <v>12398</v>
      </c>
      <c r="Z995" s="62" t="s">
        <v>12399</v>
      </c>
      <c r="AA995" s="62" t="s">
        <v>55624</v>
      </c>
      <c r="AB995" s="62" t="s">
        <v>12400</v>
      </c>
      <c r="AC995" s="62" t="s">
        <v>12401</v>
      </c>
      <c r="AD995" s="62" t="s">
        <v>12402</v>
      </c>
    </row>
    <row r="996" spans="1:30" x14ac:dyDescent="0.25">
      <c r="A996" s="62" t="s">
        <v>109</v>
      </c>
      <c r="C996" s="62" t="s">
        <v>12403</v>
      </c>
      <c r="F996" s="62" t="s">
        <v>2187</v>
      </c>
      <c r="G996" s="62" t="s">
        <v>55541</v>
      </c>
      <c r="J996" s="62" t="s">
        <v>12404</v>
      </c>
      <c r="K996" s="62" t="s">
        <v>55562</v>
      </c>
      <c r="L996" s="62" t="s">
        <v>12405</v>
      </c>
      <c r="M996" s="62" t="s">
        <v>12406</v>
      </c>
      <c r="N996" s="62" t="s">
        <v>12407</v>
      </c>
      <c r="O996" s="62" t="s">
        <v>12408</v>
      </c>
      <c r="P996" s="62" t="s">
        <v>55583</v>
      </c>
      <c r="Q996" s="62" t="s">
        <v>12409</v>
      </c>
      <c r="R996" s="62" t="s">
        <v>12410</v>
      </c>
      <c r="S996" s="62" t="s">
        <v>12411</v>
      </c>
      <c r="U996" s="62" t="s">
        <v>12412</v>
      </c>
      <c r="V996" s="62" t="s">
        <v>55604</v>
      </c>
      <c r="W996" s="62" t="s">
        <v>12413</v>
      </c>
      <c r="X996" s="62" t="s">
        <v>12414</v>
      </c>
      <c r="Y996" s="62" t="s">
        <v>12415</v>
      </c>
      <c r="Z996" s="62" t="s">
        <v>12416</v>
      </c>
      <c r="AA996" s="62" t="s">
        <v>55625</v>
      </c>
      <c r="AB996" s="62" t="s">
        <v>12417</v>
      </c>
      <c r="AC996" s="62" t="s">
        <v>12418</v>
      </c>
      <c r="AD996" s="62" t="s">
        <v>12419</v>
      </c>
    </row>
    <row r="997" spans="1:30" x14ac:dyDescent="0.25">
      <c r="A997" s="62" t="s">
        <v>109</v>
      </c>
      <c r="C997" s="62" t="s">
        <v>12420</v>
      </c>
      <c r="F997" s="62" t="s">
        <v>176</v>
      </c>
      <c r="G997" s="62" t="s">
        <v>55542</v>
      </c>
      <c r="J997" s="62" t="s">
        <v>12421</v>
      </c>
      <c r="K997" s="62" t="s">
        <v>55563</v>
      </c>
      <c r="L997" s="62" t="s">
        <v>12422</v>
      </c>
      <c r="M997" s="62" t="s">
        <v>12423</v>
      </c>
      <c r="N997" s="62" t="s">
        <v>12424</v>
      </c>
      <c r="O997" s="62" t="s">
        <v>12425</v>
      </c>
      <c r="P997" s="62" t="s">
        <v>55584</v>
      </c>
      <c r="Q997" s="62" t="s">
        <v>12426</v>
      </c>
      <c r="R997" s="62" t="s">
        <v>12427</v>
      </c>
      <c r="S997" s="62" t="s">
        <v>12428</v>
      </c>
      <c r="U997" s="62" t="s">
        <v>12429</v>
      </c>
      <c r="V997" s="62" t="s">
        <v>55605</v>
      </c>
      <c r="W997" s="62" t="s">
        <v>12430</v>
      </c>
      <c r="X997" s="62" t="s">
        <v>12431</v>
      </c>
      <c r="Y997" s="62" t="s">
        <v>12432</v>
      </c>
      <c r="Z997" s="62" t="s">
        <v>12433</v>
      </c>
      <c r="AA997" s="62" t="s">
        <v>55626</v>
      </c>
      <c r="AB997" s="62" t="s">
        <v>12434</v>
      </c>
      <c r="AC997" s="62" t="s">
        <v>12435</v>
      </c>
      <c r="AD997" s="62" t="s">
        <v>12436</v>
      </c>
    </row>
    <row r="998" spans="1:30" x14ac:dyDescent="0.25">
      <c r="A998" s="62" t="s">
        <v>109</v>
      </c>
      <c r="C998" s="62" t="s">
        <v>12437</v>
      </c>
      <c r="F998" s="62" t="s">
        <v>2212</v>
      </c>
      <c r="G998" s="62" t="s">
        <v>55543</v>
      </c>
      <c r="J998" s="62" t="s">
        <v>12438</v>
      </c>
      <c r="K998" s="62" t="s">
        <v>55564</v>
      </c>
      <c r="L998" s="62" t="s">
        <v>12439</v>
      </c>
      <c r="M998" s="62" t="s">
        <v>12440</v>
      </c>
      <c r="N998" s="62" t="s">
        <v>12441</v>
      </c>
      <c r="O998" s="62" t="s">
        <v>12442</v>
      </c>
      <c r="P998" s="62" t="s">
        <v>55585</v>
      </c>
      <c r="Q998" s="62" t="s">
        <v>12443</v>
      </c>
      <c r="R998" s="62" t="s">
        <v>12444</v>
      </c>
      <c r="S998" s="62" t="s">
        <v>12445</v>
      </c>
      <c r="U998" s="62" t="s">
        <v>12446</v>
      </c>
      <c r="V998" s="62" t="s">
        <v>55606</v>
      </c>
      <c r="W998" s="62" t="s">
        <v>12447</v>
      </c>
      <c r="X998" s="62" t="s">
        <v>12448</v>
      </c>
      <c r="Y998" s="62" t="s">
        <v>12449</v>
      </c>
      <c r="Z998" s="62" t="s">
        <v>12450</v>
      </c>
      <c r="AA998" s="62" t="s">
        <v>55627</v>
      </c>
      <c r="AB998" s="62" t="s">
        <v>12451</v>
      </c>
      <c r="AC998" s="62" t="s">
        <v>12452</v>
      </c>
      <c r="AD998" s="62" t="s">
        <v>12453</v>
      </c>
    </row>
    <row r="999" spans="1:30" x14ac:dyDescent="0.25">
      <c r="A999" s="62" t="s">
        <v>109</v>
      </c>
      <c r="C999" s="62" t="s">
        <v>12454</v>
      </c>
      <c r="F999" s="62" t="s">
        <v>2405</v>
      </c>
      <c r="G999" s="62" t="s">
        <v>55544</v>
      </c>
      <c r="J999" s="62" t="s">
        <v>12455</v>
      </c>
      <c r="K999" s="62" t="s">
        <v>55565</v>
      </c>
      <c r="L999" s="62" t="s">
        <v>12456</v>
      </c>
      <c r="M999" s="62" t="s">
        <v>12457</v>
      </c>
      <c r="N999" s="62" t="s">
        <v>12458</v>
      </c>
      <c r="O999" s="62" t="s">
        <v>12459</v>
      </c>
      <c r="P999" s="62" t="s">
        <v>55586</v>
      </c>
      <c r="Q999" s="62" t="s">
        <v>12460</v>
      </c>
      <c r="R999" s="62" t="s">
        <v>12461</v>
      </c>
      <c r="S999" s="62" t="s">
        <v>12462</v>
      </c>
      <c r="U999" s="62" t="s">
        <v>12463</v>
      </c>
      <c r="V999" s="62" t="s">
        <v>55607</v>
      </c>
      <c r="W999" s="62" t="s">
        <v>12464</v>
      </c>
      <c r="X999" s="62" t="s">
        <v>12465</v>
      </c>
      <c r="Y999" s="62" t="s">
        <v>12466</v>
      </c>
      <c r="Z999" s="62" t="s">
        <v>12467</v>
      </c>
      <c r="AA999" s="62" t="s">
        <v>55628</v>
      </c>
      <c r="AB999" s="62" t="s">
        <v>12468</v>
      </c>
      <c r="AC999" s="62" t="s">
        <v>12469</v>
      </c>
      <c r="AD999" s="62" t="s">
        <v>12470</v>
      </c>
    </row>
    <row r="1000" spans="1:30" x14ac:dyDescent="0.25">
      <c r="A1000" s="62" t="s">
        <v>109</v>
      </c>
      <c r="C1000" s="62" t="s">
        <v>12471</v>
      </c>
      <c r="F1000" s="62" t="s">
        <v>193</v>
      </c>
      <c r="G1000" s="62" t="s">
        <v>55545</v>
      </c>
      <c r="J1000" s="62" t="s">
        <v>12472</v>
      </c>
      <c r="K1000" s="62" t="s">
        <v>55566</v>
      </c>
      <c r="L1000" s="62" t="s">
        <v>12473</v>
      </c>
      <c r="M1000" s="62" t="s">
        <v>12474</v>
      </c>
      <c r="N1000" s="62" t="s">
        <v>12475</v>
      </c>
      <c r="O1000" s="62" t="s">
        <v>12476</v>
      </c>
      <c r="P1000" s="62" t="s">
        <v>55587</v>
      </c>
      <c r="Q1000" s="62" t="s">
        <v>12477</v>
      </c>
      <c r="R1000" s="62" t="s">
        <v>12478</v>
      </c>
      <c r="S1000" s="62" t="s">
        <v>12479</v>
      </c>
      <c r="U1000" s="62" t="s">
        <v>12480</v>
      </c>
      <c r="V1000" s="62" t="s">
        <v>55608</v>
      </c>
      <c r="W1000" s="62" t="s">
        <v>12481</v>
      </c>
      <c r="X1000" s="62" t="s">
        <v>12482</v>
      </c>
      <c r="Y1000" s="62" t="s">
        <v>12483</v>
      </c>
      <c r="Z1000" s="62" t="s">
        <v>12484</v>
      </c>
      <c r="AA1000" s="62" t="s">
        <v>55629</v>
      </c>
      <c r="AB1000" s="62" t="s">
        <v>12485</v>
      </c>
      <c r="AC1000" s="62" t="s">
        <v>12486</v>
      </c>
      <c r="AD1000" s="62" t="s">
        <v>12487</v>
      </c>
    </row>
    <row r="1001" spans="1:30" x14ac:dyDescent="0.25">
      <c r="A1001" s="62" t="s">
        <v>109</v>
      </c>
      <c r="C1001" s="62" t="s">
        <v>12488</v>
      </c>
      <c r="F1001" s="62" t="s">
        <v>2222</v>
      </c>
      <c r="G1001" s="62" t="s">
        <v>55546</v>
      </c>
      <c r="J1001" s="62" t="s">
        <v>12489</v>
      </c>
      <c r="K1001" s="62" t="s">
        <v>55567</v>
      </c>
      <c r="L1001" s="62" t="s">
        <v>12490</v>
      </c>
      <c r="M1001" s="62" t="s">
        <v>12491</v>
      </c>
      <c r="N1001" s="62" t="s">
        <v>12492</v>
      </c>
      <c r="O1001" s="62" t="s">
        <v>12493</v>
      </c>
      <c r="P1001" s="62" t="s">
        <v>55588</v>
      </c>
      <c r="Q1001" s="62" t="s">
        <v>12494</v>
      </c>
      <c r="R1001" s="62" t="s">
        <v>12495</v>
      </c>
      <c r="S1001" s="62" t="s">
        <v>12496</v>
      </c>
      <c r="U1001" s="62" t="s">
        <v>12497</v>
      </c>
      <c r="V1001" s="62" t="s">
        <v>55609</v>
      </c>
      <c r="W1001" s="62" t="s">
        <v>12498</v>
      </c>
      <c r="X1001" s="62" t="s">
        <v>12499</v>
      </c>
      <c r="Y1001" s="62" t="s">
        <v>12500</v>
      </c>
      <c r="Z1001" s="62" t="s">
        <v>12501</v>
      </c>
      <c r="AA1001" s="62" t="s">
        <v>55630</v>
      </c>
      <c r="AB1001" s="62" t="s">
        <v>12502</v>
      </c>
      <c r="AC1001" s="62" t="s">
        <v>12503</v>
      </c>
      <c r="AD1001" s="62" t="s">
        <v>12504</v>
      </c>
    </row>
    <row r="1002" spans="1:30" x14ac:dyDescent="0.25">
      <c r="A1002" s="62" t="s">
        <v>109</v>
      </c>
      <c r="C1002" s="62" t="s">
        <v>12505</v>
      </c>
      <c r="F1002" s="62" t="s">
        <v>210</v>
      </c>
      <c r="G1002" s="62" t="s">
        <v>55547</v>
      </c>
      <c r="J1002" s="62" t="s">
        <v>12506</v>
      </c>
      <c r="K1002" s="62" t="s">
        <v>55568</v>
      </c>
      <c r="L1002" s="62" t="s">
        <v>12507</v>
      </c>
      <c r="M1002" s="62" t="s">
        <v>12508</v>
      </c>
      <c r="N1002" s="62" t="s">
        <v>12509</v>
      </c>
      <c r="O1002" s="62" t="s">
        <v>12510</v>
      </c>
      <c r="P1002" s="62" t="s">
        <v>55589</v>
      </c>
      <c r="Q1002" s="62" t="s">
        <v>12511</v>
      </c>
      <c r="R1002" s="62" t="s">
        <v>12512</v>
      </c>
      <c r="S1002" s="62" t="s">
        <v>12513</v>
      </c>
      <c r="U1002" s="62" t="s">
        <v>12514</v>
      </c>
      <c r="V1002" s="62" t="s">
        <v>55610</v>
      </c>
      <c r="W1002" s="62" t="s">
        <v>12515</v>
      </c>
      <c r="X1002" s="62" t="s">
        <v>12516</v>
      </c>
      <c r="Y1002" s="62" t="s">
        <v>12517</v>
      </c>
      <c r="Z1002" s="62" t="s">
        <v>12518</v>
      </c>
      <c r="AA1002" s="62" t="s">
        <v>55631</v>
      </c>
      <c r="AB1002" s="62" t="s">
        <v>12519</v>
      </c>
      <c r="AC1002" s="62" t="s">
        <v>12520</v>
      </c>
      <c r="AD1002" s="62" t="s">
        <v>12521</v>
      </c>
    </row>
    <row r="1003" spans="1:30" x14ac:dyDescent="0.25">
      <c r="A1003" s="62" t="s">
        <v>109</v>
      </c>
      <c r="C1003" s="62" t="s">
        <v>12522</v>
      </c>
      <c r="F1003" s="62" t="s">
        <v>237</v>
      </c>
      <c r="G1003" s="62" t="s">
        <v>55548</v>
      </c>
      <c r="J1003" s="62" t="s">
        <v>12523</v>
      </c>
      <c r="K1003" s="62" t="s">
        <v>55569</v>
      </c>
      <c r="L1003" s="62" t="s">
        <v>12524</v>
      </c>
      <c r="M1003" s="62" t="s">
        <v>12525</v>
      </c>
      <c r="N1003" s="62" t="s">
        <v>12526</v>
      </c>
      <c r="O1003" s="62" t="s">
        <v>12527</v>
      </c>
      <c r="P1003" s="62" t="s">
        <v>55590</v>
      </c>
      <c r="Q1003" s="62" t="s">
        <v>12528</v>
      </c>
      <c r="R1003" s="62" t="s">
        <v>12529</v>
      </c>
      <c r="S1003" s="62" t="s">
        <v>12530</v>
      </c>
      <c r="U1003" s="62" t="s">
        <v>12531</v>
      </c>
      <c r="V1003" s="62" t="s">
        <v>55611</v>
      </c>
      <c r="W1003" s="62" t="s">
        <v>12532</v>
      </c>
      <c r="X1003" s="62" t="s">
        <v>12533</v>
      </c>
      <c r="Y1003" s="62" t="s">
        <v>12534</v>
      </c>
      <c r="Z1003" s="62" t="s">
        <v>12535</v>
      </c>
      <c r="AA1003" s="62" t="s">
        <v>55632</v>
      </c>
      <c r="AB1003" s="62" t="s">
        <v>12536</v>
      </c>
      <c r="AC1003" s="62" t="s">
        <v>12537</v>
      </c>
      <c r="AD1003" s="62" t="s">
        <v>12538</v>
      </c>
    </row>
    <row r="1004" spans="1:30" x14ac:dyDescent="0.25">
      <c r="A1004" s="62" t="s">
        <v>109</v>
      </c>
      <c r="C1004" s="62" t="s">
        <v>12539</v>
      </c>
      <c r="F1004" s="62" t="s">
        <v>3799</v>
      </c>
      <c r="G1004" s="62" t="s">
        <v>55549</v>
      </c>
      <c r="J1004" s="62" t="s">
        <v>12540</v>
      </c>
      <c r="K1004" s="62" t="s">
        <v>55570</v>
      </c>
      <c r="L1004" s="62" t="s">
        <v>12541</v>
      </c>
      <c r="M1004" s="62" t="s">
        <v>12542</v>
      </c>
      <c r="N1004" s="62" t="s">
        <v>12543</v>
      </c>
      <c r="O1004" s="62" t="s">
        <v>12544</v>
      </c>
      <c r="P1004" s="62" t="s">
        <v>55591</v>
      </c>
      <c r="Q1004" s="62" t="s">
        <v>12545</v>
      </c>
      <c r="R1004" s="62" t="s">
        <v>12546</v>
      </c>
      <c r="S1004" s="62" t="s">
        <v>12547</v>
      </c>
      <c r="U1004" s="62" t="s">
        <v>12548</v>
      </c>
      <c r="V1004" s="62" t="s">
        <v>55612</v>
      </c>
      <c r="W1004" s="62" t="s">
        <v>12549</v>
      </c>
      <c r="X1004" s="62" t="s">
        <v>12550</v>
      </c>
      <c r="Y1004" s="62" t="s">
        <v>12551</v>
      </c>
      <c r="Z1004" s="62" t="s">
        <v>12552</v>
      </c>
      <c r="AA1004" s="62" t="s">
        <v>55633</v>
      </c>
      <c r="AB1004" s="62" t="s">
        <v>12553</v>
      </c>
      <c r="AC1004" s="62" t="s">
        <v>12554</v>
      </c>
      <c r="AD1004" s="62" t="s">
        <v>12555</v>
      </c>
    </row>
    <row r="1005" spans="1:30" x14ac:dyDescent="0.25">
      <c r="A1005" s="62" t="s">
        <v>109</v>
      </c>
      <c r="C1005" s="62" t="s">
        <v>42003</v>
      </c>
      <c r="F1005" s="62" t="s">
        <v>2297</v>
      </c>
      <c r="G1005" s="62" t="s">
        <v>55550</v>
      </c>
      <c r="J1005" s="62" t="s">
        <v>42004</v>
      </c>
      <c r="K1005" s="62" t="s">
        <v>55571</v>
      </c>
      <c r="L1005" s="62" t="s">
        <v>42005</v>
      </c>
      <c r="M1005" s="62" t="s">
        <v>42006</v>
      </c>
      <c r="N1005" s="62" t="s">
        <v>42007</v>
      </c>
      <c r="O1005" s="62" t="s">
        <v>42008</v>
      </c>
      <c r="P1005" s="62" t="s">
        <v>55592</v>
      </c>
      <c r="Q1005" s="62" t="s">
        <v>42009</v>
      </c>
      <c r="R1005" s="62" t="s">
        <v>42010</v>
      </c>
      <c r="S1005" s="62" t="s">
        <v>42011</v>
      </c>
      <c r="U1005" s="62" t="s">
        <v>42012</v>
      </c>
      <c r="V1005" s="62" t="s">
        <v>55613</v>
      </c>
      <c r="W1005" s="62" t="s">
        <v>42013</v>
      </c>
      <c r="X1005" s="62" t="s">
        <v>42014</v>
      </c>
      <c r="Y1005" s="62" t="s">
        <v>42015</v>
      </c>
      <c r="Z1005" s="62" t="s">
        <v>42016</v>
      </c>
      <c r="AA1005" s="62" t="s">
        <v>55634</v>
      </c>
      <c r="AB1005" s="62" t="s">
        <v>42017</v>
      </c>
      <c r="AC1005" s="62" t="s">
        <v>42018</v>
      </c>
      <c r="AD1005" s="62" t="s">
        <v>42019</v>
      </c>
    </row>
    <row r="1006" spans="1:30" x14ac:dyDescent="0.25">
      <c r="A1006" s="62" t="s">
        <v>109</v>
      </c>
      <c r="C1006" s="62" t="s">
        <v>12556</v>
      </c>
      <c r="F1006" s="62" t="s">
        <v>2309</v>
      </c>
      <c r="G1006" s="62" t="s">
        <v>55551</v>
      </c>
      <c r="J1006" s="62" t="s">
        <v>42020</v>
      </c>
      <c r="K1006" s="62" t="s">
        <v>55572</v>
      </c>
      <c r="L1006" s="62" t="s">
        <v>42021</v>
      </c>
      <c r="M1006" s="62" t="s">
        <v>12557</v>
      </c>
      <c r="N1006" s="62" t="s">
        <v>12558</v>
      </c>
      <c r="O1006" s="62" t="s">
        <v>42022</v>
      </c>
      <c r="P1006" s="62" t="s">
        <v>55593</v>
      </c>
      <c r="Q1006" s="62" t="s">
        <v>42023</v>
      </c>
      <c r="R1006" s="62" t="s">
        <v>12559</v>
      </c>
      <c r="S1006" s="62" t="s">
        <v>12560</v>
      </c>
      <c r="U1006" s="62" t="s">
        <v>42024</v>
      </c>
      <c r="V1006" s="62" t="s">
        <v>55614</v>
      </c>
      <c r="W1006" s="62" t="s">
        <v>42025</v>
      </c>
      <c r="X1006" s="62" t="s">
        <v>12561</v>
      </c>
      <c r="Y1006" s="62" t="s">
        <v>12562</v>
      </c>
      <c r="Z1006" s="62" t="s">
        <v>42026</v>
      </c>
      <c r="AA1006" s="62" t="s">
        <v>55635</v>
      </c>
      <c r="AB1006" s="62" t="s">
        <v>42027</v>
      </c>
      <c r="AC1006" s="62" t="s">
        <v>12563</v>
      </c>
      <c r="AD1006" s="62" t="s">
        <v>12564</v>
      </c>
    </row>
    <row r="1007" spans="1:30" x14ac:dyDescent="0.25">
      <c r="A1007" s="62" t="s">
        <v>109</v>
      </c>
      <c r="C1007" s="62" t="s">
        <v>42028</v>
      </c>
      <c r="F1007" s="62" t="s">
        <v>4942</v>
      </c>
      <c r="G1007" s="62" t="s">
        <v>55552</v>
      </c>
      <c r="J1007" s="62" t="s">
        <v>42029</v>
      </c>
      <c r="K1007" s="62" t="s">
        <v>55573</v>
      </c>
      <c r="L1007" s="62" t="s">
        <v>42030</v>
      </c>
      <c r="M1007" s="62" t="s">
        <v>42031</v>
      </c>
      <c r="N1007" s="62" t="s">
        <v>42032</v>
      </c>
      <c r="O1007" s="62" t="s">
        <v>42033</v>
      </c>
      <c r="P1007" s="62" t="s">
        <v>55594</v>
      </c>
      <c r="Q1007" s="62" t="s">
        <v>42034</v>
      </c>
      <c r="R1007" s="62" t="s">
        <v>42035</v>
      </c>
      <c r="S1007" s="62" t="s">
        <v>42036</v>
      </c>
      <c r="U1007" s="62" t="s">
        <v>42037</v>
      </c>
      <c r="V1007" s="62" t="s">
        <v>55615</v>
      </c>
      <c r="W1007" s="62" t="s">
        <v>42038</v>
      </c>
      <c r="X1007" s="62" t="s">
        <v>42039</v>
      </c>
      <c r="Y1007" s="62" t="s">
        <v>42040</v>
      </c>
      <c r="Z1007" s="62" t="s">
        <v>42041</v>
      </c>
      <c r="AA1007" s="62" t="s">
        <v>55636</v>
      </c>
      <c r="AB1007" s="62" t="s">
        <v>42042</v>
      </c>
      <c r="AC1007" s="62" t="s">
        <v>42043</v>
      </c>
      <c r="AD1007" s="62" t="s">
        <v>42044</v>
      </c>
    </row>
    <row r="1008" spans="1:30" x14ac:dyDescent="0.25">
      <c r="A1008" s="62" t="s">
        <v>109</v>
      </c>
      <c r="C1008" s="62" t="s">
        <v>42045</v>
      </c>
      <c r="F1008" s="62" t="s">
        <v>2464</v>
      </c>
      <c r="G1008" s="62" t="s">
        <v>55553</v>
      </c>
      <c r="J1008" s="62" t="s">
        <v>42046</v>
      </c>
      <c r="K1008" s="62" t="s">
        <v>55574</v>
      </c>
      <c r="L1008" s="62" t="s">
        <v>42047</v>
      </c>
      <c r="M1008" s="62" t="s">
        <v>42048</v>
      </c>
      <c r="N1008" s="62" t="s">
        <v>42049</v>
      </c>
      <c r="O1008" s="62" t="s">
        <v>42050</v>
      </c>
      <c r="P1008" s="62" t="s">
        <v>55595</v>
      </c>
      <c r="Q1008" s="62" t="s">
        <v>42051</v>
      </c>
      <c r="R1008" s="62" t="s">
        <v>42052</v>
      </c>
      <c r="S1008" s="62" t="s">
        <v>42053</v>
      </c>
      <c r="U1008" s="62" t="s">
        <v>42054</v>
      </c>
      <c r="V1008" s="62" t="s">
        <v>55616</v>
      </c>
      <c r="W1008" s="62" t="s">
        <v>42055</v>
      </c>
      <c r="X1008" s="62" t="s">
        <v>42056</v>
      </c>
      <c r="Y1008" s="62" t="s">
        <v>42057</v>
      </c>
      <c r="Z1008" s="62" t="s">
        <v>42058</v>
      </c>
      <c r="AA1008" s="62" t="s">
        <v>55637</v>
      </c>
      <c r="AB1008" s="62" t="s">
        <v>42059</v>
      </c>
      <c r="AC1008" s="62" t="s">
        <v>42060</v>
      </c>
      <c r="AD1008" s="62" t="s">
        <v>42061</v>
      </c>
    </row>
    <row r="1009" spans="1:30" x14ac:dyDescent="0.25">
      <c r="A1009" s="62" t="s">
        <v>109</v>
      </c>
      <c r="C1009" s="62" t="s">
        <v>12565</v>
      </c>
      <c r="F1009" s="62" t="s">
        <v>2311</v>
      </c>
      <c r="G1009" s="62" t="s">
        <v>55554</v>
      </c>
      <c r="J1009" s="62" t="s">
        <v>42062</v>
      </c>
      <c r="K1009" s="62" t="s">
        <v>55575</v>
      </c>
      <c r="L1009" s="62" t="s">
        <v>42063</v>
      </c>
      <c r="M1009" s="62" t="s">
        <v>42064</v>
      </c>
      <c r="N1009" s="62" t="s">
        <v>42065</v>
      </c>
      <c r="O1009" s="62" t="s">
        <v>42066</v>
      </c>
      <c r="P1009" s="62" t="s">
        <v>55596</v>
      </c>
      <c r="Q1009" s="62" t="s">
        <v>42067</v>
      </c>
      <c r="R1009" s="62" t="s">
        <v>42068</v>
      </c>
      <c r="S1009" s="62" t="s">
        <v>42069</v>
      </c>
      <c r="U1009" s="62" t="s">
        <v>42070</v>
      </c>
      <c r="V1009" s="62" t="s">
        <v>55617</v>
      </c>
      <c r="W1009" s="62" t="s">
        <v>42071</v>
      </c>
      <c r="X1009" s="62" t="s">
        <v>42072</v>
      </c>
      <c r="Y1009" s="62" t="s">
        <v>42073</v>
      </c>
      <c r="Z1009" s="62" t="s">
        <v>42074</v>
      </c>
      <c r="AA1009" s="62" t="s">
        <v>55638</v>
      </c>
      <c r="AB1009" s="62" t="s">
        <v>42075</v>
      </c>
      <c r="AC1009" s="62" t="s">
        <v>42076</v>
      </c>
      <c r="AD1009" s="62" t="s">
        <v>42077</v>
      </c>
    </row>
    <row r="1010" spans="1:30" x14ac:dyDescent="0.25">
      <c r="A1010" s="62" t="s">
        <v>109</v>
      </c>
      <c r="C1010" s="62" t="s">
        <v>12566</v>
      </c>
      <c r="F1010" s="62" t="s">
        <v>2481</v>
      </c>
      <c r="G1010" s="62" t="s">
        <v>55555</v>
      </c>
      <c r="J1010" s="62" t="s">
        <v>12567</v>
      </c>
      <c r="K1010" s="62" t="s">
        <v>55576</v>
      </c>
      <c r="L1010" s="62" t="s">
        <v>12568</v>
      </c>
      <c r="M1010" s="62" t="s">
        <v>12569</v>
      </c>
      <c r="N1010" s="62" t="s">
        <v>12570</v>
      </c>
      <c r="O1010" s="62" t="s">
        <v>12571</v>
      </c>
      <c r="P1010" s="62" t="s">
        <v>55597</v>
      </c>
      <c r="Q1010" s="62" t="s">
        <v>12572</v>
      </c>
      <c r="R1010" s="62" t="s">
        <v>12573</v>
      </c>
      <c r="S1010" s="62" t="s">
        <v>12574</v>
      </c>
      <c r="U1010" s="62" t="s">
        <v>12575</v>
      </c>
      <c r="V1010" s="62" t="s">
        <v>55618</v>
      </c>
      <c r="W1010" s="62" t="s">
        <v>12576</v>
      </c>
      <c r="X1010" s="62" t="s">
        <v>12577</v>
      </c>
      <c r="Y1010" s="62" t="s">
        <v>12578</v>
      </c>
      <c r="Z1010" s="62" t="s">
        <v>12579</v>
      </c>
      <c r="AA1010" s="62" t="s">
        <v>55639</v>
      </c>
      <c r="AB1010" s="62" t="s">
        <v>12580</v>
      </c>
      <c r="AC1010" s="62" t="s">
        <v>12581</v>
      </c>
      <c r="AD1010" s="62" t="s">
        <v>12582</v>
      </c>
    </row>
    <row r="1011" spans="1:30" x14ac:dyDescent="0.25">
      <c r="A1011" s="62" t="s">
        <v>109</v>
      </c>
      <c r="C1011" s="62" t="s">
        <v>12583</v>
      </c>
      <c r="F1011" s="62" t="s">
        <v>1100</v>
      </c>
      <c r="G1011" s="62" t="s">
        <v>55556</v>
      </c>
      <c r="J1011" s="62" t="s">
        <v>12584</v>
      </c>
      <c r="K1011" s="62" t="s">
        <v>55577</v>
      </c>
      <c r="L1011" s="62" t="s">
        <v>12585</v>
      </c>
      <c r="M1011" s="62" t="s">
        <v>12586</v>
      </c>
      <c r="N1011" s="62" t="s">
        <v>12587</v>
      </c>
      <c r="O1011" s="62" t="s">
        <v>12588</v>
      </c>
      <c r="P1011" s="62" t="s">
        <v>55598</v>
      </c>
      <c r="Q1011" s="62" t="s">
        <v>12589</v>
      </c>
      <c r="R1011" s="62" t="s">
        <v>12590</v>
      </c>
      <c r="S1011" s="62" t="s">
        <v>12591</v>
      </c>
      <c r="U1011" s="62" t="s">
        <v>12592</v>
      </c>
      <c r="V1011" s="62" t="s">
        <v>55619</v>
      </c>
      <c r="W1011" s="62" t="s">
        <v>12593</v>
      </c>
      <c r="X1011" s="62" t="s">
        <v>12594</v>
      </c>
      <c r="Y1011" s="62" t="s">
        <v>12595</v>
      </c>
      <c r="Z1011" s="62" t="s">
        <v>12596</v>
      </c>
      <c r="AA1011" s="62" t="s">
        <v>55640</v>
      </c>
      <c r="AB1011" s="62" t="s">
        <v>12597</v>
      </c>
      <c r="AC1011" s="62" t="s">
        <v>12598</v>
      </c>
      <c r="AD1011" s="62" t="s">
        <v>12599</v>
      </c>
    </row>
    <row r="1012" spans="1:30" x14ac:dyDescent="0.25">
      <c r="A1012" s="62" t="s">
        <v>109</v>
      </c>
      <c r="C1012" s="62" t="s">
        <v>12600</v>
      </c>
      <c r="F1012" s="62" t="s">
        <v>3237</v>
      </c>
      <c r="G1012" s="62" t="s">
        <v>55557</v>
      </c>
      <c r="J1012" s="62" t="s">
        <v>12601</v>
      </c>
      <c r="K1012" s="62" t="s">
        <v>55578</v>
      </c>
      <c r="L1012" s="62" t="s">
        <v>12602</v>
      </c>
      <c r="M1012" s="62" t="s">
        <v>12603</v>
      </c>
      <c r="N1012" s="62" t="s">
        <v>12604</v>
      </c>
      <c r="O1012" s="62" t="s">
        <v>12605</v>
      </c>
      <c r="P1012" s="62" t="s">
        <v>55599</v>
      </c>
      <c r="Q1012" s="62" t="s">
        <v>12606</v>
      </c>
      <c r="R1012" s="62" t="s">
        <v>12607</v>
      </c>
      <c r="S1012" s="62" t="s">
        <v>12608</v>
      </c>
      <c r="U1012" s="62" t="s">
        <v>12609</v>
      </c>
      <c r="V1012" s="62" t="s">
        <v>55620</v>
      </c>
      <c r="W1012" s="62" t="s">
        <v>12610</v>
      </c>
      <c r="X1012" s="62" t="s">
        <v>12611</v>
      </c>
      <c r="Y1012" s="62" t="s">
        <v>12612</v>
      </c>
      <c r="Z1012" s="62" t="s">
        <v>12613</v>
      </c>
      <c r="AA1012" s="62" t="s">
        <v>55641</v>
      </c>
      <c r="AB1012" s="62" t="s">
        <v>12614</v>
      </c>
      <c r="AC1012" s="62" t="s">
        <v>12615</v>
      </c>
      <c r="AD1012" s="62" t="s">
        <v>12616</v>
      </c>
    </row>
    <row r="1013" spans="1:30" x14ac:dyDescent="0.25">
      <c r="A1013" s="62" t="s">
        <v>109</v>
      </c>
      <c r="C1013" s="62" t="s">
        <v>12352</v>
      </c>
    </row>
    <row r="1014" spans="1:30" x14ac:dyDescent="0.25">
      <c r="A1014" s="62" t="s">
        <v>109</v>
      </c>
      <c r="C1014" s="62" t="s">
        <v>12617</v>
      </c>
      <c r="G1014" s="62" t="s">
        <v>42078</v>
      </c>
      <c r="J1014" s="62" t="s">
        <v>42079</v>
      </c>
      <c r="K1014" s="62" t="s">
        <v>42080</v>
      </c>
      <c r="L1014" s="62" t="s">
        <v>42081</v>
      </c>
      <c r="M1014" s="62" t="s">
        <v>12618</v>
      </c>
      <c r="N1014" s="62" t="s">
        <v>12619</v>
      </c>
      <c r="O1014" s="62" t="s">
        <v>42082</v>
      </c>
      <c r="P1014" s="62" t="s">
        <v>42083</v>
      </c>
      <c r="Q1014" s="62" t="s">
        <v>42084</v>
      </c>
      <c r="R1014" s="62" t="s">
        <v>12620</v>
      </c>
      <c r="S1014" s="62" t="s">
        <v>12621</v>
      </c>
      <c r="U1014" s="62" t="s">
        <v>42085</v>
      </c>
      <c r="V1014" s="62" t="s">
        <v>42086</v>
      </c>
      <c r="W1014" s="62" t="s">
        <v>42087</v>
      </c>
      <c r="X1014" s="62" t="s">
        <v>12622</v>
      </c>
      <c r="Y1014" s="62" t="s">
        <v>12623</v>
      </c>
      <c r="Z1014" s="62" t="s">
        <v>42088</v>
      </c>
      <c r="AA1014" s="62" t="s">
        <v>42089</v>
      </c>
      <c r="AB1014" s="62" t="s">
        <v>42090</v>
      </c>
      <c r="AC1014" s="62" t="s">
        <v>12624</v>
      </c>
      <c r="AD1014" s="62" t="s">
        <v>12625</v>
      </c>
    </row>
    <row r="1015" spans="1:30" x14ac:dyDescent="0.25">
      <c r="A1015" s="62" t="s">
        <v>109</v>
      </c>
    </row>
    <row r="1016" spans="1:30" x14ac:dyDescent="0.25">
      <c r="A1016" s="62" t="s">
        <v>109</v>
      </c>
      <c r="C1016" s="62" t="s">
        <v>42091</v>
      </c>
      <c r="E1016" s="62" t="s">
        <v>374</v>
      </c>
      <c r="G1016" s="62" t="s">
        <v>42092</v>
      </c>
    </row>
    <row r="1017" spans="1:30" x14ac:dyDescent="0.25">
      <c r="A1017" s="62" t="s">
        <v>109</v>
      </c>
      <c r="C1017" s="62" t="s">
        <v>12626</v>
      </c>
    </row>
    <row r="1018" spans="1:30" x14ac:dyDescent="0.25">
      <c r="A1018" s="62" t="s">
        <v>109</v>
      </c>
      <c r="C1018" s="62" t="s">
        <v>12627</v>
      </c>
      <c r="F1018" s="62" t="s">
        <v>42093</v>
      </c>
      <c r="G1018" s="62" t="s">
        <v>55337</v>
      </c>
      <c r="J1018" s="62" t="s">
        <v>12628</v>
      </c>
      <c r="K1018" s="62" t="s">
        <v>55377</v>
      </c>
      <c r="L1018" s="62" t="s">
        <v>12629</v>
      </c>
      <c r="M1018" s="62" t="s">
        <v>12630</v>
      </c>
      <c r="N1018" s="62" t="s">
        <v>12631</v>
      </c>
      <c r="O1018" s="62" t="s">
        <v>12632</v>
      </c>
      <c r="P1018" s="62" t="s">
        <v>55417</v>
      </c>
      <c r="Q1018" s="62" t="s">
        <v>12633</v>
      </c>
      <c r="R1018" s="62" t="s">
        <v>12634</v>
      </c>
      <c r="S1018" s="62" t="s">
        <v>12635</v>
      </c>
      <c r="U1018" s="62" t="s">
        <v>12636</v>
      </c>
      <c r="V1018" s="62" t="s">
        <v>55457</v>
      </c>
      <c r="W1018" s="62" t="s">
        <v>12637</v>
      </c>
      <c r="X1018" s="62" t="s">
        <v>12638</v>
      </c>
      <c r="Y1018" s="62" t="s">
        <v>12639</v>
      </c>
      <c r="Z1018" s="62" t="s">
        <v>12640</v>
      </c>
      <c r="AA1018" s="62" t="s">
        <v>55497</v>
      </c>
      <c r="AB1018" s="62" t="s">
        <v>12641</v>
      </c>
      <c r="AC1018" s="62" t="s">
        <v>12642</v>
      </c>
      <c r="AD1018" s="62" t="s">
        <v>12643</v>
      </c>
    </row>
    <row r="1019" spans="1:30" x14ac:dyDescent="0.25">
      <c r="A1019" s="62" t="s">
        <v>109</v>
      </c>
      <c r="C1019" s="62" t="s">
        <v>12644</v>
      </c>
      <c r="F1019" s="62" t="s">
        <v>748</v>
      </c>
      <c r="G1019" s="62" t="s">
        <v>55338</v>
      </c>
      <c r="J1019" s="62" t="s">
        <v>12645</v>
      </c>
      <c r="K1019" s="62" t="s">
        <v>55378</v>
      </c>
      <c r="L1019" s="62" t="s">
        <v>12646</v>
      </c>
      <c r="M1019" s="62" t="s">
        <v>12647</v>
      </c>
      <c r="N1019" s="62" t="s">
        <v>12648</v>
      </c>
      <c r="O1019" s="62" t="s">
        <v>12649</v>
      </c>
      <c r="P1019" s="62" t="s">
        <v>55418</v>
      </c>
      <c r="Q1019" s="62" t="s">
        <v>12650</v>
      </c>
      <c r="R1019" s="62" t="s">
        <v>12651</v>
      </c>
      <c r="S1019" s="62" t="s">
        <v>12652</v>
      </c>
      <c r="U1019" s="62" t="s">
        <v>12653</v>
      </c>
      <c r="V1019" s="62" t="s">
        <v>55458</v>
      </c>
      <c r="W1019" s="62" t="s">
        <v>12654</v>
      </c>
      <c r="X1019" s="62" t="s">
        <v>12655</v>
      </c>
      <c r="Y1019" s="62" t="s">
        <v>12656</v>
      </c>
      <c r="Z1019" s="62" t="s">
        <v>12657</v>
      </c>
      <c r="AA1019" s="62" t="s">
        <v>55498</v>
      </c>
      <c r="AB1019" s="62" t="s">
        <v>12658</v>
      </c>
      <c r="AC1019" s="62" t="s">
        <v>12659</v>
      </c>
      <c r="AD1019" s="62" t="s">
        <v>12660</v>
      </c>
    </row>
    <row r="1020" spans="1:30" x14ac:dyDescent="0.25">
      <c r="A1020" s="62" t="s">
        <v>109</v>
      </c>
      <c r="C1020" s="62" t="s">
        <v>12661</v>
      </c>
      <c r="F1020" s="62" t="s">
        <v>758</v>
      </c>
      <c r="G1020" s="62" t="s">
        <v>55339</v>
      </c>
      <c r="J1020" s="62" t="s">
        <v>12662</v>
      </c>
      <c r="K1020" s="62" t="s">
        <v>55379</v>
      </c>
      <c r="L1020" s="62" t="s">
        <v>12663</v>
      </c>
      <c r="M1020" s="62" t="s">
        <v>12664</v>
      </c>
      <c r="N1020" s="62" t="s">
        <v>12665</v>
      </c>
      <c r="O1020" s="62" t="s">
        <v>12666</v>
      </c>
      <c r="P1020" s="62" t="s">
        <v>55419</v>
      </c>
      <c r="Q1020" s="62" t="s">
        <v>12667</v>
      </c>
      <c r="R1020" s="62" t="s">
        <v>12668</v>
      </c>
      <c r="S1020" s="62" t="s">
        <v>12669</v>
      </c>
      <c r="U1020" s="62" t="s">
        <v>12670</v>
      </c>
      <c r="V1020" s="62" t="s">
        <v>55459</v>
      </c>
      <c r="W1020" s="62" t="s">
        <v>12671</v>
      </c>
      <c r="X1020" s="62" t="s">
        <v>12672</v>
      </c>
      <c r="Y1020" s="62" t="s">
        <v>12673</v>
      </c>
      <c r="Z1020" s="62" t="s">
        <v>12674</v>
      </c>
      <c r="AA1020" s="62" t="s">
        <v>55499</v>
      </c>
      <c r="AB1020" s="62" t="s">
        <v>12675</v>
      </c>
      <c r="AC1020" s="62" t="s">
        <v>12676</v>
      </c>
      <c r="AD1020" s="62" t="s">
        <v>12677</v>
      </c>
    </row>
    <row r="1021" spans="1:30" x14ac:dyDescent="0.25">
      <c r="A1021" s="62" t="s">
        <v>109</v>
      </c>
      <c r="C1021" s="62" t="s">
        <v>12678</v>
      </c>
      <c r="F1021" s="62" t="s">
        <v>1359</v>
      </c>
      <c r="G1021" s="62" t="s">
        <v>55340</v>
      </c>
      <c r="J1021" s="62" t="s">
        <v>12679</v>
      </c>
      <c r="K1021" s="62" t="s">
        <v>55380</v>
      </c>
      <c r="L1021" s="62" t="s">
        <v>12680</v>
      </c>
      <c r="M1021" s="62" t="s">
        <v>12681</v>
      </c>
      <c r="N1021" s="62" t="s">
        <v>12682</v>
      </c>
      <c r="O1021" s="62" t="s">
        <v>12683</v>
      </c>
      <c r="P1021" s="62" t="s">
        <v>55420</v>
      </c>
      <c r="Q1021" s="62" t="s">
        <v>12684</v>
      </c>
      <c r="R1021" s="62" t="s">
        <v>12685</v>
      </c>
      <c r="S1021" s="62" t="s">
        <v>12686</v>
      </c>
      <c r="U1021" s="62" t="s">
        <v>12687</v>
      </c>
      <c r="V1021" s="62" t="s">
        <v>55460</v>
      </c>
      <c r="W1021" s="62" t="s">
        <v>12688</v>
      </c>
      <c r="X1021" s="62" t="s">
        <v>12689</v>
      </c>
      <c r="Y1021" s="62" t="s">
        <v>12690</v>
      </c>
      <c r="Z1021" s="62" t="s">
        <v>12691</v>
      </c>
      <c r="AA1021" s="62" t="s">
        <v>55500</v>
      </c>
      <c r="AB1021" s="62" t="s">
        <v>12692</v>
      </c>
      <c r="AC1021" s="62" t="s">
        <v>12693</v>
      </c>
      <c r="AD1021" s="62" t="s">
        <v>12694</v>
      </c>
    </row>
    <row r="1022" spans="1:30" x14ac:dyDescent="0.25">
      <c r="A1022" s="62" t="s">
        <v>109</v>
      </c>
      <c r="C1022" s="62" t="s">
        <v>42094</v>
      </c>
      <c r="F1022" s="62" t="s">
        <v>785</v>
      </c>
      <c r="G1022" s="62" t="s">
        <v>55341</v>
      </c>
      <c r="J1022" s="62" t="s">
        <v>42095</v>
      </c>
      <c r="K1022" s="62" t="s">
        <v>55381</v>
      </c>
      <c r="L1022" s="62" t="s">
        <v>42096</v>
      </c>
      <c r="M1022" s="62" t="s">
        <v>42097</v>
      </c>
      <c r="N1022" s="62" t="s">
        <v>42098</v>
      </c>
      <c r="O1022" s="62" t="s">
        <v>42099</v>
      </c>
      <c r="P1022" s="62" t="s">
        <v>55421</v>
      </c>
      <c r="Q1022" s="62" t="s">
        <v>42100</v>
      </c>
      <c r="R1022" s="62" t="s">
        <v>42101</v>
      </c>
      <c r="S1022" s="62" t="s">
        <v>42102</v>
      </c>
      <c r="U1022" s="62" t="s">
        <v>42103</v>
      </c>
      <c r="V1022" s="62" t="s">
        <v>55461</v>
      </c>
      <c r="W1022" s="62" t="s">
        <v>42104</v>
      </c>
      <c r="X1022" s="62" t="s">
        <v>42105</v>
      </c>
      <c r="Y1022" s="62" t="s">
        <v>42106</v>
      </c>
      <c r="Z1022" s="62" t="s">
        <v>42107</v>
      </c>
      <c r="AA1022" s="62" t="s">
        <v>55501</v>
      </c>
      <c r="AB1022" s="62" t="s">
        <v>42108</v>
      </c>
      <c r="AC1022" s="62" t="s">
        <v>42109</v>
      </c>
      <c r="AD1022" s="62" t="s">
        <v>42110</v>
      </c>
    </row>
    <row r="1023" spans="1:30" x14ac:dyDescent="0.25">
      <c r="A1023" s="62" t="s">
        <v>109</v>
      </c>
      <c r="C1023" s="62" t="s">
        <v>12695</v>
      </c>
      <c r="F1023" s="62" t="s">
        <v>159</v>
      </c>
      <c r="G1023" s="62" t="s">
        <v>55342</v>
      </c>
      <c r="J1023" s="62" t="s">
        <v>42111</v>
      </c>
      <c r="K1023" s="62" t="s">
        <v>55382</v>
      </c>
      <c r="L1023" s="62" t="s">
        <v>42112</v>
      </c>
      <c r="M1023" s="62" t="s">
        <v>12696</v>
      </c>
      <c r="N1023" s="62" t="s">
        <v>12697</v>
      </c>
      <c r="O1023" s="62" t="s">
        <v>42113</v>
      </c>
      <c r="P1023" s="62" t="s">
        <v>55422</v>
      </c>
      <c r="Q1023" s="62" t="s">
        <v>42114</v>
      </c>
      <c r="R1023" s="62" t="s">
        <v>12698</v>
      </c>
      <c r="S1023" s="62" t="s">
        <v>12699</v>
      </c>
      <c r="U1023" s="62" t="s">
        <v>42115</v>
      </c>
      <c r="V1023" s="62" t="s">
        <v>55462</v>
      </c>
      <c r="W1023" s="62" t="s">
        <v>42116</v>
      </c>
      <c r="X1023" s="62" t="s">
        <v>12700</v>
      </c>
      <c r="Y1023" s="62" t="s">
        <v>12701</v>
      </c>
      <c r="Z1023" s="62" t="s">
        <v>42117</v>
      </c>
      <c r="AA1023" s="62" t="s">
        <v>55502</v>
      </c>
      <c r="AB1023" s="62" t="s">
        <v>42118</v>
      </c>
      <c r="AC1023" s="62" t="s">
        <v>12702</v>
      </c>
      <c r="AD1023" s="62" t="s">
        <v>12703</v>
      </c>
    </row>
    <row r="1024" spans="1:30" x14ac:dyDescent="0.25">
      <c r="A1024" s="62" t="s">
        <v>109</v>
      </c>
      <c r="C1024" s="62" t="s">
        <v>42119</v>
      </c>
      <c r="F1024" s="62" t="s">
        <v>827</v>
      </c>
      <c r="G1024" s="62" t="s">
        <v>55343</v>
      </c>
      <c r="J1024" s="62" t="s">
        <v>42120</v>
      </c>
      <c r="K1024" s="62" t="s">
        <v>55383</v>
      </c>
      <c r="L1024" s="62" t="s">
        <v>42121</v>
      </c>
      <c r="M1024" s="62" t="s">
        <v>42122</v>
      </c>
      <c r="N1024" s="62" t="s">
        <v>42123</v>
      </c>
      <c r="O1024" s="62" t="s">
        <v>42124</v>
      </c>
      <c r="P1024" s="62" t="s">
        <v>55423</v>
      </c>
      <c r="Q1024" s="62" t="s">
        <v>42125</v>
      </c>
      <c r="R1024" s="62" t="s">
        <v>42126</v>
      </c>
      <c r="S1024" s="62" t="s">
        <v>42127</v>
      </c>
      <c r="U1024" s="62" t="s">
        <v>42128</v>
      </c>
      <c r="V1024" s="62" t="s">
        <v>55463</v>
      </c>
      <c r="W1024" s="62" t="s">
        <v>42129</v>
      </c>
      <c r="X1024" s="62" t="s">
        <v>42130</v>
      </c>
      <c r="Y1024" s="62" t="s">
        <v>42131</v>
      </c>
      <c r="Z1024" s="62" t="s">
        <v>42132</v>
      </c>
      <c r="AA1024" s="62" t="s">
        <v>55503</v>
      </c>
      <c r="AB1024" s="62" t="s">
        <v>42133</v>
      </c>
      <c r="AC1024" s="62" t="s">
        <v>42134</v>
      </c>
      <c r="AD1024" s="62" t="s">
        <v>42135</v>
      </c>
    </row>
    <row r="1025" spans="1:30" x14ac:dyDescent="0.25">
      <c r="A1025" s="62" t="s">
        <v>109</v>
      </c>
      <c r="C1025" s="62" t="s">
        <v>42136</v>
      </c>
      <c r="F1025" s="62" t="s">
        <v>855</v>
      </c>
      <c r="G1025" s="62" t="s">
        <v>55344</v>
      </c>
      <c r="J1025" s="62" t="s">
        <v>42137</v>
      </c>
      <c r="K1025" s="62" t="s">
        <v>55384</v>
      </c>
      <c r="L1025" s="62" t="s">
        <v>42138</v>
      </c>
      <c r="M1025" s="62" t="s">
        <v>42139</v>
      </c>
      <c r="N1025" s="62" t="s">
        <v>42140</v>
      </c>
      <c r="O1025" s="62" t="s">
        <v>42141</v>
      </c>
      <c r="P1025" s="62" t="s">
        <v>55424</v>
      </c>
      <c r="Q1025" s="62" t="s">
        <v>42142</v>
      </c>
      <c r="R1025" s="62" t="s">
        <v>42143</v>
      </c>
      <c r="S1025" s="62" t="s">
        <v>42144</v>
      </c>
      <c r="U1025" s="62" t="s">
        <v>42145</v>
      </c>
      <c r="V1025" s="62" t="s">
        <v>55464</v>
      </c>
      <c r="W1025" s="62" t="s">
        <v>42146</v>
      </c>
      <c r="X1025" s="62" t="s">
        <v>42147</v>
      </c>
      <c r="Y1025" s="62" t="s">
        <v>42148</v>
      </c>
      <c r="Z1025" s="62" t="s">
        <v>42149</v>
      </c>
      <c r="AA1025" s="62" t="s">
        <v>55504</v>
      </c>
      <c r="AB1025" s="62" t="s">
        <v>42150</v>
      </c>
      <c r="AC1025" s="62" t="s">
        <v>42151</v>
      </c>
      <c r="AD1025" s="62" t="s">
        <v>42152</v>
      </c>
    </row>
    <row r="1026" spans="1:30" x14ac:dyDescent="0.25">
      <c r="A1026" s="62" t="s">
        <v>109</v>
      </c>
      <c r="C1026" s="62" t="s">
        <v>12705</v>
      </c>
      <c r="F1026" s="62" t="s">
        <v>872</v>
      </c>
      <c r="G1026" s="62" t="s">
        <v>55345</v>
      </c>
      <c r="J1026" s="62" t="s">
        <v>42153</v>
      </c>
      <c r="K1026" s="62" t="s">
        <v>55385</v>
      </c>
      <c r="L1026" s="62" t="s">
        <v>42154</v>
      </c>
      <c r="M1026" s="62" t="s">
        <v>42155</v>
      </c>
      <c r="N1026" s="62" t="s">
        <v>42156</v>
      </c>
      <c r="O1026" s="62" t="s">
        <v>42157</v>
      </c>
      <c r="P1026" s="62" t="s">
        <v>55425</v>
      </c>
      <c r="Q1026" s="62" t="s">
        <v>42158</v>
      </c>
      <c r="R1026" s="62" t="s">
        <v>42159</v>
      </c>
      <c r="S1026" s="62" t="s">
        <v>42160</v>
      </c>
      <c r="U1026" s="62" t="s">
        <v>42161</v>
      </c>
      <c r="V1026" s="62" t="s">
        <v>55465</v>
      </c>
      <c r="W1026" s="62" t="s">
        <v>42162</v>
      </c>
      <c r="X1026" s="62" t="s">
        <v>42163</v>
      </c>
      <c r="Y1026" s="62" t="s">
        <v>42164</v>
      </c>
      <c r="Z1026" s="62" t="s">
        <v>42165</v>
      </c>
      <c r="AA1026" s="62" t="s">
        <v>55505</v>
      </c>
      <c r="AB1026" s="62" t="s">
        <v>42166</v>
      </c>
      <c r="AC1026" s="62" t="s">
        <v>42167</v>
      </c>
      <c r="AD1026" s="62" t="s">
        <v>42168</v>
      </c>
    </row>
    <row r="1027" spans="1:30" x14ac:dyDescent="0.25">
      <c r="A1027" s="62" t="s">
        <v>109</v>
      </c>
      <c r="C1027" s="62" t="s">
        <v>12706</v>
      </c>
      <c r="F1027" s="62" t="s">
        <v>889</v>
      </c>
      <c r="G1027" s="62" t="s">
        <v>55346</v>
      </c>
      <c r="J1027" s="62" t="s">
        <v>12707</v>
      </c>
      <c r="K1027" s="62" t="s">
        <v>55386</v>
      </c>
      <c r="L1027" s="62" t="s">
        <v>12708</v>
      </c>
      <c r="M1027" s="62" t="s">
        <v>12709</v>
      </c>
      <c r="N1027" s="62" t="s">
        <v>12710</v>
      </c>
      <c r="O1027" s="62" t="s">
        <v>12711</v>
      </c>
      <c r="P1027" s="62" t="s">
        <v>55426</v>
      </c>
      <c r="Q1027" s="62" t="s">
        <v>12712</v>
      </c>
      <c r="R1027" s="62" t="s">
        <v>12713</v>
      </c>
      <c r="S1027" s="62" t="s">
        <v>12714</v>
      </c>
      <c r="U1027" s="62" t="s">
        <v>12715</v>
      </c>
      <c r="V1027" s="62" t="s">
        <v>55466</v>
      </c>
      <c r="W1027" s="62" t="s">
        <v>12716</v>
      </c>
      <c r="X1027" s="62" t="s">
        <v>12717</v>
      </c>
      <c r="Y1027" s="62" t="s">
        <v>12718</v>
      </c>
      <c r="Z1027" s="62" t="s">
        <v>12719</v>
      </c>
      <c r="AA1027" s="62" t="s">
        <v>55506</v>
      </c>
      <c r="AB1027" s="62" t="s">
        <v>12720</v>
      </c>
      <c r="AC1027" s="62" t="s">
        <v>12721</v>
      </c>
      <c r="AD1027" s="62" t="s">
        <v>12722</v>
      </c>
    </row>
    <row r="1028" spans="1:30" x14ac:dyDescent="0.25">
      <c r="A1028" s="62" t="s">
        <v>109</v>
      </c>
      <c r="C1028" s="62" t="s">
        <v>12723</v>
      </c>
      <c r="F1028" s="62" t="s">
        <v>898</v>
      </c>
      <c r="G1028" s="62" t="s">
        <v>55347</v>
      </c>
      <c r="J1028" s="62" t="s">
        <v>12724</v>
      </c>
      <c r="K1028" s="62" t="s">
        <v>55387</v>
      </c>
      <c r="L1028" s="62" t="s">
        <v>12725</v>
      </c>
      <c r="M1028" s="62" t="s">
        <v>12726</v>
      </c>
      <c r="N1028" s="62" t="s">
        <v>12727</v>
      </c>
      <c r="O1028" s="62" t="s">
        <v>12728</v>
      </c>
      <c r="P1028" s="62" t="s">
        <v>55427</v>
      </c>
      <c r="Q1028" s="62" t="s">
        <v>12729</v>
      </c>
      <c r="R1028" s="62" t="s">
        <v>12730</v>
      </c>
      <c r="S1028" s="62" t="s">
        <v>12731</v>
      </c>
      <c r="U1028" s="62" t="s">
        <v>12732</v>
      </c>
      <c r="V1028" s="62" t="s">
        <v>55467</v>
      </c>
      <c r="W1028" s="62" t="s">
        <v>12733</v>
      </c>
      <c r="X1028" s="62" t="s">
        <v>12734</v>
      </c>
      <c r="Y1028" s="62" t="s">
        <v>12735</v>
      </c>
      <c r="Z1028" s="62" t="s">
        <v>12736</v>
      </c>
      <c r="AA1028" s="62" t="s">
        <v>55507</v>
      </c>
      <c r="AB1028" s="62" t="s">
        <v>12737</v>
      </c>
      <c r="AC1028" s="62" t="s">
        <v>12738</v>
      </c>
      <c r="AD1028" s="62" t="s">
        <v>12739</v>
      </c>
    </row>
    <row r="1029" spans="1:30" x14ac:dyDescent="0.25">
      <c r="A1029" s="62" t="s">
        <v>109</v>
      </c>
      <c r="C1029" s="62" t="s">
        <v>12740</v>
      </c>
      <c r="F1029" s="62" t="s">
        <v>915</v>
      </c>
      <c r="G1029" s="62" t="s">
        <v>55348</v>
      </c>
      <c r="J1029" s="62" t="s">
        <v>12741</v>
      </c>
      <c r="K1029" s="62" t="s">
        <v>55388</v>
      </c>
      <c r="L1029" s="62" t="s">
        <v>12742</v>
      </c>
      <c r="M1029" s="62" t="s">
        <v>12743</v>
      </c>
      <c r="N1029" s="62" t="s">
        <v>12744</v>
      </c>
      <c r="O1029" s="62" t="s">
        <v>12745</v>
      </c>
      <c r="P1029" s="62" t="s">
        <v>55428</v>
      </c>
      <c r="Q1029" s="62" t="s">
        <v>12746</v>
      </c>
      <c r="R1029" s="62" t="s">
        <v>12747</v>
      </c>
      <c r="S1029" s="62" t="s">
        <v>12748</v>
      </c>
      <c r="U1029" s="62" t="s">
        <v>12749</v>
      </c>
      <c r="V1029" s="62" t="s">
        <v>55468</v>
      </c>
      <c r="W1029" s="62" t="s">
        <v>12750</v>
      </c>
      <c r="X1029" s="62" t="s">
        <v>12751</v>
      </c>
      <c r="Y1029" s="62" t="s">
        <v>12752</v>
      </c>
      <c r="Z1029" s="62" t="s">
        <v>12753</v>
      </c>
      <c r="AA1029" s="62" t="s">
        <v>55508</v>
      </c>
      <c r="AB1029" s="62" t="s">
        <v>12754</v>
      </c>
      <c r="AC1029" s="62" t="s">
        <v>12755</v>
      </c>
      <c r="AD1029" s="62" t="s">
        <v>12756</v>
      </c>
    </row>
    <row r="1030" spans="1:30" x14ac:dyDescent="0.25">
      <c r="A1030" s="62" t="s">
        <v>109</v>
      </c>
      <c r="C1030" s="62" t="s">
        <v>12757</v>
      </c>
      <c r="F1030" s="62" t="s">
        <v>925</v>
      </c>
      <c r="G1030" s="62" t="s">
        <v>55349</v>
      </c>
      <c r="J1030" s="62" t="s">
        <v>12758</v>
      </c>
      <c r="K1030" s="62" t="s">
        <v>55389</v>
      </c>
      <c r="L1030" s="62" t="s">
        <v>12759</v>
      </c>
      <c r="M1030" s="62" t="s">
        <v>12760</v>
      </c>
      <c r="N1030" s="62" t="s">
        <v>12761</v>
      </c>
      <c r="O1030" s="62" t="s">
        <v>12762</v>
      </c>
      <c r="P1030" s="62" t="s">
        <v>55429</v>
      </c>
      <c r="Q1030" s="62" t="s">
        <v>12763</v>
      </c>
      <c r="R1030" s="62" t="s">
        <v>12764</v>
      </c>
      <c r="S1030" s="62" t="s">
        <v>12765</v>
      </c>
      <c r="U1030" s="62" t="s">
        <v>12766</v>
      </c>
      <c r="V1030" s="62" t="s">
        <v>55469</v>
      </c>
      <c r="W1030" s="62" t="s">
        <v>12767</v>
      </c>
      <c r="X1030" s="62" t="s">
        <v>12768</v>
      </c>
      <c r="Y1030" s="62" t="s">
        <v>12769</v>
      </c>
      <c r="Z1030" s="62" t="s">
        <v>12770</v>
      </c>
      <c r="AA1030" s="62" t="s">
        <v>55509</v>
      </c>
      <c r="AB1030" s="62" t="s">
        <v>12771</v>
      </c>
      <c r="AC1030" s="62" t="s">
        <v>12772</v>
      </c>
      <c r="AD1030" s="62" t="s">
        <v>12773</v>
      </c>
    </row>
    <row r="1031" spans="1:30" x14ac:dyDescent="0.25">
      <c r="A1031" s="62" t="s">
        <v>109</v>
      </c>
      <c r="C1031" s="62" t="s">
        <v>12774</v>
      </c>
      <c r="F1031" s="62" t="s">
        <v>943</v>
      </c>
      <c r="G1031" s="62" t="s">
        <v>55350</v>
      </c>
      <c r="J1031" s="62" t="s">
        <v>12775</v>
      </c>
      <c r="K1031" s="62" t="s">
        <v>55390</v>
      </c>
      <c r="L1031" s="62" t="s">
        <v>12776</v>
      </c>
      <c r="M1031" s="62" t="s">
        <v>12777</v>
      </c>
      <c r="N1031" s="62" t="s">
        <v>12778</v>
      </c>
      <c r="O1031" s="62" t="s">
        <v>12779</v>
      </c>
      <c r="P1031" s="62" t="s">
        <v>55430</v>
      </c>
      <c r="Q1031" s="62" t="s">
        <v>12780</v>
      </c>
      <c r="R1031" s="62" t="s">
        <v>12781</v>
      </c>
      <c r="S1031" s="62" t="s">
        <v>12782</v>
      </c>
      <c r="U1031" s="62" t="s">
        <v>12783</v>
      </c>
      <c r="V1031" s="62" t="s">
        <v>55470</v>
      </c>
      <c r="W1031" s="62" t="s">
        <v>12784</v>
      </c>
      <c r="X1031" s="62" t="s">
        <v>12785</v>
      </c>
      <c r="Y1031" s="62" t="s">
        <v>12786</v>
      </c>
      <c r="Z1031" s="62" t="s">
        <v>12787</v>
      </c>
      <c r="AA1031" s="62" t="s">
        <v>55510</v>
      </c>
      <c r="AB1031" s="62" t="s">
        <v>12788</v>
      </c>
      <c r="AC1031" s="62" t="s">
        <v>12789</v>
      </c>
      <c r="AD1031" s="62" t="s">
        <v>12790</v>
      </c>
    </row>
    <row r="1032" spans="1:30" x14ac:dyDescent="0.25">
      <c r="A1032" s="62" t="s">
        <v>109</v>
      </c>
      <c r="C1032" s="62" t="s">
        <v>12791</v>
      </c>
      <c r="F1032" s="62" t="s">
        <v>976</v>
      </c>
      <c r="G1032" s="62" t="s">
        <v>55351</v>
      </c>
      <c r="J1032" s="62" t="s">
        <v>12792</v>
      </c>
      <c r="K1032" s="62" t="s">
        <v>55391</v>
      </c>
      <c r="L1032" s="62" t="s">
        <v>12793</v>
      </c>
      <c r="M1032" s="62" t="s">
        <v>12794</v>
      </c>
      <c r="N1032" s="62" t="s">
        <v>12795</v>
      </c>
      <c r="O1032" s="62" t="s">
        <v>12796</v>
      </c>
      <c r="P1032" s="62" t="s">
        <v>55431</v>
      </c>
      <c r="Q1032" s="62" t="s">
        <v>12797</v>
      </c>
      <c r="R1032" s="62" t="s">
        <v>12798</v>
      </c>
      <c r="S1032" s="62" t="s">
        <v>12799</v>
      </c>
      <c r="U1032" s="62" t="s">
        <v>12800</v>
      </c>
      <c r="V1032" s="62" t="s">
        <v>55471</v>
      </c>
      <c r="W1032" s="62" t="s">
        <v>12801</v>
      </c>
      <c r="X1032" s="62" t="s">
        <v>12802</v>
      </c>
      <c r="Y1032" s="62" t="s">
        <v>12803</v>
      </c>
      <c r="Z1032" s="62" t="s">
        <v>12804</v>
      </c>
      <c r="AA1032" s="62" t="s">
        <v>55511</v>
      </c>
      <c r="AB1032" s="62" t="s">
        <v>12805</v>
      </c>
      <c r="AC1032" s="62" t="s">
        <v>12806</v>
      </c>
      <c r="AD1032" s="62" t="s">
        <v>12807</v>
      </c>
    </row>
    <row r="1033" spans="1:30" x14ac:dyDescent="0.25">
      <c r="A1033" s="62" t="s">
        <v>109</v>
      </c>
      <c r="C1033" s="62" t="s">
        <v>12808</v>
      </c>
      <c r="F1033" s="62" t="s">
        <v>985</v>
      </c>
      <c r="G1033" s="62" t="s">
        <v>55352</v>
      </c>
      <c r="J1033" s="62" t="s">
        <v>12809</v>
      </c>
      <c r="K1033" s="62" t="s">
        <v>55392</v>
      </c>
      <c r="L1033" s="62" t="s">
        <v>12810</v>
      </c>
      <c r="M1033" s="62" t="s">
        <v>12811</v>
      </c>
      <c r="N1033" s="62" t="s">
        <v>12812</v>
      </c>
      <c r="O1033" s="62" t="s">
        <v>12813</v>
      </c>
      <c r="P1033" s="62" t="s">
        <v>55432</v>
      </c>
      <c r="Q1033" s="62" t="s">
        <v>12814</v>
      </c>
      <c r="R1033" s="62" t="s">
        <v>12815</v>
      </c>
      <c r="S1033" s="62" t="s">
        <v>12816</v>
      </c>
      <c r="U1033" s="62" t="s">
        <v>12817</v>
      </c>
      <c r="V1033" s="62" t="s">
        <v>55472</v>
      </c>
      <c r="W1033" s="62" t="s">
        <v>12818</v>
      </c>
      <c r="X1033" s="62" t="s">
        <v>12819</v>
      </c>
      <c r="Y1033" s="62" t="s">
        <v>12820</v>
      </c>
      <c r="Z1033" s="62" t="s">
        <v>12821</v>
      </c>
      <c r="AA1033" s="62" t="s">
        <v>55512</v>
      </c>
      <c r="AB1033" s="62" t="s">
        <v>12822</v>
      </c>
      <c r="AC1033" s="62" t="s">
        <v>12823</v>
      </c>
      <c r="AD1033" s="62" t="s">
        <v>12824</v>
      </c>
    </row>
    <row r="1034" spans="1:30" x14ac:dyDescent="0.25">
      <c r="A1034" s="62" t="s">
        <v>109</v>
      </c>
      <c r="C1034" s="62" t="s">
        <v>12825</v>
      </c>
      <c r="F1034" s="62" t="s">
        <v>1002</v>
      </c>
      <c r="G1034" s="62" t="s">
        <v>55353</v>
      </c>
      <c r="J1034" s="62" t="s">
        <v>12826</v>
      </c>
      <c r="K1034" s="62" t="s">
        <v>55393</v>
      </c>
      <c r="L1034" s="62" t="s">
        <v>12827</v>
      </c>
      <c r="M1034" s="62" t="s">
        <v>12828</v>
      </c>
      <c r="N1034" s="62" t="s">
        <v>12829</v>
      </c>
      <c r="O1034" s="62" t="s">
        <v>12830</v>
      </c>
      <c r="P1034" s="62" t="s">
        <v>55433</v>
      </c>
      <c r="Q1034" s="62" t="s">
        <v>12831</v>
      </c>
      <c r="R1034" s="62" t="s">
        <v>12832</v>
      </c>
      <c r="S1034" s="62" t="s">
        <v>12833</v>
      </c>
      <c r="U1034" s="62" t="s">
        <v>12834</v>
      </c>
      <c r="V1034" s="62" t="s">
        <v>55473</v>
      </c>
      <c r="W1034" s="62" t="s">
        <v>12835</v>
      </c>
      <c r="X1034" s="62" t="s">
        <v>12836</v>
      </c>
      <c r="Y1034" s="62" t="s">
        <v>12837</v>
      </c>
      <c r="Z1034" s="62" t="s">
        <v>12838</v>
      </c>
      <c r="AA1034" s="62" t="s">
        <v>55513</v>
      </c>
      <c r="AB1034" s="62" t="s">
        <v>12839</v>
      </c>
      <c r="AC1034" s="62" t="s">
        <v>12840</v>
      </c>
      <c r="AD1034" s="62" t="s">
        <v>12841</v>
      </c>
    </row>
    <row r="1035" spans="1:30" x14ac:dyDescent="0.25">
      <c r="A1035" s="62" t="s">
        <v>109</v>
      </c>
      <c r="C1035" s="62" t="s">
        <v>12842</v>
      </c>
      <c r="F1035" s="62" t="s">
        <v>1012</v>
      </c>
      <c r="G1035" s="62" t="s">
        <v>55354</v>
      </c>
      <c r="J1035" s="62" t="s">
        <v>12843</v>
      </c>
      <c r="K1035" s="62" t="s">
        <v>55394</v>
      </c>
      <c r="L1035" s="62" t="s">
        <v>12844</v>
      </c>
      <c r="M1035" s="62" t="s">
        <v>12845</v>
      </c>
      <c r="N1035" s="62" t="s">
        <v>12846</v>
      </c>
      <c r="O1035" s="62" t="s">
        <v>12847</v>
      </c>
      <c r="P1035" s="62" t="s">
        <v>55434</v>
      </c>
      <c r="Q1035" s="62" t="s">
        <v>12848</v>
      </c>
      <c r="R1035" s="62" t="s">
        <v>12849</v>
      </c>
      <c r="S1035" s="62" t="s">
        <v>12850</v>
      </c>
      <c r="U1035" s="62" t="s">
        <v>12851</v>
      </c>
      <c r="V1035" s="62" t="s">
        <v>55474</v>
      </c>
      <c r="W1035" s="62" t="s">
        <v>12852</v>
      </c>
      <c r="X1035" s="62" t="s">
        <v>12853</v>
      </c>
      <c r="Y1035" s="62" t="s">
        <v>12854</v>
      </c>
      <c r="Z1035" s="62" t="s">
        <v>12855</v>
      </c>
      <c r="AA1035" s="62" t="s">
        <v>55514</v>
      </c>
      <c r="AB1035" s="62" t="s">
        <v>12856</v>
      </c>
      <c r="AC1035" s="62" t="s">
        <v>12857</v>
      </c>
      <c r="AD1035" s="62" t="s">
        <v>12858</v>
      </c>
    </row>
    <row r="1036" spans="1:30" x14ac:dyDescent="0.25">
      <c r="A1036" s="62" t="s">
        <v>109</v>
      </c>
      <c r="C1036" s="62" t="s">
        <v>12859</v>
      </c>
      <c r="F1036" s="62" t="s">
        <v>1030</v>
      </c>
      <c r="G1036" s="62" t="s">
        <v>55355</v>
      </c>
      <c r="J1036" s="62" t="s">
        <v>12861</v>
      </c>
      <c r="K1036" s="62" t="s">
        <v>55395</v>
      </c>
      <c r="L1036" s="62" t="s">
        <v>12862</v>
      </c>
      <c r="M1036" s="62" t="s">
        <v>12863</v>
      </c>
      <c r="N1036" s="62" t="s">
        <v>12864</v>
      </c>
      <c r="O1036" s="62" t="s">
        <v>12865</v>
      </c>
      <c r="P1036" s="62" t="s">
        <v>55435</v>
      </c>
      <c r="Q1036" s="62" t="s">
        <v>12866</v>
      </c>
      <c r="R1036" s="62" t="s">
        <v>12867</v>
      </c>
      <c r="S1036" s="62" t="s">
        <v>12868</v>
      </c>
      <c r="U1036" s="62" t="s">
        <v>12869</v>
      </c>
      <c r="V1036" s="62" t="s">
        <v>55475</v>
      </c>
      <c r="W1036" s="62" t="s">
        <v>12870</v>
      </c>
      <c r="X1036" s="62" t="s">
        <v>12871</v>
      </c>
      <c r="Y1036" s="62" t="s">
        <v>12872</v>
      </c>
      <c r="Z1036" s="62" t="s">
        <v>12873</v>
      </c>
      <c r="AA1036" s="62" t="s">
        <v>55515</v>
      </c>
      <c r="AB1036" s="62" t="s">
        <v>12874</v>
      </c>
      <c r="AC1036" s="62" t="s">
        <v>12875</v>
      </c>
      <c r="AD1036" s="62" t="s">
        <v>12876</v>
      </c>
    </row>
    <row r="1037" spans="1:30" x14ac:dyDescent="0.25">
      <c r="A1037" s="62" t="s">
        <v>109</v>
      </c>
      <c r="C1037" s="62" t="s">
        <v>12877</v>
      </c>
      <c r="F1037" s="62" t="s">
        <v>1047</v>
      </c>
      <c r="G1037" s="62" t="s">
        <v>55356</v>
      </c>
      <c r="J1037" s="62" t="s">
        <v>12878</v>
      </c>
      <c r="K1037" s="62" t="s">
        <v>55396</v>
      </c>
      <c r="L1037" s="62" t="s">
        <v>12879</v>
      </c>
      <c r="M1037" s="62" t="s">
        <v>12880</v>
      </c>
      <c r="N1037" s="62" t="s">
        <v>12881</v>
      </c>
      <c r="O1037" s="62" t="s">
        <v>12882</v>
      </c>
      <c r="P1037" s="62" t="s">
        <v>55436</v>
      </c>
      <c r="Q1037" s="62" t="s">
        <v>12883</v>
      </c>
      <c r="R1037" s="62" t="s">
        <v>12884</v>
      </c>
      <c r="S1037" s="62" t="s">
        <v>12885</v>
      </c>
      <c r="U1037" s="62" t="s">
        <v>12886</v>
      </c>
      <c r="V1037" s="62" t="s">
        <v>55476</v>
      </c>
      <c r="W1037" s="62" t="s">
        <v>12887</v>
      </c>
      <c r="X1037" s="62" t="s">
        <v>12888</v>
      </c>
      <c r="Y1037" s="62" t="s">
        <v>12889</v>
      </c>
      <c r="Z1037" s="62" t="s">
        <v>12890</v>
      </c>
      <c r="AA1037" s="62" t="s">
        <v>55516</v>
      </c>
      <c r="AB1037" s="62" t="s">
        <v>12891</v>
      </c>
      <c r="AC1037" s="62" t="s">
        <v>12892</v>
      </c>
      <c r="AD1037" s="62" t="s">
        <v>12893</v>
      </c>
    </row>
    <row r="1038" spans="1:30" x14ac:dyDescent="0.25">
      <c r="A1038" s="62" t="s">
        <v>109</v>
      </c>
      <c r="C1038" s="62" t="s">
        <v>12894</v>
      </c>
      <c r="F1038" s="62" t="s">
        <v>1064</v>
      </c>
      <c r="G1038" s="62" t="s">
        <v>55357</v>
      </c>
      <c r="J1038" s="62" t="s">
        <v>12895</v>
      </c>
      <c r="K1038" s="62" t="s">
        <v>55397</v>
      </c>
      <c r="L1038" s="62" t="s">
        <v>12896</v>
      </c>
      <c r="M1038" s="62" t="s">
        <v>12897</v>
      </c>
      <c r="N1038" s="62" t="s">
        <v>12898</v>
      </c>
      <c r="O1038" s="62" t="s">
        <v>12899</v>
      </c>
      <c r="P1038" s="62" t="s">
        <v>55437</v>
      </c>
      <c r="Q1038" s="62" t="s">
        <v>12900</v>
      </c>
      <c r="R1038" s="62" t="s">
        <v>12901</v>
      </c>
      <c r="S1038" s="62" t="s">
        <v>12902</v>
      </c>
      <c r="U1038" s="62" t="s">
        <v>12903</v>
      </c>
      <c r="V1038" s="62" t="s">
        <v>55477</v>
      </c>
      <c r="W1038" s="62" t="s">
        <v>12904</v>
      </c>
      <c r="X1038" s="62" t="s">
        <v>12905</v>
      </c>
      <c r="Y1038" s="62" t="s">
        <v>12906</v>
      </c>
      <c r="Z1038" s="62" t="s">
        <v>12907</v>
      </c>
      <c r="AA1038" s="62" t="s">
        <v>55517</v>
      </c>
      <c r="AB1038" s="62" t="s">
        <v>12908</v>
      </c>
      <c r="AC1038" s="62" t="s">
        <v>12909</v>
      </c>
      <c r="AD1038" s="62" t="s">
        <v>12910</v>
      </c>
    </row>
    <row r="1039" spans="1:30" x14ac:dyDescent="0.25">
      <c r="A1039" s="62" t="s">
        <v>109</v>
      </c>
      <c r="C1039" s="62" t="s">
        <v>12911</v>
      </c>
      <c r="F1039" s="62" t="s">
        <v>1090</v>
      </c>
      <c r="G1039" s="62" t="s">
        <v>55358</v>
      </c>
      <c r="J1039" s="62" t="s">
        <v>12912</v>
      </c>
      <c r="K1039" s="62" t="s">
        <v>55398</v>
      </c>
      <c r="L1039" s="62" t="s">
        <v>12913</v>
      </c>
      <c r="M1039" s="62" t="s">
        <v>12914</v>
      </c>
      <c r="N1039" s="62" t="s">
        <v>12915</v>
      </c>
      <c r="O1039" s="62" t="s">
        <v>12916</v>
      </c>
      <c r="P1039" s="62" t="s">
        <v>55438</v>
      </c>
      <c r="Q1039" s="62" t="s">
        <v>12917</v>
      </c>
      <c r="R1039" s="62" t="s">
        <v>12918</v>
      </c>
      <c r="S1039" s="62" t="s">
        <v>12919</v>
      </c>
      <c r="U1039" s="62" t="s">
        <v>12920</v>
      </c>
      <c r="V1039" s="62" t="s">
        <v>55478</v>
      </c>
      <c r="W1039" s="62" t="s">
        <v>12921</v>
      </c>
      <c r="X1039" s="62" t="s">
        <v>12922</v>
      </c>
      <c r="Y1039" s="62" t="s">
        <v>12923</v>
      </c>
      <c r="Z1039" s="62" t="s">
        <v>12924</v>
      </c>
      <c r="AA1039" s="62" t="s">
        <v>55518</v>
      </c>
      <c r="AB1039" s="62" t="s">
        <v>12925</v>
      </c>
      <c r="AC1039" s="62" t="s">
        <v>12926</v>
      </c>
      <c r="AD1039" s="62" t="s">
        <v>12927</v>
      </c>
    </row>
    <row r="1040" spans="1:30" x14ac:dyDescent="0.25">
      <c r="A1040" s="62" t="s">
        <v>109</v>
      </c>
      <c r="C1040" s="62" t="s">
        <v>12928</v>
      </c>
      <c r="F1040" s="62" t="s">
        <v>1100</v>
      </c>
      <c r="G1040" s="62" t="s">
        <v>55359</v>
      </c>
      <c r="J1040" s="62" t="s">
        <v>12929</v>
      </c>
      <c r="K1040" s="62" t="s">
        <v>55399</v>
      </c>
      <c r="L1040" s="62" t="s">
        <v>12930</v>
      </c>
      <c r="M1040" s="62" t="s">
        <v>12931</v>
      </c>
      <c r="N1040" s="62" t="s">
        <v>12932</v>
      </c>
      <c r="O1040" s="62" t="s">
        <v>12933</v>
      </c>
      <c r="P1040" s="62" t="s">
        <v>55439</v>
      </c>
      <c r="Q1040" s="62" t="s">
        <v>12934</v>
      </c>
      <c r="R1040" s="62" t="s">
        <v>12935</v>
      </c>
      <c r="S1040" s="62" t="s">
        <v>12936</v>
      </c>
      <c r="U1040" s="62" t="s">
        <v>12937</v>
      </c>
      <c r="V1040" s="62" t="s">
        <v>55479</v>
      </c>
      <c r="W1040" s="62" t="s">
        <v>12938</v>
      </c>
      <c r="X1040" s="62" t="s">
        <v>12939</v>
      </c>
      <c r="Y1040" s="62" t="s">
        <v>12940</v>
      </c>
      <c r="Z1040" s="62" t="s">
        <v>12941</v>
      </c>
      <c r="AA1040" s="62" t="s">
        <v>55519</v>
      </c>
      <c r="AB1040" s="62" t="s">
        <v>12942</v>
      </c>
      <c r="AC1040" s="62" t="s">
        <v>12943</v>
      </c>
      <c r="AD1040" s="62" t="s">
        <v>12944</v>
      </c>
    </row>
    <row r="1041" spans="1:30" x14ac:dyDescent="0.25">
      <c r="A1041" s="62" t="s">
        <v>109</v>
      </c>
      <c r="C1041" s="62" t="s">
        <v>12945</v>
      </c>
      <c r="F1041" s="62" t="s">
        <v>1118</v>
      </c>
      <c r="G1041" s="62" t="s">
        <v>55360</v>
      </c>
      <c r="J1041" s="62" t="s">
        <v>12946</v>
      </c>
      <c r="K1041" s="62" t="s">
        <v>55400</v>
      </c>
      <c r="L1041" s="62" t="s">
        <v>12947</v>
      </c>
      <c r="M1041" s="62" t="s">
        <v>12948</v>
      </c>
      <c r="N1041" s="62" t="s">
        <v>12949</v>
      </c>
      <c r="O1041" s="62" t="s">
        <v>12950</v>
      </c>
      <c r="P1041" s="62" t="s">
        <v>55440</v>
      </c>
      <c r="Q1041" s="62" t="s">
        <v>12951</v>
      </c>
      <c r="R1041" s="62" t="s">
        <v>12952</v>
      </c>
      <c r="S1041" s="62" t="s">
        <v>12953</v>
      </c>
      <c r="U1041" s="62" t="s">
        <v>12954</v>
      </c>
      <c r="V1041" s="62" t="s">
        <v>55480</v>
      </c>
      <c r="W1041" s="62" t="s">
        <v>12955</v>
      </c>
      <c r="X1041" s="62" t="s">
        <v>12956</v>
      </c>
      <c r="Y1041" s="62" t="s">
        <v>12957</v>
      </c>
      <c r="Z1041" s="62" t="s">
        <v>12958</v>
      </c>
      <c r="AA1041" s="62" t="s">
        <v>55520</v>
      </c>
      <c r="AB1041" s="62" t="s">
        <v>12959</v>
      </c>
      <c r="AC1041" s="62" t="s">
        <v>12960</v>
      </c>
      <c r="AD1041" s="62" t="s">
        <v>12961</v>
      </c>
    </row>
    <row r="1042" spans="1:30" x14ac:dyDescent="0.25">
      <c r="A1042" s="62" t="s">
        <v>109</v>
      </c>
      <c r="C1042" s="62" t="s">
        <v>12962</v>
      </c>
      <c r="F1042" s="62" t="s">
        <v>1135</v>
      </c>
      <c r="G1042" s="62" t="s">
        <v>55361</v>
      </c>
      <c r="J1042" s="62" t="s">
        <v>12963</v>
      </c>
      <c r="K1042" s="62" t="s">
        <v>55401</v>
      </c>
      <c r="L1042" s="62" t="s">
        <v>12964</v>
      </c>
      <c r="M1042" s="62" t="s">
        <v>12965</v>
      </c>
      <c r="N1042" s="62" t="s">
        <v>12966</v>
      </c>
      <c r="O1042" s="62" t="s">
        <v>12967</v>
      </c>
      <c r="P1042" s="62" t="s">
        <v>55441</v>
      </c>
      <c r="Q1042" s="62" t="s">
        <v>12968</v>
      </c>
      <c r="R1042" s="62" t="s">
        <v>12969</v>
      </c>
      <c r="S1042" s="62" t="s">
        <v>12970</v>
      </c>
      <c r="U1042" s="62" t="s">
        <v>12971</v>
      </c>
      <c r="V1042" s="62" t="s">
        <v>55481</v>
      </c>
      <c r="W1042" s="62" t="s">
        <v>12972</v>
      </c>
      <c r="X1042" s="62" t="s">
        <v>12973</v>
      </c>
      <c r="Y1042" s="62" t="s">
        <v>12974</v>
      </c>
      <c r="Z1042" s="62" t="s">
        <v>12975</v>
      </c>
      <c r="AA1042" s="62" t="s">
        <v>55521</v>
      </c>
      <c r="AB1042" s="62" t="s">
        <v>12976</v>
      </c>
      <c r="AC1042" s="62" t="s">
        <v>12977</v>
      </c>
      <c r="AD1042" s="62" t="s">
        <v>12978</v>
      </c>
    </row>
    <row r="1043" spans="1:30" x14ac:dyDescent="0.25">
      <c r="A1043" s="62" t="s">
        <v>109</v>
      </c>
      <c r="C1043" s="62" t="s">
        <v>12979</v>
      </c>
      <c r="F1043" s="62" t="s">
        <v>1152</v>
      </c>
      <c r="G1043" s="62" t="s">
        <v>55362</v>
      </c>
      <c r="J1043" s="62" t="s">
        <v>12980</v>
      </c>
      <c r="K1043" s="62" t="s">
        <v>55402</v>
      </c>
      <c r="L1043" s="62" t="s">
        <v>12981</v>
      </c>
      <c r="M1043" s="62" t="s">
        <v>12982</v>
      </c>
      <c r="N1043" s="62" t="s">
        <v>12983</v>
      </c>
      <c r="O1043" s="62" t="s">
        <v>12984</v>
      </c>
      <c r="P1043" s="62" t="s">
        <v>55442</v>
      </c>
      <c r="Q1043" s="62" t="s">
        <v>12985</v>
      </c>
      <c r="R1043" s="62" t="s">
        <v>12986</v>
      </c>
      <c r="S1043" s="62" t="s">
        <v>12987</v>
      </c>
      <c r="U1043" s="62" t="s">
        <v>12988</v>
      </c>
      <c r="V1043" s="62" t="s">
        <v>55482</v>
      </c>
      <c r="W1043" s="62" t="s">
        <v>12989</v>
      </c>
      <c r="X1043" s="62" t="s">
        <v>12990</v>
      </c>
      <c r="Y1043" s="62" t="s">
        <v>12991</v>
      </c>
      <c r="Z1043" s="62" t="s">
        <v>12992</v>
      </c>
      <c r="AA1043" s="62" t="s">
        <v>55522</v>
      </c>
      <c r="AB1043" s="62" t="s">
        <v>12993</v>
      </c>
      <c r="AC1043" s="62" t="s">
        <v>12994</v>
      </c>
      <c r="AD1043" s="62" t="s">
        <v>12995</v>
      </c>
    </row>
    <row r="1044" spans="1:30" x14ac:dyDescent="0.25">
      <c r="A1044" s="62" t="s">
        <v>109</v>
      </c>
      <c r="C1044" s="62" t="s">
        <v>12996</v>
      </c>
      <c r="F1044" s="62" t="s">
        <v>1688</v>
      </c>
      <c r="G1044" s="62" t="s">
        <v>55363</v>
      </c>
      <c r="J1044" s="62" t="s">
        <v>12997</v>
      </c>
      <c r="K1044" s="62" t="s">
        <v>55403</v>
      </c>
      <c r="L1044" s="62" t="s">
        <v>12998</v>
      </c>
      <c r="M1044" s="62" t="s">
        <v>12999</v>
      </c>
      <c r="N1044" s="62" t="s">
        <v>13000</v>
      </c>
      <c r="O1044" s="62" t="s">
        <v>13001</v>
      </c>
      <c r="P1044" s="62" t="s">
        <v>55443</v>
      </c>
      <c r="Q1044" s="62" t="s">
        <v>13002</v>
      </c>
      <c r="R1044" s="62" t="s">
        <v>13003</v>
      </c>
      <c r="S1044" s="62" t="s">
        <v>13004</v>
      </c>
      <c r="U1044" s="62" t="s">
        <v>13005</v>
      </c>
      <c r="V1044" s="62" t="s">
        <v>55483</v>
      </c>
      <c r="W1044" s="62" t="s">
        <v>13006</v>
      </c>
      <c r="X1044" s="62" t="s">
        <v>13007</v>
      </c>
      <c r="Y1044" s="62" t="s">
        <v>13008</v>
      </c>
      <c r="Z1044" s="62" t="s">
        <v>13009</v>
      </c>
      <c r="AA1044" s="62" t="s">
        <v>55523</v>
      </c>
      <c r="AB1044" s="62" t="s">
        <v>13010</v>
      </c>
      <c r="AC1044" s="62" t="s">
        <v>13011</v>
      </c>
      <c r="AD1044" s="62" t="s">
        <v>13012</v>
      </c>
    </row>
    <row r="1045" spans="1:30" x14ac:dyDescent="0.25">
      <c r="A1045" s="62" t="s">
        <v>109</v>
      </c>
      <c r="C1045" s="62" t="s">
        <v>13013</v>
      </c>
      <c r="F1045" s="62" t="s">
        <v>1161</v>
      </c>
      <c r="G1045" s="62" t="s">
        <v>55364</v>
      </c>
      <c r="J1045" s="62" t="s">
        <v>13014</v>
      </c>
      <c r="K1045" s="62" t="s">
        <v>55404</v>
      </c>
      <c r="L1045" s="62" t="s">
        <v>13015</v>
      </c>
      <c r="M1045" s="62" t="s">
        <v>13016</v>
      </c>
      <c r="N1045" s="62" t="s">
        <v>13017</v>
      </c>
      <c r="O1045" s="62" t="s">
        <v>13018</v>
      </c>
      <c r="P1045" s="62" t="s">
        <v>55444</v>
      </c>
      <c r="Q1045" s="62" t="s">
        <v>13019</v>
      </c>
      <c r="R1045" s="62" t="s">
        <v>13020</v>
      </c>
      <c r="S1045" s="62" t="s">
        <v>13021</v>
      </c>
      <c r="U1045" s="62" t="s">
        <v>13022</v>
      </c>
      <c r="V1045" s="62" t="s">
        <v>55484</v>
      </c>
      <c r="W1045" s="62" t="s">
        <v>13023</v>
      </c>
      <c r="X1045" s="62" t="s">
        <v>13024</v>
      </c>
      <c r="Y1045" s="62" t="s">
        <v>13025</v>
      </c>
      <c r="Z1045" s="62" t="s">
        <v>13026</v>
      </c>
      <c r="AA1045" s="62" t="s">
        <v>55524</v>
      </c>
      <c r="AB1045" s="62" t="s">
        <v>13027</v>
      </c>
      <c r="AC1045" s="62" t="s">
        <v>13028</v>
      </c>
      <c r="AD1045" s="62" t="s">
        <v>13029</v>
      </c>
    </row>
    <row r="1046" spans="1:30" x14ac:dyDescent="0.25">
      <c r="A1046" s="62" t="s">
        <v>109</v>
      </c>
      <c r="C1046" s="62" t="s">
        <v>13030</v>
      </c>
      <c r="F1046" s="62" t="s">
        <v>1178</v>
      </c>
      <c r="G1046" s="62" t="s">
        <v>55365</v>
      </c>
      <c r="J1046" s="62" t="s">
        <v>13031</v>
      </c>
      <c r="K1046" s="62" t="s">
        <v>55405</v>
      </c>
      <c r="L1046" s="62" t="s">
        <v>13032</v>
      </c>
      <c r="M1046" s="62" t="s">
        <v>13033</v>
      </c>
      <c r="N1046" s="62" t="s">
        <v>13034</v>
      </c>
      <c r="O1046" s="62" t="s">
        <v>13035</v>
      </c>
      <c r="P1046" s="62" t="s">
        <v>55445</v>
      </c>
      <c r="Q1046" s="62" t="s">
        <v>13036</v>
      </c>
      <c r="R1046" s="62" t="s">
        <v>13037</v>
      </c>
      <c r="S1046" s="62" t="s">
        <v>13038</v>
      </c>
      <c r="U1046" s="62" t="s">
        <v>13039</v>
      </c>
      <c r="V1046" s="62" t="s">
        <v>55485</v>
      </c>
      <c r="W1046" s="62" t="s">
        <v>13040</v>
      </c>
      <c r="X1046" s="62" t="s">
        <v>13041</v>
      </c>
      <c r="Y1046" s="62" t="s">
        <v>13042</v>
      </c>
      <c r="Z1046" s="62" t="s">
        <v>13043</v>
      </c>
      <c r="AA1046" s="62" t="s">
        <v>55525</v>
      </c>
      <c r="AB1046" s="62" t="s">
        <v>13044</v>
      </c>
      <c r="AC1046" s="62" t="s">
        <v>13045</v>
      </c>
      <c r="AD1046" s="62" t="s">
        <v>13046</v>
      </c>
    </row>
    <row r="1047" spans="1:30" x14ac:dyDescent="0.25">
      <c r="A1047" s="62" t="s">
        <v>109</v>
      </c>
      <c r="C1047" s="62" t="s">
        <v>13047</v>
      </c>
      <c r="F1047" s="62" t="s">
        <v>1206</v>
      </c>
      <c r="G1047" s="62" t="s">
        <v>55366</v>
      </c>
      <c r="J1047" s="62" t="s">
        <v>13048</v>
      </c>
      <c r="K1047" s="62" t="s">
        <v>55406</v>
      </c>
      <c r="L1047" s="62" t="s">
        <v>13049</v>
      </c>
      <c r="M1047" s="62" t="s">
        <v>13050</v>
      </c>
      <c r="N1047" s="62" t="s">
        <v>13051</v>
      </c>
      <c r="O1047" s="62" t="s">
        <v>13052</v>
      </c>
      <c r="P1047" s="62" t="s">
        <v>55446</v>
      </c>
      <c r="Q1047" s="62" t="s">
        <v>13053</v>
      </c>
      <c r="R1047" s="62" t="s">
        <v>13054</v>
      </c>
      <c r="S1047" s="62" t="s">
        <v>13055</v>
      </c>
      <c r="U1047" s="62" t="s">
        <v>13056</v>
      </c>
      <c r="V1047" s="62" t="s">
        <v>55486</v>
      </c>
      <c r="W1047" s="62" t="s">
        <v>13057</v>
      </c>
      <c r="X1047" s="62" t="s">
        <v>13058</v>
      </c>
      <c r="Y1047" s="62" t="s">
        <v>13059</v>
      </c>
      <c r="Z1047" s="62" t="s">
        <v>13060</v>
      </c>
      <c r="AA1047" s="62" t="s">
        <v>55526</v>
      </c>
      <c r="AB1047" s="62" t="s">
        <v>13061</v>
      </c>
      <c r="AC1047" s="62" t="s">
        <v>13062</v>
      </c>
      <c r="AD1047" s="62" t="s">
        <v>13063</v>
      </c>
    </row>
    <row r="1048" spans="1:30" x14ac:dyDescent="0.25">
      <c r="A1048" s="62" t="s">
        <v>109</v>
      </c>
      <c r="C1048" s="62" t="s">
        <v>13064</v>
      </c>
      <c r="F1048" s="62" t="s">
        <v>1223</v>
      </c>
      <c r="G1048" s="62" t="s">
        <v>55367</v>
      </c>
      <c r="J1048" s="62" t="s">
        <v>13065</v>
      </c>
      <c r="K1048" s="62" t="s">
        <v>55407</v>
      </c>
      <c r="L1048" s="62" t="s">
        <v>13066</v>
      </c>
      <c r="M1048" s="62" t="s">
        <v>13067</v>
      </c>
      <c r="N1048" s="62" t="s">
        <v>13068</v>
      </c>
      <c r="O1048" s="62" t="s">
        <v>13069</v>
      </c>
      <c r="P1048" s="62" t="s">
        <v>55447</v>
      </c>
      <c r="Q1048" s="62" t="s">
        <v>13070</v>
      </c>
      <c r="R1048" s="62" t="s">
        <v>13071</v>
      </c>
      <c r="S1048" s="62" t="s">
        <v>13072</v>
      </c>
      <c r="U1048" s="62" t="s">
        <v>13073</v>
      </c>
      <c r="V1048" s="62" t="s">
        <v>55487</v>
      </c>
      <c r="W1048" s="62" t="s">
        <v>13074</v>
      </c>
      <c r="X1048" s="62" t="s">
        <v>13075</v>
      </c>
      <c r="Y1048" s="62" t="s">
        <v>13076</v>
      </c>
      <c r="Z1048" s="62" t="s">
        <v>13077</v>
      </c>
      <c r="AA1048" s="62" t="s">
        <v>55527</v>
      </c>
      <c r="AB1048" s="62" t="s">
        <v>13078</v>
      </c>
      <c r="AC1048" s="62" t="s">
        <v>13079</v>
      </c>
      <c r="AD1048" s="62" t="s">
        <v>13080</v>
      </c>
    </row>
    <row r="1049" spans="1:30" x14ac:dyDescent="0.25">
      <c r="A1049" s="62" t="s">
        <v>109</v>
      </c>
      <c r="C1049" s="62" t="s">
        <v>13081</v>
      </c>
      <c r="F1049" s="62" t="s">
        <v>1240</v>
      </c>
      <c r="G1049" s="62" t="s">
        <v>55368</v>
      </c>
      <c r="J1049" s="62" t="s">
        <v>13082</v>
      </c>
      <c r="K1049" s="62" t="s">
        <v>55408</v>
      </c>
      <c r="L1049" s="62" t="s">
        <v>13083</v>
      </c>
      <c r="M1049" s="62" t="s">
        <v>13084</v>
      </c>
      <c r="N1049" s="62" t="s">
        <v>13085</v>
      </c>
      <c r="O1049" s="62" t="s">
        <v>13086</v>
      </c>
      <c r="P1049" s="62" t="s">
        <v>55448</v>
      </c>
      <c r="Q1049" s="62" t="s">
        <v>13087</v>
      </c>
      <c r="R1049" s="62" t="s">
        <v>13088</v>
      </c>
      <c r="S1049" s="62" t="s">
        <v>13089</v>
      </c>
      <c r="U1049" s="62" t="s">
        <v>13090</v>
      </c>
      <c r="V1049" s="62" t="s">
        <v>55488</v>
      </c>
      <c r="W1049" s="62" t="s">
        <v>13091</v>
      </c>
      <c r="X1049" s="62" t="s">
        <v>13092</v>
      </c>
      <c r="Y1049" s="62" t="s">
        <v>13093</v>
      </c>
      <c r="Z1049" s="62" t="s">
        <v>13094</v>
      </c>
      <c r="AA1049" s="62" t="s">
        <v>55528</v>
      </c>
      <c r="AB1049" s="62" t="s">
        <v>13095</v>
      </c>
      <c r="AC1049" s="62" t="s">
        <v>13096</v>
      </c>
      <c r="AD1049" s="62" t="s">
        <v>13097</v>
      </c>
    </row>
    <row r="1050" spans="1:30" x14ac:dyDescent="0.25">
      <c r="A1050" s="62" t="s">
        <v>109</v>
      </c>
      <c r="C1050" s="62" t="s">
        <v>13098</v>
      </c>
      <c r="F1050" s="62" t="s">
        <v>1249</v>
      </c>
      <c r="G1050" s="62" t="s">
        <v>55369</v>
      </c>
      <c r="J1050" s="62" t="s">
        <v>13099</v>
      </c>
      <c r="K1050" s="62" t="s">
        <v>55409</v>
      </c>
      <c r="L1050" s="62" t="s">
        <v>13100</v>
      </c>
      <c r="M1050" s="62" t="s">
        <v>13101</v>
      </c>
      <c r="N1050" s="62" t="s">
        <v>13102</v>
      </c>
      <c r="O1050" s="62" t="s">
        <v>13103</v>
      </c>
      <c r="P1050" s="62" t="s">
        <v>55449</v>
      </c>
      <c r="Q1050" s="62" t="s">
        <v>13104</v>
      </c>
      <c r="R1050" s="62" t="s">
        <v>13105</v>
      </c>
      <c r="S1050" s="62" t="s">
        <v>13106</v>
      </c>
      <c r="U1050" s="62" t="s">
        <v>13107</v>
      </c>
      <c r="V1050" s="62" t="s">
        <v>55489</v>
      </c>
      <c r="W1050" s="62" t="s">
        <v>13108</v>
      </c>
      <c r="X1050" s="62" t="s">
        <v>13109</v>
      </c>
      <c r="Y1050" s="62" t="s">
        <v>13110</v>
      </c>
      <c r="Z1050" s="62" t="s">
        <v>13111</v>
      </c>
      <c r="AA1050" s="62" t="s">
        <v>55529</v>
      </c>
      <c r="AB1050" s="62" t="s">
        <v>13112</v>
      </c>
      <c r="AC1050" s="62" t="s">
        <v>13113</v>
      </c>
      <c r="AD1050" s="62" t="s">
        <v>13114</v>
      </c>
    </row>
    <row r="1051" spans="1:30" x14ac:dyDescent="0.25">
      <c r="A1051" s="62" t="s">
        <v>109</v>
      </c>
      <c r="C1051" s="62" t="s">
        <v>13115</v>
      </c>
      <c r="F1051" s="62" t="s">
        <v>1266</v>
      </c>
      <c r="G1051" s="62" t="s">
        <v>55370</v>
      </c>
      <c r="J1051" s="62" t="s">
        <v>13116</v>
      </c>
      <c r="K1051" s="62" t="s">
        <v>55410</v>
      </c>
      <c r="L1051" s="62" t="s">
        <v>13117</v>
      </c>
      <c r="M1051" s="62" t="s">
        <v>13118</v>
      </c>
      <c r="N1051" s="62" t="s">
        <v>13119</v>
      </c>
      <c r="O1051" s="62" t="s">
        <v>13120</v>
      </c>
      <c r="P1051" s="62" t="s">
        <v>55450</v>
      </c>
      <c r="Q1051" s="62" t="s">
        <v>13121</v>
      </c>
      <c r="R1051" s="62" t="s">
        <v>13122</v>
      </c>
      <c r="S1051" s="62" t="s">
        <v>13123</v>
      </c>
      <c r="U1051" s="62" t="s">
        <v>13124</v>
      </c>
      <c r="V1051" s="62" t="s">
        <v>55490</v>
      </c>
      <c r="W1051" s="62" t="s">
        <v>13125</v>
      </c>
      <c r="X1051" s="62" t="s">
        <v>13126</v>
      </c>
      <c r="Y1051" s="62" t="s">
        <v>13127</v>
      </c>
      <c r="Z1051" s="62" t="s">
        <v>13128</v>
      </c>
      <c r="AA1051" s="62" t="s">
        <v>55530</v>
      </c>
      <c r="AB1051" s="62" t="s">
        <v>13129</v>
      </c>
      <c r="AC1051" s="62" t="s">
        <v>13130</v>
      </c>
      <c r="AD1051" s="62" t="s">
        <v>13131</v>
      </c>
    </row>
    <row r="1052" spans="1:30" x14ac:dyDescent="0.25">
      <c r="A1052" s="62" t="s">
        <v>109</v>
      </c>
      <c r="C1052" s="62" t="s">
        <v>13132</v>
      </c>
      <c r="F1052" s="62" t="s">
        <v>1795</v>
      </c>
      <c r="G1052" s="62" t="s">
        <v>55371</v>
      </c>
      <c r="J1052" s="62" t="s">
        <v>13133</v>
      </c>
      <c r="K1052" s="62" t="s">
        <v>55411</v>
      </c>
      <c r="L1052" s="62" t="s">
        <v>13134</v>
      </c>
      <c r="M1052" s="62" t="s">
        <v>13135</v>
      </c>
      <c r="N1052" s="62" t="s">
        <v>13136</v>
      </c>
      <c r="O1052" s="62" t="s">
        <v>13137</v>
      </c>
      <c r="P1052" s="62" t="s">
        <v>55451</v>
      </c>
      <c r="Q1052" s="62" t="s">
        <v>13138</v>
      </c>
      <c r="R1052" s="62" t="s">
        <v>13139</v>
      </c>
      <c r="S1052" s="62" t="s">
        <v>13140</v>
      </c>
      <c r="U1052" s="62" t="s">
        <v>13141</v>
      </c>
      <c r="V1052" s="62" t="s">
        <v>55491</v>
      </c>
      <c r="W1052" s="62" t="s">
        <v>13142</v>
      </c>
      <c r="X1052" s="62" t="s">
        <v>13143</v>
      </c>
      <c r="Y1052" s="62" t="s">
        <v>13144</v>
      </c>
      <c r="Z1052" s="62" t="s">
        <v>13145</v>
      </c>
      <c r="AA1052" s="62" t="s">
        <v>55531</v>
      </c>
      <c r="AB1052" s="62" t="s">
        <v>13146</v>
      </c>
      <c r="AC1052" s="62" t="s">
        <v>13147</v>
      </c>
      <c r="AD1052" s="62" t="s">
        <v>13148</v>
      </c>
    </row>
    <row r="1053" spans="1:30" x14ac:dyDescent="0.25">
      <c r="A1053" s="62" t="s">
        <v>109</v>
      </c>
      <c r="C1053" s="62" t="s">
        <v>13149</v>
      </c>
      <c r="F1053" s="62" t="s">
        <v>1286</v>
      </c>
      <c r="G1053" s="62" t="s">
        <v>55372</v>
      </c>
      <c r="J1053" s="62" t="s">
        <v>13150</v>
      </c>
      <c r="K1053" s="62" t="s">
        <v>55412</v>
      </c>
      <c r="L1053" s="62" t="s">
        <v>13151</v>
      </c>
      <c r="M1053" s="62" t="s">
        <v>13152</v>
      </c>
      <c r="N1053" s="62" t="s">
        <v>13153</v>
      </c>
      <c r="O1053" s="62" t="s">
        <v>13154</v>
      </c>
      <c r="P1053" s="62" t="s">
        <v>55452</v>
      </c>
      <c r="Q1053" s="62" t="s">
        <v>13155</v>
      </c>
      <c r="R1053" s="62" t="s">
        <v>13156</v>
      </c>
      <c r="S1053" s="62" t="s">
        <v>13157</v>
      </c>
      <c r="U1053" s="62" t="s">
        <v>13158</v>
      </c>
      <c r="V1053" s="62" t="s">
        <v>55492</v>
      </c>
      <c r="W1053" s="62" t="s">
        <v>13159</v>
      </c>
      <c r="X1053" s="62" t="s">
        <v>13160</v>
      </c>
      <c r="Y1053" s="62" t="s">
        <v>13161</v>
      </c>
      <c r="Z1053" s="62" t="s">
        <v>13162</v>
      </c>
      <c r="AA1053" s="62" t="s">
        <v>55532</v>
      </c>
      <c r="AB1053" s="62" t="s">
        <v>13163</v>
      </c>
      <c r="AC1053" s="62" t="s">
        <v>13164</v>
      </c>
      <c r="AD1053" s="62" t="s">
        <v>13165</v>
      </c>
    </row>
    <row r="1054" spans="1:30" x14ac:dyDescent="0.25">
      <c r="A1054" s="62" t="s">
        <v>109</v>
      </c>
      <c r="C1054" s="62" t="s">
        <v>13166</v>
      </c>
      <c r="F1054" s="62" t="s">
        <v>1287</v>
      </c>
      <c r="G1054" s="62" t="s">
        <v>55373</v>
      </c>
      <c r="J1054" s="62" t="s">
        <v>13167</v>
      </c>
      <c r="K1054" s="62" t="s">
        <v>55413</v>
      </c>
      <c r="L1054" s="62" t="s">
        <v>13168</v>
      </c>
      <c r="M1054" s="62" t="s">
        <v>13169</v>
      </c>
      <c r="N1054" s="62" t="s">
        <v>13170</v>
      </c>
      <c r="O1054" s="62" t="s">
        <v>13171</v>
      </c>
      <c r="P1054" s="62" t="s">
        <v>55453</v>
      </c>
      <c r="Q1054" s="62" t="s">
        <v>13172</v>
      </c>
      <c r="R1054" s="62" t="s">
        <v>13173</v>
      </c>
      <c r="S1054" s="62" t="s">
        <v>13174</v>
      </c>
      <c r="U1054" s="62" t="s">
        <v>13175</v>
      </c>
      <c r="V1054" s="62" t="s">
        <v>55493</v>
      </c>
      <c r="W1054" s="62" t="s">
        <v>13176</v>
      </c>
      <c r="X1054" s="62" t="s">
        <v>13177</v>
      </c>
      <c r="Y1054" s="62" t="s">
        <v>13178</v>
      </c>
      <c r="Z1054" s="62" t="s">
        <v>13179</v>
      </c>
      <c r="AA1054" s="62" t="s">
        <v>55533</v>
      </c>
      <c r="AB1054" s="62" t="s">
        <v>13180</v>
      </c>
      <c r="AC1054" s="62" t="s">
        <v>13181</v>
      </c>
      <c r="AD1054" s="62" t="s">
        <v>13182</v>
      </c>
    </row>
    <row r="1055" spans="1:30" x14ac:dyDescent="0.25">
      <c r="A1055" s="62" t="s">
        <v>109</v>
      </c>
      <c r="C1055" s="62" t="s">
        <v>13183</v>
      </c>
      <c r="F1055" s="62" t="s">
        <v>1289</v>
      </c>
      <c r="G1055" s="62" t="s">
        <v>55374</v>
      </c>
      <c r="J1055" s="62" t="s">
        <v>13185</v>
      </c>
      <c r="K1055" s="62" t="s">
        <v>55414</v>
      </c>
      <c r="L1055" s="62" t="s">
        <v>13186</v>
      </c>
      <c r="M1055" s="62" t="s">
        <v>13187</v>
      </c>
      <c r="N1055" s="62" t="s">
        <v>13188</v>
      </c>
      <c r="O1055" s="62" t="s">
        <v>13189</v>
      </c>
      <c r="P1055" s="62" t="s">
        <v>55454</v>
      </c>
      <c r="Q1055" s="62" t="s">
        <v>13190</v>
      </c>
      <c r="R1055" s="62" t="s">
        <v>13191</v>
      </c>
      <c r="S1055" s="62" t="s">
        <v>13192</v>
      </c>
      <c r="U1055" s="62" t="s">
        <v>13193</v>
      </c>
      <c r="V1055" s="62" t="s">
        <v>55494</v>
      </c>
      <c r="W1055" s="62" t="s">
        <v>13194</v>
      </c>
      <c r="X1055" s="62" t="s">
        <v>13195</v>
      </c>
      <c r="Y1055" s="62" t="s">
        <v>13196</v>
      </c>
      <c r="Z1055" s="62" t="s">
        <v>13197</v>
      </c>
      <c r="AA1055" s="62" t="s">
        <v>55534</v>
      </c>
      <c r="AB1055" s="62" t="s">
        <v>13198</v>
      </c>
      <c r="AC1055" s="62" t="s">
        <v>13199</v>
      </c>
      <c r="AD1055" s="62" t="s">
        <v>13200</v>
      </c>
    </row>
    <row r="1056" spans="1:30" x14ac:dyDescent="0.25">
      <c r="A1056" s="62" t="s">
        <v>109</v>
      </c>
      <c r="C1056" s="62" t="s">
        <v>13201</v>
      </c>
      <c r="F1056" s="62" t="s">
        <v>1797</v>
      </c>
      <c r="G1056" s="62" t="s">
        <v>55375</v>
      </c>
      <c r="J1056" s="62" t="s">
        <v>13203</v>
      </c>
      <c r="K1056" s="62" t="s">
        <v>55415</v>
      </c>
      <c r="L1056" s="62" t="s">
        <v>13204</v>
      </c>
      <c r="M1056" s="62" t="s">
        <v>13205</v>
      </c>
      <c r="N1056" s="62" t="s">
        <v>13206</v>
      </c>
      <c r="O1056" s="62" t="s">
        <v>13207</v>
      </c>
      <c r="P1056" s="62" t="s">
        <v>55455</v>
      </c>
      <c r="Q1056" s="62" t="s">
        <v>13208</v>
      </c>
      <c r="R1056" s="62" t="s">
        <v>13209</v>
      </c>
      <c r="S1056" s="62" t="s">
        <v>13210</v>
      </c>
      <c r="U1056" s="62" t="s">
        <v>13211</v>
      </c>
      <c r="V1056" s="62" t="s">
        <v>55495</v>
      </c>
      <c r="W1056" s="62" t="s">
        <v>13212</v>
      </c>
      <c r="X1056" s="62" t="s">
        <v>13213</v>
      </c>
      <c r="Y1056" s="62" t="s">
        <v>13214</v>
      </c>
      <c r="Z1056" s="62" t="s">
        <v>13215</v>
      </c>
      <c r="AA1056" s="62" t="s">
        <v>55535</v>
      </c>
      <c r="AB1056" s="62" t="s">
        <v>13216</v>
      </c>
      <c r="AC1056" s="62" t="s">
        <v>13217</v>
      </c>
      <c r="AD1056" s="62" t="s">
        <v>13218</v>
      </c>
    </row>
    <row r="1057" spans="1:30" x14ac:dyDescent="0.25">
      <c r="A1057" s="62" t="s">
        <v>109</v>
      </c>
      <c r="C1057" s="62" t="s">
        <v>13219</v>
      </c>
      <c r="F1057" s="62" t="s">
        <v>1299</v>
      </c>
      <c r="G1057" s="62" t="s">
        <v>55376</v>
      </c>
      <c r="J1057" s="62" t="s">
        <v>13220</v>
      </c>
      <c r="K1057" s="62" t="s">
        <v>55416</v>
      </c>
      <c r="L1057" s="62" t="s">
        <v>13221</v>
      </c>
      <c r="M1057" s="62" t="s">
        <v>13222</v>
      </c>
      <c r="N1057" s="62" t="s">
        <v>13223</v>
      </c>
      <c r="O1057" s="62" t="s">
        <v>13224</v>
      </c>
      <c r="P1057" s="62" t="s">
        <v>55456</v>
      </c>
      <c r="Q1057" s="62" t="s">
        <v>13225</v>
      </c>
      <c r="R1057" s="62" t="s">
        <v>13226</v>
      </c>
      <c r="S1057" s="62" t="s">
        <v>13227</v>
      </c>
      <c r="U1057" s="62" t="s">
        <v>13228</v>
      </c>
      <c r="V1057" s="62" t="s">
        <v>55496</v>
      </c>
      <c r="W1057" s="62" t="s">
        <v>13229</v>
      </c>
      <c r="X1057" s="62" t="s">
        <v>13230</v>
      </c>
      <c r="Y1057" s="62" t="s">
        <v>13231</v>
      </c>
      <c r="Z1057" s="62" t="s">
        <v>13232</v>
      </c>
      <c r="AA1057" s="62" t="s">
        <v>55536</v>
      </c>
      <c r="AB1057" s="62" t="s">
        <v>13233</v>
      </c>
      <c r="AC1057" s="62" t="s">
        <v>13234</v>
      </c>
      <c r="AD1057" s="62" t="s">
        <v>13235</v>
      </c>
    </row>
    <row r="1058" spans="1:30" x14ac:dyDescent="0.25">
      <c r="A1058" s="62" t="s">
        <v>109</v>
      </c>
      <c r="C1058" s="62" t="s">
        <v>12644</v>
      </c>
    </row>
    <row r="1059" spans="1:30" x14ac:dyDescent="0.25">
      <c r="A1059" s="62" t="s">
        <v>109</v>
      </c>
      <c r="C1059" s="62" t="s">
        <v>13237</v>
      </c>
      <c r="G1059" s="62" t="s">
        <v>42169</v>
      </c>
      <c r="J1059" s="62" t="s">
        <v>42170</v>
      </c>
      <c r="K1059" s="62" t="s">
        <v>42171</v>
      </c>
      <c r="L1059" s="62" t="s">
        <v>42172</v>
      </c>
      <c r="M1059" s="62" t="s">
        <v>13239</v>
      </c>
      <c r="N1059" s="62" t="s">
        <v>13240</v>
      </c>
      <c r="O1059" s="62" t="s">
        <v>42173</v>
      </c>
      <c r="P1059" s="62" t="s">
        <v>42174</v>
      </c>
      <c r="Q1059" s="62" t="s">
        <v>42175</v>
      </c>
      <c r="R1059" s="62" t="s">
        <v>13241</v>
      </c>
      <c r="S1059" s="62" t="s">
        <v>13242</v>
      </c>
      <c r="U1059" s="62" t="s">
        <v>42176</v>
      </c>
      <c r="V1059" s="62" t="s">
        <v>42177</v>
      </c>
      <c r="W1059" s="62" t="s">
        <v>42178</v>
      </c>
      <c r="X1059" s="62" t="s">
        <v>13243</v>
      </c>
      <c r="Y1059" s="62" t="s">
        <v>13244</v>
      </c>
      <c r="Z1059" s="62" t="s">
        <v>42179</v>
      </c>
      <c r="AA1059" s="62" t="s">
        <v>42180</v>
      </c>
      <c r="AB1059" s="62" t="s">
        <v>42181</v>
      </c>
      <c r="AC1059" s="62" t="s">
        <v>13245</v>
      </c>
      <c r="AD1059" s="62" t="s">
        <v>13246</v>
      </c>
    </row>
    <row r="1060" spans="1:30" x14ac:dyDescent="0.25">
      <c r="A1060" s="62" t="s">
        <v>109</v>
      </c>
    </row>
    <row r="1061" spans="1:30" x14ac:dyDescent="0.25">
      <c r="A1061" s="62" t="s">
        <v>109</v>
      </c>
      <c r="C1061" s="62" t="s">
        <v>42182</v>
      </c>
      <c r="E1061" s="62" t="s">
        <v>16392</v>
      </c>
      <c r="G1061" s="62" t="s">
        <v>42183</v>
      </c>
    </row>
    <row r="1062" spans="1:30" x14ac:dyDescent="0.25">
      <c r="A1062" s="62" t="s">
        <v>109</v>
      </c>
      <c r="C1062" s="62" t="s">
        <v>13247</v>
      </c>
    </row>
    <row r="1063" spans="1:30" x14ac:dyDescent="0.25">
      <c r="A1063" s="62" t="s">
        <v>109</v>
      </c>
      <c r="C1063" s="62" t="s">
        <v>13248</v>
      </c>
      <c r="F1063" s="62" t="s">
        <v>42184</v>
      </c>
      <c r="G1063" s="62" t="s">
        <v>55257</v>
      </c>
      <c r="J1063" s="62" t="s">
        <v>13250</v>
      </c>
      <c r="K1063" s="62" t="s">
        <v>55273</v>
      </c>
      <c r="L1063" s="62" t="s">
        <v>13251</v>
      </c>
      <c r="M1063" s="62" t="s">
        <v>13252</v>
      </c>
      <c r="N1063" s="62" t="s">
        <v>13253</v>
      </c>
      <c r="O1063" s="62" t="s">
        <v>13254</v>
      </c>
      <c r="P1063" s="62" t="s">
        <v>55289</v>
      </c>
      <c r="Q1063" s="62" t="s">
        <v>13255</v>
      </c>
      <c r="R1063" s="62" t="s">
        <v>13256</v>
      </c>
      <c r="S1063" s="62" t="s">
        <v>13257</v>
      </c>
      <c r="U1063" s="62" t="s">
        <v>13258</v>
      </c>
      <c r="V1063" s="62" t="s">
        <v>55305</v>
      </c>
      <c r="W1063" s="62" t="s">
        <v>13259</v>
      </c>
      <c r="X1063" s="62" t="s">
        <v>13260</v>
      </c>
      <c r="Y1063" s="62" t="s">
        <v>13261</v>
      </c>
      <c r="Z1063" s="62" t="s">
        <v>13262</v>
      </c>
      <c r="AA1063" s="62" t="s">
        <v>55321</v>
      </c>
      <c r="AB1063" s="62" t="s">
        <v>13263</v>
      </c>
      <c r="AC1063" s="62" t="s">
        <v>13264</v>
      </c>
      <c r="AD1063" s="62" t="s">
        <v>13265</v>
      </c>
    </row>
    <row r="1064" spans="1:30" x14ac:dyDescent="0.25">
      <c r="A1064" s="62" t="s">
        <v>109</v>
      </c>
      <c r="C1064" s="62" t="s">
        <v>13266</v>
      </c>
      <c r="F1064" s="62" t="s">
        <v>802</v>
      </c>
      <c r="G1064" s="62" t="s">
        <v>55258</v>
      </c>
      <c r="J1064" s="62" t="s">
        <v>13267</v>
      </c>
      <c r="K1064" s="62" t="s">
        <v>55274</v>
      </c>
      <c r="L1064" s="62" t="s">
        <v>13268</v>
      </c>
      <c r="M1064" s="62" t="s">
        <v>13269</v>
      </c>
      <c r="N1064" s="62" t="s">
        <v>13270</v>
      </c>
      <c r="O1064" s="62" t="s">
        <v>13271</v>
      </c>
      <c r="P1064" s="62" t="s">
        <v>55290</v>
      </c>
      <c r="Q1064" s="62" t="s">
        <v>13272</v>
      </c>
      <c r="R1064" s="62" t="s">
        <v>13273</v>
      </c>
      <c r="S1064" s="62" t="s">
        <v>13274</v>
      </c>
      <c r="U1064" s="62" t="s">
        <v>13275</v>
      </c>
      <c r="V1064" s="62" t="s">
        <v>55306</v>
      </c>
      <c r="W1064" s="62" t="s">
        <v>13276</v>
      </c>
      <c r="X1064" s="62" t="s">
        <v>13277</v>
      </c>
      <c r="Y1064" s="62" t="s">
        <v>13278</v>
      </c>
      <c r="Z1064" s="62" t="s">
        <v>13279</v>
      </c>
      <c r="AA1064" s="62" t="s">
        <v>55322</v>
      </c>
      <c r="AB1064" s="62" t="s">
        <v>13280</v>
      </c>
      <c r="AC1064" s="62" t="s">
        <v>13281</v>
      </c>
      <c r="AD1064" s="62" t="s">
        <v>13282</v>
      </c>
    </row>
    <row r="1065" spans="1:30" x14ac:dyDescent="0.25">
      <c r="A1065" s="62" t="s">
        <v>109</v>
      </c>
      <c r="C1065" s="62" t="s">
        <v>13283</v>
      </c>
      <c r="F1065" s="62" t="s">
        <v>159</v>
      </c>
      <c r="G1065" s="62" t="s">
        <v>55259</v>
      </c>
      <c r="J1065" s="62" t="s">
        <v>13284</v>
      </c>
      <c r="K1065" s="62" t="s">
        <v>55275</v>
      </c>
      <c r="L1065" s="62" t="s">
        <v>13285</v>
      </c>
      <c r="M1065" s="62" t="s">
        <v>13286</v>
      </c>
      <c r="N1065" s="62" t="s">
        <v>13287</v>
      </c>
      <c r="O1065" s="62" t="s">
        <v>13288</v>
      </c>
      <c r="P1065" s="62" t="s">
        <v>55291</v>
      </c>
      <c r="Q1065" s="62" t="s">
        <v>13289</v>
      </c>
      <c r="R1065" s="62" t="s">
        <v>13290</v>
      </c>
      <c r="S1065" s="62" t="s">
        <v>13291</v>
      </c>
      <c r="U1065" s="62" t="s">
        <v>13292</v>
      </c>
      <c r="V1065" s="62" t="s">
        <v>55307</v>
      </c>
      <c r="W1065" s="62" t="s">
        <v>13293</v>
      </c>
      <c r="X1065" s="62" t="s">
        <v>13294</v>
      </c>
      <c r="Y1065" s="62" t="s">
        <v>13295</v>
      </c>
      <c r="Z1065" s="62" t="s">
        <v>13296</v>
      </c>
      <c r="AA1065" s="62" t="s">
        <v>55323</v>
      </c>
      <c r="AB1065" s="62" t="s">
        <v>13297</v>
      </c>
      <c r="AC1065" s="62" t="s">
        <v>13298</v>
      </c>
      <c r="AD1065" s="62" t="s">
        <v>13299</v>
      </c>
    </row>
    <row r="1066" spans="1:30" x14ac:dyDescent="0.25">
      <c r="A1066" s="62" t="s">
        <v>109</v>
      </c>
      <c r="C1066" s="62" t="s">
        <v>13300</v>
      </c>
      <c r="F1066" s="62" t="s">
        <v>827</v>
      </c>
      <c r="G1066" s="62" t="s">
        <v>55260</v>
      </c>
      <c r="J1066" s="62" t="s">
        <v>13301</v>
      </c>
      <c r="K1066" s="62" t="s">
        <v>55276</v>
      </c>
      <c r="L1066" s="62" t="s">
        <v>13302</v>
      </c>
      <c r="M1066" s="62" t="s">
        <v>13303</v>
      </c>
      <c r="N1066" s="62" t="s">
        <v>13304</v>
      </c>
      <c r="O1066" s="62" t="s">
        <v>13305</v>
      </c>
      <c r="P1066" s="62" t="s">
        <v>55292</v>
      </c>
      <c r="Q1066" s="62" t="s">
        <v>13306</v>
      </c>
      <c r="R1066" s="62" t="s">
        <v>13307</v>
      </c>
      <c r="S1066" s="62" t="s">
        <v>13308</v>
      </c>
      <c r="U1066" s="62" t="s">
        <v>13309</v>
      </c>
      <c r="V1066" s="62" t="s">
        <v>55308</v>
      </c>
      <c r="W1066" s="62" t="s">
        <v>13310</v>
      </c>
      <c r="X1066" s="62" t="s">
        <v>13311</v>
      </c>
      <c r="Y1066" s="62" t="s">
        <v>13312</v>
      </c>
      <c r="Z1066" s="62" t="s">
        <v>13313</v>
      </c>
      <c r="AA1066" s="62" t="s">
        <v>55324</v>
      </c>
      <c r="AB1066" s="62" t="s">
        <v>13314</v>
      </c>
      <c r="AC1066" s="62" t="s">
        <v>13315</v>
      </c>
      <c r="AD1066" s="62" t="s">
        <v>13316</v>
      </c>
    </row>
    <row r="1067" spans="1:30" x14ac:dyDescent="0.25">
      <c r="A1067" s="62" t="s">
        <v>109</v>
      </c>
      <c r="C1067" s="62" t="s">
        <v>42185</v>
      </c>
      <c r="F1067" s="62" t="s">
        <v>889</v>
      </c>
      <c r="G1067" s="62" t="s">
        <v>55261</v>
      </c>
      <c r="J1067" s="62" t="s">
        <v>42186</v>
      </c>
      <c r="K1067" s="62" t="s">
        <v>55277</v>
      </c>
      <c r="L1067" s="62" t="s">
        <v>42187</v>
      </c>
      <c r="M1067" s="62" t="s">
        <v>42188</v>
      </c>
      <c r="N1067" s="62" t="s">
        <v>42189</v>
      </c>
      <c r="O1067" s="62" t="s">
        <v>42190</v>
      </c>
      <c r="P1067" s="62" t="s">
        <v>55293</v>
      </c>
      <c r="Q1067" s="62" t="s">
        <v>42191</v>
      </c>
      <c r="R1067" s="62" t="s">
        <v>42192</v>
      </c>
      <c r="S1067" s="62" t="s">
        <v>42193</v>
      </c>
      <c r="U1067" s="62" t="s">
        <v>42194</v>
      </c>
      <c r="V1067" s="62" t="s">
        <v>55309</v>
      </c>
      <c r="W1067" s="62" t="s">
        <v>42195</v>
      </c>
      <c r="X1067" s="62" t="s">
        <v>42196</v>
      </c>
      <c r="Y1067" s="62" t="s">
        <v>42197</v>
      </c>
      <c r="Z1067" s="62" t="s">
        <v>42198</v>
      </c>
      <c r="AA1067" s="62" t="s">
        <v>55325</v>
      </c>
      <c r="AB1067" s="62" t="s">
        <v>42199</v>
      </c>
      <c r="AC1067" s="62" t="s">
        <v>42200</v>
      </c>
      <c r="AD1067" s="62" t="s">
        <v>42201</v>
      </c>
    </row>
    <row r="1068" spans="1:30" x14ac:dyDescent="0.25">
      <c r="A1068" s="62" t="s">
        <v>109</v>
      </c>
      <c r="C1068" s="62" t="s">
        <v>13317</v>
      </c>
      <c r="F1068" s="62" t="s">
        <v>925</v>
      </c>
      <c r="G1068" s="62" t="s">
        <v>55262</v>
      </c>
      <c r="J1068" s="62" t="s">
        <v>42202</v>
      </c>
      <c r="K1068" s="62" t="s">
        <v>55278</v>
      </c>
      <c r="L1068" s="62" t="s">
        <v>42203</v>
      </c>
      <c r="M1068" s="62" t="s">
        <v>13318</v>
      </c>
      <c r="N1068" s="62" t="s">
        <v>13319</v>
      </c>
      <c r="O1068" s="62" t="s">
        <v>42204</v>
      </c>
      <c r="P1068" s="62" t="s">
        <v>55294</v>
      </c>
      <c r="Q1068" s="62" t="s">
        <v>42205</v>
      </c>
      <c r="R1068" s="62" t="s">
        <v>13320</v>
      </c>
      <c r="S1068" s="62" t="s">
        <v>13321</v>
      </c>
      <c r="U1068" s="62" t="s">
        <v>42206</v>
      </c>
      <c r="V1068" s="62" t="s">
        <v>55310</v>
      </c>
      <c r="W1068" s="62" t="s">
        <v>42207</v>
      </c>
      <c r="X1068" s="62" t="s">
        <v>13322</v>
      </c>
      <c r="Y1068" s="62" t="s">
        <v>13323</v>
      </c>
      <c r="Z1068" s="62" t="s">
        <v>42208</v>
      </c>
      <c r="AA1068" s="62" t="s">
        <v>55326</v>
      </c>
      <c r="AB1068" s="62" t="s">
        <v>42209</v>
      </c>
      <c r="AC1068" s="62" t="s">
        <v>13324</v>
      </c>
      <c r="AD1068" s="62" t="s">
        <v>13325</v>
      </c>
    </row>
    <row r="1069" spans="1:30" x14ac:dyDescent="0.25">
      <c r="A1069" s="62" t="s">
        <v>109</v>
      </c>
      <c r="C1069" s="62" t="s">
        <v>42210</v>
      </c>
      <c r="F1069" s="62" t="s">
        <v>176</v>
      </c>
      <c r="G1069" s="62" t="s">
        <v>55263</v>
      </c>
      <c r="J1069" s="62" t="s">
        <v>42211</v>
      </c>
      <c r="K1069" s="62" t="s">
        <v>55279</v>
      </c>
      <c r="L1069" s="62" t="s">
        <v>42212</v>
      </c>
      <c r="M1069" s="62" t="s">
        <v>42213</v>
      </c>
      <c r="N1069" s="62" t="s">
        <v>42214</v>
      </c>
      <c r="O1069" s="62" t="s">
        <v>42215</v>
      </c>
      <c r="P1069" s="62" t="s">
        <v>55295</v>
      </c>
      <c r="Q1069" s="62" t="s">
        <v>42216</v>
      </c>
      <c r="R1069" s="62" t="s">
        <v>42217</v>
      </c>
      <c r="S1069" s="62" t="s">
        <v>42218</v>
      </c>
      <c r="U1069" s="62" t="s">
        <v>42219</v>
      </c>
      <c r="V1069" s="62" t="s">
        <v>55311</v>
      </c>
      <c r="W1069" s="62" t="s">
        <v>42220</v>
      </c>
      <c r="X1069" s="62" t="s">
        <v>42221</v>
      </c>
      <c r="Y1069" s="62" t="s">
        <v>42222</v>
      </c>
      <c r="Z1069" s="62" t="s">
        <v>42223</v>
      </c>
      <c r="AA1069" s="62" t="s">
        <v>55327</v>
      </c>
      <c r="AB1069" s="62" t="s">
        <v>42224</v>
      </c>
      <c r="AC1069" s="62" t="s">
        <v>42225</v>
      </c>
      <c r="AD1069" s="62" t="s">
        <v>42226</v>
      </c>
    </row>
    <row r="1070" spans="1:30" x14ac:dyDescent="0.25">
      <c r="A1070" s="62" t="s">
        <v>109</v>
      </c>
      <c r="C1070" s="62" t="s">
        <v>42227</v>
      </c>
      <c r="F1070" s="62" t="s">
        <v>1002</v>
      </c>
      <c r="G1070" s="62" t="s">
        <v>55264</v>
      </c>
      <c r="J1070" s="62" t="s">
        <v>42228</v>
      </c>
      <c r="K1070" s="62" t="s">
        <v>55280</v>
      </c>
      <c r="L1070" s="62" t="s">
        <v>42229</v>
      </c>
      <c r="M1070" s="62" t="s">
        <v>42230</v>
      </c>
      <c r="N1070" s="62" t="s">
        <v>42231</v>
      </c>
      <c r="O1070" s="62" t="s">
        <v>42232</v>
      </c>
      <c r="P1070" s="62" t="s">
        <v>55296</v>
      </c>
      <c r="Q1070" s="62" t="s">
        <v>42233</v>
      </c>
      <c r="R1070" s="62" t="s">
        <v>42234</v>
      </c>
      <c r="S1070" s="62" t="s">
        <v>42235</v>
      </c>
      <c r="U1070" s="62" t="s">
        <v>42236</v>
      </c>
      <c r="V1070" s="62" t="s">
        <v>55312</v>
      </c>
      <c r="W1070" s="62" t="s">
        <v>42237</v>
      </c>
      <c r="X1070" s="62" t="s">
        <v>42238</v>
      </c>
      <c r="Y1070" s="62" t="s">
        <v>42239</v>
      </c>
      <c r="Z1070" s="62" t="s">
        <v>42240</v>
      </c>
      <c r="AA1070" s="62" t="s">
        <v>55328</v>
      </c>
      <c r="AB1070" s="62" t="s">
        <v>42241</v>
      </c>
      <c r="AC1070" s="62" t="s">
        <v>42242</v>
      </c>
      <c r="AD1070" s="62" t="s">
        <v>42243</v>
      </c>
    </row>
    <row r="1071" spans="1:30" x14ac:dyDescent="0.25">
      <c r="A1071" s="62" t="s">
        <v>109</v>
      </c>
      <c r="C1071" s="62" t="s">
        <v>13326</v>
      </c>
      <c r="F1071" s="62" t="s">
        <v>1030</v>
      </c>
      <c r="G1071" s="62" t="s">
        <v>55265</v>
      </c>
      <c r="J1071" s="62" t="s">
        <v>42244</v>
      </c>
      <c r="K1071" s="62" t="s">
        <v>55281</v>
      </c>
      <c r="L1071" s="62" t="s">
        <v>42245</v>
      </c>
      <c r="M1071" s="62" t="s">
        <v>42246</v>
      </c>
      <c r="N1071" s="62" t="s">
        <v>42247</v>
      </c>
      <c r="O1071" s="62" t="s">
        <v>42248</v>
      </c>
      <c r="P1071" s="62" t="s">
        <v>55297</v>
      </c>
      <c r="Q1071" s="62" t="s">
        <v>42249</v>
      </c>
      <c r="R1071" s="62" t="s">
        <v>42250</v>
      </c>
      <c r="S1071" s="62" t="s">
        <v>42251</v>
      </c>
      <c r="U1071" s="62" t="s">
        <v>42252</v>
      </c>
      <c r="V1071" s="62" t="s">
        <v>55313</v>
      </c>
      <c r="W1071" s="62" t="s">
        <v>42253</v>
      </c>
      <c r="X1071" s="62" t="s">
        <v>42254</v>
      </c>
      <c r="Y1071" s="62" t="s">
        <v>42255</v>
      </c>
      <c r="Z1071" s="62" t="s">
        <v>42256</v>
      </c>
      <c r="AA1071" s="62" t="s">
        <v>55329</v>
      </c>
      <c r="AB1071" s="62" t="s">
        <v>42257</v>
      </c>
      <c r="AC1071" s="62" t="s">
        <v>42258</v>
      </c>
      <c r="AD1071" s="62" t="s">
        <v>42259</v>
      </c>
    </row>
    <row r="1072" spans="1:30" x14ac:dyDescent="0.25">
      <c r="A1072" s="62" t="s">
        <v>109</v>
      </c>
      <c r="C1072" s="62" t="s">
        <v>13327</v>
      </c>
      <c r="F1072" s="62" t="s">
        <v>1100</v>
      </c>
      <c r="G1072" s="62" t="s">
        <v>55266</v>
      </c>
      <c r="J1072" s="62" t="s">
        <v>13328</v>
      </c>
      <c r="K1072" s="62" t="s">
        <v>55282</v>
      </c>
      <c r="L1072" s="62" t="s">
        <v>13329</v>
      </c>
      <c r="M1072" s="62" t="s">
        <v>13330</v>
      </c>
      <c r="N1072" s="62" t="s">
        <v>13331</v>
      </c>
      <c r="O1072" s="62" t="s">
        <v>13332</v>
      </c>
      <c r="P1072" s="62" t="s">
        <v>55298</v>
      </c>
      <c r="Q1072" s="62" t="s">
        <v>13333</v>
      </c>
      <c r="R1072" s="62" t="s">
        <v>13334</v>
      </c>
      <c r="S1072" s="62" t="s">
        <v>13335</v>
      </c>
      <c r="U1072" s="62" t="s">
        <v>13336</v>
      </c>
      <c r="V1072" s="62" t="s">
        <v>55314</v>
      </c>
      <c r="W1072" s="62" t="s">
        <v>13337</v>
      </c>
      <c r="X1072" s="62" t="s">
        <v>13338</v>
      </c>
      <c r="Y1072" s="62" t="s">
        <v>13339</v>
      </c>
      <c r="Z1072" s="62" t="s">
        <v>13340</v>
      </c>
      <c r="AA1072" s="62" t="s">
        <v>55330</v>
      </c>
      <c r="AB1072" s="62" t="s">
        <v>13341</v>
      </c>
      <c r="AC1072" s="62" t="s">
        <v>13342</v>
      </c>
      <c r="AD1072" s="62" t="s">
        <v>13343</v>
      </c>
    </row>
    <row r="1073" spans="1:30" x14ac:dyDescent="0.25">
      <c r="A1073" s="62" t="s">
        <v>109</v>
      </c>
      <c r="C1073" s="62" t="s">
        <v>13344</v>
      </c>
      <c r="F1073" s="62" t="s">
        <v>1152</v>
      </c>
      <c r="G1073" s="62" t="s">
        <v>55267</v>
      </c>
      <c r="J1073" s="62" t="s">
        <v>13345</v>
      </c>
      <c r="K1073" s="62" t="s">
        <v>55283</v>
      </c>
      <c r="L1073" s="62" t="s">
        <v>13346</v>
      </c>
      <c r="M1073" s="62" t="s">
        <v>13347</v>
      </c>
      <c r="N1073" s="62" t="s">
        <v>13348</v>
      </c>
      <c r="O1073" s="62" t="s">
        <v>13349</v>
      </c>
      <c r="P1073" s="62" t="s">
        <v>55299</v>
      </c>
      <c r="Q1073" s="62" t="s">
        <v>13350</v>
      </c>
      <c r="R1073" s="62" t="s">
        <v>13351</v>
      </c>
      <c r="S1073" s="62" t="s">
        <v>13352</v>
      </c>
      <c r="U1073" s="62" t="s">
        <v>13353</v>
      </c>
      <c r="V1073" s="62" t="s">
        <v>55315</v>
      </c>
      <c r="W1073" s="62" t="s">
        <v>13354</v>
      </c>
      <c r="X1073" s="62" t="s">
        <v>13355</v>
      </c>
      <c r="Y1073" s="62" t="s">
        <v>13356</v>
      </c>
      <c r="Z1073" s="62" t="s">
        <v>13357</v>
      </c>
      <c r="AA1073" s="62" t="s">
        <v>55331</v>
      </c>
      <c r="AB1073" s="62" t="s">
        <v>13358</v>
      </c>
      <c r="AC1073" s="62" t="s">
        <v>13359</v>
      </c>
      <c r="AD1073" s="62" t="s">
        <v>13360</v>
      </c>
    </row>
    <row r="1074" spans="1:30" x14ac:dyDescent="0.25">
      <c r="A1074" s="62" t="s">
        <v>109</v>
      </c>
      <c r="C1074" s="62" t="s">
        <v>13361</v>
      </c>
      <c r="F1074" s="62" t="s">
        <v>1688</v>
      </c>
      <c r="G1074" s="62" t="s">
        <v>55268</v>
      </c>
      <c r="J1074" s="62" t="s">
        <v>13362</v>
      </c>
      <c r="K1074" s="62" t="s">
        <v>55284</v>
      </c>
      <c r="L1074" s="62" t="s">
        <v>13363</v>
      </c>
      <c r="M1074" s="62" t="s">
        <v>13364</v>
      </c>
      <c r="N1074" s="62" t="s">
        <v>13365</v>
      </c>
      <c r="O1074" s="62" t="s">
        <v>13366</v>
      </c>
      <c r="P1074" s="62" t="s">
        <v>55300</v>
      </c>
      <c r="Q1074" s="62" t="s">
        <v>13367</v>
      </c>
      <c r="R1074" s="62" t="s">
        <v>13368</v>
      </c>
      <c r="S1074" s="62" t="s">
        <v>13369</v>
      </c>
      <c r="U1074" s="62" t="s">
        <v>13370</v>
      </c>
      <c r="V1074" s="62" t="s">
        <v>55316</v>
      </c>
      <c r="W1074" s="62" t="s">
        <v>13371</v>
      </c>
      <c r="X1074" s="62" t="s">
        <v>13372</v>
      </c>
      <c r="Y1074" s="62" t="s">
        <v>13373</v>
      </c>
      <c r="Z1074" s="62" t="s">
        <v>13374</v>
      </c>
      <c r="AA1074" s="62" t="s">
        <v>55332</v>
      </c>
      <c r="AB1074" s="62" t="s">
        <v>13375</v>
      </c>
      <c r="AC1074" s="62" t="s">
        <v>13376</v>
      </c>
      <c r="AD1074" s="62" t="s">
        <v>13377</v>
      </c>
    </row>
    <row r="1075" spans="1:30" x14ac:dyDescent="0.25">
      <c r="A1075" s="62" t="s">
        <v>109</v>
      </c>
      <c r="C1075" s="62" t="s">
        <v>13378</v>
      </c>
      <c r="F1075" s="62" t="s">
        <v>1161</v>
      </c>
      <c r="G1075" s="62" t="s">
        <v>55269</v>
      </c>
      <c r="J1075" s="62" t="s">
        <v>13379</v>
      </c>
      <c r="K1075" s="62" t="s">
        <v>55285</v>
      </c>
      <c r="L1075" s="62" t="s">
        <v>13380</v>
      </c>
      <c r="M1075" s="62" t="s">
        <v>13381</v>
      </c>
      <c r="N1075" s="62" t="s">
        <v>13382</v>
      </c>
      <c r="O1075" s="62" t="s">
        <v>13383</v>
      </c>
      <c r="P1075" s="62" t="s">
        <v>55301</v>
      </c>
      <c r="Q1075" s="62" t="s">
        <v>13384</v>
      </c>
      <c r="R1075" s="62" t="s">
        <v>13385</v>
      </c>
      <c r="S1075" s="62" t="s">
        <v>13386</v>
      </c>
      <c r="U1075" s="62" t="s">
        <v>13387</v>
      </c>
      <c r="V1075" s="62" t="s">
        <v>55317</v>
      </c>
      <c r="W1075" s="62" t="s">
        <v>13388</v>
      </c>
      <c r="X1075" s="62" t="s">
        <v>13389</v>
      </c>
      <c r="Y1075" s="62" t="s">
        <v>13390</v>
      </c>
      <c r="Z1075" s="62" t="s">
        <v>13391</v>
      </c>
      <c r="AA1075" s="62" t="s">
        <v>55333</v>
      </c>
      <c r="AB1075" s="62" t="s">
        <v>13392</v>
      </c>
      <c r="AC1075" s="62" t="s">
        <v>13393</v>
      </c>
      <c r="AD1075" s="62" t="s">
        <v>13394</v>
      </c>
    </row>
    <row r="1076" spans="1:30" x14ac:dyDescent="0.25">
      <c r="A1076" s="62" t="s">
        <v>109</v>
      </c>
      <c r="C1076" s="62" t="s">
        <v>13395</v>
      </c>
      <c r="F1076" s="62" t="s">
        <v>1178</v>
      </c>
      <c r="G1076" s="62" t="s">
        <v>55270</v>
      </c>
      <c r="J1076" s="62" t="s">
        <v>13396</v>
      </c>
      <c r="K1076" s="62" t="s">
        <v>55286</v>
      </c>
      <c r="L1076" s="62" t="s">
        <v>13397</v>
      </c>
      <c r="M1076" s="62" t="s">
        <v>13398</v>
      </c>
      <c r="N1076" s="62" t="s">
        <v>13399</v>
      </c>
      <c r="O1076" s="62" t="s">
        <v>13400</v>
      </c>
      <c r="P1076" s="62" t="s">
        <v>55302</v>
      </c>
      <c r="Q1076" s="62" t="s">
        <v>13401</v>
      </c>
      <c r="R1076" s="62" t="s">
        <v>13402</v>
      </c>
      <c r="S1076" s="62" t="s">
        <v>13403</v>
      </c>
      <c r="U1076" s="62" t="s">
        <v>13404</v>
      </c>
      <c r="V1076" s="62" t="s">
        <v>55318</v>
      </c>
      <c r="W1076" s="62" t="s">
        <v>13405</v>
      </c>
      <c r="X1076" s="62" t="s">
        <v>13406</v>
      </c>
      <c r="Y1076" s="62" t="s">
        <v>13407</v>
      </c>
      <c r="Z1076" s="62" t="s">
        <v>13408</v>
      </c>
      <c r="AA1076" s="62" t="s">
        <v>55334</v>
      </c>
      <c r="AB1076" s="62" t="s">
        <v>13409</v>
      </c>
      <c r="AC1076" s="62" t="s">
        <v>13410</v>
      </c>
      <c r="AD1076" s="62" t="s">
        <v>13411</v>
      </c>
    </row>
    <row r="1077" spans="1:30" x14ac:dyDescent="0.25">
      <c r="A1077" s="62" t="s">
        <v>109</v>
      </c>
      <c r="C1077" s="62" t="s">
        <v>13412</v>
      </c>
      <c r="F1077" s="62" t="s">
        <v>1206</v>
      </c>
      <c r="G1077" s="62" t="s">
        <v>55271</v>
      </c>
      <c r="J1077" s="62" t="s">
        <v>13413</v>
      </c>
      <c r="K1077" s="62" t="s">
        <v>55287</v>
      </c>
      <c r="L1077" s="62" t="s">
        <v>13414</v>
      </c>
      <c r="M1077" s="62" t="s">
        <v>13415</v>
      </c>
      <c r="N1077" s="62" t="s">
        <v>13416</v>
      </c>
      <c r="O1077" s="62" t="s">
        <v>13417</v>
      </c>
      <c r="P1077" s="62" t="s">
        <v>55303</v>
      </c>
      <c r="Q1077" s="62" t="s">
        <v>13418</v>
      </c>
      <c r="R1077" s="62" t="s">
        <v>13419</v>
      </c>
      <c r="S1077" s="62" t="s">
        <v>13420</v>
      </c>
      <c r="U1077" s="62" t="s">
        <v>13421</v>
      </c>
      <c r="V1077" s="62" t="s">
        <v>55319</v>
      </c>
      <c r="W1077" s="62" t="s">
        <v>13422</v>
      </c>
      <c r="X1077" s="62" t="s">
        <v>13423</v>
      </c>
      <c r="Y1077" s="62" t="s">
        <v>13424</v>
      </c>
      <c r="Z1077" s="62" t="s">
        <v>13425</v>
      </c>
      <c r="AA1077" s="62" t="s">
        <v>55335</v>
      </c>
      <c r="AB1077" s="62" t="s">
        <v>13426</v>
      </c>
      <c r="AC1077" s="62" t="s">
        <v>13427</v>
      </c>
      <c r="AD1077" s="62" t="s">
        <v>13428</v>
      </c>
    </row>
    <row r="1078" spans="1:30" x14ac:dyDescent="0.25">
      <c r="A1078" s="62" t="s">
        <v>109</v>
      </c>
      <c r="C1078" s="62" t="s">
        <v>13429</v>
      </c>
      <c r="F1078" s="62" t="s">
        <v>1797</v>
      </c>
      <c r="G1078" s="62" t="s">
        <v>55272</v>
      </c>
      <c r="J1078" s="62" t="s">
        <v>13430</v>
      </c>
      <c r="K1078" s="62" t="s">
        <v>55288</v>
      </c>
      <c r="L1078" s="62" t="s">
        <v>13431</v>
      </c>
      <c r="M1078" s="62" t="s">
        <v>13432</v>
      </c>
      <c r="N1078" s="62" t="s">
        <v>13433</v>
      </c>
      <c r="O1078" s="62" t="s">
        <v>13434</v>
      </c>
      <c r="P1078" s="62" t="s">
        <v>55304</v>
      </c>
      <c r="Q1078" s="62" t="s">
        <v>13435</v>
      </c>
      <c r="R1078" s="62" t="s">
        <v>13436</v>
      </c>
      <c r="S1078" s="62" t="s">
        <v>13437</v>
      </c>
      <c r="U1078" s="62" t="s">
        <v>13438</v>
      </c>
      <c r="V1078" s="62" t="s">
        <v>55320</v>
      </c>
      <c r="W1078" s="62" t="s">
        <v>13439</v>
      </c>
      <c r="X1078" s="62" t="s">
        <v>13440</v>
      </c>
      <c r="Y1078" s="62" t="s">
        <v>13441</v>
      </c>
      <c r="Z1078" s="62" t="s">
        <v>13442</v>
      </c>
      <c r="AA1078" s="62" t="s">
        <v>55336</v>
      </c>
      <c r="AB1078" s="62" t="s">
        <v>13443</v>
      </c>
      <c r="AC1078" s="62" t="s">
        <v>13444</v>
      </c>
      <c r="AD1078" s="62" t="s">
        <v>13445</v>
      </c>
    </row>
    <row r="1079" spans="1:30" x14ac:dyDescent="0.25">
      <c r="A1079" s="62" t="s">
        <v>109</v>
      </c>
      <c r="C1079" s="62" t="s">
        <v>13266</v>
      </c>
    </row>
    <row r="1080" spans="1:30" x14ac:dyDescent="0.25">
      <c r="A1080" s="62" t="s">
        <v>109</v>
      </c>
      <c r="C1080" s="62" t="s">
        <v>13446</v>
      </c>
      <c r="G1080" s="62" t="s">
        <v>42260</v>
      </c>
      <c r="J1080" s="62" t="s">
        <v>42261</v>
      </c>
      <c r="K1080" s="62" t="s">
        <v>42262</v>
      </c>
      <c r="L1080" s="62" t="s">
        <v>42263</v>
      </c>
      <c r="M1080" s="62" t="s">
        <v>13447</v>
      </c>
      <c r="N1080" s="62" t="s">
        <v>13448</v>
      </c>
      <c r="O1080" s="62" t="s">
        <v>42264</v>
      </c>
      <c r="P1080" s="62" t="s">
        <v>42265</v>
      </c>
      <c r="Q1080" s="62" t="s">
        <v>42266</v>
      </c>
      <c r="R1080" s="62" t="s">
        <v>13449</v>
      </c>
      <c r="S1080" s="62" t="s">
        <v>13450</v>
      </c>
      <c r="U1080" s="62" t="s">
        <v>42267</v>
      </c>
      <c r="V1080" s="62" t="s">
        <v>42268</v>
      </c>
      <c r="W1080" s="62" t="s">
        <v>42269</v>
      </c>
      <c r="X1080" s="62" t="s">
        <v>13451</v>
      </c>
      <c r="Y1080" s="62" t="s">
        <v>13452</v>
      </c>
      <c r="Z1080" s="62" t="s">
        <v>42270</v>
      </c>
      <c r="AA1080" s="62" t="s">
        <v>42271</v>
      </c>
      <c r="AB1080" s="62" t="s">
        <v>42272</v>
      </c>
      <c r="AC1080" s="62" t="s">
        <v>13453</v>
      </c>
      <c r="AD1080" s="62" t="s">
        <v>13454</v>
      </c>
    </row>
    <row r="1081" spans="1:30" x14ac:dyDescent="0.25">
      <c r="A1081" s="62" t="s">
        <v>109</v>
      </c>
    </row>
    <row r="1082" spans="1:30" x14ac:dyDescent="0.25">
      <c r="A1082" s="62" t="s">
        <v>109</v>
      </c>
      <c r="C1082" s="62" t="s">
        <v>42273</v>
      </c>
      <c r="E1082" s="62" t="s">
        <v>391</v>
      </c>
      <c r="G1082" s="62" t="s">
        <v>42274</v>
      </c>
    </row>
    <row r="1083" spans="1:30" x14ac:dyDescent="0.25">
      <c r="A1083" s="62" t="s">
        <v>109</v>
      </c>
      <c r="C1083" s="62" t="s">
        <v>13455</v>
      </c>
    </row>
    <row r="1084" spans="1:30" x14ac:dyDescent="0.25">
      <c r="A1084" s="62" t="s">
        <v>109</v>
      </c>
      <c r="C1084" s="62" t="s">
        <v>13456</v>
      </c>
      <c r="F1084" s="62" t="s">
        <v>42275</v>
      </c>
      <c r="G1084" s="62" t="s">
        <v>55127</v>
      </c>
      <c r="J1084" s="62" t="s">
        <v>13457</v>
      </c>
      <c r="K1084" s="62" t="s">
        <v>55153</v>
      </c>
      <c r="L1084" s="62" t="s">
        <v>13458</v>
      </c>
      <c r="M1084" s="62" t="s">
        <v>13459</v>
      </c>
      <c r="N1084" s="62" t="s">
        <v>13460</v>
      </c>
      <c r="O1084" s="62" t="s">
        <v>13461</v>
      </c>
      <c r="P1084" s="62" t="s">
        <v>55179</v>
      </c>
      <c r="Q1084" s="62" t="s">
        <v>13462</v>
      </c>
      <c r="R1084" s="62" t="s">
        <v>13463</v>
      </c>
      <c r="S1084" s="62" t="s">
        <v>13464</v>
      </c>
      <c r="U1084" s="62" t="s">
        <v>13465</v>
      </c>
      <c r="V1084" s="62" t="s">
        <v>55205</v>
      </c>
      <c r="W1084" s="62" t="s">
        <v>13466</v>
      </c>
      <c r="X1084" s="62" t="s">
        <v>13467</v>
      </c>
      <c r="Y1084" s="62" t="s">
        <v>13468</v>
      </c>
      <c r="Z1084" s="62" t="s">
        <v>13469</v>
      </c>
      <c r="AA1084" s="62" t="s">
        <v>55231</v>
      </c>
      <c r="AB1084" s="62" t="s">
        <v>13470</v>
      </c>
      <c r="AC1084" s="62" t="s">
        <v>13471</v>
      </c>
      <c r="AD1084" s="62" t="s">
        <v>13472</v>
      </c>
    </row>
    <row r="1085" spans="1:30" x14ac:dyDescent="0.25">
      <c r="A1085" s="62" t="s">
        <v>109</v>
      </c>
      <c r="C1085" s="62" t="s">
        <v>13473</v>
      </c>
      <c r="F1085" s="62" t="s">
        <v>731</v>
      </c>
      <c r="G1085" s="62" t="s">
        <v>55128</v>
      </c>
      <c r="J1085" s="62" t="s">
        <v>13474</v>
      </c>
      <c r="K1085" s="62" t="s">
        <v>55154</v>
      </c>
      <c r="L1085" s="62" t="s">
        <v>13475</v>
      </c>
      <c r="M1085" s="62" t="s">
        <v>13476</v>
      </c>
      <c r="N1085" s="62" t="s">
        <v>13477</v>
      </c>
      <c r="O1085" s="62" t="s">
        <v>13478</v>
      </c>
      <c r="P1085" s="62" t="s">
        <v>55180</v>
      </c>
      <c r="Q1085" s="62" t="s">
        <v>13479</v>
      </c>
      <c r="R1085" s="62" t="s">
        <v>13480</v>
      </c>
      <c r="S1085" s="62" t="s">
        <v>13481</v>
      </c>
      <c r="U1085" s="62" t="s">
        <v>13482</v>
      </c>
      <c r="V1085" s="62" t="s">
        <v>55206</v>
      </c>
      <c r="W1085" s="62" t="s">
        <v>13483</v>
      </c>
      <c r="X1085" s="62" t="s">
        <v>13484</v>
      </c>
      <c r="Y1085" s="62" t="s">
        <v>13485</v>
      </c>
      <c r="Z1085" s="62" t="s">
        <v>13486</v>
      </c>
      <c r="AA1085" s="62" t="s">
        <v>55232</v>
      </c>
      <c r="AB1085" s="62" t="s">
        <v>13487</v>
      </c>
      <c r="AC1085" s="62" t="s">
        <v>13488</v>
      </c>
      <c r="AD1085" s="62" t="s">
        <v>13489</v>
      </c>
    </row>
    <row r="1086" spans="1:30" x14ac:dyDescent="0.25">
      <c r="A1086" s="62" t="s">
        <v>109</v>
      </c>
      <c r="C1086" s="62" t="s">
        <v>13490</v>
      </c>
      <c r="F1086" s="62" t="s">
        <v>758</v>
      </c>
      <c r="G1086" s="62" t="s">
        <v>55129</v>
      </c>
      <c r="J1086" s="62" t="s">
        <v>13491</v>
      </c>
      <c r="K1086" s="62" t="s">
        <v>55155</v>
      </c>
      <c r="L1086" s="62" t="s">
        <v>13492</v>
      </c>
      <c r="M1086" s="62" t="s">
        <v>13493</v>
      </c>
      <c r="N1086" s="62" t="s">
        <v>13494</v>
      </c>
      <c r="O1086" s="62" t="s">
        <v>13495</v>
      </c>
      <c r="P1086" s="62" t="s">
        <v>55181</v>
      </c>
      <c r="Q1086" s="62" t="s">
        <v>13496</v>
      </c>
      <c r="R1086" s="62" t="s">
        <v>13497</v>
      </c>
      <c r="S1086" s="62" t="s">
        <v>13498</v>
      </c>
      <c r="U1086" s="62" t="s">
        <v>13499</v>
      </c>
      <c r="V1086" s="62" t="s">
        <v>55207</v>
      </c>
      <c r="W1086" s="62" t="s">
        <v>13500</v>
      </c>
      <c r="X1086" s="62" t="s">
        <v>13501</v>
      </c>
      <c r="Y1086" s="62" t="s">
        <v>13502</v>
      </c>
      <c r="Z1086" s="62" t="s">
        <v>13503</v>
      </c>
      <c r="AA1086" s="62" t="s">
        <v>55233</v>
      </c>
      <c r="AB1086" s="62" t="s">
        <v>13504</v>
      </c>
      <c r="AC1086" s="62" t="s">
        <v>13505</v>
      </c>
      <c r="AD1086" s="62" t="s">
        <v>13506</v>
      </c>
    </row>
    <row r="1087" spans="1:30" x14ac:dyDescent="0.25">
      <c r="A1087" s="62" t="s">
        <v>109</v>
      </c>
      <c r="C1087" s="62" t="s">
        <v>13507</v>
      </c>
      <c r="F1087" s="62" t="s">
        <v>2135</v>
      </c>
      <c r="G1087" s="62" t="s">
        <v>55130</v>
      </c>
      <c r="J1087" s="62" t="s">
        <v>13508</v>
      </c>
      <c r="K1087" s="62" t="s">
        <v>55156</v>
      </c>
      <c r="L1087" s="62" t="s">
        <v>13509</v>
      </c>
      <c r="M1087" s="62" t="s">
        <v>13510</v>
      </c>
      <c r="N1087" s="62" t="s">
        <v>13511</v>
      </c>
      <c r="O1087" s="62" t="s">
        <v>13512</v>
      </c>
      <c r="P1087" s="62" t="s">
        <v>55182</v>
      </c>
      <c r="Q1087" s="62" t="s">
        <v>13513</v>
      </c>
      <c r="R1087" s="62" t="s">
        <v>13514</v>
      </c>
      <c r="S1087" s="62" t="s">
        <v>13515</v>
      </c>
      <c r="U1087" s="62" t="s">
        <v>13516</v>
      </c>
      <c r="V1087" s="62" t="s">
        <v>55208</v>
      </c>
      <c r="W1087" s="62" t="s">
        <v>13517</v>
      </c>
      <c r="X1087" s="62" t="s">
        <v>13518</v>
      </c>
      <c r="Y1087" s="62" t="s">
        <v>13519</v>
      </c>
      <c r="Z1087" s="62" t="s">
        <v>13520</v>
      </c>
      <c r="AA1087" s="62" t="s">
        <v>55234</v>
      </c>
      <c r="AB1087" s="62" t="s">
        <v>13521</v>
      </c>
      <c r="AC1087" s="62" t="s">
        <v>13522</v>
      </c>
      <c r="AD1087" s="62" t="s">
        <v>13523</v>
      </c>
    </row>
    <row r="1088" spans="1:30" x14ac:dyDescent="0.25">
      <c r="A1088" s="62" t="s">
        <v>109</v>
      </c>
      <c r="C1088" s="62" t="s">
        <v>13524</v>
      </c>
      <c r="F1088" s="62" t="s">
        <v>2153</v>
      </c>
      <c r="G1088" s="62" t="s">
        <v>55131</v>
      </c>
      <c r="J1088" s="62" t="s">
        <v>13525</v>
      </c>
      <c r="K1088" s="62" t="s">
        <v>55157</v>
      </c>
      <c r="L1088" s="62" t="s">
        <v>13526</v>
      </c>
      <c r="M1088" s="62" t="s">
        <v>13527</v>
      </c>
      <c r="N1088" s="62" t="s">
        <v>13528</v>
      </c>
      <c r="O1088" s="62" t="s">
        <v>13529</v>
      </c>
      <c r="P1088" s="62" t="s">
        <v>55183</v>
      </c>
      <c r="Q1088" s="62" t="s">
        <v>13530</v>
      </c>
      <c r="R1088" s="62" t="s">
        <v>13531</v>
      </c>
      <c r="S1088" s="62" t="s">
        <v>13532</v>
      </c>
      <c r="U1088" s="62" t="s">
        <v>13533</v>
      </c>
      <c r="V1088" s="62" t="s">
        <v>55209</v>
      </c>
      <c r="W1088" s="62" t="s">
        <v>13534</v>
      </c>
      <c r="X1088" s="62" t="s">
        <v>13535</v>
      </c>
      <c r="Y1088" s="62" t="s">
        <v>13536</v>
      </c>
      <c r="Z1088" s="62" t="s">
        <v>13537</v>
      </c>
      <c r="AA1088" s="62" t="s">
        <v>55235</v>
      </c>
      <c r="AB1088" s="62" t="s">
        <v>13538</v>
      </c>
      <c r="AC1088" s="62" t="s">
        <v>13539</v>
      </c>
      <c r="AD1088" s="62" t="s">
        <v>13540</v>
      </c>
    </row>
    <row r="1089" spans="1:30" x14ac:dyDescent="0.25">
      <c r="A1089" s="62" t="s">
        <v>109</v>
      </c>
      <c r="C1089" s="62" t="s">
        <v>13541</v>
      </c>
      <c r="F1089" s="62" t="s">
        <v>2170</v>
      </c>
      <c r="G1089" s="62" t="s">
        <v>55132</v>
      </c>
      <c r="J1089" s="62" t="s">
        <v>13542</v>
      </c>
      <c r="K1089" s="62" t="s">
        <v>55158</v>
      </c>
      <c r="L1089" s="62" t="s">
        <v>13543</v>
      </c>
      <c r="M1089" s="62" t="s">
        <v>13544</v>
      </c>
      <c r="N1089" s="62" t="s">
        <v>13545</v>
      </c>
      <c r="O1089" s="62" t="s">
        <v>13546</v>
      </c>
      <c r="P1089" s="62" t="s">
        <v>55184</v>
      </c>
      <c r="Q1089" s="62" t="s">
        <v>13547</v>
      </c>
      <c r="R1089" s="62" t="s">
        <v>13548</v>
      </c>
      <c r="S1089" s="62" t="s">
        <v>13549</v>
      </c>
      <c r="U1089" s="62" t="s">
        <v>13550</v>
      </c>
      <c r="V1089" s="62" t="s">
        <v>55210</v>
      </c>
      <c r="W1089" s="62" t="s">
        <v>13551</v>
      </c>
      <c r="X1089" s="62" t="s">
        <v>13552</v>
      </c>
      <c r="Y1089" s="62" t="s">
        <v>13553</v>
      </c>
      <c r="Z1089" s="62" t="s">
        <v>13554</v>
      </c>
      <c r="AA1089" s="62" t="s">
        <v>55236</v>
      </c>
      <c r="AB1089" s="62" t="s">
        <v>13555</v>
      </c>
      <c r="AC1089" s="62" t="s">
        <v>13556</v>
      </c>
      <c r="AD1089" s="62" t="s">
        <v>13557</v>
      </c>
    </row>
    <row r="1090" spans="1:30" x14ac:dyDescent="0.25">
      <c r="A1090" s="62" t="s">
        <v>109</v>
      </c>
      <c r="C1090" s="62" t="s">
        <v>13558</v>
      </c>
      <c r="F1090" s="62" t="s">
        <v>2187</v>
      </c>
      <c r="G1090" s="62" t="s">
        <v>55133</v>
      </c>
      <c r="J1090" s="62" t="s">
        <v>13559</v>
      </c>
      <c r="K1090" s="62" t="s">
        <v>55159</v>
      </c>
      <c r="L1090" s="62" t="s">
        <v>13560</v>
      </c>
      <c r="M1090" s="62" t="s">
        <v>13561</v>
      </c>
      <c r="N1090" s="62" t="s">
        <v>13562</v>
      </c>
      <c r="O1090" s="62" t="s">
        <v>13563</v>
      </c>
      <c r="P1090" s="62" t="s">
        <v>55185</v>
      </c>
      <c r="Q1090" s="62" t="s">
        <v>13564</v>
      </c>
      <c r="R1090" s="62" t="s">
        <v>13565</v>
      </c>
      <c r="S1090" s="62" t="s">
        <v>13566</v>
      </c>
      <c r="U1090" s="62" t="s">
        <v>13567</v>
      </c>
      <c r="V1090" s="62" t="s">
        <v>55211</v>
      </c>
      <c r="W1090" s="62" t="s">
        <v>13568</v>
      </c>
      <c r="X1090" s="62" t="s">
        <v>13569</v>
      </c>
      <c r="Y1090" s="62" t="s">
        <v>13570</v>
      </c>
      <c r="Z1090" s="62" t="s">
        <v>13571</v>
      </c>
      <c r="AA1090" s="62" t="s">
        <v>55237</v>
      </c>
      <c r="AB1090" s="62" t="s">
        <v>13572</v>
      </c>
      <c r="AC1090" s="62" t="s">
        <v>13573</v>
      </c>
      <c r="AD1090" s="62" t="s">
        <v>13574</v>
      </c>
    </row>
    <row r="1091" spans="1:30" x14ac:dyDescent="0.25">
      <c r="A1091" s="62" t="s">
        <v>109</v>
      </c>
      <c r="C1091" s="62" t="s">
        <v>13575</v>
      </c>
      <c r="F1091" s="62" t="s">
        <v>976</v>
      </c>
      <c r="G1091" s="62" t="s">
        <v>55134</v>
      </c>
      <c r="J1091" s="62" t="s">
        <v>13576</v>
      </c>
      <c r="K1091" s="62" t="s">
        <v>55160</v>
      </c>
      <c r="L1091" s="62" t="s">
        <v>13577</v>
      </c>
      <c r="M1091" s="62" t="s">
        <v>13578</v>
      </c>
      <c r="N1091" s="62" t="s">
        <v>13579</v>
      </c>
      <c r="O1091" s="62" t="s">
        <v>13580</v>
      </c>
      <c r="P1091" s="62" t="s">
        <v>55186</v>
      </c>
      <c r="Q1091" s="62" t="s">
        <v>13581</v>
      </c>
      <c r="R1091" s="62" t="s">
        <v>13582</v>
      </c>
      <c r="S1091" s="62" t="s">
        <v>13583</v>
      </c>
      <c r="U1091" s="62" t="s">
        <v>13584</v>
      </c>
      <c r="V1091" s="62" t="s">
        <v>55212</v>
      </c>
      <c r="W1091" s="62" t="s">
        <v>13585</v>
      </c>
      <c r="X1091" s="62" t="s">
        <v>13586</v>
      </c>
      <c r="Y1091" s="62" t="s">
        <v>13587</v>
      </c>
      <c r="Z1091" s="62" t="s">
        <v>13588</v>
      </c>
      <c r="AA1091" s="62" t="s">
        <v>55238</v>
      </c>
      <c r="AB1091" s="62" t="s">
        <v>13589</v>
      </c>
      <c r="AC1091" s="62" t="s">
        <v>13590</v>
      </c>
      <c r="AD1091" s="62" t="s">
        <v>13591</v>
      </c>
    </row>
    <row r="1092" spans="1:30" x14ac:dyDescent="0.25">
      <c r="A1092" s="62" t="s">
        <v>109</v>
      </c>
      <c r="C1092" s="62" t="s">
        <v>13592</v>
      </c>
      <c r="F1092" s="62" t="s">
        <v>2212</v>
      </c>
      <c r="G1092" s="62" t="s">
        <v>55135</v>
      </c>
      <c r="J1092" s="62" t="s">
        <v>13593</v>
      </c>
      <c r="K1092" s="62" t="s">
        <v>55161</v>
      </c>
      <c r="L1092" s="62" t="s">
        <v>13594</v>
      </c>
      <c r="M1092" s="62" t="s">
        <v>13595</v>
      </c>
      <c r="N1092" s="62" t="s">
        <v>13596</v>
      </c>
      <c r="O1092" s="62" t="s">
        <v>13597</v>
      </c>
      <c r="P1092" s="62" t="s">
        <v>55187</v>
      </c>
      <c r="Q1092" s="62" t="s">
        <v>13598</v>
      </c>
      <c r="R1092" s="62" t="s">
        <v>13599</v>
      </c>
      <c r="S1092" s="62" t="s">
        <v>13600</v>
      </c>
      <c r="U1092" s="62" t="s">
        <v>13601</v>
      </c>
      <c r="V1092" s="62" t="s">
        <v>55213</v>
      </c>
      <c r="W1092" s="62" t="s">
        <v>13602</v>
      </c>
      <c r="X1092" s="62" t="s">
        <v>13603</v>
      </c>
      <c r="Y1092" s="62" t="s">
        <v>13604</v>
      </c>
      <c r="Z1092" s="62" t="s">
        <v>13605</v>
      </c>
      <c r="AA1092" s="62" t="s">
        <v>55239</v>
      </c>
      <c r="AB1092" s="62" t="s">
        <v>13606</v>
      </c>
      <c r="AC1092" s="62" t="s">
        <v>13607</v>
      </c>
      <c r="AD1092" s="62" t="s">
        <v>13608</v>
      </c>
    </row>
    <row r="1093" spans="1:30" x14ac:dyDescent="0.25">
      <c r="A1093" s="62" t="s">
        <v>109</v>
      </c>
      <c r="C1093" s="62" t="s">
        <v>13609</v>
      </c>
      <c r="F1093" s="62" t="s">
        <v>193</v>
      </c>
      <c r="G1093" s="62" t="s">
        <v>55136</v>
      </c>
      <c r="J1093" s="62" t="s">
        <v>13610</v>
      </c>
      <c r="K1093" s="62" t="s">
        <v>55162</v>
      </c>
      <c r="L1093" s="62" t="s">
        <v>13611</v>
      </c>
      <c r="M1093" s="62" t="s">
        <v>13612</v>
      </c>
      <c r="N1093" s="62" t="s">
        <v>13613</v>
      </c>
      <c r="O1093" s="62" t="s">
        <v>13614</v>
      </c>
      <c r="P1093" s="62" t="s">
        <v>55188</v>
      </c>
      <c r="Q1093" s="62" t="s">
        <v>13615</v>
      </c>
      <c r="R1093" s="62" t="s">
        <v>13616</v>
      </c>
      <c r="S1093" s="62" t="s">
        <v>13617</v>
      </c>
      <c r="U1093" s="62" t="s">
        <v>13618</v>
      </c>
      <c r="V1093" s="62" t="s">
        <v>55214</v>
      </c>
      <c r="W1093" s="62" t="s">
        <v>13619</v>
      </c>
      <c r="X1093" s="62" t="s">
        <v>13620</v>
      </c>
      <c r="Y1093" s="62" t="s">
        <v>13621</v>
      </c>
      <c r="Z1093" s="62" t="s">
        <v>13622</v>
      </c>
      <c r="AA1093" s="62" t="s">
        <v>55240</v>
      </c>
      <c r="AB1093" s="62" t="s">
        <v>13623</v>
      </c>
      <c r="AC1093" s="62" t="s">
        <v>13624</v>
      </c>
      <c r="AD1093" s="62" t="s">
        <v>13625</v>
      </c>
    </row>
    <row r="1094" spans="1:30" x14ac:dyDescent="0.25">
      <c r="A1094" s="62" t="s">
        <v>109</v>
      </c>
      <c r="C1094" s="62" t="s">
        <v>13626</v>
      </c>
      <c r="F1094" s="62" t="s">
        <v>2222</v>
      </c>
      <c r="G1094" s="62" t="s">
        <v>55137</v>
      </c>
      <c r="J1094" s="62" t="s">
        <v>13627</v>
      </c>
      <c r="K1094" s="62" t="s">
        <v>55163</v>
      </c>
      <c r="L1094" s="62" t="s">
        <v>13628</v>
      </c>
      <c r="M1094" s="62" t="s">
        <v>13629</v>
      </c>
      <c r="N1094" s="62" t="s">
        <v>13630</v>
      </c>
      <c r="O1094" s="62" t="s">
        <v>13631</v>
      </c>
      <c r="P1094" s="62" t="s">
        <v>55189</v>
      </c>
      <c r="Q1094" s="62" t="s">
        <v>13632</v>
      </c>
      <c r="R1094" s="62" t="s">
        <v>13633</v>
      </c>
      <c r="S1094" s="62" t="s">
        <v>13634</v>
      </c>
      <c r="U1094" s="62" t="s">
        <v>13635</v>
      </c>
      <c r="V1094" s="62" t="s">
        <v>55215</v>
      </c>
      <c r="W1094" s="62" t="s">
        <v>13636</v>
      </c>
      <c r="X1094" s="62" t="s">
        <v>13637</v>
      </c>
      <c r="Y1094" s="62" t="s">
        <v>13638</v>
      </c>
      <c r="Z1094" s="62" t="s">
        <v>13639</v>
      </c>
      <c r="AA1094" s="62" t="s">
        <v>55241</v>
      </c>
      <c r="AB1094" s="62" t="s">
        <v>13640</v>
      </c>
      <c r="AC1094" s="62" t="s">
        <v>13641</v>
      </c>
      <c r="AD1094" s="62" t="s">
        <v>13642</v>
      </c>
    </row>
    <row r="1095" spans="1:30" x14ac:dyDescent="0.25">
      <c r="A1095" s="62" t="s">
        <v>109</v>
      </c>
      <c r="C1095" s="62" t="s">
        <v>13643</v>
      </c>
      <c r="F1095" s="62" t="s">
        <v>2240</v>
      </c>
      <c r="G1095" s="62" t="s">
        <v>55138</v>
      </c>
      <c r="J1095" s="62" t="s">
        <v>13644</v>
      </c>
      <c r="K1095" s="62" t="s">
        <v>55164</v>
      </c>
      <c r="L1095" s="62" t="s">
        <v>13645</v>
      </c>
      <c r="M1095" s="62" t="s">
        <v>13646</v>
      </c>
      <c r="N1095" s="62" t="s">
        <v>13647</v>
      </c>
      <c r="O1095" s="62" t="s">
        <v>13648</v>
      </c>
      <c r="P1095" s="62" t="s">
        <v>55190</v>
      </c>
      <c r="Q1095" s="62" t="s">
        <v>13649</v>
      </c>
      <c r="R1095" s="62" t="s">
        <v>13650</v>
      </c>
      <c r="S1095" s="62" t="s">
        <v>13651</v>
      </c>
      <c r="U1095" s="62" t="s">
        <v>13652</v>
      </c>
      <c r="V1095" s="62" t="s">
        <v>55216</v>
      </c>
      <c r="W1095" s="62" t="s">
        <v>13653</v>
      </c>
      <c r="X1095" s="62" t="s">
        <v>13654</v>
      </c>
      <c r="Y1095" s="62" t="s">
        <v>13655</v>
      </c>
      <c r="Z1095" s="62" t="s">
        <v>13656</v>
      </c>
      <c r="AA1095" s="62" t="s">
        <v>55242</v>
      </c>
      <c r="AB1095" s="62" t="s">
        <v>13657</v>
      </c>
      <c r="AC1095" s="62" t="s">
        <v>13658</v>
      </c>
      <c r="AD1095" s="62" t="s">
        <v>13659</v>
      </c>
    </row>
    <row r="1096" spans="1:30" x14ac:dyDescent="0.25">
      <c r="A1096" s="62" t="s">
        <v>109</v>
      </c>
      <c r="C1096" s="62" t="s">
        <v>13660</v>
      </c>
      <c r="F1096" s="62" t="s">
        <v>210</v>
      </c>
      <c r="G1096" s="62" t="s">
        <v>55139</v>
      </c>
      <c r="J1096" s="62" t="s">
        <v>13661</v>
      </c>
      <c r="K1096" s="62" t="s">
        <v>55165</v>
      </c>
      <c r="L1096" s="62" t="s">
        <v>13662</v>
      </c>
      <c r="M1096" s="62" t="s">
        <v>13663</v>
      </c>
      <c r="N1096" s="62" t="s">
        <v>13664</v>
      </c>
      <c r="O1096" s="62" t="s">
        <v>13665</v>
      </c>
      <c r="P1096" s="62" t="s">
        <v>55191</v>
      </c>
      <c r="Q1096" s="62" t="s">
        <v>13666</v>
      </c>
      <c r="R1096" s="62" t="s">
        <v>13667</v>
      </c>
      <c r="S1096" s="62" t="s">
        <v>13668</v>
      </c>
      <c r="U1096" s="62" t="s">
        <v>13669</v>
      </c>
      <c r="V1096" s="62" t="s">
        <v>55217</v>
      </c>
      <c r="W1096" s="62" t="s">
        <v>13670</v>
      </c>
      <c r="X1096" s="62" t="s">
        <v>13671</v>
      </c>
      <c r="Y1096" s="62" t="s">
        <v>13672</v>
      </c>
      <c r="Z1096" s="62" t="s">
        <v>13673</v>
      </c>
      <c r="AA1096" s="62" t="s">
        <v>55243</v>
      </c>
      <c r="AB1096" s="62" t="s">
        <v>13674</v>
      </c>
      <c r="AC1096" s="62" t="s">
        <v>13675</v>
      </c>
      <c r="AD1096" s="62" t="s">
        <v>13676</v>
      </c>
    </row>
    <row r="1097" spans="1:30" x14ac:dyDescent="0.25">
      <c r="A1097" s="62" t="s">
        <v>109</v>
      </c>
      <c r="C1097" s="62" t="s">
        <v>13677</v>
      </c>
      <c r="F1097" s="62" t="s">
        <v>236</v>
      </c>
      <c r="G1097" s="62" t="s">
        <v>55140</v>
      </c>
      <c r="J1097" s="62" t="s">
        <v>13678</v>
      </c>
      <c r="K1097" s="62" t="s">
        <v>55166</v>
      </c>
      <c r="L1097" s="62" t="s">
        <v>13679</v>
      </c>
      <c r="M1097" s="62" t="s">
        <v>13680</v>
      </c>
      <c r="N1097" s="62" t="s">
        <v>13681</v>
      </c>
      <c r="O1097" s="62" t="s">
        <v>13682</v>
      </c>
      <c r="P1097" s="62" t="s">
        <v>55192</v>
      </c>
      <c r="Q1097" s="62" t="s">
        <v>13683</v>
      </c>
      <c r="R1097" s="62" t="s">
        <v>13684</v>
      </c>
      <c r="S1097" s="62" t="s">
        <v>13685</v>
      </c>
      <c r="U1097" s="62" t="s">
        <v>13686</v>
      </c>
      <c r="V1097" s="62" t="s">
        <v>55218</v>
      </c>
      <c r="W1097" s="62" t="s">
        <v>13687</v>
      </c>
      <c r="X1097" s="62" t="s">
        <v>13688</v>
      </c>
      <c r="Y1097" s="62" t="s">
        <v>13689</v>
      </c>
      <c r="Z1097" s="62" t="s">
        <v>13690</v>
      </c>
      <c r="AA1097" s="62" t="s">
        <v>55244</v>
      </c>
      <c r="AB1097" s="62" t="s">
        <v>13691</v>
      </c>
      <c r="AC1097" s="62" t="s">
        <v>13692</v>
      </c>
      <c r="AD1097" s="62" t="s">
        <v>13693</v>
      </c>
    </row>
    <row r="1098" spans="1:30" x14ac:dyDescent="0.25">
      <c r="A1098" s="62" t="s">
        <v>109</v>
      </c>
      <c r="C1098" s="62" t="s">
        <v>13694</v>
      </c>
      <c r="F1098" s="62" t="s">
        <v>237</v>
      </c>
      <c r="G1098" s="62" t="s">
        <v>55141</v>
      </c>
      <c r="J1098" s="62" t="s">
        <v>13695</v>
      </c>
      <c r="K1098" s="62" t="s">
        <v>55167</v>
      </c>
      <c r="L1098" s="62" t="s">
        <v>13696</v>
      </c>
      <c r="M1098" s="62" t="s">
        <v>13697</v>
      </c>
      <c r="N1098" s="62" t="s">
        <v>13698</v>
      </c>
      <c r="O1098" s="62" t="s">
        <v>13699</v>
      </c>
      <c r="P1098" s="62" t="s">
        <v>55193</v>
      </c>
      <c r="Q1098" s="62" t="s">
        <v>13700</v>
      </c>
      <c r="R1098" s="62" t="s">
        <v>13701</v>
      </c>
      <c r="S1098" s="62" t="s">
        <v>13702</v>
      </c>
      <c r="U1098" s="62" t="s">
        <v>13703</v>
      </c>
      <c r="V1098" s="62" t="s">
        <v>55219</v>
      </c>
      <c r="W1098" s="62" t="s">
        <v>13704</v>
      </c>
      <c r="X1098" s="62" t="s">
        <v>13705</v>
      </c>
      <c r="Y1098" s="62" t="s">
        <v>13706</v>
      </c>
      <c r="Z1098" s="62" t="s">
        <v>13707</v>
      </c>
      <c r="AA1098" s="62" t="s">
        <v>55245</v>
      </c>
      <c r="AB1098" s="62" t="s">
        <v>13708</v>
      </c>
      <c r="AC1098" s="62" t="s">
        <v>13709</v>
      </c>
      <c r="AD1098" s="62" t="s">
        <v>13710</v>
      </c>
    </row>
    <row r="1099" spans="1:30" x14ac:dyDescent="0.25">
      <c r="A1099" s="62" t="s">
        <v>109</v>
      </c>
      <c r="C1099" s="62" t="s">
        <v>13711</v>
      </c>
      <c r="F1099" s="62" t="s">
        <v>2299</v>
      </c>
      <c r="G1099" s="62" t="s">
        <v>55142</v>
      </c>
      <c r="J1099" s="62" t="s">
        <v>13712</v>
      </c>
      <c r="K1099" s="62" t="s">
        <v>55168</v>
      </c>
      <c r="L1099" s="62" t="s">
        <v>13713</v>
      </c>
      <c r="M1099" s="62" t="s">
        <v>13714</v>
      </c>
      <c r="N1099" s="62" t="s">
        <v>13715</v>
      </c>
      <c r="O1099" s="62" t="s">
        <v>13716</v>
      </c>
      <c r="P1099" s="62" t="s">
        <v>55194</v>
      </c>
      <c r="Q1099" s="62" t="s">
        <v>13717</v>
      </c>
      <c r="R1099" s="62" t="s">
        <v>13718</v>
      </c>
      <c r="S1099" s="62" t="s">
        <v>13719</v>
      </c>
      <c r="U1099" s="62" t="s">
        <v>13720</v>
      </c>
      <c r="V1099" s="62" t="s">
        <v>55220</v>
      </c>
      <c r="W1099" s="62" t="s">
        <v>13721</v>
      </c>
      <c r="X1099" s="62" t="s">
        <v>13722</v>
      </c>
      <c r="Y1099" s="62" t="s">
        <v>13723</v>
      </c>
      <c r="Z1099" s="62" t="s">
        <v>13724</v>
      </c>
      <c r="AA1099" s="62" t="s">
        <v>55246</v>
      </c>
      <c r="AB1099" s="62" t="s">
        <v>13725</v>
      </c>
      <c r="AC1099" s="62" t="s">
        <v>13726</v>
      </c>
      <c r="AD1099" s="62" t="s">
        <v>13727</v>
      </c>
    </row>
    <row r="1100" spans="1:30" x14ac:dyDescent="0.25">
      <c r="A1100" s="62" t="s">
        <v>109</v>
      </c>
      <c r="C1100" s="62" t="s">
        <v>13728</v>
      </c>
      <c r="F1100" s="62" t="s">
        <v>2308</v>
      </c>
      <c r="G1100" s="62" t="s">
        <v>55143</v>
      </c>
      <c r="J1100" s="62" t="s">
        <v>13729</v>
      </c>
      <c r="K1100" s="62" t="s">
        <v>55169</v>
      </c>
      <c r="L1100" s="62" t="s">
        <v>13730</v>
      </c>
      <c r="M1100" s="62" t="s">
        <v>13731</v>
      </c>
      <c r="N1100" s="62" t="s">
        <v>13732</v>
      </c>
      <c r="O1100" s="62" t="s">
        <v>13733</v>
      </c>
      <c r="P1100" s="62" t="s">
        <v>55195</v>
      </c>
      <c r="Q1100" s="62" t="s">
        <v>13734</v>
      </c>
      <c r="R1100" s="62" t="s">
        <v>13735</v>
      </c>
      <c r="S1100" s="62" t="s">
        <v>13736</v>
      </c>
      <c r="U1100" s="62" t="s">
        <v>13737</v>
      </c>
      <c r="V1100" s="62" t="s">
        <v>55221</v>
      </c>
      <c r="W1100" s="62" t="s">
        <v>13738</v>
      </c>
      <c r="X1100" s="62" t="s">
        <v>13739</v>
      </c>
      <c r="Y1100" s="62" t="s">
        <v>13740</v>
      </c>
      <c r="Z1100" s="62" t="s">
        <v>13741</v>
      </c>
      <c r="AA1100" s="62" t="s">
        <v>55247</v>
      </c>
      <c r="AB1100" s="62" t="s">
        <v>13742</v>
      </c>
      <c r="AC1100" s="62" t="s">
        <v>13743</v>
      </c>
      <c r="AD1100" s="62" t="s">
        <v>13744</v>
      </c>
    </row>
    <row r="1101" spans="1:30" x14ac:dyDescent="0.25">
      <c r="A1101" s="62" t="s">
        <v>109</v>
      </c>
      <c r="C1101" s="62" t="s">
        <v>13745</v>
      </c>
      <c r="F1101" s="62" t="s">
        <v>4942</v>
      </c>
      <c r="G1101" s="62" t="s">
        <v>55144</v>
      </c>
      <c r="J1101" s="62" t="s">
        <v>13746</v>
      </c>
      <c r="K1101" s="62" t="s">
        <v>55170</v>
      </c>
      <c r="L1101" s="62" t="s">
        <v>13747</v>
      </c>
      <c r="M1101" s="62" t="s">
        <v>13748</v>
      </c>
      <c r="N1101" s="62" t="s">
        <v>13749</v>
      </c>
      <c r="O1101" s="62" t="s">
        <v>13750</v>
      </c>
      <c r="P1101" s="62" t="s">
        <v>55196</v>
      </c>
      <c r="Q1101" s="62" t="s">
        <v>13751</v>
      </c>
      <c r="R1101" s="62" t="s">
        <v>13752</v>
      </c>
      <c r="S1101" s="62" t="s">
        <v>13753</v>
      </c>
      <c r="U1101" s="62" t="s">
        <v>13754</v>
      </c>
      <c r="V1101" s="62" t="s">
        <v>55222</v>
      </c>
      <c r="W1101" s="62" t="s">
        <v>13755</v>
      </c>
      <c r="X1101" s="62" t="s">
        <v>13756</v>
      </c>
      <c r="Y1101" s="62" t="s">
        <v>13757</v>
      </c>
      <c r="Z1101" s="62" t="s">
        <v>13758</v>
      </c>
      <c r="AA1101" s="62" t="s">
        <v>55248</v>
      </c>
      <c r="AB1101" s="62" t="s">
        <v>13759</v>
      </c>
      <c r="AC1101" s="62" t="s">
        <v>13760</v>
      </c>
      <c r="AD1101" s="62" t="s">
        <v>13761</v>
      </c>
    </row>
    <row r="1102" spans="1:30" x14ac:dyDescent="0.25">
      <c r="A1102" s="62" t="s">
        <v>109</v>
      </c>
      <c r="C1102" s="62" t="s">
        <v>13762</v>
      </c>
      <c r="F1102" s="62" t="s">
        <v>2310</v>
      </c>
      <c r="G1102" s="62" t="s">
        <v>55145</v>
      </c>
      <c r="J1102" s="62" t="s">
        <v>13763</v>
      </c>
      <c r="K1102" s="62" t="s">
        <v>55171</v>
      </c>
      <c r="L1102" s="62" t="s">
        <v>13764</v>
      </c>
      <c r="M1102" s="62" t="s">
        <v>13765</v>
      </c>
      <c r="N1102" s="62" t="s">
        <v>13766</v>
      </c>
      <c r="O1102" s="62" t="s">
        <v>13767</v>
      </c>
      <c r="P1102" s="62" t="s">
        <v>55197</v>
      </c>
      <c r="Q1102" s="62" t="s">
        <v>13768</v>
      </c>
      <c r="R1102" s="62" t="s">
        <v>13769</v>
      </c>
      <c r="S1102" s="62" t="s">
        <v>13770</v>
      </c>
      <c r="U1102" s="62" t="s">
        <v>13771</v>
      </c>
      <c r="V1102" s="62" t="s">
        <v>55223</v>
      </c>
      <c r="W1102" s="62" t="s">
        <v>13772</v>
      </c>
      <c r="X1102" s="62" t="s">
        <v>13773</v>
      </c>
      <c r="Y1102" s="62" t="s">
        <v>13774</v>
      </c>
      <c r="Z1102" s="62" t="s">
        <v>13775</v>
      </c>
      <c r="AA1102" s="62" t="s">
        <v>55249</v>
      </c>
      <c r="AB1102" s="62" t="s">
        <v>13776</v>
      </c>
      <c r="AC1102" s="62" t="s">
        <v>13777</v>
      </c>
      <c r="AD1102" s="62" t="s">
        <v>13778</v>
      </c>
    </row>
    <row r="1103" spans="1:30" x14ac:dyDescent="0.25">
      <c r="A1103" s="62" t="s">
        <v>109</v>
      </c>
      <c r="C1103" s="62" t="s">
        <v>13779</v>
      </c>
      <c r="F1103" s="62" t="s">
        <v>3185</v>
      </c>
      <c r="G1103" s="62" t="s">
        <v>55146</v>
      </c>
      <c r="J1103" s="62" t="s">
        <v>13780</v>
      </c>
      <c r="K1103" s="62" t="s">
        <v>55172</v>
      </c>
      <c r="L1103" s="62" t="s">
        <v>13781</v>
      </c>
      <c r="M1103" s="62" t="s">
        <v>13782</v>
      </c>
      <c r="N1103" s="62" t="s">
        <v>13783</v>
      </c>
      <c r="O1103" s="62" t="s">
        <v>13784</v>
      </c>
      <c r="P1103" s="62" t="s">
        <v>55198</v>
      </c>
      <c r="Q1103" s="62" t="s">
        <v>13785</v>
      </c>
      <c r="R1103" s="62" t="s">
        <v>13786</v>
      </c>
      <c r="S1103" s="62" t="s">
        <v>13787</v>
      </c>
      <c r="U1103" s="62" t="s">
        <v>13788</v>
      </c>
      <c r="V1103" s="62" t="s">
        <v>55224</v>
      </c>
      <c r="W1103" s="62" t="s">
        <v>13789</v>
      </c>
      <c r="X1103" s="62" t="s">
        <v>13790</v>
      </c>
      <c r="Y1103" s="62" t="s">
        <v>13791</v>
      </c>
      <c r="Z1103" s="62" t="s">
        <v>13792</v>
      </c>
      <c r="AA1103" s="62" t="s">
        <v>55250</v>
      </c>
      <c r="AB1103" s="62" t="s">
        <v>13793</v>
      </c>
      <c r="AC1103" s="62" t="s">
        <v>13794</v>
      </c>
      <c r="AD1103" s="62" t="s">
        <v>13795</v>
      </c>
    </row>
    <row r="1104" spans="1:30" x14ac:dyDescent="0.25">
      <c r="A1104" s="62" t="s">
        <v>109</v>
      </c>
      <c r="C1104" s="62" t="s">
        <v>13796</v>
      </c>
      <c r="F1104" s="62" t="s">
        <v>2464</v>
      </c>
      <c r="G1104" s="62" t="s">
        <v>55147</v>
      </c>
      <c r="J1104" s="62" t="s">
        <v>13797</v>
      </c>
      <c r="K1104" s="62" t="s">
        <v>55173</v>
      </c>
      <c r="L1104" s="62" t="s">
        <v>13798</v>
      </c>
      <c r="M1104" s="62" t="s">
        <v>13799</v>
      </c>
      <c r="N1104" s="62" t="s">
        <v>13800</v>
      </c>
      <c r="O1104" s="62" t="s">
        <v>13801</v>
      </c>
      <c r="P1104" s="62" t="s">
        <v>55199</v>
      </c>
      <c r="Q1104" s="62" t="s">
        <v>13802</v>
      </c>
      <c r="R1104" s="62" t="s">
        <v>13803</v>
      </c>
      <c r="S1104" s="62" t="s">
        <v>13804</v>
      </c>
      <c r="U1104" s="62" t="s">
        <v>13805</v>
      </c>
      <c r="V1104" s="62" t="s">
        <v>55225</v>
      </c>
      <c r="W1104" s="62" t="s">
        <v>13806</v>
      </c>
      <c r="X1104" s="62" t="s">
        <v>13807</v>
      </c>
      <c r="Y1104" s="62" t="s">
        <v>13808</v>
      </c>
      <c r="Z1104" s="62" t="s">
        <v>13809</v>
      </c>
      <c r="AA1104" s="62" t="s">
        <v>55251</v>
      </c>
      <c r="AB1104" s="62" t="s">
        <v>13810</v>
      </c>
      <c r="AC1104" s="62" t="s">
        <v>13811</v>
      </c>
      <c r="AD1104" s="62" t="s">
        <v>13812</v>
      </c>
    </row>
    <row r="1105" spans="1:30" x14ac:dyDescent="0.25">
      <c r="A1105" s="62" t="s">
        <v>109</v>
      </c>
      <c r="C1105" s="62" t="s">
        <v>13813</v>
      </c>
      <c r="F1105" s="62" t="s">
        <v>2311</v>
      </c>
      <c r="G1105" s="62" t="s">
        <v>55148</v>
      </c>
      <c r="J1105" s="62" t="s">
        <v>13814</v>
      </c>
      <c r="K1105" s="62" t="s">
        <v>55174</v>
      </c>
      <c r="L1105" s="62" t="s">
        <v>13815</v>
      </c>
      <c r="M1105" s="62" t="s">
        <v>13816</v>
      </c>
      <c r="N1105" s="62" t="s">
        <v>13817</v>
      </c>
      <c r="O1105" s="62" t="s">
        <v>13818</v>
      </c>
      <c r="P1105" s="62" t="s">
        <v>55200</v>
      </c>
      <c r="Q1105" s="62" t="s">
        <v>13819</v>
      </c>
      <c r="R1105" s="62" t="s">
        <v>13820</v>
      </c>
      <c r="S1105" s="62" t="s">
        <v>13821</v>
      </c>
      <c r="U1105" s="62" t="s">
        <v>13822</v>
      </c>
      <c r="V1105" s="62" t="s">
        <v>55226</v>
      </c>
      <c r="W1105" s="62" t="s">
        <v>13823</v>
      </c>
      <c r="X1105" s="62" t="s">
        <v>13824</v>
      </c>
      <c r="Y1105" s="62" t="s">
        <v>13825</v>
      </c>
      <c r="Z1105" s="62" t="s">
        <v>13826</v>
      </c>
      <c r="AA1105" s="62" t="s">
        <v>55252</v>
      </c>
      <c r="AB1105" s="62" t="s">
        <v>13827</v>
      </c>
      <c r="AC1105" s="62" t="s">
        <v>13828</v>
      </c>
      <c r="AD1105" s="62" t="s">
        <v>13829</v>
      </c>
    </row>
    <row r="1106" spans="1:30" x14ac:dyDescent="0.25">
      <c r="A1106" s="62" t="s">
        <v>109</v>
      </c>
      <c r="C1106" s="62" t="s">
        <v>13830</v>
      </c>
      <c r="F1106" s="62" t="s">
        <v>1100</v>
      </c>
      <c r="G1106" s="62" t="s">
        <v>55149</v>
      </c>
      <c r="J1106" s="62" t="s">
        <v>13831</v>
      </c>
      <c r="K1106" s="62" t="s">
        <v>55175</v>
      </c>
      <c r="L1106" s="62" t="s">
        <v>13832</v>
      </c>
      <c r="M1106" s="62" t="s">
        <v>13833</v>
      </c>
      <c r="N1106" s="62" t="s">
        <v>13834</v>
      </c>
      <c r="O1106" s="62" t="s">
        <v>13835</v>
      </c>
      <c r="P1106" s="62" t="s">
        <v>55201</v>
      </c>
      <c r="Q1106" s="62" t="s">
        <v>13836</v>
      </c>
      <c r="R1106" s="62" t="s">
        <v>13837</v>
      </c>
      <c r="S1106" s="62" t="s">
        <v>13838</v>
      </c>
      <c r="U1106" s="62" t="s">
        <v>13839</v>
      </c>
      <c r="V1106" s="62" t="s">
        <v>55227</v>
      </c>
      <c r="W1106" s="62" t="s">
        <v>13840</v>
      </c>
      <c r="X1106" s="62" t="s">
        <v>13841</v>
      </c>
      <c r="Y1106" s="62" t="s">
        <v>13842</v>
      </c>
      <c r="Z1106" s="62" t="s">
        <v>13843</v>
      </c>
      <c r="AA1106" s="62" t="s">
        <v>55253</v>
      </c>
      <c r="AB1106" s="62" t="s">
        <v>13844</v>
      </c>
      <c r="AC1106" s="62" t="s">
        <v>13845</v>
      </c>
      <c r="AD1106" s="62" t="s">
        <v>13846</v>
      </c>
    </row>
    <row r="1107" spans="1:30" x14ac:dyDescent="0.25">
      <c r="A1107" s="62" t="s">
        <v>109</v>
      </c>
      <c r="C1107" s="62" t="s">
        <v>13847</v>
      </c>
      <c r="F1107" s="62" t="s">
        <v>2337</v>
      </c>
      <c r="G1107" s="62" t="s">
        <v>55150</v>
      </c>
      <c r="J1107" s="62" t="s">
        <v>13848</v>
      </c>
      <c r="K1107" s="62" t="s">
        <v>55176</v>
      </c>
      <c r="L1107" s="62" t="s">
        <v>13849</v>
      </c>
      <c r="M1107" s="62" t="s">
        <v>13850</v>
      </c>
      <c r="N1107" s="62" t="s">
        <v>13851</v>
      </c>
      <c r="O1107" s="62" t="s">
        <v>13852</v>
      </c>
      <c r="P1107" s="62" t="s">
        <v>55202</v>
      </c>
      <c r="Q1107" s="62" t="s">
        <v>13853</v>
      </c>
      <c r="R1107" s="62" t="s">
        <v>13854</v>
      </c>
      <c r="S1107" s="62" t="s">
        <v>13855</v>
      </c>
      <c r="U1107" s="62" t="s">
        <v>13856</v>
      </c>
      <c r="V1107" s="62" t="s">
        <v>55228</v>
      </c>
      <c r="W1107" s="62" t="s">
        <v>13857</v>
      </c>
      <c r="X1107" s="62" t="s">
        <v>13858</v>
      </c>
      <c r="Y1107" s="62" t="s">
        <v>13859</v>
      </c>
      <c r="Z1107" s="62" t="s">
        <v>13860</v>
      </c>
      <c r="AA1107" s="62" t="s">
        <v>55254</v>
      </c>
      <c r="AB1107" s="62" t="s">
        <v>13861</v>
      </c>
      <c r="AC1107" s="62" t="s">
        <v>13862</v>
      </c>
      <c r="AD1107" s="62" t="s">
        <v>13863</v>
      </c>
    </row>
    <row r="1108" spans="1:30" x14ac:dyDescent="0.25">
      <c r="A1108" s="62" t="s">
        <v>109</v>
      </c>
      <c r="C1108" s="62" t="s">
        <v>13864</v>
      </c>
      <c r="F1108" s="62" t="s">
        <v>2355</v>
      </c>
      <c r="G1108" s="62" t="s">
        <v>55151</v>
      </c>
      <c r="J1108" s="62" t="s">
        <v>13865</v>
      </c>
      <c r="K1108" s="62" t="s">
        <v>55177</v>
      </c>
      <c r="L1108" s="62" t="s">
        <v>13866</v>
      </c>
      <c r="M1108" s="62" t="s">
        <v>13867</v>
      </c>
      <c r="N1108" s="62" t="s">
        <v>13868</v>
      </c>
      <c r="O1108" s="62" t="s">
        <v>13869</v>
      </c>
      <c r="P1108" s="62" t="s">
        <v>55203</v>
      </c>
      <c r="Q1108" s="62" t="s">
        <v>13870</v>
      </c>
      <c r="R1108" s="62" t="s">
        <v>13871</v>
      </c>
      <c r="S1108" s="62" t="s">
        <v>13872</v>
      </c>
      <c r="U1108" s="62" t="s">
        <v>13873</v>
      </c>
      <c r="V1108" s="62" t="s">
        <v>55229</v>
      </c>
      <c r="W1108" s="62" t="s">
        <v>13874</v>
      </c>
      <c r="X1108" s="62" t="s">
        <v>13875</v>
      </c>
      <c r="Y1108" s="62" t="s">
        <v>13876</v>
      </c>
      <c r="Z1108" s="62" t="s">
        <v>13877</v>
      </c>
      <c r="AA1108" s="62" t="s">
        <v>55255</v>
      </c>
      <c r="AB1108" s="62" t="s">
        <v>13878</v>
      </c>
      <c r="AC1108" s="62" t="s">
        <v>13879</v>
      </c>
      <c r="AD1108" s="62" t="s">
        <v>13880</v>
      </c>
    </row>
    <row r="1109" spans="1:30" x14ac:dyDescent="0.25">
      <c r="A1109" s="62" t="s">
        <v>109</v>
      </c>
      <c r="C1109" s="62" t="s">
        <v>13881</v>
      </c>
      <c r="F1109" s="62" t="s">
        <v>2372</v>
      </c>
      <c r="G1109" s="62" t="s">
        <v>55152</v>
      </c>
      <c r="J1109" s="62" t="s">
        <v>13882</v>
      </c>
      <c r="K1109" s="62" t="s">
        <v>55178</v>
      </c>
      <c r="L1109" s="62" t="s">
        <v>13883</v>
      </c>
      <c r="M1109" s="62" t="s">
        <v>13884</v>
      </c>
      <c r="N1109" s="62" t="s">
        <v>13885</v>
      </c>
      <c r="O1109" s="62" t="s">
        <v>13886</v>
      </c>
      <c r="P1109" s="62" t="s">
        <v>55204</v>
      </c>
      <c r="Q1109" s="62" t="s">
        <v>13887</v>
      </c>
      <c r="R1109" s="62" t="s">
        <v>13888</v>
      </c>
      <c r="S1109" s="62" t="s">
        <v>13889</v>
      </c>
      <c r="U1109" s="62" t="s">
        <v>13890</v>
      </c>
      <c r="V1109" s="62" t="s">
        <v>55230</v>
      </c>
      <c r="W1109" s="62" t="s">
        <v>13891</v>
      </c>
      <c r="X1109" s="62" t="s">
        <v>13892</v>
      </c>
      <c r="Y1109" s="62" t="s">
        <v>13893</v>
      </c>
      <c r="Z1109" s="62" t="s">
        <v>13894</v>
      </c>
      <c r="AA1109" s="62" t="s">
        <v>55256</v>
      </c>
      <c r="AB1109" s="62" t="s">
        <v>13895</v>
      </c>
      <c r="AC1109" s="62" t="s">
        <v>13896</v>
      </c>
      <c r="AD1109" s="62" t="s">
        <v>13897</v>
      </c>
    </row>
    <row r="1110" spans="1:30" x14ac:dyDescent="0.25">
      <c r="A1110" s="62" t="s">
        <v>109</v>
      </c>
      <c r="C1110" s="62" t="s">
        <v>13473</v>
      </c>
    </row>
    <row r="1111" spans="1:30" x14ac:dyDescent="0.25">
      <c r="A1111" s="62" t="s">
        <v>109</v>
      </c>
      <c r="C1111" s="62" t="s">
        <v>13898</v>
      </c>
      <c r="G1111" s="62" t="s">
        <v>42276</v>
      </c>
      <c r="J1111" s="62" t="s">
        <v>42277</v>
      </c>
      <c r="K1111" s="62" t="s">
        <v>42278</v>
      </c>
      <c r="L1111" s="62" t="s">
        <v>42279</v>
      </c>
      <c r="M1111" s="62" t="s">
        <v>13899</v>
      </c>
      <c r="N1111" s="62" t="s">
        <v>13900</v>
      </c>
      <c r="O1111" s="62" t="s">
        <v>42280</v>
      </c>
      <c r="P1111" s="62" t="s">
        <v>42281</v>
      </c>
      <c r="Q1111" s="62" t="s">
        <v>42282</v>
      </c>
      <c r="R1111" s="62" t="s">
        <v>13901</v>
      </c>
      <c r="S1111" s="62" t="s">
        <v>13902</v>
      </c>
      <c r="U1111" s="62" t="s">
        <v>42283</v>
      </c>
      <c r="V1111" s="62" t="s">
        <v>42284</v>
      </c>
      <c r="W1111" s="62" t="s">
        <v>42285</v>
      </c>
      <c r="X1111" s="62" t="s">
        <v>13903</v>
      </c>
      <c r="Y1111" s="62" t="s">
        <v>13904</v>
      </c>
      <c r="Z1111" s="62" t="s">
        <v>42286</v>
      </c>
      <c r="AA1111" s="62" t="s">
        <v>42287</v>
      </c>
      <c r="AB1111" s="62" t="s">
        <v>42288</v>
      </c>
      <c r="AC1111" s="62" t="s">
        <v>13905</v>
      </c>
      <c r="AD1111" s="62" t="s">
        <v>13906</v>
      </c>
    </row>
    <row r="1112" spans="1:30" x14ac:dyDescent="0.25">
      <c r="A1112" s="62" t="s">
        <v>109</v>
      </c>
    </row>
    <row r="1113" spans="1:30" x14ac:dyDescent="0.25">
      <c r="A1113" s="62" t="s">
        <v>109</v>
      </c>
      <c r="C1113" s="62" t="s">
        <v>42289</v>
      </c>
      <c r="E1113" s="62" t="s">
        <v>408</v>
      </c>
      <c r="G1113" s="62" t="s">
        <v>42290</v>
      </c>
    </row>
    <row r="1114" spans="1:30" x14ac:dyDescent="0.25">
      <c r="A1114" s="62" t="s">
        <v>109</v>
      </c>
      <c r="C1114" s="62" t="s">
        <v>13907</v>
      </c>
    </row>
    <row r="1115" spans="1:30" x14ac:dyDescent="0.25">
      <c r="A1115" s="62" t="s">
        <v>109</v>
      </c>
      <c r="C1115" s="62" t="s">
        <v>42291</v>
      </c>
      <c r="F1115" s="62" t="s">
        <v>42292</v>
      </c>
      <c r="G1115" s="62" t="s">
        <v>55022</v>
      </c>
      <c r="J1115" s="62" t="s">
        <v>42293</v>
      </c>
      <c r="K1115" s="62" t="s">
        <v>55043</v>
      </c>
      <c r="L1115" s="62" t="s">
        <v>42294</v>
      </c>
      <c r="M1115" s="62" t="s">
        <v>42295</v>
      </c>
      <c r="N1115" s="62" t="s">
        <v>42296</v>
      </c>
      <c r="O1115" s="62" t="s">
        <v>42297</v>
      </c>
      <c r="P1115" s="62" t="s">
        <v>55064</v>
      </c>
      <c r="Q1115" s="62" t="s">
        <v>42298</v>
      </c>
      <c r="R1115" s="62" t="s">
        <v>42299</v>
      </c>
      <c r="S1115" s="62" t="s">
        <v>42300</v>
      </c>
      <c r="U1115" s="62" t="s">
        <v>42301</v>
      </c>
      <c r="V1115" s="62" t="s">
        <v>55085</v>
      </c>
      <c r="W1115" s="62" t="s">
        <v>42302</v>
      </c>
      <c r="X1115" s="62" t="s">
        <v>42303</v>
      </c>
      <c r="Y1115" s="62" t="s">
        <v>42304</v>
      </c>
      <c r="Z1115" s="62" t="s">
        <v>42305</v>
      </c>
      <c r="AA1115" s="62" t="s">
        <v>55106</v>
      </c>
      <c r="AB1115" s="62" t="s">
        <v>42306</v>
      </c>
      <c r="AC1115" s="62" t="s">
        <v>42307</v>
      </c>
      <c r="AD1115" s="62" t="s">
        <v>42308</v>
      </c>
    </row>
    <row r="1116" spans="1:30" x14ac:dyDescent="0.25">
      <c r="A1116" s="62" t="s">
        <v>109</v>
      </c>
      <c r="C1116" s="62" t="s">
        <v>13908</v>
      </c>
      <c r="F1116" s="62" t="s">
        <v>748</v>
      </c>
      <c r="G1116" s="62" t="s">
        <v>55023</v>
      </c>
      <c r="J1116" s="62" t="s">
        <v>42309</v>
      </c>
      <c r="K1116" s="62" t="s">
        <v>55044</v>
      </c>
      <c r="L1116" s="62" t="s">
        <v>42310</v>
      </c>
      <c r="M1116" s="62" t="s">
        <v>13909</v>
      </c>
      <c r="N1116" s="62" t="s">
        <v>13910</v>
      </c>
      <c r="O1116" s="62" t="s">
        <v>42311</v>
      </c>
      <c r="P1116" s="62" t="s">
        <v>55065</v>
      </c>
      <c r="Q1116" s="62" t="s">
        <v>42312</v>
      </c>
      <c r="R1116" s="62" t="s">
        <v>13911</v>
      </c>
      <c r="S1116" s="62" t="s">
        <v>13912</v>
      </c>
      <c r="U1116" s="62" t="s">
        <v>42313</v>
      </c>
      <c r="V1116" s="62" t="s">
        <v>55086</v>
      </c>
      <c r="W1116" s="62" t="s">
        <v>42314</v>
      </c>
      <c r="X1116" s="62" t="s">
        <v>13913</v>
      </c>
      <c r="Y1116" s="62" t="s">
        <v>13914</v>
      </c>
      <c r="Z1116" s="62" t="s">
        <v>42315</v>
      </c>
      <c r="AA1116" s="62" t="s">
        <v>55107</v>
      </c>
      <c r="AB1116" s="62" t="s">
        <v>42316</v>
      </c>
      <c r="AC1116" s="62" t="s">
        <v>13915</v>
      </c>
      <c r="AD1116" s="62" t="s">
        <v>13916</v>
      </c>
    </row>
    <row r="1117" spans="1:30" x14ac:dyDescent="0.25">
      <c r="A1117" s="62" t="s">
        <v>109</v>
      </c>
      <c r="C1117" s="62" t="s">
        <v>42317</v>
      </c>
      <c r="F1117" s="62" t="s">
        <v>758</v>
      </c>
      <c r="G1117" s="62" t="s">
        <v>55024</v>
      </c>
      <c r="J1117" s="62" t="s">
        <v>42318</v>
      </c>
      <c r="K1117" s="62" t="s">
        <v>55045</v>
      </c>
      <c r="L1117" s="62" t="s">
        <v>42319</v>
      </c>
      <c r="M1117" s="62" t="s">
        <v>42320</v>
      </c>
      <c r="N1117" s="62" t="s">
        <v>42321</v>
      </c>
      <c r="O1117" s="62" t="s">
        <v>42322</v>
      </c>
      <c r="P1117" s="62" t="s">
        <v>55066</v>
      </c>
      <c r="Q1117" s="62" t="s">
        <v>42323</v>
      </c>
      <c r="R1117" s="62" t="s">
        <v>42324</v>
      </c>
      <c r="S1117" s="62" t="s">
        <v>42325</v>
      </c>
      <c r="U1117" s="62" t="s">
        <v>42326</v>
      </c>
      <c r="V1117" s="62" t="s">
        <v>55087</v>
      </c>
      <c r="W1117" s="62" t="s">
        <v>42327</v>
      </c>
      <c r="X1117" s="62" t="s">
        <v>42328</v>
      </c>
      <c r="Y1117" s="62" t="s">
        <v>42329</v>
      </c>
      <c r="Z1117" s="62" t="s">
        <v>42330</v>
      </c>
      <c r="AA1117" s="62" t="s">
        <v>55108</v>
      </c>
      <c r="AB1117" s="62" t="s">
        <v>42331</v>
      </c>
      <c r="AC1117" s="62" t="s">
        <v>42332</v>
      </c>
      <c r="AD1117" s="62" t="s">
        <v>42333</v>
      </c>
    </row>
    <row r="1118" spans="1:30" x14ac:dyDescent="0.25">
      <c r="A1118" s="62" t="s">
        <v>109</v>
      </c>
      <c r="C1118" s="62" t="s">
        <v>42334</v>
      </c>
      <c r="F1118" s="62" t="s">
        <v>2135</v>
      </c>
      <c r="G1118" s="62" t="s">
        <v>55025</v>
      </c>
      <c r="J1118" s="62" t="s">
        <v>42335</v>
      </c>
      <c r="K1118" s="62" t="s">
        <v>55046</v>
      </c>
      <c r="L1118" s="62" t="s">
        <v>42336</v>
      </c>
      <c r="M1118" s="62" t="s">
        <v>42337</v>
      </c>
      <c r="N1118" s="62" t="s">
        <v>42338</v>
      </c>
      <c r="O1118" s="62" t="s">
        <v>42339</v>
      </c>
      <c r="P1118" s="62" t="s">
        <v>55067</v>
      </c>
      <c r="Q1118" s="62" t="s">
        <v>42340</v>
      </c>
      <c r="R1118" s="62" t="s">
        <v>42341</v>
      </c>
      <c r="S1118" s="62" t="s">
        <v>42342</v>
      </c>
      <c r="U1118" s="62" t="s">
        <v>42343</v>
      </c>
      <c r="V1118" s="62" t="s">
        <v>55088</v>
      </c>
      <c r="W1118" s="62" t="s">
        <v>42344</v>
      </c>
      <c r="X1118" s="62" t="s">
        <v>42345</v>
      </c>
      <c r="Y1118" s="62" t="s">
        <v>42346</v>
      </c>
      <c r="Z1118" s="62" t="s">
        <v>42347</v>
      </c>
      <c r="AA1118" s="62" t="s">
        <v>55109</v>
      </c>
      <c r="AB1118" s="62" t="s">
        <v>42348</v>
      </c>
      <c r="AC1118" s="62" t="s">
        <v>42349</v>
      </c>
      <c r="AD1118" s="62" t="s">
        <v>42350</v>
      </c>
    </row>
    <row r="1119" spans="1:30" x14ac:dyDescent="0.25">
      <c r="A1119" s="62" t="s">
        <v>109</v>
      </c>
      <c r="C1119" s="62" t="s">
        <v>13917</v>
      </c>
      <c r="F1119" s="62" t="s">
        <v>2153</v>
      </c>
      <c r="G1119" s="62" t="s">
        <v>55026</v>
      </c>
      <c r="J1119" s="62" t="s">
        <v>42351</v>
      </c>
      <c r="K1119" s="62" t="s">
        <v>55047</v>
      </c>
      <c r="L1119" s="62" t="s">
        <v>42352</v>
      </c>
      <c r="M1119" s="62" t="s">
        <v>42353</v>
      </c>
      <c r="N1119" s="62" t="s">
        <v>42354</v>
      </c>
      <c r="O1119" s="62" t="s">
        <v>42355</v>
      </c>
      <c r="P1119" s="62" t="s">
        <v>55068</v>
      </c>
      <c r="Q1119" s="62" t="s">
        <v>42356</v>
      </c>
      <c r="R1119" s="62" t="s">
        <v>42357</v>
      </c>
      <c r="S1119" s="62" t="s">
        <v>42358</v>
      </c>
      <c r="U1119" s="62" t="s">
        <v>42359</v>
      </c>
      <c r="V1119" s="62" t="s">
        <v>55089</v>
      </c>
      <c r="W1119" s="62" t="s">
        <v>42360</v>
      </c>
      <c r="X1119" s="62" t="s">
        <v>42361</v>
      </c>
      <c r="Y1119" s="62" t="s">
        <v>42362</v>
      </c>
      <c r="Z1119" s="62" t="s">
        <v>42363</v>
      </c>
      <c r="AA1119" s="62" t="s">
        <v>55110</v>
      </c>
      <c r="AB1119" s="62" t="s">
        <v>42364</v>
      </c>
      <c r="AC1119" s="62" t="s">
        <v>42365</v>
      </c>
      <c r="AD1119" s="62" t="s">
        <v>42366</v>
      </c>
    </row>
    <row r="1120" spans="1:30" x14ac:dyDescent="0.25">
      <c r="A1120" s="62" t="s">
        <v>109</v>
      </c>
      <c r="C1120" s="62" t="s">
        <v>13918</v>
      </c>
      <c r="F1120" s="62" t="s">
        <v>2170</v>
      </c>
      <c r="G1120" s="62" t="s">
        <v>55027</v>
      </c>
      <c r="J1120" s="62" t="s">
        <v>13919</v>
      </c>
      <c r="K1120" s="62" t="s">
        <v>55048</v>
      </c>
      <c r="L1120" s="62" t="s">
        <v>13920</v>
      </c>
      <c r="M1120" s="62" t="s">
        <v>13921</v>
      </c>
      <c r="N1120" s="62" t="s">
        <v>13922</v>
      </c>
      <c r="O1120" s="62" t="s">
        <v>13923</v>
      </c>
      <c r="P1120" s="62" t="s">
        <v>55069</v>
      </c>
      <c r="Q1120" s="62" t="s">
        <v>13924</v>
      </c>
      <c r="R1120" s="62" t="s">
        <v>13925</v>
      </c>
      <c r="S1120" s="62" t="s">
        <v>13926</v>
      </c>
      <c r="U1120" s="62" t="s">
        <v>13927</v>
      </c>
      <c r="V1120" s="62" t="s">
        <v>55090</v>
      </c>
      <c r="W1120" s="62" t="s">
        <v>13928</v>
      </c>
      <c r="X1120" s="62" t="s">
        <v>13929</v>
      </c>
      <c r="Y1120" s="62" t="s">
        <v>13930</v>
      </c>
      <c r="Z1120" s="62" t="s">
        <v>13931</v>
      </c>
      <c r="AA1120" s="62" t="s">
        <v>55111</v>
      </c>
      <c r="AB1120" s="62" t="s">
        <v>13932</v>
      </c>
      <c r="AC1120" s="62" t="s">
        <v>13933</v>
      </c>
      <c r="AD1120" s="62" t="s">
        <v>13934</v>
      </c>
    </row>
    <row r="1121" spans="1:30" x14ac:dyDescent="0.25">
      <c r="A1121" s="62" t="s">
        <v>109</v>
      </c>
      <c r="C1121" s="62" t="s">
        <v>13935</v>
      </c>
      <c r="F1121" s="62" t="s">
        <v>193</v>
      </c>
      <c r="G1121" s="62" t="s">
        <v>55028</v>
      </c>
      <c r="J1121" s="62" t="s">
        <v>42367</v>
      </c>
      <c r="K1121" s="62" t="s">
        <v>55049</v>
      </c>
      <c r="L1121" s="62" t="s">
        <v>42368</v>
      </c>
      <c r="M1121" s="62" t="s">
        <v>42369</v>
      </c>
      <c r="N1121" s="62" t="s">
        <v>42370</v>
      </c>
      <c r="O1121" s="62" t="s">
        <v>42371</v>
      </c>
      <c r="P1121" s="62" t="s">
        <v>55070</v>
      </c>
      <c r="Q1121" s="62" t="s">
        <v>42372</v>
      </c>
      <c r="R1121" s="62" t="s">
        <v>42373</v>
      </c>
      <c r="S1121" s="62" t="s">
        <v>42374</v>
      </c>
      <c r="U1121" s="62" t="s">
        <v>42375</v>
      </c>
      <c r="V1121" s="62" t="s">
        <v>55091</v>
      </c>
      <c r="W1121" s="62" t="s">
        <v>42376</v>
      </c>
      <c r="X1121" s="62" t="s">
        <v>42377</v>
      </c>
      <c r="Y1121" s="62" t="s">
        <v>42378</v>
      </c>
      <c r="Z1121" s="62" t="s">
        <v>42379</v>
      </c>
      <c r="AA1121" s="62" t="s">
        <v>55112</v>
      </c>
      <c r="AB1121" s="62" t="s">
        <v>42380</v>
      </c>
      <c r="AC1121" s="62" t="s">
        <v>42381</v>
      </c>
      <c r="AD1121" s="62" t="s">
        <v>42382</v>
      </c>
    </row>
    <row r="1122" spans="1:30" x14ac:dyDescent="0.25">
      <c r="A1122" s="62" t="s">
        <v>109</v>
      </c>
      <c r="C1122" s="62" t="s">
        <v>13936</v>
      </c>
      <c r="F1122" s="62" t="s">
        <v>2240</v>
      </c>
      <c r="G1122" s="62" t="s">
        <v>55029</v>
      </c>
      <c r="J1122" s="62" t="s">
        <v>42383</v>
      </c>
      <c r="K1122" s="62" t="s">
        <v>55050</v>
      </c>
      <c r="L1122" s="62" t="s">
        <v>42384</v>
      </c>
      <c r="M1122" s="62" t="s">
        <v>13937</v>
      </c>
      <c r="N1122" s="62" t="s">
        <v>13938</v>
      </c>
      <c r="O1122" s="62" t="s">
        <v>42385</v>
      </c>
      <c r="P1122" s="62" t="s">
        <v>55071</v>
      </c>
      <c r="Q1122" s="62" t="s">
        <v>42386</v>
      </c>
      <c r="R1122" s="62" t="s">
        <v>13939</v>
      </c>
      <c r="S1122" s="62" t="s">
        <v>13940</v>
      </c>
      <c r="U1122" s="62" t="s">
        <v>42387</v>
      </c>
      <c r="V1122" s="62" t="s">
        <v>55092</v>
      </c>
      <c r="W1122" s="62" t="s">
        <v>42388</v>
      </c>
      <c r="X1122" s="62" t="s">
        <v>13941</v>
      </c>
      <c r="Y1122" s="62" t="s">
        <v>13942</v>
      </c>
      <c r="Z1122" s="62" t="s">
        <v>42389</v>
      </c>
      <c r="AA1122" s="62" t="s">
        <v>55113</v>
      </c>
      <c r="AB1122" s="62" t="s">
        <v>42390</v>
      </c>
      <c r="AC1122" s="62" t="s">
        <v>13943</v>
      </c>
      <c r="AD1122" s="62" t="s">
        <v>13944</v>
      </c>
    </row>
    <row r="1123" spans="1:30" x14ac:dyDescent="0.25">
      <c r="A1123" s="62" t="s">
        <v>109</v>
      </c>
      <c r="C1123" s="62" t="s">
        <v>42391</v>
      </c>
      <c r="F1123" s="62" t="s">
        <v>210</v>
      </c>
      <c r="G1123" s="62" t="s">
        <v>55030</v>
      </c>
      <c r="J1123" s="62" t="s">
        <v>42392</v>
      </c>
      <c r="K1123" s="62" t="s">
        <v>55051</v>
      </c>
      <c r="L1123" s="62" t="s">
        <v>42393</v>
      </c>
      <c r="M1123" s="62" t="s">
        <v>42394</v>
      </c>
      <c r="N1123" s="62" t="s">
        <v>42395</v>
      </c>
      <c r="O1123" s="62" t="s">
        <v>42396</v>
      </c>
      <c r="P1123" s="62" t="s">
        <v>55072</v>
      </c>
      <c r="Q1123" s="62" t="s">
        <v>42397</v>
      </c>
      <c r="R1123" s="62" t="s">
        <v>42398</v>
      </c>
      <c r="S1123" s="62" t="s">
        <v>42399</v>
      </c>
      <c r="U1123" s="62" t="s">
        <v>42400</v>
      </c>
      <c r="V1123" s="62" t="s">
        <v>55093</v>
      </c>
      <c r="W1123" s="62" t="s">
        <v>42401</v>
      </c>
      <c r="X1123" s="62" t="s">
        <v>42402</v>
      </c>
      <c r="Y1123" s="62" t="s">
        <v>42403</v>
      </c>
      <c r="Z1123" s="62" t="s">
        <v>42404</v>
      </c>
      <c r="AA1123" s="62" t="s">
        <v>55114</v>
      </c>
      <c r="AB1123" s="62" t="s">
        <v>42405</v>
      </c>
      <c r="AC1123" s="62" t="s">
        <v>42406</v>
      </c>
      <c r="AD1123" s="62" t="s">
        <v>42407</v>
      </c>
    </row>
    <row r="1124" spans="1:30" x14ac:dyDescent="0.25">
      <c r="A1124" s="62" t="s">
        <v>109</v>
      </c>
      <c r="C1124" s="62" t="s">
        <v>42408</v>
      </c>
      <c r="F1124" s="62" t="s">
        <v>227</v>
      </c>
      <c r="G1124" s="62" t="s">
        <v>55031</v>
      </c>
      <c r="J1124" s="62" t="s">
        <v>42409</v>
      </c>
      <c r="K1124" s="62" t="s">
        <v>55052</v>
      </c>
      <c r="L1124" s="62" t="s">
        <v>42410</v>
      </c>
      <c r="M1124" s="62" t="s">
        <v>42411</v>
      </c>
      <c r="N1124" s="62" t="s">
        <v>42412</v>
      </c>
      <c r="O1124" s="62" t="s">
        <v>42413</v>
      </c>
      <c r="P1124" s="62" t="s">
        <v>55073</v>
      </c>
      <c r="Q1124" s="62" t="s">
        <v>42414</v>
      </c>
      <c r="R1124" s="62" t="s">
        <v>42415</v>
      </c>
      <c r="S1124" s="62" t="s">
        <v>42416</v>
      </c>
      <c r="U1124" s="62" t="s">
        <v>42417</v>
      </c>
      <c r="V1124" s="62" t="s">
        <v>55094</v>
      </c>
      <c r="W1124" s="62" t="s">
        <v>42418</v>
      </c>
      <c r="X1124" s="62" t="s">
        <v>42419</v>
      </c>
      <c r="Y1124" s="62" t="s">
        <v>42420</v>
      </c>
      <c r="Z1124" s="62" t="s">
        <v>42421</v>
      </c>
      <c r="AA1124" s="62" t="s">
        <v>55115</v>
      </c>
      <c r="AB1124" s="62" t="s">
        <v>42422</v>
      </c>
      <c r="AC1124" s="62" t="s">
        <v>42423</v>
      </c>
      <c r="AD1124" s="62" t="s">
        <v>42424</v>
      </c>
    </row>
    <row r="1125" spans="1:30" x14ac:dyDescent="0.25">
      <c r="A1125" s="62" t="s">
        <v>109</v>
      </c>
      <c r="C1125" s="62" t="s">
        <v>13945</v>
      </c>
      <c r="F1125" s="62" t="s">
        <v>236</v>
      </c>
      <c r="G1125" s="62" t="s">
        <v>55032</v>
      </c>
      <c r="J1125" s="62" t="s">
        <v>42425</v>
      </c>
      <c r="K1125" s="62" t="s">
        <v>55053</v>
      </c>
      <c r="L1125" s="62" t="s">
        <v>42426</v>
      </c>
      <c r="M1125" s="62" t="s">
        <v>42427</v>
      </c>
      <c r="N1125" s="62" t="s">
        <v>42428</v>
      </c>
      <c r="O1125" s="62" t="s">
        <v>42429</v>
      </c>
      <c r="P1125" s="62" t="s">
        <v>55074</v>
      </c>
      <c r="Q1125" s="62" t="s">
        <v>42430</v>
      </c>
      <c r="R1125" s="62" t="s">
        <v>42431</v>
      </c>
      <c r="S1125" s="62" t="s">
        <v>42432</v>
      </c>
      <c r="U1125" s="62" t="s">
        <v>42433</v>
      </c>
      <c r="V1125" s="62" t="s">
        <v>55095</v>
      </c>
      <c r="W1125" s="62" t="s">
        <v>42434</v>
      </c>
      <c r="X1125" s="62" t="s">
        <v>42435</v>
      </c>
      <c r="Y1125" s="62" t="s">
        <v>42436</v>
      </c>
      <c r="Z1125" s="62" t="s">
        <v>42437</v>
      </c>
      <c r="AA1125" s="62" t="s">
        <v>55116</v>
      </c>
      <c r="AB1125" s="62" t="s">
        <v>42438</v>
      </c>
      <c r="AC1125" s="62" t="s">
        <v>42439</v>
      </c>
      <c r="AD1125" s="62" t="s">
        <v>42440</v>
      </c>
    </row>
    <row r="1126" spans="1:30" x14ac:dyDescent="0.25">
      <c r="A1126" s="62" t="s">
        <v>109</v>
      </c>
      <c r="C1126" s="62" t="s">
        <v>13946</v>
      </c>
      <c r="F1126" s="62" t="s">
        <v>237</v>
      </c>
      <c r="G1126" s="62" t="s">
        <v>55033</v>
      </c>
      <c r="J1126" s="62" t="s">
        <v>13947</v>
      </c>
      <c r="K1126" s="62" t="s">
        <v>55054</v>
      </c>
      <c r="L1126" s="62" t="s">
        <v>13948</v>
      </c>
      <c r="M1126" s="62" t="s">
        <v>13949</v>
      </c>
      <c r="N1126" s="62" t="s">
        <v>13950</v>
      </c>
      <c r="O1126" s="62" t="s">
        <v>13951</v>
      </c>
      <c r="P1126" s="62" t="s">
        <v>55075</v>
      </c>
      <c r="Q1126" s="62" t="s">
        <v>13952</v>
      </c>
      <c r="R1126" s="62" t="s">
        <v>13953</v>
      </c>
      <c r="S1126" s="62" t="s">
        <v>13954</v>
      </c>
      <c r="U1126" s="62" t="s">
        <v>13955</v>
      </c>
      <c r="V1126" s="62" t="s">
        <v>55096</v>
      </c>
      <c r="W1126" s="62" t="s">
        <v>13956</v>
      </c>
      <c r="X1126" s="62" t="s">
        <v>13957</v>
      </c>
      <c r="Y1126" s="62" t="s">
        <v>13958</v>
      </c>
      <c r="Z1126" s="62" t="s">
        <v>13959</v>
      </c>
      <c r="AA1126" s="62" t="s">
        <v>55117</v>
      </c>
      <c r="AB1126" s="62" t="s">
        <v>13960</v>
      </c>
      <c r="AC1126" s="62" t="s">
        <v>13961</v>
      </c>
      <c r="AD1126" s="62" t="s">
        <v>13962</v>
      </c>
    </row>
    <row r="1127" spans="1:30" x14ac:dyDescent="0.25">
      <c r="A1127" s="62" t="s">
        <v>109</v>
      </c>
      <c r="C1127" s="62" t="s">
        <v>13963</v>
      </c>
      <c r="F1127" s="62" t="s">
        <v>2308</v>
      </c>
      <c r="G1127" s="62" t="s">
        <v>55034</v>
      </c>
      <c r="J1127" s="62" t="s">
        <v>13964</v>
      </c>
      <c r="K1127" s="62" t="s">
        <v>55055</v>
      </c>
      <c r="L1127" s="62" t="s">
        <v>13965</v>
      </c>
      <c r="M1127" s="62" t="s">
        <v>13966</v>
      </c>
      <c r="N1127" s="62" t="s">
        <v>13967</v>
      </c>
      <c r="O1127" s="62" t="s">
        <v>13968</v>
      </c>
      <c r="P1127" s="62" t="s">
        <v>55076</v>
      </c>
      <c r="Q1127" s="62" t="s">
        <v>13969</v>
      </c>
      <c r="R1127" s="62" t="s">
        <v>13970</v>
      </c>
      <c r="S1127" s="62" t="s">
        <v>13971</v>
      </c>
      <c r="U1127" s="62" t="s">
        <v>13972</v>
      </c>
      <c r="V1127" s="62" t="s">
        <v>55097</v>
      </c>
      <c r="W1127" s="62" t="s">
        <v>13973</v>
      </c>
      <c r="X1127" s="62" t="s">
        <v>13974</v>
      </c>
      <c r="Y1127" s="62" t="s">
        <v>13975</v>
      </c>
      <c r="Z1127" s="62" t="s">
        <v>13976</v>
      </c>
      <c r="AA1127" s="62" t="s">
        <v>55118</v>
      </c>
      <c r="AB1127" s="62" t="s">
        <v>13977</v>
      </c>
      <c r="AC1127" s="62" t="s">
        <v>13978</v>
      </c>
      <c r="AD1127" s="62" t="s">
        <v>13979</v>
      </c>
    </row>
    <row r="1128" spans="1:30" x14ac:dyDescent="0.25">
      <c r="A1128" s="62" t="s">
        <v>109</v>
      </c>
      <c r="C1128" s="62" t="s">
        <v>13980</v>
      </c>
      <c r="F1128" s="62" t="s">
        <v>2309</v>
      </c>
      <c r="G1128" s="62" t="s">
        <v>55035</v>
      </c>
      <c r="J1128" s="62" t="s">
        <v>13981</v>
      </c>
      <c r="K1128" s="62" t="s">
        <v>55056</v>
      </c>
      <c r="L1128" s="62" t="s">
        <v>13982</v>
      </c>
      <c r="M1128" s="62" t="s">
        <v>13983</v>
      </c>
      <c r="N1128" s="62" t="s">
        <v>13984</v>
      </c>
      <c r="O1128" s="62" t="s">
        <v>13985</v>
      </c>
      <c r="P1128" s="62" t="s">
        <v>55077</v>
      </c>
      <c r="Q1128" s="62" t="s">
        <v>13986</v>
      </c>
      <c r="R1128" s="62" t="s">
        <v>13987</v>
      </c>
      <c r="S1128" s="62" t="s">
        <v>13988</v>
      </c>
      <c r="U1128" s="62" t="s">
        <v>13989</v>
      </c>
      <c r="V1128" s="62" t="s">
        <v>55098</v>
      </c>
      <c r="W1128" s="62" t="s">
        <v>13990</v>
      </c>
      <c r="X1128" s="62" t="s">
        <v>13991</v>
      </c>
      <c r="Y1128" s="62" t="s">
        <v>13992</v>
      </c>
      <c r="Z1128" s="62" t="s">
        <v>13993</v>
      </c>
      <c r="AA1128" s="62" t="s">
        <v>55119</v>
      </c>
      <c r="AB1128" s="62" t="s">
        <v>13994</v>
      </c>
      <c r="AC1128" s="62" t="s">
        <v>13995</v>
      </c>
      <c r="AD1128" s="62" t="s">
        <v>13996</v>
      </c>
    </row>
    <row r="1129" spans="1:30" x14ac:dyDescent="0.25">
      <c r="A1129" s="62" t="s">
        <v>109</v>
      </c>
      <c r="C1129" s="62" t="s">
        <v>13997</v>
      </c>
      <c r="F1129" s="62" t="s">
        <v>3185</v>
      </c>
      <c r="G1129" s="62" t="s">
        <v>55036</v>
      </c>
      <c r="J1129" s="62" t="s">
        <v>13998</v>
      </c>
      <c r="K1129" s="62" t="s">
        <v>55057</v>
      </c>
      <c r="L1129" s="62" t="s">
        <v>13999</v>
      </c>
      <c r="M1129" s="62" t="s">
        <v>14000</v>
      </c>
      <c r="N1129" s="62" t="s">
        <v>14001</v>
      </c>
      <c r="O1129" s="62" t="s">
        <v>14002</v>
      </c>
      <c r="P1129" s="62" t="s">
        <v>55078</v>
      </c>
      <c r="Q1129" s="62" t="s">
        <v>14003</v>
      </c>
      <c r="R1129" s="62" t="s">
        <v>14004</v>
      </c>
      <c r="S1129" s="62" t="s">
        <v>14005</v>
      </c>
      <c r="U1129" s="62" t="s">
        <v>14006</v>
      </c>
      <c r="V1129" s="62" t="s">
        <v>55099</v>
      </c>
      <c r="W1129" s="62" t="s">
        <v>14007</v>
      </c>
      <c r="X1129" s="62" t="s">
        <v>14008</v>
      </c>
      <c r="Y1129" s="62" t="s">
        <v>14009</v>
      </c>
      <c r="Z1129" s="62" t="s">
        <v>14010</v>
      </c>
      <c r="AA1129" s="62" t="s">
        <v>55120</v>
      </c>
      <c r="AB1129" s="62" t="s">
        <v>14011</v>
      </c>
      <c r="AC1129" s="62" t="s">
        <v>14012</v>
      </c>
      <c r="AD1129" s="62" t="s">
        <v>14013</v>
      </c>
    </row>
    <row r="1130" spans="1:30" x14ac:dyDescent="0.25">
      <c r="A1130" s="62" t="s">
        <v>109</v>
      </c>
      <c r="C1130" s="62" t="s">
        <v>14014</v>
      </c>
      <c r="F1130" s="62" t="s">
        <v>288</v>
      </c>
      <c r="G1130" s="62" t="s">
        <v>55037</v>
      </c>
      <c r="J1130" s="62" t="s">
        <v>14015</v>
      </c>
      <c r="K1130" s="62" t="s">
        <v>55058</v>
      </c>
      <c r="L1130" s="62" t="s">
        <v>14016</v>
      </c>
      <c r="M1130" s="62" t="s">
        <v>14017</v>
      </c>
      <c r="N1130" s="62" t="s">
        <v>14018</v>
      </c>
      <c r="O1130" s="62" t="s">
        <v>14019</v>
      </c>
      <c r="P1130" s="62" t="s">
        <v>55079</v>
      </c>
      <c r="Q1130" s="62" t="s">
        <v>14020</v>
      </c>
      <c r="R1130" s="62" t="s">
        <v>14021</v>
      </c>
      <c r="S1130" s="62" t="s">
        <v>14022</v>
      </c>
      <c r="U1130" s="62" t="s">
        <v>14023</v>
      </c>
      <c r="V1130" s="62" t="s">
        <v>55100</v>
      </c>
      <c r="W1130" s="62" t="s">
        <v>14024</v>
      </c>
      <c r="X1130" s="62" t="s">
        <v>14025</v>
      </c>
      <c r="Y1130" s="62" t="s">
        <v>14026</v>
      </c>
      <c r="Z1130" s="62" t="s">
        <v>14027</v>
      </c>
      <c r="AA1130" s="62" t="s">
        <v>55121</v>
      </c>
      <c r="AB1130" s="62" t="s">
        <v>14028</v>
      </c>
      <c r="AC1130" s="62" t="s">
        <v>14029</v>
      </c>
      <c r="AD1130" s="62" t="s">
        <v>14030</v>
      </c>
    </row>
    <row r="1131" spans="1:30" x14ac:dyDescent="0.25">
      <c r="A1131" s="62" t="s">
        <v>109</v>
      </c>
      <c r="C1131" s="62" t="s">
        <v>14031</v>
      </c>
      <c r="F1131" s="62" t="s">
        <v>1100</v>
      </c>
      <c r="G1131" s="62" t="s">
        <v>55038</v>
      </c>
      <c r="J1131" s="62" t="s">
        <v>14032</v>
      </c>
      <c r="K1131" s="62" t="s">
        <v>55059</v>
      </c>
      <c r="L1131" s="62" t="s">
        <v>14033</v>
      </c>
      <c r="M1131" s="62" t="s">
        <v>14034</v>
      </c>
      <c r="N1131" s="62" t="s">
        <v>14035</v>
      </c>
      <c r="O1131" s="62" t="s">
        <v>14036</v>
      </c>
      <c r="P1131" s="62" t="s">
        <v>55080</v>
      </c>
      <c r="Q1131" s="62" t="s">
        <v>14037</v>
      </c>
      <c r="R1131" s="62" t="s">
        <v>14038</v>
      </c>
      <c r="S1131" s="62" t="s">
        <v>14039</v>
      </c>
      <c r="U1131" s="62" t="s">
        <v>14040</v>
      </c>
      <c r="V1131" s="62" t="s">
        <v>55101</v>
      </c>
      <c r="W1131" s="62" t="s">
        <v>14041</v>
      </c>
      <c r="X1131" s="62" t="s">
        <v>14042</v>
      </c>
      <c r="Y1131" s="62" t="s">
        <v>14043</v>
      </c>
      <c r="Z1131" s="62" t="s">
        <v>14044</v>
      </c>
      <c r="AA1131" s="62" t="s">
        <v>55122</v>
      </c>
      <c r="AB1131" s="62" t="s">
        <v>14045</v>
      </c>
      <c r="AC1131" s="62" t="s">
        <v>14046</v>
      </c>
      <c r="AD1131" s="62" t="s">
        <v>14047</v>
      </c>
    </row>
    <row r="1132" spans="1:30" x14ac:dyDescent="0.25">
      <c r="A1132" s="62" t="s">
        <v>109</v>
      </c>
      <c r="C1132" s="62" t="s">
        <v>14048</v>
      </c>
      <c r="F1132" s="62" t="s">
        <v>2337</v>
      </c>
      <c r="G1132" s="62" t="s">
        <v>55039</v>
      </c>
      <c r="J1132" s="62" t="s">
        <v>14049</v>
      </c>
      <c r="K1132" s="62" t="s">
        <v>55060</v>
      </c>
      <c r="L1132" s="62" t="s">
        <v>14050</v>
      </c>
      <c r="M1132" s="62" t="s">
        <v>14051</v>
      </c>
      <c r="N1132" s="62" t="s">
        <v>14052</v>
      </c>
      <c r="O1132" s="62" t="s">
        <v>14053</v>
      </c>
      <c r="P1132" s="62" t="s">
        <v>55081</v>
      </c>
      <c r="Q1132" s="62" t="s">
        <v>14054</v>
      </c>
      <c r="R1132" s="62" t="s">
        <v>14055</v>
      </c>
      <c r="S1132" s="62" t="s">
        <v>14056</v>
      </c>
      <c r="U1132" s="62" t="s">
        <v>14057</v>
      </c>
      <c r="V1132" s="62" t="s">
        <v>55102</v>
      </c>
      <c r="W1132" s="62" t="s">
        <v>14058</v>
      </c>
      <c r="X1132" s="62" t="s">
        <v>14059</v>
      </c>
      <c r="Y1132" s="62" t="s">
        <v>14060</v>
      </c>
      <c r="Z1132" s="62" t="s">
        <v>14061</v>
      </c>
      <c r="AA1132" s="62" t="s">
        <v>55123</v>
      </c>
      <c r="AB1132" s="62" t="s">
        <v>14062</v>
      </c>
      <c r="AC1132" s="62" t="s">
        <v>14063</v>
      </c>
      <c r="AD1132" s="62" t="s">
        <v>14064</v>
      </c>
    </row>
    <row r="1133" spans="1:30" x14ac:dyDescent="0.25">
      <c r="A1133" s="62" t="s">
        <v>109</v>
      </c>
      <c r="C1133" s="62" t="s">
        <v>14065</v>
      </c>
      <c r="F1133" s="62" t="s">
        <v>3237</v>
      </c>
      <c r="G1133" s="62" t="s">
        <v>55040</v>
      </c>
      <c r="J1133" s="62" t="s">
        <v>14066</v>
      </c>
      <c r="K1133" s="62" t="s">
        <v>55061</v>
      </c>
      <c r="L1133" s="62" t="s">
        <v>14067</v>
      </c>
      <c r="M1133" s="62" t="s">
        <v>14068</v>
      </c>
      <c r="N1133" s="62" t="s">
        <v>14069</v>
      </c>
      <c r="O1133" s="62" t="s">
        <v>14070</v>
      </c>
      <c r="P1133" s="62" t="s">
        <v>55082</v>
      </c>
      <c r="Q1133" s="62" t="s">
        <v>14071</v>
      </c>
      <c r="R1133" s="62" t="s">
        <v>14072</v>
      </c>
      <c r="S1133" s="62" t="s">
        <v>14073</v>
      </c>
      <c r="U1133" s="62" t="s">
        <v>14074</v>
      </c>
      <c r="V1133" s="62" t="s">
        <v>55103</v>
      </c>
      <c r="W1133" s="62" t="s">
        <v>14075</v>
      </c>
      <c r="X1133" s="62" t="s">
        <v>14076</v>
      </c>
      <c r="Y1133" s="62" t="s">
        <v>14077</v>
      </c>
      <c r="Z1133" s="62" t="s">
        <v>14078</v>
      </c>
      <c r="AA1133" s="62" t="s">
        <v>55124</v>
      </c>
      <c r="AB1133" s="62" t="s">
        <v>14079</v>
      </c>
      <c r="AC1133" s="62" t="s">
        <v>14080</v>
      </c>
      <c r="AD1133" s="62" t="s">
        <v>14081</v>
      </c>
    </row>
    <row r="1134" spans="1:30" x14ac:dyDescent="0.25">
      <c r="A1134" s="62" t="s">
        <v>109</v>
      </c>
      <c r="C1134" s="62" t="s">
        <v>14082</v>
      </c>
      <c r="F1134" s="62" t="s">
        <v>2355</v>
      </c>
      <c r="G1134" s="62" t="s">
        <v>55041</v>
      </c>
      <c r="J1134" s="62" t="s">
        <v>14083</v>
      </c>
      <c r="K1134" s="62" t="s">
        <v>55062</v>
      </c>
      <c r="L1134" s="62" t="s">
        <v>14084</v>
      </c>
      <c r="M1134" s="62" t="s">
        <v>14085</v>
      </c>
      <c r="N1134" s="62" t="s">
        <v>14086</v>
      </c>
      <c r="O1134" s="62" t="s">
        <v>14087</v>
      </c>
      <c r="P1134" s="62" t="s">
        <v>55083</v>
      </c>
      <c r="Q1134" s="62" t="s">
        <v>14088</v>
      </c>
      <c r="R1134" s="62" t="s">
        <v>14089</v>
      </c>
      <c r="S1134" s="62" t="s">
        <v>14090</v>
      </c>
      <c r="U1134" s="62" t="s">
        <v>14091</v>
      </c>
      <c r="V1134" s="62" t="s">
        <v>55104</v>
      </c>
      <c r="W1134" s="62" t="s">
        <v>14092</v>
      </c>
      <c r="X1134" s="62" t="s">
        <v>14093</v>
      </c>
      <c r="Y1134" s="62" t="s">
        <v>14094</v>
      </c>
      <c r="Z1134" s="62" t="s">
        <v>14095</v>
      </c>
      <c r="AA1134" s="62" t="s">
        <v>55125</v>
      </c>
      <c r="AB1134" s="62" t="s">
        <v>14096</v>
      </c>
      <c r="AC1134" s="62" t="s">
        <v>14097</v>
      </c>
      <c r="AD1134" s="62" t="s">
        <v>14098</v>
      </c>
    </row>
    <row r="1135" spans="1:30" x14ac:dyDescent="0.25">
      <c r="A1135" s="62" t="s">
        <v>109</v>
      </c>
      <c r="C1135" s="62" t="s">
        <v>14099</v>
      </c>
      <c r="F1135" s="62" t="s">
        <v>2372</v>
      </c>
      <c r="G1135" s="62" t="s">
        <v>55042</v>
      </c>
      <c r="J1135" s="62" t="s">
        <v>14100</v>
      </c>
      <c r="K1135" s="62" t="s">
        <v>55063</v>
      </c>
      <c r="L1135" s="62" t="s">
        <v>14101</v>
      </c>
      <c r="M1135" s="62" t="s">
        <v>14102</v>
      </c>
      <c r="N1135" s="62" t="s">
        <v>14103</v>
      </c>
      <c r="O1135" s="62" t="s">
        <v>14104</v>
      </c>
      <c r="P1135" s="62" t="s">
        <v>55084</v>
      </c>
      <c r="Q1135" s="62" t="s">
        <v>14105</v>
      </c>
      <c r="R1135" s="62" t="s">
        <v>14106</v>
      </c>
      <c r="S1135" s="62" t="s">
        <v>14107</v>
      </c>
      <c r="U1135" s="62" t="s">
        <v>14108</v>
      </c>
      <c r="V1135" s="62" t="s">
        <v>55105</v>
      </c>
      <c r="W1135" s="62" t="s">
        <v>14109</v>
      </c>
      <c r="X1135" s="62" t="s">
        <v>14110</v>
      </c>
      <c r="Y1135" s="62" t="s">
        <v>14111</v>
      </c>
      <c r="Z1135" s="62" t="s">
        <v>14112</v>
      </c>
      <c r="AA1135" s="62" t="s">
        <v>55126</v>
      </c>
      <c r="AB1135" s="62" t="s">
        <v>14113</v>
      </c>
      <c r="AC1135" s="62" t="s">
        <v>14114</v>
      </c>
      <c r="AD1135" s="62" t="s">
        <v>14115</v>
      </c>
    </row>
    <row r="1136" spans="1:30" x14ac:dyDescent="0.25">
      <c r="A1136" s="62" t="s">
        <v>109</v>
      </c>
      <c r="C1136" s="62" t="s">
        <v>13908</v>
      </c>
    </row>
    <row r="1137" spans="1:30" x14ac:dyDescent="0.25">
      <c r="A1137" s="62" t="s">
        <v>109</v>
      </c>
      <c r="C1137" s="62" t="s">
        <v>14116</v>
      </c>
      <c r="G1137" s="62" t="s">
        <v>42441</v>
      </c>
      <c r="J1137" s="62" t="s">
        <v>42442</v>
      </c>
      <c r="K1137" s="62" t="s">
        <v>42443</v>
      </c>
      <c r="L1137" s="62" t="s">
        <v>42444</v>
      </c>
      <c r="M1137" s="62" t="s">
        <v>14117</v>
      </c>
      <c r="N1137" s="62" t="s">
        <v>14118</v>
      </c>
      <c r="O1137" s="62" t="s">
        <v>42445</v>
      </c>
      <c r="P1137" s="62" t="s">
        <v>42446</v>
      </c>
      <c r="Q1137" s="62" t="s">
        <v>42447</v>
      </c>
      <c r="R1137" s="62" t="s">
        <v>14119</v>
      </c>
      <c r="S1137" s="62" t="s">
        <v>14120</v>
      </c>
      <c r="U1137" s="62" t="s">
        <v>42448</v>
      </c>
      <c r="V1137" s="62" t="s">
        <v>42449</v>
      </c>
      <c r="W1137" s="62" t="s">
        <v>42450</v>
      </c>
      <c r="X1137" s="62" t="s">
        <v>14121</v>
      </c>
      <c r="Y1137" s="62" t="s">
        <v>14122</v>
      </c>
      <c r="Z1137" s="62" t="s">
        <v>42451</v>
      </c>
      <c r="AA1137" s="62" t="s">
        <v>42452</v>
      </c>
      <c r="AB1137" s="62" t="s">
        <v>42453</v>
      </c>
      <c r="AC1137" s="62" t="s">
        <v>14123</v>
      </c>
      <c r="AD1137" s="62" t="s">
        <v>14124</v>
      </c>
    </row>
    <row r="1138" spans="1:30" x14ac:dyDescent="0.25">
      <c r="A1138" s="62" t="s">
        <v>109</v>
      </c>
    </row>
    <row r="1139" spans="1:30" x14ac:dyDescent="0.25">
      <c r="A1139" s="62" t="s">
        <v>109</v>
      </c>
      <c r="C1139" s="62" t="s">
        <v>42454</v>
      </c>
      <c r="E1139" s="62" t="s">
        <v>17494</v>
      </c>
      <c r="G1139" s="62" t="s">
        <v>42455</v>
      </c>
    </row>
    <row r="1140" spans="1:30" x14ac:dyDescent="0.25">
      <c r="A1140" s="62" t="s">
        <v>109</v>
      </c>
      <c r="C1140" s="62" t="s">
        <v>14125</v>
      </c>
    </row>
    <row r="1141" spans="1:30" x14ac:dyDescent="0.25">
      <c r="A1141" s="62" t="s">
        <v>109</v>
      </c>
      <c r="C1141" s="62" t="s">
        <v>14126</v>
      </c>
      <c r="F1141" s="62" t="s">
        <v>42456</v>
      </c>
      <c r="G1141" s="62" t="s">
        <v>54977</v>
      </c>
      <c r="J1141" s="62" t="s">
        <v>14127</v>
      </c>
      <c r="K1141" s="62" t="s">
        <v>54986</v>
      </c>
      <c r="L1141" s="62" t="s">
        <v>14128</v>
      </c>
      <c r="M1141" s="62" t="s">
        <v>14129</v>
      </c>
      <c r="N1141" s="62" t="s">
        <v>14130</v>
      </c>
      <c r="O1141" s="62" t="s">
        <v>14131</v>
      </c>
      <c r="P1141" s="62" t="s">
        <v>54995</v>
      </c>
      <c r="Q1141" s="62" t="s">
        <v>14132</v>
      </c>
      <c r="R1141" s="62" t="s">
        <v>14133</v>
      </c>
      <c r="S1141" s="62" t="s">
        <v>14134</v>
      </c>
      <c r="U1141" s="62" t="s">
        <v>14135</v>
      </c>
      <c r="V1141" s="62" t="s">
        <v>55004</v>
      </c>
      <c r="W1141" s="62" t="s">
        <v>14136</v>
      </c>
      <c r="X1141" s="62" t="s">
        <v>14137</v>
      </c>
      <c r="Y1141" s="62" t="s">
        <v>14138</v>
      </c>
      <c r="Z1141" s="62" t="s">
        <v>14139</v>
      </c>
      <c r="AA1141" s="62" t="s">
        <v>55013</v>
      </c>
      <c r="AB1141" s="62" t="s">
        <v>14140</v>
      </c>
      <c r="AC1141" s="62" t="s">
        <v>14141</v>
      </c>
      <c r="AD1141" s="62" t="s">
        <v>14142</v>
      </c>
    </row>
    <row r="1142" spans="1:30" x14ac:dyDescent="0.25">
      <c r="A1142" s="62" t="s">
        <v>109</v>
      </c>
      <c r="C1142" s="62" t="s">
        <v>14143</v>
      </c>
      <c r="F1142" s="62" t="s">
        <v>785</v>
      </c>
      <c r="G1142" s="62" t="s">
        <v>54978</v>
      </c>
      <c r="J1142" s="62" t="s">
        <v>14144</v>
      </c>
      <c r="K1142" s="62" t="s">
        <v>54987</v>
      </c>
      <c r="L1142" s="62" t="s">
        <v>14145</v>
      </c>
      <c r="M1142" s="62" t="s">
        <v>14146</v>
      </c>
      <c r="N1142" s="62" t="s">
        <v>14147</v>
      </c>
      <c r="O1142" s="62" t="s">
        <v>14148</v>
      </c>
      <c r="P1142" s="62" t="s">
        <v>54996</v>
      </c>
      <c r="Q1142" s="62" t="s">
        <v>14149</v>
      </c>
      <c r="R1142" s="62" t="s">
        <v>14150</v>
      </c>
      <c r="S1142" s="62" t="s">
        <v>14151</v>
      </c>
      <c r="U1142" s="62" t="s">
        <v>14152</v>
      </c>
      <c r="V1142" s="62" t="s">
        <v>55005</v>
      </c>
      <c r="W1142" s="62" t="s">
        <v>14153</v>
      </c>
      <c r="X1142" s="62" t="s">
        <v>14154</v>
      </c>
      <c r="Y1142" s="62" t="s">
        <v>14155</v>
      </c>
      <c r="Z1142" s="62" t="s">
        <v>14156</v>
      </c>
      <c r="AA1142" s="62" t="s">
        <v>55014</v>
      </c>
      <c r="AB1142" s="62" t="s">
        <v>14157</v>
      </c>
      <c r="AC1142" s="62" t="s">
        <v>14158</v>
      </c>
      <c r="AD1142" s="62" t="s">
        <v>14159</v>
      </c>
    </row>
    <row r="1143" spans="1:30" x14ac:dyDescent="0.25">
      <c r="A1143" s="62" t="s">
        <v>109</v>
      </c>
      <c r="C1143" s="62" t="s">
        <v>14160</v>
      </c>
      <c r="F1143" s="62" t="s">
        <v>943</v>
      </c>
      <c r="G1143" s="62" t="s">
        <v>54979</v>
      </c>
      <c r="J1143" s="62" t="s">
        <v>14161</v>
      </c>
      <c r="K1143" s="62" t="s">
        <v>54988</v>
      </c>
      <c r="L1143" s="62" t="s">
        <v>14162</v>
      </c>
      <c r="M1143" s="62" t="s">
        <v>14163</v>
      </c>
      <c r="N1143" s="62" t="s">
        <v>14164</v>
      </c>
      <c r="O1143" s="62" t="s">
        <v>14165</v>
      </c>
      <c r="P1143" s="62" t="s">
        <v>54997</v>
      </c>
      <c r="Q1143" s="62" t="s">
        <v>14166</v>
      </c>
      <c r="R1143" s="62" t="s">
        <v>14167</v>
      </c>
      <c r="S1143" s="62" t="s">
        <v>14168</v>
      </c>
      <c r="U1143" s="62" t="s">
        <v>14169</v>
      </c>
      <c r="V1143" s="62" t="s">
        <v>55006</v>
      </c>
      <c r="W1143" s="62" t="s">
        <v>14170</v>
      </c>
      <c r="X1143" s="62" t="s">
        <v>14171</v>
      </c>
      <c r="Y1143" s="62" t="s">
        <v>14172</v>
      </c>
      <c r="Z1143" s="62" t="s">
        <v>14173</v>
      </c>
      <c r="AA1143" s="62" t="s">
        <v>55015</v>
      </c>
      <c r="AB1143" s="62" t="s">
        <v>14174</v>
      </c>
      <c r="AC1143" s="62" t="s">
        <v>14175</v>
      </c>
      <c r="AD1143" s="62" t="s">
        <v>14176</v>
      </c>
    </row>
    <row r="1144" spans="1:30" x14ac:dyDescent="0.25">
      <c r="A1144" s="62" t="s">
        <v>109</v>
      </c>
      <c r="C1144" s="62" t="s">
        <v>14177</v>
      </c>
      <c r="F1144" s="62" t="s">
        <v>976</v>
      </c>
      <c r="G1144" s="62" t="s">
        <v>54980</v>
      </c>
      <c r="J1144" s="62" t="s">
        <v>14178</v>
      </c>
      <c r="K1144" s="62" t="s">
        <v>54989</v>
      </c>
      <c r="L1144" s="62" t="s">
        <v>14179</v>
      </c>
      <c r="M1144" s="62" t="s">
        <v>14180</v>
      </c>
      <c r="N1144" s="62" t="s">
        <v>14181</v>
      </c>
      <c r="O1144" s="62" t="s">
        <v>14182</v>
      </c>
      <c r="P1144" s="62" t="s">
        <v>54998</v>
      </c>
      <c r="Q1144" s="62" t="s">
        <v>14183</v>
      </c>
      <c r="R1144" s="62" t="s">
        <v>14184</v>
      </c>
      <c r="S1144" s="62" t="s">
        <v>14185</v>
      </c>
      <c r="U1144" s="62" t="s">
        <v>14186</v>
      </c>
      <c r="V1144" s="62" t="s">
        <v>55007</v>
      </c>
      <c r="W1144" s="62" t="s">
        <v>14187</v>
      </c>
      <c r="X1144" s="62" t="s">
        <v>14188</v>
      </c>
      <c r="Y1144" s="62" t="s">
        <v>14189</v>
      </c>
      <c r="Z1144" s="62" t="s">
        <v>14190</v>
      </c>
      <c r="AA1144" s="62" t="s">
        <v>55016</v>
      </c>
      <c r="AB1144" s="62" t="s">
        <v>14191</v>
      </c>
      <c r="AC1144" s="62" t="s">
        <v>14192</v>
      </c>
      <c r="AD1144" s="62" t="s">
        <v>14193</v>
      </c>
    </row>
    <row r="1145" spans="1:30" x14ac:dyDescent="0.25">
      <c r="A1145" s="62" t="s">
        <v>109</v>
      </c>
      <c r="C1145" s="62" t="s">
        <v>14194</v>
      </c>
      <c r="F1145" s="62" t="s">
        <v>1002</v>
      </c>
      <c r="G1145" s="62" t="s">
        <v>54981</v>
      </c>
      <c r="J1145" s="62" t="s">
        <v>14195</v>
      </c>
      <c r="K1145" s="62" t="s">
        <v>54990</v>
      </c>
      <c r="L1145" s="62" t="s">
        <v>14196</v>
      </c>
      <c r="M1145" s="62" t="s">
        <v>14197</v>
      </c>
      <c r="N1145" s="62" t="s">
        <v>14198</v>
      </c>
      <c r="O1145" s="62" t="s">
        <v>14199</v>
      </c>
      <c r="P1145" s="62" t="s">
        <v>54999</v>
      </c>
      <c r="Q1145" s="62" t="s">
        <v>14200</v>
      </c>
      <c r="R1145" s="62" t="s">
        <v>14201</v>
      </c>
      <c r="S1145" s="62" t="s">
        <v>14202</v>
      </c>
      <c r="U1145" s="62" t="s">
        <v>14203</v>
      </c>
      <c r="V1145" s="62" t="s">
        <v>55008</v>
      </c>
      <c r="W1145" s="62" t="s">
        <v>14204</v>
      </c>
      <c r="X1145" s="62" t="s">
        <v>14205</v>
      </c>
      <c r="Y1145" s="62" t="s">
        <v>14206</v>
      </c>
      <c r="Z1145" s="62" t="s">
        <v>14207</v>
      </c>
      <c r="AA1145" s="62" t="s">
        <v>55017</v>
      </c>
      <c r="AB1145" s="62" t="s">
        <v>14208</v>
      </c>
      <c r="AC1145" s="62" t="s">
        <v>14209</v>
      </c>
      <c r="AD1145" s="62" t="s">
        <v>14210</v>
      </c>
    </row>
    <row r="1146" spans="1:30" x14ac:dyDescent="0.25">
      <c r="A1146" s="62" t="s">
        <v>109</v>
      </c>
      <c r="C1146" s="62" t="s">
        <v>14211</v>
      </c>
      <c r="F1146" s="62" t="s">
        <v>1030</v>
      </c>
      <c r="G1146" s="62" t="s">
        <v>54982</v>
      </c>
      <c r="J1146" s="62" t="s">
        <v>14212</v>
      </c>
      <c r="K1146" s="62" t="s">
        <v>54991</v>
      </c>
      <c r="L1146" s="62" t="s">
        <v>14213</v>
      </c>
      <c r="M1146" s="62" t="s">
        <v>14214</v>
      </c>
      <c r="N1146" s="62" t="s">
        <v>14215</v>
      </c>
      <c r="O1146" s="62" t="s">
        <v>14216</v>
      </c>
      <c r="P1146" s="62" t="s">
        <v>55000</v>
      </c>
      <c r="Q1146" s="62" t="s">
        <v>14217</v>
      </c>
      <c r="R1146" s="62" t="s">
        <v>14218</v>
      </c>
      <c r="S1146" s="62" t="s">
        <v>14219</v>
      </c>
      <c r="U1146" s="62" t="s">
        <v>14220</v>
      </c>
      <c r="V1146" s="62" t="s">
        <v>55009</v>
      </c>
      <c r="W1146" s="62" t="s">
        <v>14221</v>
      </c>
      <c r="X1146" s="62" t="s">
        <v>14222</v>
      </c>
      <c r="Y1146" s="62" t="s">
        <v>14223</v>
      </c>
      <c r="Z1146" s="62" t="s">
        <v>14224</v>
      </c>
      <c r="AA1146" s="62" t="s">
        <v>55018</v>
      </c>
      <c r="AB1146" s="62" t="s">
        <v>14225</v>
      </c>
      <c r="AC1146" s="62" t="s">
        <v>14226</v>
      </c>
      <c r="AD1146" s="62" t="s">
        <v>14227</v>
      </c>
    </row>
    <row r="1147" spans="1:30" x14ac:dyDescent="0.25">
      <c r="A1147" s="62" t="s">
        <v>109</v>
      </c>
      <c r="C1147" s="62" t="s">
        <v>14228</v>
      </c>
      <c r="F1147" s="62" t="s">
        <v>1090</v>
      </c>
      <c r="G1147" s="62" t="s">
        <v>54983</v>
      </c>
      <c r="J1147" s="62" t="s">
        <v>14229</v>
      </c>
      <c r="K1147" s="62" t="s">
        <v>54992</v>
      </c>
      <c r="L1147" s="62" t="s">
        <v>14230</v>
      </c>
      <c r="M1147" s="62" t="s">
        <v>14231</v>
      </c>
      <c r="N1147" s="62" t="s">
        <v>14232</v>
      </c>
      <c r="O1147" s="62" t="s">
        <v>14233</v>
      </c>
      <c r="P1147" s="62" t="s">
        <v>55001</v>
      </c>
      <c r="Q1147" s="62" t="s">
        <v>14234</v>
      </c>
      <c r="R1147" s="62" t="s">
        <v>14235</v>
      </c>
      <c r="S1147" s="62" t="s">
        <v>14236</v>
      </c>
      <c r="U1147" s="62" t="s">
        <v>14237</v>
      </c>
      <c r="V1147" s="62" t="s">
        <v>55010</v>
      </c>
      <c r="W1147" s="62" t="s">
        <v>14238</v>
      </c>
      <c r="X1147" s="62" t="s">
        <v>14239</v>
      </c>
      <c r="Y1147" s="62" t="s">
        <v>14240</v>
      </c>
      <c r="Z1147" s="62" t="s">
        <v>14241</v>
      </c>
      <c r="AA1147" s="62" t="s">
        <v>55019</v>
      </c>
      <c r="AB1147" s="62" t="s">
        <v>14242</v>
      </c>
      <c r="AC1147" s="62" t="s">
        <v>14243</v>
      </c>
      <c r="AD1147" s="62" t="s">
        <v>14244</v>
      </c>
    </row>
    <row r="1148" spans="1:30" x14ac:dyDescent="0.25">
      <c r="A1148" s="62" t="s">
        <v>109</v>
      </c>
      <c r="C1148" s="62" t="s">
        <v>14245</v>
      </c>
      <c r="F1148" s="62" t="s">
        <v>1240</v>
      </c>
      <c r="G1148" s="62" t="s">
        <v>54984</v>
      </c>
      <c r="J1148" s="62" t="s">
        <v>14246</v>
      </c>
      <c r="K1148" s="62" t="s">
        <v>54993</v>
      </c>
      <c r="L1148" s="62" t="s">
        <v>14247</v>
      </c>
      <c r="M1148" s="62" t="s">
        <v>14248</v>
      </c>
      <c r="N1148" s="62" t="s">
        <v>14249</v>
      </c>
      <c r="O1148" s="62" t="s">
        <v>14250</v>
      </c>
      <c r="P1148" s="62" t="s">
        <v>55002</v>
      </c>
      <c r="Q1148" s="62" t="s">
        <v>14251</v>
      </c>
      <c r="R1148" s="62" t="s">
        <v>14252</v>
      </c>
      <c r="S1148" s="62" t="s">
        <v>14253</v>
      </c>
      <c r="U1148" s="62" t="s">
        <v>14254</v>
      </c>
      <c r="V1148" s="62" t="s">
        <v>55011</v>
      </c>
      <c r="W1148" s="62" t="s">
        <v>14255</v>
      </c>
      <c r="X1148" s="62" t="s">
        <v>14256</v>
      </c>
      <c r="Y1148" s="62" t="s">
        <v>14257</v>
      </c>
      <c r="Z1148" s="62" t="s">
        <v>14258</v>
      </c>
      <c r="AA1148" s="62" t="s">
        <v>55020</v>
      </c>
      <c r="AB1148" s="62" t="s">
        <v>14259</v>
      </c>
      <c r="AC1148" s="62" t="s">
        <v>14260</v>
      </c>
      <c r="AD1148" s="62" t="s">
        <v>14261</v>
      </c>
    </row>
    <row r="1149" spans="1:30" x14ac:dyDescent="0.25">
      <c r="A1149" s="62" t="s">
        <v>109</v>
      </c>
      <c r="C1149" s="62" t="s">
        <v>14262</v>
      </c>
      <c r="F1149" s="62" t="s">
        <v>1299</v>
      </c>
      <c r="G1149" s="62" t="s">
        <v>54985</v>
      </c>
      <c r="J1149" s="62" t="s">
        <v>14263</v>
      </c>
      <c r="K1149" s="62" t="s">
        <v>54994</v>
      </c>
      <c r="L1149" s="62" t="s">
        <v>14264</v>
      </c>
      <c r="M1149" s="62" t="s">
        <v>14265</v>
      </c>
      <c r="N1149" s="62" t="s">
        <v>14266</v>
      </c>
      <c r="O1149" s="62" t="s">
        <v>14267</v>
      </c>
      <c r="P1149" s="62" t="s">
        <v>55003</v>
      </c>
      <c r="Q1149" s="62" t="s">
        <v>14268</v>
      </c>
      <c r="R1149" s="62" t="s">
        <v>14269</v>
      </c>
      <c r="S1149" s="62" t="s">
        <v>14270</v>
      </c>
      <c r="U1149" s="62" t="s">
        <v>14271</v>
      </c>
      <c r="V1149" s="62" t="s">
        <v>55012</v>
      </c>
      <c r="W1149" s="62" t="s">
        <v>14272</v>
      </c>
      <c r="X1149" s="62" t="s">
        <v>14273</v>
      </c>
      <c r="Y1149" s="62" t="s">
        <v>14274</v>
      </c>
      <c r="Z1149" s="62" t="s">
        <v>14275</v>
      </c>
      <c r="AA1149" s="62" t="s">
        <v>55021</v>
      </c>
      <c r="AB1149" s="62" t="s">
        <v>14276</v>
      </c>
      <c r="AC1149" s="62" t="s">
        <v>14277</v>
      </c>
      <c r="AD1149" s="62" t="s">
        <v>14278</v>
      </c>
    </row>
    <row r="1150" spans="1:30" x14ac:dyDescent="0.25">
      <c r="A1150" s="62" t="s">
        <v>109</v>
      </c>
      <c r="C1150" s="62" t="s">
        <v>14143</v>
      </c>
    </row>
    <row r="1151" spans="1:30" x14ac:dyDescent="0.25">
      <c r="A1151" s="62" t="s">
        <v>109</v>
      </c>
      <c r="C1151" s="62" t="s">
        <v>14279</v>
      </c>
      <c r="G1151" s="62" t="s">
        <v>42457</v>
      </c>
      <c r="J1151" s="62" t="s">
        <v>42458</v>
      </c>
      <c r="K1151" s="62" t="s">
        <v>42459</v>
      </c>
      <c r="L1151" s="62" t="s">
        <v>42460</v>
      </c>
      <c r="M1151" s="62" t="s">
        <v>14280</v>
      </c>
      <c r="N1151" s="62" t="s">
        <v>14281</v>
      </c>
      <c r="O1151" s="62" t="s">
        <v>42461</v>
      </c>
      <c r="P1151" s="62" t="s">
        <v>42462</v>
      </c>
      <c r="Q1151" s="62" t="s">
        <v>42463</v>
      </c>
      <c r="R1151" s="62" t="s">
        <v>14282</v>
      </c>
      <c r="S1151" s="62" t="s">
        <v>14283</v>
      </c>
      <c r="U1151" s="62" t="s">
        <v>42464</v>
      </c>
      <c r="V1151" s="62" t="s">
        <v>42465</v>
      </c>
      <c r="W1151" s="62" t="s">
        <v>42466</v>
      </c>
      <c r="X1151" s="62" t="s">
        <v>14284</v>
      </c>
      <c r="Y1151" s="62" t="s">
        <v>14285</v>
      </c>
      <c r="Z1151" s="62" t="s">
        <v>42467</v>
      </c>
      <c r="AA1151" s="62" t="s">
        <v>42468</v>
      </c>
      <c r="AB1151" s="62" t="s">
        <v>42469</v>
      </c>
      <c r="AC1151" s="62" t="s">
        <v>14286</v>
      </c>
      <c r="AD1151" s="62" t="s">
        <v>14287</v>
      </c>
    </row>
    <row r="1152" spans="1:30" x14ac:dyDescent="0.25">
      <c r="A1152" s="62" t="s">
        <v>109</v>
      </c>
    </row>
    <row r="1153" spans="1:30" x14ac:dyDescent="0.25">
      <c r="A1153" s="62" t="s">
        <v>109</v>
      </c>
      <c r="C1153" s="62" t="s">
        <v>42470</v>
      </c>
      <c r="E1153" s="62" t="s">
        <v>417</v>
      </c>
      <c r="G1153" s="62" t="s">
        <v>42471</v>
      </c>
    </row>
    <row r="1154" spans="1:30" x14ac:dyDescent="0.25">
      <c r="A1154" s="62" t="s">
        <v>109</v>
      </c>
      <c r="C1154" s="62" t="s">
        <v>14288</v>
      </c>
    </row>
    <row r="1155" spans="1:30" x14ac:dyDescent="0.25">
      <c r="A1155" s="62" t="s">
        <v>109</v>
      </c>
      <c r="C1155" s="62" t="s">
        <v>14289</v>
      </c>
      <c r="F1155" s="62" t="s">
        <v>42472</v>
      </c>
      <c r="G1155" s="62" t="s">
        <v>54797</v>
      </c>
      <c r="J1155" s="62" t="s">
        <v>14290</v>
      </c>
      <c r="K1155" s="62" t="s">
        <v>54833</v>
      </c>
      <c r="L1155" s="62" t="s">
        <v>14291</v>
      </c>
      <c r="M1155" s="62" t="s">
        <v>14292</v>
      </c>
      <c r="N1155" s="62" t="s">
        <v>14293</v>
      </c>
      <c r="O1155" s="62" t="s">
        <v>14294</v>
      </c>
      <c r="P1155" s="62" t="s">
        <v>54869</v>
      </c>
      <c r="Q1155" s="62" t="s">
        <v>14295</v>
      </c>
      <c r="R1155" s="62" t="s">
        <v>14296</v>
      </c>
      <c r="S1155" s="62" t="s">
        <v>14297</v>
      </c>
      <c r="U1155" s="62" t="s">
        <v>14298</v>
      </c>
      <c r="V1155" s="62" t="s">
        <v>54905</v>
      </c>
      <c r="W1155" s="62" t="s">
        <v>14299</v>
      </c>
      <c r="X1155" s="62" t="s">
        <v>14300</v>
      </c>
      <c r="Y1155" s="62" t="s">
        <v>14301</v>
      </c>
      <c r="Z1155" s="62" t="s">
        <v>14302</v>
      </c>
      <c r="AA1155" s="62" t="s">
        <v>54941</v>
      </c>
      <c r="AB1155" s="62" t="s">
        <v>14303</v>
      </c>
      <c r="AC1155" s="62" t="s">
        <v>14304</v>
      </c>
      <c r="AD1155" s="62" t="s">
        <v>14305</v>
      </c>
    </row>
    <row r="1156" spans="1:30" x14ac:dyDescent="0.25">
      <c r="A1156" s="62" t="s">
        <v>109</v>
      </c>
      <c r="C1156" s="62" t="s">
        <v>42473</v>
      </c>
      <c r="F1156" s="62" t="s">
        <v>1359</v>
      </c>
      <c r="G1156" s="62" t="s">
        <v>54798</v>
      </c>
      <c r="J1156" s="62" t="s">
        <v>42474</v>
      </c>
      <c r="K1156" s="62" t="s">
        <v>54834</v>
      </c>
      <c r="L1156" s="62" t="s">
        <v>42475</v>
      </c>
      <c r="M1156" s="62" t="s">
        <v>42476</v>
      </c>
      <c r="N1156" s="62" t="s">
        <v>42477</v>
      </c>
      <c r="O1156" s="62" t="s">
        <v>42478</v>
      </c>
      <c r="P1156" s="62" t="s">
        <v>54870</v>
      </c>
      <c r="Q1156" s="62" t="s">
        <v>42479</v>
      </c>
      <c r="R1156" s="62" t="s">
        <v>42480</v>
      </c>
      <c r="S1156" s="62" t="s">
        <v>42481</v>
      </c>
      <c r="U1156" s="62" t="s">
        <v>42482</v>
      </c>
      <c r="V1156" s="62" t="s">
        <v>54906</v>
      </c>
      <c r="W1156" s="62" t="s">
        <v>42483</v>
      </c>
      <c r="X1156" s="62" t="s">
        <v>42484</v>
      </c>
      <c r="Y1156" s="62" t="s">
        <v>42485</v>
      </c>
      <c r="Z1156" s="62" t="s">
        <v>42486</v>
      </c>
      <c r="AA1156" s="62" t="s">
        <v>54942</v>
      </c>
      <c r="AB1156" s="62" t="s">
        <v>42487</v>
      </c>
      <c r="AC1156" s="62" t="s">
        <v>42488</v>
      </c>
      <c r="AD1156" s="62" t="s">
        <v>42489</v>
      </c>
    </row>
    <row r="1157" spans="1:30" x14ac:dyDescent="0.25">
      <c r="A1157" s="62" t="s">
        <v>109</v>
      </c>
      <c r="C1157" s="62" t="s">
        <v>14306</v>
      </c>
      <c r="F1157" s="62" t="s">
        <v>785</v>
      </c>
      <c r="G1157" s="62" t="s">
        <v>54799</v>
      </c>
      <c r="J1157" s="62" t="s">
        <v>42490</v>
      </c>
      <c r="K1157" s="62" t="s">
        <v>54835</v>
      </c>
      <c r="L1157" s="62" t="s">
        <v>42491</v>
      </c>
      <c r="M1157" s="62" t="s">
        <v>14307</v>
      </c>
      <c r="N1157" s="62" t="s">
        <v>14308</v>
      </c>
      <c r="O1157" s="62" t="s">
        <v>42492</v>
      </c>
      <c r="P1157" s="62" t="s">
        <v>54871</v>
      </c>
      <c r="Q1157" s="62" t="s">
        <v>42493</v>
      </c>
      <c r="R1157" s="62" t="s">
        <v>14309</v>
      </c>
      <c r="S1157" s="62" t="s">
        <v>14310</v>
      </c>
      <c r="U1157" s="62" t="s">
        <v>42494</v>
      </c>
      <c r="V1157" s="62" t="s">
        <v>54907</v>
      </c>
      <c r="W1157" s="62" t="s">
        <v>42495</v>
      </c>
      <c r="X1157" s="62" t="s">
        <v>14311</v>
      </c>
      <c r="Y1157" s="62" t="s">
        <v>14312</v>
      </c>
      <c r="Z1157" s="62" t="s">
        <v>42496</v>
      </c>
      <c r="AA1157" s="62" t="s">
        <v>54943</v>
      </c>
      <c r="AB1157" s="62" t="s">
        <v>42497</v>
      </c>
      <c r="AC1157" s="62" t="s">
        <v>14313</v>
      </c>
      <c r="AD1157" s="62" t="s">
        <v>14314</v>
      </c>
    </row>
    <row r="1158" spans="1:30" x14ac:dyDescent="0.25">
      <c r="A1158" s="62" t="s">
        <v>109</v>
      </c>
      <c r="C1158" s="62" t="s">
        <v>42498</v>
      </c>
      <c r="F1158" s="62" t="s">
        <v>802</v>
      </c>
      <c r="G1158" s="62" t="s">
        <v>54800</v>
      </c>
      <c r="J1158" s="62" t="s">
        <v>42499</v>
      </c>
      <c r="K1158" s="62" t="s">
        <v>54836</v>
      </c>
      <c r="L1158" s="62" t="s">
        <v>42500</v>
      </c>
      <c r="M1158" s="62" t="s">
        <v>42501</v>
      </c>
      <c r="N1158" s="62" t="s">
        <v>42502</v>
      </c>
      <c r="O1158" s="62" t="s">
        <v>42503</v>
      </c>
      <c r="P1158" s="62" t="s">
        <v>54872</v>
      </c>
      <c r="Q1158" s="62" t="s">
        <v>42504</v>
      </c>
      <c r="R1158" s="62" t="s">
        <v>42505</v>
      </c>
      <c r="S1158" s="62" t="s">
        <v>42506</v>
      </c>
      <c r="U1158" s="62" t="s">
        <v>42507</v>
      </c>
      <c r="V1158" s="62" t="s">
        <v>54908</v>
      </c>
      <c r="W1158" s="62" t="s">
        <v>42508</v>
      </c>
      <c r="X1158" s="62" t="s">
        <v>42509</v>
      </c>
      <c r="Y1158" s="62" t="s">
        <v>42510</v>
      </c>
      <c r="Z1158" s="62" t="s">
        <v>42511</v>
      </c>
      <c r="AA1158" s="62" t="s">
        <v>54944</v>
      </c>
      <c r="AB1158" s="62" t="s">
        <v>42512</v>
      </c>
      <c r="AC1158" s="62" t="s">
        <v>42513</v>
      </c>
      <c r="AD1158" s="62" t="s">
        <v>42514</v>
      </c>
    </row>
    <row r="1159" spans="1:30" x14ac:dyDescent="0.25">
      <c r="A1159" s="62" t="s">
        <v>109</v>
      </c>
      <c r="C1159" s="62" t="s">
        <v>42515</v>
      </c>
      <c r="F1159" s="62" t="s">
        <v>159</v>
      </c>
      <c r="G1159" s="62" t="s">
        <v>54801</v>
      </c>
      <c r="J1159" s="62" t="s">
        <v>42516</v>
      </c>
      <c r="K1159" s="62" t="s">
        <v>54837</v>
      </c>
      <c r="L1159" s="62" t="s">
        <v>42517</v>
      </c>
      <c r="M1159" s="62" t="s">
        <v>42518</v>
      </c>
      <c r="N1159" s="62" t="s">
        <v>42519</v>
      </c>
      <c r="O1159" s="62" t="s">
        <v>42520</v>
      </c>
      <c r="P1159" s="62" t="s">
        <v>54873</v>
      </c>
      <c r="Q1159" s="62" t="s">
        <v>42521</v>
      </c>
      <c r="R1159" s="62" t="s">
        <v>42522</v>
      </c>
      <c r="S1159" s="62" t="s">
        <v>42523</v>
      </c>
      <c r="U1159" s="62" t="s">
        <v>42524</v>
      </c>
      <c r="V1159" s="62" t="s">
        <v>54909</v>
      </c>
      <c r="W1159" s="62" t="s">
        <v>42525</v>
      </c>
      <c r="X1159" s="62" t="s">
        <v>42526</v>
      </c>
      <c r="Y1159" s="62" t="s">
        <v>42527</v>
      </c>
      <c r="Z1159" s="62" t="s">
        <v>42528</v>
      </c>
      <c r="AA1159" s="62" t="s">
        <v>54945</v>
      </c>
      <c r="AB1159" s="62" t="s">
        <v>42529</v>
      </c>
      <c r="AC1159" s="62" t="s">
        <v>42530</v>
      </c>
      <c r="AD1159" s="62" t="s">
        <v>42531</v>
      </c>
    </row>
    <row r="1160" spans="1:30" x14ac:dyDescent="0.25">
      <c r="A1160" s="62" t="s">
        <v>109</v>
      </c>
      <c r="C1160" s="62" t="s">
        <v>14315</v>
      </c>
      <c r="F1160" s="62" t="s">
        <v>827</v>
      </c>
      <c r="G1160" s="62" t="s">
        <v>54802</v>
      </c>
      <c r="J1160" s="62" t="s">
        <v>42532</v>
      </c>
      <c r="K1160" s="62" t="s">
        <v>54838</v>
      </c>
      <c r="L1160" s="62" t="s">
        <v>42533</v>
      </c>
      <c r="M1160" s="62" t="s">
        <v>42534</v>
      </c>
      <c r="N1160" s="62" t="s">
        <v>42535</v>
      </c>
      <c r="O1160" s="62" t="s">
        <v>42536</v>
      </c>
      <c r="P1160" s="62" t="s">
        <v>54874</v>
      </c>
      <c r="Q1160" s="62" t="s">
        <v>42537</v>
      </c>
      <c r="R1160" s="62" t="s">
        <v>42538</v>
      </c>
      <c r="S1160" s="62" t="s">
        <v>42539</v>
      </c>
      <c r="U1160" s="62" t="s">
        <v>42540</v>
      </c>
      <c r="V1160" s="62" t="s">
        <v>54910</v>
      </c>
      <c r="W1160" s="62" t="s">
        <v>42541</v>
      </c>
      <c r="X1160" s="62" t="s">
        <v>42542</v>
      </c>
      <c r="Y1160" s="62" t="s">
        <v>42543</v>
      </c>
      <c r="Z1160" s="62" t="s">
        <v>42544</v>
      </c>
      <c r="AA1160" s="62" t="s">
        <v>54946</v>
      </c>
      <c r="AB1160" s="62" t="s">
        <v>42545</v>
      </c>
      <c r="AC1160" s="62" t="s">
        <v>42546</v>
      </c>
      <c r="AD1160" s="62" t="s">
        <v>42547</v>
      </c>
    </row>
    <row r="1161" spans="1:30" x14ac:dyDescent="0.25">
      <c r="A1161" s="62" t="s">
        <v>109</v>
      </c>
      <c r="C1161" s="62" t="s">
        <v>14316</v>
      </c>
      <c r="F1161" s="62" t="s">
        <v>837</v>
      </c>
      <c r="G1161" s="62" t="s">
        <v>54803</v>
      </c>
      <c r="J1161" s="62" t="s">
        <v>14317</v>
      </c>
      <c r="K1161" s="62" t="s">
        <v>54839</v>
      </c>
      <c r="L1161" s="62" t="s">
        <v>14318</v>
      </c>
      <c r="M1161" s="62" t="s">
        <v>14319</v>
      </c>
      <c r="N1161" s="62" t="s">
        <v>14320</v>
      </c>
      <c r="O1161" s="62" t="s">
        <v>14321</v>
      </c>
      <c r="P1161" s="62" t="s">
        <v>54875</v>
      </c>
      <c r="Q1161" s="62" t="s">
        <v>14322</v>
      </c>
      <c r="R1161" s="62" t="s">
        <v>14323</v>
      </c>
      <c r="S1161" s="62" t="s">
        <v>14324</v>
      </c>
      <c r="U1161" s="62" t="s">
        <v>14325</v>
      </c>
      <c r="V1161" s="62" t="s">
        <v>54911</v>
      </c>
      <c r="W1161" s="62" t="s">
        <v>14326</v>
      </c>
      <c r="X1161" s="62" t="s">
        <v>14327</v>
      </c>
      <c r="Y1161" s="62" t="s">
        <v>14328</v>
      </c>
      <c r="Z1161" s="62" t="s">
        <v>14329</v>
      </c>
      <c r="AA1161" s="62" t="s">
        <v>54947</v>
      </c>
      <c r="AB1161" s="62" t="s">
        <v>14330</v>
      </c>
      <c r="AC1161" s="62" t="s">
        <v>14331</v>
      </c>
      <c r="AD1161" s="62" t="s">
        <v>14332</v>
      </c>
    </row>
    <row r="1162" spans="1:30" x14ac:dyDescent="0.25">
      <c r="A1162" s="62" t="s">
        <v>109</v>
      </c>
      <c r="C1162" s="62" t="s">
        <v>14333</v>
      </c>
      <c r="F1162" s="62" t="s">
        <v>855</v>
      </c>
      <c r="G1162" s="62" t="s">
        <v>54804</v>
      </c>
      <c r="J1162" s="62" t="s">
        <v>42548</v>
      </c>
      <c r="K1162" s="62" t="s">
        <v>54840</v>
      </c>
      <c r="L1162" s="62" t="s">
        <v>42549</v>
      </c>
      <c r="M1162" s="62" t="s">
        <v>42550</v>
      </c>
      <c r="N1162" s="62" t="s">
        <v>42551</v>
      </c>
      <c r="O1162" s="62" t="s">
        <v>42552</v>
      </c>
      <c r="P1162" s="62" t="s">
        <v>54876</v>
      </c>
      <c r="Q1162" s="62" t="s">
        <v>42553</v>
      </c>
      <c r="R1162" s="62" t="s">
        <v>42554</v>
      </c>
      <c r="S1162" s="62" t="s">
        <v>42555</v>
      </c>
      <c r="U1162" s="62" t="s">
        <v>42556</v>
      </c>
      <c r="V1162" s="62" t="s">
        <v>54912</v>
      </c>
      <c r="W1162" s="62" t="s">
        <v>42557</v>
      </c>
      <c r="X1162" s="62" t="s">
        <v>42558</v>
      </c>
      <c r="Y1162" s="62" t="s">
        <v>42559</v>
      </c>
      <c r="Z1162" s="62" t="s">
        <v>42560</v>
      </c>
      <c r="AA1162" s="62" t="s">
        <v>54948</v>
      </c>
      <c r="AB1162" s="62" t="s">
        <v>42561</v>
      </c>
      <c r="AC1162" s="62" t="s">
        <v>42562</v>
      </c>
      <c r="AD1162" s="62" t="s">
        <v>42563</v>
      </c>
    </row>
    <row r="1163" spans="1:30" x14ac:dyDescent="0.25">
      <c r="A1163" s="62" t="s">
        <v>109</v>
      </c>
      <c r="C1163" s="62" t="s">
        <v>14334</v>
      </c>
      <c r="F1163" s="62" t="s">
        <v>872</v>
      </c>
      <c r="G1163" s="62" t="s">
        <v>54805</v>
      </c>
      <c r="J1163" s="62" t="s">
        <v>42564</v>
      </c>
      <c r="K1163" s="62" t="s">
        <v>54841</v>
      </c>
      <c r="L1163" s="62" t="s">
        <v>42565</v>
      </c>
      <c r="M1163" s="62" t="s">
        <v>14335</v>
      </c>
      <c r="N1163" s="62" t="s">
        <v>14336</v>
      </c>
      <c r="O1163" s="62" t="s">
        <v>42566</v>
      </c>
      <c r="P1163" s="62" t="s">
        <v>54877</v>
      </c>
      <c r="Q1163" s="62" t="s">
        <v>42567</v>
      </c>
      <c r="R1163" s="62" t="s">
        <v>14337</v>
      </c>
      <c r="S1163" s="62" t="s">
        <v>14338</v>
      </c>
      <c r="U1163" s="62" t="s">
        <v>42568</v>
      </c>
      <c r="V1163" s="62" t="s">
        <v>54913</v>
      </c>
      <c r="W1163" s="62" t="s">
        <v>42569</v>
      </c>
      <c r="X1163" s="62" t="s">
        <v>14339</v>
      </c>
      <c r="Y1163" s="62" t="s">
        <v>14340</v>
      </c>
      <c r="Z1163" s="62" t="s">
        <v>42570</v>
      </c>
      <c r="AA1163" s="62" t="s">
        <v>54949</v>
      </c>
      <c r="AB1163" s="62" t="s">
        <v>42571</v>
      </c>
      <c r="AC1163" s="62" t="s">
        <v>14341</v>
      </c>
      <c r="AD1163" s="62" t="s">
        <v>14342</v>
      </c>
    </row>
    <row r="1164" spans="1:30" x14ac:dyDescent="0.25">
      <c r="A1164" s="62" t="s">
        <v>109</v>
      </c>
      <c r="C1164" s="62" t="s">
        <v>42572</v>
      </c>
      <c r="F1164" s="62" t="s">
        <v>915</v>
      </c>
      <c r="G1164" s="62" t="s">
        <v>54806</v>
      </c>
      <c r="J1164" s="62" t="s">
        <v>42573</v>
      </c>
      <c r="K1164" s="62" t="s">
        <v>54842</v>
      </c>
      <c r="L1164" s="62" t="s">
        <v>42574</v>
      </c>
      <c r="M1164" s="62" t="s">
        <v>42575</v>
      </c>
      <c r="N1164" s="62" t="s">
        <v>42576</v>
      </c>
      <c r="O1164" s="62" t="s">
        <v>42577</v>
      </c>
      <c r="P1164" s="62" t="s">
        <v>54878</v>
      </c>
      <c r="Q1164" s="62" t="s">
        <v>42578</v>
      </c>
      <c r="R1164" s="62" t="s">
        <v>42579</v>
      </c>
      <c r="S1164" s="62" t="s">
        <v>42580</v>
      </c>
      <c r="U1164" s="62" t="s">
        <v>42581</v>
      </c>
      <c r="V1164" s="62" t="s">
        <v>54914</v>
      </c>
      <c r="W1164" s="62" t="s">
        <v>42582</v>
      </c>
      <c r="X1164" s="62" t="s">
        <v>42583</v>
      </c>
      <c r="Y1164" s="62" t="s">
        <v>42584</v>
      </c>
      <c r="Z1164" s="62" t="s">
        <v>42585</v>
      </c>
      <c r="AA1164" s="62" t="s">
        <v>54950</v>
      </c>
      <c r="AB1164" s="62" t="s">
        <v>42586</v>
      </c>
      <c r="AC1164" s="62" t="s">
        <v>42587</v>
      </c>
      <c r="AD1164" s="62" t="s">
        <v>42588</v>
      </c>
    </row>
    <row r="1165" spans="1:30" x14ac:dyDescent="0.25">
      <c r="A1165" s="62" t="s">
        <v>109</v>
      </c>
      <c r="C1165" s="62" t="s">
        <v>42589</v>
      </c>
      <c r="F1165" s="62" t="s">
        <v>176</v>
      </c>
      <c r="G1165" s="62" t="s">
        <v>54807</v>
      </c>
      <c r="J1165" s="62" t="s">
        <v>42590</v>
      </c>
      <c r="K1165" s="62" t="s">
        <v>54843</v>
      </c>
      <c r="L1165" s="62" t="s">
        <v>42591</v>
      </c>
      <c r="M1165" s="62" t="s">
        <v>42592</v>
      </c>
      <c r="N1165" s="62" t="s">
        <v>42593</v>
      </c>
      <c r="O1165" s="62" t="s">
        <v>42594</v>
      </c>
      <c r="P1165" s="62" t="s">
        <v>54879</v>
      </c>
      <c r="Q1165" s="62" t="s">
        <v>42595</v>
      </c>
      <c r="R1165" s="62" t="s">
        <v>42596</v>
      </c>
      <c r="S1165" s="62" t="s">
        <v>42597</v>
      </c>
      <c r="U1165" s="62" t="s">
        <v>42598</v>
      </c>
      <c r="V1165" s="62" t="s">
        <v>54915</v>
      </c>
      <c r="W1165" s="62" t="s">
        <v>42599</v>
      </c>
      <c r="X1165" s="62" t="s">
        <v>42600</v>
      </c>
      <c r="Y1165" s="62" t="s">
        <v>42601</v>
      </c>
      <c r="Z1165" s="62" t="s">
        <v>42602</v>
      </c>
      <c r="AA1165" s="62" t="s">
        <v>54951</v>
      </c>
      <c r="AB1165" s="62" t="s">
        <v>42603</v>
      </c>
      <c r="AC1165" s="62" t="s">
        <v>42604</v>
      </c>
      <c r="AD1165" s="62" t="s">
        <v>42605</v>
      </c>
    </row>
    <row r="1166" spans="1:30" x14ac:dyDescent="0.25">
      <c r="A1166" s="62" t="s">
        <v>109</v>
      </c>
      <c r="C1166" s="62" t="s">
        <v>14343</v>
      </c>
      <c r="F1166" s="62" t="s">
        <v>976</v>
      </c>
      <c r="G1166" s="62" t="s">
        <v>54808</v>
      </c>
      <c r="J1166" s="62" t="s">
        <v>42606</v>
      </c>
      <c r="K1166" s="62" t="s">
        <v>54844</v>
      </c>
      <c r="L1166" s="62" t="s">
        <v>42607</v>
      </c>
      <c r="M1166" s="62" t="s">
        <v>42608</v>
      </c>
      <c r="N1166" s="62" t="s">
        <v>42609</v>
      </c>
      <c r="O1166" s="62" t="s">
        <v>42610</v>
      </c>
      <c r="P1166" s="62" t="s">
        <v>54880</v>
      </c>
      <c r="Q1166" s="62" t="s">
        <v>42611</v>
      </c>
      <c r="R1166" s="62" t="s">
        <v>42612</v>
      </c>
      <c r="S1166" s="62" t="s">
        <v>42613</v>
      </c>
      <c r="U1166" s="62" t="s">
        <v>42614</v>
      </c>
      <c r="V1166" s="62" t="s">
        <v>54916</v>
      </c>
      <c r="W1166" s="62" t="s">
        <v>42615</v>
      </c>
      <c r="X1166" s="62" t="s">
        <v>42616</v>
      </c>
      <c r="Y1166" s="62" t="s">
        <v>42617</v>
      </c>
      <c r="Z1166" s="62" t="s">
        <v>42618</v>
      </c>
      <c r="AA1166" s="62" t="s">
        <v>54952</v>
      </c>
      <c r="AB1166" s="62" t="s">
        <v>42619</v>
      </c>
      <c r="AC1166" s="62" t="s">
        <v>42620</v>
      </c>
      <c r="AD1166" s="62" t="s">
        <v>42621</v>
      </c>
    </row>
    <row r="1167" spans="1:30" x14ac:dyDescent="0.25">
      <c r="A1167" s="62" t="s">
        <v>109</v>
      </c>
      <c r="C1167" s="62" t="s">
        <v>14344</v>
      </c>
      <c r="F1167" s="62" t="s">
        <v>985</v>
      </c>
      <c r="G1167" s="62" t="s">
        <v>54809</v>
      </c>
      <c r="J1167" s="62" t="s">
        <v>14345</v>
      </c>
      <c r="K1167" s="62" t="s">
        <v>54845</v>
      </c>
      <c r="L1167" s="62" t="s">
        <v>14346</v>
      </c>
      <c r="M1167" s="62" t="s">
        <v>14347</v>
      </c>
      <c r="N1167" s="62" t="s">
        <v>14348</v>
      </c>
      <c r="O1167" s="62" t="s">
        <v>14349</v>
      </c>
      <c r="P1167" s="62" t="s">
        <v>54881</v>
      </c>
      <c r="Q1167" s="62" t="s">
        <v>14350</v>
      </c>
      <c r="R1167" s="62" t="s">
        <v>14351</v>
      </c>
      <c r="S1167" s="62" t="s">
        <v>14352</v>
      </c>
      <c r="U1167" s="62" t="s">
        <v>14353</v>
      </c>
      <c r="V1167" s="62" t="s">
        <v>54917</v>
      </c>
      <c r="W1167" s="62" t="s">
        <v>14354</v>
      </c>
      <c r="X1167" s="62" t="s">
        <v>14355</v>
      </c>
      <c r="Y1167" s="62" t="s">
        <v>14356</v>
      </c>
      <c r="Z1167" s="62" t="s">
        <v>14357</v>
      </c>
      <c r="AA1167" s="62" t="s">
        <v>54953</v>
      </c>
      <c r="AB1167" s="62" t="s">
        <v>14358</v>
      </c>
      <c r="AC1167" s="62" t="s">
        <v>14359</v>
      </c>
      <c r="AD1167" s="62" t="s">
        <v>14360</v>
      </c>
    </row>
    <row r="1168" spans="1:30" x14ac:dyDescent="0.25">
      <c r="A1168" s="62" t="s">
        <v>109</v>
      </c>
      <c r="C1168" s="62" t="s">
        <v>14361</v>
      </c>
      <c r="F1168" s="62" t="s">
        <v>1002</v>
      </c>
      <c r="G1168" s="62" t="s">
        <v>54810</v>
      </c>
      <c r="J1168" s="62" t="s">
        <v>14362</v>
      </c>
      <c r="K1168" s="62" t="s">
        <v>54846</v>
      </c>
      <c r="L1168" s="62" t="s">
        <v>14363</v>
      </c>
      <c r="M1168" s="62" t="s">
        <v>14364</v>
      </c>
      <c r="N1168" s="62" t="s">
        <v>14365</v>
      </c>
      <c r="O1168" s="62" t="s">
        <v>14366</v>
      </c>
      <c r="P1168" s="62" t="s">
        <v>54882</v>
      </c>
      <c r="Q1168" s="62" t="s">
        <v>14367</v>
      </c>
      <c r="R1168" s="62" t="s">
        <v>14368</v>
      </c>
      <c r="S1168" s="62" t="s">
        <v>14369</v>
      </c>
      <c r="U1168" s="62" t="s">
        <v>14370</v>
      </c>
      <c r="V1168" s="62" t="s">
        <v>54918</v>
      </c>
      <c r="W1168" s="62" t="s">
        <v>14371</v>
      </c>
      <c r="X1168" s="62" t="s">
        <v>14372</v>
      </c>
      <c r="Y1168" s="62" t="s">
        <v>14373</v>
      </c>
      <c r="Z1168" s="62" t="s">
        <v>14374</v>
      </c>
      <c r="AA1168" s="62" t="s">
        <v>54954</v>
      </c>
      <c r="AB1168" s="62" t="s">
        <v>14375</v>
      </c>
      <c r="AC1168" s="62" t="s">
        <v>14376</v>
      </c>
      <c r="AD1168" s="62" t="s">
        <v>14377</v>
      </c>
    </row>
    <row r="1169" spans="1:30" x14ac:dyDescent="0.25">
      <c r="A1169" s="62" t="s">
        <v>109</v>
      </c>
      <c r="C1169" s="62" t="s">
        <v>14378</v>
      </c>
      <c r="F1169" s="62" t="s">
        <v>1012</v>
      </c>
      <c r="G1169" s="62" t="s">
        <v>54811</v>
      </c>
      <c r="J1169" s="62" t="s">
        <v>14379</v>
      </c>
      <c r="K1169" s="62" t="s">
        <v>54847</v>
      </c>
      <c r="L1169" s="62" t="s">
        <v>14380</v>
      </c>
      <c r="M1169" s="62" t="s">
        <v>14381</v>
      </c>
      <c r="N1169" s="62" t="s">
        <v>14382</v>
      </c>
      <c r="O1169" s="62" t="s">
        <v>14383</v>
      </c>
      <c r="P1169" s="62" t="s">
        <v>54883</v>
      </c>
      <c r="Q1169" s="62" t="s">
        <v>14384</v>
      </c>
      <c r="R1169" s="62" t="s">
        <v>14385</v>
      </c>
      <c r="S1169" s="62" t="s">
        <v>14386</v>
      </c>
      <c r="U1169" s="62" t="s">
        <v>14387</v>
      </c>
      <c r="V1169" s="62" t="s">
        <v>54919</v>
      </c>
      <c r="W1169" s="62" t="s">
        <v>14388</v>
      </c>
      <c r="X1169" s="62" t="s">
        <v>14389</v>
      </c>
      <c r="Y1169" s="62" t="s">
        <v>14390</v>
      </c>
      <c r="Z1169" s="62" t="s">
        <v>14391</v>
      </c>
      <c r="AA1169" s="62" t="s">
        <v>54955</v>
      </c>
      <c r="AB1169" s="62" t="s">
        <v>14392</v>
      </c>
      <c r="AC1169" s="62" t="s">
        <v>14393</v>
      </c>
      <c r="AD1169" s="62" t="s">
        <v>14394</v>
      </c>
    </row>
    <row r="1170" spans="1:30" x14ac:dyDescent="0.25">
      <c r="A1170" s="62" t="s">
        <v>109</v>
      </c>
      <c r="C1170" s="62" t="s">
        <v>14395</v>
      </c>
      <c r="F1170" s="62" t="s">
        <v>1030</v>
      </c>
      <c r="G1170" s="62" t="s">
        <v>54812</v>
      </c>
      <c r="J1170" s="62" t="s">
        <v>14396</v>
      </c>
      <c r="K1170" s="62" t="s">
        <v>54848</v>
      </c>
      <c r="L1170" s="62" t="s">
        <v>14397</v>
      </c>
      <c r="M1170" s="62" t="s">
        <v>14398</v>
      </c>
      <c r="N1170" s="62" t="s">
        <v>14399</v>
      </c>
      <c r="O1170" s="62" t="s">
        <v>14400</v>
      </c>
      <c r="P1170" s="62" t="s">
        <v>54884</v>
      </c>
      <c r="Q1170" s="62" t="s">
        <v>14401</v>
      </c>
      <c r="R1170" s="62" t="s">
        <v>14402</v>
      </c>
      <c r="S1170" s="62" t="s">
        <v>14403</v>
      </c>
      <c r="U1170" s="62" t="s">
        <v>14404</v>
      </c>
      <c r="V1170" s="62" t="s">
        <v>54920</v>
      </c>
      <c r="W1170" s="62" t="s">
        <v>14405</v>
      </c>
      <c r="X1170" s="62" t="s">
        <v>14406</v>
      </c>
      <c r="Y1170" s="62" t="s">
        <v>14407</v>
      </c>
      <c r="Z1170" s="62" t="s">
        <v>14408</v>
      </c>
      <c r="AA1170" s="62" t="s">
        <v>54956</v>
      </c>
      <c r="AB1170" s="62" t="s">
        <v>14409</v>
      </c>
      <c r="AC1170" s="62" t="s">
        <v>14410</v>
      </c>
      <c r="AD1170" s="62" t="s">
        <v>14411</v>
      </c>
    </row>
    <row r="1171" spans="1:30" x14ac:dyDescent="0.25">
      <c r="A1171" s="62" t="s">
        <v>109</v>
      </c>
      <c r="C1171" s="62" t="s">
        <v>14412</v>
      </c>
      <c r="F1171" s="62" t="s">
        <v>1047</v>
      </c>
      <c r="G1171" s="62" t="s">
        <v>54813</v>
      </c>
      <c r="J1171" s="62" t="s">
        <v>14413</v>
      </c>
      <c r="K1171" s="62" t="s">
        <v>54849</v>
      </c>
      <c r="L1171" s="62" t="s">
        <v>14414</v>
      </c>
      <c r="M1171" s="62" t="s">
        <v>14415</v>
      </c>
      <c r="N1171" s="62" t="s">
        <v>14416</v>
      </c>
      <c r="O1171" s="62" t="s">
        <v>14417</v>
      </c>
      <c r="P1171" s="62" t="s">
        <v>54885</v>
      </c>
      <c r="Q1171" s="62" t="s">
        <v>14418</v>
      </c>
      <c r="R1171" s="62" t="s">
        <v>14419</v>
      </c>
      <c r="S1171" s="62" t="s">
        <v>14420</v>
      </c>
      <c r="U1171" s="62" t="s">
        <v>14421</v>
      </c>
      <c r="V1171" s="62" t="s">
        <v>54921</v>
      </c>
      <c r="W1171" s="62" t="s">
        <v>14422</v>
      </c>
      <c r="X1171" s="62" t="s">
        <v>14423</v>
      </c>
      <c r="Y1171" s="62" t="s">
        <v>14424</v>
      </c>
      <c r="Z1171" s="62" t="s">
        <v>14425</v>
      </c>
      <c r="AA1171" s="62" t="s">
        <v>54957</v>
      </c>
      <c r="AB1171" s="62" t="s">
        <v>14426</v>
      </c>
      <c r="AC1171" s="62" t="s">
        <v>14427</v>
      </c>
      <c r="AD1171" s="62" t="s">
        <v>14428</v>
      </c>
    </row>
    <row r="1172" spans="1:30" x14ac:dyDescent="0.25">
      <c r="A1172" s="62" t="s">
        <v>109</v>
      </c>
      <c r="C1172" s="62" t="s">
        <v>14429</v>
      </c>
      <c r="F1172" s="62" t="s">
        <v>1090</v>
      </c>
      <c r="G1172" s="62" t="s">
        <v>54814</v>
      </c>
      <c r="J1172" s="62" t="s">
        <v>14430</v>
      </c>
      <c r="K1172" s="62" t="s">
        <v>54850</v>
      </c>
      <c r="L1172" s="62" t="s">
        <v>14431</v>
      </c>
      <c r="M1172" s="62" t="s">
        <v>14432</v>
      </c>
      <c r="N1172" s="62" t="s">
        <v>14433</v>
      </c>
      <c r="O1172" s="62" t="s">
        <v>14434</v>
      </c>
      <c r="P1172" s="62" t="s">
        <v>54886</v>
      </c>
      <c r="Q1172" s="62" t="s">
        <v>14435</v>
      </c>
      <c r="R1172" s="62" t="s">
        <v>14436</v>
      </c>
      <c r="S1172" s="62" t="s">
        <v>14437</v>
      </c>
      <c r="U1172" s="62" t="s">
        <v>14438</v>
      </c>
      <c r="V1172" s="62" t="s">
        <v>54922</v>
      </c>
      <c r="W1172" s="62" t="s">
        <v>14439</v>
      </c>
      <c r="X1172" s="62" t="s">
        <v>14440</v>
      </c>
      <c r="Y1172" s="62" t="s">
        <v>14441</v>
      </c>
      <c r="Z1172" s="62" t="s">
        <v>14442</v>
      </c>
      <c r="AA1172" s="62" t="s">
        <v>54958</v>
      </c>
      <c r="AB1172" s="62" t="s">
        <v>14443</v>
      </c>
      <c r="AC1172" s="62" t="s">
        <v>14444</v>
      </c>
      <c r="AD1172" s="62" t="s">
        <v>14445</v>
      </c>
    </row>
    <row r="1173" spans="1:30" x14ac:dyDescent="0.25">
      <c r="A1173" s="62" t="s">
        <v>109</v>
      </c>
      <c r="C1173" s="62" t="s">
        <v>14446</v>
      </c>
      <c r="F1173" s="62" t="s">
        <v>1100</v>
      </c>
      <c r="G1173" s="62" t="s">
        <v>54815</v>
      </c>
      <c r="J1173" s="62" t="s">
        <v>14447</v>
      </c>
      <c r="K1173" s="62" t="s">
        <v>54851</v>
      </c>
      <c r="L1173" s="62" t="s">
        <v>14448</v>
      </c>
      <c r="M1173" s="62" t="s">
        <v>14449</v>
      </c>
      <c r="N1173" s="62" t="s">
        <v>14450</v>
      </c>
      <c r="O1173" s="62" t="s">
        <v>14451</v>
      </c>
      <c r="P1173" s="62" t="s">
        <v>54887</v>
      </c>
      <c r="Q1173" s="62" t="s">
        <v>14452</v>
      </c>
      <c r="R1173" s="62" t="s">
        <v>14453</v>
      </c>
      <c r="S1173" s="62" t="s">
        <v>14454</v>
      </c>
      <c r="U1173" s="62" t="s">
        <v>14455</v>
      </c>
      <c r="V1173" s="62" t="s">
        <v>54923</v>
      </c>
      <c r="W1173" s="62" t="s">
        <v>14456</v>
      </c>
      <c r="X1173" s="62" t="s">
        <v>14457</v>
      </c>
      <c r="Y1173" s="62" t="s">
        <v>14458</v>
      </c>
      <c r="Z1173" s="62" t="s">
        <v>14459</v>
      </c>
      <c r="AA1173" s="62" t="s">
        <v>54959</v>
      </c>
      <c r="AB1173" s="62" t="s">
        <v>14460</v>
      </c>
      <c r="AC1173" s="62" t="s">
        <v>14461</v>
      </c>
      <c r="AD1173" s="62" t="s">
        <v>14462</v>
      </c>
    </row>
    <row r="1174" spans="1:30" x14ac:dyDescent="0.25">
      <c r="A1174" s="62" t="s">
        <v>109</v>
      </c>
      <c r="C1174" s="62" t="s">
        <v>14463</v>
      </c>
      <c r="F1174" s="62" t="s">
        <v>1118</v>
      </c>
      <c r="G1174" s="62" t="s">
        <v>54816</v>
      </c>
      <c r="J1174" s="62" t="s">
        <v>14464</v>
      </c>
      <c r="K1174" s="62" t="s">
        <v>54852</v>
      </c>
      <c r="L1174" s="62" t="s">
        <v>14465</v>
      </c>
      <c r="M1174" s="62" t="s">
        <v>14466</v>
      </c>
      <c r="N1174" s="62" t="s">
        <v>14467</v>
      </c>
      <c r="O1174" s="62" t="s">
        <v>14468</v>
      </c>
      <c r="P1174" s="62" t="s">
        <v>54888</v>
      </c>
      <c r="Q1174" s="62" t="s">
        <v>14469</v>
      </c>
      <c r="R1174" s="62" t="s">
        <v>14470</v>
      </c>
      <c r="S1174" s="62" t="s">
        <v>14471</v>
      </c>
      <c r="U1174" s="62" t="s">
        <v>14472</v>
      </c>
      <c r="V1174" s="62" t="s">
        <v>54924</v>
      </c>
      <c r="W1174" s="62" t="s">
        <v>14473</v>
      </c>
      <c r="X1174" s="62" t="s">
        <v>14474</v>
      </c>
      <c r="Y1174" s="62" t="s">
        <v>14475</v>
      </c>
      <c r="Z1174" s="62" t="s">
        <v>14476</v>
      </c>
      <c r="AA1174" s="62" t="s">
        <v>54960</v>
      </c>
      <c r="AB1174" s="62" t="s">
        <v>14477</v>
      </c>
      <c r="AC1174" s="62" t="s">
        <v>14478</v>
      </c>
      <c r="AD1174" s="62" t="s">
        <v>14479</v>
      </c>
    </row>
    <row r="1175" spans="1:30" x14ac:dyDescent="0.25">
      <c r="A1175" s="62" t="s">
        <v>109</v>
      </c>
      <c r="C1175" s="62" t="s">
        <v>14480</v>
      </c>
      <c r="F1175" s="62" t="s">
        <v>1135</v>
      </c>
      <c r="G1175" s="62" t="s">
        <v>54817</v>
      </c>
      <c r="J1175" s="62" t="s">
        <v>14481</v>
      </c>
      <c r="K1175" s="62" t="s">
        <v>54853</v>
      </c>
      <c r="L1175" s="62" t="s">
        <v>14482</v>
      </c>
      <c r="M1175" s="62" t="s">
        <v>14483</v>
      </c>
      <c r="N1175" s="62" t="s">
        <v>14484</v>
      </c>
      <c r="O1175" s="62" t="s">
        <v>14485</v>
      </c>
      <c r="P1175" s="62" t="s">
        <v>54889</v>
      </c>
      <c r="Q1175" s="62" t="s">
        <v>14486</v>
      </c>
      <c r="R1175" s="62" t="s">
        <v>14487</v>
      </c>
      <c r="S1175" s="62" t="s">
        <v>14488</v>
      </c>
      <c r="U1175" s="62" t="s">
        <v>14489</v>
      </c>
      <c r="V1175" s="62" t="s">
        <v>54925</v>
      </c>
      <c r="W1175" s="62" t="s">
        <v>14490</v>
      </c>
      <c r="X1175" s="62" t="s">
        <v>14491</v>
      </c>
      <c r="Y1175" s="62" t="s">
        <v>14492</v>
      </c>
      <c r="Z1175" s="62" t="s">
        <v>14493</v>
      </c>
      <c r="AA1175" s="62" t="s">
        <v>54961</v>
      </c>
      <c r="AB1175" s="62" t="s">
        <v>14494</v>
      </c>
      <c r="AC1175" s="62" t="s">
        <v>14495</v>
      </c>
      <c r="AD1175" s="62" t="s">
        <v>14496</v>
      </c>
    </row>
    <row r="1176" spans="1:30" x14ac:dyDescent="0.25">
      <c r="A1176" s="62" t="s">
        <v>109</v>
      </c>
      <c r="C1176" s="62" t="s">
        <v>14497</v>
      </c>
      <c r="F1176" s="62" t="s">
        <v>1688</v>
      </c>
      <c r="G1176" s="62" t="s">
        <v>54818</v>
      </c>
      <c r="J1176" s="62" t="s">
        <v>14498</v>
      </c>
      <c r="K1176" s="62" t="s">
        <v>54854</v>
      </c>
      <c r="L1176" s="62" t="s">
        <v>14499</v>
      </c>
      <c r="M1176" s="62" t="s">
        <v>14500</v>
      </c>
      <c r="N1176" s="62" t="s">
        <v>14501</v>
      </c>
      <c r="O1176" s="62" t="s">
        <v>14502</v>
      </c>
      <c r="P1176" s="62" t="s">
        <v>54890</v>
      </c>
      <c r="Q1176" s="62" t="s">
        <v>14503</v>
      </c>
      <c r="R1176" s="62" t="s">
        <v>14504</v>
      </c>
      <c r="S1176" s="62" t="s">
        <v>14505</v>
      </c>
      <c r="U1176" s="62" t="s">
        <v>14506</v>
      </c>
      <c r="V1176" s="62" t="s">
        <v>54926</v>
      </c>
      <c r="W1176" s="62" t="s">
        <v>14507</v>
      </c>
      <c r="X1176" s="62" t="s">
        <v>14508</v>
      </c>
      <c r="Y1176" s="62" t="s">
        <v>14509</v>
      </c>
      <c r="Z1176" s="62" t="s">
        <v>14510</v>
      </c>
      <c r="AA1176" s="62" t="s">
        <v>54962</v>
      </c>
      <c r="AB1176" s="62" t="s">
        <v>14511</v>
      </c>
      <c r="AC1176" s="62" t="s">
        <v>14512</v>
      </c>
      <c r="AD1176" s="62" t="s">
        <v>14513</v>
      </c>
    </row>
    <row r="1177" spans="1:30" x14ac:dyDescent="0.25">
      <c r="A1177" s="62" t="s">
        <v>109</v>
      </c>
      <c r="C1177" s="62" t="s">
        <v>14514</v>
      </c>
      <c r="F1177" s="62" t="s">
        <v>1161</v>
      </c>
      <c r="G1177" s="62" t="s">
        <v>54819</v>
      </c>
      <c r="J1177" s="62" t="s">
        <v>14515</v>
      </c>
      <c r="K1177" s="62" t="s">
        <v>54855</v>
      </c>
      <c r="L1177" s="62" t="s">
        <v>14516</v>
      </c>
      <c r="M1177" s="62" t="s">
        <v>14517</v>
      </c>
      <c r="N1177" s="62" t="s">
        <v>14518</v>
      </c>
      <c r="O1177" s="62" t="s">
        <v>14519</v>
      </c>
      <c r="P1177" s="62" t="s">
        <v>54891</v>
      </c>
      <c r="Q1177" s="62" t="s">
        <v>14520</v>
      </c>
      <c r="R1177" s="62" t="s">
        <v>14521</v>
      </c>
      <c r="S1177" s="62" t="s">
        <v>14522</v>
      </c>
      <c r="U1177" s="62" t="s">
        <v>14523</v>
      </c>
      <c r="V1177" s="62" t="s">
        <v>54927</v>
      </c>
      <c r="W1177" s="62" t="s">
        <v>14524</v>
      </c>
      <c r="X1177" s="62" t="s">
        <v>14525</v>
      </c>
      <c r="Y1177" s="62" t="s">
        <v>14526</v>
      </c>
      <c r="Z1177" s="62" t="s">
        <v>14527</v>
      </c>
      <c r="AA1177" s="62" t="s">
        <v>54963</v>
      </c>
      <c r="AB1177" s="62" t="s">
        <v>14528</v>
      </c>
      <c r="AC1177" s="62" t="s">
        <v>14529</v>
      </c>
      <c r="AD1177" s="62" t="s">
        <v>14530</v>
      </c>
    </row>
    <row r="1178" spans="1:30" x14ac:dyDescent="0.25">
      <c r="A1178" s="62" t="s">
        <v>109</v>
      </c>
      <c r="C1178" s="62" t="s">
        <v>14531</v>
      </c>
      <c r="F1178" s="62" t="s">
        <v>1178</v>
      </c>
      <c r="G1178" s="62" t="s">
        <v>54820</v>
      </c>
      <c r="J1178" s="62" t="s">
        <v>14532</v>
      </c>
      <c r="K1178" s="62" t="s">
        <v>54856</v>
      </c>
      <c r="L1178" s="62" t="s">
        <v>14533</v>
      </c>
      <c r="M1178" s="62" t="s">
        <v>14534</v>
      </c>
      <c r="N1178" s="62" t="s">
        <v>14535</v>
      </c>
      <c r="O1178" s="62" t="s">
        <v>14536</v>
      </c>
      <c r="P1178" s="62" t="s">
        <v>54892</v>
      </c>
      <c r="Q1178" s="62" t="s">
        <v>14537</v>
      </c>
      <c r="R1178" s="62" t="s">
        <v>14538</v>
      </c>
      <c r="S1178" s="62" t="s">
        <v>14539</v>
      </c>
      <c r="U1178" s="62" t="s">
        <v>14540</v>
      </c>
      <c r="V1178" s="62" t="s">
        <v>54928</v>
      </c>
      <c r="W1178" s="62" t="s">
        <v>14541</v>
      </c>
      <c r="X1178" s="62" t="s">
        <v>14542</v>
      </c>
      <c r="Y1178" s="62" t="s">
        <v>14543</v>
      </c>
      <c r="Z1178" s="62" t="s">
        <v>14544</v>
      </c>
      <c r="AA1178" s="62" t="s">
        <v>54964</v>
      </c>
      <c r="AB1178" s="62" t="s">
        <v>14545</v>
      </c>
      <c r="AC1178" s="62" t="s">
        <v>14546</v>
      </c>
      <c r="AD1178" s="62" t="s">
        <v>14547</v>
      </c>
    </row>
    <row r="1179" spans="1:30" x14ac:dyDescent="0.25">
      <c r="A1179" s="62" t="s">
        <v>109</v>
      </c>
      <c r="C1179" s="62" t="s">
        <v>14548</v>
      </c>
      <c r="F1179" s="62" t="s">
        <v>1206</v>
      </c>
      <c r="G1179" s="62" t="s">
        <v>54821</v>
      </c>
      <c r="J1179" s="62" t="s">
        <v>14549</v>
      </c>
      <c r="K1179" s="62" t="s">
        <v>54857</v>
      </c>
      <c r="L1179" s="62" t="s">
        <v>14550</v>
      </c>
      <c r="M1179" s="62" t="s">
        <v>14551</v>
      </c>
      <c r="N1179" s="62" t="s">
        <v>14552</v>
      </c>
      <c r="O1179" s="62" t="s">
        <v>14553</v>
      </c>
      <c r="P1179" s="62" t="s">
        <v>54893</v>
      </c>
      <c r="Q1179" s="62" t="s">
        <v>14554</v>
      </c>
      <c r="R1179" s="62" t="s">
        <v>14555</v>
      </c>
      <c r="S1179" s="62" t="s">
        <v>14556</v>
      </c>
      <c r="U1179" s="62" t="s">
        <v>14557</v>
      </c>
      <c r="V1179" s="62" t="s">
        <v>54929</v>
      </c>
      <c r="W1179" s="62" t="s">
        <v>14558</v>
      </c>
      <c r="X1179" s="62" t="s">
        <v>14559</v>
      </c>
      <c r="Y1179" s="62" t="s">
        <v>14560</v>
      </c>
      <c r="Z1179" s="62" t="s">
        <v>14561</v>
      </c>
      <c r="AA1179" s="62" t="s">
        <v>54965</v>
      </c>
      <c r="AB1179" s="62" t="s">
        <v>14562</v>
      </c>
      <c r="AC1179" s="62" t="s">
        <v>14563</v>
      </c>
      <c r="AD1179" s="62" t="s">
        <v>14564</v>
      </c>
    </row>
    <row r="1180" spans="1:30" x14ac:dyDescent="0.25">
      <c r="A1180" s="62" t="s">
        <v>109</v>
      </c>
      <c r="C1180" s="62" t="s">
        <v>14565</v>
      </c>
      <c r="F1180" s="62" t="s">
        <v>1223</v>
      </c>
      <c r="G1180" s="62" t="s">
        <v>54822</v>
      </c>
      <c r="J1180" s="62" t="s">
        <v>14566</v>
      </c>
      <c r="K1180" s="62" t="s">
        <v>54858</v>
      </c>
      <c r="L1180" s="62" t="s">
        <v>14567</v>
      </c>
      <c r="M1180" s="62" t="s">
        <v>14568</v>
      </c>
      <c r="N1180" s="62" t="s">
        <v>14569</v>
      </c>
      <c r="O1180" s="62" t="s">
        <v>14570</v>
      </c>
      <c r="P1180" s="62" t="s">
        <v>54894</v>
      </c>
      <c r="Q1180" s="62" t="s">
        <v>14571</v>
      </c>
      <c r="R1180" s="62" t="s">
        <v>14572</v>
      </c>
      <c r="S1180" s="62" t="s">
        <v>14573</v>
      </c>
      <c r="U1180" s="62" t="s">
        <v>14574</v>
      </c>
      <c r="V1180" s="62" t="s">
        <v>54930</v>
      </c>
      <c r="W1180" s="62" t="s">
        <v>14575</v>
      </c>
      <c r="X1180" s="62" t="s">
        <v>14576</v>
      </c>
      <c r="Y1180" s="62" t="s">
        <v>14577</v>
      </c>
      <c r="Z1180" s="62" t="s">
        <v>14578</v>
      </c>
      <c r="AA1180" s="62" t="s">
        <v>54966</v>
      </c>
      <c r="AB1180" s="62" t="s">
        <v>14579</v>
      </c>
      <c r="AC1180" s="62" t="s">
        <v>14580</v>
      </c>
      <c r="AD1180" s="62" t="s">
        <v>14581</v>
      </c>
    </row>
    <row r="1181" spans="1:30" x14ac:dyDescent="0.25">
      <c r="A1181" s="62" t="s">
        <v>109</v>
      </c>
      <c r="C1181" s="62" t="s">
        <v>14582</v>
      </c>
      <c r="F1181" s="62" t="s">
        <v>1240</v>
      </c>
      <c r="G1181" s="62" t="s">
        <v>54823</v>
      </c>
      <c r="J1181" s="62" t="s">
        <v>14583</v>
      </c>
      <c r="K1181" s="62" t="s">
        <v>54859</v>
      </c>
      <c r="L1181" s="62" t="s">
        <v>14584</v>
      </c>
      <c r="M1181" s="62" t="s">
        <v>14585</v>
      </c>
      <c r="N1181" s="62" t="s">
        <v>14586</v>
      </c>
      <c r="O1181" s="62" t="s">
        <v>14587</v>
      </c>
      <c r="P1181" s="62" t="s">
        <v>54895</v>
      </c>
      <c r="Q1181" s="62" t="s">
        <v>14588</v>
      </c>
      <c r="R1181" s="62" t="s">
        <v>14589</v>
      </c>
      <c r="S1181" s="62" t="s">
        <v>14590</v>
      </c>
      <c r="U1181" s="62" t="s">
        <v>14591</v>
      </c>
      <c r="V1181" s="62" t="s">
        <v>54931</v>
      </c>
      <c r="W1181" s="62" t="s">
        <v>14592</v>
      </c>
      <c r="X1181" s="62" t="s">
        <v>14593</v>
      </c>
      <c r="Y1181" s="62" t="s">
        <v>14594</v>
      </c>
      <c r="Z1181" s="62" t="s">
        <v>14595</v>
      </c>
      <c r="AA1181" s="62" t="s">
        <v>54967</v>
      </c>
      <c r="AB1181" s="62" t="s">
        <v>14596</v>
      </c>
      <c r="AC1181" s="62" t="s">
        <v>14597</v>
      </c>
      <c r="AD1181" s="62" t="s">
        <v>14598</v>
      </c>
    </row>
    <row r="1182" spans="1:30" x14ac:dyDescent="0.25">
      <c r="A1182" s="62" t="s">
        <v>109</v>
      </c>
      <c r="C1182" s="62" t="s">
        <v>14599</v>
      </c>
      <c r="F1182" s="62" t="s">
        <v>1249</v>
      </c>
      <c r="G1182" s="62" t="s">
        <v>54824</v>
      </c>
      <c r="J1182" s="62" t="s">
        <v>14600</v>
      </c>
      <c r="K1182" s="62" t="s">
        <v>54860</v>
      </c>
      <c r="L1182" s="62" t="s">
        <v>14601</v>
      </c>
      <c r="M1182" s="62" t="s">
        <v>14602</v>
      </c>
      <c r="N1182" s="62" t="s">
        <v>14603</v>
      </c>
      <c r="O1182" s="62" t="s">
        <v>14604</v>
      </c>
      <c r="P1182" s="62" t="s">
        <v>54896</v>
      </c>
      <c r="Q1182" s="62" t="s">
        <v>14605</v>
      </c>
      <c r="R1182" s="62" t="s">
        <v>14606</v>
      </c>
      <c r="S1182" s="62" t="s">
        <v>14607</v>
      </c>
      <c r="U1182" s="62" t="s">
        <v>14608</v>
      </c>
      <c r="V1182" s="62" t="s">
        <v>54932</v>
      </c>
      <c r="W1182" s="62" t="s">
        <v>14609</v>
      </c>
      <c r="X1182" s="62" t="s">
        <v>14610</v>
      </c>
      <c r="Y1182" s="62" t="s">
        <v>14611</v>
      </c>
      <c r="Z1182" s="62" t="s">
        <v>14612</v>
      </c>
      <c r="AA1182" s="62" t="s">
        <v>54968</v>
      </c>
      <c r="AB1182" s="62" t="s">
        <v>14613</v>
      </c>
      <c r="AC1182" s="62" t="s">
        <v>14614</v>
      </c>
      <c r="AD1182" s="62" t="s">
        <v>14615</v>
      </c>
    </row>
    <row r="1183" spans="1:30" x14ac:dyDescent="0.25">
      <c r="A1183" s="62" t="s">
        <v>109</v>
      </c>
      <c r="C1183" s="62" t="s">
        <v>14616</v>
      </c>
      <c r="F1183" s="62" t="s">
        <v>1266</v>
      </c>
      <c r="G1183" s="62" t="s">
        <v>54825</v>
      </c>
      <c r="J1183" s="62" t="s">
        <v>14617</v>
      </c>
      <c r="K1183" s="62" t="s">
        <v>54861</v>
      </c>
      <c r="L1183" s="62" t="s">
        <v>14618</v>
      </c>
      <c r="M1183" s="62" t="s">
        <v>14619</v>
      </c>
      <c r="N1183" s="62" t="s">
        <v>14620</v>
      </c>
      <c r="O1183" s="62" t="s">
        <v>14621</v>
      </c>
      <c r="P1183" s="62" t="s">
        <v>54897</v>
      </c>
      <c r="Q1183" s="62" t="s">
        <v>14622</v>
      </c>
      <c r="R1183" s="62" t="s">
        <v>14623</v>
      </c>
      <c r="S1183" s="62" t="s">
        <v>14624</v>
      </c>
      <c r="U1183" s="62" t="s">
        <v>14625</v>
      </c>
      <c r="V1183" s="62" t="s">
        <v>54933</v>
      </c>
      <c r="W1183" s="62" t="s">
        <v>14626</v>
      </c>
      <c r="X1183" s="62" t="s">
        <v>14627</v>
      </c>
      <c r="Y1183" s="62" t="s">
        <v>14628</v>
      </c>
      <c r="Z1183" s="62" t="s">
        <v>14629</v>
      </c>
      <c r="AA1183" s="62" t="s">
        <v>54969</v>
      </c>
      <c r="AB1183" s="62" t="s">
        <v>14630</v>
      </c>
      <c r="AC1183" s="62" t="s">
        <v>14631</v>
      </c>
      <c r="AD1183" s="62" t="s">
        <v>14632</v>
      </c>
    </row>
    <row r="1184" spans="1:30" x14ac:dyDescent="0.25">
      <c r="A1184" s="62" t="s">
        <v>109</v>
      </c>
      <c r="C1184" s="62" t="s">
        <v>14633</v>
      </c>
      <c r="F1184" s="62" t="s">
        <v>1275</v>
      </c>
      <c r="G1184" s="62" t="s">
        <v>54826</v>
      </c>
      <c r="J1184" s="62" t="s">
        <v>14634</v>
      </c>
      <c r="K1184" s="62" t="s">
        <v>54862</v>
      </c>
      <c r="L1184" s="62" t="s">
        <v>14635</v>
      </c>
      <c r="M1184" s="62" t="s">
        <v>14636</v>
      </c>
      <c r="N1184" s="62" t="s">
        <v>14637</v>
      </c>
      <c r="O1184" s="62" t="s">
        <v>14638</v>
      </c>
      <c r="P1184" s="62" t="s">
        <v>54898</v>
      </c>
      <c r="Q1184" s="62" t="s">
        <v>14639</v>
      </c>
      <c r="R1184" s="62" t="s">
        <v>14640</v>
      </c>
      <c r="S1184" s="62" t="s">
        <v>14641</v>
      </c>
      <c r="U1184" s="62" t="s">
        <v>14642</v>
      </c>
      <c r="V1184" s="62" t="s">
        <v>54934</v>
      </c>
      <c r="W1184" s="62" t="s">
        <v>14643</v>
      </c>
      <c r="X1184" s="62" t="s">
        <v>14644</v>
      </c>
      <c r="Y1184" s="62" t="s">
        <v>14645</v>
      </c>
      <c r="Z1184" s="62" t="s">
        <v>14646</v>
      </c>
      <c r="AA1184" s="62" t="s">
        <v>54970</v>
      </c>
      <c r="AB1184" s="62" t="s">
        <v>14647</v>
      </c>
      <c r="AC1184" s="62" t="s">
        <v>14648</v>
      </c>
      <c r="AD1184" s="62" t="s">
        <v>14649</v>
      </c>
    </row>
    <row r="1185" spans="1:30" x14ac:dyDescent="0.25">
      <c r="A1185" s="62" t="s">
        <v>109</v>
      </c>
      <c r="C1185" s="62" t="s">
        <v>14650</v>
      </c>
      <c r="F1185" s="62" t="s">
        <v>1277</v>
      </c>
      <c r="G1185" s="62" t="s">
        <v>54827</v>
      </c>
      <c r="J1185" s="62" t="s">
        <v>14651</v>
      </c>
      <c r="K1185" s="62" t="s">
        <v>54863</v>
      </c>
      <c r="L1185" s="62" t="s">
        <v>14652</v>
      </c>
      <c r="M1185" s="62" t="s">
        <v>14653</v>
      </c>
      <c r="N1185" s="62" t="s">
        <v>14654</v>
      </c>
      <c r="O1185" s="62" t="s">
        <v>14655</v>
      </c>
      <c r="P1185" s="62" t="s">
        <v>54899</v>
      </c>
      <c r="Q1185" s="62" t="s">
        <v>14656</v>
      </c>
      <c r="R1185" s="62" t="s">
        <v>14657</v>
      </c>
      <c r="S1185" s="62" t="s">
        <v>14658</v>
      </c>
      <c r="U1185" s="62" t="s">
        <v>14659</v>
      </c>
      <c r="V1185" s="62" t="s">
        <v>54935</v>
      </c>
      <c r="W1185" s="62" t="s">
        <v>14660</v>
      </c>
      <c r="X1185" s="62" t="s">
        <v>14661</v>
      </c>
      <c r="Y1185" s="62" t="s">
        <v>14662</v>
      </c>
      <c r="Z1185" s="62" t="s">
        <v>14663</v>
      </c>
      <c r="AA1185" s="62" t="s">
        <v>54971</v>
      </c>
      <c r="AB1185" s="62" t="s">
        <v>14664</v>
      </c>
      <c r="AC1185" s="62" t="s">
        <v>14665</v>
      </c>
      <c r="AD1185" s="62" t="s">
        <v>14666</v>
      </c>
    </row>
    <row r="1186" spans="1:30" x14ac:dyDescent="0.25">
      <c r="A1186" s="62" t="s">
        <v>109</v>
      </c>
      <c r="C1186" s="62" t="s">
        <v>14667</v>
      </c>
      <c r="F1186" s="62" t="s">
        <v>1795</v>
      </c>
      <c r="G1186" s="62" t="s">
        <v>54828</v>
      </c>
      <c r="J1186" s="62" t="s">
        <v>14668</v>
      </c>
      <c r="K1186" s="62" t="s">
        <v>54864</v>
      </c>
      <c r="L1186" s="62" t="s">
        <v>14669</v>
      </c>
      <c r="M1186" s="62" t="s">
        <v>14670</v>
      </c>
      <c r="N1186" s="62" t="s">
        <v>14671</v>
      </c>
      <c r="O1186" s="62" t="s">
        <v>14672</v>
      </c>
      <c r="P1186" s="62" t="s">
        <v>54900</v>
      </c>
      <c r="Q1186" s="62" t="s">
        <v>14673</v>
      </c>
      <c r="R1186" s="62" t="s">
        <v>14674</v>
      </c>
      <c r="S1186" s="62" t="s">
        <v>14675</v>
      </c>
      <c r="U1186" s="62" t="s">
        <v>14676</v>
      </c>
      <c r="V1186" s="62" t="s">
        <v>54936</v>
      </c>
      <c r="W1186" s="62" t="s">
        <v>14677</v>
      </c>
      <c r="X1186" s="62" t="s">
        <v>14678</v>
      </c>
      <c r="Y1186" s="62" t="s">
        <v>14679</v>
      </c>
      <c r="Z1186" s="62" t="s">
        <v>14680</v>
      </c>
      <c r="AA1186" s="62" t="s">
        <v>54972</v>
      </c>
      <c r="AB1186" s="62" t="s">
        <v>14681</v>
      </c>
      <c r="AC1186" s="62" t="s">
        <v>14682</v>
      </c>
      <c r="AD1186" s="62" t="s">
        <v>14683</v>
      </c>
    </row>
    <row r="1187" spans="1:30" x14ac:dyDescent="0.25">
      <c r="A1187" s="62" t="s">
        <v>109</v>
      </c>
      <c r="C1187" s="62" t="s">
        <v>14684</v>
      </c>
      <c r="F1187" s="62" t="s">
        <v>1288</v>
      </c>
      <c r="G1187" s="62" t="s">
        <v>54829</v>
      </c>
      <c r="J1187" s="62" t="s">
        <v>14685</v>
      </c>
      <c r="K1187" s="62" t="s">
        <v>54865</v>
      </c>
      <c r="L1187" s="62" t="s">
        <v>14686</v>
      </c>
      <c r="M1187" s="62" t="s">
        <v>14687</v>
      </c>
      <c r="N1187" s="62" t="s">
        <v>14688</v>
      </c>
      <c r="O1187" s="62" t="s">
        <v>14689</v>
      </c>
      <c r="P1187" s="62" t="s">
        <v>54901</v>
      </c>
      <c r="Q1187" s="62" t="s">
        <v>14690</v>
      </c>
      <c r="R1187" s="62" t="s">
        <v>14691</v>
      </c>
      <c r="S1187" s="62" t="s">
        <v>14692</v>
      </c>
      <c r="U1187" s="62" t="s">
        <v>14693</v>
      </c>
      <c r="V1187" s="62" t="s">
        <v>54937</v>
      </c>
      <c r="W1187" s="62" t="s">
        <v>14694</v>
      </c>
      <c r="X1187" s="62" t="s">
        <v>14695</v>
      </c>
      <c r="Y1187" s="62" t="s">
        <v>14696</v>
      </c>
      <c r="Z1187" s="62" t="s">
        <v>14697</v>
      </c>
      <c r="AA1187" s="62" t="s">
        <v>54973</v>
      </c>
      <c r="AB1187" s="62" t="s">
        <v>14698</v>
      </c>
      <c r="AC1187" s="62" t="s">
        <v>14699</v>
      </c>
      <c r="AD1187" s="62" t="s">
        <v>14700</v>
      </c>
    </row>
    <row r="1188" spans="1:30" x14ac:dyDescent="0.25">
      <c r="A1188" s="62" t="s">
        <v>109</v>
      </c>
      <c r="C1188" s="62" t="s">
        <v>14701</v>
      </c>
      <c r="F1188" s="62" t="s">
        <v>1289</v>
      </c>
      <c r="G1188" s="62" t="s">
        <v>54830</v>
      </c>
      <c r="J1188" s="62" t="s">
        <v>14702</v>
      </c>
      <c r="K1188" s="62" t="s">
        <v>54866</v>
      </c>
      <c r="L1188" s="62" t="s">
        <v>14703</v>
      </c>
      <c r="M1188" s="62" t="s">
        <v>14704</v>
      </c>
      <c r="N1188" s="62" t="s">
        <v>14705</v>
      </c>
      <c r="O1188" s="62" t="s">
        <v>14706</v>
      </c>
      <c r="P1188" s="62" t="s">
        <v>54902</v>
      </c>
      <c r="Q1188" s="62" t="s">
        <v>14707</v>
      </c>
      <c r="R1188" s="62" t="s">
        <v>14708</v>
      </c>
      <c r="S1188" s="62" t="s">
        <v>14709</v>
      </c>
      <c r="U1188" s="62" t="s">
        <v>14710</v>
      </c>
      <c r="V1188" s="62" t="s">
        <v>54938</v>
      </c>
      <c r="W1188" s="62" t="s">
        <v>14711</v>
      </c>
      <c r="X1188" s="62" t="s">
        <v>14712</v>
      </c>
      <c r="Y1188" s="62" t="s">
        <v>14713</v>
      </c>
      <c r="Z1188" s="62" t="s">
        <v>14714</v>
      </c>
      <c r="AA1188" s="62" t="s">
        <v>54974</v>
      </c>
      <c r="AB1188" s="62" t="s">
        <v>14715</v>
      </c>
      <c r="AC1188" s="62" t="s">
        <v>14716</v>
      </c>
      <c r="AD1188" s="62" t="s">
        <v>14717</v>
      </c>
    </row>
    <row r="1189" spans="1:30" x14ac:dyDescent="0.25">
      <c r="A1189" s="62" t="s">
        <v>109</v>
      </c>
      <c r="C1189" s="62" t="s">
        <v>14718</v>
      </c>
      <c r="F1189" s="62" t="s">
        <v>1797</v>
      </c>
      <c r="G1189" s="62" t="s">
        <v>54831</v>
      </c>
      <c r="J1189" s="62" t="s">
        <v>14719</v>
      </c>
      <c r="K1189" s="62" t="s">
        <v>54867</v>
      </c>
      <c r="L1189" s="62" t="s">
        <v>14720</v>
      </c>
      <c r="M1189" s="62" t="s">
        <v>14721</v>
      </c>
      <c r="N1189" s="62" t="s">
        <v>14722</v>
      </c>
      <c r="O1189" s="62" t="s">
        <v>14723</v>
      </c>
      <c r="P1189" s="62" t="s">
        <v>54903</v>
      </c>
      <c r="Q1189" s="62" t="s">
        <v>14724</v>
      </c>
      <c r="R1189" s="62" t="s">
        <v>14725</v>
      </c>
      <c r="S1189" s="62" t="s">
        <v>14726</v>
      </c>
      <c r="U1189" s="62" t="s">
        <v>14727</v>
      </c>
      <c r="V1189" s="62" t="s">
        <v>54939</v>
      </c>
      <c r="W1189" s="62" t="s">
        <v>14728</v>
      </c>
      <c r="X1189" s="62" t="s">
        <v>14729</v>
      </c>
      <c r="Y1189" s="62" t="s">
        <v>14730</v>
      </c>
      <c r="Z1189" s="62" t="s">
        <v>14731</v>
      </c>
      <c r="AA1189" s="62" t="s">
        <v>54975</v>
      </c>
      <c r="AB1189" s="62" t="s">
        <v>14732</v>
      </c>
      <c r="AC1189" s="62" t="s">
        <v>14733</v>
      </c>
      <c r="AD1189" s="62" t="s">
        <v>14734</v>
      </c>
    </row>
    <row r="1190" spans="1:30" x14ac:dyDescent="0.25">
      <c r="A1190" s="62" t="s">
        <v>109</v>
      </c>
      <c r="C1190" s="62" t="s">
        <v>14735</v>
      </c>
      <c r="F1190" s="62" t="s">
        <v>1299</v>
      </c>
      <c r="G1190" s="62" t="s">
        <v>54832</v>
      </c>
      <c r="J1190" s="62" t="s">
        <v>14736</v>
      </c>
      <c r="K1190" s="62" t="s">
        <v>54868</v>
      </c>
      <c r="L1190" s="62" t="s">
        <v>14737</v>
      </c>
      <c r="M1190" s="62" t="s">
        <v>14738</v>
      </c>
      <c r="N1190" s="62" t="s">
        <v>14739</v>
      </c>
      <c r="O1190" s="62" t="s">
        <v>14740</v>
      </c>
      <c r="P1190" s="62" t="s">
        <v>54904</v>
      </c>
      <c r="Q1190" s="62" t="s">
        <v>14741</v>
      </c>
      <c r="R1190" s="62" t="s">
        <v>14742</v>
      </c>
      <c r="S1190" s="62" t="s">
        <v>14743</v>
      </c>
      <c r="U1190" s="62" t="s">
        <v>14744</v>
      </c>
      <c r="V1190" s="62" t="s">
        <v>54940</v>
      </c>
      <c r="W1190" s="62" t="s">
        <v>14745</v>
      </c>
      <c r="X1190" s="62" t="s">
        <v>14746</v>
      </c>
      <c r="Y1190" s="62" t="s">
        <v>14747</v>
      </c>
      <c r="Z1190" s="62" t="s">
        <v>14748</v>
      </c>
      <c r="AA1190" s="62" t="s">
        <v>54976</v>
      </c>
      <c r="AB1190" s="62" t="s">
        <v>14749</v>
      </c>
      <c r="AC1190" s="62" t="s">
        <v>14750</v>
      </c>
      <c r="AD1190" s="62" t="s">
        <v>14751</v>
      </c>
    </row>
    <row r="1191" spans="1:30" x14ac:dyDescent="0.25">
      <c r="A1191" s="62" t="s">
        <v>109</v>
      </c>
      <c r="C1191" s="62" t="s">
        <v>42473</v>
      </c>
    </row>
    <row r="1192" spans="1:30" x14ac:dyDescent="0.25">
      <c r="A1192" s="62" t="s">
        <v>109</v>
      </c>
      <c r="C1192" s="62" t="s">
        <v>14752</v>
      </c>
      <c r="G1192" s="62" t="s">
        <v>42622</v>
      </c>
      <c r="J1192" s="62" t="s">
        <v>42623</v>
      </c>
      <c r="K1192" s="62" t="s">
        <v>42624</v>
      </c>
      <c r="L1192" s="62" t="s">
        <v>42625</v>
      </c>
      <c r="M1192" s="62" t="s">
        <v>14753</v>
      </c>
      <c r="N1192" s="62" t="s">
        <v>14754</v>
      </c>
      <c r="O1192" s="62" t="s">
        <v>42626</v>
      </c>
      <c r="P1192" s="62" t="s">
        <v>42627</v>
      </c>
      <c r="Q1192" s="62" t="s">
        <v>42628</v>
      </c>
      <c r="R1192" s="62" t="s">
        <v>14755</v>
      </c>
      <c r="S1192" s="62" t="s">
        <v>14756</v>
      </c>
      <c r="U1192" s="62" t="s">
        <v>42629</v>
      </c>
      <c r="V1192" s="62" t="s">
        <v>42630</v>
      </c>
      <c r="W1192" s="62" t="s">
        <v>42631</v>
      </c>
      <c r="X1192" s="62" t="s">
        <v>14757</v>
      </c>
      <c r="Y1192" s="62" t="s">
        <v>14758</v>
      </c>
      <c r="Z1192" s="62" t="s">
        <v>42632</v>
      </c>
      <c r="AA1192" s="62" t="s">
        <v>42633</v>
      </c>
      <c r="AB1192" s="62" t="s">
        <v>42634</v>
      </c>
      <c r="AC1192" s="62" t="s">
        <v>14759</v>
      </c>
      <c r="AD1192" s="62" t="s">
        <v>14760</v>
      </c>
    </row>
    <row r="1193" spans="1:30" x14ac:dyDescent="0.25">
      <c r="A1193" s="62" t="s">
        <v>109</v>
      </c>
    </row>
    <row r="1194" spans="1:30" x14ac:dyDescent="0.25">
      <c r="A1194" s="62" t="s">
        <v>109</v>
      </c>
      <c r="C1194" s="62" t="s">
        <v>42635</v>
      </c>
      <c r="E1194" s="62" t="s">
        <v>426</v>
      </c>
      <c r="G1194" s="62" t="s">
        <v>42636</v>
      </c>
    </row>
    <row r="1195" spans="1:30" x14ac:dyDescent="0.25">
      <c r="A1195" s="62" t="s">
        <v>109</v>
      </c>
      <c r="C1195" s="62" t="s">
        <v>14761</v>
      </c>
    </row>
    <row r="1196" spans="1:30" x14ac:dyDescent="0.25">
      <c r="A1196" s="62" t="s">
        <v>109</v>
      </c>
      <c r="C1196" s="62" t="s">
        <v>14762</v>
      </c>
      <c r="F1196" s="62" t="s">
        <v>42637</v>
      </c>
      <c r="G1196" s="62" t="s">
        <v>54642</v>
      </c>
      <c r="J1196" s="62" t="s">
        <v>14763</v>
      </c>
      <c r="K1196" s="62" t="s">
        <v>54673</v>
      </c>
      <c r="L1196" s="62" t="s">
        <v>14764</v>
      </c>
      <c r="M1196" s="62" t="s">
        <v>14765</v>
      </c>
      <c r="N1196" s="62" t="s">
        <v>14766</v>
      </c>
      <c r="O1196" s="62" t="s">
        <v>14767</v>
      </c>
      <c r="P1196" s="62" t="s">
        <v>54704</v>
      </c>
      <c r="Q1196" s="62" t="s">
        <v>14768</v>
      </c>
      <c r="R1196" s="62" t="s">
        <v>14769</v>
      </c>
      <c r="S1196" s="62" t="s">
        <v>14770</v>
      </c>
      <c r="U1196" s="62" t="s">
        <v>14771</v>
      </c>
      <c r="V1196" s="62" t="s">
        <v>54735</v>
      </c>
      <c r="W1196" s="62" t="s">
        <v>14772</v>
      </c>
      <c r="X1196" s="62" t="s">
        <v>14773</v>
      </c>
      <c r="Y1196" s="62" t="s">
        <v>14774</v>
      </c>
      <c r="Z1196" s="62" t="s">
        <v>14775</v>
      </c>
      <c r="AA1196" s="62" t="s">
        <v>54766</v>
      </c>
      <c r="AB1196" s="62" t="s">
        <v>14776</v>
      </c>
      <c r="AC1196" s="62" t="s">
        <v>14777</v>
      </c>
      <c r="AD1196" s="62" t="s">
        <v>14778</v>
      </c>
    </row>
    <row r="1197" spans="1:30" x14ac:dyDescent="0.25">
      <c r="A1197" s="62" t="s">
        <v>109</v>
      </c>
      <c r="C1197" s="62" t="s">
        <v>14779</v>
      </c>
      <c r="F1197" s="62" t="s">
        <v>68</v>
      </c>
      <c r="G1197" s="62" t="s">
        <v>54643</v>
      </c>
      <c r="J1197" s="62" t="s">
        <v>14780</v>
      </c>
      <c r="K1197" s="62" t="s">
        <v>54674</v>
      </c>
      <c r="L1197" s="62" t="s">
        <v>14781</v>
      </c>
      <c r="M1197" s="62" t="s">
        <v>14782</v>
      </c>
      <c r="N1197" s="62" t="s">
        <v>14783</v>
      </c>
      <c r="O1197" s="62" t="s">
        <v>14784</v>
      </c>
      <c r="P1197" s="62" t="s">
        <v>54705</v>
      </c>
      <c r="Q1197" s="62" t="s">
        <v>14785</v>
      </c>
      <c r="R1197" s="62" t="s">
        <v>14786</v>
      </c>
      <c r="S1197" s="62" t="s">
        <v>14787</v>
      </c>
      <c r="U1197" s="62" t="s">
        <v>14788</v>
      </c>
      <c r="V1197" s="62" t="s">
        <v>54736</v>
      </c>
      <c r="W1197" s="62" t="s">
        <v>14789</v>
      </c>
      <c r="X1197" s="62" t="s">
        <v>14790</v>
      </c>
      <c r="Y1197" s="62" t="s">
        <v>14791</v>
      </c>
      <c r="Z1197" s="62" t="s">
        <v>14792</v>
      </c>
      <c r="AA1197" s="62" t="s">
        <v>54767</v>
      </c>
      <c r="AB1197" s="62" t="s">
        <v>14793</v>
      </c>
      <c r="AC1197" s="62" t="s">
        <v>14794</v>
      </c>
      <c r="AD1197" s="62" t="s">
        <v>14795</v>
      </c>
    </row>
    <row r="1198" spans="1:30" x14ac:dyDescent="0.25">
      <c r="A1198" s="62" t="s">
        <v>109</v>
      </c>
      <c r="C1198" s="62" t="s">
        <v>14796</v>
      </c>
      <c r="F1198" s="62" t="s">
        <v>731</v>
      </c>
      <c r="G1198" s="62" t="s">
        <v>54644</v>
      </c>
      <c r="J1198" s="62" t="s">
        <v>14797</v>
      </c>
      <c r="K1198" s="62" t="s">
        <v>54675</v>
      </c>
      <c r="L1198" s="62" t="s">
        <v>14798</v>
      </c>
      <c r="M1198" s="62" t="s">
        <v>14799</v>
      </c>
      <c r="N1198" s="62" t="s">
        <v>14800</v>
      </c>
      <c r="O1198" s="62" t="s">
        <v>14801</v>
      </c>
      <c r="P1198" s="62" t="s">
        <v>54706</v>
      </c>
      <c r="Q1198" s="62" t="s">
        <v>14802</v>
      </c>
      <c r="R1198" s="62" t="s">
        <v>14803</v>
      </c>
      <c r="S1198" s="62" t="s">
        <v>14804</v>
      </c>
      <c r="U1198" s="62" t="s">
        <v>14805</v>
      </c>
      <c r="V1198" s="62" t="s">
        <v>54737</v>
      </c>
      <c r="W1198" s="62" t="s">
        <v>14806</v>
      </c>
      <c r="X1198" s="62" t="s">
        <v>14807</v>
      </c>
      <c r="Y1198" s="62" t="s">
        <v>14808</v>
      </c>
      <c r="Z1198" s="62" t="s">
        <v>14809</v>
      </c>
      <c r="AA1198" s="62" t="s">
        <v>54768</v>
      </c>
      <c r="AB1198" s="62" t="s">
        <v>14810</v>
      </c>
      <c r="AC1198" s="62" t="s">
        <v>14811</v>
      </c>
      <c r="AD1198" s="62" t="s">
        <v>14812</v>
      </c>
    </row>
    <row r="1199" spans="1:30" x14ac:dyDescent="0.25">
      <c r="A1199" s="62" t="s">
        <v>109</v>
      </c>
      <c r="C1199" s="62" t="s">
        <v>14813</v>
      </c>
      <c r="F1199" s="62" t="s">
        <v>748</v>
      </c>
      <c r="G1199" s="62" t="s">
        <v>54645</v>
      </c>
      <c r="J1199" s="62" t="s">
        <v>14814</v>
      </c>
      <c r="K1199" s="62" t="s">
        <v>54676</v>
      </c>
      <c r="L1199" s="62" t="s">
        <v>14815</v>
      </c>
      <c r="M1199" s="62" t="s">
        <v>14816</v>
      </c>
      <c r="N1199" s="62" t="s">
        <v>14817</v>
      </c>
      <c r="O1199" s="62" t="s">
        <v>14818</v>
      </c>
      <c r="P1199" s="62" t="s">
        <v>54707</v>
      </c>
      <c r="Q1199" s="62" t="s">
        <v>14819</v>
      </c>
      <c r="R1199" s="62" t="s">
        <v>14820</v>
      </c>
      <c r="S1199" s="62" t="s">
        <v>14821</v>
      </c>
      <c r="U1199" s="62" t="s">
        <v>14822</v>
      </c>
      <c r="V1199" s="62" t="s">
        <v>54738</v>
      </c>
      <c r="W1199" s="62" t="s">
        <v>14823</v>
      </c>
      <c r="X1199" s="62" t="s">
        <v>14824</v>
      </c>
      <c r="Y1199" s="62" t="s">
        <v>14825</v>
      </c>
      <c r="Z1199" s="62" t="s">
        <v>14826</v>
      </c>
      <c r="AA1199" s="62" t="s">
        <v>54769</v>
      </c>
      <c r="AB1199" s="62" t="s">
        <v>14827</v>
      </c>
      <c r="AC1199" s="62" t="s">
        <v>14828</v>
      </c>
      <c r="AD1199" s="62" t="s">
        <v>14829</v>
      </c>
    </row>
    <row r="1200" spans="1:30" x14ac:dyDescent="0.25">
      <c r="A1200" s="62" t="s">
        <v>109</v>
      </c>
      <c r="C1200" s="62" t="s">
        <v>42638</v>
      </c>
      <c r="F1200" s="62" t="s">
        <v>2135</v>
      </c>
      <c r="G1200" s="62" t="s">
        <v>54646</v>
      </c>
      <c r="J1200" s="62" t="s">
        <v>42639</v>
      </c>
      <c r="K1200" s="62" t="s">
        <v>54677</v>
      </c>
      <c r="L1200" s="62" t="s">
        <v>42640</v>
      </c>
      <c r="M1200" s="62" t="s">
        <v>42641</v>
      </c>
      <c r="N1200" s="62" t="s">
        <v>42642</v>
      </c>
      <c r="O1200" s="62" t="s">
        <v>42643</v>
      </c>
      <c r="P1200" s="62" t="s">
        <v>54708</v>
      </c>
      <c r="Q1200" s="62" t="s">
        <v>42644</v>
      </c>
      <c r="R1200" s="62" t="s">
        <v>42645</v>
      </c>
      <c r="S1200" s="62" t="s">
        <v>42646</v>
      </c>
      <c r="U1200" s="62" t="s">
        <v>42647</v>
      </c>
      <c r="V1200" s="62" t="s">
        <v>54739</v>
      </c>
      <c r="W1200" s="62" t="s">
        <v>42648</v>
      </c>
      <c r="X1200" s="62" t="s">
        <v>42649</v>
      </c>
      <c r="Y1200" s="62" t="s">
        <v>42650</v>
      </c>
      <c r="Z1200" s="62" t="s">
        <v>42651</v>
      </c>
      <c r="AA1200" s="62" t="s">
        <v>54770</v>
      </c>
      <c r="AB1200" s="62" t="s">
        <v>42652</v>
      </c>
      <c r="AC1200" s="62" t="s">
        <v>42653</v>
      </c>
      <c r="AD1200" s="62" t="s">
        <v>42654</v>
      </c>
    </row>
    <row r="1201" spans="1:30" x14ac:dyDescent="0.25">
      <c r="A1201" s="62" t="s">
        <v>109</v>
      </c>
      <c r="C1201" s="62" t="s">
        <v>14830</v>
      </c>
      <c r="F1201" s="62" t="s">
        <v>2153</v>
      </c>
      <c r="G1201" s="62" t="s">
        <v>54647</v>
      </c>
      <c r="J1201" s="62" t="s">
        <v>42655</v>
      </c>
      <c r="K1201" s="62" t="s">
        <v>54678</v>
      </c>
      <c r="L1201" s="62" t="s">
        <v>42656</v>
      </c>
      <c r="M1201" s="62" t="s">
        <v>14831</v>
      </c>
      <c r="N1201" s="62" t="s">
        <v>14832</v>
      </c>
      <c r="O1201" s="62" t="s">
        <v>42657</v>
      </c>
      <c r="P1201" s="62" t="s">
        <v>54709</v>
      </c>
      <c r="Q1201" s="62" t="s">
        <v>42658</v>
      </c>
      <c r="R1201" s="62" t="s">
        <v>14833</v>
      </c>
      <c r="S1201" s="62" t="s">
        <v>14834</v>
      </c>
      <c r="U1201" s="62" t="s">
        <v>42659</v>
      </c>
      <c r="V1201" s="62" t="s">
        <v>54740</v>
      </c>
      <c r="W1201" s="62" t="s">
        <v>42660</v>
      </c>
      <c r="X1201" s="62" t="s">
        <v>14835</v>
      </c>
      <c r="Y1201" s="62" t="s">
        <v>14836</v>
      </c>
      <c r="Z1201" s="62" t="s">
        <v>42661</v>
      </c>
      <c r="AA1201" s="62" t="s">
        <v>54771</v>
      </c>
      <c r="AB1201" s="62" t="s">
        <v>42662</v>
      </c>
      <c r="AC1201" s="62" t="s">
        <v>14837</v>
      </c>
      <c r="AD1201" s="62" t="s">
        <v>14838</v>
      </c>
    </row>
    <row r="1202" spans="1:30" x14ac:dyDescent="0.25">
      <c r="A1202" s="62" t="s">
        <v>109</v>
      </c>
      <c r="C1202" s="62" t="s">
        <v>42663</v>
      </c>
      <c r="F1202" s="62" t="s">
        <v>2187</v>
      </c>
      <c r="G1202" s="62" t="s">
        <v>54648</v>
      </c>
      <c r="J1202" s="62" t="s">
        <v>42664</v>
      </c>
      <c r="K1202" s="62" t="s">
        <v>54679</v>
      </c>
      <c r="L1202" s="62" t="s">
        <v>42665</v>
      </c>
      <c r="M1202" s="62" t="s">
        <v>42666</v>
      </c>
      <c r="N1202" s="62" t="s">
        <v>42667</v>
      </c>
      <c r="O1202" s="62" t="s">
        <v>42668</v>
      </c>
      <c r="P1202" s="62" t="s">
        <v>54710</v>
      </c>
      <c r="Q1202" s="62" t="s">
        <v>42669</v>
      </c>
      <c r="R1202" s="62" t="s">
        <v>42670</v>
      </c>
      <c r="S1202" s="62" t="s">
        <v>42671</v>
      </c>
      <c r="U1202" s="62" t="s">
        <v>42672</v>
      </c>
      <c r="V1202" s="62" t="s">
        <v>54741</v>
      </c>
      <c r="W1202" s="62" t="s">
        <v>42673</v>
      </c>
      <c r="X1202" s="62" t="s">
        <v>42674</v>
      </c>
      <c r="Y1202" s="62" t="s">
        <v>42675</v>
      </c>
      <c r="Z1202" s="62" t="s">
        <v>42676</v>
      </c>
      <c r="AA1202" s="62" t="s">
        <v>54772</v>
      </c>
      <c r="AB1202" s="62" t="s">
        <v>42677</v>
      </c>
      <c r="AC1202" s="62" t="s">
        <v>42678</v>
      </c>
      <c r="AD1202" s="62" t="s">
        <v>42679</v>
      </c>
    </row>
    <row r="1203" spans="1:30" x14ac:dyDescent="0.25">
      <c r="A1203" s="62" t="s">
        <v>109</v>
      </c>
      <c r="C1203" s="62" t="s">
        <v>42680</v>
      </c>
      <c r="F1203" s="62" t="s">
        <v>5259</v>
      </c>
      <c r="G1203" s="62" t="s">
        <v>54649</v>
      </c>
      <c r="J1203" s="62" t="s">
        <v>42681</v>
      </c>
      <c r="K1203" s="62" t="s">
        <v>54680</v>
      </c>
      <c r="L1203" s="62" t="s">
        <v>42682</v>
      </c>
      <c r="M1203" s="62" t="s">
        <v>42683</v>
      </c>
      <c r="N1203" s="62" t="s">
        <v>42684</v>
      </c>
      <c r="O1203" s="62" t="s">
        <v>42685</v>
      </c>
      <c r="P1203" s="62" t="s">
        <v>54711</v>
      </c>
      <c r="Q1203" s="62" t="s">
        <v>42686</v>
      </c>
      <c r="R1203" s="62" t="s">
        <v>42687</v>
      </c>
      <c r="S1203" s="62" t="s">
        <v>42688</v>
      </c>
      <c r="U1203" s="62" t="s">
        <v>42689</v>
      </c>
      <c r="V1203" s="62" t="s">
        <v>54742</v>
      </c>
      <c r="W1203" s="62" t="s">
        <v>42690</v>
      </c>
      <c r="X1203" s="62" t="s">
        <v>42691</v>
      </c>
      <c r="Y1203" s="62" t="s">
        <v>42692</v>
      </c>
      <c r="Z1203" s="62" t="s">
        <v>42693</v>
      </c>
      <c r="AA1203" s="62" t="s">
        <v>54773</v>
      </c>
      <c r="AB1203" s="62" t="s">
        <v>42694</v>
      </c>
      <c r="AC1203" s="62" t="s">
        <v>42695</v>
      </c>
      <c r="AD1203" s="62" t="s">
        <v>42696</v>
      </c>
    </row>
    <row r="1204" spans="1:30" x14ac:dyDescent="0.25">
      <c r="A1204" s="62" t="s">
        <v>109</v>
      </c>
      <c r="C1204" s="62" t="s">
        <v>14840</v>
      </c>
      <c r="F1204" s="62" t="s">
        <v>2212</v>
      </c>
      <c r="G1204" s="62" t="s">
        <v>54650</v>
      </c>
      <c r="J1204" s="62" t="s">
        <v>42697</v>
      </c>
      <c r="K1204" s="62" t="s">
        <v>54681</v>
      </c>
      <c r="L1204" s="62" t="s">
        <v>42698</v>
      </c>
      <c r="M1204" s="62" t="s">
        <v>42699</v>
      </c>
      <c r="N1204" s="62" t="s">
        <v>42700</v>
      </c>
      <c r="O1204" s="62" t="s">
        <v>42701</v>
      </c>
      <c r="P1204" s="62" t="s">
        <v>54712</v>
      </c>
      <c r="Q1204" s="62" t="s">
        <v>42702</v>
      </c>
      <c r="R1204" s="62" t="s">
        <v>42703</v>
      </c>
      <c r="S1204" s="62" t="s">
        <v>42704</v>
      </c>
      <c r="U1204" s="62" t="s">
        <v>42705</v>
      </c>
      <c r="V1204" s="62" t="s">
        <v>54743</v>
      </c>
      <c r="W1204" s="62" t="s">
        <v>42706</v>
      </c>
      <c r="X1204" s="62" t="s">
        <v>42707</v>
      </c>
      <c r="Y1204" s="62" t="s">
        <v>42708</v>
      </c>
      <c r="Z1204" s="62" t="s">
        <v>42709</v>
      </c>
      <c r="AA1204" s="62" t="s">
        <v>54774</v>
      </c>
      <c r="AB1204" s="62" t="s">
        <v>42710</v>
      </c>
      <c r="AC1204" s="62" t="s">
        <v>42711</v>
      </c>
      <c r="AD1204" s="62" t="s">
        <v>42712</v>
      </c>
    </row>
    <row r="1205" spans="1:30" x14ac:dyDescent="0.25">
      <c r="A1205" s="62" t="s">
        <v>109</v>
      </c>
      <c r="C1205" s="62" t="s">
        <v>14841</v>
      </c>
      <c r="F1205" s="62" t="s">
        <v>193</v>
      </c>
      <c r="G1205" s="62" t="s">
        <v>54651</v>
      </c>
      <c r="J1205" s="62" t="s">
        <v>14842</v>
      </c>
      <c r="K1205" s="62" t="s">
        <v>54682</v>
      </c>
      <c r="L1205" s="62" t="s">
        <v>14843</v>
      </c>
      <c r="M1205" s="62" t="s">
        <v>14844</v>
      </c>
      <c r="N1205" s="62" t="s">
        <v>14845</v>
      </c>
      <c r="O1205" s="62" t="s">
        <v>14846</v>
      </c>
      <c r="P1205" s="62" t="s">
        <v>54713</v>
      </c>
      <c r="Q1205" s="62" t="s">
        <v>14847</v>
      </c>
      <c r="R1205" s="62" t="s">
        <v>14848</v>
      </c>
      <c r="S1205" s="62" t="s">
        <v>14849</v>
      </c>
      <c r="U1205" s="62" t="s">
        <v>14850</v>
      </c>
      <c r="V1205" s="62" t="s">
        <v>54744</v>
      </c>
      <c r="W1205" s="62" t="s">
        <v>14851</v>
      </c>
      <c r="X1205" s="62" t="s">
        <v>14852</v>
      </c>
      <c r="Y1205" s="62" t="s">
        <v>14853</v>
      </c>
      <c r="Z1205" s="62" t="s">
        <v>14854</v>
      </c>
      <c r="AA1205" s="62" t="s">
        <v>54775</v>
      </c>
      <c r="AB1205" s="62" t="s">
        <v>14855</v>
      </c>
      <c r="AC1205" s="62" t="s">
        <v>14856</v>
      </c>
      <c r="AD1205" s="62" t="s">
        <v>14857</v>
      </c>
    </row>
    <row r="1206" spans="1:30" x14ac:dyDescent="0.25">
      <c r="A1206" s="62" t="s">
        <v>109</v>
      </c>
      <c r="C1206" s="62" t="s">
        <v>14858</v>
      </c>
      <c r="F1206" s="62" t="s">
        <v>2222</v>
      </c>
      <c r="G1206" s="62" t="s">
        <v>54652</v>
      </c>
      <c r="J1206" s="62" t="s">
        <v>14859</v>
      </c>
      <c r="K1206" s="62" t="s">
        <v>54683</v>
      </c>
      <c r="L1206" s="62" t="s">
        <v>14860</v>
      </c>
      <c r="M1206" s="62" t="s">
        <v>14861</v>
      </c>
      <c r="N1206" s="62" t="s">
        <v>14862</v>
      </c>
      <c r="O1206" s="62" t="s">
        <v>14863</v>
      </c>
      <c r="P1206" s="62" t="s">
        <v>54714</v>
      </c>
      <c r="Q1206" s="62" t="s">
        <v>14864</v>
      </c>
      <c r="R1206" s="62" t="s">
        <v>14865</v>
      </c>
      <c r="S1206" s="62" t="s">
        <v>14866</v>
      </c>
      <c r="U1206" s="62" t="s">
        <v>14867</v>
      </c>
      <c r="V1206" s="62" t="s">
        <v>54745</v>
      </c>
      <c r="W1206" s="62" t="s">
        <v>14868</v>
      </c>
      <c r="X1206" s="62" t="s">
        <v>14869</v>
      </c>
      <c r="Y1206" s="62" t="s">
        <v>14870</v>
      </c>
      <c r="Z1206" s="62" t="s">
        <v>14871</v>
      </c>
      <c r="AA1206" s="62" t="s">
        <v>54776</v>
      </c>
      <c r="AB1206" s="62" t="s">
        <v>14872</v>
      </c>
      <c r="AC1206" s="62" t="s">
        <v>14873</v>
      </c>
      <c r="AD1206" s="62" t="s">
        <v>14874</v>
      </c>
    </row>
    <row r="1207" spans="1:30" x14ac:dyDescent="0.25">
      <c r="A1207" s="62" t="s">
        <v>109</v>
      </c>
      <c r="C1207" s="62" t="s">
        <v>14875</v>
      </c>
      <c r="F1207" s="62" t="s">
        <v>2240</v>
      </c>
      <c r="G1207" s="62" t="s">
        <v>54653</v>
      </c>
      <c r="J1207" s="62" t="s">
        <v>14876</v>
      </c>
      <c r="K1207" s="62" t="s">
        <v>54684</v>
      </c>
      <c r="L1207" s="62" t="s">
        <v>14877</v>
      </c>
      <c r="M1207" s="62" t="s">
        <v>14878</v>
      </c>
      <c r="N1207" s="62" t="s">
        <v>14879</v>
      </c>
      <c r="O1207" s="62" t="s">
        <v>14880</v>
      </c>
      <c r="P1207" s="62" t="s">
        <v>54715</v>
      </c>
      <c r="Q1207" s="62" t="s">
        <v>14881</v>
      </c>
      <c r="R1207" s="62" t="s">
        <v>14882</v>
      </c>
      <c r="S1207" s="62" t="s">
        <v>14883</v>
      </c>
      <c r="U1207" s="62" t="s">
        <v>14884</v>
      </c>
      <c r="V1207" s="62" t="s">
        <v>54746</v>
      </c>
      <c r="W1207" s="62" t="s">
        <v>14885</v>
      </c>
      <c r="X1207" s="62" t="s">
        <v>14886</v>
      </c>
      <c r="Y1207" s="62" t="s">
        <v>14887</v>
      </c>
      <c r="Z1207" s="62" t="s">
        <v>14888</v>
      </c>
      <c r="AA1207" s="62" t="s">
        <v>54777</v>
      </c>
      <c r="AB1207" s="62" t="s">
        <v>14889</v>
      </c>
      <c r="AC1207" s="62" t="s">
        <v>14890</v>
      </c>
      <c r="AD1207" s="62" t="s">
        <v>14891</v>
      </c>
    </row>
    <row r="1208" spans="1:30" x14ac:dyDescent="0.25">
      <c r="A1208" s="62" t="s">
        <v>109</v>
      </c>
      <c r="C1208" s="62" t="s">
        <v>14892</v>
      </c>
      <c r="F1208" s="62" t="s">
        <v>210</v>
      </c>
      <c r="G1208" s="62" t="s">
        <v>54654</v>
      </c>
      <c r="J1208" s="62" t="s">
        <v>14893</v>
      </c>
      <c r="K1208" s="62" t="s">
        <v>54685</v>
      </c>
      <c r="L1208" s="62" t="s">
        <v>14894</v>
      </c>
      <c r="M1208" s="62" t="s">
        <v>14895</v>
      </c>
      <c r="N1208" s="62" t="s">
        <v>14896</v>
      </c>
      <c r="O1208" s="62" t="s">
        <v>14897</v>
      </c>
      <c r="P1208" s="62" t="s">
        <v>54716</v>
      </c>
      <c r="Q1208" s="62" t="s">
        <v>14898</v>
      </c>
      <c r="R1208" s="62" t="s">
        <v>14899</v>
      </c>
      <c r="S1208" s="62" t="s">
        <v>14900</v>
      </c>
      <c r="U1208" s="62" t="s">
        <v>14901</v>
      </c>
      <c r="V1208" s="62" t="s">
        <v>54747</v>
      </c>
      <c r="W1208" s="62" t="s">
        <v>14902</v>
      </c>
      <c r="X1208" s="62" t="s">
        <v>14903</v>
      </c>
      <c r="Y1208" s="62" t="s">
        <v>14904</v>
      </c>
      <c r="Z1208" s="62" t="s">
        <v>14905</v>
      </c>
      <c r="AA1208" s="62" t="s">
        <v>54778</v>
      </c>
      <c r="AB1208" s="62" t="s">
        <v>14906</v>
      </c>
      <c r="AC1208" s="62" t="s">
        <v>14907</v>
      </c>
      <c r="AD1208" s="62" t="s">
        <v>14908</v>
      </c>
    </row>
    <row r="1209" spans="1:30" x14ac:dyDescent="0.25">
      <c r="A1209" s="62" t="s">
        <v>109</v>
      </c>
      <c r="C1209" s="62" t="s">
        <v>14909</v>
      </c>
      <c r="F1209" s="62" t="s">
        <v>227</v>
      </c>
      <c r="G1209" s="62" t="s">
        <v>54655</v>
      </c>
      <c r="J1209" s="62" t="s">
        <v>14910</v>
      </c>
      <c r="K1209" s="62" t="s">
        <v>54686</v>
      </c>
      <c r="L1209" s="62" t="s">
        <v>14911</v>
      </c>
      <c r="M1209" s="62" t="s">
        <v>14912</v>
      </c>
      <c r="N1209" s="62" t="s">
        <v>14913</v>
      </c>
      <c r="O1209" s="62" t="s">
        <v>14914</v>
      </c>
      <c r="P1209" s="62" t="s">
        <v>54717</v>
      </c>
      <c r="Q1209" s="62" t="s">
        <v>14915</v>
      </c>
      <c r="R1209" s="62" t="s">
        <v>14916</v>
      </c>
      <c r="S1209" s="62" t="s">
        <v>14917</v>
      </c>
      <c r="U1209" s="62" t="s">
        <v>14918</v>
      </c>
      <c r="V1209" s="62" t="s">
        <v>54748</v>
      </c>
      <c r="W1209" s="62" t="s">
        <v>14919</v>
      </c>
      <c r="X1209" s="62" t="s">
        <v>14920</v>
      </c>
      <c r="Y1209" s="62" t="s">
        <v>14921</v>
      </c>
      <c r="Z1209" s="62" t="s">
        <v>14922</v>
      </c>
      <c r="AA1209" s="62" t="s">
        <v>54779</v>
      </c>
      <c r="AB1209" s="62" t="s">
        <v>14923</v>
      </c>
      <c r="AC1209" s="62" t="s">
        <v>14924</v>
      </c>
      <c r="AD1209" s="62" t="s">
        <v>14925</v>
      </c>
    </row>
    <row r="1210" spans="1:30" x14ac:dyDescent="0.25">
      <c r="A1210" s="62" t="s">
        <v>109</v>
      </c>
      <c r="C1210" s="62" t="s">
        <v>14926</v>
      </c>
      <c r="F1210" s="62" t="s">
        <v>236</v>
      </c>
      <c r="G1210" s="62" t="s">
        <v>54656</v>
      </c>
      <c r="J1210" s="62" t="s">
        <v>14927</v>
      </c>
      <c r="K1210" s="62" t="s">
        <v>54687</v>
      </c>
      <c r="L1210" s="62" t="s">
        <v>14928</v>
      </c>
      <c r="M1210" s="62" t="s">
        <v>14929</v>
      </c>
      <c r="N1210" s="62" t="s">
        <v>14930</v>
      </c>
      <c r="O1210" s="62" t="s">
        <v>14931</v>
      </c>
      <c r="P1210" s="62" t="s">
        <v>54718</v>
      </c>
      <c r="Q1210" s="62" t="s">
        <v>14932</v>
      </c>
      <c r="R1210" s="62" t="s">
        <v>14933</v>
      </c>
      <c r="S1210" s="62" t="s">
        <v>14934</v>
      </c>
      <c r="U1210" s="62" t="s">
        <v>14935</v>
      </c>
      <c r="V1210" s="62" t="s">
        <v>54749</v>
      </c>
      <c r="W1210" s="62" t="s">
        <v>14936</v>
      </c>
      <c r="X1210" s="62" t="s">
        <v>14937</v>
      </c>
      <c r="Y1210" s="62" t="s">
        <v>14938</v>
      </c>
      <c r="Z1210" s="62" t="s">
        <v>14939</v>
      </c>
      <c r="AA1210" s="62" t="s">
        <v>54780</v>
      </c>
      <c r="AB1210" s="62" t="s">
        <v>14940</v>
      </c>
      <c r="AC1210" s="62" t="s">
        <v>14941</v>
      </c>
      <c r="AD1210" s="62" t="s">
        <v>14942</v>
      </c>
    </row>
    <row r="1211" spans="1:30" x14ac:dyDescent="0.25">
      <c r="A1211" s="62" t="s">
        <v>109</v>
      </c>
      <c r="C1211" s="62" t="s">
        <v>14943</v>
      </c>
      <c r="F1211" s="62" t="s">
        <v>237</v>
      </c>
      <c r="G1211" s="62" t="s">
        <v>54657</v>
      </c>
      <c r="J1211" s="62" t="s">
        <v>14944</v>
      </c>
      <c r="K1211" s="62" t="s">
        <v>54688</v>
      </c>
      <c r="L1211" s="62" t="s">
        <v>14945</v>
      </c>
      <c r="M1211" s="62" t="s">
        <v>14946</v>
      </c>
      <c r="N1211" s="62" t="s">
        <v>14947</v>
      </c>
      <c r="O1211" s="62" t="s">
        <v>14948</v>
      </c>
      <c r="P1211" s="62" t="s">
        <v>54719</v>
      </c>
      <c r="Q1211" s="62" t="s">
        <v>14949</v>
      </c>
      <c r="R1211" s="62" t="s">
        <v>14950</v>
      </c>
      <c r="S1211" s="62" t="s">
        <v>14951</v>
      </c>
      <c r="U1211" s="62" t="s">
        <v>14952</v>
      </c>
      <c r="V1211" s="62" t="s">
        <v>54750</v>
      </c>
      <c r="W1211" s="62" t="s">
        <v>14953</v>
      </c>
      <c r="X1211" s="62" t="s">
        <v>14954</v>
      </c>
      <c r="Y1211" s="62" t="s">
        <v>14955</v>
      </c>
      <c r="Z1211" s="62" t="s">
        <v>14956</v>
      </c>
      <c r="AA1211" s="62" t="s">
        <v>54781</v>
      </c>
      <c r="AB1211" s="62" t="s">
        <v>14957</v>
      </c>
      <c r="AC1211" s="62" t="s">
        <v>14958</v>
      </c>
      <c r="AD1211" s="62" t="s">
        <v>14959</v>
      </c>
    </row>
    <row r="1212" spans="1:30" x14ac:dyDescent="0.25">
      <c r="A1212" s="62" t="s">
        <v>109</v>
      </c>
      <c r="C1212" s="62" t="s">
        <v>14960</v>
      </c>
      <c r="F1212" s="62" t="s">
        <v>3799</v>
      </c>
      <c r="G1212" s="62" t="s">
        <v>54658</v>
      </c>
      <c r="J1212" s="62" t="s">
        <v>14961</v>
      </c>
      <c r="K1212" s="62" t="s">
        <v>54689</v>
      </c>
      <c r="L1212" s="62" t="s">
        <v>14962</v>
      </c>
      <c r="M1212" s="62" t="s">
        <v>14963</v>
      </c>
      <c r="N1212" s="62" t="s">
        <v>14964</v>
      </c>
      <c r="O1212" s="62" t="s">
        <v>14965</v>
      </c>
      <c r="P1212" s="62" t="s">
        <v>54720</v>
      </c>
      <c r="Q1212" s="62" t="s">
        <v>14966</v>
      </c>
      <c r="R1212" s="62" t="s">
        <v>14967</v>
      </c>
      <c r="S1212" s="62" t="s">
        <v>14968</v>
      </c>
      <c r="U1212" s="62" t="s">
        <v>14969</v>
      </c>
      <c r="V1212" s="62" t="s">
        <v>54751</v>
      </c>
      <c r="W1212" s="62" t="s">
        <v>14970</v>
      </c>
      <c r="X1212" s="62" t="s">
        <v>14971</v>
      </c>
      <c r="Y1212" s="62" t="s">
        <v>14972</v>
      </c>
      <c r="Z1212" s="62" t="s">
        <v>14973</v>
      </c>
      <c r="AA1212" s="62" t="s">
        <v>54782</v>
      </c>
      <c r="AB1212" s="62" t="s">
        <v>14974</v>
      </c>
      <c r="AC1212" s="62" t="s">
        <v>14975</v>
      </c>
      <c r="AD1212" s="62" t="s">
        <v>14976</v>
      </c>
    </row>
    <row r="1213" spans="1:30" x14ac:dyDescent="0.25">
      <c r="A1213" s="62" t="s">
        <v>109</v>
      </c>
      <c r="C1213" s="62" t="s">
        <v>14977</v>
      </c>
      <c r="F1213" s="62" t="s">
        <v>2297</v>
      </c>
      <c r="G1213" s="62" t="s">
        <v>54659</v>
      </c>
      <c r="J1213" s="62" t="s">
        <v>14978</v>
      </c>
      <c r="K1213" s="62" t="s">
        <v>54690</v>
      </c>
      <c r="L1213" s="62" t="s">
        <v>14979</v>
      </c>
      <c r="M1213" s="62" t="s">
        <v>14980</v>
      </c>
      <c r="N1213" s="62" t="s">
        <v>14981</v>
      </c>
      <c r="O1213" s="62" t="s">
        <v>14982</v>
      </c>
      <c r="P1213" s="62" t="s">
        <v>54721</v>
      </c>
      <c r="Q1213" s="62" t="s">
        <v>14983</v>
      </c>
      <c r="R1213" s="62" t="s">
        <v>14984</v>
      </c>
      <c r="S1213" s="62" t="s">
        <v>14985</v>
      </c>
      <c r="U1213" s="62" t="s">
        <v>14986</v>
      </c>
      <c r="V1213" s="62" t="s">
        <v>54752</v>
      </c>
      <c r="W1213" s="62" t="s">
        <v>14987</v>
      </c>
      <c r="X1213" s="62" t="s">
        <v>14988</v>
      </c>
      <c r="Y1213" s="62" t="s">
        <v>14989</v>
      </c>
      <c r="Z1213" s="62" t="s">
        <v>14990</v>
      </c>
      <c r="AA1213" s="62" t="s">
        <v>54783</v>
      </c>
      <c r="AB1213" s="62" t="s">
        <v>14991</v>
      </c>
      <c r="AC1213" s="62" t="s">
        <v>14992</v>
      </c>
      <c r="AD1213" s="62" t="s">
        <v>14993</v>
      </c>
    </row>
    <row r="1214" spans="1:30" x14ac:dyDescent="0.25">
      <c r="A1214" s="62" t="s">
        <v>109</v>
      </c>
      <c r="C1214" s="62" t="s">
        <v>14994</v>
      </c>
      <c r="F1214" s="62" t="s">
        <v>2299</v>
      </c>
      <c r="G1214" s="62" t="s">
        <v>54660</v>
      </c>
      <c r="J1214" s="62" t="s">
        <v>14995</v>
      </c>
      <c r="K1214" s="62" t="s">
        <v>54691</v>
      </c>
      <c r="L1214" s="62" t="s">
        <v>14996</v>
      </c>
      <c r="M1214" s="62" t="s">
        <v>14997</v>
      </c>
      <c r="N1214" s="62" t="s">
        <v>14998</v>
      </c>
      <c r="O1214" s="62" t="s">
        <v>14999</v>
      </c>
      <c r="P1214" s="62" t="s">
        <v>54722</v>
      </c>
      <c r="Q1214" s="62" t="s">
        <v>15000</v>
      </c>
      <c r="R1214" s="62" t="s">
        <v>15001</v>
      </c>
      <c r="S1214" s="62" t="s">
        <v>15002</v>
      </c>
      <c r="U1214" s="62" t="s">
        <v>15003</v>
      </c>
      <c r="V1214" s="62" t="s">
        <v>54753</v>
      </c>
      <c r="W1214" s="62" t="s">
        <v>15004</v>
      </c>
      <c r="X1214" s="62" t="s">
        <v>15005</v>
      </c>
      <c r="Y1214" s="62" t="s">
        <v>15006</v>
      </c>
      <c r="Z1214" s="62" t="s">
        <v>15007</v>
      </c>
      <c r="AA1214" s="62" t="s">
        <v>54784</v>
      </c>
      <c r="AB1214" s="62" t="s">
        <v>15008</v>
      </c>
      <c r="AC1214" s="62" t="s">
        <v>15009</v>
      </c>
      <c r="AD1214" s="62" t="s">
        <v>15010</v>
      </c>
    </row>
    <row r="1215" spans="1:30" x14ac:dyDescent="0.25">
      <c r="A1215" s="62" t="s">
        <v>109</v>
      </c>
      <c r="C1215" s="62" t="s">
        <v>15011</v>
      </c>
      <c r="F1215" s="62" t="s">
        <v>2308</v>
      </c>
      <c r="G1215" s="62" t="s">
        <v>54661</v>
      </c>
      <c r="J1215" s="62" t="s">
        <v>15013</v>
      </c>
      <c r="K1215" s="62" t="s">
        <v>54692</v>
      </c>
      <c r="L1215" s="62" t="s">
        <v>15014</v>
      </c>
      <c r="M1215" s="62" t="s">
        <v>15015</v>
      </c>
      <c r="N1215" s="62" t="s">
        <v>15016</v>
      </c>
      <c r="O1215" s="62" t="s">
        <v>15017</v>
      </c>
      <c r="P1215" s="62" t="s">
        <v>54723</v>
      </c>
      <c r="Q1215" s="62" t="s">
        <v>15018</v>
      </c>
      <c r="R1215" s="62" t="s">
        <v>15019</v>
      </c>
      <c r="S1215" s="62" t="s">
        <v>15020</v>
      </c>
      <c r="U1215" s="62" t="s">
        <v>15021</v>
      </c>
      <c r="V1215" s="62" t="s">
        <v>54754</v>
      </c>
      <c r="W1215" s="62" t="s">
        <v>15022</v>
      </c>
      <c r="X1215" s="62" t="s">
        <v>15023</v>
      </c>
      <c r="Y1215" s="62" t="s">
        <v>15024</v>
      </c>
      <c r="Z1215" s="62" t="s">
        <v>15025</v>
      </c>
      <c r="AA1215" s="62" t="s">
        <v>54785</v>
      </c>
      <c r="AB1215" s="62" t="s">
        <v>15026</v>
      </c>
      <c r="AC1215" s="62" t="s">
        <v>15027</v>
      </c>
      <c r="AD1215" s="62" t="s">
        <v>15028</v>
      </c>
    </row>
    <row r="1216" spans="1:30" x14ac:dyDescent="0.25">
      <c r="A1216" s="62" t="s">
        <v>109</v>
      </c>
      <c r="C1216" s="62" t="s">
        <v>15029</v>
      </c>
      <c r="F1216" s="62" t="s">
        <v>4942</v>
      </c>
      <c r="G1216" s="62" t="s">
        <v>54662</v>
      </c>
      <c r="J1216" s="62" t="s">
        <v>15030</v>
      </c>
      <c r="K1216" s="62" t="s">
        <v>54693</v>
      </c>
      <c r="L1216" s="62" t="s">
        <v>15031</v>
      </c>
      <c r="M1216" s="62" t="s">
        <v>15032</v>
      </c>
      <c r="N1216" s="62" t="s">
        <v>15033</v>
      </c>
      <c r="O1216" s="62" t="s">
        <v>15034</v>
      </c>
      <c r="P1216" s="62" t="s">
        <v>54724</v>
      </c>
      <c r="Q1216" s="62" t="s">
        <v>15035</v>
      </c>
      <c r="R1216" s="62" t="s">
        <v>15036</v>
      </c>
      <c r="S1216" s="62" t="s">
        <v>15037</v>
      </c>
      <c r="U1216" s="62" t="s">
        <v>15038</v>
      </c>
      <c r="V1216" s="62" t="s">
        <v>54755</v>
      </c>
      <c r="W1216" s="62" t="s">
        <v>15039</v>
      </c>
      <c r="X1216" s="62" t="s">
        <v>15040</v>
      </c>
      <c r="Y1216" s="62" t="s">
        <v>15041</v>
      </c>
      <c r="Z1216" s="62" t="s">
        <v>15042</v>
      </c>
      <c r="AA1216" s="62" t="s">
        <v>54786</v>
      </c>
      <c r="AB1216" s="62" t="s">
        <v>15043</v>
      </c>
      <c r="AC1216" s="62" t="s">
        <v>15044</v>
      </c>
      <c r="AD1216" s="62" t="s">
        <v>15045</v>
      </c>
    </row>
    <row r="1217" spans="1:30" x14ac:dyDescent="0.25">
      <c r="A1217" s="62" t="s">
        <v>109</v>
      </c>
      <c r="C1217" s="62" t="s">
        <v>15046</v>
      </c>
      <c r="F1217" s="62" t="s">
        <v>2310</v>
      </c>
      <c r="G1217" s="62" t="s">
        <v>54663</v>
      </c>
      <c r="J1217" s="62" t="s">
        <v>15047</v>
      </c>
      <c r="K1217" s="62" t="s">
        <v>54694</v>
      </c>
      <c r="L1217" s="62" t="s">
        <v>15048</v>
      </c>
      <c r="M1217" s="62" t="s">
        <v>15049</v>
      </c>
      <c r="N1217" s="62" t="s">
        <v>15050</v>
      </c>
      <c r="O1217" s="62" t="s">
        <v>15051</v>
      </c>
      <c r="P1217" s="62" t="s">
        <v>54725</v>
      </c>
      <c r="Q1217" s="62" t="s">
        <v>15052</v>
      </c>
      <c r="R1217" s="62" t="s">
        <v>15053</v>
      </c>
      <c r="S1217" s="62" t="s">
        <v>15054</v>
      </c>
      <c r="U1217" s="62" t="s">
        <v>15055</v>
      </c>
      <c r="V1217" s="62" t="s">
        <v>54756</v>
      </c>
      <c r="W1217" s="62" t="s">
        <v>15056</v>
      </c>
      <c r="X1217" s="62" t="s">
        <v>15057</v>
      </c>
      <c r="Y1217" s="62" t="s">
        <v>15058</v>
      </c>
      <c r="Z1217" s="62" t="s">
        <v>15059</v>
      </c>
      <c r="AA1217" s="62" t="s">
        <v>54787</v>
      </c>
      <c r="AB1217" s="62" t="s">
        <v>15060</v>
      </c>
      <c r="AC1217" s="62" t="s">
        <v>15061</v>
      </c>
      <c r="AD1217" s="62" t="s">
        <v>15062</v>
      </c>
    </row>
    <row r="1218" spans="1:30" x14ac:dyDescent="0.25">
      <c r="A1218" s="62" t="s">
        <v>109</v>
      </c>
      <c r="C1218" s="62" t="s">
        <v>15063</v>
      </c>
      <c r="F1218" s="62" t="s">
        <v>271</v>
      </c>
      <c r="G1218" s="62" t="s">
        <v>54664</v>
      </c>
      <c r="J1218" s="62" t="s">
        <v>15064</v>
      </c>
      <c r="K1218" s="62" t="s">
        <v>54695</v>
      </c>
      <c r="L1218" s="62" t="s">
        <v>15065</v>
      </c>
      <c r="M1218" s="62" t="s">
        <v>15066</v>
      </c>
      <c r="N1218" s="62" t="s">
        <v>15067</v>
      </c>
      <c r="O1218" s="62" t="s">
        <v>15068</v>
      </c>
      <c r="P1218" s="62" t="s">
        <v>54726</v>
      </c>
      <c r="Q1218" s="62" t="s">
        <v>15069</v>
      </c>
      <c r="R1218" s="62" t="s">
        <v>15070</v>
      </c>
      <c r="S1218" s="62" t="s">
        <v>15071</v>
      </c>
      <c r="U1218" s="62" t="s">
        <v>15072</v>
      </c>
      <c r="V1218" s="62" t="s">
        <v>54757</v>
      </c>
      <c r="W1218" s="62" t="s">
        <v>15073</v>
      </c>
      <c r="X1218" s="62" t="s">
        <v>15074</v>
      </c>
      <c r="Y1218" s="62" t="s">
        <v>15075</v>
      </c>
      <c r="Z1218" s="62" t="s">
        <v>15076</v>
      </c>
      <c r="AA1218" s="62" t="s">
        <v>54788</v>
      </c>
      <c r="AB1218" s="62" t="s">
        <v>15077</v>
      </c>
      <c r="AC1218" s="62" t="s">
        <v>15078</v>
      </c>
      <c r="AD1218" s="62" t="s">
        <v>15079</v>
      </c>
    </row>
    <row r="1219" spans="1:30" x14ac:dyDescent="0.25">
      <c r="A1219" s="62" t="s">
        <v>109</v>
      </c>
      <c r="C1219" s="62" t="s">
        <v>15080</v>
      </c>
      <c r="F1219" s="62" t="s">
        <v>3185</v>
      </c>
      <c r="G1219" s="62" t="s">
        <v>54665</v>
      </c>
      <c r="J1219" s="62" t="s">
        <v>15082</v>
      </c>
      <c r="K1219" s="62" t="s">
        <v>54696</v>
      </c>
      <c r="L1219" s="62" t="s">
        <v>15083</v>
      </c>
      <c r="M1219" s="62" t="s">
        <v>15084</v>
      </c>
      <c r="N1219" s="62" t="s">
        <v>15085</v>
      </c>
      <c r="O1219" s="62" t="s">
        <v>15086</v>
      </c>
      <c r="P1219" s="62" t="s">
        <v>54727</v>
      </c>
      <c r="Q1219" s="62" t="s">
        <v>15087</v>
      </c>
      <c r="R1219" s="62" t="s">
        <v>15088</v>
      </c>
      <c r="S1219" s="62" t="s">
        <v>15089</v>
      </c>
      <c r="U1219" s="62" t="s">
        <v>15090</v>
      </c>
      <c r="V1219" s="62" t="s">
        <v>54758</v>
      </c>
      <c r="W1219" s="62" t="s">
        <v>15091</v>
      </c>
      <c r="X1219" s="62" t="s">
        <v>15092</v>
      </c>
      <c r="Y1219" s="62" t="s">
        <v>15093</v>
      </c>
      <c r="Z1219" s="62" t="s">
        <v>15094</v>
      </c>
      <c r="AA1219" s="62" t="s">
        <v>54789</v>
      </c>
      <c r="AB1219" s="62" t="s">
        <v>15095</v>
      </c>
      <c r="AC1219" s="62" t="s">
        <v>15096</v>
      </c>
      <c r="AD1219" s="62" t="s">
        <v>15097</v>
      </c>
    </row>
    <row r="1220" spans="1:30" x14ac:dyDescent="0.25">
      <c r="A1220" s="62" t="s">
        <v>109</v>
      </c>
      <c r="C1220" s="62" t="s">
        <v>15098</v>
      </c>
      <c r="F1220" s="62" t="s">
        <v>2464</v>
      </c>
      <c r="G1220" s="62" t="s">
        <v>54666</v>
      </c>
      <c r="J1220" s="62" t="s">
        <v>15099</v>
      </c>
      <c r="K1220" s="62" t="s">
        <v>54697</v>
      </c>
      <c r="L1220" s="62" t="s">
        <v>15100</v>
      </c>
      <c r="M1220" s="62" t="s">
        <v>15101</v>
      </c>
      <c r="N1220" s="62" t="s">
        <v>15102</v>
      </c>
      <c r="O1220" s="62" t="s">
        <v>15103</v>
      </c>
      <c r="P1220" s="62" t="s">
        <v>54728</v>
      </c>
      <c r="Q1220" s="62" t="s">
        <v>15104</v>
      </c>
      <c r="R1220" s="62" t="s">
        <v>15105</v>
      </c>
      <c r="S1220" s="62" t="s">
        <v>15106</v>
      </c>
      <c r="U1220" s="62" t="s">
        <v>15107</v>
      </c>
      <c r="V1220" s="62" t="s">
        <v>54759</v>
      </c>
      <c r="W1220" s="62" t="s">
        <v>15108</v>
      </c>
      <c r="X1220" s="62" t="s">
        <v>15109</v>
      </c>
      <c r="Y1220" s="62" t="s">
        <v>15110</v>
      </c>
      <c r="Z1220" s="62" t="s">
        <v>15111</v>
      </c>
      <c r="AA1220" s="62" t="s">
        <v>54790</v>
      </c>
      <c r="AB1220" s="62" t="s">
        <v>15112</v>
      </c>
      <c r="AC1220" s="62" t="s">
        <v>15113</v>
      </c>
      <c r="AD1220" s="62" t="s">
        <v>15114</v>
      </c>
    </row>
    <row r="1221" spans="1:30" x14ac:dyDescent="0.25">
      <c r="A1221" s="62" t="s">
        <v>109</v>
      </c>
      <c r="C1221" s="62" t="s">
        <v>15115</v>
      </c>
      <c r="F1221" s="62" t="s">
        <v>2311</v>
      </c>
      <c r="G1221" s="62" t="s">
        <v>54667</v>
      </c>
      <c r="J1221" s="62" t="s">
        <v>15116</v>
      </c>
      <c r="K1221" s="62" t="s">
        <v>54698</v>
      </c>
      <c r="L1221" s="62" t="s">
        <v>15117</v>
      </c>
      <c r="M1221" s="62" t="s">
        <v>15118</v>
      </c>
      <c r="N1221" s="62" t="s">
        <v>15119</v>
      </c>
      <c r="O1221" s="62" t="s">
        <v>15120</v>
      </c>
      <c r="P1221" s="62" t="s">
        <v>54729</v>
      </c>
      <c r="Q1221" s="62" t="s">
        <v>15121</v>
      </c>
      <c r="R1221" s="62" t="s">
        <v>15122</v>
      </c>
      <c r="S1221" s="62" t="s">
        <v>15123</v>
      </c>
      <c r="U1221" s="62" t="s">
        <v>15124</v>
      </c>
      <c r="V1221" s="62" t="s">
        <v>54760</v>
      </c>
      <c r="W1221" s="62" t="s">
        <v>15125</v>
      </c>
      <c r="X1221" s="62" t="s">
        <v>15126</v>
      </c>
      <c r="Y1221" s="62" t="s">
        <v>15127</v>
      </c>
      <c r="Z1221" s="62" t="s">
        <v>15128</v>
      </c>
      <c r="AA1221" s="62" t="s">
        <v>54791</v>
      </c>
      <c r="AB1221" s="62" t="s">
        <v>15129</v>
      </c>
      <c r="AC1221" s="62" t="s">
        <v>15130</v>
      </c>
      <c r="AD1221" s="62" t="s">
        <v>15131</v>
      </c>
    </row>
    <row r="1222" spans="1:30" x14ac:dyDescent="0.25">
      <c r="A1222" s="62" t="s">
        <v>109</v>
      </c>
      <c r="C1222" s="62" t="s">
        <v>15132</v>
      </c>
      <c r="F1222" s="62" t="s">
        <v>288</v>
      </c>
      <c r="G1222" s="62" t="s">
        <v>54668</v>
      </c>
      <c r="J1222" s="62" t="s">
        <v>15133</v>
      </c>
      <c r="K1222" s="62" t="s">
        <v>54699</v>
      </c>
      <c r="L1222" s="62" t="s">
        <v>15134</v>
      </c>
      <c r="M1222" s="62" t="s">
        <v>15135</v>
      </c>
      <c r="N1222" s="62" t="s">
        <v>15136</v>
      </c>
      <c r="O1222" s="62" t="s">
        <v>15137</v>
      </c>
      <c r="P1222" s="62" t="s">
        <v>54730</v>
      </c>
      <c r="Q1222" s="62" t="s">
        <v>15138</v>
      </c>
      <c r="R1222" s="62" t="s">
        <v>15139</v>
      </c>
      <c r="S1222" s="62" t="s">
        <v>15140</v>
      </c>
      <c r="U1222" s="62" t="s">
        <v>15141</v>
      </c>
      <c r="V1222" s="62" t="s">
        <v>54761</v>
      </c>
      <c r="W1222" s="62" t="s">
        <v>15142</v>
      </c>
      <c r="X1222" s="62" t="s">
        <v>15143</v>
      </c>
      <c r="Y1222" s="62" t="s">
        <v>15144</v>
      </c>
      <c r="Z1222" s="62" t="s">
        <v>15145</v>
      </c>
      <c r="AA1222" s="62" t="s">
        <v>54792</v>
      </c>
      <c r="AB1222" s="62" t="s">
        <v>15146</v>
      </c>
      <c r="AC1222" s="62" t="s">
        <v>15147</v>
      </c>
      <c r="AD1222" s="62" t="s">
        <v>15148</v>
      </c>
    </row>
    <row r="1223" spans="1:30" x14ac:dyDescent="0.25">
      <c r="A1223" s="62" t="s">
        <v>109</v>
      </c>
      <c r="C1223" s="62" t="s">
        <v>15149</v>
      </c>
      <c r="F1223" s="62" t="s">
        <v>1100</v>
      </c>
      <c r="G1223" s="62" t="s">
        <v>54669</v>
      </c>
      <c r="J1223" s="62" t="s">
        <v>15150</v>
      </c>
      <c r="K1223" s="62" t="s">
        <v>54700</v>
      </c>
      <c r="L1223" s="62" t="s">
        <v>15151</v>
      </c>
      <c r="M1223" s="62" t="s">
        <v>15152</v>
      </c>
      <c r="N1223" s="62" t="s">
        <v>15153</v>
      </c>
      <c r="O1223" s="62" t="s">
        <v>15154</v>
      </c>
      <c r="P1223" s="62" t="s">
        <v>54731</v>
      </c>
      <c r="Q1223" s="62" t="s">
        <v>15155</v>
      </c>
      <c r="R1223" s="62" t="s">
        <v>15156</v>
      </c>
      <c r="S1223" s="62" t="s">
        <v>15157</v>
      </c>
      <c r="U1223" s="62" t="s">
        <v>15158</v>
      </c>
      <c r="V1223" s="62" t="s">
        <v>54762</v>
      </c>
      <c r="W1223" s="62" t="s">
        <v>15159</v>
      </c>
      <c r="X1223" s="62" t="s">
        <v>15160</v>
      </c>
      <c r="Y1223" s="62" t="s">
        <v>15161</v>
      </c>
      <c r="Z1223" s="62" t="s">
        <v>15162</v>
      </c>
      <c r="AA1223" s="62" t="s">
        <v>54793</v>
      </c>
      <c r="AB1223" s="62" t="s">
        <v>15163</v>
      </c>
      <c r="AC1223" s="62" t="s">
        <v>15164</v>
      </c>
      <c r="AD1223" s="62" t="s">
        <v>15165</v>
      </c>
    </row>
    <row r="1224" spans="1:30" x14ac:dyDescent="0.25">
      <c r="A1224" s="62" t="s">
        <v>109</v>
      </c>
      <c r="C1224" s="62" t="s">
        <v>15166</v>
      </c>
      <c r="F1224" s="62" t="s">
        <v>2337</v>
      </c>
      <c r="G1224" s="62" t="s">
        <v>54670</v>
      </c>
      <c r="J1224" s="62" t="s">
        <v>15167</v>
      </c>
      <c r="K1224" s="62" t="s">
        <v>54701</v>
      </c>
      <c r="L1224" s="62" t="s">
        <v>15168</v>
      </c>
      <c r="M1224" s="62" t="s">
        <v>15169</v>
      </c>
      <c r="N1224" s="62" t="s">
        <v>15170</v>
      </c>
      <c r="O1224" s="62" t="s">
        <v>15171</v>
      </c>
      <c r="P1224" s="62" t="s">
        <v>54732</v>
      </c>
      <c r="Q1224" s="62" t="s">
        <v>15172</v>
      </c>
      <c r="R1224" s="62" t="s">
        <v>15173</v>
      </c>
      <c r="S1224" s="62" t="s">
        <v>15174</v>
      </c>
      <c r="U1224" s="62" t="s">
        <v>15175</v>
      </c>
      <c r="V1224" s="62" t="s">
        <v>54763</v>
      </c>
      <c r="W1224" s="62" t="s">
        <v>15176</v>
      </c>
      <c r="X1224" s="62" t="s">
        <v>15177</v>
      </c>
      <c r="Y1224" s="62" t="s">
        <v>15178</v>
      </c>
      <c r="Z1224" s="62" t="s">
        <v>15179</v>
      </c>
      <c r="AA1224" s="62" t="s">
        <v>54794</v>
      </c>
      <c r="AB1224" s="62" t="s">
        <v>15180</v>
      </c>
      <c r="AC1224" s="62" t="s">
        <v>15181</v>
      </c>
      <c r="AD1224" s="62" t="s">
        <v>15182</v>
      </c>
    </row>
    <row r="1225" spans="1:30" x14ac:dyDescent="0.25">
      <c r="A1225" s="62" t="s">
        <v>109</v>
      </c>
      <c r="C1225" s="62" t="s">
        <v>15183</v>
      </c>
      <c r="F1225" s="62" t="s">
        <v>2355</v>
      </c>
      <c r="G1225" s="62" t="s">
        <v>54671</v>
      </c>
      <c r="J1225" s="62" t="s">
        <v>15184</v>
      </c>
      <c r="K1225" s="62" t="s">
        <v>54702</v>
      </c>
      <c r="L1225" s="62" t="s">
        <v>15185</v>
      </c>
      <c r="M1225" s="62" t="s">
        <v>15186</v>
      </c>
      <c r="N1225" s="62" t="s">
        <v>15187</v>
      </c>
      <c r="O1225" s="62" t="s">
        <v>15188</v>
      </c>
      <c r="P1225" s="62" t="s">
        <v>54733</v>
      </c>
      <c r="Q1225" s="62" t="s">
        <v>15189</v>
      </c>
      <c r="R1225" s="62" t="s">
        <v>15190</v>
      </c>
      <c r="S1225" s="62" t="s">
        <v>15191</v>
      </c>
      <c r="U1225" s="62" t="s">
        <v>15192</v>
      </c>
      <c r="V1225" s="62" t="s">
        <v>54764</v>
      </c>
      <c r="W1225" s="62" t="s">
        <v>15193</v>
      </c>
      <c r="X1225" s="62" t="s">
        <v>15194</v>
      </c>
      <c r="Y1225" s="62" t="s">
        <v>15195</v>
      </c>
      <c r="Z1225" s="62" t="s">
        <v>15196</v>
      </c>
      <c r="AA1225" s="62" t="s">
        <v>54795</v>
      </c>
      <c r="AB1225" s="62" t="s">
        <v>15197</v>
      </c>
      <c r="AC1225" s="62" t="s">
        <v>15198</v>
      </c>
      <c r="AD1225" s="62" t="s">
        <v>15199</v>
      </c>
    </row>
    <row r="1226" spans="1:30" x14ac:dyDescent="0.25">
      <c r="A1226" s="62" t="s">
        <v>109</v>
      </c>
      <c r="C1226" s="62" t="s">
        <v>15200</v>
      </c>
      <c r="F1226" s="62" t="s">
        <v>2372</v>
      </c>
      <c r="G1226" s="62" t="s">
        <v>54672</v>
      </c>
      <c r="J1226" s="62" t="s">
        <v>15201</v>
      </c>
      <c r="K1226" s="62" t="s">
        <v>54703</v>
      </c>
      <c r="L1226" s="62" t="s">
        <v>15202</v>
      </c>
      <c r="M1226" s="62" t="s">
        <v>15203</v>
      </c>
      <c r="N1226" s="62" t="s">
        <v>15204</v>
      </c>
      <c r="O1226" s="62" t="s">
        <v>15205</v>
      </c>
      <c r="P1226" s="62" t="s">
        <v>54734</v>
      </c>
      <c r="Q1226" s="62" t="s">
        <v>15206</v>
      </c>
      <c r="R1226" s="62" t="s">
        <v>15207</v>
      </c>
      <c r="S1226" s="62" t="s">
        <v>15208</v>
      </c>
      <c r="U1226" s="62" t="s">
        <v>15209</v>
      </c>
      <c r="V1226" s="62" t="s">
        <v>54765</v>
      </c>
      <c r="W1226" s="62" t="s">
        <v>15210</v>
      </c>
      <c r="X1226" s="62" t="s">
        <v>15211</v>
      </c>
      <c r="Y1226" s="62" t="s">
        <v>15212</v>
      </c>
      <c r="Z1226" s="62" t="s">
        <v>15213</v>
      </c>
      <c r="AA1226" s="62" t="s">
        <v>54796</v>
      </c>
      <c r="AB1226" s="62" t="s">
        <v>15214</v>
      </c>
      <c r="AC1226" s="62" t="s">
        <v>15215</v>
      </c>
      <c r="AD1226" s="62" t="s">
        <v>15216</v>
      </c>
    </row>
    <row r="1227" spans="1:30" x14ac:dyDescent="0.25">
      <c r="A1227" s="62" t="s">
        <v>109</v>
      </c>
      <c r="C1227" s="62" t="s">
        <v>14779</v>
      </c>
    </row>
    <row r="1228" spans="1:30" x14ac:dyDescent="0.25">
      <c r="A1228" s="62" t="s">
        <v>109</v>
      </c>
      <c r="C1228" s="62" t="s">
        <v>15217</v>
      </c>
      <c r="G1228" s="62" t="s">
        <v>42713</v>
      </c>
      <c r="J1228" s="62" t="s">
        <v>42714</v>
      </c>
      <c r="K1228" s="62" t="s">
        <v>42715</v>
      </c>
      <c r="L1228" s="62" t="s">
        <v>42716</v>
      </c>
      <c r="M1228" s="62" t="s">
        <v>15218</v>
      </c>
      <c r="N1228" s="62" t="s">
        <v>15219</v>
      </c>
      <c r="O1228" s="62" t="s">
        <v>42717</v>
      </c>
      <c r="P1228" s="62" t="s">
        <v>42718</v>
      </c>
      <c r="Q1228" s="62" t="s">
        <v>42719</v>
      </c>
      <c r="R1228" s="62" t="s">
        <v>15220</v>
      </c>
      <c r="S1228" s="62" t="s">
        <v>15221</v>
      </c>
      <c r="U1228" s="62" t="s">
        <v>42720</v>
      </c>
      <c r="V1228" s="62" t="s">
        <v>42721</v>
      </c>
      <c r="W1228" s="62" t="s">
        <v>42722</v>
      </c>
      <c r="X1228" s="62" t="s">
        <v>15222</v>
      </c>
      <c r="Y1228" s="62" t="s">
        <v>15223</v>
      </c>
      <c r="Z1228" s="62" t="s">
        <v>42723</v>
      </c>
      <c r="AA1228" s="62" t="s">
        <v>42724</v>
      </c>
      <c r="AB1228" s="62" t="s">
        <v>42725</v>
      </c>
      <c r="AC1228" s="62" t="s">
        <v>15224</v>
      </c>
      <c r="AD1228" s="62" t="s">
        <v>15225</v>
      </c>
    </row>
    <row r="1229" spans="1:30" x14ac:dyDescent="0.25">
      <c r="A1229" s="62" t="s">
        <v>109</v>
      </c>
    </row>
    <row r="1230" spans="1:30" x14ac:dyDescent="0.25">
      <c r="A1230" s="62" t="s">
        <v>109</v>
      </c>
      <c r="C1230" s="62" t="s">
        <v>42726</v>
      </c>
      <c r="E1230" s="62" t="s">
        <v>19068</v>
      </c>
      <c r="G1230" s="62" t="s">
        <v>42727</v>
      </c>
    </row>
    <row r="1231" spans="1:30" x14ac:dyDescent="0.25">
      <c r="A1231" s="62" t="s">
        <v>109</v>
      </c>
      <c r="C1231" s="62" t="s">
        <v>15226</v>
      </c>
    </row>
    <row r="1232" spans="1:30" x14ac:dyDescent="0.25">
      <c r="A1232" s="62" t="s">
        <v>109</v>
      </c>
      <c r="C1232" s="62" t="s">
        <v>15227</v>
      </c>
      <c r="F1232" s="62" t="s">
        <v>42728</v>
      </c>
      <c r="G1232" s="62" t="s">
        <v>54497</v>
      </c>
      <c r="J1232" s="62" t="s">
        <v>15228</v>
      </c>
      <c r="K1232" s="62" t="s">
        <v>54526</v>
      </c>
      <c r="L1232" s="62" t="s">
        <v>15229</v>
      </c>
      <c r="M1232" s="62" t="s">
        <v>15230</v>
      </c>
      <c r="N1232" s="62" t="s">
        <v>15231</v>
      </c>
      <c r="O1232" s="62" t="s">
        <v>15232</v>
      </c>
      <c r="P1232" s="62" t="s">
        <v>54555</v>
      </c>
      <c r="Q1232" s="62" t="s">
        <v>15233</v>
      </c>
      <c r="R1232" s="62" t="s">
        <v>15234</v>
      </c>
      <c r="S1232" s="62" t="s">
        <v>15235</v>
      </c>
      <c r="U1232" s="62" t="s">
        <v>15236</v>
      </c>
      <c r="V1232" s="62" t="s">
        <v>54584</v>
      </c>
      <c r="W1232" s="62" t="s">
        <v>15237</v>
      </c>
      <c r="X1232" s="62" t="s">
        <v>15238</v>
      </c>
      <c r="Y1232" s="62" t="s">
        <v>15239</v>
      </c>
      <c r="Z1232" s="62" t="s">
        <v>15240</v>
      </c>
      <c r="AA1232" s="62" t="s">
        <v>54613</v>
      </c>
      <c r="AB1232" s="62" t="s">
        <v>15241</v>
      </c>
      <c r="AC1232" s="62" t="s">
        <v>15242</v>
      </c>
      <c r="AD1232" s="62" t="s">
        <v>15243</v>
      </c>
    </row>
    <row r="1233" spans="1:30" x14ac:dyDescent="0.25">
      <c r="A1233" s="62" t="s">
        <v>109</v>
      </c>
      <c r="C1233" s="62" t="s">
        <v>15244</v>
      </c>
      <c r="F1233" s="62" t="s">
        <v>943</v>
      </c>
      <c r="G1233" s="62" t="s">
        <v>54498</v>
      </c>
      <c r="J1233" s="62" t="s">
        <v>15245</v>
      </c>
      <c r="K1233" s="62" t="s">
        <v>54527</v>
      </c>
      <c r="L1233" s="62" t="s">
        <v>15246</v>
      </c>
      <c r="M1233" s="62" t="s">
        <v>15247</v>
      </c>
      <c r="N1233" s="62" t="s">
        <v>15248</v>
      </c>
      <c r="O1233" s="62" t="s">
        <v>15249</v>
      </c>
      <c r="P1233" s="62" t="s">
        <v>54556</v>
      </c>
      <c r="Q1233" s="62" t="s">
        <v>15250</v>
      </c>
      <c r="R1233" s="62" t="s">
        <v>15251</v>
      </c>
      <c r="S1233" s="62" t="s">
        <v>15252</v>
      </c>
      <c r="U1233" s="62" t="s">
        <v>15253</v>
      </c>
      <c r="V1233" s="62" t="s">
        <v>54585</v>
      </c>
      <c r="W1233" s="62" t="s">
        <v>15254</v>
      </c>
      <c r="X1233" s="62" t="s">
        <v>15255</v>
      </c>
      <c r="Y1233" s="62" t="s">
        <v>15256</v>
      </c>
      <c r="Z1233" s="62" t="s">
        <v>15257</v>
      </c>
      <c r="AA1233" s="62" t="s">
        <v>54614</v>
      </c>
      <c r="AB1233" s="62" t="s">
        <v>15258</v>
      </c>
      <c r="AC1233" s="62" t="s">
        <v>15259</v>
      </c>
      <c r="AD1233" s="62" t="s">
        <v>15260</v>
      </c>
    </row>
    <row r="1234" spans="1:30" x14ac:dyDescent="0.25">
      <c r="A1234" s="62" t="s">
        <v>109</v>
      </c>
      <c r="C1234" s="62" t="s">
        <v>42729</v>
      </c>
      <c r="F1234" s="62" t="s">
        <v>193</v>
      </c>
      <c r="G1234" s="62" t="s">
        <v>54499</v>
      </c>
      <c r="J1234" s="62" t="s">
        <v>42730</v>
      </c>
      <c r="K1234" s="62" t="s">
        <v>54528</v>
      </c>
      <c r="L1234" s="62" t="s">
        <v>42731</v>
      </c>
      <c r="M1234" s="62" t="s">
        <v>42732</v>
      </c>
      <c r="N1234" s="62" t="s">
        <v>42733</v>
      </c>
      <c r="O1234" s="62" t="s">
        <v>42734</v>
      </c>
      <c r="P1234" s="62" t="s">
        <v>54557</v>
      </c>
      <c r="Q1234" s="62" t="s">
        <v>42735</v>
      </c>
      <c r="R1234" s="62" t="s">
        <v>42736</v>
      </c>
      <c r="S1234" s="62" t="s">
        <v>42737</v>
      </c>
      <c r="U1234" s="62" t="s">
        <v>42738</v>
      </c>
      <c r="V1234" s="62" t="s">
        <v>54586</v>
      </c>
      <c r="W1234" s="62" t="s">
        <v>42739</v>
      </c>
      <c r="X1234" s="62" t="s">
        <v>42740</v>
      </c>
      <c r="Y1234" s="62" t="s">
        <v>42741</v>
      </c>
      <c r="Z1234" s="62" t="s">
        <v>42742</v>
      </c>
      <c r="AA1234" s="62" t="s">
        <v>54615</v>
      </c>
      <c r="AB1234" s="62" t="s">
        <v>42743</v>
      </c>
      <c r="AC1234" s="62" t="s">
        <v>42744</v>
      </c>
      <c r="AD1234" s="62" t="s">
        <v>42745</v>
      </c>
    </row>
    <row r="1235" spans="1:30" x14ac:dyDescent="0.25">
      <c r="A1235" s="62" t="s">
        <v>109</v>
      </c>
      <c r="C1235" s="62" t="s">
        <v>15261</v>
      </c>
      <c r="F1235" s="62" t="s">
        <v>12860</v>
      </c>
      <c r="G1235" s="62" t="s">
        <v>54500</v>
      </c>
      <c r="J1235" s="62" t="s">
        <v>42746</v>
      </c>
      <c r="K1235" s="62" t="s">
        <v>54529</v>
      </c>
      <c r="L1235" s="62" t="s">
        <v>42747</v>
      </c>
      <c r="M1235" s="62" t="s">
        <v>15262</v>
      </c>
      <c r="N1235" s="62" t="s">
        <v>15263</v>
      </c>
      <c r="O1235" s="62" t="s">
        <v>42748</v>
      </c>
      <c r="P1235" s="62" t="s">
        <v>54558</v>
      </c>
      <c r="Q1235" s="62" t="s">
        <v>42749</v>
      </c>
      <c r="R1235" s="62" t="s">
        <v>15264</v>
      </c>
      <c r="S1235" s="62" t="s">
        <v>15265</v>
      </c>
      <c r="U1235" s="62" t="s">
        <v>42750</v>
      </c>
      <c r="V1235" s="62" t="s">
        <v>54587</v>
      </c>
      <c r="W1235" s="62" t="s">
        <v>42751</v>
      </c>
      <c r="X1235" s="62" t="s">
        <v>15266</v>
      </c>
      <c r="Y1235" s="62" t="s">
        <v>15267</v>
      </c>
      <c r="Z1235" s="62" t="s">
        <v>42752</v>
      </c>
      <c r="AA1235" s="62" t="s">
        <v>54616</v>
      </c>
      <c r="AB1235" s="62" t="s">
        <v>42753</v>
      </c>
      <c r="AC1235" s="62" t="s">
        <v>15268</v>
      </c>
      <c r="AD1235" s="62" t="s">
        <v>15269</v>
      </c>
    </row>
    <row r="1236" spans="1:30" x14ac:dyDescent="0.25">
      <c r="A1236" s="62" t="s">
        <v>109</v>
      </c>
      <c r="C1236" s="62" t="s">
        <v>42754</v>
      </c>
      <c r="F1236" s="62" t="s">
        <v>10314</v>
      </c>
      <c r="G1236" s="62" t="s">
        <v>54501</v>
      </c>
      <c r="J1236" s="62" t="s">
        <v>42755</v>
      </c>
      <c r="K1236" s="62" t="s">
        <v>54530</v>
      </c>
      <c r="L1236" s="62" t="s">
        <v>42756</v>
      </c>
      <c r="M1236" s="62" t="s">
        <v>42757</v>
      </c>
      <c r="N1236" s="62" t="s">
        <v>42758</v>
      </c>
      <c r="O1236" s="62" t="s">
        <v>42759</v>
      </c>
      <c r="P1236" s="62" t="s">
        <v>54559</v>
      </c>
      <c r="Q1236" s="62" t="s">
        <v>42760</v>
      </c>
      <c r="R1236" s="62" t="s">
        <v>42761</v>
      </c>
      <c r="S1236" s="62" t="s">
        <v>42762</v>
      </c>
      <c r="U1236" s="62" t="s">
        <v>42763</v>
      </c>
      <c r="V1236" s="62" t="s">
        <v>54588</v>
      </c>
      <c r="W1236" s="62" t="s">
        <v>42764</v>
      </c>
      <c r="X1236" s="62" t="s">
        <v>42765</v>
      </c>
      <c r="Y1236" s="62" t="s">
        <v>42766</v>
      </c>
      <c r="Z1236" s="62" t="s">
        <v>42767</v>
      </c>
      <c r="AA1236" s="62" t="s">
        <v>54617</v>
      </c>
      <c r="AB1236" s="62" t="s">
        <v>42768</v>
      </c>
      <c r="AC1236" s="62" t="s">
        <v>42769</v>
      </c>
      <c r="AD1236" s="62" t="s">
        <v>42770</v>
      </c>
    </row>
    <row r="1237" spans="1:30" x14ac:dyDescent="0.25">
      <c r="A1237" s="62" t="s">
        <v>109</v>
      </c>
      <c r="C1237" s="62" t="s">
        <v>42771</v>
      </c>
      <c r="F1237" s="62" t="s">
        <v>19275</v>
      </c>
      <c r="G1237" s="62" t="s">
        <v>54502</v>
      </c>
      <c r="J1237" s="62" t="s">
        <v>42772</v>
      </c>
      <c r="K1237" s="62" t="s">
        <v>54531</v>
      </c>
      <c r="L1237" s="62" t="s">
        <v>42773</v>
      </c>
      <c r="M1237" s="62" t="s">
        <v>42774</v>
      </c>
      <c r="N1237" s="62" t="s">
        <v>42775</v>
      </c>
      <c r="O1237" s="62" t="s">
        <v>42776</v>
      </c>
      <c r="P1237" s="62" t="s">
        <v>54560</v>
      </c>
      <c r="Q1237" s="62" t="s">
        <v>42777</v>
      </c>
      <c r="R1237" s="62" t="s">
        <v>42778</v>
      </c>
      <c r="S1237" s="62" t="s">
        <v>42779</v>
      </c>
      <c r="U1237" s="62" t="s">
        <v>42780</v>
      </c>
      <c r="V1237" s="62" t="s">
        <v>54589</v>
      </c>
      <c r="W1237" s="62" t="s">
        <v>42781</v>
      </c>
      <c r="X1237" s="62" t="s">
        <v>42782</v>
      </c>
      <c r="Y1237" s="62" t="s">
        <v>42783</v>
      </c>
      <c r="Z1237" s="62" t="s">
        <v>42784</v>
      </c>
      <c r="AA1237" s="62" t="s">
        <v>54618</v>
      </c>
      <c r="AB1237" s="62" t="s">
        <v>42785</v>
      </c>
      <c r="AC1237" s="62" t="s">
        <v>42786</v>
      </c>
      <c r="AD1237" s="62" t="s">
        <v>42787</v>
      </c>
    </row>
    <row r="1238" spans="1:30" x14ac:dyDescent="0.25">
      <c r="A1238" s="62" t="s">
        <v>109</v>
      </c>
      <c r="C1238" s="62" t="s">
        <v>15271</v>
      </c>
      <c r="F1238" s="62" t="s">
        <v>10332</v>
      </c>
      <c r="G1238" s="62" t="s">
        <v>54503</v>
      </c>
      <c r="J1238" s="62" t="s">
        <v>42788</v>
      </c>
      <c r="K1238" s="62" t="s">
        <v>54532</v>
      </c>
      <c r="L1238" s="62" t="s">
        <v>42789</v>
      </c>
      <c r="M1238" s="62" t="s">
        <v>42790</v>
      </c>
      <c r="N1238" s="62" t="s">
        <v>42791</v>
      </c>
      <c r="O1238" s="62" t="s">
        <v>42792</v>
      </c>
      <c r="P1238" s="62" t="s">
        <v>54561</v>
      </c>
      <c r="Q1238" s="62" t="s">
        <v>42793</v>
      </c>
      <c r="R1238" s="62" t="s">
        <v>42794</v>
      </c>
      <c r="S1238" s="62" t="s">
        <v>42795</v>
      </c>
      <c r="U1238" s="62" t="s">
        <v>42796</v>
      </c>
      <c r="V1238" s="62" t="s">
        <v>54590</v>
      </c>
      <c r="W1238" s="62" t="s">
        <v>42797</v>
      </c>
      <c r="X1238" s="62" t="s">
        <v>42798</v>
      </c>
      <c r="Y1238" s="62" t="s">
        <v>42799</v>
      </c>
      <c r="Z1238" s="62" t="s">
        <v>42800</v>
      </c>
      <c r="AA1238" s="62" t="s">
        <v>54619</v>
      </c>
      <c r="AB1238" s="62" t="s">
        <v>42801</v>
      </c>
      <c r="AC1238" s="62" t="s">
        <v>42802</v>
      </c>
      <c r="AD1238" s="62" t="s">
        <v>42803</v>
      </c>
    </row>
    <row r="1239" spans="1:30" x14ac:dyDescent="0.25">
      <c r="A1239" s="62" t="s">
        <v>109</v>
      </c>
      <c r="C1239" s="62" t="s">
        <v>15272</v>
      </c>
      <c r="F1239" s="62" t="s">
        <v>10368</v>
      </c>
      <c r="G1239" s="62" t="s">
        <v>54504</v>
      </c>
      <c r="J1239" s="62" t="s">
        <v>15273</v>
      </c>
      <c r="K1239" s="62" t="s">
        <v>54533</v>
      </c>
      <c r="L1239" s="62" t="s">
        <v>15274</v>
      </c>
      <c r="M1239" s="62" t="s">
        <v>15275</v>
      </c>
      <c r="N1239" s="62" t="s">
        <v>15276</v>
      </c>
      <c r="O1239" s="62" t="s">
        <v>15277</v>
      </c>
      <c r="P1239" s="62" t="s">
        <v>54562</v>
      </c>
      <c r="Q1239" s="62" t="s">
        <v>15278</v>
      </c>
      <c r="R1239" s="62" t="s">
        <v>15279</v>
      </c>
      <c r="S1239" s="62" t="s">
        <v>15280</v>
      </c>
      <c r="U1239" s="62" t="s">
        <v>15281</v>
      </c>
      <c r="V1239" s="62" t="s">
        <v>54591</v>
      </c>
      <c r="W1239" s="62" t="s">
        <v>15282</v>
      </c>
      <c r="X1239" s="62" t="s">
        <v>15283</v>
      </c>
      <c r="Y1239" s="62" t="s">
        <v>15284</v>
      </c>
      <c r="Z1239" s="62" t="s">
        <v>15285</v>
      </c>
      <c r="AA1239" s="62" t="s">
        <v>54620</v>
      </c>
      <c r="AB1239" s="62" t="s">
        <v>15286</v>
      </c>
      <c r="AC1239" s="62" t="s">
        <v>15287</v>
      </c>
      <c r="AD1239" s="62" t="s">
        <v>15288</v>
      </c>
    </row>
    <row r="1240" spans="1:30" x14ac:dyDescent="0.25">
      <c r="A1240" s="62" t="s">
        <v>109</v>
      </c>
      <c r="C1240" s="62" t="s">
        <v>15289</v>
      </c>
      <c r="F1240" s="62" t="s">
        <v>10386</v>
      </c>
      <c r="G1240" s="62" t="s">
        <v>54505</v>
      </c>
      <c r="J1240" s="62" t="s">
        <v>15290</v>
      </c>
      <c r="K1240" s="62" t="s">
        <v>54534</v>
      </c>
      <c r="L1240" s="62" t="s">
        <v>15291</v>
      </c>
      <c r="M1240" s="62" t="s">
        <v>15292</v>
      </c>
      <c r="N1240" s="62" t="s">
        <v>15293</v>
      </c>
      <c r="O1240" s="62" t="s">
        <v>15294</v>
      </c>
      <c r="P1240" s="62" t="s">
        <v>54563</v>
      </c>
      <c r="Q1240" s="62" t="s">
        <v>15295</v>
      </c>
      <c r="R1240" s="62" t="s">
        <v>15296</v>
      </c>
      <c r="S1240" s="62" t="s">
        <v>15297</v>
      </c>
      <c r="U1240" s="62" t="s">
        <v>15298</v>
      </c>
      <c r="V1240" s="62" t="s">
        <v>54592</v>
      </c>
      <c r="W1240" s="62" t="s">
        <v>15299</v>
      </c>
      <c r="X1240" s="62" t="s">
        <v>15300</v>
      </c>
      <c r="Y1240" s="62" t="s">
        <v>15301</v>
      </c>
      <c r="Z1240" s="62" t="s">
        <v>15302</v>
      </c>
      <c r="AA1240" s="62" t="s">
        <v>54621</v>
      </c>
      <c r="AB1240" s="62" t="s">
        <v>15303</v>
      </c>
      <c r="AC1240" s="62" t="s">
        <v>15304</v>
      </c>
      <c r="AD1240" s="62" t="s">
        <v>15305</v>
      </c>
    </row>
    <row r="1241" spans="1:30" x14ac:dyDescent="0.25">
      <c r="A1241" s="62" t="s">
        <v>109</v>
      </c>
      <c r="C1241" s="62" t="s">
        <v>15306</v>
      </c>
      <c r="F1241" s="62" t="s">
        <v>10404</v>
      </c>
      <c r="G1241" s="62" t="s">
        <v>54506</v>
      </c>
      <c r="J1241" s="62" t="s">
        <v>15307</v>
      </c>
      <c r="K1241" s="62" t="s">
        <v>54535</v>
      </c>
      <c r="L1241" s="62" t="s">
        <v>15308</v>
      </c>
      <c r="M1241" s="62" t="s">
        <v>15309</v>
      </c>
      <c r="N1241" s="62" t="s">
        <v>15310</v>
      </c>
      <c r="O1241" s="62" t="s">
        <v>15311</v>
      </c>
      <c r="P1241" s="62" t="s">
        <v>54564</v>
      </c>
      <c r="Q1241" s="62" t="s">
        <v>15312</v>
      </c>
      <c r="R1241" s="62" t="s">
        <v>15313</v>
      </c>
      <c r="S1241" s="62" t="s">
        <v>15314</v>
      </c>
      <c r="U1241" s="62" t="s">
        <v>15315</v>
      </c>
      <c r="V1241" s="62" t="s">
        <v>54593</v>
      </c>
      <c r="W1241" s="62" t="s">
        <v>15316</v>
      </c>
      <c r="X1241" s="62" t="s">
        <v>15317</v>
      </c>
      <c r="Y1241" s="62" t="s">
        <v>15318</v>
      </c>
      <c r="Z1241" s="62" t="s">
        <v>15319</v>
      </c>
      <c r="AA1241" s="62" t="s">
        <v>54622</v>
      </c>
      <c r="AB1241" s="62" t="s">
        <v>15320</v>
      </c>
      <c r="AC1241" s="62" t="s">
        <v>15321</v>
      </c>
      <c r="AD1241" s="62" t="s">
        <v>15322</v>
      </c>
    </row>
    <row r="1242" spans="1:30" x14ac:dyDescent="0.25">
      <c r="A1242" s="62" t="s">
        <v>109</v>
      </c>
      <c r="C1242" s="62" t="s">
        <v>15323</v>
      </c>
      <c r="F1242" s="62" t="s">
        <v>1002</v>
      </c>
      <c r="G1242" s="62" t="s">
        <v>54507</v>
      </c>
      <c r="J1242" s="62" t="s">
        <v>15324</v>
      </c>
      <c r="K1242" s="62" t="s">
        <v>54536</v>
      </c>
      <c r="L1242" s="62" t="s">
        <v>15325</v>
      </c>
      <c r="M1242" s="62" t="s">
        <v>15326</v>
      </c>
      <c r="N1242" s="62" t="s">
        <v>15327</v>
      </c>
      <c r="O1242" s="62" t="s">
        <v>15328</v>
      </c>
      <c r="P1242" s="62" t="s">
        <v>54565</v>
      </c>
      <c r="Q1242" s="62" t="s">
        <v>15329</v>
      </c>
      <c r="R1242" s="62" t="s">
        <v>15330</v>
      </c>
      <c r="S1242" s="62" t="s">
        <v>15331</v>
      </c>
      <c r="U1242" s="62" t="s">
        <v>15332</v>
      </c>
      <c r="V1242" s="62" t="s">
        <v>54594</v>
      </c>
      <c r="W1242" s="62" t="s">
        <v>15333</v>
      </c>
      <c r="X1242" s="62" t="s">
        <v>15334</v>
      </c>
      <c r="Y1242" s="62" t="s">
        <v>15335</v>
      </c>
      <c r="Z1242" s="62" t="s">
        <v>15336</v>
      </c>
      <c r="AA1242" s="62" t="s">
        <v>54623</v>
      </c>
      <c r="AB1242" s="62" t="s">
        <v>15337</v>
      </c>
      <c r="AC1242" s="62" t="s">
        <v>15338</v>
      </c>
      <c r="AD1242" s="62" t="s">
        <v>15339</v>
      </c>
    </row>
    <row r="1243" spans="1:30" x14ac:dyDescent="0.25">
      <c r="A1243" s="62" t="s">
        <v>109</v>
      </c>
      <c r="C1243" s="62" t="s">
        <v>15340</v>
      </c>
      <c r="F1243" s="62" t="s">
        <v>1090</v>
      </c>
      <c r="G1243" s="62" t="s">
        <v>54508</v>
      </c>
      <c r="J1243" s="62" t="s">
        <v>15341</v>
      </c>
      <c r="K1243" s="62" t="s">
        <v>54537</v>
      </c>
      <c r="L1243" s="62" t="s">
        <v>15342</v>
      </c>
      <c r="M1243" s="62" t="s">
        <v>15343</v>
      </c>
      <c r="N1243" s="62" t="s">
        <v>15344</v>
      </c>
      <c r="O1243" s="62" t="s">
        <v>15345</v>
      </c>
      <c r="P1243" s="62" t="s">
        <v>54566</v>
      </c>
      <c r="Q1243" s="62" t="s">
        <v>15346</v>
      </c>
      <c r="R1243" s="62" t="s">
        <v>15347</v>
      </c>
      <c r="S1243" s="62" t="s">
        <v>15348</v>
      </c>
      <c r="U1243" s="62" t="s">
        <v>15349</v>
      </c>
      <c r="V1243" s="62" t="s">
        <v>54595</v>
      </c>
      <c r="W1243" s="62" t="s">
        <v>15350</v>
      </c>
      <c r="X1243" s="62" t="s">
        <v>15351</v>
      </c>
      <c r="Y1243" s="62" t="s">
        <v>15352</v>
      </c>
      <c r="Z1243" s="62" t="s">
        <v>15353</v>
      </c>
      <c r="AA1243" s="62" t="s">
        <v>54624</v>
      </c>
      <c r="AB1243" s="62" t="s">
        <v>15354</v>
      </c>
      <c r="AC1243" s="62" t="s">
        <v>15355</v>
      </c>
      <c r="AD1243" s="62" t="s">
        <v>15356</v>
      </c>
    </row>
    <row r="1244" spans="1:30" x14ac:dyDescent="0.25">
      <c r="A1244" s="62" t="s">
        <v>109</v>
      </c>
      <c r="C1244" s="62" t="s">
        <v>15357</v>
      </c>
      <c r="F1244" s="62" t="s">
        <v>1100</v>
      </c>
      <c r="G1244" s="62" t="s">
        <v>54509</v>
      </c>
      <c r="J1244" s="62" t="s">
        <v>15358</v>
      </c>
      <c r="K1244" s="62" t="s">
        <v>54538</v>
      </c>
      <c r="L1244" s="62" t="s">
        <v>15359</v>
      </c>
      <c r="M1244" s="62" t="s">
        <v>15360</v>
      </c>
      <c r="N1244" s="62" t="s">
        <v>15361</v>
      </c>
      <c r="O1244" s="62" t="s">
        <v>15362</v>
      </c>
      <c r="P1244" s="62" t="s">
        <v>54567</v>
      </c>
      <c r="Q1244" s="62" t="s">
        <v>15363</v>
      </c>
      <c r="R1244" s="62" t="s">
        <v>15364</v>
      </c>
      <c r="S1244" s="62" t="s">
        <v>15365</v>
      </c>
      <c r="U1244" s="62" t="s">
        <v>15366</v>
      </c>
      <c r="V1244" s="62" t="s">
        <v>54596</v>
      </c>
      <c r="W1244" s="62" t="s">
        <v>15367</v>
      </c>
      <c r="X1244" s="62" t="s">
        <v>15368</v>
      </c>
      <c r="Y1244" s="62" t="s">
        <v>15369</v>
      </c>
      <c r="Z1244" s="62" t="s">
        <v>15370</v>
      </c>
      <c r="AA1244" s="62" t="s">
        <v>54625</v>
      </c>
      <c r="AB1244" s="62" t="s">
        <v>15371</v>
      </c>
      <c r="AC1244" s="62" t="s">
        <v>15372</v>
      </c>
      <c r="AD1244" s="62" t="s">
        <v>15373</v>
      </c>
    </row>
    <row r="1245" spans="1:30" x14ac:dyDescent="0.25">
      <c r="A1245" s="62" t="s">
        <v>109</v>
      </c>
      <c r="C1245" s="62" t="s">
        <v>15374</v>
      </c>
      <c r="F1245" s="62" t="s">
        <v>10613</v>
      </c>
      <c r="G1245" s="62" t="s">
        <v>54510</v>
      </c>
      <c r="J1245" s="62" t="s">
        <v>15375</v>
      </c>
      <c r="K1245" s="62" t="s">
        <v>54539</v>
      </c>
      <c r="L1245" s="62" t="s">
        <v>15376</v>
      </c>
      <c r="M1245" s="62" t="s">
        <v>15377</v>
      </c>
      <c r="N1245" s="62" t="s">
        <v>15378</v>
      </c>
      <c r="O1245" s="62" t="s">
        <v>15379</v>
      </c>
      <c r="P1245" s="62" t="s">
        <v>54568</v>
      </c>
      <c r="Q1245" s="62" t="s">
        <v>15380</v>
      </c>
      <c r="R1245" s="62" t="s">
        <v>15381</v>
      </c>
      <c r="S1245" s="62" t="s">
        <v>15382</v>
      </c>
      <c r="U1245" s="62" t="s">
        <v>15383</v>
      </c>
      <c r="V1245" s="62" t="s">
        <v>54597</v>
      </c>
      <c r="W1245" s="62" t="s">
        <v>15384</v>
      </c>
      <c r="X1245" s="62" t="s">
        <v>15385</v>
      </c>
      <c r="Y1245" s="62" t="s">
        <v>15386</v>
      </c>
      <c r="Z1245" s="62" t="s">
        <v>15387</v>
      </c>
      <c r="AA1245" s="62" t="s">
        <v>54626</v>
      </c>
      <c r="AB1245" s="62" t="s">
        <v>15388</v>
      </c>
      <c r="AC1245" s="62" t="s">
        <v>15389</v>
      </c>
      <c r="AD1245" s="62" t="s">
        <v>15390</v>
      </c>
    </row>
    <row r="1246" spans="1:30" x14ac:dyDescent="0.25">
      <c r="A1246" s="62" t="s">
        <v>109</v>
      </c>
      <c r="C1246" s="62" t="s">
        <v>15391</v>
      </c>
      <c r="F1246" s="62" t="s">
        <v>10631</v>
      </c>
      <c r="G1246" s="62" t="s">
        <v>54511</v>
      </c>
      <c r="J1246" s="62" t="s">
        <v>15392</v>
      </c>
      <c r="K1246" s="62" t="s">
        <v>54540</v>
      </c>
      <c r="L1246" s="62" t="s">
        <v>15393</v>
      </c>
      <c r="M1246" s="62" t="s">
        <v>15394</v>
      </c>
      <c r="N1246" s="62" t="s">
        <v>15395</v>
      </c>
      <c r="O1246" s="62" t="s">
        <v>15396</v>
      </c>
      <c r="P1246" s="62" t="s">
        <v>54569</v>
      </c>
      <c r="Q1246" s="62" t="s">
        <v>15397</v>
      </c>
      <c r="R1246" s="62" t="s">
        <v>15398</v>
      </c>
      <c r="S1246" s="62" t="s">
        <v>15399</v>
      </c>
      <c r="U1246" s="62" t="s">
        <v>15400</v>
      </c>
      <c r="V1246" s="62" t="s">
        <v>54598</v>
      </c>
      <c r="W1246" s="62" t="s">
        <v>15401</v>
      </c>
      <c r="X1246" s="62" t="s">
        <v>15402</v>
      </c>
      <c r="Y1246" s="62" t="s">
        <v>15403</v>
      </c>
      <c r="Z1246" s="62" t="s">
        <v>15404</v>
      </c>
      <c r="AA1246" s="62" t="s">
        <v>54627</v>
      </c>
      <c r="AB1246" s="62" t="s">
        <v>15405</v>
      </c>
      <c r="AC1246" s="62" t="s">
        <v>15406</v>
      </c>
      <c r="AD1246" s="62" t="s">
        <v>15407</v>
      </c>
    </row>
    <row r="1247" spans="1:30" x14ac:dyDescent="0.25">
      <c r="A1247" s="62" t="s">
        <v>109</v>
      </c>
      <c r="C1247" s="62" t="s">
        <v>15408</v>
      </c>
      <c r="F1247" s="62" t="s">
        <v>10667</v>
      </c>
      <c r="G1247" s="62" t="s">
        <v>54512</v>
      </c>
      <c r="J1247" s="62" t="s">
        <v>15409</v>
      </c>
      <c r="K1247" s="62" t="s">
        <v>54541</v>
      </c>
      <c r="L1247" s="62" t="s">
        <v>15410</v>
      </c>
      <c r="M1247" s="62" t="s">
        <v>15411</v>
      </c>
      <c r="N1247" s="62" t="s">
        <v>15412</v>
      </c>
      <c r="O1247" s="62" t="s">
        <v>15413</v>
      </c>
      <c r="P1247" s="62" t="s">
        <v>54570</v>
      </c>
      <c r="Q1247" s="62" t="s">
        <v>15414</v>
      </c>
      <c r="R1247" s="62" t="s">
        <v>15415</v>
      </c>
      <c r="S1247" s="62" t="s">
        <v>15416</v>
      </c>
      <c r="U1247" s="62" t="s">
        <v>15417</v>
      </c>
      <c r="V1247" s="62" t="s">
        <v>54599</v>
      </c>
      <c r="W1247" s="62" t="s">
        <v>15418</v>
      </c>
      <c r="X1247" s="62" t="s">
        <v>15419</v>
      </c>
      <c r="Y1247" s="62" t="s">
        <v>15420</v>
      </c>
      <c r="Z1247" s="62" t="s">
        <v>15421</v>
      </c>
      <c r="AA1247" s="62" t="s">
        <v>54628</v>
      </c>
      <c r="AB1247" s="62" t="s">
        <v>15422</v>
      </c>
      <c r="AC1247" s="62" t="s">
        <v>15423</v>
      </c>
      <c r="AD1247" s="62" t="s">
        <v>15424</v>
      </c>
    </row>
    <row r="1248" spans="1:30" x14ac:dyDescent="0.25">
      <c r="A1248" s="62" t="s">
        <v>109</v>
      </c>
      <c r="C1248" s="62" t="s">
        <v>15425</v>
      </c>
      <c r="F1248" s="62" t="s">
        <v>10703</v>
      </c>
      <c r="G1248" s="62" t="s">
        <v>54513</v>
      </c>
      <c r="J1248" s="62" t="s">
        <v>15426</v>
      </c>
      <c r="K1248" s="62" t="s">
        <v>54542</v>
      </c>
      <c r="L1248" s="62" t="s">
        <v>15427</v>
      </c>
      <c r="M1248" s="62" t="s">
        <v>15428</v>
      </c>
      <c r="N1248" s="62" t="s">
        <v>15429</v>
      </c>
      <c r="O1248" s="62" t="s">
        <v>15430</v>
      </c>
      <c r="P1248" s="62" t="s">
        <v>54571</v>
      </c>
      <c r="Q1248" s="62" t="s">
        <v>15431</v>
      </c>
      <c r="R1248" s="62" t="s">
        <v>15432</v>
      </c>
      <c r="S1248" s="62" t="s">
        <v>15433</v>
      </c>
      <c r="U1248" s="62" t="s">
        <v>15434</v>
      </c>
      <c r="V1248" s="62" t="s">
        <v>54600</v>
      </c>
      <c r="W1248" s="62" t="s">
        <v>15435</v>
      </c>
      <c r="X1248" s="62" t="s">
        <v>15436</v>
      </c>
      <c r="Y1248" s="62" t="s">
        <v>15437</v>
      </c>
      <c r="Z1248" s="62" t="s">
        <v>15438</v>
      </c>
      <c r="AA1248" s="62" t="s">
        <v>54629</v>
      </c>
      <c r="AB1248" s="62" t="s">
        <v>15439</v>
      </c>
      <c r="AC1248" s="62" t="s">
        <v>15440</v>
      </c>
      <c r="AD1248" s="62" t="s">
        <v>15441</v>
      </c>
    </row>
    <row r="1249" spans="1:30" x14ac:dyDescent="0.25">
      <c r="A1249" s="62" t="s">
        <v>109</v>
      </c>
      <c r="C1249" s="62" t="s">
        <v>42804</v>
      </c>
      <c r="F1249" s="62" t="s">
        <v>10721</v>
      </c>
      <c r="G1249" s="62" t="s">
        <v>54514</v>
      </c>
      <c r="J1249" s="62" t="s">
        <v>42805</v>
      </c>
      <c r="K1249" s="62" t="s">
        <v>54543</v>
      </c>
      <c r="L1249" s="62" t="s">
        <v>42806</v>
      </c>
      <c r="M1249" s="62" t="s">
        <v>42807</v>
      </c>
      <c r="N1249" s="62" t="s">
        <v>42808</v>
      </c>
      <c r="O1249" s="62" t="s">
        <v>42809</v>
      </c>
      <c r="P1249" s="62" t="s">
        <v>54572</v>
      </c>
      <c r="Q1249" s="62" t="s">
        <v>42810</v>
      </c>
      <c r="R1249" s="62" t="s">
        <v>42811</v>
      </c>
      <c r="S1249" s="62" t="s">
        <v>42812</v>
      </c>
      <c r="U1249" s="62" t="s">
        <v>42813</v>
      </c>
      <c r="V1249" s="62" t="s">
        <v>54601</v>
      </c>
      <c r="W1249" s="62" t="s">
        <v>42814</v>
      </c>
      <c r="X1249" s="62" t="s">
        <v>42815</v>
      </c>
      <c r="Y1249" s="62" t="s">
        <v>42816</v>
      </c>
      <c r="Z1249" s="62" t="s">
        <v>42817</v>
      </c>
      <c r="AA1249" s="62" t="s">
        <v>54630</v>
      </c>
      <c r="AB1249" s="62" t="s">
        <v>42818</v>
      </c>
      <c r="AC1249" s="62" t="s">
        <v>42819</v>
      </c>
      <c r="AD1249" s="62" t="s">
        <v>42820</v>
      </c>
    </row>
    <row r="1250" spans="1:30" x14ac:dyDescent="0.25">
      <c r="A1250" s="62" t="s">
        <v>109</v>
      </c>
      <c r="C1250" s="62" t="s">
        <v>15442</v>
      </c>
      <c r="F1250" s="62" t="s">
        <v>10739</v>
      </c>
      <c r="G1250" s="62" t="s">
        <v>54515</v>
      </c>
      <c r="J1250" s="62" t="s">
        <v>42821</v>
      </c>
      <c r="K1250" s="62" t="s">
        <v>54544</v>
      </c>
      <c r="L1250" s="62" t="s">
        <v>42822</v>
      </c>
      <c r="M1250" s="62" t="s">
        <v>15443</v>
      </c>
      <c r="N1250" s="62" t="s">
        <v>15444</v>
      </c>
      <c r="O1250" s="62" t="s">
        <v>42823</v>
      </c>
      <c r="P1250" s="62" t="s">
        <v>54573</v>
      </c>
      <c r="Q1250" s="62" t="s">
        <v>42824</v>
      </c>
      <c r="R1250" s="62" t="s">
        <v>15445</v>
      </c>
      <c r="S1250" s="62" t="s">
        <v>15446</v>
      </c>
      <c r="U1250" s="62" t="s">
        <v>42825</v>
      </c>
      <c r="V1250" s="62" t="s">
        <v>54602</v>
      </c>
      <c r="W1250" s="62" t="s">
        <v>42826</v>
      </c>
      <c r="X1250" s="62" t="s">
        <v>15447</v>
      </c>
      <c r="Y1250" s="62" t="s">
        <v>15448</v>
      </c>
      <c r="Z1250" s="62" t="s">
        <v>42827</v>
      </c>
      <c r="AA1250" s="62" t="s">
        <v>54631</v>
      </c>
      <c r="AB1250" s="62" t="s">
        <v>42828</v>
      </c>
      <c r="AC1250" s="62" t="s">
        <v>15449</v>
      </c>
      <c r="AD1250" s="62" t="s">
        <v>15450</v>
      </c>
    </row>
    <row r="1251" spans="1:30" x14ac:dyDescent="0.25">
      <c r="A1251" s="62" t="s">
        <v>109</v>
      </c>
      <c r="C1251" s="62" t="s">
        <v>42829</v>
      </c>
      <c r="F1251" s="62" t="s">
        <v>13184</v>
      </c>
      <c r="G1251" s="62" t="s">
        <v>54516</v>
      </c>
      <c r="J1251" s="62" t="s">
        <v>42830</v>
      </c>
      <c r="K1251" s="62" t="s">
        <v>54545</v>
      </c>
      <c r="L1251" s="62" t="s">
        <v>42831</v>
      </c>
      <c r="M1251" s="62" t="s">
        <v>42832</v>
      </c>
      <c r="N1251" s="62" t="s">
        <v>42833</v>
      </c>
      <c r="O1251" s="62" t="s">
        <v>42834</v>
      </c>
      <c r="P1251" s="62" t="s">
        <v>54574</v>
      </c>
      <c r="Q1251" s="62" t="s">
        <v>42835</v>
      </c>
      <c r="R1251" s="62" t="s">
        <v>42836</v>
      </c>
      <c r="S1251" s="62" t="s">
        <v>42837</v>
      </c>
      <c r="U1251" s="62" t="s">
        <v>42838</v>
      </c>
      <c r="V1251" s="62" t="s">
        <v>54603</v>
      </c>
      <c r="W1251" s="62" t="s">
        <v>42839</v>
      </c>
      <c r="X1251" s="62" t="s">
        <v>42840</v>
      </c>
      <c r="Y1251" s="62" t="s">
        <v>42841</v>
      </c>
      <c r="Z1251" s="62" t="s">
        <v>42842</v>
      </c>
      <c r="AA1251" s="62" t="s">
        <v>54632</v>
      </c>
      <c r="AB1251" s="62" t="s">
        <v>42843</v>
      </c>
      <c r="AC1251" s="62" t="s">
        <v>42844</v>
      </c>
      <c r="AD1251" s="62" t="s">
        <v>42845</v>
      </c>
    </row>
    <row r="1252" spans="1:30" x14ac:dyDescent="0.25">
      <c r="A1252" s="62" t="s">
        <v>109</v>
      </c>
      <c r="C1252" s="62" t="s">
        <v>42846</v>
      </c>
      <c r="F1252" s="62" t="s">
        <v>10793</v>
      </c>
      <c r="G1252" s="62" t="s">
        <v>54517</v>
      </c>
      <c r="J1252" s="62" t="s">
        <v>42847</v>
      </c>
      <c r="K1252" s="62" t="s">
        <v>54546</v>
      </c>
      <c r="L1252" s="62" t="s">
        <v>42848</v>
      </c>
      <c r="M1252" s="62" t="s">
        <v>42849</v>
      </c>
      <c r="N1252" s="62" t="s">
        <v>42850</v>
      </c>
      <c r="O1252" s="62" t="s">
        <v>42851</v>
      </c>
      <c r="P1252" s="62" t="s">
        <v>54575</v>
      </c>
      <c r="Q1252" s="62" t="s">
        <v>42852</v>
      </c>
      <c r="R1252" s="62" t="s">
        <v>42853</v>
      </c>
      <c r="S1252" s="62" t="s">
        <v>42854</v>
      </c>
      <c r="U1252" s="62" t="s">
        <v>42855</v>
      </c>
      <c r="V1252" s="62" t="s">
        <v>54604</v>
      </c>
      <c r="W1252" s="62" t="s">
        <v>42856</v>
      </c>
      <c r="X1252" s="62" t="s">
        <v>42857</v>
      </c>
      <c r="Y1252" s="62" t="s">
        <v>42858</v>
      </c>
      <c r="Z1252" s="62" t="s">
        <v>42859</v>
      </c>
      <c r="AA1252" s="62" t="s">
        <v>54633</v>
      </c>
      <c r="AB1252" s="62" t="s">
        <v>42860</v>
      </c>
      <c r="AC1252" s="62" t="s">
        <v>42861</v>
      </c>
      <c r="AD1252" s="62" t="s">
        <v>42862</v>
      </c>
    </row>
    <row r="1253" spans="1:30" x14ac:dyDescent="0.25">
      <c r="A1253" s="62" t="s">
        <v>109</v>
      </c>
      <c r="C1253" s="62" t="s">
        <v>15451</v>
      </c>
      <c r="F1253" s="62" t="s">
        <v>13202</v>
      </c>
      <c r="G1253" s="62" t="s">
        <v>54518</v>
      </c>
      <c r="J1253" s="62" t="s">
        <v>42863</v>
      </c>
      <c r="K1253" s="62" t="s">
        <v>54547</v>
      </c>
      <c r="L1253" s="62" t="s">
        <v>42864</v>
      </c>
      <c r="M1253" s="62" t="s">
        <v>42865</v>
      </c>
      <c r="N1253" s="62" t="s">
        <v>42866</v>
      </c>
      <c r="O1253" s="62" t="s">
        <v>42867</v>
      </c>
      <c r="P1253" s="62" t="s">
        <v>54576</v>
      </c>
      <c r="Q1253" s="62" t="s">
        <v>42868</v>
      </c>
      <c r="R1253" s="62" t="s">
        <v>42869</v>
      </c>
      <c r="S1253" s="62" t="s">
        <v>42870</v>
      </c>
      <c r="U1253" s="62" t="s">
        <v>42871</v>
      </c>
      <c r="V1253" s="62" t="s">
        <v>54605</v>
      </c>
      <c r="W1253" s="62" t="s">
        <v>42872</v>
      </c>
      <c r="X1253" s="62" t="s">
        <v>42873</v>
      </c>
      <c r="Y1253" s="62" t="s">
        <v>42874</v>
      </c>
      <c r="Z1253" s="62" t="s">
        <v>42875</v>
      </c>
      <c r="AA1253" s="62" t="s">
        <v>54634</v>
      </c>
      <c r="AB1253" s="62" t="s">
        <v>42876</v>
      </c>
      <c r="AC1253" s="62" t="s">
        <v>42877</v>
      </c>
      <c r="AD1253" s="62" t="s">
        <v>42878</v>
      </c>
    </row>
    <row r="1254" spans="1:30" x14ac:dyDescent="0.25">
      <c r="A1254" s="62" t="s">
        <v>109</v>
      </c>
      <c r="C1254" s="62" t="s">
        <v>15452</v>
      </c>
      <c r="F1254" s="62" t="s">
        <v>13236</v>
      </c>
      <c r="G1254" s="62" t="s">
        <v>54519</v>
      </c>
      <c r="J1254" s="62" t="s">
        <v>15453</v>
      </c>
      <c r="K1254" s="62" t="s">
        <v>54548</v>
      </c>
      <c r="L1254" s="62" t="s">
        <v>15454</v>
      </c>
      <c r="M1254" s="62" t="s">
        <v>15455</v>
      </c>
      <c r="N1254" s="62" t="s">
        <v>15456</v>
      </c>
      <c r="O1254" s="62" t="s">
        <v>15457</v>
      </c>
      <c r="P1254" s="62" t="s">
        <v>54577</v>
      </c>
      <c r="Q1254" s="62" t="s">
        <v>15458</v>
      </c>
      <c r="R1254" s="62" t="s">
        <v>15459</v>
      </c>
      <c r="S1254" s="62" t="s">
        <v>15460</v>
      </c>
      <c r="U1254" s="62" t="s">
        <v>15461</v>
      </c>
      <c r="V1254" s="62" t="s">
        <v>54606</v>
      </c>
      <c r="W1254" s="62" t="s">
        <v>15462</v>
      </c>
      <c r="X1254" s="62" t="s">
        <v>15463</v>
      </c>
      <c r="Y1254" s="62" t="s">
        <v>15464</v>
      </c>
      <c r="Z1254" s="62" t="s">
        <v>15465</v>
      </c>
      <c r="AA1254" s="62" t="s">
        <v>54635</v>
      </c>
      <c r="AB1254" s="62" t="s">
        <v>15466</v>
      </c>
      <c r="AC1254" s="62" t="s">
        <v>15467</v>
      </c>
      <c r="AD1254" s="62" t="s">
        <v>15468</v>
      </c>
    </row>
    <row r="1255" spans="1:30" x14ac:dyDescent="0.25">
      <c r="A1255" s="62" t="s">
        <v>109</v>
      </c>
      <c r="C1255" s="62" t="s">
        <v>15469</v>
      </c>
      <c r="F1255" s="62" t="s">
        <v>13238</v>
      </c>
      <c r="G1255" s="62" t="s">
        <v>54520</v>
      </c>
      <c r="J1255" s="62" t="s">
        <v>15470</v>
      </c>
      <c r="K1255" s="62" t="s">
        <v>54549</v>
      </c>
      <c r="L1255" s="62" t="s">
        <v>15471</v>
      </c>
      <c r="M1255" s="62" t="s">
        <v>15472</v>
      </c>
      <c r="N1255" s="62" t="s">
        <v>15473</v>
      </c>
      <c r="O1255" s="62" t="s">
        <v>15474</v>
      </c>
      <c r="P1255" s="62" t="s">
        <v>54578</v>
      </c>
      <c r="Q1255" s="62" t="s">
        <v>15475</v>
      </c>
      <c r="R1255" s="62" t="s">
        <v>15476</v>
      </c>
      <c r="S1255" s="62" t="s">
        <v>15477</v>
      </c>
      <c r="U1255" s="62" t="s">
        <v>15478</v>
      </c>
      <c r="V1255" s="62" t="s">
        <v>54607</v>
      </c>
      <c r="W1255" s="62" t="s">
        <v>15479</v>
      </c>
      <c r="X1255" s="62" t="s">
        <v>15480</v>
      </c>
      <c r="Y1255" s="62" t="s">
        <v>15481</v>
      </c>
      <c r="Z1255" s="62" t="s">
        <v>15482</v>
      </c>
      <c r="AA1255" s="62" t="s">
        <v>54636</v>
      </c>
      <c r="AB1255" s="62" t="s">
        <v>15483</v>
      </c>
      <c r="AC1255" s="62" t="s">
        <v>15484</v>
      </c>
      <c r="AD1255" s="62" t="s">
        <v>15485</v>
      </c>
    </row>
    <row r="1256" spans="1:30" x14ac:dyDescent="0.25">
      <c r="A1256" s="62" t="s">
        <v>109</v>
      </c>
      <c r="C1256" s="62" t="s">
        <v>15486</v>
      </c>
      <c r="F1256" s="62" t="s">
        <v>1152</v>
      </c>
      <c r="G1256" s="62" t="s">
        <v>54521</v>
      </c>
      <c r="J1256" s="62" t="s">
        <v>15487</v>
      </c>
      <c r="K1256" s="62" t="s">
        <v>54550</v>
      </c>
      <c r="L1256" s="62" t="s">
        <v>15488</v>
      </c>
      <c r="M1256" s="62" t="s">
        <v>15489</v>
      </c>
      <c r="N1256" s="62" t="s">
        <v>15490</v>
      </c>
      <c r="O1256" s="62" t="s">
        <v>15491</v>
      </c>
      <c r="P1256" s="62" t="s">
        <v>54579</v>
      </c>
      <c r="Q1256" s="62" t="s">
        <v>15492</v>
      </c>
      <c r="R1256" s="62" t="s">
        <v>15493</v>
      </c>
      <c r="S1256" s="62" t="s">
        <v>15494</v>
      </c>
      <c r="U1256" s="62" t="s">
        <v>15495</v>
      </c>
      <c r="V1256" s="62" t="s">
        <v>54608</v>
      </c>
      <c r="W1256" s="62" t="s">
        <v>15496</v>
      </c>
      <c r="X1256" s="62" t="s">
        <v>15497</v>
      </c>
      <c r="Y1256" s="62" t="s">
        <v>15498</v>
      </c>
      <c r="Z1256" s="62" t="s">
        <v>15499</v>
      </c>
      <c r="AA1256" s="62" t="s">
        <v>54637</v>
      </c>
      <c r="AB1256" s="62" t="s">
        <v>15500</v>
      </c>
      <c r="AC1256" s="62" t="s">
        <v>15501</v>
      </c>
      <c r="AD1256" s="62" t="s">
        <v>15502</v>
      </c>
    </row>
    <row r="1257" spans="1:30" x14ac:dyDescent="0.25">
      <c r="A1257" s="62" t="s">
        <v>109</v>
      </c>
      <c r="C1257" s="62" t="s">
        <v>15503</v>
      </c>
      <c r="F1257" s="62" t="s">
        <v>1249</v>
      </c>
      <c r="G1257" s="62" t="s">
        <v>54522</v>
      </c>
      <c r="J1257" s="62" t="s">
        <v>15504</v>
      </c>
      <c r="K1257" s="62" t="s">
        <v>54551</v>
      </c>
      <c r="L1257" s="62" t="s">
        <v>15505</v>
      </c>
      <c r="M1257" s="62" t="s">
        <v>15506</v>
      </c>
      <c r="N1257" s="62" t="s">
        <v>15507</v>
      </c>
      <c r="O1257" s="62" t="s">
        <v>15508</v>
      </c>
      <c r="P1257" s="62" t="s">
        <v>54580</v>
      </c>
      <c r="Q1257" s="62" t="s">
        <v>15509</v>
      </c>
      <c r="R1257" s="62" t="s">
        <v>15510</v>
      </c>
      <c r="S1257" s="62" t="s">
        <v>15511</v>
      </c>
      <c r="U1257" s="62" t="s">
        <v>15512</v>
      </c>
      <c r="V1257" s="62" t="s">
        <v>54609</v>
      </c>
      <c r="W1257" s="62" t="s">
        <v>15513</v>
      </c>
      <c r="X1257" s="62" t="s">
        <v>15514</v>
      </c>
      <c r="Y1257" s="62" t="s">
        <v>15515</v>
      </c>
      <c r="Z1257" s="62" t="s">
        <v>15516</v>
      </c>
      <c r="AA1257" s="62" t="s">
        <v>54638</v>
      </c>
      <c r="AB1257" s="62" t="s">
        <v>15517</v>
      </c>
      <c r="AC1257" s="62" t="s">
        <v>15518</v>
      </c>
      <c r="AD1257" s="62" t="s">
        <v>15519</v>
      </c>
    </row>
    <row r="1258" spans="1:30" x14ac:dyDescent="0.25">
      <c r="A1258" s="62" t="s">
        <v>109</v>
      </c>
      <c r="C1258" s="62" t="s">
        <v>15520</v>
      </c>
      <c r="F1258" s="62" t="s">
        <v>1289</v>
      </c>
      <c r="G1258" s="62" t="s">
        <v>54523</v>
      </c>
      <c r="J1258" s="62" t="s">
        <v>15521</v>
      </c>
      <c r="K1258" s="62" t="s">
        <v>54552</v>
      </c>
      <c r="L1258" s="62" t="s">
        <v>15522</v>
      </c>
      <c r="M1258" s="62" t="s">
        <v>15523</v>
      </c>
      <c r="N1258" s="62" t="s">
        <v>15524</v>
      </c>
      <c r="O1258" s="62" t="s">
        <v>15525</v>
      </c>
      <c r="P1258" s="62" t="s">
        <v>54581</v>
      </c>
      <c r="Q1258" s="62" t="s">
        <v>15526</v>
      </c>
      <c r="R1258" s="62" t="s">
        <v>15527</v>
      </c>
      <c r="S1258" s="62" t="s">
        <v>15528</v>
      </c>
      <c r="U1258" s="62" t="s">
        <v>15529</v>
      </c>
      <c r="V1258" s="62" t="s">
        <v>54610</v>
      </c>
      <c r="W1258" s="62" t="s">
        <v>15530</v>
      </c>
      <c r="X1258" s="62" t="s">
        <v>15531</v>
      </c>
      <c r="Y1258" s="62" t="s">
        <v>15532</v>
      </c>
      <c r="Z1258" s="62" t="s">
        <v>15533</v>
      </c>
      <c r="AA1258" s="62" t="s">
        <v>54639</v>
      </c>
      <c r="AB1258" s="62" t="s">
        <v>15534</v>
      </c>
      <c r="AC1258" s="62" t="s">
        <v>15535</v>
      </c>
      <c r="AD1258" s="62" t="s">
        <v>15536</v>
      </c>
    </row>
    <row r="1259" spans="1:30" x14ac:dyDescent="0.25">
      <c r="A1259" s="62" t="s">
        <v>109</v>
      </c>
      <c r="C1259" s="62" t="s">
        <v>15537</v>
      </c>
      <c r="F1259" s="62" t="s">
        <v>13249</v>
      </c>
      <c r="G1259" s="62" t="s">
        <v>54524</v>
      </c>
      <c r="J1259" s="62" t="s">
        <v>15538</v>
      </c>
      <c r="K1259" s="62" t="s">
        <v>54553</v>
      </c>
      <c r="L1259" s="62" t="s">
        <v>15539</v>
      </c>
      <c r="M1259" s="62" t="s">
        <v>15540</v>
      </c>
      <c r="N1259" s="62" t="s">
        <v>15541</v>
      </c>
      <c r="O1259" s="62" t="s">
        <v>15542</v>
      </c>
      <c r="P1259" s="62" t="s">
        <v>54582</v>
      </c>
      <c r="Q1259" s="62" t="s">
        <v>15543</v>
      </c>
      <c r="R1259" s="62" t="s">
        <v>15544</v>
      </c>
      <c r="S1259" s="62" t="s">
        <v>15545</v>
      </c>
      <c r="U1259" s="62" t="s">
        <v>15546</v>
      </c>
      <c r="V1259" s="62" t="s">
        <v>54611</v>
      </c>
      <c r="W1259" s="62" t="s">
        <v>15547</v>
      </c>
      <c r="X1259" s="62" t="s">
        <v>15548</v>
      </c>
      <c r="Y1259" s="62" t="s">
        <v>15549</v>
      </c>
      <c r="Z1259" s="62" t="s">
        <v>15550</v>
      </c>
      <c r="AA1259" s="62" t="s">
        <v>54640</v>
      </c>
      <c r="AB1259" s="62" t="s">
        <v>15551</v>
      </c>
      <c r="AC1259" s="62" t="s">
        <v>15552</v>
      </c>
      <c r="AD1259" s="62" t="s">
        <v>15553</v>
      </c>
    </row>
    <row r="1260" spans="1:30" x14ac:dyDescent="0.25">
      <c r="A1260" s="62" t="s">
        <v>109</v>
      </c>
      <c r="C1260" s="62" t="s">
        <v>15554</v>
      </c>
      <c r="F1260" s="62" t="s">
        <v>10929</v>
      </c>
      <c r="G1260" s="62" t="s">
        <v>54525</v>
      </c>
      <c r="J1260" s="62" t="s">
        <v>15555</v>
      </c>
      <c r="K1260" s="62" t="s">
        <v>54554</v>
      </c>
      <c r="L1260" s="62" t="s">
        <v>15556</v>
      </c>
      <c r="M1260" s="62" t="s">
        <v>15557</v>
      </c>
      <c r="N1260" s="62" t="s">
        <v>15558</v>
      </c>
      <c r="O1260" s="62" t="s">
        <v>15559</v>
      </c>
      <c r="P1260" s="62" t="s">
        <v>54583</v>
      </c>
      <c r="Q1260" s="62" t="s">
        <v>15560</v>
      </c>
      <c r="R1260" s="62" t="s">
        <v>15561</v>
      </c>
      <c r="S1260" s="62" t="s">
        <v>15562</v>
      </c>
      <c r="U1260" s="62" t="s">
        <v>15563</v>
      </c>
      <c r="V1260" s="62" t="s">
        <v>54612</v>
      </c>
      <c r="W1260" s="62" t="s">
        <v>15564</v>
      </c>
      <c r="X1260" s="62" t="s">
        <v>15565</v>
      </c>
      <c r="Y1260" s="62" t="s">
        <v>15566</v>
      </c>
      <c r="Z1260" s="62" t="s">
        <v>15567</v>
      </c>
      <c r="AA1260" s="62" t="s">
        <v>54641</v>
      </c>
      <c r="AB1260" s="62" t="s">
        <v>15568</v>
      </c>
      <c r="AC1260" s="62" t="s">
        <v>15569</v>
      </c>
      <c r="AD1260" s="62" t="s">
        <v>15570</v>
      </c>
    </row>
    <row r="1261" spans="1:30" x14ac:dyDescent="0.25">
      <c r="A1261" s="62" t="s">
        <v>109</v>
      </c>
      <c r="C1261" s="62" t="s">
        <v>15244</v>
      </c>
    </row>
    <row r="1262" spans="1:30" x14ac:dyDescent="0.25">
      <c r="A1262" s="62" t="s">
        <v>109</v>
      </c>
      <c r="C1262" s="62" t="s">
        <v>15571</v>
      </c>
      <c r="G1262" s="62" t="s">
        <v>42879</v>
      </c>
      <c r="J1262" s="62" t="s">
        <v>42880</v>
      </c>
      <c r="K1262" s="62" t="s">
        <v>42881</v>
      </c>
      <c r="L1262" s="62" t="s">
        <v>42882</v>
      </c>
      <c r="M1262" s="62" t="s">
        <v>15572</v>
      </c>
      <c r="N1262" s="62" t="s">
        <v>15573</v>
      </c>
      <c r="O1262" s="62" t="s">
        <v>42883</v>
      </c>
      <c r="P1262" s="62" t="s">
        <v>42884</v>
      </c>
      <c r="Q1262" s="62" t="s">
        <v>42885</v>
      </c>
      <c r="R1262" s="62" t="s">
        <v>15574</v>
      </c>
      <c r="S1262" s="62" t="s">
        <v>15575</v>
      </c>
      <c r="U1262" s="62" t="s">
        <v>42886</v>
      </c>
      <c r="V1262" s="62" t="s">
        <v>42887</v>
      </c>
      <c r="W1262" s="62" t="s">
        <v>42888</v>
      </c>
      <c r="X1262" s="62" t="s">
        <v>15576</v>
      </c>
      <c r="Y1262" s="62" t="s">
        <v>15577</v>
      </c>
      <c r="Z1262" s="62" t="s">
        <v>42889</v>
      </c>
      <c r="AA1262" s="62" t="s">
        <v>42890</v>
      </c>
      <c r="AB1262" s="62" t="s">
        <v>42891</v>
      </c>
      <c r="AC1262" s="62" t="s">
        <v>15578</v>
      </c>
      <c r="AD1262" s="62" t="s">
        <v>15579</v>
      </c>
    </row>
    <row r="1263" spans="1:30" x14ac:dyDescent="0.25">
      <c r="A1263" s="62" t="s">
        <v>109</v>
      </c>
    </row>
    <row r="1264" spans="1:30" x14ac:dyDescent="0.25">
      <c r="A1264" s="62" t="s">
        <v>109</v>
      </c>
      <c r="C1264" s="62" t="s">
        <v>42892</v>
      </c>
      <c r="E1264" s="62" t="s">
        <v>19787</v>
      </c>
      <c r="G1264" s="62" t="s">
        <v>42893</v>
      </c>
    </row>
    <row r="1265" spans="1:30" x14ac:dyDescent="0.25">
      <c r="A1265" s="62" t="s">
        <v>109</v>
      </c>
      <c r="C1265" s="62" t="s">
        <v>15580</v>
      </c>
    </row>
    <row r="1266" spans="1:30" x14ac:dyDescent="0.25">
      <c r="A1266" s="62" t="s">
        <v>109</v>
      </c>
      <c r="C1266" s="62" t="s">
        <v>15581</v>
      </c>
      <c r="F1266" s="62" t="s">
        <v>42894</v>
      </c>
      <c r="G1266" s="62" t="s">
        <v>54352</v>
      </c>
      <c r="J1266" s="62" t="s">
        <v>15582</v>
      </c>
      <c r="K1266" s="62" t="s">
        <v>54381</v>
      </c>
      <c r="L1266" s="62" t="s">
        <v>15583</v>
      </c>
      <c r="M1266" s="62" t="s">
        <v>15584</v>
      </c>
      <c r="N1266" s="62" t="s">
        <v>15585</v>
      </c>
      <c r="O1266" s="62" t="s">
        <v>15586</v>
      </c>
      <c r="P1266" s="62" t="s">
        <v>54410</v>
      </c>
      <c r="Q1266" s="62" t="s">
        <v>15587</v>
      </c>
      <c r="R1266" s="62" t="s">
        <v>15588</v>
      </c>
      <c r="S1266" s="62" t="s">
        <v>15589</v>
      </c>
      <c r="U1266" s="62" t="s">
        <v>15590</v>
      </c>
      <c r="V1266" s="62" t="s">
        <v>54439</v>
      </c>
      <c r="W1266" s="62" t="s">
        <v>15591</v>
      </c>
      <c r="X1266" s="62" t="s">
        <v>15592</v>
      </c>
      <c r="Y1266" s="62" t="s">
        <v>15593</v>
      </c>
      <c r="Z1266" s="62" t="s">
        <v>15594</v>
      </c>
      <c r="AA1266" s="62" t="s">
        <v>54468</v>
      </c>
      <c r="AB1266" s="62" t="s">
        <v>15595</v>
      </c>
      <c r="AC1266" s="62" t="s">
        <v>15596</v>
      </c>
      <c r="AD1266" s="62" t="s">
        <v>15597</v>
      </c>
    </row>
    <row r="1267" spans="1:30" x14ac:dyDescent="0.25">
      <c r="A1267" s="62" t="s">
        <v>109</v>
      </c>
      <c r="C1267" s="62" t="s">
        <v>15598</v>
      </c>
      <c r="F1267" s="62" t="s">
        <v>872</v>
      </c>
      <c r="G1267" s="62" t="s">
        <v>54353</v>
      </c>
      <c r="J1267" s="62" t="s">
        <v>15599</v>
      </c>
      <c r="K1267" s="62" t="s">
        <v>54382</v>
      </c>
      <c r="L1267" s="62" t="s">
        <v>15600</v>
      </c>
      <c r="M1267" s="62" t="s">
        <v>15601</v>
      </c>
      <c r="N1267" s="62" t="s">
        <v>15602</v>
      </c>
      <c r="O1267" s="62" t="s">
        <v>15603</v>
      </c>
      <c r="P1267" s="62" t="s">
        <v>54411</v>
      </c>
      <c r="Q1267" s="62" t="s">
        <v>15604</v>
      </c>
      <c r="R1267" s="62" t="s">
        <v>15605</v>
      </c>
      <c r="S1267" s="62" t="s">
        <v>15606</v>
      </c>
      <c r="U1267" s="62" t="s">
        <v>15607</v>
      </c>
      <c r="V1267" s="62" t="s">
        <v>54440</v>
      </c>
      <c r="W1267" s="62" t="s">
        <v>15608</v>
      </c>
      <c r="X1267" s="62" t="s">
        <v>15609</v>
      </c>
      <c r="Y1267" s="62" t="s">
        <v>15610</v>
      </c>
      <c r="Z1267" s="62" t="s">
        <v>15611</v>
      </c>
      <c r="AA1267" s="62" t="s">
        <v>54469</v>
      </c>
      <c r="AB1267" s="62" t="s">
        <v>15612</v>
      </c>
      <c r="AC1267" s="62" t="s">
        <v>15613</v>
      </c>
      <c r="AD1267" s="62" t="s">
        <v>15614</v>
      </c>
    </row>
    <row r="1268" spans="1:30" x14ac:dyDescent="0.25">
      <c r="A1268" s="62" t="s">
        <v>109</v>
      </c>
      <c r="C1268" s="62" t="s">
        <v>15615</v>
      </c>
      <c r="F1268" s="62" t="s">
        <v>193</v>
      </c>
      <c r="G1268" s="62" t="s">
        <v>54354</v>
      </c>
      <c r="J1268" s="62" t="s">
        <v>15616</v>
      </c>
      <c r="K1268" s="62" t="s">
        <v>54383</v>
      </c>
      <c r="L1268" s="62" t="s">
        <v>15617</v>
      </c>
      <c r="M1268" s="62" t="s">
        <v>15618</v>
      </c>
      <c r="N1268" s="62" t="s">
        <v>15619</v>
      </c>
      <c r="O1268" s="62" t="s">
        <v>15620</v>
      </c>
      <c r="P1268" s="62" t="s">
        <v>54412</v>
      </c>
      <c r="Q1268" s="62" t="s">
        <v>15621</v>
      </c>
      <c r="R1268" s="62" t="s">
        <v>15622</v>
      </c>
      <c r="S1268" s="62" t="s">
        <v>15623</v>
      </c>
      <c r="U1268" s="62" t="s">
        <v>15624</v>
      </c>
      <c r="V1268" s="62" t="s">
        <v>54441</v>
      </c>
      <c r="W1268" s="62" t="s">
        <v>15625</v>
      </c>
      <c r="X1268" s="62" t="s">
        <v>15626</v>
      </c>
      <c r="Y1268" s="62" t="s">
        <v>15627</v>
      </c>
      <c r="Z1268" s="62" t="s">
        <v>15628</v>
      </c>
      <c r="AA1268" s="62" t="s">
        <v>54470</v>
      </c>
      <c r="AB1268" s="62" t="s">
        <v>15629</v>
      </c>
      <c r="AC1268" s="62" t="s">
        <v>15630</v>
      </c>
      <c r="AD1268" s="62" t="s">
        <v>15631</v>
      </c>
    </row>
    <row r="1269" spans="1:30" x14ac:dyDescent="0.25">
      <c r="A1269" s="62" t="s">
        <v>109</v>
      </c>
      <c r="C1269" s="62" t="s">
        <v>15632</v>
      </c>
      <c r="F1269" s="62" t="s">
        <v>254</v>
      </c>
      <c r="G1269" s="62" t="s">
        <v>54355</v>
      </c>
      <c r="J1269" s="62" t="s">
        <v>15633</v>
      </c>
      <c r="K1269" s="62" t="s">
        <v>54384</v>
      </c>
      <c r="L1269" s="62" t="s">
        <v>15634</v>
      </c>
      <c r="M1269" s="62" t="s">
        <v>15635</v>
      </c>
      <c r="N1269" s="62" t="s">
        <v>15636</v>
      </c>
      <c r="O1269" s="62" t="s">
        <v>15637</v>
      </c>
      <c r="P1269" s="62" t="s">
        <v>54413</v>
      </c>
      <c r="Q1269" s="62" t="s">
        <v>15638</v>
      </c>
      <c r="R1269" s="62" t="s">
        <v>15639</v>
      </c>
      <c r="S1269" s="62" t="s">
        <v>15640</v>
      </c>
      <c r="U1269" s="62" t="s">
        <v>15641</v>
      </c>
      <c r="V1269" s="62" t="s">
        <v>54442</v>
      </c>
      <c r="W1269" s="62" t="s">
        <v>15642</v>
      </c>
      <c r="X1269" s="62" t="s">
        <v>15643</v>
      </c>
      <c r="Y1269" s="62" t="s">
        <v>15644</v>
      </c>
      <c r="Z1269" s="62" t="s">
        <v>15645</v>
      </c>
      <c r="AA1269" s="62" t="s">
        <v>54471</v>
      </c>
      <c r="AB1269" s="62" t="s">
        <v>15646</v>
      </c>
      <c r="AC1269" s="62" t="s">
        <v>15647</v>
      </c>
      <c r="AD1269" s="62" t="s">
        <v>15648</v>
      </c>
    </row>
    <row r="1270" spans="1:30" x14ac:dyDescent="0.25">
      <c r="A1270" s="62" t="s">
        <v>109</v>
      </c>
      <c r="C1270" s="62" t="s">
        <v>15649</v>
      </c>
      <c r="F1270" s="62" t="s">
        <v>10284</v>
      </c>
      <c r="G1270" s="62" t="s">
        <v>54356</v>
      </c>
      <c r="J1270" s="62" t="s">
        <v>15650</v>
      </c>
      <c r="K1270" s="62" t="s">
        <v>54385</v>
      </c>
      <c r="L1270" s="62" t="s">
        <v>15651</v>
      </c>
      <c r="M1270" s="62" t="s">
        <v>15652</v>
      </c>
      <c r="N1270" s="62" t="s">
        <v>15653</v>
      </c>
      <c r="O1270" s="62" t="s">
        <v>15654</v>
      </c>
      <c r="P1270" s="62" t="s">
        <v>54414</v>
      </c>
      <c r="Q1270" s="62" t="s">
        <v>15655</v>
      </c>
      <c r="R1270" s="62" t="s">
        <v>15656</v>
      </c>
      <c r="S1270" s="62" t="s">
        <v>15657</v>
      </c>
      <c r="U1270" s="62" t="s">
        <v>15658</v>
      </c>
      <c r="V1270" s="62" t="s">
        <v>54443</v>
      </c>
      <c r="W1270" s="62" t="s">
        <v>15659</v>
      </c>
      <c r="X1270" s="62" t="s">
        <v>15660</v>
      </c>
      <c r="Y1270" s="62" t="s">
        <v>15661</v>
      </c>
      <c r="Z1270" s="62" t="s">
        <v>15662</v>
      </c>
      <c r="AA1270" s="62" t="s">
        <v>54472</v>
      </c>
      <c r="AB1270" s="62" t="s">
        <v>15663</v>
      </c>
      <c r="AC1270" s="62" t="s">
        <v>15664</v>
      </c>
      <c r="AD1270" s="62" t="s">
        <v>15665</v>
      </c>
    </row>
    <row r="1271" spans="1:30" x14ac:dyDescent="0.25">
      <c r="A1271" s="62" t="s">
        <v>109</v>
      </c>
      <c r="C1271" s="62" t="s">
        <v>15666</v>
      </c>
      <c r="F1271" s="62" t="s">
        <v>10293</v>
      </c>
      <c r="G1271" s="62" t="s">
        <v>54357</v>
      </c>
      <c r="J1271" s="62" t="s">
        <v>15667</v>
      </c>
      <c r="K1271" s="62" t="s">
        <v>54386</v>
      </c>
      <c r="L1271" s="62" t="s">
        <v>15668</v>
      </c>
      <c r="M1271" s="62" t="s">
        <v>15669</v>
      </c>
      <c r="N1271" s="62" t="s">
        <v>15670</v>
      </c>
      <c r="O1271" s="62" t="s">
        <v>15671</v>
      </c>
      <c r="P1271" s="62" t="s">
        <v>54415</v>
      </c>
      <c r="Q1271" s="62" t="s">
        <v>15672</v>
      </c>
      <c r="R1271" s="62" t="s">
        <v>15673</v>
      </c>
      <c r="S1271" s="62" t="s">
        <v>15674</v>
      </c>
      <c r="U1271" s="62" t="s">
        <v>15675</v>
      </c>
      <c r="V1271" s="62" t="s">
        <v>54444</v>
      </c>
      <c r="W1271" s="62" t="s">
        <v>15676</v>
      </c>
      <c r="X1271" s="62" t="s">
        <v>15677</v>
      </c>
      <c r="Y1271" s="62" t="s">
        <v>15678</v>
      </c>
      <c r="Z1271" s="62" t="s">
        <v>15679</v>
      </c>
      <c r="AA1271" s="62" t="s">
        <v>54473</v>
      </c>
      <c r="AB1271" s="62" t="s">
        <v>15680</v>
      </c>
      <c r="AC1271" s="62" t="s">
        <v>15681</v>
      </c>
      <c r="AD1271" s="62" t="s">
        <v>15682</v>
      </c>
    </row>
    <row r="1272" spans="1:30" x14ac:dyDescent="0.25">
      <c r="A1272" s="62" t="s">
        <v>109</v>
      </c>
      <c r="C1272" s="62" t="s">
        <v>15683</v>
      </c>
      <c r="F1272" s="62" t="s">
        <v>985</v>
      </c>
      <c r="G1272" s="62" t="s">
        <v>54358</v>
      </c>
      <c r="J1272" s="62" t="s">
        <v>15684</v>
      </c>
      <c r="K1272" s="62" t="s">
        <v>54387</v>
      </c>
      <c r="L1272" s="62" t="s">
        <v>15685</v>
      </c>
      <c r="M1272" s="62" t="s">
        <v>15686</v>
      </c>
      <c r="N1272" s="62" t="s">
        <v>15687</v>
      </c>
      <c r="O1272" s="62" t="s">
        <v>15688</v>
      </c>
      <c r="P1272" s="62" t="s">
        <v>54416</v>
      </c>
      <c r="Q1272" s="62" t="s">
        <v>15689</v>
      </c>
      <c r="R1272" s="62" t="s">
        <v>15690</v>
      </c>
      <c r="S1272" s="62" t="s">
        <v>15691</v>
      </c>
      <c r="U1272" s="62" t="s">
        <v>15692</v>
      </c>
      <c r="V1272" s="62" t="s">
        <v>54445</v>
      </c>
      <c r="W1272" s="62" t="s">
        <v>15693</v>
      </c>
      <c r="X1272" s="62" t="s">
        <v>15694</v>
      </c>
      <c r="Y1272" s="62" t="s">
        <v>15695</v>
      </c>
      <c r="Z1272" s="62" t="s">
        <v>15696</v>
      </c>
      <c r="AA1272" s="62" t="s">
        <v>54474</v>
      </c>
      <c r="AB1272" s="62" t="s">
        <v>15697</v>
      </c>
      <c r="AC1272" s="62" t="s">
        <v>15698</v>
      </c>
      <c r="AD1272" s="62" t="s">
        <v>15699</v>
      </c>
    </row>
    <row r="1273" spans="1:30" x14ac:dyDescent="0.25">
      <c r="A1273" s="62" t="s">
        <v>109</v>
      </c>
      <c r="C1273" s="62" t="s">
        <v>15700</v>
      </c>
      <c r="F1273" s="62" t="s">
        <v>10314</v>
      </c>
      <c r="G1273" s="62" t="s">
        <v>54359</v>
      </c>
      <c r="J1273" s="62" t="s">
        <v>15701</v>
      </c>
      <c r="K1273" s="62" t="s">
        <v>54388</v>
      </c>
      <c r="L1273" s="62" t="s">
        <v>15702</v>
      </c>
      <c r="M1273" s="62" t="s">
        <v>15703</v>
      </c>
      <c r="N1273" s="62" t="s">
        <v>15704</v>
      </c>
      <c r="O1273" s="62" t="s">
        <v>15705</v>
      </c>
      <c r="P1273" s="62" t="s">
        <v>54417</v>
      </c>
      <c r="Q1273" s="62" t="s">
        <v>15706</v>
      </c>
      <c r="R1273" s="62" t="s">
        <v>15707</v>
      </c>
      <c r="S1273" s="62" t="s">
        <v>15708</v>
      </c>
      <c r="U1273" s="62" t="s">
        <v>15709</v>
      </c>
      <c r="V1273" s="62" t="s">
        <v>54446</v>
      </c>
      <c r="W1273" s="62" t="s">
        <v>15710</v>
      </c>
      <c r="X1273" s="62" t="s">
        <v>15711</v>
      </c>
      <c r="Y1273" s="62" t="s">
        <v>15712</v>
      </c>
      <c r="Z1273" s="62" t="s">
        <v>15713</v>
      </c>
      <c r="AA1273" s="62" t="s">
        <v>54475</v>
      </c>
      <c r="AB1273" s="62" t="s">
        <v>15714</v>
      </c>
      <c r="AC1273" s="62" t="s">
        <v>15715</v>
      </c>
      <c r="AD1273" s="62" t="s">
        <v>15716</v>
      </c>
    </row>
    <row r="1274" spans="1:30" x14ac:dyDescent="0.25">
      <c r="A1274" s="62" t="s">
        <v>109</v>
      </c>
      <c r="C1274" s="62" t="s">
        <v>15717</v>
      </c>
      <c r="F1274" s="62" t="s">
        <v>19275</v>
      </c>
      <c r="G1274" s="62" t="s">
        <v>54360</v>
      </c>
      <c r="J1274" s="62" t="s">
        <v>15718</v>
      </c>
      <c r="K1274" s="62" t="s">
        <v>54389</v>
      </c>
      <c r="L1274" s="62" t="s">
        <v>15719</v>
      </c>
      <c r="M1274" s="62" t="s">
        <v>15720</v>
      </c>
      <c r="N1274" s="62" t="s">
        <v>15721</v>
      </c>
      <c r="O1274" s="62" t="s">
        <v>15722</v>
      </c>
      <c r="P1274" s="62" t="s">
        <v>54418</v>
      </c>
      <c r="Q1274" s="62" t="s">
        <v>15723</v>
      </c>
      <c r="R1274" s="62" t="s">
        <v>15724</v>
      </c>
      <c r="S1274" s="62" t="s">
        <v>15725</v>
      </c>
      <c r="U1274" s="62" t="s">
        <v>15726</v>
      </c>
      <c r="V1274" s="62" t="s">
        <v>54447</v>
      </c>
      <c r="W1274" s="62" t="s">
        <v>15727</v>
      </c>
      <c r="X1274" s="62" t="s">
        <v>15728</v>
      </c>
      <c r="Y1274" s="62" t="s">
        <v>15729</v>
      </c>
      <c r="Z1274" s="62" t="s">
        <v>15730</v>
      </c>
      <c r="AA1274" s="62" t="s">
        <v>54476</v>
      </c>
      <c r="AB1274" s="62" t="s">
        <v>15731</v>
      </c>
      <c r="AC1274" s="62" t="s">
        <v>15732</v>
      </c>
      <c r="AD1274" s="62" t="s">
        <v>15733</v>
      </c>
    </row>
    <row r="1275" spans="1:30" x14ac:dyDescent="0.25">
      <c r="A1275" s="62" t="s">
        <v>109</v>
      </c>
      <c r="C1275" s="62" t="s">
        <v>42895</v>
      </c>
      <c r="F1275" s="62" t="s">
        <v>10332</v>
      </c>
      <c r="G1275" s="62" t="s">
        <v>54361</v>
      </c>
      <c r="J1275" s="62" t="s">
        <v>42896</v>
      </c>
      <c r="K1275" s="62" t="s">
        <v>54390</v>
      </c>
      <c r="L1275" s="62" t="s">
        <v>42897</v>
      </c>
      <c r="M1275" s="62" t="s">
        <v>42898</v>
      </c>
      <c r="N1275" s="62" t="s">
        <v>42899</v>
      </c>
      <c r="O1275" s="62" t="s">
        <v>42900</v>
      </c>
      <c r="P1275" s="62" t="s">
        <v>54419</v>
      </c>
      <c r="Q1275" s="62" t="s">
        <v>42901</v>
      </c>
      <c r="R1275" s="62" t="s">
        <v>42902</v>
      </c>
      <c r="S1275" s="62" t="s">
        <v>42903</v>
      </c>
      <c r="U1275" s="62" t="s">
        <v>42904</v>
      </c>
      <c r="V1275" s="62" t="s">
        <v>54448</v>
      </c>
      <c r="W1275" s="62" t="s">
        <v>42905</v>
      </c>
      <c r="X1275" s="62" t="s">
        <v>42906</v>
      </c>
      <c r="Y1275" s="62" t="s">
        <v>42907</v>
      </c>
      <c r="Z1275" s="62" t="s">
        <v>42908</v>
      </c>
      <c r="AA1275" s="62" t="s">
        <v>54477</v>
      </c>
      <c r="AB1275" s="62" t="s">
        <v>42909</v>
      </c>
      <c r="AC1275" s="62" t="s">
        <v>42910</v>
      </c>
      <c r="AD1275" s="62" t="s">
        <v>42911</v>
      </c>
    </row>
    <row r="1276" spans="1:30" x14ac:dyDescent="0.25">
      <c r="A1276" s="62" t="s">
        <v>109</v>
      </c>
      <c r="C1276" s="62" t="s">
        <v>15734</v>
      </c>
      <c r="F1276" s="62" t="s">
        <v>10350</v>
      </c>
      <c r="G1276" s="62" t="s">
        <v>54362</v>
      </c>
      <c r="J1276" s="62" t="s">
        <v>42912</v>
      </c>
      <c r="K1276" s="62" t="s">
        <v>54391</v>
      </c>
      <c r="L1276" s="62" t="s">
        <v>42913</v>
      </c>
      <c r="M1276" s="62" t="s">
        <v>15735</v>
      </c>
      <c r="N1276" s="62" t="s">
        <v>15736</v>
      </c>
      <c r="O1276" s="62" t="s">
        <v>42914</v>
      </c>
      <c r="P1276" s="62" t="s">
        <v>54420</v>
      </c>
      <c r="Q1276" s="62" t="s">
        <v>42915</v>
      </c>
      <c r="R1276" s="62" t="s">
        <v>15737</v>
      </c>
      <c r="S1276" s="62" t="s">
        <v>15738</v>
      </c>
      <c r="U1276" s="62" t="s">
        <v>42916</v>
      </c>
      <c r="V1276" s="62" t="s">
        <v>54449</v>
      </c>
      <c r="W1276" s="62" t="s">
        <v>42917</v>
      </c>
      <c r="X1276" s="62" t="s">
        <v>15739</v>
      </c>
      <c r="Y1276" s="62" t="s">
        <v>15740</v>
      </c>
      <c r="Z1276" s="62" t="s">
        <v>42918</v>
      </c>
      <c r="AA1276" s="62" t="s">
        <v>54478</v>
      </c>
      <c r="AB1276" s="62" t="s">
        <v>42919</v>
      </c>
      <c r="AC1276" s="62" t="s">
        <v>15741</v>
      </c>
      <c r="AD1276" s="62" t="s">
        <v>15742</v>
      </c>
    </row>
    <row r="1277" spans="1:30" x14ac:dyDescent="0.25">
      <c r="A1277" s="62" t="s">
        <v>109</v>
      </c>
      <c r="C1277" s="62" t="s">
        <v>42920</v>
      </c>
      <c r="F1277" s="62" t="s">
        <v>10368</v>
      </c>
      <c r="G1277" s="62" t="s">
        <v>54363</v>
      </c>
      <c r="J1277" s="62" t="s">
        <v>42921</v>
      </c>
      <c r="K1277" s="62" t="s">
        <v>54392</v>
      </c>
      <c r="L1277" s="62" t="s">
        <v>42922</v>
      </c>
      <c r="M1277" s="62" t="s">
        <v>42923</v>
      </c>
      <c r="N1277" s="62" t="s">
        <v>42924</v>
      </c>
      <c r="O1277" s="62" t="s">
        <v>42925</v>
      </c>
      <c r="P1277" s="62" t="s">
        <v>54421</v>
      </c>
      <c r="Q1277" s="62" t="s">
        <v>42926</v>
      </c>
      <c r="R1277" s="62" t="s">
        <v>42927</v>
      </c>
      <c r="S1277" s="62" t="s">
        <v>42928</v>
      </c>
      <c r="U1277" s="62" t="s">
        <v>42929</v>
      </c>
      <c r="V1277" s="62" t="s">
        <v>54450</v>
      </c>
      <c r="W1277" s="62" t="s">
        <v>42930</v>
      </c>
      <c r="X1277" s="62" t="s">
        <v>42931</v>
      </c>
      <c r="Y1277" s="62" t="s">
        <v>42932</v>
      </c>
      <c r="Z1277" s="62" t="s">
        <v>42933</v>
      </c>
      <c r="AA1277" s="62" t="s">
        <v>54479</v>
      </c>
      <c r="AB1277" s="62" t="s">
        <v>42934</v>
      </c>
      <c r="AC1277" s="62" t="s">
        <v>42935</v>
      </c>
      <c r="AD1277" s="62" t="s">
        <v>42936</v>
      </c>
    </row>
    <row r="1278" spans="1:30" x14ac:dyDescent="0.25">
      <c r="A1278" s="62" t="s">
        <v>109</v>
      </c>
      <c r="C1278" s="62" t="s">
        <v>42937</v>
      </c>
      <c r="F1278" s="62" t="s">
        <v>15012</v>
      </c>
      <c r="G1278" s="62" t="s">
        <v>54364</v>
      </c>
      <c r="J1278" s="62" t="s">
        <v>42938</v>
      </c>
      <c r="K1278" s="62" t="s">
        <v>54393</v>
      </c>
      <c r="L1278" s="62" t="s">
        <v>42939</v>
      </c>
      <c r="M1278" s="62" t="s">
        <v>42940</v>
      </c>
      <c r="N1278" s="62" t="s">
        <v>42941</v>
      </c>
      <c r="O1278" s="62" t="s">
        <v>42942</v>
      </c>
      <c r="P1278" s="62" t="s">
        <v>54422</v>
      </c>
      <c r="Q1278" s="62" t="s">
        <v>42943</v>
      </c>
      <c r="R1278" s="62" t="s">
        <v>42944</v>
      </c>
      <c r="S1278" s="62" t="s">
        <v>42945</v>
      </c>
      <c r="U1278" s="62" t="s">
        <v>42946</v>
      </c>
      <c r="V1278" s="62" t="s">
        <v>54451</v>
      </c>
      <c r="W1278" s="62" t="s">
        <v>42947</v>
      </c>
      <c r="X1278" s="62" t="s">
        <v>42948</v>
      </c>
      <c r="Y1278" s="62" t="s">
        <v>42949</v>
      </c>
      <c r="Z1278" s="62" t="s">
        <v>42950</v>
      </c>
      <c r="AA1278" s="62" t="s">
        <v>54480</v>
      </c>
      <c r="AB1278" s="62" t="s">
        <v>42951</v>
      </c>
      <c r="AC1278" s="62" t="s">
        <v>42952</v>
      </c>
      <c r="AD1278" s="62" t="s">
        <v>42953</v>
      </c>
    </row>
    <row r="1279" spans="1:30" x14ac:dyDescent="0.25">
      <c r="A1279" s="62" t="s">
        <v>109</v>
      </c>
      <c r="C1279" s="62" t="s">
        <v>15743</v>
      </c>
      <c r="F1279" s="62" t="s">
        <v>10404</v>
      </c>
      <c r="G1279" s="62" t="s">
        <v>54365</v>
      </c>
      <c r="J1279" s="62" t="s">
        <v>42954</v>
      </c>
      <c r="K1279" s="62" t="s">
        <v>54394</v>
      </c>
      <c r="L1279" s="62" t="s">
        <v>42955</v>
      </c>
      <c r="M1279" s="62" t="s">
        <v>42956</v>
      </c>
      <c r="N1279" s="62" t="s">
        <v>42957</v>
      </c>
      <c r="O1279" s="62" t="s">
        <v>42958</v>
      </c>
      <c r="P1279" s="62" t="s">
        <v>54423</v>
      </c>
      <c r="Q1279" s="62" t="s">
        <v>42959</v>
      </c>
      <c r="R1279" s="62" t="s">
        <v>42960</v>
      </c>
      <c r="S1279" s="62" t="s">
        <v>42961</v>
      </c>
      <c r="U1279" s="62" t="s">
        <v>42962</v>
      </c>
      <c r="V1279" s="62" t="s">
        <v>54452</v>
      </c>
      <c r="W1279" s="62" t="s">
        <v>42963</v>
      </c>
      <c r="X1279" s="62" t="s">
        <v>42964</v>
      </c>
      <c r="Y1279" s="62" t="s">
        <v>42965</v>
      </c>
      <c r="Z1279" s="62" t="s">
        <v>42966</v>
      </c>
      <c r="AA1279" s="62" t="s">
        <v>54481</v>
      </c>
      <c r="AB1279" s="62" t="s">
        <v>42967</v>
      </c>
      <c r="AC1279" s="62" t="s">
        <v>42968</v>
      </c>
      <c r="AD1279" s="62" t="s">
        <v>42969</v>
      </c>
    </row>
    <row r="1280" spans="1:30" x14ac:dyDescent="0.25">
      <c r="A1280" s="62" t="s">
        <v>109</v>
      </c>
      <c r="C1280" s="62" t="s">
        <v>15744</v>
      </c>
      <c r="F1280" s="62" t="s">
        <v>1090</v>
      </c>
      <c r="G1280" s="62" t="s">
        <v>54366</v>
      </c>
      <c r="J1280" s="62" t="s">
        <v>15745</v>
      </c>
      <c r="K1280" s="62" t="s">
        <v>54395</v>
      </c>
      <c r="L1280" s="62" t="s">
        <v>15746</v>
      </c>
      <c r="M1280" s="62" t="s">
        <v>15747</v>
      </c>
      <c r="N1280" s="62" t="s">
        <v>15748</v>
      </c>
      <c r="O1280" s="62" t="s">
        <v>15749</v>
      </c>
      <c r="P1280" s="62" t="s">
        <v>54424</v>
      </c>
      <c r="Q1280" s="62" t="s">
        <v>15750</v>
      </c>
      <c r="R1280" s="62" t="s">
        <v>15751</v>
      </c>
      <c r="S1280" s="62" t="s">
        <v>15752</v>
      </c>
      <c r="U1280" s="62" t="s">
        <v>15753</v>
      </c>
      <c r="V1280" s="62" t="s">
        <v>54453</v>
      </c>
      <c r="W1280" s="62" t="s">
        <v>15754</v>
      </c>
      <c r="X1280" s="62" t="s">
        <v>15755</v>
      </c>
      <c r="Y1280" s="62" t="s">
        <v>15756</v>
      </c>
      <c r="Z1280" s="62" t="s">
        <v>15757</v>
      </c>
      <c r="AA1280" s="62" t="s">
        <v>54482</v>
      </c>
      <c r="AB1280" s="62" t="s">
        <v>15758</v>
      </c>
      <c r="AC1280" s="62" t="s">
        <v>15759</v>
      </c>
      <c r="AD1280" s="62" t="s">
        <v>15760</v>
      </c>
    </row>
    <row r="1281" spans="1:30" x14ac:dyDescent="0.25">
      <c r="A1281" s="62" t="s">
        <v>109</v>
      </c>
      <c r="C1281" s="62" t="s">
        <v>15761</v>
      </c>
      <c r="F1281" s="62" t="s">
        <v>1100</v>
      </c>
      <c r="G1281" s="62" t="s">
        <v>54367</v>
      </c>
      <c r="J1281" s="62" t="s">
        <v>15762</v>
      </c>
      <c r="K1281" s="62" t="s">
        <v>54396</v>
      </c>
      <c r="L1281" s="62" t="s">
        <v>15763</v>
      </c>
      <c r="M1281" s="62" t="s">
        <v>15764</v>
      </c>
      <c r="N1281" s="62" t="s">
        <v>15765</v>
      </c>
      <c r="O1281" s="62" t="s">
        <v>15766</v>
      </c>
      <c r="P1281" s="62" t="s">
        <v>54425</v>
      </c>
      <c r="Q1281" s="62" t="s">
        <v>15767</v>
      </c>
      <c r="R1281" s="62" t="s">
        <v>15768</v>
      </c>
      <c r="S1281" s="62" t="s">
        <v>15769</v>
      </c>
      <c r="U1281" s="62" t="s">
        <v>15770</v>
      </c>
      <c r="V1281" s="62" t="s">
        <v>54454</v>
      </c>
      <c r="W1281" s="62" t="s">
        <v>15771</v>
      </c>
      <c r="X1281" s="62" t="s">
        <v>15772</v>
      </c>
      <c r="Y1281" s="62" t="s">
        <v>15773</v>
      </c>
      <c r="Z1281" s="62" t="s">
        <v>15774</v>
      </c>
      <c r="AA1281" s="62" t="s">
        <v>54483</v>
      </c>
      <c r="AB1281" s="62" t="s">
        <v>15775</v>
      </c>
      <c r="AC1281" s="62" t="s">
        <v>15776</v>
      </c>
      <c r="AD1281" s="62" t="s">
        <v>15777</v>
      </c>
    </row>
    <row r="1282" spans="1:30" x14ac:dyDescent="0.25">
      <c r="A1282" s="62" t="s">
        <v>109</v>
      </c>
      <c r="C1282" s="62" t="s">
        <v>15778</v>
      </c>
      <c r="F1282" s="62" t="s">
        <v>2372</v>
      </c>
      <c r="G1282" s="62" t="s">
        <v>54368</v>
      </c>
      <c r="J1282" s="62" t="s">
        <v>15779</v>
      </c>
      <c r="K1282" s="62" t="s">
        <v>54397</v>
      </c>
      <c r="L1282" s="62" t="s">
        <v>15780</v>
      </c>
      <c r="M1282" s="62" t="s">
        <v>15781</v>
      </c>
      <c r="N1282" s="62" t="s">
        <v>15782</v>
      </c>
      <c r="O1282" s="62" t="s">
        <v>15783</v>
      </c>
      <c r="P1282" s="62" t="s">
        <v>54426</v>
      </c>
      <c r="Q1282" s="62" t="s">
        <v>15784</v>
      </c>
      <c r="R1282" s="62" t="s">
        <v>15785</v>
      </c>
      <c r="S1282" s="62" t="s">
        <v>15786</v>
      </c>
      <c r="U1282" s="62" t="s">
        <v>15787</v>
      </c>
      <c r="V1282" s="62" t="s">
        <v>54455</v>
      </c>
      <c r="W1282" s="62" t="s">
        <v>15788</v>
      </c>
      <c r="X1282" s="62" t="s">
        <v>15789</v>
      </c>
      <c r="Y1282" s="62" t="s">
        <v>15790</v>
      </c>
      <c r="Z1282" s="62" t="s">
        <v>15791</v>
      </c>
      <c r="AA1282" s="62" t="s">
        <v>54484</v>
      </c>
      <c r="AB1282" s="62" t="s">
        <v>15792</v>
      </c>
      <c r="AC1282" s="62" t="s">
        <v>15793</v>
      </c>
      <c r="AD1282" s="62" t="s">
        <v>15794</v>
      </c>
    </row>
    <row r="1283" spans="1:30" x14ac:dyDescent="0.25">
      <c r="A1283" s="62" t="s">
        <v>109</v>
      </c>
      <c r="C1283" s="62" t="s">
        <v>15795</v>
      </c>
      <c r="F1283" s="62" t="s">
        <v>15081</v>
      </c>
      <c r="G1283" s="62" t="s">
        <v>54369</v>
      </c>
      <c r="J1283" s="62" t="s">
        <v>15796</v>
      </c>
      <c r="K1283" s="62" t="s">
        <v>54398</v>
      </c>
      <c r="L1283" s="62" t="s">
        <v>15797</v>
      </c>
      <c r="M1283" s="62" t="s">
        <v>15798</v>
      </c>
      <c r="N1283" s="62" t="s">
        <v>15799</v>
      </c>
      <c r="O1283" s="62" t="s">
        <v>15800</v>
      </c>
      <c r="P1283" s="62" t="s">
        <v>54427</v>
      </c>
      <c r="Q1283" s="62" t="s">
        <v>15801</v>
      </c>
      <c r="R1283" s="62" t="s">
        <v>15802</v>
      </c>
      <c r="S1283" s="62" t="s">
        <v>15803</v>
      </c>
      <c r="U1283" s="62" t="s">
        <v>15804</v>
      </c>
      <c r="V1283" s="62" t="s">
        <v>54456</v>
      </c>
      <c r="W1283" s="62" t="s">
        <v>15805</v>
      </c>
      <c r="X1283" s="62" t="s">
        <v>15806</v>
      </c>
      <c r="Y1283" s="62" t="s">
        <v>15807</v>
      </c>
      <c r="Z1283" s="62" t="s">
        <v>15808</v>
      </c>
      <c r="AA1283" s="62" t="s">
        <v>54485</v>
      </c>
      <c r="AB1283" s="62" t="s">
        <v>15809</v>
      </c>
      <c r="AC1283" s="62" t="s">
        <v>15810</v>
      </c>
      <c r="AD1283" s="62" t="s">
        <v>15811</v>
      </c>
    </row>
    <row r="1284" spans="1:30" x14ac:dyDescent="0.25">
      <c r="A1284" s="62" t="s">
        <v>109</v>
      </c>
      <c r="C1284" s="62" t="s">
        <v>15812</v>
      </c>
      <c r="F1284" s="62" t="s">
        <v>10595</v>
      </c>
      <c r="G1284" s="62" t="s">
        <v>54370</v>
      </c>
      <c r="J1284" s="62" t="s">
        <v>15813</v>
      </c>
      <c r="K1284" s="62" t="s">
        <v>54399</v>
      </c>
      <c r="L1284" s="62" t="s">
        <v>15814</v>
      </c>
      <c r="M1284" s="62" t="s">
        <v>15815</v>
      </c>
      <c r="N1284" s="62" t="s">
        <v>15816</v>
      </c>
      <c r="O1284" s="62" t="s">
        <v>15817</v>
      </c>
      <c r="P1284" s="62" t="s">
        <v>54428</v>
      </c>
      <c r="Q1284" s="62" t="s">
        <v>15818</v>
      </c>
      <c r="R1284" s="62" t="s">
        <v>15819</v>
      </c>
      <c r="S1284" s="62" t="s">
        <v>15820</v>
      </c>
      <c r="U1284" s="62" t="s">
        <v>15821</v>
      </c>
      <c r="V1284" s="62" t="s">
        <v>54457</v>
      </c>
      <c r="W1284" s="62" t="s">
        <v>15822</v>
      </c>
      <c r="X1284" s="62" t="s">
        <v>15823</v>
      </c>
      <c r="Y1284" s="62" t="s">
        <v>15824</v>
      </c>
      <c r="Z1284" s="62" t="s">
        <v>15825</v>
      </c>
      <c r="AA1284" s="62" t="s">
        <v>54486</v>
      </c>
      <c r="AB1284" s="62" t="s">
        <v>15826</v>
      </c>
      <c r="AC1284" s="62" t="s">
        <v>15827</v>
      </c>
      <c r="AD1284" s="62" t="s">
        <v>15828</v>
      </c>
    </row>
    <row r="1285" spans="1:30" x14ac:dyDescent="0.25">
      <c r="A1285" s="62" t="s">
        <v>109</v>
      </c>
      <c r="C1285" s="62" t="s">
        <v>15829</v>
      </c>
      <c r="F1285" s="62" t="s">
        <v>10631</v>
      </c>
      <c r="G1285" s="62" t="s">
        <v>54371</v>
      </c>
      <c r="J1285" s="62" t="s">
        <v>15830</v>
      </c>
      <c r="K1285" s="62" t="s">
        <v>54400</v>
      </c>
      <c r="L1285" s="62" t="s">
        <v>15831</v>
      </c>
      <c r="M1285" s="62" t="s">
        <v>15832</v>
      </c>
      <c r="N1285" s="62" t="s">
        <v>15833</v>
      </c>
      <c r="O1285" s="62" t="s">
        <v>15834</v>
      </c>
      <c r="P1285" s="62" t="s">
        <v>54429</v>
      </c>
      <c r="Q1285" s="62" t="s">
        <v>15835</v>
      </c>
      <c r="R1285" s="62" t="s">
        <v>15836</v>
      </c>
      <c r="S1285" s="62" t="s">
        <v>15837</v>
      </c>
      <c r="U1285" s="62" t="s">
        <v>15838</v>
      </c>
      <c r="V1285" s="62" t="s">
        <v>54458</v>
      </c>
      <c r="W1285" s="62" t="s">
        <v>15839</v>
      </c>
      <c r="X1285" s="62" t="s">
        <v>15840</v>
      </c>
      <c r="Y1285" s="62" t="s">
        <v>15841</v>
      </c>
      <c r="Z1285" s="62" t="s">
        <v>15842</v>
      </c>
      <c r="AA1285" s="62" t="s">
        <v>54487</v>
      </c>
      <c r="AB1285" s="62" t="s">
        <v>15843</v>
      </c>
      <c r="AC1285" s="62" t="s">
        <v>15844</v>
      </c>
      <c r="AD1285" s="62" t="s">
        <v>15845</v>
      </c>
    </row>
    <row r="1286" spans="1:30" x14ac:dyDescent="0.25">
      <c r="A1286" s="62" t="s">
        <v>109</v>
      </c>
      <c r="C1286" s="62" t="s">
        <v>15846</v>
      </c>
      <c r="F1286" s="62" t="s">
        <v>10649</v>
      </c>
      <c r="G1286" s="62" t="s">
        <v>54372</v>
      </c>
      <c r="J1286" s="62" t="s">
        <v>15847</v>
      </c>
      <c r="K1286" s="62" t="s">
        <v>54401</v>
      </c>
      <c r="L1286" s="62" t="s">
        <v>15848</v>
      </c>
      <c r="M1286" s="62" t="s">
        <v>15849</v>
      </c>
      <c r="N1286" s="62" t="s">
        <v>15850</v>
      </c>
      <c r="O1286" s="62" t="s">
        <v>15851</v>
      </c>
      <c r="P1286" s="62" t="s">
        <v>54430</v>
      </c>
      <c r="Q1286" s="62" t="s">
        <v>15852</v>
      </c>
      <c r="R1286" s="62" t="s">
        <v>15853</v>
      </c>
      <c r="S1286" s="62" t="s">
        <v>15854</v>
      </c>
      <c r="U1286" s="62" t="s">
        <v>15855</v>
      </c>
      <c r="V1286" s="62" t="s">
        <v>54459</v>
      </c>
      <c r="W1286" s="62" t="s">
        <v>15856</v>
      </c>
      <c r="X1286" s="62" t="s">
        <v>15857</v>
      </c>
      <c r="Y1286" s="62" t="s">
        <v>15858</v>
      </c>
      <c r="Z1286" s="62" t="s">
        <v>15859</v>
      </c>
      <c r="AA1286" s="62" t="s">
        <v>54488</v>
      </c>
      <c r="AB1286" s="62" t="s">
        <v>15860</v>
      </c>
      <c r="AC1286" s="62" t="s">
        <v>15861</v>
      </c>
      <c r="AD1286" s="62" t="s">
        <v>15862</v>
      </c>
    </row>
    <row r="1287" spans="1:30" x14ac:dyDescent="0.25">
      <c r="A1287" s="62" t="s">
        <v>109</v>
      </c>
      <c r="C1287" s="62" t="s">
        <v>15863</v>
      </c>
      <c r="F1287" s="62" t="s">
        <v>10703</v>
      </c>
      <c r="G1287" s="62" t="s">
        <v>54373</v>
      </c>
      <c r="J1287" s="62" t="s">
        <v>15864</v>
      </c>
      <c r="K1287" s="62" t="s">
        <v>54402</v>
      </c>
      <c r="L1287" s="62" t="s">
        <v>15865</v>
      </c>
      <c r="M1287" s="62" t="s">
        <v>15866</v>
      </c>
      <c r="N1287" s="62" t="s">
        <v>15867</v>
      </c>
      <c r="O1287" s="62" t="s">
        <v>15868</v>
      </c>
      <c r="P1287" s="62" t="s">
        <v>54431</v>
      </c>
      <c r="Q1287" s="62" t="s">
        <v>15869</v>
      </c>
      <c r="R1287" s="62" t="s">
        <v>15870</v>
      </c>
      <c r="S1287" s="62" t="s">
        <v>15871</v>
      </c>
      <c r="U1287" s="62" t="s">
        <v>15872</v>
      </c>
      <c r="V1287" s="62" t="s">
        <v>54460</v>
      </c>
      <c r="W1287" s="62" t="s">
        <v>15873</v>
      </c>
      <c r="X1287" s="62" t="s">
        <v>15874</v>
      </c>
      <c r="Y1287" s="62" t="s">
        <v>15875</v>
      </c>
      <c r="Z1287" s="62" t="s">
        <v>15876</v>
      </c>
      <c r="AA1287" s="62" t="s">
        <v>54489</v>
      </c>
      <c r="AB1287" s="62" t="s">
        <v>15877</v>
      </c>
      <c r="AC1287" s="62" t="s">
        <v>15878</v>
      </c>
      <c r="AD1287" s="62" t="s">
        <v>15879</v>
      </c>
    </row>
    <row r="1288" spans="1:30" x14ac:dyDescent="0.25">
      <c r="A1288" s="62" t="s">
        <v>109</v>
      </c>
      <c r="C1288" s="62" t="s">
        <v>15880</v>
      </c>
      <c r="F1288" s="62" t="s">
        <v>10793</v>
      </c>
      <c r="G1288" s="62" t="s">
        <v>54374</v>
      </c>
      <c r="J1288" s="62" t="s">
        <v>15881</v>
      </c>
      <c r="K1288" s="62" t="s">
        <v>54403</v>
      </c>
      <c r="L1288" s="62" t="s">
        <v>15882</v>
      </c>
      <c r="M1288" s="62" t="s">
        <v>15883</v>
      </c>
      <c r="N1288" s="62" t="s">
        <v>15884</v>
      </c>
      <c r="O1288" s="62" t="s">
        <v>15885</v>
      </c>
      <c r="P1288" s="62" t="s">
        <v>54432</v>
      </c>
      <c r="Q1288" s="62" t="s">
        <v>15886</v>
      </c>
      <c r="R1288" s="62" t="s">
        <v>15887</v>
      </c>
      <c r="S1288" s="62" t="s">
        <v>15888</v>
      </c>
      <c r="U1288" s="62" t="s">
        <v>15889</v>
      </c>
      <c r="V1288" s="62" t="s">
        <v>54461</v>
      </c>
      <c r="W1288" s="62" t="s">
        <v>15890</v>
      </c>
      <c r="X1288" s="62" t="s">
        <v>15891</v>
      </c>
      <c r="Y1288" s="62" t="s">
        <v>15892</v>
      </c>
      <c r="Z1288" s="62" t="s">
        <v>15893</v>
      </c>
      <c r="AA1288" s="62" t="s">
        <v>54490</v>
      </c>
      <c r="AB1288" s="62" t="s">
        <v>15894</v>
      </c>
      <c r="AC1288" s="62" t="s">
        <v>15895</v>
      </c>
      <c r="AD1288" s="62" t="s">
        <v>15896</v>
      </c>
    </row>
    <row r="1289" spans="1:30" x14ac:dyDescent="0.25">
      <c r="A1289" s="62" t="s">
        <v>109</v>
      </c>
      <c r="C1289" s="62" t="s">
        <v>15897</v>
      </c>
      <c r="F1289" s="62" t="s">
        <v>13202</v>
      </c>
      <c r="G1289" s="62" t="s">
        <v>54375</v>
      </c>
      <c r="J1289" s="62" t="s">
        <v>15898</v>
      </c>
      <c r="K1289" s="62" t="s">
        <v>54404</v>
      </c>
      <c r="L1289" s="62" t="s">
        <v>15899</v>
      </c>
      <c r="M1289" s="62" t="s">
        <v>15900</v>
      </c>
      <c r="N1289" s="62" t="s">
        <v>15901</v>
      </c>
      <c r="O1289" s="62" t="s">
        <v>15902</v>
      </c>
      <c r="P1289" s="62" t="s">
        <v>54433</v>
      </c>
      <c r="Q1289" s="62" t="s">
        <v>15903</v>
      </c>
      <c r="R1289" s="62" t="s">
        <v>15904</v>
      </c>
      <c r="S1289" s="62" t="s">
        <v>15905</v>
      </c>
      <c r="U1289" s="62" t="s">
        <v>15906</v>
      </c>
      <c r="V1289" s="62" t="s">
        <v>54462</v>
      </c>
      <c r="W1289" s="62" t="s">
        <v>15907</v>
      </c>
      <c r="X1289" s="62" t="s">
        <v>15908</v>
      </c>
      <c r="Y1289" s="62" t="s">
        <v>15909</v>
      </c>
      <c r="Z1289" s="62" t="s">
        <v>15910</v>
      </c>
      <c r="AA1289" s="62" t="s">
        <v>54491</v>
      </c>
      <c r="AB1289" s="62" t="s">
        <v>15911</v>
      </c>
      <c r="AC1289" s="62" t="s">
        <v>15912</v>
      </c>
      <c r="AD1289" s="62" t="s">
        <v>15913</v>
      </c>
    </row>
    <row r="1290" spans="1:30" x14ac:dyDescent="0.25">
      <c r="A1290" s="62" t="s">
        <v>109</v>
      </c>
      <c r="C1290" s="62" t="s">
        <v>15914</v>
      </c>
      <c r="F1290" s="62" t="s">
        <v>13238</v>
      </c>
      <c r="G1290" s="62" t="s">
        <v>54376</v>
      </c>
      <c r="J1290" s="62" t="s">
        <v>15915</v>
      </c>
      <c r="K1290" s="62" t="s">
        <v>54405</v>
      </c>
      <c r="L1290" s="62" t="s">
        <v>15916</v>
      </c>
      <c r="M1290" s="62" t="s">
        <v>15917</v>
      </c>
      <c r="N1290" s="62" t="s">
        <v>15918</v>
      </c>
      <c r="O1290" s="62" t="s">
        <v>15919</v>
      </c>
      <c r="P1290" s="62" t="s">
        <v>54434</v>
      </c>
      <c r="Q1290" s="62" t="s">
        <v>15920</v>
      </c>
      <c r="R1290" s="62" t="s">
        <v>15921</v>
      </c>
      <c r="S1290" s="62" t="s">
        <v>15922</v>
      </c>
      <c r="U1290" s="62" t="s">
        <v>15923</v>
      </c>
      <c r="V1290" s="62" t="s">
        <v>54463</v>
      </c>
      <c r="W1290" s="62" t="s">
        <v>15924</v>
      </c>
      <c r="X1290" s="62" t="s">
        <v>15925</v>
      </c>
      <c r="Y1290" s="62" t="s">
        <v>15926</v>
      </c>
      <c r="Z1290" s="62" t="s">
        <v>15927</v>
      </c>
      <c r="AA1290" s="62" t="s">
        <v>54492</v>
      </c>
      <c r="AB1290" s="62" t="s">
        <v>15928</v>
      </c>
      <c r="AC1290" s="62" t="s">
        <v>15929</v>
      </c>
      <c r="AD1290" s="62" t="s">
        <v>15930</v>
      </c>
    </row>
    <row r="1291" spans="1:30" x14ac:dyDescent="0.25">
      <c r="A1291" s="62" t="s">
        <v>109</v>
      </c>
      <c r="C1291" s="62" t="s">
        <v>15931</v>
      </c>
      <c r="F1291" s="62" t="s">
        <v>1249</v>
      </c>
      <c r="G1291" s="62" t="s">
        <v>54377</v>
      </c>
      <c r="J1291" s="62" t="s">
        <v>15932</v>
      </c>
      <c r="K1291" s="62" t="s">
        <v>54406</v>
      </c>
      <c r="L1291" s="62" t="s">
        <v>15933</v>
      </c>
      <c r="M1291" s="62" t="s">
        <v>15934</v>
      </c>
      <c r="N1291" s="62" t="s">
        <v>15935</v>
      </c>
      <c r="O1291" s="62" t="s">
        <v>15936</v>
      </c>
      <c r="P1291" s="62" t="s">
        <v>54435</v>
      </c>
      <c r="Q1291" s="62" t="s">
        <v>15937</v>
      </c>
      <c r="R1291" s="62" t="s">
        <v>15938</v>
      </c>
      <c r="S1291" s="62" t="s">
        <v>15939</v>
      </c>
      <c r="U1291" s="62" t="s">
        <v>15940</v>
      </c>
      <c r="V1291" s="62" t="s">
        <v>54464</v>
      </c>
      <c r="W1291" s="62" t="s">
        <v>15941</v>
      </c>
      <c r="X1291" s="62" t="s">
        <v>15942</v>
      </c>
      <c r="Y1291" s="62" t="s">
        <v>15943</v>
      </c>
      <c r="Z1291" s="62" t="s">
        <v>15944</v>
      </c>
      <c r="AA1291" s="62" t="s">
        <v>54493</v>
      </c>
      <c r="AB1291" s="62" t="s">
        <v>15945</v>
      </c>
      <c r="AC1291" s="62" t="s">
        <v>15946</v>
      </c>
      <c r="AD1291" s="62" t="s">
        <v>15947</v>
      </c>
    </row>
    <row r="1292" spans="1:30" x14ac:dyDescent="0.25">
      <c r="A1292" s="62" t="s">
        <v>109</v>
      </c>
      <c r="C1292" s="62" t="s">
        <v>15948</v>
      </c>
      <c r="F1292" s="62" t="s">
        <v>1286</v>
      </c>
      <c r="G1292" s="62" t="s">
        <v>54378</v>
      </c>
      <c r="J1292" s="62" t="s">
        <v>15949</v>
      </c>
      <c r="K1292" s="62" t="s">
        <v>54407</v>
      </c>
      <c r="L1292" s="62" t="s">
        <v>15950</v>
      </c>
      <c r="M1292" s="62" t="s">
        <v>15951</v>
      </c>
      <c r="N1292" s="62" t="s">
        <v>15952</v>
      </c>
      <c r="O1292" s="62" t="s">
        <v>15953</v>
      </c>
      <c r="P1292" s="62" t="s">
        <v>54436</v>
      </c>
      <c r="Q1292" s="62" t="s">
        <v>15954</v>
      </c>
      <c r="R1292" s="62" t="s">
        <v>15955</v>
      </c>
      <c r="S1292" s="62" t="s">
        <v>15956</v>
      </c>
      <c r="U1292" s="62" t="s">
        <v>15957</v>
      </c>
      <c r="V1292" s="62" t="s">
        <v>54465</v>
      </c>
      <c r="W1292" s="62" t="s">
        <v>15958</v>
      </c>
      <c r="X1292" s="62" t="s">
        <v>15959</v>
      </c>
      <c r="Y1292" s="62" t="s">
        <v>15960</v>
      </c>
      <c r="Z1292" s="62" t="s">
        <v>15961</v>
      </c>
      <c r="AA1292" s="62" t="s">
        <v>54494</v>
      </c>
      <c r="AB1292" s="62" t="s">
        <v>15962</v>
      </c>
      <c r="AC1292" s="62" t="s">
        <v>15963</v>
      </c>
      <c r="AD1292" s="62" t="s">
        <v>15964</v>
      </c>
    </row>
    <row r="1293" spans="1:30" x14ac:dyDescent="0.25">
      <c r="A1293" s="62" t="s">
        <v>109</v>
      </c>
      <c r="C1293" s="62" t="s">
        <v>15965</v>
      </c>
      <c r="F1293" s="62" t="s">
        <v>13249</v>
      </c>
      <c r="G1293" s="62" t="s">
        <v>54379</v>
      </c>
      <c r="J1293" s="62" t="s">
        <v>15966</v>
      </c>
      <c r="K1293" s="62" t="s">
        <v>54408</v>
      </c>
      <c r="L1293" s="62" t="s">
        <v>15967</v>
      </c>
      <c r="M1293" s="62" t="s">
        <v>15968</v>
      </c>
      <c r="N1293" s="62" t="s">
        <v>15969</v>
      </c>
      <c r="O1293" s="62" t="s">
        <v>15970</v>
      </c>
      <c r="P1293" s="62" t="s">
        <v>54437</v>
      </c>
      <c r="Q1293" s="62" t="s">
        <v>15971</v>
      </c>
      <c r="R1293" s="62" t="s">
        <v>15972</v>
      </c>
      <c r="S1293" s="62" t="s">
        <v>15973</v>
      </c>
      <c r="U1293" s="62" t="s">
        <v>15974</v>
      </c>
      <c r="V1293" s="62" t="s">
        <v>54466</v>
      </c>
      <c r="W1293" s="62" t="s">
        <v>15975</v>
      </c>
      <c r="X1293" s="62" t="s">
        <v>15976</v>
      </c>
      <c r="Y1293" s="62" t="s">
        <v>15977</v>
      </c>
      <c r="Z1293" s="62" t="s">
        <v>15978</v>
      </c>
      <c r="AA1293" s="62" t="s">
        <v>54495</v>
      </c>
      <c r="AB1293" s="62" t="s">
        <v>15979</v>
      </c>
      <c r="AC1293" s="62" t="s">
        <v>15980</v>
      </c>
      <c r="AD1293" s="62" t="s">
        <v>15981</v>
      </c>
    </row>
    <row r="1294" spans="1:30" x14ac:dyDescent="0.25">
      <c r="A1294" s="62" t="s">
        <v>109</v>
      </c>
      <c r="C1294" s="62" t="s">
        <v>15982</v>
      </c>
      <c r="F1294" s="62" t="s">
        <v>10927</v>
      </c>
      <c r="G1294" s="62" t="s">
        <v>54380</v>
      </c>
      <c r="J1294" s="62" t="s">
        <v>15983</v>
      </c>
      <c r="K1294" s="62" t="s">
        <v>54409</v>
      </c>
      <c r="L1294" s="62" t="s">
        <v>15984</v>
      </c>
      <c r="M1294" s="62" t="s">
        <v>15985</v>
      </c>
      <c r="N1294" s="62" t="s">
        <v>15986</v>
      </c>
      <c r="O1294" s="62" t="s">
        <v>15987</v>
      </c>
      <c r="P1294" s="62" t="s">
        <v>54438</v>
      </c>
      <c r="Q1294" s="62" t="s">
        <v>15988</v>
      </c>
      <c r="R1294" s="62" t="s">
        <v>15989</v>
      </c>
      <c r="S1294" s="62" t="s">
        <v>15990</v>
      </c>
      <c r="U1294" s="62" t="s">
        <v>15991</v>
      </c>
      <c r="V1294" s="62" t="s">
        <v>54467</v>
      </c>
      <c r="W1294" s="62" t="s">
        <v>15992</v>
      </c>
      <c r="X1294" s="62" t="s">
        <v>15993</v>
      </c>
      <c r="Y1294" s="62" t="s">
        <v>15994</v>
      </c>
      <c r="Z1294" s="62" t="s">
        <v>15995</v>
      </c>
      <c r="AA1294" s="62" t="s">
        <v>54496</v>
      </c>
      <c r="AB1294" s="62" t="s">
        <v>15996</v>
      </c>
      <c r="AC1294" s="62" t="s">
        <v>15997</v>
      </c>
      <c r="AD1294" s="62" t="s">
        <v>15998</v>
      </c>
    </row>
    <row r="1295" spans="1:30" x14ac:dyDescent="0.25">
      <c r="A1295" s="62" t="s">
        <v>109</v>
      </c>
      <c r="C1295" s="62" t="s">
        <v>15598</v>
      </c>
    </row>
    <row r="1296" spans="1:30" x14ac:dyDescent="0.25">
      <c r="A1296" s="62" t="s">
        <v>109</v>
      </c>
      <c r="C1296" s="62" t="s">
        <v>15999</v>
      </c>
      <c r="G1296" s="62" t="s">
        <v>42970</v>
      </c>
      <c r="J1296" s="62" t="s">
        <v>42971</v>
      </c>
      <c r="K1296" s="62" t="s">
        <v>42972</v>
      </c>
      <c r="L1296" s="62" t="s">
        <v>42973</v>
      </c>
      <c r="M1296" s="62" t="s">
        <v>16000</v>
      </c>
      <c r="N1296" s="62" t="s">
        <v>16001</v>
      </c>
      <c r="O1296" s="62" t="s">
        <v>42974</v>
      </c>
      <c r="P1296" s="62" t="s">
        <v>42975</v>
      </c>
      <c r="Q1296" s="62" t="s">
        <v>42976</v>
      </c>
      <c r="R1296" s="62" t="s">
        <v>16002</v>
      </c>
      <c r="S1296" s="62" t="s">
        <v>16003</v>
      </c>
      <c r="U1296" s="62" t="s">
        <v>42977</v>
      </c>
      <c r="V1296" s="62" t="s">
        <v>42978</v>
      </c>
      <c r="W1296" s="62" t="s">
        <v>42979</v>
      </c>
      <c r="X1296" s="62" t="s">
        <v>16004</v>
      </c>
      <c r="Y1296" s="62" t="s">
        <v>16005</v>
      </c>
      <c r="Z1296" s="62" t="s">
        <v>42980</v>
      </c>
      <c r="AA1296" s="62" t="s">
        <v>42981</v>
      </c>
      <c r="AB1296" s="62" t="s">
        <v>42982</v>
      </c>
      <c r="AC1296" s="62" t="s">
        <v>16006</v>
      </c>
      <c r="AD1296" s="62" t="s">
        <v>16007</v>
      </c>
    </row>
    <row r="1297" spans="1:30" x14ac:dyDescent="0.25">
      <c r="A1297" s="62" t="s">
        <v>109</v>
      </c>
    </row>
    <row r="1298" spans="1:30" x14ac:dyDescent="0.25">
      <c r="A1298" s="62" t="s">
        <v>109</v>
      </c>
      <c r="C1298" s="62" t="s">
        <v>42983</v>
      </c>
      <c r="E1298" s="62" t="s">
        <v>443</v>
      </c>
      <c r="G1298" s="62" t="s">
        <v>42984</v>
      </c>
    </row>
    <row r="1299" spans="1:30" x14ac:dyDescent="0.25">
      <c r="A1299" s="62" t="s">
        <v>109</v>
      </c>
      <c r="C1299" s="62" t="s">
        <v>16008</v>
      </c>
    </row>
    <row r="1300" spans="1:30" x14ac:dyDescent="0.25">
      <c r="A1300" s="62" t="s">
        <v>109</v>
      </c>
      <c r="C1300" s="62" t="s">
        <v>16009</v>
      </c>
      <c r="F1300" s="62" t="s">
        <v>42985</v>
      </c>
      <c r="G1300" s="62" t="s">
        <v>54137</v>
      </c>
      <c r="J1300" s="62" t="s">
        <v>16010</v>
      </c>
      <c r="K1300" s="62" t="s">
        <v>54180</v>
      </c>
      <c r="L1300" s="62" t="s">
        <v>16011</v>
      </c>
      <c r="M1300" s="62" t="s">
        <v>16012</v>
      </c>
      <c r="N1300" s="62" t="s">
        <v>16013</v>
      </c>
      <c r="O1300" s="62" t="s">
        <v>16014</v>
      </c>
      <c r="P1300" s="62" t="s">
        <v>54223</v>
      </c>
      <c r="Q1300" s="62" t="s">
        <v>16015</v>
      </c>
      <c r="R1300" s="62" t="s">
        <v>16016</v>
      </c>
      <c r="S1300" s="62" t="s">
        <v>16017</v>
      </c>
      <c r="U1300" s="62" t="s">
        <v>16018</v>
      </c>
      <c r="V1300" s="62" t="s">
        <v>54266</v>
      </c>
      <c r="W1300" s="62" t="s">
        <v>16019</v>
      </c>
      <c r="X1300" s="62" t="s">
        <v>16020</v>
      </c>
      <c r="Y1300" s="62" t="s">
        <v>16021</v>
      </c>
      <c r="Z1300" s="62" t="s">
        <v>16022</v>
      </c>
      <c r="AA1300" s="62" t="s">
        <v>54309</v>
      </c>
      <c r="AB1300" s="62" t="s">
        <v>16023</v>
      </c>
      <c r="AC1300" s="62" t="s">
        <v>16024</v>
      </c>
      <c r="AD1300" s="62" t="s">
        <v>16025</v>
      </c>
    </row>
    <row r="1301" spans="1:30" x14ac:dyDescent="0.25">
      <c r="A1301" s="62" t="s">
        <v>109</v>
      </c>
      <c r="C1301" s="62" t="s">
        <v>16026</v>
      </c>
      <c r="F1301" s="62" t="s">
        <v>731</v>
      </c>
      <c r="G1301" s="62" t="s">
        <v>54138</v>
      </c>
      <c r="J1301" s="62" t="s">
        <v>16027</v>
      </c>
      <c r="K1301" s="62" t="s">
        <v>54181</v>
      </c>
      <c r="L1301" s="62" t="s">
        <v>16028</v>
      </c>
      <c r="M1301" s="62" t="s">
        <v>16029</v>
      </c>
      <c r="N1301" s="62" t="s">
        <v>16030</v>
      </c>
      <c r="O1301" s="62" t="s">
        <v>16031</v>
      </c>
      <c r="P1301" s="62" t="s">
        <v>54224</v>
      </c>
      <c r="Q1301" s="62" t="s">
        <v>16032</v>
      </c>
      <c r="R1301" s="62" t="s">
        <v>16033</v>
      </c>
      <c r="S1301" s="62" t="s">
        <v>16034</v>
      </c>
      <c r="U1301" s="62" t="s">
        <v>16035</v>
      </c>
      <c r="V1301" s="62" t="s">
        <v>54267</v>
      </c>
      <c r="W1301" s="62" t="s">
        <v>16036</v>
      </c>
      <c r="X1301" s="62" t="s">
        <v>16037</v>
      </c>
      <c r="Y1301" s="62" t="s">
        <v>16038</v>
      </c>
      <c r="Z1301" s="62" t="s">
        <v>16039</v>
      </c>
      <c r="AA1301" s="62" t="s">
        <v>54310</v>
      </c>
      <c r="AB1301" s="62" t="s">
        <v>16040</v>
      </c>
      <c r="AC1301" s="62" t="s">
        <v>16041</v>
      </c>
      <c r="AD1301" s="62" t="s">
        <v>16042</v>
      </c>
    </row>
    <row r="1302" spans="1:30" x14ac:dyDescent="0.25">
      <c r="A1302" s="62" t="s">
        <v>109</v>
      </c>
      <c r="C1302" s="62" t="s">
        <v>16043</v>
      </c>
      <c r="F1302" s="62" t="s">
        <v>748</v>
      </c>
      <c r="G1302" s="62" t="s">
        <v>54139</v>
      </c>
      <c r="J1302" s="62" t="s">
        <v>16044</v>
      </c>
      <c r="K1302" s="62" t="s">
        <v>54182</v>
      </c>
      <c r="L1302" s="62" t="s">
        <v>16045</v>
      </c>
      <c r="M1302" s="62" t="s">
        <v>16046</v>
      </c>
      <c r="N1302" s="62" t="s">
        <v>16047</v>
      </c>
      <c r="O1302" s="62" t="s">
        <v>16048</v>
      </c>
      <c r="P1302" s="62" t="s">
        <v>54225</v>
      </c>
      <c r="Q1302" s="62" t="s">
        <v>16049</v>
      </c>
      <c r="R1302" s="62" t="s">
        <v>16050</v>
      </c>
      <c r="S1302" s="62" t="s">
        <v>16051</v>
      </c>
      <c r="U1302" s="62" t="s">
        <v>16052</v>
      </c>
      <c r="V1302" s="62" t="s">
        <v>54268</v>
      </c>
      <c r="W1302" s="62" t="s">
        <v>16053</v>
      </c>
      <c r="X1302" s="62" t="s">
        <v>16054</v>
      </c>
      <c r="Y1302" s="62" t="s">
        <v>16055</v>
      </c>
      <c r="Z1302" s="62" t="s">
        <v>16056</v>
      </c>
      <c r="AA1302" s="62" t="s">
        <v>54311</v>
      </c>
      <c r="AB1302" s="62" t="s">
        <v>16057</v>
      </c>
      <c r="AC1302" s="62" t="s">
        <v>16058</v>
      </c>
      <c r="AD1302" s="62" t="s">
        <v>16059</v>
      </c>
    </row>
    <row r="1303" spans="1:30" x14ac:dyDescent="0.25">
      <c r="A1303" s="62" t="s">
        <v>109</v>
      </c>
      <c r="C1303" s="62" t="s">
        <v>16060</v>
      </c>
      <c r="F1303" s="62" t="s">
        <v>776</v>
      </c>
      <c r="G1303" s="62" t="s">
        <v>54140</v>
      </c>
      <c r="J1303" s="62" t="s">
        <v>16061</v>
      </c>
      <c r="K1303" s="62" t="s">
        <v>54183</v>
      </c>
      <c r="L1303" s="62" t="s">
        <v>16062</v>
      </c>
      <c r="M1303" s="62" t="s">
        <v>16063</v>
      </c>
      <c r="N1303" s="62" t="s">
        <v>16064</v>
      </c>
      <c r="O1303" s="62" t="s">
        <v>16065</v>
      </c>
      <c r="P1303" s="62" t="s">
        <v>54226</v>
      </c>
      <c r="Q1303" s="62" t="s">
        <v>16066</v>
      </c>
      <c r="R1303" s="62" t="s">
        <v>16067</v>
      </c>
      <c r="S1303" s="62" t="s">
        <v>16068</v>
      </c>
      <c r="U1303" s="62" t="s">
        <v>16069</v>
      </c>
      <c r="V1303" s="62" t="s">
        <v>54269</v>
      </c>
      <c r="W1303" s="62" t="s">
        <v>16070</v>
      </c>
      <c r="X1303" s="62" t="s">
        <v>16071</v>
      </c>
      <c r="Y1303" s="62" t="s">
        <v>16072</v>
      </c>
      <c r="Z1303" s="62" t="s">
        <v>16073</v>
      </c>
      <c r="AA1303" s="62" t="s">
        <v>54312</v>
      </c>
      <c r="AB1303" s="62" t="s">
        <v>16074</v>
      </c>
      <c r="AC1303" s="62" t="s">
        <v>16075</v>
      </c>
      <c r="AD1303" s="62" t="s">
        <v>16076</v>
      </c>
    </row>
    <row r="1304" spans="1:30" x14ac:dyDescent="0.25">
      <c r="A1304" s="62" t="s">
        <v>109</v>
      </c>
      <c r="C1304" s="62" t="s">
        <v>16077</v>
      </c>
      <c r="F1304" s="62" t="s">
        <v>1359</v>
      </c>
      <c r="G1304" s="62" t="s">
        <v>54141</v>
      </c>
      <c r="J1304" s="62" t="s">
        <v>16078</v>
      </c>
      <c r="K1304" s="62" t="s">
        <v>54184</v>
      </c>
      <c r="L1304" s="62" t="s">
        <v>16079</v>
      </c>
      <c r="M1304" s="62" t="s">
        <v>16080</v>
      </c>
      <c r="N1304" s="62" t="s">
        <v>16081</v>
      </c>
      <c r="O1304" s="62" t="s">
        <v>16082</v>
      </c>
      <c r="P1304" s="62" t="s">
        <v>54227</v>
      </c>
      <c r="Q1304" s="62" t="s">
        <v>16083</v>
      </c>
      <c r="R1304" s="62" t="s">
        <v>16084</v>
      </c>
      <c r="S1304" s="62" t="s">
        <v>16085</v>
      </c>
      <c r="U1304" s="62" t="s">
        <v>16086</v>
      </c>
      <c r="V1304" s="62" t="s">
        <v>54270</v>
      </c>
      <c r="W1304" s="62" t="s">
        <v>16087</v>
      </c>
      <c r="X1304" s="62" t="s">
        <v>16088</v>
      </c>
      <c r="Y1304" s="62" t="s">
        <v>16089</v>
      </c>
      <c r="Z1304" s="62" t="s">
        <v>16090</v>
      </c>
      <c r="AA1304" s="62" t="s">
        <v>54313</v>
      </c>
      <c r="AB1304" s="62" t="s">
        <v>16091</v>
      </c>
      <c r="AC1304" s="62" t="s">
        <v>16092</v>
      </c>
      <c r="AD1304" s="62" t="s">
        <v>16093</v>
      </c>
    </row>
    <row r="1305" spans="1:30" x14ac:dyDescent="0.25">
      <c r="A1305" s="62" t="s">
        <v>109</v>
      </c>
      <c r="C1305" s="62" t="s">
        <v>16094</v>
      </c>
      <c r="F1305" s="62" t="s">
        <v>142</v>
      </c>
      <c r="G1305" s="62" t="s">
        <v>54142</v>
      </c>
      <c r="J1305" s="62" t="s">
        <v>16095</v>
      </c>
      <c r="K1305" s="62" t="s">
        <v>54185</v>
      </c>
      <c r="L1305" s="62" t="s">
        <v>16096</v>
      </c>
      <c r="M1305" s="62" t="s">
        <v>16097</v>
      </c>
      <c r="N1305" s="62" t="s">
        <v>16098</v>
      </c>
      <c r="O1305" s="62" t="s">
        <v>16099</v>
      </c>
      <c r="P1305" s="62" t="s">
        <v>54228</v>
      </c>
      <c r="Q1305" s="62" t="s">
        <v>16100</v>
      </c>
      <c r="R1305" s="62" t="s">
        <v>16101</v>
      </c>
      <c r="S1305" s="62" t="s">
        <v>16102</v>
      </c>
      <c r="U1305" s="62" t="s">
        <v>16103</v>
      </c>
      <c r="V1305" s="62" t="s">
        <v>54271</v>
      </c>
      <c r="W1305" s="62" t="s">
        <v>16104</v>
      </c>
      <c r="X1305" s="62" t="s">
        <v>16105</v>
      </c>
      <c r="Y1305" s="62" t="s">
        <v>16106</v>
      </c>
      <c r="Z1305" s="62" t="s">
        <v>16107</v>
      </c>
      <c r="AA1305" s="62" t="s">
        <v>54314</v>
      </c>
      <c r="AB1305" s="62" t="s">
        <v>16108</v>
      </c>
      <c r="AC1305" s="62" t="s">
        <v>16109</v>
      </c>
      <c r="AD1305" s="62" t="s">
        <v>16110</v>
      </c>
    </row>
    <row r="1306" spans="1:30" x14ac:dyDescent="0.25">
      <c r="A1306" s="62" t="s">
        <v>109</v>
      </c>
      <c r="C1306" s="62" t="s">
        <v>16111</v>
      </c>
      <c r="F1306" s="62" t="s">
        <v>785</v>
      </c>
      <c r="G1306" s="62" t="s">
        <v>54143</v>
      </c>
      <c r="J1306" s="62" t="s">
        <v>16112</v>
      </c>
      <c r="K1306" s="62" t="s">
        <v>54186</v>
      </c>
      <c r="L1306" s="62" t="s">
        <v>16113</v>
      </c>
      <c r="M1306" s="62" t="s">
        <v>16114</v>
      </c>
      <c r="N1306" s="62" t="s">
        <v>16115</v>
      </c>
      <c r="O1306" s="62" t="s">
        <v>16116</v>
      </c>
      <c r="P1306" s="62" t="s">
        <v>54229</v>
      </c>
      <c r="Q1306" s="62" t="s">
        <v>16117</v>
      </c>
      <c r="R1306" s="62" t="s">
        <v>16118</v>
      </c>
      <c r="S1306" s="62" t="s">
        <v>16119</v>
      </c>
      <c r="U1306" s="62" t="s">
        <v>16120</v>
      </c>
      <c r="V1306" s="62" t="s">
        <v>54272</v>
      </c>
      <c r="W1306" s="62" t="s">
        <v>16121</v>
      </c>
      <c r="X1306" s="62" t="s">
        <v>16122</v>
      </c>
      <c r="Y1306" s="62" t="s">
        <v>16123</v>
      </c>
      <c r="Z1306" s="62" t="s">
        <v>16124</v>
      </c>
      <c r="AA1306" s="62" t="s">
        <v>54315</v>
      </c>
      <c r="AB1306" s="62" t="s">
        <v>16125</v>
      </c>
      <c r="AC1306" s="62" t="s">
        <v>16126</v>
      </c>
      <c r="AD1306" s="62" t="s">
        <v>16127</v>
      </c>
    </row>
    <row r="1307" spans="1:30" x14ac:dyDescent="0.25">
      <c r="A1307" s="62" t="s">
        <v>109</v>
      </c>
      <c r="C1307" s="62" t="s">
        <v>16128</v>
      </c>
      <c r="F1307" s="62" t="s">
        <v>802</v>
      </c>
      <c r="G1307" s="62" t="s">
        <v>54144</v>
      </c>
      <c r="J1307" s="62" t="s">
        <v>16129</v>
      </c>
      <c r="K1307" s="62" t="s">
        <v>54187</v>
      </c>
      <c r="L1307" s="62" t="s">
        <v>16130</v>
      </c>
      <c r="M1307" s="62" t="s">
        <v>16131</v>
      </c>
      <c r="N1307" s="62" t="s">
        <v>16132</v>
      </c>
      <c r="O1307" s="62" t="s">
        <v>16133</v>
      </c>
      <c r="P1307" s="62" t="s">
        <v>54230</v>
      </c>
      <c r="Q1307" s="62" t="s">
        <v>16134</v>
      </c>
      <c r="R1307" s="62" t="s">
        <v>16135</v>
      </c>
      <c r="S1307" s="62" t="s">
        <v>16136</v>
      </c>
      <c r="U1307" s="62" t="s">
        <v>16137</v>
      </c>
      <c r="V1307" s="62" t="s">
        <v>54273</v>
      </c>
      <c r="W1307" s="62" t="s">
        <v>16138</v>
      </c>
      <c r="X1307" s="62" t="s">
        <v>16139</v>
      </c>
      <c r="Y1307" s="62" t="s">
        <v>16140</v>
      </c>
      <c r="Z1307" s="62" t="s">
        <v>16141</v>
      </c>
      <c r="AA1307" s="62" t="s">
        <v>54316</v>
      </c>
      <c r="AB1307" s="62" t="s">
        <v>16142</v>
      </c>
      <c r="AC1307" s="62" t="s">
        <v>16143</v>
      </c>
      <c r="AD1307" s="62" t="s">
        <v>16144</v>
      </c>
    </row>
    <row r="1308" spans="1:30" x14ac:dyDescent="0.25">
      <c r="A1308" s="62" t="s">
        <v>109</v>
      </c>
      <c r="C1308" s="62" t="s">
        <v>16145</v>
      </c>
      <c r="F1308" s="62" t="s">
        <v>159</v>
      </c>
      <c r="G1308" s="62" t="s">
        <v>54145</v>
      </c>
      <c r="J1308" s="62" t="s">
        <v>16146</v>
      </c>
      <c r="K1308" s="62" t="s">
        <v>54188</v>
      </c>
      <c r="L1308" s="62" t="s">
        <v>16147</v>
      </c>
      <c r="M1308" s="62" t="s">
        <v>16148</v>
      </c>
      <c r="N1308" s="62" t="s">
        <v>16149</v>
      </c>
      <c r="O1308" s="62" t="s">
        <v>16150</v>
      </c>
      <c r="P1308" s="62" t="s">
        <v>54231</v>
      </c>
      <c r="Q1308" s="62" t="s">
        <v>16151</v>
      </c>
      <c r="R1308" s="62" t="s">
        <v>16152</v>
      </c>
      <c r="S1308" s="62" t="s">
        <v>16153</v>
      </c>
      <c r="U1308" s="62" t="s">
        <v>16154</v>
      </c>
      <c r="V1308" s="62" t="s">
        <v>54274</v>
      </c>
      <c r="W1308" s="62" t="s">
        <v>16155</v>
      </c>
      <c r="X1308" s="62" t="s">
        <v>16156</v>
      </c>
      <c r="Y1308" s="62" t="s">
        <v>16157</v>
      </c>
      <c r="Z1308" s="62" t="s">
        <v>16158</v>
      </c>
      <c r="AA1308" s="62" t="s">
        <v>54317</v>
      </c>
      <c r="AB1308" s="62" t="s">
        <v>16159</v>
      </c>
      <c r="AC1308" s="62" t="s">
        <v>16160</v>
      </c>
      <c r="AD1308" s="62" t="s">
        <v>16161</v>
      </c>
    </row>
    <row r="1309" spans="1:30" x14ac:dyDescent="0.25">
      <c r="A1309" s="62" t="s">
        <v>109</v>
      </c>
      <c r="C1309" s="62" t="s">
        <v>16162</v>
      </c>
      <c r="F1309" s="62" t="s">
        <v>827</v>
      </c>
      <c r="G1309" s="62" t="s">
        <v>54146</v>
      </c>
      <c r="J1309" s="62" t="s">
        <v>16163</v>
      </c>
      <c r="K1309" s="62" t="s">
        <v>54189</v>
      </c>
      <c r="L1309" s="62" t="s">
        <v>16164</v>
      </c>
      <c r="M1309" s="62" t="s">
        <v>16165</v>
      </c>
      <c r="N1309" s="62" t="s">
        <v>16166</v>
      </c>
      <c r="O1309" s="62" t="s">
        <v>16167</v>
      </c>
      <c r="P1309" s="62" t="s">
        <v>54232</v>
      </c>
      <c r="Q1309" s="62" t="s">
        <v>16168</v>
      </c>
      <c r="R1309" s="62" t="s">
        <v>16169</v>
      </c>
      <c r="S1309" s="62" t="s">
        <v>16170</v>
      </c>
      <c r="U1309" s="62" t="s">
        <v>16171</v>
      </c>
      <c r="V1309" s="62" t="s">
        <v>54275</v>
      </c>
      <c r="W1309" s="62" t="s">
        <v>16172</v>
      </c>
      <c r="X1309" s="62" t="s">
        <v>16173</v>
      </c>
      <c r="Y1309" s="62" t="s">
        <v>16174</v>
      </c>
      <c r="Z1309" s="62" t="s">
        <v>16175</v>
      </c>
      <c r="AA1309" s="62" t="s">
        <v>54318</v>
      </c>
      <c r="AB1309" s="62" t="s">
        <v>16176</v>
      </c>
      <c r="AC1309" s="62" t="s">
        <v>16177</v>
      </c>
      <c r="AD1309" s="62" t="s">
        <v>16178</v>
      </c>
    </row>
    <row r="1310" spans="1:30" x14ac:dyDescent="0.25">
      <c r="A1310" s="62" t="s">
        <v>109</v>
      </c>
      <c r="C1310" s="62" t="s">
        <v>16179</v>
      </c>
      <c r="F1310" s="62" t="s">
        <v>837</v>
      </c>
      <c r="G1310" s="62" t="s">
        <v>54147</v>
      </c>
      <c r="J1310" s="62" t="s">
        <v>16180</v>
      </c>
      <c r="K1310" s="62" t="s">
        <v>54190</v>
      </c>
      <c r="L1310" s="62" t="s">
        <v>16181</v>
      </c>
      <c r="M1310" s="62" t="s">
        <v>16182</v>
      </c>
      <c r="N1310" s="62" t="s">
        <v>16183</v>
      </c>
      <c r="O1310" s="62" t="s">
        <v>16184</v>
      </c>
      <c r="P1310" s="62" t="s">
        <v>54233</v>
      </c>
      <c r="Q1310" s="62" t="s">
        <v>16185</v>
      </c>
      <c r="R1310" s="62" t="s">
        <v>16186</v>
      </c>
      <c r="S1310" s="62" t="s">
        <v>16187</v>
      </c>
      <c r="U1310" s="62" t="s">
        <v>16188</v>
      </c>
      <c r="V1310" s="62" t="s">
        <v>54276</v>
      </c>
      <c r="W1310" s="62" t="s">
        <v>16189</v>
      </c>
      <c r="X1310" s="62" t="s">
        <v>16190</v>
      </c>
      <c r="Y1310" s="62" t="s">
        <v>16191</v>
      </c>
      <c r="Z1310" s="62" t="s">
        <v>16192</v>
      </c>
      <c r="AA1310" s="62" t="s">
        <v>54319</v>
      </c>
      <c r="AB1310" s="62" t="s">
        <v>16193</v>
      </c>
      <c r="AC1310" s="62" t="s">
        <v>16194</v>
      </c>
      <c r="AD1310" s="62" t="s">
        <v>16195</v>
      </c>
    </row>
    <row r="1311" spans="1:30" x14ac:dyDescent="0.25">
      <c r="A1311" s="62" t="s">
        <v>109</v>
      </c>
      <c r="C1311" s="62" t="s">
        <v>16196</v>
      </c>
      <c r="F1311" s="62" t="s">
        <v>855</v>
      </c>
      <c r="G1311" s="62" t="s">
        <v>54148</v>
      </c>
      <c r="J1311" s="62" t="s">
        <v>16197</v>
      </c>
      <c r="K1311" s="62" t="s">
        <v>54191</v>
      </c>
      <c r="L1311" s="62" t="s">
        <v>16198</v>
      </c>
      <c r="M1311" s="62" t="s">
        <v>16199</v>
      </c>
      <c r="N1311" s="62" t="s">
        <v>16200</v>
      </c>
      <c r="O1311" s="62" t="s">
        <v>16201</v>
      </c>
      <c r="P1311" s="62" t="s">
        <v>54234</v>
      </c>
      <c r="Q1311" s="62" t="s">
        <v>16202</v>
      </c>
      <c r="R1311" s="62" t="s">
        <v>16203</v>
      </c>
      <c r="S1311" s="62" t="s">
        <v>16204</v>
      </c>
      <c r="U1311" s="62" t="s">
        <v>16205</v>
      </c>
      <c r="V1311" s="62" t="s">
        <v>54277</v>
      </c>
      <c r="W1311" s="62" t="s">
        <v>16206</v>
      </c>
      <c r="X1311" s="62" t="s">
        <v>16207</v>
      </c>
      <c r="Y1311" s="62" t="s">
        <v>16208</v>
      </c>
      <c r="Z1311" s="62" t="s">
        <v>16209</v>
      </c>
      <c r="AA1311" s="62" t="s">
        <v>54320</v>
      </c>
      <c r="AB1311" s="62" t="s">
        <v>16210</v>
      </c>
      <c r="AC1311" s="62" t="s">
        <v>16211</v>
      </c>
      <c r="AD1311" s="62" t="s">
        <v>16212</v>
      </c>
    </row>
    <row r="1312" spans="1:30" x14ac:dyDescent="0.25">
      <c r="A1312" s="62" t="s">
        <v>109</v>
      </c>
      <c r="C1312" s="62" t="s">
        <v>16213</v>
      </c>
      <c r="F1312" s="62" t="s">
        <v>872</v>
      </c>
      <c r="G1312" s="62" t="s">
        <v>54149</v>
      </c>
      <c r="J1312" s="62" t="s">
        <v>16214</v>
      </c>
      <c r="K1312" s="62" t="s">
        <v>54192</v>
      </c>
      <c r="L1312" s="62" t="s">
        <v>16215</v>
      </c>
      <c r="M1312" s="62" t="s">
        <v>16216</v>
      </c>
      <c r="N1312" s="62" t="s">
        <v>16217</v>
      </c>
      <c r="O1312" s="62" t="s">
        <v>16218</v>
      </c>
      <c r="P1312" s="62" t="s">
        <v>54235</v>
      </c>
      <c r="Q1312" s="62" t="s">
        <v>16219</v>
      </c>
      <c r="R1312" s="62" t="s">
        <v>16220</v>
      </c>
      <c r="S1312" s="62" t="s">
        <v>16221</v>
      </c>
      <c r="U1312" s="62" t="s">
        <v>16222</v>
      </c>
      <c r="V1312" s="62" t="s">
        <v>54278</v>
      </c>
      <c r="W1312" s="62" t="s">
        <v>16223</v>
      </c>
      <c r="X1312" s="62" t="s">
        <v>16224</v>
      </c>
      <c r="Y1312" s="62" t="s">
        <v>16225</v>
      </c>
      <c r="Z1312" s="62" t="s">
        <v>16226</v>
      </c>
      <c r="AA1312" s="62" t="s">
        <v>54321</v>
      </c>
      <c r="AB1312" s="62" t="s">
        <v>16227</v>
      </c>
      <c r="AC1312" s="62" t="s">
        <v>16228</v>
      </c>
      <c r="AD1312" s="62" t="s">
        <v>16229</v>
      </c>
    </row>
    <row r="1313" spans="1:30" x14ac:dyDescent="0.25">
      <c r="A1313" s="62" t="s">
        <v>109</v>
      </c>
      <c r="C1313" s="62" t="s">
        <v>16230</v>
      </c>
      <c r="F1313" s="62" t="s">
        <v>889</v>
      </c>
      <c r="G1313" s="62" t="s">
        <v>54150</v>
      </c>
      <c r="J1313" s="62" t="s">
        <v>16231</v>
      </c>
      <c r="K1313" s="62" t="s">
        <v>54193</v>
      </c>
      <c r="L1313" s="62" t="s">
        <v>16232</v>
      </c>
      <c r="M1313" s="62" t="s">
        <v>16233</v>
      </c>
      <c r="N1313" s="62" t="s">
        <v>16234</v>
      </c>
      <c r="O1313" s="62" t="s">
        <v>16235</v>
      </c>
      <c r="P1313" s="62" t="s">
        <v>54236</v>
      </c>
      <c r="Q1313" s="62" t="s">
        <v>16236</v>
      </c>
      <c r="R1313" s="62" t="s">
        <v>16237</v>
      </c>
      <c r="S1313" s="62" t="s">
        <v>16238</v>
      </c>
      <c r="U1313" s="62" t="s">
        <v>16239</v>
      </c>
      <c r="V1313" s="62" t="s">
        <v>54279</v>
      </c>
      <c r="W1313" s="62" t="s">
        <v>16240</v>
      </c>
      <c r="X1313" s="62" t="s">
        <v>16241</v>
      </c>
      <c r="Y1313" s="62" t="s">
        <v>16242</v>
      </c>
      <c r="Z1313" s="62" t="s">
        <v>16243</v>
      </c>
      <c r="AA1313" s="62" t="s">
        <v>54322</v>
      </c>
      <c r="AB1313" s="62" t="s">
        <v>16244</v>
      </c>
      <c r="AC1313" s="62" t="s">
        <v>16245</v>
      </c>
      <c r="AD1313" s="62" t="s">
        <v>16246</v>
      </c>
    </row>
    <row r="1314" spans="1:30" x14ac:dyDescent="0.25">
      <c r="A1314" s="62" t="s">
        <v>109</v>
      </c>
      <c r="C1314" s="62" t="s">
        <v>16247</v>
      </c>
      <c r="F1314" s="62" t="s">
        <v>898</v>
      </c>
      <c r="G1314" s="62" t="s">
        <v>54151</v>
      </c>
      <c r="J1314" s="62" t="s">
        <v>16248</v>
      </c>
      <c r="K1314" s="62" t="s">
        <v>54194</v>
      </c>
      <c r="L1314" s="62" t="s">
        <v>16249</v>
      </c>
      <c r="M1314" s="62" t="s">
        <v>16250</v>
      </c>
      <c r="N1314" s="62" t="s">
        <v>16251</v>
      </c>
      <c r="O1314" s="62" t="s">
        <v>16252</v>
      </c>
      <c r="P1314" s="62" t="s">
        <v>54237</v>
      </c>
      <c r="Q1314" s="62" t="s">
        <v>16253</v>
      </c>
      <c r="R1314" s="62" t="s">
        <v>16254</v>
      </c>
      <c r="S1314" s="62" t="s">
        <v>16255</v>
      </c>
      <c r="U1314" s="62" t="s">
        <v>16256</v>
      </c>
      <c r="V1314" s="62" t="s">
        <v>54280</v>
      </c>
      <c r="W1314" s="62" t="s">
        <v>16257</v>
      </c>
      <c r="X1314" s="62" t="s">
        <v>16258</v>
      </c>
      <c r="Y1314" s="62" t="s">
        <v>16259</v>
      </c>
      <c r="Z1314" s="62" t="s">
        <v>16260</v>
      </c>
      <c r="AA1314" s="62" t="s">
        <v>54323</v>
      </c>
      <c r="AB1314" s="62" t="s">
        <v>16261</v>
      </c>
      <c r="AC1314" s="62" t="s">
        <v>16262</v>
      </c>
      <c r="AD1314" s="62" t="s">
        <v>16263</v>
      </c>
    </row>
    <row r="1315" spans="1:30" x14ac:dyDescent="0.25">
      <c r="A1315" s="62" t="s">
        <v>109</v>
      </c>
      <c r="C1315" s="62" t="s">
        <v>16264</v>
      </c>
      <c r="F1315" s="62" t="s">
        <v>915</v>
      </c>
      <c r="G1315" s="62" t="s">
        <v>54152</v>
      </c>
      <c r="J1315" s="62" t="s">
        <v>16265</v>
      </c>
      <c r="K1315" s="62" t="s">
        <v>54195</v>
      </c>
      <c r="L1315" s="62" t="s">
        <v>16266</v>
      </c>
      <c r="M1315" s="62" t="s">
        <v>16267</v>
      </c>
      <c r="N1315" s="62" t="s">
        <v>16268</v>
      </c>
      <c r="O1315" s="62" t="s">
        <v>16269</v>
      </c>
      <c r="P1315" s="62" t="s">
        <v>54238</v>
      </c>
      <c r="Q1315" s="62" t="s">
        <v>16270</v>
      </c>
      <c r="R1315" s="62" t="s">
        <v>16271</v>
      </c>
      <c r="S1315" s="62" t="s">
        <v>16272</v>
      </c>
      <c r="U1315" s="62" t="s">
        <v>16273</v>
      </c>
      <c r="V1315" s="62" t="s">
        <v>54281</v>
      </c>
      <c r="W1315" s="62" t="s">
        <v>16274</v>
      </c>
      <c r="X1315" s="62" t="s">
        <v>16275</v>
      </c>
      <c r="Y1315" s="62" t="s">
        <v>16276</v>
      </c>
      <c r="Z1315" s="62" t="s">
        <v>16277</v>
      </c>
      <c r="AA1315" s="62" t="s">
        <v>54324</v>
      </c>
      <c r="AB1315" s="62" t="s">
        <v>16278</v>
      </c>
      <c r="AC1315" s="62" t="s">
        <v>16279</v>
      </c>
      <c r="AD1315" s="62" t="s">
        <v>16280</v>
      </c>
    </row>
    <row r="1316" spans="1:30" x14ac:dyDescent="0.25">
      <c r="A1316" s="62" t="s">
        <v>109</v>
      </c>
      <c r="C1316" s="62" t="s">
        <v>16281</v>
      </c>
      <c r="F1316" s="62" t="s">
        <v>925</v>
      </c>
      <c r="G1316" s="62" t="s">
        <v>54153</v>
      </c>
      <c r="J1316" s="62" t="s">
        <v>16282</v>
      </c>
      <c r="K1316" s="62" t="s">
        <v>54196</v>
      </c>
      <c r="L1316" s="62" t="s">
        <v>16283</v>
      </c>
      <c r="M1316" s="62" t="s">
        <v>16284</v>
      </c>
      <c r="N1316" s="62" t="s">
        <v>16285</v>
      </c>
      <c r="O1316" s="62" t="s">
        <v>16286</v>
      </c>
      <c r="P1316" s="62" t="s">
        <v>54239</v>
      </c>
      <c r="Q1316" s="62" t="s">
        <v>16287</v>
      </c>
      <c r="R1316" s="62" t="s">
        <v>16288</v>
      </c>
      <c r="S1316" s="62" t="s">
        <v>16289</v>
      </c>
      <c r="U1316" s="62" t="s">
        <v>16290</v>
      </c>
      <c r="V1316" s="62" t="s">
        <v>54282</v>
      </c>
      <c r="W1316" s="62" t="s">
        <v>16291</v>
      </c>
      <c r="X1316" s="62" t="s">
        <v>16292</v>
      </c>
      <c r="Y1316" s="62" t="s">
        <v>16293</v>
      </c>
      <c r="Z1316" s="62" t="s">
        <v>16294</v>
      </c>
      <c r="AA1316" s="62" t="s">
        <v>54325</v>
      </c>
      <c r="AB1316" s="62" t="s">
        <v>16295</v>
      </c>
      <c r="AC1316" s="62" t="s">
        <v>16296</v>
      </c>
      <c r="AD1316" s="62" t="s">
        <v>16297</v>
      </c>
    </row>
    <row r="1317" spans="1:30" x14ac:dyDescent="0.25">
      <c r="A1317" s="62" t="s">
        <v>109</v>
      </c>
      <c r="C1317" s="62" t="s">
        <v>16298</v>
      </c>
      <c r="F1317" s="62" t="s">
        <v>985</v>
      </c>
      <c r="G1317" s="62" t="s">
        <v>54154</v>
      </c>
      <c r="J1317" s="62" t="s">
        <v>16299</v>
      </c>
      <c r="K1317" s="62" t="s">
        <v>54197</v>
      </c>
      <c r="L1317" s="62" t="s">
        <v>16300</v>
      </c>
      <c r="M1317" s="62" t="s">
        <v>16301</v>
      </c>
      <c r="N1317" s="62" t="s">
        <v>16302</v>
      </c>
      <c r="O1317" s="62" t="s">
        <v>16303</v>
      </c>
      <c r="P1317" s="62" t="s">
        <v>54240</v>
      </c>
      <c r="Q1317" s="62" t="s">
        <v>16304</v>
      </c>
      <c r="R1317" s="62" t="s">
        <v>16305</v>
      </c>
      <c r="S1317" s="62" t="s">
        <v>16306</v>
      </c>
      <c r="U1317" s="62" t="s">
        <v>16307</v>
      </c>
      <c r="V1317" s="62" t="s">
        <v>54283</v>
      </c>
      <c r="W1317" s="62" t="s">
        <v>16308</v>
      </c>
      <c r="X1317" s="62" t="s">
        <v>16309</v>
      </c>
      <c r="Y1317" s="62" t="s">
        <v>16310</v>
      </c>
      <c r="Z1317" s="62" t="s">
        <v>16311</v>
      </c>
      <c r="AA1317" s="62" t="s">
        <v>54326</v>
      </c>
      <c r="AB1317" s="62" t="s">
        <v>16312</v>
      </c>
      <c r="AC1317" s="62" t="s">
        <v>16313</v>
      </c>
      <c r="AD1317" s="62" t="s">
        <v>16314</v>
      </c>
    </row>
    <row r="1318" spans="1:30" x14ac:dyDescent="0.25">
      <c r="A1318" s="62" t="s">
        <v>109</v>
      </c>
      <c r="C1318" s="62" t="s">
        <v>16315</v>
      </c>
      <c r="F1318" s="62" t="s">
        <v>1002</v>
      </c>
      <c r="G1318" s="62" t="s">
        <v>54155</v>
      </c>
      <c r="J1318" s="62" t="s">
        <v>16316</v>
      </c>
      <c r="K1318" s="62" t="s">
        <v>54198</v>
      </c>
      <c r="L1318" s="62" t="s">
        <v>16317</v>
      </c>
      <c r="M1318" s="62" t="s">
        <v>16318</v>
      </c>
      <c r="N1318" s="62" t="s">
        <v>16319</v>
      </c>
      <c r="O1318" s="62" t="s">
        <v>16320</v>
      </c>
      <c r="P1318" s="62" t="s">
        <v>54241</v>
      </c>
      <c r="Q1318" s="62" t="s">
        <v>16321</v>
      </c>
      <c r="R1318" s="62" t="s">
        <v>16322</v>
      </c>
      <c r="S1318" s="62" t="s">
        <v>16323</v>
      </c>
      <c r="U1318" s="62" t="s">
        <v>16324</v>
      </c>
      <c r="V1318" s="62" t="s">
        <v>54284</v>
      </c>
      <c r="W1318" s="62" t="s">
        <v>16325</v>
      </c>
      <c r="X1318" s="62" t="s">
        <v>16326</v>
      </c>
      <c r="Y1318" s="62" t="s">
        <v>16327</v>
      </c>
      <c r="Z1318" s="62" t="s">
        <v>16328</v>
      </c>
      <c r="AA1318" s="62" t="s">
        <v>54327</v>
      </c>
      <c r="AB1318" s="62" t="s">
        <v>16329</v>
      </c>
      <c r="AC1318" s="62" t="s">
        <v>16330</v>
      </c>
      <c r="AD1318" s="62" t="s">
        <v>16331</v>
      </c>
    </row>
    <row r="1319" spans="1:30" x14ac:dyDescent="0.25">
      <c r="A1319" s="62" t="s">
        <v>109</v>
      </c>
      <c r="C1319" s="62" t="s">
        <v>16332</v>
      </c>
      <c r="F1319" s="62" t="s">
        <v>1012</v>
      </c>
      <c r="G1319" s="62" t="s">
        <v>54156</v>
      </c>
      <c r="J1319" s="62" t="s">
        <v>16333</v>
      </c>
      <c r="K1319" s="62" t="s">
        <v>54199</v>
      </c>
      <c r="L1319" s="62" t="s">
        <v>16334</v>
      </c>
      <c r="M1319" s="62" t="s">
        <v>16335</v>
      </c>
      <c r="N1319" s="62" t="s">
        <v>16336</v>
      </c>
      <c r="O1319" s="62" t="s">
        <v>16337</v>
      </c>
      <c r="P1319" s="62" t="s">
        <v>54242</v>
      </c>
      <c r="Q1319" s="62" t="s">
        <v>16338</v>
      </c>
      <c r="R1319" s="62" t="s">
        <v>16339</v>
      </c>
      <c r="S1319" s="62" t="s">
        <v>16340</v>
      </c>
      <c r="U1319" s="62" t="s">
        <v>16341</v>
      </c>
      <c r="V1319" s="62" t="s">
        <v>54285</v>
      </c>
      <c r="W1319" s="62" t="s">
        <v>16342</v>
      </c>
      <c r="X1319" s="62" t="s">
        <v>16343</v>
      </c>
      <c r="Y1319" s="62" t="s">
        <v>16344</v>
      </c>
      <c r="Z1319" s="62" t="s">
        <v>16345</v>
      </c>
      <c r="AA1319" s="62" t="s">
        <v>54328</v>
      </c>
      <c r="AB1319" s="62" t="s">
        <v>16346</v>
      </c>
      <c r="AC1319" s="62" t="s">
        <v>16347</v>
      </c>
      <c r="AD1319" s="62" t="s">
        <v>16348</v>
      </c>
    </row>
    <row r="1320" spans="1:30" x14ac:dyDescent="0.25">
      <c r="A1320" s="62" t="s">
        <v>109</v>
      </c>
      <c r="C1320" s="62" t="s">
        <v>16349</v>
      </c>
      <c r="F1320" s="62" t="s">
        <v>1047</v>
      </c>
      <c r="G1320" s="62" t="s">
        <v>54157</v>
      </c>
      <c r="J1320" s="62" t="s">
        <v>16350</v>
      </c>
      <c r="K1320" s="62" t="s">
        <v>54200</v>
      </c>
      <c r="L1320" s="62" t="s">
        <v>16351</v>
      </c>
      <c r="M1320" s="62" t="s">
        <v>16352</v>
      </c>
      <c r="N1320" s="62" t="s">
        <v>16353</v>
      </c>
      <c r="O1320" s="62" t="s">
        <v>16354</v>
      </c>
      <c r="P1320" s="62" t="s">
        <v>54243</v>
      </c>
      <c r="Q1320" s="62" t="s">
        <v>16355</v>
      </c>
      <c r="R1320" s="62" t="s">
        <v>16356</v>
      </c>
      <c r="S1320" s="62" t="s">
        <v>16357</v>
      </c>
      <c r="U1320" s="62" t="s">
        <v>16358</v>
      </c>
      <c r="V1320" s="62" t="s">
        <v>54286</v>
      </c>
      <c r="W1320" s="62" t="s">
        <v>16359</v>
      </c>
      <c r="X1320" s="62" t="s">
        <v>16360</v>
      </c>
      <c r="Y1320" s="62" t="s">
        <v>16361</v>
      </c>
      <c r="Z1320" s="62" t="s">
        <v>16362</v>
      </c>
      <c r="AA1320" s="62" t="s">
        <v>54329</v>
      </c>
      <c r="AB1320" s="62" t="s">
        <v>16363</v>
      </c>
      <c r="AC1320" s="62" t="s">
        <v>16364</v>
      </c>
      <c r="AD1320" s="62" t="s">
        <v>16365</v>
      </c>
    </row>
    <row r="1321" spans="1:30" x14ac:dyDescent="0.25">
      <c r="A1321" s="62" t="s">
        <v>109</v>
      </c>
      <c r="C1321" s="62" t="s">
        <v>16366</v>
      </c>
      <c r="F1321" s="62" t="s">
        <v>1064</v>
      </c>
      <c r="G1321" s="62" t="s">
        <v>54158</v>
      </c>
      <c r="J1321" s="62" t="s">
        <v>16367</v>
      </c>
      <c r="K1321" s="62" t="s">
        <v>54201</v>
      </c>
      <c r="L1321" s="62" t="s">
        <v>16368</v>
      </c>
      <c r="M1321" s="62" t="s">
        <v>16369</v>
      </c>
      <c r="N1321" s="62" t="s">
        <v>16370</v>
      </c>
      <c r="O1321" s="62" t="s">
        <v>16371</v>
      </c>
      <c r="P1321" s="62" t="s">
        <v>54244</v>
      </c>
      <c r="Q1321" s="62" t="s">
        <v>16372</v>
      </c>
      <c r="R1321" s="62" t="s">
        <v>16373</v>
      </c>
      <c r="S1321" s="62" t="s">
        <v>16374</v>
      </c>
      <c r="U1321" s="62" t="s">
        <v>16375</v>
      </c>
      <c r="V1321" s="62" t="s">
        <v>54287</v>
      </c>
      <c r="W1321" s="62" t="s">
        <v>16376</v>
      </c>
      <c r="X1321" s="62" t="s">
        <v>16377</v>
      </c>
      <c r="Y1321" s="62" t="s">
        <v>16378</v>
      </c>
      <c r="Z1321" s="62" t="s">
        <v>16379</v>
      </c>
      <c r="AA1321" s="62" t="s">
        <v>54330</v>
      </c>
      <c r="AB1321" s="62" t="s">
        <v>16380</v>
      </c>
      <c r="AC1321" s="62" t="s">
        <v>16381</v>
      </c>
      <c r="AD1321" s="62" t="s">
        <v>16382</v>
      </c>
    </row>
    <row r="1322" spans="1:30" x14ac:dyDescent="0.25">
      <c r="A1322" s="62" t="s">
        <v>109</v>
      </c>
      <c r="C1322" s="62" t="s">
        <v>42986</v>
      </c>
      <c r="F1322" s="62" t="s">
        <v>1073</v>
      </c>
      <c r="G1322" s="62" t="s">
        <v>54159</v>
      </c>
      <c r="J1322" s="62" t="s">
        <v>42987</v>
      </c>
      <c r="K1322" s="62" t="s">
        <v>54202</v>
      </c>
      <c r="L1322" s="62" t="s">
        <v>42988</v>
      </c>
      <c r="M1322" s="62" t="s">
        <v>42989</v>
      </c>
      <c r="N1322" s="62" t="s">
        <v>42990</v>
      </c>
      <c r="O1322" s="62" t="s">
        <v>42991</v>
      </c>
      <c r="P1322" s="62" t="s">
        <v>54245</v>
      </c>
      <c r="Q1322" s="62" t="s">
        <v>42992</v>
      </c>
      <c r="R1322" s="62" t="s">
        <v>42993</v>
      </c>
      <c r="S1322" s="62" t="s">
        <v>42994</v>
      </c>
      <c r="U1322" s="62" t="s">
        <v>42995</v>
      </c>
      <c r="V1322" s="62" t="s">
        <v>54288</v>
      </c>
      <c r="W1322" s="62" t="s">
        <v>42996</v>
      </c>
      <c r="X1322" s="62" t="s">
        <v>42997</v>
      </c>
      <c r="Y1322" s="62" t="s">
        <v>42998</v>
      </c>
      <c r="Z1322" s="62" t="s">
        <v>42999</v>
      </c>
      <c r="AA1322" s="62" t="s">
        <v>54331</v>
      </c>
      <c r="AB1322" s="62" t="s">
        <v>43000</v>
      </c>
      <c r="AC1322" s="62" t="s">
        <v>43001</v>
      </c>
      <c r="AD1322" s="62" t="s">
        <v>43002</v>
      </c>
    </row>
    <row r="1323" spans="1:30" x14ac:dyDescent="0.25">
      <c r="A1323" s="62" t="s">
        <v>109</v>
      </c>
      <c r="C1323" s="62" t="s">
        <v>16383</v>
      </c>
      <c r="F1323" s="62" t="s">
        <v>1090</v>
      </c>
      <c r="G1323" s="62" t="s">
        <v>54160</v>
      </c>
      <c r="J1323" s="62" t="s">
        <v>43003</v>
      </c>
      <c r="K1323" s="62" t="s">
        <v>54203</v>
      </c>
      <c r="L1323" s="62" t="s">
        <v>43004</v>
      </c>
      <c r="M1323" s="62" t="s">
        <v>16384</v>
      </c>
      <c r="N1323" s="62" t="s">
        <v>16385</v>
      </c>
      <c r="O1323" s="62" t="s">
        <v>43005</v>
      </c>
      <c r="P1323" s="62" t="s">
        <v>54246</v>
      </c>
      <c r="Q1323" s="62" t="s">
        <v>43006</v>
      </c>
      <c r="R1323" s="62" t="s">
        <v>16386</v>
      </c>
      <c r="S1323" s="62" t="s">
        <v>16387</v>
      </c>
      <c r="U1323" s="62" t="s">
        <v>43007</v>
      </c>
      <c r="V1323" s="62" t="s">
        <v>54289</v>
      </c>
      <c r="W1323" s="62" t="s">
        <v>43008</v>
      </c>
      <c r="X1323" s="62" t="s">
        <v>16388</v>
      </c>
      <c r="Y1323" s="62" t="s">
        <v>16389</v>
      </c>
      <c r="Z1323" s="62" t="s">
        <v>43009</v>
      </c>
      <c r="AA1323" s="62" t="s">
        <v>54332</v>
      </c>
      <c r="AB1323" s="62" t="s">
        <v>43010</v>
      </c>
      <c r="AC1323" s="62" t="s">
        <v>16390</v>
      </c>
      <c r="AD1323" s="62" t="s">
        <v>16391</v>
      </c>
    </row>
    <row r="1324" spans="1:30" x14ac:dyDescent="0.25">
      <c r="A1324" s="62" t="s">
        <v>109</v>
      </c>
      <c r="C1324" s="62" t="s">
        <v>43011</v>
      </c>
      <c r="F1324" s="62" t="s">
        <v>1100</v>
      </c>
      <c r="G1324" s="62" t="s">
        <v>54161</v>
      </c>
      <c r="J1324" s="62" t="s">
        <v>43012</v>
      </c>
      <c r="K1324" s="62" t="s">
        <v>54204</v>
      </c>
      <c r="L1324" s="62" t="s">
        <v>43013</v>
      </c>
      <c r="M1324" s="62" t="s">
        <v>43014</v>
      </c>
      <c r="N1324" s="62" t="s">
        <v>43015</v>
      </c>
      <c r="O1324" s="62" t="s">
        <v>43016</v>
      </c>
      <c r="P1324" s="62" t="s">
        <v>54247</v>
      </c>
      <c r="Q1324" s="62" t="s">
        <v>43017</v>
      </c>
      <c r="R1324" s="62" t="s">
        <v>43018</v>
      </c>
      <c r="S1324" s="62" t="s">
        <v>43019</v>
      </c>
      <c r="U1324" s="62" t="s">
        <v>43020</v>
      </c>
      <c r="V1324" s="62" t="s">
        <v>54290</v>
      </c>
      <c r="W1324" s="62" t="s">
        <v>43021</v>
      </c>
      <c r="X1324" s="62" t="s">
        <v>43022</v>
      </c>
      <c r="Y1324" s="62" t="s">
        <v>43023</v>
      </c>
      <c r="Z1324" s="62" t="s">
        <v>43024</v>
      </c>
      <c r="AA1324" s="62" t="s">
        <v>54333</v>
      </c>
      <c r="AB1324" s="62" t="s">
        <v>43025</v>
      </c>
      <c r="AC1324" s="62" t="s">
        <v>43026</v>
      </c>
      <c r="AD1324" s="62" t="s">
        <v>43027</v>
      </c>
    </row>
    <row r="1325" spans="1:30" x14ac:dyDescent="0.25">
      <c r="A1325" s="62" t="s">
        <v>109</v>
      </c>
      <c r="C1325" s="62" t="s">
        <v>43028</v>
      </c>
      <c r="F1325" s="62" t="s">
        <v>1118</v>
      </c>
      <c r="G1325" s="62" t="s">
        <v>54162</v>
      </c>
      <c r="J1325" s="62" t="s">
        <v>43029</v>
      </c>
      <c r="K1325" s="62" t="s">
        <v>54205</v>
      </c>
      <c r="L1325" s="62" t="s">
        <v>43030</v>
      </c>
      <c r="M1325" s="62" t="s">
        <v>43031</v>
      </c>
      <c r="N1325" s="62" t="s">
        <v>43032</v>
      </c>
      <c r="O1325" s="62" t="s">
        <v>43033</v>
      </c>
      <c r="P1325" s="62" t="s">
        <v>54248</v>
      </c>
      <c r="Q1325" s="62" t="s">
        <v>43034</v>
      </c>
      <c r="R1325" s="62" t="s">
        <v>43035</v>
      </c>
      <c r="S1325" s="62" t="s">
        <v>43036</v>
      </c>
      <c r="U1325" s="62" t="s">
        <v>43037</v>
      </c>
      <c r="V1325" s="62" t="s">
        <v>54291</v>
      </c>
      <c r="W1325" s="62" t="s">
        <v>43038</v>
      </c>
      <c r="X1325" s="62" t="s">
        <v>43039</v>
      </c>
      <c r="Y1325" s="62" t="s">
        <v>43040</v>
      </c>
      <c r="Z1325" s="62" t="s">
        <v>43041</v>
      </c>
      <c r="AA1325" s="62" t="s">
        <v>54334</v>
      </c>
      <c r="AB1325" s="62" t="s">
        <v>43042</v>
      </c>
      <c r="AC1325" s="62" t="s">
        <v>43043</v>
      </c>
      <c r="AD1325" s="62" t="s">
        <v>43044</v>
      </c>
    </row>
    <row r="1326" spans="1:30" x14ac:dyDescent="0.25">
      <c r="A1326" s="62" t="s">
        <v>109</v>
      </c>
      <c r="C1326" s="62" t="s">
        <v>16393</v>
      </c>
      <c r="F1326" s="62" t="s">
        <v>1135</v>
      </c>
      <c r="G1326" s="62" t="s">
        <v>54163</v>
      </c>
      <c r="J1326" s="62" t="s">
        <v>43045</v>
      </c>
      <c r="K1326" s="62" t="s">
        <v>54206</v>
      </c>
      <c r="L1326" s="62" t="s">
        <v>43046</v>
      </c>
      <c r="M1326" s="62" t="s">
        <v>43047</v>
      </c>
      <c r="N1326" s="62" t="s">
        <v>43048</v>
      </c>
      <c r="O1326" s="62" t="s">
        <v>43049</v>
      </c>
      <c r="P1326" s="62" t="s">
        <v>54249</v>
      </c>
      <c r="Q1326" s="62" t="s">
        <v>43050</v>
      </c>
      <c r="R1326" s="62" t="s">
        <v>43051</v>
      </c>
      <c r="S1326" s="62" t="s">
        <v>43052</v>
      </c>
      <c r="U1326" s="62" t="s">
        <v>43053</v>
      </c>
      <c r="V1326" s="62" t="s">
        <v>54292</v>
      </c>
      <c r="W1326" s="62" t="s">
        <v>43054</v>
      </c>
      <c r="X1326" s="62" t="s">
        <v>43055</v>
      </c>
      <c r="Y1326" s="62" t="s">
        <v>43056</v>
      </c>
      <c r="Z1326" s="62" t="s">
        <v>43057</v>
      </c>
      <c r="AA1326" s="62" t="s">
        <v>54335</v>
      </c>
      <c r="AB1326" s="62" t="s">
        <v>43058</v>
      </c>
      <c r="AC1326" s="62" t="s">
        <v>43059</v>
      </c>
      <c r="AD1326" s="62" t="s">
        <v>43060</v>
      </c>
    </row>
    <row r="1327" spans="1:30" x14ac:dyDescent="0.25">
      <c r="A1327" s="62" t="s">
        <v>109</v>
      </c>
      <c r="C1327" s="62" t="s">
        <v>16394</v>
      </c>
      <c r="F1327" s="62" t="s">
        <v>1152</v>
      </c>
      <c r="G1327" s="62" t="s">
        <v>54164</v>
      </c>
      <c r="J1327" s="62" t="s">
        <v>16395</v>
      </c>
      <c r="K1327" s="62" t="s">
        <v>54207</v>
      </c>
      <c r="L1327" s="62" t="s">
        <v>16396</v>
      </c>
      <c r="M1327" s="62" t="s">
        <v>16397</v>
      </c>
      <c r="N1327" s="62" t="s">
        <v>16398</v>
      </c>
      <c r="O1327" s="62" t="s">
        <v>16399</v>
      </c>
      <c r="P1327" s="62" t="s">
        <v>54250</v>
      </c>
      <c r="Q1327" s="62" t="s">
        <v>16400</v>
      </c>
      <c r="R1327" s="62" t="s">
        <v>16401</v>
      </c>
      <c r="S1327" s="62" t="s">
        <v>16402</v>
      </c>
      <c r="U1327" s="62" t="s">
        <v>16403</v>
      </c>
      <c r="V1327" s="62" t="s">
        <v>54293</v>
      </c>
      <c r="W1327" s="62" t="s">
        <v>16404</v>
      </c>
      <c r="X1327" s="62" t="s">
        <v>16405</v>
      </c>
      <c r="Y1327" s="62" t="s">
        <v>16406</v>
      </c>
      <c r="Z1327" s="62" t="s">
        <v>16407</v>
      </c>
      <c r="AA1327" s="62" t="s">
        <v>54336</v>
      </c>
      <c r="AB1327" s="62" t="s">
        <v>16408</v>
      </c>
      <c r="AC1327" s="62" t="s">
        <v>16409</v>
      </c>
      <c r="AD1327" s="62" t="s">
        <v>16410</v>
      </c>
    </row>
    <row r="1328" spans="1:30" x14ac:dyDescent="0.25">
      <c r="A1328" s="62" t="s">
        <v>109</v>
      </c>
      <c r="C1328" s="62" t="s">
        <v>16411</v>
      </c>
      <c r="F1328" s="62" t="s">
        <v>1688</v>
      </c>
      <c r="G1328" s="62" t="s">
        <v>54165</v>
      </c>
      <c r="J1328" s="62" t="s">
        <v>16412</v>
      </c>
      <c r="K1328" s="62" t="s">
        <v>54208</v>
      </c>
      <c r="L1328" s="62" t="s">
        <v>16413</v>
      </c>
      <c r="M1328" s="62" t="s">
        <v>16414</v>
      </c>
      <c r="N1328" s="62" t="s">
        <v>16415</v>
      </c>
      <c r="O1328" s="62" t="s">
        <v>16416</v>
      </c>
      <c r="P1328" s="62" t="s">
        <v>54251</v>
      </c>
      <c r="Q1328" s="62" t="s">
        <v>16417</v>
      </c>
      <c r="R1328" s="62" t="s">
        <v>16418</v>
      </c>
      <c r="S1328" s="62" t="s">
        <v>16419</v>
      </c>
      <c r="U1328" s="62" t="s">
        <v>16420</v>
      </c>
      <c r="V1328" s="62" t="s">
        <v>54294</v>
      </c>
      <c r="W1328" s="62" t="s">
        <v>16421</v>
      </c>
      <c r="X1328" s="62" t="s">
        <v>16422</v>
      </c>
      <c r="Y1328" s="62" t="s">
        <v>16423</v>
      </c>
      <c r="Z1328" s="62" t="s">
        <v>16424</v>
      </c>
      <c r="AA1328" s="62" t="s">
        <v>54337</v>
      </c>
      <c r="AB1328" s="62" t="s">
        <v>16425</v>
      </c>
      <c r="AC1328" s="62" t="s">
        <v>16426</v>
      </c>
      <c r="AD1328" s="62" t="s">
        <v>16427</v>
      </c>
    </row>
    <row r="1329" spans="1:30" x14ac:dyDescent="0.25">
      <c r="A1329" s="62" t="s">
        <v>109</v>
      </c>
      <c r="C1329" s="62" t="s">
        <v>16428</v>
      </c>
      <c r="F1329" s="62" t="s">
        <v>1161</v>
      </c>
      <c r="G1329" s="62" t="s">
        <v>54166</v>
      </c>
      <c r="J1329" s="62" t="s">
        <v>16429</v>
      </c>
      <c r="K1329" s="62" t="s">
        <v>54209</v>
      </c>
      <c r="L1329" s="62" t="s">
        <v>16430</v>
      </c>
      <c r="M1329" s="62" t="s">
        <v>16431</v>
      </c>
      <c r="N1329" s="62" t="s">
        <v>16432</v>
      </c>
      <c r="O1329" s="62" t="s">
        <v>16433</v>
      </c>
      <c r="P1329" s="62" t="s">
        <v>54252</v>
      </c>
      <c r="Q1329" s="62" t="s">
        <v>16434</v>
      </c>
      <c r="R1329" s="62" t="s">
        <v>16435</v>
      </c>
      <c r="S1329" s="62" t="s">
        <v>16436</v>
      </c>
      <c r="U1329" s="62" t="s">
        <v>16437</v>
      </c>
      <c r="V1329" s="62" t="s">
        <v>54295</v>
      </c>
      <c r="W1329" s="62" t="s">
        <v>16438</v>
      </c>
      <c r="X1329" s="62" t="s">
        <v>16439</v>
      </c>
      <c r="Y1329" s="62" t="s">
        <v>16440</v>
      </c>
      <c r="Z1329" s="62" t="s">
        <v>16441</v>
      </c>
      <c r="AA1329" s="62" t="s">
        <v>54338</v>
      </c>
      <c r="AB1329" s="62" t="s">
        <v>16442</v>
      </c>
      <c r="AC1329" s="62" t="s">
        <v>16443</v>
      </c>
      <c r="AD1329" s="62" t="s">
        <v>16444</v>
      </c>
    </row>
    <row r="1330" spans="1:30" x14ac:dyDescent="0.25">
      <c r="A1330" s="62" t="s">
        <v>109</v>
      </c>
      <c r="C1330" s="62" t="s">
        <v>16445</v>
      </c>
      <c r="F1330" s="62" t="s">
        <v>1178</v>
      </c>
      <c r="G1330" s="62" t="s">
        <v>54167</v>
      </c>
      <c r="J1330" s="62" t="s">
        <v>16446</v>
      </c>
      <c r="K1330" s="62" t="s">
        <v>54210</v>
      </c>
      <c r="L1330" s="62" t="s">
        <v>16447</v>
      </c>
      <c r="M1330" s="62" t="s">
        <v>16448</v>
      </c>
      <c r="N1330" s="62" t="s">
        <v>16449</v>
      </c>
      <c r="O1330" s="62" t="s">
        <v>16450</v>
      </c>
      <c r="P1330" s="62" t="s">
        <v>54253</v>
      </c>
      <c r="Q1330" s="62" t="s">
        <v>16451</v>
      </c>
      <c r="R1330" s="62" t="s">
        <v>16452</v>
      </c>
      <c r="S1330" s="62" t="s">
        <v>16453</v>
      </c>
      <c r="U1330" s="62" t="s">
        <v>16454</v>
      </c>
      <c r="V1330" s="62" t="s">
        <v>54296</v>
      </c>
      <c r="W1330" s="62" t="s">
        <v>16455</v>
      </c>
      <c r="X1330" s="62" t="s">
        <v>16456</v>
      </c>
      <c r="Y1330" s="62" t="s">
        <v>16457</v>
      </c>
      <c r="Z1330" s="62" t="s">
        <v>16458</v>
      </c>
      <c r="AA1330" s="62" t="s">
        <v>54339</v>
      </c>
      <c r="AB1330" s="62" t="s">
        <v>16459</v>
      </c>
      <c r="AC1330" s="62" t="s">
        <v>16460</v>
      </c>
      <c r="AD1330" s="62" t="s">
        <v>16461</v>
      </c>
    </row>
    <row r="1331" spans="1:30" x14ac:dyDescent="0.25">
      <c r="A1331" s="62" t="s">
        <v>109</v>
      </c>
      <c r="C1331" s="62" t="s">
        <v>16462</v>
      </c>
      <c r="F1331" s="62" t="s">
        <v>1188</v>
      </c>
      <c r="G1331" s="62" t="s">
        <v>54168</v>
      </c>
      <c r="J1331" s="62" t="s">
        <v>16463</v>
      </c>
      <c r="K1331" s="62" t="s">
        <v>54211</v>
      </c>
      <c r="L1331" s="62" t="s">
        <v>16464</v>
      </c>
      <c r="M1331" s="62" t="s">
        <v>16465</v>
      </c>
      <c r="N1331" s="62" t="s">
        <v>16466</v>
      </c>
      <c r="O1331" s="62" t="s">
        <v>16467</v>
      </c>
      <c r="P1331" s="62" t="s">
        <v>54254</v>
      </c>
      <c r="Q1331" s="62" t="s">
        <v>16468</v>
      </c>
      <c r="R1331" s="62" t="s">
        <v>16469</v>
      </c>
      <c r="S1331" s="62" t="s">
        <v>16470</v>
      </c>
      <c r="U1331" s="62" t="s">
        <v>16471</v>
      </c>
      <c r="V1331" s="62" t="s">
        <v>54297</v>
      </c>
      <c r="W1331" s="62" t="s">
        <v>16472</v>
      </c>
      <c r="X1331" s="62" t="s">
        <v>16473</v>
      </c>
      <c r="Y1331" s="62" t="s">
        <v>16474</v>
      </c>
      <c r="Z1331" s="62" t="s">
        <v>16475</v>
      </c>
      <c r="AA1331" s="62" t="s">
        <v>54340</v>
      </c>
      <c r="AB1331" s="62" t="s">
        <v>16476</v>
      </c>
      <c r="AC1331" s="62" t="s">
        <v>16477</v>
      </c>
      <c r="AD1331" s="62" t="s">
        <v>16478</v>
      </c>
    </row>
    <row r="1332" spans="1:30" x14ac:dyDescent="0.25">
      <c r="A1332" s="62" t="s">
        <v>109</v>
      </c>
      <c r="C1332" s="62" t="s">
        <v>16479</v>
      </c>
      <c r="F1332" s="62" t="s">
        <v>1206</v>
      </c>
      <c r="G1332" s="62" t="s">
        <v>54169</v>
      </c>
      <c r="J1332" s="62" t="s">
        <v>16480</v>
      </c>
      <c r="K1332" s="62" t="s">
        <v>54212</v>
      </c>
      <c r="L1332" s="62" t="s">
        <v>16481</v>
      </c>
      <c r="M1332" s="62" t="s">
        <v>16482</v>
      </c>
      <c r="N1332" s="62" t="s">
        <v>16483</v>
      </c>
      <c r="O1332" s="62" t="s">
        <v>16484</v>
      </c>
      <c r="P1332" s="62" t="s">
        <v>54255</v>
      </c>
      <c r="Q1332" s="62" t="s">
        <v>16485</v>
      </c>
      <c r="R1332" s="62" t="s">
        <v>16486</v>
      </c>
      <c r="S1332" s="62" t="s">
        <v>16487</v>
      </c>
      <c r="U1332" s="62" t="s">
        <v>16488</v>
      </c>
      <c r="V1332" s="62" t="s">
        <v>54298</v>
      </c>
      <c r="W1332" s="62" t="s">
        <v>16489</v>
      </c>
      <c r="X1332" s="62" t="s">
        <v>16490</v>
      </c>
      <c r="Y1332" s="62" t="s">
        <v>16491</v>
      </c>
      <c r="Z1332" s="62" t="s">
        <v>16492</v>
      </c>
      <c r="AA1332" s="62" t="s">
        <v>54341</v>
      </c>
      <c r="AB1332" s="62" t="s">
        <v>16493</v>
      </c>
      <c r="AC1332" s="62" t="s">
        <v>16494</v>
      </c>
      <c r="AD1332" s="62" t="s">
        <v>16495</v>
      </c>
    </row>
    <row r="1333" spans="1:30" x14ac:dyDescent="0.25">
      <c r="A1333" s="62" t="s">
        <v>109</v>
      </c>
      <c r="C1333" s="62" t="s">
        <v>16496</v>
      </c>
      <c r="F1333" s="62" t="s">
        <v>1249</v>
      </c>
      <c r="G1333" s="62" t="s">
        <v>54170</v>
      </c>
      <c r="J1333" s="62" t="s">
        <v>16497</v>
      </c>
      <c r="K1333" s="62" t="s">
        <v>54213</v>
      </c>
      <c r="L1333" s="62" t="s">
        <v>16498</v>
      </c>
      <c r="M1333" s="62" t="s">
        <v>16499</v>
      </c>
      <c r="N1333" s="62" t="s">
        <v>16500</v>
      </c>
      <c r="O1333" s="62" t="s">
        <v>16501</v>
      </c>
      <c r="P1333" s="62" t="s">
        <v>54256</v>
      </c>
      <c r="Q1333" s="62" t="s">
        <v>16502</v>
      </c>
      <c r="R1333" s="62" t="s">
        <v>16503</v>
      </c>
      <c r="S1333" s="62" t="s">
        <v>16504</v>
      </c>
      <c r="U1333" s="62" t="s">
        <v>16505</v>
      </c>
      <c r="V1333" s="62" t="s">
        <v>54299</v>
      </c>
      <c r="W1333" s="62" t="s">
        <v>16506</v>
      </c>
      <c r="X1333" s="62" t="s">
        <v>16507</v>
      </c>
      <c r="Y1333" s="62" t="s">
        <v>16508</v>
      </c>
      <c r="Z1333" s="62" t="s">
        <v>16509</v>
      </c>
      <c r="AA1333" s="62" t="s">
        <v>54342</v>
      </c>
      <c r="AB1333" s="62" t="s">
        <v>16510</v>
      </c>
      <c r="AC1333" s="62" t="s">
        <v>16511</v>
      </c>
      <c r="AD1333" s="62" t="s">
        <v>16512</v>
      </c>
    </row>
    <row r="1334" spans="1:30" x14ac:dyDescent="0.25">
      <c r="A1334" s="62" t="s">
        <v>109</v>
      </c>
      <c r="C1334" s="62" t="s">
        <v>16513</v>
      </c>
      <c r="F1334" s="62" t="s">
        <v>1266</v>
      </c>
      <c r="G1334" s="62" t="s">
        <v>54171</v>
      </c>
      <c r="J1334" s="62" t="s">
        <v>16514</v>
      </c>
      <c r="K1334" s="62" t="s">
        <v>54214</v>
      </c>
      <c r="L1334" s="62" t="s">
        <v>16515</v>
      </c>
      <c r="M1334" s="62" t="s">
        <v>16516</v>
      </c>
      <c r="N1334" s="62" t="s">
        <v>16517</v>
      </c>
      <c r="O1334" s="62" t="s">
        <v>16518</v>
      </c>
      <c r="P1334" s="62" t="s">
        <v>54257</v>
      </c>
      <c r="Q1334" s="62" t="s">
        <v>16519</v>
      </c>
      <c r="R1334" s="62" t="s">
        <v>16520</v>
      </c>
      <c r="S1334" s="62" t="s">
        <v>16521</v>
      </c>
      <c r="U1334" s="62" t="s">
        <v>16522</v>
      </c>
      <c r="V1334" s="62" t="s">
        <v>54300</v>
      </c>
      <c r="W1334" s="62" t="s">
        <v>16523</v>
      </c>
      <c r="X1334" s="62" t="s">
        <v>16524</v>
      </c>
      <c r="Y1334" s="62" t="s">
        <v>16525</v>
      </c>
      <c r="Z1334" s="62" t="s">
        <v>16526</v>
      </c>
      <c r="AA1334" s="62" t="s">
        <v>54343</v>
      </c>
      <c r="AB1334" s="62" t="s">
        <v>16527</v>
      </c>
      <c r="AC1334" s="62" t="s">
        <v>16528</v>
      </c>
      <c r="AD1334" s="62" t="s">
        <v>16529</v>
      </c>
    </row>
    <row r="1335" spans="1:30" x14ac:dyDescent="0.25">
      <c r="A1335" s="62" t="s">
        <v>109</v>
      </c>
      <c r="C1335" s="62" t="s">
        <v>16530</v>
      </c>
      <c r="F1335" s="62" t="s">
        <v>1275</v>
      </c>
      <c r="G1335" s="62" t="s">
        <v>54172</v>
      </c>
      <c r="J1335" s="62" t="s">
        <v>16531</v>
      </c>
      <c r="K1335" s="62" t="s">
        <v>54215</v>
      </c>
      <c r="L1335" s="62" t="s">
        <v>16532</v>
      </c>
      <c r="M1335" s="62" t="s">
        <v>16533</v>
      </c>
      <c r="N1335" s="62" t="s">
        <v>16534</v>
      </c>
      <c r="O1335" s="62" t="s">
        <v>16535</v>
      </c>
      <c r="P1335" s="62" t="s">
        <v>54258</v>
      </c>
      <c r="Q1335" s="62" t="s">
        <v>16536</v>
      </c>
      <c r="R1335" s="62" t="s">
        <v>16537</v>
      </c>
      <c r="S1335" s="62" t="s">
        <v>16538</v>
      </c>
      <c r="U1335" s="62" t="s">
        <v>16539</v>
      </c>
      <c r="V1335" s="62" t="s">
        <v>54301</v>
      </c>
      <c r="W1335" s="62" t="s">
        <v>16540</v>
      </c>
      <c r="X1335" s="62" t="s">
        <v>16541</v>
      </c>
      <c r="Y1335" s="62" t="s">
        <v>16542</v>
      </c>
      <c r="Z1335" s="62" t="s">
        <v>16543</v>
      </c>
      <c r="AA1335" s="62" t="s">
        <v>54344</v>
      </c>
      <c r="AB1335" s="62" t="s">
        <v>16544</v>
      </c>
      <c r="AC1335" s="62" t="s">
        <v>16545</v>
      </c>
      <c r="AD1335" s="62" t="s">
        <v>16546</v>
      </c>
    </row>
    <row r="1336" spans="1:30" x14ac:dyDescent="0.25">
      <c r="A1336" s="62" t="s">
        <v>109</v>
      </c>
      <c r="C1336" s="62" t="s">
        <v>16547</v>
      </c>
      <c r="F1336" s="62" t="s">
        <v>1277</v>
      </c>
      <c r="G1336" s="62" t="s">
        <v>54173</v>
      </c>
      <c r="J1336" s="62" t="s">
        <v>16548</v>
      </c>
      <c r="K1336" s="62" t="s">
        <v>54216</v>
      </c>
      <c r="L1336" s="62" t="s">
        <v>16549</v>
      </c>
      <c r="M1336" s="62" t="s">
        <v>16550</v>
      </c>
      <c r="N1336" s="62" t="s">
        <v>16551</v>
      </c>
      <c r="O1336" s="62" t="s">
        <v>16552</v>
      </c>
      <c r="P1336" s="62" t="s">
        <v>54259</v>
      </c>
      <c r="Q1336" s="62" t="s">
        <v>16553</v>
      </c>
      <c r="R1336" s="62" t="s">
        <v>16554</v>
      </c>
      <c r="S1336" s="62" t="s">
        <v>16555</v>
      </c>
      <c r="U1336" s="62" t="s">
        <v>16556</v>
      </c>
      <c r="V1336" s="62" t="s">
        <v>54302</v>
      </c>
      <c r="W1336" s="62" t="s">
        <v>16557</v>
      </c>
      <c r="X1336" s="62" t="s">
        <v>16558</v>
      </c>
      <c r="Y1336" s="62" t="s">
        <v>16559</v>
      </c>
      <c r="Z1336" s="62" t="s">
        <v>16560</v>
      </c>
      <c r="AA1336" s="62" t="s">
        <v>54345</v>
      </c>
      <c r="AB1336" s="62" t="s">
        <v>16561</v>
      </c>
      <c r="AC1336" s="62" t="s">
        <v>16562</v>
      </c>
      <c r="AD1336" s="62" t="s">
        <v>16563</v>
      </c>
    </row>
    <row r="1337" spans="1:30" x14ac:dyDescent="0.25">
      <c r="A1337" s="62" t="s">
        <v>109</v>
      </c>
      <c r="C1337" s="62" t="s">
        <v>16564</v>
      </c>
      <c r="F1337" s="62" t="s">
        <v>1795</v>
      </c>
      <c r="G1337" s="62" t="s">
        <v>54174</v>
      </c>
      <c r="J1337" s="62" t="s">
        <v>16565</v>
      </c>
      <c r="K1337" s="62" t="s">
        <v>54217</v>
      </c>
      <c r="L1337" s="62" t="s">
        <v>16566</v>
      </c>
      <c r="M1337" s="62" t="s">
        <v>16567</v>
      </c>
      <c r="N1337" s="62" t="s">
        <v>16568</v>
      </c>
      <c r="O1337" s="62" t="s">
        <v>16569</v>
      </c>
      <c r="P1337" s="62" t="s">
        <v>54260</v>
      </c>
      <c r="Q1337" s="62" t="s">
        <v>16570</v>
      </c>
      <c r="R1337" s="62" t="s">
        <v>16571</v>
      </c>
      <c r="S1337" s="62" t="s">
        <v>16572</v>
      </c>
      <c r="U1337" s="62" t="s">
        <v>16573</v>
      </c>
      <c r="V1337" s="62" t="s">
        <v>54303</v>
      </c>
      <c r="W1337" s="62" t="s">
        <v>16574</v>
      </c>
      <c r="X1337" s="62" t="s">
        <v>16575</v>
      </c>
      <c r="Y1337" s="62" t="s">
        <v>16576</v>
      </c>
      <c r="Z1337" s="62" t="s">
        <v>16577</v>
      </c>
      <c r="AA1337" s="62" t="s">
        <v>54346</v>
      </c>
      <c r="AB1337" s="62" t="s">
        <v>16578</v>
      </c>
      <c r="AC1337" s="62" t="s">
        <v>16579</v>
      </c>
      <c r="AD1337" s="62" t="s">
        <v>16580</v>
      </c>
    </row>
    <row r="1338" spans="1:30" x14ac:dyDescent="0.25">
      <c r="A1338" s="62" t="s">
        <v>109</v>
      </c>
      <c r="C1338" s="62" t="s">
        <v>16581</v>
      </c>
      <c r="F1338" s="62" t="s">
        <v>1286</v>
      </c>
      <c r="G1338" s="62" t="s">
        <v>54175</v>
      </c>
      <c r="J1338" s="62" t="s">
        <v>16582</v>
      </c>
      <c r="K1338" s="62" t="s">
        <v>54218</v>
      </c>
      <c r="L1338" s="62" t="s">
        <v>16583</v>
      </c>
      <c r="M1338" s="62" t="s">
        <v>16584</v>
      </c>
      <c r="N1338" s="62" t="s">
        <v>16585</v>
      </c>
      <c r="O1338" s="62" t="s">
        <v>16586</v>
      </c>
      <c r="P1338" s="62" t="s">
        <v>54261</v>
      </c>
      <c r="Q1338" s="62" t="s">
        <v>16587</v>
      </c>
      <c r="R1338" s="62" t="s">
        <v>16588</v>
      </c>
      <c r="S1338" s="62" t="s">
        <v>16589</v>
      </c>
      <c r="U1338" s="62" t="s">
        <v>16590</v>
      </c>
      <c r="V1338" s="62" t="s">
        <v>54304</v>
      </c>
      <c r="W1338" s="62" t="s">
        <v>16591</v>
      </c>
      <c r="X1338" s="62" t="s">
        <v>16592</v>
      </c>
      <c r="Y1338" s="62" t="s">
        <v>16593</v>
      </c>
      <c r="Z1338" s="62" t="s">
        <v>16594</v>
      </c>
      <c r="AA1338" s="62" t="s">
        <v>54347</v>
      </c>
      <c r="AB1338" s="62" t="s">
        <v>16595</v>
      </c>
      <c r="AC1338" s="62" t="s">
        <v>16596</v>
      </c>
      <c r="AD1338" s="62" t="s">
        <v>16597</v>
      </c>
    </row>
    <row r="1339" spans="1:30" x14ac:dyDescent="0.25">
      <c r="A1339" s="62" t="s">
        <v>109</v>
      </c>
      <c r="C1339" s="62" t="s">
        <v>16598</v>
      </c>
      <c r="F1339" s="62" t="s">
        <v>1287</v>
      </c>
      <c r="G1339" s="62" t="s">
        <v>54176</v>
      </c>
      <c r="J1339" s="62" t="s">
        <v>16599</v>
      </c>
      <c r="K1339" s="62" t="s">
        <v>54219</v>
      </c>
      <c r="L1339" s="62" t="s">
        <v>16600</v>
      </c>
      <c r="M1339" s="62" t="s">
        <v>16601</v>
      </c>
      <c r="N1339" s="62" t="s">
        <v>16602</v>
      </c>
      <c r="O1339" s="62" t="s">
        <v>16603</v>
      </c>
      <c r="P1339" s="62" t="s">
        <v>54262</v>
      </c>
      <c r="Q1339" s="62" t="s">
        <v>16604</v>
      </c>
      <c r="R1339" s="62" t="s">
        <v>16605</v>
      </c>
      <c r="S1339" s="62" t="s">
        <v>16606</v>
      </c>
      <c r="U1339" s="62" t="s">
        <v>16607</v>
      </c>
      <c r="V1339" s="62" t="s">
        <v>54305</v>
      </c>
      <c r="W1339" s="62" t="s">
        <v>16608</v>
      </c>
      <c r="X1339" s="62" t="s">
        <v>16609</v>
      </c>
      <c r="Y1339" s="62" t="s">
        <v>16610</v>
      </c>
      <c r="Z1339" s="62" t="s">
        <v>16611</v>
      </c>
      <c r="AA1339" s="62" t="s">
        <v>54348</v>
      </c>
      <c r="AB1339" s="62" t="s">
        <v>16612</v>
      </c>
      <c r="AC1339" s="62" t="s">
        <v>16613</v>
      </c>
      <c r="AD1339" s="62" t="s">
        <v>16614</v>
      </c>
    </row>
    <row r="1340" spans="1:30" x14ac:dyDescent="0.25">
      <c r="A1340" s="62" t="s">
        <v>109</v>
      </c>
      <c r="C1340" s="62" t="s">
        <v>16615</v>
      </c>
      <c r="F1340" s="62" t="s">
        <v>1288</v>
      </c>
      <c r="G1340" s="62" t="s">
        <v>54177</v>
      </c>
      <c r="J1340" s="62" t="s">
        <v>16616</v>
      </c>
      <c r="K1340" s="62" t="s">
        <v>54220</v>
      </c>
      <c r="L1340" s="62" t="s">
        <v>16617</v>
      </c>
      <c r="M1340" s="62" t="s">
        <v>16618</v>
      </c>
      <c r="N1340" s="62" t="s">
        <v>16619</v>
      </c>
      <c r="O1340" s="62" t="s">
        <v>16620</v>
      </c>
      <c r="P1340" s="62" t="s">
        <v>54263</v>
      </c>
      <c r="Q1340" s="62" t="s">
        <v>16621</v>
      </c>
      <c r="R1340" s="62" t="s">
        <v>16622</v>
      </c>
      <c r="S1340" s="62" t="s">
        <v>16623</v>
      </c>
      <c r="U1340" s="62" t="s">
        <v>16624</v>
      </c>
      <c r="V1340" s="62" t="s">
        <v>54306</v>
      </c>
      <c r="W1340" s="62" t="s">
        <v>16625</v>
      </c>
      <c r="X1340" s="62" t="s">
        <v>16626</v>
      </c>
      <c r="Y1340" s="62" t="s">
        <v>16627</v>
      </c>
      <c r="Z1340" s="62" t="s">
        <v>16628</v>
      </c>
      <c r="AA1340" s="62" t="s">
        <v>54349</v>
      </c>
      <c r="AB1340" s="62" t="s">
        <v>16629</v>
      </c>
      <c r="AC1340" s="62" t="s">
        <v>16630</v>
      </c>
      <c r="AD1340" s="62" t="s">
        <v>16631</v>
      </c>
    </row>
    <row r="1341" spans="1:30" x14ac:dyDescent="0.25">
      <c r="A1341" s="62" t="s">
        <v>109</v>
      </c>
      <c r="C1341" s="62" t="s">
        <v>16632</v>
      </c>
      <c r="F1341" s="62" t="s">
        <v>1797</v>
      </c>
      <c r="G1341" s="62" t="s">
        <v>54178</v>
      </c>
      <c r="J1341" s="62" t="s">
        <v>16633</v>
      </c>
      <c r="K1341" s="62" t="s">
        <v>54221</v>
      </c>
      <c r="L1341" s="62" t="s">
        <v>16634</v>
      </c>
      <c r="M1341" s="62" t="s">
        <v>16635</v>
      </c>
      <c r="N1341" s="62" t="s">
        <v>16636</v>
      </c>
      <c r="O1341" s="62" t="s">
        <v>16637</v>
      </c>
      <c r="P1341" s="62" t="s">
        <v>54264</v>
      </c>
      <c r="Q1341" s="62" t="s">
        <v>16638</v>
      </c>
      <c r="R1341" s="62" t="s">
        <v>16639</v>
      </c>
      <c r="S1341" s="62" t="s">
        <v>16640</v>
      </c>
      <c r="U1341" s="62" t="s">
        <v>16641</v>
      </c>
      <c r="V1341" s="62" t="s">
        <v>54307</v>
      </c>
      <c r="W1341" s="62" t="s">
        <v>16642</v>
      </c>
      <c r="X1341" s="62" t="s">
        <v>16643</v>
      </c>
      <c r="Y1341" s="62" t="s">
        <v>16644</v>
      </c>
      <c r="Z1341" s="62" t="s">
        <v>16645</v>
      </c>
      <c r="AA1341" s="62" t="s">
        <v>54350</v>
      </c>
      <c r="AB1341" s="62" t="s">
        <v>16646</v>
      </c>
      <c r="AC1341" s="62" t="s">
        <v>16647</v>
      </c>
      <c r="AD1341" s="62" t="s">
        <v>16648</v>
      </c>
    </row>
    <row r="1342" spans="1:30" x14ac:dyDescent="0.25">
      <c r="A1342" s="62" t="s">
        <v>109</v>
      </c>
      <c r="C1342" s="62" t="s">
        <v>16649</v>
      </c>
      <c r="F1342" s="62" t="s">
        <v>1299</v>
      </c>
      <c r="G1342" s="62" t="s">
        <v>54179</v>
      </c>
      <c r="J1342" s="62" t="s">
        <v>16650</v>
      </c>
      <c r="K1342" s="62" t="s">
        <v>54222</v>
      </c>
      <c r="L1342" s="62" t="s">
        <v>16651</v>
      </c>
      <c r="M1342" s="62" t="s">
        <v>16652</v>
      </c>
      <c r="N1342" s="62" t="s">
        <v>16653</v>
      </c>
      <c r="O1342" s="62" t="s">
        <v>16654</v>
      </c>
      <c r="P1342" s="62" t="s">
        <v>54265</v>
      </c>
      <c r="Q1342" s="62" t="s">
        <v>16655</v>
      </c>
      <c r="R1342" s="62" t="s">
        <v>16656</v>
      </c>
      <c r="S1342" s="62" t="s">
        <v>16657</v>
      </c>
      <c r="U1342" s="62" t="s">
        <v>16658</v>
      </c>
      <c r="V1342" s="62" t="s">
        <v>54308</v>
      </c>
      <c r="W1342" s="62" t="s">
        <v>16659</v>
      </c>
      <c r="X1342" s="62" t="s">
        <v>16660</v>
      </c>
      <c r="Y1342" s="62" t="s">
        <v>16661</v>
      </c>
      <c r="Z1342" s="62" t="s">
        <v>16662</v>
      </c>
      <c r="AA1342" s="62" t="s">
        <v>54351</v>
      </c>
      <c r="AB1342" s="62" t="s">
        <v>16663</v>
      </c>
      <c r="AC1342" s="62" t="s">
        <v>16664</v>
      </c>
      <c r="AD1342" s="62" t="s">
        <v>16665</v>
      </c>
    </row>
    <row r="1343" spans="1:30" x14ac:dyDescent="0.25">
      <c r="A1343" s="62" t="s">
        <v>109</v>
      </c>
      <c r="C1343" s="62" t="s">
        <v>16026</v>
      </c>
    </row>
    <row r="1344" spans="1:30" x14ac:dyDescent="0.25">
      <c r="A1344" s="62" t="s">
        <v>109</v>
      </c>
      <c r="C1344" s="62" t="s">
        <v>16666</v>
      </c>
      <c r="G1344" s="62" t="s">
        <v>16667</v>
      </c>
      <c r="J1344" s="62" t="s">
        <v>43061</v>
      </c>
      <c r="K1344" s="62" t="s">
        <v>43062</v>
      </c>
      <c r="L1344" s="62" t="s">
        <v>43063</v>
      </c>
      <c r="M1344" s="62" t="s">
        <v>16668</v>
      </c>
      <c r="N1344" s="62" t="s">
        <v>16669</v>
      </c>
      <c r="O1344" s="62" t="s">
        <v>43064</v>
      </c>
      <c r="P1344" s="62" t="s">
        <v>43065</v>
      </c>
      <c r="Q1344" s="62" t="s">
        <v>43066</v>
      </c>
      <c r="R1344" s="62" t="s">
        <v>16670</v>
      </c>
      <c r="S1344" s="62" t="s">
        <v>16671</v>
      </c>
      <c r="U1344" s="62" t="s">
        <v>43067</v>
      </c>
      <c r="V1344" s="62" t="s">
        <v>43068</v>
      </c>
      <c r="W1344" s="62" t="s">
        <v>43069</v>
      </c>
      <c r="X1344" s="62" t="s">
        <v>16672</v>
      </c>
      <c r="Y1344" s="62" t="s">
        <v>16673</v>
      </c>
      <c r="Z1344" s="62" t="s">
        <v>43070</v>
      </c>
      <c r="AA1344" s="62" t="s">
        <v>43071</v>
      </c>
      <c r="AB1344" s="62" t="s">
        <v>43072</v>
      </c>
      <c r="AC1344" s="62" t="s">
        <v>16674</v>
      </c>
      <c r="AD1344" s="62" t="s">
        <v>16675</v>
      </c>
    </row>
    <row r="1345" spans="1:30" x14ac:dyDescent="0.25">
      <c r="A1345" s="62" t="s">
        <v>109</v>
      </c>
    </row>
    <row r="1346" spans="1:30" x14ac:dyDescent="0.25">
      <c r="A1346" s="62" t="s">
        <v>109</v>
      </c>
      <c r="C1346" s="62" t="s">
        <v>16676</v>
      </c>
      <c r="E1346" s="62" t="s">
        <v>21263</v>
      </c>
      <c r="G1346" s="62" t="s">
        <v>16677</v>
      </c>
    </row>
    <row r="1347" spans="1:30" x14ac:dyDescent="0.25">
      <c r="A1347" s="62" t="s">
        <v>109</v>
      </c>
      <c r="C1347" s="62" t="s">
        <v>16678</v>
      </c>
    </row>
    <row r="1348" spans="1:30" x14ac:dyDescent="0.25">
      <c r="A1348" s="62" t="s">
        <v>109</v>
      </c>
      <c r="C1348" s="62" t="s">
        <v>16679</v>
      </c>
      <c r="F1348" s="62" t="s">
        <v>16680</v>
      </c>
      <c r="G1348" s="62" t="s">
        <v>54092</v>
      </c>
      <c r="J1348" s="62" t="s">
        <v>16681</v>
      </c>
      <c r="K1348" s="62" t="s">
        <v>54101</v>
      </c>
      <c r="L1348" s="62" t="s">
        <v>16682</v>
      </c>
      <c r="M1348" s="62" t="s">
        <v>16683</v>
      </c>
      <c r="N1348" s="62" t="s">
        <v>16684</v>
      </c>
      <c r="O1348" s="62" t="s">
        <v>16685</v>
      </c>
      <c r="P1348" s="62" t="s">
        <v>54110</v>
      </c>
      <c r="Q1348" s="62" t="s">
        <v>16686</v>
      </c>
      <c r="R1348" s="62" t="s">
        <v>16687</v>
      </c>
      <c r="S1348" s="62" t="s">
        <v>16688</v>
      </c>
      <c r="U1348" s="62" t="s">
        <v>16689</v>
      </c>
      <c r="V1348" s="62" t="s">
        <v>54119</v>
      </c>
      <c r="W1348" s="62" t="s">
        <v>16690</v>
      </c>
      <c r="X1348" s="62" t="s">
        <v>16691</v>
      </c>
      <c r="Y1348" s="62" t="s">
        <v>16692</v>
      </c>
      <c r="Z1348" s="62" t="s">
        <v>16693</v>
      </c>
      <c r="AA1348" s="62" t="s">
        <v>54128</v>
      </c>
      <c r="AB1348" s="62" t="s">
        <v>16694</v>
      </c>
      <c r="AC1348" s="62" t="s">
        <v>16695</v>
      </c>
      <c r="AD1348" s="62" t="s">
        <v>16696</v>
      </c>
    </row>
    <row r="1349" spans="1:30" x14ac:dyDescent="0.25">
      <c r="A1349" s="62" t="s">
        <v>109</v>
      </c>
      <c r="C1349" s="62" t="s">
        <v>16697</v>
      </c>
      <c r="F1349" s="62" t="s">
        <v>2135</v>
      </c>
      <c r="G1349" s="62" t="s">
        <v>54093</v>
      </c>
      <c r="J1349" s="62" t="s">
        <v>16698</v>
      </c>
      <c r="K1349" s="62" t="s">
        <v>54102</v>
      </c>
      <c r="L1349" s="62" t="s">
        <v>16699</v>
      </c>
      <c r="M1349" s="62" t="s">
        <v>16700</v>
      </c>
      <c r="N1349" s="62" t="s">
        <v>16701</v>
      </c>
      <c r="O1349" s="62" t="s">
        <v>16702</v>
      </c>
      <c r="P1349" s="62" t="s">
        <v>54111</v>
      </c>
      <c r="Q1349" s="62" t="s">
        <v>16703</v>
      </c>
      <c r="R1349" s="62" t="s">
        <v>16704</v>
      </c>
      <c r="S1349" s="62" t="s">
        <v>16705</v>
      </c>
      <c r="U1349" s="62" t="s">
        <v>16706</v>
      </c>
      <c r="V1349" s="62" t="s">
        <v>54120</v>
      </c>
      <c r="W1349" s="62" t="s">
        <v>16707</v>
      </c>
      <c r="X1349" s="62" t="s">
        <v>16708</v>
      </c>
      <c r="Y1349" s="62" t="s">
        <v>16709</v>
      </c>
      <c r="Z1349" s="62" t="s">
        <v>16710</v>
      </c>
      <c r="AA1349" s="62" t="s">
        <v>54129</v>
      </c>
      <c r="AB1349" s="62" t="s">
        <v>16711</v>
      </c>
      <c r="AC1349" s="62" t="s">
        <v>16712</v>
      </c>
      <c r="AD1349" s="62" t="s">
        <v>16713</v>
      </c>
    </row>
    <row r="1350" spans="1:30" x14ac:dyDescent="0.25">
      <c r="A1350" s="62" t="s">
        <v>109</v>
      </c>
      <c r="C1350" s="62" t="s">
        <v>16714</v>
      </c>
      <c r="F1350" s="62" t="s">
        <v>2187</v>
      </c>
      <c r="G1350" s="62" t="s">
        <v>54094</v>
      </c>
      <c r="J1350" s="62" t="s">
        <v>16715</v>
      </c>
      <c r="K1350" s="62" t="s">
        <v>54103</v>
      </c>
      <c r="L1350" s="62" t="s">
        <v>16716</v>
      </c>
      <c r="M1350" s="62" t="s">
        <v>16717</v>
      </c>
      <c r="N1350" s="62" t="s">
        <v>16718</v>
      </c>
      <c r="O1350" s="62" t="s">
        <v>16719</v>
      </c>
      <c r="P1350" s="62" t="s">
        <v>54112</v>
      </c>
      <c r="Q1350" s="62" t="s">
        <v>16720</v>
      </c>
      <c r="R1350" s="62" t="s">
        <v>16721</v>
      </c>
      <c r="S1350" s="62" t="s">
        <v>16722</v>
      </c>
      <c r="U1350" s="62" t="s">
        <v>16723</v>
      </c>
      <c r="V1350" s="62" t="s">
        <v>54121</v>
      </c>
      <c r="W1350" s="62" t="s">
        <v>16724</v>
      </c>
      <c r="X1350" s="62" t="s">
        <v>16725</v>
      </c>
      <c r="Y1350" s="62" t="s">
        <v>16726</v>
      </c>
      <c r="Z1350" s="62" t="s">
        <v>16727</v>
      </c>
      <c r="AA1350" s="62" t="s">
        <v>54130</v>
      </c>
      <c r="AB1350" s="62" t="s">
        <v>16728</v>
      </c>
      <c r="AC1350" s="62" t="s">
        <v>16729</v>
      </c>
      <c r="AD1350" s="62" t="s">
        <v>16730</v>
      </c>
    </row>
    <row r="1351" spans="1:30" x14ac:dyDescent="0.25">
      <c r="A1351" s="62" t="s">
        <v>109</v>
      </c>
      <c r="C1351" s="62" t="s">
        <v>16731</v>
      </c>
      <c r="F1351" s="62" t="s">
        <v>176</v>
      </c>
      <c r="G1351" s="62" t="s">
        <v>54095</v>
      </c>
      <c r="J1351" s="62" t="s">
        <v>16732</v>
      </c>
      <c r="K1351" s="62" t="s">
        <v>54104</v>
      </c>
      <c r="L1351" s="62" t="s">
        <v>16733</v>
      </c>
      <c r="M1351" s="62" t="s">
        <v>16734</v>
      </c>
      <c r="N1351" s="62" t="s">
        <v>16735</v>
      </c>
      <c r="O1351" s="62" t="s">
        <v>16736</v>
      </c>
      <c r="P1351" s="62" t="s">
        <v>54113</v>
      </c>
      <c r="Q1351" s="62" t="s">
        <v>16737</v>
      </c>
      <c r="R1351" s="62" t="s">
        <v>16738</v>
      </c>
      <c r="S1351" s="62" t="s">
        <v>16739</v>
      </c>
      <c r="U1351" s="62" t="s">
        <v>16740</v>
      </c>
      <c r="V1351" s="62" t="s">
        <v>54122</v>
      </c>
      <c r="W1351" s="62" t="s">
        <v>16741</v>
      </c>
      <c r="X1351" s="62" t="s">
        <v>16742</v>
      </c>
      <c r="Y1351" s="62" t="s">
        <v>16743</v>
      </c>
      <c r="Z1351" s="62" t="s">
        <v>16744</v>
      </c>
      <c r="AA1351" s="62" t="s">
        <v>54131</v>
      </c>
      <c r="AB1351" s="62" t="s">
        <v>16745</v>
      </c>
      <c r="AC1351" s="62" t="s">
        <v>16746</v>
      </c>
      <c r="AD1351" s="62" t="s">
        <v>16747</v>
      </c>
    </row>
    <row r="1352" spans="1:30" x14ac:dyDescent="0.25">
      <c r="A1352" s="62" t="s">
        <v>109</v>
      </c>
      <c r="C1352" s="62" t="s">
        <v>16748</v>
      </c>
      <c r="F1352" s="62" t="s">
        <v>2240</v>
      </c>
      <c r="G1352" s="62" t="s">
        <v>54096</v>
      </c>
      <c r="J1352" s="62" t="s">
        <v>16749</v>
      </c>
      <c r="K1352" s="62" t="s">
        <v>54105</v>
      </c>
      <c r="L1352" s="62" t="s">
        <v>16750</v>
      </c>
      <c r="M1352" s="62" t="s">
        <v>16751</v>
      </c>
      <c r="N1352" s="62" t="s">
        <v>16752</v>
      </c>
      <c r="O1352" s="62" t="s">
        <v>16753</v>
      </c>
      <c r="P1352" s="62" t="s">
        <v>54114</v>
      </c>
      <c r="Q1352" s="62" t="s">
        <v>16754</v>
      </c>
      <c r="R1352" s="62" t="s">
        <v>16755</v>
      </c>
      <c r="S1352" s="62" t="s">
        <v>16756</v>
      </c>
      <c r="U1352" s="62" t="s">
        <v>16757</v>
      </c>
      <c r="V1352" s="62" t="s">
        <v>54123</v>
      </c>
      <c r="W1352" s="62" t="s">
        <v>16758</v>
      </c>
      <c r="X1352" s="62" t="s">
        <v>16759</v>
      </c>
      <c r="Y1352" s="62" t="s">
        <v>16760</v>
      </c>
      <c r="Z1352" s="62" t="s">
        <v>16761</v>
      </c>
      <c r="AA1352" s="62" t="s">
        <v>54132</v>
      </c>
      <c r="AB1352" s="62" t="s">
        <v>16762</v>
      </c>
      <c r="AC1352" s="62" t="s">
        <v>16763</v>
      </c>
      <c r="AD1352" s="62" t="s">
        <v>16764</v>
      </c>
    </row>
    <row r="1353" spans="1:30" x14ac:dyDescent="0.25">
      <c r="A1353" s="62" t="s">
        <v>109</v>
      </c>
      <c r="C1353" s="62" t="s">
        <v>16765</v>
      </c>
      <c r="F1353" s="62" t="s">
        <v>210</v>
      </c>
      <c r="G1353" s="62" t="s">
        <v>54097</v>
      </c>
      <c r="J1353" s="62" t="s">
        <v>16766</v>
      </c>
      <c r="K1353" s="62" t="s">
        <v>54106</v>
      </c>
      <c r="L1353" s="62" t="s">
        <v>16767</v>
      </c>
      <c r="M1353" s="62" t="s">
        <v>16768</v>
      </c>
      <c r="N1353" s="62" t="s">
        <v>16769</v>
      </c>
      <c r="O1353" s="62" t="s">
        <v>16770</v>
      </c>
      <c r="P1353" s="62" t="s">
        <v>54115</v>
      </c>
      <c r="Q1353" s="62" t="s">
        <v>16771</v>
      </c>
      <c r="R1353" s="62" t="s">
        <v>16772</v>
      </c>
      <c r="S1353" s="62" t="s">
        <v>16773</v>
      </c>
      <c r="U1353" s="62" t="s">
        <v>16774</v>
      </c>
      <c r="V1353" s="62" t="s">
        <v>54124</v>
      </c>
      <c r="W1353" s="62" t="s">
        <v>16775</v>
      </c>
      <c r="X1353" s="62" t="s">
        <v>16776</v>
      </c>
      <c r="Y1353" s="62" t="s">
        <v>16777</v>
      </c>
      <c r="Z1353" s="62" t="s">
        <v>16778</v>
      </c>
      <c r="AA1353" s="62" t="s">
        <v>54133</v>
      </c>
      <c r="AB1353" s="62" t="s">
        <v>16779</v>
      </c>
      <c r="AC1353" s="62" t="s">
        <v>16780</v>
      </c>
      <c r="AD1353" s="62" t="s">
        <v>16781</v>
      </c>
    </row>
    <row r="1354" spans="1:30" x14ac:dyDescent="0.25">
      <c r="A1354" s="62" t="s">
        <v>109</v>
      </c>
      <c r="C1354" s="62" t="s">
        <v>16782</v>
      </c>
      <c r="F1354" s="62" t="s">
        <v>288</v>
      </c>
      <c r="G1354" s="62" t="s">
        <v>54098</v>
      </c>
      <c r="J1354" s="62" t="s">
        <v>16783</v>
      </c>
      <c r="K1354" s="62" t="s">
        <v>54107</v>
      </c>
      <c r="L1354" s="62" t="s">
        <v>16784</v>
      </c>
      <c r="M1354" s="62" t="s">
        <v>16785</v>
      </c>
      <c r="N1354" s="62" t="s">
        <v>16786</v>
      </c>
      <c r="O1354" s="62" t="s">
        <v>16787</v>
      </c>
      <c r="P1354" s="62" t="s">
        <v>54116</v>
      </c>
      <c r="Q1354" s="62" t="s">
        <v>16788</v>
      </c>
      <c r="R1354" s="62" t="s">
        <v>16789</v>
      </c>
      <c r="S1354" s="62" t="s">
        <v>16790</v>
      </c>
      <c r="U1354" s="62" t="s">
        <v>16791</v>
      </c>
      <c r="V1354" s="62" t="s">
        <v>54125</v>
      </c>
      <c r="W1354" s="62" t="s">
        <v>16792</v>
      </c>
      <c r="X1354" s="62" t="s">
        <v>16793</v>
      </c>
      <c r="Y1354" s="62" t="s">
        <v>16794</v>
      </c>
      <c r="Z1354" s="62" t="s">
        <v>16795</v>
      </c>
      <c r="AA1354" s="62" t="s">
        <v>54134</v>
      </c>
      <c r="AB1354" s="62" t="s">
        <v>16796</v>
      </c>
      <c r="AC1354" s="62" t="s">
        <v>16797</v>
      </c>
      <c r="AD1354" s="62" t="s">
        <v>16798</v>
      </c>
    </row>
    <row r="1355" spans="1:30" x14ac:dyDescent="0.25">
      <c r="A1355" s="62" t="s">
        <v>109</v>
      </c>
      <c r="C1355" s="62" t="s">
        <v>16799</v>
      </c>
      <c r="F1355" s="62" t="s">
        <v>2337</v>
      </c>
      <c r="G1355" s="62" t="s">
        <v>54099</v>
      </c>
      <c r="J1355" s="62" t="s">
        <v>16800</v>
      </c>
      <c r="K1355" s="62" t="s">
        <v>54108</v>
      </c>
      <c r="L1355" s="62" t="s">
        <v>16801</v>
      </c>
      <c r="M1355" s="62" t="s">
        <v>16802</v>
      </c>
      <c r="N1355" s="62" t="s">
        <v>16803</v>
      </c>
      <c r="O1355" s="62" t="s">
        <v>16804</v>
      </c>
      <c r="P1355" s="62" t="s">
        <v>54117</v>
      </c>
      <c r="Q1355" s="62" t="s">
        <v>16805</v>
      </c>
      <c r="R1355" s="62" t="s">
        <v>16806</v>
      </c>
      <c r="S1355" s="62" t="s">
        <v>16807</v>
      </c>
      <c r="U1355" s="62" t="s">
        <v>16808</v>
      </c>
      <c r="V1355" s="62" t="s">
        <v>54126</v>
      </c>
      <c r="W1355" s="62" t="s">
        <v>16809</v>
      </c>
      <c r="X1355" s="62" t="s">
        <v>16810</v>
      </c>
      <c r="Y1355" s="62" t="s">
        <v>16811</v>
      </c>
      <c r="Z1355" s="62" t="s">
        <v>16812</v>
      </c>
      <c r="AA1355" s="62" t="s">
        <v>54135</v>
      </c>
      <c r="AB1355" s="62" t="s">
        <v>16813</v>
      </c>
      <c r="AC1355" s="62" t="s">
        <v>16814</v>
      </c>
      <c r="AD1355" s="62" t="s">
        <v>16815</v>
      </c>
    </row>
    <row r="1356" spans="1:30" x14ac:dyDescent="0.25">
      <c r="A1356" s="62" t="s">
        <v>109</v>
      </c>
      <c r="C1356" s="62" t="s">
        <v>16816</v>
      </c>
      <c r="F1356" s="62" t="s">
        <v>2372</v>
      </c>
      <c r="G1356" s="62" t="s">
        <v>54100</v>
      </c>
      <c r="J1356" s="62" t="s">
        <v>16817</v>
      </c>
      <c r="K1356" s="62" t="s">
        <v>54109</v>
      </c>
      <c r="L1356" s="62" t="s">
        <v>16818</v>
      </c>
      <c r="M1356" s="62" t="s">
        <v>16819</v>
      </c>
      <c r="N1356" s="62" t="s">
        <v>16820</v>
      </c>
      <c r="O1356" s="62" t="s">
        <v>16821</v>
      </c>
      <c r="P1356" s="62" t="s">
        <v>54118</v>
      </c>
      <c r="Q1356" s="62" t="s">
        <v>16822</v>
      </c>
      <c r="R1356" s="62" t="s">
        <v>16823</v>
      </c>
      <c r="S1356" s="62" t="s">
        <v>16824</v>
      </c>
      <c r="U1356" s="62" t="s">
        <v>16825</v>
      </c>
      <c r="V1356" s="62" t="s">
        <v>54127</v>
      </c>
      <c r="W1356" s="62" t="s">
        <v>16826</v>
      </c>
      <c r="X1356" s="62" t="s">
        <v>16827</v>
      </c>
      <c r="Y1356" s="62" t="s">
        <v>16828</v>
      </c>
      <c r="Z1356" s="62" t="s">
        <v>16829</v>
      </c>
      <c r="AA1356" s="62" t="s">
        <v>54136</v>
      </c>
      <c r="AB1356" s="62" t="s">
        <v>16830</v>
      </c>
      <c r="AC1356" s="62" t="s">
        <v>16831</v>
      </c>
      <c r="AD1356" s="62" t="s">
        <v>16832</v>
      </c>
    </row>
    <row r="1357" spans="1:30" x14ac:dyDescent="0.25">
      <c r="A1357" s="62" t="s">
        <v>109</v>
      </c>
      <c r="C1357" s="62" t="s">
        <v>16697</v>
      </c>
    </row>
    <row r="1358" spans="1:30" x14ac:dyDescent="0.25">
      <c r="A1358" s="62" t="s">
        <v>109</v>
      </c>
      <c r="C1358" s="62" t="s">
        <v>16833</v>
      </c>
      <c r="G1358" s="62" t="s">
        <v>43073</v>
      </c>
      <c r="J1358" s="62" t="s">
        <v>43074</v>
      </c>
      <c r="K1358" s="62" t="s">
        <v>43075</v>
      </c>
      <c r="L1358" s="62" t="s">
        <v>43076</v>
      </c>
      <c r="M1358" s="62" t="s">
        <v>16834</v>
      </c>
      <c r="N1358" s="62" t="s">
        <v>16835</v>
      </c>
      <c r="O1358" s="62" t="s">
        <v>43077</v>
      </c>
      <c r="P1358" s="62" t="s">
        <v>43078</v>
      </c>
      <c r="Q1358" s="62" t="s">
        <v>43079</v>
      </c>
      <c r="R1358" s="62" t="s">
        <v>16836</v>
      </c>
      <c r="S1358" s="62" t="s">
        <v>16837</v>
      </c>
      <c r="U1358" s="62" t="s">
        <v>43080</v>
      </c>
      <c r="V1358" s="62" t="s">
        <v>43081</v>
      </c>
      <c r="W1358" s="62" t="s">
        <v>43082</v>
      </c>
      <c r="X1358" s="62" t="s">
        <v>16838</v>
      </c>
      <c r="Y1358" s="62" t="s">
        <v>16839</v>
      </c>
      <c r="Z1358" s="62" t="s">
        <v>43083</v>
      </c>
      <c r="AA1358" s="62" t="s">
        <v>43084</v>
      </c>
      <c r="AB1358" s="62" t="s">
        <v>43085</v>
      </c>
      <c r="AC1358" s="62" t="s">
        <v>16840</v>
      </c>
      <c r="AD1358" s="62" t="s">
        <v>16841</v>
      </c>
    </row>
    <row r="1359" spans="1:30" x14ac:dyDescent="0.25">
      <c r="A1359" s="62" t="s">
        <v>109</v>
      </c>
    </row>
    <row r="1360" spans="1:30" x14ac:dyDescent="0.25">
      <c r="A1360" s="62" t="s">
        <v>109</v>
      </c>
      <c r="C1360" s="62" t="s">
        <v>43086</v>
      </c>
      <c r="E1360" s="62" t="s">
        <v>21598</v>
      </c>
      <c r="G1360" s="62" t="s">
        <v>43087</v>
      </c>
    </row>
    <row r="1361" spans="1:30" x14ac:dyDescent="0.25">
      <c r="A1361" s="62" t="s">
        <v>109</v>
      </c>
      <c r="C1361" s="62" t="s">
        <v>16842</v>
      </c>
    </row>
    <row r="1362" spans="1:30" x14ac:dyDescent="0.25">
      <c r="A1362" s="62" t="s">
        <v>109</v>
      </c>
      <c r="C1362" s="62" t="s">
        <v>16843</v>
      </c>
      <c r="F1362" s="62" t="s">
        <v>43088</v>
      </c>
      <c r="G1362" s="62" t="s">
        <v>53952</v>
      </c>
      <c r="J1362" s="62" t="s">
        <v>16844</v>
      </c>
      <c r="K1362" s="62" t="s">
        <v>53980</v>
      </c>
      <c r="L1362" s="62" t="s">
        <v>16845</v>
      </c>
      <c r="M1362" s="62" t="s">
        <v>16846</v>
      </c>
      <c r="N1362" s="62" t="s">
        <v>16847</v>
      </c>
      <c r="O1362" s="62" t="s">
        <v>16848</v>
      </c>
      <c r="P1362" s="62" t="s">
        <v>54008</v>
      </c>
      <c r="Q1362" s="62" t="s">
        <v>16849</v>
      </c>
      <c r="R1362" s="62" t="s">
        <v>16850</v>
      </c>
      <c r="S1362" s="62" t="s">
        <v>16851</v>
      </c>
      <c r="U1362" s="62" t="s">
        <v>16852</v>
      </c>
      <c r="V1362" s="62" t="s">
        <v>54036</v>
      </c>
      <c r="W1362" s="62" t="s">
        <v>16853</v>
      </c>
      <c r="X1362" s="62" t="s">
        <v>16854</v>
      </c>
      <c r="Y1362" s="62" t="s">
        <v>16855</v>
      </c>
      <c r="Z1362" s="62" t="s">
        <v>16856</v>
      </c>
      <c r="AA1362" s="62" t="s">
        <v>54064</v>
      </c>
      <c r="AB1362" s="62" t="s">
        <v>16857</v>
      </c>
      <c r="AC1362" s="62" t="s">
        <v>16858</v>
      </c>
      <c r="AD1362" s="62" t="s">
        <v>16859</v>
      </c>
    </row>
    <row r="1363" spans="1:30" x14ac:dyDescent="0.25">
      <c r="A1363" s="62" t="s">
        <v>109</v>
      </c>
      <c r="C1363" s="62" t="s">
        <v>16860</v>
      </c>
      <c r="F1363" s="62" t="s">
        <v>872</v>
      </c>
      <c r="G1363" s="62" t="s">
        <v>53953</v>
      </c>
      <c r="J1363" s="62" t="s">
        <v>16861</v>
      </c>
      <c r="K1363" s="62" t="s">
        <v>53981</v>
      </c>
      <c r="L1363" s="62" t="s">
        <v>16862</v>
      </c>
      <c r="M1363" s="62" t="s">
        <v>16863</v>
      </c>
      <c r="N1363" s="62" t="s">
        <v>16864</v>
      </c>
      <c r="O1363" s="62" t="s">
        <v>16865</v>
      </c>
      <c r="P1363" s="62" t="s">
        <v>54009</v>
      </c>
      <c r="Q1363" s="62" t="s">
        <v>16866</v>
      </c>
      <c r="R1363" s="62" t="s">
        <v>16867</v>
      </c>
      <c r="S1363" s="62" t="s">
        <v>16868</v>
      </c>
      <c r="U1363" s="62" t="s">
        <v>16869</v>
      </c>
      <c r="V1363" s="62" t="s">
        <v>54037</v>
      </c>
      <c r="W1363" s="62" t="s">
        <v>16870</v>
      </c>
      <c r="X1363" s="62" t="s">
        <v>16871</v>
      </c>
      <c r="Y1363" s="62" t="s">
        <v>16872</v>
      </c>
      <c r="Z1363" s="62" t="s">
        <v>16873</v>
      </c>
      <c r="AA1363" s="62" t="s">
        <v>54065</v>
      </c>
      <c r="AB1363" s="62" t="s">
        <v>16874</v>
      </c>
      <c r="AC1363" s="62" t="s">
        <v>16875</v>
      </c>
      <c r="AD1363" s="62" t="s">
        <v>16876</v>
      </c>
    </row>
    <row r="1364" spans="1:30" x14ac:dyDescent="0.25">
      <c r="A1364" s="62" t="s">
        <v>109</v>
      </c>
      <c r="C1364" s="62" t="s">
        <v>16877</v>
      </c>
      <c r="F1364" s="62" t="s">
        <v>889</v>
      </c>
      <c r="G1364" s="62" t="s">
        <v>53954</v>
      </c>
      <c r="J1364" s="62" t="s">
        <v>16878</v>
      </c>
      <c r="K1364" s="62" t="s">
        <v>53982</v>
      </c>
      <c r="L1364" s="62" t="s">
        <v>16879</v>
      </c>
      <c r="M1364" s="62" t="s">
        <v>16880</v>
      </c>
      <c r="N1364" s="62" t="s">
        <v>16881</v>
      </c>
      <c r="O1364" s="62" t="s">
        <v>16882</v>
      </c>
      <c r="P1364" s="62" t="s">
        <v>54010</v>
      </c>
      <c r="Q1364" s="62" t="s">
        <v>16883</v>
      </c>
      <c r="R1364" s="62" t="s">
        <v>16884</v>
      </c>
      <c r="S1364" s="62" t="s">
        <v>16885</v>
      </c>
      <c r="U1364" s="62" t="s">
        <v>16886</v>
      </c>
      <c r="V1364" s="62" t="s">
        <v>54038</v>
      </c>
      <c r="W1364" s="62" t="s">
        <v>16887</v>
      </c>
      <c r="X1364" s="62" t="s">
        <v>16888</v>
      </c>
      <c r="Y1364" s="62" t="s">
        <v>16889</v>
      </c>
      <c r="Z1364" s="62" t="s">
        <v>16890</v>
      </c>
      <c r="AA1364" s="62" t="s">
        <v>54066</v>
      </c>
      <c r="AB1364" s="62" t="s">
        <v>16891</v>
      </c>
      <c r="AC1364" s="62" t="s">
        <v>16892</v>
      </c>
      <c r="AD1364" s="62" t="s">
        <v>16893</v>
      </c>
    </row>
    <row r="1365" spans="1:30" x14ac:dyDescent="0.25">
      <c r="A1365" s="62" t="s">
        <v>109</v>
      </c>
      <c r="C1365" s="62" t="s">
        <v>16894</v>
      </c>
      <c r="F1365" s="62" t="s">
        <v>915</v>
      </c>
      <c r="G1365" s="62" t="s">
        <v>53955</v>
      </c>
      <c r="J1365" s="62" t="s">
        <v>16895</v>
      </c>
      <c r="K1365" s="62" t="s">
        <v>53983</v>
      </c>
      <c r="L1365" s="62" t="s">
        <v>16896</v>
      </c>
      <c r="M1365" s="62" t="s">
        <v>16897</v>
      </c>
      <c r="N1365" s="62" t="s">
        <v>16898</v>
      </c>
      <c r="O1365" s="62" t="s">
        <v>16899</v>
      </c>
      <c r="P1365" s="62" t="s">
        <v>54011</v>
      </c>
      <c r="Q1365" s="62" t="s">
        <v>16900</v>
      </c>
      <c r="R1365" s="62" t="s">
        <v>16901</v>
      </c>
      <c r="S1365" s="62" t="s">
        <v>16902</v>
      </c>
      <c r="U1365" s="62" t="s">
        <v>16903</v>
      </c>
      <c r="V1365" s="62" t="s">
        <v>54039</v>
      </c>
      <c r="W1365" s="62" t="s">
        <v>16904</v>
      </c>
      <c r="X1365" s="62" t="s">
        <v>16905</v>
      </c>
      <c r="Y1365" s="62" t="s">
        <v>16906</v>
      </c>
      <c r="Z1365" s="62" t="s">
        <v>16907</v>
      </c>
      <c r="AA1365" s="62" t="s">
        <v>54067</v>
      </c>
      <c r="AB1365" s="62" t="s">
        <v>16908</v>
      </c>
      <c r="AC1365" s="62" t="s">
        <v>16909</v>
      </c>
      <c r="AD1365" s="62" t="s">
        <v>16910</v>
      </c>
    </row>
    <row r="1366" spans="1:30" x14ac:dyDescent="0.25">
      <c r="A1366" s="62" t="s">
        <v>109</v>
      </c>
      <c r="C1366" s="62" t="s">
        <v>16911</v>
      </c>
      <c r="F1366" s="62" t="s">
        <v>925</v>
      </c>
      <c r="G1366" s="62" t="s">
        <v>53956</v>
      </c>
      <c r="J1366" s="62" t="s">
        <v>16912</v>
      </c>
      <c r="K1366" s="62" t="s">
        <v>53984</v>
      </c>
      <c r="L1366" s="62" t="s">
        <v>16913</v>
      </c>
      <c r="M1366" s="62" t="s">
        <v>16914</v>
      </c>
      <c r="N1366" s="62" t="s">
        <v>16915</v>
      </c>
      <c r="O1366" s="62" t="s">
        <v>16916</v>
      </c>
      <c r="P1366" s="62" t="s">
        <v>54012</v>
      </c>
      <c r="Q1366" s="62" t="s">
        <v>16917</v>
      </c>
      <c r="R1366" s="62" t="s">
        <v>16918</v>
      </c>
      <c r="S1366" s="62" t="s">
        <v>16919</v>
      </c>
      <c r="U1366" s="62" t="s">
        <v>16920</v>
      </c>
      <c r="V1366" s="62" t="s">
        <v>54040</v>
      </c>
      <c r="W1366" s="62" t="s">
        <v>16921</v>
      </c>
      <c r="X1366" s="62" t="s">
        <v>16922</v>
      </c>
      <c r="Y1366" s="62" t="s">
        <v>16923</v>
      </c>
      <c r="Z1366" s="62" t="s">
        <v>16924</v>
      </c>
      <c r="AA1366" s="62" t="s">
        <v>54068</v>
      </c>
      <c r="AB1366" s="62" t="s">
        <v>16925</v>
      </c>
      <c r="AC1366" s="62" t="s">
        <v>16926</v>
      </c>
      <c r="AD1366" s="62" t="s">
        <v>16927</v>
      </c>
    </row>
    <row r="1367" spans="1:30" x14ac:dyDescent="0.25">
      <c r="A1367" s="62" t="s">
        <v>109</v>
      </c>
      <c r="C1367" s="62" t="s">
        <v>16928</v>
      </c>
      <c r="F1367" s="62" t="s">
        <v>2297</v>
      </c>
      <c r="G1367" s="62" t="s">
        <v>53957</v>
      </c>
      <c r="J1367" s="62" t="s">
        <v>16929</v>
      </c>
      <c r="K1367" s="62" t="s">
        <v>53985</v>
      </c>
      <c r="L1367" s="62" t="s">
        <v>16930</v>
      </c>
      <c r="M1367" s="62" t="s">
        <v>16931</v>
      </c>
      <c r="N1367" s="62" t="s">
        <v>16932</v>
      </c>
      <c r="O1367" s="62" t="s">
        <v>16933</v>
      </c>
      <c r="P1367" s="62" t="s">
        <v>54013</v>
      </c>
      <c r="Q1367" s="62" t="s">
        <v>16934</v>
      </c>
      <c r="R1367" s="62" t="s">
        <v>16935</v>
      </c>
      <c r="S1367" s="62" t="s">
        <v>16936</v>
      </c>
      <c r="U1367" s="62" t="s">
        <v>16937</v>
      </c>
      <c r="V1367" s="62" t="s">
        <v>54041</v>
      </c>
      <c r="W1367" s="62" t="s">
        <v>16938</v>
      </c>
      <c r="X1367" s="62" t="s">
        <v>16939</v>
      </c>
      <c r="Y1367" s="62" t="s">
        <v>16940</v>
      </c>
      <c r="Z1367" s="62" t="s">
        <v>16941</v>
      </c>
      <c r="AA1367" s="62" t="s">
        <v>54069</v>
      </c>
      <c r="AB1367" s="62" t="s">
        <v>16942</v>
      </c>
      <c r="AC1367" s="62" t="s">
        <v>16943</v>
      </c>
      <c r="AD1367" s="62" t="s">
        <v>16944</v>
      </c>
    </row>
    <row r="1368" spans="1:30" x14ac:dyDescent="0.25">
      <c r="A1368" s="62" t="s">
        <v>109</v>
      </c>
      <c r="C1368" s="62" t="s">
        <v>16945</v>
      </c>
      <c r="F1368" s="62" t="s">
        <v>10293</v>
      </c>
      <c r="G1368" s="62" t="s">
        <v>53958</v>
      </c>
      <c r="J1368" s="62" t="s">
        <v>16946</v>
      </c>
      <c r="K1368" s="62" t="s">
        <v>53986</v>
      </c>
      <c r="L1368" s="62" t="s">
        <v>16947</v>
      </c>
      <c r="M1368" s="62" t="s">
        <v>16948</v>
      </c>
      <c r="N1368" s="62" t="s">
        <v>16949</v>
      </c>
      <c r="O1368" s="62" t="s">
        <v>16950</v>
      </c>
      <c r="P1368" s="62" t="s">
        <v>54014</v>
      </c>
      <c r="Q1368" s="62" t="s">
        <v>16951</v>
      </c>
      <c r="R1368" s="62" t="s">
        <v>16952</v>
      </c>
      <c r="S1368" s="62" t="s">
        <v>16953</v>
      </c>
      <c r="U1368" s="62" t="s">
        <v>16954</v>
      </c>
      <c r="V1368" s="62" t="s">
        <v>54042</v>
      </c>
      <c r="W1368" s="62" t="s">
        <v>16955</v>
      </c>
      <c r="X1368" s="62" t="s">
        <v>16956</v>
      </c>
      <c r="Y1368" s="62" t="s">
        <v>16957</v>
      </c>
      <c r="Z1368" s="62" t="s">
        <v>16958</v>
      </c>
      <c r="AA1368" s="62" t="s">
        <v>54070</v>
      </c>
      <c r="AB1368" s="62" t="s">
        <v>16959</v>
      </c>
      <c r="AC1368" s="62" t="s">
        <v>16960</v>
      </c>
      <c r="AD1368" s="62" t="s">
        <v>16961</v>
      </c>
    </row>
    <row r="1369" spans="1:30" x14ac:dyDescent="0.25">
      <c r="A1369" s="62" t="s">
        <v>109</v>
      </c>
      <c r="C1369" s="62" t="s">
        <v>16962</v>
      </c>
      <c r="F1369" s="62" t="s">
        <v>10314</v>
      </c>
      <c r="G1369" s="62" t="s">
        <v>53959</v>
      </c>
      <c r="J1369" s="62" t="s">
        <v>16963</v>
      </c>
      <c r="K1369" s="62" t="s">
        <v>53987</v>
      </c>
      <c r="L1369" s="62" t="s">
        <v>16964</v>
      </c>
      <c r="M1369" s="62" t="s">
        <v>16965</v>
      </c>
      <c r="N1369" s="62" t="s">
        <v>16966</v>
      </c>
      <c r="O1369" s="62" t="s">
        <v>16967</v>
      </c>
      <c r="P1369" s="62" t="s">
        <v>54015</v>
      </c>
      <c r="Q1369" s="62" t="s">
        <v>16968</v>
      </c>
      <c r="R1369" s="62" t="s">
        <v>16969</v>
      </c>
      <c r="S1369" s="62" t="s">
        <v>16970</v>
      </c>
      <c r="U1369" s="62" t="s">
        <v>16971</v>
      </c>
      <c r="V1369" s="62" t="s">
        <v>54043</v>
      </c>
      <c r="W1369" s="62" t="s">
        <v>16972</v>
      </c>
      <c r="X1369" s="62" t="s">
        <v>16973</v>
      </c>
      <c r="Y1369" s="62" t="s">
        <v>16974</v>
      </c>
      <c r="Z1369" s="62" t="s">
        <v>16975</v>
      </c>
      <c r="AA1369" s="62" t="s">
        <v>54071</v>
      </c>
      <c r="AB1369" s="62" t="s">
        <v>16976</v>
      </c>
      <c r="AC1369" s="62" t="s">
        <v>16977</v>
      </c>
      <c r="AD1369" s="62" t="s">
        <v>16978</v>
      </c>
    </row>
    <row r="1370" spans="1:30" x14ac:dyDescent="0.25">
      <c r="A1370" s="62" t="s">
        <v>109</v>
      </c>
      <c r="C1370" s="62" t="s">
        <v>16979</v>
      </c>
      <c r="F1370" s="62" t="s">
        <v>10350</v>
      </c>
      <c r="G1370" s="62" t="s">
        <v>53960</v>
      </c>
      <c r="J1370" s="62" t="s">
        <v>16980</v>
      </c>
      <c r="K1370" s="62" t="s">
        <v>53988</v>
      </c>
      <c r="L1370" s="62" t="s">
        <v>16981</v>
      </c>
      <c r="M1370" s="62" t="s">
        <v>16982</v>
      </c>
      <c r="N1370" s="62" t="s">
        <v>16983</v>
      </c>
      <c r="O1370" s="62" t="s">
        <v>16984</v>
      </c>
      <c r="P1370" s="62" t="s">
        <v>54016</v>
      </c>
      <c r="Q1370" s="62" t="s">
        <v>16985</v>
      </c>
      <c r="R1370" s="62" t="s">
        <v>16986</v>
      </c>
      <c r="S1370" s="62" t="s">
        <v>16987</v>
      </c>
      <c r="U1370" s="62" t="s">
        <v>16988</v>
      </c>
      <c r="V1370" s="62" t="s">
        <v>54044</v>
      </c>
      <c r="W1370" s="62" t="s">
        <v>16989</v>
      </c>
      <c r="X1370" s="62" t="s">
        <v>16990</v>
      </c>
      <c r="Y1370" s="62" t="s">
        <v>16991</v>
      </c>
      <c r="Z1370" s="62" t="s">
        <v>16992</v>
      </c>
      <c r="AA1370" s="62" t="s">
        <v>54072</v>
      </c>
      <c r="AB1370" s="62" t="s">
        <v>16993</v>
      </c>
      <c r="AC1370" s="62" t="s">
        <v>16994</v>
      </c>
      <c r="AD1370" s="62" t="s">
        <v>16995</v>
      </c>
    </row>
    <row r="1371" spans="1:30" x14ac:dyDescent="0.25">
      <c r="A1371" s="62" t="s">
        <v>109</v>
      </c>
      <c r="C1371" s="62" t="s">
        <v>16996</v>
      </c>
      <c r="F1371" s="62" t="s">
        <v>15012</v>
      </c>
      <c r="G1371" s="62" t="s">
        <v>53961</v>
      </c>
      <c r="J1371" s="62" t="s">
        <v>16997</v>
      </c>
      <c r="K1371" s="62" t="s">
        <v>53989</v>
      </c>
      <c r="L1371" s="62" t="s">
        <v>16998</v>
      </c>
      <c r="M1371" s="62" t="s">
        <v>16999</v>
      </c>
      <c r="N1371" s="62" t="s">
        <v>17000</v>
      </c>
      <c r="O1371" s="62" t="s">
        <v>17001</v>
      </c>
      <c r="P1371" s="62" t="s">
        <v>54017</v>
      </c>
      <c r="Q1371" s="62" t="s">
        <v>17002</v>
      </c>
      <c r="R1371" s="62" t="s">
        <v>17003</v>
      </c>
      <c r="S1371" s="62" t="s">
        <v>17004</v>
      </c>
      <c r="U1371" s="62" t="s">
        <v>17005</v>
      </c>
      <c r="V1371" s="62" t="s">
        <v>54045</v>
      </c>
      <c r="W1371" s="62" t="s">
        <v>17006</v>
      </c>
      <c r="X1371" s="62" t="s">
        <v>17007</v>
      </c>
      <c r="Y1371" s="62" t="s">
        <v>17008</v>
      </c>
      <c r="Z1371" s="62" t="s">
        <v>17009</v>
      </c>
      <c r="AA1371" s="62" t="s">
        <v>54073</v>
      </c>
      <c r="AB1371" s="62" t="s">
        <v>17010</v>
      </c>
      <c r="AC1371" s="62" t="s">
        <v>17011</v>
      </c>
      <c r="AD1371" s="62" t="s">
        <v>17012</v>
      </c>
    </row>
    <row r="1372" spans="1:30" x14ac:dyDescent="0.25">
      <c r="A1372" s="62" t="s">
        <v>109</v>
      </c>
      <c r="C1372" s="62" t="s">
        <v>17013</v>
      </c>
      <c r="F1372" s="62" t="s">
        <v>10422</v>
      </c>
      <c r="G1372" s="62" t="s">
        <v>53962</v>
      </c>
      <c r="J1372" s="62" t="s">
        <v>17014</v>
      </c>
      <c r="K1372" s="62" t="s">
        <v>53990</v>
      </c>
      <c r="L1372" s="62" t="s">
        <v>17015</v>
      </c>
      <c r="M1372" s="62" t="s">
        <v>17016</v>
      </c>
      <c r="N1372" s="62" t="s">
        <v>17017</v>
      </c>
      <c r="O1372" s="62" t="s">
        <v>17018</v>
      </c>
      <c r="P1372" s="62" t="s">
        <v>54018</v>
      </c>
      <c r="Q1372" s="62" t="s">
        <v>17019</v>
      </c>
      <c r="R1372" s="62" t="s">
        <v>17020</v>
      </c>
      <c r="S1372" s="62" t="s">
        <v>17021</v>
      </c>
      <c r="U1372" s="62" t="s">
        <v>17022</v>
      </c>
      <c r="V1372" s="62" t="s">
        <v>54046</v>
      </c>
      <c r="W1372" s="62" t="s">
        <v>17023</v>
      </c>
      <c r="X1372" s="62" t="s">
        <v>17024</v>
      </c>
      <c r="Y1372" s="62" t="s">
        <v>17025</v>
      </c>
      <c r="Z1372" s="62" t="s">
        <v>17026</v>
      </c>
      <c r="AA1372" s="62" t="s">
        <v>54074</v>
      </c>
      <c r="AB1372" s="62" t="s">
        <v>17027</v>
      </c>
      <c r="AC1372" s="62" t="s">
        <v>17028</v>
      </c>
      <c r="AD1372" s="62" t="s">
        <v>17029</v>
      </c>
    </row>
    <row r="1373" spans="1:30" x14ac:dyDescent="0.25">
      <c r="A1373" s="62" t="s">
        <v>109</v>
      </c>
      <c r="C1373" s="62" t="s">
        <v>17030</v>
      </c>
      <c r="F1373" s="62" t="s">
        <v>1073</v>
      </c>
      <c r="G1373" s="62" t="s">
        <v>53963</v>
      </c>
      <c r="J1373" s="62" t="s">
        <v>17031</v>
      </c>
      <c r="K1373" s="62" t="s">
        <v>53991</v>
      </c>
      <c r="L1373" s="62" t="s">
        <v>17032</v>
      </c>
      <c r="M1373" s="62" t="s">
        <v>17033</v>
      </c>
      <c r="N1373" s="62" t="s">
        <v>17034</v>
      </c>
      <c r="O1373" s="62" t="s">
        <v>17035</v>
      </c>
      <c r="P1373" s="62" t="s">
        <v>54019</v>
      </c>
      <c r="Q1373" s="62" t="s">
        <v>17036</v>
      </c>
      <c r="R1373" s="62" t="s">
        <v>17037</v>
      </c>
      <c r="S1373" s="62" t="s">
        <v>17038</v>
      </c>
      <c r="U1373" s="62" t="s">
        <v>17039</v>
      </c>
      <c r="V1373" s="62" t="s">
        <v>54047</v>
      </c>
      <c r="W1373" s="62" t="s">
        <v>17040</v>
      </c>
      <c r="X1373" s="62" t="s">
        <v>17041</v>
      </c>
      <c r="Y1373" s="62" t="s">
        <v>17042</v>
      </c>
      <c r="Z1373" s="62" t="s">
        <v>17043</v>
      </c>
      <c r="AA1373" s="62" t="s">
        <v>54075</v>
      </c>
      <c r="AB1373" s="62" t="s">
        <v>17044</v>
      </c>
      <c r="AC1373" s="62" t="s">
        <v>17045</v>
      </c>
      <c r="AD1373" s="62" t="s">
        <v>17046</v>
      </c>
    </row>
    <row r="1374" spans="1:30" x14ac:dyDescent="0.25">
      <c r="A1374" s="62" t="s">
        <v>109</v>
      </c>
      <c r="C1374" s="62" t="s">
        <v>17047</v>
      </c>
      <c r="F1374" s="62" t="s">
        <v>1090</v>
      </c>
      <c r="G1374" s="62" t="s">
        <v>53964</v>
      </c>
      <c r="J1374" s="62" t="s">
        <v>17048</v>
      </c>
      <c r="K1374" s="62" t="s">
        <v>53992</v>
      </c>
      <c r="L1374" s="62" t="s">
        <v>17049</v>
      </c>
      <c r="M1374" s="62" t="s">
        <v>17050</v>
      </c>
      <c r="N1374" s="62" t="s">
        <v>17051</v>
      </c>
      <c r="O1374" s="62" t="s">
        <v>17052</v>
      </c>
      <c r="P1374" s="62" t="s">
        <v>54020</v>
      </c>
      <c r="Q1374" s="62" t="s">
        <v>17053</v>
      </c>
      <c r="R1374" s="62" t="s">
        <v>17054</v>
      </c>
      <c r="S1374" s="62" t="s">
        <v>17055</v>
      </c>
      <c r="U1374" s="62" t="s">
        <v>17056</v>
      </c>
      <c r="V1374" s="62" t="s">
        <v>54048</v>
      </c>
      <c r="W1374" s="62" t="s">
        <v>17057</v>
      </c>
      <c r="X1374" s="62" t="s">
        <v>17058</v>
      </c>
      <c r="Y1374" s="62" t="s">
        <v>17059</v>
      </c>
      <c r="Z1374" s="62" t="s">
        <v>17060</v>
      </c>
      <c r="AA1374" s="62" t="s">
        <v>54076</v>
      </c>
      <c r="AB1374" s="62" t="s">
        <v>17061</v>
      </c>
      <c r="AC1374" s="62" t="s">
        <v>17062</v>
      </c>
      <c r="AD1374" s="62" t="s">
        <v>17063</v>
      </c>
    </row>
    <row r="1375" spans="1:30" x14ac:dyDescent="0.25">
      <c r="A1375" s="62" t="s">
        <v>109</v>
      </c>
      <c r="C1375" s="62" t="s">
        <v>17064</v>
      </c>
      <c r="F1375" s="62" t="s">
        <v>2355</v>
      </c>
      <c r="G1375" s="62" t="s">
        <v>53965</v>
      </c>
      <c r="J1375" s="62" t="s">
        <v>17065</v>
      </c>
      <c r="K1375" s="62" t="s">
        <v>53993</v>
      </c>
      <c r="L1375" s="62" t="s">
        <v>17066</v>
      </c>
      <c r="M1375" s="62" t="s">
        <v>17067</v>
      </c>
      <c r="N1375" s="62" t="s">
        <v>17068</v>
      </c>
      <c r="O1375" s="62" t="s">
        <v>17069</v>
      </c>
      <c r="P1375" s="62" t="s">
        <v>54021</v>
      </c>
      <c r="Q1375" s="62" t="s">
        <v>17070</v>
      </c>
      <c r="R1375" s="62" t="s">
        <v>17071</v>
      </c>
      <c r="S1375" s="62" t="s">
        <v>17072</v>
      </c>
      <c r="U1375" s="62" t="s">
        <v>17073</v>
      </c>
      <c r="V1375" s="62" t="s">
        <v>54049</v>
      </c>
      <c r="W1375" s="62" t="s">
        <v>17074</v>
      </c>
      <c r="X1375" s="62" t="s">
        <v>17075</v>
      </c>
      <c r="Y1375" s="62" t="s">
        <v>17076</v>
      </c>
      <c r="Z1375" s="62" t="s">
        <v>17077</v>
      </c>
      <c r="AA1375" s="62" t="s">
        <v>54077</v>
      </c>
      <c r="AB1375" s="62" t="s">
        <v>17078</v>
      </c>
      <c r="AC1375" s="62" t="s">
        <v>17079</v>
      </c>
      <c r="AD1375" s="62" t="s">
        <v>17080</v>
      </c>
    </row>
    <row r="1376" spans="1:30" x14ac:dyDescent="0.25">
      <c r="A1376" s="62" t="s">
        <v>109</v>
      </c>
      <c r="C1376" s="62" t="s">
        <v>17081</v>
      </c>
      <c r="F1376" s="62" t="s">
        <v>2372</v>
      </c>
      <c r="G1376" s="62" t="s">
        <v>53966</v>
      </c>
      <c r="J1376" s="62" t="s">
        <v>17082</v>
      </c>
      <c r="K1376" s="62" t="s">
        <v>53994</v>
      </c>
      <c r="L1376" s="62" t="s">
        <v>17083</v>
      </c>
      <c r="M1376" s="62" t="s">
        <v>17084</v>
      </c>
      <c r="N1376" s="62" t="s">
        <v>17085</v>
      </c>
      <c r="O1376" s="62" t="s">
        <v>17086</v>
      </c>
      <c r="P1376" s="62" t="s">
        <v>54022</v>
      </c>
      <c r="Q1376" s="62" t="s">
        <v>17087</v>
      </c>
      <c r="R1376" s="62" t="s">
        <v>17088</v>
      </c>
      <c r="S1376" s="62" t="s">
        <v>17089</v>
      </c>
      <c r="U1376" s="62" t="s">
        <v>17090</v>
      </c>
      <c r="V1376" s="62" t="s">
        <v>54050</v>
      </c>
      <c r="W1376" s="62" t="s">
        <v>17091</v>
      </c>
      <c r="X1376" s="62" t="s">
        <v>17092</v>
      </c>
      <c r="Y1376" s="62" t="s">
        <v>17093</v>
      </c>
      <c r="Z1376" s="62" t="s">
        <v>17094</v>
      </c>
      <c r="AA1376" s="62" t="s">
        <v>54078</v>
      </c>
      <c r="AB1376" s="62" t="s">
        <v>17095</v>
      </c>
      <c r="AC1376" s="62" t="s">
        <v>17096</v>
      </c>
      <c r="AD1376" s="62" t="s">
        <v>17097</v>
      </c>
    </row>
    <row r="1377" spans="1:30" x14ac:dyDescent="0.25">
      <c r="A1377" s="62" t="s">
        <v>109</v>
      </c>
      <c r="C1377" s="62" t="s">
        <v>17098</v>
      </c>
      <c r="F1377" s="62" t="s">
        <v>10559</v>
      </c>
      <c r="G1377" s="62" t="s">
        <v>53967</v>
      </c>
      <c r="J1377" s="62" t="s">
        <v>17099</v>
      </c>
      <c r="K1377" s="62" t="s">
        <v>53995</v>
      </c>
      <c r="L1377" s="62" t="s">
        <v>17100</v>
      </c>
      <c r="M1377" s="62" t="s">
        <v>17101</v>
      </c>
      <c r="N1377" s="62" t="s">
        <v>17102</v>
      </c>
      <c r="O1377" s="62" t="s">
        <v>17103</v>
      </c>
      <c r="P1377" s="62" t="s">
        <v>54023</v>
      </c>
      <c r="Q1377" s="62" t="s">
        <v>17104</v>
      </c>
      <c r="R1377" s="62" t="s">
        <v>17105</v>
      </c>
      <c r="S1377" s="62" t="s">
        <v>17106</v>
      </c>
      <c r="U1377" s="62" t="s">
        <v>17107</v>
      </c>
      <c r="V1377" s="62" t="s">
        <v>54051</v>
      </c>
      <c r="W1377" s="62" t="s">
        <v>17108</v>
      </c>
      <c r="X1377" s="62" t="s">
        <v>17109</v>
      </c>
      <c r="Y1377" s="62" t="s">
        <v>17110</v>
      </c>
      <c r="Z1377" s="62" t="s">
        <v>17111</v>
      </c>
      <c r="AA1377" s="62" t="s">
        <v>54079</v>
      </c>
      <c r="AB1377" s="62" t="s">
        <v>17112</v>
      </c>
      <c r="AC1377" s="62" t="s">
        <v>17113</v>
      </c>
      <c r="AD1377" s="62" t="s">
        <v>17114</v>
      </c>
    </row>
    <row r="1378" spans="1:30" x14ac:dyDescent="0.25">
      <c r="A1378" s="62" t="s">
        <v>109</v>
      </c>
      <c r="C1378" s="62" t="s">
        <v>17115</v>
      </c>
      <c r="F1378" s="62" t="s">
        <v>10613</v>
      </c>
      <c r="G1378" s="62" t="s">
        <v>53968</v>
      </c>
      <c r="J1378" s="62" t="s">
        <v>17116</v>
      </c>
      <c r="K1378" s="62" t="s">
        <v>53996</v>
      </c>
      <c r="L1378" s="62" t="s">
        <v>17117</v>
      </c>
      <c r="M1378" s="62" t="s">
        <v>17118</v>
      </c>
      <c r="N1378" s="62" t="s">
        <v>17119</v>
      </c>
      <c r="O1378" s="62" t="s">
        <v>17120</v>
      </c>
      <c r="P1378" s="62" t="s">
        <v>54024</v>
      </c>
      <c r="Q1378" s="62" t="s">
        <v>17121</v>
      </c>
      <c r="R1378" s="62" t="s">
        <v>17122</v>
      </c>
      <c r="S1378" s="62" t="s">
        <v>17123</v>
      </c>
      <c r="U1378" s="62" t="s">
        <v>17124</v>
      </c>
      <c r="V1378" s="62" t="s">
        <v>54052</v>
      </c>
      <c r="W1378" s="62" t="s">
        <v>17125</v>
      </c>
      <c r="X1378" s="62" t="s">
        <v>17126</v>
      </c>
      <c r="Y1378" s="62" t="s">
        <v>17127</v>
      </c>
      <c r="Z1378" s="62" t="s">
        <v>17128</v>
      </c>
      <c r="AA1378" s="62" t="s">
        <v>54080</v>
      </c>
      <c r="AB1378" s="62" t="s">
        <v>17129</v>
      </c>
      <c r="AC1378" s="62" t="s">
        <v>17130</v>
      </c>
      <c r="AD1378" s="62" t="s">
        <v>17131</v>
      </c>
    </row>
    <row r="1379" spans="1:30" x14ac:dyDescent="0.25">
      <c r="A1379" s="62" t="s">
        <v>109</v>
      </c>
      <c r="C1379" s="62" t="s">
        <v>17132</v>
      </c>
      <c r="F1379" s="62" t="s">
        <v>10703</v>
      </c>
      <c r="G1379" s="62" t="s">
        <v>53969</v>
      </c>
      <c r="J1379" s="62" t="s">
        <v>17133</v>
      </c>
      <c r="K1379" s="62" t="s">
        <v>53997</v>
      </c>
      <c r="L1379" s="62" t="s">
        <v>17134</v>
      </c>
      <c r="M1379" s="62" t="s">
        <v>17135</v>
      </c>
      <c r="N1379" s="62" t="s">
        <v>17136</v>
      </c>
      <c r="O1379" s="62" t="s">
        <v>17137</v>
      </c>
      <c r="P1379" s="62" t="s">
        <v>54025</v>
      </c>
      <c r="Q1379" s="62" t="s">
        <v>17138</v>
      </c>
      <c r="R1379" s="62" t="s">
        <v>17139</v>
      </c>
      <c r="S1379" s="62" t="s">
        <v>17140</v>
      </c>
      <c r="U1379" s="62" t="s">
        <v>17141</v>
      </c>
      <c r="V1379" s="62" t="s">
        <v>54053</v>
      </c>
      <c r="W1379" s="62" t="s">
        <v>17142</v>
      </c>
      <c r="X1379" s="62" t="s">
        <v>17143</v>
      </c>
      <c r="Y1379" s="62" t="s">
        <v>17144</v>
      </c>
      <c r="Z1379" s="62" t="s">
        <v>17145</v>
      </c>
      <c r="AA1379" s="62" t="s">
        <v>54081</v>
      </c>
      <c r="AB1379" s="62" t="s">
        <v>17146</v>
      </c>
      <c r="AC1379" s="62" t="s">
        <v>17147</v>
      </c>
      <c r="AD1379" s="62" t="s">
        <v>17148</v>
      </c>
    </row>
    <row r="1380" spans="1:30" x14ac:dyDescent="0.25">
      <c r="A1380" s="62" t="s">
        <v>109</v>
      </c>
      <c r="C1380" s="62" t="s">
        <v>17149</v>
      </c>
      <c r="F1380" s="62" t="s">
        <v>10739</v>
      </c>
      <c r="G1380" s="62" t="s">
        <v>53970</v>
      </c>
      <c r="J1380" s="62" t="s">
        <v>17150</v>
      </c>
      <c r="K1380" s="62" t="s">
        <v>53998</v>
      </c>
      <c r="L1380" s="62" t="s">
        <v>17151</v>
      </c>
      <c r="M1380" s="62" t="s">
        <v>17152</v>
      </c>
      <c r="N1380" s="62" t="s">
        <v>17153</v>
      </c>
      <c r="O1380" s="62" t="s">
        <v>17154</v>
      </c>
      <c r="P1380" s="62" t="s">
        <v>54026</v>
      </c>
      <c r="Q1380" s="62" t="s">
        <v>17155</v>
      </c>
      <c r="R1380" s="62" t="s">
        <v>17156</v>
      </c>
      <c r="S1380" s="62" t="s">
        <v>17157</v>
      </c>
      <c r="U1380" s="62" t="s">
        <v>17158</v>
      </c>
      <c r="V1380" s="62" t="s">
        <v>54054</v>
      </c>
      <c r="W1380" s="62" t="s">
        <v>17159</v>
      </c>
      <c r="X1380" s="62" t="s">
        <v>17160</v>
      </c>
      <c r="Y1380" s="62" t="s">
        <v>17161</v>
      </c>
      <c r="Z1380" s="62" t="s">
        <v>17162</v>
      </c>
      <c r="AA1380" s="62" t="s">
        <v>54082</v>
      </c>
      <c r="AB1380" s="62" t="s">
        <v>17163</v>
      </c>
      <c r="AC1380" s="62" t="s">
        <v>17164</v>
      </c>
      <c r="AD1380" s="62" t="s">
        <v>17165</v>
      </c>
    </row>
    <row r="1381" spans="1:30" x14ac:dyDescent="0.25">
      <c r="A1381" s="62" t="s">
        <v>109</v>
      </c>
      <c r="C1381" s="62" t="s">
        <v>17166</v>
      </c>
      <c r="F1381" s="62" t="s">
        <v>10757</v>
      </c>
      <c r="G1381" s="62" t="s">
        <v>53971</v>
      </c>
      <c r="J1381" s="62" t="s">
        <v>17167</v>
      </c>
      <c r="K1381" s="62" t="s">
        <v>53999</v>
      </c>
      <c r="L1381" s="62" t="s">
        <v>17168</v>
      </c>
      <c r="M1381" s="62" t="s">
        <v>17169</v>
      </c>
      <c r="N1381" s="62" t="s">
        <v>17170</v>
      </c>
      <c r="O1381" s="62" t="s">
        <v>17171</v>
      </c>
      <c r="P1381" s="62" t="s">
        <v>54027</v>
      </c>
      <c r="Q1381" s="62" t="s">
        <v>17172</v>
      </c>
      <c r="R1381" s="62" t="s">
        <v>17173</v>
      </c>
      <c r="S1381" s="62" t="s">
        <v>17174</v>
      </c>
      <c r="U1381" s="62" t="s">
        <v>17175</v>
      </c>
      <c r="V1381" s="62" t="s">
        <v>54055</v>
      </c>
      <c r="W1381" s="62" t="s">
        <v>17176</v>
      </c>
      <c r="X1381" s="62" t="s">
        <v>17177</v>
      </c>
      <c r="Y1381" s="62" t="s">
        <v>17178</v>
      </c>
      <c r="Z1381" s="62" t="s">
        <v>17179</v>
      </c>
      <c r="AA1381" s="62" t="s">
        <v>54083</v>
      </c>
      <c r="AB1381" s="62" t="s">
        <v>17180</v>
      </c>
      <c r="AC1381" s="62" t="s">
        <v>17181</v>
      </c>
      <c r="AD1381" s="62" t="s">
        <v>17182</v>
      </c>
    </row>
    <row r="1382" spans="1:30" x14ac:dyDescent="0.25">
      <c r="A1382" s="62" t="s">
        <v>109</v>
      </c>
      <c r="C1382" s="62" t="s">
        <v>43089</v>
      </c>
      <c r="F1382" s="62" t="s">
        <v>10793</v>
      </c>
      <c r="G1382" s="62" t="s">
        <v>53972</v>
      </c>
      <c r="J1382" s="62" t="s">
        <v>43090</v>
      </c>
      <c r="K1382" s="62" t="s">
        <v>54000</v>
      </c>
      <c r="L1382" s="62" t="s">
        <v>43091</v>
      </c>
      <c r="M1382" s="62" t="s">
        <v>43092</v>
      </c>
      <c r="N1382" s="62" t="s">
        <v>43093</v>
      </c>
      <c r="O1382" s="62" t="s">
        <v>43094</v>
      </c>
      <c r="P1382" s="62" t="s">
        <v>54028</v>
      </c>
      <c r="Q1382" s="62" t="s">
        <v>43095</v>
      </c>
      <c r="R1382" s="62" t="s">
        <v>43096</v>
      </c>
      <c r="S1382" s="62" t="s">
        <v>43097</v>
      </c>
      <c r="U1382" s="62" t="s">
        <v>43098</v>
      </c>
      <c r="V1382" s="62" t="s">
        <v>54056</v>
      </c>
      <c r="W1382" s="62" t="s">
        <v>43099</v>
      </c>
      <c r="X1382" s="62" t="s">
        <v>43100</v>
      </c>
      <c r="Y1382" s="62" t="s">
        <v>43101</v>
      </c>
      <c r="Z1382" s="62" t="s">
        <v>43102</v>
      </c>
      <c r="AA1382" s="62" t="s">
        <v>54084</v>
      </c>
      <c r="AB1382" s="62" t="s">
        <v>43103</v>
      </c>
      <c r="AC1382" s="62" t="s">
        <v>43104</v>
      </c>
      <c r="AD1382" s="62" t="s">
        <v>43105</v>
      </c>
    </row>
    <row r="1383" spans="1:30" x14ac:dyDescent="0.25">
      <c r="A1383" s="62" t="s">
        <v>109</v>
      </c>
      <c r="C1383" s="62" t="s">
        <v>17183</v>
      </c>
      <c r="F1383" s="62" t="s">
        <v>10811</v>
      </c>
      <c r="G1383" s="62" t="s">
        <v>53973</v>
      </c>
      <c r="J1383" s="62" t="s">
        <v>43106</v>
      </c>
      <c r="K1383" s="62" t="s">
        <v>54001</v>
      </c>
      <c r="L1383" s="62" t="s">
        <v>43107</v>
      </c>
      <c r="M1383" s="62" t="s">
        <v>17184</v>
      </c>
      <c r="N1383" s="62" t="s">
        <v>17185</v>
      </c>
      <c r="O1383" s="62" t="s">
        <v>43108</v>
      </c>
      <c r="P1383" s="62" t="s">
        <v>54029</v>
      </c>
      <c r="Q1383" s="62" t="s">
        <v>43109</v>
      </c>
      <c r="R1383" s="62" t="s">
        <v>17186</v>
      </c>
      <c r="S1383" s="62" t="s">
        <v>17187</v>
      </c>
      <c r="U1383" s="62" t="s">
        <v>43110</v>
      </c>
      <c r="V1383" s="62" t="s">
        <v>54057</v>
      </c>
      <c r="W1383" s="62" t="s">
        <v>43111</v>
      </c>
      <c r="X1383" s="62" t="s">
        <v>17188</v>
      </c>
      <c r="Y1383" s="62" t="s">
        <v>17189</v>
      </c>
      <c r="Z1383" s="62" t="s">
        <v>43112</v>
      </c>
      <c r="AA1383" s="62" t="s">
        <v>54085</v>
      </c>
      <c r="AB1383" s="62" t="s">
        <v>43113</v>
      </c>
      <c r="AC1383" s="62" t="s">
        <v>17190</v>
      </c>
      <c r="AD1383" s="62" t="s">
        <v>17191</v>
      </c>
    </row>
    <row r="1384" spans="1:30" x14ac:dyDescent="0.25">
      <c r="A1384" s="62" t="s">
        <v>109</v>
      </c>
      <c r="C1384" s="62" t="s">
        <v>43114</v>
      </c>
      <c r="F1384" s="62" t="s">
        <v>10847</v>
      </c>
      <c r="G1384" s="62" t="s">
        <v>53974</v>
      </c>
      <c r="J1384" s="62" t="s">
        <v>43115</v>
      </c>
      <c r="K1384" s="62" t="s">
        <v>54002</v>
      </c>
      <c r="L1384" s="62" t="s">
        <v>43116</v>
      </c>
      <c r="M1384" s="62" t="s">
        <v>43117</v>
      </c>
      <c r="N1384" s="62" t="s">
        <v>43118</v>
      </c>
      <c r="O1384" s="62" t="s">
        <v>43119</v>
      </c>
      <c r="P1384" s="62" t="s">
        <v>54030</v>
      </c>
      <c r="Q1384" s="62" t="s">
        <v>43120</v>
      </c>
      <c r="R1384" s="62" t="s">
        <v>43121</v>
      </c>
      <c r="S1384" s="62" t="s">
        <v>43122</v>
      </c>
      <c r="U1384" s="62" t="s">
        <v>43123</v>
      </c>
      <c r="V1384" s="62" t="s">
        <v>54058</v>
      </c>
      <c r="W1384" s="62" t="s">
        <v>43124</v>
      </c>
      <c r="X1384" s="62" t="s">
        <v>43125</v>
      </c>
      <c r="Y1384" s="62" t="s">
        <v>43126</v>
      </c>
      <c r="Z1384" s="62" t="s">
        <v>43127</v>
      </c>
      <c r="AA1384" s="62" t="s">
        <v>54086</v>
      </c>
      <c r="AB1384" s="62" t="s">
        <v>43128</v>
      </c>
      <c r="AC1384" s="62" t="s">
        <v>43129</v>
      </c>
      <c r="AD1384" s="62" t="s">
        <v>43130</v>
      </c>
    </row>
    <row r="1385" spans="1:30" x14ac:dyDescent="0.25">
      <c r="A1385" s="62" t="s">
        <v>109</v>
      </c>
      <c r="C1385" s="62" t="s">
        <v>43131</v>
      </c>
      <c r="F1385" s="62" t="s">
        <v>13238</v>
      </c>
      <c r="G1385" s="62" t="s">
        <v>53975</v>
      </c>
      <c r="J1385" s="62" t="s">
        <v>43132</v>
      </c>
      <c r="K1385" s="62" t="s">
        <v>54003</v>
      </c>
      <c r="L1385" s="62" t="s">
        <v>43133</v>
      </c>
      <c r="M1385" s="62" t="s">
        <v>43134</v>
      </c>
      <c r="N1385" s="62" t="s">
        <v>43135</v>
      </c>
      <c r="O1385" s="62" t="s">
        <v>43136</v>
      </c>
      <c r="P1385" s="62" t="s">
        <v>54031</v>
      </c>
      <c r="Q1385" s="62" t="s">
        <v>43137</v>
      </c>
      <c r="R1385" s="62" t="s">
        <v>43138</v>
      </c>
      <c r="S1385" s="62" t="s">
        <v>43139</v>
      </c>
      <c r="U1385" s="62" t="s">
        <v>43140</v>
      </c>
      <c r="V1385" s="62" t="s">
        <v>54059</v>
      </c>
      <c r="W1385" s="62" t="s">
        <v>43141</v>
      </c>
      <c r="X1385" s="62" t="s">
        <v>43142</v>
      </c>
      <c r="Y1385" s="62" t="s">
        <v>43143</v>
      </c>
      <c r="Z1385" s="62" t="s">
        <v>43144</v>
      </c>
      <c r="AA1385" s="62" t="s">
        <v>54087</v>
      </c>
      <c r="AB1385" s="62" t="s">
        <v>43145</v>
      </c>
      <c r="AC1385" s="62" t="s">
        <v>43146</v>
      </c>
      <c r="AD1385" s="62" t="s">
        <v>43147</v>
      </c>
    </row>
    <row r="1386" spans="1:30" x14ac:dyDescent="0.25">
      <c r="A1386" s="62" t="s">
        <v>109</v>
      </c>
      <c r="C1386" s="62" t="s">
        <v>17192</v>
      </c>
      <c r="F1386" s="62" t="s">
        <v>1249</v>
      </c>
      <c r="G1386" s="62" t="s">
        <v>53976</v>
      </c>
      <c r="J1386" s="62" t="s">
        <v>43148</v>
      </c>
      <c r="K1386" s="62" t="s">
        <v>54004</v>
      </c>
      <c r="L1386" s="62" t="s">
        <v>43149</v>
      </c>
      <c r="M1386" s="62" t="s">
        <v>43150</v>
      </c>
      <c r="N1386" s="62" t="s">
        <v>43151</v>
      </c>
      <c r="O1386" s="62" t="s">
        <v>43152</v>
      </c>
      <c r="P1386" s="62" t="s">
        <v>54032</v>
      </c>
      <c r="Q1386" s="62" t="s">
        <v>43153</v>
      </c>
      <c r="R1386" s="62" t="s">
        <v>43154</v>
      </c>
      <c r="S1386" s="62" t="s">
        <v>43155</v>
      </c>
      <c r="U1386" s="62" t="s">
        <v>43156</v>
      </c>
      <c r="V1386" s="62" t="s">
        <v>54060</v>
      </c>
      <c r="W1386" s="62" t="s">
        <v>43157</v>
      </c>
      <c r="X1386" s="62" t="s">
        <v>43158</v>
      </c>
      <c r="Y1386" s="62" t="s">
        <v>43159</v>
      </c>
      <c r="Z1386" s="62" t="s">
        <v>43160</v>
      </c>
      <c r="AA1386" s="62" t="s">
        <v>54088</v>
      </c>
      <c r="AB1386" s="62" t="s">
        <v>43161</v>
      </c>
      <c r="AC1386" s="62" t="s">
        <v>43162</v>
      </c>
      <c r="AD1386" s="62" t="s">
        <v>43163</v>
      </c>
    </row>
    <row r="1387" spans="1:30" x14ac:dyDescent="0.25">
      <c r="A1387" s="62" t="s">
        <v>109</v>
      </c>
      <c r="C1387" s="62" t="s">
        <v>17193</v>
      </c>
      <c r="F1387" s="62" t="s">
        <v>1797</v>
      </c>
      <c r="G1387" s="62" t="s">
        <v>53977</v>
      </c>
      <c r="J1387" s="62" t="s">
        <v>17194</v>
      </c>
      <c r="K1387" s="62" t="s">
        <v>54005</v>
      </c>
      <c r="L1387" s="62" t="s">
        <v>17195</v>
      </c>
      <c r="M1387" s="62" t="s">
        <v>17196</v>
      </c>
      <c r="N1387" s="62" t="s">
        <v>17197</v>
      </c>
      <c r="O1387" s="62" t="s">
        <v>17198</v>
      </c>
      <c r="P1387" s="62" t="s">
        <v>54033</v>
      </c>
      <c r="Q1387" s="62" t="s">
        <v>17199</v>
      </c>
      <c r="R1387" s="62" t="s">
        <v>17200</v>
      </c>
      <c r="S1387" s="62" t="s">
        <v>17201</v>
      </c>
      <c r="U1387" s="62" t="s">
        <v>17202</v>
      </c>
      <c r="V1387" s="62" t="s">
        <v>54061</v>
      </c>
      <c r="W1387" s="62" t="s">
        <v>17203</v>
      </c>
      <c r="X1387" s="62" t="s">
        <v>17204</v>
      </c>
      <c r="Y1387" s="62" t="s">
        <v>17205</v>
      </c>
      <c r="Z1387" s="62" t="s">
        <v>17206</v>
      </c>
      <c r="AA1387" s="62" t="s">
        <v>54089</v>
      </c>
      <c r="AB1387" s="62" t="s">
        <v>17207</v>
      </c>
      <c r="AC1387" s="62" t="s">
        <v>17208</v>
      </c>
      <c r="AD1387" s="62" t="s">
        <v>17209</v>
      </c>
    </row>
    <row r="1388" spans="1:30" x14ac:dyDescent="0.25">
      <c r="A1388" s="62" t="s">
        <v>109</v>
      </c>
      <c r="C1388" s="62" t="s">
        <v>17210</v>
      </c>
      <c r="F1388" s="62" t="s">
        <v>13249</v>
      </c>
      <c r="G1388" s="62" t="s">
        <v>53978</v>
      </c>
      <c r="J1388" s="62" t="s">
        <v>17211</v>
      </c>
      <c r="K1388" s="62" t="s">
        <v>54006</v>
      </c>
      <c r="L1388" s="62" t="s">
        <v>17212</v>
      </c>
      <c r="M1388" s="62" t="s">
        <v>17213</v>
      </c>
      <c r="N1388" s="62" t="s">
        <v>17214</v>
      </c>
      <c r="O1388" s="62" t="s">
        <v>17215</v>
      </c>
      <c r="P1388" s="62" t="s">
        <v>54034</v>
      </c>
      <c r="Q1388" s="62" t="s">
        <v>17216</v>
      </c>
      <c r="R1388" s="62" t="s">
        <v>17217</v>
      </c>
      <c r="S1388" s="62" t="s">
        <v>17218</v>
      </c>
      <c r="U1388" s="62" t="s">
        <v>17219</v>
      </c>
      <c r="V1388" s="62" t="s">
        <v>54062</v>
      </c>
      <c r="W1388" s="62" t="s">
        <v>17220</v>
      </c>
      <c r="X1388" s="62" t="s">
        <v>17221</v>
      </c>
      <c r="Y1388" s="62" t="s">
        <v>17222</v>
      </c>
      <c r="Z1388" s="62" t="s">
        <v>17223</v>
      </c>
      <c r="AA1388" s="62" t="s">
        <v>54090</v>
      </c>
      <c r="AB1388" s="62" t="s">
        <v>17224</v>
      </c>
      <c r="AC1388" s="62" t="s">
        <v>17225</v>
      </c>
      <c r="AD1388" s="62" t="s">
        <v>17226</v>
      </c>
    </row>
    <row r="1389" spans="1:30" x14ac:dyDescent="0.25">
      <c r="A1389" s="62" t="s">
        <v>109</v>
      </c>
      <c r="C1389" s="62" t="s">
        <v>17227</v>
      </c>
      <c r="F1389" s="62" t="s">
        <v>10925</v>
      </c>
      <c r="G1389" s="62" t="s">
        <v>53979</v>
      </c>
      <c r="J1389" s="62" t="s">
        <v>17228</v>
      </c>
      <c r="K1389" s="62" t="s">
        <v>54007</v>
      </c>
      <c r="L1389" s="62" t="s">
        <v>17229</v>
      </c>
      <c r="M1389" s="62" t="s">
        <v>17230</v>
      </c>
      <c r="N1389" s="62" t="s">
        <v>17231</v>
      </c>
      <c r="O1389" s="62" t="s">
        <v>17232</v>
      </c>
      <c r="P1389" s="62" t="s">
        <v>54035</v>
      </c>
      <c r="Q1389" s="62" t="s">
        <v>17233</v>
      </c>
      <c r="R1389" s="62" t="s">
        <v>17234</v>
      </c>
      <c r="S1389" s="62" t="s">
        <v>17235</v>
      </c>
      <c r="U1389" s="62" t="s">
        <v>17236</v>
      </c>
      <c r="V1389" s="62" t="s">
        <v>54063</v>
      </c>
      <c r="W1389" s="62" t="s">
        <v>17237</v>
      </c>
      <c r="X1389" s="62" t="s">
        <v>17238</v>
      </c>
      <c r="Y1389" s="62" t="s">
        <v>17239</v>
      </c>
      <c r="Z1389" s="62" t="s">
        <v>17240</v>
      </c>
      <c r="AA1389" s="62" t="s">
        <v>54091</v>
      </c>
      <c r="AB1389" s="62" t="s">
        <v>17241</v>
      </c>
      <c r="AC1389" s="62" t="s">
        <v>17242</v>
      </c>
      <c r="AD1389" s="62" t="s">
        <v>17243</v>
      </c>
    </row>
    <row r="1390" spans="1:30" x14ac:dyDescent="0.25">
      <c r="A1390" s="62" t="s">
        <v>109</v>
      </c>
      <c r="C1390" s="62" t="s">
        <v>16860</v>
      </c>
    </row>
    <row r="1391" spans="1:30" x14ac:dyDescent="0.25">
      <c r="A1391" s="62" t="s">
        <v>109</v>
      </c>
      <c r="C1391" s="62" t="s">
        <v>17244</v>
      </c>
      <c r="G1391" s="62" t="s">
        <v>43164</v>
      </c>
      <c r="J1391" s="62" t="s">
        <v>43165</v>
      </c>
      <c r="K1391" s="62" t="s">
        <v>43166</v>
      </c>
      <c r="L1391" s="62" t="s">
        <v>43167</v>
      </c>
      <c r="M1391" s="62" t="s">
        <v>17245</v>
      </c>
      <c r="N1391" s="62" t="s">
        <v>17246</v>
      </c>
      <c r="O1391" s="62" t="s">
        <v>43168</v>
      </c>
      <c r="P1391" s="62" t="s">
        <v>43169</v>
      </c>
      <c r="Q1391" s="62" t="s">
        <v>43170</v>
      </c>
      <c r="R1391" s="62" t="s">
        <v>17247</v>
      </c>
      <c r="S1391" s="62" t="s">
        <v>17248</v>
      </c>
      <c r="U1391" s="62" t="s">
        <v>43171</v>
      </c>
      <c r="V1391" s="62" t="s">
        <v>43172</v>
      </c>
      <c r="W1391" s="62" t="s">
        <v>43173</v>
      </c>
      <c r="X1391" s="62" t="s">
        <v>17249</v>
      </c>
      <c r="Y1391" s="62" t="s">
        <v>17250</v>
      </c>
      <c r="Z1391" s="62" t="s">
        <v>43174</v>
      </c>
      <c r="AA1391" s="62" t="s">
        <v>43175</v>
      </c>
      <c r="AB1391" s="62" t="s">
        <v>43176</v>
      </c>
      <c r="AC1391" s="62" t="s">
        <v>17251</v>
      </c>
      <c r="AD1391" s="62" t="s">
        <v>17252</v>
      </c>
    </row>
    <row r="1392" spans="1:30" x14ac:dyDescent="0.25">
      <c r="A1392" s="62" t="s">
        <v>109</v>
      </c>
    </row>
    <row r="1393" spans="1:30" x14ac:dyDescent="0.25">
      <c r="A1393" s="62" t="s">
        <v>109</v>
      </c>
      <c r="C1393" s="62" t="s">
        <v>43177</v>
      </c>
      <c r="E1393" s="62" t="s">
        <v>452</v>
      </c>
      <c r="G1393" s="62" t="s">
        <v>43178</v>
      </c>
    </row>
    <row r="1394" spans="1:30" x14ac:dyDescent="0.25">
      <c r="A1394" s="62" t="s">
        <v>109</v>
      </c>
      <c r="C1394" s="62" t="s">
        <v>17253</v>
      </c>
    </row>
    <row r="1395" spans="1:30" x14ac:dyDescent="0.25">
      <c r="A1395" s="62" t="s">
        <v>109</v>
      </c>
      <c r="C1395" s="62" t="s">
        <v>17254</v>
      </c>
      <c r="F1395" s="62" t="s">
        <v>43179</v>
      </c>
      <c r="G1395" s="62" t="s">
        <v>53907</v>
      </c>
      <c r="J1395" s="62" t="s">
        <v>17255</v>
      </c>
      <c r="K1395" s="62" t="s">
        <v>53916</v>
      </c>
      <c r="L1395" s="62" t="s">
        <v>17256</v>
      </c>
      <c r="M1395" s="62" t="s">
        <v>17257</v>
      </c>
      <c r="N1395" s="62" t="s">
        <v>17258</v>
      </c>
      <c r="O1395" s="62" t="s">
        <v>17259</v>
      </c>
      <c r="P1395" s="62" t="s">
        <v>53925</v>
      </c>
      <c r="Q1395" s="62" t="s">
        <v>17260</v>
      </c>
      <c r="R1395" s="62" t="s">
        <v>17261</v>
      </c>
      <c r="S1395" s="62" t="s">
        <v>17262</v>
      </c>
      <c r="U1395" s="62" t="s">
        <v>17263</v>
      </c>
      <c r="V1395" s="62" t="s">
        <v>53934</v>
      </c>
      <c r="W1395" s="62" t="s">
        <v>17264</v>
      </c>
      <c r="X1395" s="62" t="s">
        <v>17265</v>
      </c>
      <c r="Y1395" s="62" t="s">
        <v>17266</v>
      </c>
      <c r="Z1395" s="62" t="s">
        <v>17267</v>
      </c>
      <c r="AA1395" s="62" t="s">
        <v>53943</v>
      </c>
      <c r="AB1395" s="62" t="s">
        <v>17268</v>
      </c>
      <c r="AC1395" s="62" t="s">
        <v>17269</v>
      </c>
      <c r="AD1395" s="62" t="s">
        <v>17270</v>
      </c>
    </row>
    <row r="1396" spans="1:30" x14ac:dyDescent="0.25">
      <c r="A1396" s="62" t="s">
        <v>109</v>
      </c>
      <c r="C1396" s="62" t="s">
        <v>17271</v>
      </c>
      <c r="F1396" s="62" t="s">
        <v>1100</v>
      </c>
      <c r="G1396" s="62" t="s">
        <v>53908</v>
      </c>
      <c r="J1396" s="62" t="s">
        <v>17272</v>
      </c>
      <c r="K1396" s="62" t="s">
        <v>53917</v>
      </c>
      <c r="L1396" s="62" t="s">
        <v>17273</v>
      </c>
      <c r="M1396" s="62" t="s">
        <v>17274</v>
      </c>
      <c r="N1396" s="62" t="s">
        <v>17275</v>
      </c>
      <c r="O1396" s="62" t="s">
        <v>17276</v>
      </c>
      <c r="P1396" s="62" t="s">
        <v>53926</v>
      </c>
      <c r="Q1396" s="62" t="s">
        <v>17277</v>
      </c>
      <c r="R1396" s="62" t="s">
        <v>17278</v>
      </c>
      <c r="S1396" s="62" t="s">
        <v>17279</v>
      </c>
      <c r="U1396" s="62" t="s">
        <v>17280</v>
      </c>
      <c r="V1396" s="62" t="s">
        <v>53935</v>
      </c>
      <c r="W1396" s="62" t="s">
        <v>17281</v>
      </c>
      <c r="X1396" s="62" t="s">
        <v>17282</v>
      </c>
      <c r="Y1396" s="62" t="s">
        <v>17283</v>
      </c>
      <c r="Z1396" s="62" t="s">
        <v>17284</v>
      </c>
      <c r="AA1396" s="62" t="s">
        <v>53944</v>
      </c>
      <c r="AB1396" s="62" t="s">
        <v>17285</v>
      </c>
      <c r="AC1396" s="62" t="s">
        <v>17286</v>
      </c>
      <c r="AD1396" s="62" t="s">
        <v>17287</v>
      </c>
    </row>
    <row r="1397" spans="1:30" x14ac:dyDescent="0.25">
      <c r="A1397" s="62" t="s">
        <v>109</v>
      </c>
      <c r="C1397" s="62" t="s">
        <v>17288</v>
      </c>
      <c r="F1397" s="62" t="s">
        <v>1161</v>
      </c>
      <c r="G1397" s="62" t="s">
        <v>53909</v>
      </c>
      <c r="J1397" s="62" t="s">
        <v>17289</v>
      </c>
      <c r="K1397" s="62" t="s">
        <v>53918</v>
      </c>
      <c r="L1397" s="62" t="s">
        <v>17290</v>
      </c>
      <c r="M1397" s="62" t="s">
        <v>17291</v>
      </c>
      <c r="N1397" s="62" t="s">
        <v>17292</v>
      </c>
      <c r="O1397" s="62" t="s">
        <v>17293</v>
      </c>
      <c r="P1397" s="62" t="s">
        <v>53927</v>
      </c>
      <c r="Q1397" s="62" t="s">
        <v>17294</v>
      </c>
      <c r="R1397" s="62" t="s">
        <v>17295</v>
      </c>
      <c r="S1397" s="62" t="s">
        <v>17296</v>
      </c>
      <c r="U1397" s="62" t="s">
        <v>17297</v>
      </c>
      <c r="V1397" s="62" t="s">
        <v>53936</v>
      </c>
      <c r="W1397" s="62" t="s">
        <v>17298</v>
      </c>
      <c r="X1397" s="62" t="s">
        <v>17299</v>
      </c>
      <c r="Y1397" s="62" t="s">
        <v>17300</v>
      </c>
      <c r="Z1397" s="62" t="s">
        <v>17301</v>
      </c>
      <c r="AA1397" s="62" t="s">
        <v>53945</v>
      </c>
      <c r="AB1397" s="62" t="s">
        <v>17302</v>
      </c>
      <c r="AC1397" s="62" t="s">
        <v>17303</v>
      </c>
      <c r="AD1397" s="62" t="s">
        <v>17304</v>
      </c>
    </row>
    <row r="1398" spans="1:30" x14ac:dyDescent="0.25">
      <c r="A1398" s="62" t="s">
        <v>109</v>
      </c>
      <c r="C1398" s="62" t="s">
        <v>17305</v>
      </c>
      <c r="F1398" s="62" t="s">
        <v>1206</v>
      </c>
      <c r="G1398" s="62" t="s">
        <v>53910</v>
      </c>
      <c r="J1398" s="62" t="s">
        <v>17306</v>
      </c>
      <c r="K1398" s="62" t="s">
        <v>53919</v>
      </c>
      <c r="L1398" s="62" t="s">
        <v>17307</v>
      </c>
      <c r="M1398" s="62" t="s">
        <v>17308</v>
      </c>
      <c r="N1398" s="62" t="s">
        <v>17309</v>
      </c>
      <c r="O1398" s="62" t="s">
        <v>17310</v>
      </c>
      <c r="P1398" s="62" t="s">
        <v>53928</v>
      </c>
      <c r="Q1398" s="62" t="s">
        <v>17311</v>
      </c>
      <c r="R1398" s="62" t="s">
        <v>17312</v>
      </c>
      <c r="S1398" s="62" t="s">
        <v>17313</v>
      </c>
      <c r="U1398" s="62" t="s">
        <v>17314</v>
      </c>
      <c r="V1398" s="62" t="s">
        <v>53937</v>
      </c>
      <c r="W1398" s="62" t="s">
        <v>17315</v>
      </c>
      <c r="X1398" s="62" t="s">
        <v>17316</v>
      </c>
      <c r="Y1398" s="62" t="s">
        <v>17317</v>
      </c>
      <c r="Z1398" s="62" t="s">
        <v>17318</v>
      </c>
      <c r="AA1398" s="62" t="s">
        <v>53946</v>
      </c>
      <c r="AB1398" s="62" t="s">
        <v>17319</v>
      </c>
      <c r="AC1398" s="62" t="s">
        <v>17320</v>
      </c>
      <c r="AD1398" s="62" t="s">
        <v>17321</v>
      </c>
    </row>
    <row r="1399" spans="1:30" x14ac:dyDescent="0.25">
      <c r="A1399" s="62" t="s">
        <v>109</v>
      </c>
      <c r="C1399" s="62" t="s">
        <v>17322</v>
      </c>
      <c r="F1399" s="62" t="s">
        <v>1223</v>
      </c>
      <c r="G1399" s="62" t="s">
        <v>53911</v>
      </c>
      <c r="J1399" s="62" t="s">
        <v>17323</v>
      </c>
      <c r="K1399" s="62" t="s">
        <v>53920</v>
      </c>
      <c r="L1399" s="62" t="s">
        <v>17324</v>
      </c>
      <c r="M1399" s="62" t="s">
        <v>17325</v>
      </c>
      <c r="N1399" s="62" t="s">
        <v>17326</v>
      </c>
      <c r="O1399" s="62" t="s">
        <v>17327</v>
      </c>
      <c r="P1399" s="62" t="s">
        <v>53929</v>
      </c>
      <c r="Q1399" s="62" t="s">
        <v>17328</v>
      </c>
      <c r="R1399" s="62" t="s">
        <v>17329</v>
      </c>
      <c r="S1399" s="62" t="s">
        <v>17330</v>
      </c>
      <c r="U1399" s="62" t="s">
        <v>17331</v>
      </c>
      <c r="V1399" s="62" t="s">
        <v>53938</v>
      </c>
      <c r="W1399" s="62" t="s">
        <v>17332</v>
      </c>
      <c r="X1399" s="62" t="s">
        <v>17333</v>
      </c>
      <c r="Y1399" s="62" t="s">
        <v>17334</v>
      </c>
      <c r="Z1399" s="62" t="s">
        <v>17335</v>
      </c>
      <c r="AA1399" s="62" t="s">
        <v>53947</v>
      </c>
      <c r="AB1399" s="62" t="s">
        <v>17336</v>
      </c>
      <c r="AC1399" s="62" t="s">
        <v>17337</v>
      </c>
      <c r="AD1399" s="62" t="s">
        <v>17338</v>
      </c>
    </row>
    <row r="1400" spans="1:30" x14ac:dyDescent="0.25">
      <c r="A1400" s="62" t="s">
        <v>109</v>
      </c>
      <c r="C1400" s="62" t="s">
        <v>17339</v>
      </c>
      <c r="F1400" s="62" t="s">
        <v>1277</v>
      </c>
      <c r="G1400" s="62" t="s">
        <v>53912</v>
      </c>
      <c r="J1400" s="62" t="s">
        <v>17340</v>
      </c>
      <c r="K1400" s="62" t="s">
        <v>53921</v>
      </c>
      <c r="L1400" s="62" t="s">
        <v>17341</v>
      </c>
      <c r="M1400" s="62" t="s">
        <v>17342</v>
      </c>
      <c r="N1400" s="62" t="s">
        <v>17343</v>
      </c>
      <c r="O1400" s="62" t="s">
        <v>17344</v>
      </c>
      <c r="P1400" s="62" t="s">
        <v>53930</v>
      </c>
      <c r="Q1400" s="62" t="s">
        <v>17345</v>
      </c>
      <c r="R1400" s="62" t="s">
        <v>17346</v>
      </c>
      <c r="S1400" s="62" t="s">
        <v>17347</v>
      </c>
      <c r="U1400" s="62" t="s">
        <v>17348</v>
      </c>
      <c r="V1400" s="62" t="s">
        <v>53939</v>
      </c>
      <c r="W1400" s="62" t="s">
        <v>17349</v>
      </c>
      <c r="X1400" s="62" t="s">
        <v>17350</v>
      </c>
      <c r="Y1400" s="62" t="s">
        <v>17351</v>
      </c>
      <c r="Z1400" s="62" t="s">
        <v>17352</v>
      </c>
      <c r="AA1400" s="62" t="s">
        <v>53948</v>
      </c>
      <c r="AB1400" s="62" t="s">
        <v>17353</v>
      </c>
      <c r="AC1400" s="62" t="s">
        <v>17354</v>
      </c>
      <c r="AD1400" s="62" t="s">
        <v>17355</v>
      </c>
    </row>
    <row r="1401" spans="1:30" x14ac:dyDescent="0.25">
      <c r="A1401" s="62" t="s">
        <v>109</v>
      </c>
      <c r="C1401" s="62" t="s">
        <v>17356</v>
      </c>
      <c r="F1401" s="62" t="s">
        <v>1286</v>
      </c>
      <c r="G1401" s="62" t="s">
        <v>53913</v>
      </c>
      <c r="J1401" s="62" t="s">
        <v>17357</v>
      </c>
      <c r="K1401" s="62" t="s">
        <v>53922</v>
      </c>
      <c r="L1401" s="62" t="s">
        <v>17358</v>
      </c>
      <c r="M1401" s="62" t="s">
        <v>17359</v>
      </c>
      <c r="N1401" s="62" t="s">
        <v>17360</v>
      </c>
      <c r="O1401" s="62" t="s">
        <v>17361</v>
      </c>
      <c r="P1401" s="62" t="s">
        <v>53931</v>
      </c>
      <c r="Q1401" s="62" t="s">
        <v>17362</v>
      </c>
      <c r="R1401" s="62" t="s">
        <v>17363</v>
      </c>
      <c r="S1401" s="62" t="s">
        <v>17364</v>
      </c>
      <c r="U1401" s="62" t="s">
        <v>17365</v>
      </c>
      <c r="V1401" s="62" t="s">
        <v>53940</v>
      </c>
      <c r="W1401" s="62" t="s">
        <v>17366</v>
      </c>
      <c r="X1401" s="62" t="s">
        <v>17367</v>
      </c>
      <c r="Y1401" s="62" t="s">
        <v>17368</v>
      </c>
      <c r="Z1401" s="62" t="s">
        <v>17369</v>
      </c>
      <c r="AA1401" s="62" t="s">
        <v>53949</v>
      </c>
      <c r="AB1401" s="62" t="s">
        <v>17370</v>
      </c>
      <c r="AC1401" s="62" t="s">
        <v>17371</v>
      </c>
      <c r="AD1401" s="62" t="s">
        <v>17372</v>
      </c>
    </row>
    <row r="1402" spans="1:30" x14ac:dyDescent="0.25">
      <c r="A1402" s="62" t="s">
        <v>109</v>
      </c>
      <c r="C1402" s="62" t="s">
        <v>17373</v>
      </c>
      <c r="F1402" s="62" t="s">
        <v>1287</v>
      </c>
      <c r="G1402" s="62" t="s">
        <v>53914</v>
      </c>
      <c r="J1402" s="62" t="s">
        <v>17374</v>
      </c>
      <c r="K1402" s="62" t="s">
        <v>53923</v>
      </c>
      <c r="L1402" s="62" t="s">
        <v>17375</v>
      </c>
      <c r="M1402" s="62" t="s">
        <v>17376</v>
      </c>
      <c r="N1402" s="62" t="s">
        <v>17377</v>
      </c>
      <c r="O1402" s="62" t="s">
        <v>17378</v>
      </c>
      <c r="P1402" s="62" t="s">
        <v>53932</v>
      </c>
      <c r="Q1402" s="62" t="s">
        <v>17379</v>
      </c>
      <c r="R1402" s="62" t="s">
        <v>17380</v>
      </c>
      <c r="S1402" s="62" t="s">
        <v>17381</v>
      </c>
      <c r="U1402" s="62" t="s">
        <v>17382</v>
      </c>
      <c r="V1402" s="62" t="s">
        <v>53941</v>
      </c>
      <c r="W1402" s="62" t="s">
        <v>17383</v>
      </c>
      <c r="X1402" s="62" t="s">
        <v>17384</v>
      </c>
      <c r="Y1402" s="62" t="s">
        <v>17385</v>
      </c>
      <c r="Z1402" s="62" t="s">
        <v>17386</v>
      </c>
      <c r="AA1402" s="62" t="s">
        <v>53950</v>
      </c>
      <c r="AB1402" s="62" t="s">
        <v>17387</v>
      </c>
      <c r="AC1402" s="62" t="s">
        <v>17388</v>
      </c>
      <c r="AD1402" s="62" t="s">
        <v>17389</v>
      </c>
    </row>
    <row r="1403" spans="1:30" x14ac:dyDescent="0.25">
      <c r="A1403" s="62" t="s">
        <v>109</v>
      </c>
      <c r="C1403" s="62" t="s">
        <v>17390</v>
      </c>
      <c r="F1403" s="62" t="s">
        <v>1299</v>
      </c>
      <c r="G1403" s="62" t="s">
        <v>53915</v>
      </c>
      <c r="J1403" s="62" t="s">
        <v>17391</v>
      </c>
      <c r="K1403" s="62" t="s">
        <v>53924</v>
      </c>
      <c r="L1403" s="62" t="s">
        <v>17392</v>
      </c>
      <c r="M1403" s="62" t="s">
        <v>17393</v>
      </c>
      <c r="N1403" s="62" t="s">
        <v>17394</v>
      </c>
      <c r="O1403" s="62" t="s">
        <v>17395</v>
      </c>
      <c r="P1403" s="62" t="s">
        <v>53933</v>
      </c>
      <c r="Q1403" s="62" t="s">
        <v>17396</v>
      </c>
      <c r="R1403" s="62" t="s">
        <v>17397</v>
      </c>
      <c r="S1403" s="62" t="s">
        <v>17398</v>
      </c>
      <c r="U1403" s="62" t="s">
        <v>17399</v>
      </c>
      <c r="V1403" s="62" t="s">
        <v>53942</v>
      </c>
      <c r="W1403" s="62" t="s">
        <v>17400</v>
      </c>
      <c r="X1403" s="62" t="s">
        <v>17401</v>
      </c>
      <c r="Y1403" s="62" t="s">
        <v>17402</v>
      </c>
      <c r="Z1403" s="62" t="s">
        <v>17403</v>
      </c>
      <c r="AA1403" s="62" t="s">
        <v>53951</v>
      </c>
      <c r="AB1403" s="62" t="s">
        <v>17404</v>
      </c>
      <c r="AC1403" s="62" t="s">
        <v>17405</v>
      </c>
      <c r="AD1403" s="62" t="s">
        <v>17406</v>
      </c>
    </row>
    <row r="1404" spans="1:30" x14ac:dyDescent="0.25">
      <c r="A1404" s="62" t="s">
        <v>109</v>
      </c>
      <c r="C1404" s="62" t="s">
        <v>17271</v>
      </c>
    </row>
    <row r="1405" spans="1:30" x14ac:dyDescent="0.25">
      <c r="A1405" s="62" t="s">
        <v>109</v>
      </c>
      <c r="C1405" s="62" t="s">
        <v>17407</v>
      </c>
      <c r="G1405" s="62" t="s">
        <v>43180</v>
      </c>
      <c r="J1405" s="62" t="s">
        <v>43181</v>
      </c>
      <c r="K1405" s="62" t="s">
        <v>43182</v>
      </c>
      <c r="L1405" s="62" t="s">
        <v>43183</v>
      </c>
      <c r="M1405" s="62" t="s">
        <v>17408</v>
      </c>
      <c r="N1405" s="62" t="s">
        <v>17409</v>
      </c>
      <c r="O1405" s="62" t="s">
        <v>43184</v>
      </c>
      <c r="P1405" s="62" t="s">
        <v>43185</v>
      </c>
      <c r="Q1405" s="62" t="s">
        <v>43186</v>
      </c>
      <c r="R1405" s="62" t="s">
        <v>17410</v>
      </c>
      <c r="S1405" s="62" t="s">
        <v>17411</v>
      </c>
      <c r="U1405" s="62" t="s">
        <v>43187</v>
      </c>
      <c r="V1405" s="62" t="s">
        <v>43188</v>
      </c>
      <c r="W1405" s="62" t="s">
        <v>43189</v>
      </c>
      <c r="X1405" s="62" t="s">
        <v>17412</v>
      </c>
      <c r="Y1405" s="62" t="s">
        <v>17413</v>
      </c>
      <c r="Z1405" s="62" t="s">
        <v>43190</v>
      </c>
      <c r="AA1405" s="62" t="s">
        <v>43191</v>
      </c>
      <c r="AB1405" s="62" t="s">
        <v>43192</v>
      </c>
      <c r="AC1405" s="62" t="s">
        <v>17414</v>
      </c>
      <c r="AD1405" s="62" t="s">
        <v>17415</v>
      </c>
    </row>
    <row r="1406" spans="1:30" x14ac:dyDescent="0.25">
      <c r="A1406" s="62" t="s">
        <v>109</v>
      </c>
    </row>
    <row r="1407" spans="1:30" x14ac:dyDescent="0.25">
      <c r="A1407" s="62" t="s">
        <v>109</v>
      </c>
      <c r="C1407" s="62" t="s">
        <v>43193</v>
      </c>
      <c r="E1407" s="62" t="s">
        <v>22601</v>
      </c>
      <c r="G1407" s="62" t="s">
        <v>43194</v>
      </c>
    </row>
    <row r="1408" spans="1:30" x14ac:dyDescent="0.25">
      <c r="A1408" s="62" t="s">
        <v>109</v>
      </c>
      <c r="C1408" s="62" t="s">
        <v>17416</v>
      </c>
    </row>
    <row r="1409" spans="1:30" x14ac:dyDescent="0.25">
      <c r="A1409" s="62" t="s">
        <v>109</v>
      </c>
      <c r="C1409" s="62" t="s">
        <v>17417</v>
      </c>
      <c r="F1409" s="62" t="s">
        <v>43195</v>
      </c>
      <c r="G1409" s="62" t="s">
        <v>53817</v>
      </c>
      <c r="J1409" s="62" t="s">
        <v>17418</v>
      </c>
      <c r="K1409" s="62" t="s">
        <v>53835</v>
      </c>
      <c r="L1409" s="62" t="s">
        <v>17419</v>
      </c>
      <c r="M1409" s="62" t="s">
        <v>17420</v>
      </c>
      <c r="N1409" s="62" t="s">
        <v>17421</v>
      </c>
      <c r="O1409" s="62" t="s">
        <v>17422</v>
      </c>
      <c r="P1409" s="62" t="s">
        <v>53853</v>
      </c>
      <c r="Q1409" s="62" t="s">
        <v>17423</v>
      </c>
      <c r="R1409" s="62" t="s">
        <v>17424</v>
      </c>
      <c r="S1409" s="62" t="s">
        <v>17425</v>
      </c>
      <c r="U1409" s="62" t="s">
        <v>17426</v>
      </c>
      <c r="V1409" s="62" t="s">
        <v>53871</v>
      </c>
      <c r="W1409" s="62" t="s">
        <v>17427</v>
      </c>
      <c r="X1409" s="62" t="s">
        <v>17428</v>
      </c>
      <c r="Y1409" s="62" t="s">
        <v>17429</v>
      </c>
      <c r="Z1409" s="62" t="s">
        <v>17430</v>
      </c>
      <c r="AA1409" s="62" t="s">
        <v>53889</v>
      </c>
      <c r="AB1409" s="62" t="s">
        <v>17431</v>
      </c>
      <c r="AC1409" s="62" t="s">
        <v>17432</v>
      </c>
      <c r="AD1409" s="62" t="s">
        <v>17433</v>
      </c>
    </row>
    <row r="1410" spans="1:30" x14ac:dyDescent="0.25">
      <c r="A1410" s="62" t="s">
        <v>109</v>
      </c>
      <c r="C1410" s="62" t="s">
        <v>17434</v>
      </c>
      <c r="F1410" s="62" t="s">
        <v>12860</v>
      </c>
      <c r="G1410" s="62" t="s">
        <v>53818</v>
      </c>
      <c r="J1410" s="62" t="s">
        <v>17435</v>
      </c>
      <c r="K1410" s="62" t="s">
        <v>53836</v>
      </c>
      <c r="L1410" s="62" t="s">
        <v>17436</v>
      </c>
      <c r="M1410" s="62" t="s">
        <v>17437</v>
      </c>
      <c r="N1410" s="62" t="s">
        <v>17438</v>
      </c>
      <c r="O1410" s="62" t="s">
        <v>17439</v>
      </c>
      <c r="P1410" s="62" t="s">
        <v>53854</v>
      </c>
      <c r="Q1410" s="62" t="s">
        <v>17440</v>
      </c>
      <c r="R1410" s="62" t="s">
        <v>17441</v>
      </c>
      <c r="S1410" s="62" t="s">
        <v>17442</v>
      </c>
      <c r="U1410" s="62" t="s">
        <v>17443</v>
      </c>
      <c r="V1410" s="62" t="s">
        <v>53872</v>
      </c>
      <c r="W1410" s="62" t="s">
        <v>17444</v>
      </c>
      <c r="X1410" s="62" t="s">
        <v>17445</v>
      </c>
      <c r="Y1410" s="62" t="s">
        <v>17446</v>
      </c>
      <c r="Z1410" s="62" t="s">
        <v>17447</v>
      </c>
      <c r="AA1410" s="62" t="s">
        <v>53890</v>
      </c>
      <c r="AB1410" s="62" t="s">
        <v>17448</v>
      </c>
      <c r="AC1410" s="62" t="s">
        <v>17449</v>
      </c>
      <c r="AD1410" s="62" t="s">
        <v>17450</v>
      </c>
    </row>
    <row r="1411" spans="1:30" x14ac:dyDescent="0.25">
      <c r="A1411" s="62" t="s">
        <v>109</v>
      </c>
      <c r="C1411" s="62" t="s">
        <v>17451</v>
      </c>
      <c r="F1411" s="62" t="s">
        <v>340</v>
      </c>
      <c r="G1411" s="62" t="s">
        <v>53819</v>
      </c>
      <c r="J1411" s="62" t="s">
        <v>17452</v>
      </c>
      <c r="K1411" s="62" t="s">
        <v>53837</v>
      </c>
      <c r="L1411" s="62" t="s">
        <v>17453</v>
      </c>
      <c r="M1411" s="62" t="s">
        <v>17454</v>
      </c>
      <c r="N1411" s="62" t="s">
        <v>17455</v>
      </c>
      <c r="O1411" s="62" t="s">
        <v>17456</v>
      </c>
      <c r="P1411" s="62" t="s">
        <v>53855</v>
      </c>
      <c r="Q1411" s="62" t="s">
        <v>17457</v>
      </c>
      <c r="R1411" s="62" t="s">
        <v>17458</v>
      </c>
      <c r="S1411" s="62" t="s">
        <v>17459</v>
      </c>
      <c r="U1411" s="62" t="s">
        <v>17460</v>
      </c>
      <c r="V1411" s="62" t="s">
        <v>53873</v>
      </c>
      <c r="W1411" s="62" t="s">
        <v>17461</v>
      </c>
      <c r="X1411" s="62" t="s">
        <v>17462</v>
      </c>
      <c r="Y1411" s="62" t="s">
        <v>17463</v>
      </c>
      <c r="Z1411" s="62" t="s">
        <v>17464</v>
      </c>
      <c r="AA1411" s="62" t="s">
        <v>53891</v>
      </c>
      <c r="AB1411" s="62" t="s">
        <v>17465</v>
      </c>
      <c r="AC1411" s="62" t="s">
        <v>17466</v>
      </c>
      <c r="AD1411" s="62" t="s">
        <v>17467</v>
      </c>
    </row>
    <row r="1412" spans="1:30" x14ac:dyDescent="0.25">
      <c r="A1412" s="62" t="s">
        <v>109</v>
      </c>
      <c r="C1412" s="62" t="s">
        <v>17468</v>
      </c>
      <c r="F1412" s="62" t="s">
        <v>10295</v>
      </c>
      <c r="G1412" s="62" t="s">
        <v>53820</v>
      </c>
      <c r="J1412" s="62" t="s">
        <v>17469</v>
      </c>
      <c r="K1412" s="62" t="s">
        <v>53838</v>
      </c>
      <c r="L1412" s="62" t="s">
        <v>17470</v>
      </c>
      <c r="M1412" s="62" t="s">
        <v>17471</v>
      </c>
      <c r="N1412" s="62" t="s">
        <v>17472</v>
      </c>
      <c r="O1412" s="62" t="s">
        <v>17473</v>
      </c>
      <c r="P1412" s="62" t="s">
        <v>53856</v>
      </c>
      <c r="Q1412" s="62" t="s">
        <v>17474</v>
      </c>
      <c r="R1412" s="62" t="s">
        <v>17475</v>
      </c>
      <c r="S1412" s="62" t="s">
        <v>17476</v>
      </c>
      <c r="U1412" s="62" t="s">
        <v>17477</v>
      </c>
      <c r="V1412" s="62" t="s">
        <v>53874</v>
      </c>
      <c r="W1412" s="62" t="s">
        <v>17478</v>
      </c>
      <c r="X1412" s="62" t="s">
        <v>17479</v>
      </c>
      <c r="Y1412" s="62" t="s">
        <v>17480</v>
      </c>
      <c r="Z1412" s="62" t="s">
        <v>17481</v>
      </c>
      <c r="AA1412" s="62" t="s">
        <v>53892</v>
      </c>
      <c r="AB1412" s="62" t="s">
        <v>17482</v>
      </c>
      <c r="AC1412" s="62" t="s">
        <v>17483</v>
      </c>
      <c r="AD1412" s="62" t="s">
        <v>17484</v>
      </c>
    </row>
    <row r="1413" spans="1:30" x14ac:dyDescent="0.25">
      <c r="A1413" s="62" t="s">
        <v>109</v>
      </c>
      <c r="C1413" s="62" t="s">
        <v>43196</v>
      </c>
      <c r="F1413" s="62" t="s">
        <v>19275</v>
      </c>
      <c r="G1413" s="62" t="s">
        <v>53821</v>
      </c>
      <c r="J1413" s="62" t="s">
        <v>43197</v>
      </c>
      <c r="K1413" s="62" t="s">
        <v>53839</v>
      </c>
      <c r="L1413" s="62" t="s">
        <v>43198</v>
      </c>
      <c r="M1413" s="62" t="s">
        <v>43199</v>
      </c>
      <c r="N1413" s="62" t="s">
        <v>43200</v>
      </c>
      <c r="O1413" s="62" t="s">
        <v>43201</v>
      </c>
      <c r="P1413" s="62" t="s">
        <v>53857</v>
      </c>
      <c r="Q1413" s="62" t="s">
        <v>43202</v>
      </c>
      <c r="R1413" s="62" t="s">
        <v>43203</v>
      </c>
      <c r="S1413" s="62" t="s">
        <v>43204</v>
      </c>
      <c r="U1413" s="62" t="s">
        <v>43205</v>
      </c>
      <c r="V1413" s="62" t="s">
        <v>53875</v>
      </c>
      <c r="W1413" s="62" t="s">
        <v>43206</v>
      </c>
      <c r="X1413" s="62" t="s">
        <v>43207</v>
      </c>
      <c r="Y1413" s="62" t="s">
        <v>43208</v>
      </c>
      <c r="Z1413" s="62" t="s">
        <v>43209</v>
      </c>
      <c r="AA1413" s="62" t="s">
        <v>53893</v>
      </c>
      <c r="AB1413" s="62" t="s">
        <v>43210</v>
      </c>
      <c r="AC1413" s="62" t="s">
        <v>43211</v>
      </c>
      <c r="AD1413" s="62" t="s">
        <v>43212</v>
      </c>
    </row>
    <row r="1414" spans="1:30" x14ac:dyDescent="0.25">
      <c r="A1414" s="62" t="s">
        <v>109</v>
      </c>
      <c r="C1414" s="62" t="s">
        <v>17485</v>
      </c>
      <c r="F1414" s="62" t="s">
        <v>10368</v>
      </c>
      <c r="G1414" s="62" t="s">
        <v>53822</v>
      </c>
      <c r="J1414" s="62" t="s">
        <v>43213</v>
      </c>
      <c r="K1414" s="62" t="s">
        <v>53840</v>
      </c>
      <c r="L1414" s="62" t="s">
        <v>43214</v>
      </c>
      <c r="M1414" s="62" t="s">
        <v>17486</v>
      </c>
      <c r="N1414" s="62" t="s">
        <v>17487</v>
      </c>
      <c r="O1414" s="62" t="s">
        <v>43215</v>
      </c>
      <c r="P1414" s="62" t="s">
        <v>53858</v>
      </c>
      <c r="Q1414" s="62" t="s">
        <v>43216</v>
      </c>
      <c r="R1414" s="62" t="s">
        <v>17488</v>
      </c>
      <c r="S1414" s="62" t="s">
        <v>17489</v>
      </c>
      <c r="U1414" s="62" t="s">
        <v>43217</v>
      </c>
      <c r="V1414" s="62" t="s">
        <v>53876</v>
      </c>
      <c r="W1414" s="62" t="s">
        <v>43218</v>
      </c>
      <c r="X1414" s="62" t="s">
        <v>17490</v>
      </c>
      <c r="Y1414" s="62" t="s">
        <v>17491</v>
      </c>
      <c r="Z1414" s="62" t="s">
        <v>43219</v>
      </c>
      <c r="AA1414" s="62" t="s">
        <v>53894</v>
      </c>
      <c r="AB1414" s="62" t="s">
        <v>43220</v>
      </c>
      <c r="AC1414" s="62" t="s">
        <v>17492</v>
      </c>
      <c r="AD1414" s="62" t="s">
        <v>17493</v>
      </c>
    </row>
    <row r="1415" spans="1:30" x14ac:dyDescent="0.25">
      <c r="A1415" s="62" t="s">
        <v>109</v>
      </c>
      <c r="C1415" s="62" t="s">
        <v>43221</v>
      </c>
      <c r="F1415" s="62" t="s">
        <v>10404</v>
      </c>
      <c r="G1415" s="62" t="s">
        <v>53823</v>
      </c>
      <c r="J1415" s="62" t="s">
        <v>43222</v>
      </c>
      <c r="K1415" s="62" t="s">
        <v>53841</v>
      </c>
      <c r="L1415" s="62" t="s">
        <v>43223</v>
      </c>
      <c r="M1415" s="62" t="s">
        <v>43224</v>
      </c>
      <c r="N1415" s="62" t="s">
        <v>43225</v>
      </c>
      <c r="O1415" s="62" t="s">
        <v>43226</v>
      </c>
      <c r="P1415" s="62" t="s">
        <v>53859</v>
      </c>
      <c r="Q1415" s="62" t="s">
        <v>43227</v>
      </c>
      <c r="R1415" s="62" t="s">
        <v>43228</v>
      </c>
      <c r="S1415" s="62" t="s">
        <v>43229</v>
      </c>
      <c r="U1415" s="62" t="s">
        <v>43230</v>
      </c>
      <c r="V1415" s="62" t="s">
        <v>53877</v>
      </c>
      <c r="W1415" s="62" t="s">
        <v>43231</v>
      </c>
      <c r="X1415" s="62" t="s">
        <v>43232</v>
      </c>
      <c r="Y1415" s="62" t="s">
        <v>43233</v>
      </c>
      <c r="Z1415" s="62" t="s">
        <v>43234</v>
      </c>
      <c r="AA1415" s="62" t="s">
        <v>53895</v>
      </c>
      <c r="AB1415" s="62" t="s">
        <v>43235</v>
      </c>
      <c r="AC1415" s="62" t="s">
        <v>43236</v>
      </c>
      <c r="AD1415" s="62" t="s">
        <v>43237</v>
      </c>
    </row>
    <row r="1416" spans="1:30" x14ac:dyDescent="0.25">
      <c r="A1416" s="62" t="s">
        <v>109</v>
      </c>
      <c r="C1416" s="62" t="s">
        <v>43238</v>
      </c>
      <c r="F1416" s="62" t="s">
        <v>1064</v>
      </c>
      <c r="G1416" s="62" t="s">
        <v>53824</v>
      </c>
      <c r="J1416" s="62" t="s">
        <v>43239</v>
      </c>
      <c r="K1416" s="62" t="s">
        <v>53842</v>
      </c>
      <c r="L1416" s="62" t="s">
        <v>43240</v>
      </c>
      <c r="M1416" s="62" t="s">
        <v>43241</v>
      </c>
      <c r="N1416" s="62" t="s">
        <v>43242</v>
      </c>
      <c r="O1416" s="62" t="s">
        <v>43243</v>
      </c>
      <c r="P1416" s="62" t="s">
        <v>53860</v>
      </c>
      <c r="Q1416" s="62" t="s">
        <v>43244</v>
      </c>
      <c r="R1416" s="62" t="s">
        <v>43245</v>
      </c>
      <c r="S1416" s="62" t="s">
        <v>43246</v>
      </c>
      <c r="U1416" s="62" t="s">
        <v>43247</v>
      </c>
      <c r="V1416" s="62" t="s">
        <v>53878</v>
      </c>
      <c r="W1416" s="62" t="s">
        <v>43248</v>
      </c>
      <c r="X1416" s="62" t="s">
        <v>43249</v>
      </c>
      <c r="Y1416" s="62" t="s">
        <v>43250</v>
      </c>
      <c r="Z1416" s="62" t="s">
        <v>43251</v>
      </c>
      <c r="AA1416" s="62" t="s">
        <v>53896</v>
      </c>
      <c r="AB1416" s="62" t="s">
        <v>43252</v>
      </c>
      <c r="AC1416" s="62" t="s">
        <v>43253</v>
      </c>
      <c r="AD1416" s="62" t="s">
        <v>43254</v>
      </c>
    </row>
    <row r="1417" spans="1:30" x14ac:dyDescent="0.25">
      <c r="A1417" s="62" t="s">
        <v>109</v>
      </c>
      <c r="C1417" s="62" t="s">
        <v>17495</v>
      </c>
      <c r="F1417" s="62" t="s">
        <v>1073</v>
      </c>
      <c r="G1417" s="62" t="s">
        <v>53825</v>
      </c>
      <c r="J1417" s="62" t="s">
        <v>43255</v>
      </c>
      <c r="K1417" s="62" t="s">
        <v>53843</v>
      </c>
      <c r="L1417" s="62" t="s">
        <v>43256</v>
      </c>
      <c r="M1417" s="62" t="s">
        <v>43257</v>
      </c>
      <c r="N1417" s="62" t="s">
        <v>43258</v>
      </c>
      <c r="O1417" s="62" t="s">
        <v>43259</v>
      </c>
      <c r="P1417" s="62" t="s">
        <v>53861</v>
      </c>
      <c r="Q1417" s="62" t="s">
        <v>43260</v>
      </c>
      <c r="R1417" s="62" t="s">
        <v>43261</v>
      </c>
      <c r="S1417" s="62" t="s">
        <v>43262</v>
      </c>
      <c r="U1417" s="62" t="s">
        <v>43263</v>
      </c>
      <c r="V1417" s="62" t="s">
        <v>53879</v>
      </c>
      <c r="W1417" s="62" t="s">
        <v>43264</v>
      </c>
      <c r="X1417" s="62" t="s">
        <v>43265</v>
      </c>
      <c r="Y1417" s="62" t="s">
        <v>43266</v>
      </c>
      <c r="Z1417" s="62" t="s">
        <v>43267</v>
      </c>
      <c r="AA1417" s="62" t="s">
        <v>53897</v>
      </c>
      <c r="AB1417" s="62" t="s">
        <v>43268</v>
      </c>
      <c r="AC1417" s="62" t="s">
        <v>43269</v>
      </c>
      <c r="AD1417" s="62" t="s">
        <v>43270</v>
      </c>
    </row>
    <row r="1418" spans="1:30" x14ac:dyDescent="0.25">
      <c r="A1418" s="62" t="s">
        <v>109</v>
      </c>
      <c r="C1418" s="62" t="s">
        <v>17496</v>
      </c>
      <c r="F1418" s="62" t="s">
        <v>1090</v>
      </c>
      <c r="G1418" s="62" t="s">
        <v>53826</v>
      </c>
      <c r="J1418" s="62" t="s">
        <v>17497</v>
      </c>
      <c r="K1418" s="62" t="s">
        <v>53844</v>
      </c>
      <c r="L1418" s="62" t="s">
        <v>17498</v>
      </c>
      <c r="M1418" s="62" t="s">
        <v>17499</v>
      </c>
      <c r="N1418" s="62" t="s">
        <v>17500</v>
      </c>
      <c r="O1418" s="62" t="s">
        <v>17501</v>
      </c>
      <c r="P1418" s="62" t="s">
        <v>53862</v>
      </c>
      <c r="Q1418" s="62" t="s">
        <v>17502</v>
      </c>
      <c r="R1418" s="62" t="s">
        <v>17503</v>
      </c>
      <c r="S1418" s="62" t="s">
        <v>17504</v>
      </c>
      <c r="U1418" s="62" t="s">
        <v>17505</v>
      </c>
      <c r="V1418" s="62" t="s">
        <v>53880</v>
      </c>
      <c r="W1418" s="62" t="s">
        <v>17506</v>
      </c>
      <c r="X1418" s="62" t="s">
        <v>17507</v>
      </c>
      <c r="Y1418" s="62" t="s">
        <v>17508</v>
      </c>
      <c r="Z1418" s="62" t="s">
        <v>17509</v>
      </c>
      <c r="AA1418" s="62" t="s">
        <v>53898</v>
      </c>
      <c r="AB1418" s="62" t="s">
        <v>17510</v>
      </c>
      <c r="AC1418" s="62" t="s">
        <v>17511</v>
      </c>
      <c r="AD1418" s="62" t="s">
        <v>17512</v>
      </c>
    </row>
    <row r="1419" spans="1:30" x14ac:dyDescent="0.25">
      <c r="A1419" s="62" t="s">
        <v>109</v>
      </c>
      <c r="C1419" s="62" t="s">
        <v>17513</v>
      </c>
      <c r="F1419" s="62" t="s">
        <v>2372</v>
      </c>
      <c r="G1419" s="62" t="s">
        <v>53827</v>
      </c>
      <c r="J1419" s="62" t="s">
        <v>17514</v>
      </c>
      <c r="K1419" s="62" t="s">
        <v>53845</v>
      </c>
      <c r="L1419" s="62" t="s">
        <v>17515</v>
      </c>
      <c r="M1419" s="62" t="s">
        <v>17516</v>
      </c>
      <c r="N1419" s="62" t="s">
        <v>17517</v>
      </c>
      <c r="O1419" s="62" t="s">
        <v>17518</v>
      </c>
      <c r="P1419" s="62" t="s">
        <v>53863</v>
      </c>
      <c r="Q1419" s="62" t="s">
        <v>17519</v>
      </c>
      <c r="R1419" s="62" t="s">
        <v>17520</v>
      </c>
      <c r="S1419" s="62" t="s">
        <v>17521</v>
      </c>
      <c r="U1419" s="62" t="s">
        <v>17522</v>
      </c>
      <c r="V1419" s="62" t="s">
        <v>53881</v>
      </c>
      <c r="W1419" s="62" t="s">
        <v>17523</v>
      </c>
      <c r="X1419" s="62" t="s">
        <v>17524</v>
      </c>
      <c r="Y1419" s="62" t="s">
        <v>17525</v>
      </c>
      <c r="Z1419" s="62" t="s">
        <v>17526</v>
      </c>
      <c r="AA1419" s="62" t="s">
        <v>53899</v>
      </c>
      <c r="AB1419" s="62" t="s">
        <v>17527</v>
      </c>
      <c r="AC1419" s="62" t="s">
        <v>17528</v>
      </c>
      <c r="AD1419" s="62" t="s">
        <v>17529</v>
      </c>
    </row>
    <row r="1420" spans="1:30" x14ac:dyDescent="0.25">
      <c r="A1420" s="62" t="s">
        <v>109</v>
      </c>
      <c r="C1420" s="62" t="s">
        <v>17530</v>
      </c>
      <c r="F1420" s="62" t="s">
        <v>15081</v>
      </c>
      <c r="G1420" s="62" t="s">
        <v>53828</v>
      </c>
      <c r="J1420" s="62" t="s">
        <v>17531</v>
      </c>
      <c r="K1420" s="62" t="s">
        <v>53846</v>
      </c>
      <c r="L1420" s="62" t="s">
        <v>17532</v>
      </c>
      <c r="M1420" s="62" t="s">
        <v>17533</v>
      </c>
      <c r="N1420" s="62" t="s">
        <v>17534</v>
      </c>
      <c r="O1420" s="62" t="s">
        <v>17535</v>
      </c>
      <c r="P1420" s="62" t="s">
        <v>53864</v>
      </c>
      <c r="Q1420" s="62" t="s">
        <v>17536</v>
      </c>
      <c r="R1420" s="62" t="s">
        <v>17537</v>
      </c>
      <c r="S1420" s="62" t="s">
        <v>17538</v>
      </c>
      <c r="U1420" s="62" t="s">
        <v>17539</v>
      </c>
      <c r="V1420" s="62" t="s">
        <v>53882</v>
      </c>
      <c r="W1420" s="62" t="s">
        <v>17540</v>
      </c>
      <c r="X1420" s="62" t="s">
        <v>17541</v>
      </c>
      <c r="Y1420" s="62" t="s">
        <v>17542</v>
      </c>
      <c r="Z1420" s="62" t="s">
        <v>17543</v>
      </c>
      <c r="AA1420" s="62" t="s">
        <v>53900</v>
      </c>
      <c r="AB1420" s="62" t="s">
        <v>17544</v>
      </c>
      <c r="AC1420" s="62" t="s">
        <v>17545</v>
      </c>
      <c r="AD1420" s="62" t="s">
        <v>17546</v>
      </c>
    </row>
    <row r="1421" spans="1:30" x14ac:dyDescent="0.25">
      <c r="A1421" s="62" t="s">
        <v>109</v>
      </c>
      <c r="C1421" s="62" t="s">
        <v>17547</v>
      </c>
      <c r="F1421" s="62" t="s">
        <v>10595</v>
      </c>
      <c r="G1421" s="62" t="s">
        <v>53829</v>
      </c>
      <c r="J1421" s="62" t="s">
        <v>17548</v>
      </c>
      <c r="K1421" s="62" t="s">
        <v>53847</v>
      </c>
      <c r="L1421" s="62" t="s">
        <v>17549</v>
      </c>
      <c r="M1421" s="62" t="s">
        <v>17550</v>
      </c>
      <c r="N1421" s="62" t="s">
        <v>17551</v>
      </c>
      <c r="O1421" s="62" t="s">
        <v>17552</v>
      </c>
      <c r="P1421" s="62" t="s">
        <v>53865</v>
      </c>
      <c r="Q1421" s="62" t="s">
        <v>17553</v>
      </c>
      <c r="R1421" s="62" t="s">
        <v>17554</v>
      </c>
      <c r="S1421" s="62" t="s">
        <v>17555</v>
      </c>
      <c r="U1421" s="62" t="s">
        <v>17556</v>
      </c>
      <c r="V1421" s="62" t="s">
        <v>53883</v>
      </c>
      <c r="W1421" s="62" t="s">
        <v>17557</v>
      </c>
      <c r="X1421" s="62" t="s">
        <v>17558</v>
      </c>
      <c r="Y1421" s="62" t="s">
        <v>17559</v>
      </c>
      <c r="Z1421" s="62" t="s">
        <v>17560</v>
      </c>
      <c r="AA1421" s="62" t="s">
        <v>53901</v>
      </c>
      <c r="AB1421" s="62" t="s">
        <v>17561</v>
      </c>
      <c r="AC1421" s="62" t="s">
        <v>17562</v>
      </c>
      <c r="AD1421" s="62" t="s">
        <v>17563</v>
      </c>
    </row>
    <row r="1422" spans="1:30" x14ac:dyDescent="0.25">
      <c r="A1422" s="62" t="s">
        <v>109</v>
      </c>
      <c r="C1422" s="62" t="s">
        <v>17564</v>
      </c>
      <c r="F1422" s="62" t="s">
        <v>10631</v>
      </c>
      <c r="G1422" s="62" t="s">
        <v>53830</v>
      </c>
      <c r="J1422" s="62" t="s">
        <v>17565</v>
      </c>
      <c r="K1422" s="62" t="s">
        <v>53848</v>
      </c>
      <c r="L1422" s="62" t="s">
        <v>17566</v>
      </c>
      <c r="M1422" s="62" t="s">
        <v>17567</v>
      </c>
      <c r="N1422" s="62" t="s">
        <v>17568</v>
      </c>
      <c r="O1422" s="62" t="s">
        <v>17569</v>
      </c>
      <c r="P1422" s="62" t="s">
        <v>53866</v>
      </c>
      <c r="Q1422" s="62" t="s">
        <v>17570</v>
      </c>
      <c r="R1422" s="62" t="s">
        <v>17571</v>
      </c>
      <c r="S1422" s="62" t="s">
        <v>17572</v>
      </c>
      <c r="U1422" s="62" t="s">
        <v>17573</v>
      </c>
      <c r="V1422" s="62" t="s">
        <v>53884</v>
      </c>
      <c r="W1422" s="62" t="s">
        <v>17574</v>
      </c>
      <c r="X1422" s="62" t="s">
        <v>17575</v>
      </c>
      <c r="Y1422" s="62" t="s">
        <v>17576</v>
      </c>
      <c r="Z1422" s="62" t="s">
        <v>17577</v>
      </c>
      <c r="AA1422" s="62" t="s">
        <v>53902</v>
      </c>
      <c r="AB1422" s="62" t="s">
        <v>17578</v>
      </c>
      <c r="AC1422" s="62" t="s">
        <v>17579</v>
      </c>
      <c r="AD1422" s="62" t="s">
        <v>17580</v>
      </c>
    </row>
    <row r="1423" spans="1:30" x14ac:dyDescent="0.25">
      <c r="A1423" s="62" t="s">
        <v>109</v>
      </c>
      <c r="C1423" s="62" t="s">
        <v>17581</v>
      </c>
      <c r="F1423" s="62" t="s">
        <v>10739</v>
      </c>
      <c r="G1423" s="62" t="s">
        <v>53831</v>
      </c>
      <c r="J1423" s="62" t="s">
        <v>17582</v>
      </c>
      <c r="K1423" s="62" t="s">
        <v>53849</v>
      </c>
      <c r="L1423" s="62" t="s">
        <v>17583</v>
      </c>
      <c r="M1423" s="62" t="s">
        <v>17584</v>
      </c>
      <c r="N1423" s="62" t="s">
        <v>17585</v>
      </c>
      <c r="O1423" s="62" t="s">
        <v>17586</v>
      </c>
      <c r="P1423" s="62" t="s">
        <v>53867</v>
      </c>
      <c r="Q1423" s="62" t="s">
        <v>17587</v>
      </c>
      <c r="R1423" s="62" t="s">
        <v>17588</v>
      </c>
      <c r="S1423" s="62" t="s">
        <v>17589</v>
      </c>
      <c r="U1423" s="62" t="s">
        <v>17590</v>
      </c>
      <c r="V1423" s="62" t="s">
        <v>53885</v>
      </c>
      <c r="W1423" s="62" t="s">
        <v>17591</v>
      </c>
      <c r="X1423" s="62" t="s">
        <v>17592</v>
      </c>
      <c r="Y1423" s="62" t="s">
        <v>17593</v>
      </c>
      <c r="Z1423" s="62" t="s">
        <v>17594</v>
      </c>
      <c r="AA1423" s="62" t="s">
        <v>53903</v>
      </c>
      <c r="AB1423" s="62" t="s">
        <v>17595</v>
      </c>
      <c r="AC1423" s="62" t="s">
        <v>17596</v>
      </c>
      <c r="AD1423" s="62" t="s">
        <v>17597</v>
      </c>
    </row>
    <row r="1424" spans="1:30" x14ac:dyDescent="0.25">
      <c r="A1424" s="62" t="s">
        <v>109</v>
      </c>
      <c r="C1424" s="62" t="s">
        <v>17598</v>
      </c>
      <c r="F1424" s="62" t="s">
        <v>10811</v>
      </c>
      <c r="G1424" s="62" t="s">
        <v>53832</v>
      </c>
      <c r="J1424" s="62" t="s">
        <v>17599</v>
      </c>
      <c r="K1424" s="62" t="s">
        <v>53850</v>
      </c>
      <c r="L1424" s="62" t="s">
        <v>17600</v>
      </c>
      <c r="M1424" s="62" t="s">
        <v>17601</v>
      </c>
      <c r="N1424" s="62" t="s">
        <v>17602</v>
      </c>
      <c r="O1424" s="62" t="s">
        <v>17603</v>
      </c>
      <c r="P1424" s="62" t="s">
        <v>53868</v>
      </c>
      <c r="Q1424" s="62" t="s">
        <v>17604</v>
      </c>
      <c r="R1424" s="62" t="s">
        <v>17605</v>
      </c>
      <c r="S1424" s="62" t="s">
        <v>17606</v>
      </c>
      <c r="U1424" s="62" t="s">
        <v>17607</v>
      </c>
      <c r="V1424" s="62" t="s">
        <v>53886</v>
      </c>
      <c r="W1424" s="62" t="s">
        <v>17608</v>
      </c>
      <c r="X1424" s="62" t="s">
        <v>17609</v>
      </c>
      <c r="Y1424" s="62" t="s">
        <v>17610</v>
      </c>
      <c r="Z1424" s="62" t="s">
        <v>17611</v>
      </c>
      <c r="AA1424" s="62" t="s">
        <v>53904</v>
      </c>
      <c r="AB1424" s="62" t="s">
        <v>17612</v>
      </c>
      <c r="AC1424" s="62" t="s">
        <v>17613</v>
      </c>
      <c r="AD1424" s="62" t="s">
        <v>17614</v>
      </c>
    </row>
    <row r="1425" spans="1:30" x14ac:dyDescent="0.25">
      <c r="A1425" s="62" t="s">
        <v>109</v>
      </c>
      <c r="C1425" s="62" t="s">
        <v>17615</v>
      </c>
      <c r="F1425" s="62" t="s">
        <v>1286</v>
      </c>
      <c r="G1425" s="62" t="s">
        <v>53833</v>
      </c>
      <c r="J1425" s="62" t="s">
        <v>17616</v>
      </c>
      <c r="K1425" s="62" t="s">
        <v>53851</v>
      </c>
      <c r="L1425" s="62" t="s">
        <v>17617</v>
      </c>
      <c r="M1425" s="62" t="s">
        <v>17618</v>
      </c>
      <c r="N1425" s="62" t="s">
        <v>17619</v>
      </c>
      <c r="O1425" s="62" t="s">
        <v>17620</v>
      </c>
      <c r="P1425" s="62" t="s">
        <v>53869</v>
      </c>
      <c r="Q1425" s="62" t="s">
        <v>17621</v>
      </c>
      <c r="R1425" s="62" t="s">
        <v>17622</v>
      </c>
      <c r="S1425" s="62" t="s">
        <v>17623</v>
      </c>
      <c r="U1425" s="62" t="s">
        <v>17624</v>
      </c>
      <c r="V1425" s="62" t="s">
        <v>53887</v>
      </c>
      <c r="W1425" s="62" t="s">
        <v>17625</v>
      </c>
      <c r="X1425" s="62" t="s">
        <v>17626</v>
      </c>
      <c r="Y1425" s="62" t="s">
        <v>17627</v>
      </c>
      <c r="Z1425" s="62" t="s">
        <v>17628</v>
      </c>
      <c r="AA1425" s="62" t="s">
        <v>53905</v>
      </c>
      <c r="AB1425" s="62" t="s">
        <v>17629</v>
      </c>
      <c r="AC1425" s="62" t="s">
        <v>17630</v>
      </c>
      <c r="AD1425" s="62" t="s">
        <v>17631</v>
      </c>
    </row>
    <row r="1426" spans="1:30" x14ac:dyDescent="0.25">
      <c r="A1426" s="62" t="s">
        <v>109</v>
      </c>
      <c r="C1426" s="62" t="s">
        <v>17632</v>
      </c>
      <c r="F1426" s="62" t="s">
        <v>10925</v>
      </c>
      <c r="G1426" s="62" t="s">
        <v>53834</v>
      </c>
      <c r="J1426" s="62" t="s">
        <v>17633</v>
      </c>
      <c r="K1426" s="62" t="s">
        <v>53852</v>
      </c>
      <c r="L1426" s="62" t="s">
        <v>17634</v>
      </c>
      <c r="M1426" s="62" t="s">
        <v>17635</v>
      </c>
      <c r="N1426" s="62" t="s">
        <v>17636</v>
      </c>
      <c r="O1426" s="62" t="s">
        <v>17637</v>
      </c>
      <c r="P1426" s="62" t="s">
        <v>53870</v>
      </c>
      <c r="Q1426" s="62" t="s">
        <v>17638</v>
      </c>
      <c r="R1426" s="62" t="s">
        <v>17639</v>
      </c>
      <c r="S1426" s="62" t="s">
        <v>17640</v>
      </c>
      <c r="U1426" s="62" t="s">
        <v>17641</v>
      </c>
      <c r="V1426" s="62" t="s">
        <v>53888</v>
      </c>
      <c r="W1426" s="62" t="s">
        <v>17642</v>
      </c>
      <c r="X1426" s="62" t="s">
        <v>17643</v>
      </c>
      <c r="Y1426" s="62" t="s">
        <v>17644</v>
      </c>
      <c r="Z1426" s="62" t="s">
        <v>17645</v>
      </c>
      <c r="AA1426" s="62" t="s">
        <v>53906</v>
      </c>
      <c r="AB1426" s="62" t="s">
        <v>17646</v>
      </c>
      <c r="AC1426" s="62" t="s">
        <v>17647</v>
      </c>
      <c r="AD1426" s="62" t="s">
        <v>17648</v>
      </c>
    </row>
    <row r="1427" spans="1:30" x14ac:dyDescent="0.25">
      <c r="A1427" s="62" t="s">
        <v>109</v>
      </c>
      <c r="C1427" s="62" t="s">
        <v>17434</v>
      </c>
    </row>
    <row r="1428" spans="1:30" x14ac:dyDescent="0.25">
      <c r="A1428" s="62" t="s">
        <v>109</v>
      </c>
      <c r="C1428" s="62" t="s">
        <v>17649</v>
      </c>
      <c r="G1428" s="62" t="s">
        <v>43271</v>
      </c>
      <c r="J1428" s="62" t="s">
        <v>43272</v>
      </c>
      <c r="K1428" s="62" t="s">
        <v>43273</v>
      </c>
      <c r="L1428" s="62" t="s">
        <v>43274</v>
      </c>
      <c r="M1428" s="62" t="s">
        <v>17650</v>
      </c>
      <c r="N1428" s="62" t="s">
        <v>17651</v>
      </c>
      <c r="O1428" s="62" t="s">
        <v>43275</v>
      </c>
      <c r="P1428" s="62" t="s">
        <v>43276</v>
      </c>
      <c r="Q1428" s="62" t="s">
        <v>43277</v>
      </c>
      <c r="R1428" s="62" t="s">
        <v>17652</v>
      </c>
      <c r="S1428" s="62" t="s">
        <v>17653</v>
      </c>
      <c r="U1428" s="62" t="s">
        <v>43278</v>
      </c>
      <c r="V1428" s="62" t="s">
        <v>43279</v>
      </c>
      <c r="W1428" s="62" t="s">
        <v>43280</v>
      </c>
      <c r="X1428" s="62" t="s">
        <v>17654</v>
      </c>
      <c r="Y1428" s="62" t="s">
        <v>17655</v>
      </c>
      <c r="Z1428" s="62" t="s">
        <v>43281</v>
      </c>
      <c r="AA1428" s="62" t="s">
        <v>43282</v>
      </c>
      <c r="AB1428" s="62" t="s">
        <v>43283</v>
      </c>
      <c r="AC1428" s="62" t="s">
        <v>17656</v>
      </c>
      <c r="AD1428" s="62" t="s">
        <v>17657</v>
      </c>
    </row>
    <row r="1429" spans="1:30" x14ac:dyDescent="0.25">
      <c r="A1429" s="62" t="s">
        <v>109</v>
      </c>
    </row>
    <row r="1430" spans="1:30" x14ac:dyDescent="0.25">
      <c r="A1430" s="62" t="s">
        <v>109</v>
      </c>
      <c r="C1430" s="62" t="s">
        <v>43284</v>
      </c>
      <c r="E1430" s="62" t="s">
        <v>461</v>
      </c>
      <c r="G1430" s="62" t="s">
        <v>43285</v>
      </c>
    </row>
    <row r="1431" spans="1:30" x14ac:dyDescent="0.25">
      <c r="A1431" s="62" t="s">
        <v>109</v>
      </c>
      <c r="C1431" s="62" t="s">
        <v>17658</v>
      </c>
    </row>
    <row r="1432" spans="1:30" x14ac:dyDescent="0.25">
      <c r="A1432" s="62" t="s">
        <v>109</v>
      </c>
      <c r="C1432" s="62" t="s">
        <v>17659</v>
      </c>
      <c r="F1432" s="62" t="s">
        <v>43286</v>
      </c>
      <c r="G1432" s="62" t="s">
        <v>53702</v>
      </c>
      <c r="J1432" s="62" t="s">
        <v>17660</v>
      </c>
      <c r="K1432" s="62" t="s">
        <v>53725</v>
      </c>
      <c r="L1432" s="62" t="s">
        <v>17661</v>
      </c>
      <c r="M1432" s="62" t="s">
        <v>17662</v>
      </c>
      <c r="N1432" s="62" t="s">
        <v>17663</v>
      </c>
      <c r="O1432" s="62" t="s">
        <v>17664</v>
      </c>
      <c r="P1432" s="62" t="s">
        <v>53748</v>
      </c>
      <c r="Q1432" s="62" t="s">
        <v>17665</v>
      </c>
      <c r="R1432" s="62" t="s">
        <v>17666</v>
      </c>
      <c r="S1432" s="62" t="s">
        <v>17667</v>
      </c>
      <c r="U1432" s="62" t="s">
        <v>17668</v>
      </c>
      <c r="V1432" s="62" t="s">
        <v>53771</v>
      </c>
      <c r="W1432" s="62" t="s">
        <v>17669</v>
      </c>
      <c r="X1432" s="62" t="s">
        <v>17670</v>
      </c>
      <c r="Y1432" s="62" t="s">
        <v>17671</v>
      </c>
      <c r="Z1432" s="62" t="s">
        <v>17672</v>
      </c>
      <c r="AA1432" s="62" t="s">
        <v>53794</v>
      </c>
      <c r="AB1432" s="62" t="s">
        <v>17673</v>
      </c>
      <c r="AC1432" s="62" t="s">
        <v>17674</v>
      </c>
      <c r="AD1432" s="62" t="s">
        <v>17675</v>
      </c>
    </row>
    <row r="1433" spans="1:30" x14ac:dyDescent="0.25">
      <c r="A1433" s="62" t="s">
        <v>109</v>
      </c>
      <c r="C1433" s="62" t="s">
        <v>17676</v>
      </c>
      <c r="F1433" s="62" t="s">
        <v>748</v>
      </c>
      <c r="G1433" s="62" t="s">
        <v>53703</v>
      </c>
      <c r="J1433" s="62" t="s">
        <v>17677</v>
      </c>
      <c r="K1433" s="62" t="s">
        <v>53726</v>
      </c>
      <c r="L1433" s="62" t="s">
        <v>17678</v>
      </c>
      <c r="M1433" s="62" t="s">
        <v>17679</v>
      </c>
      <c r="N1433" s="62" t="s">
        <v>17680</v>
      </c>
      <c r="O1433" s="62" t="s">
        <v>17681</v>
      </c>
      <c r="P1433" s="62" t="s">
        <v>53749</v>
      </c>
      <c r="Q1433" s="62" t="s">
        <v>17682</v>
      </c>
      <c r="R1433" s="62" t="s">
        <v>17683</v>
      </c>
      <c r="S1433" s="62" t="s">
        <v>17684</v>
      </c>
      <c r="U1433" s="62" t="s">
        <v>17685</v>
      </c>
      <c r="V1433" s="62" t="s">
        <v>53772</v>
      </c>
      <c r="W1433" s="62" t="s">
        <v>17686</v>
      </c>
      <c r="X1433" s="62" t="s">
        <v>17687</v>
      </c>
      <c r="Y1433" s="62" t="s">
        <v>17688</v>
      </c>
      <c r="Z1433" s="62" t="s">
        <v>17689</v>
      </c>
      <c r="AA1433" s="62" t="s">
        <v>53795</v>
      </c>
      <c r="AB1433" s="62" t="s">
        <v>17690</v>
      </c>
      <c r="AC1433" s="62" t="s">
        <v>17691</v>
      </c>
      <c r="AD1433" s="62" t="s">
        <v>17692</v>
      </c>
    </row>
    <row r="1434" spans="1:30" x14ac:dyDescent="0.25">
      <c r="A1434" s="62" t="s">
        <v>109</v>
      </c>
      <c r="C1434" s="62" t="s">
        <v>17693</v>
      </c>
      <c r="F1434" s="62" t="s">
        <v>758</v>
      </c>
      <c r="G1434" s="62" t="s">
        <v>53704</v>
      </c>
      <c r="J1434" s="62" t="s">
        <v>17694</v>
      </c>
      <c r="K1434" s="62" t="s">
        <v>53727</v>
      </c>
      <c r="L1434" s="62" t="s">
        <v>17695</v>
      </c>
      <c r="M1434" s="62" t="s">
        <v>17696</v>
      </c>
      <c r="N1434" s="62" t="s">
        <v>17697</v>
      </c>
      <c r="O1434" s="62" t="s">
        <v>17698</v>
      </c>
      <c r="P1434" s="62" t="s">
        <v>53750</v>
      </c>
      <c r="Q1434" s="62" t="s">
        <v>17699</v>
      </c>
      <c r="R1434" s="62" t="s">
        <v>17700</v>
      </c>
      <c r="S1434" s="62" t="s">
        <v>17701</v>
      </c>
      <c r="U1434" s="62" t="s">
        <v>17702</v>
      </c>
      <c r="V1434" s="62" t="s">
        <v>53773</v>
      </c>
      <c r="W1434" s="62" t="s">
        <v>17703</v>
      </c>
      <c r="X1434" s="62" t="s">
        <v>17704</v>
      </c>
      <c r="Y1434" s="62" t="s">
        <v>17705</v>
      </c>
      <c r="Z1434" s="62" t="s">
        <v>17706</v>
      </c>
      <c r="AA1434" s="62" t="s">
        <v>53796</v>
      </c>
      <c r="AB1434" s="62" t="s">
        <v>17707</v>
      </c>
      <c r="AC1434" s="62" t="s">
        <v>17708</v>
      </c>
      <c r="AD1434" s="62" t="s">
        <v>17709</v>
      </c>
    </row>
    <row r="1435" spans="1:30" x14ac:dyDescent="0.25">
      <c r="A1435" s="62" t="s">
        <v>109</v>
      </c>
      <c r="C1435" s="62" t="s">
        <v>17710</v>
      </c>
      <c r="F1435" s="62" t="s">
        <v>776</v>
      </c>
      <c r="G1435" s="62" t="s">
        <v>53705</v>
      </c>
      <c r="J1435" s="62" t="s">
        <v>17711</v>
      </c>
      <c r="K1435" s="62" t="s">
        <v>53728</v>
      </c>
      <c r="L1435" s="62" t="s">
        <v>17712</v>
      </c>
      <c r="M1435" s="62" t="s">
        <v>17713</v>
      </c>
      <c r="N1435" s="62" t="s">
        <v>17714</v>
      </c>
      <c r="O1435" s="62" t="s">
        <v>17715</v>
      </c>
      <c r="P1435" s="62" t="s">
        <v>53751</v>
      </c>
      <c r="Q1435" s="62" t="s">
        <v>17716</v>
      </c>
      <c r="R1435" s="62" t="s">
        <v>17717</v>
      </c>
      <c r="S1435" s="62" t="s">
        <v>17718</v>
      </c>
      <c r="U1435" s="62" t="s">
        <v>17719</v>
      </c>
      <c r="V1435" s="62" t="s">
        <v>53774</v>
      </c>
      <c r="W1435" s="62" t="s">
        <v>17720</v>
      </c>
      <c r="X1435" s="62" t="s">
        <v>17721</v>
      </c>
      <c r="Y1435" s="62" t="s">
        <v>17722</v>
      </c>
      <c r="Z1435" s="62" t="s">
        <v>17723</v>
      </c>
      <c r="AA1435" s="62" t="s">
        <v>53797</v>
      </c>
      <c r="AB1435" s="62" t="s">
        <v>17724</v>
      </c>
      <c r="AC1435" s="62" t="s">
        <v>17725</v>
      </c>
      <c r="AD1435" s="62" t="s">
        <v>17726</v>
      </c>
    </row>
    <row r="1436" spans="1:30" x14ac:dyDescent="0.25">
      <c r="A1436" s="62" t="s">
        <v>109</v>
      </c>
      <c r="C1436" s="62" t="s">
        <v>17727</v>
      </c>
      <c r="F1436" s="62" t="s">
        <v>785</v>
      </c>
      <c r="G1436" s="62" t="s">
        <v>53706</v>
      </c>
      <c r="J1436" s="62" t="s">
        <v>17728</v>
      </c>
      <c r="K1436" s="62" t="s">
        <v>53729</v>
      </c>
      <c r="L1436" s="62" t="s">
        <v>17729</v>
      </c>
      <c r="M1436" s="62" t="s">
        <v>17730</v>
      </c>
      <c r="N1436" s="62" t="s">
        <v>17731</v>
      </c>
      <c r="O1436" s="62" t="s">
        <v>17732</v>
      </c>
      <c r="P1436" s="62" t="s">
        <v>53752</v>
      </c>
      <c r="Q1436" s="62" t="s">
        <v>17733</v>
      </c>
      <c r="R1436" s="62" t="s">
        <v>17734</v>
      </c>
      <c r="S1436" s="62" t="s">
        <v>17735</v>
      </c>
      <c r="U1436" s="62" t="s">
        <v>17736</v>
      </c>
      <c r="V1436" s="62" t="s">
        <v>53775</v>
      </c>
      <c r="W1436" s="62" t="s">
        <v>17737</v>
      </c>
      <c r="X1436" s="62" t="s">
        <v>17738</v>
      </c>
      <c r="Y1436" s="62" t="s">
        <v>17739</v>
      </c>
      <c r="Z1436" s="62" t="s">
        <v>17740</v>
      </c>
      <c r="AA1436" s="62" t="s">
        <v>53798</v>
      </c>
      <c r="AB1436" s="62" t="s">
        <v>17741</v>
      </c>
      <c r="AC1436" s="62" t="s">
        <v>17742</v>
      </c>
      <c r="AD1436" s="62" t="s">
        <v>17743</v>
      </c>
    </row>
    <row r="1437" spans="1:30" x14ac:dyDescent="0.25">
      <c r="A1437" s="62" t="s">
        <v>109</v>
      </c>
      <c r="C1437" s="62" t="s">
        <v>43287</v>
      </c>
      <c r="F1437" s="62" t="s">
        <v>872</v>
      </c>
      <c r="G1437" s="62" t="s">
        <v>53707</v>
      </c>
      <c r="J1437" s="62" t="s">
        <v>43288</v>
      </c>
      <c r="K1437" s="62" t="s">
        <v>53730</v>
      </c>
      <c r="L1437" s="62" t="s">
        <v>43289</v>
      </c>
      <c r="M1437" s="62" t="s">
        <v>43290</v>
      </c>
      <c r="N1437" s="62" t="s">
        <v>43291</v>
      </c>
      <c r="O1437" s="62" t="s">
        <v>43292</v>
      </c>
      <c r="P1437" s="62" t="s">
        <v>53753</v>
      </c>
      <c r="Q1437" s="62" t="s">
        <v>43293</v>
      </c>
      <c r="R1437" s="62" t="s">
        <v>43294</v>
      </c>
      <c r="S1437" s="62" t="s">
        <v>43295</v>
      </c>
      <c r="U1437" s="62" t="s">
        <v>43296</v>
      </c>
      <c r="V1437" s="62" t="s">
        <v>53776</v>
      </c>
      <c r="W1437" s="62" t="s">
        <v>43297</v>
      </c>
      <c r="X1437" s="62" t="s">
        <v>43298</v>
      </c>
      <c r="Y1437" s="62" t="s">
        <v>43299</v>
      </c>
      <c r="Z1437" s="62" t="s">
        <v>43300</v>
      </c>
      <c r="AA1437" s="62" t="s">
        <v>53799</v>
      </c>
      <c r="AB1437" s="62" t="s">
        <v>43301</v>
      </c>
      <c r="AC1437" s="62" t="s">
        <v>43302</v>
      </c>
      <c r="AD1437" s="62" t="s">
        <v>43303</v>
      </c>
    </row>
    <row r="1438" spans="1:30" x14ac:dyDescent="0.25">
      <c r="A1438" s="62" t="s">
        <v>109</v>
      </c>
      <c r="C1438" s="62" t="s">
        <v>17744</v>
      </c>
      <c r="F1438" s="62" t="s">
        <v>915</v>
      </c>
      <c r="G1438" s="62" t="s">
        <v>53708</v>
      </c>
      <c r="J1438" s="62" t="s">
        <v>43304</v>
      </c>
      <c r="K1438" s="62" t="s">
        <v>53731</v>
      </c>
      <c r="L1438" s="62" t="s">
        <v>43305</v>
      </c>
      <c r="M1438" s="62" t="s">
        <v>17745</v>
      </c>
      <c r="N1438" s="62" t="s">
        <v>17746</v>
      </c>
      <c r="O1438" s="62" t="s">
        <v>43306</v>
      </c>
      <c r="P1438" s="62" t="s">
        <v>53754</v>
      </c>
      <c r="Q1438" s="62" t="s">
        <v>43307</v>
      </c>
      <c r="R1438" s="62" t="s">
        <v>17747</v>
      </c>
      <c r="S1438" s="62" t="s">
        <v>17748</v>
      </c>
      <c r="U1438" s="62" t="s">
        <v>43308</v>
      </c>
      <c r="V1438" s="62" t="s">
        <v>53777</v>
      </c>
      <c r="W1438" s="62" t="s">
        <v>43309</v>
      </c>
      <c r="X1438" s="62" t="s">
        <v>17749</v>
      </c>
      <c r="Y1438" s="62" t="s">
        <v>17750</v>
      </c>
      <c r="Z1438" s="62" t="s">
        <v>43310</v>
      </c>
      <c r="AA1438" s="62" t="s">
        <v>53800</v>
      </c>
      <c r="AB1438" s="62" t="s">
        <v>43311</v>
      </c>
      <c r="AC1438" s="62" t="s">
        <v>17751</v>
      </c>
      <c r="AD1438" s="62" t="s">
        <v>17752</v>
      </c>
    </row>
    <row r="1439" spans="1:30" x14ac:dyDescent="0.25">
      <c r="A1439" s="62" t="s">
        <v>109</v>
      </c>
      <c r="C1439" s="62" t="s">
        <v>43312</v>
      </c>
      <c r="F1439" s="62" t="s">
        <v>943</v>
      </c>
      <c r="G1439" s="62" t="s">
        <v>53709</v>
      </c>
      <c r="J1439" s="62" t="s">
        <v>43313</v>
      </c>
      <c r="K1439" s="62" t="s">
        <v>53732</v>
      </c>
      <c r="L1439" s="62" t="s">
        <v>43314</v>
      </c>
      <c r="M1439" s="62" t="s">
        <v>43315</v>
      </c>
      <c r="N1439" s="62" t="s">
        <v>43316</v>
      </c>
      <c r="O1439" s="62" t="s">
        <v>43317</v>
      </c>
      <c r="P1439" s="62" t="s">
        <v>53755</v>
      </c>
      <c r="Q1439" s="62" t="s">
        <v>43318</v>
      </c>
      <c r="R1439" s="62" t="s">
        <v>43319</v>
      </c>
      <c r="S1439" s="62" t="s">
        <v>43320</v>
      </c>
      <c r="U1439" s="62" t="s">
        <v>43321</v>
      </c>
      <c r="V1439" s="62" t="s">
        <v>53778</v>
      </c>
      <c r="W1439" s="62" t="s">
        <v>43322</v>
      </c>
      <c r="X1439" s="62" t="s">
        <v>43323</v>
      </c>
      <c r="Y1439" s="62" t="s">
        <v>43324</v>
      </c>
      <c r="Z1439" s="62" t="s">
        <v>43325</v>
      </c>
      <c r="AA1439" s="62" t="s">
        <v>53801</v>
      </c>
      <c r="AB1439" s="62" t="s">
        <v>43326</v>
      </c>
      <c r="AC1439" s="62" t="s">
        <v>43327</v>
      </c>
      <c r="AD1439" s="62" t="s">
        <v>43328</v>
      </c>
    </row>
    <row r="1440" spans="1:30" x14ac:dyDescent="0.25">
      <c r="A1440" s="62" t="s">
        <v>109</v>
      </c>
      <c r="C1440" s="62" t="s">
        <v>43329</v>
      </c>
      <c r="F1440" s="62" t="s">
        <v>176</v>
      </c>
      <c r="G1440" s="62" t="s">
        <v>53710</v>
      </c>
      <c r="J1440" s="62" t="s">
        <v>43330</v>
      </c>
      <c r="K1440" s="62" t="s">
        <v>53733</v>
      </c>
      <c r="L1440" s="62" t="s">
        <v>43331</v>
      </c>
      <c r="M1440" s="62" t="s">
        <v>43332</v>
      </c>
      <c r="N1440" s="62" t="s">
        <v>43333</v>
      </c>
      <c r="O1440" s="62" t="s">
        <v>43334</v>
      </c>
      <c r="P1440" s="62" t="s">
        <v>53756</v>
      </c>
      <c r="Q1440" s="62" t="s">
        <v>43335</v>
      </c>
      <c r="R1440" s="62" t="s">
        <v>43336</v>
      </c>
      <c r="S1440" s="62" t="s">
        <v>43337</v>
      </c>
      <c r="U1440" s="62" t="s">
        <v>43338</v>
      </c>
      <c r="V1440" s="62" t="s">
        <v>53779</v>
      </c>
      <c r="W1440" s="62" t="s">
        <v>43339</v>
      </c>
      <c r="X1440" s="62" t="s">
        <v>43340</v>
      </c>
      <c r="Y1440" s="62" t="s">
        <v>43341</v>
      </c>
      <c r="Z1440" s="62" t="s">
        <v>43342</v>
      </c>
      <c r="AA1440" s="62" t="s">
        <v>53802</v>
      </c>
      <c r="AB1440" s="62" t="s">
        <v>43343</v>
      </c>
      <c r="AC1440" s="62" t="s">
        <v>43344</v>
      </c>
      <c r="AD1440" s="62" t="s">
        <v>43345</v>
      </c>
    </row>
    <row r="1441" spans="1:30" x14ac:dyDescent="0.25">
      <c r="A1441" s="62" t="s">
        <v>109</v>
      </c>
      <c r="C1441" s="62" t="s">
        <v>17753</v>
      </c>
      <c r="F1441" s="62" t="s">
        <v>976</v>
      </c>
      <c r="G1441" s="62" t="s">
        <v>53711</v>
      </c>
      <c r="J1441" s="62" t="s">
        <v>43346</v>
      </c>
      <c r="K1441" s="62" t="s">
        <v>53734</v>
      </c>
      <c r="L1441" s="62" t="s">
        <v>43347</v>
      </c>
      <c r="M1441" s="62" t="s">
        <v>43348</v>
      </c>
      <c r="N1441" s="62" t="s">
        <v>43349</v>
      </c>
      <c r="O1441" s="62" t="s">
        <v>43350</v>
      </c>
      <c r="P1441" s="62" t="s">
        <v>53757</v>
      </c>
      <c r="Q1441" s="62" t="s">
        <v>43351</v>
      </c>
      <c r="R1441" s="62" t="s">
        <v>43352</v>
      </c>
      <c r="S1441" s="62" t="s">
        <v>43353</v>
      </c>
      <c r="U1441" s="62" t="s">
        <v>43354</v>
      </c>
      <c r="V1441" s="62" t="s">
        <v>53780</v>
      </c>
      <c r="W1441" s="62" t="s">
        <v>43355</v>
      </c>
      <c r="X1441" s="62" t="s">
        <v>43356</v>
      </c>
      <c r="Y1441" s="62" t="s">
        <v>43357</v>
      </c>
      <c r="Z1441" s="62" t="s">
        <v>43358</v>
      </c>
      <c r="AA1441" s="62" t="s">
        <v>53803</v>
      </c>
      <c r="AB1441" s="62" t="s">
        <v>43359</v>
      </c>
      <c r="AC1441" s="62" t="s">
        <v>43360</v>
      </c>
      <c r="AD1441" s="62" t="s">
        <v>43361</v>
      </c>
    </row>
    <row r="1442" spans="1:30" x14ac:dyDescent="0.25">
      <c r="A1442" s="62" t="s">
        <v>109</v>
      </c>
      <c r="C1442" s="62" t="s">
        <v>17754</v>
      </c>
      <c r="F1442" s="62" t="s">
        <v>985</v>
      </c>
      <c r="G1442" s="62" t="s">
        <v>53712</v>
      </c>
      <c r="J1442" s="62" t="s">
        <v>17755</v>
      </c>
      <c r="K1442" s="62" t="s">
        <v>53735</v>
      </c>
      <c r="L1442" s="62" t="s">
        <v>17756</v>
      </c>
      <c r="M1442" s="62" t="s">
        <v>17757</v>
      </c>
      <c r="N1442" s="62" t="s">
        <v>17758</v>
      </c>
      <c r="O1442" s="62" t="s">
        <v>17759</v>
      </c>
      <c r="P1442" s="62" t="s">
        <v>53758</v>
      </c>
      <c r="Q1442" s="62" t="s">
        <v>17760</v>
      </c>
      <c r="R1442" s="62" t="s">
        <v>17761</v>
      </c>
      <c r="S1442" s="62" t="s">
        <v>17762</v>
      </c>
      <c r="U1442" s="62" t="s">
        <v>17763</v>
      </c>
      <c r="V1442" s="62" t="s">
        <v>53781</v>
      </c>
      <c r="W1442" s="62" t="s">
        <v>17764</v>
      </c>
      <c r="X1442" s="62" t="s">
        <v>17765</v>
      </c>
      <c r="Y1442" s="62" t="s">
        <v>17766</v>
      </c>
      <c r="Z1442" s="62" t="s">
        <v>17767</v>
      </c>
      <c r="AA1442" s="62" t="s">
        <v>53804</v>
      </c>
      <c r="AB1442" s="62" t="s">
        <v>17768</v>
      </c>
      <c r="AC1442" s="62" t="s">
        <v>17769</v>
      </c>
      <c r="AD1442" s="62" t="s">
        <v>17770</v>
      </c>
    </row>
    <row r="1443" spans="1:30" x14ac:dyDescent="0.25">
      <c r="A1443" s="62" t="s">
        <v>109</v>
      </c>
      <c r="C1443" s="62" t="s">
        <v>17771</v>
      </c>
      <c r="F1443" s="62" t="s">
        <v>1012</v>
      </c>
      <c r="G1443" s="62" t="s">
        <v>53713</v>
      </c>
      <c r="J1443" s="62" t="s">
        <v>17772</v>
      </c>
      <c r="K1443" s="62" t="s">
        <v>53736</v>
      </c>
      <c r="L1443" s="62" t="s">
        <v>17773</v>
      </c>
      <c r="M1443" s="62" t="s">
        <v>17774</v>
      </c>
      <c r="N1443" s="62" t="s">
        <v>17775</v>
      </c>
      <c r="O1443" s="62" t="s">
        <v>17776</v>
      </c>
      <c r="P1443" s="62" t="s">
        <v>53759</v>
      </c>
      <c r="Q1443" s="62" t="s">
        <v>17777</v>
      </c>
      <c r="R1443" s="62" t="s">
        <v>17778</v>
      </c>
      <c r="S1443" s="62" t="s">
        <v>17779</v>
      </c>
      <c r="U1443" s="62" t="s">
        <v>17780</v>
      </c>
      <c r="V1443" s="62" t="s">
        <v>53782</v>
      </c>
      <c r="W1443" s="62" t="s">
        <v>17781</v>
      </c>
      <c r="X1443" s="62" t="s">
        <v>17782</v>
      </c>
      <c r="Y1443" s="62" t="s">
        <v>17783</v>
      </c>
      <c r="Z1443" s="62" t="s">
        <v>17784</v>
      </c>
      <c r="AA1443" s="62" t="s">
        <v>53805</v>
      </c>
      <c r="AB1443" s="62" t="s">
        <v>17785</v>
      </c>
      <c r="AC1443" s="62" t="s">
        <v>17786</v>
      </c>
      <c r="AD1443" s="62" t="s">
        <v>17787</v>
      </c>
    </row>
    <row r="1444" spans="1:30" x14ac:dyDescent="0.25">
      <c r="A1444" s="62" t="s">
        <v>109</v>
      </c>
      <c r="C1444" s="62" t="s">
        <v>17788</v>
      </c>
      <c r="F1444" s="62" t="s">
        <v>1064</v>
      </c>
      <c r="G1444" s="62" t="s">
        <v>53714</v>
      </c>
      <c r="J1444" s="62" t="s">
        <v>17789</v>
      </c>
      <c r="K1444" s="62" t="s">
        <v>53737</v>
      </c>
      <c r="L1444" s="62" t="s">
        <v>17790</v>
      </c>
      <c r="M1444" s="62" t="s">
        <v>17791</v>
      </c>
      <c r="N1444" s="62" t="s">
        <v>17792</v>
      </c>
      <c r="O1444" s="62" t="s">
        <v>17793</v>
      </c>
      <c r="P1444" s="62" t="s">
        <v>53760</v>
      </c>
      <c r="Q1444" s="62" t="s">
        <v>17794</v>
      </c>
      <c r="R1444" s="62" t="s">
        <v>17795</v>
      </c>
      <c r="S1444" s="62" t="s">
        <v>17796</v>
      </c>
      <c r="U1444" s="62" t="s">
        <v>17797</v>
      </c>
      <c r="V1444" s="62" t="s">
        <v>53783</v>
      </c>
      <c r="W1444" s="62" t="s">
        <v>17798</v>
      </c>
      <c r="X1444" s="62" t="s">
        <v>17799</v>
      </c>
      <c r="Y1444" s="62" t="s">
        <v>17800</v>
      </c>
      <c r="Z1444" s="62" t="s">
        <v>17801</v>
      </c>
      <c r="AA1444" s="62" t="s">
        <v>53806</v>
      </c>
      <c r="AB1444" s="62" t="s">
        <v>17802</v>
      </c>
      <c r="AC1444" s="62" t="s">
        <v>17803</v>
      </c>
      <c r="AD1444" s="62" t="s">
        <v>17804</v>
      </c>
    </row>
    <row r="1445" spans="1:30" x14ac:dyDescent="0.25">
      <c r="A1445" s="62" t="s">
        <v>109</v>
      </c>
      <c r="C1445" s="62" t="s">
        <v>17805</v>
      </c>
      <c r="F1445" s="62" t="s">
        <v>1100</v>
      </c>
      <c r="G1445" s="62" t="s">
        <v>53715</v>
      </c>
      <c r="J1445" s="62" t="s">
        <v>17806</v>
      </c>
      <c r="K1445" s="62" t="s">
        <v>53738</v>
      </c>
      <c r="L1445" s="62" t="s">
        <v>17807</v>
      </c>
      <c r="M1445" s="62" t="s">
        <v>17808</v>
      </c>
      <c r="N1445" s="62" t="s">
        <v>17809</v>
      </c>
      <c r="O1445" s="62" t="s">
        <v>17810</v>
      </c>
      <c r="P1445" s="62" t="s">
        <v>53761</v>
      </c>
      <c r="Q1445" s="62" t="s">
        <v>17811</v>
      </c>
      <c r="R1445" s="62" t="s">
        <v>17812</v>
      </c>
      <c r="S1445" s="62" t="s">
        <v>17813</v>
      </c>
      <c r="U1445" s="62" t="s">
        <v>17814</v>
      </c>
      <c r="V1445" s="62" t="s">
        <v>53784</v>
      </c>
      <c r="W1445" s="62" t="s">
        <v>17815</v>
      </c>
      <c r="X1445" s="62" t="s">
        <v>17816</v>
      </c>
      <c r="Y1445" s="62" t="s">
        <v>17817</v>
      </c>
      <c r="Z1445" s="62" t="s">
        <v>17818</v>
      </c>
      <c r="AA1445" s="62" t="s">
        <v>53807</v>
      </c>
      <c r="AB1445" s="62" t="s">
        <v>17819</v>
      </c>
      <c r="AC1445" s="62" t="s">
        <v>17820</v>
      </c>
      <c r="AD1445" s="62" t="s">
        <v>17821</v>
      </c>
    </row>
    <row r="1446" spans="1:30" x14ac:dyDescent="0.25">
      <c r="A1446" s="62" t="s">
        <v>109</v>
      </c>
      <c r="C1446" s="62" t="s">
        <v>17822</v>
      </c>
      <c r="F1446" s="62" t="s">
        <v>1688</v>
      </c>
      <c r="G1446" s="62" t="s">
        <v>53716</v>
      </c>
      <c r="J1446" s="62" t="s">
        <v>17823</v>
      </c>
      <c r="K1446" s="62" t="s">
        <v>53739</v>
      </c>
      <c r="L1446" s="62" t="s">
        <v>17824</v>
      </c>
      <c r="M1446" s="62" t="s">
        <v>17825</v>
      </c>
      <c r="N1446" s="62" t="s">
        <v>17826</v>
      </c>
      <c r="O1446" s="62" t="s">
        <v>17827</v>
      </c>
      <c r="P1446" s="62" t="s">
        <v>53762</v>
      </c>
      <c r="Q1446" s="62" t="s">
        <v>17828</v>
      </c>
      <c r="R1446" s="62" t="s">
        <v>17829</v>
      </c>
      <c r="S1446" s="62" t="s">
        <v>17830</v>
      </c>
      <c r="U1446" s="62" t="s">
        <v>17831</v>
      </c>
      <c r="V1446" s="62" t="s">
        <v>53785</v>
      </c>
      <c r="W1446" s="62" t="s">
        <v>17832</v>
      </c>
      <c r="X1446" s="62" t="s">
        <v>17833</v>
      </c>
      <c r="Y1446" s="62" t="s">
        <v>17834</v>
      </c>
      <c r="Z1446" s="62" t="s">
        <v>17835</v>
      </c>
      <c r="AA1446" s="62" t="s">
        <v>53808</v>
      </c>
      <c r="AB1446" s="62" t="s">
        <v>17836</v>
      </c>
      <c r="AC1446" s="62" t="s">
        <v>17837</v>
      </c>
      <c r="AD1446" s="62" t="s">
        <v>17838</v>
      </c>
    </row>
    <row r="1447" spans="1:30" x14ac:dyDescent="0.25">
      <c r="A1447" s="62" t="s">
        <v>109</v>
      </c>
      <c r="C1447" s="62" t="s">
        <v>17839</v>
      </c>
      <c r="F1447" s="62" t="s">
        <v>1178</v>
      </c>
      <c r="G1447" s="62" t="s">
        <v>53717</v>
      </c>
      <c r="J1447" s="62" t="s">
        <v>17840</v>
      </c>
      <c r="K1447" s="62" t="s">
        <v>53740</v>
      </c>
      <c r="L1447" s="62" t="s">
        <v>17841</v>
      </c>
      <c r="M1447" s="62" t="s">
        <v>17842</v>
      </c>
      <c r="N1447" s="62" t="s">
        <v>17843</v>
      </c>
      <c r="O1447" s="62" t="s">
        <v>17844</v>
      </c>
      <c r="P1447" s="62" t="s">
        <v>53763</v>
      </c>
      <c r="Q1447" s="62" t="s">
        <v>17845</v>
      </c>
      <c r="R1447" s="62" t="s">
        <v>17846</v>
      </c>
      <c r="S1447" s="62" t="s">
        <v>17847</v>
      </c>
      <c r="U1447" s="62" t="s">
        <v>17848</v>
      </c>
      <c r="V1447" s="62" t="s">
        <v>53786</v>
      </c>
      <c r="W1447" s="62" t="s">
        <v>17849</v>
      </c>
      <c r="X1447" s="62" t="s">
        <v>17850</v>
      </c>
      <c r="Y1447" s="62" t="s">
        <v>17851</v>
      </c>
      <c r="Z1447" s="62" t="s">
        <v>17852</v>
      </c>
      <c r="AA1447" s="62" t="s">
        <v>53809</v>
      </c>
      <c r="AB1447" s="62" t="s">
        <v>17853</v>
      </c>
      <c r="AC1447" s="62" t="s">
        <v>17854</v>
      </c>
      <c r="AD1447" s="62" t="s">
        <v>17855</v>
      </c>
    </row>
    <row r="1448" spans="1:30" x14ac:dyDescent="0.25">
      <c r="A1448" s="62" t="s">
        <v>109</v>
      </c>
      <c r="C1448" s="62" t="s">
        <v>17856</v>
      </c>
      <c r="F1448" s="62" t="s">
        <v>1206</v>
      </c>
      <c r="G1448" s="62" t="s">
        <v>53718</v>
      </c>
      <c r="J1448" s="62" t="s">
        <v>17857</v>
      </c>
      <c r="K1448" s="62" t="s">
        <v>53741</v>
      </c>
      <c r="L1448" s="62" t="s">
        <v>17858</v>
      </c>
      <c r="M1448" s="62" t="s">
        <v>17859</v>
      </c>
      <c r="N1448" s="62" t="s">
        <v>17860</v>
      </c>
      <c r="O1448" s="62" t="s">
        <v>17861</v>
      </c>
      <c r="P1448" s="62" t="s">
        <v>53764</v>
      </c>
      <c r="Q1448" s="62" t="s">
        <v>17862</v>
      </c>
      <c r="R1448" s="62" t="s">
        <v>17863</v>
      </c>
      <c r="S1448" s="62" t="s">
        <v>17864</v>
      </c>
      <c r="U1448" s="62" t="s">
        <v>17865</v>
      </c>
      <c r="V1448" s="62" t="s">
        <v>53787</v>
      </c>
      <c r="W1448" s="62" t="s">
        <v>17866</v>
      </c>
      <c r="X1448" s="62" t="s">
        <v>17867</v>
      </c>
      <c r="Y1448" s="62" t="s">
        <v>17868</v>
      </c>
      <c r="Z1448" s="62" t="s">
        <v>17869</v>
      </c>
      <c r="AA1448" s="62" t="s">
        <v>53810</v>
      </c>
      <c r="AB1448" s="62" t="s">
        <v>17870</v>
      </c>
      <c r="AC1448" s="62" t="s">
        <v>17871</v>
      </c>
      <c r="AD1448" s="62" t="s">
        <v>17872</v>
      </c>
    </row>
    <row r="1449" spans="1:30" x14ac:dyDescent="0.25">
      <c r="A1449" s="62" t="s">
        <v>109</v>
      </c>
      <c r="C1449" s="62" t="s">
        <v>17873</v>
      </c>
      <c r="F1449" s="62" t="s">
        <v>1249</v>
      </c>
      <c r="G1449" s="62" t="s">
        <v>53719</v>
      </c>
      <c r="J1449" s="62" t="s">
        <v>17874</v>
      </c>
      <c r="K1449" s="62" t="s">
        <v>53742</v>
      </c>
      <c r="L1449" s="62" t="s">
        <v>17875</v>
      </c>
      <c r="M1449" s="62" t="s">
        <v>17876</v>
      </c>
      <c r="N1449" s="62" t="s">
        <v>17877</v>
      </c>
      <c r="O1449" s="62" t="s">
        <v>17878</v>
      </c>
      <c r="P1449" s="62" t="s">
        <v>53765</v>
      </c>
      <c r="Q1449" s="62" t="s">
        <v>17879</v>
      </c>
      <c r="R1449" s="62" t="s">
        <v>17880</v>
      </c>
      <c r="S1449" s="62" t="s">
        <v>17881</v>
      </c>
      <c r="U1449" s="62" t="s">
        <v>17882</v>
      </c>
      <c r="V1449" s="62" t="s">
        <v>53788</v>
      </c>
      <c r="W1449" s="62" t="s">
        <v>17883</v>
      </c>
      <c r="X1449" s="62" t="s">
        <v>17884</v>
      </c>
      <c r="Y1449" s="62" t="s">
        <v>17885</v>
      </c>
      <c r="Z1449" s="62" t="s">
        <v>17886</v>
      </c>
      <c r="AA1449" s="62" t="s">
        <v>53811</v>
      </c>
      <c r="AB1449" s="62" t="s">
        <v>17887</v>
      </c>
      <c r="AC1449" s="62" t="s">
        <v>17888</v>
      </c>
      <c r="AD1449" s="62" t="s">
        <v>17889</v>
      </c>
    </row>
    <row r="1450" spans="1:30" x14ac:dyDescent="0.25">
      <c r="A1450" s="62" t="s">
        <v>109</v>
      </c>
      <c r="C1450" s="62" t="s">
        <v>17890</v>
      </c>
      <c r="F1450" s="62" t="s">
        <v>1795</v>
      </c>
      <c r="G1450" s="62" t="s">
        <v>53720</v>
      </c>
      <c r="J1450" s="62" t="s">
        <v>17891</v>
      </c>
      <c r="K1450" s="62" t="s">
        <v>53743</v>
      </c>
      <c r="L1450" s="62" t="s">
        <v>17892</v>
      </c>
      <c r="M1450" s="62" t="s">
        <v>17893</v>
      </c>
      <c r="N1450" s="62" t="s">
        <v>17894</v>
      </c>
      <c r="O1450" s="62" t="s">
        <v>17895</v>
      </c>
      <c r="P1450" s="62" t="s">
        <v>53766</v>
      </c>
      <c r="Q1450" s="62" t="s">
        <v>17896</v>
      </c>
      <c r="R1450" s="62" t="s">
        <v>17897</v>
      </c>
      <c r="S1450" s="62" t="s">
        <v>17898</v>
      </c>
      <c r="U1450" s="62" t="s">
        <v>17899</v>
      </c>
      <c r="V1450" s="62" t="s">
        <v>53789</v>
      </c>
      <c r="W1450" s="62" t="s">
        <v>17900</v>
      </c>
      <c r="X1450" s="62" t="s">
        <v>17901</v>
      </c>
      <c r="Y1450" s="62" t="s">
        <v>17902</v>
      </c>
      <c r="Z1450" s="62" t="s">
        <v>17903</v>
      </c>
      <c r="AA1450" s="62" t="s">
        <v>53812</v>
      </c>
      <c r="AB1450" s="62" t="s">
        <v>17904</v>
      </c>
      <c r="AC1450" s="62" t="s">
        <v>17905</v>
      </c>
      <c r="AD1450" s="62" t="s">
        <v>17906</v>
      </c>
    </row>
    <row r="1451" spans="1:30" x14ac:dyDescent="0.25">
      <c r="A1451" s="62" t="s">
        <v>109</v>
      </c>
      <c r="C1451" s="62" t="s">
        <v>17907</v>
      </c>
      <c r="F1451" s="62" t="s">
        <v>1286</v>
      </c>
      <c r="G1451" s="62" t="s">
        <v>53721</v>
      </c>
      <c r="J1451" s="62" t="s">
        <v>17908</v>
      </c>
      <c r="K1451" s="62" t="s">
        <v>53744</v>
      </c>
      <c r="L1451" s="62" t="s">
        <v>17909</v>
      </c>
      <c r="M1451" s="62" t="s">
        <v>17910</v>
      </c>
      <c r="N1451" s="62" t="s">
        <v>17911</v>
      </c>
      <c r="O1451" s="62" t="s">
        <v>17912</v>
      </c>
      <c r="P1451" s="62" t="s">
        <v>53767</v>
      </c>
      <c r="Q1451" s="62" t="s">
        <v>17913</v>
      </c>
      <c r="R1451" s="62" t="s">
        <v>17914</v>
      </c>
      <c r="S1451" s="62" t="s">
        <v>17915</v>
      </c>
      <c r="U1451" s="62" t="s">
        <v>17916</v>
      </c>
      <c r="V1451" s="62" t="s">
        <v>53790</v>
      </c>
      <c r="W1451" s="62" t="s">
        <v>17917</v>
      </c>
      <c r="X1451" s="62" t="s">
        <v>17918</v>
      </c>
      <c r="Y1451" s="62" t="s">
        <v>17919</v>
      </c>
      <c r="Z1451" s="62" t="s">
        <v>17920</v>
      </c>
      <c r="AA1451" s="62" t="s">
        <v>53813</v>
      </c>
      <c r="AB1451" s="62" t="s">
        <v>17921</v>
      </c>
      <c r="AC1451" s="62" t="s">
        <v>17922</v>
      </c>
      <c r="AD1451" s="62" t="s">
        <v>17923</v>
      </c>
    </row>
    <row r="1452" spans="1:30" x14ac:dyDescent="0.25">
      <c r="A1452" s="62" t="s">
        <v>109</v>
      </c>
      <c r="C1452" s="62" t="s">
        <v>17924</v>
      </c>
      <c r="F1452" s="62" t="s">
        <v>1288</v>
      </c>
      <c r="G1452" s="62" t="s">
        <v>53722</v>
      </c>
      <c r="J1452" s="62" t="s">
        <v>17925</v>
      </c>
      <c r="K1452" s="62" t="s">
        <v>53745</v>
      </c>
      <c r="L1452" s="62" t="s">
        <v>17926</v>
      </c>
      <c r="M1452" s="62" t="s">
        <v>17927</v>
      </c>
      <c r="N1452" s="62" t="s">
        <v>17928</v>
      </c>
      <c r="O1452" s="62" t="s">
        <v>17929</v>
      </c>
      <c r="P1452" s="62" t="s">
        <v>53768</v>
      </c>
      <c r="Q1452" s="62" t="s">
        <v>17930</v>
      </c>
      <c r="R1452" s="62" t="s">
        <v>17931</v>
      </c>
      <c r="S1452" s="62" t="s">
        <v>17932</v>
      </c>
      <c r="U1452" s="62" t="s">
        <v>17933</v>
      </c>
      <c r="V1452" s="62" t="s">
        <v>53791</v>
      </c>
      <c r="W1452" s="62" t="s">
        <v>17934</v>
      </c>
      <c r="X1452" s="62" t="s">
        <v>17935</v>
      </c>
      <c r="Y1452" s="62" t="s">
        <v>17936</v>
      </c>
      <c r="Z1452" s="62" t="s">
        <v>17937</v>
      </c>
      <c r="AA1452" s="62" t="s">
        <v>53814</v>
      </c>
      <c r="AB1452" s="62" t="s">
        <v>17938</v>
      </c>
      <c r="AC1452" s="62" t="s">
        <v>17939</v>
      </c>
      <c r="AD1452" s="62" t="s">
        <v>17940</v>
      </c>
    </row>
    <row r="1453" spans="1:30" x14ac:dyDescent="0.25">
      <c r="A1453" s="62" t="s">
        <v>109</v>
      </c>
      <c r="C1453" s="62" t="s">
        <v>17941</v>
      </c>
      <c r="F1453" s="62" t="s">
        <v>1797</v>
      </c>
      <c r="G1453" s="62" t="s">
        <v>53723</v>
      </c>
      <c r="J1453" s="62" t="s">
        <v>17942</v>
      </c>
      <c r="K1453" s="62" t="s">
        <v>53746</v>
      </c>
      <c r="L1453" s="62" t="s">
        <v>17943</v>
      </c>
      <c r="M1453" s="62" t="s">
        <v>17944</v>
      </c>
      <c r="N1453" s="62" t="s">
        <v>17945</v>
      </c>
      <c r="O1453" s="62" t="s">
        <v>17946</v>
      </c>
      <c r="P1453" s="62" t="s">
        <v>53769</v>
      </c>
      <c r="Q1453" s="62" t="s">
        <v>17947</v>
      </c>
      <c r="R1453" s="62" t="s">
        <v>17948</v>
      </c>
      <c r="S1453" s="62" t="s">
        <v>17949</v>
      </c>
      <c r="U1453" s="62" t="s">
        <v>17950</v>
      </c>
      <c r="V1453" s="62" t="s">
        <v>53792</v>
      </c>
      <c r="W1453" s="62" t="s">
        <v>17951</v>
      </c>
      <c r="X1453" s="62" t="s">
        <v>17952</v>
      </c>
      <c r="Y1453" s="62" t="s">
        <v>17953</v>
      </c>
      <c r="Z1453" s="62" t="s">
        <v>17954</v>
      </c>
      <c r="AA1453" s="62" t="s">
        <v>53815</v>
      </c>
      <c r="AB1453" s="62" t="s">
        <v>17955</v>
      </c>
      <c r="AC1453" s="62" t="s">
        <v>17956</v>
      </c>
      <c r="AD1453" s="62" t="s">
        <v>17957</v>
      </c>
    </row>
    <row r="1454" spans="1:30" x14ac:dyDescent="0.25">
      <c r="A1454" s="62" t="s">
        <v>109</v>
      </c>
      <c r="C1454" s="62" t="s">
        <v>17958</v>
      </c>
      <c r="F1454" s="62" t="s">
        <v>1299</v>
      </c>
      <c r="G1454" s="62" t="s">
        <v>53724</v>
      </c>
      <c r="J1454" s="62" t="s">
        <v>17959</v>
      </c>
      <c r="K1454" s="62" t="s">
        <v>53747</v>
      </c>
      <c r="L1454" s="62" t="s">
        <v>17960</v>
      </c>
      <c r="M1454" s="62" t="s">
        <v>17961</v>
      </c>
      <c r="N1454" s="62" t="s">
        <v>17962</v>
      </c>
      <c r="O1454" s="62" t="s">
        <v>17963</v>
      </c>
      <c r="P1454" s="62" t="s">
        <v>53770</v>
      </c>
      <c r="Q1454" s="62" t="s">
        <v>17964</v>
      </c>
      <c r="R1454" s="62" t="s">
        <v>17965</v>
      </c>
      <c r="S1454" s="62" t="s">
        <v>17966</v>
      </c>
      <c r="U1454" s="62" t="s">
        <v>17967</v>
      </c>
      <c r="V1454" s="62" t="s">
        <v>53793</v>
      </c>
      <c r="W1454" s="62" t="s">
        <v>17968</v>
      </c>
      <c r="X1454" s="62" t="s">
        <v>17969</v>
      </c>
      <c r="Y1454" s="62" t="s">
        <v>17970</v>
      </c>
      <c r="Z1454" s="62" t="s">
        <v>17971</v>
      </c>
      <c r="AA1454" s="62" t="s">
        <v>53816</v>
      </c>
      <c r="AB1454" s="62" t="s">
        <v>17972</v>
      </c>
      <c r="AC1454" s="62" t="s">
        <v>17973</v>
      </c>
      <c r="AD1454" s="62" t="s">
        <v>17974</v>
      </c>
    </row>
    <row r="1455" spans="1:30" x14ac:dyDescent="0.25">
      <c r="A1455" s="62" t="s">
        <v>109</v>
      </c>
      <c r="C1455" s="62" t="s">
        <v>17676</v>
      </c>
    </row>
    <row r="1456" spans="1:30" x14ac:dyDescent="0.25">
      <c r="A1456" s="62" t="s">
        <v>109</v>
      </c>
      <c r="C1456" s="62" t="s">
        <v>17975</v>
      </c>
      <c r="G1456" s="62" t="s">
        <v>43362</v>
      </c>
      <c r="J1456" s="62" t="s">
        <v>43363</v>
      </c>
      <c r="K1456" s="62" t="s">
        <v>43364</v>
      </c>
      <c r="L1456" s="62" t="s">
        <v>43365</v>
      </c>
      <c r="M1456" s="62" t="s">
        <v>17976</v>
      </c>
      <c r="N1456" s="62" t="s">
        <v>17977</v>
      </c>
      <c r="O1456" s="62" t="s">
        <v>43366</v>
      </c>
      <c r="P1456" s="62" t="s">
        <v>43367</v>
      </c>
      <c r="Q1456" s="62" t="s">
        <v>43368</v>
      </c>
      <c r="R1456" s="62" t="s">
        <v>17978</v>
      </c>
      <c r="S1456" s="62" t="s">
        <v>17979</v>
      </c>
      <c r="U1456" s="62" t="s">
        <v>43369</v>
      </c>
      <c r="V1456" s="62" t="s">
        <v>43370</v>
      </c>
      <c r="W1456" s="62" t="s">
        <v>43371</v>
      </c>
      <c r="X1456" s="62" t="s">
        <v>17980</v>
      </c>
      <c r="Y1456" s="62" t="s">
        <v>17981</v>
      </c>
      <c r="Z1456" s="62" t="s">
        <v>43372</v>
      </c>
      <c r="AA1456" s="62" t="s">
        <v>43373</v>
      </c>
      <c r="AB1456" s="62" t="s">
        <v>43374</v>
      </c>
      <c r="AC1456" s="62" t="s">
        <v>17982</v>
      </c>
      <c r="AD1456" s="62" t="s">
        <v>17983</v>
      </c>
    </row>
    <row r="1457" spans="1:30" x14ac:dyDescent="0.25">
      <c r="A1457" s="62" t="s">
        <v>109</v>
      </c>
    </row>
    <row r="1458" spans="1:30" x14ac:dyDescent="0.25">
      <c r="A1458" s="62" t="s">
        <v>109</v>
      </c>
      <c r="C1458" s="62" t="s">
        <v>43375</v>
      </c>
      <c r="E1458" s="62" t="s">
        <v>23186</v>
      </c>
      <c r="G1458" s="62" t="s">
        <v>43376</v>
      </c>
    </row>
    <row r="1459" spans="1:30" x14ac:dyDescent="0.25">
      <c r="A1459" s="62" t="s">
        <v>109</v>
      </c>
      <c r="C1459" s="62" t="s">
        <v>17984</v>
      </c>
    </row>
    <row r="1460" spans="1:30" x14ac:dyDescent="0.25">
      <c r="A1460" s="62" t="s">
        <v>109</v>
      </c>
      <c r="C1460" s="62" t="s">
        <v>17985</v>
      </c>
      <c r="F1460" s="62" t="s">
        <v>43377</v>
      </c>
      <c r="G1460" s="62" t="s">
        <v>53457</v>
      </c>
      <c r="J1460" s="62" t="s">
        <v>17986</v>
      </c>
      <c r="K1460" s="62" t="s">
        <v>53506</v>
      </c>
      <c r="L1460" s="62" t="s">
        <v>17987</v>
      </c>
      <c r="M1460" s="62" t="s">
        <v>17988</v>
      </c>
      <c r="N1460" s="62" t="s">
        <v>17989</v>
      </c>
      <c r="O1460" s="62" t="s">
        <v>17990</v>
      </c>
      <c r="P1460" s="62" t="s">
        <v>53555</v>
      </c>
      <c r="Q1460" s="62" t="s">
        <v>17991</v>
      </c>
      <c r="R1460" s="62" t="s">
        <v>17992</v>
      </c>
      <c r="S1460" s="62" t="s">
        <v>17993</v>
      </c>
      <c r="U1460" s="62" t="s">
        <v>17994</v>
      </c>
      <c r="V1460" s="62" t="s">
        <v>53604</v>
      </c>
      <c r="W1460" s="62" t="s">
        <v>17995</v>
      </c>
      <c r="X1460" s="62" t="s">
        <v>17996</v>
      </c>
      <c r="Y1460" s="62" t="s">
        <v>17997</v>
      </c>
      <c r="Z1460" s="62" t="s">
        <v>17998</v>
      </c>
      <c r="AA1460" s="62" t="s">
        <v>53653</v>
      </c>
      <c r="AB1460" s="62" t="s">
        <v>17999</v>
      </c>
      <c r="AC1460" s="62" t="s">
        <v>18000</v>
      </c>
      <c r="AD1460" s="62" t="s">
        <v>18001</v>
      </c>
    </row>
    <row r="1461" spans="1:30" x14ac:dyDescent="0.25">
      <c r="A1461" s="62" t="s">
        <v>109</v>
      </c>
      <c r="C1461" s="62" t="s">
        <v>18002</v>
      </c>
      <c r="F1461" s="62" t="s">
        <v>915</v>
      </c>
      <c r="G1461" s="62" t="s">
        <v>53458</v>
      </c>
      <c r="J1461" s="62" t="s">
        <v>18003</v>
      </c>
      <c r="K1461" s="62" t="s">
        <v>53507</v>
      </c>
      <c r="L1461" s="62" t="s">
        <v>18004</v>
      </c>
      <c r="M1461" s="62" t="s">
        <v>18005</v>
      </c>
      <c r="N1461" s="62" t="s">
        <v>18006</v>
      </c>
      <c r="O1461" s="62" t="s">
        <v>18007</v>
      </c>
      <c r="P1461" s="62" t="s">
        <v>53556</v>
      </c>
      <c r="Q1461" s="62" t="s">
        <v>18008</v>
      </c>
      <c r="R1461" s="62" t="s">
        <v>18009</v>
      </c>
      <c r="S1461" s="62" t="s">
        <v>18010</v>
      </c>
      <c r="U1461" s="62" t="s">
        <v>18011</v>
      </c>
      <c r="V1461" s="62" t="s">
        <v>53605</v>
      </c>
      <c r="W1461" s="62" t="s">
        <v>18012</v>
      </c>
      <c r="X1461" s="62" t="s">
        <v>18013</v>
      </c>
      <c r="Y1461" s="62" t="s">
        <v>18014</v>
      </c>
      <c r="Z1461" s="62" t="s">
        <v>18015</v>
      </c>
      <c r="AA1461" s="62" t="s">
        <v>53654</v>
      </c>
      <c r="AB1461" s="62" t="s">
        <v>18016</v>
      </c>
      <c r="AC1461" s="62" t="s">
        <v>18017</v>
      </c>
      <c r="AD1461" s="62" t="s">
        <v>18018</v>
      </c>
    </row>
    <row r="1462" spans="1:30" x14ac:dyDescent="0.25">
      <c r="A1462" s="62" t="s">
        <v>109</v>
      </c>
      <c r="C1462" s="62" t="s">
        <v>18019</v>
      </c>
      <c r="F1462" s="62" t="s">
        <v>925</v>
      </c>
      <c r="G1462" s="62" t="s">
        <v>53459</v>
      </c>
      <c r="J1462" s="62" t="s">
        <v>18020</v>
      </c>
      <c r="K1462" s="62" t="s">
        <v>53508</v>
      </c>
      <c r="L1462" s="62" t="s">
        <v>18021</v>
      </c>
      <c r="M1462" s="62" t="s">
        <v>18022</v>
      </c>
      <c r="N1462" s="62" t="s">
        <v>18023</v>
      </c>
      <c r="O1462" s="62" t="s">
        <v>18024</v>
      </c>
      <c r="P1462" s="62" t="s">
        <v>53557</v>
      </c>
      <c r="Q1462" s="62" t="s">
        <v>18025</v>
      </c>
      <c r="R1462" s="62" t="s">
        <v>18026</v>
      </c>
      <c r="S1462" s="62" t="s">
        <v>18027</v>
      </c>
      <c r="U1462" s="62" t="s">
        <v>18028</v>
      </c>
      <c r="V1462" s="62" t="s">
        <v>53606</v>
      </c>
      <c r="W1462" s="62" t="s">
        <v>18029</v>
      </c>
      <c r="X1462" s="62" t="s">
        <v>18030</v>
      </c>
      <c r="Y1462" s="62" t="s">
        <v>18031</v>
      </c>
      <c r="Z1462" s="62" t="s">
        <v>18032</v>
      </c>
      <c r="AA1462" s="62" t="s">
        <v>53655</v>
      </c>
      <c r="AB1462" s="62" t="s">
        <v>18033</v>
      </c>
      <c r="AC1462" s="62" t="s">
        <v>18034</v>
      </c>
      <c r="AD1462" s="62" t="s">
        <v>18035</v>
      </c>
    </row>
    <row r="1463" spans="1:30" x14ac:dyDescent="0.25">
      <c r="A1463" s="62" t="s">
        <v>109</v>
      </c>
      <c r="C1463" s="62" t="s">
        <v>18036</v>
      </c>
      <c r="F1463" s="62" t="s">
        <v>943</v>
      </c>
      <c r="G1463" s="62" t="s">
        <v>53460</v>
      </c>
      <c r="J1463" s="62" t="s">
        <v>18037</v>
      </c>
      <c r="K1463" s="62" t="s">
        <v>53509</v>
      </c>
      <c r="L1463" s="62" t="s">
        <v>18038</v>
      </c>
      <c r="M1463" s="62" t="s">
        <v>18039</v>
      </c>
      <c r="N1463" s="62" t="s">
        <v>18040</v>
      </c>
      <c r="O1463" s="62" t="s">
        <v>18041</v>
      </c>
      <c r="P1463" s="62" t="s">
        <v>53558</v>
      </c>
      <c r="Q1463" s="62" t="s">
        <v>18042</v>
      </c>
      <c r="R1463" s="62" t="s">
        <v>18043</v>
      </c>
      <c r="S1463" s="62" t="s">
        <v>18044</v>
      </c>
      <c r="U1463" s="62" t="s">
        <v>18045</v>
      </c>
      <c r="V1463" s="62" t="s">
        <v>53607</v>
      </c>
      <c r="W1463" s="62" t="s">
        <v>18046</v>
      </c>
      <c r="X1463" s="62" t="s">
        <v>18047</v>
      </c>
      <c r="Y1463" s="62" t="s">
        <v>18048</v>
      </c>
      <c r="Z1463" s="62" t="s">
        <v>18049</v>
      </c>
      <c r="AA1463" s="62" t="s">
        <v>53656</v>
      </c>
      <c r="AB1463" s="62" t="s">
        <v>18050</v>
      </c>
      <c r="AC1463" s="62" t="s">
        <v>18051</v>
      </c>
      <c r="AD1463" s="62" t="s">
        <v>18052</v>
      </c>
    </row>
    <row r="1464" spans="1:30" x14ac:dyDescent="0.25">
      <c r="A1464" s="62" t="s">
        <v>109</v>
      </c>
      <c r="C1464" s="62" t="s">
        <v>18053</v>
      </c>
      <c r="F1464" s="62" t="s">
        <v>2212</v>
      </c>
      <c r="G1464" s="62" t="s">
        <v>53461</v>
      </c>
      <c r="J1464" s="62" t="s">
        <v>18054</v>
      </c>
      <c r="K1464" s="62" t="s">
        <v>53510</v>
      </c>
      <c r="L1464" s="62" t="s">
        <v>18055</v>
      </c>
      <c r="M1464" s="62" t="s">
        <v>18056</v>
      </c>
      <c r="N1464" s="62" t="s">
        <v>18057</v>
      </c>
      <c r="O1464" s="62" t="s">
        <v>18058</v>
      </c>
      <c r="P1464" s="62" t="s">
        <v>53559</v>
      </c>
      <c r="Q1464" s="62" t="s">
        <v>18059</v>
      </c>
      <c r="R1464" s="62" t="s">
        <v>18060</v>
      </c>
      <c r="S1464" s="62" t="s">
        <v>18061</v>
      </c>
      <c r="U1464" s="62" t="s">
        <v>18062</v>
      </c>
      <c r="V1464" s="62" t="s">
        <v>53608</v>
      </c>
      <c r="W1464" s="62" t="s">
        <v>18063</v>
      </c>
      <c r="X1464" s="62" t="s">
        <v>18064</v>
      </c>
      <c r="Y1464" s="62" t="s">
        <v>18065</v>
      </c>
      <c r="Z1464" s="62" t="s">
        <v>18066</v>
      </c>
      <c r="AA1464" s="62" t="s">
        <v>53657</v>
      </c>
      <c r="AB1464" s="62" t="s">
        <v>18067</v>
      </c>
      <c r="AC1464" s="62" t="s">
        <v>18068</v>
      </c>
      <c r="AD1464" s="62" t="s">
        <v>18069</v>
      </c>
    </row>
    <row r="1465" spans="1:30" x14ac:dyDescent="0.25">
      <c r="A1465" s="62" t="s">
        <v>109</v>
      </c>
      <c r="C1465" s="62" t="s">
        <v>18070</v>
      </c>
      <c r="F1465" s="62" t="s">
        <v>193</v>
      </c>
      <c r="G1465" s="62" t="s">
        <v>53462</v>
      </c>
      <c r="J1465" s="62" t="s">
        <v>18071</v>
      </c>
      <c r="K1465" s="62" t="s">
        <v>53511</v>
      </c>
      <c r="L1465" s="62" t="s">
        <v>18072</v>
      </c>
      <c r="M1465" s="62" t="s">
        <v>18073</v>
      </c>
      <c r="N1465" s="62" t="s">
        <v>18074</v>
      </c>
      <c r="O1465" s="62" t="s">
        <v>18075</v>
      </c>
      <c r="P1465" s="62" t="s">
        <v>53560</v>
      </c>
      <c r="Q1465" s="62" t="s">
        <v>18076</v>
      </c>
      <c r="R1465" s="62" t="s">
        <v>18077</v>
      </c>
      <c r="S1465" s="62" t="s">
        <v>18078</v>
      </c>
      <c r="U1465" s="62" t="s">
        <v>18079</v>
      </c>
      <c r="V1465" s="62" t="s">
        <v>53609</v>
      </c>
      <c r="W1465" s="62" t="s">
        <v>18080</v>
      </c>
      <c r="X1465" s="62" t="s">
        <v>18081</v>
      </c>
      <c r="Y1465" s="62" t="s">
        <v>18082</v>
      </c>
      <c r="Z1465" s="62" t="s">
        <v>18083</v>
      </c>
      <c r="AA1465" s="62" t="s">
        <v>53658</v>
      </c>
      <c r="AB1465" s="62" t="s">
        <v>18084</v>
      </c>
      <c r="AC1465" s="62" t="s">
        <v>18085</v>
      </c>
      <c r="AD1465" s="62" t="s">
        <v>18086</v>
      </c>
    </row>
    <row r="1466" spans="1:30" x14ac:dyDescent="0.25">
      <c r="A1466" s="62" t="s">
        <v>109</v>
      </c>
      <c r="C1466" s="62" t="s">
        <v>18087</v>
      </c>
      <c r="F1466" s="62" t="s">
        <v>10284</v>
      </c>
      <c r="G1466" s="62" t="s">
        <v>53463</v>
      </c>
      <c r="J1466" s="62" t="s">
        <v>18088</v>
      </c>
      <c r="K1466" s="62" t="s">
        <v>53512</v>
      </c>
      <c r="L1466" s="62" t="s">
        <v>18089</v>
      </c>
      <c r="M1466" s="62" t="s">
        <v>18090</v>
      </c>
      <c r="N1466" s="62" t="s">
        <v>18091</v>
      </c>
      <c r="O1466" s="62" t="s">
        <v>18092</v>
      </c>
      <c r="P1466" s="62" t="s">
        <v>53561</v>
      </c>
      <c r="Q1466" s="62" t="s">
        <v>18093</v>
      </c>
      <c r="R1466" s="62" t="s">
        <v>18094</v>
      </c>
      <c r="S1466" s="62" t="s">
        <v>18095</v>
      </c>
      <c r="U1466" s="62" t="s">
        <v>18096</v>
      </c>
      <c r="V1466" s="62" t="s">
        <v>53610</v>
      </c>
      <c r="W1466" s="62" t="s">
        <v>18097</v>
      </c>
      <c r="X1466" s="62" t="s">
        <v>18098</v>
      </c>
      <c r="Y1466" s="62" t="s">
        <v>18099</v>
      </c>
      <c r="Z1466" s="62" t="s">
        <v>18100</v>
      </c>
      <c r="AA1466" s="62" t="s">
        <v>53659</v>
      </c>
      <c r="AB1466" s="62" t="s">
        <v>18101</v>
      </c>
      <c r="AC1466" s="62" t="s">
        <v>18102</v>
      </c>
      <c r="AD1466" s="62" t="s">
        <v>18103</v>
      </c>
    </row>
    <row r="1467" spans="1:30" x14ac:dyDescent="0.25">
      <c r="A1467" s="62" t="s">
        <v>109</v>
      </c>
      <c r="C1467" s="62" t="s">
        <v>18104</v>
      </c>
      <c r="F1467" s="62" t="s">
        <v>340</v>
      </c>
      <c r="G1467" s="62" t="s">
        <v>53464</v>
      </c>
      <c r="J1467" s="62" t="s">
        <v>18105</v>
      </c>
      <c r="K1467" s="62" t="s">
        <v>53513</v>
      </c>
      <c r="L1467" s="62" t="s">
        <v>18106</v>
      </c>
      <c r="M1467" s="62" t="s">
        <v>18107</v>
      </c>
      <c r="N1467" s="62" t="s">
        <v>18108</v>
      </c>
      <c r="O1467" s="62" t="s">
        <v>18109</v>
      </c>
      <c r="P1467" s="62" t="s">
        <v>53562</v>
      </c>
      <c r="Q1467" s="62" t="s">
        <v>18110</v>
      </c>
      <c r="R1467" s="62" t="s">
        <v>18111</v>
      </c>
      <c r="S1467" s="62" t="s">
        <v>18112</v>
      </c>
      <c r="U1467" s="62" t="s">
        <v>18113</v>
      </c>
      <c r="V1467" s="62" t="s">
        <v>53611</v>
      </c>
      <c r="W1467" s="62" t="s">
        <v>18114</v>
      </c>
      <c r="X1467" s="62" t="s">
        <v>18115</v>
      </c>
      <c r="Y1467" s="62" t="s">
        <v>18116</v>
      </c>
      <c r="Z1467" s="62" t="s">
        <v>18117</v>
      </c>
      <c r="AA1467" s="62" t="s">
        <v>53660</v>
      </c>
      <c r="AB1467" s="62" t="s">
        <v>18118</v>
      </c>
      <c r="AC1467" s="62" t="s">
        <v>18119</v>
      </c>
      <c r="AD1467" s="62" t="s">
        <v>18120</v>
      </c>
    </row>
    <row r="1468" spans="1:30" x14ac:dyDescent="0.25">
      <c r="A1468" s="62" t="s">
        <v>109</v>
      </c>
      <c r="C1468" s="62" t="s">
        <v>18121</v>
      </c>
      <c r="F1468" s="62" t="s">
        <v>10295</v>
      </c>
      <c r="G1468" s="62" t="s">
        <v>53465</v>
      </c>
      <c r="J1468" s="62" t="s">
        <v>18122</v>
      </c>
      <c r="K1468" s="62" t="s">
        <v>53514</v>
      </c>
      <c r="L1468" s="62" t="s">
        <v>18123</v>
      </c>
      <c r="M1468" s="62" t="s">
        <v>18124</v>
      </c>
      <c r="N1468" s="62" t="s">
        <v>18125</v>
      </c>
      <c r="O1468" s="62" t="s">
        <v>18126</v>
      </c>
      <c r="P1468" s="62" t="s">
        <v>53563</v>
      </c>
      <c r="Q1468" s="62" t="s">
        <v>18127</v>
      </c>
      <c r="R1468" s="62" t="s">
        <v>18128</v>
      </c>
      <c r="S1468" s="62" t="s">
        <v>18129</v>
      </c>
      <c r="U1468" s="62" t="s">
        <v>18130</v>
      </c>
      <c r="V1468" s="62" t="s">
        <v>53612</v>
      </c>
      <c r="W1468" s="62" t="s">
        <v>18131</v>
      </c>
      <c r="X1468" s="62" t="s">
        <v>18132</v>
      </c>
      <c r="Y1468" s="62" t="s">
        <v>18133</v>
      </c>
      <c r="Z1468" s="62" t="s">
        <v>18134</v>
      </c>
      <c r="AA1468" s="62" t="s">
        <v>53661</v>
      </c>
      <c r="AB1468" s="62" t="s">
        <v>18135</v>
      </c>
      <c r="AC1468" s="62" t="s">
        <v>18136</v>
      </c>
      <c r="AD1468" s="62" t="s">
        <v>18137</v>
      </c>
    </row>
    <row r="1469" spans="1:30" x14ac:dyDescent="0.25">
      <c r="A1469" s="62" t="s">
        <v>109</v>
      </c>
      <c r="C1469" s="62" t="s">
        <v>18138</v>
      </c>
      <c r="F1469" s="62" t="s">
        <v>985</v>
      </c>
      <c r="G1469" s="62" t="s">
        <v>53466</v>
      </c>
      <c r="J1469" s="62" t="s">
        <v>18139</v>
      </c>
      <c r="K1469" s="62" t="s">
        <v>53515</v>
      </c>
      <c r="L1469" s="62" t="s">
        <v>18140</v>
      </c>
      <c r="M1469" s="62" t="s">
        <v>18141</v>
      </c>
      <c r="N1469" s="62" t="s">
        <v>18142</v>
      </c>
      <c r="O1469" s="62" t="s">
        <v>18143</v>
      </c>
      <c r="P1469" s="62" t="s">
        <v>53564</v>
      </c>
      <c r="Q1469" s="62" t="s">
        <v>18144</v>
      </c>
      <c r="R1469" s="62" t="s">
        <v>18145</v>
      </c>
      <c r="S1469" s="62" t="s">
        <v>18146</v>
      </c>
      <c r="U1469" s="62" t="s">
        <v>18147</v>
      </c>
      <c r="V1469" s="62" t="s">
        <v>53613</v>
      </c>
      <c r="W1469" s="62" t="s">
        <v>18148</v>
      </c>
      <c r="X1469" s="62" t="s">
        <v>18149</v>
      </c>
      <c r="Y1469" s="62" t="s">
        <v>18150</v>
      </c>
      <c r="Z1469" s="62" t="s">
        <v>18151</v>
      </c>
      <c r="AA1469" s="62" t="s">
        <v>53662</v>
      </c>
      <c r="AB1469" s="62" t="s">
        <v>18152</v>
      </c>
      <c r="AC1469" s="62" t="s">
        <v>18153</v>
      </c>
      <c r="AD1469" s="62" t="s">
        <v>18154</v>
      </c>
    </row>
    <row r="1470" spans="1:30" x14ac:dyDescent="0.25">
      <c r="A1470" s="62" t="s">
        <v>109</v>
      </c>
      <c r="C1470" s="62" t="s">
        <v>18155</v>
      </c>
      <c r="F1470" s="62" t="s">
        <v>10314</v>
      </c>
      <c r="G1470" s="62" t="s">
        <v>53467</v>
      </c>
      <c r="J1470" s="62" t="s">
        <v>18156</v>
      </c>
      <c r="K1470" s="62" t="s">
        <v>53516</v>
      </c>
      <c r="L1470" s="62" t="s">
        <v>18157</v>
      </c>
      <c r="M1470" s="62" t="s">
        <v>18158</v>
      </c>
      <c r="N1470" s="62" t="s">
        <v>18159</v>
      </c>
      <c r="O1470" s="62" t="s">
        <v>18160</v>
      </c>
      <c r="P1470" s="62" t="s">
        <v>53565</v>
      </c>
      <c r="Q1470" s="62" t="s">
        <v>18161</v>
      </c>
      <c r="R1470" s="62" t="s">
        <v>18162</v>
      </c>
      <c r="S1470" s="62" t="s">
        <v>18163</v>
      </c>
      <c r="U1470" s="62" t="s">
        <v>18164</v>
      </c>
      <c r="V1470" s="62" t="s">
        <v>53614</v>
      </c>
      <c r="W1470" s="62" t="s">
        <v>18165</v>
      </c>
      <c r="X1470" s="62" t="s">
        <v>18166</v>
      </c>
      <c r="Y1470" s="62" t="s">
        <v>18167</v>
      </c>
      <c r="Z1470" s="62" t="s">
        <v>18168</v>
      </c>
      <c r="AA1470" s="62" t="s">
        <v>53663</v>
      </c>
      <c r="AB1470" s="62" t="s">
        <v>18169</v>
      </c>
      <c r="AC1470" s="62" t="s">
        <v>18170</v>
      </c>
      <c r="AD1470" s="62" t="s">
        <v>18171</v>
      </c>
    </row>
    <row r="1471" spans="1:30" x14ac:dyDescent="0.25">
      <c r="A1471" s="62" t="s">
        <v>109</v>
      </c>
      <c r="C1471" s="62" t="s">
        <v>18172</v>
      </c>
      <c r="F1471" s="62" t="s">
        <v>10350</v>
      </c>
      <c r="G1471" s="62" t="s">
        <v>53468</v>
      </c>
      <c r="J1471" s="62" t="s">
        <v>18173</v>
      </c>
      <c r="K1471" s="62" t="s">
        <v>53517</v>
      </c>
      <c r="L1471" s="62" t="s">
        <v>18174</v>
      </c>
      <c r="M1471" s="62" t="s">
        <v>18175</v>
      </c>
      <c r="N1471" s="62" t="s">
        <v>18176</v>
      </c>
      <c r="O1471" s="62" t="s">
        <v>18177</v>
      </c>
      <c r="P1471" s="62" t="s">
        <v>53566</v>
      </c>
      <c r="Q1471" s="62" t="s">
        <v>18178</v>
      </c>
      <c r="R1471" s="62" t="s">
        <v>18179</v>
      </c>
      <c r="S1471" s="62" t="s">
        <v>18180</v>
      </c>
      <c r="U1471" s="62" t="s">
        <v>18181</v>
      </c>
      <c r="V1471" s="62" t="s">
        <v>53615</v>
      </c>
      <c r="W1471" s="62" t="s">
        <v>18182</v>
      </c>
      <c r="X1471" s="62" t="s">
        <v>18183</v>
      </c>
      <c r="Y1471" s="62" t="s">
        <v>18184</v>
      </c>
      <c r="Z1471" s="62" t="s">
        <v>18185</v>
      </c>
      <c r="AA1471" s="62" t="s">
        <v>53664</v>
      </c>
      <c r="AB1471" s="62" t="s">
        <v>18186</v>
      </c>
      <c r="AC1471" s="62" t="s">
        <v>18187</v>
      </c>
      <c r="AD1471" s="62" t="s">
        <v>18188</v>
      </c>
    </row>
    <row r="1472" spans="1:30" x14ac:dyDescent="0.25">
      <c r="A1472" s="62" t="s">
        <v>109</v>
      </c>
      <c r="C1472" s="62" t="s">
        <v>18189</v>
      </c>
      <c r="F1472" s="62" t="s">
        <v>10368</v>
      </c>
      <c r="G1472" s="62" t="s">
        <v>53469</v>
      </c>
      <c r="J1472" s="62" t="s">
        <v>18190</v>
      </c>
      <c r="K1472" s="62" t="s">
        <v>53518</v>
      </c>
      <c r="L1472" s="62" t="s">
        <v>18191</v>
      </c>
      <c r="M1472" s="62" t="s">
        <v>18192</v>
      </c>
      <c r="N1472" s="62" t="s">
        <v>18193</v>
      </c>
      <c r="O1472" s="62" t="s">
        <v>18194</v>
      </c>
      <c r="P1472" s="62" t="s">
        <v>53567</v>
      </c>
      <c r="Q1472" s="62" t="s">
        <v>18195</v>
      </c>
      <c r="R1472" s="62" t="s">
        <v>18196</v>
      </c>
      <c r="S1472" s="62" t="s">
        <v>18197</v>
      </c>
      <c r="U1472" s="62" t="s">
        <v>18198</v>
      </c>
      <c r="V1472" s="62" t="s">
        <v>53616</v>
      </c>
      <c r="W1472" s="62" t="s">
        <v>18199</v>
      </c>
      <c r="X1472" s="62" t="s">
        <v>18200</v>
      </c>
      <c r="Y1472" s="62" t="s">
        <v>18201</v>
      </c>
      <c r="Z1472" s="62" t="s">
        <v>18202</v>
      </c>
      <c r="AA1472" s="62" t="s">
        <v>53665</v>
      </c>
      <c r="AB1472" s="62" t="s">
        <v>18203</v>
      </c>
      <c r="AC1472" s="62" t="s">
        <v>18204</v>
      </c>
      <c r="AD1472" s="62" t="s">
        <v>18205</v>
      </c>
    </row>
    <row r="1473" spans="1:30" x14ac:dyDescent="0.25">
      <c r="A1473" s="62" t="s">
        <v>109</v>
      </c>
      <c r="C1473" s="62" t="s">
        <v>18206</v>
      </c>
      <c r="F1473" s="62" t="s">
        <v>10386</v>
      </c>
      <c r="G1473" s="62" t="s">
        <v>53470</v>
      </c>
      <c r="J1473" s="62" t="s">
        <v>18207</v>
      </c>
      <c r="K1473" s="62" t="s">
        <v>53519</v>
      </c>
      <c r="L1473" s="62" t="s">
        <v>18208</v>
      </c>
      <c r="M1473" s="62" t="s">
        <v>18209</v>
      </c>
      <c r="N1473" s="62" t="s">
        <v>18210</v>
      </c>
      <c r="O1473" s="62" t="s">
        <v>18211</v>
      </c>
      <c r="P1473" s="62" t="s">
        <v>53568</v>
      </c>
      <c r="Q1473" s="62" t="s">
        <v>18212</v>
      </c>
      <c r="R1473" s="62" t="s">
        <v>18213</v>
      </c>
      <c r="S1473" s="62" t="s">
        <v>18214</v>
      </c>
      <c r="U1473" s="62" t="s">
        <v>18215</v>
      </c>
      <c r="V1473" s="62" t="s">
        <v>53617</v>
      </c>
      <c r="W1473" s="62" t="s">
        <v>18216</v>
      </c>
      <c r="X1473" s="62" t="s">
        <v>18217</v>
      </c>
      <c r="Y1473" s="62" t="s">
        <v>18218</v>
      </c>
      <c r="Z1473" s="62" t="s">
        <v>18219</v>
      </c>
      <c r="AA1473" s="62" t="s">
        <v>53666</v>
      </c>
      <c r="AB1473" s="62" t="s">
        <v>18220</v>
      </c>
      <c r="AC1473" s="62" t="s">
        <v>18221</v>
      </c>
      <c r="AD1473" s="62" t="s">
        <v>18222</v>
      </c>
    </row>
    <row r="1474" spans="1:30" x14ac:dyDescent="0.25">
      <c r="A1474" s="62" t="s">
        <v>109</v>
      </c>
      <c r="C1474" s="62" t="s">
        <v>18223</v>
      </c>
      <c r="F1474" s="62" t="s">
        <v>15012</v>
      </c>
      <c r="G1474" s="62" t="s">
        <v>53471</v>
      </c>
      <c r="J1474" s="62" t="s">
        <v>18224</v>
      </c>
      <c r="K1474" s="62" t="s">
        <v>53520</v>
      </c>
      <c r="L1474" s="62" t="s">
        <v>18225</v>
      </c>
      <c r="M1474" s="62" t="s">
        <v>18226</v>
      </c>
      <c r="N1474" s="62" t="s">
        <v>18227</v>
      </c>
      <c r="O1474" s="62" t="s">
        <v>18228</v>
      </c>
      <c r="P1474" s="62" t="s">
        <v>53569</v>
      </c>
      <c r="Q1474" s="62" t="s">
        <v>18229</v>
      </c>
      <c r="R1474" s="62" t="s">
        <v>18230</v>
      </c>
      <c r="S1474" s="62" t="s">
        <v>18231</v>
      </c>
      <c r="U1474" s="62" t="s">
        <v>18232</v>
      </c>
      <c r="V1474" s="62" t="s">
        <v>53618</v>
      </c>
      <c r="W1474" s="62" t="s">
        <v>18233</v>
      </c>
      <c r="X1474" s="62" t="s">
        <v>18234</v>
      </c>
      <c r="Y1474" s="62" t="s">
        <v>18235</v>
      </c>
      <c r="Z1474" s="62" t="s">
        <v>18236</v>
      </c>
      <c r="AA1474" s="62" t="s">
        <v>53667</v>
      </c>
      <c r="AB1474" s="62" t="s">
        <v>18237</v>
      </c>
      <c r="AC1474" s="62" t="s">
        <v>18238</v>
      </c>
      <c r="AD1474" s="62" t="s">
        <v>18239</v>
      </c>
    </row>
    <row r="1475" spans="1:30" x14ac:dyDescent="0.25">
      <c r="A1475" s="62" t="s">
        <v>109</v>
      </c>
      <c r="C1475" s="62" t="s">
        <v>18240</v>
      </c>
      <c r="F1475" s="62" t="s">
        <v>10404</v>
      </c>
      <c r="G1475" s="62" t="s">
        <v>53472</v>
      </c>
      <c r="J1475" s="62" t="s">
        <v>18241</v>
      </c>
      <c r="K1475" s="62" t="s">
        <v>53521</v>
      </c>
      <c r="L1475" s="62" t="s">
        <v>18242</v>
      </c>
      <c r="M1475" s="62" t="s">
        <v>18243</v>
      </c>
      <c r="N1475" s="62" t="s">
        <v>18244</v>
      </c>
      <c r="O1475" s="62" t="s">
        <v>18245</v>
      </c>
      <c r="P1475" s="62" t="s">
        <v>53570</v>
      </c>
      <c r="Q1475" s="62" t="s">
        <v>18246</v>
      </c>
      <c r="R1475" s="62" t="s">
        <v>18247</v>
      </c>
      <c r="S1475" s="62" t="s">
        <v>18248</v>
      </c>
      <c r="U1475" s="62" t="s">
        <v>18249</v>
      </c>
      <c r="V1475" s="62" t="s">
        <v>53619</v>
      </c>
      <c r="W1475" s="62" t="s">
        <v>18250</v>
      </c>
      <c r="X1475" s="62" t="s">
        <v>18251</v>
      </c>
      <c r="Y1475" s="62" t="s">
        <v>18252</v>
      </c>
      <c r="Z1475" s="62" t="s">
        <v>18253</v>
      </c>
      <c r="AA1475" s="62" t="s">
        <v>53668</v>
      </c>
      <c r="AB1475" s="62" t="s">
        <v>18254</v>
      </c>
      <c r="AC1475" s="62" t="s">
        <v>18255</v>
      </c>
      <c r="AD1475" s="62" t="s">
        <v>18256</v>
      </c>
    </row>
    <row r="1476" spans="1:30" x14ac:dyDescent="0.25">
      <c r="A1476" s="62" t="s">
        <v>109</v>
      </c>
      <c r="C1476" s="62" t="s">
        <v>18257</v>
      </c>
      <c r="F1476" s="62" t="s">
        <v>10422</v>
      </c>
      <c r="G1476" s="62" t="s">
        <v>53473</v>
      </c>
      <c r="J1476" s="62" t="s">
        <v>18258</v>
      </c>
      <c r="K1476" s="62" t="s">
        <v>53522</v>
      </c>
      <c r="L1476" s="62" t="s">
        <v>18259</v>
      </c>
      <c r="M1476" s="62" t="s">
        <v>18260</v>
      </c>
      <c r="N1476" s="62" t="s">
        <v>18261</v>
      </c>
      <c r="O1476" s="62" t="s">
        <v>18262</v>
      </c>
      <c r="P1476" s="62" t="s">
        <v>53571</v>
      </c>
      <c r="Q1476" s="62" t="s">
        <v>18263</v>
      </c>
      <c r="R1476" s="62" t="s">
        <v>18264</v>
      </c>
      <c r="S1476" s="62" t="s">
        <v>18265</v>
      </c>
      <c r="U1476" s="62" t="s">
        <v>18266</v>
      </c>
      <c r="V1476" s="62" t="s">
        <v>53620</v>
      </c>
      <c r="W1476" s="62" t="s">
        <v>18267</v>
      </c>
      <c r="X1476" s="62" t="s">
        <v>18268</v>
      </c>
      <c r="Y1476" s="62" t="s">
        <v>18269</v>
      </c>
      <c r="Z1476" s="62" t="s">
        <v>18270</v>
      </c>
      <c r="AA1476" s="62" t="s">
        <v>53669</v>
      </c>
      <c r="AB1476" s="62" t="s">
        <v>18271</v>
      </c>
      <c r="AC1476" s="62" t="s">
        <v>18272</v>
      </c>
      <c r="AD1476" s="62" t="s">
        <v>18273</v>
      </c>
    </row>
    <row r="1477" spans="1:30" x14ac:dyDescent="0.25">
      <c r="A1477" s="62" t="s">
        <v>109</v>
      </c>
      <c r="C1477" s="62" t="s">
        <v>18274</v>
      </c>
      <c r="F1477" s="62" t="s">
        <v>1002</v>
      </c>
      <c r="G1477" s="62" t="s">
        <v>53474</v>
      </c>
      <c r="J1477" s="62" t="s">
        <v>18275</v>
      </c>
      <c r="K1477" s="62" t="s">
        <v>53523</v>
      </c>
      <c r="L1477" s="62" t="s">
        <v>18276</v>
      </c>
      <c r="M1477" s="62" t="s">
        <v>18277</v>
      </c>
      <c r="N1477" s="62" t="s">
        <v>18278</v>
      </c>
      <c r="O1477" s="62" t="s">
        <v>18279</v>
      </c>
      <c r="P1477" s="62" t="s">
        <v>53572</v>
      </c>
      <c r="Q1477" s="62" t="s">
        <v>18280</v>
      </c>
      <c r="R1477" s="62" t="s">
        <v>18281</v>
      </c>
      <c r="S1477" s="62" t="s">
        <v>18282</v>
      </c>
      <c r="U1477" s="62" t="s">
        <v>18283</v>
      </c>
      <c r="V1477" s="62" t="s">
        <v>53621</v>
      </c>
      <c r="W1477" s="62" t="s">
        <v>18284</v>
      </c>
      <c r="X1477" s="62" t="s">
        <v>18285</v>
      </c>
      <c r="Y1477" s="62" t="s">
        <v>18286</v>
      </c>
      <c r="Z1477" s="62" t="s">
        <v>18287</v>
      </c>
      <c r="AA1477" s="62" t="s">
        <v>53670</v>
      </c>
      <c r="AB1477" s="62" t="s">
        <v>18288</v>
      </c>
      <c r="AC1477" s="62" t="s">
        <v>18289</v>
      </c>
      <c r="AD1477" s="62" t="s">
        <v>18290</v>
      </c>
    </row>
    <row r="1478" spans="1:30" x14ac:dyDescent="0.25">
      <c r="A1478" s="62" t="s">
        <v>109</v>
      </c>
      <c r="C1478" s="62" t="s">
        <v>18291</v>
      </c>
      <c r="F1478" s="62" t="s">
        <v>1030</v>
      </c>
      <c r="G1478" s="62" t="s">
        <v>53475</v>
      </c>
      <c r="J1478" s="62" t="s">
        <v>18292</v>
      </c>
      <c r="K1478" s="62" t="s">
        <v>53524</v>
      </c>
      <c r="L1478" s="62" t="s">
        <v>18293</v>
      </c>
      <c r="M1478" s="62" t="s">
        <v>18294</v>
      </c>
      <c r="N1478" s="62" t="s">
        <v>18295</v>
      </c>
      <c r="O1478" s="62" t="s">
        <v>18296</v>
      </c>
      <c r="P1478" s="62" t="s">
        <v>53573</v>
      </c>
      <c r="Q1478" s="62" t="s">
        <v>18297</v>
      </c>
      <c r="R1478" s="62" t="s">
        <v>18298</v>
      </c>
      <c r="S1478" s="62" t="s">
        <v>18299</v>
      </c>
      <c r="U1478" s="62" t="s">
        <v>18300</v>
      </c>
      <c r="V1478" s="62" t="s">
        <v>53622</v>
      </c>
      <c r="W1478" s="62" t="s">
        <v>18301</v>
      </c>
      <c r="X1478" s="62" t="s">
        <v>18302</v>
      </c>
      <c r="Y1478" s="62" t="s">
        <v>18303</v>
      </c>
      <c r="Z1478" s="62" t="s">
        <v>18304</v>
      </c>
      <c r="AA1478" s="62" t="s">
        <v>53671</v>
      </c>
      <c r="AB1478" s="62" t="s">
        <v>18305</v>
      </c>
      <c r="AC1478" s="62" t="s">
        <v>18306</v>
      </c>
      <c r="AD1478" s="62" t="s">
        <v>18307</v>
      </c>
    </row>
    <row r="1479" spans="1:30" x14ac:dyDescent="0.25">
      <c r="A1479" s="62" t="s">
        <v>109</v>
      </c>
      <c r="C1479" s="62" t="s">
        <v>18308</v>
      </c>
      <c r="F1479" s="62" t="s">
        <v>1047</v>
      </c>
      <c r="G1479" s="62" t="s">
        <v>53476</v>
      </c>
      <c r="J1479" s="62" t="s">
        <v>18309</v>
      </c>
      <c r="K1479" s="62" t="s">
        <v>53525</v>
      </c>
      <c r="L1479" s="62" t="s">
        <v>18310</v>
      </c>
      <c r="M1479" s="62" t="s">
        <v>18311</v>
      </c>
      <c r="N1479" s="62" t="s">
        <v>18312</v>
      </c>
      <c r="O1479" s="62" t="s">
        <v>18313</v>
      </c>
      <c r="P1479" s="62" t="s">
        <v>53574</v>
      </c>
      <c r="Q1479" s="62" t="s">
        <v>18314</v>
      </c>
      <c r="R1479" s="62" t="s">
        <v>18315</v>
      </c>
      <c r="S1479" s="62" t="s">
        <v>18316</v>
      </c>
      <c r="U1479" s="62" t="s">
        <v>18317</v>
      </c>
      <c r="V1479" s="62" t="s">
        <v>53623</v>
      </c>
      <c r="W1479" s="62" t="s">
        <v>18318</v>
      </c>
      <c r="X1479" s="62" t="s">
        <v>18319</v>
      </c>
      <c r="Y1479" s="62" t="s">
        <v>18320</v>
      </c>
      <c r="Z1479" s="62" t="s">
        <v>18321</v>
      </c>
      <c r="AA1479" s="62" t="s">
        <v>53672</v>
      </c>
      <c r="AB1479" s="62" t="s">
        <v>18322</v>
      </c>
      <c r="AC1479" s="62" t="s">
        <v>18323</v>
      </c>
      <c r="AD1479" s="62" t="s">
        <v>18324</v>
      </c>
    </row>
    <row r="1480" spans="1:30" x14ac:dyDescent="0.25">
      <c r="A1480" s="62" t="s">
        <v>109</v>
      </c>
      <c r="C1480" s="62" t="s">
        <v>18325</v>
      </c>
      <c r="F1480" s="62" t="s">
        <v>1064</v>
      </c>
      <c r="G1480" s="62" t="s">
        <v>53477</v>
      </c>
      <c r="J1480" s="62" t="s">
        <v>18326</v>
      </c>
      <c r="K1480" s="62" t="s">
        <v>53526</v>
      </c>
      <c r="L1480" s="62" t="s">
        <v>18327</v>
      </c>
      <c r="M1480" s="62" t="s">
        <v>18328</v>
      </c>
      <c r="N1480" s="62" t="s">
        <v>18329</v>
      </c>
      <c r="O1480" s="62" t="s">
        <v>18330</v>
      </c>
      <c r="P1480" s="62" t="s">
        <v>53575</v>
      </c>
      <c r="Q1480" s="62" t="s">
        <v>18331</v>
      </c>
      <c r="R1480" s="62" t="s">
        <v>18332</v>
      </c>
      <c r="S1480" s="62" t="s">
        <v>18333</v>
      </c>
      <c r="U1480" s="62" t="s">
        <v>18334</v>
      </c>
      <c r="V1480" s="62" t="s">
        <v>53624</v>
      </c>
      <c r="W1480" s="62" t="s">
        <v>18335</v>
      </c>
      <c r="X1480" s="62" t="s">
        <v>18336</v>
      </c>
      <c r="Y1480" s="62" t="s">
        <v>18337</v>
      </c>
      <c r="Z1480" s="62" t="s">
        <v>18338</v>
      </c>
      <c r="AA1480" s="62" t="s">
        <v>53673</v>
      </c>
      <c r="AB1480" s="62" t="s">
        <v>18339</v>
      </c>
      <c r="AC1480" s="62" t="s">
        <v>18340</v>
      </c>
      <c r="AD1480" s="62" t="s">
        <v>18341</v>
      </c>
    </row>
    <row r="1481" spans="1:30" x14ac:dyDescent="0.25">
      <c r="A1481" s="62" t="s">
        <v>109</v>
      </c>
      <c r="C1481" s="62" t="s">
        <v>18342</v>
      </c>
      <c r="F1481" s="62" t="s">
        <v>1100</v>
      </c>
      <c r="G1481" s="62" t="s">
        <v>53478</v>
      </c>
      <c r="J1481" s="62" t="s">
        <v>18343</v>
      </c>
      <c r="K1481" s="62" t="s">
        <v>53527</v>
      </c>
      <c r="L1481" s="62" t="s">
        <v>18344</v>
      </c>
      <c r="M1481" s="62" t="s">
        <v>18345</v>
      </c>
      <c r="N1481" s="62" t="s">
        <v>18346</v>
      </c>
      <c r="O1481" s="62" t="s">
        <v>18347</v>
      </c>
      <c r="P1481" s="62" t="s">
        <v>53576</v>
      </c>
      <c r="Q1481" s="62" t="s">
        <v>18348</v>
      </c>
      <c r="R1481" s="62" t="s">
        <v>18349</v>
      </c>
      <c r="S1481" s="62" t="s">
        <v>18350</v>
      </c>
      <c r="U1481" s="62" t="s">
        <v>18351</v>
      </c>
      <c r="V1481" s="62" t="s">
        <v>53625</v>
      </c>
      <c r="W1481" s="62" t="s">
        <v>18352</v>
      </c>
      <c r="X1481" s="62" t="s">
        <v>18353</v>
      </c>
      <c r="Y1481" s="62" t="s">
        <v>18354</v>
      </c>
      <c r="Z1481" s="62" t="s">
        <v>18355</v>
      </c>
      <c r="AA1481" s="62" t="s">
        <v>53674</v>
      </c>
      <c r="AB1481" s="62" t="s">
        <v>18356</v>
      </c>
      <c r="AC1481" s="62" t="s">
        <v>18357</v>
      </c>
      <c r="AD1481" s="62" t="s">
        <v>18358</v>
      </c>
    </row>
    <row r="1482" spans="1:30" x14ac:dyDescent="0.25">
      <c r="A1482" s="62" t="s">
        <v>109</v>
      </c>
      <c r="C1482" s="62" t="s">
        <v>18359</v>
      </c>
      <c r="F1482" s="62" t="s">
        <v>2337</v>
      </c>
      <c r="G1482" s="62" t="s">
        <v>53479</v>
      </c>
      <c r="J1482" s="62" t="s">
        <v>18360</v>
      </c>
      <c r="K1482" s="62" t="s">
        <v>53528</v>
      </c>
      <c r="L1482" s="62" t="s">
        <v>18361</v>
      </c>
      <c r="M1482" s="62" t="s">
        <v>18362</v>
      </c>
      <c r="N1482" s="62" t="s">
        <v>18363</v>
      </c>
      <c r="O1482" s="62" t="s">
        <v>18364</v>
      </c>
      <c r="P1482" s="62" t="s">
        <v>53577</v>
      </c>
      <c r="Q1482" s="62" t="s">
        <v>18365</v>
      </c>
      <c r="R1482" s="62" t="s">
        <v>18366</v>
      </c>
      <c r="S1482" s="62" t="s">
        <v>18367</v>
      </c>
      <c r="U1482" s="62" t="s">
        <v>18368</v>
      </c>
      <c r="V1482" s="62" t="s">
        <v>53626</v>
      </c>
      <c r="W1482" s="62" t="s">
        <v>18369</v>
      </c>
      <c r="X1482" s="62" t="s">
        <v>18370</v>
      </c>
      <c r="Y1482" s="62" t="s">
        <v>18371</v>
      </c>
      <c r="Z1482" s="62" t="s">
        <v>18372</v>
      </c>
      <c r="AA1482" s="62" t="s">
        <v>53675</v>
      </c>
      <c r="AB1482" s="62" t="s">
        <v>18373</v>
      </c>
      <c r="AC1482" s="62" t="s">
        <v>18374</v>
      </c>
      <c r="AD1482" s="62" t="s">
        <v>18375</v>
      </c>
    </row>
    <row r="1483" spans="1:30" x14ac:dyDescent="0.25">
      <c r="A1483" s="62" t="s">
        <v>109</v>
      </c>
      <c r="C1483" s="62" t="s">
        <v>18376</v>
      </c>
      <c r="F1483" s="62" t="s">
        <v>2355</v>
      </c>
      <c r="G1483" s="62" t="s">
        <v>53480</v>
      </c>
      <c r="J1483" s="62" t="s">
        <v>18377</v>
      </c>
      <c r="K1483" s="62" t="s">
        <v>53529</v>
      </c>
      <c r="L1483" s="62" t="s">
        <v>18378</v>
      </c>
      <c r="M1483" s="62" t="s">
        <v>18379</v>
      </c>
      <c r="N1483" s="62" t="s">
        <v>18380</v>
      </c>
      <c r="O1483" s="62" t="s">
        <v>18381</v>
      </c>
      <c r="P1483" s="62" t="s">
        <v>53578</v>
      </c>
      <c r="Q1483" s="62" t="s">
        <v>18382</v>
      </c>
      <c r="R1483" s="62" t="s">
        <v>18383</v>
      </c>
      <c r="S1483" s="62" t="s">
        <v>18384</v>
      </c>
      <c r="U1483" s="62" t="s">
        <v>18385</v>
      </c>
      <c r="V1483" s="62" t="s">
        <v>53627</v>
      </c>
      <c r="W1483" s="62" t="s">
        <v>18386</v>
      </c>
      <c r="X1483" s="62" t="s">
        <v>18387</v>
      </c>
      <c r="Y1483" s="62" t="s">
        <v>18388</v>
      </c>
      <c r="Z1483" s="62" t="s">
        <v>18389</v>
      </c>
      <c r="AA1483" s="62" t="s">
        <v>53676</v>
      </c>
      <c r="AB1483" s="62" t="s">
        <v>18390</v>
      </c>
      <c r="AC1483" s="62" t="s">
        <v>18391</v>
      </c>
      <c r="AD1483" s="62" t="s">
        <v>18392</v>
      </c>
    </row>
    <row r="1484" spans="1:30" x14ac:dyDescent="0.25">
      <c r="A1484" s="62" t="s">
        <v>109</v>
      </c>
      <c r="C1484" s="62" t="s">
        <v>18393</v>
      </c>
      <c r="F1484" s="62" t="s">
        <v>2372</v>
      </c>
      <c r="G1484" s="62" t="s">
        <v>53481</v>
      </c>
      <c r="J1484" s="62" t="s">
        <v>18394</v>
      </c>
      <c r="K1484" s="62" t="s">
        <v>53530</v>
      </c>
      <c r="L1484" s="62" t="s">
        <v>18395</v>
      </c>
      <c r="M1484" s="62" t="s">
        <v>18396</v>
      </c>
      <c r="N1484" s="62" t="s">
        <v>18397</v>
      </c>
      <c r="O1484" s="62" t="s">
        <v>18398</v>
      </c>
      <c r="P1484" s="62" t="s">
        <v>53579</v>
      </c>
      <c r="Q1484" s="62" t="s">
        <v>18399</v>
      </c>
      <c r="R1484" s="62" t="s">
        <v>18400</v>
      </c>
      <c r="S1484" s="62" t="s">
        <v>18401</v>
      </c>
      <c r="U1484" s="62" t="s">
        <v>18402</v>
      </c>
      <c r="V1484" s="62" t="s">
        <v>53628</v>
      </c>
      <c r="W1484" s="62" t="s">
        <v>18403</v>
      </c>
      <c r="X1484" s="62" t="s">
        <v>18404</v>
      </c>
      <c r="Y1484" s="62" t="s">
        <v>18405</v>
      </c>
      <c r="Z1484" s="62" t="s">
        <v>18406</v>
      </c>
      <c r="AA1484" s="62" t="s">
        <v>53677</v>
      </c>
      <c r="AB1484" s="62" t="s">
        <v>18407</v>
      </c>
      <c r="AC1484" s="62" t="s">
        <v>18408</v>
      </c>
      <c r="AD1484" s="62" t="s">
        <v>18409</v>
      </c>
    </row>
    <row r="1485" spans="1:30" x14ac:dyDescent="0.25">
      <c r="A1485" s="62" t="s">
        <v>109</v>
      </c>
      <c r="C1485" s="62" t="s">
        <v>18410</v>
      </c>
      <c r="F1485" s="62" t="s">
        <v>15081</v>
      </c>
      <c r="G1485" s="62" t="s">
        <v>53482</v>
      </c>
      <c r="J1485" s="62" t="s">
        <v>18411</v>
      </c>
      <c r="K1485" s="62" t="s">
        <v>53531</v>
      </c>
      <c r="L1485" s="62" t="s">
        <v>18412</v>
      </c>
      <c r="M1485" s="62" t="s">
        <v>18413</v>
      </c>
      <c r="N1485" s="62" t="s">
        <v>18414</v>
      </c>
      <c r="O1485" s="62" t="s">
        <v>18415</v>
      </c>
      <c r="P1485" s="62" t="s">
        <v>53580</v>
      </c>
      <c r="Q1485" s="62" t="s">
        <v>18416</v>
      </c>
      <c r="R1485" s="62" t="s">
        <v>18417</v>
      </c>
      <c r="S1485" s="62" t="s">
        <v>18418</v>
      </c>
      <c r="U1485" s="62" t="s">
        <v>18419</v>
      </c>
      <c r="V1485" s="62" t="s">
        <v>53629</v>
      </c>
      <c r="W1485" s="62" t="s">
        <v>18420</v>
      </c>
      <c r="X1485" s="62" t="s">
        <v>18421</v>
      </c>
      <c r="Y1485" s="62" t="s">
        <v>18422</v>
      </c>
      <c r="Z1485" s="62" t="s">
        <v>18423</v>
      </c>
      <c r="AA1485" s="62" t="s">
        <v>53678</v>
      </c>
      <c r="AB1485" s="62" t="s">
        <v>18424</v>
      </c>
      <c r="AC1485" s="62" t="s">
        <v>18425</v>
      </c>
      <c r="AD1485" s="62" t="s">
        <v>18426</v>
      </c>
    </row>
    <row r="1486" spans="1:30" x14ac:dyDescent="0.25">
      <c r="A1486" s="62" t="s">
        <v>109</v>
      </c>
      <c r="C1486" s="62" t="s">
        <v>18427</v>
      </c>
      <c r="F1486" s="62" t="s">
        <v>10559</v>
      </c>
      <c r="G1486" s="62" t="s">
        <v>53483</v>
      </c>
      <c r="J1486" s="62" t="s">
        <v>18428</v>
      </c>
      <c r="K1486" s="62" t="s">
        <v>53532</v>
      </c>
      <c r="L1486" s="62" t="s">
        <v>18429</v>
      </c>
      <c r="M1486" s="62" t="s">
        <v>18430</v>
      </c>
      <c r="N1486" s="62" t="s">
        <v>18431</v>
      </c>
      <c r="O1486" s="62" t="s">
        <v>18432</v>
      </c>
      <c r="P1486" s="62" t="s">
        <v>53581</v>
      </c>
      <c r="Q1486" s="62" t="s">
        <v>18433</v>
      </c>
      <c r="R1486" s="62" t="s">
        <v>18434</v>
      </c>
      <c r="S1486" s="62" t="s">
        <v>18435</v>
      </c>
      <c r="U1486" s="62" t="s">
        <v>18436</v>
      </c>
      <c r="V1486" s="62" t="s">
        <v>53630</v>
      </c>
      <c r="W1486" s="62" t="s">
        <v>18437</v>
      </c>
      <c r="X1486" s="62" t="s">
        <v>18438</v>
      </c>
      <c r="Y1486" s="62" t="s">
        <v>18439</v>
      </c>
      <c r="Z1486" s="62" t="s">
        <v>18440</v>
      </c>
      <c r="AA1486" s="62" t="s">
        <v>53679</v>
      </c>
      <c r="AB1486" s="62" t="s">
        <v>18441</v>
      </c>
      <c r="AC1486" s="62" t="s">
        <v>18442</v>
      </c>
      <c r="AD1486" s="62" t="s">
        <v>18443</v>
      </c>
    </row>
    <row r="1487" spans="1:30" x14ac:dyDescent="0.25">
      <c r="A1487" s="62" t="s">
        <v>109</v>
      </c>
      <c r="C1487" s="62" t="s">
        <v>18444</v>
      </c>
      <c r="F1487" s="62" t="s">
        <v>10577</v>
      </c>
      <c r="G1487" s="62" t="s">
        <v>53484</v>
      </c>
      <c r="J1487" s="62" t="s">
        <v>18445</v>
      </c>
      <c r="K1487" s="62" t="s">
        <v>53533</v>
      </c>
      <c r="L1487" s="62" t="s">
        <v>18446</v>
      </c>
      <c r="M1487" s="62" t="s">
        <v>18447</v>
      </c>
      <c r="N1487" s="62" t="s">
        <v>18448</v>
      </c>
      <c r="O1487" s="62" t="s">
        <v>18449</v>
      </c>
      <c r="P1487" s="62" t="s">
        <v>53582</v>
      </c>
      <c r="Q1487" s="62" t="s">
        <v>18450</v>
      </c>
      <c r="R1487" s="62" t="s">
        <v>18451</v>
      </c>
      <c r="S1487" s="62" t="s">
        <v>18452</v>
      </c>
      <c r="U1487" s="62" t="s">
        <v>18453</v>
      </c>
      <c r="V1487" s="62" t="s">
        <v>53631</v>
      </c>
      <c r="W1487" s="62" t="s">
        <v>18454</v>
      </c>
      <c r="X1487" s="62" t="s">
        <v>18455</v>
      </c>
      <c r="Y1487" s="62" t="s">
        <v>18456</v>
      </c>
      <c r="Z1487" s="62" t="s">
        <v>18457</v>
      </c>
      <c r="AA1487" s="62" t="s">
        <v>53680</v>
      </c>
      <c r="AB1487" s="62" t="s">
        <v>18458</v>
      </c>
      <c r="AC1487" s="62" t="s">
        <v>18459</v>
      </c>
      <c r="AD1487" s="62" t="s">
        <v>18460</v>
      </c>
    </row>
    <row r="1488" spans="1:30" x14ac:dyDescent="0.25">
      <c r="A1488" s="62" t="s">
        <v>109</v>
      </c>
      <c r="C1488" s="62" t="s">
        <v>18461</v>
      </c>
      <c r="F1488" s="62" t="s">
        <v>10667</v>
      </c>
      <c r="G1488" s="62" t="s">
        <v>53485</v>
      </c>
      <c r="J1488" s="62" t="s">
        <v>18462</v>
      </c>
      <c r="K1488" s="62" t="s">
        <v>53534</v>
      </c>
      <c r="L1488" s="62" t="s">
        <v>18463</v>
      </c>
      <c r="M1488" s="62" t="s">
        <v>18464</v>
      </c>
      <c r="N1488" s="62" t="s">
        <v>18465</v>
      </c>
      <c r="O1488" s="62" t="s">
        <v>18466</v>
      </c>
      <c r="P1488" s="62" t="s">
        <v>53583</v>
      </c>
      <c r="Q1488" s="62" t="s">
        <v>18467</v>
      </c>
      <c r="R1488" s="62" t="s">
        <v>18468</v>
      </c>
      <c r="S1488" s="62" t="s">
        <v>18469</v>
      </c>
      <c r="U1488" s="62" t="s">
        <v>18470</v>
      </c>
      <c r="V1488" s="62" t="s">
        <v>53632</v>
      </c>
      <c r="W1488" s="62" t="s">
        <v>18471</v>
      </c>
      <c r="X1488" s="62" t="s">
        <v>18472</v>
      </c>
      <c r="Y1488" s="62" t="s">
        <v>18473</v>
      </c>
      <c r="Z1488" s="62" t="s">
        <v>18474</v>
      </c>
      <c r="AA1488" s="62" t="s">
        <v>53681</v>
      </c>
      <c r="AB1488" s="62" t="s">
        <v>18475</v>
      </c>
      <c r="AC1488" s="62" t="s">
        <v>18476</v>
      </c>
      <c r="AD1488" s="62" t="s">
        <v>18477</v>
      </c>
    </row>
    <row r="1489" spans="1:30" x14ac:dyDescent="0.25">
      <c r="A1489" s="62" t="s">
        <v>109</v>
      </c>
      <c r="C1489" s="62" t="s">
        <v>18478</v>
      </c>
      <c r="F1489" s="62" t="s">
        <v>10685</v>
      </c>
      <c r="G1489" s="62" t="s">
        <v>53486</v>
      </c>
      <c r="J1489" s="62" t="s">
        <v>18479</v>
      </c>
      <c r="K1489" s="62" t="s">
        <v>53535</v>
      </c>
      <c r="L1489" s="62" t="s">
        <v>18480</v>
      </c>
      <c r="M1489" s="62" t="s">
        <v>18481</v>
      </c>
      <c r="N1489" s="62" t="s">
        <v>18482</v>
      </c>
      <c r="O1489" s="62" t="s">
        <v>18483</v>
      </c>
      <c r="P1489" s="62" t="s">
        <v>53584</v>
      </c>
      <c r="Q1489" s="62" t="s">
        <v>18484</v>
      </c>
      <c r="R1489" s="62" t="s">
        <v>18485</v>
      </c>
      <c r="S1489" s="62" t="s">
        <v>18486</v>
      </c>
      <c r="U1489" s="62" t="s">
        <v>18487</v>
      </c>
      <c r="V1489" s="62" t="s">
        <v>53633</v>
      </c>
      <c r="W1489" s="62" t="s">
        <v>18488</v>
      </c>
      <c r="X1489" s="62" t="s">
        <v>18489</v>
      </c>
      <c r="Y1489" s="62" t="s">
        <v>18490</v>
      </c>
      <c r="Z1489" s="62" t="s">
        <v>18491</v>
      </c>
      <c r="AA1489" s="62" t="s">
        <v>53682</v>
      </c>
      <c r="AB1489" s="62" t="s">
        <v>18492</v>
      </c>
      <c r="AC1489" s="62" t="s">
        <v>18493</v>
      </c>
      <c r="AD1489" s="62" t="s">
        <v>18494</v>
      </c>
    </row>
    <row r="1490" spans="1:30" x14ac:dyDescent="0.25">
      <c r="A1490" s="62" t="s">
        <v>109</v>
      </c>
      <c r="C1490" s="62" t="s">
        <v>43378</v>
      </c>
      <c r="F1490" s="62" t="s">
        <v>10721</v>
      </c>
      <c r="G1490" s="62" t="s">
        <v>53487</v>
      </c>
      <c r="J1490" s="62" t="s">
        <v>43379</v>
      </c>
      <c r="K1490" s="62" t="s">
        <v>53536</v>
      </c>
      <c r="L1490" s="62" t="s">
        <v>43380</v>
      </c>
      <c r="M1490" s="62" t="s">
        <v>43381</v>
      </c>
      <c r="N1490" s="62" t="s">
        <v>43382</v>
      </c>
      <c r="O1490" s="62" t="s">
        <v>43383</v>
      </c>
      <c r="P1490" s="62" t="s">
        <v>53585</v>
      </c>
      <c r="Q1490" s="62" t="s">
        <v>43384</v>
      </c>
      <c r="R1490" s="62" t="s">
        <v>43385</v>
      </c>
      <c r="S1490" s="62" t="s">
        <v>43386</v>
      </c>
      <c r="U1490" s="62" t="s">
        <v>43387</v>
      </c>
      <c r="V1490" s="62" t="s">
        <v>53634</v>
      </c>
      <c r="W1490" s="62" t="s">
        <v>43388</v>
      </c>
      <c r="X1490" s="62" t="s">
        <v>43389</v>
      </c>
      <c r="Y1490" s="62" t="s">
        <v>43390</v>
      </c>
      <c r="Z1490" s="62" t="s">
        <v>43391</v>
      </c>
      <c r="AA1490" s="62" t="s">
        <v>53683</v>
      </c>
      <c r="AB1490" s="62" t="s">
        <v>43392</v>
      </c>
      <c r="AC1490" s="62" t="s">
        <v>43393</v>
      </c>
      <c r="AD1490" s="62" t="s">
        <v>43394</v>
      </c>
    </row>
    <row r="1491" spans="1:30" x14ac:dyDescent="0.25">
      <c r="A1491" s="62" t="s">
        <v>109</v>
      </c>
      <c r="C1491" s="62" t="s">
        <v>18495</v>
      </c>
      <c r="F1491" s="62" t="s">
        <v>10757</v>
      </c>
      <c r="G1491" s="62" t="s">
        <v>53488</v>
      </c>
      <c r="J1491" s="62" t="s">
        <v>43395</v>
      </c>
      <c r="K1491" s="62" t="s">
        <v>53537</v>
      </c>
      <c r="L1491" s="62" t="s">
        <v>43396</v>
      </c>
      <c r="M1491" s="62" t="s">
        <v>18496</v>
      </c>
      <c r="N1491" s="62" t="s">
        <v>18497</v>
      </c>
      <c r="O1491" s="62" t="s">
        <v>43397</v>
      </c>
      <c r="P1491" s="62" t="s">
        <v>53586</v>
      </c>
      <c r="Q1491" s="62" t="s">
        <v>43398</v>
      </c>
      <c r="R1491" s="62" t="s">
        <v>18498</v>
      </c>
      <c r="S1491" s="62" t="s">
        <v>18499</v>
      </c>
      <c r="U1491" s="62" t="s">
        <v>43399</v>
      </c>
      <c r="V1491" s="62" t="s">
        <v>53635</v>
      </c>
      <c r="W1491" s="62" t="s">
        <v>43400</v>
      </c>
      <c r="X1491" s="62" t="s">
        <v>18500</v>
      </c>
      <c r="Y1491" s="62" t="s">
        <v>18501</v>
      </c>
      <c r="Z1491" s="62" t="s">
        <v>43401</v>
      </c>
      <c r="AA1491" s="62" t="s">
        <v>53684</v>
      </c>
      <c r="AB1491" s="62" t="s">
        <v>43402</v>
      </c>
      <c r="AC1491" s="62" t="s">
        <v>18502</v>
      </c>
      <c r="AD1491" s="62" t="s">
        <v>18503</v>
      </c>
    </row>
    <row r="1492" spans="1:30" x14ac:dyDescent="0.25">
      <c r="A1492" s="62" t="s">
        <v>109</v>
      </c>
      <c r="C1492" s="62" t="s">
        <v>43403</v>
      </c>
      <c r="F1492" s="62" t="s">
        <v>10775</v>
      </c>
      <c r="G1492" s="62" t="s">
        <v>53489</v>
      </c>
      <c r="J1492" s="62" t="s">
        <v>43404</v>
      </c>
      <c r="K1492" s="62" t="s">
        <v>53538</v>
      </c>
      <c r="L1492" s="62" t="s">
        <v>43405</v>
      </c>
      <c r="M1492" s="62" t="s">
        <v>43406</v>
      </c>
      <c r="N1492" s="62" t="s">
        <v>43407</v>
      </c>
      <c r="O1492" s="62" t="s">
        <v>43408</v>
      </c>
      <c r="P1492" s="62" t="s">
        <v>53587</v>
      </c>
      <c r="Q1492" s="62" t="s">
        <v>43409</v>
      </c>
      <c r="R1492" s="62" t="s">
        <v>43410</v>
      </c>
      <c r="S1492" s="62" t="s">
        <v>43411</v>
      </c>
      <c r="U1492" s="62" t="s">
        <v>43412</v>
      </c>
      <c r="V1492" s="62" t="s">
        <v>53636</v>
      </c>
      <c r="W1492" s="62" t="s">
        <v>43413</v>
      </c>
      <c r="X1492" s="62" t="s">
        <v>43414</v>
      </c>
      <c r="Y1492" s="62" t="s">
        <v>43415</v>
      </c>
      <c r="Z1492" s="62" t="s">
        <v>43416</v>
      </c>
      <c r="AA1492" s="62" t="s">
        <v>53685</v>
      </c>
      <c r="AB1492" s="62" t="s">
        <v>43417</v>
      </c>
      <c r="AC1492" s="62" t="s">
        <v>43418</v>
      </c>
      <c r="AD1492" s="62" t="s">
        <v>43419</v>
      </c>
    </row>
    <row r="1493" spans="1:30" x14ac:dyDescent="0.25">
      <c r="A1493" s="62" t="s">
        <v>109</v>
      </c>
      <c r="C1493" s="62" t="s">
        <v>43420</v>
      </c>
      <c r="F1493" s="62" t="s">
        <v>10793</v>
      </c>
      <c r="G1493" s="62" t="s">
        <v>53490</v>
      </c>
      <c r="J1493" s="62" t="s">
        <v>43421</v>
      </c>
      <c r="K1493" s="62" t="s">
        <v>53539</v>
      </c>
      <c r="L1493" s="62" t="s">
        <v>43422</v>
      </c>
      <c r="M1493" s="62" t="s">
        <v>43423</v>
      </c>
      <c r="N1493" s="62" t="s">
        <v>43424</v>
      </c>
      <c r="O1493" s="62" t="s">
        <v>43425</v>
      </c>
      <c r="P1493" s="62" t="s">
        <v>53588</v>
      </c>
      <c r="Q1493" s="62" t="s">
        <v>43426</v>
      </c>
      <c r="R1493" s="62" t="s">
        <v>43427</v>
      </c>
      <c r="S1493" s="62" t="s">
        <v>43428</v>
      </c>
      <c r="U1493" s="62" t="s">
        <v>43429</v>
      </c>
      <c r="V1493" s="62" t="s">
        <v>53637</v>
      </c>
      <c r="W1493" s="62" t="s">
        <v>43430</v>
      </c>
      <c r="X1493" s="62" t="s">
        <v>43431</v>
      </c>
      <c r="Y1493" s="62" t="s">
        <v>43432</v>
      </c>
      <c r="Z1493" s="62" t="s">
        <v>43433</v>
      </c>
      <c r="AA1493" s="62" t="s">
        <v>53686</v>
      </c>
      <c r="AB1493" s="62" t="s">
        <v>43434</v>
      </c>
      <c r="AC1493" s="62" t="s">
        <v>43435</v>
      </c>
      <c r="AD1493" s="62" t="s">
        <v>43436</v>
      </c>
    </row>
    <row r="1494" spans="1:30" x14ac:dyDescent="0.25">
      <c r="A1494" s="62" t="s">
        <v>109</v>
      </c>
      <c r="C1494" s="62" t="s">
        <v>18504</v>
      </c>
      <c r="F1494" s="62" t="s">
        <v>13202</v>
      </c>
      <c r="G1494" s="62" t="s">
        <v>53491</v>
      </c>
      <c r="J1494" s="62" t="s">
        <v>43437</v>
      </c>
      <c r="K1494" s="62" t="s">
        <v>53540</v>
      </c>
      <c r="L1494" s="62" t="s">
        <v>43438</v>
      </c>
      <c r="M1494" s="62" t="s">
        <v>43439</v>
      </c>
      <c r="N1494" s="62" t="s">
        <v>43440</v>
      </c>
      <c r="O1494" s="62" t="s">
        <v>43441</v>
      </c>
      <c r="P1494" s="62" t="s">
        <v>53589</v>
      </c>
      <c r="Q1494" s="62" t="s">
        <v>43442</v>
      </c>
      <c r="R1494" s="62" t="s">
        <v>43443</v>
      </c>
      <c r="S1494" s="62" t="s">
        <v>43444</v>
      </c>
      <c r="U1494" s="62" t="s">
        <v>43445</v>
      </c>
      <c r="V1494" s="62" t="s">
        <v>53638</v>
      </c>
      <c r="W1494" s="62" t="s">
        <v>43446</v>
      </c>
      <c r="X1494" s="62" t="s">
        <v>43447</v>
      </c>
      <c r="Y1494" s="62" t="s">
        <v>43448</v>
      </c>
      <c r="Z1494" s="62" t="s">
        <v>43449</v>
      </c>
      <c r="AA1494" s="62" t="s">
        <v>53687</v>
      </c>
      <c r="AB1494" s="62" t="s">
        <v>43450</v>
      </c>
      <c r="AC1494" s="62" t="s">
        <v>43451</v>
      </c>
      <c r="AD1494" s="62" t="s">
        <v>43452</v>
      </c>
    </row>
    <row r="1495" spans="1:30" x14ac:dyDescent="0.25">
      <c r="A1495" s="62" t="s">
        <v>109</v>
      </c>
      <c r="C1495" s="62" t="s">
        <v>18505</v>
      </c>
      <c r="F1495" s="62" t="s">
        <v>10811</v>
      </c>
      <c r="G1495" s="62" t="s">
        <v>53492</v>
      </c>
      <c r="J1495" s="62" t="s">
        <v>18506</v>
      </c>
      <c r="K1495" s="62" t="s">
        <v>53541</v>
      </c>
      <c r="L1495" s="62" t="s">
        <v>18507</v>
      </c>
      <c r="M1495" s="62" t="s">
        <v>18508</v>
      </c>
      <c r="N1495" s="62" t="s">
        <v>18509</v>
      </c>
      <c r="O1495" s="62" t="s">
        <v>18510</v>
      </c>
      <c r="P1495" s="62" t="s">
        <v>53590</v>
      </c>
      <c r="Q1495" s="62" t="s">
        <v>18511</v>
      </c>
      <c r="R1495" s="62" t="s">
        <v>18512</v>
      </c>
      <c r="S1495" s="62" t="s">
        <v>18513</v>
      </c>
      <c r="U1495" s="62" t="s">
        <v>18514</v>
      </c>
      <c r="V1495" s="62" t="s">
        <v>53639</v>
      </c>
      <c r="W1495" s="62" t="s">
        <v>18515</v>
      </c>
      <c r="X1495" s="62" t="s">
        <v>18516</v>
      </c>
      <c r="Y1495" s="62" t="s">
        <v>18517</v>
      </c>
      <c r="Z1495" s="62" t="s">
        <v>18518</v>
      </c>
      <c r="AA1495" s="62" t="s">
        <v>53688</v>
      </c>
      <c r="AB1495" s="62" t="s">
        <v>18519</v>
      </c>
      <c r="AC1495" s="62" t="s">
        <v>18520</v>
      </c>
      <c r="AD1495" s="62" t="s">
        <v>18521</v>
      </c>
    </row>
    <row r="1496" spans="1:30" x14ac:dyDescent="0.25">
      <c r="A1496" s="62" t="s">
        <v>109</v>
      </c>
      <c r="C1496" s="62" t="s">
        <v>18522</v>
      </c>
      <c r="F1496" s="62" t="s">
        <v>10829</v>
      </c>
      <c r="G1496" s="62" t="s">
        <v>53493</v>
      </c>
      <c r="J1496" s="62" t="s">
        <v>18523</v>
      </c>
      <c r="K1496" s="62" t="s">
        <v>53542</v>
      </c>
      <c r="L1496" s="62" t="s">
        <v>18524</v>
      </c>
      <c r="M1496" s="62" t="s">
        <v>18525</v>
      </c>
      <c r="N1496" s="62" t="s">
        <v>18526</v>
      </c>
      <c r="O1496" s="62" t="s">
        <v>18527</v>
      </c>
      <c r="P1496" s="62" t="s">
        <v>53591</v>
      </c>
      <c r="Q1496" s="62" t="s">
        <v>18528</v>
      </c>
      <c r="R1496" s="62" t="s">
        <v>18529</v>
      </c>
      <c r="S1496" s="62" t="s">
        <v>18530</v>
      </c>
      <c r="U1496" s="62" t="s">
        <v>18531</v>
      </c>
      <c r="V1496" s="62" t="s">
        <v>53640</v>
      </c>
      <c r="W1496" s="62" t="s">
        <v>18532</v>
      </c>
      <c r="X1496" s="62" t="s">
        <v>18533</v>
      </c>
      <c r="Y1496" s="62" t="s">
        <v>18534</v>
      </c>
      <c r="Z1496" s="62" t="s">
        <v>18535</v>
      </c>
      <c r="AA1496" s="62" t="s">
        <v>53689</v>
      </c>
      <c r="AB1496" s="62" t="s">
        <v>18536</v>
      </c>
      <c r="AC1496" s="62" t="s">
        <v>18537</v>
      </c>
      <c r="AD1496" s="62" t="s">
        <v>18538</v>
      </c>
    </row>
    <row r="1497" spans="1:30" x14ac:dyDescent="0.25">
      <c r="A1497" s="62" t="s">
        <v>109</v>
      </c>
      <c r="C1497" s="62" t="s">
        <v>18539</v>
      </c>
      <c r="F1497" s="62" t="s">
        <v>13236</v>
      </c>
      <c r="G1497" s="62" t="s">
        <v>53494</v>
      </c>
      <c r="J1497" s="62" t="s">
        <v>18540</v>
      </c>
      <c r="K1497" s="62" t="s">
        <v>53543</v>
      </c>
      <c r="L1497" s="62" t="s">
        <v>18541</v>
      </c>
      <c r="M1497" s="62" t="s">
        <v>18542</v>
      </c>
      <c r="N1497" s="62" t="s">
        <v>18543</v>
      </c>
      <c r="O1497" s="62" t="s">
        <v>18544</v>
      </c>
      <c r="P1497" s="62" t="s">
        <v>53592</v>
      </c>
      <c r="Q1497" s="62" t="s">
        <v>18545</v>
      </c>
      <c r="R1497" s="62" t="s">
        <v>18546</v>
      </c>
      <c r="S1497" s="62" t="s">
        <v>18547</v>
      </c>
      <c r="U1497" s="62" t="s">
        <v>18548</v>
      </c>
      <c r="V1497" s="62" t="s">
        <v>53641</v>
      </c>
      <c r="W1497" s="62" t="s">
        <v>18549</v>
      </c>
      <c r="X1497" s="62" t="s">
        <v>18550</v>
      </c>
      <c r="Y1497" s="62" t="s">
        <v>18551</v>
      </c>
      <c r="Z1497" s="62" t="s">
        <v>18552</v>
      </c>
      <c r="AA1497" s="62" t="s">
        <v>53690</v>
      </c>
      <c r="AB1497" s="62" t="s">
        <v>18553</v>
      </c>
      <c r="AC1497" s="62" t="s">
        <v>18554</v>
      </c>
      <c r="AD1497" s="62" t="s">
        <v>18555</v>
      </c>
    </row>
    <row r="1498" spans="1:30" x14ac:dyDescent="0.25">
      <c r="A1498" s="62" t="s">
        <v>109</v>
      </c>
      <c r="C1498" s="62" t="s">
        <v>18556</v>
      </c>
      <c r="F1498" s="62" t="s">
        <v>10847</v>
      </c>
      <c r="G1498" s="62" t="s">
        <v>53495</v>
      </c>
      <c r="J1498" s="62" t="s">
        <v>18557</v>
      </c>
      <c r="K1498" s="62" t="s">
        <v>53544</v>
      </c>
      <c r="L1498" s="62" t="s">
        <v>18558</v>
      </c>
      <c r="M1498" s="62" t="s">
        <v>18559</v>
      </c>
      <c r="N1498" s="62" t="s">
        <v>18560</v>
      </c>
      <c r="O1498" s="62" t="s">
        <v>18561</v>
      </c>
      <c r="P1498" s="62" t="s">
        <v>53593</v>
      </c>
      <c r="Q1498" s="62" t="s">
        <v>18562</v>
      </c>
      <c r="R1498" s="62" t="s">
        <v>18563</v>
      </c>
      <c r="S1498" s="62" t="s">
        <v>18564</v>
      </c>
      <c r="U1498" s="62" t="s">
        <v>18565</v>
      </c>
      <c r="V1498" s="62" t="s">
        <v>53642</v>
      </c>
      <c r="W1498" s="62" t="s">
        <v>18566</v>
      </c>
      <c r="X1498" s="62" t="s">
        <v>18567</v>
      </c>
      <c r="Y1498" s="62" t="s">
        <v>18568</v>
      </c>
      <c r="Z1498" s="62" t="s">
        <v>18569</v>
      </c>
      <c r="AA1498" s="62" t="s">
        <v>53691</v>
      </c>
      <c r="AB1498" s="62" t="s">
        <v>18570</v>
      </c>
      <c r="AC1498" s="62" t="s">
        <v>18571</v>
      </c>
      <c r="AD1498" s="62" t="s">
        <v>18572</v>
      </c>
    </row>
    <row r="1499" spans="1:30" x14ac:dyDescent="0.25">
      <c r="A1499" s="62" t="s">
        <v>109</v>
      </c>
      <c r="C1499" s="62" t="s">
        <v>18573</v>
      </c>
      <c r="F1499" s="62" t="s">
        <v>10865</v>
      </c>
      <c r="G1499" s="62" t="s">
        <v>53496</v>
      </c>
      <c r="J1499" s="62" t="s">
        <v>18574</v>
      </c>
      <c r="K1499" s="62" t="s">
        <v>53545</v>
      </c>
      <c r="L1499" s="62" t="s">
        <v>18575</v>
      </c>
      <c r="M1499" s="62" t="s">
        <v>18576</v>
      </c>
      <c r="N1499" s="62" t="s">
        <v>18577</v>
      </c>
      <c r="O1499" s="62" t="s">
        <v>18578</v>
      </c>
      <c r="P1499" s="62" t="s">
        <v>53594</v>
      </c>
      <c r="Q1499" s="62" t="s">
        <v>18579</v>
      </c>
      <c r="R1499" s="62" t="s">
        <v>18580</v>
      </c>
      <c r="S1499" s="62" t="s">
        <v>18581</v>
      </c>
      <c r="U1499" s="62" t="s">
        <v>18582</v>
      </c>
      <c r="V1499" s="62" t="s">
        <v>53643</v>
      </c>
      <c r="W1499" s="62" t="s">
        <v>18583</v>
      </c>
      <c r="X1499" s="62" t="s">
        <v>18584</v>
      </c>
      <c r="Y1499" s="62" t="s">
        <v>18585</v>
      </c>
      <c r="Z1499" s="62" t="s">
        <v>18586</v>
      </c>
      <c r="AA1499" s="62" t="s">
        <v>53692</v>
      </c>
      <c r="AB1499" s="62" t="s">
        <v>18587</v>
      </c>
      <c r="AC1499" s="62" t="s">
        <v>18588</v>
      </c>
      <c r="AD1499" s="62" t="s">
        <v>18589</v>
      </c>
    </row>
    <row r="1500" spans="1:30" x14ac:dyDescent="0.25">
      <c r="A1500" s="62" t="s">
        <v>109</v>
      </c>
      <c r="C1500" s="62" t="s">
        <v>18590</v>
      </c>
      <c r="F1500" s="62" t="s">
        <v>1152</v>
      </c>
      <c r="G1500" s="62" t="s">
        <v>53497</v>
      </c>
      <c r="J1500" s="62" t="s">
        <v>18591</v>
      </c>
      <c r="K1500" s="62" t="s">
        <v>53546</v>
      </c>
      <c r="L1500" s="62" t="s">
        <v>18592</v>
      </c>
      <c r="M1500" s="62" t="s">
        <v>18593</v>
      </c>
      <c r="N1500" s="62" t="s">
        <v>18594</v>
      </c>
      <c r="O1500" s="62" t="s">
        <v>18595</v>
      </c>
      <c r="P1500" s="62" t="s">
        <v>53595</v>
      </c>
      <c r="Q1500" s="62" t="s">
        <v>18596</v>
      </c>
      <c r="R1500" s="62" t="s">
        <v>18597</v>
      </c>
      <c r="S1500" s="62" t="s">
        <v>18598</v>
      </c>
      <c r="U1500" s="62" t="s">
        <v>18599</v>
      </c>
      <c r="V1500" s="62" t="s">
        <v>53644</v>
      </c>
      <c r="W1500" s="62" t="s">
        <v>18600</v>
      </c>
      <c r="X1500" s="62" t="s">
        <v>18601</v>
      </c>
      <c r="Y1500" s="62" t="s">
        <v>18602</v>
      </c>
      <c r="Z1500" s="62" t="s">
        <v>18603</v>
      </c>
      <c r="AA1500" s="62" t="s">
        <v>53693</v>
      </c>
      <c r="AB1500" s="62" t="s">
        <v>18604</v>
      </c>
      <c r="AC1500" s="62" t="s">
        <v>18605</v>
      </c>
      <c r="AD1500" s="62" t="s">
        <v>18606</v>
      </c>
    </row>
    <row r="1501" spans="1:30" x14ac:dyDescent="0.25">
      <c r="A1501" s="62" t="s">
        <v>109</v>
      </c>
      <c r="C1501" s="62" t="s">
        <v>18607</v>
      </c>
      <c r="F1501" s="62" t="s">
        <v>1797</v>
      </c>
      <c r="G1501" s="62" t="s">
        <v>53498</v>
      </c>
      <c r="J1501" s="62" t="s">
        <v>18608</v>
      </c>
      <c r="K1501" s="62" t="s">
        <v>53547</v>
      </c>
      <c r="L1501" s="62" t="s">
        <v>18609</v>
      </c>
      <c r="M1501" s="62" t="s">
        <v>18610</v>
      </c>
      <c r="N1501" s="62" t="s">
        <v>18611</v>
      </c>
      <c r="O1501" s="62" t="s">
        <v>18612</v>
      </c>
      <c r="P1501" s="62" t="s">
        <v>53596</v>
      </c>
      <c r="Q1501" s="62" t="s">
        <v>18613</v>
      </c>
      <c r="R1501" s="62" t="s">
        <v>18614</v>
      </c>
      <c r="S1501" s="62" t="s">
        <v>18615</v>
      </c>
      <c r="U1501" s="62" t="s">
        <v>18616</v>
      </c>
      <c r="V1501" s="62" t="s">
        <v>53645</v>
      </c>
      <c r="W1501" s="62" t="s">
        <v>18617</v>
      </c>
      <c r="X1501" s="62" t="s">
        <v>18618</v>
      </c>
      <c r="Y1501" s="62" t="s">
        <v>18619</v>
      </c>
      <c r="Z1501" s="62" t="s">
        <v>18620</v>
      </c>
      <c r="AA1501" s="62" t="s">
        <v>53694</v>
      </c>
      <c r="AB1501" s="62" t="s">
        <v>18621</v>
      </c>
      <c r="AC1501" s="62" t="s">
        <v>18622</v>
      </c>
      <c r="AD1501" s="62" t="s">
        <v>18623</v>
      </c>
    </row>
    <row r="1502" spans="1:30" x14ac:dyDescent="0.25">
      <c r="A1502" s="62" t="s">
        <v>109</v>
      </c>
      <c r="C1502" s="62" t="s">
        <v>18624</v>
      </c>
      <c r="F1502" s="62" t="s">
        <v>1299</v>
      </c>
      <c r="G1502" s="62" t="s">
        <v>53499</v>
      </c>
      <c r="J1502" s="62" t="s">
        <v>18625</v>
      </c>
      <c r="K1502" s="62" t="s">
        <v>53548</v>
      </c>
      <c r="L1502" s="62" t="s">
        <v>18626</v>
      </c>
      <c r="M1502" s="62" t="s">
        <v>18627</v>
      </c>
      <c r="N1502" s="62" t="s">
        <v>18628</v>
      </c>
      <c r="O1502" s="62" t="s">
        <v>18629</v>
      </c>
      <c r="P1502" s="62" t="s">
        <v>53597</v>
      </c>
      <c r="Q1502" s="62" t="s">
        <v>18630</v>
      </c>
      <c r="R1502" s="62" t="s">
        <v>18631</v>
      </c>
      <c r="S1502" s="62" t="s">
        <v>18632</v>
      </c>
      <c r="U1502" s="62" t="s">
        <v>18633</v>
      </c>
      <c r="V1502" s="62" t="s">
        <v>53646</v>
      </c>
      <c r="W1502" s="62" t="s">
        <v>18634</v>
      </c>
      <c r="X1502" s="62" t="s">
        <v>18635</v>
      </c>
      <c r="Y1502" s="62" t="s">
        <v>18636</v>
      </c>
      <c r="Z1502" s="62" t="s">
        <v>18637</v>
      </c>
      <c r="AA1502" s="62" t="s">
        <v>53695</v>
      </c>
      <c r="AB1502" s="62" t="s">
        <v>18638</v>
      </c>
      <c r="AC1502" s="62" t="s">
        <v>18639</v>
      </c>
      <c r="AD1502" s="62" t="s">
        <v>18640</v>
      </c>
    </row>
    <row r="1503" spans="1:30" x14ac:dyDescent="0.25">
      <c r="A1503" s="62" t="s">
        <v>109</v>
      </c>
      <c r="C1503" s="62" t="s">
        <v>18641</v>
      </c>
      <c r="F1503" s="62" t="s">
        <v>13249</v>
      </c>
      <c r="G1503" s="62" t="s">
        <v>53500</v>
      </c>
      <c r="J1503" s="62" t="s">
        <v>18642</v>
      </c>
      <c r="K1503" s="62" t="s">
        <v>53549</v>
      </c>
      <c r="L1503" s="62" t="s">
        <v>18643</v>
      </c>
      <c r="M1503" s="62" t="s">
        <v>18644</v>
      </c>
      <c r="N1503" s="62" t="s">
        <v>18645</v>
      </c>
      <c r="O1503" s="62" t="s">
        <v>18646</v>
      </c>
      <c r="P1503" s="62" t="s">
        <v>53598</v>
      </c>
      <c r="Q1503" s="62" t="s">
        <v>18647</v>
      </c>
      <c r="R1503" s="62" t="s">
        <v>18648</v>
      </c>
      <c r="S1503" s="62" t="s">
        <v>18649</v>
      </c>
      <c r="U1503" s="62" t="s">
        <v>18650</v>
      </c>
      <c r="V1503" s="62" t="s">
        <v>53647</v>
      </c>
      <c r="W1503" s="62" t="s">
        <v>18651</v>
      </c>
      <c r="X1503" s="62" t="s">
        <v>18652</v>
      </c>
      <c r="Y1503" s="62" t="s">
        <v>18653</v>
      </c>
      <c r="Z1503" s="62" t="s">
        <v>18654</v>
      </c>
      <c r="AA1503" s="62" t="s">
        <v>53696</v>
      </c>
      <c r="AB1503" s="62" t="s">
        <v>18655</v>
      </c>
      <c r="AC1503" s="62" t="s">
        <v>18656</v>
      </c>
      <c r="AD1503" s="62" t="s">
        <v>18657</v>
      </c>
    </row>
    <row r="1504" spans="1:30" x14ac:dyDescent="0.25">
      <c r="A1504" s="62" t="s">
        <v>109</v>
      </c>
      <c r="C1504" s="62" t="s">
        <v>18658</v>
      </c>
      <c r="F1504" s="62" t="s">
        <v>10929</v>
      </c>
      <c r="G1504" s="62" t="s">
        <v>53501</v>
      </c>
      <c r="J1504" s="62" t="s">
        <v>18659</v>
      </c>
      <c r="K1504" s="62" t="s">
        <v>53550</v>
      </c>
      <c r="L1504" s="62" t="s">
        <v>18660</v>
      </c>
      <c r="M1504" s="62" t="s">
        <v>18661</v>
      </c>
      <c r="N1504" s="62" t="s">
        <v>18662</v>
      </c>
      <c r="O1504" s="62" t="s">
        <v>18663</v>
      </c>
      <c r="P1504" s="62" t="s">
        <v>53599</v>
      </c>
      <c r="Q1504" s="62" t="s">
        <v>18664</v>
      </c>
      <c r="R1504" s="62" t="s">
        <v>18665</v>
      </c>
      <c r="S1504" s="62" t="s">
        <v>18666</v>
      </c>
      <c r="U1504" s="62" t="s">
        <v>18667</v>
      </c>
      <c r="V1504" s="62" t="s">
        <v>53648</v>
      </c>
      <c r="W1504" s="62" t="s">
        <v>18668</v>
      </c>
      <c r="X1504" s="62" t="s">
        <v>18669</v>
      </c>
      <c r="Y1504" s="62" t="s">
        <v>18670</v>
      </c>
      <c r="Z1504" s="62" t="s">
        <v>18671</v>
      </c>
      <c r="AA1504" s="62" t="s">
        <v>53697</v>
      </c>
      <c r="AB1504" s="62" t="s">
        <v>18672</v>
      </c>
      <c r="AC1504" s="62" t="s">
        <v>18673</v>
      </c>
      <c r="AD1504" s="62" t="s">
        <v>18674</v>
      </c>
    </row>
    <row r="1505" spans="1:30" x14ac:dyDescent="0.25">
      <c r="A1505" s="62" t="s">
        <v>109</v>
      </c>
      <c r="C1505" s="62" t="s">
        <v>18675</v>
      </c>
      <c r="F1505" s="62" t="s">
        <v>24015</v>
      </c>
      <c r="G1505" s="62" t="s">
        <v>53502</v>
      </c>
      <c r="J1505" s="62" t="s">
        <v>18676</v>
      </c>
      <c r="K1505" s="62" t="s">
        <v>53551</v>
      </c>
      <c r="L1505" s="62" t="s">
        <v>18677</v>
      </c>
      <c r="M1505" s="62" t="s">
        <v>18678</v>
      </c>
      <c r="N1505" s="62" t="s">
        <v>18679</v>
      </c>
      <c r="O1505" s="62" t="s">
        <v>18680</v>
      </c>
      <c r="P1505" s="62" t="s">
        <v>53600</v>
      </c>
      <c r="Q1505" s="62" t="s">
        <v>18681</v>
      </c>
      <c r="R1505" s="62" t="s">
        <v>18682</v>
      </c>
      <c r="S1505" s="62" t="s">
        <v>18683</v>
      </c>
      <c r="U1505" s="62" t="s">
        <v>18684</v>
      </c>
      <c r="V1505" s="62" t="s">
        <v>53649</v>
      </c>
      <c r="W1505" s="62" t="s">
        <v>18685</v>
      </c>
      <c r="X1505" s="62" t="s">
        <v>18686</v>
      </c>
      <c r="Y1505" s="62" t="s">
        <v>18687</v>
      </c>
      <c r="Z1505" s="62" t="s">
        <v>18688</v>
      </c>
      <c r="AA1505" s="62" t="s">
        <v>53698</v>
      </c>
      <c r="AB1505" s="62" t="s">
        <v>18689</v>
      </c>
      <c r="AC1505" s="62" t="s">
        <v>18690</v>
      </c>
      <c r="AD1505" s="62" t="s">
        <v>18691</v>
      </c>
    </row>
    <row r="1506" spans="1:30" x14ac:dyDescent="0.25">
      <c r="A1506" s="62" t="s">
        <v>109</v>
      </c>
      <c r="C1506" s="62" t="s">
        <v>18692</v>
      </c>
      <c r="F1506" s="62" t="s">
        <v>24033</v>
      </c>
      <c r="G1506" s="62" t="s">
        <v>53503</v>
      </c>
      <c r="J1506" s="62" t="s">
        <v>18693</v>
      </c>
      <c r="K1506" s="62" t="s">
        <v>53552</v>
      </c>
      <c r="L1506" s="62" t="s">
        <v>18694</v>
      </c>
      <c r="M1506" s="62" t="s">
        <v>18695</v>
      </c>
      <c r="N1506" s="62" t="s">
        <v>18696</v>
      </c>
      <c r="O1506" s="62" t="s">
        <v>18697</v>
      </c>
      <c r="P1506" s="62" t="s">
        <v>53601</v>
      </c>
      <c r="Q1506" s="62" t="s">
        <v>18698</v>
      </c>
      <c r="R1506" s="62" t="s">
        <v>18699</v>
      </c>
      <c r="S1506" s="62" t="s">
        <v>18700</v>
      </c>
      <c r="U1506" s="62" t="s">
        <v>18701</v>
      </c>
      <c r="V1506" s="62" t="s">
        <v>53650</v>
      </c>
      <c r="W1506" s="62" t="s">
        <v>18702</v>
      </c>
      <c r="X1506" s="62" t="s">
        <v>18703</v>
      </c>
      <c r="Y1506" s="62" t="s">
        <v>18704</v>
      </c>
      <c r="Z1506" s="62" t="s">
        <v>18705</v>
      </c>
      <c r="AA1506" s="62" t="s">
        <v>53699</v>
      </c>
      <c r="AB1506" s="62" t="s">
        <v>18706</v>
      </c>
      <c r="AC1506" s="62" t="s">
        <v>18707</v>
      </c>
      <c r="AD1506" s="62" t="s">
        <v>18708</v>
      </c>
    </row>
    <row r="1507" spans="1:30" x14ac:dyDescent="0.25">
      <c r="A1507" s="62" t="s">
        <v>109</v>
      </c>
      <c r="C1507" s="62" t="s">
        <v>18709</v>
      </c>
      <c r="F1507" s="62" t="s">
        <v>24051</v>
      </c>
      <c r="G1507" s="62" t="s">
        <v>53504</v>
      </c>
      <c r="J1507" s="62" t="s">
        <v>18710</v>
      </c>
      <c r="K1507" s="62" t="s">
        <v>53553</v>
      </c>
      <c r="L1507" s="62" t="s">
        <v>18711</v>
      </c>
      <c r="M1507" s="62" t="s">
        <v>18712</v>
      </c>
      <c r="N1507" s="62" t="s">
        <v>18713</v>
      </c>
      <c r="O1507" s="62" t="s">
        <v>18714</v>
      </c>
      <c r="P1507" s="62" t="s">
        <v>53602</v>
      </c>
      <c r="Q1507" s="62" t="s">
        <v>18715</v>
      </c>
      <c r="R1507" s="62" t="s">
        <v>18716</v>
      </c>
      <c r="S1507" s="62" t="s">
        <v>18717</v>
      </c>
      <c r="U1507" s="62" t="s">
        <v>18718</v>
      </c>
      <c r="V1507" s="62" t="s">
        <v>53651</v>
      </c>
      <c r="W1507" s="62" t="s">
        <v>18719</v>
      </c>
      <c r="X1507" s="62" t="s">
        <v>18720</v>
      </c>
      <c r="Y1507" s="62" t="s">
        <v>18721</v>
      </c>
      <c r="Z1507" s="62" t="s">
        <v>18722</v>
      </c>
      <c r="AA1507" s="62" t="s">
        <v>53700</v>
      </c>
      <c r="AB1507" s="62" t="s">
        <v>18723</v>
      </c>
      <c r="AC1507" s="62" t="s">
        <v>18724</v>
      </c>
      <c r="AD1507" s="62" t="s">
        <v>18725</v>
      </c>
    </row>
    <row r="1508" spans="1:30" x14ac:dyDescent="0.25">
      <c r="A1508" s="62" t="s">
        <v>109</v>
      </c>
      <c r="C1508" s="62" t="s">
        <v>18726</v>
      </c>
      <c r="F1508" s="62" t="s">
        <v>22412</v>
      </c>
      <c r="G1508" s="62" t="s">
        <v>53505</v>
      </c>
      <c r="J1508" s="62" t="s">
        <v>18727</v>
      </c>
      <c r="K1508" s="62" t="s">
        <v>53554</v>
      </c>
      <c r="L1508" s="62" t="s">
        <v>18728</v>
      </c>
      <c r="M1508" s="62" t="s">
        <v>18729</v>
      </c>
      <c r="N1508" s="62" t="s">
        <v>18730</v>
      </c>
      <c r="O1508" s="62" t="s">
        <v>18731</v>
      </c>
      <c r="P1508" s="62" t="s">
        <v>53603</v>
      </c>
      <c r="Q1508" s="62" t="s">
        <v>18732</v>
      </c>
      <c r="R1508" s="62" t="s">
        <v>18733</v>
      </c>
      <c r="S1508" s="62" t="s">
        <v>18734</v>
      </c>
      <c r="U1508" s="62" t="s">
        <v>18735</v>
      </c>
      <c r="V1508" s="62" t="s">
        <v>53652</v>
      </c>
      <c r="W1508" s="62" t="s">
        <v>18736</v>
      </c>
      <c r="X1508" s="62" t="s">
        <v>18737</v>
      </c>
      <c r="Y1508" s="62" t="s">
        <v>18738</v>
      </c>
      <c r="Z1508" s="62" t="s">
        <v>18739</v>
      </c>
      <c r="AA1508" s="62" t="s">
        <v>53701</v>
      </c>
      <c r="AB1508" s="62" t="s">
        <v>18740</v>
      </c>
      <c r="AC1508" s="62" t="s">
        <v>18741</v>
      </c>
      <c r="AD1508" s="62" t="s">
        <v>18742</v>
      </c>
    </row>
    <row r="1509" spans="1:30" x14ac:dyDescent="0.25">
      <c r="A1509" s="62" t="s">
        <v>109</v>
      </c>
      <c r="C1509" s="62" t="s">
        <v>18002</v>
      </c>
    </row>
    <row r="1510" spans="1:30" x14ac:dyDescent="0.25">
      <c r="A1510" s="62" t="s">
        <v>109</v>
      </c>
      <c r="C1510" s="62" t="s">
        <v>18743</v>
      </c>
      <c r="G1510" s="62" t="s">
        <v>43453</v>
      </c>
      <c r="J1510" s="62" t="s">
        <v>43454</v>
      </c>
      <c r="K1510" s="62" t="s">
        <v>43455</v>
      </c>
      <c r="L1510" s="62" t="s">
        <v>43456</v>
      </c>
      <c r="M1510" s="62" t="s">
        <v>18744</v>
      </c>
      <c r="N1510" s="62" t="s">
        <v>18745</v>
      </c>
      <c r="O1510" s="62" t="s">
        <v>43457</v>
      </c>
      <c r="P1510" s="62" t="s">
        <v>43458</v>
      </c>
      <c r="Q1510" s="62" t="s">
        <v>43459</v>
      </c>
      <c r="R1510" s="62" t="s">
        <v>18746</v>
      </c>
      <c r="S1510" s="62" t="s">
        <v>18747</v>
      </c>
      <c r="U1510" s="62" t="s">
        <v>43460</v>
      </c>
      <c r="V1510" s="62" t="s">
        <v>43461</v>
      </c>
      <c r="W1510" s="62" t="s">
        <v>43462</v>
      </c>
      <c r="X1510" s="62" t="s">
        <v>18748</v>
      </c>
      <c r="Y1510" s="62" t="s">
        <v>18749</v>
      </c>
      <c r="Z1510" s="62" t="s">
        <v>43463</v>
      </c>
      <c r="AA1510" s="62" t="s">
        <v>43464</v>
      </c>
      <c r="AB1510" s="62" t="s">
        <v>43465</v>
      </c>
      <c r="AC1510" s="62" t="s">
        <v>18750</v>
      </c>
      <c r="AD1510" s="62" t="s">
        <v>18751</v>
      </c>
    </row>
    <row r="1511" spans="1:30" x14ac:dyDescent="0.25">
      <c r="A1511" s="62" t="s">
        <v>109</v>
      </c>
    </row>
    <row r="1512" spans="1:30" x14ac:dyDescent="0.25">
      <c r="A1512" s="62" t="s">
        <v>109</v>
      </c>
      <c r="C1512" s="62" t="s">
        <v>43466</v>
      </c>
      <c r="E1512" s="62" t="s">
        <v>462</v>
      </c>
      <c r="G1512" s="62" t="s">
        <v>43467</v>
      </c>
    </row>
    <row r="1513" spans="1:30" x14ac:dyDescent="0.25">
      <c r="A1513" s="62" t="s">
        <v>109</v>
      </c>
      <c r="C1513" s="62" t="s">
        <v>18752</v>
      </c>
    </row>
    <row r="1514" spans="1:30" x14ac:dyDescent="0.25">
      <c r="A1514" s="62" t="s">
        <v>109</v>
      </c>
      <c r="C1514" s="62" t="s">
        <v>18753</v>
      </c>
      <c r="F1514" s="62" t="s">
        <v>43468</v>
      </c>
      <c r="G1514" s="62" t="s">
        <v>53222</v>
      </c>
      <c r="J1514" s="62" t="s">
        <v>18754</v>
      </c>
      <c r="K1514" s="62" t="s">
        <v>53269</v>
      </c>
      <c r="L1514" s="62" t="s">
        <v>18755</v>
      </c>
      <c r="M1514" s="62" t="s">
        <v>18756</v>
      </c>
      <c r="N1514" s="62" t="s">
        <v>18757</v>
      </c>
      <c r="O1514" s="62" t="s">
        <v>18758</v>
      </c>
      <c r="P1514" s="62" t="s">
        <v>53316</v>
      </c>
      <c r="Q1514" s="62" t="s">
        <v>18759</v>
      </c>
      <c r="R1514" s="62" t="s">
        <v>18760</v>
      </c>
      <c r="S1514" s="62" t="s">
        <v>18761</v>
      </c>
      <c r="U1514" s="62" t="s">
        <v>18762</v>
      </c>
      <c r="V1514" s="62" t="s">
        <v>53363</v>
      </c>
      <c r="W1514" s="62" t="s">
        <v>18763</v>
      </c>
      <c r="X1514" s="62" t="s">
        <v>18764</v>
      </c>
      <c r="Y1514" s="62" t="s">
        <v>18765</v>
      </c>
      <c r="Z1514" s="62" t="s">
        <v>18766</v>
      </c>
      <c r="AA1514" s="62" t="s">
        <v>53410</v>
      </c>
      <c r="AB1514" s="62" t="s">
        <v>18767</v>
      </c>
      <c r="AC1514" s="62" t="s">
        <v>18768</v>
      </c>
      <c r="AD1514" s="62" t="s">
        <v>18769</v>
      </c>
    </row>
    <row r="1515" spans="1:30" x14ac:dyDescent="0.25">
      <c r="A1515" s="62" t="s">
        <v>109</v>
      </c>
      <c r="C1515" s="62" t="s">
        <v>18770</v>
      </c>
      <c r="F1515" s="62" t="s">
        <v>731</v>
      </c>
      <c r="G1515" s="62" t="s">
        <v>53223</v>
      </c>
      <c r="J1515" s="62" t="s">
        <v>18771</v>
      </c>
      <c r="K1515" s="62" t="s">
        <v>53270</v>
      </c>
      <c r="L1515" s="62" t="s">
        <v>18772</v>
      </c>
      <c r="M1515" s="62" t="s">
        <v>18773</v>
      </c>
      <c r="N1515" s="62" t="s">
        <v>18774</v>
      </c>
      <c r="O1515" s="62" t="s">
        <v>18775</v>
      </c>
      <c r="P1515" s="62" t="s">
        <v>53317</v>
      </c>
      <c r="Q1515" s="62" t="s">
        <v>18776</v>
      </c>
      <c r="R1515" s="62" t="s">
        <v>18777</v>
      </c>
      <c r="S1515" s="62" t="s">
        <v>18778</v>
      </c>
      <c r="U1515" s="62" t="s">
        <v>18779</v>
      </c>
      <c r="V1515" s="62" t="s">
        <v>53364</v>
      </c>
      <c r="W1515" s="62" t="s">
        <v>18780</v>
      </c>
      <c r="X1515" s="62" t="s">
        <v>18781</v>
      </c>
      <c r="Y1515" s="62" t="s">
        <v>18782</v>
      </c>
      <c r="Z1515" s="62" t="s">
        <v>18783</v>
      </c>
      <c r="AA1515" s="62" t="s">
        <v>53411</v>
      </c>
      <c r="AB1515" s="62" t="s">
        <v>18784</v>
      </c>
      <c r="AC1515" s="62" t="s">
        <v>18785</v>
      </c>
      <c r="AD1515" s="62" t="s">
        <v>18786</v>
      </c>
    </row>
    <row r="1516" spans="1:30" x14ac:dyDescent="0.25">
      <c r="A1516" s="62" t="s">
        <v>109</v>
      </c>
      <c r="C1516" s="62" t="s">
        <v>18787</v>
      </c>
      <c r="F1516" s="62" t="s">
        <v>748</v>
      </c>
      <c r="G1516" s="62" t="s">
        <v>53224</v>
      </c>
      <c r="J1516" s="62" t="s">
        <v>18788</v>
      </c>
      <c r="K1516" s="62" t="s">
        <v>53271</v>
      </c>
      <c r="L1516" s="62" t="s">
        <v>18789</v>
      </c>
      <c r="M1516" s="62" t="s">
        <v>18790</v>
      </c>
      <c r="N1516" s="62" t="s">
        <v>18791</v>
      </c>
      <c r="O1516" s="62" t="s">
        <v>18792</v>
      </c>
      <c r="P1516" s="62" t="s">
        <v>53318</v>
      </c>
      <c r="Q1516" s="62" t="s">
        <v>18793</v>
      </c>
      <c r="R1516" s="62" t="s">
        <v>18794</v>
      </c>
      <c r="S1516" s="62" t="s">
        <v>18795</v>
      </c>
      <c r="U1516" s="62" t="s">
        <v>18796</v>
      </c>
      <c r="V1516" s="62" t="s">
        <v>53365</v>
      </c>
      <c r="W1516" s="62" t="s">
        <v>18797</v>
      </c>
      <c r="X1516" s="62" t="s">
        <v>18798</v>
      </c>
      <c r="Y1516" s="62" t="s">
        <v>18799</v>
      </c>
      <c r="Z1516" s="62" t="s">
        <v>18800</v>
      </c>
      <c r="AA1516" s="62" t="s">
        <v>53412</v>
      </c>
      <c r="AB1516" s="62" t="s">
        <v>18801</v>
      </c>
      <c r="AC1516" s="62" t="s">
        <v>18802</v>
      </c>
      <c r="AD1516" s="62" t="s">
        <v>18803</v>
      </c>
    </row>
    <row r="1517" spans="1:30" x14ac:dyDescent="0.25">
      <c r="A1517" s="62" t="s">
        <v>109</v>
      </c>
      <c r="C1517" s="62" t="s">
        <v>18804</v>
      </c>
      <c r="F1517" s="62" t="s">
        <v>758</v>
      </c>
      <c r="G1517" s="62" t="s">
        <v>53225</v>
      </c>
      <c r="J1517" s="62" t="s">
        <v>18805</v>
      </c>
      <c r="K1517" s="62" t="s">
        <v>53272</v>
      </c>
      <c r="L1517" s="62" t="s">
        <v>18806</v>
      </c>
      <c r="M1517" s="62" t="s">
        <v>18807</v>
      </c>
      <c r="N1517" s="62" t="s">
        <v>18808</v>
      </c>
      <c r="O1517" s="62" t="s">
        <v>18809</v>
      </c>
      <c r="P1517" s="62" t="s">
        <v>53319</v>
      </c>
      <c r="Q1517" s="62" t="s">
        <v>18810</v>
      </c>
      <c r="R1517" s="62" t="s">
        <v>18811</v>
      </c>
      <c r="S1517" s="62" t="s">
        <v>18812</v>
      </c>
      <c r="U1517" s="62" t="s">
        <v>18813</v>
      </c>
      <c r="V1517" s="62" t="s">
        <v>53366</v>
      </c>
      <c r="W1517" s="62" t="s">
        <v>18814</v>
      </c>
      <c r="X1517" s="62" t="s">
        <v>18815</v>
      </c>
      <c r="Y1517" s="62" t="s">
        <v>18816</v>
      </c>
      <c r="Z1517" s="62" t="s">
        <v>18817</v>
      </c>
      <c r="AA1517" s="62" t="s">
        <v>53413</v>
      </c>
      <c r="AB1517" s="62" t="s">
        <v>18818</v>
      </c>
      <c r="AC1517" s="62" t="s">
        <v>18819</v>
      </c>
      <c r="AD1517" s="62" t="s">
        <v>18820</v>
      </c>
    </row>
    <row r="1518" spans="1:30" x14ac:dyDescent="0.25">
      <c r="A1518" s="62" t="s">
        <v>109</v>
      </c>
      <c r="C1518" s="62" t="s">
        <v>18821</v>
      </c>
      <c r="F1518" s="62" t="s">
        <v>776</v>
      </c>
      <c r="G1518" s="62" t="s">
        <v>53226</v>
      </c>
      <c r="J1518" s="62" t="s">
        <v>18822</v>
      </c>
      <c r="K1518" s="62" t="s">
        <v>53273</v>
      </c>
      <c r="L1518" s="62" t="s">
        <v>18823</v>
      </c>
      <c r="M1518" s="62" t="s">
        <v>18824</v>
      </c>
      <c r="N1518" s="62" t="s">
        <v>18825</v>
      </c>
      <c r="O1518" s="62" t="s">
        <v>18826</v>
      </c>
      <c r="P1518" s="62" t="s">
        <v>53320</v>
      </c>
      <c r="Q1518" s="62" t="s">
        <v>18827</v>
      </c>
      <c r="R1518" s="62" t="s">
        <v>18828</v>
      </c>
      <c r="S1518" s="62" t="s">
        <v>18829</v>
      </c>
      <c r="U1518" s="62" t="s">
        <v>18830</v>
      </c>
      <c r="V1518" s="62" t="s">
        <v>53367</v>
      </c>
      <c r="W1518" s="62" t="s">
        <v>18831</v>
      </c>
      <c r="X1518" s="62" t="s">
        <v>18832</v>
      </c>
      <c r="Y1518" s="62" t="s">
        <v>18833</v>
      </c>
      <c r="Z1518" s="62" t="s">
        <v>18834</v>
      </c>
      <c r="AA1518" s="62" t="s">
        <v>53414</v>
      </c>
      <c r="AB1518" s="62" t="s">
        <v>18835</v>
      </c>
      <c r="AC1518" s="62" t="s">
        <v>18836</v>
      </c>
      <c r="AD1518" s="62" t="s">
        <v>18837</v>
      </c>
    </row>
    <row r="1519" spans="1:30" x14ac:dyDescent="0.25">
      <c r="A1519" s="62" t="s">
        <v>109</v>
      </c>
      <c r="C1519" s="62" t="s">
        <v>18838</v>
      </c>
      <c r="F1519" s="62" t="s">
        <v>142</v>
      </c>
      <c r="G1519" s="62" t="s">
        <v>53227</v>
      </c>
      <c r="J1519" s="62" t="s">
        <v>18839</v>
      </c>
      <c r="K1519" s="62" t="s">
        <v>53274</v>
      </c>
      <c r="L1519" s="62" t="s">
        <v>18840</v>
      </c>
      <c r="M1519" s="62" t="s">
        <v>18841</v>
      </c>
      <c r="N1519" s="62" t="s">
        <v>18842</v>
      </c>
      <c r="O1519" s="62" t="s">
        <v>18843</v>
      </c>
      <c r="P1519" s="62" t="s">
        <v>53321</v>
      </c>
      <c r="Q1519" s="62" t="s">
        <v>18844</v>
      </c>
      <c r="R1519" s="62" t="s">
        <v>18845</v>
      </c>
      <c r="S1519" s="62" t="s">
        <v>18846</v>
      </c>
      <c r="U1519" s="62" t="s">
        <v>18847</v>
      </c>
      <c r="V1519" s="62" t="s">
        <v>53368</v>
      </c>
      <c r="W1519" s="62" t="s">
        <v>18848</v>
      </c>
      <c r="X1519" s="62" t="s">
        <v>18849</v>
      </c>
      <c r="Y1519" s="62" t="s">
        <v>18850</v>
      </c>
      <c r="Z1519" s="62" t="s">
        <v>18851</v>
      </c>
      <c r="AA1519" s="62" t="s">
        <v>53415</v>
      </c>
      <c r="AB1519" s="62" t="s">
        <v>18852</v>
      </c>
      <c r="AC1519" s="62" t="s">
        <v>18853</v>
      </c>
      <c r="AD1519" s="62" t="s">
        <v>18854</v>
      </c>
    </row>
    <row r="1520" spans="1:30" x14ac:dyDescent="0.25">
      <c r="A1520" s="62" t="s">
        <v>109</v>
      </c>
      <c r="C1520" s="62" t="s">
        <v>18855</v>
      </c>
      <c r="F1520" s="62" t="s">
        <v>802</v>
      </c>
      <c r="G1520" s="62" t="s">
        <v>53228</v>
      </c>
      <c r="J1520" s="62" t="s">
        <v>18856</v>
      </c>
      <c r="K1520" s="62" t="s">
        <v>53275</v>
      </c>
      <c r="L1520" s="62" t="s">
        <v>18857</v>
      </c>
      <c r="M1520" s="62" t="s">
        <v>18858</v>
      </c>
      <c r="N1520" s="62" t="s">
        <v>18859</v>
      </c>
      <c r="O1520" s="62" t="s">
        <v>18860</v>
      </c>
      <c r="P1520" s="62" t="s">
        <v>53322</v>
      </c>
      <c r="Q1520" s="62" t="s">
        <v>18861</v>
      </c>
      <c r="R1520" s="62" t="s">
        <v>18862</v>
      </c>
      <c r="S1520" s="62" t="s">
        <v>18863</v>
      </c>
      <c r="U1520" s="62" t="s">
        <v>18864</v>
      </c>
      <c r="V1520" s="62" t="s">
        <v>53369</v>
      </c>
      <c r="W1520" s="62" t="s">
        <v>18865</v>
      </c>
      <c r="X1520" s="62" t="s">
        <v>18866</v>
      </c>
      <c r="Y1520" s="62" t="s">
        <v>18867</v>
      </c>
      <c r="Z1520" s="62" t="s">
        <v>18868</v>
      </c>
      <c r="AA1520" s="62" t="s">
        <v>53416</v>
      </c>
      <c r="AB1520" s="62" t="s">
        <v>18869</v>
      </c>
      <c r="AC1520" s="62" t="s">
        <v>18870</v>
      </c>
      <c r="AD1520" s="62" t="s">
        <v>18871</v>
      </c>
    </row>
    <row r="1521" spans="1:30" x14ac:dyDescent="0.25">
      <c r="A1521" s="62" t="s">
        <v>109</v>
      </c>
      <c r="C1521" s="62" t="s">
        <v>18872</v>
      </c>
      <c r="F1521" s="62" t="s">
        <v>827</v>
      </c>
      <c r="G1521" s="62" t="s">
        <v>53229</v>
      </c>
      <c r="J1521" s="62" t="s">
        <v>18873</v>
      </c>
      <c r="K1521" s="62" t="s">
        <v>53276</v>
      </c>
      <c r="L1521" s="62" t="s">
        <v>18874</v>
      </c>
      <c r="M1521" s="62" t="s">
        <v>18875</v>
      </c>
      <c r="N1521" s="62" t="s">
        <v>18876</v>
      </c>
      <c r="O1521" s="62" t="s">
        <v>18877</v>
      </c>
      <c r="P1521" s="62" t="s">
        <v>53323</v>
      </c>
      <c r="Q1521" s="62" t="s">
        <v>18878</v>
      </c>
      <c r="R1521" s="62" t="s">
        <v>18879</v>
      </c>
      <c r="S1521" s="62" t="s">
        <v>18880</v>
      </c>
      <c r="U1521" s="62" t="s">
        <v>18881</v>
      </c>
      <c r="V1521" s="62" t="s">
        <v>53370</v>
      </c>
      <c r="W1521" s="62" t="s">
        <v>18882</v>
      </c>
      <c r="X1521" s="62" t="s">
        <v>18883</v>
      </c>
      <c r="Y1521" s="62" t="s">
        <v>18884</v>
      </c>
      <c r="Z1521" s="62" t="s">
        <v>18885</v>
      </c>
      <c r="AA1521" s="62" t="s">
        <v>53417</v>
      </c>
      <c r="AB1521" s="62" t="s">
        <v>18886</v>
      </c>
      <c r="AC1521" s="62" t="s">
        <v>18887</v>
      </c>
      <c r="AD1521" s="62" t="s">
        <v>18888</v>
      </c>
    </row>
    <row r="1522" spans="1:30" x14ac:dyDescent="0.25">
      <c r="A1522" s="62" t="s">
        <v>109</v>
      </c>
      <c r="C1522" s="62" t="s">
        <v>18889</v>
      </c>
      <c r="F1522" s="62" t="s">
        <v>837</v>
      </c>
      <c r="G1522" s="62" t="s">
        <v>53230</v>
      </c>
      <c r="J1522" s="62" t="s">
        <v>18890</v>
      </c>
      <c r="K1522" s="62" t="s">
        <v>53277</v>
      </c>
      <c r="L1522" s="62" t="s">
        <v>18891</v>
      </c>
      <c r="M1522" s="62" t="s">
        <v>18892</v>
      </c>
      <c r="N1522" s="62" t="s">
        <v>18893</v>
      </c>
      <c r="O1522" s="62" t="s">
        <v>18894</v>
      </c>
      <c r="P1522" s="62" t="s">
        <v>53324</v>
      </c>
      <c r="Q1522" s="62" t="s">
        <v>18895</v>
      </c>
      <c r="R1522" s="62" t="s">
        <v>18896</v>
      </c>
      <c r="S1522" s="62" t="s">
        <v>18897</v>
      </c>
      <c r="U1522" s="62" t="s">
        <v>18898</v>
      </c>
      <c r="V1522" s="62" t="s">
        <v>53371</v>
      </c>
      <c r="W1522" s="62" t="s">
        <v>18899</v>
      </c>
      <c r="X1522" s="62" t="s">
        <v>18900</v>
      </c>
      <c r="Y1522" s="62" t="s">
        <v>18901</v>
      </c>
      <c r="Z1522" s="62" t="s">
        <v>18902</v>
      </c>
      <c r="AA1522" s="62" t="s">
        <v>53418</v>
      </c>
      <c r="AB1522" s="62" t="s">
        <v>18903</v>
      </c>
      <c r="AC1522" s="62" t="s">
        <v>18904</v>
      </c>
      <c r="AD1522" s="62" t="s">
        <v>18905</v>
      </c>
    </row>
    <row r="1523" spans="1:30" x14ac:dyDescent="0.25">
      <c r="A1523" s="62" t="s">
        <v>109</v>
      </c>
      <c r="C1523" s="62" t="s">
        <v>18906</v>
      </c>
      <c r="F1523" s="62" t="s">
        <v>855</v>
      </c>
      <c r="G1523" s="62" t="s">
        <v>53231</v>
      </c>
      <c r="J1523" s="62" t="s">
        <v>18907</v>
      </c>
      <c r="K1523" s="62" t="s">
        <v>53278</v>
      </c>
      <c r="L1523" s="62" t="s">
        <v>18908</v>
      </c>
      <c r="M1523" s="62" t="s">
        <v>18909</v>
      </c>
      <c r="N1523" s="62" t="s">
        <v>18910</v>
      </c>
      <c r="O1523" s="62" t="s">
        <v>18911</v>
      </c>
      <c r="P1523" s="62" t="s">
        <v>53325</v>
      </c>
      <c r="Q1523" s="62" t="s">
        <v>18912</v>
      </c>
      <c r="R1523" s="62" t="s">
        <v>18913</v>
      </c>
      <c r="S1523" s="62" t="s">
        <v>18914</v>
      </c>
      <c r="U1523" s="62" t="s">
        <v>18915</v>
      </c>
      <c r="V1523" s="62" t="s">
        <v>53372</v>
      </c>
      <c r="W1523" s="62" t="s">
        <v>18916</v>
      </c>
      <c r="X1523" s="62" t="s">
        <v>18917</v>
      </c>
      <c r="Y1523" s="62" t="s">
        <v>18918</v>
      </c>
      <c r="Z1523" s="62" t="s">
        <v>18919</v>
      </c>
      <c r="AA1523" s="62" t="s">
        <v>53419</v>
      </c>
      <c r="AB1523" s="62" t="s">
        <v>18920</v>
      </c>
      <c r="AC1523" s="62" t="s">
        <v>18921</v>
      </c>
      <c r="AD1523" s="62" t="s">
        <v>18922</v>
      </c>
    </row>
    <row r="1524" spans="1:30" x14ac:dyDescent="0.25">
      <c r="A1524" s="62" t="s">
        <v>109</v>
      </c>
      <c r="C1524" s="62" t="s">
        <v>18923</v>
      </c>
      <c r="F1524" s="62" t="s">
        <v>872</v>
      </c>
      <c r="G1524" s="62" t="s">
        <v>53232</v>
      </c>
      <c r="J1524" s="62" t="s">
        <v>18924</v>
      </c>
      <c r="K1524" s="62" t="s">
        <v>53279</v>
      </c>
      <c r="L1524" s="62" t="s">
        <v>18925</v>
      </c>
      <c r="M1524" s="62" t="s">
        <v>18926</v>
      </c>
      <c r="N1524" s="62" t="s">
        <v>18927</v>
      </c>
      <c r="O1524" s="62" t="s">
        <v>18928</v>
      </c>
      <c r="P1524" s="62" t="s">
        <v>53326</v>
      </c>
      <c r="Q1524" s="62" t="s">
        <v>18929</v>
      </c>
      <c r="R1524" s="62" t="s">
        <v>18930</v>
      </c>
      <c r="S1524" s="62" t="s">
        <v>18931</v>
      </c>
      <c r="U1524" s="62" t="s">
        <v>18932</v>
      </c>
      <c r="V1524" s="62" t="s">
        <v>53373</v>
      </c>
      <c r="W1524" s="62" t="s">
        <v>18933</v>
      </c>
      <c r="X1524" s="62" t="s">
        <v>18934</v>
      </c>
      <c r="Y1524" s="62" t="s">
        <v>18935</v>
      </c>
      <c r="Z1524" s="62" t="s">
        <v>18936</v>
      </c>
      <c r="AA1524" s="62" t="s">
        <v>53420</v>
      </c>
      <c r="AB1524" s="62" t="s">
        <v>18937</v>
      </c>
      <c r="AC1524" s="62" t="s">
        <v>18938</v>
      </c>
      <c r="AD1524" s="62" t="s">
        <v>18939</v>
      </c>
    </row>
    <row r="1525" spans="1:30" x14ac:dyDescent="0.25">
      <c r="A1525" s="62" t="s">
        <v>109</v>
      </c>
      <c r="C1525" s="62" t="s">
        <v>18940</v>
      </c>
      <c r="F1525" s="62" t="s">
        <v>898</v>
      </c>
      <c r="G1525" s="62" t="s">
        <v>53233</v>
      </c>
      <c r="J1525" s="62" t="s">
        <v>18941</v>
      </c>
      <c r="K1525" s="62" t="s">
        <v>53280</v>
      </c>
      <c r="L1525" s="62" t="s">
        <v>18942</v>
      </c>
      <c r="M1525" s="62" t="s">
        <v>18943</v>
      </c>
      <c r="N1525" s="62" t="s">
        <v>18944</v>
      </c>
      <c r="O1525" s="62" t="s">
        <v>18945</v>
      </c>
      <c r="P1525" s="62" t="s">
        <v>53327</v>
      </c>
      <c r="Q1525" s="62" t="s">
        <v>18946</v>
      </c>
      <c r="R1525" s="62" t="s">
        <v>18947</v>
      </c>
      <c r="S1525" s="62" t="s">
        <v>18948</v>
      </c>
      <c r="U1525" s="62" t="s">
        <v>18949</v>
      </c>
      <c r="V1525" s="62" t="s">
        <v>53374</v>
      </c>
      <c r="W1525" s="62" t="s">
        <v>18950</v>
      </c>
      <c r="X1525" s="62" t="s">
        <v>18951</v>
      </c>
      <c r="Y1525" s="62" t="s">
        <v>18952</v>
      </c>
      <c r="Z1525" s="62" t="s">
        <v>18953</v>
      </c>
      <c r="AA1525" s="62" t="s">
        <v>53421</v>
      </c>
      <c r="AB1525" s="62" t="s">
        <v>18954</v>
      </c>
      <c r="AC1525" s="62" t="s">
        <v>18955</v>
      </c>
      <c r="AD1525" s="62" t="s">
        <v>18956</v>
      </c>
    </row>
    <row r="1526" spans="1:30" x14ac:dyDescent="0.25">
      <c r="A1526" s="62" t="s">
        <v>109</v>
      </c>
      <c r="C1526" s="62" t="s">
        <v>18957</v>
      </c>
      <c r="F1526" s="62" t="s">
        <v>915</v>
      </c>
      <c r="G1526" s="62" t="s">
        <v>53234</v>
      </c>
      <c r="J1526" s="62" t="s">
        <v>18958</v>
      </c>
      <c r="K1526" s="62" t="s">
        <v>53281</v>
      </c>
      <c r="L1526" s="62" t="s">
        <v>18959</v>
      </c>
      <c r="M1526" s="62" t="s">
        <v>18960</v>
      </c>
      <c r="N1526" s="62" t="s">
        <v>18961</v>
      </c>
      <c r="O1526" s="62" t="s">
        <v>18962</v>
      </c>
      <c r="P1526" s="62" t="s">
        <v>53328</v>
      </c>
      <c r="Q1526" s="62" t="s">
        <v>18963</v>
      </c>
      <c r="R1526" s="62" t="s">
        <v>18964</v>
      </c>
      <c r="S1526" s="62" t="s">
        <v>18965</v>
      </c>
      <c r="U1526" s="62" t="s">
        <v>18966</v>
      </c>
      <c r="V1526" s="62" t="s">
        <v>53375</v>
      </c>
      <c r="W1526" s="62" t="s">
        <v>18967</v>
      </c>
      <c r="X1526" s="62" t="s">
        <v>18968</v>
      </c>
      <c r="Y1526" s="62" t="s">
        <v>18969</v>
      </c>
      <c r="Z1526" s="62" t="s">
        <v>18970</v>
      </c>
      <c r="AA1526" s="62" t="s">
        <v>53422</v>
      </c>
      <c r="AB1526" s="62" t="s">
        <v>18971</v>
      </c>
      <c r="AC1526" s="62" t="s">
        <v>18972</v>
      </c>
      <c r="AD1526" s="62" t="s">
        <v>18973</v>
      </c>
    </row>
    <row r="1527" spans="1:30" x14ac:dyDescent="0.25">
      <c r="A1527" s="62" t="s">
        <v>109</v>
      </c>
      <c r="C1527" s="62" t="s">
        <v>18974</v>
      </c>
      <c r="F1527" s="62" t="s">
        <v>925</v>
      </c>
      <c r="G1527" s="62" t="s">
        <v>53235</v>
      </c>
      <c r="J1527" s="62" t="s">
        <v>18975</v>
      </c>
      <c r="K1527" s="62" t="s">
        <v>53282</v>
      </c>
      <c r="L1527" s="62" t="s">
        <v>18976</v>
      </c>
      <c r="M1527" s="62" t="s">
        <v>18977</v>
      </c>
      <c r="N1527" s="62" t="s">
        <v>18978</v>
      </c>
      <c r="O1527" s="62" t="s">
        <v>18979</v>
      </c>
      <c r="P1527" s="62" t="s">
        <v>53329</v>
      </c>
      <c r="Q1527" s="62" t="s">
        <v>18980</v>
      </c>
      <c r="R1527" s="62" t="s">
        <v>18981</v>
      </c>
      <c r="S1527" s="62" t="s">
        <v>18982</v>
      </c>
      <c r="U1527" s="62" t="s">
        <v>18983</v>
      </c>
      <c r="V1527" s="62" t="s">
        <v>53376</v>
      </c>
      <c r="W1527" s="62" t="s">
        <v>18984</v>
      </c>
      <c r="X1527" s="62" t="s">
        <v>18985</v>
      </c>
      <c r="Y1527" s="62" t="s">
        <v>18986</v>
      </c>
      <c r="Z1527" s="62" t="s">
        <v>18987</v>
      </c>
      <c r="AA1527" s="62" t="s">
        <v>53423</v>
      </c>
      <c r="AB1527" s="62" t="s">
        <v>18988</v>
      </c>
      <c r="AC1527" s="62" t="s">
        <v>18989</v>
      </c>
      <c r="AD1527" s="62" t="s">
        <v>18990</v>
      </c>
    </row>
    <row r="1528" spans="1:30" x14ac:dyDescent="0.25">
      <c r="A1528" s="62" t="s">
        <v>109</v>
      </c>
      <c r="C1528" s="62" t="s">
        <v>18991</v>
      </c>
      <c r="F1528" s="62" t="s">
        <v>943</v>
      </c>
      <c r="G1528" s="62" t="s">
        <v>53236</v>
      </c>
      <c r="J1528" s="62" t="s">
        <v>18992</v>
      </c>
      <c r="K1528" s="62" t="s">
        <v>53283</v>
      </c>
      <c r="L1528" s="62" t="s">
        <v>18993</v>
      </c>
      <c r="M1528" s="62" t="s">
        <v>18994</v>
      </c>
      <c r="N1528" s="62" t="s">
        <v>18995</v>
      </c>
      <c r="O1528" s="62" t="s">
        <v>18996</v>
      </c>
      <c r="P1528" s="62" t="s">
        <v>53330</v>
      </c>
      <c r="Q1528" s="62" t="s">
        <v>18997</v>
      </c>
      <c r="R1528" s="62" t="s">
        <v>18998</v>
      </c>
      <c r="S1528" s="62" t="s">
        <v>18999</v>
      </c>
      <c r="U1528" s="62" t="s">
        <v>19000</v>
      </c>
      <c r="V1528" s="62" t="s">
        <v>53377</v>
      </c>
      <c r="W1528" s="62" t="s">
        <v>19001</v>
      </c>
      <c r="X1528" s="62" t="s">
        <v>19002</v>
      </c>
      <c r="Y1528" s="62" t="s">
        <v>19003</v>
      </c>
      <c r="Z1528" s="62" t="s">
        <v>19004</v>
      </c>
      <c r="AA1528" s="62" t="s">
        <v>53424</v>
      </c>
      <c r="AB1528" s="62" t="s">
        <v>19005</v>
      </c>
      <c r="AC1528" s="62" t="s">
        <v>19006</v>
      </c>
      <c r="AD1528" s="62" t="s">
        <v>19007</v>
      </c>
    </row>
    <row r="1529" spans="1:30" x14ac:dyDescent="0.25">
      <c r="A1529" s="62" t="s">
        <v>109</v>
      </c>
      <c r="C1529" s="62" t="s">
        <v>19008</v>
      </c>
      <c r="F1529" s="62" t="s">
        <v>176</v>
      </c>
      <c r="G1529" s="62" t="s">
        <v>53237</v>
      </c>
      <c r="J1529" s="62" t="s">
        <v>19009</v>
      </c>
      <c r="K1529" s="62" t="s">
        <v>53284</v>
      </c>
      <c r="L1529" s="62" t="s">
        <v>19010</v>
      </c>
      <c r="M1529" s="62" t="s">
        <v>19011</v>
      </c>
      <c r="N1529" s="62" t="s">
        <v>19012</v>
      </c>
      <c r="O1529" s="62" t="s">
        <v>19013</v>
      </c>
      <c r="P1529" s="62" t="s">
        <v>53331</v>
      </c>
      <c r="Q1529" s="62" t="s">
        <v>19014</v>
      </c>
      <c r="R1529" s="62" t="s">
        <v>19015</v>
      </c>
      <c r="S1529" s="62" t="s">
        <v>19016</v>
      </c>
      <c r="U1529" s="62" t="s">
        <v>19017</v>
      </c>
      <c r="V1529" s="62" t="s">
        <v>53378</v>
      </c>
      <c r="W1529" s="62" t="s">
        <v>19018</v>
      </c>
      <c r="X1529" s="62" t="s">
        <v>19019</v>
      </c>
      <c r="Y1529" s="62" t="s">
        <v>19020</v>
      </c>
      <c r="Z1529" s="62" t="s">
        <v>19021</v>
      </c>
      <c r="AA1529" s="62" t="s">
        <v>53425</v>
      </c>
      <c r="AB1529" s="62" t="s">
        <v>19022</v>
      </c>
      <c r="AC1529" s="62" t="s">
        <v>19023</v>
      </c>
      <c r="AD1529" s="62" t="s">
        <v>19024</v>
      </c>
    </row>
    <row r="1530" spans="1:30" x14ac:dyDescent="0.25">
      <c r="A1530" s="62" t="s">
        <v>109</v>
      </c>
      <c r="C1530" s="62" t="s">
        <v>19025</v>
      </c>
      <c r="F1530" s="62" t="s">
        <v>976</v>
      </c>
      <c r="G1530" s="62" t="s">
        <v>53238</v>
      </c>
      <c r="J1530" s="62" t="s">
        <v>19026</v>
      </c>
      <c r="K1530" s="62" t="s">
        <v>53285</v>
      </c>
      <c r="L1530" s="62" t="s">
        <v>19027</v>
      </c>
      <c r="M1530" s="62" t="s">
        <v>19028</v>
      </c>
      <c r="N1530" s="62" t="s">
        <v>19029</v>
      </c>
      <c r="O1530" s="62" t="s">
        <v>19030</v>
      </c>
      <c r="P1530" s="62" t="s">
        <v>53332</v>
      </c>
      <c r="Q1530" s="62" t="s">
        <v>19031</v>
      </c>
      <c r="R1530" s="62" t="s">
        <v>19032</v>
      </c>
      <c r="S1530" s="62" t="s">
        <v>19033</v>
      </c>
      <c r="U1530" s="62" t="s">
        <v>19034</v>
      </c>
      <c r="V1530" s="62" t="s">
        <v>53379</v>
      </c>
      <c r="W1530" s="62" t="s">
        <v>19035</v>
      </c>
      <c r="X1530" s="62" t="s">
        <v>19036</v>
      </c>
      <c r="Y1530" s="62" t="s">
        <v>19037</v>
      </c>
      <c r="Z1530" s="62" t="s">
        <v>19038</v>
      </c>
      <c r="AA1530" s="62" t="s">
        <v>53426</v>
      </c>
      <c r="AB1530" s="62" t="s">
        <v>19039</v>
      </c>
      <c r="AC1530" s="62" t="s">
        <v>19040</v>
      </c>
      <c r="AD1530" s="62" t="s">
        <v>19041</v>
      </c>
    </row>
    <row r="1531" spans="1:30" x14ac:dyDescent="0.25">
      <c r="A1531" s="62" t="s">
        <v>109</v>
      </c>
      <c r="C1531" s="62" t="s">
        <v>19042</v>
      </c>
      <c r="F1531" s="62" t="s">
        <v>985</v>
      </c>
      <c r="G1531" s="62" t="s">
        <v>53239</v>
      </c>
      <c r="J1531" s="62" t="s">
        <v>19043</v>
      </c>
      <c r="K1531" s="62" t="s">
        <v>53286</v>
      </c>
      <c r="L1531" s="62" t="s">
        <v>19044</v>
      </c>
      <c r="M1531" s="62" t="s">
        <v>19045</v>
      </c>
      <c r="N1531" s="62" t="s">
        <v>19046</v>
      </c>
      <c r="O1531" s="62" t="s">
        <v>19047</v>
      </c>
      <c r="P1531" s="62" t="s">
        <v>53333</v>
      </c>
      <c r="Q1531" s="62" t="s">
        <v>19048</v>
      </c>
      <c r="R1531" s="62" t="s">
        <v>19049</v>
      </c>
      <c r="S1531" s="62" t="s">
        <v>19050</v>
      </c>
      <c r="U1531" s="62" t="s">
        <v>19051</v>
      </c>
      <c r="V1531" s="62" t="s">
        <v>53380</v>
      </c>
      <c r="W1531" s="62" t="s">
        <v>19052</v>
      </c>
      <c r="X1531" s="62" t="s">
        <v>19053</v>
      </c>
      <c r="Y1531" s="62" t="s">
        <v>19054</v>
      </c>
      <c r="Z1531" s="62" t="s">
        <v>19055</v>
      </c>
      <c r="AA1531" s="62" t="s">
        <v>53427</v>
      </c>
      <c r="AB1531" s="62" t="s">
        <v>19056</v>
      </c>
      <c r="AC1531" s="62" t="s">
        <v>19057</v>
      </c>
      <c r="AD1531" s="62" t="s">
        <v>19058</v>
      </c>
    </row>
    <row r="1532" spans="1:30" x14ac:dyDescent="0.25">
      <c r="A1532" s="62" t="s">
        <v>109</v>
      </c>
      <c r="C1532" s="62" t="s">
        <v>43469</v>
      </c>
      <c r="F1532" s="62" t="s">
        <v>1002</v>
      </c>
      <c r="G1532" s="62" t="s">
        <v>53240</v>
      </c>
      <c r="J1532" s="62" t="s">
        <v>43470</v>
      </c>
      <c r="K1532" s="62" t="s">
        <v>53287</v>
      </c>
      <c r="L1532" s="62" t="s">
        <v>43471</v>
      </c>
      <c r="M1532" s="62" t="s">
        <v>43472</v>
      </c>
      <c r="N1532" s="62" t="s">
        <v>43473</v>
      </c>
      <c r="O1532" s="62" t="s">
        <v>43474</v>
      </c>
      <c r="P1532" s="62" t="s">
        <v>53334</v>
      </c>
      <c r="Q1532" s="62" t="s">
        <v>43475</v>
      </c>
      <c r="R1532" s="62" t="s">
        <v>43476</v>
      </c>
      <c r="S1532" s="62" t="s">
        <v>43477</v>
      </c>
      <c r="U1532" s="62" t="s">
        <v>43478</v>
      </c>
      <c r="V1532" s="62" t="s">
        <v>53381</v>
      </c>
      <c r="W1532" s="62" t="s">
        <v>43479</v>
      </c>
      <c r="X1532" s="62" t="s">
        <v>43480</v>
      </c>
      <c r="Y1532" s="62" t="s">
        <v>43481</v>
      </c>
      <c r="Z1532" s="62" t="s">
        <v>43482</v>
      </c>
      <c r="AA1532" s="62" t="s">
        <v>53428</v>
      </c>
      <c r="AB1532" s="62" t="s">
        <v>43483</v>
      </c>
      <c r="AC1532" s="62" t="s">
        <v>43484</v>
      </c>
      <c r="AD1532" s="62" t="s">
        <v>43485</v>
      </c>
    </row>
    <row r="1533" spans="1:30" x14ac:dyDescent="0.25">
      <c r="A1533" s="62" t="s">
        <v>109</v>
      </c>
      <c r="C1533" s="62" t="s">
        <v>19059</v>
      </c>
      <c r="F1533" s="62" t="s">
        <v>1012</v>
      </c>
      <c r="G1533" s="62" t="s">
        <v>53241</v>
      </c>
      <c r="J1533" s="62" t="s">
        <v>43486</v>
      </c>
      <c r="K1533" s="62" t="s">
        <v>53288</v>
      </c>
      <c r="L1533" s="62" t="s">
        <v>43487</v>
      </c>
      <c r="M1533" s="62" t="s">
        <v>19060</v>
      </c>
      <c r="N1533" s="62" t="s">
        <v>19061</v>
      </c>
      <c r="O1533" s="62" t="s">
        <v>43488</v>
      </c>
      <c r="P1533" s="62" t="s">
        <v>53335</v>
      </c>
      <c r="Q1533" s="62" t="s">
        <v>43489</v>
      </c>
      <c r="R1533" s="62" t="s">
        <v>19062</v>
      </c>
      <c r="S1533" s="62" t="s">
        <v>19063</v>
      </c>
      <c r="U1533" s="62" t="s">
        <v>43490</v>
      </c>
      <c r="V1533" s="62" t="s">
        <v>53382</v>
      </c>
      <c r="W1533" s="62" t="s">
        <v>43491</v>
      </c>
      <c r="X1533" s="62" t="s">
        <v>19064</v>
      </c>
      <c r="Y1533" s="62" t="s">
        <v>19065</v>
      </c>
      <c r="Z1533" s="62" t="s">
        <v>43492</v>
      </c>
      <c r="AA1533" s="62" t="s">
        <v>53429</v>
      </c>
      <c r="AB1533" s="62" t="s">
        <v>43493</v>
      </c>
      <c r="AC1533" s="62" t="s">
        <v>19066</v>
      </c>
      <c r="AD1533" s="62" t="s">
        <v>19067</v>
      </c>
    </row>
    <row r="1534" spans="1:30" x14ac:dyDescent="0.25">
      <c r="A1534" s="62" t="s">
        <v>109</v>
      </c>
      <c r="C1534" s="62" t="s">
        <v>43494</v>
      </c>
      <c r="F1534" s="62" t="s">
        <v>1030</v>
      </c>
      <c r="G1534" s="62" t="s">
        <v>53242</v>
      </c>
      <c r="J1534" s="62" t="s">
        <v>43495</v>
      </c>
      <c r="K1534" s="62" t="s">
        <v>53289</v>
      </c>
      <c r="L1534" s="62" t="s">
        <v>43496</v>
      </c>
      <c r="M1534" s="62" t="s">
        <v>43497</v>
      </c>
      <c r="N1534" s="62" t="s">
        <v>43498</v>
      </c>
      <c r="O1534" s="62" t="s">
        <v>43499</v>
      </c>
      <c r="P1534" s="62" t="s">
        <v>53336</v>
      </c>
      <c r="Q1534" s="62" t="s">
        <v>43500</v>
      </c>
      <c r="R1534" s="62" t="s">
        <v>43501</v>
      </c>
      <c r="S1534" s="62" t="s">
        <v>43502</v>
      </c>
      <c r="U1534" s="62" t="s">
        <v>43503</v>
      </c>
      <c r="V1534" s="62" t="s">
        <v>53383</v>
      </c>
      <c r="W1534" s="62" t="s">
        <v>43504</v>
      </c>
      <c r="X1534" s="62" t="s">
        <v>43505</v>
      </c>
      <c r="Y1534" s="62" t="s">
        <v>43506</v>
      </c>
      <c r="Z1534" s="62" t="s">
        <v>43507</v>
      </c>
      <c r="AA1534" s="62" t="s">
        <v>53430</v>
      </c>
      <c r="AB1534" s="62" t="s">
        <v>43508</v>
      </c>
      <c r="AC1534" s="62" t="s">
        <v>43509</v>
      </c>
      <c r="AD1534" s="62" t="s">
        <v>43510</v>
      </c>
    </row>
    <row r="1535" spans="1:30" x14ac:dyDescent="0.25">
      <c r="A1535" s="62" t="s">
        <v>109</v>
      </c>
      <c r="C1535" s="62" t="s">
        <v>43511</v>
      </c>
      <c r="F1535" s="62" t="s">
        <v>1047</v>
      </c>
      <c r="G1535" s="62" t="s">
        <v>53243</v>
      </c>
      <c r="J1535" s="62" t="s">
        <v>43512</v>
      </c>
      <c r="K1535" s="62" t="s">
        <v>53290</v>
      </c>
      <c r="L1535" s="62" t="s">
        <v>43513</v>
      </c>
      <c r="M1535" s="62" t="s">
        <v>43514</v>
      </c>
      <c r="N1535" s="62" t="s">
        <v>43515</v>
      </c>
      <c r="O1535" s="62" t="s">
        <v>43516</v>
      </c>
      <c r="P1535" s="62" t="s">
        <v>53337</v>
      </c>
      <c r="Q1535" s="62" t="s">
        <v>43517</v>
      </c>
      <c r="R1535" s="62" t="s">
        <v>43518</v>
      </c>
      <c r="S1535" s="62" t="s">
        <v>43519</v>
      </c>
      <c r="U1535" s="62" t="s">
        <v>43520</v>
      </c>
      <c r="V1535" s="62" t="s">
        <v>53384</v>
      </c>
      <c r="W1535" s="62" t="s">
        <v>43521</v>
      </c>
      <c r="X1535" s="62" t="s">
        <v>43522</v>
      </c>
      <c r="Y1535" s="62" t="s">
        <v>43523</v>
      </c>
      <c r="Z1535" s="62" t="s">
        <v>43524</v>
      </c>
      <c r="AA1535" s="62" t="s">
        <v>53431</v>
      </c>
      <c r="AB1535" s="62" t="s">
        <v>43525</v>
      </c>
      <c r="AC1535" s="62" t="s">
        <v>43526</v>
      </c>
      <c r="AD1535" s="62" t="s">
        <v>43527</v>
      </c>
    </row>
    <row r="1536" spans="1:30" x14ac:dyDescent="0.25">
      <c r="A1536" s="62" t="s">
        <v>109</v>
      </c>
      <c r="C1536" s="62" t="s">
        <v>19069</v>
      </c>
      <c r="F1536" s="62" t="s">
        <v>1064</v>
      </c>
      <c r="G1536" s="62" t="s">
        <v>53244</v>
      </c>
      <c r="J1536" s="62" t="s">
        <v>43528</v>
      </c>
      <c r="K1536" s="62" t="s">
        <v>53291</v>
      </c>
      <c r="L1536" s="62" t="s">
        <v>43529</v>
      </c>
      <c r="M1536" s="62" t="s">
        <v>43530</v>
      </c>
      <c r="N1536" s="62" t="s">
        <v>43531</v>
      </c>
      <c r="O1536" s="62" t="s">
        <v>43532</v>
      </c>
      <c r="P1536" s="62" t="s">
        <v>53338</v>
      </c>
      <c r="Q1536" s="62" t="s">
        <v>43533</v>
      </c>
      <c r="R1536" s="62" t="s">
        <v>43534</v>
      </c>
      <c r="S1536" s="62" t="s">
        <v>43535</v>
      </c>
      <c r="U1536" s="62" t="s">
        <v>43536</v>
      </c>
      <c r="V1536" s="62" t="s">
        <v>53385</v>
      </c>
      <c r="W1536" s="62" t="s">
        <v>43537</v>
      </c>
      <c r="X1536" s="62" t="s">
        <v>43538</v>
      </c>
      <c r="Y1536" s="62" t="s">
        <v>43539</v>
      </c>
      <c r="Z1536" s="62" t="s">
        <v>43540</v>
      </c>
      <c r="AA1536" s="62" t="s">
        <v>53432</v>
      </c>
      <c r="AB1536" s="62" t="s">
        <v>43541</v>
      </c>
      <c r="AC1536" s="62" t="s">
        <v>43542</v>
      </c>
      <c r="AD1536" s="62" t="s">
        <v>43543</v>
      </c>
    </row>
    <row r="1537" spans="1:30" x14ac:dyDescent="0.25">
      <c r="A1537" s="62" t="s">
        <v>109</v>
      </c>
      <c r="C1537" s="62" t="s">
        <v>19070</v>
      </c>
      <c r="F1537" s="62" t="s">
        <v>1073</v>
      </c>
      <c r="G1537" s="62" t="s">
        <v>53245</v>
      </c>
      <c r="J1537" s="62" t="s">
        <v>19071</v>
      </c>
      <c r="K1537" s="62" t="s">
        <v>53292</v>
      </c>
      <c r="L1537" s="62" t="s">
        <v>19072</v>
      </c>
      <c r="M1537" s="62" t="s">
        <v>19073</v>
      </c>
      <c r="N1537" s="62" t="s">
        <v>19074</v>
      </c>
      <c r="O1537" s="62" t="s">
        <v>19075</v>
      </c>
      <c r="P1537" s="62" t="s">
        <v>53339</v>
      </c>
      <c r="Q1537" s="62" t="s">
        <v>19076</v>
      </c>
      <c r="R1537" s="62" t="s">
        <v>19077</v>
      </c>
      <c r="S1537" s="62" t="s">
        <v>19078</v>
      </c>
      <c r="U1537" s="62" t="s">
        <v>19079</v>
      </c>
      <c r="V1537" s="62" t="s">
        <v>53386</v>
      </c>
      <c r="W1537" s="62" t="s">
        <v>19080</v>
      </c>
      <c r="X1537" s="62" t="s">
        <v>19081</v>
      </c>
      <c r="Y1537" s="62" t="s">
        <v>19082</v>
      </c>
      <c r="Z1537" s="62" t="s">
        <v>19083</v>
      </c>
      <c r="AA1537" s="62" t="s">
        <v>53433</v>
      </c>
      <c r="AB1537" s="62" t="s">
        <v>19084</v>
      </c>
      <c r="AC1537" s="62" t="s">
        <v>19085</v>
      </c>
      <c r="AD1537" s="62" t="s">
        <v>19086</v>
      </c>
    </row>
    <row r="1538" spans="1:30" x14ac:dyDescent="0.25">
      <c r="A1538" s="62" t="s">
        <v>109</v>
      </c>
      <c r="C1538" s="62" t="s">
        <v>19087</v>
      </c>
      <c r="F1538" s="62" t="s">
        <v>1090</v>
      </c>
      <c r="G1538" s="62" t="s">
        <v>53246</v>
      </c>
      <c r="J1538" s="62" t="s">
        <v>19088</v>
      </c>
      <c r="K1538" s="62" t="s">
        <v>53293</v>
      </c>
      <c r="L1538" s="62" t="s">
        <v>19089</v>
      </c>
      <c r="M1538" s="62" t="s">
        <v>19090</v>
      </c>
      <c r="N1538" s="62" t="s">
        <v>19091</v>
      </c>
      <c r="O1538" s="62" t="s">
        <v>19092</v>
      </c>
      <c r="P1538" s="62" t="s">
        <v>53340</v>
      </c>
      <c r="Q1538" s="62" t="s">
        <v>19093</v>
      </c>
      <c r="R1538" s="62" t="s">
        <v>19094</v>
      </c>
      <c r="S1538" s="62" t="s">
        <v>19095</v>
      </c>
      <c r="U1538" s="62" t="s">
        <v>19096</v>
      </c>
      <c r="V1538" s="62" t="s">
        <v>53387</v>
      </c>
      <c r="W1538" s="62" t="s">
        <v>19097</v>
      </c>
      <c r="X1538" s="62" t="s">
        <v>19098</v>
      </c>
      <c r="Y1538" s="62" t="s">
        <v>19099</v>
      </c>
      <c r="Z1538" s="62" t="s">
        <v>19100</v>
      </c>
      <c r="AA1538" s="62" t="s">
        <v>53434</v>
      </c>
      <c r="AB1538" s="62" t="s">
        <v>19101</v>
      </c>
      <c r="AC1538" s="62" t="s">
        <v>19102</v>
      </c>
      <c r="AD1538" s="62" t="s">
        <v>19103</v>
      </c>
    </row>
    <row r="1539" spans="1:30" x14ac:dyDescent="0.25">
      <c r="A1539" s="62" t="s">
        <v>109</v>
      </c>
      <c r="C1539" s="62" t="s">
        <v>19104</v>
      </c>
      <c r="F1539" s="62" t="s">
        <v>1100</v>
      </c>
      <c r="G1539" s="62" t="s">
        <v>53247</v>
      </c>
      <c r="J1539" s="62" t="s">
        <v>19105</v>
      </c>
      <c r="K1539" s="62" t="s">
        <v>53294</v>
      </c>
      <c r="L1539" s="62" t="s">
        <v>19106</v>
      </c>
      <c r="M1539" s="62" t="s">
        <v>19107</v>
      </c>
      <c r="N1539" s="62" t="s">
        <v>19108</v>
      </c>
      <c r="O1539" s="62" t="s">
        <v>19109</v>
      </c>
      <c r="P1539" s="62" t="s">
        <v>53341</v>
      </c>
      <c r="Q1539" s="62" t="s">
        <v>19110</v>
      </c>
      <c r="R1539" s="62" t="s">
        <v>19111</v>
      </c>
      <c r="S1539" s="62" t="s">
        <v>19112</v>
      </c>
      <c r="U1539" s="62" t="s">
        <v>19113</v>
      </c>
      <c r="V1539" s="62" t="s">
        <v>53388</v>
      </c>
      <c r="W1539" s="62" t="s">
        <v>19114</v>
      </c>
      <c r="X1539" s="62" t="s">
        <v>19115</v>
      </c>
      <c r="Y1539" s="62" t="s">
        <v>19116</v>
      </c>
      <c r="Z1539" s="62" t="s">
        <v>19117</v>
      </c>
      <c r="AA1539" s="62" t="s">
        <v>53435</v>
      </c>
      <c r="AB1539" s="62" t="s">
        <v>19118</v>
      </c>
      <c r="AC1539" s="62" t="s">
        <v>19119</v>
      </c>
      <c r="AD1539" s="62" t="s">
        <v>19120</v>
      </c>
    </row>
    <row r="1540" spans="1:30" x14ac:dyDescent="0.25">
      <c r="A1540" s="62" t="s">
        <v>109</v>
      </c>
      <c r="C1540" s="62" t="s">
        <v>19121</v>
      </c>
      <c r="F1540" s="62" t="s">
        <v>1118</v>
      </c>
      <c r="G1540" s="62" t="s">
        <v>53248</v>
      </c>
      <c r="J1540" s="62" t="s">
        <v>19122</v>
      </c>
      <c r="K1540" s="62" t="s">
        <v>53295</v>
      </c>
      <c r="L1540" s="62" t="s">
        <v>19123</v>
      </c>
      <c r="M1540" s="62" t="s">
        <v>19124</v>
      </c>
      <c r="N1540" s="62" t="s">
        <v>19125</v>
      </c>
      <c r="O1540" s="62" t="s">
        <v>19126</v>
      </c>
      <c r="P1540" s="62" t="s">
        <v>53342</v>
      </c>
      <c r="Q1540" s="62" t="s">
        <v>19127</v>
      </c>
      <c r="R1540" s="62" t="s">
        <v>19128</v>
      </c>
      <c r="S1540" s="62" t="s">
        <v>19129</v>
      </c>
      <c r="U1540" s="62" t="s">
        <v>19130</v>
      </c>
      <c r="V1540" s="62" t="s">
        <v>53389</v>
      </c>
      <c r="W1540" s="62" t="s">
        <v>19131</v>
      </c>
      <c r="X1540" s="62" t="s">
        <v>19132</v>
      </c>
      <c r="Y1540" s="62" t="s">
        <v>19133</v>
      </c>
      <c r="Z1540" s="62" t="s">
        <v>19134</v>
      </c>
      <c r="AA1540" s="62" t="s">
        <v>53436</v>
      </c>
      <c r="AB1540" s="62" t="s">
        <v>19135</v>
      </c>
      <c r="AC1540" s="62" t="s">
        <v>19136</v>
      </c>
      <c r="AD1540" s="62" t="s">
        <v>19137</v>
      </c>
    </row>
    <row r="1541" spans="1:30" x14ac:dyDescent="0.25">
      <c r="A1541" s="62" t="s">
        <v>109</v>
      </c>
      <c r="C1541" s="62" t="s">
        <v>19138</v>
      </c>
      <c r="F1541" s="62" t="s">
        <v>1135</v>
      </c>
      <c r="G1541" s="62" t="s">
        <v>53249</v>
      </c>
      <c r="J1541" s="62" t="s">
        <v>19139</v>
      </c>
      <c r="K1541" s="62" t="s">
        <v>53296</v>
      </c>
      <c r="L1541" s="62" t="s">
        <v>19140</v>
      </c>
      <c r="M1541" s="62" t="s">
        <v>19141</v>
      </c>
      <c r="N1541" s="62" t="s">
        <v>19142</v>
      </c>
      <c r="O1541" s="62" t="s">
        <v>19143</v>
      </c>
      <c r="P1541" s="62" t="s">
        <v>53343</v>
      </c>
      <c r="Q1541" s="62" t="s">
        <v>19144</v>
      </c>
      <c r="R1541" s="62" t="s">
        <v>19145</v>
      </c>
      <c r="S1541" s="62" t="s">
        <v>19146</v>
      </c>
      <c r="U1541" s="62" t="s">
        <v>19147</v>
      </c>
      <c r="V1541" s="62" t="s">
        <v>53390</v>
      </c>
      <c r="W1541" s="62" t="s">
        <v>19148</v>
      </c>
      <c r="X1541" s="62" t="s">
        <v>19149</v>
      </c>
      <c r="Y1541" s="62" t="s">
        <v>19150</v>
      </c>
      <c r="Z1541" s="62" t="s">
        <v>19151</v>
      </c>
      <c r="AA1541" s="62" t="s">
        <v>53437</v>
      </c>
      <c r="AB1541" s="62" t="s">
        <v>19152</v>
      </c>
      <c r="AC1541" s="62" t="s">
        <v>19153</v>
      </c>
      <c r="AD1541" s="62" t="s">
        <v>19154</v>
      </c>
    </row>
    <row r="1542" spans="1:30" x14ac:dyDescent="0.25">
      <c r="A1542" s="62" t="s">
        <v>109</v>
      </c>
      <c r="C1542" s="62" t="s">
        <v>19155</v>
      </c>
      <c r="F1542" s="62" t="s">
        <v>1152</v>
      </c>
      <c r="G1542" s="62" t="s">
        <v>53250</v>
      </c>
      <c r="J1542" s="62" t="s">
        <v>19156</v>
      </c>
      <c r="K1542" s="62" t="s">
        <v>53297</v>
      </c>
      <c r="L1542" s="62" t="s">
        <v>19157</v>
      </c>
      <c r="M1542" s="62" t="s">
        <v>19158</v>
      </c>
      <c r="N1542" s="62" t="s">
        <v>19159</v>
      </c>
      <c r="O1542" s="62" t="s">
        <v>19160</v>
      </c>
      <c r="P1542" s="62" t="s">
        <v>53344</v>
      </c>
      <c r="Q1542" s="62" t="s">
        <v>19161</v>
      </c>
      <c r="R1542" s="62" t="s">
        <v>19162</v>
      </c>
      <c r="S1542" s="62" t="s">
        <v>19163</v>
      </c>
      <c r="U1542" s="62" t="s">
        <v>19164</v>
      </c>
      <c r="V1542" s="62" t="s">
        <v>53391</v>
      </c>
      <c r="W1542" s="62" t="s">
        <v>19165</v>
      </c>
      <c r="X1542" s="62" t="s">
        <v>19166</v>
      </c>
      <c r="Y1542" s="62" t="s">
        <v>19167</v>
      </c>
      <c r="Z1542" s="62" t="s">
        <v>19168</v>
      </c>
      <c r="AA1542" s="62" t="s">
        <v>53438</v>
      </c>
      <c r="AB1542" s="62" t="s">
        <v>19169</v>
      </c>
      <c r="AC1542" s="62" t="s">
        <v>19170</v>
      </c>
      <c r="AD1542" s="62" t="s">
        <v>19171</v>
      </c>
    </row>
    <row r="1543" spans="1:30" x14ac:dyDescent="0.25">
      <c r="A1543" s="62" t="s">
        <v>109</v>
      </c>
      <c r="C1543" s="62" t="s">
        <v>19172</v>
      </c>
      <c r="F1543" s="62" t="s">
        <v>1688</v>
      </c>
      <c r="G1543" s="62" t="s">
        <v>53251</v>
      </c>
      <c r="J1543" s="62" t="s">
        <v>19173</v>
      </c>
      <c r="K1543" s="62" t="s">
        <v>53298</v>
      </c>
      <c r="L1543" s="62" t="s">
        <v>19174</v>
      </c>
      <c r="M1543" s="62" t="s">
        <v>19175</v>
      </c>
      <c r="N1543" s="62" t="s">
        <v>19176</v>
      </c>
      <c r="O1543" s="62" t="s">
        <v>19177</v>
      </c>
      <c r="P1543" s="62" t="s">
        <v>53345</v>
      </c>
      <c r="Q1543" s="62" t="s">
        <v>19178</v>
      </c>
      <c r="R1543" s="62" t="s">
        <v>19179</v>
      </c>
      <c r="S1543" s="62" t="s">
        <v>19180</v>
      </c>
      <c r="U1543" s="62" t="s">
        <v>19181</v>
      </c>
      <c r="V1543" s="62" t="s">
        <v>53392</v>
      </c>
      <c r="W1543" s="62" t="s">
        <v>19182</v>
      </c>
      <c r="X1543" s="62" t="s">
        <v>19183</v>
      </c>
      <c r="Y1543" s="62" t="s">
        <v>19184</v>
      </c>
      <c r="Z1543" s="62" t="s">
        <v>19185</v>
      </c>
      <c r="AA1543" s="62" t="s">
        <v>53439</v>
      </c>
      <c r="AB1543" s="62" t="s">
        <v>19186</v>
      </c>
      <c r="AC1543" s="62" t="s">
        <v>19187</v>
      </c>
      <c r="AD1543" s="62" t="s">
        <v>19188</v>
      </c>
    </row>
    <row r="1544" spans="1:30" x14ac:dyDescent="0.25">
      <c r="A1544" s="62" t="s">
        <v>109</v>
      </c>
      <c r="C1544" s="62" t="s">
        <v>19189</v>
      </c>
      <c r="F1544" s="62" t="s">
        <v>1161</v>
      </c>
      <c r="G1544" s="62" t="s">
        <v>53252</v>
      </c>
      <c r="J1544" s="62" t="s">
        <v>19190</v>
      </c>
      <c r="K1544" s="62" t="s">
        <v>53299</v>
      </c>
      <c r="L1544" s="62" t="s">
        <v>19191</v>
      </c>
      <c r="M1544" s="62" t="s">
        <v>19192</v>
      </c>
      <c r="N1544" s="62" t="s">
        <v>19193</v>
      </c>
      <c r="O1544" s="62" t="s">
        <v>19194</v>
      </c>
      <c r="P1544" s="62" t="s">
        <v>53346</v>
      </c>
      <c r="Q1544" s="62" t="s">
        <v>19195</v>
      </c>
      <c r="R1544" s="62" t="s">
        <v>19196</v>
      </c>
      <c r="S1544" s="62" t="s">
        <v>19197</v>
      </c>
      <c r="U1544" s="62" t="s">
        <v>19198</v>
      </c>
      <c r="V1544" s="62" t="s">
        <v>53393</v>
      </c>
      <c r="W1544" s="62" t="s">
        <v>19199</v>
      </c>
      <c r="X1544" s="62" t="s">
        <v>19200</v>
      </c>
      <c r="Y1544" s="62" t="s">
        <v>19201</v>
      </c>
      <c r="Z1544" s="62" t="s">
        <v>19202</v>
      </c>
      <c r="AA1544" s="62" t="s">
        <v>53440</v>
      </c>
      <c r="AB1544" s="62" t="s">
        <v>19203</v>
      </c>
      <c r="AC1544" s="62" t="s">
        <v>19204</v>
      </c>
      <c r="AD1544" s="62" t="s">
        <v>19205</v>
      </c>
    </row>
    <row r="1545" spans="1:30" x14ac:dyDescent="0.25">
      <c r="A1545" s="62" t="s">
        <v>109</v>
      </c>
      <c r="C1545" s="62" t="s">
        <v>19206</v>
      </c>
      <c r="F1545" s="62" t="s">
        <v>1178</v>
      </c>
      <c r="G1545" s="62" t="s">
        <v>53253</v>
      </c>
      <c r="J1545" s="62" t="s">
        <v>19207</v>
      </c>
      <c r="K1545" s="62" t="s">
        <v>53300</v>
      </c>
      <c r="L1545" s="62" t="s">
        <v>19208</v>
      </c>
      <c r="M1545" s="62" t="s">
        <v>19209</v>
      </c>
      <c r="N1545" s="62" t="s">
        <v>19210</v>
      </c>
      <c r="O1545" s="62" t="s">
        <v>19211</v>
      </c>
      <c r="P1545" s="62" t="s">
        <v>53347</v>
      </c>
      <c r="Q1545" s="62" t="s">
        <v>19212</v>
      </c>
      <c r="R1545" s="62" t="s">
        <v>19213</v>
      </c>
      <c r="S1545" s="62" t="s">
        <v>19214</v>
      </c>
      <c r="U1545" s="62" t="s">
        <v>19215</v>
      </c>
      <c r="V1545" s="62" t="s">
        <v>53394</v>
      </c>
      <c r="W1545" s="62" t="s">
        <v>19216</v>
      </c>
      <c r="X1545" s="62" t="s">
        <v>19217</v>
      </c>
      <c r="Y1545" s="62" t="s">
        <v>19218</v>
      </c>
      <c r="Z1545" s="62" t="s">
        <v>19219</v>
      </c>
      <c r="AA1545" s="62" t="s">
        <v>53441</v>
      </c>
      <c r="AB1545" s="62" t="s">
        <v>19220</v>
      </c>
      <c r="AC1545" s="62" t="s">
        <v>19221</v>
      </c>
      <c r="AD1545" s="62" t="s">
        <v>19222</v>
      </c>
    </row>
    <row r="1546" spans="1:30" x14ac:dyDescent="0.25">
      <c r="A1546" s="62" t="s">
        <v>109</v>
      </c>
      <c r="C1546" s="62" t="s">
        <v>19223</v>
      </c>
      <c r="F1546" s="62" t="s">
        <v>1188</v>
      </c>
      <c r="G1546" s="62" t="s">
        <v>53254</v>
      </c>
      <c r="J1546" s="62" t="s">
        <v>19224</v>
      </c>
      <c r="K1546" s="62" t="s">
        <v>53301</v>
      </c>
      <c r="L1546" s="62" t="s">
        <v>19225</v>
      </c>
      <c r="M1546" s="62" t="s">
        <v>19226</v>
      </c>
      <c r="N1546" s="62" t="s">
        <v>19227</v>
      </c>
      <c r="O1546" s="62" t="s">
        <v>19228</v>
      </c>
      <c r="P1546" s="62" t="s">
        <v>53348</v>
      </c>
      <c r="Q1546" s="62" t="s">
        <v>19229</v>
      </c>
      <c r="R1546" s="62" t="s">
        <v>19230</v>
      </c>
      <c r="S1546" s="62" t="s">
        <v>19231</v>
      </c>
      <c r="U1546" s="62" t="s">
        <v>19232</v>
      </c>
      <c r="V1546" s="62" t="s">
        <v>53395</v>
      </c>
      <c r="W1546" s="62" t="s">
        <v>19233</v>
      </c>
      <c r="X1546" s="62" t="s">
        <v>19234</v>
      </c>
      <c r="Y1546" s="62" t="s">
        <v>19235</v>
      </c>
      <c r="Z1546" s="62" t="s">
        <v>19236</v>
      </c>
      <c r="AA1546" s="62" t="s">
        <v>53442</v>
      </c>
      <c r="AB1546" s="62" t="s">
        <v>19237</v>
      </c>
      <c r="AC1546" s="62" t="s">
        <v>19238</v>
      </c>
      <c r="AD1546" s="62" t="s">
        <v>19239</v>
      </c>
    </row>
    <row r="1547" spans="1:30" x14ac:dyDescent="0.25">
      <c r="A1547" s="62" t="s">
        <v>109</v>
      </c>
      <c r="C1547" s="62" t="s">
        <v>19240</v>
      </c>
      <c r="F1547" s="62" t="s">
        <v>1206</v>
      </c>
      <c r="G1547" s="62" t="s">
        <v>53255</v>
      </c>
      <c r="J1547" s="62" t="s">
        <v>19241</v>
      </c>
      <c r="K1547" s="62" t="s">
        <v>53302</v>
      </c>
      <c r="L1547" s="62" t="s">
        <v>19242</v>
      </c>
      <c r="M1547" s="62" t="s">
        <v>19243</v>
      </c>
      <c r="N1547" s="62" t="s">
        <v>19244</v>
      </c>
      <c r="O1547" s="62" t="s">
        <v>19245</v>
      </c>
      <c r="P1547" s="62" t="s">
        <v>53349</v>
      </c>
      <c r="Q1547" s="62" t="s">
        <v>19246</v>
      </c>
      <c r="R1547" s="62" t="s">
        <v>19247</v>
      </c>
      <c r="S1547" s="62" t="s">
        <v>19248</v>
      </c>
      <c r="U1547" s="62" t="s">
        <v>19249</v>
      </c>
      <c r="V1547" s="62" t="s">
        <v>53396</v>
      </c>
      <c r="W1547" s="62" t="s">
        <v>19250</v>
      </c>
      <c r="X1547" s="62" t="s">
        <v>19251</v>
      </c>
      <c r="Y1547" s="62" t="s">
        <v>19252</v>
      </c>
      <c r="Z1547" s="62" t="s">
        <v>19253</v>
      </c>
      <c r="AA1547" s="62" t="s">
        <v>53443</v>
      </c>
      <c r="AB1547" s="62" t="s">
        <v>19254</v>
      </c>
      <c r="AC1547" s="62" t="s">
        <v>19255</v>
      </c>
      <c r="AD1547" s="62" t="s">
        <v>19256</v>
      </c>
    </row>
    <row r="1548" spans="1:30" x14ac:dyDescent="0.25">
      <c r="A1548" s="62" t="s">
        <v>109</v>
      </c>
      <c r="C1548" s="62" t="s">
        <v>19257</v>
      </c>
      <c r="F1548" s="62" t="s">
        <v>1223</v>
      </c>
      <c r="G1548" s="62" t="s">
        <v>53256</v>
      </c>
      <c r="J1548" s="62" t="s">
        <v>19258</v>
      </c>
      <c r="K1548" s="62" t="s">
        <v>53303</v>
      </c>
      <c r="L1548" s="62" t="s">
        <v>19259</v>
      </c>
      <c r="M1548" s="62" t="s">
        <v>19260</v>
      </c>
      <c r="N1548" s="62" t="s">
        <v>19261</v>
      </c>
      <c r="O1548" s="62" t="s">
        <v>19262</v>
      </c>
      <c r="P1548" s="62" t="s">
        <v>53350</v>
      </c>
      <c r="Q1548" s="62" t="s">
        <v>19263</v>
      </c>
      <c r="R1548" s="62" t="s">
        <v>19264</v>
      </c>
      <c r="S1548" s="62" t="s">
        <v>19265</v>
      </c>
      <c r="U1548" s="62" t="s">
        <v>19266</v>
      </c>
      <c r="V1548" s="62" t="s">
        <v>53397</v>
      </c>
      <c r="W1548" s="62" t="s">
        <v>19267</v>
      </c>
      <c r="X1548" s="62" t="s">
        <v>19268</v>
      </c>
      <c r="Y1548" s="62" t="s">
        <v>19269</v>
      </c>
      <c r="Z1548" s="62" t="s">
        <v>19270</v>
      </c>
      <c r="AA1548" s="62" t="s">
        <v>53444</v>
      </c>
      <c r="AB1548" s="62" t="s">
        <v>19271</v>
      </c>
      <c r="AC1548" s="62" t="s">
        <v>19272</v>
      </c>
      <c r="AD1548" s="62" t="s">
        <v>19273</v>
      </c>
    </row>
    <row r="1549" spans="1:30" x14ac:dyDescent="0.25">
      <c r="A1549" s="62" t="s">
        <v>109</v>
      </c>
      <c r="C1549" s="62" t="s">
        <v>19274</v>
      </c>
      <c r="F1549" s="62" t="s">
        <v>1240</v>
      </c>
      <c r="G1549" s="62" t="s">
        <v>53257</v>
      </c>
      <c r="J1549" s="62" t="s">
        <v>19276</v>
      </c>
      <c r="K1549" s="62" t="s">
        <v>53304</v>
      </c>
      <c r="L1549" s="62" t="s">
        <v>19277</v>
      </c>
      <c r="M1549" s="62" t="s">
        <v>19278</v>
      </c>
      <c r="N1549" s="62" t="s">
        <v>19279</v>
      </c>
      <c r="O1549" s="62" t="s">
        <v>19280</v>
      </c>
      <c r="P1549" s="62" t="s">
        <v>53351</v>
      </c>
      <c r="Q1549" s="62" t="s">
        <v>19281</v>
      </c>
      <c r="R1549" s="62" t="s">
        <v>19282</v>
      </c>
      <c r="S1549" s="62" t="s">
        <v>19283</v>
      </c>
      <c r="U1549" s="62" t="s">
        <v>19284</v>
      </c>
      <c r="V1549" s="62" t="s">
        <v>53398</v>
      </c>
      <c r="W1549" s="62" t="s">
        <v>19285</v>
      </c>
      <c r="X1549" s="62" t="s">
        <v>19286</v>
      </c>
      <c r="Y1549" s="62" t="s">
        <v>19287</v>
      </c>
      <c r="Z1549" s="62" t="s">
        <v>19288</v>
      </c>
      <c r="AA1549" s="62" t="s">
        <v>53445</v>
      </c>
      <c r="AB1549" s="62" t="s">
        <v>19289</v>
      </c>
      <c r="AC1549" s="62" t="s">
        <v>19290</v>
      </c>
      <c r="AD1549" s="62" t="s">
        <v>19291</v>
      </c>
    </row>
    <row r="1550" spans="1:30" x14ac:dyDescent="0.25">
      <c r="A1550" s="62" t="s">
        <v>109</v>
      </c>
      <c r="C1550" s="62" t="s">
        <v>19292</v>
      </c>
      <c r="F1550" s="62" t="s">
        <v>1249</v>
      </c>
      <c r="G1550" s="62" t="s">
        <v>53258</v>
      </c>
      <c r="J1550" s="62" t="s">
        <v>19293</v>
      </c>
      <c r="K1550" s="62" t="s">
        <v>53305</v>
      </c>
      <c r="L1550" s="62" t="s">
        <v>19294</v>
      </c>
      <c r="M1550" s="62" t="s">
        <v>19295</v>
      </c>
      <c r="N1550" s="62" t="s">
        <v>19296</v>
      </c>
      <c r="O1550" s="62" t="s">
        <v>19297</v>
      </c>
      <c r="P1550" s="62" t="s">
        <v>53352</v>
      </c>
      <c r="Q1550" s="62" t="s">
        <v>19298</v>
      </c>
      <c r="R1550" s="62" t="s">
        <v>19299</v>
      </c>
      <c r="S1550" s="62" t="s">
        <v>19300</v>
      </c>
      <c r="U1550" s="62" t="s">
        <v>19301</v>
      </c>
      <c r="V1550" s="62" t="s">
        <v>53399</v>
      </c>
      <c r="W1550" s="62" t="s">
        <v>19302</v>
      </c>
      <c r="X1550" s="62" t="s">
        <v>19303</v>
      </c>
      <c r="Y1550" s="62" t="s">
        <v>19304</v>
      </c>
      <c r="Z1550" s="62" t="s">
        <v>19305</v>
      </c>
      <c r="AA1550" s="62" t="s">
        <v>53446</v>
      </c>
      <c r="AB1550" s="62" t="s">
        <v>19306</v>
      </c>
      <c r="AC1550" s="62" t="s">
        <v>19307</v>
      </c>
      <c r="AD1550" s="62" t="s">
        <v>19308</v>
      </c>
    </row>
    <row r="1551" spans="1:30" x14ac:dyDescent="0.25">
      <c r="A1551" s="62" t="s">
        <v>109</v>
      </c>
      <c r="C1551" s="62" t="s">
        <v>19309</v>
      </c>
      <c r="F1551" s="62" t="s">
        <v>1266</v>
      </c>
      <c r="G1551" s="62" t="s">
        <v>53259</v>
      </c>
      <c r="J1551" s="62" t="s">
        <v>19310</v>
      </c>
      <c r="K1551" s="62" t="s">
        <v>53306</v>
      </c>
      <c r="L1551" s="62" t="s">
        <v>19311</v>
      </c>
      <c r="M1551" s="62" t="s">
        <v>19312</v>
      </c>
      <c r="N1551" s="62" t="s">
        <v>19313</v>
      </c>
      <c r="O1551" s="62" t="s">
        <v>19314</v>
      </c>
      <c r="P1551" s="62" t="s">
        <v>53353</v>
      </c>
      <c r="Q1551" s="62" t="s">
        <v>19315</v>
      </c>
      <c r="R1551" s="62" t="s">
        <v>19316</v>
      </c>
      <c r="S1551" s="62" t="s">
        <v>19317</v>
      </c>
      <c r="U1551" s="62" t="s">
        <v>19318</v>
      </c>
      <c r="V1551" s="62" t="s">
        <v>53400</v>
      </c>
      <c r="W1551" s="62" t="s">
        <v>19319</v>
      </c>
      <c r="X1551" s="62" t="s">
        <v>19320</v>
      </c>
      <c r="Y1551" s="62" t="s">
        <v>19321</v>
      </c>
      <c r="Z1551" s="62" t="s">
        <v>19322</v>
      </c>
      <c r="AA1551" s="62" t="s">
        <v>53447</v>
      </c>
      <c r="AB1551" s="62" t="s">
        <v>19323</v>
      </c>
      <c r="AC1551" s="62" t="s">
        <v>19324</v>
      </c>
      <c r="AD1551" s="62" t="s">
        <v>19325</v>
      </c>
    </row>
    <row r="1552" spans="1:30" x14ac:dyDescent="0.25">
      <c r="A1552" s="62" t="s">
        <v>109</v>
      </c>
      <c r="C1552" s="62" t="s">
        <v>19326</v>
      </c>
      <c r="F1552" s="62" t="s">
        <v>1275</v>
      </c>
      <c r="G1552" s="62" t="s">
        <v>53260</v>
      </c>
      <c r="J1552" s="62" t="s">
        <v>19327</v>
      </c>
      <c r="K1552" s="62" t="s">
        <v>53307</v>
      </c>
      <c r="L1552" s="62" t="s">
        <v>19328</v>
      </c>
      <c r="M1552" s="62" t="s">
        <v>19329</v>
      </c>
      <c r="N1552" s="62" t="s">
        <v>19330</v>
      </c>
      <c r="O1552" s="62" t="s">
        <v>19331</v>
      </c>
      <c r="P1552" s="62" t="s">
        <v>53354</v>
      </c>
      <c r="Q1552" s="62" t="s">
        <v>19332</v>
      </c>
      <c r="R1552" s="62" t="s">
        <v>19333</v>
      </c>
      <c r="S1552" s="62" t="s">
        <v>19334</v>
      </c>
      <c r="U1552" s="62" t="s">
        <v>19335</v>
      </c>
      <c r="V1552" s="62" t="s">
        <v>53401</v>
      </c>
      <c r="W1552" s="62" t="s">
        <v>19336</v>
      </c>
      <c r="X1552" s="62" t="s">
        <v>19337</v>
      </c>
      <c r="Y1552" s="62" t="s">
        <v>19338</v>
      </c>
      <c r="Z1552" s="62" t="s">
        <v>19339</v>
      </c>
      <c r="AA1552" s="62" t="s">
        <v>53448</v>
      </c>
      <c r="AB1552" s="62" t="s">
        <v>19340</v>
      </c>
      <c r="AC1552" s="62" t="s">
        <v>19341</v>
      </c>
      <c r="AD1552" s="62" t="s">
        <v>19342</v>
      </c>
    </row>
    <row r="1553" spans="1:30" x14ac:dyDescent="0.25">
      <c r="A1553" s="62" t="s">
        <v>109</v>
      </c>
      <c r="C1553" s="62" t="s">
        <v>19343</v>
      </c>
      <c r="F1553" s="62" t="s">
        <v>1277</v>
      </c>
      <c r="G1553" s="62" t="s">
        <v>53261</v>
      </c>
      <c r="J1553" s="62" t="s">
        <v>19344</v>
      </c>
      <c r="K1553" s="62" t="s">
        <v>53308</v>
      </c>
      <c r="L1553" s="62" t="s">
        <v>19345</v>
      </c>
      <c r="M1553" s="62" t="s">
        <v>19346</v>
      </c>
      <c r="N1553" s="62" t="s">
        <v>19347</v>
      </c>
      <c r="O1553" s="62" t="s">
        <v>19348</v>
      </c>
      <c r="P1553" s="62" t="s">
        <v>53355</v>
      </c>
      <c r="Q1553" s="62" t="s">
        <v>19349</v>
      </c>
      <c r="R1553" s="62" t="s">
        <v>19350</v>
      </c>
      <c r="S1553" s="62" t="s">
        <v>19351</v>
      </c>
      <c r="U1553" s="62" t="s">
        <v>19352</v>
      </c>
      <c r="V1553" s="62" t="s">
        <v>53402</v>
      </c>
      <c r="W1553" s="62" t="s">
        <v>19353</v>
      </c>
      <c r="X1553" s="62" t="s">
        <v>19354</v>
      </c>
      <c r="Y1553" s="62" t="s">
        <v>19355</v>
      </c>
      <c r="Z1553" s="62" t="s">
        <v>19356</v>
      </c>
      <c r="AA1553" s="62" t="s">
        <v>53449</v>
      </c>
      <c r="AB1553" s="62" t="s">
        <v>19357</v>
      </c>
      <c r="AC1553" s="62" t="s">
        <v>19358</v>
      </c>
      <c r="AD1553" s="62" t="s">
        <v>19359</v>
      </c>
    </row>
    <row r="1554" spans="1:30" x14ac:dyDescent="0.25">
      <c r="A1554" s="62" t="s">
        <v>109</v>
      </c>
      <c r="C1554" s="62" t="s">
        <v>19360</v>
      </c>
      <c r="F1554" s="62" t="s">
        <v>1795</v>
      </c>
      <c r="G1554" s="62" t="s">
        <v>53262</v>
      </c>
      <c r="J1554" s="62" t="s">
        <v>19361</v>
      </c>
      <c r="K1554" s="62" t="s">
        <v>53309</v>
      </c>
      <c r="L1554" s="62" t="s">
        <v>19362</v>
      </c>
      <c r="M1554" s="62" t="s">
        <v>19363</v>
      </c>
      <c r="N1554" s="62" t="s">
        <v>19364</v>
      </c>
      <c r="O1554" s="62" t="s">
        <v>19365</v>
      </c>
      <c r="P1554" s="62" t="s">
        <v>53356</v>
      </c>
      <c r="Q1554" s="62" t="s">
        <v>19366</v>
      </c>
      <c r="R1554" s="62" t="s">
        <v>19367</v>
      </c>
      <c r="S1554" s="62" t="s">
        <v>19368</v>
      </c>
      <c r="U1554" s="62" t="s">
        <v>19369</v>
      </c>
      <c r="V1554" s="62" t="s">
        <v>53403</v>
      </c>
      <c r="W1554" s="62" t="s">
        <v>19370</v>
      </c>
      <c r="X1554" s="62" t="s">
        <v>19371</v>
      </c>
      <c r="Y1554" s="62" t="s">
        <v>19372</v>
      </c>
      <c r="Z1554" s="62" t="s">
        <v>19373</v>
      </c>
      <c r="AA1554" s="62" t="s">
        <v>53450</v>
      </c>
      <c r="AB1554" s="62" t="s">
        <v>19374</v>
      </c>
      <c r="AC1554" s="62" t="s">
        <v>19375</v>
      </c>
      <c r="AD1554" s="62" t="s">
        <v>19376</v>
      </c>
    </row>
    <row r="1555" spans="1:30" x14ac:dyDescent="0.25">
      <c r="A1555" s="62" t="s">
        <v>109</v>
      </c>
      <c r="C1555" s="62" t="s">
        <v>19377</v>
      </c>
      <c r="F1555" s="62" t="s">
        <v>1286</v>
      </c>
      <c r="G1555" s="62" t="s">
        <v>53263</v>
      </c>
      <c r="J1555" s="62" t="s">
        <v>19378</v>
      </c>
      <c r="K1555" s="62" t="s">
        <v>53310</v>
      </c>
      <c r="L1555" s="62" t="s">
        <v>19379</v>
      </c>
      <c r="M1555" s="62" t="s">
        <v>19380</v>
      </c>
      <c r="N1555" s="62" t="s">
        <v>19381</v>
      </c>
      <c r="O1555" s="62" t="s">
        <v>19382</v>
      </c>
      <c r="P1555" s="62" t="s">
        <v>53357</v>
      </c>
      <c r="Q1555" s="62" t="s">
        <v>19383</v>
      </c>
      <c r="R1555" s="62" t="s">
        <v>19384</v>
      </c>
      <c r="S1555" s="62" t="s">
        <v>19385</v>
      </c>
      <c r="U1555" s="62" t="s">
        <v>19386</v>
      </c>
      <c r="V1555" s="62" t="s">
        <v>53404</v>
      </c>
      <c r="W1555" s="62" t="s">
        <v>19387</v>
      </c>
      <c r="X1555" s="62" t="s">
        <v>19388</v>
      </c>
      <c r="Y1555" s="62" t="s">
        <v>19389</v>
      </c>
      <c r="Z1555" s="62" t="s">
        <v>19390</v>
      </c>
      <c r="AA1555" s="62" t="s">
        <v>53451</v>
      </c>
      <c r="AB1555" s="62" t="s">
        <v>19391</v>
      </c>
      <c r="AC1555" s="62" t="s">
        <v>19392</v>
      </c>
      <c r="AD1555" s="62" t="s">
        <v>19393</v>
      </c>
    </row>
    <row r="1556" spans="1:30" x14ac:dyDescent="0.25">
      <c r="A1556" s="62" t="s">
        <v>109</v>
      </c>
      <c r="C1556" s="62" t="s">
        <v>19394</v>
      </c>
      <c r="F1556" s="62" t="s">
        <v>1287</v>
      </c>
      <c r="G1556" s="62" t="s">
        <v>53264</v>
      </c>
      <c r="J1556" s="62" t="s">
        <v>19395</v>
      </c>
      <c r="K1556" s="62" t="s">
        <v>53311</v>
      </c>
      <c r="L1556" s="62" t="s">
        <v>19396</v>
      </c>
      <c r="M1556" s="62" t="s">
        <v>19397</v>
      </c>
      <c r="N1556" s="62" t="s">
        <v>19398</v>
      </c>
      <c r="O1556" s="62" t="s">
        <v>19399</v>
      </c>
      <c r="P1556" s="62" t="s">
        <v>53358</v>
      </c>
      <c r="Q1556" s="62" t="s">
        <v>19400</v>
      </c>
      <c r="R1556" s="62" t="s">
        <v>19401</v>
      </c>
      <c r="S1556" s="62" t="s">
        <v>19402</v>
      </c>
      <c r="U1556" s="62" t="s">
        <v>19403</v>
      </c>
      <c r="V1556" s="62" t="s">
        <v>53405</v>
      </c>
      <c r="W1556" s="62" t="s">
        <v>19404</v>
      </c>
      <c r="X1556" s="62" t="s">
        <v>19405</v>
      </c>
      <c r="Y1556" s="62" t="s">
        <v>19406</v>
      </c>
      <c r="Z1556" s="62" t="s">
        <v>19407</v>
      </c>
      <c r="AA1556" s="62" t="s">
        <v>53452</v>
      </c>
      <c r="AB1556" s="62" t="s">
        <v>19408</v>
      </c>
      <c r="AC1556" s="62" t="s">
        <v>19409</v>
      </c>
      <c r="AD1556" s="62" t="s">
        <v>19410</v>
      </c>
    </row>
    <row r="1557" spans="1:30" x14ac:dyDescent="0.25">
      <c r="A1557" s="62" t="s">
        <v>109</v>
      </c>
      <c r="C1557" s="62" t="s">
        <v>19411</v>
      </c>
      <c r="F1557" s="62" t="s">
        <v>1288</v>
      </c>
      <c r="G1557" s="62" t="s">
        <v>53265</v>
      </c>
      <c r="J1557" s="62" t="s">
        <v>19412</v>
      </c>
      <c r="K1557" s="62" t="s">
        <v>53312</v>
      </c>
      <c r="L1557" s="62" t="s">
        <v>19413</v>
      </c>
      <c r="M1557" s="62" t="s">
        <v>19414</v>
      </c>
      <c r="N1557" s="62" t="s">
        <v>19415</v>
      </c>
      <c r="O1557" s="62" t="s">
        <v>19416</v>
      </c>
      <c r="P1557" s="62" t="s">
        <v>53359</v>
      </c>
      <c r="Q1557" s="62" t="s">
        <v>19417</v>
      </c>
      <c r="R1557" s="62" t="s">
        <v>19418</v>
      </c>
      <c r="S1557" s="62" t="s">
        <v>19419</v>
      </c>
      <c r="U1557" s="62" t="s">
        <v>19420</v>
      </c>
      <c r="V1557" s="62" t="s">
        <v>53406</v>
      </c>
      <c r="W1557" s="62" t="s">
        <v>19421</v>
      </c>
      <c r="X1557" s="62" t="s">
        <v>19422</v>
      </c>
      <c r="Y1557" s="62" t="s">
        <v>19423</v>
      </c>
      <c r="Z1557" s="62" t="s">
        <v>19424</v>
      </c>
      <c r="AA1557" s="62" t="s">
        <v>53453</v>
      </c>
      <c r="AB1557" s="62" t="s">
        <v>19425</v>
      </c>
      <c r="AC1557" s="62" t="s">
        <v>19426</v>
      </c>
      <c r="AD1557" s="62" t="s">
        <v>19427</v>
      </c>
    </row>
    <row r="1558" spans="1:30" x14ac:dyDescent="0.25">
      <c r="A1558" s="62" t="s">
        <v>109</v>
      </c>
      <c r="C1558" s="62" t="s">
        <v>19428</v>
      </c>
      <c r="F1558" s="62" t="s">
        <v>1289</v>
      </c>
      <c r="G1558" s="62" t="s">
        <v>53266</v>
      </c>
      <c r="J1558" s="62" t="s">
        <v>19429</v>
      </c>
      <c r="K1558" s="62" t="s">
        <v>53313</v>
      </c>
      <c r="L1558" s="62" t="s">
        <v>19430</v>
      </c>
      <c r="M1558" s="62" t="s">
        <v>19431</v>
      </c>
      <c r="N1558" s="62" t="s">
        <v>19432</v>
      </c>
      <c r="O1558" s="62" t="s">
        <v>19433</v>
      </c>
      <c r="P1558" s="62" t="s">
        <v>53360</v>
      </c>
      <c r="Q1558" s="62" t="s">
        <v>19434</v>
      </c>
      <c r="R1558" s="62" t="s">
        <v>19435</v>
      </c>
      <c r="S1558" s="62" t="s">
        <v>19436</v>
      </c>
      <c r="U1558" s="62" t="s">
        <v>19437</v>
      </c>
      <c r="V1558" s="62" t="s">
        <v>53407</v>
      </c>
      <c r="W1558" s="62" t="s">
        <v>19438</v>
      </c>
      <c r="X1558" s="62" t="s">
        <v>19439</v>
      </c>
      <c r="Y1558" s="62" t="s">
        <v>19440</v>
      </c>
      <c r="Z1558" s="62" t="s">
        <v>19441</v>
      </c>
      <c r="AA1558" s="62" t="s">
        <v>53454</v>
      </c>
      <c r="AB1558" s="62" t="s">
        <v>19442</v>
      </c>
      <c r="AC1558" s="62" t="s">
        <v>19443</v>
      </c>
      <c r="AD1558" s="62" t="s">
        <v>19444</v>
      </c>
    </row>
    <row r="1559" spans="1:30" x14ac:dyDescent="0.25">
      <c r="A1559" s="62" t="s">
        <v>109</v>
      </c>
      <c r="C1559" s="62" t="s">
        <v>19445</v>
      </c>
      <c r="F1559" s="62" t="s">
        <v>1797</v>
      </c>
      <c r="G1559" s="62" t="s">
        <v>53267</v>
      </c>
      <c r="J1559" s="62" t="s">
        <v>19446</v>
      </c>
      <c r="K1559" s="62" t="s">
        <v>53314</v>
      </c>
      <c r="L1559" s="62" t="s">
        <v>19447</v>
      </c>
      <c r="M1559" s="62" t="s">
        <v>19448</v>
      </c>
      <c r="N1559" s="62" t="s">
        <v>19449</v>
      </c>
      <c r="O1559" s="62" t="s">
        <v>19450</v>
      </c>
      <c r="P1559" s="62" t="s">
        <v>53361</v>
      </c>
      <c r="Q1559" s="62" t="s">
        <v>19451</v>
      </c>
      <c r="R1559" s="62" t="s">
        <v>19452</v>
      </c>
      <c r="S1559" s="62" t="s">
        <v>19453</v>
      </c>
      <c r="U1559" s="62" t="s">
        <v>19454</v>
      </c>
      <c r="V1559" s="62" t="s">
        <v>53408</v>
      </c>
      <c r="W1559" s="62" t="s">
        <v>19455</v>
      </c>
      <c r="X1559" s="62" t="s">
        <v>19456</v>
      </c>
      <c r="Y1559" s="62" t="s">
        <v>19457</v>
      </c>
      <c r="Z1559" s="62" t="s">
        <v>19458</v>
      </c>
      <c r="AA1559" s="62" t="s">
        <v>53455</v>
      </c>
      <c r="AB1559" s="62" t="s">
        <v>19459</v>
      </c>
      <c r="AC1559" s="62" t="s">
        <v>19460</v>
      </c>
      <c r="AD1559" s="62" t="s">
        <v>19461</v>
      </c>
    </row>
    <row r="1560" spans="1:30" x14ac:dyDescent="0.25">
      <c r="A1560" s="62" t="s">
        <v>109</v>
      </c>
      <c r="C1560" s="62" t="s">
        <v>19462</v>
      </c>
      <c r="F1560" s="62" t="s">
        <v>1299</v>
      </c>
      <c r="G1560" s="62" t="s">
        <v>53268</v>
      </c>
      <c r="J1560" s="62" t="s">
        <v>19463</v>
      </c>
      <c r="K1560" s="62" t="s">
        <v>53315</v>
      </c>
      <c r="L1560" s="62" t="s">
        <v>19464</v>
      </c>
      <c r="M1560" s="62" t="s">
        <v>19465</v>
      </c>
      <c r="N1560" s="62" t="s">
        <v>19466</v>
      </c>
      <c r="O1560" s="62" t="s">
        <v>19467</v>
      </c>
      <c r="P1560" s="62" t="s">
        <v>53362</v>
      </c>
      <c r="Q1560" s="62" t="s">
        <v>19468</v>
      </c>
      <c r="R1560" s="62" t="s">
        <v>19469</v>
      </c>
      <c r="S1560" s="62" t="s">
        <v>19470</v>
      </c>
      <c r="U1560" s="62" t="s">
        <v>19471</v>
      </c>
      <c r="V1560" s="62" t="s">
        <v>53409</v>
      </c>
      <c r="W1560" s="62" t="s">
        <v>19472</v>
      </c>
      <c r="X1560" s="62" t="s">
        <v>19473</v>
      </c>
      <c r="Y1560" s="62" t="s">
        <v>19474</v>
      </c>
      <c r="Z1560" s="62" t="s">
        <v>19475</v>
      </c>
      <c r="AA1560" s="62" t="s">
        <v>53456</v>
      </c>
      <c r="AB1560" s="62" t="s">
        <v>19476</v>
      </c>
      <c r="AC1560" s="62" t="s">
        <v>19477</v>
      </c>
      <c r="AD1560" s="62" t="s">
        <v>19478</v>
      </c>
    </row>
    <row r="1561" spans="1:30" x14ac:dyDescent="0.25">
      <c r="A1561" s="62" t="s">
        <v>109</v>
      </c>
      <c r="C1561" s="62" t="s">
        <v>18770</v>
      </c>
    </row>
    <row r="1562" spans="1:30" x14ac:dyDescent="0.25">
      <c r="A1562" s="62" t="s">
        <v>109</v>
      </c>
      <c r="C1562" s="62" t="s">
        <v>19479</v>
      </c>
      <c r="G1562" s="62" t="s">
        <v>43544</v>
      </c>
      <c r="J1562" s="62" t="s">
        <v>43545</v>
      </c>
      <c r="K1562" s="62" t="s">
        <v>43546</v>
      </c>
      <c r="L1562" s="62" t="s">
        <v>43547</v>
      </c>
      <c r="M1562" s="62" t="s">
        <v>19480</v>
      </c>
      <c r="N1562" s="62" t="s">
        <v>19481</v>
      </c>
      <c r="O1562" s="62" t="s">
        <v>43548</v>
      </c>
      <c r="P1562" s="62" t="s">
        <v>43549</v>
      </c>
      <c r="Q1562" s="62" t="s">
        <v>43550</v>
      </c>
      <c r="R1562" s="62" t="s">
        <v>19482</v>
      </c>
      <c r="S1562" s="62" t="s">
        <v>19483</v>
      </c>
      <c r="U1562" s="62" t="s">
        <v>43551</v>
      </c>
      <c r="V1562" s="62" t="s">
        <v>43552</v>
      </c>
      <c r="W1562" s="62" t="s">
        <v>43553</v>
      </c>
      <c r="X1562" s="62" t="s">
        <v>19484</v>
      </c>
      <c r="Y1562" s="62" t="s">
        <v>19485</v>
      </c>
      <c r="Z1562" s="62" t="s">
        <v>43554</v>
      </c>
      <c r="AA1562" s="62" t="s">
        <v>43555</v>
      </c>
      <c r="AB1562" s="62" t="s">
        <v>43556</v>
      </c>
      <c r="AC1562" s="62" t="s">
        <v>19486</v>
      </c>
      <c r="AD1562" s="62" t="s">
        <v>19487</v>
      </c>
    </row>
    <row r="1563" spans="1:30" x14ac:dyDescent="0.25">
      <c r="A1563" s="62" t="s">
        <v>109</v>
      </c>
    </row>
    <row r="1564" spans="1:30" x14ac:dyDescent="0.25">
      <c r="A1564" s="62" t="s">
        <v>109</v>
      </c>
      <c r="C1564" s="62" t="s">
        <v>43557</v>
      </c>
      <c r="E1564" s="62" t="s">
        <v>463</v>
      </c>
      <c r="G1564" s="62" t="s">
        <v>43558</v>
      </c>
    </row>
    <row r="1565" spans="1:30" x14ac:dyDescent="0.25">
      <c r="A1565" s="62" t="s">
        <v>109</v>
      </c>
      <c r="C1565" s="62" t="s">
        <v>19488</v>
      </c>
    </row>
    <row r="1566" spans="1:30" x14ac:dyDescent="0.25">
      <c r="A1566" s="62" t="s">
        <v>109</v>
      </c>
      <c r="C1566" s="62" t="s">
        <v>19489</v>
      </c>
      <c r="F1566" s="62" t="s">
        <v>43559</v>
      </c>
      <c r="G1566" s="62" t="s">
        <v>53092</v>
      </c>
      <c r="J1566" s="62" t="s">
        <v>19490</v>
      </c>
      <c r="K1566" s="62" t="s">
        <v>53118</v>
      </c>
      <c r="L1566" s="62" t="s">
        <v>19491</v>
      </c>
      <c r="M1566" s="62" t="s">
        <v>19492</v>
      </c>
      <c r="N1566" s="62" t="s">
        <v>19493</v>
      </c>
      <c r="O1566" s="62" t="s">
        <v>19494</v>
      </c>
      <c r="P1566" s="62" t="s">
        <v>53144</v>
      </c>
      <c r="Q1566" s="62" t="s">
        <v>19495</v>
      </c>
      <c r="R1566" s="62" t="s">
        <v>19496</v>
      </c>
      <c r="S1566" s="62" t="s">
        <v>19497</v>
      </c>
      <c r="U1566" s="62" t="s">
        <v>19498</v>
      </c>
      <c r="V1566" s="62" t="s">
        <v>53170</v>
      </c>
      <c r="W1566" s="62" t="s">
        <v>19499</v>
      </c>
      <c r="X1566" s="62" t="s">
        <v>19500</v>
      </c>
      <c r="Y1566" s="62" t="s">
        <v>19501</v>
      </c>
      <c r="Z1566" s="62" t="s">
        <v>19502</v>
      </c>
      <c r="AA1566" s="62" t="s">
        <v>53196</v>
      </c>
      <c r="AB1566" s="62" t="s">
        <v>19503</v>
      </c>
      <c r="AC1566" s="62" t="s">
        <v>19504</v>
      </c>
      <c r="AD1566" s="62" t="s">
        <v>19505</v>
      </c>
    </row>
    <row r="1567" spans="1:30" x14ac:dyDescent="0.25">
      <c r="A1567" s="62" t="s">
        <v>109</v>
      </c>
      <c r="C1567" s="62" t="s">
        <v>19506</v>
      </c>
      <c r="F1567" s="62" t="s">
        <v>748</v>
      </c>
      <c r="G1567" s="62" t="s">
        <v>53093</v>
      </c>
      <c r="J1567" s="62" t="s">
        <v>19507</v>
      </c>
      <c r="K1567" s="62" t="s">
        <v>53119</v>
      </c>
      <c r="L1567" s="62" t="s">
        <v>19508</v>
      </c>
      <c r="M1567" s="62" t="s">
        <v>19509</v>
      </c>
      <c r="N1567" s="62" t="s">
        <v>19510</v>
      </c>
      <c r="O1567" s="62" t="s">
        <v>19511</v>
      </c>
      <c r="P1567" s="62" t="s">
        <v>53145</v>
      </c>
      <c r="Q1567" s="62" t="s">
        <v>19512</v>
      </c>
      <c r="R1567" s="62" t="s">
        <v>19513</v>
      </c>
      <c r="S1567" s="62" t="s">
        <v>19514</v>
      </c>
      <c r="U1567" s="62" t="s">
        <v>19515</v>
      </c>
      <c r="V1567" s="62" t="s">
        <v>53171</v>
      </c>
      <c r="W1567" s="62" t="s">
        <v>19516</v>
      </c>
      <c r="X1567" s="62" t="s">
        <v>19517</v>
      </c>
      <c r="Y1567" s="62" t="s">
        <v>19518</v>
      </c>
      <c r="Z1567" s="62" t="s">
        <v>19519</v>
      </c>
      <c r="AA1567" s="62" t="s">
        <v>53197</v>
      </c>
      <c r="AB1567" s="62" t="s">
        <v>19520</v>
      </c>
      <c r="AC1567" s="62" t="s">
        <v>19521</v>
      </c>
      <c r="AD1567" s="62" t="s">
        <v>19522</v>
      </c>
    </row>
    <row r="1568" spans="1:30" x14ac:dyDescent="0.25">
      <c r="A1568" s="62" t="s">
        <v>109</v>
      </c>
      <c r="C1568" s="62" t="s">
        <v>19523</v>
      </c>
      <c r="F1568" s="62" t="s">
        <v>758</v>
      </c>
      <c r="G1568" s="62" t="s">
        <v>53094</v>
      </c>
      <c r="J1568" s="62" t="s">
        <v>19524</v>
      </c>
      <c r="K1568" s="62" t="s">
        <v>53120</v>
      </c>
      <c r="L1568" s="62" t="s">
        <v>19525</v>
      </c>
      <c r="M1568" s="62" t="s">
        <v>19526</v>
      </c>
      <c r="N1568" s="62" t="s">
        <v>19527</v>
      </c>
      <c r="O1568" s="62" t="s">
        <v>19528</v>
      </c>
      <c r="P1568" s="62" t="s">
        <v>53146</v>
      </c>
      <c r="Q1568" s="62" t="s">
        <v>19529</v>
      </c>
      <c r="R1568" s="62" t="s">
        <v>19530</v>
      </c>
      <c r="S1568" s="62" t="s">
        <v>19531</v>
      </c>
      <c r="U1568" s="62" t="s">
        <v>19532</v>
      </c>
      <c r="V1568" s="62" t="s">
        <v>53172</v>
      </c>
      <c r="W1568" s="62" t="s">
        <v>19533</v>
      </c>
      <c r="X1568" s="62" t="s">
        <v>19534</v>
      </c>
      <c r="Y1568" s="62" t="s">
        <v>19535</v>
      </c>
      <c r="Z1568" s="62" t="s">
        <v>19536</v>
      </c>
      <c r="AA1568" s="62" t="s">
        <v>53198</v>
      </c>
      <c r="AB1568" s="62" t="s">
        <v>19537</v>
      </c>
      <c r="AC1568" s="62" t="s">
        <v>19538</v>
      </c>
      <c r="AD1568" s="62" t="s">
        <v>19539</v>
      </c>
    </row>
    <row r="1569" spans="1:30" x14ac:dyDescent="0.25">
      <c r="A1569" s="62" t="s">
        <v>109</v>
      </c>
      <c r="C1569" s="62" t="s">
        <v>19540</v>
      </c>
      <c r="F1569" s="62" t="s">
        <v>1359</v>
      </c>
      <c r="G1569" s="62" t="s">
        <v>53095</v>
      </c>
      <c r="J1569" s="62" t="s">
        <v>19541</v>
      </c>
      <c r="K1569" s="62" t="s">
        <v>53121</v>
      </c>
      <c r="L1569" s="62" t="s">
        <v>19542</v>
      </c>
      <c r="M1569" s="62" t="s">
        <v>19543</v>
      </c>
      <c r="N1569" s="62" t="s">
        <v>19544</v>
      </c>
      <c r="O1569" s="62" t="s">
        <v>19545</v>
      </c>
      <c r="P1569" s="62" t="s">
        <v>53147</v>
      </c>
      <c r="Q1569" s="62" t="s">
        <v>19546</v>
      </c>
      <c r="R1569" s="62" t="s">
        <v>19547</v>
      </c>
      <c r="S1569" s="62" t="s">
        <v>19548</v>
      </c>
      <c r="U1569" s="62" t="s">
        <v>19549</v>
      </c>
      <c r="V1569" s="62" t="s">
        <v>53173</v>
      </c>
      <c r="W1569" s="62" t="s">
        <v>19550</v>
      </c>
      <c r="X1569" s="62" t="s">
        <v>19551</v>
      </c>
      <c r="Y1569" s="62" t="s">
        <v>19552</v>
      </c>
      <c r="Z1569" s="62" t="s">
        <v>19553</v>
      </c>
      <c r="AA1569" s="62" t="s">
        <v>53199</v>
      </c>
      <c r="AB1569" s="62" t="s">
        <v>19554</v>
      </c>
      <c r="AC1569" s="62" t="s">
        <v>19555</v>
      </c>
      <c r="AD1569" s="62" t="s">
        <v>19556</v>
      </c>
    </row>
    <row r="1570" spans="1:30" x14ac:dyDescent="0.25">
      <c r="A1570" s="62" t="s">
        <v>109</v>
      </c>
      <c r="C1570" s="62" t="s">
        <v>19557</v>
      </c>
      <c r="F1570" s="62" t="s">
        <v>827</v>
      </c>
      <c r="G1570" s="62" t="s">
        <v>53096</v>
      </c>
      <c r="J1570" s="62" t="s">
        <v>19558</v>
      </c>
      <c r="K1570" s="62" t="s">
        <v>53122</v>
      </c>
      <c r="L1570" s="62" t="s">
        <v>19559</v>
      </c>
      <c r="M1570" s="62" t="s">
        <v>19560</v>
      </c>
      <c r="N1570" s="62" t="s">
        <v>19561</v>
      </c>
      <c r="O1570" s="62" t="s">
        <v>19562</v>
      </c>
      <c r="P1570" s="62" t="s">
        <v>53148</v>
      </c>
      <c r="Q1570" s="62" t="s">
        <v>19563</v>
      </c>
      <c r="R1570" s="62" t="s">
        <v>19564</v>
      </c>
      <c r="S1570" s="62" t="s">
        <v>19565</v>
      </c>
      <c r="U1570" s="62" t="s">
        <v>19566</v>
      </c>
      <c r="V1570" s="62" t="s">
        <v>53174</v>
      </c>
      <c r="W1570" s="62" t="s">
        <v>19567</v>
      </c>
      <c r="X1570" s="62" t="s">
        <v>19568</v>
      </c>
      <c r="Y1570" s="62" t="s">
        <v>19569</v>
      </c>
      <c r="Z1570" s="62" t="s">
        <v>19570</v>
      </c>
      <c r="AA1570" s="62" t="s">
        <v>53200</v>
      </c>
      <c r="AB1570" s="62" t="s">
        <v>19571</v>
      </c>
      <c r="AC1570" s="62" t="s">
        <v>19572</v>
      </c>
      <c r="AD1570" s="62" t="s">
        <v>19573</v>
      </c>
    </row>
    <row r="1571" spans="1:30" x14ac:dyDescent="0.25">
      <c r="A1571" s="62" t="s">
        <v>109</v>
      </c>
      <c r="C1571" s="62" t="s">
        <v>19574</v>
      </c>
      <c r="F1571" s="62" t="s">
        <v>837</v>
      </c>
      <c r="G1571" s="62" t="s">
        <v>53097</v>
      </c>
      <c r="J1571" s="62" t="s">
        <v>19575</v>
      </c>
      <c r="K1571" s="62" t="s">
        <v>53123</v>
      </c>
      <c r="L1571" s="62" t="s">
        <v>19576</v>
      </c>
      <c r="M1571" s="62" t="s">
        <v>19577</v>
      </c>
      <c r="N1571" s="62" t="s">
        <v>19578</v>
      </c>
      <c r="O1571" s="62" t="s">
        <v>19579</v>
      </c>
      <c r="P1571" s="62" t="s">
        <v>53149</v>
      </c>
      <c r="Q1571" s="62" t="s">
        <v>19580</v>
      </c>
      <c r="R1571" s="62" t="s">
        <v>19581</v>
      </c>
      <c r="S1571" s="62" t="s">
        <v>19582</v>
      </c>
      <c r="U1571" s="62" t="s">
        <v>19583</v>
      </c>
      <c r="V1571" s="62" t="s">
        <v>53175</v>
      </c>
      <c r="W1571" s="62" t="s">
        <v>19584</v>
      </c>
      <c r="X1571" s="62" t="s">
        <v>19585</v>
      </c>
      <c r="Y1571" s="62" t="s">
        <v>19586</v>
      </c>
      <c r="Z1571" s="62" t="s">
        <v>19587</v>
      </c>
      <c r="AA1571" s="62" t="s">
        <v>53201</v>
      </c>
      <c r="AB1571" s="62" t="s">
        <v>19588</v>
      </c>
      <c r="AC1571" s="62" t="s">
        <v>19589</v>
      </c>
      <c r="AD1571" s="62" t="s">
        <v>19590</v>
      </c>
    </row>
    <row r="1572" spans="1:30" x14ac:dyDescent="0.25">
      <c r="A1572" s="62" t="s">
        <v>109</v>
      </c>
      <c r="C1572" s="62" t="s">
        <v>19591</v>
      </c>
      <c r="F1572" s="62" t="s">
        <v>872</v>
      </c>
      <c r="G1572" s="62" t="s">
        <v>53098</v>
      </c>
      <c r="J1572" s="62" t="s">
        <v>19592</v>
      </c>
      <c r="K1572" s="62" t="s">
        <v>53124</v>
      </c>
      <c r="L1572" s="62" t="s">
        <v>19593</v>
      </c>
      <c r="M1572" s="62" t="s">
        <v>19594</v>
      </c>
      <c r="N1572" s="62" t="s">
        <v>19595</v>
      </c>
      <c r="O1572" s="62" t="s">
        <v>19596</v>
      </c>
      <c r="P1572" s="62" t="s">
        <v>53150</v>
      </c>
      <c r="Q1572" s="62" t="s">
        <v>19597</v>
      </c>
      <c r="R1572" s="62" t="s">
        <v>19598</v>
      </c>
      <c r="S1572" s="62" t="s">
        <v>19599</v>
      </c>
      <c r="U1572" s="62" t="s">
        <v>19600</v>
      </c>
      <c r="V1572" s="62" t="s">
        <v>53176</v>
      </c>
      <c r="W1572" s="62" t="s">
        <v>19601</v>
      </c>
      <c r="X1572" s="62" t="s">
        <v>19602</v>
      </c>
      <c r="Y1572" s="62" t="s">
        <v>19603</v>
      </c>
      <c r="Z1572" s="62" t="s">
        <v>19604</v>
      </c>
      <c r="AA1572" s="62" t="s">
        <v>53202</v>
      </c>
      <c r="AB1572" s="62" t="s">
        <v>19605</v>
      </c>
      <c r="AC1572" s="62" t="s">
        <v>19606</v>
      </c>
      <c r="AD1572" s="62" t="s">
        <v>19607</v>
      </c>
    </row>
    <row r="1573" spans="1:30" x14ac:dyDescent="0.25">
      <c r="A1573" s="62" t="s">
        <v>109</v>
      </c>
      <c r="C1573" s="62" t="s">
        <v>19608</v>
      </c>
      <c r="F1573" s="62" t="s">
        <v>925</v>
      </c>
      <c r="G1573" s="62" t="s">
        <v>53099</v>
      </c>
      <c r="J1573" s="62" t="s">
        <v>19609</v>
      </c>
      <c r="K1573" s="62" t="s">
        <v>53125</v>
      </c>
      <c r="L1573" s="62" t="s">
        <v>19610</v>
      </c>
      <c r="M1573" s="62" t="s">
        <v>19611</v>
      </c>
      <c r="N1573" s="62" t="s">
        <v>19612</v>
      </c>
      <c r="O1573" s="62" t="s">
        <v>19613</v>
      </c>
      <c r="P1573" s="62" t="s">
        <v>53151</v>
      </c>
      <c r="Q1573" s="62" t="s">
        <v>19614</v>
      </c>
      <c r="R1573" s="62" t="s">
        <v>19615</v>
      </c>
      <c r="S1573" s="62" t="s">
        <v>19616</v>
      </c>
      <c r="U1573" s="62" t="s">
        <v>19617</v>
      </c>
      <c r="V1573" s="62" t="s">
        <v>53177</v>
      </c>
      <c r="W1573" s="62" t="s">
        <v>19618</v>
      </c>
      <c r="X1573" s="62" t="s">
        <v>19619</v>
      </c>
      <c r="Y1573" s="62" t="s">
        <v>19620</v>
      </c>
      <c r="Z1573" s="62" t="s">
        <v>19621</v>
      </c>
      <c r="AA1573" s="62" t="s">
        <v>53203</v>
      </c>
      <c r="AB1573" s="62" t="s">
        <v>19622</v>
      </c>
      <c r="AC1573" s="62" t="s">
        <v>19623</v>
      </c>
      <c r="AD1573" s="62" t="s">
        <v>19624</v>
      </c>
    </row>
    <row r="1574" spans="1:30" x14ac:dyDescent="0.25">
      <c r="A1574" s="62" t="s">
        <v>109</v>
      </c>
      <c r="C1574" s="62" t="s">
        <v>19625</v>
      </c>
      <c r="F1574" s="62" t="s">
        <v>176</v>
      </c>
      <c r="G1574" s="62" t="s">
        <v>53100</v>
      </c>
      <c r="J1574" s="62" t="s">
        <v>19626</v>
      </c>
      <c r="K1574" s="62" t="s">
        <v>53126</v>
      </c>
      <c r="L1574" s="62" t="s">
        <v>19627</v>
      </c>
      <c r="M1574" s="62" t="s">
        <v>19628</v>
      </c>
      <c r="N1574" s="62" t="s">
        <v>19629</v>
      </c>
      <c r="O1574" s="62" t="s">
        <v>19630</v>
      </c>
      <c r="P1574" s="62" t="s">
        <v>53152</v>
      </c>
      <c r="Q1574" s="62" t="s">
        <v>19631</v>
      </c>
      <c r="R1574" s="62" t="s">
        <v>19632</v>
      </c>
      <c r="S1574" s="62" t="s">
        <v>19633</v>
      </c>
      <c r="U1574" s="62" t="s">
        <v>19634</v>
      </c>
      <c r="V1574" s="62" t="s">
        <v>53178</v>
      </c>
      <c r="W1574" s="62" t="s">
        <v>19635</v>
      </c>
      <c r="X1574" s="62" t="s">
        <v>19636</v>
      </c>
      <c r="Y1574" s="62" t="s">
        <v>19637</v>
      </c>
      <c r="Z1574" s="62" t="s">
        <v>19638</v>
      </c>
      <c r="AA1574" s="62" t="s">
        <v>53204</v>
      </c>
      <c r="AB1574" s="62" t="s">
        <v>19639</v>
      </c>
      <c r="AC1574" s="62" t="s">
        <v>19640</v>
      </c>
      <c r="AD1574" s="62" t="s">
        <v>19641</v>
      </c>
    </row>
    <row r="1575" spans="1:30" x14ac:dyDescent="0.25">
      <c r="A1575" s="62" t="s">
        <v>109</v>
      </c>
      <c r="C1575" s="62" t="s">
        <v>19642</v>
      </c>
      <c r="F1575" s="62" t="s">
        <v>985</v>
      </c>
      <c r="G1575" s="62" t="s">
        <v>53101</v>
      </c>
      <c r="J1575" s="62" t="s">
        <v>19643</v>
      </c>
      <c r="K1575" s="62" t="s">
        <v>53127</v>
      </c>
      <c r="L1575" s="62" t="s">
        <v>19644</v>
      </c>
      <c r="M1575" s="62" t="s">
        <v>19645</v>
      </c>
      <c r="N1575" s="62" t="s">
        <v>19646</v>
      </c>
      <c r="O1575" s="62" t="s">
        <v>19647</v>
      </c>
      <c r="P1575" s="62" t="s">
        <v>53153</v>
      </c>
      <c r="Q1575" s="62" t="s">
        <v>19648</v>
      </c>
      <c r="R1575" s="62" t="s">
        <v>19649</v>
      </c>
      <c r="S1575" s="62" t="s">
        <v>19650</v>
      </c>
      <c r="U1575" s="62" t="s">
        <v>19651</v>
      </c>
      <c r="V1575" s="62" t="s">
        <v>53179</v>
      </c>
      <c r="W1575" s="62" t="s">
        <v>19652</v>
      </c>
      <c r="X1575" s="62" t="s">
        <v>19653</v>
      </c>
      <c r="Y1575" s="62" t="s">
        <v>19654</v>
      </c>
      <c r="Z1575" s="62" t="s">
        <v>19655</v>
      </c>
      <c r="AA1575" s="62" t="s">
        <v>53205</v>
      </c>
      <c r="AB1575" s="62" t="s">
        <v>19656</v>
      </c>
      <c r="AC1575" s="62" t="s">
        <v>19657</v>
      </c>
      <c r="AD1575" s="62" t="s">
        <v>19658</v>
      </c>
    </row>
    <row r="1576" spans="1:30" x14ac:dyDescent="0.25">
      <c r="A1576" s="62" t="s">
        <v>109</v>
      </c>
      <c r="C1576" s="62" t="s">
        <v>19659</v>
      </c>
      <c r="F1576" s="62" t="s">
        <v>1002</v>
      </c>
      <c r="G1576" s="62" t="s">
        <v>53102</v>
      </c>
      <c r="J1576" s="62" t="s">
        <v>19660</v>
      </c>
      <c r="K1576" s="62" t="s">
        <v>53128</v>
      </c>
      <c r="L1576" s="62" t="s">
        <v>19661</v>
      </c>
      <c r="M1576" s="62" t="s">
        <v>19662</v>
      </c>
      <c r="N1576" s="62" t="s">
        <v>19663</v>
      </c>
      <c r="O1576" s="62" t="s">
        <v>19664</v>
      </c>
      <c r="P1576" s="62" t="s">
        <v>53154</v>
      </c>
      <c r="Q1576" s="62" t="s">
        <v>19665</v>
      </c>
      <c r="R1576" s="62" t="s">
        <v>19666</v>
      </c>
      <c r="S1576" s="62" t="s">
        <v>19667</v>
      </c>
      <c r="U1576" s="62" t="s">
        <v>19668</v>
      </c>
      <c r="V1576" s="62" t="s">
        <v>53180</v>
      </c>
      <c r="W1576" s="62" t="s">
        <v>19669</v>
      </c>
      <c r="X1576" s="62" t="s">
        <v>19670</v>
      </c>
      <c r="Y1576" s="62" t="s">
        <v>19671</v>
      </c>
      <c r="Z1576" s="62" t="s">
        <v>19672</v>
      </c>
      <c r="AA1576" s="62" t="s">
        <v>53206</v>
      </c>
      <c r="AB1576" s="62" t="s">
        <v>19673</v>
      </c>
      <c r="AC1576" s="62" t="s">
        <v>19674</v>
      </c>
      <c r="AD1576" s="62" t="s">
        <v>19675</v>
      </c>
    </row>
    <row r="1577" spans="1:30" x14ac:dyDescent="0.25">
      <c r="A1577" s="62" t="s">
        <v>109</v>
      </c>
      <c r="C1577" s="62" t="s">
        <v>19676</v>
      </c>
      <c r="F1577" s="62" t="s">
        <v>1012</v>
      </c>
      <c r="G1577" s="62" t="s">
        <v>53103</v>
      </c>
      <c r="J1577" s="62" t="s">
        <v>19677</v>
      </c>
      <c r="K1577" s="62" t="s">
        <v>53129</v>
      </c>
      <c r="L1577" s="62" t="s">
        <v>19678</v>
      </c>
      <c r="M1577" s="62" t="s">
        <v>19679</v>
      </c>
      <c r="N1577" s="62" t="s">
        <v>19680</v>
      </c>
      <c r="O1577" s="62" t="s">
        <v>19681</v>
      </c>
      <c r="P1577" s="62" t="s">
        <v>53155</v>
      </c>
      <c r="Q1577" s="62" t="s">
        <v>19682</v>
      </c>
      <c r="R1577" s="62" t="s">
        <v>19683</v>
      </c>
      <c r="S1577" s="62" t="s">
        <v>19684</v>
      </c>
      <c r="U1577" s="62" t="s">
        <v>19685</v>
      </c>
      <c r="V1577" s="62" t="s">
        <v>53181</v>
      </c>
      <c r="W1577" s="62" t="s">
        <v>19686</v>
      </c>
      <c r="X1577" s="62" t="s">
        <v>19687</v>
      </c>
      <c r="Y1577" s="62" t="s">
        <v>19688</v>
      </c>
      <c r="Z1577" s="62" t="s">
        <v>19689</v>
      </c>
      <c r="AA1577" s="62" t="s">
        <v>53207</v>
      </c>
      <c r="AB1577" s="62" t="s">
        <v>19690</v>
      </c>
      <c r="AC1577" s="62" t="s">
        <v>19691</v>
      </c>
      <c r="AD1577" s="62" t="s">
        <v>19692</v>
      </c>
    </row>
    <row r="1578" spans="1:30" x14ac:dyDescent="0.25">
      <c r="A1578" s="62" t="s">
        <v>109</v>
      </c>
      <c r="C1578" s="62" t="s">
        <v>19693</v>
      </c>
      <c r="F1578" s="62" t="s">
        <v>1047</v>
      </c>
      <c r="G1578" s="62" t="s">
        <v>53104</v>
      </c>
      <c r="J1578" s="62" t="s">
        <v>19694</v>
      </c>
      <c r="K1578" s="62" t="s">
        <v>53130</v>
      </c>
      <c r="L1578" s="62" t="s">
        <v>19695</v>
      </c>
      <c r="M1578" s="62" t="s">
        <v>19696</v>
      </c>
      <c r="N1578" s="62" t="s">
        <v>19697</v>
      </c>
      <c r="O1578" s="62" t="s">
        <v>19698</v>
      </c>
      <c r="P1578" s="62" t="s">
        <v>53156</v>
      </c>
      <c r="Q1578" s="62" t="s">
        <v>19699</v>
      </c>
      <c r="R1578" s="62" t="s">
        <v>19700</v>
      </c>
      <c r="S1578" s="62" t="s">
        <v>19701</v>
      </c>
      <c r="U1578" s="62" t="s">
        <v>19702</v>
      </c>
      <c r="V1578" s="62" t="s">
        <v>53182</v>
      </c>
      <c r="W1578" s="62" t="s">
        <v>19703</v>
      </c>
      <c r="X1578" s="62" t="s">
        <v>19704</v>
      </c>
      <c r="Y1578" s="62" t="s">
        <v>19705</v>
      </c>
      <c r="Z1578" s="62" t="s">
        <v>19706</v>
      </c>
      <c r="AA1578" s="62" t="s">
        <v>53208</v>
      </c>
      <c r="AB1578" s="62" t="s">
        <v>19707</v>
      </c>
      <c r="AC1578" s="62" t="s">
        <v>19708</v>
      </c>
      <c r="AD1578" s="62" t="s">
        <v>19709</v>
      </c>
    </row>
    <row r="1579" spans="1:30" x14ac:dyDescent="0.25">
      <c r="A1579" s="62" t="s">
        <v>109</v>
      </c>
      <c r="C1579" s="62" t="s">
        <v>19710</v>
      </c>
      <c r="F1579" s="62" t="s">
        <v>1064</v>
      </c>
      <c r="G1579" s="62" t="s">
        <v>53105</v>
      </c>
      <c r="J1579" s="62" t="s">
        <v>19711</v>
      </c>
      <c r="K1579" s="62" t="s">
        <v>53131</v>
      </c>
      <c r="L1579" s="62" t="s">
        <v>19712</v>
      </c>
      <c r="M1579" s="62" t="s">
        <v>19713</v>
      </c>
      <c r="N1579" s="62" t="s">
        <v>19714</v>
      </c>
      <c r="O1579" s="62" t="s">
        <v>19715</v>
      </c>
      <c r="P1579" s="62" t="s">
        <v>53157</v>
      </c>
      <c r="Q1579" s="62" t="s">
        <v>19716</v>
      </c>
      <c r="R1579" s="62" t="s">
        <v>19717</v>
      </c>
      <c r="S1579" s="62" t="s">
        <v>19718</v>
      </c>
      <c r="U1579" s="62" t="s">
        <v>19719</v>
      </c>
      <c r="V1579" s="62" t="s">
        <v>53183</v>
      </c>
      <c r="W1579" s="62" t="s">
        <v>19720</v>
      </c>
      <c r="X1579" s="62" t="s">
        <v>19721</v>
      </c>
      <c r="Y1579" s="62" t="s">
        <v>19722</v>
      </c>
      <c r="Z1579" s="62" t="s">
        <v>19723</v>
      </c>
      <c r="AA1579" s="62" t="s">
        <v>53209</v>
      </c>
      <c r="AB1579" s="62" t="s">
        <v>19724</v>
      </c>
      <c r="AC1579" s="62" t="s">
        <v>19725</v>
      </c>
      <c r="AD1579" s="62" t="s">
        <v>19726</v>
      </c>
    </row>
    <row r="1580" spans="1:30" x14ac:dyDescent="0.25">
      <c r="A1580" s="62" t="s">
        <v>109</v>
      </c>
      <c r="C1580" s="62" t="s">
        <v>19727</v>
      </c>
      <c r="F1580" s="62" t="s">
        <v>1100</v>
      </c>
      <c r="G1580" s="62" t="s">
        <v>53106</v>
      </c>
      <c r="J1580" s="62" t="s">
        <v>19728</v>
      </c>
      <c r="K1580" s="62" t="s">
        <v>53132</v>
      </c>
      <c r="L1580" s="62" t="s">
        <v>19729</v>
      </c>
      <c r="M1580" s="62" t="s">
        <v>19730</v>
      </c>
      <c r="N1580" s="62" t="s">
        <v>19731</v>
      </c>
      <c r="O1580" s="62" t="s">
        <v>19732</v>
      </c>
      <c r="P1580" s="62" t="s">
        <v>53158</v>
      </c>
      <c r="Q1580" s="62" t="s">
        <v>19733</v>
      </c>
      <c r="R1580" s="62" t="s">
        <v>19734</v>
      </c>
      <c r="S1580" s="62" t="s">
        <v>19735</v>
      </c>
      <c r="U1580" s="62" t="s">
        <v>19736</v>
      </c>
      <c r="V1580" s="62" t="s">
        <v>53184</v>
      </c>
      <c r="W1580" s="62" t="s">
        <v>19737</v>
      </c>
      <c r="X1580" s="62" t="s">
        <v>19738</v>
      </c>
      <c r="Y1580" s="62" t="s">
        <v>19739</v>
      </c>
      <c r="Z1580" s="62" t="s">
        <v>19740</v>
      </c>
      <c r="AA1580" s="62" t="s">
        <v>53210</v>
      </c>
      <c r="AB1580" s="62" t="s">
        <v>19741</v>
      </c>
      <c r="AC1580" s="62" t="s">
        <v>19742</v>
      </c>
      <c r="AD1580" s="62" t="s">
        <v>19743</v>
      </c>
    </row>
    <row r="1581" spans="1:30" x14ac:dyDescent="0.25">
      <c r="A1581" s="62" t="s">
        <v>109</v>
      </c>
      <c r="C1581" s="62" t="s">
        <v>19744</v>
      </c>
      <c r="F1581" s="62" t="s">
        <v>1118</v>
      </c>
      <c r="G1581" s="62" t="s">
        <v>53107</v>
      </c>
      <c r="J1581" s="62" t="s">
        <v>19745</v>
      </c>
      <c r="K1581" s="62" t="s">
        <v>53133</v>
      </c>
      <c r="L1581" s="62" t="s">
        <v>19746</v>
      </c>
      <c r="M1581" s="62" t="s">
        <v>19747</v>
      </c>
      <c r="N1581" s="62" t="s">
        <v>19748</v>
      </c>
      <c r="O1581" s="62" t="s">
        <v>19749</v>
      </c>
      <c r="P1581" s="62" t="s">
        <v>53159</v>
      </c>
      <c r="Q1581" s="62" t="s">
        <v>19750</v>
      </c>
      <c r="R1581" s="62" t="s">
        <v>19751</v>
      </c>
      <c r="S1581" s="62" t="s">
        <v>19752</v>
      </c>
      <c r="U1581" s="62" t="s">
        <v>19753</v>
      </c>
      <c r="V1581" s="62" t="s">
        <v>53185</v>
      </c>
      <c r="W1581" s="62" t="s">
        <v>19754</v>
      </c>
      <c r="X1581" s="62" t="s">
        <v>19755</v>
      </c>
      <c r="Y1581" s="62" t="s">
        <v>19756</v>
      </c>
      <c r="Z1581" s="62" t="s">
        <v>19757</v>
      </c>
      <c r="AA1581" s="62" t="s">
        <v>53211</v>
      </c>
      <c r="AB1581" s="62" t="s">
        <v>19758</v>
      </c>
      <c r="AC1581" s="62" t="s">
        <v>19759</v>
      </c>
      <c r="AD1581" s="62" t="s">
        <v>19760</v>
      </c>
    </row>
    <row r="1582" spans="1:30" x14ac:dyDescent="0.25">
      <c r="A1582" s="62" t="s">
        <v>109</v>
      </c>
      <c r="C1582" s="62" t="s">
        <v>19761</v>
      </c>
      <c r="F1582" s="62" t="s">
        <v>1240</v>
      </c>
      <c r="G1582" s="62" t="s">
        <v>53108</v>
      </c>
      <c r="J1582" s="62" t="s">
        <v>19762</v>
      </c>
      <c r="K1582" s="62" t="s">
        <v>53134</v>
      </c>
      <c r="L1582" s="62" t="s">
        <v>19763</v>
      </c>
      <c r="M1582" s="62" t="s">
        <v>19764</v>
      </c>
      <c r="N1582" s="62" t="s">
        <v>19765</v>
      </c>
      <c r="O1582" s="62" t="s">
        <v>19766</v>
      </c>
      <c r="P1582" s="62" t="s">
        <v>53160</v>
      </c>
      <c r="Q1582" s="62" t="s">
        <v>19767</v>
      </c>
      <c r="R1582" s="62" t="s">
        <v>19768</v>
      </c>
      <c r="S1582" s="62" t="s">
        <v>19769</v>
      </c>
      <c r="U1582" s="62" t="s">
        <v>19770</v>
      </c>
      <c r="V1582" s="62" t="s">
        <v>53186</v>
      </c>
      <c r="W1582" s="62" t="s">
        <v>19771</v>
      </c>
      <c r="X1582" s="62" t="s">
        <v>19772</v>
      </c>
      <c r="Y1582" s="62" t="s">
        <v>19773</v>
      </c>
      <c r="Z1582" s="62" t="s">
        <v>19774</v>
      </c>
      <c r="AA1582" s="62" t="s">
        <v>53212</v>
      </c>
      <c r="AB1582" s="62" t="s">
        <v>19775</v>
      </c>
      <c r="AC1582" s="62" t="s">
        <v>19776</v>
      </c>
      <c r="AD1582" s="62" t="s">
        <v>19777</v>
      </c>
    </row>
    <row r="1583" spans="1:30" x14ac:dyDescent="0.25">
      <c r="A1583" s="62" t="s">
        <v>109</v>
      </c>
      <c r="C1583" s="62" t="s">
        <v>43560</v>
      </c>
      <c r="F1583" s="62" t="s">
        <v>1249</v>
      </c>
      <c r="G1583" s="62" t="s">
        <v>53109</v>
      </c>
      <c r="J1583" s="62" t="s">
        <v>43561</v>
      </c>
      <c r="K1583" s="62" t="s">
        <v>53135</v>
      </c>
      <c r="L1583" s="62" t="s">
        <v>43562</v>
      </c>
      <c r="M1583" s="62" t="s">
        <v>43563</v>
      </c>
      <c r="N1583" s="62" t="s">
        <v>43564</v>
      </c>
      <c r="O1583" s="62" t="s">
        <v>43565</v>
      </c>
      <c r="P1583" s="62" t="s">
        <v>53161</v>
      </c>
      <c r="Q1583" s="62" t="s">
        <v>43566</v>
      </c>
      <c r="R1583" s="62" t="s">
        <v>43567</v>
      </c>
      <c r="S1583" s="62" t="s">
        <v>43568</v>
      </c>
      <c r="U1583" s="62" t="s">
        <v>43569</v>
      </c>
      <c r="V1583" s="62" t="s">
        <v>53187</v>
      </c>
      <c r="W1583" s="62" t="s">
        <v>43570</v>
      </c>
      <c r="X1583" s="62" t="s">
        <v>43571</v>
      </c>
      <c r="Y1583" s="62" t="s">
        <v>43572</v>
      </c>
      <c r="Z1583" s="62" t="s">
        <v>43573</v>
      </c>
      <c r="AA1583" s="62" t="s">
        <v>53213</v>
      </c>
      <c r="AB1583" s="62" t="s">
        <v>43574</v>
      </c>
      <c r="AC1583" s="62" t="s">
        <v>43575</v>
      </c>
      <c r="AD1583" s="62" t="s">
        <v>43576</v>
      </c>
    </row>
    <row r="1584" spans="1:30" x14ac:dyDescent="0.25">
      <c r="A1584" s="62" t="s">
        <v>109</v>
      </c>
      <c r="C1584" s="62" t="s">
        <v>19778</v>
      </c>
      <c r="F1584" s="62" t="s">
        <v>1277</v>
      </c>
      <c r="G1584" s="62" t="s">
        <v>53110</v>
      </c>
      <c r="J1584" s="62" t="s">
        <v>43577</v>
      </c>
      <c r="K1584" s="62" t="s">
        <v>53136</v>
      </c>
      <c r="L1584" s="62" t="s">
        <v>43578</v>
      </c>
      <c r="M1584" s="62" t="s">
        <v>19779</v>
      </c>
      <c r="N1584" s="62" t="s">
        <v>19780</v>
      </c>
      <c r="O1584" s="62" t="s">
        <v>43579</v>
      </c>
      <c r="P1584" s="62" t="s">
        <v>53162</v>
      </c>
      <c r="Q1584" s="62" t="s">
        <v>43580</v>
      </c>
      <c r="R1584" s="62" t="s">
        <v>19781</v>
      </c>
      <c r="S1584" s="62" t="s">
        <v>19782</v>
      </c>
      <c r="U1584" s="62" t="s">
        <v>43581</v>
      </c>
      <c r="V1584" s="62" t="s">
        <v>53188</v>
      </c>
      <c r="W1584" s="62" t="s">
        <v>43582</v>
      </c>
      <c r="X1584" s="62" t="s">
        <v>19783</v>
      </c>
      <c r="Y1584" s="62" t="s">
        <v>19784</v>
      </c>
      <c r="Z1584" s="62" t="s">
        <v>43583</v>
      </c>
      <c r="AA1584" s="62" t="s">
        <v>53214</v>
      </c>
      <c r="AB1584" s="62" t="s">
        <v>43584</v>
      </c>
      <c r="AC1584" s="62" t="s">
        <v>19785</v>
      </c>
      <c r="AD1584" s="62" t="s">
        <v>19786</v>
      </c>
    </row>
    <row r="1585" spans="1:30" x14ac:dyDescent="0.25">
      <c r="A1585" s="62" t="s">
        <v>109</v>
      </c>
      <c r="C1585" s="62" t="s">
        <v>43585</v>
      </c>
      <c r="F1585" s="62" t="s">
        <v>1795</v>
      </c>
      <c r="G1585" s="62" t="s">
        <v>53111</v>
      </c>
      <c r="J1585" s="62" t="s">
        <v>43586</v>
      </c>
      <c r="K1585" s="62" t="s">
        <v>53137</v>
      </c>
      <c r="L1585" s="62" t="s">
        <v>43587</v>
      </c>
      <c r="M1585" s="62" t="s">
        <v>43588</v>
      </c>
      <c r="N1585" s="62" t="s">
        <v>43589</v>
      </c>
      <c r="O1585" s="62" t="s">
        <v>43590</v>
      </c>
      <c r="P1585" s="62" t="s">
        <v>53163</v>
      </c>
      <c r="Q1585" s="62" t="s">
        <v>43591</v>
      </c>
      <c r="R1585" s="62" t="s">
        <v>43592</v>
      </c>
      <c r="S1585" s="62" t="s">
        <v>43593</v>
      </c>
      <c r="U1585" s="62" t="s">
        <v>43594</v>
      </c>
      <c r="V1585" s="62" t="s">
        <v>53189</v>
      </c>
      <c r="W1585" s="62" t="s">
        <v>43595</v>
      </c>
      <c r="X1585" s="62" t="s">
        <v>43596</v>
      </c>
      <c r="Y1585" s="62" t="s">
        <v>43597</v>
      </c>
      <c r="Z1585" s="62" t="s">
        <v>43598</v>
      </c>
      <c r="AA1585" s="62" t="s">
        <v>53215</v>
      </c>
      <c r="AB1585" s="62" t="s">
        <v>43599</v>
      </c>
      <c r="AC1585" s="62" t="s">
        <v>43600</v>
      </c>
      <c r="AD1585" s="62" t="s">
        <v>43601</v>
      </c>
    </row>
    <row r="1586" spans="1:30" x14ac:dyDescent="0.25">
      <c r="A1586" s="62" t="s">
        <v>109</v>
      </c>
      <c r="C1586" s="62" t="s">
        <v>43602</v>
      </c>
      <c r="F1586" s="62" t="s">
        <v>1286</v>
      </c>
      <c r="G1586" s="62" t="s">
        <v>53112</v>
      </c>
      <c r="J1586" s="62" t="s">
        <v>43603</v>
      </c>
      <c r="K1586" s="62" t="s">
        <v>53138</v>
      </c>
      <c r="L1586" s="62" t="s">
        <v>43604</v>
      </c>
      <c r="M1586" s="62" t="s">
        <v>43605</v>
      </c>
      <c r="N1586" s="62" t="s">
        <v>43606</v>
      </c>
      <c r="O1586" s="62" t="s">
        <v>43607</v>
      </c>
      <c r="P1586" s="62" t="s">
        <v>53164</v>
      </c>
      <c r="Q1586" s="62" t="s">
        <v>43608</v>
      </c>
      <c r="R1586" s="62" t="s">
        <v>43609</v>
      </c>
      <c r="S1586" s="62" t="s">
        <v>43610</v>
      </c>
      <c r="U1586" s="62" t="s">
        <v>43611</v>
      </c>
      <c r="V1586" s="62" t="s">
        <v>53190</v>
      </c>
      <c r="W1586" s="62" t="s">
        <v>43612</v>
      </c>
      <c r="X1586" s="62" t="s">
        <v>43613</v>
      </c>
      <c r="Y1586" s="62" t="s">
        <v>43614</v>
      </c>
      <c r="Z1586" s="62" t="s">
        <v>43615</v>
      </c>
      <c r="AA1586" s="62" t="s">
        <v>53216</v>
      </c>
      <c r="AB1586" s="62" t="s">
        <v>43616</v>
      </c>
      <c r="AC1586" s="62" t="s">
        <v>43617</v>
      </c>
      <c r="AD1586" s="62" t="s">
        <v>43618</v>
      </c>
    </row>
    <row r="1587" spans="1:30" x14ac:dyDescent="0.25">
      <c r="A1587" s="62" t="s">
        <v>109</v>
      </c>
      <c r="C1587" s="62" t="s">
        <v>19788</v>
      </c>
      <c r="F1587" s="62" t="s">
        <v>1287</v>
      </c>
      <c r="G1587" s="62" t="s">
        <v>53113</v>
      </c>
      <c r="J1587" s="62" t="s">
        <v>43619</v>
      </c>
      <c r="K1587" s="62" t="s">
        <v>53139</v>
      </c>
      <c r="L1587" s="62" t="s">
        <v>43620</v>
      </c>
      <c r="M1587" s="62" t="s">
        <v>43621</v>
      </c>
      <c r="N1587" s="62" t="s">
        <v>43622</v>
      </c>
      <c r="O1587" s="62" t="s">
        <v>43623</v>
      </c>
      <c r="P1587" s="62" t="s">
        <v>53165</v>
      </c>
      <c r="Q1587" s="62" t="s">
        <v>43624</v>
      </c>
      <c r="R1587" s="62" t="s">
        <v>43625</v>
      </c>
      <c r="S1587" s="62" t="s">
        <v>43626</v>
      </c>
      <c r="U1587" s="62" t="s">
        <v>43627</v>
      </c>
      <c r="V1587" s="62" t="s">
        <v>53191</v>
      </c>
      <c r="W1587" s="62" t="s">
        <v>43628</v>
      </c>
      <c r="X1587" s="62" t="s">
        <v>43629</v>
      </c>
      <c r="Y1587" s="62" t="s">
        <v>43630</v>
      </c>
      <c r="Z1587" s="62" t="s">
        <v>43631</v>
      </c>
      <c r="AA1587" s="62" t="s">
        <v>53217</v>
      </c>
      <c r="AB1587" s="62" t="s">
        <v>43632</v>
      </c>
      <c r="AC1587" s="62" t="s">
        <v>43633</v>
      </c>
      <c r="AD1587" s="62" t="s">
        <v>43634</v>
      </c>
    </row>
    <row r="1588" spans="1:30" x14ac:dyDescent="0.25">
      <c r="A1588" s="62" t="s">
        <v>109</v>
      </c>
      <c r="C1588" s="62" t="s">
        <v>19789</v>
      </c>
      <c r="F1588" s="62" t="s">
        <v>1288</v>
      </c>
      <c r="G1588" s="62" t="s">
        <v>53114</v>
      </c>
      <c r="J1588" s="62" t="s">
        <v>19790</v>
      </c>
      <c r="K1588" s="62" t="s">
        <v>53140</v>
      </c>
      <c r="L1588" s="62" t="s">
        <v>19791</v>
      </c>
      <c r="M1588" s="62" t="s">
        <v>19792</v>
      </c>
      <c r="N1588" s="62" t="s">
        <v>19793</v>
      </c>
      <c r="O1588" s="62" t="s">
        <v>19794</v>
      </c>
      <c r="P1588" s="62" t="s">
        <v>53166</v>
      </c>
      <c r="Q1588" s="62" t="s">
        <v>19795</v>
      </c>
      <c r="R1588" s="62" t="s">
        <v>19796</v>
      </c>
      <c r="S1588" s="62" t="s">
        <v>19797</v>
      </c>
      <c r="U1588" s="62" t="s">
        <v>19798</v>
      </c>
      <c r="V1588" s="62" t="s">
        <v>53192</v>
      </c>
      <c r="W1588" s="62" t="s">
        <v>19799</v>
      </c>
      <c r="X1588" s="62" t="s">
        <v>19800</v>
      </c>
      <c r="Y1588" s="62" t="s">
        <v>19801</v>
      </c>
      <c r="Z1588" s="62" t="s">
        <v>19802</v>
      </c>
      <c r="AA1588" s="62" t="s">
        <v>53218</v>
      </c>
      <c r="AB1588" s="62" t="s">
        <v>19803</v>
      </c>
      <c r="AC1588" s="62" t="s">
        <v>19804</v>
      </c>
      <c r="AD1588" s="62" t="s">
        <v>19805</v>
      </c>
    </row>
    <row r="1589" spans="1:30" x14ac:dyDescent="0.25">
      <c r="A1589" s="62" t="s">
        <v>109</v>
      </c>
      <c r="C1589" s="62" t="s">
        <v>19806</v>
      </c>
      <c r="F1589" s="62" t="s">
        <v>1289</v>
      </c>
      <c r="G1589" s="62" t="s">
        <v>53115</v>
      </c>
      <c r="J1589" s="62" t="s">
        <v>19807</v>
      </c>
      <c r="K1589" s="62" t="s">
        <v>53141</v>
      </c>
      <c r="L1589" s="62" t="s">
        <v>19808</v>
      </c>
      <c r="M1589" s="62" t="s">
        <v>19809</v>
      </c>
      <c r="N1589" s="62" t="s">
        <v>19810</v>
      </c>
      <c r="O1589" s="62" t="s">
        <v>19811</v>
      </c>
      <c r="P1589" s="62" t="s">
        <v>53167</v>
      </c>
      <c r="Q1589" s="62" t="s">
        <v>19812</v>
      </c>
      <c r="R1589" s="62" t="s">
        <v>19813</v>
      </c>
      <c r="S1589" s="62" t="s">
        <v>19814</v>
      </c>
      <c r="U1589" s="62" t="s">
        <v>19815</v>
      </c>
      <c r="V1589" s="62" t="s">
        <v>53193</v>
      </c>
      <c r="W1589" s="62" t="s">
        <v>19816</v>
      </c>
      <c r="X1589" s="62" t="s">
        <v>19817</v>
      </c>
      <c r="Y1589" s="62" t="s">
        <v>19818</v>
      </c>
      <c r="Z1589" s="62" t="s">
        <v>19819</v>
      </c>
      <c r="AA1589" s="62" t="s">
        <v>53219</v>
      </c>
      <c r="AB1589" s="62" t="s">
        <v>19820</v>
      </c>
      <c r="AC1589" s="62" t="s">
        <v>19821</v>
      </c>
      <c r="AD1589" s="62" t="s">
        <v>19822</v>
      </c>
    </row>
    <row r="1590" spans="1:30" x14ac:dyDescent="0.25">
      <c r="A1590" s="62" t="s">
        <v>109</v>
      </c>
      <c r="C1590" s="62" t="s">
        <v>19823</v>
      </c>
      <c r="F1590" s="62" t="s">
        <v>1797</v>
      </c>
      <c r="G1590" s="62" t="s">
        <v>53116</v>
      </c>
      <c r="J1590" s="62" t="s">
        <v>19824</v>
      </c>
      <c r="K1590" s="62" t="s">
        <v>53142</v>
      </c>
      <c r="L1590" s="62" t="s">
        <v>19825</v>
      </c>
      <c r="M1590" s="62" t="s">
        <v>19826</v>
      </c>
      <c r="N1590" s="62" t="s">
        <v>19827</v>
      </c>
      <c r="O1590" s="62" t="s">
        <v>19828</v>
      </c>
      <c r="P1590" s="62" t="s">
        <v>53168</v>
      </c>
      <c r="Q1590" s="62" t="s">
        <v>19829</v>
      </c>
      <c r="R1590" s="62" t="s">
        <v>19830</v>
      </c>
      <c r="S1590" s="62" t="s">
        <v>19831</v>
      </c>
      <c r="U1590" s="62" t="s">
        <v>19832</v>
      </c>
      <c r="V1590" s="62" t="s">
        <v>53194</v>
      </c>
      <c r="W1590" s="62" t="s">
        <v>19833</v>
      </c>
      <c r="X1590" s="62" t="s">
        <v>19834</v>
      </c>
      <c r="Y1590" s="62" t="s">
        <v>19835</v>
      </c>
      <c r="Z1590" s="62" t="s">
        <v>19836</v>
      </c>
      <c r="AA1590" s="62" t="s">
        <v>53220</v>
      </c>
      <c r="AB1590" s="62" t="s">
        <v>19837</v>
      </c>
      <c r="AC1590" s="62" t="s">
        <v>19838</v>
      </c>
      <c r="AD1590" s="62" t="s">
        <v>19839</v>
      </c>
    </row>
    <row r="1591" spans="1:30" x14ac:dyDescent="0.25">
      <c r="A1591" s="62" t="s">
        <v>109</v>
      </c>
      <c r="C1591" s="62" t="s">
        <v>19840</v>
      </c>
      <c r="F1591" s="62" t="s">
        <v>1299</v>
      </c>
      <c r="G1591" s="62" t="s">
        <v>53117</v>
      </c>
      <c r="J1591" s="62" t="s">
        <v>19841</v>
      </c>
      <c r="K1591" s="62" t="s">
        <v>53143</v>
      </c>
      <c r="L1591" s="62" t="s">
        <v>19842</v>
      </c>
      <c r="M1591" s="62" t="s">
        <v>19843</v>
      </c>
      <c r="N1591" s="62" t="s">
        <v>19844</v>
      </c>
      <c r="O1591" s="62" t="s">
        <v>19845</v>
      </c>
      <c r="P1591" s="62" t="s">
        <v>53169</v>
      </c>
      <c r="Q1591" s="62" t="s">
        <v>19846</v>
      </c>
      <c r="R1591" s="62" t="s">
        <v>19847</v>
      </c>
      <c r="S1591" s="62" t="s">
        <v>19848</v>
      </c>
      <c r="U1591" s="62" t="s">
        <v>19849</v>
      </c>
      <c r="V1591" s="62" t="s">
        <v>53195</v>
      </c>
      <c r="W1591" s="62" t="s">
        <v>19850</v>
      </c>
      <c r="X1591" s="62" t="s">
        <v>19851</v>
      </c>
      <c r="Y1591" s="62" t="s">
        <v>19852</v>
      </c>
      <c r="Z1591" s="62" t="s">
        <v>19853</v>
      </c>
      <c r="AA1591" s="62" t="s">
        <v>53221</v>
      </c>
      <c r="AB1591" s="62" t="s">
        <v>19854</v>
      </c>
      <c r="AC1591" s="62" t="s">
        <v>19855</v>
      </c>
      <c r="AD1591" s="62" t="s">
        <v>19856</v>
      </c>
    </row>
    <row r="1592" spans="1:30" x14ac:dyDescent="0.25">
      <c r="A1592" s="62" t="s">
        <v>109</v>
      </c>
      <c r="C1592" s="62" t="s">
        <v>19506</v>
      </c>
    </row>
    <row r="1593" spans="1:30" x14ac:dyDescent="0.25">
      <c r="A1593" s="62" t="s">
        <v>109</v>
      </c>
      <c r="C1593" s="62" t="s">
        <v>19857</v>
      </c>
      <c r="G1593" s="62" t="s">
        <v>43635</v>
      </c>
      <c r="J1593" s="62" t="s">
        <v>43636</v>
      </c>
      <c r="K1593" s="62" t="s">
        <v>43637</v>
      </c>
      <c r="L1593" s="62" t="s">
        <v>43638</v>
      </c>
      <c r="M1593" s="62" t="s">
        <v>19858</v>
      </c>
      <c r="N1593" s="62" t="s">
        <v>19859</v>
      </c>
      <c r="O1593" s="62" t="s">
        <v>43639</v>
      </c>
      <c r="P1593" s="62" t="s">
        <v>43640</v>
      </c>
      <c r="Q1593" s="62" t="s">
        <v>43641</v>
      </c>
      <c r="R1593" s="62" t="s">
        <v>19860</v>
      </c>
      <c r="S1593" s="62" t="s">
        <v>19861</v>
      </c>
      <c r="U1593" s="62" t="s">
        <v>43642</v>
      </c>
      <c r="V1593" s="62" t="s">
        <v>43643</v>
      </c>
      <c r="W1593" s="62" t="s">
        <v>43644</v>
      </c>
      <c r="X1593" s="62" t="s">
        <v>19862</v>
      </c>
      <c r="Y1593" s="62" t="s">
        <v>19863</v>
      </c>
      <c r="Z1593" s="62" t="s">
        <v>43645</v>
      </c>
      <c r="AA1593" s="62" t="s">
        <v>43646</v>
      </c>
      <c r="AB1593" s="62" t="s">
        <v>43647</v>
      </c>
      <c r="AC1593" s="62" t="s">
        <v>19864</v>
      </c>
      <c r="AD1593" s="62" t="s">
        <v>19865</v>
      </c>
    </row>
    <row r="1594" spans="1:30" x14ac:dyDescent="0.25">
      <c r="A1594" s="62" t="s">
        <v>109</v>
      </c>
    </row>
    <row r="1595" spans="1:30" x14ac:dyDescent="0.25">
      <c r="A1595" s="62" t="s">
        <v>109</v>
      </c>
      <c r="C1595" s="62" t="s">
        <v>43648</v>
      </c>
      <c r="E1595" s="62" t="s">
        <v>480</v>
      </c>
      <c r="G1595" s="62" t="s">
        <v>43649</v>
      </c>
    </row>
    <row r="1596" spans="1:30" x14ac:dyDescent="0.25">
      <c r="A1596" s="62" t="s">
        <v>109</v>
      </c>
      <c r="C1596" s="62" t="s">
        <v>19866</v>
      </c>
    </row>
    <row r="1597" spans="1:30" x14ac:dyDescent="0.25">
      <c r="A1597" s="62" t="s">
        <v>109</v>
      </c>
      <c r="C1597" s="62" t="s">
        <v>19867</v>
      </c>
      <c r="F1597" s="62" t="s">
        <v>43650</v>
      </c>
      <c r="G1597" s="62" t="s">
        <v>52902</v>
      </c>
      <c r="J1597" s="62" t="s">
        <v>19868</v>
      </c>
      <c r="K1597" s="62" t="s">
        <v>52940</v>
      </c>
      <c r="L1597" s="62" t="s">
        <v>19869</v>
      </c>
      <c r="M1597" s="62" t="s">
        <v>19870</v>
      </c>
      <c r="N1597" s="62" t="s">
        <v>19871</v>
      </c>
      <c r="O1597" s="62" t="s">
        <v>19872</v>
      </c>
      <c r="P1597" s="62" t="s">
        <v>52978</v>
      </c>
      <c r="Q1597" s="62" t="s">
        <v>19873</v>
      </c>
      <c r="R1597" s="62" t="s">
        <v>19874</v>
      </c>
      <c r="S1597" s="62" t="s">
        <v>19875</v>
      </c>
      <c r="U1597" s="62" t="s">
        <v>19876</v>
      </c>
      <c r="V1597" s="62" t="s">
        <v>53016</v>
      </c>
      <c r="W1597" s="62" t="s">
        <v>19877</v>
      </c>
      <c r="X1597" s="62" t="s">
        <v>19878</v>
      </c>
      <c r="Y1597" s="62" t="s">
        <v>19879</v>
      </c>
      <c r="Z1597" s="62" t="s">
        <v>19880</v>
      </c>
      <c r="AA1597" s="62" t="s">
        <v>53054</v>
      </c>
      <c r="AB1597" s="62" t="s">
        <v>19881</v>
      </c>
      <c r="AC1597" s="62" t="s">
        <v>19882</v>
      </c>
      <c r="AD1597" s="62" t="s">
        <v>19883</v>
      </c>
    </row>
    <row r="1598" spans="1:30" x14ac:dyDescent="0.25">
      <c r="A1598" s="62" t="s">
        <v>109</v>
      </c>
      <c r="C1598" s="62" t="s">
        <v>19884</v>
      </c>
      <c r="F1598" s="62" t="s">
        <v>68</v>
      </c>
      <c r="G1598" s="62" t="s">
        <v>52903</v>
      </c>
      <c r="J1598" s="62" t="s">
        <v>19885</v>
      </c>
      <c r="K1598" s="62" t="s">
        <v>52941</v>
      </c>
      <c r="L1598" s="62" t="s">
        <v>19886</v>
      </c>
      <c r="M1598" s="62" t="s">
        <v>19887</v>
      </c>
      <c r="N1598" s="62" t="s">
        <v>19888</v>
      </c>
      <c r="O1598" s="62" t="s">
        <v>19889</v>
      </c>
      <c r="P1598" s="62" t="s">
        <v>52979</v>
      </c>
      <c r="Q1598" s="62" t="s">
        <v>19890</v>
      </c>
      <c r="R1598" s="62" t="s">
        <v>19891</v>
      </c>
      <c r="S1598" s="62" t="s">
        <v>19892</v>
      </c>
      <c r="U1598" s="62" t="s">
        <v>19893</v>
      </c>
      <c r="V1598" s="62" t="s">
        <v>53017</v>
      </c>
      <c r="W1598" s="62" t="s">
        <v>19894</v>
      </c>
      <c r="X1598" s="62" t="s">
        <v>19895</v>
      </c>
      <c r="Y1598" s="62" t="s">
        <v>19896</v>
      </c>
      <c r="Z1598" s="62" t="s">
        <v>19897</v>
      </c>
      <c r="AA1598" s="62" t="s">
        <v>53055</v>
      </c>
      <c r="AB1598" s="62" t="s">
        <v>19898</v>
      </c>
      <c r="AC1598" s="62" t="s">
        <v>19899</v>
      </c>
      <c r="AD1598" s="62" t="s">
        <v>19900</v>
      </c>
    </row>
    <row r="1599" spans="1:30" x14ac:dyDescent="0.25">
      <c r="A1599" s="62" t="s">
        <v>109</v>
      </c>
      <c r="C1599" s="62" t="s">
        <v>19901</v>
      </c>
      <c r="F1599" s="62" t="s">
        <v>731</v>
      </c>
      <c r="G1599" s="62" t="s">
        <v>52904</v>
      </c>
      <c r="J1599" s="62" t="s">
        <v>19902</v>
      </c>
      <c r="K1599" s="62" t="s">
        <v>52942</v>
      </c>
      <c r="L1599" s="62" t="s">
        <v>19903</v>
      </c>
      <c r="M1599" s="62" t="s">
        <v>19904</v>
      </c>
      <c r="N1599" s="62" t="s">
        <v>19905</v>
      </c>
      <c r="O1599" s="62" t="s">
        <v>19906</v>
      </c>
      <c r="P1599" s="62" t="s">
        <v>52980</v>
      </c>
      <c r="Q1599" s="62" t="s">
        <v>19907</v>
      </c>
      <c r="R1599" s="62" t="s">
        <v>19908</v>
      </c>
      <c r="S1599" s="62" t="s">
        <v>19909</v>
      </c>
      <c r="U1599" s="62" t="s">
        <v>19910</v>
      </c>
      <c r="V1599" s="62" t="s">
        <v>53018</v>
      </c>
      <c r="W1599" s="62" t="s">
        <v>19911</v>
      </c>
      <c r="X1599" s="62" t="s">
        <v>19912</v>
      </c>
      <c r="Y1599" s="62" t="s">
        <v>19913</v>
      </c>
      <c r="Z1599" s="62" t="s">
        <v>19914</v>
      </c>
      <c r="AA1599" s="62" t="s">
        <v>53056</v>
      </c>
      <c r="AB1599" s="62" t="s">
        <v>19915</v>
      </c>
      <c r="AC1599" s="62" t="s">
        <v>19916</v>
      </c>
      <c r="AD1599" s="62" t="s">
        <v>19917</v>
      </c>
    </row>
    <row r="1600" spans="1:30" x14ac:dyDescent="0.25">
      <c r="A1600" s="62" t="s">
        <v>109</v>
      </c>
      <c r="C1600" s="62" t="s">
        <v>19918</v>
      </c>
      <c r="F1600" s="62" t="s">
        <v>748</v>
      </c>
      <c r="G1600" s="62" t="s">
        <v>52905</v>
      </c>
      <c r="J1600" s="62" t="s">
        <v>19919</v>
      </c>
      <c r="K1600" s="62" t="s">
        <v>52943</v>
      </c>
      <c r="L1600" s="62" t="s">
        <v>19920</v>
      </c>
      <c r="M1600" s="62" t="s">
        <v>19921</v>
      </c>
      <c r="N1600" s="62" t="s">
        <v>19922</v>
      </c>
      <c r="O1600" s="62" t="s">
        <v>19923</v>
      </c>
      <c r="P1600" s="62" t="s">
        <v>52981</v>
      </c>
      <c r="Q1600" s="62" t="s">
        <v>19924</v>
      </c>
      <c r="R1600" s="62" t="s">
        <v>19925</v>
      </c>
      <c r="S1600" s="62" t="s">
        <v>19926</v>
      </c>
      <c r="U1600" s="62" t="s">
        <v>19927</v>
      </c>
      <c r="V1600" s="62" t="s">
        <v>53019</v>
      </c>
      <c r="W1600" s="62" t="s">
        <v>19928</v>
      </c>
      <c r="X1600" s="62" t="s">
        <v>19929</v>
      </c>
      <c r="Y1600" s="62" t="s">
        <v>19930</v>
      </c>
      <c r="Z1600" s="62" t="s">
        <v>19931</v>
      </c>
      <c r="AA1600" s="62" t="s">
        <v>53057</v>
      </c>
      <c r="AB1600" s="62" t="s">
        <v>19932</v>
      </c>
      <c r="AC1600" s="62" t="s">
        <v>19933</v>
      </c>
      <c r="AD1600" s="62" t="s">
        <v>19934</v>
      </c>
    </row>
    <row r="1601" spans="1:30" x14ac:dyDescent="0.25">
      <c r="A1601" s="62" t="s">
        <v>109</v>
      </c>
      <c r="C1601" s="62" t="s">
        <v>19935</v>
      </c>
      <c r="F1601" s="62" t="s">
        <v>758</v>
      </c>
      <c r="G1601" s="62" t="s">
        <v>52906</v>
      </c>
      <c r="J1601" s="62" t="s">
        <v>19936</v>
      </c>
      <c r="K1601" s="62" t="s">
        <v>52944</v>
      </c>
      <c r="L1601" s="62" t="s">
        <v>19937</v>
      </c>
      <c r="M1601" s="62" t="s">
        <v>19938</v>
      </c>
      <c r="N1601" s="62" t="s">
        <v>19939</v>
      </c>
      <c r="O1601" s="62" t="s">
        <v>19940</v>
      </c>
      <c r="P1601" s="62" t="s">
        <v>52982</v>
      </c>
      <c r="Q1601" s="62" t="s">
        <v>19941</v>
      </c>
      <c r="R1601" s="62" t="s">
        <v>19942</v>
      </c>
      <c r="S1601" s="62" t="s">
        <v>19943</v>
      </c>
      <c r="U1601" s="62" t="s">
        <v>19944</v>
      </c>
      <c r="V1601" s="62" t="s">
        <v>53020</v>
      </c>
      <c r="W1601" s="62" t="s">
        <v>19945</v>
      </c>
      <c r="X1601" s="62" t="s">
        <v>19946</v>
      </c>
      <c r="Y1601" s="62" t="s">
        <v>19947</v>
      </c>
      <c r="Z1601" s="62" t="s">
        <v>19948</v>
      </c>
      <c r="AA1601" s="62" t="s">
        <v>53058</v>
      </c>
      <c r="AB1601" s="62" t="s">
        <v>19949</v>
      </c>
      <c r="AC1601" s="62" t="s">
        <v>19950</v>
      </c>
      <c r="AD1601" s="62" t="s">
        <v>19951</v>
      </c>
    </row>
    <row r="1602" spans="1:30" x14ac:dyDescent="0.25">
      <c r="A1602" s="62" t="s">
        <v>109</v>
      </c>
      <c r="C1602" s="62" t="s">
        <v>19952</v>
      </c>
      <c r="F1602" s="62" t="s">
        <v>2135</v>
      </c>
      <c r="G1602" s="62" t="s">
        <v>52907</v>
      </c>
      <c r="J1602" s="62" t="s">
        <v>19953</v>
      </c>
      <c r="K1602" s="62" t="s">
        <v>52945</v>
      </c>
      <c r="L1602" s="62" t="s">
        <v>19954</v>
      </c>
      <c r="M1602" s="62" t="s">
        <v>19955</v>
      </c>
      <c r="N1602" s="62" t="s">
        <v>19956</v>
      </c>
      <c r="O1602" s="62" t="s">
        <v>19957</v>
      </c>
      <c r="P1602" s="62" t="s">
        <v>52983</v>
      </c>
      <c r="Q1602" s="62" t="s">
        <v>19958</v>
      </c>
      <c r="R1602" s="62" t="s">
        <v>19959</v>
      </c>
      <c r="S1602" s="62" t="s">
        <v>19960</v>
      </c>
      <c r="U1602" s="62" t="s">
        <v>19961</v>
      </c>
      <c r="V1602" s="62" t="s">
        <v>53021</v>
      </c>
      <c r="W1602" s="62" t="s">
        <v>19962</v>
      </c>
      <c r="X1602" s="62" t="s">
        <v>19963</v>
      </c>
      <c r="Y1602" s="62" t="s">
        <v>19964</v>
      </c>
      <c r="Z1602" s="62" t="s">
        <v>19965</v>
      </c>
      <c r="AA1602" s="62" t="s">
        <v>53059</v>
      </c>
      <c r="AB1602" s="62" t="s">
        <v>19966</v>
      </c>
      <c r="AC1602" s="62" t="s">
        <v>19967</v>
      </c>
      <c r="AD1602" s="62" t="s">
        <v>19968</v>
      </c>
    </row>
    <row r="1603" spans="1:30" x14ac:dyDescent="0.25">
      <c r="A1603" s="62" t="s">
        <v>109</v>
      </c>
      <c r="C1603" s="62" t="s">
        <v>19969</v>
      </c>
      <c r="F1603" s="62" t="s">
        <v>2153</v>
      </c>
      <c r="G1603" s="62" t="s">
        <v>52908</v>
      </c>
      <c r="J1603" s="62" t="s">
        <v>19970</v>
      </c>
      <c r="K1603" s="62" t="s">
        <v>52946</v>
      </c>
      <c r="L1603" s="62" t="s">
        <v>19971</v>
      </c>
      <c r="M1603" s="62" t="s">
        <v>19972</v>
      </c>
      <c r="N1603" s="62" t="s">
        <v>19973</v>
      </c>
      <c r="O1603" s="62" t="s">
        <v>19974</v>
      </c>
      <c r="P1603" s="62" t="s">
        <v>52984</v>
      </c>
      <c r="Q1603" s="62" t="s">
        <v>19975</v>
      </c>
      <c r="R1603" s="62" t="s">
        <v>19976</v>
      </c>
      <c r="S1603" s="62" t="s">
        <v>19977</v>
      </c>
      <c r="U1603" s="62" t="s">
        <v>19978</v>
      </c>
      <c r="V1603" s="62" t="s">
        <v>53022</v>
      </c>
      <c r="W1603" s="62" t="s">
        <v>19979</v>
      </c>
      <c r="X1603" s="62" t="s">
        <v>19980</v>
      </c>
      <c r="Y1603" s="62" t="s">
        <v>19981</v>
      </c>
      <c r="Z1603" s="62" t="s">
        <v>19982</v>
      </c>
      <c r="AA1603" s="62" t="s">
        <v>53060</v>
      </c>
      <c r="AB1603" s="62" t="s">
        <v>19983</v>
      </c>
      <c r="AC1603" s="62" t="s">
        <v>19984</v>
      </c>
      <c r="AD1603" s="62" t="s">
        <v>19985</v>
      </c>
    </row>
    <row r="1604" spans="1:30" x14ac:dyDescent="0.25">
      <c r="A1604" s="62" t="s">
        <v>109</v>
      </c>
      <c r="C1604" s="62" t="s">
        <v>19986</v>
      </c>
      <c r="F1604" s="62" t="s">
        <v>2170</v>
      </c>
      <c r="G1604" s="62" t="s">
        <v>52909</v>
      </c>
      <c r="J1604" s="62" t="s">
        <v>19987</v>
      </c>
      <c r="K1604" s="62" t="s">
        <v>52947</v>
      </c>
      <c r="L1604" s="62" t="s">
        <v>19988</v>
      </c>
      <c r="M1604" s="62" t="s">
        <v>19989</v>
      </c>
      <c r="N1604" s="62" t="s">
        <v>19990</v>
      </c>
      <c r="O1604" s="62" t="s">
        <v>19991</v>
      </c>
      <c r="P1604" s="62" t="s">
        <v>52985</v>
      </c>
      <c r="Q1604" s="62" t="s">
        <v>19992</v>
      </c>
      <c r="R1604" s="62" t="s">
        <v>19993</v>
      </c>
      <c r="S1604" s="62" t="s">
        <v>19994</v>
      </c>
      <c r="U1604" s="62" t="s">
        <v>19995</v>
      </c>
      <c r="V1604" s="62" t="s">
        <v>53023</v>
      </c>
      <c r="W1604" s="62" t="s">
        <v>19996</v>
      </c>
      <c r="X1604" s="62" t="s">
        <v>19997</v>
      </c>
      <c r="Y1604" s="62" t="s">
        <v>19998</v>
      </c>
      <c r="Z1604" s="62" t="s">
        <v>19999</v>
      </c>
      <c r="AA1604" s="62" t="s">
        <v>53061</v>
      </c>
      <c r="AB1604" s="62" t="s">
        <v>20000</v>
      </c>
      <c r="AC1604" s="62" t="s">
        <v>20001</v>
      </c>
      <c r="AD1604" s="62" t="s">
        <v>20002</v>
      </c>
    </row>
    <row r="1605" spans="1:30" x14ac:dyDescent="0.25">
      <c r="A1605" s="62" t="s">
        <v>109</v>
      </c>
      <c r="C1605" s="62" t="s">
        <v>20003</v>
      </c>
      <c r="F1605" s="62" t="s">
        <v>2187</v>
      </c>
      <c r="G1605" s="62" t="s">
        <v>52910</v>
      </c>
      <c r="J1605" s="62" t="s">
        <v>20004</v>
      </c>
      <c r="K1605" s="62" t="s">
        <v>52948</v>
      </c>
      <c r="L1605" s="62" t="s">
        <v>20005</v>
      </c>
      <c r="M1605" s="62" t="s">
        <v>20006</v>
      </c>
      <c r="N1605" s="62" t="s">
        <v>20007</v>
      </c>
      <c r="O1605" s="62" t="s">
        <v>20008</v>
      </c>
      <c r="P1605" s="62" t="s">
        <v>52986</v>
      </c>
      <c r="Q1605" s="62" t="s">
        <v>20009</v>
      </c>
      <c r="R1605" s="62" t="s">
        <v>20010</v>
      </c>
      <c r="S1605" s="62" t="s">
        <v>20011</v>
      </c>
      <c r="U1605" s="62" t="s">
        <v>20012</v>
      </c>
      <c r="V1605" s="62" t="s">
        <v>53024</v>
      </c>
      <c r="W1605" s="62" t="s">
        <v>20013</v>
      </c>
      <c r="X1605" s="62" t="s">
        <v>20014</v>
      </c>
      <c r="Y1605" s="62" t="s">
        <v>20015</v>
      </c>
      <c r="Z1605" s="62" t="s">
        <v>20016</v>
      </c>
      <c r="AA1605" s="62" t="s">
        <v>53062</v>
      </c>
      <c r="AB1605" s="62" t="s">
        <v>20017</v>
      </c>
      <c r="AC1605" s="62" t="s">
        <v>20018</v>
      </c>
      <c r="AD1605" s="62" t="s">
        <v>20019</v>
      </c>
    </row>
    <row r="1606" spans="1:30" x14ac:dyDescent="0.25">
      <c r="A1606" s="62" t="s">
        <v>109</v>
      </c>
      <c r="C1606" s="62" t="s">
        <v>20020</v>
      </c>
      <c r="F1606" s="62" t="s">
        <v>5259</v>
      </c>
      <c r="G1606" s="62" t="s">
        <v>52911</v>
      </c>
      <c r="J1606" s="62" t="s">
        <v>20021</v>
      </c>
      <c r="K1606" s="62" t="s">
        <v>52949</v>
      </c>
      <c r="L1606" s="62" t="s">
        <v>20022</v>
      </c>
      <c r="M1606" s="62" t="s">
        <v>20023</v>
      </c>
      <c r="N1606" s="62" t="s">
        <v>20024</v>
      </c>
      <c r="O1606" s="62" t="s">
        <v>20025</v>
      </c>
      <c r="P1606" s="62" t="s">
        <v>52987</v>
      </c>
      <c r="Q1606" s="62" t="s">
        <v>20026</v>
      </c>
      <c r="R1606" s="62" t="s">
        <v>20027</v>
      </c>
      <c r="S1606" s="62" t="s">
        <v>20028</v>
      </c>
      <c r="U1606" s="62" t="s">
        <v>20029</v>
      </c>
      <c r="V1606" s="62" t="s">
        <v>53025</v>
      </c>
      <c r="W1606" s="62" t="s">
        <v>20030</v>
      </c>
      <c r="X1606" s="62" t="s">
        <v>20031</v>
      </c>
      <c r="Y1606" s="62" t="s">
        <v>20032</v>
      </c>
      <c r="Z1606" s="62" t="s">
        <v>20033</v>
      </c>
      <c r="AA1606" s="62" t="s">
        <v>53063</v>
      </c>
      <c r="AB1606" s="62" t="s">
        <v>20034</v>
      </c>
      <c r="AC1606" s="62" t="s">
        <v>20035</v>
      </c>
      <c r="AD1606" s="62" t="s">
        <v>20036</v>
      </c>
    </row>
    <row r="1607" spans="1:30" x14ac:dyDescent="0.25">
      <c r="A1607" s="62" t="s">
        <v>109</v>
      </c>
      <c r="C1607" s="62" t="s">
        <v>20037</v>
      </c>
      <c r="F1607" s="62" t="s">
        <v>976</v>
      </c>
      <c r="G1607" s="62" t="s">
        <v>52912</v>
      </c>
      <c r="J1607" s="62" t="s">
        <v>20038</v>
      </c>
      <c r="K1607" s="62" t="s">
        <v>52950</v>
      </c>
      <c r="L1607" s="62" t="s">
        <v>20039</v>
      </c>
      <c r="M1607" s="62" t="s">
        <v>20040</v>
      </c>
      <c r="N1607" s="62" t="s">
        <v>20041</v>
      </c>
      <c r="O1607" s="62" t="s">
        <v>20042</v>
      </c>
      <c r="P1607" s="62" t="s">
        <v>52988</v>
      </c>
      <c r="Q1607" s="62" t="s">
        <v>20043</v>
      </c>
      <c r="R1607" s="62" t="s">
        <v>20044</v>
      </c>
      <c r="S1607" s="62" t="s">
        <v>20045</v>
      </c>
      <c r="U1607" s="62" t="s">
        <v>20046</v>
      </c>
      <c r="V1607" s="62" t="s">
        <v>53026</v>
      </c>
      <c r="W1607" s="62" t="s">
        <v>20047</v>
      </c>
      <c r="X1607" s="62" t="s">
        <v>20048</v>
      </c>
      <c r="Y1607" s="62" t="s">
        <v>20049</v>
      </c>
      <c r="Z1607" s="62" t="s">
        <v>20050</v>
      </c>
      <c r="AA1607" s="62" t="s">
        <v>53064</v>
      </c>
      <c r="AB1607" s="62" t="s">
        <v>20051</v>
      </c>
      <c r="AC1607" s="62" t="s">
        <v>20052</v>
      </c>
      <c r="AD1607" s="62" t="s">
        <v>20053</v>
      </c>
    </row>
    <row r="1608" spans="1:30" x14ac:dyDescent="0.25">
      <c r="A1608" s="62" t="s">
        <v>109</v>
      </c>
      <c r="C1608" s="62" t="s">
        <v>20054</v>
      </c>
      <c r="F1608" s="62" t="s">
        <v>2212</v>
      </c>
      <c r="G1608" s="62" t="s">
        <v>52913</v>
      </c>
      <c r="J1608" s="62" t="s">
        <v>20055</v>
      </c>
      <c r="K1608" s="62" t="s">
        <v>52951</v>
      </c>
      <c r="L1608" s="62" t="s">
        <v>20056</v>
      </c>
      <c r="M1608" s="62" t="s">
        <v>20057</v>
      </c>
      <c r="N1608" s="62" t="s">
        <v>20058</v>
      </c>
      <c r="O1608" s="62" t="s">
        <v>20059</v>
      </c>
      <c r="P1608" s="62" t="s">
        <v>52989</v>
      </c>
      <c r="Q1608" s="62" t="s">
        <v>20060</v>
      </c>
      <c r="R1608" s="62" t="s">
        <v>20061</v>
      </c>
      <c r="S1608" s="62" t="s">
        <v>20062</v>
      </c>
      <c r="U1608" s="62" t="s">
        <v>20063</v>
      </c>
      <c r="V1608" s="62" t="s">
        <v>53027</v>
      </c>
      <c r="W1608" s="62" t="s">
        <v>20064</v>
      </c>
      <c r="X1608" s="62" t="s">
        <v>20065</v>
      </c>
      <c r="Y1608" s="62" t="s">
        <v>20066</v>
      </c>
      <c r="Z1608" s="62" t="s">
        <v>20067</v>
      </c>
      <c r="AA1608" s="62" t="s">
        <v>53065</v>
      </c>
      <c r="AB1608" s="62" t="s">
        <v>20068</v>
      </c>
      <c r="AC1608" s="62" t="s">
        <v>20069</v>
      </c>
      <c r="AD1608" s="62" t="s">
        <v>20070</v>
      </c>
    </row>
    <row r="1609" spans="1:30" x14ac:dyDescent="0.25">
      <c r="A1609" s="62" t="s">
        <v>109</v>
      </c>
      <c r="C1609" s="62" t="s">
        <v>20071</v>
      </c>
      <c r="F1609" s="62" t="s">
        <v>2405</v>
      </c>
      <c r="G1609" s="62" t="s">
        <v>52914</v>
      </c>
      <c r="J1609" s="62" t="s">
        <v>20072</v>
      </c>
      <c r="K1609" s="62" t="s">
        <v>52952</v>
      </c>
      <c r="L1609" s="62" t="s">
        <v>20073</v>
      </c>
      <c r="M1609" s="62" t="s">
        <v>20074</v>
      </c>
      <c r="N1609" s="62" t="s">
        <v>20075</v>
      </c>
      <c r="O1609" s="62" t="s">
        <v>20076</v>
      </c>
      <c r="P1609" s="62" t="s">
        <v>52990</v>
      </c>
      <c r="Q1609" s="62" t="s">
        <v>20077</v>
      </c>
      <c r="R1609" s="62" t="s">
        <v>20078</v>
      </c>
      <c r="S1609" s="62" t="s">
        <v>20079</v>
      </c>
      <c r="U1609" s="62" t="s">
        <v>20080</v>
      </c>
      <c r="V1609" s="62" t="s">
        <v>53028</v>
      </c>
      <c r="W1609" s="62" t="s">
        <v>20081</v>
      </c>
      <c r="X1609" s="62" t="s">
        <v>20082</v>
      </c>
      <c r="Y1609" s="62" t="s">
        <v>20083</v>
      </c>
      <c r="Z1609" s="62" t="s">
        <v>20084</v>
      </c>
      <c r="AA1609" s="62" t="s">
        <v>53066</v>
      </c>
      <c r="AB1609" s="62" t="s">
        <v>20085</v>
      </c>
      <c r="AC1609" s="62" t="s">
        <v>20086</v>
      </c>
      <c r="AD1609" s="62" t="s">
        <v>20087</v>
      </c>
    </row>
    <row r="1610" spans="1:30" x14ac:dyDescent="0.25">
      <c r="A1610" s="62" t="s">
        <v>109</v>
      </c>
      <c r="C1610" s="62" t="s">
        <v>20088</v>
      </c>
      <c r="F1610" s="62" t="s">
        <v>193</v>
      </c>
      <c r="G1610" s="62" t="s">
        <v>52915</v>
      </c>
      <c r="J1610" s="62" t="s">
        <v>20089</v>
      </c>
      <c r="K1610" s="62" t="s">
        <v>52953</v>
      </c>
      <c r="L1610" s="62" t="s">
        <v>20090</v>
      </c>
      <c r="M1610" s="62" t="s">
        <v>20091</v>
      </c>
      <c r="N1610" s="62" t="s">
        <v>20092</v>
      </c>
      <c r="O1610" s="62" t="s">
        <v>20093</v>
      </c>
      <c r="P1610" s="62" t="s">
        <v>52991</v>
      </c>
      <c r="Q1610" s="62" t="s">
        <v>20094</v>
      </c>
      <c r="R1610" s="62" t="s">
        <v>20095</v>
      </c>
      <c r="S1610" s="62" t="s">
        <v>20096</v>
      </c>
      <c r="U1610" s="62" t="s">
        <v>20097</v>
      </c>
      <c r="V1610" s="62" t="s">
        <v>53029</v>
      </c>
      <c r="W1610" s="62" t="s">
        <v>20098</v>
      </c>
      <c r="X1610" s="62" t="s">
        <v>20099</v>
      </c>
      <c r="Y1610" s="62" t="s">
        <v>20100</v>
      </c>
      <c r="Z1610" s="62" t="s">
        <v>20101</v>
      </c>
      <c r="AA1610" s="62" t="s">
        <v>53067</v>
      </c>
      <c r="AB1610" s="62" t="s">
        <v>20102</v>
      </c>
      <c r="AC1610" s="62" t="s">
        <v>20103</v>
      </c>
      <c r="AD1610" s="62" t="s">
        <v>20104</v>
      </c>
    </row>
    <row r="1611" spans="1:30" x14ac:dyDescent="0.25">
      <c r="A1611" s="62" t="s">
        <v>109</v>
      </c>
      <c r="C1611" s="62" t="s">
        <v>20105</v>
      </c>
      <c r="F1611" s="62" t="s">
        <v>2222</v>
      </c>
      <c r="G1611" s="62" t="s">
        <v>52916</v>
      </c>
      <c r="J1611" s="62" t="s">
        <v>20106</v>
      </c>
      <c r="K1611" s="62" t="s">
        <v>52954</v>
      </c>
      <c r="L1611" s="62" t="s">
        <v>20107</v>
      </c>
      <c r="M1611" s="62" t="s">
        <v>20108</v>
      </c>
      <c r="N1611" s="62" t="s">
        <v>20109</v>
      </c>
      <c r="O1611" s="62" t="s">
        <v>20110</v>
      </c>
      <c r="P1611" s="62" t="s">
        <v>52992</v>
      </c>
      <c r="Q1611" s="62" t="s">
        <v>20111</v>
      </c>
      <c r="R1611" s="62" t="s">
        <v>20112</v>
      </c>
      <c r="S1611" s="62" t="s">
        <v>20113</v>
      </c>
      <c r="U1611" s="62" t="s">
        <v>20114</v>
      </c>
      <c r="V1611" s="62" t="s">
        <v>53030</v>
      </c>
      <c r="W1611" s="62" t="s">
        <v>20115</v>
      </c>
      <c r="X1611" s="62" t="s">
        <v>20116</v>
      </c>
      <c r="Y1611" s="62" t="s">
        <v>20117</v>
      </c>
      <c r="Z1611" s="62" t="s">
        <v>20118</v>
      </c>
      <c r="AA1611" s="62" t="s">
        <v>53068</v>
      </c>
      <c r="AB1611" s="62" t="s">
        <v>20119</v>
      </c>
      <c r="AC1611" s="62" t="s">
        <v>20120</v>
      </c>
      <c r="AD1611" s="62" t="s">
        <v>20121</v>
      </c>
    </row>
    <row r="1612" spans="1:30" x14ac:dyDescent="0.25">
      <c r="A1612" s="62" t="s">
        <v>109</v>
      </c>
      <c r="C1612" s="62" t="s">
        <v>20122</v>
      </c>
      <c r="F1612" s="62" t="s">
        <v>2240</v>
      </c>
      <c r="G1612" s="62" t="s">
        <v>52917</v>
      </c>
      <c r="J1612" s="62" t="s">
        <v>20123</v>
      </c>
      <c r="K1612" s="62" t="s">
        <v>52955</v>
      </c>
      <c r="L1612" s="62" t="s">
        <v>20124</v>
      </c>
      <c r="M1612" s="62" t="s">
        <v>20125</v>
      </c>
      <c r="N1612" s="62" t="s">
        <v>20126</v>
      </c>
      <c r="O1612" s="62" t="s">
        <v>20127</v>
      </c>
      <c r="P1612" s="62" t="s">
        <v>52993</v>
      </c>
      <c r="Q1612" s="62" t="s">
        <v>20128</v>
      </c>
      <c r="R1612" s="62" t="s">
        <v>20129</v>
      </c>
      <c r="S1612" s="62" t="s">
        <v>20130</v>
      </c>
      <c r="U1612" s="62" t="s">
        <v>20131</v>
      </c>
      <c r="V1612" s="62" t="s">
        <v>53031</v>
      </c>
      <c r="W1612" s="62" t="s">
        <v>20132</v>
      </c>
      <c r="X1612" s="62" t="s">
        <v>20133</v>
      </c>
      <c r="Y1612" s="62" t="s">
        <v>20134</v>
      </c>
      <c r="Z1612" s="62" t="s">
        <v>20135</v>
      </c>
      <c r="AA1612" s="62" t="s">
        <v>53069</v>
      </c>
      <c r="AB1612" s="62" t="s">
        <v>20136</v>
      </c>
      <c r="AC1612" s="62" t="s">
        <v>20137</v>
      </c>
      <c r="AD1612" s="62" t="s">
        <v>20138</v>
      </c>
    </row>
    <row r="1613" spans="1:30" x14ac:dyDescent="0.25">
      <c r="A1613" s="62" t="s">
        <v>109</v>
      </c>
      <c r="C1613" s="62" t="s">
        <v>20139</v>
      </c>
      <c r="F1613" s="62" t="s">
        <v>210</v>
      </c>
      <c r="G1613" s="62" t="s">
        <v>52918</v>
      </c>
      <c r="J1613" s="62" t="s">
        <v>20140</v>
      </c>
      <c r="K1613" s="62" t="s">
        <v>52956</v>
      </c>
      <c r="L1613" s="62" t="s">
        <v>20141</v>
      </c>
      <c r="M1613" s="62" t="s">
        <v>20142</v>
      </c>
      <c r="N1613" s="62" t="s">
        <v>20143</v>
      </c>
      <c r="O1613" s="62" t="s">
        <v>20144</v>
      </c>
      <c r="P1613" s="62" t="s">
        <v>52994</v>
      </c>
      <c r="Q1613" s="62" t="s">
        <v>20145</v>
      </c>
      <c r="R1613" s="62" t="s">
        <v>20146</v>
      </c>
      <c r="S1613" s="62" t="s">
        <v>20147</v>
      </c>
      <c r="U1613" s="62" t="s">
        <v>20148</v>
      </c>
      <c r="V1613" s="62" t="s">
        <v>53032</v>
      </c>
      <c r="W1613" s="62" t="s">
        <v>20149</v>
      </c>
      <c r="X1613" s="62" t="s">
        <v>20150</v>
      </c>
      <c r="Y1613" s="62" t="s">
        <v>20151</v>
      </c>
      <c r="Z1613" s="62" t="s">
        <v>20152</v>
      </c>
      <c r="AA1613" s="62" t="s">
        <v>53070</v>
      </c>
      <c r="AB1613" s="62" t="s">
        <v>20153</v>
      </c>
      <c r="AC1613" s="62" t="s">
        <v>20154</v>
      </c>
      <c r="AD1613" s="62" t="s">
        <v>20155</v>
      </c>
    </row>
    <row r="1614" spans="1:30" x14ac:dyDescent="0.25">
      <c r="A1614" s="62" t="s">
        <v>109</v>
      </c>
      <c r="C1614" s="62" t="s">
        <v>20156</v>
      </c>
      <c r="F1614" s="62" t="s">
        <v>227</v>
      </c>
      <c r="G1614" s="62" t="s">
        <v>52919</v>
      </c>
      <c r="J1614" s="62" t="s">
        <v>20157</v>
      </c>
      <c r="K1614" s="62" t="s">
        <v>52957</v>
      </c>
      <c r="L1614" s="62" t="s">
        <v>20158</v>
      </c>
      <c r="M1614" s="62" t="s">
        <v>20159</v>
      </c>
      <c r="N1614" s="62" t="s">
        <v>20160</v>
      </c>
      <c r="O1614" s="62" t="s">
        <v>20161</v>
      </c>
      <c r="P1614" s="62" t="s">
        <v>52995</v>
      </c>
      <c r="Q1614" s="62" t="s">
        <v>20162</v>
      </c>
      <c r="R1614" s="62" t="s">
        <v>20163</v>
      </c>
      <c r="S1614" s="62" t="s">
        <v>20164</v>
      </c>
      <c r="U1614" s="62" t="s">
        <v>20165</v>
      </c>
      <c r="V1614" s="62" t="s">
        <v>53033</v>
      </c>
      <c r="W1614" s="62" t="s">
        <v>20166</v>
      </c>
      <c r="X1614" s="62" t="s">
        <v>20167</v>
      </c>
      <c r="Y1614" s="62" t="s">
        <v>20168</v>
      </c>
      <c r="Z1614" s="62" t="s">
        <v>20169</v>
      </c>
      <c r="AA1614" s="62" t="s">
        <v>53071</v>
      </c>
      <c r="AB1614" s="62" t="s">
        <v>20170</v>
      </c>
      <c r="AC1614" s="62" t="s">
        <v>20171</v>
      </c>
      <c r="AD1614" s="62" t="s">
        <v>20172</v>
      </c>
    </row>
    <row r="1615" spans="1:30" x14ac:dyDescent="0.25">
      <c r="A1615" s="62" t="s">
        <v>109</v>
      </c>
      <c r="C1615" s="62" t="s">
        <v>20173</v>
      </c>
      <c r="F1615" s="62" t="s">
        <v>236</v>
      </c>
      <c r="G1615" s="62" t="s">
        <v>52920</v>
      </c>
      <c r="J1615" s="62" t="s">
        <v>20174</v>
      </c>
      <c r="K1615" s="62" t="s">
        <v>52958</v>
      </c>
      <c r="L1615" s="62" t="s">
        <v>20175</v>
      </c>
      <c r="M1615" s="62" t="s">
        <v>20176</v>
      </c>
      <c r="N1615" s="62" t="s">
        <v>20177</v>
      </c>
      <c r="O1615" s="62" t="s">
        <v>20178</v>
      </c>
      <c r="P1615" s="62" t="s">
        <v>52996</v>
      </c>
      <c r="Q1615" s="62" t="s">
        <v>20179</v>
      </c>
      <c r="R1615" s="62" t="s">
        <v>20180</v>
      </c>
      <c r="S1615" s="62" t="s">
        <v>20181</v>
      </c>
      <c r="U1615" s="62" t="s">
        <v>20182</v>
      </c>
      <c r="V1615" s="62" t="s">
        <v>53034</v>
      </c>
      <c r="W1615" s="62" t="s">
        <v>20183</v>
      </c>
      <c r="X1615" s="62" t="s">
        <v>20184</v>
      </c>
      <c r="Y1615" s="62" t="s">
        <v>20185</v>
      </c>
      <c r="Z1615" s="62" t="s">
        <v>20186</v>
      </c>
      <c r="AA1615" s="62" t="s">
        <v>53072</v>
      </c>
      <c r="AB1615" s="62" t="s">
        <v>20187</v>
      </c>
      <c r="AC1615" s="62" t="s">
        <v>20188</v>
      </c>
      <c r="AD1615" s="62" t="s">
        <v>20189</v>
      </c>
    </row>
    <row r="1616" spans="1:30" x14ac:dyDescent="0.25">
      <c r="A1616" s="62" t="s">
        <v>109</v>
      </c>
      <c r="C1616" s="62" t="s">
        <v>20190</v>
      </c>
      <c r="F1616" s="62" t="s">
        <v>237</v>
      </c>
      <c r="G1616" s="62" t="s">
        <v>52921</v>
      </c>
      <c r="J1616" s="62" t="s">
        <v>20191</v>
      </c>
      <c r="K1616" s="62" t="s">
        <v>52959</v>
      </c>
      <c r="L1616" s="62" t="s">
        <v>20192</v>
      </c>
      <c r="M1616" s="62" t="s">
        <v>20193</v>
      </c>
      <c r="N1616" s="62" t="s">
        <v>20194</v>
      </c>
      <c r="O1616" s="62" t="s">
        <v>20195</v>
      </c>
      <c r="P1616" s="62" t="s">
        <v>52997</v>
      </c>
      <c r="Q1616" s="62" t="s">
        <v>20196</v>
      </c>
      <c r="R1616" s="62" t="s">
        <v>20197</v>
      </c>
      <c r="S1616" s="62" t="s">
        <v>20198</v>
      </c>
      <c r="U1616" s="62" t="s">
        <v>20199</v>
      </c>
      <c r="V1616" s="62" t="s">
        <v>53035</v>
      </c>
      <c r="W1616" s="62" t="s">
        <v>20200</v>
      </c>
      <c r="X1616" s="62" t="s">
        <v>20201</v>
      </c>
      <c r="Y1616" s="62" t="s">
        <v>20202</v>
      </c>
      <c r="Z1616" s="62" t="s">
        <v>20203</v>
      </c>
      <c r="AA1616" s="62" t="s">
        <v>53073</v>
      </c>
      <c r="AB1616" s="62" t="s">
        <v>20204</v>
      </c>
      <c r="AC1616" s="62" t="s">
        <v>20205</v>
      </c>
      <c r="AD1616" s="62" t="s">
        <v>20206</v>
      </c>
    </row>
    <row r="1617" spans="1:30" x14ac:dyDescent="0.25">
      <c r="A1617" s="62" t="s">
        <v>109</v>
      </c>
      <c r="C1617" s="62" t="s">
        <v>20207</v>
      </c>
      <c r="F1617" s="62" t="s">
        <v>3799</v>
      </c>
      <c r="G1617" s="62" t="s">
        <v>52922</v>
      </c>
      <c r="J1617" s="62" t="s">
        <v>20208</v>
      </c>
      <c r="K1617" s="62" t="s">
        <v>52960</v>
      </c>
      <c r="L1617" s="62" t="s">
        <v>20209</v>
      </c>
      <c r="M1617" s="62" t="s">
        <v>20210</v>
      </c>
      <c r="N1617" s="62" t="s">
        <v>20211</v>
      </c>
      <c r="O1617" s="62" t="s">
        <v>20212</v>
      </c>
      <c r="P1617" s="62" t="s">
        <v>52998</v>
      </c>
      <c r="Q1617" s="62" t="s">
        <v>20213</v>
      </c>
      <c r="R1617" s="62" t="s">
        <v>20214</v>
      </c>
      <c r="S1617" s="62" t="s">
        <v>20215</v>
      </c>
      <c r="U1617" s="62" t="s">
        <v>20216</v>
      </c>
      <c r="V1617" s="62" t="s">
        <v>53036</v>
      </c>
      <c r="W1617" s="62" t="s">
        <v>20217</v>
      </c>
      <c r="X1617" s="62" t="s">
        <v>20218</v>
      </c>
      <c r="Y1617" s="62" t="s">
        <v>20219</v>
      </c>
      <c r="Z1617" s="62" t="s">
        <v>20220</v>
      </c>
      <c r="AA1617" s="62" t="s">
        <v>53074</v>
      </c>
      <c r="AB1617" s="62" t="s">
        <v>20221</v>
      </c>
      <c r="AC1617" s="62" t="s">
        <v>20222</v>
      </c>
      <c r="AD1617" s="62" t="s">
        <v>20223</v>
      </c>
    </row>
    <row r="1618" spans="1:30" x14ac:dyDescent="0.25">
      <c r="A1618" s="62" t="s">
        <v>109</v>
      </c>
      <c r="C1618" s="62" t="s">
        <v>20224</v>
      </c>
      <c r="F1618" s="62" t="s">
        <v>2297</v>
      </c>
      <c r="G1618" s="62" t="s">
        <v>52923</v>
      </c>
      <c r="J1618" s="62" t="s">
        <v>20225</v>
      </c>
      <c r="K1618" s="62" t="s">
        <v>52961</v>
      </c>
      <c r="L1618" s="62" t="s">
        <v>20226</v>
      </c>
      <c r="M1618" s="62" t="s">
        <v>20227</v>
      </c>
      <c r="N1618" s="62" t="s">
        <v>20228</v>
      </c>
      <c r="O1618" s="62" t="s">
        <v>20229</v>
      </c>
      <c r="P1618" s="62" t="s">
        <v>52999</v>
      </c>
      <c r="Q1618" s="62" t="s">
        <v>20230</v>
      </c>
      <c r="R1618" s="62" t="s">
        <v>20231</v>
      </c>
      <c r="S1618" s="62" t="s">
        <v>20232</v>
      </c>
      <c r="U1618" s="62" t="s">
        <v>20233</v>
      </c>
      <c r="V1618" s="62" t="s">
        <v>53037</v>
      </c>
      <c r="W1618" s="62" t="s">
        <v>20234</v>
      </c>
      <c r="X1618" s="62" t="s">
        <v>20235</v>
      </c>
      <c r="Y1618" s="62" t="s">
        <v>20236</v>
      </c>
      <c r="Z1618" s="62" t="s">
        <v>20237</v>
      </c>
      <c r="AA1618" s="62" t="s">
        <v>53075</v>
      </c>
      <c r="AB1618" s="62" t="s">
        <v>20238</v>
      </c>
      <c r="AC1618" s="62" t="s">
        <v>20239</v>
      </c>
      <c r="AD1618" s="62" t="s">
        <v>20240</v>
      </c>
    </row>
    <row r="1619" spans="1:30" x14ac:dyDescent="0.25">
      <c r="A1619" s="62" t="s">
        <v>109</v>
      </c>
      <c r="C1619" s="62" t="s">
        <v>20241</v>
      </c>
      <c r="F1619" s="62" t="s">
        <v>2299</v>
      </c>
      <c r="G1619" s="62" t="s">
        <v>52924</v>
      </c>
      <c r="J1619" s="62" t="s">
        <v>20242</v>
      </c>
      <c r="K1619" s="62" t="s">
        <v>52962</v>
      </c>
      <c r="L1619" s="62" t="s">
        <v>20243</v>
      </c>
      <c r="M1619" s="62" t="s">
        <v>20244</v>
      </c>
      <c r="N1619" s="62" t="s">
        <v>20245</v>
      </c>
      <c r="O1619" s="62" t="s">
        <v>20246</v>
      </c>
      <c r="P1619" s="62" t="s">
        <v>53000</v>
      </c>
      <c r="Q1619" s="62" t="s">
        <v>20247</v>
      </c>
      <c r="R1619" s="62" t="s">
        <v>20248</v>
      </c>
      <c r="S1619" s="62" t="s">
        <v>20249</v>
      </c>
      <c r="U1619" s="62" t="s">
        <v>20250</v>
      </c>
      <c r="V1619" s="62" t="s">
        <v>53038</v>
      </c>
      <c r="W1619" s="62" t="s">
        <v>20251</v>
      </c>
      <c r="X1619" s="62" t="s">
        <v>20252</v>
      </c>
      <c r="Y1619" s="62" t="s">
        <v>20253</v>
      </c>
      <c r="Z1619" s="62" t="s">
        <v>20254</v>
      </c>
      <c r="AA1619" s="62" t="s">
        <v>53076</v>
      </c>
      <c r="AB1619" s="62" t="s">
        <v>20255</v>
      </c>
      <c r="AC1619" s="62" t="s">
        <v>20256</v>
      </c>
      <c r="AD1619" s="62" t="s">
        <v>20257</v>
      </c>
    </row>
    <row r="1620" spans="1:30" x14ac:dyDescent="0.25">
      <c r="A1620" s="62" t="s">
        <v>109</v>
      </c>
      <c r="C1620" s="62" t="s">
        <v>20258</v>
      </c>
      <c r="F1620" s="62" t="s">
        <v>2308</v>
      </c>
      <c r="G1620" s="62" t="s">
        <v>52925</v>
      </c>
      <c r="J1620" s="62" t="s">
        <v>20259</v>
      </c>
      <c r="K1620" s="62" t="s">
        <v>52963</v>
      </c>
      <c r="L1620" s="62" t="s">
        <v>20260</v>
      </c>
      <c r="M1620" s="62" t="s">
        <v>20261</v>
      </c>
      <c r="N1620" s="62" t="s">
        <v>20262</v>
      </c>
      <c r="O1620" s="62" t="s">
        <v>20263</v>
      </c>
      <c r="P1620" s="62" t="s">
        <v>53001</v>
      </c>
      <c r="Q1620" s="62" t="s">
        <v>20264</v>
      </c>
      <c r="R1620" s="62" t="s">
        <v>20265</v>
      </c>
      <c r="S1620" s="62" t="s">
        <v>20266</v>
      </c>
      <c r="U1620" s="62" t="s">
        <v>20267</v>
      </c>
      <c r="V1620" s="62" t="s">
        <v>53039</v>
      </c>
      <c r="W1620" s="62" t="s">
        <v>20268</v>
      </c>
      <c r="X1620" s="62" t="s">
        <v>20269</v>
      </c>
      <c r="Y1620" s="62" t="s">
        <v>20270</v>
      </c>
      <c r="Z1620" s="62" t="s">
        <v>20271</v>
      </c>
      <c r="AA1620" s="62" t="s">
        <v>53077</v>
      </c>
      <c r="AB1620" s="62" t="s">
        <v>20272</v>
      </c>
      <c r="AC1620" s="62" t="s">
        <v>20273</v>
      </c>
      <c r="AD1620" s="62" t="s">
        <v>20274</v>
      </c>
    </row>
    <row r="1621" spans="1:30" x14ac:dyDescent="0.25">
      <c r="A1621" s="62" t="s">
        <v>109</v>
      </c>
      <c r="C1621" s="62" t="s">
        <v>20275</v>
      </c>
      <c r="F1621" s="62" t="s">
        <v>2309</v>
      </c>
      <c r="G1621" s="62" t="s">
        <v>52926</v>
      </c>
      <c r="J1621" s="62" t="s">
        <v>20276</v>
      </c>
      <c r="K1621" s="62" t="s">
        <v>52964</v>
      </c>
      <c r="L1621" s="62" t="s">
        <v>20277</v>
      </c>
      <c r="M1621" s="62" t="s">
        <v>20278</v>
      </c>
      <c r="N1621" s="62" t="s">
        <v>20279</v>
      </c>
      <c r="O1621" s="62" t="s">
        <v>20280</v>
      </c>
      <c r="P1621" s="62" t="s">
        <v>53002</v>
      </c>
      <c r="Q1621" s="62" t="s">
        <v>20281</v>
      </c>
      <c r="R1621" s="62" t="s">
        <v>20282</v>
      </c>
      <c r="S1621" s="62" t="s">
        <v>20283</v>
      </c>
      <c r="U1621" s="62" t="s">
        <v>20284</v>
      </c>
      <c r="V1621" s="62" t="s">
        <v>53040</v>
      </c>
      <c r="W1621" s="62" t="s">
        <v>20285</v>
      </c>
      <c r="X1621" s="62" t="s">
        <v>20286</v>
      </c>
      <c r="Y1621" s="62" t="s">
        <v>20287</v>
      </c>
      <c r="Z1621" s="62" t="s">
        <v>20288</v>
      </c>
      <c r="AA1621" s="62" t="s">
        <v>53078</v>
      </c>
      <c r="AB1621" s="62" t="s">
        <v>20289</v>
      </c>
      <c r="AC1621" s="62" t="s">
        <v>20290</v>
      </c>
      <c r="AD1621" s="62" t="s">
        <v>20291</v>
      </c>
    </row>
    <row r="1622" spans="1:30" x14ac:dyDescent="0.25">
      <c r="A1622" s="62" t="s">
        <v>109</v>
      </c>
      <c r="C1622" s="62" t="s">
        <v>20292</v>
      </c>
      <c r="F1622" s="62" t="s">
        <v>4942</v>
      </c>
      <c r="G1622" s="62" t="s">
        <v>52927</v>
      </c>
      <c r="J1622" s="62" t="s">
        <v>20293</v>
      </c>
      <c r="K1622" s="62" t="s">
        <v>52965</v>
      </c>
      <c r="L1622" s="62" t="s">
        <v>20294</v>
      </c>
      <c r="M1622" s="62" t="s">
        <v>20295</v>
      </c>
      <c r="N1622" s="62" t="s">
        <v>20296</v>
      </c>
      <c r="O1622" s="62" t="s">
        <v>20297</v>
      </c>
      <c r="P1622" s="62" t="s">
        <v>53003</v>
      </c>
      <c r="Q1622" s="62" t="s">
        <v>20298</v>
      </c>
      <c r="R1622" s="62" t="s">
        <v>20299</v>
      </c>
      <c r="S1622" s="62" t="s">
        <v>20300</v>
      </c>
      <c r="U1622" s="62" t="s">
        <v>20301</v>
      </c>
      <c r="V1622" s="62" t="s">
        <v>53041</v>
      </c>
      <c r="W1622" s="62" t="s">
        <v>20302</v>
      </c>
      <c r="X1622" s="62" t="s">
        <v>20303</v>
      </c>
      <c r="Y1622" s="62" t="s">
        <v>20304</v>
      </c>
      <c r="Z1622" s="62" t="s">
        <v>20305</v>
      </c>
      <c r="AA1622" s="62" t="s">
        <v>53079</v>
      </c>
      <c r="AB1622" s="62" t="s">
        <v>20306</v>
      </c>
      <c r="AC1622" s="62" t="s">
        <v>20307</v>
      </c>
      <c r="AD1622" s="62" t="s">
        <v>20308</v>
      </c>
    </row>
    <row r="1623" spans="1:30" x14ac:dyDescent="0.25">
      <c r="A1623" s="62" t="s">
        <v>109</v>
      </c>
      <c r="C1623" s="62" t="s">
        <v>20309</v>
      </c>
      <c r="F1623" s="62" t="s">
        <v>2310</v>
      </c>
      <c r="G1623" s="62" t="s">
        <v>52928</v>
      </c>
      <c r="J1623" s="62" t="s">
        <v>20310</v>
      </c>
      <c r="K1623" s="62" t="s">
        <v>52966</v>
      </c>
      <c r="L1623" s="62" t="s">
        <v>20311</v>
      </c>
      <c r="M1623" s="62" t="s">
        <v>20312</v>
      </c>
      <c r="N1623" s="62" t="s">
        <v>20313</v>
      </c>
      <c r="O1623" s="62" t="s">
        <v>20314</v>
      </c>
      <c r="P1623" s="62" t="s">
        <v>53004</v>
      </c>
      <c r="Q1623" s="62" t="s">
        <v>20315</v>
      </c>
      <c r="R1623" s="62" t="s">
        <v>20316</v>
      </c>
      <c r="S1623" s="62" t="s">
        <v>20317</v>
      </c>
      <c r="U1623" s="62" t="s">
        <v>20318</v>
      </c>
      <c r="V1623" s="62" t="s">
        <v>53042</v>
      </c>
      <c r="W1623" s="62" t="s">
        <v>20319</v>
      </c>
      <c r="X1623" s="62" t="s">
        <v>20320</v>
      </c>
      <c r="Y1623" s="62" t="s">
        <v>20321</v>
      </c>
      <c r="Z1623" s="62" t="s">
        <v>20322</v>
      </c>
      <c r="AA1623" s="62" t="s">
        <v>53080</v>
      </c>
      <c r="AB1623" s="62" t="s">
        <v>20323</v>
      </c>
      <c r="AC1623" s="62" t="s">
        <v>20324</v>
      </c>
      <c r="AD1623" s="62" t="s">
        <v>20325</v>
      </c>
    </row>
    <row r="1624" spans="1:30" x14ac:dyDescent="0.25">
      <c r="A1624" s="62" t="s">
        <v>109</v>
      </c>
      <c r="C1624" s="62" t="s">
        <v>20326</v>
      </c>
      <c r="F1624" s="62" t="s">
        <v>271</v>
      </c>
      <c r="G1624" s="62" t="s">
        <v>52929</v>
      </c>
      <c r="J1624" s="62" t="s">
        <v>20327</v>
      </c>
      <c r="K1624" s="62" t="s">
        <v>52967</v>
      </c>
      <c r="L1624" s="62" t="s">
        <v>20328</v>
      </c>
      <c r="M1624" s="62" t="s">
        <v>20329</v>
      </c>
      <c r="N1624" s="62" t="s">
        <v>20330</v>
      </c>
      <c r="O1624" s="62" t="s">
        <v>20331</v>
      </c>
      <c r="P1624" s="62" t="s">
        <v>53005</v>
      </c>
      <c r="Q1624" s="62" t="s">
        <v>20332</v>
      </c>
      <c r="R1624" s="62" t="s">
        <v>20333</v>
      </c>
      <c r="S1624" s="62" t="s">
        <v>20334</v>
      </c>
      <c r="U1624" s="62" t="s">
        <v>20335</v>
      </c>
      <c r="V1624" s="62" t="s">
        <v>53043</v>
      </c>
      <c r="W1624" s="62" t="s">
        <v>20336</v>
      </c>
      <c r="X1624" s="62" t="s">
        <v>20337</v>
      </c>
      <c r="Y1624" s="62" t="s">
        <v>20338</v>
      </c>
      <c r="Z1624" s="62" t="s">
        <v>20339</v>
      </c>
      <c r="AA1624" s="62" t="s">
        <v>53081</v>
      </c>
      <c r="AB1624" s="62" t="s">
        <v>20340</v>
      </c>
      <c r="AC1624" s="62" t="s">
        <v>20341</v>
      </c>
      <c r="AD1624" s="62" t="s">
        <v>20342</v>
      </c>
    </row>
    <row r="1625" spans="1:30" x14ac:dyDescent="0.25">
      <c r="A1625" s="62" t="s">
        <v>109</v>
      </c>
      <c r="C1625" s="62" t="s">
        <v>20343</v>
      </c>
      <c r="F1625" s="62" t="s">
        <v>3185</v>
      </c>
      <c r="G1625" s="62" t="s">
        <v>52930</v>
      </c>
      <c r="J1625" s="62" t="s">
        <v>20344</v>
      </c>
      <c r="K1625" s="62" t="s">
        <v>52968</v>
      </c>
      <c r="L1625" s="62" t="s">
        <v>20345</v>
      </c>
      <c r="M1625" s="62" t="s">
        <v>20346</v>
      </c>
      <c r="N1625" s="62" t="s">
        <v>20347</v>
      </c>
      <c r="O1625" s="62" t="s">
        <v>20348</v>
      </c>
      <c r="P1625" s="62" t="s">
        <v>53006</v>
      </c>
      <c r="Q1625" s="62" t="s">
        <v>20349</v>
      </c>
      <c r="R1625" s="62" t="s">
        <v>20350</v>
      </c>
      <c r="S1625" s="62" t="s">
        <v>20351</v>
      </c>
      <c r="U1625" s="62" t="s">
        <v>20352</v>
      </c>
      <c r="V1625" s="62" t="s">
        <v>53044</v>
      </c>
      <c r="W1625" s="62" t="s">
        <v>20353</v>
      </c>
      <c r="X1625" s="62" t="s">
        <v>20354</v>
      </c>
      <c r="Y1625" s="62" t="s">
        <v>20355</v>
      </c>
      <c r="Z1625" s="62" t="s">
        <v>20356</v>
      </c>
      <c r="AA1625" s="62" t="s">
        <v>53082</v>
      </c>
      <c r="AB1625" s="62" t="s">
        <v>20357</v>
      </c>
      <c r="AC1625" s="62" t="s">
        <v>20358</v>
      </c>
      <c r="AD1625" s="62" t="s">
        <v>20359</v>
      </c>
    </row>
    <row r="1626" spans="1:30" x14ac:dyDescent="0.25">
      <c r="A1626" s="62" t="s">
        <v>109</v>
      </c>
      <c r="C1626" s="62" t="s">
        <v>20360</v>
      </c>
      <c r="F1626" s="62" t="s">
        <v>2464</v>
      </c>
      <c r="G1626" s="62" t="s">
        <v>52931</v>
      </c>
      <c r="J1626" s="62" t="s">
        <v>20361</v>
      </c>
      <c r="K1626" s="62" t="s">
        <v>52969</v>
      </c>
      <c r="L1626" s="62" t="s">
        <v>20362</v>
      </c>
      <c r="M1626" s="62" t="s">
        <v>20363</v>
      </c>
      <c r="N1626" s="62" t="s">
        <v>20364</v>
      </c>
      <c r="O1626" s="62" t="s">
        <v>20365</v>
      </c>
      <c r="P1626" s="62" t="s">
        <v>53007</v>
      </c>
      <c r="Q1626" s="62" t="s">
        <v>20366</v>
      </c>
      <c r="R1626" s="62" t="s">
        <v>20367</v>
      </c>
      <c r="S1626" s="62" t="s">
        <v>20368</v>
      </c>
      <c r="U1626" s="62" t="s">
        <v>20369</v>
      </c>
      <c r="V1626" s="62" t="s">
        <v>53045</v>
      </c>
      <c r="W1626" s="62" t="s">
        <v>20370</v>
      </c>
      <c r="X1626" s="62" t="s">
        <v>20371</v>
      </c>
      <c r="Y1626" s="62" t="s">
        <v>20372</v>
      </c>
      <c r="Z1626" s="62" t="s">
        <v>20373</v>
      </c>
      <c r="AA1626" s="62" t="s">
        <v>53083</v>
      </c>
      <c r="AB1626" s="62" t="s">
        <v>20374</v>
      </c>
      <c r="AC1626" s="62" t="s">
        <v>20375</v>
      </c>
      <c r="AD1626" s="62" t="s">
        <v>20376</v>
      </c>
    </row>
    <row r="1627" spans="1:30" x14ac:dyDescent="0.25">
      <c r="A1627" s="62" t="s">
        <v>109</v>
      </c>
      <c r="C1627" s="62" t="s">
        <v>20377</v>
      </c>
      <c r="F1627" s="62" t="s">
        <v>2311</v>
      </c>
      <c r="G1627" s="62" t="s">
        <v>52932</v>
      </c>
      <c r="J1627" s="62" t="s">
        <v>20378</v>
      </c>
      <c r="K1627" s="62" t="s">
        <v>52970</v>
      </c>
      <c r="L1627" s="62" t="s">
        <v>20379</v>
      </c>
      <c r="M1627" s="62" t="s">
        <v>20380</v>
      </c>
      <c r="N1627" s="62" t="s">
        <v>20381</v>
      </c>
      <c r="O1627" s="62" t="s">
        <v>20382</v>
      </c>
      <c r="P1627" s="62" t="s">
        <v>53008</v>
      </c>
      <c r="Q1627" s="62" t="s">
        <v>20383</v>
      </c>
      <c r="R1627" s="62" t="s">
        <v>20384</v>
      </c>
      <c r="S1627" s="62" t="s">
        <v>20385</v>
      </c>
      <c r="U1627" s="62" t="s">
        <v>20386</v>
      </c>
      <c r="V1627" s="62" t="s">
        <v>53046</v>
      </c>
      <c r="W1627" s="62" t="s">
        <v>20387</v>
      </c>
      <c r="X1627" s="62" t="s">
        <v>20388</v>
      </c>
      <c r="Y1627" s="62" t="s">
        <v>20389</v>
      </c>
      <c r="Z1627" s="62" t="s">
        <v>20390</v>
      </c>
      <c r="AA1627" s="62" t="s">
        <v>53084</v>
      </c>
      <c r="AB1627" s="62" t="s">
        <v>20391</v>
      </c>
      <c r="AC1627" s="62" t="s">
        <v>20392</v>
      </c>
      <c r="AD1627" s="62" t="s">
        <v>20393</v>
      </c>
    </row>
    <row r="1628" spans="1:30" x14ac:dyDescent="0.25">
      <c r="A1628" s="62" t="s">
        <v>109</v>
      </c>
      <c r="C1628" s="62" t="s">
        <v>20394</v>
      </c>
      <c r="F1628" s="62" t="s">
        <v>288</v>
      </c>
      <c r="G1628" s="62" t="s">
        <v>52933</v>
      </c>
      <c r="J1628" s="62" t="s">
        <v>20395</v>
      </c>
      <c r="K1628" s="62" t="s">
        <v>52971</v>
      </c>
      <c r="L1628" s="62" t="s">
        <v>20396</v>
      </c>
      <c r="M1628" s="62" t="s">
        <v>20397</v>
      </c>
      <c r="N1628" s="62" t="s">
        <v>20398</v>
      </c>
      <c r="O1628" s="62" t="s">
        <v>20399</v>
      </c>
      <c r="P1628" s="62" t="s">
        <v>53009</v>
      </c>
      <c r="Q1628" s="62" t="s">
        <v>20400</v>
      </c>
      <c r="R1628" s="62" t="s">
        <v>20401</v>
      </c>
      <c r="S1628" s="62" t="s">
        <v>20402</v>
      </c>
      <c r="U1628" s="62" t="s">
        <v>20403</v>
      </c>
      <c r="V1628" s="62" t="s">
        <v>53047</v>
      </c>
      <c r="W1628" s="62" t="s">
        <v>20404</v>
      </c>
      <c r="X1628" s="62" t="s">
        <v>20405</v>
      </c>
      <c r="Y1628" s="62" t="s">
        <v>20406</v>
      </c>
      <c r="Z1628" s="62" t="s">
        <v>20407</v>
      </c>
      <c r="AA1628" s="62" t="s">
        <v>53085</v>
      </c>
      <c r="AB1628" s="62" t="s">
        <v>20408</v>
      </c>
      <c r="AC1628" s="62" t="s">
        <v>20409</v>
      </c>
      <c r="AD1628" s="62" t="s">
        <v>20410</v>
      </c>
    </row>
    <row r="1629" spans="1:30" x14ac:dyDescent="0.25">
      <c r="A1629" s="62" t="s">
        <v>109</v>
      </c>
      <c r="C1629" s="62" t="s">
        <v>20411</v>
      </c>
      <c r="F1629" s="62" t="s">
        <v>2481</v>
      </c>
      <c r="G1629" s="62" t="s">
        <v>52934</v>
      </c>
      <c r="J1629" s="62" t="s">
        <v>20412</v>
      </c>
      <c r="K1629" s="62" t="s">
        <v>52972</v>
      </c>
      <c r="L1629" s="62" t="s">
        <v>20413</v>
      </c>
      <c r="M1629" s="62" t="s">
        <v>20414</v>
      </c>
      <c r="N1629" s="62" t="s">
        <v>20415</v>
      </c>
      <c r="O1629" s="62" t="s">
        <v>20416</v>
      </c>
      <c r="P1629" s="62" t="s">
        <v>53010</v>
      </c>
      <c r="Q1629" s="62" t="s">
        <v>20417</v>
      </c>
      <c r="R1629" s="62" t="s">
        <v>20418</v>
      </c>
      <c r="S1629" s="62" t="s">
        <v>20419</v>
      </c>
      <c r="U1629" s="62" t="s">
        <v>20420</v>
      </c>
      <c r="V1629" s="62" t="s">
        <v>53048</v>
      </c>
      <c r="W1629" s="62" t="s">
        <v>20421</v>
      </c>
      <c r="X1629" s="62" t="s">
        <v>20422</v>
      </c>
      <c r="Y1629" s="62" t="s">
        <v>20423</v>
      </c>
      <c r="Z1629" s="62" t="s">
        <v>20424</v>
      </c>
      <c r="AA1629" s="62" t="s">
        <v>53086</v>
      </c>
      <c r="AB1629" s="62" t="s">
        <v>20425</v>
      </c>
      <c r="AC1629" s="62" t="s">
        <v>20426</v>
      </c>
      <c r="AD1629" s="62" t="s">
        <v>20427</v>
      </c>
    </row>
    <row r="1630" spans="1:30" x14ac:dyDescent="0.25">
      <c r="A1630" s="62" t="s">
        <v>109</v>
      </c>
      <c r="C1630" s="62" t="s">
        <v>20428</v>
      </c>
      <c r="F1630" s="62" t="s">
        <v>1100</v>
      </c>
      <c r="G1630" s="62" t="s">
        <v>52935</v>
      </c>
      <c r="J1630" s="62" t="s">
        <v>20429</v>
      </c>
      <c r="K1630" s="62" t="s">
        <v>52973</v>
      </c>
      <c r="L1630" s="62" t="s">
        <v>20430</v>
      </c>
      <c r="M1630" s="62" t="s">
        <v>20431</v>
      </c>
      <c r="N1630" s="62" t="s">
        <v>20432</v>
      </c>
      <c r="O1630" s="62" t="s">
        <v>20433</v>
      </c>
      <c r="P1630" s="62" t="s">
        <v>53011</v>
      </c>
      <c r="Q1630" s="62" t="s">
        <v>20434</v>
      </c>
      <c r="R1630" s="62" t="s">
        <v>20435</v>
      </c>
      <c r="S1630" s="62" t="s">
        <v>20436</v>
      </c>
      <c r="U1630" s="62" t="s">
        <v>20437</v>
      </c>
      <c r="V1630" s="62" t="s">
        <v>53049</v>
      </c>
      <c r="W1630" s="62" t="s">
        <v>20438</v>
      </c>
      <c r="X1630" s="62" t="s">
        <v>20439</v>
      </c>
      <c r="Y1630" s="62" t="s">
        <v>20440</v>
      </c>
      <c r="Z1630" s="62" t="s">
        <v>20441</v>
      </c>
      <c r="AA1630" s="62" t="s">
        <v>53087</v>
      </c>
      <c r="AB1630" s="62" t="s">
        <v>20442</v>
      </c>
      <c r="AC1630" s="62" t="s">
        <v>20443</v>
      </c>
      <c r="AD1630" s="62" t="s">
        <v>20444</v>
      </c>
    </row>
    <row r="1631" spans="1:30" x14ac:dyDescent="0.25">
      <c r="A1631" s="62" t="s">
        <v>109</v>
      </c>
      <c r="C1631" s="62" t="s">
        <v>20445</v>
      </c>
      <c r="F1631" s="62" t="s">
        <v>2337</v>
      </c>
      <c r="G1631" s="62" t="s">
        <v>52936</v>
      </c>
      <c r="J1631" s="62" t="s">
        <v>20446</v>
      </c>
      <c r="K1631" s="62" t="s">
        <v>52974</v>
      </c>
      <c r="L1631" s="62" t="s">
        <v>20447</v>
      </c>
      <c r="M1631" s="62" t="s">
        <v>20448</v>
      </c>
      <c r="N1631" s="62" t="s">
        <v>20449</v>
      </c>
      <c r="O1631" s="62" t="s">
        <v>20450</v>
      </c>
      <c r="P1631" s="62" t="s">
        <v>53012</v>
      </c>
      <c r="Q1631" s="62" t="s">
        <v>20451</v>
      </c>
      <c r="R1631" s="62" t="s">
        <v>20452</v>
      </c>
      <c r="S1631" s="62" t="s">
        <v>20453</v>
      </c>
      <c r="U1631" s="62" t="s">
        <v>20454</v>
      </c>
      <c r="V1631" s="62" t="s">
        <v>53050</v>
      </c>
      <c r="W1631" s="62" t="s">
        <v>20455</v>
      </c>
      <c r="X1631" s="62" t="s">
        <v>20456</v>
      </c>
      <c r="Y1631" s="62" t="s">
        <v>20457</v>
      </c>
      <c r="Z1631" s="62" t="s">
        <v>20458</v>
      </c>
      <c r="AA1631" s="62" t="s">
        <v>53088</v>
      </c>
      <c r="AB1631" s="62" t="s">
        <v>20459</v>
      </c>
      <c r="AC1631" s="62" t="s">
        <v>20460</v>
      </c>
      <c r="AD1631" s="62" t="s">
        <v>20461</v>
      </c>
    </row>
    <row r="1632" spans="1:30" x14ac:dyDescent="0.25">
      <c r="A1632" s="62" t="s">
        <v>109</v>
      </c>
      <c r="C1632" s="62" t="s">
        <v>20462</v>
      </c>
      <c r="F1632" s="62" t="s">
        <v>3237</v>
      </c>
      <c r="G1632" s="62" t="s">
        <v>52937</v>
      </c>
      <c r="J1632" s="62" t="s">
        <v>20463</v>
      </c>
      <c r="K1632" s="62" t="s">
        <v>52975</v>
      </c>
      <c r="L1632" s="62" t="s">
        <v>20464</v>
      </c>
      <c r="M1632" s="62" t="s">
        <v>20465</v>
      </c>
      <c r="N1632" s="62" t="s">
        <v>20466</v>
      </c>
      <c r="O1632" s="62" t="s">
        <v>20467</v>
      </c>
      <c r="P1632" s="62" t="s">
        <v>53013</v>
      </c>
      <c r="Q1632" s="62" t="s">
        <v>20468</v>
      </c>
      <c r="R1632" s="62" t="s">
        <v>20469</v>
      </c>
      <c r="S1632" s="62" t="s">
        <v>20470</v>
      </c>
      <c r="U1632" s="62" t="s">
        <v>20471</v>
      </c>
      <c r="V1632" s="62" t="s">
        <v>53051</v>
      </c>
      <c r="W1632" s="62" t="s">
        <v>20472</v>
      </c>
      <c r="X1632" s="62" t="s">
        <v>20473</v>
      </c>
      <c r="Y1632" s="62" t="s">
        <v>20474</v>
      </c>
      <c r="Z1632" s="62" t="s">
        <v>20475</v>
      </c>
      <c r="AA1632" s="62" t="s">
        <v>53089</v>
      </c>
      <c r="AB1632" s="62" t="s">
        <v>20476</v>
      </c>
      <c r="AC1632" s="62" t="s">
        <v>20477</v>
      </c>
      <c r="AD1632" s="62" t="s">
        <v>20478</v>
      </c>
    </row>
    <row r="1633" spans="1:30" x14ac:dyDescent="0.25">
      <c r="A1633" s="62" t="s">
        <v>109</v>
      </c>
      <c r="C1633" s="62" t="s">
        <v>43651</v>
      </c>
      <c r="F1633" s="62" t="s">
        <v>2355</v>
      </c>
      <c r="G1633" s="62" t="s">
        <v>52938</v>
      </c>
      <c r="J1633" s="62" t="s">
        <v>43652</v>
      </c>
      <c r="K1633" s="62" t="s">
        <v>52976</v>
      </c>
      <c r="L1633" s="62" t="s">
        <v>43653</v>
      </c>
      <c r="M1633" s="62" t="s">
        <v>43654</v>
      </c>
      <c r="N1633" s="62" t="s">
        <v>43655</v>
      </c>
      <c r="O1633" s="62" t="s">
        <v>43656</v>
      </c>
      <c r="P1633" s="62" t="s">
        <v>53014</v>
      </c>
      <c r="Q1633" s="62" t="s">
        <v>43657</v>
      </c>
      <c r="R1633" s="62" t="s">
        <v>43658</v>
      </c>
      <c r="S1633" s="62" t="s">
        <v>43659</v>
      </c>
      <c r="U1633" s="62" t="s">
        <v>43660</v>
      </c>
      <c r="V1633" s="62" t="s">
        <v>53052</v>
      </c>
      <c r="W1633" s="62" t="s">
        <v>43661</v>
      </c>
      <c r="X1633" s="62" t="s">
        <v>43662</v>
      </c>
      <c r="Y1633" s="62" t="s">
        <v>43663</v>
      </c>
      <c r="Z1633" s="62" t="s">
        <v>43664</v>
      </c>
      <c r="AA1633" s="62" t="s">
        <v>53090</v>
      </c>
      <c r="AB1633" s="62" t="s">
        <v>43665</v>
      </c>
      <c r="AC1633" s="62" t="s">
        <v>43666</v>
      </c>
      <c r="AD1633" s="62" t="s">
        <v>43667</v>
      </c>
    </row>
    <row r="1634" spans="1:30" x14ac:dyDescent="0.25">
      <c r="A1634" s="62" t="s">
        <v>109</v>
      </c>
      <c r="C1634" s="62" t="s">
        <v>20479</v>
      </c>
      <c r="F1634" s="62" t="s">
        <v>2372</v>
      </c>
      <c r="G1634" s="62" t="s">
        <v>52939</v>
      </c>
      <c r="J1634" s="62" t="s">
        <v>43668</v>
      </c>
      <c r="K1634" s="62" t="s">
        <v>52977</v>
      </c>
      <c r="L1634" s="62" t="s">
        <v>43669</v>
      </c>
      <c r="M1634" s="62" t="s">
        <v>20480</v>
      </c>
      <c r="N1634" s="62" t="s">
        <v>20481</v>
      </c>
      <c r="O1634" s="62" t="s">
        <v>43670</v>
      </c>
      <c r="P1634" s="62" t="s">
        <v>53015</v>
      </c>
      <c r="Q1634" s="62" t="s">
        <v>43671</v>
      </c>
      <c r="R1634" s="62" t="s">
        <v>20482</v>
      </c>
      <c r="S1634" s="62" t="s">
        <v>20483</v>
      </c>
      <c r="U1634" s="62" t="s">
        <v>43672</v>
      </c>
      <c r="V1634" s="62" t="s">
        <v>53053</v>
      </c>
      <c r="W1634" s="62" t="s">
        <v>43673</v>
      </c>
      <c r="X1634" s="62" t="s">
        <v>20484</v>
      </c>
      <c r="Y1634" s="62" t="s">
        <v>20485</v>
      </c>
      <c r="Z1634" s="62" t="s">
        <v>43674</v>
      </c>
      <c r="AA1634" s="62" t="s">
        <v>53091</v>
      </c>
      <c r="AB1634" s="62" t="s">
        <v>43675</v>
      </c>
      <c r="AC1634" s="62" t="s">
        <v>20486</v>
      </c>
      <c r="AD1634" s="62" t="s">
        <v>20487</v>
      </c>
    </row>
    <row r="1635" spans="1:30" x14ac:dyDescent="0.25">
      <c r="A1635" s="62" t="s">
        <v>109</v>
      </c>
      <c r="C1635" s="62" t="s">
        <v>19884</v>
      </c>
    </row>
    <row r="1636" spans="1:30" x14ac:dyDescent="0.25">
      <c r="A1636" s="62" t="s">
        <v>109</v>
      </c>
      <c r="C1636" s="62" t="s">
        <v>43676</v>
      </c>
      <c r="G1636" s="62" t="s">
        <v>43677</v>
      </c>
      <c r="J1636" s="62" t="s">
        <v>43678</v>
      </c>
      <c r="K1636" s="62" t="s">
        <v>43679</v>
      </c>
      <c r="L1636" s="62" t="s">
        <v>43680</v>
      </c>
      <c r="M1636" s="62" t="s">
        <v>43681</v>
      </c>
      <c r="N1636" s="62" t="s">
        <v>43682</v>
      </c>
      <c r="O1636" s="62" t="s">
        <v>43683</v>
      </c>
      <c r="P1636" s="62" t="s">
        <v>43684</v>
      </c>
      <c r="Q1636" s="62" t="s">
        <v>43685</v>
      </c>
      <c r="R1636" s="62" t="s">
        <v>43686</v>
      </c>
      <c r="S1636" s="62" t="s">
        <v>43687</v>
      </c>
      <c r="U1636" s="62" t="s">
        <v>43688</v>
      </c>
      <c r="V1636" s="62" t="s">
        <v>43689</v>
      </c>
      <c r="W1636" s="62" t="s">
        <v>43690</v>
      </c>
      <c r="X1636" s="62" t="s">
        <v>43691</v>
      </c>
      <c r="Y1636" s="62" t="s">
        <v>43692</v>
      </c>
      <c r="Z1636" s="62" t="s">
        <v>43693</v>
      </c>
      <c r="AA1636" s="62" t="s">
        <v>43694</v>
      </c>
      <c r="AB1636" s="62" t="s">
        <v>43695</v>
      </c>
      <c r="AC1636" s="62" t="s">
        <v>43696</v>
      </c>
      <c r="AD1636" s="62" t="s">
        <v>43697</v>
      </c>
    </row>
    <row r="1637" spans="1:30" x14ac:dyDescent="0.25">
      <c r="A1637" s="62" t="s">
        <v>109</v>
      </c>
    </row>
    <row r="1638" spans="1:30" x14ac:dyDescent="0.25">
      <c r="A1638" s="62" t="s">
        <v>109</v>
      </c>
      <c r="C1638" s="62" t="s">
        <v>43698</v>
      </c>
      <c r="E1638" s="62" t="s">
        <v>25965</v>
      </c>
      <c r="G1638" s="62" t="s">
        <v>43699</v>
      </c>
    </row>
    <row r="1639" spans="1:30" x14ac:dyDescent="0.25">
      <c r="A1639" s="62" t="s">
        <v>109</v>
      </c>
      <c r="C1639" s="62" t="s">
        <v>20488</v>
      </c>
    </row>
    <row r="1640" spans="1:30" x14ac:dyDescent="0.25">
      <c r="A1640" s="62" t="s">
        <v>109</v>
      </c>
      <c r="C1640" s="62" t="s">
        <v>20489</v>
      </c>
      <c r="F1640" s="62" t="s">
        <v>43700</v>
      </c>
      <c r="G1640" s="62" t="s">
        <v>52662</v>
      </c>
      <c r="J1640" s="62" t="s">
        <v>20490</v>
      </c>
      <c r="K1640" s="62" t="s">
        <v>52710</v>
      </c>
      <c r="L1640" s="62" t="s">
        <v>20491</v>
      </c>
      <c r="M1640" s="62" t="s">
        <v>20492</v>
      </c>
      <c r="N1640" s="62" t="s">
        <v>20493</v>
      </c>
      <c r="O1640" s="62" t="s">
        <v>20494</v>
      </c>
      <c r="P1640" s="62" t="s">
        <v>52758</v>
      </c>
      <c r="Q1640" s="62" t="s">
        <v>20495</v>
      </c>
      <c r="R1640" s="62" t="s">
        <v>20496</v>
      </c>
      <c r="S1640" s="62" t="s">
        <v>20497</v>
      </c>
      <c r="U1640" s="62" t="s">
        <v>20498</v>
      </c>
      <c r="V1640" s="62" t="s">
        <v>52806</v>
      </c>
      <c r="W1640" s="62" t="s">
        <v>20499</v>
      </c>
      <c r="X1640" s="62" t="s">
        <v>20500</v>
      </c>
      <c r="Y1640" s="62" t="s">
        <v>20501</v>
      </c>
      <c r="Z1640" s="62" t="s">
        <v>20502</v>
      </c>
      <c r="AA1640" s="62" t="s">
        <v>52854</v>
      </c>
      <c r="AB1640" s="62" t="s">
        <v>20503</v>
      </c>
      <c r="AC1640" s="62" t="s">
        <v>20504</v>
      </c>
      <c r="AD1640" s="62" t="s">
        <v>20505</v>
      </c>
    </row>
    <row r="1641" spans="1:30" x14ac:dyDescent="0.25">
      <c r="A1641" s="62" t="s">
        <v>109</v>
      </c>
      <c r="C1641" s="62" t="s">
        <v>20506</v>
      </c>
      <c r="F1641" s="62" t="s">
        <v>925</v>
      </c>
      <c r="G1641" s="62" t="s">
        <v>52663</v>
      </c>
      <c r="J1641" s="62" t="s">
        <v>20507</v>
      </c>
      <c r="K1641" s="62" t="s">
        <v>52711</v>
      </c>
      <c r="L1641" s="62" t="s">
        <v>20508</v>
      </c>
      <c r="M1641" s="62" t="s">
        <v>20509</v>
      </c>
      <c r="N1641" s="62" t="s">
        <v>20510</v>
      </c>
      <c r="O1641" s="62" t="s">
        <v>20511</v>
      </c>
      <c r="P1641" s="62" t="s">
        <v>52759</v>
      </c>
      <c r="Q1641" s="62" t="s">
        <v>20512</v>
      </c>
      <c r="R1641" s="62" t="s">
        <v>20513</v>
      </c>
      <c r="S1641" s="62" t="s">
        <v>20514</v>
      </c>
      <c r="U1641" s="62" t="s">
        <v>20515</v>
      </c>
      <c r="V1641" s="62" t="s">
        <v>52807</v>
      </c>
      <c r="W1641" s="62" t="s">
        <v>20516</v>
      </c>
      <c r="X1641" s="62" t="s">
        <v>20517</v>
      </c>
      <c r="Y1641" s="62" t="s">
        <v>20518</v>
      </c>
      <c r="Z1641" s="62" t="s">
        <v>20519</v>
      </c>
      <c r="AA1641" s="62" t="s">
        <v>52855</v>
      </c>
      <c r="AB1641" s="62" t="s">
        <v>20520</v>
      </c>
      <c r="AC1641" s="62" t="s">
        <v>20521</v>
      </c>
      <c r="AD1641" s="62" t="s">
        <v>20522</v>
      </c>
    </row>
    <row r="1642" spans="1:30" x14ac:dyDescent="0.25">
      <c r="A1642" s="62" t="s">
        <v>109</v>
      </c>
      <c r="C1642" s="62" t="s">
        <v>20523</v>
      </c>
      <c r="F1642" s="62" t="s">
        <v>254</v>
      </c>
      <c r="G1642" s="62" t="s">
        <v>52664</v>
      </c>
      <c r="J1642" s="62" t="s">
        <v>20524</v>
      </c>
      <c r="K1642" s="62" t="s">
        <v>52712</v>
      </c>
      <c r="L1642" s="62" t="s">
        <v>20525</v>
      </c>
      <c r="M1642" s="62" t="s">
        <v>20526</v>
      </c>
      <c r="N1642" s="62" t="s">
        <v>20527</v>
      </c>
      <c r="O1642" s="62" t="s">
        <v>20528</v>
      </c>
      <c r="P1642" s="62" t="s">
        <v>52760</v>
      </c>
      <c r="Q1642" s="62" t="s">
        <v>20529</v>
      </c>
      <c r="R1642" s="62" t="s">
        <v>20530</v>
      </c>
      <c r="S1642" s="62" t="s">
        <v>20531</v>
      </c>
      <c r="U1642" s="62" t="s">
        <v>20532</v>
      </c>
      <c r="V1642" s="62" t="s">
        <v>52808</v>
      </c>
      <c r="W1642" s="62" t="s">
        <v>20533</v>
      </c>
      <c r="X1642" s="62" t="s">
        <v>20534</v>
      </c>
      <c r="Y1642" s="62" t="s">
        <v>20535</v>
      </c>
      <c r="Z1642" s="62" t="s">
        <v>20536</v>
      </c>
      <c r="AA1642" s="62" t="s">
        <v>52856</v>
      </c>
      <c r="AB1642" s="62" t="s">
        <v>20537</v>
      </c>
      <c r="AC1642" s="62" t="s">
        <v>20538</v>
      </c>
      <c r="AD1642" s="62" t="s">
        <v>20539</v>
      </c>
    </row>
    <row r="1643" spans="1:30" x14ac:dyDescent="0.25">
      <c r="A1643" s="62" t="s">
        <v>109</v>
      </c>
      <c r="C1643" s="62" t="s">
        <v>20540</v>
      </c>
      <c r="F1643" s="62" t="s">
        <v>2297</v>
      </c>
      <c r="G1643" s="62" t="s">
        <v>52665</v>
      </c>
      <c r="J1643" s="62" t="s">
        <v>20541</v>
      </c>
      <c r="K1643" s="62" t="s">
        <v>52713</v>
      </c>
      <c r="L1643" s="62" t="s">
        <v>20542</v>
      </c>
      <c r="M1643" s="62" t="s">
        <v>20543</v>
      </c>
      <c r="N1643" s="62" t="s">
        <v>20544</v>
      </c>
      <c r="O1643" s="62" t="s">
        <v>20545</v>
      </c>
      <c r="P1643" s="62" t="s">
        <v>52761</v>
      </c>
      <c r="Q1643" s="62" t="s">
        <v>20546</v>
      </c>
      <c r="R1643" s="62" t="s">
        <v>20547</v>
      </c>
      <c r="S1643" s="62" t="s">
        <v>20548</v>
      </c>
      <c r="U1643" s="62" t="s">
        <v>20549</v>
      </c>
      <c r="V1643" s="62" t="s">
        <v>52809</v>
      </c>
      <c r="W1643" s="62" t="s">
        <v>20550</v>
      </c>
      <c r="X1643" s="62" t="s">
        <v>20551</v>
      </c>
      <c r="Y1643" s="62" t="s">
        <v>20552</v>
      </c>
      <c r="Z1643" s="62" t="s">
        <v>20553</v>
      </c>
      <c r="AA1643" s="62" t="s">
        <v>52857</v>
      </c>
      <c r="AB1643" s="62" t="s">
        <v>20554</v>
      </c>
      <c r="AC1643" s="62" t="s">
        <v>20555</v>
      </c>
      <c r="AD1643" s="62" t="s">
        <v>20556</v>
      </c>
    </row>
    <row r="1644" spans="1:30" x14ac:dyDescent="0.25">
      <c r="A1644" s="62" t="s">
        <v>109</v>
      </c>
      <c r="C1644" s="62" t="s">
        <v>20557</v>
      </c>
      <c r="F1644" s="62" t="s">
        <v>10293</v>
      </c>
      <c r="G1644" s="62" t="s">
        <v>52666</v>
      </c>
      <c r="J1644" s="62" t="s">
        <v>20558</v>
      </c>
      <c r="K1644" s="62" t="s">
        <v>52714</v>
      </c>
      <c r="L1644" s="62" t="s">
        <v>20559</v>
      </c>
      <c r="M1644" s="62" t="s">
        <v>20560</v>
      </c>
      <c r="N1644" s="62" t="s">
        <v>20561</v>
      </c>
      <c r="O1644" s="62" t="s">
        <v>20562</v>
      </c>
      <c r="P1644" s="62" t="s">
        <v>52762</v>
      </c>
      <c r="Q1644" s="62" t="s">
        <v>20563</v>
      </c>
      <c r="R1644" s="62" t="s">
        <v>20564</v>
      </c>
      <c r="S1644" s="62" t="s">
        <v>20565</v>
      </c>
      <c r="U1644" s="62" t="s">
        <v>20566</v>
      </c>
      <c r="V1644" s="62" t="s">
        <v>52810</v>
      </c>
      <c r="W1644" s="62" t="s">
        <v>20567</v>
      </c>
      <c r="X1644" s="62" t="s">
        <v>20568</v>
      </c>
      <c r="Y1644" s="62" t="s">
        <v>20569</v>
      </c>
      <c r="Z1644" s="62" t="s">
        <v>20570</v>
      </c>
      <c r="AA1644" s="62" t="s">
        <v>52858</v>
      </c>
      <c r="AB1644" s="62" t="s">
        <v>20571</v>
      </c>
      <c r="AC1644" s="62" t="s">
        <v>20572</v>
      </c>
      <c r="AD1644" s="62" t="s">
        <v>20573</v>
      </c>
    </row>
    <row r="1645" spans="1:30" x14ac:dyDescent="0.25">
      <c r="A1645" s="62" t="s">
        <v>109</v>
      </c>
      <c r="C1645" s="62" t="s">
        <v>20574</v>
      </c>
      <c r="F1645" s="62" t="s">
        <v>985</v>
      </c>
      <c r="G1645" s="62" t="s">
        <v>52667</v>
      </c>
      <c r="J1645" s="62" t="s">
        <v>20575</v>
      </c>
      <c r="K1645" s="62" t="s">
        <v>52715</v>
      </c>
      <c r="L1645" s="62" t="s">
        <v>20576</v>
      </c>
      <c r="M1645" s="62" t="s">
        <v>20577</v>
      </c>
      <c r="N1645" s="62" t="s">
        <v>20578</v>
      </c>
      <c r="O1645" s="62" t="s">
        <v>20579</v>
      </c>
      <c r="P1645" s="62" t="s">
        <v>52763</v>
      </c>
      <c r="Q1645" s="62" t="s">
        <v>20580</v>
      </c>
      <c r="R1645" s="62" t="s">
        <v>20581</v>
      </c>
      <c r="S1645" s="62" t="s">
        <v>20582</v>
      </c>
      <c r="U1645" s="62" t="s">
        <v>20583</v>
      </c>
      <c r="V1645" s="62" t="s">
        <v>52811</v>
      </c>
      <c r="W1645" s="62" t="s">
        <v>20584</v>
      </c>
      <c r="X1645" s="62" t="s">
        <v>20585</v>
      </c>
      <c r="Y1645" s="62" t="s">
        <v>20586</v>
      </c>
      <c r="Z1645" s="62" t="s">
        <v>20587</v>
      </c>
      <c r="AA1645" s="62" t="s">
        <v>52859</v>
      </c>
      <c r="AB1645" s="62" t="s">
        <v>20588</v>
      </c>
      <c r="AC1645" s="62" t="s">
        <v>20589</v>
      </c>
      <c r="AD1645" s="62" t="s">
        <v>20590</v>
      </c>
    </row>
    <row r="1646" spans="1:30" x14ac:dyDescent="0.25">
      <c r="A1646" s="62" t="s">
        <v>109</v>
      </c>
      <c r="C1646" s="62" t="s">
        <v>20591</v>
      </c>
      <c r="F1646" s="62" t="s">
        <v>19275</v>
      </c>
      <c r="G1646" s="62" t="s">
        <v>52668</v>
      </c>
      <c r="J1646" s="62" t="s">
        <v>20592</v>
      </c>
      <c r="K1646" s="62" t="s">
        <v>52716</v>
      </c>
      <c r="L1646" s="62" t="s">
        <v>20593</v>
      </c>
      <c r="M1646" s="62" t="s">
        <v>20594</v>
      </c>
      <c r="N1646" s="62" t="s">
        <v>20595</v>
      </c>
      <c r="O1646" s="62" t="s">
        <v>20596</v>
      </c>
      <c r="P1646" s="62" t="s">
        <v>52764</v>
      </c>
      <c r="Q1646" s="62" t="s">
        <v>20597</v>
      </c>
      <c r="R1646" s="62" t="s">
        <v>20598</v>
      </c>
      <c r="S1646" s="62" t="s">
        <v>20599</v>
      </c>
      <c r="U1646" s="62" t="s">
        <v>20600</v>
      </c>
      <c r="V1646" s="62" t="s">
        <v>52812</v>
      </c>
      <c r="W1646" s="62" t="s">
        <v>20601</v>
      </c>
      <c r="X1646" s="62" t="s">
        <v>20602</v>
      </c>
      <c r="Y1646" s="62" t="s">
        <v>20603</v>
      </c>
      <c r="Z1646" s="62" t="s">
        <v>20604</v>
      </c>
      <c r="AA1646" s="62" t="s">
        <v>52860</v>
      </c>
      <c r="AB1646" s="62" t="s">
        <v>20605</v>
      </c>
      <c r="AC1646" s="62" t="s">
        <v>20606</v>
      </c>
      <c r="AD1646" s="62" t="s">
        <v>20607</v>
      </c>
    </row>
    <row r="1647" spans="1:30" x14ac:dyDescent="0.25">
      <c r="A1647" s="62" t="s">
        <v>109</v>
      </c>
      <c r="C1647" s="62" t="s">
        <v>20608</v>
      </c>
      <c r="F1647" s="62" t="s">
        <v>10332</v>
      </c>
      <c r="G1647" s="62" t="s">
        <v>52669</v>
      </c>
      <c r="J1647" s="62" t="s">
        <v>20609</v>
      </c>
      <c r="K1647" s="62" t="s">
        <v>52717</v>
      </c>
      <c r="L1647" s="62" t="s">
        <v>20610</v>
      </c>
      <c r="M1647" s="62" t="s">
        <v>20611</v>
      </c>
      <c r="N1647" s="62" t="s">
        <v>20612</v>
      </c>
      <c r="O1647" s="62" t="s">
        <v>20613</v>
      </c>
      <c r="P1647" s="62" t="s">
        <v>52765</v>
      </c>
      <c r="Q1647" s="62" t="s">
        <v>20614</v>
      </c>
      <c r="R1647" s="62" t="s">
        <v>20615</v>
      </c>
      <c r="S1647" s="62" t="s">
        <v>20616</v>
      </c>
      <c r="U1647" s="62" t="s">
        <v>20617</v>
      </c>
      <c r="V1647" s="62" t="s">
        <v>52813</v>
      </c>
      <c r="W1647" s="62" t="s">
        <v>20618</v>
      </c>
      <c r="X1647" s="62" t="s">
        <v>20619</v>
      </c>
      <c r="Y1647" s="62" t="s">
        <v>20620</v>
      </c>
      <c r="Z1647" s="62" t="s">
        <v>20621</v>
      </c>
      <c r="AA1647" s="62" t="s">
        <v>52861</v>
      </c>
      <c r="AB1647" s="62" t="s">
        <v>20622</v>
      </c>
      <c r="AC1647" s="62" t="s">
        <v>20623</v>
      </c>
      <c r="AD1647" s="62" t="s">
        <v>20624</v>
      </c>
    </row>
    <row r="1648" spans="1:30" x14ac:dyDescent="0.25">
      <c r="A1648" s="62" t="s">
        <v>109</v>
      </c>
      <c r="C1648" s="62" t="s">
        <v>20625</v>
      </c>
      <c r="F1648" s="62" t="s">
        <v>10350</v>
      </c>
      <c r="G1648" s="62" t="s">
        <v>52670</v>
      </c>
      <c r="J1648" s="62" t="s">
        <v>20626</v>
      </c>
      <c r="K1648" s="62" t="s">
        <v>52718</v>
      </c>
      <c r="L1648" s="62" t="s">
        <v>20627</v>
      </c>
      <c r="M1648" s="62" t="s">
        <v>20628</v>
      </c>
      <c r="N1648" s="62" t="s">
        <v>20629</v>
      </c>
      <c r="O1648" s="62" t="s">
        <v>20630</v>
      </c>
      <c r="P1648" s="62" t="s">
        <v>52766</v>
      </c>
      <c r="Q1648" s="62" t="s">
        <v>20631</v>
      </c>
      <c r="R1648" s="62" t="s">
        <v>20632</v>
      </c>
      <c r="S1648" s="62" t="s">
        <v>20633</v>
      </c>
      <c r="U1648" s="62" t="s">
        <v>20634</v>
      </c>
      <c r="V1648" s="62" t="s">
        <v>52814</v>
      </c>
      <c r="W1648" s="62" t="s">
        <v>20635</v>
      </c>
      <c r="X1648" s="62" t="s">
        <v>20636</v>
      </c>
      <c r="Y1648" s="62" t="s">
        <v>20637</v>
      </c>
      <c r="Z1648" s="62" t="s">
        <v>20638</v>
      </c>
      <c r="AA1648" s="62" t="s">
        <v>52862</v>
      </c>
      <c r="AB1648" s="62" t="s">
        <v>20639</v>
      </c>
      <c r="AC1648" s="62" t="s">
        <v>20640</v>
      </c>
      <c r="AD1648" s="62" t="s">
        <v>20641</v>
      </c>
    </row>
    <row r="1649" spans="1:30" x14ac:dyDescent="0.25">
      <c r="A1649" s="62" t="s">
        <v>109</v>
      </c>
      <c r="C1649" s="62" t="s">
        <v>20642</v>
      </c>
      <c r="F1649" s="62" t="s">
        <v>10368</v>
      </c>
      <c r="G1649" s="62" t="s">
        <v>52671</v>
      </c>
      <c r="J1649" s="62" t="s">
        <v>20643</v>
      </c>
      <c r="K1649" s="62" t="s">
        <v>52719</v>
      </c>
      <c r="L1649" s="62" t="s">
        <v>20644</v>
      </c>
      <c r="M1649" s="62" t="s">
        <v>20645</v>
      </c>
      <c r="N1649" s="62" t="s">
        <v>20646</v>
      </c>
      <c r="O1649" s="62" t="s">
        <v>20647</v>
      </c>
      <c r="P1649" s="62" t="s">
        <v>52767</v>
      </c>
      <c r="Q1649" s="62" t="s">
        <v>20648</v>
      </c>
      <c r="R1649" s="62" t="s">
        <v>20649</v>
      </c>
      <c r="S1649" s="62" t="s">
        <v>20650</v>
      </c>
      <c r="U1649" s="62" t="s">
        <v>20651</v>
      </c>
      <c r="V1649" s="62" t="s">
        <v>52815</v>
      </c>
      <c r="W1649" s="62" t="s">
        <v>20652</v>
      </c>
      <c r="X1649" s="62" t="s">
        <v>20653</v>
      </c>
      <c r="Y1649" s="62" t="s">
        <v>20654</v>
      </c>
      <c r="Z1649" s="62" t="s">
        <v>20655</v>
      </c>
      <c r="AA1649" s="62" t="s">
        <v>52863</v>
      </c>
      <c r="AB1649" s="62" t="s">
        <v>20656</v>
      </c>
      <c r="AC1649" s="62" t="s">
        <v>20657</v>
      </c>
      <c r="AD1649" s="62" t="s">
        <v>20658</v>
      </c>
    </row>
    <row r="1650" spans="1:30" x14ac:dyDescent="0.25">
      <c r="A1650" s="62" t="s">
        <v>109</v>
      </c>
      <c r="C1650" s="62" t="s">
        <v>20659</v>
      </c>
      <c r="F1650" s="62" t="s">
        <v>10404</v>
      </c>
      <c r="G1650" s="62" t="s">
        <v>52672</v>
      </c>
      <c r="J1650" s="62" t="s">
        <v>20660</v>
      </c>
      <c r="K1650" s="62" t="s">
        <v>52720</v>
      </c>
      <c r="L1650" s="62" t="s">
        <v>20661</v>
      </c>
      <c r="M1650" s="62" t="s">
        <v>20662</v>
      </c>
      <c r="N1650" s="62" t="s">
        <v>20663</v>
      </c>
      <c r="O1650" s="62" t="s">
        <v>20664</v>
      </c>
      <c r="P1650" s="62" t="s">
        <v>52768</v>
      </c>
      <c r="Q1650" s="62" t="s">
        <v>20665</v>
      </c>
      <c r="R1650" s="62" t="s">
        <v>20666</v>
      </c>
      <c r="S1650" s="62" t="s">
        <v>20667</v>
      </c>
      <c r="U1650" s="62" t="s">
        <v>20668</v>
      </c>
      <c r="V1650" s="62" t="s">
        <v>52816</v>
      </c>
      <c r="W1650" s="62" t="s">
        <v>20669</v>
      </c>
      <c r="X1650" s="62" t="s">
        <v>20670</v>
      </c>
      <c r="Y1650" s="62" t="s">
        <v>20671</v>
      </c>
      <c r="Z1650" s="62" t="s">
        <v>20672</v>
      </c>
      <c r="AA1650" s="62" t="s">
        <v>52864</v>
      </c>
      <c r="AB1650" s="62" t="s">
        <v>20673</v>
      </c>
      <c r="AC1650" s="62" t="s">
        <v>20674</v>
      </c>
      <c r="AD1650" s="62" t="s">
        <v>20675</v>
      </c>
    </row>
    <row r="1651" spans="1:30" x14ac:dyDescent="0.25">
      <c r="A1651" s="62" t="s">
        <v>109</v>
      </c>
      <c r="C1651" s="62" t="s">
        <v>20676</v>
      </c>
      <c r="F1651" s="62" t="s">
        <v>1002</v>
      </c>
      <c r="G1651" s="62" t="s">
        <v>52673</v>
      </c>
      <c r="J1651" s="62" t="s">
        <v>20677</v>
      </c>
      <c r="K1651" s="62" t="s">
        <v>52721</v>
      </c>
      <c r="L1651" s="62" t="s">
        <v>20678</v>
      </c>
      <c r="M1651" s="62" t="s">
        <v>20679</v>
      </c>
      <c r="N1651" s="62" t="s">
        <v>20680</v>
      </c>
      <c r="O1651" s="62" t="s">
        <v>20681</v>
      </c>
      <c r="P1651" s="62" t="s">
        <v>52769</v>
      </c>
      <c r="Q1651" s="62" t="s">
        <v>20682</v>
      </c>
      <c r="R1651" s="62" t="s">
        <v>20683</v>
      </c>
      <c r="S1651" s="62" t="s">
        <v>20684</v>
      </c>
      <c r="U1651" s="62" t="s">
        <v>20685</v>
      </c>
      <c r="V1651" s="62" t="s">
        <v>52817</v>
      </c>
      <c r="W1651" s="62" t="s">
        <v>20686</v>
      </c>
      <c r="X1651" s="62" t="s">
        <v>20687</v>
      </c>
      <c r="Y1651" s="62" t="s">
        <v>20688</v>
      </c>
      <c r="Z1651" s="62" t="s">
        <v>20689</v>
      </c>
      <c r="AA1651" s="62" t="s">
        <v>52865</v>
      </c>
      <c r="AB1651" s="62" t="s">
        <v>20690</v>
      </c>
      <c r="AC1651" s="62" t="s">
        <v>20691</v>
      </c>
      <c r="AD1651" s="62" t="s">
        <v>20692</v>
      </c>
    </row>
    <row r="1652" spans="1:30" x14ac:dyDescent="0.25">
      <c r="A1652" s="62" t="s">
        <v>109</v>
      </c>
      <c r="C1652" s="62" t="s">
        <v>20693</v>
      </c>
      <c r="F1652" s="62" t="s">
        <v>1012</v>
      </c>
      <c r="G1652" s="62" t="s">
        <v>52674</v>
      </c>
      <c r="J1652" s="62" t="s">
        <v>20694</v>
      </c>
      <c r="K1652" s="62" t="s">
        <v>52722</v>
      </c>
      <c r="L1652" s="62" t="s">
        <v>20695</v>
      </c>
      <c r="M1652" s="62" t="s">
        <v>20696</v>
      </c>
      <c r="N1652" s="62" t="s">
        <v>20697</v>
      </c>
      <c r="O1652" s="62" t="s">
        <v>20698</v>
      </c>
      <c r="P1652" s="62" t="s">
        <v>52770</v>
      </c>
      <c r="Q1652" s="62" t="s">
        <v>20699</v>
      </c>
      <c r="R1652" s="62" t="s">
        <v>20700</v>
      </c>
      <c r="S1652" s="62" t="s">
        <v>20701</v>
      </c>
      <c r="U1652" s="62" t="s">
        <v>20702</v>
      </c>
      <c r="V1652" s="62" t="s">
        <v>52818</v>
      </c>
      <c r="W1652" s="62" t="s">
        <v>20703</v>
      </c>
      <c r="X1652" s="62" t="s">
        <v>20704</v>
      </c>
      <c r="Y1652" s="62" t="s">
        <v>20705</v>
      </c>
      <c r="Z1652" s="62" t="s">
        <v>20706</v>
      </c>
      <c r="AA1652" s="62" t="s">
        <v>52866</v>
      </c>
      <c r="AB1652" s="62" t="s">
        <v>20707</v>
      </c>
      <c r="AC1652" s="62" t="s">
        <v>20708</v>
      </c>
      <c r="AD1652" s="62" t="s">
        <v>20709</v>
      </c>
    </row>
    <row r="1653" spans="1:30" x14ac:dyDescent="0.25">
      <c r="A1653" s="62" t="s">
        <v>109</v>
      </c>
      <c r="C1653" s="62" t="s">
        <v>20710</v>
      </c>
      <c r="F1653" s="62" t="s">
        <v>1030</v>
      </c>
      <c r="G1653" s="62" t="s">
        <v>52675</v>
      </c>
      <c r="J1653" s="62" t="s">
        <v>20711</v>
      </c>
      <c r="K1653" s="62" t="s">
        <v>52723</v>
      </c>
      <c r="L1653" s="62" t="s">
        <v>20712</v>
      </c>
      <c r="M1653" s="62" t="s">
        <v>20713</v>
      </c>
      <c r="N1653" s="62" t="s">
        <v>20714</v>
      </c>
      <c r="O1653" s="62" t="s">
        <v>20715</v>
      </c>
      <c r="P1653" s="62" t="s">
        <v>52771</v>
      </c>
      <c r="Q1653" s="62" t="s">
        <v>20716</v>
      </c>
      <c r="R1653" s="62" t="s">
        <v>20717</v>
      </c>
      <c r="S1653" s="62" t="s">
        <v>20718</v>
      </c>
      <c r="U1653" s="62" t="s">
        <v>20719</v>
      </c>
      <c r="V1653" s="62" t="s">
        <v>52819</v>
      </c>
      <c r="W1653" s="62" t="s">
        <v>20720</v>
      </c>
      <c r="X1653" s="62" t="s">
        <v>20721</v>
      </c>
      <c r="Y1653" s="62" t="s">
        <v>20722</v>
      </c>
      <c r="Z1653" s="62" t="s">
        <v>20723</v>
      </c>
      <c r="AA1653" s="62" t="s">
        <v>52867</v>
      </c>
      <c r="AB1653" s="62" t="s">
        <v>20724</v>
      </c>
      <c r="AC1653" s="62" t="s">
        <v>20725</v>
      </c>
      <c r="AD1653" s="62" t="s">
        <v>20726</v>
      </c>
    </row>
    <row r="1654" spans="1:30" x14ac:dyDescent="0.25">
      <c r="A1654" s="62" t="s">
        <v>109</v>
      </c>
      <c r="C1654" s="62" t="s">
        <v>20727</v>
      </c>
      <c r="F1654" s="62" t="s">
        <v>1100</v>
      </c>
      <c r="G1654" s="62" t="s">
        <v>52676</v>
      </c>
      <c r="J1654" s="62" t="s">
        <v>20728</v>
      </c>
      <c r="K1654" s="62" t="s">
        <v>52724</v>
      </c>
      <c r="L1654" s="62" t="s">
        <v>20729</v>
      </c>
      <c r="M1654" s="62" t="s">
        <v>20730</v>
      </c>
      <c r="N1654" s="62" t="s">
        <v>20731</v>
      </c>
      <c r="O1654" s="62" t="s">
        <v>20732</v>
      </c>
      <c r="P1654" s="62" t="s">
        <v>52772</v>
      </c>
      <c r="Q1654" s="62" t="s">
        <v>20733</v>
      </c>
      <c r="R1654" s="62" t="s">
        <v>20734</v>
      </c>
      <c r="S1654" s="62" t="s">
        <v>20735</v>
      </c>
      <c r="U1654" s="62" t="s">
        <v>20736</v>
      </c>
      <c r="V1654" s="62" t="s">
        <v>52820</v>
      </c>
      <c r="W1654" s="62" t="s">
        <v>20737</v>
      </c>
      <c r="X1654" s="62" t="s">
        <v>20738</v>
      </c>
      <c r="Y1654" s="62" t="s">
        <v>20739</v>
      </c>
      <c r="Z1654" s="62" t="s">
        <v>20740</v>
      </c>
      <c r="AA1654" s="62" t="s">
        <v>52868</v>
      </c>
      <c r="AB1654" s="62" t="s">
        <v>20741</v>
      </c>
      <c r="AC1654" s="62" t="s">
        <v>20742</v>
      </c>
      <c r="AD1654" s="62" t="s">
        <v>20743</v>
      </c>
    </row>
    <row r="1655" spans="1:30" x14ac:dyDescent="0.25">
      <c r="A1655" s="62" t="s">
        <v>109</v>
      </c>
      <c r="C1655" s="62" t="s">
        <v>20744</v>
      </c>
      <c r="F1655" s="62" t="s">
        <v>2337</v>
      </c>
      <c r="G1655" s="62" t="s">
        <v>52677</v>
      </c>
      <c r="J1655" s="62" t="s">
        <v>20745</v>
      </c>
      <c r="K1655" s="62" t="s">
        <v>52725</v>
      </c>
      <c r="L1655" s="62" t="s">
        <v>20746</v>
      </c>
      <c r="M1655" s="62" t="s">
        <v>20747</v>
      </c>
      <c r="N1655" s="62" t="s">
        <v>20748</v>
      </c>
      <c r="O1655" s="62" t="s">
        <v>20749</v>
      </c>
      <c r="P1655" s="62" t="s">
        <v>52773</v>
      </c>
      <c r="Q1655" s="62" t="s">
        <v>20750</v>
      </c>
      <c r="R1655" s="62" t="s">
        <v>20751</v>
      </c>
      <c r="S1655" s="62" t="s">
        <v>20752</v>
      </c>
      <c r="U1655" s="62" t="s">
        <v>20753</v>
      </c>
      <c r="V1655" s="62" t="s">
        <v>52821</v>
      </c>
      <c r="W1655" s="62" t="s">
        <v>20754</v>
      </c>
      <c r="X1655" s="62" t="s">
        <v>20755</v>
      </c>
      <c r="Y1655" s="62" t="s">
        <v>20756</v>
      </c>
      <c r="Z1655" s="62" t="s">
        <v>20757</v>
      </c>
      <c r="AA1655" s="62" t="s">
        <v>52869</v>
      </c>
      <c r="AB1655" s="62" t="s">
        <v>20758</v>
      </c>
      <c r="AC1655" s="62" t="s">
        <v>20759</v>
      </c>
      <c r="AD1655" s="62" t="s">
        <v>20760</v>
      </c>
    </row>
    <row r="1656" spans="1:30" x14ac:dyDescent="0.25">
      <c r="A1656" s="62" t="s">
        <v>109</v>
      </c>
      <c r="C1656" s="62" t="s">
        <v>20761</v>
      </c>
      <c r="F1656" s="62" t="s">
        <v>15081</v>
      </c>
      <c r="G1656" s="62" t="s">
        <v>52678</v>
      </c>
      <c r="J1656" s="62" t="s">
        <v>20762</v>
      </c>
      <c r="K1656" s="62" t="s">
        <v>52726</v>
      </c>
      <c r="L1656" s="62" t="s">
        <v>20763</v>
      </c>
      <c r="M1656" s="62" t="s">
        <v>20764</v>
      </c>
      <c r="N1656" s="62" t="s">
        <v>20765</v>
      </c>
      <c r="O1656" s="62" t="s">
        <v>20766</v>
      </c>
      <c r="P1656" s="62" t="s">
        <v>52774</v>
      </c>
      <c r="Q1656" s="62" t="s">
        <v>20767</v>
      </c>
      <c r="R1656" s="62" t="s">
        <v>20768</v>
      </c>
      <c r="S1656" s="62" t="s">
        <v>20769</v>
      </c>
      <c r="U1656" s="62" t="s">
        <v>20770</v>
      </c>
      <c r="V1656" s="62" t="s">
        <v>52822</v>
      </c>
      <c r="W1656" s="62" t="s">
        <v>20771</v>
      </c>
      <c r="X1656" s="62" t="s">
        <v>20772</v>
      </c>
      <c r="Y1656" s="62" t="s">
        <v>20773</v>
      </c>
      <c r="Z1656" s="62" t="s">
        <v>20774</v>
      </c>
      <c r="AA1656" s="62" t="s">
        <v>52870</v>
      </c>
      <c r="AB1656" s="62" t="s">
        <v>20775</v>
      </c>
      <c r="AC1656" s="62" t="s">
        <v>20776</v>
      </c>
      <c r="AD1656" s="62" t="s">
        <v>20777</v>
      </c>
    </row>
    <row r="1657" spans="1:30" x14ac:dyDescent="0.25">
      <c r="A1657" s="62" t="s">
        <v>109</v>
      </c>
      <c r="C1657" s="62" t="s">
        <v>20778</v>
      </c>
      <c r="F1657" s="62" t="s">
        <v>10559</v>
      </c>
      <c r="G1657" s="62" t="s">
        <v>52679</v>
      </c>
      <c r="J1657" s="62" t="s">
        <v>20779</v>
      </c>
      <c r="K1657" s="62" t="s">
        <v>52727</v>
      </c>
      <c r="L1657" s="62" t="s">
        <v>20780</v>
      </c>
      <c r="M1657" s="62" t="s">
        <v>20781</v>
      </c>
      <c r="N1657" s="62" t="s">
        <v>20782</v>
      </c>
      <c r="O1657" s="62" t="s">
        <v>20783</v>
      </c>
      <c r="P1657" s="62" t="s">
        <v>52775</v>
      </c>
      <c r="Q1657" s="62" t="s">
        <v>20784</v>
      </c>
      <c r="R1657" s="62" t="s">
        <v>20785</v>
      </c>
      <c r="S1657" s="62" t="s">
        <v>20786</v>
      </c>
      <c r="U1657" s="62" t="s">
        <v>20787</v>
      </c>
      <c r="V1657" s="62" t="s">
        <v>52823</v>
      </c>
      <c r="W1657" s="62" t="s">
        <v>20788</v>
      </c>
      <c r="X1657" s="62" t="s">
        <v>20789</v>
      </c>
      <c r="Y1657" s="62" t="s">
        <v>20790</v>
      </c>
      <c r="Z1657" s="62" t="s">
        <v>20791</v>
      </c>
      <c r="AA1657" s="62" t="s">
        <v>52871</v>
      </c>
      <c r="AB1657" s="62" t="s">
        <v>20792</v>
      </c>
      <c r="AC1657" s="62" t="s">
        <v>20793</v>
      </c>
      <c r="AD1657" s="62" t="s">
        <v>20794</v>
      </c>
    </row>
    <row r="1658" spans="1:30" x14ac:dyDescent="0.25">
      <c r="A1658" s="62" t="s">
        <v>109</v>
      </c>
      <c r="C1658" s="62" t="s">
        <v>20795</v>
      </c>
      <c r="F1658" s="62" t="s">
        <v>10577</v>
      </c>
      <c r="G1658" s="62" t="s">
        <v>52680</v>
      </c>
      <c r="J1658" s="62" t="s">
        <v>20796</v>
      </c>
      <c r="K1658" s="62" t="s">
        <v>52728</v>
      </c>
      <c r="L1658" s="62" t="s">
        <v>20797</v>
      </c>
      <c r="M1658" s="62" t="s">
        <v>20798</v>
      </c>
      <c r="N1658" s="62" t="s">
        <v>20799</v>
      </c>
      <c r="O1658" s="62" t="s">
        <v>20800</v>
      </c>
      <c r="P1658" s="62" t="s">
        <v>52776</v>
      </c>
      <c r="Q1658" s="62" t="s">
        <v>20801</v>
      </c>
      <c r="R1658" s="62" t="s">
        <v>20802</v>
      </c>
      <c r="S1658" s="62" t="s">
        <v>20803</v>
      </c>
      <c r="U1658" s="62" t="s">
        <v>20804</v>
      </c>
      <c r="V1658" s="62" t="s">
        <v>52824</v>
      </c>
      <c r="W1658" s="62" t="s">
        <v>20805</v>
      </c>
      <c r="X1658" s="62" t="s">
        <v>20806</v>
      </c>
      <c r="Y1658" s="62" t="s">
        <v>20807</v>
      </c>
      <c r="Z1658" s="62" t="s">
        <v>20808</v>
      </c>
      <c r="AA1658" s="62" t="s">
        <v>52872</v>
      </c>
      <c r="AB1658" s="62" t="s">
        <v>20809</v>
      </c>
      <c r="AC1658" s="62" t="s">
        <v>20810</v>
      </c>
      <c r="AD1658" s="62" t="s">
        <v>20811</v>
      </c>
    </row>
    <row r="1659" spans="1:30" x14ac:dyDescent="0.25">
      <c r="A1659" s="62" t="s">
        <v>109</v>
      </c>
      <c r="C1659" s="62" t="s">
        <v>20812</v>
      </c>
      <c r="F1659" s="62" t="s">
        <v>10613</v>
      </c>
      <c r="G1659" s="62" t="s">
        <v>52681</v>
      </c>
      <c r="J1659" s="62" t="s">
        <v>20813</v>
      </c>
      <c r="K1659" s="62" t="s">
        <v>52729</v>
      </c>
      <c r="L1659" s="62" t="s">
        <v>20814</v>
      </c>
      <c r="M1659" s="62" t="s">
        <v>20815</v>
      </c>
      <c r="N1659" s="62" t="s">
        <v>20816</v>
      </c>
      <c r="O1659" s="62" t="s">
        <v>20817</v>
      </c>
      <c r="P1659" s="62" t="s">
        <v>52777</v>
      </c>
      <c r="Q1659" s="62" t="s">
        <v>20818</v>
      </c>
      <c r="R1659" s="62" t="s">
        <v>20819</v>
      </c>
      <c r="S1659" s="62" t="s">
        <v>20820</v>
      </c>
      <c r="U1659" s="62" t="s">
        <v>20821</v>
      </c>
      <c r="V1659" s="62" t="s">
        <v>52825</v>
      </c>
      <c r="W1659" s="62" t="s">
        <v>20822</v>
      </c>
      <c r="X1659" s="62" t="s">
        <v>20823</v>
      </c>
      <c r="Y1659" s="62" t="s">
        <v>20824</v>
      </c>
      <c r="Z1659" s="62" t="s">
        <v>20825</v>
      </c>
      <c r="AA1659" s="62" t="s">
        <v>52873</v>
      </c>
      <c r="AB1659" s="62" t="s">
        <v>20826</v>
      </c>
      <c r="AC1659" s="62" t="s">
        <v>20827</v>
      </c>
      <c r="AD1659" s="62" t="s">
        <v>20828</v>
      </c>
    </row>
    <row r="1660" spans="1:30" x14ac:dyDescent="0.25">
      <c r="A1660" s="62" t="s">
        <v>109</v>
      </c>
      <c r="C1660" s="62" t="s">
        <v>20829</v>
      </c>
      <c r="F1660" s="62" t="s">
        <v>10685</v>
      </c>
      <c r="G1660" s="62" t="s">
        <v>52682</v>
      </c>
      <c r="J1660" s="62" t="s">
        <v>20830</v>
      </c>
      <c r="K1660" s="62" t="s">
        <v>52730</v>
      </c>
      <c r="L1660" s="62" t="s">
        <v>20831</v>
      </c>
      <c r="M1660" s="62" t="s">
        <v>20832</v>
      </c>
      <c r="N1660" s="62" t="s">
        <v>20833</v>
      </c>
      <c r="O1660" s="62" t="s">
        <v>20834</v>
      </c>
      <c r="P1660" s="62" t="s">
        <v>52778</v>
      </c>
      <c r="Q1660" s="62" t="s">
        <v>20835</v>
      </c>
      <c r="R1660" s="62" t="s">
        <v>20836</v>
      </c>
      <c r="S1660" s="62" t="s">
        <v>20837</v>
      </c>
      <c r="U1660" s="62" t="s">
        <v>20838</v>
      </c>
      <c r="V1660" s="62" t="s">
        <v>52826</v>
      </c>
      <c r="W1660" s="62" t="s">
        <v>20839</v>
      </c>
      <c r="X1660" s="62" t="s">
        <v>20840</v>
      </c>
      <c r="Y1660" s="62" t="s">
        <v>20841</v>
      </c>
      <c r="Z1660" s="62" t="s">
        <v>20842</v>
      </c>
      <c r="AA1660" s="62" t="s">
        <v>52874</v>
      </c>
      <c r="AB1660" s="62" t="s">
        <v>20843</v>
      </c>
      <c r="AC1660" s="62" t="s">
        <v>20844</v>
      </c>
      <c r="AD1660" s="62" t="s">
        <v>20845</v>
      </c>
    </row>
    <row r="1661" spans="1:30" x14ac:dyDescent="0.25">
      <c r="A1661" s="62" t="s">
        <v>109</v>
      </c>
      <c r="C1661" s="62" t="s">
        <v>20846</v>
      </c>
      <c r="F1661" s="62" t="s">
        <v>10703</v>
      </c>
      <c r="G1661" s="62" t="s">
        <v>52683</v>
      </c>
      <c r="J1661" s="62" t="s">
        <v>20847</v>
      </c>
      <c r="K1661" s="62" t="s">
        <v>52731</v>
      </c>
      <c r="L1661" s="62" t="s">
        <v>20848</v>
      </c>
      <c r="M1661" s="62" t="s">
        <v>20849</v>
      </c>
      <c r="N1661" s="62" t="s">
        <v>20850</v>
      </c>
      <c r="O1661" s="62" t="s">
        <v>20851</v>
      </c>
      <c r="P1661" s="62" t="s">
        <v>52779</v>
      </c>
      <c r="Q1661" s="62" t="s">
        <v>20852</v>
      </c>
      <c r="R1661" s="62" t="s">
        <v>20853</v>
      </c>
      <c r="S1661" s="62" t="s">
        <v>20854</v>
      </c>
      <c r="U1661" s="62" t="s">
        <v>20855</v>
      </c>
      <c r="V1661" s="62" t="s">
        <v>52827</v>
      </c>
      <c r="W1661" s="62" t="s">
        <v>20856</v>
      </c>
      <c r="X1661" s="62" t="s">
        <v>20857</v>
      </c>
      <c r="Y1661" s="62" t="s">
        <v>20858</v>
      </c>
      <c r="Z1661" s="62" t="s">
        <v>20859</v>
      </c>
      <c r="AA1661" s="62" t="s">
        <v>52875</v>
      </c>
      <c r="AB1661" s="62" t="s">
        <v>20860</v>
      </c>
      <c r="AC1661" s="62" t="s">
        <v>20861</v>
      </c>
      <c r="AD1661" s="62" t="s">
        <v>20862</v>
      </c>
    </row>
    <row r="1662" spans="1:30" x14ac:dyDescent="0.25">
      <c r="A1662" s="62" t="s">
        <v>109</v>
      </c>
      <c r="C1662" s="62" t="s">
        <v>20863</v>
      </c>
      <c r="F1662" s="62" t="s">
        <v>13184</v>
      </c>
      <c r="G1662" s="62" t="s">
        <v>52684</v>
      </c>
      <c r="J1662" s="62" t="s">
        <v>20864</v>
      </c>
      <c r="K1662" s="62" t="s">
        <v>52732</v>
      </c>
      <c r="L1662" s="62" t="s">
        <v>20865</v>
      </c>
      <c r="M1662" s="62" t="s">
        <v>20866</v>
      </c>
      <c r="N1662" s="62" t="s">
        <v>20867</v>
      </c>
      <c r="O1662" s="62" t="s">
        <v>20868</v>
      </c>
      <c r="P1662" s="62" t="s">
        <v>52780</v>
      </c>
      <c r="Q1662" s="62" t="s">
        <v>20869</v>
      </c>
      <c r="R1662" s="62" t="s">
        <v>20870</v>
      </c>
      <c r="S1662" s="62" t="s">
        <v>20871</v>
      </c>
      <c r="U1662" s="62" t="s">
        <v>20872</v>
      </c>
      <c r="V1662" s="62" t="s">
        <v>52828</v>
      </c>
      <c r="W1662" s="62" t="s">
        <v>20873</v>
      </c>
      <c r="X1662" s="62" t="s">
        <v>20874</v>
      </c>
      <c r="Y1662" s="62" t="s">
        <v>20875</v>
      </c>
      <c r="Z1662" s="62" t="s">
        <v>20876</v>
      </c>
      <c r="AA1662" s="62" t="s">
        <v>52876</v>
      </c>
      <c r="AB1662" s="62" t="s">
        <v>20877</v>
      </c>
      <c r="AC1662" s="62" t="s">
        <v>20878</v>
      </c>
      <c r="AD1662" s="62" t="s">
        <v>20879</v>
      </c>
    </row>
    <row r="1663" spans="1:30" x14ac:dyDescent="0.25">
      <c r="A1663" s="62" t="s">
        <v>109</v>
      </c>
      <c r="C1663" s="62" t="s">
        <v>20880</v>
      </c>
      <c r="F1663" s="62" t="s">
        <v>10775</v>
      </c>
      <c r="G1663" s="62" t="s">
        <v>52685</v>
      </c>
      <c r="J1663" s="62" t="s">
        <v>20881</v>
      </c>
      <c r="K1663" s="62" t="s">
        <v>52733</v>
      </c>
      <c r="L1663" s="62" t="s">
        <v>20882</v>
      </c>
      <c r="M1663" s="62" t="s">
        <v>20883</v>
      </c>
      <c r="N1663" s="62" t="s">
        <v>20884</v>
      </c>
      <c r="O1663" s="62" t="s">
        <v>20885</v>
      </c>
      <c r="P1663" s="62" t="s">
        <v>52781</v>
      </c>
      <c r="Q1663" s="62" t="s">
        <v>20886</v>
      </c>
      <c r="R1663" s="62" t="s">
        <v>20887</v>
      </c>
      <c r="S1663" s="62" t="s">
        <v>20888</v>
      </c>
      <c r="U1663" s="62" t="s">
        <v>20889</v>
      </c>
      <c r="V1663" s="62" t="s">
        <v>52829</v>
      </c>
      <c r="W1663" s="62" t="s">
        <v>20890</v>
      </c>
      <c r="X1663" s="62" t="s">
        <v>20891</v>
      </c>
      <c r="Y1663" s="62" t="s">
        <v>20892</v>
      </c>
      <c r="Z1663" s="62" t="s">
        <v>20893</v>
      </c>
      <c r="AA1663" s="62" t="s">
        <v>52877</v>
      </c>
      <c r="AB1663" s="62" t="s">
        <v>20894</v>
      </c>
      <c r="AC1663" s="62" t="s">
        <v>20895</v>
      </c>
      <c r="AD1663" s="62" t="s">
        <v>20896</v>
      </c>
    </row>
    <row r="1664" spans="1:30" x14ac:dyDescent="0.25">
      <c r="A1664" s="62" t="s">
        <v>109</v>
      </c>
      <c r="C1664" s="62" t="s">
        <v>20897</v>
      </c>
      <c r="F1664" s="62" t="s">
        <v>10793</v>
      </c>
      <c r="G1664" s="62" t="s">
        <v>52686</v>
      </c>
      <c r="J1664" s="62" t="s">
        <v>20898</v>
      </c>
      <c r="K1664" s="62" t="s">
        <v>52734</v>
      </c>
      <c r="L1664" s="62" t="s">
        <v>20899</v>
      </c>
      <c r="M1664" s="62" t="s">
        <v>20900</v>
      </c>
      <c r="N1664" s="62" t="s">
        <v>20901</v>
      </c>
      <c r="O1664" s="62" t="s">
        <v>20902</v>
      </c>
      <c r="P1664" s="62" t="s">
        <v>52782</v>
      </c>
      <c r="Q1664" s="62" t="s">
        <v>20903</v>
      </c>
      <c r="R1664" s="62" t="s">
        <v>20904</v>
      </c>
      <c r="S1664" s="62" t="s">
        <v>20905</v>
      </c>
      <c r="U1664" s="62" t="s">
        <v>20906</v>
      </c>
      <c r="V1664" s="62" t="s">
        <v>52830</v>
      </c>
      <c r="W1664" s="62" t="s">
        <v>20907</v>
      </c>
      <c r="X1664" s="62" t="s">
        <v>20908</v>
      </c>
      <c r="Y1664" s="62" t="s">
        <v>20909</v>
      </c>
      <c r="Z1664" s="62" t="s">
        <v>20910</v>
      </c>
      <c r="AA1664" s="62" t="s">
        <v>52878</v>
      </c>
      <c r="AB1664" s="62" t="s">
        <v>20911</v>
      </c>
      <c r="AC1664" s="62" t="s">
        <v>20912</v>
      </c>
      <c r="AD1664" s="62" t="s">
        <v>20913</v>
      </c>
    </row>
    <row r="1665" spans="1:30" x14ac:dyDescent="0.25">
      <c r="A1665" s="62" t="s">
        <v>109</v>
      </c>
      <c r="C1665" s="62" t="s">
        <v>20914</v>
      </c>
      <c r="F1665" s="62" t="s">
        <v>10811</v>
      </c>
      <c r="G1665" s="62" t="s">
        <v>52687</v>
      </c>
      <c r="J1665" s="62" t="s">
        <v>20915</v>
      </c>
      <c r="K1665" s="62" t="s">
        <v>52735</v>
      </c>
      <c r="L1665" s="62" t="s">
        <v>20916</v>
      </c>
      <c r="M1665" s="62" t="s">
        <v>20917</v>
      </c>
      <c r="N1665" s="62" t="s">
        <v>20918</v>
      </c>
      <c r="O1665" s="62" t="s">
        <v>20919</v>
      </c>
      <c r="P1665" s="62" t="s">
        <v>52783</v>
      </c>
      <c r="Q1665" s="62" t="s">
        <v>20920</v>
      </c>
      <c r="R1665" s="62" t="s">
        <v>20921</v>
      </c>
      <c r="S1665" s="62" t="s">
        <v>20922</v>
      </c>
      <c r="U1665" s="62" t="s">
        <v>20923</v>
      </c>
      <c r="V1665" s="62" t="s">
        <v>52831</v>
      </c>
      <c r="W1665" s="62" t="s">
        <v>20924</v>
      </c>
      <c r="X1665" s="62" t="s">
        <v>20925</v>
      </c>
      <c r="Y1665" s="62" t="s">
        <v>20926</v>
      </c>
      <c r="Z1665" s="62" t="s">
        <v>20927</v>
      </c>
      <c r="AA1665" s="62" t="s">
        <v>52879</v>
      </c>
      <c r="AB1665" s="62" t="s">
        <v>20928</v>
      </c>
      <c r="AC1665" s="62" t="s">
        <v>20929</v>
      </c>
      <c r="AD1665" s="62" t="s">
        <v>20930</v>
      </c>
    </row>
    <row r="1666" spans="1:30" x14ac:dyDescent="0.25">
      <c r="A1666" s="62" t="s">
        <v>109</v>
      </c>
      <c r="C1666" s="62" t="s">
        <v>20931</v>
      </c>
      <c r="F1666" s="62" t="s">
        <v>10829</v>
      </c>
      <c r="G1666" s="62" t="s">
        <v>52688</v>
      </c>
      <c r="J1666" s="62" t="s">
        <v>20932</v>
      </c>
      <c r="K1666" s="62" t="s">
        <v>52736</v>
      </c>
      <c r="L1666" s="62" t="s">
        <v>20933</v>
      </c>
      <c r="M1666" s="62" t="s">
        <v>20934</v>
      </c>
      <c r="N1666" s="62" t="s">
        <v>20935</v>
      </c>
      <c r="O1666" s="62" t="s">
        <v>20936</v>
      </c>
      <c r="P1666" s="62" t="s">
        <v>52784</v>
      </c>
      <c r="Q1666" s="62" t="s">
        <v>20937</v>
      </c>
      <c r="R1666" s="62" t="s">
        <v>20938</v>
      </c>
      <c r="S1666" s="62" t="s">
        <v>20939</v>
      </c>
      <c r="U1666" s="62" t="s">
        <v>20940</v>
      </c>
      <c r="V1666" s="62" t="s">
        <v>52832</v>
      </c>
      <c r="W1666" s="62" t="s">
        <v>20941</v>
      </c>
      <c r="X1666" s="62" t="s">
        <v>20942</v>
      </c>
      <c r="Y1666" s="62" t="s">
        <v>20943</v>
      </c>
      <c r="Z1666" s="62" t="s">
        <v>20944</v>
      </c>
      <c r="AA1666" s="62" t="s">
        <v>52880</v>
      </c>
      <c r="AB1666" s="62" t="s">
        <v>20945</v>
      </c>
      <c r="AC1666" s="62" t="s">
        <v>20946</v>
      </c>
      <c r="AD1666" s="62" t="s">
        <v>20947</v>
      </c>
    </row>
    <row r="1667" spans="1:30" x14ac:dyDescent="0.25">
      <c r="A1667" s="62" t="s">
        <v>109</v>
      </c>
      <c r="C1667" s="62" t="s">
        <v>20948</v>
      </c>
      <c r="F1667" s="62" t="s">
        <v>13236</v>
      </c>
      <c r="G1667" s="62" t="s">
        <v>52689</v>
      </c>
      <c r="J1667" s="62" t="s">
        <v>20949</v>
      </c>
      <c r="K1667" s="62" t="s">
        <v>52737</v>
      </c>
      <c r="L1667" s="62" t="s">
        <v>20950</v>
      </c>
      <c r="M1667" s="62" t="s">
        <v>20951</v>
      </c>
      <c r="N1667" s="62" t="s">
        <v>20952</v>
      </c>
      <c r="O1667" s="62" t="s">
        <v>20953</v>
      </c>
      <c r="P1667" s="62" t="s">
        <v>52785</v>
      </c>
      <c r="Q1667" s="62" t="s">
        <v>20954</v>
      </c>
      <c r="R1667" s="62" t="s">
        <v>20955</v>
      </c>
      <c r="S1667" s="62" t="s">
        <v>20956</v>
      </c>
      <c r="U1667" s="62" t="s">
        <v>20957</v>
      </c>
      <c r="V1667" s="62" t="s">
        <v>52833</v>
      </c>
      <c r="W1667" s="62" t="s">
        <v>20958</v>
      </c>
      <c r="X1667" s="62" t="s">
        <v>20959</v>
      </c>
      <c r="Y1667" s="62" t="s">
        <v>20960</v>
      </c>
      <c r="Z1667" s="62" t="s">
        <v>20961</v>
      </c>
      <c r="AA1667" s="62" t="s">
        <v>52881</v>
      </c>
      <c r="AB1667" s="62" t="s">
        <v>20962</v>
      </c>
      <c r="AC1667" s="62" t="s">
        <v>20963</v>
      </c>
      <c r="AD1667" s="62" t="s">
        <v>20964</v>
      </c>
    </row>
    <row r="1668" spans="1:30" x14ac:dyDescent="0.25">
      <c r="A1668" s="62" t="s">
        <v>109</v>
      </c>
      <c r="C1668" s="62" t="s">
        <v>20965</v>
      </c>
      <c r="F1668" s="62" t="s">
        <v>10847</v>
      </c>
      <c r="G1668" s="62" t="s">
        <v>52690</v>
      </c>
      <c r="J1668" s="62" t="s">
        <v>20966</v>
      </c>
      <c r="K1668" s="62" t="s">
        <v>52738</v>
      </c>
      <c r="L1668" s="62" t="s">
        <v>20967</v>
      </c>
      <c r="M1668" s="62" t="s">
        <v>20968</v>
      </c>
      <c r="N1668" s="62" t="s">
        <v>20969</v>
      </c>
      <c r="O1668" s="62" t="s">
        <v>20970</v>
      </c>
      <c r="P1668" s="62" t="s">
        <v>52786</v>
      </c>
      <c r="Q1668" s="62" t="s">
        <v>20971</v>
      </c>
      <c r="R1668" s="62" t="s">
        <v>20972</v>
      </c>
      <c r="S1668" s="62" t="s">
        <v>20973</v>
      </c>
      <c r="U1668" s="62" t="s">
        <v>20974</v>
      </c>
      <c r="V1668" s="62" t="s">
        <v>52834</v>
      </c>
      <c r="W1668" s="62" t="s">
        <v>20975</v>
      </c>
      <c r="X1668" s="62" t="s">
        <v>20976</v>
      </c>
      <c r="Y1668" s="62" t="s">
        <v>20977</v>
      </c>
      <c r="Z1668" s="62" t="s">
        <v>20978</v>
      </c>
      <c r="AA1668" s="62" t="s">
        <v>52882</v>
      </c>
      <c r="AB1668" s="62" t="s">
        <v>20979</v>
      </c>
      <c r="AC1668" s="62" t="s">
        <v>20980</v>
      </c>
      <c r="AD1668" s="62" t="s">
        <v>20981</v>
      </c>
    </row>
    <row r="1669" spans="1:30" x14ac:dyDescent="0.25">
      <c r="A1669" s="62" t="s">
        <v>109</v>
      </c>
      <c r="C1669" s="62" t="s">
        <v>20982</v>
      </c>
      <c r="F1669" s="62" t="s">
        <v>10865</v>
      </c>
      <c r="G1669" s="62" t="s">
        <v>52691</v>
      </c>
      <c r="J1669" s="62" t="s">
        <v>20983</v>
      </c>
      <c r="K1669" s="62" t="s">
        <v>52739</v>
      </c>
      <c r="L1669" s="62" t="s">
        <v>20984</v>
      </c>
      <c r="M1669" s="62" t="s">
        <v>20985</v>
      </c>
      <c r="N1669" s="62" t="s">
        <v>20986</v>
      </c>
      <c r="O1669" s="62" t="s">
        <v>20987</v>
      </c>
      <c r="P1669" s="62" t="s">
        <v>52787</v>
      </c>
      <c r="Q1669" s="62" t="s">
        <v>20988</v>
      </c>
      <c r="R1669" s="62" t="s">
        <v>20989</v>
      </c>
      <c r="S1669" s="62" t="s">
        <v>20990</v>
      </c>
      <c r="U1669" s="62" t="s">
        <v>20991</v>
      </c>
      <c r="V1669" s="62" t="s">
        <v>52835</v>
      </c>
      <c r="W1669" s="62" t="s">
        <v>20992</v>
      </c>
      <c r="X1669" s="62" t="s">
        <v>20993</v>
      </c>
      <c r="Y1669" s="62" t="s">
        <v>20994</v>
      </c>
      <c r="Z1669" s="62" t="s">
        <v>20995</v>
      </c>
      <c r="AA1669" s="62" t="s">
        <v>52883</v>
      </c>
      <c r="AB1669" s="62" t="s">
        <v>20996</v>
      </c>
      <c r="AC1669" s="62" t="s">
        <v>20997</v>
      </c>
      <c r="AD1669" s="62" t="s">
        <v>20998</v>
      </c>
    </row>
    <row r="1670" spans="1:30" x14ac:dyDescent="0.25">
      <c r="A1670" s="62" t="s">
        <v>109</v>
      </c>
      <c r="C1670" s="62" t="s">
        <v>20999</v>
      </c>
      <c r="F1670" s="62" t="s">
        <v>13238</v>
      </c>
      <c r="G1670" s="62" t="s">
        <v>52692</v>
      </c>
      <c r="J1670" s="62" t="s">
        <v>21000</v>
      </c>
      <c r="K1670" s="62" t="s">
        <v>52740</v>
      </c>
      <c r="L1670" s="62" t="s">
        <v>21001</v>
      </c>
      <c r="M1670" s="62" t="s">
        <v>21002</v>
      </c>
      <c r="N1670" s="62" t="s">
        <v>21003</v>
      </c>
      <c r="O1670" s="62" t="s">
        <v>21004</v>
      </c>
      <c r="P1670" s="62" t="s">
        <v>52788</v>
      </c>
      <c r="Q1670" s="62" t="s">
        <v>21005</v>
      </c>
      <c r="R1670" s="62" t="s">
        <v>21006</v>
      </c>
      <c r="S1670" s="62" t="s">
        <v>21007</v>
      </c>
      <c r="U1670" s="62" t="s">
        <v>21008</v>
      </c>
      <c r="V1670" s="62" t="s">
        <v>52836</v>
      </c>
      <c r="W1670" s="62" t="s">
        <v>21009</v>
      </c>
      <c r="X1670" s="62" t="s">
        <v>21010</v>
      </c>
      <c r="Y1670" s="62" t="s">
        <v>21011</v>
      </c>
      <c r="Z1670" s="62" t="s">
        <v>21012</v>
      </c>
      <c r="AA1670" s="62" t="s">
        <v>52884</v>
      </c>
      <c r="AB1670" s="62" t="s">
        <v>21013</v>
      </c>
      <c r="AC1670" s="62" t="s">
        <v>21014</v>
      </c>
      <c r="AD1670" s="62" t="s">
        <v>21015</v>
      </c>
    </row>
    <row r="1671" spans="1:30" x14ac:dyDescent="0.25">
      <c r="A1671" s="62" t="s">
        <v>109</v>
      </c>
      <c r="C1671" s="62" t="s">
        <v>21016</v>
      </c>
      <c r="F1671" s="62" t="s">
        <v>1286</v>
      </c>
      <c r="G1671" s="62" t="s">
        <v>52693</v>
      </c>
      <c r="J1671" s="62" t="s">
        <v>21017</v>
      </c>
      <c r="K1671" s="62" t="s">
        <v>52741</v>
      </c>
      <c r="L1671" s="62" t="s">
        <v>21018</v>
      </c>
      <c r="M1671" s="62" t="s">
        <v>21019</v>
      </c>
      <c r="N1671" s="62" t="s">
        <v>21020</v>
      </c>
      <c r="O1671" s="62" t="s">
        <v>21021</v>
      </c>
      <c r="P1671" s="62" t="s">
        <v>52789</v>
      </c>
      <c r="Q1671" s="62" t="s">
        <v>21022</v>
      </c>
      <c r="R1671" s="62" t="s">
        <v>21023</v>
      </c>
      <c r="S1671" s="62" t="s">
        <v>21024</v>
      </c>
      <c r="U1671" s="62" t="s">
        <v>21025</v>
      </c>
      <c r="V1671" s="62" t="s">
        <v>52837</v>
      </c>
      <c r="W1671" s="62" t="s">
        <v>21026</v>
      </c>
      <c r="X1671" s="62" t="s">
        <v>21027</v>
      </c>
      <c r="Y1671" s="62" t="s">
        <v>21028</v>
      </c>
      <c r="Z1671" s="62" t="s">
        <v>21029</v>
      </c>
      <c r="AA1671" s="62" t="s">
        <v>52885</v>
      </c>
      <c r="AB1671" s="62" t="s">
        <v>21030</v>
      </c>
      <c r="AC1671" s="62" t="s">
        <v>21031</v>
      </c>
      <c r="AD1671" s="62" t="s">
        <v>21032</v>
      </c>
    </row>
    <row r="1672" spans="1:30" x14ac:dyDescent="0.25">
      <c r="A1672" s="62" t="s">
        <v>109</v>
      </c>
      <c r="C1672" s="62" t="s">
        <v>21033</v>
      </c>
      <c r="F1672" s="62" t="s">
        <v>1289</v>
      </c>
      <c r="G1672" s="62" t="s">
        <v>52694</v>
      </c>
      <c r="J1672" s="62" t="s">
        <v>21034</v>
      </c>
      <c r="K1672" s="62" t="s">
        <v>52742</v>
      </c>
      <c r="L1672" s="62" t="s">
        <v>21035</v>
      </c>
      <c r="M1672" s="62" t="s">
        <v>21036</v>
      </c>
      <c r="N1672" s="62" t="s">
        <v>21037</v>
      </c>
      <c r="O1672" s="62" t="s">
        <v>21038</v>
      </c>
      <c r="P1672" s="62" t="s">
        <v>52790</v>
      </c>
      <c r="Q1672" s="62" t="s">
        <v>21039</v>
      </c>
      <c r="R1672" s="62" t="s">
        <v>21040</v>
      </c>
      <c r="S1672" s="62" t="s">
        <v>21041</v>
      </c>
      <c r="U1672" s="62" t="s">
        <v>21042</v>
      </c>
      <c r="V1672" s="62" t="s">
        <v>52838</v>
      </c>
      <c r="W1672" s="62" t="s">
        <v>21043</v>
      </c>
      <c r="X1672" s="62" t="s">
        <v>21044</v>
      </c>
      <c r="Y1672" s="62" t="s">
        <v>21045</v>
      </c>
      <c r="Z1672" s="62" t="s">
        <v>21046</v>
      </c>
      <c r="AA1672" s="62" t="s">
        <v>52886</v>
      </c>
      <c r="AB1672" s="62" t="s">
        <v>21047</v>
      </c>
      <c r="AC1672" s="62" t="s">
        <v>21048</v>
      </c>
      <c r="AD1672" s="62" t="s">
        <v>21049</v>
      </c>
    </row>
    <row r="1673" spans="1:30" x14ac:dyDescent="0.25">
      <c r="A1673" s="62" t="s">
        <v>109</v>
      </c>
      <c r="C1673" s="62" t="s">
        <v>21050</v>
      </c>
      <c r="F1673" s="62" t="s">
        <v>1797</v>
      </c>
      <c r="G1673" s="62" t="s">
        <v>52695</v>
      </c>
      <c r="J1673" s="62" t="s">
        <v>21051</v>
      </c>
      <c r="K1673" s="62" t="s">
        <v>52743</v>
      </c>
      <c r="L1673" s="62" t="s">
        <v>21052</v>
      </c>
      <c r="M1673" s="62" t="s">
        <v>21053</v>
      </c>
      <c r="N1673" s="62" t="s">
        <v>21054</v>
      </c>
      <c r="O1673" s="62" t="s">
        <v>21055</v>
      </c>
      <c r="P1673" s="62" t="s">
        <v>52791</v>
      </c>
      <c r="Q1673" s="62" t="s">
        <v>21056</v>
      </c>
      <c r="R1673" s="62" t="s">
        <v>21057</v>
      </c>
      <c r="S1673" s="62" t="s">
        <v>21058</v>
      </c>
      <c r="U1673" s="62" t="s">
        <v>21059</v>
      </c>
      <c r="V1673" s="62" t="s">
        <v>52839</v>
      </c>
      <c r="W1673" s="62" t="s">
        <v>21060</v>
      </c>
      <c r="X1673" s="62" t="s">
        <v>21061</v>
      </c>
      <c r="Y1673" s="62" t="s">
        <v>21062</v>
      </c>
      <c r="Z1673" s="62" t="s">
        <v>21063</v>
      </c>
      <c r="AA1673" s="62" t="s">
        <v>52887</v>
      </c>
      <c r="AB1673" s="62" t="s">
        <v>21064</v>
      </c>
      <c r="AC1673" s="62" t="s">
        <v>21065</v>
      </c>
      <c r="AD1673" s="62" t="s">
        <v>21066</v>
      </c>
    </row>
    <row r="1674" spans="1:30" x14ac:dyDescent="0.25">
      <c r="A1674" s="62" t="s">
        <v>109</v>
      </c>
      <c r="C1674" s="62" t="s">
        <v>21067</v>
      </c>
      <c r="F1674" s="62" t="s">
        <v>1299</v>
      </c>
      <c r="G1674" s="62" t="s">
        <v>52696</v>
      </c>
      <c r="J1674" s="62" t="s">
        <v>21068</v>
      </c>
      <c r="K1674" s="62" t="s">
        <v>52744</v>
      </c>
      <c r="L1674" s="62" t="s">
        <v>21069</v>
      </c>
      <c r="M1674" s="62" t="s">
        <v>21070</v>
      </c>
      <c r="N1674" s="62" t="s">
        <v>21071</v>
      </c>
      <c r="O1674" s="62" t="s">
        <v>21072</v>
      </c>
      <c r="P1674" s="62" t="s">
        <v>52792</v>
      </c>
      <c r="Q1674" s="62" t="s">
        <v>21073</v>
      </c>
      <c r="R1674" s="62" t="s">
        <v>21074</v>
      </c>
      <c r="S1674" s="62" t="s">
        <v>21075</v>
      </c>
      <c r="U1674" s="62" t="s">
        <v>21076</v>
      </c>
      <c r="V1674" s="62" t="s">
        <v>52840</v>
      </c>
      <c r="W1674" s="62" t="s">
        <v>21077</v>
      </c>
      <c r="X1674" s="62" t="s">
        <v>21078</v>
      </c>
      <c r="Y1674" s="62" t="s">
        <v>21079</v>
      </c>
      <c r="Z1674" s="62" t="s">
        <v>21080</v>
      </c>
      <c r="AA1674" s="62" t="s">
        <v>52888</v>
      </c>
      <c r="AB1674" s="62" t="s">
        <v>21081</v>
      </c>
      <c r="AC1674" s="62" t="s">
        <v>21082</v>
      </c>
      <c r="AD1674" s="62" t="s">
        <v>21083</v>
      </c>
    </row>
    <row r="1675" spans="1:30" x14ac:dyDescent="0.25">
      <c r="A1675" s="62" t="s">
        <v>109</v>
      </c>
      <c r="C1675" s="62" t="s">
        <v>21084</v>
      </c>
      <c r="F1675" s="62" t="s">
        <v>13249</v>
      </c>
      <c r="G1675" s="62" t="s">
        <v>52697</v>
      </c>
      <c r="J1675" s="62" t="s">
        <v>21085</v>
      </c>
      <c r="K1675" s="62" t="s">
        <v>52745</v>
      </c>
      <c r="L1675" s="62" t="s">
        <v>21086</v>
      </c>
      <c r="M1675" s="62" t="s">
        <v>21087</v>
      </c>
      <c r="N1675" s="62" t="s">
        <v>21088</v>
      </c>
      <c r="O1675" s="62" t="s">
        <v>21089</v>
      </c>
      <c r="P1675" s="62" t="s">
        <v>52793</v>
      </c>
      <c r="Q1675" s="62" t="s">
        <v>21090</v>
      </c>
      <c r="R1675" s="62" t="s">
        <v>21091</v>
      </c>
      <c r="S1675" s="62" t="s">
        <v>21092</v>
      </c>
      <c r="U1675" s="62" t="s">
        <v>21093</v>
      </c>
      <c r="V1675" s="62" t="s">
        <v>52841</v>
      </c>
      <c r="W1675" s="62" t="s">
        <v>21094</v>
      </c>
      <c r="X1675" s="62" t="s">
        <v>21095</v>
      </c>
      <c r="Y1675" s="62" t="s">
        <v>21096</v>
      </c>
      <c r="Z1675" s="62" t="s">
        <v>21097</v>
      </c>
      <c r="AA1675" s="62" t="s">
        <v>52889</v>
      </c>
      <c r="AB1675" s="62" t="s">
        <v>21098</v>
      </c>
      <c r="AC1675" s="62" t="s">
        <v>21099</v>
      </c>
      <c r="AD1675" s="62" t="s">
        <v>21100</v>
      </c>
    </row>
    <row r="1676" spans="1:30" x14ac:dyDescent="0.25">
      <c r="A1676" s="62" t="s">
        <v>109</v>
      </c>
      <c r="C1676" s="62" t="s">
        <v>21101</v>
      </c>
      <c r="F1676" s="62" t="s">
        <v>10927</v>
      </c>
      <c r="G1676" s="62" t="s">
        <v>52698</v>
      </c>
      <c r="J1676" s="62" t="s">
        <v>21102</v>
      </c>
      <c r="K1676" s="62" t="s">
        <v>52746</v>
      </c>
      <c r="L1676" s="62" t="s">
        <v>21103</v>
      </c>
      <c r="M1676" s="62" t="s">
        <v>21104</v>
      </c>
      <c r="N1676" s="62" t="s">
        <v>21105</v>
      </c>
      <c r="O1676" s="62" t="s">
        <v>21106</v>
      </c>
      <c r="P1676" s="62" t="s">
        <v>52794</v>
      </c>
      <c r="Q1676" s="62" t="s">
        <v>21107</v>
      </c>
      <c r="R1676" s="62" t="s">
        <v>21108</v>
      </c>
      <c r="S1676" s="62" t="s">
        <v>21109</v>
      </c>
      <c r="U1676" s="62" t="s">
        <v>21110</v>
      </c>
      <c r="V1676" s="62" t="s">
        <v>52842</v>
      </c>
      <c r="W1676" s="62" t="s">
        <v>21111</v>
      </c>
      <c r="X1676" s="62" t="s">
        <v>21112</v>
      </c>
      <c r="Y1676" s="62" t="s">
        <v>21113</v>
      </c>
      <c r="Z1676" s="62" t="s">
        <v>21114</v>
      </c>
      <c r="AA1676" s="62" t="s">
        <v>52890</v>
      </c>
      <c r="AB1676" s="62" t="s">
        <v>21115</v>
      </c>
      <c r="AC1676" s="62" t="s">
        <v>21116</v>
      </c>
      <c r="AD1676" s="62" t="s">
        <v>21117</v>
      </c>
    </row>
    <row r="1677" spans="1:30" x14ac:dyDescent="0.25">
      <c r="A1677" s="62" t="s">
        <v>109</v>
      </c>
      <c r="C1677" s="62" t="s">
        <v>21118</v>
      </c>
      <c r="F1677" s="62" t="s">
        <v>10949</v>
      </c>
      <c r="G1677" s="62" t="s">
        <v>52699</v>
      </c>
      <c r="J1677" s="62" t="s">
        <v>21119</v>
      </c>
      <c r="K1677" s="62" t="s">
        <v>52747</v>
      </c>
      <c r="L1677" s="62" t="s">
        <v>21120</v>
      </c>
      <c r="M1677" s="62" t="s">
        <v>21121</v>
      </c>
      <c r="N1677" s="62" t="s">
        <v>21122</v>
      </c>
      <c r="O1677" s="62" t="s">
        <v>21123</v>
      </c>
      <c r="P1677" s="62" t="s">
        <v>52795</v>
      </c>
      <c r="Q1677" s="62" t="s">
        <v>21124</v>
      </c>
      <c r="R1677" s="62" t="s">
        <v>21125</v>
      </c>
      <c r="S1677" s="62" t="s">
        <v>21126</v>
      </c>
      <c r="U1677" s="62" t="s">
        <v>21127</v>
      </c>
      <c r="V1677" s="62" t="s">
        <v>52843</v>
      </c>
      <c r="W1677" s="62" t="s">
        <v>21128</v>
      </c>
      <c r="X1677" s="62" t="s">
        <v>21129</v>
      </c>
      <c r="Y1677" s="62" t="s">
        <v>21130</v>
      </c>
      <c r="Z1677" s="62" t="s">
        <v>21131</v>
      </c>
      <c r="AA1677" s="62" t="s">
        <v>52891</v>
      </c>
      <c r="AB1677" s="62" t="s">
        <v>21132</v>
      </c>
      <c r="AC1677" s="62" t="s">
        <v>21133</v>
      </c>
      <c r="AD1677" s="62" t="s">
        <v>21134</v>
      </c>
    </row>
    <row r="1678" spans="1:30" x14ac:dyDescent="0.25">
      <c r="A1678" s="62" t="s">
        <v>109</v>
      </c>
      <c r="C1678" s="62" t="s">
        <v>21135</v>
      </c>
      <c r="F1678" s="62" t="s">
        <v>22215</v>
      </c>
      <c r="G1678" s="62" t="s">
        <v>52700</v>
      </c>
      <c r="J1678" s="62" t="s">
        <v>21136</v>
      </c>
      <c r="K1678" s="62" t="s">
        <v>52748</v>
      </c>
      <c r="L1678" s="62" t="s">
        <v>21137</v>
      </c>
      <c r="M1678" s="62" t="s">
        <v>21138</v>
      </c>
      <c r="N1678" s="62" t="s">
        <v>21139</v>
      </c>
      <c r="O1678" s="62" t="s">
        <v>21140</v>
      </c>
      <c r="P1678" s="62" t="s">
        <v>52796</v>
      </c>
      <c r="Q1678" s="62" t="s">
        <v>21141</v>
      </c>
      <c r="R1678" s="62" t="s">
        <v>21142</v>
      </c>
      <c r="S1678" s="62" t="s">
        <v>21143</v>
      </c>
      <c r="U1678" s="62" t="s">
        <v>21144</v>
      </c>
      <c r="V1678" s="62" t="s">
        <v>52844</v>
      </c>
      <c r="W1678" s="62" t="s">
        <v>21145</v>
      </c>
      <c r="X1678" s="62" t="s">
        <v>21146</v>
      </c>
      <c r="Y1678" s="62" t="s">
        <v>21147</v>
      </c>
      <c r="Z1678" s="62" t="s">
        <v>21148</v>
      </c>
      <c r="AA1678" s="62" t="s">
        <v>52892</v>
      </c>
      <c r="AB1678" s="62" t="s">
        <v>21149</v>
      </c>
      <c r="AC1678" s="62" t="s">
        <v>21150</v>
      </c>
      <c r="AD1678" s="62" t="s">
        <v>21151</v>
      </c>
    </row>
    <row r="1679" spans="1:30" x14ac:dyDescent="0.25">
      <c r="A1679" s="62" t="s">
        <v>109</v>
      </c>
      <c r="C1679" s="62" t="s">
        <v>21152</v>
      </c>
      <c r="F1679" s="62" t="s">
        <v>24015</v>
      </c>
      <c r="G1679" s="62" t="s">
        <v>52701</v>
      </c>
      <c r="J1679" s="62" t="s">
        <v>21153</v>
      </c>
      <c r="K1679" s="62" t="s">
        <v>52749</v>
      </c>
      <c r="L1679" s="62" t="s">
        <v>21154</v>
      </c>
      <c r="M1679" s="62" t="s">
        <v>21155</v>
      </c>
      <c r="N1679" s="62" t="s">
        <v>21156</v>
      </c>
      <c r="O1679" s="62" t="s">
        <v>21157</v>
      </c>
      <c r="P1679" s="62" t="s">
        <v>52797</v>
      </c>
      <c r="Q1679" s="62" t="s">
        <v>21158</v>
      </c>
      <c r="R1679" s="62" t="s">
        <v>21159</v>
      </c>
      <c r="S1679" s="62" t="s">
        <v>21160</v>
      </c>
      <c r="U1679" s="62" t="s">
        <v>21161</v>
      </c>
      <c r="V1679" s="62" t="s">
        <v>52845</v>
      </c>
      <c r="W1679" s="62" t="s">
        <v>21162</v>
      </c>
      <c r="X1679" s="62" t="s">
        <v>21163</v>
      </c>
      <c r="Y1679" s="62" t="s">
        <v>21164</v>
      </c>
      <c r="Z1679" s="62" t="s">
        <v>21165</v>
      </c>
      <c r="AA1679" s="62" t="s">
        <v>52893</v>
      </c>
      <c r="AB1679" s="62" t="s">
        <v>21166</v>
      </c>
      <c r="AC1679" s="62" t="s">
        <v>21167</v>
      </c>
      <c r="AD1679" s="62" t="s">
        <v>21168</v>
      </c>
    </row>
    <row r="1680" spans="1:30" x14ac:dyDescent="0.25">
      <c r="A1680" s="62" t="s">
        <v>109</v>
      </c>
      <c r="C1680" s="62" t="s">
        <v>21169</v>
      </c>
      <c r="F1680" s="62" t="s">
        <v>10959</v>
      </c>
      <c r="G1680" s="62" t="s">
        <v>52702</v>
      </c>
      <c r="J1680" s="62" t="s">
        <v>21170</v>
      </c>
      <c r="K1680" s="62" t="s">
        <v>52750</v>
      </c>
      <c r="L1680" s="62" t="s">
        <v>21171</v>
      </c>
      <c r="M1680" s="62" t="s">
        <v>21172</v>
      </c>
      <c r="N1680" s="62" t="s">
        <v>21173</v>
      </c>
      <c r="O1680" s="62" t="s">
        <v>21174</v>
      </c>
      <c r="P1680" s="62" t="s">
        <v>52798</v>
      </c>
      <c r="Q1680" s="62" t="s">
        <v>21175</v>
      </c>
      <c r="R1680" s="62" t="s">
        <v>21176</v>
      </c>
      <c r="S1680" s="62" t="s">
        <v>21177</v>
      </c>
      <c r="U1680" s="62" t="s">
        <v>21178</v>
      </c>
      <c r="V1680" s="62" t="s">
        <v>52846</v>
      </c>
      <c r="W1680" s="62" t="s">
        <v>21179</v>
      </c>
      <c r="X1680" s="62" t="s">
        <v>21180</v>
      </c>
      <c r="Y1680" s="62" t="s">
        <v>21181</v>
      </c>
      <c r="Z1680" s="62" t="s">
        <v>21182</v>
      </c>
      <c r="AA1680" s="62" t="s">
        <v>52894</v>
      </c>
      <c r="AB1680" s="62" t="s">
        <v>21183</v>
      </c>
      <c r="AC1680" s="62" t="s">
        <v>21184</v>
      </c>
      <c r="AD1680" s="62" t="s">
        <v>21185</v>
      </c>
    </row>
    <row r="1681" spans="1:30" x14ac:dyDescent="0.25">
      <c r="A1681" s="62" t="s">
        <v>109</v>
      </c>
      <c r="C1681" s="62" t="s">
        <v>21186</v>
      </c>
      <c r="F1681" s="62" t="s">
        <v>22235</v>
      </c>
      <c r="G1681" s="62" t="s">
        <v>52703</v>
      </c>
      <c r="J1681" s="62" t="s">
        <v>21187</v>
      </c>
      <c r="K1681" s="62" t="s">
        <v>52751</v>
      </c>
      <c r="L1681" s="62" t="s">
        <v>21188</v>
      </c>
      <c r="M1681" s="62" t="s">
        <v>21189</v>
      </c>
      <c r="N1681" s="62" t="s">
        <v>21190</v>
      </c>
      <c r="O1681" s="62" t="s">
        <v>21191</v>
      </c>
      <c r="P1681" s="62" t="s">
        <v>52799</v>
      </c>
      <c r="Q1681" s="62" t="s">
        <v>21192</v>
      </c>
      <c r="R1681" s="62" t="s">
        <v>21193</v>
      </c>
      <c r="S1681" s="62" t="s">
        <v>21194</v>
      </c>
      <c r="U1681" s="62" t="s">
        <v>21195</v>
      </c>
      <c r="V1681" s="62" t="s">
        <v>52847</v>
      </c>
      <c r="W1681" s="62" t="s">
        <v>21196</v>
      </c>
      <c r="X1681" s="62" t="s">
        <v>21197</v>
      </c>
      <c r="Y1681" s="62" t="s">
        <v>21198</v>
      </c>
      <c r="Z1681" s="62" t="s">
        <v>21199</v>
      </c>
      <c r="AA1681" s="62" t="s">
        <v>52895</v>
      </c>
      <c r="AB1681" s="62" t="s">
        <v>21200</v>
      </c>
      <c r="AC1681" s="62" t="s">
        <v>21201</v>
      </c>
      <c r="AD1681" s="62" t="s">
        <v>21202</v>
      </c>
    </row>
    <row r="1682" spans="1:30" x14ac:dyDescent="0.25">
      <c r="A1682" s="62" t="s">
        <v>109</v>
      </c>
      <c r="C1682" s="62" t="s">
        <v>21203</v>
      </c>
      <c r="F1682" s="62" t="s">
        <v>24033</v>
      </c>
      <c r="G1682" s="62" t="s">
        <v>52704</v>
      </c>
      <c r="J1682" s="62" t="s">
        <v>21204</v>
      </c>
      <c r="K1682" s="62" t="s">
        <v>52752</v>
      </c>
      <c r="L1682" s="62" t="s">
        <v>21205</v>
      </c>
      <c r="M1682" s="62" t="s">
        <v>21206</v>
      </c>
      <c r="N1682" s="62" t="s">
        <v>21207</v>
      </c>
      <c r="O1682" s="62" t="s">
        <v>21208</v>
      </c>
      <c r="P1682" s="62" t="s">
        <v>52800</v>
      </c>
      <c r="Q1682" s="62" t="s">
        <v>21209</v>
      </c>
      <c r="R1682" s="62" t="s">
        <v>21210</v>
      </c>
      <c r="S1682" s="62" t="s">
        <v>21211</v>
      </c>
      <c r="U1682" s="62" t="s">
        <v>21212</v>
      </c>
      <c r="V1682" s="62" t="s">
        <v>52848</v>
      </c>
      <c r="W1682" s="62" t="s">
        <v>21213</v>
      </c>
      <c r="X1682" s="62" t="s">
        <v>21214</v>
      </c>
      <c r="Y1682" s="62" t="s">
        <v>21215</v>
      </c>
      <c r="Z1682" s="62" t="s">
        <v>21216</v>
      </c>
      <c r="AA1682" s="62" t="s">
        <v>52896</v>
      </c>
      <c r="AB1682" s="62" t="s">
        <v>21217</v>
      </c>
      <c r="AC1682" s="62" t="s">
        <v>21218</v>
      </c>
      <c r="AD1682" s="62" t="s">
        <v>21219</v>
      </c>
    </row>
    <row r="1683" spans="1:30" x14ac:dyDescent="0.25">
      <c r="A1683" s="62" t="s">
        <v>109</v>
      </c>
      <c r="C1683" s="62" t="s">
        <v>21220</v>
      </c>
      <c r="F1683" s="62" t="s">
        <v>26699</v>
      </c>
      <c r="G1683" s="62" t="s">
        <v>52705</v>
      </c>
      <c r="J1683" s="62" t="s">
        <v>21221</v>
      </c>
      <c r="K1683" s="62" t="s">
        <v>52753</v>
      </c>
      <c r="L1683" s="62" t="s">
        <v>21222</v>
      </c>
      <c r="M1683" s="62" t="s">
        <v>21223</v>
      </c>
      <c r="N1683" s="62" t="s">
        <v>21224</v>
      </c>
      <c r="O1683" s="62" t="s">
        <v>21225</v>
      </c>
      <c r="P1683" s="62" t="s">
        <v>52801</v>
      </c>
      <c r="Q1683" s="62" t="s">
        <v>21226</v>
      </c>
      <c r="R1683" s="62" t="s">
        <v>21227</v>
      </c>
      <c r="S1683" s="62" t="s">
        <v>21228</v>
      </c>
      <c r="U1683" s="62" t="s">
        <v>21229</v>
      </c>
      <c r="V1683" s="62" t="s">
        <v>52849</v>
      </c>
      <c r="W1683" s="62" t="s">
        <v>21230</v>
      </c>
      <c r="X1683" s="62" t="s">
        <v>21231</v>
      </c>
      <c r="Y1683" s="62" t="s">
        <v>21232</v>
      </c>
      <c r="Z1683" s="62" t="s">
        <v>21233</v>
      </c>
      <c r="AA1683" s="62" t="s">
        <v>52897</v>
      </c>
      <c r="AB1683" s="62" t="s">
        <v>21234</v>
      </c>
      <c r="AC1683" s="62" t="s">
        <v>21235</v>
      </c>
      <c r="AD1683" s="62" t="s">
        <v>21236</v>
      </c>
    </row>
    <row r="1684" spans="1:30" x14ac:dyDescent="0.25">
      <c r="A1684" s="62" t="s">
        <v>109</v>
      </c>
      <c r="C1684" s="62" t="s">
        <v>21237</v>
      </c>
      <c r="F1684" s="62" t="s">
        <v>24051</v>
      </c>
      <c r="G1684" s="62" t="s">
        <v>52706</v>
      </c>
      <c r="J1684" s="62" t="s">
        <v>21238</v>
      </c>
      <c r="K1684" s="62" t="s">
        <v>52754</v>
      </c>
      <c r="L1684" s="62" t="s">
        <v>21239</v>
      </c>
      <c r="M1684" s="62" t="s">
        <v>21240</v>
      </c>
      <c r="N1684" s="62" t="s">
        <v>21241</v>
      </c>
      <c r="O1684" s="62" t="s">
        <v>21242</v>
      </c>
      <c r="P1684" s="62" t="s">
        <v>52802</v>
      </c>
      <c r="Q1684" s="62" t="s">
        <v>21243</v>
      </c>
      <c r="R1684" s="62" t="s">
        <v>21244</v>
      </c>
      <c r="S1684" s="62" t="s">
        <v>21245</v>
      </c>
      <c r="U1684" s="62" t="s">
        <v>21246</v>
      </c>
      <c r="V1684" s="62" t="s">
        <v>52850</v>
      </c>
      <c r="W1684" s="62" t="s">
        <v>21247</v>
      </c>
      <c r="X1684" s="62" t="s">
        <v>21248</v>
      </c>
      <c r="Y1684" s="62" t="s">
        <v>21249</v>
      </c>
      <c r="Z1684" s="62" t="s">
        <v>21250</v>
      </c>
      <c r="AA1684" s="62" t="s">
        <v>52898</v>
      </c>
      <c r="AB1684" s="62" t="s">
        <v>21251</v>
      </c>
      <c r="AC1684" s="62" t="s">
        <v>21252</v>
      </c>
      <c r="AD1684" s="62" t="s">
        <v>21253</v>
      </c>
    </row>
    <row r="1685" spans="1:30" x14ac:dyDescent="0.25">
      <c r="A1685" s="62" t="s">
        <v>109</v>
      </c>
      <c r="C1685" s="62" t="s">
        <v>43701</v>
      </c>
      <c r="F1685" s="62" t="s">
        <v>22377</v>
      </c>
      <c r="G1685" s="62" t="s">
        <v>52707</v>
      </c>
      <c r="J1685" s="62" t="s">
        <v>43702</v>
      </c>
      <c r="K1685" s="62" t="s">
        <v>52755</v>
      </c>
      <c r="L1685" s="62" t="s">
        <v>43703</v>
      </c>
      <c r="M1685" s="62" t="s">
        <v>43704</v>
      </c>
      <c r="N1685" s="62" t="s">
        <v>43705</v>
      </c>
      <c r="O1685" s="62" t="s">
        <v>43706</v>
      </c>
      <c r="P1685" s="62" t="s">
        <v>52803</v>
      </c>
      <c r="Q1685" s="62" t="s">
        <v>43707</v>
      </c>
      <c r="R1685" s="62" t="s">
        <v>43708</v>
      </c>
      <c r="S1685" s="62" t="s">
        <v>43709</v>
      </c>
      <c r="U1685" s="62" t="s">
        <v>43710</v>
      </c>
      <c r="V1685" s="62" t="s">
        <v>52851</v>
      </c>
      <c r="W1685" s="62" t="s">
        <v>43711</v>
      </c>
      <c r="X1685" s="62" t="s">
        <v>43712</v>
      </c>
      <c r="Y1685" s="62" t="s">
        <v>43713</v>
      </c>
      <c r="Z1685" s="62" t="s">
        <v>43714</v>
      </c>
      <c r="AA1685" s="62" t="s">
        <v>52899</v>
      </c>
      <c r="AB1685" s="62" t="s">
        <v>43715</v>
      </c>
      <c r="AC1685" s="62" t="s">
        <v>43716</v>
      </c>
      <c r="AD1685" s="62" t="s">
        <v>43717</v>
      </c>
    </row>
    <row r="1686" spans="1:30" x14ac:dyDescent="0.25">
      <c r="A1686" s="62" t="s">
        <v>109</v>
      </c>
      <c r="C1686" s="62" t="s">
        <v>21254</v>
      </c>
      <c r="F1686" s="62" t="s">
        <v>10963</v>
      </c>
      <c r="G1686" s="62" t="s">
        <v>52708</v>
      </c>
      <c r="J1686" s="62" t="s">
        <v>43718</v>
      </c>
      <c r="K1686" s="62" t="s">
        <v>52756</v>
      </c>
      <c r="L1686" s="62" t="s">
        <v>43719</v>
      </c>
      <c r="M1686" s="62" t="s">
        <v>21255</v>
      </c>
      <c r="N1686" s="62" t="s">
        <v>21256</v>
      </c>
      <c r="O1686" s="62" t="s">
        <v>43720</v>
      </c>
      <c r="P1686" s="62" t="s">
        <v>52804</v>
      </c>
      <c r="Q1686" s="62" t="s">
        <v>43721</v>
      </c>
      <c r="R1686" s="62" t="s">
        <v>21257</v>
      </c>
      <c r="S1686" s="62" t="s">
        <v>21258</v>
      </c>
      <c r="U1686" s="62" t="s">
        <v>43722</v>
      </c>
      <c r="V1686" s="62" t="s">
        <v>52852</v>
      </c>
      <c r="W1686" s="62" t="s">
        <v>43723</v>
      </c>
      <c r="X1686" s="62" t="s">
        <v>21259</v>
      </c>
      <c r="Y1686" s="62" t="s">
        <v>21260</v>
      </c>
      <c r="Z1686" s="62" t="s">
        <v>43724</v>
      </c>
      <c r="AA1686" s="62" t="s">
        <v>52900</v>
      </c>
      <c r="AB1686" s="62" t="s">
        <v>43725</v>
      </c>
      <c r="AC1686" s="62" t="s">
        <v>21261</v>
      </c>
      <c r="AD1686" s="62" t="s">
        <v>21262</v>
      </c>
    </row>
    <row r="1687" spans="1:30" x14ac:dyDescent="0.25">
      <c r="A1687" s="62" t="s">
        <v>109</v>
      </c>
      <c r="C1687" s="62" t="s">
        <v>43726</v>
      </c>
      <c r="F1687" s="62" t="s">
        <v>10981</v>
      </c>
      <c r="G1687" s="62" t="s">
        <v>52709</v>
      </c>
      <c r="J1687" s="62" t="s">
        <v>43727</v>
      </c>
      <c r="K1687" s="62" t="s">
        <v>52757</v>
      </c>
      <c r="L1687" s="62" t="s">
        <v>43728</v>
      </c>
      <c r="M1687" s="62" t="s">
        <v>43729</v>
      </c>
      <c r="N1687" s="62" t="s">
        <v>43730</v>
      </c>
      <c r="O1687" s="62" t="s">
        <v>43731</v>
      </c>
      <c r="P1687" s="62" t="s">
        <v>52805</v>
      </c>
      <c r="Q1687" s="62" t="s">
        <v>43732</v>
      </c>
      <c r="R1687" s="62" t="s">
        <v>43733</v>
      </c>
      <c r="S1687" s="62" t="s">
        <v>43734</v>
      </c>
      <c r="U1687" s="62" t="s">
        <v>43735</v>
      </c>
      <c r="V1687" s="62" t="s">
        <v>52853</v>
      </c>
      <c r="W1687" s="62" t="s">
        <v>43736</v>
      </c>
      <c r="X1687" s="62" t="s">
        <v>43737</v>
      </c>
      <c r="Y1687" s="62" t="s">
        <v>43738</v>
      </c>
      <c r="Z1687" s="62" t="s">
        <v>43739</v>
      </c>
      <c r="AA1687" s="62" t="s">
        <v>52901</v>
      </c>
      <c r="AB1687" s="62" t="s">
        <v>43740</v>
      </c>
      <c r="AC1687" s="62" t="s">
        <v>43741</v>
      </c>
      <c r="AD1687" s="62" t="s">
        <v>43742</v>
      </c>
    </row>
    <row r="1688" spans="1:30" x14ac:dyDescent="0.25">
      <c r="A1688" s="62" t="s">
        <v>109</v>
      </c>
      <c r="C1688" s="62" t="s">
        <v>20506</v>
      </c>
    </row>
    <row r="1689" spans="1:30" x14ac:dyDescent="0.25">
      <c r="A1689" s="62" t="s">
        <v>109</v>
      </c>
      <c r="C1689" s="62" t="s">
        <v>21264</v>
      </c>
      <c r="G1689" s="62" t="s">
        <v>43743</v>
      </c>
      <c r="J1689" s="62" t="s">
        <v>43744</v>
      </c>
      <c r="K1689" s="62" t="s">
        <v>43745</v>
      </c>
      <c r="L1689" s="62" t="s">
        <v>43746</v>
      </c>
      <c r="M1689" s="62" t="s">
        <v>43747</v>
      </c>
      <c r="N1689" s="62" t="s">
        <v>43748</v>
      </c>
      <c r="O1689" s="62" t="s">
        <v>43749</v>
      </c>
      <c r="P1689" s="62" t="s">
        <v>43750</v>
      </c>
      <c r="Q1689" s="62" t="s">
        <v>43751</v>
      </c>
      <c r="R1689" s="62" t="s">
        <v>43752</v>
      </c>
      <c r="S1689" s="62" t="s">
        <v>43753</v>
      </c>
      <c r="U1689" s="62" t="s">
        <v>43754</v>
      </c>
      <c r="V1689" s="62" t="s">
        <v>43755</v>
      </c>
      <c r="W1689" s="62" t="s">
        <v>43756</v>
      </c>
      <c r="X1689" s="62" t="s">
        <v>43757</v>
      </c>
      <c r="Y1689" s="62" t="s">
        <v>43758</v>
      </c>
      <c r="Z1689" s="62" t="s">
        <v>43759</v>
      </c>
      <c r="AA1689" s="62" t="s">
        <v>43760</v>
      </c>
      <c r="AB1689" s="62" t="s">
        <v>43761</v>
      </c>
      <c r="AC1689" s="62" t="s">
        <v>43762</v>
      </c>
      <c r="AD1689" s="62" t="s">
        <v>43763</v>
      </c>
    </row>
    <row r="1690" spans="1:30" x14ac:dyDescent="0.25">
      <c r="A1690" s="62" t="s">
        <v>109</v>
      </c>
    </row>
    <row r="1691" spans="1:30" x14ac:dyDescent="0.25">
      <c r="A1691" s="62" t="s">
        <v>109</v>
      </c>
      <c r="C1691" s="62" t="s">
        <v>43764</v>
      </c>
      <c r="E1691" s="62" t="s">
        <v>26743</v>
      </c>
      <c r="G1691" s="62" t="s">
        <v>43765</v>
      </c>
    </row>
    <row r="1692" spans="1:30" x14ac:dyDescent="0.25">
      <c r="A1692" s="62" t="s">
        <v>109</v>
      </c>
      <c r="C1692" s="62" t="s">
        <v>21265</v>
      </c>
    </row>
    <row r="1693" spans="1:30" x14ac:dyDescent="0.25">
      <c r="A1693" s="62" t="s">
        <v>109</v>
      </c>
      <c r="C1693" s="62" t="s">
        <v>21266</v>
      </c>
      <c r="F1693" s="62" t="s">
        <v>43766</v>
      </c>
      <c r="G1693" s="62" t="s">
        <v>52512</v>
      </c>
      <c r="J1693" s="62" t="s">
        <v>21267</v>
      </c>
      <c r="K1693" s="62" t="s">
        <v>52542</v>
      </c>
      <c r="L1693" s="62" t="s">
        <v>21268</v>
      </c>
      <c r="M1693" s="62" t="s">
        <v>21269</v>
      </c>
      <c r="N1693" s="62" t="s">
        <v>21270</v>
      </c>
      <c r="O1693" s="62" t="s">
        <v>21271</v>
      </c>
      <c r="P1693" s="62" t="s">
        <v>52572</v>
      </c>
      <c r="Q1693" s="62" t="s">
        <v>21272</v>
      </c>
      <c r="R1693" s="62" t="s">
        <v>21273</v>
      </c>
      <c r="S1693" s="62" t="s">
        <v>21274</v>
      </c>
      <c r="U1693" s="62" t="s">
        <v>21275</v>
      </c>
      <c r="V1693" s="62" t="s">
        <v>52602</v>
      </c>
      <c r="W1693" s="62" t="s">
        <v>21276</v>
      </c>
      <c r="X1693" s="62" t="s">
        <v>21277</v>
      </c>
      <c r="Y1693" s="62" t="s">
        <v>21278</v>
      </c>
      <c r="Z1693" s="62" t="s">
        <v>21279</v>
      </c>
      <c r="AA1693" s="62" t="s">
        <v>52632</v>
      </c>
      <c r="AB1693" s="62" t="s">
        <v>21280</v>
      </c>
      <c r="AC1693" s="62" t="s">
        <v>21281</v>
      </c>
      <c r="AD1693" s="62" t="s">
        <v>21282</v>
      </c>
    </row>
    <row r="1694" spans="1:30" x14ac:dyDescent="0.25">
      <c r="A1694" s="62" t="s">
        <v>109</v>
      </c>
      <c r="C1694" s="62" t="s">
        <v>21283</v>
      </c>
      <c r="F1694" s="62" t="s">
        <v>254</v>
      </c>
      <c r="G1694" s="62" t="s">
        <v>52513</v>
      </c>
      <c r="J1694" s="62" t="s">
        <v>21284</v>
      </c>
      <c r="K1694" s="62" t="s">
        <v>52543</v>
      </c>
      <c r="L1694" s="62" t="s">
        <v>21285</v>
      </c>
      <c r="M1694" s="62" t="s">
        <v>21286</v>
      </c>
      <c r="N1694" s="62" t="s">
        <v>21287</v>
      </c>
      <c r="O1694" s="62" t="s">
        <v>21288</v>
      </c>
      <c r="P1694" s="62" t="s">
        <v>52573</v>
      </c>
      <c r="Q1694" s="62" t="s">
        <v>21289</v>
      </c>
      <c r="R1694" s="62" t="s">
        <v>21290</v>
      </c>
      <c r="S1694" s="62" t="s">
        <v>21291</v>
      </c>
      <c r="U1694" s="62" t="s">
        <v>21292</v>
      </c>
      <c r="V1694" s="62" t="s">
        <v>52603</v>
      </c>
      <c r="W1694" s="62" t="s">
        <v>21293</v>
      </c>
      <c r="X1694" s="62" t="s">
        <v>21294</v>
      </c>
      <c r="Y1694" s="62" t="s">
        <v>21295</v>
      </c>
      <c r="Z1694" s="62" t="s">
        <v>21296</v>
      </c>
      <c r="AA1694" s="62" t="s">
        <v>52633</v>
      </c>
      <c r="AB1694" s="62" t="s">
        <v>21297</v>
      </c>
      <c r="AC1694" s="62" t="s">
        <v>21298</v>
      </c>
      <c r="AD1694" s="62" t="s">
        <v>21299</v>
      </c>
    </row>
    <row r="1695" spans="1:30" x14ac:dyDescent="0.25">
      <c r="A1695" s="62" t="s">
        <v>109</v>
      </c>
      <c r="C1695" s="62" t="s">
        <v>21300</v>
      </c>
      <c r="F1695" s="62" t="s">
        <v>2297</v>
      </c>
      <c r="G1695" s="62" t="s">
        <v>52514</v>
      </c>
      <c r="J1695" s="62" t="s">
        <v>21301</v>
      </c>
      <c r="K1695" s="62" t="s">
        <v>52544</v>
      </c>
      <c r="L1695" s="62" t="s">
        <v>21302</v>
      </c>
      <c r="M1695" s="62" t="s">
        <v>21303</v>
      </c>
      <c r="N1695" s="62" t="s">
        <v>21304</v>
      </c>
      <c r="O1695" s="62" t="s">
        <v>21305</v>
      </c>
      <c r="P1695" s="62" t="s">
        <v>52574</v>
      </c>
      <c r="Q1695" s="62" t="s">
        <v>21306</v>
      </c>
      <c r="R1695" s="62" t="s">
        <v>21307</v>
      </c>
      <c r="S1695" s="62" t="s">
        <v>21308</v>
      </c>
      <c r="U1695" s="62" t="s">
        <v>21309</v>
      </c>
      <c r="V1695" s="62" t="s">
        <v>52604</v>
      </c>
      <c r="W1695" s="62" t="s">
        <v>21310</v>
      </c>
      <c r="X1695" s="62" t="s">
        <v>21311</v>
      </c>
      <c r="Y1695" s="62" t="s">
        <v>21312</v>
      </c>
      <c r="Z1695" s="62" t="s">
        <v>21313</v>
      </c>
      <c r="AA1695" s="62" t="s">
        <v>52634</v>
      </c>
      <c r="AB1695" s="62" t="s">
        <v>21314</v>
      </c>
      <c r="AC1695" s="62" t="s">
        <v>21315</v>
      </c>
      <c r="AD1695" s="62" t="s">
        <v>21316</v>
      </c>
    </row>
    <row r="1696" spans="1:30" x14ac:dyDescent="0.25">
      <c r="A1696" s="62" t="s">
        <v>109</v>
      </c>
      <c r="C1696" s="62" t="s">
        <v>21317</v>
      </c>
      <c r="F1696" s="62" t="s">
        <v>340</v>
      </c>
      <c r="G1696" s="62" t="s">
        <v>52515</v>
      </c>
      <c r="J1696" s="62" t="s">
        <v>21318</v>
      </c>
      <c r="K1696" s="62" t="s">
        <v>52545</v>
      </c>
      <c r="L1696" s="62" t="s">
        <v>21319</v>
      </c>
      <c r="M1696" s="62" t="s">
        <v>21320</v>
      </c>
      <c r="N1696" s="62" t="s">
        <v>21321</v>
      </c>
      <c r="O1696" s="62" t="s">
        <v>21322</v>
      </c>
      <c r="P1696" s="62" t="s">
        <v>52575</v>
      </c>
      <c r="Q1696" s="62" t="s">
        <v>21323</v>
      </c>
      <c r="R1696" s="62" t="s">
        <v>21324</v>
      </c>
      <c r="S1696" s="62" t="s">
        <v>21325</v>
      </c>
      <c r="U1696" s="62" t="s">
        <v>21326</v>
      </c>
      <c r="V1696" s="62" t="s">
        <v>52605</v>
      </c>
      <c r="W1696" s="62" t="s">
        <v>21327</v>
      </c>
      <c r="X1696" s="62" t="s">
        <v>21328</v>
      </c>
      <c r="Y1696" s="62" t="s">
        <v>21329</v>
      </c>
      <c r="Z1696" s="62" t="s">
        <v>21330</v>
      </c>
      <c r="AA1696" s="62" t="s">
        <v>52635</v>
      </c>
      <c r="AB1696" s="62" t="s">
        <v>21331</v>
      </c>
      <c r="AC1696" s="62" t="s">
        <v>21332</v>
      </c>
      <c r="AD1696" s="62" t="s">
        <v>21333</v>
      </c>
    </row>
    <row r="1697" spans="1:30" x14ac:dyDescent="0.25">
      <c r="A1697" s="62" t="s">
        <v>109</v>
      </c>
      <c r="C1697" s="62" t="s">
        <v>21334</v>
      </c>
      <c r="F1697" s="62" t="s">
        <v>985</v>
      </c>
      <c r="G1697" s="62" t="s">
        <v>52516</v>
      </c>
      <c r="J1697" s="62" t="s">
        <v>21335</v>
      </c>
      <c r="K1697" s="62" t="s">
        <v>52546</v>
      </c>
      <c r="L1697" s="62" t="s">
        <v>21336</v>
      </c>
      <c r="M1697" s="62" t="s">
        <v>21337</v>
      </c>
      <c r="N1697" s="62" t="s">
        <v>21338</v>
      </c>
      <c r="O1697" s="62" t="s">
        <v>21339</v>
      </c>
      <c r="P1697" s="62" t="s">
        <v>52576</v>
      </c>
      <c r="Q1697" s="62" t="s">
        <v>21340</v>
      </c>
      <c r="R1697" s="62" t="s">
        <v>21341</v>
      </c>
      <c r="S1697" s="62" t="s">
        <v>21342</v>
      </c>
      <c r="U1697" s="62" t="s">
        <v>21343</v>
      </c>
      <c r="V1697" s="62" t="s">
        <v>52606</v>
      </c>
      <c r="W1697" s="62" t="s">
        <v>21344</v>
      </c>
      <c r="X1697" s="62" t="s">
        <v>21345</v>
      </c>
      <c r="Y1697" s="62" t="s">
        <v>21346</v>
      </c>
      <c r="Z1697" s="62" t="s">
        <v>21347</v>
      </c>
      <c r="AA1697" s="62" t="s">
        <v>52636</v>
      </c>
      <c r="AB1697" s="62" t="s">
        <v>21348</v>
      </c>
      <c r="AC1697" s="62" t="s">
        <v>21349</v>
      </c>
      <c r="AD1697" s="62" t="s">
        <v>21350</v>
      </c>
    </row>
    <row r="1698" spans="1:30" x14ac:dyDescent="0.25">
      <c r="A1698" s="62" t="s">
        <v>109</v>
      </c>
      <c r="C1698" s="62" t="s">
        <v>21351</v>
      </c>
      <c r="F1698" s="62" t="s">
        <v>10332</v>
      </c>
      <c r="G1698" s="62" t="s">
        <v>52517</v>
      </c>
      <c r="J1698" s="62" t="s">
        <v>21352</v>
      </c>
      <c r="K1698" s="62" t="s">
        <v>52547</v>
      </c>
      <c r="L1698" s="62" t="s">
        <v>21353</v>
      </c>
      <c r="M1698" s="62" t="s">
        <v>21354</v>
      </c>
      <c r="N1698" s="62" t="s">
        <v>21355</v>
      </c>
      <c r="O1698" s="62" t="s">
        <v>21356</v>
      </c>
      <c r="P1698" s="62" t="s">
        <v>52577</v>
      </c>
      <c r="Q1698" s="62" t="s">
        <v>21357</v>
      </c>
      <c r="R1698" s="62" t="s">
        <v>21358</v>
      </c>
      <c r="S1698" s="62" t="s">
        <v>21359</v>
      </c>
      <c r="U1698" s="62" t="s">
        <v>21360</v>
      </c>
      <c r="V1698" s="62" t="s">
        <v>52607</v>
      </c>
      <c r="W1698" s="62" t="s">
        <v>21361</v>
      </c>
      <c r="X1698" s="62" t="s">
        <v>21362</v>
      </c>
      <c r="Y1698" s="62" t="s">
        <v>21363</v>
      </c>
      <c r="Z1698" s="62" t="s">
        <v>21364</v>
      </c>
      <c r="AA1698" s="62" t="s">
        <v>52637</v>
      </c>
      <c r="AB1698" s="62" t="s">
        <v>21365</v>
      </c>
      <c r="AC1698" s="62" t="s">
        <v>21366</v>
      </c>
      <c r="AD1698" s="62" t="s">
        <v>21367</v>
      </c>
    </row>
    <row r="1699" spans="1:30" x14ac:dyDescent="0.25">
      <c r="A1699" s="62" t="s">
        <v>109</v>
      </c>
      <c r="C1699" s="62" t="s">
        <v>21368</v>
      </c>
      <c r="F1699" s="62" t="s">
        <v>10350</v>
      </c>
      <c r="G1699" s="62" t="s">
        <v>52518</v>
      </c>
      <c r="J1699" s="62" t="s">
        <v>21369</v>
      </c>
      <c r="K1699" s="62" t="s">
        <v>52548</v>
      </c>
      <c r="L1699" s="62" t="s">
        <v>21370</v>
      </c>
      <c r="M1699" s="62" t="s">
        <v>21371</v>
      </c>
      <c r="N1699" s="62" t="s">
        <v>21372</v>
      </c>
      <c r="O1699" s="62" t="s">
        <v>21373</v>
      </c>
      <c r="P1699" s="62" t="s">
        <v>52578</v>
      </c>
      <c r="Q1699" s="62" t="s">
        <v>21374</v>
      </c>
      <c r="R1699" s="62" t="s">
        <v>21375</v>
      </c>
      <c r="S1699" s="62" t="s">
        <v>21376</v>
      </c>
      <c r="U1699" s="62" t="s">
        <v>21377</v>
      </c>
      <c r="V1699" s="62" t="s">
        <v>52608</v>
      </c>
      <c r="W1699" s="62" t="s">
        <v>21378</v>
      </c>
      <c r="X1699" s="62" t="s">
        <v>21379</v>
      </c>
      <c r="Y1699" s="62" t="s">
        <v>21380</v>
      </c>
      <c r="Z1699" s="62" t="s">
        <v>21381</v>
      </c>
      <c r="AA1699" s="62" t="s">
        <v>52638</v>
      </c>
      <c r="AB1699" s="62" t="s">
        <v>21382</v>
      </c>
      <c r="AC1699" s="62" t="s">
        <v>21383</v>
      </c>
      <c r="AD1699" s="62" t="s">
        <v>21384</v>
      </c>
    </row>
    <row r="1700" spans="1:30" x14ac:dyDescent="0.25">
      <c r="A1700" s="62" t="s">
        <v>109</v>
      </c>
      <c r="C1700" s="62" t="s">
        <v>21385</v>
      </c>
      <c r="F1700" s="62" t="s">
        <v>10368</v>
      </c>
      <c r="G1700" s="62" t="s">
        <v>52519</v>
      </c>
      <c r="J1700" s="62" t="s">
        <v>21386</v>
      </c>
      <c r="K1700" s="62" t="s">
        <v>52549</v>
      </c>
      <c r="L1700" s="62" t="s">
        <v>21387</v>
      </c>
      <c r="M1700" s="62" t="s">
        <v>21388</v>
      </c>
      <c r="N1700" s="62" t="s">
        <v>21389</v>
      </c>
      <c r="O1700" s="62" t="s">
        <v>21390</v>
      </c>
      <c r="P1700" s="62" t="s">
        <v>52579</v>
      </c>
      <c r="Q1700" s="62" t="s">
        <v>21391</v>
      </c>
      <c r="R1700" s="62" t="s">
        <v>21392</v>
      </c>
      <c r="S1700" s="62" t="s">
        <v>21393</v>
      </c>
      <c r="U1700" s="62" t="s">
        <v>21394</v>
      </c>
      <c r="V1700" s="62" t="s">
        <v>52609</v>
      </c>
      <c r="W1700" s="62" t="s">
        <v>21395</v>
      </c>
      <c r="X1700" s="62" t="s">
        <v>21396</v>
      </c>
      <c r="Y1700" s="62" t="s">
        <v>21397</v>
      </c>
      <c r="Z1700" s="62" t="s">
        <v>21398</v>
      </c>
      <c r="AA1700" s="62" t="s">
        <v>52639</v>
      </c>
      <c r="AB1700" s="62" t="s">
        <v>21399</v>
      </c>
      <c r="AC1700" s="62" t="s">
        <v>21400</v>
      </c>
      <c r="AD1700" s="62" t="s">
        <v>21401</v>
      </c>
    </row>
    <row r="1701" spans="1:30" x14ac:dyDescent="0.25">
      <c r="A1701" s="62" t="s">
        <v>109</v>
      </c>
      <c r="C1701" s="62" t="s">
        <v>21402</v>
      </c>
      <c r="F1701" s="62" t="s">
        <v>10404</v>
      </c>
      <c r="G1701" s="62" t="s">
        <v>52520</v>
      </c>
      <c r="J1701" s="62" t="s">
        <v>21403</v>
      </c>
      <c r="K1701" s="62" t="s">
        <v>52550</v>
      </c>
      <c r="L1701" s="62" t="s">
        <v>21404</v>
      </c>
      <c r="M1701" s="62" t="s">
        <v>21405</v>
      </c>
      <c r="N1701" s="62" t="s">
        <v>21406</v>
      </c>
      <c r="O1701" s="62" t="s">
        <v>21407</v>
      </c>
      <c r="P1701" s="62" t="s">
        <v>52580</v>
      </c>
      <c r="Q1701" s="62" t="s">
        <v>21408</v>
      </c>
      <c r="R1701" s="62" t="s">
        <v>21409</v>
      </c>
      <c r="S1701" s="62" t="s">
        <v>21410</v>
      </c>
      <c r="U1701" s="62" t="s">
        <v>21411</v>
      </c>
      <c r="V1701" s="62" t="s">
        <v>52610</v>
      </c>
      <c r="W1701" s="62" t="s">
        <v>21412</v>
      </c>
      <c r="X1701" s="62" t="s">
        <v>21413</v>
      </c>
      <c r="Y1701" s="62" t="s">
        <v>21414</v>
      </c>
      <c r="Z1701" s="62" t="s">
        <v>21415</v>
      </c>
      <c r="AA1701" s="62" t="s">
        <v>52640</v>
      </c>
      <c r="AB1701" s="62" t="s">
        <v>21416</v>
      </c>
      <c r="AC1701" s="62" t="s">
        <v>21417</v>
      </c>
      <c r="AD1701" s="62" t="s">
        <v>21418</v>
      </c>
    </row>
    <row r="1702" spans="1:30" x14ac:dyDescent="0.25">
      <c r="A1702" s="62" t="s">
        <v>109</v>
      </c>
      <c r="C1702" s="62" t="s">
        <v>21419</v>
      </c>
      <c r="F1702" s="62" t="s">
        <v>1030</v>
      </c>
      <c r="G1702" s="62" t="s">
        <v>52521</v>
      </c>
      <c r="J1702" s="62" t="s">
        <v>21420</v>
      </c>
      <c r="K1702" s="62" t="s">
        <v>52551</v>
      </c>
      <c r="L1702" s="62" t="s">
        <v>21421</v>
      </c>
      <c r="M1702" s="62" t="s">
        <v>21422</v>
      </c>
      <c r="N1702" s="62" t="s">
        <v>21423</v>
      </c>
      <c r="O1702" s="62" t="s">
        <v>21424</v>
      </c>
      <c r="P1702" s="62" t="s">
        <v>52581</v>
      </c>
      <c r="Q1702" s="62" t="s">
        <v>21425</v>
      </c>
      <c r="R1702" s="62" t="s">
        <v>21426</v>
      </c>
      <c r="S1702" s="62" t="s">
        <v>21427</v>
      </c>
      <c r="U1702" s="62" t="s">
        <v>21428</v>
      </c>
      <c r="V1702" s="62" t="s">
        <v>52611</v>
      </c>
      <c r="W1702" s="62" t="s">
        <v>21429</v>
      </c>
      <c r="X1702" s="62" t="s">
        <v>21430</v>
      </c>
      <c r="Y1702" s="62" t="s">
        <v>21431</v>
      </c>
      <c r="Z1702" s="62" t="s">
        <v>21432</v>
      </c>
      <c r="AA1702" s="62" t="s">
        <v>52641</v>
      </c>
      <c r="AB1702" s="62" t="s">
        <v>21433</v>
      </c>
      <c r="AC1702" s="62" t="s">
        <v>21434</v>
      </c>
      <c r="AD1702" s="62" t="s">
        <v>21435</v>
      </c>
    </row>
    <row r="1703" spans="1:30" x14ac:dyDescent="0.25">
      <c r="A1703" s="62" t="s">
        <v>109</v>
      </c>
      <c r="C1703" s="62" t="s">
        <v>21436</v>
      </c>
      <c r="F1703" s="62" t="s">
        <v>1073</v>
      </c>
      <c r="G1703" s="62" t="s">
        <v>52522</v>
      </c>
      <c r="J1703" s="62" t="s">
        <v>21437</v>
      </c>
      <c r="K1703" s="62" t="s">
        <v>52552</v>
      </c>
      <c r="L1703" s="62" t="s">
        <v>21438</v>
      </c>
      <c r="M1703" s="62" t="s">
        <v>21439</v>
      </c>
      <c r="N1703" s="62" t="s">
        <v>21440</v>
      </c>
      <c r="O1703" s="62" t="s">
        <v>21441</v>
      </c>
      <c r="P1703" s="62" t="s">
        <v>52582</v>
      </c>
      <c r="Q1703" s="62" t="s">
        <v>21442</v>
      </c>
      <c r="R1703" s="62" t="s">
        <v>21443</v>
      </c>
      <c r="S1703" s="62" t="s">
        <v>21444</v>
      </c>
      <c r="U1703" s="62" t="s">
        <v>21445</v>
      </c>
      <c r="V1703" s="62" t="s">
        <v>52612</v>
      </c>
      <c r="W1703" s="62" t="s">
        <v>21446</v>
      </c>
      <c r="X1703" s="62" t="s">
        <v>21447</v>
      </c>
      <c r="Y1703" s="62" t="s">
        <v>21448</v>
      </c>
      <c r="Z1703" s="62" t="s">
        <v>21449</v>
      </c>
      <c r="AA1703" s="62" t="s">
        <v>52642</v>
      </c>
      <c r="AB1703" s="62" t="s">
        <v>21450</v>
      </c>
      <c r="AC1703" s="62" t="s">
        <v>21451</v>
      </c>
      <c r="AD1703" s="62" t="s">
        <v>21452</v>
      </c>
    </row>
    <row r="1704" spans="1:30" x14ac:dyDescent="0.25">
      <c r="A1704" s="62" t="s">
        <v>109</v>
      </c>
      <c r="C1704" s="62" t="s">
        <v>21453</v>
      </c>
      <c r="F1704" s="62" t="s">
        <v>1090</v>
      </c>
      <c r="G1704" s="62" t="s">
        <v>52523</v>
      </c>
      <c r="J1704" s="62" t="s">
        <v>21454</v>
      </c>
      <c r="K1704" s="62" t="s">
        <v>52553</v>
      </c>
      <c r="L1704" s="62" t="s">
        <v>21455</v>
      </c>
      <c r="M1704" s="62" t="s">
        <v>21456</v>
      </c>
      <c r="N1704" s="62" t="s">
        <v>21457</v>
      </c>
      <c r="O1704" s="62" t="s">
        <v>21458</v>
      </c>
      <c r="P1704" s="62" t="s">
        <v>52583</v>
      </c>
      <c r="Q1704" s="62" t="s">
        <v>21459</v>
      </c>
      <c r="R1704" s="62" t="s">
        <v>21460</v>
      </c>
      <c r="S1704" s="62" t="s">
        <v>21461</v>
      </c>
      <c r="U1704" s="62" t="s">
        <v>21462</v>
      </c>
      <c r="V1704" s="62" t="s">
        <v>52613</v>
      </c>
      <c r="W1704" s="62" t="s">
        <v>21463</v>
      </c>
      <c r="X1704" s="62" t="s">
        <v>21464</v>
      </c>
      <c r="Y1704" s="62" t="s">
        <v>21465</v>
      </c>
      <c r="Z1704" s="62" t="s">
        <v>21466</v>
      </c>
      <c r="AA1704" s="62" t="s">
        <v>52643</v>
      </c>
      <c r="AB1704" s="62" t="s">
        <v>21467</v>
      </c>
      <c r="AC1704" s="62" t="s">
        <v>21468</v>
      </c>
      <c r="AD1704" s="62" t="s">
        <v>21469</v>
      </c>
    </row>
    <row r="1705" spans="1:30" x14ac:dyDescent="0.25">
      <c r="A1705" s="62" t="s">
        <v>109</v>
      </c>
      <c r="C1705" s="62" t="s">
        <v>21470</v>
      </c>
      <c r="F1705" s="62" t="s">
        <v>1100</v>
      </c>
      <c r="G1705" s="62" t="s">
        <v>52524</v>
      </c>
      <c r="J1705" s="62" t="s">
        <v>21471</v>
      </c>
      <c r="K1705" s="62" t="s">
        <v>52554</v>
      </c>
      <c r="L1705" s="62" t="s">
        <v>21472</v>
      </c>
      <c r="M1705" s="62" t="s">
        <v>21473</v>
      </c>
      <c r="N1705" s="62" t="s">
        <v>21474</v>
      </c>
      <c r="O1705" s="62" t="s">
        <v>21475</v>
      </c>
      <c r="P1705" s="62" t="s">
        <v>52584</v>
      </c>
      <c r="Q1705" s="62" t="s">
        <v>21476</v>
      </c>
      <c r="R1705" s="62" t="s">
        <v>21477</v>
      </c>
      <c r="S1705" s="62" t="s">
        <v>21478</v>
      </c>
      <c r="U1705" s="62" t="s">
        <v>21479</v>
      </c>
      <c r="V1705" s="62" t="s">
        <v>52614</v>
      </c>
      <c r="W1705" s="62" t="s">
        <v>21480</v>
      </c>
      <c r="X1705" s="62" t="s">
        <v>21481</v>
      </c>
      <c r="Y1705" s="62" t="s">
        <v>21482</v>
      </c>
      <c r="Z1705" s="62" t="s">
        <v>21483</v>
      </c>
      <c r="AA1705" s="62" t="s">
        <v>52644</v>
      </c>
      <c r="AB1705" s="62" t="s">
        <v>21484</v>
      </c>
      <c r="AC1705" s="62" t="s">
        <v>21485</v>
      </c>
      <c r="AD1705" s="62" t="s">
        <v>21486</v>
      </c>
    </row>
    <row r="1706" spans="1:30" x14ac:dyDescent="0.25">
      <c r="A1706" s="62" t="s">
        <v>109</v>
      </c>
      <c r="C1706" s="62" t="s">
        <v>21487</v>
      </c>
      <c r="F1706" s="62" t="s">
        <v>2337</v>
      </c>
      <c r="G1706" s="62" t="s">
        <v>52525</v>
      </c>
      <c r="J1706" s="62" t="s">
        <v>21488</v>
      </c>
      <c r="K1706" s="62" t="s">
        <v>52555</v>
      </c>
      <c r="L1706" s="62" t="s">
        <v>21489</v>
      </c>
      <c r="M1706" s="62" t="s">
        <v>21490</v>
      </c>
      <c r="N1706" s="62" t="s">
        <v>21491</v>
      </c>
      <c r="O1706" s="62" t="s">
        <v>21492</v>
      </c>
      <c r="P1706" s="62" t="s">
        <v>52585</v>
      </c>
      <c r="Q1706" s="62" t="s">
        <v>21493</v>
      </c>
      <c r="R1706" s="62" t="s">
        <v>21494</v>
      </c>
      <c r="S1706" s="62" t="s">
        <v>21495</v>
      </c>
      <c r="U1706" s="62" t="s">
        <v>21496</v>
      </c>
      <c r="V1706" s="62" t="s">
        <v>52615</v>
      </c>
      <c r="W1706" s="62" t="s">
        <v>21497</v>
      </c>
      <c r="X1706" s="62" t="s">
        <v>21498</v>
      </c>
      <c r="Y1706" s="62" t="s">
        <v>21499</v>
      </c>
      <c r="Z1706" s="62" t="s">
        <v>21500</v>
      </c>
      <c r="AA1706" s="62" t="s">
        <v>52645</v>
      </c>
      <c r="AB1706" s="62" t="s">
        <v>21501</v>
      </c>
      <c r="AC1706" s="62" t="s">
        <v>21502</v>
      </c>
      <c r="AD1706" s="62" t="s">
        <v>21503</v>
      </c>
    </row>
    <row r="1707" spans="1:30" x14ac:dyDescent="0.25">
      <c r="A1707" s="62" t="s">
        <v>109</v>
      </c>
      <c r="C1707" s="62" t="s">
        <v>21504</v>
      </c>
      <c r="F1707" s="62" t="s">
        <v>15081</v>
      </c>
      <c r="G1707" s="62" t="s">
        <v>52526</v>
      </c>
      <c r="J1707" s="62" t="s">
        <v>21505</v>
      </c>
      <c r="K1707" s="62" t="s">
        <v>52556</v>
      </c>
      <c r="L1707" s="62" t="s">
        <v>21506</v>
      </c>
      <c r="M1707" s="62" t="s">
        <v>21507</v>
      </c>
      <c r="N1707" s="62" t="s">
        <v>21508</v>
      </c>
      <c r="O1707" s="62" t="s">
        <v>21509</v>
      </c>
      <c r="P1707" s="62" t="s">
        <v>52586</v>
      </c>
      <c r="Q1707" s="62" t="s">
        <v>21510</v>
      </c>
      <c r="R1707" s="62" t="s">
        <v>21511</v>
      </c>
      <c r="S1707" s="62" t="s">
        <v>21512</v>
      </c>
      <c r="U1707" s="62" t="s">
        <v>21513</v>
      </c>
      <c r="V1707" s="62" t="s">
        <v>52616</v>
      </c>
      <c r="W1707" s="62" t="s">
        <v>21514</v>
      </c>
      <c r="X1707" s="62" t="s">
        <v>21515</v>
      </c>
      <c r="Y1707" s="62" t="s">
        <v>21516</v>
      </c>
      <c r="Z1707" s="62" t="s">
        <v>21517</v>
      </c>
      <c r="AA1707" s="62" t="s">
        <v>52646</v>
      </c>
      <c r="AB1707" s="62" t="s">
        <v>21518</v>
      </c>
      <c r="AC1707" s="62" t="s">
        <v>21519</v>
      </c>
      <c r="AD1707" s="62" t="s">
        <v>21520</v>
      </c>
    </row>
    <row r="1708" spans="1:30" x14ac:dyDescent="0.25">
      <c r="A1708" s="62" t="s">
        <v>109</v>
      </c>
      <c r="C1708" s="62" t="s">
        <v>21521</v>
      </c>
      <c r="F1708" s="62" t="s">
        <v>10631</v>
      </c>
      <c r="G1708" s="62" t="s">
        <v>52527</v>
      </c>
      <c r="J1708" s="62" t="s">
        <v>21522</v>
      </c>
      <c r="K1708" s="62" t="s">
        <v>52557</v>
      </c>
      <c r="L1708" s="62" t="s">
        <v>21523</v>
      </c>
      <c r="M1708" s="62" t="s">
        <v>21524</v>
      </c>
      <c r="N1708" s="62" t="s">
        <v>21525</v>
      </c>
      <c r="O1708" s="62" t="s">
        <v>21526</v>
      </c>
      <c r="P1708" s="62" t="s">
        <v>52587</v>
      </c>
      <c r="Q1708" s="62" t="s">
        <v>21527</v>
      </c>
      <c r="R1708" s="62" t="s">
        <v>21528</v>
      </c>
      <c r="S1708" s="62" t="s">
        <v>21529</v>
      </c>
      <c r="U1708" s="62" t="s">
        <v>21530</v>
      </c>
      <c r="V1708" s="62" t="s">
        <v>52617</v>
      </c>
      <c r="W1708" s="62" t="s">
        <v>21531</v>
      </c>
      <c r="X1708" s="62" t="s">
        <v>21532</v>
      </c>
      <c r="Y1708" s="62" t="s">
        <v>21533</v>
      </c>
      <c r="Z1708" s="62" t="s">
        <v>21534</v>
      </c>
      <c r="AA1708" s="62" t="s">
        <v>52647</v>
      </c>
      <c r="AB1708" s="62" t="s">
        <v>21535</v>
      </c>
      <c r="AC1708" s="62" t="s">
        <v>21536</v>
      </c>
      <c r="AD1708" s="62" t="s">
        <v>21537</v>
      </c>
    </row>
    <row r="1709" spans="1:30" x14ac:dyDescent="0.25">
      <c r="A1709" s="62" t="s">
        <v>109</v>
      </c>
      <c r="C1709" s="62" t="s">
        <v>21538</v>
      </c>
      <c r="F1709" s="62" t="s">
        <v>10649</v>
      </c>
      <c r="G1709" s="62" t="s">
        <v>52528</v>
      </c>
      <c r="J1709" s="62" t="s">
        <v>21539</v>
      </c>
      <c r="K1709" s="62" t="s">
        <v>52558</v>
      </c>
      <c r="L1709" s="62" t="s">
        <v>21540</v>
      </c>
      <c r="M1709" s="62" t="s">
        <v>21541</v>
      </c>
      <c r="N1709" s="62" t="s">
        <v>21542</v>
      </c>
      <c r="O1709" s="62" t="s">
        <v>21543</v>
      </c>
      <c r="P1709" s="62" t="s">
        <v>52588</v>
      </c>
      <c r="Q1709" s="62" t="s">
        <v>21544</v>
      </c>
      <c r="R1709" s="62" t="s">
        <v>21545</v>
      </c>
      <c r="S1709" s="62" t="s">
        <v>21546</v>
      </c>
      <c r="U1709" s="62" t="s">
        <v>21547</v>
      </c>
      <c r="V1709" s="62" t="s">
        <v>52618</v>
      </c>
      <c r="W1709" s="62" t="s">
        <v>21548</v>
      </c>
      <c r="X1709" s="62" t="s">
        <v>21549</v>
      </c>
      <c r="Y1709" s="62" t="s">
        <v>21550</v>
      </c>
      <c r="Z1709" s="62" t="s">
        <v>21551</v>
      </c>
      <c r="AA1709" s="62" t="s">
        <v>52648</v>
      </c>
      <c r="AB1709" s="62" t="s">
        <v>21552</v>
      </c>
      <c r="AC1709" s="62" t="s">
        <v>21553</v>
      </c>
      <c r="AD1709" s="62" t="s">
        <v>21554</v>
      </c>
    </row>
    <row r="1710" spans="1:30" x14ac:dyDescent="0.25">
      <c r="A1710" s="62" t="s">
        <v>109</v>
      </c>
      <c r="C1710" s="62" t="s">
        <v>21555</v>
      </c>
      <c r="F1710" s="62" t="s">
        <v>10667</v>
      </c>
      <c r="G1710" s="62" t="s">
        <v>52529</v>
      </c>
      <c r="J1710" s="62" t="s">
        <v>21556</v>
      </c>
      <c r="K1710" s="62" t="s">
        <v>52559</v>
      </c>
      <c r="L1710" s="62" t="s">
        <v>21557</v>
      </c>
      <c r="M1710" s="62" t="s">
        <v>21558</v>
      </c>
      <c r="N1710" s="62" t="s">
        <v>21559</v>
      </c>
      <c r="O1710" s="62" t="s">
        <v>21560</v>
      </c>
      <c r="P1710" s="62" t="s">
        <v>52589</v>
      </c>
      <c r="Q1710" s="62" t="s">
        <v>21561</v>
      </c>
      <c r="R1710" s="62" t="s">
        <v>21562</v>
      </c>
      <c r="S1710" s="62" t="s">
        <v>21563</v>
      </c>
      <c r="U1710" s="62" t="s">
        <v>21564</v>
      </c>
      <c r="V1710" s="62" t="s">
        <v>52619</v>
      </c>
      <c r="W1710" s="62" t="s">
        <v>21565</v>
      </c>
      <c r="X1710" s="62" t="s">
        <v>21566</v>
      </c>
      <c r="Y1710" s="62" t="s">
        <v>21567</v>
      </c>
      <c r="Z1710" s="62" t="s">
        <v>21568</v>
      </c>
      <c r="AA1710" s="62" t="s">
        <v>52649</v>
      </c>
      <c r="AB1710" s="62" t="s">
        <v>21569</v>
      </c>
      <c r="AC1710" s="62" t="s">
        <v>21570</v>
      </c>
      <c r="AD1710" s="62" t="s">
        <v>21571</v>
      </c>
    </row>
    <row r="1711" spans="1:30" x14ac:dyDescent="0.25">
      <c r="A1711" s="62" t="s">
        <v>109</v>
      </c>
      <c r="C1711" s="62" t="s">
        <v>21572</v>
      </c>
      <c r="F1711" s="62" t="s">
        <v>10703</v>
      </c>
      <c r="G1711" s="62" t="s">
        <v>52530</v>
      </c>
      <c r="J1711" s="62" t="s">
        <v>21573</v>
      </c>
      <c r="K1711" s="62" t="s">
        <v>52560</v>
      </c>
      <c r="L1711" s="62" t="s">
        <v>21574</v>
      </c>
      <c r="M1711" s="62" t="s">
        <v>21575</v>
      </c>
      <c r="N1711" s="62" t="s">
        <v>21576</v>
      </c>
      <c r="O1711" s="62" t="s">
        <v>21577</v>
      </c>
      <c r="P1711" s="62" t="s">
        <v>52590</v>
      </c>
      <c r="Q1711" s="62" t="s">
        <v>21578</v>
      </c>
      <c r="R1711" s="62" t="s">
        <v>21579</v>
      </c>
      <c r="S1711" s="62" t="s">
        <v>21580</v>
      </c>
      <c r="U1711" s="62" t="s">
        <v>21581</v>
      </c>
      <c r="V1711" s="62" t="s">
        <v>52620</v>
      </c>
      <c r="W1711" s="62" t="s">
        <v>21582</v>
      </c>
      <c r="X1711" s="62" t="s">
        <v>21583</v>
      </c>
      <c r="Y1711" s="62" t="s">
        <v>21584</v>
      </c>
      <c r="Z1711" s="62" t="s">
        <v>21585</v>
      </c>
      <c r="AA1711" s="62" t="s">
        <v>52650</v>
      </c>
      <c r="AB1711" s="62" t="s">
        <v>21586</v>
      </c>
      <c r="AC1711" s="62" t="s">
        <v>21587</v>
      </c>
      <c r="AD1711" s="62" t="s">
        <v>21588</v>
      </c>
    </row>
    <row r="1712" spans="1:30" x14ac:dyDescent="0.25">
      <c r="A1712" s="62" t="s">
        <v>109</v>
      </c>
      <c r="C1712" s="62" t="s">
        <v>43767</v>
      </c>
      <c r="F1712" s="62" t="s">
        <v>13202</v>
      </c>
      <c r="G1712" s="62" t="s">
        <v>52531</v>
      </c>
      <c r="J1712" s="62" t="s">
        <v>43768</v>
      </c>
      <c r="K1712" s="62" t="s">
        <v>52561</v>
      </c>
      <c r="L1712" s="62" t="s">
        <v>43769</v>
      </c>
      <c r="M1712" s="62" t="s">
        <v>43770</v>
      </c>
      <c r="N1712" s="62" t="s">
        <v>43771</v>
      </c>
      <c r="O1712" s="62" t="s">
        <v>43772</v>
      </c>
      <c r="P1712" s="62" t="s">
        <v>52591</v>
      </c>
      <c r="Q1712" s="62" t="s">
        <v>43773</v>
      </c>
      <c r="R1712" s="62" t="s">
        <v>43774</v>
      </c>
      <c r="S1712" s="62" t="s">
        <v>43775</v>
      </c>
      <c r="U1712" s="62" t="s">
        <v>43776</v>
      </c>
      <c r="V1712" s="62" t="s">
        <v>52621</v>
      </c>
      <c r="W1712" s="62" t="s">
        <v>43777</v>
      </c>
      <c r="X1712" s="62" t="s">
        <v>43778</v>
      </c>
      <c r="Y1712" s="62" t="s">
        <v>43779</v>
      </c>
      <c r="Z1712" s="62" t="s">
        <v>43780</v>
      </c>
      <c r="AA1712" s="62" t="s">
        <v>52651</v>
      </c>
      <c r="AB1712" s="62" t="s">
        <v>43781</v>
      </c>
      <c r="AC1712" s="62" t="s">
        <v>43782</v>
      </c>
      <c r="AD1712" s="62" t="s">
        <v>43783</v>
      </c>
    </row>
    <row r="1713" spans="1:30" x14ac:dyDescent="0.25">
      <c r="A1713" s="62" t="s">
        <v>109</v>
      </c>
      <c r="C1713" s="62" t="s">
        <v>21589</v>
      </c>
      <c r="F1713" s="62" t="s">
        <v>10847</v>
      </c>
      <c r="G1713" s="62" t="s">
        <v>52532</v>
      </c>
      <c r="J1713" s="62" t="s">
        <v>43784</v>
      </c>
      <c r="K1713" s="62" t="s">
        <v>52562</v>
      </c>
      <c r="L1713" s="62" t="s">
        <v>43785</v>
      </c>
      <c r="M1713" s="62" t="s">
        <v>21590</v>
      </c>
      <c r="N1713" s="62" t="s">
        <v>21591</v>
      </c>
      <c r="O1713" s="62" t="s">
        <v>43786</v>
      </c>
      <c r="P1713" s="62" t="s">
        <v>52592</v>
      </c>
      <c r="Q1713" s="62" t="s">
        <v>43787</v>
      </c>
      <c r="R1713" s="62" t="s">
        <v>21592</v>
      </c>
      <c r="S1713" s="62" t="s">
        <v>21593</v>
      </c>
      <c r="U1713" s="62" t="s">
        <v>43788</v>
      </c>
      <c r="V1713" s="62" t="s">
        <v>52622</v>
      </c>
      <c r="W1713" s="62" t="s">
        <v>43789</v>
      </c>
      <c r="X1713" s="62" t="s">
        <v>21594</v>
      </c>
      <c r="Y1713" s="62" t="s">
        <v>21595</v>
      </c>
      <c r="Z1713" s="62" t="s">
        <v>43790</v>
      </c>
      <c r="AA1713" s="62" t="s">
        <v>52652</v>
      </c>
      <c r="AB1713" s="62" t="s">
        <v>43791</v>
      </c>
      <c r="AC1713" s="62" t="s">
        <v>21596</v>
      </c>
      <c r="AD1713" s="62" t="s">
        <v>21597</v>
      </c>
    </row>
    <row r="1714" spans="1:30" x14ac:dyDescent="0.25">
      <c r="A1714" s="62" t="s">
        <v>109</v>
      </c>
      <c r="C1714" s="62" t="s">
        <v>43792</v>
      </c>
      <c r="F1714" s="62" t="s">
        <v>10865</v>
      </c>
      <c r="G1714" s="62" t="s">
        <v>52533</v>
      </c>
      <c r="J1714" s="62" t="s">
        <v>43793</v>
      </c>
      <c r="K1714" s="62" t="s">
        <v>52563</v>
      </c>
      <c r="L1714" s="62" t="s">
        <v>43794</v>
      </c>
      <c r="M1714" s="62" t="s">
        <v>43795</v>
      </c>
      <c r="N1714" s="62" t="s">
        <v>43796</v>
      </c>
      <c r="O1714" s="62" t="s">
        <v>43797</v>
      </c>
      <c r="P1714" s="62" t="s">
        <v>52593</v>
      </c>
      <c r="Q1714" s="62" t="s">
        <v>43798</v>
      </c>
      <c r="R1714" s="62" t="s">
        <v>43799</v>
      </c>
      <c r="S1714" s="62" t="s">
        <v>43800</v>
      </c>
      <c r="U1714" s="62" t="s">
        <v>43801</v>
      </c>
      <c r="V1714" s="62" t="s">
        <v>52623</v>
      </c>
      <c r="W1714" s="62" t="s">
        <v>43802</v>
      </c>
      <c r="X1714" s="62" t="s">
        <v>43803</v>
      </c>
      <c r="Y1714" s="62" t="s">
        <v>43804</v>
      </c>
      <c r="Z1714" s="62" t="s">
        <v>43805</v>
      </c>
      <c r="AA1714" s="62" t="s">
        <v>52653</v>
      </c>
      <c r="AB1714" s="62" t="s">
        <v>43806</v>
      </c>
      <c r="AC1714" s="62" t="s">
        <v>43807</v>
      </c>
      <c r="AD1714" s="62" t="s">
        <v>43808</v>
      </c>
    </row>
    <row r="1715" spans="1:30" x14ac:dyDescent="0.25">
      <c r="A1715" s="62" t="s">
        <v>109</v>
      </c>
      <c r="C1715" s="62" t="s">
        <v>43809</v>
      </c>
      <c r="F1715" s="62" t="s">
        <v>13238</v>
      </c>
      <c r="G1715" s="62" t="s">
        <v>52534</v>
      </c>
      <c r="J1715" s="62" t="s">
        <v>43810</v>
      </c>
      <c r="K1715" s="62" t="s">
        <v>52564</v>
      </c>
      <c r="L1715" s="62" t="s">
        <v>43811</v>
      </c>
      <c r="M1715" s="62" t="s">
        <v>43812</v>
      </c>
      <c r="N1715" s="62" t="s">
        <v>43813</v>
      </c>
      <c r="O1715" s="62" t="s">
        <v>43814</v>
      </c>
      <c r="P1715" s="62" t="s">
        <v>52594</v>
      </c>
      <c r="Q1715" s="62" t="s">
        <v>43815</v>
      </c>
      <c r="R1715" s="62" t="s">
        <v>43816</v>
      </c>
      <c r="S1715" s="62" t="s">
        <v>43817</v>
      </c>
      <c r="U1715" s="62" t="s">
        <v>43818</v>
      </c>
      <c r="V1715" s="62" t="s">
        <v>52624</v>
      </c>
      <c r="W1715" s="62" t="s">
        <v>43819</v>
      </c>
      <c r="X1715" s="62" t="s">
        <v>43820</v>
      </c>
      <c r="Y1715" s="62" t="s">
        <v>43821</v>
      </c>
      <c r="Z1715" s="62" t="s">
        <v>43822</v>
      </c>
      <c r="AA1715" s="62" t="s">
        <v>52654</v>
      </c>
      <c r="AB1715" s="62" t="s">
        <v>43823</v>
      </c>
      <c r="AC1715" s="62" t="s">
        <v>43824</v>
      </c>
      <c r="AD1715" s="62" t="s">
        <v>43825</v>
      </c>
    </row>
    <row r="1716" spans="1:30" x14ac:dyDescent="0.25">
      <c r="A1716" s="62" t="s">
        <v>109</v>
      </c>
      <c r="C1716" s="62" t="s">
        <v>21599</v>
      </c>
      <c r="F1716" s="62" t="s">
        <v>1152</v>
      </c>
      <c r="G1716" s="62" t="s">
        <v>52535</v>
      </c>
      <c r="J1716" s="62" t="s">
        <v>43826</v>
      </c>
      <c r="K1716" s="62" t="s">
        <v>52565</v>
      </c>
      <c r="L1716" s="62" t="s">
        <v>43827</v>
      </c>
      <c r="M1716" s="62" t="s">
        <v>43828</v>
      </c>
      <c r="N1716" s="62" t="s">
        <v>43829</v>
      </c>
      <c r="O1716" s="62" t="s">
        <v>43830</v>
      </c>
      <c r="P1716" s="62" t="s">
        <v>52595</v>
      </c>
      <c r="Q1716" s="62" t="s">
        <v>43831</v>
      </c>
      <c r="R1716" s="62" t="s">
        <v>43832</v>
      </c>
      <c r="S1716" s="62" t="s">
        <v>43833</v>
      </c>
      <c r="U1716" s="62" t="s">
        <v>43834</v>
      </c>
      <c r="V1716" s="62" t="s">
        <v>52625</v>
      </c>
      <c r="W1716" s="62" t="s">
        <v>43835</v>
      </c>
      <c r="X1716" s="62" t="s">
        <v>43836</v>
      </c>
      <c r="Y1716" s="62" t="s">
        <v>43837</v>
      </c>
      <c r="Z1716" s="62" t="s">
        <v>43838</v>
      </c>
      <c r="AA1716" s="62" t="s">
        <v>52655</v>
      </c>
      <c r="AB1716" s="62" t="s">
        <v>43839</v>
      </c>
      <c r="AC1716" s="62" t="s">
        <v>43840</v>
      </c>
      <c r="AD1716" s="62" t="s">
        <v>43841</v>
      </c>
    </row>
    <row r="1717" spans="1:30" x14ac:dyDescent="0.25">
      <c r="A1717" s="62" t="s">
        <v>109</v>
      </c>
      <c r="C1717" s="62" t="s">
        <v>21600</v>
      </c>
      <c r="F1717" s="62" t="s">
        <v>27351</v>
      </c>
      <c r="G1717" s="62" t="s">
        <v>52536</v>
      </c>
      <c r="J1717" s="62" t="s">
        <v>21601</v>
      </c>
      <c r="K1717" s="62" t="s">
        <v>52566</v>
      </c>
      <c r="L1717" s="62" t="s">
        <v>21602</v>
      </c>
      <c r="M1717" s="62" t="s">
        <v>21603</v>
      </c>
      <c r="N1717" s="62" t="s">
        <v>21604</v>
      </c>
      <c r="O1717" s="62" t="s">
        <v>21605</v>
      </c>
      <c r="P1717" s="62" t="s">
        <v>52596</v>
      </c>
      <c r="Q1717" s="62" t="s">
        <v>21606</v>
      </c>
      <c r="R1717" s="62" t="s">
        <v>21607</v>
      </c>
      <c r="S1717" s="62" t="s">
        <v>21608</v>
      </c>
      <c r="U1717" s="62" t="s">
        <v>21609</v>
      </c>
      <c r="V1717" s="62" t="s">
        <v>52626</v>
      </c>
      <c r="W1717" s="62" t="s">
        <v>21610</v>
      </c>
      <c r="X1717" s="62" t="s">
        <v>21611</v>
      </c>
      <c r="Y1717" s="62" t="s">
        <v>21612</v>
      </c>
      <c r="Z1717" s="62" t="s">
        <v>21613</v>
      </c>
      <c r="AA1717" s="62" t="s">
        <v>52656</v>
      </c>
      <c r="AB1717" s="62" t="s">
        <v>21614</v>
      </c>
      <c r="AC1717" s="62" t="s">
        <v>21615</v>
      </c>
      <c r="AD1717" s="62" t="s">
        <v>21616</v>
      </c>
    </row>
    <row r="1718" spans="1:30" x14ac:dyDescent="0.25">
      <c r="A1718" s="62" t="s">
        <v>109</v>
      </c>
      <c r="C1718" s="62" t="s">
        <v>21617</v>
      </c>
      <c r="F1718" s="62" t="s">
        <v>27369</v>
      </c>
      <c r="G1718" s="62" t="s">
        <v>52537</v>
      </c>
      <c r="J1718" s="62" t="s">
        <v>21618</v>
      </c>
      <c r="K1718" s="62" t="s">
        <v>52567</v>
      </c>
      <c r="L1718" s="62" t="s">
        <v>21619</v>
      </c>
      <c r="M1718" s="62" t="s">
        <v>21620</v>
      </c>
      <c r="N1718" s="62" t="s">
        <v>21621</v>
      </c>
      <c r="O1718" s="62" t="s">
        <v>21622</v>
      </c>
      <c r="P1718" s="62" t="s">
        <v>52597</v>
      </c>
      <c r="Q1718" s="62" t="s">
        <v>21623</v>
      </c>
      <c r="R1718" s="62" t="s">
        <v>21624</v>
      </c>
      <c r="S1718" s="62" t="s">
        <v>21625</v>
      </c>
      <c r="U1718" s="62" t="s">
        <v>21626</v>
      </c>
      <c r="V1718" s="62" t="s">
        <v>52627</v>
      </c>
      <c r="W1718" s="62" t="s">
        <v>21627</v>
      </c>
      <c r="X1718" s="62" t="s">
        <v>21628</v>
      </c>
      <c r="Y1718" s="62" t="s">
        <v>21629</v>
      </c>
      <c r="Z1718" s="62" t="s">
        <v>21630</v>
      </c>
      <c r="AA1718" s="62" t="s">
        <v>52657</v>
      </c>
      <c r="AB1718" s="62" t="s">
        <v>21631</v>
      </c>
      <c r="AC1718" s="62" t="s">
        <v>21632</v>
      </c>
      <c r="AD1718" s="62" t="s">
        <v>21633</v>
      </c>
    </row>
    <row r="1719" spans="1:30" x14ac:dyDescent="0.25">
      <c r="A1719" s="62" t="s">
        <v>109</v>
      </c>
      <c r="C1719" s="62" t="s">
        <v>21634</v>
      </c>
      <c r="F1719" s="62" t="s">
        <v>24015</v>
      </c>
      <c r="G1719" s="62" t="s">
        <v>52538</v>
      </c>
      <c r="J1719" s="62" t="s">
        <v>21635</v>
      </c>
      <c r="K1719" s="62" t="s">
        <v>52568</v>
      </c>
      <c r="L1719" s="62" t="s">
        <v>21636</v>
      </c>
      <c r="M1719" s="62" t="s">
        <v>21637</v>
      </c>
      <c r="N1719" s="62" t="s">
        <v>21638</v>
      </c>
      <c r="O1719" s="62" t="s">
        <v>21639</v>
      </c>
      <c r="P1719" s="62" t="s">
        <v>52598</v>
      </c>
      <c r="Q1719" s="62" t="s">
        <v>21640</v>
      </c>
      <c r="R1719" s="62" t="s">
        <v>21641</v>
      </c>
      <c r="S1719" s="62" t="s">
        <v>21642</v>
      </c>
      <c r="U1719" s="62" t="s">
        <v>21643</v>
      </c>
      <c r="V1719" s="62" t="s">
        <v>52628</v>
      </c>
      <c r="W1719" s="62" t="s">
        <v>21644</v>
      </c>
      <c r="X1719" s="62" t="s">
        <v>21645</v>
      </c>
      <c r="Y1719" s="62" t="s">
        <v>21646</v>
      </c>
      <c r="Z1719" s="62" t="s">
        <v>21647</v>
      </c>
      <c r="AA1719" s="62" t="s">
        <v>52658</v>
      </c>
      <c r="AB1719" s="62" t="s">
        <v>21648</v>
      </c>
      <c r="AC1719" s="62" t="s">
        <v>21649</v>
      </c>
      <c r="AD1719" s="62" t="s">
        <v>21650</v>
      </c>
    </row>
    <row r="1720" spans="1:30" x14ac:dyDescent="0.25">
      <c r="A1720" s="62" t="s">
        <v>109</v>
      </c>
      <c r="C1720" s="62" t="s">
        <v>21651</v>
      </c>
      <c r="F1720" s="62" t="s">
        <v>22217</v>
      </c>
      <c r="G1720" s="62" t="s">
        <v>52539</v>
      </c>
      <c r="J1720" s="62" t="s">
        <v>21652</v>
      </c>
      <c r="K1720" s="62" t="s">
        <v>52569</v>
      </c>
      <c r="L1720" s="62" t="s">
        <v>21653</v>
      </c>
      <c r="M1720" s="62" t="s">
        <v>21654</v>
      </c>
      <c r="N1720" s="62" t="s">
        <v>21655</v>
      </c>
      <c r="O1720" s="62" t="s">
        <v>21656</v>
      </c>
      <c r="P1720" s="62" t="s">
        <v>52599</v>
      </c>
      <c r="Q1720" s="62" t="s">
        <v>21657</v>
      </c>
      <c r="R1720" s="62" t="s">
        <v>21658</v>
      </c>
      <c r="S1720" s="62" t="s">
        <v>21659</v>
      </c>
      <c r="U1720" s="62" t="s">
        <v>21660</v>
      </c>
      <c r="V1720" s="62" t="s">
        <v>52629</v>
      </c>
      <c r="W1720" s="62" t="s">
        <v>21661</v>
      </c>
      <c r="X1720" s="62" t="s">
        <v>21662</v>
      </c>
      <c r="Y1720" s="62" t="s">
        <v>21663</v>
      </c>
      <c r="Z1720" s="62" t="s">
        <v>21664</v>
      </c>
      <c r="AA1720" s="62" t="s">
        <v>52659</v>
      </c>
      <c r="AB1720" s="62" t="s">
        <v>21665</v>
      </c>
      <c r="AC1720" s="62" t="s">
        <v>21666</v>
      </c>
      <c r="AD1720" s="62" t="s">
        <v>21667</v>
      </c>
    </row>
    <row r="1721" spans="1:30" x14ac:dyDescent="0.25">
      <c r="A1721" s="62" t="s">
        <v>109</v>
      </c>
      <c r="C1721" s="62" t="s">
        <v>21668</v>
      </c>
      <c r="F1721" s="62" t="s">
        <v>24033</v>
      </c>
      <c r="G1721" s="62" t="s">
        <v>52540</v>
      </c>
      <c r="J1721" s="62" t="s">
        <v>21669</v>
      </c>
      <c r="K1721" s="62" t="s">
        <v>52570</v>
      </c>
      <c r="L1721" s="62" t="s">
        <v>21670</v>
      </c>
      <c r="M1721" s="62" t="s">
        <v>21671</v>
      </c>
      <c r="N1721" s="62" t="s">
        <v>21672</v>
      </c>
      <c r="O1721" s="62" t="s">
        <v>21673</v>
      </c>
      <c r="P1721" s="62" t="s">
        <v>52600</v>
      </c>
      <c r="Q1721" s="62" t="s">
        <v>21674</v>
      </c>
      <c r="R1721" s="62" t="s">
        <v>21675</v>
      </c>
      <c r="S1721" s="62" t="s">
        <v>21676</v>
      </c>
      <c r="U1721" s="62" t="s">
        <v>21677</v>
      </c>
      <c r="V1721" s="62" t="s">
        <v>52630</v>
      </c>
      <c r="W1721" s="62" t="s">
        <v>21678</v>
      </c>
      <c r="X1721" s="62" t="s">
        <v>21679</v>
      </c>
      <c r="Y1721" s="62" t="s">
        <v>21680</v>
      </c>
      <c r="Z1721" s="62" t="s">
        <v>21681</v>
      </c>
      <c r="AA1721" s="62" t="s">
        <v>52660</v>
      </c>
      <c r="AB1721" s="62" t="s">
        <v>21682</v>
      </c>
      <c r="AC1721" s="62" t="s">
        <v>21683</v>
      </c>
      <c r="AD1721" s="62" t="s">
        <v>21684</v>
      </c>
    </row>
    <row r="1722" spans="1:30" x14ac:dyDescent="0.25">
      <c r="A1722" s="62" t="s">
        <v>109</v>
      </c>
      <c r="C1722" s="62" t="s">
        <v>21685</v>
      </c>
      <c r="F1722" s="62" t="s">
        <v>10981</v>
      </c>
      <c r="G1722" s="62" t="s">
        <v>52541</v>
      </c>
      <c r="J1722" s="62" t="s">
        <v>21686</v>
      </c>
      <c r="K1722" s="62" t="s">
        <v>52571</v>
      </c>
      <c r="L1722" s="62" t="s">
        <v>21687</v>
      </c>
      <c r="M1722" s="62" t="s">
        <v>21688</v>
      </c>
      <c r="N1722" s="62" t="s">
        <v>21689</v>
      </c>
      <c r="O1722" s="62" t="s">
        <v>21690</v>
      </c>
      <c r="P1722" s="62" t="s">
        <v>52601</v>
      </c>
      <c r="Q1722" s="62" t="s">
        <v>21691</v>
      </c>
      <c r="R1722" s="62" t="s">
        <v>21692</v>
      </c>
      <c r="S1722" s="62" t="s">
        <v>21693</v>
      </c>
      <c r="U1722" s="62" t="s">
        <v>21694</v>
      </c>
      <c r="V1722" s="62" t="s">
        <v>52631</v>
      </c>
      <c r="W1722" s="62" t="s">
        <v>21695</v>
      </c>
      <c r="X1722" s="62" t="s">
        <v>21696</v>
      </c>
      <c r="Y1722" s="62" t="s">
        <v>21697</v>
      </c>
      <c r="Z1722" s="62" t="s">
        <v>21698</v>
      </c>
      <c r="AA1722" s="62" t="s">
        <v>52661</v>
      </c>
      <c r="AB1722" s="62" t="s">
        <v>21699</v>
      </c>
      <c r="AC1722" s="62" t="s">
        <v>21700</v>
      </c>
      <c r="AD1722" s="62" t="s">
        <v>21701</v>
      </c>
    </row>
    <row r="1723" spans="1:30" x14ac:dyDescent="0.25">
      <c r="A1723" s="62" t="s">
        <v>109</v>
      </c>
      <c r="C1723" s="62" t="s">
        <v>21283</v>
      </c>
    </row>
    <row r="1724" spans="1:30" x14ac:dyDescent="0.25">
      <c r="A1724" s="62" t="s">
        <v>109</v>
      </c>
      <c r="C1724" s="62" t="s">
        <v>21702</v>
      </c>
      <c r="G1724" s="62" t="s">
        <v>43842</v>
      </c>
      <c r="J1724" s="62" t="s">
        <v>43843</v>
      </c>
      <c r="K1724" s="62" t="s">
        <v>43844</v>
      </c>
      <c r="L1724" s="62" t="s">
        <v>43845</v>
      </c>
      <c r="M1724" s="62" t="s">
        <v>21703</v>
      </c>
      <c r="N1724" s="62" t="s">
        <v>21704</v>
      </c>
      <c r="O1724" s="62" t="s">
        <v>43846</v>
      </c>
      <c r="P1724" s="62" t="s">
        <v>43847</v>
      </c>
      <c r="Q1724" s="62" t="s">
        <v>43848</v>
      </c>
      <c r="R1724" s="62" t="s">
        <v>21705</v>
      </c>
      <c r="S1724" s="62" t="s">
        <v>21706</v>
      </c>
      <c r="U1724" s="62" t="s">
        <v>43849</v>
      </c>
      <c r="V1724" s="62" t="s">
        <v>43850</v>
      </c>
      <c r="W1724" s="62" t="s">
        <v>43851</v>
      </c>
      <c r="X1724" s="62" t="s">
        <v>21707</v>
      </c>
      <c r="Y1724" s="62" t="s">
        <v>21708</v>
      </c>
      <c r="Z1724" s="62" t="s">
        <v>43852</v>
      </c>
      <c r="AA1724" s="62" t="s">
        <v>43853</v>
      </c>
      <c r="AB1724" s="62" t="s">
        <v>43854</v>
      </c>
      <c r="AC1724" s="62" t="s">
        <v>21709</v>
      </c>
      <c r="AD1724" s="62" t="s">
        <v>21710</v>
      </c>
    </row>
    <row r="1725" spans="1:30" x14ac:dyDescent="0.25">
      <c r="A1725" s="62" t="s">
        <v>109</v>
      </c>
    </row>
    <row r="1726" spans="1:30" x14ac:dyDescent="0.25">
      <c r="A1726" s="62" t="s">
        <v>109</v>
      </c>
      <c r="C1726" s="62" t="s">
        <v>43855</v>
      </c>
      <c r="E1726" s="62" t="s">
        <v>481</v>
      </c>
      <c r="G1726" s="62" t="s">
        <v>43856</v>
      </c>
    </row>
    <row r="1727" spans="1:30" x14ac:dyDescent="0.25">
      <c r="A1727" s="62" t="s">
        <v>109</v>
      </c>
      <c r="C1727" s="62" t="s">
        <v>21711</v>
      </c>
    </row>
    <row r="1728" spans="1:30" x14ac:dyDescent="0.25">
      <c r="A1728" s="62" t="s">
        <v>109</v>
      </c>
      <c r="C1728" s="62" t="s">
        <v>21712</v>
      </c>
      <c r="F1728" s="62" t="s">
        <v>43857</v>
      </c>
      <c r="G1728" s="62" t="s">
        <v>52367</v>
      </c>
      <c r="J1728" s="62" t="s">
        <v>21713</v>
      </c>
      <c r="K1728" s="62" t="s">
        <v>52396</v>
      </c>
      <c r="L1728" s="62" t="s">
        <v>21714</v>
      </c>
      <c r="M1728" s="62" t="s">
        <v>21715</v>
      </c>
      <c r="N1728" s="62" t="s">
        <v>21716</v>
      </c>
      <c r="O1728" s="62" t="s">
        <v>21717</v>
      </c>
      <c r="P1728" s="62" t="s">
        <v>52425</v>
      </c>
      <c r="Q1728" s="62" t="s">
        <v>21718</v>
      </c>
      <c r="R1728" s="62" t="s">
        <v>21719</v>
      </c>
      <c r="S1728" s="62" t="s">
        <v>21720</v>
      </c>
      <c r="U1728" s="62" t="s">
        <v>21721</v>
      </c>
      <c r="V1728" s="62" t="s">
        <v>52454</v>
      </c>
      <c r="W1728" s="62" t="s">
        <v>21722</v>
      </c>
      <c r="X1728" s="62" t="s">
        <v>21723</v>
      </c>
      <c r="Y1728" s="62" t="s">
        <v>21724</v>
      </c>
      <c r="Z1728" s="62" t="s">
        <v>21725</v>
      </c>
      <c r="AA1728" s="62" t="s">
        <v>52483</v>
      </c>
      <c r="AB1728" s="62" t="s">
        <v>21726</v>
      </c>
      <c r="AC1728" s="62" t="s">
        <v>21727</v>
      </c>
      <c r="AD1728" s="62" t="s">
        <v>21728</v>
      </c>
    </row>
    <row r="1729" spans="1:30" x14ac:dyDescent="0.25">
      <c r="A1729" s="62" t="s">
        <v>109</v>
      </c>
      <c r="C1729" s="62" t="s">
        <v>21729</v>
      </c>
      <c r="F1729" s="62" t="s">
        <v>748</v>
      </c>
      <c r="G1729" s="62" t="s">
        <v>52368</v>
      </c>
      <c r="J1729" s="62" t="s">
        <v>21730</v>
      </c>
      <c r="K1729" s="62" t="s">
        <v>52397</v>
      </c>
      <c r="L1729" s="62" t="s">
        <v>21731</v>
      </c>
      <c r="M1729" s="62" t="s">
        <v>21732</v>
      </c>
      <c r="N1729" s="62" t="s">
        <v>21733</v>
      </c>
      <c r="O1729" s="62" t="s">
        <v>21734</v>
      </c>
      <c r="P1729" s="62" t="s">
        <v>52426</v>
      </c>
      <c r="Q1729" s="62" t="s">
        <v>21735</v>
      </c>
      <c r="R1729" s="62" t="s">
        <v>21736</v>
      </c>
      <c r="S1729" s="62" t="s">
        <v>21737</v>
      </c>
      <c r="U1729" s="62" t="s">
        <v>21738</v>
      </c>
      <c r="V1729" s="62" t="s">
        <v>52455</v>
      </c>
      <c r="W1729" s="62" t="s">
        <v>21739</v>
      </c>
      <c r="X1729" s="62" t="s">
        <v>21740</v>
      </c>
      <c r="Y1729" s="62" t="s">
        <v>21741</v>
      </c>
      <c r="Z1729" s="62" t="s">
        <v>21742</v>
      </c>
      <c r="AA1729" s="62" t="s">
        <v>52484</v>
      </c>
      <c r="AB1729" s="62" t="s">
        <v>21743</v>
      </c>
      <c r="AC1729" s="62" t="s">
        <v>21744</v>
      </c>
      <c r="AD1729" s="62" t="s">
        <v>21745</v>
      </c>
    </row>
    <row r="1730" spans="1:30" x14ac:dyDescent="0.25">
      <c r="A1730" s="62" t="s">
        <v>109</v>
      </c>
      <c r="C1730" s="62" t="s">
        <v>21746</v>
      </c>
      <c r="F1730" s="62" t="s">
        <v>142</v>
      </c>
      <c r="G1730" s="62" t="s">
        <v>52369</v>
      </c>
      <c r="J1730" s="62" t="s">
        <v>21747</v>
      </c>
      <c r="K1730" s="62" t="s">
        <v>52398</v>
      </c>
      <c r="L1730" s="62" t="s">
        <v>21748</v>
      </c>
      <c r="M1730" s="62" t="s">
        <v>21749</v>
      </c>
      <c r="N1730" s="62" t="s">
        <v>21750</v>
      </c>
      <c r="O1730" s="62" t="s">
        <v>21751</v>
      </c>
      <c r="P1730" s="62" t="s">
        <v>52427</v>
      </c>
      <c r="Q1730" s="62" t="s">
        <v>21752</v>
      </c>
      <c r="R1730" s="62" t="s">
        <v>21753</v>
      </c>
      <c r="S1730" s="62" t="s">
        <v>21754</v>
      </c>
      <c r="U1730" s="62" t="s">
        <v>21755</v>
      </c>
      <c r="V1730" s="62" t="s">
        <v>52456</v>
      </c>
      <c r="W1730" s="62" t="s">
        <v>21756</v>
      </c>
      <c r="X1730" s="62" t="s">
        <v>21757</v>
      </c>
      <c r="Y1730" s="62" t="s">
        <v>21758</v>
      </c>
      <c r="Z1730" s="62" t="s">
        <v>21759</v>
      </c>
      <c r="AA1730" s="62" t="s">
        <v>52485</v>
      </c>
      <c r="AB1730" s="62" t="s">
        <v>21760</v>
      </c>
      <c r="AC1730" s="62" t="s">
        <v>21761</v>
      </c>
      <c r="AD1730" s="62" t="s">
        <v>21762</v>
      </c>
    </row>
    <row r="1731" spans="1:30" x14ac:dyDescent="0.25">
      <c r="A1731" s="62" t="s">
        <v>109</v>
      </c>
      <c r="C1731" s="62" t="s">
        <v>21763</v>
      </c>
      <c r="F1731" s="62" t="s">
        <v>802</v>
      </c>
      <c r="G1731" s="62" t="s">
        <v>52370</v>
      </c>
      <c r="J1731" s="62" t="s">
        <v>21764</v>
      </c>
      <c r="K1731" s="62" t="s">
        <v>52399</v>
      </c>
      <c r="L1731" s="62" t="s">
        <v>21765</v>
      </c>
      <c r="M1731" s="62" t="s">
        <v>21766</v>
      </c>
      <c r="N1731" s="62" t="s">
        <v>21767</v>
      </c>
      <c r="O1731" s="62" t="s">
        <v>21768</v>
      </c>
      <c r="P1731" s="62" t="s">
        <v>52428</v>
      </c>
      <c r="Q1731" s="62" t="s">
        <v>21769</v>
      </c>
      <c r="R1731" s="62" t="s">
        <v>21770</v>
      </c>
      <c r="S1731" s="62" t="s">
        <v>21771</v>
      </c>
      <c r="U1731" s="62" t="s">
        <v>21772</v>
      </c>
      <c r="V1731" s="62" t="s">
        <v>52457</v>
      </c>
      <c r="W1731" s="62" t="s">
        <v>21773</v>
      </c>
      <c r="X1731" s="62" t="s">
        <v>21774</v>
      </c>
      <c r="Y1731" s="62" t="s">
        <v>21775</v>
      </c>
      <c r="Z1731" s="62" t="s">
        <v>21776</v>
      </c>
      <c r="AA1731" s="62" t="s">
        <v>52486</v>
      </c>
      <c r="AB1731" s="62" t="s">
        <v>21777</v>
      </c>
      <c r="AC1731" s="62" t="s">
        <v>21778</v>
      </c>
      <c r="AD1731" s="62" t="s">
        <v>21779</v>
      </c>
    </row>
    <row r="1732" spans="1:30" x14ac:dyDescent="0.25">
      <c r="A1732" s="62" t="s">
        <v>109</v>
      </c>
      <c r="C1732" s="62" t="s">
        <v>21780</v>
      </c>
      <c r="F1732" s="62" t="s">
        <v>827</v>
      </c>
      <c r="G1732" s="62" t="s">
        <v>52371</v>
      </c>
      <c r="J1732" s="62" t="s">
        <v>21781</v>
      </c>
      <c r="K1732" s="62" t="s">
        <v>52400</v>
      </c>
      <c r="L1732" s="62" t="s">
        <v>21782</v>
      </c>
      <c r="M1732" s="62" t="s">
        <v>21783</v>
      </c>
      <c r="N1732" s="62" t="s">
        <v>21784</v>
      </c>
      <c r="O1732" s="62" t="s">
        <v>21785</v>
      </c>
      <c r="P1732" s="62" t="s">
        <v>52429</v>
      </c>
      <c r="Q1732" s="62" t="s">
        <v>21786</v>
      </c>
      <c r="R1732" s="62" t="s">
        <v>21787</v>
      </c>
      <c r="S1732" s="62" t="s">
        <v>21788</v>
      </c>
      <c r="U1732" s="62" t="s">
        <v>21789</v>
      </c>
      <c r="V1732" s="62" t="s">
        <v>52458</v>
      </c>
      <c r="W1732" s="62" t="s">
        <v>21790</v>
      </c>
      <c r="X1732" s="62" t="s">
        <v>21791</v>
      </c>
      <c r="Y1732" s="62" t="s">
        <v>21792</v>
      </c>
      <c r="Z1732" s="62" t="s">
        <v>21793</v>
      </c>
      <c r="AA1732" s="62" t="s">
        <v>52487</v>
      </c>
      <c r="AB1732" s="62" t="s">
        <v>21794</v>
      </c>
      <c r="AC1732" s="62" t="s">
        <v>21795</v>
      </c>
      <c r="AD1732" s="62" t="s">
        <v>21796</v>
      </c>
    </row>
    <row r="1733" spans="1:30" x14ac:dyDescent="0.25">
      <c r="A1733" s="62" t="s">
        <v>109</v>
      </c>
      <c r="C1733" s="62" t="s">
        <v>21797</v>
      </c>
      <c r="F1733" s="62" t="s">
        <v>837</v>
      </c>
      <c r="G1733" s="62" t="s">
        <v>52372</v>
      </c>
      <c r="J1733" s="62" t="s">
        <v>21798</v>
      </c>
      <c r="K1733" s="62" t="s">
        <v>52401</v>
      </c>
      <c r="L1733" s="62" t="s">
        <v>21799</v>
      </c>
      <c r="M1733" s="62" t="s">
        <v>21800</v>
      </c>
      <c r="N1733" s="62" t="s">
        <v>21801</v>
      </c>
      <c r="O1733" s="62" t="s">
        <v>21802</v>
      </c>
      <c r="P1733" s="62" t="s">
        <v>52430</v>
      </c>
      <c r="Q1733" s="62" t="s">
        <v>21803</v>
      </c>
      <c r="R1733" s="62" t="s">
        <v>21804</v>
      </c>
      <c r="S1733" s="62" t="s">
        <v>21805</v>
      </c>
      <c r="U1733" s="62" t="s">
        <v>21806</v>
      </c>
      <c r="V1733" s="62" t="s">
        <v>52459</v>
      </c>
      <c r="W1733" s="62" t="s">
        <v>21807</v>
      </c>
      <c r="X1733" s="62" t="s">
        <v>21808</v>
      </c>
      <c r="Y1733" s="62" t="s">
        <v>21809</v>
      </c>
      <c r="Z1733" s="62" t="s">
        <v>21810</v>
      </c>
      <c r="AA1733" s="62" t="s">
        <v>52488</v>
      </c>
      <c r="AB1733" s="62" t="s">
        <v>21811</v>
      </c>
      <c r="AC1733" s="62" t="s">
        <v>21812</v>
      </c>
      <c r="AD1733" s="62" t="s">
        <v>21813</v>
      </c>
    </row>
    <row r="1734" spans="1:30" x14ac:dyDescent="0.25">
      <c r="A1734" s="62" t="s">
        <v>109</v>
      </c>
      <c r="C1734" s="62" t="s">
        <v>21814</v>
      </c>
      <c r="F1734" s="62" t="s">
        <v>889</v>
      </c>
      <c r="G1734" s="62" t="s">
        <v>52373</v>
      </c>
      <c r="J1734" s="62" t="s">
        <v>21815</v>
      </c>
      <c r="K1734" s="62" t="s">
        <v>52402</v>
      </c>
      <c r="L1734" s="62" t="s">
        <v>21816</v>
      </c>
      <c r="M1734" s="62" t="s">
        <v>21817</v>
      </c>
      <c r="N1734" s="62" t="s">
        <v>21818</v>
      </c>
      <c r="O1734" s="62" t="s">
        <v>21819</v>
      </c>
      <c r="P1734" s="62" t="s">
        <v>52431</v>
      </c>
      <c r="Q1734" s="62" t="s">
        <v>21820</v>
      </c>
      <c r="R1734" s="62" t="s">
        <v>21821</v>
      </c>
      <c r="S1734" s="62" t="s">
        <v>21822</v>
      </c>
      <c r="U1734" s="62" t="s">
        <v>21823</v>
      </c>
      <c r="V1734" s="62" t="s">
        <v>52460</v>
      </c>
      <c r="W1734" s="62" t="s">
        <v>21824</v>
      </c>
      <c r="X1734" s="62" t="s">
        <v>21825</v>
      </c>
      <c r="Y1734" s="62" t="s">
        <v>21826</v>
      </c>
      <c r="Z1734" s="62" t="s">
        <v>21827</v>
      </c>
      <c r="AA1734" s="62" t="s">
        <v>52489</v>
      </c>
      <c r="AB1734" s="62" t="s">
        <v>21828</v>
      </c>
      <c r="AC1734" s="62" t="s">
        <v>21829</v>
      </c>
      <c r="AD1734" s="62" t="s">
        <v>21830</v>
      </c>
    </row>
    <row r="1735" spans="1:30" x14ac:dyDescent="0.25">
      <c r="A1735" s="62" t="s">
        <v>109</v>
      </c>
      <c r="C1735" s="62" t="s">
        <v>21831</v>
      </c>
      <c r="F1735" s="62" t="s">
        <v>915</v>
      </c>
      <c r="G1735" s="62" t="s">
        <v>52374</v>
      </c>
      <c r="J1735" s="62" t="s">
        <v>21832</v>
      </c>
      <c r="K1735" s="62" t="s">
        <v>52403</v>
      </c>
      <c r="L1735" s="62" t="s">
        <v>21833</v>
      </c>
      <c r="M1735" s="62" t="s">
        <v>21834</v>
      </c>
      <c r="N1735" s="62" t="s">
        <v>21835</v>
      </c>
      <c r="O1735" s="62" t="s">
        <v>21836</v>
      </c>
      <c r="P1735" s="62" t="s">
        <v>52432</v>
      </c>
      <c r="Q1735" s="62" t="s">
        <v>21837</v>
      </c>
      <c r="R1735" s="62" t="s">
        <v>21838</v>
      </c>
      <c r="S1735" s="62" t="s">
        <v>21839</v>
      </c>
      <c r="U1735" s="62" t="s">
        <v>21840</v>
      </c>
      <c r="V1735" s="62" t="s">
        <v>52461</v>
      </c>
      <c r="W1735" s="62" t="s">
        <v>21841</v>
      </c>
      <c r="X1735" s="62" t="s">
        <v>21842</v>
      </c>
      <c r="Y1735" s="62" t="s">
        <v>21843</v>
      </c>
      <c r="Z1735" s="62" t="s">
        <v>21844</v>
      </c>
      <c r="AA1735" s="62" t="s">
        <v>52490</v>
      </c>
      <c r="AB1735" s="62" t="s">
        <v>21845</v>
      </c>
      <c r="AC1735" s="62" t="s">
        <v>21846</v>
      </c>
      <c r="AD1735" s="62" t="s">
        <v>21847</v>
      </c>
    </row>
    <row r="1736" spans="1:30" x14ac:dyDescent="0.25">
      <c r="A1736" s="62" t="s">
        <v>109</v>
      </c>
      <c r="C1736" s="62" t="s">
        <v>21848</v>
      </c>
      <c r="F1736" s="62" t="s">
        <v>925</v>
      </c>
      <c r="G1736" s="62" t="s">
        <v>52375</v>
      </c>
      <c r="J1736" s="62" t="s">
        <v>21849</v>
      </c>
      <c r="K1736" s="62" t="s">
        <v>52404</v>
      </c>
      <c r="L1736" s="62" t="s">
        <v>21850</v>
      </c>
      <c r="M1736" s="62" t="s">
        <v>21851</v>
      </c>
      <c r="N1736" s="62" t="s">
        <v>21852</v>
      </c>
      <c r="O1736" s="62" t="s">
        <v>21853</v>
      </c>
      <c r="P1736" s="62" t="s">
        <v>52433</v>
      </c>
      <c r="Q1736" s="62" t="s">
        <v>21854</v>
      </c>
      <c r="R1736" s="62" t="s">
        <v>21855</v>
      </c>
      <c r="S1736" s="62" t="s">
        <v>21856</v>
      </c>
      <c r="U1736" s="62" t="s">
        <v>21857</v>
      </c>
      <c r="V1736" s="62" t="s">
        <v>52462</v>
      </c>
      <c r="W1736" s="62" t="s">
        <v>21858</v>
      </c>
      <c r="X1736" s="62" t="s">
        <v>21859</v>
      </c>
      <c r="Y1736" s="62" t="s">
        <v>21860</v>
      </c>
      <c r="Z1736" s="62" t="s">
        <v>21861</v>
      </c>
      <c r="AA1736" s="62" t="s">
        <v>52491</v>
      </c>
      <c r="AB1736" s="62" t="s">
        <v>21862</v>
      </c>
      <c r="AC1736" s="62" t="s">
        <v>21863</v>
      </c>
      <c r="AD1736" s="62" t="s">
        <v>21864</v>
      </c>
    </row>
    <row r="1737" spans="1:30" x14ac:dyDescent="0.25">
      <c r="A1737" s="62" t="s">
        <v>109</v>
      </c>
      <c r="C1737" s="62" t="s">
        <v>21865</v>
      </c>
      <c r="F1737" s="62" t="s">
        <v>943</v>
      </c>
      <c r="G1737" s="62" t="s">
        <v>52376</v>
      </c>
      <c r="J1737" s="62" t="s">
        <v>21866</v>
      </c>
      <c r="K1737" s="62" t="s">
        <v>52405</v>
      </c>
      <c r="L1737" s="62" t="s">
        <v>21867</v>
      </c>
      <c r="M1737" s="62" t="s">
        <v>21868</v>
      </c>
      <c r="N1737" s="62" t="s">
        <v>21869</v>
      </c>
      <c r="O1737" s="62" t="s">
        <v>21870</v>
      </c>
      <c r="P1737" s="62" t="s">
        <v>52434</v>
      </c>
      <c r="Q1737" s="62" t="s">
        <v>21871</v>
      </c>
      <c r="R1737" s="62" t="s">
        <v>21872</v>
      </c>
      <c r="S1737" s="62" t="s">
        <v>21873</v>
      </c>
      <c r="U1737" s="62" t="s">
        <v>21874</v>
      </c>
      <c r="V1737" s="62" t="s">
        <v>52463</v>
      </c>
      <c r="W1737" s="62" t="s">
        <v>21875</v>
      </c>
      <c r="X1737" s="62" t="s">
        <v>21876</v>
      </c>
      <c r="Y1737" s="62" t="s">
        <v>21877</v>
      </c>
      <c r="Z1737" s="62" t="s">
        <v>21878</v>
      </c>
      <c r="AA1737" s="62" t="s">
        <v>52492</v>
      </c>
      <c r="AB1737" s="62" t="s">
        <v>21879</v>
      </c>
      <c r="AC1737" s="62" t="s">
        <v>21880</v>
      </c>
      <c r="AD1737" s="62" t="s">
        <v>21881</v>
      </c>
    </row>
    <row r="1738" spans="1:30" x14ac:dyDescent="0.25">
      <c r="A1738" s="62" t="s">
        <v>109</v>
      </c>
      <c r="C1738" s="62" t="s">
        <v>21882</v>
      </c>
      <c r="F1738" s="62" t="s">
        <v>976</v>
      </c>
      <c r="G1738" s="62" t="s">
        <v>52377</v>
      </c>
      <c r="J1738" s="62" t="s">
        <v>21883</v>
      </c>
      <c r="K1738" s="62" t="s">
        <v>52406</v>
      </c>
      <c r="L1738" s="62" t="s">
        <v>21884</v>
      </c>
      <c r="M1738" s="62" t="s">
        <v>21885</v>
      </c>
      <c r="N1738" s="62" t="s">
        <v>21886</v>
      </c>
      <c r="O1738" s="62" t="s">
        <v>21887</v>
      </c>
      <c r="P1738" s="62" t="s">
        <v>52435</v>
      </c>
      <c r="Q1738" s="62" t="s">
        <v>21888</v>
      </c>
      <c r="R1738" s="62" t="s">
        <v>21889</v>
      </c>
      <c r="S1738" s="62" t="s">
        <v>21890</v>
      </c>
      <c r="U1738" s="62" t="s">
        <v>21891</v>
      </c>
      <c r="V1738" s="62" t="s">
        <v>52464</v>
      </c>
      <c r="W1738" s="62" t="s">
        <v>21892</v>
      </c>
      <c r="X1738" s="62" t="s">
        <v>21893</v>
      </c>
      <c r="Y1738" s="62" t="s">
        <v>21894</v>
      </c>
      <c r="Z1738" s="62" t="s">
        <v>21895</v>
      </c>
      <c r="AA1738" s="62" t="s">
        <v>52493</v>
      </c>
      <c r="AB1738" s="62" t="s">
        <v>21896</v>
      </c>
      <c r="AC1738" s="62" t="s">
        <v>21897</v>
      </c>
      <c r="AD1738" s="62" t="s">
        <v>21898</v>
      </c>
    </row>
    <row r="1739" spans="1:30" x14ac:dyDescent="0.25">
      <c r="A1739" s="62" t="s">
        <v>109</v>
      </c>
      <c r="C1739" s="62" t="s">
        <v>21899</v>
      </c>
      <c r="F1739" s="62" t="s">
        <v>985</v>
      </c>
      <c r="G1739" s="62" t="s">
        <v>52378</v>
      </c>
      <c r="J1739" s="62" t="s">
        <v>21900</v>
      </c>
      <c r="K1739" s="62" t="s">
        <v>52407</v>
      </c>
      <c r="L1739" s="62" t="s">
        <v>21901</v>
      </c>
      <c r="M1739" s="62" t="s">
        <v>21902</v>
      </c>
      <c r="N1739" s="62" t="s">
        <v>21903</v>
      </c>
      <c r="O1739" s="62" t="s">
        <v>21904</v>
      </c>
      <c r="P1739" s="62" t="s">
        <v>52436</v>
      </c>
      <c r="Q1739" s="62" t="s">
        <v>21905</v>
      </c>
      <c r="R1739" s="62" t="s">
        <v>21906</v>
      </c>
      <c r="S1739" s="62" t="s">
        <v>21907</v>
      </c>
      <c r="U1739" s="62" t="s">
        <v>21908</v>
      </c>
      <c r="V1739" s="62" t="s">
        <v>52465</v>
      </c>
      <c r="W1739" s="62" t="s">
        <v>21909</v>
      </c>
      <c r="X1739" s="62" t="s">
        <v>21910</v>
      </c>
      <c r="Y1739" s="62" t="s">
        <v>21911</v>
      </c>
      <c r="Z1739" s="62" t="s">
        <v>21912</v>
      </c>
      <c r="AA1739" s="62" t="s">
        <v>52494</v>
      </c>
      <c r="AB1739" s="62" t="s">
        <v>21913</v>
      </c>
      <c r="AC1739" s="62" t="s">
        <v>21914</v>
      </c>
      <c r="AD1739" s="62" t="s">
        <v>21915</v>
      </c>
    </row>
    <row r="1740" spans="1:30" x14ac:dyDescent="0.25">
      <c r="A1740" s="62" t="s">
        <v>109</v>
      </c>
      <c r="C1740" s="62" t="s">
        <v>21916</v>
      </c>
      <c r="F1740" s="62" t="s">
        <v>1002</v>
      </c>
      <c r="G1740" s="62" t="s">
        <v>52379</v>
      </c>
      <c r="J1740" s="62" t="s">
        <v>21917</v>
      </c>
      <c r="K1740" s="62" t="s">
        <v>52408</v>
      </c>
      <c r="L1740" s="62" t="s">
        <v>21918</v>
      </c>
      <c r="M1740" s="62" t="s">
        <v>21919</v>
      </c>
      <c r="N1740" s="62" t="s">
        <v>21920</v>
      </c>
      <c r="O1740" s="62" t="s">
        <v>21921</v>
      </c>
      <c r="P1740" s="62" t="s">
        <v>52437</v>
      </c>
      <c r="Q1740" s="62" t="s">
        <v>21922</v>
      </c>
      <c r="R1740" s="62" t="s">
        <v>21923</v>
      </c>
      <c r="S1740" s="62" t="s">
        <v>21924</v>
      </c>
      <c r="U1740" s="62" t="s">
        <v>21925</v>
      </c>
      <c r="V1740" s="62" t="s">
        <v>52466</v>
      </c>
      <c r="W1740" s="62" t="s">
        <v>21926</v>
      </c>
      <c r="X1740" s="62" t="s">
        <v>21927</v>
      </c>
      <c r="Y1740" s="62" t="s">
        <v>21928</v>
      </c>
      <c r="Z1740" s="62" t="s">
        <v>21929</v>
      </c>
      <c r="AA1740" s="62" t="s">
        <v>52495</v>
      </c>
      <c r="AB1740" s="62" t="s">
        <v>21930</v>
      </c>
      <c r="AC1740" s="62" t="s">
        <v>21931</v>
      </c>
      <c r="AD1740" s="62" t="s">
        <v>21932</v>
      </c>
    </row>
    <row r="1741" spans="1:30" x14ac:dyDescent="0.25">
      <c r="A1741" s="62" t="s">
        <v>109</v>
      </c>
      <c r="C1741" s="62" t="s">
        <v>21933</v>
      </c>
      <c r="F1741" s="62" t="s">
        <v>1073</v>
      </c>
      <c r="G1741" s="62" t="s">
        <v>52380</v>
      </c>
      <c r="J1741" s="62" t="s">
        <v>21934</v>
      </c>
      <c r="K1741" s="62" t="s">
        <v>52409</v>
      </c>
      <c r="L1741" s="62" t="s">
        <v>21935</v>
      </c>
      <c r="M1741" s="62" t="s">
        <v>21936</v>
      </c>
      <c r="N1741" s="62" t="s">
        <v>21937</v>
      </c>
      <c r="O1741" s="62" t="s">
        <v>21938</v>
      </c>
      <c r="P1741" s="62" t="s">
        <v>52438</v>
      </c>
      <c r="Q1741" s="62" t="s">
        <v>21939</v>
      </c>
      <c r="R1741" s="62" t="s">
        <v>21940</v>
      </c>
      <c r="S1741" s="62" t="s">
        <v>21941</v>
      </c>
      <c r="U1741" s="62" t="s">
        <v>21942</v>
      </c>
      <c r="V1741" s="62" t="s">
        <v>52467</v>
      </c>
      <c r="W1741" s="62" t="s">
        <v>21943</v>
      </c>
      <c r="X1741" s="62" t="s">
        <v>21944</v>
      </c>
      <c r="Y1741" s="62" t="s">
        <v>21945</v>
      </c>
      <c r="Z1741" s="62" t="s">
        <v>21946</v>
      </c>
      <c r="AA1741" s="62" t="s">
        <v>52496</v>
      </c>
      <c r="AB1741" s="62" t="s">
        <v>21947</v>
      </c>
      <c r="AC1741" s="62" t="s">
        <v>21948</v>
      </c>
      <c r="AD1741" s="62" t="s">
        <v>21949</v>
      </c>
    </row>
    <row r="1742" spans="1:30" x14ac:dyDescent="0.25">
      <c r="A1742" s="62" t="s">
        <v>109</v>
      </c>
      <c r="C1742" s="62" t="s">
        <v>21950</v>
      </c>
      <c r="F1742" s="62" t="s">
        <v>1100</v>
      </c>
      <c r="G1742" s="62" t="s">
        <v>52381</v>
      </c>
      <c r="J1742" s="62" t="s">
        <v>21951</v>
      </c>
      <c r="K1742" s="62" t="s">
        <v>52410</v>
      </c>
      <c r="L1742" s="62" t="s">
        <v>21952</v>
      </c>
      <c r="M1742" s="62" t="s">
        <v>21953</v>
      </c>
      <c r="N1742" s="62" t="s">
        <v>21954</v>
      </c>
      <c r="O1742" s="62" t="s">
        <v>21955</v>
      </c>
      <c r="P1742" s="62" t="s">
        <v>52439</v>
      </c>
      <c r="Q1742" s="62" t="s">
        <v>21956</v>
      </c>
      <c r="R1742" s="62" t="s">
        <v>21957</v>
      </c>
      <c r="S1742" s="62" t="s">
        <v>21958</v>
      </c>
      <c r="U1742" s="62" t="s">
        <v>21959</v>
      </c>
      <c r="V1742" s="62" t="s">
        <v>52468</v>
      </c>
      <c r="W1742" s="62" t="s">
        <v>21960</v>
      </c>
      <c r="X1742" s="62" t="s">
        <v>21961</v>
      </c>
      <c r="Y1742" s="62" t="s">
        <v>21962</v>
      </c>
      <c r="Z1742" s="62" t="s">
        <v>21963</v>
      </c>
      <c r="AA1742" s="62" t="s">
        <v>52497</v>
      </c>
      <c r="AB1742" s="62" t="s">
        <v>21964</v>
      </c>
      <c r="AC1742" s="62" t="s">
        <v>21965</v>
      </c>
      <c r="AD1742" s="62" t="s">
        <v>21966</v>
      </c>
    </row>
    <row r="1743" spans="1:30" x14ac:dyDescent="0.25">
      <c r="A1743" s="62" t="s">
        <v>109</v>
      </c>
      <c r="C1743" s="62" t="s">
        <v>21967</v>
      </c>
      <c r="F1743" s="62" t="s">
        <v>1118</v>
      </c>
      <c r="G1743" s="62" t="s">
        <v>52382</v>
      </c>
      <c r="J1743" s="62" t="s">
        <v>21968</v>
      </c>
      <c r="K1743" s="62" t="s">
        <v>52411</v>
      </c>
      <c r="L1743" s="62" t="s">
        <v>21969</v>
      </c>
      <c r="M1743" s="62" t="s">
        <v>21970</v>
      </c>
      <c r="N1743" s="62" t="s">
        <v>21971</v>
      </c>
      <c r="O1743" s="62" t="s">
        <v>21972</v>
      </c>
      <c r="P1743" s="62" t="s">
        <v>52440</v>
      </c>
      <c r="Q1743" s="62" t="s">
        <v>21973</v>
      </c>
      <c r="R1743" s="62" t="s">
        <v>21974</v>
      </c>
      <c r="S1743" s="62" t="s">
        <v>21975</v>
      </c>
      <c r="U1743" s="62" t="s">
        <v>21976</v>
      </c>
      <c r="V1743" s="62" t="s">
        <v>52469</v>
      </c>
      <c r="W1743" s="62" t="s">
        <v>21977</v>
      </c>
      <c r="X1743" s="62" t="s">
        <v>21978</v>
      </c>
      <c r="Y1743" s="62" t="s">
        <v>21979</v>
      </c>
      <c r="Z1743" s="62" t="s">
        <v>21980</v>
      </c>
      <c r="AA1743" s="62" t="s">
        <v>52498</v>
      </c>
      <c r="AB1743" s="62" t="s">
        <v>21981</v>
      </c>
      <c r="AC1743" s="62" t="s">
        <v>21982</v>
      </c>
      <c r="AD1743" s="62" t="s">
        <v>21983</v>
      </c>
    </row>
    <row r="1744" spans="1:30" x14ac:dyDescent="0.25">
      <c r="A1744" s="62" t="s">
        <v>109</v>
      </c>
      <c r="C1744" s="62" t="s">
        <v>21984</v>
      </c>
      <c r="F1744" s="62" t="s">
        <v>1135</v>
      </c>
      <c r="G1744" s="62" t="s">
        <v>52383</v>
      </c>
      <c r="J1744" s="62" t="s">
        <v>21985</v>
      </c>
      <c r="K1744" s="62" t="s">
        <v>52412</v>
      </c>
      <c r="L1744" s="62" t="s">
        <v>21986</v>
      </c>
      <c r="M1744" s="62" t="s">
        <v>21987</v>
      </c>
      <c r="N1744" s="62" t="s">
        <v>21988</v>
      </c>
      <c r="O1744" s="62" t="s">
        <v>21989</v>
      </c>
      <c r="P1744" s="62" t="s">
        <v>52441</v>
      </c>
      <c r="Q1744" s="62" t="s">
        <v>21990</v>
      </c>
      <c r="R1744" s="62" t="s">
        <v>21991</v>
      </c>
      <c r="S1744" s="62" t="s">
        <v>21992</v>
      </c>
      <c r="U1744" s="62" t="s">
        <v>21993</v>
      </c>
      <c r="V1744" s="62" t="s">
        <v>52470</v>
      </c>
      <c r="W1744" s="62" t="s">
        <v>21994</v>
      </c>
      <c r="X1744" s="62" t="s">
        <v>21995</v>
      </c>
      <c r="Y1744" s="62" t="s">
        <v>21996</v>
      </c>
      <c r="Z1744" s="62" t="s">
        <v>21997</v>
      </c>
      <c r="AA1744" s="62" t="s">
        <v>52499</v>
      </c>
      <c r="AB1744" s="62" t="s">
        <v>21998</v>
      </c>
      <c r="AC1744" s="62" t="s">
        <v>21999</v>
      </c>
      <c r="AD1744" s="62" t="s">
        <v>22000</v>
      </c>
    </row>
    <row r="1745" spans="1:30" x14ac:dyDescent="0.25">
      <c r="A1745" s="62" t="s">
        <v>109</v>
      </c>
      <c r="C1745" s="62" t="s">
        <v>22001</v>
      </c>
      <c r="F1745" s="62" t="s">
        <v>1152</v>
      </c>
      <c r="G1745" s="62" t="s">
        <v>52384</v>
      </c>
      <c r="J1745" s="62" t="s">
        <v>22002</v>
      </c>
      <c r="K1745" s="62" t="s">
        <v>52413</v>
      </c>
      <c r="L1745" s="62" t="s">
        <v>22003</v>
      </c>
      <c r="M1745" s="62" t="s">
        <v>22004</v>
      </c>
      <c r="N1745" s="62" t="s">
        <v>22005</v>
      </c>
      <c r="O1745" s="62" t="s">
        <v>22006</v>
      </c>
      <c r="P1745" s="62" t="s">
        <v>52442</v>
      </c>
      <c r="Q1745" s="62" t="s">
        <v>22007</v>
      </c>
      <c r="R1745" s="62" t="s">
        <v>22008</v>
      </c>
      <c r="S1745" s="62" t="s">
        <v>22009</v>
      </c>
      <c r="U1745" s="62" t="s">
        <v>22010</v>
      </c>
      <c r="V1745" s="62" t="s">
        <v>52471</v>
      </c>
      <c r="W1745" s="62" t="s">
        <v>22011</v>
      </c>
      <c r="X1745" s="62" t="s">
        <v>22012</v>
      </c>
      <c r="Y1745" s="62" t="s">
        <v>22013</v>
      </c>
      <c r="Z1745" s="62" t="s">
        <v>22014</v>
      </c>
      <c r="AA1745" s="62" t="s">
        <v>52500</v>
      </c>
      <c r="AB1745" s="62" t="s">
        <v>22015</v>
      </c>
      <c r="AC1745" s="62" t="s">
        <v>22016</v>
      </c>
      <c r="AD1745" s="62" t="s">
        <v>22017</v>
      </c>
    </row>
    <row r="1746" spans="1:30" x14ac:dyDescent="0.25">
      <c r="A1746" s="62" t="s">
        <v>109</v>
      </c>
      <c r="C1746" s="62" t="s">
        <v>22018</v>
      </c>
      <c r="F1746" s="62" t="s">
        <v>1688</v>
      </c>
      <c r="G1746" s="62" t="s">
        <v>52385</v>
      </c>
      <c r="J1746" s="62" t="s">
        <v>22019</v>
      </c>
      <c r="K1746" s="62" t="s">
        <v>52414</v>
      </c>
      <c r="L1746" s="62" t="s">
        <v>22020</v>
      </c>
      <c r="M1746" s="62" t="s">
        <v>22021</v>
      </c>
      <c r="N1746" s="62" t="s">
        <v>22022</v>
      </c>
      <c r="O1746" s="62" t="s">
        <v>22023</v>
      </c>
      <c r="P1746" s="62" t="s">
        <v>52443</v>
      </c>
      <c r="Q1746" s="62" t="s">
        <v>22024</v>
      </c>
      <c r="R1746" s="62" t="s">
        <v>22025</v>
      </c>
      <c r="S1746" s="62" t="s">
        <v>22026</v>
      </c>
      <c r="U1746" s="62" t="s">
        <v>22027</v>
      </c>
      <c r="V1746" s="62" t="s">
        <v>52472</v>
      </c>
      <c r="W1746" s="62" t="s">
        <v>22028</v>
      </c>
      <c r="X1746" s="62" t="s">
        <v>22029</v>
      </c>
      <c r="Y1746" s="62" t="s">
        <v>22030</v>
      </c>
      <c r="Z1746" s="62" t="s">
        <v>22031</v>
      </c>
      <c r="AA1746" s="62" t="s">
        <v>52501</v>
      </c>
      <c r="AB1746" s="62" t="s">
        <v>22032</v>
      </c>
      <c r="AC1746" s="62" t="s">
        <v>22033</v>
      </c>
      <c r="AD1746" s="62" t="s">
        <v>22034</v>
      </c>
    </row>
    <row r="1747" spans="1:30" x14ac:dyDescent="0.25">
      <c r="A1747" s="62" t="s">
        <v>109</v>
      </c>
      <c r="C1747" s="62" t="s">
        <v>22035</v>
      </c>
      <c r="F1747" s="62" t="s">
        <v>1178</v>
      </c>
      <c r="G1747" s="62" t="s">
        <v>52386</v>
      </c>
      <c r="J1747" s="62" t="s">
        <v>22036</v>
      </c>
      <c r="K1747" s="62" t="s">
        <v>52415</v>
      </c>
      <c r="L1747" s="62" t="s">
        <v>22037</v>
      </c>
      <c r="M1747" s="62" t="s">
        <v>22038</v>
      </c>
      <c r="N1747" s="62" t="s">
        <v>22039</v>
      </c>
      <c r="O1747" s="62" t="s">
        <v>22040</v>
      </c>
      <c r="P1747" s="62" t="s">
        <v>52444</v>
      </c>
      <c r="Q1747" s="62" t="s">
        <v>22041</v>
      </c>
      <c r="R1747" s="62" t="s">
        <v>22042</v>
      </c>
      <c r="S1747" s="62" t="s">
        <v>22043</v>
      </c>
      <c r="U1747" s="62" t="s">
        <v>22044</v>
      </c>
      <c r="V1747" s="62" t="s">
        <v>52473</v>
      </c>
      <c r="W1747" s="62" t="s">
        <v>22045</v>
      </c>
      <c r="X1747" s="62" t="s">
        <v>22046</v>
      </c>
      <c r="Y1747" s="62" t="s">
        <v>22047</v>
      </c>
      <c r="Z1747" s="62" t="s">
        <v>22048</v>
      </c>
      <c r="AA1747" s="62" t="s">
        <v>52502</v>
      </c>
      <c r="AB1747" s="62" t="s">
        <v>22049</v>
      </c>
      <c r="AC1747" s="62" t="s">
        <v>22050</v>
      </c>
      <c r="AD1747" s="62" t="s">
        <v>22051</v>
      </c>
    </row>
    <row r="1748" spans="1:30" x14ac:dyDescent="0.25">
      <c r="A1748" s="62" t="s">
        <v>109</v>
      </c>
      <c r="C1748" s="62" t="s">
        <v>22052</v>
      </c>
      <c r="F1748" s="62" t="s">
        <v>1188</v>
      </c>
      <c r="G1748" s="62" t="s">
        <v>52387</v>
      </c>
      <c r="J1748" s="62" t="s">
        <v>22053</v>
      </c>
      <c r="K1748" s="62" t="s">
        <v>52416</v>
      </c>
      <c r="L1748" s="62" t="s">
        <v>22054</v>
      </c>
      <c r="M1748" s="62" t="s">
        <v>22055</v>
      </c>
      <c r="N1748" s="62" t="s">
        <v>22056</v>
      </c>
      <c r="O1748" s="62" t="s">
        <v>22057</v>
      </c>
      <c r="P1748" s="62" t="s">
        <v>52445</v>
      </c>
      <c r="Q1748" s="62" t="s">
        <v>22058</v>
      </c>
      <c r="R1748" s="62" t="s">
        <v>22059</v>
      </c>
      <c r="S1748" s="62" t="s">
        <v>22060</v>
      </c>
      <c r="U1748" s="62" t="s">
        <v>22061</v>
      </c>
      <c r="V1748" s="62" t="s">
        <v>52474</v>
      </c>
      <c r="W1748" s="62" t="s">
        <v>22062</v>
      </c>
      <c r="X1748" s="62" t="s">
        <v>22063</v>
      </c>
      <c r="Y1748" s="62" t="s">
        <v>22064</v>
      </c>
      <c r="Z1748" s="62" t="s">
        <v>22065</v>
      </c>
      <c r="AA1748" s="62" t="s">
        <v>52503</v>
      </c>
      <c r="AB1748" s="62" t="s">
        <v>22066</v>
      </c>
      <c r="AC1748" s="62" t="s">
        <v>22067</v>
      </c>
      <c r="AD1748" s="62" t="s">
        <v>22068</v>
      </c>
    </row>
    <row r="1749" spans="1:30" x14ac:dyDescent="0.25">
      <c r="A1749" s="62" t="s">
        <v>109</v>
      </c>
      <c r="C1749" s="62" t="s">
        <v>22069</v>
      </c>
      <c r="F1749" s="62" t="s">
        <v>1223</v>
      </c>
      <c r="G1749" s="62" t="s">
        <v>52388</v>
      </c>
      <c r="J1749" s="62" t="s">
        <v>22070</v>
      </c>
      <c r="K1749" s="62" t="s">
        <v>52417</v>
      </c>
      <c r="L1749" s="62" t="s">
        <v>22071</v>
      </c>
      <c r="M1749" s="62" t="s">
        <v>22072</v>
      </c>
      <c r="N1749" s="62" t="s">
        <v>22073</v>
      </c>
      <c r="O1749" s="62" t="s">
        <v>22074</v>
      </c>
      <c r="P1749" s="62" t="s">
        <v>52446</v>
      </c>
      <c r="Q1749" s="62" t="s">
        <v>22075</v>
      </c>
      <c r="R1749" s="62" t="s">
        <v>22076</v>
      </c>
      <c r="S1749" s="62" t="s">
        <v>22077</v>
      </c>
      <c r="U1749" s="62" t="s">
        <v>22078</v>
      </c>
      <c r="V1749" s="62" t="s">
        <v>52475</v>
      </c>
      <c r="W1749" s="62" t="s">
        <v>22079</v>
      </c>
      <c r="X1749" s="62" t="s">
        <v>22080</v>
      </c>
      <c r="Y1749" s="62" t="s">
        <v>22081</v>
      </c>
      <c r="Z1749" s="62" t="s">
        <v>22082</v>
      </c>
      <c r="AA1749" s="62" t="s">
        <v>52504</v>
      </c>
      <c r="AB1749" s="62" t="s">
        <v>22083</v>
      </c>
      <c r="AC1749" s="62" t="s">
        <v>22084</v>
      </c>
      <c r="AD1749" s="62" t="s">
        <v>22085</v>
      </c>
    </row>
    <row r="1750" spans="1:30" x14ac:dyDescent="0.25">
      <c r="A1750" s="62" t="s">
        <v>109</v>
      </c>
      <c r="C1750" s="62" t="s">
        <v>22086</v>
      </c>
      <c r="F1750" s="62" t="s">
        <v>1240</v>
      </c>
      <c r="G1750" s="62" t="s">
        <v>52389</v>
      </c>
      <c r="J1750" s="62" t="s">
        <v>22087</v>
      </c>
      <c r="K1750" s="62" t="s">
        <v>52418</v>
      </c>
      <c r="L1750" s="62" t="s">
        <v>22088</v>
      </c>
      <c r="M1750" s="62" t="s">
        <v>22089</v>
      </c>
      <c r="N1750" s="62" t="s">
        <v>22090</v>
      </c>
      <c r="O1750" s="62" t="s">
        <v>22091</v>
      </c>
      <c r="P1750" s="62" t="s">
        <v>52447</v>
      </c>
      <c r="Q1750" s="62" t="s">
        <v>22092</v>
      </c>
      <c r="R1750" s="62" t="s">
        <v>22093</v>
      </c>
      <c r="S1750" s="62" t="s">
        <v>22094</v>
      </c>
      <c r="U1750" s="62" t="s">
        <v>22095</v>
      </c>
      <c r="V1750" s="62" t="s">
        <v>52476</v>
      </c>
      <c r="W1750" s="62" t="s">
        <v>22096</v>
      </c>
      <c r="X1750" s="62" t="s">
        <v>22097</v>
      </c>
      <c r="Y1750" s="62" t="s">
        <v>22098</v>
      </c>
      <c r="Z1750" s="62" t="s">
        <v>22099</v>
      </c>
      <c r="AA1750" s="62" t="s">
        <v>52505</v>
      </c>
      <c r="AB1750" s="62" t="s">
        <v>22100</v>
      </c>
      <c r="AC1750" s="62" t="s">
        <v>22101</v>
      </c>
      <c r="AD1750" s="62" t="s">
        <v>22102</v>
      </c>
    </row>
    <row r="1751" spans="1:30" x14ac:dyDescent="0.25">
      <c r="A1751" s="62" t="s">
        <v>109</v>
      </c>
      <c r="C1751" s="62" t="s">
        <v>22103</v>
      </c>
      <c r="F1751" s="62" t="s">
        <v>1249</v>
      </c>
      <c r="G1751" s="62" t="s">
        <v>52390</v>
      </c>
      <c r="J1751" s="62" t="s">
        <v>22104</v>
      </c>
      <c r="K1751" s="62" t="s">
        <v>52419</v>
      </c>
      <c r="L1751" s="62" t="s">
        <v>22105</v>
      </c>
      <c r="M1751" s="62" t="s">
        <v>22106</v>
      </c>
      <c r="N1751" s="62" t="s">
        <v>22107</v>
      </c>
      <c r="O1751" s="62" t="s">
        <v>22108</v>
      </c>
      <c r="P1751" s="62" t="s">
        <v>52448</v>
      </c>
      <c r="Q1751" s="62" t="s">
        <v>22109</v>
      </c>
      <c r="R1751" s="62" t="s">
        <v>22110</v>
      </c>
      <c r="S1751" s="62" t="s">
        <v>22111</v>
      </c>
      <c r="U1751" s="62" t="s">
        <v>22112</v>
      </c>
      <c r="V1751" s="62" t="s">
        <v>52477</v>
      </c>
      <c r="W1751" s="62" t="s">
        <v>22113</v>
      </c>
      <c r="X1751" s="62" t="s">
        <v>22114</v>
      </c>
      <c r="Y1751" s="62" t="s">
        <v>22115</v>
      </c>
      <c r="Z1751" s="62" t="s">
        <v>22116</v>
      </c>
      <c r="AA1751" s="62" t="s">
        <v>52506</v>
      </c>
      <c r="AB1751" s="62" t="s">
        <v>22117</v>
      </c>
      <c r="AC1751" s="62" t="s">
        <v>22118</v>
      </c>
      <c r="AD1751" s="62" t="s">
        <v>22119</v>
      </c>
    </row>
    <row r="1752" spans="1:30" x14ac:dyDescent="0.25">
      <c r="A1752" s="62" t="s">
        <v>109</v>
      </c>
      <c r="C1752" s="62" t="s">
        <v>22120</v>
      </c>
      <c r="F1752" s="62" t="s">
        <v>1277</v>
      </c>
      <c r="G1752" s="62" t="s">
        <v>52391</v>
      </c>
      <c r="J1752" s="62" t="s">
        <v>22121</v>
      </c>
      <c r="K1752" s="62" t="s">
        <v>52420</v>
      </c>
      <c r="L1752" s="62" t="s">
        <v>22122</v>
      </c>
      <c r="M1752" s="62" t="s">
        <v>22123</v>
      </c>
      <c r="N1752" s="62" t="s">
        <v>22124</v>
      </c>
      <c r="O1752" s="62" t="s">
        <v>22125</v>
      </c>
      <c r="P1752" s="62" t="s">
        <v>52449</v>
      </c>
      <c r="Q1752" s="62" t="s">
        <v>22126</v>
      </c>
      <c r="R1752" s="62" t="s">
        <v>22127</v>
      </c>
      <c r="S1752" s="62" t="s">
        <v>22128</v>
      </c>
      <c r="U1752" s="62" t="s">
        <v>22129</v>
      </c>
      <c r="V1752" s="62" t="s">
        <v>52478</v>
      </c>
      <c r="W1752" s="62" t="s">
        <v>22130</v>
      </c>
      <c r="X1752" s="62" t="s">
        <v>22131</v>
      </c>
      <c r="Y1752" s="62" t="s">
        <v>22132</v>
      </c>
      <c r="Z1752" s="62" t="s">
        <v>22133</v>
      </c>
      <c r="AA1752" s="62" t="s">
        <v>52507</v>
      </c>
      <c r="AB1752" s="62" t="s">
        <v>22134</v>
      </c>
      <c r="AC1752" s="62" t="s">
        <v>22135</v>
      </c>
      <c r="AD1752" s="62" t="s">
        <v>22136</v>
      </c>
    </row>
    <row r="1753" spans="1:30" x14ac:dyDescent="0.25">
      <c r="A1753" s="62" t="s">
        <v>109</v>
      </c>
      <c r="C1753" s="62" t="s">
        <v>22137</v>
      </c>
      <c r="F1753" s="62" t="s">
        <v>1795</v>
      </c>
      <c r="G1753" s="62" t="s">
        <v>52392</v>
      </c>
      <c r="J1753" s="62" t="s">
        <v>22138</v>
      </c>
      <c r="K1753" s="62" t="s">
        <v>52421</v>
      </c>
      <c r="L1753" s="62" t="s">
        <v>22139</v>
      </c>
      <c r="M1753" s="62" t="s">
        <v>22140</v>
      </c>
      <c r="N1753" s="62" t="s">
        <v>22141</v>
      </c>
      <c r="O1753" s="62" t="s">
        <v>22142</v>
      </c>
      <c r="P1753" s="62" t="s">
        <v>52450</v>
      </c>
      <c r="Q1753" s="62" t="s">
        <v>22143</v>
      </c>
      <c r="R1753" s="62" t="s">
        <v>22144</v>
      </c>
      <c r="S1753" s="62" t="s">
        <v>22145</v>
      </c>
      <c r="U1753" s="62" t="s">
        <v>22146</v>
      </c>
      <c r="V1753" s="62" t="s">
        <v>52479</v>
      </c>
      <c r="W1753" s="62" t="s">
        <v>22147</v>
      </c>
      <c r="X1753" s="62" t="s">
        <v>22148</v>
      </c>
      <c r="Y1753" s="62" t="s">
        <v>22149</v>
      </c>
      <c r="Z1753" s="62" t="s">
        <v>22150</v>
      </c>
      <c r="AA1753" s="62" t="s">
        <v>52508</v>
      </c>
      <c r="AB1753" s="62" t="s">
        <v>22151</v>
      </c>
      <c r="AC1753" s="62" t="s">
        <v>22152</v>
      </c>
      <c r="AD1753" s="62" t="s">
        <v>22153</v>
      </c>
    </row>
    <row r="1754" spans="1:30" x14ac:dyDescent="0.25">
      <c r="A1754" s="62" t="s">
        <v>109</v>
      </c>
      <c r="C1754" s="62" t="s">
        <v>22154</v>
      </c>
      <c r="F1754" s="62" t="s">
        <v>1286</v>
      </c>
      <c r="G1754" s="62" t="s">
        <v>52393</v>
      </c>
      <c r="J1754" s="62" t="s">
        <v>22155</v>
      </c>
      <c r="K1754" s="62" t="s">
        <v>52422</v>
      </c>
      <c r="L1754" s="62" t="s">
        <v>22156</v>
      </c>
      <c r="M1754" s="62" t="s">
        <v>22157</v>
      </c>
      <c r="N1754" s="62" t="s">
        <v>22158</v>
      </c>
      <c r="O1754" s="62" t="s">
        <v>22159</v>
      </c>
      <c r="P1754" s="62" t="s">
        <v>52451</v>
      </c>
      <c r="Q1754" s="62" t="s">
        <v>22160</v>
      </c>
      <c r="R1754" s="62" t="s">
        <v>22161</v>
      </c>
      <c r="S1754" s="62" t="s">
        <v>22162</v>
      </c>
      <c r="U1754" s="62" t="s">
        <v>22163</v>
      </c>
      <c r="V1754" s="62" t="s">
        <v>52480</v>
      </c>
      <c r="W1754" s="62" t="s">
        <v>22164</v>
      </c>
      <c r="X1754" s="62" t="s">
        <v>22165</v>
      </c>
      <c r="Y1754" s="62" t="s">
        <v>22166</v>
      </c>
      <c r="Z1754" s="62" t="s">
        <v>22167</v>
      </c>
      <c r="AA1754" s="62" t="s">
        <v>52509</v>
      </c>
      <c r="AB1754" s="62" t="s">
        <v>22168</v>
      </c>
      <c r="AC1754" s="62" t="s">
        <v>22169</v>
      </c>
      <c r="AD1754" s="62" t="s">
        <v>22170</v>
      </c>
    </row>
    <row r="1755" spans="1:30" x14ac:dyDescent="0.25">
      <c r="A1755" s="62" t="s">
        <v>109</v>
      </c>
      <c r="C1755" s="62" t="s">
        <v>22171</v>
      </c>
      <c r="F1755" s="62" t="s">
        <v>1287</v>
      </c>
      <c r="G1755" s="62" t="s">
        <v>52394</v>
      </c>
      <c r="J1755" s="62" t="s">
        <v>22172</v>
      </c>
      <c r="K1755" s="62" t="s">
        <v>52423</v>
      </c>
      <c r="L1755" s="62" t="s">
        <v>22173</v>
      </c>
      <c r="M1755" s="62" t="s">
        <v>22174</v>
      </c>
      <c r="N1755" s="62" t="s">
        <v>22175</v>
      </c>
      <c r="O1755" s="62" t="s">
        <v>22176</v>
      </c>
      <c r="P1755" s="62" t="s">
        <v>52452</v>
      </c>
      <c r="Q1755" s="62" t="s">
        <v>22177</v>
      </c>
      <c r="R1755" s="62" t="s">
        <v>22178</v>
      </c>
      <c r="S1755" s="62" t="s">
        <v>22179</v>
      </c>
      <c r="U1755" s="62" t="s">
        <v>22180</v>
      </c>
      <c r="V1755" s="62" t="s">
        <v>52481</v>
      </c>
      <c r="W1755" s="62" t="s">
        <v>22181</v>
      </c>
      <c r="X1755" s="62" t="s">
        <v>22182</v>
      </c>
      <c r="Y1755" s="62" t="s">
        <v>22183</v>
      </c>
      <c r="Z1755" s="62" t="s">
        <v>22184</v>
      </c>
      <c r="AA1755" s="62" t="s">
        <v>52510</v>
      </c>
      <c r="AB1755" s="62" t="s">
        <v>22185</v>
      </c>
      <c r="AC1755" s="62" t="s">
        <v>22186</v>
      </c>
      <c r="AD1755" s="62" t="s">
        <v>22187</v>
      </c>
    </row>
    <row r="1756" spans="1:30" x14ac:dyDescent="0.25">
      <c r="A1756" s="62" t="s">
        <v>109</v>
      </c>
      <c r="C1756" s="62" t="s">
        <v>22188</v>
      </c>
      <c r="F1756" s="62" t="s">
        <v>1797</v>
      </c>
      <c r="G1756" s="62" t="s">
        <v>52395</v>
      </c>
      <c r="J1756" s="62" t="s">
        <v>22189</v>
      </c>
      <c r="K1756" s="62" t="s">
        <v>52424</v>
      </c>
      <c r="L1756" s="62" t="s">
        <v>22190</v>
      </c>
      <c r="M1756" s="62" t="s">
        <v>22191</v>
      </c>
      <c r="N1756" s="62" t="s">
        <v>22192</v>
      </c>
      <c r="O1756" s="62" t="s">
        <v>22193</v>
      </c>
      <c r="P1756" s="62" t="s">
        <v>52453</v>
      </c>
      <c r="Q1756" s="62" t="s">
        <v>22194</v>
      </c>
      <c r="R1756" s="62" t="s">
        <v>22195</v>
      </c>
      <c r="S1756" s="62" t="s">
        <v>22196</v>
      </c>
      <c r="U1756" s="62" t="s">
        <v>22197</v>
      </c>
      <c r="V1756" s="62" t="s">
        <v>52482</v>
      </c>
      <c r="W1756" s="62" t="s">
        <v>22198</v>
      </c>
      <c r="X1756" s="62" t="s">
        <v>22199</v>
      </c>
      <c r="Y1756" s="62" t="s">
        <v>22200</v>
      </c>
      <c r="Z1756" s="62" t="s">
        <v>22201</v>
      </c>
      <c r="AA1756" s="62" t="s">
        <v>52511</v>
      </c>
      <c r="AB1756" s="62" t="s">
        <v>22202</v>
      </c>
      <c r="AC1756" s="62" t="s">
        <v>22203</v>
      </c>
      <c r="AD1756" s="62" t="s">
        <v>22204</v>
      </c>
    </row>
    <row r="1757" spans="1:30" x14ac:dyDescent="0.25">
      <c r="A1757" s="62" t="s">
        <v>109</v>
      </c>
      <c r="C1757" s="62" t="s">
        <v>21729</v>
      </c>
    </row>
    <row r="1758" spans="1:30" x14ac:dyDescent="0.25">
      <c r="A1758" s="62" t="s">
        <v>109</v>
      </c>
      <c r="C1758" s="62" t="s">
        <v>22205</v>
      </c>
      <c r="G1758" s="62" t="s">
        <v>43858</v>
      </c>
      <c r="J1758" s="62" t="s">
        <v>43859</v>
      </c>
      <c r="K1758" s="62" t="s">
        <v>43860</v>
      </c>
      <c r="L1758" s="62" t="s">
        <v>43861</v>
      </c>
      <c r="M1758" s="62" t="s">
        <v>22206</v>
      </c>
      <c r="N1758" s="62" t="s">
        <v>22207</v>
      </c>
      <c r="O1758" s="62" t="s">
        <v>43862</v>
      </c>
      <c r="P1758" s="62" t="s">
        <v>43863</v>
      </c>
      <c r="Q1758" s="62" t="s">
        <v>43864</v>
      </c>
      <c r="R1758" s="62" t="s">
        <v>22208</v>
      </c>
      <c r="S1758" s="62" t="s">
        <v>22209</v>
      </c>
      <c r="U1758" s="62" t="s">
        <v>43865</v>
      </c>
      <c r="V1758" s="62" t="s">
        <v>43866</v>
      </c>
      <c r="W1758" s="62" t="s">
        <v>43867</v>
      </c>
      <c r="X1758" s="62" t="s">
        <v>22210</v>
      </c>
      <c r="Y1758" s="62" t="s">
        <v>22211</v>
      </c>
      <c r="Z1758" s="62" t="s">
        <v>43868</v>
      </c>
      <c r="AA1758" s="62" t="s">
        <v>43869</v>
      </c>
      <c r="AB1758" s="62" t="s">
        <v>43870</v>
      </c>
      <c r="AC1758" s="62" t="s">
        <v>22212</v>
      </c>
      <c r="AD1758" s="62" t="s">
        <v>22213</v>
      </c>
    </row>
    <row r="1759" spans="1:30" x14ac:dyDescent="0.25">
      <c r="A1759" s="62" t="s">
        <v>109</v>
      </c>
    </row>
    <row r="1760" spans="1:30" x14ac:dyDescent="0.25">
      <c r="A1760" s="62" t="s">
        <v>109</v>
      </c>
      <c r="C1760" s="62" t="s">
        <v>43871</v>
      </c>
      <c r="E1760" s="62" t="s">
        <v>28156</v>
      </c>
      <c r="G1760" s="62" t="s">
        <v>43872</v>
      </c>
    </row>
    <row r="1761" spans="1:30" x14ac:dyDescent="0.25">
      <c r="A1761" s="62" t="s">
        <v>109</v>
      </c>
      <c r="C1761" s="62" t="s">
        <v>22214</v>
      </c>
    </row>
    <row r="1762" spans="1:30" x14ac:dyDescent="0.25">
      <c r="A1762" s="62" t="s">
        <v>109</v>
      </c>
      <c r="C1762" s="62" t="s">
        <v>22216</v>
      </c>
      <c r="F1762" s="62" t="s">
        <v>43873</v>
      </c>
      <c r="G1762" s="62" t="s">
        <v>52192</v>
      </c>
      <c r="J1762" s="62" t="s">
        <v>22218</v>
      </c>
      <c r="K1762" s="62" t="s">
        <v>52227</v>
      </c>
      <c r="L1762" s="62" t="s">
        <v>22219</v>
      </c>
      <c r="M1762" s="62" t="s">
        <v>22220</v>
      </c>
      <c r="N1762" s="62" t="s">
        <v>22221</v>
      </c>
      <c r="O1762" s="62" t="s">
        <v>22222</v>
      </c>
      <c r="P1762" s="62" t="s">
        <v>52262</v>
      </c>
      <c r="Q1762" s="62" t="s">
        <v>22223</v>
      </c>
      <c r="R1762" s="62" t="s">
        <v>22224</v>
      </c>
      <c r="S1762" s="62" t="s">
        <v>22225</v>
      </c>
      <c r="U1762" s="62" t="s">
        <v>22226</v>
      </c>
      <c r="V1762" s="62" t="s">
        <v>52297</v>
      </c>
      <c r="W1762" s="62" t="s">
        <v>22227</v>
      </c>
      <c r="X1762" s="62" t="s">
        <v>22228</v>
      </c>
      <c r="Y1762" s="62" t="s">
        <v>22229</v>
      </c>
      <c r="Z1762" s="62" t="s">
        <v>22230</v>
      </c>
      <c r="AA1762" s="62" t="s">
        <v>52332</v>
      </c>
      <c r="AB1762" s="62" t="s">
        <v>22231</v>
      </c>
      <c r="AC1762" s="62" t="s">
        <v>22232</v>
      </c>
      <c r="AD1762" s="62" t="s">
        <v>22233</v>
      </c>
    </row>
    <row r="1763" spans="1:30" x14ac:dyDescent="0.25">
      <c r="A1763" s="62" t="s">
        <v>109</v>
      </c>
      <c r="C1763" s="62" t="s">
        <v>22234</v>
      </c>
      <c r="F1763" s="62" t="s">
        <v>748</v>
      </c>
      <c r="G1763" s="62" t="s">
        <v>52193</v>
      </c>
      <c r="J1763" s="62" t="s">
        <v>22236</v>
      </c>
      <c r="K1763" s="62" t="s">
        <v>52228</v>
      </c>
      <c r="L1763" s="62" t="s">
        <v>22237</v>
      </c>
      <c r="M1763" s="62" t="s">
        <v>22238</v>
      </c>
      <c r="N1763" s="62" t="s">
        <v>22239</v>
      </c>
      <c r="O1763" s="62" t="s">
        <v>22240</v>
      </c>
      <c r="P1763" s="62" t="s">
        <v>52263</v>
      </c>
      <c r="Q1763" s="62" t="s">
        <v>22241</v>
      </c>
      <c r="R1763" s="62" t="s">
        <v>22242</v>
      </c>
      <c r="S1763" s="62" t="s">
        <v>22243</v>
      </c>
      <c r="U1763" s="62" t="s">
        <v>22244</v>
      </c>
      <c r="V1763" s="62" t="s">
        <v>52298</v>
      </c>
      <c r="W1763" s="62" t="s">
        <v>22245</v>
      </c>
      <c r="X1763" s="62" t="s">
        <v>22246</v>
      </c>
      <c r="Y1763" s="62" t="s">
        <v>22247</v>
      </c>
      <c r="Z1763" s="62" t="s">
        <v>22248</v>
      </c>
      <c r="AA1763" s="62" t="s">
        <v>52333</v>
      </c>
      <c r="AB1763" s="62" t="s">
        <v>22249</v>
      </c>
      <c r="AC1763" s="62" t="s">
        <v>22250</v>
      </c>
      <c r="AD1763" s="62" t="s">
        <v>22251</v>
      </c>
    </row>
    <row r="1764" spans="1:30" x14ac:dyDescent="0.25">
      <c r="A1764" s="62" t="s">
        <v>109</v>
      </c>
      <c r="C1764" s="62" t="s">
        <v>22252</v>
      </c>
      <c r="F1764" s="62" t="s">
        <v>758</v>
      </c>
      <c r="G1764" s="62" t="s">
        <v>52194</v>
      </c>
      <c r="J1764" s="62" t="s">
        <v>22254</v>
      </c>
      <c r="K1764" s="62" t="s">
        <v>52229</v>
      </c>
      <c r="L1764" s="62" t="s">
        <v>22255</v>
      </c>
      <c r="M1764" s="62" t="s">
        <v>22256</v>
      </c>
      <c r="N1764" s="62" t="s">
        <v>22257</v>
      </c>
      <c r="O1764" s="62" t="s">
        <v>22258</v>
      </c>
      <c r="P1764" s="62" t="s">
        <v>52264</v>
      </c>
      <c r="Q1764" s="62" t="s">
        <v>22259</v>
      </c>
      <c r="R1764" s="62" t="s">
        <v>22260</v>
      </c>
      <c r="S1764" s="62" t="s">
        <v>22261</v>
      </c>
      <c r="U1764" s="62" t="s">
        <v>22262</v>
      </c>
      <c r="V1764" s="62" t="s">
        <v>52299</v>
      </c>
      <c r="W1764" s="62" t="s">
        <v>22263</v>
      </c>
      <c r="X1764" s="62" t="s">
        <v>22264</v>
      </c>
      <c r="Y1764" s="62" t="s">
        <v>22265</v>
      </c>
      <c r="Z1764" s="62" t="s">
        <v>22266</v>
      </c>
      <c r="AA1764" s="62" t="s">
        <v>52334</v>
      </c>
      <c r="AB1764" s="62" t="s">
        <v>22267</v>
      </c>
      <c r="AC1764" s="62" t="s">
        <v>22268</v>
      </c>
      <c r="AD1764" s="62" t="s">
        <v>22269</v>
      </c>
    </row>
    <row r="1765" spans="1:30" x14ac:dyDescent="0.25">
      <c r="A1765" s="62" t="s">
        <v>109</v>
      </c>
      <c r="C1765" s="62" t="s">
        <v>22270</v>
      </c>
      <c r="F1765" s="62" t="s">
        <v>1359</v>
      </c>
      <c r="G1765" s="62" t="s">
        <v>52195</v>
      </c>
      <c r="J1765" s="62" t="s">
        <v>22272</v>
      </c>
      <c r="K1765" s="62" t="s">
        <v>52230</v>
      </c>
      <c r="L1765" s="62" t="s">
        <v>22273</v>
      </c>
      <c r="M1765" s="62" t="s">
        <v>22274</v>
      </c>
      <c r="N1765" s="62" t="s">
        <v>22275</v>
      </c>
      <c r="O1765" s="62" t="s">
        <v>22276</v>
      </c>
      <c r="P1765" s="62" t="s">
        <v>52265</v>
      </c>
      <c r="Q1765" s="62" t="s">
        <v>22277</v>
      </c>
      <c r="R1765" s="62" t="s">
        <v>22278</v>
      </c>
      <c r="S1765" s="62" t="s">
        <v>22279</v>
      </c>
      <c r="U1765" s="62" t="s">
        <v>22280</v>
      </c>
      <c r="V1765" s="62" t="s">
        <v>52300</v>
      </c>
      <c r="W1765" s="62" t="s">
        <v>22281</v>
      </c>
      <c r="X1765" s="62" t="s">
        <v>22282</v>
      </c>
      <c r="Y1765" s="62" t="s">
        <v>22283</v>
      </c>
      <c r="Z1765" s="62" t="s">
        <v>22284</v>
      </c>
      <c r="AA1765" s="62" t="s">
        <v>52335</v>
      </c>
      <c r="AB1765" s="62" t="s">
        <v>22285</v>
      </c>
      <c r="AC1765" s="62" t="s">
        <v>22286</v>
      </c>
      <c r="AD1765" s="62" t="s">
        <v>22287</v>
      </c>
    </row>
    <row r="1766" spans="1:30" x14ac:dyDescent="0.25">
      <c r="A1766" s="62" t="s">
        <v>109</v>
      </c>
      <c r="C1766" s="62" t="s">
        <v>22288</v>
      </c>
      <c r="F1766" s="62" t="s">
        <v>142</v>
      </c>
      <c r="G1766" s="62" t="s">
        <v>52196</v>
      </c>
      <c r="J1766" s="62" t="s">
        <v>22290</v>
      </c>
      <c r="K1766" s="62" t="s">
        <v>52231</v>
      </c>
      <c r="L1766" s="62" t="s">
        <v>22291</v>
      </c>
      <c r="M1766" s="62" t="s">
        <v>22292</v>
      </c>
      <c r="N1766" s="62" t="s">
        <v>22293</v>
      </c>
      <c r="O1766" s="62" t="s">
        <v>22294</v>
      </c>
      <c r="P1766" s="62" t="s">
        <v>52266</v>
      </c>
      <c r="Q1766" s="62" t="s">
        <v>22295</v>
      </c>
      <c r="R1766" s="62" t="s">
        <v>22296</v>
      </c>
      <c r="S1766" s="62" t="s">
        <v>22297</v>
      </c>
      <c r="U1766" s="62" t="s">
        <v>22298</v>
      </c>
      <c r="V1766" s="62" t="s">
        <v>52301</v>
      </c>
      <c r="W1766" s="62" t="s">
        <v>22299</v>
      </c>
      <c r="X1766" s="62" t="s">
        <v>22300</v>
      </c>
      <c r="Y1766" s="62" t="s">
        <v>22301</v>
      </c>
      <c r="Z1766" s="62" t="s">
        <v>22302</v>
      </c>
      <c r="AA1766" s="62" t="s">
        <v>52336</v>
      </c>
      <c r="AB1766" s="62" t="s">
        <v>22303</v>
      </c>
      <c r="AC1766" s="62" t="s">
        <v>22304</v>
      </c>
      <c r="AD1766" s="62" t="s">
        <v>22305</v>
      </c>
    </row>
    <row r="1767" spans="1:30" x14ac:dyDescent="0.25">
      <c r="A1767" s="62" t="s">
        <v>109</v>
      </c>
      <c r="C1767" s="62" t="s">
        <v>22306</v>
      </c>
      <c r="F1767" s="62" t="s">
        <v>785</v>
      </c>
      <c r="G1767" s="62" t="s">
        <v>52197</v>
      </c>
      <c r="J1767" s="62" t="s">
        <v>22308</v>
      </c>
      <c r="K1767" s="62" t="s">
        <v>52232</v>
      </c>
      <c r="L1767" s="62" t="s">
        <v>22309</v>
      </c>
      <c r="M1767" s="62" t="s">
        <v>22310</v>
      </c>
      <c r="N1767" s="62" t="s">
        <v>22311</v>
      </c>
      <c r="O1767" s="62" t="s">
        <v>22312</v>
      </c>
      <c r="P1767" s="62" t="s">
        <v>52267</v>
      </c>
      <c r="Q1767" s="62" t="s">
        <v>22313</v>
      </c>
      <c r="R1767" s="62" t="s">
        <v>22314</v>
      </c>
      <c r="S1767" s="62" t="s">
        <v>22315</v>
      </c>
      <c r="U1767" s="62" t="s">
        <v>22316</v>
      </c>
      <c r="V1767" s="62" t="s">
        <v>52302</v>
      </c>
      <c r="W1767" s="62" t="s">
        <v>22317</v>
      </c>
      <c r="X1767" s="62" t="s">
        <v>22318</v>
      </c>
      <c r="Y1767" s="62" t="s">
        <v>22319</v>
      </c>
      <c r="Z1767" s="62" t="s">
        <v>22320</v>
      </c>
      <c r="AA1767" s="62" t="s">
        <v>52337</v>
      </c>
      <c r="AB1767" s="62" t="s">
        <v>22321</v>
      </c>
      <c r="AC1767" s="62" t="s">
        <v>22322</v>
      </c>
      <c r="AD1767" s="62" t="s">
        <v>22323</v>
      </c>
    </row>
    <row r="1768" spans="1:30" x14ac:dyDescent="0.25">
      <c r="A1768" s="62" t="s">
        <v>109</v>
      </c>
      <c r="C1768" s="62" t="s">
        <v>22324</v>
      </c>
      <c r="F1768" s="62" t="s">
        <v>827</v>
      </c>
      <c r="G1768" s="62" t="s">
        <v>52198</v>
      </c>
      <c r="J1768" s="62" t="s">
        <v>22325</v>
      </c>
      <c r="K1768" s="62" t="s">
        <v>52233</v>
      </c>
      <c r="L1768" s="62" t="s">
        <v>22326</v>
      </c>
      <c r="M1768" s="62" t="s">
        <v>22327</v>
      </c>
      <c r="N1768" s="62" t="s">
        <v>22328</v>
      </c>
      <c r="O1768" s="62" t="s">
        <v>22329</v>
      </c>
      <c r="P1768" s="62" t="s">
        <v>52268</v>
      </c>
      <c r="Q1768" s="62" t="s">
        <v>22330</v>
      </c>
      <c r="R1768" s="62" t="s">
        <v>22331</v>
      </c>
      <c r="S1768" s="62" t="s">
        <v>22332</v>
      </c>
      <c r="U1768" s="62" t="s">
        <v>22333</v>
      </c>
      <c r="V1768" s="62" t="s">
        <v>52303</v>
      </c>
      <c r="W1768" s="62" t="s">
        <v>22334</v>
      </c>
      <c r="X1768" s="62" t="s">
        <v>22335</v>
      </c>
      <c r="Y1768" s="62" t="s">
        <v>22336</v>
      </c>
      <c r="Z1768" s="62" t="s">
        <v>22337</v>
      </c>
      <c r="AA1768" s="62" t="s">
        <v>52338</v>
      </c>
      <c r="AB1768" s="62" t="s">
        <v>22338</v>
      </c>
      <c r="AC1768" s="62" t="s">
        <v>22339</v>
      </c>
      <c r="AD1768" s="62" t="s">
        <v>22340</v>
      </c>
    </row>
    <row r="1769" spans="1:30" x14ac:dyDescent="0.25">
      <c r="A1769" s="62" t="s">
        <v>109</v>
      </c>
      <c r="C1769" s="62" t="s">
        <v>22341</v>
      </c>
      <c r="F1769" s="62" t="s">
        <v>837</v>
      </c>
      <c r="G1769" s="62" t="s">
        <v>52199</v>
      </c>
      <c r="J1769" s="62" t="s">
        <v>22342</v>
      </c>
      <c r="K1769" s="62" t="s">
        <v>52234</v>
      </c>
      <c r="L1769" s="62" t="s">
        <v>22343</v>
      </c>
      <c r="M1769" s="62" t="s">
        <v>22344</v>
      </c>
      <c r="N1769" s="62" t="s">
        <v>22345</v>
      </c>
      <c r="O1769" s="62" t="s">
        <v>22346</v>
      </c>
      <c r="P1769" s="62" t="s">
        <v>52269</v>
      </c>
      <c r="Q1769" s="62" t="s">
        <v>22347</v>
      </c>
      <c r="R1769" s="62" t="s">
        <v>22348</v>
      </c>
      <c r="S1769" s="62" t="s">
        <v>22349</v>
      </c>
      <c r="U1769" s="62" t="s">
        <v>22350</v>
      </c>
      <c r="V1769" s="62" t="s">
        <v>52304</v>
      </c>
      <c r="W1769" s="62" t="s">
        <v>22351</v>
      </c>
      <c r="X1769" s="62" t="s">
        <v>22352</v>
      </c>
      <c r="Y1769" s="62" t="s">
        <v>22353</v>
      </c>
      <c r="Z1769" s="62" t="s">
        <v>22354</v>
      </c>
      <c r="AA1769" s="62" t="s">
        <v>52339</v>
      </c>
      <c r="AB1769" s="62" t="s">
        <v>22355</v>
      </c>
      <c r="AC1769" s="62" t="s">
        <v>22356</v>
      </c>
      <c r="AD1769" s="62" t="s">
        <v>22357</v>
      </c>
    </row>
    <row r="1770" spans="1:30" x14ac:dyDescent="0.25">
      <c r="A1770" s="62" t="s">
        <v>109</v>
      </c>
      <c r="C1770" s="62" t="s">
        <v>22358</v>
      </c>
      <c r="F1770" s="62" t="s">
        <v>855</v>
      </c>
      <c r="G1770" s="62" t="s">
        <v>52200</v>
      </c>
      <c r="J1770" s="62" t="s">
        <v>22360</v>
      </c>
      <c r="K1770" s="62" t="s">
        <v>52235</v>
      </c>
      <c r="L1770" s="62" t="s">
        <v>22361</v>
      </c>
      <c r="M1770" s="62" t="s">
        <v>22362</v>
      </c>
      <c r="N1770" s="62" t="s">
        <v>22363</v>
      </c>
      <c r="O1770" s="62" t="s">
        <v>22364</v>
      </c>
      <c r="P1770" s="62" t="s">
        <v>52270</v>
      </c>
      <c r="Q1770" s="62" t="s">
        <v>22365</v>
      </c>
      <c r="R1770" s="62" t="s">
        <v>22366</v>
      </c>
      <c r="S1770" s="62" t="s">
        <v>22367</v>
      </c>
      <c r="U1770" s="62" t="s">
        <v>22368</v>
      </c>
      <c r="V1770" s="62" t="s">
        <v>52305</v>
      </c>
      <c r="W1770" s="62" t="s">
        <v>22369</v>
      </c>
      <c r="X1770" s="62" t="s">
        <v>22370</v>
      </c>
      <c r="Y1770" s="62" t="s">
        <v>22371</v>
      </c>
      <c r="Z1770" s="62" t="s">
        <v>22372</v>
      </c>
      <c r="AA1770" s="62" t="s">
        <v>52340</v>
      </c>
      <c r="AB1770" s="62" t="s">
        <v>22373</v>
      </c>
      <c r="AC1770" s="62" t="s">
        <v>22374</v>
      </c>
      <c r="AD1770" s="62" t="s">
        <v>22375</v>
      </c>
    </row>
    <row r="1771" spans="1:30" x14ac:dyDescent="0.25">
      <c r="A1771" s="62" t="s">
        <v>109</v>
      </c>
      <c r="C1771" s="62" t="s">
        <v>22376</v>
      </c>
      <c r="F1771" s="62" t="s">
        <v>872</v>
      </c>
      <c r="G1771" s="62" t="s">
        <v>52201</v>
      </c>
      <c r="J1771" s="62" t="s">
        <v>22378</v>
      </c>
      <c r="K1771" s="62" t="s">
        <v>52236</v>
      </c>
      <c r="L1771" s="62" t="s">
        <v>22379</v>
      </c>
      <c r="M1771" s="62" t="s">
        <v>22380</v>
      </c>
      <c r="N1771" s="62" t="s">
        <v>22381</v>
      </c>
      <c r="O1771" s="62" t="s">
        <v>22382</v>
      </c>
      <c r="P1771" s="62" t="s">
        <v>52271</v>
      </c>
      <c r="Q1771" s="62" t="s">
        <v>22383</v>
      </c>
      <c r="R1771" s="62" t="s">
        <v>22384</v>
      </c>
      <c r="S1771" s="62" t="s">
        <v>22385</v>
      </c>
      <c r="U1771" s="62" t="s">
        <v>22386</v>
      </c>
      <c r="V1771" s="62" t="s">
        <v>52306</v>
      </c>
      <c r="W1771" s="62" t="s">
        <v>22387</v>
      </c>
      <c r="X1771" s="62" t="s">
        <v>22388</v>
      </c>
      <c r="Y1771" s="62" t="s">
        <v>22389</v>
      </c>
      <c r="Z1771" s="62" t="s">
        <v>22390</v>
      </c>
      <c r="AA1771" s="62" t="s">
        <v>52341</v>
      </c>
      <c r="AB1771" s="62" t="s">
        <v>22391</v>
      </c>
      <c r="AC1771" s="62" t="s">
        <v>22392</v>
      </c>
      <c r="AD1771" s="62" t="s">
        <v>22393</v>
      </c>
    </row>
    <row r="1772" spans="1:30" x14ac:dyDescent="0.25">
      <c r="A1772" s="62" t="s">
        <v>109</v>
      </c>
      <c r="C1772" s="62" t="s">
        <v>22394</v>
      </c>
      <c r="F1772" s="62" t="s">
        <v>889</v>
      </c>
      <c r="G1772" s="62" t="s">
        <v>52202</v>
      </c>
      <c r="J1772" s="62" t="s">
        <v>22395</v>
      </c>
      <c r="K1772" s="62" t="s">
        <v>52237</v>
      </c>
      <c r="L1772" s="62" t="s">
        <v>22396</v>
      </c>
      <c r="M1772" s="62" t="s">
        <v>22397</v>
      </c>
      <c r="N1772" s="62" t="s">
        <v>22398</v>
      </c>
      <c r="O1772" s="62" t="s">
        <v>22399</v>
      </c>
      <c r="P1772" s="62" t="s">
        <v>52272</v>
      </c>
      <c r="Q1772" s="62" t="s">
        <v>22400</v>
      </c>
      <c r="R1772" s="62" t="s">
        <v>22401</v>
      </c>
      <c r="S1772" s="62" t="s">
        <v>22402</v>
      </c>
      <c r="U1772" s="62" t="s">
        <v>22403</v>
      </c>
      <c r="V1772" s="62" t="s">
        <v>52307</v>
      </c>
      <c r="W1772" s="62" t="s">
        <v>22404</v>
      </c>
      <c r="X1772" s="62" t="s">
        <v>22405</v>
      </c>
      <c r="Y1772" s="62" t="s">
        <v>22406</v>
      </c>
      <c r="Z1772" s="62" t="s">
        <v>22407</v>
      </c>
      <c r="AA1772" s="62" t="s">
        <v>52342</v>
      </c>
      <c r="AB1772" s="62" t="s">
        <v>22408</v>
      </c>
      <c r="AC1772" s="62" t="s">
        <v>22409</v>
      </c>
      <c r="AD1772" s="62" t="s">
        <v>22410</v>
      </c>
    </row>
    <row r="1773" spans="1:30" x14ac:dyDescent="0.25">
      <c r="A1773" s="62" t="s">
        <v>109</v>
      </c>
      <c r="C1773" s="62" t="s">
        <v>22411</v>
      </c>
      <c r="F1773" s="62" t="s">
        <v>915</v>
      </c>
      <c r="G1773" s="62" t="s">
        <v>52203</v>
      </c>
      <c r="J1773" s="62" t="s">
        <v>22413</v>
      </c>
      <c r="K1773" s="62" t="s">
        <v>52238</v>
      </c>
      <c r="L1773" s="62" t="s">
        <v>22414</v>
      </c>
      <c r="M1773" s="62" t="s">
        <v>22415</v>
      </c>
      <c r="N1773" s="62" t="s">
        <v>22416</v>
      </c>
      <c r="O1773" s="62" t="s">
        <v>22417</v>
      </c>
      <c r="P1773" s="62" t="s">
        <v>52273</v>
      </c>
      <c r="Q1773" s="62" t="s">
        <v>22418</v>
      </c>
      <c r="R1773" s="62" t="s">
        <v>22419</v>
      </c>
      <c r="S1773" s="62" t="s">
        <v>22420</v>
      </c>
      <c r="U1773" s="62" t="s">
        <v>22421</v>
      </c>
      <c r="V1773" s="62" t="s">
        <v>52308</v>
      </c>
      <c r="W1773" s="62" t="s">
        <v>22422</v>
      </c>
      <c r="X1773" s="62" t="s">
        <v>22423</v>
      </c>
      <c r="Y1773" s="62" t="s">
        <v>22424</v>
      </c>
      <c r="Z1773" s="62" t="s">
        <v>22425</v>
      </c>
      <c r="AA1773" s="62" t="s">
        <v>52343</v>
      </c>
      <c r="AB1773" s="62" t="s">
        <v>22426</v>
      </c>
      <c r="AC1773" s="62" t="s">
        <v>22427</v>
      </c>
      <c r="AD1773" s="62" t="s">
        <v>22428</v>
      </c>
    </row>
    <row r="1774" spans="1:30" x14ac:dyDescent="0.25">
      <c r="A1774" s="62" t="s">
        <v>109</v>
      </c>
      <c r="C1774" s="62" t="s">
        <v>43874</v>
      </c>
      <c r="F1774" s="62" t="s">
        <v>925</v>
      </c>
      <c r="G1774" s="62" t="s">
        <v>52204</v>
      </c>
      <c r="J1774" s="62" t="s">
        <v>43875</v>
      </c>
      <c r="K1774" s="62" t="s">
        <v>52239</v>
      </c>
      <c r="L1774" s="62" t="s">
        <v>43876</v>
      </c>
      <c r="M1774" s="62" t="s">
        <v>43877</v>
      </c>
      <c r="N1774" s="62" t="s">
        <v>43878</v>
      </c>
      <c r="O1774" s="62" t="s">
        <v>43879</v>
      </c>
      <c r="P1774" s="62" t="s">
        <v>52274</v>
      </c>
      <c r="Q1774" s="62" t="s">
        <v>43880</v>
      </c>
      <c r="R1774" s="62" t="s">
        <v>43881</v>
      </c>
      <c r="S1774" s="62" t="s">
        <v>43882</v>
      </c>
      <c r="U1774" s="62" t="s">
        <v>43883</v>
      </c>
      <c r="V1774" s="62" t="s">
        <v>52309</v>
      </c>
      <c r="W1774" s="62" t="s">
        <v>43884</v>
      </c>
      <c r="X1774" s="62" t="s">
        <v>43885</v>
      </c>
      <c r="Y1774" s="62" t="s">
        <v>43886</v>
      </c>
      <c r="Z1774" s="62" t="s">
        <v>43887</v>
      </c>
      <c r="AA1774" s="62" t="s">
        <v>52344</v>
      </c>
      <c r="AB1774" s="62" t="s">
        <v>43888</v>
      </c>
      <c r="AC1774" s="62" t="s">
        <v>43889</v>
      </c>
      <c r="AD1774" s="62" t="s">
        <v>43890</v>
      </c>
    </row>
    <row r="1775" spans="1:30" x14ac:dyDescent="0.25">
      <c r="A1775" s="62" t="s">
        <v>109</v>
      </c>
      <c r="C1775" s="62" t="s">
        <v>22429</v>
      </c>
      <c r="F1775" s="62" t="s">
        <v>943</v>
      </c>
      <c r="G1775" s="62" t="s">
        <v>52205</v>
      </c>
      <c r="J1775" s="62" t="s">
        <v>43891</v>
      </c>
      <c r="K1775" s="62" t="s">
        <v>52240</v>
      </c>
      <c r="L1775" s="62" t="s">
        <v>43892</v>
      </c>
      <c r="M1775" s="62" t="s">
        <v>22430</v>
      </c>
      <c r="N1775" s="62" t="s">
        <v>22431</v>
      </c>
      <c r="O1775" s="62" t="s">
        <v>43893</v>
      </c>
      <c r="P1775" s="62" t="s">
        <v>52275</v>
      </c>
      <c r="Q1775" s="62" t="s">
        <v>43894</v>
      </c>
      <c r="R1775" s="62" t="s">
        <v>22432</v>
      </c>
      <c r="S1775" s="62" t="s">
        <v>22433</v>
      </c>
      <c r="U1775" s="62" t="s">
        <v>43895</v>
      </c>
      <c r="V1775" s="62" t="s">
        <v>52310</v>
      </c>
      <c r="W1775" s="62" t="s">
        <v>43896</v>
      </c>
      <c r="X1775" s="62" t="s">
        <v>22434</v>
      </c>
      <c r="Y1775" s="62" t="s">
        <v>22435</v>
      </c>
      <c r="Z1775" s="62" t="s">
        <v>43897</v>
      </c>
      <c r="AA1775" s="62" t="s">
        <v>52345</v>
      </c>
      <c r="AB1775" s="62" t="s">
        <v>43898</v>
      </c>
      <c r="AC1775" s="62" t="s">
        <v>22436</v>
      </c>
      <c r="AD1775" s="62" t="s">
        <v>22437</v>
      </c>
    </row>
    <row r="1776" spans="1:30" x14ac:dyDescent="0.25">
      <c r="A1776" s="62" t="s">
        <v>109</v>
      </c>
      <c r="C1776" s="62" t="s">
        <v>43899</v>
      </c>
      <c r="F1776" s="62" t="s">
        <v>176</v>
      </c>
      <c r="G1776" s="62" t="s">
        <v>52206</v>
      </c>
      <c r="J1776" s="62" t="s">
        <v>43900</v>
      </c>
      <c r="K1776" s="62" t="s">
        <v>52241</v>
      </c>
      <c r="L1776" s="62" t="s">
        <v>43901</v>
      </c>
      <c r="M1776" s="62" t="s">
        <v>43902</v>
      </c>
      <c r="N1776" s="62" t="s">
        <v>43903</v>
      </c>
      <c r="O1776" s="62" t="s">
        <v>43904</v>
      </c>
      <c r="P1776" s="62" t="s">
        <v>52276</v>
      </c>
      <c r="Q1776" s="62" t="s">
        <v>43905</v>
      </c>
      <c r="R1776" s="62" t="s">
        <v>43906</v>
      </c>
      <c r="S1776" s="62" t="s">
        <v>43907</v>
      </c>
      <c r="U1776" s="62" t="s">
        <v>43908</v>
      </c>
      <c r="V1776" s="62" t="s">
        <v>52311</v>
      </c>
      <c r="W1776" s="62" t="s">
        <v>43909</v>
      </c>
      <c r="X1776" s="62" t="s">
        <v>43910</v>
      </c>
      <c r="Y1776" s="62" t="s">
        <v>43911</v>
      </c>
      <c r="Z1776" s="62" t="s">
        <v>43912</v>
      </c>
      <c r="AA1776" s="62" t="s">
        <v>52346</v>
      </c>
      <c r="AB1776" s="62" t="s">
        <v>43913</v>
      </c>
      <c r="AC1776" s="62" t="s">
        <v>43914</v>
      </c>
      <c r="AD1776" s="62" t="s">
        <v>43915</v>
      </c>
    </row>
    <row r="1777" spans="1:30" x14ac:dyDescent="0.25">
      <c r="A1777" s="62" t="s">
        <v>109</v>
      </c>
      <c r="C1777" s="62" t="s">
        <v>43916</v>
      </c>
      <c r="F1777" s="62" t="s">
        <v>985</v>
      </c>
      <c r="G1777" s="62" t="s">
        <v>52207</v>
      </c>
      <c r="J1777" s="62" t="s">
        <v>43917</v>
      </c>
      <c r="K1777" s="62" t="s">
        <v>52242</v>
      </c>
      <c r="L1777" s="62" t="s">
        <v>43918</v>
      </c>
      <c r="M1777" s="62" t="s">
        <v>43919</v>
      </c>
      <c r="N1777" s="62" t="s">
        <v>43920</v>
      </c>
      <c r="O1777" s="62" t="s">
        <v>43921</v>
      </c>
      <c r="P1777" s="62" t="s">
        <v>52277</v>
      </c>
      <c r="Q1777" s="62" t="s">
        <v>43922</v>
      </c>
      <c r="R1777" s="62" t="s">
        <v>43923</v>
      </c>
      <c r="S1777" s="62" t="s">
        <v>43924</v>
      </c>
      <c r="U1777" s="62" t="s">
        <v>43925</v>
      </c>
      <c r="V1777" s="62" t="s">
        <v>52312</v>
      </c>
      <c r="W1777" s="62" t="s">
        <v>43926</v>
      </c>
      <c r="X1777" s="62" t="s">
        <v>43927</v>
      </c>
      <c r="Y1777" s="62" t="s">
        <v>43928</v>
      </c>
      <c r="Z1777" s="62" t="s">
        <v>43929</v>
      </c>
      <c r="AA1777" s="62" t="s">
        <v>52347</v>
      </c>
      <c r="AB1777" s="62" t="s">
        <v>43930</v>
      </c>
      <c r="AC1777" s="62" t="s">
        <v>43931</v>
      </c>
      <c r="AD1777" s="62" t="s">
        <v>43932</v>
      </c>
    </row>
    <row r="1778" spans="1:30" x14ac:dyDescent="0.25">
      <c r="A1778" s="62" t="s">
        <v>109</v>
      </c>
      <c r="C1778" s="62" t="s">
        <v>22438</v>
      </c>
      <c r="F1778" s="62" t="s">
        <v>1002</v>
      </c>
      <c r="G1778" s="62" t="s">
        <v>52208</v>
      </c>
      <c r="J1778" s="62" t="s">
        <v>43933</v>
      </c>
      <c r="K1778" s="62" t="s">
        <v>52243</v>
      </c>
      <c r="L1778" s="62" t="s">
        <v>43934</v>
      </c>
      <c r="M1778" s="62" t="s">
        <v>43935</v>
      </c>
      <c r="N1778" s="62" t="s">
        <v>43936</v>
      </c>
      <c r="O1778" s="62" t="s">
        <v>43937</v>
      </c>
      <c r="P1778" s="62" t="s">
        <v>52278</v>
      </c>
      <c r="Q1778" s="62" t="s">
        <v>43938</v>
      </c>
      <c r="R1778" s="62" t="s">
        <v>43939</v>
      </c>
      <c r="S1778" s="62" t="s">
        <v>43940</v>
      </c>
      <c r="U1778" s="62" t="s">
        <v>43941</v>
      </c>
      <c r="V1778" s="62" t="s">
        <v>52313</v>
      </c>
      <c r="W1778" s="62" t="s">
        <v>43942</v>
      </c>
      <c r="X1778" s="62" t="s">
        <v>43943</v>
      </c>
      <c r="Y1778" s="62" t="s">
        <v>43944</v>
      </c>
      <c r="Z1778" s="62" t="s">
        <v>43945</v>
      </c>
      <c r="AA1778" s="62" t="s">
        <v>52348</v>
      </c>
      <c r="AB1778" s="62" t="s">
        <v>43946</v>
      </c>
      <c r="AC1778" s="62" t="s">
        <v>43947</v>
      </c>
      <c r="AD1778" s="62" t="s">
        <v>43948</v>
      </c>
    </row>
    <row r="1779" spans="1:30" x14ac:dyDescent="0.25">
      <c r="A1779" s="62" t="s">
        <v>109</v>
      </c>
      <c r="C1779" s="62" t="s">
        <v>22439</v>
      </c>
      <c r="F1779" s="62" t="s">
        <v>1012</v>
      </c>
      <c r="G1779" s="62" t="s">
        <v>52209</v>
      </c>
      <c r="J1779" s="62" t="s">
        <v>22440</v>
      </c>
      <c r="K1779" s="62" t="s">
        <v>52244</v>
      </c>
      <c r="L1779" s="62" t="s">
        <v>22441</v>
      </c>
      <c r="M1779" s="62" t="s">
        <v>22442</v>
      </c>
      <c r="N1779" s="62" t="s">
        <v>22443</v>
      </c>
      <c r="O1779" s="62" t="s">
        <v>22444</v>
      </c>
      <c r="P1779" s="62" t="s">
        <v>52279</v>
      </c>
      <c r="Q1779" s="62" t="s">
        <v>22445</v>
      </c>
      <c r="R1779" s="62" t="s">
        <v>22446</v>
      </c>
      <c r="S1779" s="62" t="s">
        <v>22447</v>
      </c>
      <c r="U1779" s="62" t="s">
        <v>22448</v>
      </c>
      <c r="V1779" s="62" t="s">
        <v>52314</v>
      </c>
      <c r="W1779" s="62" t="s">
        <v>22449</v>
      </c>
      <c r="X1779" s="62" t="s">
        <v>22450</v>
      </c>
      <c r="Y1779" s="62" t="s">
        <v>22451</v>
      </c>
      <c r="Z1779" s="62" t="s">
        <v>22452</v>
      </c>
      <c r="AA1779" s="62" t="s">
        <v>52349</v>
      </c>
      <c r="AB1779" s="62" t="s">
        <v>22453</v>
      </c>
      <c r="AC1779" s="62" t="s">
        <v>22454</v>
      </c>
      <c r="AD1779" s="62" t="s">
        <v>22455</v>
      </c>
    </row>
    <row r="1780" spans="1:30" x14ac:dyDescent="0.25">
      <c r="A1780" s="62" t="s">
        <v>109</v>
      </c>
      <c r="C1780" s="62" t="s">
        <v>22456</v>
      </c>
      <c r="F1780" s="62" t="s">
        <v>1030</v>
      </c>
      <c r="G1780" s="62" t="s">
        <v>52210</v>
      </c>
      <c r="J1780" s="62" t="s">
        <v>22457</v>
      </c>
      <c r="K1780" s="62" t="s">
        <v>52245</v>
      </c>
      <c r="L1780" s="62" t="s">
        <v>22458</v>
      </c>
      <c r="M1780" s="62" t="s">
        <v>22459</v>
      </c>
      <c r="N1780" s="62" t="s">
        <v>22460</v>
      </c>
      <c r="O1780" s="62" t="s">
        <v>22461</v>
      </c>
      <c r="P1780" s="62" t="s">
        <v>52280</v>
      </c>
      <c r="Q1780" s="62" t="s">
        <v>22462</v>
      </c>
      <c r="R1780" s="62" t="s">
        <v>22463</v>
      </c>
      <c r="S1780" s="62" t="s">
        <v>22464</v>
      </c>
      <c r="U1780" s="62" t="s">
        <v>22465</v>
      </c>
      <c r="V1780" s="62" t="s">
        <v>52315</v>
      </c>
      <c r="W1780" s="62" t="s">
        <v>22466</v>
      </c>
      <c r="X1780" s="62" t="s">
        <v>22467</v>
      </c>
      <c r="Y1780" s="62" t="s">
        <v>22468</v>
      </c>
      <c r="Z1780" s="62" t="s">
        <v>22469</v>
      </c>
      <c r="AA1780" s="62" t="s">
        <v>52350</v>
      </c>
      <c r="AB1780" s="62" t="s">
        <v>22470</v>
      </c>
      <c r="AC1780" s="62" t="s">
        <v>22471</v>
      </c>
      <c r="AD1780" s="62" t="s">
        <v>22472</v>
      </c>
    </row>
    <row r="1781" spans="1:30" x14ac:dyDescent="0.25">
      <c r="A1781" s="62" t="s">
        <v>109</v>
      </c>
      <c r="C1781" s="62" t="s">
        <v>22473</v>
      </c>
      <c r="F1781" s="62" t="s">
        <v>1064</v>
      </c>
      <c r="G1781" s="62" t="s">
        <v>52211</v>
      </c>
      <c r="J1781" s="62" t="s">
        <v>22474</v>
      </c>
      <c r="K1781" s="62" t="s">
        <v>52246</v>
      </c>
      <c r="L1781" s="62" t="s">
        <v>22475</v>
      </c>
      <c r="M1781" s="62" t="s">
        <v>22476</v>
      </c>
      <c r="N1781" s="62" t="s">
        <v>22477</v>
      </c>
      <c r="O1781" s="62" t="s">
        <v>22478</v>
      </c>
      <c r="P1781" s="62" t="s">
        <v>52281</v>
      </c>
      <c r="Q1781" s="62" t="s">
        <v>22479</v>
      </c>
      <c r="R1781" s="62" t="s">
        <v>22480</v>
      </c>
      <c r="S1781" s="62" t="s">
        <v>22481</v>
      </c>
      <c r="U1781" s="62" t="s">
        <v>22482</v>
      </c>
      <c r="V1781" s="62" t="s">
        <v>52316</v>
      </c>
      <c r="W1781" s="62" t="s">
        <v>22483</v>
      </c>
      <c r="X1781" s="62" t="s">
        <v>22484</v>
      </c>
      <c r="Y1781" s="62" t="s">
        <v>22485</v>
      </c>
      <c r="Z1781" s="62" t="s">
        <v>22486</v>
      </c>
      <c r="AA1781" s="62" t="s">
        <v>52351</v>
      </c>
      <c r="AB1781" s="62" t="s">
        <v>22487</v>
      </c>
      <c r="AC1781" s="62" t="s">
        <v>22488</v>
      </c>
      <c r="AD1781" s="62" t="s">
        <v>22489</v>
      </c>
    </row>
    <row r="1782" spans="1:30" x14ac:dyDescent="0.25">
      <c r="A1782" s="62" t="s">
        <v>109</v>
      </c>
      <c r="C1782" s="62" t="s">
        <v>22490</v>
      </c>
      <c r="F1782" s="62" t="s">
        <v>1073</v>
      </c>
      <c r="G1782" s="62" t="s">
        <v>52212</v>
      </c>
      <c r="J1782" s="62" t="s">
        <v>22491</v>
      </c>
      <c r="K1782" s="62" t="s">
        <v>52247</v>
      </c>
      <c r="L1782" s="62" t="s">
        <v>22492</v>
      </c>
      <c r="M1782" s="62" t="s">
        <v>22493</v>
      </c>
      <c r="N1782" s="62" t="s">
        <v>22494</v>
      </c>
      <c r="O1782" s="62" t="s">
        <v>22495</v>
      </c>
      <c r="P1782" s="62" t="s">
        <v>52282</v>
      </c>
      <c r="Q1782" s="62" t="s">
        <v>22496</v>
      </c>
      <c r="R1782" s="62" t="s">
        <v>22497</v>
      </c>
      <c r="S1782" s="62" t="s">
        <v>22498</v>
      </c>
      <c r="U1782" s="62" t="s">
        <v>22499</v>
      </c>
      <c r="V1782" s="62" t="s">
        <v>52317</v>
      </c>
      <c r="W1782" s="62" t="s">
        <v>22500</v>
      </c>
      <c r="X1782" s="62" t="s">
        <v>22501</v>
      </c>
      <c r="Y1782" s="62" t="s">
        <v>22502</v>
      </c>
      <c r="Z1782" s="62" t="s">
        <v>22503</v>
      </c>
      <c r="AA1782" s="62" t="s">
        <v>52352</v>
      </c>
      <c r="AB1782" s="62" t="s">
        <v>22504</v>
      </c>
      <c r="AC1782" s="62" t="s">
        <v>22505</v>
      </c>
      <c r="AD1782" s="62" t="s">
        <v>22506</v>
      </c>
    </row>
    <row r="1783" spans="1:30" x14ac:dyDescent="0.25">
      <c r="A1783" s="62" t="s">
        <v>109</v>
      </c>
      <c r="C1783" s="62" t="s">
        <v>22507</v>
      </c>
      <c r="F1783" s="62" t="s">
        <v>1090</v>
      </c>
      <c r="G1783" s="62" t="s">
        <v>52213</v>
      </c>
      <c r="J1783" s="62" t="s">
        <v>22508</v>
      </c>
      <c r="K1783" s="62" t="s">
        <v>52248</v>
      </c>
      <c r="L1783" s="62" t="s">
        <v>22509</v>
      </c>
      <c r="M1783" s="62" t="s">
        <v>22510</v>
      </c>
      <c r="N1783" s="62" t="s">
        <v>22511</v>
      </c>
      <c r="O1783" s="62" t="s">
        <v>22512</v>
      </c>
      <c r="P1783" s="62" t="s">
        <v>52283</v>
      </c>
      <c r="Q1783" s="62" t="s">
        <v>22513</v>
      </c>
      <c r="R1783" s="62" t="s">
        <v>22514</v>
      </c>
      <c r="S1783" s="62" t="s">
        <v>22515</v>
      </c>
      <c r="U1783" s="62" t="s">
        <v>22516</v>
      </c>
      <c r="V1783" s="62" t="s">
        <v>52318</v>
      </c>
      <c r="W1783" s="62" t="s">
        <v>22517</v>
      </c>
      <c r="X1783" s="62" t="s">
        <v>22518</v>
      </c>
      <c r="Y1783" s="62" t="s">
        <v>22519</v>
      </c>
      <c r="Z1783" s="62" t="s">
        <v>22520</v>
      </c>
      <c r="AA1783" s="62" t="s">
        <v>52353</v>
      </c>
      <c r="AB1783" s="62" t="s">
        <v>22521</v>
      </c>
      <c r="AC1783" s="62" t="s">
        <v>22522</v>
      </c>
      <c r="AD1783" s="62" t="s">
        <v>22523</v>
      </c>
    </row>
    <row r="1784" spans="1:30" x14ac:dyDescent="0.25">
      <c r="A1784" s="62" t="s">
        <v>109</v>
      </c>
      <c r="C1784" s="62" t="s">
        <v>22524</v>
      </c>
      <c r="F1784" s="62" t="s">
        <v>1100</v>
      </c>
      <c r="G1784" s="62" t="s">
        <v>52214</v>
      </c>
      <c r="J1784" s="62" t="s">
        <v>22525</v>
      </c>
      <c r="K1784" s="62" t="s">
        <v>52249</v>
      </c>
      <c r="L1784" s="62" t="s">
        <v>22526</v>
      </c>
      <c r="M1784" s="62" t="s">
        <v>22527</v>
      </c>
      <c r="N1784" s="62" t="s">
        <v>22528</v>
      </c>
      <c r="O1784" s="62" t="s">
        <v>22529</v>
      </c>
      <c r="P1784" s="62" t="s">
        <v>52284</v>
      </c>
      <c r="Q1784" s="62" t="s">
        <v>22530</v>
      </c>
      <c r="R1784" s="62" t="s">
        <v>22531</v>
      </c>
      <c r="S1784" s="62" t="s">
        <v>22532</v>
      </c>
      <c r="U1784" s="62" t="s">
        <v>22533</v>
      </c>
      <c r="V1784" s="62" t="s">
        <v>52319</v>
      </c>
      <c r="W1784" s="62" t="s">
        <v>22534</v>
      </c>
      <c r="X1784" s="62" t="s">
        <v>22535</v>
      </c>
      <c r="Y1784" s="62" t="s">
        <v>22536</v>
      </c>
      <c r="Z1784" s="62" t="s">
        <v>22537</v>
      </c>
      <c r="AA1784" s="62" t="s">
        <v>52354</v>
      </c>
      <c r="AB1784" s="62" t="s">
        <v>22538</v>
      </c>
      <c r="AC1784" s="62" t="s">
        <v>22539</v>
      </c>
      <c r="AD1784" s="62" t="s">
        <v>22540</v>
      </c>
    </row>
    <row r="1785" spans="1:30" x14ac:dyDescent="0.25">
      <c r="A1785" s="62" t="s">
        <v>109</v>
      </c>
      <c r="C1785" s="62" t="s">
        <v>22541</v>
      </c>
      <c r="F1785" s="62" t="s">
        <v>1118</v>
      </c>
      <c r="G1785" s="62" t="s">
        <v>52215</v>
      </c>
      <c r="J1785" s="62" t="s">
        <v>22542</v>
      </c>
      <c r="K1785" s="62" t="s">
        <v>52250</v>
      </c>
      <c r="L1785" s="62" t="s">
        <v>22543</v>
      </c>
      <c r="M1785" s="62" t="s">
        <v>22544</v>
      </c>
      <c r="N1785" s="62" t="s">
        <v>22545</v>
      </c>
      <c r="O1785" s="62" t="s">
        <v>22546</v>
      </c>
      <c r="P1785" s="62" t="s">
        <v>52285</v>
      </c>
      <c r="Q1785" s="62" t="s">
        <v>22547</v>
      </c>
      <c r="R1785" s="62" t="s">
        <v>22548</v>
      </c>
      <c r="S1785" s="62" t="s">
        <v>22549</v>
      </c>
      <c r="U1785" s="62" t="s">
        <v>22550</v>
      </c>
      <c r="V1785" s="62" t="s">
        <v>52320</v>
      </c>
      <c r="W1785" s="62" t="s">
        <v>22551</v>
      </c>
      <c r="X1785" s="62" t="s">
        <v>22552</v>
      </c>
      <c r="Y1785" s="62" t="s">
        <v>22553</v>
      </c>
      <c r="Z1785" s="62" t="s">
        <v>22554</v>
      </c>
      <c r="AA1785" s="62" t="s">
        <v>52355</v>
      </c>
      <c r="AB1785" s="62" t="s">
        <v>22555</v>
      </c>
      <c r="AC1785" s="62" t="s">
        <v>22556</v>
      </c>
      <c r="AD1785" s="62" t="s">
        <v>22557</v>
      </c>
    </row>
    <row r="1786" spans="1:30" x14ac:dyDescent="0.25">
      <c r="A1786" s="62" t="s">
        <v>109</v>
      </c>
      <c r="C1786" s="62" t="s">
        <v>22558</v>
      </c>
      <c r="F1786" s="62" t="s">
        <v>1135</v>
      </c>
      <c r="G1786" s="62" t="s">
        <v>52216</v>
      </c>
      <c r="J1786" s="62" t="s">
        <v>22559</v>
      </c>
      <c r="K1786" s="62" t="s">
        <v>52251</v>
      </c>
      <c r="L1786" s="62" t="s">
        <v>22560</v>
      </c>
      <c r="M1786" s="62" t="s">
        <v>22561</v>
      </c>
      <c r="N1786" s="62" t="s">
        <v>22562</v>
      </c>
      <c r="O1786" s="62" t="s">
        <v>22563</v>
      </c>
      <c r="P1786" s="62" t="s">
        <v>52286</v>
      </c>
      <c r="Q1786" s="62" t="s">
        <v>22564</v>
      </c>
      <c r="R1786" s="62" t="s">
        <v>22565</v>
      </c>
      <c r="S1786" s="62" t="s">
        <v>22566</v>
      </c>
      <c r="U1786" s="62" t="s">
        <v>22567</v>
      </c>
      <c r="V1786" s="62" t="s">
        <v>52321</v>
      </c>
      <c r="W1786" s="62" t="s">
        <v>22568</v>
      </c>
      <c r="X1786" s="62" t="s">
        <v>22569</v>
      </c>
      <c r="Y1786" s="62" t="s">
        <v>22570</v>
      </c>
      <c r="Z1786" s="62" t="s">
        <v>22571</v>
      </c>
      <c r="AA1786" s="62" t="s">
        <v>52356</v>
      </c>
      <c r="AB1786" s="62" t="s">
        <v>22572</v>
      </c>
      <c r="AC1786" s="62" t="s">
        <v>22573</v>
      </c>
      <c r="AD1786" s="62" t="s">
        <v>22574</v>
      </c>
    </row>
    <row r="1787" spans="1:30" x14ac:dyDescent="0.25">
      <c r="A1787" s="62" t="s">
        <v>109</v>
      </c>
      <c r="C1787" s="62" t="s">
        <v>22575</v>
      </c>
      <c r="F1787" s="62" t="s">
        <v>1152</v>
      </c>
      <c r="G1787" s="62" t="s">
        <v>52217</v>
      </c>
      <c r="J1787" s="62" t="s">
        <v>22576</v>
      </c>
      <c r="K1787" s="62" t="s">
        <v>52252</v>
      </c>
      <c r="L1787" s="62" t="s">
        <v>22577</v>
      </c>
      <c r="M1787" s="62" t="s">
        <v>22578</v>
      </c>
      <c r="N1787" s="62" t="s">
        <v>22579</v>
      </c>
      <c r="O1787" s="62" t="s">
        <v>22580</v>
      </c>
      <c r="P1787" s="62" t="s">
        <v>52287</v>
      </c>
      <c r="Q1787" s="62" t="s">
        <v>22581</v>
      </c>
      <c r="R1787" s="62" t="s">
        <v>22582</v>
      </c>
      <c r="S1787" s="62" t="s">
        <v>22583</v>
      </c>
      <c r="U1787" s="62" t="s">
        <v>22584</v>
      </c>
      <c r="V1787" s="62" t="s">
        <v>52322</v>
      </c>
      <c r="W1787" s="62" t="s">
        <v>22585</v>
      </c>
      <c r="X1787" s="62" t="s">
        <v>22586</v>
      </c>
      <c r="Y1787" s="62" t="s">
        <v>22587</v>
      </c>
      <c r="Z1787" s="62" t="s">
        <v>22588</v>
      </c>
      <c r="AA1787" s="62" t="s">
        <v>52357</v>
      </c>
      <c r="AB1787" s="62" t="s">
        <v>22589</v>
      </c>
      <c r="AC1787" s="62" t="s">
        <v>22590</v>
      </c>
      <c r="AD1787" s="62" t="s">
        <v>22591</v>
      </c>
    </row>
    <row r="1788" spans="1:30" x14ac:dyDescent="0.25">
      <c r="A1788" s="62" t="s">
        <v>109</v>
      </c>
      <c r="C1788" s="62" t="s">
        <v>43949</v>
      </c>
      <c r="F1788" s="62" t="s">
        <v>1688</v>
      </c>
      <c r="G1788" s="62" t="s">
        <v>52218</v>
      </c>
      <c r="J1788" s="62" t="s">
        <v>43950</v>
      </c>
      <c r="K1788" s="62" t="s">
        <v>52253</v>
      </c>
      <c r="L1788" s="62" t="s">
        <v>43951</v>
      </c>
      <c r="M1788" s="62" t="s">
        <v>43952</v>
      </c>
      <c r="N1788" s="62" t="s">
        <v>43953</v>
      </c>
      <c r="O1788" s="62" t="s">
        <v>43954</v>
      </c>
      <c r="P1788" s="62" t="s">
        <v>52288</v>
      </c>
      <c r="Q1788" s="62" t="s">
        <v>43955</v>
      </c>
      <c r="R1788" s="62" t="s">
        <v>43956</v>
      </c>
      <c r="S1788" s="62" t="s">
        <v>43957</v>
      </c>
      <c r="U1788" s="62" t="s">
        <v>43958</v>
      </c>
      <c r="V1788" s="62" t="s">
        <v>52323</v>
      </c>
      <c r="W1788" s="62" t="s">
        <v>43959</v>
      </c>
      <c r="X1788" s="62" t="s">
        <v>43960</v>
      </c>
      <c r="Y1788" s="62" t="s">
        <v>43961</v>
      </c>
      <c r="Z1788" s="62" t="s">
        <v>43962</v>
      </c>
      <c r="AA1788" s="62" t="s">
        <v>52358</v>
      </c>
      <c r="AB1788" s="62" t="s">
        <v>43963</v>
      </c>
      <c r="AC1788" s="62" t="s">
        <v>43964</v>
      </c>
      <c r="AD1788" s="62" t="s">
        <v>43965</v>
      </c>
    </row>
    <row r="1789" spans="1:30" x14ac:dyDescent="0.25">
      <c r="A1789" s="62" t="s">
        <v>109</v>
      </c>
      <c r="C1789" s="62" t="s">
        <v>22592</v>
      </c>
      <c r="F1789" s="62" t="s">
        <v>1161</v>
      </c>
      <c r="G1789" s="62" t="s">
        <v>52219</v>
      </c>
      <c r="J1789" s="62" t="s">
        <v>43966</v>
      </c>
      <c r="K1789" s="62" t="s">
        <v>52254</v>
      </c>
      <c r="L1789" s="62" t="s">
        <v>43967</v>
      </c>
      <c r="M1789" s="62" t="s">
        <v>22593</v>
      </c>
      <c r="N1789" s="62" t="s">
        <v>22594</v>
      </c>
      <c r="O1789" s="62" t="s">
        <v>43968</v>
      </c>
      <c r="P1789" s="62" t="s">
        <v>52289</v>
      </c>
      <c r="Q1789" s="62" t="s">
        <v>43969</v>
      </c>
      <c r="R1789" s="62" t="s">
        <v>22595</v>
      </c>
      <c r="S1789" s="62" t="s">
        <v>22596</v>
      </c>
      <c r="U1789" s="62" t="s">
        <v>43970</v>
      </c>
      <c r="V1789" s="62" t="s">
        <v>52324</v>
      </c>
      <c r="W1789" s="62" t="s">
        <v>43971</v>
      </c>
      <c r="X1789" s="62" t="s">
        <v>22597</v>
      </c>
      <c r="Y1789" s="62" t="s">
        <v>22598</v>
      </c>
      <c r="Z1789" s="62" t="s">
        <v>43972</v>
      </c>
      <c r="AA1789" s="62" t="s">
        <v>52359</v>
      </c>
      <c r="AB1789" s="62" t="s">
        <v>43973</v>
      </c>
      <c r="AC1789" s="62" t="s">
        <v>22599</v>
      </c>
      <c r="AD1789" s="62" t="s">
        <v>22600</v>
      </c>
    </row>
    <row r="1790" spans="1:30" x14ac:dyDescent="0.25">
      <c r="A1790" s="62" t="s">
        <v>109</v>
      </c>
      <c r="C1790" s="62" t="s">
        <v>43974</v>
      </c>
      <c r="F1790" s="62" t="s">
        <v>1223</v>
      </c>
      <c r="G1790" s="62" t="s">
        <v>52220</v>
      </c>
      <c r="J1790" s="62" t="s">
        <v>43975</v>
      </c>
      <c r="K1790" s="62" t="s">
        <v>52255</v>
      </c>
      <c r="L1790" s="62" t="s">
        <v>43976</v>
      </c>
      <c r="M1790" s="62" t="s">
        <v>43977</v>
      </c>
      <c r="N1790" s="62" t="s">
        <v>43978</v>
      </c>
      <c r="O1790" s="62" t="s">
        <v>43979</v>
      </c>
      <c r="P1790" s="62" t="s">
        <v>52290</v>
      </c>
      <c r="Q1790" s="62" t="s">
        <v>43980</v>
      </c>
      <c r="R1790" s="62" t="s">
        <v>43981</v>
      </c>
      <c r="S1790" s="62" t="s">
        <v>43982</v>
      </c>
      <c r="U1790" s="62" t="s">
        <v>43983</v>
      </c>
      <c r="V1790" s="62" t="s">
        <v>52325</v>
      </c>
      <c r="W1790" s="62" t="s">
        <v>43984</v>
      </c>
      <c r="X1790" s="62" t="s">
        <v>43985</v>
      </c>
      <c r="Y1790" s="62" t="s">
        <v>43986</v>
      </c>
      <c r="Z1790" s="62" t="s">
        <v>43987</v>
      </c>
      <c r="AA1790" s="62" t="s">
        <v>52360</v>
      </c>
      <c r="AB1790" s="62" t="s">
        <v>43988</v>
      </c>
      <c r="AC1790" s="62" t="s">
        <v>43989</v>
      </c>
      <c r="AD1790" s="62" t="s">
        <v>43990</v>
      </c>
    </row>
    <row r="1791" spans="1:30" x14ac:dyDescent="0.25">
      <c r="A1791" s="62" t="s">
        <v>109</v>
      </c>
      <c r="C1791" s="62" t="s">
        <v>43991</v>
      </c>
      <c r="F1791" s="62" t="s">
        <v>1240</v>
      </c>
      <c r="G1791" s="62" t="s">
        <v>52221</v>
      </c>
      <c r="J1791" s="62" t="s">
        <v>43992</v>
      </c>
      <c r="K1791" s="62" t="s">
        <v>52256</v>
      </c>
      <c r="L1791" s="62" t="s">
        <v>43993</v>
      </c>
      <c r="M1791" s="62" t="s">
        <v>43994</v>
      </c>
      <c r="N1791" s="62" t="s">
        <v>43995</v>
      </c>
      <c r="O1791" s="62" t="s">
        <v>43996</v>
      </c>
      <c r="P1791" s="62" t="s">
        <v>52291</v>
      </c>
      <c r="Q1791" s="62" t="s">
        <v>43997</v>
      </c>
      <c r="R1791" s="62" t="s">
        <v>43998</v>
      </c>
      <c r="S1791" s="62" t="s">
        <v>43999</v>
      </c>
      <c r="U1791" s="62" t="s">
        <v>44000</v>
      </c>
      <c r="V1791" s="62" t="s">
        <v>52326</v>
      </c>
      <c r="W1791" s="62" t="s">
        <v>44001</v>
      </c>
      <c r="X1791" s="62" t="s">
        <v>44002</v>
      </c>
      <c r="Y1791" s="62" t="s">
        <v>44003</v>
      </c>
      <c r="Z1791" s="62" t="s">
        <v>44004</v>
      </c>
      <c r="AA1791" s="62" t="s">
        <v>52361</v>
      </c>
      <c r="AB1791" s="62" t="s">
        <v>44005</v>
      </c>
      <c r="AC1791" s="62" t="s">
        <v>44006</v>
      </c>
      <c r="AD1791" s="62" t="s">
        <v>44007</v>
      </c>
    </row>
    <row r="1792" spans="1:30" x14ac:dyDescent="0.25">
      <c r="A1792" s="62" t="s">
        <v>109</v>
      </c>
      <c r="C1792" s="62" t="s">
        <v>22602</v>
      </c>
      <c r="F1792" s="62" t="s">
        <v>1266</v>
      </c>
      <c r="G1792" s="62" t="s">
        <v>52222</v>
      </c>
      <c r="J1792" s="62" t="s">
        <v>44008</v>
      </c>
      <c r="K1792" s="62" t="s">
        <v>52257</v>
      </c>
      <c r="L1792" s="62" t="s">
        <v>44009</v>
      </c>
      <c r="M1792" s="62" t="s">
        <v>44010</v>
      </c>
      <c r="N1792" s="62" t="s">
        <v>44011</v>
      </c>
      <c r="O1792" s="62" t="s">
        <v>44012</v>
      </c>
      <c r="P1792" s="62" t="s">
        <v>52292</v>
      </c>
      <c r="Q1792" s="62" t="s">
        <v>44013</v>
      </c>
      <c r="R1792" s="62" t="s">
        <v>44014</v>
      </c>
      <c r="S1792" s="62" t="s">
        <v>44015</v>
      </c>
      <c r="U1792" s="62" t="s">
        <v>44016</v>
      </c>
      <c r="V1792" s="62" t="s">
        <v>52327</v>
      </c>
      <c r="W1792" s="62" t="s">
        <v>44017</v>
      </c>
      <c r="X1792" s="62" t="s">
        <v>44018</v>
      </c>
      <c r="Y1792" s="62" t="s">
        <v>44019</v>
      </c>
      <c r="Z1792" s="62" t="s">
        <v>44020</v>
      </c>
      <c r="AA1792" s="62" t="s">
        <v>52362</v>
      </c>
      <c r="AB1792" s="62" t="s">
        <v>44021</v>
      </c>
      <c r="AC1792" s="62" t="s">
        <v>44022</v>
      </c>
      <c r="AD1792" s="62" t="s">
        <v>44023</v>
      </c>
    </row>
    <row r="1793" spans="1:30" x14ac:dyDescent="0.25">
      <c r="A1793" s="62" t="s">
        <v>109</v>
      </c>
      <c r="C1793" s="62" t="s">
        <v>22603</v>
      </c>
      <c r="F1793" s="62" t="s">
        <v>1795</v>
      </c>
      <c r="G1793" s="62" t="s">
        <v>52223</v>
      </c>
      <c r="J1793" s="62" t="s">
        <v>22604</v>
      </c>
      <c r="K1793" s="62" t="s">
        <v>52258</v>
      </c>
      <c r="L1793" s="62" t="s">
        <v>22605</v>
      </c>
      <c r="M1793" s="62" t="s">
        <v>22606</v>
      </c>
      <c r="N1793" s="62" t="s">
        <v>22607</v>
      </c>
      <c r="O1793" s="62" t="s">
        <v>22608</v>
      </c>
      <c r="P1793" s="62" t="s">
        <v>52293</v>
      </c>
      <c r="Q1793" s="62" t="s">
        <v>22609</v>
      </c>
      <c r="R1793" s="62" t="s">
        <v>22610</v>
      </c>
      <c r="S1793" s="62" t="s">
        <v>22611</v>
      </c>
      <c r="U1793" s="62" t="s">
        <v>22612</v>
      </c>
      <c r="V1793" s="62" t="s">
        <v>52328</v>
      </c>
      <c r="W1793" s="62" t="s">
        <v>22613</v>
      </c>
      <c r="X1793" s="62" t="s">
        <v>22614</v>
      </c>
      <c r="Y1793" s="62" t="s">
        <v>22615</v>
      </c>
      <c r="Z1793" s="62" t="s">
        <v>22616</v>
      </c>
      <c r="AA1793" s="62" t="s">
        <v>52363</v>
      </c>
      <c r="AB1793" s="62" t="s">
        <v>22617</v>
      </c>
      <c r="AC1793" s="62" t="s">
        <v>22618</v>
      </c>
      <c r="AD1793" s="62" t="s">
        <v>22619</v>
      </c>
    </row>
    <row r="1794" spans="1:30" x14ac:dyDescent="0.25">
      <c r="A1794" s="62" t="s">
        <v>109</v>
      </c>
      <c r="C1794" s="62" t="s">
        <v>22620</v>
      </c>
      <c r="F1794" s="62" t="s">
        <v>1287</v>
      </c>
      <c r="G1794" s="62" t="s">
        <v>52224</v>
      </c>
      <c r="J1794" s="62" t="s">
        <v>22621</v>
      </c>
      <c r="K1794" s="62" t="s">
        <v>52259</v>
      </c>
      <c r="L1794" s="62" t="s">
        <v>22622</v>
      </c>
      <c r="M1794" s="62" t="s">
        <v>22623</v>
      </c>
      <c r="N1794" s="62" t="s">
        <v>22624</v>
      </c>
      <c r="O1794" s="62" t="s">
        <v>22625</v>
      </c>
      <c r="P1794" s="62" t="s">
        <v>52294</v>
      </c>
      <c r="Q1794" s="62" t="s">
        <v>22626</v>
      </c>
      <c r="R1794" s="62" t="s">
        <v>22627</v>
      </c>
      <c r="S1794" s="62" t="s">
        <v>22628</v>
      </c>
      <c r="U1794" s="62" t="s">
        <v>22629</v>
      </c>
      <c r="V1794" s="62" t="s">
        <v>52329</v>
      </c>
      <c r="W1794" s="62" t="s">
        <v>22630</v>
      </c>
      <c r="X1794" s="62" t="s">
        <v>22631</v>
      </c>
      <c r="Y1794" s="62" t="s">
        <v>22632</v>
      </c>
      <c r="Z1794" s="62" t="s">
        <v>22633</v>
      </c>
      <c r="AA1794" s="62" t="s">
        <v>52364</v>
      </c>
      <c r="AB1794" s="62" t="s">
        <v>22634</v>
      </c>
      <c r="AC1794" s="62" t="s">
        <v>22635</v>
      </c>
      <c r="AD1794" s="62" t="s">
        <v>22636</v>
      </c>
    </row>
    <row r="1795" spans="1:30" x14ac:dyDescent="0.25">
      <c r="A1795" s="62" t="s">
        <v>109</v>
      </c>
      <c r="C1795" s="62" t="s">
        <v>22637</v>
      </c>
      <c r="F1795" s="62" t="s">
        <v>1797</v>
      </c>
      <c r="G1795" s="62" t="s">
        <v>52225</v>
      </c>
      <c r="J1795" s="62" t="s">
        <v>22638</v>
      </c>
      <c r="K1795" s="62" t="s">
        <v>52260</v>
      </c>
      <c r="L1795" s="62" t="s">
        <v>22639</v>
      </c>
      <c r="M1795" s="62" t="s">
        <v>22640</v>
      </c>
      <c r="N1795" s="62" t="s">
        <v>22641</v>
      </c>
      <c r="O1795" s="62" t="s">
        <v>22642</v>
      </c>
      <c r="P1795" s="62" t="s">
        <v>52295</v>
      </c>
      <c r="Q1795" s="62" t="s">
        <v>22643</v>
      </c>
      <c r="R1795" s="62" t="s">
        <v>22644</v>
      </c>
      <c r="S1795" s="62" t="s">
        <v>22645</v>
      </c>
      <c r="U1795" s="62" t="s">
        <v>22646</v>
      </c>
      <c r="V1795" s="62" t="s">
        <v>52330</v>
      </c>
      <c r="W1795" s="62" t="s">
        <v>22647</v>
      </c>
      <c r="X1795" s="62" t="s">
        <v>22648</v>
      </c>
      <c r="Y1795" s="62" t="s">
        <v>22649</v>
      </c>
      <c r="Z1795" s="62" t="s">
        <v>22650</v>
      </c>
      <c r="AA1795" s="62" t="s">
        <v>52365</v>
      </c>
      <c r="AB1795" s="62" t="s">
        <v>22651</v>
      </c>
      <c r="AC1795" s="62" t="s">
        <v>22652</v>
      </c>
      <c r="AD1795" s="62" t="s">
        <v>22653</v>
      </c>
    </row>
    <row r="1796" spans="1:30" x14ac:dyDescent="0.25">
      <c r="A1796" s="62" t="s">
        <v>109</v>
      </c>
      <c r="C1796" s="62" t="s">
        <v>22654</v>
      </c>
      <c r="F1796" s="62" t="s">
        <v>1299</v>
      </c>
      <c r="G1796" s="62" t="s">
        <v>52226</v>
      </c>
      <c r="J1796" s="62" t="s">
        <v>22655</v>
      </c>
      <c r="K1796" s="62" t="s">
        <v>52261</v>
      </c>
      <c r="L1796" s="62" t="s">
        <v>22656</v>
      </c>
      <c r="M1796" s="62" t="s">
        <v>22657</v>
      </c>
      <c r="N1796" s="62" t="s">
        <v>22658</v>
      </c>
      <c r="O1796" s="62" t="s">
        <v>22659</v>
      </c>
      <c r="P1796" s="62" t="s">
        <v>52296</v>
      </c>
      <c r="Q1796" s="62" t="s">
        <v>22660</v>
      </c>
      <c r="R1796" s="62" t="s">
        <v>22661</v>
      </c>
      <c r="S1796" s="62" t="s">
        <v>22662</v>
      </c>
      <c r="U1796" s="62" t="s">
        <v>22663</v>
      </c>
      <c r="V1796" s="62" t="s">
        <v>52331</v>
      </c>
      <c r="W1796" s="62" t="s">
        <v>22664</v>
      </c>
      <c r="X1796" s="62" t="s">
        <v>22665</v>
      </c>
      <c r="Y1796" s="62" t="s">
        <v>22666</v>
      </c>
      <c r="Z1796" s="62" t="s">
        <v>22667</v>
      </c>
      <c r="AA1796" s="62" t="s">
        <v>52366</v>
      </c>
      <c r="AB1796" s="62" t="s">
        <v>22668</v>
      </c>
      <c r="AC1796" s="62" t="s">
        <v>22669</v>
      </c>
      <c r="AD1796" s="62" t="s">
        <v>22670</v>
      </c>
    </row>
    <row r="1797" spans="1:30" x14ac:dyDescent="0.25">
      <c r="A1797" s="62" t="s">
        <v>109</v>
      </c>
      <c r="C1797" s="62" t="s">
        <v>22234</v>
      </c>
    </row>
    <row r="1798" spans="1:30" x14ac:dyDescent="0.25">
      <c r="A1798" s="62" t="s">
        <v>109</v>
      </c>
      <c r="C1798" s="62" t="s">
        <v>22671</v>
      </c>
      <c r="G1798" s="62" t="s">
        <v>44024</v>
      </c>
      <c r="J1798" s="62" t="s">
        <v>44025</v>
      </c>
      <c r="K1798" s="62" t="s">
        <v>44026</v>
      </c>
      <c r="L1798" s="62" t="s">
        <v>44027</v>
      </c>
      <c r="M1798" s="62" t="s">
        <v>22672</v>
      </c>
      <c r="N1798" s="62" t="s">
        <v>22673</v>
      </c>
      <c r="O1798" s="62" t="s">
        <v>44028</v>
      </c>
      <c r="P1798" s="62" t="s">
        <v>44029</v>
      </c>
      <c r="Q1798" s="62" t="s">
        <v>44030</v>
      </c>
      <c r="R1798" s="62" t="s">
        <v>22674</v>
      </c>
      <c r="S1798" s="62" t="s">
        <v>22675</v>
      </c>
      <c r="U1798" s="62" t="s">
        <v>44031</v>
      </c>
      <c r="V1798" s="62" t="s">
        <v>44032</v>
      </c>
      <c r="W1798" s="62" t="s">
        <v>44033</v>
      </c>
      <c r="X1798" s="62" t="s">
        <v>22676</v>
      </c>
      <c r="Y1798" s="62" t="s">
        <v>22677</v>
      </c>
      <c r="Z1798" s="62" t="s">
        <v>44034</v>
      </c>
      <c r="AA1798" s="62" t="s">
        <v>44035</v>
      </c>
      <c r="AB1798" s="62" t="s">
        <v>44036</v>
      </c>
      <c r="AC1798" s="62" t="s">
        <v>22678</v>
      </c>
      <c r="AD1798" s="62" t="s">
        <v>22679</v>
      </c>
    </row>
    <row r="1799" spans="1:30" x14ac:dyDescent="0.25">
      <c r="A1799" s="62" t="s">
        <v>109</v>
      </c>
    </row>
    <row r="1800" spans="1:30" x14ac:dyDescent="0.25">
      <c r="A1800" s="62" t="s">
        <v>109</v>
      </c>
      <c r="C1800" s="62" t="s">
        <v>44037</v>
      </c>
      <c r="E1800" s="62" t="s">
        <v>498</v>
      </c>
      <c r="G1800" s="62" t="s">
        <v>44038</v>
      </c>
    </row>
    <row r="1801" spans="1:30" x14ac:dyDescent="0.25">
      <c r="A1801" s="62" t="s">
        <v>109</v>
      </c>
      <c r="C1801" s="62" t="s">
        <v>22680</v>
      </c>
    </row>
    <row r="1802" spans="1:30" x14ac:dyDescent="0.25">
      <c r="A1802" s="62" t="s">
        <v>109</v>
      </c>
      <c r="C1802" s="62" t="s">
        <v>22681</v>
      </c>
      <c r="F1802" s="62" t="s">
        <v>44039</v>
      </c>
      <c r="G1802" s="62" t="s">
        <v>52032</v>
      </c>
      <c r="J1802" s="62" t="s">
        <v>22682</v>
      </c>
      <c r="K1802" s="62" t="s">
        <v>52064</v>
      </c>
      <c r="L1802" s="62" t="s">
        <v>22683</v>
      </c>
      <c r="M1802" s="62" t="s">
        <v>22684</v>
      </c>
      <c r="N1802" s="62" t="s">
        <v>22685</v>
      </c>
      <c r="O1802" s="62" t="s">
        <v>22686</v>
      </c>
      <c r="P1802" s="62" t="s">
        <v>52096</v>
      </c>
      <c r="Q1802" s="62" t="s">
        <v>22687</v>
      </c>
      <c r="R1802" s="62" t="s">
        <v>22688</v>
      </c>
      <c r="S1802" s="62" t="s">
        <v>22689</v>
      </c>
      <c r="U1802" s="62" t="s">
        <v>22690</v>
      </c>
      <c r="V1802" s="62" t="s">
        <v>52128</v>
      </c>
      <c r="W1802" s="62" t="s">
        <v>22691</v>
      </c>
      <c r="X1802" s="62" t="s">
        <v>22692</v>
      </c>
      <c r="Y1802" s="62" t="s">
        <v>22693</v>
      </c>
      <c r="Z1802" s="62" t="s">
        <v>22694</v>
      </c>
      <c r="AA1802" s="62" t="s">
        <v>52160</v>
      </c>
      <c r="AB1802" s="62" t="s">
        <v>22695</v>
      </c>
      <c r="AC1802" s="62" t="s">
        <v>22696</v>
      </c>
      <c r="AD1802" s="62" t="s">
        <v>22697</v>
      </c>
    </row>
    <row r="1803" spans="1:30" x14ac:dyDescent="0.25">
      <c r="A1803" s="62" t="s">
        <v>109</v>
      </c>
      <c r="C1803" s="62" t="s">
        <v>22698</v>
      </c>
      <c r="F1803" s="62" t="s">
        <v>748</v>
      </c>
      <c r="G1803" s="62" t="s">
        <v>52033</v>
      </c>
      <c r="J1803" s="62" t="s">
        <v>22699</v>
      </c>
      <c r="K1803" s="62" t="s">
        <v>52065</v>
      </c>
      <c r="L1803" s="62" t="s">
        <v>22700</v>
      </c>
      <c r="M1803" s="62" t="s">
        <v>22701</v>
      </c>
      <c r="N1803" s="62" t="s">
        <v>22702</v>
      </c>
      <c r="O1803" s="62" t="s">
        <v>22703</v>
      </c>
      <c r="P1803" s="62" t="s">
        <v>52097</v>
      </c>
      <c r="Q1803" s="62" t="s">
        <v>22704</v>
      </c>
      <c r="R1803" s="62" t="s">
        <v>22705</v>
      </c>
      <c r="S1803" s="62" t="s">
        <v>22706</v>
      </c>
      <c r="U1803" s="62" t="s">
        <v>22707</v>
      </c>
      <c r="V1803" s="62" t="s">
        <v>52129</v>
      </c>
      <c r="W1803" s="62" t="s">
        <v>22708</v>
      </c>
      <c r="X1803" s="62" t="s">
        <v>22709</v>
      </c>
      <c r="Y1803" s="62" t="s">
        <v>22710</v>
      </c>
      <c r="Z1803" s="62" t="s">
        <v>22711</v>
      </c>
      <c r="AA1803" s="62" t="s">
        <v>52161</v>
      </c>
      <c r="AB1803" s="62" t="s">
        <v>22712</v>
      </c>
      <c r="AC1803" s="62" t="s">
        <v>22713</v>
      </c>
      <c r="AD1803" s="62" t="s">
        <v>22714</v>
      </c>
    </row>
    <row r="1804" spans="1:30" x14ac:dyDescent="0.25">
      <c r="A1804" s="62" t="s">
        <v>109</v>
      </c>
      <c r="C1804" s="62" t="s">
        <v>22715</v>
      </c>
      <c r="F1804" s="62" t="s">
        <v>776</v>
      </c>
      <c r="G1804" s="62" t="s">
        <v>52034</v>
      </c>
      <c r="J1804" s="62" t="s">
        <v>22716</v>
      </c>
      <c r="K1804" s="62" t="s">
        <v>52066</v>
      </c>
      <c r="L1804" s="62" t="s">
        <v>22717</v>
      </c>
      <c r="M1804" s="62" t="s">
        <v>22718</v>
      </c>
      <c r="N1804" s="62" t="s">
        <v>22719</v>
      </c>
      <c r="O1804" s="62" t="s">
        <v>22720</v>
      </c>
      <c r="P1804" s="62" t="s">
        <v>52098</v>
      </c>
      <c r="Q1804" s="62" t="s">
        <v>22721</v>
      </c>
      <c r="R1804" s="62" t="s">
        <v>22722</v>
      </c>
      <c r="S1804" s="62" t="s">
        <v>22723</v>
      </c>
      <c r="U1804" s="62" t="s">
        <v>22724</v>
      </c>
      <c r="V1804" s="62" t="s">
        <v>52130</v>
      </c>
      <c r="W1804" s="62" t="s">
        <v>22725</v>
      </c>
      <c r="X1804" s="62" t="s">
        <v>22726</v>
      </c>
      <c r="Y1804" s="62" t="s">
        <v>22727</v>
      </c>
      <c r="Z1804" s="62" t="s">
        <v>22728</v>
      </c>
      <c r="AA1804" s="62" t="s">
        <v>52162</v>
      </c>
      <c r="AB1804" s="62" t="s">
        <v>22729</v>
      </c>
      <c r="AC1804" s="62" t="s">
        <v>22730</v>
      </c>
      <c r="AD1804" s="62" t="s">
        <v>22731</v>
      </c>
    </row>
    <row r="1805" spans="1:30" x14ac:dyDescent="0.25">
      <c r="A1805" s="62" t="s">
        <v>109</v>
      </c>
      <c r="C1805" s="62" t="s">
        <v>22732</v>
      </c>
      <c r="F1805" s="62" t="s">
        <v>1359</v>
      </c>
      <c r="G1805" s="62" t="s">
        <v>52035</v>
      </c>
      <c r="J1805" s="62" t="s">
        <v>22733</v>
      </c>
      <c r="K1805" s="62" t="s">
        <v>52067</v>
      </c>
      <c r="L1805" s="62" t="s">
        <v>22734</v>
      </c>
      <c r="M1805" s="62" t="s">
        <v>22735</v>
      </c>
      <c r="N1805" s="62" t="s">
        <v>22736</v>
      </c>
      <c r="O1805" s="62" t="s">
        <v>22737</v>
      </c>
      <c r="P1805" s="62" t="s">
        <v>52099</v>
      </c>
      <c r="Q1805" s="62" t="s">
        <v>22738</v>
      </c>
      <c r="R1805" s="62" t="s">
        <v>22739</v>
      </c>
      <c r="S1805" s="62" t="s">
        <v>22740</v>
      </c>
      <c r="U1805" s="62" t="s">
        <v>22741</v>
      </c>
      <c r="V1805" s="62" t="s">
        <v>52131</v>
      </c>
      <c r="W1805" s="62" t="s">
        <v>22742</v>
      </c>
      <c r="X1805" s="62" t="s">
        <v>22743</v>
      </c>
      <c r="Y1805" s="62" t="s">
        <v>22744</v>
      </c>
      <c r="Z1805" s="62" t="s">
        <v>22745</v>
      </c>
      <c r="AA1805" s="62" t="s">
        <v>52163</v>
      </c>
      <c r="AB1805" s="62" t="s">
        <v>22746</v>
      </c>
      <c r="AC1805" s="62" t="s">
        <v>22747</v>
      </c>
      <c r="AD1805" s="62" t="s">
        <v>22748</v>
      </c>
    </row>
    <row r="1806" spans="1:30" x14ac:dyDescent="0.25">
      <c r="A1806" s="62" t="s">
        <v>109</v>
      </c>
      <c r="C1806" s="62" t="s">
        <v>22749</v>
      </c>
      <c r="F1806" s="62" t="s">
        <v>142</v>
      </c>
      <c r="G1806" s="62" t="s">
        <v>52036</v>
      </c>
      <c r="J1806" s="62" t="s">
        <v>22750</v>
      </c>
      <c r="K1806" s="62" t="s">
        <v>52068</v>
      </c>
      <c r="L1806" s="62" t="s">
        <v>22751</v>
      </c>
      <c r="M1806" s="62" t="s">
        <v>22752</v>
      </c>
      <c r="N1806" s="62" t="s">
        <v>22753</v>
      </c>
      <c r="O1806" s="62" t="s">
        <v>22754</v>
      </c>
      <c r="P1806" s="62" t="s">
        <v>52100</v>
      </c>
      <c r="Q1806" s="62" t="s">
        <v>22755</v>
      </c>
      <c r="R1806" s="62" t="s">
        <v>22756</v>
      </c>
      <c r="S1806" s="62" t="s">
        <v>22757</v>
      </c>
      <c r="U1806" s="62" t="s">
        <v>22758</v>
      </c>
      <c r="V1806" s="62" t="s">
        <v>52132</v>
      </c>
      <c r="W1806" s="62" t="s">
        <v>22759</v>
      </c>
      <c r="X1806" s="62" t="s">
        <v>22760</v>
      </c>
      <c r="Y1806" s="62" t="s">
        <v>22761</v>
      </c>
      <c r="Z1806" s="62" t="s">
        <v>22762</v>
      </c>
      <c r="AA1806" s="62" t="s">
        <v>52164</v>
      </c>
      <c r="AB1806" s="62" t="s">
        <v>22763</v>
      </c>
      <c r="AC1806" s="62" t="s">
        <v>22764</v>
      </c>
      <c r="AD1806" s="62" t="s">
        <v>22765</v>
      </c>
    </row>
    <row r="1807" spans="1:30" x14ac:dyDescent="0.25">
      <c r="A1807" s="62" t="s">
        <v>109</v>
      </c>
      <c r="C1807" s="62" t="s">
        <v>22766</v>
      </c>
      <c r="F1807" s="62" t="s">
        <v>802</v>
      </c>
      <c r="G1807" s="62" t="s">
        <v>52037</v>
      </c>
      <c r="J1807" s="62" t="s">
        <v>22767</v>
      </c>
      <c r="K1807" s="62" t="s">
        <v>52069</v>
      </c>
      <c r="L1807" s="62" t="s">
        <v>22768</v>
      </c>
      <c r="M1807" s="62" t="s">
        <v>22769</v>
      </c>
      <c r="N1807" s="62" t="s">
        <v>22770</v>
      </c>
      <c r="O1807" s="62" t="s">
        <v>22771</v>
      </c>
      <c r="P1807" s="62" t="s">
        <v>52101</v>
      </c>
      <c r="Q1807" s="62" t="s">
        <v>22772</v>
      </c>
      <c r="R1807" s="62" t="s">
        <v>22773</v>
      </c>
      <c r="S1807" s="62" t="s">
        <v>22774</v>
      </c>
      <c r="U1807" s="62" t="s">
        <v>22775</v>
      </c>
      <c r="V1807" s="62" t="s">
        <v>52133</v>
      </c>
      <c r="W1807" s="62" t="s">
        <v>22776</v>
      </c>
      <c r="X1807" s="62" t="s">
        <v>22777</v>
      </c>
      <c r="Y1807" s="62" t="s">
        <v>22778</v>
      </c>
      <c r="Z1807" s="62" t="s">
        <v>22779</v>
      </c>
      <c r="AA1807" s="62" t="s">
        <v>52165</v>
      </c>
      <c r="AB1807" s="62" t="s">
        <v>22780</v>
      </c>
      <c r="AC1807" s="62" t="s">
        <v>22781</v>
      </c>
      <c r="AD1807" s="62" t="s">
        <v>22782</v>
      </c>
    </row>
    <row r="1808" spans="1:30" x14ac:dyDescent="0.25">
      <c r="A1808" s="62" t="s">
        <v>109</v>
      </c>
      <c r="C1808" s="62" t="s">
        <v>22783</v>
      </c>
      <c r="F1808" s="62" t="s">
        <v>159</v>
      </c>
      <c r="G1808" s="62" t="s">
        <v>52038</v>
      </c>
      <c r="J1808" s="62" t="s">
        <v>22784</v>
      </c>
      <c r="K1808" s="62" t="s">
        <v>52070</v>
      </c>
      <c r="L1808" s="62" t="s">
        <v>22785</v>
      </c>
      <c r="M1808" s="62" t="s">
        <v>22786</v>
      </c>
      <c r="N1808" s="62" t="s">
        <v>22787</v>
      </c>
      <c r="O1808" s="62" t="s">
        <v>22788</v>
      </c>
      <c r="P1808" s="62" t="s">
        <v>52102</v>
      </c>
      <c r="Q1808" s="62" t="s">
        <v>22789</v>
      </c>
      <c r="R1808" s="62" t="s">
        <v>22790</v>
      </c>
      <c r="S1808" s="62" t="s">
        <v>22791</v>
      </c>
      <c r="U1808" s="62" t="s">
        <v>22792</v>
      </c>
      <c r="V1808" s="62" t="s">
        <v>52134</v>
      </c>
      <c r="W1808" s="62" t="s">
        <v>22793</v>
      </c>
      <c r="X1808" s="62" t="s">
        <v>22794</v>
      </c>
      <c r="Y1808" s="62" t="s">
        <v>22795</v>
      </c>
      <c r="Z1808" s="62" t="s">
        <v>22796</v>
      </c>
      <c r="AA1808" s="62" t="s">
        <v>52166</v>
      </c>
      <c r="AB1808" s="62" t="s">
        <v>22797</v>
      </c>
      <c r="AC1808" s="62" t="s">
        <v>22798</v>
      </c>
      <c r="AD1808" s="62" t="s">
        <v>22799</v>
      </c>
    </row>
    <row r="1809" spans="1:30" x14ac:dyDescent="0.25">
      <c r="A1809" s="62" t="s">
        <v>109</v>
      </c>
      <c r="C1809" s="62" t="s">
        <v>22800</v>
      </c>
      <c r="F1809" s="62" t="s">
        <v>889</v>
      </c>
      <c r="G1809" s="62" t="s">
        <v>52039</v>
      </c>
      <c r="J1809" s="62" t="s">
        <v>22801</v>
      </c>
      <c r="K1809" s="62" t="s">
        <v>52071</v>
      </c>
      <c r="L1809" s="62" t="s">
        <v>22802</v>
      </c>
      <c r="M1809" s="62" t="s">
        <v>22803</v>
      </c>
      <c r="N1809" s="62" t="s">
        <v>22804</v>
      </c>
      <c r="O1809" s="62" t="s">
        <v>22805</v>
      </c>
      <c r="P1809" s="62" t="s">
        <v>52103</v>
      </c>
      <c r="Q1809" s="62" t="s">
        <v>22806</v>
      </c>
      <c r="R1809" s="62" t="s">
        <v>22807</v>
      </c>
      <c r="S1809" s="62" t="s">
        <v>22808</v>
      </c>
      <c r="U1809" s="62" t="s">
        <v>22809</v>
      </c>
      <c r="V1809" s="62" t="s">
        <v>52135</v>
      </c>
      <c r="W1809" s="62" t="s">
        <v>22810</v>
      </c>
      <c r="X1809" s="62" t="s">
        <v>22811</v>
      </c>
      <c r="Y1809" s="62" t="s">
        <v>22812</v>
      </c>
      <c r="Z1809" s="62" t="s">
        <v>22813</v>
      </c>
      <c r="AA1809" s="62" t="s">
        <v>52167</v>
      </c>
      <c r="AB1809" s="62" t="s">
        <v>22814</v>
      </c>
      <c r="AC1809" s="62" t="s">
        <v>22815</v>
      </c>
      <c r="AD1809" s="62" t="s">
        <v>22816</v>
      </c>
    </row>
    <row r="1810" spans="1:30" x14ac:dyDescent="0.25">
      <c r="A1810" s="62" t="s">
        <v>109</v>
      </c>
      <c r="C1810" s="62" t="s">
        <v>22817</v>
      </c>
      <c r="F1810" s="62" t="s">
        <v>898</v>
      </c>
      <c r="G1810" s="62" t="s">
        <v>52040</v>
      </c>
      <c r="J1810" s="62" t="s">
        <v>22818</v>
      </c>
      <c r="K1810" s="62" t="s">
        <v>52072</v>
      </c>
      <c r="L1810" s="62" t="s">
        <v>22819</v>
      </c>
      <c r="M1810" s="62" t="s">
        <v>22820</v>
      </c>
      <c r="N1810" s="62" t="s">
        <v>22821</v>
      </c>
      <c r="O1810" s="62" t="s">
        <v>22822</v>
      </c>
      <c r="P1810" s="62" t="s">
        <v>52104</v>
      </c>
      <c r="Q1810" s="62" t="s">
        <v>22823</v>
      </c>
      <c r="R1810" s="62" t="s">
        <v>22824</v>
      </c>
      <c r="S1810" s="62" t="s">
        <v>22825</v>
      </c>
      <c r="U1810" s="62" t="s">
        <v>22826</v>
      </c>
      <c r="V1810" s="62" t="s">
        <v>52136</v>
      </c>
      <c r="W1810" s="62" t="s">
        <v>22827</v>
      </c>
      <c r="X1810" s="62" t="s">
        <v>22828</v>
      </c>
      <c r="Y1810" s="62" t="s">
        <v>22829</v>
      </c>
      <c r="Z1810" s="62" t="s">
        <v>22830</v>
      </c>
      <c r="AA1810" s="62" t="s">
        <v>52168</v>
      </c>
      <c r="AB1810" s="62" t="s">
        <v>22831</v>
      </c>
      <c r="AC1810" s="62" t="s">
        <v>22832</v>
      </c>
      <c r="AD1810" s="62" t="s">
        <v>22833</v>
      </c>
    </row>
    <row r="1811" spans="1:30" x14ac:dyDescent="0.25">
      <c r="A1811" s="62" t="s">
        <v>109</v>
      </c>
      <c r="C1811" s="62" t="s">
        <v>44040</v>
      </c>
      <c r="F1811" s="62" t="s">
        <v>925</v>
      </c>
      <c r="G1811" s="62" t="s">
        <v>52041</v>
      </c>
      <c r="J1811" s="62" t="s">
        <v>44041</v>
      </c>
      <c r="K1811" s="62" t="s">
        <v>52073</v>
      </c>
      <c r="L1811" s="62" t="s">
        <v>44042</v>
      </c>
      <c r="M1811" s="62" t="s">
        <v>44043</v>
      </c>
      <c r="N1811" s="62" t="s">
        <v>44044</v>
      </c>
      <c r="O1811" s="62" t="s">
        <v>44045</v>
      </c>
      <c r="P1811" s="62" t="s">
        <v>52105</v>
      </c>
      <c r="Q1811" s="62" t="s">
        <v>44046</v>
      </c>
      <c r="R1811" s="62" t="s">
        <v>44047</v>
      </c>
      <c r="S1811" s="62" t="s">
        <v>44048</v>
      </c>
      <c r="U1811" s="62" t="s">
        <v>44049</v>
      </c>
      <c r="V1811" s="62" t="s">
        <v>52137</v>
      </c>
      <c r="W1811" s="62" t="s">
        <v>44050</v>
      </c>
      <c r="X1811" s="62" t="s">
        <v>44051</v>
      </c>
      <c r="Y1811" s="62" t="s">
        <v>44052</v>
      </c>
      <c r="Z1811" s="62" t="s">
        <v>44053</v>
      </c>
      <c r="AA1811" s="62" t="s">
        <v>52169</v>
      </c>
      <c r="AB1811" s="62" t="s">
        <v>44054</v>
      </c>
      <c r="AC1811" s="62" t="s">
        <v>44055</v>
      </c>
      <c r="AD1811" s="62" t="s">
        <v>44056</v>
      </c>
    </row>
    <row r="1812" spans="1:30" x14ac:dyDescent="0.25">
      <c r="A1812" s="62" t="s">
        <v>109</v>
      </c>
      <c r="C1812" s="62" t="s">
        <v>22834</v>
      </c>
      <c r="F1812" s="62" t="s">
        <v>943</v>
      </c>
      <c r="G1812" s="62" t="s">
        <v>52042</v>
      </c>
      <c r="J1812" s="62" t="s">
        <v>44057</v>
      </c>
      <c r="K1812" s="62" t="s">
        <v>52074</v>
      </c>
      <c r="L1812" s="62" t="s">
        <v>44058</v>
      </c>
      <c r="M1812" s="62" t="s">
        <v>22835</v>
      </c>
      <c r="N1812" s="62" t="s">
        <v>22836</v>
      </c>
      <c r="O1812" s="62" t="s">
        <v>44059</v>
      </c>
      <c r="P1812" s="62" t="s">
        <v>52106</v>
      </c>
      <c r="Q1812" s="62" t="s">
        <v>44060</v>
      </c>
      <c r="R1812" s="62" t="s">
        <v>22837</v>
      </c>
      <c r="S1812" s="62" t="s">
        <v>22838</v>
      </c>
      <c r="U1812" s="62" t="s">
        <v>44061</v>
      </c>
      <c r="V1812" s="62" t="s">
        <v>52138</v>
      </c>
      <c r="W1812" s="62" t="s">
        <v>44062</v>
      </c>
      <c r="X1812" s="62" t="s">
        <v>22839</v>
      </c>
      <c r="Y1812" s="62" t="s">
        <v>22840</v>
      </c>
      <c r="Z1812" s="62" t="s">
        <v>44063</v>
      </c>
      <c r="AA1812" s="62" t="s">
        <v>52170</v>
      </c>
      <c r="AB1812" s="62" t="s">
        <v>44064</v>
      </c>
      <c r="AC1812" s="62" t="s">
        <v>22841</v>
      </c>
      <c r="AD1812" s="62" t="s">
        <v>22842</v>
      </c>
    </row>
    <row r="1813" spans="1:30" x14ac:dyDescent="0.25">
      <c r="A1813" s="62" t="s">
        <v>109</v>
      </c>
      <c r="C1813" s="62" t="s">
        <v>44065</v>
      </c>
      <c r="F1813" s="62" t="s">
        <v>976</v>
      </c>
      <c r="G1813" s="62" t="s">
        <v>52043</v>
      </c>
      <c r="J1813" s="62" t="s">
        <v>44066</v>
      </c>
      <c r="K1813" s="62" t="s">
        <v>52075</v>
      </c>
      <c r="L1813" s="62" t="s">
        <v>44067</v>
      </c>
      <c r="M1813" s="62" t="s">
        <v>44068</v>
      </c>
      <c r="N1813" s="62" t="s">
        <v>44069</v>
      </c>
      <c r="O1813" s="62" t="s">
        <v>44070</v>
      </c>
      <c r="P1813" s="62" t="s">
        <v>52107</v>
      </c>
      <c r="Q1813" s="62" t="s">
        <v>44071</v>
      </c>
      <c r="R1813" s="62" t="s">
        <v>44072</v>
      </c>
      <c r="S1813" s="62" t="s">
        <v>44073</v>
      </c>
      <c r="U1813" s="62" t="s">
        <v>44074</v>
      </c>
      <c r="V1813" s="62" t="s">
        <v>52139</v>
      </c>
      <c r="W1813" s="62" t="s">
        <v>44075</v>
      </c>
      <c r="X1813" s="62" t="s">
        <v>44076</v>
      </c>
      <c r="Y1813" s="62" t="s">
        <v>44077</v>
      </c>
      <c r="Z1813" s="62" t="s">
        <v>44078</v>
      </c>
      <c r="AA1813" s="62" t="s">
        <v>52171</v>
      </c>
      <c r="AB1813" s="62" t="s">
        <v>44079</v>
      </c>
      <c r="AC1813" s="62" t="s">
        <v>44080</v>
      </c>
      <c r="AD1813" s="62" t="s">
        <v>44081</v>
      </c>
    </row>
    <row r="1814" spans="1:30" x14ac:dyDescent="0.25">
      <c r="A1814" s="62" t="s">
        <v>109</v>
      </c>
      <c r="C1814" s="62" t="s">
        <v>44082</v>
      </c>
      <c r="F1814" s="62" t="s">
        <v>1002</v>
      </c>
      <c r="G1814" s="62" t="s">
        <v>52044</v>
      </c>
      <c r="J1814" s="62" t="s">
        <v>44083</v>
      </c>
      <c r="K1814" s="62" t="s">
        <v>52076</v>
      </c>
      <c r="L1814" s="62" t="s">
        <v>44084</v>
      </c>
      <c r="M1814" s="62" t="s">
        <v>44085</v>
      </c>
      <c r="N1814" s="62" t="s">
        <v>44086</v>
      </c>
      <c r="O1814" s="62" t="s">
        <v>44087</v>
      </c>
      <c r="P1814" s="62" t="s">
        <v>52108</v>
      </c>
      <c r="Q1814" s="62" t="s">
        <v>44088</v>
      </c>
      <c r="R1814" s="62" t="s">
        <v>44089</v>
      </c>
      <c r="S1814" s="62" t="s">
        <v>44090</v>
      </c>
      <c r="U1814" s="62" t="s">
        <v>44091</v>
      </c>
      <c r="V1814" s="62" t="s">
        <v>52140</v>
      </c>
      <c r="W1814" s="62" t="s">
        <v>44092</v>
      </c>
      <c r="X1814" s="62" t="s">
        <v>44093</v>
      </c>
      <c r="Y1814" s="62" t="s">
        <v>44094</v>
      </c>
      <c r="Z1814" s="62" t="s">
        <v>44095</v>
      </c>
      <c r="AA1814" s="62" t="s">
        <v>52172</v>
      </c>
      <c r="AB1814" s="62" t="s">
        <v>44096</v>
      </c>
      <c r="AC1814" s="62" t="s">
        <v>44097</v>
      </c>
      <c r="AD1814" s="62" t="s">
        <v>44098</v>
      </c>
    </row>
    <row r="1815" spans="1:30" x14ac:dyDescent="0.25">
      <c r="A1815" s="62" t="s">
        <v>109</v>
      </c>
      <c r="C1815" s="62" t="s">
        <v>22843</v>
      </c>
      <c r="F1815" s="62" t="s">
        <v>1012</v>
      </c>
      <c r="G1815" s="62" t="s">
        <v>52045</v>
      </c>
      <c r="J1815" s="62" t="s">
        <v>44099</v>
      </c>
      <c r="K1815" s="62" t="s">
        <v>52077</v>
      </c>
      <c r="L1815" s="62" t="s">
        <v>44100</v>
      </c>
      <c r="M1815" s="62" t="s">
        <v>44101</v>
      </c>
      <c r="N1815" s="62" t="s">
        <v>44102</v>
      </c>
      <c r="O1815" s="62" t="s">
        <v>44103</v>
      </c>
      <c r="P1815" s="62" t="s">
        <v>52109</v>
      </c>
      <c r="Q1815" s="62" t="s">
        <v>44104</v>
      </c>
      <c r="R1815" s="62" t="s">
        <v>44105</v>
      </c>
      <c r="S1815" s="62" t="s">
        <v>44106</v>
      </c>
      <c r="U1815" s="62" t="s">
        <v>44107</v>
      </c>
      <c r="V1815" s="62" t="s">
        <v>52141</v>
      </c>
      <c r="W1815" s="62" t="s">
        <v>44108</v>
      </c>
      <c r="X1815" s="62" t="s">
        <v>44109</v>
      </c>
      <c r="Y1815" s="62" t="s">
        <v>44110</v>
      </c>
      <c r="Z1815" s="62" t="s">
        <v>44111</v>
      </c>
      <c r="AA1815" s="62" t="s">
        <v>52173</v>
      </c>
      <c r="AB1815" s="62" t="s">
        <v>44112</v>
      </c>
      <c r="AC1815" s="62" t="s">
        <v>44113</v>
      </c>
      <c r="AD1815" s="62" t="s">
        <v>44114</v>
      </c>
    </row>
    <row r="1816" spans="1:30" x14ac:dyDescent="0.25">
      <c r="A1816" s="62" t="s">
        <v>109</v>
      </c>
      <c r="C1816" s="62" t="s">
        <v>22844</v>
      </c>
      <c r="F1816" s="62" t="s">
        <v>1073</v>
      </c>
      <c r="G1816" s="62" t="s">
        <v>52046</v>
      </c>
      <c r="J1816" s="62" t="s">
        <v>22845</v>
      </c>
      <c r="K1816" s="62" t="s">
        <v>52078</v>
      </c>
      <c r="L1816" s="62" t="s">
        <v>22846</v>
      </c>
      <c r="M1816" s="62" t="s">
        <v>22847</v>
      </c>
      <c r="N1816" s="62" t="s">
        <v>22848</v>
      </c>
      <c r="O1816" s="62" t="s">
        <v>22849</v>
      </c>
      <c r="P1816" s="62" t="s">
        <v>52110</v>
      </c>
      <c r="Q1816" s="62" t="s">
        <v>22850</v>
      </c>
      <c r="R1816" s="62" t="s">
        <v>22851</v>
      </c>
      <c r="S1816" s="62" t="s">
        <v>22852</v>
      </c>
      <c r="U1816" s="62" t="s">
        <v>22853</v>
      </c>
      <c r="V1816" s="62" t="s">
        <v>52142</v>
      </c>
      <c r="W1816" s="62" t="s">
        <v>22854</v>
      </c>
      <c r="X1816" s="62" t="s">
        <v>22855</v>
      </c>
      <c r="Y1816" s="62" t="s">
        <v>22856</v>
      </c>
      <c r="Z1816" s="62" t="s">
        <v>22857</v>
      </c>
      <c r="AA1816" s="62" t="s">
        <v>52174</v>
      </c>
      <c r="AB1816" s="62" t="s">
        <v>22858</v>
      </c>
      <c r="AC1816" s="62" t="s">
        <v>22859</v>
      </c>
      <c r="AD1816" s="62" t="s">
        <v>22860</v>
      </c>
    </row>
    <row r="1817" spans="1:30" x14ac:dyDescent="0.25">
      <c r="A1817" s="62" t="s">
        <v>109</v>
      </c>
      <c r="C1817" s="62" t="s">
        <v>22861</v>
      </c>
      <c r="F1817" s="62" t="s">
        <v>1090</v>
      </c>
      <c r="G1817" s="62" t="s">
        <v>52047</v>
      </c>
      <c r="J1817" s="62" t="s">
        <v>22862</v>
      </c>
      <c r="K1817" s="62" t="s">
        <v>52079</v>
      </c>
      <c r="L1817" s="62" t="s">
        <v>22863</v>
      </c>
      <c r="M1817" s="62" t="s">
        <v>22864</v>
      </c>
      <c r="N1817" s="62" t="s">
        <v>22865</v>
      </c>
      <c r="O1817" s="62" t="s">
        <v>22866</v>
      </c>
      <c r="P1817" s="62" t="s">
        <v>52111</v>
      </c>
      <c r="Q1817" s="62" t="s">
        <v>22867</v>
      </c>
      <c r="R1817" s="62" t="s">
        <v>22868</v>
      </c>
      <c r="S1817" s="62" t="s">
        <v>22869</v>
      </c>
      <c r="U1817" s="62" t="s">
        <v>22870</v>
      </c>
      <c r="V1817" s="62" t="s">
        <v>52143</v>
      </c>
      <c r="W1817" s="62" t="s">
        <v>22871</v>
      </c>
      <c r="X1817" s="62" t="s">
        <v>22872</v>
      </c>
      <c r="Y1817" s="62" t="s">
        <v>22873</v>
      </c>
      <c r="Z1817" s="62" t="s">
        <v>22874</v>
      </c>
      <c r="AA1817" s="62" t="s">
        <v>52175</v>
      </c>
      <c r="AB1817" s="62" t="s">
        <v>22875</v>
      </c>
      <c r="AC1817" s="62" t="s">
        <v>22876</v>
      </c>
      <c r="AD1817" s="62" t="s">
        <v>22877</v>
      </c>
    </row>
    <row r="1818" spans="1:30" x14ac:dyDescent="0.25">
      <c r="A1818" s="62" t="s">
        <v>109</v>
      </c>
      <c r="C1818" s="62" t="s">
        <v>22878</v>
      </c>
      <c r="F1818" s="62" t="s">
        <v>1100</v>
      </c>
      <c r="G1818" s="62" t="s">
        <v>52048</v>
      </c>
      <c r="J1818" s="62" t="s">
        <v>22879</v>
      </c>
      <c r="K1818" s="62" t="s">
        <v>52080</v>
      </c>
      <c r="L1818" s="62" t="s">
        <v>22880</v>
      </c>
      <c r="M1818" s="62" t="s">
        <v>22881</v>
      </c>
      <c r="N1818" s="62" t="s">
        <v>22882</v>
      </c>
      <c r="O1818" s="62" t="s">
        <v>22883</v>
      </c>
      <c r="P1818" s="62" t="s">
        <v>52112</v>
      </c>
      <c r="Q1818" s="62" t="s">
        <v>22884</v>
      </c>
      <c r="R1818" s="62" t="s">
        <v>22885</v>
      </c>
      <c r="S1818" s="62" t="s">
        <v>22886</v>
      </c>
      <c r="U1818" s="62" t="s">
        <v>22887</v>
      </c>
      <c r="V1818" s="62" t="s">
        <v>52144</v>
      </c>
      <c r="W1818" s="62" t="s">
        <v>22888</v>
      </c>
      <c r="X1818" s="62" t="s">
        <v>22889</v>
      </c>
      <c r="Y1818" s="62" t="s">
        <v>22890</v>
      </c>
      <c r="Z1818" s="62" t="s">
        <v>22891</v>
      </c>
      <c r="AA1818" s="62" t="s">
        <v>52176</v>
      </c>
      <c r="AB1818" s="62" t="s">
        <v>22892</v>
      </c>
      <c r="AC1818" s="62" t="s">
        <v>22893</v>
      </c>
      <c r="AD1818" s="62" t="s">
        <v>22894</v>
      </c>
    </row>
    <row r="1819" spans="1:30" x14ac:dyDescent="0.25">
      <c r="A1819" s="62" t="s">
        <v>109</v>
      </c>
      <c r="C1819" s="62" t="s">
        <v>22895</v>
      </c>
      <c r="F1819" s="62" t="s">
        <v>1118</v>
      </c>
      <c r="G1819" s="62" t="s">
        <v>52049</v>
      </c>
      <c r="J1819" s="62" t="s">
        <v>22896</v>
      </c>
      <c r="K1819" s="62" t="s">
        <v>52081</v>
      </c>
      <c r="L1819" s="62" t="s">
        <v>22897</v>
      </c>
      <c r="M1819" s="62" t="s">
        <v>22898</v>
      </c>
      <c r="N1819" s="62" t="s">
        <v>22899</v>
      </c>
      <c r="O1819" s="62" t="s">
        <v>22900</v>
      </c>
      <c r="P1819" s="62" t="s">
        <v>52113</v>
      </c>
      <c r="Q1819" s="62" t="s">
        <v>22901</v>
      </c>
      <c r="R1819" s="62" t="s">
        <v>22902</v>
      </c>
      <c r="S1819" s="62" t="s">
        <v>22903</v>
      </c>
      <c r="U1819" s="62" t="s">
        <v>22904</v>
      </c>
      <c r="V1819" s="62" t="s">
        <v>52145</v>
      </c>
      <c r="W1819" s="62" t="s">
        <v>22905</v>
      </c>
      <c r="X1819" s="62" t="s">
        <v>22906</v>
      </c>
      <c r="Y1819" s="62" t="s">
        <v>22907</v>
      </c>
      <c r="Z1819" s="62" t="s">
        <v>22908</v>
      </c>
      <c r="AA1819" s="62" t="s">
        <v>52177</v>
      </c>
      <c r="AB1819" s="62" t="s">
        <v>22909</v>
      </c>
      <c r="AC1819" s="62" t="s">
        <v>22910</v>
      </c>
      <c r="AD1819" s="62" t="s">
        <v>22911</v>
      </c>
    </row>
    <row r="1820" spans="1:30" x14ac:dyDescent="0.25">
      <c r="A1820" s="62" t="s">
        <v>109</v>
      </c>
      <c r="C1820" s="62" t="s">
        <v>22912</v>
      </c>
      <c r="F1820" s="62" t="s">
        <v>1152</v>
      </c>
      <c r="G1820" s="62" t="s">
        <v>52050</v>
      </c>
      <c r="J1820" s="62" t="s">
        <v>22913</v>
      </c>
      <c r="K1820" s="62" t="s">
        <v>52082</v>
      </c>
      <c r="L1820" s="62" t="s">
        <v>22914</v>
      </c>
      <c r="M1820" s="62" t="s">
        <v>22915</v>
      </c>
      <c r="N1820" s="62" t="s">
        <v>22916</v>
      </c>
      <c r="O1820" s="62" t="s">
        <v>22917</v>
      </c>
      <c r="P1820" s="62" t="s">
        <v>52114</v>
      </c>
      <c r="Q1820" s="62" t="s">
        <v>22918</v>
      </c>
      <c r="R1820" s="62" t="s">
        <v>22919</v>
      </c>
      <c r="S1820" s="62" t="s">
        <v>22920</v>
      </c>
      <c r="U1820" s="62" t="s">
        <v>22921</v>
      </c>
      <c r="V1820" s="62" t="s">
        <v>52146</v>
      </c>
      <c r="W1820" s="62" t="s">
        <v>22922</v>
      </c>
      <c r="X1820" s="62" t="s">
        <v>22923</v>
      </c>
      <c r="Y1820" s="62" t="s">
        <v>22924</v>
      </c>
      <c r="Z1820" s="62" t="s">
        <v>22925</v>
      </c>
      <c r="AA1820" s="62" t="s">
        <v>52178</v>
      </c>
      <c r="AB1820" s="62" t="s">
        <v>22926</v>
      </c>
      <c r="AC1820" s="62" t="s">
        <v>22927</v>
      </c>
      <c r="AD1820" s="62" t="s">
        <v>22928</v>
      </c>
    </row>
    <row r="1821" spans="1:30" x14ac:dyDescent="0.25">
      <c r="A1821" s="62" t="s">
        <v>109</v>
      </c>
      <c r="C1821" s="62" t="s">
        <v>22929</v>
      </c>
      <c r="F1821" s="62" t="s">
        <v>1688</v>
      </c>
      <c r="G1821" s="62" t="s">
        <v>52051</v>
      </c>
      <c r="J1821" s="62" t="s">
        <v>22930</v>
      </c>
      <c r="K1821" s="62" t="s">
        <v>52083</v>
      </c>
      <c r="L1821" s="62" t="s">
        <v>22931</v>
      </c>
      <c r="M1821" s="62" t="s">
        <v>22932</v>
      </c>
      <c r="N1821" s="62" t="s">
        <v>22933</v>
      </c>
      <c r="O1821" s="62" t="s">
        <v>22934</v>
      </c>
      <c r="P1821" s="62" t="s">
        <v>52115</v>
      </c>
      <c r="Q1821" s="62" t="s">
        <v>22935</v>
      </c>
      <c r="R1821" s="62" t="s">
        <v>22936</v>
      </c>
      <c r="S1821" s="62" t="s">
        <v>22937</v>
      </c>
      <c r="U1821" s="62" t="s">
        <v>22938</v>
      </c>
      <c r="V1821" s="62" t="s">
        <v>52147</v>
      </c>
      <c r="W1821" s="62" t="s">
        <v>22939</v>
      </c>
      <c r="X1821" s="62" t="s">
        <v>22940</v>
      </c>
      <c r="Y1821" s="62" t="s">
        <v>22941</v>
      </c>
      <c r="Z1821" s="62" t="s">
        <v>22942</v>
      </c>
      <c r="AA1821" s="62" t="s">
        <v>52179</v>
      </c>
      <c r="AB1821" s="62" t="s">
        <v>22943</v>
      </c>
      <c r="AC1821" s="62" t="s">
        <v>22944</v>
      </c>
      <c r="AD1821" s="62" t="s">
        <v>22945</v>
      </c>
    </row>
    <row r="1822" spans="1:30" x14ac:dyDescent="0.25">
      <c r="A1822" s="62" t="s">
        <v>109</v>
      </c>
      <c r="C1822" s="62" t="s">
        <v>22946</v>
      </c>
      <c r="F1822" s="62" t="s">
        <v>1188</v>
      </c>
      <c r="G1822" s="62" t="s">
        <v>52052</v>
      </c>
      <c r="J1822" s="62" t="s">
        <v>22947</v>
      </c>
      <c r="K1822" s="62" t="s">
        <v>52084</v>
      </c>
      <c r="L1822" s="62" t="s">
        <v>22948</v>
      </c>
      <c r="M1822" s="62" t="s">
        <v>22949</v>
      </c>
      <c r="N1822" s="62" t="s">
        <v>22950</v>
      </c>
      <c r="O1822" s="62" t="s">
        <v>22951</v>
      </c>
      <c r="P1822" s="62" t="s">
        <v>52116</v>
      </c>
      <c r="Q1822" s="62" t="s">
        <v>22952</v>
      </c>
      <c r="R1822" s="62" t="s">
        <v>22953</v>
      </c>
      <c r="S1822" s="62" t="s">
        <v>22954</v>
      </c>
      <c r="U1822" s="62" t="s">
        <v>22955</v>
      </c>
      <c r="V1822" s="62" t="s">
        <v>52148</v>
      </c>
      <c r="W1822" s="62" t="s">
        <v>22956</v>
      </c>
      <c r="X1822" s="62" t="s">
        <v>22957</v>
      </c>
      <c r="Y1822" s="62" t="s">
        <v>22958</v>
      </c>
      <c r="Z1822" s="62" t="s">
        <v>22959</v>
      </c>
      <c r="AA1822" s="62" t="s">
        <v>52180</v>
      </c>
      <c r="AB1822" s="62" t="s">
        <v>22960</v>
      </c>
      <c r="AC1822" s="62" t="s">
        <v>22961</v>
      </c>
      <c r="AD1822" s="62" t="s">
        <v>22962</v>
      </c>
    </row>
    <row r="1823" spans="1:30" x14ac:dyDescent="0.25">
      <c r="A1823" s="62" t="s">
        <v>109</v>
      </c>
      <c r="C1823" s="62" t="s">
        <v>22963</v>
      </c>
      <c r="F1823" s="62" t="s">
        <v>1206</v>
      </c>
      <c r="G1823" s="62" t="s">
        <v>52053</v>
      </c>
      <c r="J1823" s="62" t="s">
        <v>22964</v>
      </c>
      <c r="K1823" s="62" t="s">
        <v>52085</v>
      </c>
      <c r="L1823" s="62" t="s">
        <v>22965</v>
      </c>
      <c r="M1823" s="62" t="s">
        <v>22966</v>
      </c>
      <c r="N1823" s="62" t="s">
        <v>22967</v>
      </c>
      <c r="O1823" s="62" t="s">
        <v>22968</v>
      </c>
      <c r="P1823" s="62" t="s">
        <v>52117</v>
      </c>
      <c r="Q1823" s="62" t="s">
        <v>22969</v>
      </c>
      <c r="R1823" s="62" t="s">
        <v>22970</v>
      </c>
      <c r="S1823" s="62" t="s">
        <v>22971</v>
      </c>
      <c r="U1823" s="62" t="s">
        <v>22972</v>
      </c>
      <c r="V1823" s="62" t="s">
        <v>52149</v>
      </c>
      <c r="W1823" s="62" t="s">
        <v>22973</v>
      </c>
      <c r="X1823" s="62" t="s">
        <v>22974</v>
      </c>
      <c r="Y1823" s="62" t="s">
        <v>22975</v>
      </c>
      <c r="Z1823" s="62" t="s">
        <v>22976</v>
      </c>
      <c r="AA1823" s="62" t="s">
        <v>52181</v>
      </c>
      <c r="AB1823" s="62" t="s">
        <v>22977</v>
      </c>
      <c r="AC1823" s="62" t="s">
        <v>22978</v>
      </c>
      <c r="AD1823" s="62" t="s">
        <v>22979</v>
      </c>
    </row>
    <row r="1824" spans="1:30" x14ac:dyDescent="0.25">
      <c r="A1824" s="62" t="s">
        <v>109</v>
      </c>
      <c r="C1824" s="62" t="s">
        <v>22980</v>
      </c>
      <c r="F1824" s="62" t="s">
        <v>1223</v>
      </c>
      <c r="G1824" s="62" t="s">
        <v>52054</v>
      </c>
      <c r="J1824" s="62" t="s">
        <v>22981</v>
      </c>
      <c r="K1824" s="62" t="s">
        <v>52086</v>
      </c>
      <c r="L1824" s="62" t="s">
        <v>22982</v>
      </c>
      <c r="M1824" s="62" t="s">
        <v>22983</v>
      </c>
      <c r="N1824" s="62" t="s">
        <v>22984</v>
      </c>
      <c r="O1824" s="62" t="s">
        <v>22985</v>
      </c>
      <c r="P1824" s="62" t="s">
        <v>52118</v>
      </c>
      <c r="Q1824" s="62" t="s">
        <v>22986</v>
      </c>
      <c r="R1824" s="62" t="s">
        <v>22987</v>
      </c>
      <c r="S1824" s="62" t="s">
        <v>22988</v>
      </c>
      <c r="U1824" s="62" t="s">
        <v>22989</v>
      </c>
      <c r="V1824" s="62" t="s">
        <v>52150</v>
      </c>
      <c r="W1824" s="62" t="s">
        <v>22990</v>
      </c>
      <c r="X1824" s="62" t="s">
        <v>22991</v>
      </c>
      <c r="Y1824" s="62" t="s">
        <v>22992</v>
      </c>
      <c r="Z1824" s="62" t="s">
        <v>22993</v>
      </c>
      <c r="AA1824" s="62" t="s">
        <v>52182</v>
      </c>
      <c r="AB1824" s="62" t="s">
        <v>22994</v>
      </c>
      <c r="AC1824" s="62" t="s">
        <v>22995</v>
      </c>
      <c r="AD1824" s="62" t="s">
        <v>22996</v>
      </c>
    </row>
    <row r="1825" spans="1:30" x14ac:dyDescent="0.25">
      <c r="A1825" s="62" t="s">
        <v>109</v>
      </c>
      <c r="C1825" s="62" t="s">
        <v>22997</v>
      </c>
      <c r="F1825" s="62" t="s">
        <v>1240</v>
      </c>
      <c r="G1825" s="62" t="s">
        <v>52055</v>
      </c>
      <c r="J1825" s="62" t="s">
        <v>22998</v>
      </c>
      <c r="K1825" s="62" t="s">
        <v>52087</v>
      </c>
      <c r="L1825" s="62" t="s">
        <v>22999</v>
      </c>
      <c r="M1825" s="62" t="s">
        <v>23000</v>
      </c>
      <c r="N1825" s="62" t="s">
        <v>23001</v>
      </c>
      <c r="O1825" s="62" t="s">
        <v>23002</v>
      </c>
      <c r="P1825" s="62" t="s">
        <v>52119</v>
      </c>
      <c r="Q1825" s="62" t="s">
        <v>23003</v>
      </c>
      <c r="R1825" s="62" t="s">
        <v>23004</v>
      </c>
      <c r="S1825" s="62" t="s">
        <v>23005</v>
      </c>
      <c r="U1825" s="62" t="s">
        <v>23006</v>
      </c>
      <c r="V1825" s="62" t="s">
        <v>52151</v>
      </c>
      <c r="W1825" s="62" t="s">
        <v>23007</v>
      </c>
      <c r="X1825" s="62" t="s">
        <v>23008</v>
      </c>
      <c r="Y1825" s="62" t="s">
        <v>23009</v>
      </c>
      <c r="Z1825" s="62" t="s">
        <v>23010</v>
      </c>
      <c r="AA1825" s="62" t="s">
        <v>52183</v>
      </c>
      <c r="AB1825" s="62" t="s">
        <v>23011</v>
      </c>
      <c r="AC1825" s="62" t="s">
        <v>23012</v>
      </c>
      <c r="AD1825" s="62" t="s">
        <v>23013</v>
      </c>
    </row>
    <row r="1826" spans="1:30" x14ac:dyDescent="0.25">
      <c r="A1826" s="62" t="s">
        <v>109</v>
      </c>
      <c r="C1826" s="62" t="s">
        <v>23014</v>
      </c>
      <c r="F1826" s="62" t="s">
        <v>1249</v>
      </c>
      <c r="G1826" s="62" t="s">
        <v>52056</v>
      </c>
      <c r="J1826" s="62" t="s">
        <v>23015</v>
      </c>
      <c r="K1826" s="62" t="s">
        <v>52088</v>
      </c>
      <c r="L1826" s="62" t="s">
        <v>23016</v>
      </c>
      <c r="M1826" s="62" t="s">
        <v>23017</v>
      </c>
      <c r="N1826" s="62" t="s">
        <v>23018</v>
      </c>
      <c r="O1826" s="62" t="s">
        <v>23019</v>
      </c>
      <c r="P1826" s="62" t="s">
        <v>52120</v>
      </c>
      <c r="Q1826" s="62" t="s">
        <v>23020</v>
      </c>
      <c r="R1826" s="62" t="s">
        <v>23021</v>
      </c>
      <c r="S1826" s="62" t="s">
        <v>23022</v>
      </c>
      <c r="U1826" s="62" t="s">
        <v>23023</v>
      </c>
      <c r="V1826" s="62" t="s">
        <v>52152</v>
      </c>
      <c r="W1826" s="62" t="s">
        <v>23024</v>
      </c>
      <c r="X1826" s="62" t="s">
        <v>23025</v>
      </c>
      <c r="Y1826" s="62" t="s">
        <v>23026</v>
      </c>
      <c r="Z1826" s="62" t="s">
        <v>23027</v>
      </c>
      <c r="AA1826" s="62" t="s">
        <v>52184</v>
      </c>
      <c r="AB1826" s="62" t="s">
        <v>23028</v>
      </c>
      <c r="AC1826" s="62" t="s">
        <v>23029</v>
      </c>
      <c r="AD1826" s="62" t="s">
        <v>23030</v>
      </c>
    </row>
    <row r="1827" spans="1:30" x14ac:dyDescent="0.25">
      <c r="A1827" s="62" t="s">
        <v>109</v>
      </c>
      <c r="C1827" s="62" t="s">
        <v>23031</v>
      </c>
      <c r="F1827" s="62" t="s">
        <v>1277</v>
      </c>
      <c r="G1827" s="62" t="s">
        <v>52057</v>
      </c>
      <c r="J1827" s="62" t="s">
        <v>23032</v>
      </c>
      <c r="K1827" s="62" t="s">
        <v>52089</v>
      </c>
      <c r="L1827" s="62" t="s">
        <v>23033</v>
      </c>
      <c r="M1827" s="62" t="s">
        <v>23034</v>
      </c>
      <c r="N1827" s="62" t="s">
        <v>23035</v>
      </c>
      <c r="O1827" s="62" t="s">
        <v>23036</v>
      </c>
      <c r="P1827" s="62" t="s">
        <v>52121</v>
      </c>
      <c r="Q1827" s="62" t="s">
        <v>23037</v>
      </c>
      <c r="R1827" s="62" t="s">
        <v>23038</v>
      </c>
      <c r="S1827" s="62" t="s">
        <v>23039</v>
      </c>
      <c r="U1827" s="62" t="s">
        <v>23040</v>
      </c>
      <c r="V1827" s="62" t="s">
        <v>52153</v>
      </c>
      <c r="W1827" s="62" t="s">
        <v>23041</v>
      </c>
      <c r="X1827" s="62" t="s">
        <v>23042</v>
      </c>
      <c r="Y1827" s="62" t="s">
        <v>23043</v>
      </c>
      <c r="Z1827" s="62" t="s">
        <v>23044</v>
      </c>
      <c r="AA1827" s="62" t="s">
        <v>52185</v>
      </c>
      <c r="AB1827" s="62" t="s">
        <v>23045</v>
      </c>
      <c r="AC1827" s="62" t="s">
        <v>23046</v>
      </c>
      <c r="AD1827" s="62" t="s">
        <v>23047</v>
      </c>
    </row>
    <row r="1828" spans="1:30" x14ac:dyDescent="0.25">
      <c r="A1828" s="62" t="s">
        <v>109</v>
      </c>
      <c r="C1828" s="62" t="s">
        <v>23048</v>
      </c>
      <c r="F1828" s="62" t="s">
        <v>1795</v>
      </c>
      <c r="G1828" s="62" t="s">
        <v>52058</v>
      </c>
      <c r="J1828" s="62" t="s">
        <v>23049</v>
      </c>
      <c r="K1828" s="62" t="s">
        <v>52090</v>
      </c>
      <c r="L1828" s="62" t="s">
        <v>23050</v>
      </c>
      <c r="M1828" s="62" t="s">
        <v>23051</v>
      </c>
      <c r="N1828" s="62" t="s">
        <v>23052</v>
      </c>
      <c r="O1828" s="62" t="s">
        <v>23053</v>
      </c>
      <c r="P1828" s="62" t="s">
        <v>52122</v>
      </c>
      <c r="Q1828" s="62" t="s">
        <v>23054</v>
      </c>
      <c r="R1828" s="62" t="s">
        <v>23055</v>
      </c>
      <c r="S1828" s="62" t="s">
        <v>23056</v>
      </c>
      <c r="U1828" s="62" t="s">
        <v>23057</v>
      </c>
      <c r="V1828" s="62" t="s">
        <v>52154</v>
      </c>
      <c r="W1828" s="62" t="s">
        <v>23058</v>
      </c>
      <c r="X1828" s="62" t="s">
        <v>23059</v>
      </c>
      <c r="Y1828" s="62" t="s">
        <v>23060</v>
      </c>
      <c r="Z1828" s="62" t="s">
        <v>23061</v>
      </c>
      <c r="AA1828" s="62" t="s">
        <v>52186</v>
      </c>
      <c r="AB1828" s="62" t="s">
        <v>23062</v>
      </c>
      <c r="AC1828" s="62" t="s">
        <v>23063</v>
      </c>
      <c r="AD1828" s="62" t="s">
        <v>23064</v>
      </c>
    </row>
    <row r="1829" spans="1:30" x14ac:dyDescent="0.25">
      <c r="A1829" s="62" t="s">
        <v>109</v>
      </c>
      <c r="C1829" s="62" t="s">
        <v>23065</v>
      </c>
      <c r="F1829" s="62" t="s">
        <v>1286</v>
      </c>
      <c r="G1829" s="62" t="s">
        <v>52059</v>
      </c>
      <c r="J1829" s="62" t="s">
        <v>23066</v>
      </c>
      <c r="K1829" s="62" t="s">
        <v>52091</v>
      </c>
      <c r="L1829" s="62" t="s">
        <v>23067</v>
      </c>
      <c r="M1829" s="62" t="s">
        <v>23068</v>
      </c>
      <c r="N1829" s="62" t="s">
        <v>23069</v>
      </c>
      <c r="O1829" s="62" t="s">
        <v>23070</v>
      </c>
      <c r="P1829" s="62" t="s">
        <v>52123</v>
      </c>
      <c r="Q1829" s="62" t="s">
        <v>23071</v>
      </c>
      <c r="R1829" s="62" t="s">
        <v>23072</v>
      </c>
      <c r="S1829" s="62" t="s">
        <v>23073</v>
      </c>
      <c r="U1829" s="62" t="s">
        <v>23074</v>
      </c>
      <c r="V1829" s="62" t="s">
        <v>52155</v>
      </c>
      <c r="W1829" s="62" t="s">
        <v>23075</v>
      </c>
      <c r="X1829" s="62" t="s">
        <v>23076</v>
      </c>
      <c r="Y1829" s="62" t="s">
        <v>23077</v>
      </c>
      <c r="Z1829" s="62" t="s">
        <v>23078</v>
      </c>
      <c r="AA1829" s="62" t="s">
        <v>52187</v>
      </c>
      <c r="AB1829" s="62" t="s">
        <v>23079</v>
      </c>
      <c r="AC1829" s="62" t="s">
        <v>23080</v>
      </c>
      <c r="AD1829" s="62" t="s">
        <v>23081</v>
      </c>
    </row>
    <row r="1830" spans="1:30" x14ac:dyDescent="0.25">
      <c r="A1830" s="62" t="s">
        <v>109</v>
      </c>
      <c r="C1830" s="62" t="s">
        <v>23082</v>
      </c>
      <c r="F1830" s="62" t="s">
        <v>1288</v>
      </c>
      <c r="G1830" s="62" t="s">
        <v>52060</v>
      </c>
      <c r="J1830" s="62" t="s">
        <v>23083</v>
      </c>
      <c r="K1830" s="62" t="s">
        <v>52092</v>
      </c>
      <c r="L1830" s="62" t="s">
        <v>23084</v>
      </c>
      <c r="M1830" s="62" t="s">
        <v>23085</v>
      </c>
      <c r="N1830" s="62" t="s">
        <v>23086</v>
      </c>
      <c r="O1830" s="62" t="s">
        <v>23087</v>
      </c>
      <c r="P1830" s="62" t="s">
        <v>52124</v>
      </c>
      <c r="Q1830" s="62" t="s">
        <v>23088</v>
      </c>
      <c r="R1830" s="62" t="s">
        <v>23089</v>
      </c>
      <c r="S1830" s="62" t="s">
        <v>23090</v>
      </c>
      <c r="U1830" s="62" t="s">
        <v>23091</v>
      </c>
      <c r="V1830" s="62" t="s">
        <v>52156</v>
      </c>
      <c r="W1830" s="62" t="s">
        <v>23092</v>
      </c>
      <c r="X1830" s="62" t="s">
        <v>23093</v>
      </c>
      <c r="Y1830" s="62" t="s">
        <v>23094</v>
      </c>
      <c r="Z1830" s="62" t="s">
        <v>23095</v>
      </c>
      <c r="AA1830" s="62" t="s">
        <v>52188</v>
      </c>
      <c r="AB1830" s="62" t="s">
        <v>23096</v>
      </c>
      <c r="AC1830" s="62" t="s">
        <v>23097</v>
      </c>
      <c r="AD1830" s="62" t="s">
        <v>23098</v>
      </c>
    </row>
    <row r="1831" spans="1:30" x14ac:dyDescent="0.25">
      <c r="A1831" s="62" t="s">
        <v>109</v>
      </c>
      <c r="C1831" s="62" t="s">
        <v>23099</v>
      </c>
      <c r="F1831" s="62" t="s">
        <v>1289</v>
      </c>
      <c r="G1831" s="62" t="s">
        <v>52061</v>
      </c>
      <c r="J1831" s="62" t="s">
        <v>23100</v>
      </c>
      <c r="K1831" s="62" t="s">
        <v>52093</v>
      </c>
      <c r="L1831" s="62" t="s">
        <v>23101</v>
      </c>
      <c r="M1831" s="62" t="s">
        <v>23102</v>
      </c>
      <c r="N1831" s="62" t="s">
        <v>23103</v>
      </c>
      <c r="O1831" s="62" t="s">
        <v>23104</v>
      </c>
      <c r="P1831" s="62" t="s">
        <v>52125</v>
      </c>
      <c r="Q1831" s="62" t="s">
        <v>23105</v>
      </c>
      <c r="R1831" s="62" t="s">
        <v>23106</v>
      </c>
      <c r="S1831" s="62" t="s">
        <v>23107</v>
      </c>
      <c r="U1831" s="62" t="s">
        <v>23108</v>
      </c>
      <c r="V1831" s="62" t="s">
        <v>52157</v>
      </c>
      <c r="W1831" s="62" t="s">
        <v>23109</v>
      </c>
      <c r="X1831" s="62" t="s">
        <v>23110</v>
      </c>
      <c r="Y1831" s="62" t="s">
        <v>23111</v>
      </c>
      <c r="Z1831" s="62" t="s">
        <v>23112</v>
      </c>
      <c r="AA1831" s="62" t="s">
        <v>52189</v>
      </c>
      <c r="AB1831" s="62" t="s">
        <v>23113</v>
      </c>
      <c r="AC1831" s="62" t="s">
        <v>23114</v>
      </c>
      <c r="AD1831" s="62" t="s">
        <v>23115</v>
      </c>
    </row>
    <row r="1832" spans="1:30" x14ac:dyDescent="0.25">
      <c r="A1832" s="62" t="s">
        <v>109</v>
      </c>
      <c r="C1832" s="62" t="s">
        <v>23116</v>
      </c>
      <c r="F1832" s="62" t="s">
        <v>1797</v>
      </c>
      <c r="G1832" s="62" t="s">
        <v>52062</v>
      </c>
      <c r="J1832" s="62" t="s">
        <v>23117</v>
      </c>
      <c r="K1832" s="62" t="s">
        <v>52094</v>
      </c>
      <c r="L1832" s="62" t="s">
        <v>23118</v>
      </c>
      <c r="M1832" s="62" t="s">
        <v>23119</v>
      </c>
      <c r="N1832" s="62" t="s">
        <v>23120</v>
      </c>
      <c r="O1832" s="62" t="s">
        <v>23121</v>
      </c>
      <c r="P1832" s="62" t="s">
        <v>52126</v>
      </c>
      <c r="Q1832" s="62" t="s">
        <v>23122</v>
      </c>
      <c r="R1832" s="62" t="s">
        <v>23123</v>
      </c>
      <c r="S1832" s="62" t="s">
        <v>23124</v>
      </c>
      <c r="U1832" s="62" t="s">
        <v>23125</v>
      </c>
      <c r="V1832" s="62" t="s">
        <v>52158</v>
      </c>
      <c r="W1832" s="62" t="s">
        <v>23126</v>
      </c>
      <c r="X1832" s="62" t="s">
        <v>23127</v>
      </c>
      <c r="Y1832" s="62" t="s">
        <v>23128</v>
      </c>
      <c r="Z1832" s="62" t="s">
        <v>23129</v>
      </c>
      <c r="AA1832" s="62" t="s">
        <v>52190</v>
      </c>
      <c r="AB1832" s="62" t="s">
        <v>23130</v>
      </c>
      <c r="AC1832" s="62" t="s">
        <v>23131</v>
      </c>
      <c r="AD1832" s="62" t="s">
        <v>23132</v>
      </c>
    </row>
    <row r="1833" spans="1:30" x14ac:dyDescent="0.25">
      <c r="A1833" s="62" t="s">
        <v>109</v>
      </c>
      <c r="C1833" s="62" t="s">
        <v>23133</v>
      </c>
      <c r="F1833" s="62" t="s">
        <v>1299</v>
      </c>
      <c r="G1833" s="62" t="s">
        <v>52063</v>
      </c>
      <c r="J1833" s="62" t="s">
        <v>23134</v>
      </c>
      <c r="K1833" s="62" t="s">
        <v>52095</v>
      </c>
      <c r="L1833" s="62" t="s">
        <v>23135</v>
      </c>
      <c r="M1833" s="62" t="s">
        <v>23136</v>
      </c>
      <c r="N1833" s="62" t="s">
        <v>23137</v>
      </c>
      <c r="O1833" s="62" t="s">
        <v>23138</v>
      </c>
      <c r="P1833" s="62" t="s">
        <v>52127</v>
      </c>
      <c r="Q1833" s="62" t="s">
        <v>23139</v>
      </c>
      <c r="R1833" s="62" t="s">
        <v>23140</v>
      </c>
      <c r="S1833" s="62" t="s">
        <v>23141</v>
      </c>
      <c r="U1833" s="62" t="s">
        <v>23142</v>
      </c>
      <c r="V1833" s="62" t="s">
        <v>52159</v>
      </c>
      <c r="W1833" s="62" t="s">
        <v>23143</v>
      </c>
      <c r="X1833" s="62" t="s">
        <v>23144</v>
      </c>
      <c r="Y1833" s="62" t="s">
        <v>23145</v>
      </c>
      <c r="Z1833" s="62" t="s">
        <v>23146</v>
      </c>
      <c r="AA1833" s="62" t="s">
        <v>52191</v>
      </c>
      <c r="AB1833" s="62" t="s">
        <v>23147</v>
      </c>
      <c r="AC1833" s="62" t="s">
        <v>23148</v>
      </c>
      <c r="AD1833" s="62" t="s">
        <v>23149</v>
      </c>
    </row>
    <row r="1834" spans="1:30" x14ac:dyDescent="0.25">
      <c r="A1834" s="62" t="s">
        <v>109</v>
      </c>
      <c r="C1834" s="62" t="s">
        <v>22698</v>
      </c>
    </row>
    <row r="1835" spans="1:30" x14ac:dyDescent="0.25">
      <c r="A1835" s="62" t="s">
        <v>109</v>
      </c>
      <c r="C1835" s="62" t="s">
        <v>23150</v>
      </c>
      <c r="G1835" s="62" t="s">
        <v>44115</v>
      </c>
      <c r="J1835" s="62" t="s">
        <v>44116</v>
      </c>
      <c r="K1835" s="62" t="s">
        <v>44117</v>
      </c>
      <c r="L1835" s="62" t="s">
        <v>44118</v>
      </c>
      <c r="M1835" s="62" t="s">
        <v>23151</v>
      </c>
      <c r="N1835" s="62" t="s">
        <v>23152</v>
      </c>
      <c r="O1835" s="62" t="s">
        <v>44119</v>
      </c>
      <c r="P1835" s="62" t="s">
        <v>44120</v>
      </c>
      <c r="Q1835" s="62" t="s">
        <v>44121</v>
      </c>
      <c r="R1835" s="62" t="s">
        <v>23153</v>
      </c>
      <c r="S1835" s="62" t="s">
        <v>23154</v>
      </c>
      <c r="U1835" s="62" t="s">
        <v>44122</v>
      </c>
      <c r="V1835" s="62" t="s">
        <v>44123</v>
      </c>
      <c r="W1835" s="62" t="s">
        <v>44124</v>
      </c>
      <c r="X1835" s="62" t="s">
        <v>23155</v>
      </c>
      <c r="Y1835" s="62" t="s">
        <v>23156</v>
      </c>
      <c r="Z1835" s="62" t="s">
        <v>44125</v>
      </c>
      <c r="AA1835" s="62" t="s">
        <v>44126</v>
      </c>
      <c r="AB1835" s="62" t="s">
        <v>44127</v>
      </c>
      <c r="AC1835" s="62" t="s">
        <v>23157</v>
      </c>
      <c r="AD1835" s="62" t="s">
        <v>23158</v>
      </c>
    </row>
    <row r="1836" spans="1:30" x14ac:dyDescent="0.25">
      <c r="A1836" s="62" t="s">
        <v>109</v>
      </c>
    </row>
    <row r="1837" spans="1:30" x14ac:dyDescent="0.25">
      <c r="A1837" s="62" t="s">
        <v>109</v>
      </c>
      <c r="C1837" s="62" t="s">
        <v>44128</v>
      </c>
      <c r="E1837" s="62" t="s">
        <v>29261</v>
      </c>
      <c r="G1837" s="62" t="s">
        <v>44129</v>
      </c>
    </row>
    <row r="1838" spans="1:30" x14ac:dyDescent="0.25">
      <c r="A1838" s="62" t="s">
        <v>109</v>
      </c>
      <c r="C1838" s="62" t="s">
        <v>23159</v>
      </c>
    </row>
    <row r="1839" spans="1:30" x14ac:dyDescent="0.25">
      <c r="A1839" s="62" t="s">
        <v>109</v>
      </c>
      <c r="C1839" s="62" t="s">
        <v>23160</v>
      </c>
      <c r="F1839" s="62" t="s">
        <v>44130</v>
      </c>
      <c r="G1839" s="62" t="s">
        <v>51977</v>
      </c>
      <c r="J1839" s="62" t="s">
        <v>23161</v>
      </c>
      <c r="K1839" s="62" t="s">
        <v>51988</v>
      </c>
      <c r="L1839" s="62" t="s">
        <v>23162</v>
      </c>
      <c r="M1839" s="62" t="s">
        <v>23163</v>
      </c>
      <c r="N1839" s="62" t="s">
        <v>23164</v>
      </c>
      <c r="O1839" s="62" t="s">
        <v>23165</v>
      </c>
      <c r="P1839" s="62" t="s">
        <v>51999</v>
      </c>
      <c r="Q1839" s="62" t="s">
        <v>23166</v>
      </c>
      <c r="R1839" s="62" t="s">
        <v>23167</v>
      </c>
      <c r="S1839" s="62" t="s">
        <v>23168</v>
      </c>
      <c r="U1839" s="62" t="s">
        <v>23169</v>
      </c>
      <c r="V1839" s="62" t="s">
        <v>52010</v>
      </c>
      <c r="W1839" s="62" t="s">
        <v>23170</v>
      </c>
      <c r="X1839" s="62" t="s">
        <v>23171</v>
      </c>
      <c r="Y1839" s="62" t="s">
        <v>23172</v>
      </c>
      <c r="Z1839" s="62" t="s">
        <v>23173</v>
      </c>
      <c r="AA1839" s="62" t="s">
        <v>52021</v>
      </c>
      <c r="AB1839" s="62" t="s">
        <v>23174</v>
      </c>
      <c r="AC1839" s="62" t="s">
        <v>23175</v>
      </c>
      <c r="AD1839" s="62" t="s">
        <v>23176</v>
      </c>
    </row>
    <row r="1840" spans="1:30" x14ac:dyDescent="0.25">
      <c r="A1840" s="62" t="s">
        <v>109</v>
      </c>
      <c r="C1840" s="62" t="s">
        <v>44131</v>
      </c>
      <c r="F1840" s="62" t="s">
        <v>837</v>
      </c>
      <c r="G1840" s="62" t="s">
        <v>51978</v>
      </c>
      <c r="J1840" s="62" t="s">
        <v>44132</v>
      </c>
      <c r="K1840" s="62" t="s">
        <v>51989</v>
      </c>
      <c r="L1840" s="62" t="s">
        <v>44133</v>
      </c>
      <c r="M1840" s="62" t="s">
        <v>44134</v>
      </c>
      <c r="N1840" s="62" t="s">
        <v>44135</v>
      </c>
      <c r="O1840" s="62" t="s">
        <v>44136</v>
      </c>
      <c r="P1840" s="62" t="s">
        <v>52000</v>
      </c>
      <c r="Q1840" s="62" t="s">
        <v>44137</v>
      </c>
      <c r="R1840" s="62" t="s">
        <v>44138</v>
      </c>
      <c r="S1840" s="62" t="s">
        <v>44139</v>
      </c>
      <c r="U1840" s="62" t="s">
        <v>44140</v>
      </c>
      <c r="V1840" s="62" t="s">
        <v>52011</v>
      </c>
      <c r="W1840" s="62" t="s">
        <v>44141</v>
      </c>
      <c r="X1840" s="62" t="s">
        <v>44142</v>
      </c>
      <c r="Y1840" s="62" t="s">
        <v>44143</v>
      </c>
      <c r="Z1840" s="62" t="s">
        <v>44144</v>
      </c>
      <c r="AA1840" s="62" t="s">
        <v>52022</v>
      </c>
      <c r="AB1840" s="62" t="s">
        <v>44145</v>
      </c>
      <c r="AC1840" s="62" t="s">
        <v>44146</v>
      </c>
      <c r="AD1840" s="62" t="s">
        <v>44147</v>
      </c>
    </row>
    <row r="1841" spans="1:30" x14ac:dyDescent="0.25">
      <c r="A1841" s="62" t="s">
        <v>109</v>
      </c>
      <c r="C1841" s="62" t="s">
        <v>23177</v>
      </c>
      <c r="F1841" s="62" t="s">
        <v>985</v>
      </c>
      <c r="G1841" s="62" t="s">
        <v>51979</v>
      </c>
      <c r="J1841" s="62" t="s">
        <v>44148</v>
      </c>
      <c r="K1841" s="62" t="s">
        <v>51990</v>
      </c>
      <c r="L1841" s="62" t="s">
        <v>44149</v>
      </c>
      <c r="M1841" s="62" t="s">
        <v>23178</v>
      </c>
      <c r="N1841" s="62" t="s">
        <v>23179</v>
      </c>
      <c r="O1841" s="62" t="s">
        <v>44150</v>
      </c>
      <c r="P1841" s="62" t="s">
        <v>52001</v>
      </c>
      <c r="Q1841" s="62" t="s">
        <v>44151</v>
      </c>
      <c r="R1841" s="62" t="s">
        <v>23180</v>
      </c>
      <c r="S1841" s="62" t="s">
        <v>23181</v>
      </c>
      <c r="U1841" s="62" t="s">
        <v>44152</v>
      </c>
      <c r="V1841" s="62" t="s">
        <v>52012</v>
      </c>
      <c r="W1841" s="62" t="s">
        <v>44153</v>
      </c>
      <c r="X1841" s="62" t="s">
        <v>23182</v>
      </c>
      <c r="Y1841" s="62" t="s">
        <v>23183</v>
      </c>
      <c r="Z1841" s="62" t="s">
        <v>44154</v>
      </c>
      <c r="AA1841" s="62" t="s">
        <v>52023</v>
      </c>
      <c r="AB1841" s="62" t="s">
        <v>44155</v>
      </c>
      <c r="AC1841" s="62" t="s">
        <v>23184</v>
      </c>
      <c r="AD1841" s="62" t="s">
        <v>23185</v>
      </c>
    </row>
    <row r="1842" spans="1:30" x14ac:dyDescent="0.25">
      <c r="A1842" s="62" t="s">
        <v>109</v>
      </c>
      <c r="C1842" s="62" t="s">
        <v>44156</v>
      </c>
      <c r="F1842" s="62" t="s">
        <v>1047</v>
      </c>
      <c r="G1842" s="62" t="s">
        <v>51980</v>
      </c>
      <c r="J1842" s="62" t="s">
        <v>44157</v>
      </c>
      <c r="K1842" s="62" t="s">
        <v>51991</v>
      </c>
      <c r="L1842" s="62" t="s">
        <v>44158</v>
      </c>
      <c r="M1842" s="62" t="s">
        <v>44159</v>
      </c>
      <c r="N1842" s="62" t="s">
        <v>44160</v>
      </c>
      <c r="O1842" s="62" t="s">
        <v>44161</v>
      </c>
      <c r="P1842" s="62" t="s">
        <v>52002</v>
      </c>
      <c r="Q1842" s="62" t="s">
        <v>44162</v>
      </c>
      <c r="R1842" s="62" t="s">
        <v>44163</v>
      </c>
      <c r="S1842" s="62" t="s">
        <v>44164</v>
      </c>
      <c r="U1842" s="62" t="s">
        <v>44165</v>
      </c>
      <c r="V1842" s="62" t="s">
        <v>52013</v>
      </c>
      <c r="W1842" s="62" t="s">
        <v>44166</v>
      </c>
      <c r="X1842" s="62" t="s">
        <v>44167</v>
      </c>
      <c r="Y1842" s="62" t="s">
        <v>44168</v>
      </c>
      <c r="Z1842" s="62" t="s">
        <v>44169</v>
      </c>
      <c r="AA1842" s="62" t="s">
        <v>52024</v>
      </c>
      <c r="AB1842" s="62" t="s">
        <v>44170</v>
      </c>
      <c r="AC1842" s="62" t="s">
        <v>44171</v>
      </c>
      <c r="AD1842" s="62" t="s">
        <v>44172</v>
      </c>
    </row>
    <row r="1843" spans="1:30" x14ac:dyDescent="0.25">
      <c r="A1843" s="62" t="s">
        <v>109</v>
      </c>
      <c r="C1843" s="62" t="s">
        <v>44173</v>
      </c>
      <c r="F1843" s="62" t="s">
        <v>1090</v>
      </c>
      <c r="G1843" s="62" t="s">
        <v>51981</v>
      </c>
      <c r="J1843" s="62" t="s">
        <v>44174</v>
      </c>
      <c r="K1843" s="62" t="s">
        <v>51992</v>
      </c>
      <c r="L1843" s="62" t="s">
        <v>44175</v>
      </c>
      <c r="M1843" s="62" t="s">
        <v>44176</v>
      </c>
      <c r="N1843" s="62" t="s">
        <v>44177</v>
      </c>
      <c r="O1843" s="62" t="s">
        <v>44178</v>
      </c>
      <c r="P1843" s="62" t="s">
        <v>52003</v>
      </c>
      <c r="Q1843" s="62" t="s">
        <v>44179</v>
      </c>
      <c r="R1843" s="62" t="s">
        <v>44180</v>
      </c>
      <c r="S1843" s="62" t="s">
        <v>44181</v>
      </c>
      <c r="U1843" s="62" t="s">
        <v>44182</v>
      </c>
      <c r="V1843" s="62" t="s">
        <v>52014</v>
      </c>
      <c r="W1843" s="62" t="s">
        <v>44183</v>
      </c>
      <c r="X1843" s="62" t="s">
        <v>44184</v>
      </c>
      <c r="Y1843" s="62" t="s">
        <v>44185</v>
      </c>
      <c r="Z1843" s="62" t="s">
        <v>44186</v>
      </c>
      <c r="AA1843" s="62" t="s">
        <v>52025</v>
      </c>
      <c r="AB1843" s="62" t="s">
        <v>44187</v>
      </c>
      <c r="AC1843" s="62" t="s">
        <v>44188</v>
      </c>
      <c r="AD1843" s="62" t="s">
        <v>44189</v>
      </c>
    </row>
    <row r="1844" spans="1:30" x14ac:dyDescent="0.25">
      <c r="A1844" s="62" t="s">
        <v>109</v>
      </c>
      <c r="C1844" s="62" t="s">
        <v>23187</v>
      </c>
      <c r="F1844" s="62" t="s">
        <v>1100</v>
      </c>
      <c r="G1844" s="62" t="s">
        <v>51982</v>
      </c>
      <c r="J1844" s="62" t="s">
        <v>44190</v>
      </c>
      <c r="K1844" s="62" t="s">
        <v>51993</v>
      </c>
      <c r="L1844" s="62" t="s">
        <v>44191</v>
      </c>
      <c r="M1844" s="62" t="s">
        <v>44192</v>
      </c>
      <c r="N1844" s="62" t="s">
        <v>44193</v>
      </c>
      <c r="O1844" s="62" t="s">
        <v>44194</v>
      </c>
      <c r="P1844" s="62" t="s">
        <v>52004</v>
      </c>
      <c r="Q1844" s="62" t="s">
        <v>44195</v>
      </c>
      <c r="R1844" s="62" t="s">
        <v>44196</v>
      </c>
      <c r="S1844" s="62" t="s">
        <v>44197</v>
      </c>
      <c r="U1844" s="62" t="s">
        <v>44198</v>
      </c>
      <c r="V1844" s="62" t="s">
        <v>52015</v>
      </c>
      <c r="W1844" s="62" t="s">
        <v>44199</v>
      </c>
      <c r="X1844" s="62" t="s">
        <v>44200</v>
      </c>
      <c r="Y1844" s="62" t="s">
        <v>44201</v>
      </c>
      <c r="Z1844" s="62" t="s">
        <v>44202</v>
      </c>
      <c r="AA1844" s="62" t="s">
        <v>52026</v>
      </c>
      <c r="AB1844" s="62" t="s">
        <v>44203</v>
      </c>
      <c r="AC1844" s="62" t="s">
        <v>44204</v>
      </c>
      <c r="AD1844" s="62" t="s">
        <v>44205</v>
      </c>
    </row>
    <row r="1845" spans="1:30" x14ac:dyDescent="0.25">
      <c r="A1845" s="62" t="s">
        <v>109</v>
      </c>
      <c r="C1845" s="62" t="s">
        <v>23188</v>
      </c>
      <c r="F1845" s="62" t="s">
        <v>1135</v>
      </c>
      <c r="G1845" s="62" t="s">
        <v>51983</v>
      </c>
      <c r="J1845" s="62" t="s">
        <v>23189</v>
      </c>
      <c r="K1845" s="62" t="s">
        <v>51994</v>
      </c>
      <c r="L1845" s="62" t="s">
        <v>23190</v>
      </c>
      <c r="M1845" s="62" t="s">
        <v>23191</v>
      </c>
      <c r="N1845" s="62" t="s">
        <v>23192</v>
      </c>
      <c r="O1845" s="62" t="s">
        <v>23193</v>
      </c>
      <c r="P1845" s="62" t="s">
        <v>52005</v>
      </c>
      <c r="Q1845" s="62" t="s">
        <v>23194</v>
      </c>
      <c r="R1845" s="62" t="s">
        <v>23195</v>
      </c>
      <c r="S1845" s="62" t="s">
        <v>23196</v>
      </c>
      <c r="U1845" s="62" t="s">
        <v>23197</v>
      </c>
      <c r="V1845" s="62" t="s">
        <v>52016</v>
      </c>
      <c r="W1845" s="62" t="s">
        <v>23198</v>
      </c>
      <c r="X1845" s="62" t="s">
        <v>23199</v>
      </c>
      <c r="Y1845" s="62" t="s">
        <v>23200</v>
      </c>
      <c r="Z1845" s="62" t="s">
        <v>23201</v>
      </c>
      <c r="AA1845" s="62" t="s">
        <v>52027</v>
      </c>
      <c r="AB1845" s="62" t="s">
        <v>23202</v>
      </c>
      <c r="AC1845" s="62" t="s">
        <v>23203</v>
      </c>
      <c r="AD1845" s="62" t="s">
        <v>23204</v>
      </c>
    </row>
    <row r="1846" spans="1:30" x14ac:dyDescent="0.25">
      <c r="A1846" s="62" t="s">
        <v>109</v>
      </c>
      <c r="C1846" s="62" t="s">
        <v>23205</v>
      </c>
      <c r="F1846" s="62" t="s">
        <v>1240</v>
      </c>
      <c r="G1846" s="62" t="s">
        <v>51984</v>
      </c>
      <c r="J1846" s="62" t="s">
        <v>23206</v>
      </c>
      <c r="K1846" s="62" t="s">
        <v>51995</v>
      </c>
      <c r="L1846" s="62" t="s">
        <v>23207</v>
      </c>
      <c r="M1846" s="62" t="s">
        <v>23208</v>
      </c>
      <c r="N1846" s="62" t="s">
        <v>23209</v>
      </c>
      <c r="O1846" s="62" t="s">
        <v>23210</v>
      </c>
      <c r="P1846" s="62" t="s">
        <v>52006</v>
      </c>
      <c r="Q1846" s="62" t="s">
        <v>23211</v>
      </c>
      <c r="R1846" s="62" t="s">
        <v>23212</v>
      </c>
      <c r="S1846" s="62" t="s">
        <v>23213</v>
      </c>
      <c r="U1846" s="62" t="s">
        <v>23214</v>
      </c>
      <c r="V1846" s="62" t="s">
        <v>52017</v>
      </c>
      <c r="W1846" s="62" t="s">
        <v>23215</v>
      </c>
      <c r="X1846" s="62" t="s">
        <v>23216</v>
      </c>
      <c r="Y1846" s="62" t="s">
        <v>23217</v>
      </c>
      <c r="Z1846" s="62" t="s">
        <v>23218</v>
      </c>
      <c r="AA1846" s="62" t="s">
        <v>52028</v>
      </c>
      <c r="AB1846" s="62" t="s">
        <v>23219</v>
      </c>
      <c r="AC1846" s="62" t="s">
        <v>23220</v>
      </c>
      <c r="AD1846" s="62" t="s">
        <v>23221</v>
      </c>
    </row>
    <row r="1847" spans="1:30" x14ac:dyDescent="0.25">
      <c r="A1847" s="62" t="s">
        <v>109</v>
      </c>
      <c r="C1847" s="62" t="s">
        <v>23222</v>
      </c>
      <c r="F1847" s="62" t="s">
        <v>1249</v>
      </c>
      <c r="G1847" s="62" t="s">
        <v>51985</v>
      </c>
      <c r="J1847" s="62" t="s">
        <v>23223</v>
      </c>
      <c r="K1847" s="62" t="s">
        <v>51996</v>
      </c>
      <c r="L1847" s="62" t="s">
        <v>23224</v>
      </c>
      <c r="M1847" s="62" t="s">
        <v>23225</v>
      </c>
      <c r="N1847" s="62" t="s">
        <v>23226</v>
      </c>
      <c r="O1847" s="62" t="s">
        <v>23227</v>
      </c>
      <c r="P1847" s="62" t="s">
        <v>52007</v>
      </c>
      <c r="Q1847" s="62" t="s">
        <v>23228</v>
      </c>
      <c r="R1847" s="62" t="s">
        <v>23229</v>
      </c>
      <c r="S1847" s="62" t="s">
        <v>23230</v>
      </c>
      <c r="U1847" s="62" t="s">
        <v>23231</v>
      </c>
      <c r="V1847" s="62" t="s">
        <v>52018</v>
      </c>
      <c r="W1847" s="62" t="s">
        <v>23232</v>
      </c>
      <c r="X1847" s="62" t="s">
        <v>23233</v>
      </c>
      <c r="Y1847" s="62" t="s">
        <v>23234</v>
      </c>
      <c r="Z1847" s="62" t="s">
        <v>23235</v>
      </c>
      <c r="AA1847" s="62" t="s">
        <v>52029</v>
      </c>
      <c r="AB1847" s="62" t="s">
        <v>23236</v>
      </c>
      <c r="AC1847" s="62" t="s">
        <v>23237</v>
      </c>
      <c r="AD1847" s="62" t="s">
        <v>23238</v>
      </c>
    </row>
    <row r="1848" spans="1:30" x14ac:dyDescent="0.25">
      <c r="A1848" s="62" t="s">
        <v>109</v>
      </c>
      <c r="C1848" s="62" t="s">
        <v>23239</v>
      </c>
      <c r="F1848" s="62" t="s">
        <v>1286</v>
      </c>
      <c r="G1848" s="62" t="s">
        <v>51986</v>
      </c>
      <c r="J1848" s="62" t="s">
        <v>23240</v>
      </c>
      <c r="K1848" s="62" t="s">
        <v>51997</v>
      </c>
      <c r="L1848" s="62" t="s">
        <v>23241</v>
      </c>
      <c r="M1848" s="62" t="s">
        <v>23242</v>
      </c>
      <c r="N1848" s="62" t="s">
        <v>23243</v>
      </c>
      <c r="O1848" s="62" t="s">
        <v>23244</v>
      </c>
      <c r="P1848" s="62" t="s">
        <v>52008</v>
      </c>
      <c r="Q1848" s="62" t="s">
        <v>23245</v>
      </c>
      <c r="R1848" s="62" t="s">
        <v>23246</v>
      </c>
      <c r="S1848" s="62" t="s">
        <v>23247</v>
      </c>
      <c r="U1848" s="62" t="s">
        <v>23248</v>
      </c>
      <c r="V1848" s="62" t="s">
        <v>52019</v>
      </c>
      <c r="W1848" s="62" t="s">
        <v>23249</v>
      </c>
      <c r="X1848" s="62" t="s">
        <v>23250</v>
      </c>
      <c r="Y1848" s="62" t="s">
        <v>23251</v>
      </c>
      <c r="Z1848" s="62" t="s">
        <v>23252</v>
      </c>
      <c r="AA1848" s="62" t="s">
        <v>52030</v>
      </c>
      <c r="AB1848" s="62" t="s">
        <v>23253</v>
      </c>
      <c r="AC1848" s="62" t="s">
        <v>23254</v>
      </c>
      <c r="AD1848" s="62" t="s">
        <v>23255</v>
      </c>
    </row>
    <row r="1849" spans="1:30" x14ac:dyDescent="0.25">
      <c r="A1849" s="62" t="s">
        <v>109</v>
      </c>
      <c r="C1849" s="62" t="s">
        <v>23256</v>
      </c>
      <c r="F1849" s="62" t="s">
        <v>1299</v>
      </c>
      <c r="G1849" s="62" t="s">
        <v>51987</v>
      </c>
      <c r="J1849" s="62" t="s">
        <v>23257</v>
      </c>
      <c r="K1849" s="62" t="s">
        <v>51998</v>
      </c>
      <c r="L1849" s="62" t="s">
        <v>23258</v>
      </c>
      <c r="M1849" s="62" t="s">
        <v>23259</v>
      </c>
      <c r="N1849" s="62" t="s">
        <v>23260</v>
      </c>
      <c r="O1849" s="62" t="s">
        <v>23261</v>
      </c>
      <c r="P1849" s="62" t="s">
        <v>52009</v>
      </c>
      <c r="Q1849" s="62" t="s">
        <v>23262</v>
      </c>
      <c r="R1849" s="62" t="s">
        <v>23263</v>
      </c>
      <c r="S1849" s="62" t="s">
        <v>23264</v>
      </c>
      <c r="U1849" s="62" t="s">
        <v>23265</v>
      </c>
      <c r="V1849" s="62" t="s">
        <v>52020</v>
      </c>
      <c r="W1849" s="62" t="s">
        <v>23266</v>
      </c>
      <c r="X1849" s="62" t="s">
        <v>23267</v>
      </c>
      <c r="Y1849" s="62" t="s">
        <v>23268</v>
      </c>
      <c r="Z1849" s="62" t="s">
        <v>23269</v>
      </c>
      <c r="AA1849" s="62" t="s">
        <v>52031</v>
      </c>
      <c r="AB1849" s="62" t="s">
        <v>23270</v>
      </c>
      <c r="AC1849" s="62" t="s">
        <v>23271</v>
      </c>
      <c r="AD1849" s="62" t="s">
        <v>23272</v>
      </c>
    </row>
    <row r="1850" spans="1:30" x14ac:dyDescent="0.25">
      <c r="A1850" s="62" t="s">
        <v>109</v>
      </c>
      <c r="C1850" s="62" t="s">
        <v>44131</v>
      </c>
    </row>
    <row r="1851" spans="1:30" x14ac:dyDescent="0.25">
      <c r="A1851" s="62" t="s">
        <v>109</v>
      </c>
      <c r="C1851" s="62" t="s">
        <v>23273</v>
      </c>
      <c r="G1851" s="62" t="s">
        <v>44206</v>
      </c>
      <c r="J1851" s="62" t="s">
        <v>44207</v>
      </c>
      <c r="K1851" s="62" t="s">
        <v>44208</v>
      </c>
      <c r="L1851" s="62" t="s">
        <v>44209</v>
      </c>
      <c r="M1851" s="62" t="s">
        <v>23274</v>
      </c>
      <c r="N1851" s="62" t="s">
        <v>23275</v>
      </c>
      <c r="O1851" s="62" t="s">
        <v>44210</v>
      </c>
      <c r="P1851" s="62" t="s">
        <v>44211</v>
      </c>
      <c r="Q1851" s="62" t="s">
        <v>44212</v>
      </c>
      <c r="R1851" s="62" t="s">
        <v>23276</v>
      </c>
      <c r="S1851" s="62" t="s">
        <v>23277</v>
      </c>
      <c r="U1851" s="62" t="s">
        <v>44213</v>
      </c>
      <c r="V1851" s="62" t="s">
        <v>44214</v>
      </c>
      <c r="W1851" s="62" t="s">
        <v>44215</v>
      </c>
      <c r="X1851" s="62" t="s">
        <v>23278</v>
      </c>
      <c r="Y1851" s="62" t="s">
        <v>23279</v>
      </c>
      <c r="Z1851" s="62" t="s">
        <v>44216</v>
      </c>
      <c r="AA1851" s="62" t="s">
        <v>44217</v>
      </c>
      <c r="AB1851" s="62" t="s">
        <v>44218</v>
      </c>
      <c r="AC1851" s="62" t="s">
        <v>23280</v>
      </c>
      <c r="AD1851" s="62" t="s">
        <v>23281</v>
      </c>
    </row>
    <row r="1852" spans="1:30" x14ac:dyDescent="0.25">
      <c r="A1852" s="62" t="s">
        <v>109</v>
      </c>
    </row>
    <row r="1853" spans="1:30" x14ac:dyDescent="0.25">
      <c r="A1853" s="62" t="s">
        <v>109</v>
      </c>
      <c r="C1853" s="62" t="s">
        <v>44219</v>
      </c>
      <c r="E1853" s="62" t="s">
        <v>29450</v>
      </c>
      <c r="G1853" s="62" t="s">
        <v>44220</v>
      </c>
    </row>
    <row r="1854" spans="1:30" x14ac:dyDescent="0.25">
      <c r="A1854" s="62" t="s">
        <v>109</v>
      </c>
      <c r="C1854" s="62" t="s">
        <v>23282</v>
      </c>
    </row>
    <row r="1855" spans="1:30" x14ac:dyDescent="0.25">
      <c r="A1855" s="62" t="s">
        <v>109</v>
      </c>
      <c r="C1855" s="62" t="s">
        <v>23283</v>
      </c>
      <c r="F1855" s="62" t="s">
        <v>44221</v>
      </c>
      <c r="G1855" s="62" t="s">
        <v>51672</v>
      </c>
      <c r="J1855" s="62" t="s">
        <v>23284</v>
      </c>
      <c r="K1855" s="62" t="s">
        <v>51733</v>
      </c>
      <c r="L1855" s="62" t="s">
        <v>23285</v>
      </c>
      <c r="M1855" s="62" t="s">
        <v>23286</v>
      </c>
      <c r="N1855" s="62" t="s">
        <v>23287</v>
      </c>
      <c r="O1855" s="62" t="s">
        <v>23288</v>
      </c>
      <c r="P1855" s="62" t="s">
        <v>51794</v>
      </c>
      <c r="Q1855" s="62" t="s">
        <v>23289</v>
      </c>
      <c r="R1855" s="62" t="s">
        <v>23290</v>
      </c>
      <c r="S1855" s="62" t="s">
        <v>23291</v>
      </c>
      <c r="U1855" s="62" t="s">
        <v>23292</v>
      </c>
      <c r="V1855" s="62" t="s">
        <v>51855</v>
      </c>
      <c r="W1855" s="62" t="s">
        <v>23293</v>
      </c>
      <c r="X1855" s="62" t="s">
        <v>23294</v>
      </c>
      <c r="Y1855" s="62" t="s">
        <v>23295</v>
      </c>
      <c r="Z1855" s="62" t="s">
        <v>23296</v>
      </c>
      <c r="AA1855" s="62" t="s">
        <v>51916</v>
      </c>
      <c r="AB1855" s="62" t="s">
        <v>23297</v>
      </c>
      <c r="AC1855" s="62" t="s">
        <v>23298</v>
      </c>
      <c r="AD1855" s="62" t="s">
        <v>23299</v>
      </c>
    </row>
    <row r="1856" spans="1:30" x14ac:dyDescent="0.25">
      <c r="A1856" s="62" t="s">
        <v>109</v>
      </c>
      <c r="C1856" s="62" t="s">
        <v>23300</v>
      </c>
      <c r="F1856" s="62" t="s">
        <v>889</v>
      </c>
      <c r="G1856" s="62" t="s">
        <v>51673</v>
      </c>
      <c r="J1856" s="62" t="s">
        <v>23301</v>
      </c>
      <c r="K1856" s="62" t="s">
        <v>51734</v>
      </c>
      <c r="L1856" s="62" t="s">
        <v>23302</v>
      </c>
      <c r="M1856" s="62" t="s">
        <v>23303</v>
      </c>
      <c r="N1856" s="62" t="s">
        <v>23304</v>
      </c>
      <c r="O1856" s="62" t="s">
        <v>23305</v>
      </c>
      <c r="P1856" s="62" t="s">
        <v>51795</v>
      </c>
      <c r="Q1856" s="62" t="s">
        <v>23306</v>
      </c>
      <c r="R1856" s="62" t="s">
        <v>23307</v>
      </c>
      <c r="S1856" s="62" t="s">
        <v>23308</v>
      </c>
      <c r="U1856" s="62" t="s">
        <v>23309</v>
      </c>
      <c r="V1856" s="62" t="s">
        <v>51856</v>
      </c>
      <c r="W1856" s="62" t="s">
        <v>23310</v>
      </c>
      <c r="X1856" s="62" t="s">
        <v>23311</v>
      </c>
      <c r="Y1856" s="62" t="s">
        <v>23312</v>
      </c>
      <c r="Z1856" s="62" t="s">
        <v>23313</v>
      </c>
      <c r="AA1856" s="62" t="s">
        <v>51917</v>
      </c>
      <c r="AB1856" s="62" t="s">
        <v>23314</v>
      </c>
      <c r="AC1856" s="62" t="s">
        <v>23315</v>
      </c>
      <c r="AD1856" s="62" t="s">
        <v>23316</v>
      </c>
    </row>
    <row r="1857" spans="1:30" x14ac:dyDescent="0.25">
      <c r="A1857" s="62" t="s">
        <v>109</v>
      </c>
      <c r="C1857" s="62" t="s">
        <v>23317</v>
      </c>
      <c r="F1857" s="62" t="s">
        <v>915</v>
      </c>
      <c r="G1857" s="62" t="s">
        <v>51674</v>
      </c>
      <c r="J1857" s="62" t="s">
        <v>23318</v>
      </c>
      <c r="K1857" s="62" t="s">
        <v>51735</v>
      </c>
      <c r="L1857" s="62" t="s">
        <v>23319</v>
      </c>
      <c r="M1857" s="62" t="s">
        <v>23320</v>
      </c>
      <c r="N1857" s="62" t="s">
        <v>23321</v>
      </c>
      <c r="O1857" s="62" t="s">
        <v>23322</v>
      </c>
      <c r="P1857" s="62" t="s">
        <v>51796</v>
      </c>
      <c r="Q1857" s="62" t="s">
        <v>23323</v>
      </c>
      <c r="R1857" s="62" t="s">
        <v>23324</v>
      </c>
      <c r="S1857" s="62" t="s">
        <v>23325</v>
      </c>
      <c r="U1857" s="62" t="s">
        <v>23326</v>
      </c>
      <c r="V1857" s="62" t="s">
        <v>51857</v>
      </c>
      <c r="W1857" s="62" t="s">
        <v>23327</v>
      </c>
      <c r="X1857" s="62" t="s">
        <v>23328</v>
      </c>
      <c r="Y1857" s="62" t="s">
        <v>23329</v>
      </c>
      <c r="Z1857" s="62" t="s">
        <v>23330</v>
      </c>
      <c r="AA1857" s="62" t="s">
        <v>51918</v>
      </c>
      <c r="AB1857" s="62" t="s">
        <v>23331</v>
      </c>
      <c r="AC1857" s="62" t="s">
        <v>23332</v>
      </c>
      <c r="AD1857" s="62" t="s">
        <v>23333</v>
      </c>
    </row>
    <row r="1858" spans="1:30" x14ac:dyDescent="0.25">
      <c r="A1858" s="62" t="s">
        <v>109</v>
      </c>
      <c r="C1858" s="62" t="s">
        <v>23334</v>
      </c>
      <c r="F1858" s="62" t="s">
        <v>925</v>
      </c>
      <c r="G1858" s="62" t="s">
        <v>51675</v>
      </c>
      <c r="J1858" s="62" t="s">
        <v>23335</v>
      </c>
      <c r="K1858" s="62" t="s">
        <v>51736</v>
      </c>
      <c r="L1858" s="62" t="s">
        <v>23336</v>
      </c>
      <c r="M1858" s="62" t="s">
        <v>23337</v>
      </c>
      <c r="N1858" s="62" t="s">
        <v>23338</v>
      </c>
      <c r="O1858" s="62" t="s">
        <v>23339</v>
      </c>
      <c r="P1858" s="62" t="s">
        <v>51797</v>
      </c>
      <c r="Q1858" s="62" t="s">
        <v>23340</v>
      </c>
      <c r="R1858" s="62" t="s">
        <v>23341</v>
      </c>
      <c r="S1858" s="62" t="s">
        <v>23342</v>
      </c>
      <c r="U1858" s="62" t="s">
        <v>23343</v>
      </c>
      <c r="V1858" s="62" t="s">
        <v>51858</v>
      </c>
      <c r="W1858" s="62" t="s">
        <v>23344</v>
      </c>
      <c r="X1858" s="62" t="s">
        <v>23345</v>
      </c>
      <c r="Y1858" s="62" t="s">
        <v>23346</v>
      </c>
      <c r="Z1858" s="62" t="s">
        <v>23347</v>
      </c>
      <c r="AA1858" s="62" t="s">
        <v>51919</v>
      </c>
      <c r="AB1858" s="62" t="s">
        <v>23348</v>
      </c>
      <c r="AC1858" s="62" t="s">
        <v>23349</v>
      </c>
      <c r="AD1858" s="62" t="s">
        <v>23350</v>
      </c>
    </row>
    <row r="1859" spans="1:30" x14ac:dyDescent="0.25">
      <c r="A1859" s="62" t="s">
        <v>109</v>
      </c>
      <c r="C1859" s="62" t="s">
        <v>23351</v>
      </c>
      <c r="F1859" s="62" t="s">
        <v>943</v>
      </c>
      <c r="G1859" s="62" t="s">
        <v>51676</v>
      </c>
      <c r="J1859" s="62" t="s">
        <v>23352</v>
      </c>
      <c r="K1859" s="62" t="s">
        <v>51737</v>
      </c>
      <c r="L1859" s="62" t="s">
        <v>23353</v>
      </c>
      <c r="M1859" s="62" t="s">
        <v>23354</v>
      </c>
      <c r="N1859" s="62" t="s">
        <v>23355</v>
      </c>
      <c r="O1859" s="62" t="s">
        <v>23356</v>
      </c>
      <c r="P1859" s="62" t="s">
        <v>51798</v>
      </c>
      <c r="Q1859" s="62" t="s">
        <v>23357</v>
      </c>
      <c r="R1859" s="62" t="s">
        <v>23358</v>
      </c>
      <c r="S1859" s="62" t="s">
        <v>23359</v>
      </c>
      <c r="U1859" s="62" t="s">
        <v>23360</v>
      </c>
      <c r="V1859" s="62" t="s">
        <v>51859</v>
      </c>
      <c r="W1859" s="62" t="s">
        <v>23361</v>
      </c>
      <c r="X1859" s="62" t="s">
        <v>23362</v>
      </c>
      <c r="Y1859" s="62" t="s">
        <v>23363</v>
      </c>
      <c r="Z1859" s="62" t="s">
        <v>23364</v>
      </c>
      <c r="AA1859" s="62" t="s">
        <v>51920</v>
      </c>
      <c r="AB1859" s="62" t="s">
        <v>23365</v>
      </c>
      <c r="AC1859" s="62" t="s">
        <v>23366</v>
      </c>
      <c r="AD1859" s="62" t="s">
        <v>23367</v>
      </c>
    </row>
    <row r="1860" spans="1:30" x14ac:dyDescent="0.25">
      <c r="A1860" s="62" t="s">
        <v>109</v>
      </c>
      <c r="C1860" s="62" t="s">
        <v>23368</v>
      </c>
      <c r="F1860" s="62" t="s">
        <v>2212</v>
      </c>
      <c r="G1860" s="62" t="s">
        <v>51677</v>
      </c>
      <c r="J1860" s="62" t="s">
        <v>23369</v>
      </c>
      <c r="K1860" s="62" t="s">
        <v>51738</v>
      </c>
      <c r="L1860" s="62" t="s">
        <v>23370</v>
      </c>
      <c r="M1860" s="62" t="s">
        <v>23371</v>
      </c>
      <c r="N1860" s="62" t="s">
        <v>23372</v>
      </c>
      <c r="O1860" s="62" t="s">
        <v>23373</v>
      </c>
      <c r="P1860" s="62" t="s">
        <v>51799</v>
      </c>
      <c r="Q1860" s="62" t="s">
        <v>23374</v>
      </c>
      <c r="R1860" s="62" t="s">
        <v>23375</v>
      </c>
      <c r="S1860" s="62" t="s">
        <v>23376</v>
      </c>
      <c r="U1860" s="62" t="s">
        <v>23377</v>
      </c>
      <c r="V1860" s="62" t="s">
        <v>51860</v>
      </c>
      <c r="W1860" s="62" t="s">
        <v>23378</v>
      </c>
      <c r="X1860" s="62" t="s">
        <v>23379</v>
      </c>
      <c r="Y1860" s="62" t="s">
        <v>23380</v>
      </c>
      <c r="Z1860" s="62" t="s">
        <v>23381</v>
      </c>
      <c r="AA1860" s="62" t="s">
        <v>51921</v>
      </c>
      <c r="AB1860" s="62" t="s">
        <v>23382</v>
      </c>
      <c r="AC1860" s="62" t="s">
        <v>23383</v>
      </c>
      <c r="AD1860" s="62" t="s">
        <v>23384</v>
      </c>
    </row>
    <row r="1861" spans="1:30" x14ac:dyDescent="0.25">
      <c r="A1861" s="62" t="s">
        <v>109</v>
      </c>
      <c r="C1861" s="62" t="s">
        <v>23385</v>
      </c>
      <c r="F1861" s="62" t="s">
        <v>193</v>
      </c>
      <c r="G1861" s="62" t="s">
        <v>51678</v>
      </c>
      <c r="J1861" s="62" t="s">
        <v>23386</v>
      </c>
      <c r="K1861" s="62" t="s">
        <v>51739</v>
      </c>
      <c r="L1861" s="62" t="s">
        <v>23387</v>
      </c>
      <c r="M1861" s="62" t="s">
        <v>23388</v>
      </c>
      <c r="N1861" s="62" t="s">
        <v>23389</v>
      </c>
      <c r="O1861" s="62" t="s">
        <v>23390</v>
      </c>
      <c r="P1861" s="62" t="s">
        <v>51800</v>
      </c>
      <c r="Q1861" s="62" t="s">
        <v>23391</v>
      </c>
      <c r="R1861" s="62" t="s">
        <v>23392</v>
      </c>
      <c r="S1861" s="62" t="s">
        <v>23393</v>
      </c>
      <c r="U1861" s="62" t="s">
        <v>23394</v>
      </c>
      <c r="V1861" s="62" t="s">
        <v>51861</v>
      </c>
      <c r="W1861" s="62" t="s">
        <v>23395</v>
      </c>
      <c r="X1861" s="62" t="s">
        <v>23396</v>
      </c>
      <c r="Y1861" s="62" t="s">
        <v>23397</v>
      </c>
      <c r="Z1861" s="62" t="s">
        <v>23398</v>
      </c>
      <c r="AA1861" s="62" t="s">
        <v>51922</v>
      </c>
      <c r="AB1861" s="62" t="s">
        <v>23399</v>
      </c>
      <c r="AC1861" s="62" t="s">
        <v>23400</v>
      </c>
      <c r="AD1861" s="62" t="s">
        <v>23401</v>
      </c>
    </row>
    <row r="1862" spans="1:30" x14ac:dyDescent="0.25">
      <c r="A1862" s="62" t="s">
        <v>109</v>
      </c>
      <c r="C1862" s="62" t="s">
        <v>23402</v>
      </c>
      <c r="F1862" s="62" t="s">
        <v>254</v>
      </c>
      <c r="G1862" s="62" t="s">
        <v>51679</v>
      </c>
      <c r="J1862" s="62" t="s">
        <v>23403</v>
      </c>
      <c r="K1862" s="62" t="s">
        <v>51740</v>
      </c>
      <c r="L1862" s="62" t="s">
        <v>23404</v>
      </c>
      <c r="M1862" s="62" t="s">
        <v>23405</v>
      </c>
      <c r="N1862" s="62" t="s">
        <v>23406</v>
      </c>
      <c r="O1862" s="62" t="s">
        <v>23407</v>
      </c>
      <c r="P1862" s="62" t="s">
        <v>51801</v>
      </c>
      <c r="Q1862" s="62" t="s">
        <v>23408</v>
      </c>
      <c r="R1862" s="62" t="s">
        <v>23409</v>
      </c>
      <c r="S1862" s="62" t="s">
        <v>23410</v>
      </c>
      <c r="U1862" s="62" t="s">
        <v>23411</v>
      </c>
      <c r="V1862" s="62" t="s">
        <v>51862</v>
      </c>
      <c r="W1862" s="62" t="s">
        <v>23412</v>
      </c>
      <c r="X1862" s="62" t="s">
        <v>23413</v>
      </c>
      <c r="Y1862" s="62" t="s">
        <v>23414</v>
      </c>
      <c r="Z1862" s="62" t="s">
        <v>23415</v>
      </c>
      <c r="AA1862" s="62" t="s">
        <v>51923</v>
      </c>
      <c r="AB1862" s="62" t="s">
        <v>23416</v>
      </c>
      <c r="AC1862" s="62" t="s">
        <v>23417</v>
      </c>
      <c r="AD1862" s="62" t="s">
        <v>23418</v>
      </c>
    </row>
    <row r="1863" spans="1:30" x14ac:dyDescent="0.25">
      <c r="A1863" s="62" t="s">
        <v>109</v>
      </c>
      <c r="C1863" s="62" t="s">
        <v>23419</v>
      </c>
      <c r="F1863" s="62" t="s">
        <v>2297</v>
      </c>
      <c r="G1863" s="62" t="s">
        <v>51680</v>
      </c>
      <c r="J1863" s="62" t="s">
        <v>23420</v>
      </c>
      <c r="K1863" s="62" t="s">
        <v>51741</v>
      </c>
      <c r="L1863" s="62" t="s">
        <v>23421</v>
      </c>
      <c r="M1863" s="62" t="s">
        <v>23422</v>
      </c>
      <c r="N1863" s="62" t="s">
        <v>23423</v>
      </c>
      <c r="O1863" s="62" t="s">
        <v>23424</v>
      </c>
      <c r="P1863" s="62" t="s">
        <v>51802</v>
      </c>
      <c r="Q1863" s="62" t="s">
        <v>23425</v>
      </c>
      <c r="R1863" s="62" t="s">
        <v>23426</v>
      </c>
      <c r="S1863" s="62" t="s">
        <v>23427</v>
      </c>
      <c r="U1863" s="62" t="s">
        <v>23428</v>
      </c>
      <c r="V1863" s="62" t="s">
        <v>51863</v>
      </c>
      <c r="W1863" s="62" t="s">
        <v>23429</v>
      </c>
      <c r="X1863" s="62" t="s">
        <v>23430</v>
      </c>
      <c r="Y1863" s="62" t="s">
        <v>23431</v>
      </c>
      <c r="Z1863" s="62" t="s">
        <v>23432</v>
      </c>
      <c r="AA1863" s="62" t="s">
        <v>51924</v>
      </c>
      <c r="AB1863" s="62" t="s">
        <v>23433</v>
      </c>
      <c r="AC1863" s="62" t="s">
        <v>23434</v>
      </c>
      <c r="AD1863" s="62" t="s">
        <v>23435</v>
      </c>
    </row>
    <row r="1864" spans="1:30" x14ac:dyDescent="0.25">
      <c r="A1864" s="62" t="s">
        <v>109</v>
      </c>
      <c r="C1864" s="62" t="s">
        <v>23436</v>
      </c>
      <c r="F1864" s="62" t="s">
        <v>10282</v>
      </c>
      <c r="G1864" s="62" t="s">
        <v>51681</v>
      </c>
      <c r="J1864" s="62" t="s">
        <v>23437</v>
      </c>
      <c r="K1864" s="62" t="s">
        <v>51742</v>
      </c>
      <c r="L1864" s="62" t="s">
        <v>23438</v>
      </c>
      <c r="M1864" s="62" t="s">
        <v>23439</v>
      </c>
      <c r="N1864" s="62" t="s">
        <v>23440</v>
      </c>
      <c r="O1864" s="62" t="s">
        <v>23441</v>
      </c>
      <c r="P1864" s="62" t="s">
        <v>51803</v>
      </c>
      <c r="Q1864" s="62" t="s">
        <v>23442</v>
      </c>
      <c r="R1864" s="62" t="s">
        <v>23443</v>
      </c>
      <c r="S1864" s="62" t="s">
        <v>23444</v>
      </c>
      <c r="U1864" s="62" t="s">
        <v>23445</v>
      </c>
      <c r="V1864" s="62" t="s">
        <v>51864</v>
      </c>
      <c r="W1864" s="62" t="s">
        <v>23446</v>
      </c>
      <c r="X1864" s="62" t="s">
        <v>23447</v>
      </c>
      <c r="Y1864" s="62" t="s">
        <v>23448</v>
      </c>
      <c r="Z1864" s="62" t="s">
        <v>23449</v>
      </c>
      <c r="AA1864" s="62" t="s">
        <v>51925</v>
      </c>
      <c r="AB1864" s="62" t="s">
        <v>23450</v>
      </c>
      <c r="AC1864" s="62" t="s">
        <v>23451</v>
      </c>
      <c r="AD1864" s="62" t="s">
        <v>23452</v>
      </c>
    </row>
    <row r="1865" spans="1:30" x14ac:dyDescent="0.25">
      <c r="A1865" s="62" t="s">
        <v>109</v>
      </c>
      <c r="C1865" s="62" t="s">
        <v>23453</v>
      </c>
      <c r="F1865" s="62" t="s">
        <v>10284</v>
      </c>
      <c r="G1865" s="62" t="s">
        <v>51682</v>
      </c>
      <c r="J1865" s="62" t="s">
        <v>23454</v>
      </c>
      <c r="K1865" s="62" t="s">
        <v>51743</v>
      </c>
      <c r="L1865" s="62" t="s">
        <v>23455</v>
      </c>
      <c r="M1865" s="62" t="s">
        <v>23456</v>
      </c>
      <c r="N1865" s="62" t="s">
        <v>23457</v>
      </c>
      <c r="O1865" s="62" t="s">
        <v>23458</v>
      </c>
      <c r="P1865" s="62" t="s">
        <v>51804</v>
      </c>
      <c r="Q1865" s="62" t="s">
        <v>23459</v>
      </c>
      <c r="R1865" s="62" t="s">
        <v>23460</v>
      </c>
      <c r="S1865" s="62" t="s">
        <v>23461</v>
      </c>
      <c r="U1865" s="62" t="s">
        <v>23462</v>
      </c>
      <c r="V1865" s="62" t="s">
        <v>51865</v>
      </c>
      <c r="W1865" s="62" t="s">
        <v>23463</v>
      </c>
      <c r="X1865" s="62" t="s">
        <v>23464</v>
      </c>
      <c r="Y1865" s="62" t="s">
        <v>23465</v>
      </c>
      <c r="Z1865" s="62" t="s">
        <v>23466</v>
      </c>
      <c r="AA1865" s="62" t="s">
        <v>51926</v>
      </c>
      <c r="AB1865" s="62" t="s">
        <v>23467</v>
      </c>
      <c r="AC1865" s="62" t="s">
        <v>23468</v>
      </c>
      <c r="AD1865" s="62" t="s">
        <v>23469</v>
      </c>
    </row>
    <row r="1866" spans="1:30" x14ac:dyDescent="0.25">
      <c r="A1866" s="62" t="s">
        <v>109</v>
      </c>
      <c r="C1866" s="62" t="s">
        <v>23470</v>
      </c>
      <c r="F1866" s="62" t="s">
        <v>12860</v>
      </c>
      <c r="G1866" s="62" t="s">
        <v>51683</v>
      </c>
      <c r="J1866" s="62" t="s">
        <v>23471</v>
      </c>
      <c r="K1866" s="62" t="s">
        <v>51744</v>
      </c>
      <c r="L1866" s="62" t="s">
        <v>23472</v>
      </c>
      <c r="M1866" s="62" t="s">
        <v>23473</v>
      </c>
      <c r="N1866" s="62" t="s">
        <v>23474</v>
      </c>
      <c r="O1866" s="62" t="s">
        <v>23475</v>
      </c>
      <c r="P1866" s="62" t="s">
        <v>51805</v>
      </c>
      <c r="Q1866" s="62" t="s">
        <v>23476</v>
      </c>
      <c r="R1866" s="62" t="s">
        <v>23477</v>
      </c>
      <c r="S1866" s="62" t="s">
        <v>23478</v>
      </c>
      <c r="U1866" s="62" t="s">
        <v>23479</v>
      </c>
      <c r="V1866" s="62" t="s">
        <v>51866</v>
      </c>
      <c r="W1866" s="62" t="s">
        <v>23480</v>
      </c>
      <c r="X1866" s="62" t="s">
        <v>23481</v>
      </c>
      <c r="Y1866" s="62" t="s">
        <v>23482</v>
      </c>
      <c r="Z1866" s="62" t="s">
        <v>23483</v>
      </c>
      <c r="AA1866" s="62" t="s">
        <v>51927</v>
      </c>
      <c r="AB1866" s="62" t="s">
        <v>23484</v>
      </c>
      <c r="AC1866" s="62" t="s">
        <v>23485</v>
      </c>
      <c r="AD1866" s="62" t="s">
        <v>23486</v>
      </c>
    </row>
    <row r="1867" spans="1:30" x14ac:dyDescent="0.25">
      <c r="A1867" s="62" t="s">
        <v>109</v>
      </c>
      <c r="C1867" s="62" t="s">
        <v>23487</v>
      </c>
      <c r="F1867" s="62" t="s">
        <v>10293</v>
      </c>
      <c r="G1867" s="62" t="s">
        <v>51684</v>
      </c>
      <c r="J1867" s="62" t="s">
        <v>23488</v>
      </c>
      <c r="K1867" s="62" t="s">
        <v>51745</v>
      </c>
      <c r="L1867" s="62" t="s">
        <v>23489</v>
      </c>
      <c r="M1867" s="62" t="s">
        <v>23490</v>
      </c>
      <c r="N1867" s="62" t="s">
        <v>23491</v>
      </c>
      <c r="O1867" s="62" t="s">
        <v>23492</v>
      </c>
      <c r="P1867" s="62" t="s">
        <v>51806</v>
      </c>
      <c r="Q1867" s="62" t="s">
        <v>23493</v>
      </c>
      <c r="R1867" s="62" t="s">
        <v>23494</v>
      </c>
      <c r="S1867" s="62" t="s">
        <v>23495</v>
      </c>
      <c r="U1867" s="62" t="s">
        <v>23496</v>
      </c>
      <c r="V1867" s="62" t="s">
        <v>51867</v>
      </c>
      <c r="W1867" s="62" t="s">
        <v>23497</v>
      </c>
      <c r="X1867" s="62" t="s">
        <v>23498</v>
      </c>
      <c r="Y1867" s="62" t="s">
        <v>23499</v>
      </c>
      <c r="Z1867" s="62" t="s">
        <v>23500</v>
      </c>
      <c r="AA1867" s="62" t="s">
        <v>51928</v>
      </c>
      <c r="AB1867" s="62" t="s">
        <v>23501</v>
      </c>
      <c r="AC1867" s="62" t="s">
        <v>23502</v>
      </c>
      <c r="AD1867" s="62" t="s">
        <v>23503</v>
      </c>
    </row>
    <row r="1868" spans="1:30" x14ac:dyDescent="0.25">
      <c r="A1868" s="62" t="s">
        <v>109</v>
      </c>
      <c r="C1868" s="62" t="s">
        <v>23504</v>
      </c>
      <c r="F1868" s="62" t="s">
        <v>340</v>
      </c>
      <c r="G1868" s="62" t="s">
        <v>51685</v>
      </c>
      <c r="J1868" s="62" t="s">
        <v>23505</v>
      </c>
      <c r="K1868" s="62" t="s">
        <v>51746</v>
      </c>
      <c r="L1868" s="62" t="s">
        <v>23506</v>
      </c>
      <c r="M1868" s="62" t="s">
        <v>23507</v>
      </c>
      <c r="N1868" s="62" t="s">
        <v>23508</v>
      </c>
      <c r="O1868" s="62" t="s">
        <v>23509</v>
      </c>
      <c r="P1868" s="62" t="s">
        <v>51807</v>
      </c>
      <c r="Q1868" s="62" t="s">
        <v>23510</v>
      </c>
      <c r="R1868" s="62" t="s">
        <v>23511</v>
      </c>
      <c r="S1868" s="62" t="s">
        <v>23512</v>
      </c>
      <c r="U1868" s="62" t="s">
        <v>23513</v>
      </c>
      <c r="V1868" s="62" t="s">
        <v>51868</v>
      </c>
      <c r="W1868" s="62" t="s">
        <v>23514</v>
      </c>
      <c r="X1868" s="62" t="s">
        <v>23515</v>
      </c>
      <c r="Y1868" s="62" t="s">
        <v>23516</v>
      </c>
      <c r="Z1868" s="62" t="s">
        <v>23517</v>
      </c>
      <c r="AA1868" s="62" t="s">
        <v>51929</v>
      </c>
      <c r="AB1868" s="62" t="s">
        <v>23518</v>
      </c>
      <c r="AC1868" s="62" t="s">
        <v>23519</v>
      </c>
      <c r="AD1868" s="62" t="s">
        <v>23520</v>
      </c>
    </row>
    <row r="1869" spans="1:30" x14ac:dyDescent="0.25">
      <c r="A1869" s="62" t="s">
        <v>109</v>
      </c>
      <c r="C1869" s="62" t="s">
        <v>23521</v>
      </c>
      <c r="F1869" s="62" t="s">
        <v>10295</v>
      </c>
      <c r="G1869" s="62" t="s">
        <v>51686</v>
      </c>
      <c r="J1869" s="62" t="s">
        <v>23522</v>
      </c>
      <c r="K1869" s="62" t="s">
        <v>51747</v>
      </c>
      <c r="L1869" s="62" t="s">
        <v>23523</v>
      </c>
      <c r="M1869" s="62" t="s">
        <v>23524</v>
      </c>
      <c r="N1869" s="62" t="s">
        <v>23525</v>
      </c>
      <c r="O1869" s="62" t="s">
        <v>23526</v>
      </c>
      <c r="P1869" s="62" t="s">
        <v>51808</v>
      </c>
      <c r="Q1869" s="62" t="s">
        <v>23527</v>
      </c>
      <c r="R1869" s="62" t="s">
        <v>23528</v>
      </c>
      <c r="S1869" s="62" t="s">
        <v>23529</v>
      </c>
      <c r="U1869" s="62" t="s">
        <v>23530</v>
      </c>
      <c r="V1869" s="62" t="s">
        <v>51869</v>
      </c>
      <c r="W1869" s="62" t="s">
        <v>23531</v>
      </c>
      <c r="X1869" s="62" t="s">
        <v>23532</v>
      </c>
      <c r="Y1869" s="62" t="s">
        <v>23533</v>
      </c>
      <c r="Z1869" s="62" t="s">
        <v>23534</v>
      </c>
      <c r="AA1869" s="62" t="s">
        <v>51930</v>
      </c>
      <c r="AB1869" s="62" t="s">
        <v>23535</v>
      </c>
      <c r="AC1869" s="62" t="s">
        <v>23536</v>
      </c>
      <c r="AD1869" s="62" t="s">
        <v>23537</v>
      </c>
    </row>
    <row r="1870" spans="1:30" x14ac:dyDescent="0.25">
      <c r="A1870" s="62" t="s">
        <v>109</v>
      </c>
      <c r="C1870" s="62" t="s">
        <v>23538</v>
      </c>
      <c r="F1870" s="62" t="s">
        <v>10314</v>
      </c>
      <c r="G1870" s="62" t="s">
        <v>51687</v>
      </c>
      <c r="J1870" s="62" t="s">
        <v>23539</v>
      </c>
      <c r="K1870" s="62" t="s">
        <v>51748</v>
      </c>
      <c r="L1870" s="62" t="s">
        <v>23540</v>
      </c>
      <c r="M1870" s="62" t="s">
        <v>23541</v>
      </c>
      <c r="N1870" s="62" t="s">
        <v>23542</v>
      </c>
      <c r="O1870" s="62" t="s">
        <v>23543</v>
      </c>
      <c r="P1870" s="62" t="s">
        <v>51809</v>
      </c>
      <c r="Q1870" s="62" t="s">
        <v>23544</v>
      </c>
      <c r="R1870" s="62" t="s">
        <v>23545</v>
      </c>
      <c r="S1870" s="62" t="s">
        <v>23546</v>
      </c>
      <c r="U1870" s="62" t="s">
        <v>23547</v>
      </c>
      <c r="V1870" s="62" t="s">
        <v>51870</v>
      </c>
      <c r="W1870" s="62" t="s">
        <v>23548</v>
      </c>
      <c r="X1870" s="62" t="s">
        <v>23549</v>
      </c>
      <c r="Y1870" s="62" t="s">
        <v>23550</v>
      </c>
      <c r="Z1870" s="62" t="s">
        <v>23551</v>
      </c>
      <c r="AA1870" s="62" t="s">
        <v>51931</v>
      </c>
      <c r="AB1870" s="62" t="s">
        <v>23552</v>
      </c>
      <c r="AC1870" s="62" t="s">
        <v>23553</v>
      </c>
      <c r="AD1870" s="62" t="s">
        <v>23554</v>
      </c>
    </row>
    <row r="1871" spans="1:30" x14ac:dyDescent="0.25">
      <c r="A1871" s="62" t="s">
        <v>109</v>
      </c>
      <c r="C1871" s="62" t="s">
        <v>23555</v>
      </c>
      <c r="F1871" s="62" t="s">
        <v>10332</v>
      </c>
      <c r="G1871" s="62" t="s">
        <v>51688</v>
      </c>
      <c r="J1871" s="62" t="s">
        <v>23556</v>
      </c>
      <c r="K1871" s="62" t="s">
        <v>51749</v>
      </c>
      <c r="L1871" s="62" t="s">
        <v>23557</v>
      </c>
      <c r="M1871" s="62" t="s">
        <v>23558</v>
      </c>
      <c r="N1871" s="62" t="s">
        <v>23559</v>
      </c>
      <c r="O1871" s="62" t="s">
        <v>23560</v>
      </c>
      <c r="P1871" s="62" t="s">
        <v>51810</v>
      </c>
      <c r="Q1871" s="62" t="s">
        <v>23561</v>
      </c>
      <c r="R1871" s="62" t="s">
        <v>23562</v>
      </c>
      <c r="S1871" s="62" t="s">
        <v>23563</v>
      </c>
      <c r="U1871" s="62" t="s">
        <v>23564</v>
      </c>
      <c r="V1871" s="62" t="s">
        <v>51871</v>
      </c>
      <c r="W1871" s="62" t="s">
        <v>23565</v>
      </c>
      <c r="X1871" s="62" t="s">
        <v>23566</v>
      </c>
      <c r="Y1871" s="62" t="s">
        <v>23567</v>
      </c>
      <c r="Z1871" s="62" t="s">
        <v>23568</v>
      </c>
      <c r="AA1871" s="62" t="s">
        <v>51932</v>
      </c>
      <c r="AB1871" s="62" t="s">
        <v>23569</v>
      </c>
      <c r="AC1871" s="62" t="s">
        <v>23570</v>
      </c>
      <c r="AD1871" s="62" t="s">
        <v>23571</v>
      </c>
    </row>
    <row r="1872" spans="1:30" x14ac:dyDescent="0.25">
      <c r="A1872" s="62" t="s">
        <v>109</v>
      </c>
      <c r="C1872" s="62" t="s">
        <v>23572</v>
      </c>
      <c r="F1872" s="62" t="s">
        <v>10350</v>
      </c>
      <c r="G1872" s="62" t="s">
        <v>51689</v>
      </c>
      <c r="J1872" s="62" t="s">
        <v>23573</v>
      </c>
      <c r="K1872" s="62" t="s">
        <v>51750</v>
      </c>
      <c r="L1872" s="62" t="s">
        <v>23574</v>
      </c>
      <c r="M1872" s="62" t="s">
        <v>23575</v>
      </c>
      <c r="N1872" s="62" t="s">
        <v>23576</v>
      </c>
      <c r="O1872" s="62" t="s">
        <v>23577</v>
      </c>
      <c r="P1872" s="62" t="s">
        <v>51811</v>
      </c>
      <c r="Q1872" s="62" t="s">
        <v>23578</v>
      </c>
      <c r="R1872" s="62" t="s">
        <v>23579</v>
      </c>
      <c r="S1872" s="62" t="s">
        <v>23580</v>
      </c>
      <c r="U1872" s="62" t="s">
        <v>23581</v>
      </c>
      <c r="V1872" s="62" t="s">
        <v>51872</v>
      </c>
      <c r="W1872" s="62" t="s">
        <v>23582</v>
      </c>
      <c r="X1872" s="62" t="s">
        <v>23583</v>
      </c>
      <c r="Y1872" s="62" t="s">
        <v>23584</v>
      </c>
      <c r="Z1872" s="62" t="s">
        <v>23585</v>
      </c>
      <c r="AA1872" s="62" t="s">
        <v>51933</v>
      </c>
      <c r="AB1872" s="62" t="s">
        <v>23586</v>
      </c>
      <c r="AC1872" s="62" t="s">
        <v>23587</v>
      </c>
      <c r="AD1872" s="62" t="s">
        <v>23588</v>
      </c>
    </row>
    <row r="1873" spans="1:30" x14ac:dyDescent="0.25">
      <c r="A1873" s="62" t="s">
        <v>109</v>
      </c>
      <c r="C1873" s="62" t="s">
        <v>23589</v>
      </c>
      <c r="F1873" s="62" t="s">
        <v>10368</v>
      </c>
      <c r="G1873" s="62" t="s">
        <v>51690</v>
      </c>
      <c r="J1873" s="62" t="s">
        <v>23590</v>
      </c>
      <c r="K1873" s="62" t="s">
        <v>51751</v>
      </c>
      <c r="L1873" s="62" t="s">
        <v>23591</v>
      </c>
      <c r="M1873" s="62" t="s">
        <v>23592</v>
      </c>
      <c r="N1873" s="62" t="s">
        <v>23593</v>
      </c>
      <c r="O1873" s="62" t="s">
        <v>23594</v>
      </c>
      <c r="P1873" s="62" t="s">
        <v>51812</v>
      </c>
      <c r="Q1873" s="62" t="s">
        <v>23595</v>
      </c>
      <c r="R1873" s="62" t="s">
        <v>23596</v>
      </c>
      <c r="S1873" s="62" t="s">
        <v>23597</v>
      </c>
      <c r="U1873" s="62" t="s">
        <v>23598</v>
      </c>
      <c r="V1873" s="62" t="s">
        <v>51873</v>
      </c>
      <c r="W1873" s="62" t="s">
        <v>23599</v>
      </c>
      <c r="X1873" s="62" t="s">
        <v>23600</v>
      </c>
      <c r="Y1873" s="62" t="s">
        <v>23601</v>
      </c>
      <c r="Z1873" s="62" t="s">
        <v>23602</v>
      </c>
      <c r="AA1873" s="62" t="s">
        <v>51934</v>
      </c>
      <c r="AB1873" s="62" t="s">
        <v>23603</v>
      </c>
      <c r="AC1873" s="62" t="s">
        <v>23604</v>
      </c>
      <c r="AD1873" s="62" t="s">
        <v>23605</v>
      </c>
    </row>
    <row r="1874" spans="1:30" x14ac:dyDescent="0.25">
      <c r="A1874" s="62" t="s">
        <v>109</v>
      </c>
      <c r="C1874" s="62" t="s">
        <v>23606</v>
      </c>
      <c r="F1874" s="62" t="s">
        <v>10386</v>
      </c>
      <c r="G1874" s="62" t="s">
        <v>51691</v>
      </c>
      <c r="J1874" s="62" t="s">
        <v>23607</v>
      </c>
      <c r="K1874" s="62" t="s">
        <v>51752</v>
      </c>
      <c r="L1874" s="62" t="s">
        <v>23608</v>
      </c>
      <c r="M1874" s="62" t="s">
        <v>23609</v>
      </c>
      <c r="N1874" s="62" t="s">
        <v>23610</v>
      </c>
      <c r="O1874" s="62" t="s">
        <v>23611</v>
      </c>
      <c r="P1874" s="62" t="s">
        <v>51813</v>
      </c>
      <c r="Q1874" s="62" t="s">
        <v>23612</v>
      </c>
      <c r="R1874" s="62" t="s">
        <v>23613</v>
      </c>
      <c r="S1874" s="62" t="s">
        <v>23614</v>
      </c>
      <c r="U1874" s="62" t="s">
        <v>23615</v>
      </c>
      <c r="V1874" s="62" t="s">
        <v>51874</v>
      </c>
      <c r="W1874" s="62" t="s">
        <v>23616</v>
      </c>
      <c r="X1874" s="62" t="s">
        <v>23617</v>
      </c>
      <c r="Y1874" s="62" t="s">
        <v>23618</v>
      </c>
      <c r="Z1874" s="62" t="s">
        <v>23619</v>
      </c>
      <c r="AA1874" s="62" t="s">
        <v>51935</v>
      </c>
      <c r="AB1874" s="62" t="s">
        <v>23620</v>
      </c>
      <c r="AC1874" s="62" t="s">
        <v>23621</v>
      </c>
      <c r="AD1874" s="62" t="s">
        <v>23622</v>
      </c>
    </row>
    <row r="1875" spans="1:30" x14ac:dyDescent="0.25">
      <c r="A1875" s="62" t="s">
        <v>109</v>
      </c>
      <c r="C1875" s="62" t="s">
        <v>23623</v>
      </c>
      <c r="F1875" s="62" t="s">
        <v>15012</v>
      </c>
      <c r="G1875" s="62" t="s">
        <v>51692</v>
      </c>
      <c r="J1875" s="62" t="s">
        <v>23624</v>
      </c>
      <c r="K1875" s="62" t="s">
        <v>51753</v>
      </c>
      <c r="L1875" s="62" t="s">
        <v>23625</v>
      </c>
      <c r="M1875" s="62" t="s">
        <v>23626</v>
      </c>
      <c r="N1875" s="62" t="s">
        <v>23627</v>
      </c>
      <c r="O1875" s="62" t="s">
        <v>23628</v>
      </c>
      <c r="P1875" s="62" t="s">
        <v>51814</v>
      </c>
      <c r="Q1875" s="62" t="s">
        <v>23629</v>
      </c>
      <c r="R1875" s="62" t="s">
        <v>23630</v>
      </c>
      <c r="S1875" s="62" t="s">
        <v>23631</v>
      </c>
      <c r="U1875" s="62" t="s">
        <v>23632</v>
      </c>
      <c r="V1875" s="62" t="s">
        <v>51875</v>
      </c>
      <c r="W1875" s="62" t="s">
        <v>23633</v>
      </c>
      <c r="X1875" s="62" t="s">
        <v>23634</v>
      </c>
      <c r="Y1875" s="62" t="s">
        <v>23635</v>
      </c>
      <c r="Z1875" s="62" t="s">
        <v>23636</v>
      </c>
      <c r="AA1875" s="62" t="s">
        <v>51936</v>
      </c>
      <c r="AB1875" s="62" t="s">
        <v>23637</v>
      </c>
      <c r="AC1875" s="62" t="s">
        <v>23638</v>
      </c>
      <c r="AD1875" s="62" t="s">
        <v>23639</v>
      </c>
    </row>
    <row r="1876" spans="1:30" x14ac:dyDescent="0.25">
      <c r="A1876" s="62" t="s">
        <v>109</v>
      </c>
      <c r="C1876" s="62" t="s">
        <v>23640</v>
      </c>
      <c r="F1876" s="62" t="s">
        <v>10404</v>
      </c>
      <c r="G1876" s="62" t="s">
        <v>51693</v>
      </c>
      <c r="J1876" s="62" t="s">
        <v>23641</v>
      </c>
      <c r="K1876" s="62" t="s">
        <v>51754</v>
      </c>
      <c r="L1876" s="62" t="s">
        <v>23642</v>
      </c>
      <c r="M1876" s="62" t="s">
        <v>23643</v>
      </c>
      <c r="N1876" s="62" t="s">
        <v>23644</v>
      </c>
      <c r="O1876" s="62" t="s">
        <v>23645</v>
      </c>
      <c r="P1876" s="62" t="s">
        <v>51815</v>
      </c>
      <c r="Q1876" s="62" t="s">
        <v>23646</v>
      </c>
      <c r="R1876" s="62" t="s">
        <v>23647</v>
      </c>
      <c r="S1876" s="62" t="s">
        <v>23648</v>
      </c>
      <c r="U1876" s="62" t="s">
        <v>23649</v>
      </c>
      <c r="V1876" s="62" t="s">
        <v>51876</v>
      </c>
      <c r="W1876" s="62" t="s">
        <v>23650</v>
      </c>
      <c r="X1876" s="62" t="s">
        <v>23651</v>
      </c>
      <c r="Y1876" s="62" t="s">
        <v>23652</v>
      </c>
      <c r="Z1876" s="62" t="s">
        <v>23653</v>
      </c>
      <c r="AA1876" s="62" t="s">
        <v>51937</v>
      </c>
      <c r="AB1876" s="62" t="s">
        <v>23654</v>
      </c>
      <c r="AC1876" s="62" t="s">
        <v>23655</v>
      </c>
      <c r="AD1876" s="62" t="s">
        <v>23656</v>
      </c>
    </row>
    <row r="1877" spans="1:30" x14ac:dyDescent="0.25">
      <c r="A1877" s="62" t="s">
        <v>109</v>
      </c>
      <c r="C1877" s="62" t="s">
        <v>23657</v>
      </c>
      <c r="F1877" s="62" t="s">
        <v>10422</v>
      </c>
      <c r="G1877" s="62" t="s">
        <v>51694</v>
      </c>
      <c r="J1877" s="62" t="s">
        <v>23658</v>
      </c>
      <c r="K1877" s="62" t="s">
        <v>51755</v>
      </c>
      <c r="L1877" s="62" t="s">
        <v>23659</v>
      </c>
      <c r="M1877" s="62" t="s">
        <v>23660</v>
      </c>
      <c r="N1877" s="62" t="s">
        <v>23661</v>
      </c>
      <c r="O1877" s="62" t="s">
        <v>23662</v>
      </c>
      <c r="P1877" s="62" t="s">
        <v>51816</v>
      </c>
      <c r="Q1877" s="62" t="s">
        <v>23663</v>
      </c>
      <c r="R1877" s="62" t="s">
        <v>23664</v>
      </c>
      <c r="S1877" s="62" t="s">
        <v>23665</v>
      </c>
      <c r="U1877" s="62" t="s">
        <v>23666</v>
      </c>
      <c r="V1877" s="62" t="s">
        <v>51877</v>
      </c>
      <c r="W1877" s="62" t="s">
        <v>23667</v>
      </c>
      <c r="X1877" s="62" t="s">
        <v>23668</v>
      </c>
      <c r="Y1877" s="62" t="s">
        <v>23669</v>
      </c>
      <c r="Z1877" s="62" t="s">
        <v>23670</v>
      </c>
      <c r="AA1877" s="62" t="s">
        <v>51938</v>
      </c>
      <c r="AB1877" s="62" t="s">
        <v>23671</v>
      </c>
      <c r="AC1877" s="62" t="s">
        <v>23672</v>
      </c>
      <c r="AD1877" s="62" t="s">
        <v>23673</v>
      </c>
    </row>
    <row r="1878" spans="1:30" x14ac:dyDescent="0.25">
      <c r="A1878" s="62" t="s">
        <v>109</v>
      </c>
      <c r="C1878" s="62" t="s">
        <v>23674</v>
      </c>
      <c r="F1878" s="62" t="s">
        <v>1002</v>
      </c>
      <c r="G1878" s="62" t="s">
        <v>51695</v>
      </c>
      <c r="J1878" s="62" t="s">
        <v>23675</v>
      </c>
      <c r="K1878" s="62" t="s">
        <v>51756</v>
      </c>
      <c r="L1878" s="62" t="s">
        <v>23676</v>
      </c>
      <c r="M1878" s="62" t="s">
        <v>23677</v>
      </c>
      <c r="N1878" s="62" t="s">
        <v>23678</v>
      </c>
      <c r="O1878" s="62" t="s">
        <v>23679</v>
      </c>
      <c r="P1878" s="62" t="s">
        <v>51817</v>
      </c>
      <c r="Q1878" s="62" t="s">
        <v>23680</v>
      </c>
      <c r="R1878" s="62" t="s">
        <v>23681</v>
      </c>
      <c r="S1878" s="62" t="s">
        <v>23682</v>
      </c>
      <c r="U1878" s="62" t="s">
        <v>23683</v>
      </c>
      <c r="V1878" s="62" t="s">
        <v>51878</v>
      </c>
      <c r="W1878" s="62" t="s">
        <v>23684</v>
      </c>
      <c r="X1878" s="62" t="s">
        <v>23685</v>
      </c>
      <c r="Y1878" s="62" t="s">
        <v>23686</v>
      </c>
      <c r="Z1878" s="62" t="s">
        <v>23687</v>
      </c>
      <c r="AA1878" s="62" t="s">
        <v>51939</v>
      </c>
      <c r="AB1878" s="62" t="s">
        <v>23688</v>
      </c>
      <c r="AC1878" s="62" t="s">
        <v>23689</v>
      </c>
      <c r="AD1878" s="62" t="s">
        <v>23690</v>
      </c>
    </row>
    <row r="1879" spans="1:30" x14ac:dyDescent="0.25">
      <c r="A1879" s="62" t="s">
        <v>109</v>
      </c>
      <c r="C1879" s="62" t="s">
        <v>23691</v>
      </c>
      <c r="F1879" s="62" t="s">
        <v>1012</v>
      </c>
      <c r="G1879" s="62" t="s">
        <v>51696</v>
      </c>
      <c r="J1879" s="62" t="s">
        <v>23692</v>
      </c>
      <c r="K1879" s="62" t="s">
        <v>51757</v>
      </c>
      <c r="L1879" s="62" t="s">
        <v>23693</v>
      </c>
      <c r="M1879" s="62" t="s">
        <v>23694</v>
      </c>
      <c r="N1879" s="62" t="s">
        <v>23695</v>
      </c>
      <c r="O1879" s="62" t="s">
        <v>23696</v>
      </c>
      <c r="P1879" s="62" t="s">
        <v>51818</v>
      </c>
      <c r="Q1879" s="62" t="s">
        <v>23697</v>
      </c>
      <c r="R1879" s="62" t="s">
        <v>23698</v>
      </c>
      <c r="S1879" s="62" t="s">
        <v>23699</v>
      </c>
      <c r="U1879" s="62" t="s">
        <v>23700</v>
      </c>
      <c r="V1879" s="62" t="s">
        <v>51879</v>
      </c>
      <c r="W1879" s="62" t="s">
        <v>23701</v>
      </c>
      <c r="X1879" s="62" t="s">
        <v>23702</v>
      </c>
      <c r="Y1879" s="62" t="s">
        <v>23703</v>
      </c>
      <c r="Z1879" s="62" t="s">
        <v>23704</v>
      </c>
      <c r="AA1879" s="62" t="s">
        <v>51940</v>
      </c>
      <c r="AB1879" s="62" t="s">
        <v>23705</v>
      </c>
      <c r="AC1879" s="62" t="s">
        <v>23706</v>
      </c>
      <c r="AD1879" s="62" t="s">
        <v>23707</v>
      </c>
    </row>
    <row r="1880" spans="1:30" x14ac:dyDescent="0.25">
      <c r="A1880" s="62" t="s">
        <v>109</v>
      </c>
      <c r="C1880" s="62" t="s">
        <v>23708</v>
      </c>
      <c r="F1880" s="62" t="s">
        <v>1030</v>
      </c>
      <c r="G1880" s="62" t="s">
        <v>51697</v>
      </c>
      <c r="J1880" s="62" t="s">
        <v>23709</v>
      </c>
      <c r="K1880" s="62" t="s">
        <v>51758</v>
      </c>
      <c r="L1880" s="62" t="s">
        <v>23710</v>
      </c>
      <c r="M1880" s="62" t="s">
        <v>23711</v>
      </c>
      <c r="N1880" s="62" t="s">
        <v>23712</v>
      </c>
      <c r="O1880" s="62" t="s">
        <v>23713</v>
      </c>
      <c r="P1880" s="62" t="s">
        <v>51819</v>
      </c>
      <c r="Q1880" s="62" t="s">
        <v>23714</v>
      </c>
      <c r="R1880" s="62" t="s">
        <v>23715</v>
      </c>
      <c r="S1880" s="62" t="s">
        <v>23716</v>
      </c>
      <c r="U1880" s="62" t="s">
        <v>23717</v>
      </c>
      <c r="V1880" s="62" t="s">
        <v>51880</v>
      </c>
      <c r="W1880" s="62" t="s">
        <v>23718</v>
      </c>
      <c r="X1880" s="62" t="s">
        <v>23719</v>
      </c>
      <c r="Y1880" s="62" t="s">
        <v>23720</v>
      </c>
      <c r="Z1880" s="62" t="s">
        <v>23721</v>
      </c>
      <c r="AA1880" s="62" t="s">
        <v>51941</v>
      </c>
      <c r="AB1880" s="62" t="s">
        <v>23722</v>
      </c>
      <c r="AC1880" s="62" t="s">
        <v>23723</v>
      </c>
      <c r="AD1880" s="62" t="s">
        <v>23724</v>
      </c>
    </row>
    <row r="1881" spans="1:30" x14ac:dyDescent="0.25">
      <c r="A1881" s="62" t="s">
        <v>109</v>
      </c>
      <c r="C1881" s="62" t="s">
        <v>23725</v>
      </c>
      <c r="F1881" s="62" t="s">
        <v>1047</v>
      </c>
      <c r="G1881" s="62" t="s">
        <v>51698</v>
      </c>
      <c r="J1881" s="62" t="s">
        <v>23726</v>
      </c>
      <c r="K1881" s="62" t="s">
        <v>51759</v>
      </c>
      <c r="L1881" s="62" t="s">
        <v>23727</v>
      </c>
      <c r="M1881" s="62" t="s">
        <v>23728</v>
      </c>
      <c r="N1881" s="62" t="s">
        <v>23729</v>
      </c>
      <c r="O1881" s="62" t="s">
        <v>23730</v>
      </c>
      <c r="P1881" s="62" t="s">
        <v>51820</v>
      </c>
      <c r="Q1881" s="62" t="s">
        <v>23731</v>
      </c>
      <c r="R1881" s="62" t="s">
        <v>23732</v>
      </c>
      <c r="S1881" s="62" t="s">
        <v>23733</v>
      </c>
      <c r="U1881" s="62" t="s">
        <v>23734</v>
      </c>
      <c r="V1881" s="62" t="s">
        <v>51881</v>
      </c>
      <c r="W1881" s="62" t="s">
        <v>23735</v>
      </c>
      <c r="X1881" s="62" t="s">
        <v>23736</v>
      </c>
      <c r="Y1881" s="62" t="s">
        <v>23737</v>
      </c>
      <c r="Z1881" s="62" t="s">
        <v>23738</v>
      </c>
      <c r="AA1881" s="62" t="s">
        <v>51942</v>
      </c>
      <c r="AB1881" s="62" t="s">
        <v>23739</v>
      </c>
      <c r="AC1881" s="62" t="s">
        <v>23740</v>
      </c>
      <c r="AD1881" s="62" t="s">
        <v>23741</v>
      </c>
    </row>
    <row r="1882" spans="1:30" x14ac:dyDescent="0.25">
      <c r="A1882" s="62" t="s">
        <v>109</v>
      </c>
      <c r="C1882" s="62" t="s">
        <v>23742</v>
      </c>
      <c r="F1882" s="62" t="s">
        <v>1064</v>
      </c>
      <c r="G1882" s="62" t="s">
        <v>51699</v>
      </c>
      <c r="J1882" s="62" t="s">
        <v>23743</v>
      </c>
      <c r="K1882" s="62" t="s">
        <v>51760</v>
      </c>
      <c r="L1882" s="62" t="s">
        <v>23744</v>
      </c>
      <c r="M1882" s="62" t="s">
        <v>23745</v>
      </c>
      <c r="N1882" s="62" t="s">
        <v>23746</v>
      </c>
      <c r="O1882" s="62" t="s">
        <v>23747</v>
      </c>
      <c r="P1882" s="62" t="s">
        <v>51821</v>
      </c>
      <c r="Q1882" s="62" t="s">
        <v>23748</v>
      </c>
      <c r="R1882" s="62" t="s">
        <v>23749</v>
      </c>
      <c r="S1882" s="62" t="s">
        <v>23750</v>
      </c>
      <c r="U1882" s="62" t="s">
        <v>23751</v>
      </c>
      <c r="V1882" s="62" t="s">
        <v>51882</v>
      </c>
      <c r="W1882" s="62" t="s">
        <v>23752</v>
      </c>
      <c r="X1882" s="62" t="s">
        <v>23753</v>
      </c>
      <c r="Y1882" s="62" t="s">
        <v>23754</v>
      </c>
      <c r="Z1882" s="62" t="s">
        <v>23755</v>
      </c>
      <c r="AA1882" s="62" t="s">
        <v>51943</v>
      </c>
      <c r="AB1882" s="62" t="s">
        <v>23756</v>
      </c>
      <c r="AC1882" s="62" t="s">
        <v>23757</v>
      </c>
      <c r="AD1882" s="62" t="s">
        <v>23758</v>
      </c>
    </row>
    <row r="1883" spans="1:30" x14ac:dyDescent="0.25">
      <c r="A1883" s="62" t="s">
        <v>109</v>
      </c>
      <c r="C1883" s="62" t="s">
        <v>23759</v>
      </c>
      <c r="F1883" s="62" t="s">
        <v>1073</v>
      </c>
      <c r="G1883" s="62" t="s">
        <v>51700</v>
      </c>
      <c r="J1883" s="62" t="s">
        <v>23760</v>
      </c>
      <c r="K1883" s="62" t="s">
        <v>51761</v>
      </c>
      <c r="L1883" s="62" t="s">
        <v>23761</v>
      </c>
      <c r="M1883" s="62" t="s">
        <v>23762</v>
      </c>
      <c r="N1883" s="62" t="s">
        <v>23763</v>
      </c>
      <c r="O1883" s="62" t="s">
        <v>23764</v>
      </c>
      <c r="P1883" s="62" t="s">
        <v>51822</v>
      </c>
      <c r="Q1883" s="62" t="s">
        <v>23765</v>
      </c>
      <c r="R1883" s="62" t="s">
        <v>23766</v>
      </c>
      <c r="S1883" s="62" t="s">
        <v>23767</v>
      </c>
      <c r="U1883" s="62" t="s">
        <v>23768</v>
      </c>
      <c r="V1883" s="62" t="s">
        <v>51883</v>
      </c>
      <c r="W1883" s="62" t="s">
        <v>23769</v>
      </c>
      <c r="X1883" s="62" t="s">
        <v>23770</v>
      </c>
      <c r="Y1883" s="62" t="s">
        <v>23771</v>
      </c>
      <c r="Z1883" s="62" t="s">
        <v>23772</v>
      </c>
      <c r="AA1883" s="62" t="s">
        <v>51944</v>
      </c>
      <c r="AB1883" s="62" t="s">
        <v>23773</v>
      </c>
      <c r="AC1883" s="62" t="s">
        <v>23774</v>
      </c>
      <c r="AD1883" s="62" t="s">
        <v>23775</v>
      </c>
    </row>
    <row r="1884" spans="1:30" x14ac:dyDescent="0.25">
      <c r="A1884" s="62" t="s">
        <v>109</v>
      </c>
      <c r="C1884" s="62" t="s">
        <v>23776</v>
      </c>
      <c r="F1884" s="62" t="s">
        <v>1090</v>
      </c>
      <c r="G1884" s="62" t="s">
        <v>51701</v>
      </c>
      <c r="J1884" s="62" t="s">
        <v>23777</v>
      </c>
      <c r="K1884" s="62" t="s">
        <v>51762</v>
      </c>
      <c r="L1884" s="62" t="s">
        <v>23778</v>
      </c>
      <c r="M1884" s="62" t="s">
        <v>23779</v>
      </c>
      <c r="N1884" s="62" t="s">
        <v>23780</v>
      </c>
      <c r="O1884" s="62" t="s">
        <v>23781</v>
      </c>
      <c r="P1884" s="62" t="s">
        <v>51823</v>
      </c>
      <c r="Q1884" s="62" t="s">
        <v>23782</v>
      </c>
      <c r="R1884" s="62" t="s">
        <v>23783</v>
      </c>
      <c r="S1884" s="62" t="s">
        <v>23784</v>
      </c>
      <c r="U1884" s="62" t="s">
        <v>23785</v>
      </c>
      <c r="V1884" s="62" t="s">
        <v>51884</v>
      </c>
      <c r="W1884" s="62" t="s">
        <v>23786</v>
      </c>
      <c r="X1884" s="62" t="s">
        <v>23787</v>
      </c>
      <c r="Y1884" s="62" t="s">
        <v>23788</v>
      </c>
      <c r="Z1884" s="62" t="s">
        <v>23789</v>
      </c>
      <c r="AA1884" s="62" t="s">
        <v>51945</v>
      </c>
      <c r="AB1884" s="62" t="s">
        <v>23790</v>
      </c>
      <c r="AC1884" s="62" t="s">
        <v>23791</v>
      </c>
      <c r="AD1884" s="62" t="s">
        <v>23792</v>
      </c>
    </row>
    <row r="1885" spans="1:30" x14ac:dyDescent="0.25">
      <c r="A1885" s="62" t="s">
        <v>109</v>
      </c>
      <c r="C1885" s="62" t="s">
        <v>23793</v>
      </c>
      <c r="F1885" s="62" t="s">
        <v>2355</v>
      </c>
      <c r="G1885" s="62" t="s">
        <v>51702</v>
      </c>
      <c r="J1885" s="62" t="s">
        <v>23794</v>
      </c>
      <c r="K1885" s="62" t="s">
        <v>51763</v>
      </c>
      <c r="L1885" s="62" t="s">
        <v>23795</v>
      </c>
      <c r="M1885" s="62" t="s">
        <v>23796</v>
      </c>
      <c r="N1885" s="62" t="s">
        <v>23797</v>
      </c>
      <c r="O1885" s="62" t="s">
        <v>23798</v>
      </c>
      <c r="P1885" s="62" t="s">
        <v>51824</v>
      </c>
      <c r="Q1885" s="62" t="s">
        <v>23799</v>
      </c>
      <c r="R1885" s="62" t="s">
        <v>23800</v>
      </c>
      <c r="S1885" s="62" t="s">
        <v>23801</v>
      </c>
      <c r="U1885" s="62" t="s">
        <v>23802</v>
      </c>
      <c r="V1885" s="62" t="s">
        <v>51885</v>
      </c>
      <c r="W1885" s="62" t="s">
        <v>23803</v>
      </c>
      <c r="X1885" s="62" t="s">
        <v>23804</v>
      </c>
      <c r="Y1885" s="62" t="s">
        <v>23805</v>
      </c>
      <c r="Z1885" s="62" t="s">
        <v>23806</v>
      </c>
      <c r="AA1885" s="62" t="s">
        <v>51946</v>
      </c>
      <c r="AB1885" s="62" t="s">
        <v>23807</v>
      </c>
      <c r="AC1885" s="62" t="s">
        <v>23808</v>
      </c>
      <c r="AD1885" s="62" t="s">
        <v>23809</v>
      </c>
    </row>
    <row r="1886" spans="1:30" x14ac:dyDescent="0.25">
      <c r="A1886" s="62" t="s">
        <v>109</v>
      </c>
      <c r="C1886" s="62" t="s">
        <v>23810</v>
      </c>
      <c r="F1886" s="62" t="s">
        <v>2372</v>
      </c>
      <c r="G1886" s="62" t="s">
        <v>51703</v>
      </c>
      <c r="J1886" s="62" t="s">
        <v>23811</v>
      </c>
      <c r="K1886" s="62" t="s">
        <v>51764</v>
      </c>
      <c r="L1886" s="62" t="s">
        <v>23812</v>
      </c>
      <c r="M1886" s="62" t="s">
        <v>23813</v>
      </c>
      <c r="N1886" s="62" t="s">
        <v>23814</v>
      </c>
      <c r="O1886" s="62" t="s">
        <v>23815</v>
      </c>
      <c r="P1886" s="62" t="s">
        <v>51825</v>
      </c>
      <c r="Q1886" s="62" t="s">
        <v>23816</v>
      </c>
      <c r="R1886" s="62" t="s">
        <v>23817</v>
      </c>
      <c r="S1886" s="62" t="s">
        <v>23818</v>
      </c>
      <c r="U1886" s="62" t="s">
        <v>23819</v>
      </c>
      <c r="V1886" s="62" t="s">
        <v>51886</v>
      </c>
      <c r="W1886" s="62" t="s">
        <v>23820</v>
      </c>
      <c r="X1886" s="62" t="s">
        <v>23821</v>
      </c>
      <c r="Y1886" s="62" t="s">
        <v>23822</v>
      </c>
      <c r="Z1886" s="62" t="s">
        <v>23823</v>
      </c>
      <c r="AA1886" s="62" t="s">
        <v>51947</v>
      </c>
      <c r="AB1886" s="62" t="s">
        <v>23824</v>
      </c>
      <c r="AC1886" s="62" t="s">
        <v>23825</v>
      </c>
      <c r="AD1886" s="62" t="s">
        <v>23826</v>
      </c>
    </row>
    <row r="1887" spans="1:30" x14ac:dyDescent="0.25">
      <c r="A1887" s="62" t="s">
        <v>109</v>
      </c>
      <c r="C1887" s="62" t="s">
        <v>23827</v>
      </c>
      <c r="F1887" s="62" t="s">
        <v>10559</v>
      </c>
      <c r="G1887" s="62" t="s">
        <v>51704</v>
      </c>
      <c r="J1887" s="62" t="s">
        <v>23828</v>
      </c>
      <c r="K1887" s="62" t="s">
        <v>51765</v>
      </c>
      <c r="L1887" s="62" t="s">
        <v>23829</v>
      </c>
      <c r="M1887" s="62" t="s">
        <v>23830</v>
      </c>
      <c r="N1887" s="62" t="s">
        <v>23831</v>
      </c>
      <c r="O1887" s="62" t="s">
        <v>23832</v>
      </c>
      <c r="P1887" s="62" t="s">
        <v>51826</v>
      </c>
      <c r="Q1887" s="62" t="s">
        <v>23833</v>
      </c>
      <c r="R1887" s="62" t="s">
        <v>23834</v>
      </c>
      <c r="S1887" s="62" t="s">
        <v>23835</v>
      </c>
      <c r="U1887" s="62" t="s">
        <v>23836</v>
      </c>
      <c r="V1887" s="62" t="s">
        <v>51887</v>
      </c>
      <c r="W1887" s="62" t="s">
        <v>23837</v>
      </c>
      <c r="X1887" s="62" t="s">
        <v>23838</v>
      </c>
      <c r="Y1887" s="62" t="s">
        <v>23839</v>
      </c>
      <c r="Z1887" s="62" t="s">
        <v>23840</v>
      </c>
      <c r="AA1887" s="62" t="s">
        <v>51948</v>
      </c>
      <c r="AB1887" s="62" t="s">
        <v>23841</v>
      </c>
      <c r="AC1887" s="62" t="s">
        <v>23842</v>
      </c>
      <c r="AD1887" s="62" t="s">
        <v>23843</v>
      </c>
    </row>
    <row r="1888" spans="1:30" x14ac:dyDescent="0.25">
      <c r="A1888" s="62" t="s">
        <v>109</v>
      </c>
      <c r="C1888" s="62" t="s">
        <v>23844</v>
      </c>
      <c r="F1888" s="62" t="s">
        <v>10577</v>
      </c>
      <c r="G1888" s="62" t="s">
        <v>51705</v>
      </c>
      <c r="J1888" s="62" t="s">
        <v>23845</v>
      </c>
      <c r="K1888" s="62" t="s">
        <v>51766</v>
      </c>
      <c r="L1888" s="62" t="s">
        <v>23846</v>
      </c>
      <c r="M1888" s="62" t="s">
        <v>23847</v>
      </c>
      <c r="N1888" s="62" t="s">
        <v>23848</v>
      </c>
      <c r="O1888" s="62" t="s">
        <v>23849</v>
      </c>
      <c r="P1888" s="62" t="s">
        <v>51827</v>
      </c>
      <c r="Q1888" s="62" t="s">
        <v>23850</v>
      </c>
      <c r="R1888" s="62" t="s">
        <v>23851</v>
      </c>
      <c r="S1888" s="62" t="s">
        <v>23852</v>
      </c>
      <c r="U1888" s="62" t="s">
        <v>23853</v>
      </c>
      <c r="V1888" s="62" t="s">
        <v>51888</v>
      </c>
      <c r="W1888" s="62" t="s">
        <v>23854</v>
      </c>
      <c r="X1888" s="62" t="s">
        <v>23855</v>
      </c>
      <c r="Y1888" s="62" t="s">
        <v>23856</v>
      </c>
      <c r="Z1888" s="62" t="s">
        <v>23857</v>
      </c>
      <c r="AA1888" s="62" t="s">
        <v>51949</v>
      </c>
      <c r="AB1888" s="62" t="s">
        <v>23858</v>
      </c>
      <c r="AC1888" s="62" t="s">
        <v>23859</v>
      </c>
      <c r="AD1888" s="62" t="s">
        <v>23860</v>
      </c>
    </row>
    <row r="1889" spans="1:30" x14ac:dyDescent="0.25">
      <c r="A1889" s="62" t="s">
        <v>109</v>
      </c>
      <c r="C1889" s="62" t="s">
        <v>23861</v>
      </c>
      <c r="F1889" s="62" t="s">
        <v>10595</v>
      </c>
      <c r="G1889" s="62" t="s">
        <v>51706</v>
      </c>
      <c r="J1889" s="62" t="s">
        <v>23862</v>
      </c>
      <c r="K1889" s="62" t="s">
        <v>51767</v>
      </c>
      <c r="L1889" s="62" t="s">
        <v>23863</v>
      </c>
      <c r="M1889" s="62" t="s">
        <v>23864</v>
      </c>
      <c r="N1889" s="62" t="s">
        <v>23865</v>
      </c>
      <c r="O1889" s="62" t="s">
        <v>23866</v>
      </c>
      <c r="P1889" s="62" t="s">
        <v>51828</v>
      </c>
      <c r="Q1889" s="62" t="s">
        <v>23867</v>
      </c>
      <c r="R1889" s="62" t="s">
        <v>23868</v>
      </c>
      <c r="S1889" s="62" t="s">
        <v>23869</v>
      </c>
      <c r="U1889" s="62" t="s">
        <v>23870</v>
      </c>
      <c r="V1889" s="62" t="s">
        <v>51889</v>
      </c>
      <c r="W1889" s="62" t="s">
        <v>23871</v>
      </c>
      <c r="X1889" s="62" t="s">
        <v>23872</v>
      </c>
      <c r="Y1889" s="62" t="s">
        <v>23873</v>
      </c>
      <c r="Z1889" s="62" t="s">
        <v>23874</v>
      </c>
      <c r="AA1889" s="62" t="s">
        <v>51950</v>
      </c>
      <c r="AB1889" s="62" t="s">
        <v>23875</v>
      </c>
      <c r="AC1889" s="62" t="s">
        <v>23876</v>
      </c>
      <c r="AD1889" s="62" t="s">
        <v>23877</v>
      </c>
    </row>
    <row r="1890" spans="1:30" x14ac:dyDescent="0.25">
      <c r="A1890" s="62" t="s">
        <v>109</v>
      </c>
      <c r="C1890" s="62" t="s">
        <v>23878</v>
      </c>
      <c r="F1890" s="62" t="s">
        <v>10613</v>
      </c>
      <c r="G1890" s="62" t="s">
        <v>51707</v>
      </c>
      <c r="J1890" s="62" t="s">
        <v>23879</v>
      </c>
      <c r="K1890" s="62" t="s">
        <v>51768</v>
      </c>
      <c r="L1890" s="62" t="s">
        <v>23880</v>
      </c>
      <c r="M1890" s="62" t="s">
        <v>23881</v>
      </c>
      <c r="N1890" s="62" t="s">
        <v>23882</v>
      </c>
      <c r="O1890" s="62" t="s">
        <v>23883</v>
      </c>
      <c r="P1890" s="62" t="s">
        <v>51829</v>
      </c>
      <c r="Q1890" s="62" t="s">
        <v>23884</v>
      </c>
      <c r="R1890" s="62" t="s">
        <v>23885</v>
      </c>
      <c r="S1890" s="62" t="s">
        <v>23886</v>
      </c>
      <c r="U1890" s="62" t="s">
        <v>23887</v>
      </c>
      <c r="V1890" s="62" t="s">
        <v>51890</v>
      </c>
      <c r="W1890" s="62" t="s">
        <v>23888</v>
      </c>
      <c r="X1890" s="62" t="s">
        <v>23889</v>
      </c>
      <c r="Y1890" s="62" t="s">
        <v>23890</v>
      </c>
      <c r="Z1890" s="62" t="s">
        <v>23891</v>
      </c>
      <c r="AA1890" s="62" t="s">
        <v>51951</v>
      </c>
      <c r="AB1890" s="62" t="s">
        <v>23892</v>
      </c>
      <c r="AC1890" s="62" t="s">
        <v>23893</v>
      </c>
      <c r="AD1890" s="62" t="s">
        <v>23894</v>
      </c>
    </row>
    <row r="1891" spans="1:30" x14ac:dyDescent="0.25">
      <c r="A1891" s="62" t="s">
        <v>109</v>
      </c>
      <c r="C1891" s="62" t="s">
        <v>23895</v>
      </c>
      <c r="F1891" s="62" t="s">
        <v>10649</v>
      </c>
      <c r="G1891" s="62" t="s">
        <v>51708</v>
      </c>
      <c r="J1891" s="62" t="s">
        <v>23896</v>
      </c>
      <c r="K1891" s="62" t="s">
        <v>51769</v>
      </c>
      <c r="L1891" s="62" t="s">
        <v>23897</v>
      </c>
      <c r="M1891" s="62" t="s">
        <v>23898</v>
      </c>
      <c r="N1891" s="62" t="s">
        <v>23899</v>
      </c>
      <c r="O1891" s="62" t="s">
        <v>23900</v>
      </c>
      <c r="P1891" s="62" t="s">
        <v>51830</v>
      </c>
      <c r="Q1891" s="62" t="s">
        <v>23901</v>
      </c>
      <c r="R1891" s="62" t="s">
        <v>23902</v>
      </c>
      <c r="S1891" s="62" t="s">
        <v>23903</v>
      </c>
      <c r="U1891" s="62" t="s">
        <v>23904</v>
      </c>
      <c r="V1891" s="62" t="s">
        <v>51891</v>
      </c>
      <c r="W1891" s="62" t="s">
        <v>23905</v>
      </c>
      <c r="X1891" s="62" t="s">
        <v>23906</v>
      </c>
      <c r="Y1891" s="62" t="s">
        <v>23907</v>
      </c>
      <c r="Z1891" s="62" t="s">
        <v>23908</v>
      </c>
      <c r="AA1891" s="62" t="s">
        <v>51952</v>
      </c>
      <c r="AB1891" s="62" t="s">
        <v>23909</v>
      </c>
      <c r="AC1891" s="62" t="s">
        <v>23910</v>
      </c>
      <c r="AD1891" s="62" t="s">
        <v>23911</v>
      </c>
    </row>
    <row r="1892" spans="1:30" x14ac:dyDescent="0.25">
      <c r="A1892" s="62" t="s">
        <v>109</v>
      </c>
      <c r="C1892" s="62" t="s">
        <v>23912</v>
      </c>
      <c r="F1892" s="62" t="s">
        <v>10667</v>
      </c>
      <c r="G1892" s="62" t="s">
        <v>51709</v>
      </c>
      <c r="J1892" s="62" t="s">
        <v>23913</v>
      </c>
      <c r="K1892" s="62" t="s">
        <v>51770</v>
      </c>
      <c r="L1892" s="62" t="s">
        <v>23914</v>
      </c>
      <c r="M1892" s="62" t="s">
        <v>23915</v>
      </c>
      <c r="N1892" s="62" t="s">
        <v>23916</v>
      </c>
      <c r="O1892" s="62" t="s">
        <v>23917</v>
      </c>
      <c r="P1892" s="62" t="s">
        <v>51831</v>
      </c>
      <c r="Q1892" s="62" t="s">
        <v>23918</v>
      </c>
      <c r="R1892" s="62" t="s">
        <v>23919</v>
      </c>
      <c r="S1892" s="62" t="s">
        <v>23920</v>
      </c>
      <c r="U1892" s="62" t="s">
        <v>23921</v>
      </c>
      <c r="V1892" s="62" t="s">
        <v>51892</v>
      </c>
      <c r="W1892" s="62" t="s">
        <v>23922</v>
      </c>
      <c r="X1892" s="62" t="s">
        <v>23923</v>
      </c>
      <c r="Y1892" s="62" t="s">
        <v>23924</v>
      </c>
      <c r="Z1892" s="62" t="s">
        <v>23925</v>
      </c>
      <c r="AA1892" s="62" t="s">
        <v>51953</v>
      </c>
      <c r="AB1892" s="62" t="s">
        <v>23926</v>
      </c>
      <c r="AC1892" s="62" t="s">
        <v>23927</v>
      </c>
      <c r="AD1892" s="62" t="s">
        <v>23928</v>
      </c>
    </row>
    <row r="1893" spans="1:30" x14ac:dyDescent="0.25">
      <c r="A1893" s="62" t="s">
        <v>109</v>
      </c>
      <c r="C1893" s="62" t="s">
        <v>23929</v>
      </c>
      <c r="F1893" s="62" t="s">
        <v>10685</v>
      </c>
      <c r="G1893" s="62" t="s">
        <v>51710</v>
      </c>
      <c r="J1893" s="62" t="s">
        <v>23930</v>
      </c>
      <c r="K1893" s="62" t="s">
        <v>51771</v>
      </c>
      <c r="L1893" s="62" t="s">
        <v>23931</v>
      </c>
      <c r="M1893" s="62" t="s">
        <v>23932</v>
      </c>
      <c r="N1893" s="62" t="s">
        <v>23933</v>
      </c>
      <c r="O1893" s="62" t="s">
        <v>23934</v>
      </c>
      <c r="P1893" s="62" t="s">
        <v>51832</v>
      </c>
      <c r="Q1893" s="62" t="s">
        <v>23935</v>
      </c>
      <c r="R1893" s="62" t="s">
        <v>23936</v>
      </c>
      <c r="S1893" s="62" t="s">
        <v>23937</v>
      </c>
      <c r="U1893" s="62" t="s">
        <v>23938</v>
      </c>
      <c r="V1893" s="62" t="s">
        <v>51893</v>
      </c>
      <c r="W1893" s="62" t="s">
        <v>23939</v>
      </c>
      <c r="X1893" s="62" t="s">
        <v>23940</v>
      </c>
      <c r="Y1893" s="62" t="s">
        <v>23941</v>
      </c>
      <c r="Z1893" s="62" t="s">
        <v>23942</v>
      </c>
      <c r="AA1893" s="62" t="s">
        <v>51954</v>
      </c>
      <c r="AB1893" s="62" t="s">
        <v>23943</v>
      </c>
      <c r="AC1893" s="62" t="s">
        <v>23944</v>
      </c>
      <c r="AD1893" s="62" t="s">
        <v>23945</v>
      </c>
    </row>
    <row r="1894" spans="1:30" x14ac:dyDescent="0.25">
      <c r="A1894" s="62" t="s">
        <v>109</v>
      </c>
      <c r="C1894" s="62" t="s">
        <v>23946</v>
      </c>
      <c r="F1894" s="62" t="s">
        <v>10703</v>
      </c>
      <c r="G1894" s="62" t="s">
        <v>51711</v>
      </c>
      <c r="J1894" s="62" t="s">
        <v>23947</v>
      </c>
      <c r="K1894" s="62" t="s">
        <v>51772</v>
      </c>
      <c r="L1894" s="62" t="s">
        <v>23948</v>
      </c>
      <c r="M1894" s="62" t="s">
        <v>23949</v>
      </c>
      <c r="N1894" s="62" t="s">
        <v>23950</v>
      </c>
      <c r="O1894" s="62" t="s">
        <v>23951</v>
      </c>
      <c r="P1894" s="62" t="s">
        <v>51833</v>
      </c>
      <c r="Q1894" s="62" t="s">
        <v>23952</v>
      </c>
      <c r="R1894" s="62" t="s">
        <v>23953</v>
      </c>
      <c r="S1894" s="62" t="s">
        <v>23954</v>
      </c>
      <c r="U1894" s="62" t="s">
        <v>23955</v>
      </c>
      <c r="V1894" s="62" t="s">
        <v>51894</v>
      </c>
      <c r="W1894" s="62" t="s">
        <v>23956</v>
      </c>
      <c r="X1894" s="62" t="s">
        <v>23957</v>
      </c>
      <c r="Y1894" s="62" t="s">
        <v>23958</v>
      </c>
      <c r="Z1894" s="62" t="s">
        <v>23959</v>
      </c>
      <c r="AA1894" s="62" t="s">
        <v>51955</v>
      </c>
      <c r="AB1894" s="62" t="s">
        <v>23960</v>
      </c>
      <c r="AC1894" s="62" t="s">
        <v>23961</v>
      </c>
      <c r="AD1894" s="62" t="s">
        <v>23962</v>
      </c>
    </row>
    <row r="1895" spans="1:30" x14ac:dyDescent="0.25">
      <c r="A1895" s="62" t="s">
        <v>109</v>
      </c>
      <c r="C1895" s="62" t="s">
        <v>23963</v>
      </c>
      <c r="F1895" s="62" t="s">
        <v>10721</v>
      </c>
      <c r="G1895" s="62" t="s">
        <v>51712</v>
      </c>
      <c r="J1895" s="62" t="s">
        <v>23964</v>
      </c>
      <c r="K1895" s="62" t="s">
        <v>51773</v>
      </c>
      <c r="L1895" s="62" t="s">
        <v>23965</v>
      </c>
      <c r="M1895" s="62" t="s">
        <v>23966</v>
      </c>
      <c r="N1895" s="62" t="s">
        <v>23967</v>
      </c>
      <c r="O1895" s="62" t="s">
        <v>23968</v>
      </c>
      <c r="P1895" s="62" t="s">
        <v>51834</v>
      </c>
      <c r="Q1895" s="62" t="s">
        <v>23969</v>
      </c>
      <c r="R1895" s="62" t="s">
        <v>23970</v>
      </c>
      <c r="S1895" s="62" t="s">
        <v>23971</v>
      </c>
      <c r="U1895" s="62" t="s">
        <v>23972</v>
      </c>
      <c r="V1895" s="62" t="s">
        <v>51895</v>
      </c>
      <c r="W1895" s="62" t="s">
        <v>23973</v>
      </c>
      <c r="X1895" s="62" t="s">
        <v>23974</v>
      </c>
      <c r="Y1895" s="62" t="s">
        <v>23975</v>
      </c>
      <c r="Z1895" s="62" t="s">
        <v>23976</v>
      </c>
      <c r="AA1895" s="62" t="s">
        <v>51956</v>
      </c>
      <c r="AB1895" s="62" t="s">
        <v>23977</v>
      </c>
      <c r="AC1895" s="62" t="s">
        <v>23978</v>
      </c>
      <c r="AD1895" s="62" t="s">
        <v>23979</v>
      </c>
    </row>
    <row r="1896" spans="1:30" x14ac:dyDescent="0.25">
      <c r="A1896" s="62" t="s">
        <v>109</v>
      </c>
      <c r="C1896" s="62" t="s">
        <v>23980</v>
      </c>
      <c r="F1896" s="62" t="s">
        <v>10739</v>
      </c>
      <c r="G1896" s="62" t="s">
        <v>51713</v>
      </c>
      <c r="J1896" s="62" t="s">
        <v>23981</v>
      </c>
      <c r="K1896" s="62" t="s">
        <v>51774</v>
      </c>
      <c r="L1896" s="62" t="s">
        <v>23982</v>
      </c>
      <c r="M1896" s="62" t="s">
        <v>23983</v>
      </c>
      <c r="N1896" s="62" t="s">
        <v>23984</v>
      </c>
      <c r="O1896" s="62" t="s">
        <v>23985</v>
      </c>
      <c r="P1896" s="62" t="s">
        <v>51835</v>
      </c>
      <c r="Q1896" s="62" t="s">
        <v>23986</v>
      </c>
      <c r="R1896" s="62" t="s">
        <v>23987</v>
      </c>
      <c r="S1896" s="62" t="s">
        <v>23988</v>
      </c>
      <c r="U1896" s="62" t="s">
        <v>23989</v>
      </c>
      <c r="V1896" s="62" t="s">
        <v>51896</v>
      </c>
      <c r="W1896" s="62" t="s">
        <v>23990</v>
      </c>
      <c r="X1896" s="62" t="s">
        <v>23991</v>
      </c>
      <c r="Y1896" s="62" t="s">
        <v>23992</v>
      </c>
      <c r="Z1896" s="62" t="s">
        <v>23993</v>
      </c>
      <c r="AA1896" s="62" t="s">
        <v>51957</v>
      </c>
      <c r="AB1896" s="62" t="s">
        <v>23994</v>
      </c>
      <c r="AC1896" s="62" t="s">
        <v>23995</v>
      </c>
      <c r="AD1896" s="62" t="s">
        <v>23996</v>
      </c>
    </row>
    <row r="1897" spans="1:30" x14ac:dyDescent="0.25">
      <c r="A1897" s="62" t="s">
        <v>109</v>
      </c>
      <c r="C1897" s="62" t="s">
        <v>23997</v>
      </c>
      <c r="F1897" s="62" t="s">
        <v>13184</v>
      </c>
      <c r="G1897" s="62" t="s">
        <v>51714</v>
      </c>
      <c r="J1897" s="62" t="s">
        <v>23998</v>
      </c>
      <c r="K1897" s="62" t="s">
        <v>51775</v>
      </c>
      <c r="L1897" s="62" t="s">
        <v>23999</v>
      </c>
      <c r="M1897" s="62" t="s">
        <v>24000</v>
      </c>
      <c r="N1897" s="62" t="s">
        <v>24001</v>
      </c>
      <c r="O1897" s="62" t="s">
        <v>24002</v>
      </c>
      <c r="P1897" s="62" t="s">
        <v>51836</v>
      </c>
      <c r="Q1897" s="62" t="s">
        <v>24003</v>
      </c>
      <c r="R1897" s="62" t="s">
        <v>24004</v>
      </c>
      <c r="S1897" s="62" t="s">
        <v>24005</v>
      </c>
      <c r="U1897" s="62" t="s">
        <v>24006</v>
      </c>
      <c r="V1897" s="62" t="s">
        <v>51897</v>
      </c>
      <c r="W1897" s="62" t="s">
        <v>24007</v>
      </c>
      <c r="X1897" s="62" t="s">
        <v>24008</v>
      </c>
      <c r="Y1897" s="62" t="s">
        <v>24009</v>
      </c>
      <c r="Z1897" s="62" t="s">
        <v>24010</v>
      </c>
      <c r="AA1897" s="62" t="s">
        <v>51958</v>
      </c>
      <c r="AB1897" s="62" t="s">
        <v>24011</v>
      </c>
      <c r="AC1897" s="62" t="s">
        <v>24012</v>
      </c>
      <c r="AD1897" s="62" t="s">
        <v>24013</v>
      </c>
    </row>
    <row r="1898" spans="1:30" x14ac:dyDescent="0.25">
      <c r="A1898" s="62" t="s">
        <v>109</v>
      </c>
      <c r="C1898" s="62" t="s">
        <v>24014</v>
      </c>
      <c r="F1898" s="62" t="s">
        <v>10757</v>
      </c>
      <c r="G1898" s="62" t="s">
        <v>51715</v>
      </c>
      <c r="J1898" s="62" t="s">
        <v>24016</v>
      </c>
      <c r="K1898" s="62" t="s">
        <v>51776</v>
      </c>
      <c r="L1898" s="62" t="s">
        <v>24017</v>
      </c>
      <c r="M1898" s="62" t="s">
        <v>24018</v>
      </c>
      <c r="N1898" s="62" t="s">
        <v>24019</v>
      </c>
      <c r="O1898" s="62" t="s">
        <v>24020</v>
      </c>
      <c r="P1898" s="62" t="s">
        <v>51837</v>
      </c>
      <c r="Q1898" s="62" t="s">
        <v>24021</v>
      </c>
      <c r="R1898" s="62" t="s">
        <v>24022</v>
      </c>
      <c r="S1898" s="62" t="s">
        <v>24023</v>
      </c>
      <c r="U1898" s="62" t="s">
        <v>24024</v>
      </c>
      <c r="V1898" s="62" t="s">
        <v>51898</v>
      </c>
      <c r="W1898" s="62" t="s">
        <v>24025</v>
      </c>
      <c r="X1898" s="62" t="s">
        <v>24026</v>
      </c>
      <c r="Y1898" s="62" t="s">
        <v>24027</v>
      </c>
      <c r="Z1898" s="62" t="s">
        <v>24028</v>
      </c>
      <c r="AA1898" s="62" t="s">
        <v>51959</v>
      </c>
      <c r="AB1898" s="62" t="s">
        <v>24029</v>
      </c>
      <c r="AC1898" s="62" t="s">
        <v>24030</v>
      </c>
      <c r="AD1898" s="62" t="s">
        <v>24031</v>
      </c>
    </row>
    <row r="1899" spans="1:30" x14ac:dyDescent="0.25">
      <c r="A1899" s="62" t="s">
        <v>109</v>
      </c>
      <c r="C1899" s="62" t="s">
        <v>24032</v>
      </c>
      <c r="F1899" s="62" t="s">
        <v>10775</v>
      </c>
      <c r="G1899" s="62" t="s">
        <v>51716</v>
      </c>
      <c r="J1899" s="62" t="s">
        <v>24034</v>
      </c>
      <c r="K1899" s="62" t="s">
        <v>51777</v>
      </c>
      <c r="L1899" s="62" t="s">
        <v>24035</v>
      </c>
      <c r="M1899" s="62" t="s">
        <v>24036</v>
      </c>
      <c r="N1899" s="62" t="s">
        <v>24037</v>
      </c>
      <c r="O1899" s="62" t="s">
        <v>24038</v>
      </c>
      <c r="P1899" s="62" t="s">
        <v>51838</v>
      </c>
      <c r="Q1899" s="62" t="s">
        <v>24039</v>
      </c>
      <c r="R1899" s="62" t="s">
        <v>24040</v>
      </c>
      <c r="S1899" s="62" t="s">
        <v>24041</v>
      </c>
      <c r="U1899" s="62" t="s">
        <v>24042</v>
      </c>
      <c r="V1899" s="62" t="s">
        <v>51899</v>
      </c>
      <c r="W1899" s="62" t="s">
        <v>24043</v>
      </c>
      <c r="X1899" s="62" t="s">
        <v>24044</v>
      </c>
      <c r="Y1899" s="62" t="s">
        <v>24045</v>
      </c>
      <c r="Z1899" s="62" t="s">
        <v>24046</v>
      </c>
      <c r="AA1899" s="62" t="s">
        <v>51960</v>
      </c>
      <c r="AB1899" s="62" t="s">
        <v>24047</v>
      </c>
      <c r="AC1899" s="62" t="s">
        <v>24048</v>
      </c>
      <c r="AD1899" s="62" t="s">
        <v>24049</v>
      </c>
    </row>
    <row r="1900" spans="1:30" x14ac:dyDescent="0.25">
      <c r="A1900" s="62" t="s">
        <v>109</v>
      </c>
      <c r="C1900" s="62" t="s">
        <v>24050</v>
      </c>
      <c r="F1900" s="62" t="s">
        <v>10793</v>
      </c>
      <c r="G1900" s="62" t="s">
        <v>51717</v>
      </c>
      <c r="J1900" s="62" t="s">
        <v>24052</v>
      </c>
      <c r="K1900" s="62" t="s">
        <v>51778</v>
      </c>
      <c r="L1900" s="62" t="s">
        <v>24053</v>
      </c>
      <c r="M1900" s="62" t="s">
        <v>24054</v>
      </c>
      <c r="N1900" s="62" t="s">
        <v>24055</v>
      </c>
      <c r="O1900" s="62" t="s">
        <v>24056</v>
      </c>
      <c r="P1900" s="62" t="s">
        <v>51839</v>
      </c>
      <c r="Q1900" s="62" t="s">
        <v>24057</v>
      </c>
      <c r="R1900" s="62" t="s">
        <v>24058</v>
      </c>
      <c r="S1900" s="62" t="s">
        <v>24059</v>
      </c>
      <c r="U1900" s="62" t="s">
        <v>24060</v>
      </c>
      <c r="V1900" s="62" t="s">
        <v>51900</v>
      </c>
      <c r="W1900" s="62" t="s">
        <v>24061</v>
      </c>
      <c r="X1900" s="62" t="s">
        <v>24062</v>
      </c>
      <c r="Y1900" s="62" t="s">
        <v>24063</v>
      </c>
      <c r="Z1900" s="62" t="s">
        <v>24064</v>
      </c>
      <c r="AA1900" s="62" t="s">
        <v>51961</v>
      </c>
      <c r="AB1900" s="62" t="s">
        <v>24065</v>
      </c>
      <c r="AC1900" s="62" t="s">
        <v>24066</v>
      </c>
      <c r="AD1900" s="62" t="s">
        <v>24067</v>
      </c>
    </row>
    <row r="1901" spans="1:30" x14ac:dyDescent="0.25">
      <c r="A1901" s="62" t="s">
        <v>109</v>
      </c>
      <c r="C1901" s="62" t="s">
        <v>24068</v>
      </c>
      <c r="F1901" s="62" t="s">
        <v>13202</v>
      </c>
      <c r="G1901" s="62" t="s">
        <v>51718</v>
      </c>
      <c r="J1901" s="62" t="s">
        <v>24069</v>
      </c>
      <c r="K1901" s="62" t="s">
        <v>51779</v>
      </c>
      <c r="L1901" s="62" t="s">
        <v>24070</v>
      </c>
      <c r="M1901" s="62" t="s">
        <v>24071</v>
      </c>
      <c r="N1901" s="62" t="s">
        <v>24072</v>
      </c>
      <c r="O1901" s="62" t="s">
        <v>24073</v>
      </c>
      <c r="P1901" s="62" t="s">
        <v>51840</v>
      </c>
      <c r="Q1901" s="62" t="s">
        <v>24074</v>
      </c>
      <c r="R1901" s="62" t="s">
        <v>24075</v>
      </c>
      <c r="S1901" s="62" t="s">
        <v>24076</v>
      </c>
      <c r="U1901" s="62" t="s">
        <v>24077</v>
      </c>
      <c r="V1901" s="62" t="s">
        <v>51901</v>
      </c>
      <c r="W1901" s="62" t="s">
        <v>24078</v>
      </c>
      <c r="X1901" s="62" t="s">
        <v>24079</v>
      </c>
      <c r="Y1901" s="62" t="s">
        <v>24080</v>
      </c>
      <c r="Z1901" s="62" t="s">
        <v>24081</v>
      </c>
      <c r="AA1901" s="62" t="s">
        <v>51962</v>
      </c>
      <c r="AB1901" s="62" t="s">
        <v>24082</v>
      </c>
      <c r="AC1901" s="62" t="s">
        <v>24083</v>
      </c>
      <c r="AD1901" s="62" t="s">
        <v>24084</v>
      </c>
    </row>
    <row r="1902" spans="1:30" x14ac:dyDescent="0.25">
      <c r="A1902" s="62" t="s">
        <v>109</v>
      </c>
      <c r="C1902" s="62" t="s">
        <v>44222</v>
      </c>
      <c r="F1902" s="62" t="s">
        <v>10811</v>
      </c>
      <c r="G1902" s="62" t="s">
        <v>51719</v>
      </c>
      <c r="J1902" s="62" t="s">
        <v>44223</v>
      </c>
      <c r="K1902" s="62" t="s">
        <v>51780</v>
      </c>
      <c r="L1902" s="62" t="s">
        <v>44224</v>
      </c>
      <c r="M1902" s="62" t="s">
        <v>44225</v>
      </c>
      <c r="N1902" s="62" t="s">
        <v>44226</v>
      </c>
      <c r="O1902" s="62" t="s">
        <v>44227</v>
      </c>
      <c r="P1902" s="62" t="s">
        <v>51841</v>
      </c>
      <c r="Q1902" s="62" t="s">
        <v>44228</v>
      </c>
      <c r="R1902" s="62" t="s">
        <v>44229</v>
      </c>
      <c r="S1902" s="62" t="s">
        <v>44230</v>
      </c>
      <c r="U1902" s="62" t="s">
        <v>44231</v>
      </c>
      <c r="V1902" s="62" t="s">
        <v>51902</v>
      </c>
      <c r="W1902" s="62" t="s">
        <v>44232</v>
      </c>
      <c r="X1902" s="62" t="s">
        <v>44233</v>
      </c>
      <c r="Y1902" s="62" t="s">
        <v>44234</v>
      </c>
      <c r="Z1902" s="62" t="s">
        <v>44235</v>
      </c>
      <c r="AA1902" s="62" t="s">
        <v>51963</v>
      </c>
      <c r="AB1902" s="62" t="s">
        <v>44236</v>
      </c>
      <c r="AC1902" s="62" t="s">
        <v>44237</v>
      </c>
      <c r="AD1902" s="62" t="s">
        <v>44238</v>
      </c>
    </row>
    <row r="1903" spans="1:30" x14ac:dyDescent="0.25">
      <c r="A1903" s="62" t="s">
        <v>109</v>
      </c>
      <c r="C1903" s="62" t="s">
        <v>24085</v>
      </c>
      <c r="F1903" s="62" t="s">
        <v>10829</v>
      </c>
      <c r="G1903" s="62" t="s">
        <v>51720</v>
      </c>
      <c r="J1903" s="62" t="s">
        <v>44239</v>
      </c>
      <c r="K1903" s="62" t="s">
        <v>51781</v>
      </c>
      <c r="L1903" s="62" t="s">
        <v>44240</v>
      </c>
      <c r="M1903" s="62" t="s">
        <v>24086</v>
      </c>
      <c r="N1903" s="62" t="s">
        <v>24087</v>
      </c>
      <c r="O1903" s="62" t="s">
        <v>44241</v>
      </c>
      <c r="P1903" s="62" t="s">
        <v>51842</v>
      </c>
      <c r="Q1903" s="62" t="s">
        <v>44242</v>
      </c>
      <c r="R1903" s="62" t="s">
        <v>24088</v>
      </c>
      <c r="S1903" s="62" t="s">
        <v>24089</v>
      </c>
      <c r="U1903" s="62" t="s">
        <v>44243</v>
      </c>
      <c r="V1903" s="62" t="s">
        <v>51903</v>
      </c>
      <c r="W1903" s="62" t="s">
        <v>44244</v>
      </c>
      <c r="X1903" s="62" t="s">
        <v>24090</v>
      </c>
      <c r="Y1903" s="62" t="s">
        <v>24091</v>
      </c>
      <c r="Z1903" s="62" t="s">
        <v>44245</v>
      </c>
      <c r="AA1903" s="62" t="s">
        <v>51964</v>
      </c>
      <c r="AB1903" s="62" t="s">
        <v>44246</v>
      </c>
      <c r="AC1903" s="62" t="s">
        <v>24092</v>
      </c>
      <c r="AD1903" s="62" t="s">
        <v>24093</v>
      </c>
    </row>
    <row r="1904" spans="1:30" x14ac:dyDescent="0.25">
      <c r="A1904" s="62" t="s">
        <v>109</v>
      </c>
      <c r="C1904" s="62" t="s">
        <v>44247</v>
      </c>
      <c r="F1904" s="62" t="s">
        <v>13236</v>
      </c>
      <c r="G1904" s="62" t="s">
        <v>51721</v>
      </c>
      <c r="J1904" s="62" t="s">
        <v>44248</v>
      </c>
      <c r="K1904" s="62" t="s">
        <v>51782</v>
      </c>
      <c r="L1904" s="62" t="s">
        <v>44249</v>
      </c>
      <c r="M1904" s="62" t="s">
        <v>44250</v>
      </c>
      <c r="N1904" s="62" t="s">
        <v>44251</v>
      </c>
      <c r="O1904" s="62" t="s">
        <v>44252</v>
      </c>
      <c r="P1904" s="62" t="s">
        <v>51843</v>
      </c>
      <c r="Q1904" s="62" t="s">
        <v>44253</v>
      </c>
      <c r="R1904" s="62" t="s">
        <v>44254</v>
      </c>
      <c r="S1904" s="62" t="s">
        <v>44255</v>
      </c>
      <c r="U1904" s="62" t="s">
        <v>44256</v>
      </c>
      <c r="V1904" s="62" t="s">
        <v>51904</v>
      </c>
      <c r="W1904" s="62" t="s">
        <v>44257</v>
      </c>
      <c r="X1904" s="62" t="s">
        <v>44258</v>
      </c>
      <c r="Y1904" s="62" t="s">
        <v>44259</v>
      </c>
      <c r="Z1904" s="62" t="s">
        <v>44260</v>
      </c>
      <c r="AA1904" s="62" t="s">
        <v>51965</v>
      </c>
      <c r="AB1904" s="62" t="s">
        <v>44261</v>
      </c>
      <c r="AC1904" s="62" t="s">
        <v>44262</v>
      </c>
      <c r="AD1904" s="62" t="s">
        <v>44263</v>
      </c>
    </row>
    <row r="1905" spans="1:30" x14ac:dyDescent="0.25">
      <c r="A1905" s="62" t="s">
        <v>109</v>
      </c>
      <c r="C1905" s="62" t="s">
        <v>44264</v>
      </c>
      <c r="F1905" s="62" t="s">
        <v>10847</v>
      </c>
      <c r="G1905" s="62" t="s">
        <v>51722</v>
      </c>
      <c r="J1905" s="62" t="s">
        <v>44265</v>
      </c>
      <c r="K1905" s="62" t="s">
        <v>51783</v>
      </c>
      <c r="L1905" s="62" t="s">
        <v>44266</v>
      </c>
      <c r="M1905" s="62" t="s">
        <v>44267</v>
      </c>
      <c r="N1905" s="62" t="s">
        <v>44268</v>
      </c>
      <c r="O1905" s="62" t="s">
        <v>44269</v>
      </c>
      <c r="P1905" s="62" t="s">
        <v>51844</v>
      </c>
      <c r="Q1905" s="62" t="s">
        <v>44270</v>
      </c>
      <c r="R1905" s="62" t="s">
        <v>44271</v>
      </c>
      <c r="S1905" s="62" t="s">
        <v>44272</v>
      </c>
      <c r="U1905" s="62" t="s">
        <v>44273</v>
      </c>
      <c r="V1905" s="62" t="s">
        <v>51905</v>
      </c>
      <c r="W1905" s="62" t="s">
        <v>44274</v>
      </c>
      <c r="X1905" s="62" t="s">
        <v>44275</v>
      </c>
      <c r="Y1905" s="62" t="s">
        <v>44276</v>
      </c>
      <c r="Z1905" s="62" t="s">
        <v>44277</v>
      </c>
      <c r="AA1905" s="62" t="s">
        <v>51966</v>
      </c>
      <c r="AB1905" s="62" t="s">
        <v>44278</v>
      </c>
      <c r="AC1905" s="62" t="s">
        <v>44279</v>
      </c>
      <c r="AD1905" s="62" t="s">
        <v>44280</v>
      </c>
    </row>
    <row r="1906" spans="1:30" x14ac:dyDescent="0.25">
      <c r="A1906" s="62" t="s">
        <v>109</v>
      </c>
      <c r="C1906" s="62" t="s">
        <v>24094</v>
      </c>
      <c r="F1906" s="62" t="s">
        <v>10865</v>
      </c>
      <c r="G1906" s="62" t="s">
        <v>51723</v>
      </c>
      <c r="J1906" s="62" t="s">
        <v>44281</v>
      </c>
      <c r="K1906" s="62" t="s">
        <v>51784</v>
      </c>
      <c r="L1906" s="62" t="s">
        <v>44282</v>
      </c>
      <c r="M1906" s="62" t="s">
        <v>44283</v>
      </c>
      <c r="N1906" s="62" t="s">
        <v>44284</v>
      </c>
      <c r="O1906" s="62" t="s">
        <v>44285</v>
      </c>
      <c r="P1906" s="62" t="s">
        <v>51845</v>
      </c>
      <c r="Q1906" s="62" t="s">
        <v>44286</v>
      </c>
      <c r="R1906" s="62" t="s">
        <v>44287</v>
      </c>
      <c r="S1906" s="62" t="s">
        <v>44288</v>
      </c>
      <c r="U1906" s="62" t="s">
        <v>44289</v>
      </c>
      <c r="V1906" s="62" t="s">
        <v>51906</v>
      </c>
      <c r="W1906" s="62" t="s">
        <v>44290</v>
      </c>
      <c r="X1906" s="62" t="s">
        <v>44291</v>
      </c>
      <c r="Y1906" s="62" t="s">
        <v>44292</v>
      </c>
      <c r="Z1906" s="62" t="s">
        <v>44293</v>
      </c>
      <c r="AA1906" s="62" t="s">
        <v>51967</v>
      </c>
      <c r="AB1906" s="62" t="s">
        <v>44294</v>
      </c>
      <c r="AC1906" s="62" t="s">
        <v>44295</v>
      </c>
      <c r="AD1906" s="62" t="s">
        <v>44296</v>
      </c>
    </row>
    <row r="1907" spans="1:30" x14ac:dyDescent="0.25">
      <c r="A1907" s="62" t="s">
        <v>109</v>
      </c>
      <c r="C1907" s="62" t="s">
        <v>24095</v>
      </c>
      <c r="F1907" s="62" t="s">
        <v>13238</v>
      </c>
      <c r="G1907" s="62" t="s">
        <v>51724</v>
      </c>
      <c r="J1907" s="62" t="s">
        <v>24096</v>
      </c>
      <c r="K1907" s="62" t="s">
        <v>51785</v>
      </c>
      <c r="L1907" s="62" t="s">
        <v>24097</v>
      </c>
      <c r="M1907" s="62" t="s">
        <v>24098</v>
      </c>
      <c r="N1907" s="62" t="s">
        <v>24099</v>
      </c>
      <c r="O1907" s="62" t="s">
        <v>24100</v>
      </c>
      <c r="P1907" s="62" t="s">
        <v>51846</v>
      </c>
      <c r="Q1907" s="62" t="s">
        <v>24101</v>
      </c>
      <c r="R1907" s="62" t="s">
        <v>24102</v>
      </c>
      <c r="S1907" s="62" t="s">
        <v>24103</v>
      </c>
      <c r="U1907" s="62" t="s">
        <v>24104</v>
      </c>
      <c r="V1907" s="62" t="s">
        <v>51907</v>
      </c>
      <c r="W1907" s="62" t="s">
        <v>24105</v>
      </c>
      <c r="X1907" s="62" t="s">
        <v>24106</v>
      </c>
      <c r="Y1907" s="62" t="s">
        <v>24107</v>
      </c>
      <c r="Z1907" s="62" t="s">
        <v>24108</v>
      </c>
      <c r="AA1907" s="62" t="s">
        <v>51968</v>
      </c>
      <c r="AB1907" s="62" t="s">
        <v>24109</v>
      </c>
      <c r="AC1907" s="62" t="s">
        <v>24110</v>
      </c>
      <c r="AD1907" s="62" t="s">
        <v>24111</v>
      </c>
    </row>
    <row r="1908" spans="1:30" x14ac:dyDescent="0.25">
      <c r="A1908" s="62" t="s">
        <v>109</v>
      </c>
      <c r="C1908" s="62" t="s">
        <v>24112</v>
      </c>
      <c r="F1908" s="62" t="s">
        <v>1152</v>
      </c>
      <c r="G1908" s="62" t="s">
        <v>51725</v>
      </c>
      <c r="J1908" s="62" t="s">
        <v>24113</v>
      </c>
      <c r="K1908" s="62" t="s">
        <v>51786</v>
      </c>
      <c r="L1908" s="62" t="s">
        <v>24114</v>
      </c>
      <c r="M1908" s="62" t="s">
        <v>24115</v>
      </c>
      <c r="N1908" s="62" t="s">
        <v>24116</v>
      </c>
      <c r="O1908" s="62" t="s">
        <v>24117</v>
      </c>
      <c r="P1908" s="62" t="s">
        <v>51847</v>
      </c>
      <c r="Q1908" s="62" t="s">
        <v>24118</v>
      </c>
      <c r="R1908" s="62" t="s">
        <v>24119</v>
      </c>
      <c r="S1908" s="62" t="s">
        <v>24120</v>
      </c>
      <c r="U1908" s="62" t="s">
        <v>24121</v>
      </c>
      <c r="V1908" s="62" t="s">
        <v>51908</v>
      </c>
      <c r="W1908" s="62" t="s">
        <v>24122</v>
      </c>
      <c r="X1908" s="62" t="s">
        <v>24123</v>
      </c>
      <c r="Y1908" s="62" t="s">
        <v>24124</v>
      </c>
      <c r="Z1908" s="62" t="s">
        <v>24125</v>
      </c>
      <c r="AA1908" s="62" t="s">
        <v>51969</v>
      </c>
      <c r="AB1908" s="62" t="s">
        <v>24126</v>
      </c>
      <c r="AC1908" s="62" t="s">
        <v>24127</v>
      </c>
      <c r="AD1908" s="62" t="s">
        <v>24128</v>
      </c>
    </row>
    <row r="1909" spans="1:30" x14ac:dyDescent="0.25">
      <c r="A1909" s="62" t="s">
        <v>109</v>
      </c>
      <c r="C1909" s="62" t="s">
        <v>24129</v>
      </c>
      <c r="F1909" s="62" t="s">
        <v>1249</v>
      </c>
      <c r="G1909" s="62" t="s">
        <v>51726</v>
      </c>
      <c r="J1909" s="62" t="s">
        <v>24130</v>
      </c>
      <c r="K1909" s="62" t="s">
        <v>51787</v>
      </c>
      <c r="L1909" s="62" t="s">
        <v>24131</v>
      </c>
      <c r="M1909" s="62" t="s">
        <v>24132</v>
      </c>
      <c r="N1909" s="62" t="s">
        <v>24133</v>
      </c>
      <c r="O1909" s="62" t="s">
        <v>24134</v>
      </c>
      <c r="P1909" s="62" t="s">
        <v>51848</v>
      </c>
      <c r="Q1909" s="62" t="s">
        <v>24135</v>
      </c>
      <c r="R1909" s="62" t="s">
        <v>24136</v>
      </c>
      <c r="S1909" s="62" t="s">
        <v>24137</v>
      </c>
      <c r="U1909" s="62" t="s">
        <v>24138</v>
      </c>
      <c r="V1909" s="62" t="s">
        <v>51909</v>
      </c>
      <c r="W1909" s="62" t="s">
        <v>24139</v>
      </c>
      <c r="X1909" s="62" t="s">
        <v>24140</v>
      </c>
      <c r="Y1909" s="62" t="s">
        <v>24141</v>
      </c>
      <c r="Z1909" s="62" t="s">
        <v>24142</v>
      </c>
      <c r="AA1909" s="62" t="s">
        <v>51970</v>
      </c>
      <c r="AB1909" s="62" t="s">
        <v>24143</v>
      </c>
      <c r="AC1909" s="62" t="s">
        <v>24144</v>
      </c>
      <c r="AD1909" s="62" t="s">
        <v>24145</v>
      </c>
    </row>
    <row r="1910" spans="1:30" x14ac:dyDescent="0.25">
      <c r="A1910" s="62" t="s">
        <v>109</v>
      </c>
      <c r="C1910" s="62" t="s">
        <v>24146</v>
      </c>
      <c r="F1910" s="62" t="s">
        <v>1286</v>
      </c>
      <c r="G1910" s="62" t="s">
        <v>51727</v>
      </c>
      <c r="J1910" s="62" t="s">
        <v>24147</v>
      </c>
      <c r="K1910" s="62" t="s">
        <v>51788</v>
      </c>
      <c r="L1910" s="62" t="s">
        <v>24148</v>
      </c>
      <c r="M1910" s="62" t="s">
        <v>24149</v>
      </c>
      <c r="N1910" s="62" t="s">
        <v>24150</v>
      </c>
      <c r="O1910" s="62" t="s">
        <v>24151</v>
      </c>
      <c r="P1910" s="62" t="s">
        <v>51849</v>
      </c>
      <c r="Q1910" s="62" t="s">
        <v>24152</v>
      </c>
      <c r="R1910" s="62" t="s">
        <v>24153</v>
      </c>
      <c r="S1910" s="62" t="s">
        <v>24154</v>
      </c>
      <c r="U1910" s="62" t="s">
        <v>24155</v>
      </c>
      <c r="V1910" s="62" t="s">
        <v>51910</v>
      </c>
      <c r="W1910" s="62" t="s">
        <v>24156</v>
      </c>
      <c r="X1910" s="62" t="s">
        <v>24157</v>
      </c>
      <c r="Y1910" s="62" t="s">
        <v>24158</v>
      </c>
      <c r="Z1910" s="62" t="s">
        <v>24159</v>
      </c>
      <c r="AA1910" s="62" t="s">
        <v>51971</v>
      </c>
      <c r="AB1910" s="62" t="s">
        <v>24160</v>
      </c>
      <c r="AC1910" s="62" t="s">
        <v>24161</v>
      </c>
      <c r="AD1910" s="62" t="s">
        <v>24162</v>
      </c>
    </row>
    <row r="1911" spans="1:30" x14ac:dyDescent="0.25">
      <c r="A1911" s="62" t="s">
        <v>109</v>
      </c>
      <c r="C1911" s="62" t="s">
        <v>24163</v>
      </c>
      <c r="F1911" s="62" t="s">
        <v>1797</v>
      </c>
      <c r="G1911" s="62" t="s">
        <v>51728</v>
      </c>
      <c r="J1911" s="62" t="s">
        <v>24164</v>
      </c>
      <c r="K1911" s="62" t="s">
        <v>51789</v>
      </c>
      <c r="L1911" s="62" t="s">
        <v>24165</v>
      </c>
      <c r="M1911" s="62" t="s">
        <v>24166</v>
      </c>
      <c r="N1911" s="62" t="s">
        <v>24167</v>
      </c>
      <c r="O1911" s="62" t="s">
        <v>24168</v>
      </c>
      <c r="P1911" s="62" t="s">
        <v>51850</v>
      </c>
      <c r="Q1911" s="62" t="s">
        <v>24169</v>
      </c>
      <c r="R1911" s="62" t="s">
        <v>24170</v>
      </c>
      <c r="S1911" s="62" t="s">
        <v>24171</v>
      </c>
      <c r="U1911" s="62" t="s">
        <v>24172</v>
      </c>
      <c r="V1911" s="62" t="s">
        <v>51911</v>
      </c>
      <c r="W1911" s="62" t="s">
        <v>24173</v>
      </c>
      <c r="X1911" s="62" t="s">
        <v>24174</v>
      </c>
      <c r="Y1911" s="62" t="s">
        <v>24175</v>
      </c>
      <c r="Z1911" s="62" t="s">
        <v>24176</v>
      </c>
      <c r="AA1911" s="62" t="s">
        <v>51972</v>
      </c>
      <c r="AB1911" s="62" t="s">
        <v>24177</v>
      </c>
      <c r="AC1911" s="62" t="s">
        <v>24178</v>
      </c>
      <c r="AD1911" s="62" t="s">
        <v>24179</v>
      </c>
    </row>
    <row r="1912" spans="1:30" x14ac:dyDescent="0.25">
      <c r="A1912" s="62" t="s">
        <v>109</v>
      </c>
      <c r="C1912" s="62" t="s">
        <v>24180</v>
      </c>
      <c r="F1912" s="62" t="s">
        <v>1299</v>
      </c>
      <c r="G1912" s="62" t="s">
        <v>51729</v>
      </c>
      <c r="J1912" s="62" t="s">
        <v>24181</v>
      </c>
      <c r="K1912" s="62" t="s">
        <v>51790</v>
      </c>
      <c r="L1912" s="62" t="s">
        <v>24182</v>
      </c>
      <c r="M1912" s="62" t="s">
        <v>24183</v>
      </c>
      <c r="N1912" s="62" t="s">
        <v>24184</v>
      </c>
      <c r="O1912" s="62" t="s">
        <v>24185</v>
      </c>
      <c r="P1912" s="62" t="s">
        <v>51851</v>
      </c>
      <c r="Q1912" s="62" t="s">
        <v>24186</v>
      </c>
      <c r="R1912" s="62" t="s">
        <v>24187</v>
      </c>
      <c r="S1912" s="62" t="s">
        <v>24188</v>
      </c>
      <c r="U1912" s="62" t="s">
        <v>24189</v>
      </c>
      <c r="V1912" s="62" t="s">
        <v>51912</v>
      </c>
      <c r="W1912" s="62" t="s">
        <v>24190</v>
      </c>
      <c r="X1912" s="62" t="s">
        <v>24191</v>
      </c>
      <c r="Y1912" s="62" t="s">
        <v>24192</v>
      </c>
      <c r="Z1912" s="62" t="s">
        <v>24193</v>
      </c>
      <c r="AA1912" s="62" t="s">
        <v>51973</v>
      </c>
      <c r="AB1912" s="62" t="s">
        <v>24194</v>
      </c>
      <c r="AC1912" s="62" t="s">
        <v>24195</v>
      </c>
      <c r="AD1912" s="62" t="s">
        <v>24196</v>
      </c>
    </row>
    <row r="1913" spans="1:30" x14ac:dyDescent="0.25">
      <c r="A1913" s="62" t="s">
        <v>109</v>
      </c>
      <c r="C1913" s="62" t="s">
        <v>24197</v>
      </c>
      <c r="F1913" s="62" t="s">
        <v>13249</v>
      </c>
      <c r="G1913" s="62" t="s">
        <v>51730</v>
      </c>
      <c r="J1913" s="62" t="s">
        <v>24198</v>
      </c>
      <c r="K1913" s="62" t="s">
        <v>51791</v>
      </c>
      <c r="L1913" s="62" t="s">
        <v>24199</v>
      </c>
      <c r="M1913" s="62" t="s">
        <v>24200</v>
      </c>
      <c r="N1913" s="62" t="s">
        <v>24201</v>
      </c>
      <c r="O1913" s="62" t="s">
        <v>24202</v>
      </c>
      <c r="P1913" s="62" t="s">
        <v>51852</v>
      </c>
      <c r="Q1913" s="62" t="s">
        <v>24203</v>
      </c>
      <c r="R1913" s="62" t="s">
        <v>24204</v>
      </c>
      <c r="S1913" s="62" t="s">
        <v>24205</v>
      </c>
      <c r="U1913" s="62" t="s">
        <v>24206</v>
      </c>
      <c r="V1913" s="62" t="s">
        <v>51913</v>
      </c>
      <c r="W1913" s="62" t="s">
        <v>24207</v>
      </c>
      <c r="X1913" s="62" t="s">
        <v>24208</v>
      </c>
      <c r="Y1913" s="62" t="s">
        <v>24209</v>
      </c>
      <c r="Z1913" s="62" t="s">
        <v>24210</v>
      </c>
      <c r="AA1913" s="62" t="s">
        <v>51974</v>
      </c>
      <c r="AB1913" s="62" t="s">
        <v>24211</v>
      </c>
      <c r="AC1913" s="62" t="s">
        <v>24212</v>
      </c>
      <c r="AD1913" s="62" t="s">
        <v>24213</v>
      </c>
    </row>
    <row r="1914" spans="1:30" x14ac:dyDescent="0.25">
      <c r="A1914" s="62" t="s">
        <v>109</v>
      </c>
      <c r="C1914" s="62" t="s">
        <v>24214</v>
      </c>
      <c r="F1914" s="62" t="s">
        <v>10927</v>
      </c>
      <c r="G1914" s="62" t="s">
        <v>51731</v>
      </c>
      <c r="J1914" s="62" t="s">
        <v>24215</v>
      </c>
      <c r="K1914" s="62" t="s">
        <v>51792</v>
      </c>
      <c r="L1914" s="62" t="s">
        <v>24216</v>
      </c>
      <c r="M1914" s="62" t="s">
        <v>24217</v>
      </c>
      <c r="N1914" s="62" t="s">
        <v>24218</v>
      </c>
      <c r="O1914" s="62" t="s">
        <v>24219</v>
      </c>
      <c r="P1914" s="62" t="s">
        <v>51853</v>
      </c>
      <c r="Q1914" s="62" t="s">
        <v>24220</v>
      </c>
      <c r="R1914" s="62" t="s">
        <v>24221</v>
      </c>
      <c r="S1914" s="62" t="s">
        <v>24222</v>
      </c>
      <c r="U1914" s="62" t="s">
        <v>24223</v>
      </c>
      <c r="V1914" s="62" t="s">
        <v>51914</v>
      </c>
      <c r="W1914" s="62" t="s">
        <v>24224</v>
      </c>
      <c r="X1914" s="62" t="s">
        <v>24225</v>
      </c>
      <c r="Y1914" s="62" t="s">
        <v>24226</v>
      </c>
      <c r="Z1914" s="62" t="s">
        <v>24227</v>
      </c>
      <c r="AA1914" s="62" t="s">
        <v>51975</v>
      </c>
      <c r="AB1914" s="62" t="s">
        <v>24228</v>
      </c>
      <c r="AC1914" s="62" t="s">
        <v>24229</v>
      </c>
      <c r="AD1914" s="62" t="s">
        <v>24230</v>
      </c>
    </row>
    <row r="1915" spans="1:30" x14ac:dyDescent="0.25">
      <c r="A1915" s="62" t="s">
        <v>109</v>
      </c>
      <c r="C1915" s="62" t="s">
        <v>24231</v>
      </c>
      <c r="F1915" s="62" t="s">
        <v>10929</v>
      </c>
      <c r="G1915" s="62" t="s">
        <v>51732</v>
      </c>
      <c r="J1915" s="62" t="s">
        <v>24232</v>
      </c>
      <c r="K1915" s="62" t="s">
        <v>51793</v>
      </c>
      <c r="L1915" s="62" t="s">
        <v>24233</v>
      </c>
      <c r="M1915" s="62" t="s">
        <v>24234</v>
      </c>
      <c r="N1915" s="62" t="s">
        <v>24235</v>
      </c>
      <c r="O1915" s="62" t="s">
        <v>24236</v>
      </c>
      <c r="P1915" s="62" t="s">
        <v>51854</v>
      </c>
      <c r="Q1915" s="62" t="s">
        <v>24237</v>
      </c>
      <c r="R1915" s="62" t="s">
        <v>24238</v>
      </c>
      <c r="S1915" s="62" t="s">
        <v>24239</v>
      </c>
      <c r="U1915" s="62" t="s">
        <v>24240</v>
      </c>
      <c r="V1915" s="62" t="s">
        <v>51915</v>
      </c>
      <c r="W1915" s="62" t="s">
        <v>24241</v>
      </c>
      <c r="X1915" s="62" t="s">
        <v>24242</v>
      </c>
      <c r="Y1915" s="62" t="s">
        <v>24243</v>
      </c>
      <c r="Z1915" s="62" t="s">
        <v>24244</v>
      </c>
      <c r="AA1915" s="62" t="s">
        <v>51976</v>
      </c>
      <c r="AB1915" s="62" t="s">
        <v>24245</v>
      </c>
      <c r="AC1915" s="62" t="s">
        <v>24246</v>
      </c>
      <c r="AD1915" s="62" t="s">
        <v>24247</v>
      </c>
    </row>
    <row r="1916" spans="1:30" x14ac:dyDescent="0.25">
      <c r="A1916" s="62" t="s">
        <v>109</v>
      </c>
      <c r="C1916" s="62" t="s">
        <v>23300</v>
      </c>
    </row>
    <row r="1917" spans="1:30" x14ac:dyDescent="0.25">
      <c r="A1917" s="62" t="s">
        <v>109</v>
      </c>
      <c r="C1917" s="62" t="s">
        <v>24248</v>
      </c>
      <c r="G1917" s="62" t="s">
        <v>44297</v>
      </c>
      <c r="J1917" s="62" t="s">
        <v>44298</v>
      </c>
      <c r="K1917" s="62" t="s">
        <v>44299</v>
      </c>
      <c r="L1917" s="62" t="s">
        <v>44300</v>
      </c>
      <c r="M1917" s="62" t="s">
        <v>24249</v>
      </c>
      <c r="N1917" s="62" t="s">
        <v>24250</v>
      </c>
      <c r="O1917" s="62" t="s">
        <v>44301</v>
      </c>
      <c r="P1917" s="62" t="s">
        <v>44302</v>
      </c>
      <c r="Q1917" s="62" t="s">
        <v>44303</v>
      </c>
      <c r="R1917" s="62" t="s">
        <v>24251</v>
      </c>
      <c r="S1917" s="62" t="s">
        <v>24252</v>
      </c>
      <c r="U1917" s="62" t="s">
        <v>44304</v>
      </c>
      <c r="V1917" s="62" t="s">
        <v>44305</v>
      </c>
      <c r="W1917" s="62" t="s">
        <v>44306</v>
      </c>
      <c r="X1917" s="62" t="s">
        <v>24253</v>
      </c>
      <c r="Y1917" s="62" t="s">
        <v>24254</v>
      </c>
      <c r="Z1917" s="62" t="s">
        <v>44307</v>
      </c>
      <c r="AA1917" s="62" t="s">
        <v>44308</v>
      </c>
      <c r="AB1917" s="62" t="s">
        <v>44309</v>
      </c>
      <c r="AC1917" s="62" t="s">
        <v>24255</v>
      </c>
      <c r="AD1917" s="62" t="s">
        <v>24256</v>
      </c>
    </row>
    <row r="1918" spans="1:30" x14ac:dyDescent="0.25">
      <c r="A1918" s="62" t="s">
        <v>109</v>
      </c>
    </row>
    <row r="1919" spans="1:30" x14ac:dyDescent="0.25">
      <c r="A1919" s="62" t="s">
        <v>109</v>
      </c>
      <c r="C1919" s="62" t="s">
        <v>44310</v>
      </c>
      <c r="E1919" s="62" t="s">
        <v>30399</v>
      </c>
      <c r="G1919" s="62" t="s">
        <v>44311</v>
      </c>
    </row>
    <row r="1920" spans="1:30" x14ac:dyDescent="0.25">
      <c r="A1920" s="62" t="s">
        <v>109</v>
      </c>
      <c r="C1920" s="62" t="s">
        <v>24257</v>
      </c>
    </row>
    <row r="1921" spans="1:30" x14ac:dyDescent="0.25">
      <c r="A1921" s="62" t="s">
        <v>109</v>
      </c>
      <c r="C1921" s="62" t="s">
        <v>24258</v>
      </c>
      <c r="F1921" s="62" t="s">
        <v>44312</v>
      </c>
      <c r="G1921" s="62" t="s">
        <v>51517</v>
      </c>
      <c r="J1921" s="62" t="s">
        <v>24259</v>
      </c>
      <c r="K1921" s="62" t="s">
        <v>51548</v>
      </c>
      <c r="L1921" s="62" t="s">
        <v>24260</v>
      </c>
      <c r="M1921" s="62" t="s">
        <v>24261</v>
      </c>
      <c r="N1921" s="62" t="s">
        <v>24262</v>
      </c>
      <c r="O1921" s="62" t="s">
        <v>24263</v>
      </c>
      <c r="P1921" s="62" t="s">
        <v>51579</v>
      </c>
      <c r="Q1921" s="62" t="s">
        <v>24264</v>
      </c>
      <c r="R1921" s="62" t="s">
        <v>24265</v>
      </c>
      <c r="S1921" s="62" t="s">
        <v>24266</v>
      </c>
      <c r="U1921" s="62" t="s">
        <v>24267</v>
      </c>
      <c r="V1921" s="62" t="s">
        <v>51610</v>
      </c>
      <c r="W1921" s="62" t="s">
        <v>24268</v>
      </c>
      <c r="X1921" s="62" t="s">
        <v>24269</v>
      </c>
      <c r="Y1921" s="62" t="s">
        <v>24270</v>
      </c>
      <c r="Z1921" s="62" t="s">
        <v>24271</v>
      </c>
      <c r="AA1921" s="62" t="s">
        <v>51641</v>
      </c>
      <c r="AB1921" s="62" t="s">
        <v>24272</v>
      </c>
      <c r="AC1921" s="62" t="s">
        <v>24273</v>
      </c>
      <c r="AD1921" s="62" t="s">
        <v>24274</v>
      </c>
    </row>
    <row r="1922" spans="1:30" x14ac:dyDescent="0.25">
      <c r="A1922" s="62" t="s">
        <v>109</v>
      </c>
      <c r="C1922" s="62" t="s">
        <v>24275</v>
      </c>
      <c r="F1922" s="62" t="s">
        <v>889</v>
      </c>
      <c r="G1922" s="62" t="s">
        <v>51518</v>
      </c>
      <c r="J1922" s="62" t="s">
        <v>24276</v>
      </c>
      <c r="K1922" s="62" t="s">
        <v>51549</v>
      </c>
      <c r="L1922" s="62" t="s">
        <v>24277</v>
      </c>
      <c r="M1922" s="62" t="s">
        <v>24278</v>
      </c>
      <c r="N1922" s="62" t="s">
        <v>24279</v>
      </c>
      <c r="O1922" s="62" t="s">
        <v>24280</v>
      </c>
      <c r="P1922" s="62" t="s">
        <v>51580</v>
      </c>
      <c r="Q1922" s="62" t="s">
        <v>24281</v>
      </c>
      <c r="R1922" s="62" t="s">
        <v>24282</v>
      </c>
      <c r="S1922" s="62" t="s">
        <v>24283</v>
      </c>
      <c r="U1922" s="62" t="s">
        <v>24284</v>
      </c>
      <c r="V1922" s="62" t="s">
        <v>51611</v>
      </c>
      <c r="W1922" s="62" t="s">
        <v>24285</v>
      </c>
      <c r="X1922" s="62" t="s">
        <v>24286</v>
      </c>
      <c r="Y1922" s="62" t="s">
        <v>24287</v>
      </c>
      <c r="Z1922" s="62" t="s">
        <v>24288</v>
      </c>
      <c r="AA1922" s="62" t="s">
        <v>51642</v>
      </c>
      <c r="AB1922" s="62" t="s">
        <v>24289</v>
      </c>
      <c r="AC1922" s="62" t="s">
        <v>24290</v>
      </c>
      <c r="AD1922" s="62" t="s">
        <v>24291</v>
      </c>
    </row>
    <row r="1923" spans="1:30" x14ac:dyDescent="0.25">
      <c r="A1923" s="62" t="s">
        <v>109</v>
      </c>
      <c r="C1923" s="62" t="s">
        <v>24292</v>
      </c>
      <c r="F1923" s="62" t="s">
        <v>915</v>
      </c>
      <c r="G1923" s="62" t="s">
        <v>51519</v>
      </c>
      <c r="J1923" s="62" t="s">
        <v>24293</v>
      </c>
      <c r="K1923" s="62" t="s">
        <v>51550</v>
      </c>
      <c r="L1923" s="62" t="s">
        <v>24294</v>
      </c>
      <c r="M1923" s="62" t="s">
        <v>24295</v>
      </c>
      <c r="N1923" s="62" t="s">
        <v>24296</v>
      </c>
      <c r="O1923" s="62" t="s">
        <v>24297</v>
      </c>
      <c r="P1923" s="62" t="s">
        <v>51581</v>
      </c>
      <c r="Q1923" s="62" t="s">
        <v>24298</v>
      </c>
      <c r="R1923" s="62" t="s">
        <v>24299</v>
      </c>
      <c r="S1923" s="62" t="s">
        <v>24300</v>
      </c>
      <c r="U1923" s="62" t="s">
        <v>24301</v>
      </c>
      <c r="V1923" s="62" t="s">
        <v>51612</v>
      </c>
      <c r="W1923" s="62" t="s">
        <v>24302</v>
      </c>
      <c r="X1923" s="62" t="s">
        <v>24303</v>
      </c>
      <c r="Y1923" s="62" t="s">
        <v>24304</v>
      </c>
      <c r="Z1923" s="62" t="s">
        <v>24305</v>
      </c>
      <c r="AA1923" s="62" t="s">
        <v>51643</v>
      </c>
      <c r="AB1923" s="62" t="s">
        <v>24306</v>
      </c>
      <c r="AC1923" s="62" t="s">
        <v>24307</v>
      </c>
      <c r="AD1923" s="62" t="s">
        <v>24308</v>
      </c>
    </row>
    <row r="1924" spans="1:30" x14ac:dyDescent="0.25">
      <c r="A1924" s="62" t="s">
        <v>109</v>
      </c>
      <c r="C1924" s="62" t="s">
        <v>24309</v>
      </c>
      <c r="F1924" s="62" t="s">
        <v>2212</v>
      </c>
      <c r="G1924" s="62" t="s">
        <v>51520</v>
      </c>
      <c r="J1924" s="62" t="s">
        <v>24310</v>
      </c>
      <c r="K1924" s="62" t="s">
        <v>51551</v>
      </c>
      <c r="L1924" s="62" t="s">
        <v>24311</v>
      </c>
      <c r="M1924" s="62" t="s">
        <v>24312</v>
      </c>
      <c r="N1924" s="62" t="s">
        <v>24313</v>
      </c>
      <c r="O1924" s="62" t="s">
        <v>24314</v>
      </c>
      <c r="P1924" s="62" t="s">
        <v>51582</v>
      </c>
      <c r="Q1924" s="62" t="s">
        <v>24315</v>
      </c>
      <c r="R1924" s="62" t="s">
        <v>24316</v>
      </c>
      <c r="S1924" s="62" t="s">
        <v>24317</v>
      </c>
      <c r="U1924" s="62" t="s">
        <v>24318</v>
      </c>
      <c r="V1924" s="62" t="s">
        <v>51613</v>
      </c>
      <c r="W1924" s="62" t="s">
        <v>24319</v>
      </c>
      <c r="X1924" s="62" t="s">
        <v>24320</v>
      </c>
      <c r="Y1924" s="62" t="s">
        <v>24321</v>
      </c>
      <c r="Z1924" s="62" t="s">
        <v>24322</v>
      </c>
      <c r="AA1924" s="62" t="s">
        <v>51644</v>
      </c>
      <c r="AB1924" s="62" t="s">
        <v>24323</v>
      </c>
      <c r="AC1924" s="62" t="s">
        <v>24324</v>
      </c>
      <c r="AD1924" s="62" t="s">
        <v>24325</v>
      </c>
    </row>
    <row r="1925" spans="1:30" x14ac:dyDescent="0.25">
      <c r="A1925" s="62" t="s">
        <v>109</v>
      </c>
      <c r="C1925" s="62" t="s">
        <v>24326</v>
      </c>
      <c r="F1925" s="62" t="s">
        <v>254</v>
      </c>
      <c r="G1925" s="62" t="s">
        <v>51521</v>
      </c>
      <c r="J1925" s="62" t="s">
        <v>24327</v>
      </c>
      <c r="K1925" s="62" t="s">
        <v>51552</v>
      </c>
      <c r="L1925" s="62" t="s">
        <v>24328</v>
      </c>
      <c r="M1925" s="62" t="s">
        <v>24329</v>
      </c>
      <c r="N1925" s="62" t="s">
        <v>24330</v>
      </c>
      <c r="O1925" s="62" t="s">
        <v>24331</v>
      </c>
      <c r="P1925" s="62" t="s">
        <v>51583</v>
      </c>
      <c r="Q1925" s="62" t="s">
        <v>24332</v>
      </c>
      <c r="R1925" s="62" t="s">
        <v>24333</v>
      </c>
      <c r="S1925" s="62" t="s">
        <v>24334</v>
      </c>
      <c r="U1925" s="62" t="s">
        <v>24335</v>
      </c>
      <c r="V1925" s="62" t="s">
        <v>51614</v>
      </c>
      <c r="W1925" s="62" t="s">
        <v>24336</v>
      </c>
      <c r="X1925" s="62" t="s">
        <v>24337</v>
      </c>
      <c r="Y1925" s="62" t="s">
        <v>24338</v>
      </c>
      <c r="Z1925" s="62" t="s">
        <v>24339</v>
      </c>
      <c r="AA1925" s="62" t="s">
        <v>51645</v>
      </c>
      <c r="AB1925" s="62" t="s">
        <v>24340</v>
      </c>
      <c r="AC1925" s="62" t="s">
        <v>24341</v>
      </c>
      <c r="AD1925" s="62" t="s">
        <v>24342</v>
      </c>
    </row>
    <row r="1926" spans="1:30" x14ac:dyDescent="0.25">
      <c r="A1926" s="62" t="s">
        <v>109</v>
      </c>
      <c r="C1926" s="62" t="s">
        <v>24343</v>
      </c>
      <c r="F1926" s="62" t="s">
        <v>12860</v>
      </c>
      <c r="G1926" s="62" t="s">
        <v>51522</v>
      </c>
      <c r="J1926" s="62" t="s">
        <v>24344</v>
      </c>
      <c r="K1926" s="62" t="s">
        <v>51553</v>
      </c>
      <c r="L1926" s="62" t="s">
        <v>24345</v>
      </c>
      <c r="M1926" s="62" t="s">
        <v>24346</v>
      </c>
      <c r="N1926" s="62" t="s">
        <v>24347</v>
      </c>
      <c r="O1926" s="62" t="s">
        <v>24348</v>
      </c>
      <c r="P1926" s="62" t="s">
        <v>51584</v>
      </c>
      <c r="Q1926" s="62" t="s">
        <v>24349</v>
      </c>
      <c r="R1926" s="62" t="s">
        <v>24350</v>
      </c>
      <c r="S1926" s="62" t="s">
        <v>24351</v>
      </c>
      <c r="U1926" s="62" t="s">
        <v>24352</v>
      </c>
      <c r="V1926" s="62" t="s">
        <v>51615</v>
      </c>
      <c r="W1926" s="62" t="s">
        <v>24353</v>
      </c>
      <c r="X1926" s="62" t="s">
        <v>24354</v>
      </c>
      <c r="Y1926" s="62" t="s">
        <v>24355</v>
      </c>
      <c r="Z1926" s="62" t="s">
        <v>24356</v>
      </c>
      <c r="AA1926" s="62" t="s">
        <v>51646</v>
      </c>
      <c r="AB1926" s="62" t="s">
        <v>24357</v>
      </c>
      <c r="AC1926" s="62" t="s">
        <v>24358</v>
      </c>
      <c r="AD1926" s="62" t="s">
        <v>24359</v>
      </c>
    </row>
    <row r="1927" spans="1:30" x14ac:dyDescent="0.25">
      <c r="A1927" s="62" t="s">
        <v>109</v>
      </c>
      <c r="C1927" s="62" t="s">
        <v>24360</v>
      </c>
      <c r="F1927" s="62" t="s">
        <v>340</v>
      </c>
      <c r="G1927" s="62" t="s">
        <v>51523</v>
      </c>
      <c r="J1927" s="62" t="s">
        <v>24361</v>
      </c>
      <c r="K1927" s="62" t="s">
        <v>51554</v>
      </c>
      <c r="L1927" s="62" t="s">
        <v>24362</v>
      </c>
      <c r="M1927" s="62" t="s">
        <v>24363</v>
      </c>
      <c r="N1927" s="62" t="s">
        <v>24364</v>
      </c>
      <c r="O1927" s="62" t="s">
        <v>24365</v>
      </c>
      <c r="P1927" s="62" t="s">
        <v>51585</v>
      </c>
      <c r="Q1927" s="62" t="s">
        <v>24366</v>
      </c>
      <c r="R1927" s="62" t="s">
        <v>24367</v>
      </c>
      <c r="S1927" s="62" t="s">
        <v>24368</v>
      </c>
      <c r="U1927" s="62" t="s">
        <v>24369</v>
      </c>
      <c r="V1927" s="62" t="s">
        <v>51616</v>
      </c>
      <c r="W1927" s="62" t="s">
        <v>24370</v>
      </c>
      <c r="X1927" s="62" t="s">
        <v>24371</v>
      </c>
      <c r="Y1927" s="62" t="s">
        <v>24372</v>
      </c>
      <c r="Z1927" s="62" t="s">
        <v>24373</v>
      </c>
      <c r="AA1927" s="62" t="s">
        <v>51647</v>
      </c>
      <c r="AB1927" s="62" t="s">
        <v>24374</v>
      </c>
      <c r="AC1927" s="62" t="s">
        <v>24375</v>
      </c>
      <c r="AD1927" s="62" t="s">
        <v>24376</v>
      </c>
    </row>
    <row r="1928" spans="1:30" x14ac:dyDescent="0.25">
      <c r="A1928" s="62" t="s">
        <v>109</v>
      </c>
      <c r="C1928" s="62" t="s">
        <v>24377</v>
      </c>
      <c r="F1928" s="62" t="s">
        <v>10332</v>
      </c>
      <c r="G1928" s="62" t="s">
        <v>51524</v>
      </c>
      <c r="J1928" s="62" t="s">
        <v>24378</v>
      </c>
      <c r="K1928" s="62" t="s">
        <v>51555</v>
      </c>
      <c r="L1928" s="62" t="s">
        <v>24379</v>
      </c>
      <c r="M1928" s="62" t="s">
        <v>24380</v>
      </c>
      <c r="N1928" s="62" t="s">
        <v>24381</v>
      </c>
      <c r="O1928" s="62" t="s">
        <v>24382</v>
      </c>
      <c r="P1928" s="62" t="s">
        <v>51586</v>
      </c>
      <c r="Q1928" s="62" t="s">
        <v>24383</v>
      </c>
      <c r="R1928" s="62" t="s">
        <v>24384</v>
      </c>
      <c r="S1928" s="62" t="s">
        <v>24385</v>
      </c>
      <c r="U1928" s="62" t="s">
        <v>24386</v>
      </c>
      <c r="V1928" s="62" t="s">
        <v>51617</v>
      </c>
      <c r="W1928" s="62" t="s">
        <v>24387</v>
      </c>
      <c r="X1928" s="62" t="s">
        <v>24388</v>
      </c>
      <c r="Y1928" s="62" t="s">
        <v>24389</v>
      </c>
      <c r="Z1928" s="62" t="s">
        <v>24390</v>
      </c>
      <c r="AA1928" s="62" t="s">
        <v>51648</v>
      </c>
      <c r="AB1928" s="62" t="s">
        <v>24391</v>
      </c>
      <c r="AC1928" s="62" t="s">
        <v>24392</v>
      </c>
      <c r="AD1928" s="62" t="s">
        <v>24393</v>
      </c>
    </row>
    <row r="1929" spans="1:30" x14ac:dyDescent="0.25">
      <c r="A1929" s="62" t="s">
        <v>109</v>
      </c>
      <c r="C1929" s="62" t="s">
        <v>24394</v>
      </c>
      <c r="F1929" s="62" t="s">
        <v>10368</v>
      </c>
      <c r="G1929" s="62" t="s">
        <v>51525</v>
      </c>
      <c r="J1929" s="62" t="s">
        <v>24395</v>
      </c>
      <c r="K1929" s="62" t="s">
        <v>51556</v>
      </c>
      <c r="L1929" s="62" t="s">
        <v>24396</v>
      </c>
      <c r="M1929" s="62" t="s">
        <v>24397</v>
      </c>
      <c r="N1929" s="62" t="s">
        <v>24398</v>
      </c>
      <c r="O1929" s="62" t="s">
        <v>24399</v>
      </c>
      <c r="P1929" s="62" t="s">
        <v>51587</v>
      </c>
      <c r="Q1929" s="62" t="s">
        <v>24400</v>
      </c>
      <c r="R1929" s="62" t="s">
        <v>24401</v>
      </c>
      <c r="S1929" s="62" t="s">
        <v>24402</v>
      </c>
      <c r="U1929" s="62" t="s">
        <v>24403</v>
      </c>
      <c r="V1929" s="62" t="s">
        <v>51618</v>
      </c>
      <c r="W1929" s="62" t="s">
        <v>24404</v>
      </c>
      <c r="X1929" s="62" t="s">
        <v>24405</v>
      </c>
      <c r="Y1929" s="62" t="s">
        <v>24406</v>
      </c>
      <c r="Z1929" s="62" t="s">
        <v>24407</v>
      </c>
      <c r="AA1929" s="62" t="s">
        <v>51649</v>
      </c>
      <c r="AB1929" s="62" t="s">
        <v>24408</v>
      </c>
      <c r="AC1929" s="62" t="s">
        <v>24409</v>
      </c>
      <c r="AD1929" s="62" t="s">
        <v>24410</v>
      </c>
    </row>
    <row r="1930" spans="1:30" x14ac:dyDescent="0.25">
      <c r="A1930" s="62" t="s">
        <v>109</v>
      </c>
      <c r="C1930" s="62" t="s">
        <v>24411</v>
      </c>
      <c r="F1930" s="62" t="s">
        <v>15012</v>
      </c>
      <c r="G1930" s="62" t="s">
        <v>51526</v>
      </c>
      <c r="J1930" s="62" t="s">
        <v>24412</v>
      </c>
      <c r="K1930" s="62" t="s">
        <v>51557</v>
      </c>
      <c r="L1930" s="62" t="s">
        <v>24413</v>
      </c>
      <c r="M1930" s="62" t="s">
        <v>24414</v>
      </c>
      <c r="N1930" s="62" t="s">
        <v>24415</v>
      </c>
      <c r="O1930" s="62" t="s">
        <v>24416</v>
      </c>
      <c r="P1930" s="62" t="s">
        <v>51588</v>
      </c>
      <c r="Q1930" s="62" t="s">
        <v>24417</v>
      </c>
      <c r="R1930" s="62" t="s">
        <v>24418</v>
      </c>
      <c r="S1930" s="62" t="s">
        <v>24419</v>
      </c>
      <c r="U1930" s="62" t="s">
        <v>24420</v>
      </c>
      <c r="V1930" s="62" t="s">
        <v>51619</v>
      </c>
      <c r="W1930" s="62" t="s">
        <v>24421</v>
      </c>
      <c r="X1930" s="62" t="s">
        <v>24422</v>
      </c>
      <c r="Y1930" s="62" t="s">
        <v>24423</v>
      </c>
      <c r="Z1930" s="62" t="s">
        <v>24424</v>
      </c>
      <c r="AA1930" s="62" t="s">
        <v>51650</v>
      </c>
      <c r="AB1930" s="62" t="s">
        <v>24425</v>
      </c>
      <c r="AC1930" s="62" t="s">
        <v>24426</v>
      </c>
      <c r="AD1930" s="62" t="s">
        <v>24427</v>
      </c>
    </row>
    <row r="1931" spans="1:30" x14ac:dyDescent="0.25">
      <c r="A1931" s="62" t="s">
        <v>109</v>
      </c>
      <c r="C1931" s="62" t="s">
        <v>24428</v>
      </c>
      <c r="F1931" s="62" t="s">
        <v>10404</v>
      </c>
      <c r="G1931" s="62" t="s">
        <v>51527</v>
      </c>
      <c r="J1931" s="62" t="s">
        <v>24429</v>
      </c>
      <c r="K1931" s="62" t="s">
        <v>51558</v>
      </c>
      <c r="L1931" s="62" t="s">
        <v>24430</v>
      </c>
      <c r="M1931" s="62" t="s">
        <v>24431</v>
      </c>
      <c r="N1931" s="62" t="s">
        <v>24432</v>
      </c>
      <c r="O1931" s="62" t="s">
        <v>24433</v>
      </c>
      <c r="P1931" s="62" t="s">
        <v>51589</v>
      </c>
      <c r="Q1931" s="62" t="s">
        <v>24434</v>
      </c>
      <c r="R1931" s="62" t="s">
        <v>24435</v>
      </c>
      <c r="S1931" s="62" t="s">
        <v>24436</v>
      </c>
      <c r="U1931" s="62" t="s">
        <v>24437</v>
      </c>
      <c r="V1931" s="62" t="s">
        <v>51620</v>
      </c>
      <c r="W1931" s="62" t="s">
        <v>24438</v>
      </c>
      <c r="X1931" s="62" t="s">
        <v>24439</v>
      </c>
      <c r="Y1931" s="62" t="s">
        <v>24440</v>
      </c>
      <c r="Z1931" s="62" t="s">
        <v>24441</v>
      </c>
      <c r="AA1931" s="62" t="s">
        <v>51651</v>
      </c>
      <c r="AB1931" s="62" t="s">
        <v>24442</v>
      </c>
      <c r="AC1931" s="62" t="s">
        <v>24443</v>
      </c>
      <c r="AD1931" s="62" t="s">
        <v>24444</v>
      </c>
    </row>
    <row r="1932" spans="1:30" x14ac:dyDescent="0.25">
      <c r="A1932" s="62" t="s">
        <v>109</v>
      </c>
      <c r="C1932" s="62" t="s">
        <v>24445</v>
      </c>
      <c r="F1932" s="62" t="s">
        <v>1012</v>
      </c>
      <c r="G1932" s="62" t="s">
        <v>51528</v>
      </c>
      <c r="J1932" s="62" t="s">
        <v>24446</v>
      </c>
      <c r="K1932" s="62" t="s">
        <v>51559</v>
      </c>
      <c r="L1932" s="62" t="s">
        <v>24447</v>
      </c>
      <c r="M1932" s="62" t="s">
        <v>24448</v>
      </c>
      <c r="N1932" s="62" t="s">
        <v>24449</v>
      </c>
      <c r="O1932" s="62" t="s">
        <v>24450</v>
      </c>
      <c r="P1932" s="62" t="s">
        <v>51590</v>
      </c>
      <c r="Q1932" s="62" t="s">
        <v>24451</v>
      </c>
      <c r="R1932" s="62" t="s">
        <v>24452</v>
      </c>
      <c r="S1932" s="62" t="s">
        <v>24453</v>
      </c>
      <c r="U1932" s="62" t="s">
        <v>24454</v>
      </c>
      <c r="V1932" s="62" t="s">
        <v>51621</v>
      </c>
      <c r="W1932" s="62" t="s">
        <v>24455</v>
      </c>
      <c r="X1932" s="62" t="s">
        <v>24456</v>
      </c>
      <c r="Y1932" s="62" t="s">
        <v>24457</v>
      </c>
      <c r="Z1932" s="62" t="s">
        <v>24458</v>
      </c>
      <c r="AA1932" s="62" t="s">
        <v>51652</v>
      </c>
      <c r="AB1932" s="62" t="s">
        <v>24459</v>
      </c>
      <c r="AC1932" s="62" t="s">
        <v>24460</v>
      </c>
      <c r="AD1932" s="62" t="s">
        <v>24461</v>
      </c>
    </row>
    <row r="1933" spans="1:30" x14ac:dyDescent="0.25">
      <c r="A1933" s="62" t="s">
        <v>109</v>
      </c>
      <c r="C1933" s="62" t="s">
        <v>24462</v>
      </c>
      <c r="F1933" s="62" t="s">
        <v>1047</v>
      </c>
      <c r="G1933" s="62" t="s">
        <v>51529</v>
      </c>
      <c r="J1933" s="62" t="s">
        <v>24463</v>
      </c>
      <c r="K1933" s="62" t="s">
        <v>51560</v>
      </c>
      <c r="L1933" s="62" t="s">
        <v>24464</v>
      </c>
      <c r="M1933" s="62" t="s">
        <v>24465</v>
      </c>
      <c r="N1933" s="62" t="s">
        <v>24466</v>
      </c>
      <c r="O1933" s="62" t="s">
        <v>24467</v>
      </c>
      <c r="P1933" s="62" t="s">
        <v>51591</v>
      </c>
      <c r="Q1933" s="62" t="s">
        <v>24468</v>
      </c>
      <c r="R1933" s="62" t="s">
        <v>24469</v>
      </c>
      <c r="S1933" s="62" t="s">
        <v>24470</v>
      </c>
      <c r="U1933" s="62" t="s">
        <v>24471</v>
      </c>
      <c r="V1933" s="62" t="s">
        <v>51622</v>
      </c>
      <c r="W1933" s="62" t="s">
        <v>24472</v>
      </c>
      <c r="X1933" s="62" t="s">
        <v>24473</v>
      </c>
      <c r="Y1933" s="62" t="s">
        <v>24474</v>
      </c>
      <c r="Z1933" s="62" t="s">
        <v>24475</v>
      </c>
      <c r="AA1933" s="62" t="s">
        <v>51653</v>
      </c>
      <c r="AB1933" s="62" t="s">
        <v>24476</v>
      </c>
      <c r="AC1933" s="62" t="s">
        <v>24477</v>
      </c>
      <c r="AD1933" s="62" t="s">
        <v>24478</v>
      </c>
    </row>
    <row r="1934" spans="1:30" x14ac:dyDescent="0.25">
      <c r="A1934" s="62" t="s">
        <v>109</v>
      </c>
      <c r="C1934" s="62" t="s">
        <v>24479</v>
      </c>
      <c r="F1934" s="62" t="s">
        <v>1064</v>
      </c>
      <c r="G1934" s="62" t="s">
        <v>51530</v>
      </c>
      <c r="J1934" s="62" t="s">
        <v>24480</v>
      </c>
      <c r="K1934" s="62" t="s">
        <v>51561</v>
      </c>
      <c r="L1934" s="62" t="s">
        <v>24481</v>
      </c>
      <c r="M1934" s="62" t="s">
        <v>24482</v>
      </c>
      <c r="N1934" s="62" t="s">
        <v>24483</v>
      </c>
      <c r="O1934" s="62" t="s">
        <v>24484</v>
      </c>
      <c r="P1934" s="62" t="s">
        <v>51592</v>
      </c>
      <c r="Q1934" s="62" t="s">
        <v>24485</v>
      </c>
      <c r="R1934" s="62" t="s">
        <v>24486</v>
      </c>
      <c r="S1934" s="62" t="s">
        <v>24487</v>
      </c>
      <c r="U1934" s="62" t="s">
        <v>24488</v>
      </c>
      <c r="V1934" s="62" t="s">
        <v>51623</v>
      </c>
      <c r="W1934" s="62" t="s">
        <v>24489</v>
      </c>
      <c r="X1934" s="62" t="s">
        <v>24490</v>
      </c>
      <c r="Y1934" s="62" t="s">
        <v>24491</v>
      </c>
      <c r="Z1934" s="62" t="s">
        <v>24492</v>
      </c>
      <c r="AA1934" s="62" t="s">
        <v>51654</v>
      </c>
      <c r="AB1934" s="62" t="s">
        <v>24493</v>
      </c>
      <c r="AC1934" s="62" t="s">
        <v>24494</v>
      </c>
      <c r="AD1934" s="62" t="s">
        <v>24495</v>
      </c>
    </row>
    <row r="1935" spans="1:30" x14ac:dyDescent="0.25">
      <c r="A1935" s="62" t="s">
        <v>109</v>
      </c>
      <c r="C1935" s="62" t="s">
        <v>24496</v>
      </c>
      <c r="F1935" s="62" t="s">
        <v>1073</v>
      </c>
      <c r="G1935" s="62" t="s">
        <v>51531</v>
      </c>
      <c r="J1935" s="62" t="s">
        <v>24497</v>
      </c>
      <c r="K1935" s="62" t="s">
        <v>51562</v>
      </c>
      <c r="L1935" s="62" t="s">
        <v>24498</v>
      </c>
      <c r="M1935" s="62" t="s">
        <v>24499</v>
      </c>
      <c r="N1935" s="62" t="s">
        <v>24500</v>
      </c>
      <c r="O1935" s="62" t="s">
        <v>24501</v>
      </c>
      <c r="P1935" s="62" t="s">
        <v>51593</v>
      </c>
      <c r="Q1935" s="62" t="s">
        <v>24502</v>
      </c>
      <c r="R1935" s="62" t="s">
        <v>24503</v>
      </c>
      <c r="S1935" s="62" t="s">
        <v>24504</v>
      </c>
      <c r="U1935" s="62" t="s">
        <v>24505</v>
      </c>
      <c r="V1935" s="62" t="s">
        <v>51624</v>
      </c>
      <c r="W1935" s="62" t="s">
        <v>24506</v>
      </c>
      <c r="X1935" s="62" t="s">
        <v>24507</v>
      </c>
      <c r="Y1935" s="62" t="s">
        <v>24508</v>
      </c>
      <c r="Z1935" s="62" t="s">
        <v>24509</v>
      </c>
      <c r="AA1935" s="62" t="s">
        <v>51655</v>
      </c>
      <c r="AB1935" s="62" t="s">
        <v>24510</v>
      </c>
      <c r="AC1935" s="62" t="s">
        <v>24511</v>
      </c>
      <c r="AD1935" s="62" t="s">
        <v>24512</v>
      </c>
    </row>
    <row r="1936" spans="1:30" x14ac:dyDescent="0.25">
      <c r="A1936" s="62" t="s">
        <v>109</v>
      </c>
      <c r="C1936" s="62" t="s">
        <v>24513</v>
      </c>
      <c r="F1936" s="62" t="s">
        <v>2337</v>
      </c>
      <c r="G1936" s="62" t="s">
        <v>51532</v>
      </c>
      <c r="J1936" s="62" t="s">
        <v>24514</v>
      </c>
      <c r="K1936" s="62" t="s">
        <v>51563</v>
      </c>
      <c r="L1936" s="62" t="s">
        <v>24515</v>
      </c>
      <c r="M1936" s="62" t="s">
        <v>24516</v>
      </c>
      <c r="N1936" s="62" t="s">
        <v>24517</v>
      </c>
      <c r="O1936" s="62" t="s">
        <v>24518</v>
      </c>
      <c r="P1936" s="62" t="s">
        <v>51594</v>
      </c>
      <c r="Q1936" s="62" t="s">
        <v>24519</v>
      </c>
      <c r="R1936" s="62" t="s">
        <v>24520</v>
      </c>
      <c r="S1936" s="62" t="s">
        <v>24521</v>
      </c>
      <c r="U1936" s="62" t="s">
        <v>24522</v>
      </c>
      <c r="V1936" s="62" t="s">
        <v>51625</v>
      </c>
      <c r="W1936" s="62" t="s">
        <v>24523</v>
      </c>
      <c r="X1936" s="62" t="s">
        <v>24524</v>
      </c>
      <c r="Y1936" s="62" t="s">
        <v>24525</v>
      </c>
      <c r="Z1936" s="62" t="s">
        <v>24526</v>
      </c>
      <c r="AA1936" s="62" t="s">
        <v>51656</v>
      </c>
      <c r="AB1936" s="62" t="s">
        <v>24527</v>
      </c>
      <c r="AC1936" s="62" t="s">
        <v>24528</v>
      </c>
      <c r="AD1936" s="62" t="s">
        <v>24529</v>
      </c>
    </row>
    <row r="1937" spans="1:30" x14ac:dyDescent="0.25">
      <c r="A1937" s="62" t="s">
        <v>109</v>
      </c>
      <c r="C1937" s="62" t="s">
        <v>24530</v>
      </c>
      <c r="F1937" s="62" t="s">
        <v>10559</v>
      </c>
      <c r="G1937" s="62" t="s">
        <v>51533</v>
      </c>
      <c r="J1937" s="62" t="s">
        <v>24531</v>
      </c>
      <c r="K1937" s="62" t="s">
        <v>51564</v>
      </c>
      <c r="L1937" s="62" t="s">
        <v>24532</v>
      </c>
      <c r="M1937" s="62" t="s">
        <v>24533</v>
      </c>
      <c r="N1937" s="62" t="s">
        <v>24534</v>
      </c>
      <c r="O1937" s="62" t="s">
        <v>24535</v>
      </c>
      <c r="P1937" s="62" t="s">
        <v>51595</v>
      </c>
      <c r="Q1937" s="62" t="s">
        <v>24536</v>
      </c>
      <c r="R1937" s="62" t="s">
        <v>24537</v>
      </c>
      <c r="S1937" s="62" t="s">
        <v>24538</v>
      </c>
      <c r="U1937" s="62" t="s">
        <v>24539</v>
      </c>
      <c r="V1937" s="62" t="s">
        <v>51626</v>
      </c>
      <c r="W1937" s="62" t="s">
        <v>24540</v>
      </c>
      <c r="X1937" s="62" t="s">
        <v>24541</v>
      </c>
      <c r="Y1937" s="62" t="s">
        <v>24542</v>
      </c>
      <c r="Z1937" s="62" t="s">
        <v>24543</v>
      </c>
      <c r="AA1937" s="62" t="s">
        <v>51657</v>
      </c>
      <c r="AB1937" s="62" t="s">
        <v>24544</v>
      </c>
      <c r="AC1937" s="62" t="s">
        <v>24545</v>
      </c>
      <c r="AD1937" s="62" t="s">
        <v>24546</v>
      </c>
    </row>
    <row r="1938" spans="1:30" x14ac:dyDescent="0.25">
      <c r="A1938" s="62" t="s">
        <v>109</v>
      </c>
      <c r="C1938" s="62" t="s">
        <v>24547</v>
      </c>
      <c r="F1938" s="62" t="s">
        <v>10667</v>
      </c>
      <c r="G1938" s="62" t="s">
        <v>51534</v>
      </c>
      <c r="J1938" s="62" t="s">
        <v>24548</v>
      </c>
      <c r="K1938" s="62" t="s">
        <v>51565</v>
      </c>
      <c r="L1938" s="62" t="s">
        <v>24549</v>
      </c>
      <c r="M1938" s="62" t="s">
        <v>24550</v>
      </c>
      <c r="N1938" s="62" t="s">
        <v>24551</v>
      </c>
      <c r="O1938" s="62" t="s">
        <v>24552</v>
      </c>
      <c r="P1938" s="62" t="s">
        <v>51596</v>
      </c>
      <c r="Q1938" s="62" t="s">
        <v>24553</v>
      </c>
      <c r="R1938" s="62" t="s">
        <v>24554</v>
      </c>
      <c r="S1938" s="62" t="s">
        <v>24555</v>
      </c>
      <c r="U1938" s="62" t="s">
        <v>24556</v>
      </c>
      <c r="V1938" s="62" t="s">
        <v>51627</v>
      </c>
      <c r="W1938" s="62" t="s">
        <v>24557</v>
      </c>
      <c r="X1938" s="62" t="s">
        <v>24558</v>
      </c>
      <c r="Y1938" s="62" t="s">
        <v>24559</v>
      </c>
      <c r="Z1938" s="62" t="s">
        <v>24560</v>
      </c>
      <c r="AA1938" s="62" t="s">
        <v>51658</v>
      </c>
      <c r="AB1938" s="62" t="s">
        <v>24561</v>
      </c>
      <c r="AC1938" s="62" t="s">
        <v>24562</v>
      </c>
      <c r="AD1938" s="62" t="s">
        <v>24563</v>
      </c>
    </row>
    <row r="1939" spans="1:30" x14ac:dyDescent="0.25">
      <c r="A1939" s="62" t="s">
        <v>109</v>
      </c>
      <c r="C1939" s="62" t="s">
        <v>24564</v>
      </c>
      <c r="F1939" s="62" t="s">
        <v>10685</v>
      </c>
      <c r="G1939" s="62" t="s">
        <v>51535</v>
      </c>
      <c r="J1939" s="62" t="s">
        <v>24565</v>
      </c>
      <c r="K1939" s="62" t="s">
        <v>51566</v>
      </c>
      <c r="L1939" s="62" t="s">
        <v>24566</v>
      </c>
      <c r="M1939" s="62" t="s">
        <v>24567</v>
      </c>
      <c r="N1939" s="62" t="s">
        <v>24568</v>
      </c>
      <c r="O1939" s="62" t="s">
        <v>24569</v>
      </c>
      <c r="P1939" s="62" t="s">
        <v>51597</v>
      </c>
      <c r="Q1939" s="62" t="s">
        <v>24570</v>
      </c>
      <c r="R1939" s="62" t="s">
        <v>24571</v>
      </c>
      <c r="S1939" s="62" t="s">
        <v>24572</v>
      </c>
      <c r="U1939" s="62" t="s">
        <v>24573</v>
      </c>
      <c r="V1939" s="62" t="s">
        <v>51628</v>
      </c>
      <c r="W1939" s="62" t="s">
        <v>24574</v>
      </c>
      <c r="X1939" s="62" t="s">
        <v>24575</v>
      </c>
      <c r="Y1939" s="62" t="s">
        <v>24576</v>
      </c>
      <c r="Z1939" s="62" t="s">
        <v>24577</v>
      </c>
      <c r="AA1939" s="62" t="s">
        <v>51659</v>
      </c>
      <c r="AB1939" s="62" t="s">
        <v>24578</v>
      </c>
      <c r="AC1939" s="62" t="s">
        <v>24579</v>
      </c>
      <c r="AD1939" s="62" t="s">
        <v>24580</v>
      </c>
    </row>
    <row r="1940" spans="1:30" x14ac:dyDescent="0.25">
      <c r="A1940" s="62" t="s">
        <v>109</v>
      </c>
      <c r="C1940" s="62" t="s">
        <v>24581</v>
      </c>
      <c r="F1940" s="62" t="s">
        <v>10757</v>
      </c>
      <c r="G1940" s="62" t="s">
        <v>51536</v>
      </c>
      <c r="J1940" s="62" t="s">
        <v>24582</v>
      </c>
      <c r="K1940" s="62" t="s">
        <v>51567</v>
      </c>
      <c r="L1940" s="62" t="s">
        <v>24583</v>
      </c>
      <c r="M1940" s="62" t="s">
        <v>24584</v>
      </c>
      <c r="N1940" s="62" t="s">
        <v>24585</v>
      </c>
      <c r="O1940" s="62" t="s">
        <v>24586</v>
      </c>
      <c r="P1940" s="62" t="s">
        <v>51598</v>
      </c>
      <c r="Q1940" s="62" t="s">
        <v>24587</v>
      </c>
      <c r="R1940" s="62" t="s">
        <v>24588</v>
      </c>
      <c r="S1940" s="62" t="s">
        <v>24589</v>
      </c>
      <c r="U1940" s="62" t="s">
        <v>24590</v>
      </c>
      <c r="V1940" s="62" t="s">
        <v>51629</v>
      </c>
      <c r="W1940" s="62" t="s">
        <v>24591</v>
      </c>
      <c r="X1940" s="62" t="s">
        <v>24592</v>
      </c>
      <c r="Y1940" s="62" t="s">
        <v>24593</v>
      </c>
      <c r="Z1940" s="62" t="s">
        <v>24594</v>
      </c>
      <c r="AA1940" s="62" t="s">
        <v>51660</v>
      </c>
      <c r="AB1940" s="62" t="s">
        <v>24595</v>
      </c>
      <c r="AC1940" s="62" t="s">
        <v>24596</v>
      </c>
      <c r="AD1940" s="62" t="s">
        <v>24597</v>
      </c>
    </row>
    <row r="1941" spans="1:30" x14ac:dyDescent="0.25">
      <c r="A1941" s="62" t="s">
        <v>109</v>
      </c>
      <c r="C1941" s="62" t="s">
        <v>24598</v>
      </c>
      <c r="F1941" s="62" t="s">
        <v>10829</v>
      </c>
      <c r="G1941" s="62" t="s">
        <v>51537</v>
      </c>
      <c r="J1941" s="62" t="s">
        <v>24599</v>
      </c>
      <c r="K1941" s="62" t="s">
        <v>51568</v>
      </c>
      <c r="L1941" s="62" t="s">
        <v>24600</v>
      </c>
      <c r="M1941" s="62" t="s">
        <v>24601</v>
      </c>
      <c r="N1941" s="62" t="s">
        <v>24602</v>
      </c>
      <c r="O1941" s="62" t="s">
        <v>24603</v>
      </c>
      <c r="P1941" s="62" t="s">
        <v>51599</v>
      </c>
      <c r="Q1941" s="62" t="s">
        <v>24604</v>
      </c>
      <c r="R1941" s="62" t="s">
        <v>24605</v>
      </c>
      <c r="S1941" s="62" t="s">
        <v>24606</v>
      </c>
      <c r="U1941" s="62" t="s">
        <v>24607</v>
      </c>
      <c r="V1941" s="62" t="s">
        <v>51630</v>
      </c>
      <c r="W1941" s="62" t="s">
        <v>24608</v>
      </c>
      <c r="X1941" s="62" t="s">
        <v>24609</v>
      </c>
      <c r="Y1941" s="62" t="s">
        <v>24610</v>
      </c>
      <c r="Z1941" s="62" t="s">
        <v>24611</v>
      </c>
      <c r="AA1941" s="62" t="s">
        <v>51661</v>
      </c>
      <c r="AB1941" s="62" t="s">
        <v>24612</v>
      </c>
      <c r="AC1941" s="62" t="s">
        <v>24613</v>
      </c>
      <c r="AD1941" s="62" t="s">
        <v>24614</v>
      </c>
    </row>
    <row r="1942" spans="1:30" x14ac:dyDescent="0.25">
      <c r="A1942" s="62" t="s">
        <v>109</v>
      </c>
      <c r="C1942" s="62" t="s">
        <v>24615</v>
      </c>
      <c r="F1942" s="62" t="s">
        <v>13236</v>
      </c>
      <c r="G1942" s="62" t="s">
        <v>51538</v>
      </c>
      <c r="J1942" s="62" t="s">
        <v>24616</v>
      </c>
      <c r="K1942" s="62" t="s">
        <v>51569</v>
      </c>
      <c r="L1942" s="62" t="s">
        <v>24617</v>
      </c>
      <c r="M1942" s="62" t="s">
        <v>24618</v>
      </c>
      <c r="N1942" s="62" t="s">
        <v>24619</v>
      </c>
      <c r="O1942" s="62" t="s">
        <v>24620</v>
      </c>
      <c r="P1942" s="62" t="s">
        <v>51600</v>
      </c>
      <c r="Q1942" s="62" t="s">
        <v>24621</v>
      </c>
      <c r="R1942" s="62" t="s">
        <v>24622</v>
      </c>
      <c r="S1942" s="62" t="s">
        <v>24623</v>
      </c>
      <c r="U1942" s="62" t="s">
        <v>24624</v>
      </c>
      <c r="V1942" s="62" t="s">
        <v>51631</v>
      </c>
      <c r="W1942" s="62" t="s">
        <v>24625</v>
      </c>
      <c r="X1942" s="62" t="s">
        <v>24626</v>
      </c>
      <c r="Y1942" s="62" t="s">
        <v>24627</v>
      </c>
      <c r="Z1942" s="62" t="s">
        <v>24628</v>
      </c>
      <c r="AA1942" s="62" t="s">
        <v>51662</v>
      </c>
      <c r="AB1942" s="62" t="s">
        <v>24629</v>
      </c>
      <c r="AC1942" s="62" t="s">
        <v>24630</v>
      </c>
      <c r="AD1942" s="62" t="s">
        <v>24631</v>
      </c>
    </row>
    <row r="1943" spans="1:30" x14ac:dyDescent="0.25">
      <c r="A1943" s="62" t="s">
        <v>109</v>
      </c>
      <c r="C1943" s="62" t="s">
        <v>24632</v>
      </c>
      <c r="F1943" s="62" t="s">
        <v>10865</v>
      </c>
      <c r="G1943" s="62" t="s">
        <v>51539</v>
      </c>
      <c r="J1943" s="62" t="s">
        <v>24633</v>
      </c>
      <c r="K1943" s="62" t="s">
        <v>51570</v>
      </c>
      <c r="L1943" s="62" t="s">
        <v>24634</v>
      </c>
      <c r="M1943" s="62" t="s">
        <v>24635</v>
      </c>
      <c r="N1943" s="62" t="s">
        <v>24636</v>
      </c>
      <c r="O1943" s="62" t="s">
        <v>24637</v>
      </c>
      <c r="P1943" s="62" t="s">
        <v>51601</v>
      </c>
      <c r="Q1943" s="62" t="s">
        <v>24638</v>
      </c>
      <c r="R1943" s="62" t="s">
        <v>24639</v>
      </c>
      <c r="S1943" s="62" t="s">
        <v>24640</v>
      </c>
      <c r="U1943" s="62" t="s">
        <v>24641</v>
      </c>
      <c r="V1943" s="62" t="s">
        <v>51632</v>
      </c>
      <c r="W1943" s="62" t="s">
        <v>24642</v>
      </c>
      <c r="X1943" s="62" t="s">
        <v>24643</v>
      </c>
      <c r="Y1943" s="62" t="s">
        <v>24644</v>
      </c>
      <c r="Z1943" s="62" t="s">
        <v>24645</v>
      </c>
      <c r="AA1943" s="62" t="s">
        <v>51663</v>
      </c>
      <c r="AB1943" s="62" t="s">
        <v>24646</v>
      </c>
      <c r="AC1943" s="62" t="s">
        <v>24647</v>
      </c>
      <c r="AD1943" s="62" t="s">
        <v>24648</v>
      </c>
    </row>
    <row r="1944" spans="1:30" x14ac:dyDescent="0.25">
      <c r="A1944" s="62" t="s">
        <v>109</v>
      </c>
      <c r="C1944" s="62" t="s">
        <v>24649</v>
      </c>
      <c r="F1944" s="62" t="s">
        <v>1152</v>
      </c>
      <c r="G1944" s="62" t="s">
        <v>51540</v>
      </c>
      <c r="J1944" s="62" t="s">
        <v>24650</v>
      </c>
      <c r="K1944" s="62" t="s">
        <v>51571</v>
      </c>
      <c r="L1944" s="62" t="s">
        <v>24651</v>
      </c>
      <c r="M1944" s="62" t="s">
        <v>24652</v>
      </c>
      <c r="N1944" s="62" t="s">
        <v>24653</v>
      </c>
      <c r="O1944" s="62" t="s">
        <v>24654</v>
      </c>
      <c r="P1944" s="62" t="s">
        <v>51602</v>
      </c>
      <c r="Q1944" s="62" t="s">
        <v>24655</v>
      </c>
      <c r="R1944" s="62" t="s">
        <v>24656</v>
      </c>
      <c r="S1944" s="62" t="s">
        <v>24657</v>
      </c>
      <c r="U1944" s="62" t="s">
        <v>24658</v>
      </c>
      <c r="V1944" s="62" t="s">
        <v>51633</v>
      </c>
      <c r="W1944" s="62" t="s">
        <v>24659</v>
      </c>
      <c r="X1944" s="62" t="s">
        <v>24660</v>
      </c>
      <c r="Y1944" s="62" t="s">
        <v>24661</v>
      </c>
      <c r="Z1944" s="62" t="s">
        <v>24662</v>
      </c>
      <c r="AA1944" s="62" t="s">
        <v>51664</v>
      </c>
      <c r="AB1944" s="62" t="s">
        <v>24663</v>
      </c>
      <c r="AC1944" s="62" t="s">
        <v>24664</v>
      </c>
      <c r="AD1944" s="62" t="s">
        <v>24665</v>
      </c>
    </row>
    <row r="1945" spans="1:30" x14ac:dyDescent="0.25">
      <c r="A1945" s="62" t="s">
        <v>109</v>
      </c>
      <c r="C1945" s="62" t="s">
        <v>24666</v>
      </c>
      <c r="F1945" s="62" t="s">
        <v>1286</v>
      </c>
      <c r="G1945" s="62" t="s">
        <v>51541</v>
      </c>
      <c r="J1945" s="62" t="s">
        <v>24667</v>
      </c>
      <c r="K1945" s="62" t="s">
        <v>51572</v>
      </c>
      <c r="L1945" s="62" t="s">
        <v>24668</v>
      </c>
      <c r="M1945" s="62" t="s">
        <v>24669</v>
      </c>
      <c r="N1945" s="62" t="s">
        <v>24670</v>
      </c>
      <c r="O1945" s="62" t="s">
        <v>24671</v>
      </c>
      <c r="P1945" s="62" t="s">
        <v>51603</v>
      </c>
      <c r="Q1945" s="62" t="s">
        <v>24672</v>
      </c>
      <c r="R1945" s="62" t="s">
        <v>24673</v>
      </c>
      <c r="S1945" s="62" t="s">
        <v>24674</v>
      </c>
      <c r="U1945" s="62" t="s">
        <v>24675</v>
      </c>
      <c r="V1945" s="62" t="s">
        <v>51634</v>
      </c>
      <c r="W1945" s="62" t="s">
        <v>24676</v>
      </c>
      <c r="X1945" s="62" t="s">
        <v>24677</v>
      </c>
      <c r="Y1945" s="62" t="s">
        <v>24678</v>
      </c>
      <c r="Z1945" s="62" t="s">
        <v>24679</v>
      </c>
      <c r="AA1945" s="62" t="s">
        <v>51665</v>
      </c>
      <c r="AB1945" s="62" t="s">
        <v>24680</v>
      </c>
      <c r="AC1945" s="62" t="s">
        <v>24681</v>
      </c>
      <c r="AD1945" s="62" t="s">
        <v>24682</v>
      </c>
    </row>
    <row r="1946" spans="1:30" x14ac:dyDescent="0.25">
      <c r="A1946" s="62" t="s">
        <v>109</v>
      </c>
      <c r="C1946" s="62" t="s">
        <v>24683</v>
      </c>
      <c r="F1946" s="62" t="s">
        <v>1797</v>
      </c>
      <c r="G1946" s="62" t="s">
        <v>51542</v>
      </c>
      <c r="J1946" s="62" t="s">
        <v>24684</v>
      </c>
      <c r="K1946" s="62" t="s">
        <v>51573</v>
      </c>
      <c r="L1946" s="62" t="s">
        <v>24685</v>
      </c>
      <c r="M1946" s="62" t="s">
        <v>24686</v>
      </c>
      <c r="N1946" s="62" t="s">
        <v>24687</v>
      </c>
      <c r="O1946" s="62" t="s">
        <v>24688</v>
      </c>
      <c r="P1946" s="62" t="s">
        <v>51604</v>
      </c>
      <c r="Q1946" s="62" t="s">
        <v>24689</v>
      </c>
      <c r="R1946" s="62" t="s">
        <v>24690</v>
      </c>
      <c r="S1946" s="62" t="s">
        <v>24691</v>
      </c>
      <c r="U1946" s="62" t="s">
        <v>24692</v>
      </c>
      <c r="V1946" s="62" t="s">
        <v>51635</v>
      </c>
      <c r="W1946" s="62" t="s">
        <v>24693</v>
      </c>
      <c r="X1946" s="62" t="s">
        <v>24694</v>
      </c>
      <c r="Y1946" s="62" t="s">
        <v>24695</v>
      </c>
      <c r="Z1946" s="62" t="s">
        <v>24696</v>
      </c>
      <c r="AA1946" s="62" t="s">
        <v>51666</v>
      </c>
      <c r="AB1946" s="62" t="s">
        <v>24697</v>
      </c>
      <c r="AC1946" s="62" t="s">
        <v>24698</v>
      </c>
      <c r="AD1946" s="62" t="s">
        <v>24699</v>
      </c>
    </row>
    <row r="1947" spans="1:30" x14ac:dyDescent="0.25">
      <c r="A1947" s="62" t="s">
        <v>109</v>
      </c>
      <c r="C1947" s="62" t="s">
        <v>24700</v>
      </c>
      <c r="F1947" s="62" t="s">
        <v>31043</v>
      </c>
      <c r="G1947" s="62" t="s">
        <v>51543</v>
      </c>
      <c r="J1947" s="62" t="s">
        <v>24701</v>
      </c>
      <c r="K1947" s="62" t="s">
        <v>51574</v>
      </c>
      <c r="L1947" s="62" t="s">
        <v>24702</v>
      </c>
      <c r="M1947" s="62" t="s">
        <v>24703</v>
      </c>
      <c r="N1947" s="62" t="s">
        <v>24704</v>
      </c>
      <c r="O1947" s="62" t="s">
        <v>24705</v>
      </c>
      <c r="P1947" s="62" t="s">
        <v>51605</v>
      </c>
      <c r="Q1947" s="62" t="s">
        <v>24706</v>
      </c>
      <c r="R1947" s="62" t="s">
        <v>24707</v>
      </c>
      <c r="S1947" s="62" t="s">
        <v>24708</v>
      </c>
      <c r="U1947" s="62" t="s">
        <v>24709</v>
      </c>
      <c r="V1947" s="62" t="s">
        <v>51636</v>
      </c>
      <c r="W1947" s="62" t="s">
        <v>24710</v>
      </c>
      <c r="X1947" s="62" t="s">
        <v>24711</v>
      </c>
      <c r="Y1947" s="62" t="s">
        <v>24712</v>
      </c>
      <c r="Z1947" s="62" t="s">
        <v>24713</v>
      </c>
      <c r="AA1947" s="62" t="s">
        <v>51667</v>
      </c>
      <c r="AB1947" s="62" t="s">
        <v>24714</v>
      </c>
      <c r="AC1947" s="62" t="s">
        <v>24715</v>
      </c>
      <c r="AD1947" s="62" t="s">
        <v>24716</v>
      </c>
    </row>
    <row r="1948" spans="1:30" x14ac:dyDescent="0.25">
      <c r="A1948" s="62" t="s">
        <v>109</v>
      </c>
      <c r="C1948" s="62" t="s">
        <v>24717</v>
      </c>
      <c r="F1948" s="62" t="s">
        <v>24015</v>
      </c>
      <c r="G1948" s="62" t="s">
        <v>51544</v>
      </c>
      <c r="J1948" s="62" t="s">
        <v>24718</v>
      </c>
      <c r="K1948" s="62" t="s">
        <v>51575</v>
      </c>
      <c r="L1948" s="62" t="s">
        <v>24719</v>
      </c>
      <c r="M1948" s="62" t="s">
        <v>24720</v>
      </c>
      <c r="N1948" s="62" t="s">
        <v>24721</v>
      </c>
      <c r="O1948" s="62" t="s">
        <v>24722</v>
      </c>
      <c r="P1948" s="62" t="s">
        <v>51606</v>
      </c>
      <c r="Q1948" s="62" t="s">
        <v>24723</v>
      </c>
      <c r="R1948" s="62" t="s">
        <v>24724</v>
      </c>
      <c r="S1948" s="62" t="s">
        <v>24725</v>
      </c>
      <c r="U1948" s="62" t="s">
        <v>24726</v>
      </c>
      <c r="V1948" s="62" t="s">
        <v>51637</v>
      </c>
      <c r="W1948" s="62" t="s">
        <v>24727</v>
      </c>
      <c r="X1948" s="62" t="s">
        <v>24728</v>
      </c>
      <c r="Y1948" s="62" t="s">
        <v>24729</v>
      </c>
      <c r="Z1948" s="62" t="s">
        <v>24730</v>
      </c>
      <c r="AA1948" s="62" t="s">
        <v>51668</v>
      </c>
      <c r="AB1948" s="62" t="s">
        <v>24731</v>
      </c>
      <c r="AC1948" s="62" t="s">
        <v>24732</v>
      </c>
      <c r="AD1948" s="62" t="s">
        <v>24733</v>
      </c>
    </row>
    <row r="1949" spans="1:30" x14ac:dyDescent="0.25">
      <c r="A1949" s="62" t="s">
        <v>109</v>
      </c>
      <c r="C1949" s="62" t="s">
        <v>24734</v>
      </c>
      <c r="F1949" s="62" t="s">
        <v>10959</v>
      </c>
      <c r="G1949" s="62" t="s">
        <v>51545</v>
      </c>
      <c r="J1949" s="62" t="s">
        <v>24735</v>
      </c>
      <c r="K1949" s="62" t="s">
        <v>51576</v>
      </c>
      <c r="L1949" s="62" t="s">
        <v>24736</v>
      </c>
      <c r="M1949" s="62" t="s">
        <v>24737</v>
      </c>
      <c r="N1949" s="62" t="s">
        <v>24738</v>
      </c>
      <c r="O1949" s="62" t="s">
        <v>24739</v>
      </c>
      <c r="P1949" s="62" t="s">
        <v>51607</v>
      </c>
      <c r="Q1949" s="62" t="s">
        <v>24740</v>
      </c>
      <c r="R1949" s="62" t="s">
        <v>24741</v>
      </c>
      <c r="S1949" s="62" t="s">
        <v>24742</v>
      </c>
      <c r="U1949" s="62" t="s">
        <v>24743</v>
      </c>
      <c r="V1949" s="62" t="s">
        <v>51638</v>
      </c>
      <c r="W1949" s="62" t="s">
        <v>24744</v>
      </c>
      <c r="X1949" s="62" t="s">
        <v>24745</v>
      </c>
      <c r="Y1949" s="62" t="s">
        <v>24746</v>
      </c>
      <c r="Z1949" s="62" t="s">
        <v>24747</v>
      </c>
      <c r="AA1949" s="62" t="s">
        <v>51669</v>
      </c>
      <c r="AB1949" s="62" t="s">
        <v>24748</v>
      </c>
      <c r="AC1949" s="62" t="s">
        <v>24749</v>
      </c>
      <c r="AD1949" s="62" t="s">
        <v>24750</v>
      </c>
    </row>
    <row r="1950" spans="1:30" x14ac:dyDescent="0.25">
      <c r="A1950" s="62" t="s">
        <v>109</v>
      </c>
      <c r="C1950" s="62" t="s">
        <v>24751</v>
      </c>
      <c r="F1950" s="62" t="s">
        <v>26699</v>
      </c>
      <c r="G1950" s="62" t="s">
        <v>51546</v>
      </c>
      <c r="J1950" s="62" t="s">
        <v>24752</v>
      </c>
      <c r="K1950" s="62" t="s">
        <v>51577</v>
      </c>
      <c r="L1950" s="62" t="s">
        <v>24753</v>
      </c>
      <c r="M1950" s="62" t="s">
        <v>24754</v>
      </c>
      <c r="N1950" s="62" t="s">
        <v>24755</v>
      </c>
      <c r="O1950" s="62" t="s">
        <v>24756</v>
      </c>
      <c r="P1950" s="62" t="s">
        <v>51608</v>
      </c>
      <c r="Q1950" s="62" t="s">
        <v>24757</v>
      </c>
      <c r="R1950" s="62" t="s">
        <v>24758</v>
      </c>
      <c r="S1950" s="62" t="s">
        <v>24759</v>
      </c>
      <c r="U1950" s="62" t="s">
        <v>24760</v>
      </c>
      <c r="V1950" s="62" t="s">
        <v>51639</v>
      </c>
      <c r="W1950" s="62" t="s">
        <v>24761</v>
      </c>
      <c r="X1950" s="62" t="s">
        <v>24762</v>
      </c>
      <c r="Y1950" s="62" t="s">
        <v>24763</v>
      </c>
      <c r="Z1950" s="62" t="s">
        <v>24764</v>
      </c>
      <c r="AA1950" s="62" t="s">
        <v>51670</v>
      </c>
      <c r="AB1950" s="62" t="s">
        <v>24765</v>
      </c>
      <c r="AC1950" s="62" t="s">
        <v>24766</v>
      </c>
      <c r="AD1950" s="62" t="s">
        <v>24767</v>
      </c>
    </row>
    <row r="1951" spans="1:30" x14ac:dyDescent="0.25">
      <c r="A1951" s="62" t="s">
        <v>109</v>
      </c>
      <c r="C1951" s="62" t="s">
        <v>24768</v>
      </c>
      <c r="F1951" s="62" t="s">
        <v>22289</v>
      </c>
      <c r="G1951" s="62" t="s">
        <v>51547</v>
      </c>
      <c r="J1951" s="62" t="s">
        <v>24769</v>
      </c>
      <c r="K1951" s="62" t="s">
        <v>51578</v>
      </c>
      <c r="L1951" s="62" t="s">
        <v>24770</v>
      </c>
      <c r="M1951" s="62" t="s">
        <v>24771</v>
      </c>
      <c r="N1951" s="62" t="s">
        <v>24772</v>
      </c>
      <c r="O1951" s="62" t="s">
        <v>24773</v>
      </c>
      <c r="P1951" s="62" t="s">
        <v>51609</v>
      </c>
      <c r="Q1951" s="62" t="s">
        <v>24774</v>
      </c>
      <c r="R1951" s="62" t="s">
        <v>24775</v>
      </c>
      <c r="S1951" s="62" t="s">
        <v>24776</v>
      </c>
      <c r="U1951" s="62" t="s">
        <v>24777</v>
      </c>
      <c r="V1951" s="62" t="s">
        <v>51640</v>
      </c>
      <c r="W1951" s="62" t="s">
        <v>24778</v>
      </c>
      <c r="X1951" s="62" t="s">
        <v>24779</v>
      </c>
      <c r="Y1951" s="62" t="s">
        <v>24780</v>
      </c>
      <c r="Z1951" s="62" t="s">
        <v>24781</v>
      </c>
      <c r="AA1951" s="62" t="s">
        <v>51671</v>
      </c>
      <c r="AB1951" s="62" t="s">
        <v>24782</v>
      </c>
      <c r="AC1951" s="62" t="s">
        <v>24783</v>
      </c>
      <c r="AD1951" s="62" t="s">
        <v>24784</v>
      </c>
    </row>
    <row r="1952" spans="1:30" x14ac:dyDescent="0.25">
      <c r="A1952" s="62" t="s">
        <v>109</v>
      </c>
      <c r="C1952" s="62" t="s">
        <v>24275</v>
      </c>
    </row>
    <row r="1953" spans="1:30" x14ac:dyDescent="0.25">
      <c r="A1953" s="62" t="s">
        <v>109</v>
      </c>
      <c r="C1953" s="62" t="s">
        <v>24785</v>
      </c>
      <c r="G1953" s="62" t="s">
        <v>44313</v>
      </c>
      <c r="J1953" s="62" t="s">
        <v>44314</v>
      </c>
      <c r="K1953" s="62" t="s">
        <v>44315</v>
      </c>
      <c r="L1953" s="62" t="s">
        <v>44316</v>
      </c>
      <c r="M1953" s="62" t="s">
        <v>24786</v>
      </c>
      <c r="N1953" s="62" t="s">
        <v>24787</v>
      </c>
      <c r="O1953" s="62" t="s">
        <v>44317</v>
      </c>
      <c r="P1953" s="62" t="s">
        <v>44318</v>
      </c>
      <c r="Q1953" s="62" t="s">
        <v>44319</v>
      </c>
      <c r="R1953" s="62" t="s">
        <v>24788</v>
      </c>
      <c r="S1953" s="62" t="s">
        <v>24789</v>
      </c>
      <c r="U1953" s="62" t="s">
        <v>44320</v>
      </c>
      <c r="V1953" s="62" t="s">
        <v>44321</v>
      </c>
      <c r="W1953" s="62" t="s">
        <v>44322</v>
      </c>
      <c r="X1953" s="62" t="s">
        <v>24790</v>
      </c>
      <c r="Y1953" s="62" t="s">
        <v>24791</v>
      </c>
      <c r="Z1953" s="62" t="s">
        <v>44323</v>
      </c>
      <c r="AA1953" s="62" t="s">
        <v>44324</v>
      </c>
      <c r="AB1953" s="62" t="s">
        <v>44325</v>
      </c>
      <c r="AC1953" s="62" t="s">
        <v>24792</v>
      </c>
      <c r="AD1953" s="62" t="s">
        <v>24793</v>
      </c>
    </row>
    <row r="1954" spans="1:30" x14ac:dyDescent="0.25">
      <c r="A1954" s="62" t="s">
        <v>109</v>
      </c>
    </row>
    <row r="1955" spans="1:30" x14ac:dyDescent="0.25">
      <c r="A1955" s="62" t="s">
        <v>109</v>
      </c>
      <c r="C1955" s="62" t="s">
        <v>44326</v>
      </c>
      <c r="E1955" s="62" t="s">
        <v>31378</v>
      </c>
      <c r="G1955" s="62" t="s">
        <v>44327</v>
      </c>
    </row>
    <row r="1956" spans="1:30" x14ac:dyDescent="0.25">
      <c r="A1956" s="62" t="s">
        <v>109</v>
      </c>
      <c r="C1956" s="62" t="s">
        <v>44328</v>
      </c>
    </row>
    <row r="1957" spans="1:30" x14ac:dyDescent="0.25">
      <c r="A1957" s="62" t="s">
        <v>109</v>
      </c>
      <c r="C1957" s="62" t="s">
        <v>24794</v>
      </c>
      <c r="F1957" s="62" t="s">
        <v>44329</v>
      </c>
      <c r="G1957" s="62" t="s">
        <v>51362</v>
      </c>
      <c r="J1957" s="62" t="s">
        <v>44330</v>
      </c>
      <c r="K1957" s="62" t="s">
        <v>51393</v>
      </c>
      <c r="L1957" s="62" t="s">
        <v>44331</v>
      </c>
      <c r="M1957" s="62" t="s">
        <v>24795</v>
      </c>
      <c r="N1957" s="62" t="s">
        <v>24796</v>
      </c>
      <c r="O1957" s="62" t="s">
        <v>44332</v>
      </c>
      <c r="P1957" s="62" t="s">
        <v>51424</v>
      </c>
      <c r="Q1957" s="62" t="s">
        <v>44333</v>
      </c>
      <c r="R1957" s="62" t="s">
        <v>24797</v>
      </c>
      <c r="S1957" s="62" t="s">
        <v>24798</v>
      </c>
      <c r="U1957" s="62" t="s">
        <v>44334</v>
      </c>
      <c r="V1957" s="62" t="s">
        <v>51455</v>
      </c>
      <c r="W1957" s="62" t="s">
        <v>44335</v>
      </c>
      <c r="X1957" s="62" t="s">
        <v>24799</v>
      </c>
      <c r="Y1957" s="62" t="s">
        <v>24800</v>
      </c>
      <c r="Z1957" s="62" t="s">
        <v>44336</v>
      </c>
      <c r="AA1957" s="62" t="s">
        <v>51486</v>
      </c>
      <c r="AB1957" s="62" t="s">
        <v>44337</v>
      </c>
      <c r="AC1957" s="62" t="s">
        <v>24801</v>
      </c>
      <c r="AD1957" s="62" t="s">
        <v>24802</v>
      </c>
    </row>
    <row r="1958" spans="1:30" x14ac:dyDescent="0.25">
      <c r="A1958" s="62" t="s">
        <v>109</v>
      </c>
      <c r="C1958" s="62" t="s">
        <v>44338</v>
      </c>
      <c r="F1958" s="62" t="s">
        <v>254</v>
      </c>
      <c r="G1958" s="62" t="s">
        <v>51363</v>
      </c>
      <c r="J1958" s="62" t="s">
        <v>44339</v>
      </c>
      <c r="K1958" s="62" t="s">
        <v>51394</v>
      </c>
      <c r="L1958" s="62" t="s">
        <v>44340</v>
      </c>
      <c r="M1958" s="62" t="s">
        <v>44341</v>
      </c>
      <c r="N1958" s="62" t="s">
        <v>44342</v>
      </c>
      <c r="O1958" s="62" t="s">
        <v>44343</v>
      </c>
      <c r="P1958" s="62" t="s">
        <v>51425</v>
      </c>
      <c r="Q1958" s="62" t="s">
        <v>44344</v>
      </c>
      <c r="R1958" s="62" t="s">
        <v>44345</v>
      </c>
      <c r="S1958" s="62" t="s">
        <v>44346</v>
      </c>
      <c r="U1958" s="62" t="s">
        <v>44347</v>
      </c>
      <c r="V1958" s="62" t="s">
        <v>51456</v>
      </c>
      <c r="W1958" s="62" t="s">
        <v>44348</v>
      </c>
      <c r="X1958" s="62" t="s">
        <v>44349</v>
      </c>
      <c r="Y1958" s="62" t="s">
        <v>44350</v>
      </c>
      <c r="Z1958" s="62" t="s">
        <v>44351</v>
      </c>
      <c r="AA1958" s="62" t="s">
        <v>51487</v>
      </c>
      <c r="AB1958" s="62" t="s">
        <v>44352</v>
      </c>
      <c r="AC1958" s="62" t="s">
        <v>44353</v>
      </c>
      <c r="AD1958" s="62" t="s">
        <v>44354</v>
      </c>
    </row>
    <row r="1959" spans="1:30" x14ac:dyDescent="0.25">
      <c r="A1959" s="62" t="s">
        <v>109</v>
      </c>
      <c r="C1959" s="62" t="s">
        <v>44355</v>
      </c>
      <c r="F1959" s="62" t="s">
        <v>340</v>
      </c>
      <c r="G1959" s="62" t="s">
        <v>51364</v>
      </c>
      <c r="J1959" s="62" t="s">
        <v>44356</v>
      </c>
      <c r="K1959" s="62" t="s">
        <v>51395</v>
      </c>
      <c r="L1959" s="62" t="s">
        <v>44357</v>
      </c>
      <c r="M1959" s="62" t="s">
        <v>44358</v>
      </c>
      <c r="N1959" s="62" t="s">
        <v>44359</v>
      </c>
      <c r="O1959" s="62" t="s">
        <v>44360</v>
      </c>
      <c r="P1959" s="62" t="s">
        <v>51426</v>
      </c>
      <c r="Q1959" s="62" t="s">
        <v>44361</v>
      </c>
      <c r="R1959" s="62" t="s">
        <v>44362</v>
      </c>
      <c r="S1959" s="62" t="s">
        <v>44363</v>
      </c>
      <c r="U1959" s="62" t="s">
        <v>44364</v>
      </c>
      <c r="V1959" s="62" t="s">
        <v>51457</v>
      </c>
      <c r="W1959" s="62" t="s">
        <v>44365</v>
      </c>
      <c r="X1959" s="62" t="s">
        <v>44366</v>
      </c>
      <c r="Y1959" s="62" t="s">
        <v>44367</v>
      </c>
      <c r="Z1959" s="62" t="s">
        <v>44368</v>
      </c>
      <c r="AA1959" s="62" t="s">
        <v>51488</v>
      </c>
      <c r="AB1959" s="62" t="s">
        <v>44369</v>
      </c>
      <c r="AC1959" s="62" t="s">
        <v>44370</v>
      </c>
      <c r="AD1959" s="62" t="s">
        <v>44371</v>
      </c>
    </row>
    <row r="1960" spans="1:30" x14ac:dyDescent="0.25">
      <c r="A1960" s="62" t="s">
        <v>109</v>
      </c>
      <c r="C1960" s="62" t="s">
        <v>24803</v>
      </c>
      <c r="F1960" s="62" t="s">
        <v>10314</v>
      </c>
      <c r="G1960" s="62" t="s">
        <v>51365</v>
      </c>
      <c r="J1960" s="62" t="s">
        <v>44372</v>
      </c>
      <c r="K1960" s="62" t="s">
        <v>51396</v>
      </c>
      <c r="L1960" s="62" t="s">
        <v>44373</v>
      </c>
      <c r="M1960" s="62" t="s">
        <v>44374</v>
      </c>
      <c r="N1960" s="62" t="s">
        <v>44375</v>
      </c>
      <c r="O1960" s="62" t="s">
        <v>44376</v>
      </c>
      <c r="P1960" s="62" t="s">
        <v>51427</v>
      </c>
      <c r="Q1960" s="62" t="s">
        <v>44377</v>
      </c>
      <c r="R1960" s="62" t="s">
        <v>44378</v>
      </c>
      <c r="S1960" s="62" t="s">
        <v>44379</v>
      </c>
      <c r="U1960" s="62" t="s">
        <v>44380</v>
      </c>
      <c r="V1960" s="62" t="s">
        <v>51458</v>
      </c>
      <c r="W1960" s="62" t="s">
        <v>44381</v>
      </c>
      <c r="X1960" s="62" t="s">
        <v>44382</v>
      </c>
      <c r="Y1960" s="62" t="s">
        <v>44383</v>
      </c>
      <c r="Z1960" s="62" t="s">
        <v>44384</v>
      </c>
      <c r="AA1960" s="62" t="s">
        <v>51489</v>
      </c>
      <c r="AB1960" s="62" t="s">
        <v>44385</v>
      </c>
      <c r="AC1960" s="62" t="s">
        <v>44386</v>
      </c>
      <c r="AD1960" s="62" t="s">
        <v>44387</v>
      </c>
    </row>
    <row r="1961" spans="1:30" x14ac:dyDescent="0.25">
      <c r="A1961" s="62" t="s">
        <v>109</v>
      </c>
      <c r="C1961" s="62" t="s">
        <v>24804</v>
      </c>
      <c r="F1961" s="62" t="s">
        <v>19275</v>
      </c>
      <c r="G1961" s="62" t="s">
        <v>51366</v>
      </c>
      <c r="J1961" s="62" t="s">
        <v>24805</v>
      </c>
      <c r="K1961" s="62" t="s">
        <v>51397</v>
      </c>
      <c r="L1961" s="62" t="s">
        <v>24806</v>
      </c>
      <c r="M1961" s="62" t="s">
        <v>24807</v>
      </c>
      <c r="N1961" s="62" t="s">
        <v>24808</v>
      </c>
      <c r="O1961" s="62" t="s">
        <v>24809</v>
      </c>
      <c r="P1961" s="62" t="s">
        <v>51428</v>
      </c>
      <c r="Q1961" s="62" t="s">
        <v>24810</v>
      </c>
      <c r="R1961" s="62" t="s">
        <v>24811</v>
      </c>
      <c r="S1961" s="62" t="s">
        <v>24812</v>
      </c>
      <c r="U1961" s="62" t="s">
        <v>24813</v>
      </c>
      <c r="V1961" s="62" t="s">
        <v>51459</v>
      </c>
      <c r="W1961" s="62" t="s">
        <v>24814</v>
      </c>
      <c r="X1961" s="62" t="s">
        <v>24815</v>
      </c>
      <c r="Y1961" s="62" t="s">
        <v>24816</v>
      </c>
      <c r="Z1961" s="62" t="s">
        <v>24817</v>
      </c>
      <c r="AA1961" s="62" t="s">
        <v>51490</v>
      </c>
      <c r="AB1961" s="62" t="s">
        <v>24818</v>
      </c>
      <c r="AC1961" s="62" t="s">
        <v>24819</v>
      </c>
      <c r="AD1961" s="62" t="s">
        <v>24820</v>
      </c>
    </row>
    <row r="1962" spans="1:30" x14ac:dyDescent="0.25">
      <c r="A1962" s="62" t="s">
        <v>109</v>
      </c>
      <c r="C1962" s="62" t="s">
        <v>24821</v>
      </c>
      <c r="F1962" s="62" t="s">
        <v>10386</v>
      </c>
      <c r="G1962" s="62" t="s">
        <v>51367</v>
      </c>
      <c r="J1962" s="62" t="s">
        <v>24822</v>
      </c>
      <c r="K1962" s="62" t="s">
        <v>51398</v>
      </c>
      <c r="L1962" s="62" t="s">
        <v>24823</v>
      </c>
      <c r="M1962" s="62" t="s">
        <v>24824</v>
      </c>
      <c r="N1962" s="62" t="s">
        <v>24825</v>
      </c>
      <c r="O1962" s="62" t="s">
        <v>24826</v>
      </c>
      <c r="P1962" s="62" t="s">
        <v>51429</v>
      </c>
      <c r="Q1962" s="62" t="s">
        <v>24827</v>
      </c>
      <c r="R1962" s="62" t="s">
        <v>24828</v>
      </c>
      <c r="S1962" s="62" t="s">
        <v>24829</v>
      </c>
      <c r="U1962" s="62" t="s">
        <v>24830</v>
      </c>
      <c r="V1962" s="62" t="s">
        <v>51460</v>
      </c>
      <c r="W1962" s="62" t="s">
        <v>24831</v>
      </c>
      <c r="X1962" s="62" t="s">
        <v>24832</v>
      </c>
      <c r="Y1962" s="62" t="s">
        <v>24833</v>
      </c>
      <c r="Z1962" s="62" t="s">
        <v>24834</v>
      </c>
      <c r="AA1962" s="62" t="s">
        <v>51491</v>
      </c>
      <c r="AB1962" s="62" t="s">
        <v>24835</v>
      </c>
      <c r="AC1962" s="62" t="s">
        <v>24836</v>
      </c>
      <c r="AD1962" s="62" t="s">
        <v>24837</v>
      </c>
    </row>
    <row r="1963" spans="1:30" x14ac:dyDescent="0.25">
      <c r="A1963" s="62" t="s">
        <v>109</v>
      </c>
      <c r="C1963" s="62" t="s">
        <v>24838</v>
      </c>
      <c r="F1963" s="62" t="s">
        <v>15012</v>
      </c>
      <c r="G1963" s="62" t="s">
        <v>51368</v>
      </c>
      <c r="J1963" s="62" t="s">
        <v>24839</v>
      </c>
      <c r="K1963" s="62" t="s">
        <v>51399</v>
      </c>
      <c r="L1963" s="62" t="s">
        <v>24840</v>
      </c>
      <c r="M1963" s="62" t="s">
        <v>24841</v>
      </c>
      <c r="N1963" s="62" t="s">
        <v>24842</v>
      </c>
      <c r="O1963" s="62" t="s">
        <v>24843</v>
      </c>
      <c r="P1963" s="62" t="s">
        <v>51430</v>
      </c>
      <c r="Q1963" s="62" t="s">
        <v>24844</v>
      </c>
      <c r="R1963" s="62" t="s">
        <v>24845</v>
      </c>
      <c r="S1963" s="62" t="s">
        <v>24846</v>
      </c>
      <c r="U1963" s="62" t="s">
        <v>24847</v>
      </c>
      <c r="V1963" s="62" t="s">
        <v>51461</v>
      </c>
      <c r="W1963" s="62" t="s">
        <v>24848</v>
      </c>
      <c r="X1963" s="62" t="s">
        <v>24849</v>
      </c>
      <c r="Y1963" s="62" t="s">
        <v>24850</v>
      </c>
      <c r="Z1963" s="62" t="s">
        <v>24851</v>
      </c>
      <c r="AA1963" s="62" t="s">
        <v>51492</v>
      </c>
      <c r="AB1963" s="62" t="s">
        <v>24852</v>
      </c>
      <c r="AC1963" s="62" t="s">
        <v>24853</v>
      </c>
      <c r="AD1963" s="62" t="s">
        <v>24854</v>
      </c>
    </row>
    <row r="1964" spans="1:30" x14ac:dyDescent="0.25">
      <c r="A1964" s="62" t="s">
        <v>109</v>
      </c>
      <c r="C1964" s="62" t="s">
        <v>24855</v>
      </c>
      <c r="F1964" s="62" t="s">
        <v>10404</v>
      </c>
      <c r="G1964" s="62" t="s">
        <v>51369</v>
      </c>
      <c r="J1964" s="62" t="s">
        <v>24856</v>
      </c>
      <c r="K1964" s="62" t="s">
        <v>51400</v>
      </c>
      <c r="L1964" s="62" t="s">
        <v>24857</v>
      </c>
      <c r="M1964" s="62" t="s">
        <v>24858</v>
      </c>
      <c r="N1964" s="62" t="s">
        <v>24859</v>
      </c>
      <c r="O1964" s="62" t="s">
        <v>24860</v>
      </c>
      <c r="P1964" s="62" t="s">
        <v>51431</v>
      </c>
      <c r="Q1964" s="62" t="s">
        <v>24861</v>
      </c>
      <c r="R1964" s="62" t="s">
        <v>24862</v>
      </c>
      <c r="S1964" s="62" t="s">
        <v>24863</v>
      </c>
      <c r="U1964" s="62" t="s">
        <v>24864</v>
      </c>
      <c r="V1964" s="62" t="s">
        <v>51462</v>
      </c>
      <c r="W1964" s="62" t="s">
        <v>24865</v>
      </c>
      <c r="X1964" s="62" t="s">
        <v>24866</v>
      </c>
      <c r="Y1964" s="62" t="s">
        <v>24867</v>
      </c>
      <c r="Z1964" s="62" t="s">
        <v>24868</v>
      </c>
      <c r="AA1964" s="62" t="s">
        <v>51493</v>
      </c>
      <c r="AB1964" s="62" t="s">
        <v>24869</v>
      </c>
      <c r="AC1964" s="62" t="s">
        <v>24870</v>
      </c>
      <c r="AD1964" s="62" t="s">
        <v>24871</v>
      </c>
    </row>
    <row r="1965" spans="1:30" x14ac:dyDescent="0.25">
      <c r="A1965" s="62" t="s">
        <v>109</v>
      </c>
      <c r="C1965" s="62" t="s">
        <v>24872</v>
      </c>
      <c r="F1965" s="62" t="s">
        <v>10422</v>
      </c>
      <c r="G1965" s="62" t="s">
        <v>51370</v>
      </c>
      <c r="J1965" s="62" t="s">
        <v>24873</v>
      </c>
      <c r="K1965" s="62" t="s">
        <v>51401</v>
      </c>
      <c r="L1965" s="62" t="s">
        <v>24874</v>
      </c>
      <c r="M1965" s="62" t="s">
        <v>24875</v>
      </c>
      <c r="N1965" s="62" t="s">
        <v>24876</v>
      </c>
      <c r="O1965" s="62" t="s">
        <v>24877</v>
      </c>
      <c r="P1965" s="62" t="s">
        <v>51432</v>
      </c>
      <c r="Q1965" s="62" t="s">
        <v>24878</v>
      </c>
      <c r="R1965" s="62" t="s">
        <v>24879</v>
      </c>
      <c r="S1965" s="62" t="s">
        <v>24880</v>
      </c>
      <c r="U1965" s="62" t="s">
        <v>24881</v>
      </c>
      <c r="V1965" s="62" t="s">
        <v>51463</v>
      </c>
      <c r="W1965" s="62" t="s">
        <v>24882</v>
      </c>
      <c r="X1965" s="62" t="s">
        <v>24883</v>
      </c>
      <c r="Y1965" s="62" t="s">
        <v>24884</v>
      </c>
      <c r="Z1965" s="62" t="s">
        <v>24885</v>
      </c>
      <c r="AA1965" s="62" t="s">
        <v>51494</v>
      </c>
      <c r="AB1965" s="62" t="s">
        <v>24886</v>
      </c>
      <c r="AC1965" s="62" t="s">
        <v>24887</v>
      </c>
      <c r="AD1965" s="62" t="s">
        <v>24888</v>
      </c>
    </row>
    <row r="1966" spans="1:30" x14ac:dyDescent="0.25">
      <c r="A1966" s="62" t="s">
        <v>109</v>
      </c>
      <c r="C1966" s="62" t="s">
        <v>24889</v>
      </c>
      <c r="F1966" s="62" t="s">
        <v>1002</v>
      </c>
      <c r="G1966" s="62" t="s">
        <v>51371</v>
      </c>
      <c r="J1966" s="62" t="s">
        <v>24890</v>
      </c>
      <c r="K1966" s="62" t="s">
        <v>51402</v>
      </c>
      <c r="L1966" s="62" t="s">
        <v>24891</v>
      </c>
      <c r="M1966" s="62" t="s">
        <v>24892</v>
      </c>
      <c r="N1966" s="62" t="s">
        <v>24893</v>
      </c>
      <c r="O1966" s="62" t="s">
        <v>24894</v>
      </c>
      <c r="P1966" s="62" t="s">
        <v>51433</v>
      </c>
      <c r="Q1966" s="62" t="s">
        <v>24895</v>
      </c>
      <c r="R1966" s="62" t="s">
        <v>24896</v>
      </c>
      <c r="S1966" s="62" t="s">
        <v>24897</v>
      </c>
      <c r="U1966" s="62" t="s">
        <v>24898</v>
      </c>
      <c r="V1966" s="62" t="s">
        <v>51464</v>
      </c>
      <c r="W1966" s="62" t="s">
        <v>24899</v>
      </c>
      <c r="X1966" s="62" t="s">
        <v>24900</v>
      </c>
      <c r="Y1966" s="62" t="s">
        <v>24901</v>
      </c>
      <c r="Z1966" s="62" t="s">
        <v>24902</v>
      </c>
      <c r="AA1966" s="62" t="s">
        <v>51495</v>
      </c>
      <c r="AB1966" s="62" t="s">
        <v>24903</v>
      </c>
      <c r="AC1966" s="62" t="s">
        <v>24904</v>
      </c>
      <c r="AD1966" s="62" t="s">
        <v>24905</v>
      </c>
    </row>
    <row r="1967" spans="1:30" x14ac:dyDescent="0.25">
      <c r="A1967" s="62" t="s">
        <v>109</v>
      </c>
      <c r="C1967" s="62" t="s">
        <v>24906</v>
      </c>
      <c r="F1967" s="62" t="s">
        <v>1100</v>
      </c>
      <c r="G1967" s="62" t="s">
        <v>51372</v>
      </c>
      <c r="J1967" s="62" t="s">
        <v>24907</v>
      </c>
      <c r="K1967" s="62" t="s">
        <v>51403</v>
      </c>
      <c r="L1967" s="62" t="s">
        <v>24908</v>
      </c>
      <c r="M1967" s="62" t="s">
        <v>24909</v>
      </c>
      <c r="N1967" s="62" t="s">
        <v>24910</v>
      </c>
      <c r="O1967" s="62" t="s">
        <v>24911</v>
      </c>
      <c r="P1967" s="62" t="s">
        <v>51434</v>
      </c>
      <c r="Q1967" s="62" t="s">
        <v>24912</v>
      </c>
      <c r="R1967" s="62" t="s">
        <v>24913</v>
      </c>
      <c r="S1967" s="62" t="s">
        <v>24914</v>
      </c>
      <c r="U1967" s="62" t="s">
        <v>24915</v>
      </c>
      <c r="V1967" s="62" t="s">
        <v>51465</v>
      </c>
      <c r="W1967" s="62" t="s">
        <v>24916</v>
      </c>
      <c r="X1967" s="62" t="s">
        <v>24917</v>
      </c>
      <c r="Y1967" s="62" t="s">
        <v>24918</v>
      </c>
      <c r="Z1967" s="62" t="s">
        <v>24919</v>
      </c>
      <c r="AA1967" s="62" t="s">
        <v>51496</v>
      </c>
      <c r="AB1967" s="62" t="s">
        <v>24920</v>
      </c>
      <c r="AC1967" s="62" t="s">
        <v>24921</v>
      </c>
      <c r="AD1967" s="62" t="s">
        <v>24922</v>
      </c>
    </row>
    <row r="1968" spans="1:30" x14ac:dyDescent="0.25">
      <c r="A1968" s="62" t="s">
        <v>109</v>
      </c>
      <c r="C1968" s="62" t="s">
        <v>24923</v>
      </c>
      <c r="F1968" s="62" t="s">
        <v>15081</v>
      </c>
      <c r="G1968" s="62" t="s">
        <v>51373</v>
      </c>
      <c r="J1968" s="62" t="s">
        <v>24924</v>
      </c>
      <c r="K1968" s="62" t="s">
        <v>51404</v>
      </c>
      <c r="L1968" s="62" t="s">
        <v>24925</v>
      </c>
      <c r="M1968" s="62" t="s">
        <v>24926</v>
      </c>
      <c r="N1968" s="62" t="s">
        <v>24927</v>
      </c>
      <c r="O1968" s="62" t="s">
        <v>24928</v>
      </c>
      <c r="P1968" s="62" t="s">
        <v>51435</v>
      </c>
      <c r="Q1968" s="62" t="s">
        <v>24929</v>
      </c>
      <c r="R1968" s="62" t="s">
        <v>24930</v>
      </c>
      <c r="S1968" s="62" t="s">
        <v>24931</v>
      </c>
      <c r="U1968" s="62" t="s">
        <v>24932</v>
      </c>
      <c r="V1968" s="62" t="s">
        <v>51466</v>
      </c>
      <c r="W1968" s="62" t="s">
        <v>24933</v>
      </c>
      <c r="X1968" s="62" t="s">
        <v>24934</v>
      </c>
      <c r="Y1968" s="62" t="s">
        <v>24935</v>
      </c>
      <c r="Z1968" s="62" t="s">
        <v>24936</v>
      </c>
      <c r="AA1968" s="62" t="s">
        <v>51497</v>
      </c>
      <c r="AB1968" s="62" t="s">
        <v>24937</v>
      </c>
      <c r="AC1968" s="62" t="s">
        <v>24938</v>
      </c>
      <c r="AD1968" s="62" t="s">
        <v>24939</v>
      </c>
    </row>
    <row r="1969" spans="1:30" x14ac:dyDescent="0.25">
      <c r="A1969" s="62" t="s">
        <v>109</v>
      </c>
      <c r="C1969" s="62" t="s">
        <v>24940</v>
      </c>
      <c r="F1969" s="62" t="s">
        <v>10559</v>
      </c>
      <c r="G1969" s="62" t="s">
        <v>51374</v>
      </c>
      <c r="J1969" s="62" t="s">
        <v>24941</v>
      </c>
      <c r="K1969" s="62" t="s">
        <v>51405</v>
      </c>
      <c r="L1969" s="62" t="s">
        <v>24942</v>
      </c>
      <c r="M1969" s="62" t="s">
        <v>24943</v>
      </c>
      <c r="N1969" s="62" t="s">
        <v>24944</v>
      </c>
      <c r="O1969" s="62" t="s">
        <v>24945</v>
      </c>
      <c r="P1969" s="62" t="s">
        <v>51436</v>
      </c>
      <c r="Q1969" s="62" t="s">
        <v>24946</v>
      </c>
      <c r="R1969" s="62" t="s">
        <v>24947</v>
      </c>
      <c r="S1969" s="62" t="s">
        <v>24948</v>
      </c>
      <c r="U1969" s="62" t="s">
        <v>24949</v>
      </c>
      <c r="V1969" s="62" t="s">
        <v>51467</v>
      </c>
      <c r="W1969" s="62" t="s">
        <v>24950</v>
      </c>
      <c r="X1969" s="62" t="s">
        <v>24951</v>
      </c>
      <c r="Y1969" s="62" t="s">
        <v>24952</v>
      </c>
      <c r="Z1969" s="62" t="s">
        <v>24953</v>
      </c>
      <c r="AA1969" s="62" t="s">
        <v>51498</v>
      </c>
      <c r="AB1969" s="62" t="s">
        <v>24954</v>
      </c>
      <c r="AC1969" s="62" t="s">
        <v>24955</v>
      </c>
      <c r="AD1969" s="62" t="s">
        <v>24956</v>
      </c>
    </row>
    <row r="1970" spans="1:30" x14ac:dyDescent="0.25">
      <c r="A1970" s="62" t="s">
        <v>109</v>
      </c>
      <c r="C1970" s="62" t="s">
        <v>24957</v>
      </c>
      <c r="F1970" s="62" t="s">
        <v>10613</v>
      </c>
      <c r="G1970" s="62" t="s">
        <v>51375</v>
      </c>
      <c r="J1970" s="62" t="s">
        <v>24958</v>
      </c>
      <c r="K1970" s="62" t="s">
        <v>51406</v>
      </c>
      <c r="L1970" s="62" t="s">
        <v>24959</v>
      </c>
      <c r="M1970" s="62" t="s">
        <v>24960</v>
      </c>
      <c r="N1970" s="62" t="s">
        <v>24961</v>
      </c>
      <c r="O1970" s="62" t="s">
        <v>24962</v>
      </c>
      <c r="P1970" s="62" t="s">
        <v>51437</v>
      </c>
      <c r="Q1970" s="62" t="s">
        <v>24963</v>
      </c>
      <c r="R1970" s="62" t="s">
        <v>24964</v>
      </c>
      <c r="S1970" s="62" t="s">
        <v>24965</v>
      </c>
      <c r="U1970" s="62" t="s">
        <v>24966</v>
      </c>
      <c r="V1970" s="62" t="s">
        <v>51468</v>
      </c>
      <c r="W1970" s="62" t="s">
        <v>24967</v>
      </c>
      <c r="X1970" s="62" t="s">
        <v>24968</v>
      </c>
      <c r="Y1970" s="62" t="s">
        <v>24969</v>
      </c>
      <c r="Z1970" s="62" t="s">
        <v>24970</v>
      </c>
      <c r="AA1970" s="62" t="s">
        <v>51499</v>
      </c>
      <c r="AB1970" s="62" t="s">
        <v>24971</v>
      </c>
      <c r="AC1970" s="62" t="s">
        <v>24972</v>
      </c>
      <c r="AD1970" s="62" t="s">
        <v>24973</v>
      </c>
    </row>
    <row r="1971" spans="1:30" x14ac:dyDescent="0.25">
      <c r="A1971" s="62" t="s">
        <v>109</v>
      </c>
      <c r="C1971" s="62" t="s">
        <v>24974</v>
      </c>
      <c r="F1971" s="62" t="s">
        <v>10631</v>
      </c>
      <c r="G1971" s="62" t="s">
        <v>51376</v>
      </c>
      <c r="J1971" s="62" t="s">
        <v>24975</v>
      </c>
      <c r="K1971" s="62" t="s">
        <v>51407</v>
      </c>
      <c r="L1971" s="62" t="s">
        <v>24976</v>
      </c>
      <c r="M1971" s="62" t="s">
        <v>24977</v>
      </c>
      <c r="N1971" s="62" t="s">
        <v>24978</v>
      </c>
      <c r="O1971" s="62" t="s">
        <v>24979</v>
      </c>
      <c r="P1971" s="62" t="s">
        <v>51438</v>
      </c>
      <c r="Q1971" s="62" t="s">
        <v>24980</v>
      </c>
      <c r="R1971" s="62" t="s">
        <v>24981</v>
      </c>
      <c r="S1971" s="62" t="s">
        <v>24982</v>
      </c>
      <c r="U1971" s="62" t="s">
        <v>24983</v>
      </c>
      <c r="V1971" s="62" t="s">
        <v>51469</v>
      </c>
      <c r="W1971" s="62" t="s">
        <v>24984</v>
      </c>
      <c r="X1971" s="62" t="s">
        <v>24985</v>
      </c>
      <c r="Y1971" s="62" t="s">
        <v>24986</v>
      </c>
      <c r="Z1971" s="62" t="s">
        <v>24987</v>
      </c>
      <c r="AA1971" s="62" t="s">
        <v>51500</v>
      </c>
      <c r="AB1971" s="62" t="s">
        <v>24988</v>
      </c>
      <c r="AC1971" s="62" t="s">
        <v>24989</v>
      </c>
      <c r="AD1971" s="62" t="s">
        <v>24990</v>
      </c>
    </row>
    <row r="1972" spans="1:30" x14ac:dyDescent="0.25">
      <c r="A1972" s="62" t="s">
        <v>109</v>
      </c>
      <c r="C1972" s="62" t="s">
        <v>24991</v>
      </c>
      <c r="F1972" s="62" t="s">
        <v>10685</v>
      </c>
      <c r="G1972" s="62" t="s">
        <v>51377</v>
      </c>
      <c r="J1972" s="62" t="s">
        <v>24992</v>
      </c>
      <c r="K1972" s="62" t="s">
        <v>51408</v>
      </c>
      <c r="L1972" s="62" t="s">
        <v>24993</v>
      </c>
      <c r="M1972" s="62" t="s">
        <v>24994</v>
      </c>
      <c r="N1972" s="62" t="s">
        <v>24995</v>
      </c>
      <c r="O1972" s="62" t="s">
        <v>24996</v>
      </c>
      <c r="P1972" s="62" t="s">
        <v>51439</v>
      </c>
      <c r="Q1972" s="62" t="s">
        <v>24997</v>
      </c>
      <c r="R1972" s="62" t="s">
        <v>24998</v>
      </c>
      <c r="S1972" s="62" t="s">
        <v>24999</v>
      </c>
      <c r="U1972" s="62" t="s">
        <v>25000</v>
      </c>
      <c r="V1972" s="62" t="s">
        <v>51470</v>
      </c>
      <c r="W1972" s="62" t="s">
        <v>25001</v>
      </c>
      <c r="X1972" s="62" t="s">
        <v>25002</v>
      </c>
      <c r="Y1972" s="62" t="s">
        <v>25003</v>
      </c>
      <c r="Z1972" s="62" t="s">
        <v>25004</v>
      </c>
      <c r="AA1972" s="62" t="s">
        <v>51501</v>
      </c>
      <c r="AB1972" s="62" t="s">
        <v>25005</v>
      </c>
      <c r="AC1972" s="62" t="s">
        <v>25006</v>
      </c>
      <c r="AD1972" s="62" t="s">
        <v>25007</v>
      </c>
    </row>
    <row r="1973" spans="1:30" x14ac:dyDescent="0.25">
      <c r="A1973" s="62" t="s">
        <v>109</v>
      </c>
      <c r="C1973" s="62" t="s">
        <v>25008</v>
      </c>
      <c r="F1973" s="62" t="s">
        <v>10739</v>
      </c>
      <c r="G1973" s="62" t="s">
        <v>51378</v>
      </c>
      <c r="J1973" s="62" t="s">
        <v>25009</v>
      </c>
      <c r="K1973" s="62" t="s">
        <v>51409</v>
      </c>
      <c r="L1973" s="62" t="s">
        <v>25010</v>
      </c>
      <c r="M1973" s="62" t="s">
        <v>25011</v>
      </c>
      <c r="N1973" s="62" t="s">
        <v>25012</v>
      </c>
      <c r="O1973" s="62" t="s">
        <v>25013</v>
      </c>
      <c r="P1973" s="62" t="s">
        <v>51440</v>
      </c>
      <c r="Q1973" s="62" t="s">
        <v>25014</v>
      </c>
      <c r="R1973" s="62" t="s">
        <v>25015</v>
      </c>
      <c r="S1973" s="62" t="s">
        <v>25016</v>
      </c>
      <c r="U1973" s="62" t="s">
        <v>25017</v>
      </c>
      <c r="V1973" s="62" t="s">
        <v>51471</v>
      </c>
      <c r="W1973" s="62" t="s">
        <v>25018</v>
      </c>
      <c r="X1973" s="62" t="s">
        <v>25019</v>
      </c>
      <c r="Y1973" s="62" t="s">
        <v>25020</v>
      </c>
      <c r="Z1973" s="62" t="s">
        <v>25021</v>
      </c>
      <c r="AA1973" s="62" t="s">
        <v>51502</v>
      </c>
      <c r="AB1973" s="62" t="s">
        <v>25022</v>
      </c>
      <c r="AC1973" s="62" t="s">
        <v>25023</v>
      </c>
      <c r="AD1973" s="62" t="s">
        <v>25024</v>
      </c>
    </row>
    <row r="1974" spans="1:30" x14ac:dyDescent="0.25">
      <c r="A1974" s="62" t="s">
        <v>109</v>
      </c>
      <c r="C1974" s="62" t="s">
        <v>25025</v>
      </c>
      <c r="F1974" s="62" t="s">
        <v>13184</v>
      </c>
      <c r="G1974" s="62" t="s">
        <v>51379</v>
      </c>
      <c r="J1974" s="62" t="s">
        <v>25026</v>
      </c>
      <c r="K1974" s="62" t="s">
        <v>51410</v>
      </c>
      <c r="L1974" s="62" t="s">
        <v>25027</v>
      </c>
      <c r="M1974" s="62" t="s">
        <v>25028</v>
      </c>
      <c r="N1974" s="62" t="s">
        <v>25029</v>
      </c>
      <c r="O1974" s="62" t="s">
        <v>25030</v>
      </c>
      <c r="P1974" s="62" t="s">
        <v>51441</v>
      </c>
      <c r="Q1974" s="62" t="s">
        <v>25031</v>
      </c>
      <c r="R1974" s="62" t="s">
        <v>25032</v>
      </c>
      <c r="S1974" s="62" t="s">
        <v>25033</v>
      </c>
      <c r="U1974" s="62" t="s">
        <v>25034</v>
      </c>
      <c r="V1974" s="62" t="s">
        <v>51472</v>
      </c>
      <c r="W1974" s="62" t="s">
        <v>25035</v>
      </c>
      <c r="X1974" s="62" t="s">
        <v>25036</v>
      </c>
      <c r="Y1974" s="62" t="s">
        <v>25037</v>
      </c>
      <c r="Z1974" s="62" t="s">
        <v>25038</v>
      </c>
      <c r="AA1974" s="62" t="s">
        <v>51503</v>
      </c>
      <c r="AB1974" s="62" t="s">
        <v>25039</v>
      </c>
      <c r="AC1974" s="62" t="s">
        <v>25040</v>
      </c>
      <c r="AD1974" s="62" t="s">
        <v>25041</v>
      </c>
    </row>
    <row r="1975" spans="1:30" x14ac:dyDescent="0.25">
      <c r="A1975" s="62" t="s">
        <v>109</v>
      </c>
      <c r="C1975" s="62" t="s">
        <v>25042</v>
      </c>
      <c r="F1975" s="62" t="s">
        <v>10757</v>
      </c>
      <c r="G1975" s="62" t="s">
        <v>51380</v>
      </c>
      <c r="J1975" s="62" t="s">
        <v>25043</v>
      </c>
      <c r="K1975" s="62" t="s">
        <v>51411</v>
      </c>
      <c r="L1975" s="62" t="s">
        <v>25044</v>
      </c>
      <c r="M1975" s="62" t="s">
        <v>25045</v>
      </c>
      <c r="N1975" s="62" t="s">
        <v>25046</v>
      </c>
      <c r="O1975" s="62" t="s">
        <v>25047</v>
      </c>
      <c r="P1975" s="62" t="s">
        <v>51442</v>
      </c>
      <c r="Q1975" s="62" t="s">
        <v>25048</v>
      </c>
      <c r="R1975" s="62" t="s">
        <v>25049</v>
      </c>
      <c r="S1975" s="62" t="s">
        <v>25050</v>
      </c>
      <c r="U1975" s="62" t="s">
        <v>25051</v>
      </c>
      <c r="V1975" s="62" t="s">
        <v>51473</v>
      </c>
      <c r="W1975" s="62" t="s">
        <v>25052</v>
      </c>
      <c r="X1975" s="62" t="s">
        <v>25053</v>
      </c>
      <c r="Y1975" s="62" t="s">
        <v>25054</v>
      </c>
      <c r="Z1975" s="62" t="s">
        <v>25055</v>
      </c>
      <c r="AA1975" s="62" t="s">
        <v>51504</v>
      </c>
      <c r="AB1975" s="62" t="s">
        <v>25056</v>
      </c>
      <c r="AC1975" s="62" t="s">
        <v>25057</v>
      </c>
      <c r="AD1975" s="62" t="s">
        <v>25058</v>
      </c>
    </row>
    <row r="1976" spans="1:30" x14ac:dyDescent="0.25">
      <c r="A1976" s="62" t="s">
        <v>109</v>
      </c>
      <c r="C1976" s="62" t="s">
        <v>25059</v>
      </c>
      <c r="F1976" s="62" t="s">
        <v>10775</v>
      </c>
      <c r="G1976" s="62" t="s">
        <v>51381</v>
      </c>
      <c r="J1976" s="62" t="s">
        <v>25060</v>
      </c>
      <c r="K1976" s="62" t="s">
        <v>51412</v>
      </c>
      <c r="L1976" s="62" t="s">
        <v>25061</v>
      </c>
      <c r="M1976" s="62" t="s">
        <v>25062</v>
      </c>
      <c r="N1976" s="62" t="s">
        <v>25063</v>
      </c>
      <c r="O1976" s="62" t="s">
        <v>25064</v>
      </c>
      <c r="P1976" s="62" t="s">
        <v>51443</v>
      </c>
      <c r="Q1976" s="62" t="s">
        <v>25065</v>
      </c>
      <c r="R1976" s="62" t="s">
        <v>25066</v>
      </c>
      <c r="S1976" s="62" t="s">
        <v>25067</v>
      </c>
      <c r="U1976" s="62" t="s">
        <v>25068</v>
      </c>
      <c r="V1976" s="62" t="s">
        <v>51474</v>
      </c>
      <c r="W1976" s="62" t="s">
        <v>25069</v>
      </c>
      <c r="X1976" s="62" t="s">
        <v>25070</v>
      </c>
      <c r="Y1976" s="62" t="s">
        <v>25071</v>
      </c>
      <c r="Z1976" s="62" t="s">
        <v>25072</v>
      </c>
      <c r="AA1976" s="62" t="s">
        <v>51505</v>
      </c>
      <c r="AB1976" s="62" t="s">
        <v>25073</v>
      </c>
      <c r="AC1976" s="62" t="s">
        <v>25074</v>
      </c>
      <c r="AD1976" s="62" t="s">
        <v>25075</v>
      </c>
    </row>
    <row r="1977" spans="1:30" x14ac:dyDescent="0.25">
      <c r="A1977" s="62" t="s">
        <v>109</v>
      </c>
      <c r="C1977" s="62" t="s">
        <v>25076</v>
      </c>
      <c r="F1977" s="62" t="s">
        <v>13202</v>
      </c>
      <c r="G1977" s="62" t="s">
        <v>51382</v>
      </c>
      <c r="J1977" s="62" t="s">
        <v>25077</v>
      </c>
      <c r="K1977" s="62" t="s">
        <v>51413</v>
      </c>
      <c r="L1977" s="62" t="s">
        <v>25078</v>
      </c>
      <c r="M1977" s="62" t="s">
        <v>25079</v>
      </c>
      <c r="N1977" s="62" t="s">
        <v>25080</v>
      </c>
      <c r="O1977" s="62" t="s">
        <v>25081</v>
      </c>
      <c r="P1977" s="62" t="s">
        <v>51444</v>
      </c>
      <c r="Q1977" s="62" t="s">
        <v>25082</v>
      </c>
      <c r="R1977" s="62" t="s">
        <v>25083</v>
      </c>
      <c r="S1977" s="62" t="s">
        <v>25084</v>
      </c>
      <c r="U1977" s="62" t="s">
        <v>25085</v>
      </c>
      <c r="V1977" s="62" t="s">
        <v>51475</v>
      </c>
      <c r="W1977" s="62" t="s">
        <v>25086</v>
      </c>
      <c r="X1977" s="62" t="s">
        <v>25087</v>
      </c>
      <c r="Y1977" s="62" t="s">
        <v>25088</v>
      </c>
      <c r="Z1977" s="62" t="s">
        <v>25089</v>
      </c>
      <c r="AA1977" s="62" t="s">
        <v>51506</v>
      </c>
      <c r="AB1977" s="62" t="s">
        <v>25090</v>
      </c>
      <c r="AC1977" s="62" t="s">
        <v>25091</v>
      </c>
      <c r="AD1977" s="62" t="s">
        <v>25092</v>
      </c>
    </row>
    <row r="1978" spans="1:30" x14ac:dyDescent="0.25">
      <c r="A1978" s="62" t="s">
        <v>109</v>
      </c>
      <c r="C1978" s="62" t="s">
        <v>25093</v>
      </c>
      <c r="F1978" s="62" t="s">
        <v>10829</v>
      </c>
      <c r="G1978" s="62" t="s">
        <v>51383</v>
      </c>
      <c r="J1978" s="62" t="s">
        <v>25094</v>
      </c>
      <c r="K1978" s="62" t="s">
        <v>51414</v>
      </c>
      <c r="L1978" s="62" t="s">
        <v>25095</v>
      </c>
      <c r="M1978" s="62" t="s">
        <v>25096</v>
      </c>
      <c r="N1978" s="62" t="s">
        <v>25097</v>
      </c>
      <c r="O1978" s="62" t="s">
        <v>25098</v>
      </c>
      <c r="P1978" s="62" t="s">
        <v>51445</v>
      </c>
      <c r="Q1978" s="62" t="s">
        <v>25099</v>
      </c>
      <c r="R1978" s="62" t="s">
        <v>25100</v>
      </c>
      <c r="S1978" s="62" t="s">
        <v>25101</v>
      </c>
      <c r="U1978" s="62" t="s">
        <v>25102</v>
      </c>
      <c r="V1978" s="62" t="s">
        <v>51476</v>
      </c>
      <c r="W1978" s="62" t="s">
        <v>25103</v>
      </c>
      <c r="X1978" s="62" t="s">
        <v>25104</v>
      </c>
      <c r="Y1978" s="62" t="s">
        <v>25105</v>
      </c>
      <c r="Z1978" s="62" t="s">
        <v>25106</v>
      </c>
      <c r="AA1978" s="62" t="s">
        <v>51507</v>
      </c>
      <c r="AB1978" s="62" t="s">
        <v>25107</v>
      </c>
      <c r="AC1978" s="62" t="s">
        <v>25108</v>
      </c>
      <c r="AD1978" s="62" t="s">
        <v>25109</v>
      </c>
    </row>
    <row r="1979" spans="1:30" x14ac:dyDescent="0.25">
      <c r="A1979" s="62" t="s">
        <v>109</v>
      </c>
      <c r="C1979" s="62" t="s">
        <v>25110</v>
      </c>
      <c r="F1979" s="62" t="s">
        <v>1152</v>
      </c>
      <c r="G1979" s="62" t="s">
        <v>51384</v>
      </c>
      <c r="J1979" s="62" t="s">
        <v>25111</v>
      </c>
      <c r="K1979" s="62" t="s">
        <v>51415</v>
      </c>
      <c r="L1979" s="62" t="s">
        <v>25112</v>
      </c>
      <c r="M1979" s="62" t="s">
        <v>25113</v>
      </c>
      <c r="N1979" s="62" t="s">
        <v>25114</v>
      </c>
      <c r="O1979" s="62" t="s">
        <v>25115</v>
      </c>
      <c r="P1979" s="62" t="s">
        <v>51446</v>
      </c>
      <c r="Q1979" s="62" t="s">
        <v>25116</v>
      </c>
      <c r="R1979" s="62" t="s">
        <v>25117</v>
      </c>
      <c r="S1979" s="62" t="s">
        <v>25118</v>
      </c>
      <c r="U1979" s="62" t="s">
        <v>25119</v>
      </c>
      <c r="V1979" s="62" t="s">
        <v>51477</v>
      </c>
      <c r="W1979" s="62" t="s">
        <v>25120</v>
      </c>
      <c r="X1979" s="62" t="s">
        <v>25121</v>
      </c>
      <c r="Y1979" s="62" t="s">
        <v>25122</v>
      </c>
      <c r="Z1979" s="62" t="s">
        <v>25123</v>
      </c>
      <c r="AA1979" s="62" t="s">
        <v>51508</v>
      </c>
      <c r="AB1979" s="62" t="s">
        <v>25124</v>
      </c>
      <c r="AC1979" s="62" t="s">
        <v>25125</v>
      </c>
      <c r="AD1979" s="62" t="s">
        <v>25126</v>
      </c>
    </row>
    <row r="1980" spans="1:30" x14ac:dyDescent="0.25">
      <c r="A1980" s="62" t="s">
        <v>109</v>
      </c>
      <c r="C1980" s="62" t="s">
        <v>25127</v>
      </c>
      <c r="F1980" s="62" t="s">
        <v>1249</v>
      </c>
      <c r="G1980" s="62" t="s">
        <v>51385</v>
      </c>
      <c r="J1980" s="62" t="s">
        <v>25128</v>
      </c>
      <c r="K1980" s="62" t="s">
        <v>51416</v>
      </c>
      <c r="L1980" s="62" t="s">
        <v>25129</v>
      </c>
      <c r="M1980" s="62" t="s">
        <v>25130</v>
      </c>
      <c r="N1980" s="62" t="s">
        <v>25131</v>
      </c>
      <c r="O1980" s="62" t="s">
        <v>25132</v>
      </c>
      <c r="P1980" s="62" t="s">
        <v>51447</v>
      </c>
      <c r="Q1980" s="62" t="s">
        <v>25133</v>
      </c>
      <c r="R1980" s="62" t="s">
        <v>25134</v>
      </c>
      <c r="S1980" s="62" t="s">
        <v>25135</v>
      </c>
      <c r="U1980" s="62" t="s">
        <v>25136</v>
      </c>
      <c r="V1980" s="62" t="s">
        <v>51478</v>
      </c>
      <c r="W1980" s="62" t="s">
        <v>25137</v>
      </c>
      <c r="X1980" s="62" t="s">
        <v>25138</v>
      </c>
      <c r="Y1980" s="62" t="s">
        <v>25139</v>
      </c>
      <c r="Z1980" s="62" t="s">
        <v>25140</v>
      </c>
      <c r="AA1980" s="62" t="s">
        <v>51509</v>
      </c>
      <c r="AB1980" s="62" t="s">
        <v>25141</v>
      </c>
      <c r="AC1980" s="62" t="s">
        <v>25142</v>
      </c>
      <c r="AD1980" s="62" t="s">
        <v>25143</v>
      </c>
    </row>
    <row r="1981" spans="1:30" x14ac:dyDescent="0.25">
      <c r="A1981" s="62" t="s">
        <v>109</v>
      </c>
      <c r="C1981" s="62" t="s">
        <v>25144</v>
      </c>
      <c r="F1981" s="62" t="s">
        <v>1299</v>
      </c>
      <c r="G1981" s="62" t="s">
        <v>51386</v>
      </c>
      <c r="J1981" s="62" t="s">
        <v>25145</v>
      </c>
      <c r="K1981" s="62" t="s">
        <v>51417</v>
      </c>
      <c r="L1981" s="62" t="s">
        <v>25146</v>
      </c>
      <c r="M1981" s="62" t="s">
        <v>25147</v>
      </c>
      <c r="N1981" s="62" t="s">
        <v>25148</v>
      </c>
      <c r="O1981" s="62" t="s">
        <v>25149</v>
      </c>
      <c r="P1981" s="62" t="s">
        <v>51448</v>
      </c>
      <c r="Q1981" s="62" t="s">
        <v>25150</v>
      </c>
      <c r="R1981" s="62" t="s">
        <v>25151</v>
      </c>
      <c r="S1981" s="62" t="s">
        <v>25152</v>
      </c>
      <c r="U1981" s="62" t="s">
        <v>25153</v>
      </c>
      <c r="V1981" s="62" t="s">
        <v>51479</v>
      </c>
      <c r="W1981" s="62" t="s">
        <v>25154</v>
      </c>
      <c r="X1981" s="62" t="s">
        <v>25155</v>
      </c>
      <c r="Y1981" s="62" t="s">
        <v>25156</v>
      </c>
      <c r="Z1981" s="62" t="s">
        <v>25157</v>
      </c>
      <c r="AA1981" s="62" t="s">
        <v>51510</v>
      </c>
      <c r="AB1981" s="62" t="s">
        <v>25158</v>
      </c>
      <c r="AC1981" s="62" t="s">
        <v>25159</v>
      </c>
      <c r="AD1981" s="62" t="s">
        <v>25160</v>
      </c>
    </row>
    <row r="1982" spans="1:30" x14ac:dyDescent="0.25">
      <c r="A1982" s="62" t="s">
        <v>109</v>
      </c>
      <c r="C1982" s="62" t="s">
        <v>25161</v>
      </c>
      <c r="F1982" s="62" t="s">
        <v>13249</v>
      </c>
      <c r="G1982" s="62" t="s">
        <v>51387</v>
      </c>
      <c r="J1982" s="62" t="s">
        <v>25162</v>
      </c>
      <c r="K1982" s="62" t="s">
        <v>51418</v>
      </c>
      <c r="L1982" s="62" t="s">
        <v>25163</v>
      </c>
      <c r="M1982" s="62" t="s">
        <v>25164</v>
      </c>
      <c r="N1982" s="62" t="s">
        <v>25165</v>
      </c>
      <c r="O1982" s="62" t="s">
        <v>25166</v>
      </c>
      <c r="P1982" s="62" t="s">
        <v>51449</v>
      </c>
      <c r="Q1982" s="62" t="s">
        <v>25167</v>
      </c>
      <c r="R1982" s="62" t="s">
        <v>25168</v>
      </c>
      <c r="S1982" s="62" t="s">
        <v>25169</v>
      </c>
      <c r="U1982" s="62" t="s">
        <v>25170</v>
      </c>
      <c r="V1982" s="62" t="s">
        <v>51480</v>
      </c>
      <c r="W1982" s="62" t="s">
        <v>25171</v>
      </c>
      <c r="X1982" s="62" t="s">
        <v>25172</v>
      </c>
      <c r="Y1982" s="62" t="s">
        <v>25173</v>
      </c>
      <c r="Z1982" s="62" t="s">
        <v>25174</v>
      </c>
      <c r="AA1982" s="62" t="s">
        <v>51511</v>
      </c>
      <c r="AB1982" s="62" t="s">
        <v>25175</v>
      </c>
      <c r="AC1982" s="62" t="s">
        <v>25176</v>
      </c>
      <c r="AD1982" s="62" t="s">
        <v>25177</v>
      </c>
    </row>
    <row r="1983" spans="1:30" x14ac:dyDescent="0.25">
      <c r="A1983" s="62" t="s">
        <v>109</v>
      </c>
      <c r="C1983" s="62" t="s">
        <v>25178</v>
      </c>
      <c r="F1983" s="62" t="s">
        <v>10927</v>
      </c>
      <c r="G1983" s="62" t="s">
        <v>51388</v>
      </c>
      <c r="J1983" s="62" t="s">
        <v>25179</v>
      </c>
      <c r="K1983" s="62" t="s">
        <v>51419</v>
      </c>
      <c r="L1983" s="62" t="s">
        <v>25180</v>
      </c>
      <c r="M1983" s="62" t="s">
        <v>25181</v>
      </c>
      <c r="N1983" s="62" t="s">
        <v>25182</v>
      </c>
      <c r="O1983" s="62" t="s">
        <v>25183</v>
      </c>
      <c r="P1983" s="62" t="s">
        <v>51450</v>
      </c>
      <c r="Q1983" s="62" t="s">
        <v>25184</v>
      </c>
      <c r="R1983" s="62" t="s">
        <v>25185</v>
      </c>
      <c r="S1983" s="62" t="s">
        <v>25186</v>
      </c>
      <c r="U1983" s="62" t="s">
        <v>25187</v>
      </c>
      <c r="V1983" s="62" t="s">
        <v>51481</v>
      </c>
      <c r="W1983" s="62" t="s">
        <v>25188</v>
      </c>
      <c r="X1983" s="62" t="s">
        <v>25189</v>
      </c>
      <c r="Y1983" s="62" t="s">
        <v>25190</v>
      </c>
      <c r="Z1983" s="62" t="s">
        <v>25191</v>
      </c>
      <c r="AA1983" s="62" t="s">
        <v>51512</v>
      </c>
      <c r="AB1983" s="62" t="s">
        <v>25192</v>
      </c>
      <c r="AC1983" s="62" t="s">
        <v>25193</v>
      </c>
      <c r="AD1983" s="62" t="s">
        <v>25194</v>
      </c>
    </row>
    <row r="1984" spans="1:30" x14ac:dyDescent="0.25">
      <c r="A1984" s="62" t="s">
        <v>109</v>
      </c>
      <c r="C1984" s="62" t="s">
        <v>25195</v>
      </c>
      <c r="F1984" s="62" t="s">
        <v>10929</v>
      </c>
      <c r="G1984" s="62" t="s">
        <v>51389</v>
      </c>
      <c r="J1984" s="62" t="s">
        <v>25196</v>
      </c>
      <c r="K1984" s="62" t="s">
        <v>51420</v>
      </c>
      <c r="L1984" s="62" t="s">
        <v>25197</v>
      </c>
      <c r="M1984" s="62" t="s">
        <v>25198</v>
      </c>
      <c r="N1984" s="62" t="s">
        <v>25199</v>
      </c>
      <c r="O1984" s="62" t="s">
        <v>25200</v>
      </c>
      <c r="P1984" s="62" t="s">
        <v>51451</v>
      </c>
      <c r="Q1984" s="62" t="s">
        <v>25201</v>
      </c>
      <c r="R1984" s="62" t="s">
        <v>25202</v>
      </c>
      <c r="S1984" s="62" t="s">
        <v>25203</v>
      </c>
      <c r="U1984" s="62" t="s">
        <v>25204</v>
      </c>
      <c r="V1984" s="62" t="s">
        <v>51482</v>
      </c>
      <c r="W1984" s="62" t="s">
        <v>25205</v>
      </c>
      <c r="X1984" s="62" t="s">
        <v>25206</v>
      </c>
      <c r="Y1984" s="62" t="s">
        <v>25207</v>
      </c>
      <c r="Z1984" s="62" t="s">
        <v>25208</v>
      </c>
      <c r="AA1984" s="62" t="s">
        <v>51513</v>
      </c>
      <c r="AB1984" s="62" t="s">
        <v>25209</v>
      </c>
      <c r="AC1984" s="62" t="s">
        <v>25210</v>
      </c>
      <c r="AD1984" s="62" t="s">
        <v>25211</v>
      </c>
    </row>
    <row r="1985" spans="1:30" x14ac:dyDescent="0.25">
      <c r="A1985" s="62" t="s">
        <v>109</v>
      </c>
      <c r="C1985" s="62" t="s">
        <v>25212</v>
      </c>
      <c r="F1985" s="62" t="s">
        <v>27351</v>
      </c>
      <c r="G1985" s="62" t="s">
        <v>51390</v>
      </c>
      <c r="J1985" s="62" t="s">
        <v>25213</v>
      </c>
      <c r="K1985" s="62" t="s">
        <v>51421</v>
      </c>
      <c r="L1985" s="62" t="s">
        <v>25214</v>
      </c>
      <c r="M1985" s="62" t="s">
        <v>25215</v>
      </c>
      <c r="N1985" s="62" t="s">
        <v>25216</v>
      </c>
      <c r="O1985" s="62" t="s">
        <v>25217</v>
      </c>
      <c r="P1985" s="62" t="s">
        <v>51452</v>
      </c>
      <c r="Q1985" s="62" t="s">
        <v>25218</v>
      </c>
      <c r="R1985" s="62" t="s">
        <v>25219</v>
      </c>
      <c r="S1985" s="62" t="s">
        <v>25220</v>
      </c>
      <c r="U1985" s="62" t="s">
        <v>25221</v>
      </c>
      <c r="V1985" s="62" t="s">
        <v>51483</v>
      </c>
      <c r="W1985" s="62" t="s">
        <v>25222</v>
      </c>
      <c r="X1985" s="62" t="s">
        <v>25223</v>
      </c>
      <c r="Y1985" s="62" t="s">
        <v>25224</v>
      </c>
      <c r="Z1985" s="62" t="s">
        <v>25225</v>
      </c>
      <c r="AA1985" s="62" t="s">
        <v>51514</v>
      </c>
      <c r="AB1985" s="62" t="s">
        <v>25226</v>
      </c>
      <c r="AC1985" s="62" t="s">
        <v>25227</v>
      </c>
      <c r="AD1985" s="62" t="s">
        <v>25228</v>
      </c>
    </row>
    <row r="1986" spans="1:30" x14ac:dyDescent="0.25">
      <c r="A1986" s="62" t="s">
        <v>109</v>
      </c>
      <c r="C1986" s="62" t="s">
        <v>25229</v>
      </c>
      <c r="F1986" s="62" t="s">
        <v>22217</v>
      </c>
      <c r="G1986" s="62" t="s">
        <v>51391</v>
      </c>
      <c r="J1986" s="62" t="s">
        <v>25230</v>
      </c>
      <c r="K1986" s="62" t="s">
        <v>51422</v>
      </c>
      <c r="L1986" s="62" t="s">
        <v>25231</v>
      </c>
      <c r="M1986" s="62" t="s">
        <v>25232</v>
      </c>
      <c r="N1986" s="62" t="s">
        <v>25233</v>
      </c>
      <c r="O1986" s="62" t="s">
        <v>25234</v>
      </c>
      <c r="P1986" s="62" t="s">
        <v>51453</v>
      </c>
      <c r="Q1986" s="62" t="s">
        <v>25235</v>
      </c>
      <c r="R1986" s="62" t="s">
        <v>25236</v>
      </c>
      <c r="S1986" s="62" t="s">
        <v>25237</v>
      </c>
      <c r="U1986" s="62" t="s">
        <v>25238</v>
      </c>
      <c r="V1986" s="62" t="s">
        <v>51484</v>
      </c>
      <c r="W1986" s="62" t="s">
        <v>25239</v>
      </c>
      <c r="X1986" s="62" t="s">
        <v>25240</v>
      </c>
      <c r="Y1986" s="62" t="s">
        <v>25241</v>
      </c>
      <c r="Z1986" s="62" t="s">
        <v>25242</v>
      </c>
      <c r="AA1986" s="62" t="s">
        <v>51515</v>
      </c>
      <c r="AB1986" s="62" t="s">
        <v>25243</v>
      </c>
      <c r="AC1986" s="62" t="s">
        <v>25244</v>
      </c>
      <c r="AD1986" s="62" t="s">
        <v>25245</v>
      </c>
    </row>
    <row r="1987" spans="1:30" x14ac:dyDescent="0.25">
      <c r="A1987" s="62" t="s">
        <v>109</v>
      </c>
      <c r="C1987" s="62" t="s">
        <v>25246</v>
      </c>
      <c r="F1987" s="62" t="s">
        <v>26699</v>
      </c>
      <c r="G1987" s="62" t="s">
        <v>51392</v>
      </c>
      <c r="J1987" s="62" t="s">
        <v>25247</v>
      </c>
      <c r="K1987" s="62" t="s">
        <v>51423</v>
      </c>
      <c r="L1987" s="62" t="s">
        <v>25248</v>
      </c>
      <c r="M1987" s="62" t="s">
        <v>25249</v>
      </c>
      <c r="N1987" s="62" t="s">
        <v>25250</v>
      </c>
      <c r="O1987" s="62" t="s">
        <v>25251</v>
      </c>
      <c r="P1987" s="62" t="s">
        <v>51454</v>
      </c>
      <c r="Q1987" s="62" t="s">
        <v>25252</v>
      </c>
      <c r="R1987" s="62" t="s">
        <v>25253</v>
      </c>
      <c r="S1987" s="62" t="s">
        <v>25254</v>
      </c>
      <c r="U1987" s="62" t="s">
        <v>25255</v>
      </c>
      <c r="V1987" s="62" t="s">
        <v>51485</v>
      </c>
      <c r="W1987" s="62" t="s">
        <v>25256</v>
      </c>
      <c r="X1987" s="62" t="s">
        <v>25257</v>
      </c>
      <c r="Y1987" s="62" t="s">
        <v>25258</v>
      </c>
      <c r="Z1987" s="62" t="s">
        <v>25259</v>
      </c>
      <c r="AA1987" s="62" t="s">
        <v>51516</v>
      </c>
      <c r="AB1987" s="62" t="s">
        <v>25260</v>
      </c>
      <c r="AC1987" s="62" t="s">
        <v>25261</v>
      </c>
      <c r="AD1987" s="62" t="s">
        <v>25262</v>
      </c>
    </row>
    <row r="1988" spans="1:30" x14ac:dyDescent="0.25">
      <c r="A1988" s="62" t="s">
        <v>109</v>
      </c>
      <c r="C1988" s="62" t="s">
        <v>44338</v>
      </c>
    </row>
    <row r="1989" spans="1:30" x14ac:dyDescent="0.25">
      <c r="A1989" s="62" t="s">
        <v>109</v>
      </c>
      <c r="C1989" s="62" t="s">
        <v>25263</v>
      </c>
      <c r="G1989" s="62" t="s">
        <v>44388</v>
      </c>
      <c r="J1989" s="62" t="s">
        <v>44389</v>
      </c>
      <c r="K1989" s="62" t="s">
        <v>44390</v>
      </c>
      <c r="L1989" s="62" t="s">
        <v>44391</v>
      </c>
      <c r="M1989" s="62" t="s">
        <v>25264</v>
      </c>
      <c r="N1989" s="62" t="s">
        <v>25265</v>
      </c>
      <c r="O1989" s="62" t="s">
        <v>44392</v>
      </c>
      <c r="P1989" s="62" t="s">
        <v>44393</v>
      </c>
      <c r="Q1989" s="62" t="s">
        <v>44394</v>
      </c>
      <c r="R1989" s="62" t="s">
        <v>25266</v>
      </c>
      <c r="S1989" s="62" t="s">
        <v>25267</v>
      </c>
      <c r="U1989" s="62" t="s">
        <v>44395</v>
      </c>
      <c r="V1989" s="62" t="s">
        <v>44396</v>
      </c>
      <c r="W1989" s="62" t="s">
        <v>44397</v>
      </c>
      <c r="X1989" s="62" t="s">
        <v>25268</v>
      </c>
      <c r="Y1989" s="62" t="s">
        <v>25269</v>
      </c>
      <c r="Z1989" s="62" t="s">
        <v>44398</v>
      </c>
      <c r="AA1989" s="62" t="s">
        <v>44399</v>
      </c>
      <c r="AB1989" s="62" t="s">
        <v>44400</v>
      </c>
      <c r="AC1989" s="62" t="s">
        <v>25270</v>
      </c>
      <c r="AD1989" s="62" t="s">
        <v>25271</v>
      </c>
    </row>
    <row r="1990" spans="1:30" x14ac:dyDescent="0.25">
      <c r="A1990" s="62" t="s">
        <v>109</v>
      </c>
    </row>
    <row r="1991" spans="1:30" x14ac:dyDescent="0.25">
      <c r="A1991" s="62" t="s">
        <v>109</v>
      </c>
      <c r="C1991" s="62" t="s">
        <v>44401</v>
      </c>
      <c r="E1991" s="62" t="s">
        <v>32022</v>
      </c>
      <c r="G1991" s="62" t="s">
        <v>44402</v>
      </c>
    </row>
    <row r="1992" spans="1:30" x14ac:dyDescent="0.25">
      <c r="A1992" s="62" t="s">
        <v>109</v>
      </c>
      <c r="C1992" s="62" t="s">
        <v>25272</v>
      </c>
    </row>
    <row r="1993" spans="1:30" x14ac:dyDescent="0.25">
      <c r="A1993" s="62" t="s">
        <v>109</v>
      </c>
      <c r="C1993" s="62" t="s">
        <v>25273</v>
      </c>
      <c r="F1993" s="62" t="s">
        <v>44403</v>
      </c>
      <c r="G1993" s="62" t="s">
        <v>51157</v>
      </c>
      <c r="J1993" s="62" t="s">
        <v>25274</v>
      </c>
      <c r="K1993" s="62" t="s">
        <v>51198</v>
      </c>
      <c r="L1993" s="62" t="s">
        <v>25275</v>
      </c>
      <c r="M1993" s="62" t="s">
        <v>25276</v>
      </c>
      <c r="N1993" s="62" t="s">
        <v>25277</v>
      </c>
      <c r="O1993" s="62" t="s">
        <v>25278</v>
      </c>
      <c r="P1993" s="62" t="s">
        <v>51239</v>
      </c>
      <c r="Q1993" s="62" t="s">
        <v>25279</v>
      </c>
      <c r="R1993" s="62" t="s">
        <v>25280</v>
      </c>
      <c r="S1993" s="62" t="s">
        <v>25281</v>
      </c>
      <c r="U1993" s="62" t="s">
        <v>25282</v>
      </c>
      <c r="V1993" s="62" t="s">
        <v>51280</v>
      </c>
      <c r="W1993" s="62" t="s">
        <v>25283</v>
      </c>
      <c r="X1993" s="62" t="s">
        <v>25284</v>
      </c>
      <c r="Y1993" s="62" t="s">
        <v>25285</v>
      </c>
      <c r="Z1993" s="62" t="s">
        <v>25286</v>
      </c>
      <c r="AA1993" s="62" t="s">
        <v>51321</v>
      </c>
      <c r="AB1993" s="62" t="s">
        <v>25287</v>
      </c>
      <c r="AC1993" s="62" t="s">
        <v>25288</v>
      </c>
      <c r="AD1993" s="62" t="s">
        <v>25289</v>
      </c>
    </row>
    <row r="1994" spans="1:30" x14ac:dyDescent="0.25">
      <c r="A1994" s="62" t="s">
        <v>109</v>
      </c>
      <c r="C1994" s="62" t="s">
        <v>25290</v>
      </c>
      <c r="F1994" s="62" t="s">
        <v>889</v>
      </c>
      <c r="G1994" s="62" t="s">
        <v>51158</v>
      </c>
      <c r="J1994" s="62" t="s">
        <v>25291</v>
      </c>
      <c r="K1994" s="62" t="s">
        <v>51199</v>
      </c>
      <c r="L1994" s="62" t="s">
        <v>25292</v>
      </c>
      <c r="M1994" s="62" t="s">
        <v>25293</v>
      </c>
      <c r="N1994" s="62" t="s">
        <v>25294</v>
      </c>
      <c r="O1994" s="62" t="s">
        <v>25295</v>
      </c>
      <c r="P1994" s="62" t="s">
        <v>51240</v>
      </c>
      <c r="Q1994" s="62" t="s">
        <v>25296</v>
      </c>
      <c r="R1994" s="62" t="s">
        <v>25297</v>
      </c>
      <c r="S1994" s="62" t="s">
        <v>25298</v>
      </c>
      <c r="U1994" s="62" t="s">
        <v>25299</v>
      </c>
      <c r="V1994" s="62" t="s">
        <v>51281</v>
      </c>
      <c r="W1994" s="62" t="s">
        <v>25300</v>
      </c>
      <c r="X1994" s="62" t="s">
        <v>25301</v>
      </c>
      <c r="Y1994" s="62" t="s">
        <v>25302</v>
      </c>
      <c r="Z1994" s="62" t="s">
        <v>25303</v>
      </c>
      <c r="AA1994" s="62" t="s">
        <v>51322</v>
      </c>
      <c r="AB1994" s="62" t="s">
        <v>25304</v>
      </c>
      <c r="AC1994" s="62" t="s">
        <v>25305</v>
      </c>
      <c r="AD1994" s="62" t="s">
        <v>25306</v>
      </c>
    </row>
    <row r="1995" spans="1:30" x14ac:dyDescent="0.25">
      <c r="A1995" s="62" t="s">
        <v>109</v>
      </c>
      <c r="C1995" s="62" t="s">
        <v>25307</v>
      </c>
      <c r="F1995" s="62" t="s">
        <v>925</v>
      </c>
      <c r="G1995" s="62" t="s">
        <v>51159</v>
      </c>
      <c r="J1995" s="62" t="s">
        <v>25308</v>
      </c>
      <c r="K1995" s="62" t="s">
        <v>51200</v>
      </c>
      <c r="L1995" s="62" t="s">
        <v>25309</v>
      </c>
      <c r="M1995" s="62" t="s">
        <v>25310</v>
      </c>
      <c r="N1995" s="62" t="s">
        <v>25311</v>
      </c>
      <c r="O1995" s="62" t="s">
        <v>25312</v>
      </c>
      <c r="P1995" s="62" t="s">
        <v>51241</v>
      </c>
      <c r="Q1995" s="62" t="s">
        <v>25313</v>
      </c>
      <c r="R1995" s="62" t="s">
        <v>25314</v>
      </c>
      <c r="S1995" s="62" t="s">
        <v>25315</v>
      </c>
      <c r="U1995" s="62" t="s">
        <v>25316</v>
      </c>
      <c r="V1995" s="62" t="s">
        <v>51282</v>
      </c>
      <c r="W1995" s="62" t="s">
        <v>25317</v>
      </c>
      <c r="X1995" s="62" t="s">
        <v>25318</v>
      </c>
      <c r="Y1995" s="62" t="s">
        <v>25319</v>
      </c>
      <c r="Z1995" s="62" t="s">
        <v>25320</v>
      </c>
      <c r="AA1995" s="62" t="s">
        <v>51323</v>
      </c>
      <c r="AB1995" s="62" t="s">
        <v>25321</v>
      </c>
      <c r="AC1995" s="62" t="s">
        <v>25322</v>
      </c>
      <c r="AD1995" s="62" t="s">
        <v>25323</v>
      </c>
    </row>
    <row r="1996" spans="1:30" x14ac:dyDescent="0.25">
      <c r="A1996" s="62" t="s">
        <v>109</v>
      </c>
      <c r="C1996" s="62" t="s">
        <v>25324</v>
      </c>
      <c r="F1996" s="62" t="s">
        <v>2212</v>
      </c>
      <c r="G1996" s="62" t="s">
        <v>51160</v>
      </c>
      <c r="J1996" s="62" t="s">
        <v>25325</v>
      </c>
      <c r="K1996" s="62" t="s">
        <v>51201</v>
      </c>
      <c r="L1996" s="62" t="s">
        <v>25326</v>
      </c>
      <c r="M1996" s="62" t="s">
        <v>25327</v>
      </c>
      <c r="N1996" s="62" t="s">
        <v>25328</v>
      </c>
      <c r="O1996" s="62" t="s">
        <v>25329</v>
      </c>
      <c r="P1996" s="62" t="s">
        <v>51242</v>
      </c>
      <c r="Q1996" s="62" t="s">
        <v>25330</v>
      </c>
      <c r="R1996" s="62" t="s">
        <v>25331</v>
      </c>
      <c r="S1996" s="62" t="s">
        <v>25332</v>
      </c>
      <c r="U1996" s="62" t="s">
        <v>25333</v>
      </c>
      <c r="V1996" s="62" t="s">
        <v>51283</v>
      </c>
      <c r="W1996" s="62" t="s">
        <v>25334</v>
      </c>
      <c r="X1996" s="62" t="s">
        <v>25335</v>
      </c>
      <c r="Y1996" s="62" t="s">
        <v>25336</v>
      </c>
      <c r="Z1996" s="62" t="s">
        <v>25337</v>
      </c>
      <c r="AA1996" s="62" t="s">
        <v>51324</v>
      </c>
      <c r="AB1996" s="62" t="s">
        <v>25338</v>
      </c>
      <c r="AC1996" s="62" t="s">
        <v>25339</v>
      </c>
      <c r="AD1996" s="62" t="s">
        <v>25340</v>
      </c>
    </row>
    <row r="1997" spans="1:30" x14ac:dyDescent="0.25">
      <c r="A1997" s="62" t="s">
        <v>109</v>
      </c>
      <c r="C1997" s="62" t="s">
        <v>25341</v>
      </c>
      <c r="F1997" s="62" t="s">
        <v>254</v>
      </c>
      <c r="G1997" s="62" t="s">
        <v>51161</v>
      </c>
      <c r="J1997" s="62" t="s">
        <v>25342</v>
      </c>
      <c r="K1997" s="62" t="s">
        <v>51202</v>
      </c>
      <c r="L1997" s="62" t="s">
        <v>25343</v>
      </c>
      <c r="M1997" s="62" t="s">
        <v>25344</v>
      </c>
      <c r="N1997" s="62" t="s">
        <v>25345</v>
      </c>
      <c r="O1997" s="62" t="s">
        <v>25346</v>
      </c>
      <c r="P1997" s="62" t="s">
        <v>51243</v>
      </c>
      <c r="Q1997" s="62" t="s">
        <v>25347</v>
      </c>
      <c r="R1997" s="62" t="s">
        <v>25348</v>
      </c>
      <c r="S1997" s="62" t="s">
        <v>25349</v>
      </c>
      <c r="U1997" s="62" t="s">
        <v>25350</v>
      </c>
      <c r="V1997" s="62" t="s">
        <v>51284</v>
      </c>
      <c r="W1997" s="62" t="s">
        <v>25351</v>
      </c>
      <c r="X1997" s="62" t="s">
        <v>25352</v>
      </c>
      <c r="Y1997" s="62" t="s">
        <v>25353</v>
      </c>
      <c r="Z1997" s="62" t="s">
        <v>25354</v>
      </c>
      <c r="AA1997" s="62" t="s">
        <v>51325</v>
      </c>
      <c r="AB1997" s="62" t="s">
        <v>25355</v>
      </c>
      <c r="AC1997" s="62" t="s">
        <v>25356</v>
      </c>
      <c r="AD1997" s="62" t="s">
        <v>25357</v>
      </c>
    </row>
    <row r="1998" spans="1:30" x14ac:dyDescent="0.25">
      <c r="A1998" s="62" t="s">
        <v>109</v>
      </c>
      <c r="C1998" s="62" t="s">
        <v>44404</v>
      </c>
      <c r="F1998" s="62" t="s">
        <v>10282</v>
      </c>
      <c r="G1998" s="62" t="s">
        <v>51162</v>
      </c>
      <c r="J1998" s="62" t="s">
        <v>44405</v>
      </c>
      <c r="K1998" s="62" t="s">
        <v>51203</v>
      </c>
      <c r="L1998" s="62" t="s">
        <v>44406</v>
      </c>
      <c r="M1998" s="62" t="s">
        <v>44407</v>
      </c>
      <c r="N1998" s="62" t="s">
        <v>44408</v>
      </c>
      <c r="O1998" s="62" t="s">
        <v>44409</v>
      </c>
      <c r="P1998" s="62" t="s">
        <v>51244</v>
      </c>
      <c r="Q1998" s="62" t="s">
        <v>44410</v>
      </c>
      <c r="R1998" s="62" t="s">
        <v>44411</v>
      </c>
      <c r="S1998" s="62" t="s">
        <v>44412</v>
      </c>
      <c r="U1998" s="62" t="s">
        <v>44413</v>
      </c>
      <c r="V1998" s="62" t="s">
        <v>51285</v>
      </c>
      <c r="W1998" s="62" t="s">
        <v>44414</v>
      </c>
      <c r="X1998" s="62" t="s">
        <v>44415</v>
      </c>
      <c r="Y1998" s="62" t="s">
        <v>44416</v>
      </c>
      <c r="Z1998" s="62" t="s">
        <v>44417</v>
      </c>
      <c r="AA1998" s="62" t="s">
        <v>51326</v>
      </c>
      <c r="AB1998" s="62" t="s">
        <v>44418</v>
      </c>
      <c r="AC1998" s="62" t="s">
        <v>44419</v>
      </c>
      <c r="AD1998" s="62" t="s">
        <v>44420</v>
      </c>
    </row>
    <row r="1999" spans="1:30" x14ac:dyDescent="0.25">
      <c r="A1999" s="62" t="s">
        <v>109</v>
      </c>
      <c r="C1999" s="62" t="s">
        <v>25358</v>
      </c>
      <c r="F1999" s="62" t="s">
        <v>10284</v>
      </c>
      <c r="G1999" s="62" t="s">
        <v>51163</v>
      </c>
      <c r="J1999" s="62" t="s">
        <v>44421</v>
      </c>
      <c r="K1999" s="62" t="s">
        <v>51204</v>
      </c>
      <c r="L1999" s="62" t="s">
        <v>44422</v>
      </c>
      <c r="M1999" s="62" t="s">
        <v>25359</v>
      </c>
      <c r="N1999" s="62" t="s">
        <v>25360</v>
      </c>
      <c r="O1999" s="62" t="s">
        <v>44423</v>
      </c>
      <c r="P1999" s="62" t="s">
        <v>51245</v>
      </c>
      <c r="Q1999" s="62" t="s">
        <v>44424</v>
      </c>
      <c r="R1999" s="62" t="s">
        <v>25361</v>
      </c>
      <c r="S1999" s="62" t="s">
        <v>25362</v>
      </c>
      <c r="U1999" s="62" t="s">
        <v>44425</v>
      </c>
      <c r="V1999" s="62" t="s">
        <v>51286</v>
      </c>
      <c r="W1999" s="62" t="s">
        <v>44426</v>
      </c>
      <c r="X1999" s="62" t="s">
        <v>25363</v>
      </c>
      <c r="Y1999" s="62" t="s">
        <v>25364</v>
      </c>
      <c r="Z1999" s="62" t="s">
        <v>44427</v>
      </c>
      <c r="AA1999" s="62" t="s">
        <v>51327</v>
      </c>
      <c r="AB1999" s="62" t="s">
        <v>44428</v>
      </c>
      <c r="AC1999" s="62" t="s">
        <v>25365</v>
      </c>
      <c r="AD1999" s="62" t="s">
        <v>25366</v>
      </c>
    </row>
    <row r="2000" spans="1:30" x14ac:dyDescent="0.25">
      <c r="A2000" s="62" t="s">
        <v>109</v>
      </c>
      <c r="C2000" s="62" t="s">
        <v>44429</v>
      </c>
      <c r="F2000" s="62" t="s">
        <v>340</v>
      </c>
      <c r="G2000" s="62" t="s">
        <v>51164</v>
      </c>
      <c r="J2000" s="62" t="s">
        <v>44430</v>
      </c>
      <c r="K2000" s="62" t="s">
        <v>51205</v>
      </c>
      <c r="L2000" s="62" t="s">
        <v>44431</v>
      </c>
      <c r="M2000" s="62" t="s">
        <v>44432</v>
      </c>
      <c r="N2000" s="62" t="s">
        <v>44433</v>
      </c>
      <c r="O2000" s="62" t="s">
        <v>44434</v>
      </c>
      <c r="P2000" s="62" t="s">
        <v>51246</v>
      </c>
      <c r="Q2000" s="62" t="s">
        <v>44435</v>
      </c>
      <c r="R2000" s="62" t="s">
        <v>44436</v>
      </c>
      <c r="S2000" s="62" t="s">
        <v>44437</v>
      </c>
      <c r="U2000" s="62" t="s">
        <v>44438</v>
      </c>
      <c r="V2000" s="62" t="s">
        <v>51287</v>
      </c>
      <c r="W2000" s="62" t="s">
        <v>44439</v>
      </c>
      <c r="X2000" s="62" t="s">
        <v>44440</v>
      </c>
      <c r="Y2000" s="62" t="s">
        <v>44441</v>
      </c>
      <c r="Z2000" s="62" t="s">
        <v>44442</v>
      </c>
      <c r="AA2000" s="62" t="s">
        <v>51328</v>
      </c>
      <c r="AB2000" s="62" t="s">
        <v>44443</v>
      </c>
      <c r="AC2000" s="62" t="s">
        <v>44444</v>
      </c>
      <c r="AD2000" s="62" t="s">
        <v>44445</v>
      </c>
    </row>
    <row r="2001" spans="1:30" x14ac:dyDescent="0.25">
      <c r="A2001" s="62" t="s">
        <v>109</v>
      </c>
      <c r="C2001" s="62" t="s">
        <v>44446</v>
      </c>
      <c r="F2001" s="62" t="s">
        <v>985</v>
      </c>
      <c r="G2001" s="62" t="s">
        <v>51165</v>
      </c>
      <c r="J2001" s="62" t="s">
        <v>44447</v>
      </c>
      <c r="K2001" s="62" t="s">
        <v>51206</v>
      </c>
      <c r="L2001" s="62" t="s">
        <v>44448</v>
      </c>
      <c r="M2001" s="62" t="s">
        <v>44449</v>
      </c>
      <c r="N2001" s="62" t="s">
        <v>44450</v>
      </c>
      <c r="O2001" s="62" t="s">
        <v>44451</v>
      </c>
      <c r="P2001" s="62" t="s">
        <v>51247</v>
      </c>
      <c r="Q2001" s="62" t="s">
        <v>44452</v>
      </c>
      <c r="R2001" s="62" t="s">
        <v>44453</v>
      </c>
      <c r="S2001" s="62" t="s">
        <v>44454</v>
      </c>
      <c r="U2001" s="62" t="s">
        <v>44455</v>
      </c>
      <c r="V2001" s="62" t="s">
        <v>51288</v>
      </c>
      <c r="W2001" s="62" t="s">
        <v>44456</v>
      </c>
      <c r="X2001" s="62" t="s">
        <v>44457</v>
      </c>
      <c r="Y2001" s="62" t="s">
        <v>44458</v>
      </c>
      <c r="Z2001" s="62" t="s">
        <v>44459</v>
      </c>
      <c r="AA2001" s="62" t="s">
        <v>51329</v>
      </c>
      <c r="AB2001" s="62" t="s">
        <v>44460</v>
      </c>
      <c r="AC2001" s="62" t="s">
        <v>44461</v>
      </c>
      <c r="AD2001" s="62" t="s">
        <v>44462</v>
      </c>
    </row>
    <row r="2002" spans="1:30" x14ac:dyDescent="0.25">
      <c r="A2002" s="62" t="s">
        <v>109</v>
      </c>
      <c r="C2002" s="62" t="s">
        <v>25367</v>
      </c>
      <c r="F2002" s="62" t="s">
        <v>10314</v>
      </c>
      <c r="G2002" s="62" t="s">
        <v>51166</v>
      </c>
      <c r="J2002" s="62" t="s">
        <v>44463</v>
      </c>
      <c r="K2002" s="62" t="s">
        <v>51207</v>
      </c>
      <c r="L2002" s="62" t="s">
        <v>44464</v>
      </c>
      <c r="M2002" s="62" t="s">
        <v>44465</v>
      </c>
      <c r="N2002" s="62" t="s">
        <v>44466</v>
      </c>
      <c r="O2002" s="62" t="s">
        <v>44467</v>
      </c>
      <c r="P2002" s="62" t="s">
        <v>51248</v>
      </c>
      <c r="Q2002" s="62" t="s">
        <v>44468</v>
      </c>
      <c r="R2002" s="62" t="s">
        <v>44469</v>
      </c>
      <c r="S2002" s="62" t="s">
        <v>44470</v>
      </c>
      <c r="U2002" s="62" t="s">
        <v>44471</v>
      </c>
      <c r="V2002" s="62" t="s">
        <v>51289</v>
      </c>
      <c r="W2002" s="62" t="s">
        <v>44472</v>
      </c>
      <c r="X2002" s="62" t="s">
        <v>44473</v>
      </c>
      <c r="Y2002" s="62" t="s">
        <v>44474</v>
      </c>
      <c r="Z2002" s="62" t="s">
        <v>44475</v>
      </c>
      <c r="AA2002" s="62" t="s">
        <v>51330</v>
      </c>
      <c r="AB2002" s="62" t="s">
        <v>44476</v>
      </c>
      <c r="AC2002" s="62" t="s">
        <v>44477</v>
      </c>
      <c r="AD2002" s="62" t="s">
        <v>44478</v>
      </c>
    </row>
    <row r="2003" spans="1:30" x14ac:dyDescent="0.25">
      <c r="A2003" s="62" t="s">
        <v>109</v>
      </c>
      <c r="C2003" s="62" t="s">
        <v>25368</v>
      </c>
      <c r="F2003" s="62" t="s">
        <v>10332</v>
      </c>
      <c r="G2003" s="62" t="s">
        <v>51167</v>
      </c>
      <c r="J2003" s="62" t="s">
        <v>25369</v>
      </c>
      <c r="K2003" s="62" t="s">
        <v>51208</v>
      </c>
      <c r="L2003" s="62" t="s">
        <v>25370</v>
      </c>
      <c r="M2003" s="62" t="s">
        <v>25371</v>
      </c>
      <c r="N2003" s="62" t="s">
        <v>25372</v>
      </c>
      <c r="O2003" s="62" t="s">
        <v>25373</v>
      </c>
      <c r="P2003" s="62" t="s">
        <v>51249</v>
      </c>
      <c r="Q2003" s="62" t="s">
        <v>25374</v>
      </c>
      <c r="R2003" s="62" t="s">
        <v>25375</v>
      </c>
      <c r="S2003" s="62" t="s">
        <v>25376</v>
      </c>
      <c r="U2003" s="62" t="s">
        <v>25377</v>
      </c>
      <c r="V2003" s="62" t="s">
        <v>51290</v>
      </c>
      <c r="W2003" s="62" t="s">
        <v>25378</v>
      </c>
      <c r="X2003" s="62" t="s">
        <v>25379</v>
      </c>
      <c r="Y2003" s="62" t="s">
        <v>25380</v>
      </c>
      <c r="Z2003" s="62" t="s">
        <v>25381</v>
      </c>
      <c r="AA2003" s="62" t="s">
        <v>51331</v>
      </c>
      <c r="AB2003" s="62" t="s">
        <v>25382</v>
      </c>
      <c r="AC2003" s="62" t="s">
        <v>25383</v>
      </c>
      <c r="AD2003" s="62" t="s">
        <v>25384</v>
      </c>
    </row>
    <row r="2004" spans="1:30" x14ac:dyDescent="0.25">
      <c r="A2004" s="62" t="s">
        <v>109</v>
      </c>
      <c r="C2004" s="62" t="s">
        <v>25385</v>
      </c>
      <c r="F2004" s="62" t="s">
        <v>10368</v>
      </c>
      <c r="G2004" s="62" t="s">
        <v>51168</v>
      </c>
      <c r="J2004" s="62" t="s">
        <v>25386</v>
      </c>
      <c r="K2004" s="62" t="s">
        <v>51209</v>
      </c>
      <c r="L2004" s="62" t="s">
        <v>25387</v>
      </c>
      <c r="M2004" s="62" t="s">
        <v>25388</v>
      </c>
      <c r="N2004" s="62" t="s">
        <v>25389</v>
      </c>
      <c r="O2004" s="62" t="s">
        <v>25390</v>
      </c>
      <c r="P2004" s="62" t="s">
        <v>51250</v>
      </c>
      <c r="Q2004" s="62" t="s">
        <v>25391</v>
      </c>
      <c r="R2004" s="62" t="s">
        <v>25392</v>
      </c>
      <c r="S2004" s="62" t="s">
        <v>25393</v>
      </c>
      <c r="U2004" s="62" t="s">
        <v>25394</v>
      </c>
      <c r="V2004" s="62" t="s">
        <v>51291</v>
      </c>
      <c r="W2004" s="62" t="s">
        <v>25395</v>
      </c>
      <c r="X2004" s="62" t="s">
        <v>25396</v>
      </c>
      <c r="Y2004" s="62" t="s">
        <v>25397</v>
      </c>
      <c r="Z2004" s="62" t="s">
        <v>25398</v>
      </c>
      <c r="AA2004" s="62" t="s">
        <v>51332</v>
      </c>
      <c r="AB2004" s="62" t="s">
        <v>25399</v>
      </c>
      <c r="AC2004" s="62" t="s">
        <v>25400</v>
      </c>
      <c r="AD2004" s="62" t="s">
        <v>25401</v>
      </c>
    </row>
    <row r="2005" spans="1:30" x14ac:dyDescent="0.25">
      <c r="A2005" s="62" t="s">
        <v>109</v>
      </c>
      <c r="C2005" s="62" t="s">
        <v>25402</v>
      </c>
      <c r="F2005" s="62" t="s">
        <v>10386</v>
      </c>
      <c r="G2005" s="62" t="s">
        <v>51169</v>
      </c>
      <c r="J2005" s="62" t="s">
        <v>25403</v>
      </c>
      <c r="K2005" s="62" t="s">
        <v>51210</v>
      </c>
      <c r="L2005" s="62" t="s">
        <v>25404</v>
      </c>
      <c r="M2005" s="62" t="s">
        <v>25405</v>
      </c>
      <c r="N2005" s="62" t="s">
        <v>25406</v>
      </c>
      <c r="O2005" s="62" t="s">
        <v>25407</v>
      </c>
      <c r="P2005" s="62" t="s">
        <v>51251</v>
      </c>
      <c r="Q2005" s="62" t="s">
        <v>25408</v>
      </c>
      <c r="R2005" s="62" t="s">
        <v>25409</v>
      </c>
      <c r="S2005" s="62" t="s">
        <v>25410</v>
      </c>
      <c r="U2005" s="62" t="s">
        <v>25411</v>
      </c>
      <c r="V2005" s="62" t="s">
        <v>51292</v>
      </c>
      <c r="W2005" s="62" t="s">
        <v>25412</v>
      </c>
      <c r="X2005" s="62" t="s">
        <v>25413</v>
      </c>
      <c r="Y2005" s="62" t="s">
        <v>25414</v>
      </c>
      <c r="Z2005" s="62" t="s">
        <v>25415</v>
      </c>
      <c r="AA2005" s="62" t="s">
        <v>51333</v>
      </c>
      <c r="AB2005" s="62" t="s">
        <v>25416</v>
      </c>
      <c r="AC2005" s="62" t="s">
        <v>25417</v>
      </c>
      <c r="AD2005" s="62" t="s">
        <v>25418</v>
      </c>
    </row>
    <row r="2006" spans="1:30" x14ac:dyDescent="0.25">
      <c r="A2006" s="62" t="s">
        <v>109</v>
      </c>
      <c r="C2006" s="62" t="s">
        <v>25419</v>
      </c>
      <c r="F2006" s="62" t="s">
        <v>15012</v>
      </c>
      <c r="G2006" s="62" t="s">
        <v>51170</v>
      </c>
      <c r="J2006" s="62" t="s">
        <v>25420</v>
      </c>
      <c r="K2006" s="62" t="s">
        <v>51211</v>
      </c>
      <c r="L2006" s="62" t="s">
        <v>25421</v>
      </c>
      <c r="M2006" s="62" t="s">
        <v>25422</v>
      </c>
      <c r="N2006" s="62" t="s">
        <v>25423</v>
      </c>
      <c r="O2006" s="62" t="s">
        <v>25424</v>
      </c>
      <c r="P2006" s="62" t="s">
        <v>51252</v>
      </c>
      <c r="Q2006" s="62" t="s">
        <v>25425</v>
      </c>
      <c r="R2006" s="62" t="s">
        <v>25426</v>
      </c>
      <c r="S2006" s="62" t="s">
        <v>25427</v>
      </c>
      <c r="U2006" s="62" t="s">
        <v>25428</v>
      </c>
      <c r="V2006" s="62" t="s">
        <v>51293</v>
      </c>
      <c r="W2006" s="62" t="s">
        <v>25429</v>
      </c>
      <c r="X2006" s="62" t="s">
        <v>25430</v>
      </c>
      <c r="Y2006" s="62" t="s">
        <v>25431</v>
      </c>
      <c r="Z2006" s="62" t="s">
        <v>25432</v>
      </c>
      <c r="AA2006" s="62" t="s">
        <v>51334</v>
      </c>
      <c r="AB2006" s="62" t="s">
        <v>25433</v>
      </c>
      <c r="AC2006" s="62" t="s">
        <v>25434</v>
      </c>
      <c r="AD2006" s="62" t="s">
        <v>25435</v>
      </c>
    </row>
    <row r="2007" spans="1:30" x14ac:dyDescent="0.25">
      <c r="A2007" s="62" t="s">
        <v>109</v>
      </c>
      <c r="C2007" s="62" t="s">
        <v>25436</v>
      </c>
      <c r="F2007" s="62" t="s">
        <v>10422</v>
      </c>
      <c r="G2007" s="62" t="s">
        <v>51171</v>
      </c>
      <c r="J2007" s="62" t="s">
        <v>25437</v>
      </c>
      <c r="K2007" s="62" t="s">
        <v>51212</v>
      </c>
      <c r="L2007" s="62" t="s">
        <v>25438</v>
      </c>
      <c r="M2007" s="62" t="s">
        <v>25439</v>
      </c>
      <c r="N2007" s="62" t="s">
        <v>25440</v>
      </c>
      <c r="O2007" s="62" t="s">
        <v>25441</v>
      </c>
      <c r="P2007" s="62" t="s">
        <v>51253</v>
      </c>
      <c r="Q2007" s="62" t="s">
        <v>25442</v>
      </c>
      <c r="R2007" s="62" t="s">
        <v>25443</v>
      </c>
      <c r="S2007" s="62" t="s">
        <v>25444</v>
      </c>
      <c r="U2007" s="62" t="s">
        <v>25445</v>
      </c>
      <c r="V2007" s="62" t="s">
        <v>51294</v>
      </c>
      <c r="W2007" s="62" t="s">
        <v>25446</v>
      </c>
      <c r="X2007" s="62" t="s">
        <v>25447</v>
      </c>
      <c r="Y2007" s="62" t="s">
        <v>25448</v>
      </c>
      <c r="Z2007" s="62" t="s">
        <v>25449</v>
      </c>
      <c r="AA2007" s="62" t="s">
        <v>51335</v>
      </c>
      <c r="AB2007" s="62" t="s">
        <v>25450</v>
      </c>
      <c r="AC2007" s="62" t="s">
        <v>25451</v>
      </c>
      <c r="AD2007" s="62" t="s">
        <v>25452</v>
      </c>
    </row>
    <row r="2008" spans="1:30" x14ac:dyDescent="0.25">
      <c r="A2008" s="62" t="s">
        <v>109</v>
      </c>
      <c r="C2008" s="62" t="s">
        <v>25453</v>
      </c>
      <c r="F2008" s="62" t="s">
        <v>1002</v>
      </c>
      <c r="G2008" s="62" t="s">
        <v>51172</v>
      </c>
      <c r="J2008" s="62" t="s">
        <v>25454</v>
      </c>
      <c r="K2008" s="62" t="s">
        <v>51213</v>
      </c>
      <c r="L2008" s="62" t="s">
        <v>25455</v>
      </c>
      <c r="M2008" s="62" t="s">
        <v>25456</v>
      </c>
      <c r="N2008" s="62" t="s">
        <v>25457</v>
      </c>
      <c r="O2008" s="62" t="s">
        <v>25458</v>
      </c>
      <c r="P2008" s="62" t="s">
        <v>51254</v>
      </c>
      <c r="Q2008" s="62" t="s">
        <v>25459</v>
      </c>
      <c r="R2008" s="62" t="s">
        <v>25460</v>
      </c>
      <c r="S2008" s="62" t="s">
        <v>25461</v>
      </c>
      <c r="U2008" s="62" t="s">
        <v>25462</v>
      </c>
      <c r="V2008" s="62" t="s">
        <v>51295</v>
      </c>
      <c r="W2008" s="62" t="s">
        <v>25463</v>
      </c>
      <c r="X2008" s="62" t="s">
        <v>25464</v>
      </c>
      <c r="Y2008" s="62" t="s">
        <v>25465</v>
      </c>
      <c r="Z2008" s="62" t="s">
        <v>25466</v>
      </c>
      <c r="AA2008" s="62" t="s">
        <v>51336</v>
      </c>
      <c r="AB2008" s="62" t="s">
        <v>25467</v>
      </c>
      <c r="AC2008" s="62" t="s">
        <v>25468</v>
      </c>
      <c r="AD2008" s="62" t="s">
        <v>25469</v>
      </c>
    </row>
    <row r="2009" spans="1:30" x14ac:dyDescent="0.25">
      <c r="A2009" s="62" t="s">
        <v>109</v>
      </c>
      <c r="C2009" s="62" t="s">
        <v>25470</v>
      </c>
      <c r="F2009" s="62" t="s">
        <v>1012</v>
      </c>
      <c r="G2009" s="62" t="s">
        <v>51173</v>
      </c>
      <c r="J2009" s="62" t="s">
        <v>25471</v>
      </c>
      <c r="K2009" s="62" t="s">
        <v>51214</v>
      </c>
      <c r="L2009" s="62" t="s">
        <v>25472</v>
      </c>
      <c r="M2009" s="62" t="s">
        <v>25473</v>
      </c>
      <c r="N2009" s="62" t="s">
        <v>25474</v>
      </c>
      <c r="O2009" s="62" t="s">
        <v>25475</v>
      </c>
      <c r="P2009" s="62" t="s">
        <v>51255</v>
      </c>
      <c r="Q2009" s="62" t="s">
        <v>25476</v>
      </c>
      <c r="R2009" s="62" t="s">
        <v>25477</v>
      </c>
      <c r="S2009" s="62" t="s">
        <v>25478</v>
      </c>
      <c r="U2009" s="62" t="s">
        <v>25479</v>
      </c>
      <c r="V2009" s="62" t="s">
        <v>51296</v>
      </c>
      <c r="W2009" s="62" t="s">
        <v>25480</v>
      </c>
      <c r="X2009" s="62" t="s">
        <v>25481</v>
      </c>
      <c r="Y2009" s="62" t="s">
        <v>25482</v>
      </c>
      <c r="Z2009" s="62" t="s">
        <v>25483</v>
      </c>
      <c r="AA2009" s="62" t="s">
        <v>51337</v>
      </c>
      <c r="AB2009" s="62" t="s">
        <v>25484</v>
      </c>
      <c r="AC2009" s="62" t="s">
        <v>25485</v>
      </c>
      <c r="AD2009" s="62" t="s">
        <v>25486</v>
      </c>
    </row>
    <row r="2010" spans="1:30" x14ac:dyDescent="0.25">
      <c r="A2010" s="62" t="s">
        <v>109</v>
      </c>
      <c r="C2010" s="62" t="s">
        <v>25487</v>
      </c>
      <c r="F2010" s="62" t="s">
        <v>1030</v>
      </c>
      <c r="G2010" s="62" t="s">
        <v>51174</v>
      </c>
      <c r="J2010" s="62" t="s">
        <v>25488</v>
      </c>
      <c r="K2010" s="62" t="s">
        <v>51215</v>
      </c>
      <c r="L2010" s="62" t="s">
        <v>25489</v>
      </c>
      <c r="M2010" s="62" t="s">
        <v>25490</v>
      </c>
      <c r="N2010" s="62" t="s">
        <v>25491</v>
      </c>
      <c r="O2010" s="62" t="s">
        <v>25492</v>
      </c>
      <c r="P2010" s="62" t="s">
        <v>51256</v>
      </c>
      <c r="Q2010" s="62" t="s">
        <v>25493</v>
      </c>
      <c r="R2010" s="62" t="s">
        <v>25494</v>
      </c>
      <c r="S2010" s="62" t="s">
        <v>25495</v>
      </c>
      <c r="U2010" s="62" t="s">
        <v>25496</v>
      </c>
      <c r="V2010" s="62" t="s">
        <v>51297</v>
      </c>
      <c r="W2010" s="62" t="s">
        <v>25497</v>
      </c>
      <c r="X2010" s="62" t="s">
        <v>25498</v>
      </c>
      <c r="Y2010" s="62" t="s">
        <v>25499</v>
      </c>
      <c r="Z2010" s="62" t="s">
        <v>25500</v>
      </c>
      <c r="AA2010" s="62" t="s">
        <v>51338</v>
      </c>
      <c r="AB2010" s="62" t="s">
        <v>25501</v>
      </c>
      <c r="AC2010" s="62" t="s">
        <v>25502</v>
      </c>
      <c r="AD2010" s="62" t="s">
        <v>25503</v>
      </c>
    </row>
    <row r="2011" spans="1:30" x14ac:dyDescent="0.25">
      <c r="A2011" s="62" t="s">
        <v>109</v>
      </c>
      <c r="C2011" s="62" t="s">
        <v>25504</v>
      </c>
      <c r="F2011" s="62" t="s">
        <v>1090</v>
      </c>
      <c r="G2011" s="62" t="s">
        <v>51175</v>
      </c>
      <c r="J2011" s="62" t="s">
        <v>25505</v>
      </c>
      <c r="K2011" s="62" t="s">
        <v>51216</v>
      </c>
      <c r="L2011" s="62" t="s">
        <v>25506</v>
      </c>
      <c r="M2011" s="62" t="s">
        <v>25507</v>
      </c>
      <c r="N2011" s="62" t="s">
        <v>25508</v>
      </c>
      <c r="O2011" s="62" t="s">
        <v>25509</v>
      </c>
      <c r="P2011" s="62" t="s">
        <v>51257</v>
      </c>
      <c r="Q2011" s="62" t="s">
        <v>25510</v>
      </c>
      <c r="R2011" s="62" t="s">
        <v>25511</v>
      </c>
      <c r="S2011" s="62" t="s">
        <v>25512</v>
      </c>
      <c r="U2011" s="62" t="s">
        <v>25513</v>
      </c>
      <c r="V2011" s="62" t="s">
        <v>51298</v>
      </c>
      <c r="W2011" s="62" t="s">
        <v>25514</v>
      </c>
      <c r="X2011" s="62" t="s">
        <v>25515</v>
      </c>
      <c r="Y2011" s="62" t="s">
        <v>25516</v>
      </c>
      <c r="Z2011" s="62" t="s">
        <v>25517</v>
      </c>
      <c r="AA2011" s="62" t="s">
        <v>51339</v>
      </c>
      <c r="AB2011" s="62" t="s">
        <v>25518</v>
      </c>
      <c r="AC2011" s="62" t="s">
        <v>25519</v>
      </c>
      <c r="AD2011" s="62" t="s">
        <v>25520</v>
      </c>
    </row>
    <row r="2012" spans="1:30" x14ac:dyDescent="0.25">
      <c r="A2012" s="62" t="s">
        <v>109</v>
      </c>
      <c r="C2012" s="62" t="s">
        <v>25521</v>
      </c>
      <c r="F2012" s="62" t="s">
        <v>2372</v>
      </c>
      <c r="G2012" s="62" t="s">
        <v>51176</v>
      </c>
      <c r="J2012" s="62" t="s">
        <v>25522</v>
      </c>
      <c r="K2012" s="62" t="s">
        <v>51217</v>
      </c>
      <c r="L2012" s="62" t="s">
        <v>25523</v>
      </c>
      <c r="M2012" s="62" t="s">
        <v>25524</v>
      </c>
      <c r="N2012" s="62" t="s">
        <v>25525</v>
      </c>
      <c r="O2012" s="62" t="s">
        <v>25526</v>
      </c>
      <c r="P2012" s="62" t="s">
        <v>51258</v>
      </c>
      <c r="Q2012" s="62" t="s">
        <v>25527</v>
      </c>
      <c r="R2012" s="62" t="s">
        <v>25528</v>
      </c>
      <c r="S2012" s="62" t="s">
        <v>25529</v>
      </c>
      <c r="U2012" s="62" t="s">
        <v>25530</v>
      </c>
      <c r="V2012" s="62" t="s">
        <v>51299</v>
      </c>
      <c r="W2012" s="62" t="s">
        <v>25531</v>
      </c>
      <c r="X2012" s="62" t="s">
        <v>25532</v>
      </c>
      <c r="Y2012" s="62" t="s">
        <v>25533</v>
      </c>
      <c r="Z2012" s="62" t="s">
        <v>25534</v>
      </c>
      <c r="AA2012" s="62" t="s">
        <v>51340</v>
      </c>
      <c r="AB2012" s="62" t="s">
        <v>25535</v>
      </c>
      <c r="AC2012" s="62" t="s">
        <v>25536</v>
      </c>
      <c r="AD2012" s="62" t="s">
        <v>25537</v>
      </c>
    </row>
    <row r="2013" spans="1:30" x14ac:dyDescent="0.25">
      <c r="A2013" s="62" t="s">
        <v>109</v>
      </c>
      <c r="C2013" s="62" t="s">
        <v>25538</v>
      </c>
      <c r="F2013" s="62" t="s">
        <v>15081</v>
      </c>
      <c r="G2013" s="62" t="s">
        <v>51177</v>
      </c>
      <c r="J2013" s="62" t="s">
        <v>25539</v>
      </c>
      <c r="K2013" s="62" t="s">
        <v>51218</v>
      </c>
      <c r="L2013" s="62" t="s">
        <v>25540</v>
      </c>
      <c r="M2013" s="62" t="s">
        <v>25541</v>
      </c>
      <c r="N2013" s="62" t="s">
        <v>25542</v>
      </c>
      <c r="O2013" s="62" t="s">
        <v>25543</v>
      </c>
      <c r="P2013" s="62" t="s">
        <v>51259</v>
      </c>
      <c r="Q2013" s="62" t="s">
        <v>25544</v>
      </c>
      <c r="R2013" s="62" t="s">
        <v>25545</v>
      </c>
      <c r="S2013" s="62" t="s">
        <v>25546</v>
      </c>
      <c r="U2013" s="62" t="s">
        <v>25547</v>
      </c>
      <c r="V2013" s="62" t="s">
        <v>51300</v>
      </c>
      <c r="W2013" s="62" t="s">
        <v>25548</v>
      </c>
      <c r="X2013" s="62" t="s">
        <v>25549</v>
      </c>
      <c r="Y2013" s="62" t="s">
        <v>25550</v>
      </c>
      <c r="Z2013" s="62" t="s">
        <v>25551</v>
      </c>
      <c r="AA2013" s="62" t="s">
        <v>51341</v>
      </c>
      <c r="AB2013" s="62" t="s">
        <v>25552</v>
      </c>
      <c r="AC2013" s="62" t="s">
        <v>25553</v>
      </c>
      <c r="AD2013" s="62" t="s">
        <v>25554</v>
      </c>
    </row>
    <row r="2014" spans="1:30" x14ac:dyDescent="0.25">
      <c r="A2014" s="62" t="s">
        <v>109</v>
      </c>
      <c r="C2014" s="62" t="s">
        <v>25555</v>
      </c>
      <c r="F2014" s="62" t="s">
        <v>10577</v>
      </c>
      <c r="G2014" s="62" t="s">
        <v>51178</v>
      </c>
      <c r="J2014" s="62" t="s">
        <v>25556</v>
      </c>
      <c r="K2014" s="62" t="s">
        <v>51219</v>
      </c>
      <c r="L2014" s="62" t="s">
        <v>25557</v>
      </c>
      <c r="M2014" s="62" t="s">
        <v>25558</v>
      </c>
      <c r="N2014" s="62" t="s">
        <v>25559</v>
      </c>
      <c r="O2014" s="62" t="s">
        <v>25560</v>
      </c>
      <c r="P2014" s="62" t="s">
        <v>51260</v>
      </c>
      <c r="Q2014" s="62" t="s">
        <v>25561</v>
      </c>
      <c r="R2014" s="62" t="s">
        <v>25562</v>
      </c>
      <c r="S2014" s="62" t="s">
        <v>25563</v>
      </c>
      <c r="U2014" s="62" t="s">
        <v>25564</v>
      </c>
      <c r="V2014" s="62" t="s">
        <v>51301</v>
      </c>
      <c r="W2014" s="62" t="s">
        <v>25565</v>
      </c>
      <c r="X2014" s="62" t="s">
        <v>25566</v>
      </c>
      <c r="Y2014" s="62" t="s">
        <v>25567</v>
      </c>
      <c r="Z2014" s="62" t="s">
        <v>25568</v>
      </c>
      <c r="AA2014" s="62" t="s">
        <v>51342</v>
      </c>
      <c r="AB2014" s="62" t="s">
        <v>25569</v>
      </c>
      <c r="AC2014" s="62" t="s">
        <v>25570</v>
      </c>
      <c r="AD2014" s="62" t="s">
        <v>25571</v>
      </c>
    </row>
    <row r="2015" spans="1:30" x14ac:dyDescent="0.25">
      <c r="A2015" s="62" t="s">
        <v>109</v>
      </c>
      <c r="C2015" s="62" t="s">
        <v>25572</v>
      </c>
      <c r="F2015" s="62" t="s">
        <v>10631</v>
      </c>
      <c r="G2015" s="62" t="s">
        <v>51179</v>
      </c>
      <c r="J2015" s="62" t="s">
        <v>25573</v>
      </c>
      <c r="K2015" s="62" t="s">
        <v>51220</v>
      </c>
      <c r="L2015" s="62" t="s">
        <v>25574</v>
      </c>
      <c r="M2015" s="62" t="s">
        <v>25575</v>
      </c>
      <c r="N2015" s="62" t="s">
        <v>25576</v>
      </c>
      <c r="O2015" s="62" t="s">
        <v>25577</v>
      </c>
      <c r="P2015" s="62" t="s">
        <v>51261</v>
      </c>
      <c r="Q2015" s="62" t="s">
        <v>25578</v>
      </c>
      <c r="R2015" s="62" t="s">
        <v>25579</v>
      </c>
      <c r="S2015" s="62" t="s">
        <v>25580</v>
      </c>
      <c r="U2015" s="62" t="s">
        <v>25581</v>
      </c>
      <c r="V2015" s="62" t="s">
        <v>51302</v>
      </c>
      <c r="W2015" s="62" t="s">
        <v>25582</v>
      </c>
      <c r="X2015" s="62" t="s">
        <v>25583</v>
      </c>
      <c r="Y2015" s="62" t="s">
        <v>25584</v>
      </c>
      <c r="Z2015" s="62" t="s">
        <v>25585</v>
      </c>
      <c r="AA2015" s="62" t="s">
        <v>51343</v>
      </c>
      <c r="AB2015" s="62" t="s">
        <v>25586</v>
      </c>
      <c r="AC2015" s="62" t="s">
        <v>25587</v>
      </c>
      <c r="AD2015" s="62" t="s">
        <v>25588</v>
      </c>
    </row>
    <row r="2016" spans="1:30" x14ac:dyDescent="0.25">
      <c r="A2016" s="62" t="s">
        <v>109</v>
      </c>
      <c r="C2016" s="62" t="s">
        <v>25589</v>
      </c>
      <c r="F2016" s="62" t="s">
        <v>10667</v>
      </c>
      <c r="G2016" s="62" t="s">
        <v>51180</v>
      </c>
      <c r="J2016" s="62" t="s">
        <v>25590</v>
      </c>
      <c r="K2016" s="62" t="s">
        <v>51221</v>
      </c>
      <c r="L2016" s="62" t="s">
        <v>25591</v>
      </c>
      <c r="M2016" s="62" t="s">
        <v>25592</v>
      </c>
      <c r="N2016" s="62" t="s">
        <v>25593</v>
      </c>
      <c r="O2016" s="62" t="s">
        <v>25594</v>
      </c>
      <c r="P2016" s="62" t="s">
        <v>51262</v>
      </c>
      <c r="Q2016" s="62" t="s">
        <v>25595</v>
      </c>
      <c r="R2016" s="62" t="s">
        <v>25596</v>
      </c>
      <c r="S2016" s="62" t="s">
        <v>25597</v>
      </c>
      <c r="U2016" s="62" t="s">
        <v>25598</v>
      </c>
      <c r="V2016" s="62" t="s">
        <v>51303</v>
      </c>
      <c r="W2016" s="62" t="s">
        <v>25599</v>
      </c>
      <c r="X2016" s="62" t="s">
        <v>25600</v>
      </c>
      <c r="Y2016" s="62" t="s">
        <v>25601</v>
      </c>
      <c r="Z2016" s="62" t="s">
        <v>25602</v>
      </c>
      <c r="AA2016" s="62" t="s">
        <v>51344</v>
      </c>
      <c r="AB2016" s="62" t="s">
        <v>25603</v>
      </c>
      <c r="AC2016" s="62" t="s">
        <v>25604</v>
      </c>
      <c r="AD2016" s="62" t="s">
        <v>25605</v>
      </c>
    </row>
    <row r="2017" spans="1:30" x14ac:dyDescent="0.25">
      <c r="A2017" s="62" t="s">
        <v>109</v>
      </c>
      <c r="C2017" s="62" t="s">
        <v>25606</v>
      </c>
      <c r="F2017" s="62" t="s">
        <v>10685</v>
      </c>
      <c r="G2017" s="62" t="s">
        <v>51181</v>
      </c>
      <c r="J2017" s="62" t="s">
        <v>25607</v>
      </c>
      <c r="K2017" s="62" t="s">
        <v>51222</v>
      </c>
      <c r="L2017" s="62" t="s">
        <v>25608</v>
      </c>
      <c r="M2017" s="62" t="s">
        <v>25609</v>
      </c>
      <c r="N2017" s="62" t="s">
        <v>25610</v>
      </c>
      <c r="O2017" s="62" t="s">
        <v>25611</v>
      </c>
      <c r="P2017" s="62" t="s">
        <v>51263</v>
      </c>
      <c r="Q2017" s="62" t="s">
        <v>25612</v>
      </c>
      <c r="R2017" s="62" t="s">
        <v>25613</v>
      </c>
      <c r="S2017" s="62" t="s">
        <v>25614</v>
      </c>
      <c r="U2017" s="62" t="s">
        <v>25615</v>
      </c>
      <c r="V2017" s="62" t="s">
        <v>51304</v>
      </c>
      <c r="W2017" s="62" t="s">
        <v>25616</v>
      </c>
      <c r="X2017" s="62" t="s">
        <v>25617</v>
      </c>
      <c r="Y2017" s="62" t="s">
        <v>25618</v>
      </c>
      <c r="Z2017" s="62" t="s">
        <v>25619</v>
      </c>
      <c r="AA2017" s="62" t="s">
        <v>51345</v>
      </c>
      <c r="AB2017" s="62" t="s">
        <v>25620</v>
      </c>
      <c r="AC2017" s="62" t="s">
        <v>25621</v>
      </c>
      <c r="AD2017" s="62" t="s">
        <v>25622</v>
      </c>
    </row>
    <row r="2018" spans="1:30" x14ac:dyDescent="0.25">
      <c r="A2018" s="62" t="s">
        <v>109</v>
      </c>
      <c r="C2018" s="62" t="s">
        <v>25623</v>
      </c>
      <c r="F2018" s="62" t="s">
        <v>10703</v>
      </c>
      <c r="G2018" s="62" t="s">
        <v>51182</v>
      </c>
      <c r="J2018" s="62" t="s">
        <v>25624</v>
      </c>
      <c r="K2018" s="62" t="s">
        <v>51223</v>
      </c>
      <c r="L2018" s="62" t="s">
        <v>25625</v>
      </c>
      <c r="M2018" s="62" t="s">
        <v>25626</v>
      </c>
      <c r="N2018" s="62" t="s">
        <v>25627</v>
      </c>
      <c r="O2018" s="62" t="s">
        <v>25628</v>
      </c>
      <c r="P2018" s="62" t="s">
        <v>51264</v>
      </c>
      <c r="Q2018" s="62" t="s">
        <v>25629</v>
      </c>
      <c r="R2018" s="62" t="s">
        <v>25630</v>
      </c>
      <c r="S2018" s="62" t="s">
        <v>25631</v>
      </c>
      <c r="U2018" s="62" t="s">
        <v>25632</v>
      </c>
      <c r="V2018" s="62" t="s">
        <v>51305</v>
      </c>
      <c r="W2018" s="62" t="s">
        <v>25633</v>
      </c>
      <c r="X2018" s="62" t="s">
        <v>25634</v>
      </c>
      <c r="Y2018" s="62" t="s">
        <v>25635</v>
      </c>
      <c r="Z2018" s="62" t="s">
        <v>25636</v>
      </c>
      <c r="AA2018" s="62" t="s">
        <v>51346</v>
      </c>
      <c r="AB2018" s="62" t="s">
        <v>25637</v>
      </c>
      <c r="AC2018" s="62" t="s">
        <v>25638</v>
      </c>
      <c r="AD2018" s="62" t="s">
        <v>25639</v>
      </c>
    </row>
    <row r="2019" spans="1:30" x14ac:dyDescent="0.25">
      <c r="A2019" s="62" t="s">
        <v>109</v>
      </c>
      <c r="C2019" s="62" t="s">
        <v>25640</v>
      </c>
      <c r="F2019" s="62" t="s">
        <v>10721</v>
      </c>
      <c r="G2019" s="62" t="s">
        <v>51183</v>
      </c>
      <c r="J2019" s="62" t="s">
        <v>25641</v>
      </c>
      <c r="K2019" s="62" t="s">
        <v>51224</v>
      </c>
      <c r="L2019" s="62" t="s">
        <v>25642</v>
      </c>
      <c r="M2019" s="62" t="s">
        <v>25643</v>
      </c>
      <c r="N2019" s="62" t="s">
        <v>25644</v>
      </c>
      <c r="O2019" s="62" t="s">
        <v>25645</v>
      </c>
      <c r="P2019" s="62" t="s">
        <v>51265</v>
      </c>
      <c r="Q2019" s="62" t="s">
        <v>25646</v>
      </c>
      <c r="R2019" s="62" t="s">
        <v>25647</v>
      </c>
      <c r="S2019" s="62" t="s">
        <v>25648</v>
      </c>
      <c r="U2019" s="62" t="s">
        <v>25649</v>
      </c>
      <c r="V2019" s="62" t="s">
        <v>51306</v>
      </c>
      <c r="W2019" s="62" t="s">
        <v>25650</v>
      </c>
      <c r="X2019" s="62" t="s">
        <v>25651</v>
      </c>
      <c r="Y2019" s="62" t="s">
        <v>25652</v>
      </c>
      <c r="Z2019" s="62" t="s">
        <v>25653</v>
      </c>
      <c r="AA2019" s="62" t="s">
        <v>51347</v>
      </c>
      <c r="AB2019" s="62" t="s">
        <v>25654</v>
      </c>
      <c r="AC2019" s="62" t="s">
        <v>25655</v>
      </c>
      <c r="AD2019" s="62" t="s">
        <v>25656</v>
      </c>
    </row>
    <row r="2020" spans="1:30" x14ac:dyDescent="0.25">
      <c r="A2020" s="62" t="s">
        <v>109</v>
      </c>
      <c r="C2020" s="62" t="s">
        <v>25657</v>
      </c>
      <c r="F2020" s="62" t="s">
        <v>10757</v>
      </c>
      <c r="G2020" s="62" t="s">
        <v>51184</v>
      </c>
      <c r="J2020" s="62" t="s">
        <v>25658</v>
      </c>
      <c r="K2020" s="62" t="s">
        <v>51225</v>
      </c>
      <c r="L2020" s="62" t="s">
        <v>25659</v>
      </c>
      <c r="M2020" s="62" t="s">
        <v>25660</v>
      </c>
      <c r="N2020" s="62" t="s">
        <v>25661</v>
      </c>
      <c r="O2020" s="62" t="s">
        <v>25662</v>
      </c>
      <c r="P2020" s="62" t="s">
        <v>51266</v>
      </c>
      <c r="Q2020" s="62" t="s">
        <v>25663</v>
      </c>
      <c r="R2020" s="62" t="s">
        <v>25664</v>
      </c>
      <c r="S2020" s="62" t="s">
        <v>25665</v>
      </c>
      <c r="U2020" s="62" t="s">
        <v>25666</v>
      </c>
      <c r="V2020" s="62" t="s">
        <v>51307</v>
      </c>
      <c r="W2020" s="62" t="s">
        <v>25667</v>
      </c>
      <c r="X2020" s="62" t="s">
        <v>25668</v>
      </c>
      <c r="Y2020" s="62" t="s">
        <v>25669</v>
      </c>
      <c r="Z2020" s="62" t="s">
        <v>25670</v>
      </c>
      <c r="AA2020" s="62" t="s">
        <v>51348</v>
      </c>
      <c r="AB2020" s="62" t="s">
        <v>25671</v>
      </c>
      <c r="AC2020" s="62" t="s">
        <v>25672</v>
      </c>
      <c r="AD2020" s="62" t="s">
        <v>25673</v>
      </c>
    </row>
    <row r="2021" spans="1:30" x14ac:dyDescent="0.25">
      <c r="A2021" s="62" t="s">
        <v>109</v>
      </c>
      <c r="C2021" s="62" t="s">
        <v>25674</v>
      </c>
      <c r="F2021" s="62" t="s">
        <v>10793</v>
      </c>
      <c r="G2021" s="62" t="s">
        <v>51185</v>
      </c>
      <c r="J2021" s="62" t="s">
        <v>25675</v>
      </c>
      <c r="K2021" s="62" t="s">
        <v>51226</v>
      </c>
      <c r="L2021" s="62" t="s">
        <v>25676</v>
      </c>
      <c r="M2021" s="62" t="s">
        <v>25677</v>
      </c>
      <c r="N2021" s="62" t="s">
        <v>25678</v>
      </c>
      <c r="O2021" s="62" t="s">
        <v>25679</v>
      </c>
      <c r="P2021" s="62" t="s">
        <v>51267</v>
      </c>
      <c r="Q2021" s="62" t="s">
        <v>25680</v>
      </c>
      <c r="R2021" s="62" t="s">
        <v>25681</v>
      </c>
      <c r="S2021" s="62" t="s">
        <v>25682</v>
      </c>
      <c r="U2021" s="62" t="s">
        <v>25683</v>
      </c>
      <c r="V2021" s="62" t="s">
        <v>51308</v>
      </c>
      <c r="W2021" s="62" t="s">
        <v>25684</v>
      </c>
      <c r="X2021" s="62" t="s">
        <v>25685</v>
      </c>
      <c r="Y2021" s="62" t="s">
        <v>25686</v>
      </c>
      <c r="Z2021" s="62" t="s">
        <v>25687</v>
      </c>
      <c r="AA2021" s="62" t="s">
        <v>51349</v>
      </c>
      <c r="AB2021" s="62" t="s">
        <v>25688</v>
      </c>
      <c r="AC2021" s="62" t="s">
        <v>25689</v>
      </c>
      <c r="AD2021" s="62" t="s">
        <v>25690</v>
      </c>
    </row>
    <row r="2022" spans="1:30" x14ac:dyDescent="0.25">
      <c r="A2022" s="62" t="s">
        <v>109</v>
      </c>
      <c r="C2022" s="62" t="s">
        <v>25691</v>
      </c>
      <c r="F2022" s="62" t="s">
        <v>10811</v>
      </c>
      <c r="G2022" s="62" t="s">
        <v>51186</v>
      </c>
      <c r="J2022" s="62" t="s">
        <v>25692</v>
      </c>
      <c r="K2022" s="62" t="s">
        <v>51227</v>
      </c>
      <c r="L2022" s="62" t="s">
        <v>25693</v>
      </c>
      <c r="M2022" s="62" t="s">
        <v>25694</v>
      </c>
      <c r="N2022" s="62" t="s">
        <v>25695</v>
      </c>
      <c r="O2022" s="62" t="s">
        <v>25696</v>
      </c>
      <c r="P2022" s="62" t="s">
        <v>51268</v>
      </c>
      <c r="Q2022" s="62" t="s">
        <v>25697</v>
      </c>
      <c r="R2022" s="62" t="s">
        <v>25698</v>
      </c>
      <c r="S2022" s="62" t="s">
        <v>25699</v>
      </c>
      <c r="U2022" s="62" t="s">
        <v>25700</v>
      </c>
      <c r="V2022" s="62" t="s">
        <v>51309</v>
      </c>
      <c r="W2022" s="62" t="s">
        <v>25701</v>
      </c>
      <c r="X2022" s="62" t="s">
        <v>25702</v>
      </c>
      <c r="Y2022" s="62" t="s">
        <v>25703</v>
      </c>
      <c r="Z2022" s="62" t="s">
        <v>25704</v>
      </c>
      <c r="AA2022" s="62" t="s">
        <v>51350</v>
      </c>
      <c r="AB2022" s="62" t="s">
        <v>25705</v>
      </c>
      <c r="AC2022" s="62" t="s">
        <v>25706</v>
      </c>
      <c r="AD2022" s="62" t="s">
        <v>25707</v>
      </c>
    </row>
    <row r="2023" spans="1:30" x14ac:dyDescent="0.25">
      <c r="A2023" s="62" t="s">
        <v>109</v>
      </c>
      <c r="C2023" s="62" t="s">
        <v>25708</v>
      </c>
      <c r="F2023" s="62" t="s">
        <v>10829</v>
      </c>
      <c r="G2023" s="62" t="s">
        <v>51187</v>
      </c>
      <c r="J2023" s="62" t="s">
        <v>25709</v>
      </c>
      <c r="K2023" s="62" t="s">
        <v>51228</v>
      </c>
      <c r="L2023" s="62" t="s">
        <v>25710</v>
      </c>
      <c r="M2023" s="62" t="s">
        <v>25711</v>
      </c>
      <c r="N2023" s="62" t="s">
        <v>25712</v>
      </c>
      <c r="O2023" s="62" t="s">
        <v>25713</v>
      </c>
      <c r="P2023" s="62" t="s">
        <v>51269</v>
      </c>
      <c r="Q2023" s="62" t="s">
        <v>25714</v>
      </c>
      <c r="R2023" s="62" t="s">
        <v>25715</v>
      </c>
      <c r="S2023" s="62" t="s">
        <v>25716</v>
      </c>
      <c r="U2023" s="62" t="s">
        <v>25717</v>
      </c>
      <c r="V2023" s="62" t="s">
        <v>51310</v>
      </c>
      <c r="W2023" s="62" t="s">
        <v>25718</v>
      </c>
      <c r="X2023" s="62" t="s">
        <v>25719</v>
      </c>
      <c r="Y2023" s="62" t="s">
        <v>25720</v>
      </c>
      <c r="Z2023" s="62" t="s">
        <v>25721</v>
      </c>
      <c r="AA2023" s="62" t="s">
        <v>51351</v>
      </c>
      <c r="AB2023" s="62" t="s">
        <v>25722</v>
      </c>
      <c r="AC2023" s="62" t="s">
        <v>25723</v>
      </c>
      <c r="AD2023" s="62" t="s">
        <v>25724</v>
      </c>
    </row>
    <row r="2024" spans="1:30" x14ac:dyDescent="0.25">
      <c r="A2024" s="62" t="s">
        <v>109</v>
      </c>
      <c r="C2024" s="62" t="s">
        <v>25725</v>
      </c>
      <c r="F2024" s="62" t="s">
        <v>10865</v>
      </c>
      <c r="G2024" s="62" t="s">
        <v>51188</v>
      </c>
      <c r="J2024" s="62" t="s">
        <v>25726</v>
      </c>
      <c r="K2024" s="62" t="s">
        <v>51229</v>
      </c>
      <c r="L2024" s="62" t="s">
        <v>25727</v>
      </c>
      <c r="M2024" s="62" t="s">
        <v>25728</v>
      </c>
      <c r="N2024" s="62" t="s">
        <v>25729</v>
      </c>
      <c r="O2024" s="62" t="s">
        <v>25730</v>
      </c>
      <c r="P2024" s="62" t="s">
        <v>51270</v>
      </c>
      <c r="Q2024" s="62" t="s">
        <v>25731</v>
      </c>
      <c r="R2024" s="62" t="s">
        <v>25732</v>
      </c>
      <c r="S2024" s="62" t="s">
        <v>25733</v>
      </c>
      <c r="U2024" s="62" t="s">
        <v>25734</v>
      </c>
      <c r="V2024" s="62" t="s">
        <v>51311</v>
      </c>
      <c r="W2024" s="62" t="s">
        <v>25735</v>
      </c>
      <c r="X2024" s="62" t="s">
        <v>25736</v>
      </c>
      <c r="Y2024" s="62" t="s">
        <v>25737</v>
      </c>
      <c r="Z2024" s="62" t="s">
        <v>25738</v>
      </c>
      <c r="AA2024" s="62" t="s">
        <v>51352</v>
      </c>
      <c r="AB2024" s="62" t="s">
        <v>25739</v>
      </c>
      <c r="AC2024" s="62" t="s">
        <v>25740</v>
      </c>
      <c r="AD2024" s="62" t="s">
        <v>25741</v>
      </c>
    </row>
    <row r="2025" spans="1:30" x14ac:dyDescent="0.25">
      <c r="A2025" s="62" t="s">
        <v>109</v>
      </c>
      <c r="C2025" s="62" t="s">
        <v>25742</v>
      </c>
      <c r="F2025" s="62" t="s">
        <v>13238</v>
      </c>
      <c r="G2025" s="62" t="s">
        <v>51189</v>
      </c>
      <c r="J2025" s="62" t="s">
        <v>25743</v>
      </c>
      <c r="K2025" s="62" t="s">
        <v>51230</v>
      </c>
      <c r="L2025" s="62" t="s">
        <v>25744</v>
      </c>
      <c r="M2025" s="62" t="s">
        <v>25745</v>
      </c>
      <c r="N2025" s="62" t="s">
        <v>25746</v>
      </c>
      <c r="O2025" s="62" t="s">
        <v>25747</v>
      </c>
      <c r="P2025" s="62" t="s">
        <v>51271</v>
      </c>
      <c r="Q2025" s="62" t="s">
        <v>25748</v>
      </c>
      <c r="R2025" s="62" t="s">
        <v>25749</v>
      </c>
      <c r="S2025" s="62" t="s">
        <v>25750</v>
      </c>
      <c r="U2025" s="62" t="s">
        <v>25751</v>
      </c>
      <c r="V2025" s="62" t="s">
        <v>51312</v>
      </c>
      <c r="W2025" s="62" t="s">
        <v>25752</v>
      </c>
      <c r="X2025" s="62" t="s">
        <v>25753</v>
      </c>
      <c r="Y2025" s="62" t="s">
        <v>25754</v>
      </c>
      <c r="Z2025" s="62" t="s">
        <v>25755</v>
      </c>
      <c r="AA2025" s="62" t="s">
        <v>51353</v>
      </c>
      <c r="AB2025" s="62" t="s">
        <v>25756</v>
      </c>
      <c r="AC2025" s="62" t="s">
        <v>25757</v>
      </c>
      <c r="AD2025" s="62" t="s">
        <v>25758</v>
      </c>
    </row>
    <row r="2026" spans="1:30" x14ac:dyDescent="0.25">
      <c r="A2026" s="62" t="s">
        <v>109</v>
      </c>
      <c r="C2026" s="62" t="s">
        <v>25759</v>
      </c>
      <c r="F2026" s="62" t="s">
        <v>1152</v>
      </c>
      <c r="G2026" s="62" t="s">
        <v>51190</v>
      </c>
      <c r="J2026" s="62" t="s">
        <v>25760</v>
      </c>
      <c r="K2026" s="62" t="s">
        <v>51231</v>
      </c>
      <c r="L2026" s="62" t="s">
        <v>25761</v>
      </c>
      <c r="M2026" s="62" t="s">
        <v>25762</v>
      </c>
      <c r="N2026" s="62" t="s">
        <v>25763</v>
      </c>
      <c r="O2026" s="62" t="s">
        <v>25764</v>
      </c>
      <c r="P2026" s="62" t="s">
        <v>51272</v>
      </c>
      <c r="Q2026" s="62" t="s">
        <v>25765</v>
      </c>
      <c r="R2026" s="62" t="s">
        <v>25766</v>
      </c>
      <c r="S2026" s="62" t="s">
        <v>25767</v>
      </c>
      <c r="U2026" s="62" t="s">
        <v>25768</v>
      </c>
      <c r="V2026" s="62" t="s">
        <v>51313</v>
      </c>
      <c r="W2026" s="62" t="s">
        <v>25769</v>
      </c>
      <c r="X2026" s="62" t="s">
        <v>25770</v>
      </c>
      <c r="Y2026" s="62" t="s">
        <v>25771</v>
      </c>
      <c r="Z2026" s="62" t="s">
        <v>25772</v>
      </c>
      <c r="AA2026" s="62" t="s">
        <v>51354</v>
      </c>
      <c r="AB2026" s="62" t="s">
        <v>25773</v>
      </c>
      <c r="AC2026" s="62" t="s">
        <v>25774</v>
      </c>
      <c r="AD2026" s="62" t="s">
        <v>25775</v>
      </c>
    </row>
    <row r="2027" spans="1:30" x14ac:dyDescent="0.25">
      <c r="A2027" s="62" t="s">
        <v>109</v>
      </c>
      <c r="C2027" s="62" t="s">
        <v>25776</v>
      </c>
      <c r="F2027" s="62" t="s">
        <v>1249</v>
      </c>
      <c r="G2027" s="62" t="s">
        <v>51191</v>
      </c>
      <c r="J2027" s="62" t="s">
        <v>25777</v>
      </c>
      <c r="K2027" s="62" t="s">
        <v>51232</v>
      </c>
      <c r="L2027" s="62" t="s">
        <v>25778</v>
      </c>
      <c r="M2027" s="62" t="s">
        <v>25779</v>
      </c>
      <c r="N2027" s="62" t="s">
        <v>25780</v>
      </c>
      <c r="O2027" s="62" t="s">
        <v>25781</v>
      </c>
      <c r="P2027" s="62" t="s">
        <v>51273</v>
      </c>
      <c r="Q2027" s="62" t="s">
        <v>25782</v>
      </c>
      <c r="R2027" s="62" t="s">
        <v>25783</v>
      </c>
      <c r="S2027" s="62" t="s">
        <v>25784</v>
      </c>
      <c r="U2027" s="62" t="s">
        <v>25785</v>
      </c>
      <c r="V2027" s="62" t="s">
        <v>51314</v>
      </c>
      <c r="W2027" s="62" t="s">
        <v>25786</v>
      </c>
      <c r="X2027" s="62" t="s">
        <v>25787</v>
      </c>
      <c r="Y2027" s="62" t="s">
        <v>25788</v>
      </c>
      <c r="Z2027" s="62" t="s">
        <v>25789</v>
      </c>
      <c r="AA2027" s="62" t="s">
        <v>51355</v>
      </c>
      <c r="AB2027" s="62" t="s">
        <v>25790</v>
      </c>
      <c r="AC2027" s="62" t="s">
        <v>25791</v>
      </c>
      <c r="AD2027" s="62" t="s">
        <v>25792</v>
      </c>
    </row>
    <row r="2028" spans="1:30" x14ac:dyDescent="0.25">
      <c r="A2028" s="62" t="s">
        <v>109</v>
      </c>
      <c r="C2028" s="62" t="s">
        <v>25793</v>
      </c>
      <c r="F2028" s="62" t="s">
        <v>10927</v>
      </c>
      <c r="G2028" s="62" t="s">
        <v>51192</v>
      </c>
      <c r="J2028" s="62" t="s">
        <v>25794</v>
      </c>
      <c r="K2028" s="62" t="s">
        <v>51233</v>
      </c>
      <c r="L2028" s="62" t="s">
        <v>25795</v>
      </c>
      <c r="M2028" s="62" t="s">
        <v>25796</v>
      </c>
      <c r="N2028" s="62" t="s">
        <v>25797</v>
      </c>
      <c r="O2028" s="62" t="s">
        <v>25798</v>
      </c>
      <c r="P2028" s="62" t="s">
        <v>51274</v>
      </c>
      <c r="Q2028" s="62" t="s">
        <v>25799</v>
      </c>
      <c r="R2028" s="62" t="s">
        <v>25800</v>
      </c>
      <c r="S2028" s="62" t="s">
        <v>25801</v>
      </c>
      <c r="U2028" s="62" t="s">
        <v>25802</v>
      </c>
      <c r="V2028" s="62" t="s">
        <v>51315</v>
      </c>
      <c r="W2028" s="62" t="s">
        <v>25803</v>
      </c>
      <c r="X2028" s="62" t="s">
        <v>25804</v>
      </c>
      <c r="Y2028" s="62" t="s">
        <v>25805</v>
      </c>
      <c r="Z2028" s="62" t="s">
        <v>25806</v>
      </c>
      <c r="AA2028" s="62" t="s">
        <v>51356</v>
      </c>
      <c r="AB2028" s="62" t="s">
        <v>25807</v>
      </c>
      <c r="AC2028" s="62" t="s">
        <v>25808</v>
      </c>
      <c r="AD2028" s="62" t="s">
        <v>25809</v>
      </c>
    </row>
    <row r="2029" spans="1:30" x14ac:dyDescent="0.25">
      <c r="A2029" s="62" t="s">
        <v>109</v>
      </c>
      <c r="C2029" s="62" t="s">
        <v>25810</v>
      </c>
      <c r="F2029" s="62" t="s">
        <v>10929</v>
      </c>
      <c r="G2029" s="62" t="s">
        <v>51193</v>
      </c>
      <c r="J2029" s="62" t="s">
        <v>25811</v>
      </c>
      <c r="K2029" s="62" t="s">
        <v>51234</v>
      </c>
      <c r="L2029" s="62" t="s">
        <v>25812</v>
      </c>
      <c r="M2029" s="62" t="s">
        <v>25813</v>
      </c>
      <c r="N2029" s="62" t="s">
        <v>25814</v>
      </c>
      <c r="O2029" s="62" t="s">
        <v>25815</v>
      </c>
      <c r="P2029" s="62" t="s">
        <v>51275</v>
      </c>
      <c r="Q2029" s="62" t="s">
        <v>25816</v>
      </c>
      <c r="R2029" s="62" t="s">
        <v>25817</v>
      </c>
      <c r="S2029" s="62" t="s">
        <v>25818</v>
      </c>
      <c r="U2029" s="62" t="s">
        <v>25819</v>
      </c>
      <c r="V2029" s="62" t="s">
        <v>51316</v>
      </c>
      <c r="W2029" s="62" t="s">
        <v>25820</v>
      </c>
      <c r="X2029" s="62" t="s">
        <v>25821</v>
      </c>
      <c r="Y2029" s="62" t="s">
        <v>25822</v>
      </c>
      <c r="Z2029" s="62" t="s">
        <v>25823</v>
      </c>
      <c r="AA2029" s="62" t="s">
        <v>51357</v>
      </c>
      <c r="AB2029" s="62" t="s">
        <v>25824</v>
      </c>
      <c r="AC2029" s="62" t="s">
        <v>25825</v>
      </c>
      <c r="AD2029" s="62" t="s">
        <v>25826</v>
      </c>
    </row>
    <row r="2030" spans="1:30" x14ac:dyDescent="0.25">
      <c r="A2030" s="62" t="s">
        <v>109</v>
      </c>
      <c r="C2030" s="62" t="s">
        <v>25827</v>
      </c>
      <c r="F2030" s="62" t="s">
        <v>10947</v>
      </c>
      <c r="G2030" s="62" t="s">
        <v>51194</v>
      </c>
      <c r="J2030" s="62" t="s">
        <v>25828</v>
      </c>
      <c r="K2030" s="62" t="s">
        <v>51235</v>
      </c>
      <c r="L2030" s="62" t="s">
        <v>25829</v>
      </c>
      <c r="M2030" s="62" t="s">
        <v>25830</v>
      </c>
      <c r="N2030" s="62" t="s">
        <v>25831</v>
      </c>
      <c r="O2030" s="62" t="s">
        <v>25832</v>
      </c>
      <c r="P2030" s="62" t="s">
        <v>51276</v>
      </c>
      <c r="Q2030" s="62" t="s">
        <v>25833</v>
      </c>
      <c r="R2030" s="62" t="s">
        <v>25834</v>
      </c>
      <c r="S2030" s="62" t="s">
        <v>25835</v>
      </c>
      <c r="U2030" s="62" t="s">
        <v>25836</v>
      </c>
      <c r="V2030" s="62" t="s">
        <v>51317</v>
      </c>
      <c r="W2030" s="62" t="s">
        <v>25837</v>
      </c>
      <c r="X2030" s="62" t="s">
        <v>25838</v>
      </c>
      <c r="Y2030" s="62" t="s">
        <v>25839</v>
      </c>
      <c r="Z2030" s="62" t="s">
        <v>25840</v>
      </c>
      <c r="AA2030" s="62" t="s">
        <v>51358</v>
      </c>
      <c r="AB2030" s="62" t="s">
        <v>25841</v>
      </c>
      <c r="AC2030" s="62" t="s">
        <v>25842</v>
      </c>
      <c r="AD2030" s="62" t="s">
        <v>25843</v>
      </c>
    </row>
    <row r="2031" spans="1:30" x14ac:dyDescent="0.25">
      <c r="A2031" s="62" t="s">
        <v>109</v>
      </c>
      <c r="C2031" s="62" t="s">
        <v>25844</v>
      </c>
      <c r="F2031" s="62" t="s">
        <v>24051</v>
      </c>
      <c r="G2031" s="62" t="s">
        <v>51195</v>
      </c>
      <c r="J2031" s="62" t="s">
        <v>25845</v>
      </c>
      <c r="K2031" s="62" t="s">
        <v>51236</v>
      </c>
      <c r="L2031" s="62" t="s">
        <v>25846</v>
      </c>
      <c r="M2031" s="62" t="s">
        <v>25847</v>
      </c>
      <c r="N2031" s="62" t="s">
        <v>25848</v>
      </c>
      <c r="O2031" s="62" t="s">
        <v>25849</v>
      </c>
      <c r="P2031" s="62" t="s">
        <v>51277</v>
      </c>
      <c r="Q2031" s="62" t="s">
        <v>25850</v>
      </c>
      <c r="R2031" s="62" t="s">
        <v>25851</v>
      </c>
      <c r="S2031" s="62" t="s">
        <v>25852</v>
      </c>
      <c r="U2031" s="62" t="s">
        <v>25853</v>
      </c>
      <c r="V2031" s="62" t="s">
        <v>51318</v>
      </c>
      <c r="W2031" s="62" t="s">
        <v>25854</v>
      </c>
      <c r="X2031" s="62" t="s">
        <v>25855</v>
      </c>
      <c r="Y2031" s="62" t="s">
        <v>25856</v>
      </c>
      <c r="Z2031" s="62" t="s">
        <v>25857</v>
      </c>
      <c r="AA2031" s="62" t="s">
        <v>51359</v>
      </c>
      <c r="AB2031" s="62" t="s">
        <v>25858</v>
      </c>
      <c r="AC2031" s="62" t="s">
        <v>25859</v>
      </c>
      <c r="AD2031" s="62" t="s">
        <v>25860</v>
      </c>
    </row>
    <row r="2032" spans="1:30" x14ac:dyDescent="0.25">
      <c r="A2032" s="62" t="s">
        <v>109</v>
      </c>
      <c r="C2032" s="62" t="s">
        <v>25861</v>
      </c>
      <c r="F2032" s="62" t="s">
        <v>22359</v>
      </c>
      <c r="G2032" s="62" t="s">
        <v>51196</v>
      </c>
      <c r="J2032" s="62" t="s">
        <v>25862</v>
      </c>
      <c r="K2032" s="62" t="s">
        <v>51237</v>
      </c>
      <c r="L2032" s="62" t="s">
        <v>25863</v>
      </c>
      <c r="M2032" s="62" t="s">
        <v>25864</v>
      </c>
      <c r="N2032" s="62" t="s">
        <v>25865</v>
      </c>
      <c r="O2032" s="62" t="s">
        <v>25866</v>
      </c>
      <c r="P2032" s="62" t="s">
        <v>51278</v>
      </c>
      <c r="Q2032" s="62" t="s">
        <v>25867</v>
      </c>
      <c r="R2032" s="62" t="s">
        <v>25868</v>
      </c>
      <c r="S2032" s="62" t="s">
        <v>25869</v>
      </c>
      <c r="U2032" s="62" t="s">
        <v>25870</v>
      </c>
      <c r="V2032" s="62" t="s">
        <v>51319</v>
      </c>
      <c r="W2032" s="62" t="s">
        <v>25871</v>
      </c>
      <c r="X2032" s="62" t="s">
        <v>25872</v>
      </c>
      <c r="Y2032" s="62" t="s">
        <v>25873</v>
      </c>
      <c r="Z2032" s="62" t="s">
        <v>25874</v>
      </c>
      <c r="AA2032" s="62" t="s">
        <v>51360</v>
      </c>
      <c r="AB2032" s="62" t="s">
        <v>25875</v>
      </c>
      <c r="AC2032" s="62" t="s">
        <v>25876</v>
      </c>
      <c r="AD2032" s="62" t="s">
        <v>25877</v>
      </c>
    </row>
    <row r="2033" spans="1:30" x14ac:dyDescent="0.25">
      <c r="A2033" s="62" t="s">
        <v>109</v>
      </c>
      <c r="C2033" s="62" t="s">
        <v>25878</v>
      </c>
      <c r="F2033" s="62" t="s">
        <v>10981</v>
      </c>
      <c r="G2033" s="62" t="s">
        <v>51197</v>
      </c>
      <c r="J2033" s="62" t="s">
        <v>25879</v>
      </c>
      <c r="K2033" s="62" t="s">
        <v>51238</v>
      </c>
      <c r="L2033" s="62" t="s">
        <v>25880</v>
      </c>
      <c r="M2033" s="62" t="s">
        <v>25881</v>
      </c>
      <c r="N2033" s="62" t="s">
        <v>25882</v>
      </c>
      <c r="O2033" s="62" t="s">
        <v>25883</v>
      </c>
      <c r="P2033" s="62" t="s">
        <v>51279</v>
      </c>
      <c r="Q2033" s="62" t="s">
        <v>25884</v>
      </c>
      <c r="R2033" s="62" t="s">
        <v>25885</v>
      </c>
      <c r="S2033" s="62" t="s">
        <v>25886</v>
      </c>
      <c r="U2033" s="62" t="s">
        <v>25887</v>
      </c>
      <c r="V2033" s="62" t="s">
        <v>51320</v>
      </c>
      <c r="W2033" s="62" t="s">
        <v>25888</v>
      </c>
      <c r="X2033" s="62" t="s">
        <v>25889</v>
      </c>
      <c r="Y2033" s="62" t="s">
        <v>25890</v>
      </c>
      <c r="Z2033" s="62" t="s">
        <v>25891</v>
      </c>
      <c r="AA2033" s="62" t="s">
        <v>51361</v>
      </c>
      <c r="AB2033" s="62" t="s">
        <v>25892</v>
      </c>
      <c r="AC2033" s="62" t="s">
        <v>25893</v>
      </c>
      <c r="AD2033" s="62" t="s">
        <v>25894</v>
      </c>
    </row>
    <row r="2034" spans="1:30" x14ac:dyDescent="0.25">
      <c r="A2034" s="62" t="s">
        <v>109</v>
      </c>
      <c r="C2034" s="62" t="s">
        <v>25290</v>
      </c>
    </row>
    <row r="2035" spans="1:30" x14ac:dyDescent="0.25">
      <c r="A2035" s="62" t="s">
        <v>109</v>
      </c>
      <c r="C2035" s="62" t="s">
        <v>25895</v>
      </c>
      <c r="G2035" s="62" t="s">
        <v>44479</v>
      </c>
      <c r="J2035" s="62" t="s">
        <v>44480</v>
      </c>
      <c r="K2035" s="62" t="s">
        <v>44481</v>
      </c>
      <c r="L2035" s="62" t="s">
        <v>44482</v>
      </c>
      <c r="M2035" s="62" t="s">
        <v>25896</v>
      </c>
      <c r="N2035" s="62" t="s">
        <v>25897</v>
      </c>
      <c r="O2035" s="62" t="s">
        <v>44483</v>
      </c>
      <c r="P2035" s="62" t="s">
        <v>44484</v>
      </c>
      <c r="Q2035" s="62" t="s">
        <v>44485</v>
      </c>
      <c r="R2035" s="62" t="s">
        <v>25898</v>
      </c>
      <c r="S2035" s="62" t="s">
        <v>25899</v>
      </c>
      <c r="U2035" s="62" t="s">
        <v>44486</v>
      </c>
      <c r="V2035" s="62" t="s">
        <v>44487</v>
      </c>
      <c r="W2035" s="62" t="s">
        <v>44488</v>
      </c>
      <c r="X2035" s="62" t="s">
        <v>25900</v>
      </c>
      <c r="Y2035" s="62" t="s">
        <v>25901</v>
      </c>
      <c r="Z2035" s="62" t="s">
        <v>44489</v>
      </c>
      <c r="AA2035" s="62" t="s">
        <v>44490</v>
      </c>
      <c r="AB2035" s="62" t="s">
        <v>44491</v>
      </c>
      <c r="AC2035" s="62" t="s">
        <v>25902</v>
      </c>
      <c r="AD2035" s="62" t="s">
        <v>25903</v>
      </c>
    </row>
    <row r="2036" spans="1:30" x14ac:dyDescent="0.25">
      <c r="A2036" s="62" t="s">
        <v>109</v>
      </c>
    </row>
    <row r="2037" spans="1:30" x14ac:dyDescent="0.25">
      <c r="A2037" s="62" t="s">
        <v>109</v>
      </c>
      <c r="C2037" s="62" t="s">
        <v>44492</v>
      </c>
      <c r="E2037" s="62" t="s">
        <v>32655</v>
      </c>
      <c r="G2037" s="62" t="s">
        <v>44493</v>
      </c>
    </row>
    <row r="2038" spans="1:30" x14ac:dyDescent="0.25">
      <c r="A2038" s="62" t="s">
        <v>109</v>
      </c>
      <c r="C2038" s="62" t="s">
        <v>25904</v>
      </c>
    </row>
    <row r="2039" spans="1:30" x14ac:dyDescent="0.25">
      <c r="A2039" s="62" t="s">
        <v>109</v>
      </c>
      <c r="C2039" s="62" t="s">
        <v>25905</v>
      </c>
      <c r="F2039" s="62" t="s">
        <v>44494</v>
      </c>
      <c r="G2039" s="62" t="s">
        <v>50892</v>
      </c>
      <c r="J2039" s="62" t="s">
        <v>25906</v>
      </c>
      <c r="K2039" s="62" t="s">
        <v>50945</v>
      </c>
      <c r="L2039" s="62" t="s">
        <v>25907</v>
      </c>
      <c r="M2039" s="62" t="s">
        <v>25908</v>
      </c>
      <c r="N2039" s="62" t="s">
        <v>25909</v>
      </c>
      <c r="O2039" s="62" t="s">
        <v>25910</v>
      </c>
      <c r="P2039" s="62" t="s">
        <v>50998</v>
      </c>
      <c r="Q2039" s="62" t="s">
        <v>25911</v>
      </c>
      <c r="R2039" s="62" t="s">
        <v>25912</v>
      </c>
      <c r="S2039" s="62" t="s">
        <v>25913</v>
      </c>
      <c r="U2039" s="62" t="s">
        <v>25914</v>
      </c>
      <c r="V2039" s="62" t="s">
        <v>51051</v>
      </c>
      <c r="W2039" s="62" t="s">
        <v>25915</v>
      </c>
      <c r="X2039" s="62" t="s">
        <v>25916</v>
      </c>
      <c r="Y2039" s="62" t="s">
        <v>25917</v>
      </c>
      <c r="Z2039" s="62" t="s">
        <v>25918</v>
      </c>
      <c r="AA2039" s="62" t="s">
        <v>51104</v>
      </c>
      <c r="AB2039" s="62" t="s">
        <v>25919</v>
      </c>
      <c r="AC2039" s="62" t="s">
        <v>25920</v>
      </c>
      <c r="AD2039" s="62" t="s">
        <v>25921</v>
      </c>
    </row>
    <row r="2040" spans="1:30" x14ac:dyDescent="0.25">
      <c r="A2040" s="62" t="s">
        <v>109</v>
      </c>
      <c r="C2040" s="62" t="s">
        <v>25922</v>
      </c>
      <c r="F2040" s="62" t="s">
        <v>925</v>
      </c>
      <c r="G2040" s="62" t="s">
        <v>50893</v>
      </c>
      <c r="J2040" s="62" t="s">
        <v>25923</v>
      </c>
      <c r="K2040" s="62" t="s">
        <v>50946</v>
      </c>
      <c r="L2040" s="62" t="s">
        <v>25924</v>
      </c>
      <c r="M2040" s="62" t="s">
        <v>25925</v>
      </c>
      <c r="N2040" s="62" t="s">
        <v>25926</v>
      </c>
      <c r="O2040" s="62" t="s">
        <v>25927</v>
      </c>
      <c r="P2040" s="62" t="s">
        <v>50999</v>
      </c>
      <c r="Q2040" s="62" t="s">
        <v>25928</v>
      </c>
      <c r="R2040" s="62" t="s">
        <v>25929</v>
      </c>
      <c r="S2040" s="62" t="s">
        <v>25930</v>
      </c>
      <c r="U2040" s="62" t="s">
        <v>25931</v>
      </c>
      <c r="V2040" s="62" t="s">
        <v>51052</v>
      </c>
      <c r="W2040" s="62" t="s">
        <v>25932</v>
      </c>
      <c r="X2040" s="62" t="s">
        <v>25933</v>
      </c>
      <c r="Y2040" s="62" t="s">
        <v>25934</v>
      </c>
      <c r="Z2040" s="62" t="s">
        <v>25935</v>
      </c>
      <c r="AA2040" s="62" t="s">
        <v>51105</v>
      </c>
      <c r="AB2040" s="62" t="s">
        <v>25936</v>
      </c>
      <c r="AC2040" s="62" t="s">
        <v>25937</v>
      </c>
      <c r="AD2040" s="62" t="s">
        <v>25938</v>
      </c>
    </row>
    <row r="2041" spans="1:30" x14ac:dyDescent="0.25">
      <c r="A2041" s="62" t="s">
        <v>109</v>
      </c>
      <c r="C2041" s="62" t="s">
        <v>25939</v>
      </c>
      <c r="F2041" s="62" t="s">
        <v>943</v>
      </c>
      <c r="G2041" s="62" t="s">
        <v>50894</v>
      </c>
      <c r="J2041" s="62" t="s">
        <v>25940</v>
      </c>
      <c r="K2041" s="62" t="s">
        <v>50947</v>
      </c>
      <c r="L2041" s="62" t="s">
        <v>25941</v>
      </c>
      <c r="M2041" s="62" t="s">
        <v>25942</v>
      </c>
      <c r="N2041" s="62" t="s">
        <v>25943</v>
      </c>
      <c r="O2041" s="62" t="s">
        <v>25944</v>
      </c>
      <c r="P2041" s="62" t="s">
        <v>51000</v>
      </c>
      <c r="Q2041" s="62" t="s">
        <v>25945</v>
      </c>
      <c r="R2041" s="62" t="s">
        <v>25946</v>
      </c>
      <c r="S2041" s="62" t="s">
        <v>25947</v>
      </c>
      <c r="U2041" s="62" t="s">
        <v>25948</v>
      </c>
      <c r="V2041" s="62" t="s">
        <v>51053</v>
      </c>
      <c r="W2041" s="62" t="s">
        <v>25949</v>
      </c>
      <c r="X2041" s="62" t="s">
        <v>25950</v>
      </c>
      <c r="Y2041" s="62" t="s">
        <v>25951</v>
      </c>
      <c r="Z2041" s="62" t="s">
        <v>25952</v>
      </c>
      <c r="AA2041" s="62" t="s">
        <v>51106</v>
      </c>
      <c r="AB2041" s="62" t="s">
        <v>25953</v>
      </c>
      <c r="AC2041" s="62" t="s">
        <v>25954</v>
      </c>
      <c r="AD2041" s="62" t="s">
        <v>25955</v>
      </c>
    </row>
    <row r="2042" spans="1:30" x14ac:dyDescent="0.25">
      <c r="A2042" s="62" t="s">
        <v>109</v>
      </c>
      <c r="C2042" s="62" t="s">
        <v>44495</v>
      </c>
      <c r="F2042" s="62" t="s">
        <v>2212</v>
      </c>
      <c r="G2042" s="62" t="s">
        <v>50895</v>
      </c>
      <c r="J2042" s="62" t="s">
        <v>44496</v>
      </c>
      <c r="K2042" s="62" t="s">
        <v>50948</v>
      </c>
      <c r="L2042" s="62" t="s">
        <v>44497</v>
      </c>
      <c r="M2042" s="62" t="s">
        <v>44498</v>
      </c>
      <c r="N2042" s="62" t="s">
        <v>44499</v>
      </c>
      <c r="O2042" s="62" t="s">
        <v>44500</v>
      </c>
      <c r="P2042" s="62" t="s">
        <v>51001</v>
      </c>
      <c r="Q2042" s="62" t="s">
        <v>44501</v>
      </c>
      <c r="R2042" s="62" t="s">
        <v>44502</v>
      </c>
      <c r="S2042" s="62" t="s">
        <v>44503</v>
      </c>
      <c r="U2042" s="62" t="s">
        <v>44504</v>
      </c>
      <c r="V2042" s="62" t="s">
        <v>51054</v>
      </c>
      <c r="W2042" s="62" t="s">
        <v>44505</v>
      </c>
      <c r="X2042" s="62" t="s">
        <v>44506</v>
      </c>
      <c r="Y2042" s="62" t="s">
        <v>44507</v>
      </c>
      <c r="Z2042" s="62" t="s">
        <v>44508</v>
      </c>
      <c r="AA2042" s="62" t="s">
        <v>51107</v>
      </c>
      <c r="AB2042" s="62" t="s">
        <v>44509</v>
      </c>
      <c r="AC2042" s="62" t="s">
        <v>44510</v>
      </c>
      <c r="AD2042" s="62" t="s">
        <v>44511</v>
      </c>
    </row>
    <row r="2043" spans="1:30" x14ac:dyDescent="0.25">
      <c r="A2043" s="62" t="s">
        <v>109</v>
      </c>
      <c r="C2043" s="62" t="s">
        <v>25956</v>
      </c>
      <c r="F2043" s="62" t="s">
        <v>193</v>
      </c>
      <c r="G2043" s="62" t="s">
        <v>50896</v>
      </c>
      <c r="J2043" s="62" t="s">
        <v>44512</v>
      </c>
      <c r="K2043" s="62" t="s">
        <v>50949</v>
      </c>
      <c r="L2043" s="62" t="s">
        <v>44513</v>
      </c>
      <c r="M2043" s="62" t="s">
        <v>25957</v>
      </c>
      <c r="N2043" s="62" t="s">
        <v>25958</v>
      </c>
      <c r="O2043" s="62" t="s">
        <v>44514</v>
      </c>
      <c r="P2043" s="62" t="s">
        <v>51002</v>
      </c>
      <c r="Q2043" s="62" t="s">
        <v>44515</v>
      </c>
      <c r="R2043" s="62" t="s">
        <v>25959</v>
      </c>
      <c r="S2043" s="62" t="s">
        <v>25960</v>
      </c>
      <c r="U2043" s="62" t="s">
        <v>44516</v>
      </c>
      <c r="V2043" s="62" t="s">
        <v>51055</v>
      </c>
      <c r="W2043" s="62" t="s">
        <v>44517</v>
      </c>
      <c r="X2043" s="62" t="s">
        <v>25961</v>
      </c>
      <c r="Y2043" s="62" t="s">
        <v>25962</v>
      </c>
      <c r="Z2043" s="62" t="s">
        <v>44518</v>
      </c>
      <c r="AA2043" s="62" t="s">
        <v>51108</v>
      </c>
      <c r="AB2043" s="62" t="s">
        <v>44519</v>
      </c>
      <c r="AC2043" s="62" t="s">
        <v>25963</v>
      </c>
      <c r="AD2043" s="62" t="s">
        <v>25964</v>
      </c>
    </row>
    <row r="2044" spans="1:30" x14ac:dyDescent="0.25">
      <c r="A2044" s="62" t="s">
        <v>109</v>
      </c>
      <c r="C2044" s="62" t="s">
        <v>44520</v>
      </c>
      <c r="F2044" s="62" t="s">
        <v>2297</v>
      </c>
      <c r="G2044" s="62" t="s">
        <v>50897</v>
      </c>
      <c r="J2044" s="62" t="s">
        <v>44521</v>
      </c>
      <c r="K2044" s="62" t="s">
        <v>50950</v>
      </c>
      <c r="L2044" s="62" t="s">
        <v>44522</v>
      </c>
      <c r="M2044" s="62" t="s">
        <v>44523</v>
      </c>
      <c r="N2044" s="62" t="s">
        <v>44524</v>
      </c>
      <c r="O2044" s="62" t="s">
        <v>44525</v>
      </c>
      <c r="P2044" s="62" t="s">
        <v>51003</v>
      </c>
      <c r="Q2044" s="62" t="s">
        <v>44526</v>
      </c>
      <c r="R2044" s="62" t="s">
        <v>44527</v>
      </c>
      <c r="S2044" s="62" t="s">
        <v>44528</v>
      </c>
      <c r="U2044" s="62" t="s">
        <v>44529</v>
      </c>
      <c r="V2044" s="62" t="s">
        <v>51056</v>
      </c>
      <c r="W2044" s="62" t="s">
        <v>44530</v>
      </c>
      <c r="X2044" s="62" t="s">
        <v>44531</v>
      </c>
      <c r="Y2044" s="62" t="s">
        <v>44532</v>
      </c>
      <c r="Z2044" s="62" t="s">
        <v>44533</v>
      </c>
      <c r="AA2044" s="62" t="s">
        <v>51109</v>
      </c>
      <c r="AB2044" s="62" t="s">
        <v>44534</v>
      </c>
      <c r="AC2044" s="62" t="s">
        <v>44535</v>
      </c>
      <c r="AD2044" s="62" t="s">
        <v>44536</v>
      </c>
    </row>
    <row r="2045" spans="1:30" x14ac:dyDescent="0.25">
      <c r="A2045" s="62" t="s">
        <v>109</v>
      </c>
      <c r="C2045" s="62" t="s">
        <v>44537</v>
      </c>
      <c r="F2045" s="62" t="s">
        <v>12860</v>
      </c>
      <c r="G2045" s="62" t="s">
        <v>50898</v>
      </c>
      <c r="J2045" s="62" t="s">
        <v>44538</v>
      </c>
      <c r="K2045" s="62" t="s">
        <v>50951</v>
      </c>
      <c r="L2045" s="62" t="s">
        <v>44539</v>
      </c>
      <c r="M2045" s="62" t="s">
        <v>44540</v>
      </c>
      <c r="N2045" s="62" t="s">
        <v>44541</v>
      </c>
      <c r="O2045" s="62" t="s">
        <v>44542</v>
      </c>
      <c r="P2045" s="62" t="s">
        <v>51004</v>
      </c>
      <c r="Q2045" s="62" t="s">
        <v>44543</v>
      </c>
      <c r="R2045" s="62" t="s">
        <v>44544</v>
      </c>
      <c r="S2045" s="62" t="s">
        <v>44545</v>
      </c>
      <c r="U2045" s="62" t="s">
        <v>44546</v>
      </c>
      <c r="V2045" s="62" t="s">
        <v>51057</v>
      </c>
      <c r="W2045" s="62" t="s">
        <v>44547</v>
      </c>
      <c r="X2045" s="62" t="s">
        <v>44548</v>
      </c>
      <c r="Y2045" s="62" t="s">
        <v>44549</v>
      </c>
      <c r="Z2045" s="62" t="s">
        <v>44550</v>
      </c>
      <c r="AA2045" s="62" t="s">
        <v>51110</v>
      </c>
      <c r="AB2045" s="62" t="s">
        <v>44551</v>
      </c>
      <c r="AC2045" s="62" t="s">
        <v>44552</v>
      </c>
      <c r="AD2045" s="62" t="s">
        <v>44553</v>
      </c>
    </row>
    <row r="2046" spans="1:30" x14ac:dyDescent="0.25">
      <c r="A2046" s="62" t="s">
        <v>109</v>
      </c>
      <c r="C2046" s="62" t="s">
        <v>25966</v>
      </c>
      <c r="F2046" s="62" t="s">
        <v>10293</v>
      </c>
      <c r="G2046" s="62" t="s">
        <v>50899</v>
      </c>
      <c r="J2046" s="62" t="s">
        <v>44554</v>
      </c>
      <c r="K2046" s="62" t="s">
        <v>50952</v>
      </c>
      <c r="L2046" s="62" t="s">
        <v>44555</v>
      </c>
      <c r="M2046" s="62" t="s">
        <v>44556</v>
      </c>
      <c r="N2046" s="62" t="s">
        <v>44557</v>
      </c>
      <c r="O2046" s="62" t="s">
        <v>44558</v>
      </c>
      <c r="P2046" s="62" t="s">
        <v>51005</v>
      </c>
      <c r="Q2046" s="62" t="s">
        <v>44559</v>
      </c>
      <c r="R2046" s="62" t="s">
        <v>44560</v>
      </c>
      <c r="S2046" s="62" t="s">
        <v>44561</v>
      </c>
      <c r="U2046" s="62" t="s">
        <v>44562</v>
      </c>
      <c r="V2046" s="62" t="s">
        <v>51058</v>
      </c>
      <c r="W2046" s="62" t="s">
        <v>44563</v>
      </c>
      <c r="X2046" s="62" t="s">
        <v>44564</v>
      </c>
      <c r="Y2046" s="62" t="s">
        <v>44565</v>
      </c>
      <c r="Z2046" s="62" t="s">
        <v>44566</v>
      </c>
      <c r="AA2046" s="62" t="s">
        <v>51111</v>
      </c>
      <c r="AB2046" s="62" t="s">
        <v>44567</v>
      </c>
      <c r="AC2046" s="62" t="s">
        <v>44568</v>
      </c>
      <c r="AD2046" s="62" t="s">
        <v>44569</v>
      </c>
    </row>
    <row r="2047" spans="1:30" x14ac:dyDescent="0.25">
      <c r="A2047" s="62" t="s">
        <v>109</v>
      </c>
      <c r="C2047" s="62" t="s">
        <v>25967</v>
      </c>
      <c r="F2047" s="62" t="s">
        <v>10314</v>
      </c>
      <c r="G2047" s="62" t="s">
        <v>50900</v>
      </c>
      <c r="J2047" s="62" t="s">
        <v>25968</v>
      </c>
      <c r="K2047" s="62" t="s">
        <v>50953</v>
      </c>
      <c r="L2047" s="62" t="s">
        <v>25969</v>
      </c>
      <c r="M2047" s="62" t="s">
        <v>25970</v>
      </c>
      <c r="N2047" s="62" t="s">
        <v>25971</v>
      </c>
      <c r="O2047" s="62" t="s">
        <v>25972</v>
      </c>
      <c r="P2047" s="62" t="s">
        <v>51006</v>
      </c>
      <c r="Q2047" s="62" t="s">
        <v>25973</v>
      </c>
      <c r="R2047" s="62" t="s">
        <v>25974</v>
      </c>
      <c r="S2047" s="62" t="s">
        <v>25975</v>
      </c>
      <c r="U2047" s="62" t="s">
        <v>25976</v>
      </c>
      <c r="V2047" s="62" t="s">
        <v>51059</v>
      </c>
      <c r="W2047" s="62" t="s">
        <v>25977</v>
      </c>
      <c r="X2047" s="62" t="s">
        <v>25978</v>
      </c>
      <c r="Y2047" s="62" t="s">
        <v>25979</v>
      </c>
      <c r="Z2047" s="62" t="s">
        <v>25980</v>
      </c>
      <c r="AA2047" s="62" t="s">
        <v>51112</v>
      </c>
      <c r="AB2047" s="62" t="s">
        <v>25981</v>
      </c>
      <c r="AC2047" s="62" t="s">
        <v>25982</v>
      </c>
      <c r="AD2047" s="62" t="s">
        <v>25983</v>
      </c>
    </row>
    <row r="2048" spans="1:30" x14ac:dyDescent="0.25">
      <c r="A2048" s="62" t="s">
        <v>109</v>
      </c>
      <c r="C2048" s="62" t="s">
        <v>25984</v>
      </c>
      <c r="F2048" s="62" t="s">
        <v>10332</v>
      </c>
      <c r="G2048" s="62" t="s">
        <v>50901</v>
      </c>
      <c r="J2048" s="62" t="s">
        <v>25985</v>
      </c>
      <c r="K2048" s="62" t="s">
        <v>50954</v>
      </c>
      <c r="L2048" s="62" t="s">
        <v>25986</v>
      </c>
      <c r="M2048" s="62" t="s">
        <v>25987</v>
      </c>
      <c r="N2048" s="62" t="s">
        <v>25988</v>
      </c>
      <c r="O2048" s="62" t="s">
        <v>25989</v>
      </c>
      <c r="P2048" s="62" t="s">
        <v>51007</v>
      </c>
      <c r="Q2048" s="62" t="s">
        <v>25990</v>
      </c>
      <c r="R2048" s="62" t="s">
        <v>25991</v>
      </c>
      <c r="S2048" s="62" t="s">
        <v>25992</v>
      </c>
      <c r="U2048" s="62" t="s">
        <v>25993</v>
      </c>
      <c r="V2048" s="62" t="s">
        <v>51060</v>
      </c>
      <c r="W2048" s="62" t="s">
        <v>25994</v>
      </c>
      <c r="X2048" s="62" t="s">
        <v>25995</v>
      </c>
      <c r="Y2048" s="62" t="s">
        <v>25996</v>
      </c>
      <c r="Z2048" s="62" t="s">
        <v>25997</v>
      </c>
      <c r="AA2048" s="62" t="s">
        <v>51113</v>
      </c>
      <c r="AB2048" s="62" t="s">
        <v>25998</v>
      </c>
      <c r="AC2048" s="62" t="s">
        <v>25999</v>
      </c>
      <c r="AD2048" s="62" t="s">
        <v>26000</v>
      </c>
    </row>
    <row r="2049" spans="1:30" x14ac:dyDescent="0.25">
      <c r="A2049" s="62" t="s">
        <v>109</v>
      </c>
      <c r="C2049" s="62" t="s">
        <v>26001</v>
      </c>
      <c r="F2049" s="62" t="s">
        <v>10350</v>
      </c>
      <c r="G2049" s="62" t="s">
        <v>50902</v>
      </c>
      <c r="J2049" s="62" t="s">
        <v>26002</v>
      </c>
      <c r="K2049" s="62" t="s">
        <v>50955</v>
      </c>
      <c r="L2049" s="62" t="s">
        <v>26003</v>
      </c>
      <c r="M2049" s="62" t="s">
        <v>26004</v>
      </c>
      <c r="N2049" s="62" t="s">
        <v>26005</v>
      </c>
      <c r="O2049" s="62" t="s">
        <v>26006</v>
      </c>
      <c r="P2049" s="62" t="s">
        <v>51008</v>
      </c>
      <c r="Q2049" s="62" t="s">
        <v>26007</v>
      </c>
      <c r="R2049" s="62" t="s">
        <v>26008</v>
      </c>
      <c r="S2049" s="62" t="s">
        <v>26009</v>
      </c>
      <c r="U2049" s="62" t="s">
        <v>26010</v>
      </c>
      <c r="V2049" s="62" t="s">
        <v>51061</v>
      </c>
      <c r="W2049" s="62" t="s">
        <v>26011</v>
      </c>
      <c r="X2049" s="62" t="s">
        <v>26012</v>
      </c>
      <c r="Y2049" s="62" t="s">
        <v>26013</v>
      </c>
      <c r="Z2049" s="62" t="s">
        <v>26014</v>
      </c>
      <c r="AA2049" s="62" t="s">
        <v>51114</v>
      </c>
      <c r="AB2049" s="62" t="s">
        <v>26015</v>
      </c>
      <c r="AC2049" s="62" t="s">
        <v>26016</v>
      </c>
      <c r="AD2049" s="62" t="s">
        <v>26017</v>
      </c>
    </row>
    <row r="2050" spans="1:30" x14ac:dyDescent="0.25">
      <c r="A2050" s="62" t="s">
        <v>109</v>
      </c>
      <c r="C2050" s="62" t="s">
        <v>26018</v>
      </c>
      <c r="F2050" s="62" t="s">
        <v>10368</v>
      </c>
      <c r="G2050" s="62" t="s">
        <v>50903</v>
      </c>
      <c r="J2050" s="62" t="s">
        <v>26019</v>
      </c>
      <c r="K2050" s="62" t="s">
        <v>50956</v>
      </c>
      <c r="L2050" s="62" t="s">
        <v>26020</v>
      </c>
      <c r="M2050" s="62" t="s">
        <v>26021</v>
      </c>
      <c r="N2050" s="62" t="s">
        <v>26022</v>
      </c>
      <c r="O2050" s="62" t="s">
        <v>26023</v>
      </c>
      <c r="P2050" s="62" t="s">
        <v>51009</v>
      </c>
      <c r="Q2050" s="62" t="s">
        <v>26024</v>
      </c>
      <c r="R2050" s="62" t="s">
        <v>26025</v>
      </c>
      <c r="S2050" s="62" t="s">
        <v>26026</v>
      </c>
      <c r="U2050" s="62" t="s">
        <v>26027</v>
      </c>
      <c r="V2050" s="62" t="s">
        <v>51062</v>
      </c>
      <c r="W2050" s="62" t="s">
        <v>26028</v>
      </c>
      <c r="X2050" s="62" t="s">
        <v>26029</v>
      </c>
      <c r="Y2050" s="62" t="s">
        <v>26030</v>
      </c>
      <c r="Z2050" s="62" t="s">
        <v>26031</v>
      </c>
      <c r="AA2050" s="62" t="s">
        <v>51115</v>
      </c>
      <c r="AB2050" s="62" t="s">
        <v>26032</v>
      </c>
      <c r="AC2050" s="62" t="s">
        <v>26033</v>
      </c>
      <c r="AD2050" s="62" t="s">
        <v>26034</v>
      </c>
    </row>
    <row r="2051" spans="1:30" x14ac:dyDescent="0.25">
      <c r="A2051" s="62" t="s">
        <v>109</v>
      </c>
      <c r="C2051" s="62" t="s">
        <v>26035</v>
      </c>
      <c r="F2051" s="62" t="s">
        <v>10386</v>
      </c>
      <c r="G2051" s="62" t="s">
        <v>50904</v>
      </c>
      <c r="J2051" s="62" t="s">
        <v>26036</v>
      </c>
      <c r="K2051" s="62" t="s">
        <v>50957</v>
      </c>
      <c r="L2051" s="62" t="s">
        <v>26037</v>
      </c>
      <c r="M2051" s="62" t="s">
        <v>26038</v>
      </c>
      <c r="N2051" s="62" t="s">
        <v>26039</v>
      </c>
      <c r="O2051" s="62" t="s">
        <v>26040</v>
      </c>
      <c r="P2051" s="62" t="s">
        <v>51010</v>
      </c>
      <c r="Q2051" s="62" t="s">
        <v>26041</v>
      </c>
      <c r="R2051" s="62" t="s">
        <v>26042</v>
      </c>
      <c r="S2051" s="62" t="s">
        <v>26043</v>
      </c>
      <c r="U2051" s="62" t="s">
        <v>26044</v>
      </c>
      <c r="V2051" s="62" t="s">
        <v>51063</v>
      </c>
      <c r="W2051" s="62" t="s">
        <v>26045</v>
      </c>
      <c r="X2051" s="62" t="s">
        <v>26046</v>
      </c>
      <c r="Y2051" s="62" t="s">
        <v>26047</v>
      </c>
      <c r="Z2051" s="62" t="s">
        <v>26048</v>
      </c>
      <c r="AA2051" s="62" t="s">
        <v>51116</v>
      </c>
      <c r="AB2051" s="62" t="s">
        <v>26049</v>
      </c>
      <c r="AC2051" s="62" t="s">
        <v>26050</v>
      </c>
      <c r="AD2051" s="62" t="s">
        <v>26051</v>
      </c>
    </row>
    <row r="2052" spans="1:30" x14ac:dyDescent="0.25">
      <c r="A2052" s="62" t="s">
        <v>109</v>
      </c>
      <c r="C2052" s="62" t="s">
        <v>26052</v>
      </c>
      <c r="F2052" s="62" t="s">
        <v>15012</v>
      </c>
      <c r="G2052" s="62" t="s">
        <v>50905</v>
      </c>
      <c r="J2052" s="62" t="s">
        <v>26053</v>
      </c>
      <c r="K2052" s="62" t="s">
        <v>50958</v>
      </c>
      <c r="L2052" s="62" t="s">
        <v>26054</v>
      </c>
      <c r="M2052" s="62" t="s">
        <v>26055</v>
      </c>
      <c r="N2052" s="62" t="s">
        <v>26056</v>
      </c>
      <c r="O2052" s="62" t="s">
        <v>26057</v>
      </c>
      <c r="P2052" s="62" t="s">
        <v>51011</v>
      </c>
      <c r="Q2052" s="62" t="s">
        <v>26058</v>
      </c>
      <c r="R2052" s="62" t="s">
        <v>26059</v>
      </c>
      <c r="S2052" s="62" t="s">
        <v>26060</v>
      </c>
      <c r="U2052" s="62" t="s">
        <v>26061</v>
      </c>
      <c r="V2052" s="62" t="s">
        <v>51064</v>
      </c>
      <c r="W2052" s="62" t="s">
        <v>26062</v>
      </c>
      <c r="X2052" s="62" t="s">
        <v>26063</v>
      </c>
      <c r="Y2052" s="62" t="s">
        <v>26064</v>
      </c>
      <c r="Z2052" s="62" t="s">
        <v>26065</v>
      </c>
      <c r="AA2052" s="62" t="s">
        <v>51117</v>
      </c>
      <c r="AB2052" s="62" t="s">
        <v>26066</v>
      </c>
      <c r="AC2052" s="62" t="s">
        <v>26067</v>
      </c>
      <c r="AD2052" s="62" t="s">
        <v>26068</v>
      </c>
    </row>
    <row r="2053" spans="1:30" x14ac:dyDescent="0.25">
      <c r="A2053" s="62" t="s">
        <v>109</v>
      </c>
      <c r="C2053" s="62" t="s">
        <v>26069</v>
      </c>
      <c r="F2053" s="62" t="s">
        <v>10422</v>
      </c>
      <c r="G2053" s="62" t="s">
        <v>50906</v>
      </c>
      <c r="J2053" s="62" t="s">
        <v>26070</v>
      </c>
      <c r="K2053" s="62" t="s">
        <v>50959</v>
      </c>
      <c r="L2053" s="62" t="s">
        <v>26071</v>
      </c>
      <c r="M2053" s="62" t="s">
        <v>26072</v>
      </c>
      <c r="N2053" s="62" t="s">
        <v>26073</v>
      </c>
      <c r="O2053" s="62" t="s">
        <v>26074</v>
      </c>
      <c r="P2053" s="62" t="s">
        <v>51012</v>
      </c>
      <c r="Q2053" s="62" t="s">
        <v>26075</v>
      </c>
      <c r="R2053" s="62" t="s">
        <v>26076</v>
      </c>
      <c r="S2053" s="62" t="s">
        <v>26077</v>
      </c>
      <c r="U2053" s="62" t="s">
        <v>26078</v>
      </c>
      <c r="V2053" s="62" t="s">
        <v>51065</v>
      </c>
      <c r="W2053" s="62" t="s">
        <v>26079</v>
      </c>
      <c r="X2053" s="62" t="s">
        <v>26080</v>
      </c>
      <c r="Y2053" s="62" t="s">
        <v>26081</v>
      </c>
      <c r="Z2053" s="62" t="s">
        <v>26082</v>
      </c>
      <c r="AA2053" s="62" t="s">
        <v>51118</v>
      </c>
      <c r="AB2053" s="62" t="s">
        <v>26083</v>
      </c>
      <c r="AC2053" s="62" t="s">
        <v>26084</v>
      </c>
      <c r="AD2053" s="62" t="s">
        <v>26085</v>
      </c>
    </row>
    <row r="2054" spans="1:30" x14ac:dyDescent="0.25">
      <c r="A2054" s="62" t="s">
        <v>109</v>
      </c>
      <c r="C2054" s="62" t="s">
        <v>26086</v>
      </c>
      <c r="F2054" s="62" t="s">
        <v>1002</v>
      </c>
      <c r="G2054" s="62" t="s">
        <v>50907</v>
      </c>
      <c r="J2054" s="62" t="s">
        <v>26087</v>
      </c>
      <c r="K2054" s="62" t="s">
        <v>50960</v>
      </c>
      <c r="L2054" s="62" t="s">
        <v>26088</v>
      </c>
      <c r="M2054" s="62" t="s">
        <v>26089</v>
      </c>
      <c r="N2054" s="62" t="s">
        <v>26090</v>
      </c>
      <c r="O2054" s="62" t="s">
        <v>26091</v>
      </c>
      <c r="P2054" s="62" t="s">
        <v>51013</v>
      </c>
      <c r="Q2054" s="62" t="s">
        <v>26092</v>
      </c>
      <c r="R2054" s="62" t="s">
        <v>26093</v>
      </c>
      <c r="S2054" s="62" t="s">
        <v>26094</v>
      </c>
      <c r="U2054" s="62" t="s">
        <v>26095</v>
      </c>
      <c r="V2054" s="62" t="s">
        <v>51066</v>
      </c>
      <c r="W2054" s="62" t="s">
        <v>26096</v>
      </c>
      <c r="X2054" s="62" t="s">
        <v>26097</v>
      </c>
      <c r="Y2054" s="62" t="s">
        <v>26098</v>
      </c>
      <c r="Z2054" s="62" t="s">
        <v>26099</v>
      </c>
      <c r="AA2054" s="62" t="s">
        <v>51119</v>
      </c>
      <c r="AB2054" s="62" t="s">
        <v>26100</v>
      </c>
      <c r="AC2054" s="62" t="s">
        <v>26101</v>
      </c>
      <c r="AD2054" s="62" t="s">
        <v>26102</v>
      </c>
    </row>
    <row r="2055" spans="1:30" x14ac:dyDescent="0.25">
      <c r="A2055" s="62" t="s">
        <v>109</v>
      </c>
      <c r="C2055" s="62" t="s">
        <v>26103</v>
      </c>
      <c r="F2055" s="62" t="s">
        <v>1030</v>
      </c>
      <c r="G2055" s="62" t="s">
        <v>50908</v>
      </c>
      <c r="J2055" s="62" t="s">
        <v>26104</v>
      </c>
      <c r="K2055" s="62" t="s">
        <v>50961</v>
      </c>
      <c r="L2055" s="62" t="s">
        <v>26105</v>
      </c>
      <c r="M2055" s="62" t="s">
        <v>26106</v>
      </c>
      <c r="N2055" s="62" t="s">
        <v>26107</v>
      </c>
      <c r="O2055" s="62" t="s">
        <v>26108</v>
      </c>
      <c r="P2055" s="62" t="s">
        <v>51014</v>
      </c>
      <c r="Q2055" s="62" t="s">
        <v>26109</v>
      </c>
      <c r="R2055" s="62" t="s">
        <v>26110</v>
      </c>
      <c r="S2055" s="62" t="s">
        <v>26111</v>
      </c>
      <c r="U2055" s="62" t="s">
        <v>26112</v>
      </c>
      <c r="V2055" s="62" t="s">
        <v>51067</v>
      </c>
      <c r="W2055" s="62" t="s">
        <v>26113</v>
      </c>
      <c r="X2055" s="62" t="s">
        <v>26114</v>
      </c>
      <c r="Y2055" s="62" t="s">
        <v>26115</v>
      </c>
      <c r="Z2055" s="62" t="s">
        <v>26116</v>
      </c>
      <c r="AA2055" s="62" t="s">
        <v>51120</v>
      </c>
      <c r="AB2055" s="62" t="s">
        <v>26117</v>
      </c>
      <c r="AC2055" s="62" t="s">
        <v>26118</v>
      </c>
      <c r="AD2055" s="62" t="s">
        <v>26119</v>
      </c>
    </row>
    <row r="2056" spans="1:30" x14ac:dyDescent="0.25">
      <c r="A2056" s="62" t="s">
        <v>109</v>
      </c>
      <c r="C2056" s="62" t="s">
        <v>26120</v>
      </c>
      <c r="F2056" s="62" t="s">
        <v>1047</v>
      </c>
      <c r="G2056" s="62" t="s">
        <v>50909</v>
      </c>
      <c r="J2056" s="62" t="s">
        <v>26121</v>
      </c>
      <c r="K2056" s="62" t="s">
        <v>50962</v>
      </c>
      <c r="L2056" s="62" t="s">
        <v>26122</v>
      </c>
      <c r="M2056" s="62" t="s">
        <v>26123</v>
      </c>
      <c r="N2056" s="62" t="s">
        <v>26124</v>
      </c>
      <c r="O2056" s="62" t="s">
        <v>26125</v>
      </c>
      <c r="P2056" s="62" t="s">
        <v>51015</v>
      </c>
      <c r="Q2056" s="62" t="s">
        <v>26126</v>
      </c>
      <c r="R2056" s="62" t="s">
        <v>26127</v>
      </c>
      <c r="S2056" s="62" t="s">
        <v>26128</v>
      </c>
      <c r="U2056" s="62" t="s">
        <v>26129</v>
      </c>
      <c r="V2056" s="62" t="s">
        <v>51068</v>
      </c>
      <c r="W2056" s="62" t="s">
        <v>26130</v>
      </c>
      <c r="X2056" s="62" t="s">
        <v>26131</v>
      </c>
      <c r="Y2056" s="62" t="s">
        <v>26132</v>
      </c>
      <c r="Z2056" s="62" t="s">
        <v>26133</v>
      </c>
      <c r="AA2056" s="62" t="s">
        <v>51121</v>
      </c>
      <c r="AB2056" s="62" t="s">
        <v>26134</v>
      </c>
      <c r="AC2056" s="62" t="s">
        <v>26135</v>
      </c>
      <c r="AD2056" s="62" t="s">
        <v>26136</v>
      </c>
    </row>
    <row r="2057" spans="1:30" x14ac:dyDescent="0.25">
      <c r="A2057" s="62" t="s">
        <v>109</v>
      </c>
      <c r="C2057" s="62" t="s">
        <v>26137</v>
      </c>
      <c r="F2057" s="62" t="s">
        <v>1073</v>
      </c>
      <c r="G2057" s="62" t="s">
        <v>50910</v>
      </c>
      <c r="J2057" s="62" t="s">
        <v>26138</v>
      </c>
      <c r="K2057" s="62" t="s">
        <v>50963</v>
      </c>
      <c r="L2057" s="62" t="s">
        <v>26139</v>
      </c>
      <c r="M2057" s="62" t="s">
        <v>26140</v>
      </c>
      <c r="N2057" s="62" t="s">
        <v>26141</v>
      </c>
      <c r="O2057" s="62" t="s">
        <v>26142</v>
      </c>
      <c r="P2057" s="62" t="s">
        <v>51016</v>
      </c>
      <c r="Q2057" s="62" t="s">
        <v>26143</v>
      </c>
      <c r="R2057" s="62" t="s">
        <v>26144</v>
      </c>
      <c r="S2057" s="62" t="s">
        <v>26145</v>
      </c>
      <c r="U2057" s="62" t="s">
        <v>26146</v>
      </c>
      <c r="V2057" s="62" t="s">
        <v>51069</v>
      </c>
      <c r="W2057" s="62" t="s">
        <v>26147</v>
      </c>
      <c r="X2057" s="62" t="s">
        <v>26148</v>
      </c>
      <c r="Y2057" s="62" t="s">
        <v>26149</v>
      </c>
      <c r="Z2057" s="62" t="s">
        <v>26150</v>
      </c>
      <c r="AA2057" s="62" t="s">
        <v>51122</v>
      </c>
      <c r="AB2057" s="62" t="s">
        <v>26151</v>
      </c>
      <c r="AC2057" s="62" t="s">
        <v>26152</v>
      </c>
      <c r="AD2057" s="62" t="s">
        <v>26153</v>
      </c>
    </row>
    <row r="2058" spans="1:30" x14ac:dyDescent="0.25">
      <c r="A2058" s="62" t="s">
        <v>109</v>
      </c>
      <c r="C2058" s="62" t="s">
        <v>26154</v>
      </c>
      <c r="F2058" s="62" t="s">
        <v>2355</v>
      </c>
      <c r="G2058" s="62" t="s">
        <v>50911</v>
      </c>
      <c r="J2058" s="62" t="s">
        <v>26155</v>
      </c>
      <c r="K2058" s="62" t="s">
        <v>50964</v>
      </c>
      <c r="L2058" s="62" t="s">
        <v>26156</v>
      </c>
      <c r="M2058" s="62" t="s">
        <v>26157</v>
      </c>
      <c r="N2058" s="62" t="s">
        <v>26158</v>
      </c>
      <c r="O2058" s="62" t="s">
        <v>26159</v>
      </c>
      <c r="P2058" s="62" t="s">
        <v>51017</v>
      </c>
      <c r="Q2058" s="62" t="s">
        <v>26160</v>
      </c>
      <c r="R2058" s="62" t="s">
        <v>26161</v>
      </c>
      <c r="S2058" s="62" t="s">
        <v>26162</v>
      </c>
      <c r="U2058" s="62" t="s">
        <v>26163</v>
      </c>
      <c r="V2058" s="62" t="s">
        <v>51070</v>
      </c>
      <c r="W2058" s="62" t="s">
        <v>26164</v>
      </c>
      <c r="X2058" s="62" t="s">
        <v>26165</v>
      </c>
      <c r="Y2058" s="62" t="s">
        <v>26166</v>
      </c>
      <c r="Z2058" s="62" t="s">
        <v>26167</v>
      </c>
      <c r="AA2058" s="62" t="s">
        <v>51123</v>
      </c>
      <c r="AB2058" s="62" t="s">
        <v>26168</v>
      </c>
      <c r="AC2058" s="62" t="s">
        <v>26169</v>
      </c>
      <c r="AD2058" s="62" t="s">
        <v>26170</v>
      </c>
    </row>
    <row r="2059" spans="1:30" x14ac:dyDescent="0.25">
      <c r="A2059" s="62" t="s">
        <v>109</v>
      </c>
      <c r="C2059" s="62" t="s">
        <v>26171</v>
      </c>
      <c r="F2059" s="62" t="s">
        <v>2372</v>
      </c>
      <c r="G2059" s="62" t="s">
        <v>50912</v>
      </c>
      <c r="J2059" s="62" t="s">
        <v>26172</v>
      </c>
      <c r="K2059" s="62" t="s">
        <v>50965</v>
      </c>
      <c r="L2059" s="62" t="s">
        <v>26173</v>
      </c>
      <c r="M2059" s="62" t="s">
        <v>26174</v>
      </c>
      <c r="N2059" s="62" t="s">
        <v>26175</v>
      </c>
      <c r="O2059" s="62" t="s">
        <v>26176</v>
      </c>
      <c r="P2059" s="62" t="s">
        <v>51018</v>
      </c>
      <c r="Q2059" s="62" t="s">
        <v>26177</v>
      </c>
      <c r="R2059" s="62" t="s">
        <v>26178</v>
      </c>
      <c r="S2059" s="62" t="s">
        <v>26179</v>
      </c>
      <c r="U2059" s="62" t="s">
        <v>26180</v>
      </c>
      <c r="V2059" s="62" t="s">
        <v>51071</v>
      </c>
      <c r="W2059" s="62" t="s">
        <v>26181</v>
      </c>
      <c r="X2059" s="62" t="s">
        <v>26182</v>
      </c>
      <c r="Y2059" s="62" t="s">
        <v>26183</v>
      </c>
      <c r="Z2059" s="62" t="s">
        <v>26184</v>
      </c>
      <c r="AA2059" s="62" t="s">
        <v>51124</v>
      </c>
      <c r="AB2059" s="62" t="s">
        <v>26185</v>
      </c>
      <c r="AC2059" s="62" t="s">
        <v>26186</v>
      </c>
      <c r="AD2059" s="62" t="s">
        <v>26187</v>
      </c>
    </row>
    <row r="2060" spans="1:30" x14ac:dyDescent="0.25">
      <c r="A2060" s="62" t="s">
        <v>109</v>
      </c>
      <c r="C2060" s="62" t="s">
        <v>26188</v>
      </c>
      <c r="F2060" s="62" t="s">
        <v>15081</v>
      </c>
      <c r="G2060" s="62" t="s">
        <v>50913</v>
      </c>
      <c r="J2060" s="62" t="s">
        <v>26189</v>
      </c>
      <c r="K2060" s="62" t="s">
        <v>50966</v>
      </c>
      <c r="L2060" s="62" t="s">
        <v>26190</v>
      </c>
      <c r="M2060" s="62" t="s">
        <v>26191</v>
      </c>
      <c r="N2060" s="62" t="s">
        <v>26192</v>
      </c>
      <c r="O2060" s="62" t="s">
        <v>26193</v>
      </c>
      <c r="P2060" s="62" t="s">
        <v>51019</v>
      </c>
      <c r="Q2060" s="62" t="s">
        <v>26194</v>
      </c>
      <c r="R2060" s="62" t="s">
        <v>26195</v>
      </c>
      <c r="S2060" s="62" t="s">
        <v>26196</v>
      </c>
      <c r="U2060" s="62" t="s">
        <v>26197</v>
      </c>
      <c r="V2060" s="62" t="s">
        <v>51072</v>
      </c>
      <c r="W2060" s="62" t="s">
        <v>26198</v>
      </c>
      <c r="X2060" s="62" t="s">
        <v>26199</v>
      </c>
      <c r="Y2060" s="62" t="s">
        <v>26200</v>
      </c>
      <c r="Z2060" s="62" t="s">
        <v>26201</v>
      </c>
      <c r="AA2060" s="62" t="s">
        <v>51125</v>
      </c>
      <c r="AB2060" s="62" t="s">
        <v>26202</v>
      </c>
      <c r="AC2060" s="62" t="s">
        <v>26203</v>
      </c>
      <c r="AD2060" s="62" t="s">
        <v>26204</v>
      </c>
    </row>
    <row r="2061" spans="1:30" x14ac:dyDescent="0.25">
      <c r="A2061" s="62" t="s">
        <v>109</v>
      </c>
      <c r="C2061" s="62" t="s">
        <v>26205</v>
      </c>
      <c r="F2061" s="62" t="s">
        <v>10559</v>
      </c>
      <c r="G2061" s="62" t="s">
        <v>50914</v>
      </c>
      <c r="J2061" s="62" t="s">
        <v>26206</v>
      </c>
      <c r="K2061" s="62" t="s">
        <v>50967</v>
      </c>
      <c r="L2061" s="62" t="s">
        <v>26207</v>
      </c>
      <c r="M2061" s="62" t="s">
        <v>26208</v>
      </c>
      <c r="N2061" s="62" t="s">
        <v>26209</v>
      </c>
      <c r="O2061" s="62" t="s">
        <v>26210</v>
      </c>
      <c r="P2061" s="62" t="s">
        <v>51020</v>
      </c>
      <c r="Q2061" s="62" t="s">
        <v>26211</v>
      </c>
      <c r="R2061" s="62" t="s">
        <v>26212</v>
      </c>
      <c r="S2061" s="62" t="s">
        <v>26213</v>
      </c>
      <c r="U2061" s="62" t="s">
        <v>26214</v>
      </c>
      <c r="V2061" s="62" t="s">
        <v>51073</v>
      </c>
      <c r="W2061" s="62" t="s">
        <v>26215</v>
      </c>
      <c r="X2061" s="62" t="s">
        <v>26216</v>
      </c>
      <c r="Y2061" s="62" t="s">
        <v>26217</v>
      </c>
      <c r="Z2061" s="62" t="s">
        <v>26218</v>
      </c>
      <c r="AA2061" s="62" t="s">
        <v>51126</v>
      </c>
      <c r="AB2061" s="62" t="s">
        <v>26219</v>
      </c>
      <c r="AC2061" s="62" t="s">
        <v>26220</v>
      </c>
      <c r="AD2061" s="62" t="s">
        <v>26221</v>
      </c>
    </row>
    <row r="2062" spans="1:30" x14ac:dyDescent="0.25">
      <c r="A2062" s="62" t="s">
        <v>109</v>
      </c>
      <c r="C2062" s="62" t="s">
        <v>26222</v>
      </c>
      <c r="F2062" s="62" t="s">
        <v>10577</v>
      </c>
      <c r="G2062" s="62" t="s">
        <v>50915</v>
      </c>
      <c r="J2062" s="62" t="s">
        <v>26223</v>
      </c>
      <c r="K2062" s="62" t="s">
        <v>50968</v>
      </c>
      <c r="L2062" s="62" t="s">
        <v>26224</v>
      </c>
      <c r="M2062" s="62" t="s">
        <v>26225</v>
      </c>
      <c r="N2062" s="62" t="s">
        <v>26226</v>
      </c>
      <c r="O2062" s="62" t="s">
        <v>26227</v>
      </c>
      <c r="P2062" s="62" t="s">
        <v>51021</v>
      </c>
      <c r="Q2062" s="62" t="s">
        <v>26228</v>
      </c>
      <c r="R2062" s="62" t="s">
        <v>26229</v>
      </c>
      <c r="S2062" s="62" t="s">
        <v>26230</v>
      </c>
      <c r="U2062" s="62" t="s">
        <v>26231</v>
      </c>
      <c r="V2062" s="62" t="s">
        <v>51074</v>
      </c>
      <c r="W2062" s="62" t="s">
        <v>26232</v>
      </c>
      <c r="X2062" s="62" t="s">
        <v>26233</v>
      </c>
      <c r="Y2062" s="62" t="s">
        <v>26234</v>
      </c>
      <c r="Z2062" s="62" t="s">
        <v>26235</v>
      </c>
      <c r="AA2062" s="62" t="s">
        <v>51127</v>
      </c>
      <c r="AB2062" s="62" t="s">
        <v>26236</v>
      </c>
      <c r="AC2062" s="62" t="s">
        <v>26237</v>
      </c>
      <c r="AD2062" s="62" t="s">
        <v>26238</v>
      </c>
    </row>
    <row r="2063" spans="1:30" x14ac:dyDescent="0.25">
      <c r="A2063" s="62" t="s">
        <v>109</v>
      </c>
      <c r="C2063" s="62" t="s">
        <v>26239</v>
      </c>
      <c r="F2063" s="62" t="s">
        <v>10595</v>
      </c>
      <c r="G2063" s="62" t="s">
        <v>50916</v>
      </c>
      <c r="J2063" s="62" t="s">
        <v>26240</v>
      </c>
      <c r="K2063" s="62" t="s">
        <v>50969</v>
      </c>
      <c r="L2063" s="62" t="s">
        <v>26241</v>
      </c>
      <c r="M2063" s="62" t="s">
        <v>26242</v>
      </c>
      <c r="N2063" s="62" t="s">
        <v>26243</v>
      </c>
      <c r="O2063" s="62" t="s">
        <v>26244</v>
      </c>
      <c r="P2063" s="62" t="s">
        <v>51022</v>
      </c>
      <c r="Q2063" s="62" t="s">
        <v>26245</v>
      </c>
      <c r="R2063" s="62" t="s">
        <v>26246</v>
      </c>
      <c r="S2063" s="62" t="s">
        <v>26247</v>
      </c>
      <c r="U2063" s="62" t="s">
        <v>26248</v>
      </c>
      <c r="V2063" s="62" t="s">
        <v>51075</v>
      </c>
      <c r="W2063" s="62" t="s">
        <v>26249</v>
      </c>
      <c r="X2063" s="62" t="s">
        <v>26250</v>
      </c>
      <c r="Y2063" s="62" t="s">
        <v>26251</v>
      </c>
      <c r="Z2063" s="62" t="s">
        <v>26252</v>
      </c>
      <c r="AA2063" s="62" t="s">
        <v>51128</v>
      </c>
      <c r="AB2063" s="62" t="s">
        <v>26253</v>
      </c>
      <c r="AC2063" s="62" t="s">
        <v>26254</v>
      </c>
      <c r="AD2063" s="62" t="s">
        <v>26255</v>
      </c>
    </row>
    <row r="2064" spans="1:30" x14ac:dyDescent="0.25">
      <c r="A2064" s="62" t="s">
        <v>109</v>
      </c>
      <c r="C2064" s="62" t="s">
        <v>26256</v>
      </c>
      <c r="F2064" s="62" t="s">
        <v>10613</v>
      </c>
      <c r="G2064" s="62" t="s">
        <v>50917</v>
      </c>
      <c r="J2064" s="62" t="s">
        <v>26257</v>
      </c>
      <c r="K2064" s="62" t="s">
        <v>50970</v>
      </c>
      <c r="L2064" s="62" t="s">
        <v>26258</v>
      </c>
      <c r="M2064" s="62" t="s">
        <v>26259</v>
      </c>
      <c r="N2064" s="62" t="s">
        <v>26260</v>
      </c>
      <c r="O2064" s="62" t="s">
        <v>26261</v>
      </c>
      <c r="P2064" s="62" t="s">
        <v>51023</v>
      </c>
      <c r="Q2064" s="62" t="s">
        <v>26262</v>
      </c>
      <c r="R2064" s="62" t="s">
        <v>26263</v>
      </c>
      <c r="S2064" s="62" t="s">
        <v>26264</v>
      </c>
      <c r="U2064" s="62" t="s">
        <v>26265</v>
      </c>
      <c r="V2064" s="62" t="s">
        <v>51076</v>
      </c>
      <c r="W2064" s="62" t="s">
        <v>26266</v>
      </c>
      <c r="X2064" s="62" t="s">
        <v>26267</v>
      </c>
      <c r="Y2064" s="62" t="s">
        <v>26268</v>
      </c>
      <c r="Z2064" s="62" t="s">
        <v>26269</v>
      </c>
      <c r="AA2064" s="62" t="s">
        <v>51129</v>
      </c>
      <c r="AB2064" s="62" t="s">
        <v>26270</v>
      </c>
      <c r="AC2064" s="62" t="s">
        <v>26271</v>
      </c>
      <c r="AD2064" s="62" t="s">
        <v>26272</v>
      </c>
    </row>
    <row r="2065" spans="1:30" x14ac:dyDescent="0.25">
      <c r="A2065" s="62" t="s">
        <v>109</v>
      </c>
      <c r="C2065" s="62" t="s">
        <v>26273</v>
      </c>
      <c r="F2065" s="62" t="s">
        <v>10649</v>
      </c>
      <c r="G2065" s="62" t="s">
        <v>50918</v>
      </c>
      <c r="J2065" s="62" t="s">
        <v>26274</v>
      </c>
      <c r="K2065" s="62" t="s">
        <v>50971</v>
      </c>
      <c r="L2065" s="62" t="s">
        <v>26275</v>
      </c>
      <c r="M2065" s="62" t="s">
        <v>26276</v>
      </c>
      <c r="N2065" s="62" t="s">
        <v>26277</v>
      </c>
      <c r="O2065" s="62" t="s">
        <v>26278</v>
      </c>
      <c r="P2065" s="62" t="s">
        <v>51024</v>
      </c>
      <c r="Q2065" s="62" t="s">
        <v>26279</v>
      </c>
      <c r="R2065" s="62" t="s">
        <v>26280</v>
      </c>
      <c r="S2065" s="62" t="s">
        <v>26281</v>
      </c>
      <c r="U2065" s="62" t="s">
        <v>26282</v>
      </c>
      <c r="V2065" s="62" t="s">
        <v>51077</v>
      </c>
      <c r="W2065" s="62" t="s">
        <v>26283</v>
      </c>
      <c r="X2065" s="62" t="s">
        <v>26284</v>
      </c>
      <c r="Y2065" s="62" t="s">
        <v>26285</v>
      </c>
      <c r="Z2065" s="62" t="s">
        <v>26286</v>
      </c>
      <c r="AA2065" s="62" t="s">
        <v>51130</v>
      </c>
      <c r="AB2065" s="62" t="s">
        <v>26287</v>
      </c>
      <c r="AC2065" s="62" t="s">
        <v>26288</v>
      </c>
      <c r="AD2065" s="62" t="s">
        <v>26289</v>
      </c>
    </row>
    <row r="2066" spans="1:30" x14ac:dyDescent="0.25">
      <c r="A2066" s="62" t="s">
        <v>109</v>
      </c>
      <c r="C2066" s="62" t="s">
        <v>26290</v>
      </c>
      <c r="F2066" s="62" t="s">
        <v>10685</v>
      </c>
      <c r="G2066" s="62" t="s">
        <v>50919</v>
      </c>
      <c r="J2066" s="62" t="s">
        <v>26291</v>
      </c>
      <c r="K2066" s="62" t="s">
        <v>50972</v>
      </c>
      <c r="L2066" s="62" t="s">
        <v>26292</v>
      </c>
      <c r="M2066" s="62" t="s">
        <v>26293</v>
      </c>
      <c r="N2066" s="62" t="s">
        <v>26294</v>
      </c>
      <c r="O2066" s="62" t="s">
        <v>26295</v>
      </c>
      <c r="P2066" s="62" t="s">
        <v>51025</v>
      </c>
      <c r="Q2066" s="62" t="s">
        <v>26296</v>
      </c>
      <c r="R2066" s="62" t="s">
        <v>26297</v>
      </c>
      <c r="S2066" s="62" t="s">
        <v>26298</v>
      </c>
      <c r="U2066" s="62" t="s">
        <v>26299</v>
      </c>
      <c r="V2066" s="62" t="s">
        <v>51078</v>
      </c>
      <c r="W2066" s="62" t="s">
        <v>26300</v>
      </c>
      <c r="X2066" s="62" t="s">
        <v>26301</v>
      </c>
      <c r="Y2066" s="62" t="s">
        <v>26302</v>
      </c>
      <c r="Z2066" s="62" t="s">
        <v>26303</v>
      </c>
      <c r="AA2066" s="62" t="s">
        <v>51131</v>
      </c>
      <c r="AB2066" s="62" t="s">
        <v>26304</v>
      </c>
      <c r="AC2066" s="62" t="s">
        <v>26305</v>
      </c>
      <c r="AD2066" s="62" t="s">
        <v>26306</v>
      </c>
    </row>
    <row r="2067" spans="1:30" x14ac:dyDescent="0.25">
      <c r="A2067" s="62" t="s">
        <v>109</v>
      </c>
      <c r="C2067" s="62" t="s">
        <v>26307</v>
      </c>
      <c r="F2067" s="62" t="s">
        <v>10703</v>
      </c>
      <c r="G2067" s="62" t="s">
        <v>50920</v>
      </c>
      <c r="J2067" s="62" t="s">
        <v>26308</v>
      </c>
      <c r="K2067" s="62" t="s">
        <v>50973</v>
      </c>
      <c r="L2067" s="62" t="s">
        <v>26309</v>
      </c>
      <c r="M2067" s="62" t="s">
        <v>26310</v>
      </c>
      <c r="N2067" s="62" t="s">
        <v>26311</v>
      </c>
      <c r="O2067" s="62" t="s">
        <v>26312</v>
      </c>
      <c r="P2067" s="62" t="s">
        <v>51026</v>
      </c>
      <c r="Q2067" s="62" t="s">
        <v>26313</v>
      </c>
      <c r="R2067" s="62" t="s">
        <v>26314</v>
      </c>
      <c r="S2067" s="62" t="s">
        <v>26315</v>
      </c>
      <c r="U2067" s="62" t="s">
        <v>26316</v>
      </c>
      <c r="V2067" s="62" t="s">
        <v>51079</v>
      </c>
      <c r="W2067" s="62" t="s">
        <v>26317</v>
      </c>
      <c r="X2067" s="62" t="s">
        <v>26318</v>
      </c>
      <c r="Y2067" s="62" t="s">
        <v>26319</v>
      </c>
      <c r="Z2067" s="62" t="s">
        <v>26320</v>
      </c>
      <c r="AA2067" s="62" t="s">
        <v>51132</v>
      </c>
      <c r="AB2067" s="62" t="s">
        <v>26321</v>
      </c>
      <c r="AC2067" s="62" t="s">
        <v>26322</v>
      </c>
      <c r="AD2067" s="62" t="s">
        <v>26323</v>
      </c>
    </row>
    <row r="2068" spans="1:30" x14ac:dyDescent="0.25">
      <c r="A2068" s="62" t="s">
        <v>109</v>
      </c>
      <c r="C2068" s="62" t="s">
        <v>26324</v>
      </c>
      <c r="F2068" s="62" t="s">
        <v>10721</v>
      </c>
      <c r="G2068" s="62" t="s">
        <v>50921</v>
      </c>
      <c r="J2068" s="62" t="s">
        <v>26325</v>
      </c>
      <c r="K2068" s="62" t="s">
        <v>50974</v>
      </c>
      <c r="L2068" s="62" t="s">
        <v>26326</v>
      </c>
      <c r="M2068" s="62" t="s">
        <v>26327</v>
      </c>
      <c r="N2068" s="62" t="s">
        <v>26328</v>
      </c>
      <c r="O2068" s="62" t="s">
        <v>26329</v>
      </c>
      <c r="P2068" s="62" t="s">
        <v>51027</v>
      </c>
      <c r="Q2068" s="62" t="s">
        <v>26330</v>
      </c>
      <c r="R2068" s="62" t="s">
        <v>26331</v>
      </c>
      <c r="S2068" s="62" t="s">
        <v>26332</v>
      </c>
      <c r="U2068" s="62" t="s">
        <v>26333</v>
      </c>
      <c r="V2068" s="62" t="s">
        <v>51080</v>
      </c>
      <c r="W2068" s="62" t="s">
        <v>26334</v>
      </c>
      <c r="X2068" s="62" t="s">
        <v>26335</v>
      </c>
      <c r="Y2068" s="62" t="s">
        <v>26336</v>
      </c>
      <c r="Z2068" s="62" t="s">
        <v>26337</v>
      </c>
      <c r="AA2068" s="62" t="s">
        <v>51133</v>
      </c>
      <c r="AB2068" s="62" t="s">
        <v>26338</v>
      </c>
      <c r="AC2068" s="62" t="s">
        <v>26339</v>
      </c>
      <c r="AD2068" s="62" t="s">
        <v>26340</v>
      </c>
    </row>
    <row r="2069" spans="1:30" x14ac:dyDescent="0.25">
      <c r="A2069" s="62" t="s">
        <v>109</v>
      </c>
      <c r="C2069" s="62" t="s">
        <v>26341</v>
      </c>
      <c r="F2069" s="62" t="s">
        <v>10739</v>
      </c>
      <c r="G2069" s="62" t="s">
        <v>50922</v>
      </c>
      <c r="J2069" s="62" t="s">
        <v>26342</v>
      </c>
      <c r="K2069" s="62" t="s">
        <v>50975</v>
      </c>
      <c r="L2069" s="62" t="s">
        <v>26343</v>
      </c>
      <c r="M2069" s="62" t="s">
        <v>26344</v>
      </c>
      <c r="N2069" s="62" t="s">
        <v>26345</v>
      </c>
      <c r="O2069" s="62" t="s">
        <v>26346</v>
      </c>
      <c r="P2069" s="62" t="s">
        <v>51028</v>
      </c>
      <c r="Q2069" s="62" t="s">
        <v>26347</v>
      </c>
      <c r="R2069" s="62" t="s">
        <v>26348</v>
      </c>
      <c r="S2069" s="62" t="s">
        <v>26349</v>
      </c>
      <c r="U2069" s="62" t="s">
        <v>26350</v>
      </c>
      <c r="V2069" s="62" t="s">
        <v>51081</v>
      </c>
      <c r="W2069" s="62" t="s">
        <v>26351</v>
      </c>
      <c r="X2069" s="62" t="s">
        <v>26352</v>
      </c>
      <c r="Y2069" s="62" t="s">
        <v>26353</v>
      </c>
      <c r="Z2069" s="62" t="s">
        <v>26354</v>
      </c>
      <c r="AA2069" s="62" t="s">
        <v>51134</v>
      </c>
      <c r="AB2069" s="62" t="s">
        <v>26355</v>
      </c>
      <c r="AC2069" s="62" t="s">
        <v>26356</v>
      </c>
      <c r="AD2069" s="62" t="s">
        <v>26357</v>
      </c>
    </row>
    <row r="2070" spans="1:30" x14ac:dyDescent="0.25">
      <c r="A2070" s="62" t="s">
        <v>109</v>
      </c>
      <c r="C2070" s="62" t="s">
        <v>26358</v>
      </c>
      <c r="F2070" s="62" t="s">
        <v>13184</v>
      </c>
      <c r="G2070" s="62" t="s">
        <v>50923</v>
      </c>
      <c r="J2070" s="62" t="s">
        <v>26359</v>
      </c>
      <c r="K2070" s="62" t="s">
        <v>50976</v>
      </c>
      <c r="L2070" s="62" t="s">
        <v>26360</v>
      </c>
      <c r="M2070" s="62" t="s">
        <v>26361</v>
      </c>
      <c r="N2070" s="62" t="s">
        <v>26362</v>
      </c>
      <c r="O2070" s="62" t="s">
        <v>26363</v>
      </c>
      <c r="P2070" s="62" t="s">
        <v>51029</v>
      </c>
      <c r="Q2070" s="62" t="s">
        <v>26364</v>
      </c>
      <c r="R2070" s="62" t="s">
        <v>26365</v>
      </c>
      <c r="S2070" s="62" t="s">
        <v>26366</v>
      </c>
      <c r="U2070" s="62" t="s">
        <v>26367</v>
      </c>
      <c r="V2070" s="62" t="s">
        <v>51082</v>
      </c>
      <c r="W2070" s="62" t="s">
        <v>26368</v>
      </c>
      <c r="X2070" s="62" t="s">
        <v>26369</v>
      </c>
      <c r="Y2070" s="62" t="s">
        <v>26370</v>
      </c>
      <c r="Z2070" s="62" t="s">
        <v>26371</v>
      </c>
      <c r="AA2070" s="62" t="s">
        <v>51135</v>
      </c>
      <c r="AB2070" s="62" t="s">
        <v>26372</v>
      </c>
      <c r="AC2070" s="62" t="s">
        <v>26373</v>
      </c>
      <c r="AD2070" s="62" t="s">
        <v>26374</v>
      </c>
    </row>
    <row r="2071" spans="1:30" x14ac:dyDescent="0.25">
      <c r="A2071" s="62" t="s">
        <v>109</v>
      </c>
      <c r="C2071" s="62" t="s">
        <v>26375</v>
      </c>
      <c r="F2071" s="62" t="s">
        <v>10757</v>
      </c>
      <c r="G2071" s="62" t="s">
        <v>50924</v>
      </c>
      <c r="J2071" s="62" t="s">
        <v>26376</v>
      </c>
      <c r="K2071" s="62" t="s">
        <v>50977</v>
      </c>
      <c r="L2071" s="62" t="s">
        <v>26377</v>
      </c>
      <c r="M2071" s="62" t="s">
        <v>26378</v>
      </c>
      <c r="N2071" s="62" t="s">
        <v>26379</v>
      </c>
      <c r="O2071" s="62" t="s">
        <v>26380</v>
      </c>
      <c r="P2071" s="62" t="s">
        <v>51030</v>
      </c>
      <c r="Q2071" s="62" t="s">
        <v>26381</v>
      </c>
      <c r="R2071" s="62" t="s">
        <v>26382</v>
      </c>
      <c r="S2071" s="62" t="s">
        <v>26383</v>
      </c>
      <c r="U2071" s="62" t="s">
        <v>26384</v>
      </c>
      <c r="V2071" s="62" t="s">
        <v>51083</v>
      </c>
      <c r="W2071" s="62" t="s">
        <v>26385</v>
      </c>
      <c r="X2071" s="62" t="s">
        <v>26386</v>
      </c>
      <c r="Y2071" s="62" t="s">
        <v>26387</v>
      </c>
      <c r="Z2071" s="62" t="s">
        <v>26388</v>
      </c>
      <c r="AA2071" s="62" t="s">
        <v>51136</v>
      </c>
      <c r="AB2071" s="62" t="s">
        <v>26389</v>
      </c>
      <c r="AC2071" s="62" t="s">
        <v>26390</v>
      </c>
      <c r="AD2071" s="62" t="s">
        <v>26391</v>
      </c>
    </row>
    <row r="2072" spans="1:30" x14ac:dyDescent="0.25">
      <c r="A2072" s="62" t="s">
        <v>109</v>
      </c>
      <c r="C2072" s="62" t="s">
        <v>26392</v>
      </c>
      <c r="F2072" s="62" t="s">
        <v>10811</v>
      </c>
      <c r="G2072" s="62" t="s">
        <v>50925</v>
      </c>
      <c r="J2072" s="62" t="s">
        <v>26393</v>
      </c>
      <c r="K2072" s="62" t="s">
        <v>50978</v>
      </c>
      <c r="L2072" s="62" t="s">
        <v>26394</v>
      </c>
      <c r="M2072" s="62" t="s">
        <v>26395</v>
      </c>
      <c r="N2072" s="62" t="s">
        <v>26396</v>
      </c>
      <c r="O2072" s="62" t="s">
        <v>26397</v>
      </c>
      <c r="P2072" s="62" t="s">
        <v>51031</v>
      </c>
      <c r="Q2072" s="62" t="s">
        <v>26398</v>
      </c>
      <c r="R2072" s="62" t="s">
        <v>26399</v>
      </c>
      <c r="S2072" s="62" t="s">
        <v>26400</v>
      </c>
      <c r="U2072" s="62" t="s">
        <v>26401</v>
      </c>
      <c r="V2072" s="62" t="s">
        <v>51084</v>
      </c>
      <c r="W2072" s="62" t="s">
        <v>26402</v>
      </c>
      <c r="X2072" s="62" t="s">
        <v>26403</v>
      </c>
      <c r="Y2072" s="62" t="s">
        <v>26404</v>
      </c>
      <c r="Z2072" s="62" t="s">
        <v>26405</v>
      </c>
      <c r="AA2072" s="62" t="s">
        <v>51137</v>
      </c>
      <c r="AB2072" s="62" t="s">
        <v>26406</v>
      </c>
      <c r="AC2072" s="62" t="s">
        <v>26407</v>
      </c>
      <c r="AD2072" s="62" t="s">
        <v>26408</v>
      </c>
    </row>
    <row r="2073" spans="1:30" x14ac:dyDescent="0.25">
      <c r="A2073" s="62" t="s">
        <v>109</v>
      </c>
      <c r="C2073" s="62" t="s">
        <v>26409</v>
      </c>
      <c r="F2073" s="62" t="s">
        <v>10829</v>
      </c>
      <c r="G2073" s="62" t="s">
        <v>50926</v>
      </c>
      <c r="J2073" s="62" t="s">
        <v>26410</v>
      </c>
      <c r="K2073" s="62" t="s">
        <v>50979</v>
      </c>
      <c r="L2073" s="62" t="s">
        <v>26411</v>
      </c>
      <c r="M2073" s="62" t="s">
        <v>26412</v>
      </c>
      <c r="N2073" s="62" t="s">
        <v>26413</v>
      </c>
      <c r="O2073" s="62" t="s">
        <v>26414</v>
      </c>
      <c r="P2073" s="62" t="s">
        <v>51032</v>
      </c>
      <c r="Q2073" s="62" t="s">
        <v>26415</v>
      </c>
      <c r="R2073" s="62" t="s">
        <v>26416</v>
      </c>
      <c r="S2073" s="62" t="s">
        <v>26417</v>
      </c>
      <c r="U2073" s="62" t="s">
        <v>26418</v>
      </c>
      <c r="V2073" s="62" t="s">
        <v>51085</v>
      </c>
      <c r="W2073" s="62" t="s">
        <v>26419</v>
      </c>
      <c r="X2073" s="62" t="s">
        <v>26420</v>
      </c>
      <c r="Y2073" s="62" t="s">
        <v>26421</v>
      </c>
      <c r="Z2073" s="62" t="s">
        <v>26422</v>
      </c>
      <c r="AA2073" s="62" t="s">
        <v>51138</v>
      </c>
      <c r="AB2073" s="62" t="s">
        <v>26423</v>
      </c>
      <c r="AC2073" s="62" t="s">
        <v>26424</v>
      </c>
      <c r="AD2073" s="62" t="s">
        <v>26425</v>
      </c>
    </row>
    <row r="2074" spans="1:30" x14ac:dyDescent="0.25">
      <c r="A2074" s="62" t="s">
        <v>109</v>
      </c>
      <c r="C2074" s="62" t="s">
        <v>26426</v>
      </c>
      <c r="F2074" s="62" t="s">
        <v>10847</v>
      </c>
      <c r="G2074" s="62" t="s">
        <v>50927</v>
      </c>
      <c r="J2074" s="62" t="s">
        <v>26427</v>
      </c>
      <c r="K2074" s="62" t="s">
        <v>50980</v>
      </c>
      <c r="L2074" s="62" t="s">
        <v>26428</v>
      </c>
      <c r="M2074" s="62" t="s">
        <v>26429</v>
      </c>
      <c r="N2074" s="62" t="s">
        <v>26430</v>
      </c>
      <c r="O2074" s="62" t="s">
        <v>26431</v>
      </c>
      <c r="P2074" s="62" t="s">
        <v>51033</v>
      </c>
      <c r="Q2074" s="62" t="s">
        <v>26432</v>
      </c>
      <c r="R2074" s="62" t="s">
        <v>26433</v>
      </c>
      <c r="S2074" s="62" t="s">
        <v>26434</v>
      </c>
      <c r="U2074" s="62" t="s">
        <v>26435</v>
      </c>
      <c r="V2074" s="62" t="s">
        <v>51086</v>
      </c>
      <c r="W2074" s="62" t="s">
        <v>26436</v>
      </c>
      <c r="X2074" s="62" t="s">
        <v>26437</v>
      </c>
      <c r="Y2074" s="62" t="s">
        <v>26438</v>
      </c>
      <c r="Z2074" s="62" t="s">
        <v>26439</v>
      </c>
      <c r="AA2074" s="62" t="s">
        <v>51139</v>
      </c>
      <c r="AB2074" s="62" t="s">
        <v>26440</v>
      </c>
      <c r="AC2074" s="62" t="s">
        <v>26441</v>
      </c>
      <c r="AD2074" s="62" t="s">
        <v>26442</v>
      </c>
    </row>
    <row r="2075" spans="1:30" x14ac:dyDescent="0.25">
      <c r="A2075" s="62" t="s">
        <v>109</v>
      </c>
      <c r="C2075" s="62" t="s">
        <v>26443</v>
      </c>
      <c r="F2075" s="62" t="s">
        <v>10865</v>
      </c>
      <c r="G2075" s="62" t="s">
        <v>50928</v>
      </c>
      <c r="J2075" s="62" t="s">
        <v>26444</v>
      </c>
      <c r="K2075" s="62" t="s">
        <v>50981</v>
      </c>
      <c r="L2075" s="62" t="s">
        <v>26445</v>
      </c>
      <c r="M2075" s="62" t="s">
        <v>26446</v>
      </c>
      <c r="N2075" s="62" t="s">
        <v>26447</v>
      </c>
      <c r="O2075" s="62" t="s">
        <v>26448</v>
      </c>
      <c r="P2075" s="62" t="s">
        <v>51034</v>
      </c>
      <c r="Q2075" s="62" t="s">
        <v>26449</v>
      </c>
      <c r="R2075" s="62" t="s">
        <v>26450</v>
      </c>
      <c r="S2075" s="62" t="s">
        <v>26451</v>
      </c>
      <c r="U2075" s="62" t="s">
        <v>26452</v>
      </c>
      <c r="V2075" s="62" t="s">
        <v>51087</v>
      </c>
      <c r="W2075" s="62" t="s">
        <v>26453</v>
      </c>
      <c r="X2075" s="62" t="s">
        <v>26454</v>
      </c>
      <c r="Y2075" s="62" t="s">
        <v>26455</v>
      </c>
      <c r="Z2075" s="62" t="s">
        <v>26456</v>
      </c>
      <c r="AA2075" s="62" t="s">
        <v>51140</v>
      </c>
      <c r="AB2075" s="62" t="s">
        <v>26457</v>
      </c>
      <c r="AC2075" s="62" t="s">
        <v>26458</v>
      </c>
      <c r="AD2075" s="62" t="s">
        <v>26459</v>
      </c>
    </row>
    <row r="2076" spans="1:30" x14ac:dyDescent="0.25">
      <c r="A2076" s="62" t="s">
        <v>109</v>
      </c>
      <c r="C2076" s="62" t="s">
        <v>26460</v>
      </c>
      <c r="F2076" s="62" t="s">
        <v>13238</v>
      </c>
      <c r="G2076" s="62" t="s">
        <v>50929</v>
      </c>
      <c r="J2076" s="62" t="s">
        <v>26461</v>
      </c>
      <c r="K2076" s="62" t="s">
        <v>50982</v>
      </c>
      <c r="L2076" s="62" t="s">
        <v>26462</v>
      </c>
      <c r="M2076" s="62" t="s">
        <v>26463</v>
      </c>
      <c r="N2076" s="62" t="s">
        <v>26464</v>
      </c>
      <c r="O2076" s="62" t="s">
        <v>26465</v>
      </c>
      <c r="P2076" s="62" t="s">
        <v>51035</v>
      </c>
      <c r="Q2076" s="62" t="s">
        <v>26466</v>
      </c>
      <c r="R2076" s="62" t="s">
        <v>26467</v>
      </c>
      <c r="S2076" s="62" t="s">
        <v>26468</v>
      </c>
      <c r="U2076" s="62" t="s">
        <v>26469</v>
      </c>
      <c r="V2076" s="62" t="s">
        <v>51088</v>
      </c>
      <c r="W2076" s="62" t="s">
        <v>26470</v>
      </c>
      <c r="X2076" s="62" t="s">
        <v>26471</v>
      </c>
      <c r="Y2076" s="62" t="s">
        <v>26472</v>
      </c>
      <c r="Z2076" s="62" t="s">
        <v>26473</v>
      </c>
      <c r="AA2076" s="62" t="s">
        <v>51141</v>
      </c>
      <c r="AB2076" s="62" t="s">
        <v>26474</v>
      </c>
      <c r="AC2076" s="62" t="s">
        <v>26475</v>
      </c>
      <c r="AD2076" s="62" t="s">
        <v>26476</v>
      </c>
    </row>
    <row r="2077" spans="1:30" x14ac:dyDescent="0.25">
      <c r="A2077" s="62" t="s">
        <v>109</v>
      </c>
      <c r="C2077" s="62" t="s">
        <v>26477</v>
      </c>
      <c r="F2077" s="62" t="s">
        <v>1152</v>
      </c>
      <c r="G2077" s="62" t="s">
        <v>50930</v>
      </c>
      <c r="J2077" s="62" t="s">
        <v>26478</v>
      </c>
      <c r="K2077" s="62" t="s">
        <v>50983</v>
      </c>
      <c r="L2077" s="62" t="s">
        <v>26479</v>
      </c>
      <c r="M2077" s="62" t="s">
        <v>26480</v>
      </c>
      <c r="N2077" s="62" t="s">
        <v>26481</v>
      </c>
      <c r="O2077" s="62" t="s">
        <v>26482</v>
      </c>
      <c r="P2077" s="62" t="s">
        <v>51036</v>
      </c>
      <c r="Q2077" s="62" t="s">
        <v>26483</v>
      </c>
      <c r="R2077" s="62" t="s">
        <v>26484</v>
      </c>
      <c r="S2077" s="62" t="s">
        <v>26485</v>
      </c>
      <c r="U2077" s="62" t="s">
        <v>26486</v>
      </c>
      <c r="V2077" s="62" t="s">
        <v>51089</v>
      </c>
      <c r="W2077" s="62" t="s">
        <v>26487</v>
      </c>
      <c r="X2077" s="62" t="s">
        <v>26488</v>
      </c>
      <c r="Y2077" s="62" t="s">
        <v>26489</v>
      </c>
      <c r="Z2077" s="62" t="s">
        <v>26490</v>
      </c>
      <c r="AA2077" s="62" t="s">
        <v>51142</v>
      </c>
      <c r="AB2077" s="62" t="s">
        <v>26491</v>
      </c>
      <c r="AC2077" s="62" t="s">
        <v>26492</v>
      </c>
      <c r="AD2077" s="62" t="s">
        <v>26493</v>
      </c>
    </row>
    <row r="2078" spans="1:30" x14ac:dyDescent="0.25">
      <c r="A2078" s="62" t="s">
        <v>109</v>
      </c>
      <c r="C2078" s="62" t="s">
        <v>26494</v>
      </c>
      <c r="F2078" s="62" t="s">
        <v>1249</v>
      </c>
      <c r="G2078" s="62" t="s">
        <v>50931</v>
      </c>
      <c r="J2078" s="62" t="s">
        <v>26495</v>
      </c>
      <c r="K2078" s="62" t="s">
        <v>50984</v>
      </c>
      <c r="L2078" s="62" t="s">
        <v>26496</v>
      </c>
      <c r="M2078" s="62" t="s">
        <v>26497</v>
      </c>
      <c r="N2078" s="62" t="s">
        <v>26498</v>
      </c>
      <c r="O2078" s="62" t="s">
        <v>26499</v>
      </c>
      <c r="P2078" s="62" t="s">
        <v>51037</v>
      </c>
      <c r="Q2078" s="62" t="s">
        <v>26500</v>
      </c>
      <c r="R2078" s="62" t="s">
        <v>26501</v>
      </c>
      <c r="S2078" s="62" t="s">
        <v>26502</v>
      </c>
      <c r="U2078" s="62" t="s">
        <v>26503</v>
      </c>
      <c r="V2078" s="62" t="s">
        <v>51090</v>
      </c>
      <c r="W2078" s="62" t="s">
        <v>26504</v>
      </c>
      <c r="X2078" s="62" t="s">
        <v>26505</v>
      </c>
      <c r="Y2078" s="62" t="s">
        <v>26506</v>
      </c>
      <c r="Z2078" s="62" t="s">
        <v>26507</v>
      </c>
      <c r="AA2078" s="62" t="s">
        <v>51143</v>
      </c>
      <c r="AB2078" s="62" t="s">
        <v>26508</v>
      </c>
      <c r="AC2078" s="62" t="s">
        <v>26509</v>
      </c>
      <c r="AD2078" s="62" t="s">
        <v>26510</v>
      </c>
    </row>
    <row r="2079" spans="1:30" x14ac:dyDescent="0.25">
      <c r="A2079" s="62" t="s">
        <v>109</v>
      </c>
      <c r="C2079" s="62" t="s">
        <v>26511</v>
      </c>
      <c r="F2079" s="62" t="s">
        <v>1289</v>
      </c>
      <c r="G2079" s="62" t="s">
        <v>50932</v>
      </c>
      <c r="J2079" s="62" t="s">
        <v>26512</v>
      </c>
      <c r="K2079" s="62" t="s">
        <v>50985</v>
      </c>
      <c r="L2079" s="62" t="s">
        <v>26513</v>
      </c>
      <c r="M2079" s="62" t="s">
        <v>26514</v>
      </c>
      <c r="N2079" s="62" t="s">
        <v>26515</v>
      </c>
      <c r="O2079" s="62" t="s">
        <v>26516</v>
      </c>
      <c r="P2079" s="62" t="s">
        <v>51038</v>
      </c>
      <c r="Q2079" s="62" t="s">
        <v>26517</v>
      </c>
      <c r="R2079" s="62" t="s">
        <v>26518</v>
      </c>
      <c r="S2079" s="62" t="s">
        <v>26519</v>
      </c>
      <c r="U2079" s="62" t="s">
        <v>26520</v>
      </c>
      <c r="V2079" s="62" t="s">
        <v>51091</v>
      </c>
      <c r="W2079" s="62" t="s">
        <v>26521</v>
      </c>
      <c r="X2079" s="62" t="s">
        <v>26522</v>
      </c>
      <c r="Y2079" s="62" t="s">
        <v>26523</v>
      </c>
      <c r="Z2079" s="62" t="s">
        <v>26524</v>
      </c>
      <c r="AA2079" s="62" t="s">
        <v>51144</v>
      </c>
      <c r="AB2079" s="62" t="s">
        <v>26525</v>
      </c>
      <c r="AC2079" s="62" t="s">
        <v>26526</v>
      </c>
      <c r="AD2079" s="62" t="s">
        <v>26527</v>
      </c>
    </row>
    <row r="2080" spans="1:30" x14ac:dyDescent="0.25">
      <c r="A2080" s="62" t="s">
        <v>109</v>
      </c>
      <c r="C2080" s="62" t="s">
        <v>26528</v>
      </c>
      <c r="F2080" s="62" t="s">
        <v>1797</v>
      </c>
      <c r="G2080" s="62" t="s">
        <v>50933</v>
      </c>
      <c r="J2080" s="62" t="s">
        <v>26529</v>
      </c>
      <c r="K2080" s="62" t="s">
        <v>50986</v>
      </c>
      <c r="L2080" s="62" t="s">
        <v>26530</v>
      </c>
      <c r="M2080" s="62" t="s">
        <v>26531</v>
      </c>
      <c r="N2080" s="62" t="s">
        <v>26532</v>
      </c>
      <c r="O2080" s="62" t="s">
        <v>26533</v>
      </c>
      <c r="P2080" s="62" t="s">
        <v>51039</v>
      </c>
      <c r="Q2080" s="62" t="s">
        <v>26534</v>
      </c>
      <c r="R2080" s="62" t="s">
        <v>26535</v>
      </c>
      <c r="S2080" s="62" t="s">
        <v>26536</v>
      </c>
      <c r="U2080" s="62" t="s">
        <v>26537</v>
      </c>
      <c r="V2080" s="62" t="s">
        <v>51092</v>
      </c>
      <c r="W2080" s="62" t="s">
        <v>26538</v>
      </c>
      <c r="X2080" s="62" t="s">
        <v>26539</v>
      </c>
      <c r="Y2080" s="62" t="s">
        <v>26540</v>
      </c>
      <c r="Z2080" s="62" t="s">
        <v>26541</v>
      </c>
      <c r="AA2080" s="62" t="s">
        <v>51145</v>
      </c>
      <c r="AB2080" s="62" t="s">
        <v>26542</v>
      </c>
      <c r="AC2080" s="62" t="s">
        <v>26543</v>
      </c>
      <c r="AD2080" s="62" t="s">
        <v>26544</v>
      </c>
    </row>
    <row r="2081" spans="1:30" x14ac:dyDescent="0.25">
      <c r="A2081" s="62" t="s">
        <v>109</v>
      </c>
      <c r="C2081" s="62" t="s">
        <v>26545</v>
      </c>
      <c r="F2081" s="62" t="s">
        <v>1299</v>
      </c>
      <c r="G2081" s="62" t="s">
        <v>50934</v>
      </c>
      <c r="J2081" s="62" t="s">
        <v>26546</v>
      </c>
      <c r="K2081" s="62" t="s">
        <v>50987</v>
      </c>
      <c r="L2081" s="62" t="s">
        <v>26547</v>
      </c>
      <c r="M2081" s="62" t="s">
        <v>26548</v>
      </c>
      <c r="N2081" s="62" t="s">
        <v>26549</v>
      </c>
      <c r="O2081" s="62" t="s">
        <v>26550</v>
      </c>
      <c r="P2081" s="62" t="s">
        <v>51040</v>
      </c>
      <c r="Q2081" s="62" t="s">
        <v>26551</v>
      </c>
      <c r="R2081" s="62" t="s">
        <v>26552</v>
      </c>
      <c r="S2081" s="62" t="s">
        <v>26553</v>
      </c>
      <c r="U2081" s="62" t="s">
        <v>26554</v>
      </c>
      <c r="V2081" s="62" t="s">
        <v>51093</v>
      </c>
      <c r="W2081" s="62" t="s">
        <v>26555</v>
      </c>
      <c r="X2081" s="62" t="s">
        <v>26556</v>
      </c>
      <c r="Y2081" s="62" t="s">
        <v>26557</v>
      </c>
      <c r="Z2081" s="62" t="s">
        <v>26558</v>
      </c>
      <c r="AA2081" s="62" t="s">
        <v>51146</v>
      </c>
      <c r="AB2081" s="62" t="s">
        <v>26559</v>
      </c>
      <c r="AC2081" s="62" t="s">
        <v>26560</v>
      </c>
      <c r="AD2081" s="62" t="s">
        <v>26561</v>
      </c>
    </row>
    <row r="2082" spans="1:30" x14ac:dyDescent="0.25">
      <c r="A2082" s="62" t="s">
        <v>109</v>
      </c>
      <c r="C2082" s="62" t="s">
        <v>26562</v>
      </c>
      <c r="F2082" s="62" t="s">
        <v>13249</v>
      </c>
      <c r="G2082" s="62" t="s">
        <v>50935</v>
      </c>
      <c r="J2082" s="62" t="s">
        <v>26563</v>
      </c>
      <c r="K2082" s="62" t="s">
        <v>50988</v>
      </c>
      <c r="L2082" s="62" t="s">
        <v>26564</v>
      </c>
      <c r="M2082" s="62" t="s">
        <v>26565</v>
      </c>
      <c r="N2082" s="62" t="s">
        <v>26566</v>
      </c>
      <c r="O2082" s="62" t="s">
        <v>26567</v>
      </c>
      <c r="P2082" s="62" t="s">
        <v>51041</v>
      </c>
      <c r="Q2082" s="62" t="s">
        <v>26568</v>
      </c>
      <c r="R2082" s="62" t="s">
        <v>26569</v>
      </c>
      <c r="S2082" s="62" t="s">
        <v>26570</v>
      </c>
      <c r="U2082" s="62" t="s">
        <v>26571</v>
      </c>
      <c r="V2082" s="62" t="s">
        <v>51094</v>
      </c>
      <c r="W2082" s="62" t="s">
        <v>26572</v>
      </c>
      <c r="X2082" s="62" t="s">
        <v>26573</v>
      </c>
      <c r="Y2082" s="62" t="s">
        <v>26574</v>
      </c>
      <c r="Z2082" s="62" t="s">
        <v>26575</v>
      </c>
      <c r="AA2082" s="62" t="s">
        <v>51147</v>
      </c>
      <c r="AB2082" s="62" t="s">
        <v>26576</v>
      </c>
      <c r="AC2082" s="62" t="s">
        <v>26577</v>
      </c>
      <c r="AD2082" s="62" t="s">
        <v>26578</v>
      </c>
    </row>
    <row r="2083" spans="1:30" x14ac:dyDescent="0.25">
      <c r="A2083" s="62" t="s">
        <v>109</v>
      </c>
      <c r="C2083" s="62" t="s">
        <v>26579</v>
      </c>
      <c r="F2083" s="62" t="s">
        <v>10925</v>
      </c>
      <c r="G2083" s="62" t="s">
        <v>50936</v>
      </c>
      <c r="J2083" s="62" t="s">
        <v>26580</v>
      </c>
      <c r="K2083" s="62" t="s">
        <v>50989</v>
      </c>
      <c r="L2083" s="62" t="s">
        <v>26581</v>
      </c>
      <c r="M2083" s="62" t="s">
        <v>26582</v>
      </c>
      <c r="N2083" s="62" t="s">
        <v>26583</v>
      </c>
      <c r="O2083" s="62" t="s">
        <v>26584</v>
      </c>
      <c r="P2083" s="62" t="s">
        <v>51042</v>
      </c>
      <c r="Q2083" s="62" t="s">
        <v>26585</v>
      </c>
      <c r="R2083" s="62" t="s">
        <v>26586</v>
      </c>
      <c r="S2083" s="62" t="s">
        <v>26587</v>
      </c>
      <c r="U2083" s="62" t="s">
        <v>26588</v>
      </c>
      <c r="V2083" s="62" t="s">
        <v>51095</v>
      </c>
      <c r="W2083" s="62" t="s">
        <v>26589</v>
      </c>
      <c r="X2083" s="62" t="s">
        <v>26590</v>
      </c>
      <c r="Y2083" s="62" t="s">
        <v>26591</v>
      </c>
      <c r="Z2083" s="62" t="s">
        <v>26592</v>
      </c>
      <c r="AA2083" s="62" t="s">
        <v>51148</v>
      </c>
      <c r="AB2083" s="62" t="s">
        <v>26593</v>
      </c>
      <c r="AC2083" s="62" t="s">
        <v>26594</v>
      </c>
      <c r="AD2083" s="62" t="s">
        <v>26595</v>
      </c>
    </row>
    <row r="2084" spans="1:30" x14ac:dyDescent="0.25">
      <c r="A2084" s="62" t="s">
        <v>109</v>
      </c>
      <c r="C2084" s="62" t="s">
        <v>26596</v>
      </c>
      <c r="F2084" s="62" t="s">
        <v>10929</v>
      </c>
      <c r="G2084" s="62" t="s">
        <v>50937</v>
      </c>
      <c r="J2084" s="62" t="s">
        <v>26597</v>
      </c>
      <c r="K2084" s="62" t="s">
        <v>50990</v>
      </c>
      <c r="L2084" s="62" t="s">
        <v>26598</v>
      </c>
      <c r="M2084" s="62" t="s">
        <v>26599</v>
      </c>
      <c r="N2084" s="62" t="s">
        <v>26600</v>
      </c>
      <c r="O2084" s="62" t="s">
        <v>26601</v>
      </c>
      <c r="P2084" s="62" t="s">
        <v>51043</v>
      </c>
      <c r="Q2084" s="62" t="s">
        <v>26602</v>
      </c>
      <c r="R2084" s="62" t="s">
        <v>26603</v>
      </c>
      <c r="S2084" s="62" t="s">
        <v>26604</v>
      </c>
      <c r="U2084" s="62" t="s">
        <v>26605</v>
      </c>
      <c r="V2084" s="62" t="s">
        <v>51096</v>
      </c>
      <c r="W2084" s="62" t="s">
        <v>26606</v>
      </c>
      <c r="X2084" s="62" t="s">
        <v>26607</v>
      </c>
      <c r="Y2084" s="62" t="s">
        <v>26608</v>
      </c>
      <c r="Z2084" s="62" t="s">
        <v>26609</v>
      </c>
      <c r="AA2084" s="62" t="s">
        <v>51149</v>
      </c>
      <c r="AB2084" s="62" t="s">
        <v>26610</v>
      </c>
      <c r="AC2084" s="62" t="s">
        <v>26611</v>
      </c>
      <c r="AD2084" s="62" t="s">
        <v>26612</v>
      </c>
    </row>
    <row r="2085" spans="1:30" x14ac:dyDescent="0.25">
      <c r="A2085" s="62" t="s">
        <v>109</v>
      </c>
      <c r="C2085" s="62" t="s">
        <v>26613</v>
      </c>
      <c r="F2085" s="62" t="s">
        <v>33484</v>
      </c>
      <c r="G2085" s="62" t="s">
        <v>50938</v>
      </c>
      <c r="J2085" s="62" t="s">
        <v>26614</v>
      </c>
      <c r="K2085" s="62" t="s">
        <v>50991</v>
      </c>
      <c r="L2085" s="62" t="s">
        <v>26615</v>
      </c>
      <c r="M2085" s="62" t="s">
        <v>26616</v>
      </c>
      <c r="N2085" s="62" t="s">
        <v>26617</v>
      </c>
      <c r="O2085" s="62" t="s">
        <v>26618</v>
      </c>
      <c r="P2085" s="62" t="s">
        <v>51044</v>
      </c>
      <c r="Q2085" s="62" t="s">
        <v>26619</v>
      </c>
      <c r="R2085" s="62" t="s">
        <v>26620</v>
      </c>
      <c r="S2085" s="62" t="s">
        <v>26621</v>
      </c>
      <c r="U2085" s="62" t="s">
        <v>26622</v>
      </c>
      <c r="V2085" s="62" t="s">
        <v>51097</v>
      </c>
      <c r="W2085" s="62" t="s">
        <v>26623</v>
      </c>
      <c r="X2085" s="62" t="s">
        <v>26624</v>
      </c>
      <c r="Y2085" s="62" t="s">
        <v>26625</v>
      </c>
      <c r="Z2085" s="62" t="s">
        <v>26626</v>
      </c>
      <c r="AA2085" s="62" t="s">
        <v>51150</v>
      </c>
      <c r="AB2085" s="62" t="s">
        <v>26627</v>
      </c>
      <c r="AC2085" s="62" t="s">
        <v>26628</v>
      </c>
      <c r="AD2085" s="62" t="s">
        <v>26629</v>
      </c>
    </row>
    <row r="2086" spans="1:30" x14ac:dyDescent="0.25">
      <c r="A2086" s="62" t="s">
        <v>109</v>
      </c>
      <c r="C2086" s="62" t="s">
        <v>26630</v>
      </c>
      <c r="F2086" s="62" t="s">
        <v>10949</v>
      </c>
      <c r="G2086" s="62" t="s">
        <v>50939</v>
      </c>
      <c r="J2086" s="62" t="s">
        <v>26631</v>
      </c>
      <c r="K2086" s="62" t="s">
        <v>50992</v>
      </c>
      <c r="L2086" s="62" t="s">
        <v>26632</v>
      </c>
      <c r="M2086" s="62" t="s">
        <v>26633</v>
      </c>
      <c r="N2086" s="62" t="s">
        <v>26634</v>
      </c>
      <c r="O2086" s="62" t="s">
        <v>26635</v>
      </c>
      <c r="P2086" s="62" t="s">
        <v>51045</v>
      </c>
      <c r="Q2086" s="62" t="s">
        <v>26636</v>
      </c>
      <c r="R2086" s="62" t="s">
        <v>26637</v>
      </c>
      <c r="S2086" s="62" t="s">
        <v>26638</v>
      </c>
      <c r="U2086" s="62" t="s">
        <v>26639</v>
      </c>
      <c r="V2086" s="62" t="s">
        <v>51098</v>
      </c>
      <c r="W2086" s="62" t="s">
        <v>26640</v>
      </c>
      <c r="X2086" s="62" t="s">
        <v>26641</v>
      </c>
      <c r="Y2086" s="62" t="s">
        <v>26642</v>
      </c>
      <c r="Z2086" s="62" t="s">
        <v>26643</v>
      </c>
      <c r="AA2086" s="62" t="s">
        <v>51151</v>
      </c>
      <c r="AB2086" s="62" t="s">
        <v>26644</v>
      </c>
      <c r="AC2086" s="62" t="s">
        <v>26645</v>
      </c>
      <c r="AD2086" s="62" t="s">
        <v>26646</v>
      </c>
    </row>
    <row r="2087" spans="1:30" x14ac:dyDescent="0.25">
      <c r="A2087" s="62" t="s">
        <v>109</v>
      </c>
      <c r="C2087" s="62" t="s">
        <v>26647</v>
      </c>
      <c r="F2087" s="62" t="s">
        <v>24015</v>
      </c>
      <c r="G2087" s="62" t="s">
        <v>50940</v>
      </c>
      <c r="J2087" s="62" t="s">
        <v>26648</v>
      </c>
      <c r="K2087" s="62" t="s">
        <v>50993</v>
      </c>
      <c r="L2087" s="62" t="s">
        <v>26649</v>
      </c>
      <c r="M2087" s="62" t="s">
        <v>26650</v>
      </c>
      <c r="N2087" s="62" t="s">
        <v>26651</v>
      </c>
      <c r="O2087" s="62" t="s">
        <v>26652</v>
      </c>
      <c r="P2087" s="62" t="s">
        <v>51046</v>
      </c>
      <c r="Q2087" s="62" t="s">
        <v>26653</v>
      </c>
      <c r="R2087" s="62" t="s">
        <v>26654</v>
      </c>
      <c r="S2087" s="62" t="s">
        <v>26655</v>
      </c>
      <c r="U2087" s="62" t="s">
        <v>26656</v>
      </c>
      <c r="V2087" s="62" t="s">
        <v>51099</v>
      </c>
      <c r="W2087" s="62" t="s">
        <v>26657</v>
      </c>
      <c r="X2087" s="62" t="s">
        <v>26658</v>
      </c>
      <c r="Y2087" s="62" t="s">
        <v>26659</v>
      </c>
      <c r="Z2087" s="62" t="s">
        <v>26660</v>
      </c>
      <c r="AA2087" s="62" t="s">
        <v>51152</v>
      </c>
      <c r="AB2087" s="62" t="s">
        <v>26661</v>
      </c>
      <c r="AC2087" s="62" t="s">
        <v>26662</v>
      </c>
      <c r="AD2087" s="62" t="s">
        <v>26663</v>
      </c>
    </row>
    <row r="2088" spans="1:30" x14ac:dyDescent="0.25">
      <c r="A2088" s="62" t="s">
        <v>109</v>
      </c>
      <c r="C2088" s="62" t="s">
        <v>26664</v>
      </c>
      <c r="F2088" s="62" t="s">
        <v>24033</v>
      </c>
      <c r="G2088" s="62" t="s">
        <v>50941</v>
      </c>
      <c r="J2088" s="62" t="s">
        <v>26665</v>
      </c>
      <c r="K2088" s="62" t="s">
        <v>50994</v>
      </c>
      <c r="L2088" s="62" t="s">
        <v>26666</v>
      </c>
      <c r="M2088" s="62" t="s">
        <v>26667</v>
      </c>
      <c r="N2088" s="62" t="s">
        <v>26668</v>
      </c>
      <c r="O2088" s="62" t="s">
        <v>26669</v>
      </c>
      <c r="P2088" s="62" t="s">
        <v>51047</v>
      </c>
      <c r="Q2088" s="62" t="s">
        <v>26670</v>
      </c>
      <c r="R2088" s="62" t="s">
        <v>26671</v>
      </c>
      <c r="S2088" s="62" t="s">
        <v>26672</v>
      </c>
      <c r="U2088" s="62" t="s">
        <v>26673</v>
      </c>
      <c r="V2088" s="62" t="s">
        <v>51100</v>
      </c>
      <c r="W2088" s="62" t="s">
        <v>26674</v>
      </c>
      <c r="X2088" s="62" t="s">
        <v>26675</v>
      </c>
      <c r="Y2088" s="62" t="s">
        <v>26676</v>
      </c>
      <c r="Z2088" s="62" t="s">
        <v>26677</v>
      </c>
      <c r="AA2088" s="62" t="s">
        <v>51153</v>
      </c>
      <c r="AB2088" s="62" t="s">
        <v>26678</v>
      </c>
      <c r="AC2088" s="62" t="s">
        <v>26679</v>
      </c>
      <c r="AD2088" s="62" t="s">
        <v>26680</v>
      </c>
    </row>
    <row r="2089" spans="1:30" x14ac:dyDescent="0.25">
      <c r="A2089" s="62" t="s">
        <v>109</v>
      </c>
      <c r="C2089" s="62" t="s">
        <v>26681</v>
      </c>
      <c r="F2089" s="62" t="s">
        <v>24051</v>
      </c>
      <c r="G2089" s="62" t="s">
        <v>50942</v>
      </c>
      <c r="J2089" s="62" t="s">
        <v>26682</v>
      </c>
      <c r="K2089" s="62" t="s">
        <v>50995</v>
      </c>
      <c r="L2089" s="62" t="s">
        <v>26683</v>
      </c>
      <c r="M2089" s="62" t="s">
        <v>26684</v>
      </c>
      <c r="N2089" s="62" t="s">
        <v>26685</v>
      </c>
      <c r="O2089" s="62" t="s">
        <v>26686</v>
      </c>
      <c r="P2089" s="62" t="s">
        <v>51048</v>
      </c>
      <c r="Q2089" s="62" t="s">
        <v>26687</v>
      </c>
      <c r="R2089" s="62" t="s">
        <v>26688</v>
      </c>
      <c r="S2089" s="62" t="s">
        <v>26689</v>
      </c>
      <c r="U2089" s="62" t="s">
        <v>26690</v>
      </c>
      <c r="V2089" s="62" t="s">
        <v>51101</v>
      </c>
      <c r="W2089" s="62" t="s">
        <v>26691</v>
      </c>
      <c r="X2089" s="62" t="s">
        <v>26692</v>
      </c>
      <c r="Y2089" s="62" t="s">
        <v>26693</v>
      </c>
      <c r="Z2089" s="62" t="s">
        <v>26694</v>
      </c>
      <c r="AA2089" s="62" t="s">
        <v>51154</v>
      </c>
      <c r="AB2089" s="62" t="s">
        <v>26695</v>
      </c>
      <c r="AC2089" s="62" t="s">
        <v>26696</v>
      </c>
      <c r="AD2089" s="62" t="s">
        <v>26697</v>
      </c>
    </row>
    <row r="2090" spans="1:30" x14ac:dyDescent="0.25">
      <c r="A2090" s="62" t="s">
        <v>109</v>
      </c>
      <c r="C2090" s="62" t="s">
        <v>26698</v>
      </c>
      <c r="F2090" s="62" t="s">
        <v>22307</v>
      </c>
      <c r="G2090" s="62" t="s">
        <v>50943</v>
      </c>
      <c r="J2090" s="62" t="s">
        <v>26700</v>
      </c>
      <c r="K2090" s="62" t="s">
        <v>50996</v>
      </c>
      <c r="L2090" s="62" t="s">
        <v>26701</v>
      </c>
      <c r="M2090" s="62" t="s">
        <v>26702</v>
      </c>
      <c r="N2090" s="62" t="s">
        <v>26703</v>
      </c>
      <c r="O2090" s="62" t="s">
        <v>26704</v>
      </c>
      <c r="P2090" s="62" t="s">
        <v>51049</v>
      </c>
      <c r="Q2090" s="62" t="s">
        <v>26705</v>
      </c>
      <c r="R2090" s="62" t="s">
        <v>26706</v>
      </c>
      <c r="S2090" s="62" t="s">
        <v>26707</v>
      </c>
      <c r="U2090" s="62" t="s">
        <v>26708</v>
      </c>
      <c r="V2090" s="62" t="s">
        <v>51102</v>
      </c>
      <c r="W2090" s="62" t="s">
        <v>26709</v>
      </c>
      <c r="X2090" s="62" t="s">
        <v>26710</v>
      </c>
      <c r="Y2090" s="62" t="s">
        <v>26711</v>
      </c>
      <c r="Z2090" s="62" t="s">
        <v>26712</v>
      </c>
      <c r="AA2090" s="62" t="s">
        <v>51155</v>
      </c>
      <c r="AB2090" s="62" t="s">
        <v>26713</v>
      </c>
      <c r="AC2090" s="62" t="s">
        <v>26714</v>
      </c>
      <c r="AD2090" s="62" t="s">
        <v>26715</v>
      </c>
    </row>
    <row r="2091" spans="1:30" x14ac:dyDescent="0.25">
      <c r="A2091" s="62" t="s">
        <v>109</v>
      </c>
      <c r="C2091" s="62" t="s">
        <v>26716</v>
      </c>
      <c r="F2091" s="62" t="s">
        <v>22412</v>
      </c>
      <c r="G2091" s="62" t="s">
        <v>50944</v>
      </c>
      <c r="J2091" s="62" t="s">
        <v>26717</v>
      </c>
      <c r="K2091" s="62" t="s">
        <v>50997</v>
      </c>
      <c r="L2091" s="62" t="s">
        <v>26718</v>
      </c>
      <c r="M2091" s="62" t="s">
        <v>26719</v>
      </c>
      <c r="N2091" s="62" t="s">
        <v>26720</v>
      </c>
      <c r="O2091" s="62" t="s">
        <v>26721</v>
      </c>
      <c r="P2091" s="62" t="s">
        <v>51050</v>
      </c>
      <c r="Q2091" s="62" t="s">
        <v>26722</v>
      </c>
      <c r="R2091" s="62" t="s">
        <v>26723</v>
      </c>
      <c r="S2091" s="62" t="s">
        <v>26724</v>
      </c>
      <c r="U2091" s="62" t="s">
        <v>26725</v>
      </c>
      <c r="V2091" s="62" t="s">
        <v>51103</v>
      </c>
      <c r="W2091" s="62" t="s">
        <v>26726</v>
      </c>
      <c r="X2091" s="62" t="s">
        <v>26727</v>
      </c>
      <c r="Y2091" s="62" t="s">
        <v>26728</v>
      </c>
      <c r="Z2091" s="62" t="s">
        <v>26729</v>
      </c>
      <c r="AA2091" s="62" t="s">
        <v>51156</v>
      </c>
      <c r="AB2091" s="62" t="s">
        <v>26730</v>
      </c>
      <c r="AC2091" s="62" t="s">
        <v>26731</v>
      </c>
      <c r="AD2091" s="62" t="s">
        <v>26732</v>
      </c>
    </row>
    <row r="2092" spans="1:30" x14ac:dyDescent="0.25">
      <c r="A2092" s="62" t="s">
        <v>109</v>
      </c>
      <c r="C2092" s="62" t="s">
        <v>25922</v>
      </c>
    </row>
    <row r="2093" spans="1:30" x14ac:dyDescent="0.25">
      <c r="A2093" s="62" t="s">
        <v>109</v>
      </c>
      <c r="C2093" s="62" t="s">
        <v>26733</v>
      </c>
      <c r="G2093" s="62" t="s">
        <v>44570</v>
      </c>
      <c r="J2093" s="62" t="s">
        <v>44571</v>
      </c>
      <c r="K2093" s="62" t="s">
        <v>44572</v>
      </c>
      <c r="L2093" s="62" t="s">
        <v>44573</v>
      </c>
      <c r="M2093" s="62" t="s">
        <v>26734</v>
      </c>
      <c r="N2093" s="62" t="s">
        <v>26735</v>
      </c>
      <c r="O2093" s="62" t="s">
        <v>44574</v>
      </c>
      <c r="P2093" s="62" t="s">
        <v>44575</v>
      </c>
      <c r="Q2093" s="62" t="s">
        <v>44576</v>
      </c>
      <c r="R2093" s="62" t="s">
        <v>26736</v>
      </c>
      <c r="S2093" s="62" t="s">
        <v>26737</v>
      </c>
      <c r="U2093" s="62" t="s">
        <v>44577</v>
      </c>
      <c r="V2093" s="62" t="s">
        <v>44578</v>
      </c>
      <c r="W2093" s="62" t="s">
        <v>44579</v>
      </c>
      <c r="X2093" s="62" t="s">
        <v>26738</v>
      </c>
      <c r="Y2093" s="62" t="s">
        <v>26739</v>
      </c>
      <c r="Z2093" s="62" t="s">
        <v>44580</v>
      </c>
      <c r="AA2093" s="62" t="s">
        <v>44581</v>
      </c>
      <c r="AB2093" s="62" t="s">
        <v>44582</v>
      </c>
      <c r="AC2093" s="62" t="s">
        <v>26740</v>
      </c>
      <c r="AD2093" s="62" t="s">
        <v>26741</v>
      </c>
    </row>
    <row r="2094" spans="1:30" x14ac:dyDescent="0.25">
      <c r="A2094" s="62" t="s">
        <v>109</v>
      </c>
    </row>
    <row r="2095" spans="1:30" x14ac:dyDescent="0.25">
      <c r="A2095" s="62" t="s">
        <v>109</v>
      </c>
      <c r="C2095" s="62" t="s">
        <v>44583</v>
      </c>
      <c r="E2095" s="62" t="s">
        <v>515</v>
      </c>
      <c r="G2095" s="62" t="s">
        <v>44584</v>
      </c>
    </row>
    <row r="2096" spans="1:30" x14ac:dyDescent="0.25">
      <c r="A2096" s="62" t="s">
        <v>109</v>
      </c>
      <c r="C2096" s="62" t="s">
        <v>26742</v>
      </c>
    </row>
    <row r="2097" spans="1:30" x14ac:dyDescent="0.25">
      <c r="A2097" s="62" t="s">
        <v>109</v>
      </c>
      <c r="C2097" s="62" t="s">
        <v>44585</v>
      </c>
      <c r="F2097" s="62" t="s">
        <v>44586</v>
      </c>
      <c r="G2097" s="62" t="s">
        <v>50727</v>
      </c>
      <c r="J2097" s="62" t="s">
        <v>44587</v>
      </c>
      <c r="K2097" s="62" t="s">
        <v>50760</v>
      </c>
      <c r="L2097" s="62" t="s">
        <v>44588</v>
      </c>
      <c r="M2097" s="62" t="s">
        <v>44589</v>
      </c>
      <c r="N2097" s="62" t="s">
        <v>44590</v>
      </c>
      <c r="O2097" s="62" t="s">
        <v>44591</v>
      </c>
      <c r="P2097" s="62" t="s">
        <v>50793</v>
      </c>
      <c r="Q2097" s="62" t="s">
        <v>44592</v>
      </c>
      <c r="R2097" s="62" t="s">
        <v>44593</v>
      </c>
      <c r="S2097" s="62" t="s">
        <v>44594</v>
      </c>
      <c r="U2097" s="62" t="s">
        <v>44595</v>
      </c>
      <c r="V2097" s="62" t="s">
        <v>50826</v>
      </c>
      <c r="W2097" s="62" t="s">
        <v>44596</v>
      </c>
      <c r="X2097" s="62" t="s">
        <v>44597</v>
      </c>
      <c r="Y2097" s="62" t="s">
        <v>44598</v>
      </c>
      <c r="Z2097" s="62" t="s">
        <v>44599</v>
      </c>
      <c r="AA2097" s="62" t="s">
        <v>50859</v>
      </c>
      <c r="AB2097" s="62" t="s">
        <v>44600</v>
      </c>
      <c r="AC2097" s="62" t="s">
        <v>44601</v>
      </c>
      <c r="AD2097" s="62" t="s">
        <v>44602</v>
      </c>
    </row>
    <row r="2098" spans="1:30" x14ac:dyDescent="0.25">
      <c r="A2098" s="62" t="s">
        <v>109</v>
      </c>
      <c r="C2098" s="62" t="s">
        <v>44603</v>
      </c>
      <c r="F2098" s="62" t="s">
        <v>731</v>
      </c>
      <c r="G2098" s="62" t="s">
        <v>50728</v>
      </c>
      <c r="J2098" s="62" t="s">
        <v>44604</v>
      </c>
      <c r="K2098" s="62" t="s">
        <v>50761</v>
      </c>
      <c r="L2098" s="62" t="s">
        <v>44605</v>
      </c>
      <c r="M2098" s="62" t="s">
        <v>44606</v>
      </c>
      <c r="N2098" s="62" t="s">
        <v>44607</v>
      </c>
      <c r="O2098" s="62" t="s">
        <v>44608</v>
      </c>
      <c r="P2098" s="62" t="s">
        <v>50794</v>
      </c>
      <c r="Q2098" s="62" t="s">
        <v>44609</v>
      </c>
      <c r="R2098" s="62" t="s">
        <v>44610</v>
      </c>
      <c r="S2098" s="62" t="s">
        <v>44611</v>
      </c>
      <c r="U2098" s="62" t="s">
        <v>44612</v>
      </c>
      <c r="V2098" s="62" t="s">
        <v>50827</v>
      </c>
      <c r="W2098" s="62" t="s">
        <v>44613</v>
      </c>
      <c r="X2098" s="62" t="s">
        <v>44614</v>
      </c>
      <c r="Y2098" s="62" t="s">
        <v>44615</v>
      </c>
      <c r="Z2098" s="62" t="s">
        <v>44616</v>
      </c>
      <c r="AA2098" s="62" t="s">
        <v>50860</v>
      </c>
      <c r="AB2098" s="62" t="s">
        <v>44617</v>
      </c>
      <c r="AC2098" s="62" t="s">
        <v>44618</v>
      </c>
      <c r="AD2098" s="62" t="s">
        <v>44619</v>
      </c>
    </row>
    <row r="2099" spans="1:30" x14ac:dyDescent="0.25">
      <c r="A2099" s="62" t="s">
        <v>109</v>
      </c>
      <c r="C2099" s="62" t="s">
        <v>26744</v>
      </c>
      <c r="F2099" s="62" t="s">
        <v>776</v>
      </c>
      <c r="G2099" s="62" t="s">
        <v>50729</v>
      </c>
      <c r="J2099" s="62" t="s">
        <v>44620</v>
      </c>
      <c r="K2099" s="62" t="s">
        <v>50762</v>
      </c>
      <c r="L2099" s="62" t="s">
        <v>44621</v>
      </c>
      <c r="M2099" s="62" t="s">
        <v>44622</v>
      </c>
      <c r="N2099" s="62" t="s">
        <v>44623</v>
      </c>
      <c r="O2099" s="62" t="s">
        <v>44624</v>
      </c>
      <c r="P2099" s="62" t="s">
        <v>50795</v>
      </c>
      <c r="Q2099" s="62" t="s">
        <v>44625</v>
      </c>
      <c r="R2099" s="62" t="s">
        <v>44626</v>
      </c>
      <c r="S2099" s="62" t="s">
        <v>44627</v>
      </c>
      <c r="U2099" s="62" t="s">
        <v>44628</v>
      </c>
      <c r="V2099" s="62" t="s">
        <v>50828</v>
      </c>
      <c r="W2099" s="62" t="s">
        <v>44629</v>
      </c>
      <c r="X2099" s="62" t="s">
        <v>44630</v>
      </c>
      <c r="Y2099" s="62" t="s">
        <v>44631</v>
      </c>
      <c r="Z2099" s="62" t="s">
        <v>44632</v>
      </c>
      <c r="AA2099" s="62" t="s">
        <v>50861</v>
      </c>
      <c r="AB2099" s="62" t="s">
        <v>44633</v>
      </c>
      <c r="AC2099" s="62" t="s">
        <v>44634</v>
      </c>
      <c r="AD2099" s="62" t="s">
        <v>44635</v>
      </c>
    </row>
    <row r="2100" spans="1:30" x14ac:dyDescent="0.25">
      <c r="A2100" s="62" t="s">
        <v>109</v>
      </c>
      <c r="C2100" s="62" t="s">
        <v>26745</v>
      </c>
      <c r="F2100" s="62" t="s">
        <v>1359</v>
      </c>
      <c r="G2100" s="62" t="s">
        <v>50730</v>
      </c>
      <c r="J2100" s="62" t="s">
        <v>26746</v>
      </c>
      <c r="K2100" s="62" t="s">
        <v>50763</v>
      </c>
      <c r="L2100" s="62" t="s">
        <v>26747</v>
      </c>
      <c r="M2100" s="62" t="s">
        <v>26748</v>
      </c>
      <c r="N2100" s="62" t="s">
        <v>26749</v>
      </c>
      <c r="O2100" s="62" t="s">
        <v>26750</v>
      </c>
      <c r="P2100" s="62" t="s">
        <v>50796</v>
      </c>
      <c r="Q2100" s="62" t="s">
        <v>26751</v>
      </c>
      <c r="R2100" s="62" t="s">
        <v>26752</v>
      </c>
      <c r="S2100" s="62" t="s">
        <v>26753</v>
      </c>
      <c r="U2100" s="62" t="s">
        <v>26754</v>
      </c>
      <c r="V2100" s="62" t="s">
        <v>50829</v>
      </c>
      <c r="W2100" s="62" t="s">
        <v>26755</v>
      </c>
      <c r="X2100" s="62" t="s">
        <v>26756</v>
      </c>
      <c r="Y2100" s="62" t="s">
        <v>26757</v>
      </c>
      <c r="Z2100" s="62" t="s">
        <v>26758</v>
      </c>
      <c r="AA2100" s="62" t="s">
        <v>50862</v>
      </c>
      <c r="AB2100" s="62" t="s">
        <v>26759</v>
      </c>
      <c r="AC2100" s="62" t="s">
        <v>26760</v>
      </c>
      <c r="AD2100" s="62" t="s">
        <v>26761</v>
      </c>
    </row>
    <row r="2101" spans="1:30" x14ac:dyDescent="0.25">
      <c r="A2101" s="62" t="s">
        <v>109</v>
      </c>
      <c r="C2101" s="62" t="s">
        <v>26762</v>
      </c>
      <c r="F2101" s="62" t="s">
        <v>785</v>
      </c>
      <c r="G2101" s="62" t="s">
        <v>50731</v>
      </c>
      <c r="J2101" s="62" t="s">
        <v>26763</v>
      </c>
      <c r="K2101" s="62" t="s">
        <v>50764</v>
      </c>
      <c r="L2101" s="62" t="s">
        <v>26764</v>
      </c>
      <c r="M2101" s="62" t="s">
        <v>26765</v>
      </c>
      <c r="N2101" s="62" t="s">
        <v>26766</v>
      </c>
      <c r="O2101" s="62" t="s">
        <v>26767</v>
      </c>
      <c r="P2101" s="62" t="s">
        <v>50797</v>
      </c>
      <c r="Q2101" s="62" t="s">
        <v>26768</v>
      </c>
      <c r="R2101" s="62" t="s">
        <v>26769</v>
      </c>
      <c r="S2101" s="62" t="s">
        <v>26770</v>
      </c>
      <c r="U2101" s="62" t="s">
        <v>26771</v>
      </c>
      <c r="V2101" s="62" t="s">
        <v>50830</v>
      </c>
      <c r="W2101" s="62" t="s">
        <v>26772</v>
      </c>
      <c r="X2101" s="62" t="s">
        <v>26773</v>
      </c>
      <c r="Y2101" s="62" t="s">
        <v>26774</v>
      </c>
      <c r="Z2101" s="62" t="s">
        <v>26775</v>
      </c>
      <c r="AA2101" s="62" t="s">
        <v>50863</v>
      </c>
      <c r="AB2101" s="62" t="s">
        <v>26776</v>
      </c>
      <c r="AC2101" s="62" t="s">
        <v>26777</v>
      </c>
      <c r="AD2101" s="62" t="s">
        <v>26778</v>
      </c>
    </row>
    <row r="2102" spans="1:30" x14ac:dyDescent="0.25">
      <c r="A2102" s="62" t="s">
        <v>109</v>
      </c>
      <c r="C2102" s="62" t="s">
        <v>26779</v>
      </c>
      <c r="F2102" s="62" t="s">
        <v>802</v>
      </c>
      <c r="G2102" s="62" t="s">
        <v>50732</v>
      </c>
      <c r="J2102" s="62" t="s">
        <v>26780</v>
      </c>
      <c r="K2102" s="62" t="s">
        <v>50765</v>
      </c>
      <c r="L2102" s="62" t="s">
        <v>26781</v>
      </c>
      <c r="M2102" s="62" t="s">
        <v>26782</v>
      </c>
      <c r="N2102" s="62" t="s">
        <v>26783</v>
      </c>
      <c r="O2102" s="62" t="s">
        <v>26784</v>
      </c>
      <c r="P2102" s="62" t="s">
        <v>50798</v>
      </c>
      <c r="Q2102" s="62" t="s">
        <v>26785</v>
      </c>
      <c r="R2102" s="62" t="s">
        <v>26786</v>
      </c>
      <c r="S2102" s="62" t="s">
        <v>26787</v>
      </c>
      <c r="U2102" s="62" t="s">
        <v>26788</v>
      </c>
      <c r="V2102" s="62" t="s">
        <v>50831</v>
      </c>
      <c r="W2102" s="62" t="s">
        <v>26789</v>
      </c>
      <c r="X2102" s="62" t="s">
        <v>26790</v>
      </c>
      <c r="Y2102" s="62" t="s">
        <v>26791</v>
      </c>
      <c r="Z2102" s="62" t="s">
        <v>26792</v>
      </c>
      <c r="AA2102" s="62" t="s">
        <v>50864</v>
      </c>
      <c r="AB2102" s="62" t="s">
        <v>26793</v>
      </c>
      <c r="AC2102" s="62" t="s">
        <v>26794</v>
      </c>
      <c r="AD2102" s="62" t="s">
        <v>26795</v>
      </c>
    </row>
    <row r="2103" spans="1:30" x14ac:dyDescent="0.25">
      <c r="A2103" s="62" t="s">
        <v>109</v>
      </c>
      <c r="C2103" s="62" t="s">
        <v>26796</v>
      </c>
      <c r="F2103" s="62" t="s">
        <v>827</v>
      </c>
      <c r="G2103" s="62" t="s">
        <v>50733</v>
      </c>
      <c r="J2103" s="62" t="s">
        <v>26797</v>
      </c>
      <c r="K2103" s="62" t="s">
        <v>50766</v>
      </c>
      <c r="L2103" s="62" t="s">
        <v>26798</v>
      </c>
      <c r="M2103" s="62" t="s">
        <v>26799</v>
      </c>
      <c r="N2103" s="62" t="s">
        <v>26800</v>
      </c>
      <c r="O2103" s="62" t="s">
        <v>26801</v>
      </c>
      <c r="P2103" s="62" t="s">
        <v>50799</v>
      </c>
      <c r="Q2103" s="62" t="s">
        <v>26802</v>
      </c>
      <c r="R2103" s="62" t="s">
        <v>26803</v>
      </c>
      <c r="S2103" s="62" t="s">
        <v>26804</v>
      </c>
      <c r="U2103" s="62" t="s">
        <v>26805</v>
      </c>
      <c r="V2103" s="62" t="s">
        <v>50832</v>
      </c>
      <c r="W2103" s="62" t="s">
        <v>26806</v>
      </c>
      <c r="X2103" s="62" t="s">
        <v>26807</v>
      </c>
      <c r="Y2103" s="62" t="s">
        <v>26808</v>
      </c>
      <c r="Z2103" s="62" t="s">
        <v>26809</v>
      </c>
      <c r="AA2103" s="62" t="s">
        <v>50865</v>
      </c>
      <c r="AB2103" s="62" t="s">
        <v>26810</v>
      </c>
      <c r="AC2103" s="62" t="s">
        <v>26811</v>
      </c>
      <c r="AD2103" s="62" t="s">
        <v>26812</v>
      </c>
    </row>
    <row r="2104" spans="1:30" x14ac:dyDescent="0.25">
      <c r="A2104" s="62" t="s">
        <v>109</v>
      </c>
      <c r="C2104" s="62" t="s">
        <v>26813</v>
      </c>
      <c r="F2104" s="62" t="s">
        <v>855</v>
      </c>
      <c r="G2104" s="62" t="s">
        <v>50734</v>
      </c>
      <c r="J2104" s="62" t="s">
        <v>26814</v>
      </c>
      <c r="K2104" s="62" t="s">
        <v>50767</v>
      </c>
      <c r="L2104" s="62" t="s">
        <v>26815</v>
      </c>
      <c r="M2104" s="62" t="s">
        <v>26816</v>
      </c>
      <c r="N2104" s="62" t="s">
        <v>26817</v>
      </c>
      <c r="O2104" s="62" t="s">
        <v>26818</v>
      </c>
      <c r="P2104" s="62" t="s">
        <v>50800</v>
      </c>
      <c r="Q2104" s="62" t="s">
        <v>26819</v>
      </c>
      <c r="R2104" s="62" t="s">
        <v>26820</v>
      </c>
      <c r="S2104" s="62" t="s">
        <v>26821</v>
      </c>
      <c r="U2104" s="62" t="s">
        <v>26822</v>
      </c>
      <c r="V2104" s="62" t="s">
        <v>50833</v>
      </c>
      <c r="W2104" s="62" t="s">
        <v>26823</v>
      </c>
      <c r="X2104" s="62" t="s">
        <v>26824</v>
      </c>
      <c r="Y2104" s="62" t="s">
        <v>26825</v>
      </c>
      <c r="Z2104" s="62" t="s">
        <v>26826</v>
      </c>
      <c r="AA2104" s="62" t="s">
        <v>50866</v>
      </c>
      <c r="AB2104" s="62" t="s">
        <v>26827</v>
      </c>
      <c r="AC2104" s="62" t="s">
        <v>26828</v>
      </c>
      <c r="AD2104" s="62" t="s">
        <v>26829</v>
      </c>
    </row>
    <row r="2105" spans="1:30" x14ac:dyDescent="0.25">
      <c r="A2105" s="62" t="s">
        <v>109</v>
      </c>
      <c r="C2105" s="62" t="s">
        <v>26830</v>
      </c>
      <c r="F2105" s="62" t="s">
        <v>889</v>
      </c>
      <c r="G2105" s="62" t="s">
        <v>50735</v>
      </c>
      <c r="J2105" s="62" t="s">
        <v>26831</v>
      </c>
      <c r="K2105" s="62" t="s">
        <v>50768</v>
      </c>
      <c r="L2105" s="62" t="s">
        <v>26832</v>
      </c>
      <c r="M2105" s="62" t="s">
        <v>26833</v>
      </c>
      <c r="N2105" s="62" t="s">
        <v>26834</v>
      </c>
      <c r="O2105" s="62" t="s">
        <v>26835</v>
      </c>
      <c r="P2105" s="62" t="s">
        <v>50801</v>
      </c>
      <c r="Q2105" s="62" t="s">
        <v>26836</v>
      </c>
      <c r="R2105" s="62" t="s">
        <v>26837</v>
      </c>
      <c r="S2105" s="62" t="s">
        <v>26838</v>
      </c>
      <c r="U2105" s="62" t="s">
        <v>26839</v>
      </c>
      <c r="V2105" s="62" t="s">
        <v>50834</v>
      </c>
      <c r="W2105" s="62" t="s">
        <v>26840</v>
      </c>
      <c r="X2105" s="62" t="s">
        <v>26841</v>
      </c>
      <c r="Y2105" s="62" t="s">
        <v>26842</v>
      </c>
      <c r="Z2105" s="62" t="s">
        <v>26843</v>
      </c>
      <c r="AA2105" s="62" t="s">
        <v>50867</v>
      </c>
      <c r="AB2105" s="62" t="s">
        <v>26844</v>
      </c>
      <c r="AC2105" s="62" t="s">
        <v>26845</v>
      </c>
      <c r="AD2105" s="62" t="s">
        <v>26846</v>
      </c>
    </row>
    <row r="2106" spans="1:30" x14ac:dyDescent="0.25">
      <c r="A2106" s="62" t="s">
        <v>109</v>
      </c>
      <c r="C2106" s="62" t="s">
        <v>26847</v>
      </c>
      <c r="F2106" s="62" t="s">
        <v>898</v>
      </c>
      <c r="G2106" s="62" t="s">
        <v>50736</v>
      </c>
      <c r="J2106" s="62" t="s">
        <v>26848</v>
      </c>
      <c r="K2106" s="62" t="s">
        <v>50769</v>
      </c>
      <c r="L2106" s="62" t="s">
        <v>26849</v>
      </c>
      <c r="M2106" s="62" t="s">
        <v>26850</v>
      </c>
      <c r="N2106" s="62" t="s">
        <v>26851</v>
      </c>
      <c r="O2106" s="62" t="s">
        <v>26852</v>
      </c>
      <c r="P2106" s="62" t="s">
        <v>50802</v>
      </c>
      <c r="Q2106" s="62" t="s">
        <v>26853</v>
      </c>
      <c r="R2106" s="62" t="s">
        <v>26854</v>
      </c>
      <c r="S2106" s="62" t="s">
        <v>26855</v>
      </c>
      <c r="U2106" s="62" t="s">
        <v>26856</v>
      </c>
      <c r="V2106" s="62" t="s">
        <v>50835</v>
      </c>
      <c r="W2106" s="62" t="s">
        <v>26857</v>
      </c>
      <c r="X2106" s="62" t="s">
        <v>26858</v>
      </c>
      <c r="Y2106" s="62" t="s">
        <v>26859</v>
      </c>
      <c r="Z2106" s="62" t="s">
        <v>26860</v>
      </c>
      <c r="AA2106" s="62" t="s">
        <v>50868</v>
      </c>
      <c r="AB2106" s="62" t="s">
        <v>26861</v>
      </c>
      <c r="AC2106" s="62" t="s">
        <v>26862</v>
      </c>
      <c r="AD2106" s="62" t="s">
        <v>26863</v>
      </c>
    </row>
    <row r="2107" spans="1:30" x14ac:dyDescent="0.25">
      <c r="A2107" s="62" t="s">
        <v>109</v>
      </c>
      <c r="C2107" s="62" t="s">
        <v>26864</v>
      </c>
      <c r="F2107" s="62" t="s">
        <v>915</v>
      </c>
      <c r="G2107" s="62" t="s">
        <v>50737</v>
      </c>
      <c r="J2107" s="62" t="s">
        <v>26865</v>
      </c>
      <c r="K2107" s="62" t="s">
        <v>50770</v>
      </c>
      <c r="L2107" s="62" t="s">
        <v>26866</v>
      </c>
      <c r="M2107" s="62" t="s">
        <v>26867</v>
      </c>
      <c r="N2107" s="62" t="s">
        <v>26868</v>
      </c>
      <c r="O2107" s="62" t="s">
        <v>26869</v>
      </c>
      <c r="P2107" s="62" t="s">
        <v>50803</v>
      </c>
      <c r="Q2107" s="62" t="s">
        <v>26870</v>
      </c>
      <c r="R2107" s="62" t="s">
        <v>26871</v>
      </c>
      <c r="S2107" s="62" t="s">
        <v>26872</v>
      </c>
      <c r="U2107" s="62" t="s">
        <v>26873</v>
      </c>
      <c r="V2107" s="62" t="s">
        <v>50836</v>
      </c>
      <c r="W2107" s="62" t="s">
        <v>26874</v>
      </c>
      <c r="X2107" s="62" t="s">
        <v>26875</v>
      </c>
      <c r="Y2107" s="62" t="s">
        <v>26876</v>
      </c>
      <c r="Z2107" s="62" t="s">
        <v>26877</v>
      </c>
      <c r="AA2107" s="62" t="s">
        <v>50869</v>
      </c>
      <c r="AB2107" s="62" t="s">
        <v>26878</v>
      </c>
      <c r="AC2107" s="62" t="s">
        <v>26879</v>
      </c>
      <c r="AD2107" s="62" t="s">
        <v>26880</v>
      </c>
    </row>
    <row r="2108" spans="1:30" x14ac:dyDescent="0.25">
      <c r="A2108" s="62" t="s">
        <v>109</v>
      </c>
      <c r="C2108" s="62" t="s">
        <v>26881</v>
      </c>
      <c r="F2108" s="62" t="s">
        <v>925</v>
      </c>
      <c r="G2108" s="62" t="s">
        <v>50738</v>
      </c>
      <c r="J2108" s="62" t="s">
        <v>26882</v>
      </c>
      <c r="K2108" s="62" t="s">
        <v>50771</v>
      </c>
      <c r="L2108" s="62" t="s">
        <v>26883</v>
      </c>
      <c r="M2108" s="62" t="s">
        <v>26884</v>
      </c>
      <c r="N2108" s="62" t="s">
        <v>26885</v>
      </c>
      <c r="O2108" s="62" t="s">
        <v>26886</v>
      </c>
      <c r="P2108" s="62" t="s">
        <v>50804</v>
      </c>
      <c r="Q2108" s="62" t="s">
        <v>26887</v>
      </c>
      <c r="R2108" s="62" t="s">
        <v>26888</v>
      </c>
      <c r="S2108" s="62" t="s">
        <v>26889</v>
      </c>
      <c r="U2108" s="62" t="s">
        <v>26890</v>
      </c>
      <c r="V2108" s="62" t="s">
        <v>50837</v>
      </c>
      <c r="W2108" s="62" t="s">
        <v>26891</v>
      </c>
      <c r="X2108" s="62" t="s">
        <v>26892</v>
      </c>
      <c r="Y2108" s="62" t="s">
        <v>26893</v>
      </c>
      <c r="Z2108" s="62" t="s">
        <v>26894</v>
      </c>
      <c r="AA2108" s="62" t="s">
        <v>50870</v>
      </c>
      <c r="AB2108" s="62" t="s">
        <v>26895</v>
      </c>
      <c r="AC2108" s="62" t="s">
        <v>26896</v>
      </c>
      <c r="AD2108" s="62" t="s">
        <v>26897</v>
      </c>
    </row>
    <row r="2109" spans="1:30" x14ac:dyDescent="0.25">
      <c r="A2109" s="62" t="s">
        <v>109</v>
      </c>
      <c r="C2109" s="62" t="s">
        <v>26898</v>
      </c>
      <c r="F2109" s="62" t="s">
        <v>943</v>
      </c>
      <c r="G2109" s="62" t="s">
        <v>50739</v>
      </c>
      <c r="J2109" s="62" t="s">
        <v>26899</v>
      </c>
      <c r="K2109" s="62" t="s">
        <v>50772</v>
      </c>
      <c r="L2109" s="62" t="s">
        <v>26900</v>
      </c>
      <c r="M2109" s="62" t="s">
        <v>26901</v>
      </c>
      <c r="N2109" s="62" t="s">
        <v>26902</v>
      </c>
      <c r="O2109" s="62" t="s">
        <v>26903</v>
      </c>
      <c r="P2109" s="62" t="s">
        <v>50805</v>
      </c>
      <c r="Q2109" s="62" t="s">
        <v>26904</v>
      </c>
      <c r="R2109" s="62" t="s">
        <v>26905</v>
      </c>
      <c r="S2109" s="62" t="s">
        <v>26906</v>
      </c>
      <c r="U2109" s="62" t="s">
        <v>26907</v>
      </c>
      <c r="V2109" s="62" t="s">
        <v>50838</v>
      </c>
      <c r="W2109" s="62" t="s">
        <v>26908</v>
      </c>
      <c r="X2109" s="62" t="s">
        <v>26909</v>
      </c>
      <c r="Y2109" s="62" t="s">
        <v>26910</v>
      </c>
      <c r="Z2109" s="62" t="s">
        <v>26911</v>
      </c>
      <c r="AA2109" s="62" t="s">
        <v>50871</v>
      </c>
      <c r="AB2109" s="62" t="s">
        <v>26912</v>
      </c>
      <c r="AC2109" s="62" t="s">
        <v>26913</v>
      </c>
      <c r="AD2109" s="62" t="s">
        <v>26914</v>
      </c>
    </row>
    <row r="2110" spans="1:30" x14ac:dyDescent="0.25">
      <c r="A2110" s="62" t="s">
        <v>109</v>
      </c>
      <c r="C2110" s="62" t="s">
        <v>26915</v>
      </c>
      <c r="F2110" s="62" t="s">
        <v>176</v>
      </c>
      <c r="G2110" s="62" t="s">
        <v>50740</v>
      </c>
      <c r="J2110" s="62" t="s">
        <v>26916</v>
      </c>
      <c r="K2110" s="62" t="s">
        <v>50773</v>
      </c>
      <c r="L2110" s="62" t="s">
        <v>26917</v>
      </c>
      <c r="M2110" s="62" t="s">
        <v>26918</v>
      </c>
      <c r="N2110" s="62" t="s">
        <v>26919</v>
      </c>
      <c r="O2110" s="62" t="s">
        <v>26920</v>
      </c>
      <c r="P2110" s="62" t="s">
        <v>50806</v>
      </c>
      <c r="Q2110" s="62" t="s">
        <v>26921</v>
      </c>
      <c r="R2110" s="62" t="s">
        <v>26922</v>
      </c>
      <c r="S2110" s="62" t="s">
        <v>26923</v>
      </c>
      <c r="U2110" s="62" t="s">
        <v>26924</v>
      </c>
      <c r="V2110" s="62" t="s">
        <v>50839</v>
      </c>
      <c r="W2110" s="62" t="s">
        <v>26925</v>
      </c>
      <c r="X2110" s="62" t="s">
        <v>26926</v>
      </c>
      <c r="Y2110" s="62" t="s">
        <v>26927</v>
      </c>
      <c r="Z2110" s="62" t="s">
        <v>26928</v>
      </c>
      <c r="AA2110" s="62" t="s">
        <v>50872</v>
      </c>
      <c r="AB2110" s="62" t="s">
        <v>26929</v>
      </c>
      <c r="AC2110" s="62" t="s">
        <v>26930</v>
      </c>
      <c r="AD2110" s="62" t="s">
        <v>26931</v>
      </c>
    </row>
    <row r="2111" spans="1:30" x14ac:dyDescent="0.25">
      <c r="A2111" s="62" t="s">
        <v>109</v>
      </c>
      <c r="C2111" s="62" t="s">
        <v>26932</v>
      </c>
      <c r="F2111" s="62" t="s">
        <v>1002</v>
      </c>
      <c r="G2111" s="62" t="s">
        <v>50741</v>
      </c>
      <c r="J2111" s="62" t="s">
        <v>26933</v>
      </c>
      <c r="K2111" s="62" t="s">
        <v>50774</v>
      </c>
      <c r="L2111" s="62" t="s">
        <v>26934</v>
      </c>
      <c r="M2111" s="62" t="s">
        <v>26935</v>
      </c>
      <c r="N2111" s="62" t="s">
        <v>26936</v>
      </c>
      <c r="O2111" s="62" t="s">
        <v>26937</v>
      </c>
      <c r="P2111" s="62" t="s">
        <v>50807</v>
      </c>
      <c r="Q2111" s="62" t="s">
        <v>26938</v>
      </c>
      <c r="R2111" s="62" t="s">
        <v>26939</v>
      </c>
      <c r="S2111" s="62" t="s">
        <v>26940</v>
      </c>
      <c r="U2111" s="62" t="s">
        <v>26941</v>
      </c>
      <c r="V2111" s="62" t="s">
        <v>50840</v>
      </c>
      <c r="W2111" s="62" t="s">
        <v>26942</v>
      </c>
      <c r="X2111" s="62" t="s">
        <v>26943</v>
      </c>
      <c r="Y2111" s="62" t="s">
        <v>26944</v>
      </c>
      <c r="Z2111" s="62" t="s">
        <v>26945</v>
      </c>
      <c r="AA2111" s="62" t="s">
        <v>50873</v>
      </c>
      <c r="AB2111" s="62" t="s">
        <v>26946</v>
      </c>
      <c r="AC2111" s="62" t="s">
        <v>26947</v>
      </c>
      <c r="AD2111" s="62" t="s">
        <v>26948</v>
      </c>
    </row>
    <row r="2112" spans="1:30" x14ac:dyDescent="0.25">
      <c r="A2112" s="62" t="s">
        <v>109</v>
      </c>
      <c r="C2112" s="62" t="s">
        <v>26949</v>
      </c>
      <c r="F2112" s="62" t="s">
        <v>1012</v>
      </c>
      <c r="G2112" s="62" t="s">
        <v>50742</v>
      </c>
      <c r="J2112" s="62" t="s">
        <v>26950</v>
      </c>
      <c r="K2112" s="62" t="s">
        <v>50775</v>
      </c>
      <c r="L2112" s="62" t="s">
        <v>26951</v>
      </c>
      <c r="M2112" s="62" t="s">
        <v>26952</v>
      </c>
      <c r="N2112" s="62" t="s">
        <v>26953</v>
      </c>
      <c r="O2112" s="62" t="s">
        <v>26954</v>
      </c>
      <c r="P2112" s="62" t="s">
        <v>50808</v>
      </c>
      <c r="Q2112" s="62" t="s">
        <v>26955</v>
      </c>
      <c r="R2112" s="62" t="s">
        <v>26956</v>
      </c>
      <c r="S2112" s="62" t="s">
        <v>26957</v>
      </c>
      <c r="U2112" s="62" t="s">
        <v>26958</v>
      </c>
      <c r="V2112" s="62" t="s">
        <v>50841</v>
      </c>
      <c r="W2112" s="62" t="s">
        <v>26959</v>
      </c>
      <c r="X2112" s="62" t="s">
        <v>26960</v>
      </c>
      <c r="Y2112" s="62" t="s">
        <v>26961</v>
      </c>
      <c r="Z2112" s="62" t="s">
        <v>26962</v>
      </c>
      <c r="AA2112" s="62" t="s">
        <v>50874</v>
      </c>
      <c r="AB2112" s="62" t="s">
        <v>26963</v>
      </c>
      <c r="AC2112" s="62" t="s">
        <v>26964</v>
      </c>
      <c r="AD2112" s="62" t="s">
        <v>26965</v>
      </c>
    </row>
    <row r="2113" spans="1:30" x14ac:dyDescent="0.25">
      <c r="A2113" s="62" t="s">
        <v>109</v>
      </c>
      <c r="C2113" s="62" t="s">
        <v>26966</v>
      </c>
      <c r="F2113" s="62" t="s">
        <v>1030</v>
      </c>
      <c r="G2113" s="62" t="s">
        <v>50743</v>
      </c>
      <c r="J2113" s="62" t="s">
        <v>26967</v>
      </c>
      <c r="K2113" s="62" t="s">
        <v>50776</v>
      </c>
      <c r="L2113" s="62" t="s">
        <v>26968</v>
      </c>
      <c r="M2113" s="62" t="s">
        <v>26969</v>
      </c>
      <c r="N2113" s="62" t="s">
        <v>26970</v>
      </c>
      <c r="O2113" s="62" t="s">
        <v>26971</v>
      </c>
      <c r="P2113" s="62" t="s">
        <v>50809</v>
      </c>
      <c r="Q2113" s="62" t="s">
        <v>26972</v>
      </c>
      <c r="R2113" s="62" t="s">
        <v>26973</v>
      </c>
      <c r="S2113" s="62" t="s">
        <v>26974</v>
      </c>
      <c r="U2113" s="62" t="s">
        <v>26975</v>
      </c>
      <c r="V2113" s="62" t="s">
        <v>50842</v>
      </c>
      <c r="W2113" s="62" t="s">
        <v>26976</v>
      </c>
      <c r="X2113" s="62" t="s">
        <v>26977</v>
      </c>
      <c r="Y2113" s="62" t="s">
        <v>26978</v>
      </c>
      <c r="Z2113" s="62" t="s">
        <v>26979</v>
      </c>
      <c r="AA2113" s="62" t="s">
        <v>50875</v>
      </c>
      <c r="AB2113" s="62" t="s">
        <v>26980</v>
      </c>
      <c r="AC2113" s="62" t="s">
        <v>26981</v>
      </c>
      <c r="AD2113" s="62" t="s">
        <v>26982</v>
      </c>
    </row>
    <row r="2114" spans="1:30" x14ac:dyDescent="0.25">
      <c r="A2114" s="62" t="s">
        <v>109</v>
      </c>
      <c r="C2114" s="62" t="s">
        <v>26983</v>
      </c>
      <c r="F2114" s="62" t="s">
        <v>1047</v>
      </c>
      <c r="G2114" s="62" t="s">
        <v>50744</v>
      </c>
      <c r="J2114" s="62" t="s">
        <v>26984</v>
      </c>
      <c r="K2114" s="62" t="s">
        <v>50777</v>
      </c>
      <c r="L2114" s="62" t="s">
        <v>26985</v>
      </c>
      <c r="M2114" s="62" t="s">
        <v>26986</v>
      </c>
      <c r="N2114" s="62" t="s">
        <v>26987</v>
      </c>
      <c r="O2114" s="62" t="s">
        <v>26988</v>
      </c>
      <c r="P2114" s="62" t="s">
        <v>50810</v>
      </c>
      <c r="Q2114" s="62" t="s">
        <v>26989</v>
      </c>
      <c r="R2114" s="62" t="s">
        <v>26990</v>
      </c>
      <c r="S2114" s="62" t="s">
        <v>26991</v>
      </c>
      <c r="U2114" s="62" t="s">
        <v>26992</v>
      </c>
      <c r="V2114" s="62" t="s">
        <v>50843</v>
      </c>
      <c r="W2114" s="62" t="s">
        <v>26993</v>
      </c>
      <c r="X2114" s="62" t="s">
        <v>26994</v>
      </c>
      <c r="Y2114" s="62" t="s">
        <v>26995</v>
      </c>
      <c r="Z2114" s="62" t="s">
        <v>26996</v>
      </c>
      <c r="AA2114" s="62" t="s">
        <v>50876</v>
      </c>
      <c r="AB2114" s="62" t="s">
        <v>26997</v>
      </c>
      <c r="AC2114" s="62" t="s">
        <v>26998</v>
      </c>
      <c r="AD2114" s="62" t="s">
        <v>26999</v>
      </c>
    </row>
    <row r="2115" spans="1:30" x14ac:dyDescent="0.25">
      <c r="A2115" s="62" t="s">
        <v>109</v>
      </c>
      <c r="C2115" s="62" t="s">
        <v>27000</v>
      </c>
      <c r="F2115" s="62" t="s">
        <v>1064</v>
      </c>
      <c r="G2115" s="62" t="s">
        <v>50745</v>
      </c>
      <c r="J2115" s="62" t="s">
        <v>27001</v>
      </c>
      <c r="K2115" s="62" t="s">
        <v>50778</v>
      </c>
      <c r="L2115" s="62" t="s">
        <v>27002</v>
      </c>
      <c r="M2115" s="62" t="s">
        <v>27003</v>
      </c>
      <c r="N2115" s="62" t="s">
        <v>27004</v>
      </c>
      <c r="O2115" s="62" t="s">
        <v>27005</v>
      </c>
      <c r="P2115" s="62" t="s">
        <v>50811</v>
      </c>
      <c r="Q2115" s="62" t="s">
        <v>27006</v>
      </c>
      <c r="R2115" s="62" t="s">
        <v>27007</v>
      </c>
      <c r="S2115" s="62" t="s">
        <v>27008</v>
      </c>
      <c r="U2115" s="62" t="s">
        <v>27009</v>
      </c>
      <c r="V2115" s="62" t="s">
        <v>50844</v>
      </c>
      <c r="W2115" s="62" t="s">
        <v>27010</v>
      </c>
      <c r="X2115" s="62" t="s">
        <v>27011</v>
      </c>
      <c r="Y2115" s="62" t="s">
        <v>27012</v>
      </c>
      <c r="Z2115" s="62" t="s">
        <v>27013</v>
      </c>
      <c r="AA2115" s="62" t="s">
        <v>50877</v>
      </c>
      <c r="AB2115" s="62" t="s">
        <v>27014</v>
      </c>
      <c r="AC2115" s="62" t="s">
        <v>27015</v>
      </c>
      <c r="AD2115" s="62" t="s">
        <v>27016</v>
      </c>
    </row>
    <row r="2116" spans="1:30" x14ac:dyDescent="0.25">
      <c r="A2116" s="62" t="s">
        <v>109</v>
      </c>
      <c r="C2116" s="62" t="s">
        <v>27017</v>
      </c>
      <c r="F2116" s="62" t="s">
        <v>1100</v>
      </c>
      <c r="G2116" s="62" t="s">
        <v>50746</v>
      </c>
      <c r="J2116" s="62" t="s">
        <v>27018</v>
      </c>
      <c r="K2116" s="62" t="s">
        <v>50779</v>
      </c>
      <c r="L2116" s="62" t="s">
        <v>27019</v>
      </c>
      <c r="M2116" s="62" t="s">
        <v>27020</v>
      </c>
      <c r="N2116" s="62" t="s">
        <v>27021</v>
      </c>
      <c r="O2116" s="62" t="s">
        <v>27022</v>
      </c>
      <c r="P2116" s="62" t="s">
        <v>50812</v>
      </c>
      <c r="Q2116" s="62" t="s">
        <v>27023</v>
      </c>
      <c r="R2116" s="62" t="s">
        <v>27024</v>
      </c>
      <c r="S2116" s="62" t="s">
        <v>27025</v>
      </c>
      <c r="U2116" s="62" t="s">
        <v>27026</v>
      </c>
      <c r="V2116" s="62" t="s">
        <v>50845</v>
      </c>
      <c r="W2116" s="62" t="s">
        <v>27027</v>
      </c>
      <c r="X2116" s="62" t="s">
        <v>27028</v>
      </c>
      <c r="Y2116" s="62" t="s">
        <v>27029</v>
      </c>
      <c r="Z2116" s="62" t="s">
        <v>27030</v>
      </c>
      <c r="AA2116" s="62" t="s">
        <v>50878</v>
      </c>
      <c r="AB2116" s="62" t="s">
        <v>27031</v>
      </c>
      <c r="AC2116" s="62" t="s">
        <v>27032</v>
      </c>
      <c r="AD2116" s="62" t="s">
        <v>27033</v>
      </c>
    </row>
    <row r="2117" spans="1:30" x14ac:dyDescent="0.25">
      <c r="A2117" s="62" t="s">
        <v>109</v>
      </c>
      <c r="C2117" s="62" t="s">
        <v>27034</v>
      </c>
      <c r="F2117" s="62" t="s">
        <v>1152</v>
      </c>
      <c r="G2117" s="62" t="s">
        <v>50747</v>
      </c>
      <c r="J2117" s="62" t="s">
        <v>27035</v>
      </c>
      <c r="K2117" s="62" t="s">
        <v>50780</v>
      </c>
      <c r="L2117" s="62" t="s">
        <v>27036</v>
      </c>
      <c r="M2117" s="62" t="s">
        <v>27037</v>
      </c>
      <c r="N2117" s="62" t="s">
        <v>27038</v>
      </c>
      <c r="O2117" s="62" t="s">
        <v>27039</v>
      </c>
      <c r="P2117" s="62" t="s">
        <v>50813</v>
      </c>
      <c r="Q2117" s="62" t="s">
        <v>27040</v>
      </c>
      <c r="R2117" s="62" t="s">
        <v>27041</v>
      </c>
      <c r="S2117" s="62" t="s">
        <v>27042</v>
      </c>
      <c r="U2117" s="62" t="s">
        <v>27043</v>
      </c>
      <c r="V2117" s="62" t="s">
        <v>50846</v>
      </c>
      <c r="W2117" s="62" t="s">
        <v>27044</v>
      </c>
      <c r="X2117" s="62" t="s">
        <v>27045</v>
      </c>
      <c r="Y2117" s="62" t="s">
        <v>27046</v>
      </c>
      <c r="Z2117" s="62" t="s">
        <v>27047</v>
      </c>
      <c r="AA2117" s="62" t="s">
        <v>50879</v>
      </c>
      <c r="AB2117" s="62" t="s">
        <v>27048</v>
      </c>
      <c r="AC2117" s="62" t="s">
        <v>27049</v>
      </c>
      <c r="AD2117" s="62" t="s">
        <v>27050</v>
      </c>
    </row>
    <row r="2118" spans="1:30" x14ac:dyDescent="0.25">
      <c r="A2118" s="62" t="s">
        <v>109</v>
      </c>
      <c r="C2118" s="62" t="s">
        <v>27051</v>
      </c>
      <c r="F2118" s="62" t="s">
        <v>1688</v>
      </c>
      <c r="G2118" s="62" t="s">
        <v>50748</v>
      </c>
      <c r="J2118" s="62" t="s">
        <v>27052</v>
      </c>
      <c r="K2118" s="62" t="s">
        <v>50781</v>
      </c>
      <c r="L2118" s="62" t="s">
        <v>27053</v>
      </c>
      <c r="M2118" s="62" t="s">
        <v>27054</v>
      </c>
      <c r="N2118" s="62" t="s">
        <v>27055</v>
      </c>
      <c r="O2118" s="62" t="s">
        <v>27056</v>
      </c>
      <c r="P2118" s="62" t="s">
        <v>50814</v>
      </c>
      <c r="Q2118" s="62" t="s">
        <v>27057</v>
      </c>
      <c r="R2118" s="62" t="s">
        <v>27058</v>
      </c>
      <c r="S2118" s="62" t="s">
        <v>27059</v>
      </c>
      <c r="U2118" s="62" t="s">
        <v>27060</v>
      </c>
      <c r="V2118" s="62" t="s">
        <v>50847</v>
      </c>
      <c r="W2118" s="62" t="s">
        <v>27061</v>
      </c>
      <c r="X2118" s="62" t="s">
        <v>27062</v>
      </c>
      <c r="Y2118" s="62" t="s">
        <v>27063</v>
      </c>
      <c r="Z2118" s="62" t="s">
        <v>27064</v>
      </c>
      <c r="AA2118" s="62" t="s">
        <v>50880</v>
      </c>
      <c r="AB2118" s="62" t="s">
        <v>27065</v>
      </c>
      <c r="AC2118" s="62" t="s">
        <v>27066</v>
      </c>
      <c r="AD2118" s="62" t="s">
        <v>27067</v>
      </c>
    </row>
    <row r="2119" spans="1:30" x14ac:dyDescent="0.25">
      <c r="A2119" s="62" t="s">
        <v>109</v>
      </c>
      <c r="C2119" s="62" t="s">
        <v>27068</v>
      </c>
      <c r="F2119" s="62" t="s">
        <v>1161</v>
      </c>
      <c r="G2119" s="62" t="s">
        <v>50749</v>
      </c>
      <c r="J2119" s="62" t="s">
        <v>27069</v>
      </c>
      <c r="K2119" s="62" t="s">
        <v>50782</v>
      </c>
      <c r="L2119" s="62" t="s">
        <v>27070</v>
      </c>
      <c r="M2119" s="62" t="s">
        <v>27071</v>
      </c>
      <c r="N2119" s="62" t="s">
        <v>27072</v>
      </c>
      <c r="O2119" s="62" t="s">
        <v>27073</v>
      </c>
      <c r="P2119" s="62" t="s">
        <v>50815</v>
      </c>
      <c r="Q2119" s="62" t="s">
        <v>27074</v>
      </c>
      <c r="R2119" s="62" t="s">
        <v>27075</v>
      </c>
      <c r="S2119" s="62" t="s">
        <v>27076</v>
      </c>
      <c r="U2119" s="62" t="s">
        <v>27077</v>
      </c>
      <c r="V2119" s="62" t="s">
        <v>50848</v>
      </c>
      <c r="W2119" s="62" t="s">
        <v>27078</v>
      </c>
      <c r="X2119" s="62" t="s">
        <v>27079</v>
      </c>
      <c r="Y2119" s="62" t="s">
        <v>27080</v>
      </c>
      <c r="Z2119" s="62" t="s">
        <v>27081</v>
      </c>
      <c r="AA2119" s="62" t="s">
        <v>50881</v>
      </c>
      <c r="AB2119" s="62" t="s">
        <v>27082</v>
      </c>
      <c r="AC2119" s="62" t="s">
        <v>27083</v>
      </c>
      <c r="AD2119" s="62" t="s">
        <v>27084</v>
      </c>
    </row>
    <row r="2120" spans="1:30" x14ac:dyDescent="0.25">
      <c r="A2120" s="62" t="s">
        <v>109</v>
      </c>
      <c r="C2120" s="62" t="s">
        <v>27085</v>
      </c>
      <c r="F2120" s="62" t="s">
        <v>1178</v>
      </c>
      <c r="G2120" s="62" t="s">
        <v>50750</v>
      </c>
      <c r="J2120" s="62" t="s">
        <v>27086</v>
      </c>
      <c r="K2120" s="62" t="s">
        <v>50783</v>
      </c>
      <c r="L2120" s="62" t="s">
        <v>27087</v>
      </c>
      <c r="M2120" s="62" t="s">
        <v>27088</v>
      </c>
      <c r="N2120" s="62" t="s">
        <v>27089</v>
      </c>
      <c r="O2120" s="62" t="s">
        <v>27090</v>
      </c>
      <c r="P2120" s="62" t="s">
        <v>50816</v>
      </c>
      <c r="Q2120" s="62" t="s">
        <v>27091</v>
      </c>
      <c r="R2120" s="62" t="s">
        <v>27092</v>
      </c>
      <c r="S2120" s="62" t="s">
        <v>27093</v>
      </c>
      <c r="U2120" s="62" t="s">
        <v>27094</v>
      </c>
      <c r="V2120" s="62" t="s">
        <v>50849</v>
      </c>
      <c r="W2120" s="62" t="s">
        <v>27095</v>
      </c>
      <c r="X2120" s="62" t="s">
        <v>27096</v>
      </c>
      <c r="Y2120" s="62" t="s">
        <v>27097</v>
      </c>
      <c r="Z2120" s="62" t="s">
        <v>27098</v>
      </c>
      <c r="AA2120" s="62" t="s">
        <v>50882</v>
      </c>
      <c r="AB2120" s="62" t="s">
        <v>27099</v>
      </c>
      <c r="AC2120" s="62" t="s">
        <v>27100</v>
      </c>
      <c r="AD2120" s="62" t="s">
        <v>27101</v>
      </c>
    </row>
    <row r="2121" spans="1:30" x14ac:dyDescent="0.25">
      <c r="A2121" s="62" t="s">
        <v>109</v>
      </c>
      <c r="C2121" s="62" t="s">
        <v>27102</v>
      </c>
      <c r="F2121" s="62" t="s">
        <v>1206</v>
      </c>
      <c r="G2121" s="62" t="s">
        <v>50751</v>
      </c>
      <c r="J2121" s="62" t="s">
        <v>27103</v>
      </c>
      <c r="K2121" s="62" t="s">
        <v>50784</v>
      </c>
      <c r="L2121" s="62" t="s">
        <v>27104</v>
      </c>
      <c r="M2121" s="62" t="s">
        <v>27105</v>
      </c>
      <c r="N2121" s="62" t="s">
        <v>27106</v>
      </c>
      <c r="O2121" s="62" t="s">
        <v>27107</v>
      </c>
      <c r="P2121" s="62" t="s">
        <v>50817</v>
      </c>
      <c r="Q2121" s="62" t="s">
        <v>27108</v>
      </c>
      <c r="R2121" s="62" t="s">
        <v>27109</v>
      </c>
      <c r="S2121" s="62" t="s">
        <v>27110</v>
      </c>
      <c r="U2121" s="62" t="s">
        <v>27111</v>
      </c>
      <c r="V2121" s="62" t="s">
        <v>50850</v>
      </c>
      <c r="W2121" s="62" t="s">
        <v>27112</v>
      </c>
      <c r="X2121" s="62" t="s">
        <v>27113</v>
      </c>
      <c r="Y2121" s="62" t="s">
        <v>27114</v>
      </c>
      <c r="Z2121" s="62" t="s">
        <v>27115</v>
      </c>
      <c r="AA2121" s="62" t="s">
        <v>50883</v>
      </c>
      <c r="AB2121" s="62" t="s">
        <v>27116</v>
      </c>
      <c r="AC2121" s="62" t="s">
        <v>27117</v>
      </c>
      <c r="AD2121" s="62" t="s">
        <v>27118</v>
      </c>
    </row>
    <row r="2122" spans="1:30" x14ac:dyDescent="0.25">
      <c r="A2122" s="62" t="s">
        <v>109</v>
      </c>
      <c r="C2122" s="62" t="s">
        <v>27119</v>
      </c>
      <c r="F2122" s="62" t="s">
        <v>1240</v>
      </c>
      <c r="G2122" s="62" t="s">
        <v>50752</v>
      </c>
      <c r="J2122" s="62" t="s">
        <v>27120</v>
      </c>
      <c r="K2122" s="62" t="s">
        <v>50785</v>
      </c>
      <c r="L2122" s="62" t="s">
        <v>27121</v>
      </c>
      <c r="M2122" s="62" t="s">
        <v>27122</v>
      </c>
      <c r="N2122" s="62" t="s">
        <v>27123</v>
      </c>
      <c r="O2122" s="62" t="s">
        <v>27124</v>
      </c>
      <c r="P2122" s="62" t="s">
        <v>50818</v>
      </c>
      <c r="Q2122" s="62" t="s">
        <v>27125</v>
      </c>
      <c r="R2122" s="62" t="s">
        <v>27126</v>
      </c>
      <c r="S2122" s="62" t="s">
        <v>27127</v>
      </c>
      <c r="U2122" s="62" t="s">
        <v>27128</v>
      </c>
      <c r="V2122" s="62" t="s">
        <v>50851</v>
      </c>
      <c r="W2122" s="62" t="s">
        <v>27129</v>
      </c>
      <c r="X2122" s="62" t="s">
        <v>27130</v>
      </c>
      <c r="Y2122" s="62" t="s">
        <v>27131</v>
      </c>
      <c r="Z2122" s="62" t="s">
        <v>27132</v>
      </c>
      <c r="AA2122" s="62" t="s">
        <v>50884</v>
      </c>
      <c r="AB2122" s="62" t="s">
        <v>27133</v>
      </c>
      <c r="AC2122" s="62" t="s">
        <v>27134</v>
      </c>
      <c r="AD2122" s="62" t="s">
        <v>27135</v>
      </c>
    </row>
    <row r="2123" spans="1:30" x14ac:dyDescent="0.25">
      <c r="A2123" s="62" t="s">
        <v>109</v>
      </c>
      <c r="C2123" s="62" t="s">
        <v>27136</v>
      </c>
      <c r="F2123" s="62" t="s">
        <v>1266</v>
      </c>
      <c r="G2123" s="62" t="s">
        <v>50753</v>
      </c>
      <c r="J2123" s="62" t="s">
        <v>27137</v>
      </c>
      <c r="K2123" s="62" t="s">
        <v>50786</v>
      </c>
      <c r="L2123" s="62" t="s">
        <v>27138</v>
      </c>
      <c r="M2123" s="62" t="s">
        <v>27139</v>
      </c>
      <c r="N2123" s="62" t="s">
        <v>27140</v>
      </c>
      <c r="O2123" s="62" t="s">
        <v>27141</v>
      </c>
      <c r="P2123" s="62" t="s">
        <v>50819</v>
      </c>
      <c r="Q2123" s="62" t="s">
        <v>27142</v>
      </c>
      <c r="R2123" s="62" t="s">
        <v>27143</v>
      </c>
      <c r="S2123" s="62" t="s">
        <v>27144</v>
      </c>
      <c r="U2123" s="62" t="s">
        <v>27145</v>
      </c>
      <c r="V2123" s="62" t="s">
        <v>50852</v>
      </c>
      <c r="W2123" s="62" t="s">
        <v>27146</v>
      </c>
      <c r="X2123" s="62" t="s">
        <v>27147</v>
      </c>
      <c r="Y2123" s="62" t="s">
        <v>27148</v>
      </c>
      <c r="Z2123" s="62" t="s">
        <v>27149</v>
      </c>
      <c r="AA2123" s="62" t="s">
        <v>50885</v>
      </c>
      <c r="AB2123" s="62" t="s">
        <v>27150</v>
      </c>
      <c r="AC2123" s="62" t="s">
        <v>27151</v>
      </c>
      <c r="AD2123" s="62" t="s">
        <v>27152</v>
      </c>
    </row>
    <row r="2124" spans="1:30" x14ac:dyDescent="0.25">
      <c r="A2124" s="62" t="s">
        <v>109</v>
      </c>
      <c r="C2124" s="62" t="s">
        <v>27153</v>
      </c>
      <c r="F2124" s="62" t="s">
        <v>1275</v>
      </c>
      <c r="G2124" s="62" t="s">
        <v>50754</v>
      </c>
      <c r="J2124" s="62" t="s">
        <v>27154</v>
      </c>
      <c r="K2124" s="62" t="s">
        <v>50787</v>
      </c>
      <c r="L2124" s="62" t="s">
        <v>27155</v>
      </c>
      <c r="M2124" s="62" t="s">
        <v>27156</v>
      </c>
      <c r="N2124" s="62" t="s">
        <v>27157</v>
      </c>
      <c r="O2124" s="62" t="s">
        <v>27158</v>
      </c>
      <c r="P2124" s="62" t="s">
        <v>50820</v>
      </c>
      <c r="Q2124" s="62" t="s">
        <v>27159</v>
      </c>
      <c r="R2124" s="62" t="s">
        <v>27160</v>
      </c>
      <c r="S2124" s="62" t="s">
        <v>27161</v>
      </c>
      <c r="U2124" s="62" t="s">
        <v>27162</v>
      </c>
      <c r="V2124" s="62" t="s">
        <v>50853</v>
      </c>
      <c r="W2124" s="62" t="s">
        <v>27163</v>
      </c>
      <c r="X2124" s="62" t="s">
        <v>27164</v>
      </c>
      <c r="Y2124" s="62" t="s">
        <v>27165</v>
      </c>
      <c r="Z2124" s="62" t="s">
        <v>27166</v>
      </c>
      <c r="AA2124" s="62" t="s">
        <v>50886</v>
      </c>
      <c r="AB2124" s="62" t="s">
        <v>27167</v>
      </c>
      <c r="AC2124" s="62" t="s">
        <v>27168</v>
      </c>
      <c r="AD2124" s="62" t="s">
        <v>27169</v>
      </c>
    </row>
    <row r="2125" spans="1:30" x14ac:dyDescent="0.25">
      <c r="A2125" s="62" t="s">
        <v>109</v>
      </c>
      <c r="C2125" s="62" t="s">
        <v>27170</v>
      </c>
      <c r="F2125" s="62" t="s">
        <v>1286</v>
      </c>
      <c r="G2125" s="62" t="s">
        <v>50755</v>
      </c>
      <c r="J2125" s="62" t="s">
        <v>27171</v>
      </c>
      <c r="K2125" s="62" t="s">
        <v>50788</v>
      </c>
      <c r="L2125" s="62" t="s">
        <v>27172</v>
      </c>
      <c r="M2125" s="62" t="s">
        <v>27173</v>
      </c>
      <c r="N2125" s="62" t="s">
        <v>27174</v>
      </c>
      <c r="O2125" s="62" t="s">
        <v>27175</v>
      </c>
      <c r="P2125" s="62" t="s">
        <v>50821</v>
      </c>
      <c r="Q2125" s="62" t="s">
        <v>27176</v>
      </c>
      <c r="R2125" s="62" t="s">
        <v>27177</v>
      </c>
      <c r="S2125" s="62" t="s">
        <v>27178</v>
      </c>
      <c r="U2125" s="62" t="s">
        <v>27179</v>
      </c>
      <c r="V2125" s="62" t="s">
        <v>50854</v>
      </c>
      <c r="W2125" s="62" t="s">
        <v>27180</v>
      </c>
      <c r="X2125" s="62" t="s">
        <v>27181</v>
      </c>
      <c r="Y2125" s="62" t="s">
        <v>27182</v>
      </c>
      <c r="Z2125" s="62" t="s">
        <v>27183</v>
      </c>
      <c r="AA2125" s="62" t="s">
        <v>50887</v>
      </c>
      <c r="AB2125" s="62" t="s">
        <v>27184</v>
      </c>
      <c r="AC2125" s="62" t="s">
        <v>27185</v>
      </c>
      <c r="AD2125" s="62" t="s">
        <v>27186</v>
      </c>
    </row>
    <row r="2126" spans="1:30" x14ac:dyDescent="0.25">
      <c r="A2126" s="62" t="s">
        <v>109</v>
      </c>
      <c r="C2126" s="62" t="s">
        <v>27187</v>
      </c>
      <c r="F2126" s="62" t="s">
        <v>1287</v>
      </c>
      <c r="G2126" s="62" t="s">
        <v>50756</v>
      </c>
      <c r="J2126" s="62" t="s">
        <v>27188</v>
      </c>
      <c r="K2126" s="62" t="s">
        <v>50789</v>
      </c>
      <c r="L2126" s="62" t="s">
        <v>27189</v>
      </c>
      <c r="M2126" s="62" t="s">
        <v>27190</v>
      </c>
      <c r="N2126" s="62" t="s">
        <v>27191</v>
      </c>
      <c r="O2126" s="62" t="s">
        <v>27192</v>
      </c>
      <c r="P2126" s="62" t="s">
        <v>50822</v>
      </c>
      <c r="Q2126" s="62" t="s">
        <v>27193</v>
      </c>
      <c r="R2126" s="62" t="s">
        <v>27194</v>
      </c>
      <c r="S2126" s="62" t="s">
        <v>27195</v>
      </c>
      <c r="U2126" s="62" t="s">
        <v>27196</v>
      </c>
      <c r="V2126" s="62" t="s">
        <v>50855</v>
      </c>
      <c r="W2126" s="62" t="s">
        <v>27197</v>
      </c>
      <c r="X2126" s="62" t="s">
        <v>27198</v>
      </c>
      <c r="Y2126" s="62" t="s">
        <v>27199</v>
      </c>
      <c r="Z2126" s="62" t="s">
        <v>27200</v>
      </c>
      <c r="AA2126" s="62" t="s">
        <v>50888</v>
      </c>
      <c r="AB2126" s="62" t="s">
        <v>27201</v>
      </c>
      <c r="AC2126" s="62" t="s">
        <v>27202</v>
      </c>
      <c r="AD2126" s="62" t="s">
        <v>27203</v>
      </c>
    </row>
    <row r="2127" spans="1:30" x14ac:dyDescent="0.25">
      <c r="A2127" s="62" t="s">
        <v>109</v>
      </c>
      <c r="C2127" s="62" t="s">
        <v>27204</v>
      </c>
      <c r="F2127" s="62" t="s">
        <v>1288</v>
      </c>
      <c r="G2127" s="62" t="s">
        <v>50757</v>
      </c>
      <c r="J2127" s="62" t="s">
        <v>27205</v>
      </c>
      <c r="K2127" s="62" t="s">
        <v>50790</v>
      </c>
      <c r="L2127" s="62" t="s">
        <v>27206</v>
      </c>
      <c r="M2127" s="62" t="s">
        <v>27207</v>
      </c>
      <c r="N2127" s="62" t="s">
        <v>27208</v>
      </c>
      <c r="O2127" s="62" t="s">
        <v>27209</v>
      </c>
      <c r="P2127" s="62" t="s">
        <v>50823</v>
      </c>
      <c r="Q2127" s="62" t="s">
        <v>27210</v>
      </c>
      <c r="R2127" s="62" t="s">
        <v>27211</v>
      </c>
      <c r="S2127" s="62" t="s">
        <v>27212</v>
      </c>
      <c r="U2127" s="62" t="s">
        <v>27213</v>
      </c>
      <c r="V2127" s="62" t="s">
        <v>50856</v>
      </c>
      <c r="W2127" s="62" t="s">
        <v>27214</v>
      </c>
      <c r="X2127" s="62" t="s">
        <v>27215</v>
      </c>
      <c r="Y2127" s="62" t="s">
        <v>27216</v>
      </c>
      <c r="Z2127" s="62" t="s">
        <v>27217</v>
      </c>
      <c r="AA2127" s="62" t="s">
        <v>50889</v>
      </c>
      <c r="AB2127" s="62" t="s">
        <v>27218</v>
      </c>
      <c r="AC2127" s="62" t="s">
        <v>27219</v>
      </c>
      <c r="AD2127" s="62" t="s">
        <v>27220</v>
      </c>
    </row>
    <row r="2128" spans="1:30" x14ac:dyDescent="0.25">
      <c r="A2128" s="62" t="s">
        <v>109</v>
      </c>
      <c r="C2128" s="62" t="s">
        <v>27221</v>
      </c>
      <c r="F2128" s="62" t="s">
        <v>1797</v>
      </c>
      <c r="G2128" s="62" t="s">
        <v>50758</v>
      </c>
      <c r="J2128" s="62" t="s">
        <v>27222</v>
      </c>
      <c r="K2128" s="62" t="s">
        <v>50791</v>
      </c>
      <c r="L2128" s="62" t="s">
        <v>27223</v>
      </c>
      <c r="M2128" s="62" t="s">
        <v>27224</v>
      </c>
      <c r="N2128" s="62" t="s">
        <v>27225</v>
      </c>
      <c r="O2128" s="62" t="s">
        <v>27226</v>
      </c>
      <c r="P2128" s="62" t="s">
        <v>50824</v>
      </c>
      <c r="Q2128" s="62" t="s">
        <v>27227</v>
      </c>
      <c r="R2128" s="62" t="s">
        <v>27228</v>
      </c>
      <c r="S2128" s="62" t="s">
        <v>27229</v>
      </c>
      <c r="U2128" s="62" t="s">
        <v>27230</v>
      </c>
      <c r="V2128" s="62" t="s">
        <v>50857</v>
      </c>
      <c r="W2128" s="62" t="s">
        <v>27231</v>
      </c>
      <c r="X2128" s="62" t="s">
        <v>27232</v>
      </c>
      <c r="Y2128" s="62" t="s">
        <v>27233</v>
      </c>
      <c r="Z2128" s="62" t="s">
        <v>27234</v>
      </c>
      <c r="AA2128" s="62" t="s">
        <v>50890</v>
      </c>
      <c r="AB2128" s="62" t="s">
        <v>27235</v>
      </c>
      <c r="AC2128" s="62" t="s">
        <v>27236</v>
      </c>
      <c r="AD2128" s="62" t="s">
        <v>27237</v>
      </c>
    </row>
    <row r="2129" spans="1:30" x14ac:dyDescent="0.25">
      <c r="A2129" s="62" t="s">
        <v>109</v>
      </c>
      <c r="C2129" s="62" t="s">
        <v>27238</v>
      </c>
      <c r="F2129" s="62" t="s">
        <v>1299</v>
      </c>
      <c r="G2129" s="62" t="s">
        <v>50759</v>
      </c>
      <c r="J2129" s="62" t="s">
        <v>27239</v>
      </c>
      <c r="K2129" s="62" t="s">
        <v>50792</v>
      </c>
      <c r="L2129" s="62" t="s">
        <v>27240</v>
      </c>
      <c r="M2129" s="62" t="s">
        <v>27241</v>
      </c>
      <c r="N2129" s="62" t="s">
        <v>27242</v>
      </c>
      <c r="O2129" s="62" t="s">
        <v>27243</v>
      </c>
      <c r="P2129" s="62" t="s">
        <v>50825</v>
      </c>
      <c r="Q2129" s="62" t="s">
        <v>27244</v>
      </c>
      <c r="R2129" s="62" t="s">
        <v>27245</v>
      </c>
      <c r="S2129" s="62" t="s">
        <v>27246</v>
      </c>
      <c r="U2129" s="62" t="s">
        <v>27247</v>
      </c>
      <c r="V2129" s="62" t="s">
        <v>50858</v>
      </c>
      <c r="W2129" s="62" t="s">
        <v>27248</v>
      </c>
      <c r="X2129" s="62" t="s">
        <v>27249</v>
      </c>
      <c r="Y2129" s="62" t="s">
        <v>27250</v>
      </c>
      <c r="Z2129" s="62" t="s">
        <v>27251</v>
      </c>
      <c r="AA2129" s="62" t="s">
        <v>50891</v>
      </c>
      <c r="AB2129" s="62" t="s">
        <v>27252</v>
      </c>
      <c r="AC2129" s="62" t="s">
        <v>27253</v>
      </c>
      <c r="AD2129" s="62" t="s">
        <v>27254</v>
      </c>
    </row>
    <row r="2130" spans="1:30" x14ac:dyDescent="0.25">
      <c r="A2130" s="62" t="s">
        <v>109</v>
      </c>
      <c r="C2130" s="62" t="s">
        <v>44603</v>
      </c>
    </row>
    <row r="2131" spans="1:30" x14ac:dyDescent="0.25">
      <c r="A2131" s="62" t="s">
        <v>109</v>
      </c>
      <c r="C2131" s="62" t="s">
        <v>27255</v>
      </c>
      <c r="G2131" s="62" t="s">
        <v>44636</v>
      </c>
      <c r="J2131" s="62" t="s">
        <v>44637</v>
      </c>
      <c r="K2131" s="62" t="s">
        <v>44638</v>
      </c>
      <c r="L2131" s="62" t="s">
        <v>44639</v>
      </c>
      <c r="M2131" s="62" t="s">
        <v>27256</v>
      </c>
      <c r="N2131" s="62" t="s">
        <v>27257</v>
      </c>
      <c r="O2131" s="62" t="s">
        <v>44640</v>
      </c>
      <c r="P2131" s="62" t="s">
        <v>44641</v>
      </c>
      <c r="Q2131" s="62" t="s">
        <v>44642</v>
      </c>
      <c r="R2131" s="62" t="s">
        <v>27258</v>
      </c>
      <c r="S2131" s="62" t="s">
        <v>27259</v>
      </c>
      <c r="U2131" s="62" t="s">
        <v>44643</v>
      </c>
      <c r="V2131" s="62" t="s">
        <v>44644</v>
      </c>
      <c r="W2131" s="62" t="s">
        <v>44645</v>
      </c>
      <c r="X2131" s="62" t="s">
        <v>27260</v>
      </c>
      <c r="Y2131" s="62" t="s">
        <v>27261</v>
      </c>
      <c r="Z2131" s="62" t="s">
        <v>44646</v>
      </c>
      <c r="AA2131" s="62" t="s">
        <v>44647</v>
      </c>
      <c r="AB2131" s="62" t="s">
        <v>44648</v>
      </c>
      <c r="AC2131" s="62" t="s">
        <v>27262</v>
      </c>
      <c r="AD2131" s="62" t="s">
        <v>27263</v>
      </c>
    </row>
    <row r="2132" spans="1:30" x14ac:dyDescent="0.25">
      <c r="A2132" s="62" t="s">
        <v>109</v>
      </c>
    </row>
    <row r="2133" spans="1:30" x14ac:dyDescent="0.25">
      <c r="A2133" s="62" t="s">
        <v>109</v>
      </c>
      <c r="C2133" s="62" t="s">
        <v>44649</v>
      </c>
      <c r="E2133" s="62" t="s">
        <v>34278</v>
      </c>
      <c r="G2133" s="62" t="s">
        <v>44650</v>
      </c>
    </row>
    <row r="2134" spans="1:30" x14ac:dyDescent="0.25">
      <c r="A2134" s="62" t="s">
        <v>109</v>
      </c>
      <c r="C2134" s="62" t="s">
        <v>27264</v>
      </c>
    </row>
    <row r="2135" spans="1:30" x14ac:dyDescent="0.25">
      <c r="A2135" s="62" t="s">
        <v>109</v>
      </c>
      <c r="C2135" s="62" t="s">
        <v>27265</v>
      </c>
      <c r="F2135" s="62" t="s">
        <v>44651</v>
      </c>
      <c r="G2135" s="62" t="s">
        <v>50567</v>
      </c>
      <c r="J2135" s="62" t="s">
        <v>27266</v>
      </c>
      <c r="K2135" s="62" t="s">
        <v>50599</v>
      </c>
      <c r="L2135" s="62" t="s">
        <v>27267</v>
      </c>
      <c r="M2135" s="62" t="s">
        <v>27268</v>
      </c>
      <c r="N2135" s="62" t="s">
        <v>27269</v>
      </c>
      <c r="O2135" s="62" t="s">
        <v>27270</v>
      </c>
      <c r="P2135" s="62" t="s">
        <v>50631</v>
      </c>
      <c r="Q2135" s="62" t="s">
        <v>27271</v>
      </c>
      <c r="R2135" s="62" t="s">
        <v>27272</v>
      </c>
      <c r="S2135" s="62" t="s">
        <v>27273</v>
      </c>
      <c r="U2135" s="62" t="s">
        <v>27274</v>
      </c>
      <c r="V2135" s="62" t="s">
        <v>50663</v>
      </c>
      <c r="W2135" s="62" t="s">
        <v>27275</v>
      </c>
      <c r="X2135" s="62" t="s">
        <v>27276</v>
      </c>
      <c r="Y2135" s="62" t="s">
        <v>27277</v>
      </c>
      <c r="Z2135" s="62" t="s">
        <v>27278</v>
      </c>
      <c r="AA2135" s="62" t="s">
        <v>50695</v>
      </c>
      <c r="AB2135" s="62" t="s">
        <v>27279</v>
      </c>
      <c r="AC2135" s="62" t="s">
        <v>27280</v>
      </c>
      <c r="AD2135" s="62" t="s">
        <v>27281</v>
      </c>
    </row>
    <row r="2136" spans="1:30" x14ac:dyDescent="0.25">
      <c r="A2136" s="62" t="s">
        <v>109</v>
      </c>
      <c r="C2136" s="62" t="s">
        <v>27282</v>
      </c>
      <c r="F2136" s="62" t="s">
        <v>943</v>
      </c>
      <c r="G2136" s="62" t="s">
        <v>50568</v>
      </c>
      <c r="J2136" s="62" t="s">
        <v>27283</v>
      </c>
      <c r="K2136" s="62" t="s">
        <v>50600</v>
      </c>
      <c r="L2136" s="62" t="s">
        <v>27284</v>
      </c>
      <c r="M2136" s="62" t="s">
        <v>27285</v>
      </c>
      <c r="N2136" s="62" t="s">
        <v>27286</v>
      </c>
      <c r="O2136" s="62" t="s">
        <v>27287</v>
      </c>
      <c r="P2136" s="62" t="s">
        <v>50632</v>
      </c>
      <c r="Q2136" s="62" t="s">
        <v>27288</v>
      </c>
      <c r="R2136" s="62" t="s">
        <v>27289</v>
      </c>
      <c r="S2136" s="62" t="s">
        <v>27290</v>
      </c>
      <c r="U2136" s="62" t="s">
        <v>27291</v>
      </c>
      <c r="V2136" s="62" t="s">
        <v>50664</v>
      </c>
      <c r="W2136" s="62" t="s">
        <v>27292</v>
      </c>
      <c r="X2136" s="62" t="s">
        <v>27293</v>
      </c>
      <c r="Y2136" s="62" t="s">
        <v>27294</v>
      </c>
      <c r="Z2136" s="62" t="s">
        <v>27295</v>
      </c>
      <c r="AA2136" s="62" t="s">
        <v>50696</v>
      </c>
      <c r="AB2136" s="62" t="s">
        <v>27296</v>
      </c>
      <c r="AC2136" s="62" t="s">
        <v>27297</v>
      </c>
      <c r="AD2136" s="62" t="s">
        <v>27298</v>
      </c>
    </row>
    <row r="2137" spans="1:30" x14ac:dyDescent="0.25">
      <c r="A2137" s="62" t="s">
        <v>109</v>
      </c>
      <c r="C2137" s="62" t="s">
        <v>27299</v>
      </c>
      <c r="F2137" s="62" t="s">
        <v>10282</v>
      </c>
      <c r="G2137" s="62" t="s">
        <v>50569</v>
      </c>
      <c r="J2137" s="62" t="s">
        <v>27300</v>
      </c>
      <c r="K2137" s="62" t="s">
        <v>50601</v>
      </c>
      <c r="L2137" s="62" t="s">
        <v>27301</v>
      </c>
      <c r="M2137" s="62" t="s">
        <v>27302</v>
      </c>
      <c r="N2137" s="62" t="s">
        <v>27303</v>
      </c>
      <c r="O2137" s="62" t="s">
        <v>27304</v>
      </c>
      <c r="P2137" s="62" t="s">
        <v>50633</v>
      </c>
      <c r="Q2137" s="62" t="s">
        <v>27305</v>
      </c>
      <c r="R2137" s="62" t="s">
        <v>27306</v>
      </c>
      <c r="S2137" s="62" t="s">
        <v>27307</v>
      </c>
      <c r="U2137" s="62" t="s">
        <v>27308</v>
      </c>
      <c r="V2137" s="62" t="s">
        <v>50665</v>
      </c>
      <c r="W2137" s="62" t="s">
        <v>27309</v>
      </c>
      <c r="X2137" s="62" t="s">
        <v>27310</v>
      </c>
      <c r="Y2137" s="62" t="s">
        <v>27311</v>
      </c>
      <c r="Z2137" s="62" t="s">
        <v>27312</v>
      </c>
      <c r="AA2137" s="62" t="s">
        <v>50697</v>
      </c>
      <c r="AB2137" s="62" t="s">
        <v>27313</v>
      </c>
      <c r="AC2137" s="62" t="s">
        <v>27314</v>
      </c>
      <c r="AD2137" s="62" t="s">
        <v>27315</v>
      </c>
    </row>
    <row r="2138" spans="1:30" x14ac:dyDescent="0.25">
      <c r="A2138" s="62" t="s">
        <v>109</v>
      </c>
      <c r="C2138" s="62" t="s">
        <v>27316</v>
      </c>
      <c r="F2138" s="62" t="s">
        <v>340</v>
      </c>
      <c r="G2138" s="62" t="s">
        <v>50570</v>
      </c>
      <c r="J2138" s="62" t="s">
        <v>27317</v>
      </c>
      <c r="K2138" s="62" t="s">
        <v>50602</v>
      </c>
      <c r="L2138" s="62" t="s">
        <v>27318</v>
      </c>
      <c r="M2138" s="62" t="s">
        <v>27319</v>
      </c>
      <c r="N2138" s="62" t="s">
        <v>27320</v>
      </c>
      <c r="O2138" s="62" t="s">
        <v>27321</v>
      </c>
      <c r="P2138" s="62" t="s">
        <v>50634</v>
      </c>
      <c r="Q2138" s="62" t="s">
        <v>27322</v>
      </c>
      <c r="R2138" s="62" t="s">
        <v>27323</v>
      </c>
      <c r="S2138" s="62" t="s">
        <v>27324</v>
      </c>
      <c r="U2138" s="62" t="s">
        <v>27325</v>
      </c>
      <c r="V2138" s="62" t="s">
        <v>50666</v>
      </c>
      <c r="W2138" s="62" t="s">
        <v>27326</v>
      </c>
      <c r="X2138" s="62" t="s">
        <v>27327</v>
      </c>
      <c r="Y2138" s="62" t="s">
        <v>27328</v>
      </c>
      <c r="Z2138" s="62" t="s">
        <v>27329</v>
      </c>
      <c r="AA2138" s="62" t="s">
        <v>50698</v>
      </c>
      <c r="AB2138" s="62" t="s">
        <v>27330</v>
      </c>
      <c r="AC2138" s="62" t="s">
        <v>27331</v>
      </c>
      <c r="AD2138" s="62" t="s">
        <v>27332</v>
      </c>
    </row>
    <row r="2139" spans="1:30" x14ac:dyDescent="0.25">
      <c r="A2139" s="62" t="s">
        <v>109</v>
      </c>
      <c r="C2139" s="62" t="s">
        <v>27333</v>
      </c>
      <c r="F2139" s="62" t="s">
        <v>10295</v>
      </c>
      <c r="G2139" s="62" t="s">
        <v>50571</v>
      </c>
      <c r="J2139" s="62" t="s">
        <v>27334</v>
      </c>
      <c r="K2139" s="62" t="s">
        <v>50603</v>
      </c>
      <c r="L2139" s="62" t="s">
        <v>27335</v>
      </c>
      <c r="M2139" s="62" t="s">
        <v>27336</v>
      </c>
      <c r="N2139" s="62" t="s">
        <v>27337</v>
      </c>
      <c r="O2139" s="62" t="s">
        <v>27338</v>
      </c>
      <c r="P2139" s="62" t="s">
        <v>50635</v>
      </c>
      <c r="Q2139" s="62" t="s">
        <v>27339</v>
      </c>
      <c r="R2139" s="62" t="s">
        <v>27340</v>
      </c>
      <c r="S2139" s="62" t="s">
        <v>27341</v>
      </c>
      <c r="U2139" s="62" t="s">
        <v>27342</v>
      </c>
      <c r="V2139" s="62" t="s">
        <v>50667</v>
      </c>
      <c r="W2139" s="62" t="s">
        <v>27343</v>
      </c>
      <c r="X2139" s="62" t="s">
        <v>27344</v>
      </c>
      <c r="Y2139" s="62" t="s">
        <v>27345</v>
      </c>
      <c r="Z2139" s="62" t="s">
        <v>27346</v>
      </c>
      <c r="AA2139" s="62" t="s">
        <v>50699</v>
      </c>
      <c r="AB2139" s="62" t="s">
        <v>27347</v>
      </c>
      <c r="AC2139" s="62" t="s">
        <v>27348</v>
      </c>
      <c r="AD2139" s="62" t="s">
        <v>27349</v>
      </c>
    </row>
    <row r="2140" spans="1:30" x14ac:dyDescent="0.25">
      <c r="A2140" s="62" t="s">
        <v>109</v>
      </c>
      <c r="C2140" s="62" t="s">
        <v>27350</v>
      </c>
      <c r="F2140" s="62" t="s">
        <v>10332</v>
      </c>
      <c r="G2140" s="62" t="s">
        <v>50572</v>
      </c>
      <c r="J2140" s="62" t="s">
        <v>27352</v>
      </c>
      <c r="K2140" s="62" t="s">
        <v>50604</v>
      </c>
      <c r="L2140" s="62" t="s">
        <v>27353</v>
      </c>
      <c r="M2140" s="62" t="s">
        <v>27354</v>
      </c>
      <c r="N2140" s="62" t="s">
        <v>27355</v>
      </c>
      <c r="O2140" s="62" t="s">
        <v>27356</v>
      </c>
      <c r="P2140" s="62" t="s">
        <v>50636</v>
      </c>
      <c r="Q2140" s="62" t="s">
        <v>27357</v>
      </c>
      <c r="R2140" s="62" t="s">
        <v>27358</v>
      </c>
      <c r="S2140" s="62" t="s">
        <v>27359</v>
      </c>
      <c r="U2140" s="62" t="s">
        <v>27360</v>
      </c>
      <c r="V2140" s="62" t="s">
        <v>50668</v>
      </c>
      <c r="W2140" s="62" t="s">
        <v>27361</v>
      </c>
      <c r="X2140" s="62" t="s">
        <v>27362</v>
      </c>
      <c r="Y2140" s="62" t="s">
        <v>27363</v>
      </c>
      <c r="Z2140" s="62" t="s">
        <v>27364</v>
      </c>
      <c r="AA2140" s="62" t="s">
        <v>50700</v>
      </c>
      <c r="AB2140" s="62" t="s">
        <v>27365</v>
      </c>
      <c r="AC2140" s="62" t="s">
        <v>27366</v>
      </c>
      <c r="AD2140" s="62" t="s">
        <v>27367</v>
      </c>
    </row>
    <row r="2141" spans="1:30" x14ac:dyDescent="0.25">
      <c r="A2141" s="62" t="s">
        <v>109</v>
      </c>
      <c r="C2141" s="62" t="s">
        <v>27368</v>
      </c>
      <c r="F2141" s="62" t="s">
        <v>10368</v>
      </c>
      <c r="G2141" s="62" t="s">
        <v>50573</v>
      </c>
      <c r="J2141" s="62" t="s">
        <v>27370</v>
      </c>
      <c r="K2141" s="62" t="s">
        <v>50605</v>
      </c>
      <c r="L2141" s="62" t="s">
        <v>27371</v>
      </c>
      <c r="M2141" s="62" t="s">
        <v>27372</v>
      </c>
      <c r="N2141" s="62" t="s">
        <v>27373</v>
      </c>
      <c r="O2141" s="62" t="s">
        <v>27374</v>
      </c>
      <c r="P2141" s="62" t="s">
        <v>50637</v>
      </c>
      <c r="Q2141" s="62" t="s">
        <v>27375</v>
      </c>
      <c r="R2141" s="62" t="s">
        <v>27376</v>
      </c>
      <c r="S2141" s="62" t="s">
        <v>27377</v>
      </c>
      <c r="U2141" s="62" t="s">
        <v>27378</v>
      </c>
      <c r="V2141" s="62" t="s">
        <v>50669</v>
      </c>
      <c r="W2141" s="62" t="s">
        <v>27379</v>
      </c>
      <c r="X2141" s="62" t="s">
        <v>27380</v>
      </c>
      <c r="Y2141" s="62" t="s">
        <v>27381</v>
      </c>
      <c r="Z2141" s="62" t="s">
        <v>27382</v>
      </c>
      <c r="AA2141" s="62" t="s">
        <v>50701</v>
      </c>
      <c r="AB2141" s="62" t="s">
        <v>27383</v>
      </c>
      <c r="AC2141" s="62" t="s">
        <v>27384</v>
      </c>
      <c r="AD2141" s="62" t="s">
        <v>27385</v>
      </c>
    </row>
    <row r="2142" spans="1:30" x14ac:dyDescent="0.25">
      <c r="A2142" s="62" t="s">
        <v>109</v>
      </c>
      <c r="C2142" s="62" t="s">
        <v>27386</v>
      </c>
      <c r="F2142" s="62" t="s">
        <v>10386</v>
      </c>
      <c r="G2142" s="62" t="s">
        <v>50574</v>
      </c>
      <c r="J2142" s="62" t="s">
        <v>27387</v>
      </c>
      <c r="K2142" s="62" t="s">
        <v>50606</v>
      </c>
      <c r="L2142" s="62" t="s">
        <v>27388</v>
      </c>
      <c r="M2142" s="62" t="s">
        <v>27389</v>
      </c>
      <c r="N2142" s="62" t="s">
        <v>27390</v>
      </c>
      <c r="O2142" s="62" t="s">
        <v>27391</v>
      </c>
      <c r="P2142" s="62" t="s">
        <v>50638</v>
      </c>
      <c r="Q2142" s="62" t="s">
        <v>27392</v>
      </c>
      <c r="R2142" s="62" t="s">
        <v>27393</v>
      </c>
      <c r="S2142" s="62" t="s">
        <v>27394</v>
      </c>
      <c r="U2142" s="62" t="s">
        <v>27395</v>
      </c>
      <c r="V2142" s="62" t="s">
        <v>50670</v>
      </c>
      <c r="W2142" s="62" t="s">
        <v>27396</v>
      </c>
      <c r="X2142" s="62" t="s">
        <v>27397</v>
      </c>
      <c r="Y2142" s="62" t="s">
        <v>27398</v>
      </c>
      <c r="Z2142" s="62" t="s">
        <v>27399</v>
      </c>
      <c r="AA2142" s="62" t="s">
        <v>50702</v>
      </c>
      <c r="AB2142" s="62" t="s">
        <v>27400</v>
      </c>
      <c r="AC2142" s="62" t="s">
        <v>27401</v>
      </c>
      <c r="AD2142" s="62" t="s">
        <v>27402</v>
      </c>
    </row>
    <row r="2143" spans="1:30" x14ac:dyDescent="0.25">
      <c r="A2143" s="62" t="s">
        <v>109</v>
      </c>
      <c r="C2143" s="62" t="s">
        <v>27403</v>
      </c>
      <c r="F2143" s="62" t="s">
        <v>10422</v>
      </c>
      <c r="G2143" s="62" t="s">
        <v>50575</v>
      </c>
      <c r="J2143" s="62" t="s">
        <v>27404</v>
      </c>
      <c r="K2143" s="62" t="s">
        <v>50607</v>
      </c>
      <c r="L2143" s="62" t="s">
        <v>27405</v>
      </c>
      <c r="M2143" s="62" t="s">
        <v>27406</v>
      </c>
      <c r="N2143" s="62" t="s">
        <v>27407</v>
      </c>
      <c r="O2143" s="62" t="s">
        <v>27408</v>
      </c>
      <c r="P2143" s="62" t="s">
        <v>50639</v>
      </c>
      <c r="Q2143" s="62" t="s">
        <v>27409</v>
      </c>
      <c r="R2143" s="62" t="s">
        <v>27410</v>
      </c>
      <c r="S2143" s="62" t="s">
        <v>27411</v>
      </c>
      <c r="U2143" s="62" t="s">
        <v>27412</v>
      </c>
      <c r="V2143" s="62" t="s">
        <v>50671</v>
      </c>
      <c r="W2143" s="62" t="s">
        <v>27413</v>
      </c>
      <c r="X2143" s="62" t="s">
        <v>27414</v>
      </c>
      <c r="Y2143" s="62" t="s">
        <v>27415</v>
      </c>
      <c r="Z2143" s="62" t="s">
        <v>27416</v>
      </c>
      <c r="AA2143" s="62" t="s">
        <v>50703</v>
      </c>
      <c r="AB2143" s="62" t="s">
        <v>27417</v>
      </c>
      <c r="AC2143" s="62" t="s">
        <v>27418</v>
      </c>
      <c r="AD2143" s="62" t="s">
        <v>27419</v>
      </c>
    </row>
    <row r="2144" spans="1:30" x14ac:dyDescent="0.25">
      <c r="A2144" s="62" t="s">
        <v>109</v>
      </c>
      <c r="C2144" s="62" t="s">
        <v>27420</v>
      </c>
      <c r="F2144" s="62" t="s">
        <v>1047</v>
      </c>
      <c r="G2144" s="62" t="s">
        <v>50576</v>
      </c>
      <c r="J2144" s="62" t="s">
        <v>27421</v>
      </c>
      <c r="K2144" s="62" t="s">
        <v>50608</v>
      </c>
      <c r="L2144" s="62" t="s">
        <v>27422</v>
      </c>
      <c r="M2144" s="62" t="s">
        <v>27423</v>
      </c>
      <c r="N2144" s="62" t="s">
        <v>27424</v>
      </c>
      <c r="O2144" s="62" t="s">
        <v>27425</v>
      </c>
      <c r="P2144" s="62" t="s">
        <v>50640</v>
      </c>
      <c r="Q2144" s="62" t="s">
        <v>27426</v>
      </c>
      <c r="R2144" s="62" t="s">
        <v>27427</v>
      </c>
      <c r="S2144" s="62" t="s">
        <v>27428</v>
      </c>
      <c r="U2144" s="62" t="s">
        <v>27429</v>
      </c>
      <c r="V2144" s="62" t="s">
        <v>50672</v>
      </c>
      <c r="W2144" s="62" t="s">
        <v>27430</v>
      </c>
      <c r="X2144" s="62" t="s">
        <v>27431</v>
      </c>
      <c r="Y2144" s="62" t="s">
        <v>27432</v>
      </c>
      <c r="Z2144" s="62" t="s">
        <v>27433</v>
      </c>
      <c r="AA2144" s="62" t="s">
        <v>50704</v>
      </c>
      <c r="AB2144" s="62" t="s">
        <v>27434</v>
      </c>
      <c r="AC2144" s="62" t="s">
        <v>27435</v>
      </c>
      <c r="AD2144" s="62" t="s">
        <v>27436</v>
      </c>
    </row>
    <row r="2145" spans="1:30" x14ac:dyDescent="0.25">
      <c r="A2145" s="62" t="s">
        <v>109</v>
      </c>
      <c r="C2145" s="62" t="s">
        <v>27437</v>
      </c>
      <c r="F2145" s="62" t="s">
        <v>1064</v>
      </c>
      <c r="G2145" s="62" t="s">
        <v>50577</v>
      </c>
      <c r="J2145" s="62" t="s">
        <v>27438</v>
      </c>
      <c r="K2145" s="62" t="s">
        <v>50609</v>
      </c>
      <c r="L2145" s="62" t="s">
        <v>27439</v>
      </c>
      <c r="M2145" s="62" t="s">
        <v>27440</v>
      </c>
      <c r="N2145" s="62" t="s">
        <v>27441</v>
      </c>
      <c r="O2145" s="62" t="s">
        <v>27442</v>
      </c>
      <c r="P2145" s="62" t="s">
        <v>50641</v>
      </c>
      <c r="Q2145" s="62" t="s">
        <v>27443</v>
      </c>
      <c r="R2145" s="62" t="s">
        <v>27444</v>
      </c>
      <c r="S2145" s="62" t="s">
        <v>27445</v>
      </c>
      <c r="U2145" s="62" t="s">
        <v>27446</v>
      </c>
      <c r="V2145" s="62" t="s">
        <v>50673</v>
      </c>
      <c r="W2145" s="62" t="s">
        <v>27447</v>
      </c>
      <c r="X2145" s="62" t="s">
        <v>27448</v>
      </c>
      <c r="Y2145" s="62" t="s">
        <v>27449</v>
      </c>
      <c r="Z2145" s="62" t="s">
        <v>27450</v>
      </c>
      <c r="AA2145" s="62" t="s">
        <v>50705</v>
      </c>
      <c r="AB2145" s="62" t="s">
        <v>27451</v>
      </c>
      <c r="AC2145" s="62" t="s">
        <v>27452</v>
      </c>
      <c r="AD2145" s="62" t="s">
        <v>27453</v>
      </c>
    </row>
    <row r="2146" spans="1:30" x14ac:dyDescent="0.25">
      <c r="A2146" s="62" t="s">
        <v>109</v>
      </c>
      <c r="C2146" s="62" t="s">
        <v>27454</v>
      </c>
      <c r="F2146" s="62" t="s">
        <v>1073</v>
      </c>
      <c r="G2146" s="62" t="s">
        <v>50578</v>
      </c>
      <c r="J2146" s="62" t="s">
        <v>27455</v>
      </c>
      <c r="K2146" s="62" t="s">
        <v>50610</v>
      </c>
      <c r="L2146" s="62" t="s">
        <v>27456</v>
      </c>
      <c r="M2146" s="62" t="s">
        <v>27457</v>
      </c>
      <c r="N2146" s="62" t="s">
        <v>27458</v>
      </c>
      <c r="O2146" s="62" t="s">
        <v>27459</v>
      </c>
      <c r="P2146" s="62" t="s">
        <v>50642</v>
      </c>
      <c r="Q2146" s="62" t="s">
        <v>27460</v>
      </c>
      <c r="R2146" s="62" t="s">
        <v>27461</v>
      </c>
      <c r="S2146" s="62" t="s">
        <v>27462</v>
      </c>
      <c r="U2146" s="62" t="s">
        <v>27463</v>
      </c>
      <c r="V2146" s="62" t="s">
        <v>50674</v>
      </c>
      <c r="W2146" s="62" t="s">
        <v>27464</v>
      </c>
      <c r="X2146" s="62" t="s">
        <v>27465</v>
      </c>
      <c r="Y2146" s="62" t="s">
        <v>27466</v>
      </c>
      <c r="Z2146" s="62" t="s">
        <v>27467</v>
      </c>
      <c r="AA2146" s="62" t="s">
        <v>50706</v>
      </c>
      <c r="AB2146" s="62" t="s">
        <v>27468</v>
      </c>
      <c r="AC2146" s="62" t="s">
        <v>27469</v>
      </c>
      <c r="AD2146" s="62" t="s">
        <v>27470</v>
      </c>
    </row>
    <row r="2147" spans="1:30" x14ac:dyDescent="0.25">
      <c r="A2147" s="62" t="s">
        <v>109</v>
      </c>
      <c r="C2147" s="62" t="s">
        <v>27471</v>
      </c>
      <c r="F2147" s="62" t="s">
        <v>1100</v>
      </c>
      <c r="G2147" s="62" t="s">
        <v>50579</v>
      </c>
      <c r="J2147" s="62" t="s">
        <v>27472</v>
      </c>
      <c r="K2147" s="62" t="s">
        <v>50611</v>
      </c>
      <c r="L2147" s="62" t="s">
        <v>27473</v>
      </c>
      <c r="M2147" s="62" t="s">
        <v>27474</v>
      </c>
      <c r="N2147" s="62" t="s">
        <v>27475</v>
      </c>
      <c r="O2147" s="62" t="s">
        <v>27476</v>
      </c>
      <c r="P2147" s="62" t="s">
        <v>50643</v>
      </c>
      <c r="Q2147" s="62" t="s">
        <v>27477</v>
      </c>
      <c r="R2147" s="62" t="s">
        <v>27478</v>
      </c>
      <c r="S2147" s="62" t="s">
        <v>27479</v>
      </c>
      <c r="U2147" s="62" t="s">
        <v>27480</v>
      </c>
      <c r="V2147" s="62" t="s">
        <v>50675</v>
      </c>
      <c r="W2147" s="62" t="s">
        <v>27481</v>
      </c>
      <c r="X2147" s="62" t="s">
        <v>27482</v>
      </c>
      <c r="Y2147" s="62" t="s">
        <v>27483</v>
      </c>
      <c r="Z2147" s="62" t="s">
        <v>27484</v>
      </c>
      <c r="AA2147" s="62" t="s">
        <v>50707</v>
      </c>
      <c r="AB2147" s="62" t="s">
        <v>27485</v>
      </c>
      <c r="AC2147" s="62" t="s">
        <v>27486</v>
      </c>
      <c r="AD2147" s="62" t="s">
        <v>27487</v>
      </c>
    </row>
    <row r="2148" spans="1:30" x14ac:dyDescent="0.25">
      <c r="A2148" s="62" t="s">
        <v>109</v>
      </c>
      <c r="C2148" s="62" t="s">
        <v>27488</v>
      </c>
      <c r="F2148" s="62" t="s">
        <v>2337</v>
      </c>
      <c r="G2148" s="62" t="s">
        <v>50580</v>
      </c>
      <c r="J2148" s="62" t="s">
        <v>27489</v>
      </c>
      <c r="K2148" s="62" t="s">
        <v>50612</v>
      </c>
      <c r="L2148" s="62" t="s">
        <v>27490</v>
      </c>
      <c r="M2148" s="62" t="s">
        <v>27491</v>
      </c>
      <c r="N2148" s="62" t="s">
        <v>27492</v>
      </c>
      <c r="O2148" s="62" t="s">
        <v>27493</v>
      </c>
      <c r="P2148" s="62" t="s">
        <v>50644</v>
      </c>
      <c r="Q2148" s="62" t="s">
        <v>27494</v>
      </c>
      <c r="R2148" s="62" t="s">
        <v>27495</v>
      </c>
      <c r="S2148" s="62" t="s">
        <v>27496</v>
      </c>
      <c r="U2148" s="62" t="s">
        <v>27497</v>
      </c>
      <c r="V2148" s="62" t="s">
        <v>50676</v>
      </c>
      <c r="W2148" s="62" t="s">
        <v>27498</v>
      </c>
      <c r="X2148" s="62" t="s">
        <v>27499</v>
      </c>
      <c r="Y2148" s="62" t="s">
        <v>27500</v>
      </c>
      <c r="Z2148" s="62" t="s">
        <v>27501</v>
      </c>
      <c r="AA2148" s="62" t="s">
        <v>50708</v>
      </c>
      <c r="AB2148" s="62" t="s">
        <v>27502</v>
      </c>
      <c r="AC2148" s="62" t="s">
        <v>27503</v>
      </c>
      <c r="AD2148" s="62" t="s">
        <v>27504</v>
      </c>
    </row>
    <row r="2149" spans="1:30" x14ac:dyDescent="0.25">
      <c r="A2149" s="62" t="s">
        <v>109</v>
      </c>
      <c r="C2149" s="62" t="s">
        <v>44652</v>
      </c>
      <c r="F2149" s="62" t="s">
        <v>15081</v>
      </c>
      <c r="G2149" s="62" t="s">
        <v>50581</v>
      </c>
      <c r="J2149" s="62" t="s">
        <v>44653</v>
      </c>
      <c r="K2149" s="62" t="s">
        <v>50613</v>
      </c>
      <c r="L2149" s="62" t="s">
        <v>44654</v>
      </c>
      <c r="M2149" s="62" t="s">
        <v>44655</v>
      </c>
      <c r="N2149" s="62" t="s">
        <v>44656</v>
      </c>
      <c r="O2149" s="62" t="s">
        <v>44657</v>
      </c>
      <c r="P2149" s="62" t="s">
        <v>50645</v>
      </c>
      <c r="Q2149" s="62" t="s">
        <v>44658</v>
      </c>
      <c r="R2149" s="62" t="s">
        <v>44659</v>
      </c>
      <c r="S2149" s="62" t="s">
        <v>44660</v>
      </c>
      <c r="U2149" s="62" t="s">
        <v>44661</v>
      </c>
      <c r="V2149" s="62" t="s">
        <v>50677</v>
      </c>
      <c r="W2149" s="62" t="s">
        <v>44662</v>
      </c>
      <c r="X2149" s="62" t="s">
        <v>44663</v>
      </c>
      <c r="Y2149" s="62" t="s">
        <v>44664</v>
      </c>
      <c r="Z2149" s="62" t="s">
        <v>44665</v>
      </c>
      <c r="AA2149" s="62" t="s">
        <v>50709</v>
      </c>
      <c r="AB2149" s="62" t="s">
        <v>44666</v>
      </c>
      <c r="AC2149" s="62" t="s">
        <v>44667</v>
      </c>
      <c r="AD2149" s="62" t="s">
        <v>44668</v>
      </c>
    </row>
    <row r="2150" spans="1:30" x14ac:dyDescent="0.25">
      <c r="A2150" s="62" t="s">
        <v>109</v>
      </c>
      <c r="C2150" s="62" t="s">
        <v>27505</v>
      </c>
      <c r="F2150" s="62" t="s">
        <v>10559</v>
      </c>
      <c r="G2150" s="62" t="s">
        <v>50582</v>
      </c>
      <c r="J2150" s="62" t="s">
        <v>44669</v>
      </c>
      <c r="K2150" s="62" t="s">
        <v>50614</v>
      </c>
      <c r="L2150" s="62" t="s">
        <v>44670</v>
      </c>
      <c r="M2150" s="62" t="s">
        <v>27506</v>
      </c>
      <c r="N2150" s="62" t="s">
        <v>27507</v>
      </c>
      <c r="O2150" s="62" t="s">
        <v>44671</v>
      </c>
      <c r="P2150" s="62" t="s">
        <v>50646</v>
      </c>
      <c r="Q2150" s="62" t="s">
        <v>44672</v>
      </c>
      <c r="R2150" s="62" t="s">
        <v>27508</v>
      </c>
      <c r="S2150" s="62" t="s">
        <v>27509</v>
      </c>
      <c r="U2150" s="62" t="s">
        <v>44673</v>
      </c>
      <c r="V2150" s="62" t="s">
        <v>50678</v>
      </c>
      <c r="W2150" s="62" t="s">
        <v>44674</v>
      </c>
      <c r="X2150" s="62" t="s">
        <v>27510</v>
      </c>
      <c r="Y2150" s="62" t="s">
        <v>27511</v>
      </c>
      <c r="Z2150" s="62" t="s">
        <v>44675</v>
      </c>
      <c r="AA2150" s="62" t="s">
        <v>50710</v>
      </c>
      <c r="AB2150" s="62" t="s">
        <v>44676</v>
      </c>
      <c r="AC2150" s="62" t="s">
        <v>27512</v>
      </c>
      <c r="AD2150" s="62" t="s">
        <v>27513</v>
      </c>
    </row>
    <row r="2151" spans="1:30" x14ac:dyDescent="0.25">
      <c r="A2151" s="62" t="s">
        <v>109</v>
      </c>
      <c r="C2151" s="62" t="s">
        <v>44677</v>
      </c>
      <c r="F2151" s="62" t="s">
        <v>10613</v>
      </c>
      <c r="G2151" s="62" t="s">
        <v>50583</v>
      </c>
      <c r="J2151" s="62" t="s">
        <v>44678</v>
      </c>
      <c r="K2151" s="62" t="s">
        <v>50615</v>
      </c>
      <c r="L2151" s="62" t="s">
        <v>44679</v>
      </c>
      <c r="M2151" s="62" t="s">
        <v>44680</v>
      </c>
      <c r="N2151" s="62" t="s">
        <v>44681</v>
      </c>
      <c r="O2151" s="62" t="s">
        <v>44682</v>
      </c>
      <c r="P2151" s="62" t="s">
        <v>50647</v>
      </c>
      <c r="Q2151" s="62" t="s">
        <v>44683</v>
      </c>
      <c r="R2151" s="62" t="s">
        <v>44684</v>
      </c>
      <c r="S2151" s="62" t="s">
        <v>44685</v>
      </c>
      <c r="U2151" s="62" t="s">
        <v>44686</v>
      </c>
      <c r="V2151" s="62" t="s">
        <v>50679</v>
      </c>
      <c r="W2151" s="62" t="s">
        <v>44687</v>
      </c>
      <c r="X2151" s="62" t="s">
        <v>44688</v>
      </c>
      <c r="Y2151" s="62" t="s">
        <v>44689</v>
      </c>
      <c r="Z2151" s="62" t="s">
        <v>44690</v>
      </c>
      <c r="AA2151" s="62" t="s">
        <v>50711</v>
      </c>
      <c r="AB2151" s="62" t="s">
        <v>44691</v>
      </c>
      <c r="AC2151" s="62" t="s">
        <v>44692</v>
      </c>
      <c r="AD2151" s="62" t="s">
        <v>44693</v>
      </c>
    </row>
    <row r="2152" spans="1:30" x14ac:dyDescent="0.25">
      <c r="A2152" s="62" t="s">
        <v>109</v>
      </c>
      <c r="C2152" s="62" t="s">
        <v>44694</v>
      </c>
      <c r="F2152" s="62" t="s">
        <v>10631</v>
      </c>
      <c r="G2152" s="62" t="s">
        <v>50584</v>
      </c>
      <c r="J2152" s="62" t="s">
        <v>44695</v>
      </c>
      <c r="K2152" s="62" t="s">
        <v>50616</v>
      </c>
      <c r="L2152" s="62" t="s">
        <v>44696</v>
      </c>
      <c r="M2152" s="62" t="s">
        <v>44697</v>
      </c>
      <c r="N2152" s="62" t="s">
        <v>44698</v>
      </c>
      <c r="O2152" s="62" t="s">
        <v>44699</v>
      </c>
      <c r="P2152" s="62" t="s">
        <v>50648</v>
      </c>
      <c r="Q2152" s="62" t="s">
        <v>44700</v>
      </c>
      <c r="R2152" s="62" t="s">
        <v>44701</v>
      </c>
      <c r="S2152" s="62" t="s">
        <v>44702</v>
      </c>
      <c r="U2152" s="62" t="s">
        <v>44703</v>
      </c>
      <c r="V2152" s="62" t="s">
        <v>50680</v>
      </c>
      <c r="W2152" s="62" t="s">
        <v>44704</v>
      </c>
      <c r="X2152" s="62" t="s">
        <v>44705</v>
      </c>
      <c r="Y2152" s="62" t="s">
        <v>44706</v>
      </c>
      <c r="Z2152" s="62" t="s">
        <v>44707</v>
      </c>
      <c r="AA2152" s="62" t="s">
        <v>50712</v>
      </c>
      <c r="AB2152" s="62" t="s">
        <v>44708</v>
      </c>
      <c r="AC2152" s="62" t="s">
        <v>44709</v>
      </c>
      <c r="AD2152" s="62" t="s">
        <v>44710</v>
      </c>
    </row>
    <row r="2153" spans="1:30" x14ac:dyDescent="0.25">
      <c r="A2153" s="62" t="s">
        <v>109</v>
      </c>
      <c r="C2153" s="62" t="s">
        <v>27514</v>
      </c>
      <c r="F2153" s="62" t="s">
        <v>10649</v>
      </c>
      <c r="G2153" s="62" t="s">
        <v>50585</v>
      </c>
      <c r="J2153" s="62" t="s">
        <v>44711</v>
      </c>
      <c r="K2153" s="62" t="s">
        <v>50617</v>
      </c>
      <c r="L2153" s="62" t="s">
        <v>44712</v>
      </c>
      <c r="M2153" s="62" t="s">
        <v>44713</v>
      </c>
      <c r="N2153" s="62" t="s">
        <v>44714</v>
      </c>
      <c r="O2153" s="62" t="s">
        <v>44715</v>
      </c>
      <c r="P2153" s="62" t="s">
        <v>50649</v>
      </c>
      <c r="Q2153" s="62" t="s">
        <v>44716</v>
      </c>
      <c r="R2153" s="62" t="s">
        <v>44717</v>
      </c>
      <c r="S2153" s="62" t="s">
        <v>44718</v>
      </c>
      <c r="U2153" s="62" t="s">
        <v>44719</v>
      </c>
      <c r="V2153" s="62" t="s">
        <v>50681</v>
      </c>
      <c r="W2153" s="62" t="s">
        <v>44720</v>
      </c>
      <c r="X2153" s="62" t="s">
        <v>44721</v>
      </c>
      <c r="Y2153" s="62" t="s">
        <v>44722</v>
      </c>
      <c r="Z2153" s="62" t="s">
        <v>44723</v>
      </c>
      <c r="AA2153" s="62" t="s">
        <v>50713</v>
      </c>
      <c r="AB2153" s="62" t="s">
        <v>44724</v>
      </c>
      <c r="AC2153" s="62" t="s">
        <v>44725</v>
      </c>
      <c r="AD2153" s="62" t="s">
        <v>44726</v>
      </c>
    </row>
    <row r="2154" spans="1:30" x14ac:dyDescent="0.25">
      <c r="A2154" s="62" t="s">
        <v>109</v>
      </c>
      <c r="C2154" s="62" t="s">
        <v>27515</v>
      </c>
      <c r="F2154" s="62" t="s">
        <v>10703</v>
      </c>
      <c r="G2154" s="62" t="s">
        <v>50586</v>
      </c>
      <c r="J2154" s="62" t="s">
        <v>27516</v>
      </c>
      <c r="K2154" s="62" t="s">
        <v>50618</v>
      </c>
      <c r="L2154" s="62" t="s">
        <v>27517</v>
      </c>
      <c r="M2154" s="62" t="s">
        <v>27518</v>
      </c>
      <c r="N2154" s="62" t="s">
        <v>27519</v>
      </c>
      <c r="O2154" s="62" t="s">
        <v>27520</v>
      </c>
      <c r="P2154" s="62" t="s">
        <v>50650</v>
      </c>
      <c r="Q2154" s="62" t="s">
        <v>27521</v>
      </c>
      <c r="R2154" s="62" t="s">
        <v>27522</v>
      </c>
      <c r="S2154" s="62" t="s">
        <v>27523</v>
      </c>
      <c r="U2154" s="62" t="s">
        <v>27524</v>
      </c>
      <c r="V2154" s="62" t="s">
        <v>50682</v>
      </c>
      <c r="W2154" s="62" t="s">
        <v>27525</v>
      </c>
      <c r="X2154" s="62" t="s">
        <v>27526</v>
      </c>
      <c r="Y2154" s="62" t="s">
        <v>27527</v>
      </c>
      <c r="Z2154" s="62" t="s">
        <v>27528</v>
      </c>
      <c r="AA2154" s="62" t="s">
        <v>50714</v>
      </c>
      <c r="AB2154" s="62" t="s">
        <v>27529</v>
      </c>
      <c r="AC2154" s="62" t="s">
        <v>27530</v>
      </c>
      <c r="AD2154" s="62" t="s">
        <v>27531</v>
      </c>
    </row>
    <row r="2155" spans="1:30" x14ac:dyDescent="0.25">
      <c r="A2155" s="62" t="s">
        <v>109</v>
      </c>
      <c r="C2155" s="62" t="s">
        <v>27532</v>
      </c>
      <c r="F2155" s="62" t="s">
        <v>10721</v>
      </c>
      <c r="G2155" s="62" t="s">
        <v>50587</v>
      </c>
      <c r="J2155" s="62" t="s">
        <v>27533</v>
      </c>
      <c r="K2155" s="62" t="s">
        <v>50619</v>
      </c>
      <c r="L2155" s="62" t="s">
        <v>27534</v>
      </c>
      <c r="M2155" s="62" t="s">
        <v>27535</v>
      </c>
      <c r="N2155" s="62" t="s">
        <v>27536</v>
      </c>
      <c r="O2155" s="62" t="s">
        <v>27537</v>
      </c>
      <c r="P2155" s="62" t="s">
        <v>50651</v>
      </c>
      <c r="Q2155" s="62" t="s">
        <v>27538</v>
      </c>
      <c r="R2155" s="62" t="s">
        <v>27539</v>
      </c>
      <c r="S2155" s="62" t="s">
        <v>27540</v>
      </c>
      <c r="U2155" s="62" t="s">
        <v>27541</v>
      </c>
      <c r="V2155" s="62" t="s">
        <v>50683</v>
      </c>
      <c r="W2155" s="62" t="s">
        <v>27542</v>
      </c>
      <c r="X2155" s="62" t="s">
        <v>27543</v>
      </c>
      <c r="Y2155" s="62" t="s">
        <v>27544</v>
      </c>
      <c r="Z2155" s="62" t="s">
        <v>27545</v>
      </c>
      <c r="AA2155" s="62" t="s">
        <v>50715</v>
      </c>
      <c r="AB2155" s="62" t="s">
        <v>27546</v>
      </c>
      <c r="AC2155" s="62" t="s">
        <v>27547</v>
      </c>
      <c r="AD2155" s="62" t="s">
        <v>27548</v>
      </c>
    </row>
    <row r="2156" spans="1:30" x14ac:dyDescent="0.25">
      <c r="A2156" s="62" t="s">
        <v>109</v>
      </c>
      <c r="C2156" s="62" t="s">
        <v>27549</v>
      </c>
      <c r="F2156" s="62" t="s">
        <v>13184</v>
      </c>
      <c r="G2156" s="62" t="s">
        <v>50588</v>
      </c>
      <c r="J2156" s="62" t="s">
        <v>27550</v>
      </c>
      <c r="K2156" s="62" t="s">
        <v>50620</v>
      </c>
      <c r="L2156" s="62" t="s">
        <v>27551</v>
      </c>
      <c r="M2156" s="62" t="s">
        <v>27552</v>
      </c>
      <c r="N2156" s="62" t="s">
        <v>27553</v>
      </c>
      <c r="O2156" s="62" t="s">
        <v>27554</v>
      </c>
      <c r="P2156" s="62" t="s">
        <v>50652</v>
      </c>
      <c r="Q2156" s="62" t="s">
        <v>27555</v>
      </c>
      <c r="R2156" s="62" t="s">
        <v>27556</v>
      </c>
      <c r="S2156" s="62" t="s">
        <v>27557</v>
      </c>
      <c r="U2156" s="62" t="s">
        <v>27558</v>
      </c>
      <c r="V2156" s="62" t="s">
        <v>50684</v>
      </c>
      <c r="W2156" s="62" t="s">
        <v>27559</v>
      </c>
      <c r="X2156" s="62" t="s">
        <v>27560</v>
      </c>
      <c r="Y2156" s="62" t="s">
        <v>27561</v>
      </c>
      <c r="Z2156" s="62" t="s">
        <v>27562</v>
      </c>
      <c r="AA2156" s="62" t="s">
        <v>50716</v>
      </c>
      <c r="AB2156" s="62" t="s">
        <v>27563</v>
      </c>
      <c r="AC2156" s="62" t="s">
        <v>27564</v>
      </c>
      <c r="AD2156" s="62" t="s">
        <v>27565</v>
      </c>
    </row>
    <row r="2157" spans="1:30" x14ac:dyDescent="0.25">
      <c r="A2157" s="62" t="s">
        <v>109</v>
      </c>
      <c r="C2157" s="62" t="s">
        <v>27566</v>
      </c>
      <c r="F2157" s="62" t="s">
        <v>10793</v>
      </c>
      <c r="G2157" s="62" t="s">
        <v>50589</v>
      </c>
      <c r="J2157" s="62" t="s">
        <v>27567</v>
      </c>
      <c r="K2157" s="62" t="s">
        <v>50621</v>
      </c>
      <c r="L2157" s="62" t="s">
        <v>27568</v>
      </c>
      <c r="M2157" s="62" t="s">
        <v>27569</v>
      </c>
      <c r="N2157" s="62" t="s">
        <v>27570</v>
      </c>
      <c r="O2157" s="62" t="s">
        <v>27571</v>
      </c>
      <c r="P2157" s="62" t="s">
        <v>50653</v>
      </c>
      <c r="Q2157" s="62" t="s">
        <v>27572</v>
      </c>
      <c r="R2157" s="62" t="s">
        <v>27573</v>
      </c>
      <c r="S2157" s="62" t="s">
        <v>27574</v>
      </c>
      <c r="U2157" s="62" t="s">
        <v>27575</v>
      </c>
      <c r="V2157" s="62" t="s">
        <v>50685</v>
      </c>
      <c r="W2157" s="62" t="s">
        <v>27576</v>
      </c>
      <c r="X2157" s="62" t="s">
        <v>27577</v>
      </c>
      <c r="Y2157" s="62" t="s">
        <v>27578</v>
      </c>
      <c r="Z2157" s="62" t="s">
        <v>27579</v>
      </c>
      <c r="AA2157" s="62" t="s">
        <v>50717</v>
      </c>
      <c r="AB2157" s="62" t="s">
        <v>27580</v>
      </c>
      <c r="AC2157" s="62" t="s">
        <v>27581</v>
      </c>
      <c r="AD2157" s="62" t="s">
        <v>27582</v>
      </c>
    </row>
    <row r="2158" spans="1:30" x14ac:dyDescent="0.25">
      <c r="A2158" s="62" t="s">
        <v>109</v>
      </c>
      <c r="C2158" s="62" t="s">
        <v>27583</v>
      </c>
      <c r="F2158" s="62" t="s">
        <v>13202</v>
      </c>
      <c r="G2158" s="62" t="s">
        <v>50590</v>
      </c>
      <c r="J2158" s="62" t="s">
        <v>27584</v>
      </c>
      <c r="K2158" s="62" t="s">
        <v>50622</v>
      </c>
      <c r="L2158" s="62" t="s">
        <v>27585</v>
      </c>
      <c r="M2158" s="62" t="s">
        <v>27586</v>
      </c>
      <c r="N2158" s="62" t="s">
        <v>27587</v>
      </c>
      <c r="O2158" s="62" t="s">
        <v>27588</v>
      </c>
      <c r="P2158" s="62" t="s">
        <v>50654</v>
      </c>
      <c r="Q2158" s="62" t="s">
        <v>27589</v>
      </c>
      <c r="R2158" s="62" t="s">
        <v>27590</v>
      </c>
      <c r="S2158" s="62" t="s">
        <v>27591</v>
      </c>
      <c r="U2158" s="62" t="s">
        <v>27592</v>
      </c>
      <c r="V2158" s="62" t="s">
        <v>50686</v>
      </c>
      <c r="W2158" s="62" t="s">
        <v>27593</v>
      </c>
      <c r="X2158" s="62" t="s">
        <v>27594</v>
      </c>
      <c r="Y2158" s="62" t="s">
        <v>27595</v>
      </c>
      <c r="Z2158" s="62" t="s">
        <v>27596</v>
      </c>
      <c r="AA2158" s="62" t="s">
        <v>50718</v>
      </c>
      <c r="AB2158" s="62" t="s">
        <v>27597</v>
      </c>
      <c r="AC2158" s="62" t="s">
        <v>27598</v>
      </c>
      <c r="AD2158" s="62" t="s">
        <v>27599</v>
      </c>
    </row>
    <row r="2159" spans="1:30" x14ac:dyDescent="0.25">
      <c r="A2159" s="62" t="s">
        <v>109</v>
      </c>
      <c r="C2159" s="62" t="s">
        <v>27600</v>
      </c>
      <c r="F2159" s="62" t="s">
        <v>10811</v>
      </c>
      <c r="G2159" s="62" t="s">
        <v>50591</v>
      </c>
      <c r="J2159" s="62" t="s">
        <v>27601</v>
      </c>
      <c r="K2159" s="62" t="s">
        <v>50623</v>
      </c>
      <c r="L2159" s="62" t="s">
        <v>27602</v>
      </c>
      <c r="M2159" s="62" t="s">
        <v>27603</v>
      </c>
      <c r="N2159" s="62" t="s">
        <v>27604</v>
      </c>
      <c r="O2159" s="62" t="s">
        <v>27605</v>
      </c>
      <c r="P2159" s="62" t="s">
        <v>50655</v>
      </c>
      <c r="Q2159" s="62" t="s">
        <v>27606</v>
      </c>
      <c r="R2159" s="62" t="s">
        <v>27607</v>
      </c>
      <c r="S2159" s="62" t="s">
        <v>27608</v>
      </c>
      <c r="U2159" s="62" t="s">
        <v>27609</v>
      </c>
      <c r="V2159" s="62" t="s">
        <v>50687</v>
      </c>
      <c r="W2159" s="62" t="s">
        <v>27610</v>
      </c>
      <c r="X2159" s="62" t="s">
        <v>27611</v>
      </c>
      <c r="Y2159" s="62" t="s">
        <v>27612</v>
      </c>
      <c r="Z2159" s="62" t="s">
        <v>27613</v>
      </c>
      <c r="AA2159" s="62" t="s">
        <v>50719</v>
      </c>
      <c r="AB2159" s="62" t="s">
        <v>27614</v>
      </c>
      <c r="AC2159" s="62" t="s">
        <v>27615</v>
      </c>
      <c r="AD2159" s="62" t="s">
        <v>27616</v>
      </c>
    </row>
    <row r="2160" spans="1:30" x14ac:dyDescent="0.25">
      <c r="A2160" s="62" t="s">
        <v>109</v>
      </c>
      <c r="C2160" s="62" t="s">
        <v>27617</v>
      </c>
      <c r="F2160" s="62" t="s">
        <v>10829</v>
      </c>
      <c r="G2160" s="62" t="s">
        <v>50592</v>
      </c>
      <c r="J2160" s="62" t="s">
        <v>27618</v>
      </c>
      <c r="K2160" s="62" t="s">
        <v>50624</v>
      </c>
      <c r="L2160" s="62" t="s">
        <v>27619</v>
      </c>
      <c r="M2160" s="62" t="s">
        <v>27620</v>
      </c>
      <c r="N2160" s="62" t="s">
        <v>27621</v>
      </c>
      <c r="O2160" s="62" t="s">
        <v>27622</v>
      </c>
      <c r="P2160" s="62" t="s">
        <v>50656</v>
      </c>
      <c r="Q2160" s="62" t="s">
        <v>27623</v>
      </c>
      <c r="R2160" s="62" t="s">
        <v>27624</v>
      </c>
      <c r="S2160" s="62" t="s">
        <v>27625</v>
      </c>
      <c r="U2160" s="62" t="s">
        <v>27626</v>
      </c>
      <c r="V2160" s="62" t="s">
        <v>50688</v>
      </c>
      <c r="W2160" s="62" t="s">
        <v>27627</v>
      </c>
      <c r="X2160" s="62" t="s">
        <v>27628</v>
      </c>
      <c r="Y2160" s="62" t="s">
        <v>27629</v>
      </c>
      <c r="Z2160" s="62" t="s">
        <v>27630</v>
      </c>
      <c r="AA2160" s="62" t="s">
        <v>50720</v>
      </c>
      <c r="AB2160" s="62" t="s">
        <v>27631</v>
      </c>
      <c r="AC2160" s="62" t="s">
        <v>27632</v>
      </c>
      <c r="AD2160" s="62" t="s">
        <v>27633</v>
      </c>
    </row>
    <row r="2161" spans="1:30" x14ac:dyDescent="0.25">
      <c r="A2161" s="62" t="s">
        <v>109</v>
      </c>
      <c r="C2161" s="62" t="s">
        <v>27634</v>
      </c>
      <c r="F2161" s="62" t="s">
        <v>13236</v>
      </c>
      <c r="G2161" s="62" t="s">
        <v>50593</v>
      </c>
      <c r="J2161" s="62" t="s">
        <v>27635</v>
      </c>
      <c r="K2161" s="62" t="s">
        <v>50625</v>
      </c>
      <c r="L2161" s="62" t="s">
        <v>27636</v>
      </c>
      <c r="M2161" s="62" t="s">
        <v>27637</v>
      </c>
      <c r="N2161" s="62" t="s">
        <v>27638</v>
      </c>
      <c r="O2161" s="62" t="s">
        <v>27639</v>
      </c>
      <c r="P2161" s="62" t="s">
        <v>50657</v>
      </c>
      <c r="Q2161" s="62" t="s">
        <v>27640</v>
      </c>
      <c r="R2161" s="62" t="s">
        <v>27641</v>
      </c>
      <c r="S2161" s="62" t="s">
        <v>27642</v>
      </c>
      <c r="U2161" s="62" t="s">
        <v>27643</v>
      </c>
      <c r="V2161" s="62" t="s">
        <v>50689</v>
      </c>
      <c r="W2161" s="62" t="s">
        <v>27644</v>
      </c>
      <c r="X2161" s="62" t="s">
        <v>27645</v>
      </c>
      <c r="Y2161" s="62" t="s">
        <v>27646</v>
      </c>
      <c r="Z2161" s="62" t="s">
        <v>27647</v>
      </c>
      <c r="AA2161" s="62" t="s">
        <v>50721</v>
      </c>
      <c r="AB2161" s="62" t="s">
        <v>27648</v>
      </c>
      <c r="AC2161" s="62" t="s">
        <v>27649</v>
      </c>
      <c r="AD2161" s="62" t="s">
        <v>27650</v>
      </c>
    </row>
    <row r="2162" spans="1:30" x14ac:dyDescent="0.25">
      <c r="A2162" s="62" t="s">
        <v>109</v>
      </c>
      <c r="C2162" s="62" t="s">
        <v>27651</v>
      </c>
      <c r="F2162" s="62" t="s">
        <v>10865</v>
      </c>
      <c r="G2162" s="62" t="s">
        <v>50594</v>
      </c>
      <c r="J2162" s="62" t="s">
        <v>27652</v>
      </c>
      <c r="K2162" s="62" t="s">
        <v>50626</v>
      </c>
      <c r="L2162" s="62" t="s">
        <v>27653</v>
      </c>
      <c r="M2162" s="62" t="s">
        <v>27654</v>
      </c>
      <c r="N2162" s="62" t="s">
        <v>27655</v>
      </c>
      <c r="O2162" s="62" t="s">
        <v>27656</v>
      </c>
      <c r="P2162" s="62" t="s">
        <v>50658</v>
      </c>
      <c r="Q2162" s="62" t="s">
        <v>27657</v>
      </c>
      <c r="R2162" s="62" t="s">
        <v>27658</v>
      </c>
      <c r="S2162" s="62" t="s">
        <v>27659</v>
      </c>
      <c r="U2162" s="62" t="s">
        <v>27660</v>
      </c>
      <c r="V2162" s="62" t="s">
        <v>50690</v>
      </c>
      <c r="W2162" s="62" t="s">
        <v>27661</v>
      </c>
      <c r="X2162" s="62" t="s">
        <v>27662</v>
      </c>
      <c r="Y2162" s="62" t="s">
        <v>27663</v>
      </c>
      <c r="Z2162" s="62" t="s">
        <v>27664</v>
      </c>
      <c r="AA2162" s="62" t="s">
        <v>50722</v>
      </c>
      <c r="AB2162" s="62" t="s">
        <v>27665</v>
      </c>
      <c r="AC2162" s="62" t="s">
        <v>27666</v>
      </c>
      <c r="AD2162" s="62" t="s">
        <v>27667</v>
      </c>
    </row>
    <row r="2163" spans="1:30" x14ac:dyDescent="0.25">
      <c r="A2163" s="62" t="s">
        <v>109</v>
      </c>
      <c r="C2163" s="62" t="s">
        <v>27668</v>
      </c>
      <c r="F2163" s="62" t="s">
        <v>13238</v>
      </c>
      <c r="G2163" s="62" t="s">
        <v>50595</v>
      </c>
      <c r="J2163" s="62" t="s">
        <v>27669</v>
      </c>
      <c r="K2163" s="62" t="s">
        <v>50627</v>
      </c>
      <c r="L2163" s="62" t="s">
        <v>27670</v>
      </c>
      <c r="M2163" s="62" t="s">
        <v>27671</v>
      </c>
      <c r="N2163" s="62" t="s">
        <v>27672</v>
      </c>
      <c r="O2163" s="62" t="s">
        <v>27673</v>
      </c>
      <c r="P2163" s="62" t="s">
        <v>50659</v>
      </c>
      <c r="Q2163" s="62" t="s">
        <v>27674</v>
      </c>
      <c r="R2163" s="62" t="s">
        <v>27675</v>
      </c>
      <c r="S2163" s="62" t="s">
        <v>27676</v>
      </c>
      <c r="U2163" s="62" t="s">
        <v>27677</v>
      </c>
      <c r="V2163" s="62" t="s">
        <v>50691</v>
      </c>
      <c r="W2163" s="62" t="s">
        <v>27678</v>
      </c>
      <c r="X2163" s="62" t="s">
        <v>27679</v>
      </c>
      <c r="Y2163" s="62" t="s">
        <v>27680</v>
      </c>
      <c r="Z2163" s="62" t="s">
        <v>27681</v>
      </c>
      <c r="AA2163" s="62" t="s">
        <v>50723</v>
      </c>
      <c r="AB2163" s="62" t="s">
        <v>27682</v>
      </c>
      <c r="AC2163" s="62" t="s">
        <v>27683</v>
      </c>
      <c r="AD2163" s="62" t="s">
        <v>27684</v>
      </c>
    </row>
    <row r="2164" spans="1:30" x14ac:dyDescent="0.25">
      <c r="A2164" s="62" t="s">
        <v>109</v>
      </c>
      <c r="C2164" s="62" t="s">
        <v>27685</v>
      </c>
      <c r="F2164" s="62" t="s">
        <v>1286</v>
      </c>
      <c r="G2164" s="62" t="s">
        <v>50596</v>
      </c>
      <c r="J2164" s="62" t="s">
        <v>27686</v>
      </c>
      <c r="K2164" s="62" t="s">
        <v>50628</v>
      </c>
      <c r="L2164" s="62" t="s">
        <v>27687</v>
      </c>
      <c r="M2164" s="62" t="s">
        <v>27688</v>
      </c>
      <c r="N2164" s="62" t="s">
        <v>27689</v>
      </c>
      <c r="O2164" s="62" t="s">
        <v>27690</v>
      </c>
      <c r="P2164" s="62" t="s">
        <v>50660</v>
      </c>
      <c r="Q2164" s="62" t="s">
        <v>27691</v>
      </c>
      <c r="R2164" s="62" t="s">
        <v>27692</v>
      </c>
      <c r="S2164" s="62" t="s">
        <v>27693</v>
      </c>
      <c r="U2164" s="62" t="s">
        <v>27694</v>
      </c>
      <c r="V2164" s="62" t="s">
        <v>50692</v>
      </c>
      <c r="W2164" s="62" t="s">
        <v>27695</v>
      </c>
      <c r="X2164" s="62" t="s">
        <v>27696</v>
      </c>
      <c r="Y2164" s="62" t="s">
        <v>27697</v>
      </c>
      <c r="Z2164" s="62" t="s">
        <v>27698</v>
      </c>
      <c r="AA2164" s="62" t="s">
        <v>50724</v>
      </c>
      <c r="AB2164" s="62" t="s">
        <v>27699</v>
      </c>
      <c r="AC2164" s="62" t="s">
        <v>27700</v>
      </c>
      <c r="AD2164" s="62" t="s">
        <v>27701</v>
      </c>
    </row>
    <row r="2165" spans="1:30" x14ac:dyDescent="0.25">
      <c r="A2165" s="62" t="s">
        <v>109</v>
      </c>
      <c r="C2165" s="62" t="s">
        <v>27702</v>
      </c>
      <c r="F2165" s="62" t="s">
        <v>10925</v>
      </c>
      <c r="G2165" s="62" t="s">
        <v>50597</v>
      </c>
      <c r="J2165" s="62" t="s">
        <v>27703</v>
      </c>
      <c r="K2165" s="62" t="s">
        <v>50629</v>
      </c>
      <c r="L2165" s="62" t="s">
        <v>27704</v>
      </c>
      <c r="M2165" s="62" t="s">
        <v>27705</v>
      </c>
      <c r="N2165" s="62" t="s">
        <v>27706</v>
      </c>
      <c r="O2165" s="62" t="s">
        <v>27707</v>
      </c>
      <c r="P2165" s="62" t="s">
        <v>50661</v>
      </c>
      <c r="Q2165" s="62" t="s">
        <v>27708</v>
      </c>
      <c r="R2165" s="62" t="s">
        <v>27709</v>
      </c>
      <c r="S2165" s="62" t="s">
        <v>27710</v>
      </c>
      <c r="U2165" s="62" t="s">
        <v>27711</v>
      </c>
      <c r="V2165" s="62" t="s">
        <v>50693</v>
      </c>
      <c r="W2165" s="62" t="s">
        <v>27712</v>
      </c>
      <c r="X2165" s="62" t="s">
        <v>27713</v>
      </c>
      <c r="Y2165" s="62" t="s">
        <v>27714</v>
      </c>
      <c r="Z2165" s="62" t="s">
        <v>27715</v>
      </c>
      <c r="AA2165" s="62" t="s">
        <v>50725</v>
      </c>
      <c r="AB2165" s="62" t="s">
        <v>27716</v>
      </c>
      <c r="AC2165" s="62" t="s">
        <v>27717</v>
      </c>
      <c r="AD2165" s="62" t="s">
        <v>27718</v>
      </c>
    </row>
    <row r="2166" spans="1:30" x14ac:dyDescent="0.25">
      <c r="A2166" s="62" t="s">
        <v>109</v>
      </c>
      <c r="C2166" s="62" t="s">
        <v>27719</v>
      </c>
      <c r="F2166" s="62" t="s">
        <v>10929</v>
      </c>
      <c r="G2166" s="62" t="s">
        <v>50598</v>
      </c>
      <c r="J2166" s="62" t="s">
        <v>27720</v>
      </c>
      <c r="K2166" s="62" t="s">
        <v>50630</v>
      </c>
      <c r="L2166" s="62" t="s">
        <v>27721</v>
      </c>
      <c r="M2166" s="62" t="s">
        <v>27722</v>
      </c>
      <c r="N2166" s="62" t="s">
        <v>27723</v>
      </c>
      <c r="O2166" s="62" t="s">
        <v>27724</v>
      </c>
      <c r="P2166" s="62" t="s">
        <v>50662</v>
      </c>
      <c r="Q2166" s="62" t="s">
        <v>27725</v>
      </c>
      <c r="R2166" s="62" t="s">
        <v>27726</v>
      </c>
      <c r="S2166" s="62" t="s">
        <v>27727</v>
      </c>
      <c r="U2166" s="62" t="s">
        <v>27728</v>
      </c>
      <c r="V2166" s="62" t="s">
        <v>50694</v>
      </c>
      <c r="W2166" s="62" t="s">
        <v>27729</v>
      </c>
      <c r="X2166" s="62" t="s">
        <v>27730</v>
      </c>
      <c r="Y2166" s="62" t="s">
        <v>27731</v>
      </c>
      <c r="Z2166" s="62" t="s">
        <v>27732</v>
      </c>
      <c r="AA2166" s="62" t="s">
        <v>50726</v>
      </c>
      <c r="AB2166" s="62" t="s">
        <v>27733</v>
      </c>
      <c r="AC2166" s="62" t="s">
        <v>27734</v>
      </c>
      <c r="AD2166" s="62" t="s">
        <v>27735</v>
      </c>
    </row>
    <row r="2167" spans="1:30" x14ac:dyDescent="0.25">
      <c r="A2167" s="62" t="s">
        <v>109</v>
      </c>
      <c r="C2167" s="62" t="s">
        <v>27282</v>
      </c>
    </row>
    <row r="2168" spans="1:30" x14ac:dyDescent="0.25">
      <c r="A2168" s="62" t="s">
        <v>109</v>
      </c>
      <c r="C2168" s="62" t="s">
        <v>27736</v>
      </c>
      <c r="G2168" s="62" t="s">
        <v>44727</v>
      </c>
      <c r="J2168" s="62" t="s">
        <v>44728</v>
      </c>
      <c r="K2168" s="62" t="s">
        <v>44729</v>
      </c>
      <c r="L2168" s="62" t="s">
        <v>44730</v>
      </c>
      <c r="M2168" s="62" t="s">
        <v>27737</v>
      </c>
      <c r="N2168" s="62" t="s">
        <v>27738</v>
      </c>
      <c r="O2168" s="62" t="s">
        <v>44731</v>
      </c>
      <c r="P2168" s="62" t="s">
        <v>44732</v>
      </c>
      <c r="Q2168" s="62" t="s">
        <v>44733</v>
      </c>
      <c r="R2168" s="62" t="s">
        <v>27739</v>
      </c>
      <c r="S2168" s="62" t="s">
        <v>27740</v>
      </c>
      <c r="U2168" s="62" t="s">
        <v>44734</v>
      </c>
      <c r="V2168" s="62" t="s">
        <v>44735</v>
      </c>
      <c r="W2168" s="62" t="s">
        <v>44736</v>
      </c>
      <c r="X2168" s="62" t="s">
        <v>27741</v>
      </c>
      <c r="Y2168" s="62" t="s">
        <v>27742</v>
      </c>
      <c r="Z2168" s="62" t="s">
        <v>44737</v>
      </c>
      <c r="AA2168" s="62" t="s">
        <v>44738</v>
      </c>
      <c r="AB2168" s="62" t="s">
        <v>44739</v>
      </c>
      <c r="AC2168" s="62" t="s">
        <v>27743</v>
      </c>
      <c r="AD2168" s="62" t="s">
        <v>27744</v>
      </c>
    </row>
    <row r="2169" spans="1:30" x14ac:dyDescent="0.25">
      <c r="A2169" s="62" t="s">
        <v>109</v>
      </c>
    </row>
    <row r="2170" spans="1:30" x14ac:dyDescent="0.25">
      <c r="A2170" s="62" t="s">
        <v>109</v>
      </c>
      <c r="C2170" s="62" t="s">
        <v>44740</v>
      </c>
      <c r="E2170" s="62" t="s">
        <v>35013</v>
      </c>
      <c r="G2170" s="62" t="s">
        <v>44741</v>
      </c>
    </row>
    <row r="2171" spans="1:30" x14ac:dyDescent="0.25">
      <c r="A2171" s="62" t="s">
        <v>109</v>
      </c>
      <c r="C2171" s="62" t="s">
        <v>27745</v>
      </c>
    </row>
    <row r="2172" spans="1:30" x14ac:dyDescent="0.25">
      <c r="A2172" s="62" t="s">
        <v>109</v>
      </c>
      <c r="C2172" s="62" t="s">
        <v>27746</v>
      </c>
      <c r="F2172" s="62" t="s">
        <v>44742</v>
      </c>
      <c r="G2172" s="62" t="s">
        <v>50532</v>
      </c>
      <c r="J2172" s="62" t="s">
        <v>27747</v>
      </c>
      <c r="K2172" s="62" t="s">
        <v>50539</v>
      </c>
      <c r="L2172" s="62" t="s">
        <v>27748</v>
      </c>
      <c r="M2172" s="62" t="s">
        <v>27749</v>
      </c>
      <c r="N2172" s="62" t="s">
        <v>27750</v>
      </c>
      <c r="O2172" s="62" t="s">
        <v>27751</v>
      </c>
      <c r="P2172" s="62" t="s">
        <v>50546</v>
      </c>
      <c r="Q2172" s="62" t="s">
        <v>27752</v>
      </c>
      <c r="R2172" s="62" t="s">
        <v>27753</v>
      </c>
      <c r="S2172" s="62" t="s">
        <v>27754</v>
      </c>
      <c r="U2172" s="62" t="s">
        <v>27755</v>
      </c>
      <c r="V2172" s="62" t="s">
        <v>50553</v>
      </c>
      <c r="W2172" s="62" t="s">
        <v>27756</v>
      </c>
      <c r="X2172" s="62" t="s">
        <v>27757</v>
      </c>
      <c r="Y2172" s="62" t="s">
        <v>27758</v>
      </c>
      <c r="Z2172" s="62" t="s">
        <v>27759</v>
      </c>
      <c r="AA2172" s="62" t="s">
        <v>50560</v>
      </c>
      <c r="AB2172" s="62" t="s">
        <v>27760</v>
      </c>
      <c r="AC2172" s="62" t="s">
        <v>27761</v>
      </c>
      <c r="AD2172" s="62" t="s">
        <v>27762</v>
      </c>
    </row>
    <row r="2173" spans="1:30" x14ac:dyDescent="0.25">
      <c r="A2173" s="62" t="s">
        <v>109</v>
      </c>
      <c r="C2173" s="62" t="s">
        <v>27763</v>
      </c>
      <c r="F2173" s="62" t="s">
        <v>142</v>
      </c>
      <c r="G2173" s="62" t="s">
        <v>50533</v>
      </c>
      <c r="J2173" s="62" t="s">
        <v>27764</v>
      </c>
      <c r="K2173" s="62" t="s">
        <v>50540</v>
      </c>
      <c r="L2173" s="62" t="s">
        <v>27765</v>
      </c>
      <c r="M2173" s="62" t="s">
        <v>27766</v>
      </c>
      <c r="N2173" s="62" t="s">
        <v>27767</v>
      </c>
      <c r="O2173" s="62" t="s">
        <v>27768</v>
      </c>
      <c r="P2173" s="62" t="s">
        <v>50547</v>
      </c>
      <c r="Q2173" s="62" t="s">
        <v>27769</v>
      </c>
      <c r="R2173" s="62" t="s">
        <v>27770</v>
      </c>
      <c r="S2173" s="62" t="s">
        <v>27771</v>
      </c>
      <c r="U2173" s="62" t="s">
        <v>27772</v>
      </c>
      <c r="V2173" s="62" t="s">
        <v>50554</v>
      </c>
      <c r="W2173" s="62" t="s">
        <v>27773</v>
      </c>
      <c r="X2173" s="62" t="s">
        <v>27774</v>
      </c>
      <c r="Y2173" s="62" t="s">
        <v>27775</v>
      </c>
      <c r="Z2173" s="62" t="s">
        <v>27776</v>
      </c>
      <c r="AA2173" s="62" t="s">
        <v>50561</v>
      </c>
      <c r="AB2173" s="62" t="s">
        <v>27777</v>
      </c>
      <c r="AC2173" s="62" t="s">
        <v>27778</v>
      </c>
      <c r="AD2173" s="62" t="s">
        <v>27779</v>
      </c>
    </row>
    <row r="2174" spans="1:30" x14ac:dyDescent="0.25">
      <c r="A2174" s="62" t="s">
        <v>109</v>
      </c>
      <c r="C2174" s="62" t="s">
        <v>27780</v>
      </c>
      <c r="F2174" s="62" t="s">
        <v>785</v>
      </c>
      <c r="G2174" s="62" t="s">
        <v>50534</v>
      </c>
      <c r="J2174" s="62" t="s">
        <v>27781</v>
      </c>
      <c r="K2174" s="62" t="s">
        <v>50541</v>
      </c>
      <c r="L2174" s="62" t="s">
        <v>27782</v>
      </c>
      <c r="M2174" s="62" t="s">
        <v>27783</v>
      </c>
      <c r="N2174" s="62" t="s">
        <v>27784</v>
      </c>
      <c r="O2174" s="62" t="s">
        <v>27785</v>
      </c>
      <c r="P2174" s="62" t="s">
        <v>50548</v>
      </c>
      <c r="Q2174" s="62" t="s">
        <v>27786</v>
      </c>
      <c r="R2174" s="62" t="s">
        <v>27787</v>
      </c>
      <c r="S2174" s="62" t="s">
        <v>27788</v>
      </c>
      <c r="U2174" s="62" t="s">
        <v>27789</v>
      </c>
      <c r="V2174" s="62" t="s">
        <v>50555</v>
      </c>
      <c r="W2174" s="62" t="s">
        <v>27790</v>
      </c>
      <c r="X2174" s="62" t="s">
        <v>27791</v>
      </c>
      <c r="Y2174" s="62" t="s">
        <v>27792</v>
      </c>
      <c r="Z2174" s="62" t="s">
        <v>27793</v>
      </c>
      <c r="AA2174" s="62" t="s">
        <v>50562</v>
      </c>
      <c r="AB2174" s="62" t="s">
        <v>27794</v>
      </c>
      <c r="AC2174" s="62" t="s">
        <v>27795</v>
      </c>
      <c r="AD2174" s="62" t="s">
        <v>27796</v>
      </c>
    </row>
    <row r="2175" spans="1:30" x14ac:dyDescent="0.25">
      <c r="A2175" s="62" t="s">
        <v>109</v>
      </c>
      <c r="C2175" s="62" t="s">
        <v>27797</v>
      </c>
      <c r="F2175" s="62" t="s">
        <v>925</v>
      </c>
      <c r="G2175" s="62" t="s">
        <v>50535</v>
      </c>
      <c r="J2175" s="62" t="s">
        <v>27798</v>
      </c>
      <c r="K2175" s="62" t="s">
        <v>50542</v>
      </c>
      <c r="L2175" s="62" t="s">
        <v>27799</v>
      </c>
      <c r="M2175" s="62" t="s">
        <v>27800</v>
      </c>
      <c r="N2175" s="62" t="s">
        <v>27801</v>
      </c>
      <c r="O2175" s="62" t="s">
        <v>27802</v>
      </c>
      <c r="P2175" s="62" t="s">
        <v>50549</v>
      </c>
      <c r="Q2175" s="62" t="s">
        <v>27803</v>
      </c>
      <c r="R2175" s="62" t="s">
        <v>27804</v>
      </c>
      <c r="S2175" s="62" t="s">
        <v>27805</v>
      </c>
      <c r="U2175" s="62" t="s">
        <v>27806</v>
      </c>
      <c r="V2175" s="62" t="s">
        <v>50556</v>
      </c>
      <c r="W2175" s="62" t="s">
        <v>27807</v>
      </c>
      <c r="X2175" s="62" t="s">
        <v>27808</v>
      </c>
      <c r="Y2175" s="62" t="s">
        <v>27809</v>
      </c>
      <c r="Z2175" s="62" t="s">
        <v>27810</v>
      </c>
      <c r="AA2175" s="62" t="s">
        <v>50563</v>
      </c>
      <c r="AB2175" s="62" t="s">
        <v>27811</v>
      </c>
      <c r="AC2175" s="62" t="s">
        <v>27812</v>
      </c>
      <c r="AD2175" s="62" t="s">
        <v>27813</v>
      </c>
    </row>
    <row r="2176" spans="1:30" x14ac:dyDescent="0.25">
      <c r="A2176" s="62" t="s">
        <v>109</v>
      </c>
      <c r="C2176" s="62" t="s">
        <v>27814</v>
      </c>
      <c r="F2176" s="62" t="s">
        <v>985</v>
      </c>
      <c r="G2176" s="62" t="s">
        <v>50536</v>
      </c>
      <c r="J2176" s="62" t="s">
        <v>27815</v>
      </c>
      <c r="K2176" s="62" t="s">
        <v>50543</v>
      </c>
      <c r="L2176" s="62" t="s">
        <v>27816</v>
      </c>
      <c r="M2176" s="62" t="s">
        <v>27817</v>
      </c>
      <c r="N2176" s="62" t="s">
        <v>27818</v>
      </c>
      <c r="O2176" s="62" t="s">
        <v>27819</v>
      </c>
      <c r="P2176" s="62" t="s">
        <v>50550</v>
      </c>
      <c r="Q2176" s="62" t="s">
        <v>27820</v>
      </c>
      <c r="R2176" s="62" t="s">
        <v>27821</v>
      </c>
      <c r="S2176" s="62" t="s">
        <v>27822</v>
      </c>
      <c r="U2176" s="62" t="s">
        <v>27823</v>
      </c>
      <c r="V2176" s="62" t="s">
        <v>50557</v>
      </c>
      <c r="W2176" s="62" t="s">
        <v>27824</v>
      </c>
      <c r="X2176" s="62" t="s">
        <v>27825</v>
      </c>
      <c r="Y2176" s="62" t="s">
        <v>27826</v>
      </c>
      <c r="Z2176" s="62" t="s">
        <v>27827</v>
      </c>
      <c r="AA2176" s="62" t="s">
        <v>50564</v>
      </c>
      <c r="AB2176" s="62" t="s">
        <v>27828</v>
      </c>
      <c r="AC2176" s="62" t="s">
        <v>27829</v>
      </c>
      <c r="AD2176" s="62" t="s">
        <v>27830</v>
      </c>
    </row>
    <row r="2177" spans="1:30" x14ac:dyDescent="0.25">
      <c r="A2177" s="62" t="s">
        <v>109</v>
      </c>
      <c r="C2177" s="62" t="s">
        <v>27831</v>
      </c>
      <c r="F2177" s="62" t="s">
        <v>1266</v>
      </c>
      <c r="G2177" s="62" t="s">
        <v>50537</v>
      </c>
      <c r="J2177" s="62" t="s">
        <v>27832</v>
      </c>
      <c r="K2177" s="62" t="s">
        <v>50544</v>
      </c>
      <c r="L2177" s="62" t="s">
        <v>27833</v>
      </c>
      <c r="M2177" s="62" t="s">
        <v>27834</v>
      </c>
      <c r="N2177" s="62" t="s">
        <v>27835</v>
      </c>
      <c r="O2177" s="62" t="s">
        <v>27836</v>
      </c>
      <c r="P2177" s="62" t="s">
        <v>50551</v>
      </c>
      <c r="Q2177" s="62" t="s">
        <v>27837</v>
      </c>
      <c r="R2177" s="62" t="s">
        <v>27838</v>
      </c>
      <c r="S2177" s="62" t="s">
        <v>27839</v>
      </c>
      <c r="U2177" s="62" t="s">
        <v>27840</v>
      </c>
      <c r="V2177" s="62" t="s">
        <v>50558</v>
      </c>
      <c r="W2177" s="62" t="s">
        <v>27841</v>
      </c>
      <c r="X2177" s="62" t="s">
        <v>27842</v>
      </c>
      <c r="Y2177" s="62" t="s">
        <v>27843</v>
      </c>
      <c r="Z2177" s="62" t="s">
        <v>27844</v>
      </c>
      <c r="AA2177" s="62" t="s">
        <v>50565</v>
      </c>
      <c r="AB2177" s="62" t="s">
        <v>27845</v>
      </c>
      <c r="AC2177" s="62" t="s">
        <v>27846</v>
      </c>
      <c r="AD2177" s="62" t="s">
        <v>27847</v>
      </c>
    </row>
    <row r="2178" spans="1:30" x14ac:dyDescent="0.25">
      <c r="A2178" s="62" t="s">
        <v>109</v>
      </c>
      <c r="C2178" s="62" t="s">
        <v>27848</v>
      </c>
      <c r="F2178" s="62" t="s">
        <v>1277</v>
      </c>
      <c r="G2178" s="62" t="s">
        <v>50538</v>
      </c>
      <c r="J2178" s="62" t="s">
        <v>27849</v>
      </c>
      <c r="K2178" s="62" t="s">
        <v>50545</v>
      </c>
      <c r="L2178" s="62" t="s">
        <v>27850</v>
      </c>
      <c r="M2178" s="62" t="s">
        <v>27851</v>
      </c>
      <c r="N2178" s="62" t="s">
        <v>27852</v>
      </c>
      <c r="O2178" s="62" t="s">
        <v>27853</v>
      </c>
      <c r="P2178" s="62" t="s">
        <v>50552</v>
      </c>
      <c r="Q2178" s="62" t="s">
        <v>27854</v>
      </c>
      <c r="R2178" s="62" t="s">
        <v>27855</v>
      </c>
      <c r="S2178" s="62" t="s">
        <v>27856</v>
      </c>
      <c r="U2178" s="62" t="s">
        <v>27857</v>
      </c>
      <c r="V2178" s="62" t="s">
        <v>50559</v>
      </c>
      <c r="W2178" s="62" t="s">
        <v>27858</v>
      </c>
      <c r="X2178" s="62" t="s">
        <v>27859</v>
      </c>
      <c r="Y2178" s="62" t="s">
        <v>27860</v>
      </c>
      <c r="Z2178" s="62" t="s">
        <v>27861</v>
      </c>
      <c r="AA2178" s="62" t="s">
        <v>50566</v>
      </c>
      <c r="AB2178" s="62" t="s">
        <v>27862</v>
      </c>
      <c r="AC2178" s="62" t="s">
        <v>27863</v>
      </c>
      <c r="AD2178" s="62" t="s">
        <v>27864</v>
      </c>
    </row>
    <row r="2179" spans="1:30" x14ac:dyDescent="0.25">
      <c r="A2179" s="62" t="s">
        <v>109</v>
      </c>
      <c r="C2179" s="62" t="s">
        <v>27763</v>
      </c>
    </row>
    <row r="2180" spans="1:30" x14ac:dyDescent="0.25">
      <c r="A2180" s="62" t="s">
        <v>109</v>
      </c>
      <c r="C2180" s="62" t="s">
        <v>27865</v>
      </c>
      <c r="G2180" s="62" t="s">
        <v>44743</v>
      </c>
      <c r="J2180" s="62" t="s">
        <v>44744</v>
      </c>
      <c r="K2180" s="62" t="s">
        <v>44745</v>
      </c>
      <c r="L2180" s="62" t="s">
        <v>44746</v>
      </c>
      <c r="M2180" s="62" t="s">
        <v>27866</v>
      </c>
      <c r="N2180" s="62" t="s">
        <v>27867</v>
      </c>
      <c r="O2180" s="62" t="s">
        <v>44747</v>
      </c>
      <c r="P2180" s="62" t="s">
        <v>44748</v>
      </c>
      <c r="Q2180" s="62" t="s">
        <v>44749</v>
      </c>
      <c r="R2180" s="62" t="s">
        <v>27868</v>
      </c>
      <c r="S2180" s="62" t="s">
        <v>27869</v>
      </c>
      <c r="U2180" s="62" t="s">
        <v>44750</v>
      </c>
      <c r="V2180" s="62" t="s">
        <v>44751</v>
      </c>
      <c r="W2180" s="62" t="s">
        <v>44752</v>
      </c>
      <c r="X2180" s="62" t="s">
        <v>27870</v>
      </c>
      <c r="Y2180" s="62" t="s">
        <v>27871</v>
      </c>
      <c r="Z2180" s="62" t="s">
        <v>44753</v>
      </c>
      <c r="AA2180" s="62" t="s">
        <v>44754</v>
      </c>
      <c r="AB2180" s="62" t="s">
        <v>44755</v>
      </c>
      <c r="AC2180" s="62" t="s">
        <v>27872</v>
      </c>
      <c r="AD2180" s="62" t="s">
        <v>27873</v>
      </c>
    </row>
    <row r="2181" spans="1:30" x14ac:dyDescent="0.25">
      <c r="A2181" s="62" t="s">
        <v>109</v>
      </c>
    </row>
    <row r="2182" spans="1:30" x14ac:dyDescent="0.25">
      <c r="A2182" s="62" t="s">
        <v>109</v>
      </c>
      <c r="C2182" s="62" t="s">
        <v>44756</v>
      </c>
      <c r="E2182" s="62" t="s">
        <v>35143</v>
      </c>
      <c r="G2182" s="62" t="s">
        <v>44757</v>
      </c>
    </row>
    <row r="2183" spans="1:30" x14ac:dyDescent="0.25">
      <c r="A2183" s="62" t="s">
        <v>109</v>
      </c>
      <c r="C2183" s="62" t="s">
        <v>27874</v>
      </c>
    </row>
    <row r="2184" spans="1:30" x14ac:dyDescent="0.25">
      <c r="A2184" s="62" t="s">
        <v>109</v>
      </c>
      <c r="C2184" s="62" t="s">
        <v>27875</v>
      </c>
      <c r="F2184" s="62" t="s">
        <v>44758</v>
      </c>
      <c r="G2184" s="62" t="s">
        <v>50417</v>
      </c>
      <c r="J2184" s="62" t="s">
        <v>27876</v>
      </c>
      <c r="K2184" s="62" t="s">
        <v>50440</v>
      </c>
      <c r="L2184" s="62" t="s">
        <v>27877</v>
      </c>
      <c r="M2184" s="62" t="s">
        <v>27878</v>
      </c>
      <c r="N2184" s="62" t="s">
        <v>27879</v>
      </c>
      <c r="O2184" s="62" t="s">
        <v>27880</v>
      </c>
      <c r="P2184" s="62" t="s">
        <v>50463</v>
      </c>
      <c r="Q2184" s="62" t="s">
        <v>27881</v>
      </c>
      <c r="R2184" s="62" t="s">
        <v>27882</v>
      </c>
      <c r="S2184" s="62" t="s">
        <v>27883</v>
      </c>
      <c r="U2184" s="62" t="s">
        <v>27884</v>
      </c>
      <c r="V2184" s="62" t="s">
        <v>50486</v>
      </c>
      <c r="W2184" s="62" t="s">
        <v>27885</v>
      </c>
      <c r="X2184" s="62" t="s">
        <v>27886</v>
      </c>
      <c r="Y2184" s="62" t="s">
        <v>27887</v>
      </c>
      <c r="Z2184" s="62" t="s">
        <v>27888</v>
      </c>
      <c r="AA2184" s="62" t="s">
        <v>50509</v>
      </c>
      <c r="AB2184" s="62" t="s">
        <v>27889</v>
      </c>
      <c r="AC2184" s="62" t="s">
        <v>27890</v>
      </c>
      <c r="AD2184" s="62" t="s">
        <v>27891</v>
      </c>
    </row>
    <row r="2185" spans="1:30" x14ac:dyDescent="0.25">
      <c r="A2185" s="62" t="s">
        <v>109</v>
      </c>
      <c r="C2185" s="62" t="s">
        <v>27892</v>
      </c>
      <c r="F2185" s="62" t="s">
        <v>2212</v>
      </c>
      <c r="G2185" s="62" t="s">
        <v>50418</v>
      </c>
      <c r="J2185" s="62" t="s">
        <v>27893</v>
      </c>
      <c r="K2185" s="62" t="s">
        <v>50441</v>
      </c>
      <c r="L2185" s="62" t="s">
        <v>27894</v>
      </c>
      <c r="M2185" s="62" t="s">
        <v>27895</v>
      </c>
      <c r="N2185" s="62" t="s">
        <v>27896</v>
      </c>
      <c r="O2185" s="62" t="s">
        <v>27897</v>
      </c>
      <c r="P2185" s="62" t="s">
        <v>50464</v>
      </c>
      <c r="Q2185" s="62" t="s">
        <v>27898</v>
      </c>
      <c r="R2185" s="62" t="s">
        <v>27899</v>
      </c>
      <c r="S2185" s="62" t="s">
        <v>27900</v>
      </c>
      <c r="U2185" s="62" t="s">
        <v>27901</v>
      </c>
      <c r="V2185" s="62" t="s">
        <v>50487</v>
      </c>
      <c r="W2185" s="62" t="s">
        <v>27902</v>
      </c>
      <c r="X2185" s="62" t="s">
        <v>27903</v>
      </c>
      <c r="Y2185" s="62" t="s">
        <v>27904</v>
      </c>
      <c r="Z2185" s="62" t="s">
        <v>27905</v>
      </c>
      <c r="AA2185" s="62" t="s">
        <v>50510</v>
      </c>
      <c r="AB2185" s="62" t="s">
        <v>27906</v>
      </c>
      <c r="AC2185" s="62" t="s">
        <v>27907</v>
      </c>
      <c r="AD2185" s="62" t="s">
        <v>27908</v>
      </c>
    </row>
    <row r="2186" spans="1:30" x14ac:dyDescent="0.25">
      <c r="A2186" s="62" t="s">
        <v>109</v>
      </c>
      <c r="C2186" s="62" t="s">
        <v>27909</v>
      </c>
      <c r="F2186" s="62" t="s">
        <v>193</v>
      </c>
      <c r="G2186" s="62" t="s">
        <v>50419</v>
      </c>
      <c r="J2186" s="62" t="s">
        <v>27910</v>
      </c>
      <c r="K2186" s="62" t="s">
        <v>50442</v>
      </c>
      <c r="L2186" s="62" t="s">
        <v>27911</v>
      </c>
      <c r="M2186" s="62" t="s">
        <v>27912</v>
      </c>
      <c r="N2186" s="62" t="s">
        <v>27913</v>
      </c>
      <c r="O2186" s="62" t="s">
        <v>27914</v>
      </c>
      <c r="P2186" s="62" t="s">
        <v>50465</v>
      </c>
      <c r="Q2186" s="62" t="s">
        <v>27915</v>
      </c>
      <c r="R2186" s="62" t="s">
        <v>27916</v>
      </c>
      <c r="S2186" s="62" t="s">
        <v>27917</v>
      </c>
      <c r="U2186" s="62" t="s">
        <v>27918</v>
      </c>
      <c r="V2186" s="62" t="s">
        <v>50488</v>
      </c>
      <c r="W2186" s="62" t="s">
        <v>27919</v>
      </c>
      <c r="X2186" s="62" t="s">
        <v>27920</v>
      </c>
      <c r="Y2186" s="62" t="s">
        <v>27921</v>
      </c>
      <c r="Z2186" s="62" t="s">
        <v>27922</v>
      </c>
      <c r="AA2186" s="62" t="s">
        <v>50511</v>
      </c>
      <c r="AB2186" s="62" t="s">
        <v>27923</v>
      </c>
      <c r="AC2186" s="62" t="s">
        <v>27924</v>
      </c>
      <c r="AD2186" s="62" t="s">
        <v>27925</v>
      </c>
    </row>
    <row r="2187" spans="1:30" x14ac:dyDescent="0.25">
      <c r="A2187" s="62" t="s">
        <v>109</v>
      </c>
      <c r="C2187" s="62" t="s">
        <v>27926</v>
      </c>
      <c r="F2187" s="62" t="s">
        <v>2297</v>
      </c>
      <c r="G2187" s="62" t="s">
        <v>50420</v>
      </c>
      <c r="J2187" s="62" t="s">
        <v>27927</v>
      </c>
      <c r="K2187" s="62" t="s">
        <v>50443</v>
      </c>
      <c r="L2187" s="62" t="s">
        <v>27928</v>
      </c>
      <c r="M2187" s="62" t="s">
        <v>27929</v>
      </c>
      <c r="N2187" s="62" t="s">
        <v>27930</v>
      </c>
      <c r="O2187" s="62" t="s">
        <v>27931</v>
      </c>
      <c r="P2187" s="62" t="s">
        <v>50466</v>
      </c>
      <c r="Q2187" s="62" t="s">
        <v>27932</v>
      </c>
      <c r="R2187" s="62" t="s">
        <v>27933</v>
      </c>
      <c r="S2187" s="62" t="s">
        <v>27934</v>
      </c>
      <c r="U2187" s="62" t="s">
        <v>27935</v>
      </c>
      <c r="V2187" s="62" t="s">
        <v>50489</v>
      </c>
      <c r="W2187" s="62" t="s">
        <v>27936</v>
      </c>
      <c r="X2187" s="62" t="s">
        <v>27937</v>
      </c>
      <c r="Y2187" s="62" t="s">
        <v>27938</v>
      </c>
      <c r="Z2187" s="62" t="s">
        <v>27939</v>
      </c>
      <c r="AA2187" s="62" t="s">
        <v>50512</v>
      </c>
      <c r="AB2187" s="62" t="s">
        <v>27940</v>
      </c>
      <c r="AC2187" s="62" t="s">
        <v>27941</v>
      </c>
      <c r="AD2187" s="62" t="s">
        <v>27942</v>
      </c>
    </row>
    <row r="2188" spans="1:30" x14ac:dyDescent="0.25">
      <c r="A2188" s="62" t="s">
        <v>109</v>
      </c>
      <c r="C2188" s="62" t="s">
        <v>27943</v>
      </c>
      <c r="F2188" s="62" t="s">
        <v>12860</v>
      </c>
      <c r="G2188" s="62" t="s">
        <v>50421</v>
      </c>
      <c r="J2188" s="62" t="s">
        <v>27944</v>
      </c>
      <c r="K2188" s="62" t="s">
        <v>50444</v>
      </c>
      <c r="L2188" s="62" t="s">
        <v>27945</v>
      </c>
      <c r="M2188" s="62" t="s">
        <v>27946</v>
      </c>
      <c r="N2188" s="62" t="s">
        <v>27947</v>
      </c>
      <c r="O2188" s="62" t="s">
        <v>27948</v>
      </c>
      <c r="P2188" s="62" t="s">
        <v>50467</v>
      </c>
      <c r="Q2188" s="62" t="s">
        <v>27949</v>
      </c>
      <c r="R2188" s="62" t="s">
        <v>27950</v>
      </c>
      <c r="S2188" s="62" t="s">
        <v>27951</v>
      </c>
      <c r="U2188" s="62" t="s">
        <v>27952</v>
      </c>
      <c r="V2188" s="62" t="s">
        <v>50490</v>
      </c>
      <c r="W2188" s="62" t="s">
        <v>27953</v>
      </c>
      <c r="X2188" s="62" t="s">
        <v>27954</v>
      </c>
      <c r="Y2188" s="62" t="s">
        <v>27955</v>
      </c>
      <c r="Z2188" s="62" t="s">
        <v>27956</v>
      </c>
      <c r="AA2188" s="62" t="s">
        <v>50513</v>
      </c>
      <c r="AB2188" s="62" t="s">
        <v>27957</v>
      </c>
      <c r="AC2188" s="62" t="s">
        <v>27958</v>
      </c>
      <c r="AD2188" s="62" t="s">
        <v>27959</v>
      </c>
    </row>
    <row r="2189" spans="1:30" x14ac:dyDescent="0.25">
      <c r="A2189" s="62" t="s">
        <v>109</v>
      </c>
      <c r="C2189" s="62" t="s">
        <v>27960</v>
      </c>
      <c r="F2189" s="62" t="s">
        <v>10332</v>
      </c>
      <c r="G2189" s="62" t="s">
        <v>50422</v>
      </c>
      <c r="J2189" s="62" t="s">
        <v>27961</v>
      </c>
      <c r="K2189" s="62" t="s">
        <v>50445</v>
      </c>
      <c r="L2189" s="62" t="s">
        <v>27962</v>
      </c>
      <c r="M2189" s="62" t="s">
        <v>27963</v>
      </c>
      <c r="N2189" s="62" t="s">
        <v>27964</v>
      </c>
      <c r="O2189" s="62" t="s">
        <v>27965</v>
      </c>
      <c r="P2189" s="62" t="s">
        <v>50468</v>
      </c>
      <c r="Q2189" s="62" t="s">
        <v>27966</v>
      </c>
      <c r="R2189" s="62" t="s">
        <v>27967</v>
      </c>
      <c r="S2189" s="62" t="s">
        <v>27968</v>
      </c>
      <c r="U2189" s="62" t="s">
        <v>27969</v>
      </c>
      <c r="V2189" s="62" t="s">
        <v>50491</v>
      </c>
      <c r="W2189" s="62" t="s">
        <v>27970</v>
      </c>
      <c r="X2189" s="62" t="s">
        <v>27971</v>
      </c>
      <c r="Y2189" s="62" t="s">
        <v>27972</v>
      </c>
      <c r="Z2189" s="62" t="s">
        <v>27973</v>
      </c>
      <c r="AA2189" s="62" t="s">
        <v>50514</v>
      </c>
      <c r="AB2189" s="62" t="s">
        <v>27974</v>
      </c>
      <c r="AC2189" s="62" t="s">
        <v>27975</v>
      </c>
      <c r="AD2189" s="62" t="s">
        <v>27976</v>
      </c>
    </row>
    <row r="2190" spans="1:30" x14ac:dyDescent="0.25">
      <c r="A2190" s="62" t="s">
        <v>109</v>
      </c>
      <c r="C2190" s="62" t="s">
        <v>27977</v>
      </c>
      <c r="F2190" s="62" t="s">
        <v>10350</v>
      </c>
      <c r="G2190" s="62" t="s">
        <v>50423</v>
      </c>
      <c r="J2190" s="62" t="s">
        <v>27978</v>
      </c>
      <c r="K2190" s="62" t="s">
        <v>50446</v>
      </c>
      <c r="L2190" s="62" t="s">
        <v>27979</v>
      </c>
      <c r="M2190" s="62" t="s">
        <v>27980</v>
      </c>
      <c r="N2190" s="62" t="s">
        <v>27981</v>
      </c>
      <c r="O2190" s="62" t="s">
        <v>27982</v>
      </c>
      <c r="P2190" s="62" t="s">
        <v>50469</v>
      </c>
      <c r="Q2190" s="62" t="s">
        <v>27983</v>
      </c>
      <c r="R2190" s="62" t="s">
        <v>27984</v>
      </c>
      <c r="S2190" s="62" t="s">
        <v>27985</v>
      </c>
      <c r="U2190" s="62" t="s">
        <v>27986</v>
      </c>
      <c r="V2190" s="62" t="s">
        <v>50492</v>
      </c>
      <c r="W2190" s="62" t="s">
        <v>27987</v>
      </c>
      <c r="X2190" s="62" t="s">
        <v>27988</v>
      </c>
      <c r="Y2190" s="62" t="s">
        <v>27989</v>
      </c>
      <c r="Z2190" s="62" t="s">
        <v>27990</v>
      </c>
      <c r="AA2190" s="62" t="s">
        <v>50515</v>
      </c>
      <c r="AB2190" s="62" t="s">
        <v>27991</v>
      </c>
      <c r="AC2190" s="62" t="s">
        <v>27992</v>
      </c>
      <c r="AD2190" s="62" t="s">
        <v>27993</v>
      </c>
    </row>
    <row r="2191" spans="1:30" x14ac:dyDescent="0.25">
      <c r="A2191" s="62" t="s">
        <v>109</v>
      </c>
      <c r="C2191" s="62" t="s">
        <v>27994</v>
      </c>
      <c r="F2191" s="62" t="s">
        <v>10386</v>
      </c>
      <c r="G2191" s="62" t="s">
        <v>50424</v>
      </c>
      <c r="J2191" s="62" t="s">
        <v>27995</v>
      </c>
      <c r="K2191" s="62" t="s">
        <v>50447</v>
      </c>
      <c r="L2191" s="62" t="s">
        <v>27996</v>
      </c>
      <c r="M2191" s="62" t="s">
        <v>27997</v>
      </c>
      <c r="N2191" s="62" t="s">
        <v>27998</v>
      </c>
      <c r="O2191" s="62" t="s">
        <v>27999</v>
      </c>
      <c r="P2191" s="62" t="s">
        <v>50470</v>
      </c>
      <c r="Q2191" s="62" t="s">
        <v>28000</v>
      </c>
      <c r="R2191" s="62" t="s">
        <v>28001</v>
      </c>
      <c r="S2191" s="62" t="s">
        <v>28002</v>
      </c>
      <c r="U2191" s="62" t="s">
        <v>28003</v>
      </c>
      <c r="V2191" s="62" t="s">
        <v>50493</v>
      </c>
      <c r="W2191" s="62" t="s">
        <v>28004</v>
      </c>
      <c r="X2191" s="62" t="s">
        <v>28005</v>
      </c>
      <c r="Y2191" s="62" t="s">
        <v>28006</v>
      </c>
      <c r="Z2191" s="62" t="s">
        <v>28007</v>
      </c>
      <c r="AA2191" s="62" t="s">
        <v>50516</v>
      </c>
      <c r="AB2191" s="62" t="s">
        <v>28008</v>
      </c>
      <c r="AC2191" s="62" t="s">
        <v>28009</v>
      </c>
      <c r="AD2191" s="62" t="s">
        <v>28010</v>
      </c>
    </row>
    <row r="2192" spans="1:30" x14ac:dyDescent="0.25">
      <c r="A2192" s="62" t="s">
        <v>109</v>
      </c>
      <c r="C2192" s="62" t="s">
        <v>28011</v>
      </c>
      <c r="F2192" s="62" t="s">
        <v>15012</v>
      </c>
      <c r="G2192" s="62" t="s">
        <v>50425</v>
      </c>
      <c r="J2192" s="62" t="s">
        <v>28012</v>
      </c>
      <c r="K2192" s="62" t="s">
        <v>50448</v>
      </c>
      <c r="L2192" s="62" t="s">
        <v>28013</v>
      </c>
      <c r="M2192" s="62" t="s">
        <v>28014</v>
      </c>
      <c r="N2192" s="62" t="s">
        <v>28015</v>
      </c>
      <c r="O2192" s="62" t="s">
        <v>28016</v>
      </c>
      <c r="P2192" s="62" t="s">
        <v>50471</v>
      </c>
      <c r="Q2192" s="62" t="s">
        <v>28017</v>
      </c>
      <c r="R2192" s="62" t="s">
        <v>28018</v>
      </c>
      <c r="S2192" s="62" t="s">
        <v>28019</v>
      </c>
      <c r="U2192" s="62" t="s">
        <v>28020</v>
      </c>
      <c r="V2192" s="62" t="s">
        <v>50494</v>
      </c>
      <c r="W2192" s="62" t="s">
        <v>28021</v>
      </c>
      <c r="X2192" s="62" t="s">
        <v>28022</v>
      </c>
      <c r="Y2192" s="62" t="s">
        <v>28023</v>
      </c>
      <c r="Z2192" s="62" t="s">
        <v>28024</v>
      </c>
      <c r="AA2192" s="62" t="s">
        <v>50517</v>
      </c>
      <c r="AB2192" s="62" t="s">
        <v>28025</v>
      </c>
      <c r="AC2192" s="62" t="s">
        <v>28026</v>
      </c>
      <c r="AD2192" s="62" t="s">
        <v>28027</v>
      </c>
    </row>
    <row r="2193" spans="1:30" x14ac:dyDescent="0.25">
      <c r="A2193" s="62" t="s">
        <v>109</v>
      </c>
      <c r="C2193" s="62" t="s">
        <v>28028</v>
      </c>
      <c r="F2193" s="62" t="s">
        <v>10422</v>
      </c>
      <c r="G2193" s="62" t="s">
        <v>50426</v>
      </c>
      <c r="J2193" s="62" t="s">
        <v>28029</v>
      </c>
      <c r="K2193" s="62" t="s">
        <v>50449</v>
      </c>
      <c r="L2193" s="62" t="s">
        <v>28030</v>
      </c>
      <c r="M2193" s="62" t="s">
        <v>28031</v>
      </c>
      <c r="N2193" s="62" t="s">
        <v>28032</v>
      </c>
      <c r="O2193" s="62" t="s">
        <v>28033</v>
      </c>
      <c r="P2193" s="62" t="s">
        <v>50472</v>
      </c>
      <c r="Q2193" s="62" t="s">
        <v>28034</v>
      </c>
      <c r="R2193" s="62" t="s">
        <v>28035</v>
      </c>
      <c r="S2193" s="62" t="s">
        <v>28036</v>
      </c>
      <c r="U2193" s="62" t="s">
        <v>28037</v>
      </c>
      <c r="V2193" s="62" t="s">
        <v>50495</v>
      </c>
      <c r="W2193" s="62" t="s">
        <v>28038</v>
      </c>
      <c r="X2193" s="62" t="s">
        <v>28039</v>
      </c>
      <c r="Y2193" s="62" t="s">
        <v>28040</v>
      </c>
      <c r="Z2193" s="62" t="s">
        <v>28041</v>
      </c>
      <c r="AA2193" s="62" t="s">
        <v>50518</v>
      </c>
      <c r="AB2193" s="62" t="s">
        <v>28042</v>
      </c>
      <c r="AC2193" s="62" t="s">
        <v>28043</v>
      </c>
      <c r="AD2193" s="62" t="s">
        <v>28044</v>
      </c>
    </row>
    <row r="2194" spans="1:30" x14ac:dyDescent="0.25">
      <c r="A2194" s="62" t="s">
        <v>109</v>
      </c>
      <c r="C2194" s="62" t="s">
        <v>28045</v>
      </c>
      <c r="F2194" s="62" t="s">
        <v>1002</v>
      </c>
      <c r="G2194" s="62" t="s">
        <v>50427</v>
      </c>
      <c r="J2194" s="62" t="s">
        <v>28046</v>
      </c>
      <c r="K2194" s="62" t="s">
        <v>50450</v>
      </c>
      <c r="L2194" s="62" t="s">
        <v>28047</v>
      </c>
      <c r="M2194" s="62" t="s">
        <v>28048</v>
      </c>
      <c r="N2194" s="62" t="s">
        <v>28049</v>
      </c>
      <c r="O2194" s="62" t="s">
        <v>28050</v>
      </c>
      <c r="P2194" s="62" t="s">
        <v>50473</v>
      </c>
      <c r="Q2194" s="62" t="s">
        <v>28051</v>
      </c>
      <c r="R2194" s="62" t="s">
        <v>28052</v>
      </c>
      <c r="S2194" s="62" t="s">
        <v>28053</v>
      </c>
      <c r="U2194" s="62" t="s">
        <v>28054</v>
      </c>
      <c r="V2194" s="62" t="s">
        <v>50496</v>
      </c>
      <c r="W2194" s="62" t="s">
        <v>28055</v>
      </c>
      <c r="X2194" s="62" t="s">
        <v>28056</v>
      </c>
      <c r="Y2194" s="62" t="s">
        <v>28057</v>
      </c>
      <c r="Z2194" s="62" t="s">
        <v>28058</v>
      </c>
      <c r="AA2194" s="62" t="s">
        <v>50519</v>
      </c>
      <c r="AB2194" s="62" t="s">
        <v>28059</v>
      </c>
      <c r="AC2194" s="62" t="s">
        <v>28060</v>
      </c>
      <c r="AD2194" s="62" t="s">
        <v>28061</v>
      </c>
    </row>
    <row r="2195" spans="1:30" x14ac:dyDescent="0.25">
      <c r="A2195" s="62" t="s">
        <v>109</v>
      </c>
      <c r="C2195" s="62" t="s">
        <v>28062</v>
      </c>
      <c r="F2195" s="62" t="s">
        <v>1030</v>
      </c>
      <c r="G2195" s="62" t="s">
        <v>50428</v>
      </c>
      <c r="J2195" s="62" t="s">
        <v>28063</v>
      </c>
      <c r="K2195" s="62" t="s">
        <v>50451</v>
      </c>
      <c r="L2195" s="62" t="s">
        <v>28064</v>
      </c>
      <c r="M2195" s="62" t="s">
        <v>28065</v>
      </c>
      <c r="N2195" s="62" t="s">
        <v>28066</v>
      </c>
      <c r="O2195" s="62" t="s">
        <v>28067</v>
      </c>
      <c r="P2195" s="62" t="s">
        <v>50474</v>
      </c>
      <c r="Q2195" s="62" t="s">
        <v>28068</v>
      </c>
      <c r="R2195" s="62" t="s">
        <v>28069</v>
      </c>
      <c r="S2195" s="62" t="s">
        <v>28070</v>
      </c>
      <c r="U2195" s="62" t="s">
        <v>28071</v>
      </c>
      <c r="V2195" s="62" t="s">
        <v>50497</v>
      </c>
      <c r="W2195" s="62" t="s">
        <v>28072</v>
      </c>
      <c r="X2195" s="62" t="s">
        <v>28073</v>
      </c>
      <c r="Y2195" s="62" t="s">
        <v>28074</v>
      </c>
      <c r="Z2195" s="62" t="s">
        <v>28075</v>
      </c>
      <c r="AA2195" s="62" t="s">
        <v>50520</v>
      </c>
      <c r="AB2195" s="62" t="s">
        <v>28076</v>
      </c>
      <c r="AC2195" s="62" t="s">
        <v>28077</v>
      </c>
      <c r="AD2195" s="62" t="s">
        <v>28078</v>
      </c>
    </row>
    <row r="2196" spans="1:30" x14ac:dyDescent="0.25">
      <c r="A2196" s="62" t="s">
        <v>109</v>
      </c>
      <c r="C2196" s="62" t="s">
        <v>28079</v>
      </c>
      <c r="F2196" s="62" t="s">
        <v>1073</v>
      </c>
      <c r="G2196" s="62" t="s">
        <v>50429</v>
      </c>
      <c r="J2196" s="62" t="s">
        <v>28080</v>
      </c>
      <c r="K2196" s="62" t="s">
        <v>50452</v>
      </c>
      <c r="L2196" s="62" t="s">
        <v>28081</v>
      </c>
      <c r="M2196" s="62" t="s">
        <v>28082</v>
      </c>
      <c r="N2196" s="62" t="s">
        <v>28083</v>
      </c>
      <c r="O2196" s="62" t="s">
        <v>28084</v>
      </c>
      <c r="P2196" s="62" t="s">
        <v>50475</v>
      </c>
      <c r="Q2196" s="62" t="s">
        <v>28085</v>
      </c>
      <c r="R2196" s="62" t="s">
        <v>28086</v>
      </c>
      <c r="S2196" s="62" t="s">
        <v>28087</v>
      </c>
      <c r="U2196" s="62" t="s">
        <v>28088</v>
      </c>
      <c r="V2196" s="62" t="s">
        <v>50498</v>
      </c>
      <c r="W2196" s="62" t="s">
        <v>28089</v>
      </c>
      <c r="X2196" s="62" t="s">
        <v>28090</v>
      </c>
      <c r="Y2196" s="62" t="s">
        <v>28091</v>
      </c>
      <c r="Z2196" s="62" t="s">
        <v>28092</v>
      </c>
      <c r="AA2196" s="62" t="s">
        <v>50521</v>
      </c>
      <c r="AB2196" s="62" t="s">
        <v>28093</v>
      </c>
      <c r="AC2196" s="62" t="s">
        <v>28094</v>
      </c>
      <c r="AD2196" s="62" t="s">
        <v>28095</v>
      </c>
    </row>
    <row r="2197" spans="1:30" x14ac:dyDescent="0.25">
      <c r="A2197" s="62" t="s">
        <v>109</v>
      </c>
      <c r="C2197" s="62" t="s">
        <v>28096</v>
      </c>
      <c r="F2197" s="62" t="s">
        <v>1100</v>
      </c>
      <c r="G2197" s="62" t="s">
        <v>50430</v>
      </c>
      <c r="J2197" s="62" t="s">
        <v>28097</v>
      </c>
      <c r="K2197" s="62" t="s">
        <v>50453</v>
      </c>
      <c r="L2197" s="62" t="s">
        <v>28098</v>
      </c>
      <c r="M2197" s="62" t="s">
        <v>28099</v>
      </c>
      <c r="N2197" s="62" t="s">
        <v>28100</v>
      </c>
      <c r="O2197" s="62" t="s">
        <v>28101</v>
      </c>
      <c r="P2197" s="62" t="s">
        <v>50476</v>
      </c>
      <c r="Q2197" s="62" t="s">
        <v>28102</v>
      </c>
      <c r="R2197" s="62" t="s">
        <v>28103</v>
      </c>
      <c r="S2197" s="62" t="s">
        <v>28104</v>
      </c>
      <c r="U2197" s="62" t="s">
        <v>28105</v>
      </c>
      <c r="V2197" s="62" t="s">
        <v>50499</v>
      </c>
      <c r="W2197" s="62" t="s">
        <v>28106</v>
      </c>
      <c r="X2197" s="62" t="s">
        <v>28107</v>
      </c>
      <c r="Y2197" s="62" t="s">
        <v>28108</v>
      </c>
      <c r="Z2197" s="62" t="s">
        <v>28109</v>
      </c>
      <c r="AA2197" s="62" t="s">
        <v>50522</v>
      </c>
      <c r="AB2197" s="62" t="s">
        <v>28110</v>
      </c>
      <c r="AC2197" s="62" t="s">
        <v>28111</v>
      </c>
      <c r="AD2197" s="62" t="s">
        <v>28112</v>
      </c>
    </row>
    <row r="2198" spans="1:30" x14ac:dyDescent="0.25">
      <c r="A2198" s="62" t="s">
        <v>109</v>
      </c>
      <c r="C2198" s="62" t="s">
        <v>28113</v>
      </c>
      <c r="F2198" s="62" t="s">
        <v>10577</v>
      </c>
      <c r="G2198" s="62" t="s">
        <v>50431</v>
      </c>
      <c r="J2198" s="62" t="s">
        <v>28114</v>
      </c>
      <c r="K2198" s="62" t="s">
        <v>50454</v>
      </c>
      <c r="L2198" s="62" t="s">
        <v>28115</v>
      </c>
      <c r="M2198" s="62" t="s">
        <v>28116</v>
      </c>
      <c r="N2198" s="62" t="s">
        <v>28117</v>
      </c>
      <c r="O2198" s="62" t="s">
        <v>28118</v>
      </c>
      <c r="P2198" s="62" t="s">
        <v>50477</v>
      </c>
      <c r="Q2198" s="62" t="s">
        <v>28119</v>
      </c>
      <c r="R2198" s="62" t="s">
        <v>28120</v>
      </c>
      <c r="S2198" s="62" t="s">
        <v>28121</v>
      </c>
      <c r="U2198" s="62" t="s">
        <v>28122</v>
      </c>
      <c r="V2198" s="62" t="s">
        <v>50500</v>
      </c>
      <c r="W2198" s="62" t="s">
        <v>28123</v>
      </c>
      <c r="X2198" s="62" t="s">
        <v>28124</v>
      </c>
      <c r="Y2198" s="62" t="s">
        <v>28125</v>
      </c>
      <c r="Z2198" s="62" t="s">
        <v>28126</v>
      </c>
      <c r="AA2198" s="62" t="s">
        <v>50523</v>
      </c>
      <c r="AB2198" s="62" t="s">
        <v>28127</v>
      </c>
      <c r="AC2198" s="62" t="s">
        <v>28128</v>
      </c>
      <c r="AD2198" s="62" t="s">
        <v>28129</v>
      </c>
    </row>
    <row r="2199" spans="1:30" x14ac:dyDescent="0.25">
      <c r="A2199" s="62" t="s">
        <v>109</v>
      </c>
      <c r="C2199" s="62" t="s">
        <v>28130</v>
      </c>
      <c r="F2199" s="62" t="s">
        <v>10595</v>
      </c>
      <c r="G2199" s="62" t="s">
        <v>50432</v>
      </c>
      <c r="J2199" s="62" t="s">
        <v>28131</v>
      </c>
      <c r="K2199" s="62" t="s">
        <v>50455</v>
      </c>
      <c r="L2199" s="62" t="s">
        <v>28132</v>
      </c>
      <c r="M2199" s="62" t="s">
        <v>28133</v>
      </c>
      <c r="N2199" s="62" t="s">
        <v>28134</v>
      </c>
      <c r="O2199" s="62" t="s">
        <v>28135</v>
      </c>
      <c r="P2199" s="62" t="s">
        <v>50478</v>
      </c>
      <c r="Q2199" s="62" t="s">
        <v>28136</v>
      </c>
      <c r="R2199" s="62" t="s">
        <v>28137</v>
      </c>
      <c r="S2199" s="62" t="s">
        <v>28138</v>
      </c>
      <c r="U2199" s="62" t="s">
        <v>28139</v>
      </c>
      <c r="V2199" s="62" t="s">
        <v>50501</v>
      </c>
      <c r="W2199" s="62" t="s">
        <v>28140</v>
      </c>
      <c r="X2199" s="62" t="s">
        <v>28141</v>
      </c>
      <c r="Y2199" s="62" t="s">
        <v>28142</v>
      </c>
      <c r="Z2199" s="62" t="s">
        <v>28143</v>
      </c>
      <c r="AA2199" s="62" t="s">
        <v>50524</v>
      </c>
      <c r="AB2199" s="62" t="s">
        <v>28144</v>
      </c>
      <c r="AC2199" s="62" t="s">
        <v>28145</v>
      </c>
      <c r="AD2199" s="62" t="s">
        <v>28146</v>
      </c>
    </row>
    <row r="2200" spans="1:30" x14ac:dyDescent="0.25">
      <c r="A2200" s="62" t="s">
        <v>109</v>
      </c>
      <c r="C2200" s="62" t="s">
        <v>44759</v>
      </c>
      <c r="F2200" s="62" t="s">
        <v>10685</v>
      </c>
      <c r="G2200" s="62" t="s">
        <v>50433</v>
      </c>
      <c r="J2200" s="62" t="s">
        <v>44760</v>
      </c>
      <c r="K2200" s="62" t="s">
        <v>50456</v>
      </c>
      <c r="L2200" s="62" t="s">
        <v>44761</v>
      </c>
      <c r="M2200" s="62" t="s">
        <v>44762</v>
      </c>
      <c r="N2200" s="62" t="s">
        <v>44763</v>
      </c>
      <c r="O2200" s="62" t="s">
        <v>44764</v>
      </c>
      <c r="P2200" s="62" t="s">
        <v>50479</v>
      </c>
      <c r="Q2200" s="62" t="s">
        <v>44765</v>
      </c>
      <c r="R2200" s="62" t="s">
        <v>44766</v>
      </c>
      <c r="S2200" s="62" t="s">
        <v>44767</v>
      </c>
      <c r="U2200" s="62" t="s">
        <v>44768</v>
      </c>
      <c r="V2200" s="62" t="s">
        <v>50502</v>
      </c>
      <c r="W2200" s="62" t="s">
        <v>44769</v>
      </c>
      <c r="X2200" s="62" t="s">
        <v>44770</v>
      </c>
      <c r="Y2200" s="62" t="s">
        <v>44771</v>
      </c>
      <c r="Z2200" s="62" t="s">
        <v>44772</v>
      </c>
      <c r="AA2200" s="62" t="s">
        <v>50525</v>
      </c>
      <c r="AB2200" s="62" t="s">
        <v>44773</v>
      </c>
      <c r="AC2200" s="62" t="s">
        <v>44774</v>
      </c>
      <c r="AD2200" s="62" t="s">
        <v>44775</v>
      </c>
    </row>
    <row r="2201" spans="1:30" x14ac:dyDescent="0.25">
      <c r="A2201" s="62" t="s">
        <v>109</v>
      </c>
      <c r="C2201" s="62" t="s">
        <v>28147</v>
      </c>
      <c r="F2201" s="62" t="s">
        <v>10703</v>
      </c>
      <c r="G2201" s="62" t="s">
        <v>50434</v>
      </c>
      <c r="J2201" s="62" t="s">
        <v>44776</v>
      </c>
      <c r="K2201" s="62" t="s">
        <v>50457</v>
      </c>
      <c r="L2201" s="62" t="s">
        <v>44777</v>
      </c>
      <c r="M2201" s="62" t="s">
        <v>28148</v>
      </c>
      <c r="N2201" s="62" t="s">
        <v>28149</v>
      </c>
      <c r="O2201" s="62" t="s">
        <v>44778</v>
      </c>
      <c r="P2201" s="62" t="s">
        <v>50480</v>
      </c>
      <c r="Q2201" s="62" t="s">
        <v>44779</v>
      </c>
      <c r="R2201" s="62" t="s">
        <v>28150</v>
      </c>
      <c r="S2201" s="62" t="s">
        <v>28151</v>
      </c>
      <c r="U2201" s="62" t="s">
        <v>44780</v>
      </c>
      <c r="V2201" s="62" t="s">
        <v>50503</v>
      </c>
      <c r="W2201" s="62" t="s">
        <v>44781</v>
      </c>
      <c r="X2201" s="62" t="s">
        <v>28152</v>
      </c>
      <c r="Y2201" s="62" t="s">
        <v>28153</v>
      </c>
      <c r="Z2201" s="62" t="s">
        <v>44782</v>
      </c>
      <c r="AA2201" s="62" t="s">
        <v>50526</v>
      </c>
      <c r="AB2201" s="62" t="s">
        <v>44783</v>
      </c>
      <c r="AC2201" s="62" t="s">
        <v>28154</v>
      </c>
      <c r="AD2201" s="62" t="s">
        <v>28155</v>
      </c>
    </row>
    <row r="2202" spans="1:30" x14ac:dyDescent="0.25">
      <c r="A2202" s="62" t="s">
        <v>109</v>
      </c>
      <c r="C2202" s="62" t="s">
        <v>44784</v>
      </c>
      <c r="F2202" s="62" t="s">
        <v>10721</v>
      </c>
      <c r="G2202" s="62" t="s">
        <v>50435</v>
      </c>
      <c r="J2202" s="62" t="s">
        <v>44785</v>
      </c>
      <c r="K2202" s="62" t="s">
        <v>50458</v>
      </c>
      <c r="L2202" s="62" t="s">
        <v>44786</v>
      </c>
      <c r="M2202" s="62" t="s">
        <v>44787</v>
      </c>
      <c r="N2202" s="62" t="s">
        <v>44788</v>
      </c>
      <c r="O2202" s="62" t="s">
        <v>44789</v>
      </c>
      <c r="P2202" s="62" t="s">
        <v>50481</v>
      </c>
      <c r="Q2202" s="62" t="s">
        <v>44790</v>
      </c>
      <c r="R2202" s="62" t="s">
        <v>44791</v>
      </c>
      <c r="S2202" s="62" t="s">
        <v>44792</v>
      </c>
      <c r="U2202" s="62" t="s">
        <v>44793</v>
      </c>
      <c r="V2202" s="62" t="s">
        <v>50504</v>
      </c>
      <c r="W2202" s="62" t="s">
        <v>44794</v>
      </c>
      <c r="X2202" s="62" t="s">
        <v>44795</v>
      </c>
      <c r="Y2202" s="62" t="s">
        <v>44796</v>
      </c>
      <c r="Z2202" s="62" t="s">
        <v>44797</v>
      </c>
      <c r="AA2202" s="62" t="s">
        <v>50527</v>
      </c>
      <c r="AB2202" s="62" t="s">
        <v>44798</v>
      </c>
      <c r="AC2202" s="62" t="s">
        <v>44799</v>
      </c>
      <c r="AD2202" s="62" t="s">
        <v>44800</v>
      </c>
    </row>
    <row r="2203" spans="1:30" x14ac:dyDescent="0.25">
      <c r="A2203" s="62" t="s">
        <v>109</v>
      </c>
      <c r="C2203" s="62" t="s">
        <v>44801</v>
      </c>
      <c r="F2203" s="62" t="s">
        <v>13236</v>
      </c>
      <c r="G2203" s="62" t="s">
        <v>50436</v>
      </c>
      <c r="J2203" s="62" t="s">
        <v>44802</v>
      </c>
      <c r="K2203" s="62" t="s">
        <v>50459</v>
      </c>
      <c r="L2203" s="62" t="s">
        <v>44803</v>
      </c>
      <c r="M2203" s="62" t="s">
        <v>44804</v>
      </c>
      <c r="N2203" s="62" t="s">
        <v>44805</v>
      </c>
      <c r="O2203" s="62" t="s">
        <v>44806</v>
      </c>
      <c r="P2203" s="62" t="s">
        <v>50482</v>
      </c>
      <c r="Q2203" s="62" t="s">
        <v>44807</v>
      </c>
      <c r="R2203" s="62" t="s">
        <v>44808</v>
      </c>
      <c r="S2203" s="62" t="s">
        <v>44809</v>
      </c>
      <c r="U2203" s="62" t="s">
        <v>44810</v>
      </c>
      <c r="V2203" s="62" t="s">
        <v>50505</v>
      </c>
      <c r="W2203" s="62" t="s">
        <v>44811</v>
      </c>
      <c r="X2203" s="62" t="s">
        <v>44812</v>
      </c>
      <c r="Y2203" s="62" t="s">
        <v>44813</v>
      </c>
      <c r="Z2203" s="62" t="s">
        <v>44814</v>
      </c>
      <c r="AA2203" s="62" t="s">
        <v>50528</v>
      </c>
      <c r="AB2203" s="62" t="s">
        <v>44815</v>
      </c>
      <c r="AC2203" s="62" t="s">
        <v>44816</v>
      </c>
      <c r="AD2203" s="62" t="s">
        <v>44817</v>
      </c>
    </row>
    <row r="2204" spans="1:30" x14ac:dyDescent="0.25">
      <c r="A2204" s="62" t="s">
        <v>109</v>
      </c>
      <c r="C2204" s="62" t="s">
        <v>28157</v>
      </c>
      <c r="F2204" s="62" t="s">
        <v>1249</v>
      </c>
      <c r="G2204" s="62" t="s">
        <v>50437</v>
      </c>
      <c r="J2204" s="62" t="s">
        <v>44818</v>
      </c>
      <c r="K2204" s="62" t="s">
        <v>50460</v>
      </c>
      <c r="L2204" s="62" t="s">
        <v>44819</v>
      </c>
      <c r="M2204" s="62" t="s">
        <v>44820</v>
      </c>
      <c r="N2204" s="62" t="s">
        <v>44821</v>
      </c>
      <c r="O2204" s="62" t="s">
        <v>44822</v>
      </c>
      <c r="P2204" s="62" t="s">
        <v>50483</v>
      </c>
      <c r="Q2204" s="62" t="s">
        <v>44823</v>
      </c>
      <c r="R2204" s="62" t="s">
        <v>44824</v>
      </c>
      <c r="S2204" s="62" t="s">
        <v>44825</v>
      </c>
      <c r="U2204" s="62" t="s">
        <v>44826</v>
      </c>
      <c r="V2204" s="62" t="s">
        <v>50506</v>
      </c>
      <c r="W2204" s="62" t="s">
        <v>44827</v>
      </c>
      <c r="X2204" s="62" t="s">
        <v>44828</v>
      </c>
      <c r="Y2204" s="62" t="s">
        <v>44829</v>
      </c>
      <c r="Z2204" s="62" t="s">
        <v>44830</v>
      </c>
      <c r="AA2204" s="62" t="s">
        <v>50529</v>
      </c>
      <c r="AB2204" s="62" t="s">
        <v>44831</v>
      </c>
      <c r="AC2204" s="62" t="s">
        <v>44832</v>
      </c>
      <c r="AD2204" s="62" t="s">
        <v>44833</v>
      </c>
    </row>
    <row r="2205" spans="1:30" x14ac:dyDescent="0.25">
      <c r="A2205" s="62" t="s">
        <v>109</v>
      </c>
      <c r="C2205" s="62" t="s">
        <v>28158</v>
      </c>
      <c r="F2205" s="62" t="s">
        <v>1797</v>
      </c>
      <c r="G2205" s="62" t="s">
        <v>50438</v>
      </c>
      <c r="J2205" s="62" t="s">
        <v>28159</v>
      </c>
      <c r="K2205" s="62" t="s">
        <v>50461</v>
      </c>
      <c r="L2205" s="62" t="s">
        <v>28160</v>
      </c>
      <c r="M2205" s="62" t="s">
        <v>28161</v>
      </c>
      <c r="N2205" s="62" t="s">
        <v>28162</v>
      </c>
      <c r="O2205" s="62" t="s">
        <v>28163</v>
      </c>
      <c r="P2205" s="62" t="s">
        <v>50484</v>
      </c>
      <c r="Q2205" s="62" t="s">
        <v>28164</v>
      </c>
      <c r="R2205" s="62" t="s">
        <v>28165</v>
      </c>
      <c r="S2205" s="62" t="s">
        <v>28166</v>
      </c>
      <c r="U2205" s="62" t="s">
        <v>28167</v>
      </c>
      <c r="V2205" s="62" t="s">
        <v>50507</v>
      </c>
      <c r="W2205" s="62" t="s">
        <v>28168</v>
      </c>
      <c r="X2205" s="62" t="s">
        <v>28169</v>
      </c>
      <c r="Y2205" s="62" t="s">
        <v>28170</v>
      </c>
      <c r="Z2205" s="62" t="s">
        <v>28171</v>
      </c>
      <c r="AA2205" s="62" t="s">
        <v>50530</v>
      </c>
      <c r="AB2205" s="62" t="s">
        <v>28172</v>
      </c>
      <c r="AC2205" s="62" t="s">
        <v>28173</v>
      </c>
      <c r="AD2205" s="62" t="s">
        <v>28174</v>
      </c>
    </row>
    <row r="2206" spans="1:30" x14ac:dyDescent="0.25">
      <c r="A2206" s="62" t="s">
        <v>109</v>
      </c>
      <c r="C2206" s="62" t="s">
        <v>28175</v>
      </c>
      <c r="F2206" s="62" t="s">
        <v>10925</v>
      </c>
      <c r="G2206" s="62" t="s">
        <v>50439</v>
      </c>
      <c r="J2206" s="62" t="s">
        <v>28176</v>
      </c>
      <c r="K2206" s="62" t="s">
        <v>50462</v>
      </c>
      <c r="L2206" s="62" t="s">
        <v>28177</v>
      </c>
      <c r="M2206" s="62" t="s">
        <v>28178</v>
      </c>
      <c r="N2206" s="62" t="s">
        <v>28179</v>
      </c>
      <c r="O2206" s="62" t="s">
        <v>28180</v>
      </c>
      <c r="P2206" s="62" t="s">
        <v>50485</v>
      </c>
      <c r="Q2206" s="62" t="s">
        <v>28181</v>
      </c>
      <c r="R2206" s="62" t="s">
        <v>28182</v>
      </c>
      <c r="S2206" s="62" t="s">
        <v>28183</v>
      </c>
      <c r="U2206" s="62" t="s">
        <v>28184</v>
      </c>
      <c r="V2206" s="62" t="s">
        <v>50508</v>
      </c>
      <c r="W2206" s="62" t="s">
        <v>28185</v>
      </c>
      <c r="X2206" s="62" t="s">
        <v>28186</v>
      </c>
      <c r="Y2206" s="62" t="s">
        <v>28187</v>
      </c>
      <c r="Z2206" s="62" t="s">
        <v>28188</v>
      </c>
      <c r="AA2206" s="62" t="s">
        <v>50531</v>
      </c>
      <c r="AB2206" s="62" t="s">
        <v>28189</v>
      </c>
      <c r="AC2206" s="62" t="s">
        <v>28190</v>
      </c>
      <c r="AD2206" s="62" t="s">
        <v>28191</v>
      </c>
    </row>
    <row r="2207" spans="1:30" x14ac:dyDescent="0.25">
      <c r="A2207" s="62" t="s">
        <v>109</v>
      </c>
      <c r="C2207" s="62" t="s">
        <v>27892</v>
      </c>
    </row>
    <row r="2208" spans="1:30" x14ac:dyDescent="0.25">
      <c r="A2208" s="62" t="s">
        <v>109</v>
      </c>
      <c r="C2208" s="62" t="s">
        <v>28192</v>
      </c>
      <c r="G2208" s="62" t="s">
        <v>44834</v>
      </c>
      <c r="J2208" s="62" t="s">
        <v>44835</v>
      </c>
      <c r="K2208" s="62" t="s">
        <v>44836</v>
      </c>
      <c r="L2208" s="62" t="s">
        <v>44837</v>
      </c>
      <c r="M2208" s="62" t="s">
        <v>28193</v>
      </c>
      <c r="N2208" s="62" t="s">
        <v>28194</v>
      </c>
      <c r="O2208" s="62" t="s">
        <v>44838</v>
      </c>
      <c r="P2208" s="62" t="s">
        <v>44839</v>
      </c>
      <c r="Q2208" s="62" t="s">
        <v>44840</v>
      </c>
      <c r="R2208" s="62" t="s">
        <v>28195</v>
      </c>
      <c r="S2208" s="62" t="s">
        <v>28196</v>
      </c>
      <c r="U2208" s="62" t="s">
        <v>44841</v>
      </c>
      <c r="V2208" s="62" t="s">
        <v>44842</v>
      </c>
      <c r="W2208" s="62" t="s">
        <v>44843</v>
      </c>
      <c r="X2208" s="62" t="s">
        <v>28197</v>
      </c>
      <c r="Y2208" s="62" t="s">
        <v>28198</v>
      </c>
      <c r="Z2208" s="62" t="s">
        <v>44844</v>
      </c>
      <c r="AA2208" s="62" t="s">
        <v>44845</v>
      </c>
      <c r="AB2208" s="62" t="s">
        <v>44846</v>
      </c>
      <c r="AC2208" s="62" t="s">
        <v>28199</v>
      </c>
      <c r="AD2208" s="62" t="s">
        <v>28200</v>
      </c>
    </row>
    <row r="2209" spans="1:30" x14ac:dyDescent="0.25">
      <c r="A2209" s="62" t="s">
        <v>109</v>
      </c>
    </row>
    <row r="2210" spans="1:30" x14ac:dyDescent="0.25">
      <c r="A2210" s="62" t="s">
        <v>109</v>
      </c>
      <c r="C2210" s="62" t="s">
        <v>44847</v>
      </c>
      <c r="E2210" s="62" t="s">
        <v>35750</v>
      </c>
      <c r="G2210" s="62" t="s">
        <v>44848</v>
      </c>
    </row>
    <row r="2211" spans="1:30" x14ac:dyDescent="0.25">
      <c r="A2211" s="62" t="s">
        <v>109</v>
      </c>
      <c r="C2211" s="62" t="s">
        <v>28201</v>
      </c>
    </row>
    <row r="2212" spans="1:30" x14ac:dyDescent="0.25">
      <c r="A2212" s="62" t="s">
        <v>109</v>
      </c>
      <c r="C2212" s="62" t="s">
        <v>28202</v>
      </c>
      <c r="F2212" s="62" t="s">
        <v>44849</v>
      </c>
      <c r="G2212" s="62" t="s">
        <v>50347</v>
      </c>
      <c r="J2212" s="62" t="s">
        <v>28203</v>
      </c>
      <c r="K2212" s="62" t="s">
        <v>50361</v>
      </c>
      <c r="L2212" s="62" t="s">
        <v>28204</v>
      </c>
      <c r="M2212" s="62" t="s">
        <v>28205</v>
      </c>
      <c r="N2212" s="62" t="s">
        <v>28206</v>
      </c>
      <c r="O2212" s="62" t="s">
        <v>28207</v>
      </c>
      <c r="P2212" s="62" t="s">
        <v>50375</v>
      </c>
      <c r="Q2212" s="62" t="s">
        <v>28208</v>
      </c>
      <c r="R2212" s="62" t="s">
        <v>28209</v>
      </c>
      <c r="S2212" s="62" t="s">
        <v>28210</v>
      </c>
      <c r="U2212" s="62" t="s">
        <v>28211</v>
      </c>
      <c r="V2212" s="62" t="s">
        <v>50389</v>
      </c>
      <c r="W2212" s="62" t="s">
        <v>28212</v>
      </c>
      <c r="X2212" s="62" t="s">
        <v>28213</v>
      </c>
      <c r="Y2212" s="62" t="s">
        <v>28214</v>
      </c>
      <c r="Z2212" s="62" t="s">
        <v>28215</v>
      </c>
      <c r="AA2212" s="62" t="s">
        <v>50403</v>
      </c>
      <c r="AB2212" s="62" t="s">
        <v>28216</v>
      </c>
      <c r="AC2212" s="62" t="s">
        <v>28217</v>
      </c>
      <c r="AD2212" s="62" t="s">
        <v>28218</v>
      </c>
    </row>
    <row r="2213" spans="1:30" x14ac:dyDescent="0.25">
      <c r="A2213" s="62" t="s">
        <v>109</v>
      </c>
      <c r="C2213" s="62" t="s">
        <v>28219</v>
      </c>
      <c r="F2213" s="62" t="s">
        <v>10282</v>
      </c>
      <c r="G2213" s="62" t="s">
        <v>50348</v>
      </c>
      <c r="J2213" s="62" t="s">
        <v>28220</v>
      </c>
      <c r="K2213" s="62" t="s">
        <v>50362</v>
      </c>
      <c r="L2213" s="62" t="s">
        <v>28221</v>
      </c>
      <c r="M2213" s="62" t="s">
        <v>28222</v>
      </c>
      <c r="N2213" s="62" t="s">
        <v>28223</v>
      </c>
      <c r="O2213" s="62" t="s">
        <v>28224</v>
      </c>
      <c r="P2213" s="62" t="s">
        <v>50376</v>
      </c>
      <c r="Q2213" s="62" t="s">
        <v>28225</v>
      </c>
      <c r="R2213" s="62" t="s">
        <v>28226</v>
      </c>
      <c r="S2213" s="62" t="s">
        <v>28227</v>
      </c>
      <c r="U2213" s="62" t="s">
        <v>28228</v>
      </c>
      <c r="V2213" s="62" t="s">
        <v>50390</v>
      </c>
      <c r="W2213" s="62" t="s">
        <v>28229</v>
      </c>
      <c r="X2213" s="62" t="s">
        <v>28230</v>
      </c>
      <c r="Y2213" s="62" t="s">
        <v>28231</v>
      </c>
      <c r="Z2213" s="62" t="s">
        <v>28232</v>
      </c>
      <c r="AA2213" s="62" t="s">
        <v>50404</v>
      </c>
      <c r="AB2213" s="62" t="s">
        <v>28233</v>
      </c>
      <c r="AC2213" s="62" t="s">
        <v>28234</v>
      </c>
      <c r="AD2213" s="62" t="s">
        <v>28235</v>
      </c>
    </row>
    <row r="2214" spans="1:30" x14ac:dyDescent="0.25">
      <c r="A2214" s="62" t="s">
        <v>109</v>
      </c>
      <c r="C2214" s="62" t="s">
        <v>28236</v>
      </c>
      <c r="F2214" s="62" t="s">
        <v>340</v>
      </c>
      <c r="G2214" s="62" t="s">
        <v>50349</v>
      </c>
      <c r="J2214" s="62" t="s">
        <v>28237</v>
      </c>
      <c r="K2214" s="62" t="s">
        <v>50363</v>
      </c>
      <c r="L2214" s="62" t="s">
        <v>28238</v>
      </c>
      <c r="M2214" s="62" t="s">
        <v>28239</v>
      </c>
      <c r="N2214" s="62" t="s">
        <v>28240</v>
      </c>
      <c r="O2214" s="62" t="s">
        <v>28241</v>
      </c>
      <c r="P2214" s="62" t="s">
        <v>50377</v>
      </c>
      <c r="Q2214" s="62" t="s">
        <v>28242</v>
      </c>
      <c r="R2214" s="62" t="s">
        <v>28243</v>
      </c>
      <c r="S2214" s="62" t="s">
        <v>28244</v>
      </c>
      <c r="U2214" s="62" t="s">
        <v>28245</v>
      </c>
      <c r="V2214" s="62" t="s">
        <v>50391</v>
      </c>
      <c r="W2214" s="62" t="s">
        <v>28246</v>
      </c>
      <c r="X2214" s="62" t="s">
        <v>28247</v>
      </c>
      <c r="Y2214" s="62" t="s">
        <v>28248</v>
      </c>
      <c r="Z2214" s="62" t="s">
        <v>28249</v>
      </c>
      <c r="AA2214" s="62" t="s">
        <v>50405</v>
      </c>
      <c r="AB2214" s="62" t="s">
        <v>28250</v>
      </c>
      <c r="AC2214" s="62" t="s">
        <v>28251</v>
      </c>
      <c r="AD2214" s="62" t="s">
        <v>28252</v>
      </c>
    </row>
    <row r="2215" spans="1:30" x14ac:dyDescent="0.25">
      <c r="A2215" s="62" t="s">
        <v>109</v>
      </c>
      <c r="C2215" s="62" t="s">
        <v>28253</v>
      </c>
      <c r="F2215" s="62" t="s">
        <v>10314</v>
      </c>
      <c r="G2215" s="62" t="s">
        <v>50350</v>
      </c>
      <c r="J2215" s="62" t="s">
        <v>28254</v>
      </c>
      <c r="K2215" s="62" t="s">
        <v>50364</v>
      </c>
      <c r="L2215" s="62" t="s">
        <v>28255</v>
      </c>
      <c r="M2215" s="62" t="s">
        <v>28256</v>
      </c>
      <c r="N2215" s="62" t="s">
        <v>28257</v>
      </c>
      <c r="O2215" s="62" t="s">
        <v>28258</v>
      </c>
      <c r="P2215" s="62" t="s">
        <v>50378</v>
      </c>
      <c r="Q2215" s="62" t="s">
        <v>28259</v>
      </c>
      <c r="R2215" s="62" t="s">
        <v>28260</v>
      </c>
      <c r="S2215" s="62" t="s">
        <v>28261</v>
      </c>
      <c r="U2215" s="62" t="s">
        <v>28262</v>
      </c>
      <c r="V2215" s="62" t="s">
        <v>50392</v>
      </c>
      <c r="W2215" s="62" t="s">
        <v>28263</v>
      </c>
      <c r="X2215" s="62" t="s">
        <v>28264</v>
      </c>
      <c r="Y2215" s="62" t="s">
        <v>28265</v>
      </c>
      <c r="Z2215" s="62" t="s">
        <v>28266</v>
      </c>
      <c r="AA2215" s="62" t="s">
        <v>50406</v>
      </c>
      <c r="AB2215" s="62" t="s">
        <v>28267</v>
      </c>
      <c r="AC2215" s="62" t="s">
        <v>28268</v>
      </c>
      <c r="AD2215" s="62" t="s">
        <v>28269</v>
      </c>
    </row>
    <row r="2216" spans="1:30" x14ac:dyDescent="0.25">
      <c r="A2216" s="62" t="s">
        <v>109</v>
      </c>
      <c r="C2216" s="62" t="s">
        <v>28270</v>
      </c>
      <c r="F2216" s="62" t="s">
        <v>10386</v>
      </c>
      <c r="G2216" s="62" t="s">
        <v>50351</v>
      </c>
      <c r="J2216" s="62" t="s">
        <v>28271</v>
      </c>
      <c r="K2216" s="62" t="s">
        <v>50365</v>
      </c>
      <c r="L2216" s="62" t="s">
        <v>28272</v>
      </c>
      <c r="M2216" s="62" t="s">
        <v>28273</v>
      </c>
      <c r="N2216" s="62" t="s">
        <v>28274</v>
      </c>
      <c r="O2216" s="62" t="s">
        <v>28275</v>
      </c>
      <c r="P2216" s="62" t="s">
        <v>50379</v>
      </c>
      <c r="Q2216" s="62" t="s">
        <v>28276</v>
      </c>
      <c r="R2216" s="62" t="s">
        <v>28277</v>
      </c>
      <c r="S2216" s="62" t="s">
        <v>28278</v>
      </c>
      <c r="U2216" s="62" t="s">
        <v>28279</v>
      </c>
      <c r="V2216" s="62" t="s">
        <v>50393</v>
      </c>
      <c r="W2216" s="62" t="s">
        <v>28280</v>
      </c>
      <c r="X2216" s="62" t="s">
        <v>28281</v>
      </c>
      <c r="Y2216" s="62" t="s">
        <v>28282</v>
      </c>
      <c r="Z2216" s="62" t="s">
        <v>28283</v>
      </c>
      <c r="AA2216" s="62" t="s">
        <v>50407</v>
      </c>
      <c r="AB2216" s="62" t="s">
        <v>28284</v>
      </c>
      <c r="AC2216" s="62" t="s">
        <v>28285</v>
      </c>
      <c r="AD2216" s="62" t="s">
        <v>28286</v>
      </c>
    </row>
    <row r="2217" spans="1:30" x14ac:dyDescent="0.25">
      <c r="A2217" s="62" t="s">
        <v>109</v>
      </c>
      <c r="C2217" s="62" t="s">
        <v>28287</v>
      </c>
      <c r="F2217" s="62" t="s">
        <v>1100</v>
      </c>
      <c r="G2217" s="62" t="s">
        <v>50352</v>
      </c>
      <c r="J2217" s="62" t="s">
        <v>28288</v>
      </c>
      <c r="K2217" s="62" t="s">
        <v>50366</v>
      </c>
      <c r="L2217" s="62" t="s">
        <v>28289</v>
      </c>
      <c r="M2217" s="62" t="s">
        <v>28290</v>
      </c>
      <c r="N2217" s="62" t="s">
        <v>28291</v>
      </c>
      <c r="O2217" s="62" t="s">
        <v>28292</v>
      </c>
      <c r="P2217" s="62" t="s">
        <v>50380</v>
      </c>
      <c r="Q2217" s="62" t="s">
        <v>28293</v>
      </c>
      <c r="R2217" s="62" t="s">
        <v>28294</v>
      </c>
      <c r="S2217" s="62" t="s">
        <v>28295</v>
      </c>
      <c r="U2217" s="62" t="s">
        <v>28296</v>
      </c>
      <c r="V2217" s="62" t="s">
        <v>50394</v>
      </c>
      <c r="W2217" s="62" t="s">
        <v>28297</v>
      </c>
      <c r="X2217" s="62" t="s">
        <v>28298</v>
      </c>
      <c r="Y2217" s="62" t="s">
        <v>28299</v>
      </c>
      <c r="Z2217" s="62" t="s">
        <v>28300</v>
      </c>
      <c r="AA2217" s="62" t="s">
        <v>50408</v>
      </c>
      <c r="AB2217" s="62" t="s">
        <v>28301</v>
      </c>
      <c r="AC2217" s="62" t="s">
        <v>28302</v>
      </c>
      <c r="AD2217" s="62" t="s">
        <v>28303</v>
      </c>
    </row>
    <row r="2218" spans="1:30" x14ac:dyDescent="0.25">
      <c r="A2218" s="62" t="s">
        <v>109</v>
      </c>
      <c r="C2218" s="62" t="s">
        <v>28304</v>
      </c>
      <c r="F2218" s="62" t="s">
        <v>2355</v>
      </c>
      <c r="G2218" s="62" t="s">
        <v>50353</v>
      </c>
      <c r="J2218" s="62" t="s">
        <v>28305</v>
      </c>
      <c r="K2218" s="62" t="s">
        <v>50367</v>
      </c>
      <c r="L2218" s="62" t="s">
        <v>28306</v>
      </c>
      <c r="M2218" s="62" t="s">
        <v>28307</v>
      </c>
      <c r="N2218" s="62" t="s">
        <v>28308</v>
      </c>
      <c r="O2218" s="62" t="s">
        <v>28309</v>
      </c>
      <c r="P2218" s="62" t="s">
        <v>50381</v>
      </c>
      <c r="Q2218" s="62" t="s">
        <v>28310</v>
      </c>
      <c r="R2218" s="62" t="s">
        <v>28311</v>
      </c>
      <c r="S2218" s="62" t="s">
        <v>28312</v>
      </c>
      <c r="U2218" s="62" t="s">
        <v>28313</v>
      </c>
      <c r="V2218" s="62" t="s">
        <v>50395</v>
      </c>
      <c r="W2218" s="62" t="s">
        <v>28314</v>
      </c>
      <c r="X2218" s="62" t="s">
        <v>28315</v>
      </c>
      <c r="Y2218" s="62" t="s">
        <v>28316</v>
      </c>
      <c r="Z2218" s="62" t="s">
        <v>28317</v>
      </c>
      <c r="AA2218" s="62" t="s">
        <v>50409</v>
      </c>
      <c r="AB2218" s="62" t="s">
        <v>28318</v>
      </c>
      <c r="AC2218" s="62" t="s">
        <v>28319</v>
      </c>
      <c r="AD2218" s="62" t="s">
        <v>28320</v>
      </c>
    </row>
    <row r="2219" spans="1:30" x14ac:dyDescent="0.25">
      <c r="A2219" s="62" t="s">
        <v>109</v>
      </c>
      <c r="C2219" s="62" t="s">
        <v>28321</v>
      </c>
      <c r="F2219" s="62" t="s">
        <v>10667</v>
      </c>
      <c r="G2219" s="62" t="s">
        <v>50354</v>
      </c>
      <c r="J2219" s="62" t="s">
        <v>28322</v>
      </c>
      <c r="K2219" s="62" t="s">
        <v>50368</v>
      </c>
      <c r="L2219" s="62" t="s">
        <v>28323</v>
      </c>
      <c r="M2219" s="62" t="s">
        <v>28324</v>
      </c>
      <c r="N2219" s="62" t="s">
        <v>28325</v>
      </c>
      <c r="O2219" s="62" t="s">
        <v>28326</v>
      </c>
      <c r="P2219" s="62" t="s">
        <v>50382</v>
      </c>
      <c r="Q2219" s="62" t="s">
        <v>28327</v>
      </c>
      <c r="R2219" s="62" t="s">
        <v>28328</v>
      </c>
      <c r="S2219" s="62" t="s">
        <v>28329</v>
      </c>
      <c r="U2219" s="62" t="s">
        <v>28330</v>
      </c>
      <c r="V2219" s="62" t="s">
        <v>50396</v>
      </c>
      <c r="W2219" s="62" t="s">
        <v>28331</v>
      </c>
      <c r="X2219" s="62" t="s">
        <v>28332</v>
      </c>
      <c r="Y2219" s="62" t="s">
        <v>28333</v>
      </c>
      <c r="Z2219" s="62" t="s">
        <v>28334</v>
      </c>
      <c r="AA2219" s="62" t="s">
        <v>50410</v>
      </c>
      <c r="AB2219" s="62" t="s">
        <v>28335</v>
      </c>
      <c r="AC2219" s="62" t="s">
        <v>28336</v>
      </c>
      <c r="AD2219" s="62" t="s">
        <v>28337</v>
      </c>
    </row>
    <row r="2220" spans="1:30" x14ac:dyDescent="0.25">
      <c r="A2220" s="62" t="s">
        <v>109</v>
      </c>
      <c r="C2220" s="62" t="s">
        <v>28338</v>
      </c>
      <c r="F2220" s="62" t="s">
        <v>13236</v>
      </c>
      <c r="G2220" s="62" t="s">
        <v>50355</v>
      </c>
      <c r="J2220" s="62" t="s">
        <v>28339</v>
      </c>
      <c r="K2220" s="62" t="s">
        <v>50369</v>
      </c>
      <c r="L2220" s="62" t="s">
        <v>28340</v>
      </c>
      <c r="M2220" s="62" t="s">
        <v>28341</v>
      </c>
      <c r="N2220" s="62" t="s">
        <v>28342</v>
      </c>
      <c r="O2220" s="62" t="s">
        <v>28343</v>
      </c>
      <c r="P2220" s="62" t="s">
        <v>50383</v>
      </c>
      <c r="Q2220" s="62" t="s">
        <v>28344</v>
      </c>
      <c r="R2220" s="62" t="s">
        <v>28345</v>
      </c>
      <c r="S2220" s="62" t="s">
        <v>28346</v>
      </c>
      <c r="U2220" s="62" t="s">
        <v>28347</v>
      </c>
      <c r="V2220" s="62" t="s">
        <v>50397</v>
      </c>
      <c r="W2220" s="62" t="s">
        <v>28348</v>
      </c>
      <c r="X2220" s="62" t="s">
        <v>28349</v>
      </c>
      <c r="Y2220" s="62" t="s">
        <v>28350</v>
      </c>
      <c r="Z2220" s="62" t="s">
        <v>28351</v>
      </c>
      <c r="AA2220" s="62" t="s">
        <v>50411</v>
      </c>
      <c r="AB2220" s="62" t="s">
        <v>28352</v>
      </c>
      <c r="AC2220" s="62" t="s">
        <v>28353</v>
      </c>
      <c r="AD2220" s="62" t="s">
        <v>28354</v>
      </c>
    </row>
    <row r="2221" spans="1:30" x14ac:dyDescent="0.25">
      <c r="A2221" s="62" t="s">
        <v>109</v>
      </c>
      <c r="C2221" s="62" t="s">
        <v>28355</v>
      </c>
      <c r="F2221" s="62" t="s">
        <v>13238</v>
      </c>
      <c r="G2221" s="62" t="s">
        <v>50356</v>
      </c>
      <c r="J2221" s="62" t="s">
        <v>28356</v>
      </c>
      <c r="K2221" s="62" t="s">
        <v>50370</v>
      </c>
      <c r="L2221" s="62" t="s">
        <v>28357</v>
      </c>
      <c r="M2221" s="62" t="s">
        <v>28358</v>
      </c>
      <c r="N2221" s="62" t="s">
        <v>28359</v>
      </c>
      <c r="O2221" s="62" t="s">
        <v>28360</v>
      </c>
      <c r="P2221" s="62" t="s">
        <v>50384</v>
      </c>
      <c r="Q2221" s="62" t="s">
        <v>28361</v>
      </c>
      <c r="R2221" s="62" t="s">
        <v>28362</v>
      </c>
      <c r="S2221" s="62" t="s">
        <v>28363</v>
      </c>
      <c r="U2221" s="62" t="s">
        <v>28364</v>
      </c>
      <c r="V2221" s="62" t="s">
        <v>50398</v>
      </c>
      <c r="W2221" s="62" t="s">
        <v>28365</v>
      </c>
      <c r="X2221" s="62" t="s">
        <v>28366</v>
      </c>
      <c r="Y2221" s="62" t="s">
        <v>28367</v>
      </c>
      <c r="Z2221" s="62" t="s">
        <v>28368</v>
      </c>
      <c r="AA2221" s="62" t="s">
        <v>50412</v>
      </c>
      <c r="AB2221" s="62" t="s">
        <v>28369</v>
      </c>
      <c r="AC2221" s="62" t="s">
        <v>28370</v>
      </c>
      <c r="AD2221" s="62" t="s">
        <v>28371</v>
      </c>
    </row>
    <row r="2222" spans="1:30" x14ac:dyDescent="0.25">
      <c r="A2222" s="62" t="s">
        <v>109</v>
      </c>
      <c r="C2222" s="62" t="s">
        <v>28372</v>
      </c>
      <c r="F2222" s="62" t="s">
        <v>1299</v>
      </c>
      <c r="G2222" s="62" t="s">
        <v>50357</v>
      </c>
      <c r="J2222" s="62" t="s">
        <v>28373</v>
      </c>
      <c r="K2222" s="62" t="s">
        <v>50371</v>
      </c>
      <c r="L2222" s="62" t="s">
        <v>28374</v>
      </c>
      <c r="M2222" s="62" t="s">
        <v>28375</v>
      </c>
      <c r="N2222" s="62" t="s">
        <v>28376</v>
      </c>
      <c r="O2222" s="62" t="s">
        <v>28377</v>
      </c>
      <c r="P2222" s="62" t="s">
        <v>50385</v>
      </c>
      <c r="Q2222" s="62" t="s">
        <v>28378</v>
      </c>
      <c r="R2222" s="62" t="s">
        <v>28379</v>
      </c>
      <c r="S2222" s="62" t="s">
        <v>28380</v>
      </c>
      <c r="U2222" s="62" t="s">
        <v>28381</v>
      </c>
      <c r="V2222" s="62" t="s">
        <v>50399</v>
      </c>
      <c r="W2222" s="62" t="s">
        <v>28382</v>
      </c>
      <c r="X2222" s="62" t="s">
        <v>28383</v>
      </c>
      <c r="Y2222" s="62" t="s">
        <v>28384</v>
      </c>
      <c r="Z2222" s="62" t="s">
        <v>28385</v>
      </c>
      <c r="AA2222" s="62" t="s">
        <v>50413</v>
      </c>
      <c r="AB2222" s="62" t="s">
        <v>28386</v>
      </c>
      <c r="AC2222" s="62" t="s">
        <v>28387</v>
      </c>
      <c r="AD2222" s="62" t="s">
        <v>28388</v>
      </c>
    </row>
    <row r="2223" spans="1:30" x14ac:dyDescent="0.25">
      <c r="A2223" s="62" t="s">
        <v>109</v>
      </c>
      <c r="C2223" s="62" t="s">
        <v>28389</v>
      </c>
      <c r="F2223" s="62" t="s">
        <v>10925</v>
      </c>
      <c r="G2223" s="62" t="s">
        <v>50358</v>
      </c>
      <c r="J2223" s="62" t="s">
        <v>28390</v>
      </c>
      <c r="K2223" s="62" t="s">
        <v>50372</v>
      </c>
      <c r="L2223" s="62" t="s">
        <v>28391</v>
      </c>
      <c r="M2223" s="62" t="s">
        <v>28392</v>
      </c>
      <c r="N2223" s="62" t="s">
        <v>28393</v>
      </c>
      <c r="O2223" s="62" t="s">
        <v>28394</v>
      </c>
      <c r="P2223" s="62" t="s">
        <v>50386</v>
      </c>
      <c r="Q2223" s="62" t="s">
        <v>28395</v>
      </c>
      <c r="R2223" s="62" t="s">
        <v>28396</v>
      </c>
      <c r="S2223" s="62" t="s">
        <v>28397</v>
      </c>
      <c r="U2223" s="62" t="s">
        <v>28398</v>
      </c>
      <c r="V2223" s="62" t="s">
        <v>50400</v>
      </c>
      <c r="W2223" s="62" t="s">
        <v>28399</v>
      </c>
      <c r="X2223" s="62" t="s">
        <v>28400</v>
      </c>
      <c r="Y2223" s="62" t="s">
        <v>28401</v>
      </c>
      <c r="Z2223" s="62" t="s">
        <v>28402</v>
      </c>
      <c r="AA2223" s="62" t="s">
        <v>50414</v>
      </c>
      <c r="AB2223" s="62" t="s">
        <v>28403</v>
      </c>
      <c r="AC2223" s="62" t="s">
        <v>28404</v>
      </c>
      <c r="AD2223" s="62" t="s">
        <v>28405</v>
      </c>
    </row>
    <row r="2224" spans="1:30" x14ac:dyDescent="0.25">
      <c r="A2224" s="62" t="s">
        <v>109</v>
      </c>
      <c r="C2224" s="62" t="s">
        <v>28406</v>
      </c>
      <c r="F2224" s="62" t="s">
        <v>10927</v>
      </c>
      <c r="G2224" s="62" t="s">
        <v>50359</v>
      </c>
      <c r="J2224" s="62" t="s">
        <v>28407</v>
      </c>
      <c r="K2224" s="62" t="s">
        <v>50373</v>
      </c>
      <c r="L2224" s="62" t="s">
        <v>28408</v>
      </c>
      <c r="M2224" s="62" t="s">
        <v>28409</v>
      </c>
      <c r="N2224" s="62" t="s">
        <v>28410</v>
      </c>
      <c r="O2224" s="62" t="s">
        <v>28411</v>
      </c>
      <c r="P2224" s="62" t="s">
        <v>50387</v>
      </c>
      <c r="Q2224" s="62" t="s">
        <v>28412</v>
      </c>
      <c r="R2224" s="62" t="s">
        <v>28413</v>
      </c>
      <c r="S2224" s="62" t="s">
        <v>28414</v>
      </c>
      <c r="U2224" s="62" t="s">
        <v>28415</v>
      </c>
      <c r="V2224" s="62" t="s">
        <v>50401</v>
      </c>
      <c r="W2224" s="62" t="s">
        <v>28416</v>
      </c>
      <c r="X2224" s="62" t="s">
        <v>28417</v>
      </c>
      <c r="Y2224" s="62" t="s">
        <v>28418</v>
      </c>
      <c r="Z2224" s="62" t="s">
        <v>28419</v>
      </c>
      <c r="AA2224" s="62" t="s">
        <v>50415</v>
      </c>
      <c r="AB2224" s="62" t="s">
        <v>28420</v>
      </c>
      <c r="AC2224" s="62" t="s">
        <v>28421</v>
      </c>
      <c r="AD2224" s="62" t="s">
        <v>28422</v>
      </c>
    </row>
    <row r="2225" spans="1:30" x14ac:dyDescent="0.25">
      <c r="A2225" s="62" t="s">
        <v>109</v>
      </c>
      <c r="C2225" s="62" t="s">
        <v>28423</v>
      </c>
      <c r="F2225" s="62" t="s">
        <v>10929</v>
      </c>
      <c r="G2225" s="62" t="s">
        <v>50360</v>
      </c>
      <c r="J2225" s="62" t="s">
        <v>28424</v>
      </c>
      <c r="K2225" s="62" t="s">
        <v>50374</v>
      </c>
      <c r="L2225" s="62" t="s">
        <v>28425</v>
      </c>
      <c r="M2225" s="62" t="s">
        <v>28426</v>
      </c>
      <c r="N2225" s="62" t="s">
        <v>28427</v>
      </c>
      <c r="O2225" s="62" t="s">
        <v>28428</v>
      </c>
      <c r="P2225" s="62" t="s">
        <v>50388</v>
      </c>
      <c r="Q2225" s="62" t="s">
        <v>28429</v>
      </c>
      <c r="R2225" s="62" t="s">
        <v>28430</v>
      </c>
      <c r="S2225" s="62" t="s">
        <v>28431</v>
      </c>
      <c r="U2225" s="62" t="s">
        <v>28432</v>
      </c>
      <c r="V2225" s="62" t="s">
        <v>50402</v>
      </c>
      <c r="W2225" s="62" t="s">
        <v>28433</v>
      </c>
      <c r="X2225" s="62" t="s">
        <v>28434</v>
      </c>
      <c r="Y2225" s="62" t="s">
        <v>28435</v>
      </c>
      <c r="Z2225" s="62" t="s">
        <v>28436</v>
      </c>
      <c r="AA2225" s="62" t="s">
        <v>50416</v>
      </c>
      <c r="AB2225" s="62" t="s">
        <v>28437</v>
      </c>
      <c r="AC2225" s="62" t="s">
        <v>28438</v>
      </c>
      <c r="AD2225" s="62" t="s">
        <v>28439</v>
      </c>
    </row>
    <row r="2226" spans="1:30" x14ac:dyDescent="0.25">
      <c r="A2226" s="62" t="s">
        <v>109</v>
      </c>
      <c r="C2226" s="62" t="s">
        <v>28219</v>
      </c>
    </row>
    <row r="2227" spans="1:30" x14ac:dyDescent="0.25">
      <c r="A2227" s="62" t="s">
        <v>109</v>
      </c>
      <c r="C2227" s="62" t="s">
        <v>28440</v>
      </c>
      <c r="G2227" s="62" t="s">
        <v>44850</v>
      </c>
      <c r="J2227" s="62" t="s">
        <v>44851</v>
      </c>
      <c r="K2227" s="62" t="s">
        <v>44852</v>
      </c>
      <c r="L2227" s="62" t="s">
        <v>44853</v>
      </c>
      <c r="M2227" s="62" t="s">
        <v>28441</v>
      </c>
      <c r="N2227" s="62" t="s">
        <v>28442</v>
      </c>
      <c r="O2227" s="62" t="s">
        <v>44854</v>
      </c>
      <c r="P2227" s="62" t="s">
        <v>44855</v>
      </c>
      <c r="Q2227" s="62" t="s">
        <v>44856</v>
      </c>
      <c r="R2227" s="62" t="s">
        <v>28443</v>
      </c>
      <c r="S2227" s="62" t="s">
        <v>28444</v>
      </c>
      <c r="U2227" s="62" t="s">
        <v>44857</v>
      </c>
      <c r="V2227" s="62" t="s">
        <v>44858</v>
      </c>
      <c r="W2227" s="62" t="s">
        <v>44859</v>
      </c>
      <c r="X2227" s="62" t="s">
        <v>28445</v>
      </c>
      <c r="Y2227" s="62" t="s">
        <v>28446</v>
      </c>
      <c r="Z2227" s="62" t="s">
        <v>44860</v>
      </c>
      <c r="AA2227" s="62" t="s">
        <v>44861</v>
      </c>
      <c r="AB2227" s="62" t="s">
        <v>44862</v>
      </c>
      <c r="AC2227" s="62" t="s">
        <v>28447</v>
      </c>
      <c r="AD2227" s="62" t="s">
        <v>28448</v>
      </c>
    </row>
    <row r="2228" spans="1:30" x14ac:dyDescent="0.25">
      <c r="A2228" s="62" t="s">
        <v>109</v>
      </c>
    </row>
    <row r="2229" spans="1:30" x14ac:dyDescent="0.25">
      <c r="A2229" s="62" t="s">
        <v>109</v>
      </c>
      <c r="C2229" s="62" t="s">
        <v>44863</v>
      </c>
      <c r="E2229" s="62" t="s">
        <v>36867</v>
      </c>
      <c r="G2229" s="62" t="s">
        <v>44864</v>
      </c>
    </row>
    <row r="2230" spans="1:30" x14ac:dyDescent="0.25">
      <c r="A2230" s="62" t="s">
        <v>109</v>
      </c>
      <c r="C2230" s="62" t="s">
        <v>28449</v>
      </c>
    </row>
    <row r="2231" spans="1:30" x14ac:dyDescent="0.25">
      <c r="A2231" s="62" t="s">
        <v>109</v>
      </c>
      <c r="C2231" s="62" t="s">
        <v>28450</v>
      </c>
      <c r="F2231" s="62" t="s">
        <v>44865</v>
      </c>
      <c r="G2231" s="62" t="s">
        <v>50187</v>
      </c>
      <c r="J2231" s="62" t="s">
        <v>28451</v>
      </c>
      <c r="K2231" s="62" t="s">
        <v>50219</v>
      </c>
      <c r="L2231" s="62" t="s">
        <v>28452</v>
      </c>
      <c r="M2231" s="62" t="s">
        <v>28453</v>
      </c>
      <c r="N2231" s="62" t="s">
        <v>28454</v>
      </c>
      <c r="O2231" s="62" t="s">
        <v>28455</v>
      </c>
      <c r="P2231" s="62" t="s">
        <v>50251</v>
      </c>
      <c r="Q2231" s="62" t="s">
        <v>28456</v>
      </c>
      <c r="R2231" s="62" t="s">
        <v>28457</v>
      </c>
      <c r="S2231" s="62" t="s">
        <v>28458</v>
      </c>
      <c r="U2231" s="62" t="s">
        <v>28459</v>
      </c>
      <c r="V2231" s="62" t="s">
        <v>50283</v>
      </c>
      <c r="W2231" s="62" t="s">
        <v>28460</v>
      </c>
      <c r="X2231" s="62" t="s">
        <v>28461</v>
      </c>
      <c r="Y2231" s="62" t="s">
        <v>28462</v>
      </c>
      <c r="Z2231" s="62" t="s">
        <v>28463</v>
      </c>
      <c r="AA2231" s="62" t="s">
        <v>50315</v>
      </c>
      <c r="AB2231" s="62" t="s">
        <v>28464</v>
      </c>
      <c r="AC2231" s="62" t="s">
        <v>28465</v>
      </c>
      <c r="AD2231" s="62" t="s">
        <v>28466</v>
      </c>
    </row>
    <row r="2232" spans="1:30" x14ac:dyDescent="0.25">
      <c r="A2232" s="62" t="s">
        <v>109</v>
      </c>
      <c r="C2232" s="62" t="s">
        <v>28467</v>
      </c>
      <c r="F2232" s="62" t="s">
        <v>889</v>
      </c>
      <c r="G2232" s="62" t="s">
        <v>50188</v>
      </c>
      <c r="J2232" s="62" t="s">
        <v>28468</v>
      </c>
      <c r="K2232" s="62" t="s">
        <v>50220</v>
      </c>
      <c r="L2232" s="62" t="s">
        <v>28469</v>
      </c>
      <c r="M2232" s="62" t="s">
        <v>28470</v>
      </c>
      <c r="N2232" s="62" t="s">
        <v>28471</v>
      </c>
      <c r="O2232" s="62" t="s">
        <v>28472</v>
      </c>
      <c r="P2232" s="62" t="s">
        <v>50252</v>
      </c>
      <c r="Q2232" s="62" t="s">
        <v>28473</v>
      </c>
      <c r="R2232" s="62" t="s">
        <v>28474</v>
      </c>
      <c r="S2232" s="62" t="s">
        <v>28475</v>
      </c>
      <c r="U2232" s="62" t="s">
        <v>28476</v>
      </c>
      <c r="V2232" s="62" t="s">
        <v>50284</v>
      </c>
      <c r="W2232" s="62" t="s">
        <v>28477</v>
      </c>
      <c r="X2232" s="62" t="s">
        <v>28478</v>
      </c>
      <c r="Y2232" s="62" t="s">
        <v>28479</v>
      </c>
      <c r="Z2232" s="62" t="s">
        <v>28480</v>
      </c>
      <c r="AA2232" s="62" t="s">
        <v>50316</v>
      </c>
      <c r="AB2232" s="62" t="s">
        <v>28481</v>
      </c>
      <c r="AC2232" s="62" t="s">
        <v>28482</v>
      </c>
      <c r="AD2232" s="62" t="s">
        <v>28483</v>
      </c>
    </row>
    <row r="2233" spans="1:30" x14ac:dyDescent="0.25">
      <c r="A2233" s="62" t="s">
        <v>109</v>
      </c>
      <c r="C2233" s="62" t="s">
        <v>28484</v>
      </c>
      <c r="F2233" s="62" t="s">
        <v>915</v>
      </c>
      <c r="G2233" s="62" t="s">
        <v>50189</v>
      </c>
      <c r="J2233" s="62" t="s">
        <v>28485</v>
      </c>
      <c r="K2233" s="62" t="s">
        <v>50221</v>
      </c>
      <c r="L2233" s="62" t="s">
        <v>28486</v>
      </c>
      <c r="M2233" s="62" t="s">
        <v>28487</v>
      </c>
      <c r="N2233" s="62" t="s">
        <v>28488</v>
      </c>
      <c r="O2233" s="62" t="s">
        <v>28489</v>
      </c>
      <c r="P2233" s="62" t="s">
        <v>50253</v>
      </c>
      <c r="Q2233" s="62" t="s">
        <v>28490</v>
      </c>
      <c r="R2233" s="62" t="s">
        <v>28491</v>
      </c>
      <c r="S2233" s="62" t="s">
        <v>28492</v>
      </c>
      <c r="U2233" s="62" t="s">
        <v>28493</v>
      </c>
      <c r="V2233" s="62" t="s">
        <v>50285</v>
      </c>
      <c r="W2233" s="62" t="s">
        <v>28494</v>
      </c>
      <c r="X2233" s="62" t="s">
        <v>28495</v>
      </c>
      <c r="Y2233" s="62" t="s">
        <v>28496</v>
      </c>
      <c r="Z2233" s="62" t="s">
        <v>28497</v>
      </c>
      <c r="AA2233" s="62" t="s">
        <v>50317</v>
      </c>
      <c r="AB2233" s="62" t="s">
        <v>28498</v>
      </c>
      <c r="AC2233" s="62" t="s">
        <v>28499</v>
      </c>
      <c r="AD2233" s="62" t="s">
        <v>28500</v>
      </c>
    </row>
    <row r="2234" spans="1:30" x14ac:dyDescent="0.25">
      <c r="A2234" s="62" t="s">
        <v>109</v>
      </c>
      <c r="C2234" s="62" t="s">
        <v>28501</v>
      </c>
      <c r="F2234" s="62" t="s">
        <v>925</v>
      </c>
      <c r="G2234" s="62" t="s">
        <v>50190</v>
      </c>
      <c r="J2234" s="62" t="s">
        <v>28502</v>
      </c>
      <c r="K2234" s="62" t="s">
        <v>50222</v>
      </c>
      <c r="L2234" s="62" t="s">
        <v>28503</v>
      </c>
      <c r="M2234" s="62" t="s">
        <v>28504</v>
      </c>
      <c r="N2234" s="62" t="s">
        <v>28505</v>
      </c>
      <c r="O2234" s="62" t="s">
        <v>28506</v>
      </c>
      <c r="P2234" s="62" t="s">
        <v>50254</v>
      </c>
      <c r="Q2234" s="62" t="s">
        <v>28507</v>
      </c>
      <c r="R2234" s="62" t="s">
        <v>28508</v>
      </c>
      <c r="S2234" s="62" t="s">
        <v>28509</v>
      </c>
      <c r="U2234" s="62" t="s">
        <v>28510</v>
      </c>
      <c r="V2234" s="62" t="s">
        <v>50286</v>
      </c>
      <c r="W2234" s="62" t="s">
        <v>28511</v>
      </c>
      <c r="X2234" s="62" t="s">
        <v>28512</v>
      </c>
      <c r="Y2234" s="62" t="s">
        <v>28513</v>
      </c>
      <c r="Z2234" s="62" t="s">
        <v>28514</v>
      </c>
      <c r="AA2234" s="62" t="s">
        <v>50318</v>
      </c>
      <c r="AB2234" s="62" t="s">
        <v>28515</v>
      </c>
      <c r="AC2234" s="62" t="s">
        <v>28516</v>
      </c>
      <c r="AD2234" s="62" t="s">
        <v>28517</v>
      </c>
    </row>
    <row r="2235" spans="1:30" x14ac:dyDescent="0.25">
      <c r="A2235" s="62" t="s">
        <v>109</v>
      </c>
      <c r="C2235" s="62" t="s">
        <v>28518</v>
      </c>
      <c r="F2235" s="62" t="s">
        <v>2297</v>
      </c>
      <c r="G2235" s="62" t="s">
        <v>50191</v>
      </c>
      <c r="J2235" s="62" t="s">
        <v>28519</v>
      </c>
      <c r="K2235" s="62" t="s">
        <v>50223</v>
      </c>
      <c r="L2235" s="62" t="s">
        <v>28520</v>
      </c>
      <c r="M2235" s="62" t="s">
        <v>28521</v>
      </c>
      <c r="N2235" s="62" t="s">
        <v>28522</v>
      </c>
      <c r="O2235" s="62" t="s">
        <v>28523</v>
      </c>
      <c r="P2235" s="62" t="s">
        <v>50255</v>
      </c>
      <c r="Q2235" s="62" t="s">
        <v>28524</v>
      </c>
      <c r="R2235" s="62" t="s">
        <v>28525</v>
      </c>
      <c r="S2235" s="62" t="s">
        <v>28526</v>
      </c>
      <c r="U2235" s="62" t="s">
        <v>28527</v>
      </c>
      <c r="V2235" s="62" t="s">
        <v>50287</v>
      </c>
      <c r="W2235" s="62" t="s">
        <v>28528</v>
      </c>
      <c r="X2235" s="62" t="s">
        <v>28529</v>
      </c>
      <c r="Y2235" s="62" t="s">
        <v>28530</v>
      </c>
      <c r="Z2235" s="62" t="s">
        <v>28531</v>
      </c>
      <c r="AA2235" s="62" t="s">
        <v>50319</v>
      </c>
      <c r="AB2235" s="62" t="s">
        <v>28532</v>
      </c>
      <c r="AC2235" s="62" t="s">
        <v>28533</v>
      </c>
      <c r="AD2235" s="62" t="s">
        <v>28534</v>
      </c>
    </row>
    <row r="2236" spans="1:30" x14ac:dyDescent="0.25">
      <c r="A2236" s="62" t="s">
        <v>109</v>
      </c>
      <c r="C2236" s="62" t="s">
        <v>28535</v>
      </c>
      <c r="F2236" s="62" t="s">
        <v>340</v>
      </c>
      <c r="G2236" s="62" t="s">
        <v>50192</v>
      </c>
      <c r="J2236" s="62" t="s">
        <v>28536</v>
      </c>
      <c r="K2236" s="62" t="s">
        <v>50224</v>
      </c>
      <c r="L2236" s="62" t="s">
        <v>28537</v>
      </c>
      <c r="M2236" s="62" t="s">
        <v>28538</v>
      </c>
      <c r="N2236" s="62" t="s">
        <v>28539</v>
      </c>
      <c r="O2236" s="62" t="s">
        <v>28540</v>
      </c>
      <c r="P2236" s="62" t="s">
        <v>50256</v>
      </c>
      <c r="Q2236" s="62" t="s">
        <v>28541</v>
      </c>
      <c r="R2236" s="62" t="s">
        <v>28542</v>
      </c>
      <c r="S2236" s="62" t="s">
        <v>28543</v>
      </c>
      <c r="U2236" s="62" t="s">
        <v>28544</v>
      </c>
      <c r="V2236" s="62" t="s">
        <v>50288</v>
      </c>
      <c r="W2236" s="62" t="s">
        <v>28545</v>
      </c>
      <c r="X2236" s="62" t="s">
        <v>28546</v>
      </c>
      <c r="Y2236" s="62" t="s">
        <v>28547</v>
      </c>
      <c r="Z2236" s="62" t="s">
        <v>28548</v>
      </c>
      <c r="AA2236" s="62" t="s">
        <v>50320</v>
      </c>
      <c r="AB2236" s="62" t="s">
        <v>28549</v>
      </c>
      <c r="AC2236" s="62" t="s">
        <v>28550</v>
      </c>
      <c r="AD2236" s="62" t="s">
        <v>28551</v>
      </c>
    </row>
    <row r="2237" spans="1:30" x14ac:dyDescent="0.25">
      <c r="A2237" s="62" t="s">
        <v>109</v>
      </c>
      <c r="C2237" s="62" t="s">
        <v>28552</v>
      </c>
      <c r="F2237" s="62" t="s">
        <v>985</v>
      </c>
      <c r="G2237" s="62" t="s">
        <v>50193</v>
      </c>
      <c r="J2237" s="62" t="s">
        <v>28553</v>
      </c>
      <c r="K2237" s="62" t="s">
        <v>50225</v>
      </c>
      <c r="L2237" s="62" t="s">
        <v>28554</v>
      </c>
      <c r="M2237" s="62" t="s">
        <v>28555</v>
      </c>
      <c r="N2237" s="62" t="s">
        <v>28556</v>
      </c>
      <c r="O2237" s="62" t="s">
        <v>28557</v>
      </c>
      <c r="P2237" s="62" t="s">
        <v>50257</v>
      </c>
      <c r="Q2237" s="62" t="s">
        <v>28558</v>
      </c>
      <c r="R2237" s="62" t="s">
        <v>28559</v>
      </c>
      <c r="S2237" s="62" t="s">
        <v>28560</v>
      </c>
      <c r="U2237" s="62" t="s">
        <v>28561</v>
      </c>
      <c r="V2237" s="62" t="s">
        <v>50289</v>
      </c>
      <c r="W2237" s="62" t="s">
        <v>28562</v>
      </c>
      <c r="X2237" s="62" t="s">
        <v>28563</v>
      </c>
      <c r="Y2237" s="62" t="s">
        <v>28564</v>
      </c>
      <c r="Z2237" s="62" t="s">
        <v>28565</v>
      </c>
      <c r="AA2237" s="62" t="s">
        <v>50321</v>
      </c>
      <c r="AB2237" s="62" t="s">
        <v>28566</v>
      </c>
      <c r="AC2237" s="62" t="s">
        <v>28567</v>
      </c>
      <c r="AD2237" s="62" t="s">
        <v>28568</v>
      </c>
    </row>
    <row r="2238" spans="1:30" x14ac:dyDescent="0.25">
      <c r="A2238" s="62" t="s">
        <v>109</v>
      </c>
      <c r="C2238" s="62" t="s">
        <v>28569</v>
      </c>
      <c r="F2238" s="62" t="s">
        <v>10314</v>
      </c>
      <c r="G2238" s="62" t="s">
        <v>50194</v>
      </c>
      <c r="J2238" s="62" t="s">
        <v>28570</v>
      </c>
      <c r="K2238" s="62" t="s">
        <v>50226</v>
      </c>
      <c r="L2238" s="62" t="s">
        <v>28571</v>
      </c>
      <c r="M2238" s="62" t="s">
        <v>28572</v>
      </c>
      <c r="N2238" s="62" t="s">
        <v>28573</v>
      </c>
      <c r="O2238" s="62" t="s">
        <v>28574</v>
      </c>
      <c r="P2238" s="62" t="s">
        <v>50258</v>
      </c>
      <c r="Q2238" s="62" t="s">
        <v>28575</v>
      </c>
      <c r="R2238" s="62" t="s">
        <v>28576</v>
      </c>
      <c r="S2238" s="62" t="s">
        <v>28577</v>
      </c>
      <c r="U2238" s="62" t="s">
        <v>28578</v>
      </c>
      <c r="V2238" s="62" t="s">
        <v>50290</v>
      </c>
      <c r="W2238" s="62" t="s">
        <v>28579</v>
      </c>
      <c r="X2238" s="62" t="s">
        <v>28580</v>
      </c>
      <c r="Y2238" s="62" t="s">
        <v>28581</v>
      </c>
      <c r="Z2238" s="62" t="s">
        <v>28582</v>
      </c>
      <c r="AA2238" s="62" t="s">
        <v>50322</v>
      </c>
      <c r="AB2238" s="62" t="s">
        <v>28583</v>
      </c>
      <c r="AC2238" s="62" t="s">
        <v>28584</v>
      </c>
      <c r="AD2238" s="62" t="s">
        <v>28585</v>
      </c>
    </row>
    <row r="2239" spans="1:30" x14ac:dyDescent="0.25">
      <c r="A2239" s="62" t="s">
        <v>109</v>
      </c>
      <c r="C2239" s="62" t="s">
        <v>28586</v>
      </c>
      <c r="F2239" s="62" t="s">
        <v>19275</v>
      </c>
      <c r="G2239" s="62" t="s">
        <v>50195</v>
      </c>
      <c r="J2239" s="62" t="s">
        <v>28587</v>
      </c>
      <c r="K2239" s="62" t="s">
        <v>50227</v>
      </c>
      <c r="L2239" s="62" t="s">
        <v>28588</v>
      </c>
      <c r="M2239" s="62" t="s">
        <v>28589</v>
      </c>
      <c r="N2239" s="62" t="s">
        <v>28590</v>
      </c>
      <c r="O2239" s="62" t="s">
        <v>28591</v>
      </c>
      <c r="P2239" s="62" t="s">
        <v>50259</v>
      </c>
      <c r="Q2239" s="62" t="s">
        <v>28592</v>
      </c>
      <c r="R2239" s="62" t="s">
        <v>28593</v>
      </c>
      <c r="S2239" s="62" t="s">
        <v>28594</v>
      </c>
      <c r="U2239" s="62" t="s">
        <v>28595</v>
      </c>
      <c r="V2239" s="62" t="s">
        <v>50291</v>
      </c>
      <c r="W2239" s="62" t="s">
        <v>28596</v>
      </c>
      <c r="X2239" s="62" t="s">
        <v>28597</v>
      </c>
      <c r="Y2239" s="62" t="s">
        <v>28598</v>
      </c>
      <c r="Z2239" s="62" t="s">
        <v>28599</v>
      </c>
      <c r="AA2239" s="62" t="s">
        <v>50323</v>
      </c>
      <c r="AB2239" s="62" t="s">
        <v>28600</v>
      </c>
      <c r="AC2239" s="62" t="s">
        <v>28601</v>
      </c>
      <c r="AD2239" s="62" t="s">
        <v>28602</v>
      </c>
    </row>
    <row r="2240" spans="1:30" x14ac:dyDescent="0.25">
      <c r="A2240" s="62" t="s">
        <v>109</v>
      </c>
      <c r="C2240" s="62" t="s">
        <v>28603</v>
      </c>
      <c r="F2240" s="62" t="s">
        <v>10350</v>
      </c>
      <c r="G2240" s="62" t="s">
        <v>50196</v>
      </c>
      <c r="J2240" s="62" t="s">
        <v>28604</v>
      </c>
      <c r="K2240" s="62" t="s">
        <v>50228</v>
      </c>
      <c r="L2240" s="62" t="s">
        <v>28605</v>
      </c>
      <c r="M2240" s="62" t="s">
        <v>28606</v>
      </c>
      <c r="N2240" s="62" t="s">
        <v>28607</v>
      </c>
      <c r="O2240" s="62" t="s">
        <v>28608</v>
      </c>
      <c r="P2240" s="62" t="s">
        <v>50260</v>
      </c>
      <c r="Q2240" s="62" t="s">
        <v>28609</v>
      </c>
      <c r="R2240" s="62" t="s">
        <v>28610</v>
      </c>
      <c r="S2240" s="62" t="s">
        <v>28611</v>
      </c>
      <c r="U2240" s="62" t="s">
        <v>28612</v>
      </c>
      <c r="V2240" s="62" t="s">
        <v>50292</v>
      </c>
      <c r="W2240" s="62" t="s">
        <v>28613</v>
      </c>
      <c r="X2240" s="62" t="s">
        <v>28614</v>
      </c>
      <c r="Y2240" s="62" t="s">
        <v>28615</v>
      </c>
      <c r="Z2240" s="62" t="s">
        <v>28616</v>
      </c>
      <c r="AA2240" s="62" t="s">
        <v>50324</v>
      </c>
      <c r="AB2240" s="62" t="s">
        <v>28617</v>
      </c>
      <c r="AC2240" s="62" t="s">
        <v>28618</v>
      </c>
      <c r="AD2240" s="62" t="s">
        <v>28619</v>
      </c>
    </row>
    <row r="2241" spans="1:30" x14ac:dyDescent="0.25">
      <c r="A2241" s="62" t="s">
        <v>109</v>
      </c>
      <c r="C2241" s="62" t="s">
        <v>28620</v>
      </c>
      <c r="F2241" s="62" t="s">
        <v>10368</v>
      </c>
      <c r="G2241" s="62" t="s">
        <v>50197</v>
      </c>
      <c r="J2241" s="62" t="s">
        <v>28621</v>
      </c>
      <c r="K2241" s="62" t="s">
        <v>50229</v>
      </c>
      <c r="L2241" s="62" t="s">
        <v>28622</v>
      </c>
      <c r="M2241" s="62" t="s">
        <v>28623</v>
      </c>
      <c r="N2241" s="62" t="s">
        <v>28624</v>
      </c>
      <c r="O2241" s="62" t="s">
        <v>28625</v>
      </c>
      <c r="P2241" s="62" t="s">
        <v>50261</v>
      </c>
      <c r="Q2241" s="62" t="s">
        <v>28626</v>
      </c>
      <c r="R2241" s="62" t="s">
        <v>28627</v>
      </c>
      <c r="S2241" s="62" t="s">
        <v>28628</v>
      </c>
      <c r="U2241" s="62" t="s">
        <v>28629</v>
      </c>
      <c r="V2241" s="62" t="s">
        <v>50293</v>
      </c>
      <c r="W2241" s="62" t="s">
        <v>28630</v>
      </c>
      <c r="X2241" s="62" t="s">
        <v>28631</v>
      </c>
      <c r="Y2241" s="62" t="s">
        <v>28632</v>
      </c>
      <c r="Z2241" s="62" t="s">
        <v>28633</v>
      </c>
      <c r="AA2241" s="62" t="s">
        <v>50325</v>
      </c>
      <c r="AB2241" s="62" t="s">
        <v>28634</v>
      </c>
      <c r="AC2241" s="62" t="s">
        <v>28635</v>
      </c>
      <c r="AD2241" s="62" t="s">
        <v>28636</v>
      </c>
    </row>
    <row r="2242" spans="1:30" x14ac:dyDescent="0.25">
      <c r="A2242" s="62" t="s">
        <v>109</v>
      </c>
      <c r="C2242" s="62" t="s">
        <v>44866</v>
      </c>
      <c r="F2242" s="62" t="s">
        <v>10404</v>
      </c>
      <c r="G2242" s="62" t="s">
        <v>50198</v>
      </c>
      <c r="J2242" s="62" t="s">
        <v>44867</v>
      </c>
      <c r="K2242" s="62" t="s">
        <v>50230</v>
      </c>
      <c r="L2242" s="62" t="s">
        <v>44868</v>
      </c>
      <c r="M2242" s="62" t="s">
        <v>44869</v>
      </c>
      <c r="N2242" s="62" t="s">
        <v>44870</v>
      </c>
      <c r="O2242" s="62" t="s">
        <v>44871</v>
      </c>
      <c r="P2242" s="62" t="s">
        <v>50262</v>
      </c>
      <c r="Q2242" s="62" t="s">
        <v>44872</v>
      </c>
      <c r="R2242" s="62" t="s">
        <v>44873</v>
      </c>
      <c r="S2242" s="62" t="s">
        <v>44874</v>
      </c>
      <c r="U2242" s="62" t="s">
        <v>44875</v>
      </c>
      <c r="V2242" s="62" t="s">
        <v>50294</v>
      </c>
      <c r="W2242" s="62" t="s">
        <v>44876</v>
      </c>
      <c r="X2242" s="62" t="s">
        <v>44877</v>
      </c>
      <c r="Y2242" s="62" t="s">
        <v>44878</v>
      </c>
      <c r="Z2242" s="62" t="s">
        <v>44879</v>
      </c>
      <c r="AA2242" s="62" t="s">
        <v>50326</v>
      </c>
      <c r="AB2242" s="62" t="s">
        <v>44880</v>
      </c>
      <c r="AC2242" s="62" t="s">
        <v>44881</v>
      </c>
      <c r="AD2242" s="62" t="s">
        <v>44882</v>
      </c>
    </row>
    <row r="2243" spans="1:30" x14ac:dyDescent="0.25">
      <c r="A2243" s="62" t="s">
        <v>109</v>
      </c>
      <c r="C2243" s="62" t="s">
        <v>28637</v>
      </c>
      <c r="F2243" s="62" t="s">
        <v>10422</v>
      </c>
      <c r="G2243" s="62" t="s">
        <v>50199</v>
      </c>
      <c r="J2243" s="62" t="s">
        <v>44883</v>
      </c>
      <c r="K2243" s="62" t="s">
        <v>50231</v>
      </c>
      <c r="L2243" s="62" t="s">
        <v>44884</v>
      </c>
      <c r="M2243" s="62" t="s">
        <v>28638</v>
      </c>
      <c r="N2243" s="62" t="s">
        <v>28639</v>
      </c>
      <c r="O2243" s="62" t="s">
        <v>44885</v>
      </c>
      <c r="P2243" s="62" t="s">
        <v>50263</v>
      </c>
      <c r="Q2243" s="62" t="s">
        <v>44886</v>
      </c>
      <c r="R2243" s="62" t="s">
        <v>28640</v>
      </c>
      <c r="S2243" s="62" t="s">
        <v>28641</v>
      </c>
      <c r="U2243" s="62" t="s">
        <v>44887</v>
      </c>
      <c r="V2243" s="62" t="s">
        <v>50295</v>
      </c>
      <c r="W2243" s="62" t="s">
        <v>44888</v>
      </c>
      <c r="X2243" s="62" t="s">
        <v>28642</v>
      </c>
      <c r="Y2243" s="62" t="s">
        <v>28643</v>
      </c>
      <c r="Z2243" s="62" t="s">
        <v>44889</v>
      </c>
      <c r="AA2243" s="62" t="s">
        <v>50327</v>
      </c>
      <c r="AB2243" s="62" t="s">
        <v>44890</v>
      </c>
      <c r="AC2243" s="62" t="s">
        <v>28644</v>
      </c>
      <c r="AD2243" s="62" t="s">
        <v>28645</v>
      </c>
    </row>
    <row r="2244" spans="1:30" x14ac:dyDescent="0.25">
      <c r="A2244" s="62" t="s">
        <v>109</v>
      </c>
      <c r="C2244" s="62" t="s">
        <v>44891</v>
      </c>
      <c r="F2244" s="62" t="s">
        <v>1047</v>
      </c>
      <c r="G2244" s="62" t="s">
        <v>50200</v>
      </c>
      <c r="J2244" s="62" t="s">
        <v>44892</v>
      </c>
      <c r="K2244" s="62" t="s">
        <v>50232</v>
      </c>
      <c r="L2244" s="62" t="s">
        <v>44893</v>
      </c>
      <c r="M2244" s="62" t="s">
        <v>44894</v>
      </c>
      <c r="N2244" s="62" t="s">
        <v>44895</v>
      </c>
      <c r="O2244" s="62" t="s">
        <v>44896</v>
      </c>
      <c r="P2244" s="62" t="s">
        <v>50264</v>
      </c>
      <c r="Q2244" s="62" t="s">
        <v>44897</v>
      </c>
      <c r="R2244" s="62" t="s">
        <v>44898</v>
      </c>
      <c r="S2244" s="62" t="s">
        <v>44899</v>
      </c>
      <c r="U2244" s="62" t="s">
        <v>44900</v>
      </c>
      <c r="V2244" s="62" t="s">
        <v>50296</v>
      </c>
      <c r="W2244" s="62" t="s">
        <v>44901</v>
      </c>
      <c r="X2244" s="62" t="s">
        <v>44902</v>
      </c>
      <c r="Y2244" s="62" t="s">
        <v>44903</v>
      </c>
      <c r="Z2244" s="62" t="s">
        <v>44904</v>
      </c>
      <c r="AA2244" s="62" t="s">
        <v>50328</v>
      </c>
      <c r="AB2244" s="62" t="s">
        <v>44905</v>
      </c>
      <c r="AC2244" s="62" t="s">
        <v>44906</v>
      </c>
      <c r="AD2244" s="62" t="s">
        <v>44907</v>
      </c>
    </row>
    <row r="2245" spans="1:30" x14ac:dyDescent="0.25">
      <c r="A2245" s="62" t="s">
        <v>109</v>
      </c>
      <c r="C2245" s="62" t="s">
        <v>44908</v>
      </c>
      <c r="F2245" s="62" t="s">
        <v>1073</v>
      </c>
      <c r="G2245" s="62" t="s">
        <v>50201</v>
      </c>
      <c r="J2245" s="62" t="s">
        <v>44909</v>
      </c>
      <c r="K2245" s="62" t="s">
        <v>50233</v>
      </c>
      <c r="L2245" s="62" t="s">
        <v>44910</v>
      </c>
      <c r="M2245" s="62" t="s">
        <v>44911</v>
      </c>
      <c r="N2245" s="62" t="s">
        <v>44912</v>
      </c>
      <c r="O2245" s="62" t="s">
        <v>44913</v>
      </c>
      <c r="P2245" s="62" t="s">
        <v>50265</v>
      </c>
      <c r="Q2245" s="62" t="s">
        <v>44914</v>
      </c>
      <c r="R2245" s="62" t="s">
        <v>44915</v>
      </c>
      <c r="S2245" s="62" t="s">
        <v>44916</v>
      </c>
      <c r="U2245" s="62" t="s">
        <v>44917</v>
      </c>
      <c r="V2245" s="62" t="s">
        <v>50297</v>
      </c>
      <c r="W2245" s="62" t="s">
        <v>44918</v>
      </c>
      <c r="X2245" s="62" t="s">
        <v>44919</v>
      </c>
      <c r="Y2245" s="62" t="s">
        <v>44920</v>
      </c>
      <c r="Z2245" s="62" t="s">
        <v>44921</v>
      </c>
      <c r="AA2245" s="62" t="s">
        <v>50329</v>
      </c>
      <c r="AB2245" s="62" t="s">
        <v>44922</v>
      </c>
      <c r="AC2245" s="62" t="s">
        <v>44923</v>
      </c>
      <c r="AD2245" s="62" t="s">
        <v>44924</v>
      </c>
    </row>
    <row r="2246" spans="1:30" x14ac:dyDescent="0.25">
      <c r="A2246" s="62" t="s">
        <v>109</v>
      </c>
      <c r="C2246" s="62" t="s">
        <v>28646</v>
      </c>
      <c r="F2246" s="62" t="s">
        <v>1090</v>
      </c>
      <c r="G2246" s="62" t="s">
        <v>50202</v>
      </c>
      <c r="J2246" s="62" t="s">
        <v>44925</v>
      </c>
      <c r="K2246" s="62" t="s">
        <v>50234</v>
      </c>
      <c r="L2246" s="62" t="s">
        <v>44926</v>
      </c>
      <c r="M2246" s="62" t="s">
        <v>44927</v>
      </c>
      <c r="N2246" s="62" t="s">
        <v>44928</v>
      </c>
      <c r="O2246" s="62" t="s">
        <v>44929</v>
      </c>
      <c r="P2246" s="62" t="s">
        <v>50266</v>
      </c>
      <c r="Q2246" s="62" t="s">
        <v>44930</v>
      </c>
      <c r="R2246" s="62" t="s">
        <v>44931</v>
      </c>
      <c r="S2246" s="62" t="s">
        <v>44932</v>
      </c>
      <c r="U2246" s="62" t="s">
        <v>44933</v>
      </c>
      <c r="V2246" s="62" t="s">
        <v>50298</v>
      </c>
      <c r="W2246" s="62" t="s">
        <v>44934</v>
      </c>
      <c r="X2246" s="62" t="s">
        <v>44935</v>
      </c>
      <c r="Y2246" s="62" t="s">
        <v>44936</v>
      </c>
      <c r="Z2246" s="62" t="s">
        <v>44937</v>
      </c>
      <c r="AA2246" s="62" t="s">
        <v>50330</v>
      </c>
      <c r="AB2246" s="62" t="s">
        <v>44938</v>
      </c>
      <c r="AC2246" s="62" t="s">
        <v>44939</v>
      </c>
      <c r="AD2246" s="62" t="s">
        <v>44940</v>
      </c>
    </row>
    <row r="2247" spans="1:30" x14ac:dyDescent="0.25">
      <c r="A2247" s="62" t="s">
        <v>109</v>
      </c>
      <c r="C2247" s="62" t="s">
        <v>28647</v>
      </c>
      <c r="F2247" s="62" t="s">
        <v>2355</v>
      </c>
      <c r="G2247" s="62" t="s">
        <v>50203</v>
      </c>
      <c r="J2247" s="62" t="s">
        <v>28648</v>
      </c>
      <c r="K2247" s="62" t="s">
        <v>50235</v>
      </c>
      <c r="L2247" s="62" t="s">
        <v>28649</v>
      </c>
      <c r="M2247" s="62" t="s">
        <v>28650</v>
      </c>
      <c r="N2247" s="62" t="s">
        <v>28651</v>
      </c>
      <c r="O2247" s="62" t="s">
        <v>28652</v>
      </c>
      <c r="P2247" s="62" t="s">
        <v>50267</v>
      </c>
      <c r="Q2247" s="62" t="s">
        <v>28653</v>
      </c>
      <c r="R2247" s="62" t="s">
        <v>28654</v>
      </c>
      <c r="S2247" s="62" t="s">
        <v>28655</v>
      </c>
      <c r="U2247" s="62" t="s">
        <v>28656</v>
      </c>
      <c r="V2247" s="62" t="s">
        <v>50299</v>
      </c>
      <c r="W2247" s="62" t="s">
        <v>28657</v>
      </c>
      <c r="X2247" s="62" t="s">
        <v>28658</v>
      </c>
      <c r="Y2247" s="62" t="s">
        <v>28659</v>
      </c>
      <c r="Z2247" s="62" t="s">
        <v>28660</v>
      </c>
      <c r="AA2247" s="62" t="s">
        <v>50331</v>
      </c>
      <c r="AB2247" s="62" t="s">
        <v>28661</v>
      </c>
      <c r="AC2247" s="62" t="s">
        <v>28662</v>
      </c>
      <c r="AD2247" s="62" t="s">
        <v>28663</v>
      </c>
    </row>
    <row r="2248" spans="1:30" x14ac:dyDescent="0.25">
      <c r="A2248" s="62" t="s">
        <v>109</v>
      </c>
      <c r="C2248" s="62" t="s">
        <v>28664</v>
      </c>
      <c r="F2248" s="62" t="s">
        <v>15081</v>
      </c>
      <c r="G2248" s="62" t="s">
        <v>50204</v>
      </c>
      <c r="J2248" s="62" t="s">
        <v>28665</v>
      </c>
      <c r="K2248" s="62" t="s">
        <v>50236</v>
      </c>
      <c r="L2248" s="62" t="s">
        <v>28666</v>
      </c>
      <c r="M2248" s="62" t="s">
        <v>28667</v>
      </c>
      <c r="N2248" s="62" t="s">
        <v>28668</v>
      </c>
      <c r="O2248" s="62" t="s">
        <v>28669</v>
      </c>
      <c r="P2248" s="62" t="s">
        <v>50268</v>
      </c>
      <c r="Q2248" s="62" t="s">
        <v>28670</v>
      </c>
      <c r="R2248" s="62" t="s">
        <v>28671</v>
      </c>
      <c r="S2248" s="62" t="s">
        <v>28672</v>
      </c>
      <c r="U2248" s="62" t="s">
        <v>28673</v>
      </c>
      <c r="V2248" s="62" t="s">
        <v>50300</v>
      </c>
      <c r="W2248" s="62" t="s">
        <v>28674</v>
      </c>
      <c r="X2248" s="62" t="s">
        <v>28675</v>
      </c>
      <c r="Y2248" s="62" t="s">
        <v>28676</v>
      </c>
      <c r="Z2248" s="62" t="s">
        <v>28677</v>
      </c>
      <c r="AA2248" s="62" t="s">
        <v>50332</v>
      </c>
      <c r="AB2248" s="62" t="s">
        <v>28678</v>
      </c>
      <c r="AC2248" s="62" t="s">
        <v>28679</v>
      </c>
      <c r="AD2248" s="62" t="s">
        <v>28680</v>
      </c>
    </row>
    <row r="2249" spans="1:30" x14ac:dyDescent="0.25">
      <c r="A2249" s="62" t="s">
        <v>109</v>
      </c>
      <c r="C2249" s="62" t="s">
        <v>28681</v>
      </c>
      <c r="F2249" s="62" t="s">
        <v>10595</v>
      </c>
      <c r="G2249" s="62" t="s">
        <v>50205</v>
      </c>
      <c r="J2249" s="62" t="s">
        <v>28682</v>
      </c>
      <c r="K2249" s="62" t="s">
        <v>50237</v>
      </c>
      <c r="L2249" s="62" t="s">
        <v>28683</v>
      </c>
      <c r="M2249" s="62" t="s">
        <v>28684</v>
      </c>
      <c r="N2249" s="62" t="s">
        <v>28685</v>
      </c>
      <c r="O2249" s="62" t="s">
        <v>28686</v>
      </c>
      <c r="P2249" s="62" t="s">
        <v>50269</v>
      </c>
      <c r="Q2249" s="62" t="s">
        <v>28687</v>
      </c>
      <c r="R2249" s="62" t="s">
        <v>28688</v>
      </c>
      <c r="S2249" s="62" t="s">
        <v>28689</v>
      </c>
      <c r="U2249" s="62" t="s">
        <v>28690</v>
      </c>
      <c r="V2249" s="62" t="s">
        <v>50301</v>
      </c>
      <c r="W2249" s="62" t="s">
        <v>28691</v>
      </c>
      <c r="X2249" s="62" t="s">
        <v>28692</v>
      </c>
      <c r="Y2249" s="62" t="s">
        <v>28693</v>
      </c>
      <c r="Z2249" s="62" t="s">
        <v>28694</v>
      </c>
      <c r="AA2249" s="62" t="s">
        <v>50333</v>
      </c>
      <c r="AB2249" s="62" t="s">
        <v>28695</v>
      </c>
      <c r="AC2249" s="62" t="s">
        <v>28696</v>
      </c>
      <c r="AD2249" s="62" t="s">
        <v>28697</v>
      </c>
    </row>
    <row r="2250" spans="1:30" x14ac:dyDescent="0.25">
      <c r="A2250" s="62" t="s">
        <v>109</v>
      </c>
      <c r="C2250" s="62" t="s">
        <v>28698</v>
      </c>
      <c r="F2250" s="62" t="s">
        <v>10613</v>
      </c>
      <c r="G2250" s="62" t="s">
        <v>50206</v>
      </c>
      <c r="J2250" s="62" t="s">
        <v>28699</v>
      </c>
      <c r="K2250" s="62" t="s">
        <v>50238</v>
      </c>
      <c r="L2250" s="62" t="s">
        <v>28700</v>
      </c>
      <c r="M2250" s="62" t="s">
        <v>28701</v>
      </c>
      <c r="N2250" s="62" t="s">
        <v>28702</v>
      </c>
      <c r="O2250" s="62" t="s">
        <v>28703</v>
      </c>
      <c r="P2250" s="62" t="s">
        <v>50270</v>
      </c>
      <c r="Q2250" s="62" t="s">
        <v>28704</v>
      </c>
      <c r="R2250" s="62" t="s">
        <v>28705</v>
      </c>
      <c r="S2250" s="62" t="s">
        <v>28706</v>
      </c>
      <c r="U2250" s="62" t="s">
        <v>28707</v>
      </c>
      <c r="V2250" s="62" t="s">
        <v>50302</v>
      </c>
      <c r="W2250" s="62" t="s">
        <v>28708</v>
      </c>
      <c r="X2250" s="62" t="s">
        <v>28709</v>
      </c>
      <c r="Y2250" s="62" t="s">
        <v>28710</v>
      </c>
      <c r="Z2250" s="62" t="s">
        <v>28711</v>
      </c>
      <c r="AA2250" s="62" t="s">
        <v>50334</v>
      </c>
      <c r="AB2250" s="62" t="s">
        <v>28712</v>
      </c>
      <c r="AC2250" s="62" t="s">
        <v>28713</v>
      </c>
      <c r="AD2250" s="62" t="s">
        <v>28714</v>
      </c>
    </row>
    <row r="2251" spans="1:30" x14ac:dyDescent="0.25">
      <c r="A2251" s="62" t="s">
        <v>109</v>
      </c>
      <c r="C2251" s="62" t="s">
        <v>28715</v>
      </c>
      <c r="F2251" s="62" t="s">
        <v>10649</v>
      </c>
      <c r="G2251" s="62" t="s">
        <v>50207</v>
      </c>
      <c r="J2251" s="62" t="s">
        <v>28716</v>
      </c>
      <c r="K2251" s="62" t="s">
        <v>50239</v>
      </c>
      <c r="L2251" s="62" t="s">
        <v>28717</v>
      </c>
      <c r="M2251" s="62" t="s">
        <v>28718</v>
      </c>
      <c r="N2251" s="62" t="s">
        <v>28719</v>
      </c>
      <c r="O2251" s="62" t="s">
        <v>28720</v>
      </c>
      <c r="P2251" s="62" t="s">
        <v>50271</v>
      </c>
      <c r="Q2251" s="62" t="s">
        <v>28721</v>
      </c>
      <c r="R2251" s="62" t="s">
        <v>28722</v>
      </c>
      <c r="S2251" s="62" t="s">
        <v>28723</v>
      </c>
      <c r="U2251" s="62" t="s">
        <v>28724</v>
      </c>
      <c r="V2251" s="62" t="s">
        <v>50303</v>
      </c>
      <c r="W2251" s="62" t="s">
        <v>28725</v>
      </c>
      <c r="X2251" s="62" t="s">
        <v>28726</v>
      </c>
      <c r="Y2251" s="62" t="s">
        <v>28727</v>
      </c>
      <c r="Z2251" s="62" t="s">
        <v>28728</v>
      </c>
      <c r="AA2251" s="62" t="s">
        <v>50335</v>
      </c>
      <c r="AB2251" s="62" t="s">
        <v>28729</v>
      </c>
      <c r="AC2251" s="62" t="s">
        <v>28730</v>
      </c>
      <c r="AD2251" s="62" t="s">
        <v>28731</v>
      </c>
    </row>
    <row r="2252" spans="1:30" x14ac:dyDescent="0.25">
      <c r="A2252" s="62" t="s">
        <v>109</v>
      </c>
      <c r="C2252" s="62" t="s">
        <v>28732</v>
      </c>
      <c r="F2252" s="62" t="s">
        <v>10703</v>
      </c>
      <c r="G2252" s="62" t="s">
        <v>50208</v>
      </c>
      <c r="J2252" s="62" t="s">
        <v>28733</v>
      </c>
      <c r="K2252" s="62" t="s">
        <v>50240</v>
      </c>
      <c r="L2252" s="62" t="s">
        <v>28734</v>
      </c>
      <c r="M2252" s="62" t="s">
        <v>28735</v>
      </c>
      <c r="N2252" s="62" t="s">
        <v>28736</v>
      </c>
      <c r="O2252" s="62" t="s">
        <v>28737</v>
      </c>
      <c r="P2252" s="62" t="s">
        <v>50272</v>
      </c>
      <c r="Q2252" s="62" t="s">
        <v>28738</v>
      </c>
      <c r="R2252" s="62" t="s">
        <v>28739</v>
      </c>
      <c r="S2252" s="62" t="s">
        <v>28740</v>
      </c>
      <c r="U2252" s="62" t="s">
        <v>28741</v>
      </c>
      <c r="V2252" s="62" t="s">
        <v>50304</v>
      </c>
      <c r="W2252" s="62" t="s">
        <v>28742</v>
      </c>
      <c r="X2252" s="62" t="s">
        <v>28743</v>
      </c>
      <c r="Y2252" s="62" t="s">
        <v>28744</v>
      </c>
      <c r="Z2252" s="62" t="s">
        <v>28745</v>
      </c>
      <c r="AA2252" s="62" t="s">
        <v>50336</v>
      </c>
      <c r="AB2252" s="62" t="s">
        <v>28746</v>
      </c>
      <c r="AC2252" s="62" t="s">
        <v>28747</v>
      </c>
      <c r="AD2252" s="62" t="s">
        <v>28748</v>
      </c>
    </row>
    <row r="2253" spans="1:30" x14ac:dyDescent="0.25">
      <c r="A2253" s="62" t="s">
        <v>109</v>
      </c>
      <c r="C2253" s="62" t="s">
        <v>28749</v>
      </c>
      <c r="F2253" s="62" t="s">
        <v>10739</v>
      </c>
      <c r="G2253" s="62" t="s">
        <v>50209</v>
      </c>
      <c r="J2253" s="62" t="s">
        <v>28750</v>
      </c>
      <c r="K2253" s="62" t="s">
        <v>50241</v>
      </c>
      <c r="L2253" s="62" t="s">
        <v>28751</v>
      </c>
      <c r="M2253" s="62" t="s">
        <v>28752</v>
      </c>
      <c r="N2253" s="62" t="s">
        <v>28753</v>
      </c>
      <c r="O2253" s="62" t="s">
        <v>28754</v>
      </c>
      <c r="P2253" s="62" t="s">
        <v>50273</v>
      </c>
      <c r="Q2253" s="62" t="s">
        <v>28755</v>
      </c>
      <c r="R2253" s="62" t="s">
        <v>28756</v>
      </c>
      <c r="S2253" s="62" t="s">
        <v>28757</v>
      </c>
      <c r="U2253" s="62" t="s">
        <v>28758</v>
      </c>
      <c r="V2253" s="62" t="s">
        <v>50305</v>
      </c>
      <c r="W2253" s="62" t="s">
        <v>28759</v>
      </c>
      <c r="X2253" s="62" t="s">
        <v>28760</v>
      </c>
      <c r="Y2253" s="62" t="s">
        <v>28761</v>
      </c>
      <c r="Z2253" s="62" t="s">
        <v>28762</v>
      </c>
      <c r="AA2253" s="62" t="s">
        <v>50337</v>
      </c>
      <c r="AB2253" s="62" t="s">
        <v>28763</v>
      </c>
      <c r="AC2253" s="62" t="s">
        <v>28764</v>
      </c>
      <c r="AD2253" s="62" t="s">
        <v>28765</v>
      </c>
    </row>
    <row r="2254" spans="1:30" x14ac:dyDescent="0.25">
      <c r="A2254" s="62" t="s">
        <v>109</v>
      </c>
      <c r="C2254" s="62" t="s">
        <v>28766</v>
      </c>
      <c r="F2254" s="62" t="s">
        <v>10757</v>
      </c>
      <c r="G2254" s="62" t="s">
        <v>50210</v>
      </c>
      <c r="J2254" s="62" t="s">
        <v>28767</v>
      </c>
      <c r="K2254" s="62" t="s">
        <v>50242</v>
      </c>
      <c r="L2254" s="62" t="s">
        <v>28768</v>
      </c>
      <c r="M2254" s="62" t="s">
        <v>28769</v>
      </c>
      <c r="N2254" s="62" t="s">
        <v>28770</v>
      </c>
      <c r="O2254" s="62" t="s">
        <v>28771</v>
      </c>
      <c r="P2254" s="62" t="s">
        <v>50274</v>
      </c>
      <c r="Q2254" s="62" t="s">
        <v>28772</v>
      </c>
      <c r="R2254" s="62" t="s">
        <v>28773</v>
      </c>
      <c r="S2254" s="62" t="s">
        <v>28774</v>
      </c>
      <c r="U2254" s="62" t="s">
        <v>28775</v>
      </c>
      <c r="V2254" s="62" t="s">
        <v>50306</v>
      </c>
      <c r="W2254" s="62" t="s">
        <v>28776</v>
      </c>
      <c r="X2254" s="62" t="s">
        <v>28777</v>
      </c>
      <c r="Y2254" s="62" t="s">
        <v>28778</v>
      </c>
      <c r="Z2254" s="62" t="s">
        <v>28779</v>
      </c>
      <c r="AA2254" s="62" t="s">
        <v>50338</v>
      </c>
      <c r="AB2254" s="62" t="s">
        <v>28780</v>
      </c>
      <c r="AC2254" s="62" t="s">
        <v>28781</v>
      </c>
      <c r="AD2254" s="62" t="s">
        <v>28782</v>
      </c>
    </row>
    <row r="2255" spans="1:30" x14ac:dyDescent="0.25">
      <c r="A2255" s="62" t="s">
        <v>109</v>
      </c>
      <c r="C2255" s="62" t="s">
        <v>28783</v>
      </c>
      <c r="F2255" s="62" t="s">
        <v>10793</v>
      </c>
      <c r="G2255" s="62" t="s">
        <v>50211</v>
      </c>
      <c r="J2255" s="62" t="s">
        <v>28784</v>
      </c>
      <c r="K2255" s="62" t="s">
        <v>50243</v>
      </c>
      <c r="L2255" s="62" t="s">
        <v>28785</v>
      </c>
      <c r="M2255" s="62" t="s">
        <v>28786</v>
      </c>
      <c r="N2255" s="62" t="s">
        <v>28787</v>
      </c>
      <c r="O2255" s="62" t="s">
        <v>28788</v>
      </c>
      <c r="P2255" s="62" t="s">
        <v>50275</v>
      </c>
      <c r="Q2255" s="62" t="s">
        <v>28789</v>
      </c>
      <c r="R2255" s="62" t="s">
        <v>28790</v>
      </c>
      <c r="S2255" s="62" t="s">
        <v>28791</v>
      </c>
      <c r="U2255" s="62" t="s">
        <v>28792</v>
      </c>
      <c r="V2255" s="62" t="s">
        <v>50307</v>
      </c>
      <c r="W2255" s="62" t="s">
        <v>28793</v>
      </c>
      <c r="X2255" s="62" t="s">
        <v>28794</v>
      </c>
      <c r="Y2255" s="62" t="s">
        <v>28795</v>
      </c>
      <c r="Z2255" s="62" t="s">
        <v>28796</v>
      </c>
      <c r="AA2255" s="62" t="s">
        <v>50339</v>
      </c>
      <c r="AB2255" s="62" t="s">
        <v>28797</v>
      </c>
      <c r="AC2255" s="62" t="s">
        <v>28798</v>
      </c>
      <c r="AD2255" s="62" t="s">
        <v>28799</v>
      </c>
    </row>
    <row r="2256" spans="1:30" x14ac:dyDescent="0.25">
      <c r="A2256" s="62" t="s">
        <v>109</v>
      </c>
      <c r="C2256" s="62" t="s">
        <v>28800</v>
      </c>
      <c r="F2256" s="62" t="s">
        <v>10811</v>
      </c>
      <c r="G2256" s="62" t="s">
        <v>50212</v>
      </c>
      <c r="J2256" s="62" t="s">
        <v>28801</v>
      </c>
      <c r="K2256" s="62" t="s">
        <v>50244</v>
      </c>
      <c r="L2256" s="62" t="s">
        <v>28802</v>
      </c>
      <c r="M2256" s="62" t="s">
        <v>28803</v>
      </c>
      <c r="N2256" s="62" t="s">
        <v>28804</v>
      </c>
      <c r="O2256" s="62" t="s">
        <v>28805</v>
      </c>
      <c r="P2256" s="62" t="s">
        <v>50276</v>
      </c>
      <c r="Q2256" s="62" t="s">
        <v>28806</v>
      </c>
      <c r="R2256" s="62" t="s">
        <v>28807</v>
      </c>
      <c r="S2256" s="62" t="s">
        <v>28808</v>
      </c>
      <c r="U2256" s="62" t="s">
        <v>28809</v>
      </c>
      <c r="V2256" s="62" t="s">
        <v>50308</v>
      </c>
      <c r="W2256" s="62" t="s">
        <v>28810</v>
      </c>
      <c r="X2256" s="62" t="s">
        <v>28811</v>
      </c>
      <c r="Y2256" s="62" t="s">
        <v>28812</v>
      </c>
      <c r="Z2256" s="62" t="s">
        <v>28813</v>
      </c>
      <c r="AA2256" s="62" t="s">
        <v>50340</v>
      </c>
      <c r="AB2256" s="62" t="s">
        <v>28814</v>
      </c>
      <c r="AC2256" s="62" t="s">
        <v>28815</v>
      </c>
      <c r="AD2256" s="62" t="s">
        <v>28816</v>
      </c>
    </row>
    <row r="2257" spans="1:30" x14ac:dyDescent="0.25">
      <c r="A2257" s="62" t="s">
        <v>109</v>
      </c>
      <c r="C2257" s="62" t="s">
        <v>28817</v>
      </c>
      <c r="F2257" s="62" t="s">
        <v>13236</v>
      </c>
      <c r="G2257" s="62" t="s">
        <v>50213</v>
      </c>
      <c r="J2257" s="62" t="s">
        <v>28818</v>
      </c>
      <c r="K2257" s="62" t="s">
        <v>50245</v>
      </c>
      <c r="L2257" s="62" t="s">
        <v>28819</v>
      </c>
      <c r="M2257" s="62" t="s">
        <v>28820</v>
      </c>
      <c r="N2257" s="62" t="s">
        <v>28821</v>
      </c>
      <c r="O2257" s="62" t="s">
        <v>28822</v>
      </c>
      <c r="P2257" s="62" t="s">
        <v>50277</v>
      </c>
      <c r="Q2257" s="62" t="s">
        <v>28823</v>
      </c>
      <c r="R2257" s="62" t="s">
        <v>28824</v>
      </c>
      <c r="S2257" s="62" t="s">
        <v>28825</v>
      </c>
      <c r="U2257" s="62" t="s">
        <v>28826</v>
      </c>
      <c r="V2257" s="62" t="s">
        <v>50309</v>
      </c>
      <c r="W2257" s="62" t="s">
        <v>28827</v>
      </c>
      <c r="X2257" s="62" t="s">
        <v>28828</v>
      </c>
      <c r="Y2257" s="62" t="s">
        <v>28829</v>
      </c>
      <c r="Z2257" s="62" t="s">
        <v>28830</v>
      </c>
      <c r="AA2257" s="62" t="s">
        <v>50341</v>
      </c>
      <c r="AB2257" s="62" t="s">
        <v>28831</v>
      </c>
      <c r="AC2257" s="62" t="s">
        <v>28832</v>
      </c>
      <c r="AD2257" s="62" t="s">
        <v>28833</v>
      </c>
    </row>
    <row r="2258" spans="1:30" x14ac:dyDescent="0.25">
      <c r="A2258" s="62" t="s">
        <v>109</v>
      </c>
      <c r="C2258" s="62" t="s">
        <v>28834</v>
      </c>
      <c r="F2258" s="62" t="s">
        <v>13238</v>
      </c>
      <c r="G2258" s="62" t="s">
        <v>50214</v>
      </c>
      <c r="J2258" s="62" t="s">
        <v>28835</v>
      </c>
      <c r="K2258" s="62" t="s">
        <v>50246</v>
      </c>
      <c r="L2258" s="62" t="s">
        <v>28836</v>
      </c>
      <c r="M2258" s="62" t="s">
        <v>28837</v>
      </c>
      <c r="N2258" s="62" t="s">
        <v>28838</v>
      </c>
      <c r="O2258" s="62" t="s">
        <v>28839</v>
      </c>
      <c r="P2258" s="62" t="s">
        <v>50278</v>
      </c>
      <c r="Q2258" s="62" t="s">
        <v>28840</v>
      </c>
      <c r="R2258" s="62" t="s">
        <v>28841</v>
      </c>
      <c r="S2258" s="62" t="s">
        <v>28842</v>
      </c>
      <c r="U2258" s="62" t="s">
        <v>28843</v>
      </c>
      <c r="V2258" s="62" t="s">
        <v>50310</v>
      </c>
      <c r="W2258" s="62" t="s">
        <v>28844</v>
      </c>
      <c r="X2258" s="62" t="s">
        <v>28845</v>
      </c>
      <c r="Y2258" s="62" t="s">
        <v>28846</v>
      </c>
      <c r="Z2258" s="62" t="s">
        <v>28847</v>
      </c>
      <c r="AA2258" s="62" t="s">
        <v>50342</v>
      </c>
      <c r="AB2258" s="62" t="s">
        <v>28848</v>
      </c>
      <c r="AC2258" s="62" t="s">
        <v>28849</v>
      </c>
      <c r="AD2258" s="62" t="s">
        <v>28850</v>
      </c>
    </row>
    <row r="2259" spans="1:30" x14ac:dyDescent="0.25">
      <c r="A2259" s="62" t="s">
        <v>109</v>
      </c>
      <c r="C2259" s="62" t="s">
        <v>28851</v>
      </c>
      <c r="F2259" s="62" t="s">
        <v>1249</v>
      </c>
      <c r="G2259" s="62" t="s">
        <v>50215</v>
      </c>
      <c r="J2259" s="62" t="s">
        <v>28852</v>
      </c>
      <c r="K2259" s="62" t="s">
        <v>50247</v>
      </c>
      <c r="L2259" s="62" t="s">
        <v>28853</v>
      </c>
      <c r="M2259" s="62" t="s">
        <v>28854</v>
      </c>
      <c r="N2259" s="62" t="s">
        <v>28855</v>
      </c>
      <c r="O2259" s="62" t="s">
        <v>28856</v>
      </c>
      <c r="P2259" s="62" t="s">
        <v>50279</v>
      </c>
      <c r="Q2259" s="62" t="s">
        <v>28857</v>
      </c>
      <c r="R2259" s="62" t="s">
        <v>28858</v>
      </c>
      <c r="S2259" s="62" t="s">
        <v>28859</v>
      </c>
      <c r="U2259" s="62" t="s">
        <v>28860</v>
      </c>
      <c r="V2259" s="62" t="s">
        <v>50311</v>
      </c>
      <c r="W2259" s="62" t="s">
        <v>28861</v>
      </c>
      <c r="X2259" s="62" t="s">
        <v>28862</v>
      </c>
      <c r="Y2259" s="62" t="s">
        <v>28863</v>
      </c>
      <c r="Z2259" s="62" t="s">
        <v>28864</v>
      </c>
      <c r="AA2259" s="62" t="s">
        <v>50343</v>
      </c>
      <c r="AB2259" s="62" t="s">
        <v>28865</v>
      </c>
      <c r="AC2259" s="62" t="s">
        <v>28866</v>
      </c>
      <c r="AD2259" s="62" t="s">
        <v>28867</v>
      </c>
    </row>
    <row r="2260" spans="1:30" x14ac:dyDescent="0.25">
      <c r="A2260" s="62" t="s">
        <v>109</v>
      </c>
      <c r="C2260" s="62" t="s">
        <v>28868</v>
      </c>
      <c r="F2260" s="62" t="s">
        <v>1797</v>
      </c>
      <c r="G2260" s="62" t="s">
        <v>50216</v>
      </c>
      <c r="J2260" s="62" t="s">
        <v>28869</v>
      </c>
      <c r="K2260" s="62" t="s">
        <v>50248</v>
      </c>
      <c r="L2260" s="62" t="s">
        <v>28870</v>
      </c>
      <c r="M2260" s="62" t="s">
        <v>28871</v>
      </c>
      <c r="N2260" s="62" t="s">
        <v>28872</v>
      </c>
      <c r="O2260" s="62" t="s">
        <v>28873</v>
      </c>
      <c r="P2260" s="62" t="s">
        <v>50280</v>
      </c>
      <c r="Q2260" s="62" t="s">
        <v>28874</v>
      </c>
      <c r="R2260" s="62" t="s">
        <v>28875</v>
      </c>
      <c r="S2260" s="62" t="s">
        <v>28876</v>
      </c>
      <c r="U2260" s="62" t="s">
        <v>28877</v>
      </c>
      <c r="V2260" s="62" t="s">
        <v>50312</v>
      </c>
      <c r="W2260" s="62" t="s">
        <v>28878</v>
      </c>
      <c r="X2260" s="62" t="s">
        <v>28879</v>
      </c>
      <c r="Y2260" s="62" t="s">
        <v>28880</v>
      </c>
      <c r="Z2260" s="62" t="s">
        <v>28881</v>
      </c>
      <c r="AA2260" s="62" t="s">
        <v>50344</v>
      </c>
      <c r="AB2260" s="62" t="s">
        <v>28882</v>
      </c>
      <c r="AC2260" s="62" t="s">
        <v>28883</v>
      </c>
      <c r="AD2260" s="62" t="s">
        <v>28884</v>
      </c>
    </row>
    <row r="2261" spans="1:30" x14ac:dyDescent="0.25">
      <c r="A2261" s="62" t="s">
        <v>109</v>
      </c>
      <c r="C2261" s="62" t="s">
        <v>28885</v>
      </c>
      <c r="F2261" s="62" t="s">
        <v>13249</v>
      </c>
      <c r="G2261" s="62" t="s">
        <v>50217</v>
      </c>
      <c r="J2261" s="62" t="s">
        <v>28886</v>
      </c>
      <c r="K2261" s="62" t="s">
        <v>50249</v>
      </c>
      <c r="L2261" s="62" t="s">
        <v>28887</v>
      </c>
      <c r="M2261" s="62" t="s">
        <v>28888</v>
      </c>
      <c r="N2261" s="62" t="s">
        <v>28889</v>
      </c>
      <c r="O2261" s="62" t="s">
        <v>28890</v>
      </c>
      <c r="P2261" s="62" t="s">
        <v>50281</v>
      </c>
      <c r="Q2261" s="62" t="s">
        <v>28891</v>
      </c>
      <c r="R2261" s="62" t="s">
        <v>28892</v>
      </c>
      <c r="S2261" s="62" t="s">
        <v>28893</v>
      </c>
      <c r="U2261" s="62" t="s">
        <v>28894</v>
      </c>
      <c r="V2261" s="62" t="s">
        <v>50313</v>
      </c>
      <c r="W2261" s="62" t="s">
        <v>28895</v>
      </c>
      <c r="X2261" s="62" t="s">
        <v>28896</v>
      </c>
      <c r="Y2261" s="62" t="s">
        <v>28897</v>
      </c>
      <c r="Z2261" s="62" t="s">
        <v>28898</v>
      </c>
      <c r="AA2261" s="62" t="s">
        <v>50345</v>
      </c>
      <c r="AB2261" s="62" t="s">
        <v>28899</v>
      </c>
      <c r="AC2261" s="62" t="s">
        <v>28900</v>
      </c>
      <c r="AD2261" s="62" t="s">
        <v>28901</v>
      </c>
    </row>
    <row r="2262" spans="1:30" x14ac:dyDescent="0.25">
      <c r="A2262" s="62" t="s">
        <v>109</v>
      </c>
      <c r="C2262" s="62" t="s">
        <v>28902</v>
      </c>
      <c r="F2262" s="62" t="s">
        <v>10925</v>
      </c>
      <c r="G2262" s="62" t="s">
        <v>50218</v>
      </c>
      <c r="J2262" s="62" t="s">
        <v>28903</v>
      </c>
      <c r="K2262" s="62" t="s">
        <v>50250</v>
      </c>
      <c r="L2262" s="62" t="s">
        <v>28904</v>
      </c>
      <c r="M2262" s="62" t="s">
        <v>28905</v>
      </c>
      <c r="N2262" s="62" t="s">
        <v>28906</v>
      </c>
      <c r="O2262" s="62" t="s">
        <v>28907</v>
      </c>
      <c r="P2262" s="62" t="s">
        <v>50282</v>
      </c>
      <c r="Q2262" s="62" t="s">
        <v>28908</v>
      </c>
      <c r="R2262" s="62" t="s">
        <v>28909</v>
      </c>
      <c r="S2262" s="62" t="s">
        <v>28910</v>
      </c>
      <c r="U2262" s="62" t="s">
        <v>28911</v>
      </c>
      <c r="V2262" s="62" t="s">
        <v>50314</v>
      </c>
      <c r="W2262" s="62" t="s">
        <v>28912</v>
      </c>
      <c r="X2262" s="62" t="s">
        <v>28913</v>
      </c>
      <c r="Y2262" s="62" t="s">
        <v>28914</v>
      </c>
      <c r="Z2262" s="62" t="s">
        <v>28915</v>
      </c>
      <c r="AA2262" s="62" t="s">
        <v>50346</v>
      </c>
      <c r="AB2262" s="62" t="s">
        <v>28916</v>
      </c>
      <c r="AC2262" s="62" t="s">
        <v>28917</v>
      </c>
      <c r="AD2262" s="62" t="s">
        <v>28918</v>
      </c>
    </row>
    <row r="2263" spans="1:30" x14ac:dyDescent="0.25">
      <c r="A2263" s="62" t="s">
        <v>109</v>
      </c>
      <c r="C2263" s="62" t="s">
        <v>28467</v>
      </c>
    </row>
    <row r="2264" spans="1:30" x14ac:dyDescent="0.25">
      <c r="A2264" s="62" t="s">
        <v>109</v>
      </c>
      <c r="C2264" s="62" t="s">
        <v>28919</v>
      </c>
      <c r="G2264" s="62" t="s">
        <v>44941</v>
      </c>
      <c r="J2264" s="62" t="s">
        <v>44942</v>
      </c>
      <c r="K2264" s="62" t="s">
        <v>44943</v>
      </c>
      <c r="L2264" s="62" t="s">
        <v>44944</v>
      </c>
      <c r="M2264" s="62" t="s">
        <v>28920</v>
      </c>
      <c r="N2264" s="62" t="s">
        <v>28921</v>
      </c>
      <c r="O2264" s="62" t="s">
        <v>44945</v>
      </c>
      <c r="P2264" s="62" t="s">
        <v>44946</v>
      </c>
      <c r="Q2264" s="62" t="s">
        <v>44947</v>
      </c>
      <c r="R2264" s="62" t="s">
        <v>28922</v>
      </c>
      <c r="S2264" s="62" t="s">
        <v>28923</v>
      </c>
      <c r="U2264" s="62" t="s">
        <v>44948</v>
      </c>
      <c r="V2264" s="62" t="s">
        <v>44949</v>
      </c>
      <c r="W2264" s="62" t="s">
        <v>44950</v>
      </c>
      <c r="X2264" s="62" t="s">
        <v>28924</v>
      </c>
      <c r="Y2264" s="62" t="s">
        <v>28925</v>
      </c>
      <c r="Z2264" s="62" t="s">
        <v>44951</v>
      </c>
      <c r="AA2264" s="62" t="s">
        <v>44952</v>
      </c>
      <c r="AB2264" s="62" t="s">
        <v>44953</v>
      </c>
      <c r="AC2264" s="62" t="s">
        <v>28926</v>
      </c>
      <c r="AD2264" s="62" t="s">
        <v>28927</v>
      </c>
    </row>
    <row r="2265" spans="1:30" x14ac:dyDescent="0.25">
      <c r="A2265" s="62" t="s">
        <v>109</v>
      </c>
    </row>
    <row r="2266" spans="1:30" x14ac:dyDescent="0.25">
      <c r="A2266" s="62" t="s">
        <v>109</v>
      </c>
      <c r="C2266" s="62" t="s">
        <v>44954</v>
      </c>
      <c r="E2266" s="62" t="s">
        <v>37347</v>
      </c>
      <c r="G2266" s="62" t="s">
        <v>44955</v>
      </c>
    </row>
    <row r="2267" spans="1:30" x14ac:dyDescent="0.25">
      <c r="A2267" s="62" t="s">
        <v>109</v>
      </c>
      <c r="C2267" s="62" t="s">
        <v>28928</v>
      </c>
    </row>
    <row r="2268" spans="1:30" x14ac:dyDescent="0.25">
      <c r="A2268" s="62" t="s">
        <v>109</v>
      </c>
      <c r="C2268" s="62" t="s">
        <v>28929</v>
      </c>
      <c r="F2268" s="62" t="s">
        <v>44956</v>
      </c>
      <c r="G2268" s="62" t="s">
        <v>50007</v>
      </c>
      <c r="J2268" s="62" t="s">
        <v>28930</v>
      </c>
      <c r="K2268" s="62" t="s">
        <v>50043</v>
      </c>
      <c r="L2268" s="62" t="s">
        <v>28931</v>
      </c>
      <c r="M2268" s="62" t="s">
        <v>28932</v>
      </c>
      <c r="N2268" s="62" t="s">
        <v>28933</v>
      </c>
      <c r="O2268" s="62" t="s">
        <v>28934</v>
      </c>
      <c r="P2268" s="62" t="s">
        <v>50079</v>
      </c>
      <c r="Q2268" s="62" t="s">
        <v>28935</v>
      </c>
      <c r="R2268" s="62" t="s">
        <v>28936</v>
      </c>
      <c r="S2268" s="62" t="s">
        <v>28937</v>
      </c>
      <c r="U2268" s="62" t="s">
        <v>28938</v>
      </c>
      <c r="V2268" s="62" t="s">
        <v>50115</v>
      </c>
      <c r="W2268" s="62" t="s">
        <v>28939</v>
      </c>
      <c r="X2268" s="62" t="s">
        <v>28940</v>
      </c>
      <c r="Y2268" s="62" t="s">
        <v>28941</v>
      </c>
      <c r="Z2268" s="62" t="s">
        <v>28942</v>
      </c>
      <c r="AA2268" s="62" t="s">
        <v>50151</v>
      </c>
      <c r="AB2268" s="62" t="s">
        <v>28943</v>
      </c>
      <c r="AC2268" s="62" t="s">
        <v>28944</v>
      </c>
      <c r="AD2268" s="62" t="s">
        <v>28945</v>
      </c>
    </row>
    <row r="2269" spans="1:30" x14ac:dyDescent="0.25">
      <c r="A2269" s="62" t="s">
        <v>109</v>
      </c>
      <c r="C2269" s="62" t="s">
        <v>28946</v>
      </c>
      <c r="F2269" s="62" t="s">
        <v>2212</v>
      </c>
      <c r="G2269" s="62" t="s">
        <v>50008</v>
      </c>
      <c r="J2269" s="62" t="s">
        <v>28947</v>
      </c>
      <c r="K2269" s="62" t="s">
        <v>50044</v>
      </c>
      <c r="L2269" s="62" t="s">
        <v>28948</v>
      </c>
      <c r="M2269" s="62" t="s">
        <v>28949</v>
      </c>
      <c r="N2269" s="62" t="s">
        <v>28950</v>
      </c>
      <c r="O2269" s="62" t="s">
        <v>28951</v>
      </c>
      <c r="P2269" s="62" t="s">
        <v>50080</v>
      </c>
      <c r="Q2269" s="62" t="s">
        <v>28952</v>
      </c>
      <c r="R2269" s="62" t="s">
        <v>28953</v>
      </c>
      <c r="S2269" s="62" t="s">
        <v>28954</v>
      </c>
      <c r="U2269" s="62" t="s">
        <v>28955</v>
      </c>
      <c r="V2269" s="62" t="s">
        <v>50116</v>
      </c>
      <c r="W2269" s="62" t="s">
        <v>28956</v>
      </c>
      <c r="X2269" s="62" t="s">
        <v>28957</v>
      </c>
      <c r="Y2269" s="62" t="s">
        <v>28958</v>
      </c>
      <c r="Z2269" s="62" t="s">
        <v>28959</v>
      </c>
      <c r="AA2269" s="62" t="s">
        <v>50152</v>
      </c>
      <c r="AB2269" s="62" t="s">
        <v>28960</v>
      </c>
      <c r="AC2269" s="62" t="s">
        <v>28961</v>
      </c>
      <c r="AD2269" s="62" t="s">
        <v>28962</v>
      </c>
    </row>
    <row r="2270" spans="1:30" x14ac:dyDescent="0.25">
      <c r="A2270" s="62" t="s">
        <v>109</v>
      </c>
      <c r="C2270" s="62" t="s">
        <v>28963</v>
      </c>
      <c r="F2270" s="62" t="s">
        <v>10282</v>
      </c>
      <c r="G2270" s="62" t="s">
        <v>50009</v>
      </c>
      <c r="J2270" s="62" t="s">
        <v>28964</v>
      </c>
      <c r="K2270" s="62" t="s">
        <v>50045</v>
      </c>
      <c r="L2270" s="62" t="s">
        <v>28965</v>
      </c>
      <c r="M2270" s="62" t="s">
        <v>28966</v>
      </c>
      <c r="N2270" s="62" t="s">
        <v>28967</v>
      </c>
      <c r="O2270" s="62" t="s">
        <v>28968</v>
      </c>
      <c r="P2270" s="62" t="s">
        <v>50081</v>
      </c>
      <c r="Q2270" s="62" t="s">
        <v>28969</v>
      </c>
      <c r="R2270" s="62" t="s">
        <v>28970</v>
      </c>
      <c r="S2270" s="62" t="s">
        <v>28971</v>
      </c>
      <c r="U2270" s="62" t="s">
        <v>28972</v>
      </c>
      <c r="V2270" s="62" t="s">
        <v>50117</v>
      </c>
      <c r="W2270" s="62" t="s">
        <v>28973</v>
      </c>
      <c r="X2270" s="62" t="s">
        <v>28974</v>
      </c>
      <c r="Y2270" s="62" t="s">
        <v>28975</v>
      </c>
      <c r="Z2270" s="62" t="s">
        <v>28976</v>
      </c>
      <c r="AA2270" s="62" t="s">
        <v>50153</v>
      </c>
      <c r="AB2270" s="62" t="s">
        <v>28977</v>
      </c>
      <c r="AC2270" s="62" t="s">
        <v>28978</v>
      </c>
      <c r="AD2270" s="62" t="s">
        <v>28979</v>
      </c>
    </row>
    <row r="2271" spans="1:30" x14ac:dyDescent="0.25">
      <c r="A2271" s="62" t="s">
        <v>109</v>
      </c>
      <c r="C2271" s="62" t="s">
        <v>28980</v>
      </c>
      <c r="F2271" s="62" t="s">
        <v>10284</v>
      </c>
      <c r="G2271" s="62" t="s">
        <v>50010</v>
      </c>
      <c r="J2271" s="62" t="s">
        <v>28981</v>
      </c>
      <c r="K2271" s="62" t="s">
        <v>50046</v>
      </c>
      <c r="L2271" s="62" t="s">
        <v>28982</v>
      </c>
      <c r="M2271" s="62" t="s">
        <v>28983</v>
      </c>
      <c r="N2271" s="62" t="s">
        <v>28984</v>
      </c>
      <c r="O2271" s="62" t="s">
        <v>28985</v>
      </c>
      <c r="P2271" s="62" t="s">
        <v>50082</v>
      </c>
      <c r="Q2271" s="62" t="s">
        <v>28986</v>
      </c>
      <c r="R2271" s="62" t="s">
        <v>28987</v>
      </c>
      <c r="S2271" s="62" t="s">
        <v>28988</v>
      </c>
      <c r="U2271" s="62" t="s">
        <v>28989</v>
      </c>
      <c r="V2271" s="62" t="s">
        <v>50118</v>
      </c>
      <c r="W2271" s="62" t="s">
        <v>28990</v>
      </c>
      <c r="X2271" s="62" t="s">
        <v>28991</v>
      </c>
      <c r="Y2271" s="62" t="s">
        <v>28992</v>
      </c>
      <c r="Z2271" s="62" t="s">
        <v>28993</v>
      </c>
      <c r="AA2271" s="62" t="s">
        <v>50154</v>
      </c>
      <c r="AB2271" s="62" t="s">
        <v>28994</v>
      </c>
      <c r="AC2271" s="62" t="s">
        <v>28995</v>
      </c>
      <c r="AD2271" s="62" t="s">
        <v>28996</v>
      </c>
    </row>
    <row r="2272" spans="1:30" x14ac:dyDescent="0.25">
      <c r="A2272" s="62" t="s">
        <v>109</v>
      </c>
      <c r="C2272" s="62" t="s">
        <v>28997</v>
      </c>
      <c r="F2272" s="62" t="s">
        <v>12860</v>
      </c>
      <c r="G2272" s="62" t="s">
        <v>50011</v>
      </c>
      <c r="J2272" s="62" t="s">
        <v>28998</v>
      </c>
      <c r="K2272" s="62" t="s">
        <v>50047</v>
      </c>
      <c r="L2272" s="62" t="s">
        <v>28999</v>
      </c>
      <c r="M2272" s="62" t="s">
        <v>29000</v>
      </c>
      <c r="N2272" s="62" t="s">
        <v>29001</v>
      </c>
      <c r="O2272" s="62" t="s">
        <v>29002</v>
      </c>
      <c r="P2272" s="62" t="s">
        <v>50083</v>
      </c>
      <c r="Q2272" s="62" t="s">
        <v>29003</v>
      </c>
      <c r="R2272" s="62" t="s">
        <v>29004</v>
      </c>
      <c r="S2272" s="62" t="s">
        <v>29005</v>
      </c>
      <c r="U2272" s="62" t="s">
        <v>29006</v>
      </c>
      <c r="V2272" s="62" t="s">
        <v>50119</v>
      </c>
      <c r="W2272" s="62" t="s">
        <v>29007</v>
      </c>
      <c r="X2272" s="62" t="s">
        <v>29008</v>
      </c>
      <c r="Y2272" s="62" t="s">
        <v>29009</v>
      </c>
      <c r="Z2272" s="62" t="s">
        <v>29010</v>
      </c>
      <c r="AA2272" s="62" t="s">
        <v>50155</v>
      </c>
      <c r="AB2272" s="62" t="s">
        <v>29011</v>
      </c>
      <c r="AC2272" s="62" t="s">
        <v>29012</v>
      </c>
      <c r="AD2272" s="62" t="s">
        <v>29013</v>
      </c>
    </row>
    <row r="2273" spans="1:30" x14ac:dyDescent="0.25">
      <c r="A2273" s="62" t="s">
        <v>109</v>
      </c>
      <c r="C2273" s="62" t="s">
        <v>29014</v>
      </c>
      <c r="F2273" s="62" t="s">
        <v>340</v>
      </c>
      <c r="G2273" s="62" t="s">
        <v>50012</v>
      </c>
      <c r="J2273" s="62" t="s">
        <v>29015</v>
      </c>
      <c r="K2273" s="62" t="s">
        <v>50048</v>
      </c>
      <c r="L2273" s="62" t="s">
        <v>29016</v>
      </c>
      <c r="M2273" s="62" t="s">
        <v>29017</v>
      </c>
      <c r="N2273" s="62" t="s">
        <v>29018</v>
      </c>
      <c r="O2273" s="62" t="s">
        <v>29019</v>
      </c>
      <c r="P2273" s="62" t="s">
        <v>50084</v>
      </c>
      <c r="Q2273" s="62" t="s">
        <v>29020</v>
      </c>
      <c r="R2273" s="62" t="s">
        <v>29021</v>
      </c>
      <c r="S2273" s="62" t="s">
        <v>29022</v>
      </c>
      <c r="U2273" s="62" t="s">
        <v>29023</v>
      </c>
      <c r="V2273" s="62" t="s">
        <v>50120</v>
      </c>
      <c r="W2273" s="62" t="s">
        <v>29024</v>
      </c>
      <c r="X2273" s="62" t="s">
        <v>29025</v>
      </c>
      <c r="Y2273" s="62" t="s">
        <v>29026</v>
      </c>
      <c r="Z2273" s="62" t="s">
        <v>29027</v>
      </c>
      <c r="AA2273" s="62" t="s">
        <v>50156</v>
      </c>
      <c r="AB2273" s="62" t="s">
        <v>29028</v>
      </c>
      <c r="AC2273" s="62" t="s">
        <v>29029</v>
      </c>
      <c r="AD2273" s="62" t="s">
        <v>29030</v>
      </c>
    </row>
    <row r="2274" spans="1:30" x14ac:dyDescent="0.25">
      <c r="A2274" s="62" t="s">
        <v>109</v>
      </c>
      <c r="C2274" s="62" t="s">
        <v>29031</v>
      </c>
      <c r="F2274" s="62" t="s">
        <v>10295</v>
      </c>
      <c r="G2274" s="62" t="s">
        <v>50013</v>
      </c>
      <c r="J2274" s="62" t="s">
        <v>29032</v>
      </c>
      <c r="K2274" s="62" t="s">
        <v>50049</v>
      </c>
      <c r="L2274" s="62" t="s">
        <v>29033</v>
      </c>
      <c r="M2274" s="62" t="s">
        <v>29034</v>
      </c>
      <c r="N2274" s="62" t="s">
        <v>29035</v>
      </c>
      <c r="O2274" s="62" t="s">
        <v>29036</v>
      </c>
      <c r="P2274" s="62" t="s">
        <v>50085</v>
      </c>
      <c r="Q2274" s="62" t="s">
        <v>29037</v>
      </c>
      <c r="R2274" s="62" t="s">
        <v>29038</v>
      </c>
      <c r="S2274" s="62" t="s">
        <v>29039</v>
      </c>
      <c r="U2274" s="62" t="s">
        <v>29040</v>
      </c>
      <c r="V2274" s="62" t="s">
        <v>50121</v>
      </c>
      <c r="W2274" s="62" t="s">
        <v>29041</v>
      </c>
      <c r="X2274" s="62" t="s">
        <v>29042</v>
      </c>
      <c r="Y2274" s="62" t="s">
        <v>29043</v>
      </c>
      <c r="Z2274" s="62" t="s">
        <v>29044</v>
      </c>
      <c r="AA2274" s="62" t="s">
        <v>50157</v>
      </c>
      <c r="AB2274" s="62" t="s">
        <v>29045</v>
      </c>
      <c r="AC2274" s="62" t="s">
        <v>29046</v>
      </c>
      <c r="AD2274" s="62" t="s">
        <v>29047</v>
      </c>
    </row>
    <row r="2275" spans="1:30" x14ac:dyDescent="0.25">
      <c r="A2275" s="62" t="s">
        <v>109</v>
      </c>
      <c r="C2275" s="62" t="s">
        <v>29048</v>
      </c>
      <c r="F2275" s="62" t="s">
        <v>985</v>
      </c>
      <c r="G2275" s="62" t="s">
        <v>50014</v>
      </c>
      <c r="J2275" s="62" t="s">
        <v>29049</v>
      </c>
      <c r="K2275" s="62" t="s">
        <v>50050</v>
      </c>
      <c r="L2275" s="62" t="s">
        <v>29050</v>
      </c>
      <c r="M2275" s="62" t="s">
        <v>29051</v>
      </c>
      <c r="N2275" s="62" t="s">
        <v>29052</v>
      </c>
      <c r="O2275" s="62" t="s">
        <v>29053</v>
      </c>
      <c r="P2275" s="62" t="s">
        <v>50086</v>
      </c>
      <c r="Q2275" s="62" t="s">
        <v>29054</v>
      </c>
      <c r="R2275" s="62" t="s">
        <v>29055</v>
      </c>
      <c r="S2275" s="62" t="s">
        <v>29056</v>
      </c>
      <c r="U2275" s="62" t="s">
        <v>29057</v>
      </c>
      <c r="V2275" s="62" t="s">
        <v>50122</v>
      </c>
      <c r="W2275" s="62" t="s">
        <v>29058</v>
      </c>
      <c r="X2275" s="62" t="s">
        <v>29059</v>
      </c>
      <c r="Y2275" s="62" t="s">
        <v>29060</v>
      </c>
      <c r="Z2275" s="62" t="s">
        <v>29061</v>
      </c>
      <c r="AA2275" s="62" t="s">
        <v>50158</v>
      </c>
      <c r="AB2275" s="62" t="s">
        <v>29062</v>
      </c>
      <c r="AC2275" s="62" t="s">
        <v>29063</v>
      </c>
      <c r="AD2275" s="62" t="s">
        <v>29064</v>
      </c>
    </row>
    <row r="2276" spans="1:30" x14ac:dyDescent="0.25">
      <c r="A2276" s="62" t="s">
        <v>109</v>
      </c>
      <c r="C2276" s="62" t="s">
        <v>29065</v>
      </c>
      <c r="F2276" s="62" t="s">
        <v>10314</v>
      </c>
      <c r="G2276" s="62" t="s">
        <v>50015</v>
      </c>
      <c r="J2276" s="62" t="s">
        <v>29066</v>
      </c>
      <c r="K2276" s="62" t="s">
        <v>50051</v>
      </c>
      <c r="L2276" s="62" t="s">
        <v>29067</v>
      </c>
      <c r="M2276" s="62" t="s">
        <v>29068</v>
      </c>
      <c r="N2276" s="62" t="s">
        <v>29069</v>
      </c>
      <c r="O2276" s="62" t="s">
        <v>29070</v>
      </c>
      <c r="P2276" s="62" t="s">
        <v>50087</v>
      </c>
      <c r="Q2276" s="62" t="s">
        <v>29071</v>
      </c>
      <c r="R2276" s="62" t="s">
        <v>29072</v>
      </c>
      <c r="S2276" s="62" t="s">
        <v>29073</v>
      </c>
      <c r="U2276" s="62" t="s">
        <v>29074</v>
      </c>
      <c r="V2276" s="62" t="s">
        <v>50123</v>
      </c>
      <c r="W2276" s="62" t="s">
        <v>29075</v>
      </c>
      <c r="X2276" s="62" t="s">
        <v>29076</v>
      </c>
      <c r="Y2276" s="62" t="s">
        <v>29077</v>
      </c>
      <c r="Z2276" s="62" t="s">
        <v>29078</v>
      </c>
      <c r="AA2276" s="62" t="s">
        <v>50159</v>
      </c>
      <c r="AB2276" s="62" t="s">
        <v>29079</v>
      </c>
      <c r="AC2276" s="62" t="s">
        <v>29080</v>
      </c>
      <c r="AD2276" s="62" t="s">
        <v>29081</v>
      </c>
    </row>
    <row r="2277" spans="1:30" x14ac:dyDescent="0.25">
      <c r="A2277" s="62" t="s">
        <v>109</v>
      </c>
      <c r="C2277" s="62" t="s">
        <v>29082</v>
      </c>
      <c r="F2277" s="62" t="s">
        <v>19275</v>
      </c>
      <c r="G2277" s="62" t="s">
        <v>50016</v>
      </c>
      <c r="J2277" s="62" t="s">
        <v>29083</v>
      </c>
      <c r="K2277" s="62" t="s">
        <v>50052</v>
      </c>
      <c r="L2277" s="62" t="s">
        <v>29084</v>
      </c>
      <c r="M2277" s="62" t="s">
        <v>29085</v>
      </c>
      <c r="N2277" s="62" t="s">
        <v>29086</v>
      </c>
      <c r="O2277" s="62" t="s">
        <v>29087</v>
      </c>
      <c r="P2277" s="62" t="s">
        <v>50088</v>
      </c>
      <c r="Q2277" s="62" t="s">
        <v>29088</v>
      </c>
      <c r="R2277" s="62" t="s">
        <v>29089</v>
      </c>
      <c r="S2277" s="62" t="s">
        <v>29090</v>
      </c>
      <c r="U2277" s="62" t="s">
        <v>29091</v>
      </c>
      <c r="V2277" s="62" t="s">
        <v>50124</v>
      </c>
      <c r="W2277" s="62" t="s">
        <v>29092</v>
      </c>
      <c r="X2277" s="62" t="s">
        <v>29093</v>
      </c>
      <c r="Y2277" s="62" t="s">
        <v>29094</v>
      </c>
      <c r="Z2277" s="62" t="s">
        <v>29095</v>
      </c>
      <c r="AA2277" s="62" t="s">
        <v>50160</v>
      </c>
      <c r="AB2277" s="62" t="s">
        <v>29096</v>
      </c>
      <c r="AC2277" s="62" t="s">
        <v>29097</v>
      </c>
      <c r="AD2277" s="62" t="s">
        <v>29098</v>
      </c>
    </row>
    <row r="2278" spans="1:30" x14ac:dyDescent="0.25">
      <c r="A2278" s="62" t="s">
        <v>109</v>
      </c>
      <c r="C2278" s="62" t="s">
        <v>29099</v>
      </c>
      <c r="F2278" s="62" t="s">
        <v>10332</v>
      </c>
      <c r="G2278" s="62" t="s">
        <v>50017</v>
      </c>
      <c r="J2278" s="62" t="s">
        <v>29100</v>
      </c>
      <c r="K2278" s="62" t="s">
        <v>50053</v>
      </c>
      <c r="L2278" s="62" t="s">
        <v>29101</v>
      </c>
      <c r="M2278" s="62" t="s">
        <v>29102</v>
      </c>
      <c r="N2278" s="62" t="s">
        <v>29103</v>
      </c>
      <c r="O2278" s="62" t="s">
        <v>29104</v>
      </c>
      <c r="P2278" s="62" t="s">
        <v>50089</v>
      </c>
      <c r="Q2278" s="62" t="s">
        <v>29105</v>
      </c>
      <c r="R2278" s="62" t="s">
        <v>29106</v>
      </c>
      <c r="S2278" s="62" t="s">
        <v>29107</v>
      </c>
      <c r="U2278" s="62" t="s">
        <v>29108</v>
      </c>
      <c r="V2278" s="62" t="s">
        <v>50125</v>
      </c>
      <c r="W2278" s="62" t="s">
        <v>29109</v>
      </c>
      <c r="X2278" s="62" t="s">
        <v>29110</v>
      </c>
      <c r="Y2278" s="62" t="s">
        <v>29111</v>
      </c>
      <c r="Z2278" s="62" t="s">
        <v>29112</v>
      </c>
      <c r="AA2278" s="62" t="s">
        <v>50161</v>
      </c>
      <c r="AB2278" s="62" t="s">
        <v>29113</v>
      </c>
      <c r="AC2278" s="62" t="s">
        <v>29114</v>
      </c>
      <c r="AD2278" s="62" t="s">
        <v>29115</v>
      </c>
    </row>
    <row r="2279" spans="1:30" x14ac:dyDescent="0.25">
      <c r="A2279" s="62" t="s">
        <v>109</v>
      </c>
      <c r="C2279" s="62" t="s">
        <v>29116</v>
      </c>
      <c r="F2279" s="62" t="s">
        <v>10350</v>
      </c>
      <c r="G2279" s="62" t="s">
        <v>50018</v>
      </c>
      <c r="J2279" s="62" t="s">
        <v>29117</v>
      </c>
      <c r="K2279" s="62" t="s">
        <v>50054</v>
      </c>
      <c r="L2279" s="62" t="s">
        <v>29118</v>
      </c>
      <c r="M2279" s="62" t="s">
        <v>29119</v>
      </c>
      <c r="N2279" s="62" t="s">
        <v>29120</v>
      </c>
      <c r="O2279" s="62" t="s">
        <v>29121</v>
      </c>
      <c r="P2279" s="62" t="s">
        <v>50090</v>
      </c>
      <c r="Q2279" s="62" t="s">
        <v>29122</v>
      </c>
      <c r="R2279" s="62" t="s">
        <v>29123</v>
      </c>
      <c r="S2279" s="62" t="s">
        <v>29124</v>
      </c>
      <c r="U2279" s="62" t="s">
        <v>29125</v>
      </c>
      <c r="V2279" s="62" t="s">
        <v>50126</v>
      </c>
      <c r="W2279" s="62" t="s">
        <v>29126</v>
      </c>
      <c r="X2279" s="62" t="s">
        <v>29127</v>
      </c>
      <c r="Y2279" s="62" t="s">
        <v>29128</v>
      </c>
      <c r="Z2279" s="62" t="s">
        <v>29129</v>
      </c>
      <c r="AA2279" s="62" t="s">
        <v>50162</v>
      </c>
      <c r="AB2279" s="62" t="s">
        <v>29130</v>
      </c>
      <c r="AC2279" s="62" t="s">
        <v>29131</v>
      </c>
      <c r="AD2279" s="62" t="s">
        <v>29132</v>
      </c>
    </row>
    <row r="2280" spans="1:30" x14ac:dyDescent="0.25">
      <c r="A2280" s="62" t="s">
        <v>109</v>
      </c>
      <c r="C2280" s="62" t="s">
        <v>29133</v>
      </c>
      <c r="F2280" s="62" t="s">
        <v>10368</v>
      </c>
      <c r="G2280" s="62" t="s">
        <v>50019</v>
      </c>
      <c r="J2280" s="62" t="s">
        <v>29134</v>
      </c>
      <c r="K2280" s="62" t="s">
        <v>50055</v>
      </c>
      <c r="L2280" s="62" t="s">
        <v>29135</v>
      </c>
      <c r="M2280" s="62" t="s">
        <v>29136</v>
      </c>
      <c r="N2280" s="62" t="s">
        <v>29137</v>
      </c>
      <c r="O2280" s="62" t="s">
        <v>29138</v>
      </c>
      <c r="P2280" s="62" t="s">
        <v>50091</v>
      </c>
      <c r="Q2280" s="62" t="s">
        <v>29139</v>
      </c>
      <c r="R2280" s="62" t="s">
        <v>29140</v>
      </c>
      <c r="S2280" s="62" t="s">
        <v>29141</v>
      </c>
      <c r="U2280" s="62" t="s">
        <v>29142</v>
      </c>
      <c r="V2280" s="62" t="s">
        <v>50127</v>
      </c>
      <c r="W2280" s="62" t="s">
        <v>29143</v>
      </c>
      <c r="X2280" s="62" t="s">
        <v>29144</v>
      </c>
      <c r="Y2280" s="62" t="s">
        <v>29145</v>
      </c>
      <c r="Z2280" s="62" t="s">
        <v>29146</v>
      </c>
      <c r="AA2280" s="62" t="s">
        <v>50163</v>
      </c>
      <c r="AB2280" s="62" t="s">
        <v>29147</v>
      </c>
      <c r="AC2280" s="62" t="s">
        <v>29148</v>
      </c>
      <c r="AD2280" s="62" t="s">
        <v>29149</v>
      </c>
    </row>
    <row r="2281" spans="1:30" x14ac:dyDescent="0.25">
      <c r="A2281" s="62" t="s">
        <v>109</v>
      </c>
      <c r="C2281" s="62" t="s">
        <v>29150</v>
      </c>
      <c r="F2281" s="62" t="s">
        <v>10386</v>
      </c>
      <c r="G2281" s="62" t="s">
        <v>50020</v>
      </c>
      <c r="J2281" s="62" t="s">
        <v>29151</v>
      </c>
      <c r="K2281" s="62" t="s">
        <v>50056</v>
      </c>
      <c r="L2281" s="62" t="s">
        <v>29152</v>
      </c>
      <c r="M2281" s="62" t="s">
        <v>29153</v>
      </c>
      <c r="N2281" s="62" t="s">
        <v>29154</v>
      </c>
      <c r="O2281" s="62" t="s">
        <v>29155</v>
      </c>
      <c r="P2281" s="62" t="s">
        <v>50092</v>
      </c>
      <c r="Q2281" s="62" t="s">
        <v>29156</v>
      </c>
      <c r="R2281" s="62" t="s">
        <v>29157</v>
      </c>
      <c r="S2281" s="62" t="s">
        <v>29158</v>
      </c>
      <c r="U2281" s="62" t="s">
        <v>29159</v>
      </c>
      <c r="V2281" s="62" t="s">
        <v>50128</v>
      </c>
      <c r="W2281" s="62" t="s">
        <v>29160</v>
      </c>
      <c r="X2281" s="62" t="s">
        <v>29161</v>
      </c>
      <c r="Y2281" s="62" t="s">
        <v>29162</v>
      </c>
      <c r="Z2281" s="62" t="s">
        <v>29163</v>
      </c>
      <c r="AA2281" s="62" t="s">
        <v>50164</v>
      </c>
      <c r="AB2281" s="62" t="s">
        <v>29164</v>
      </c>
      <c r="AC2281" s="62" t="s">
        <v>29165</v>
      </c>
      <c r="AD2281" s="62" t="s">
        <v>29166</v>
      </c>
    </row>
    <row r="2282" spans="1:30" x14ac:dyDescent="0.25">
      <c r="A2282" s="62" t="s">
        <v>109</v>
      </c>
      <c r="C2282" s="62" t="s">
        <v>29167</v>
      </c>
      <c r="F2282" s="62" t="s">
        <v>15012</v>
      </c>
      <c r="G2282" s="62" t="s">
        <v>50021</v>
      </c>
      <c r="J2282" s="62" t="s">
        <v>29168</v>
      </c>
      <c r="K2282" s="62" t="s">
        <v>50057</v>
      </c>
      <c r="L2282" s="62" t="s">
        <v>29169</v>
      </c>
      <c r="M2282" s="62" t="s">
        <v>29170</v>
      </c>
      <c r="N2282" s="62" t="s">
        <v>29171</v>
      </c>
      <c r="O2282" s="62" t="s">
        <v>29172</v>
      </c>
      <c r="P2282" s="62" t="s">
        <v>50093</v>
      </c>
      <c r="Q2282" s="62" t="s">
        <v>29173</v>
      </c>
      <c r="R2282" s="62" t="s">
        <v>29174</v>
      </c>
      <c r="S2282" s="62" t="s">
        <v>29175</v>
      </c>
      <c r="U2282" s="62" t="s">
        <v>29176</v>
      </c>
      <c r="V2282" s="62" t="s">
        <v>50129</v>
      </c>
      <c r="W2282" s="62" t="s">
        <v>29177</v>
      </c>
      <c r="X2282" s="62" t="s">
        <v>29178</v>
      </c>
      <c r="Y2282" s="62" t="s">
        <v>29179</v>
      </c>
      <c r="Z2282" s="62" t="s">
        <v>29180</v>
      </c>
      <c r="AA2282" s="62" t="s">
        <v>50165</v>
      </c>
      <c r="AB2282" s="62" t="s">
        <v>29181</v>
      </c>
      <c r="AC2282" s="62" t="s">
        <v>29182</v>
      </c>
      <c r="AD2282" s="62" t="s">
        <v>29183</v>
      </c>
    </row>
    <row r="2283" spans="1:30" x14ac:dyDescent="0.25">
      <c r="A2283" s="62" t="s">
        <v>109</v>
      </c>
      <c r="C2283" s="62" t="s">
        <v>29184</v>
      </c>
      <c r="F2283" s="62" t="s">
        <v>10404</v>
      </c>
      <c r="G2283" s="62" t="s">
        <v>50022</v>
      </c>
      <c r="J2283" s="62" t="s">
        <v>29185</v>
      </c>
      <c r="K2283" s="62" t="s">
        <v>50058</v>
      </c>
      <c r="L2283" s="62" t="s">
        <v>29186</v>
      </c>
      <c r="M2283" s="62" t="s">
        <v>29187</v>
      </c>
      <c r="N2283" s="62" t="s">
        <v>29188</v>
      </c>
      <c r="O2283" s="62" t="s">
        <v>29189</v>
      </c>
      <c r="P2283" s="62" t="s">
        <v>50094</v>
      </c>
      <c r="Q2283" s="62" t="s">
        <v>29190</v>
      </c>
      <c r="R2283" s="62" t="s">
        <v>29191</v>
      </c>
      <c r="S2283" s="62" t="s">
        <v>29192</v>
      </c>
      <c r="U2283" s="62" t="s">
        <v>29193</v>
      </c>
      <c r="V2283" s="62" t="s">
        <v>50130</v>
      </c>
      <c r="W2283" s="62" t="s">
        <v>29194</v>
      </c>
      <c r="X2283" s="62" t="s">
        <v>29195</v>
      </c>
      <c r="Y2283" s="62" t="s">
        <v>29196</v>
      </c>
      <c r="Z2283" s="62" t="s">
        <v>29197</v>
      </c>
      <c r="AA2283" s="62" t="s">
        <v>50166</v>
      </c>
      <c r="AB2283" s="62" t="s">
        <v>29198</v>
      </c>
      <c r="AC2283" s="62" t="s">
        <v>29199</v>
      </c>
      <c r="AD2283" s="62" t="s">
        <v>29200</v>
      </c>
    </row>
    <row r="2284" spans="1:30" x14ac:dyDescent="0.25">
      <c r="A2284" s="62" t="s">
        <v>109</v>
      </c>
      <c r="C2284" s="62" t="s">
        <v>29201</v>
      </c>
      <c r="F2284" s="62" t="s">
        <v>1002</v>
      </c>
      <c r="G2284" s="62" t="s">
        <v>50023</v>
      </c>
      <c r="J2284" s="62" t="s">
        <v>29202</v>
      </c>
      <c r="K2284" s="62" t="s">
        <v>50059</v>
      </c>
      <c r="L2284" s="62" t="s">
        <v>29203</v>
      </c>
      <c r="M2284" s="62" t="s">
        <v>29204</v>
      </c>
      <c r="N2284" s="62" t="s">
        <v>29205</v>
      </c>
      <c r="O2284" s="62" t="s">
        <v>29206</v>
      </c>
      <c r="P2284" s="62" t="s">
        <v>50095</v>
      </c>
      <c r="Q2284" s="62" t="s">
        <v>29207</v>
      </c>
      <c r="R2284" s="62" t="s">
        <v>29208</v>
      </c>
      <c r="S2284" s="62" t="s">
        <v>29209</v>
      </c>
      <c r="U2284" s="62" t="s">
        <v>29210</v>
      </c>
      <c r="V2284" s="62" t="s">
        <v>50131</v>
      </c>
      <c r="W2284" s="62" t="s">
        <v>29211</v>
      </c>
      <c r="X2284" s="62" t="s">
        <v>29212</v>
      </c>
      <c r="Y2284" s="62" t="s">
        <v>29213</v>
      </c>
      <c r="Z2284" s="62" t="s">
        <v>29214</v>
      </c>
      <c r="AA2284" s="62" t="s">
        <v>50167</v>
      </c>
      <c r="AB2284" s="62" t="s">
        <v>29215</v>
      </c>
      <c r="AC2284" s="62" t="s">
        <v>29216</v>
      </c>
      <c r="AD2284" s="62" t="s">
        <v>29217</v>
      </c>
    </row>
    <row r="2285" spans="1:30" x14ac:dyDescent="0.25">
      <c r="A2285" s="62" t="s">
        <v>109</v>
      </c>
      <c r="C2285" s="62" t="s">
        <v>29218</v>
      </c>
      <c r="F2285" s="62" t="s">
        <v>1064</v>
      </c>
      <c r="G2285" s="62" t="s">
        <v>50024</v>
      </c>
      <c r="J2285" s="62" t="s">
        <v>29219</v>
      </c>
      <c r="K2285" s="62" t="s">
        <v>50060</v>
      </c>
      <c r="L2285" s="62" t="s">
        <v>29220</v>
      </c>
      <c r="M2285" s="62" t="s">
        <v>29221</v>
      </c>
      <c r="N2285" s="62" t="s">
        <v>29222</v>
      </c>
      <c r="O2285" s="62" t="s">
        <v>29223</v>
      </c>
      <c r="P2285" s="62" t="s">
        <v>50096</v>
      </c>
      <c r="Q2285" s="62" t="s">
        <v>29224</v>
      </c>
      <c r="R2285" s="62" t="s">
        <v>29225</v>
      </c>
      <c r="S2285" s="62" t="s">
        <v>29226</v>
      </c>
      <c r="U2285" s="62" t="s">
        <v>29227</v>
      </c>
      <c r="V2285" s="62" t="s">
        <v>50132</v>
      </c>
      <c r="W2285" s="62" t="s">
        <v>29228</v>
      </c>
      <c r="X2285" s="62" t="s">
        <v>29229</v>
      </c>
      <c r="Y2285" s="62" t="s">
        <v>29230</v>
      </c>
      <c r="Z2285" s="62" t="s">
        <v>29231</v>
      </c>
      <c r="AA2285" s="62" t="s">
        <v>50168</v>
      </c>
      <c r="AB2285" s="62" t="s">
        <v>29232</v>
      </c>
      <c r="AC2285" s="62" t="s">
        <v>29233</v>
      </c>
      <c r="AD2285" s="62" t="s">
        <v>29234</v>
      </c>
    </row>
    <row r="2286" spans="1:30" x14ac:dyDescent="0.25">
      <c r="A2286" s="62" t="s">
        <v>109</v>
      </c>
      <c r="C2286" s="62" t="s">
        <v>29235</v>
      </c>
      <c r="F2286" s="62" t="s">
        <v>2355</v>
      </c>
      <c r="G2286" s="62" t="s">
        <v>50025</v>
      </c>
      <c r="J2286" s="62" t="s">
        <v>29236</v>
      </c>
      <c r="K2286" s="62" t="s">
        <v>50061</v>
      </c>
      <c r="L2286" s="62" t="s">
        <v>29237</v>
      </c>
      <c r="M2286" s="62" t="s">
        <v>29238</v>
      </c>
      <c r="N2286" s="62" t="s">
        <v>29239</v>
      </c>
      <c r="O2286" s="62" t="s">
        <v>29240</v>
      </c>
      <c r="P2286" s="62" t="s">
        <v>50097</v>
      </c>
      <c r="Q2286" s="62" t="s">
        <v>29241</v>
      </c>
      <c r="R2286" s="62" t="s">
        <v>29242</v>
      </c>
      <c r="S2286" s="62" t="s">
        <v>29243</v>
      </c>
      <c r="U2286" s="62" t="s">
        <v>29244</v>
      </c>
      <c r="V2286" s="62" t="s">
        <v>50133</v>
      </c>
      <c r="W2286" s="62" t="s">
        <v>29245</v>
      </c>
      <c r="X2286" s="62" t="s">
        <v>29246</v>
      </c>
      <c r="Y2286" s="62" t="s">
        <v>29247</v>
      </c>
      <c r="Z2286" s="62" t="s">
        <v>29248</v>
      </c>
      <c r="AA2286" s="62" t="s">
        <v>50169</v>
      </c>
      <c r="AB2286" s="62" t="s">
        <v>29249</v>
      </c>
      <c r="AC2286" s="62" t="s">
        <v>29250</v>
      </c>
      <c r="AD2286" s="62" t="s">
        <v>29251</v>
      </c>
    </row>
    <row r="2287" spans="1:30" x14ac:dyDescent="0.25">
      <c r="A2287" s="62" t="s">
        <v>109</v>
      </c>
      <c r="C2287" s="62" t="s">
        <v>44957</v>
      </c>
      <c r="F2287" s="62" t="s">
        <v>2372</v>
      </c>
      <c r="G2287" s="62" t="s">
        <v>50026</v>
      </c>
      <c r="J2287" s="62" t="s">
        <v>44958</v>
      </c>
      <c r="K2287" s="62" t="s">
        <v>50062</v>
      </c>
      <c r="L2287" s="62" t="s">
        <v>44959</v>
      </c>
      <c r="M2287" s="62" t="s">
        <v>44960</v>
      </c>
      <c r="N2287" s="62" t="s">
        <v>44961</v>
      </c>
      <c r="O2287" s="62" t="s">
        <v>44962</v>
      </c>
      <c r="P2287" s="62" t="s">
        <v>50098</v>
      </c>
      <c r="Q2287" s="62" t="s">
        <v>44963</v>
      </c>
      <c r="R2287" s="62" t="s">
        <v>44964</v>
      </c>
      <c r="S2287" s="62" t="s">
        <v>44965</v>
      </c>
      <c r="U2287" s="62" t="s">
        <v>44966</v>
      </c>
      <c r="V2287" s="62" t="s">
        <v>50134</v>
      </c>
      <c r="W2287" s="62" t="s">
        <v>44967</v>
      </c>
      <c r="X2287" s="62" t="s">
        <v>44968</v>
      </c>
      <c r="Y2287" s="62" t="s">
        <v>44969</v>
      </c>
      <c r="Z2287" s="62" t="s">
        <v>44970</v>
      </c>
      <c r="AA2287" s="62" t="s">
        <v>50170</v>
      </c>
      <c r="AB2287" s="62" t="s">
        <v>44971</v>
      </c>
      <c r="AC2287" s="62" t="s">
        <v>44972</v>
      </c>
      <c r="AD2287" s="62" t="s">
        <v>44973</v>
      </c>
    </row>
    <row r="2288" spans="1:30" x14ac:dyDescent="0.25">
      <c r="A2288" s="62" t="s">
        <v>109</v>
      </c>
      <c r="C2288" s="62" t="s">
        <v>29252</v>
      </c>
      <c r="F2288" s="62" t="s">
        <v>15081</v>
      </c>
      <c r="G2288" s="62" t="s">
        <v>50027</v>
      </c>
      <c r="J2288" s="62" t="s">
        <v>44974</v>
      </c>
      <c r="K2288" s="62" t="s">
        <v>50063</v>
      </c>
      <c r="L2288" s="62" t="s">
        <v>44975</v>
      </c>
      <c r="M2288" s="62" t="s">
        <v>29253</v>
      </c>
      <c r="N2288" s="62" t="s">
        <v>29254</v>
      </c>
      <c r="O2288" s="62" t="s">
        <v>44976</v>
      </c>
      <c r="P2288" s="62" t="s">
        <v>50099</v>
      </c>
      <c r="Q2288" s="62" t="s">
        <v>44977</v>
      </c>
      <c r="R2288" s="62" t="s">
        <v>29255</v>
      </c>
      <c r="S2288" s="62" t="s">
        <v>29256</v>
      </c>
      <c r="U2288" s="62" t="s">
        <v>44978</v>
      </c>
      <c r="V2288" s="62" t="s">
        <v>50135</v>
      </c>
      <c r="W2288" s="62" t="s">
        <v>44979</v>
      </c>
      <c r="X2288" s="62" t="s">
        <v>29257</v>
      </c>
      <c r="Y2288" s="62" t="s">
        <v>29258</v>
      </c>
      <c r="Z2288" s="62" t="s">
        <v>44980</v>
      </c>
      <c r="AA2288" s="62" t="s">
        <v>50171</v>
      </c>
      <c r="AB2288" s="62" t="s">
        <v>44981</v>
      </c>
      <c r="AC2288" s="62" t="s">
        <v>29259</v>
      </c>
      <c r="AD2288" s="62" t="s">
        <v>29260</v>
      </c>
    </row>
    <row r="2289" spans="1:30" x14ac:dyDescent="0.25">
      <c r="A2289" s="62" t="s">
        <v>109</v>
      </c>
      <c r="C2289" s="62" t="s">
        <v>44982</v>
      </c>
      <c r="F2289" s="62" t="s">
        <v>10577</v>
      </c>
      <c r="G2289" s="62" t="s">
        <v>50028</v>
      </c>
      <c r="J2289" s="62" t="s">
        <v>44983</v>
      </c>
      <c r="K2289" s="62" t="s">
        <v>50064</v>
      </c>
      <c r="L2289" s="62" t="s">
        <v>44984</v>
      </c>
      <c r="M2289" s="62" t="s">
        <v>44985</v>
      </c>
      <c r="N2289" s="62" t="s">
        <v>44986</v>
      </c>
      <c r="O2289" s="62" t="s">
        <v>44987</v>
      </c>
      <c r="P2289" s="62" t="s">
        <v>50100</v>
      </c>
      <c r="Q2289" s="62" t="s">
        <v>44988</v>
      </c>
      <c r="R2289" s="62" t="s">
        <v>44989</v>
      </c>
      <c r="S2289" s="62" t="s">
        <v>44990</v>
      </c>
      <c r="U2289" s="62" t="s">
        <v>44991</v>
      </c>
      <c r="V2289" s="62" t="s">
        <v>50136</v>
      </c>
      <c r="W2289" s="62" t="s">
        <v>44992</v>
      </c>
      <c r="X2289" s="62" t="s">
        <v>44993</v>
      </c>
      <c r="Y2289" s="62" t="s">
        <v>44994</v>
      </c>
      <c r="Z2289" s="62" t="s">
        <v>44995</v>
      </c>
      <c r="AA2289" s="62" t="s">
        <v>50172</v>
      </c>
      <c r="AB2289" s="62" t="s">
        <v>44996</v>
      </c>
      <c r="AC2289" s="62" t="s">
        <v>44997</v>
      </c>
      <c r="AD2289" s="62" t="s">
        <v>44998</v>
      </c>
    </row>
    <row r="2290" spans="1:30" x14ac:dyDescent="0.25">
      <c r="A2290" s="62" t="s">
        <v>109</v>
      </c>
      <c r="C2290" s="62" t="s">
        <v>44999</v>
      </c>
      <c r="F2290" s="62" t="s">
        <v>10631</v>
      </c>
      <c r="G2290" s="62" t="s">
        <v>50029</v>
      </c>
      <c r="J2290" s="62" t="s">
        <v>45000</v>
      </c>
      <c r="K2290" s="62" t="s">
        <v>50065</v>
      </c>
      <c r="L2290" s="62" t="s">
        <v>45001</v>
      </c>
      <c r="M2290" s="62" t="s">
        <v>45002</v>
      </c>
      <c r="N2290" s="62" t="s">
        <v>45003</v>
      </c>
      <c r="O2290" s="62" t="s">
        <v>45004</v>
      </c>
      <c r="P2290" s="62" t="s">
        <v>50101</v>
      </c>
      <c r="Q2290" s="62" t="s">
        <v>45005</v>
      </c>
      <c r="R2290" s="62" t="s">
        <v>45006</v>
      </c>
      <c r="S2290" s="62" t="s">
        <v>45007</v>
      </c>
      <c r="U2290" s="62" t="s">
        <v>45008</v>
      </c>
      <c r="V2290" s="62" t="s">
        <v>50137</v>
      </c>
      <c r="W2290" s="62" t="s">
        <v>45009</v>
      </c>
      <c r="X2290" s="62" t="s">
        <v>45010</v>
      </c>
      <c r="Y2290" s="62" t="s">
        <v>45011</v>
      </c>
      <c r="Z2290" s="62" t="s">
        <v>45012</v>
      </c>
      <c r="AA2290" s="62" t="s">
        <v>50173</v>
      </c>
      <c r="AB2290" s="62" t="s">
        <v>45013</v>
      </c>
      <c r="AC2290" s="62" t="s">
        <v>45014</v>
      </c>
      <c r="AD2290" s="62" t="s">
        <v>45015</v>
      </c>
    </row>
    <row r="2291" spans="1:30" x14ac:dyDescent="0.25">
      <c r="A2291" s="62" t="s">
        <v>109</v>
      </c>
      <c r="C2291" s="62" t="s">
        <v>29262</v>
      </c>
      <c r="F2291" s="62" t="s">
        <v>10667</v>
      </c>
      <c r="G2291" s="62" t="s">
        <v>50030</v>
      </c>
      <c r="J2291" s="62" t="s">
        <v>45016</v>
      </c>
      <c r="K2291" s="62" t="s">
        <v>50066</v>
      </c>
      <c r="L2291" s="62" t="s">
        <v>45017</v>
      </c>
      <c r="M2291" s="62" t="s">
        <v>45018</v>
      </c>
      <c r="N2291" s="62" t="s">
        <v>45019</v>
      </c>
      <c r="O2291" s="62" t="s">
        <v>45020</v>
      </c>
      <c r="P2291" s="62" t="s">
        <v>50102</v>
      </c>
      <c r="Q2291" s="62" t="s">
        <v>45021</v>
      </c>
      <c r="R2291" s="62" t="s">
        <v>45022</v>
      </c>
      <c r="S2291" s="62" t="s">
        <v>45023</v>
      </c>
      <c r="U2291" s="62" t="s">
        <v>45024</v>
      </c>
      <c r="V2291" s="62" t="s">
        <v>50138</v>
      </c>
      <c r="W2291" s="62" t="s">
        <v>45025</v>
      </c>
      <c r="X2291" s="62" t="s">
        <v>45026</v>
      </c>
      <c r="Y2291" s="62" t="s">
        <v>45027</v>
      </c>
      <c r="Z2291" s="62" t="s">
        <v>45028</v>
      </c>
      <c r="AA2291" s="62" t="s">
        <v>50174</v>
      </c>
      <c r="AB2291" s="62" t="s">
        <v>45029</v>
      </c>
      <c r="AC2291" s="62" t="s">
        <v>45030</v>
      </c>
      <c r="AD2291" s="62" t="s">
        <v>45031</v>
      </c>
    </row>
    <row r="2292" spans="1:30" x14ac:dyDescent="0.25">
      <c r="A2292" s="62" t="s">
        <v>109</v>
      </c>
      <c r="C2292" s="62" t="s">
        <v>29263</v>
      </c>
      <c r="F2292" s="62" t="s">
        <v>10685</v>
      </c>
      <c r="G2292" s="62" t="s">
        <v>50031</v>
      </c>
      <c r="J2292" s="62" t="s">
        <v>29264</v>
      </c>
      <c r="K2292" s="62" t="s">
        <v>50067</v>
      </c>
      <c r="L2292" s="62" t="s">
        <v>29265</v>
      </c>
      <c r="M2292" s="62" t="s">
        <v>29266</v>
      </c>
      <c r="N2292" s="62" t="s">
        <v>29267</v>
      </c>
      <c r="O2292" s="62" t="s">
        <v>29268</v>
      </c>
      <c r="P2292" s="62" t="s">
        <v>50103</v>
      </c>
      <c r="Q2292" s="62" t="s">
        <v>29269</v>
      </c>
      <c r="R2292" s="62" t="s">
        <v>29270</v>
      </c>
      <c r="S2292" s="62" t="s">
        <v>29271</v>
      </c>
      <c r="U2292" s="62" t="s">
        <v>29272</v>
      </c>
      <c r="V2292" s="62" t="s">
        <v>50139</v>
      </c>
      <c r="W2292" s="62" t="s">
        <v>29273</v>
      </c>
      <c r="X2292" s="62" t="s">
        <v>29274</v>
      </c>
      <c r="Y2292" s="62" t="s">
        <v>29275</v>
      </c>
      <c r="Z2292" s="62" t="s">
        <v>29276</v>
      </c>
      <c r="AA2292" s="62" t="s">
        <v>50175</v>
      </c>
      <c r="AB2292" s="62" t="s">
        <v>29277</v>
      </c>
      <c r="AC2292" s="62" t="s">
        <v>29278</v>
      </c>
      <c r="AD2292" s="62" t="s">
        <v>29279</v>
      </c>
    </row>
    <row r="2293" spans="1:30" x14ac:dyDescent="0.25">
      <c r="A2293" s="62" t="s">
        <v>109</v>
      </c>
      <c r="C2293" s="62" t="s">
        <v>29280</v>
      </c>
      <c r="F2293" s="62" t="s">
        <v>10703</v>
      </c>
      <c r="G2293" s="62" t="s">
        <v>50032</v>
      </c>
      <c r="J2293" s="62" t="s">
        <v>29281</v>
      </c>
      <c r="K2293" s="62" t="s">
        <v>50068</v>
      </c>
      <c r="L2293" s="62" t="s">
        <v>29282</v>
      </c>
      <c r="M2293" s="62" t="s">
        <v>29283</v>
      </c>
      <c r="N2293" s="62" t="s">
        <v>29284</v>
      </c>
      <c r="O2293" s="62" t="s">
        <v>29285</v>
      </c>
      <c r="P2293" s="62" t="s">
        <v>50104</v>
      </c>
      <c r="Q2293" s="62" t="s">
        <v>29286</v>
      </c>
      <c r="R2293" s="62" t="s">
        <v>29287</v>
      </c>
      <c r="S2293" s="62" t="s">
        <v>29288</v>
      </c>
      <c r="U2293" s="62" t="s">
        <v>29289</v>
      </c>
      <c r="V2293" s="62" t="s">
        <v>50140</v>
      </c>
      <c r="W2293" s="62" t="s">
        <v>29290</v>
      </c>
      <c r="X2293" s="62" t="s">
        <v>29291</v>
      </c>
      <c r="Y2293" s="62" t="s">
        <v>29292</v>
      </c>
      <c r="Z2293" s="62" t="s">
        <v>29293</v>
      </c>
      <c r="AA2293" s="62" t="s">
        <v>50176</v>
      </c>
      <c r="AB2293" s="62" t="s">
        <v>29294</v>
      </c>
      <c r="AC2293" s="62" t="s">
        <v>29295</v>
      </c>
      <c r="AD2293" s="62" t="s">
        <v>29296</v>
      </c>
    </row>
    <row r="2294" spans="1:30" x14ac:dyDescent="0.25">
      <c r="A2294" s="62" t="s">
        <v>109</v>
      </c>
      <c r="C2294" s="62" t="s">
        <v>29297</v>
      </c>
      <c r="F2294" s="62" t="s">
        <v>10721</v>
      </c>
      <c r="G2294" s="62" t="s">
        <v>50033</v>
      </c>
      <c r="J2294" s="62" t="s">
        <v>29298</v>
      </c>
      <c r="K2294" s="62" t="s">
        <v>50069</v>
      </c>
      <c r="L2294" s="62" t="s">
        <v>29299</v>
      </c>
      <c r="M2294" s="62" t="s">
        <v>29300</v>
      </c>
      <c r="N2294" s="62" t="s">
        <v>29301</v>
      </c>
      <c r="O2294" s="62" t="s">
        <v>29302</v>
      </c>
      <c r="P2294" s="62" t="s">
        <v>50105</v>
      </c>
      <c r="Q2294" s="62" t="s">
        <v>29303</v>
      </c>
      <c r="R2294" s="62" t="s">
        <v>29304</v>
      </c>
      <c r="S2294" s="62" t="s">
        <v>29305</v>
      </c>
      <c r="U2294" s="62" t="s">
        <v>29306</v>
      </c>
      <c r="V2294" s="62" t="s">
        <v>50141</v>
      </c>
      <c r="W2294" s="62" t="s">
        <v>29307</v>
      </c>
      <c r="X2294" s="62" t="s">
        <v>29308</v>
      </c>
      <c r="Y2294" s="62" t="s">
        <v>29309</v>
      </c>
      <c r="Z2294" s="62" t="s">
        <v>29310</v>
      </c>
      <c r="AA2294" s="62" t="s">
        <v>50177</v>
      </c>
      <c r="AB2294" s="62" t="s">
        <v>29311</v>
      </c>
      <c r="AC2294" s="62" t="s">
        <v>29312</v>
      </c>
      <c r="AD2294" s="62" t="s">
        <v>29313</v>
      </c>
    </row>
    <row r="2295" spans="1:30" x14ac:dyDescent="0.25">
      <c r="A2295" s="62" t="s">
        <v>109</v>
      </c>
      <c r="C2295" s="62" t="s">
        <v>29314</v>
      </c>
      <c r="F2295" s="62" t="s">
        <v>10739</v>
      </c>
      <c r="G2295" s="62" t="s">
        <v>50034</v>
      </c>
      <c r="J2295" s="62" t="s">
        <v>29315</v>
      </c>
      <c r="K2295" s="62" t="s">
        <v>50070</v>
      </c>
      <c r="L2295" s="62" t="s">
        <v>29316</v>
      </c>
      <c r="M2295" s="62" t="s">
        <v>29317</v>
      </c>
      <c r="N2295" s="62" t="s">
        <v>29318</v>
      </c>
      <c r="O2295" s="62" t="s">
        <v>29319</v>
      </c>
      <c r="P2295" s="62" t="s">
        <v>50106</v>
      </c>
      <c r="Q2295" s="62" t="s">
        <v>29320</v>
      </c>
      <c r="R2295" s="62" t="s">
        <v>29321</v>
      </c>
      <c r="S2295" s="62" t="s">
        <v>29322</v>
      </c>
      <c r="U2295" s="62" t="s">
        <v>29323</v>
      </c>
      <c r="V2295" s="62" t="s">
        <v>50142</v>
      </c>
      <c r="W2295" s="62" t="s">
        <v>29324</v>
      </c>
      <c r="X2295" s="62" t="s">
        <v>29325</v>
      </c>
      <c r="Y2295" s="62" t="s">
        <v>29326</v>
      </c>
      <c r="Z2295" s="62" t="s">
        <v>29327</v>
      </c>
      <c r="AA2295" s="62" t="s">
        <v>50178</v>
      </c>
      <c r="AB2295" s="62" t="s">
        <v>29328</v>
      </c>
      <c r="AC2295" s="62" t="s">
        <v>29329</v>
      </c>
      <c r="AD2295" s="62" t="s">
        <v>29330</v>
      </c>
    </row>
    <row r="2296" spans="1:30" x14ac:dyDescent="0.25">
      <c r="A2296" s="62" t="s">
        <v>109</v>
      </c>
      <c r="C2296" s="62" t="s">
        <v>29331</v>
      </c>
      <c r="F2296" s="62" t="s">
        <v>10757</v>
      </c>
      <c r="G2296" s="62" t="s">
        <v>50035</v>
      </c>
      <c r="J2296" s="62" t="s">
        <v>29332</v>
      </c>
      <c r="K2296" s="62" t="s">
        <v>50071</v>
      </c>
      <c r="L2296" s="62" t="s">
        <v>29333</v>
      </c>
      <c r="M2296" s="62" t="s">
        <v>29334</v>
      </c>
      <c r="N2296" s="62" t="s">
        <v>29335</v>
      </c>
      <c r="O2296" s="62" t="s">
        <v>29336</v>
      </c>
      <c r="P2296" s="62" t="s">
        <v>50107</v>
      </c>
      <c r="Q2296" s="62" t="s">
        <v>29337</v>
      </c>
      <c r="R2296" s="62" t="s">
        <v>29338</v>
      </c>
      <c r="S2296" s="62" t="s">
        <v>29339</v>
      </c>
      <c r="U2296" s="62" t="s">
        <v>29340</v>
      </c>
      <c r="V2296" s="62" t="s">
        <v>50143</v>
      </c>
      <c r="W2296" s="62" t="s">
        <v>29341</v>
      </c>
      <c r="X2296" s="62" t="s">
        <v>29342</v>
      </c>
      <c r="Y2296" s="62" t="s">
        <v>29343</v>
      </c>
      <c r="Z2296" s="62" t="s">
        <v>29344</v>
      </c>
      <c r="AA2296" s="62" t="s">
        <v>50179</v>
      </c>
      <c r="AB2296" s="62" t="s">
        <v>29345</v>
      </c>
      <c r="AC2296" s="62" t="s">
        <v>29346</v>
      </c>
      <c r="AD2296" s="62" t="s">
        <v>29347</v>
      </c>
    </row>
    <row r="2297" spans="1:30" x14ac:dyDescent="0.25">
      <c r="A2297" s="62" t="s">
        <v>109</v>
      </c>
      <c r="C2297" s="62" t="s">
        <v>29348</v>
      </c>
      <c r="F2297" s="62" t="s">
        <v>13202</v>
      </c>
      <c r="G2297" s="62" t="s">
        <v>50036</v>
      </c>
      <c r="J2297" s="62" t="s">
        <v>29349</v>
      </c>
      <c r="K2297" s="62" t="s">
        <v>50072</v>
      </c>
      <c r="L2297" s="62" t="s">
        <v>29350</v>
      </c>
      <c r="M2297" s="62" t="s">
        <v>29351</v>
      </c>
      <c r="N2297" s="62" t="s">
        <v>29352</v>
      </c>
      <c r="O2297" s="62" t="s">
        <v>29353</v>
      </c>
      <c r="P2297" s="62" t="s">
        <v>50108</v>
      </c>
      <c r="Q2297" s="62" t="s">
        <v>29354</v>
      </c>
      <c r="R2297" s="62" t="s">
        <v>29355</v>
      </c>
      <c r="S2297" s="62" t="s">
        <v>29356</v>
      </c>
      <c r="U2297" s="62" t="s">
        <v>29357</v>
      </c>
      <c r="V2297" s="62" t="s">
        <v>50144</v>
      </c>
      <c r="W2297" s="62" t="s">
        <v>29358</v>
      </c>
      <c r="X2297" s="62" t="s">
        <v>29359</v>
      </c>
      <c r="Y2297" s="62" t="s">
        <v>29360</v>
      </c>
      <c r="Z2297" s="62" t="s">
        <v>29361</v>
      </c>
      <c r="AA2297" s="62" t="s">
        <v>50180</v>
      </c>
      <c r="AB2297" s="62" t="s">
        <v>29362</v>
      </c>
      <c r="AC2297" s="62" t="s">
        <v>29363</v>
      </c>
      <c r="AD2297" s="62" t="s">
        <v>29364</v>
      </c>
    </row>
    <row r="2298" spans="1:30" x14ac:dyDescent="0.25">
      <c r="A2298" s="62" t="s">
        <v>109</v>
      </c>
      <c r="C2298" s="62" t="s">
        <v>29365</v>
      </c>
      <c r="F2298" s="62" t="s">
        <v>10847</v>
      </c>
      <c r="G2298" s="62" t="s">
        <v>50037</v>
      </c>
      <c r="J2298" s="62" t="s">
        <v>29366</v>
      </c>
      <c r="K2298" s="62" t="s">
        <v>50073</v>
      </c>
      <c r="L2298" s="62" t="s">
        <v>29367</v>
      </c>
      <c r="M2298" s="62" t="s">
        <v>29368</v>
      </c>
      <c r="N2298" s="62" t="s">
        <v>29369</v>
      </c>
      <c r="O2298" s="62" t="s">
        <v>29370</v>
      </c>
      <c r="P2298" s="62" t="s">
        <v>50109</v>
      </c>
      <c r="Q2298" s="62" t="s">
        <v>29371</v>
      </c>
      <c r="R2298" s="62" t="s">
        <v>29372</v>
      </c>
      <c r="S2298" s="62" t="s">
        <v>29373</v>
      </c>
      <c r="U2298" s="62" t="s">
        <v>29374</v>
      </c>
      <c r="V2298" s="62" t="s">
        <v>50145</v>
      </c>
      <c r="W2298" s="62" t="s">
        <v>29375</v>
      </c>
      <c r="X2298" s="62" t="s">
        <v>29376</v>
      </c>
      <c r="Y2298" s="62" t="s">
        <v>29377</v>
      </c>
      <c r="Z2298" s="62" t="s">
        <v>29378</v>
      </c>
      <c r="AA2298" s="62" t="s">
        <v>50181</v>
      </c>
      <c r="AB2298" s="62" t="s">
        <v>29379</v>
      </c>
      <c r="AC2298" s="62" t="s">
        <v>29380</v>
      </c>
      <c r="AD2298" s="62" t="s">
        <v>29381</v>
      </c>
    </row>
    <row r="2299" spans="1:30" x14ac:dyDescent="0.25">
      <c r="A2299" s="62" t="s">
        <v>109</v>
      </c>
      <c r="C2299" s="62" t="s">
        <v>29382</v>
      </c>
      <c r="F2299" s="62" t="s">
        <v>10865</v>
      </c>
      <c r="G2299" s="62" t="s">
        <v>50038</v>
      </c>
      <c r="J2299" s="62" t="s">
        <v>29383</v>
      </c>
      <c r="K2299" s="62" t="s">
        <v>50074</v>
      </c>
      <c r="L2299" s="62" t="s">
        <v>29384</v>
      </c>
      <c r="M2299" s="62" t="s">
        <v>29385</v>
      </c>
      <c r="N2299" s="62" t="s">
        <v>29386</v>
      </c>
      <c r="O2299" s="62" t="s">
        <v>29387</v>
      </c>
      <c r="P2299" s="62" t="s">
        <v>50110</v>
      </c>
      <c r="Q2299" s="62" t="s">
        <v>29388</v>
      </c>
      <c r="R2299" s="62" t="s">
        <v>29389</v>
      </c>
      <c r="S2299" s="62" t="s">
        <v>29390</v>
      </c>
      <c r="U2299" s="62" t="s">
        <v>29391</v>
      </c>
      <c r="V2299" s="62" t="s">
        <v>50146</v>
      </c>
      <c r="W2299" s="62" t="s">
        <v>29392</v>
      </c>
      <c r="X2299" s="62" t="s">
        <v>29393</v>
      </c>
      <c r="Y2299" s="62" t="s">
        <v>29394</v>
      </c>
      <c r="Z2299" s="62" t="s">
        <v>29395</v>
      </c>
      <c r="AA2299" s="62" t="s">
        <v>50182</v>
      </c>
      <c r="AB2299" s="62" t="s">
        <v>29396</v>
      </c>
      <c r="AC2299" s="62" t="s">
        <v>29397</v>
      </c>
      <c r="AD2299" s="62" t="s">
        <v>29398</v>
      </c>
    </row>
    <row r="2300" spans="1:30" x14ac:dyDescent="0.25">
      <c r="A2300" s="62" t="s">
        <v>109</v>
      </c>
      <c r="C2300" s="62" t="s">
        <v>29399</v>
      </c>
      <c r="F2300" s="62" t="s">
        <v>1249</v>
      </c>
      <c r="G2300" s="62" t="s">
        <v>50039</v>
      </c>
      <c r="J2300" s="62" t="s">
        <v>29400</v>
      </c>
      <c r="K2300" s="62" t="s">
        <v>50075</v>
      </c>
      <c r="L2300" s="62" t="s">
        <v>29401</v>
      </c>
      <c r="M2300" s="62" t="s">
        <v>29402</v>
      </c>
      <c r="N2300" s="62" t="s">
        <v>29403</v>
      </c>
      <c r="O2300" s="62" t="s">
        <v>29404</v>
      </c>
      <c r="P2300" s="62" t="s">
        <v>50111</v>
      </c>
      <c r="Q2300" s="62" t="s">
        <v>29405</v>
      </c>
      <c r="R2300" s="62" t="s">
        <v>29406</v>
      </c>
      <c r="S2300" s="62" t="s">
        <v>29407</v>
      </c>
      <c r="U2300" s="62" t="s">
        <v>29408</v>
      </c>
      <c r="V2300" s="62" t="s">
        <v>50147</v>
      </c>
      <c r="W2300" s="62" t="s">
        <v>29409</v>
      </c>
      <c r="X2300" s="62" t="s">
        <v>29410</v>
      </c>
      <c r="Y2300" s="62" t="s">
        <v>29411</v>
      </c>
      <c r="Z2300" s="62" t="s">
        <v>29412</v>
      </c>
      <c r="AA2300" s="62" t="s">
        <v>50183</v>
      </c>
      <c r="AB2300" s="62" t="s">
        <v>29413</v>
      </c>
      <c r="AC2300" s="62" t="s">
        <v>29414</v>
      </c>
      <c r="AD2300" s="62" t="s">
        <v>29415</v>
      </c>
    </row>
    <row r="2301" spans="1:30" x14ac:dyDescent="0.25">
      <c r="A2301" s="62" t="s">
        <v>109</v>
      </c>
      <c r="C2301" s="62" t="s">
        <v>29416</v>
      </c>
      <c r="F2301" s="62" t="s">
        <v>1286</v>
      </c>
      <c r="G2301" s="62" t="s">
        <v>50040</v>
      </c>
      <c r="J2301" s="62" t="s">
        <v>29417</v>
      </c>
      <c r="K2301" s="62" t="s">
        <v>50076</v>
      </c>
      <c r="L2301" s="62" t="s">
        <v>29418</v>
      </c>
      <c r="M2301" s="62" t="s">
        <v>29419</v>
      </c>
      <c r="N2301" s="62" t="s">
        <v>29420</v>
      </c>
      <c r="O2301" s="62" t="s">
        <v>29421</v>
      </c>
      <c r="P2301" s="62" t="s">
        <v>50112</v>
      </c>
      <c r="Q2301" s="62" t="s">
        <v>29422</v>
      </c>
      <c r="R2301" s="62" t="s">
        <v>29423</v>
      </c>
      <c r="S2301" s="62" t="s">
        <v>29424</v>
      </c>
      <c r="U2301" s="62" t="s">
        <v>29425</v>
      </c>
      <c r="V2301" s="62" t="s">
        <v>50148</v>
      </c>
      <c r="W2301" s="62" t="s">
        <v>29426</v>
      </c>
      <c r="X2301" s="62" t="s">
        <v>29427</v>
      </c>
      <c r="Y2301" s="62" t="s">
        <v>29428</v>
      </c>
      <c r="Z2301" s="62" t="s">
        <v>29429</v>
      </c>
      <c r="AA2301" s="62" t="s">
        <v>50184</v>
      </c>
      <c r="AB2301" s="62" t="s">
        <v>29430</v>
      </c>
      <c r="AC2301" s="62" t="s">
        <v>29431</v>
      </c>
      <c r="AD2301" s="62" t="s">
        <v>29432</v>
      </c>
    </row>
    <row r="2302" spans="1:30" x14ac:dyDescent="0.25">
      <c r="A2302" s="62" t="s">
        <v>109</v>
      </c>
      <c r="C2302" s="62" t="s">
        <v>29433</v>
      </c>
      <c r="F2302" s="62" t="s">
        <v>1797</v>
      </c>
      <c r="G2302" s="62" t="s">
        <v>50041</v>
      </c>
      <c r="J2302" s="62" t="s">
        <v>29434</v>
      </c>
      <c r="K2302" s="62" t="s">
        <v>50077</v>
      </c>
      <c r="L2302" s="62" t="s">
        <v>29435</v>
      </c>
      <c r="M2302" s="62" t="s">
        <v>29436</v>
      </c>
      <c r="N2302" s="62" t="s">
        <v>29437</v>
      </c>
      <c r="O2302" s="62" t="s">
        <v>29438</v>
      </c>
      <c r="P2302" s="62" t="s">
        <v>50113</v>
      </c>
      <c r="Q2302" s="62" t="s">
        <v>29439</v>
      </c>
      <c r="R2302" s="62" t="s">
        <v>29440</v>
      </c>
      <c r="S2302" s="62" t="s">
        <v>29441</v>
      </c>
      <c r="U2302" s="62" t="s">
        <v>29442</v>
      </c>
      <c r="V2302" s="62" t="s">
        <v>50149</v>
      </c>
      <c r="W2302" s="62" t="s">
        <v>29443</v>
      </c>
      <c r="X2302" s="62" t="s">
        <v>29444</v>
      </c>
      <c r="Y2302" s="62" t="s">
        <v>29445</v>
      </c>
      <c r="Z2302" s="62" t="s">
        <v>29446</v>
      </c>
      <c r="AA2302" s="62" t="s">
        <v>50185</v>
      </c>
      <c r="AB2302" s="62" t="s">
        <v>29447</v>
      </c>
      <c r="AC2302" s="62" t="s">
        <v>29448</v>
      </c>
      <c r="AD2302" s="62" t="s">
        <v>29449</v>
      </c>
    </row>
    <row r="2303" spans="1:30" x14ac:dyDescent="0.25">
      <c r="A2303" s="62" t="s">
        <v>109</v>
      </c>
      <c r="C2303" s="62" t="s">
        <v>45032</v>
      </c>
      <c r="F2303" s="62" t="s">
        <v>10929</v>
      </c>
      <c r="G2303" s="62" t="s">
        <v>50042</v>
      </c>
      <c r="J2303" s="62" t="s">
        <v>45033</v>
      </c>
      <c r="K2303" s="62" t="s">
        <v>50078</v>
      </c>
      <c r="L2303" s="62" t="s">
        <v>45034</v>
      </c>
      <c r="M2303" s="62" t="s">
        <v>45035</v>
      </c>
      <c r="N2303" s="62" t="s">
        <v>45036</v>
      </c>
      <c r="O2303" s="62" t="s">
        <v>45037</v>
      </c>
      <c r="P2303" s="62" t="s">
        <v>50114</v>
      </c>
      <c r="Q2303" s="62" t="s">
        <v>45038</v>
      </c>
      <c r="R2303" s="62" t="s">
        <v>45039</v>
      </c>
      <c r="S2303" s="62" t="s">
        <v>45040</v>
      </c>
      <c r="U2303" s="62" t="s">
        <v>45041</v>
      </c>
      <c r="V2303" s="62" t="s">
        <v>50150</v>
      </c>
      <c r="W2303" s="62" t="s">
        <v>45042</v>
      </c>
      <c r="X2303" s="62" t="s">
        <v>45043</v>
      </c>
      <c r="Y2303" s="62" t="s">
        <v>45044</v>
      </c>
      <c r="Z2303" s="62" t="s">
        <v>45045</v>
      </c>
      <c r="AA2303" s="62" t="s">
        <v>50186</v>
      </c>
      <c r="AB2303" s="62" t="s">
        <v>45046</v>
      </c>
      <c r="AC2303" s="62" t="s">
        <v>45047</v>
      </c>
      <c r="AD2303" s="62" t="s">
        <v>45048</v>
      </c>
    </row>
    <row r="2304" spans="1:30" x14ac:dyDescent="0.25">
      <c r="A2304" s="62" t="s">
        <v>109</v>
      </c>
      <c r="C2304" s="62" t="s">
        <v>28946</v>
      </c>
    </row>
    <row r="2305" spans="1:30" x14ac:dyDescent="0.25">
      <c r="A2305" s="62" t="s">
        <v>109</v>
      </c>
      <c r="C2305" s="62" t="s">
        <v>45049</v>
      </c>
      <c r="G2305" s="62" t="s">
        <v>45050</v>
      </c>
      <c r="J2305" s="62" t="s">
        <v>45051</v>
      </c>
      <c r="K2305" s="62" t="s">
        <v>45052</v>
      </c>
      <c r="L2305" s="62" t="s">
        <v>45053</v>
      </c>
      <c r="M2305" s="62" t="s">
        <v>45054</v>
      </c>
      <c r="N2305" s="62" t="s">
        <v>45055</v>
      </c>
      <c r="O2305" s="62" t="s">
        <v>45056</v>
      </c>
      <c r="P2305" s="62" t="s">
        <v>45057</v>
      </c>
      <c r="Q2305" s="62" t="s">
        <v>45058</v>
      </c>
      <c r="R2305" s="62" t="s">
        <v>45059</v>
      </c>
      <c r="S2305" s="62" t="s">
        <v>45060</v>
      </c>
      <c r="U2305" s="62" t="s">
        <v>45061</v>
      </c>
      <c r="V2305" s="62" t="s">
        <v>45062</v>
      </c>
      <c r="W2305" s="62" t="s">
        <v>45063</v>
      </c>
      <c r="X2305" s="62" t="s">
        <v>45064</v>
      </c>
      <c r="Y2305" s="62" t="s">
        <v>45065</v>
      </c>
      <c r="Z2305" s="62" t="s">
        <v>45066</v>
      </c>
      <c r="AA2305" s="62" t="s">
        <v>45067</v>
      </c>
      <c r="AB2305" s="62" t="s">
        <v>45068</v>
      </c>
      <c r="AC2305" s="62" t="s">
        <v>45069</v>
      </c>
      <c r="AD2305" s="62" t="s">
        <v>45070</v>
      </c>
    </row>
    <row r="2306" spans="1:30" x14ac:dyDescent="0.25">
      <c r="A2306" s="62" t="s">
        <v>109</v>
      </c>
    </row>
    <row r="2307" spans="1:30" x14ac:dyDescent="0.25">
      <c r="A2307" s="62" t="s">
        <v>109</v>
      </c>
      <c r="C2307" s="62" t="s">
        <v>45071</v>
      </c>
      <c r="E2307" s="62" t="s">
        <v>37820</v>
      </c>
      <c r="G2307" s="62" t="s">
        <v>45072</v>
      </c>
    </row>
    <row r="2308" spans="1:30" x14ac:dyDescent="0.25">
      <c r="A2308" s="62" t="s">
        <v>109</v>
      </c>
      <c r="C2308" s="62" t="s">
        <v>29451</v>
      </c>
    </row>
    <row r="2309" spans="1:30" x14ac:dyDescent="0.25">
      <c r="A2309" s="62" t="s">
        <v>109</v>
      </c>
      <c r="C2309" s="62" t="s">
        <v>29452</v>
      </c>
      <c r="F2309" s="62" t="s">
        <v>45073</v>
      </c>
      <c r="G2309" s="62" t="s">
        <v>49857</v>
      </c>
      <c r="J2309" s="62" t="s">
        <v>29453</v>
      </c>
      <c r="K2309" s="62" t="s">
        <v>49887</v>
      </c>
      <c r="L2309" s="62" t="s">
        <v>29454</v>
      </c>
      <c r="M2309" s="62" t="s">
        <v>29455</v>
      </c>
      <c r="N2309" s="62" t="s">
        <v>29456</v>
      </c>
      <c r="O2309" s="62" t="s">
        <v>29457</v>
      </c>
      <c r="P2309" s="62" t="s">
        <v>49917</v>
      </c>
      <c r="Q2309" s="62" t="s">
        <v>29458</v>
      </c>
      <c r="R2309" s="62" t="s">
        <v>29459</v>
      </c>
      <c r="S2309" s="62" t="s">
        <v>29460</v>
      </c>
      <c r="U2309" s="62" t="s">
        <v>29461</v>
      </c>
      <c r="V2309" s="62" t="s">
        <v>49947</v>
      </c>
      <c r="W2309" s="62" t="s">
        <v>29462</v>
      </c>
      <c r="X2309" s="62" t="s">
        <v>29463</v>
      </c>
      <c r="Y2309" s="62" t="s">
        <v>29464</v>
      </c>
      <c r="Z2309" s="62" t="s">
        <v>29465</v>
      </c>
      <c r="AA2309" s="62" t="s">
        <v>49977</v>
      </c>
      <c r="AB2309" s="62" t="s">
        <v>29466</v>
      </c>
      <c r="AC2309" s="62" t="s">
        <v>29467</v>
      </c>
      <c r="AD2309" s="62" t="s">
        <v>29468</v>
      </c>
    </row>
    <row r="2310" spans="1:30" x14ac:dyDescent="0.25">
      <c r="A2310" s="62" t="s">
        <v>109</v>
      </c>
      <c r="C2310" s="62" t="s">
        <v>29469</v>
      </c>
      <c r="F2310" s="62" t="s">
        <v>915</v>
      </c>
      <c r="G2310" s="62" t="s">
        <v>49858</v>
      </c>
      <c r="J2310" s="62" t="s">
        <v>29470</v>
      </c>
      <c r="K2310" s="62" t="s">
        <v>49888</v>
      </c>
      <c r="L2310" s="62" t="s">
        <v>29471</v>
      </c>
      <c r="M2310" s="62" t="s">
        <v>29472</v>
      </c>
      <c r="N2310" s="62" t="s">
        <v>29473</v>
      </c>
      <c r="O2310" s="62" t="s">
        <v>29474</v>
      </c>
      <c r="P2310" s="62" t="s">
        <v>49918</v>
      </c>
      <c r="Q2310" s="62" t="s">
        <v>29475</v>
      </c>
      <c r="R2310" s="62" t="s">
        <v>29476</v>
      </c>
      <c r="S2310" s="62" t="s">
        <v>29477</v>
      </c>
      <c r="U2310" s="62" t="s">
        <v>29478</v>
      </c>
      <c r="V2310" s="62" t="s">
        <v>49948</v>
      </c>
      <c r="W2310" s="62" t="s">
        <v>29479</v>
      </c>
      <c r="X2310" s="62" t="s">
        <v>29480</v>
      </c>
      <c r="Y2310" s="62" t="s">
        <v>29481</v>
      </c>
      <c r="Z2310" s="62" t="s">
        <v>29482</v>
      </c>
      <c r="AA2310" s="62" t="s">
        <v>49978</v>
      </c>
      <c r="AB2310" s="62" t="s">
        <v>29483</v>
      </c>
      <c r="AC2310" s="62" t="s">
        <v>29484</v>
      </c>
      <c r="AD2310" s="62" t="s">
        <v>29485</v>
      </c>
    </row>
    <row r="2311" spans="1:30" x14ac:dyDescent="0.25">
      <c r="A2311" s="62" t="s">
        <v>109</v>
      </c>
      <c r="C2311" s="62" t="s">
        <v>29486</v>
      </c>
      <c r="F2311" s="62" t="s">
        <v>925</v>
      </c>
      <c r="G2311" s="62" t="s">
        <v>49859</v>
      </c>
      <c r="J2311" s="62" t="s">
        <v>29487</v>
      </c>
      <c r="K2311" s="62" t="s">
        <v>49889</v>
      </c>
      <c r="L2311" s="62" t="s">
        <v>29488</v>
      </c>
      <c r="M2311" s="62" t="s">
        <v>29489</v>
      </c>
      <c r="N2311" s="62" t="s">
        <v>29490</v>
      </c>
      <c r="O2311" s="62" t="s">
        <v>29491</v>
      </c>
      <c r="P2311" s="62" t="s">
        <v>49919</v>
      </c>
      <c r="Q2311" s="62" t="s">
        <v>29492</v>
      </c>
      <c r="R2311" s="62" t="s">
        <v>29493</v>
      </c>
      <c r="S2311" s="62" t="s">
        <v>29494</v>
      </c>
      <c r="U2311" s="62" t="s">
        <v>29495</v>
      </c>
      <c r="V2311" s="62" t="s">
        <v>49949</v>
      </c>
      <c r="W2311" s="62" t="s">
        <v>29496</v>
      </c>
      <c r="X2311" s="62" t="s">
        <v>29497</v>
      </c>
      <c r="Y2311" s="62" t="s">
        <v>29498</v>
      </c>
      <c r="Z2311" s="62" t="s">
        <v>29499</v>
      </c>
      <c r="AA2311" s="62" t="s">
        <v>49979</v>
      </c>
      <c r="AB2311" s="62" t="s">
        <v>29500</v>
      </c>
      <c r="AC2311" s="62" t="s">
        <v>29501</v>
      </c>
      <c r="AD2311" s="62" t="s">
        <v>29502</v>
      </c>
    </row>
    <row r="2312" spans="1:30" x14ac:dyDescent="0.25">
      <c r="A2312" s="62" t="s">
        <v>109</v>
      </c>
      <c r="C2312" s="62" t="s">
        <v>29503</v>
      </c>
      <c r="F2312" s="62" t="s">
        <v>943</v>
      </c>
      <c r="G2312" s="62" t="s">
        <v>49860</v>
      </c>
      <c r="J2312" s="62" t="s">
        <v>29504</v>
      </c>
      <c r="K2312" s="62" t="s">
        <v>49890</v>
      </c>
      <c r="L2312" s="62" t="s">
        <v>29505</v>
      </c>
      <c r="M2312" s="62" t="s">
        <v>29506</v>
      </c>
      <c r="N2312" s="62" t="s">
        <v>29507</v>
      </c>
      <c r="O2312" s="62" t="s">
        <v>29508</v>
      </c>
      <c r="P2312" s="62" t="s">
        <v>49920</v>
      </c>
      <c r="Q2312" s="62" t="s">
        <v>29509</v>
      </c>
      <c r="R2312" s="62" t="s">
        <v>29510</v>
      </c>
      <c r="S2312" s="62" t="s">
        <v>29511</v>
      </c>
      <c r="U2312" s="62" t="s">
        <v>29512</v>
      </c>
      <c r="V2312" s="62" t="s">
        <v>49950</v>
      </c>
      <c r="W2312" s="62" t="s">
        <v>29513</v>
      </c>
      <c r="X2312" s="62" t="s">
        <v>29514</v>
      </c>
      <c r="Y2312" s="62" t="s">
        <v>29515</v>
      </c>
      <c r="Z2312" s="62" t="s">
        <v>29516</v>
      </c>
      <c r="AA2312" s="62" t="s">
        <v>49980</v>
      </c>
      <c r="AB2312" s="62" t="s">
        <v>29517</v>
      </c>
      <c r="AC2312" s="62" t="s">
        <v>29518</v>
      </c>
      <c r="AD2312" s="62" t="s">
        <v>29519</v>
      </c>
    </row>
    <row r="2313" spans="1:30" x14ac:dyDescent="0.25">
      <c r="A2313" s="62" t="s">
        <v>109</v>
      </c>
      <c r="C2313" s="62" t="s">
        <v>29520</v>
      </c>
      <c r="F2313" s="62" t="s">
        <v>2212</v>
      </c>
      <c r="G2313" s="62" t="s">
        <v>49861</v>
      </c>
      <c r="J2313" s="62" t="s">
        <v>29521</v>
      </c>
      <c r="K2313" s="62" t="s">
        <v>49891</v>
      </c>
      <c r="L2313" s="62" t="s">
        <v>29522</v>
      </c>
      <c r="M2313" s="62" t="s">
        <v>29523</v>
      </c>
      <c r="N2313" s="62" t="s">
        <v>29524</v>
      </c>
      <c r="O2313" s="62" t="s">
        <v>29525</v>
      </c>
      <c r="P2313" s="62" t="s">
        <v>49921</v>
      </c>
      <c r="Q2313" s="62" t="s">
        <v>29526</v>
      </c>
      <c r="R2313" s="62" t="s">
        <v>29527</v>
      </c>
      <c r="S2313" s="62" t="s">
        <v>29528</v>
      </c>
      <c r="U2313" s="62" t="s">
        <v>29529</v>
      </c>
      <c r="V2313" s="62" t="s">
        <v>49951</v>
      </c>
      <c r="W2313" s="62" t="s">
        <v>29530</v>
      </c>
      <c r="X2313" s="62" t="s">
        <v>29531</v>
      </c>
      <c r="Y2313" s="62" t="s">
        <v>29532</v>
      </c>
      <c r="Z2313" s="62" t="s">
        <v>29533</v>
      </c>
      <c r="AA2313" s="62" t="s">
        <v>49981</v>
      </c>
      <c r="AB2313" s="62" t="s">
        <v>29534</v>
      </c>
      <c r="AC2313" s="62" t="s">
        <v>29535</v>
      </c>
      <c r="AD2313" s="62" t="s">
        <v>29536</v>
      </c>
    </row>
    <row r="2314" spans="1:30" x14ac:dyDescent="0.25">
      <c r="A2314" s="62" t="s">
        <v>109</v>
      </c>
      <c r="C2314" s="62" t="s">
        <v>29537</v>
      </c>
      <c r="F2314" s="62" t="s">
        <v>254</v>
      </c>
      <c r="G2314" s="62" t="s">
        <v>49862</v>
      </c>
      <c r="J2314" s="62" t="s">
        <v>29538</v>
      </c>
      <c r="K2314" s="62" t="s">
        <v>49892</v>
      </c>
      <c r="L2314" s="62" t="s">
        <v>29539</v>
      </c>
      <c r="M2314" s="62" t="s">
        <v>29540</v>
      </c>
      <c r="N2314" s="62" t="s">
        <v>29541</v>
      </c>
      <c r="O2314" s="62" t="s">
        <v>29542</v>
      </c>
      <c r="P2314" s="62" t="s">
        <v>49922</v>
      </c>
      <c r="Q2314" s="62" t="s">
        <v>29543</v>
      </c>
      <c r="R2314" s="62" t="s">
        <v>29544</v>
      </c>
      <c r="S2314" s="62" t="s">
        <v>29545</v>
      </c>
      <c r="U2314" s="62" t="s">
        <v>29546</v>
      </c>
      <c r="V2314" s="62" t="s">
        <v>49952</v>
      </c>
      <c r="W2314" s="62" t="s">
        <v>29547</v>
      </c>
      <c r="X2314" s="62" t="s">
        <v>29548</v>
      </c>
      <c r="Y2314" s="62" t="s">
        <v>29549</v>
      </c>
      <c r="Z2314" s="62" t="s">
        <v>29550</v>
      </c>
      <c r="AA2314" s="62" t="s">
        <v>49982</v>
      </c>
      <c r="AB2314" s="62" t="s">
        <v>29551</v>
      </c>
      <c r="AC2314" s="62" t="s">
        <v>29552</v>
      </c>
      <c r="AD2314" s="62" t="s">
        <v>29553</v>
      </c>
    </row>
    <row r="2315" spans="1:30" x14ac:dyDescent="0.25">
      <c r="A2315" s="62" t="s">
        <v>109</v>
      </c>
      <c r="C2315" s="62" t="s">
        <v>29554</v>
      </c>
      <c r="F2315" s="62" t="s">
        <v>10332</v>
      </c>
      <c r="G2315" s="62" t="s">
        <v>49863</v>
      </c>
      <c r="J2315" s="62" t="s">
        <v>29555</v>
      </c>
      <c r="K2315" s="62" t="s">
        <v>49893</v>
      </c>
      <c r="L2315" s="62" t="s">
        <v>29556</v>
      </c>
      <c r="M2315" s="62" t="s">
        <v>29557</v>
      </c>
      <c r="N2315" s="62" t="s">
        <v>29558</v>
      </c>
      <c r="O2315" s="62" t="s">
        <v>29559</v>
      </c>
      <c r="P2315" s="62" t="s">
        <v>49923</v>
      </c>
      <c r="Q2315" s="62" t="s">
        <v>29560</v>
      </c>
      <c r="R2315" s="62" t="s">
        <v>29561</v>
      </c>
      <c r="S2315" s="62" t="s">
        <v>29562</v>
      </c>
      <c r="U2315" s="62" t="s">
        <v>29563</v>
      </c>
      <c r="V2315" s="62" t="s">
        <v>49953</v>
      </c>
      <c r="W2315" s="62" t="s">
        <v>29564</v>
      </c>
      <c r="X2315" s="62" t="s">
        <v>29565</v>
      </c>
      <c r="Y2315" s="62" t="s">
        <v>29566</v>
      </c>
      <c r="Z2315" s="62" t="s">
        <v>29567</v>
      </c>
      <c r="AA2315" s="62" t="s">
        <v>49983</v>
      </c>
      <c r="AB2315" s="62" t="s">
        <v>29568</v>
      </c>
      <c r="AC2315" s="62" t="s">
        <v>29569</v>
      </c>
      <c r="AD2315" s="62" t="s">
        <v>29570</v>
      </c>
    </row>
    <row r="2316" spans="1:30" x14ac:dyDescent="0.25">
      <c r="A2316" s="62" t="s">
        <v>109</v>
      </c>
      <c r="C2316" s="62" t="s">
        <v>29571</v>
      </c>
      <c r="F2316" s="62" t="s">
        <v>10350</v>
      </c>
      <c r="G2316" s="62" t="s">
        <v>49864</v>
      </c>
      <c r="J2316" s="62" t="s">
        <v>29572</v>
      </c>
      <c r="K2316" s="62" t="s">
        <v>49894</v>
      </c>
      <c r="L2316" s="62" t="s">
        <v>29573</v>
      </c>
      <c r="M2316" s="62" t="s">
        <v>29574</v>
      </c>
      <c r="N2316" s="62" t="s">
        <v>29575</v>
      </c>
      <c r="O2316" s="62" t="s">
        <v>29576</v>
      </c>
      <c r="P2316" s="62" t="s">
        <v>49924</v>
      </c>
      <c r="Q2316" s="62" t="s">
        <v>29577</v>
      </c>
      <c r="R2316" s="62" t="s">
        <v>29578</v>
      </c>
      <c r="S2316" s="62" t="s">
        <v>29579</v>
      </c>
      <c r="U2316" s="62" t="s">
        <v>29580</v>
      </c>
      <c r="V2316" s="62" t="s">
        <v>49954</v>
      </c>
      <c r="W2316" s="62" t="s">
        <v>29581</v>
      </c>
      <c r="X2316" s="62" t="s">
        <v>29582</v>
      </c>
      <c r="Y2316" s="62" t="s">
        <v>29583</v>
      </c>
      <c r="Z2316" s="62" t="s">
        <v>29584</v>
      </c>
      <c r="AA2316" s="62" t="s">
        <v>49984</v>
      </c>
      <c r="AB2316" s="62" t="s">
        <v>29585</v>
      </c>
      <c r="AC2316" s="62" t="s">
        <v>29586</v>
      </c>
      <c r="AD2316" s="62" t="s">
        <v>29587</v>
      </c>
    </row>
    <row r="2317" spans="1:30" x14ac:dyDescent="0.25">
      <c r="A2317" s="62" t="s">
        <v>109</v>
      </c>
      <c r="C2317" s="62" t="s">
        <v>29588</v>
      </c>
      <c r="F2317" s="62" t="s">
        <v>10368</v>
      </c>
      <c r="G2317" s="62" t="s">
        <v>49865</v>
      </c>
      <c r="J2317" s="62" t="s">
        <v>29589</v>
      </c>
      <c r="K2317" s="62" t="s">
        <v>49895</v>
      </c>
      <c r="L2317" s="62" t="s">
        <v>29590</v>
      </c>
      <c r="M2317" s="62" t="s">
        <v>29591</v>
      </c>
      <c r="N2317" s="62" t="s">
        <v>29592</v>
      </c>
      <c r="O2317" s="62" t="s">
        <v>29593</v>
      </c>
      <c r="P2317" s="62" t="s">
        <v>49925</v>
      </c>
      <c r="Q2317" s="62" t="s">
        <v>29594</v>
      </c>
      <c r="R2317" s="62" t="s">
        <v>29595</v>
      </c>
      <c r="S2317" s="62" t="s">
        <v>29596</v>
      </c>
      <c r="U2317" s="62" t="s">
        <v>29597</v>
      </c>
      <c r="V2317" s="62" t="s">
        <v>49955</v>
      </c>
      <c r="W2317" s="62" t="s">
        <v>29598</v>
      </c>
      <c r="X2317" s="62" t="s">
        <v>29599</v>
      </c>
      <c r="Y2317" s="62" t="s">
        <v>29600</v>
      </c>
      <c r="Z2317" s="62" t="s">
        <v>29601</v>
      </c>
      <c r="AA2317" s="62" t="s">
        <v>49985</v>
      </c>
      <c r="AB2317" s="62" t="s">
        <v>29602</v>
      </c>
      <c r="AC2317" s="62" t="s">
        <v>29603</v>
      </c>
      <c r="AD2317" s="62" t="s">
        <v>29604</v>
      </c>
    </row>
    <row r="2318" spans="1:30" x14ac:dyDescent="0.25">
      <c r="A2318" s="62" t="s">
        <v>109</v>
      </c>
      <c r="C2318" s="62" t="s">
        <v>29605</v>
      </c>
      <c r="F2318" s="62" t="s">
        <v>10386</v>
      </c>
      <c r="G2318" s="62" t="s">
        <v>49866</v>
      </c>
      <c r="J2318" s="62" t="s">
        <v>29606</v>
      </c>
      <c r="K2318" s="62" t="s">
        <v>49896</v>
      </c>
      <c r="L2318" s="62" t="s">
        <v>29607</v>
      </c>
      <c r="M2318" s="62" t="s">
        <v>29608</v>
      </c>
      <c r="N2318" s="62" t="s">
        <v>29609</v>
      </c>
      <c r="O2318" s="62" t="s">
        <v>29610</v>
      </c>
      <c r="P2318" s="62" t="s">
        <v>49926</v>
      </c>
      <c r="Q2318" s="62" t="s">
        <v>29611</v>
      </c>
      <c r="R2318" s="62" t="s">
        <v>29612</v>
      </c>
      <c r="S2318" s="62" t="s">
        <v>29613</v>
      </c>
      <c r="U2318" s="62" t="s">
        <v>29614</v>
      </c>
      <c r="V2318" s="62" t="s">
        <v>49956</v>
      </c>
      <c r="W2318" s="62" t="s">
        <v>29615</v>
      </c>
      <c r="X2318" s="62" t="s">
        <v>29616</v>
      </c>
      <c r="Y2318" s="62" t="s">
        <v>29617</v>
      </c>
      <c r="Z2318" s="62" t="s">
        <v>29618</v>
      </c>
      <c r="AA2318" s="62" t="s">
        <v>49986</v>
      </c>
      <c r="AB2318" s="62" t="s">
        <v>29619</v>
      </c>
      <c r="AC2318" s="62" t="s">
        <v>29620</v>
      </c>
      <c r="AD2318" s="62" t="s">
        <v>29621</v>
      </c>
    </row>
    <row r="2319" spans="1:30" x14ac:dyDescent="0.25">
      <c r="A2319" s="62" t="s">
        <v>109</v>
      </c>
      <c r="C2319" s="62" t="s">
        <v>29622</v>
      </c>
      <c r="F2319" s="62" t="s">
        <v>10404</v>
      </c>
      <c r="G2319" s="62" t="s">
        <v>49867</v>
      </c>
      <c r="J2319" s="62" t="s">
        <v>29623</v>
      </c>
      <c r="K2319" s="62" t="s">
        <v>49897</v>
      </c>
      <c r="L2319" s="62" t="s">
        <v>29624</v>
      </c>
      <c r="M2319" s="62" t="s">
        <v>29625</v>
      </c>
      <c r="N2319" s="62" t="s">
        <v>29626</v>
      </c>
      <c r="O2319" s="62" t="s">
        <v>29627</v>
      </c>
      <c r="P2319" s="62" t="s">
        <v>49927</v>
      </c>
      <c r="Q2319" s="62" t="s">
        <v>29628</v>
      </c>
      <c r="R2319" s="62" t="s">
        <v>29629</v>
      </c>
      <c r="S2319" s="62" t="s">
        <v>29630</v>
      </c>
      <c r="U2319" s="62" t="s">
        <v>29631</v>
      </c>
      <c r="V2319" s="62" t="s">
        <v>49957</v>
      </c>
      <c r="W2319" s="62" t="s">
        <v>29632</v>
      </c>
      <c r="X2319" s="62" t="s">
        <v>29633</v>
      </c>
      <c r="Y2319" s="62" t="s">
        <v>29634</v>
      </c>
      <c r="Z2319" s="62" t="s">
        <v>29635</v>
      </c>
      <c r="AA2319" s="62" t="s">
        <v>49987</v>
      </c>
      <c r="AB2319" s="62" t="s">
        <v>29636</v>
      </c>
      <c r="AC2319" s="62" t="s">
        <v>29637</v>
      </c>
      <c r="AD2319" s="62" t="s">
        <v>29638</v>
      </c>
    </row>
    <row r="2320" spans="1:30" x14ac:dyDescent="0.25">
      <c r="A2320" s="62" t="s">
        <v>109</v>
      </c>
      <c r="C2320" s="62" t="s">
        <v>29639</v>
      </c>
      <c r="F2320" s="62" t="s">
        <v>10422</v>
      </c>
      <c r="G2320" s="62" t="s">
        <v>49868</v>
      </c>
      <c r="J2320" s="62" t="s">
        <v>29640</v>
      </c>
      <c r="K2320" s="62" t="s">
        <v>49898</v>
      </c>
      <c r="L2320" s="62" t="s">
        <v>29641</v>
      </c>
      <c r="M2320" s="62" t="s">
        <v>29642</v>
      </c>
      <c r="N2320" s="62" t="s">
        <v>29643</v>
      </c>
      <c r="O2320" s="62" t="s">
        <v>29644</v>
      </c>
      <c r="P2320" s="62" t="s">
        <v>49928</v>
      </c>
      <c r="Q2320" s="62" t="s">
        <v>29645</v>
      </c>
      <c r="R2320" s="62" t="s">
        <v>29646</v>
      </c>
      <c r="S2320" s="62" t="s">
        <v>29647</v>
      </c>
      <c r="U2320" s="62" t="s">
        <v>29648</v>
      </c>
      <c r="V2320" s="62" t="s">
        <v>49958</v>
      </c>
      <c r="W2320" s="62" t="s">
        <v>29649</v>
      </c>
      <c r="X2320" s="62" t="s">
        <v>29650</v>
      </c>
      <c r="Y2320" s="62" t="s">
        <v>29651</v>
      </c>
      <c r="Z2320" s="62" t="s">
        <v>29652</v>
      </c>
      <c r="AA2320" s="62" t="s">
        <v>49988</v>
      </c>
      <c r="AB2320" s="62" t="s">
        <v>29653</v>
      </c>
      <c r="AC2320" s="62" t="s">
        <v>29654</v>
      </c>
      <c r="AD2320" s="62" t="s">
        <v>29655</v>
      </c>
    </row>
    <row r="2321" spans="1:30" x14ac:dyDescent="0.25">
      <c r="A2321" s="62" t="s">
        <v>109</v>
      </c>
      <c r="C2321" s="62" t="s">
        <v>29656</v>
      </c>
      <c r="F2321" s="62" t="s">
        <v>1047</v>
      </c>
      <c r="G2321" s="62" t="s">
        <v>49869</v>
      </c>
      <c r="J2321" s="62" t="s">
        <v>29657</v>
      </c>
      <c r="K2321" s="62" t="s">
        <v>49899</v>
      </c>
      <c r="L2321" s="62" t="s">
        <v>29658</v>
      </c>
      <c r="M2321" s="62" t="s">
        <v>29659</v>
      </c>
      <c r="N2321" s="62" t="s">
        <v>29660</v>
      </c>
      <c r="O2321" s="62" t="s">
        <v>29661</v>
      </c>
      <c r="P2321" s="62" t="s">
        <v>49929</v>
      </c>
      <c r="Q2321" s="62" t="s">
        <v>29662</v>
      </c>
      <c r="R2321" s="62" t="s">
        <v>29663</v>
      </c>
      <c r="S2321" s="62" t="s">
        <v>29664</v>
      </c>
      <c r="U2321" s="62" t="s">
        <v>29665</v>
      </c>
      <c r="V2321" s="62" t="s">
        <v>49959</v>
      </c>
      <c r="W2321" s="62" t="s">
        <v>29666</v>
      </c>
      <c r="X2321" s="62" t="s">
        <v>29667</v>
      </c>
      <c r="Y2321" s="62" t="s">
        <v>29668</v>
      </c>
      <c r="Z2321" s="62" t="s">
        <v>29669</v>
      </c>
      <c r="AA2321" s="62" t="s">
        <v>49989</v>
      </c>
      <c r="AB2321" s="62" t="s">
        <v>29670</v>
      </c>
      <c r="AC2321" s="62" t="s">
        <v>29671</v>
      </c>
      <c r="AD2321" s="62" t="s">
        <v>29672</v>
      </c>
    </row>
    <row r="2322" spans="1:30" x14ac:dyDescent="0.25">
      <c r="A2322" s="62" t="s">
        <v>109</v>
      </c>
      <c r="C2322" s="62" t="s">
        <v>29673</v>
      </c>
      <c r="F2322" s="62" t="s">
        <v>1064</v>
      </c>
      <c r="G2322" s="62" t="s">
        <v>49870</v>
      </c>
      <c r="J2322" s="62" t="s">
        <v>29674</v>
      </c>
      <c r="K2322" s="62" t="s">
        <v>49900</v>
      </c>
      <c r="L2322" s="62" t="s">
        <v>29675</v>
      </c>
      <c r="M2322" s="62" t="s">
        <v>29676</v>
      </c>
      <c r="N2322" s="62" t="s">
        <v>29677</v>
      </c>
      <c r="O2322" s="62" t="s">
        <v>29678</v>
      </c>
      <c r="P2322" s="62" t="s">
        <v>49930</v>
      </c>
      <c r="Q2322" s="62" t="s">
        <v>29679</v>
      </c>
      <c r="R2322" s="62" t="s">
        <v>29680</v>
      </c>
      <c r="S2322" s="62" t="s">
        <v>29681</v>
      </c>
      <c r="U2322" s="62" t="s">
        <v>29682</v>
      </c>
      <c r="V2322" s="62" t="s">
        <v>49960</v>
      </c>
      <c r="W2322" s="62" t="s">
        <v>29683</v>
      </c>
      <c r="X2322" s="62" t="s">
        <v>29684</v>
      </c>
      <c r="Y2322" s="62" t="s">
        <v>29685</v>
      </c>
      <c r="Z2322" s="62" t="s">
        <v>29686</v>
      </c>
      <c r="AA2322" s="62" t="s">
        <v>49990</v>
      </c>
      <c r="AB2322" s="62" t="s">
        <v>29687</v>
      </c>
      <c r="AC2322" s="62" t="s">
        <v>29688</v>
      </c>
      <c r="AD2322" s="62" t="s">
        <v>29689</v>
      </c>
    </row>
    <row r="2323" spans="1:30" x14ac:dyDescent="0.25">
      <c r="A2323" s="62" t="s">
        <v>109</v>
      </c>
      <c r="C2323" s="62" t="s">
        <v>29690</v>
      </c>
      <c r="F2323" s="62" t="s">
        <v>2337</v>
      </c>
      <c r="G2323" s="62" t="s">
        <v>49871</v>
      </c>
      <c r="J2323" s="62" t="s">
        <v>29691</v>
      </c>
      <c r="K2323" s="62" t="s">
        <v>49901</v>
      </c>
      <c r="L2323" s="62" t="s">
        <v>29692</v>
      </c>
      <c r="M2323" s="62" t="s">
        <v>29693</v>
      </c>
      <c r="N2323" s="62" t="s">
        <v>29694</v>
      </c>
      <c r="O2323" s="62" t="s">
        <v>29695</v>
      </c>
      <c r="P2323" s="62" t="s">
        <v>49931</v>
      </c>
      <c r="Q2323" s="62" t="s">
        <v>29696</v>
      </c>
      <c r="R2323" s="62" t="s">
        <v>29697</v>
      </c>
      <c r="S2323" s="62" t="s">
        <v>29698</v>
      </c>
      <c r="U2323" s="62" t="s">
        <v>29699</v>
      </c>
      <c r="V2323" s="62" t="s">
        <v>49961</v>
      </c>
      <c r="W2323" s="62" t="s">
        <v>29700</v>
      </c>
      <c r="X2323" s="62" t="s">
        <v>29701</v>
      </c>
      <c r="Y2323" s="62" t="s">
        <v>29702</v>
      </c>
      <c r="Z2323" s="62" t="s">
        <v>29703</v>
      </c>
      <c r="AA2323" s="62" t="s">
        <v>49991</v>
      </c>
      <c r="AB2323" s="62" t="s">
        <v>29704</v>
      </c>
      <c r="AC2323" s="62" t="s">
        <v>29705</v>
      </c>
      <c r="AD2323" s="62" t="s">
        <v>29706</v>
      </c>
    </row>
    <row r="2324" spans="1:30" x14ac:dyDescent="0.25">
      <c r="A2324" s="62" t="s">
        <v>109</v>
      </c>
      <c r="C2324" s="62" t="s">
        <v>29707</v>
      </c>
      <c r="F2324" s="62" t="s">
        <v>10559</v>
      </c>
      <c r="G2324" s="62" t="s">
        <v>49872</v>
      </c>
      <c r="J2324" s="62" t="s">
        <v>29708</v>
      </c>
      <c r="K2324" s="62" t="s">
        <v>49902</v>
      </c>
      <c r="L2324" s="62" t="s">
        <v>29709</v>
      </c>
      <c r="M2324" s="62" t="s">
        <v>29710</v>
      </c>
      <c r="N2324" s="62" t="s">
        <v>29711</v>
      </c>
      <c r="O2324" s="62" t="s">
        <v>29712</v>
      </c>
      <c r="P2324" s="62" t="s">
        <v>49932</v>
      </c>
      <c r="Q2324" s="62" t="s">
        <v>29713</v>
      </c>
      <c r="R2324" s="62" t="s">
        <v>29714</v>
      </c>
      <c r="S2324" s="62" t="s">
        <v>29715</v>
      </c>
      <c r="U2324" s="62" t="s">
        <v>29716</v>
      </c>
      <c r="V2324" s="62" t="s">
        <v>49962</v>
      </c>
      <c r="W2324" s="62" t="s">
        <v>29717</v>
      </c>
      <c r="X2324" s="62" t="s">
        <v>29718</v>
      </c>
      <c r="Y2324" s="62" t="s">
        <v>29719</v>
      </c>
      <c r="Z2324" s="62" t="s">
        <v>29720</v>
      </c>
      <c r="AA2324" s="62" t="s">
        <v>49992</v>
      </c>
      <c r="AB2324" s="62" t="s">
        <v>29721</v>
      </c>
      <c r="AC2324" s="62" t="s">
        <v>29722</v>
      </c>
      <c r="AD2324" s="62" t="s">
        <v>29723</v>
      </c>
    </row>
    <row r="2325" spans="1:30" x14ac:dyDescent="0.25">
      <c r="A2325" s="62" t="s">
        <v>109</v>
      </c>
      <c r="C2325" s="62" t="s">
        <v>29724</v>
      </c>
      <c r="F2325" s="62" t="s">
        <v>10595</v>
      </c>
      <c r="G2325" s="62" t="s">
        <v>49873</v>
      </c>
      <c r="J2325" s="62" t="s">
        <v>29725</v>
      </c>
      <c r="K2325" s="62" t="s">
        <v>49903</v>
      </c>
      <c r="L2325" s="62" t="s">
        <v>29726</v>
      </c>
      <c r="M2325" s="62" t="s">
        <v>29727</v>
      </c>
      <c r="N2325" s="62" t="s">
        <v>29728</v>
      </c>
      <c r="O2325" s="62" t="s">
        <v>29729</v>
      </c>
      <c r="P2325" s="62" t="s">
        <v>49933</v>
      </c>
      <c r="Q2325" s="62" t="s">
        <v>29730</v>
      </c>
      <c r="R2325" s="62" t="s">
        <v>29731</v>
      </c>
      <c r="S2325" s="62" t="s">
        <v>29732</v>
      </c>
      <c r="U2325" s="62" t="s">
        <v>29733</v>
      </c>
      <c r="V2325" s="62" t="s">
        <v>49963</v>
      </c>
      <c r="W2325" s="62" t="s">
        <v>29734</v>
      </c>
      <c r="X2325" s="62" t="s">
        <v>29735</v>
      </c>
      <c r="Y2325" s="62" t="s">
        <v>29736</v>
      </c>
      <c r="Z2325" s="62" t="s">
        <v>29737</v>
      </c>
      <c r="AA2325" s="62" t="s">
        <v>49993</v>
      </c>
      <c r="AB2325" s="62" t="s">
        <v>29738</v>
      </c>
      <c r="AC2325" s="62" t="s">
        <v>29739</v>
      </c>
      <c r="AD2325" s="62" t="s">
        <v>29740</v>
      </c>
    </row>
    <row r="2326" spans="1:30" x14ac:dyDescent="0.25">
      <c r="A2326" s="62" t="s">
        <v>109</v>
      </c>
      <c r="C2326" s="62" t="s">
        <v>29741</v>
      </c>
      <c r="F2326" s="62" t="s">
        <v>10613</v>
      </c>
      <c r="G2326" s="62" t="s">
        <v>49874</v>
      </c>
      <c r="J2326" s="62" t="s">
        <v>29742</v>
      </c>
      <c r="K2326" s="62" t="s">
        <v>49904</v>
      </c>
      <c r="L2326" s="62" t="s">
        <v>29743</v>
      </c>
      <c r="M2326" s="62" t="s">
        <v>29744</v>
      </c>
      <c r="N2326" s="62" t="s">
        <v>29745</v>
      </c>
      <c r="O2326" s="62" t="s">
        <v>29746</v>
      </c>
      <c r="P2326" s="62" t="s">
        <v>49934</v>
      </c>
      <c r="Q2326" s="62" t="s">
        <v>29747</v>
      </c>
      <c r="R2326" s="62" t="s">
        <v>29748</v>
      </c>
      <c r="S2326" s="62" t="s">
        <v>29749</v>
      </c>
      <c r="U2326" s="62" t="s">
        <v>29750</v>
      </c>
      <c r="V2326" s="62" t="s">
        <v>49964</v>
      </c>
      <c r="W2326" s="62" t="s">
        <v>29751</v>
      </c>
      <c r="X2326" s="62" t="s">
        <v>29752</v>
      </c>
      <c r="Y2326" s="62" t="s">
        <v>29753</v>
      </c>
      <c r="Z2326" s="62" t="s">
        <v>29754</v>
      </c>
      <c r="AA2326" s="62" t="s">
        <v>49994</v>
      </c>
      <c r="AB2326" s="62" t="s">
        <v>29755</v>
      </c>
      <c r="AC2326" s="62" t="s">
        <v>29756</v>
      </c>
      <c r="AD2326" s="62" t="s">
        <v>29757</v>
      </c>
    </row>
    <row r="2327" spans="1:30" x14ac:dyDescent="0.25">
      <c r="A2327" s="62" t="s">
        <v>109</v>
      </c>
      <c r="C2327" s="62" t="s">
        <v>29758</v>
      </c>
      <c r="F2327" s="62" t="s">
        <v>10685</v>
      </c>
      <c r="G2327" s="62" t="s">
        <v>49875</v>
      </c>
      <c r="J2327" s="62" t="s">
        <v>29759</v>
      </c>
      <c r="K2327" s="62" t="s">
        <v>49905</v>
      </c>
      <c r="L2327" s="62" t="s">
        <v>29760</v>
      </c>
      <c r="M2327" s="62" t="s">
        <v>29761</v>
      </c>
      <c r="N2327" s="62" t="s">
        <v>29762</v>
      </c>
      <c r="O2327" s="62" t="s">
        <v>29763</v>
      </c>
      <c r="P2327" s="62" t="s">
        <v>49935</v>
      </c>
      <c r="Q2327" s="62" t="s">
        <v>29764</v>
      </c>
      <c r="R2327" s="62" t="s">
        <v>29765</v>
      </c>
      <c r="S2327" s="62" t="s">
        <v>29766</v>
      </c>
      <c r="U2327" s="62" t="s">
        <v>29767</v>
      </c>
      <c r="V2327" s="62" t="s">
        <v>49965</v>
      </c>
      <c r="W2327" s="62" t="s">
        <v>29768</v>
      </c>
      <c r="X2327" s="62" t="s">
        <v>29769</v>
      </c>
      <c r="Y2327" s="62" t="s">
        <v>29770</v>
      </c>
      <c r="Z2327" s="62" t="s">
        <v>29771</v>
      </c>
      <c r="AA2327" s="62" t="s">
        <v>49995</v>
      </c>
      <c r="AB2327" s="62" t="s">
        <v>29772</v>
      </c>
      <c r="AC2327" s="62" t="s">
        <v>29773</v>
      </c>
      <c r="AD2327" s="62" t="s">
        <v>29774</v>
      </c>
    </row>
    <row r="2328" spans="1:30" x14ac:dyDescent="0.25">
      <c r="A2328" s="62" t="s">
        <v>109</v>
      </c>
      <c r="C2328" s="62" t="s">
        <v>29775</v>
      </c>
      <c r="F2328" s="62" t="s">
        <v>10703</v>
      </c>
      <c r="G2328" s="62" t="s">
        <v>49876</v>
      </c>
      <c r="J2328" s="62" t="s">
        <v>29776</v>
      </c>
      <c r="K2328" s="62" t="s">
        <v>49906</v>
      </c>
      <c r="L2328" s="62" t="s">
        <v>29777</v>
      </c>
      <c r="M2328" s="62" t="s">
        <v>29778</v>
      </c>
      <c r="N2328" s="62" t="s">
        <v>29779</v>
      </c>
      <c r="O2328" s="62" t="s">
        <v>29780</v>
      </c>
      <c r="P2328" s="62" t="s">
        <v>49936</v>
      </c>
      <c r="Q2328" s="62" t="s">
        <v>29781</v>
      </c>
      <c r="R2328" s="62" t="s">
        <v>29782</v>
      </c>
      <c r="S2328" s="62" t="s">
        <v>29783</v>
      </c>
      <c r="U2328" s="62" t="s">
        <v>29784</v>
      </c>
      <c r="V2328" s="62" t="s">
        <v>49966</v>
      </c>
      <c r="W2328" s="62" t="s">
        <v>29785</v>
      </c>
      <c r="X2328" s="62" t="s">
        <v>29786</v>
      </c>
      <c r="Y2328" s="62" t="s">
        <v>29787</v>
      </c>
      <c r="Z2328" s="62" t="s">
        <v>29788</v>
      </c>
      <c r="AA2328" s="62" t="s">
        <v>49996</v>
      </c>
      <c r="AB2328" s="62" t="s">
        <v>29789</v>
      </c>
      <c r="AC2328" s="62" t="s">
        <v>29790</v>
      </c>
      <c r="AD2328" s="62" t="s">
        <v>29791</v>
      </c>
    </row>
    <row r="2329" spans="1:30" x14ac:dyDescent="0.25">
      <c r="A2329" s="62" t="s">
        <v>109</v>
      </c>
      <c r="C2329" s="62" t="s">
        <v>29792</v>
      </c>
      <c r="F2329" s="62" t="s">
        <v>10721</v>
      </c>
      <c r="G2329" s="62" t="s">
        <v>49877</v>
      </c>
      <c r="J2329" s="62" t="s">
        <v>29793</v>
      </c>
      <c r="K2329" s="62" t="s">
        <v>49907</v>
      </c>
      <c r="L2329" s="62" t="s">
        <v>29794</v>
      </c>
      <c r="M2329" s="62" t="s">
        <v>29795</v>
      </c>
      <c r="N2329" s="62" t="s">
        <v>29796</v>
      </c>
      <c r="O2329" s="62" t="s">
        <v>29797</v>
      </c>
      <c r="P2329" s="62" t="s">
        <v>49937</v>
      </c>
      <c r="Q2329" s="62" t="s">
        <v>29798</v>
      </c>
      <c r="R2329" s="62" t="s">
        <v>29799</v>
      </c>
      <c r="S2329" s="62" t="s">
        <v>29800</v>
      </c>
      <c r="U2329" s="62" t="s">
        <v>29801</v>
      </c>
      <c r="V2329" s="62" t="s">
        <v>49967</v>
      </c>
      <c r="W2329" s="62" t="s">
        <v>29802</v>
      </c>
      <c r="X2329" s="62" t="s">
        <v>29803</v>
      </c>
      <c r="Y2329" s="62" t="s">
        <v>29804</v>
      </c>
      <c r="Z2329" s="62" t="s">
        <v>29805</v>
      </c>
      <c r="AA2329" s="62" t="s">
        <v>49997</v>
      </c>
      <c r="AB2329" s="62" t="s">
        <v>29806</v>
      </c>
      <c r="AC2329" s="62" t="s">
        <v>29807</v>
      </c>
      <c r="AD2329" s="62" t="s">
        <v>29808</v>
      </c>
    </row>
    <row r="2330" spans="1:30" x14ac:dyDescent="0.25">
      <c r="A2330" s="62" t="s">
        <v>109</v>
      </c>
      <c r="C2330" s="62" t="s">
        <v>29809</v>
      </c>
      <c r="F2330" s="62" t="s">
        <v>10739</v>
      </c>
      <c r="G2330" s="62" t="s">
        <v>49878</v>
      </c>
      <c r="J2330" s="62" t="s">
        <v>29810</v>
      </c>
      <c r="K2330" s="62" t="s">
        <v>49908</v>
      </c>
      <c r="L2330" s="62" t="s">
        <v>29811</v>
      </c>
      <c r="M2330" s="62" t="s">
        <v>29812</v>
      </c>
      <c r="N2330" s="62" t="s">
        <v>29813</v>
      </c>
      <c r="O2330" s="62" t="s">
        <v>29814</v>
      </c>
      <c r="P2330" s="62" t="s">
        <v>49938</v>
      </c>
      <c r="Q2330" s="62" t="s">
        <v>29815</v>
      </c>
      <c r="R2330" s="62" t="s">
        <v>29816</v>
      </c>
      <c r="S2330" s="62" t="s">
        <v>29817</v>
      </c>
      <c r="U2330" s="62" t="s">
        <v>29818</v>
      </c>
      <c r="V2330" s="62" t="s">
        <v>49968</v>
      </c>
      <c r="W2330" s="62" t="s">
        <v>29819</v>
      </c>
      <c r="X2330" s="62" t="s">
        <v>29820</v>
      </c>
      <c r="Y2330" s="62" t="s">
        <v>29821</v>
      </c>
      <c r="Z2330" s="62" t="s">
        <v>29822</v>
      </c>
      <c r="AA2330" s="62" t="s">
        <v>49998</v>
      </c>
      <c r="AB2330" s="62" t="s">
        <v>29823</v>
      </c>
      <c r="AC2330" s="62" t="s">
        <v>29824</v>
      </c>
      <c r="AD2330" s="62" t="s">
        <v>29825</v>
      </c>
    </row>
    <row r="2331" spans="1:30" x14ac:dyDescent="0.25">
      <c r="A2331" s="62" t="s">
        <v>109</v>
      </c>
      <c r="C2331" s="62" t="s">
        <v>29826</v>
      </c>
      <c r="F2331" s="62" t="s">
        <v>10757</v>
      </c>
      <c r="G2331" s="62" t="s">
        <v>49879</v>
      </c>
      <c r="J2331" s="62" t="s">
        <v>29827</v>
      </c>
      <c r="K2331" s="62" t="s">
        <v>49909</v>
      </c>
      <c r="L2331" s="62" t="s">
        <v>29828</v>
      </c>
      <c r="M2331" s="62" t="s">
        <v>29829</v>
      </c>
      <c r="N2331" s="62" t="s">
        <v>29830</v>
      </c>
      <c r="O2331" s="62" t="s">
        <v>29831</v>
      </c>
      <c r="P2331" s="62" t="s">
        <v>49939</v>
      </c>
      <c r="Q2331" s="62" t="s">
        <v>29832</v>
      </c>
      <c r="R2331" s="62" t="s">
        <v>29833</v>
      </c>
      <c r="S2331" s="62" t="s">
        <v>29834</v>
      </c>
      <c r="U2331" s="62" t="s">
        <v>29835</v>
      </c>
      <c r="V2331" s="62" t="s">
        <v>49969</v>
      </c>
      <c r="W2331" s="62" t="s">
        <v>29836</v>
      </c>
      <c r="X2331" s="62" t="s">
        <v>29837</v>
      </c>
      <c r="Y2331" s="62" t="s">
        <v>29838</v>
      </c>
      <c r="Z2331" s="62" t="s">
        <v>29839</v>
      </c>
      <c r="AA2331" s="62" t="s">
        <v>49999</v>
      </c>
      <c r="AB2331" s="62" t="s">
        <v>29840</v>
      </c>
      <c r="AC2331" s="62" t="s">
        <v>29841</v>
      </c>
      <c r="AD2331" s="62" t="s">
        <v>29842</v>
      </c>
    </row>
    <row r="2332" spans="1:30" x14ac:dyDescent="0.25">
      <c r="A2332" s="62" t="s">
        <v>109</v>
      </c>
      <c r="C2332" s="62" t="s">
        <v>29843</v>
      </c>
      <c r="F2332" s="62" t="s">
        <v>13202</v>
      </c>
      <c r="G2332" s="62" t="s">
        <v>49880</v>
      </c>
      <c r="J2332" s="62" t="s">
        <v>29844</v>
      </c>
      <c r="K2332" s="62" t="s">
        <v>49910</v>
      </c>
      <c r="L2332" s="62" t="s">
        <v>29845</v>
      </c>
      <c r="M2332" s="62" t="s">
        <v>29846</v>
      </c>
      <c r="N2332" s="62" t="s">
        <v>29847</v>
      </c>
      <c r="O2332" s="62" t="s">
        <v>29848</v>
      </c>
      <c r="P2332" s="62" t="s">
        <v>49940</v>
      </c>
      <c r="Q2332" s="62" t="s">
        <v>29849</v>
      </c>
      <c r="R2332" s="62" t="s">
        <v>29850</v>
      </c>
      <c r="S2332" s="62" t="s">
        <v>29851</v>
      </c>
      <c r="U2332" s="62" t="s">
        <v>29852</v>
      </c>
      <c r="V2332" s="62" t="s">
        <v>49970</v>
      </c>
      <c r="W2332" s="62" t="s">
        <v>29853</v>
      </c>
      <c r="X2332" s="62" t="s">
        <v>29854</v>
      </c>
      <c r="Y2332" s="62" t="s">
        <v>29855</v>
      </c>
      <c r="Z2332" s="62" t="s">
        <v>29856</v>
      </c>
      <c r="AA2332" s="62" t="s">
        <v>50000</v>
      </c>
      <c r="AB2332" s="62" t="s">
        <v>29857</v>
      </c>
      <c r="AC2332" s="62" t="s">
        <v>29858</v>
      </c>
      <c r="AD2332" s="62" t="s">
        <v>29859</v>
      </c>
    </row>
    <row r="2333" spans="1:30" x14ac:dyDescent="0.25">
      <c r="A2333" s="62" t="s">
        <v>109</v>
      </c>
      <c r="C2333" s="62" t="s">
        <v>29860</v>
      </c>
      <c r="F2333" s="62" t="s">
        <v>10847</v>
      </c>
      <c r="G2333" s="62" t="s">
        <v>49881</v>
      </c>
      <c r="J2333" s="62" t="s">
        <v>29861</v>
      </c>
      <c r="K2333" s="62" t="s">
        <v>49911</v>
      </c>
      <c r="L2333" s="62" t="s">
        <v>29862</v>
      </c>
      <c r="M2333" s="62" t="s">
        <v>29863</v>
      </c>
      <c r="N2333" s="62" t="s">
        <v>29864</v>
      </c>
      <c r="O2333" s="62" t="s">
        <v>29865</v>
      </c>
      <c r="P2333" s="62" t="s">
        <v>49941</v>
      </c>
      <c r="Q2333" s="62" t="s">
        <v>29866</v>
      </c>
      <c r="R2333" s="62" t="s">
        <v>29867</v>
      </c>
      <c r="S2333" s="62" t="s">
        <v>29868</v>
      </c>
      <c r="U2333" s="62" t="s">
        <v>29869</v>
      </c>
      <c r="V2333" s="62" t="s">
        <v>49971</v>
      </c>
      <c r="W2333" s="62" t="s">
        <v>29870</v>
      </c>
      <c r="X2333" s="62" t="s">
        <v>29871</v>
      </c>
      <c r="Y2333" s="62" t="s">
        <v>29872</v>
      </c>
      <c r="Z2333" s="62" t="s">
        <v>29873</v>
      </c>
      <c r="AA2333" s="62" t="s">
        <v>50001</v>
      </c>
      <c r="AB2333" s="62" t="s">
        <v>29874</v>
      </c>
      <c r="AC2333" s="62" t="s">
        <v>29875</v>
      </c>
      <c r="AD2333" s="62" t="s">
        <v>29876</v>
      </c>
    </row>
    <row r="2334" spans="1:30" x14ac:dyDescent="0.25">
      <c r="A2334" s="62" t="s">
        <v>109</v>
      </c>
      <c r="C2334" s="62" t="s">
        <v>29877</v>
      </c>
      <c r="F2334" s="62" t="s">
        <v>10865</v>
      </c>
      <c r="G2334" s="62" t="s">
        <v>49882</v>
      </c>
      <c r="J2334" s="62" t="s">
        <v>29878</v>
      </c>
      <c r="K2334" s="62" t="s">
        <v>49912</v>
      </c>
      <c r="L2334" s="62" t="s">
        <v>29879</v>
      </c>
      <c r="M2334" s="62" t="s">
        <v>29880</v>
      </c>
      <c r="N2334" s="62" t="s">
        <v>29881</v>
      </c>
      <c r="O2334" s="62" t="s">
        <v>29882</v>
      </c>
      <c r="P2334" s="62" t="s">
        <v>49942</v>
      </c>
      <c r="Q2334" s="62" t="s">
        <v>29883</v>
      </c>
      <c r="R2334" s="62" t="s">
        <v>29884</v>
      </c>
      <c r="S2334" s="62" t="s">
        <v>29885</v>
      </c>
      <c r="U2334" s="62" t="s">
        <v>29886</v>
      </c>
      <c r="V2334" s="62" t="s">
        <v>49972</v>
      </c>
      <c r="W2334" s="62" t="s">
        <v>29887</v>
      </c>
      <c r="X2334" s="62" t="s">
        <v>29888</v>
      </c>
      <c r="Y2334" s="62" t="s">
        <v>29889</v>
      </c>
      <c r="Z2334" s="62" t="s">
        <v>29890</v>
      </c>
      <c r="AA2334" s="62" t="s">
        <v>50002</v>
      </c>
      <c r="AB2334" s="62" t="s">
        <v>29891</v>
      </c>
      <c r="AC2334" s="62" t="s">
        <v>29892</v>
      </c>
      <c r="AD2334" s="62" t="s">
        <v>29893</v>
      </c>
    </row>
    <row r="2335" spans="1:30" x14ac:dyDescent="0.25">
      <c r="A2335" s="62" t="s">
        <v>109</v>
      </c>
      <c r="C2335" s="62" t="s">
        <v>29894</v>
      </c>
      <c r="F2335" s="62" t="s">
        <v>13238</v>
      </c>
      <c r="G2335" s="62" t="s">
        <v>49883</v>
      </c>
      <c r="J2335" s="62" t="s">
        <v>29895</v>
      </c>
      <c r="K2335" s="62" t="s">
        <v>49913</v>
      </c>
      <c r="L2335" s="62" t="s">
        <v>29896</v>
      </c>
      <c r="M2335" s="62" t="s">
        <v>29897</v>
      </c>
      <c r="N2335" s="62" t="s">
        <v>29898</v>
      </c>
      <c r="O2335" s="62" t="s">
        <v>29899</v>
      </c>
      <c r="P2335" s="62" t="s">
        <v>49943</v>
      </c>
      <c r="Q2335" s="62" t="s">
        <v>29900</v>
      </c>
      <c r="R2335" s="62" t="s">
        <v>29901</v>
      </c>
      <c r="S2335" s="62" t="s">
        <v>29902</v>
      </c>
      <c r="U2335" s="62" t="s">
        <v>29903</v>
      </c>
      <c r="V2335" s="62" t="s">
        <v>49973</v>
      </c>
      <c r="W2335" s="62" t="s">
        <v>29904</v>
      </c>
      <c r="X2335" s="62" t="s">
        <v>29905</v>
      </c>
      <c r="Y2335" s="62" t="s">
        <v>29906</v>
      </c>
      <c r="Z2335" s="62" t="s">
        <v>29907</v>
      </c>
      <c r="AA2335" s="62" t="s">
        <v>50003</v>
      </c>
      <c r="AB2335" s="62" t="s">
        <v>29908</v>
      </c>
      <c r="AC2335" s="62" t="s">
        <v>29909</v>
      </c>
      <c r="AD2335" s="62" t="s">
        <v>29910</v>
      </c>
    </row>
    <row r="2336" spans="1:30" x14ac:dyDescent="0.25">
      <c r="A2336" s="62" t="s">
        <v>109</v>
      </c>
      <c r="C2336" s="62" t="s">
        <v>29911</v>
      </c>
      <c r="F2336" s="62" t="s">
        <v>1286</v>
      </c>
      <c r="G2336" s="62" t="s">
        <v>49884</v>
      </c>
      <c r="J2336" s="62" t="s">
        <v>29912</v>
      </c>
      <c r="K2336" s="62" t="s">
        <v>49914</v>
      </c>
      <c r="L2336" s="62" t="s">
        <v>29913</v>
      </c>
      <c r="M2336" s="62" t="s">
        <v>29914</v>
      </c>
      <c r="N2336" s="62" t="s">
        <v>29915</v>
      </c>
      <c r="O2336" s="62" t="s">
        <v>29916</v>
      </c>
      <c r="P2336" s="62" t="s">
        <v>49944</v>
      </c>
      <c r="Q2336" s="62" t="s">
        <v>29917</v>
      </c>
      <c r="R2336" s="62" t="s">
        <v>29918</v>
      </c>
      <c r="S2336" s="62" t="s">
        <v>29919</v>
      </c>
      <c r="U2336" s="62" t="s">
        <v>29920</v>
      </c>
      <c r="V2336" s="62" t="s">
        <v>49974</v>
      </c>
      <c r="W2336" s="62" t="s">
        <v>29921</v>
      </c>
      <c r="X2336" s="62" t="s">
        <v>29922</v>
      </c>
      <c r="Y2336" s="62" t="s">
        <v>29923</v>
      </c>
      <c r="Z2336" s="62" t="s">
        <v>29924</v>
      </c>
      <c r="AA2336" s="62" t="s">
        <v>50004</v>
      </c>
      <c r="AB2336" s="62" t="s">
        <v>29925</v>
      </c>
      <c r="AC2336" s="62" t="s">
        <v>29926</v>
      </c>
      <c r="AD2336" s="62" t="s">
        <v>29927</v>
      </c>
    </row>
    <row r="2337" spans="1:30" x14ac:dyDescent="0.25">
      <c r="A2337" s="62" t="s">
        <v>109</v>
      </c>
      <c r="C2337" s="62" t="s">
        <v>29928</v>
      </c>
      <c r="F2337" s="62" t="s">
        <v>1289</v>
      </c>
      <c r="G2337" s="62" t="s">
        <v>49885</v>
      </c>
      <c r="J2337" s="62" t="s">
        <v>29929</v>
      </c>
      <c r="K2337" s="62" t="s">
        <v>49915</v>
      </c>
      <c r="L2337" s="62" t="s">
        <v>29930</v>
      </c>
      <c r="M2337" s="62" t="s">
        <v>29931</v>
      </c>
      <c r="N2337" s="62" t="s">
        <v>29932</v>
      </c>
      <c r="O2337" s="62" t="s">
        <v>29933</v>
      </c>
      <c r="P2337" s="62" t="s">
        <v>49945</v>
      </c>
      <c r="Q2337" s="62" t="s">
        <v>29934</v>
      </c>
      <c r="R2337" s="62" t="s">
        <v>29935</v>
      </c>
      <c r="S2337" s="62" t="s">
        <v>29936</v>
      </c>
      <c r="U2337" s="62" t="s">
        <v>29937</v>
      </c>
      <c r="V2337" s="62" t="s">
        <v>49975</v>
      </c>
      <c r="W2337" s="62" t="s">
        <v>29938</v>
      </c>
      <c r="X2337" s="62" t="s">
        <v>29939</v>
      </c>
      <c r="Y2337" s="62" t="s">
        <v>29940</v>
      </c>
      <c r="Z2337" s="62" t="s">
        <v>29941</v>
      </c>
      <c r="AA2337" s="62" t="s">
        <v>50005</v>
      </c>
      <c r="AB2337" s="62" t="s">
        <v>29942</v>
      </c>
      <c r="AC2337" s="62" t="s">
        <v>29943</v>
      </c>
      <c r="AD2337" s="62" t="s">
        <v>29944</v>
      </c>
    </row>
    <row r="2338" spans="1:30" x14ac:dyDescent="0.25">
      <c r="A2338" s="62" t="s">
        <v>109</v>
      </c>
      <c r="C2338" s="62" t="s">
        <v>29945</v>
      </c>
      <c r="F2338" s="62" t="s">
        <v>13249</v>
      </c>
      <c r="G2338" s="62" t="s">
        <v>49886</v>
      </c>
      <c r="J2338" s="62" t="s">
        <v>29946</v>
      </c>
      <c r="K2338" s="62" t="s">
        <v>49916</v>
      </c>
      <c r="L2338" s="62" t="s">
        <v>29947</v>
      </c>
      <c r="M2338" s="62" t="s">
        <v>29948</v>
      </c>
      <c r="N2338" s="62" t="s">
        <v>29949</v>
      </c>
      <c r="O2338" s="62" t="s">
        <v>29950</v>
      </c>
      <c r="P2338" s="62" t="s">
        <v>49946</v>
      </c>
      <c r="Q2338" s="62" t="s">
        <v>29951</v>
      </c>
      <c r="R2338" s="62" t="s">
        <v>29952</v>
      </c>
      <c r="S2338" s="62" t="s">
        <v>29953</v>
      </c>
      <c r="U2338" s="62" t="s">
        <v>29954</v>
      </c>
      <c r="V2338" s="62" t="s">
        <v>49976</v>
      </c>
      <c r="W2338" s="62" t="s">
        <v>29955</v>
      </c>
      <c r="X2338" s="62" t="s">
        <v>29956</v>
      </c>
      <c r="Y2338" s="62" t="s">
        <v>29957</v>
      </c>
      <c r="Z2338" s="62" t="s">
        <v>29958</v>
      </c>
      <c r="AA2338" s="62" t="s">
        <v>50006</v>
      </c>
      <c r="AB2338" s="62" t="s">
        <v>29959</v>
      </c>
      <c r="AC2338" s="62" t="s">
        <v>29960</v>
      </c>
      <c r="AD2338" s="62" t="s">
        <v>29961</v>
      </c>
    </row>
    <row r="2339" spans="1:30" x14ac:dyDescent="0.25">
      <c r="A2339" s="62" t="s">
        <v>109</v>
      </c>
      <c r="C2339" s="62" t="s">
        <v>29469</v>
      </c>
    </row>
    <row r="2340" spans="1:30" x14ac:dyDescent="0.25">
      <c r="A2340" s="62" t="s">
        <v>109</v>
      </c>
      <c r="C2340" s="62" t="s">
        <v>29962</v>
      </c>
      <c r="G2340" s="62" t="s">
        <v>45074</v>
      </c>
      <c r="J2340" s="62" t="s">
        <v>45075</v>
      </c>
      <c r="K2340" s="62" t="s">
        <v>45076</v>
      </c>
      <c r="L2340" s="62" t="s">
        <v>45077</v>
      </c>
      <c r="M2340" s="62" t="s">
        <v>29963</v>
      </c>
      <c r="N2340" s="62" t="s">
        <v>29964</v>
      </c>
      <c r="O2340" s="62" t="s">
        <v>45078</v>
      </c>
      <c r="P2340" s="62" t="s">
        <v>45079</v>
      </c>
      <c r="Q2340" s="62" t="s">
        <v>45080</v>
      </c>
      <c r="R2340" s="62" t="s">
        <v>29965</v>
      </c>
      <c r="S2340" s="62" t="s">
        <v>29966</v>
      </c>
      <c r="U2340" s="62" t="s">
        <v>45081</v>
      </c>
      <c r="V2340" s="62" t="s">
        <v>45082</v>
      </c>
      <c r="W2340" s="62" t="s">
        <v>45083</v>
      </c>
      <c r="X2340" s="62" t="s">
        <v>29967</v>
      </c>
      <c r="Y2340" s="62" t="s">
        <v>29968</v>
      </c>
      <c r="Z2340" s="62" t="s">
        <v>45084</v>
      </c>
      <c r="AA2340" s="62" t="s">
        <v>45085</v>
      </c>
      <c r="AB2340" s="62" t="s">
        <v>45086</v>
      </c>
      <c r="AC2340" s="62" t="s">
        <v>29969</v>
      </c>
      <c r="AD2340" s="62" t="s">
        <v>29970</v>
      </c>
    </row>
    <row r="2341" spans="1:30" x14ac:dyDescent="0.25">
      <c r="A2341" s="62" t="s">
        <v>109</v>
      </c>
    </row>
    <row r="2342" spans="1:30" x14ac:dyDescent="0.25">
      <c r="A2342" s="62" t="s">
        <v>109</v>
      </c>
      <c r="C2342" s="62" t="s">
        <v>45087</v>
      </c>
      <c r="E2342" s="62" t="s">
        <v>38480</v>
      </c>
      <c r="G2342" s="62" t="s">
        <v>45088</v>
      </c>
    </row>
    <row r="2343" spans="1:30" x14ac:dyDescent="0.25">
      <c r="A2343" s="62" t="s">
        <v>109</v>
      </c>
      <c r="C2343" s="62" t="s">
        <v>29971</v>
      </c>
    </row>
    <row r="2344" spans="1:30" x14ac:dyDescent="0.25">
      <c r="A2344" s="62" t="s">
        <v>109</v>
      </c>
      <c r="C2344" s="62" t="s">
        <v>29972</v>
      </c>
      <c r="F2344" s="62" t="s">
        <v>45089</v>
      </c>
      <c r="G2344" s="62" t="s">
        <v>49832</v>
      </c>
      <c r="J2344" s="62" t="s">
        <v>29973</v>
      </c>
      <c r="K2344" s="62" t="s">
        <v>49837</v>
      </c>
      <c r="L2344" s="62" t="s">
        <v>29974</v>
      </c>
      <c r="M2344" s="62" t="s">
        <v>29975</v>
      </c>
      <c r="N2344" s="62" t="s">
        <v>29976</v>
      </c>
      <c r="O2344" s="62" t="s">
        <v>29977</v>
      </c>
      <c r="P2344" s="62" t="s">
        <v>49842</v>
      </c>
      <c r="Q2344" s="62" t="s">
        <v>29978</v>
      </c>
      <c r="R2344" s="62" t="s">
        <v>29979</v>
      </c>
      <c r="S2344" s="62" t="s">
        <v>29980</v>
      </c>
      <c r="U2344" s="62" t="s">
        <v>29981</v>
      </c>
      <c r="V2344" s="62" t="s">
        <v>49847</v>
      </c>
      <c r="W2344" s="62" t="s">
        <v>29982</v>
      </c>
      <c r="X2344" s="62" t="s">
        <v>29983</v>
      </c>
      <c r="Y2344" s="62" t="s">
        <v>29984</v>
      </c>
      <c r="Z2344" s="62" t="s">
        <v>29985</v>
      </c>
      <c r="AA2344" s="62" t="s">
        <v>49852</v>
      </c>
      <c r="AB2344" s="62" t="s">
        <v>29986</v>
      </c>
      <c r="AC2344" s="62" t="s">
        <v>29987</v>
      </c>
      <c r="AD2344" s="62" t="s">
        <v>29988</v>
      </c>
    </row>
    <row r="2345" spans="1:30" x14ac:dyDescent="0.25">
      <c r="A2345" s="62" t="s">
        <v>109</v>
      </c>
      <c r="C2345" s="62" t="s">
        <v>29989</v>
      </c>
      <c r="F2345" s="62" t="s">
        <v>10559</v>
      </c>
      <c r="G2345" s="62" t="s">
        <v>49833</v>
      </c>
      <c r="J2345" s="62" t="s">
        <v>29990</v>
      </c>
      <c r="K2345" s="62" t="s">
        <v>49838</v>
      </c>
      <c r="L2345" s="62" t="s">
        <v>29991</v>
      </c>
      <c r="M2345" s="62" t="s">
        <v>29992</v>
      </c>
      <c r="N2345" s="62" t="s">
        <v>29993</v>
      </c>
      <c r="O2345" s="62" t="s">
        <v>29994</v>
      </c>
      <c r="P2345" s="62" t="s">
        <v>49843</v>
      </c>
      <c r="Q2345" s="62" t="s">
        <v>29995</v>
      </c>
      <c r="R2345" s="62" t="s">
        <v>29996</v>
      </c>
      <c r="S2345" s="62" t="s">
        <v>29997</v>
      </c>
      <c r="U2345" s="62" t="s">
        <v>29998</v>
      </c>
      <c r="V2345" s="62" t="s">
        <v>49848</v>
      </c>
      <c r="W2345" s="62" t="s">
        <v>29999</v>
      </c>
      <c r="X2345" s="62" t="s">
        <v>30000</v>
      </c>
      <c r="Y2345" s="62" t="s">
        <v>30001</v>
      </c>
      <c r="Z2345" s="62" t="s">
        <v>30002</v>
      </c>
      <c r="AA2345" s="62" t="s">
        <v>49853</v>
      </c>
      <c r="AB2345" s="62" t="s">
        <v>30003</v>
      </c>
      <c r="AC2345" s="62" t="s">
        <v>30004</v>
      </c>
      <c r="AD2345" s="62" t="s">
        <v>30005</v>
      </c>
    </row>
    <row r="2346" spans="1:30" x14ac:dyDescent="0.25">
      <c r="A2346" s="62" t="s">
        <v>109</v>
      </c>
      <c r="C2346" s="62" t="s">
        <v>30006</v>
      </c>
      <c r="F2346" s="62" t="s">
        <v>10703</v>
      </c>
      <c r="G2346" s="62" t="s">
        <v>49834</v>
      </c>
      <c r="J2346" s="62" t="s">
        <v>30007</v>
      </c>
      <c r="K2346" s="62" t="s">
        <v>49839</v>
      </c>
      <c r="L2346" s="62" t="s">
        <v>30008</v>
      </c>
      <c r="M2346" s="62" t="s">
        <v>30009</v>
      </c>
      <c r="N2346" s="62" t="s">
        <v>30010</v>
      </c>
      <c r="O2346" s="62" t="s">
        <v>30011</v>
      </c>
      <c r="P2346" s="62" t="s">
        <v>49844</v>
      </c>
      <c r="Q2346" s="62" t="s">
        <v>30012</v>
      </c>
      <c r="R2346" s="62" t="s">
        <v>30013</v>
      </c>
      <c r="S2346" s="62" t="s">
        <v>30014</v>
      </c>
      <c r="U2346" s="62" t="s">
        <v>30015</v>
      </c>
      <c r="V2346" s="62" t="s">
        <v>49849</v>
      </c>
      <c r="W2346" s="62" t="s">
        <v>30016</v>
      </c>
      <c r="X2346" s="62" t="s">
        <v>30017</v>
      </c>
      <c r="Y2346" s="62" t="s">
        <v>30018</v>
      </c>
      <c r="Z2346" s="62" t="s">
        <v>30019</v>
      </c>
      <c r="AA2346" s="62" t="s">
        <v>49854</v>
      </c>
      <c r="AB2346" s="62" t="s">
        <v>30020</v>
      </c>
      <c r="AC2346" s="62" t="s">
        <v>30021</v>
      </c>
      <c r="AD2346" s="62" t="s">
        <v>30022</v>
      </c>
    </row>
    <row r="2347" spans="1:30" x14ac:dyDescent="0.25">
      <c r="A2347" s="62" t="s">
        <v>109</v>
      </c>
      <c r="C2347" s="62" t="s">
        <v>30023</v>
      </c>
      <c r="F2347" s="62" t="s">
        <v>10739</v>
      </c>
      <c r="G2347" s="62" t="s">
        <v>49835</v>
      </c>
      <c r="J2347" s="62" t="s">
        <v>30024</v>
      </c>
      <c r="K2347" s="62" t="s">
        <v>49840</v>
      </c>
      <c r="L2347" s="62" t="s">
        <v>30025</v>
      </c>
      <c r="M2347" s="62" t="s">
        <v>30026</v>
      </c>
      <c r="N2347" s="62" t="s">
        <v>30027</v>
      </c>
      <c r="O2347" s="62" t="s">
        <v>30028</v>
      </c>
      <c r="P2347" s="62" t="s">
        <v>49845</v>
      </c>
      <c r="Q2347" s="62" t="s">
        <v>30029</v>
      </c>
      <c r="R2347" s="62" t="s">
        <v>30030</v>
      </c>
      <c r="S2347" s="62" t="s">
        <v>30031</v>
      </c>
      <c r="U2347" s="62" t="s">
        <v>30032</v>
      </c>
      <c r="V2347" s="62" t="s">
        <v>49850</v>
      </c>
      <c r="W2347" s="62" t="s">
        <v>30033</v>
      </c>
      <c r="X2347" s="62" t="s">
        <v>30034</v>
      </c>
      <c r="Y2347" s="62" t="s">
        <v>30035</v>
      </c>
      <c r="Z2347" s="62" t="s">
        <v>30036</v>
      </c>
      <c r="AA2347" s="62" t="s">
        <v>49855</v>
      </c>
      <c r="AB2347" s="62" t="s">
        <v>30037</v>
      </c>
      <c r="AC2347" s="62" t="s">
        <v>30038</v>
      </c>
      <c r="AD2347" s="62" t="s">
        <v>30039</v>
      </c>
    </row>
    <row r="2348" spans="1:30" x14ac:dyDescent="0.25">
      <c r="A2348" s="62" t="s">
        <v>109</v>
      </c>
      <c r="C2348" s="62" t="s">
        <v>30040</v>
      </c>
      <c r="F2348" s="62" t="s">
        <v>1286</v>
      </c>
      <c r="G2348" s="62" t="s">
        <v>49836</v>
      </c>
      <c r="J2348" s="62" t="s">
        <v>30041</v>
      </c>
      <c r="K2348" s="62" t="s">
        <v>49841</v>
      </c>
      <c r="L2348" s="62" t="s">
        <v>30042</v>
      </c>
      <c r="M2348" s="62" t="s">
        <v>30043</v>
      </c>
      <c r="N2348" s="62" t="s">
        <v>30044</v>
      </c>
      <c r="O2348" s="62" t="s">
        <v>30045</v>
      </c>
      <c r="P2348" s="62" t="s">
        <v>49846</v>
      </c>
      <c r="Q2348" s="62" t="s">
        <v>30046</v>
      </c>
      <c r="R2348" s="62" t="s">
        <v>30047</v>
      </c>
      <c r="S2348" s="62" t="s">
        <v>30048</v>
      </c>
      <c r="U2348" s="62" t="s">
        <v>30049</v>
      </c>
      <c r="V2348" s="62" t="s">
        <v>49851</v>
      </c>
      <c r="W2348" s="62" t="s">
        <v>30050</v>
      </c>
      <c r="X2348" s="62" t="s">
        <v>30051</v>
      </c>
      <c r="Y2348" s="62" t="s">
        <v>30052</v>
      </c>
      <c r="Z2348" s="62" t="s">
        <v>30053</v>
      </c>
      <c r="AA2348" s="62" t="s">
        <v>49856</v>
      </c>
      <c r="AB2348" s="62" t="s">
        <v>30054</v>
      </c>
      <c r="AC2348" s="62" t="s">
        <v>30055</v>
      </c>
      <c r="AD2348" s="62" t="s">
        <v>30056</v>
      </c>
    </row>
    <row r="2349" spans="1:30" x14ac:dyDescent="0.25">
      <c r="A2349" s="62" t="s">
        <v>109</v>
      </c>
      <c r="C2349" s="62" t="s">
        <v>29989</v>
      </c>
    </row>
    <row r="2350" spans="1:30" x14ac:dyDescent="0.25">
      <c r="A2350" s="62" t="s">
        <v>109</v>
      </c>
      <c r="C2350" s="62" t="s">
        <v>30057</v>
      </c>
      <c r="G2350" s="62" t="s">
        <v>45090</v>
      </c>
      <c r="J2350" s="62" t="s">
        <v>45091</v>
      </c>
      <c r="K2350" s="62" t="s">
        <v>45092</v>
      </c>
      <c r="L2350" s="62" t="s">
        <v>45093</v>
      </c>
      <c r="M2350" s="62" t="s">
        <v>30058</v>
      </c>
      <c r="N2350" s="62" t="s">
        <v>30059</v>
      </c>
      <c r="O2350" s="62" t="s">
        <v>45094</v>
      </c>
      <c r="P2350" s="62" t="s">
        <v>45095</v>
      </c>
      <c r="Q2350" s="62" t="s">
        <v>45096</v>
      </c>
      <c r="R2350" s="62" t="s">
        <v>30060</v>
      </c>
      <c r="S2350" s="62" t="s">
        <v>30061</v>
      </c>
      <c r="U2350" s="62" t="s">
        <v>45097</v>
      </c>
      <c r="V2350" s="62" t="s">
        <v>45098</v>
      </c>
      <c r="W2350" s="62" t="s">
        <v>45099</v>
      </c>
      <c r="X2350" s="62" t="s">
        <v>30062</v>
      </c>
      <c r="Y2350" s="62" t="s">
        <v>30063</v>
      </c>
      <c r="Z2350" s="62" t="s">
        <v>45100</v>
      </c>
      <c r="AA2350" s="62" t="s">
        <v>45101</v>
      </c>
      <c r="AB2350" s="62" t="s">
        <v>45102</v>
      </c>
      <c r="AC2350" s="62" t="s">
        <v>30064</v>
      </c>
      <c r="AD2350" s="62" t="s">
        <v>30065</v>
      </c>
    </row>
    <row r="2351" spans="1:30" x14ac:dyDescent="0.25">
      <c r="A2351" s="62" t="s">
        <v>109</v>
      </c>
    </row>
    <row r="2352" spans="1:30" x14ac:dyDescent="0.25">
      <c r="A2352" s="62" t="s">
        <v>109</v>
      </c>
      <c r="C2352" s="62" t="s">
        <v>45103</v>
      </c>
      <c r="E2352" s="62" t="s">
        <v>39062</v>
      </c>
      <c r="G2352" s="62" t="s">
        <v>45104</v>
      </c>
    </row>
    <row r="2353" spans="1:30" x14ac:dyDescent="0.25">
      <c r="A2353" s="62" t="s">
        <v>109</v>
      </c>
      <c r="C2353" s="62" t="s">
        <v>30066</v>
      </c>
    </row>
    <row r="2354" spans="1:30" x14ac:dyDescent="0.25">
      <c r="A2354" s="62" t="s">
        <v>109</v>
      </c>
      <c r="C2354" s="62" t="s">
        <v>30067</v>
      </c>
      <c r="F2354" s="62" t="s">
        <v>45105</v>
      </c>
      <c r="G2354" s="62" t="s">
        <v>49722</v>
      </c>
      <c r="J2354" s="62" t="s">
        <v>30068</v>
      </c>
      <c r="K2354" s="62" t="s">
        <v>49744</v>
      </c>
      <c r="L2354" s="62" t="s">
        <v>30069</v>
      </c>
      <c r="M2354" s="62" t="s">
        <v>30070</v>
      </c>
      <c r="N2354" s="62" t="s">
        <v>30071</v>
      </c>
      <c r="O2354" s="62" t="s">
        <v>30072</v>
      </c>
      <c r="P2354" s="62" t="s">
        <v>49766</v>
      </c>
      <c r="Q2354" s="62" t="s">
        <v>30073</v>
      </c>
      <c r="R2354" s="62" t="s">
        <v>30074</v>
      </c>
      <c r="S2354" s="62" t="s">
        <v>30075</v>
      </c>
      <c r="U2354" s="62" t="s">
        <v>30076</v>
      </c>
      <c r="V2354" s="62" t="s">
        <v>49788</v>
      </c>
      <c r="W2354" s="62" t="s">
        <v>30077</v>
      </c>
      <c r="X2354" s="62" t="s">
        <v>30078</v>
      </c>
      <c r="Y2354" s="62" t="s">
        <v>30079</v>
      </c>
      <c r="Z2354" s="62" t="s">
        <v>30080</v>
      </c>
      <c r="AA2354" s="62" t="s">
        <v>49810</v>
      </c>
      <c r="AB2354" s="62" t="s">
        <v>30081</v>
      </c>
      <c r="AC2354" s="62" t="s">
        <v>30082</v>
      </c>
      <c r="AD2354" s="62" t="s">
        <v>30083</v>
      </c>
    </row>
    <row r="2355" spans="1:30" x14ac:dyDescent="0.25">
      <c r="A2355" s="62" t="s">
        <v>109</v>
      </c>
      <c r="C2355" s="62" t="s">
        <v>30084</v>
      </c>
      <c r="F2355" s="62" t="s">
        <v>2212</v>
      </c>
      <c r="G2355" s="62" t="s">
        <v>49723</v>
      </c>
      <c r="J2355" s="62" t="s">
        <v>30085</v>
      </c>
      <c r="K2355" s="62" t="s">
        <v>49745</v>
      </c>
      <c r="L2355" s="62" t="s">
        <v>30086</v>
      </c>
      <c r="M2355" s="62" t="s">
        <v>30087</v>
      </c>
      <c r="N2355" s="62" t="s">
        <v>30088</v>
      </c>
      <c r="O2355" s="62" t="s">
        <v>30089</v>
      </c>
      <c r="P2355" s="62" t="s">
        <v>49767</v>
      </c>
      <c r="Q2355" s="62" t="s">
        <v>30090</v>
      </c>
      <c r="R2355" s="62" t="s">
        <v>30091</v>
      </c>
      <c r="S2355" s="62" t="s">
        <v>30092</v>
      </c>
      <c r="U2355" s="62" t="s">
        <v>30093</v>
      </c>
      <c r="V2355" s="62" t="s">
        <v>49789</v>
      </c>
      <c r="W2355" s="62" t="s">
        <v>30094</v>
      </c>
      <c r="X2355" s="62" t="s">
        <v>30095</v>
      </c>
      <c r="Y2355" s="62" t="s">
        <v>30096</v>
      </c>
      <c r="Z2355" s="62" t="s">
        <v>30097</v>
      </c>
      <c r="AA2355" s="62" t="s">
        <v>49811</v>
      </c>
      <c r="AB2355" s="62" t="s">
        <v>30098</v>
      </c>
      <c r="AC2355" s="62" t="s">
        <v>30099</v>
      </c>
      <c r="AD2355" s="62" t="s">
        <v>30100</v>
      </c>
    </row>
    <row r="2356" spans="1:30" x14ac:dyDescent="0.25">
      <c r="A2356" s="62" t="s">
        <v>109</v>
      </c>
      <c r="C2356" s="62" t="s">
        <v>30101</v>
      </c>
      <c r="F2356" s="62" t="s">
        <v>10282</v>
      </c>
      <c r="G2356" s="62" t="s">
        <v>49724</v>
      </c>
      <c r="J2356" s="62" t="s">
        <v>30102</v>
      </c>
      <c r="K2356" s="62" t="s">
        <v>49746</v>
      </c>
      <c r="L2356" s="62" t="s">
        <v>30103</v>
      </c>
      <c r="M2356" s="62" t="s">
        <v>30104</v>
      </c>
      <c r="N2356" s="62" t="s">
        <v>30105</v>
      </c>
      <c r="O2356" s="62" t="s">
        <v>30106</v>
      </c>
      <c r="P2356" s="62" t="s">
        <v>49768</v>
      </c>
      <c r="Q2356" s="62" t="s">
        <v>30107</v>
      </c>
      <c r="R2356" s="62" t="s">
        <v>30108</v>
      </c>
      <c r="S2356" s="62" t="s">
        <v>30109</v>
      </c>
      <c r="U2356" s="62" t="s">
        <v>30110</v>
      </c>
      <c r="V2356" s="62" t="s">
        <v>49790</v>
      </c>
      <c r="W2356" s="62" t="s">
        <v>30111</v>
      </c>
      <c r="X2356" s="62" t="s">
        <v>30112</v>
      </c>
      <c r="Y2356" s="62" t="s">
        <v>30113</v>
      </c>
      <c r="Z2356" s="62" t="s">
        <v>30114</v>
      </c>
      <c r="AA2356" s="62" t="s">
        <v>49812</v>
      </c>
      <c r="AB2356" s="62" t="s">
        <v>30115</v>
      </c>
      <c r="AC2356" s="62" t="s">
        <v>30116</v>
      </c>
      <c r="AD2356" s="62" t="s">
        <v>30117</v>
      </c>
    </row>
    <row r="2357" spans="1:30" x14ac:dyDescent="0.25">
      <c r="A2357" s="62" t="s">
        <v>109</v>
      </c>
      <c r="C2357" s="62" t="s">
        <v>30118</v>
      </c>
      <c r="F2357" s="62" t="s">
        <v>19275</v>
      </c>
      <c r="G2357" s="62" t="s">
        <v>49725</v>
      </c>
      <c r="J2357" s="62" t="s">
        <v>30119</v>
      </c>
      <c r="K2357" s="62" t="s">
        <v>49747</v>
      </c>
      <c r="L2357" s="62" t="s">
        <v>30120</v>
      </c>
      <c r="M2357" s="62" t="s">
        <v>30121</v>
      </c>
      <c r="N2357" s="62" t="s">
        <v>30122</v>
      </c>
      <c r="O2357" s="62" t="s">
        <v>30123</v>
      </c>
      <c r="P2357" s="62" t="s">
        <v>49769</v>
      </c>
      <c r="Q2357" s="62" t="s">
        <v>30124</v>
      </c>
      <c r="R2357" s="62" t="s">
        <v>30125</v>
      </c>
      <c r="S2357" s="62" t="s">
        <v>30126</v>
      </c>
      <c r="U2357" s="62" t="s">
        <v>30127</v>
      </c>
      <c r="V2357" s="62" t="s">
        <v>49791</v>
      </c>
      <c r="W2357" s="62" t="s">
        <v>30128</v>
      </c>
      <c r="X2357" s="62" t="s">
        <v>30129</v>
      </c>
      <c r="Y2357" s="62" t="s">
        <v>30130</v>
      </c>
      <c r="Z2357" s="62" t="s">
        <v>30131</v>
      </c>
      <c r="AA2357" s="62" t="s">
        <v>49813</v>
      </c>
      <c r="AB2357" s="62" t="s">
        <v>30132</v>
      </c>
      <c r="AC2357" s="62" t="s">
        <v>30133</v>
      </c>
      <c r="AD2357" s="62" t="s">
        <v>30134</v>
      </c>
    </row>
    <row r="2358" spans="1:30" x14ac:dyDescent="0.25">
      <c r="A2358" s="62" t="s">
        <v>109</v>
      </c>
      <c r="C2358" s="62" t="s">
        <v>30135</v>
      </c>
      <c r="F2358" s="62" t="s">
        <v>10332</v>
      </c>
      <c r="G2358" s="62" t="s">
        <v>49726</v>
      </c>
      <c r="J2358" s="62" t="s">
        <v>30136</v>
      </c>
      <c r="K2358" s="62" t="s">
        <v>49748</v>
      </c>
      <c r="L2358" s="62" t="s">
        <v>30137</v>
      </c>
      <c r="M2358" s="62" t="s">
        <v>30138</v>
      </c>
      <c r="N2358" s="62" t="s">
        <v>30139</v>
      </c>
      <c r="O2358" s="62" t="s">
        <v>30140</v>
      </c>
      <c r="P2358" s="62" t="s">
        <v>49770</v>
      </c>
      <c r="Q2358" s="62" t="s">
        <v>30141</v>
      </c>
      <c r="R2358" s="62" t="s">
        <v>30142</v>
      </c>
      <c r="S2358" s="62" t="s">
        <v>30143</v>
      </c>
      <c r="U2358" s="62" t="s">
        <v>30144</v>
      </c>
      <c r="V2358" s="62" t="s">
        <v>49792</v>
      </c>
      <c r="W2358" s="62" t="s">
        <v>30145</v>
      </c>
      <c r="X2358" s="62" t="s">
        <v>30146</v>
      </c>
      <c r="Y2358" s="62" t="s">
        <v>30147</v>
      </c>
      <c r="Z2358" s="62" t="s">
        <v>30148</v>
      </c>
      <c r="AA2358" s="62" t="s">
        <v>49814</v>
      </c>
      <c r="AB2358" s="62" t="s">
        <v>30149</v>
      </c>
      <c r="AC2358" s="62" t="s">
        <v>30150</v>
      </c>
      <c r="AD2358" s="62" t="s">
        <v>30151</v>
      </c>
    </row>
    <row r="2359" spans="1:30" x14ac:dyDescent="0.25">
      <c r="A2359" s="62" t="s">
        <v>109</v>
      </c>
      <c r="C2359" s="62" t="s">
        <v>30152</v>
      </c>
      <c r="F2359" s="62" t="s">
        <v>10386</v>
      </c>
      <c r="G2359" s="62" t="s">
        <v>49727</v>
      </c>
      <c r="J2359" s="62" t="s">
        <v>30153</v>
      </c>
      <c r="K2359" s="62" t="s">
        <v>49749</v>
      </c>
      <c r="L2359" s="62" t="s">
        <v>30154</v>
      </c>
      <c r="M2359" s="62" t="s">
        <v>30155</v>
      </c>
      <c r="N2359" s="62" t="s">
        <v>30156</v>
      </c>
      <c r="O2359" s="62" t="s">
        <v>30157</v>
      </c>
      <c r="P2359" s="62" t="s">
        <v>49771</v>
      </c>
      <c r="Q2359" s="62" t="s">
        <v>30158</v>
      </c>
      <c r="R2359" s="62" t="s">
        <v>30159</v>
      </c>
      <c r="S2359" s="62" t="s">
        <v>30160</v>
      </c>
      <c r="U2359" s="62" t="s">
        <v>30161</v>
      </c>
      <c r="V2359" s="62" t="s">
        <v>49793</v>
      </c>
      <c r="W2359" s="62" t="s">
        <v>30162</v>
      </c>
      <c r="X2359" s="62" t="s">
        <v>30163</v>
      </c>
      <c r="Y2359" s="62" t="s">
        <v>30164</v>
      </c>
      <c r="Z2359" s="62" t="s">
        <v>30165</v>
      </c>
      <c r="AA2359" s="62" t="s">
        <v>49815</v>
      </c>
      <c r="AB2359" s="62" t="s">
        <v>30166</v>
      </c>
      <c r="AC2359" s="62" t="s">
        <v>30167</v>
      </c>
      <c r="AD2359" s="62" t="s">
        <v>30168</v>
      </c>
    </row>
    <row r="2360" spans="1:30" x14ac:dyDescent="0.25">
      <c r="A2360" s="62" t="s">
        <v>109</v>
      </c>
      <c r="C2360" s="62" t="s">
        <v>30169</v>
      </c>
      <c r="F2360" s="62" t="s">
        <v>10404</v>
      </c>
      <c r="G2360" s="62" t="s">
        <v>49728</v>
      </c>
      <c r="J2360" s="62" t="s">
        <v>30170</v>
      </c>
      <c r="K2360" s="62" t="s">
        <v>49750</v>
      </c>
      <c r="L2360" s="62" t="s">
        <v>30171</v>
      </c>
      <c r="M2360" s="62" t="s">
        <v>30172</v>
      </c>
      <c r="N2360" s="62" t="s">
        <v>30173</v>
      </c>
      <c r="O2360" s="62" t="s">
        <v>30174</v>
      </c>
      <c r="P2360" s="62" t="s">
        <v>49772</v>
      </c>
      <c r="Q2360" s="62" t="s">
        <v>30175</v>
      </c>
      <c r="R2360" s="62" t="s">
        <v>30176</v>
      </c>
      <c r="S2360" s="62" t="s">
        <v>30177</v>
      </c>
      <c r="U2360" s="62" t="s">
        <v>30178</v>
      </c>
      <c r="V2360" s="62" t="s">
        <v>49794</v>
      </c>
      <c r="W2360" s="62" t="s">
        <v>30179</v>
      </c>
      <c r="X2360" s="62" t="s">
        <v>30180</v>
      </c>
      <c r="Y2360" s="62" t="s">
        <v>30181</v>
      </c>
      <c r="Z2360" s="62" t="s">
        <v>30182</v>
      </c>
      <c r="AA2360" s="62" t="s">
        <v>49816</v>
      </c>
      <c r="AB2360" s="62" t="s">
        <v>30183</v>
      </c>
      <c r="AC2360" s="62" t="s">
        <v>30184</v>
      </c>
      <c r="AD2360" s="62" t="s">
        <v>30185</v>
      </c>
    </row>
    <row r="2361" spans="1:30" x14ac:dyDescent="0.25">
      <c r="A2361" s="62" t="s">
        <v>109</v>
      </c>
      <c r="C2361" s="62" t="s">
        <v>30186</v>
      </c>
      <c r="F2361" s="62" t="s">
        <v>1002</v>
      </c>
      <c r="G2361" s="62" t="s">
        <v>49729</v>
      </c>
      <c r="J2361" s="62" t="s">
        <v>30187</v>
      </c>
      <c r="K2361" s="62" t="s">
        <v>49751</v>
      </c>
      <c r="L2361" s="62" t="s">
        <v>30188</v>
      </c>
      <c r="M2361" s="62" t="s">
        <v>30189</v>
      </c>
      <c r="N2361" s="62" t="s">
        <v>30190</v>
      </c>
      <c r="O2361" s="62" t="s">
        <v>30191</v>
      </c>
      <c r="P2361" s="62" t="s">
        <v>49773</v>
      </c>
      <c r="Q2361" s="62" t="s">
        <v>30192</v>
      </c>
      <c r="R2361" s="62" t="s">
        <v>30193</v>
      </c>
      <c r="S2361" s="62" t="s">
        <v>30194</v>
      </c>
      <c r="U2361" s="62" t="s">
        <v>30195</v>
      </c>
      <c r="V2361" s="62" t="s">
        <v>49795</v>
      </c>
      <c r="W2361" s="62" t="s">
        <v>30196</v>
      </c>
      <c r="X2361" s="62" t="s">
        <v>30197</v>
      </c>
      <c r="Y2361" s="62" t="s">
        <v>30198</v>
      </c>
      <c r="Z2361" s="62" t="s">
        <v>30199</v>
      </c>
      <c r="AA2361" s="62" t="s">
        <v>49817</v>
      </c>
      <c r="AB2361" s="62" t="s">
        <v>30200</v>
      </c>
      <c r="AC2361" s="62" t="s">
        <v>30201</v>
      </c>
      <c r="AD2361" s="62" t="s">
        <v>30202</v>
      </c>
    </row>
    <row r="2362" spans="1:30" x14ac:dyDescent="0.25">
      <c r="A2362" s="62" t="s">
        <v>109</v>
      </c>
      <c r="C2362" s="62" t="s">
        <v>30203</v>
      </c>
      <c r="F2362" s="62" t="s">
        <v>1012</v>
      </c>
      <c r="G2362" s="62" t="s">
        <v>49730</v>
      </c>
      <c r="J2362" s="62" t="s">
        <v>30204</v>
      </c>
      <c r="K2362" s="62" t="s">
        <v>49752</v>
      </c>
      <c r="L2362" s="62" t="s">
        <v>30205</v>
      </c>
      <c r="M2362" s="62" t="s">
        <v>30206</v>
      </c>
      <c r="N2362" s="62" t="s">
        <v>30207</v>
      </c>
      <c r="O2362" s="62" t="s">
        <v>30208</v>
      </c>
      <c r="P2362" s="62" t="s">
        <v>49774</v>
      </c>
      <c r="Q2362" s="62" t="s">
        <v>30209</v>
      </c>
      <c r="R2362" s="62" t="s">
        <v>30210</v>
      </c>
      <c r="S2362" s="62" t="s">
        <v>30211</v>
      </c>
      <c r="U2362" s="62" t="s">
        <v>30212</v>
      </c>
      <c r="V2362" s="62" t="s">
        <v>49796</v>
      </c>
      <c r="W2362" s="62" t="s">
        <v>30213</v>
      </c>
      <c r="X2362" s="62" t="s">
        <v>30214</v>
      </c>
      <c r="Y2362" s="62" t="s">
        <v>30215</v>
      </c>
      <c r="Z2362" s="62" t="s">
        <v>30216</v>
      </c>
      <c r="AA2362" s="62" t="s">
        <v>49818</v>
      </c>
      <c r="AB2362" s="62" t="s">
        <v>30217</v>
      </c>
      <c r="AC2362" s="62" t="s">
        <v>30218</v>
      </c>
      <c r="AD2362" s="62" t="s">
        <v>30219</v>
      </c>
    </row>
    <row r="2363" spans="1:30" x14ac:dyDescent="0.25">
      <c r="A2363" s="62" t="s">
        <v>109</v>
      </c>
      <c r="C2363" s="62" t="s">
        <v>30220</v>
      </c>
      <c r="F2363" s="62" t="s">
        <v>1030</v>
      </c>
      <c r="G2363" s="62" t="s">
        <v>49731</v>
      </c>
      <c r="J2363" s="62" t="s">
        <v>30221</v>
      </c>
      <c r="K2363" s="62" t="s">
        <v>49753</v>
      </c>
      <c r="L2363" s="62" t="s">
        <v>30222</v>
      </c>
      <c r="M2363" s="62" t="s">
        <v>30223</v>
      </c>
      <c r="N2363" s="62" t="s">
        <v>30224</v>
      </c>
      <c r="O2363" s="62" t="s">
        <v>30225</v>
      </c>
      <c r="P2363" s="62" t="s">
        <v>49775</v>
      </c>
      <c r="Q2363" s="62" t="s">
        <v>30226</v>
      </c>
      <c r="R2363" s="62" t="s">
        <v>30227</v>
      </c>
      <c r="S2363" s="62" t="s">
        <v>30228</v>
      </c>
      <c r="U2363" s="62" t="s">
        <v>30229</v>
      </c>
      <c r="V2363" s="62" t="s">
        <v>49797</v>
      </c>
      <c r="W2363" s="62" t="s">
        <v>30230</v>
      </c>
      <c r="X2363" s="62" t="s">
        <v>30231</v>
      </c>
      <c r="Y2363" s="62" t="s">
        <v>30232</v>
      </c>
      <c r="Z2363" s="62" t="s">
        <v>30233</v>
      </c>
      <c r="AA2363" s="62" t="s">
        <v>49819</v>
      </c>
      <c r="AB2363" s="62" t="s">
        <v>30234</v>
      </c>
      <c r="AC2363" s="62" t="s">
        <v>30235</v>
      </c>
      <c r="AD2363" s="62" t="s">
        <v>30236</v>
      </c>
    </row>
    <row r="2364" spans="1:30" x14ac:dyDescent="0.25">
      <c r="A2364" s="62" t="s">
        <v>109</v>
      </c>
      <c r="C2364" s="62" t="s">
        <v>30237</v>
      </c>
      <c r="F2364" s="62" t="s">
        <v>1047</v>
      </c>
      <c r="G2364" s="62" t="s">
        <v>49732</v>
      </c>
      <c r="J2364" s="62" t="s">
        <v>30238</v>
      </c>
      <c r="K2364" s="62" t="s">
        <v>49754</v>
      </c>
      <c r="L2364" s="62" t="s">
        <v>30239</v>
      </c>
      <c r="M2364" s="62" t="s">
        <v>30240</v>
      </c>
      <c r="N2364" s="62" t="s">
        <v>30241</v>
      </c>
      <c r="O2364" s="62" t="s">
        <v>30242</v>
      </c>
      <c r="P2364" s="62" t="s">
        <v>49776</v>
      </c>
      <c r="Q2364" s="62" t="s">
        <v>30243</v>
      </c>
      <c r="R2364" s="62" t="s">
        <v>30244</v>
      </c>
      <c r="S2364" s="62" t="s">
        <v>30245</v>
      </c>
      <c r="U2364" s="62" t="s">
        <v>30246</v>
      </c>
      <c r="V2364" s="62" t="s">
        <v>49798</v>
      </c>
      <c r="W2364" s="62" t="s">
        <v>30247</v>
      </c>
      <c r="X2364" s="62" t="s">
        <v>30248</v>
      </c>
      <c r="Y2364" s="62" t="s">
        <v>30249</v>
      </c>
      <c r="Z2364" s="62" t="s">
        <v>30250</v>
      </c>
      <c r="AA2364" s="62" t="s">
        <v>49820</v>
      </c>
      <c r="AB2364" s="62" t="s">
        <v>30251</v>
      </c>
      <c r="AC2364" s="62" t="s">
        <v>30252</v>
      </c>
      <c r="AD2364" s="62" t="s">
        <v>30253</v>
      </c>
    </row>
    <row r="2365" spans="1:30" x14ac:dyDescent="0.25">
      <c r="A2365" s="62" t="s">
        <v>109</v>
      </c>
      <c r="C2365" s="62" t="s">
        <v>30254</v>
      </c>
      <c r="F2365" s="62" t="s">
        <v>1090</v>
      </c>
      <c r="G2365" s="62" t="s">
        <v>49733</v>
      </c>
      <c r="J2365" s="62" t="s">
        <v>30255</v>
      </c>
      <c r="K2365" s="62" t="s">
        <v>49755</v>
      </c>
      <c r="L2365" s="62" t="s">
        <v>30256</v>
      </c>
      <c r="M2365" s="62" t="s">
        <v>30257</v>
      </c>
      <c r="N2365" s="62" t="s">
        <v>30258</v>
      </c>
      <c r="O2365" s="62" t="s">
        <v>30259</v>
      </c>
      <c r="P2365" s="62" t="s">
        <v>49777</v>
      </c>
      <c r="Q2365" s="62" t="s">
        <v>30260</v>
      </c>
      <c r="R2365" s="62" t="s">
        <v>30261</v>
      </c>
      <c r="S2365" s="62" t="s">
        <v>30262</v>
      </c>
      <c r="U2365" s="62" t="s">
        <v>30263</v>
      </c>
      <c r="V2365" s="62" t="s">
        <v>49799</v>
      </c>
      <c r="W2365" s="62" t="s">
        <v>30264</v>
      </c>
      <c r="X2365" s="62" t="s">
        <v>30265</v>
      </c>
      <c r="Y2365" s="62" t="s">
        <v>30266</v>
      </c>
      <c r="Z2365" s="62" t="s">
        <v>30267</v>
      </c>
      <c r="AA2365" s="62" t="s">
        <v>49821</v>
      </c>
      <c r="AB2365" s="62" t="s">
        <v>30268</v>
      </c>
      <c r="AC2365" s="62" t="s">
        <v>30269</v>
      </c>
      <c r="AD2365" s="62" t="s">
        <v>30270</v>
      </c>
    </row>
    <row r="2366" spans="1:30" x14ac:dyDescent="0.25">
      <c r="A2366" s="62" t="s">
        <v>109</v>
      </c>
      <c r="C2366" s="62" t="s">
        <v>30271</v>
      </c>
      <c r="F2366" s="62" t="s">
        <v>2372</v>
      </c>
      <c r="G2366" s="62" t="s">
        <v>49734</v>
      </c>
      <c r="J2366" s="62" t="s">
        <v>30272</v>
      </c>
      <c r="K2366" s="62" t="s">
        <v>49756</v>
      </c>
      <c r="L2366" s="62" t="s">
        <v>30273</v>
      </c>
      <c r="M2366" s="62" t="s">
        <v>30274</v>
      </c>
      <c r="N2366" s="62" t="s">
        <v>30275</v>
      </c>
      <c r="O2366" s="62" t="s">
        <v>30276</v>
      </c>
      <c r="P2366" s="62" t="s">
        <v>49778</v>
      </c>
      <c r="Q2366" s="62" t="s">
        <v>30277</v>
      </c>
      <c r="R2366" s="62" t="s">
        <v>30278</v>
      </c>
      <c r="S2366" s="62" t="s">
        <v>30279</v>
      </c>
      <c r="U2366" s="62" t="s">
        <v>30280</v>
      </c>
      <c r="V2366" s="62" t="s">
        <v>49800</v>
      </c>
      <c r="W2366" s="62" t="s">
        <v>30281</v>
      </c>
      <c r="X2366" s="62" t="s">
        <v>30282</v>
      </c>
      <c r="Y2366" s="62" t="s">
        <v>30283</v>
      </c>
      <c r="Z2366" s="62" t="s">
        <v>30284</v>
      </c>
      <c r="AA2366" s="62" t="s">
        <v>49822</v>
      </c>
      <c r="AB2366" s="62" t="s">
        <v>30285</v>
      </c>
      <c r="AC2366" s="62" t="s">
        <v>30286</v>
      </c>
      <c r="AD2366" s="62" t="s">
        <v>30287</v>
      </c>
    </row>
    <row r="2367" spans="1:30" x14ac:dyDescent="0.25">
      <c r="A2367" s="62" t="s">
        <v>109</v>
      </c>
      <c r="C2367" s="62" t="s">
        <v>30288</v>
      </c>
      <c r="F2367" s="62" t="s">
        <v>10577</v>
      </c>
      <c r="G2367" s="62" t="s">
        <v>49735</v>
      </c>
      <c r="J2367" s="62" t="s">
        <v>30289</v>
      </c>
      <c r="K2367" s="62" t="s">
        <v>49757</v>
      </c>
      <c r="L2367" s="62" t="s">
        <v>30290</v>
      </c>
      <c r="M2367" s="62" t="s">
        <v>30291</v>
      </c>
      <c r="N2367" s="62" t="s">
        <v>30292</v>
      </c>
      <c r="O2367" s="62" t="s">
        <v>30293</v>
      </c>
      <c r="P2367" s="62" t="s">
        <v>49779</v>
      </c>
      <c r="Q2367" s="62" t="s">
        <v>30294</v>
      </c>
      <c r="R2367" s="62" t="s">
        <v>30295</v>
      </c>
      <c r="S2367" s="62" t="s">
        <v>30296</v>
      </c>
      <c r="U2367" s="62" t="s">
        <v>30297</v>
      </c>
      <c r="V2367" s="62" t="s">
        <v>49801</v>
      </c>
      <c r="W2367" s="62" t="s">
        <v>30298</v>
      </c>
      <c r="X2367" s="62" t="s">
        <v>30299</v>
      </c>
      <c r="Y2367" s="62" t="s">
        <v>30300</v>
      </c>
      <c r="Z2367" s="62" t="s">
        <v>30301</v>
      </c>
      <c r="AA2367" s="62" t="s">
        <v>49823</v>
      </c>
      <c r="AB2367" s="62" t="s">
        <v>30302</v>
      </c>
      <c r="AC2367" s="62" t="s">
        <v>30303</v>
      </c>
      <c r="AD2367" s="62" t="s">
        <v>30304</v>
      </c>
    </row>
    <row r="2368" spans="1:30" x14ac:dyDescent="0.25">
      <c r="A2368" s="62" t="s">
        <v>109</v>
      </c>
      <c r="C2368" s="62" t="s">
        <v>30305</v>
      </c>
      <c r="F2368" s="62" t="s">
        <v>10613</v>
      </c>
      <c r="G2368" s="62" t="s">
        <v>49736</v>
      </c>
      <c r="J2368" s="62" t="s">
        <v>30306</v>
      </c>
      <c r="K2368" s="62" t="s">
        <v>49758</v>
      </c>
      <c r="L2368" s="62" t="s">
        <v>30307</v>
      </c>
      <c r="M2368" s="62" t="s">
        <v>30308</v>
      </c>
      <c r="N2368" s="62" t="s">
        <v>30309</v>
      </c>
      <c r="O2368" s="62" t="s">
        <v>30310</v>
      </c>
      <c r="P2368" s="62" t="s">
        <v>49780</v>
      </c>
      <c r="Q2368" s="62" t="s">
        <v>30311</v>
      </c>
      <c r="R2368" s="62" t="s">
        <v>30312</v>
      </c>
      <c r="S2368" s="62" t="s">
        <v>30313</v>
      </c>
      <c r="U2368" s="62" t="s">
        <v>30314</v>
      </c>
      <c r="V2368" s="62" t="s">
        <v>49802</v>
      </c>
      <c r="W2368" s="62" t="s">
        <v>30315</v>
      </c>
      <c r="X2368" s="62" t="s">
        <v>30316</v>
      </c>
      <c r="Y2368" s="62" t="s">
        <v>30317</v>
      </c>
      <c r="Z2368" s="62" t="s">
        <v>30318</v>
      </c>
      <c r="AA2368" s="62" t="s">
        <v>49824</v>
      </c>
      <c r="AB2368" s="62" t="s">
        <v>30319</v>
      </c>
      <c r="AC2368" s="62" t="s">
        <v>30320</v>
      </c>
      <c r="AD2368" s="62" t="s">
        <v>30321</v>
      </c>
    </row>
    <row r="2369" spans="1:30" x14ac:dyDescent="0.25">
      <c r="A2369" s="62" t="s">
        <v>109</v>
      </c>
      <c r="C2369" s="62" t="s">
        <v>30322</v>
      </c>
      <c r="F2369" s="62" t="s">
        <v>10631</v>
      </c>
      <c r="G2369" s="62" t="s">
        <v>49737</v>
      </c>
      <c r="J2369" s="62" t="s">
        <v>30323</v>
      </c>
      <c r="K2369" s="62" t="s">
        <v>49759</v>
      </c>
      <c r="L2369" s="62" t="s">
        <v>30324</v>
      </c>
      <c r="M2369" s="62" t="s">
        <v>30325</v>
      </c>
      <c r="N2369" s="62" t="s">
        <v>30326</v>
      </c>
      <c r="O2369" s="62" t="s">
        <v>30327</v>
      </c>
      <c r="P2369" s="62" t="s">
        <v>49781</v>
      </c>
      <c r="Q2369" s="62" t="s">
        <v>30328</v>
      </c>
      <c r="R2369" s="62" t="s">
        <v>30329</v>
      </c>
      <c r="S2369" s="62" t="s">
        <v>30330</v>
      </c>
      <c r="U2369" s="62" t="s">
        <v>30331</v>
      </c>
      <c r="V2369" s="62" t="s">
        <v>49803</v>
      </c>
      <c r="W2369" s="62" t="s">
        <v>30332</v>
      </c>
      <c r="X2369" s="62" t="s">
        <v>30333</v>
      </c>
      <c r="Y2369" s="62" t="s">
        <v>30334</v>
      </c>
      <c r="Z2369" s="62" t="s">
        <v>30335</v>
      </c>
      <c r="AA2369" s="62" t="s">
        <v>49825</v>
      </c>
      <c r="AB2369" s="62" t="s">
        <v>30336</v>
      </c>
      <c r="AC2369" s="62" t="s">
        <v>30337</v>
      </c>
      <c r="AD2369" s="62" t="s">
        <v>30338</v>
      </c>
    </row>
    <row r="2370" spans="1:30" x14ac:dyDescent="0.25">
      <c r="A2370" s="62" t="s">
        <v>109</v>
      </c>
      <c r="C2370" s="62" t="s">
        <v>30339</v>
      </c>
      <c r="F2370" s="62" t="s">
        <v>13184</v>
      </c>
      <c r="G2370" s="62" t="s">
        <v>49738</v>
      </c>
      <c r="J2370" s="62" t="s">
        <v>30340</v>
      </c>
      <c r="K2370" s="62" t="s">
        <v>49760</v>
      </c>
      <c r="L2370" s="62" t="s">
        <v>30341</v>
      </c>
      <c r="M2370" s="62" t="s">
        <v>30342</v>
      </c>
      <c r="N2370" s="62" t="s">
        <v>30343</v>
      </c>
      <c r="O2370" s="62" t="s">
        <v>30344</v>
      </c>
      <c r="P2370" s="62" t="s">
        <v>49782</v>
      </c>
      <c r="Q2370" s="62" t="s">
        <v>30345</v>
      </c>
      <c r="R2370" s="62" t="s">
        <v>30346</v>
      </c>
      <c r="S2370" s="62" t="s">
        <v>30347</v>
      </c>
      <c r="U2370" s="62" t="s">
        <v>30348</v>
      </c>
      <c r="V2370" s="62" t="s">
        <v>49804</v>
      </c>
      <c r="W2370" s="62" t="s">
        <v>30349</v>
      </c>
      <c r="X2370" s="62" t="s">
        <v>30350</v>
      </c>
      <c r="Y2370" s="62" t="s">
        <v>30351</v>
      </c>
      <c r="Z2370" s="62" t="s">
        <v>30352</v>
      </c>
      <c r="AA2370" s="62" t="s">
        <v>49826</v>
      </c>
      <c r="AB2370" s="62" t="s">
        <v>30353</v>
      </c>
      <c r="AC2370" s="62" t="s">
        <v>30354</v>
      </c>
      <c r="AD2370" s="62" t="s">
        <v>30355</v>
      </c>
    </row>
    <row r="2371" spans="1:30" x14ac:dyDescent="0.25">
      <c r="A2371" s="62" t="s">
        <v>109</v>
      </c>
      <c r="C2371" s="62" t="s">
        <v>30356</v>
      </c>
      <c r="F2371" s="62" t="s">
        <v>10865</v>
      </c>
      <c r="G2371" s="62" t="s">
        <v>49739</v>
      </c>
      <c r="J2371" s="62" t="s">
        <v>30357</v>
      </c>
      <c r="K2371" s="62" t="s">
        <v>49761</v>
      </c>
      <c r="L2371" s="62" t="s">
        <v>30358</v>
      </c>
      <c r="M2371" s="62" t="s">
        <v>30359</v>
      </c>
      <c r="N2371" s="62" t="s">
        <v>30360</v>
      </c>
      <c r="O2371" s="62" t="s">
        <v>30361</v>
      </c>
      <c r="P2371" s="62" t="s">
        <v>49783</v>
      </c>
      <c r="Q2371" s="62" t="s">
        <v>30362</v>
      </c>
      <c r="R2371" s="62" t="s">
        <v>30363</v>
      </c>
      <c r="S2371" s="62" t="s">
        <v>30364</v>
      </c>
      <c r="U2371" s="62" t="s">
        <v>30365</v>
      </c>
      <c r="V2371" s="62" t="s">
        <v>49805</v>
      </c>
      <c r="W2371" s="62" t="s">
        <v>30366</v>
      </c>
      <c r="X2371" s="62" t="s">
        <v>30367</v>
      </c>
      <c r="Y2371" s="62" t="s">
        <v>30368</v>
      </c>
      <c r="Z2371" s="62" t="s">
        <v>30369</v>
      </c>
      <c r="AA2371" s="62" t="s">
        <v>49827</v>
      </c>
      <c r="AB2371" s="62" t="s">
        <v>30370</v>
      </c>
      <c r="AC2371" s="62" t="s">
        <v>30371</v>
      </c>
      <c r="AD2371" s="62" t="s">
        <v>30372</v>
      </c>
    </row>
    <row r="2372" spans="1:30" x14ac:dyDescent="0.25">
      <c r="A2372" s="62" t="s">
        <v>109</v>
      </c>
      <c r="C2372" s="62" t="s">
        <v>30373</v>
      </c>
      <c r="F2372" s="62" t="s">
        <v>1299</v>
      </c>
      <c r="G2372" s="62" t="s">
        <v>49740</v>
      </c>
      <c r="J2372" s="62" t="s">
        <v>30374</v>
      </c>
      <c r="K2372" s="62" t="s">
        <v>49762</v>
      </c>
      <c r="L2372" s="62" t="s">
        <v>30375</v>
      </c>
      <c r="M2372" s="62" t="s">
        <v>30376</v>
      </c>
      <c r="N2372" s="62" t="s">
        <v>30377</v>
      </c>
      <c r="O2372" s="62" t="s">
        <v>30378</v>
      </c>
      <c r="P2372" s="62" t="s">
        <v>49784</v>
      </c>
      <c r="Q2372" s="62" t="s">
        <v>30379</v>
      </c>
      <c r="R2372" s="62" t="s">
        <v>30380</v>
      </c>
      <c r="S2372" s="62" t="s">
        <v>30381</v>
      </c>
      <c r="U2372" s="62" t="s">
        <v>30382</v>
      </c>
      <c r="V2372" s="62" t="s">
        <v>49806</v>
      </c>
      <c r="W2372" s="62" t="s">
        <v>30383</v>
      </c>
      <c r="X2372" s="62" t="s">
        <v>30384</v>
      </c>
      <c r="Y2372" s="62" t="s">
        <v>30385</v>
      </c>
      <c r="Z2372" s="62" t="s">
        <v>30386</v>
      </c>
      <c r="AA2372" s="62" t="s">
        <v>49828</v>
      </c>
      <c r="AB2372" s="62" t="s">
        <v>30387</v>
      </c>
      <c r="AC2372" s="62" t="s">
        <v>30388</v>
      </c>
      <c r="AD2372" s="62" t="s">
        <v>30389</v>
      </c>
    </row>
    <row r="2373" spans="1:30" x14ac:dyDescent="0.25">
      <c r="A2373" s="62" t="s">
        <v>109</v>
      </c>
      <c r="C2373" s="62" t="s">
        <v>45106</v>
      </c>
      <c r="F2373" s="62" t="s">
        <v>10925</v>
      </c>
      <c r="G2373" s="62" t="s">
        <v>49741</v>
      </c>
      <c r="J2373" s="62" t="s">
        <v>45107</v>
      </c>
      <c r="K2373" s="62" t="s">
        <v>49763</v>
      </c>
      <c r="L2373" s="62" t="s">
        <v>45108</v>
      </c>
      <c r="M2373" s="62" t="s">
        <v>45109</v>
      </c>
      <c r="N2373" s="62" t="s">
        <v>45110</v>
      </c>
      <c r="O2373" s="62" t="s">
        <v>45111</v>
      </c>
      <c r="P2373" s="62" t="s">
        <v>49785</v>
      </c>
      <c r="Q2373" s="62" t="s">
        <v>45112</v>
      </c>
      <c r="R2373" s="62" t="s">
        <v>45113</v>
      </c>
      <c r="S2373" s="62" t="s">
        <v>45114</v>
      </c>
      <c r="U2373" s="62" t="s">
        <v>45115</v>
      </c>
      <c r="V2373" s="62" t="s">
        <v>49807</v>
      </c>
      <c r="W2373" s="62" t="s">
        <v>45116</v>
      </c>
      <c r="X2373" s="62" t="s">
        <v>45117</v>
      </c>
      <c r="Y2373" s="62" t="s">
        <v>45118</v>
      </c>
      <c r="Z2373" s="62" t="s">
        <v>45119</v>
      </c>
      <c r="AA2373" s="62" t="s">
        <v>49829</v>
      </c>
      <c r="AB2373" s="62" t="s">
        <v>45120</v>
      </c>
      <c r="AC2373" s="62" t="s">
        <v>45121</v>
      </c>
      <c r="AD2373" s="62" t="s">
        <v>45122</v>
      </c>
    </row>
    <row r="2374" spans="1:30" x14ac:dyDescent="0.25">
      <c r="A2374" s="62" t="s">
        <v>109</v>
      </c>
      <c r="C2374" s="62" t="s">
        <v>30390</v>
      </c>
      <c r="F2374" s="62" t="s">
        <v>10927</v>
      </c>
      <c r="G2374" s="62" t="s">
        <v>49742</v>
      </c>
      <c r="J2374" s="62" t="s">
        <v>45123</v>
      </c>
      <c r="K2374" s="62" t="s">
        <v>49764</v>
      </c>
      <c r="L2374" s="62" t="s">
        <v>45124</v>
      </c>
      <c r="M2374" s="62" t="s">
        <v>30391</v>
      </c>
      <c r="N2374" s="62" t="s">
        <v>30392</v>
      </c>
      <c r="O2374" s="62" t="s">
        <v>45125</v>
      </c>
      <c r="P2374" s="62" t="s">
        <v>49786</v>
      </c>
      <c r="Q2374" s="62" t="s">
        <v>45126</v>
      </c>
      <c r="R2374" s="62" t="s">
        <v>30393</v>
      </c>
      <c r="S2374" s="62" t="s">
        <v>30394</v>
      </c>
      <c r="U2374" s="62" t="s">
        <v>45127</v>
      </c>
      <c r="V2374" s="62" t="s">
        <v>49808</v>
      </c>
      <c r="W2374" s="62" t="s">
        <v>45128</v>
      </c>
      <c r="X2374" s="62" t="s">
        <v>30395</v>
      </c>
      <c r="Y2374" s="62" t="s">
        <v>30396</v>
      </c>
      <c r="Z2374" s="62" t="s">
        <v>45129</v>
      </c>
      <c r="AA2374" s="62" t="s">
        <v>49830</v>
      </c>
      <c r="AB2374" s="62" t="s">
        <v>45130</v>
      </c>
      <c r="AC2374" s="62" t="s">
        <v>30397</v>
      </c>
      <c r="AD2374" s="62" t="s">
        <v>30398</v>
      </c>
    </row>
    <row r="2375" spans="1:30" x14ac:dyDescent="0.25">
      <c r="A2375" s="62" t="s">
        <v>109</v>
      </c>
      <c r="C2375" s="62" t="s">
        <v>45131</v>
      </c>
      <c r="F2375" s="62" t="s">
        <v>10929</v>
      </c>
      <c r="G2375" s="62" t="s">
        <v>49743</v>
      </c>
      <c r="J2375" s="62" t="s">
        <v>45132</v>
      </c>
      <c r="K2375" s="62" t="s">
        <v>49765</v>
      </c>
      <c r="L2375" s="62" t="s">
        <v>45133</v>
      </c>
      <c r="M2375" s="62" t="s">
        <v>45134</v>
      </c>
      <c r="N2375" s="62" t="s">
        <v>45135</v>
      </c>
      <c r="O2375" s="62" t="s">
        <v>45136</v>
      </c>
      <c r="P2375" s="62" t="s">
        <v>49787</v>
      </c>
      <c r="Q2375" s="62" t="s">
        <v>45137</v>
      </c>
      <c r="R2375" s="62" t="s">
        <v>45138</v>
      </c>
      <c r="S2375" s="62" t="s">
        <v>45139</v>
      </c>
      <c r="U2375" s="62" t="s">
        <v>45140</v>
      </c>
      <c r="V2375" s="62" t="s">
        <v>49809</v>
      </c>
      <c r="W2375" s="62" t="s">
        <v>45141</v>
      </c>
      <c r="X2375" s="62" t="s">
        <v>45142</v>
      </c>
      <c r="Y2375" s="62" t="s">
        <v>45143</v>
      </c>
      <c r="Z2375" s="62" t="s">
        <v>45144</v>
      </c>
      <c r="AA2375" s="62" t="s">
        <v>49831</v>
      </c>
      <c r="AB2375" s="62" t="s">
        <v>45145</v>
      </c>
      <c r="AC2375" s="62" t="s">
        <v>45146</v>
      </c>
      <c r="AD2375" s="62" t="s">
        <v>45147</v>
      </c>
    </row>
    <row r="2376" spans="1:30" x14ac:dyDescent="0.25">
      <c r="A2376" s="62" t="s">
        <v>109</v>
      </c>
      <c r="C2376" s="62" t="s">
        <v>30084</v>
      </c>
    </row>
    <row r="2377" spans="1:30" x14ac:dyDescent="0.25">
      <c r="A2377" s="62" t="s">
        <v>109</v>
      </c>
      <c r="C2377" s="62" t="s">
        <v>30400</v>
      </c>
      <c r="G2377" s="62" t="s">
        <v>45148</v>
      </c>
      <c r="J2377" s="62" t="s">
        <v>45149</v>
      </c>
      <c r="K2377" s="62" t="s">
        <v>45150</v>
      </c>
      <c r="L2377" s="62" t="s">
        <v>45151</v>
      </c>
      <c r="M2377" s="62" t="s">
        <v>45152</v>
      </c>
      <c r="N2377" s="62" t="s">
        <v>45153</v>
      </c>
      <c r="O2377" s="62" t="s">
        <v>45154</v>
      </c>
      <c r="P2377" s="62" t="s">
        <v>45155</v>
      </c>
      <c r="Q2377" s="62" t="s">
        <v>45156</v>
      </c>
      <c r="R2377" s="62" t="s">
        <v>45157</v>
      </c>
      <c r="S2377" s="62" t="s">
        <v>45158</v>
      </c>
      <c r="U2377" s="62" t="s">
        <v>45159</v>
      </c>
      <c r="V2377" s="62" t="s">
        <v>45160</v>
      </c>
      <c r="W2377" s="62" t="s">
        <v>45161</v>
      </c>
      <c r="X2377" s="62" t="s">
        <v>45162</v>
      </c>
      <c r="Y2377" s="62" t="s">
        <v>45163</v>
      </c>
      <c r="Z2377" s="62" t="s">
        <v>45164</v>
      </c>
      <c r="AA2377" s="62" t="s">
        <v>45165</v>
      </c>
      <c r="AB2377" s="62" t="s">
        <v>45166</v>
      </c>
      <c r="AC2377" s="62" t="s">
        <v>45167</v>
      </c>
      <c r="AD2377" s="62" t="s">
        <v>45168</v>
      </c>
    </row>
    <row r="2378" spans="1:30" x14ac:dyDescent="0.25">
      <c r="A2378" s="62" t="s">
        <v>109</v>
      </c>
    </row>
    <row r="2379" spans="1:30" x14ac:dyDescent="0.25">
      <c r="A2379" s="62" t="s">
        <v>109</v>
      </c>
      <c r="C2379" s="62" t="s">
        <v>45169</v>
      </c>
      <c r="E2379" s="62" t="s">
        <v>39686</v>
      </c>
      <c r="G2379" s="62" t="s">
        <v>45170</v>
      </c>
    </row>
    <row r="2380" spans="1:30" x14ac:dyDescent="0.25">
      <c r="A2380" s="62" t="s">
        <v>109</v>
      </c>
      <c r="C2380" s="62" t="s">
        <v>30401</v>
      </c>
    </row>
    <row r="2381" spans="1:30" x14ac:dyDescent="0.25">
      <c r="A2381" s="62" t="s">
        <v>109</v>
      </c>
      <c r="C2381" s="62" t="s">
        <v>30402</v>
      </c>
      <c r="F2381" s="62" t="s">
        <v>45171</v>
      </c>
      <c r="G2381" s="62" t="s">
        <v>49607</v>
      </c>
      <c r="J2381" s="62" t="s">
        <v>30403</v>
      </c>
      <c r="K2381" s="62" t="s">
        <v>49630</v>
      </c>
      <c r="L2381" s="62" t="s">
        <v>30404</v>
      </c>
      <c r="M2381" s="62" t="s">
        <v>30405</v>
      </c>
      <c r="N2381" s="62" t="s">
        <v>30406</v>
      </c>
      <c r="O2381" s="62" t="s">
        <v>30407</v>
      </c>
      <c r="P2381" s="62" t="s">
        <v>49653</v>
      </c>
      <c r="Q2381" s="62" t="s">
        <v>30408</v>
      </c>
      <c r="R2381" s="62" t="s">
        <v>30409</v>
      </c>
      <c r="S2381" s="62" t="s">
        <v>30410</v>
      </c>
      <c r="U2381" s="62" t="s">
        <v>30411</v>
      </c>
      <c r="V2381" s="62" t="s">
        <v>49676</v>
      </c>
      <c r="W2381" s="62" t="s">
        <v>30412</v>
      </c>
      <c r="X2381" s="62" t="s">
        <v>30413</v>
      </c>
      <c r="Y2381" s="62" t="s">
        <v>30414</v>
      </c>
      <c r="Z2381" s="62" t="s">
        <v>30415</v>
      </c>
      <c r="AA2381" s="62" t="s">
        <v>49699</v>
      </c>
      <c r="AB2381" s="62" t="s">
        <v>30416</v>
      </c>
      <c r="AC2381" s="62" t="s">
        <v>30417</v>
      </c>
      <c r="AD2381" s="62" t="s">
        <v>30418</v>
      </c>
    </row>
    <row r="2382" spans="1:30" x14ac:dyDescent="0.25">
      <c r="A2382" s="62" t="s">
        <v>109</v>
      </c>
      <c r="C2382" s="62" t="s">
        <v>30419</v>
      </c>
      <c r="F2382" s="62" t="s">
        <v>872</v>
      </c>
      <c r="G2382" s="62" t="s">
        <v>49608</v>
      </c>
      <c r="J2382" s="62" t="s">
        <v>30420</v>
      </c>
      <c r="K2382" s="62" t="s">
        <v>49631</v>
      </c>
      <c r="L2382" s="62" t="s">
        <v>30421</v>
      </c>
      <c r="M2382" s="62" t="s">
        <v>30422</v>
      </c>
      <c r="N2382" s="62" t="s">
        <v>30423</v>
      </c>
      <c r="O2382" s="62" t="s">
        <v>30424</v>
      </c>
      <c r="P2382" s="62" t="s">
        <v>49654</v>
      </c>
      <c r="Q2382" s="62" t="s">
        <v>30425</v>
      </c>
      <c r="R2382" s="62" t="s">
        <v>30426</v>
      </c>
      <c r="S2382" s="62" t="s">
        <v>30427</v>
      </c>
      <c r="U2382" s="62" t="s">
        <v>30428</v>
      </c>
      <c r="V2382" s="62" t="s">
        <v>49677</v>
      </c>
      <c r="W2382" s="62" t="s">
        <v>30429</v>
      </c>
      <c r="X2382" s="62" t="s">
        <v>30430</v>
      </c>
      <c r="Y2382" s="62" t="s">
        <v>30431</v>
      </c>
      <c r="Z2382" s="62" t="s">
        <v>30432</v>
      </c>
      <c r="AA2382" s="62" t="s">
        <v>49700</v>
      </c>
      <c r="AB2382" s="62" t="s">
        <v>30433</v>
      </c>
      <c r="AC2382" s="62" t="s">
        <v>30434</v>
      </c>
      <c r="AD2382" s="62" t="s">
        <v>30435</v>
      </c>
    </row>
    <row r="2383" spans="1:30" x14ac:dyDescent="0.25">
      <c r="A2383" s="62" t="s">
        <v>109</v>
      </c>
      <c r="C2383" s="62" t="s">
        <v>30436</v>
      </c>
      <c r="F2383" s="62" t="s">
        <v>2212</v>
      </c>
      <c r="G2383" s="62" t="s">
        <v>49609</v>
      </c>
      <c r="J2383" s="62" t="s">
        <v>30437</v>
      </c>
      <c r="K2383" s="62" t="s">
        <v>49632</v>
      </c>
      <c r="L2383" s="62" t="s">
        <v>30438</v>
      </c>
      <c r="M2383" s="62" t="s">
        <v>30439</v>
      </c>
      <c r="N2383" s="62" t="s">
        <v>30440</v>
      </c>
      <c r="O2383" s="62" t="s">
        <v>30441</v>
      </c>
      <c r="P2383" s="62" t="s">
        <v>49655</v>
      </c>
      <c r="Q2383" s="62" t="s">
        <v>30442</v>
      </c>
      <c r="R2383" s="62" t="s">
        <v>30443</v>
      </c>
      <c r="S2383" s="62" t="s">
        <v>30444</v>
      </c>
      <c r="U2383" s="62" t="s">
        <v>30445</v>
      </c>
      <c r="V2383" s="62" t="s">
        <v>49678</v>
      </c>
      <c r="W2383" s="62" t="s">
        <v>30446</v>
      </c>
      <c r="X2383" s="62" t="s">
        <v>30447</v>
      </c>
      <c r="Y2383" s="62" t="s">
        <v>30448</v>
      </c>
      <c r="Z2383" s="62" t="s">
        <v>30449</v>
      </c>
      <c r="AA2383" s="62" t="s">
        <v>49701</v>
      </c>
      <c r="AB2383" s="62" t="s">
        <v>30450</v>
      </c>
      <c r="AC2383" s="62" t="s">
        <v>30451</v>
      </c>
      <c r="AD2383" s="62" t="s">
        <v>30452</v>
      </c>
    </row>
    <row r="2384" spans="1:30" x14ac:dyDescent="0.25">
      <c r="A2384" s="62" t="s">
        <v>109</v>
      </c>
      <c r="C2384" s="62" t="s">
        <v>30453</v>
      </c>
      <c r="F2384" s="62" t="s">
        <v>10282</v>
      </c>
      <c r="G2384" s="62" t="s">
        <v>49610</v>
      </c>
      <c r="J2384" s="62" t="s">
        <v>30454</v>
      </c>
      <c r="K2384" s="62" t="s">
        <v>49633</v>
      </c>
      <c r="L2384" s="62" t="s">
        <v>30455</v>
      </c>
      <c r="M2384" s="62" t="s">
        <v>30456</v>
      </c>
      <c r="N2384" s="62" t="s">
        <v>30457</v>
      </c>
      <c r="O2384" s="62" t="s">
        <v>30458</v>
      </c>
      <c r="P2384" s="62" t="s">
        <v>49656</v>
      </c>
      <c r="Q2384" s="62" t="s">
        <v>30459</v>
      </c>
      <c r="R2384" s="62" t="s">
        <v>30460</v>
      </c>
      <c r="S2384" s="62" t="s">
        <v>30461</v>
      </c>
      <c r="U2384" s="62" t="s">
        <v>30462</v>
      </c>
      <c r="V2384" s="62" t="s">
        <v>49679</v>
      </c>
      <c r="W2384" s="62" t="s">
        <v>30463</v>
      </c>
      <c r="X2384" s="62" t="s">
        <v>30464</v>
      </c>
      <c r="Y2384" s="62" t="s">
        <v>30465</v>
      </c>
      <c r="Z2384" s="62" t="s">
        <v>30466</v>
      </c>
      <c r="AA2384" s="62" t="s">
        <v>49702</v>
      </c>
      <c r="AB2384" s="62" t="s">
        <v>30467</v>
      </c>
      <c r="AC2384" s="62" t="s">
        <v>30468</v>
      </c>
      <c r="AD2384" s="62" t="s">
        <v>30469</v>
      </c>
    </row>
    <row r="2385" spans="1:30" x14ac:dyDescent="0.25">
      <c r="A2385" s="62" t="s">
        <v>109</v>
      </c>
      <c r="C2385" s="62" t="s">
        <v>30470</v>
      </c>
      <c r="F2385" s="62" t="s">
        <v>10284</v>
      </c>
      <c r="G2385" s="62" t="s">
        <v>49611</v>
      </c>
      <c r="J2385" s="62" t="s">
        <v>30471</v>
      </c>
      <c r="K2385" s="62" t="s">
        <v>49634</v>
      </c>
      <c r="L2385" s="62" t="s">
        <v>30472</v>
      </c>
      <c r="M2385" s="62" t="s">
        <v>30473</v>
      </c>
      <c r="N2385" s="62" t="s">
        <v>30474</v>
      </c>
      <c r="O2385" s="62" t="s">
        <v>30475</v>
      </c>
      <c r="P2385" s="62" t="s">
        <v>49657</v>
      </c>
      <c r="Q2385" s="62" t="s">
        <v>30476</v>
      </c>
      <c r="R2385" s="62" t="s">
        <v>30477</v>
      </c>
      <c r="S2385" s="62" t="s">
        <v>30478</v>
      </c>
      <c r="U2385" s="62" t="s">
        <v>30479</v>
      </c>
      <c r="V2385" s="62" t="s">
        <v>49680</v>
      </c>
      <c r="W2385" s="62" t="s">
        <v>30480</v>
      </c>
      <c r="X2385" s="62" t="s">
        <v>30481</v>
      </c>
      <c r="Y2385" s="62" t="s">
        <v>30482</v>
      </c>
      <c r="Z2385" s="62" t="s">
        <v>30483</v>
      </c>
      <c r="AA2385" s="62" t="s">
        <v>49703</v>
      </c>
      <c r="AB2385" s="62" t="s">
        <v>30484</v>
      </c>
      <c r="AC2385" s="62" t="s">
        <v>30485</v>
      </c>
      <c r="AD2385" s="62" t="s">
        <v>30486</v>
      </c>
    </row>
    <row r="2386" spans="1:30" x14ac:dyDescent="0.25">
      <c r="A2386" s="62" t="s">
        <v>109</v>
      </c>
      <c r="C2386" s="62" t="s">
        <v>30487</v>
      </c>
      <c r="F2386" s="62" t="s">
        <v>10314</v>
      </c>
      <c r="G2386" s="62" t="s">
        <v>49612</v>
      </c>
      <c r="J2386" s="62" t="s">
        <v>30488</v>
      </c>
      <c r="K2386" s="62" t="s">
        <v>49635</v>
      </c>
      <c r="L2386" s="62" t="s">
        <v>30489</v>
      </c>
      <c r="M2386" s="62" t="s">
        <v>30490</v>
      </c>
      <c r="N2386" s="62" t="s">
        <v>30491</v>
      </c>
      <c r="O2386" s="62" t="s">
        <v>30492</v>
      </c>
      <c r="P2386" s="62" t="s">
        <v>49658</v>
      </c>
      <c r="Q2386" s="62" t="s">
        <v>30493</v>
      </c>
      <c r="R2386" s="62" t="s">
        <v>30494</v>
      </c>
      <c r="S2386" s="62" t="s">
        <v>30495</v>
      </c>
      <c r="U2386" s="62" t="s">
        <v>30496</v>
      </c>
      <c r="V2386" s="62" t="s">
        <v>49681</v>
      </c>
      <c r="W2386" s="62" t="s">
        <v>30497</v>
      </c>
      <c r="X2386" s="62" t="s">
        <v>30498</v>
      </c>
      <c r="Y2386" s="62" t="s">
        <v>30499</v>
      </c>
      <c r="Z2386" s="62" t="s">
        <v>30500</v>
      </c>
      <c r="AA2386" s="62" t="s">
        <v>49704</v>
      </c>
      <c r="AB2386" s="62" t="s">
        <v>30501</v>
      </c>
      <c r="AC2386" s="62" t="s">
        <v>30502</v>
      </c>
      <c r="AD2386" s="62" t="s">
        <v>30503</v>
      </c>
    </row>
    <row r="2387" spans="1:30" x14ac:dyDescent="0.25">
      <c r="A2387" s="62" t="s">
        <v>109</v>
      </c>
      <c r="C2387" s="62" t="s">
        <v>30504</v>
      </c>
      <c r="F2387" s="62" t="s">
        <v>19275</v>
      </c>
      <c r="G2387" s="62" t="s">
        <v>49613</v>
      </c>
      <c r="J2387" s="62" t="s">
        <v>30505</v>
      </c>
      <c r="K2387" s="62" t="s">
        <v>49636</v>
      </c>
      <c r="L2387" s="62" t="s">
        <v>30506</v>
      </c>
      <c r="M2387" s="62" t="s">
        <v>30507</v>
      </c>
      <c r="N2387" s="62" t="s">
        <v>30508</v>
      </c>
      <c r="O2387" s="62" t="s">
        <v>30509</v>
      </c>
      <c r="P2387" s="62" t="s">
        <v>49659</v>
      </c>
      <c r="Q2387" s="62" t="s">
        <v>30510</v>
      </c>
      <c r="R2387" s="62" t="s">
        <v>30511</v>
      </c>
      <c r="S2387" s="62" t="s">
        <v>30512</v>
      </c>
      <c r="U2387" s="62" t="s">
        <v>30513</v>
      </c>
      <c r="V2387" s="62" t="s">
        <v>49682</v>
      </c>
      <c r="W2387" s="62" t="s">
        <v>30514</v>
      </c>
      <c r="X2387" s="62" t="s">
        <v>30515</v>
      </c>
      <c r="Y2387" s="62" t="s">
        <v>30516</v>
      </c>
      <c r="Z2387" s="62" t="s">
        <v>30517</v>
      </c>
      <c r="AA2387" s="62" t="s">
        <v>49705</v>
      </c>
      <c r="AB2387" s="62" t="s">
        <v>30518</v>
      </c>
      <c r="AC2387" s="62" t="s">
        <v>30519</v>
      </c>
      <c r="AD2387" s="62" t="s">
        <v>30520</v>
      </c>
    </row>
    <row r="2388" spans="1:30" x14ac:dyDescent="0.25">
      <c r="A2388" s="62" t="s">
        <v>109</v>
      </c>
      <c r="C2388" s="62" t="s">
        <v>30521</v>
      </c>
      <c r="F2388" s="62" t="s">
        <v>10332</v>
      </c>
      <c r="G2388" s="62" t="s">
        <v>49614</v>
      </c>
      <c r="J2388" s="62" t="s">
        <v>30522</v>
      </c>
      <c r="K2388" s="62" t="s">
        <v>49637</v>
      </c>
      <c r="L2388" s="62" t="s">
        <v>30523</v>
      </c>
      <c r="M2388" s="62" t="s">
        <v>30524</v>
      </c>
      <c r="N2388" s="62" t="s">
        <v>30525</v>
      </c>
      <c r="O2388" s="62" t="s">
        <v>30526</v>
      </c>
      <c r="P2388" s="62" t="s">
        <v>49660</v>
      </c>
      <c r="Q2388" s="62" t="s">
        <v>30527</v>
      </c>
      <c r="R2388" s="62" t="s">
        <v>30528</v>
      </c>
      <c r="S2388" s="62" t="s">
        <v>30529</v>
      </c>
      <c r="U2388" s="62" t="s">
        <v>30530</v>
      </c>
      <c r="V2388" s="62" t="s">
        <v>49683</v>
      </c>
      <c r="W2388" s="62" t="s">
        <v>30531</v>
      </c>
      <c r="X2388" s="62" t="s">
        <v>30532</v>
      </c>
      <c r="Y2388" s="62" t="s">
        <v>30533</v>
      </c>
      <c r="Z2388" s="62" t="s">
        <v>30534</v>
      </c>
      <c r="AA2388" s="62" t="s">
        <v>49706</v>
      </c>
      <c r="AB2388" s="62" t="s">
        <v>30535</v>
      </c>
      <c r="AC2388" s="62" t="s">
        <v>30536</v>
      </c>
      <c r="AD2388" s="62" t="s">
        <v>30537</v>
      </c>
    </row>
    <row r="2389" spans="1:30" x14ac:dyDescent="0.25">
      <c r="A2389" s="62" t="s">
        <v>109</v>
      </c>
      <c r="C2389" s="62" t="s">
        <v>30538</v>
      </c>
      <c r="F2389" s="62" t="s">
        <v>10368</v>
      </c>
      <c r="G2389" s="62" t="s">
        <v>49615</v>
      </c>
      <c r="J2389" s="62" t="s">
        <v>30539</v>
      </c>
      <c r="K2389" s="62" t="s">
        <v>49638</v>
      </c>
      <c r="L2389" s="62" t="s">
        <v>30540</v>
      </c>
      <c r="M2389" s="62" t="s">
        <v>30541</v>
      </c>
      <c r="N2389" s="62" t="s">
        <v>30542</v>
      </c>
      <c r="O2389" s="62" t="s">
        <v>30543</v>
      </c>
      <c r="P2389" s="62" t="s">
        <v>49661</v>
      </c>
      <c r="Q2389" s="62" t="s">
        <v>30544</v>
      </c>
      <c r="R2389" s="62" t="s">
        <v>30545</v>
      </c>
      <c r="S2389" s="62" t="s">
        <v>30546</v>
      </c>
      <c r="U2389" s="62" t="s">
        <v>30547</v>
      </c>
      <c r="V2389" s="62" t="s">
        <v>49684</v>
      </c>
      <c r="W2389" s="62" t="s">
        <v>30548</v>
      </c>
      <c r="X2389" s="62" t="s">
        <v>30549</v>
      </c>
      <c r="Y2389" s="62" t="s">
        <v>30550</v>
      </c>
      <c r="Z2389" s="62" t="s">
        <v>30551</v>
      </c>
      <c r="AA2389" s="62" t="s">
        <v>49707</v>
      </c>
      <c r="AB2389" s="62" t="s">
        <v>30552</v>
      </c>
      <c r="AC2389" s="62" t="s">
        <v>30553</v>
      </c>
      <c r="AD2389" s="62" t="s">
        <v>30554</v>
      </c>
    </row>
    <row r="2390" spans="1:30" x14ac:dyDescent="0.25">
      <c r="A2390" s="62" t="s">
        <v>109</v>
      </c>
      <c r="C2390" s="62" t="s">
        <v>30555</v>
      </c>
      <c r="F2390" s="62" t="s">
        <v>10386</v>
      </c>
      <c r="G2390" s="62" t="s">
        <v>49616</v>
      </c>
      <c r="J2390" s="62" t="s">
        <v>30556</v>
      </c>
      <c r="K2390" s="62" t="s">
        <v>49639</v>
      </c>
      <c r="L2390" s="62" t="s">
        <v>30557</v>
      </c>
      <c r="M2390" s="62" t="s">
        <v>30558</v>
      </c>
      <c r="N2390" s="62" t="s">
        <v>30559</v>
      </c>
      <c r="O2390" s="62" t="s">
        <v>30560</v>
      </c>
      <c r="P2390" s="62" t="s">
        <v>49662</v>
      </c>
      <c r="Q2390" s="62" t="s">
        <v>30561</v>
      </c>
      <c r="R2390" s="62" t="s">
        <v>30562</v>
      </c>
      <c r="S2390" s="62" t="s">
        <v>30563</v>
      </c>
      <c r="U2390" s="62" t="s">
        <v>30564</v>
      </c>
      <c r="V2390" s="62" t="s">
        <v>49685</v>
      </c>
      <c r="W2390" s="62" t="s">
        <v>30565</v>
      </c>
      <c r="X2390" s="62" t="s">
        <v>30566</v>
      </c>
      <c r="Y2390" s="62" t="s">
        <v>30567</v>
      </c>
      <c r="Z2390" s="62" t="s">
        <v>30568</v>
      </c>
      <c r="AA2390" s="62" t="s">
        <v>49708</v>
      </c>
      <c r="AB2390" s="62" t="s">
        <v>30569</v>
      </c>
      <c r="AC2390" s="62" t="s">
        <v>30570</v>
      </c>
      <c r="AD2390" s="62" t="s">
        <v>30571</v>
      </c>
    </row>
    <row r="2391" spans="1:30" x14ac:dyDescent="0.25">
      <c r="A2391" s="62" t="s">
        <v>109</v>
      </c>
      <c r="C2391" s="62" t="s">
        <v>30572</v>
      </c>
      <c r="F2391" s="62" t="s">
        <v>15012</v>
      </c>
      <c r="G2391" s="62" t="s">
        <v>49617</v>
      </c>
      <c r="J2391" s="62" t="s">
        <v>30573</v>
      </c>
      <c r="K2391" s="62" t="s">
        <v>49640</v>
      </c>
      <c r="L2391" s="62" t="s">
        <v>30574</v>
      </c>
      <c r="M2391" s="62" t="s">
        <v>30575</v>
      </c>
      <c r="N2391" s="62" t="s">
        <v>30576</v>
      </c>
      <c r="O2391" s="62" t="s">
        <v>30577</v>
      </c>
      <c r="P2391" s="62" t="s">
        <v>49663</v>
      </c>
      <c r="Q2391" s="62" t="s">
        <v>30578</v>
      </c>
      <c r="R2391" s="62" t="s">
        <v>30579</v>
      </c>
      <c r="S2391" s="62" t="s">
        <v>30580</v>
      </c>
      <c r="U2391" s="62" t="s">
        <v>30581</v>
      </c>
      <c r="V2391" s="62" t="s">
        <v>49686</v>
      </c>
      <c r="W2391" s="62" t="s">
        <v>30582</v>
      </c>
      <c r="X2391" s="62" t="s">
        <v>30583</v>
      </c>
      <c r="Y2391" s="62" t="s">
        <v>30584</v>
      </c>
      <c r="Z2391" s="62" t="s">
        <v>30585</v>
      </c>
      <c r="AA2391" s="62" t="s">
        <v>49709</v>
      </c>
      <c r="AB2391" s="62" t="s">
        <v>30586</v>
      </c>
      <c r="AC2391" s="62" t="s">
        <v>30587</v>
      </c>
      <c r="AD2391" s="62" t="s">
        <v>30588</v>
      </c>
    </row>
    <row r="2392" spans="1:30" x14ac:dyDescent="0.25">
      <c r="A2392" s="62" t="s">
        <v>109</v>
      </c>
      <c r="C2392" s="62" t="s">
        <v>30589</v>
      </c>
      <c r="F2392" s="62" t="s">
        <v>10404</v>
      </c>
      <c r="G2392" s="62" t="s">
        <v>49618</v>
      </c>
      <c r="J2392" s="62" t="s">
        <v>30590</v>
      </c>
      <c r="K2392" s="62" t="s">
        <v>49641</v>
      </c>
      <c r="L2392" s="62" t="s">
        <v>30591</v>
      </c>
      <c r="M2392" s="62" t="s">
        <v>30592</v>
      </c>
      <c r="N2392" s="62" t="s">
        <v>30593</v>
      </c>
      <c r="O2392" s="62" t="s">
        <v>30594</v>
      </c>
      <c r="P2392" s="62" t="s">
        <v>49664</v>
      </c>
      <c r="Q2392" s="62" t="s">
        <v>30595</v>
      </c>
      <c r="R2392" s="62" t="s">
        <v>30596</v>
      </c>
      <c r="S2392" s="62" t="s">
        <v>30597</v>
      </c>
      <c r="U2392" s="62" t="s">
        <v>30598</v>
      </c>
      <c r="V2392" s="62" t="s">
        <v>49687</v>
      </c>
      <c r="W2392" s="62" t="s">
        <v>30599</v>
      </c>
      <c r="X2392" s="62" t="s">
        <v>30600</v>
      </c>
      <c r="Y2392" s="62" t="s">
        <v>30601</v>
      </c>
      <c r="Z2392" s="62" t="s">
        <v>30602</v>
      </c>
      <c r="AA2392" s="62" t="s">
        <v>49710</v>
      </c>
      <c r="AB2392" s="62" t="s">
        <v>30603</v>
      </c>
      <c r="AC2392" s="62" t="s">
        <v>30604</v>
      </c>
      <c r="AD2392" s="62" t="s">
        <v>30605</v>
      </c>
    </row>
    <row r="2393" spans="1:30" x14ac:dyDescent="0.25">
      <c r="A2393" s="62" t="s">
        <v>109</v>
      </c>
      <c r="C2393" s="62" t="s">
        <v>30606</v>
      </c>
      <c r="F2393" s="62" t="s">
        <v>1002</v>
      </c>
      <c r="G2393" s="62" t="s">
        <v>49619</v>
      </c>
      <c r="J2393" s="62" t="s">
        <v>30607</v>
      </c>
      <c r="K2393" s="62" t="s">
        <v>49642</v>
      </c>
      <c r="L2393" s="62" t="s">
        <v>30608</v>
      </c>
      <c r="M2393" s="62" t="s">
        <v>30609</v>
      </c>
      <c r="N2393" s="62" t="s">
        <v>30610</v>
      </c>
      <c r="O2393" s="62" t="s">
        <v>30611</v>
      </c>
      <c r="P2393" s="62" t="s">
        <v>49665</v>
      </c>
      <c r="Q2393" s="62" t="s">
        <v>30612</v>
      </c>
      <c r="R2393" s="62" t="s">
        <v>30613</v>
      </c>
      <c r="S2393" s="62" t="s">
        <v>30614</v>
      </c>
      <c r="U2393" s="62" t="s">
        <v>30615</v>
      </c>
      <c r="V2393" s="62" t="s">
        <v>49688</v>
      </c>
      <c r="W2393" s="62" t="s">
        <v>30616</v>
      </c>
      <c r="X2393" s="62" t="s">
        <v>30617</v>
      </c>
      <c r="Y2393" s="62" t="s">
        <v>30618</v>
      </c>
      <c r="Z2393" s="62" t="s">
        <v>30619</v>
      </c>
      <c r="AA2393" s="62" t="s">
        <v>49711</v>
      </c>
      <c r="AB2393" s="62" t="s">
        <v>30620</v>
      </c>
      <c r="AC2393" s="62" t="s">
        <v>30621</v>
      </c>
      <c r="AD2393" s="62" t="s">
        <v>30622</v>
      </c>
    </row>
    <row r="2394" spans="1:30" x14ac:dyDescent="0.25">
      <c r="A2394" s="62" t="s">
        <v>109</v>
      </c>
      <c r="C2394" s="62" t="s">
        <v>30623</v>
      </c>
      <c r="F2394" s="62" t="s">
        <v>2337</v>
      </c>
      <c r="G2394" s="62" t="s">
        <v>49620</v>
      </c>
      <c r="J2394" s="62" t="s">
        <v>30624</v>
      </c>
      <c r="K2394" s="62" t="s">
        <v>49643</v>
      </c>
      <c r="L2394" s="62" t="s">
        <v>30625</v>
      </c>
      <c r="M2394" s="62" t="s">
        <v>30626</v>
      </c>
      <c r="N2394" s="62" t="s">
        <v>30627</v>
      </c>
      <c r="O2394" s="62" t="s">
        <v>30628</v>
      </c>
      <c r="P2394" s="62" t="s">
        <v>49666</v>
      </c>
      <c r="Q2394" s="62" t="s">
        <v>30629</v>
      </c>
      <c r="R2394" s="62" t="s">
        <v>30630</v>
      </c>
      <c r="S2394" s="62" t="s">
        <v>30631</v>
      </c>
      <c r="U2394" s="62" t="s">
        <v>30632</v>
      </c>
      <c r="V2394" s="62" t="s">
        <v>49689</v>
      </c>
      <c r="W2394" s="62" t="s">
        <v>30633</v>
      </c>
      <c r="X2394" s="62" t="s">
        <v>30634</v>
      </c>
      <c r="Y2394" s="62" t="s">
        <v>30635</v>
      </c>
      <c r="Z2394" s="62" t="s">
        <v>30636</v>
      </c>
      <c r="AA2394" s="62" t="s">
        <v>49712</v>
      </c>
      <c r="AB2394" s="62" t="s">
        <v>30637</v>
      </c>
      <c r="AC2394" s="62" t="s">
        <v>30638</v>
      </c>
      <c r="AD2394" s="62" t="s">
        <v>30639</v>
      </c>
    </row>
    <row r="2395" spans="1:30" x14ac:dyDescent="0.25">
      <c r="A2395" s="62" t="s">
        <v>109</v>
      </c>
      <c r="C2395" s="62" t="s">
        <v>30640</v>
      </c>
      <c r="F2395" s="62" t="s">
        <v>10559</v>
      </c>
      <c r="G2395" s="62" t="s">
        <v>49621</v>
      </c>
      <c r="J2395" s="62" t="s">
        <v>30641</v>
      </c>
      <c r="K2395" s="62" t="s">
        <v>49644</v>
      </c>
      <c r="L2395" s="62" t="s">
        <v>30642</v>
      </c>
      <c r="M2395" s="62" t="s">
        <v>30643</v>
      </c>
      <c r="N2395" s="62" t="s">
        <v>30644</v>
      </c>
      <c r="O2395" s="62" t="s">
        <v>30645</v>
      </c>
      <c r="P2395" s="62" t="s">
        <v>49667</v>
      </c>
      <c r="Q2395" s="62" t="s">
        <v>30646</v>
      </c>
      <c r="R2395" s="62" t="s">
        <v>30647</v>
      </c>
      <c r="S2395" s="62" t="s">
        <v>30648</v>
      </c>
      <c r="U2395" s="62" t="s">
        <v>30649</v>
      </c>
      <c r="V2395" s="62" t="s">
        <v>49690</v>
      </c>
      <c r="W2395" s="62" t="s">
        <v>30650</v>
      </c>
      <c r="X2395" s="62" t="s">
        <v>30651</v>
      </c>
      <c r="Y2395" s="62" t="s">
        <v>30652</v>
      </c>
      <c r="Z2395" s="62" t="s">
        <v>30653</v>
      </c>
      <c r="AA2395" s="62" t="s">
        <v>49713</v>
      </c>
      <c r="AB2395" s="62" t="s">
        <v>30654</v>
      </c>
      <c r="AC2395" s="62" t="s">
        <v>30655</v>
      </c>
      <c r="AD2395" s="62" t="s">
        <v>30656</v>
      </c>
    </row>
    <row r="2396" spans="1:30" x14ac:dyDescent="0.25">
      <c r="A2396" s="62" t="s">
        <v>109</v>
      </c>
      <c r="C2396" s="62" t="s">
        <v>30657</v>
      </c>
      <c r="F2396" s="62" t="s">
        <v>10703</v>
      </c>
      <c r="G2396" s="62" t="s">
        <v>49622</v>
      </c>
      <c r="J2396" s="62" t="s">
        <v>30658</v>
      </c>
      <c r="K2396" s="62" t="s">
        <v>49645</v>
      </c>
      <c r="L2396" s="62" t="s">
        <v>30659</v>
      </c>
      <c r="M2396" s="62" t="s">
        <v>30660</v>
      </c>
      <c r="N2396" s="62" t="s">
        <v>30661</v>
      </c>
      <c r="O2396" s="62" t="s">
        <v>30662</v>
      </c>
      <c r="P2396" s="62" t="s">
        <v>49668</v>
      </c>
      <c r="Q2396" s="62" t="s">
        <v>30663</v>
      </c>
      <c r="R2396" s="62" t="s">
        <v>30664</v>
      </c>
      <c r="S2396" s="62" t="s">
        <v>30665</v>
      </c>
      <c r="U2396" s="62" t="s">
        <v>30666</v>
      </c>
      <c r="V2396" s="62" t="s">
        <v>49691</v>
      </c>
      <c r="W2396" s="62" t="s">
        <v>30667</v>
      </c>
      <c r="X2396" s="62" t="s">
        <v>30668</v>
      </c>
      <c r="Y2396" s="62" t="s">
        <v>30669</v>
      </c>
      <c r="Z2396" s="62" t="s">
        <v>30670</v>
      </c>
      <c r="AA2396" s="62" t="s">
        <v>49714</v>
      </c>
      <c r="AB2396" s="62" t="s">
        <v>30671</v>
      </c>
      <c r="AC2396" s="62" t="s">
        <v>30672</v>
      </c>
      <c r="AD2396" s="62" t="s">
        <v>30673</v>
      </c>
    </row>
    <row r="2397" spans="1:30" x14ac:dyDescent="0.25">
      <c r="A2397" s="62" t="s">
        <v>109</v>
      </c>
      <c r="C2397" s="62" t="s">
        <v>30674</v>
      </c>
      <c r="F2397" s="62" t="s">
        <v>10793</v>
      </c>
      <c r="G2397" s="62" t="s">
        <v>49623</v>
      </c>
      <c r="J2397" s="62" t="s">
        <v>30675</v>
      </c>
      <c r="K2397" s="62" t="s">
        <v>49646</v>
      </c>
      <c r="L2397" s="62" t="s">
        <v>30676</v>
      </c>
      <c r="M2397" s="62" t="s">
        <v>30677</v>
      </c>
      <c r="N2397" s="62" t="s">
        <v>30678</v>
      </c>
      <c r="O2397" s="62" t="s">
        <v>30679</v>
      </c>
      <c r="P2397" s="62" t="s">
        <v>49669</v>
      </c>
      <c r="Q2397" s="62" t="s">
        <v>30680</v>
      </c>
      <c r="R2397" s="62" t="s">
        <v>30681</v>
      </c>
      <c r="S2397" s="62" t="s">
        <v>30682</v>
      </c>
      <c r="U2397" s="62" t="s">
        <v>30683</v>
      </c>
      <c r="V2397" s="62" t="s">
        <v>49692</v>
      </c>
      <c r="W2397" s="62" t="s">
        <v>30684</v>
      </c>
      <c r="X2397" s="62" t="s">
        <v>30685</v>
      </c>
      <c r="Y2397" s="62" t="s">
        <v>30686</v>
      </c>
      <c r="Z2397" s="62" t="s">
        <v>30687</v>
      </c>
      <c r="AA2397" s="62" t="s">
        <v>49715</v>
      </c>
      <c r="AB2397" s="62" t="s">
        <v>30688</v>
      </c>
      <c r="AC2397" s="62" t="s">
        <v>30689</v>
      </c>
      <c r="AD2397" s="62" t="s">
        <v>30690</v>
      </c>
    </row>
    <row r="2398" spans="1:30" x14ac:dyDescent="0.25">
      <c r="A2398" s="62" t="s">
        <v>109</v>
      </c>
      <c r="C2398" s="62" t="s">
        <v>30691</v>
      </c>
      <c r="F2398" s="62" t="s">
        <v>10865</v>
      </c>
      <c r="G2398" s="62" t="s">
        <v>49624</v>
      </c>
      <c r="J2398" s="62" t="s">
        <v>30692</v>
      </c>
      <c r="K2398" s="62" t="s">
        <v>49647</v>
      </c>
      <c r="L2398" s="62" t="s">
        <v>30693</v>
      </c>
      <c r="M2398" s="62" t="s">
        <v>30694</v>
      </c>
      <c r="N2398" s="62" t="s">
        <v>30695</v>
      </c>
      <c r="O2398" s="62" t="s">
        <v>30696</v>
      </c>
      <c r="P2398" s="62" t="s">
        <v>49670</v>
      </c>
      <c r="Q2398" s="62" t="s">
        <v>30697</v>
      </c>
      <c r="R2398" s="62" t="s">
        <v>30698</v>
      </c>
      <c r="S2398" s="62" t="s">
        <v>30699</v>
      </c>
      <c r="U2398" s="62" t="s">
        <v>30700</v>
      </c>
      <c r="V2398" s="62" t="s">
        <v>49693</v>
      </c>
      <c r="W2398" s="62" t="s">
        <v>30701</v>
      </c>
      <c r="X2398" s="62" t="s">
        <v>30702</v>
      </c>
      <c r="Y2398" s="62" t="s">
        <v>30703</v>
      </c>
      <c r="Z2398" s="62" t="s">
        <v>30704</v>
      </c>
      <c r="AA2398" s="62" t="s">
        <v>49716</v>
      </c>
      <c r="AB2398" s="62" t="s">
        <v>30705</v>
      </c>
      <c r="AC2398" s="62" t="s">
        <v>30706</v>
      </c>
      <c r="AD2398" s="62" t="s">
        <v>30707</v>
      </c>
    </row>
    <row r="2399" spans="1:30" x14ac:dyDescent="0.25">
      <c r="A2399" s="62" t="s">
        <v>109</v>
      </c>
      <c r="C2399" s="62" t="s">
        <v>30708</v>
      </c>
      <c r="F2399" s="62" t="s">
        <v>13238</v>
      </c>
      <c r="G2399" s="62" t="s">
        <v>49625</v>
      </c>
      <c r="J2399" s="62" t="s">
        <v>30709</v>
      </c>
      <c r="K2399" s="62" t="s">
        <v>49648</v>
      </c>
      <c r="L2399" s="62" t="s">
        <v>30710</v>
      </c>
      <c r="M2399" s="62" t="s">
        <v>30711</v>
      </c>
      <c r="N2399" s="62" t="s">
        <v>30712</v>
      </c>
      <c r="O2399" s="62" t="s">
        <v>30713</v>
      </c>
      <c r="P2399" s="62" t="s">
        <v>49671</v>
      </c>
      <c r="Q2399" s="62" t="s">
        <v>30714</v>
      </c>
      <c r="R2399" s="62" t="s">
        <v>30715</v>
      </c>
      <c r="S2399" s="62" t="s">
        <v>30716</v>
      </c>
      <c r="U2399" s="62" t="s">
        <v>30717</v>
      </c>
      <c r="V2399" s="62" t="s">
        <v>49694</v>
      </c>
      <c r="W2399" s="62" t="s">
        <v>30718</v>
      </c>
      <c r="X2399" s="62" t="s">
        <v>30719</v>
      </c>
      <c r="Y2399" s="62" t="s">
        <v>30720</v>
      </c>
      <c r="Z2399" s="62" t="s">
        <v>30721</v>
      </c>
      <c r="AA2399" s="62" t="s">
        <v>49717</v>
      </c>
      <c r="AB2399" s="62" t="s">
        <v>30722</v>
      </c>
      <c r="AC2399" s="62" t="s">
        <v>30723</v>
      </c>
      <c r="AD2399" s="62" t="s">
        <v>30724</v>
      </c>
    </row>
    <row r="2400" spans="1:30" x14ac:dyDescent="0.25">
      <c r="A2400" s="62" t="s">
        <v>109</v>
      </c>
      <c r="C2400" s="62" t="s">
        <v>30725</v>
      </c>
      <c r="F2400" s="62" t="s">
        <v>1152</v>
      </c>
      <c r="G2400" s="62" t="s">
        <v>49626</v>
      </c>
      <c r="J2400" s="62" t="s">
        <v>30726</v>
      </c>
      <c r="K2400" s="62" t="s">
        <v>49649</v>
      </c>
      <c r="L2400" s="62" t="s">
        <v>30727</v>
      </c>
      <c r="M2400" s="62" t="s">
        <v>30728</v>
      </c>
      <c r="N2400" s="62" t="s">
        <v>30729</v>
      </c>
      <c r="O2400" s="62" t="s">
        <v>30730</v>
      </c>
      <c r="P2400" s="62" t="s">
        <v>49672</v>
      </c>
      <c r="Q2400" s="62" t="s">
        <v>30731</v>
      </c>
      <c r="R2400" s="62" t="s">
        <v>30732</v>
      </c>
      <c r="S2400" s="62" t="s">
        <v>30733</v>
      </c>
      <c r="U2400" s="62" t="s">
        <v>30734</v>
      </c>
      <c r="V2400" s="62" t="s">
        <v>49695</v>
      </c>
      <c r="W2400" s="62" t="s">
        <v>30735</v>
      </c>
      <c r="X2400" s="62" t="s">
        <v>30736</v>
      </c>
      <c r="Y2400" s="62" t="s">
        <v>30737</v>
      </c>
      <c r="Z2400" s="62" t="s">
        <v>30738</v>
      </c>
      <c r="AA2400" s="62" t="s">
        <v>49718</v>
      </c>
      <c r="AB2400" s="62" t="s">
        <v>30739</v>
      </c>
      <c r="AC2400" s="62" t="s">
        <v>30740</v>
      </c>
      <c r="AD2400" s="62" t="s">
        <v>30741</v>
      </c>
    </row>
    <row r="2401" spans="1:30" x14ac:dyDescent="0.25">
      <c r="A2401" s="62" t="s">
        <v>109</v>
      </c>
      <c r="C2401" s="62" t="s">
        <v>30742</v>
      </c>
      <c r="F2401" s="62" t="s">
        <v>1797</v>
      </c>
      <c r="G2401" s="62" t="s">
        <v>49627</v>
      </c>
      <c r="J2401" s="62" t="s">
        <v>30743</v>
      </c>
      <c r="K2401" s="62" t="s">
        <v>49650</v>
      </c>
      <c r="L2401" s="62" t="s">
        <v>30744</v>
      </c>
      <c r="M2401" s="62" t="s">
        <v>30745</v>
      </c>
      <c r="N2401" s="62" t="s">
        <v>30746</v>
      </c>
      <c r="O2401" s="62" t="s">
        <v>30747</v>
      </c>
      <c r="P2401" s="62" t="s">
        <v>49673</v>
      </c>
      <c r="Q2401" s="62" t="s">
        <v>30748</v>
      </c>
      <c r="R2401" s="62" t="s">
        <v>30749</v>
      </c>
      <c r="S2401" s="62" t="s">
        <v>30750</v>
      </c>
      <c r="U2401" s="62" t="s">
        <v>30751</v>
      </c>
      <c r="V2401" s="62" t="s">
        <v>49696</v>
      </c>
      <c r="W2401" s="62" t="s">
        <v>30752</v>
      </c>
      <c r="X2401" s="62" t="s">
        <v>30753</v>
      </c>
      <c r="Y2401" s="62" t="s">
        <v>30754</v>
      </c>
      <c r="Z2401" s="62" t="s">
        <v>30755</v>
      </c>
      <c r="AA2401" s="62" t="s">
        <v>49719</v>
      </c>
      <c r="AB2401" s="62" t="s">
        <v>30756</v>
      </c>
      <c r="AC2401" s="62" t="s">
        <v>30757</v>
      </c>
      <c r="AD2401" s="62" t="s">
        <v>30758</v>
      </c>
    </row>
    <row r="2402" spans="1:30" x14ac:dyDescent="0.25">
      <c r="A2402" s="62" t="s">
        <v>109</v>
      </c>
      <c r="C2402" s="62" t="s">
        <v>30759</v>
      </c>
      <c r="F2402" s="62" t="s">
        <v>10925</v>
      </c>
      <c r="G2402" s="62" t="s">
        <v>49628</v>
      </c>
      <c r="J2402" s="62" t="s">
        <v>30760</v>
      </c>
      <c r="K2402" s="62" t="s">
        <v>49651</v>
      </c>
      <c r="L2402" s="62" t="s">
        <v>30761</v>
      </c>
      <c r="M2402" s="62" t="s">
        <v>30762</v>
      </c>
      <c r="N2402" s="62" t="s">
        <v>30763</v>
      </c>
      <c r="O2402" s="62" t="s">
        <v>30764</v>
      </c>
      <c r="P2402" s="62" t="s">
        <v>49674</v>
      </c>
      <c r="Q2402" s="62" t="s">
        <v>30765</v>
      </c>
      <c r="R2402" s="62" t="s">
        <v>30766</v>
      </c>
      <c r="S2402" s="62" t="s">
        <v>30767</v>
      </c>
      <c r="U2402" s="62" t="s">
        <v>30768</v>
      </c>
      <c r="V2402" s="62" t="s">
        <v>49697</v>
      </c>
      <c r="W2402" s="62" t="s">
        <v>30769</v>
      </c>
      <c r="X2402" s="62" t="s">
        <v>30770</v>
      </c>
      <c r="Y2402" s="62" t="s">
        <v>30771</v>
      </c>
      <c r="Z2402" s="62" t="s">
        <v>30772</v>
      </c>
      <c r="AA2402" s="62" t="s">
        <v>49720</v>
      </c>
      <c r="AB2402" s="62" t="s">
        <v>30773</v>
      </c>
      <c r="AC2402" s="62" t="s">
        <v>30774</v>
      </c>
      <c r="AD2402" s="62" t="s">
        <v>30775</v>
      </c>
    </row>
    <row r="2403" spans="1:30" x14ac:dyDescent="0.25">
      <c r="A2403" s="62" t="s">
        <v>109</v>
      </c>
      <c r="C2403" s="62" t="s">
        <v>30776</v>
      </c>
      <c r="F2403" s="62" t="s">
        <v>10929</v>
      </c>
      <c r="G2403" s="62" t="s">
        <v>49629</v>
      </c>
      <c r="J2403" s="62" t="s">
        <v>30777</v>
      </c>
      <c r="K2403" s="62" t="s">
        <v>49652</v>
      </c>
      <c r="L2403" s="62" t="s">
        <v>30778</v>
      </c>
      <c r="M2403" s="62" t="s">
        <v>30779</v>
      </c>
      <c r="N2403" s="62" t="s">
        <v>30780</v>
      </c>
      <c r="O2403" s="62" t="s">
        <v>30781</v>
      </c>
      <c r="P2403" s="62" t="s">
        <v>49675</v>
      </c>
      <c r="Q2403" s="62" t="s">
        <v>30782</v>
      </c>
      <c r="R2403" s="62" t="s">
        <v>30783</v>
      </c>
      <c r="S2403" s="62" t="s">
        <v>30784</v>
      </c>
      <c r="U2403" s="62" t="s">
        <v>30785</v>
      </c>
      <c r="V2403" s="62" t="s">
        <v>49698</v>
      </c>
      <c r="W2403" s="62" t="s">
        <v>30786</v>
      </c>
      <c r="X2403" s="62" t="s">
        <v>30787</v>
      </c>
      <c r="Y2403" s="62" t="s">
        <v>30788</v>
      </c>
      <c r="Z2403" s="62" t="s">
        <v>30789</v>
      </c>
      <c r="AA2403" s="62" t="s">
        <v>49721</v>
      </c>
      <c r="AB2403" s="62" t="s">
        <v>30790</v>
      </c>
      <c r="AC2403" s="62" t="s">
        <v>30791</v>
      </c>
      <c r="AD2403" s="62" t="s">
        <v>30792</v>
      </c>
    </row>
    <row r="2404" spans="1:30" x14ac:dyDescent="0.25">
      <c r="A2404" s="62" t="s">
        <v>109</v>
      </c>
      <c r="C2404" s="62" t="s">
        <v>30419</v>
      </c>
    </row>
    <row r="2405" spans="1:30" x14ac:dyDescent="0.25">
      <c r="A2405" s="62" t="s">
        <v>109</v>
      </c>
      <c r="C2405" s="62" t="s">
        <v>30793</v>
      </c>
      <c r="G2405" s="62" t="s">
        <v>45172</v>
      </c>
      <c r="J2405" s="62" t="s">
        <v>45173</v>
      </c>
      <c r="K2405" s="62" t="s">
        <v>45174</v>
      </c>
      <c r="L2405" s="62" t="s">
        <v>45175</v>
      </c>
      <c r="M2405" s="62" t="s">
        <v>30794</v>
      </c>
      <c r="N2405" s="62" t="s">
        <v>30795</v>
      </c>
      <c r="O2405" s="62" t="s">
        <v>45176</v>
      </c>
      <c r="P2405" s="62" t="s">
        <v>45177</v>
      </c>
      <c r="Q2405" s="62" t="s">
        <v>45178</v>
      </c>
      <c r="R2405" s="62" t="s">
        <v>30796</v>
      </c>
      <c r="S2405" s="62" t="s">
        <v>30797</v>
      </c>
      <c r="U2405" s="62" t="s">
        <v>45179</v>
      </c>
      <c r="V2405" s="62" t="s">
        <v>45180</v>
      </c>
      <c r="W2405" s="62" t="s">
        <v>45181</v>
      </c>
      <c r="X2405" s="62" t="s">
        <v>30798</v>
      </c>
      <c r="Y2405" s="62" t="s">
        <v>30799</v>
      </c>
      <c r="Z2405" s="62" t="s">
        <v>45182</v>
      </c>
      <c r="AA2405" s="62" t="s">
        <v>45183</v>
      </c>
      <c r="AB2405" s="62" t="s">
        <v>45184</v>
      </c>
      <c r="AC2405" s="62" t="s">
        <v>30800</v>
      </c>
      <c r="AD2405" s="62" t="s">
        <v>30801</v>
      </c>
    </row>
    <row r="2406" spans="1:30" x14ac:dyDescent="0.25">
      <c r="A2406" s="62" t="s">
        <v>109</v>
      </c>
    </row>
    <row r="2407" spans="1:30" x14ac:dyDescent="0.25">
      <c r="A2407" s="62" t="s">
        <v>109</v>
      </c>
      <c r="C2407" s="62" t="s">
        <v>45185</v>
      </c>
      <c r="E2407" s="62" t="s">
        <v>39687</v>
      </c>
      <c r="G2407" s="62" t="s">
        <v>45186</v>
      </c>
    </row>
    <row r="2408" spans="1:30" x14ac:dyDescent="0.25">
      <c r="A2408" s="62" t="s">
        <v>109</v>
      </c>
      <c r="C2408" s="62" t="s">
        <v>30802</v>
      </c>
    </row>
    <row r="2409" spans="1:30" x14ac:dyDescent="0.25">
      <c r="A2409" s="62" t="s">
        <v>109</v>
      </c>
      <c r="C2409" s="62" t="s">
        <v>30803</v>
      </c>
      <c r="F2409" s="62" t="s">
        <v>45187</v>
      </c>
      <c r="G2409" s="62" t="s">
        <v>49522</v>
      </c>
      <c r="J2409" s="62" t="s">
        <v>30804</v>
      </c>
      <c r="K2409" s="62" t="s">
        <v>49539</v>
      </c>
      <c r="L2409" s="62" t="s">
        <v>30805</v>
      </c>
      <c r="M2409" s="62" t="s">
        <v>30806</v>
      </c>
      <c r="N2409" s="62" t="s">
        <v>30807</v>
      </c>
      <c r="O2409" s="62" t="s">
        <v>30808</v>
      </c>
      <c r="P2409" s="62" t="s">
        <v>49556</v>
      </c>
      <c r="Q2409" s="62" t="s">
        <v>30809</v>
      </c>
      <c r="R2409" s="62" t="s">
        <v>30810</v>
      </c>
      <c r="S2409" s="62" t="s">
        <v>30811</v>
      </c>
      <c r="U2409" s="62" t="s">
        <v>30812</v>
      </c>
      <c r="V2409" s="62" t="s">
        <v>49573</v>
      </c>
      <c r="W2409" s="62" t="s">
        <v>30813</v>
      </c>
      <c r="X2409" s="62" t="s">
        <v>30814</v>
      </c>
      <c r="Y2409" s="62" t="s">
        <v>30815</v>
      </c>
      <c r="Z2409" s="62" t="s">
        <v>30816</v>
      </c>
      <c r="AA2409" s="62" t="s">
        <v>49590</v>
      </c>
      <c r="AB2409" s="62" t="s">
        <v>30817</v>
      </c>
      <c r="AC2409" s="62" t="s">
        <v>30818</v>
      </c>
      <c r="AD2409" s="62" t="s">
        <v>30819</v>
      </c>
    </row>
    <row r="2410" spans="1:30" x14ac:dyDescent="0.25">
      <c r="A2410" s="62" t="s">
        <v>109</v>
      </c>
      <c r="C2410" s="62" t="s">
        <v>30820</v>
      </c>
      <c r="F2410" s="62" t="s">
        <v>925</v>
      </c>
      <c r="G2410" s="62" t="s">
        <v>49523</v>
      </c>
      <c r="J2410" s="62" t="s">
        <v>30821</v>
      </c>
      <c r="K2410" s="62" t="s">
        <v>49540</v>
      </c>
      <c r="L2410" s="62" t="s">
        <v>30822</v>
      </c>
      <c r="M2410" s="62" t="s">
        <v>30823</v>
      </c>
      <c r="N2410" s="62" t="s">
        <v>30824</v>
      </c>
      <c r="O2410" s="62" t="s">
        <v>30825</v>
      </c>
      <c r="P2410" s="62" t="s">
        <v>49557</v>
      </c>
      <c r="Q2410" s="62" t="s">
        <v>30826</v>
      </c>
      <c r="R2410" s="62" t="s">
        <v>30827</v>
      </c>
      <c r="S2410" s="62" t="s">
        <v>30828</v>
      </c>
      <c r="U2410" s="62" t="s">
        <v>30829</v>
      </c>
      <c r="V2410" s="62" t="s">
        <v>49574</v>
      </c>
      <c r="W2410" s="62" t="s">
        <v>30830</v>
      </c>
      <c r="X2410" s="62" t="s">
        <v>30831</v>
      </c>
      <c r="Y2410" s="62" t="s">
        <v>30832</v>
      </c>
      <c r="Z2410" s="62" t="s">
        <v>30833</v>
      </c>
      <c r="AA2410" s="62" t="s">
        <v>49591</v>
      </c>
      <c r="AB2410" s="62" t="s">
        <v>30834</v>
      </c>
      <c r="AC2410" s="62" t="s">
        <v>30835</v>
      </c>
      <c r="AD2410" s="62" t="s">
        <v>30836</v>
      </c>
    </row>
    <row r="2411" spans="1:30" x14ac:dyDescent="0.25">
      <c r="A2411" s="62" t="s">
        <v>109</v>
      </c>
      <c r="C2411" s="62" t="s">
        <v>30837</v>
      </c>
      <c r="F2411" s="62" t="s">
        <v>1002</v>
      </c>
      <c r="G2411" s="62" t="s">
        <v>49524</v>
      </c>
      <c r="J2411" s="62" t="s">
        <v>30838</v>
      </c>
      <c r="K2411" s="62" t="s">
        <v>49541</v>
      </c>
      <c r="L2411" s="62" t="s">
        <v>30839</v>
      </c>
      <c r="M2411" s="62" t="s">
        <v>30840</v>
      </c>
      <c r="N2411" s="62" t="s">
        <v>30841</v>
      </c>
      <c r="O2411" s="62" t="s">
        <v>30842</v>
      </c>
      <c r="P2411" s="62" t="s">
        <v>49558</v>
      </c>
      <c r="Q2411" s="62" t="s">
        <v>30843</v>
      </c>
      <c r="R2411" s="62" t="s">
        <v>30844</v>
      </c>
      <c r="S2411" s="62" t="s">
        <v>30845</v>
      </c>
      <c r="U2411" s="62" t="s">
        <v>30846</v>
      </c>
      <c r="V2411" s="62" t="s">
        <v>49575</v>
      </c>
      <c r="W2411" s="62" t="s">
        <v>30847</v>
      </c>
      <c r="X2411" s="62" t="s">
        <v>30848</v>
      </c>
      <c r="Y2411" s="62" t="s">
        <v>30849</v>
      </c>
      <c r="Z2411" s="62" t="s">
        <v>30850</v>
      </c>
      <c r="AA2411" s="62" t="s">
        <v>49592</v>
      </c>
      <c r="AB2411" s="62" t="s">
        <v>30851</v>
      </c>
      <c r="AC2411" s="62" t="s">
        <v>30852</v>
      </c>
      <c r="AD2411" s="62" t="s">
        <v>30853</v>
      </c>
    </row>
    <row r="2412" spans="1:30" x14ac:dyDescent="0.25">
      <c r="A2412" s="62" t="s">
        <v>109</v>
      </c>
      <c r="C2412" s="62" t="s">
        <v>30854</v>
      </c>
      <c r="F2412" s="62" t="s">
        <v>1012</v>
      </c>
      <c r="G2412" s="62" t="s">
        <v>49525</v>
      </c>
      <c r="J2412" s="62" t="s">
        <v>30855</v>
      </c>
      <c r="K2412" s="62" t="s">
        <v>49542</v>
      </c>
      <c r="L2412" s="62" t="s">
        <v>30856</v>
      </c>
      <c r="M2412" s="62" t="s">
        <v>30857</v>
      </c>
      <c r="N2412" s="62" t="s">
        <v>30858</v>
      </c>
      <c r="O2412" s="62" t="s">
        <v>30859</v>
      </c>
      <c r="P2412" s="62" t="s">
        <v>49559</v>
      </c>
      <c r="Q2412" s="62" t="s">
        <v>30860</v>
      </c>
      <c r="R2412" s="62" t="s">
        <v>30861</v>
      </c>
      <c r="S2412" s="62" t="s">
        <v>30862</v>
      </c>
      <c r="U2412" s="62" t="s">
        <v>30863</v>
      </c>
      <c r="V2412" s="62" t="s">
        <v>49576</v>
      </c>
      <c r="W2412" s="62" t="s">
        <v>30864</v>
      </c>
      <c r="X2412" s="62" t="s">
        <v>30865</v>
      </c>
      <c r="Y2412" s="62" t="s">
        <v>30866</v>
      </c>
      <c r="Z2412" s="62" t="s">
        <v>30867</v>
      </c>
      <c r="AA2412" s="62" t="s">
        <v>49593</v>
      </c>
      <c r="AB2412" s="62" t="s">
        <v>30868</v>
      </c>
      <c r="AC2412" s="62" t="s">
        <v>30869</v>
      </c>
      <c r="AD2412" s="62" t="s">
        <v>30870</v>
      </c>
    </row>
    <row r="2413" spans="1:30" x14ac:dyDescent="0.25">
      <c r="A2413" s="62" t="s">
        <v>109</v>
      </c>
      <c r="C2413" s="62" t="s">
        <v>30871</v>
      </c>
      <c r="F2413" s="62" t="s">
        <v>1100</v>
      </c>
      <c r="G2413" s="62" t="s">
        <v>49526</v>
      </c>
      <c r="J2413" s="62" t="s">
        <v>30872</v>
      </c>
      <c r="K2413" s="62" t="s">
        <v>49543</v>
      </c>
      <c r="L2413" s="62" t="s">
        <v>30873</v>
      </c>
      <c r="M2413" s="62" t="s">
        <v>30874</v>
      </c>
      <c r="N2413" s="62" t="s">
        <v>30875</v>
      </c>
      <c r="O2413" s="62" t="s">
        <v>30876</v>
      </c>
      <c r="P2413" s="62" t="s">
        <v>49560</v>
      </c>
      <c r="Q2413" s="62" t="s">
        <v>30877</v>
      </c>
      <c r="R2413" s="62" t="s">
        <v>30878</v>
      </c>
      <c r="S2413" s="62" t="s">
        <v>30879</v>
      </c>
      <c r="U2413" s="62" t="s">
        <v>30880</v>
      </c>
      <c r="V2413" s="62" t="s">
        <v>49577</v>
      </c>
      <c r="W2413" s="62" t="s">
        <v>30881</v>
      </c>
      <c r="X2413" s="62" t="s">
        <v>30882</v>
      </c>
      <c r="Y2413" s="62" t="s">
        <v>30883</v>
      </c>
      <c r="Z2413" s="62" t="s">
        <v>30884</v>
      </c>
      <c r="AA2413" s="62" t="s">
        <v>49594</v>
      </c>
      <c r="AB2413" s="62" t="s">
        <v>30885</v>
      </c>
      <c r="AC2413" s="62" t="s">
        <v>30886</v>
      </c>
      <c r="AD2413" s="62" t="s">
        <v>30887</v>
      </c>
    </row>
    <row r="2414" spans="1:30" x14ac:dyDescent="0.25">
      <c r="A2414" s="62" t="s">
        <v>109</v>
      </c>
      <c r="C2414" s="62" t="s">
        <v>30888</v>
      </c>
      <c r="F2414" s="62" t="s">
        <v>15081</v>
      </c>
      <c r="G2414" s="62" t="s">
        <v>49527</v>
      </c>
      <c r="J2414" s="62" t="s">
        <v>30889</v>
      </c>
      <c r="K2414" s="62" t="s">
        <v>49544</v>
      </c>
      <c r="L2414" s="62" t="s">
        <v>30890</v>
      </c>
      <c r="M2414" s="62" t="s">
        <v>30891</v>
      </c>
      <c r="N2414" s="62" t="s">
        <v>30892</v>
      </c>
      <c r="O2414" s="62" t="s">
        <v>30893</v>
      </c>
      <c r="P2414" s="62" t="s">
        <v>49561</v>
      </c>
      <c r="Q2414" s="62" t="s">
        <v>30894</v>
      </c>
      <c r="R2414" s="62" t="s">
        <v>30895</v>
      </c>
      <c r="S2414" s="62" t="s">
        <v>30896</v>
      </c>
      <c r="U2414" s="62" t="s">
        <v>30897</v>
      </c>
      <c r="V2414" s="62" t="s">
        <v>49578</v>
      </c>
      <c r="W2414" s="62" t="s">
        <v>30898</v>
      </c>
      <c r="X2414" s="62" t="s">
        <v>30899</v>
      </c>
      <c r="Y2414" s="62" t="s">
        <v>30900</v>
      </c>
      <c r="Z2414" s="62" t="s">
        <v>30901</v>
      </c>
      <c r="AA2414" s="62" t="s">
        <v>49595</v>
      </c>
      <c r="AB2414" s="62" t="s">
        <v>30902</v>
      </c>
      <c r="AC2414" s="62" t="s">
        <v>30903</v>
      </c>
      <c r="AD2414" s="62" t="s">
        <v>30904</v>
      </c>
    </row>
    <row r="2415" spans="1:30" x14ac:dyDescent="0.25">
      <c r="A2415" s="62" t="s">
        <v>109</v>
      </c>
      <c r="C2415" s="62" t="s">
        <v>30905</v>
      </c>
      <c r="F2415" s="62" t="s">
        <v>10577</v>
      </c>
      <c r="G2415" s="62" t="s">
        <v>49528</v>
      </c>
      <c r="J2415" s="62" t="s">
        <v>30906</v>
      </c>
      <c r="K2415" s="62" t="s">
        <v>49545</v>
      </c>
      <c r="L2415" s="62" t="s">
        <v>30907</v>
      </c>
      <c r="M2415" s="62" t="s">
        <v>30908</v>
      </c>
      <c r="N2415" s="62" t="s">
        <v>30909</v>
      </c>
      <c r="O2415" s="62" t="s">
        <v>30910</v>
      </c>
      <c r="P2415" s="62" t="s">
        <v>49562</v>
      </c>
      <c r="Q2415" s="62" t="s">
        <v>30911</v>
      </c>
      <c r="R2415" s="62" t="s">
        <v>30912</v>
      </c>
      <c r="S2415" s="62" t="s">
        <v>30913</v>
      </c>
      <c r="U2415" s="62" t="s">
        <v>30914</v>
      </c>
      <c r="V2415" s="62" t="s">
        <v>49579</v>
      </c>
      <c r="W2415" s="62" t="s">
        <v>30915</v>
      </c>
      <c r="X2415" s="62" t="s">
        <v>30916</v>
      </c>
      <c r="Y2415" s="62" t="s">
        <v>30917</v>
      </c>
      <c r="Z2415" s="62" t="s">
        <v>30918</v>
      </c>
      <c r="AA2415" s="62" t="s">
        <v>49596</v>
      </c>
      <c r="AB2415" s="62" t="s">
        <v>30919</v>
      </c>
      <c r="AC2415" s="62" t="s">
        <v>30920</v>
      </c>
      <c r="AD2415" s="62" t="s">
        <v>30921</v>
      </c>
    </row>
    <row r="2416" spans="1:30" x14ac:dyDescent="0.25">
      <c r="A2416" s="62" t="s">
        <v>109</v>
      </c>
      <c r="C2416" s="62" t="s">
        <v>30922</v>
      </c>
      <c r="F2416" s="62" t="s">
        <v>10667</v>
      </c>
      <c r="G2416" s="62" t="s">
        <v>49529</v>
      </c>
      <c r="J2416" s="62" t="s">
        <v>30923</v>
      </c>
      <c r="K2416" s="62" t="s">
        <v>49546</v>
      </c>
      <c r="L2416" s="62" t="s">
        <v>30924</v>
      </c>
      <c r="M2416" s="62" t="s">
        <v>30925</v>
      </c>
      <c r="N2416" s="62" t="s">
        <v>30926</v>
      </c>
      <c r="O2416" s="62" t="s">
        <v>30927</v>
      </c>
      <c r="P2416" s="62" t="s">
        <v>49563</v>
      </c>
      <c r="Q2416" s="62" t="s">
        <v>30928</v>
      </c>
      <c r="R2416" s="62" t="s">
        <v>30929</v>
      </c>
      <c r="S2416" s="62" t="s">
        <v>30930</v>
      </c>
      <c r="U2416" s="62" t="s">
        <v>30931</v>
      </c>
      <c r="V2416" s="62" t="s">
        <v>49580</v>
      </c>
      <c r="W2416" s="62" t="s">
        <v>30932</v>
      </c>
      <c r="X2416" s="62" t="s">
        <v>30933</v>
      </c>
      <c r="Y2416" s="62" t="s">
        <v>30934</v>
      </c>
      <c r="Z2416" s="62" t="s">
        <v>30935</v>
      </c>
      <c r="AA2416" s="62" t="s">
        <v>49597</v>
      </c>
      <c r="AB2416" s="62" t="s">
        <v>30936</v>
      </c>
      <c r="AC2416" s="62" t="s">
        <v>30937</v>
      </c>
      <c r="AD2416" s="62" t="s">
        <v>30938</v>
      </c>
    </row>
    <row r="2417" spans="1:30" x14ac:dyDescent="0.25">
      <c r="A2417" s="62" t="s">
        <v>109</v>
      </c>
      <c r="C2417" s="62" t="s">
        <v>30939</v>
      </c>
      <c r="F2417" s="62" t="s">
        <v>10739</v>
      </c>
      <c r="G2417" s="62" t="s">
        <v>49530</v>
      </c>
      <c r="J2417" s="62" t="s">
        <v>30940</v>
      </c>
      <c r="K2417" s="62" t="s">
        <v>49547</v>
      </c>
      <c r="L2417" s="62" t="s">
        <v>30941</v>
      </c>
      <c r="M2417" s="62" t="s">
        <v>30942</v>
      </c>
      <c r="N2417" s="62" t="s">
        <v>30943</v>
      </c>
      <c r="O2417" s="62" t="s">
        <v>30944</v>
      </c>
      <c r="P2417" s="62" t="s">
        <v>49564</v>
      </c>
      <c r="Q2417" s="62" t="s">
        <v>30945</v>
      </c>
      <c r="R2417" s="62" t="s">
        <v>30946</v>
      </c>
      <c r="S2417" s="62" t="s">
        <v>30947</v>
      </c>
      <c r="U2417" s="62" t="s">
        <v>30948</v>
      </c>
      <c r="V2417" s="62" t="s">
        <v>49581</v>
      </c>
      <c r="W2417" s="62" t="s">
        <v>30949</v>
      </c>
      <c r="X2417" s="62" t="s">
        <v>30950</v>
      </c>
      <c r="Y2417" s="62" t="s">
        <v>30951</v>
      </c>
      <c r="Z2417" s="62" t="s">
        <v>30952</v>
      </c>
      <c r="AA2417" s="62" t="s">
        <v>49598</v>
      </c>
      <c r="AB2417" s="62" t="s">
        <v>30953</v>
      </c>
      <c r="AC2417" s="62" t="s">
        <v>30954</v>
      </c>
      <c r="AD2417" s="62" t="s">
        <v>30955</v>
      </c>
    </row>
    <row r="2418" spans="1:30" x14ac:dyDescent="0.25">
      <c r="A2418" s="62" t="s">
        <v>109</v>
      </c>
      <c r="C2418" s="62" t="s">
        <v>30956</v>
      </c>
      <c r="F2418" s="62" t="s">
        <v>13202</v>
      </c>
      <c r="G2418" s="62" t="s">
        <v>49531</v>
      </c>
      <c r="J2418" s="62" t="s">
        <v>30957</v>
      </c>
      <c r="K2418" s="62" t="s">
        <v>49548</v>
      </c>
      <c r="L2418" s="62" t="s">
        <v>30958</v>
      </c>
      <c r="M2418" s="62" t="s">
        <v>30959</v>
      </c>
      <c r="N2418" s="62" t="s">
        <v>30960</v>
      </c>
      <c r="O2418" s="62" t="s">
        <v>30961</v>
      </c>
      <c r="P2418" s="62" t="s">
        <v>49565</v>
      </c>
      <c r="Q2418" s="62" t="s">
        <v>30962</v>
      </c>
      <c r="R2418" s="62" t="s">
        <v>30963</v>
      </c>
      <c r="S2418" s="62" t="s">
        <v>30964</v>
      </c>
      <c r="U2418" s="62" t="s">
        <v>30965</v>
      </c>
      <c r="V2418" s="62" t="s">
        <v>49582</v>
      </c>
      <c r="W2418" s="62" t="s">
        <v>30966</v>
      </c>
      <c r="X2418" s="62" t="s">
        <v>30967</v>
      </c>
      <c r="Y2418" s="62" t="s">
        <v>30968</v>
      </c>
      <c r="Z2418" s="62" t="s">
        <v>30969</v>
      </c>
      <c r="AA2418" s="62" t="s">
        <v>49599</v>
      </c>
      <c r="AB2418" s="62" t="s">
        <v>30970</v>
      </c>
      <c r="AC2418" s="62" t="s">
        <v>30971</v>
      </c>
      <c r="AD2418" s="62" t="s">
        <v>30972</v>
      </c>
    </row>
    <row r="2419" spans="1:30" x14ac:dyDescent="0.25">
      <c r="A2419" s="62" t="s">
        <v>109</v>
      </c>
      <c r="C2419" s="62" t="s">
        <v>30973</v>
      </c>
      <c r="F2419" s="62" t="s">
        <v>10949</v>
      </c>
      <c r="G2419" s="62" t="s">
        <v>49532</v>
      </c>
      <c r="J2419" s="62" t="s">
        <v>30974</v>
      </c>
      <c r="K2419" s="62" t="s">
        <v>49549</v>
      </c>
      <c r="L2419" s="62" t="s">
        <v>30975</v>
      </c>
      <c r="M2419" s="62" t="s">
        <v>30976</v>
      </c>
      <c r="N2419" s="62" t="s">
        <v>30977</v>
      </c>
      <c r="O2419" s="62" t="s">
        <v>30978</v>
      </c>
      <c r="P2419" s="62" t="s">
        <v>49566</v>
      </c>
      <c r="Q2419" s="62" t="s">
        <v>30979</v>
      </c>
      <c r="R2419" s="62" t="s">
        <v>30980</v>
      </c>
      <c r="S2419" s="62" t="s">
        <v>30981</v>
      </c>
      <c r="U2419" s="62" t="s">
        <v>30982</v>
      </c>
      <c r="V2419" s="62" t="s">
        <v>49583</v>
      </c>
      <c r="W2419" s="62" t="s">
        <v>30983</v>
      </c>
      <c r="X2419" s="62" t="s">
        <v>30984</v>
      </c>
      <c r="Y2419" s="62" t="s">
        <v>30985</v>
      </c>
      <c r="Z2419" s="62" t="s">
        <v>30986</v>
      </c>
      <c r="AA2419" s="62" t="s">
        <v>49600</v>
      </c>
      <c r="AB2419" s="62" t="s">
        <v>30987</v>
      </c>
      <c r="AC2419" s="62" t="s">
        <v>30988</v>
      </c>
      <c r="AD2419" s="62" t="s">
        <v>30989</v>
      </c>
    </row>
    <row r="2420" spans="1:30" x14ac:dyDescent="0.25">
      <c r="A2420" s="62" t="s">
        <v>109</v>
      </c>
      <c r="C2420" s="62" t="s">
        <v>30990</v>
      </c>
      <c r="F2420" s="62" t="s">
        <v>31927</v>
      </c>
      <c r="G2420" s="62" t="s">
        <v>49533</v>
      </c>
      <c r="J2420" s="62" t="s">
        <v>30991</v>
      </c>
      <c r="K2420" s="62" t="s">
        <v>49550</v>
      </c>
      <c r="L2420" s="62" t="s">
        <v>30992</v>
      </c>
      <c r="M2420" s="62" t="s">
        <v>30993</v>
      </c>
      <c r="N2420" s="62" t="s">
        <v>30994</v>
      </c>
      <c r="O2420" s="62" t="s">
        <v>30995</v>
      </c>
      <c r="P2420" s="62" t="s">
        <v>49567</v>
      </c>
      <c r="Q2420" s="62" t="s">
        <v>30996</v>
      </c>
      <c r="R2420" s="62" t="s">
        <v>30997</v>
      </c>
      <c r="S2420" s="62" t="s">
        <v>30998</v>
      </c>
      <c r="U2420" s="62" t="s">
        <v>30999</v>
      </c>
      <c r="V2420" s="62" t="s">
        <v>49584</v>
      </c>
      <c r="W2420" s="62" t="s">
        <v>31000</v>
      </c>
      <c r="X2420" s="62" t="s">
        <v>31001</v>
      </c>
      <c r="Y2420" s="62" t="s">
        <v>31002</v>
      </c>
      <c r="Z2420" s="62" t="s">
        <v>31003</v>
      </c>
      <c r="AA2420" s="62" t="s">
        <v>49601</v>
      </c>
      <c r="AB2420" s="62" t="s">
        <v>31004</v>
      </c>
      <c r="AC2420" s="62" t="s">
        <v>31005</v>
      </c>
      <c r="AD2420" s="62" t="s">
        <v>31006</v>
      </c>
    </row>
    <row r="2421" spans="1:30" x14ac:dyDescent="0.25">
      <c r="A2421" s="62" t="s">
        <v>109</v>
      </c>
      <c r="C2421" s="62" t="s">
        <v>31007</v>
      </c>
      <c r="F2421" s="62" t="s">
        <v>24015</v>
      </c>
      <c r="G2421" s="62" t="s">
        <v>49534</v>
      </c>
      <c r="J2421" s="62" t="s">
        <v>31008</v>
      </c>
      <c r="K2421" s="62" t="s">
        <v>49551</v>
      </c>
      <c r="L2421" s="62" t="s">
        <v>31009</v>
      </c>
      <c r="M2421" s="62" t="s">
        <v>31010</v>
      </c>
      <c r="N2421" s="62" t="s">
        <v>31011</v>
      </c>
      <c r="O2421" s="62" t="s">
        <v>31012</v>
      </c>
      <c r="P2421" s="62" t="s">
        <v>49568</v>
      </c>
      <c r="Q2421" s="62" t="s">
        <v>31013</v>
      </c>
      <c r="R2421" s="62" t="s">
        <v>31014</v>
      </c>
      <c r="S2421" s="62" t="s">
        <v>31015</v>
      </c>
      <c r="U2421" s="62" t="s">
        <v>31016</v>
      </c>
      <c r="V2421" s="62" t="s">
        <v>49585</v>
      </c>
      <c r="W2421" s="62" t="s">
        <v>31017</v>
      </c>
      <c r="X2421" s="62" t="s">
        <v>31018</v>
      </c>
      <c r="Y2421" s="62" t="s">
        <v>31019</v>
      </c>
      <c r="Z2421" s="62" t="s">
        <v>31020</v>
      </c>
      <c r="AA2421" s="62" t="s">
        <v>49602</v>
      </c>
      <c r="AB2421" s="62" t="s">
        <v>31021</v>
      </c>
      <c r="AC2421" s="62" t="s">
        <v>31022</v>
      </c>
      <c r="AD2421" s="62" t="s">
        <v>31023</v>
      </c>
    </row>
    <row r="2422" spans="1:30" x14ac:dyDescent="0.25">
      <c r="A2422" s="62" t="s">
        <v>109</v>
      </c>
      <c r="C2422" s="62" t="s">
        <v>31024</v>
      </c>
      <c r="F2422" s="62" t="s">
        <v>39688</v>
      </c>
      <c r="G2422" s="62" t="s">
        <v>49535</v>
      </c>
      <c r="J2422" s="62" t="s">
        <v>31026</v>
      </c>
      <c r="K2422" s="62" t="s">
        <v>49552</v>
      </c>
      <c r="L2422" s="62" t="s">
        <v>31027</v>
      </c>
      <c r="M2422" s="62" t="s">
        <v>31028</v>
      </c>
      <c r="N2422" s="62" t="s">
        <v>31029</v>
      </c>
      <c r="O2422" s="62" t="s">
        <v>31030</v>
      </c>
      <c r="P2422" s="62" t="s">
        <v>49569</v>
      </c>
      <c r="Q2422" s="62" t="s">
        <v>31031</v>
      </c>
      <c r="R2422" s="62" t="s">
        <v>31032</v>
      </c>
      <c r="S2422" s="62" t="s">
        <v>31033</v>
      </c>
      <c r="U2422" s="62" t="s">
        <v>31034</v>
      </c>
      <c r="V2422" s="62" t="s">
        <v>49586</v>
      </c>
      <c r="W2422" s="62" t="s">
        <v>31035</v>
      </c>
      <c r="X2422" s="62" t="s">
        <v>31036</v>
      </c>
      <c r="Y2422" s="62" t="s">
        <v>31037</v>
      </c>
      <c r="Z2422" s="62" t="s">
        <v>31038</v>
      </c>
      <c r="AA2422" s="62" t="s">
        <v>49603</v>
      </c>
      <c r="AB2422" s="62" t="s">
        <v>31039</v>
      </c>
      <c r="AC2422" s="62" t="s">
        <v>31040</v>
      </c>
      <c r="AD2422" s="62" t="s">
        <v>31041</v>
      </c>
    </row>
    <row r="2423" spans="1:30" x14ac:dyDescent="0.25">
      <c r="A2423" s="62" t="s">
        <v>109</v>
      </c>
      <c r="C2423" s="62" t="s">
        <v>31042</v>
      </c>
      <c r="F2423" s="62" t="s">
        <v>22289</v>
      </c>
      <c r="G2423" s="62" t="s">
        <v>49536</v>
      </c>
      <c r="J2423" s="62" t="s">
        <v>31044</v>
      </c>
      <c r="K2423" s="62" t="s">
        <v>49553</v>
      </c>
      <c r="L2423" s="62" t="s">
        <v>31045</v>
      </c>
      <c r="M2423" s="62" t="s">
        <v>31046</v>
      </c>
      <c r="N2423" s="62" t="s">
        <v>31047</v>
      </c>
      <c r="O2423" s="62" t="s">
        <v>31048</v>
      </c>
      <c r="P2423" s="62" t="s">
        <v>49570</v>
      </c>
      <c r="Q2423" s="62" t="s">
        <v>31049</v>
      </c>
      <c r="R2423" s="62" t="s">
        <v>31050</v>
      </c>
      <c r="S2423" s="62" t="s">
        <v>31051</v>
      </c>
      <c r="U2423" s="62" t="s">
        <v>31052</v>
      </c>
      <c r="V2423" s="62" t="s">
        <v>49587</v>
      </c>
      <c r="W2423" s="62" t="s">
        <v>31053</v>
      </c>
      <c r="X2423" s="62" t="s">
        <v>31054</v>
      </c>
      <c r="Y2423" s="62" t="s">
        <v>31055</v>
      </c>
      <c r="Z2423" s="62" t="s">
        <v>31056</v>
      </c>
      <c r="AA2423" s="62" t="s">
        <v>49604</v>
      </c>
      <c r="AB2423" s="62" t="s">
        <v>31057</v>
      </c>
      <c r="AC2423" s="62" t="s">
        <v>31058</v>
      </c>
      <c r="AD2423" s="62" t="s">
        <v>31059</v>
      </c>
    </row>
    <row r="2424" spans="1:30" x14ac:dyDescent="0.25">
      <c r="A2424" s="62" t="s">
        <v>109</v>
      </c>
      <c r="C2424" s="62" t="s">
        <v>31060</v>
      </c>
      <c r="F2424" s="62" t="s">
        <v>22307</v>
      </c>
      <c r="G2424" s="62" t="s">
        <v>49537</v>
      </c>
      <c r="J2424" s="62" t="s">
        <v>31061</v>
      </c>
      <c r="K2424" s="62" t="s">
        <v>49554</v>
      </c>
      <c r="L2424" s="62" t="s">
        <v>31062</v>
      </c>
      <c r="M2424" s="62" t="s">
        <v>31063</v>
      </c>
      <c r="N2424" s="62" t="s">
        <v>31064</v>
      </c>
      <c r="O2424" s="62" t="s">
        <v>31065</v>
      </c>
      <c r="P2424" s="62" t="s">
        <v>49571</v>
      </c>
      <c r="Q2424" s="62" t="s">
        <v>31066</v>
      </c>
      <c r="R2424" s="62" t="s">
        <v>31067</v>
      </c>
      <c r="S2424" s="62" t="s">
        <v>31068</v>
      </c>
      <c r="U2424" s="62" t="s">
        <v>31069</v>
      </c>
      <c r="V2424" s="62" t="s">
        <v>49588</v>
      </c>
      <c r="W2424" s="62" t="s">
        <v>31070</v>
      </c>
      <c r="X2424" s="62" t="s">
        <v>31071</v>
      </c>
      <c r="Y2424" s="62" t="s">
        <v>31072</v>
      </c>
      <c r="Z2424" s="62" t="s">
        <v>31073</v>
      </c>
      <c r="AA2424" s="62" t="s">
        <v>49605</v>
      </c>
      <c r="AB2424" s="62" t="s">
        <v>31074</v>
      </c>
      <c r="AC2424" s="62" t="s">
        <v>31075</v>
      </c>
      <c r="AD2424" s="62" t="s">
        <v>31076</v>
      </c>
    </row>
    <row r="2425" spans="1:30" x14ac:dyDescent="0.25">
      <c r="A2425" s="62" t="s">
        <v>109</v>
      </c>
      <c r="C2425" s="62" t="s">
        <v>31077</v>
      </c>
      <c r="F2425" s="62" t="s">
        <v>10963</v>
      </c>
      <c r="G2425" s="62" t="s">
        <v>49538</v>
      </c>
      <c r="J2425" s="62" t="s">
        <v>31078</v>
      </c>
      <c r="K2425" s="62" t="s">
        <v>49555</v>
      </c>
      <c r="L2425" s="62" t="s">
        <v>31079</v>
      </c>
      <c r="M2425" s="62" t="s">
        <v>31080</v>
      </c>
      <c r="N2425" s="62" t="s">
        <v>31081</v>
      </c>
      <c r="O2425" s="62" t="s">
        <v>31082</v>
      </c>
      <c r="P2425" s="62" t="s">
        <v>49572</v>
      </c>
      <c r="Q2425" s="62" t="s">
        <v>31083</v>
      </c>
      <c r="R2425" s="62" t="s">
        <v>31084</v>
      </c>
      <c r="S2425" s="62" t="s">
        <v>31085</v>
      </c>
      <c r="U2425" s="62" t="s">
        <v>31086</v>
      </c>
      <c r="V2425" s="62" t="s">
        <v>49589</v>
      </c>
      <c r="W2425" s="62" t="s">
        <v>31087</v>
      </c>
      <c r="X2425" s="62" t="s">
        <v>31088</v>
      </c>
      <c r="Y2425" s="62" t="s">
        <v>31089</v>
      </c>
      <c r="Z2425" s="62" t="s">
        <v>31090</v>
      </c>
      <c r="AA2425" s="62" t="s">
        <v>49606</v>
      </c>
      <c r="AB2425" s="62" t="s">
        <v>31091</v>
      </c>
      <c r="AC2425" s="62" t="s">
        <v>31092</v>
      </c>
      <c r="AD2425" s="62" t="s">
        <v>31093</v>
      </c>
    </row>
    <row r="2426" spans="1:30" x14ac:dyDescent="0.25">
      <c r="A2426" s="62" t="s">
        <v>109</v>
      </c>
      <c r="C2426" s="62" t="s">
        <v>30820</v>
      </c>
    </row>
    <row r="2427" spans="1:30" x14ac:dyDescent="0.25">
      <c r="A2427" s="62" t="s">
        <v>109</v>
      </c>
      <c r="C2427" s="62" t="s">
        <v>31094</v>
      </c>
      <c r="G2427" s="62" t="s">
        <v>45188</v>
      </c>
      <c r="J2427" s="62" t="s">
        <v>45189</v>
      </c>
      <c r="K2427" s="62" t="s">
        <v>45190</v>
      </c>
      <c r="L2427" s="62" t="s">
        <v>45191</v>
      </c>
      <c r="M2427" s="62" t="s">
        <v>31095</v>
      </c>
      <c r="N2427" s="62" t="s">
        <v>31096</v>
      </c>
      <c r="O2427" s="62" t="s">
        <v>45192</v>
      </c>
      <c r="P2427" s="62" t="s">
        <v>45193</v>
      </c>
      <c r="Q2427" s="62" t="s">
        <v>45194</v>
      </c>
      <c r="R2427" s="62" t="s">
        <v>31097</v>
      </c>
      <c r="S2427" s="62" t="s">
        <v>31098</v>
      </c>
      <c r="U2427" s="62" t="s">
        <v>45195</v>
      </c>
      <c r="V2427" s="62" t="s">
        <v>45196</v>
      </c>
      <c r="W2427" s="62" t="s">
        <v>45197</v>
      </c>
      <c r="X2427" s="62" t="s">
        <v>31099</v>
      </c>
      <c r="Y2427" s="62" t="s">
        <v>31100</v>
      </c>
      <c r="Z2427" s="62" t="s">
        <v>45198</v>
      </c>
      <c r="AA2427" s="62" t="s">
        <v>45199</v>
      </c>
      <c r="AB2427" s="62" t="s">
        <v>45200</v>
      </c>
      <c r="AC2427" s="62" t="s">
        <v>31101</v>
      </c>
      <c r="AD2427" s="62" t="s">
        <v>31102</v>
      </c>
    </row>
    <row r="2428" spans="1:30" x14ac:dyDescent="0.25">
      <c r="A2428" s="62" t="s">
        <v>109</v>
      </c>
    </row>
    <row r="2429" spans="1:30" x14ac:dyDescent="0.25">
      <c r="A2429" s="62" t="s">
        <v>109</v>
      </c>
      <c r="C2429" s="62" t="s">
        <v>45201</v>
      </c>
      <c r="E2429" s="62" t="s">
        <v>532</v>
      </c>
      <c r="G2429" s="62" t="s">
        <v>45202</v>
      </c>
    </row>
    <row r="2430" spans="1:30" x14ac:dyDescent="0.25">
      <c r="A2430" s="62" t="s">
        <v>109</v>
      </c>
      <c r="C2430" s="62" t="s">
        <v>31103</v>
      </c>
    </row>
    <row r="2431" spans="1:30" x14ac:dyDescent="0.25">
      <c r="A2431" s="62" t="s">
        <v>109</v>
      </c>
      <c r="C2431" s="62" t="s">
        <v>45203</v>
      </c>
      <c r="F2431" s="62" t="s">
        <v>45204</v>
      </c>
      <c r="G2431" s="62" t="s">
        <v>49362</v>
      </c>
      <c r="J2431" s="62" t="s">
        <v>45205</v>
      </c>
      <c r="K2431" s="62" t="s">
        <v>49394</v>
      </c>
      <c r="L2431" s="62" t="s">
        <v>45206</v>
      </c>
      <c r="M2431" s="62" t="s">
        <v>45207</v>
      </c>
      <c r="N2431" s="62" t="s">
        <v>45208</v>
      </c>
      <c r="O2431" s="62" t="s">
        <v>45209</v>
      </c>
      <c r="P2431" s="62" t="s">
        <v>49426</v>
      </c>
      <c r="Q2431" s="62" t="s">
        <v>45210</v>
      </c>
      <c r="R2431" s="62" t="s">
        <v>45211</v>
      </c>
      <c r="S2431" s="62" t="s">
        <v>45212</v>
      </c>
      <c r="U2431" s="62" t="s">
        <v>45213</v>
      </c>
      <c r="V2431" s="62" t="s">
        <v>49458</v>
      </c>
      <c r="W2431" s="62" t="s">
        <v>45214</v>
      </c>
      <c r="X2431" s="62" t="s">
        <v>45215</v>
      </c>
      <c r="Y2431" s="62" t="s">
        <v>45216</v>
      </c>
      <c r="Z2431" s="62" t="s">
        <v>45217</v>
      </c>
      <c r="AA2431" s="62" t="s">
        <v>49490</v>
      </c>
      <c r="AB2431" s="62" t="s">
        <v>45218</v>
      </c>
      <c r="AC2431" s="62" t="s">
        <v>45219</v>
      </c>
      <c r="AD2431" s="62" t="s">
        <v>45220</v>
      </c>
    </row>
    <row r="2432" spans="1:30" x14ac:dyDescent="0.25">
      <c r="A2432" s="62" t="s">
        <v>109</v>
      </c>
      <c r="C2432" s="62" t="s">
        <v>31104</v>
      </c>
      <c r="F2432" s="62" t="s">
        <v>748</v>
      </c>
      <c r="G2432" s="62" t="s">
        <v>49363</v>
      </c>
      <c r="J2432" s="62" t="s">
        <v>45221</v>
      </c>
      <c r="K2432" s="62" t="s">
        <v>49395</v>
      </c>
      <c r="L2432" s="62" t="s">
        <v>45222</v>
      </c>
      <c r="M2432" s="62" t="s">
        <v>31105</v>
      </c>
      <c r="N2432" s="62" t="s">
        <v>31106</v>
      </c>
      <c r="O2432" s="62" t="s">
        <v>45223</v>
      </c>
      <c r="P2432" s="62" t="s">
        <v>49427</v>
      </c>
      <c r="Q2432" s="62" t="s">
        <v>45224</v>
      </c>
      <c r="R2432" s="62" t="s">
        <v>31107</v>
      </c>
      <c r="S2432" s="62" t="s">
        <v>31108</v>
      </c>
      <c r="U2432" s="62" t="s">
        <v>45225</v>
      </c>
      <c r="V2432" s="62" t="s">
        <v>49459</v>
      </c>
      <c r="W2432" s="62" t="s">
        <v>45226</v>
      </c>
      <c r="X2432" s="62" t="s">
        <v>31109</v>
      </c>
      <c r="Y2432" s="62" t="s">
        <v>31110</v>
      </c>
      <c r="Z2432" s="62" t="s">
        <v>45227</v>
      </c>
      <c r="AA2432" s="62" t="s">
        <v>49491</v>
      </c>
      <c r="AB2432" s="62" t="s">
        <v>45228</v>
      </c>
      <c r="AC2432" s="62" t="s">
        <v>31111</v>
      </c>
      <c r="AD2432" s="62" t="s">
        <v>31112</v>
      </c>
    </row>
    <row r="2433" spans="1:30" x14ac:dyDescent="0.25">
      <c r="A2433" s="62" t="s">
        <v>109</v>
      </c>
      <c r="C2433" s="62" t="s">
        <v>45229</v>
      </c>
      <c r="F2433" s="62" t="s">
        <v>758</v>
      </c>
      <c r="G2433" s="62" t="s">
        <v>49364</v>
      </c>
      <c r="J2433" s="62" t="s">
        <v>45230</v>
      </c>
      <c r="K2433" s="62" t="s">
        <v>49396</v>
      </c>
      <c r="L2433" s="62" t="s">
        <v>45231</v>
      </c>
      <c r="M2433" s="62" t="s">
        <v>45232</v>
      </c>
      <c r="N2433" s="62" t="s">
        <v>45233</v>
      </c>
      <c r="O2433" s="62" t="s">
        <v>45234</v>
      </c>
      <c r="P2433" s="62" t="s">
        <v>49428</v>
      </c>
      <c r="Q2433" s="62" t="s">
        <v>45235</v>
      </c>
      <c r="R2433" s="62" t="s">
        <v>45236</v>
      </c>
      <c r="S2433" s="62" t="s">
        <v>45237</v>
      </c>
      <c r="U2433" s="62" t="s">
        <v>45238</v>
      </c>
      <c r="V2433" s="62" t="s">
        <v>49460</v>
      </c>
      <c r="W2433" s="62" t="s">
        <v>45239</v>
      </c>
      <c r="X2433" s="62" t="s">
        <v>45240</v>
      </c>
      <c r="Y2433" s="62" t="s">
        <v>45241</v>
      </c>
      <c r="Z2433" s="62" t="s">
        <v>45242</v>
      </c>
      <c r="AA2433" s="62" t="s">
        <v>49492</v>
      </c>
      <c r="AB2433" s="62" t="s">
        <v>45243</v>
      </c>
      <c r="AC2433" s="62" t="s">
        <v>45244</v>
      </c>
      <c r="AD2433" s="62" t="s">
        <v>45245</v>
      </c>
    </row>
    <row r="2434" spans="1:30" x14ac:dyDescent="0.25">
      <c r="A2434" s="62" t="s">
        <v>109</v>
      </c>
      <c r="C2434" s="62" t="s">
        <v>45246</v>
      </c>
      <c r="F2434" s="62" t="s">
        <v>1359</v>
      </c>
      <c r="G2434" s="62" t="s">
        <v>49365</v>
      </c>
      <c r="J2434" s="62" t="s">
        <v>45247</v>
      </c>
      <c r="K2434" s="62" t="s">
        <v>49397</v>
      </c>
      <c r="L2434" s="62" t="s">
        <v>45248</v>
      </c>
      <c r="M2434" s="62" t="s">
        <v>45249</v>
      </c>
      <c r="N2434" s="62" t="s">
        <v>45250</v>
      </c>
      <c r="O2434" s="62" t="s">
        <v>45251</v>
      </c>
      <c r="P2434" s="62" t="s">
        <v>49429</v>
      </c>
      <c r="Q2434" s="62" t="s">
        <v>45252</v>
      </c>
      <c r="R2434" s="62" t="s">
        <v>45253</v>
      </c>
      <c r="S2434" s="62" t="s">
        <v>45254</v>
      </c>
      <c r="U2434" s="62" t="s">
        <v>45255</v>
      </c>
      <c r="V2434" s="62" t="s">
        <v>49461</v>
      </c>
      <c r="W2434" s="62" t="s">
        <v>45256</v>
      </c>
      <c r="X2434" s="62" t="s">
        <v>45257</v>
      </c>
      <c r="Y2434" s="62" t="s">
        <v>45258</v>
      </c>
      <c r="Z2434" s="62" t="s">
        <v>45259</v>
      </c>
      <c r="AA2434" s="62" t="s">
        <v>49493</v>
      </c>
      <c r="AB2434" s="62" t="s">
        <v>45260</v>
      </c>
      <c r="AC2434" s="62" t="s">
        <v>45261</v>
      </c>
      <c r="AD2434" s="62" t="s">
        <v>45262</v>
      </c>
    </row>
    <row r="2435" spans="1:30" x14ac:dyDescent="0.25">
      <c r="A2435" s="62" t="s">
        <v>109</v>
      </c>
      <c r="C2435" s="62" t="s">
        <v>31113</v>
      </c>
      <c r="F2435" s="62" t="s">
        <v>802</v>
      </c>
      <c r="G2435" s="62" t="s">
        <v>49366</v>
      </c>
      <c r="J2435" s="62" t="s">
        <v>45263</v>
      </c>
      <c r="K2435" s="62" t="s">
        <v>49398</v>
      </c>
      <c r="L2435" s="62" t="s">
        <v>45264</v>
      </c>
      <c r="M2435" s="62" t="s">
        <v>45265</v>
      </c>
      <c r="N2435" s="62" t="s">
        <v>45266</v>
      </c>
      <c r="O2435" s="62" t="s">
        <v>45267</v>
      </c>
      <c r="P2435" s="62" t="s">
        <v>49430</v>
      </c>
      <c r="Q2435" s="62" t="s">
        <v>45268</v>
      </c>
      <c r="R2435" s="62" t="s">
        <v>45269</v>
      </c>
      <c r="S2435" s="62" t="s">
        <v>45270</v>
      </c>
      <c r="U2435" s="62" t="s">
        <v>45271</v>
      </c>
      <c r="V2435" s="62" t="s">
        <v>49462</v>
      </c>
      <c r="W2435" s="62" t="s">
        <v>45272</v>
      </c>
      <c r="X2435" s="62" t="s">
        <v>45273</v>
      </c>
      <c r="Y2435" s="62" t="s">
        <v>45274</v>
      </c>
      <c r="Z2435" s="62" t="s">
        <v>45275</v>
      </c>
      <c r="AA2435" s="62" t="s">
        <v>49494</v>
      </c>
      <c r="AB2435" s="62" t="s">
        <v>45276</v>
      </c>
      <c r="AC2435" s="62" t="s">
        <v>45277</v>
      </c>
      <c r="AD2435" s="62" t="s">
        <v>45278</v>
      </c>
    </row>
    <row r="2436" spans="1:30" x14ac:dyDescent="0.25">
      <c r="A2436" s="62" t="s">
        <v>109</v>
      </c>
      <c r="C2436" s="62" t="s">
        <v>31114</v>
      </c>
      <c r="F2436" s="62" t="s">
        <v>827</v>
      </c>
      <c r="G2436" s="62" t="s">
        <v>49367</v>
      </c>
      <c r="J2436" s="62" t="s">
        <v>31115</v>
      </c>
      <c r="K2436" s="62" t="s">
        <v>49399</v>
      </c>
      <c r="L2436" s="62" t="s">
        <v>31116</v>
      </c>
      <c r="M2436" s="62" t="s">
        <v>31117</v>
      </c>
      <c r="N2436" s="62" t="s">
        <v>31118</v>
      </c>
      <c r="O2436" s="62" t="s">
        <v>31119</v>
      </c>
      <c r="P2436" s="62" t="s">
        <v>49431</v>
      </c>
      <c r="Q2436" s="62" t="s">
        <v>31120</v>
      </c>
      <c r="R2436" s="62" t="s">
        <v>31121</v>
      </c>
      <c r="S2436" s="62" t="s">
        <v>31122</v>
      </c>
      <c r="U2436" s="62" t="s">
        <v>31123</v>
      </c>
      <c r="V2436" s="62" t="s">
        <v>49463</v>
      </c>
      <c r="W2436" s="62" t="s">
        <v>31124</v>
      </c>
      <c r="X2436" s="62" t="s">
        <v>31125</v>
      </c>
      <c r="Y2436" s="62" t="s">
        <v>31126</v>
      </c>
      <c r="Z2436" s="62" t="s">
        <v>31127</v>
      </c>
      <c r="AA2436" s="62" t="s">
        <v>49495</v>
      </c>
      <c r="AB2436" s="62" t="s">
        <v>31128</v>
      </c>
      <c r="AC2436" s="62" t="s">
        <v>31129</v>
      </c>
      <c r="AD2436" s="62" t="s">
        <v>31130</v>
      </c>
    </row>
    <row r="2437" spans="1:30" x14ac:dyDescent="0.25">
      <c r="A2437" s="62" t="s">
        <v>109</v>
      </c>
      <c r="C2437" s="62" t="s">
        <v>31131</v>
      </c>
      <c r="F2437" s="62" t="s">
        <v>837</v>
      </c>
      <c r="G2437" s="62" t="s">
        <v>49368</v>
      </c>
      <c r="J2437" s="62" t="s">
        <v>31132</v>
      </c>
      <c r="K2437" s="62" t="s">
        <v>49400</v>
      </c>
      <c r="L2437" s="62" t="s">
        <v>31133</v>
      </c>
      <c r="M2437" s="62" t="s">
        <v>31134</v>
      </c>
      <c r="N2437" s="62" t="s">
        <v>31135</v>
      </c>
      <c r="O2437" s="62" t="s">
        <v>31136</v>
      </c>
      <c r="P2437" s="62" t="s">
        <v>49432</v>
      </c>
      <c r="Q2437" s="62" t="s">
        <v>31137</v>
      </c>
      <c r="R2437" s="62" t="s">
        <v>31138</v>
      </c>
      <c r="S2437" s="62" t="s">
        <v>31139</v>
      </c>
      <c r="U2437" s="62" t="s">
        <v>31140</v>
      </c>
      <c r="V2437" s="62" t="s">
        <v>49464</v>
      </c>
      <c r="W2437" s="62" t="s">
        <v>31141</v>
      </c>
      <c r="X2437" s="62" t="s">
        <v>31142</v>
      </c>
      <c r="Y2437" s="62" t="s">
        <v>31143</v>
      </c>
      <c r="Z2437" s="62" t="s">
        <v>31144</v>
      </c>
      <c r="AA2437" s="62" t="s">
        <v>49496</v>
      </c>
      <c r="AB2437" s="62" t="s">
        <v>31145</v>
      </c>
      <c r="AC2437" s="62" t="s">
        <v>31146</v>
      </c>
      <c r="AD2437" s="62" t="s">
        <v>31147</v>
      </c>
    </row>
    <row r="2438" spans="1:30" x14ac:dyDescent="0.25">
      <c r="A2438" s="62" t="s">
        <v>109</v>
      </c>
      <c r="C2438" s="62" t="s">
        <v>31148</v>
      </c>
      <c r="F2438" s="62" t="s">
        <v>872</v>
      </c>
      <c r="G2438" s="62" t="s">
        <v>49369</v>
      </c>
      <c r="J2438" s="62" t="s">
        <v>31149</v>
      </c>
      <c r="K2438" s="62" t="s">
        <v>49401</v>
      </c>
      <c r="L2438" s="62" t="s">
        <v>31150</v>
      </c>
      <c r="M2438" s="62" t="s">
        <v>31151</v>
      </c>
      <c r="N2438" s="62" t="s">
        <v>31152</v>
      </c>
      <c r="O2438" s="62" t="s">
        <v>31153</v>
      </c>
      <c r="P2438" s="62" t="s">
        <v>49433</v>
      </c>
      <c r="Q2438" s="62" t="s">
        <v>31154</v>
      </c>
      <c r="R2438" s="62" t="s">
        <v>31155</v>
      </c>
      <c r="S2438" s="62" t="s">
        <v>31156</v>
      </c>
      <c r="U2438" s="62" t="s">
        <v>31157</v>
      </c>
      <c r="V2438" s="62" t="s">
        <v>49465</v>
      </c>
      <c r="W2438" s="62" t="s">
        <v>31158</v>
      </c>
      <c r="X2438" s="62" t="s">
        <v>31159</v>
      </c>
      <c r="Y2438" s="62" t="s">
        <v>31160</v>
      </c>
      <c r="Z2438" s="62" t="s">
        <v>31161</v>
      </c>
      <c r="AA2438" s="62" t="s">
        <v>49497</v>
      </c>
      <c r="AB2438" s="62" t="s">
        <v>31162</v>
      </c>
      <c r="AC2438" s="62" t="s">
        <v>31163</v>
      </c>
      <c r="AD2438" s="62" t="s">
        <v>31164</v>
      </c>
    </row>
    <row r="2439" spans="1:30" x14ac:dyDescent="0.25">
      <c r="A2439" s="62" t="s">
        <v>109</v>
      </c>
      <c r="C2439" s="62" t="s">
        <v>31165</v>
      </c>
      <c r="F2439" s="62" t="s">
        <v>889</v>
      </c>
      <c r="G2439" s="62" t="s">
        <v>49370</v>
      </c>
      <c r="J2439" s="62" t="s">
        <v>31166</v>
      </c>
      <c r="K2439" s="62" t="s">
        <v>49402</v>
      </c>
      <c r="L2439" s="62" t="s">
        <v>31167</v>
      </c>
      <c r="M2439" s="62" t="s">
        <v>31168</v>
      </c>
      <c r="N2439" s="62" t="s">
        <v>31169</v>
      </c>
      <c r="O2439" s="62" t="s">
        <v>31170</v>
      </c>
      <c r="P2439" s="62" t="s">
        <v>49434</v>
      </c>
      <c r="Q2439" s="62" t="s">
        <v>31171</v>
      </c>
      <c r="R2439" s="62" t="s">
        <v>31172</v>
      </c>
      <c r="S2439" s="62" t="s">
        <v>31173</v>
      </c>
      <c r="U2439" s="62" t="s">
        <v>31174</v>
      </c>
      <c r="V2439" s="62" t="s">
        <v>49466</v>
      </c>
      <c r="W2439" s="62" t="s">
        <v>31175</v>
      </c>
      <c r="X2439" s="62" t="s">
        <v>31176</v>
      </c>
      <c r="Y2439" s="62" t="s">
        <v>31177</v>
      </c>
      <c r="Z2439" s="62" t="s">
        <v>31178</v>
      </c>
      <c r="AA2439" s="62" t="s">
        <v>49498</v>
      </c>
      <c r="AB2439" s="62" t="s">
        <v>31179</v>
      </c>
      <c r="AC2439" s="62" t="s">
        <v>31180</v>
      </c>
      <c r="AD2439" s="62" t="s">
        <v>31181</v>
      </c>
    </row>
    <row r="2440" spans="1:30" x14ac:dyDescent="0.25">
      <c r="A2440" s="62" t="s">
        <v>109</v>
      </c>
      <c r="C2440" s="62" t="s">
        <v>31182</v>
      </c>
      <c r="F2440" s="62" t="s">
        <v>898</v>
      </c>
      <c r="G2440" s="62" t="s">
        <v>49371</v>
      </c>
      <c r="J2440" s="62" t="s">
        <v>31183</v>
      </c>
      <c r="K2440" s="62" t="s">
        <v>49403</v>
      </c>
      <c r="L2440" s="62" t="s">
        <v>31184</v>
      </c>
      <c r="M2440" s="62" t="s">
        <v>31185</v>
      </c>
      <c r="N2440" s="62" t="s">
        <v>31186</v>
      </c>
      <c r="O2440" s="62" t="s">
        <v>31187</v>
      </c>
      <c r="P2440" s="62" t="s">
        <v>49435</v>
      </c>
      <c r="Q2440" s="62" t="s">
        <v>31188</v>
      </c>
      <c r="R2440" s="62" t="s">
        <v>31189</v>
      </c>
      <c r="S2440" s="62" t="s">
        <v>31190</v>
      </c>
      <c r="U2440" s="62" t="s">
        <v>31191</v>
      </c>
      <c r="V2440" s="62" t="s">
        <v>49467</v>
      </c>
      <c r="W2440" s="62" t="s">
        <v>31192</v>
      </c>
      <c r="X2440" s="62" t="s">
        <v>31193</v>
      </c>
      <c r="Y2440" s="62" t="s">
        <v>31194</v>
      </c>
      <c r="Z2440" s="62" t="s">
        <v>31195</v>
      </c>
      <c r="AA2440" s="62" t="s">
        <v>49499</v>
      </c>
      <c r="AB2440" s="62" t="s">
        <v>31196</v>
      </c>
      <c r="AC2440" s="62" t="s">
        <v>31197</v>
      </c>
      <c r="AD2440" s="62" t="s">
        <v>31198</v>
      </c>
    </row>
    <row r="2441" spans="1:30" x14ac:dyDescent="0.25">
      <c r="A2441" s="62" t="s">
        <v>109</v>
      </c>
      <c r="C2441" s="62" t="s">
        <v>31199</v>
      </c>
      <c r="F2441" s="62" t="s">
        <v>915</v>
      </c>
      <c r="G2441" s="62" t="s">
        <v>49372</v>
      </c>
      <c r="J2441" s="62" t="s">
        <v>31200</v>
      </c>
      <c r="K2441" s="62" t="s">
        <v>49404</v>
      </c>
      <c r="L2441" s="62" t="s">
        <v>31201</v>
      </c>
      <c r="M2441" s="62" t="s">
        <v>31202</v>
      </c>
      <c r="N2441" s="62" t="s">
        <v>31203</v>
      </c>
      <c r="O2441" s="62" t="s">
        <v>31204</v>
      </c>
      <c r="P2441" s="62" t="s">
        <v>49436</v>
      </c>
      <c r="Q2441" s="62" t="s">
        <v>31205</v>
      </c>
      <c r="R2441" s="62" t="s">
        <v>31206</v>
      </c>
      <c r="S2441" s="62" t="s">
        <v>31207</v>
      </c>
      <c r="U2441" s="62" t="s">
        <v>31208</v>
      </c>
      <c r="V2441" s="62" t="s">
        <v>49468</v>
      </c>
      <c r="W2441" s="62" t="s">
        <v>31209</v>
      </c>
      <c r="X2441" s="62" t="s">
        <v>31210</v>
      </c>
      <c r="Y2441" s="62" t="s">
        <v>31211</v>
      </c>
      <c r="Z2441" s="62" t="s">
        <v>31212</v>
      </c>
      <c r="AA2441" s="62" t="s">
        <v>49500</v>
      </c>
      <c r="AB2441" s="62" t="s">
        <v>31213</v>
      </c>
      <c r="AC2441" s="62" t="s">
        <v>31214</v>
      </c>
      <c r="AD2441" s="62" t="s">
        <v>31215</v>
      </c>
    </row>
    <row r="2442" spans="1:30" x14ac:dyDescent="0.25">
      <c r="A2442" s="62" t="s">
        <v>109</v>
      </c>
      <c r="C2442" s="62" t="s">
        <v>31216</v>
      </c>
      <c r="F2442" s="62" t="s">
        <v>925</v>
      </c>
      <c r="G2442" s="62" t="s">
        <v>49373</v>
      </c>
      <c r="J2442" s="62" t="s">
        <v>31217</v>
      </c>
      <c r="K2442" s="62" t="s">
        <v>49405</v>
      </c>
      <c r="L2442" s="62" t="s">
        <v>31218</v>
      </c>
      <c r="M2442" s="62" t="s">
        <v>31219</v>
      </c>
      <c r="N2442" s="62" t="s">
        <v>31220</v>
      </c>
      <c r="O2442" s="62" t="s">
        <v>31221</v>
      </c>
      <c r="P2442" s="62" t="s">
        <v>49437</v>
      </c>
      <c r="Q2442" s="62" t="s">
        <v>31222</v>
      </c>
      <c r="R2442" s="62" t="s">
        <v>31223</v>
      </c>
      <c r="S2442" s="62" t="s">
        <v>31224</v>
      </c>
      <c r="U2442" s="62" t="s">
        <v>31225</v>
      </c>
      <c r="V2442" s="62" t="s">
        <v>49469</v>
      </c>
      <c r="W2442" s="62" t="s">
        <v>31226</v>
      </c>
      <c r="X2442" s="62" t="s">
        <v>31227</v>
      </c>
      <c r="Y2442" s="62" t="s">
        <v>31228</v>
      </c>
      <c r="Z2442" s="62" t="s">
        <v>31229</v>
      </c>
      <c r="AA2442" s="62" t="s">
        <v>49501</v>
      </c>
      <c r="AB2442" s="62" t="s">
        <v>31230</v>
      </c>
      <c r="AC2442" s="62" t="s">
        <v>31231</v>
      </c>
      <c r="AD2442" s="62" t="s">
        <v>31232</v>
      </c>
    </row>
    <row r="2443" spans="1:30" x14ac:dyDescent="0.25">
      <c r="A2443" s="62" t="s">
        <v>109</v>
      </c>
      <c r="C2443" s="62" t="s">
        <v>31233</v>
      </c>
      <c r="F2443" s="62" t="s">
        <v>943</v>
      </c>
      <c r="G2443" s="62" t="s">
        <v>49374</v>
      </c>
      <c r="J2443" s="62" t="s">
        <v>31234</v>
      </c>
      <c r="K2443" s="62" t="s">
        <v>49406</v>
      </c>
      <c r="L2443" s="62" t="s">
        <v>31235</v>
      </c>
      <c r="M2443" s="62" t="s">
        <v>31236</v>
      </c>
      <c r="N2443" s="62" t="s">
        <v>31237</v>
      </c>
      <c r="O2443" s="62" t="s">
        <v>31238</v>
      </c>
      <c r="P2443" s="62" t="s">
        <v>49438</v>
      </c>
      <c r="Q2443" s="62" t="s">
        <v>31239</v>
      </c>
      <c r="R2443" s="62" t="s">
        <v>31240</v>
      </c>
      <c r="S2443" s="62" t="s">
        <v>31241</v>
      </c>
      <c r="U2443" s="62" t="s">
        <v>31242</v>
      </c>
      <c r="V2443" s="62" t="s">
        <v>49470</v>
      </c>
      <c r="W2443" s="62" t="s">
        <v>31243</v>
      </c>
      <c r="X2443" s="62" t="s">
        <v>31244</v>
      </c>
      <c r="Y2443" s="62" t="s">
        <v>31245</v>
      </c>
      <c r="Z2443" s="62" t="s">
        <v>31246</v>
      </c>
      <c r="AA2443" s="62" t="s">
        <v>49502</v>
      </c>
      <c r="AB2443" s="62" t="s">
        <v>31247</v>
      </c>
      <c r="AC2443" s="62" t="s">
        <v>31248</v>
      </c>
      <c r="AD2443" s="62" t="s">
        <v>31249</v>
      </c>
    </row>
    <row r="2444" spans="1:30" x14ac:dyDescent="0.25">
      <c r="A2444" s="62" t="s">
        <v>109</v>
      </c>
      <c r="C2444" s="62" t="s">
        <v>31250</v>
      </c>
      <c r="F2444" s="62" t="s">
        <v>985</v>
      </c>
      <c r="G2444" s="62" t="s">
        <v>49375</v>
      </c>
      <c r="J2444" s="62" t="s">
        <v>31251</v>
      </c>
      <c r="K2444" s="62" t="s">
        <v>49407</v>
      </c>
      <c r="L2444" s="62" t="s">
        <v>31252</v>
      </c>
      <c r="M2444" s="62" t="s">
        <v>31253</v>
      </c>
      <c r="N2444" s="62" t="s">
        <v>31254</v>
      </c>
      <c r="O2444" s="62" t="s">
        <v>31255</v>
      </c>
      <c r="P2444" s="62" t="s">
        <v>49439</v>
      </c>
      <c r="Q2444" s="62" t="s">
        <v>31256</v>
      </c>
      <c r="R2444" s="62" t="s">
        <v>31257</v>
      </c>
      <c r="S2444" s="62" t="s">
        <v>31258</v>
      </c>
      <c r="U2444" s="62" t="s">
        <v>31259</v>
      </c>
      <c r="V2444" s="62" t="s">
        <v>49471</v>
      </c>
      <c r="W2444" s="62" t="s">
        <v>31260</v>
      </c>
      <c r="X2444" s="62" t="s">
        <v>31261</v>
      </c>
      <c r="Y2444" s="62" t="s">
        <v>31262</v>
      </c>
      <c r="Z2444" s="62" t="s">
        <v>31263</v>
      </c>
      <c r="AA2444" s="62" t="s">
        <v>49503</v>
      </c>
      <c r="AB2444" s="62" t="s">
        <v>31264</v>
      </c>
      <c r="AC2444" s="62" t="s">
        <v>31265</v>
      </c>
      <c r="AD2444" s="62" t="s">
        <v>31266</v>
      </c>
    </row>
    <row r="2445" spans="1:30" x14ac:dyDescent="0.25">
      <c r="A2445" s="62" t="s">
        <v>109</v>
      </c>
      <c r="C2445" s="62" t="s">
        <v>31267</v>
      </c>
      <c r="F2445" s="62" t="s">
        <v>1002</v>
      </c>
      <c r="G2445" s="62" t="s">
        <v>49376</v>
      </c>
      <c r="J2445" s="62" t="s">
        <v>31268</v>
      </c>
      <c r="K2445" s="62" t="s">
        <v>49408</v>
      </c>
      <c r="L2445" s="62" t="s">
        <v>31269</v>
      </c>
      <c r="M2445" s="62" t="s">
        <v>31270</v>
      </c>
      <c r="N2445" s="62" t="s">
        <v>31271</v>
      </c>
      <c r="O2445" s="62" t="s">
        <v>31272</v>
      </c>
      <c r="P2445" s="62" t="s">
        <v>49440</v>
      </c>
      <c r="Q2445" s="62" t="s">
        <v>31273</v>
      </c>
      <c r="R2445" s="62" t="s">
        <v>31274</v>
      </c>
      <c r="S2445" s="62" t="s">
        <v>31275</v>
      </c>
      <c r="U2445" s="62" t="s">
        <v>31276</v>
      </c>
      <c r="V2445" s="62" t="s">
        <v>49472</v>
      </c>
      <c r="W2445" s="62" t="s">
        <v>31277</v>
      </c>
      <c r="X2445" s="62" t="s">
        <v>31278</v>
      </c>
      <c r="Y2445" s="62" t="s">
        <v>31279</v>
      </c>
      <c r="Z2445" s="62" t="s">
        <v>31280</v>
      </c>
      <c r="AA2445" s="62" t="s">
        <v>49504</v>
      </c>
      <c r="AB2445" s="62" t="s">
        <v>31281</v>
      </c>
      <c r="AC2445" s="62" t="s">
        <v>31282</v>
      </c>
      <c r="AD2445" s="62" t="s">
        <v>31283</v>
      </c>
    </row>
    <row r="2446" spans="1:30" x14ac:dyDescent="0.25">
      <c r="A2446" s="62" t="s">
        <v>109</v>
      </c>
      <c r="C2446" s="62" t="s">
        <v>31284</v>
      </c>
      <c r="F2446" s="62" t="s">
        <v>1047</v>
      </c>
      <c r="G2446" s="62" t="s">
        <v>49377</v>
      </c>
      <c r="J2446" s="62" t="s">
        <v>31285</v>
      </c>
      <c r="K2446" s="62" t="s">
        <v>49409</v>
      </c>
      <c r="L2446" s="62" t="s">
        <v>31286</v>
      </c>
      <c r="M2446" s="62" t="s">
        <v>31287</v>
      </c>
      <c r="N2446" s="62" t="s">
        <v>31288</v>
      </c>
      <c r="O2446" s="62" t="s">
        <v>31289</v>
      </c>
      <c r="P2446" s="62" t="s">
        <v>49441</v>
      </c>
      <c r="Q2446" s="62" t="s">
        <v>31290</v>
      </c>
      <c r="R2446" s="62" t="s">
        <v>31291</v>
      </c>
      <c r="S2446" s="62" t="s">
        <v>31292</v>
      </c>
      <c r="U2446" s="62" t="s">
        <v>31293</v>
      </c>
      <c r="V2446" s="62" t="s">
        <v>49473</v>
      </c>
      <c r="W2446" s="62" t="s">
        <v>31294</v>
      </c>
      <c r="X2446" s="62" t="s">
        <v>31295</v>
      </c>
      <c r="Y2446" s="62" t="s">
        <v>31296</v>
      </c>
      <c r="Z2446" s="62" t="s">
        <v>31297</v>
      </c>
      <c r="AA2446" s="62" t="s">
        <v>49505</v>
      </c>
      <c r="AB2446" s="62" t="s">
        <v>31298</v>
      </c>
      <c r="AC2446" s="62" t="s">
        <v>31299</v>
      </c>
      <c r="AD2446" s="62" t="s">
        <v>31300</v>
      </c>
    </row>
    <row r="2447" spans="1:30" x14ac:dyDescent="0.25">
      <c r="A2447" s="62" t="s">
        <v>109</v>
      </c>
      <c r="C2447" s="62" t="s">
        <v>31301</v>
      </c>
      <c r="F2447" s="62" t="s">
        <v>1073</v>
      </c>
      <c r="G2447" s="62" t="s">
        <v>49378</v>
      </c>
      <c r="J2447" s="62" t="s">
        <v>31302</v>
      </c>
      <c r="K2447" s="62" t="s">
        <v>49410</v>
      </c>
      <c r="L2447" s="62" t="s">
        <v>31303</v>
      </c>
      <c r="M2447" s="62" t="s">
        <v>31304</v>
      </c>
      <c r="N2447" s="62" t="s">
        <v>31305</v>
      </c>
      <c r="O2447" s="62" t="s">
        <v>31306</v>
      </c>
      <c r="P2447" s="62" t="s">
        <v>49442</v>
      </c>
      <c r="Q2447" s="62" t="s">
        <v>31307</v>
      </c>
      <c r="R2447" s="62" t="s">
        <v>31308</v>
      </c>
      <c r="S2447" s="62" t="s">
        <v>31309</v>
      </c>
      <c r="U2447" s="62" t="s">
        <v>31310</v>
      </c>
      <c r="V2447" s="62" t="s">
        <v>49474</v>
      </c>
      <c r="W2447" s="62" t="s">
        <v>31311</v>
      </c>
      <c r="X2447" s="62" t="s">
        <v>31312</v>
      </c>
      <c r="Y2447" s="62" t="s">
        <v>31313</v>
      </c>
      <c r="Z2447" s="62" t="s">
        <v>31314</v>
      </c>
      <c r="AA2447" s="62" t="s">
        <v>49506</v>
      </c>
      <c r="AB2447" s="62" t="s">
        <v>31315</v>
      </c>
      <c r="AC2447" s="62" t="s">
        <v>31316</v>
      </c>
      <c r="AD2447" s="62" t="s">
        <v>31317</v>
      </c>
    </row>
    <row r="2448" spans="1:30" x14ac:dyDescent="0.25">
      <c r="A2448" s="62" t="s">
        <v>109</v>
      </c>
      <c r="C2448" s="62" t="s">
        <v>31318</v>
      </c>
      <c r="F2448" s="62" t="s">
        <v>1090</v>
      </c>
      <c r="G2448" s="62" t="s">
        <v>49379</v>
      </c>
      <c r="J2448" s="62" t="s">
        <v>31319</v>
      </c>
      <c r="K2448" s="62" t="s">
        <v>49411</v>
      </c>
      <c r="L2448" s="62" t="s">
        <v>31320</v>
      </c>
      <c r="M2448" s="62" t="s">
        <v>31321</v>
      </c>
      <c r="N2448" s="62" t="s">
        <v>31322</v>
      </c>
      <c r="O2448" s="62" t="s">
        <v>31323</v>
      </c>
      <c r="P2448" s="62" t="s">
        <v>49443</v>
      </c>
      <c r="Q2448" s="62" t="s">
        <v>31324</v>
      </c>
      <c r="R2448" s="62" t="s">
        <v>31325</v>
      </c>
      <c r="S2448" s="62" t="s">
        <v>31326</v>
      </c>
      <c r="U2448" s="62" t="s">
        <v>31327</v>
      </c>
      <c r="V2448" s="62" t="s">
        <v>49475</v>
      </c>
      <c r="W2448" s="62" t="s">
        <v>31328</v>
      </c>
      <c r="X2448" s="62" t="s">
        <v>31329</v>
      </c>
      <c r="Y2448" s="62" t="s">
        <v>31330</v>
      </c>
      <c r="Z2448" s="62" t="s">
        <v>31331</v>
      </c>
      <c r="AA2448" s="62" t="s">
        <v>49507</v>
      </c>
      <c r="AB2448" s="62" t="s">
        <v>31332</v>
      </c>
      <c r="AC2448" s="62" t="s">
        <v>31333</v>
      </c>
      <c r="AD2448" s="62" t="s">
        <v>31334</v>
      </c>
    </row>
    <row r="2449" spans="1:30" x14ac:dyDescent="0.25">
      <c r="A2449" s="62" t="s">
        <v>109</v>
      </c>
      <c r="C2449" s="62" t="s">
        <v>31335</v>
      </c>
      <c r="F2449" s="62" t="s">
        <v>1100</v>
      </c>
      <c r="G2449" s="62" t="s">
        <v>49380</v>
      </c>
      <c r="J2449" s="62" t="s">
        <v>31336</v>
      </c>
      <c r="K2449" s="62" t="s">
        <v>49412</v>
      </c>
      <c r="L2449" s="62" t="s">
        <v>31337</v>
      </c>
      <c r="M2449" s="62" t="s">
        <v>31338</v>
      </c>
      <c r="N2449" s="62" t="s">
        <v>31339</v>
      </c>
      <c r="O2449" s="62" t="s">
        <v>31340</v>
      </c>
      <c r="P2449" s="62" t="s">
        <v>49444</v>
      </c>
      <c r="Q2449" s="62" t="s">
        <v>31341</v>
      </c>
      <c r="R2449" s="62" t="s">
        <v>31342</v>
      </c>
      <c r="S2449" s="62" t="s">
        <v>31343</v>
      </c>
      <c r="U2449" s="62" t="s">
        <v>31344</v>
      </c>
      <c r="V2449" s="62" t="s">
        <v>49476</v>
      </c>
      <c r="W2449" s="62" t="s">
        <v>31345</v>
      </c>
      <c r="X2449" s="62" t="s">
        <v>31346</v>
      </c>
      <c r="Y2449" s="62" t="s">
        <v>31347</v>
      </c>
      <c r="Z2449" s="62" t="s">
        <v>31348</v>
      </c>
      <c r="AA2449" s="62" t="s">
        <v>49508</v>
      </c>
      <c r="AB2449" s="62" t="s">
        <v>31349</v>
      </c>
      <c r="AC2449" s="62" t="s">
        <v>31350</v>
      </c>
      <c r="AD2449" s="62" t="s">
        <v>31351</v>
      </c>
    </row>
    <row r="2450" spans="1:30" x14ac:dyDescent="0.25">
      <c r="A2450" s="62" t="s">
        <v>109</v>
      </c>
      <c r="C2450" s="62" t="s">
        <v>31352</v>
      </c>
      <c r="F2450" s="62" t="s">
        <v>1118</v>
      </c>
      <c r="G2450" s="62" t="s">
        <v>49381</v>
      </c>
      <c r="J2450" s="62" t="s">
        <v>31353</v>
      </c>
      <c r="K2450" s="62" t="s">
        <v>49413</v>
      </c>
      <c r="L2450" s="62" t="s">
        <v>31354</v>
      </c>
      <c r="M2450" s="62" t="s">
        <v>31355</v>
      </c>
      <c r="N2450" s="62" t="s">
        <v>31356</v>
      </c>
      <c r="O2450" s="62" t="s">
        <v>31357</v>
      </c>
      <c r="P2450" s="62" t="s">
        <v>49445</v>
      </c>
      <c r="Q2450" s="62" t="s">
        <v>31358</v>
      </c>
      <c r="R2450" s="62" t="s">
        <v>31359</v>
      </c>
      <c r="S2450" s="62" t="s">
        <v>31360</v>
      </c>
      <c r="U2450" s="62" t="s">
        <v>31361</v>
      </c>
      <c r="V2450" s="62" t="s">
        <v>49477</v>
      </c>
      <c r="W2450" s="62" t="s">
        <v>31362</v>
      </c>
      <c r="X2450" s="62" t="s">
        <v>31363</v>
      </c>
      <c r="Y2450" s="62" t="s">
        <v>31364</v>
      </c>
      <c r="Z2450" s="62" t="s">
        <v>31365</v>
      </c>
      <c r="AA2450" s="62" t="s">
        <v>49509</v>
      </c>
      <c r="AB2450" s="62" t="s">
        <v>31366</v>
      </c>
      <c r="AC2450" s="62" t="s">
        <v>31367</v>
      </c>
      <c r="AD2450" s="62" t="s">
        <v>31368</v>
      </c>
    </row>
    <row r="2451" spans="1:30" x14ac:dyDescent="0.25">
      <c r="A2451" s="62" t="s">
        <v>109</v>
      </c>
      <c r="C2451" s="62" t="s">
        <v>45279</v>
      </c>
      <c r="F2451" s="62" t="s">
        <v>1152</v>
      </c>
      <c r="G2451" s="62" t="s">
        <v>49382</v>
      </c>
      <c r="J2451" s="62" t="s">
        <v>45280</v>
      </c>
      <c r="K2451" s="62" t="s">
        <v>49414</v>
      </c>
      <c r="L2451" s="62" t="s">
        <v>45281</v>
      </c>
      <c r="M2451" s="62" t="s">
        <v>45282</v>
      </c>
      <c r="N2451" s="62" t="s">
        <v>45283</v>
      </c>
      <c r="O2451" s="62" t="s">
        <v>45284</v>
      </c>
      <c r="P2451" s="62" t="s">
        <v>49446</v>
      </c>
      <c r="Q2451" s="62" t="s">
        <v>45285</v>
      </c>
      <c r="R2451" s="62" t="s">
        <v>45286</v>
      </c>
      <c r="S2451" s="62" t="s">
        <v>45287</v>
      </c>
      <c r="U2451" s="62" t="s">
        <v>45288</v>
      </c>
      <c r="V2451" s="62" t="s">
        <v>49478</v>
      </c>
      <c r="W2451" s="62" t="s">
        <v>45289</v>
      </c>
      <c r="X2451" s="62" t="s">
        <v>45290</v>
      </c>
      <c r="Y2451" s="62" t="s">
        <v>45291</v>
      </c>
      <c r="Z2451" s="62" t="s">
        <v>45292</v>
      </c>
      <c r="AA2451" s="62" t="s">
        <v>49510</v>
      </c>
      <c r="AB2451" s="62" t="s">
        <v>45293</v>
      </c>
      <c r="AC2451" s="62" t="s">
        <v>45294</v>
      </c>
      <c r="AD2451" s="62" t="s">
        <v>45295</v>
      </c>
    </row>
    <row r="2452" spans="1:30" x14ac:dyDescent="0.25">
      <c r="A2452" s="62" t="s">
        <v>109</v>
      </c>
      <c r="C2452" s="62" t="s">
        <v>31369</v>
      </c>
      <c r="F2452" s="62" t="s">
        <v>1688</v>
      </c>
      <c r="G2452" s="62" t="s">
        <v>49383</v>
      </c>
      <c r="J2452" s="62" t="s">
        <v>45296</v>
      </c>
      <c r="K2452" s="62" t="s">
        <v>49415</v>
      </c>
      <c r="L2452" s="62" t="s">
        <v>45297</v>
      </c>
      <c r="M2452" s="62" t="s">
        <v>31370</v>
      </c>
      <c r="N2452" s="62" t="s">
        <v>31371</v>
      </c>
      <c r="O2452" s="62" t="s">
        <v>45298</v>
      </c>
      <c r="P2452" s="62" t="s">
        <v>49447</v>
      </c>
      <c r="Q2452" s="62" t="s">
        <v>45299</v>
      </c>
      <c r="R2452" s="62" t="s">
        <v>31372</v>
      </c>
      <c r="S2452" s="62" t="s">
        <v>31373</v>
      </c>
      <c r="U2452" s="62" t="s">
        <v>45300</v>
      </c>
      <c r="V2452" s="62" t="s">
        <v>49479</v>
      </c>
      <c r="W2452" s="62" t="s">
        <v>45301</v>
      </c>
      <c r="X2452" s="62" t="s">
        <v>31374</v>
      </c>
      <c r="Y2452" s="62" t="s">
        <v>31375</v>
      </c>
      <c r="Z2452" s="62" t="s">
        <v>45302</v>
      </c>
      <c r="AA2452" s="62" t="s">
        <v>49511</v>
      </c>
      <c r="AB2452" s="62" t="s">
        <v>45303</v>
      </c>
      <c r="AC2452" s="62" t="s">
        <v>31376</v>
      </c>
      <c r="AD2452" s="62" t="s">
        <v>31377</v>
      </c>
    </row>
    <row r="2453" spans="1:30" x14ac:dyDescent="0.25">
      <c r="A2453" s="62" t="s">
        <v>109</v>
      </c>
      <c r="C2453" s="62" t="s">
        <v>45304</v>
      </c>
      <c r="F2453" s="62" t="s">
        <v>1161</v>
      </c>
      <c r="G2453" s="62" t="s">
        <v>49384</v>
      </c>
      <c r="J2453" s="62" t="s">
        <v>45305</v>
      </c>
      <c r="K2453" s="62" t="s">
        <v>49416</v>
      </c>
      <c r="L2453" s="62" t="s">
        <v>45306</v>
      </c>
      <c r="M2453" s="62" t="s">
        <v>45307</v>
      </c>
      <c r="N2453" s="62" t="s">
        <v>45308</v>
      </c>
      <c r="O2453" s="62" t="s">
        <v>45309</v>
      </c>
      <c r="P2453" s="62" t="s">
        <v>49448</v>
      </c>
      <c r="Q2453" s="62" t="s">
        <v>45310</v>
      </c>
      <c r="R2453" s="62" t="s">
        <v>45311</v>
      </c>
      <c r="S2453" s="62" t="s">
        <v>45312</v>
      </c>
      <c r="U2453" s="62" t="s">
        <v>45313</v>
      </c>
      <c r="V2453" s="62" t="s">
        <v>49480</v>
      </c>
      <c r="W2453" s="62" t="s">
        <v>45314</v>
      </c>
      <c r="X2453" s="62" t="s">
        <v>45315</v>
      </c>
      <c r="Y2453" s="62" t="s">
        <v>45316</v>
      </c>
      <c r="Z2453" s="62" t="s">
        <v>45317</v>
      </c>
      <c r="AA2453" s="62" t="s">
        <v>49512</v>
      </c>
      <c r="AB2453" s="62" t="s">
        <v>45318</v>
      </c>
      <c r="AC2453" s="62" t="s">
        <v>45319</v>
      </c>
      <c r="AD2453" s="62" t="s">
        <v>45320</v>
      </c>
    </row>
    <row r="2454" spans="1:30" x14ac:dyDescent="0.25">
      <c r="A2454" s="62" t="s">
        <v>109</v>
      </c>
      <c r="C2454" s="62" t="s">
        <v>45321</v>
      </c>
      <c r="F2454" s="62" t="s">
        <v>1188</v>
      </c>
      <c r="G2454" s="62" t="s">
        <v>49385</v>
      </c>
      <c r="J2454" s="62" t="s">
        <v>45322</v>
      </c>
      <c r="K2454" s="62" t="s">
        <v>49417</v>
      </c>
      <c r="L2454" s="62" t="s">
        <v>45323</v>
      </c>
      <c r="M2454" s="62" t="s">
        <v>45324</v>
      </c>
      <c r="N2454" s="62" t="s">
        <v>45325</v>
      </c>
      <c r="O2454" s="62" t="s">
        <v>45326</v>
      </c>
      <c r="P2454" s="62" t="s">
        <v>49449</v>
      </c>
      <c r="Q2454" s="62" t="s">
        <v>45327</v>
      </c>
      <c r="R2454" s="62" t="s">
        <v>45328</v>
      </c>
      <c r="S2454" s="62" t="s">
        <v>45329</v>
      </c>
      <c r="U2454" s="62" t="s">
        <v>45330</v>
      </c>
      <c r="V2454" s="62" t="s">
        <v>49481</v>
      </c>
      <c r="W2454" s="62" t="s">
        <v>45331</v>
      </c>
      <c r="X2454" s="62" t="s">
        <v>45332</v>
      </c>
      <c r="Y2454" s="62" t="s">
        <v>45333</v>
      </c>
      <c r="Z2454" s="62" t="s">
        <v>45334</v>
      </c>
      <c r="AA2454" s="62" t="s">
        <v>49513</v>
      </c>
      <c r="AB2454" s="62" t="s">
        <v>45335</v>
      </c>
      <c r="AC2454" s="62" t="s">
        <v>45336</v>
      </c>
      <c r="AD2454" s="62" t="s">
        <v>45337</v>
      </c>
    </row>
    <row r="2455" spans="1:30" x14ac:dyDescent="0.25">
      <c r="A2455" s="62" t="s">
        <v>109</v>
      </c>
      <c r="C2455" s="62" t="s">
        <v>31379</v>
      </c>
      <c r="F2455" s="62" t="s">
        <v>1206</v>
      </c>
      <c r="G2455" s="62" t="s">
        <v>49386</v>
      </c>
      <c r="J2455" s="62" t="s">
        <v>45338</v>
      </c>
      <c r="K2455" s="62" t="s">
        <v>49418</v>
      </c>
      <c r="L2455" s="62" t="s">
        <v>45339</v>
      </c>
      <c r="M2455" s="62" t="s">
        <v>45340</v>
      </c>
      <c r="N2455" s="62" t="s">
        <v>45341</v>
      </c>
      <c r="O2455" s="62" t="s">
        <v>45342</v>
      </c>
      <c r="P2455" s="62" t="s">
        <v>49450</v>
      </c>
      <c r="Q2455" s="62" t="s">
        <v>45343</v>
      </c>
      <c r="R2455" s="62" t="s">
        <v>45344</v>
      </c>
      <c r="S2455" s="62" t="s">
        <v>45345</v>
      </c>
      <c r="U2455" s="62" t="s">
        <v>45346</v>
      </c>
      <c r="V2455" s="62" t="s">
        <v>49482</v>
      </c>
      <c r="W2455" s="62" t="s">
        <v>45347</v>
      </c>
      <c r="X2455" s="62" t="s">
        <v>45348</v>
      </c>
      <c r="Y2455" s="62" t="s">
        <v>45349</v>
      </c>
      <c r="Z2455" s="62" t="s">
        <v>45350</v>
      </c>
      <c r="AA2455" s="62" t="s">
        <v>49514</v>
      </c>
      <c r="AB2455" s="62" t="s">
        <v>45351</v>
      </c>
      <c r="AC2455" s="62" t="s">
        <v>45352</v>
      </c>
      <c r="AD2455" s="62" t="s">
        <v>45353</v>
      </c>
    </row>
    <row r="2456" spans="1:30" x14ac:dyDescent="0.25">
      <c r="A2456" s="62" t="s">
        <v>109</v>
      </c>
      <c r="C2456" s="62" t="s">
        <v>31380</v>
      </c>
      <c r="F2456" s="62" t="s">
        <v>1249</v>
      </c>
      <c r="G2456" s="62" t="s">
        <v>49387</v>
      </c>
      <c r="J2456" s="62" t="s">
        <v>31381</v>
      </c>
      <c r="K2456" s="62" t="s">
        <v>49419</v>
      </c>
      <c r="L2456" s="62" t="s">
        <v>31382</v>
      </c>
      <c r="M2456" s="62" t="s">
        <v>31383</v>
      </c>
      <c r="N2456" s="62" t="s">
        <v>31384</v>
      </c>
      <c r="O2456" s="62" t="s">
        <v>31385</v>
      </c>
      <c r="P2456" s="62" t="s">
        <v>49451</v>
      </c>
      <c r="Q2456" s="62" t="s">
        <v>31386</v>
      </c>
      <c r="R2456" s="62" t="s">
        <v>31387</v>
      </c>
      <c r="S2456" s="62" t="s">
        <v>31388</v>
      </c>
      <c r="U2456" s="62" t="s">
        <v>31389</v>
      </c>
      <c r="V2456" s="62" t="s">
        <v>49483</v>
      </c>
      <c r="W2456" s="62" t="s">
        <v>31390</v>
      </c>
      <c r="X2456" s="62" t="s">
        <v>31391</v>
      </c>
      <c r="Y2456" s="62" t="s">
        <v>31392</v>
      </c>
      <c r="Z2456" s="62" t="s">
        <v>31393</v>
      </c>
      <c r="AA2456" s="62" t="s">
        <v>49515</v>
      </c>
      <c r="AB2456" s="62" t="s">
        <v>31394</v>
      </c>
      <c r="AC2456" s="62" t="s">
        <v>31395</v>
      </c>
      <c r="AD2456" s="62" t="s">
        <v>31396</v>
      </c>
    </row>
    <row r="2457" spans="1:30" x14ac:dyDescent="0.25">
      <c r="A2457" s="62" t="s">
        <v>109</v>
      </c>
      <c r="C2457" s="62" t="s">
        <v>31397</v>
      </c>
      <c r="F2457" s="62" t="s">
        <v>1277</v>
      </c>
      <c r="G2457" s="62" t="s">
        <v>49388</v>
      </c>
      <c r="J2457" s="62" t="s">
        <v>31398</v>
      </c>
      <c r="K2457" s="62" t="s">
        <v>49420</v>
      </c>
      <c r="L2457" s="62" t="s">
        <v>31399</v>
      </c>
      <c r="M2457" s="62" t="s">
        <v>31400</v>
      </c>
      <c r="N2457" s="62" t="s">
        <v>31401</v>
      </c>
      <c r="O2457" s="62" t="s">
        <v>31402</v>
      </c>
      <c r="P2457" s="62" t="s">
        <v>49452</v>
      </c>
      <c r="Q2457" s="62" t="s">
        <v>31403</v>
      </c>
      <c r="R2457" s="62" t="s">
        <v>31404</v>
      </c>
      <c r="S2457" s="62" t="s">
        <v>31405</v>
      </c>
      <c r="U2457" s="62" t="s">
        <v>31406</v>
      </c>
      <c r="V2457" s="62" t="s">
        <v>49484</v>
      </c>
      <c r="W2457" s="62" t="s">
        <v>31407</v>
      </c>
      <c r="X2457" s="62" t="s">
        <v>31408</v>
      </c>
      <c r="Y2457" s="62" t="s">
        <v>31409</v>
      </c>
      <c r="Z2457" s="62" t="s">
        <v>31410</v>
      </c>
      <c r="AA2457" s="62" t="s">
        <v>49516</v>
      </c>
      <c r="AB2457" s="62" t="s">
        <v>31411</v>
      </c>
      <c r="AC2457" s="62" t="s">
        <v>31412</v>
      </c>
      <c r="AD2457" s="62" t="s">
        <v>31413</v>
      </c>
    </row>
    <row r="2458" spans="1:30" x14ac:dyDescent="0.25">
      <c r="A2458" s="62" t="s">
        <v>109</v>
      </c>
      <c r="C2458" s="62" t="s">
        <v>31414</v>
      </c>
      <c r="F2458" s="62" t="s">
        <v>1286</v>
      </c>
      <c r="G2458" s="62" t="s">
        <v>49389</v>
      </c>
      <c r="J2458" s="62" t="s">
        <v>31415</v>
      </c>
      <c r="K2458" s="62" t="s">
        <v>49421</v>
      </c>
      <c r="L2458" s="62" t="s">
        <v>31416</v>
      </c>
      <c r="M2458" s="62" t="s">
        <v>31417</v>
      </c>
      <c r="N2458" s="62" t="s">
        <v>31418</v>
      </c>
      <c r="O2458" s="62" t="s">
        <v>31419</v>
      </c>
      <c r="P2458" s="62" t="s">
        <v>49453</v>
      </c>
      <c r="Q2458" s="62" t="s">
        <v>31420</v>
      </c>
      <c r="R2458" s="62" t="s">
        <v>31421</v>
      </c>
      <c r="S2458" s="62" t="s">
        <v>31422</v>
      </c>
      <c r="U2458" s="62" t="s">
        <v>31423</v>
      </c>
      <c r="V2458" s="62" t="s">
        <v>49485</v>
      </c>
      <c r="W2458" s="62" t="s">
        <v>31424</v>
      </c>
      <c r="X2458" s="62" t="s">
        <v>31425</v>
      </c>
      <c r="Y2458" s="62" t="s">
        <v>31426</v>
      </c>
      <c r="Z2458" s="62" t="s">
        <v>31427</v>
      </c>
      <c r="AA2458" s="62" t="s">
        <v>49517</v>
      </c>
      <c r="AB2458" s="62" t="s">
        <v>31428</v>
      </c>
      <c r="AC2458" s="62" t="s">
        <v>31429</v>
      </c>
      <c r="AD2458" s="62" t="s">
        <v>31430</v>
      </c>
    </row>
    <row r="2459" spans="1:30" x14ac:dyDescent="0.25">
      <c r="A2459" s="62" t="s">
        <v>109</v>
      </c>
      <c r="C2459" s="62" t="s">
        <v>31431</v>
      </c>
      <c r="F2459" s="62" t="s">
        <v>1287</v>
      </c>
      <c r="G2459" s="62" t="s">
        <v>49390</v>
      </c>
      <c r="J2459" s="62" t="s">
        <v>31432</v>
      </c>
      <c r="K2459" s="62" t="s">
        <v>49422</v>
      </c>
      <c r="L2459" s="62" t="s">
        <v>31433</v>
      </c>
      <c r="M2459" s="62" t="s">
        <v>31434</v>
      </c>
      <c r="N2459" s="62" t="s">
        <v>31435</v>
      </c>
      <c r="O2459" s="62" t="s">
        <v>31436</v>
      </c>
      <c r="P2459" s="62" t="s">
        <v>49454</v>
      </c>
      <c r="Q2459" s="62" t="s">
        <v>31437</v>
      </c>
      <c r="R2459" s="62" t="s">
        <v>31438</v>
      </c>
      <c r="S2459" s="62" t="s">
        <v>31439</v>
      </c>
      <c r="U2459" s="62" t="s">
        <v>31440</v>
      </c>
      <c r="V2459" s="62" t="s">
        <v>49486</v>
      </c>
      <c r="W2459" s="62" t="s">
        <v>31441</v>
      </c>
      <c r="X2459" s="62" t="s">
        <v>31442</v>
      </c>
      <c r="Y2459" s="62" t="s">
        <v>31443</v>
      </c>
      <c r="Z2459" s="62" t="s">
        <v>31444</v>
      </c>
      <c r="AA2459" s="62" t="s">
        <v>49518</v>
      </c>
      <c r="AB2459" s="62" t="s">
        <v>31445</v>
      </c>
      <c r="AC2459" s="62" t="s">
        <v>31446</v>
      </c>
      <c r="AD2459" s="62" t="s">
        <v>31447</v>
      </c>
    </row>
    <row r="2460" spans="1:30" x14ac:dyDescent="0.25">
      <c r="A2460" s="62" t="s">
        <v>109</v>
      </c>
      <c r="C2460" s="62" t="s">
        <v>31448</v>
      </c>
      <c r="F2460" s="62" t="s">
        <v>1289</v>
      </c>
      <c r="G2460" s="62" t="s">
        <v>49391</v>
      </c>
      <c r="J2460" s="62" t="s">
        <v>31449</v>
      </c>
      <c r="K2460" s="62" t="s">
        <v>49423</v>
      </c>
      <c r="L2460" s="62" t="s">
        <v>31450</v>
      </c>
      <c r="M2460" s="62" t="s">
        <v>31451</v>
      </c>
      <c r="N2460" s="62" t="s">
        <v>31452</v>
      </c>
      <c r="O2460" s="62" t="s">
        <v>31453</v>
      </c>
      <c r="P2460" s="62" t="s">
        <v>49455</v>
      </c>
      <c r="Q2460" s="62" t="s">
        <v>31454</v>
      </c>
      <c r="R2460" s="62" t="s">
        <v>31455</v>
      </c>
      <c r="S2460" s="62" t="s">
        <v>31456</v>
      </c>
      <c r="U2460" s="62" t="s">
        <v>31457</v>
      </c>
      <c r="V2460" s="62" t="s">
        <v>49487</v>
      </c>
      <c r="W2460" s="62" t="s">
        <v>31458</v>
      </c>
      <c r="X2460" s="62" t="s">
        <v>31459</v>
      </c>
      <c r="Y2460" s="62" t="s">
        <v>31460</v>
      </c>
      <c r="Z2460" s="62" t="s">
        <v>31461</v>
      </c>
      <c r="AA2460" s="62" t="s">
        <v>49519</v>
      </c>
      <c r="AB2460" s="62" t="s">
        <v>31462</v>
      </c>
      <c r="AC2460" s="62" t="s">
        <v>31463</v>
      </c>
      <c r="AD2460" s="62" t="s">
        <v>31464</v>
      </c>
    </row>
    <row r="2461" spans="1:30" x14ac:dyDescent="0.25">
      <c r="A2461" s="62" t="s">
        <v>109</v>
      </c>
      <c r="C2461" s="62" t="s">
        <v>31465</v>
      </c>
      <c r="F2461" s="62" t="s">
        <v>1797</v>
      </c>
      <c r="G2461" s="62" t="s">
        <v>49392</v>
      </c>
      <c r="J2461" s="62" t="s">
        <v>31466</v>
      </c>
      <c r="K2461" s="62" t="s">
        <v>49424</v>
      </c>
      <c r="L2461" s="62" t="s">
        <v>31467</v>
      </c>
      <c r="M2461" s="62" t="s">
        <v>31468</v>
      </c>
      <c r="N2461" s="62" t="s">
        <v>31469</v>
      </c>
      <c r="O2461" s="62" t="s">
        <v>31470</v>
      </c>
      <c r="P2461" s="62" t="s">
        <v>49456</v>
      </c>
      <c r="Q2461" s="62" t="s">
        <v>31471</v>
      </c>
      <c r="R2461" s="62" t="s">
        <v>31472</v>
      </c>
      <c r="S2461" s="62" t="s">
        <v>31473</v>
      </c>
      <c r="U2461" s="62" t="s">
        <v>31474</v>
      </c>
      <c r="V2461" s="62" t="s">
        <v>49488</v>
      </c>
      <c r="W2461" s="62" t="s">
        <v>31475</v>
      </c>
      <c r="X2461" s="62" t="s">
        <v>31476</v>
      </c>
      <c r="Y2461" s="62" t="s">
        <v>31477</v>
      </c>
      <c r="Z2461" s="62" t="s">
        <v>31478</v>
      </c>
      <c r="AA2461" s="62" t="s">
        <v>49520</v>
      </c>
      <c r="AB2461" s="62" t="s">
        <v>31479</v>
      </c>
      <c r="AC2461" s="62" t="s">
        <v>31480</v>
      </c>
      <c r="AD2461" s="62" t="s">
        <v>31481</v>
      </c>
    </row>
    <row r="2462" spans="1:30" x14ac:dyDescent="0.25">
      <c r="A2462" s="62" t="s">
        <v>109</v>
      </c>
      <c r="C2462" s="62" t="s">
        <v>31482</v>
      </c>
      <c r="F2462" s="62" t="s">
        <v>1299</v>
      </c>
      <c r="G2462" s="62" t="s">
        <v>49393</v>
      </c>
      <c r="J2462" s="62" t="s">
        <v>31483</v>
      </c>
      <c r="K2462" s="62" t="s">
        <v>49425</v>
      </c>
      <c r="L2462" s="62" t="s">
        <v>31484</v>
      </c>
      <c r="M2462" s="62" t="s">
        <v>31485</v>
      </c>
      <c r="N2462" s="62" t="s">
        <v>31486</v>
      </c>
      <c r="O2462" s="62" t="s">
        <v>31487</v>
      </c>
      <c r="P2462" s="62" t="s">
        <v>49457</v>
      </c>
      <c r="Q2462" s="62" t="s">
        <v>31488</v>
      </c>
      <c r="R2462" s="62" t="s">
        <v>31489</v>
      </c>
      <c r="S2462" s="62" t="s">
        <v>31490</v>
      </c>
      <c r="U2462" s="62" t="s">
        <v>31491</v>
      </c>
      <c r="V2462" s="62" t="s">
        <v>49489</v>
      </c>
      <c r="W2462" s="62" t="s">
        <v>31492</v>
      </c>
      <c r="X2462" s="62" t="s">
        <v>31493</v>
      </c>
      <c r="Y2462" s="62" t="s">
        <v>31494</v>
      </c>
      <c r="Z2462" s="62" t="s">
        <v>31495</v>
      </c>
      <c r="AA2462" s="62" t="s">
        <v>49521</v>
      </c>
      <c r="AB2462" s="62" t="s">
        <v>31496</v>
      </c>
      <c r="AC2462" s="62" t="s">
        <v>31497</v>
      </c>
      <c r="AD2462" s="62" t="s">
        <v>31498</v>
      </c>
    </row>
    <row r="2463" spans="1:30" x14ac:dyDescent="0.25">
      <c r="A2463" s="62" t="s">
        <v>109</v>
      </c>
      <c r="C2463" s="62" t="s">
        <v>31104</v>
      </c>
    </row>
    <row r="2464" spans="1:30" x14ac:dyDescent="0.25">
      <c r="A2464" s="62" t="s">
        <v>109</v>
      </c>
      <c r="C2464" s="62" t="s">
        <v>31499</v>
      </c>
      <c r="G2464" s="62" t="s">
        <v>45354</v>
      </c>
      <c r="J2464" s="62" t="s">
        <v>45355</v>
      </c>
      <c r="K2464" s="62" t="s">
        <v>45356</v>
      </c>
      <c r="L2464" s="62" t="s">
        <v>45357</v>
      </c>
      <c r="M2464" s="62" t="s">
        <v>31500</v>
      </c>
      <c r="N2464" s="62" t="s">
        <v>31501</v>
      </c>
      <c r="O2464" s="62" t="s">
        <v>45358</v>
      </c>
      <c r="P2464" s="62" t="s">
        <v>45359</v>
      </c>
      <c r="Q2464" s="62" t="s">
        <v>45360</v>
      </c>
      <c r="R2464" s="62" t="s">
        <v>31502</v>
      </c>
      <c r="S2464" s="62" t="s">
        <v>31503</v>
      </c>
      <c r="U2464" s="62" t="s">
        <v>45361</v>
      </c>
      <c r="V2464" s="62" t="s">
        <v>45362</v>
      </c>
      <c r="W2464" s="62" t="s">
        <v>45363</v>
      </c>
      <c r="X2464" s="62" t="s">
        <v>31504</v>
      </c>
      <c r="Y2464" s="62" t="s">
        <v>31505</v>
      </c>
      <c r="Z2464" s="62" t="s">
        <v>45364</v>
      </c>
      <c r="AA2464" s="62" t="s">
        <v>45365</v>
      </c>
      <c r="AB2464" s="62" t="s">
        <v>45366</v>
      </c>
      <c r="AC2464" s="62" t="s">
        <v>31506</v>
      </c>
      <c r="AD2464" s="62" t="s">
        <v>31507</v>
      </c>
    </row>
    <row r="2465" spans="1:30" x14ac:dyDescent="0.25">
      <c r="A2465" s="62" t="s">
        <v>109</v>
      </c>
    </row>
    <row r="2466" spans="1:30" x14ac:dyDescent="0.25">
      <c r="A2466" s="62" t="s">
        <v>109</v>
      </c>
      <c r="C2466" s="62" t="s">
        <v>45367</v>
      </c>
      <c r="E2466" s="62" t="s">
        <v>39689</v>
      </c>
      <c r="G2466" s="62" t="s">
        <v>45368</v>
      </c>
    </row>
    <row r="2467" spans="1:30" x14ac:dyDescent="0.25">
      <c r="A2467" s="62" t="s">
        <v>109</v>
      </c>
      <c r="C2467" s="62" t="s">
        <v>31508</v>
      </c>
    </row>
    <row r="2468" spans="1:30" x14ac:dyDescent="0.25">
      <c r="A2468" s="62" t="s">
        <v>109</v>
      </c>
      <c r="C2468" s="62" t="s">
        <v>31509</v>
      </c>
      <c r="F2468" s="62" t="s">
        <v>45369</v>
      </c>
      <c r="G2468" s="62" t="s">
        <v>49242</v>
      </c>
      <c r="J2468" s="62" t="s">
        <v>31510</v>
      </c>
      <c r="K2468" s="62" t="s">
        <v>49266</v>
      </c>
      <c r="L2468" s="62" t="s">
        <v>31511</v>
      </c>
      <c r="M2468" s="62" t="s">
        <v>31512</v>
      </c>
      <c r="N2468" s="62" t="s">
        <v>31513</v>
      </c>
      <c r="O2468" s="62" t="s">
        <v>31514</v>
      </c>
      <c r="P2468" s="62" t="s">
        <v>49290</v>
      </c>
      <c r="Q2468" s="62" t="s">
        <v>31515</v>
      </c>
      <c r="R2468" s="62" t="s">
        <v>31516</v>
      </c>
      <c r="S2468" s="62" t="s">
        <v>31517</v>
      </c>
      <c r="U2468" s="62" t="s">
        <v>31518</v>
      </c>
      <c r="V2468" s="62" t="s">
        <v>49314</v>
      </c>
      <c r="W2468" s="62" t="s">
        <v>31519</v>
      </c>
      <c r="X2468" s="62" t="s">
        <v>31520</v>
      </c>
      <c r="Y2468" s="62" t="s">
        <v>31521</v>
      </c>
      <c r="Z2468" s="62" t="s">
        <v>31522</v>
      </c>
      <c r="AA2468" s="62" t="s">
        <v>49338</v>
      </c>
      <c r="AB2468" s="62" t="s">
        <v>31523</v>
      </c>
      <c r="AC2468" s="62" t="s">
        <v>31524</v>
      </c>
      <c r="AD2468" s="62" t="s">
        <v>31525</v>
      </c>
    </row>
    <row r="2469" spans="1:30" x14ac:dyDescent="0.25">
      <c r="A2469" s="62" t="s">
        <v>109</v>
      </c>
      <c r="C2469" s="62" t="s">
        <v>31526</v>
      </c>
      <c r="F2469" s="62" t="s">
        <v>925</v>
      </c>
      <c r="G2469" s="62" t="s">
        <v>49243</v>
      </c>
      <c r="J2469" s="62" t="s">
        <v>31527</v>
      </c>
      <c r="K2469" s="62" t="s">
        <v>49267</v>
      </c>
      <c r="L2469" s="62" t="s">
        <v>31528</v>
      </c>
      <c r="M2469" s="62" t="s">
        <v>31529</v>
      </c>
      <c r="N2469" s="62" t="s">
        <v>31530</v>
      </c>
      <c r="O2469" s="62" t="s">
        <v>31531</v>
      </c>
      <c r="P2469" s="62" t="s">
        <v>49291</v>
      </c>
      <c r="Q2469" s="62" t="s">
        <v>31532</v>
      </c>
      <c r="R2469" s="62" t="s">
        <v>31533</v>
      </c>
      <c r="S2469" s="62" t="s">
        <v>31534</v>
      </c>
      <c r="U2469" s="62" t="s">
        <v>31535</v>
      </c>
      <c r="V2469" s="62" t="s">
        <v>49315</v>
      </c>
      <c r="W2469" s="62" t="s">
        <v>31536</v>
      </c>
      <c r="X2469" s="62" t="s">
        <v>31537</v>
      </c>
      <c r="Y2469" s="62" t="s">
        <v>31538</v>
      </c>
      <c r="Z2469" s="62" t="s">
        <v>31539</v>
      </c>
      <c r="AA2469" s="62" t="s">
        <v>49339</v>
      </c>
      <c r="AB2469" s="62" t="s">
        <v>31540</v>
      </c>
      <c r="AC2469" s="62" t="s">
        <v>31541</v>
      </c>
      <c r="AD2469" s="62" t="s">
        <v>31542</v>
      </c>
    </row>
    <row r="2470" spans="1:30" x14ac:dyDescent="0.25">
      <c r="A2470" s="62" t="s">
        <v>109</v>
      </c>
      <c r="C2470" s="62" t="s">
        <v>31543</v>
      </c>
      <c r="F2470" s="62" t="s">
        <v>10282</v>
      </c>
      <c r="G2470" s="62" t="s">
        <v>49244</v>
      </c>
      <c r="J2470" s="62" t="s">
        <v>31544</v>
      </c>
      <c r="K2470" s="62" t="s">
        <v>49268</v>
      </c>
      <c r="L2470" s="62" t="s">
        <v>31545</v>
      </c>
      <c r="M2470" s="62" t="s">
        <v>31546</v>
      </c>
      <c r="N2470" s="62" t="s">
        <v>31547</v>
      </c>
      <c r="O2470" s="62" t="s">
        <v>31548</v>
      </c>
      <c r="P2470" s="62" t="s">
        <v>49292</v>
      </c>
      <c r="Q2470" s="62" t="s">
        <v>31549</v>
      </c>
      <c r="R2470" s="62" t="s">
        <v>31550</v>
      </c>
      <c r="S2470" s="62" t="s">
        <v>31551</v>
      </c>
      <c r="U2470" s="62" t="s">
        <v>31552</v>
      </c>
      <c r="V2470" s="62" t="s">
        <v>49316</v>
      </c>
      <c r="W2470" s="62" t="s">
        <v>31553</v>
      </c>
      <c r="X2470" s="62" t="s">
        <v>31554</v>
      </c>
      <c r="Y2470" s="62" t="s">
        <v>31555</v>
      </c>
      <c r="Z2470" s="62" t="s">
        <v>31556</v>
      </c>
      <c r="AA2470" s="62" t="s">
        <v>49340</v>
      </c>
      <c r="AB2470" s="62" t="s">
        <v>31557</v>
      </c>
      <c r="AC2470" s="62" t="s">
        <v>31558</v>
      </c>
      <c r="AD2470" s="62" t="s">
        <v>31559</v>
      </c>
    </row>
    <row r="2471" spans="1:30" x14ac:dyDescent="0.25">
      <c r="A2471" s="62" t="s">
        <v>109</v>
      </c>
      <c r="C2471" s="62" t="s">
        <v>31560</v>
      </c>
      <c r="F2471" s="62" t="s">
        <v>985</v>
      </c>
      <c r="G2471" s="62" t="s">
        <v>49245</v>
      </c>
      <c r="J2471" s="62" t="s">
        <v>31561</v>
      </c>
      <c r="K2471" s="62" t="s">
        <v>49269</v>
      </c>
      <c r="L2471" s="62" t="s">
        <v>31562</v>
      </c>
      <c r="M2471" s="62" t="s">
        <v>31563</v>
      </c>
      <c r="N2471" s="62" t="s">
        <v>31564</v>
      </c>
      <c r="O2471" s="62" t="s">
        <v>31565</v>
      </c>
      <c r="P2471" s="62" t="s">
        <v>49293</v>
      </c>
      <c r="Q2471" s="62" t="s">
        <v>31566</v>
      </c>
      <c r="R2471" s="62" t="s">
        <v>31567</v>
      </c>
      <c r="S2471" s="62" t="s">
        <v>31568</v>
      </c>
      <c r="U2471" s="62" t="s">
        <v>31569</v>
      </c>
      <c r="V2471" s="62" t="s">
        <v>49317</v>
      </c>
      <c r="W2471" s="62" t="s">
        <v>31570</v>
      </c>
      <c r="X2471" s="62" t="s">
        <v>31571</v>
      </c>
      <c r="Y2471" s="62" t="s">
        <v>31572</v>
      </c>
      <c r="Z2471" s="62" t="s">
        <v>31573</v>
      </c>
      <c r="AA2471" s="62" t="s">
        <v>49341</v>
      </c>
      <c r="AB2471" s="62" t="s">
        <v>31574</v>
      </c>
      <c r="AC2471" s="62" t="s">
        <v>31575</v>
      </c>
      <c r="AD2471" s="62" t="s">
        <v>31576</v>
      </c>
    </row>
    <row r="2472" spans="1:30" x14ac:dyDescent="0.25">
      <c r="A2472" s="62" t="s">
        <v>109</v>
      </c>
      <c r="C2472" s="62" t="s">
        <v>31577</v>
      </c>
      <c r="F2472" s="62" t="s">
        <v>10368</v>
      </c>
      <c r="G2472" s="62" t="s">
        <v>49246</v>
      </c>
      <c r="J2472" s="62" t="s">
        <v>31578</v>
      </c>
      <c r="K2472" s="62" t="s">
        <v>49270</v>
      </c>
      <c r="L2472" s="62" t="s">
        <v>31579</v>
      </c>
      <c r="M2472" s="62" t="s">
        <v>31580</v>
      </c>
      <c r="N2472" s="62" t="s">
        <v>31581</v>
      </c>
      <c r="O2472" s="62" t="s">
        <v>31582</v>
      </c>
      <c r="P2472" s="62" t="s">
        <v>49294</v>
      </c>
      <c r="Q2472" s="62" t="s">
        <v>31583</v>
      </c>
      <c r="R2472" s="62" t="s">
        <v>31584</v>
      </c>
      <c r="S2472" s="62" t="s">
        <v>31585</v>
      </c>
      <c r="U2472" s="62" t="s">
        <v>31586</v>
      </c>
      <c r="V2472" s="62" t="s">
        <v>49318</v>
      </c>
      <c r="W2472" s="62" t="s">
        <v>31587</v>
      </c>
      <c r="X2472" s="62" t="s">
        <v>31588</v>
      </c>
      <c r="Y2472" s="62" t="s">
        <v>31589</v>
      </c>
      <c r="Z2472" s="62" t="s">
        <v>31590</v>
      </c>
      <c r="AA2472" s="62" t="s">
        <v>49342</v>
      </c>
      <c r="AB2472" s="62" t="s">
        <v>31591</v>
      </c>
      <c r="AC2472" s="62" t="s">
        <v>31592</v>
      </c>
      <c r="AD2472" s="62" t="s">
        <v>31593</v>
      </c>
    </row>
    <row r="2473" spans="1:30" x14ac:dyDescent="0.25">
      <c r="A2473" s="62" t="s">
        <v>109</v>
      </c>
      <c r="C2473" s="62" t="s">
        <v>31594</v>
      </c>
      <c r="F2473" s="62" t="s">
        <v>10422</v>
      </c>
      <c r="G2473" s="62" t="s">
        <v>49247</v>
      </c>
      <c r="J2473" s="62" t="s">
        <v>31595</v>
      </c>
      <c r="K2473" s="62" t="s">
        <v>49271</v>
      </c>
      <c r="L2473" s="62" t="s">
        <v>31596</v>
      </c>
      <c r="M2473" s="62" t="s">
        <v>31597</v>
      </c>
      <c r="N2473" s="62" t="s">
        <v>31598</v>
      </c>
      <c r="O2473" s="62" t="s">
        <v>31599</v>
      </c>
      <c r="P2473" s="62" t="s">
        <v>49295</v>
      </c>
      <c r="Q2473" s="62" t="s">
        <v>31600</v>
      </c>
      <c r="R2473" s="62" t="s">
        <v>31601</v>
      </c>
      <c r="S2473" s="62" t="s">
        <v>31602</v>
      </c>
      <c r="U2473" s="62" t="s">
        <v>31603</v>
      </c>
      <c r="V2473" s="62" t="s">
        <v>49319</v>
      </c>
      <c r="W2473" s="62" t="s">
        <v>31604</v>
      </c>
      <c r="X2473" s="62" t="s">
        <v>31605</v>
      </c>
      <c r="Y2473" s="62" t="s">
        <v>31606</v>
      </c>
      <c r="Z2473" s="62" t="s">
        <v>31607</v>
      </c>
      <c r="AA2473" s="62" t="s">
        <v>49343</v>
      </c>
      <c r="AB2473" s="62" t="s">
        <v>31608</v>
      </c>
      <c r="AC2473" s="62" t="s">
        <v>31609</v>
      </c>
      <c r="AD2473" s="62" t="s">
        <v>31610</v>
      </c>
    </row>
    <row r="2474" spans="1:30" x14ac:dyDescent="0.25">
      <c r="A2474" s="62" t="s">
        <v>109</v>
      </c>
      <c r="C2474" s="62" t="s">
        <v>31611</v>
      </c>
      <c r="F2474" s="62" t="s">
        <v>1002</v>
      </c>
      <c r="G2474" s="62" t="s">
        <v>49248</v>
      </c>
      <c r="J2474" s="62" t="s">
        <v>31612</v>
      </c>
      <c r="K2474" s="62" t="s">
        <v>49272</v>
      </c>
      <c r="L2474" s="62" t="s">
        <v>31613</v>
      </c>
      <c r="M2474" s="62" t="s">
        <v>31614</v>
      </c>
      <c r="N2474" s="62" t="s">
        <v>31615</v>
      </c>
      <c r="O2474" s="62" t="s">
        <v>31616</v>
      </c>
      <c r="P2474" s="62" t="s">
        <v>49296</v>
      </c>
      <c r="Q2474" s="62" t="s">
        <v>31617</v>
      </c>
      <c r="R2474" s="62" t="s">
        <v>31618</v>
      </c>
      <c r="S2474" s="62" t="s">
        <v>31619</v>
      </c>
      <c r="U2474" s="62" t="s">
        <v>31620</v>
      </c>
      <c r="V2474" s="62" t="s">
        <v>49320</v>
      </c>
      <c r="W2474" s="62" t="s">
        <v>31621</v>
      </c>
      <c r="X2474" s="62" t="s">
        <v>31622</v>
      </c>
      <c r="Y2474" s="62" t="s">
        <v>31623</v>
      </c>
      <c r="Z2474" s="62" t="s">
        <v>31624</v>
      </c>
      <c r="AA2474" s="62" t="s">
        <v>49344</v>
      </c>
      <c r="AB2474" s="62" t="s">
        <v>31625</v>
      </c>
      <c r="AC2474" s="62" t="s">
        <v>31626</v>
      </c>
      <c r="AD2474" s="62" t="s">
        <v>31627</v>
      </c>
    </row>
    <row r="2475" spans="1:30" x14ac:dyDescent="0.25">
      <c r="A2475" s="62" t="s">
        <v>109</v>
      </c>
      <c r="C2475" s="62" t="s">
        <v>31628</v>
      </c>
      <c r="F2475" s="62" t="s">
        <v>1073</v>
      </c>
      <c r="G2475" s="62" t="s">
        <v>49249</v>
      </c>
      <c r="J2475" s="62" t="s">
        <v>31629</v>
      </c>
      <c r="K2475" s="62" t="s">
        <v>49273</v>
      </c>
      <c r="L2475" s="62" t="s">
        <v>31630</v>
      </c>
      <c r="M2475" s="62" t="s">
        <v>31631</v>
      </c>
      <c r="N2475" s="62" t="s">
        <v>31632</v>
      </c>
      <c r="O2475" s="62" t="s">
        <v>31633</v>
      </c>
      <c r="P2475" s="62" t="s">
        <v>49297</v>
      </c>
      <c r="Q2475" s="62" t="s">
        <v>31634</v>
      </c>
      <c r="R2475" s="62" t="s">
        <v>31635</v>
      </c>
      <c r="S2475" s="62" t="s">
        <v>31636</v>
      </c>
      <c r="U2475" s="62" t="s">
        <v>31637</v>
      </c>
      <c r="V2475" s="62" t="s">
        <v>49321</v>
      </c>
      <c r="W2475" s="62" t="s">
        <v>31638</v>
      </c>
      <c r="X2475" s="62" t="s">
        <v>31639</v>
      </c>
      <c r="Y2475" s="62" t="s">
        <v>31640</v>
      </c>
      <c r="Z2475" s="62" t="s">
        <v>31641</v>
      </c>
      <c r="AA2475" s="62" t="s">
        <v>49345</v>
      </c>
      <c r="AB2475" s="62" t="s">
        <v>31642</v>
      </c>
      <c r="AC2475" s="62" t="s">
        <v>31643</v>
      </c>
      <c r="AD2475" s="62" t="s">
        <v>31644</v>
      </c>
    </row>
    <row r="2476" spans="1:30" x14ac:dyDescent="0.25">
      <c r="A2476" s="62" t="s">
        <v>109</v>
      </c>
      <c r="C2476" s="62" t="s">
        <v>31645</v>
      </c>
      <c r="F2476" s="62" t="s">
        <v>1090</v>
      </c>
      <c r="G2476" s="62" t="s">
        <v>49250</v>
      </c>
      <c r="J2476" s="62" t="s">
        <v>31646</v>
      </c>
      <c r="K2476" s="62" t="s">
        <v>49274</v>
      </c>
      <c r="L2476" s="62" t="s">
        <v>31647</v>
      </c>
      <c r="M2476" s="62" t="s">
        <v>31648</v>
      </c>
      <c r="N2476" s="62" t="s">
        <v>31649</v>
      </c>
      <c r="O2476" s="62" t="s">
        <v>31650</v>
      </c>
      <c r="P2476" s="62" t="s">
        <v>49298</v>
      </c>
      <c r="Q2476" s="62" t="s">
        <v>31651</v>
      </c>
      <c r="R2476" s="62" t="s">
        <v>31652</v>
      </c>
      <c r="S2476" s="62" t="s">
        <v>31653</v>
      </c>
      <c r="U2476" s="62" t="s">
        <v>31654</v>
      </c>
      <c r="V2476" s="62" t="s">
        <v>49322</v>
      </c>
      <c r="W2476" s="62" t="s">
        <v>31655</v>
      </c>
      <c r="X2476" s="62" t="s">
        <v>31656</v>
      </c>
      <c r="Y2476" s="62" t="s">
        <v>31657</v>
      </c>
      <c r="Z2476" s="62" t="s">
        <v>31658</v>
      </c>
      <c r="AA2476" s="62" t="s">
        <v>49346</v>
      </c>
      <c r="AB2476" s="62" t="s">
        <v>31659</v>
      </c>
      <c r="AC2476" s="62" t="s">
        <v>31660</v>
      </c>
      <c r="AD2476" s="62" t="s">
        <v>31661</v>
      </c>
    </row>
    <row r="2477" spans="1:30" x14ac:dyDescent="0.25">
      <c r="A2477" s="62" t="s">
        <v>109</v>
      </c>
      <c r="C2477" s="62" t="s">
        <v>31662</v>
      </c>
      <c r="F2477" s="62" t="s">
        <v>1100</v>
      </c>
      <c r="G2477" s="62" t="s">
        <v>49251</v>
      </c>
      <c r="J2477" s="62" t="s">
        <v>31663</v>
      </c>
      <c r="K2477" s="62" t="s">
        <v>49275</v>
      </c>
      <c r="L2477" s="62" t="s">
        <v>31664</v>
      </c>
      <c r="M2477" s="62" t="s">
        <v>31665</v>
      </c>
      <c r="N2477" s="62" t="s">
        <v>31666</v>
      </c>
      <c r="O2477" s="62" t="s">
        <v>31667</v>
      </c>
      <c r="P2477" s="62" t="s">
        <v>49299</v>
      </c>
      <c r="Q2477" s="62" t="s">
        <v>31668</v>
      </c>
      <c r="R2477" s="62" t="s">
        <v>31669</v>
      </c>
      <c r="S2477" s="62" t="s">
        <v>31670</v>
      </c>
      <c r="U2477" s="62" t="s">
        <v>31671</v>
      </c>
      <c r="V2477" s="62" t="s">
        <v>49323</v>
      </c>
      <c r="W2477" s="62" t="s">
        <v>31672</v>
      </c>
      <c r="X2477" s="62" t="s">
        <v>31673</v>
      </c>
      <c r="Y2477" s="62" t="s">
        <v>31674</v>
      </c>
      <c r="Z2477" s="62" t="s">
        <v>31675</v>
      </c>
      <c r="AA2477" s="62" t="s">
        <v>49347</v>
      </c>
      <c r="AB2477" s="62" t="s">
        <v>31676</v>
      </c>
      <c r="AC2477" s="62" t="s">
        <v>31677</v>
      </c>
      <c r="AD2477" s="62" t="s">
        <v>31678</v>
      </c>
    </row>
    <row r="2478" spans="1:30" x14ac:dyDescent="0.25">
      <c r="A2478" s="62" t="s">
        <v>109</v>
      </c>
      <c r="C2478" s="62" t="s">
        <v>31679</v>
      </c>
      <c r="F2478" s="62" t="s">
        <v>2337</v>
      </c>
      <c r="G2478" s="62" t="s">
        <v>49252</v>
      </c>
      <c r="J2478" s="62" t="s">
        <v>31680</v>
      </c>
      <c r="K2478" s="62" t="s">
        <v>49276</v>
      </c>
      <c r="L2478" s="62" t="s">
        <v>31681</v>
      </c>
      <c r="M2478" s="62" t="s">
        <v>31682</v>
      </c>
      <c r="N2478" s="62" t="s">
        <v>31683</v>
      </c>
      <c r="O2478" s="62" t="s">
        <v>31684</v>
      </c>
      <c r="P2478" s="62" t="s">
        <v>49300</v>
      </c>
      <c r="Q2478" s="62" t="s">
        <v>31685</v>
      </c>
      <c r="R2478" s="62" t="s">
        <v>31686</v>
      </c>
      <c r="S2478" s="62" t="s">
        <v>31687</v>
      </c>
      <c r="U2478" s="62" t="s">
        <v>31688</v>
      </c>
      <c r="V2478" s="62" t="s">
        <v>49324</v>
      </c>
      <c r="W2478" s="62" t="s">
        <v>31689</v>
      </c>
      <c r="X2478" s="62" t="s">
        <v>31690</v>
      </c>
      <c r="Y2478" s="62" t="s">
        <v>31691</v>
      </c>
      <c r="Z2478" s="62" t="s">
        <v>31692</v>
      </c>
      <c r="AA2478" s="62" t="s">
        <v>49348</v>
      </c>
      <c r="AB2478" s="62" t="s">
        <v>31693</v>
      </c>
      <c r="AC2478" s="62" t="s">
        <v>31694</v>
      </c>
      <c r="AD2478" s="62" t="s">
        <v>31695</v>
      </c>
    </row>
    <row r="2479" spans="1:30" x14ac:dyDescent="0.25">
      <c r="A2479" s="62" t="s">
        <v>109</v>
      </c>
      <c r="C2479" s="62" t="s">
        <v>31696</v>
      </c>
      <c r="F2479" s="62" t="s">
        <v>2355</v>
      </c>
      <c r="G2479" s="62" t="s">
        <v>49253</v>
      </c>
      <c r="J2479" s="62" t="s">
        <v>31697</v>
      </c>
      <c r="K2479" s="62" t="s">
        <v>49277</v>
      </c>
      <c r="L2479" s="62" t="s">
        <v>31698</v>
      </c>
      <c r="M2479" s="62" t="s">
        <v>31699</v>
      </c>
      <c r="N2479" s="62" t="s">
        <v>31700</v>
      </c>
      <c r="O2479" s="62" t="s">
        <v>31701</v>
      </c>
      <c r="P2479" s="62" t="s">
        <v>49301</v>
      </c>
      <c r="Q2479" s="62" t="s">
        <v>31702</v>
      </c>
      <c r="R2479" s="62" t="s">
        <v>31703</v>
      </c>
      <c r="S2479" s="62" t="s">
        <v>31704</v>
      </c>
      <c r="U2479" s="62" t="s">
        <v>31705</v>
      </c>
      <c r="V2479" s="62" t="s">
        <v>49325</v>
      </c>
      <c r="W2479" s="62" t="s">
        <v>31706</v>
      </c>
      <c r="X2479" s="62" t="s">
        <v>31707</v>
      </c>
      <c r="Y2479" s="62" t="s">
        <v>31708</v>
      </c>
      <c r="Z2479" s="62" t="s">
        <v>31709</v>
      </c>
      <c r="AA2479" s="62" t="s">
        <v>49349</v>
      </c>
      <c r="AB2479" s="62" t="s">
        <v>31710</v>
      </c>
      <c r="AC2479" s="62" t="s">
        <v>31711</v>
      </c>
      <c r="AD2479" s="62" t="s">
        <v>31712</v>
      </c>
    </row>
    <row r="2480" spans="1:30" x14ac:dyDescent="0.25">
      <c r="A2480" s="62" t="s">
        <v>109</v>
      </c>
      <c r="C2480" s="62" t="s">
        <v>31713</v>
      </c>
      <c r="F2480" s="62" t="s">
        <v>2372</v>
      </c>
      <c r="G2480" s="62" t="s">
        <v>49254</v>
      </c>
      <c r="J2480" s="62" t="s">
        <v>31714</v>
      </c>
      <c r="K2480" s="62" t="s">
        <v>49278</v>
      </c>
      <c r="L2480" s="62" t="s">
        <v>31715</v>
      </c>
      <c r="M2480" s="62" t="s">
        <v>31716</v>
      </c>
      <c r="N2480" s="62" t="s">
        <v>31717</v>
      </c>
      <c r="O2480" s="62" t="s">
        <v>31718</v>
      </c>
      <c r="P2480" s="62" t="s">
        <v>49302</v>
      </c>
      <c r="Q2480" s="62" t="s">
        <v>31719</v>
      </c>
      <c r="R2480" s="62" t="s">
        <v>31720</v>
      </c>
      <c r="S2480" s="62" t="s">
        <v>31721</v>
      </c>
      <c r="U2480" s="62" t="s">
        <v>31722</v>
      </c>
      <c r="V2480" s="62" t="s">
        <v>49326</v>
      </c>
      <c r="W2480" s="62" t="s">
        <v>31723</v>
      </c>
      <c r="X2480" s="62" t="s">
        <v>31724</v>
      </c>
      <c r="Y2480" s="62" t="s">
        <v>31725</v>
      </c>
      <c r="Z2480" s="62" t="s">
        <v>31726</v>
      </c>
      <c r="AA2480" s="62" t="s">
        <v>49350</v>
      </c>
      <c r="AB2480" s="62" t="s">
        <v>31727</v>
      </c>
      <c r="AC2480" s="62" t="s">
        <v>31728</v>
      </c>
      <c r="AD2480" s="62" t="s">
        <v>31729</v>
      </c>
    </row>
    <row r="2481" spans="1:30" x14ac:dyDescent="0.25">
      <c r="A2481" s="62" t="s">
        <v>109</v>
      </c>
      <c r="C2481" s="62" t="s">
        <v>31730</v>
      </c>
      <c r="F2481" s="62" t="s">
        <v>10559</v>
      </c>
      <c r="G2481" s="62" t="s">
        <v>49255</v>
      </c>
      <c r="J2481" s="62" t="s">
        <v>31731</v>
      </c>
      <c r="K2481" s="62" t="s">
        <v>49279</v>
      </c>
      <c r="L2481" s="62" t="s">
        <v>31732</v>
      </c>
      <c r="M2481" s="62" t="s">
        <v>31733</v>
      </c>
      <c r="N2481" s="62" t="s">
        <v>31734</v>
      </c>
      <c r="O2481" s="62" t="s">
        <v>31735</v>
      </c>
      <c r="P2481" s="62" t="s">
        <v>49303</v>
      </c>
      <c r="Q2481" s="62" t="s">
        <v>31736</v>
      </c>
      <c r="R2481" s="62" t="s">
        <v>31737</v>
      </c>
      <c r="S2481" s="62" t="s">
        <v>31738</v>
      </c>
      <c r="U2481" s="62" t="s">
        <v>31739</v>
      </c>
      <c r="V2481" s="62" t="s">
        <v>49327</v>
      </c>
      <c r="W2481" s="62" t="s">
        <v>31740</v>
      </c>
      <c r="X2481" s="62" t="s">
        <v>31741</v>
      </c>
      <c r="Y2481" s="62" t="s">
        <v>31742</v>
      </c>
      <c r="Z2481" s="62" t="s">
        <v>31743</v>
      </c>
      <c r="AA2481" s="62" t="s">
        <v>49351</v>
      </c>
      <c r="AB2481" s="62" t="s">
        <v>31744</v>
      </c>
      <c r="AC2481" s="62" t="s">
        <v>31745</v>
      </c>
      <c r="AD2481" s="62" t="s">
        <v>31746</v>
      </c>
    </row>
    <row r="2482" spans="1:30" x14ac:dyDescent="0.25">
      <c r="A2482" s="62" t="s">
        <v>109</v>
      </c>
      <c r="C2482" s="62" t="s">
        <v>31747</v>
      </c>
      <c r="F2482" s="62" t="s">
        <v>10649</v>
      </c>
      <c r="G2482" s="62" t="s">
        <v>49256</v>
      </c>
      <c r="J2482" s="62" t="s">
        <v>31748</v>
      </c>
      <c r="K2482" s="62" t="s">
        <v>49280</v>
      </c>
      <c r="L2482" s="62" t="s">
        <v>31749</v>
      </c>
      <c r="M2482" s="62" t="s">
        <v>31750</v>
      </c>
      <c r="N2482" s="62" t="s">
        <v>31751</v>
      </c>
      <c r="O2482" s="62" t="s">
        <v>31752</v>
      </c>
      <c r="P2482" s="62" t="s">
        <v>49304</v>
      </c>
      <c r="Q2482" s="62" t="s">
        <v>31753</v>
      </c>
      <c r="R2482" s="62" t="s">
        <v>31754</v>
      </c>
      <c r="S2482" s="62" t="s">
        <v>31755</v>
      </c>
      <c r="U2482" s="62" t="s">
        <v>31756</v>
      </c>
      <c r="V2482" s="62" t="s">
        <v>49328</v>
      </c>
      <c r="W2482" s="62" t="s">
        <v>31757</v>
      </c>
      <c r="X2482" s="62" t="s">
        <v>31758</v>
      </c>
      <c r="Y2482" s="62" t="s">
        <v>31759</v>
      </c>
      <c r="Z2482" s="62" t="s">
        <v>31760</v>
      </c>
      <c r="AA2482" s="62" t="s">
        <v>49352</v>
      </c>
      <c r="AB2482" s="62" t="s">
        <v>31761</v>
      </c>
      <c r="AC2482" s="62" t="s">
        <v>31762</v>
      </c>
      <c r="AD2482" s="62" t="s">
        <v>31763</v>
      </c>
    </row>
    <row r="2483" spans="1:30" x14ac:dyDescent="0.25">
      <c r="A2483" s="62" t="s">
        <v>109</v>
      </c>
      <c r="C2483" s="62" t="s">
        <v>31764</v>
      </c>
      <c r="F2483" s="62" t="s">
        <v>10757</v>
      </c>
      <c r="G2483" s="62" t="s">
        <v>49257</v>
      </c>
      <c r="J2483" s="62" t="s">
        <v>31765</v>
      </c>
      <c r="K2483" s="62" t="s">
        <v>49281</v>
      </c>
      <c r="L2483" s="62" t="s">
        <v>31766</v>
      </c>
      <c r="M2483" s="62" t="s">
        <v>31767</v>
      </c>
      <c r="N2483" s="62" t="s">
        <v>31768</v>
      </c>
      <c r="O2483" s="62" t="s">
        <v>31769</v>
      </c>
      <c r="P2483" s="62" t="s">
        <v>49305</v>
      </c>
      <c r="Q2483" s="62" t="s">
        <v>31770</v>
      </c>
      <c r="R2483" s="62" t="s">
        <v>31771</v>
      </c>
      <c r="S2483" s="62" t="s">
        <v>31772</v>
      </c>
      <c r="U2483" s="62" t="s">
        <v>31773</v>
      </c>
      <c r="V2483" s="62" t="s">
        <v>49329</v>
      </c>
      <c r="W2483" s="62" t="s">
        <v>31774</v>
      </c>
      <c r="X2483" s="62" t="s">
        <v>31775</v>
      </c>
      <c r="Y2483" s="62" t="s">
        <v>31776</v>
      </c>
      <c r="Z2483" s="62" t="s">
        <v>31777</v>
      </c>
      <c r="AA2483" s="62" t="s">
        <v>49353</v>
      </c>
      <c r="AB2483" s="62" t="s">
        <v>31778</v>
      </c>
      <c r="AC2483" s="62" t="s">
        <v>31779</v>
      </c>
      <c r="AD2483" s="62" t="s">
        <v>31780</v>
      </c>
    </row>
    <row r="2484" spans="1:30" x14ac:dyDescent="0.25">
      <c r="A2484" s="62" t="s">
        <v>109</v>
      </c>
      <c r="C2484" s="62" t="s">
        <v>31781</v>
      </c>
      <c r="F2484" s="62" t="s">
        <v>10775</v>
      </c>
      <c r="G2484" s="62" t="s">
        <v>49258</v>
      </c>
      <c r="J2484" s="62" t="s">
        <v>31782</v>
      </c>
      <c r="K2484" s="62" t="s">
        <v>49282</v>
      </c>
      <c r="L2484" s="62" t="s">
        <v>31783</v>
      </c>
      <c r="M2484" s="62" t="s">
        <v>31784</v>
      </c>
      <c r="N2484" s="62" t="s">
        <v>31785</v>
      </c>
      <c r="O2484" s="62" t="s">
        <v>31786</v>
      </c>
      <c r="P2484" s="62" t="s">
        <v>49306</v>
      </c>
      <c r="Q2484" s="62" t="s">
        <v>31787</v>
      </c>
      <c r="R2484" s="62" t="s">
        <v>31788</v>
      </c>
      <c r="S2484" s="62" t="s">
        <v>31789</v>
      </c>
      <c r="U2484" s="62" t="s">
        <v>31790</v>
      </c>
      <c r="V2484" s="62" t="s">
        <v>49330</v>
      </c>
      <c r="W2484" s="62" t="s">
        <v>31791</v>
      </c>
      <c r="X2484" s="62" t="s">
        <v>31792</v>
      </c>
      <c r="Y2484" s="62" t="s">
        <v>31793</v>
      </c>
      <c r="Z2484" s="62" t="s">
        <v>31794</v>
      </c>
      <c r="AA2484" s="62" t="s">
        <v>49354</v>
      </c>
      <c r="AB2484" s="62" t="s">
        <v>31795</v>
      </c>
      <c r="AC2484" s="62" t="s">
        <v>31796</v>
      </c>
      <c r="AD2484" s="62" t="s">
        <v>31797</v>
      </c>
    </row>
    <row r="2485" spans="1:30" x14ac:dyDescent="0.25">
      <c r="A2485" s="62" t="s">
        <v>109</v>
      </c>
      <c r="C2485" s="62" t="s">
        <v>31798</v>
      </c>
      <c r="F2485" s="62" t="s">
        <v>10829</v>
      </c>
      <c r="G2485" s="62" t="s">
        <v>49259</v>
      </c>
      <c r="J2485" s="62" t="s">
        <v>31799</v>
      </c>
      <c r="K2485" s="62" t="s">
        <v>49283</v>
      </c>
      <c r="L2485" s="62" t="s">
        <v>31800</v>
      </c>
      <c r="M2485" s="62" t="s">
        <v>31801</v>
      </c>
      <c r="N2485" s="62" t="s">
        <v>31802</v>
      </c>
      <c r="O2485" s="62" t="s">
        <v>31803</v>
      </c>
      <c r="P2485" s="62" t="s">
        <v>49307</v>
      </c>
      <c r="Q2485" s="62" t="s">
        <v>31804</v>
      </c>
      <c r="R2485" s="62" t="s">
        <v>31805</v>
      </c>
      <c r="S2485" s="62" t="s">
        <v>31806</v>
      </c>
      <c r="U2485" s="62" t="s">
        <v>31807</v>
      </c>
      <c r="V2485" s="62" t="s">
        <v>49331</v>
      </c>
      <c r="W2485" s="62" t="s">
        <v>31808</v>
      </c>
      <c r="X2485" s="62" t="s">
        <v>31809</v>
      </c>
      <c r="Y2485" s="62" t="s">
        <v>31810</v>
      </c>
      <c r="Z2485" s="62" t="s">
        <v>31811</v>
      </c>
      <c r="AA2485" s="62" t="s">
        <v>49355</v>
      </c>
      <c r="AB2485" s="62" t="s">
        <v>31812</v>
      </c>
      <c r="AC2485" s="62" t="s">
        <v>31813</v>
      </c>
      <c r="AD2485" s="62" t="s">
        <v>31814</v>
      </c>
    </row>
    <row r="2486" spans="1:30" x14ac:dyDescent="0.25">
      <c r="A2486" s="62" t="s">
        <v>109</v>
      </c>
      <c r="C2486" s="62" t="s">
        <v>31815</v>
      </c>
      <c r="F2486" s="62" t="s">
        <v>10847</v>
      </c>
      <c r="G2486" s="62" t="s">
        <v>49260</v>
      </c>
      <c r="J2486" s="62" t="s">
        <v>31816</v>
      </c>
      <c r="K2486" s="62" t="s">
        <v>49284</v>
      </c>
      <c r="L2486" s="62" t="s">
        <v>31817</v>
      </c>
      <c r="M2486" s="62" t="s">
        <v>31818</v>
      </c>
      <c r="N2486" s="62" t="s">
        <v>31819</v>
      </c>
      <c r="O2486" s="62" t="s">
        <v>31820</v>
      </c>
      <c r="P2486" s="62" t="s">
        <v>49308</v>
      </c>
      <c r="Q2486" s="62" t="s">
        <v>31821</v>
      </c>
      <c r="R2486" s="62" t="s">
        <v>31822</v>
      </c>
      <c r="S2486" s="62" t="s">
        <v>31823</v>
      </c>
      <c r="U2486" s="62" t="s">
        <v>31824</v>
      </c>
      <c r="V2486" s="62" t="s">
        <v>49332</v>
      </c>
      <c r="W2486" s="62" t="s">
        <v>31825</v>
      </c>
      <c r="X2486" s="62" t="s">
        <v>31826</v>
      </c>
      <c r="Y2486" s="62" t="s">
        <v>31827</v>
      </c>
      <c r="Z2486" s="62" t="s">
        <v>31828</v>
      </c>
      <c r="AA2486" s="62" t="s">
        <v>49356</v>
      </c>
      <c r="AB2486" s="62" t="s">
        <v>31829</v>
      </c>
      <c r="AC2486" s="62" t="s">
        <v>31830</v>
      </c>
      <c r="AD2486" s="62" t="s">
        <v>31831</v>
      </c>
    </row>
    <row r="2487" spans="1:30" x14ac:dyDescent="0.25">
      <c r="A2487" s="62" t="s">
        <v>109</v>
      </c>
      <c r="C2487" s="62" t="s">
        <v>31832</v>
      </c>
      <c r="F2487" s="62" t="s">
        <v>1152</v>
      </c>
      <c r="G2487" s="62" t="s">
        <v>49261</v>
      </c>
      <c r="J2487" s="62" t="s">
        <v>31833</v>
      </c>
      <c r="K2487" s="62" t="s">
        <v>49285</v>
      </c>
      <c r="L2487" s="62" t="s">
        <v>31834</v>
      </c>
      <c r="M2487" s="62" t="s">
        <v>31835</v>
      </c>
      <c r="N2487" s="62" t="s">
        <v>31836</v>
      </c>
      <c r="O2487" s="62" t="s">
        <v>31837</v>
      </c>
      <c r="P2487" s="62" t="s">
        <v>49309</v>
      </c>
      <c r="Q2487" s="62" t="s">
        <v>31838</v>
      </c>
      <c r="R2487" s="62" t="s">
        <v>31839</v>
      </c>
      <c r="S2487" s="62" t="s">
        <v>31840</v>
      </c>
      <c r="U2487" s="62" t="s">
        <v>31841</v>
      </c>
      <c r="V2487" s="62" t="s">
        <v>49333</v>
      </c>
      <c r="W2487" s="62" t="s">
        <v>31842</v>
      </c>
      <c r="X2487" s="62" t="s">
        <v>31843</v>
      </c>
      <c r="Y2487" s="62" t="s">
        <v>31844</v>
      </c>
      <c r="Z2487" s="62" t="s">
        <v>31845</v>
      </c>
      <c r="AA2487" s="62" t="s">
        <v>49357</v>
      </c>
      <c r="AB2487" s="62" t="s">
        <v>31846</v>
      </c>
      <c r="AC2487" s="62" t="s">
        <v>31847</v>
      </c>
      <c r="AD2487" s="62" t="s">
        <v>31848</v>
      </c>
    </row>
    <row r="2488" spans="1:30" x14ac:dyDescent="0.25">
      <c r="A2488" s="62" t="s">
        <v>109</v>
      </c>
      <c r="C2488" s="62" t="s">
        <v>31849</v>
      </c>
      <c r="F2488" s="62" t="s">
        <v>1797</v>
      </c>
      <c r="G2488" s="62" t="s">
        <v>49262</v>
      </c>
      <c r="J2488" s="62" t="s">
        <v>31850</v>
      </c>
      <c r="K2488" s="62" t="s">
        <v>49286</v>
      </c>
      <c r="L2488" s="62" t="s">
        <v>31851</v>
      </c>
      <c r="M2488" s="62" t="s">
        <v>31852</v>
      </c>
      <c r="N2488" s="62" t="s">
        <v>31853</v>
      </c>
      <c r="O2488" s="62" t="s">
        <v>31854</v>
      </c>
      <c r="P2488" s="62" t="s">
        <v>49310</v>
      </c>
      <c r="Q2488" s="62" t="s">
        <v>31855</v>
      </c>
      <c r="R2488" s="62" t="s">
        <v>31856</v>
      </c>
      <c r="S2488" s="62" t="s">
        <v>31857</v>
      </c>
      <c r="U2488" s="62" t="s">
        <v>31858</v>
      </c>
      <c r="V2488" s="62" t="s">
        <v>49334</v>
      </c>
      <c r="W2488" s="62" t="s">
        <v>31859</v>
      </c>
      <c r="X2488" s="62" t="s">
        <v>31860</v>
      </c>
      <c r="Y2488" s="62" t="s">
        <v>31861</v>
      </c>
      <c r="Z2488" s="62" t="s">
        <v>31862</v>
      </c>
      <c r="AA2488" s="62" t="s">
        <v>49358</v>
      </c>
      <c r="AB2488" s="62" t="s">
        <v>31863</v>
      </c>
      <c r="AC2488" s="62" t="s">
        <v>31864</v>
      </c>
      <c r="AD2488" s="62" t="s">
        <v>31865</v>
      </c>
    </row>
    <row r="2489" spans="1:30" x14ac:dyDescent="0.25">
      <c r="A2489" s="62" t="s">
        <v>109</v>
      </c>
      <c r="C2489" s="62" t="s">
        <v>31866</v>
      </c>
      <c r="F2489" s="62" t="s">
        <v>13249</v>
      </c>
      <c r="G2489" s="62" t="s">
        <v>49263</v>
      </c>
      <c r="J2489" s="62" t="s">
        <v>31867</v>
      </c>
      <c r="K2489" s="62" t="s">
        <v>49287</v>
      </c>
      <c r="L2489" s="62" t="s">
        <v>31868</v>
      </c>
      <c r="M2489" s="62" t="s">
        <v>31869</v>
      </c>
      <c r="N2489" s="62" t="s">
        <v>31870</v>
      </c>
      <c r="O2489" s="62" t="s">
        <v>31871</v>
      </c>
      <c r="P2489" s="62" t="s">
        <v>49311</v>
      </c>
      <c r="Q2489" s="62" t="s">
        <v>31872</v>
      </c>
      <c r="R2489" s="62" t="s">
        <v>31873</v>
      </c>
      <c r="S2489" s="62" t="s">
        <v>31874</v>
      </c>
      <c r="U2489" s="62" t="s">
        <v>31875</v>
      </c>
      <c r="V2489" s="62" t="s">
        <v>49335</v>
      </c>
      <c r="W2489" s="62" t="s">
        <v>31876</v>
      </c>
      <c r="X2489" s="62" t="s">
        <v>31877</v>
      </c>
      <c r="Y2489" s="62" t="s">
        <v>31878</v>
      </c>
      <c r="Z2489" s="62" t="s">
        <v>31879</v>
      </c>
      <c r="AA2489" s="62" t="s">
        <v>49359</v>
      </c>
      <c r="AB2489" s="62" t="s">
        <v>31880</v>
      </c>
      <c r="AC2489" s="62" t="s">
        <v>31881</v>
      </c>
      <c r="AD2489" s="62" t="s">
        <v>31882</v>
      </c>
    </row>
    <row r="2490" spans="1:30" x14ac:dyDescent="0.25">
      <c r="A2490" s="62" t="s">
        <v>109</v>
      </c>
      <c r="C2490" s="62" t="s">
        <v>31883</v>
      </c>
      <c r="F2490" s="62" t="s">
        <v>10927</v>
      </c>
      <c r="G2490" s="62" t="s">
        <v>49264</v>
      </c>
      <c r="J2490" s="62" t="s">
        <v>31884</v>
      </c>
      <c r="K2490" s="62" t="s">
        <v>49288</v>
      </c>
      <c r="L2490" s="62" t="s">
        <v>31885</v>
      </c>
      <c r="M2490" s="62" t="s">
        <v>31886</v>
      </c>
      <c r="N2490" s="62" t="s">
        <v>31887</v>
      </c>
      <c r="O2490" s="62" t="s">
        <v>31888</v>
      </c>
      <c r="P2490" s="62" t="s">
        <v>49312</v>
      </c>
      <c r="Q2490" s="62" t="s">
        <v>31889</v>
      </c>
      <c r="R2490" s="62" t="s">
        <v>31890</v>
      </c>
      <c r="S2490" s="62" t="s">
        <v>31891</v>
      </c>
      <c r="U2490" s="62" t="s">
        <v>31892</v>
      </c>
      <c r="V2490" s="62" t="s">
        <v>49336</v>
      </c>
      <c r="W2490" s="62" t="s">
        <v>31893</v>
      </c>
      <c r="X2490" s="62" t="s">
        <v>31894</v>
      </c>
      <c r="Y2490" s="62" t="s">
        <v>31895</v>
      </c>
      <c r="Z2490" s="62" t="s">
        <v>31896</v>
      </c>
      <c r="AA2490" s="62" t="s">
        <v>49360</v>
      </c>
      <c r="AB2490" s="62" t="s">
        <v>31897</v>
      </c>
      <c r="AC2490" s="62" t="s">
        <v>31898</v>
      </c>
      <c r="AD2490" s="62" t="s">
        <v>31899</v>
      </c>
    </row>
    <row r="2491" spans="1:30" x14ac:dyDescent="0.25">
      <c r="A2491" s="62" t="s">
        <v>109</v>
      </c>
      <c r="C2491" s="62" t="s">
        <v>31900</v>
      </c>
      <c r="F2491" s="62" t="s">
        <v>10929</v>
      </c>
      <c r="G2491" s="62" t="s">
        <v>49265</v>
      </c>
      <c r="J2491" s="62" t="s">
        <v>31901</v>
      </c>
      <c r="K2491" s="62" t="s">
        <v>49289</v>
      </c>
      <c r="L2491" s="62" t="s">
        <v>31902</v>
      </c>
      <c r="M2491" s="62" t="s">
        <v>31903</v>
      </c>
      <c r="N2491" s="62" t="s">
        <v>31904</v>
      </c>
      <c r="O2491" s="62" t="s">
        <v>31905</v>
      </c>
      <c r="P2491" s="62" t="s">
        <v>49313</v>
      </c>
      <c r="Q2491" s="62" t="s">
        <v>31906</v>
      </c>
      <c r="R2491" s="62" t="s">
        <v>31907</v>
      </c>
      <c r="S2491" s="62" t="s">
        <v>31908</v>
      </c>
      <c r="U2491" s="62" t="s">
        <v>31909</v>
      </c>
      <c r="V2491" s="62" t="s">
        <v>49337</v>
      </c>
      <c r="W2491" s="62" t="s">
        <v>31910</v>
      </c>
      <c r="X2491" s="62" t="s">
        <v>31911</v>
      </c>
      <c r="Y2491" s="62" t="s">
        <v>31912</v>
      </c>
      <c r="Z2491" s="62" t="s">
        <v>31913</v>
      </c>
      <c r="AA2491" s="62" t="s">
        <v>49361</v>
      </c>
      <c r="AB2491" s="62" t="s">
        <v>31914</v>
      </c>
      <c r="AC2491" s="62" t="s">
        <v>31915</v>
      </c>
      <c r="AD2491" s="62" t="s">
        <v>31916</v>
      </c>
    </row>
    <row r="2492" spans="1:30" x14ac:dyDescent="0.25">
      <c r="A2492" s="62" t="s">
        <v>109</v>
      </c>
      <c r="C2492" s="62" t="s">
        <v>31526</v>
      </c>
    </row>
    <row r="2493" spans="1:30" x14ac:dyDescent="0.25">
      <c r="A2493" s="62" t="s">
        <v>109</v>
      </c>
      <c r="C2493" s="62" t="s">
        <v>31917</v>
      </c>
      <c r="G2493" s="62" t="s">
        <v>45370</v>
      </c>
      <c r="J2493" s="62" t="s">
        <v>45371</v>
      </c>
      <c r="K2493" s="62" t="s">
        <v>45372</v>
      </c>
      <c r="L2493" s="62" t="s">
        <v>45373</v>
      </c>
      <c r="M2493" s="62" t="s">
        <v>31918</v>
      </c>
      <c r="N2493" s="62" t="s">
        <v>31919</v>
      </c>
      <c r="O2493" s="62" t="s">
        <v>45374</v>
      </c>
      <c r="P2493" s="62" t="s">
        <v>45375</v>
      </c>
      <c r="Q2493" s="62" t="s">
        <v>45376</v>
      </c>
      <c r="R2493" s="62" t="s">
        <v>31920</v>
      </c>
      <c r="S2493" s="62" t="s">
        <v>31921</v>
      </c>
      <c r="U2493" s="62" t="s">
        <v>45377</v>
      </c>
      <c r="V2493" s="62" t="s">
        <v>45378</v>
      </c>
      <c r="W2493" s="62" t="s">
        <v>45379</v>
      </c>
      <c r="X2493" s="62" t="s">
        <v>31922</v>
      </c>
      <c r="Y2493" s="62" t="s">
        <v>31923</v>
      </c>
      <c r="Z2493" s="62" t="s">
        <v>45380</v>
      </c>
      <c r="AA2493" s="62" t="s">
        <v>45381</v>
      </c>
      <c r="AB2493" s="62" t="s">
        <v>45382</v>
      </c>
      <c r="AC2493" s="62" t="s">
        <v>31924</v>
      </c>
      <c r="AD2493" s="62" t="s">
        <v>31925</v>
      </c>
    </row>
    <row r="2494" spans="1:30" x14ac:dyDescent="0.25">
      <c r="A2494" s="62" t="s">
        <v>109</v>
      </c>
    </row>
    <row r="2495" spans="1:30" x14ac:dyDescent="0.25">
      <c r="A2495" s="62" t="s">
        <v>109</v>
      </c>
      <c r="C2495" s="62" t="s">
        <v>45383</v>
      </c>
      <c r="E2495" s="62" t="s">
        <v>39690</v>
      </c>
      <c r="G2495" s="62" t="s">
        <v>45384</v>
      </c>
    </row>
    <row r="2496" spans="1:30" x14ac:dyDescent="0.25">
      <c r="A2496" s="62" t="s">
        <v>109</v>
      </c>
      <c r="C2496" s="62" t="s">
        <v>31926</v>
      </c>
    </row>
    <row r="2497" spans="1:30" x14ac:dyDescent="0.25">
      <c r="A2497" s="62" t="s">
        <v>109</v>
      </c>
      <c r="C2497" s="62" t="s">
        <v>31928</v>
      </c>
      <c r="F2497" s="62" t="s">
        <v>45385</v>
      </c>
      <c r="G2497" s="62" t="s">
        <v>49122</v>
      </c>
      <c r="J2497" s="62" t="s">
        <v>31929</v>
      </c>
      <c r="K2497" s="62" t="s">
        <v>49146</v>
      </c>
      <c r="L2497" s="62" t="s">
        <v>31930</v>
      </c>
      <c r="M2497" s="62" t="s">
        <v>31931</v>
      </c>
      <c r="N2497" s="62" t="s">
        <v>31932</v>
      </c>
      <c r="O2497" s="62" t="s">
        <v>31933</v>
      </c>
      <c r="P2497" s="62" t="s">
        <v>49170</v>
      </c>
      <c r="Q2497" s="62" t="s">
        <v>31934</v>
      </c>
      <c r="R2497" s="62" t="s">
        <v>31935</v>
      </c>
      <c r="S2497" s="62" t="s">
        <v>31936</v>
      </c>
      <c r="U2497" s="62" t="s">
        <v>31937</v>
      </c>
      <c r="V2497" s="62" t="s">
        <v>49194</v>
      </c>
      <c r="W2497" s="62" t="s">
        <v>31938</v>
      </c>
      <c r="X2497" s="62" t="s">
        <v>31939</v>
      </c>
      <c r="Y2497" s="62" t="s">
        <v>31940</v>
      </c>
      <c r="Z2497" s="62" t="s">
        <v>31941</v>
      </c>
      <c r="AA2497" s="62" t="s">
        <v>49218</v>
      </c>
      <c r="AB2497" s="62" t="s">
        <v>31942</v>
      </c>
      <c r="AC2497" s="62" t="s">
        <v>31943</v>
      </c>
      <c r="AD2497" s="62" t="s">
        <v>31944</v>
      </c>
    </row>
    <row r="2498" spans="1:30" x14ac:dyDescent="0.25">
      <c r="A2498" s="62" t="s">
        <v>109</v>
      </c>
      <c r="C2498" s="62" t="s">
        <v>31945</v>
      </c>
      <c r="F2498" s="62" t="s">
        <v>2153</v>
      </c>
      <c r="G2498" s="62" t="s">
        <v>49123</v>
      </c>
      <c r="J2498" s="62" t="s">
        <v>31946</v>
      </c>
      <c r="K2498" s="62" t="s">
        <v>49147</v>
      </c>
      <c r="L2498" s="62" t="s">
        <v>31947</v>
      </c>
      <c r="M2498" s="62" t="s">
        <v>31948</v>
      </c>
      <c r="N2498" s="62" t="s">
        <v>31949</v>
      </c>
      <c r="O2498" s="62" t="s">
        <v>31950</v>
      </c>
      <c r="P2498" s="62" t="s">
        <v>49171</v>
      </c>
      <c r="Q2498" s="62" t="s">
        <v>31951</v>
      </c>
      <c r="R2498" s="62" t="s">
        <v>31952</v>
      </c>
      <c r="S2498" s="62" t="s">
        <v>31953</v>
      </c>
      <c r="U2498" s="62" t="s">
        <v>31954</v>
      </c>
      <c r="V2498" s="62" t="s">
        <v>49195</v>
      </c>
      <c r="W2498" s="62" t="s">
        <v>31955</v>
      </c>
      <c r="X2498" s="62" t="s">
        <v>31956</v>
      </c>
      <c r="Y2498" s="62" t="s">
        <v>31957</v>
      </c>
      <c r="Z2498" s="62" t="s">
        <v>31958</v>
      </c>
      <c r="AA2498" s="62" t="s">
        <v>49219</v>
      </c>
      <c r="AB2498" s="62" t="s">
        <v>31959</v>
      </c>
      <c r="AC2498" s="62" t="s">
        <v>31960</v>
      </c>
      <c r="AD2498" s="62" t="s">
        <v>31961</v>
      </c>
    </row>
    <row r="2499" spans="1:30" x14ac:dyDescent="0.25">
      <c r="A2499" s="62" t="s">
        <v>109</v>
      </c>
      <c r="C2499" s="62" t="s">
        <v>31962</v>
      </c>
      <c r="F2499" s="62" t="s">
        <v>2170</v>
      </c>
      <c r="G2499" s="62" t="s">
        <v>49124</v>
      </c>
      <c r="J2499" s="62" t="s">
        <v>31963</v>
      </c>
      <c r="K2499" s="62" t="s">
        <v>49148</v>
      </c>
      <c r="L2499" s="62" t="s">
        <v>31964</v>
      </c>
      <c r="M2499" s="62" t="s">
        <v>31965</v>
      </c>
      <c r="N2499" s="62" t="s">
        <v>31966</v>
      </c>
      <c r="O2499" s="62" t="s">
        <v>31967</v>
      </c>
      <c r="P2499" s="62" t="s">
        <v>49172</v>
      </c>
      <c r="Q2499" s="62" t="s">
        <v>31968</v>
      </c>
      <c r="R2499" s="62" t="s">
        <v>31969</v>
      </c>
      <c r="S2499" s="62" t="s">
        <v>31970</v>
      </c>
      <c r="U2499" s="62" t="s">
        <v>31971</v>
      </c>
      <c r="V2499" s="62" t="s">
        <v>49196</v>
      </c>
      <c r="W2499" s="62" t="s">
        <v>31972</v>
      </c>
      <c r="X2499" s="62" t="s">
        <v>31973</v>
      </c>
      <c r="Y2499" s="62" t="s">
        <v>31974</v>
      </c>
      <c r="Z2499" s="62" t="s">
        <v>31975</v>
      </c>
      <c r="AA2499" s="62" t="s">
        <v>49220</v>
      </c>
      <c r="AB2499" s="62" t="s">
        <v>31976</v>
      </c>
      <c r="AC2499" s="62" t="s">
        <v>31977</v>
      </c>
      <c r="AD2499" s="62" t="s">
        <v>31978</v>
      </c>
    </row>
    <row r="2500" spans="1:30" x14ac:dyDescent="0.25">
      <c r="A2500" s="62" t="s">
        <v>109</v>
      </c>
      <c r="C2500" s="62" t="s">
        <v>31979</v>
      </c>
      <c r="F2500" s="62" t="s">
        <v>2187</v>
      </c>
      <c r="G2500" s="62" t="s">
        <v>49125</v>
      </c>
      <c r="J2500" s="62" t="s">
        <v>31980</v>
      </c>
      <c r="K2500" s="62" t="s">
        <v>49149</v>
      </c>
      <c r="L2500" s="62" t="s">
        <v>31981</v>
      </c>
      <c r="M2500" s="62" t="s">
        <v>31982</v>
      </c>
      <c r="N2500" s="62" t="s">
        <v>31983</v>
      </c>
      <c r="O2500" s="62" t="s">
        <v>31984</v>
      </c>
      <c r="P2500" s="62" t="s">
        <v>49173</v>
      </c>
      <c r="Q2500" s="62" t="s">
        <v>31985</v>
      </c>
      <c r="R2500" s="62" t="s">
        <v>31986</v>
      </c>
      <c r="S2500" s="62" t="s">
        <v>31987</v>
      </c>
      <c r="U2500" s="62" t="s">
        <v>31988</v>
      </c>
      <c r="V2500" s="62" t="s">
        <v>49197</v>
      </c>
      <c r="W2500" s="62" t="s">
        <v>31989</v>
      </c>
      <c r="X2500" s="62" t="s">
        <v>31990</v>
      </c>
      <c r="Y2500" s="62" t="s">
        <v>31991</v>
      </c>
      <c r="Z2500" s="62" t="s">
        <v>31992</v>
      </c>
      <c r="AA2500" s="62" t="s">
        <v>49221</v>
      </c>
      <c r="AB2500" s="62" t="s">
        <v>31993</v>
      </c>
      <c r="AC2500" s="62" t="s">
        <v>31994</v>
      </c>
      <c r="AD2500" s="62" t="s">
        <v>31995</v>
      </c>
    </row>
    <row r="2501" spans="1:30" x14ac:dyDescent="0.25">
      <c r="A2501" s="62" t="s">
        <v>109</v>
      </c>
      <c r="C2501" s="62" t="s">
        <v>31996</v>
      </c>
      <c r="F2501" s="62" t="s">
        <v>5259</v>
      </c>
      <c r="G2501" s="62" t="s">
        <v>49126</v>
      </c>
      <c r="J2501" s="62" t="s">
        <v>31997</v>
      </c>
      <c r="K2501" s="62" t="s">
        <v>49150</v>
      </c>
      <c r="L2501" s="62" t="s">
        <v>31998</v>
      </c>
      <c r="M2501" s="62" t="s">
        <v>31999</v>
      </c>
      <c r="N2501" s="62" t="s">
        <v>32000</v>
      </c>
      <c r="O2501" s="62" t="s">
        <v>32001</v>
      </c>
      <c r="P2501" s="62" t="s">
        <v>49174</v>
      </c>
      <c r="Q2501" s="62" t="s">
        <v>32002</v>
      </c>
      <c r="R2501" s="62" t="s">
        <v>32003</v>
      </c>
      <c r="S2501" s="62" t="s">
        <v>32004</v>
      </c>
      <c r="U2501" s="62" t="s">
        <v>32005</v>
      </c>
      <c r="V2501" s="62" t="s">
        <v>49198</v>
      </c>
      <c r="W2501" s="62" t="s">
        <v>32006</v>
      </c>
      <c r="X2501" s="62" t="s">
        <v>32007</v>
      </c>
      <c r="Y2501" s="62" t="s">
        <v>32008</v>
      </c>
      <c r="Z2501" s="62" t="s">
        <v>32009</v>
      </c>
      <c r="AA2501" s="62" t="s">
        <v>49222</v>
      </c>
      <c r="AB2501" s="62" t="s">
        <v>32010</v>
      </c>
      <c r="AC2501" s="62" t="s">
        <v>32011</v>
      </c>
      <c r="AD2501" s="62" t="s">
        <v>32012</v>
      </c>
    </row>
    <row r="2502" spans="1:30" x14ac:dyDescent="0.25">
      <c r="A2502" s="62" t="s">
        <v>109</v>
      </c>
      <c r="C2502" s="62" t="s">
        <v>45386</v>
      </c>
      <c r="F2502" s="62" t="s">
        <v>176</v>
      </c>
      <c r="G2502" s="62" t="s">
        <v>49127</v>
      </c>
      <c r="J2502" s="62" t="s">
        <v>45387</v>
      </c>
      <c r="K2502" s="62" t="s">
        <v>49151</v>
      </c>
      <c r="L2502" s="62" t="s">
        <v>45388</v>
      </c>
      <c r="M2502" s="62" t="s">
        <v>45389</v>
      </c>
      <c r="N2502" s="62" t="s">
        <v>45390</v>
      </c>
      <c r="O2502" s="62" t="s">
        <v>45391</v>
      </c>
      <c r="P2502" s="62" t="s">
        <v>49175</v>
      </c>
      <c r="Q2502" s="62" t="s">
        <v>45392</v>
      </c>
      <c r="R2502" s="62" t="s">
        <v>45393</v>
      </c>
      <c r="S2502" s="62" t="s">
        <v>45394</v>
      </c>
      <c r="U2502" s="62" t="s">
        <v>45395</v>
      </c>
      <c r="V2502" s="62" t="s">
        <v>49199</v>
      </c>
      <c r="W2502" s="62" t="s">
        <v>45396</v>
      </c>
      <c r="X2502" s="62" t="s">
        <v>45397</v>
      </c>
      <c r="Y2502" s="62" t="s">
        <v>45398</v>
      </c>
      <c r="Z2502" s="62" t="s">
        <v>45399</v>
      </c>
      <c r="AA2502" s="62" t="s">
        <v>49223</v>
      </c>
      <c r="AB2502" s="62" t="s">
        <v>45400</v>
      </c>
      <c r="AC2502" s="62" t="s">
        <v>45401</v>
      </c>
      <c r="AD2502" s="62" t="s">
        <v>45402</v>
      </c>
    </row>
    <row r="2503" spans="1:30" x14ac:dyDescent="0.25">
      <c r="A2503" s="62" t="s">
        <v>109</v>
      </c>
      <c r="C2503" s="62" t="s">
        <v>32013</v>
      </c>
      <c r="F2503" s="62" t="s">
        <v>976</v>
      </c>
      <c r="G2503" s="62" t="s">
        <v>49128</v>
      </c>
      <c r="J2503" s="62" t="s">
        <v>45403</v>
      </c>
      <c r="K2503" s="62" t="s">
        <v>49152</v>
      </c>
      <c r="L2503" s="62" t="s">
        <v>45404</v>
      </c>
      <c r="M2503" s="62" t="s">
        <v>32014</v>
      </c>
      <c r="N2503" s="62" t="s">
        <v>32015</v>
      </c>
      <c r="O2503" s="62" t="s">
        <v>45405</v>
      </c>
      <c r="P2503" s="62" t="s">
        <v>49176</v>
      </c>
      <c r="Q2503" s="62" t="s">
        <v>45406</v>
      </c>
      <c r="R2503" s="62" t="s">
        <v>32016</v>
      </c>
      <c r="S2503" s="62" t="s">
        <v>32017</v>
      </c>
      <c r="U2503" s="62" t="s">
        <v>45407</v>
      </c>
      <c r="V2503" s="62" t="s">
        <v>49200</v>
      </c>
      <c r="W2503" s="62" t="s">
        <v>45408</v>
      </c>
      <c r="X2503" s="62" t="s">
        <v>32018</v>
      </c>
      <c r="Y2503" s="62" t="s">
        <v>32019</v>
      </c>
      <c r="Z2503" s="62" t="s">
        <v>45409</v>
      </c>
      <c r="AA2503" s="62" t="s">
        <v>49224</v>
      </c>
      <c r="AB2503" s="62" t="s">
        <v>45410</v>
      </c>
      <c r="AC2503" s="62" t="s">
        <v>32020</v>
      </c>
      <c r="AD2503" s="62" t="s">
        <v>32021</v>
      </c>
    </row>
    <row r="2504" spans="1:30" x14ac:dyDescent="0.25">
      <c r="A2504" s="62" t="s">
        <v>109</v>
      </c>
      <c r="C2504" s="62" t="s">
        <v>45411</v>
      </c>
      <c r="F2504" s="62" t="s">
        <v>2405</v>
      </c>
      <c r="G2504" s="62" t="s">
        <v>49129</v>
      </c>
      <c r="J2504" s="62" t="s">
        <v>45412</v>
      </c>
      <c r="K2504" s="62" t="s">
        <v>49153</v>
      </c>
      <c r="L2504" s="62" t="s">
        <v>45413</v>
      </c>
      <c r="M2504" s="62" t="s">
        <v>45414</v>
      </c>
      <c r="N2504" s="62" t="s">
        <v>45415</v>
      </c>
      <c r="O2504" s="62" t="s">
        <v>45416</v>
      </c>
      <c r="P2504" s="62" t="s">
        <v>49177</v>
      </c>
      <c r="Q2504" s="62" t="s">
        <v>45417</v>
      </c>
      <c r="R2504" s="62" t="s">
        <v>45418</v>
      </c>
      <c r="S2504" s="62" t="s">
        <v>45419</v>
      </c>
      <c r="U2504" s="62" t="s">
        <v>45420</v>
      </c>
      <c r="V2504" s="62" t="s">
        <v>49201</v>
      </c>
      <c r="W2504" s="62" t="s">
        <v>45421</v>
      </c>
      <c r="X2504" s="62" t="s">
        <v>45422</v>
      </c>
      <c r="Y2504" s="62" t="s">
        <v>45423</v>
      </c>
      <c r="Z2504" s="62" t="s">
        <v>45424</v>
      </c>
      <c r="AA2504" s="62" t="s">
        <v>49225</v>
      </c>
      <c r="AB2504" s="62" t="s">
        <v>45425</v>
      </c>
      <c r="AC2504" s="62" t="s">
        <v>45426</v>
      </c>
      <c r="AD2504" s="62" t="s">
        <v>45427</v>
      </c>
    </row>
    <row r="2505" spans="1:30" x14ac:dyDescent="0.25">
      <c r="A2505" s="62" t="s">
        <v>109</v>
      </c>
      <c r="C2505" s="62" t="s">
        <v>45428</v>
      </c>
      <c r="F2505" s="62" t="s">
        <v>193</v>
      </c>
      <c r="G2505" s="62" t="s">
        <v>49130</v>
      </c>
      <c r="J2505" s="62" t="s">
        <v>45429</v>
      </c>
      <c r="K2505" s="62" t="s">
        <v>49154</v>
      </c>
      <c r="L2505" s="62" t="s">
        <v>45430</v>
      </c>
      <c r="M2505" s="62" t="s">
        <v>45431</v>
      </c>
      <c r="N2505" s="62" t="s">
        <v>45432</v>
      </c>
      <c r="O2505" s="62" t="s">
        <v>45433</v>
      </c>
      <c r="P2505" s="62" t="s">
        <v>49178</v>
      </c>
      <c r="Q2505" s="62" t="s">
        <v>45434</v>
      </c>
      <c r="R2505" s="62" t="s">
        <v>45435</v>
      </c>
      <c r="S2505" s="62" t="s">
        <v>45436</v>
      </c>
      <c r="U2505" s="62" t="s">
        <v>45437</v>
      </c>
      <c r="V2505" s="62" t="s">
        <v>49202</v>
      </c>
      <c r="W2505" s="62" t="s">
        <v>45438</v>
      </c>
      <c r="X2505" s="62" t="s">
        <v>45439</v>
      </c>
      <c r="Y2505" s="62" t="s">
        <v>45440</v>
      </c>
      <c r="Z2505" s="62" t="s">
        <v>45441</v>
      </c>
      <c r="AA2505" s="62" t="s">
        <v>49226</v>
      </c>
      <c r="AB2505" s="62" t="s">
        <v>45442</v>
      </c>
      <c r="AC2505" s="62" t="s">
        <v>45443</v>
      </c>
      <c r="AD2505" s="62" t="s">
        <v>45444</v>
      </c>
    </row>
    <row r="2506" spans="1:30" x14ac:dyDescent="0.25">
      <c r="A2506" s="62" t="s">
        <v>109</v>
      </c>
      <c r="C2506" s="62" t="s">
        <v>32023</v>
      </c>
      <c r="F2506" s="62" t="s">
        <v>2240</v>
      </c>
      <c r="G2506" s="62" t="s">
        <v>49131</v>
      </c>
      <c r="J2506" s="62" t="s">
        <v>45445</v>
      </c>
      <c r="K2506" s="62" t="s">
        <v>49155</v>
      </c>
      <c r="L2506" s="62" t="s">
        <v>45446</v>
      </c>
      <c r="M2506" s="62" t="s">
        <v>45447</v>
      </c>
      <c r="N2506" s="62" t="s">
        <v>45448</v>
      </c>
      <c r="O2506" s="62" t="s">
        <v>45449</v>
      </c>
      <c r="P2506" s="62" t="s">
        <v>49179</v>
      </c>
      <c r="Q2506" s="62" t="s">
        <v>45450</v>
      </c>
      <c r="R2506" s="62" t="s">
        <v>45451</v>
      </c>
      <c r="S2506" s="62" t="s">
        <v>45452</v>
      </c>
      <c r="U2506" s="62" t="s">
        <v>45453</v>
      </c>
      <c r="V2506" s="62" t="s">
        <v>49203</v>
      </c>
      <c r="W2506" s="62" t="s">
        <v>45454</v>
      </c>
      <c r="X2506" s="62" t="s">
        <v>45455</v>
      </c>
      <c r="Y2506" s="62" t="s">
        <v>45456</v>
      </c>
      <c r="Z2506" s="62" t="s">
        <v>45457</v>
      </c>
      <c r="AA2506" s="62" t="s">
        <v>49227</v>
      </c>
      <c r="AB2506" s="62" t="s">
        <v>45458</v>
      </c>
      <c r="AC2506" s="62" t="s">
        <v>45459</v>
      </c>
      <c r="AD2506" s="62" t="s">
        <v>45460</v>
      </c>
    </row>
    <row r="2507" spans="1:30" x14ac:dyDescent="0.25">
      <c r="A2507" s="62" t="s">
        <v>109</v>
      </c>
      <c r="C2507" s="62" t="s">
        <v>32024</v>
      </c>
      <c r="F2507" s="62" t="s">
        <v>210</v>
      </c>
      <c r="G2507" s="62" t="s">
        <v>49132</v>
      </c>
      <c r="J2507" s="62" t="s">
        <v>32025</v>
      </c>
      <c r="K2507" s="62" t="s">
        <v>49156</v>
      </c>
      <c r="L2507" s="62" t="s">
        <v>32026</v>
      </c>
      <c r="M2507" s="62" t="s">
        <v>32027</v>
      </c>
      <c r="N2507" s="62" t="s">
        <v>32028</v>
      </c>
      <c r="O2507" s="62" t="s">
        <v>32029</v>
      </c>
      <c r="P2507" s="62" t="s">
        <v>49180</v>
      </c>
      <c r="Q2507" s="62" t="s">
        <v>32030</v>
      </c>
      <c r="R2507" s="62" t="s">
        <v>32031</v>
      </c>
      <c r="S2507" s="62" t="s">
        <v>32032</v>
      </c>
      <c r="U2507" s="62" t="s">
        <v>32033</v>
      </c>
      <c r="V2507" s="62" t="s">
        <v>49204</v>
      </c>
      <c r="W2507" s="62" t="s">
        <v>32034</v>
      </c>
      <c r="X2507" s="62" t="s">
        <v>32035</v>
      </c>
      <c r="Y2507" s="62" t="s">
        <v>32036</v>
      </c>
      <c r="Z2507" s="62" t="s">
        <v>32037</v>
      </c>
      <c r="AA2507" s="62" t="s">
        <v>49228</v>
      </c>
      <c r="AB2507" s="62" t="s">
        <v>32038</v>
      </c>
      <c r="AC2507" s="62" t="s">
        <v>32039</v>
      </c>
      <c r="AD2507" s="62" t="s">
        <v>32040</v>
      </c>
    </row>
    <row r="2508" spans="1:30" x14ac:dyDescent="0.25">
      <c r="A2508" s="62" t="s">
        <v>109</v>
      </c>
      <c r="C2508" s="62" t="s">
        <v>32041</v>
      </c>
      <c r="F2508" s="62" t="s">
        <v>236</v>
      </c>
      <c r="G2508" s="62" t="s">
        <v>49133</v>
      </c>
      <c r="J2508" s="62" t="s">
        <v>32042</v>
      </c>
      <c r="K2508" s="62" t="s">
        <v>49157</v>
      </c>
      <c r="L2508" s="62" t="s">
        <v>32043</v>
      </c>
      <c r="M2508" s="62" t="s">
        <v>32044</v>
      </c>
      <c r="N2508" s="62" t="s">
        <v>32045</v>
      </c>
      <c r="O2508" s="62" t="s">
        <v>32046</v>
      </c>
      <c r="P2508" s="62" t="s">
        <v>49181</v>
      </c>
      <c r="Q2508" s="62" t="s">
        <v>32047</v>
      </c>
      <c r="R2508" s="62" t="s">
        <v>32048</v>
      </c>
      <c r="S2508" s="62" t="s">
        <v>32049</v>
      </c>
      <c r="U2508" s="62" t="s">
        <v>32050</v>
      </c>
      <c r="V2508" s="62" t="s">
        <v>49205</v>
      </c>
      <c r="W2508" s="62" t="s">
        <v>32051</v>
      </c>
      <c r="X2508" s="62" t="s">
        <v>32052</v>
      </c>
      <c r="Y2508" s="62" t="s">
        <v>32053</v>
      </c>
      <c r="Z2508" s="62" t="s">
        <v>32054</v>
      </c>
      <c r="AA2508" s="62" t="s">
        <v>49229</v>
      </c>
      <c r="AB2508" s="62" t="s">
        <v>32055</v>
      </c>
      <c r="AC2508" s="62" t="s">
        <v>32056</v>
      </c>
      <c r="AD2508" s="62" t="s">
        <v>32057</v>
      </c>
    </row>
    <row r="2509" spans="1:30" x14ac:dyDescent="0.25">
      <c r="A2509" s="62" t="s">
        <v>109</v>
      </c>
      <c r="C2509" s="62" t="s">
        <v>32058</v>
      </c>
      <c r="F2509" s="62" t="s">
        <v>237</v>
      </c>
      <c r="G2509" s="62" t="s">
        <v>49134</v>
      </c>
      <c r="J2509" s="62" t="s">
        <v>32059</v>
      </c>
      <c r="K2509" s="62" t="s">
        <v>49158</v>
      </c>
      <c r="L2509" s="62" t="s">
        <v>32060</v>
      </c>
      <c r="M2509" s="62" t="s">
        <v>32061</v>
      </c>
      <c r="N2509" s="62" t="s">
        <v>32062</v>
      </c>
      <c r="O2509" s="62" t="s">
        <v>32063</v>
      </c>
      <c r="P2509" s="62" t="s">
        <v>49182</v>
      </c>
      <c r="Q2509" s="62" t="s">
        <v>32064</v>
      </c>
      <c r="R2509" s="62" t="s">
        <v>32065</v>
      </c>
      <c r="S2509" s="62" t="s">
        <v>32066</v>
      </c>
      <c r="U2509" s="62" t="s">
        <v>32067</v>
      </c>
      <c r="V2509" s="62" t="s">
        <v>49206</v>
      </c>
      <c r="W2509" s="62" t="s">
        <v>32068</v>
      </c>
      <c r="X2509" s="62" t="s">
        <v>32069</v>
      </c>
      <c r="Y2509" s="62" t="s">
        <v>32070</v>
      </c>
      <c r="Z2509" s="62" t="s">
        <v>32071</v>
      </c>
      <c r="AA2509" s="62" t="s">
        <v>49230</v>
      </c>
      <c r="AB2509" s="62" t="s">
        <v>32072</v>
      </c>
      <c r="AC2509" s="62" t="s">
        <v>32073</v>
      </c>
      <c r="AD2509" s="62" t="s">
        <v>32074</v>
      </c>
    </row>
    <row r="2510" spans="1:30" x14ac:dyDescent="0.25">
      <c r="A2510" s="62" t="s">
        <v>109</v>
      </c>
      <c r="C2510" s="62" t="s">
        <v>32075</v>
      </c>
      <c r="F2510" s="62" t="s">
        <v>2297</v>
      </c>
      <c r="G2510" s="62" t="s">
        <v>49135</v>
      </c>
      <c r="J2510" s="62" t="s">
        <v>32076</v>
      </c>
      <c r="K2510" s="62" t="s">
        <v>49159</v>
      </c>
      <c r="L2510" s="62" t="s">
        <v>32077</v>
      </c>
      <c r="M2510" s="62" t="s">
        <v>32078</v>
      </c>
      <c r="N2510" s="62" t="s">
        <v>32079</v>
      </c>
      <c r="O2510" s="62" t="s">
        <v>32080</v>
      </c>
      <c r="P2510" s="62" t="s">
        <v>49183</v>
      </c>
      <c r="Q2510" s="62" t="s">
        <v>32081</v>
      </c>
      <c r="R2510" s="62" t="s">
        <v>32082</v>
      </c>
      <c r="S2510" s="62" t="s">
        <v>32083</v>
      </c>
      <c r="U2510" s="62" t="s">
        <v>32084</v>
      </c>
      <c r="V2510" s="62" t="s">
        <v>49207</v>
      </c>
      <c r="W2510" s="62" t="s">
        <v>32085</v>
      </c>
      <c r="X2510" s="62" t="s">
        <v>32086</v>
      </c>
      <c r="Y2510" s="62" t="s">
        <v>32087</v>
      </c>
      <c r="Z2510" s="62" t="s">
        <v>32088</v>
      </c>
      <c r="AA2510" s="62" t="s">
        <v>49231</v>
      </c>
      <c r="AB2510" s="62" t="s">
        <v>32089</v>
      </c>
      <c r="AC2510" s="62" t="s">
        <v>32090</v>
      </c>
      <c r="AD2510" s="62" t="s">
        <v>32091</v>
      </c>
    </row>
    <row r="2511" spans="1:30" x14ac:dyDescent="0.25">
      <c r="A2511" s="62" t="s">
        <v>109</v>
      </c>
      <c r="C2511" s="62" t="s">
        <v>32092</v>
      </c>
      <c r="F2511" s="62" t="s">
        <v>2308</v>
      </c>
      <c r="G2511" s="62" t="s">
        <v>49136</v>
      </c>
      <c r="J2511" s="62" t="s">
        <v>32093</v>
      </c>
      <c r="K2511" s="62" t="s">
        <v>49160</v>
      </c>
      <c r="L2511" s="62" t="s">
        <v>32094</v>
      </c>
      <c r="M2511" s="62" t="s">
        <v>32095</v>
      </c>
      <c r="N2511" s="62" t="s">
        <v>32096</v>
      </c>
      <c r="O2511" s="62" t="s">
        <v>32097</v>
      </c>
      <c r="P2511" s="62" t="s">
        <v>49184</v>
      </c>
      <c r="Q2511" s="62" t="s">
        <v>32098</v>
      </c>
      <c r="R2511" s="62" t="s">
        <v>32099</v>
      </c>
      <c r="S2511" s="62" t="s">
        <v>32100</v>
      </c>
      <c r="U2511" s="62" t="s">
        <v>32101</v>
      </c>
      <c r="V2511" s="62" t="s">
        <v>49208</v>
      </c>
      <c r="W2511" s="62" t="s">
        <v>32102</v>
      </c>
      <c r="X2511" s="62" t="s">
        <v>32103</v>
      </c>
      <c r="Y2511" s="62" t="s">
        <v>32104</v>
      </c>
      <c r="Z2511" s="62" t="s">
        <v>32105</v>
      </c>
      <c r="AA2511" s="62" t="s">
        <v>49232</v>
      </c>
      <c r="AB2511" s="62" t="s">
        <v>32106</v>
      </c>
      <c r="AC2511" s="62" t="s">
        <v>32107</v>
      </c>
      <c r="AD2511" s="62" t="s">
        <v>32108</v>
      </c>
    </row>
    <row r="2512" spans="1:30" x14ac:dyDescent="0.25">
      <c r="A2512" s="62" t="s">
        <v>109</v>
      </c>
      <c r="C2512" s="62" t="s">
        <v>32109</v>
      </c>
      <c r="F2512" s="62" t="s">
        <v>4942</v>
      </c>
      <c r="G2512" s="62" t="s">
        <v>49137</v>
      </c>
      <c r="J2512" s="62" t="s">
        <v>32110</v>
      </c>
      <c r="K2512" s="62" t="s">
        <v>49161</v>
      </c>
      <c r="L2512" s="62" t="s">
        <v>32111</v>
      </c>
      <c r="M2512" s="62" t="s">
        <v>32112</v>
      </c>
      <c r="N2512" s="62" t="s">
        <v>32113</v>
      </c>
      <c r="O2512" s="62" t="s">
        <v>32114</v>
      </c>
      <c r="P2512" s="62" t="s">
        <v>49185</v>
      </c>
      <c r="Q2512" s="62" t="s">
        <v>32115</v>
      </c>
      <c r="R2512" s="62" t="s">
        <v>32116</v>
      </c>
      <c r="S2512" s="62" t="s">
        <v>32117</v>
      </c>
      <c r="U2512" s="62" t="s">
        <v>32118</v>
      </c>
      <c r="V2512" s="62" t="s">
        <v>49209</v>
      </c>
      <c r="W2512" s="62" t="s">
        <v>32119</v>
      </c>
      <c r="X2512" s="62" t="s">
        <v>32120</v>
      </c>
      <c r="Y2512" s="62" t="s">
        <v>32121</v>
      </c>
      <c r="Z2512" s="62" t="s">
        <v>32122</v>
      </c>
      <c r="AA2512" s="62" t="s">
        <v>49233</v>
      </c>
      <c r="AB2512" s="62" t="s">
        <v>32123</v>
      </c>
      <c r="AC2512" s="62" t="s">
        <v>32124</v>
      </c>
      <c r="AD2512" s="62" t="s">
        <v>32125</v>
      </c>
    </row>
    <row r="2513" spans="1:30" x14ac:dyDescent="0.25">
      <c r="A2513" s="62" t="s">
        <v>109</v>
      </c>
      <c r="C2513" s="62" t="s">
        <v>32126</v>
      </c>
      <c r="F2513" s="62" t="s">
        <v>2310</v>
      </c>
      <c r="G2513" s="62" t="s">
        <v>49138</v>
      </c>
      <c r="J2513" s="62" t="s">
        <v>32127</v>
      </c>
      <c r="K2513" s="62" t="s">
        <v>49162</v>
      </c>
      <c r="L2513" s="62" t="s">
        <v>32128</v>
      </c>
      <c r="M2513" s="62" t="s">
        <v>32129</v>
      </c>
      <c r="N2513" s="62" t="s">
        <v>32130</v>
      </c>
      <c r="O2513" s="62" t="s">
        <v>32131</v>
      </c>
      <c r="P2513" s="62" t="s">
        <v>49186</v>
      </c>
      <c r="Q2513" s="62" t="s">
        <v>32132</v>
      </c>
      <c r="R2513" s="62" t="s">
        <v>32133</v>
      </c>
      <c r="S2513" s="62" t="s">
        <v>32134</v>
      </c>
      <c r="U2513" s="62" t="s">
        <v>32135</v>
      </c>
      <c r="V2513" s="62" t="s">
        <v>49210</v>
      </c>
      <c r="W2513" s="62" t="s">
        <v>32136</v>
      </c>
      <c r="X2513" s="62" t="s">
        <v>32137</v>
      </c>
      <c r="Y2513" s="62" t="s">
        <v>32138</v>
      </c>
      <c r="Z2513" s="62" t="s">
        <v>32139</v>
      </c>
      <c r="AA2513" s="62" t="s">
        <v>49234</v>
      </c>
      <c r="AB2513" s="62" t="s">
        <v>32140</v>
      </c>
      <c r="AC2513" s="62" t="s">
        <v>32141</v>
      </c>
      <c r="AD2513" s="62" t="s">
        <v>32142</v>
      </c>
    </row>
    <row r="2514" spans="1:30" x14ac:dyDescent="0.25">
      <c r="A2514" s="62" t="s">
        <v>109</v>
      </c>
      <c r="C2514" s="62" t="s">
        <v>32143</v>
      </c>
      <c r="F2514" s="62" t="s">
        <v>271</v>
      </c>
      <c r="G2514" s="62" t="s">
        <v>49139</v>
      </c>
      <c r="J2514" s="62" t="s">
        <v>32144</v>
      </c>
      <c r="K2514" s="62" t="s">
        <v>49163</v>
      </c>
      <c r="L2514" s="62" t="s">
        <v>32145</v>
      </c>
      <c r="M2514" s="62" t="s">
        <v>32146</v>
      </c>
      <c r="N2514" s="62" t="s">
        <v>32147</v>
      </c>
      <c r="O2514" s="62" t="s">
        <v>32148</v>
      </c>
      <c r="P2514" s="62" t="s">
        <v>49187</v>
      </c>
      <c r="Q2514" s="62" t="s">
        <v>32149</v>
      </c>
      <c r="R2514" s="62" t="s">
        <v>32150</v>
      </c>
      <c r="S2514" s="62" t="s">
        <v>32151</v>
      </c>
      <c r="U2514" s="62" t="s">
        <v>32152</v>
      </c>
      <c r="V2514" s="62" t="s">
        <v>49211</v>
      </c>
      <c r="W2514" s="62" t="s">
        <v>32153</v>
      </c>
      <c r="X2514" s="62" t="s">
        <v>32154</v>
      </c>
      <c r="Y2514" s="62" t="s">
        <v>32155</v>
      </c>
      <c r="Z2514" s="62" t="s">
        <v>32156</v>
      </c>
      <c r="AA2514" s="62" t="s">
        <v>49235</v>
      </c>
      <c r="AB2514" s="62" t="s">
        <v>32157</v>
      </c>
      <c r="AC2514" s="62" t="s">
        <v>32158</v>
      </c>
      <c r="AD2514" s="62" t="s">
        <v>32159</v>
      </c>
    </row>
    <row r="2515" spans="1:30" x14ac:dyDescent="0.25">
      <c r="A2515" s="62" t="s">
        <v>109</v>
      </c>
      <c r="C2515" s="62" t="s">
        <v>32160</v>
      </c>
      <c r="F2515" s="62" t="s">
        <v>3185</v>
      </c>
      <c r="G2515" s="62" t="s">
        <v>49140</v>
      </c>
      <c r="J2515" s="62" t="s">
        <v>32161</v>
      </c>
      <c r="K2515" s="62" t="s">
        <v>49164</v>
      </c>
      <c r="L2515" s="62" t="s">
        <v>32162</v>
      </c>
      <c r="M2515" s="62" t="s">
        <v>32163</v>
      </c>
      <c r="N2515" s="62" t="s">
        <v>32164</v>
      </c>
      <c r="O2515" s="62" t="s">
        <v>32165</v>
      </c>
      <c r="P2515" s="62" t="s">
        <v>49188</v>
      </c>
      <c r="Q2515" s="62" t="s">
        <v>32166</v>
      </c>
      <c r="R2515" s="62" t="s">
        <v>32167</v>
      </c>
      <c r="S2515" s="62" t="s">
        <v>32168</v>
      </c>
      <c r="U2515" s="62" t="s">
        <v>32169</v>
      </c>
      <c r="V2515" s="62" t="s">
        <v>49212</v>
      </c>
      <c r="W2515" s="62" t="s">
        <v>32170</v>
      </c>
      <c r="X2515" s="62" t="s">
        <v>32171</v>
      </c>
      <c r="Y2515" s="62" t="s">
        <v>32172</v>
      </c>
      <c r="Z2515" s="62" t="s">
        <v>32173</v>
      </c>
      <c r="AA2515" s="62" t="s">
        <v>49236</v>
      </c>
      <c r="AB2515" s="62" t="s">
        <v>32174</v>
      </c>
      <c r="AC2515" s="62" t="s">
        <v>32175</v>
      </c>
      <c r="AD2515" s="62" t="s">
        <v>32176</v>
      </c>
    </row>
    <row r="2516" spans="1:30" x14ac:dyDescent="0.25">
      <c r="A2516" s="62" t="s">
        <v>109</v>
      </c>
      <c r="C2516" s="62" t="s">
        <v>32177</v>
      </c>
      <c r="F2516" s="62" t="s">
        <v>2481</v>
      </c>
      <c r="G2516" s="62" t="s">
        <v>49141</v>
      </c>
      <c r="J2516" s="62" t="s">
        <v>32178</v>
      </c>
      <c r="K2516" s="62" t="s">
        <v>49165</v>
      </c>
      <c r="L2516" s="62" t="s">
        <v>32179</v>
      </c>
      <c r="M2516" s="62" t="s">
        <v>32180</v>
      </c>
      <c r="N2516" s="62" t="s">
        <v>32181</v>
      </c>
      <c r="O2516" s="62" t="s">
        <v>32182</v>
      </c>
      <c r="P2516" s="62" t="s">
        <v>49189</v>
      </c>
      <c r="Q2516" s="62" t="s">
        <v>32183</v>
      </c>
      <c r="R2516" s="62" t="s">
        <v>32184</v>
      </c>
      <c r="S2516" s="62" t="s">
        <v>32185</v>
      </c>
      <c r="U2516" s="62" t="s">
        <v>32186</v>
      </c>
      <c r="V2516" s="62" t="s">
        <v>49213</v>
      </c>
      <c r="W2516" s="62" t="s">
        <v>32187</v>
      </c>
      <c r="X2516" s="62" t="s">
        <v>32188</v>
      </c>
      <c r="Y2516" s="62" t="s">
        <v>32189</v>
      </c>
      <c r="Z2516" s="62" t="s">
        <v>32190</v>
      </c>
      <c r="AA2516" s="62" t="s">
        <v>49237</v>
      </c>
      <c r="AB2516" s="62" t="s">
        <v>32191</v>
      </c>
      <c r="AC2516" s="62" t="s">
        <v>32192</v>
      </c>
      <c r="AD2516" s="62" t="s">
        <v>32193</v>
      </c>
    </row>
    <row r="2517" spans="1:30" x14ac:dyDescent="0.25">
      <c r="A2517" s="62" t="s">
        <v>109</v>
      </c>
      <c r="C2517" s="62" t="s">
        <v>32194</v>
      </c>
      <c r="F2517" s="62" t="s">
        <v>1100</v>
      </c>
      <c r="G2517" s="62" t="s">
        <v>49142</v>
      </c>
      <c r="J2517" s="62" t="s">
        <v>32195</v>
      </c>
      <c r="K2517" s="62" t="s">
        <v>49166</v>
      </c>
      <c r="L2517" s="62" t="s">
        <v>32196</v>
      </c>
      <c r="M2517" s="62" t="s">
        <v>32197</v>
      </c>
      <c r="N2517" s="62" t="s">
        <v>32198</v>
      </c>
      <c r="O2517" s="62" t="s">
        <v>32199</v>
      </c>
      <c r="P2517" s="62" t="s">
        <v>49190</v>
      </c>
      <c r="Q2517" s="62" t="s">
        <v>32200</v>
      </c>
      <c r="R2517" s="62" t="s">
        <v>32201</v>
      </c>
      <c r="S2517" s="62" t="s">
        <v>32202</v>
      </c>
      <c r="U2517" s="62" t="s">
        <v>32203</v>
      </c>
      <c r="V2517" s="62" t="s">
        <v>49214</v>
      </c>
      <c r="W2517" s="62" t="s">
        <v>32204</v>
      </c>
      <c r="X2517" s="62" t="s">
        <v>32205</v>
      </c>
      <c r="Y2517" s="62" t="s">
        <v>32206</v>
      </c>
      <c r="Z2517" s="62" t="s">
        <v>32207</v>
      </c>
      <c r="AA2517" s="62" t="s">
        <v>49238</v>
      </c>
      <c r="AB2517" s="62" t="s">
        <v>32208</v>
      </c>
      <c r="AC2517" s="62" t="s">
        <v>32209</v>
      </c>
      <c r="AD2517" s="62" t="s">
        <v>32210</v>
      </c>
    </row>
    <row r="2518" spans="1:30" x14ac:dyDescent="0.25">
      <c r="A2518" s="62" t="s">
        <v>109</v>
      </c>
      <c r="C2518" s="62" t="s">
        <v>32211</v>
      </c>
      <c r="F2518" s="62" t="s">
        <v>2337</v>
      </c>
      <c r="G2518" s="62" t="s">
        <v>49143</v>
      </c>
      <c r="J2518" s="62" t="s">
        <v>32212</v>
      </c>
      <c r="K2518" s="62" t="s">
        <v>49167</v>
      </c>
      <c r="L2518" s="62" t="s">
        <v>32213</v>
      </c>
      <c r="M2518" s="62" t="s">
        <v>32214</v>
      </c>
      <c r="N2518" s="62" t="s">
        <v>32215</v>
      </c>
      <c r="O2518" s="62" t="s">
        <v>32216</v>
      </c>
      <c r="P2518" s="62" t="s">
        <v>49191</v>
      </c>
      <c r="Q2518" s="62" t="s">
        <v>32217</v>
      </c>
      <c r="R2518" s="62" t="s">
        <v>32218</v>
      </c>
      <c r="S2518" s="62" t="s">
        <v>32219</v>
      </c>
      <c r="U2518" s="62" t="s">
        <v>32220</v>
      </c>
      <c r="V2518" s="62" t="s">
        <v>49215</v>
      </c>
      <c r="W2518" s="62" t="s">
        <v>32221</v>
      </c>
      <c r="X2518" s="62" t="s">
        <v>32222</v>
      </c>
      <c r="Y2518" s="62" t="s">
        <v>32223</v>
      </c>
      <c r="Z2518" s="62" t="s">
        <v>32224</v>
      </c>
      <c r="AA2518" s="62" t="s">
        <v>49239</v>
      </c>
      <c r="AB2518" s="62" t="s">
        <v>32225</v>
      </c>
      <c r="AC2518" s="62" t="s">
        <v>32226</v>
      </c>
      <c r="AD2518" s="62" t="s">
        <v>32227</v>
      </c>
    </row>
    <row r="2519" spans="1:30" x14ac:dyDescent="0.25">
      <c r="A2519" s="62" t="s">
        <v>109</v>
      </c>
      <c r="C2519" s="62" t="s">
        <v>32228</v>
      </c>
      <c r="F2519" s="62" t="s">
        <v>3237</v>
      </c>
      <c r="G2519" s="62" t="s">
        <v>49144</v>
      </c>
      <c r="J2519" s="62" t="s">
        <v>32229</v>
      </c>
      <c r="K2519" s="62" t="s">
        <v>49168</v>
      </c>
      <c r="L2519" s="62" t="s">
        <v>32230</v>
      </c>
      <c r="M2519" s="62" t="s">
        <v>32231</v>
      </c>
      <c r="N2519" s="62" t="s">
        <v>32232</v>
      </c>
      <c r="O2519" s="62" t="s">
        <v>32233</v>
      </c>
      <c r="P2519" s="62" t="s">
        <v>49192</v>
      </c>
      <c r="Q2519" s="62" t="s">
        <v>32234</v>
      </c>
      <c r="R2519" s="62" t="s">
        <v>32235</v>
      </c>
      <c r="S2519" s="62" t="s">
        <v>32236</v>
      </c>
      <c r="U2519" s="62" t="s">
        <v>32237</v>
      </c>
      <c r="V2519" s="62" t="s">
        <v>49216</v>
      </c>
      <c r="W2519" s="62" t="s">
        <v>32238</v>
      </c>
      <c r="X2519" s="62" t="s">
        <v>32239</v>
      </c>
      <c r="Y2519" s="62" t="s">
        <v>32240</v>
      </c>
      <c r="Z2519" s="62" t="s">
        <v>32241</v>
      </c>
      <c r="AA2519" s="62" t="s">
        <v>49240</v>
      </c>
      <c r="AB2519" s="62" t="s">
        <v>32242</v>
      </c>
      <c r="AC2519" s="62" t="s">
        <v>32243</v>
      </c>
      <c r="AD2519" s="62" t="s">
        <v>32244</v>
      </c>
    </row>
    <row r="2520" spans="1:30" x14ac:dyDescent="0.25">
      <c r="A2520" s="62" t="s">
        <v>109</v>
      </c>
      <c r="C2520" s="62" t="s">
        <v>32245</v>
      </c>
      <c r="F2520" s="62" t="s">
        <v>2372</v>
      </c>
      <c r="G2520" s="62" t="s">
        <v>49145</v>
      </c>
      <c r="J2520" s="62" t="s">
        <v>32246</v>
      </c>
      <c r="K2520" s="62" t="s">
        <v>49169</v>
      </c>
      <c r="L2520" s="62" t="s">
        <v>32247</v>
      </c>
      <c r="M2520" s="62" t="s">
        <v>32248</v>
      </c>
      <c r="N2520" s="62" t="s">
        <v>32249</v>
      </c>
      <c r="O2520" s="62" t="s">
        <v>32250</v>
      </c>
      <c r="P2520" s="62" t="s">
        <v>49193</v>
      </c>
      <c r="Q2520" s="62" t="s">
        <v>32251</v>
      </c>
      <c r="R2520" s="62" t="s">
        <v>32252</v>
      </c>
      <c r="S2520" s="62" t="s">
        <v>32253</v>
      </c>
      <c r="U2520" s="62" t="s">
        <v>32254</v>
      </c>
      <c r="V2520" s="62" t="s">
        <v>49217</v>
      </c>
      <c r="W2520" s="62" t="s">
        <v>32255</v>
      </c>
      <c r="X2520" s="62" t="s">
        <v>32256</v>
      </c>
      <c r="Y2520" s="62" t="s">
        <v>32257</v>
      </c>
      <c r="Z2520" s="62" t="s">
        <v>32258</v>
      </c>
      <c r="AA2520" s="62" t="s">
        <v>49241</v>
      </c>
      <c r="AB2520" s="62" t="s">
        <v>32259</v>
      </c>
      <c r="AC2520" s="62" t="s">
        <v>32260</v>
      </c>
      <c r="AD2520" s="62" t="s">
        <v>32261</v>
      </c>
    </row>
    <row r="2521" spans="1:30" x14ac:dyDescent="0.25">
      <c r="A2521" s="62" t="s">
        <v>109</v>
      </c>
      <c r="C2521" s="62" t="s">
        <v>31945</v>
      </c>
    </row>
    <row r="2522" spans="1:30" x14ac:dyDescent="0.25">
      <c r="A2522" s="62" t="s">
        <v>109</v>
      </c>
      <c r="C2522" s="62" t="s">
        <v>32262</v>
      </c>
      <c r="G2522" s="62" t="s">
        <v>45461</v>
      </c>
      <c r="J2522" s="62" t="s">
        <v>45462</v>
      </c>
      <c r="K2522" s="62" t="s">
        <v>45463</v>
      </c>
      <c r="L2522" s="62" t="s">
        <v>45464</v>
      </c>
      <c r="M2522" s="62" t="s">
        <v>32263</v>
      </c>
      <c r="N2522" s="62" t="s">
        <v>32264</v>
      </c>
      <c r="O2522" s="62" t="s">
        <v>45465</v>
      </c>
      <c r="P2522" s="62" t="s">
        <v>45466</v>
      </c>
      <c r="Q2522" s="62" t="s">
        <v>45467</v>
      </c>
      <c r="R2522" s="62" t="s">
        <v>32265</v>
      </c>
      <c r="S2522" s="62" t="s">
        <v>32266</v>
      </c>
      <c r="U2522" s="62" t="s">
        <v>45468</v>
      </c>
      <c r="V2522" s="62" t="s">
        <v>45469</v>
      </c>
      <c r="W2522" s="62" t="s">
        <v>45470</v>
      </c>
      <c r="X2522" s="62" t="s">
        <v>32267</v>
      </c>
      <c r="Y2522" s="62" t="s">
        <v>32268</v>
      </c>
      <c r="Z2522" s="62" t="s">
        <v>45471</v>
      </c>
      <c r="AA2522" s="62" t="s">
        <v>45472</v>
      </c>
      <c r="AB2522" s="62" t="s">
        <v>45473</v>
      </c>
      <c r="AC2522" s="62" t="s">
        <v>32269</v>
      </c>
      <c r="AD2522" s="62" t="s">
        <v>32270</v>
      </c>
    </row>
    <row r="2523" spans="1:30" x14ac:dyDescent="0.25">
      <c r="A2523" s="62" t="s">
        <v>109</v>
      </c>
    </row>
    <row r="2524" spans="1:30" x14ac:dyDescent="0.25">
      <c r="A2524" s="62" t="s">
        <v>109</v>
      </c>
      <c r="C2524" s="62" t="s">
        <v>45474</v>
      </c>
      <c r="E2524" s="62" t="s">
        <v>39691</v>
      </c>
      <c r="G2524" s="62" t="s">
        <v>45475</v>
      </c>
    </row>
    <row r="2525" spans="1:30" x14ac:dyDescent="0.25">
      <c r="A2525" s="62" t="s">
        <v>109</v>
      </c>
      <c r="C2525" s="62" t="s">
        <v>32271</v>
      </c>
    </row>
    <row r="2526" spans="1:30" x14ac:dyDescent="0.25">
      <c r="A2526" s="62" t="s">
        <v>109</v>
      </c>
      <c r="C2526" s="62" t="s">
        <v>32272</v>
      </c>
      <c r="F2526" s="62" t="s">
        <v>45476</v>
      </c>
      <c r="G2526" s="62" t="s">
        <v>48867</v>
      </c>
      <c r="J2526" s="62" t="s">
        <v>32273</v>
      </c>
      <c r="K2526" s="62" t="s">
        <v>48918</v>
      </c>
      <c r="L2526" s="62" t="s">
        <v>32274</v>
      </c>
      <c r="M2526" s="62" t="s">
        <v>32275</v>
      </c>
      <c r="N2526" s="62" t="s">
        <v>32276</v>
      </c>
      <c r="O2526" s="62" t="s">
        <v>32277</v>
      </c>
      <c r="P2526" s="62" t="s">
        <v>48969</v>
      </c>
      <c r="Q2526" s="62" t="s">
        <v>32278</v>
      </c>
      <c r="R2526" s="62" t="s">
        <v>32279</v>
      </c>
      <c r="S2526" s="62" t="s">
        <v>32280</v>
      </c>
      <c r="U2526" s="62" t="s">
        <v>32281</v>
      </c>
      <c r="V2526" s="62" t="s">
        <v>49020</v>
      </c>
      <c r="W2526" s="62" t="s">
        <v>32282</v>
      </c>
      <c r="X2526" s="62" t="s">
        <v>32283</v>
      </c>
      <c r="Y2526" s="62" t="s">
        <v>32284</v>
      </c>
      <c r="Z2526" s="62" t="s">
        <v>32285</v>
      </c>
      <c r="AA2526" s="62" t="s">
        <v>49071</v>
      </c>
      <c r="AB2526" s="62" t="s">
        <v>32286</v>
      </c>
      <c r="AC2526" s="62" t="s">
        <v>32287</v>
      </c>
      <c r="AD2526" s="62" t="s">
        <v>32288</v>
      </c>
    </row>
    <row r="2527" spans="1:30" x14ac:dyDescent="0.25">
      <c r="A2527" s="62" t="s">
        <v>109</v>
      </c>
      <c r="C2527" s="62" t="s">
        <v>32289</v>
      </c>
      <c r="F2527" s="62" t="s">
        <v>915</v>
      </c>
      <c r="G2527" s="62" t="s">
        <v>48868</v>
      </c>
      <c r="J2527" s="62" t="s">
        <v>32290</v>
      </c>
      <c r="K2527" s="62" t="s">
        <v>48919</v>
      </c>
      <c r="L2527" s="62" t="s">
        <v>32291</v>
      </c>
      <c r="M2527" s="62" t="s">
        <v>32292</v>
      </c>
      <c r="N2527" s="62" t="s">
        <v>32293</v>
      </c>
      <c r="O2527" s="62" t="s">
        <v>32294</v>
      </c>
      <c r="P2527" s="62" t="s">
        <v>48970</v>
      </c>
      <c r="Q2527" s="62" t="s">
        <v>32295</v>
      </c>
      <c r="R2527" s="62" t="s">
        <v>32296</v>
      </c>
      <c r="S2527" s="62" t="s">
        <v>32297</v>
      </c>
      <c r="U2527" s="62" t="s">
        <v>32298</v>
      </c>
      <c r="V2527" s="62" t="s">
        <v>49021</v>
      </c>
      <c r="W2527" s="62" t="s">
        <v>32299</v>
      </c>
      <c r="X2527" s="62" t="s">
        <v>32300</v>
      </c>
      <c r="Y2527" s="62" t="s">
        <v>32301</v>
      </c>
      <c r="Z2527" s="62" t="s">
        <v>32302</v>
      </c>
      <c r="AA2527" s="62" t="s">
        <v>49072</v>
      </c>
      <c r="AB2527" s="62" t="s">
        <v>32303</v>
      </c>
      <c r="AC2527" s="62" t="s">
        <v>32304</v>
      </c>
      <c r="AD2527" s="62" t="s">
        <v>32305</v>
      </c>
    </row>
    <row r="2528" spans="1:30" x14ac:dyDescent="0.25">
      <c r="A2528" s="62" t="s">
        <v>109</v>
      </c>
      <c r="C2528" s="62" t="s">
        <v>32306</v>
      </c>
      <c r="F2528" s="62" t="s">
        <v>193</v>
      </c>
      <c r="G2528" s="62" t="s">
        <v>48869</v>
      </c>
      <c r="J2528" s="62" t="s">
        <v>32307</v>
      </c>
      <c r="K2528" s="62" t="s">
        <v>48920</v>
      </c>
      <c r="L2528" s="62" t="s">
        <v>32308</v>
      </c>
      <c r="M2528" s="62" t="s">
        <v>32309</v>
      </c>
      <c r="N2528" s="62" t="s">
        <v>32310</v>
      </c>
      <c r="O2528" s="62" t="s">
        <v>32311</v>
      </c>
      <c r="P2528" s="62" t="s">
        <v>48971</v>
      </c>
      <c r="Q2528" s="62" t="s">
        <v>32312</v>
      </c>
      <c r="R2528" s="62" t="s">
        <v>32313</v>
      </c>
      <c r="S2528" s="62" t="s">
        <v>32314</v>
      </c>
      <c r="U2528" s="62" t="s">
        <v>32315</v>
      </c>
      <c r="V2528" s="62" t="s">
        <v>49022</v>
      </c>
      <c r="W2528" s="62" t="s">
        <v>32316</v>
      </c>
      <c r="X2528" s="62" t="s">
        <v>32317</v>
      </c>
      <c r="Y2528" s="62" t="s">
        <v>32318</v>
      </c>
      <c r="Z2528" s="62" t="s">
        <v>32319</v>
      </c>
      <c r="AA2528" s="62" t="s">
        <v>49073</v>
      </c>
      <c r="AB2528" s="62" t="s">
        <v>32320</v>
      </c>
      <c r="AC2528" s="62" t="s">
        <v>32321</v>
      </c>
      <c r="AD2528" s="62" t="s">
        <v>32322</v>
      </c>
    </row>
    <row r="2529" spans="1:30" x14ac:dyDescent="0.25">
      <c r="A2529" s="62" t="s">
        <v>109</v>
      </c>
      <c r="C2529" s="62" t="s">
        <v>32323</v>
      </c>
      <c r="F2529" s="62" t="s">
        <v>10282</v>
      </c>
      <c r="G2529" s="62" t="s">
        <v>48870</v>
      </c>
      <c r="J2529" s="62" t="s">
        <v>32324</v>
      </c>
      <c r="K2529" s="62" t="s">
        <v>48921</v>
      </c>
      <c r="L2529" s="62" t="s">
        <v>32325</v>
      </c>
      <c r="M2529" s="62" t="s">
        <v>32326</v>
      </c>
      <c r="N2529" s="62" t="s">
        <v>32327</v>
      </c>
      <c r="O2529" s="62" t="s">
        <v>32328</v>
      </c>
      <c r="P2529" s="62" t="s">
        <v>48972</v>
      </c>
      <c r="Q2529" s="62" t="s">
        <v>32329</v>
      </c>
      <c r="R2529" s="62" t="s">
        <v>32330</v>
      </c>
      <c r="S2529" s="62" t="s">
        <v>32331</v>
      </c>
      <c r="U2529" s="62" t="s">
        <v>32332</v>
      </c>
      <c r="V2529" s="62" t="s">
        <v>49023</v>
      </c>
      <c r="W2529" s="62" t="s">
        <v>32333</v>
      </c>
      <c r="X2529" s="62" t="s">
        <v>32334</v>
      </c>
      <c r="Y2529" s="62" t="s">
        <v>32335</v>
      </c>
      <c r="Z2529" s="62" t="s">
        <v>32336</v>
      </c>
      <c r="AA2529" s="62" t="s">
        <v>49074</v>
      </c>
      <c r="AB2529" s="62" t="s">
        <v>32337</v>
      </c>
      <c r="AC2529" s="62" t="s">
        <v>32338</v>
      </c>
      <c r="AD2529" s="62" t="s">
        <v>32339</v>
      </c>
    </row>
    <row r="2530" spans="1:30" x14ac:dyDescent="0.25">
      <c r="A2530" s="62" t="s">
        <v>109</v>
      </c>
      <c r="C2530" s="62" t="s">
        <v>32340</v>
      </c>
      <c r="F2530" s="62" t="s">
        <v>10284</v>
      </c>
      <c r="G2530" s="62" t="s">
        <v>48871</v>
      </c>
      <c r="J2530" s="62" t="s">
        <v>32341</v>
      </c>
      <c r="K2530" s="62" t="s">
        <v>48922</v>
      </c>
      <c r="L2530" s="62" t="s">
        <v>32342</v>
      </c>
      <c r="M2530" s="62" t="s">
        <v>32343</v>
      </c>
      <c r="N2530" s="62" t="s">
        <v>32344</v>
      </c>
      <c r="O2530" s="62" t="s">
        <v>32345</v>
      </c>
      <c r="P2530" s="62" t="s">
        <v>48973</v>
      </c>
      <c r="Q2530" s="62" t="s">
        <v>32346</v>
      </c>
      <c r="R2530" s="62" t="s">
        <v>32347</v>
      </c>
      <c r="S2530" s="62" t="s">
        <v>32348</v>
      </c>
      <c r="U2530" s="62" t="s">
        <v>32349</v>
      </c>
      <c r="V2530" s="62" t="s">
        <v>49024</v>
      </c>
      <c r="W2530" s="62" t="s">
        <v>32350</v>
      </c>
      <c r="X2530" s="62" t="s">
        <v>32351</v>
      </c>
      <c r="Y2530" s="62" t="s">
        <v>32352</v>
      </c>
      <c r="Z2530" s="62" t="s">
        <v>32353</v>
      </c>
      <c r="AA2530" s="62" t="s">
        <v>49075</v>
      </c>
      <c r="AB2530" s="62" t="s">
        <v>32354</v>
      </c>
      <c r="AC2530" s="62" t="s">
        <v>32355</v>
      </c>
      <c r="AD2530" s="62" t="s">
        <v>32356</v>
      </c>
    </row>
    <row r="2531" spans="1:30" x14ac:dyDescent="0.25">
      <c r="A2531" s="62" t="s">
        <v>109</v>
      </c>
      <c r="C2531" s="62" t="s">
        <v>32357</v>
      </c>
      <c r="F2531" s="62" t="s">
        <v>12860</v>
      </c>
      <c r="G2531" s="62" t="s">
        <v>48872</v>
      </c>
      <c r="J2531" s="62" t="s">
        <v>32358</v>
      </c>
      <c r="K2531" s="62" t="s">
        <v>48923</v>
      </c>
      <c r="L2531" s="62" t="s">
        <v>32359</v>
      </c>
      <c r="M2531" s="62" t="s">
        <v>32360</v>
      </c>
      <c r="N2531" s="62" t="s">
        <v>32361</v>
      </c>
      <c r="O2531" s="62" t="s">
        <v>32362</v>
      </c>
      <c r="P2531" s="62" t="s">
        <v>48974</v>
      </c>
      <c r="Q2531" s="62" t="s">
        <v>32363</v>
      </c>
      <c r="R2531" s="62" t="s">
        <v>32364</v>
      </c>
      <c r="S2531" s="62" t="s">
        <v>32365</v>
      </c>
      <c r="U2531" s="62" t="s">
        <v>32366</v>
      </c>
      <c r="V2531" s="62" t="s">
        <v>49025</v>
      </c>
      <c r="W2531" s="62" t="s">
        <v>32367</v>
      </c>
      <c r="X2531" s="62" t="s">
        <v>32368</v>
      </c>
      <c r="Y2531" s="62" t="s">
        <v>32369</v>
      </c>
      <c r="Z2531" s="62" t="s">
        <v>32370</v>
      </c>
      <c r="AA2531" s="62" t="s">
        <v>49076</v>
      </c>
      <c r="AB2531" s="62" t="s">
        <v>32371</v>
      </c>
      <c r="AC2531" s="62" t="s">
        <v>32372</v>
      </c>
      <c r="AD2531" s="62" t="s">
        <v>32373</v>
      </c>
    </row>
    <row r="2532" spans="1:30" x14ac:dyDescent="0.25">
      <c r="A2532" s="62" t="s">
        <v>109</v>
      </c>
      <c r="C2532" s="62" t="s">
        <v>32374</v>
      </c>
      <c r="F2532" s="62" t="s">
        <v>10293</v>
      </c>
      <c r="G2532" s="62" t="s">
        <v>48873</v>
      </c>
      <c r="J2532" s="62" t="s">
        <v>32375</v>
      </c>
      <c r="K2532" s="62" t="s">
        <v>48924</v>
      </c>
      <c r="L2532" s="62" t="s">
        <v>32376</v>
      </c>
      <c r="M2532" s="62" t="s">
        <v>32377</v>
      </c>
      <c r="N2532" s="62" t="s">
        <v>32378</v>
      </c>
      <c r="O2532" s="62" t="s">
        <v>32379</v>
      </c>
      <c r="P2532" s="62" t="s">
        <v>48975</v>
      </c>
      <c r="Q2532" s="62" t="s">
        <v>32380</v>
      </c>
      <c r="R2532" s="62" t="s">
        <v>32381</v>
      </c>
      <c r="S2532" s="62" t="s">
        <v>32382</v>
      </c>
      <c r="U2532" s="62" t="s">
        <v>32383</v>
      </c>
      <c r="V2532" s="62" t="s">
        <v>49026</v>
      </c>
      <c r="W2532" s="62" t="s">
        <v>32384</v>
      </c>
      <c r="X2532" s="62" t="s">
        <v>32385</v>
      </c>
      <c r="Y2532" s="62" t="s">
        <v>32386</v>
      </c>
      <c r="Z2532" s="62" t="s">
        <v>32387</v>
      </c>
      <c r="AA2532" s="62" t="s">
        <v>49077</v>
      </c>
      <c r="AB2532" s="62" t="s">
        <v>32388</v>
      </c>
      <c r="AC2532" s="62" t="s">
        <v>32389</v>
      </c>
      <c r="AD2532" s="62" t="s">
        <v>32390</v>
      </c>
    </row>
    <row r="2533" spans="1:30" x14ac:dyDescent="0.25">
      <c r="A2533" s="62" t="s">
        <v>109</v>
      </c>
      <c r="C2533" s="62" t="s">
        <v>32391</v>
      </c>
      <c r="F2533" s="62" t="s">
        <v>340</v>
      </c>
      <c r="G2533" s="62" t="s">
        <v>48874</v>
      </c>
      <c r="J2533" s="62" t="s">
        <v>32392</v>
      </c>
      <c r="K2533" s="62" t="s">
        <v>48925</v>
      </c>
      <c r="L2533" s="62" t="s">
        <v>32393</v>
      </c>
      <c r="M2533" s="62" t="s">
        <v>32394</v>
      </c>
      <c r="N2533" s="62" t="s">
        <v>32395</v>
      </c>
      <c r="O2533" s="62" t="s">
        <v>32396</v>
      </c>
      <c r="P2533" s="62" t="s">
        <v>48976</v>
      </c>
      <c r="Q2533" s="62" t="s">
        <v>32397</v>
      </c>
      <c r="R2533" s="62" t="s">
        <v>32398</v>
      </c>
      <c r="S2533" s="62" t="s">
        <v>32399</v>
      </c>
      <c r="U2533" s="62" t="s">
        <v>32400</v>
      </c>
      <c r="V2533" s="62" t="s">
        <v>49027</v>
      </c>
      <c r="W2533" s="62" t="s">
        <v>32401</v>
      </c>
      <c r="X2533" s="62" t="s">
        <v>32402</v>
      </c>
      <c r="Y2533" s="62" t="s">
        <v>32403</v>
      </c>
      <c r="Z2533" s="62" t="s">
        <v>32404</v>
      </c>
      <c r="AA2533" s="62" t="s">
        <v>49078</v>
      </c>
      <c r="AB2533" s="62" t="s">
        <v>32405</v>
      </c>
      <c r="AC2533" s="62" t="s">
        <v>32406</v>
      </c>
      <c r="AD2533" s="62" t="s">
        <v>32407</v>
      </c>
    </row>
    <row r="2534" spans="1:30" x14ac:dyDescent="0.25">
      <c r="A2534" s="62" t="s">
        <v>109</v>
      </c>
      <c r="C2534" s="62" t="s">
        <v>32408</v>
      </c>
      <c r="F2534" s="62" t="s">
        <v>19275</v>
      </c>
      <c r="G2534" s="62" t="s">
        <v>48875</v>
      </c>
      <c r="J2534" s="62" t="s">
        <v>32409</v>
      </c>
      <c r="K2534" s="62" t="s">
        <v>48926</v>
      </c>
      <c r="L2534" s="62" t="s">
        <v>32410</v>
      </c>
      <c r="M2534" s="62" t="s">
        <v>32411</v>
      </c>
      <c r="N2534" s="62" t="s">
        <v>32412</v>
      </c>
      <c r="O2534" s="62" t="s">
        <v>32413</v>
      </c>
      <c r="P2534" s="62" t="s">
        <v>48977</v>
      </c>
      <c r="Q2534" s="62" t="s">
        <v>32414</v>
      </c>
      <c r="R2534" s="62" t="s">
        <v>32415</v>
      </c>
      <c r="S2534" s="62" t="s">
        <v>32416</v>
      </c>
      <c r="U2534" s="62" t="s">
        <v>32417</v>
      </c>
      <c r="V2534" s="62" t="s">
        <v>49028</v>
      </c>
      <c r="W2534" s="62" t="s">
        <v>32418</v>
      </c>
      <c r="X2534" s="62" t="s">
        <v>32419</v>
      </c>
      <c r="Y2534" s="62" t="s">
        <v>32420</v>
      </c>
      <c r="Z2534" s="62" t="s">
        <v>32421</v>
      </c>
      <c r="AA2534" s="62" t="s">
        <v>49079</v>
      </c>
      <c r="AB2534" s="62" t="s">
        <v>32422</v>
      </c>
      <c r="AC2534" s="62" t="s">
        <v>32423</v>
      </c>
      <c r="AD2534" s="62" t="s">
        <v>32424</v>
      </c>
    </row>
    <row r="2535" spans="1:30" x14ac:dyDescent="0.25">
      <c r="A2535" s="62" t="s">
        <v>109</v>
      </c>
      <c r="C2535" s="62" t="s">
        <v>32425</v>
      </c>
      <c r="F2535" s="62" t="s">
        <v>10332</v>
      </c>
      <c r="G2535" s="62" t="s">
        <v>48876</v>
      </c>
      <c r="J2535" s="62" t="s">
        <v>32426</v>
      </c>
      <c r="K2535" s="62" t="s">
        <v>48927</v>
      </c>
      <c r="L2535" s="62" t="s">
        <v>32427</v>
      </c>
      <c r="M2535" s="62" t="s">
        <v>32428</v>
      </c>
      <c r="N2535" s="62" t="s">
        <v>32429</v>
      </c>
      <c r="O2535" s="62" t="s">
        <v>32430</v>
      </c>
      <c r="P2535" s="62" t="s">
        <v>48978</v>
      </c>
      <c r="Q2535" s="62" t="s">
        <v>32431</v>
      </c>
      <c r="R2535" s="62" t="s">
        <v>32432</v>
      </c>
      <c r="S2535" s="62" t="s">
        <v>32433</v>
      </c>
      <c r="U2535" s="62" t="s">
        <v>32434</v>
      </c>
      <c r="V2535" s="62" t="s">
        <v>49029</v>
      </c>
      <c r="W2535" s="62" t="s">
        <v>32435</v>
      </c>
      <c r="X2535" s="62" t="s">
        <v>32436</v>
      </c>
      <c r="Y2535" s="62" t="s">
        <v>32437</v>
      </c>
      <c r="Z2535" s="62" t="s">
        <v>32438</v>
      </c>
      <c r="AA2535" s="62" t="s">
        <v>49080</v>
      </c>
      <c r="AB2535" s="62" t="s">
        <v>32439</v>
      </c>
      <c r="AC2535" s="62" t="s">
        <v>32440</v>
      </c>
      <c r="AD2535" s="62" t="s">
        <v>32441</v>
      </c>
    </row>
    <row r="2536" spans="1:30" x14ac:dyDescent="0.25">
      <c r="A2536" s="62" t="s">
        <v>109</v>
      </c>
      <c r="C2536" s="62" t="s">
        <v>32442</v>
      </c>
      <c r="F2536" s="62" t="s">
        <v>10368</v>
      </c>
      <c r="G2536" s="62" t="s">
        <v>48877</v>
      </c>
      <c r="J2536" s="62" t="s">
        <v>32443</v>
      </c>
      <c r="K2536" s="62" t="s">
        <v>48928</v>
      </c>
      <c r="L2536" s="62" t="s">
        <v>32444</v>
      </c>
      <c r="M2536" s="62" t="s">
        <v>32445</v>
      </c>
      <c r="N2536" s="62" t="s">
        <v>32446</v>
      </c>
      <c r="O2536" s="62" t="s">
        <v>32447</v>
      </c>
      <c r="P2536" s="62" t="s">
        <v>48979</v>
      </c>
      <c r="Q2536" s="62" t="s">
        <v>32448</v>
      </c>
      <c r="R2536" s="62" t="s">
        <v>32449</v>
      </c>
      <c r="S2536" s="62" t="s">
        <v>32450</v>
      </c>
      <c r="U2536" s="62" t="s">
        <v>32451</v>
      </c>
      <c r="V2536" s="62" t="s">
        <v>49030</v>
      </c>
      <c r="W2536" s="62" t="s">
        <v>32452</v>
      </c>
      <c r="X2536" s="62" t="s">
        <v>32453</v>
      </c>
      <c r="Y2536" s="62" t="s">
        <v>32454</v>
      </c>
      <c r="Z2536" s="62" t="s">
        <v>32455</v>
      </c>
      <c r="AA2536" s="62" t="s">
        <v>49081</v>
      </c>
      <c r="AB2536" s="62" t="s">
        <v>32456</v>
      </c>
      <c r="AC2536" s="62" t="s">
        <v>32457</v>
      </c>
      <c r="AD2536" s="62" t="s">
        <v>32458</v>
      </c>
    </row>
    <row r="2537" spans="1:30" x14ac:dyDescent="0.25">
      <c r="A2537" s="62" t="s">
        <v>109</v>
      </c>
      <c r="C2537" s="62" t="s">
        <v>32459</v>
      </c>
      <c r="F2537" s="62" t="s">
        <v>10386</v>
      </c>
      <c r="G2537" s="62" t="s">
        <v>48878</v>
      </c>
      <c r="J2537" s="62" t="s">
        <v>32460</v>
      </c>
      <c r="K2537" s="62" t="s">
        <v>48929</v>
      </c>
      <c r="L2537" s="62" t="s">
        <v>32461</v>
      </c>
      <c r="M2537" s="62" t="s">
        <v>32462</v>
      </c>
      <c r="N2537" s="62" t="s">
        <v>32463</v>
      </c>
      <c r="O2537" s="62" t="s">
        <v>32464</v>
      </c>
      <c r="P2537" s="62" t="s">
        <v>48980</v>
      </c>
      <c r="Q2537" s="62" t="s">
        <v>32465</v>
      </c>
      <c r="R2537" s="62" t="s">
        <v>32466</v>
      </c>
      <c r="S2537" s="62" t="s">
        <v>32467</v>
      </c>
      <c r="U2537" s="62" t="s">
        <v>32468</v>
      </c>
      <c r="V2537" s="62" t="s">
        <v>49031</v>
      </c>
      <c r="W2537" s="62" t="s">
        <v>32469</v>
      </c>
      <c r="X2537" s="62" t="s">
        <v>32470</v>
      </c>
      <c r="Y2537" s="62" t="s">
        <v>32471</v>
      </c>
      <c r="Z2537" s="62" t="s">
        <v>32472</v>
      </c>
      <c r="AA2537" s="62" t="s">
        <v>49082</v>
      </c>
      <c r="AB2537" s="62" t="s">
        <v>32473</v>
      </c>
      <c r="AC2537" s="62" t="s">
        <v>32474</v>
      </c>
      <c r="AD2537" s="62" t="s">
        <v>32475</v>
      </c>
    </row>
    <row r="2538" spans="1:30" x14ac:dyDescent="0.25">
      <c r="A2538" s="62" t="s">
        <v>109</v>
      </c>
      <c r="C2538" s="62" t="s">
        <v>32476</v>
      </c>
      <c r="F2538" s="62" t="s">
        <v>15012</v>
      </c>
      <c r="G2538" s="62" t="s">
        <v>48879</v>
      </c>
      <c r="J2538" s="62" t="s">
        <v>32477</v>
      </c>
      <c r="K2538" s="62" t="s">
        <v>48930</v>
      </c>
      <c r="L2538" s="62" t="s">
        <v>32478</v>
      </c>
      <c r="M2538" s="62" t="s">
        <v>32479</v>
      </c>
      <c r="N2538" s="62" t="s">
        <v>32480</v>
      </c>
      <c r="O2538" s="62" t="s">
        <v>32481</v>
      </c>
      <c r="P2538" s="62" t="s">
        <v>48981</v>
      </c>
      <c r="Q2538" s="62" t="s">
        <v>32482</v>
      </c>
      <c r="R2538" s="62" t="s">
        <v>32483</v>
      </c>
      <c r="S2538" s="62" t="s">
        <v>32484</v>
      </c>
      <c r="U2538" s="62" t="s">
        <v>32485</v>
      </c>
      <c r="V2538" s="62" t="s">
        <v>49032</v>
      </c>
      <c r="W2538" s="62" t="s">
        <v>32486</v>
      </c>
      <c r="X2538" s="62" t="s">
        <v>32487</v>
      </c>
      <c r="Y2538" s="62" t="s">
        <v>32488</v>
      </c>
      <c r="Z2538" s="62" t="s">
        <v>32489</v>
      </c>
      <c r="AA2538" s="62" t="s">
        <v>49083</v>
      </c>
      <c r="AB2538" s="62" t="s">
        <v>32490</v>
      </c>
      <c r="AC2538" s="62" t="s">
        <v>32491</v>
      </c>
      <c r="AD2538" s="62" t="s">
        <v>32492</v>
      </c>
    </row>
    <row r="2539" spans="1:30" x14ac:dyDescent="0.25">
      <c r="A2539" s="62" t="s">
        <v>109</v>
      </c>
      <c r="C2539" s="62" t="s">
        <v>32493</v>
      </c>
      <c r="F2539" s="62" t="s">
        <v>10404</v>
      </c>
      <c r="G2539" s="62" t="s">
        <v>48880</v>
      </c>
      <c r="J2539" s="62" t="s">
        <v>32494</v>
      </c>
      <c r="K2539" s="62" t="s">
        <v>48931</v>
      </c>
      <c r="L2539" s="62" t="s">
        <v>32495</v>
      </c>
      <c r="M2539" s="62" t="s">
        <v>32496</v>
      </c>
      <c r="N2539" s="62" t="s">
        <v>32497</v>
      </c>
      <c r="O2539" s="62" t="s">
        <v>32498</v>
      </c>
      <c r="P2539" s="62" t="s">
        <v>48982</v>
      </c>
      <c r="Q2539" s="62" t="s">
        <v>32499</v>
      </c>
      <c r="R2539" s="62" t="s">
        <v>32500</v>
      </c>
      <c r="S2539" s="62" t="s">
        <v>32501</v>
      </c>
      <c r="U2539" s="62" t="s">
        <v>32502</v>
      </c>
      <c r="V2539" s="62" t="s">
        <v>49033</v>
      </c>
      <c r="W2539" s="62" t="s">
        <v>32503</v>
      </c>
      <c r="X2539" s="62" t="s">
        <v>32504</v>
      </c>
      <c r="Y2539" s="62" t="s">
        <v>32505</v>
      </c>
      <c r="Z2539" s="62" t="s">
        <v>32506</v>
      </c>
      <c r="AA2539" s="62" t="s">
        <v>49084</v>
      </c>
      <c r="AB2539" s="62" t="s">
        <v>32507</v>
      </c>
      <c r="AC2539" s="62" t="s">
        <v>32508</v>
      </c>
      <c r="AD2539" s="62" t="s">
        <v>32509</v>
      </c>
    </row>
    <row r="2540" spans="1:30" x14ac:dyDescent="0.25">
      <c r="A2540" s="62" t="s">
        <v>109</v>
      </c>
      <c r="C2540" s="62" t="s">
        <v>32510</v>
      </c>
      <c r="F2540" s="62" t="s">
        <v>1002</v>
      </c>
      <c r="G2540" s="62" t="s">
        <v>48881</v>
      </c>
      <c r="J2540" s="62" t="s">
        <v>32511</v>
      </c>
      <c r="K2540" s="62" t="s">
        <v>48932</v>
      </c>
      <c r="L2540" s="62" t="s">
        <v>32512</v>
      </c>
      <c r="M2540" s="62" t="s">
        <v>32513</v>
      </c>
      <c r="N2540" s="62" t="s">
        <v>32514</v>
      </c>
      <c r="O2540" s="62" t="s">
        <v>32515</v>
      </c>
      <c r="P2540" s="62" t="s">
        <v>48983</v>
      </c>
      <c r="Q2540" s="62" t="s">
        <v>32516</v>
      </c>
      <c r="R2540" s="62" t="s">
        <v>32517</v>
      </c>
      <c r="S2540" s="62" t="s">
        <v>32518</v>
      </c>
      <c r="U2540" s="62" t="s">
        <v>32519</v>
      </c>
      <c r="V2540" s="62" t="s">
        <v>49034</v>
      </c>
      <c r="W2540" s="62" t="s">
        <v>32520</v>
      </c>
      <c r="X2540" s="62" t="s">
        <v>32521</v>
      </c>
      <c r="Y2540" s="62" t="s">
        <v>32522</v>
      </c>
      <c r="Z2540" s="62" t="s">
        <v>32523</v>
      </c>
      <c r="AA2540" s="62" t="s">
        <v>49085</v>
      </c>
      <c r="AB2540" s="62" t="s">
        <v>32524</v>
      </c>
      <c r="AC2540" s="62" t="s">
        <v>32525</v>
      </c>
      <c r="AD2540" s="62" t="s">
        <v>32526</v>
      </c>
    </row>
    <row r="2541" spans="1:30" x14ac:dyDescent="0.25">
      <c r="A2541" s="62" t="s">
        <v>109</v>
      </c>
      <c r="C2541" s="62" t="s">
        <v>32527</v>
      </c>
      <c r="F2541" s="62" t="s">
        <v>1030</v>
      </c>
      <c r="G2541" s="62" t="s">
        <v>48882</v>
      </c>
      <c r="J2541" s="62" t="s">
        <v>32528</v>
      </c>
      <c r="K2541" s="62" t="s">
        <v>48933</v>
      </c>
      <c r="L2541" s="62" t="s">
        <v>32529</v>
      </c>
      <c r="M2541" s="62" t="s">
        <v>32530</v>
      </c>
      <c r="N2541" s="62" t="s">
        <v>32531</v>
      </c>
      <c r="O2541" s="62" t="s">
        <v>32532</v>
      </c>
      <c r="P2541" s="62" t="s">
        <v>48984</v>
      </c>
      <c r="Q2541" s="62" t="s">
        <v>32533</v>
      </c>
      <c r="R2541" s="62" t="s">
        <v>32534</v>
      </c>
      <c r="S2541" s="62" t="s">
        <v>32535</v>
      </c>
      <c r="U2541" s="62" t="s">
        <v>32536</v>
      </c>
      <c r="V2541" s="62" t="s">
        <v>49035</v>
      </c>
      <c r="W2541" s="62" t="s">
        <v>32537</v>
      </c>
      <c r="X2541" s="62" t="s">
        <v>32538</v>
      </c>
      <c r="Y2541" s="62" t="s">
        <v>32539</v>
      </c>
      <c r="Z2541" s="62" t="s">
        <v>32540</v>
      </c>
      <c r="AA2541" s="62" t="s">
        <v>49086</v>
      </c>
      <c r="AB2541" s="62" t="s">
        <v>32541</v>
      </c>
      <c r="AC2541" s="62" t="s">
        <v>32542</v>
      </c>
      <c r="AD2541" s="62" t="s">
        <v>32543</v>
      </c>
    </row>
    <row r="2542" spans="1:30" x14ac:dyDescent="0.25">
      <c r="A2542" s="62" t="s">
        <v>109</v>
      </c>
      <c r="C2542" s="62" t="s">
        <v>32544</v>
      </c>
      <c r="F2542" s="62" t="s">
        <v>1073</v>
      </c>
      <c r="G2542" s="62" t="s">
        <v>48883</v>
      </c>
      <c r="J2542" s="62" t="s">
        <v>32545</v>
      </c>
      <c r="K2542" s="62" t="s">
        <v>48934</v>
      </c>
      <c r="L2542" s="62" t="s">
        <v>32546</v>
      </c>
      <c r="M2542" s="62" t="s">
        <v>32547</v>
      </c>
      <c r="N2542" s="62" t="s">
        <v>32548</v>
      </c>
      <c r="O2542" s="62" t="s">
        <v>32549</v>
      </c>
      <c r="P2542" s="62" t="s">
        <v>48985</v>
      </c>
      <c r="Q2542" s="62" t="s">
        <v>32550</v>
      </c>
      <c r="R2542" s="62" t="s">
        <v>32551</v>
      </c>
      <c r="S2542" s="62" t="s">
        <v>32552</v>
      </c>
      <c r="U2542" s="62" t="s">
        <v>32553</v>
      </c>
      <c r="V2542" s="62" t="s">
        <v>49036</v>
      </c>
      <c r="W2542" s="62" t="s">
        <v>32554</v>
      </c>
      <c r="X2542" s="62" t="s">
        <v>32555</v>
      </c>
      <c r="Y2542" s="62" t="s">
        <v>32556</v>
      </c>
      <c r="Z2542" s="62" t="s">
        <v>32557</v>
      </c>
      <c r="AA2542" s="62" t="s">
        <v>49087</v>
      </c>
      <c r="AB2542" s="62" t="s">
        <v>32558</v>
      </c>
      <c r="AC2542" s="62" t="s">
        <v>32559</v>
      </c>
      <c r="AD2542" s="62" t="s">
        <v>32560</v>
      </c>
    </row>
    <row r="2543" spans="1:30" x14ac:dyDescent="0.25">
      <c r="A2543" s="62" t="s">
        <v>109</v>
      </c>
      <c r="C2543" s="62" t="s">
        <v>32561</v>
      </c>
      <c r="F2543" s="62" t="s">
        <v>1090</v>
      </c>
      <c r="G2543" s="62" t="s">
        <v>48884</v>
      </c>
      <c r="J2543" s="62" t="s">
        <v>32562</v>
      </c>
      <c r="K2543" s="62" t="s">
        <v>48935</v>
      </c>
      <c r="L2543" s="62" t="s">
        <v>32563</v>
      </c>
      <c r="M2543" s="62" t="s">
        <v>32564</v>
      </c>
      <c r="N2543" s="62" t="s">
        <v>32565</v>
      </c>
      <c r="O2543" s="62" t="s">
        <v>32566</v>
      </c>
      <c r="P2543" s="62" t="s">
        <v>48986</v>
      </c>
      <c r="Q2543" s="62" t="s">
        <v>32567</v>
      </c>
      <c r="R2543" s="62" t="s">
        <v>32568</v>
      </c>
      <c r="S2543" s="62" t="s">
        <v>32569</v>
      </c>
      <c r="U2543" s="62" t="s">
        <v>32570</v>
      </c>
      <c r="V2543" s="62" t="s">
        <v>49037</v>
      </c>
      <c r="W2543" s="62" t="s">
        <v>32571</v>
      </c>
      <c r="X2543" s="62" t="s">
        <v>32572</v>
      </c>
      <c r="Y2543" s="62" t="s">
        <v>32573</v>
      </c>
      <c r="Z2543" s="62" t="s">
        <v>32574</v>
      </c>
      <c r="AA2543" s="62" t="s">
        <v>49088</v>
      </c>
      <c r="AB2543" s="62" t="s">
        <v>32575</v>
      </c>
      <c r="AC2543" s="62" t="s">
        <v>32576</v>
      </c>
      <c r="AD2543" s="62" t="s">
        <v>32577</v>
      </c>
    </row>
    <row r="2544" spans="1:30" x14ac:dyDescent="0.25">
      <c r="A2544" s="62" t="s">
        <v>109</v>
      </c>
      <c r="C2544" s="62" t="s">
        <v>32578</v>
      </c>
      <c r="F2544" s="62" t="s">
        <v>1100</v>
      </c>
      <c r="G2544" s="62" t="s">
        <v>48885</v>
      </c>
      <c r="J2544" s="62" t="s">
        <v>32579</v>
      </c>
      <c r="K2544" s="62" t="s">
        <v>48936</v>
      </c>
      <c r="L2544" s="62" t="s">
        <v>32580</v>
      </c>
      <c r="M2544" s="62" t="s">
        <v>32581</v>
      </c>
      <c r="N2544" s="62" t="s">
        <v>32582</v>
      </c>
      <c r="O2544" s="62" t="s">
        <v>32583</v>
      </c>
      <c r="P2544" s="62" t="s">
        <v>48987</v>
      </c>
      <c r="Q2544" s="62" t="s">
        <v>32584</v>
      </c>
      <c r="R2544" s="62" t="s">
        <v>32585</v>
      </c>
      <c r="S2544" s="62" t="s">
        <v>32586</v>
      </c>
      <c r="U2544" s="62" t="s">
        <v>32587</v>
      </c>
      <c r="V2544" s="62" t="s">
        <v>49038</v>
      </c>
      <c r="W2544" s="62" t="s">
        <v>32588</v>
      </c>
      <c r="X2544" s="62" t="s">
        <v>32589</v>
      </c>
      <c r="Y2544" s="62" t="s">
        <v>32590</v>
      </c>
      <c r="Z2544" s="62" t="s">
        <v>32591</v>
      </c>
      <c r="AA2544" s="62" t="s">
        <v>49089</v>
      </c>
      <c r="AB2544" s="62" t="s">
        <v>32592</v>
      </c>
      <c r="AC2544" s="62" t="s">
        <v>32593</v>
      </c>
      <c r="AD2544" s="62" t="s">
        <v>32594</v>
      </c>
    </row>
    <row r="2545" spans="1:30" x14ac:dyDescent="0.25">
      <c r="A2545" s="62" t="s">
        <v>109</v>
      </c>
      <c r="C2545" s="62" t="s">
        <v>32595</v>
      </c>
      <c r="F2545" s="62" t="s">
        <v>2355</v>
      </c>
      <c r="G2545" s="62" t="s">
        <v>48886</v>
      </c>
      <c r="J2545" s="62" t="s">
        <v>32596</v>
      </c>
      <c r="K2545" s="62" t="s">
        <v>48937</v>
      </c>
      <c r="L2545" s="62" t="s">
        <v>32597</v>
      </c>
      <c r="M2545" s="62" t="s">
        <v>32598</v>
      </c>
      <c r="N2545" s="62" t="s">
        <v>32599</v>
      </c>
      <c r="O2545" s="62" t="s">
        <v>32600</v>
      </c>
      <c r="P2545" s="62" t="s">
        <v>48988</v>
      </c>
      <c r="Q2545" s="62" t="s">
        <v>32601</v>
      </c>
      <c r="R2545" s="62" t="s">
        <v>32602</v>
      </c>
      <c r="S2545" s="62" t="s">
        <v>32603</v>
      </c>
      <c r="U2545" s="62" t="s">
        <v>32604</v>
      </c>
      <c r="V2545" s="62" t="s">
        <v>49039</v>
      </c>
      <c r="W2545" s="62" t="s">
        <v>32605</v>
      </c>
      <c r="X2545" s="62" t="s">
        <v>32606</v>
      </c>
      <c r="Y2545" s="62" t="s">
        <v>32607</v>
      </c>
      <c r="Z2545" s="62" t="s">
        <v>32608</v>
      </c>
      <c r="AA2545" s="62" t="s">
        <v>49090</v>
      </c>
      <c r="AB2545" s="62" t="s">
        <v>32609</v>
      </c>
      <c r="AC2545" s="62" t="s">
        <v>32610</v>
      </c>
      <c r="AD2545" s="62" t="s">
        <v>32611</v>
      </c>
    </row>
    <row r="2546" spans="1:30" x14ac:dyDescent="0.25">
      <c r="A2546" s="62" t="s">
        <v>109</v>
      </c>
      <c r="C2546" s="62" t="s">
        <v>32612</v>
      </c>
      <c r="F2546" s="62" t="s">
        <v>2372</v>
      </c>
      <c r="G2546" s="62" t="s">
        <v>48887</v>
      </c>
      <c r="J2546" s="62" t="s">
        <v>32613</v>
      </c>
      <c r="K2546" s="62" t="s">
        <v>48938</v>
      </c>
      <c r="L2546" s="62" t="s">
        <v>32614</v>
      </c>
      <c r="M2546" s="62" t="s">
        <v>32615</v>
      </c>
      <c r="N2546" s="62" t="s">
        <v>32616</v>
      </c>
      <c r="O2546" s="62" t="s">
        <v>32617</v>
      </c>
      <c r="P2546" s="62" t="s">
        <v>48989</v>
      </c>
      <c r="Q2546" s="62" t="s">
        <v>32618</v>
      </c>
      <c r="R2546" s="62" t="s">
        <v>32619</v>
      </c>
      <c r="S2546" s="62" t="s">
        <v>32620</v>
      </c>
      <c r="U2546" s="62" t="s">
        <v>32621</v>
      </c>
      <c r="V2546" s="62" t="s">
        <v>49040</v>
      </c>
      <c r="W2546" s="62" t="s">
        <v>32622</v>
      </c>
      <c r="X2546" s="62" t="s">
        <v>32623</v>
      </c>
      <c r="Y2546" s="62" t="s">
        <v>32624</v>
      </c>
      <c r="Z2546" s="62" t="s">
        <v>32625</v>
      </c>
      <c r="AA2546" s="62" t="s">
        <v>49091</v>
      </c>
      <c r="AB2546" s="62" t="s">
        <v>32626</v>
      </c>
      <c r="AC2546" s="62" t="s">
        <v>32627</v>
      </c>
      <c r="AD2546" s="62" t="s">
        <v>32628</v>
      </c>
    </row>
    <row r="2547" spans="1:30" x14ac:dyDescent="0.25">
      <c r="A2547" s="62" t="s">
        <v>109</v>
      </c>
      <c r="C2547" s="62" t="s">
        <v>32629</v>
      </c>
      <c r="F2547" s="62" t="s">
        <v>10559</v>
      </c>
      <c r="G2547" s="62" t="s">
        <v>48888</v>
      </c>
      <c r="J2547" s="62" t="s">
        <v>32630</v>
      </c>
      <c r="K2547" s="62" t="s">
        <v>48939</v>
      </c>
      <c r="L2547" s="62" t="s">
        <v>32631</v>
      </c>
      <c r="M2547" s="62" t="s">
        <v>32632</v>
      </c>
      <c r="N2547" s="62" t="s">
        <v>32633</v>
      </c>
      <c r="O2547" s="62" t="s">
        <v>32634</v>
      </c>
      <c r="P2547" s="62" t="s">
        <v>48990</v>
      </c>
      <c r="Q2547" s="62" t="s">
        <v>32635</v>
      </c>
      <c r="R2547" s="62" t="s">
        <v>32636</v>
      </c>
      <c r="S2547" s="62" t="s">
        <v>32637</v>
      </c>
      <c r="U2547" s="62" t="s">
        <v>32638</v>
      </c>
      <c r="V2547" s="62" t="s">
        <v>49041</v>
      </c>
      <c r="W2547" s="62" t="s">
        <v>32639</v>
      </c>
      <c r="X2547" s="62" t="s">
        <v>32640</v>
      </c>
      <c r="Y2547" s="62" t="s">
        <v>32641</v>
      </c>
      <c r="Z2547" s="62" t="s">
        <v>32642</v>
      </c>
      <c r="AA2547" s="62" t="s">
        <v>49092</v>
      </c>
      <c r="AB2547" s="62" t="s">
        <v>32643</v>
      </c>
      <c r="AC2547" s="62" t="s">
        <v>32644</v>
      </c>
      <c r="AD2547" s="62" t="s">
        <v>32645</v>
      </c>
    </row>
    <row r="2548" spans="1:30" x14ac:dyDescent="0.25">
      <c r="A2548" s="62" t="s">
        <v>109</v>
      </c>
      <c r="C2548" s="62" t="s">
        <v>45477</v>
      </c>
      <c r="F2548" s="62" t="s">
        <v>10613</v>
      </c>
      <c r="G2548" s="62" t="s">
        <v>48889</v>
      </c>
      <c r="J2548" s="62" t="s">
        <v>45478</v>
      </c>
      <c r="K2548" s="62" t="s">
        <v>48940</v>
      </c>
      <c r="L2548" s="62" t="s">
        <v>45479</v>
      </c>
      <c r="M2548" s="62" t="s">
        <v>45480</v>
      </c>
      <c r="N2548" s="62" t="s">
        <v>45481</v>
      </c>
      <c r="O2548" s="62" t="s">
        <v>45482</v>
      </c>
      <c r="P2548" s="62" t="s">
        <v>48991</v>
      </c>
      <c r="Q2548" s="62" t="s">
        <v>45483</v>
      </c>
      <c r="R2548" s="62" t="s">
        <v>45484</v>
      </c>
      <c r="S2548" s="62" t="s">
        <v>45485</v>
      </c>
      <c r="U2548" s="62" t="s">
        <v>45486</v>
      </c>
      <c r="V2548" s="62" t="s">
        <v>49042</v>
      </c>
      <c r="W2548" s="62" t="s">
        <v>45487</v>
      </c>
      <c r="X2548" s="62" t="s">
        <v>45488</v>
      </c>
      <c r="Y2548" s="62" t="s">
        <v>45489</v>
      </c>
      <c r="Z2548" s="62" t="s">
        <v>45490</v>
      </c>
      <c r="AA2548" s="62" t="s">
        <v>49093</v>
      </c>
      <c r="AB2548" s="62" t="s">
        <v>45491</v>
      </c>
      <c r="AC2548" s="62" t="s">
        <v>45492</v>
      </c>
      <c r="AD2548" s="62" t="s">
        <v>45493</v>
      </c>
    </row>
    <row r="2549" spans="1:30" x14ac:dyDescent="0.25">
      <c r="A2549" s="62" t="s">
        <v>109</v>
      </c>
      <c r="C2549" s="62" t="s">
        <v>32646</v>
      </c>
      <c r="F2549" s="62" t="s">
        <v>10739</v>
      </c>
      <c r="G2549" s="62" t="s">
        <v>48890</v>
      </c>
      <c r="J2549" s="62" t="s">
        <v>45494</v>
      </c>
      <c r="K2549" s="62" t="s">
        <v>48941</v>
      </c>
      <c r="L2549" s="62" t="s">
        <v>45495</v>
      </c>
      <c r="M2549" s="62" t="s">
        <v>32647</v>
      </c>
      <c r="N2549" s="62" t="s">
        <v>32648</v>
      </c>
      <c r="O2549" s="62" t="s">
        <v>45496</v>
      </c>
      <c r="P2549" s="62" t="s">
        <v>48992</v>
      </c>
      <c r="Q2549" s="62" t="s">
        <v>45497</v>
      </c>
      <c r="R2549" s="62" t="s">
        <v>32649</v>
      </c>
      <c r="S2549" s="62" t="s">
        <v>32650</v>
      </c>
      <c r="U2549" s="62" t="s">
        <v>45498</v>
      </c>
      <c r="V2549" s="62" t="s">
        <v>49043</v>
      </c>
      <c r="W2549" s="62" t="s">
        <v>45499</v>
      </c>
      <c r="X2549" s="62" t="s">
        <v>32651</v>
      </c>
      <c r="Y2549" s="62" t="s">
        <v>32652</v>
      </c>
      <c r="Z2549" s="62" t="s">
        <v>45500</v>
      </c>
      <c r="AA2549" s="62" t="s">
        <v>49094</v>
      </c>
      <c r="AB2549" s="62" t="s">
        <v>45501</v>
      </c>
      <c r="AC2549" s="62" t="s">
        <v>32653</v>
      </c>
      <c r="AD2549" s="62" t="s">
        <v>32654</v>
      </c>
    </row>
    <row r="2550" spans="1:30" x14ac:dyDescent="0.25">
      <c r="A2550" s="62" t="s">
        <v>109</v>
      </c>
      <c r="C2550" s="62" t="s">
        <v>45502</v>
      </c>
      <c r="F2550" s="62" t="s">
        <v>13184</v>
      </c>
      <c r="G2550" s="62" t="s">
        <v>48891</v>
      </c>
      <c r="J2550" s="62" t="s">
        <v>45503</v>
      </c>
      <c r="K2550" s="62" t="s">
        <v>48942</v>
      </c>
      <c r="L2550" s="62" t="s">
        <v>45504</v>
      </c>
      <c r="M2550" s="62" t="s">
        <v>45505</v>
      </c>
      <c r="N2550" s="62" t="s">
        <v>45506</v>
      </c>
      <c r="O2550" s="62" t="s">
        <v>45507</v>
      </c>
      <c r="P2550" s="62" t="s">
        <v>48993</v>
      </c>
      <c r="Q2550" s="62" t="s">
        <v>45508</v>
      </c>
      <c r="R2550" s="62" t="s">
        <v>45509</v>
      </c>
      <c r="S2550" s="62" t="s">
        <v>45510</v>
      </c>
      <c r="U2550" s="62" t="s">
        <v>45511</v>
      </c>
      <c r="V2550" s="62" t="s">
        <v>49044</v>
      </c>
      <c r="W2550" s="62" t="s">
        <v>45512</v>
      </c>
      <c r="X2550" s="62" t="s">
        <v>45513</v>
      </c>
      <c r="Y2550" s="62" t="s">
        <v>45514</v>
      </c>
      <c r="Z2550" s="62" t="s">
        <v>45515</v>
      </c>
      <c r="AA2550" s="62" t="s">
        <v>49095</v>
      </c>
      <c r="AB2550" s="62" t="s">
        <v>45516</v>
      </c>
      <c r="AC2550" s="62" t="s">
        <v>45517</v>
      </c>
      <c r="AD2550" s="62" t="s">
        <v>45518</v>
      </c>
    </row>
    <row r="2551" spans="1:30" x14ac:dyDescent="0.25">
      <c r="A2551" s="62" t="s">
        <v>109</v>
      </c>
      <c r="C2551" s="62" t="s">
        <v>45519</v>
      </c>
      <c r="F2551" s="62" t="s">
        <v>10757</v>
      </c>
      <c r="G2551" s="62" t="s">
        <v>48892</v>
      </c>
      <c r="J2551" s="62" t="s">
        <v>45520</v>
      </c>
      <c r="K2551" s="62" t="s">
        <v>48943</v>
      </c>
      <c r="L2551" s="62" t="s">
        <v>45521</v>
      </c>
      <c r="M2551" s="62" t="s">
        <v>45522</v>
      </c>
      <c r="N2551" s="62" t="s">
        <v>45523</v>
      </c>
      <c r="O2551" s="62" t="s">
        <v>45524</v>
      </c>
      <c r="P2551" s="62" t="s">
        <v>48994</v>
      </c>
      <c r="Q2551" s="62" t="s">
        <v>45525</v>
      </c>
      <c r="R2551" s="62" t="s">
        <v>45526</v>
      </c>
      <c r="S2551" s="62" t="s">
        <v>45527</v>
      </c>
      <c r="U2551" s="62" t="s">
        <v>45528</v>
      </c>
      <c r="V2551" s="62" t="s">
        <v>49045</v>
      </c>
      <c r="W2551" s="62" t="s">
        <v>45529</v>
      </c>
      <c r="X2551" s="62" t="s">
        <v>45530</v>
      </c>
      <c r="Y2551" s="62" t="s">
        <v>45531</v>
      </c>
      <c r="Z2551" s="62" t="s">
        <v>45532</v>
      </c>
      <c r="AA2551" s="62" t="s">
        <v>49096</v>
      </c>
      <c r="AB2551" s="62" t="s">
        <v>45533</v>
      </c>
      <c r="AC2551" s="62" t="s">
        <v>45534</v>
      </c>
      <c r="AD2551" s="62" t="s">
        <v>45535</v>
      </c>
    </row>
    <row r="2552" spans="1:30" x14ac:dyDescent="0.25">
      <c r="A2552" s="62" t="s">
        <v>109</v>
      </c>
      <c r="C2552" s="62" t="s">
        <v>32656</v>
      </c>
      <c r="F2552" s="62" t="s">
        <v>10775</v>
      </c>
      <c r="G2552" s="62" t="s">
        <v>48893</v>
      </c>
      <c r="J2552" s="62" t="s">
        <v>45536</v>
      </c>
      <c r="K2552" s="62" t="s">
        <v>48944</v>
      </c>
      <c r="L2552" s="62" t="s">
        <v>45537</v>
      </c>
      <c r="M2552" s="62" t="s">
        <v>45538</v>
      </c>
      <c r="N2552" s="62" t="s">
        <v>45539</v>
      </c>
      <c r="O2552" s="62" t="s">
        <v>45540</v>
      </c>
      <c r="P2552" s="62" t="s">
        <v>48995</v>
      </c>
      <c r="Q2552" s="62" t="s">
        <v>45541</v>
      </c>
      <c r="R2552" s="62" t="s">
        <v>45542</v>
      </c>
      <c r="S2552" s="62" t="s">
        <v>45543</v>
      </c>
      <c r="U2552" s="62" t="s">
        <v>45544</v>
      </c>
      <c r="V2552" s="62" t="s">
        <v>49046</v>
      </c>
      <c r="W2552" s="62" t="s">
        <v>45545</v>
      </c>
      <c r="X2552" s="62" t="s">
        <v>45546</v>
      </c>
      <c r="Y2552" s="62" t="s">
        <v>45547</v>
      </c>
      <c r="Z2552" s="62" t="s">
        <v>45548</v>
      </c>
      <c r="AA2552" s="62" t="s">
        <v>49097</v>
      </c>
      <c r="AB2552" s="62" t="s">
        <v>45549</v>
      </c>
      <c r="AC2552" s="62" t="s">
        <v>45550</v>
      </c>
      <c r="AD2552" s="62" t="s">
        <v>45551</v>
      </c>
    </row>
    <row r="2553" spans="1:30" x14ac:dyDescent="0.25">
      <c r="A2553" s="62" t="s">
        <v>109</v>
      </c>
      <c r="C2553" s="62" t="s">
        <v>32657</v>
      </c>
      <c r="F2553" s="62" t="s">
        <v>13202</v>
      </c>
      <c r="G2553" s="62" t="s">
        <v>48894</v>
      </c>
      <c r="J2553" s="62" t="s">
        <v>32658</v>
      </c>
      <c r="K2553" s="62" t="s">
        <v>48945</v>
      </c>
      <c r="L2553" s="62" t="s">
        <v>32659</v>
      </c>
      <c r="M2553" s="62" t="s">
        <v>32660</v>
      </c>
      <c r="N2553" s="62" t="s">
        <v>32661</v>
      </c>
      <c r="O2553" s="62" t="s">
        <v>32662</v>
      </c>
      <c r="P2553" s="62" t="s">
        <v>48996</v>
      </c>
      <c r="Q2553" s="62" t="s">
        <v>32663</v>
      </c>
      <c r="R2553" s="62" t="s">
        <v>32664</v>
      </c>
      <c r="S2553" s="62" t="s">
        <v>32665</v>
      </c>
      <c r="U2553" s="62" t="s">
        <v>32666</v>
      </c>
      <c r="V2553" s="62" t="s">
        <v>49047</v>
      </c>
      <c r="W2553" s="62" t="s">
        <v>32667</v>
      </c>
      <c r="X2553" s="62" t="s">
        <v>32668</v>
      </c>
      <c r="Y2553" s="62" t="s">
        <v>32669</v>
      </c>
      <c r="Z2553" s="62" t="s">
        <v>32670</v>
      </c>
      <c r="AA2553" s="62" t="s">
        <v>49098</v>
      </c>
      <c r="AB2553" s="62" t="s">
        <v>32671</v>
      </c>
      <c r="AC2553" s="62" t="s">
        <v>32672</v>
      </c>
      <c r="AD2553" s="62" t="s">
        <v>32673</v>
      </c>
    </row>
    <row r="2554" spans="1:30" x14ac:dyDescent="0.25">
      <c r="A2554" s="62" t="s">
        <v>109</v>
      </c>
      <c r="C2554" s="62" t="s">
        <v>32674</v>
      </c>
      <c r="F2554" s="62" t="s">
        <v>13236</v>
      </c>
      <c r="G2554" s="62" t="s">
        <v>48895</v>
      </c>
      <c r="J2554" s="62" t="s">
        <v>32675</v>
      </c>
      <c r="K2554" s="62" t="s">
        <v>48946</v>
      </c>
      <c r="L2554" s="62" t="s">
        <v>32676</v>
      </c>
      <c r="M2554" s="62" t="s">
        <v>32677</v>
      </c>
      <c r="N2554" s="62" t="s">
        <v>32678</v>
      </c>
      <c r="O2554" s="62" t="s">
        <v>32679</v>
      </c>
      <c r="P2554" s="62" t="s">
        <v>48997</v>
      </c>
      <c r="Q2554" s="62" t="s">
        <v>32680</v>
      </c>
      <c r="R2554" s="62" t="s">
        <v>32681</v>
      </c>
      <c r="S2554" s="62" t="s">
        <v>32682</v>
      </c>
      <c r="U2554" s="62" t="s">
        <v>32683</v>
      </c>
      <c r="V2554" s="62" t="s">
        <v>49048</v>
      </c>
      <c r="W2554" s="62" t="s">
        <v>32684</v>
      </c>
      <c r="X2554" s="62" t="s">
        <v>32685</v>
      </c>
      <c r="Y2554" s="62" t="s">
        <v>32686</v>
      </c>
      <c r="Z2554" s="62" t="s">
        <v>32687</v>
      </c>
      <c r="AA2554" s="62" t="s">
        <v>49099</v>
      </c>
      <c r="AB2554" s="62" t="s">
        <v>32688</v>
      </c>
      <c r="AC2554" s="62" t="s">
        <v>32689</v>
      </c>
      <c r="AD2554" s="62" t="s">
        <v>32690</v>
      </c>
    </row>
    <row r="2555" spans="1:30" x14ac:dyDescent="0.25">
      <c r="A2555" s="62" t="s">
        <v>109</v>
      </c>
      <c r="C2555" s="62" t="s">
        <v>32691</v>
      </c>
      <c r="F2555" s="62" t="s">
        <v>10847</v>
      </c>
      <c r="G2555" s="62" t="s">
        <v>48896</v>
      </c>
      <c r="J2555" s="62" t="s">
        <v>32692</v>
      </c>
      <c r="K2555" s="62" t="s">
        <v>48947</v>
      </c>
      <c r="L2555" s="62" t="s">
        <v>32693</v>
      </c>
      <c r="M2555" s="62" t="s">
        <v>32694</v>
      </c>
      <c r="N2555" s="62" t="s">
        <v>32695</v>
      </c>
      <c r="O2555" s="62" t="s">
        <v>32696</v>
      </c>
      <c r="P2555" s="62" t="s">
        <v>48998</v>
      </c>
      <c r="Q2555" s="62" t="s">
        <v>32697</v>
      </c>
      <c r="R2555" s="62" t="s">
        <v>32698</v>
      </c>
      <c r="S2555" s="62" t="s">
        <v>32699</v>
      </c>
      <c r="U2555" s="62" t="s">
        <v>32700</v>
      </c>
      <c r="V2555" s="62" t="s">
        <v>49049</v>
      </c>
      <c r="W2555" s="62" t="s">
        <v>32701</v>
      </c>
      <c r="X2555" s="62" t="s">
        <v>32702</v>
      </c>
      <c r="Y2555" s="62" t="s">
        <v>32703</v>
      </c>
      <c r="Z2555" s="62" t="s">
        <v>32704</v>
      </c>
      <c r="AA2555" s="62" t="s">
        <v>49100</v>
      </c>
      <c r="AB2555" s="62" t="s">
        <v>32705</v>
      </c>
      <c r="AC2555" s="62" t="s">
        <v>32706</v>
      </c>
      <c r="AD2555" s="62" t="s">
        <v>32707</v>
      </c>
    </row>
    <row r="2556" spans="1:30" x14ac:dyDescent="0.25">
      <c r="A2556" s="62" t="s">
        <v>109</v>
      </c>
      <c r="C2556" s="62" t="s">
        <v>32708</v>
      </c>
      <c r="F2556" s="62" t="s">
        <v>13238</v>
      </c>
      <c r="G2556" s="62" t="s">
        <v>48897</v>
      </c>
      <c r="J2556" s="62" t="s">
        <v>32709</v>
      </c>
      <c r="K2556" s="62" t="s">
        <v>48948</v>
      </c>
      <c r="L2556" s="62" t="s">
        <v>32710</v>
      </c>
      <c r="M2556" s="62" t="s">
        <v>32711</v>
      </c>
      <c r="N2556" s="62" t="s">
        <v>32712</v>
      </c>
      <c r="O2556" s="62" t="s">
        <v>32713</v>
      </c>
      <c r="P2556" s="62" t="s">
        <v>48999</v>
      </c>
      <c r="Q2556" s="62" t="s">
        <v>32714</v>
      </c>
      <c r="R2556" s="62" t="s">
        <v>32715</v>
      </c>
      <c r="S2556" s="62" t="s">
        <v>32716</v>
      </c>
      <c r="U2556" s="62" t="s">
        <v>32717</v>
      </c>
      <c r="V2556" s="62" t="s">
        <v>49050</v>
      </c>
      <c r="W2556" s="62" t="s">
        <v>32718</v>
      </c>
      <c r="X2556" s="62" t="s">
        <v>32719</v>
      </c>
      <c r="Y2556" s="62" t="s">
        <v>32720</v>
      </c>
      <c r="Z2556" s="62" t="s">
        <v>32721</v>
      </c>
      <c r="AA2556" s="62" t="s">
        <v>49101</v>
      </c>
      <c r="AB2556" s="62" t="s">
        <v>32722</v>
      </c>
      <c r="AC2556" s="62" t="s">
        <v>32723</v>
      </c>
      <c r="AD2556" s="62" t="s">
        <v>32724</v>
      </c>
    </row>
    <row r="2557" spans="1:30" x14ac:dyDescent="0.25">
      <c r="A2557" s="62" t="s">
        <v>109</v>
      </c>
      <c r="C2557" s="62" t="s">
        <v>32725</v>
      </c>
      <c r="F2557" s="62" t="s">
        <v>1152</v>
      </c>
      <c r="G2557" s="62" t="s">
        <v>48898</v>
      </c>
      <c r="J2557" s="62" t="s">
        <v>32726</v>
      </c>
      <c r="K2557" s="62" t="s">
        <v>48949</v>
      </c>
      <c r="L2557" s="62" t="s">
        <v>32727</v>
      </c>
      <c r="M2557" s="62" t="s">
        <v>32728</v>
      </c>
      <c r="N2557" s="62" t="s">
        <v>32729</v>
      </c>
      <c r="O2557" s="62" t="s">
        <v>32730</v>
      </c>
      <c r="P2557" s="62" t="s">
        <v>49000</v>
      </c>
      <c r="Q2557" s="62" t="s">
        <v>32731</v>
      </c>
      <c r="R2557" s="62" t="s">
        <v>32732</v>
      </c>
      <c r="S2557" s="62" t="s">
        <v>32733</v>
      </c>
      <c r="U2557" s="62" t="s">
        <v>32734</v>
      </c>
      <c r="V2557" s="62" t="s">
        <v>49051</v>
      </c>
      <c r="W2557" s="62" t="s">
        <v>32735</v>
      </c>
      <c r="X2557" s="62" t="s">
        <v>32736</v>
      </c>
      <c r="Y2557" s="62" t="s">
        <v>32737</v>
      </c>
      <c r="Z2557" s="62" t="s">
        <v>32738</v>
      </c>
      <c r="AA2557" s="62" t="s">
        <v>49102</v>
      </c>
      <c r="AB2557" s="62" t="s">
        <v>32739</v>
      </c>
      <c r="AC2557" s="62" t="s">
        <v>32740</v>
      </c>
      <c r="AD2557" s="62" t="s">
        <v>32741</v>
      </c>
    </row>
    <row r="2558" spans="1:30" x14ac:dyDescent="0.25">
      <c r="A2558" s="62" t="s">
        <v>109</v>
      </c>
      <c r="C2558" s="62" t="s">
        <v>32742</v>
      </c>
      <c r="F2558" s="62" t="s">
        <v>1249</v>
      </c>
      <c r="G2558" s="62" t="s">
        <v>48899</v>
      </c>
      <c r="J2558" s="62" t="s">
        <v>32743</v>
      </c>
      <c r="K2558" s="62" t="s">
        <v>48950</v>
      </c>
      <c r="L2558" s="62" t="s">
        <v>32744</v>
      </c>
      <c r="M2558" s="62" t="s">
        <v>32745</v>
      </c>
      <c r="N2558" s="62" t="s">
        <v>32746</v>
      </c>
      <c r="O2558" s="62" t="s">
        <v>32747</v>
      </c>
      <c r="P2558" s="62" t="s">
        <v>49001</v>
      </c>
      <c r="Q2558" s="62" t="s">
        <v>32748</v>
      </c>
      <c r="R2558" s="62" t="s">
        <v>32749</v>
      </c>
      <c r="S2558" s="62" t="s">
        <v>32750</v>
      </c>
      <c r="U2558" s="62" t="s">
        <v>32751</v>
      </c>
      <c r="V2558" s="62" t="s">
        <v>49052</v>
      </c>
      <c r="W2558" s="62" t="s">
        <v>32752</v>
      </c>
      <c r="X2558" s="62" t="s">
        <v>32753</v>
      </c>
      <c r="Y2558" s="62" t="s">
        <v>32754</v>
      </c>
      <c r="Z2558" s="62" t="s">
        <v>32755</v>
      </c>
      <c r="AA2558" s="62" t="s">
        <v>49103</v>
      </c>
      <c r="AB2558" s="62" t="s">
        <v>32756</v>
      </c>
      <c r="AC2558" s="62" t="s">
        <v>32757</v>
      </c>
      <c r="AD2558" s="62" t="s">
        <v>32758</v>
      </c>
    </row>
    <row r="2559" spans="1:30" x14ac:dyDescent="0.25">
      <c r="A2559" s="62" t="s">
        <v>109</v>
      </c>
      <c r="C2559" s="62" t="s">
        <v>32759</v>
      </c>
      <c r="F2559" s="62" t="s">
        <v>1286</v>
      </c>
      <c r="G2559" s="62" t="s">
        <v>48900</v>
      </c>
      <c r="J2559" s="62" t="s">
        <v>32760</v>
      </c>
      <c r="K2559" s="62" t="s">
        <v>48951</v>
      </c>
      <c r="L2559" s="62" t="s">
        <v>32761</v>
      </c>
      <c r="M2559" s="62" t="s">
        <v>32762</v>
      </c>
      <c r="N2559" s="62" t="s">
        <v>32763</v>
      </c>
      <c r="O2559" s="62" t="s">
        <v>32764</v>
      </c>
      <c r="P2559" s="62" t="s">
        <v>49002</v>
      </c>
      <c r="Q2559" s="62" t="s">
        <v>32765</v>
      </c>
      <c r="R2559" s="62" t="s">
        <v>32766</v>
      </c>
      <c r="S2559" s="62" t="s">
        <v>32767</v>
      </c>
      <c r="U2559" s="62" t="s">
        <v>32768</v>
      </c>
      <c r="V2559" s="62" t="s">
        <v>49053</v>
      </c>
      <c r="W2559" s="62" t="s">
        <v>32769</v>
      </c>
      <c r="X2559" s="62" t="s">
        <v>32770</v>
      </c>
      <c r="Y2559" s="62" t="s">
        <v>32771</v>
      </c>
      <c r="Z2559" s="62" t="s">
        <v>32772</v>
      </c>
      <c r="AA2559" s="62" t="s">
        <v>49104</v>
      </c>
      <c r="AB2559" s="62" t="s">
        <v>32773</v>
      </c>
      <c r="AC2559" s="62" t="s">
        <v>32774</v>
      </c>
      <c r="AD2559" s="62" t="s">
        <v>32775</v>
      </c>
    </row>
    <row r="2560" spans="1:30" x14ac:dyDescent="0.25">
      <c r="A2560" s="62" t="s">
        <v>109</v>
      </c>
      <c r="C2560" s="62" t="s">
        <v>32776</v>
      </c>
      <c r="F2560" s="62" t="s">
        <v>1797</v>
      </c>
      <c r="G2560" s="62" t="s">
        <v>48901</v>
      </c>
      <c r="J2560" s="62" t="s">
        <v>32777</v>
      </c>
      <c r="K2560" s="62" t="s">
        <v>48952</v>
      </c>
      <c r="L2560" s="62" t="s">
        <v>32778</v>
      </c>
      <c r="M2560" s="62" t="s">
        <v>32779</v>
      </c>
      <c r="N2560" s="62" t="s">
        <v>32780</v>
      </c>
      <c r="O2560" s="62" t="s">
        <v>32781</v>
      </c>
      <c r="P2560" s="62" t="s">
        <v>49003</v>
      </c>
      <c r="Q2560" s="62" t="s">
        <v>32782</v>
      </c>
      <c r="R2560" s="62" t="s">
        <v>32783</v>
      </c>
      <c r="S2560" s="62" t="s">
        <v>32784</v>
      </c>
      <c r="U2560" s="62" t="s">
        <v>32785</v>
      </c>
      <c r="V2560" s="62" t="s">
        <v>49054</v>
      </c>
      <c r="W2560" s="62" t="s">
        <v>32786</v>
      </c>
      <c r="X2560" s="62" t="s">
        <v>32787</v>
      </c>
      <c r="Y2560" s="62" t="s">
        <v>32788</v>
      </c>
      <c r="Z2560" s="62" t="s">
        <v>32789</v>
      </c>
      <c r="AA2560" s="62" t="s">
        <v>49105</v>
      </c>
      <c r="AB2560" s="62" t="s">
        <v>32790</v>
      </c>
      <c r="AC2560" s="62" t="s">
        <v>32791</v>
      </c>
      <c r="AD2560" s="62" t="s">
        <v>32792</v>
      </c>
    </row>
    <row r="2561" spans="1:30" x14ac:dyDescent="0.25">
      <c r="A2561" s="62" t="s">
        <v>109</v>
      </c>
      <c r="C2561" s="62" t="s">
        <v>32793</v>
      </c>
      <c r="F2561" s="62" t="s">
        <v>1299</v>
      </c>
      <c r="G2561" s="62" t="s">
        <v>48902</v>
      </c>
      <c r="J2561" s="62" t="s">
        <v>32794</v>
      </c>
      <c r="K2561" s="62" t="s">
        <v>48953</v>
      </c>
      <c r="L2561" s="62" t="s">
        <v>32795</v>
      </c>
      <c r="M2561" s="62" t="s">
        <v>32796</v>
      </c>
      <c r="N2561" s="62" t="s">
        <v>32797</v>
      </c>
      <c r="O2561" s="62" t="s">
        <v>32798</v>
      </c>
      <c r="P2561" s="62" t="s">
        <v>49004</v>
      </c>
      <c r="Q2561" s="62" t="s">
        <v>32799</v>
      </c>
      <c r="R2561" s="62" t="s">
        <v>32800</v>
      </c>
      <c r="S2561" s="62" t="s">
        <v>32801</v>
      </c>
      <c r="U2561" s="62" t="s">
        <v>32802</v>
      </c>
      <c r="V2561" s="62" t="s">
        <v>49055</v>
      </c>
      <c r="W2561" s="62" t="s">
        <v>32803</v>
      </c>
      <c r="X2561" s="62" t="s">
        <v>32804</v>
      </c>
      <c r="Y2561" s="62" t="s">
        <v>32805</v>
      </c>
      <c r="Z2561" s="62" t="s">
        <v>32806</v>
      </c>
      <c r="AA2561" s="62" t="s">
        <v>49106</v>
      </c>
      <c r="AB2561" s="62" t="s">
        <v>32807</v>
      </c>
      <c r="AC2561" s="62" t="s">
        <v>32808</v>
      </c>
      <c r="AD2561" s="62" t="s">
        <v>32809</v>
      </c>
    </row>
    <row r="2562" spans="1:30" x14ac:dyDescent="0.25">
      <c r="A2562" s="62" t="s">
        <v>109</v>
      </c>
      <c r="C2562" s="62" t="s">
        <v>32810</v>
      </c>
      <c r="F2562" s="62" t="s">
        <v>13249</v>
      </c>
      <c r="G2562" s="62" t="s">
        <v>48903</v>
      </c>
      <c r="J2562" s="62" t="s">
        <v>32811</v>
      </c>
      <c r="K2562" s="62" t="s">
        <v>48954</v>
      </c>
      <c r="L2562" s="62" t="s">
        <v>32812</v>
      </c>
      <c r="M2562" s="62" t="s">
        <v>32813</v>
      </c>
      <c r="N2562" s="62" t="s">
        <v>32814</v>
      </c>
      <c r="O2562" s="62" t="s">
        <v>32815</v>
      </c>
      <c r="P2562" s="62" t="s">
        <v>49005</v>
      </c>
      <c r="Q2562" s="62" t="s">
        <v>32816</v>
      </c>
      <c r="R2562" s="62" t="s">
        <v>32817</v>
      </c>
      <c r="S2562" s="62" t="s">
        <v>32818</v>
      </c>
      <c r="U2562" s="62" t="s">
        <v>32819</v>
      </c>
      <c r="V2562" s="62" t="s">
        <v>49056</v>
      </c>
      <c r="W2562" s="62" t="s">
        <v>32820</v>
      </c>
      <c r="X2562" s="62" t="s">
        <v>32821</v>
      </c>
      <c r="Y2562" s="62" t="s">
        <v>32822</v>
      </c>
      <c r="Z2562" s="62" t="s">
        <v>32823</v>
      </c>
      <c r="AA2562" s="62" t="s">
        <v>49107</v>
      </c>
      <c r="AB2562" s="62" t="s">
        <v>32824</v>
      </c>
      <c r="AC2562" s="62" t="s">
        <v>32825</v>
      </c>
      <c r="AD2562" s="62" t="s">
        <v>32826</v>
      </c>
    </row>
    <row r="2563" spans="1:30" x14ac:dyDescent="0.25">
      <c r="A2563" s="62" t="s">
        <v>109</v>
      </c>
      <c r="C2563" s="62" t="s">
        <v>32827</v>
      </c>
      <c r="F2563" s="62" t="s">
        <v>10925</v>
      </c>
      <c r="G2563" s="62" t="s">
        <v>48904</v>
      </c>
      <c r="J2563" s="62" t="s">
        <v>32828</v>
      </c>
      <c r="K2563" s="62" t="s">
        <v>48955</v>
      </c>
      <c r="L2563" s="62" t="s">
        <v>32829</v>
      </c>
      <c r="M2563" s="62" t="s">
        <v>32830</v>
      </c>
      <c r="N2563" s="62" t="s">
        <v>32831</v>
      </c>
      <c r="O2563" s="62" t="s">
        <v>32832</v>
      </c>
      <c r="P2563" s="62" t="s">
        <v>49006</v>
      </c>
      <c r="Q2563" s="62" t="s">
        <v>32833</v>
      </c>
      <c r="R2563" s="62" t="s">
        <v>32834</v>
      </c>
      <c r="S2563" s="62" t="s">
        <v>32835</v>
      </c>
      <c r="U2563" s="62" t="s">
        <v>32836</v>
      </c>
      <c r="V2563" s="62" t="s">
        <v>49057</v>
      </c>
      <c r="W2563" s="62" t="s">
        <v>32837</v>
      </c>
      <c r="X2563" s="62" t="s">
        <v>32838</v>
      </c>
      <c r="Y2563" s="62" t="s">
        <v>32839</v>
      </c>
      <c r="Z2563" s="62" t="s">
        <v>32840</v>
      </c>
      <c r="AA2563" s="62" t="s">
        <v>49108</v>
      </c>
      <c r="AB2563" s="62" t="s">
        <v>32841</v>
      </c>
      <c r="AC2563" s="62" t="s">
        <v>32842</v>
      </c>
      <c r="AD2563" s="62" t="s">
        <v>32843</v>
      </c>
    </row>
    <row r="2564" spans="1:30" x14ac:dyDescent="0.25">
      <c r="A2564" s="62" t="s">
        <v>109</v>
      </c>
      <c r="C2564" s="62" t="s">
        <v>32844</v>
      </c>
      <c r="F2564" s="62" t="s">
        <v>10929</v>
      </c>
      <c r="G2564" s="62" t="s">
        <v>48905</v>
      </c>
      <c r="J2564" s="62" t="s">
        <v>32845</v>
      </c>
      <c r="K2564" s="62" t="s">
        <v>48956</v>
      </c>
      <c r="L2564" s="62" t="s">
        <v>32846</v>
      </c>
      <c r="M2564" s="62" t="s">
        <v>32847</v>
      </c>
      <c r="N2564" s="62" t="s">
        <v>32848</v>
      </c>
      <c r="O2564" s="62" t="s">
        <v>32849</v>
      </c>
      <c r="P2564" s="62" t="s">
        <v>49007</v>
      </c>
      <c r="Q2564" s="62" t="s">
        <v>32850</v>
      </c>
      <c r="R2564" s="62" t="s">
        <v>32851</v>
      </c>
      <c r="S2564" s="62" t="s">
        <v>32852</v>
      </c>
      <c r="U2564" s="62" t="s">
        <v>32853</v>
      </c>
      <c r="V2564" s="62" t="s">
        <v>49058</v>
      </c>
      <c r="W2564" s="62" t="s">
        <v>32854</v>
      </c>
      <c r="X2564" s="62" t="s">
        <v>32855</v>
      </c>
      <c r="Y2564" s="62" t="s">
        <v>32856</v>
      </c>
      <c r="Z2564" s="62" t="s">
        <v>32857</v>
      </c>
      <c r="AA2564" s="62" t="s">
        <v>49109</v>
      </c>
      <c r="AB2564" s="62" t="s">
        <v>32858</v>
      </c>
      <c r="AC2564" s="62" t="s">
        <v>32859</v>
      </c>
      <c r="AD2564" s="62" t="s">
        <v>32860</v>
      </c>
    </row>
    <row r="2565" spans="1:30" x14ac:dyDescent="0.25">
      <c r="A2565" s="62" t="s">
        <v>109</v>
      </c>
      <c r="C2565" s="62" t="s">
        <v>32861</v>
      </c>
      <c r="F2565" s="62" t="s">
        <v>10947</v>
      </c>
      <c r="G2565" s="62" t="s">
        <v>48906</v>
      </c>
      <c r="J2565" s="62" t="s">
        <v>32862</v>
      </c>
      <c r="K2565" s="62" t="s">
        <v>48957</v>
      </c>
      <c r="L2565" s="62" t="s">
        <v>32863</v>
      </c>
      <c r="M2565" s="62" t="s">
        <v>32864</v>
      </c>
      <c r="N2565" s="62" t="s">
        <v>32865</v>
      </c>
      <c r="O2565" s="62" t="s">
        <v>32866</v>
      </c>
      <c r="P2565" s="62" t="s">
        <v>49008</v>
      </c>
      <c r="Q2565" s="62" t="s">
        <v>32867</v>
      </c>
      <c r="R2565" s="62" t="s">
        <v>32868</v>
      </c>
      <c r="S2565" s="62" t="s">
        <v>32869</v>
      </c>
      <c r="U2565" s="62" t="s">
        <v>32870</v>
      </c>
      <c r="V2565" s="62" t="s">
        <v>49059</v>
      </c>
      <c r="W2565" s="62" t="s">
        <v>32871</v>
      </c>
      <c r="X2565" s="62" t="s">
        <v>32872</v>
      </c>
      <c r="Y2565" s="62" t="s">
        <v>32873</v>
      </c>
      <c r="Z2565" s="62" t="s">
        <v>32874</v>
      </c>
      <c r="AA2565" s="62" t="s">
        <v>49110</v>
      </c>
      <c r="AB2565" s="62" t="s">
        <v>32875</v>
      </c>
      <c r="AC2565" s="62" t="s">
        <v>32876</v>
      </c>
      <c r="AD2565" s="62" t="s">
        <v>32877</v>
      </c>
    </row>
    <row r="2566" spans="1:30" x14ac:dyDescent="0.25">
      <c r="A2566" s="62" t="s">
        <v>109</v>
      </c>
      <c r="C2566" s="62" t="s">
        <v>32878</v>
      </c>
      <c r="F2566" s="62" t="s">
        <v>31043</v>
      </c>
      <c r="G2566" s="62" t="s">
        <v>48907</v>
      </c>
      <c r="J2566" s="62" t="s">
        <v>32879</v>
      </c>
      <c r="K2566" s="62" t="s">
        <v>48958</v>
      </c>
      <c r="L2566" s="62" t="s">
        <v>32880</v>
      </c>
      <c r="M2566" s="62" t="s">
        <v>32881</v>
      </c>
      <c r="N2566" s="62" t="s">
        <v>32882</v>
      </c>
      <c r="O2566" s="62" t="s">
        <v>32883</v>
      </c>
      <c r="P2566" s="62" t="s">
        <v>49009</v>
      </c>
      <c r="Q2566" s="62" t="s">
        <v>32884</v>
      </c>
      <c r="R2566" s="62" t="s">
        <v>32885</v>
      </c>
      <c r="S2566" s="62" t="s">
        <v>32886</v>
      </c>
      <c r="U2566" s="62" t="s">
        <v>32887</v>
      </c>
      <c r="V2566" s="62" t="s">
        <v>49060</v>
      </c>
      <c r="W2566" s="62" t="s">
        <v>32888</v>
      </c>
      <c r="X2566" s="62" t="s">
        <v>32889</v>
      </c>
      <c r="Y2566" s="62" t="s">
        <v>32890</v>
      </c>
      <c r="Z2566" s="62" t="s">
        <v>32891</v>
      </c>
      <c r="AA2566" s="62" t="s">
        <v>49111</v>
      </c>
      <c r="AB2566" s="62" t="s">
        <v>32892</v>
      </c>
      <c r="AC2566" s="62" t="s">
        <v>32893</v>
      </c>
      <c r="AD2566" s="62" t="s">
        <v>32894</v>
      </c>
    </row>
    <row r="2567" spans="1:30" x14ac:dyDescent="0.25">
      <c r="A2567" s="62" t="s">
        <v>109</v>
      </c>
      <c r="C2567" s="62" t="s">
        <v>32895</v>
      </c>
      <c r="F2567" s="62" t="s">
        <v>39692</v>
      </c>
      <c r="G2567" s="62" t="s">
        <v>48908</v>
      </c>
      <c r="J2567" s="62" t="s">
        <v>32896</v>
      </c>
      <c r="K2567" s="62" t="s">
        <v>48959</v>
      </c>
      <c r="L2567" s="62" t="s">
        <v>32897</v>
      </c>
      <c r="M2567" s="62" t="s">
        <v>32898</v>
      </c>
      <c r="N2567" s="62" t="s">
        <v>32899</v>
      </c>
      <c r="O2567" s="62" t="s">
        <v>32900</v>
      </c>
      <c r="P2567" s="62" t="s">
        <v>49010</v>
      </c>
      <c r="Q2567" s="62" t="s">
        <v>32901</v>
      </c>
      <c r="R2567" s="62" t="s">
        <v>32902</v>
      </c>
      <c r="S2567" s="62" t="s">
        <v>32903</v>
      </c>
      <c r="U2567" s="62" t="s">
        <v>32904</v>
      </c>
      <c r="V2567" s="62" t="s">
        <v>49061</v>
      </c>
      <c r="W2567" s="62" t="s">
        <v>32905</v>
      </c>
      <c r="X2567" s="62" t="s">
        <v>32906</v>
      </c>
      <c r="Y2567" s="62" t="s">
        <v>32907</v>
      </c>
      <c r="Z2567" s="62" t="s">
        <v>32908</v>
      </c>
      <c r="AA2567" s="62" t="s">
        <v>49112</v>
      </c>
      <c r="AB2567" s="62" t="s">
        <v>32909</v>
      </c>
      <c r="AC2567" s="62" t="s">
        <v>32910</v>
      </c>
      <c r="AD2567" s="62" t="s">
        <v>32911</v>
      </c>
    </row>
    <row r="2568" spans="1:30" x14ac:dyDescent="0.25">
      <c r="A2568" s="62" t="s">
        <v>109</v>
      </c>
      <c r="C2568" s="62" t="s">
        <v>32912</v>
      </c>
      <c r="F2568" s="62" t="s">
        <v>31927</v>
      </c>
      <c r="G2568" s="62" t="s">
        <v>48909</v>
      </c>
      <c r="J2568" s="62" t="s">
        <v>32913</v>
      </c>
      <c r="K2568" s="62" t="s">
        <v>48960</v>
      </c>
      <c r="L2568" s="62" t="s">
        <v>32914</v>
      </c>
      <c r="M2568" s="62" t="s">
        <v>32915</v>
      </c>
      <c r="N2568" s="62" t="s">
        <v>32916</v>
      </c>
      <c r="O2568" s="62" t="s">
        <v>32917</v>
      </c>
      <c r="P2568" s="62" t="s">
        <v>49011</v>
      </c>
      <c r="Q2568" s="62" t="s">
        <v>32918</v>
      </c>
      <c r="R2568" s="62" t="s">
        <v>32919</v>
      </c>
      <c r="S2568" s="62" t="s">
        <v>32920</v>
      </c>
      <c r="U2568" s="62" t="s">
        <v>32921</v>
      </c>
      <c r="V2568" s="62" t="s">
        <v>49062</v>
      </c>
      <c r="W2568" s="62" t="s">
        <v>32922</v>
      </c>
      <c r="X2568" s="62" t="s">
        <v>32923</v>
      </c>
      <c r="Y2568" s="62" t="s">
        <v>32924</v>
      </c>
      <c r="Z2568" s="62" t="s">
        <v>32925</v>
      </c>
      <c r="AA2568" s="62" t="s">
        <v>49113</v>
      </c>
      <c r="AB2568" s="62" t="s">
        <v>32926</v>
      </c>
      <c r="AC2568" s="62" t="s">
        <v>32927</v>
      </c>
      <c r="AD2568" s="62" t="s">
        <v>32928</v>
      </c>
    </row>
    <row r="2569" spans="1:30" x14ac:dyDescent="0.25">
      <c r="A2569" s="62" t="s">
        <v>109</v>
      </c>
      <c r="C2569" s="62" t="s">
        <v>32929</v>
      </c>
      <c r="F2569" s="62" t="s">
        <v>27351</v>
      </c>
      <c r="G2569" s="62" t="s">
        <v>48910</v>
      </c>
      <c r="J2569" s="62" t="s">
        <v>32930</v>
      </c>
      <c r="K2569" s="62" t="s">
        <v>48961</v>
      </c>
      <c r="L2569" s="62" t="s">
        <v>32931</v>
      </c>
      <c r="M2569" s="62" t="s">
        <v>32932</v>
      </c>
      <c r="N2569" s="62" t="s">
        <v>32933</v>
      </c>
      <c r="O2569" s="62" t="s">
        <v>32934</v>
      </c>
      <c r="P2569" s="62" t="s">
        <v>49012</v>
      </c>
      <c r="Q2569" s="62" t="s">
        <v>32935</v>
      </c>
      <c r="R2569" s="62" t="s">
        <v>32936</v>
      </c>
      <c r="S2569" s="62" t="s">
        <v>32937</v>
      </c>
      <c r="U2569" s="62" t="s">
        <v>32938</v>
      </c>
      <c r="V2569" s="62" t="s">
        <v>49063</v>
      </c>
      <c r="W2569" s="62" t="s">
        <v>32939</v>
      </c>
      <c r="X2569" s="62" t="s">
        <v>32940</v>
      </c>
      <c r="Y2569" s="62" t="s">
        <v>32941</v>
      </c>
      <c r="Z2569" s="62" t="s">
        <v>32942</v>
      </c>
      <c r="AA2569" s="62" t="s">
        <v>49114</v>
      </c>
      <c r="AB2569" s="62" t="s">
        <v>32943</v>
      </c>
      <c r="AC2569" s="62" t="s">
        <v>32944</v>
      </c>
      <c r="AD2569" s="62" t="s">
        <v>32945</v>
      </c>
    </row>
    <row r="2570" spans="1:30" x14ac:dyDescent="0.25">
      <c r="A2570" s="62" t="s">
        <v>109</v>
      </c>
      <c r="C2570" s="62" t="s">
        <v>32946</v>
      </c>
      <c r="F2570" s="62" t="s">
        <v>10959</v>
      </c>
      <c r="G2570" s="62" t="s">
        <v>48911</v>
      </c>
      <c r="J2570" s="62" t="s">
        <v>32947</v>
      </c>
      <c r="K2570" s="62" t="s">
        <v>48962</v>
      </c>
      <c r="L2570" s="62" t="s">
        <v>32948</v>
      </c>
      <c r="M2570" s="62" t="s">
        <v>32949</v>
      </c>
      <c r="N2570" s="62" t="s">
        <v>32950</v>
      </c>
      <c r="O2570" s="62" t="s">
        <v>32951</v>
      </c>
      <c r="P2570" s="62" t="s">
        <v>49013</v>
      </c>
      <c r="Q2570" s="62" t="s">
        <v>32952</v>
      </c>
      <c r="R2570" s="62" t="s">
        <v>32953</v>
      </c>
      <c r="S2570" s="62" t="s">
        <v>32954</v>
      </c>
      <c r="U2570" s="62" t="s">
        <v>32955</v>
      </c>
      <c r="V2570" s="62" t="s">
        <v>49064</v>
      </c>
      <c r="W2570" s="62" t="s">
        <v>32956</v>
      </c>
      <c r="X2570" s="62" t="s">
        <v>32957</v>
      </c>
      <c r="Y2570" s="62" t="s">
        <v>32958</v>
      </c>
      <c r="Z2570" s="62" t="s">
        <v>32959</v>
      </c>
      <c r="AA2570" s="62" t="s">
        <v>49115</v>
      </c>
      <c r="AB2570" s="62" t="s">
        <v>32960</v>
      </c>
      <c r="AC2570" s="62" t="s">
        <v>32961</v>
      </c>
      <c r="AD2570" s="62" t="s">
        <v>32962</v>
      </c>
    </row>
    <row r="2571" spans="1:30" x14ac:dyDescent="0.25">
      <c r="A2571" s="62" t="s">
        <v>109</v>
      </c>
      <c r="C2571" s="62" t="s">
        <v>32963</v>
      </c>
      <c r="F2571" s="62" t="s">
        <v>22289</v>
      </c>
      <c r="G2571" s="62" t="s">
        <v>48912</v>
      </c>
      <c r="J2571" s="62" t="s">
        <v>32964</v>
      </c>
      <c r="K2571" s="62" t="s">
        <v>48963</v>
      </c>
      <c r="L2571" s="62" t="s">
        <v>32965</v>
      </c>
      <c r="M2571" s="62" t="s">
        <v>32966</v>
      </c>
      <c r="N2571" s="62" t="s">
        <v>32967</v>
      </c>
      <c r="O2571" s="62" t="s">
        <v>32968</v>
      </c>
      <c r="P2571" s="62" t="s">
        <v>49014</v>
      </c>
      <c r="Q2571" s="62" t="s">
        <v>32969</v>
      </c>
      <c r="R2571" s="62" t="s">
        <v>32970</v>
      </c>
      <c r="S2571" s="62" t="s">
        <v>32971</v>
      </c>
      <c r="U2571" s="62" t="s">
        <v>32972</v>
      </c>
      <c r="V2571" s="62" t="s">
        <v>49065</v>
      </c>
      <c r="W2571" s="62" t="s">
        <v>32973</v>
      </c>
      <c r="X2571" s="62" t="s">
        <v>32974</v>
      </c>
      <c r="Y2571" s="62" t="s">
        <v>32975</v>
      </c>
      <c r="Z2571" s="62" t="s">
        <v>32976</v>
      </c>
      <c r="AA2571" s="62" t="s">
        <v>49116</v>
      </c>
      <c r="AB2571" s="62" t="s">
        <v>32977</v>
      </c>
      <c r="AC2571" s="62" t="s">
        <v>32978</v>
      </c>
      <c r="AD2571" s="62" t="s">
        <v>32979</v>
      </c>
    </row>
    <row r="2572" spans="1:30" x14ac:dyDescent="0.25">
      <c r="A2572" s="62" t="s">
        <v>109</v>
      </c>
      <c r="C2572" s="62" t="s">
        <v>32980</v>
      </c>
      <c r="F2572" s="62" t="s">
        <v>10961</v>
      </c>
      <c r="G2572" s="62" t="s">
        <v>48913</v>
      </c>
      <c r="J2572" s="62" t="s">
        <v>32981</v>
      </c>
      <c r="K2572" s="62" t="s">
        <v>48964</v>
      </c>
      <c r="L2572" s="62" t="s">
        <v>32982</v>
      </c>
      <c r="M2572" s="62" t="s">
        <v>32983</v>
      </c>
      <c r="N2572" s="62" t="s">
        <v>32984</v>
      </c>
      <c r="O2572" s="62" t="s">
        <v>32985</v>
      </c>
      <c r="P2572" s="62" t="s">
        <v>49015</v>
      </c>
      <c r="Q2572" s="62" t="s">
        <v>32986</v>
      </c>
      <c r="R2572" s="62" t="s">
        <v>32987</v>
      </c>
      <c r="S2572" s="62" t="s">
        <v>32988</v>
      </c>
      <c r="U2572" s="62" t="s">
        <v>32989</v>
      </c>
      <c r="V2572" s="62" t="s">
        <v>49066</v>
      </c>
      <c r="W2572" s="62" t="s">
        <v>32990</v>
      </c>
      <c r="X2572" s="62" t="s">
        <v>32991</v>
      </c>
      <c r="Y2572" s="62" t="s">
        <v>32992</v>
      </c>
      <c r="Z2572" s="62" t="s">
        <v>32993</v>
      </c>
      <c r="AA2572" s="62" t="s">
        <v>49117</v>
      </c>
      <c r="AB2572" s="62" t="s">
        <v>32994</v>
      </c>
      <c r="AC2572" s="62" t="s">
        <v>32995</v>
      </c>
      <c r="AD2572" s="62" t="s">
        <v>32996</v>
      </c>
    </row>
    <row r="2573" spans="1:30" x14ac:dyDescent="0.25">
      <c r="A2573" s="62" t="s">
        <v>109</v>
      </c>
      <c r="C2573" s="62" t="s">
        <v>32997</v>
      </c>
      <c r="F2573" s="62" t="s">
        <v>22359</v>
      </c>
      <c r="G2573" s="62" t="s">
        <v>48914</v>
      </c>
      <c r="J2573" s="62" t="s">
        <v>32998</v>
      </c>
      <c r="K2573" s="62" t="s">
        <v>48965</v>
      </c>
      <c r="L2573" s="62" t="s">
        <v>32999</v>
      </c>
      <c r="M2573" s="62" t="s">
        <v>33000</v>
      </c>
      <c r="N2573" s="62" t="s">
        <v>33001</v>
      </c>
      <c r="O2573" s="62" t="s">
        <v>33002</v>
      </c>
      <c r="P2573" s="62" t="s">
        <v>49016</v>
      </c>
      <c r="Q2573" s="62" t="s">
        <v>33003</v>
      </c>
      <c r="R2573" s="62" t="s">
        <v>33004</v>
      </c>
      <c r="S2573" s="62" t="s">
        <v>33005</v>
      </c>
      <c r="U2573" s="62" t="s">
        <v>33006</v>
      </c>
      <c r="V2573" s="62" t="s">
        <v>49067</v>
      </c>
      <c r="W2573" s="62" t="s">
        <v>33007</v>
      </c>
      <c r="X2573" s="62" t="s">
        <v>33008</v>
      </c>
      <c r="Y2573" s="62" t="s">
        <v>33009</v>
      </c>
      <c r="Z2573" s="62" t="s">
        <v>33010</v>
      </c>
      <c r="AA2573" s="62" t="s">
        <v>49118</v>
      </c>
      <c r="AB2573" s="62" t="s">
        <v>33011</v>
      </c>
      <c r="AC2573" s="62" t="s">
        <v>33012</v>
      </c>
      <c r="AD2573" s="62" t="s">
        <v>33013</v>
      </c>
    </row>
    <row r="2574" spans="1:30" x14ac:dyDescent="0.25">
      <c r="A2574" s="62" t="s">
        <v>109</v>
      </c>
      <c r="C2574" s="62" t="s">
        <v>33014</v>
      </c>
      <c r="F2574" s="62" t="s">
        <v>36841</v>
      </c>
      <c r="G2574" s="62" t="s">
        <v>48915</v>
      </c>
      <c r="J2574" s="62" t="s">
        <v>33015</v>
      </c>
      <c r="K2574" s="62" t="s">
        <v>48966</v>
      </c>
      <c r="L2574" s="62" t="s">
        <v>33016</v>
      </c>
      <c r="M2574" s="62" t="s">
        <v>33017</v>
      </c>
      <c r="N2574" s="62" t="s">
        <v>33018</v>
      </c>
      <c r="O2574" s="62" t="s">
        <v>33019</v>
      </c>
      <c r="P2574" s="62" t="s">
        <v>49017</v>
      </c>
      <c r="Q2574" s="62" t="s">
        <v>33020</v>
      </c>
      <c r="R2574" s="62" t="s">
        <v>33021</v>
      </c>
      <c r="S2574" s="62" t="s">
        <v>33022</v>
      </c>
      <c r="U2574" s="62" t="s">
        <v>33023</v>
      </c>
      <c r="V2574" s="62" t="s">
        <v>49068</v>
      </c>
      <c r="W2574" s="62" t="s">
        <v>33024</v>
      </c>
      <c r="X2574" s="62" t="s">
        <v>33025</v>
      </c>
      <c r="Y2574" s="62" t="s">
        <v>33026</v>
      </c>
      <c r="Z2574" s="62" t="s">
        <v>33027</v>
      </c>
      <c r="AA2574" s="62" t="s">
        <v>49119</v>
      </c>
      <c r="AB2574" s="62" t="s">
        <v>33028</v>
      </c>
      <c r="AC2574" s="62" t="s">
        <v>33029</v>
      </c>
      <c r="AD2574" s="62" t="s">
        <v>33030</v>
      </c>
    </row>
    <row r="2575" spans="1:30" x14ac:dyDescent="0.25">
      <c r="A2575" s="62" t="s">
        <v>109</v>
      </c>
      <c r="C2575" s="62" t="s">
        <v>33031</v>
      </c>
      <c r="F2575" s="62" t="s">
        <v>10981</v>
      </c>
      <c r="G2575" s="62" t="s">
        <v>48916</v>
      </c>
      <c r="J2575" s="62" t="s">
        <v>33032</v>
      </c>
      <c r="K2575" s="62" t="s">
        <v>48967</v>
      </c>
      <c r="L2575" s="62" t="s">
        <v>33033</v>
      </c>
      <c r="M2575" s="62" t="s">
        <v>33034</v>
      </c>
      <c r="N2575" s="62" t="s">
        <v>33035</v>
      </c>
      <c r="O2575" s="62" t="s">
        <v>33036</v>
      </c>
      <c r="P2575" s="62" t="s">
        <v>49018</v>
      </c>
      <c r="Q2575" s="62" t="s">
        <v>33037</v>
      </c>
      <c r="R2575" s="62" t="s">
        <v>33038</v>
      </c>
      <c r="S2575" s="62" t="s">
        <v>33039</v>
      </c>
      <c r="U2575" s="62" t="s">
        <v>33040</v>
      </c>
      <c r="V2575" s="62" t="s">
        <v>49069</v>
      </c>
      <c r="W2575" s="62" t="s">
        <v>33041</v>
      </c>
      <c r="X2575" s="62" t="s">
        <v>33042</v>
      </c>
      <c r="Y2575" s="62" t="s">
        <v>33043</v>
      </c>
      <c r="Z2575" s="62" t="s">
        <v>33044</v>
      </c>
      <c r="AA2575" s="62" t="s">
        <v>49120</v>
      </c>
      <c r="AB2575" s="62" t="s">
        <v>33045</v>
      </c>
      <c r="AC2575" s="62" t="s">
        <v>33046</v>
      </c>
      <c r="AD2575" s="62" t="s">
        <v>33047</v>
      </c>
    </row>
    <row r="2576" spans="1:30" x14ac:dyDescent="0.25">
      <c r="A2576" s="62" t="s">
        <v>109</v>
      </c>
      <c r="C2576" s="62" t="s">
        <v>33048</v>
      </c>
      <c r="F2576" s="62" t="s">
        <v>22412</v>
      </c>
      <c r="G2576" s="62" t="s">
        <v>48917</v>
      </c>
      <c r="J2576" s="62" t="s">
        <v>33049</v>
      </c>
      <c r="K2576" s="62" t="s">
        <v>48968</v>
      </c>
      <c r="L2576" s="62" t="s">
        <v>33050</v>
      </c>
      <c r="M2576" s="62" t="s">
        <v>33051</v>
      </c>
      <c r="N2576" s="62" t="s">
        <v>33052</v>
      </c>
      <c r="O2576" s="62" t="s">
        <v>33053</v>
      </c>
      <c r="P2576" s="62" t="s">
        <v>49019</v>
      </c>
      <c r="Q2576" s="62" t="s">
        <v>33054</v>
      </c>
      <c r="R2576" s="62" t="s">
        <v>33055</v>
      </c>
      <c r="S2576" s="62" t="s">
        <v>33056</v>
      </c>
      <c r="U2576" s="62" t="s">
        <v>33057</v>
      </c>
      <c r="V2576" s="62" t="s">
        <v>49070</v>
      </c>
      <c r="W2576" s="62" t="s">
        <v>33058</v>
      </c>
      <c r="X2576" s="62" t="s">
        <v>33059</v>
      </c>
      <c r="Y2576" s="62" t="s">
        <v>33060</v>
      </c>
      <c r="Z2576" s="62" t="s">
        <v>33061</v>
      </c>
      <c r="AA2576" s="62" t="s">
        <v>49121</v>
      </c>
      <c r="AB2576" s="62" t="s">
        <v>33062</v>
      </c>
      <c r="AC2576" s="62" t="s">
        <v>33063</v>
      </c>
      <c r="AD2576" s="62" t="s">
        <v>33064</v>
      </c>
    </row>
    <row r="2577" spans="1:30" x14ac:dyDescent="0.25">
      <c r="A2577" s="62" t="s">
        <v>109</v>
      </c>
      <c r="C2577" s="62" t="s">
        <v>32289</v>
      </c>
    </row>
    <row r="2578" spans="1:30" x14ac:dyDescent="0.25">
      <c r="A2578" s="62" t="s">
        <v>109</v>
      </c>
      <c r="C2578" s="62" t="s">
        <v>33065</v>
      </c>
      <c r="G2578" s="62" t="s">
        <v>45552</v>
      </c>
      <c r="J2578" s="62" t="s">
        <v>45553</v>
      </c>
      <c r="K2578" s="62" t="s">
        <v>45554</v>
      </c>
      <c r="L2578" s="62" t="s">
        <v>45555</v>
      </c>
      <c r="M2578" s="62" t="s">
        <v>33066</v>
      </c>
      <c r="N2578" s="62" t="s">
        <v>33067</v>
      </c>
      <c r="O2578" s="62" t="s">
        <v>45556</v>
      </c>
      <c r="P2578" s="62" t="s">
        <v>45557</v>
      </c>
      <c r="Q2578" s="62" t="s">
        <v>45558</v>
      </c>
      <c r="R2578" s="62" t="s">
        <v>33068</v>
      </c>
      <c r="S2578" s="62" t="s">
        <v>33069</v>
      </c>
      <c r="U2578" s="62" t="s">
        <v>45559</v>
      </c>
      <c r="V2578" s="62" t="s">
        <v>45560</v>
      </c>
      <c r="W2578" s="62" t="s">
        <v>45561</v>
      </c>
      <c r="X2578" s="62" t="s">
        <v>33070</v>
      </c>
      <c r="Y2578" s="62" t="s">
        <v>33071</v>
      </c>
      <c r="Z2578" s="62" t="s">
        <v>45562</v>
      </c>
      <c r="AA2578" s="62" t="s">
        <v>45563</v>
      </c>
      <c r="AB2578" s="62" t="s">
        <v>45564</v>
      </c>
      <c r="AC2578" s="62" t="s">
        <v>33072</v>
      </c>
      <c r="AD2578" s="62" t="s">
        <v>33073</v>
      </c>
    </row>
    <row r="2579" spans="1:30" x14ac:dyDescent="0.25">
      <c r="A2579" s="62" t="s">
        <v>109</v>
      </c>
    </row>
    <row r="2580" spans="1:30" x14ac:dyDescent="0.25">
      <c r="A2580" s="62" t="s">
        <v>109</v>
      </c>
      <c r="C2580" s="62" t="s">
        <v>45565</v>
      </c>
      <c r="E2580" s="62" t="s">
        <v>39693</v>
      </c>
      <c r="G2580" s="62" t="s">
        <v>45566</v>
      </c>
    </row>
    <row r="2581" spans="1:30" x14ac:dyDescent="0.25">
      <c r="A2581" s="62" t="s">
        <v>109</v>
      </c>
      <c r="C2581" s="62" t="s">
        <v>33074</v>
      </c>
    </row>
    <row r="2582" spans="1:30" x14ac:dyDescent="0.25">
      <c r="A2582" s="62" t="s">
        <v>109</v>
      </c>
      <c r="C2582" s="62" t="s">
        <v>33075</v>
      </c>
      <c r="F2582" s="62" t="s">
        <v>45567</v>
      </c>
      <c r="G2582" s="62" t="s">
        <v>48602</v>
      </c>
      <c r="J2582" s="62" t="s">
        <v>33076</v>
      </c>
      <c r="K2582" s="62" t="s">
        <v>48655</v>
      </c>
      <c r="L2582" s="62" t="s">
        <v>33077</v>
      </c>
      <c r="M2582" s="62" t="s">
        <v>33078</v>
      </c>
      <c r="N2582" s="62" t="s">
        <v>33079</v>
      </c>
      <c r="O2582" s="62" t="s">
        <v>33080</v>
      </c>
      <c r="P2582" s="62" t="s">
        <v>48708</v>
      </c>
      <c r="Q2582" s="62" t="s">
        <v>33081</v>
      </c>
      <c r="R2582" s="62" t="s">
        <v>33082</v>
      </c>
      <c r="S2582" s="62" t="s">
        <v>33083</v>
      </c>
      <c r="U2582" s="62" t="s">
        <v>33084</v>
      </c>
      <c r="V2582" s="62" t="s">
        <v>48761</v>
      </c>
      <c r="W2582" s="62" t="s">
        <v>33085</v>
      </c>
      <c r="X2582" s="62" t="s">
        <v>33086</v>
      </c>
      <c r="Y2582" s="62" t="s">
        <v>33087</v>
      </c>
      <c r="Z2582" s="62" t="s">
        <v>33088</v>
      </c>
      <c r="AA2582" s="62" t="s">
        <v>48814</v>
      </c>
      <c r="AB2582" s="62" t="s">
        <v>33089</v>
      </c>
      <c r="AC2582" s="62" t="s">
        <v>33090</v>
      </c>
      <c r="AD2582" s="62" t="s">
        <v>33091</v>
      </c>
    </row>
    <row r="2583" spans="1:30" x14ac:dyDescent="0.25">
      <c r="A2583" s="62" t="s">
        <v>109</v>
      </c>
      <c r="C2583" s="62" t="s">
        <v>33092</v>
      </c>
      <c r="F2583" s="62" t="s">
        <v>872</v>
      </c>
      <c r="G2583" s="62" t="s">
        <v>48603</v>
      </c>
      <c r="J2583" s="62" t="s">
        <v>33093</v>
      </c>
      <c r="K2583" s="62" t="s">
        <v>48656</v>
      </c>
      <c r="L2583" s="62" t="s">
        <v>33094</v>
      </c>
      <c r="M2583" s="62" t="s">
        <v>33095</v>
      </c>
      <c r="N2583" s="62" t="s">
        <v>33096</v>
      </c>
      <c r="O2583" s="62" t="s">
        <v>33097</v>
      </c>
      <c r="P2583" s="62" t="s">
        <v>48709</v>
      </c>
      <c r="Q2583" s="62" t="s">
        <v>33098</v>
      </c>
      <c r="R2583" s="62" t="s">
        <v>33099</v>
      </c>
      <c r="S2583" s="62" t="s">
        <v>33100</v>
      </c>
      <c r="U2583" s="62" t="s">
        <v>33101</v>
      </c>
      <c r="V2583" s="62" t="s">
        <v>48762</v>
      </c>
      <c r="W2583" s="62" t="s">
        <v>33102</v>
      </c>
      <c r="X2583" s="62" t="s">
        <v>33103</v>
      </c>
      <c r="Y2583" s="62" t="s">
        <v>33104</v>
      </c>
      <c r="Z2583" s="62" t="s">
        <v>33105</v>
      </c>
      <c r="AA2583" s="62" t="s">
        <v>48815</v>
      </c>
      <c r="AB2583" s="62" t="s">
        <v>33106</v>
      </c>
      <c r="AC2583" s="62" t="s">
        <v>33107</v>
      </c>
      <c r="AD2583" s="62" t="s">
        <v>33108</v>
      </c>
    </row>
    <row r="2584" spans="1:30" x14ac:dyDescent="0.25">
      <c r="A2584" s="62" t="s">
        <v>109</v>
      </c>
      <c r="C2584" s="62" t="s">
        <v>33109</v>
      </c>
      <c r="F2584" s="62" t="s">
        <v>915</v>
      </c>
      <c r="G2584" s="62" t="s">
        <v>48604</v>
      </c>
      <c r="J2584" s="62" t="s">
        <v>33110</v>
      </c>
      <c r="K2584" s="62" t="s">
        <v>48657</v>
      </c>
      <c r="L2584" s="62" t="s">
        <v>33111</v>
      </c>
      <c r="M2584" s="62" t="s">
        <v>33112</v>
      </c>
      <c r="N2584" s="62" t="s">
        <v>33113</v>
      </c>
      <c r="O2584" s="62" t="s">
        <v>33114</v>
      </c>
      <c r="P2584" s="62" t="s">
        <v>48710</v>
      </c>
      <c r="Q2584" s="62" t="s">
        <v>33115</v>
      </c>
      <c r="R2584" s="62" t="s">
        <v>33116</v>
      </c>
      <c r="S2584" s="62" t="s">
        <v>33117</v>
      </c>
      <c r="U2584" s="62" t="s">
        <v>33118</v>
      </c>
      <c r="V2584" s="62" t="s">
        <v>48763</v>
      </c>
      <c r="W2584" s="62" t="s">
        <v>33119</v>
      </c>
      <c r="X2584" s="62" t="s">
        <v>33120</v>
      </c>
      <c r="Y2584" s="62" t="s">
        <v>33121</v>
      </c>
      <c r="Z2584" s="62" t="s">
        <v>33122</v>
      </c>
      <c r="AA2584" s="62" t="s">
        <v>48816</v>
      </c>
      <c r="AB2584" s="62" t="s">
        <v>33123</v>
      </c>
      <c r="AC2584" s="62" t="s">
        <v>33124</v>
      </c>
      <c r="AD2584" s="62" t="s">
        <v>33125</v>
      </c>
    </row>
    <row r="2585" spans="1:30" x14ac:dyDescent="0.25">
      <c r="A2585" s="62" t="s">
        <v>109</v>
      </c>
      <c r="C2585" s="62" t="s">
        <v>33126</v>
      </c>
      <c r="F2585" s="62" t="s">
        <v>2212</v>
      </c>
      <c r="G2585" s="62" t="s">
        <v>48605</v>
      </c>
      <c r="J2585" s="62" t="s">
        <v>33127</v>
      </c>
      <c r="K2585" s="62" t="s">
        <v>48658</v>
      </c>
      <c r="L2585" s="62" t="s">
        <v>33128</v>
      </c>
      <c r="M2585" s="62" t="s">
        <v>33129</v>
      </c>
      <c r="N2585" s="62" t="s">
        <v>33130</v>
      </c>
      <c r="O2585" s="62" t="s">
        <v>33131</v>
      </c>
      <c r="P2585" s="62" t="s">
        <v>48711</v>
      </c>
      <c r="Q2585" s="62" t="s">
        <v>33132</v>
      </c>
      <c r="R2585" s="62" t="s">
        <v>33133</v>
      </c>
      <c r="S2585" s="62" t="s">
        <v>33134</v>
      </c>
      <c r="U2585" s="62" t="s">
        <v>33135</v>
      </c>
      <c r="V2585" s="62" t="s">
        <v>48764</v>
      </c>
      <c r="W2585" s="62" t="s">
        <v>33136</v>
      </c>
      <c r="X2585" s="62" t="s">
        <v>33137</v>
      </c>
      <c r="Y2585" s="62" t="s">
        <v>33138</v>
      </c>
      <c r="Z2585" s="62" t="s">
        <v>33139</v>
      </c>
      <c r="AA2585" s="62" t="s">
        <v>48817</v>
      </c>
      <c r="AB2585" s="62" t="s">
        <v>33140</v>
      </c>
      <c r="AC2585" s="62" t="s">
        <v>33141</v>
      </c>
      <c r="AD2585" s="62" t="s">
        <v>33142</v>
      </c>
    </row>
    <row r="2586" spans="1:30" x14ac:dyDescent="0.25">
      <c r="A2586" s="62" t="s">
        <v>109</v>
      </c>
      <c r="C2586" s="62" t="s">
        <v>33143</v>
      </c>
      <c r="F2586" s="62" t="s">
        <v>193</v>
      </c>
      <c r="G2586" s="62" t="s">
        <v>48606</v>
      </c>
      <c r="J2586" s="62" t="s">
        <v>33144</v>
      </c>
      <c r="K2586" s="62" t="s">
        <v>48659</v>
      </c>
      <c r="L2586" s="62" t="s">
        <v>33145</v>
      </c>
      <c r="M2586" s="62" t="s">
        <v>33146</v>
      </c>
      <c r="N2586" s="62" t="s">
        <v>33147</v>
      </c>
      <c r="O2586" s="62" t="s">
        <v>33148</v>
      </c>
      <c r="P2586" s="62" t="s">
        <v>48712</v>
      </c>
      <c r="Q2586" s="62" t="s">
        <v>33149</v>
      </c>
      <c r="R2586" s="62" t="s">
        <v>33150</v>
      </c>
      <c r="S2586" s="62" t="s">
        <v>33151</v>
      </c>
      <c r="U2586" s="62" t="s">
        <v>33152</v>
      </c>
      <c r="V2586" s="62" t="s">
        <v>48765</v>
      </c>
      <c r="W2586" s="62" t="s">
        <v>33153</v>
      </c>
      <c r="X2586" s="62" t="s">
        <v>33154</v>
      </c>
      <c r="Y2586" s="62" t="s">
        <v>33155</v>
      </c>
      <c r="Z2586" s="62" t="s">
        <v>33156</v>
      </c>
      <c r="AA2586" s="62" t="s">
        <v>48818</v>
      </c>
      <c r="AB2586" s="62" t="s">
        <v>33157</v>
      </c>
      <c r="AC2586" s="62" t="s">
        <v>33158</v>
      </c>
      <c r="AD2586" s="62" t="s">
        <v>33159</v>
      </c>
    </row>
    <row r="2587" spans="1:30" x14ac:dyDescent="0.25">
      <c r="A2587" s="62" t="s">
        <v>109</v>
      </c>
      <c r="C2587" s="62" t="s">
        <v>33160</v>
      </c>
      <c r="F2587" s="62" t="s">
        <v>2297</v>
      </c>
      <c r="G2587" s="62" t="s">
        <v>48607</v>
      </c>
      <c r="J2587" s="62" t="s">
        <v>33161</v>
      </c>
      <c r="K2587" s="62" t="s">
        <v>48660</v>
      </c>
      <c r="L2587" s="62" t="s">
        <v>33162</v>
      </c>
      <c r="M2587" s="62" t="s">
        <v>33163</v>
      </c>
      <c r="N2587" s="62" t="s">
        <v>33164</v>
      </c>
      <c r="O2587" s="62" t="s">
        <v>33165</v>
      </c>
      <c r="P2587" s="62" t="s">
        <v>48713</v>
      </c>
      <c r="Q2587" s="62" t="s">
        <v>33166</v>
      </c>
      <c r="R2587" s="62" t="s">
        <v>33167</v>
      </c>
      <c r="S2587" s="62" t="s">
        <v>33168</v>
      </c>
      <c r="U2587" s="62" t="s">
        <v>33169</v>
      </c>
      <c r="V2587" s="62" t="s">
        <v>48766</v>
      </c>
      <c r="W2587" s="62" t="s">
        <v>33170</v>
      </c>
      <c r="X2587" s="62" t="s">
        <v>33171</v>
      </c>
      <c r="Y2587" s="62" t="s">
        <v>33172</v>
      </c>
      <c r="Z2587" s="62" t="s">
        <v>33173</v>
      </c>
      <c r="AA2587" s="62" t="s">
        <v>48819</v>
      </c>
      <c r="AB2587" s="62" t="s">
        <v>33174</v>
      </c>
      <c r="AC2587" s="62" t="s">
        <v>33175</v>
      </c>
      <c r="AD2587" s="62" t="s">
        <v>33176</v>
      </c>
    </row>
    <row r="2588" spans="1:30" x14ac:dyDescent="0.25">
      <c r="A2588" s="62" t="s">
        <v>109</v>
      </c>
      <c r="C2588" s="62" t="s">
        <v>33177</v>
      </c>
      <c r="F2588" s="62" t="s">
        <v>10282</v>
      </c>
      <c r="G2588" s="62" t="s">
        <v>48608</v>
      </c>
      <c r="J2588" s="62" t="s">
        <v>33178</v>
      </c>
      <c r="K2588" s="62" t="s">
        <v>48661</v>
      </c>
      <c r="L2588" s="62" t="s">
        <v>33179</v>
      </c>
      <c r="M2588" s="62" t="s">
        <v>33180</v>
      </c>
      <c r="N2588" s="62" t="s">
        <v>33181</v>
      </c>
      <c r="O2588" s="62" t="s">
        <v>33182</v>
      </c>
      <c r="P2588" s="62" t="s">
        <v>48714</v>
      </c>
      <c r="Q2588" s="62" t="s">
        <v>33183</v>
      </c>
      <c r="R2588" s="62" t="s">
        <v>33184</v>
      </c>
      <c r="S2588" s="62" t="s">
        <v>33185</v>
      </c>
      <c r="U2588" s="62" t="s">
        <v>33186</v>
      </c>
      <c r="V2588" s="62" t="s">
        <v>48767</v>
      </c>
      <c r="W2588" s="62" t="s">
        <v>33187</v>
      </c>
      <c r="X2588" s="62" t="s">
        <v>33188</v>
      </c>
      <c r="Y2588" s="62" t="s">
        <v>33189</v>
      </c>
      <c r="Z2588" s="62" t="s">
        <v>33190</v>
      </c>
      <c r="AA2588" s="62" t="s">
        <v>48820</v>
      </c>
      <c r="AB2588" s="62" t="s">
        <v>33191</v>
      </c>
      <c r="AC2588" s="62" t="s">
        <v>33192</v>
      </c>
      <c r="AD2588" s="62" t="s">
        <v>33193</v>
      </c>
    </row>
    <row r="2589" spans="1:30" x14ac:dyDescent="0.25">
      <c r="A2589" s="62" t="s">
        <v>109</v>
      </c>
      <c r="C2589" s="62" t="s">
        <v>33194</v>
      </c>
      <c r="F2589" s="62" t="s">
        <v>10284</v>
      </c>
      <c r="G2589" s="62" t="s">
        <v>48609</v>
      </c>
      <c r="J2589" s="62" t="s">
        <v>33195</v>
      </c>
      <c r="K2589" s="62" t="s">
        <v>48662</v>
      </c>
      <c r="L2589" s="62" t="s">
        <v>33196</v>
      </c>
      <c r="M2589" s="62" t="s">
        <v>33197</v>
      </c>
      <c r="N2589" s="62" t="s">
        <v>33198</v>
      </c>
      <c r="O2589" s="62" t="s">
        <v>33199</v>
      </c>
      <c r="P2589" s="62" t="s">
        <v>48715</v>
      </c>
      <c r="Q2589" s="62" t="s">
        <v>33200</v>
      </c>
      <c r="R2589" s="62" t="s">
        <v>33201</v>
      </c>
      <c r="S2589" s="62" t="s">
        <v>33202</v>
      </c>
      <c r="U2589" s="62" t="s">
        <v>33203</v>
      </c>
      <c r="V2589" s="62" t="s">
        <v>48768</v>
      </c>
      <c r="W2589" s="62" t="s">
        <v>33204</v>
      </c>
      <c r="X2589" s="62" t="s">
        <v>33205</v>
      </c>
      <c r="Y2589" s="62" t="s">
        <v>33206</v>
      </c>
      <c r="Z2589" s="62" t="s">
        <v>33207</v>
      </c>
      <c r="AA2589" s="62" t="s">
        <v>48821</v>
      </c>
      <c r="AB2589" s="62" t="s">
        <v>33208</v>
      </c>
      <c r="AC2589" s="62" t="s">
        <v>33209</v>
      </c>
      <c r="AD2589" s="62" t="s">
        <v>33210</v>
      </c>
    </row>
    <row r="2590" spans="1:30" x14ac:dyDescent="0.25">
      <c r="A2590" s="62" t="s">
        <v>109</v>
      </c>
      <c r="C2590" s="62" t="s">
        <v>33211</v>
      </c>
      <c r="F2590" s="62" t="s">
        <v>340</v>
      </c>
      <c r="G2590" s="62" t="s">
        <v>48610</v>
      </c>
      <c r="J2590" s="62" t="s">
        <v>33212</v>
      </c>
      <c r="K2590" s="62" t="s">
        <v>48663</v>
      </c>
      <c r="L2590" s="62" t="s">
        <v>33213</v>
      </c>
      <c r="M2590" s="62" t="s">
        <v>33214</v>
      </c>
      <c r="N2590" s="62" t="s">
        <v>33215</v>
      </c>
      <c r="O2590" s="62" t="s">
        <v>33216</v>
      </c>
      <c r="P2590" s="62" t="s">
        <v>48716</v>
      </c>
      <c r="Q2590" s="62" t="s">
        <v>33217</v>
      </c>
      <c r="R2590" s="62" t="s">
        <v>33218</v>
      </c>
      <c r="S2590" s="62" t="s">
        <v>33219</v>
      </c>
      <c r="U2590" s="62" t="s">
        <v>33220</v>
      </c>
      <c r="V2590" s="62" t="s">
        <v>48769</v>
      </c>
      <c r="W2590" s="62" t="s">
        <v>33221</v>
      </c>
      <c r="X2590" s="62" t="s">
        <v>33222</v>
      </c>
      <c r="Y2590" s="62" t="s">
        <v>33223</v>
      </c>
      <c r="Z2590" s="62" t="s">
        <v>33224</v>
      </c>
      <c r="AA2590" s="62" t="s">
        <v>48822</v>
      </c>
      <c r="AB2590" s="62" t="s">
        <v>33225</v>
      </c>
      <c r="AC2590" s="62" t="s">
        <v>33226</v>
      </c>
      <c r="AD2590" s="62" t="s">
        <v>33227</v>
      </c>
    </row>
    <row r="2591" spans="1:30" x14ac:dyDescent="0.25">
      <c r="A2591" s="62" t="s">
        <v>109</v>
      </c>
      <c r="C2591" s="62" t="s">
        <v>33228</v>
      </c>
      <c r="F2591" s="62" t="s">
        <v>985</v>
      </c>
      <c r="G2591" s="62" t="s">
        <v>48611</v>
      </c>
      <c r="J2591" s="62" t="s">
        <v>33229</v>
      </c>
      <c r="K2591" s="62" t="s">
        <v>48664</v>
      </c>
      <c r="L2591" s="62" t="s">
        <v>33230</v>
      </c>
      <c r="M2591" s="62" t="s">
        <v>33231</v>
      </c>
      <c r="N2591" s="62" t="s">
        <v>33232</v>
      </c>
      <c r="O2591" s="62" t="s">
        <v>33233</v>
      </c>
      <c r="P2591" s="62" t="s">
        <v>48717</v>
      </c>
      <c r="Q2591" s="62" t="s">
        <v>33234</v>
      </c>
      <c r="R2591" s="62" t="s">
        <v>33235</v>
      </c>
      <c r="S2591" s="62" t="s">
        <v>33236</v>
      </c>
      <c r="U2591" s="62" t="s">
        <v>33237</v>
      </c>
      <c r="V2591" s="62" t="s">
        <v>48770</v>
      </c>
      <c r="W2591" s="62" t="s">
        <v>33238</v>
      </c>
      <c r="X2591" s="62" t="s">
        <v>33239</v>
      </c>
      <c r="Y2591" s="62" t="s">
        <v>33240</v>
      </c>
      <c r="Z2591" s="62" t="s">
        <v>33241</v>
      </c>
      <c r="AA2591" s="62" t="s">
        <v>48823</v>
      </c>
      <c r="AB2591" s="62" t="s">
        <v>33242</v>
      </c>
      <c r="AC2591" s="62" t="s">
        <v>33243</v>
      </c>
      <c r="AD2591" s="62" t="s">
        <v>33244</v>
      </c>
    </row>
    <row r="2592" spans="1:30" x14ac:dyDescent="0.25">
      <c r="A2592" s="62" t="s">
        <v>109</v>
      </c>
      <c r="C2592" s="62" t="s">
        <v>33245</v>
      </c>
      <c r="F2592" s="62" t="s">
        <v>10332</v>
      </c>
      <c r="G2592" s="62" t="s">
        <v>48612</v>
      </c>
      <c r="J2592" s="62" t="s">
        <v>33246</v>
      </c>
      <c r="K2592" s="62" t="s">
        <v>48665</v>
      </c>
      <c r="L2592" s="62" t="s">
        <v>33247</v>
      </c>
      <c r="M2592" s="62" t="s">
        <v>33248</v>
      </c>
      <c r="N2592" s="62" t="s">
        <v>33249</v>
      </c>
      <c r="O2592" s="62" t="s">
        <v>33250</v>
      </c>
      <c r="P2592" s="62" t="s">
        <v>48718</v>
      </c>
      <c r="Q2592" s="62" t="s">
        <v>33251</v>
      </c>
      <c r="R2592" s="62" t="s">
        <v>33252</v>
      </c>
      <c r="S2592" s="62" t="s">
        <v>33253</v>
      </c>
      <c r="U2592" s="62" t="s">
        <v>33254</v>
      </c>
      <c r="V2592" s="62" t="s">
        <v>48771</v>
      </c>
      <c r="W2592" s="62" t="s">
        <v>33255</v>
      </c>
      <c r="X2592" s="62" t="s">
        <v>33256</v>
      </c>
      <c r="Y2592" s="62" t="s">
        <v>33257</v>
      </c>
      <c r="Z2592" s="62" t="s">
        <v>33258</v>
      </c>
      <c r="AA2592" s="62" t="s">
        <v>48824</v>
      </c>
      <c r="AB2592" s="62" t="s">
        <v>33259</v>
      </c>
      <c r="AC2592" s="62" t="s">
        <v>33260</v>
      </c>
      <c r="AD2592" s="62" t="s">
        <v>33261</v>
      </c>
    </row>
    <row r="2593" spans="1:30" x14ac:dyDescent="0.25">
      <c r="A2593" s="62" t="s">
        <v>109</v>
      </c>
      <c r="C2593" s="62" t="s">
        <v>33262</v>
      </c>
      <c r="F2593" s="62" t="s">
        <v>10350</v>
      </c>
      <c r="G2593" s="62" t="s">
        <v>48613</v>
      </c>
      <c r="J2593" s="62" t="s">
        <v>33263</v>
      </c>
      <c r="K2593" s="62" t="s">
        <v>48666</v>
      </c>
      <c r="L2593" s="62" t="s">
        <v>33264</v>
      </c>
      <c r="M2593" s="62" t="s">
        <v>33265</v>
      </c>
      <c r="N2593" s="62" t="s">
        <v>33266</v>
      </c>
      <c r="O2593" s="62" t="s">
        <v>33267</v>
      </c>
      <c r="P2593" s="62" t="s">
        <v>48719</v>
      </c>
      <c r="Q2593" s="62" t="s">
        <v>33268</v>
      </c>
      <c r="R2593" s="62" t="s">
        <v>33269</v>
      </c>
      <c r="S2593" s="62" t="s">
        <v>33270</v>
      </c>
      <c r="U2593" s="62" t="s">
        <v>33271</v>
      </c>
      <c r="V2593" s="62" t="s">
        <v>48772</v>
      </c>
      <c r="W2593" s="62" t="s">
        <v>33272</v>
      </c>
      <c r="X2593" s="62" t="s">
        <v>33273</v>
      </c>
      <c r="Y2593" s="62" t="s">
        <v>33274</v>
      </c>
      <c r="Z2593" s="62" t="s">
        <v>33275</v>
      </c>
      <c r="AA2593" s="62" t="s">
        <v>48825</v>
      </c>
      <c r="AB2593" s="62" t="s">
        <v>33276</v>
      </c>
      <c r="AC2593" s="62" t="s">
        <v>33277</v>
      </c>
      <c r="AD2593" s="62" t="s">
        <v>33278</v>
      </c>
    </row>
    <row r="2594" spans="1:30" x14ac:dyDescent="0.25">
      <c r="A2594" s="62" t="s">
        <v>109</v>
      </c>
      <c r="C2594" s="62" t="s">
        <v>33279</v>
      </c>
      <c r="F2594" s="62" t="s">
        <v>10368</v>
      </c>
      <c r="G2594" s="62" t="s">
        <v>48614</v>
      </c>
      <c r="J2594" s="62" t="s">
        <v>33280</v>
      </c>
      <c r="K2594" s="62" t="s">
        <v>48667</v>
      </c>
      <c r="L2594" s="62" t="s">
        <v>33281</v>
      </c>
      <c r="M2594" s="62" t="s">
        <v>33282</v>
      </c>
      <c r="N2594" s="62" t="s">
        <v>33283</v>
      </c>
      <c r="O2594" s="62" t="s">
        <v>33284</v>
      </c>
      <c r="P2594" s="62" t="s">
        <v>48720</v>
      </c>
      <c r="Q2594" s="62" t="s">
        <v>33285</v>
      </c>
      <c r="R2594" s="62" t="s">
        <v>33286</v>
      </c>
      <c r="S2594" s="62" t="s">
        <v>33287</v>
      </c>
      <c r="U2594" s="62" t="s">
        <v>33288</v>
      </c>
      <c r="V2594" s="62" t="s">
        <v>48773</v>
      </c>
      <c r="W2594" s="62" t="s">
        <v>33289</v>
      </c>
      <c r="X2594" s="62" t="s">
        <v>33290</v>
      </c>
      <c r="Y2594" s="62" t="s">
        <v>33291</v>
      </c>
      <c r="Z2594" s="62" t="s">
        <v>33292</v>
      </c>
      <c r="AA2594" s="62" t="s">
        <v>48826</v>
      </c>
      <c r="AB2594" s="62" t="s">
        <v>33293</v>
      </c>
      <c r="AC2594" s="62" t="s">
        <v>33294</v>
      </c>
      <c r="AD2594" s="62" t="s">
        <v>33295</v>
      </c>
    </row>
    <row r="2595" spans="1:30" x14ac:dyDescent="0.25">
      <c r="A2595" s="62" t="s">
        <v>109</v>
      </c>
      <c r="C2595" s="62" t="s">
        <v>33296</v>
      </c>
      <c r="F2595" s="62" t="s">
        <v>15012</v>
      </c>
      <c r="G2595" s="62" t="s">
        <v>48615</v>
      </c>
      <c r="J2595" s="62" t="s">
        <v>33297</v>
      </c>
      <c r="K2595" s="62" t="s">
        <v>48668</v>
      </c>
      <c r="L2595" s="62" t="s">
        <v>33298</v>
      </c>
      <c r="M2595" s="62" t="s">
        <v>33299</v>
      </c>
      <c r="N2595" s="62" t="s">
        <v>33300</v>
      </c>
      <c r="O2595" s="62" t="s">
        <v>33301</v>
      </c>
      <c r="P2595" s="62" t="s">
        <v>48721</v>
      </c>
      <c r="Q2595" s="62" t="s">
        <v>33302</v>
      </c>
      <c r="R2595" s="62" t="s">
        <v>33303</v>
      </c>
      <c r="S2595" s="62" t="s">
        <v>33304</v>
      </c>
      <c r="U2595" s="62" t="s">
        <v>33305</v>
      </c>
      <c r="V2595" s="62" t="s">
        <v>48774</v>
      </c>
      <c r="W2595" s="62" t="s">
        <v>33306</v>
      </c>
      <c r="X2595" s="62" t="s">
        <v>33307</v>
      </c>
      <c r="Y2595" s="62" t="s">
        <v>33308</v>
      </c>
      <c r="Z2595" s="62" t="s">
        <v>33309</v>
      </c>
      <c r="AA2595" s="62" t="s">
        <v>48827</v>
      </c>
      <c r="AB2595" s="62" t="s">
        <v>33310</v>
      </c>
      <c r="AC2595" s="62" t="s">
        <v>33311</v>
      </c>
      <c r="AD2595" s="62" t="s">
        <v>33312</v>
      </c>
    </row>
    <row r="2596" spans="1:30" x14ac:dyDescent="0.25">
      <c r="A2596" s="62" t="s">
        <v>109</v>
      </c>
      <c r="C2596" s="62" t="s">
        <v>33313</v>
      </c>
      <c r="F2596" s="62" t="s">
        <v>10404</v>
      </c>
      <c r="G2596" s="62" t="s">
        <v>48616</v>
      </c>
      <c r="J2596" s="62" t="s">
        <v>33314</v>
      </c>
      <c r="K2596" s="62" t="s">
        <v>48669</v>
      </c>
      <c r="L2596" s="62" t="s">
        <v>33315</v>
      </c>
      <c r="M2596" s="62" t="s">
        <v>33316</v>
      </c>
      <c r="N2596" s="62" t="s">
        <v>33317</v>
      </c>
      <c r="O2596" s="62" t="s">
        <v>33318</v>
      </c>
      <c r="P2596" s="62" t="s">
        <v>48722</v>
      </c>
      <c r="Q2596" s="62" t="s">
        <v>33319</v>
      </c>
      <c r="R2596" s="62" t="s">
        <v>33320</v>
      </c>
      <c r="S2596" s="62" t="s">
        <v>33321</v>
      </c>
      <c r="U2596" s="62" t="s">
        <v>33322</v>
      </c>
      <c r="V2596" s="62" t="s">
        <v>48775</v>
      </c>
      <c r="W2596" s="62" t="s">
        <v>33323</v>
      </c>
      <c r="X2596" s="62" t="s">
        <v>33324</v>
      </c>
      <c r="Y2596" s="62" t="s">
        <v>33325</v>
      </c>
      <c r="Z2596" s="62" t="s">
        <v>33326</v>
      </c>
      <c r="AA2596" s="62" t="s">
        <v>48828</v>
      </c>
      <c r="AB2596" s="62" t="s">
        <v>33327</v>
      </c>
      <c r="AC2596" s="62" t="s">
        <v>33328</v>
      </c>
      <c r="AD2596" s="62" t="s">
        <v>33329</v>
      </c>
    </row>
    <row r="2597" spans="1:30" x14ac:dyDescent="0.25">
      <c r="A2597" s="62" t="s">
        <v>109</v>
      </c>
      <c r="C2597" s="62" t="s">
        <v>33330</v>
      </c>
      <c r="F2597" s="62" t="s">
        <v>10422</v>
      </c>
      <c r="G2597" s="62" t="s">
        <v>48617</v>
      </c>
      <c r="J2597" s="62" t="s">
        <v>33331</v>
      </c>
      <c r="K2597" s="62" t="s">
        <v>48670</v>
      </c>
      <c r="L2597" s="62" t="s">
        <v>33332</v>
      </c>
      <c r="M2597" s="62" t="s">
        <v>33333</v>
      </c>
      <c r="N2597" s="62" t="s">
        <v>33334</v>
      </c>
      <c r="O2597" s="62" t="s">
        <v>33335</v>
      </c>
      <c r="P2597" s="62" t="s">
        <v>48723</v>
      </c>
      <c r="Q2597" s="62" t="s">
        <v>33336</v>
      </c>
      <c r="R2597" s="62" t="s">
        <v>33337</v>
      </c>
      <c r="S2597" s="62" t="s">
        <v>33338</v>
      </c>
      <c r="U2597" s="62" t="s">
        <v>33339</v>
      </c>
      <c r="V2597" s="62" t="s">
        <v>48776</v>
      </c>
      <c r="W2597" s="62" t="s">
        <v>33340</v>
      </c>
      <c r="X2597" s="62" t="s">
        <v>33341</v>
      </c>
      <c r="Y2597" s="62" t="s">
        <v>33342</v>
      </c>
      <c r="Z2597" s="62" t="s">
        <v>33343</v>
      </c>
      <c r="AA2597" s="62" t="s">
        <v>48829</v>
      </c>
      <c r="AB2597" s="62" t="s">
        <v>33344</v>
      </c>
      <c r="AC2597" s="62" t="s">
        <v>33345</v>
      </c>
      <c r="AD2597" s="62" t="s">
        <v>33346</v>
      </c>
    </row>
    <row r="2598" spans="1:30" x14ac:dyDescent="0.25">
      <c r="A2598" s="62" t="s">
        <v>109</v>
      </c>
      <c r="C2598" s="62" t="s">
        <v>33347</v>
      </c>
      <c r="F2598" s="62" t="s">
        <v>1002</v>
      </c>
      <c r="G2598" s="62" t="s">
        <v>48618</v>
      </c>
      <c r="J2598" s="62" t="s">
        <v>33348</v>
      </c>
      <c r="K2598" s="62" t="s">
        <v>48671</v>
      </c>
      <c r="L2598" s="62" t="s">
        <v>33349</v>
      </c>
      <c r="M2598" s="62" t="s">
        <v>33350</v>
      </c>
      <c r="N2598" s="62" t="s">
        <v>33351</v>
      </c>
      <c r="O2598" s="62" t="s">
        <v>33352</v>
      </c>
      <c r="P2598" s="62" t="s">
        <v>48724</v>
      </c>
      <c r="Q2598" s="62" t="s">
        <v>33353</v>
      </c>
      <c r="R2598" s="62" t="s">
        <v>33354</v>
      </c>
      <c r="S2598" s="62" t="s">
        <v>33355</v>
      </c>
      <c r="U2598" s="62" t="s">
        <v>33356</v>
      </c>
      <c r="V2598" s="62" t="s">
        <v>48777</v>
      </c>
      <c r="W2598" s="62" t="s">
        <v>33357</v>
      </c>
      <c r="X2598" s="62" t="s">
        <v>33358</v>
      </c>
      <c r="Y2598" s="62" t="s">
        <v>33359</v>
      </c>
      <c r="Z2598" s="62" t="s">
        <v>33360</v>
      </c>
      <c r="AA2598" s="62" t="s">
        <v>48830</v>
      </c>
      <c r="AB2598" s="62" t="s">
        <v>33361</v>
      </c>
      <c r="AC2598" s="62" t="s">
        <v>33362</v>
      </c>
      <c r="AD2598" s="62" t="s">
        <v>33363</v>
      </c>
    </row>
    <row r="2599" spans="1:30" x14ac:dyDescent="0.25">
      <c r="A2599" s="62" t="s">
        <v>109</v>
      </c>
      <c r="C2599" s="62" t="s">
        <v>33364</v>
      </c>
      <c r="F2599" s="62" t="s">
        <v>1030</v>
      </c>
      <c r="G2599" s="62" t="s">
        <v>48619</v>
      </c>
      <c r="J2599" s="62" t="s">
        <v>33365</v>
      </c>
      <c r="K2599" s="62" t="s">
        <v>48672</v>
      </c>
      <c r="L2599" s="62" t="s">
        <v>33366</v>
      </c>
      <c r="M2599" s="62" t="s">
        <v>33367</v>
      </c>
      <c r="N2599" s="62" t="s">
        <v>33368</v>
      </c>
      <c r="O2599" s="62" t="s">
        <v>33369</v>
      </c>
      <c r="P2599" s="62" t="s">
        <v>48725</v>
      </c>
      <c r="Q2599" s="62" t="s">
        <v>33370</v>
      </c>
      <c r="R2599" s="62" t="s">
        <v>33371</v>
      </c>
      <c r="S2599" s="62" t="s">
        <v>33372</v>
      </c>
      <c r="U2599" s="62" t="s">
        <v>33373</v>
      </c>
      <c r="V2599" s="62" t="s">
        <v>48778</v>
      </c>
      <c r="W2599" s="62" t="s">
        <v>33374</v>
      </c>
      <c r="X2599" s="62" t="s">
        <v>33375</v>
      </c>
      <c r="Y2599" s="62" t="s">
        <v>33376</v>
      </c>
      <c r="Z2599" s="62" t="s">
        <v>33377</v>
      </c>
      <c r="AA2599" s="62" t="s">
        <v>48831</v>
      </c>
      <c r="AB2599" s="62" t="s">
        <v>33378</v>
      </c>
      <c r="AC2599" s="62" t="s">
        <v>33379</v>
      </c>
      <c r="AD2599" s="62" t="s">
        <v>33380</v>
      </c>
    </row>
    <row r="2600" spans="1:30" x14ac:dyDescent="0.25">
      <c r="A2600" s="62" t="s">
        <v>109</v>
      </c>
      <c r="C2600" s="62" t="s">
        <v>33381</v>
      </c>
      <c r="F2600" s="62" t="s">
        <v>1064</v>
      </c>
      <c r="G2600" s="62" t="s">
        <v>48620</v>
      </c>
      <c r="J2600" s="62" t="s">
        <v>33382</v>
      </c>
      <c r="K2600" s="62" t="s">
        <v>48673</v>
      </c>
      <c r="L2600" s="62" t="s">
        <v>33383</v>
      </c>
      <c r="M2600" s="62" t="s">
        <v>33384</v>
      </c>
      <c r="N2600" s="62" t="s">
        <v>33385</v>
      </c>
      <c r="O2600" s="62" t="s">
        <v>33386</v>
      </c>
      <c r="P2600" s="62" t="s">
        <v>48726</v>
      </c>
      <c r="Q2600" s="62" t="s">
        <v>33387</v>
      </c>
      <c r="R2600" s="62" t="s">
        <v>33388</v>
      </c>
      <c r="S2600" s="62" t="s">
        <v>33389</v>
      </c>
      <c r="U2600" s="62" t="s">
        <v>33390</v>
      </c>
      <c r="V2600" s="62" t="s">
        <v>48779</v>
      </c>
      <c r="W2600" s="62" t="s">
        <v>33391</v>
      </c>
      <c r="X2600" s="62" t="s">
        <v>33392</v>
      </c>
      <c r="Y2600" s="62" t="s">
        <v>33393</v>
      </c>
      <c r="Z2600" s="62" t="s">
        <v>33394</v>
      </c>
      <c r="AA2600" s="62" t="s">
        <v>48832</v>
      </c>
      <c r="AB2600" s="62" t="s">
        <v>33395</v>
      </c>
      <c r="AC2600" s="62" t="s">
        <v>33396</v>
      </c>
      <c r="AD2600" s="62" t="s">
        <v>33397</v>
      </c>
    </row>
    <row r="2601" spans="1:30" x14ac:dyDescent="0.25">
      <c r="A2601" s="62" t="s">
        <v>109</v>
      </c>
      <c r="C2601" s="62" t="s">
        <v>33398</v>
      </c>
      <c r="F2601" s="62" t="s">
        <v>1073</v>
      </c>
      <c r="G2601" s="62" t="s">
        <v>48621</v>
      </c>
      <c r="J2601" s="62" t="s">
        <v>33399</v>
      </c>
      <c r="K2601" s="62" t="s">
        <v>48674</v>
      </c>
      <c r="L2601" s="62" t="s">
        <v>33400</v>
      </c>
      <c r="M2601" s="62" t="s">
        <v>33401</v>
      </c>
      <c r="N2601" s="62" t="s">
        <v>33402</v>
      </c>
      <c r="O2601" s="62" t="s">
        <v>33403</v>
      </c>
      <c r="P2601" s="62" t="s">
        <v>48727</v>
      </c>
      <c r="Q2601" s="62" t="s">
        <v>33404</v>
      </c>
      <c r="R2601" s="62" t="s">
        <v>33405</v>
      </c>
      <c r="S2601" s="62" t="s">
        <v>33406</v>
      </c>
      <c r="U2601" s="62" t="s">
        <v>33407</v>
      </c>
      <c r="V2601" s="62" t="s">
        <v>48780</v>
      </c>
      <c r="W2601" s="62" t="s">
        <v>33408</v>
      </c>
      <c r="X2601" s="62" t="s">
        <v>33409</v>
      </c>
      <c r="Y2601" s="62" t="s">
        <v>33410</v>
      </c>
      <c r="Z2601" s="62" t="s">
        <v>33411</v>
      </c>
      <c r="AA2601" s="62" t="s">
        <v>48833</v>
      </c>
      <c r="AB2601" s="62" t="s">
        <v>33412</v>
      </c>
      <c r="AC2601" s="62" t="s">
        <v>33413</v>
      </c>
      <c r="AD2601" s="62" t="s">
        <v>33414</v>
      </c>
    </row>
    <row r="2602" spans="1:30" x14ac:dyDescent="0.25">
      <c r="A2602" s="62" t="s">
        <v>109</v>
      </c>
      <c r="C2602" s="62" t="s">
        <v>33415</v>
      </c>
      <c r="F2602" s="62" t="s">
        <v>1090</v>
      </c>
      <c r="G2602" s="62" t="s">
        <v>48622</v>
      </c>
      <c r="J2602" s="62" t="s">
        <v>33416</v>
      </c>
      <c r="K2602" s="62" t="s">
        <v>48675</v>
      </c>
      <c r="L2602" s="62" t="s">
        <v>33417</v>
      </c>
      <c r="M2602" s="62" t="s">
        <v>33418</v>
      </c>
      <c r="N2602" s="62" t="s">
        <v>33419</v>
      </c>
      <c r="O2602" s="62" t="s">
        <v>33420</v>
      </c>
      <c r="P2602" s="62" t="s">
        <v>48728</v>
      </c>
      <c r="Q2602" s="62" t="s">
        <v>33421</v>
      </c>
      <c r="R2602" s="62" t="s">
        <v>33422</v>
      </c>
      <c r="S2602" s="62" t="s">
        <v>33423</v>
      </c>
      <c r="U2602" s="62" t="s">
        <v>33424</v>
      </c>
      <c r="V2602" s="62" t="s">
        <v>48781</v>
      </c>
      <c r="W2602" s="62" t="s">
        <v>33425</v>
      </c>
      <c r="X2602" s="62" t="s">
        <v>33426</v>
      </c>
      <c r="Y2602" s="62" t="s">
        <v>33427</v>
      </c>
      <c r="Z2602" s="62" t="s">
        <v>33428</v>
      </c>
      <c r="AA2602" s="62" t="s">
        <v>48834</v>
      </c>
      <c r="AB2602" s="62" t="s">
        <v>33429</v>
      </c>
      <c r="AC2602" s="62" t="s">
        <v>33430</v>
      </c>
      <c r="AD2602" s="62" t="s">
        <v>33431</v>
      </c>
    </row>
    <row r="2603" spans="1:30" x14ac:dyDescent="0.25">
      <c r="A2603" s="62" t="s">
        <v>109</v>
      </c>
      <c r="C2603" s="62" t="s">
        <v>33432</v>
      </c>
      <c r="F2603" s="62" t="s">
        <v>1100</v>
      </c>
      <c r="G2603" s="62" t="s">
        <v>48623</v>
      </c>
      <c r="J2603" s="62" t="s">
        <v>33433</v>
      </c>
      <c r="K2603" s="62" t="s">
        <v>48676</v>
      </c>
      <c r="L2603" s="62" t="s">
        <v>33434</v>
      </c>
      <c r="M2603" s="62" t="s">
        <v>33435</v>
      </c>
      <c r="N2603" s="62" t="s">
        <v>33436</v>
      </c>
      <c r="O2603" s="62" t="s">
        <v>33437</v>
      </c>
      <c r="P2603" s="62" t="s">
        <v>48729</v>
      </c>
      <c r="Q2603" s="62" t="s">
        <v>33438</v>
      </c>
      <c r="R2603" s="62" t="s">
        <v>33439</v>
      </c>
      <c r="S2603" s="62" t="s">
        <v>33440</v>
      </c>
      <c r="U2603" s="62" t="s">
        <v>33441</v>
      </c>
      <c r="V2603" s="62" t="s">
        <v>48782</v>
      </c>
      <c r="W2603" s="62" t="s">
        <v>33442</v>
      </c>
      <c r="X2603" s="62" t="s">
        <v>33443</v>
      </c>
      <c r="Y2603" s="62" t="s">
        <v>33444</v>
      </c>
      <c r="Z2603" s="62" t="s">
        <v>33445</v>
      </c>
      <c r="AA2603" s="62" t="s">
        <v>48835</v>
      </c>
      <c r="AB2603" s="62" t="s">
        <v>33446</v>
      </c>
      <c r="AC2603" s="62" t="s">
        <v>33447</v>
      </c>
      <c r="AD2603" s="62" t="s">
        <v>33448</v>
      </c>
    </row>
    <row r="2604" spans="1:30" x14ac:dyDescent="0.25">
      <c r="A2604" s="62" t="s">
        <v>109</v>
      </c>
      <c r="C2604" s="62" t="s">
        <v>33449</v>
      </c>
      <c r="F2604" s="62" t="s">
        <v>2337</v>
      </c>
      <c r="G2604" s="62" t="s">
        <v>48624</v>
      </c>
      <c r="J2604" s="62" t="s">
        <v>33450</v>
      </c>
      <c r="K2604" s="62" t="s">
        <v>48677</v>
      </c>
      <c r="L2604" s="62" t="s">
        <v>33451</v>
      </c>
      <c r="M2604" s="62" t="s">
        <v>33452</v>
      </c>
      <c r="N2604" s="62" t="s">
        <v>33453</v>
      </c>
      <c r="O2604" s="62" t="s">
        <v>33454</v>
      </c>
      <c r="P2604" s="62" t="s">
        <v>48730</v>
      </c>
      <c r="Q2604" s="62" t="s">
        <v>33455</v>
      </c>
      <c r="R2604" s="62" t="s">
        <v>33456</v>
      </c>
      <c r="S2604" s="62" t="s">
        <v>33457</v>
      </c>
      <c r="U2604" s="62" t="s">
        <v>33458</v>
      </c>
      <c r="V2604" s="62" t="s">
        <v>48783</v>
      </c>
      <c r="W2604" s="62" t="s">
        <v>33459</v>
      </c>
      <c r="X2604" s="62" t="s">
        <v>33460</v>
      </c>
      <c r="Y2604" s="62" t="s">
        <v>33461</v>
      </c>
      <c r="Z2604" s="62" t="s">
        <v>33462</v>
      </c>
      <c r="AA2604" s="62" t="s">
        <v>48836</v>
      </c>
      <c r="AB2604" s="62" t="s">
        <v>33463</v>
      </c>
      <c r="AC2604" s="62" t="s">
        <v>33464</v>
      </c>
      <c r="AD2604" s="62" t="s">
        <v>33465</v>
      </c>
    </row>
    <row r="2605" spans="1:30" x14ac:dyDescent="0.25">
      <c r="A2605" s="62" t="s">
        <v>109</v>
      </c>
      <c r="C2605" s="62" t="s">
        <v>33466</v>
      </c>
      <c r="F2605" s="62" t="s">
        <v>2355</v>
      </c>
      <c r="G2605" s="62" t="s">
        <v>48625</v>
      </c>
      <c r="J2605" s="62" t="s">
        <v>33467</v>
      </c>
      <c r="K2605" s="62" t="s">
        <v>48678</v>
      </c>
      <c r="L2605" s="62" t="s">
        <v>33468</v>
      </c>
      <c r="M2605" s="62" t="s">
        <v>33469</v>
      </c>
      <c r="N2605" s="62" t="s">
        <v>33470</v>
      </c>
      <c r="O2605" s="62" t="s">
        <v>33471</v>
      </c>
      <c r="P2605" s="62" t="s">
        <v>48731</v>
      </c>
      <c r="Q2605" s="62" t="s">
        <v>33472</v>
      </c>
      <c r="R2605" s="62" t="s">
        <v>33473</v>
      </c>
      <c r="S2605" s="62" t="s">
        <v>33474</v>
      </c>
      <c r="U2605" s="62" t="s">
        <v>33475</v>
      </c>
      <c r="V2605" s="62" t="s">
        <v>48784</v>
      </c>
      <c r="W2605" s="62" t="s">
        <v>33476</v>
      </c>
      <c r="X2605" s="62" t="s">
        <v>33477</v>
      </c>
      <c r="Y2605" s="62" t="s">
        <v>33478</v>
      </c>
      <c r="Z2605" s="62" t="s">
        <v>33479</v>
      </c>
      <c r="AA2605" s="62" t="s">
        <v>48837</v>
      </c>
      <c r="AB2605" s="62" t="s">
        <v>33480</v>
      </c>
      <c r="AC2605" s="62" t="s">
        <v>33481</v>
      </c>
      <c r="AD2605" s="62" t="s">
        <v>33482</v>
      </c>
    </row>
    <row r="2606" spans="1:30" x14ac:dyDescent="0.25">
      <c r="A2606" s="62" t="s">
        <v>109</v>
      </c>
      <c r="C2606" s="62" t="s">
        <v>33483</v>
      </c>
      <c r="F2606" s="62" t="s">
        <v>15081</v>
      </c>
      <c r="G2606" s="62" t="s">
        <v>48626</v>
      </c>
      <c r="J2606" s="62" t="s">
        <v>33485</v>
      </c>
      <c r="K2606" s="62" t="s">
        <v>48679</v>
      </c>
      <c r="L2606" s="62" t="s">
        <v>33486</v>
      </c>
      <c r="M2606" s="62" t="s">
        <v>33487</v>
      </c>
      <c r="N2606" s="62" t="s">
        <v>33488</v>
      </c>
      <c r="O2606" s="62" t="s">
        <v>33489</v>
      </c>
      <c r="P2606" s="62" t="s">
        <v>48732</v>
      </c>
      <c r="Q2606" s="62" t="s">
        <v>33490</v>
      </c>
      <c r="R2606" s="62" t="s">
        <v>33491</v>
      </c>
      <c r="S2606" s="62" t="s">
        <v>33492</v>
      </c>
      <c r="U2606" s="62" t="s">
        <v>33493</v>
      </c>
      <c r="V2606" s="62" t="s">
        <v>48785</v>
      </c>
      <c r="W2606" s="62" t="s">
        <v>33494</v>
      </c>
      <c r="X2606" s="62" t="s">
        <v>33495</v>
      </c>
      <c r="Y2606" s="62" t="s">
        <v>33496</v>
      </c>
      <c r="Z2606" s="62" t="s">
        <v>33497</v>
      </c>
      <c r="AA2606" s="62" t="s">
        <v>48838</v>
      </c>
      <c r="AB2606" s="62" t="s">
        <v>33498</v>
      </c>
      <c r="AC2606" s="62" t="s">
        <v>33499</v>
      </c>
      <c r="AD2606" s="62" t="s">
        <v>33500</v>
      </c>
    </row>
    <row r="2607" spans="1:30" x14ac:dyDescent="0.25">
      <c r="A2607" s="62" t="s">
        <v>109</v>
      </c>
      <c r="C2607" s="62" t="s">
        <v>33501</v>
      </c>
      <c r="F2607" s="62" t="s">
        <v>10559</v>
      </c>
      <c r="G2607" s="62" t="s">
        <v>48627</v>
      </c>
      <c r="J2607" s="62" t="s">
        <v>33502</v>
      </c>
      <c r="K2607" s="62" t="s">
        <v>48680</v>
      </c>
      <c r="L2607" s="62" t="s">
        <v>33503</v>
      </c>
      <c r="M2607" s="62" t="s">
        <v>33504</v>
      </c>
      <c r="N2607" s="62" t="s">
        <v>33505</v>
      </c>
      <c r="O2607" s="62" t="s">
        <v>33506</v>
      </c>
      <c r="P2607" s="62" t="s">
        <v>48733</v>
      </c>
      <c r="Q2607" s="62" t="s">
        <v>33507</v>
      </c>
      <c r="R2607" s="62" t="s">
        <v>33508</v>
      </c>
      <c r="S2607" s="62" t="s">
        <v>33509</v>
      </c>
      <c r="U2607" s="62" t="s">
        <v>33510</v>
      </c>
      <c r="V2607" s="62" t="s">
        <v>48786</v>
      </c>
      <c r="W2607" s="62" t="s">
        <v>33511</v>
      </c>
      <c r="X2607" s="62" t="s">
        <v>33512</v>
      </c>
      <c r="Y2607" s="62" t="s">
        <v>33513</v>
      </c>
      <c r="Z2607" s="62" t="s">
        <v>33514</v>
      </c>
      <c r="AA2607" s="62" t="s">
        <v>48839</v>
      </c>
      <c r="AB2607" s="62" t="s">
        <v>33515</v>
      </c>
      <c r="AC2607" s="62" t="s">
        <v>33516</v>
      </c>
      <c r="AD2607" s="62" t="s">
        <v>33517</v>
      </c>
    </row>
    <row r="2608" spans="1:30" x14ac:dyDescent="0.25">
      <c r="A2608" s="62" t="s">
        <v>109</v>
      </c>
      <c r="C2608" s="62" t="s">
        <v>33518</v>
      </c>
      <c r="F2608" s="62" t="s">
        <v>10577</v>
      </c>
      <c r="G2608" s="62" t="s">
        <v>48628</v>
      </c>
      <c r="J2608" s="62" t="s">
        <v>33519</v>
      </c>
      <c r="K2608" s="62" t="s">
        <v>48681</v>
      </c>
      <c r="L2608" s="62" t="s">
        <v>33520</v>
      </c>
      <c r="M2608" s="62" t="s">
        <v>33521</v>
      </c>
      <c r="N2608" s="62" t="s">
        <v>33522</v>
      </c>
      <c r="O2608" s="62" t="s">
        <v>33523</v>
      </c>
      <c r="P2608" s="62" t="s">
        <v>48734</v>
      </c>
      <c r="Q2608" s="62" t="s">
        <v>33524</v>
      </c>
      <c r="R2608" s="62" t="s">
        <v>33525</v>
      </c>
      <c r="S2608" s="62" t="s">
        <v>33526</v>
      </c>
      <c r="U2608" s="62" t="s">
        <v>33527</v>
      </c>
      <c r="V2608" s="62" t="s">
        <v>48787</v>
      </c>
      <c r="W2608" s="62" t="s">
        <v>33528</v>
      </c>
      <c r="X2608" s="62" t="s">
        <v>33529</v>
      </c>
      <c r="Y2608" s="62" t="s">
        <v>33530</v>
      </c>
      <c r="Z2608" s="62" t="s">
        <v>33531</v>
      </c>
      <c r="AA2608" s="62" t="s">
        <v>48840</v>
      </c>
      <c r="AB2608" s="62" t="s">
        <v>33532</v>
      </c>
      <c r="AC2608" s="62" t="s">
        <v>33533</v>
      </c>
      <c r="AD2608" s="62" t="s">
        <v>33534</v>
      </c>
    </row>
    <row r="2609" spans="1:30" x14ac:dyDescent="0.25">
      <c r="A2609" s="62" t="s">
        <v>109</v>
      </c>
      <c r="C2609" s="62" t="s">
        <v>33535</v>
      </c>
      <c r="F2609" s="62" t="s">
        <v>10595</v>
      </c>
      <c r="G2609" s="62" t="s">
        <v>48629</v>
      </c>
      <c r="J2609" s="62" t="s">
        <v>33536</v>
      </c>
      <c r="K2609" s="62" t="s">
        <v>48682</v>
      </c>
      <c r="L2609" s="62" t="s">
        <v>33537</v>
      </c>
      <c r="M2609" s="62" t="s">
        <v>33538</v>
      </c>
      <c r="N2609" s="62" t="s">
        <v>33539</v>
      </c>
      <c r="O2609" s="62" t="s">
        <v>33540</v>
      </c>
      <c r="P2609" s="62" t="s">
        <v>48735</v>
      </c>
      <c r="Q2609" s="62" t="s">
        <v>33541</v>
      </c>
      <c r="R2609" s="62" t="s">
        <v>33542</v>
      </c>
      <c r="S2609" s="62" t="s">
        <v>33543</v>
      </c>
      <c r="U2609" s="62" t="s">
        <v>33544</v>
      </c>
      <c r="V2609" s="62" t="s">
        <v>48788</v>
      </c>
      <c r="W2609" s="62" t="s">
        <v>33545</v>
      </c>
      <c r="X2609" s="62" t="s">
        <v>33546</v>
      </c>
      <c r="Y2609" s="62" t="s">
        <v>33547</v>
      </c>
      <c r="Z2609" s="62" t="s">
        <v>33548</v>
      </c>
      <c r="AA2609" s="62" t="s">
        <v>48841</v>
      </c>
      <c r="AB2609" s="62" t="s">
        <v>33549</v>
      </c>
      <c r="AC2609" s="62" t="s">
        <v>33550</v>
      </c>
      <c r="AD2609" s="62" t="s">
        <v>33551</v>
      </c>
    </row>
    <row r="2610" spans="1:30" x14ac:dyDescent="0.25">
      <c r="A2610" s="62" t="s">
        <v>109</v>
      </c>
      <c r="C2610" s="62" t="s">
        <v>33552</v>
      </c>
      <c r="F2610" s="62" t="s">
        <v>10613</v>
      </c>
      <c r="G2610" s="62" t="s">
        <v>48630</v>
      </c>
      <c r="J2610" s="62" t="s">
        <v>33553</v>
      </c>
      <c r="K2610" s="62" t="s">
        <v>48683</v>
      </c>
      <c r="L2610" s="62" t="s">
        <v>33554</v>
      </c>
      <c r="M2610" s="62" t="s">
        <v>33555</v>
      </c>
      <c r="N2610" s="62" t="s">
        <v>33556</v>
      </c>
      <c r="O2610" s="62" t="s">
        <v>33557</v>
      </c>
      <c r="P2610" s="62" t="s">
        <v>48736</v>
      </c>
      <c r="Q2610" s="62" t="s">
        <v>33558</v>
      </c>
      <c r="R2610" s="62" t="s">
        <v>33559</v>
      </c>
      <c r="S2610" s="62" t="s">
        <v>33560</v>
      </c>
      <c r="U2610" s="62" t="s">
        <v>33561</v>
      </c>
      <c r="V2610" s="62" t="s">
        <v>48789</v>
      </c>
      <c r="W2610" s="62" t="s">
        <v>33562</v>
      </c>
      <c r="X2610" s="62" t="s">
        <v>33563</v>
      </c>
      <c r="Y2610" s="62" t="s">
        <v>33564</v>
      </c>
      <c r="Z2610" s="62" t="s">
        <v>33565</v>
      </c>
      <c r="AA2610" s="62" t="s">
        <v>48842</v>
      </c>
      <c r="AB2610" s="62" t="s">
        <v>33566</v>
      </c>
      <c r="AC2610" s="62" t="s">
        <v>33567</v>
      </c>
      <c r="AD2610" s="62" t="s">
        <v>33568</v>
      </c>
    </row>
    <row r="2611" spans="1:30" x14ac:dyDescent="0.25">
      <c r="A2611" s="62" t="s">
        <v>109</v>
      </c>
      <c r="C2611" s="62" t="s">
        <v>33569</v>
      </c>
      <c r="F2611" s="62" t="s">
        <v>10667</v>
      </c>
      <c r="G2611" s="62" t="s">
        <v>48631</v>
      </c>
      <c r="J2611" s="62" t="s">
        <v>33570</v>
      </c>
      <c r="K2611" s="62" t="s">
        <v>48684</v>
      </c>
      <c r="L2611" s="62" t="s">
        <v>33571</v>
      </c>
      <c r="M2611" s="62" t="s">
        <v>33572</v>
      </c>
      <c r="N2611" s="62" t="s">
        <v>33573</v>
      </c>
      <c r="O2611" s="62" t="s">
        <v>33574</v>
      </c>
      <c r="P2611" s="62" t="s">
        <v>48737</v>
      </c>
      <c r="Q2611" s="62" t="s">
        <v>33575</v>
      </c>
      <c r="R2611" s="62" t="s">
        <v>33576</v>
      </c>
      <c r="S2611" s="62" t="s">
        <v>33577</v>
      </c>
      <c r="U2611" s="62" t="s">
        <v>33578</v>
      </c>
      <c r="V2611" s="62" t="s">
        <v>48790</v>
      </c>
      <c r="W2611" s="62" t="s">
        <v>33579</v>
      </c>
      <c r="X2611" s="62" t="s">
        <v>33580</v>
      </c>
      <c r="Y2611" s="62" t="s">
        <v>33581</v>
      </c>
      <c r="Z2611" s="62" t="s">
        <v>33582</v>
      </c>
      <c r="AA2611" s="62" t="s">
        <v>48843</v>
      </c>
      <c r="AB2611" s="62" t="s">
        <v>33583</v>
      </c>
      <c r="AC2611" s="62" t="s">
        <v>33584</v>
      </c>
      <c r="AD2611" s="62" t="s">
        <v>33585</v>
      </c>
    </row>
    <row r="2612" spans="1:30" x14ac:dyDescent="0.25">
      <c r="A2612" s="62" t="s">
        <v>109</v>
      </c>
      <c r="C2612" s="62" t="s">
        <v>33586</v>
      </c>
      <c r="F2612" s="62" t="s">
        <v>10703</v>
      </c>
      <c r="G2612" s="62" t="s">
        <v>48632</v>
      </c>
      <c r="J2612" s="62" t="s">
        <v>33587</v>
      </c>
      <c r="K2612" s="62" t="s">
        <v>48685</v>
      </c>
      <c r="L2612" s="62" t="s">
        <v>33588</v>
      </c>
      <c r="M2612" s="62" t="s">
        <v>33589</v>
      </c>
      <c r="N2612" s="62" t="s">
        <v>33590</v>
      </c>
      <c r="O2612" s="62" t="s">
        <v>33591</v>
      </c>
      <c r="P2612" s="62" t="s">
        <v>48738</v>
      </c>
      <c r="Q2612" s="62" t="s">
        <v>33592</v>
      </c>
      <c r="R2612" s="62" t="s">
        <v>33593</v>
      </c>
      <c r="S2612" s="62" t="s">
        <v>33594</v>
      </c>
      <c r="U2612" s="62" t="s">
        <v>33595</v>
      </c>
      <c r="V2612" s="62" t="s">
        <v>48791</v>
      </c>
      <c r="W2612" s="62" t="s">
        <v>33596</v>
      </c>
      <c r="X2612" s="62" t="s">
        <v>33597</v>
      </c>
      <c r="Y2612" s="62" t="s">
        <v>33598</v>
      </c>
      <c r="Z2612" s="62" t="s">
        <v>33599</v>
      </c>
      <c r="AA2612" s="62" t="s">
        <v>48844</v>
      </c>
      <c r="AB2612" s="62" t="s">
        <v>33600</v>
      </c>
      <c r="AC2612" s="62" t="s">
        <v>33601</v>
      </c>
      <c r="AD2612" s="62" t="s">
        <v>33602</v>
      </c>
    </row>
    <row r="2613" spans="1:30" x14ac:dyDescent="0.25">
      <c r="A2613" s="62" t="s">
        <v>109</v>
      </c>
      <c r="C2613" s="62" t="s">
        <v>45568</v>
      </c>
      <c r="F2613" s="62" t="s">
        <v>10721</v>
      </c>
      <c r="G2613" s="62" t="s">
        <v>48633</v>
      </c>
      <c r="J2613" s="62" t="s">
        <v>45569</v>
      </c>
      <c r="K2613" s="62" t="s">
        <v>48686</v>
      </c>
      <c r="L2613" s="62" t="s">
        <v>45570</v>
      </c>
      <c r="M2613" s="62" t="s">
        <v>45571</v>
      </c>
      <c r="N2613" s="62" t="s">
        <v>45572</v>
      </c>
      <c r="O2613" s="62" t="s">
        <v>45573</v>
      </c>
      <c r="P2613" s="62" t="s">
        <v>48739</v>
      </c>
      <c r="Q2613" s="62" t="s">
        <v>45574</v>
      </c>
      <c r="R2613" s="62" t="s">
        <v>45575</v>
      </c>
      <c r="S2613" s="62" t="s">
        <v>45576</v>
      </c>
      <c r="U2613" s="62" t="s">
        <v>45577</v>
      </c>
      <c r="V2613" s="62" t="s">
        <v>48792</v>
      </c>
      <c r="W2613" s="62" t="s">
        <v>45578</v>
      </c>
      <c r="X2613" s="62" t="s">
        <v>45579</v>
      </c>
      <c r="Y2613" s="62" t="s">
        <v>45580</v>
      </c>
      <c r="Z2613" s="62" t="s">
        <v>45581</v>
      </c>
      <c r="AA2613" s="62" t="s">
        <v>48845</v>
      </c>
      <c r="AB2613" s="62" t="s">
        <v>45582</v>
      </c>
      <c r="AC2613" s="62" t="s">
        <v>45583</v>
      </c>
      <c r="AD2613" s="62" t="s">
        <v>45584</v>
      </c>
    </row>
    <row r="2614" spans="1:30" x14ac:dyDescent="0.25">
      <c r="A2614" s="62" t="s">
        <v>109</v>
      </c>
      <c r="C2614" s="62" t="s">
        <v>33603</v>
      </c>
      <c r="F2614" s="62" t="s">
        <v>10757</v>
      </c>
      <c r="G2614" s="62" t="s">
        <v>48634</v>
      </c>
      <c r="J2614" s="62" t="s">
        <v>45585</v>
      </c>
      <c r="K2614" s="62" t="s">
        <v>48687</v>
      </c>
      <c r="L2614" s="62" t="s">
        <v>45586</v>
      </c>
      <c r="M2614" s="62" t="s">
        <v>33604</v>
      </c>
      <c r="N2614" s="62" t="s">
        <v>33605</v>
      </c>
      <c r="O2614" s="62" t="s">
        <v>45587</v>
      </c>
      <c r="P2614" s="62" t="s">
        <v>48740</v>
      </c>
      <c r="Q2614" s="62" t="s">
        <v>45588</v>
      </c>
      <c r="R2614" s="62" t="s">
        <v>33606</v>
      </c>
      <c r="S2614" s="62" t="s">
        <v>33607</v>
      </c>
      <c r="U2614" s="62" t="s">
        <v>45589</v>
      </c>
      <c r="V2614" s="62" t="s">
        <v>48793</v>
      </c>
      <c r="W2614" s="62" t="s">
        <v>45590</v>
      </c>
      <c r="X2614" s="62" t="s">
        <v>33608</v>
      </c>
      <c r="Y2614" s="62" t="s">
        <v>33609</v>
      </c>
      <c r="Z2614" s="62" t="s">
        <v>45591</v>
      </c>
      <c r="AA2614" s="62" t="s">
        <v>48846</v>
      </c>
      <c r="AB2614" s="62" t="s">
        <v>45592</v>
      </c>
      <c r="AC2614" s="62" t="s">
        <v>33610</v>
      </c>
      <c r="AD2614" s="62" t="s">
        <v>33611</v>
      </c>
    </row>
    <row r="2615" spans="1:30" x14ac:dyDescent="0.25">
      <c r="A2615" s="62" t="s">
        <v>109</v>
      </c>
      <c r="C2615" s="62" t="s">
        <v>45593</v>
      </c>
      <c r="F2615" s="62" t="s">
        <v>10775</v>
      </c>
      <c r="G2615" s="62" t="s">
        <v>48635</v>
      </c>
      <c r="J2615" s="62" t="s">
        <v>45594</v>
      </c>
      <c r="K2615" s="62" t="s">
        <v>48688</v>
      </c>
      <c r="L2615" s="62" t="s">
        <v>45595</v>
      </c>
      <c r="M2615" s="62" t="s">
        <v>45596</v>
      </c>
      <c r="N2615" s="62" t="s">
        <v>45597</v>
      </c>
      <c r="O2615" s="62" t="s">
        <v>45598</v>
      </c>
      <c r="P2615" s="62" t="s">
        <v>48741</v>
      </c>
      <c r="Q2615" s="62" t="s">
        <v>45599</v>
      </c>
      <c r="R2615" s="62" t="s">
        <v>45600</v>
      </c>
      <c r="S2615" s="62" t="s">
        <v>45601</v>
      </c>
      <c r="U2615" s="62" t="s">
        <v>45602</v>
      </c>
      <c r="V2615" s="62" t="s">
        <v>48794</v>
      </c>
      <c r="W2615" s="62" t="s">
        <v>45603</v>
      </c>
      <c r="X2615" s="62" t="s">
        <v>45604</v>
      </c>
      <c r="Y2615" s="62" t="s">
        <v>45605</v>
      </c>
      <c r="Z2615" s="62" t="s">
        <v>45606</v>
      </c>
      <c r="AA2615" s="62" t="s">
        <v>48847</v>
      </c>
      <c r="AB2615" s="62" t="s">
        <v>45607</v>
      </c>
      <c r="AC2615" s="62" t="s">
        <v>45608</v>
      </c>
      <c r="AD2615" s="62" t="s">
        <v>45609</v>
      </c>
    </row>
    <row r="2616" spans="1:30" x14ac:dyDescent="0.25">
      <c r="A2616" s="62" t="s">
        <v>109</v>
      </c>
      <c r="C2616" s="62" t="s">
        <v>45610</v>
      </c>
      <c r="F2616" s="62" t="s">
        <v>13202</v>
      </c>
      <c r="G2616" s="62" t="s">
        <v>48636</v>
      </c>
      <c r="J2616" s="62" t="s">
        <v>45611</v>
      </c>
      <c r="K2616" s="62" t="s">
        <v>48689</v>
      </c>
      <c r="L2616" s="62" t="s">
        <v>45612</v>
      </c>
      <c r="M2616" s="62" t="s">
        <v>45613</v>
      </c>
      <c r="N2616" s="62" t="s">
        <v>45614</v>
      </c>
      <c r="O2616" s="62" t="s">
        <v>45615</v>
      </c>
      <c r="P2616" s="62" t="s">
        <v>48742</v>
      </c>
      <c r="Q2616" s="62" t="s">
        <v>45616</v>
      </c>
      <c r="R2616" s="62" t="s">
        <v>45617</v>
      </c>
      <c r="S2616" s="62" t="s">
        <v>45618</v>
      </c>
      <c r="U2616" s="62" t="s">
        <v>45619</v>
      </c>
      <c r="V2616" s="62" t="s">
        <v>48795</v>
      </c>
      <c r="W2616" s="62" t="s">
        <v>45620</v>
      </c>
      <c r="X2616" s="62" t="s">
        <v>45621</v>
      </c>
      <c r="Y2616" s="62" t="s">
        <v>45622</v>
      </c>
      <c r="Z2616" s="62" t="s">
        <v>45623</v>
      </c>
      <c r="AA2616" s="62" t="s">
        <v>48848</v>
      </c>
      <c r="AB2616" s="62" t="s">
        <v>45624</v>
      </c>
      <c r="AC2616" s="62" t="s">
        <v>45625</v>
      </c>
      <c r="AD2616" s="62" t="s">
        <v>45626</v>
      </c>
    </row>
    <row r="2617" spans="1:30" x14ac:dyDescent="0.25">
      <c r="A2617" s="62" t="s">
        <v>109</v>
      </c>
      <c r="C2617" s="62" t="s">
        <v>33612</v>
      </c>
      <c r="F2617" s="62" t="s">
        <v>10811</v>
      </c>
      <c r="G2617" s="62" t="s">
        <v>48637</v>
      </c>
      <c r="J2617" s="62" t="s">
        <v>45627</v>
      </c>
      <c r="K2617" s="62" t="s">
        <v>48690</v>
      </c>
      <c r="L2617" s="62" t="s">
        <v>45628</v>
      </c>
      <c r="M2617" s="62" t="s">
        <v>45629</v>
      </c>
      <c r="N2617" s="62" t="s">
        <v>45630</v>
      </c>
      <c r="O2617" s="62" t="s">
        <v>45631</v>
      </c>
      <c r="P2617" s="62" t="s">
        <v>48743</v>
      </c>
      <c r="Q2617" s="62" t="s">
        <v>45632</v>
      </c>
      <c r="R2617" s="62" t="s">
        <v>45633</v>
      </c>
      <c r="S2617" s="62" t="s">
        <v>45634</v>
      </c>
      <c r="U2617" s="62" t="s">
        <v>45635</v>
      </c>
      <c r="V2617" s="62" t="s">
        <v>48796</v>
      </c>
      <c r="W2617" s="62" t="s">
        <v>45636</v>
      </c>
      <c r="X2617" s="62" t="s">
        <v>45637</v>
      </c>
      <c r="Y2617" s="62" t="s">
        <v>45638</v>
      </c>
      <c r="Z2617" s="62" t="s">
        <v>45639</v>
      </c>
      <c r="AA2617" s="62" t="s">
        <v>48849</v>
      </c>
      <c r="AB2617" s="62" t="s">
        <v>45640</v>
      </c>
      <c r="AC2617" s="62" t="s">
        <v>45641</v>
      </c>
      <c r="AD2617" s="62" t="s">
        <v>45642</v>
      </c>
    </row>
    <row r="2618" spans="1:30" x14ac:dyDescent="0.25">
      <c r="A2618" s="62" t="s">
        <v>109</v>
      </c>
      <c r="C2618" s="62" t="s">
        <v>33613</v>
      </c>
      <c r="F2618" s="62" t="s">
        <v>13236</v>
      </c>
      <c r="G2618" s="62" t="s">
        <v>48638</v>
      </c>
      <c r="J2618" s="62" t="s">
        <v>33614</v>
      </c>
      <c r="K2618" s="62" t="s">
        <v>48691</v>
      </c>
      <c r="L2618" s="62" t="s">
        <v>33615</v>
      </c>
      <c r="M2618" s="62" t="s">
        <v>33616</v>
      </c>
      <c r="N2618" s="62" t="s">
        <v>33617</v>
      </c>
      <c r="O2618" s="62" t="s">
        <v>33618</v>
      </c>
      <c r="P2618" s="62" t="s">
        <v>48744</v>
      </c>
      <c r="Q2618" s="62" t="s">
        <v>33619</v>
      </c>
      <c r="R2618" s="62" t="s">
        <v>33620</v>
      </c>
      <c r="S2618" s="62" t="s">
        <v>33621</v>
      </c>
      <c r="U2618" s="62" t="s">
        <v>33622</v>
      </c>
      <c r="V2618" s="62" t="s">
        <v>48797</v>
      </c>
      <c r="W2618" s="62" t="s">
        <v>33623</v>
      </c>
      <c r="X2618" s="62" t="s">
        <v>33624</v>
      </c>
      <c r="Y2618" s="62" t="s">
        <v>33625</v>
      </c>
      <c r="Z2618" s="62" t="s">
        <v>33626</v>
      </c>
      <c r="AA2618" s="62" t="s">
        <v>48850</v>
      </c>
      <c r="AB2618" s="62" t="s">
        <v>33627</v>
      </c>
      <c r="AC2618" s="62" t="s">
        <v>33628</v>
      </c>
      <c r="AD2618" s="62" t="s">
        <v>33629</v>
      </c>
    </row>
    <row r="2619" spans="1:30" x14ac:dyDescent="0.25">
      <c r="A2619" s="62" t="s">
        <v>109</v>
      </c>
      <c r="C2619" s="62" t="s">
        <v>33630</v>
      </c>
      <c r="F2619" s="62" t="s">
        <v>10847</v>
      </c>
      <c r="G2619" s="62" t="s">
        <v>48639</v>
      </c>
      <c r="J2619" s="62" t="s">
        <v>33631</v>
      </c>
      <c r="K2619" s="62" t="s">
        <v>48692</v>
      </c>
      <c r="L2619" s="62" t="s">
        <v>33632</v>
      </c>
      <c r="M2619" s="62" t="s">
        <v>33633</v>
      </c>
      <c r="N2619" s="62" t="s">
        <v>33634</v>
      </c>
      <c r="O2619" s="62" t="s">
        <v>33635</v>
      </c>
      <c r="P2619" s="62" t="s">
        <v>48745</v>
      </c>
      <c r="Q2619" s="62" t="s">
        <v>33636</v>
      </c>
      <c r="R2619" s="62" t="s">
        <v>33637</v>
      </c>
      <c r="S2619" s="62" t="s">
        <v>33638</v>
      </c>
      <c r="U2619" s="62" t="s">
        <v>33639</v>
      </c>
      <c r="V2619" s="62" t="s">
        <v>48798</v>
      </c>
      <c r="W2619" s="62" t="s">
        <v>33640</v>
      </c>
      <c r="X2619" s="62" t="s">
        <v>33641</v>
      </c>
      <c r="Y2619" s="62" t="s">
        <v>33642</v>
      </c>
      <c r="Z2619" s="62" t="s">
        <v>33643</v>
      </c>
      <c r="AA2619" s="62" t="s">
        <v>48851</v>
      </c>
      <c r="AB2619" s="62" t="s">
        <v>33644</v>
      </c>
      <c r="AC2619" s="62" t="s">
        <v>33645</v>
      </c>
      <c r="AD2619" s="62" t="s">
        <v>33646</v>
      </c>
    </row>
    <row r="2620" spans="1:30" x14ac:dyDescent="0.25">
      <c r="A2620" s="62" t="s">
        <v>109</v>
      </c>
      <c r="C2620" s="62" t="s">
        <v>33647</v>
      </c>
      <c r="F2620" s="62" t="s">
        <v>13238</v>
      </c>
      <c r="G2620" s="62" t="s">
        <v>48640</v>
      </c>
      <c r="J2620" s="62" t="s">
        <v>33648</v>
      </c>
      <c r="K2620" s="62" t="s">
        <v>48693</v>
      </c>
      <c r="L2620" s="62" t="s">
        <v>33649</v>
      </c>
      <c r="M2620" s="62" t="s">
        <v>33650</v>
      </c>
      <c r="N2620" s="62" t="s">
        <v>33651</v>
      </c>
      <c r="O2620" s="62" t="s">
        <v>33652</v>
      </c>
      <c r="P2620" s="62" t="s">
        <v>48746</v>
      </c>
      <c r="Q2620" s="62" t="s">
        <v>33653</v>
      </c>
      <c r="R2620" s="62" t="s">
        <v>33654</v>
      </c>
      <c r="S2620" s="62" t="s">
        <v>33655</v>
      </c>
      <c r="U2620" s="62" t="s">
        <v>33656</v>
      </c>
      <c r="V2620" s="62" t="s">
        <v>48799</v>
      </c>
      <c r="W2620" s="62" t="s">
        <v>33657</v>
      </c>
      <c r="X2620" s="62" t="s">
        <v>33658</v>
      </c>
      <c r="Y2620" s="62" t="s">
        <v>33659</v>
      </c>
      <c r="Z2620" s="62" t="s">
        <v>33660</v>
      </c>
      <c r="AA2620" s="62" t="s">
        <v>48852</v>
      </c>
      <c r="AB2620" s="62" t="s">
        <v>33661</v>
      </c>
      <c r="AC2620" s="62" t="s">
        <v>33662</v>
      </c>
      <c r="AD2620" s="62" t="s">
        <v>33663</v>
      </c>
    </row>
    <row r="2621" spans="1:30" x14ac:dyDescent="0.25">
      <c r="A2621" s="62" t="s">
        <v>109</v>
      </c>
      <c r="C2621" s="62" t="s">
        <v>33664</v>
      </c>
      <c r="F2621" s="62" t="s">
        <v>1152</v>
      </c>
      <c r="G2621" s="62" t="s">
        <v>48641</v>
      </c>
      <c r="J2621" s="62" t="s">
        <v>33665</v>
      </c>
      <c r="K2621" s="62" t="s">
        <v>48694</v>
      </c>
      <c r="L2621" s="62" t="s">
        <v>33666</v>
      </c>
      <c r="M2621" s="62" t="s">
        <v>33667</v>
      </c>
      <c r="N2621" s="62" t="s">
        <v>33668</v>
      </c>
      <c r="O2621" s="62" t="s">
        <v>33669</v>
      </c>
      <c r="P2621" s="62" t="s">
        <v>48747</v>
      </c>
      <c r="Q2621" s="62" t="s">
        <v>33670</v>
      </c>
      <c r="R2621" s="62" t="s">
        <v>33671</v>
      </c>
      <c r="S2621" s="62" t="s">
        <v>33672</v>
      </c>
      <c r="U2621" s="62" t="s">
        <v>33673</v>
      </c>
      <c r="V2621" s="62" t="s">
        <v>48800</v>
      </c>
      <c r="W2621" s="62" t="s">
        <v>33674</v>
      </c>
      <c r="X2621" s="62" t="s">
        <v>33675</v>
      </c>
      <c r="Y2621" s="62" t="s">
        <v>33676</v>
      </c>
      <c r="Z2621" s="62" t="s">
        <v>33677</v>
      </c>
      <c r="AA2621" s="62" t="s">
        <v>48853</v>
      </c>
      <c r="AB2621" s="62" t="s">
        <v>33678</v>
      </c>
      <c r="AC2621" s="62" t="s">
        <v>33679</v>
      </c>
      <c r="AD2621" s="62" t="s">
        <v>33680</v>
      </c>
    </row>
    <row r="2622" spans="1:30" x14ac:dyDescent="0.25">
      <c r="A2622" s="62" t="s">
        <v>109</v>
      </c>
      <c r="C2622" s="62" t="s">
        <v>33681</v>
      </c>
      <c r="F2622" s="62" t="s">
        <v>1286</v>
      </c>
      <c r="G2622" s="62" t="s">
        <v>48642</v>
      </c>
      <c r="J2622" s="62" t="s">
        <v>33682</v>
      </c>
      <c r="K2622" s="62" t="s">
        <v>48695</v>
      </c>
      <c r="L2622" s="62" t="s">
        <v>33683</v>
      </c>
      <c r="M2622" s="62" t="s">
        <v>33684</v>
      </c>
      <c r="N2622" s="62" t="s">
        <v>33685</v>
      </c>
      <c r="O2622" s="62" t="s">
        <v>33686</v>
      </c>
      <c r="P2622" s="62" t="s">
        <v>48748</v>
      </c>
      <c r="Q2622" s="62" t="s">
        <v>33687</v>
      </c>
      <c r="R2622" s="62" t="s">
        <v>33688</v>
      </c>
      <c r="S2622" s="62" t="s">
        <v>33689</v>
      </c>
      <c r="U2622" s="62" t="s">
        <v>33690</v>
      </c>
      <c r="V2622" s="62" t="s">
        <v>48801</v>
      </c>
      <c r="W2622" s="62" t="s">
        <v>33691</v>
      </c>
      <c r="X2622" s="62" t="s">
        <v>33692</v>
      </c>
      <c r="Y2622" s="62" t="s">
        <v>33693</v>
      </c>
      <c r="Z2622" s="62" t="s">
        <v>33694</v>
      </c>
      <c r="AA2622" s="62" t="s">
        <v>48854</v>
      </c>
      <c r="AB2622" s="62" t="s">
        <v>33695</v>
      </c>
      <c r="AC2622" s="62" t="s">
        <v>33696</v>
      </c>
      <c r="AD2622" s="62" t="s">
        <v>33697</v>
      </c>
    </row>
    <row r="2623" spans="1:30" x14ac:dyDescent="0.25">
      <c r="A2623" s="62" t="s">
        <v>109</v>
      </c>
      <c r="C2623" s="62" t="s">
        <v>33698</v>
      </c>
      <c r="F2623" s="62" t="s">
        <v>1289</v>
      </c>
      <c r="G2623" s="62" t="s">
        <v>48643</v>
      </c>
      <c r="J2623" s="62" t="s">
        <v>33699</v>
      </c>
      <c r="K2623" s="62" t="s">
        <v>48696</v>
      </c>
      <c r="L2623" s="62" t="s">
        <v>33700</v>
      </c>
      <c r="M2623" s="62" t="s">
        <v>33701</v>
      </c>
      <c r="N2623" s="62" t="s">
        <v>33702</v>
      </c>
      <c r="O2623" s="62" t="s">
        <v>33703</v>
      </c>
      <c r="P2623" s="62" t="s">
        <v>48749</v>
      </c>
      <c r="Q2623" s="62" t="s">
        <v>33704</v>
      </c>
      <c r="R2623" s="62" t="s">
        <v>33705</v>
      </c>
      <c r="S2623" s="62" t="s">
        <v>33706</v>
      </c>
      <c r="U2623" s="62" t="s">
        <v>33707</v>
      </c>
      <c r="V2623" s="62" t="s">
        <v>48802</v>
      </c>
      <c r="W2623" s="62" t="s">
        <v>33708</v>
      </c>
      <c r="X2623" s="62" t="s">
        <v>33709</v>
      </c>
      <c r="Y2623" s="62" t="s">
        <v>33710</v>
      </c>
      <c r="Z2623" s="62" t="s">
        <v>33711</v>
      </c>
      <c r="AA2623" s="62" t="s">
        <v>48855</v>
      </c>
      <c r="AB2623" s="62" t="s">
        <v>33712</v>
      </c>
      <c r="AC2623" s="62" t="s">
        <v>33713</v>
      </c>
      <c r="AD2623" s="62" t="s">
        <v>33714</v>
      </c>
    </row>
    <row r="2624" spans="1:30" x14ac:dyDescent="0.25">
      <c r="A2624" s="62" t="s">
        <v>109</v>
      </c>
      <c r="C2624" s="62" t="s">
        <v>33715</v>
      </c>
      <c r="F2624" s="62" t="s">
        <v>1797</v>
      </c>
      <c r="G2624" s="62" t="s">
        <v>48644</v>
      </c>
      <c r="J2624" s="62" t="s">
        <v>33716</v>
      </c>
      <c r="K2624" s="62" t="s">
        <v>48697</v>
      </c>
      <c r="L2624" s="62" t="s">
        <v>33717</v>
      </c>
      <c r="M2624" s="62" t="s">
        <v>33718</v>
      </c>
      <c r="N2624" s="62" t="s">
        <v>33719</v>
      </c>
      <c r="O2624" s="62" t="s">
        <v>33720</v>
      </c>
      <c r="P2624" s="62" t="s">
        <v>48750</v>
      </c>
      <c r="Q2624" s="62" t="s">
        <v>33721</v>
      </c>
      <c r="R2624" s="62" t="s">
        <v>33722</v>
      </c>
      <c r="S2624" s="62" t="s">
        <v>33723</v>
      </c>
      <c r="U2624" s="62" t="s">
        <v>33724</v>
      </c>
      <c r="V2624" s="62" t="s">
        <v>48803</v>
      </c>
      <c r="W2624" s="62" t="s">
        <v>33725</v>
      </c>
      <c r="X2624" s="62" t="s">
        <v>33726</v>
      </c>
      <c r="Y2624" s="62" t="s">
        <v>33727</v>
      </c>
      <c r="Z2624" s="62" t="s">
        <v>33728</v>
      </c>
      <c r="AA2624" s="62" t="s">
        <v>48856</v>
      </c>
      <c r="AB2624" s="62" t="s">
        <v>33729</v>
      </c>
      <c r="AC2624" s="62" t="s">
        <v>33730</v>
      </c>
      <c r="AD2624" s="62" t="s">
        <v>33731</v>
      </c>
    </row>
    <row r="2625" spans="1:30" x14ac:dyDescent="0.25">
      <c r="A2625" s="62" t="s">
        <v>109</v>
      </c>
      <c r="C2625" s="62" t="s">
        <v>33732</v>
      </c>
      <c r="F2625" s="62" t="s">
        <v>10925</v>
      </c>
      <c r="G2625" s="62" t="s">
        <v>48645</v>
      </c>
      <c r="J2625" s="62" t="s">
        <v>33733</v>
      </c>
      <c r="K2625" s="62" t="s">
        <v>48698</v>
      </c>
      <c r="L2625" s="62" t="s">
        <v>33734</v>
      </c>
      <c r="M2625" s="62" t="s">
        <v>33735</v>
      </c>
      <c r="N2625" s="62" t="s">
        <v>33736</v>
      </c>
      <c r="O2625" s="62" t="s">
        <v>33737</v>
      </c>
      <c r="P2625" s="62" t="s">
        <v>48751</v>
      </c>
      <c r="Q2625" s="62" t="s">
        <v>33738</v>
      </c>
      <c r="R2625" s="62" t="s">
        <v>33739</v>
      </c>
      <c r="S2625" s="62" t="s">
        <v>33740</v>
      </c>
      <c r="U2625" s="62" t="s">
        <v>33741</v>
      </c>
      <c r="V2625" s="62" t="s">
        <v>48804</v>
      </c>
      <c r="W2625" s="62" t="s">
        <v>33742</v>
      </c>
      <c r="X2625" s="62" t="s">
        <v>33743</v>
      </c>
      <c r="Y2625" s="62" t="s">
        <v>33744</v>
      </c>
      <c r="Z2625" s="62" t="s">
        <v>33745</v>
      </c>
      <c r="AA2625" s="62" t="s">
        <v>48857</v>
      </c>
      <c r="AB2625" s="62" t="s">
        <v>33746</v>
      </c>
      <c r="AC2625" s="62" t="s">
        <v>33747</v>
      </c>
      <c r="AD2625" s="62" t="s">
        <v>33748</v>
      </c>
    </row>
    <row r="2626" spans="1:30" x14ac:dyDescent="0.25">
      <c r="A2626" s="62" t="s">
        <v>109</v>
      </c>
      <c r="C2626" s="62" t="s">
        <v>33749</v>
      </c>
      <c r="F2626" s="62" t="s">
        <v>10927</v>
      </c>
      <c r="G2626" s="62" t="s">
        <v>48646</v>
      </c>
      <c r="J2626" s="62" t="s">
        <v>33750</v>
      </c>
      <c r="K2626" s="62" t="s">
        <v>48699</v>
      </c>
      <c r="L2626" s="62" t="s">
        <v>33751</v>
      </c>
      <c r="M2626" s="62" t="s">
        <v>33752</v>
      </c>
      <c r="N2626" s="62" t="s">
        <v>33753</v>
      </c>
      <c r="O2626" s="62" t="s">
        <v>33754</v>
      </c>
      <c r="P2626" s="62" t="s">
        <v>48752</v>
      </c>
      <c r="Q2626" s="62" t="s">
        <v>33755</v>
      </c>
      <c r="R2626" s="62" t="s">
        <v>33756</v>
      </c>
      <c r="S2626" s="62" t="s">
        <v>33757</v>
      </c>
      <c r="U2626" s="62" t="s">
        <v>33758</v>
      </c>
      <c r="V2626" s="62" t="s">
        <v>48805</v>
      </c>
      <c r="W2626" s="62" t="s">
        <v>33759</v>
      </c>
      <c r="X2626" s="62" t="s">
        <v>33760</v>
      </c>
      <c r="Y2626" s="62" t="s">
        <v>33761</v>
      </c>
      <c r="Z2626" s="62" t="s">
        <v>33762</v>
      </c>
      <c r="AA2626" s="62" t="s">
        <v>48858</v>
      </c>
      <c r="AB2626" s="62" t="s">
        <v>33763</v>
      </c>
      <c r="AC2626" s="62" t="s">
        <v>33764</v>
      </c>
      <c r="AD2626" s="62" t="s">
        <v>33765</v>
      </c>
    </row>
    <row r="2627" spans="1:30" x14ac:dyDescent="0.25">
      <c r="A2627" s="62" t="s">
        <v>109</v>
      </c>
      <c r="C2627" s="62" t="s">
        <v>33766</v>
      </c>
      <c r="F2627" s="62" t="s">
        <v>10929</v>
      </c>
      <c r="G2627" s="62" t="s">
        <v>48647</v>
      </c>
      <c r="J2627" s="62" t="s">
        <v>33767</v>
      </c>
      <c r="K2627" s="62" t="s">
        <v>48700</v>
      </c>
      <c r="L2627" s="62" t="s">
        <v>33768</v>
      </c>
      <c r="M2627" s="62" t="s">
        <v>33769</v>
      </c>
      <c r="N2627" s="62" t="s">
        <v>33770</v>
      </c>
      <c r="O2627" s="62" t="s">
        <v>33771</v>
      </c>
      <c r="P2627" s="62" t="s">
        <v>48753</v>
      </c>
      <c r="Q2627" s="62" t="s">
        <v>33772</v>
      </c>
      <c r="R2627" s="62" t="s">
        <v>33773</v>
      </c>
      <c r="S2627" s="62" t="s">
        <v>33774</v>
      </c>
      <c r="U2627" s="62" t="s">
        <v>33775</v>
      </c>
      <c r="V2627" s="62" t="s">
        <v>48806</v>
      </c>
      <c r="W2627" s="62" t="s">
        <v>33776</v>
      </c>
      <c r="X2627" s="62" t="s">
        <v>33777</v>
      </c>
      <c r="Y2627" s="62" t="s">
        <v>33778</v>
      </c>
      <c r="Z2627" s="62" t="s">
        <v>33779</v>
      </c>
      <c r="AA2627" s="62" t="s">
        <v>48859</v>
      </c>
      <c r="AB2627" s="62" t="s">
        <v>33780</v>
      </c>
      <c r="AC2627" s="62" t="s">
        <v>33781</v>
      </c>
      <c r="AD2627" s="62" t="s">
        <v>33782</v>
      </c>
    </row>
    <row r="2628" spans="1:30" x14ac:dyDescent="0.25">
      <c r="A2628" s="62" t="s">
        <v>109</v>
      </c>
      <c r="C2628" s="62" t="s">
        <v>33783</v>
      </c>
      <c r="F2628" s="62" t="s">
        <v>31043</v>
      </c>
      <c r="G2628" s="62" t="s">
        <v>48648</v>
      </c>
      <c r="J2628" s="62" t="s">
        <v>33784</v>
      </c>
      <c r="K2628" s="62" t="s">
        <v>48701</v>
      </c>
      <c r="L2628" s="62" t="s">
        <v>33785</v>
      </c>
      <c r="M2628" s="62" t="s">
        <v>33786</v>
      </c>
      <c r="N2628" s="62" t="s">
        <v>33787</v>
      </c>
      <c r="O2628" s="62" t="s">
        <v>33788</v>
      </c>
      <c r="P2628" s="62" t="s">
        <v>48754</v>
      </c>
      <c r="Q2628" s="62" t="s">
        <v>33789</v>
      </c>
      <c r="R2628" s="62" t="s">
        <v>33790</v>
      </c>
      <c r="S2628" s="62" t="s">
        <v>33791</v>
      </c>
      <c r="U2628" s="62" t="s">
        <v>33792</v>
      </c>
      <c r="V2628" s="62" t="s">
        <v>48807</v>
      </c>
      <c r="W2628" s="62" t="s">
        <v>33793</v>
      </c>
      <c r="X2628" s="62" t="s">
        <v>33794</v>
      </c>
      <c r="Y2628" s="62" t="s">
        <v>33795</v>
      </c>
      <c r="Z2628" s="62" t="s">
        <v>33796</v>
      </c>
      <c r="AA2628" s="62" t="s">
        <v>48860</v>
      </c>
      <c r="AB2628" s="62" t="s">
        <v>33797</v>
      </c>
      <c r="AC2628" s="62" t="s">
        <v>33798</v>
      </c>
      <c r="AD2628" s="62" t="s">
        <v>33799</v>
      </c>
    </row>
    <row r="2629" spans="1:30" x14ac:dyDescent="0.25">
      <c r="A2629" s="62" t="s">
        <v>109</v>
      </c>
      <c r="C2629" s="62" t="s">
        <v>33800</v>
      </c>
      <c r="F2629" s="62" t="s">
        <v>24015</v>
      </c>
      <c r="G2629" s="62" t="s">
        <v>48649</v>
      </c>
      <c r="J2629" s="62" t="s">
        <v>33801</v>
      </c>
      <c r="K2629" s="62" t="s">
        <v>48702</v>
      </c>
      <c r="L2629" s="62" t="s">
        <v>33802</v>
      </c>
      <c r="M2629" s="62" t="s">
        <v>33803</v>
      </c>
      <c r="N2629" s="62" t="s">
        <v>33804</v>
      </c>
      <c r="O2629" s="62" t="s">
        <v>33805</v>
      </c>
      <c r="P2629" s="62" t="s">
        <v>48755</v>
      </c>
      <c r="Q2629" s="62" t="s">
        <v>33806</v>
      </c>
      <c r="R2629" s="62" t="s">
        <v>33807</v>
      </c>
      <c r="S2629" s="62" t="s">
        <v>33808</v>
      </c>
      <c r="U2629" s="62" t="s">
        <v>33809</v>
      </c>
      <c r="V2629" s="62" t="s">
        <v>48808</v>
      </c>
      <c r="W2629" s="62" t="s">
        <v>33810</v>
      </c>
      <c r="X2629" s="62" t="s">
        <v>33811</v>
      </c>
      <c r="Y2629" s="62" t="s">
        <v>33812</v>
      </c>
      <c r="Z2629" s="62" t="s">
        <v>33813</v>
      </c>
      <c r="AA2629" s="62" t="s">
        <v>48861</v>
      </c>
      <c r="AB2629" s="62" t="s">
        <v>33814</v>
      </c>
      <c r="AC2629" s="62" t="s">
        <v>33815</v>
      </c>
      <c r="AD2629" s="62" t="s">
        <v>33816</v>
      </c>
    </row>
    <row r="2630" spans="1:30" x14ac:dyDescent="0.25">
      <c r="A2630" s="62" t="s">
        <v>109</v>
      </c>
      <c r="C2630" s="62" t="s">
        <v>33817</v>
      </c>
      <c r="F2630" s="62" t="s">
        <v>26699</v>
      </c>
      <c r="G2630" s="62" t="s">
        <v>48650</v>
      </c>
      <c r="J2630" s="62" t="s">
        <v>33818</v>
      </c>
      <c r="K2630" s="62" t="s">
        <v>48703</v>
      </c>
      <c r="L2630" s="62" t="s">
        <v>33819</v>
      </c>
      <c r="M2630" s="62" t="s">
        <v>33820</v>
      </c>
      <c r="N2630" s="62" t="s">
        <v>33821</v>
      </c>
      <c r="O2630" s="62" t="s">
        <v>33822</v>
      </c>
      <c r="P2630" s="62" t="s">
        <v>48756</v>
      </c>
      <c r="Q2630" s="62" t="s">
        <v>33823</v>
      </c>
      <c r="R2630" s="62" t="s">
        <v>33824</v>
      </c>
      <c r="S2630" s="62" t="s">
        <v>33825</v>
      </c>
      <c r="U2630" s="62" t="s">
        <v>33826</v>
      </c>
      <c r="V2630" s="62" t="s">
        <v>48809</v>
      </c>
      <c r="W2630" s="62" t="s">
        <v>33827</v>
      </c>
      <c r="X2630" s="62" t="s">
        <v>33828</v>
      </c>
      <c r="Y2630" s="62" t="s">
        <v>33829</v>
      </c>
      <c r="Z2630" s="62" t="s">
        <v>33830</v>
      </c>
      <c r="AA2630" s="62" t="s">
        <v>48862</v>
      </c>
      <c r="AB2630" s="62" t="s">
        <v>33831</v>
      </c>
      <c r="AC2630" s="62" t="s">
        <v>33832</v>
      </c>
      <c r="AD2630" s="62" t="s">
        <v>33833</v>
      </c>
    </row>
    <row r="2631" spans="1:30" x14ac:dyDescent="0.25">
      <c r="A2631" s="62" t="s">
        <v>109</v>
      </c>
      <c r="C2631" s="62" t="s">
        <v>33834</v>
      </c>
      <c r="F2631" s="62" t="s">
        <v>22253</v>
      </c>
      <c r="G2631" s="62" t="s">
        <v>48651</v>
      </c>
      <c r="J2631" s="62" t="s">
        <v>33835</v>
      </c>
      <c r="K2631" s="62" t="s">
        <v>48704</v>
      </c>
      <c r="L2631" s="62" t="s">
        <v>33836</v>
      </c>
      <c r="M2631" s="62" t="s">
        <v>33837</v>
      </c>
      <c r="N2631" s="62" t="s">
        <v>33838</v>
      </c>
      <c r="O2631" s="62" t="s">
        <v>33839</v>
      </c>
      <c r="P2631" s="62" t="s">
        <v>48757</v>
      </c>
      <c r="Q2631" s="62" t="s">
        <v>33840</v>
      </c>
      <c r="R2631" s="62" t="s">
        <v>33841</v>
      </c>
      <c r="S2631" s="62" t="s">
        <v>33842</v>
      </c>
      <c r="U2631" s="62" t="s">
        <v>33843</v>
      </c>
      <c r="V2631" s="62" t="s">
        <v>48810</v>
      </c>
      <c r="W2631" s="62" t="s">
        <v>33844</v>
      </c>
      <c r="X2631" s="62" t="s">
        <v>33845</v>
      </c>
      <c r="Y2631" s="62" t="s">
        <v>33846</v>
      </c>
      <c r="Z2631" s="62" t="s">
        <v>33847</v>
      </c>
      <c r="AA2631" s="62" t="s">
        <v>48863</v>
      </c>
      <c r="AB2631" s="62" t="s">
        <v>33848</v>
      </c>
      <c r="AC2631" s="62" t="s">
        <v>33849</v>
      </c>
      <c r="AD2631" s="62" t="s">
        <v>33850</v>
      </c>
    </row>
    <row r="2632" spans="1:30" x14ac:dyDescent="0.25">
      <c r="A2632" s="62" t="s">
        <v>109</v>
      </c>
      <c r="C2632" s="62" t="s">
        <v>33851</v>
      </c>
      <c r="F2632" s="62" t="s">
        <v>24051</v>
      </c>
      <c r="G2632" s="62" t="s">
        <v>48652</v>
      </c>
      <c r="J2632" s="62" t="s">
        <v>33852</v>
      </c>
      <c r="K2632" s="62" t="s">
        <v>48705</v>
      </c>
      <c r="L2632" s="62" t="s">
        <v>33853</v>
      </c>
      <c r="M2632" s="62" t="s">
        <v>33854</v>
      </c>
      <c r="N2632" s="62" t="s">
        <v>33855</v>
      </c>
      <c r="O2632" s="62" t="s">
        <v>33856</v>
      </c>
      <c r="P2632" s="62" t="s">
        <v>48758</v>
      </c>
      <c r="Q2632" s="62" t="s">
        <v>33857</v>
      </c>
      <c r="R2632" s="62" t="s">
        <v>33858</v>
      </c>
      <c r="S2632" s="62" t="s">
        <v>33859</v>
      </c>
      <c r="U2632" s="62" t="s">
        <v>33860</v>
      </c>
      <c r="V2632" s="62" t="s">
        <v>48811</v>
      </c>
      <c r="W2632" s="62" t="s">
        <v>33861</v>
      </c>
      <c r="X2632" s="62" t="s">
        <v>33862</v>
      </c>
      <c r="Y2632" s="62" t="s">
        <v>33863</v>
      </c>
      <c r="Z2632" s="62" t="s">
        <v>33864</v>
      </c>
      <c r="AA2632" s="62" t="s">
        <v>48864</v>
      </c>
      <c r="AB2632" s="62" t="s">
        <v>33865</v>
      </c>
      <c r="AC2632" s="62" t="s">
        <v>33866</v>
      </c>
      <c r="AD2632" s="62" t="s">
        <v>33867</v>
      </c>
    </row>
    <row r="2633" spans="1:30" x14ac:dyDescent="0.25">
      <c r="A2633" s="62" t="s">
        <v>109</v>
      </c>
      <c r="C2633" s="62" t="s">
        <v>33868</v>
      </c>
      <c r="F2633" s="62" t="s">
        <v>22271</v>
      </c>
      <c r="G2633" s="62" t="s">
        <v>48653</v>
      </c>
      <c r="J2633" s="62" t="s">
        <v>33869</v>
      </c>
      <c r="K2633" s="62" t="s">
        <v>48706</v>
      </c>
      <c r="L2633" s="62" t="s">
        <v>33870</v>
      </c>
      <c r="M2633" s="62" t="s">
        <v>33871</v>
      </c>
      <c r="N2633" s="62" t="s">
        <v>33872</v>
      </c>
      <c r="O2633" s="62" t="s">
        <v>33873</v>
      </c>
      <c r="P2633" s="62" t="s">
        <v>48759</v>
      </c>
      <c r="Q2633" s="62" t="s">
        <v>33874</v>
      </c>
      <c r="R2633" s="62" t="s">
        <v>33875</v>
      </c>
      <c r="S2633" s="62" t="s">
        <v>33876</v>
      </c>
      <c r="U2633" s="62" t="s">
        <v>33877</v>
      </c>
      <c r="V2633" s="62" t="s">
        <v>48812</v>
      </c>
      <c r="W2633" s="62" t="s">
        <v>33878</v>
      </c>
      <c r="X2633" s="62" t="s">
        <v>33879</v>
      </c>
      <c r="Y2633" s="62" t="s">
        <v>33880</v>
      </c>
      <c r="Z2633" s="62" t="s">
        <v>33881</v>
      </c>
      <c r="AA2633" s="62" t="s">
        <v>48865</v>
      </c>
      <c r="AB2633" s="62" t="s">
        <v>33882</v>
      </c>
      <c r="AC2633" s="62" t="s">
        <v>33883</v>
      </c>
      <c r="AD2633" s="62" t="s">
        <v>33884</v>
      </c>
    </row>
    <row r="2634" spans="1:30" x14ac:dyDescent="0.25">
      <c r="A2634" s="62" t="s">
        <v>109</v>
      </c>
      <c r="C2634" s="62" t="s">
        <v>33885</v>
      </c>
      <c r="F2634" s="62" t="s">
        <v>10981</v>
      </c>
      <c r="G2634" s="62" t="s">
        <v>48654</v>
      </c>
      <c r="J2634" s="62" t="s">
        <v>33886</v>
      </c>
      <c r="K2634" s="62" t="s">
        <v>48707</v>
      </c>
      <c r="L2634" s="62" t="s">
        <v>33887</v>
      </c>
      <c r="M2634" s="62" t="s">
        <v>33888</v>
      </c>
      <c r="N2634" s="62" t="s">
        <v>33889</v>
      </c>
      <c r="O2634" s="62" t="s">
        <v>33890</v>
      </c>
      <c r="P2634" s="62" t="s">
        <v>48760</v>
      </c>
      <c r="Q2634" s="62" t="s">
        <v>33891</v>
      </c>
      <c r="R2634" s="62" t="s">
        <v>33892</v>
      </c>
      <c r="S2634" s="62" t="s">
        <v>33893</v>
      </c>
      <c r="U2634" s="62" t="s">
        <v>33894</v>
      </c>
      <c r="V2634" s="62" t="s">
        <v>48813</v>
      </c>
      <c r="W2634" s="62" t="s">
        <v>33895</v>
      </c>
      <c r="X2634" s="62" t="s">
        <v>33896</v>
      </c>
      <c r="Y2634" s="62" t="s">
        <v>33897</v>
      </c>
      <c r="Z2634" s="62" t="s">
        <v>33898</v>
      </c>
      <c r="AA2634" s="62" t="s">
        <v>48866</v>
      </c>
      <c r="AB2634" s="62" t="s">
        <v>33899</v>
      </c>
      <c r="AC2634" s="62" t="s">
        <v>33900</v>
      </c>
      <c r="AD2634" s="62" t="s">
        <v>33901</v>
      </c>
    </row>
    <row r="2635" spans="1:30" x14ac:dyDescent="0.25">
      <c r="A2635" s="62" t="s">
        <v>109</v>
      </c>
      <c r="C2635" s="62" t="s">
        <v>33092</v>
      </c>
    </row>
    <row r="2636" spans="1:30" x14ac:dyDescent="0.25">
      <c r="A2636" s="62" t="s">
        <v>109</v>
      </c>
      <c r="C2636" s="62" t="s">
        <v>33902</v>
      </c>
      <c r="G2636" s="62" t="s">
        <v>45643</v>
      </c>
      <c r="J2636" s="62" t="s">
        <v>45644</v>
      </c>
      <c r="K2636" s="62" t="s">
        <v>45645</v>
      </c>
      <c r="L2636" s="62" t="s">
        <v>45646</v>
      </c>
      <c r="M2636" s="62" t="s">
        <v>33903</v>
      </c>
      <c r="N2636" s="62" t="s">
        <v>33904</v>
      </c>
      <c r="O2636" s="62" t="s">
        <v>45647</v>
      </c>
      <c r="P2636" s="62" t="s">
        <v>45648</v>
      </c>
      <c r="Q2636" s="62" t="s">
        <v>45649</v>
      </c>
      <c r="R2636" s="62" t="s">
        <v>33905</v>
      </c>
      <c r="S2636" s="62" t="s">
        <v>33906</v>
      </c>
      <c r="U2636" s="62" t="s">
        <v>45650</v>
      </c>
      <c r="V2636" s="62" t="s">
        <v>45651</v>
      </c>
      <c r="W2636" s="62" t="s">
        <v>45652</v>
      </c>
      <c r="X2636" s="62" t="s">
        <v>33907</v>
      </c>
      <c r="Y2636" s="62" t="s">
        <v>33908</v>
      </c>
      <c r="Z2636" s="62" t="s">
        <v>45653</v>
      </c>
      <c r="AA2636" s="62" t="s">
        <v>45654</v>
      </c>
      <c r="AB2636" s="62" t="s">
        <v>45655</v>
      </c>
      <c r="AC2636" s="62" t="s">
        <v>33909</v>
      </c>
      <c r="AD2636" s="62" t="s">
        <v>33910</v>
      </c>
    </row>
    <row r="2637" spans="1:30" x14ac:dyDescent="0.25">
      <c r="A2637" s="62" t="s">
        <v>109</v>
      </c>
    </row>
    <row r="2638" spans="1:30" x14ac:dyDescent="0.25">
      <c r="A2638" s="62" t="s">
        <v>109</v>
      </c>
      <c r="C2638" s="62" t="s">
        <v>45656</v>
      </c>
      <c r="E2638" s="62" t="s">
        <v>549</v>
      </c>
      <c r="G2638" s="62" t="s">
        <v>45657</v>
      </c>
    </row>
    <row r="2639" spans="1:30" x14ac:dyDescent="0.25">
      <c r="A2639" s="62" t="s">
        <v>109</v>
      </c>
      <c r="C2639" s="62" t="s">
        <v>33911</v>
      </c>
    </row>
    <row r="2640" spans="1:30" x14ac:dyDescent="0.25">
      <c r="A2640" s="62" t="s">
        <v>109</v>
      </c>
      <c r="C2640" s="62" t="s">
        <v>33912</v>
      </c>
      <c r="F2640" s="62" t="s">
        <v>45658</v>
      </c>
      <c r="G2640" s="62" t="s">
        <v>48412</v>
      </c>
      <c r="J2640" s="62" t="s">
        <v>33913</v>
      </c>
      <c r="K2640" s="62" t="s">
        <v>48450</v>
      </c>
      <c r="L2640" s="62" t="s">
        <v>33914</v>
      </c>
      <c r="M2640" s="62" t="s">
        <v>33915</v>
      </c>
      <c r="N2640" s="62" t="s">
        <v>33916</v>
      </c>
      <c r="O2640" s="62" t="s">
        <v>33917</v>
      </c>
      <c r="P2640" s="62" t="s">
        <v>48488</v>
      </c>
      <c r="Q2640" s="62" t="s">
        <v>33918</v>
      </c>
      <c r="R2640" s="62" t="s">
        <v>33919</v>
      </c>
      <c r="S2640" s="62" t="s">
        <v>33920</v>
      </c>
      <c r="U2640" s="62" t="s">
        <v>33921</v>
      </c>
      <c r="V2640" s="62" t="s">
        <v>48526</v>
      </c>
      <c r="W2640" s="62" t="s">
        <v>33922</v>
      </c>
      <c r="X2640" s="62" t="s">
        <v>33923</v>
      </c>
      <c r="Y2640" s="62" t="s">
        <v>33924</v>
      </c>
      <c r="Z2640" s="62" t="s">
        <v>33925</v>
      </c>
      <c r="AA2640" s="62" t="s">
        <v>48564</v>
      </c>
      <c r="AB2640" s="62" t="s">
        <v>33926</v>
      </c>
      <c r="AC2640" s="62" t="s">
        <v>33927</v>
      </c>
      <c r="AD2640" s="62" t="s">
        <v>33928</v>
      </c>
    </row>
    <row r="2641" spans="1:30" x14ac:dyDescent="0.25">
      <c r="A2641" s="62" t="s">
        <v>109</v>
      </c>
      <c r="C2641" s="62" t="s">
        <v>33929</v>
      </c>
      <c r="F2641" s="62" t="s">
        <v>731</v>
      </c>
      <c r="G2641" s="62" t="s">
        <v>48413</v>
      </c>
      <c r="J2641" s="62" t="s">
        <v>33930</v>
      </c>
      <c r="K2641" s="62" t="s">
        <v>48451</v>
      </c>
      <c r="L2641" s="62" t="s">
        <v>33931</v>
      </c>
      <c r="M2641" s="62" t="s">
        <v>33932</v>
      </c>
      <c r="N2641" s="62" t="s">
        <v>33933</v>
      </c>
      <c r="O2641" s="62" t="s">
        <v>33934</v>
      </c>
      <c r="P2641" s="62" t="s">
        <v>48489</v>
      </c>
      <c r="Q2641" s="62" t="s">
        <v>33935</v>
      </c>
      <c r="R2641" s="62" t="s">
        <v>33936</v>
      </c>
      <c r="S2641" s="62" t="s">
        <v>33937</v>
      </c>
      <c r="U2641" s="62" t="s">
        <v>33938</v>
      </c>
      <c r="V2641" s="62" t="s">
        <v>48527</v>
      </c>
      <c r="W2641" s="62" t="s">
        <v>33939</v>
      </c>
      <c r="X2641" s="62" t="s">
        <v>33940</v>
      </c>
      <c r="Y2641" s="62" t="s">
        <v>33941</v>
      </c>
      <c r="Z2641" s="62" t="s">
        <v>33942</v>
      </c>
      <c r="AA2641" s="62" t="s">
        <v>48565</v>
      </c>
      <c r="AB2641" s="62" t="s">
        <v>33943</v>
      </c>
      <c r="AC2641" s="62" t="s">
        <v>33944</v>
      </c>
      <c r="AD2641" s="62" t="s">
        <v>33945</v>
      </c>
    </row>
    <row r="2642" spans="1:30" x14ac:dyDescent="0.25">
      <c r="A2642" s="62" t="s">
        <v>109</v>
      </c>
      <c r="C2642" s="62" t="s">
        <v>33946</v>
      </c>
      <c r="F2642" s="62" t="s">
        <v>758</v>
      </c>
      <c r="G2642" s="62" t="s">
        <v>48414</v>
      </c>
      <c r="J2642" s="62" t="s">
        <v>33947</v>
      </c>
      <c r="K2642" s="62" t="s">
        <v>48452</v>
      </c>
      <c r="L2642" s="62" t="s">
        <v>33948</v>
      </c>
      <c r="M2642" s="62" t="s">
        <v>33949</v>
      </c>
      <c r="N2642" s="62" t="s">
        <v>33950</v>
      </c>
      <c r="O2642" s="62" t="s">
        <v>33951</v>
      </c>
      <c r="P2642" s="62" t="s">
        <v>48490</v>
      </c>
      <c r="Q2642" s="62" t="s">
        <v>33952</v>
      </c>
      <c r="R2642" s="62" t="s">
        <v>33953</v>
      </c>
      <c r="S2642" s="62" t="s">
        <v>33954</v>
      </c>
      <c r="U2642" s="62" t="s">
        <v>33955</v>
      </c>
      <c r="V2642" s="62" t="s">
        <v>48528</v>
      </c>
      <c r="W2642" s="62" t="s">
        <v>33956</v>
      </c>
      <c r="X2642" s="62" t="s">
        <v>33957</v>
      </c>
      <c r="Y2642" s="62" t="s">
        <v>33958</v>
      </c>
      <c r="Z2642" s="62" t="s">
        <v>33959</v>
      </c>
      <c r="AA2642" s="62" t="s">
        <v>48566</v>
      </c>
      <c r="AB2642" s="62" t="s">
        <v>33960</v>
      </c>
      <c r="AC2642" s="62" t="s">
        <v>33961</v>
      </c>
      <c r="AD2642" s="62" t="s">
        <v>33962</v>
      </c>
    </row>
    <row r="2643" spans="1:30" x14ac:dyDescent="0.25">
      <c r="A2643" s="62" t="s">
        <v>109</v>
      </c>
      <c r="C2643" s="62" t="s">
        <v>33963</v>
      </c>
      <c r="F2643" s="62" t="s">
        <v>776</v>
      </c>
      <c r="G2643" s="62" t="s">
        <v>48415</v>
      </c>
      <c r="J2643" s="62" t="s">
        <v>33964</v>
      </c>
      <c r="K2643" s="62" t="s">
        <v>48453</v>
      </c>
      <c r="L2643" s="62" t="s">
        <v>33965</v>
      </c>
      <c r="M2643" s="62" t="s">
        <v>33966</v>
      </c>
      <c r="N2643" s="62" t="s">
        <v>33967</v>
      </c>
      <c r="O2643" s="62" t="s">
        <v>33968</v>
      </c>
      <c r="P2643" s="62" t="s">
        <v>48491</v>
      </c>
      <c r="Q2643" s="62" t="s">
        <v>33969</v>
      </c>
      <c r="R2643" s="62" t="s">
        <v>33970</v>
      </c>
      <c r="S2643" s="62" t="s">
        <v>33971</v>
      </c>
      <c r="U2643" s="62" t="s">
        <v>33972</v>
      </c>
      <c r="V2643" s="62" t="s">
        <v>48529</v>
      </c>
      <c r="W2643" s="62" t="s">
        <v>33973</v>
      </c>
      <c r="X2643" s="62" t="s">
        <v>33974</v>
      </c>
      <c r="Y2643" s="62" t="s">
        <v>33975</v>
      </c>
      <c r="Z2643" s="62" t="s">
        <v>33976</v>
      </c>
      <c r="AA2643" s="62" t="s">
        <v>48567</v>
      </c>
      <c r="AB2643" s="62" t="s">
        <v>33977</v>
      </c>
      <c r="AC2643" s="62" t="s">
        <v>33978</v>
      </c>
      <c r="AD2643" s="62" t="s">
        <v>33979</v>
      </c>
    </row>
    <row r="2644" spans="1:30" x14ac:dyDescent="0.25">
      <c r="A2644" s="62" t="s">
        <v>109</v>
      </c>
      <c r="C2644" s="62" t="s">
        <v>33980</v>
      </c>
      <c r="F2644" s="62" t="s">
        <v>1359</v>
      </c>
      <c r="G2644" s="62" t="s">
        <v>48416</v>
      </c>
      <c r="J2644" s="62" t="s">
        <v>33981</v>
      </c>
      <c r="K2644" s="62" t="s">
        <v>48454</v>
      </c>
      <c r="L2644" s="62" t="s">
        <v>33982</v>
      </c>
      <c r="M2644" s="62" t="s">
        <v>33983</v>
      </c>
      <c r="N2644" s="62" t="s">
        <v>33984</v>
      </c>
      <c r="O2644" s="62" t="s">
        <v>33985</v>
      </c>
      <c r="P2644" s="62" t="s">
        <v>48492</v>
      </c>
      <c r="Q2644" s="62" t="s">
        <v>33986</v>
      </c>
      <c r="R2644" s="62" t="s">
        <v>33987</v>
      </c>
      <c r="S2644" s="62" t="s">
        <v>33988</v>
      </c>
      <c r="U2644" s="62" t="s">
        <v>33989</v>
      </c>
      <c r="V2644" s="62" t="s">
        <v>48530</v>
      </c>
      <c r="W2644" s="62" t="s">
        <v>33990</v>
      </c>
      <c r="X2644" s="62" t="s">
        <v>33991</v>
      </c>
      <c r="Y2644" s="62" t="s">
        <v>33992</v>
      </c>
      <c r="Z2644" s="62" t="s">
        <v>33993</v>
      </c>
      <c r="AA2644" s="62" t="s">
        <v>48568</v>
      </c>
      <c r="AB2644" s="62" t="s">
        <v>33994</v>
      </c>
      <c r="AC2644" s="62" t="s">
        <v>33995</v>
      </c>
      <c r="AD2644" s="62" t="s">
        <v>33996</v>
      </c>
    </row>
    <row r="2645" spans="1:30" x14ac:dyDescent="0.25">
      <c r="A2645" s="62" t="s">
        <v>109</v>
      </c>
      <c r="C2645" s="62" t="s">
        <v>33997</v>
      </c>
      <c r="F2645" s="62" t="s">
        <v>785</v>
      </c>
      <c r="G2645" s="62" t="s">
        <v>48417</v>
      </c>
      <c r="J2645" s="62" t="s">
        <v>33998</v>
      </c>
      <c r="K2645" s="62" t="s">
        <v>48455</v>
      </c>
      <c r="L2645" s="62" t="s">
        <v>33999</v>
      </c>
      <c r="M2645" s="62" t="s">
        <v>34000</v>
      </c>
      <c r="N2645" s="62" t="s">
        <v>34001</v>
      </c>
      <c r="O2645" s="62" t="s">
        <v>34002</v>
      </c>
      <c r="P2645" s="62" t="s">
        <v>48493</v>
      </c>
      <c r="Q2645" s="62" t="s">
        <v>34003</v>
      </c>
      <c r="R2645" s="62" t="s">
        <v>34004</v>
      </c>
      <c r="S2645" s="62" t="s">
        <v>34005</v>
      </c>
      <c r="U2645" s="62" t="s">
        <v>34006</v>
      </c>
      <c r="V2645" s="62" t="s">
        <v>48531</v>
      </c>
      <c r="W2645" s="62" t="s">
        <v>34007</v>
      </c>
      <c r="X2645" s="62" t="s">
        <v>34008</v>
      </c>
      <c r="Y2645" s="62" t="s">
        <v>34009</v>
      </c>
      <c r="Z2645" s="62" t="s">
        <v>34010</v>
      </c>
      <c r="AA2645" s="62" t="s">
        <v>48569</v>
      </c>
      <c r="AB2645" s="62" t="s">
        <v>34011</v>
      </c>
      <c r="AC2645" s="62" t="s">
        <v>34012</v>
      </c>
      <c r="AD2645" s="62" t="s">
        <v>34013</v>
      </c>
    </row>
    <row r="2646" spans="1:30" x14ac:dyDescent="0.25">
      <c r="A2646" s="62" t="s">
        <v>109</v>
      </c>
      <c r="C2646" s="62" t="s">
        <v>34014</v>
      </c>
      <c r="F2646" s="62" t="s">
        <v>837</v>
      </c>
      <c r="G2646" s="62" t="s">
        <v>48418</v>
      </c>
      <c r="J2646" s="62" t="s">
        <v>34015</v>
      </c>
      <c r="K2646" s="62" t="s">
        <v>48456</v>
      </c>
      <c r="L2646" s="62" t="s">
        <v>34016</v>
      </c>
      <c r="M2646" s="62" t="s">
        <v>34017</v>
      </c>
      <c r="N2646" s="62" t="s">
        <v>34018</v>
      </c>
      <c r="O2646" s="62" t="s">
        <v>34019</v>
      </c>
      <c r="P2646" s="62" t="s">
        <v>48494</v>
      </c>
      <c r="Q2646" s="62" t="s">
        <v>34020</v>
      </c>
      <c r="R2646" s="62" t="s">
        <v>34021</v>
      </c>
      <c r="S2646" s="62" t="s">
        <v>34022</v>
      </c>
      <c r="U2646" s="62" t="s">
        <v>34023</v>
      </c>
      <c r="V2646" s="62" t="s">
        <v>48532</v>
      </c>
      <c r="W2646" s="62" t="s">
        <v>34024</v>
      </c>
      <c r="X2646" s="62" t="s">
        <v>34025</v>
      </c>
      <c r="Y2646" s="62" t="s">
        <v>34026</v>
      </c>
      <c r="Z2646" s="62" t="s">
        <v>34027</v>
      </c>
      <c r="AA2646" s="62" t="s">
        <v>48570</v>
      </c>
      <c r="AB2646" s="62" t="s">
        <v>34028</v>
      </c>
      <c r="AC2646" s="62" t="s">
        <v>34029</v>
      </c>
      <c r="AD2646" s="62" t="s">
        <v>34030</v>
      </c>
    </row>
    <row r="2647" spans="1:30" x14ac:dyDescent="0.25">
      <c r="A2647" s="62" t="s">
        <v>109</v>
      </c>
      <c r="C2647" s="62" t="s">
        <v>34031</v>
      </c>
      <c r="F2647" s="62" t="s">
        <v>872</v>
      </c>
      <c r="G2647" s="62" t="s">
        <v>48419</v>
      </c>
      <c r="J2647" s="62" t="s">
        <v>34032</v>
      </c>
      <c r="K2647" s="62" t="s">
        <v>48457</v>
      </c>
      <c r="L2647" s="62" t="s">
        <v>34033</v>
      </c>
      <c r="M2647" s="62" t="s">
        <v>34034</v>
      </c>
      <c r="N2647" s="62" t="s">
        <v>34035</v>
      </c>
      <c r="O2647" s="62" t="s">
        <v>34036</v>
      </c>
      <c r="P2647" s="62" t="s">
        <v>48495</v>
      </c>
      <c r="Q2647" s="62" t="s">
        <v>34037</v>
      </c>
      <c r="R2647" s="62" t="s">
        <v>34038</v>
      </c>
      <c r="S2647" s="62" t="s">
        <v>34039</v>
      </c>
      <c r="U2647" s="62" t="s">
        <v>34040</v>
      </c>
      <c r="V2647" s="62" t="s">
        <v>48533</v>
      </c>
      <c r="W2647" s="62" t="s">
        <v>34041</v>
      </c>
      <c r="X2647" s="62" t="s">
        <v>34042</v>
      </c>
      <c r="Y2647" s="62" t="s">
        <v>34043</v>
      </c>
      <c r="Z2647" s="62" t="s">
        <v>34044</v>
      </c>
      <c r="AA2647" s="62" t="s">
        <v>48571</v>
      </c>
      <c r="AB2647" s="62" t="s">
        <v>34045</v>
      </c>
      <c r="AC2647" s="62" t="s">
        <v>34046</v>
      </c>
      <c r="AD2647" s="62" t="s">
        <v>34047</v>
      </c>
    </row>
    <row r="2648" spans="1:30" x14ac:dyDescent="0.25">
      <c r="A2648" s="62" t="s">
        <v>109</v>
      </c>
      <c r="C2648" s="62" t="s">
        <v>34048</v>
      </c>
      <c r="F2648" s="62" t="s">
        <v>889</v>
      </c>
      <c r="G2648" s="62" t="s">
        <v>48420</v>
      </c>
      <c r="J2648" s="62" t="s">
        <v>34049</v>
      </c>
      <c r="K2648" s="62" t="s">
        <v>48458</v>
      </c>
      <c r="L2648" s="62" t="s">
        <v>34050</v>
      </c>
      <c r="M2648" s="62" t="s">
        <v>34051</v>
      </c>
      <c r="N2648" s="62" t="s">
        <v>34052</v>
      </c>
      <c r="O2648" s="62" t="s">
        <v>34053</v>
      </c>
      <c r="P2648" s="62" t="s">
        <v>48496</v>
      </c>
      <c r="Q2648" s="62" t="s">
        <v>34054</v>
      </c>
      <c r="R2648" s="62" t="s">
        <v>34055</v>
      </c>
      <c r="S2648" s="62" t="s">
        <v>34056</v>
      </c>
      <c r="U2648" s="62" t="s">
        <v>34057</v>
      </c>
      <c r="V2648" s="62" t="s">
        <v>48534</v>
      </c>
      <c r="W2648" s="62" t="s">
        <v>34058</v>
      </c>
      <c r="X2648" s="62" t="s">
        <v>34059</v>
      </c>
      <c r="Y2648" s="62" t="s">
        <v>34060</v>
      </c>
      <c r="Z2648" s="62" t="s">
        <v>34061</v>
      </c>
      <c r="AA2648" s="62" t="s">
        <v>48572</v>
      </c>
      <c r="AB2648" s="62" t="s">
        <v>34062</v>
      </c>
      <c r="AC2648" s="62" t="s">
        <v>34063</v>
      </c>
      <c r="AD2648" s="62" t="s">
        <v>34064</v>
      </c>
    </row>
    <row r="2649" spans="1:30" x14ac:dyDescent="0.25">
      <c r="A2649" s="62" t="s">
        <v>109</v>
      </c>
      <c r="C2649" s="62" t="s">
        <v>34065</v>
      </c>
      <c r="F2649" s="62" t="s">
        <v>898</v>
      </c>
      <c r="G2649" s="62" t="s">
        <v>48421</v>
      </c>
      <c r="J2649" s="62" t="s">
        <v>34066</v>
      </c>
      <c r="K2649" s="62" t="s">
        <v>48459</v>
      </c>
      <c r="L2649" s="62" t="s">
        <v>34067</v>
      </c>
      <c r="M2649" s="62" t="s">
        <v>34068</v>
      </c>
      <c r="N2649" s="62" t="s">
        <v>34069</v>
      </c>
      <c r="O2649" s="62" t="s">
        <v>34070</v>
      </c>
      <c r="P2649" s="62" t="s">
        <v>48497</v>
      </c>
      <c r="Q2649" s="62" t="s">
        <v>34071</v>
      </c>
      <c r="R2649" s="62" t="s">
        <v>34072</v>
      </c>
      <c r="S2649" s="62" t="s">
        <v>34073</v>
      </c>
      <c r="U2649" s="62" t="s">
        <v>34074</v>
      </c>
      <c r="V2649" s="62" t="s">
        <v>48535</v>
      </c>
      <c r="W2649" s="62" t="s">
        <v>34075</v>
      </c>
      <c r="X2649" s="62" t="s">
        <v>34076</v>
      </c>
      <c r="Y2649" s="62" t="s">
        <v>34077</v>
      </c>
      <c r="Z2649" s="62" t="s">
        <v>34078</v>
      </c>
      <c r="AA2649" s="62" t="s">
        <v>48573</v>
      </c>
      <c r="AB2649" s="62" t="s">
        <v>34079</v>
      </c>
      <c r="AC2649" s="62" t="s">
        <v>34080</v>
      </c>
      <c r="AD2649" s="62" t="s">
        <v>34081</v>
      </c>
    </row>
    <row r="2650" spans="1:30" x14ac:dyDescent="0.25">
      <c r="A2650" s="62" t="s">
        <v>109</v>
      </c>
      <c r="C2650" s="62" t="s">
        <v>34082</v>
      </c>
      <c r="F2650" s="62" t="s">
        <v>925</v>
      </c>
      <c r="G2650" s="62" t="s">
        <v>48422</v>
      </c>
      <c r="J2650" s="62" t="s">
        <v>34083</v>
      </c>
      <c r="K2650" s="62" t="s">
        <v>48460</v>
      </c>
      <c r="L2650" s="62" t="s">
        <v>34084</v>
      </c>
      <c r="M2650" s="62" t="s">
        <v>34085</v>
      </c>
      <c r="N2650" s="62" t="s">
        <v>34086</v>
      </c>
      <c r="O2650" s="62" t="s">
        <v>34087</v>
      </c>
      <c r="P2650" s="62" t="s">
        <v>48498</v>
      </c>
      <c r="Q2650" s="62" t="s">
        <v>34088</v>
      </c>
      <c r="R2650" s="62" t="s">
        <v>34089</v>
      </c>
      <c r="S2650" s="62" t="s">
        <v>34090</v>
      </c>
      <c r="U2650" s="62" t="s">
        <v>34091</v>
      </c>
      <c r="V2650" s="62" t="s">
        <v>48536</v>
      </c>
      <c r="W2650" s="62" t="s">
        <v>34092</v>
      </c>
      <c r="X2650" s="62" t="s">
        <v>34093</v>
      </c>
      <c r="Y2650" s="62" t="s">
        <v>34094</v>
      </c>
      <c r="Z2650" s="62" t="s">
        <v>34095</v>
      </c>
      <c r="AA2650" s="62" t="s">
        <v>48574</v>
      </c>
      <c r="AB2650" s="62" t="s">
        <v>34096</v>
      </c>
      <c r="AC2650" s="62" t="s">
        <v>34097</v>
      </c>
      <c r="AD2650" s="62" t="s">
        <v>34098</v>
      </c>
    </row>
    <row r="2651" spans="1:30" x14ac:dyDescent="0.25">
      <c r="A2651" s="62" t="s">
        <v>109</v>
      </c>
      <c r="C2651" s="62" t="s">
        <v>34099</v>
      </c>
      <c r="F2651" s="62" t="s">
        <v>943</v>
      </c>
      <c r="G2651" s="62" t="s">
        <v>48423</v>
      </c>
      <c r="J2651" s="62" t="s">
        <v>34100</v>
      </c>
      <c r="K2651" s="62" t="s">
        <v>48461</v>
      </c>
      <c r="L2651" s="62" t="s">
        <v>34101</v>
      </c>
      <c r="M2651" s="62" t="s">
        <v>34102</v>
      </c>
      <c r="N2651" s="62" t="s">
        <v>34103</v>
      </c>
      <c r="O2651" s="62" t="s">
        <v>34104</v>
      </c>
      <c r="P2651" s="62" t="s">
        <v>48499</v>
      </c>
      <c r="Q2651" s="62" t="s">
        <v>34105</v>
      </c>
      <c r="R2651" s="62" t="s">
        <v>34106</v>
      </c>
      <c r="S2651" s="62" t="s">
        <v>34107</v>
      </c>
      <c r="U2651" s="62" t="s">
        <v>34108</v>
      </c>
      <c r="V2651" s="62" t="s">
        <v>48537</v>
      </c>
      <c r="W2651" s="62" t="s">
        <v>34109</v>
      </c>
      <c r="X2651" s="62" t="s">
        <v>34110</v>
      </c>
      <c r="Y2651" s="62" t="s">
        <v>34111</v>
      </c>
      <c r="Z2651" s="62" t="s">
        <v>34112</v>
      </c>
      <c r="AA2651" s="62" t="s">
        <v>48575</v>
      </c>
      <c r="AB2651" s="62" t="s">
        <v>34113</v>
      </c>
      <c r="AC2651" s="62" t="s">
        <v>34114</v>
      </c>
      <c r="AD2651" s="62" t="s">
        <v>34115</v>
      </c>
    </row>
    <row r="2652" spans="1:30" x14ac:dyDescent="0.25">
      <c r="A2652" s="62" t="s">
        <v>109</v>
      </c>
      <c r="C2652" s="62" t="s">
        <v>34116</v>
      </c>
      <c r="F2652" s="62" t="s">
        <v>976</v>
      </c>
      <c r="G2652" s="62" t="s">
        <v>48424</v>
      </c>
      <c r="J2652" s="62" t="s">
        <v>34117</v>
      </c>
      <c r="K2652" s="62" t="s">
        <v>48462</v>
      </c>
      <c r="L2652" s="62" t="s">
        <v>34118</v>
      </c>
      <c r="M2652" s="62" t="s">
        <v>34119</v>
      </c>
      <c r="N2652" s="62" t="s">
        <v>34120</v>
      </c>
      <c r="O2652" s="62" t="s">
        <v>34121</v>
      </c>
      <c r="P2652" s="62" t="s">
        <v>48500</v>
      </c>
      <c r="Q2652" s="62" t="s">
        <v>34122</v>
      </c>
      <c r="R2652" s="62" t="s">
        <v>34123</v>
      </c>
      <c r="S2652" s="62" t="s">
        <v>34124</v>
      </c>
      <c r="U2652" s="62" t="s">
        <v>34125</v>
      </c>
      <c r="V2652" s="62" t="s">
        <v>48538</v>
      </c>
      <c r="W2652" s="62" t="s">
        <v>34126</v>
      </c>
      <c r="X2652" s="62" t="s">
        <v>34127</v>
      </c>
      <c r="Y2652" s="62" t="s">
        <v>34128</v>
      </c>
      <c r="Z2652" s="62" t="s">
        <v>34129</v>
      </c>
      <c r="AA2652" s="62" t="s">
        <v>48576</v>
      </c>
      <c r="AB2652" s="62" t="s">
        <v>34130</v>
      </c>
      <c r="AC2652" s="62" t="s">
        <v>34131</v>
      </c>
      <c r="AD2652" s="62" t="s">
        <v>34132</v>
      </c>
    </row>
    <row r="2653" spans="1:30" x14ac:dyDescent="0.25">
      <c r="A2653" s="62" t="s">
        <v>109</v>
      </c>
      <c r="C2653" s="62" t="s">
        <v>34133</v>
      </c>
      <c r="F2653" s="62" t="s">
        <v>985</v>
      </c>
      <c r="G2653" s="62" t="s">
        <v>48425</v>
      </c>
      <c r="J2653" s="62" t="s">
        <v>34134</v>
      </c>
      <c r="K2653" s="62" t="s">
        <v>48463</v>
      </c>
      <c r="L2653" s="62" t="s">
        <v>34135</v>
      </c>
      <c r="M2653" s="62" t="s">
        <v>34136</v>
      </c>
      <c r="N2653" s="62" t="s">
        <v>34137</v>
      </c>
      <c r="O2653" s="62" t="s">
        <v>34138</v>
      </c>
      <c r="P2653" s="62" t="s">
        <v>48501</v>
      </c>
      <c r="Q2653" s="62" t="s">
        <v>34139</v>
      </c>
      <c r="R2653" s="62" t="s">
        <v>34140</v>
      </c>
      <c r="S2653" s="62" t="s">
        <v>34141</v>
      </c>
      <c r="U2653" s="62" t="s">
        <v>34142</v>
      </c>
      <c r="V2653" s="62" t="s">
        <v>48539</v>
      </c>
      <c r="W2653" s="62" t="s">
        <v>34143</v>
      </c>
      <c r="X2653" s="62" t="s">
        <v>34144</v>
      </c>
      <c r="Y2653" s="62" t="s">
        <v>34145</v>
      </c>
      <c r="Z2653" s="62" t="s">
        <v>34146</v>
      </c>
      <c r="AA2653" s="62" t="s">
        <v>48577</v>
      </c>
      <c r="AB2653" s="62" t="s">
        <v>34147</v>
      </c>
      <c r="AC2653" s="62" t="s">
        <v>34148</v>
      </c>
      <c r="AD2653" s="62" t="s">
        <v>34149</v>
      </c>
    </row>
    <row r="2654" spans="1:30" x14ac:dyDescent="0.25">
      <c r="A2654" s="62" t="s">
        <v>109</v>
      </c>
      <c r="C2654" s="62" t="s">
        <v>34150</v>
      </c>
      <c r="F2654" s="62" t="s">
        <v>1002</v>
      </c>
      <c r="G2654" s="62" t="s">
        <v>48426</v>
      </c>
      <c r="J2654" s="62" t="s">
        <v>34151</v>
      </c>
      <c r="K2654" s="62" t="s">
        <v>48464</v>
      </c>
      <c r="L2654" s="62" t="s">
        <v>34152</v>
      </c>
      <c r="M2654" s="62" t="s">
        <v>34153</v>
      </c>
      <c r="N2654" s="62" t="s">
        <v>34154</v>
      </c>
      <c r="O2654" s="62" t="s">
        <v>34155</v>
      </c>
      <c r="P2654" s="62" t="s">
        <v>48502</v>
      </c>
      <c r="Q2654" s="62" t="s">
        <v>34156</v>
      </c>
      <c r="R2654" s="62" t="s">
        <v>34157</v>
      </c>
      <c r="S2654" s="62" t="s">
        <v>34158</v>
      </c>
      <c r="U2654" s="62" t="s">
        <v>34159</v>
      </c>
      <c r="V2654" s="62" t="s">
        <v>48540</v>
      </c>
      <c r="W2654" s="62" t="s">
        <v>34160</v>
      </c>
      <c r="X2654" s="62" t="s">
        <v>34161</v>
      </c>
      <c r="Y2654" s="62" t="s">
        <v>34162</v>
      </c>
      <c r="Z2654" s="62" t="s">
        <v>34163</v>
      </c>
      <c r="AA2654" s="62" t="s">
        <v>48578</v>
      </c>
      <c r="AB2654" s="62" t="s">
        <v>34164</v>
      </c>
      <c r="AC2654" s="62" t="s">
        <v>34165</v>
      </c>
      <c r="AD2654" s="62" t="s">
        <v>34166</v>
      </c>
    </row>
    <row r="2655" spans="1:30" x14ac:dyDescent="0.25">
      <c r="A2655" s="62" t="s">
        <v>109</v>
      </c>
      <c r="C2655" s="62" t="s">
        <v>34167</v>
      </c>
      <c r="F2655" s="62" t="s">
        <v>1030</v>
      </c>
      <c r="G2655" s="62" t="s">
        <v>48427</v>
      </c>
      <c r="J2655" s="62" t="s">
        <v>34168</v>
      </c>
      <c r="K2655" s="62" t="s">
        <v>48465</v>
      </c>
      <c r="L2655" s="62" t="s">
        <v>34169</v>
      </c>
      <c r="M2655" s="62" t="s">
        <v>34170</v>
      </c>
      <c r="N2655" s="62" t="s">
        <v>34171</v>
      </c>
      <c r="O2655" s="62" t="s">
        <v>34172</v>
      </c>
      <c r="P2655" s="62" t="s">
        <v>48503</v>
      </c>
      <c r="Q2655" s="62" t="s">
        <v>34173</v>
      </c>
      <c r="R2655" s="62" t="s">
        <v>34174</v>
      </c>
      <c r="S2655" s="62" t="s">
        <v>34175</v>
      </c>
      <c r="U2655" s="62" t="s">
        <v>34176</v>
      </c>
      <c r="V2655" s="62" t="s">
        <v>48541</v>
      </c>
      <c r="W2655" s="62" t="s">
        <v>34177</v>
      </c>
      <c r="X2655" s="62" t="s">
        <v>34178</v>
      </c>
      <c r="Y2655" s="62" t="s">
        <v>34179</v>
      </c>
      <c r="Z2655" s="62" t="s">
        <v>34180</v>
      </c>
      <c r="AA2655" s="62" t="s">
        <v>48579</v>
      </c>
      <c r="AB2655" s="62" t="s">
        <v>34181</v>
      </c>
      <c r="AC2655" s="62" t="s">
        <v>34182</v>
      </c>
      <c r="AD2655" s="62" t="s">
        <v>34183</v>
      </c>
    </row>
    <row r="2656" spans="1:30" x14ac:dyDescent="0.25">
      <c r="A2656" s="62" t="s">
        <v>109</v>
      </c>
      <c r="C2656" s="62" t="s">
        <v>34184</v>
      </c>
      <c r="F2656" s="62" t="s">
        <v>1047</v>
      </c>
      <c r="G2656" s="62" t="s">
        <v>48428</v>
      </c>
      <c r="J2656" s="62" t="s">
        <v>34185</v>
      </c>
      <c r="K2656" s="62" t="s">
        <v>48466</v>
      </c>
      <c r="L2656" s="62" t="s">
        <v>34186</v>
      </c>
      <c r="M2656" s="62" t="s">
        <v>34187</v>
      </c>
      <c r="N2656" s="62" t="s">
        <v>34188</v>
      </c>
      <c r="O2656" s="62" t="s">
        <v>34189</v>
      </c>
      <c r="P2656" s="62" t="s">
        <v>48504</v>
      </c>
      <c r="Q2656" s="62" t="s">
        <v>34190</v>
      </c>
      <c r="R2656" s="62" t="s">
        <v>34191</v>
      </c>
      <c r="S2656" s="62" t="s">
        <v>34192</v>
      </c>
      <c r="U2656" s="62" t="s">
        <v>34193</v>
      </c>
      <c r="V2656" s="62" t="s">
        <v>48542</v>
      </c>
      <c r="W2656" s="62" t="s">
        <v>34194</v>
      </c>
      <c r="X2656" s="62" t="s">
        <v>34195</v>
      </c>
      <c r="Y2656" s="62" t="s">
        <v>34196</v>
      </c>
      <c r="Z2656" s="62" t="s">
        <v>34197</v>
      </c>
      <c r="AA2656" s="62" t="s">
        <v>48580</v>
      </c>
      <c r="AB2656" s="62" t="s">
        <v>34198</v>
      </c>
      <c r="AC2656" s="62" t="s">
        <v>34199</v>
      </c>
      <c r="AD2656" s="62" t="s">
        <v>34200</v>
      </c>
    </row>
    <row r="2657" spans="1:30" x14ac:dyDescent="0.25">
      <c r="A2657" s="62" t="s">
        <v>109</v>
      </c>
      <c r="C2657" s="62" t="s">
        <v>34201</v>
      </c>
      <c r="F2657" s="62" t="s">
        <v>1064</v>
      </c>
      <c r="G2657" s="62" t="s">
        <v>48429</v>
      </c>
      <c r="J2657" s="62" t="s">
        <v>34202</v>
      </c>
      <c r="K2657" s="62" t="s">
        <v>48467</v>
      </c>
      <c r="L2657" s="62" t="s">
        <v>34203</v>
      </c>
      <c r="M2657" s="62" t="s">
        <v>34204</v>
      </c>
      <c r="N2657" s="62" t="s">
        <v>34205</v>
      </c>
      <c r="O2657" s="62" t="s">
        <v>34206</v>
      </c>
      <c r="P2657" s="62" t="s">
        <v>48505</v>
      </c>
      <c r="Q2657" s="62" t="s">
        <v>34207</v>
      </c>
      <c r="R2657" s="62" t="s">
        <v>34208</v>
      </c>
      <c r="S2657" s="62" t="s">
        <v>34209</v>
      </c>
      <c r="U2657" s="62" t="s">
        <v>34210</v>
      </c>
      <c r="V2657" s="62" t="s">
        <v>48543</v>
      </c>
      <c r="W2657" s="62" t="s">
        <v>34211</v>
      </c>
      <c r="X2657" s="62" t="s">
        <v>34212</v>
      </c>
      <c r="Y2657" s="62" t="s">
        <v>34213</v>
      </c>
      <c r="Z2657" s="62" t="s">
        <v>34214</v>
      </c>
      <c r="AA2657" s="62" t="s">
        <v>48581</v>
      </c>
      <c r="AB2657" s="62" t="s">
        <v>34215</v>
      </c>
      <c r="AC2657" s="62" t="s">
        <v>34216</v>
      </c>
      <c r="AD2657" s="62" t="s">
        <v>34217</v>
      </c>
    </row>
    <row r="2658" spans="1:30" x14ac:dyDescent="0.25">
      <c r="A2658" s="62" t="s">
        <v>109</v>
      </c>
      <c r="C2658" s="62" t="s">
        <v>34218</v>
      </c>
      <c r="F2658" s="62" t="s">
        <v>1073</v>
      </c>
      <c r="G2658" s="62" t="s">
        <v>48430</v>
      </c>
      <c r="J2658" s="62" t="s">
        <v>34219</v>
      </c>
      <c r="K2658" s="62" t="s">
        <v>48468</v>
      </c>
      <c r="L2658" s="62" t="s">
        <v>34220</v>
      </c>
      <c r="M2658" s="62" t="s">
        <v>34221</v>
      </c>
      <c r="N2658" s="62" t="s">
        <v>34222</v>
      </c>
      <c r="O2658" s="62" t="s">
        <v>34223</v>
      </c>
      <c r="P2658" s="62" t="s">
        <v>48506</v>
      </c>
      <c r="Q2658" s="62" t="s">
        <v>34224</v>
      </c>
      <c r="R2658" s="62" t="s">
        <v>34225</v>
      </c>
      <c r="S2658" s="62" t="s">
        <v>34226</v>
      </c>
      <c r="U2658" s="62" t="s">
        <v>34227</v>
      </c>
      <c r="V2658" s="62" t="s">
        <v>48544</v>
      </c>
      <c r="W2658" s="62" t="s">
        <v>34228</v>
      </c>
      <c r="X2658" s="62" t="s">
        <v>34229</v>
      </c>
      <c r="Y2658" s="62" t="s">
        <v>34230</v>
      </c>
      <c r="Z2658" s="62" t="s">
        <v>34231</v>
      </c>
      <c r="AA2658" s="62" t="s">
        <v>48582</v>
      </c>
      <c r="AB2658" s="62" t="s">
        <v>34232</v>
      </c>
      <c r="AC2658" s="62" t="s">
        <v>34233</v>
      </c>
      <c r="AD2658" s="62" t="s">
        <v>34234</v>
      </c>
    </row>
    <row r="2659" spans="1:30" x14ac:dyDescent="0.25">
      <c r="A2659" s="62" t="s">
        <v>109</v>
      </c>
      <c r="C2659" s="62" t="s">
        <v>34235</v>
      </c>
      <c r="F2659" s="62" t="s">
        <v>1090</v>
      </c>
      <c r="G2659" s="62" t="s">
        <v>48431</v>
      </c>
      <c r="J2659" s="62" t="s">
        <v>34236</v>
      </c>
      <c r="K2659" s="62" t="s">
        <v>48469</v>
      </c>
      <c r="L2659" s="62" t="s">
        <v>34237</v>
      </c>
      <c r="M2659" s="62" t="s">
        <v>34238</v>
      </c>
      <c r="N2659" s="62" t="s">
        <v>34239</v>
      </c>
      <c r="O2659" s="62" t="s">
        <v>34240</v>
      </c>
      <c r="P2659" s="62" t="s">
        <v>48507</v>
      </c>
      <c r="Q2659" s="62" t="s">
        <v>34241</v>
      </c>
      <c r="R2659" s="62" t="s">
        <v>34242</v>
      </c>
      <c r="S2659" s="62" t="s">
        <v>34243</v>
      </c>
      <c r="U2659" s="62" t="s">
        <v>34244</v>
      </c>
      <c r="V2659" s="62" t="s">
        <v>48545</v>
      </c>
      <c r="W2659" s="62" t="s">
        <v>34245</v>
      </c>
      <c r="X2659" s="62" t="s">
        <v>34246</v>
      </c>
      <c r="Y2659" s="62" t="s">
        <v>34247</v>
      </c>
      <c r="Z2659" s="62" t="s">
        <v>34248</v>
      </c>
      <c r="AA2659" s="62" t="s">
        <v>48583</v>
      </c>
      <c r="AB2659" s="62" t="s">
        <v>34249</v>
      </c>
      <c r="AC2659" s="62" t="s">
        <v>34250</v>
      </c>
      <c r="AD2659" s="62" t="s">
        <v>34251</v>
      </c>
    </row>
    <row r="2660" spans="1:30" x14ac:dyDescent="0.25">
      <c r="A2660" s="62" t="s">
        <v>109</v>
      </c>
      <c r="C2660" s="62" t="s">
        <v>34252</v>
      </c>
      <c r="F2660" s="62" t="s">
        <v>1100</v>
      </c>
      <c r="G2660" s="62" t="s">
        <v>48432</v>
      </c>
      <c r="J2660" s="62" t="s">
        <v>34253</v>
      </c>
      <c r="K2660" s="62" t="s">
        <v>48470</v>
      </c>
      <c r="L2660" s="62" t="s">
        <v>34254</v>
      </c>
      <c r="M2660" s="62" t="s">
        <v>34255</v>
      </c>
      <c r="N2660" s="62" t="s">
        <v>34256</v>
      </c>
      <c r="O2660" s="62" t="s">
        <v>34257</v>
      </c>
      <c r="P2660" s="62" t="s">
        <v>48508</v>
      </c>
      <c r="Q2660" s="62" t="s">
        <v>34258</v>
      </c>
      <c r="R2660" s="62" t="s">
        <v>34259</v>
      </c>
      <c r="S2660" s="62" t="s">
        <v>34260</v>
      </c>
      <c r="U2660" s="62" t="s">
        <v>34261</v>
      </c>
      <c r="V2660" s="62" t="s">
        <v>48546</v>
      </c>
      <c r="W2660" s="62" t="s">
        <v>34262</v>
      </c>
      <c r="X2660" s="62" t="s">
        <v>34263</v>
      </c>
      <c r="Y2660" s="62" t="s">
        <v>34264</v>
      </c>
      <c r="Z2660" s="62" t="s">
        <v>34265</v>
      </c>
      <c r="AA2660" s="62" t="s">
        <v>48584</v>
      </c>
      <c r="AB2660" s="62" t="s">
        <v>34266</v>
      </c>
      <c r="AC2660" s="62" t="s">
        <v>34267</v>
      </c>
      <c r="AD2660" s="62" t="s">
        <v>34268</v>
      </c>
    </row>
    <row r="2661" spans="1:30" x14ac:dyDescent="0.25">
      <c r="A2661" s="62" t="s">
        <v>109</v>
      </c>
      <c r="C2661" s="62" t="s">
        <v>45659</v>
      </c>
      <c r="F2661" s="62" t="s">
        <v>1118</v>
      </c>
      <c r="G2661" s="62" t="s">
        <v>48433</v>
      </c>
      <c r="J2661" s="62" t="s">
        <v>45660</v>
      </c>
      <c r="K2661" s="62" t="s">
        <v>48471</v>
      </c>
      <c r="L2661" s="62" t="s">
        <v>45661</v>
      </c>
      <c r="M2661" s="62" t="s">
        <v>45662</v>
      </c>
      <c r="N2661" s="62" t="s">
        <v>45663</v>
      </c>
      <c r="O2661" s="62" t="s">
        <v>45664</v>
      </c>
      <c r="P2661" s="62" t="s">
        <v>48509</v>
      </c>
      <c r="Q2661" s="62" t="s">
        <v>45665</v>
      </c>
      <c r="R2661" s="62" t="s">
        <v>45666</v>
      </c>
      <c r="S2661" s="62" t="s">
        <v>45667</v>
      </c>
      <c r="U2661" s="62" t="s">
        <v>45668</v>
      </c>
      <c r="V2661" s="62" t="s">
        <v>48547</v>
      </c>
      <c r="W2661" s="62" t="s">
        <v>45669</v>
      </c>
      <c r="X2661" s="62" t="s">
        <v>45670</v>
      </c>
      <c r="Y2661" s="62" t="s">
        <v>45671</v>
      </c>
      <c r="Z2661" s="62" t="s">
        <v>45672</v>
      </c>
      <c r="AA2661" s="62" t="s">
        <v>48585</v>
      </c>
      <c r="AB2661" s="62" t="s">
        <v>45673</v>
      </c>
      <c r="AC2661" s="62" t="s">
        <v>45674</v>
      </c>
      <c r="AD2661" s="62" t="s">
        <v>45675</v>
      </c>
    </row>
    <row r="2662" spans="1:30" x14ac:dyDescent="0.25">
      <c r="A2662" s="62" t="s">
        <v>109</v>
      </c>
      <c r="C2662" s="62" t="s">
        <v>34269</v>
      </c>
      <c r="F2662" s="62" t="s">
        <v>1135</v>
      </c>
      <c r="G2662" s="62" t="s">
        <v>48434</v>
      </c>
      <c r="J2662" s="62" t="s">
        <v>45676</v>
      </c>
      <c r="K2662" s="62" t="s">
        <v>48472</v>
      </c>
      <c r="L2662" s="62" t="s">
        <v>45677</v>
      </c>
      <c r="M2662" s="62" t="s">
        <v>34270</v>
      </c>
      <c r="N2662" s="62" t="s">
        <v>34271</v>
      </c>
      <c r="O2662" s="62" t="s">
        <v>45678</v>
      </c>
      <c r="P2662" s="62" t="s">
        <v>48510</v>
      </c>
      <c r="Q2662" s="62" t="s">
        <v>45679</v>
      </c>
      <c r="R2662" s="62" t="s">
        <v>34272</v>
      </c>
      <c r="S2662" s="62" t="s">
        <v>34273</v>
      </c>
      <c r="U2662" s="62" t="s">
        <v>45680</v>
      </c>
      <c r="V2662" s="62" t="s">
        <v>48548</v>
      </c>
      <c r="W2662" s="62" t="s">
        <v>45681</v>
      </c>
      <c r="X2662" s="62" t="s">
        <v>34274</v>
      </c>
      <c r="Y2662" s="62" t="s">
        <v>34275</v>
      </c>
      <c r="Z2662" s="62" t="s">
        <v>45682</v>
      </c>
      <c r="AA2662" s="62" t="s">
        <v>48586</v>
      </c>
      <c r="AB2662" s="62" t="s">
        <v>45683</v>
      </c>
      <c r="AC2662" s="62" t="s">
        <v>34276</v>
      </c>
      <c r="AD2662" s="62" t="s">
        <v>34277</v>
      </c>
    </row>
    <row r="2663" spans="1:30" x14ac:dyDescent="0.25">
      <c r="A2663" s="62" t="s">
        <v>109</v>
      </c>
      <c r="C2663" s="62" t="s">
        <v>45684</v>
      </c>
      <c r="F2663" s="62" t="s">
        <v>1688</v>
      </c>
      <c r="G2663" s="62" t="s">
        <v>48435</v>
      </c>
      <c r="J2663" s="62" t="s">
        <v>45685</v>
      </c>
      <c r="K2663" s="62" t="s">
        <v>48473</v>
      </c>
      <c r="L2663" s="62" t="s">
        <v>45686</v>
      </c>
      <c r="M2663" s="62" t="s">
        <v>45687</v>
      </c>
      <c r="N2663" s="62" t="s">
        <v>45688</v>
      </c>
      <c r="O2663" s="62" t="s">
        <v>45689</v>
      </c>
      <c r="P2663" s="62" t="s">
        <v>48511</v>
      </c>
      <c r="Q2663" s="62" t="s">
        <v>45690</v>
      </c>
      <c r="R2663" s="62" t="s">
        <v>45691</v>
      </c>
      <c r="S2663" s="62" t="s">
        <v>45692</v>
      </c>
      <c r="U2663" s="62" t="s">
        <v>45693</v>
      </c>
      <c r="V2663" s="62" t="s">
        <v>48549</v>
      </c>
      <c r="W2663" s="62" t="s">
        <v>45694</v>
      </c>
      <c r="X2663" s="62" t="s">
        <v>45695</v>
      </c>
      <c r="Y2663" s="62" t="s">
        <v>45696</v>
      </c>
      <c r="Z2663" s="62" t="s">
        <v>45697</v>
      </c>
      <c r="AA2663" s="62" t="s">
        <v>48587</v>
      </c>
      <c r="AB2663" s="62" t="s">
        <v>45698</v>
      </c>
      <c r="AC2663" s="62" t="s">
        <v>45699</v>
      </c>
      <c r="AD2663" s="62" t="s">
        <v>45700</v>
      </c>
    </row>
    <row r="2664" spans="1:30" x14ac:dyDescent="0.25">
      <c r="A2664" s="62" t="s">
        <v>109</v>
      </c>
      <c r="C2664" s="62" t="s">
        <v>45701</v>
      </c>
      <c r="F2664" s="62" t="s">
        <v>1161</v>
      </c>
      <c r="G2664" s="62" t="s">
        <v>48436</v>
      </c>
      <c r="J2664" s="62" t="s">
        <v>45702</v>
      </c>
      <c r="K2664" s="62" t="s">
        <v>48474</v>
      </c>
      <c r="L2664" s="62" t="s">
        <v>45703</v>
      </c>
      <c r="M2664" s="62" t="s">
        <v>45704</v>
      </c>
      <c r="N2664" s="62" t="s">
        <v>45705</v>
      </c>
      <c r="O2664" s="62" t="s">
        <v>45706</v>
      </c>
      <c r="P2664" s="62" t="s">
        <v>48512</v>
      </c>
      <c r="Q2664" s="62" t="s">
        <v>45707</v>
      </c>
      <c r="R2664" s="62" t="s">
        <v>45708</v>
      </c>
      <c r="S2664" s="62" t="s">
        <v>45709</v>
      </c>
      <c r="U2664" s="62" t="s">
        <v>45710</v>
      </c>
      <c r="V2664" s="62" t="s">
        <v>48550</v>
      </c>
      <c r="W2664" s="62" t="s">
        <v>45711</v>
      </c>
      <c r="X2664" s="62" t="s">
        <v>45712</v>
      </c>
      <c r="Y2664" s="62" t="s">
        <v>45713</v>
      </c>
      <c r="Z2664" s="62" t="s">
        <v>45714</v>
      </c>
      <c r="AA2664" s="62" t="s">
        <v>48588</v>
      </c>
      <c r="AB2664" s="62" t="s">
        <v>45715</v>
      </c>
      <c r="AC2664" s="62" t="s">
        <v>45716</v>
      </c>
      <c r="AD2664" s="62" t="s">
        <v>45717</v>
      </c>
    </row>
    <row r="2665" spans="1:30" x14ac:dyDescent="0.25">
      <c r="A2665" s="62" t="s">
        <v>109</v>
      </c>
      <c r="C2665" s="62" t="s">
        <v>34279</v>
      </c>
      <c r="F2665" s="62" t="s">
        <v>1178</v>
      </c>
      <c r="G2665" s="62" t="s">
        <v>48437</v>
      </c>
      <c r="J2665" s="62" t="s">
        <v>45718</v>
      </c>
      <c r="K2665" s="62" t="s">
        <v>48475</v>
      </c>
      <c r="L2665" s="62" t="s">
        <v>45719</v>
      </c>
      <c r="M2665" s="62" t="s">
        <v>45720</v>
      </c>
      <c r="N2665" s="62" t="s">
        <v>45721</v>
      </c>
      <c r="O2665" s="62" t="s">
        <v>45722</v>
      </c>
      <c r="P2665" s="62" t="s">
        <v>48513</v>
      </c>
      <c r="Q2665" s="62" t="s">
        <v>45723</v>
      </c>
      <c r="R2665" s="62" t="s">
        <v>45724</v>
      </c>
      <c r="S2665" s="62" t="s">
        <v>45725</v>
      </c>
      <c r="U2665" s="62" t="s">
        <v>45726</v>
      </c>
      <c r="V2665" s="62" t="s">
        <v>48551</v>
      </c>
      <c r="W2665" s="62" t="s">
        <v>45727</v>
      </c>
      <c r="X2665" s="62" t="s">
        <v>45728</v>
      </c>
      <c r="Y2665" s="62" t="s">
        <v>45729</v>
      </c>
      <c r="Z2665" s="62" t="s">
        <v>45730</v>
      </c>
      <c r="AA2665" s="62" t="s">
        <v>48589</v>
      </c>
      <c r="AB2665" s="62" t="s">
        <v>45731</v>
      </c>
      <c r="AC2665" s="62" t="s">
        <v>45732</v>
      </c>
      <c r="AD2665" s="62" t="s">
        <v>45733</v>
      </c>
    </row>
    <row r="2666" spans="1:30" x14ac:dyDescent="0.25">
      <c r="A2666" s="62" t="s">
        <v>109</v>
      </c>
      <c r="C2666" s="62" t="s">
        <v>34280</v>
      </c>
      <c r="F2666" s="62" t="s">
        <v>1188</v>
      </c>
      <c r="G2666" s="62" t="s">
        <v>48438</v>
      </c>
      <c r="J2666" s="62" t="s">
        <v>34281</v>
      </c>
      <c r="K2666" s="62" t="s">
        <v>48476</v>
      </c>
      <c r="L2666" s="62" t="s">
        <v>34282</v>
      </c>
      <c r="M2666" s="62" t="s">
        <v>34283</v>
      </c>
      <c r="N2666" s="62" t="s">
        <v>34284</v>
      </c>
      <c r="O2666" s="62" t="s">
        <v>34285</v>
      </c>
      <c r="P2666" s="62" t="s">
        <v>48514</v>
      </c>
      <c r="Q2666" s="62" t="s">
        <v>34286</v>
      </c>
      <c r="R2666" s="62" t="s">
        <v>34287</v>
      </c>
      <c r="S2666" s="62" t="s">
        <v>34288</v>
      </c>
      <c r="U2666" s="62" t="s">
        <v>34289</v>
      </c>
      <c r="V2666" s="62" t="s">
        <v>48552</v>
      </c>
      <c r="W2666" s="62" t="s">
        <v>34290</v>
      </c>
      <c r="X2666" s="62" t="s">
        <v>34291</v>
      </c>
      <c r="Y2666" s="62" t="s">
        <v>34292</v>
      </c>
      <c r="Z2666" s="62" t="s">
        <v>34293</v>
      </c>
      <c r="AA2666" s="62" t="s">
        <v>48590</v>
      </c>
      <c r="AB2666" s="62" t="s">
        <v>34294</v>
      </c>
      <c r="AC2666" s="62" t="s">
        <v>34295</v>
      </c>
      <c r="AD2666" s="62" t="s">
        <v>34296</v>
      </c>
    </row>
    <row r="2667" spans="1:30" x14ac:dyDescent="0.25">
      <c r="A2667" s="62" t="s">
        <v>109</v>
      </c>
      <c r="C2667" s="62" t="s">
        <v>34297</v>
      </c>
      <c r="F2667" s="62" t="s">
        <v>1223</v>
      </c>
      <c r="G2667" s="62" t="s">
        <v>48439</v>
      </c>
      <c r="J2667" s="62" t="s">
        <v>34298</v>
      </c>
      <c r="K2667" s="62" t="s">
        <v>48477</v>
      </c>
      <c r="L2667" s="62" t="s">
        <v>34299</v>
      </c>
      <c r="M2667" s="62" t="s">
        <v>34300</v>
      </c>
      <c r="N2667" s="62" t="s">
        <v>34301</v>
      </c>
      <c r="O2667" s="62" t="s">
        <v>34302</v>
      </c>
      <c r="P2667" s="62" t="s">
        <v>48515</v>
      </c>
      <c r="Q2667" s="62" t="s">
        <v>34303</v>
      </c>
      <c r="R2667" s="62" t="s">
        <v>34304</v>
      </c>
      <c r="S2667" s="62" t="s">
        <v>34305</v>
      </c>
      <c r="U2667" s="62" t="s">
        <v>34306</v>
      </c>
      <c r="V2667" s="62" t="s">
        <v>48553</v>
      </c>
      <c r="W2667" s="62" t="s">
        <v>34307</v>
      </c>
      <c r="X2667" s="62" t="s">
        <v>34308</v>
      </c>
      <c r="Y2667" s="62" t="s">
        <v>34309</v>
      </c>
      <c r="Z2667" s="62" t="s">
        <v>34310</v>
      </c>
      <c r="AA2667" s="62" t="s">
        <v>48591</v>
      </c>
      <c r="AB2667" s="62" t="s">
        <v>34311</v>
      </c>
      <c r="AC2667" s="62" t="s">
        <v>34312</v>
      </c>
      <c r="AD2667" s="62" t="s">
        <v>34313</v>
      </c>
    </row>
    <row r="2668" spans="1:30" x14ac:dyDescent="0.25">
      <c r="A2668" s="62" t="s">
        <v>109</v>
      </c>
      <c r="C2668" s="62" t="s">
        <v>34314</v>
      </c>
      <c r="F2668" s="62" t="s">
        <v>1240</v>
      </c>
      <c r="G2668" s="62" t="s">
        <v>48440</v>
      </c>
      <c r="J2668" s="62" t="s">
        <v>34315</v>
      </c>
      <c r="K2668" s="62" t="s">
        <v>48478</v>
      </c>
      <c r="L2668" s="62" t="s">
        <v>34316</v>
      </c>
      <c r="M2668" s="62" t="s">
        <v>34317</v>
      </c>
      <c r="N2668" s="62" t="s">
        <v>34318</v>
      </c>
      <c r="O2668" s="62" t="s">
        <v>34319</v>
      </c>
      <c r="P2668" s="62" t="s">
        <v>48516</v>
      </c>
      <c r="Q2668" s="62" t="s">
        <v>34320</v>
      </c>
      <c r="R2668" s="62" t="s">
        <v>34321</v>
      </c>
      <c r="S2668" s="62" t="s">
        <v>34322</v>
      </c>
      <c r="U2668" s="62" t="s">
        <v>34323</v>
      </c>
      <c r="V2668" s="62" t="s">
        <v>48554</v>
      </c>
      <c r="W2668" s="62" t="s">
        <v>34324</v>
      </c>
      <c r="X2668" s="62" t="s">
        <v>34325</v>
      </c>
      <c r="Y2668" s="62" t="s">
        <v>34326</v>
      </c>
      <c r="Z2668" s="62" t="s">
        <v>34327</v>
      </c>
      <c r="AA2668" s="62" t="s">
        <v>48592</v>
      </c>
      <c r="AB2668" s="62" t="s">
        <v>34328</v>
      </c>
      <c r="AC2668" s="62" t="s">
        <v>34329</v>
      </c>
      <c r="AD2668" s="62" t="s">
        <v>34330</v>
      </c>
    </row>
    <row r="2669" spans="1:30" x14ac:dyDescent="0.25">
      <c r="A2669" s="62" t="s">
        <v>109</v>
      </c>
      <c r="C2669" s="62" t="s">
        <v>34331</v>
      </c>
      <c r="F2669" s="62" t="s">
        <v>1266</v>
      </c>
      <c r="G2669" s="62" t="s">
        <v>48441</v>
      </c>
      <c r="J2669" s="62" t="s">
        <v>34332</v>
      </c>
      <c r="K2669" s="62" t="s">
        <v>48479</v>
      </c>
      <c r="L2669" s="62" t="s">
        <v>34333</v>
      </c>
      <c r="M2669" s="62" t="s">
        <v>34334</v>
      </c>
      <c r="N2669" s="62" t="s">
        <v>34335</v>
      </c>
      <c r="O2669" s="62" t="s">
        <v>34336</v>
      </c>
      <c r="P2669" s="62" t="s">
        <v>48517</v>
      </c>
      <c r="Q2669" s="62" t="s">
        <v>34337</v>
      </c>
      <c r="R2669" s="62" t="s">
        <v>34338</v>
      </c>
      <c r="S2669" s="62" t="s">
        <v>34339</v>
      </c>
      <c r="U2669" s="62" t="s">
        <v>34340</v>
      </c>
      <c r="V2669" s="62" t="s">
        <v>48555</v>
      </c>
      <c r="W2669" s="62" t="s">
        <v>34341</v>
      </c>
      <c r="X2669" s="62" t="s">
        <v>34342</v>
      </c>
      <c r="Y2669" s="62" t="s">
        <v>34343</v>
      </c>
      <c r="Z2669" s="62" t="s">
        <v>34344</v>
      </c>
      <c r="AA2669" s="62" t="s">
        <v>48593</v>
      </c>
      <c r="AB2669" s="62" t="s">
        <v>34345</v>
      </c>
      <c r="AC2669" s="62" t="s">
        <v>34346</v>
      </c>
      <c r="AD2669" s="62" t="s">
        <v>34347</v>
      </c>
    </row>
    <row r="2670" spans="1:30" x14ac:dyDescent="0.25">
      <c r="A2670" s="62" t="s">
        <v>109</v>
      </c>
      <c r="C2670" s="62" t="s">
        <v>34348</v>
      </c>
      <c r="F2670" s="62" t="s">
        <v>1275</v>
      </c>
      <c r="G2670" s="62" t="s">
        <v>48442</v>
      </c>
      <c r="J2670" s="62" t="s">
        <v>34349</v>
      </c>
      <c r="K2670" s="62" t="s">
        <v>48480</v>
      </c>
      <c r="L2670" s="62" t="s">
        <v>34350</v>
      </c>
      <c r="M2670" s="62" t="s">
        <v>34351</v>
      </c>
      <c r="N2670" s="62" t="s">
        <v>34352</v>
      </c>
      <c r="O2670" s="62" t="s">
        <v>34353</v>
      </c>
      <c r="P2670" s="62" t="s">
        <v>48518</v>
      </c>
      <c r="Q2670" s="62" t="s">
        <v>34354</v>
      </c>
      <c r="R2670" s="62" t="s">
        <v>34355</v>
      </c>
      <c r="S2670" s="62" t="s">
        <v>34356</v>
      </c>
      <c r="U2670" s="62" t="s">
        <v>34357</v>
      </c>
      <c r="V2670" s="62" t="s">
        <v>48556</v>
      </c>
      <c r="W2670" s="62" t="s">
        <v>34358</v>
      </c>
      <c r="X2670" s="62" t="s">
        <v>34359</v>
      </c>
      <c r="Y2670" s="62" t="s">
        <v>34360</v>
      </c>
      <c r="Z2670" s="62" t="s">
        <v>34361</v>
      </c>
      <c r="AA2670" s="62" t="s">
        <v>48594</v>
      </c>
      <c r="AB2670" s="62" t="s">
        <v>34362</v>
      </c>
      <c r="AC2670" s="62" t="s">
        <v>34363</v>
      </c>
      <c r="AD2670" s="62" t="s">
        <v>34364</v>
      </c>
    </row>
    <row r="2671" spans="1:30" x14ac:dyDescent="0.25">
      <c r="A2671" s="62" t="s">
        <v>109</v>
      </c>
      <c r="C2671" s="62" t="s">
        <v>34365</v>
      </c>
      <c r="F2671" s="62" t="s">
        <v>1795</v>
      </c>
      <c r="G2671" s="62" t="s">
        <v>48443</v>
      </c>
      <c r="J2671" s="62" t="s">
        <v>34366</v>
      </c>
      <c r="K2671" s="62" t="s">
        <v>48481</v>
      </c>
      <c r="L2671" s="62" t="s">
        <v>34367</v>
      </c>
      <c r="M2671" s="62" t="s">
        <v>34368</v>
      </c>
      <c r="N2671" s="62" t="s">
        <v>34369</v>
      </c>
      <c r="O2671" s="62" t="s">
        <v>34370</v>
      </c>
      <c r="P2671" s="62" t="s">
        <v>48519</v>
      </c>
      <c r="Q2671" s="62" t="s">
        <v>34371</v>
      </c>
      <c r="R2671" s="62" t="s">
        <v>34372</v>
      </c>
      <c r="S2671" s="62" t="s">
        <v>34373</v>
      </c>
      <c r="U2671" s="62" t="s">
        <v>34374</v>
      </c>
      <c r="V2671" s="62" t="s">
        <v>48557</v>
      </c>
      <c r="W2671" s="62" t="s">
        <v>34375</v>
      </c>
      <c r="X2671" s="62" t="s">
        <v>34376</v>
      </c>
      <c r="Y2671" s="62" t="s">
        <v>34377</v>
      </c>
      <c r="Z2671" s="62" t="s">
        <v>34378</v>
      </c>
      <c r="AA2671" s="62" t="s">
        <v>48595</v>
      </c>
      <c r="AB2671" s="62" t="s">
        <v>34379</v>
      </c>
      <c r="AC2671" s="62" t="s">
        <v>34380</v>
      </c>
      <c r="AD2671" s="62" t="s">
        <v>34381</v>
      </c>
    </row>
    <row r="2672" spans="1:30" x14ac:dyDescent="0.25">
      <c r="A2672" s="62" t="s">
        <v>109</v>
      </c>
      <c r="C2672" s="62" t="s">
        <v>34382</v>
      </c>
      <c r="F2672" s="62" t="s">
        <v>1286</v>
      </c>
      <c r="G2672" s="62" t="s">
        <v>48444</v>
      </c>
      <c r="J2672" s="62" t="s">
        <v>34383</v>
      </c>
      <c r="K2672" s="62" t="s">
        <v>48482</v>
      </c>
      <c r="L2672" s="62" t="s">
        <v>34384</v>
      </c>
      <c r="M2672" s="62" t="s">
        <v>34385</v>
      </c>
      <c r="N2672" s="62" t="s">
        <v>34386</v>
      </c>
      <c r="O2672" s="62" t="s">
        <v>34387</v>
      </c>
      <c r="P2672" s="62" t="s">
        <v>48520</v>
      </c>
      <c r="Q2672" s="62" t="s">
        <v>34388</v>
      </c>
      <c r="R2672" s="62" t="s">
        <v>34389</v>
      </c>
      <c r="S2672" s="62" t="s">
        <v>34390</v>
      </c>
      <c r="U2672" s="62" t="s">
        <v>34391</v>
      </c>
      <c r="V2672" s="62" t="s">
        <v>48558</v>
      </c>
      <c r="W2672" s="62" t="s">
        <v>34392</v>
      </c>
      <c r="X2672" s="62" t="s">
        <v>34393</v>
      </c>
      <c r="Y2672" s="62" t="s">
        <v>34394</v>
      </c>
      <c r="Z2672" s="62" t="s">
        <v>34395</v>
      </c>
      <c r="AA2672" s="62" t="s">
        <v>48596</v>
      </c>
      <c r="AB2672" s="62" t="s">
        <v>34396</v>
      </c>
      <c r="AC2672" s="62" t="s">
        <v>34397</v>
      </c>
      <c r="AD2672" s="62" t="s">
        <v>34398</v>
      </c>
    </row>
    <row r="2673" spans="1:30" x14ac:dyDescent="0.25">
      <c r="A2673" s="62" t="s">
        <v>109</v>
      </c>
      <c r="C2673" s="62" t="s">
        <v>34399</v>
      </c>
      <c r="F2673" s="62" t="s">
        <v>1287</v>
      </c>
      <c r="G2673" s="62" t="s">
        <v>48445</v>
      </c>
      <c r="J2673" s="62" t="s">
        <v>34400</v>
      </c>
      <c r="K2673" s="62" t="s">
        <v>48483</v>
      </c>
      <c r="L2673" s="62" t="s">
        <v>34401</v>
      </c>
      <c r="M2673" s="62" t="s">
        <v>34402</v>
      </c>
      <c r="N2673" s="62" t="s">
        <v>34403</v>
      </c>
      <c r="O2673" s="62" t="s">
        <v>34404</v>
      </c>
      <c r="P2673" s="62" t="s">
        <v>48521</v>
      </c>
      <c r="Q2673" s="62" t="s">
        <v>34405</v>
      </c>
      <c r="R2673" s="62" t="s">
        <v>34406</v>
      </c>
      <c r="S2673" s="62" t="s">
        <v>34407</v>
      </c>
      <c r="U2673" s="62" t="s">
        <v>34408</v>
      </c>
      <c r="V2673" s="62" t="s">
        <v>48559</v>
      </c>
      <c r="W2673" s="62" t="s">
        <v>34409</v>
      </c>
      <c r="X2673" s="62" t="s">
        <v>34410</v>
      </c>
      <c r="Y2673" s="62" t="s">
        <v>34411</v>
      </c>
      <c r="Z2673" s="62" t="s">
        <v>34412</v>
      </c>
      <c r="AA2673" s="62" t="s">
        <v>48597</v>
      </c>
      <c r="AB2673" s="62" t="s">
        <v>34413</v>
      </c>
      <c r="AC2673" s="62" t="s">
        <v>34414</v>
      </c>
      <c r="AD2673" s="62" t="s">
        <v>34415</v>
      </c>
    </row>
    <row r="2674" spans="1:30" x14ac:dyDescent="0.25">
      <c r="A2674" s="62" t="s">
        <v>109</v>
      </c>
      <c r="C2674" s="62" t="s">
        <v>34416</v>
      </c>
      <c r="F2674" s="62" t="s">
        <v>1288</v>
      </c>
      <c r="G2674" s="62" t="s">
        <v>48446</v>
      </c>
      <c r="J2674" s="62" t="s">
        <v>34417</v>
      </c>
      <c r="K2674" s="62" t="s">
        <v>48484</v>
      </c>
      <c r="L2674" s="62" t="s">
        <v>34418</v>
      </c>
      <c r="M2674" s="62" t="s">
        <v>34419</v>
      </c>
      <c r="N2674" s="62" t="s">
        <v>34420</v>
      </c>
      <c r="O2674" s="62" t="s">
        <v>34421</v>
      </c>
      <c r="P2674" s="62" t="s">
        <v>48522</v>
      </c>
      <c r="Q2674" s="62" t="s">
        <v>34422</v>
      </c>
      <c r="R2674" s="62" t="s">
        <v>34423</v>
      </c>
      <c r="S2674" s="62" t="s">
        <v>34424</v>
      </c>
      <c r="U2674" s="62" t="s">
        <v>34425</v>
      </c>
      <c r="V2674" s="62" t="s">
        <v>48560</v>
      </c>
      <c r="W2674" s="62" t="s">
        <v>34426</v>
      </c>
      <c r="X2674" s="62" t="s">
        <v>34427</v>
      </c>
      <c r="Y2674" s="62" t="s">
        <v>34428</v>
      </c>
      <c r="Z2674" s="62" t="s">
        <v>34429</v>
      </c>
      <c r="AA2674" s="62" t="s">
        <v>48598</v>
      </c>
      <c r="AB2674" s="62" t="s">
        <v>34430</v>
      </c>
      <c r="AC2674" s="62" t="s">
        <v>34431</v>
      </c>
      <c r="AD2674" s="62" t="s">
        <v>34432</v>
      </c>
    </row>
    <row r="2675" spans="1:30" x14ac:dyDescent="0.25">
      <c r="A2675" s="62" t="s">
        <v>109</v>
      </c>
      <c r="C2675" s="62" t="s">
        <v>34433</v>
      </c>
      <c r="F2675" s="62" t="s">
        <v>1289</v>
      </c>
      <c r="G2675" s="62" t="s">
        <v>48447</v>
      </c>
      <c r="J2675" s="62" t="s">
        <v>34434</v>
      </c>
      <c r="K2675" s="62" t="s">
        <v>48485</v>
      </c>
      <c r="L2675" s="62" t="s">
        <v>34435</v>
      </c>
      <c r="M2675" s="62" t="s">
        <v>34436</v>
      </c>
      <c r="N2675" s="62" t="s">
        <v>34437</v>
      </c>
      <c r="O2675" s="62" t="s">
        <v>34438</v>
      </c>
      <c r="P2675" s="62" t="s">
        <v>48523</v>
      </c>
      <c r="Q2675" s="62" t="s">
        <v>34439</v>
      </c>
      <c r="R2675" s="62" t="s">
        <v>34440</v>
      </c>
      <c r="S2675" s="62" t="s">
        <v>34441</v>
      </c>
      <c r="U2675" s="62" t="s">
        <v>34442</v>
      </c>
      <c r="V2675" s="62" t="s">
        <v>48561</v>
      </c>
      <c r="W2675" s="62" t="s">
        <v>34443</v>
      </c>
      <c r="X2675" s="62" t="s">
        <v>34444</v>
      </c>
      <c r="Y2675" s="62" t="s">
        <v>34445</v>
      </c>
      <c r="Z2675" s="62" t="s">
        <v>34446</v>
      </c>
      <c r="AA2675" s="62" t="s">
        <v>48599</v>
      </c>
      <c r="AB2675" s="62" t="s">
        <v>34447</v>
      </c>
      <c r="AC2675" s="62" t="s">
        <v>34448</v>
      </c>
      <c r="AD2675" s="62" t="s">
        <v>34449</v>
      </c>
    </row>
    <row r="2676" spans="1:30" x14ac:dyDescent="0.25">
      <c r="A2676" s="62" t="s">
        <v>109</v>
      </c>
      <c r="C2676" s="62" t="s">
        <v>34450</v>
      </c>
      <c r="F2676" s="62" t="s">
        <v>1797</v>
      </c>
      <c r="G2676" s="62" t="s">
        <v>48448</v>
      </c>
      <c r="J2676" s="62" t="s">
        <v>34451</v>
      </c>
      <c r="K2676" s="62" t="s">
        <v>48486</v>
      </c>
      <c r="L2676" s="62" t="s">
        <v>34452</v>
      </c>
      <c r="M2676" s="62" t="s">
        <v>34453</v>
      </c>
      <c r="N2676" s="62" t="s">
        <v>34454</v>
      </c>
      <c r="O2676" s="62" t="s">
        <v>34455</v>
      </c>
      <c r="P2676" s="62" t="s">
        <v>48524</v>
      </c>
      <c r="Q2676" s="62" t="s">
        <v>34456</v>
      </c>
      <c r="R2676" s="62" t="s">
        <v>34457</v>
      </c>
      <c r="S2676" s="62" t="s">
        <v>34458</v>
      </c>
      <c r="U2676" s="62" t="s">
        <v>34459</v>
      </c>
      <c r="V2676" s="62" t="s">
        <v>48562</v>
      </c>
      <c r="W2676" s="62" t="s">
        <v>34460</v>
      </c>
      <c r="X2676" s="62" t="s">
        <v>34461</v>
      </c>
      <c r="Y2676" s="62" t="s">
        <v>34462</v>
      </c>
      <c r="Z2676" s="62" t="s">
        <v>34463</v>
      </c>
      <c r="AA2676" s="62" t="s">
        <v>48600</v>
      </c>
      <c r="AB2676" s="62" t="s">
        <v>34464</v>
      </c>
      <c r="AC2676" s="62" t="s">
        <v>34465</v>
      </c>
      <c r="AD2676" s="62" t="s">
        <v>34466</v>
      </c>
    </row>
    <row r="2677" spans="1:30" x14ac:dyDescent="0.25">
      <c r="A2677" s="62" t="s">
        <v>109</v>
      </c>
      <c r="C2677" s="62" t="s">
        <v>34467</v>
      </c>
      <c r="F2677" s="62" t="s">
        <v>1299</v>
      </c>
      <c r="G2677" s="62" t="s">
        <v>48449</v>
      </c>
      <c r="J2677" s="62" t="s">
        <v>34468</v>
      </c>
      <c r="K2677" s="62" t="s">
        <v>48487</v>
      </c>
      <c r="L2677" s="62" t="s">
        <v>34469</v>
      </c>
      <c r="M2677" s="62" t="s">
        <v>34470</v>
      </c>
      <c r="N2677" s="62" t="s">
        <v>34471</v>
      </c>
      <c r="O2677" s="62" t="s">
        <v>34472</v>
      </c>
      <c r="P2677" s="62" t="s">
        <v>48525</v>
      </c>
      <c r="Q2677" s="62" t="s">
        <v>34473</v>
      </c>
      <c r="R2677" s="62" t="s">
        <v>34474</v>
      </c>
      <c r="S2677" s="62" t="s">
        <v>34475</v>
      </c>
      <c r="U2677" s="62" t="s">
        <v>34476</v>
      </c>
      <c r="V2677" s="62" t="s">
        <v>48563</v>
      </c>
      <c r="W2677" s="62" t="s">
        <v>34477</v>
      </c>
      <c r="X2677" s="62" t="s">
        <v>34478</v>
      </c>
      <c r="Y2677" s="62" t="s">
        <v>34479</v>
      </c>
      <c r="Z2677" s="62" t="s">
        <v>34480</v>
      </c>
      <c r="AA2677" s="62" t="s">
        <v>48601</v>
      </c>
      <c r="AB2677" s="62" t="s">
        <v>34481</v>
      </c>
      <c r="AC2677" s="62" t="s">
        <v>34482</v>
      </c>
      <c r="AD2677" s="62" t="s">
        <v>34483</v>
      </c>
    </row>
    <row r="2678" spans="1:30" x14ac:dyDescent="0.25">
      <c r="A2678" s="62" t="s">
        <v>109</v>
      </c>
      <c r="C2678" s="62" t="s">
        <v>33929</v>
      </c>
    </row>
    <row r="2679" spans="1:30" x14ac:dyDescent="0.25">
      <c r="A2679" s="62" t="s">
        <v>109</v>
      </c>
      <c r="C2679" s="62" t="s">
        <v>34484</v>
      </c>
      <c r="G2679" s="62" t="s">
        <v>45734</v>
      </c>
      <c r="J2679" s="62" t="s">
        <v>45735</v>
      </c>
      <c r="K2679" s="62" t="s">
        <v>45736</v>
      </c>
      <c r="L2679" s="62" t="s">
        <v>45737</v>
      </c>
      <c r="M2679" s="62" t="s">
        <v>34485</v>
      </c>
      <c r="N2679" s="62" t="s">
        <v>34486</v>
      </c>
      <c r="O2679" s="62" t="s">
        <v>45738</v>
      </c>
      <c r="P2679" s="62" t="s">
        <v>45739</v>
      </c>
      <c r="Q2679" s="62" t="s">
        <v>45740</v>
      </c>
      <c r="R2679" s="62" t="s">
        <v>34487</v>
      </c>
      <c r="S2679" s="62" t="s">
        <v>34488</v>
      </c>
      <c r="U2679" s="62" t="s">
        <v>45741</v>
      </c>
      <c r="V2679" s="62" t="s">
        <v>45742</v>
      </c>
      <c r="W2679" s="62" t="s">
        <v>45743</v>
      </c>
      <c r="X2679" s="62" t="s">
        <v>34489</v>
      </c>
      <c r="Y2679" s="62" t="s">
        <v>34490</v>
      </c>
      <c r="Z2679" s="62" t="s">
        <v>45744</v>
      </c>
      <c r="AA2679" s="62" t="s">
        <v>45745</v>
      </c>
      <c r="AB2679" s="62" t="s">
        <v>45746</v>
      </c>
      <c r="AC2679" s="62" t="s">
        <v>34491</v>
      </c>
      <c r="AD2679" s="62" t="s">
        <v>34492</v>
      </c>
    </row>
    <row r="2680" spans="1:30" x14ac:dyDescent="0.25">
      <c r="A2680" s="62" t="s">
        <v>109</v>
      </c>
    </row>
    <row r="2681" spans="1:30" x14ac:dyDescent="0.25">
      <c r="A2681" s="62" t="s">
        <v>109</v>
      </c>
      <c r="C2681" s="62" t="s">
        <v>45747</v>
      </c>
      <c r="E2681" s="62" t="s">
        <v>550</v>
      </c>
      <c r="G2681" s="62" t="s">
        <v>45748</v>
      </c>
    </row>
    <row r="2682" spans="1:30" x14ac:dyDescent="0.25">
      <c r="A2682" s="62" t="s">
        <v>109</v>
      </c>
      <c r="C2682" s="62" t="s">
        <v>34493</v>
      </c>
    </row>
    <row r="2683" spans="1:30" x14ac:dyDescent="0.25">
      <c r="A2683" s="62" t="s">
        <v>109</v>
      </c>
      <c r="C2683" s="62" t="s">
        <v>34494</v>
      </c>
      <c r="F2683" s="62" t="s">
        <v>45749</v>
      </c>
      <c r="G2683" s="62" t="s">
        <v>48177</v>
      </c>
      <c r="J2683" s="62" t="s">
        <v>34495</v>
      </c>
      <c r="K2683" s="62" t="s">
        <v>48224</v>
      </c>
      <c r="L2683" s="62" t="s">
        <v>34496</v>
      </c>
      <c r="M2683" s="62" t="s">
        <v>34497</v>
      </c>
      <c r="N2683" s="62" t="s">
        <v>34498</v>
      </c>
      <c r="O2683" s="62" t="s">
        <v>34499</v>
      </c>
      <c r="P2683" s="62" t="s">
        <v>48271</v>
      </c>
      <c r="Q2683" s="62" t="s">
        <v>34500</v>
      </c>
      <c r="R2683" s="62" t="s">
        <v>34501</v>
      </c>
      <c r="S2683" s="62" t="s">
        <v>34502</v>
      </c>
      <c r="U2683" s="62" t="s">
        <v>34503</v>
      </c>
      <c r="V2683" s="62" t="s">
        <v>48318</v>
      </c>
      <c r="W2683" s="62" t="s">
        <v>34504</v>
      </c>
      <c r="X2683" s="62" t="s">
        <v>34505</v>
      </c>
      <c r="Y2683" s="62" t="s">
        <v>34506</v>
      </c>
      <c r="Z2683" s="62" t="s">
        <v>34507</v>
      </c>
      <c r="AA2683" s="62" t="s">
        <v>48365</v>
      </c>
      <c r="AB2683" s="62" t="s">
        <v>34508</v>
      </c>
      <c r="AC2683" s="62" t="s">
        <v>34509</v>
      </c>
      <c r="AD2683" s="62" t="s">
        <v>34510</v>
      </c>
    </row>
    <row r="2684" spans="1:30" x14ac:dyDescent="0.25">
      <c r="A2684" s="62" t="s">
        <v>109</v>
      </c>
      <c r="C2684" s="62" t="s">
        <v>34511</v>
      </c>
      <c r="F2684" s="62" t="s">
        <v>731</v>
      </c>
      <c r="G2684" s="62" t="s">
        <v>48178</v>
      </c>
      <c r="J2684" s="62" t="s">
        <v>34512</v>
      </c>
      <c r="K2684" s="62" t="s">
        <v>48225</v>
      </c>
      <c r="L2684" s="62" t="s">
        <v>34513</v>
      </c>
      <c r="M2684" s="62" t="s">
        <v>34514</v>
      </c>
      <c r="N2684" s="62" t="s">
        <v>34515</v>
      </c>
      <c r="O2684" s="62" t="s">
        <v>34516</v>
      </c>
      <c r="P2684" s="62" t="s">
        <v>48272</v>
      </c>
      <c r="Q2684" s="62" t="s">
        <v>34517</v>
      </c>
      <c r="R2684" s="62" t="s">
        <v>34518</v>
      </c>
      <c r="S2684" s="62" t="s">
        <v>34519</v>
      </c>
      <c r="U2684" s="62" t="s">
        <v>34520</v>
      </c>
      <c r="V2684" s="62" t="s">
        <v>48319</v>
      </c>
      <c r="W2684" s="62" t="s">
        <v>34521</v>
      </c>
      <c r="X2684" s="62" t="s">
        <v>34522</v>
      </c>
      <c r="Y2684" s="62" t="s">
        <v>34523</v>
      </c>
      <c r="Z2684" s="62" t="s">
        <v>34524</v>
      </c>
      <c r="AA2684" s="62" t="s">
        <v>48366</v>
      </c>
      <c r="AB2684" s="62" t="s">
        <v>34525</v>
      </c>
      <c r="AC2684" s="62" t="s">
        <v>34526</v>
      </c>
      <c r="AD2684" s="62" t="s">
        <v>34527</v>
      </c>
    </row>
    <row r="2685" spans="1:30" x14ac:dyDescent="0.25">
      <c r="A2685" s="62" t="s">
        <v>109</v>
      </c>
      <c r="C2685" s="62" t="s">
        <v>34528</v>
      </c>
      <c r="F2685" s="62" t="s">
        <v>748</v>
      </c>
      <c r="G2685" s="62" t="s">
        <v>48179</v>
      </c>
      <c r="J2685" s="62" t="s">
        <v>34529</v>
      </c>
      <c r="K2685" s="62" t="s">
        <v>48226</v>
      </c>
      <c r="L2685" s="62" t="s">
        <v>34530</v>
      </c>
      <c r="M2685" s="62" t="s">
        <v>34531</v>
      </c>
      <c r="N2685" s="62" t="s">
        <v>34532</v>
      </c>
      <c r="O2685" s="62" t="s">
        <v>34533</v>
      </c>
      <c r="P2685" s="62" t="s">
        <v>48273</v>
      </c>
      <c r="Q2685" s="62" t="s">
        <v>34534</v>
      </c>
      <c r="R2685" s="62" t="s">
        <v>34535</v>
      </c>
      <c r="S2685" s="62" t="s">
        <v>34536</v>
      </c>
      <c r="U2685" s="62" t="s">
        <v>34537</v>
      </c>
      <c r="V2685" s="62" t="s">
        <v>48320</v>
      </c>
      <c r="W2685" s="62" t="s">
        <v>34538</v>
      </c>
      <c r="X2685" s="62" t="s">
        <v>34539</v>
      </c>
      <c r="Y2685" s="62" t="s">
        <v>34540</v>
      </c>
      <c r="Z2685" s="62" t="s">
        <v>34541</v>
      </c>
      <c r="AA2685" s="62" t="s">
        <v>48367</v>
      </c>
      <c r="AB2685" s="62" t="s">
        <v>34542</v>
      </c>
      <c r="AC2685" s="62" t="s">
        <v>34543</v>
      </c>
      <c r="AD2685" s="62" t="s">
        <v>34544</v>
      </c>
    </row>
    <row r="2686" spans="1:30" x14ac:dyDescent="0.25">
      <c r="A2686" s="62" t="s">
        <v>109</v>
      </c>
      <c r="C2686" s="62" t="s">
        <v>34545</v>
      </c>
      <c r="F2686" s="62" t="s">
        <v>758</v>
      </c>
      <c r="G2686" s="62" t="s">
        <v>48180</v>
      </c>
      <c r="J2686" s="62" t="s">
        <v>34546</v>
      </c>
      <c r="K2686" s="62" t="s">
        <v>48227</v>
      </c>
      <c r="L2686" s="62" t="s">
        <v>34547</v>
      </c>
      <c r="M2686" s="62" t="s">
        <v>34548</v>
      </c>
      <c r="N2686" s="62" t="s">
        <v>34549</v>
      </c>
      <c r="O2686" s="62" t="s">
        <v>34550</v>
      </c>
      <c r="P2686" s="62" t="s">
        <v>48274</v>
      </c>
      <c r="Q2686" s="62" t="s">
        <v>34551</v>
      </c>
      <c r="R2686" s="62" t="s">
        <v>34552</v>
      </c>
      <c r="S2686" s="62" t="s">
        <v>34553</v>
      </c>
      <c r="U2686" s="62" t="s">
        <v>34554</v>
      </c>
      <c r="V2686" s="62" t="s">
        <v>48321</v>
      </c>
      <c r="W2686" s="62" t="s">
        <v>34555</v>
      </c>
      <c r="X2686" s="62" t="s">
        <v>34556</v>
      </c>
      <c r="Y2686" s="62" t="s">
        <v>34557</v>
      </c>
      <c r="Z2686" s="62" t="s">
        <v>34558</v>
      </c>
      <c r="AA2686" s="62" t="s">
        <v>48368</v>
      </c>
      <c r="AB2686" s="62" t="s">
        <v>34559</v>
      </c>
      <c r="AC2686" s="62" t="s">
        <v>34560</v>
      </c>
      <c r="AD2686" s="62" t="s">
        <v>34561</v>
      </c>
    </row>
    <row r="2687" spans="1:30" x14ac:dyDescent="0.25">
      <c r="A2687" s="62" t="s">
        <v>109</v>
      </c>
      <c r="C2687" s="62" t="s">
        <v>34562</v>
      </c>
      <c r="F2687" s="62" t="s">
        <v>1359</v>
      </c>
      <c r="G2687" s="62" t="s">
        <v>48181</v>
      </c>
      <c r="J2687" s="62" t="s">
        <v>34563</v>
      </c>
      <c r="K2687" s="62" t="s">
        <v>48228</v>
      </c>
      <c r="L2687" s="62" t="s">
        <v>34564</v>
      </c>
      <c r="M2687" s="62" t="s">
        <v>34565</v>
      </c>
      <c r="N2687" s="62" t="s">
        <v>34566</v>
      </c>
      <c r="O2687" s="62" t="s">
        <v>34567</v>
      </c>
      <c r="P2687" s="62" t="s">
        <v>48275</v>
      </c>
      <c r="Q2687" s="62" t="s">
        <v>34568</v>
      </c>
      <c r="R2687" s="62" t="s">
        <v>34569</v>
      </c>
      <c r="S2687" s="62" t="s">
        <v>34570</v>
      </c>
      <c r="U2687" s="62" t="s">
        <v>34571</v>
      </c>
      <c r="V2687" s="62" t="s">
        <v>48322</v>
      </c>
      <c r="W2687" s="62" t="s">
        <v>34572</v>
      </c>
      <c r="X2687" s="62" t="s">
        <v>34573</v>
      </c>
      <c r="Y2687" s="62" t="s">
        <v>34574</v>
      </c>
      <c r="Z2687" s="62" t="s">
        <v>34575</v>
      </c>
      <c r="AA2687" s="62" t="s">
        <v>48369</v>
      </c>
      <c r="AB2687" s="62" t="s">
        <v>34576</v>
      </c>
      <c r="AC2687" s="62" t="s">
        <v>34577</v>
      </c>
      <c r="AD2687" s="62" t="s">
        <v>34578</v>
      </c>
    </row>
    <row r="2688" spans="1:30" x14ac:dyDescent="0.25">
      <c r="A2688" s="62" t="s">
        <v>109</v>
      </c>
      <c r="C2688" s="62" t="s">
        <v>34579</v>
      </c>
      <c r="F2688" s="62" t="s">
        <v>142</v>
      </c>
      <c r="G2688" s="62" t="s">
        <v>48182</v>
      </c>
      <c r="J2688" s="62" t="s">
        <v>34580</v>
      </c>
      <c r="K2688" s="62" t="s">
        <v>48229</v>
      </c>
      <c r="L2688" s="62" t="s">
        <v>34581</v>
      </c>
      <c r="M2688" s="62" t="s">
        <v>34582</v>
      </c>
      <c r="N2688" s="62" t="s">
        <v>34583</v>
      </c>
      <c r="O2688" s="62" t="s">
        <v>34584</v>
      </c>
      <c r="P2688" s="62" t="s">
        <v>48276</v>
      </c>
      <c r="Q2688" s="62" t="s">
        <v>34585</v>
      </c>
      <c r="R2688" s="62" t="s">
        <v>34586</v>
      </c>
      <c r="S2688" s="62" t="s">
        <v>34587</v>
      </c>
      <c r="U2688" s="62" t="s">
        <v>34588</v>
      </c>
      <c r="V2688" s="62" t="s">
        <v>48323</v>
      </c>
      <c r="W2688" s="62" t="s">
        <v>34589</v>
      </c>
      <c r="X2688" s="62" t="s">
        <v>34590</v>
      </c>
      <c r="Y2688" s="62" t="s">
        <v>34591</v>
      </c>
      <c r="Z2688" s="62" t="s">
        <v>34592</v>
      </c>
      <c r="AA2688" s="62" t="s">
        <v>48370</v>
      </c>
      <c r="AB2688" s="62" t="s">
        <v>34593</v>
      </c>
      <c r="AC2688" s="62" t="s">
        <v>34594</v>
      </c>
      <c r="AD2688" s="62" t="s">
        <v>34595</v>
      </c>
    </row>
    <row r="2689" spans="1:30" x14ac:dyDescent="0.25">
      <c r="A2689" s="62" t="s">
        <v>109</v>
      </c>
      <c r="C2689" s="62" t="s">
        <v>34596</v>
      </c>
      <c r="F2689" s="62" t="s">
        <v>785</v>
      </c>
      <c r="G2689" s="62" t="s">
        <v>48183</v>
      </c>
      <c r="J2689" s="62" t="s">
        <v>34597</v>
      </c>
      <c r="K2689" s="62" t="s">
        <v>48230</v>
      </c>
      <c r="L2689" s="62" t="s">
        <v>34598</v>
      </c>
      <c r="M2689" s="62" t="s">
        <v>34599</v>
      </c>
      <c r="N2689" s="62" t="s">
        <v>34600</v>
      </c>
      <c r="O2689" s="62" t="s">
        <v>34601</v>
      </c>
      <c r="P2689" s="62" t="s">
        <v>48277</v>
      </c>
      <c r="Q2689" s="62" t="s">
        <v>34602</v>
      </c>
      <c r="R2689" s="62" t="s">
        <v>34603</v>
      </c>
      <c r="S2689" s="62" t="s">
        <v>34604</v>
      </c>
      <c r="U2689" s="62" t="s">
        <v>34605</v>
      </c>
      <c r="V2689" s="62" t="s">
        <v>48324</v>
      </c>
      <c r="W2689" s="62" t="s">
        <v>34606</v>
      </c>
      <c r="X2689" s="62" t="s">
        <v>34607</v>
      </c>
      <c r="Y2689" s="62" t="s">
        <v>34608</v>
      </c>
      <c r="Z2689" s="62" t="s">
        <v>34609</v>
      </c>
      <c r="AA2689" s="62" t="s">
        <v>48371</v>
      </c>
      <c r="AB2689" s="62" t="s">
        <v>34610</v>
      </c>
      <c r="AC2689" s="62" t="s">
        <v>34611</v>
      </c>
      <c r="AD2689" s="62" t="s">
        <v>34612</v>
      </c>
    </row>
    <row r="2690" spans="1:30" x14ac:dyDescent="0.25">
      <c r="A2690" s="62" t="s">
        <v>109</v>
      </c>
      <c r="C2690" s="62" t="s">
        <v>34613</v>
      </c>
      <c r="F2690" s="62" t="s">
        <v>802</v>
      </c>
      <c r="G2690" s="62" t="s">
        <v>48184</v>
      </c>
      <c r="J2690" s="62" t="s">
        <v>34614</v>
      </c>
      <c r="K2690" s="62" t="s">
        <v>48231</v>
      </c>
      <c r="L2690" s="62" t="s">
        <v>34615</v>
      </c>
      <c r="M2690" s="62" t="s">
        <v>34616</v>
      </c>
      <c r="N2690" s="62" t="s">
        <v>34617</v>
      </c>
      <c r="O2690" s="62" t="s">
        <v>34618</v>
      </c>
      <c r="P2690" s="62" t="s">
        <v>48278</v>
      </c>
      <c r="Q2690" s="62" t="s">
        <v>34619</v>
      </c>
      <c r="R2690" s="62" t="s">
        <v>34620</v>
      </c>
      <c r="S2690" s="62" t="s">
        <v>34621</v>
      </c>
      <c r="U2690" s="62" t="s">
        <v>34622</v>
      </c>
      <c r="V2690" s="62" t="s">
        <v>48325</v>
      </c>
      <c r="W2690" s="62" t="s">
        <v>34623</v>
      </c>
      <c r="X2690" s="62" t="s">
        <v>34624</v>
      </c>
      <c r="Y2690" s="62" t="s">
        <v>34625</v>
      </c>
      <c r="Z2690" s="62" t="s">
        <v>34626</v>
      </c>
      <c r="AA2690" s="62" t="s">
        <v>48372</v>
      </c>
      <c r="AB2690" s="62" t="s">
        <v>34627</v>
      </c>
      <c r="AC2690" s="62" t="s">
        <v>34628</v>
      </c>
      <c r="AD2690" s="62" t="s">
        <v>34629</v>
      </c>
    </row>
    <row r="2691" spans="1:30" x14ac:dyDescent="0.25">
      <c r="A2691" s="62" t="s">
        <v>109</v>
      </c>
      <c r="C2691" s="62" t="s">
        <v>34630</v>
      </c>
      <c r="F2691" s="62" t="s">
        <v>159</v>
      </c>
      <c r="G2691" s="62" t="s">
        <v>48185</v>
      </c>
      <c r="J2691" s="62" t="s">
        <v>34631</v>
      </c>
      <c r="K2691" s="62" t="s">
        <v>48232</v>
      </c>
      <c r="L2691" s="62" t="s">
        <v>34632</v>
      </c>
      <c r="M2691" s="62" t="s">
        <v>34633</v>
      </c>
      <c r="N2691" s="62" t="s">
        <v>34634</v>
      </c>
      <c r="O2691" s="62" t="s">
        <v>34635</v>
      </c>
      <c r="P2691" s="62" t="s">
        <v>48279</v>
      </c>
      <c r="Q2691" s="62" t="s">
        <v>34636</v>
      </c>
      <c r="R2691" s="62" t="s">
        <v>34637</v>
      </c>
      <c r="S2691" s="62" t="s">
        <v>34638</v>
      </c>
      <c r="U2691" s="62" t="s">
        <v>34639</v>
      </c>
      <c r="V2691" s="62" t="s">
        <v>48326</v>
      </c>
      <c r="W2691" s="62" t="s">
        <v>34640</v>
      </c>
      <c r="X2691" s="62" t="s">
        <v>34641</v>
      </c>
      <c r="Y2691" s="62" t="s">
        <v>34642</v>
      </c>
      <c r="Z2691" s="62" t="s">
        <v>34643</v>
      </c>
      <c r="AA2691" s="62" t="s">
        <v>48373</v>
      </c>
      <c r="AB2691" s="62" t="s">
        <v>34644</v>
      </c>
      <c r="AC2691" s="62" t="s">
        <v>34645</v>
      </c>
      <c r="AD2691" s="62" t="s">
        <v>34646</v>
      </c>
    </row>
    <row r="2692" spans="1:30" x14ac:dyDescent="0.25">
      <c r="A2692" s="62" t="s">
        <v>109</v>
      </c>
      <c r="C2692" s="62" t="s">
        <v>34647</v>
      </c>
      <c r="F2692" s="62" t="s">
        <v>827</v>
      </c>
      <c r="G2692" s="62" t="s">
        <v>48186</v>
      </c>
      <c r="J2692" s="62" t="s">
        <v>34648</v>
      </c>
      <c r="K2692" s="62" t="s">
        <v>48233</v>
      </c>
      <c r="L2692" s="62" t="s">
        <v>34649</v>
      </c>
      <c r="M2692" s="62" t="s">
        <v>34650</v>
      </c>
      <c r="N2692" s="62" t="s">
        <v>34651</v>
      </c>
      <c r="O2692" s="62" t="s">
        <v>34652</v>
      </c>
      <c r="P2692" s="62" t="s">
        <v>48280</v>
      </c>
      <c r="Q2692" s="62" t="s">
        <v>34653</v>
      </c>
      <c r="R2692" s="62" t="s">
        <v>34654</v>
      </c>
      <c r="S2692" s="62" t="s">
        <v>34655</v>
      </c>
      <c r="U2692" s="62" t="s">
        <v>34656</v>
      </c>
      <c r="V2692" s="62" t="s">
        <v>48327</v>
      </c>
      <c r="W2692" s="62" t="s">
        <v>34657</v>
      </c>
      <c r="X2692" s="62" t="s">
        <v>34658</v>
      </c>
      <c r="Y2692" s="62" t="s">
        <v>34659</v>
      </c>
      <c r="Z2692" s="62" t="s">
        <v>34660</v>
      </c>
      <c r="AA2692" s="62" t="s">
        <v>48374</v>
      </c>
      <c r="AB2692" s="62" t="s">
        <v>34661</v>
      </c>
      <c r="AC2692" s="62" t="s">
        <v>34662</v>
      </c>
      <c r="AD2692" s="62" t="s">
        <v>34663</v>
      </c>
    </row>
    <row r="2693" spans="1:30" x14ac:dyDescent="0.25">
      <c r="A2693" s="62" t="s">
        <v>109</v>
      </c>
      <c r="C2693" s="62" t="s">
        <v>34664</v>
      </c>
      <c r="F2693" s="62" t="s">
        <v>837</v>
      </c>
      <c r="G2693" s="62" t="s">
        <v>48187</v>
      </c>
      <c r="J2693" s="62" t="s">
        <v>34665</v>
      </c>
      <c r="K2693" s="62" t="s">
        <v>48234</v>
      </c>
      <c r="L2693" s="62" t="s">
        <v>34666</v>
      </c>
      <c r="M2693" s="62" t="s">
        <v>34667</v>
      </c>
      <c r="N2693" s="62" t="s">
        <v>34668</v>
      </c>
      <c r="O2693" s="62" t="s">
        <v>34669</v>
      </c>
      <c r="P2693" s="62" t="s">
        <v>48281</v>
      </c>
      <c r="Q2693" s="62" t="s">
        <v>34670</v>
      </c>
      <c r="R2693" s="62" t="s">
        <v>34671</v>
      </c>
      <c r="S2693" s="62" t="s">
        <v>34672</v>
      </c>
      <c r="U2693" s="62" t="s">
        <v>34673</v>
      </c>
      <c r="V2693" s="62" t="s">
        <v>48328</v>
      </c>
      <c r="W2693" s="62" t="s">
        <v>34674</v>
      </c>
      <c r="X2693" s="62" t="s">
        <v>34675</v>
      </c>
      <c r="Y2693" s="62" t="s">
        <v>34676</v>
      </c>
      <c r="Z2693" s="62" t="s">
        <v>34677</v>
      </c>
      <c r="AA2693" s="62" t="s">
        <v>48375</v>
      </c>
      <c r="AB2693" s="62" t="s">
        <v>34678</v>
      </c>
      <c r="AC2693" s="62" t="s">
        <v>34679</v>
      </c>
      <c r="AD2693" s="62" t="s">
        <v>34680</v>
      </c>
    </row>
    <row r="2694" spans="1:30" x14ac:dyDescent="0.25">
      <c r="A2694" s="62" t="s">
        <v>109</v>
      </c>
      <c r="C2694" s="62" t="s">
        <v>34681</v>
      </c>
      <c r="F2694" s="62" t="s">
        <v>855</v>
      </c>
      <c r="G2694" s="62" t="s">
        <v>48188</v>
      </c>
      <c r="J2694" s="62" t="s">
        <v>34682</v>
      </c>
      <c r="K2694" s="62" t="s">
        <v>48235</v>
      </c>
      <c r="L2694" s="62" t="s">
        <v>34683</v>
      </c>
      <c r="M2694" s="62" t="s">
        <v>34684</v>
      </c>
      <c r="N2694" s="62" t="s">
        <v>34685</v>
      </c>
      <c r="O2694" s="62" t="s">
        <v>34686</v>
      </c>
      <c r="P2694" s="62" t="s">
        <v>48282</v>
      </c>
      <c r="Q2694" s="62" t="s">
        <v>34687</v>
      </c>
      <c r="R2694" s="62" t="s">
        <v>34688</v>
      </c>
      <c r="S2694" s="62" t="s">
        <v>34689</v>
      </c>
      <c r="U2694" s="62" t="s">
        <v>34690</v>
      </c>
      <c r="V2694" s="62" t="s">
        <v>48329</v>
      </c>
      <c r="W2694" s="62" t="s">
        <v>34691</v>
      </c>
      <c r="X2694" s="62" t="s">
        <v>34692</v>
      </c>
      <c r="Y2694" s="62" t="s">
        <v>34693</v>
      </c>
      <c r="Z2694" s="62" t="s">
        <v>34694</v>
      </c>
      <c r="AA2694" s="62" t="s">
        <v>48376</v>
      </c>
      <c r="AB2694" s="62" t="s">
        <v>34695</v>
      </c>
      <c r="AC2694" s="62" t="s">
        <v>34696</v>
      </c>
      <c r="AD2694" s="62" t="s">
        <v>34697</v>
      </c>
    </row>
    <row r="2695" spans="1:30" x14ac:dyDescent="0.25">
      <c r="A2695" s="62" t="s">
        <v>109</v>
      </c>
      <c r="C2695" s="62" t="s">
        <v>34698</v>
      </c>
      <c r="F2695" s="62" t="s">
        <v>872</v>
      </c>
      <c r="G2695" s="62" t="s">
        <v>48189</v>
      </c>
      <c r="J2695" s="62" t="s">
        <v>34699</v>
      </c>
      <c r="K2695" s="62" t="s">
        <v>48236</v>
      </c>
      <c r="L2695" s="62" t="s">
        <v>34700</v>
      </c>
      <c r="M2695" s="62" t="s">
        <v>34701</v>
      </c>
      <c r="N2695" s="62" t="s">
        <v>34702</v>
      </c>
      <c r="O2695" s="62" t="s">
        <v>34703</v>
      </c>
      <c r="P2695" s="62" t="s">
        <v>48283</v>
      </c>
      <c r="Q2695" s="62" t="s">
        <v>34704</v>
      </c>
      <c r="R2695" s="62" t="s">
        <v>34705</v>
      </c>
      <c r="S2695" s="62" t="s">
        <v>34706</v>
      </c>
      <c r="U2695" s="62" t="s">
        <v>34707</v>
      </c>
      <c r="V2695" s="62" t="s">
        <v>48330</v>
      </c>
      <c r="W2695" s="62" t="s">
        <v>34708</v>
      </c>
      <c r="X2695" s="62" t="s">
        <v>34709</v>
      </c>
      <c r="Y2695" s="62" t="s">
        <v>34710</v>
      </c>
      <c r="Z2695" s="62" t="s">
        <v>34711</v>
      </c>
      <c r="AA2695" s="62" t="s">
        <v>48377</v>
      </c>
      <c r="AB2695" s="62" t="s">
        <v>34712</v>
      </c>
      <c r="AC2695" s="62" t="s">
        <v>34713</v>
      </c>
      <c r="AD2695" s="62" t="s">
        <v>34714</v>
      </c>
    </row>
    <row r="2696" spans="1:30" x14ac:dyDescent="0.25">
      <c r="A2696" s="62" t="s">
        <v>109</v>
      </c>
      <c r="C2696" s="62" t="s">
        <v>34715</v>
      </c>
      <c r="F2696" s="62" t="s">
        <v>889</v>
      </c>
      <c r="G2696" s="62" t="s">
        <v>48190</v>
      </c>
      <c r="J2696" s="62" t="s">
        <v>34716</v>
      </c>
      <c r="K2696" s="62" t="s">
        <v>48237</v>
      </c>
      <c r="L2696" s="62" t="s">
        <v>34717</v>
      </c>
      <c r="M2696" s="62" t="s">
        <v>34718</v>
      </c>
      <c r="N2696" s="62" t="s">
        <v>34719</v>
      </c>
      <c r="O2696" s="62" t="s">
        <v>34720</v>
      </c>
      <c r="P2696" s="62" t="s">
        <v>48284</v>
      </c>
      <c r="Q2696" s="62" t="s">
        <v>34721</v>
      </c>
      <c r="R2696" s="62" t="s">
        <v>34722</v>
      </c>
      <c r="S2696" s="62" t="s">
        <v>34723</v>
      </c>
      <c r="U2696" s="62" t="s">
        <v>34724</v>
      </c>
      <c r="V2696" s="62" t="s">
        <v>48331</v>
      </c>
      <c r="W2696" s="62" t="s">
        <v>34725</v>
      </c>
      <c r="X2696" s="62" t="s">
        <v>34726</v>
      </c>
      <c r="Y2696" s="62" t="s">
        <v>34727</v>
      </c>
      <c r="Z2696" s="62" t="s">
        <v>34728</v>
      </c>
      <c r="AA2696" s="62" t="s">
        <v>48378</v>
      </c>
      <c r="AB2696" s="62" t="s">
        <v>34729</v>
      </c>
      <c r="AC2696" s="62" t="s">
        <v>34730</v>
      </c>
      <c r="AD2696" s="62" t="s">
        <v>34731</v>
      </c>
    </row>
    <row r="2697" spans="1:30" x14ac:dyDescent="0.25">
      <c r="A2697" s="62" t="s">
        <v>109</v>
      </c>
      <c r="C2697" s="62" t="s">
        <v>34732</v>
      </c>
      <c r="F2697" s="62" t="s">
        <v>898</v>
      </c>
      <c r="G2697" s="62" t="s">
        <v>48191</v>
      </c>
      <c r="J2697" s="62" t="s">
        <v>34733</v>
      </c>
      <c r="K2697" s="62" t="s">
        <v>48238</v>
      </c>
      <c r="L2697" s="62" t="s">
        <v>34734</v>
      </c>
      <c r="M2697" s="62" t="s">
        <v>34735</v>
      </c>
      <c r="N2697" s="62" t="s">
        <v>34736</v>
      </c>
      <c r="O2697" s="62" t="s">
        <v>34737</v>
      </c>
      <c r="P2697" s="62" t="s">
        <v>48285</v>
      </c>
      <c r="Q2697" s="62" t="s">
        <v>34738</v>
      </c>
      <c r="R2697" s="62" t="s">
        <v>34739</v>
      </c>
      <c r="S2697" s="62" t="s">
        <v>34740</v>
      </c>
      <c r="U2697" s="62" t="s">
        <v>34741</v>
      </c>
      <c r="V2697" s="62" t="s">
        <v>48332</v>
      </c>
      <c r="W2697" s="62" t="s">
        <v>34742</v>
      </c>
      <c r="X2697" s="62" t="s">
        <v>34743</v>
      </c>
      <c r="Y2697" s="62" t="s">
        <v>34744</v>
      </c>
      <c r="Z2697" s="62" t="s">
        <v>34745</v>
      </c>
      <c r="AA2697" s="62" t="s">
        <v>48379</v>
      </c>
      <c r="AB2697" s="62" t="s">
        <v>34746</v>
      </c>
      <c r="AC2697" s="62" t="s">
        <v>34747</v>
      </c>
      <c r="AD2697" s="62" t="s">
        <v>34748</v>
      </c>
    </row>
    <row r="2698" spans="1:30" x14ac:dyDescent="0.25">
      <c r="A2698" s="62" t="s">
        <v>109</v>
      </c>
      <c r="C2698" s="62" t="s">
        <v>34749</v>
      </c>
      <c r="F2698" s="62" t="s">
        <v>925</v>
      </c>
      <c r="G2698" s="62" t="s">
        <v>48192</v>
      </c>
      <c r="J2698" s="62" t="s">
        <v>34750</v>
      </c>
      <c r="K2698" s="62" t="s">
        <v>48239</v>
      </c>
      <c r="L2698" s="62" t="s">
        <v>34751</v>
      </c>
      <c r="M2698" s="62" t="s">
        <v>34752</v>
      </c>
      <c r="N2698" s="62" t="s">
        <v>34753</v>
      </c>
      <c r="O2698" s="62" t="s">
        <v>34754</v>
      </c>
      <c r="P2698" s="62" t="s">
        <v>48286</v>
      </c>
      <c r="Q2698" s="62" t="s">
        <v>34755</v>
      </c>
      <c r="R2698" s="62" t="s">
        <v>34756</v>
      </c>
      <c r="S2698" s="62" t="s">
        <v>34757</v>
      </c>
      <c r="U2698" s="62" t="s">
        <v>34758</v>
      </c>
      <c r="V2698" s="62" t="s">
        <v>48333</v>
      </c>
      <c r="W2698" s="62" t="s">
        <v>34759</v>
      </c>
      <c r="X2698" s="62" t="s">
        <v>34760</v>
      </c>
      <c r="Y2698" s="62" t="s">
        <v>34761</v>
      </c>
      <c r="Z2698" s="62" t="s">
        <v>34762</v>
      </c>
      <c r="AA2698" s="62" t="s">
        <v>48380</v>
      </c>
      <c r="AB2698" s="62" t="s">
        <v>34763</v>
      </c>
      <c r="AC2698" s="62" t="s">
        <v>34764</v>
      </c>
      <c r="AD2698" s="62" t="s">
        <v>34765</v>
      </c>
    </row>
    <row r="2699" spans="1:30" x14ac:dyDescent="0.25">
      <c r="A2699" s="62" t="s">
        <v>109</v>
      </c>
      <c r="C2699" s="62" t="s">
        <v>34766</v>
      </c>
      <c r="F2699" s="62" t="s">
        <v>943</v>
      </c>
      <c r="G2699" s="62" t="s">
        <v>48193</v>
      </c>
      <c r="J2699" s="62" t="s">
        <v>34767</v>
      </c>
      <c r="K2699" s="62" t="s">
        <v>48240</v>
      </c>
      <c r="L2699" s="62" t="s">
        <v>34768</v>
      </c>
      <c r="M2699" s="62" t="s">
        <v>34769</v>
      </c>
      <c r="N2699" s="62" t="s">
        <v>34770</v>
      </c>
      <c r="O2699" s="62" t="s">
        <v>34771</v>
      </c>
      <c r="P2699" s="62" t="s">
        <v>48287</v>
      </c>
      <c r="Q2699" s="62" t="s">
        <v>34772</v>
      </c>
      <c r="R2699" s="62" t="s">
        <v>34773</v>
      </c>
      <c r="S2699" s="62" t="s">
        <v>34774</v>
      </c>
      <c r="U2699" s="62" t="s">
        <v>34775</v>
      </c>
      <c r="V2699" s="62" t="s">
        <v>48334</v>
      </c>
      <c r="W2699" s="62" t="s">
        <v>34776</v>
      </c>
      <c r="X2699" s="62" t="s">
        <v>34777</v>
      </c>
      <c r="Y2699" s="62" t="s">
        <v>34778</v>
      </c>
      <c r="Z2699" s="62" t="s">
        <v>34779</v>
      </c>
      <c r="AA2699" s="62" t="s">
        <v>48381</v>
      </c>
      <c r="AB2699" s="62" t="s">
        <v>34780</v>
      </c>
      <c r="AC2699" s="62" t="s">
        <v>34781</v>
      </c>
      <c r="AD2699" s="62" t="s">
        <v>34782</v>
      </c>
    </row>
    <row r="2700" spans="1:30" x14ac:dyDescent="0.25">
      <c r="A2700" s="62" t="s">
        <v>109</v>
      </c>
      <c r="C2700" s="62" t="s">
        <v>34783</v>
      </c>
      <c r="F2700" s="62" t="s">
        <v>176</v>
      </c>
      <c r="G2700" s="62" t="s">
        <v>48194</v>
      </c>
      <c r="J2700" s="62" t="s">
        <v>34784</v>
      </c>
      <c r="K2700" s="62" t="s">
        <v>48241</v>
      </c>
      <c r="L2700" s="62" t="s">
        <v>34785</v>
      </c>
      <c r="M2700" s="62" t="s">
        <v>34786</v>
      </c>
      <c r="N2700" s="62" t="s">
        <v>34787</v>
      </c>
      <c r="O2700" s="62" t="s">
        <v>34788</v>
      </c>
      <c r="P2700" s="62" t="s">
        <v>48288</v>
      </c>
      <c r="Q2700" s="62" t="s">
        <v>34789</v>
      </c>
      <c r="R2700" s="62" t="s">
        <v>34790</v>
      </c>
      <c r="S2700" s="62" t="s">
        <v>34791</v>
      </c>
      <c r="U2700" s="62" t="s">
        <v>34792</v>
      </c>
      <c r="V2700" s="62" t="s">
        <v>48335</v>
      </c>
      <c r="W2700" s="62" t="s">
        <v>34793</v>
      </c>
      <c r="X2700" s="62" t="s">
        <v>34794</v>
      </c>
      <c r="Y2700" s="62" t="s">
        <v>34795</v>
      </c>
      <c r="Z2700" s="62" t="s">
        <v>34796</v>
      </c>
      <c r="AA2700" s="62" t="s">
        <v>48382</v>
      </c>
      <c r="AB2700" s="62" t="s">
        <v>34797</v>
      </c>
      <c r="AC2700" s="62" t="s">
        <v>34798</v>
      </c>
      <c r="AD2700" s="62" t="s">
        <v>34799</v>
      </c>
    </row>
    <row r="2701" spans="1:30" x14ac:dyDescent="0.25">
      <c r="A2701" s="62" t="s">
        <v>109</v>
      </c>
      <c r="C2701" s="62" t="s">
        <v>34800</v>
      </c>
      <c r="F2701" s="62" t="s">
        <v>976</v>
      </c>
      <c r="G2701" s="62" t="s">
        <v>48195</v>
      </c>
      <c r="J2701" s="62" t="s">
        <v>34801</v>
      </c>
      <c r="K2701" s="62" t="s">
        <v>48242</v>
      </c>
      <c r="L2701" s="62" t="s">
        <v>34802</v>
      </c>
      <c r="M2701" s="62" t="s">
        <v>34803</v>
      </c>
      <c r="N2701" s="62" t="s">
        <v>34804</v>
      </c>
      <c r="O2701" s="62" t="s">
        <v>34805</v>
      </c>
      <c r="P2701" s="62" t="s">
        <v>48289</v>
      </c>
      <c r="Q2701" s="62" t="s">
        <v>34806</v>
      </c>
      <c r="R2701" s="62" t="s">
        <v>34807</v>
      </c>
      <c r="S2701" s="62" t="s">
        <v>34808</v>
      </c>
      <c r="U2701" s="62" t="s">
        <v>34809</v>
      </c>
      <c r="V2701" s="62" t="s">
        <v>48336</v>
      </c>
      <c r="W2701" s="62" t="s">
        <v>34810</v>
      </c>
      <c r="X2701" s="62" t="s">
        <v>34811</v>
      </c>
      <c r="Y2701" s="62" t="s">
        <v>34812</v>
      </c>
      <c r="Z2701" s="62" t="s">
        <v>34813</v>
      </c>
      <c r="AA2701" s="62" t="s">
        <v>48383</v>
      </c>
      <c r="AB2701" s="62" t="s">
        <v>34814</v>
      </c>
      <c r="AC2701" s="62" t="s">
        <v>34815</v>
      </c>
      <c r="AD2701" s="62" t="s">
        <v>34816</v>
      </c>
    </row>
    <row r="2702" spans="1:30" x14ac:dyDescent="0.25">
      <c r="A2702" s="62" t="s">
        <v>109</v>
      </c>
      <c r="C2702" s="62" t="s">
        <v>34817</v>
      </c>
      <c r="F2702" s="62" t="s">
        <v>985</v>
      </c>
      <c r="G2702" s="62" t="s">
        <v>48196</v>
      </c>
      <c r="J2702" s="62" t="s">
        <v>34818</v>
      </c>
      <c r="K2702" s="62" t="s">
        <v>48243</v>
      </c>
      <c r="L2702" s="62" t="s">
        <v>34819</v>
      </c>
      <c r="M2702" s="62" t="s">
        <v>34820</v>
      </c>
      <c r="N2702" s="62" t="s">
        <v>34821</v>
      </c>
      <c r="O2702" s="62" t="s">
        <v>34822</v>
      </c>
      <c r="P2702" s="62" t="s">
        <v>48290</v>
      </c>
      <c r="Q2702" s="62" t="s">
        <v>34823</v>
      </c>
      <c r="R2702" s="62" t="s">
        <v>34824</v>
      </c>
      <c r="S2702" s="62" t="s">
        <v>34825</v>
      </c>
      <c r="U2702" s="62" t="s">
        <v>34826</v>
      </c>
      <c r="V2702" s="62" t="s">
        <v>48337</v>
      </c>
      <c r="W2702" s="62" t="s">
        <v>34827</v>
      </c>
      <c r="X2702" s="62" t="s">
        <v>34828</v>
      </c>
      <c r="Y2702" s="62" t="s">
        <v>34829</v>
      </c>
      <c r="Z2702" s="62" t="s">
        <v>34830</v>
      </c>
      <c r="AA2702" s="62" t="s">
        <v>48384</v>
      </c>
      <c r="AB2702" s="62" t="s">
        <v>34831</v>
      </c>
      <c r="AC2702" s="62" t="s">
        <v>34832</v>
      </c>
      <c r="AD2702" s="62" t="s">
        <v>34833</v>
      </c>
    </row>
    <row r="2703" spans="1:30" x14ac:dyDescent="0.25">
      <c r="A2703" s="62" t="s">
        <v>109</v>
      </c>
      <c r="C2703" s="62" t="s">
        <v>34834</v>
      </c>
      <c r="F2703" s="62" t="s">
        <v>1002</v>
      </c>
      <c r="G2703" s="62" t="s">
        <v>48197</v>
      </c>
      <c r="J2703" s="62" t="s">
        <v>34835</v>
      </c>
      <c r="K2703" s="62" t="s">
        <v>48244</v>
      </c>
      <c r="L2703" s="62" t="s">
        <v>34836</v>
      </c>
      <c r="M2703" s="62" t="s">
        <v>34837</v>
      </c>
      <c r="N2703" s="62" t="s">
        <v>34838</v>
      </c>
      <c r="O2703" s="62" t="s">
        <v>34839</v>
      </c>
      <c r="P2703" s="62" t="s">
        <v>48291</v>
      </c>
      <c r="Q2703" s="62" t="s">
        <v>34840</v>
      </c>
      <c r="R2703" s="62" t="s">
        <v>34841</v>
      </c>
      <c r="S2703" s="62" t="s">
        <v>34842</v>
      </c>
      <c r="U2703" s="62" t="s">
        <v>34843</v>
      </c>
      <c r="V2703" s="62" t="s">
        <v>48338</v>
      </c>
      <c r="W2703" s="62" t="s">
        <v>34844</v>
      </c>
      <c r="X2703" s="62" t="s">
        <v>34845</v>
      </c>
      <c r="Y2703" s="62" t="s">
        <v>34846</v>
      </c>
      <c r="Z2703" s="62" t="s">
        <v>34847</v>
      </c>
      <c r="AA2703" s="62" t="s">
        <v>48385</v>
      </c>
      <c r="AB2703" s="62" t="s">
        <v>34848</v>
      </c>
      <c r="AC2703" s="62" t="s">
        <v>34849</v>
      </c>
      <c r="AD2703" s="62" t="s">
        <v>34850</v>
      </c>
    </row>
    <row r="2704" spans="1:30" x14ac:dyDescent="0.25">
      <c r="A2704" s="62" t="s">
        <v>109</v>
      </c>
      <c r="C2704" s="62" t="s">
        <v>34851</v>
      </c>
      <c r="F2704" s="62" t="s">
        <v>1012</v>
      </c>
      <c r="G2704" s="62" t="s">
        <v>48198</v>
      </c>
      <c r="J2704" s="62" t="s">
        <v>34852</v>
      </c>
      <c r="K2704" s="62" t="s">
        <v>48245</v>
      </c>
      <c r="L2704" s="62" t="s">
        <v>34853</v>
      </c>
      <c r="M2704" s="62" t="s">
        <v>34854</v>
      </c>
      <c r="N2704" s="62" t="s">
        <v>34855</v>
      </c>
      <c r="O2704" s="62" t="s">
        <v>34856</v>
      </c>
      <c r="P2704" s="62" t="s">
        <v>48292</v>
      </c>
      <c r="Q2704" s="62" t="s">
        <v>34857</v>
      </c>
      <c r="R2704" s="62" t="s">
        <v>34858</v>
      </c>
      <c r="S2704" s="62" t="s">
        <v>34859</v>
      </c>
      <c r="U2704" s="62" t="s">
        <v>34860</v>
      </c>
      <c r="V2704" s="62" t="s">
        <v>48339</v>
      </c>
      <c r="W2704" s="62" t="s">
        <v>34861</v>
      </c>
      <c r="X2704" s="62" t="s">
        <v>34862</v>
      </c>
      <c r="Y2704" s="62" t="s">
        <v>34863</v>
      </c>
      <c r="Z2704" s="62" t="s">
        <v>34864</v>
      </c>
      <c r="AA2704" s="62" t="s">
        <v>48386</v>
      </c>
      <c r="AB2704" s="62" t="s">
        <v>34865</v>
      </c>
      <c r="AC2704" s="62" t="s">
        <v>34866</v>
      </c>
      <c r="AD2704" s="62" t="s">
        <v>34867</v>
      </c>
    </row>
    <row r="2705" spans="1:30" x14ac:dyDescent="0.25">
      <c r="A2705" s="62" t="s">
        <v>109</v>
      </c>
      <c r="C2705" s="62" t="s">
        <v>34868</v>
      </c>
      <c r="F2705" s="62" t="s">
        <v>1030</v>
      </c>
      <c r="G2705" s="62" t="s">
        <v>48199</v>
      </c>
      <c r="J2705" s="62" t="s">
        <v>34869</v>
      </c>
      <c r="K2705" s="62" t="s">
        <v>48246</v>
      </c>
      <c r="L2705" s="62" t="s">
        <v>34870</v>
      </c>
      <c r="M2705" s="62" t="s">
        <v>34871</v>
      </c>
      <c r="N2705" s="62" t="s">
        <v>34872</v>
      </c>
      <c r="O2705" s="62" t="s">
        <v>34873</v>
      </c>
      <c r="P2705" s="62" t="s">
        <v>48293</v>
      </c>
      <c r="Q2705" s="62" t="s">
        <v>34874</v>
      </c>
      <c r="R2705" s="62" t="s">
        <v>34875</v>
      </c>
      <c r="S2705" s="62" t="s">
        <v>34876</v>
      </c>
      <c r="U2705" s="62" t="s">
        <v>34877</v>
      </c>
      <c r="V2705" s="62" t="s">
        <v>48340</v>
      </c>
      <c r="W2705" s="62" t="s">
        <v>34878</v>
      </c>
      <c r="X2705" s="62" t="s">
        <v>34879</v>
      </c>
      <c r="Y2705" s="62" t="s">
        <v>34880</v>
      </c>
      <c r="Z2705" s="62" t="s">
        <v>34881</v>
      </c>
      <c r="AA2705" s="62" t="s">
        <v>48387</v>
      </c>
      <c r="AB2705" s="62" t="s">
        <v>34882</v>
      </c>
      <c r="AC2705" s="62" t="s">
        <v>34883</v>
      </c>
      <c r="AD2705" s="62" t="s">
        <v>34884</v>
      </c>
    </row>
    <row r="2706" spans="1:30" x14ac:dyDescent="0.25">
      <c r="A2706" s="62" t="s">
        <v>109</v>
      </c>
      <c r="C2706" s="62" t="s">
        <v>34885</v>
      </c>
      <c r="F2706" s="62" t="s">
        <v>1047</v>
      </c>
      <c r="G2706" s="62" t="s">
        <v>48200</v>
      </c>
      <c r="J2706" s="62" t="s">
        <v>34886</v>
      </c>
      <c r="K2706" s="62" t="s">
        <v>48247</v>
      </c>
      <c r="L2706" s="62" t="s">
        <v>34887</v>
      </c>
      <c r="M2706" s="62" t="s">
        <v>34888</v>
      </c>
      <c r="N2706" s="62" t="s">
        <v>34889</v>
      </c>
      <c r="O2706" s="62" t="s">
        <v>34890</v>
      </c>
      <c r="P2706" s="62" t="s">
        <v>48294</v>
      </c>
      <c r="Q2706" s="62" t="s">
        <v>34891</v>
      </c>
      <c r="R2706" s="62" t="s">
        <v>34892</v>
      </c>
      <c r="S2706" s="62" t="s">
        <v>34893</v>
      </c>
      <c r="U2706" s="62" t="s">
        <v>34894</v>
      </c>
      <c r="V2706" s="62" t="s">
        <v>48341</v>
      </c>
      <c r="W2706" s="62" t="s">
        <v>34895</v>
      </c>
      <c r="X2706" s="62" t="s">
        <v>34896</v>
      </c>
      <c r="Y2706" s="62" t="s">
        <v>34897</v>
      </c>
      <c r="Z2706" s="62" t="s">
        <v>34898</v>
      </c>
      <c r="AA2706" s="62" t="s">
        <v>48388</v>
      </c>
      <c r="AB2706" s="62" t="s">
        <v>34899</v>
      </c>
      <c r="AC2706" s="62" t="s">
        <v>34900</v>
      </c>
      <c r="AD2706" s="62" t="s">
        <v>34901</v>
      </c>
    </row>
    <row r="2707" spans="1:30" x14ac:dyDescent="0.25">
      <c r="A2707" s="62" t="s">
        <v>109</v>
      </c>
      <c r="C2707" s="62" t="s">
        <v>34902</v>
      </c>
      <c r="F2707" s="62" t="s">
        <v>1064</v>
      </c>
      <c r="G2707" s="62" t="s">
        <v>48201</v>
      </c>
      <c r="J2707" s="62" t="s">
        <v>34903</v>
      </c>
      <c r="K2707" s="62" t="s">
        <v>48248</v>
      </c>
      <c r="L2707" s="62" t="s">
        <v>34904</v>
      </c>
      <c r="M2707" s="62" t="s">
        <v>34905</v>
      </c>
      <c r="N2707" s="62" t="s">
        <v>34906</v>
      </c>
      <c r="O2707" s="62" t="s">
        <v>34907</v>
      </c>
      <c r="P2707" s="62" t="s">
        <v>48295</v>
      </c>
      <c r="Q2707" s="62" t="s">
        <v>34908</v>
      </c>
      <c r="R2707" s="62" t="s">
        <v>34909</v>
      </c>
      <c r="S2707" s="62" t="s">
        <v>34910</v>
      </c>
      <c r="U2707" s="62" t="s">
        <v>34911</v>
      </c>
      <c r="V2707" s="62" t="s">
        <v>48342</v>
      </c>
      <c r="W2707" s="62" t="s">
        <v>34912</v>
      </c>
      <c r="X2707" s="62" t="s">
        <v>34913</v>
      </c>
      <c r="Y2707" s="62" t="s">
        <v>34914</v>
      </c>
      <c r="Z2707" s="62" t="s">
        <v>34915</v>
      </c>
      <c r="AA2707" s="62" t="s">
        <v>48389</v>
      </c>
      <c r="AB2707" s="62" t="s">
        <v>34916</v>
      </c>
      <c r="AC2707" s="62" t="s">
        <v>34917</v>
      </c>
      <c r="AD2707" s="62" t="s">
        <v>34918</v>
      </c>
    </row>
    <row r="2708" spans="1:30" x14ac:dyDescent="0.25">
      <c r="A2708" s="62" t="s">
        <v>109</v>
      </c>
      <c r="C2708" s="62" t="s">
        <v>34919</v>
      </c>
      <c r="F2708" s="62" t="s">
        <v>1073</v>
      </c>
      <c r="G2708" s="62" t="s">
        <v>48202</v>
      </c>
      <c r="J2708" s="62" t="s">
        <v>34920</v>
      </c>
      <c r="K2708" s="62" t="s">
        <v>48249</v>
      </c>
      <c r="L2708" s="62" t="s">
        <v>34921</v>
      </c>
      <c r="M2708" s="62" t="s">
        <v>34922</v>
      </c>
      <c r="N2708" s="62" t="s">
        <v>34923</v>
      </c>
      <c r="O2708" s="62" t="s">
        <v>34924</v>
      </c>
      <c r="P2708" s="62" t="s">
        <v>48296</v>
      </c>
      <c r="Q2708" s="62" t="s">
        <v>34925</v>
      </c>
      <c r="R2708" s="62" t="s">
        <v>34926</v>
      </c>
      <c r="S2708" s="62" t="s">
        <v>34927</v>
      </c>
      <c r="U2708" s="62" t="s">
        <v>34928</v>
      </c>
      <c r="V2708" s="62" t="s">
        <v>48343</v>
      </c>
      <c r="W2708" s="62" t="s">
        <v>34929</v>
      </c>
      <c r="X2708" s="62" t="s">
        <v>34930</v>
      </c>
      <c r="Y2708" s="62" t="s">
        <v>34931</v>
      </c>
      <c r="Z2708" s="62" t="s">
        <v>34932</v>
      </c>
      <c r="AA2708" s="62" t="s">
        <v>48390</v>
      </c>
      <c r="AB2708" s="62" t="s">
        <v>34933</v>
      </c>
      <c r="AC2708" s="62" t="s">
        <v>34934</v>
      </c>
      <c r="AD2708" s="62" t="s">
        <v>34935</v>
      </c>
    </row>
    <row r="2709" spans="1:30" x14ac:dyDescent="0.25">
      <c r="A2709" s="62" t="s">
        <v>109</v>
      </c>
      <c r="C2709" s="62" t="s">
        <v>34936</v>
      </c>
      <c r="F2709" s="62" t="s">
        <v>1090</v>
      </c>
      <c r="G2709" s="62" t="s">
        <v>48203</v>
      </c>
      <c r="J2709" s="62" t="s">
        <v>34937</v>
      </c>
      <c r="K2709" s="62" t="s">
        <v>48250</v>
      </c>
      <c r="L2709" s="62" t="s">
        <v>34938</v>
      </c>
      <c r="M2709" s="62" t="s">
        <v>34939</v>
      </c>
      <c r="N2709" s="62" t="s">
        <v>34940</v>
      </c>
      <c r="O2709" s="62" t="s">
        <v>34941</v>
      </c>
      <c r="P2709" s="62" t="s">
        <v>48297</v>
      </c>
      <c r="Q2709" s="62" t="s">
        <v>34942</v>
      </c>
      <c r="R2709" s="62" t="s">
        <v>34943</v>
      </c>
      <c r="S2709" s="62" t="s">
        <v>34944</v>
      </c>
      <c r="U2709" s="62" t="s">
        <v>34945</v>
      </c>
      <c r="V2709" s="62" t="s">
        <v>48344</v>
      </c>
      <c r="W2709" s="62" t="s">
        <v>34946</v>
      </c>
      <c r="X2709" s="62" t="s">
        <v>34947</v>
      </c>
      <c r="Y2709" s="62" t="s">
        <v>34948</v>
      </c>
      <c r="Z2709" s="62" t="s">
        <v>34949</v>
      </c>
      <c r="AA2709" s="62" t="s">
        <v>48391</v>
      </c>
      <c r="AB2709" s="62" t="s">
        <v>34950</v>
      </c>
      <c r="AC2709" s="62" t="s">
        <v>34951</v>
      </c>
      <c r="AD2709" s="62" t="s">
        <v>34952</v>
      </c>
    </row>
    <row r="2710" spans="1:30" x14ac:dyDescent="0.25">
      <c r="A2710" s="62" t="s">
        <v>109</v>
      </c>
      <c r="C2710" s="62" t="s">
        <v>34953</v>
      </c>
      <c r="F2710" s="62" t="s">
        <v>1100</v>
      </c>
      <c r="G2710" s="62" t="s">
        <v>48204</v>
      </c>
      <c r="J2710" s="62" t="s">
        <v>34954</v>
      </c>
      <c r="K2710" s="62" t="s">
        <v>48251</v>
      </c>
      <c r="L2710" s="62" t="s">
        <v>34955</v>
      </c>
      <c r="M2710" s="62" t="s">
        <v>34956</v>
      </c>
      <c r="N2710" s="62" t="s">
        <v>34957</v>
      </c>
      <c r="O2710" s="62" t="s">
        <v>34958</v>
      </c>
      <c r="P2710" s="62" t="s">
        <v>48298</v>
      </c>
      <c r="Q2710" s="62" t="s">
        <v>34959</v>
      </c>
      <c r="R2710" s="62" t="s">
        <v>34960</v>
      </c>
      <c r="S2710" s="62" t="s">
        <v>34961</v>
      </c>
      <c r="U2710" s="62" t="s">
        <v>34962</v>
      </c>
      <c r="V2710" s="62" t="s">
        <v>48345</v>
      </c>
      <c r="W2710" s="62" t="s">
        <v>34963</v>
      </c>
      <c r="X2710" s="62" t="s">
        <v>34964</v>
      </c>
      <c r="Y2710" s="62" t="s">
        <v>34965</v>
      </c>
      <c r="Z2710" s="62" t="s">
        <v>34966</v>
      </c>
      <c r="AA2710" s="62" t="s">
        <v>48392</v>
      </c>
      <c r="AB2710" s="62" t="s">
        <v>34967</v>
      </c>
      <c r="AC2710" s="62" t="s">
        <v>34968</v>
      </c>
      <c r="AD2710" s="62" t="s">
        <v>34969</v>
      </c>
    </row>
    <row r="2711" spans="1:30" x14ac:dyDescent="0.25">
      <c r="A2711" s="62" t="s">
        <v>109</v>
      </c>
      <c r="C2711" s="62" t="s">
        <v>34970</v>
      </c>
      <c r="F2711" s="62" t="s">
        <v>1135</v>
      </c>
      <c r="G2711" s="62" t="s">
        <v>48205</v>
      </c>
      <c r="J2711" s="62" t="s">
        <v>34971</v>
      </c>
      <c r="K2711" s="62" t="s">
        <v>48252</v>
      </c>
      <c r="L2711" s="62" t="s">
        <v>34972</v>
      </c>
      <c r="M2711" s="62" t="s">
        <v>34973</v>
      </c>
      <c r="N2711" s="62" t="s">
        <v>34974</v>
      </c>
      <c r="O2711" s="62" t="s">
        <v>34975</v>
      </c>
      <c r="P2711" s="62" t="s">
        <v>48299</v>
      </c>
      <c r="Q2711" s="62" t="s">
        <v>34976</v>
      </c>
      <c r="R2711" s="62" t="s">
        <v>34977</v>
      </c>
      <c r="S2711" s="62" t="s">
        <v>34978</v>
      </c>
      <c r="U2711" s="62" t="s">
        <v>34979</v>
      </c>
      <c r="V2711" s="62" t="s">
        <v>48346</v>
      </c>
      <c r="W2711" s="62" t="s">
        <v>34980</v>
      </c>
      <c r="X2711" s="62" t="s">
        <v>34981</v>
      </c>
      <c r="Y2711" s="62" t="s">
        <v>34982</v>
      </c>
      <c r="Z2711" s="62" t="s">
        <v>34983</v>
      </c>
      <c r="AA2711" s="62" t="s">
        <v>48393</v>
      </c>
      <c r="AB2711" s="62" t="s">
        <v>34984</v>
      </c>
      <c r="AC2711" s="62" t="s">
        <v>34985</v>
      </c>
      <c r="AD2711" s="62" t="s">
        <v>34986</v>
      </c>
    </row>
    <row r="2712" spans="1:30" x14ac:dyDescent="0.25">
      <c r="A2712" s="62" t="s">
        <v>109</v>
      </c>
      <c r="C2712" s="62" t="s">
        <v>34987</v>
      </c>
      <c r="F2712" s="62" t="s">
        <v>1152</v>
      </c>
      <c r="G2712" s="62" t="s">
        <v>48206</v>
      </c>
      <c r="J2712" s="62" t="s">
        <v>34988</v>
      </c>
      <c r="K2712" s="62" t="s">
        <v>48253</v>
      </c>
      <c r="L2712" s="62" t="s">
        <v>34989</v>
      </c>
      <c r="M2712" s="62" t="s">
        <v>34990</v>
      </c>
      <c r="N2712" s="62" t="s">
        <v>34991</v>
      </c>
      <c r="O2712" s="62" t="s">
        <v>34992</v>
      </c>
      <c r="P2712" s="62" t="s">
        <v>48300</v>
      </c>
      <c r="Q2712" s="62" t="s">
        <v>34993</v>
      </c>
      <c r="R2712" s="62" t="s">
        <v>34994</v>
      </c>
      <c r="S2712" s="62" t="s">
        <v>34995</v>
      </c>
      <c r="U2712" s="62" t="s">
        <v>34996</v>
      </c>
      <c r="V2712" s="62" t="s">
        <v>48347</v>
      </c>
      <c r="W2712" s="62" t="s">
        <v>34997</v>
      </c>
      <c r="X2712" s="62" t="s">
        <v>34998</v>
      </c>
      <c r="Y2712" s="62" t="s">
        <v>34999</v>
      </c>
      <c r="Z2712" s="62" t="s">
        <v>35000</v>
      </c>
      <c r="AA2712" s="62" t="s">
        <v>48394</v>
      </c>
      <c r="AB2712" s="62" t="s">
        <v>35001</v>
      </c>
      <c r="AC2712" s="62" t="s">
        <v>35002</v>
      </c>
      <c r="AD2712" s="62" t="s">
        <v>35003</v>
      </c>
    </row>
    <row r="2713" spans="1:30" x14ac:dyDescent="0.25">
      <c r="A2713" s="62" t="s">
        <v>109</v>
      </c>
      <c r="C2713" s="62" t="s">
        <v>45750</v>
      </c>
      <c r="F2713" s="62" t="s">
        <v>1688</v>
      </c>
      <c r="G2713" s="62" t="s">
        <v>48207</v>
      </c>
      <c r="J2713" s="62" t="s">
        <v>45751</v>
      </c>
      <c r="K2713" s="62" t="s">
        <v>48254</v>
      </c>
      <c r="L2713" s="62" t="s">
        <v>45752</v>
      </c>
      <c r="M2713" s="62" t="s">
        <v>45753</v>
      </c>
      <c r="N2713" s="62" t="s">
        <v>45754</v>
      </c>
      <c r="O2713" s="62" t="s">
        <v>45755</v>
      </c>
      <c r="P2713" s="62" t="s">
        <v>48301</v>
      </c>
      <c r="Q2713" s="62" t="s">
        <v>45756</v>
      </c>
      <c r="R2713" s="62" t="s">
        <v>45757</v>
      </c>
      <c r="S2713" s="62" t="s">
        <v>45758</v>
      </c>
      <c r="U2713" s="62" t="s">
        <v>45759</v>
      </c>
      <c r="V2713" s="62" t="s">
        <v>48348</v>
      </c>
      <c r="W2713" s="62" t="s">
        <v>45760</v>
      </c>
      <c r="X2713" s="62" t="s">
        <v>45761</v>
      </c>
      <c r="Y2713" s="62" t="s">
        <v>45762</v>
      </c>
      <c r="Z2713" s="62" t="s">
        <v>45763</v>
      </c>
      <c r="AA2713" s="62" t="s">
        <v>48395</v>
      </c>
      <c r="AB2713" s="62" t="s">
        <v>45764</v>
      </c>
      <c r="AC2713" s="62" t="s">
        <v>45765</v>
      </c>
      <c r="AD2713" s="62" t="s">
        <v>45766</v>
      </c>
    </row>
    <row r="2714" spans="1:30" x14ac:dyDescent="0.25">
      <c r="A2714" s="62" t="s">
        <v>109</v>
      </c>
      <c r="C2714" s="62" t="s">
        <v>35004</v>
      </c>
      <c r="F2714" s="62" t="s">
        <v>1161</v>
      </c>
      <c r="G2714" s="62" t="s">
        <v>48208</v>
      </c>
      <c r="J2714" s="62" t="s">
        <v>45767</v>
      </c>
      <c r="K2714" s="62" t="s">
        <v>48255</v>
      </c>
      <c r="L2714" s="62" t="s">
        <v>45768</v>
      </c>
      <c r="M2714" s="62" t="s">
        <v>35005</v>
      </c>
      <c r="N2714" s="62" t="s">
        <v>35006</v>
      </c>
      <c r="O2714" s="62" t="s">
        <v>45769</v>
      </c>
      <c r="P2714" s="62" t="s">
        <v>48302</v>
      </c>
      <c r="Q2714" s="62" t="s">
        <v>45770</v>
      </c>
      <c r="R2714" s="62" t="s">
        <v>35007</v>
      </c>
      <c r="S2714" s="62" t="s">
        <v>35008</v>
      </c>
      <c r="U2714" s="62" t="s">
        <v>45771</v>
      </c>
      <c r="V2714" s="62" t="s">
        <v>48349</v>
      </c>
      <c r="W2714" s="62" t="s">
        <v>45772</v>
      </c>
      <c r="X2714" s="62" t="s">
        <v>35009</v>
      </c>
      <c r="Y2714" s="62" t="s">
        <v>35010</v>
      </c>
      <c r="Z2714" s="62" t="s">
        <v>45773</v>
      </c>
      <c r="AA2714" s="62" t="s">
        <v>48396</v>
      </c>
      <c r="AB2714" s="62" t="s">
        <v>45774</v>
      </c>
      <c r="AC2714" s="62" t="s">
        <v>35011</v>
      </c>
      <c r="AD2714" s="62" t="s">
        <v>35012</v>
      </c>
    </row>
    <row r="2715" spans="1:30" x14ac:dyDescent="0.25">
      <c r="A2715" s="62" t="s">
        <v>109</v>
      </c>
      <c r="C2715" s="62" t="s">
        <v>45775</v>
      </c>
      <c r="F2715" s="62" t="s">
        <v>1178</v>
      </c>
      <c r="G2715" s="62" t="s">
        <v>48209</v>
      </c>
      <c r="J2715" s="62" t="s">
        <v>45776</v>
      </c>
      <c r="K2715" s="62" t="s">
        <v>48256</v>
      </c>
      <c r="L2715" s="62" t="s">
        <v>45777</v>
      </c>
      <c r="M2715" s="62" t="s">
        <v>45778</v>
      </c>
      <c r="N2715" s="62" t="s">
        <v>45779</v>
      </c>
      <c r="O2715" s="62" t="s">
        <v>45780</v>
      </c>
      <c r="P2715" s="62" t="s">
        <v>48303</v>
      </c>
      <c r="Q2715" s="62" t="s">
        <v>45781</v>
      </c>
      <c r="R2715" s="62" t="s">
        <v>45782</v>
      </c>
      <c r="S2715" s="62" t="s">
        <v>45783</v>
      </c>
      <c r="U2715" s="62" t="s">
        <v>45784</v>
      </c>
      <c r="V2715" s="62" t="s">
        <v>48350</v>
      </c>
      <c r="W2715" s="62" t="s">
        <v>45785</v>
      </c>
      <c r="X2715" s="62" t="s">
        <v>45786</v>
      </c>
      <c r="Y2715" s="62" t="s">
        <v>45787</v>
      </c>
      <c r="Z2715" s="62" t="s">
        <v>45788</v>
      </c>
      <c r="AA2715" s="62" t="s">
        <v>48397</v>
      </c>
      <c r="AB2715" s="62" t="s">
        <v>45789</v>
      </c>
      <c r="AC2715" s="62" t="s">
        <v>45790</v>
      </c>
      <c r="AD2715" s="62" t="s">
        <v>45791</v>
      </c>
    </row>
    <row r="2716" spans="1:30" x14ac:dyDescent="0.25">
      <c r="A2716" s="62" t="s">
        <v>109</v>
      </c>
      <c r="C2716" s="62" t="s">
        <v>45792</v>
      </c>
      <c r="F2716" s="62" t="s">
        <v>1188</v>
      </c>
      <c r="G2716" s="62" t="s">
        <v>48210</v>
      </c>
      <c r="J2716" s="62" t="s">
        <v>45793</v>
      </c>
      <c r="K2716" s="62" t="s">
        <v>48257</v>
      </c>
      <c r="L2716" s="62" t="s">
        <v>45794</v>
      </c>
      <c r="M2716" s="62" t="s">
        <v>45795</v>
      </c>
      <c r="N2716" s="62" t="s">
        <v>45796</v>
      </c>
      <c r="O2716" s="62" t="s">
        <v>45797</v>
      </c>
      <c r="P2716" s="62" t="s">
        <v>48304</v>
      </c>
      <c r="Q2716" s="62" t="s">
        <v>45798</v>
      </c>
      <c r="R2716" s="62" t="s">
        <v>45799</v>
      </c>
      <c r="S2716" s="62" t="s">
        <v>45800</v>
      </c>
      <c r="U2716" s="62" t="s">
        <v>45801</v>
      </c>
      <c r="V2716" s="62" t="s">
        <v>48351</v>
      </c>
      <c r="W2716" s="62" t="s">
        <v>45802</v>
      </c>
      <c r="X2716" s="62" t="s">
        <v>45803</v>
      </c>
      <c r="Y2716" s="62" t="s">
        <v>45804</v>
      </c>
      <c r="Z2716" s="62" t="s">
        <v>45805</v>
      </c>
      <c r="AA2716" s="62" t="s">
        <v>48398</v>
      </c>
      <c r="AB2716" s="62" t="s">
        <v>45806</v>
      </c>
      <c r="AC2716" s="62" t="s">
        <v>45807</v>
      </c>
      <c r="AD2716" s="62" t="s">
        <v>45808</v>
      </c>
    </row>
    <row r="2717" spans="1:30" x14ac:dyDescent="0.25">
      <c r="A2717" s="62" t="s">
        <v>109</v>
      </c>
      <c r="C2717" s="62" t="s">
        <v>35014</v>
      </c>
      <c r="F2717" s="62" t="s">
        <v>1206</v>
      </c>
      <c r="G2717" s="62" t="s">
        <v>48211</v>
      </c>
      <c r="J2717" s="62" t="s">
        <v>45809</v>
      </c>
      <c r="K2717" s="62" t="s">
        <v>48258</v>
      </c>
      <c r="L2717" s="62" t="s">
        <v>45810</v>
      </c>
      <c r="M2717" s="62" t="s">
        <v>45811</v>
      </c>
      <c r="N2717" s="62" t="s">
        <v>45812</v>
      </c>
      <c r="O2717" s="62" t="s">
        <v>45813</v>
      </c>
      <c r="P2717" s="62" t="s">
        <v>48305</v>
      </c>
      <c r="Q2717" s="62" t="s">
        <v>45814</v>
      </c>
      <c r="R2717" s="62" t="s">
        <v>45815</v>
      </c>
      <c r="S2717" s="62" t="s">
        <v>45816</v>
      </c>
      <c r="U2717" s="62" t="s">
        <v>45817</v>
      </c>
      <c r="V2717" s="62" t="s">
        <v>48352</v>
      </c>
      <c r="W2717" s="62" t="s">
        <v>45818</v>
      </c>
      <c r="X2717" s="62" t="s">
        <v>45819</v>
      </c>
      <c r="Y2717" s="62" t="s">
        <v>45820</v>
      </c>
      <c r="Z2717" s="62" t="s">
        <v>45821</v>
      </c>
      <c r="AA2717" s="62" t="s">
        <v>48399</v>
      </c>
      <c r="AB2717" s="62" t="s">
        <v>45822</v>
      </c>
      <c r="AC2717" s="62" t="s">
        <v>45823</v>
      </c>
      <c r="AD2717" s="62" t="s">
        <v>45824</v>
      </c>
    </row>
    <row r="2718" spans="1:30" x14ac:dyDescent="0.25">
      <c r="A2718" s="62" t="s">
        <v>109</v>
      </c>
      <c r="C2718" s="62" t="s">
        <v>35015</v>
      </c>
      <c r="F2718" s="62" t="s">
        <v>1223</v>
      </c>
      <c r="G2718" s="62" t="s">
        <v>48212</v>
      </c>
      <c r="J2718" s="62" t="s">
        <v>35016</v>
      </c>
      <c r="K2718" s="62" t="s">
        <v>48259</v>
      </c>
      <c r="L2718" s="62" t="s">
        <v>35017</v>
      </c>
      <c r="M2718" s="62" t="s">
        <v>35018</v>
      </c>
      <c r="N2718" s="62" t="s">
        <v>35019</v>
      </c>
      <c r="O2718" s="62" t="s">
        <v>35020</v>
      </c>
      <c r="P2718" s="62" t="s">
        <v>48306</v>
      </c>
      <c r="Q2718" s="62" t="s">
        <v>35021</v>
      </c>
      <c r="R2718" s="62" t="s">
        <v>35022</v>
      </c>
      <c r="S2718" s="62" t="s">
        <v>35023</v>
      </c>
      <c r="U2718" s="62" t="s">
        <v>35024</v>
      </c>
      <c r="V2718" s="62" t="s">
        <v>48353</v>
      </c>
      <c r="W2718" s="62" t="s">
        <v>35025</v>
      </c>
      <c r="X2718" s="62" t="s">
        <v>35026</v>
      </c>
      <c r="Y2718" s="62" t="s">
        <v>35027</v>
      </c>
      <c r="Z2718" s="62" t="s">
        <v>35028</v>
      </c>
      <c r="AA2718" s="62" t="s">
        <v>48400</v>
      </c>
      <c r="AB2718" s="62" t="s">
        <v>35029</v>
      </c>
      <c r="AC2718" s="62" t="s">
        <v>35030</v>
      </c>
      <c r="AD2718" s="62" t="s">
        <v>35031</v>
      </c>
    </row>
    <row r="2719" spans="1:30" x14ac:dyDescent="0.25">
      <c r="A2719" s="62" t="s">
        <v>109</v>
      </c>
      <c r="C2719" s="62" t="s">
        <v>35032</v>
      </c>
      <c r="F2719" s="62" t="s">
        <v>1240</v>
      </c>
      <c r="G2719" s="62" t="s">
        <v>48213</v>
      </c>
      <c r="J2719" s="62" t="s">
        <v>35033</v>
      </c>
      <c r="K2719" s="62" t="s">
        <v>48260</v>
      </c>
      <c r="L2719" s="62" t="s">
        <v>35034</v>
      </c>
      <c r="M2719" s="62" t="s">
        <v>35035</v>
      </c>
      <c r="N2719" s="62" t="s">
        <v>35036</v>
      </c>
      <c r="O2719" s="62" t="s">
        <v>35037</v>
      </c>
      <c r="P2719" s="62" t="s">
        <v>48307</v>
      </c>
      <c r="Q2719" s="62" t="s">
        <v>35038</v>
      </c>
      <c r="R2719" s="62" t="s">
        <v>35039</v>
      </c>
      <c r="S2719" s="62" t="s">
        <v>35040</v>
      </c>
      <c r="U2719" s="62" t="s">
        <v>35041</v>
      </c>
      <c r="V2719" s="62" t="s">
        <v>48354</v>
      </c>
      <c r="W2719" s="62" t="s">
        <v>35042</v>
      </c>
      <c r="X2719" s="62" t="s">
        <v>35043</v>
      </c>
      <c r="Y2719" s="62" t="s">
        <v>35044</v>
      </c>
      <c r="Z2719" s="62" t="s">
        <v>35045</v>
      </c>
      <c r="AA2719" s="62" t="s">
        <v>48401</v>
      </c>
      <c r="AB2719" s="62" t="s">
        <v>35046</v>
      </c>
      <c r="AC2719" s="62" t="s">
        <v>35047</v>
      </c>
      <c r="AD2719" s="62" t="s">
        <v>35048</v>
      </c>
    </row>
    <row r="2720" spans="1:30" x14ac:dyDescent="0.25">
      <c r="A2720" s="62" t="s">
        <v>109</v>
      </c>
      <c r="C2720" s="62" t="s">
        <v>35049</v>
      </c>
      <c r="F2720" s="62" t="s">
        <v>1249</v>
      </c>
      <c r="G2720" s="62" t="s">
        <v>48214</v>
      </c>
      <c r="J2720" s="62" t="s">
        <v>35050</v>
      </c>
      <c r="K2720" s="62" t="s">
        <v>48261</v>
      </c>
      <c r="L2720" s="62" t="s">
        <v>35051</v>
      </c>
      <c r="M2720" s="62" t="s">
        <v>35052</v>
      </c>
      <c r="N2720" s="62" t="s">
        <v>35053</v>
      </c>
      <c r="O2720" s="62" t="s">
        <v>35054</v>
      </c>
      <c r="P2720" s="62" t="s">
        <v>48308</v>
      </c>
      <c r="Q2720" s="62" t="s">
        <v>35055</v>
      </c>
      <c r="R2720" s="62" t="s">
        <v>35056</v>
      </c>
      <c r="S2720" s="62" t="s">
        <v>35057</v>
      </c>
      <c r="U2720" s="62" t="s">
        <v>35058</v>
      </c>
      <c r="V2720" s="62" t="s">
        <v>48355</v>
      </c>
      <c r="W2720" s="62" t="s">
        <v>35059</v>
      </c>
      <c r="X2720" s="62" t="s">
        <v>35060</v>
      </c>
      <c r="Y2720" s="62" t="s">
        <v>35061</v>
      </c>
      <c r="Z2720" s="62" t="s">
        <v>35062</v>
      </c>
      <c r="AA2720" s="62" t="s">
        <v>48402</v>
      </c>
      <c r="AB2720" s="62" t="s">
        <v>35063</v>
      </c>
      <c r="AC2720" s="62" t="s">
        <v>35064</v>
      </c>
      <c r="AD2720" s="62" t="s">
        <v>35065</v>
      </c>
    </row>
    <row r="2721" spans="1:30" x14ac:dyDescent="0.25">
      <c r="A2721" s="62" t="s">
        <v>109</v>
      </c>
      <c r="C2721" s="62" t="s">
        <v>35066</v>
      </c>
      <c r="F2721" s="62" t="s">
        <v>1266</v>
      </c>
      <c r="G2721" s="62" t="s">
        <v>48215</v>
      </c>
      <c r="J2721" s="62" t="s">
        <v>35067</v>
      </c>
      <c r="K2721" s="62" t="s">
        <v>48262</v>
      </c>
      <c r="L2721" s="62" t="s">
        <v>35068</v>
      </c>
      <c r="M2721" s="62" t="s">
        <v>35069</v>
      </c>
      <c r="N2721" s="62" t="s">
        <v>35070</v>
      </c>
      <c r="O2721" s="62" t="s">
        <v>35071</v>
      </c>
      <c r="P2721" s="62" t="s">
        <v>48309</v>
      </c>
      <c r="Q2721" s="62" t="s">
        <v>35072</v>
      </c>
      <c r="R2721" s="62" t="s">
        <v>35073</v>
      </c>
      <c r="S2721" s="62" t="s">
        <v>35074</v>
      </c>
      <c r="U2721" s="62" t="s">
        <v>35075</v>
      </c>
      <c r="V2721" s="62" t="s">
        <v>48356</v>
      </c>
      <c r="W2721" s="62" t="s">
        <v>35076</v>
      </c>
      <c r="X2721" s="62" t="s">
        <v>35077</v>
      </c>
      <c r="Y2721" s="62" t="s">
        <v>35078</v>
      </c>
      <c r="Z2721" s="62" t="s">
        <v>35079</v>
      </c>
      <c r="AA2721" s="62" t="s">
        <v>48403</v>
      </c>
      <c r="AB2721" s="62" t="s">
        <v>35080</v>
      </c>
      <c r="AC2721" s="62" t="s">
        <v>35081</v>
      </c>
      <c r="AD2721" s="62" t="s">
        <v>35082</v>
      </c>
    </row>
    <row r="2722" spans="1:30" x14ac:dyDescent="0.25">
      <c r="A2722" s="62" t="s">
        <v>109</v>
      </c>
      <c r="C2722" s="62" t="s">
        <v>35083</v>
      </c>
      <c r="F2722" s="62" t="s">
        <v>1277</v>
      </c>
      <c r="G2722" s="62" t="s">
        <v>48216</v>
      </c>
      <c r="J2722" s="62" t="s">
        <v>35084</v>
      </c>
      <c r="K2722" s="62" t="s">
        <v>48263</v>
      </c>
      <c r="L2722" s="62" t="s">
        <v>35085</v>
      </c>
      <c r="M2722" s="62" t="s">
        <v>35086</v>
      </c>
      <c r="N2722" s="62" t="s">
        <v>35087</v>
      </c>
      <c r="O2722" s="62" t="s">
        <v>35088</v>
      </c>
      <c r="P2722" s="62" t="s">
        <v>48310</v>
      </c>
      <c r="Q2722" s="62" t="s">
        <v>35089</v>
      </c>
      <c r="R2722" s="62" t="s">
        <v>35090</v>
      </c>
      <c r="S2722" s="62" t="s">
        <v>35091</v>
      </c>
      <c r="U2722" s="62" t="s">
        <v>35092</v>
      </c>
      <c r="V2722" s="62" t="s">
        <v>48357</v>
      </c>
      <c r="W2722" s="62" t="s">
        <v>35093</v>
      </c>
      <c r="X2722" s="62" t="s">
        <v>35094</v>
      </c>
      <c r="Y2722" s="62" t="s">
        <v>35095</v>
      </c>
      <c r="Z2722" s="62" t="s">
        <v>35096</v>
      </c>
      <c r="AA2722" s="62" t="s">
        <v>48404</v>
      </c>
      <c r="AB2722" s="62" t="s">
        <v>35097</v>
      </c>
      <c r="AC2722" s="62" t="s">
        <v>35098</v>
      </c>
      <c r="AD2722" s="62" t="s">
        <v>35099</v>
      </c>
    </row>
    <row r="2723" spans="1:30" x14ac:dyDescent="0.25">
      <c r="A2723" s="62" t="s">
        <v>109</v>
      </c>
      <c r="C2723" s="62" t="s">
        <v>35100</v>
      </c>
      <c r="F2723" s="62" t="s">
        <v>1795</v>
      </c>
      <c r="G2723" s="62" t="s">
        <v>48217</v>
      </c>
      <c r="J2723" s="62" t="s">
        <v>35101</v>
      </c>
      <c r="K2723" s="62" t="s">
        <v>48264</v>
      </c>
      <c r="L2723" s="62" t="s">
        <v>35102</v>
      </c>
      <c r="M2723" s="62" t="s">
        <v>35103</v>
      </c>
      <c r="N2723" s="62" t="s">
        <v>35104</v>
      </c>
      <c r="O2723" s="62" t="s">
        <v>35105</v>
      </c>
      <c r="P2723" s="62" t="s">
        <v>48311</v>
      </c>
      <c r="Q2723" s="62" t="s">
        <v>35106</v>
      </c>
      <c r="R2723" s="62" t="s">
        <v>35107</v>
      </c>
      <c r="S2723" s="62" t="s">
        <v>35108</v>
      </c>
      <c r="U2723" s="62" t="s">
        <v>35109</v>
      </c>
      <c r="V2723" s="62" t="s">
        <v>48358</v>
      </c>
      <c r="W2723" s="62" t="s">
        <v>35110</v>
      </c>
      <c r="X2723" s="62" t="s">
        <v>35111</v>
      </c>
      <c r="Y2723" s="62" t="s">
        <v>35112</v>
      </c>
      <c r="Z2723" s="62" t="s">
        <v>35113</v>
      </c>
      <c r="AA2723" s="62" t="s">
        <v>48405</v>
      </c>
      <c r="AB2723" s="62" t="s">
        <v>35114</v>
      </c>
      <c r="AC2723" s="62" t="s">
        <v>35115</v>
      </c>
      <c r="AD2723" s="62" t="s">
        <v>35116</v>
      </c>
    </row>
    <row r="2724" spans="1:30" x14ac:dyDescent="0.25">
      <c r="A2724" s="62" t="s">
        <v>109</v>
      </c>
      <c r="C2724" s="62" t="s">
        <v>35117</v>
      </c>
      <c r="F2724" s="62" t="s">
        <v>1286</v>
      </c>
      <c r="G2724" s="62" t="s">
        <v>48218</v>
      </c>
      <c r="J2724" s="62" t="s">
        <v>35118</v>
      </c>
      <c r="K2724" s="62" t="s">
        <v>48265</v>
      </c>
      <c r="L2724" s="62" t="s">
        <v>35119</v>
      </c>
      <c r="M2724" s="62" t="s">
        <v>35120</v>
      </c>
      <c r="N2724" s="62" t="s">
        <v>35121</v>
      </c>
      <c r="O2724" s="62" t="s">
        <v>35122</v>
      </c>
      <c r="P2724" s="62" t="s">
        <v>48312</v>
      </c>
      <c r="Q2724" s="62" t="s">
        <v>35123</v>
      </c>
      <c r="R2724" s="62" t="s">
        <v>35124</v>
      </c>
      <c r="S2724" s="62" t="s">
        <v>35125</v>
      </c>
      <c r="U2724" s="62" t="s">
        <v>35126</v>
      </c>
      <c r="V2724" s="62" t="s">
        <v>48359</v>
      </c>
      <c r="W2724" s="62" t="s">
        <v>35127</v>
      </c>
      <c r="X2724" s="62" t="s">
        <v>35128</v>
      </c>
      <c r="Y2724" s="62" t="s">
        <v>35129</v>
      </c>
      <c r="Z2724" s="62" t="s">
        <v>35130</v>
      </c>
      <c r="AA2724" s="62" t="s">
        <v>48406</v>
      </c>
      <c r="AB2724" s="62" t="s">
        <v>35131</v>
      </c>
      <c r="AC2724" s="62" t="s">
        <v>35132</v>
      </c>
      <c r="AD2724" s="62" t="s">
        <v>35133</v>
      </c>
    </row>
    <row r="2725" spans="1:30" x14ac:dyDescent="0.25">
      <c r="A2725" s="62" t="s">
        <v>109</v>
      </c>
      <c r="C2725" s="62" t="s">
        <v>45825</v>
      </c>
      <c r="F2725" s="62" t="s">
        <v>1287</v>
      </c>
      <c r="G2725" s="62" t="s">
        <v>48219</v>
      </c>
      <c r="J2725" s="62" t="s">
        <v>45826</v>
      </c>
      <c r="K2725" s="62" t="s">
        <v>48266</v>
      </c>
      <c r="L2725" s="62" t="s">
        <v>45827</v>
      </c>
      <c r="M2725" s="62" t="s">
        <v>45828</v>
      </c>
      <c r="N2725" s="62" t="s">
        <v>45829</v>
      </c>
      <c r="O2725" s="62" t="s">
        <v>45830</v>
      </c>
      <c r="P2725" s="62" t="s">
        <v>48313</v>
      </c>
      <c r="Q2725" s="62" t="s">
        <v>45831</v>
      </c>
      <c r="R2725" s="62" t="s">
        <v>45832</v>
      </c>
      <c r="S2725" s="62" t="s">
        <v>45833</v>
      </c>
      <c r="U2725" s="62" t="s">
        <v>45834</v>
      </c>
      <c r="V2725" s="62" t="s">
        <v>48360</v>
      </c>
      <c r="W2725" s="62" t="s">
        <v>45835</v>
      </c>
      <c r="X2725" s="62" t="s">
        <v>45836</v>
      </c>
      <c r="Y2725" s="62" t="s">
        <v>45837</v>
      </c>
      <c r="Z2725" s="62" t="s">
        <v>45838</v>
      </c>
      <c r="AA2725" s="62" t="s">
        <v>48407</v>
      </c>
      <c r="AB2725" s="62" t="s">
        <v>45839</v>
      </c>
      <c r="AC2725" s="62" t="s">
        <v>45840</v>
      </c>
      <c r="AD2725" s="62" t="s">
        <v>45841</v>
      </c>
    </row>
    <row r="2726" spans="1:30" x14ac:dyDescent="0.25">
      <c r="A2726" s="62" t="s">
        <v>109</v>
      </c>
      <c r="C2726" s="62" t="s">
        <v>35134</v>
      </c>
      <c r="F2726" s="62" t="s">
        <v>1288</v>
      </c>
      <c r="G2726" s="62" t="s">
        <v>48220</v>
      </c>
      <c r="J2726" s="62" t="s">
        <v>45842</v>
      </c>
      <c r="K2726" s="62" t="s">
        <v>48267</v>
      </c>
      <c r="L2726" s="62" t="s">
        <v>45843</v>
      </c>
      <c r="M2726" s="62" t="s">
        <v>35135</v>
      </c>
      <c r="N2726" s="62" t="s">
        <v>35136</v>
      </c>
      <c r="O2726" s="62" t="s">
        <v>45844</v>
      </c>
      <c r="P2726" s="62" t="s">
        <v>48314</v>
      </c>
      <c r="Q2726" s="62" t="s">
        <v>45845</v>
      </c>
      <c r="R2726" s="62" t="s">
        <v>35137</v>
      </c>
      <c r="S2726" s="62" t="s">
        <v>35138</v>
      </c>
      <c r="U2726" s="62" t="s">
        <v>45846</v>
      </c>
      <c r="V2726" s="62" t="s">
        <v>48361</v>
      </c>
      <c r="W2726" s="62" t="s">
        <v>45847</v>
      </c>
      <c r="X2726" s="62" t="s">
        <v>35139</v>
      </c>
      <c r="Y2726" s="62" t="s">
        <v>35140</v>
      </c>
      <c r="Z2726" s="62" t="s">
        <v>45848</v>
      </c>
      <c r="AA2726" s="62" t="s">
        <v>48408</v>
      </c>
      <c r="AB2726" s="62" t="s">
        <v>45849</v>
      </c>
      <c r="AC2726" s="62" t="s">
        <v>35141</v>
      </c>
      <c r="AD2726" s="62" t="s">
        <v>35142</v>
      </c>
    </row>
    <row r="2727" spans="1:30" x14ac:dyDescent="0.25">
      <c r="A2727" s="62" t="s">
        <v>109</v>
      </c>
      <c r="C2727" s="62" t="s">
        <v>45850</v>
      </c>
      <c r="F2727" s="62" t="s">
        <v>1289</v>
      </c>
      <c r="G2727" s="62" t="s">
        <v>48221</v>
      </c>
      <c r="J2727" s="62" t="s">
        <v>45851</v>
      </c>
      <c r="K2727" s="62" t="s">
        <v>48268</v>
      </c>
      <c r="L2727" s="62" t="s">
        <v>45852</v>
      </c>
      <c r="M2727" s="62" t="s">
        <v>45853</v>
      </c>
      <c r="N2727" s="62" t="s">
        <v>45854</v>
      </c>
      <c r="O2727" s="62" t="s">
        <v>45855</v>
      </c>
      <c r="P2727" s="62" t="s">
        <v>48315</v>
      </c>
      <c r="Q2727" s="62" t="s">
        <v>45856</v>
      </c>
      <c r="R2727" s="62" t="s">
        <v>45857</v>
      </c>
      <c r="S2727" s="62" t="s">
        <v>45858</v>
      </c>
      <c r="U2727" s="62" t="s">
        <v>45859</v>
      </c>
      <c r="V2727" s="62" t="s">
        <v>48362</v>
      </c>
      <c r="W2727" s="62" t="s">
        <v>45860</v>
      </c>
      <c r="X2727" s="62" t="s">
        <v>45861</v>
      </c>
      <c r="Y2727" s="62" t="s">
        <v>45862</v>
      </c>
      <c r="Z2727" s="62" t="s">
        <v>45863</v>
      </c>
      <c r="AA2727" s="62" t="s">
        <v>48409</v>
      </c>
      <c r="AB2727" s="62" t="s">
        <v>45864</v>
      </c>
      <c r="AC2727" s="62" t="s">
        <v>45865</v>
      </c>
      <c r="AD2727" s="62" t="s">
        <v>45866</v>
      </c>
    </row>
    <row r="2728" spans="1:30" x14ac:dyDescent="0.25">
      <c r="A2728" s="62" t="s">
        <v>109</v>
      </c>
      <c r="C2728" s="62" t="s">
        <v>45867</v>
      </c>
      <c r="F2728" s="62" t="s">
        <v>1797</v>
      </c>
      <c r="G2728" s="62" t="s">
        <v>48222</v>
      </c>
      <c r="J2728" s="62" t="s">
        <v>45868</v>
      </c>
      <c r="K2728" s="62" t="s">
        <v>48269</v>
      </c>
      <c r="L2728" s="62" t="s">
        <v>45869</v>
      </c>
      <c r="M2728" s="62" t="s">
        <v>45870</v>
      </c>
      <c r="N2728" s="62" t="s">
        <v>45871</v>
      </c>
      <c r="O2728" s="62" t="s">
        <v>45872</v>
      </c>
      <c r="P2728" s="62" t="s">
        <v>48316</v>
      </c>
      <c r="Q2728" s="62" t="s">
        <v>45873</v>
      </c>
      <c r="R2728" s="62" t="s">
        <v>45874</v>
      </c>
      <c r="S2728" s="62" t="s">
        <v>45875</v>
      </c>
      <c r="U2728" s="62" t="s">
        <v>45876</v>
      </c>
      <c r="V2728" s="62" t="s">
        <v>48363</v>
      </c>
      <c r="W2728" s="62" t="s">
        <v>45877</v>
      </c>
      <c r="X2728" s="62" t="s">
        <v>45878</v>
      </c>
      <c r="Y2728" s="62" t="s">
        <v>45879</v>
      </c>
      <c r="Z2728" s="62" t="s">
        <v>45880</v>
      </c>
      <c r="AA2728" s="62" t="s">
        <v>48410</v>
      </c>
      <c r="AB2728" s="62" t="s">
        <v>45881</v>
      </c>
      <c r="AC2728" s="62" t="s">
        <v>45882</v>
      </c>
      <c r="AD2728" s="62" t="s">
        <v>45883</v>
      </c>
    </row>
    <row r="2729" spans="1:30" x14ac:dyDescent="0.25">
      <c r="A2729" s="62" t="s">
        <v>109</v>
      </c>
      <c r="C2729" s="62" t="s">
        <v>35144</v>
      </c>
      <c r="F2729" s="62" t="s">
        <v>1299</v>
      </c>
      <c r="G2729" s="62" t="s">
        <v>48223</v>
      </c>
      <c r="J2729" s="62" t="s">
        <v>45884</v>
      </c>
      <c r="K2729" s="62" t="s">
        <v>48270</v>
      </c>
      <c r="L2729" s="62" t="s">
        <v>45885</v>
      </c>
      <c r="M2729" s="62" t="s">
        <v>45886</v>
      </c>
      <c r="N2729" s="62" t="s">
        <v>45887</v>
      </c>
      <c r="O2729" s="62" t="s">
        <v>45888</v>
      </c>
      <c r="P2729" s="62" t="s">
        <v>48317</v>
      </c>
      <c r="Q2729" s="62" t="s">
        <v>45889</v>
      </c>
      <c r="R2729" s="62" t="s">
        <v>45890</v>
      </c>
      <c r="S2729" s="62" t="s">
        <v>45891</v>
      </c>
      <c r="U2729" s="62" t="s">
        <v>45892</v>
      </c>
      <c r="V2729" s="62" t="s">
        <v>48364</v>
      </c>
      <c r="W2729" s="62" t="s">
        <v>45893</v>
      </c>
      <c r="X2729" s="62" t="s">
        <v>45894</v>
      </c>
      <c r="Y2729" s="62" t="s">
        <v>45895</v>
      </c>
      <c r="Z2729" s="62" t="s">
        <v>45896</v>
      </c>
      <c r="AA2729" s="62" t="s">
        <v>48411</v>
      </c>
      <c r="AB2729" s="62" t="s">
        <v>45897</v>
      </c>
      <c r="AC2729" s="62" t="s">
        <v>45898</v>
      </c>
      <c r="AD2729" s="62" t="s">
        <v>45899</v>
      </c>
    </row>
    <row r="2730" spans="1:30" x14ac:dyDescent="0.25">
      <c r="A2730" s="62" t="s">
        <v>109</v>
      </c>
      <c r="C2730" s="62" t="s">
        <v>34511</v>
      </c>
    </row>
    <row r="2731" spans="1:30" x14ac:dyDescent="0.25">
      <c r="A2731" s="62" t="s">
        <v>109</v>
      </c>
      <c r="C2731" s="62" t="s">
        <v>35145</v>
      </c>
      <c r="G2731" s="62" t="s">
        <v>45900</v>
      </c>
      <c r="J2731" s="62" t="s">
        <v>45901</v>
      </c>
      <c r="K2731" s="62" t="s">
        <v>45902</v>
      </c>
      <c r="L2731" s="62" t="s">
        <v>45903</v>
      </c>
      <c r="M2731" s="62" t="s">
        <v>35146</v>
      </c>
      <c r="N2731" s="62" t="s">
        <v>35147</v>
      </c>
      <c r="O2731" s="62" t="s">
        <v>45904</v>
      </c>
      <c r="P2731" s="62" t="s">
        <v>45905</v>
      </c>
      <c r="Q2731" s="62" t="s">
        <v>45906</v>
      </c>
      <c r="R2731" s="62" t="s">
        <v>35148</v>
      </c>
      <c r="S2731" s="62" t="s">
        <v>35149</v>
      </c>
      <c r="U2731" s="62" t="s">
        <v>45907</v>
      </c>
      <c r="V2731" s="62" t="s">
        <v>45908</v>
      </c>
      <c r="W2731" s="62" t="s">
        <v>45909</v>
      </c>
      <c r="X2731" s="62" t="s">
        <v>35150</v>
      </c>
      <c r="Y2731" s="62" t="s">
        <v>35151</v>
      </c>
      <c r="Z2731" s="62" t="s">
        <v>45910</v>
      </c>
      <c r="AA2731" s="62" t="s">
        <v>45911</v>
      </c>
      <c r="AB2731" s="62" t="s">
        <v>45912</v>
      </c>
      <c r="AC2731" s="62" t="s">
        <v>35152</v>
      </c>
      <c r="AD2731" s="62" t="s">
        <v>35153</v>
      </c>
    </row>
    <row r="2732" spans="1:30" x14ac:dyDescent="0.25">
      <c r="A2732" s="62" t="s">
        <v>109</v>
      </c>
    </row>
    <row r="2733" spans="1:30" x14ac:dyDescent="0.25">
      <c r="A2733" s="62" t="s">
        <v>109</v>
      </c>
      <c r="C2733" s="62" t="s">
        <v>45913</v>
      </c>
      <c r="E2733" s="62" t="s">
        <v>39694</v>
      </c>
      <c r="G2733" s="62" t="s">
        <v>45914</v>
      </c>
    </row>
    <row r="2734" spans="1:30" x14ac:dyDescent="0.25">
      <c r="A2734" s="62" t="s">
        <v>109</v>
      </c>
      <c r="C2734" s="62" t="s">
        <v>35154</v>
      </c>
    </row>
    <row r="2735" spans="1:30" x14ac:dyDescent="0.25">
      <c r="A2735" s="62" t="s">
        <v>109</v>
      </c>
      <c r="C2735" s="62" t="s">
        <v>35155</v>
      </c>
      <c r="F2735" s="62" t="s">
        <v>45915</v>
      </c>
      <c r="G2735" s="62" t="s">
        <v>48002</v>
      </c>
      <c r="J2735" s="62" t="s">
        <v>35156</v>
      </c>
      <c r="K2735" s="62" t="s">
        <v>48037</v>
      </c>
      <c r="L2735" s="62" t="s">
        <v>35157</v>
      </c>
      <c r="M2735" s="62" t="s">
        <v>35158</v>
      </c>
      <c r="N2735" s="62" t="s">
        <v>35159</v>
      </c>
      <c r="O2735" s="62" t="s">
        <v>35160</v>
      </c>
      <c r="P2735" s="62" t="s">
        <v>48072</v>
      </c>
      <c r="Q2735" s="62" t="s">
        <v>35161</v>
      </c>
      <c r="R2735" s="62" t="s">
        <v>35162</v>
      </c>
      <c r="S2735" s="62" t="s">
        <v>35163</v>
      </c>
      <c r="U2735" s="62" t="s">
        <v>35164</v>
      </c>
      <c r="V2735" s="62" t="s">
        <v>48107</v>
      </c>
      <c r="W2735" s="62" t="s">
        <v>35165</v>
      </c>
      <c r="X2735" s="62" t="s">
        <v>35166</v>
      </c>
      <c r="Y2735" s="62" t="s">
        <v>35167</v>
      </c>
      <c r="Z2735" s="62" t="s">
        <v>35168</v>
      </c>
      <c r="AA2735" s="62" t="s">
        <v>48142</v>
      </c>
      <c r="AB2735" s="62" t="s">
        <v>35169</v>
      </c>
      <c r="AC2735" s="62" t="s">
        <v>35170</v>
      </c>
      <c r="AD2735" s="62" t="s">
        <v>35171</v>
      </c>
    </row>
    <row r="2736" spans="1:30" x14ac:dyDescent="0.25">
      <c r="A2736" s="62" t="s">
        <v>109</v>
      </c>
      <c r="C2736" s="62" t="s">
        <v>35172</v>
      </c>
      <c r="F2736" s="62" t="s">
        <v>889</v>
      </c>
      <c r="G2736" s="62" t="s">
        <v>48003</v>
      </c>
      <c r="J2736" s="62" t="s">
        <v>35173</v>
      </c>
      <c r="K2736" s="62" t="s">
        <v>48038</v>
      </c>
      <c r="L2736" s="62" t="s">
        <v>35174</v>
      </c>
      <c r="M2736" s="62" t="s">
        <v>35175</v>
      </c>
      <c r="N2736" s="62" t="s">
        <v>35176</v>
      </c>
      <c r="O2736" s="62" t="s">
        <v>35177</v>
      </c>
      <c r="P2736" s="62" t="s">
        <v>48073</v>
      </c>
      <c r="Q2736" s="62" t="s">
        <v>35178</v>
      </c>
      <c r="R2736" s="62" t="s">
        <v>35179</v>
      </c>
      <c r="S2736" s="62" t="s">
        <v>35180</v>
      </c>
      <c r="U2736" s="62" t="s">
        <v>35181</v>
      </c>
      <c r="V2736" s="62" t="s">
        <v>48108</v>
      </c>
      <c r="W2736" s="62" t="s">
        <v>35182</v>
      </c>
      <c r="X2736" s="62" t="s">
        <v>35183</v>
      </c>
      <c r="Y2736" s="62" t="s">
        <v>35184</v>
      </c>
      <c r="Z2736" s="62" t="s">
        <v>35185</v>
      </c>
      <c r="AA2736" s="62" t="s">
        <v>48143</v>
      </c>
      <c r="AB2736" s="62" t="s">
        <v>35186</v>
      </c>
      <c r="AC2736" s="62" t="s">
        <v>35187</v>
      </c>
      <c r="AD2736" s="62" t="s">
        <v>35188</v>
      </c>
    </row>
    <row r="2737" spans="1:30" x14ac:dyDescent="0.25">
      <c r="A2737" s="62" t="s">
        <v>109</v>
      </c>
      <c r="C2737" s="62" t="s">
        <v>35189</v>
      </c>
      <c r="F2737" s="62" t="s">
        <v>925</v>
      </c>
      <c r="G2737" s="62" t="s">
        <v>48004</v>
      </c>
      <c r="J2737" s="62" t="s">
        <v>35190</v>
      </c>
      <c r="K2737" s="62" t="s">
        <v>48039</v>
      </c>
      <c r="L2737" s="62" t="s">
        <v>35191</v>
      </c>
      <c r="M2737" s="62" t="s">
        <v>35192</v>
      </c>
      <c r="N2737" s="62" t="s">
        <v>35193</v>
      </c>
      <c r="O2737" s="62" t="s">
        <v>35194</v>
      </c>
      <c r="P2737" s="62" t="s">
        <v>48074</v>
      </c>
      <c r="Q2737" s="62" t="s">
        <v>35195</v>
      </c>
      <c r="R2737" s="62" t="s">
        <v>35196</v>
      </c>
      <c r="S2737" s="62" t="s">
        <v>35197</v>
      </c>
      <c r="U2737" s="62" t="s">
        <v>35198</v>
      </c>
      <c r="V2737" s="62" t="s">
        <v>48109</v>
      </c>
      <c r="W2737" s="62" t="s">
        <v>35199</v>
      </c>
      <c r="X2737" s="62" t="s">
        <v>35200</v>
      </c>
      <c r="Y2737" s="62" t="s">
        <v>35201</v>
      </c>
      <c r="Z2737" s="62" t="s">
        <v>35202</v>
      </c>
      <c r="AA2737" s="62" t="s">
        <v>48144</v>
      </c>
      <c r="AB2737" s="62" t="s">
        <v>35203</v>
      </c>
      <c r="AC2737" s="62" t="s">
        <v>35204</v>
      </c>
      <c r="AD2737" s="62" t="s">
        <v>35205</v>
      </c>
    </row>
    <row r="2738" spans="1:30" x14ac:dyDescent="0.25">
      <c r="A2738" s="62" t="s">
        <v>109</v>
      </c>
      <c r="C2738" s="62" t="s">
        <v>35206</v>
      </c>
      <c r="F2738" s="62" t="s">
        <v>2212</v>
      </c>
      <c r="G2738" s="62" t="s">
        <v>48005</v>
      </c>
      <c r="J2738" s="62" t="s">
        <v>35207</v>
      </c>
      <c r="K2738" s="62" t="s">
        <v>48040</v>
      </c>
      <c r="L2738" s="62" t="s">
        <v>35208</v>
      </c>
      <c r="M2738" s="62" t="s">
        <v>35209</v>
      </c>
      <c r="N2738" s="62" t="s">
        <v>35210</v>
      </c>
      <c r="O2738" s="62" t="s">
        <v>35211</v>
      </c>
      <c r="P2738" s="62" t="s">
        <v>48075</v>
      </c>
      <c r="Q2738" s="62" t="s">
        <v>35212</v>
      </c>
      <c r="R2738" s="62" t="s">
        <v>35213</v>
      </c>
      <c r="S2738" s="62" t="s">
        <v>35214</v>
      </c>
      <c r="U2738" s="62" t="s">
        <v>35215</v>
      </c>
      <c r="V2738" s="62" t="s">
        <v>48110</v>
      </c>
      <c r="W2738" s="62" t="s">
        <v>35216</v>
      </c>
      <c r="X2738" s="62" t="s">
        <v>35217</v>
      </c>
      <c r="Y2738" s="62" t="s">
        <v>35218</v>
      </c>
      <c r="Z2738" s="62" t="s">
        <v>35219</v>
      </c>
      <c r="AA2738" s="62" t="s">
        <v>48145</v>
      </c>
      <c r="AB2738" s="62" t="s">
        <v>35220</v>
      </c>
      <c r="AC2738" s="62" t="s">
        <v>35221</v>
      </c>
      <c r="AD2738" s="62" t="s">
        <v>35222</v>
      </c>
    </row>
    <row r="2739" spans="1:30" x14ac:dyDescent="0.25">
      <c r="A2739" s="62" t="s">
        <v>109</v>
      </c>
      <c r="C2739" s="62" t="s">
        <v>35223</v>
      </c>
      <c r="F2739" s="62" t="s">
        <v>193</v>
      </c>
      <c r="G2739" s="62" t="s">
        <v>48006</v>
      </c>
      <c r="J2739" s="62" t="s">
        <v>35224</v>
      </c>
      <c r="K2739" s="62" t="s">
        <v>48041</v>
      </c>
      <c r="L2739" s="62" t="s">
        <v>35225</v>
      </c>
      <c r="M2739" s="62" t="s">
        <v>35226</v>
      </c>
      <c r="N2739" s="62" t="s">
        <v>35227</v>
      </c>
      <c r="O2739" s="62" t="s">
        <v>35228</v>
      </c>
      <c r="P2739" s="62" t="s">
        <v>48076</v>
      </c>
      <c r="Q2739" s="62" t="s">
        <v>35229</v>
      </c>
      <c r="R2739" s="62" t="s">
        <v>35230</v>
      </c>
      <c r="S2739" s="62" t="s">
        <v>35231</v>
      </c>
      <c r="U2739" s="62" t="s">
        <v>35232</v>
      </c>
      <c r="V2739" s="62" t="s">
        <v>48111</v>
      </c>
      <c r="W2739" s="62" t="s">
        <v>35233</v>
      </c>
      <c r="X2739" s="62" t="s">
        <v>35234</v>
      </c>
      <c r="Y2739" s="62" t="s">
        <v>35235</v>
      </c>
      <c r="Z2739" s="62" t="s">
        <v>35236</v>
      </c>
      <c r="AA2739" s="62" t="s">
        <v>48146</v>
      </c>
      <c r="AB2739" s="62" t="s">
        <v>35237</v>
      </c>
      <c r="AC2739" s="62" t="s">
        <v>35238</v>
      </c>
      <c r="AD2739" s="62" t="s">
        <v>35239</v>
      </c>
    </row>
    <row r="2740" spans="1:30" x14ac:dyDescent="0.25">
      <c r="A2740" s="62" t="s">
        <v>109</v>
      </c>
      <c r="C2740" s="62" t="s">
        <v>35240</v>
      </c>
      <c r="F2740" s="62" t="s">
        <v>254</v>
      </c>
      <c r="G2740" s="62" t="s">
        <v>48007</v>
      </c>
      <c r="J2740" s="62" t="s">
        <v>35241</v>
      </c>
      <c r="K2740" s="62" t="s">
        <v>48042</v>
      </c>
      <c r="L2740" s="62" t="s">
        <v>35242</v>
      </c>
      <c r="M2740" s="62" t="s">
        <v>35243</v>
      </c>
      <c r="N2740" s="62" t="s">
        <v>35244</v>
      </c>
      <c r="O2740" s="62" t="s">
        <v>35245</v>
      </c>
      <c r="P2740" s="62" t="s">
        <v>48077</v>
      </c>
      <c r="Q2740" s="62" t="s">
        <v>35246</v>
      </c>
      <c r="R2740" s="62" t="s">
        <v>35247</v>
      </c>
      <c r="S2740" s="62" t="s">
        <v>35248</v>
      </c>
      <c r="U2740" s="62" t="s">
        <v>35249</v>
      </c>
      <c r="V2740" s="62" t="s">
        <v>48112</v>
      </c>
      <c r="W2740" s="62" t="s">
        <v>35250</v>
      </c>
      <c r="X2740" s="62" t="s">
        <v>35251</v>
      </c>
      <c r="Y2740" s="62" t="s">
        <v>35252</v>
      </c>
      <c r="Z2740" s="62" t="s">
        <v>35253</v>
      </c>
      <c r="AA2740" s="62" t="s">
        <v>48147</v>
      </c>
      <c r="AB2740" s="62" t="s">
        <v>35254</v>
      </c>
      <c r="AC2740" s="62" t="s">
        <v>35255</v>
      </c>
      <c r="AD2740" s="62" t="s">
        <v>35256</v>
      </c>
    </row>
    <row r="2741" spans="1:30" x14ac:dyDescent="0.25">
      <c r="A2741" s="62" t="s">
        <v>109</v>
      </c>
      <c r="C2741" s="62" t="s">
        <v>35257</v>
      </c>
      <c r="F2741" s="62" t="s">
        <v>2297</v>
      </c>
      <c r="G2741" s="62" t="s">
        <v>48008</v>
      </c>
      <c r="J2741" s="62" t="s">
        <v>35258</v>
      </c>
      <c r="K2741" s="62" t="s">
        <v>48043</v>
      </c>
      <c r="L2741" s="62" t="s">
        <v>35259</v>
      </c>
      <c r="M2741" s="62" t="s">
        <v>35260</v>
      </c>
      <c r="N2741" s="62" t="s">
        <v>35261</v>
      </c>
      <c r="O2741" s="62" t="s">
        <v>35262</v>
      </c>
      <c r="P2741" s="62" t="s">
        <v>48078</v>
      </c>
      <c r="Q2741" s="62" t="s">
        <v>35263</v>
      </c>
      <c r="R2741" s="62" t="s">
        <v>35264</v>
      </c>
      <c r="S2741" s="62" t="s">
        <v>35265</v>
      </c>
      <c r="U2741" s="62" t="s">
        <v>35266</v>
      </c>
      <c r="V2741" s="62" t="s">
        <v>48113</v>
      </c>
      <c r="W2741" s="62" t="s">
        <v>35267</v>
      </c>
      <c r="X2741" s="62" t="s">
        <v>35268</v>
      </c>
      <c r="Y2741" s="62" t="s">
        <v>35269</v>
      </c>
      <c r="Z2741" s="62" t="s">
        <v>35270</v>
      </c>
      <c r="AA2741" s="62" t="s">
        <v>48148</v>
      </c>
      <c r="AB2741" s="62" t="s">
        <v>35271</v>
      </c>
      <c r="AC2741" s="62" t="s">
        <v>35272</v>
      </c>
      <c r="AD2741" s="62" t="s">
        <v>35273</v>
      </c>
    </row>
    <row r="2742" spans="1:30" x14ac:dyDescent="0.25">
      <c r="A2742" s="62" t="s">
        <v>109</v>
      </c>
      <c r="C2742" s="62" t="s">
        <v>35274</v>
      </c>
      <c r="F2742" s="62" t="s">
        <v>19275</v>
      </c>
      <c r="G2742" s="62" t="s">
        <v>48009</v>
      </c>
      <c r="J2742" s="62" t="s">
        <v>35275</v>
      </c>
      <c r="K2742" s="62" t="s">
        <v>48044</v>
      </c>
      <c r="L2742" s="62" t="s">
        <v>35276</v>
      </c>
      <c r="M2742" s="62" t="s">
        <v>35277</v>
      </c>
      <c r="N2742" s="62" t="s">
        <v>35278</v>
      </c>
      <c r="O2742" s="62" t="s">
        <v>35279</v>
      </c>
      <c r="P2742" s="62" t="s">
        <v>48079</v>
      </c>
      <c r="Q2742" s="62" t="s">
        <v>35280</v>
      </c>
      <c r="R2742" s="62" t="s">
        <v>35281</v>
      </c>
      <c r="S2742" s="62" t="s">
        <v>35282</v>
      </c>
      <c r="U2742" s="62" t="s">
        <v>35283</v>
      </c>
      <c r="V2742" s="62" t="s">
        <v>48114</v>
      </c>
      <c r="W2742" s="62" t="s">
        <v>35284</v>
      </c>
      <c r="X2742" s="62" t="s">
        <v>35285</v>
      </c>
      <c r="Y2742" s="62" t="s">
        <v>35286</v>
      </c>
      <c r="Z2742" s="62" t="s">
        <v>35287</v>
      </c>
      <c r="AA2742" s="62" t="s">
        <v>48149</v>
      </c>
      <c r="AB2742" s="62" t="s">
        <v>35288</v>
      </c>
      <c r="AC2742" s="62" t="s">
        <v>35289</v>
      </c>
      <c r="AD2742" s="62" t="s">
        <v>35290</v>
      </c>
    </row>
    <row r="2743" spans="1:30" x14ac:dyDescent="0.25">
      <c r="A2743" s="62" t="s">
        <v>109</v>
      </c>
      <c r="C2743" s="62" t="s">
        <v>35291</v>
      </c>
      <c r="F2743" s="62" t="s">
        <v>10332</v>
      </c>
      <c r="G2743" s="62" t="s">
        <v>48010</v>
      </c>
      <c r="J2743" s="62" t="s">
        <v>35292</v>
      </c>
      <c r="K2743" s="62" t="s">
        <v>48045</v>
      </c>
      <c r="L2743" s="62" t="s">
        <v>35293</v>
      </c>
      <c r="M2743" s="62" t="s">
        <v>35294</v>
      </c>
      <c r="N2743" s="62" t="s">
        <v>35295</v>
      </c>
      <c r="O2743" s="62" t="s">
        <v>35296</v>
      </c>
      <c r="P2743" s="62" t="s">
        <v>48080</v>
      </c>
      <c r="Q2743" s="62" t="s">
        <v>35297</v>
      </c>
      <c r="R2743" s="62" t="s">
        <v>35298</v>
      </c>
      <c r="S2743" s="62" t="s">
        <v>35299</v>
      </c>
      <c r="U2743" s="62" t="s">
        <v>35300</v>
      </c>
      <c r="V2743" s="62" t="s">
        <v>48115</v>
      </c>
      <c r="W2743" s="62" t="s">
        <v>35301</v>
      </c>
      <c r="X2743" s="62" t="s">
        <v>35302</v>
      </c>
      <c r="Y2743" s="62" t="s">
        <v>35303</v>
      </c>
      <c r="Z2743" s="62" t="s">
        <v>35304</v>
      </c>
      <c r="AA2743" s="62" t="s">
        <v>48150</v>
      </c>
      <c r="AB2743" s="62" t="s">
        <v>35305</v>
      </c>
      <c r="AC2743" s="62" t="s">
        <v>35306</v>
      </c>
      <c r="AD2743" s="62" t="s">
        <v>35307</v>
      </c>
    </row>
    <row r="2744" spans="1:30" x14ac:dyDescent="0.25">
      <c r="A2744" s="62" t="s">
        <v>109</v>
      </c>
      <c r="C2744" s="62" t="s">
        <v>35308</v>
      </c>
      <c r="F2744" s="62" t="s">
        <v>10350</v>
      </c>
      <c r="G2744" s="62" t="s">
        <v>48011</v>
      </c>
      <c r="J2744" s="62" t="s">
        <v>35309</v>
      </c>
      <c r="K2744" s="62" t="s">
        <v>48046</v>
      </c>
      <c r="L2744" s="62" t="s">
        <v>35310</v>
      </c>
      <c r="M2744" s="62" t="s">
        <v>35311</v>
      </c>
      <c r="N2744" s="62" t="s">
        <v>35312</v>
      </c>
      <c r="O2744" s="62" t="s">
        <v>35313</v>
      </c>
      <c r="P2744" s="62" t="s">
        <v>48081</v>
      </c>
      <c r="Q2744" s="62" t="s">
        <v>35314</v>
      </c>
      <c r="R2744" s="62" t="s">
        <v>35315</v>
      </c>
      <c r="S2744" s="62" t="s">
        <v>35316</v>
      </c>
      <c r="U2744" s="62" t="s">
        <v>35317</v>
      </c>
      <c r="V2744" s="62" t="s">
        <v>48116</v>
      </c>
      <c r="W2744" s="62" t="s">
        <v>35318</v>
      </c>
      <c r="X2744" s="62" t="s">
        <v>35319</v>
      </c>
      <c r="Y2744" s="62" t="s">
        <v>35320</v>
      </c>
      <c r="Z2744" s="62" t="s">
        <v>35321</v>
      </c>
      <c r="AA2744" s="62" t="s">
        <v>48151</v>
      </c>
      <c r="AB2744" s="62" t="s">
        <v>35322</v>
      </c>
      <c r="AC2744" s="62" t="s">
        <v>35323</v>
      </c>
      <c r="AD2744" s="62" t="s">
        <v>35324</v>
      </c>
    </row>
    <row r="2745" spans="1:30" x14ac:dyDescent="0.25">
      <c r="A2745" s="62" t="s">
        <v>109</v>
      </c>
      <c r="C2745" s="62" t="s">
        <v>35325</v>
      </c>
      <c r="F2745" s="62" t="s">
        <v>10368</v>
      </c>
      <c r="G2745" s="62" t="s">
        <v>48012</v>
      </c>
      <c r="J2745" s="62" t="s">
        <v>35326</v>
      </c>
      <c r="K2745" s="62" t="s">
        <v>48047</v>
      </c>
      <c r="L2745" s="62" t="s">
        <v>35327</v>
      </c>
      <c r="M2745" s="62" t="s">
        <v>35328</v>
      </c>
      <c r="N2745" s="62" t="s">
        <v>35329</v>
      </c>
      <c r="O2745" s="62" t="s">
        <v>35330</v>
      </c>
      <c r="P2745" s="62" t="s">
        <v>48082</v>
      </c>
      <c r="Q2745" s="62" t="s">
        <v>35331</v>
      </c>
      <c r="R2745" s="62" t="s">
        <v>35332</v>
      </c>
      <c r="S2745" s="62" t="s">
        <v>35333</v>
      </c>
      <c r="U2745" s="62" t="s">
        <v>35334</v>
      </c>
      <c r="V2745" s="62" t="s">
        <v>48117</v>
      </c>
      <c r="W2745" s="62" t="s">
        <v>35335</v>
      </c>
      <c r="X2745" s="62" t="s">
        <v>35336</v>
      </c>
      <c r="Y2745" s="62" t="s">
        <v>35337</v>
      </c>
      <c r="Z2745" s="62" t="s">
        <v>35338</v>
      </c>
      <c r="AA2745" s="62" t="s">
        <v>48152</v>
      </c>
      <c r="AB2745" s="62" t="s">
        <v>35339</v>
      </c>
      <c r="AC2745" s="62" t="s">
        <v>35340</v>
      </c>
      <c r="AD2745" s="62" t="s">
        <v>35341</v>
      </c>
    </row>
    <row r="2746" spans="1:30" x14ac:dyDescent="0.25">
      <c r="A2746" s="62" t="s">
        <v>109</v>
      </c>
      <c r="C2746" s="62" t="s">
        <v>35342</v>
      </c>
      <c r="F2746" s="62" t="s">
        <v>10386</v>
      </c>
      <c r="G2746" s="62" t="s">
        <v>48013</v>
      </c>
      <c r="J2746" s="62" t="s">
        <v>35343</v>
      </c>
      <c r="K2746" s="62" t="s">
        <v>48048</v>
      </c>
      <c r="L2746" s="62" t="s">
        <v>35344</v>
      </c>
      <c r="M2746" s="62" t="s">
        <v>35345</v>
      </c>
      <c r="N2746" s="62" t="s">
        <v>35346</v>
      </c>
      <c r="O2746" s="62" t="s">
        <v>35347</v>
      </c>
      <c r="P2746" s="62" t="s">
        <v>48083</v>
      </c>
      <c r="Q2746" s="62" t="s">
        <v>35348</v>
      </c>
      <c r="R2746" s="62" t="s">
        <v>35349</v>
      </c>
      <c r="S2746" s="62" t="s">
        <v>35350</v>
      </c>
      <c r="U2746" s="62" t="s">
        <v>35351</v>
      </c>
      <c r="V2746" s="62" t="s">
        <v>48118</v>
      </c>
      <c r="W2746" s="62" t="s">
        <v>35352</v>
      </c>
      <c r="X2746" s="62" t="s">
        <v>35353</v>
      </c>
      <c r="Y2746" s="62" t="s">
        <v>35354</v>
      </c>
      <c r="Z2746" s="62" t="s">
        <v>35355</v>
      </c>
      <c r="AA2746" s="62" t="s">
        <v>48153</v>
      </c>
      <c r="AB2746" s="62" t="s">
        <v>35356</v>
      </c>
      <c r="AC2746" s="62" t="s">
        <v>35357</v>
      </c>
      <c r="AD2746" s="62" t="s">
        <v>35358</v>
      </c>
    </row>
    <row r="2747" spans="1:30" x14ac:dyDescent="0.25">
      <c r="A2747" s="62" t="s">
        <v>109</v>
      </c>
      <c r="C2747" s="62" t="s">
        <v>35359</v>
      </c>
      <c r="F2747" s="62" t="s">
        <v>15012</v>
      </c>
      <c r="G2747" s="62" t="s">
        <v>48014</v>
      </c>
      <c r="J2747" s="62" t="s">
        <v>35360</v>
      </c>
      <c r="K2747" s="62" t="s">
        <v>48049</v>
      </c>
      <c r="L2747" s="62" t="s">
        <v>35361</v>
      </c>
      <c r="M2747" s="62" t="s">
        <v>35362</v>
      </c>
      <c r="N2747" s="62" t="s">
        <v>35363</v>
      </c>
      <c r="O2747" s="62" t="s">
        <v>35364</v>
      </c>
      <c r="P2747" s="62" t="s">
        <v>48084</v>
      </c>
      <c r="Q2747" s="62" t="s">
        <v>35365</v>
      </c>
      <c r="R2747" s="62" t="s">
        <v>35366</v>
      </c>
      <c r="S2747" s="62" t="s">
        <v>35367</v>
      </c>
      <c r="U2747" s="62" t="s">
        <v>35368</v>
      </c>
      <c r="V2747" s="62" t="s">
        <v>48119</v>
      </c>
      <c r="W2747" s="62" t="s">
        <v>35369</v>
      </c>
      <c r="X2747" s="62" t="s">
        <v>35370</v>
      </c>
      <c r="Y2747" s="62" t="s">
        <v>35371</v>
      </c>
      <c r="Z2747" s="62" t="s">
        <v>35372</v>
      </c>
      <c r="AA2747" s="62" t="s">
        <v>48154</v>
      </c>
      <c r="AB2747" s="62" t="s">
        <v>35373</v>
      </c>
      <c r="AC2747" s="62" t="s">
        <v>35374</v>
      </c>
      <c r="AD2747" s="62" t="s">
        <v>35375</v>
      </c>
    </row>
    <row r="2748" spans="1:30" x14ac:dyDescent="0.25">
      <c r="A2748" s="62" t="s">
        <v>109</v>
      </c>
      <c r="C2748" s="62" t="s">
        <v>35376</v>
      </c>
      <c r="F2748" s="62" t="s">
        <v>10422</v>
      </c>
      <c r="G2748" s="62" t="s">
        <v>48015</v>
      </c>
      <c r="J2748" s="62" t="s">
        <v>35377</v>
      </c>
      <c r="K2748" s="62" t="s">
        <v>48050</v>
      </c>
      <c r="L2748" s="62" t="s">
        <v>35378</v>
      </c>
      <c r="M2748" s="62" t="s">
        <v>35379</v>
      </c>
      <c r="N2748" s="62" t="s">
        <v>35380</v>
      </c>
      <c r="O2748" s="62" t="s">
        <v>35381</v>
      </c>
      <c r="P2748" s="62" t="s">
        <v>48085</v>
      </c>
      <c r="Q2748" s="62" t="s">
        <v>35382</v>
      </c>
      <c r="R2748" s="62" t="s">
        <v>35383</v>
      </c>
      <c r="S2748" s="62" t="s">
        <v>35384</v>
      </c>
      <c r="U2748" s="62" t="s">
        <v>35385</v>
      </c>
      <c r="V2748" s="62" t="s">
        <v>48120</v>
      </c>
      <c r="W2748" s="62" t="s">
        <v>35386</v>
      </c>
      <c r="X2748" s="62" t="s">
        <v>35387</v>
      </c>
      <c r="Y2748" s="62" t="s">
        <v>35388</v>
      </c>
      <c r="Z2748" s="62" t="s">
        <v>35389</v>
      </c>
      <c r="AA2748" s="62" t="s">
        <v>48155</v>
      </c>
      <c r="AB2748" s="62" t="s">
        <v>35390</v>
      </c>
      <c r="AC2748" s="62" t="s">
        <v>35391</v>
      </c>
      <c r="AD2748" s="62" t="s">
        <v>35392</v>
      </c>
    </row>
    <row r="2749" spans="1:30" x14ac:dyDescent="0.25">
      <c r="A2749" s="62" t="s">
        <v>109</v>
      </c>
      <c r="C2749" s="62" t="s">
        <v>35393</v>
      </c>
      <c r="F2749" s="62" t="s">
        <v>1012</v>
      </c>
      <c r="G2749" s="62" t="s">
        <v>48016</v>
      </c>
      <c r="J2749" s="62" t="s">
        <v>35394</v>
      </c>
      <c r="K2749" s="62" t="s">
        <v>48051</v>
      </c>
      <c r="L2749" s="62" t="s">
        <v>35395</v>
      </c>
      <c r="M2749" s="62" t="s">
        <v>35396</v>
      </c>
      <c r="N2749" s="62" t="s">
        <v>35397</v>
      </c>
      <c r="O2749" s="62" t="s">
        <v>35398</v>
      </c>
      <c r="P2749" s="62" t="s">
        <v>48086</v>
      </c>
      <c r="Q2749" s="62" t="s">
        <v>35399</v>
      </c>
      <c r="R2749" s="62" t="s">
        <v>35400</v>
      </c>
      <c r="S2749" s="62" t="s">
        <v>35401</v>
      </c>
      <c r="U2749" s="62" t="s">
        <v>35402</v>
      </c>
      <c r="V2749" s="62" t="s">
        <v>48121</v>
      </c>
      <c r="W2749" s="62" t="s">
        <v>35403</v>
      </c>
      <c r="X2749" s="62" t="s">
        <v>35404</v>
      </c>
      <c r="Y2749" s="62" t="s">
        <v>35405</v>
      </c>
      <c r="Z2749" s="62" t="s">
        <v>35406</v>
      </c>
      <c r="AA2749" s="62" t="s">
        <v>48156</v>
      </c>
      <c r="AB2749" s="62" t="s">
        <v>35407</v>
      </c>
      <c r="AC2749" s="62" t="s">
        <v>35408</v>
      </c>
      <c r="AD2749" s="62" t="s">
        <v>35409</v>
      </c>
    </row>
    <row r="2750" spans="1:30" x14ac:dyDescent="0.25">
      <c r="A2750" s="62" t="s">
        <v>109</v>
      </c>
      <c r="C2750" s="62" t="s">
        <v>35410</v>
      </c>
      <c r="F2750" s="62" t="s">
        <v>1047</v>
      </c>
      <c r="G2750" s="62" t="s">
        <v>48017</v>
      </c>
      <c r="J2750" s="62" t="s">
        <v>35411</v>
      </c>
      <c r="K2750" s="62" t="s">
        <v>48052</v>
      </c>
      <c r="L2750" s="62" t="s">
        <v>35412</v>
      </c>
      <c r="M2750" s="62" t="s">
        <v>35413</v>
      </c>
      <c r="N2750" s="62" t="s">
        <v>35414</v>
      </c>
      <c r="O2750" s="62" t="s">
        <v>35415</v>
      </c>
      <c r="P2750" s="62" t="s">
        <v>48087</v>
      </c>
      <c r="Q2750" s="62" t="s">
        <v>35416</v>
      </c>
      <c r="R2750" s="62" t="s">
        <v>35417</v>
      </c>
      <c r="S2750" s="62" t="s">
        <v>35418</v>
      </c>
      <c r="U2750" s="62" t="s">
        <v>35419</v>
      </c>
      <c r="V2750" s="62" t="s">
        <v>48122</v>
      </c>
      <c r="W2750" s="62" t="s">
        <v>35420</v>
      </c>
      <c r="X2750" s="62" t="s">
        <v>35421</v>
      </c>
      <c r="Y2750" s="62" t="s">
        <v>35422</v>
      </c>
      <c r="Z2750" s="62" t="s">
        <v>35423</v>
      </c>
      <c r="AA2750" s="62" t="s">
        <v>48157</v>
      </c>
      <c r="AB2750" s="62" t="s">
        <v>35424</v>
      </c>
      <c r="AC2750" s="62" t="s">
        <v>35425</v>
      </c>
      <c r="AD2750" s="62" t="s">
        <v>35426</v>
      </c>
    </row>
    <row r="2751" spans="1:30" x14ac:dyDescent="0.25">
      <c r="A2751" s="62" t="s">
        <v>109</v>
      </c>
      <c r="C2751" s="62" t="s">
        <v>35427</v>
      </c>
      <c r="F2751" s="62" t="s">
        <v>1090</v>
      </c>
      <c r="G2751" s="62" t="s">
        <v>48018</v>
      </c>
      <c r="J2751" s="62" t="s">
        <v>35428</v>
      </c>
      <c r="K2751" s="62" t="s">
        <v>48053</v>
      </c>
      <c r="L2751" s="62" t="s">
        <v>35429</v>
      </c>
      <c r="M2751" s="62" t="s">
        <v>35430</v>
      </c>
      <c r="N2751" s="62" t="s">
        <v>35431</v>
      </c>
      <c r="O2751" s="62" t="s">
        <v>35432</v>
      </c>
      <c r="P2751" s="62" t="s">
        <v>48088</v>
      </c>
      <c r="Q2751" s="62" t="s">
        <v>35433</v>
      </c>
      <c r="R2751" s="62" t="s">
        <v>35434</v>
      </c>
      <c r="S2751" s="62" t="s">
        <v>35435</v>
      </c>
      <c r="U2751" s="62" t="s">
        <v>35436</v>
      </c>
      <c r="V2751" s="62" t="s">
        <v>48123</v>
      </c>
      <c r="W2751" s="62" t="s">
        <v>35437</v>
      </c>
      <c r="X2751" s="62" t="s">
        <v>35438</v>
      </c>
      <c r="Y2751" s="62" t="s">
        <v>35439</v>
      </c>
      <c r="Z2751" s="62" t="s">
        <v>35440</v>
      </c>
      <c r="AA2751" s="62" t="s">
        <v>48158</v>
      </c>
      <c r="AB2751" s="62" t="s">
        <v>35441</v>
      </c>
      <c r="AC2751" s="62" t="s">
        <v>35442</v>
      </c>
      <c r="AD2751" s="62" t="s">
        <v>35443</v>
      </c>
    </row>
    <row r="2752" spans="1:30" x14ac:dyDescent="0.25">
      <c r="A2752" s="62" t="s">
        <v>109</v>
      </c>
      <c r="C2752" s="62" t="s">
        <v>35444</v>
      </c>
      <c r="F2752" s="62" t="s">
        <v>1100</v>
      </c>
      <c r="G2752" s="62" t="s">
        <v>48019</v>
      </c>
      <c r="J2752" s="62" t="s">
        <v>35445</v>
      </c>
      <c r="K2752" s="62" t="s">
        <v>48054</v>
      </c>
      <c r="L2752" s="62" t="s">
        <v>35446</v>
      </c>
      <c r="M2752" s="62" t="s">
        <v>35447</v>
      </c>
      <c r="N2752" s="62" t="s">
        <v>35448</v>
      </c>
      <c r="O2752" s="62" t="s">
        <v>35449</v>
      </c>
      <c r="P2752" s="62" t="s">
        <v>48089</v>
      </c>
      <c r="Q2752" s="62" t="s">
        <v>35450</v>
      </c>
      <c r="R2752" s="62" t="s">
        <v>35451</v>
      </c>
      <c r="S2752" s="62" t="s">
        <v>35452</v>
      </c>
      <c r="U2752" s="62" t="s">
        <v>35453</v>
      </c>
      <c r="V2752" s="62" t="s">
        <v>48124</v>
      </c>
      <c r="W2752" s="62" t="s">
        <v>35454</v>
      </c>
      <c r="X2752" s="62" t="s">
        <v>35455</v>
      </c>
      <c r="Y2752" s="62" t="s">
        <v>35456</v>
      </c>
      <c r="Z2752" s="62" t="s">
        <v>35457</v>
      </c>
      <c r="AA2752" s="62" t="s">
        <v>48159</v>
      </c>
      <c r="AB2752" s="62" t="s">
        <v>35458</v>
      </c>
      <c r="AC2752" s="62" t="s">
        <v>35459</v>
      </c>
      <c r="AD2752" s="62" t="s">
        <v>35460</v>
      </c>
    </row>
    <row r="2753" spans="1:30" x14ac:dyDescent="0.25">
      <c r="A2753" s="62" t="s">
        <v>109</v>
      </c>
      <c r="C2753" s="62" t="s">
        <v>35461</v>
      </c>
      <c r="F2753" s="62" t="s">
        <v>2355</v>
      </c>
      <c r="G2753" s="62" t="s">
        <v>48020</v>
      </c>
      <c r="J2753" s="62" t="s">
        <v>35462</v>
      </c>
      <c r="K2753" s="62" t="s">
        <v>48055</v>
      </c>
      <c r="L2753" s="62" t="s">
        <v>35463</v>
      </c>
      <c r="M2753" s="62" t="s">
        <v>35464</v>
      </c>
      <c r="N2753" s="62" t="s">
        <v>35465</v>
      </c>
      <c r="O2753" s="62" t="s">
        <v>35466</v>
      </c>
      <c r="P2753" s="62" t="s">
        <v>48090</v>
      </c>
      <c r="Q2753" s="62" t="s">
        <v>35467</v>
      </c>
      <c r="R2753" s="62" t="s">
        <v>35468</v>
      </c>
      <c r="S2753" s="62" t="s">
        <v>35469</v>
      </c>
      <c r="U2753" s="62" t="s">
        <v>35470</v>
      </c>
      <c r="V2753" s="62" t="s">
        <v>48125</v>
      </c>
      <c r="W2753" s="62" t="s">
        <v>35471</v>
      </c>
      <c r="X2753" s="62" t="s">
        <v>35472</v>
      </c>
      <c r="Y2753" s="62" t="s">
        <v>35473</v>
      </c>
      <c r="Z2753" s="62" t="s">
        <v>35474</v>
      </c>
      <c r="AA2753" s="62" t="s">
        <v>48160</v>
      </c>
      <c r="AB2753" s="62" t="s">
        <v>35475</v>
      </c>
      <c r="AC2753" s="62" t="s">
        <v>35476</v>
      </c>
      <c r="AD2753" s="62" t="s">
        <v>35477</v>
      </c>
    </row>
    <row r="2754" spans="1:30" x14ac:dyDescent="0.25">
      <c r="A2754" s="62" t="s">
        <v>109</v>
      </c>
      <c r="C2754" s="62" t="s">
        <v>35478</v>
      </c>
      <c r="F2754" s="62" t="s">
        <v>15081</v>
      </c>
      <c r="G2754" s="62" t="s">
        <v>48021</v>
      </c>
      <c r="J2754" s="62" t="s">
        <v>35479</v>
      </c>
      <c r="K2754" s="62" t="s">
        <v>48056</v>
      </c>
      <c r="L2754" s="62" t="s">
        <v>35480</v>
      </c>
      <c r="M2754" s="62" t="s">
        <v>35481</v>
      </c>
      <c r="N2754" s="62" t="s">
        <v>35482</v>
      </c>
      <c r="O2754" s="62" t="s">
        <v>35483</v>
      </c>
      <c r="P2754" s="62" t="s">
        <v>48091</v>
      </c>
      <c r="Q2754" s="62" t="s">
        <v>35484</v>
      </c>
      <c r="R2754" s="62" t="s">
        <v>35485</v>
      </c>
      <c r="S2754" s="62" t="s">
        <v>35486</v>
      </c>
      <c r="U2754" s="62" t="s">
        <v>35487</v>
      </c>
      <c r="V2754" s="62" t="s">
        <v>48126</v>
      </c>
      <c r="W2754" s="62" t="s">
        <v>35488</v>
      </c>
      <c r="X2754" s="62" t="s">
        <v>35489</v>
      </c>
      <c r="Y2754" s="62" t="s">
        <v>35490</v>
      </c>
      <c r="Z2754" s="62" t="s">
        <v>35491</v>
      </c>
      <c r="AA2754" s="62" t="s">
        <v>48161</v>
      </c>
      <c r="AB2754" s="62" t="s">
        <v>35492</v>
      </c>
      <c r="AC2754" s="62" t="s">
        <v>35493</v>
      </c>
      <c r="AD2754" s="62" t="s">
        <v>35494</v>
      </c>
    </row>
    <row r="2755" spans="1:30" x14ac:dyDescent="0.25">
      <c r="A2755" s="62" t="s">
        <v>109</v>
      </c>
      <c r="C2755" s="62" t="s">
        <v>35495</v>
      </c>
      <c r="F2755" s="62" t="s">
        <v>10559</v>
      </c>
      <c r="G2755" s="62" t="s">
        <v>48022</v>
      </c>
      <c r="J2755" s="62" t="s">
        <v>35496</v>
      </c>
      <c r="K2755" s="62" t="s">
        <v>48057</v>
      </c>
      <c r="L2755" s="62" t="s">
        <v>35497</v>
      </c>
      <c r="M2755" s="62" t="s">
        <v>35498</v>
      </c>
      <c r="N2755" s="62" t="s">
        <v>35499</v>
      </c>
      <c r="O2755" s="62" t="s">
        <v>35500</v>
      </c>
      <c r="P2755" s="62" t="s">
        <v>48092</v>
      </c>
      <c r="Q2755" s="62" t="s">
        <v>35501</v>
      </c>
      <c r="R2755" s="62" t="s">
        <v>35502</v>
      </c>
      <c r="S2755" s="62" t="s">
        <v>35503</v>
      </c>
      <c r="U2755" s="62" t="s">
        <v>35504</v>
      </c>
      <c r="V2755" s="62" t="s">
        <v>48127</v>
      </c>
      <c r="W2755" s="62" t="s">
        <v>35505</v>
      </c>
      <c r="X2755" s="62" t="s">
        <v>35506</v>
      </c>
      <c r="Y2755" s="62" t="s">
        <v>35507</v>
      </c>
      <c r="Z2755" s="62" t="s">
        <v>35508</v>
      </c>
      <c r="AA2755" s="62" t="s">
        <v>48162</v>
      </c>
      <c r="AB2755" s="62" t="s">
        <v>35509</v>
      </c>
      <c r="AC2755" s="62" t="s">
        <v>35510</v>
      </c>
      <c r="AD2755" s="62" t="s">
        <v>35511</v>
      </c>
    </row>
    <row r="2756" spans="1:30" x14ac:dyDescent="0.25">
      <c r="A2756" s="62" t="s">
        <v>109</v>
      </c>
      <c r="C2756" s="62" t="s">
        <v>35512</v>
      </c>
      <c r="F2756" s="62" t="s">
        <v>10631</v>
      </c>
      <c r="G2756" s="62" t="s">
        <v>48023</v>
      </c>
      <c r="J2756" s="62" t="s">
        <v>35513</v>
      </c>
      <c r="K2756" s="62" t="s">
        <v>48058</v>
      </c>
      <c r="L2756" s="62" t="s">
        <v>35514</v>
      </c>
      <c r="M2756" s="62" t="s">
        <v>35515</v>
      </c>
      <c r="N2756" s="62" t="s">
        <v>35516</v>
      </c>
      <c r="O2756" s="62" t="s">
        <v>35517</v>
      </c>
      <c r="P2756" s="62" t="s">
        <v>48093</v>
      </c>
      <c r="Q2756" s="62" t="s">
        <v>35518</v>
      </c>
      <c r="R2756" s="62" t="s">
        <v>35519</v>
      </c>
      <c r="S2756" s="62" t="s">
        <v>35520</v>
      </c>
      <c r="U2756" s="62" t="s">
        <v>35521</v>
      </c>
      <c r="V2756" s="62" t="s">
        <v>48128</v>
      </c>
      <c r="W2756" s="62" t="s">
        <v>35522</v>
      </c>
      <c r="X2756" s="62" t="s">
        <v>35523</v>
      </c>
      <c r="Y2756" s="62" t="s">
        <v>35524</v>
      </c>
      <c r="Z2756" s="62" t="s">
        <v>35525</v>
      </c>
      <c r="AA2756" s="62" t="s">
        <v>48163</v>
      </c>
      <c r="AB2756" s="62" t="s">
        <v>35526</v>
      </c>
      <c r="AC2756" s="62" t="s">
        <v>35527</v>
      </c>
      <c r="AD2756" s="62" t="s">
        <v>35528</v>
      </c>
    </row>
    <row r="2757" spans="1:30" x14ac:dyDescent="0.25">
      <c r="A2757" s="62" t="s">
        <v>109</v>
      </c>
      <c r="C2757" s="62" t="s">
        <v>35529</v>
      </c>
      <c r="F2757" s="62" t="s">
        <v>10703</v>
      </c>
      <c r="G2757" s="62" t="s">
        <v>48024</v>
      </c>
      <c r="J2757" s="62" t="s">
        <v>35530</v>
      </c>
      <c r="K2757" s="62" t="s">
        <v>48059</v>
      </c>
      <c r="L2757" s="62" t="s">
        <v>35531</v>
      </c>
      <c r="M2757" s="62" t="s">
        <v>35532</v>
      </c>
      <c r="N2757" s="62" t="s">
        <v>35533</v>
      </c>
      <c r="O2757" s="62" t="s">
        <v>35534</v>
      </c>
      <c r="P2757" s="62" t="s">
        <v>48094</v>
      </c>
      <c r="Q2757" s="62" t="s">
        <v>35535</v>
      </c>
      <c r="R2757" s="62" t="s">
        <v>35536</v>
      </c>
      <c r="S2757" s="62" t="s">
        <v>35537</v>
      </c>
      <c r="U2757" s="62" t="s">
        <v>35538</v>
      </c>
      <c r="V2757" s="62" t="s">
        <v>48129</v>
      </c>
      <c r="W2757" s="62" t="s">
        <v>35539</v>
      </c>
      <c r="X2757" s="62" t="s">
        <v>35540</v>
      </c>
      <c r="Y2757" s="62" t="s">
        <v>35541</v>
      </c>
      <c r="Z2757" s="62" t="s">
        <v>35542</v>
      </c>
      <c r="AA2757" s="62" t="s">
        <v>48164</v>
      </c>
      <c r="AB2757" s="62" t="s">
        <v>35543</v>
      </c>
      <c r="AC2757" s="62" t="s">
        <v>35544</v>
      </c>
      <c r="AD2757" s="62" t="s">
        <v>35545</v>
      </c>
    </row>
    <row r="2758" spans="1:30" x14ac:dyDescent="0.25">
      <c r="A2758" s="62" t="s">
        <v>109</v>
      </c>
      <c r="C2758" s="62" t="s">
        <v>35546</v>
      </c>
      <c r="F2758" s="62" t="s">
        <v>10739</v>
      </c>
      <c r="G2758" s="62" t="s">
        <v>48025</v>
      </c>
      <c r="J2758" s="62" t="s">
        <v>35547</v>
      </c>
      <c r="K2758" s="62" t="s">
        <v>48060</v>
      </c>
      <c r="L2758" s="62" t="s">
        <v>35548</v>
      </c>
      <c r="M2758" s="62" t="s">
        <v>35549</v>
      </c>
      <c r="N2758" s="62" t="s">
        <v>35550</v>
      </c>
      <c r="O2758" s="62" t="s">
        <v>35551</v>
      </c>
      <c r="P2758" s="62" t="s">
        <v>48095</v>
      </c>
      <c r="Q2758" s="62" t="s">
        <v>35552</v>
      </c>
      <c r="R2758" s="62" t="s">
        <v>35553</v>
      </c>
      <c r="S2758" s="62" t="s">
        <v>35554</v>
      </c>
      <c r="U2758" s="62" t="s">
        <v>35555</v>
      </c>
      <c r="V2758" s="62" t="s">
        <v>48130</v>
      </c>
      <c r="W2758" s="62" t="s">
        <v>35556</v>
      </c>
      <c r="X2758" s="62" t="s">
        <v>35557</v>
      </c>
      <c r="Y2758" s="62" t="s">
        <v>35558</v>
      </c>
      <c r="Z2758" s="62" t="s">
        <v>35559</v>
      </c>
      <c r="AA2758" s="62" t="s">
        <v>48165</v>
      </c>
      <c r="AB2758" s="62" t="s">
        <v>35560</v>
      </c>
      <c r="AC2758" s="62" t="s">
        <v>35561</v>
      </c>
      <c r="AD2758" s="62" t="s">
        <v>35562</v>
      </c>
    </row>
    <row r="2759" spans="1:30" x14ac:dyDescent="0.25">
      <c r="A2759" s="62" t="s">
        <v>109</v>
      </c>
      <c r="C2759" s="62" t="s">
        <v>35563</v>
      </c>
      <c r="F2759" s="62" t="s">
        <v>13184</v>
      </c>
      <c r="G2759" s="62" t="s">
        <v>48026</v>
      </c>
      <c r="J2759" s="62" t="s">
        <v>35564</v>
      </c>
      <c r="K2759" s="62" t="s">
        <v>48061</v>
      </c>
      <c r="L2759" s="62" t="s">
        <v>35565</v>
      </c>
      <c r="M2759" s="62" t="s">
        <v>35566</v>
      </c>
      <c r="N2759" s="62" t="s">
        <v>35567</v>
      </c>
      <c r="O2759" s="62" t="s">
        <v>35568</v>
      </c>
      <c r="P2759" s="62" t="s">
        <v>48096</v>
      </c>
      <c r="Q2759" s="62" t="s">
        <v>35569</v>
      </c>
      <c r="R2759" s="62" t="s">
        <v>35570</v>
      </c>
      <c r="S2759" s="62" t="s">
        <v>35571</v>
      </c>
      <c r="U2759" s="62" t="s">
        <v>35572</v>
      </c>
      <c r="V2759" s="62" t="s">
        <v>48131</v>
      </c>
      <c r="W2759" s="62" t="s">
        <v>35573</v>
      </c>
      <c r="X2759" s="62" t="s">
        <v>35574</v>
      </c>
      <c r="Y2759" s="62" t="s">
        <v>35575</v>
      </c>
      <c r="Z2759" s="62" t="s">
        <v>35576</v>
      </c>
      <c r="AA2759" s="62" t="s">
        <v>48166</v>
      </c>
      <c r="AB2759" s="62" t="s">
        <v>35577</v>
      </c>
      <c r="AC2759" s="62" t="s">
        <v>35578</v>
      </c>
      <c r="AD2759" s="62" t="s">
        <v>35579</v>
      </c>
    </row>
    <row r="2760" spans="1:30" x14ac:dyDescent="0.25">
      <c r="A2760" s="62" t="s">
        <v>109</v>
      </c>
      <c r="C2760" s="62" t="s">
        <v>35580</v>
      </c>
      <c r="F2760" s="62" t="s">
        <v>10757</v>
      </c>
      <c r="G2760" s="62" t="s">
        <v>48027</v>
      </c>
      <c r="J2760" s="62" t="s">
        <v>35581</v>
      </c>
      <c r="K2760" s="62" t="s">
        <v>48062</v>
      </c>
      <c r="L2760" s="62" t="s">
        <v>35582</v>
      </c>
      <c r="M2760" s="62" t="s">
        <v>35583</v>
      </c>
      <c r="N2760" s="62" t="s">
        <v>35584</v>
      </c>
      <c r="O2760" s="62" t="s">
        <v>35585</v>
      </c>
      <c r="P2760" s="62" t="s">
        <v>48097</v>
      </c>
      <c r="Q2760" s="62" t="s">
        <v>35586</v>
      </c>
      <c r="R2760" s="62" t="s">
        <v>35587</v>
      </c>
      <c r="S2760" s="62" t="s">
        <v>35588</v>
      </c>
      <c r="U2760" s="62" t="s">
        <v>35589</v>
      </c>
      <c r="V2760" s="62" t="s">
        <v>48132</v>
      </c>
      <c r="W2760" s="62" t="s">
        <v>35590</v>
      </c>
      <c r="X2760" s="62" t="s">
        <v>35591</v>
      </c>
      <c r="Y2760" s="62" t="s">
        <v>35592</v>
      </c>
      <c r="Z2760" s="62" t="s">
        <v>35593</v>
      </c>
      <c r="AA2760" s="62" t="s">
        <v>48167</v>
      </c>
      <c r="AB2760" s="62" t="s">
        <v>35594</v>
      </c>
      <c r="AC2760" s="62" t="s">
        <v>35595</v>
      </c>
      <c r="AD2760" s="62" t="s">
        <v>35596</v>
      </c>
    </row>
    <row r="2761" spans="1:30" x14ac:dyDescent="0.25">
      <c r="A2761" s="62" t="s">
        <v>109</v>
      </c>
      <c r="C2761" s="62" t="s">
        <v>35597</v>
      </c>
      <c r="F2761" s="62" t="s">
        <v>10775</v>
      </c>
      <c r="G2761" s="62" t="s">
        <v>48028</v>
      </c>
      <c r="J2761" s="62" t="s">
        <v>35598</v>
      </c>
      <c r="K2761" s="62" t="s">
        <v>48063</v>
      </c>
      <c r="L2761" s="62" t="s">
        <v>35599</v>
      </c>
      <c r="M2761" s="62" t="s">
        <v>35600</v>
      </c>
      <c r="N2761" s="62" t="s">
        <v>35601</v>
      </c>
      <c r="O2761" s="62" t="s">
        <v>35602</v>
      </c>
      <c r="P2761" s="62" t="s">
        <v>48098</v>
      </c>
      <c r="Q2761" s="62" t="s">
        <v>35603</v>
      </c>
      <c r="R2761" s="62" t="s">
        <v>35604</v>
      </c>
      <c r="S2761" s="62" t="s">
        <v>35605</v>
      </c>
      <c r="U2761" s="62" t="s">
        <v>35606</v>
      </c>
      <c r="V2761" s="62" t="s">
        <v>48133</v>
      </c>
      <c r="W2761" s="62" t="s">
        <v>35607</v>
      </c>
      <c r="X2761" s="62" t="s">
        <v>35608</v>
      </c>
      <c r="Y2761" s="62" t="s">
        <v>35609</v>
      </c>
      <c r="Z2761" s="62" t="s">
        <v>35610</v>
      </c>
      <c r="AA2761" s="62" t="s">
        <v>48168</v>
      </c>
      <c r="AB2761" s="62" t="s">
        <v>35611</v>
      </c>
      <c r="AC2761" s="62" t="s">
        <v>35612</v>
      </c>
      <c r="AD2761" s="62" t="s">
        <v>35613</v>
      </c>
    </row>
    <row r="2762" spans="1:30" x14ac:dyDescent="0.25">
      <c r="A2762" s="62" t="s">
        <v>109</v>
      </c>
      <c r="C2762" s="62" t="s">
        <v>35614</v>
      </c>
      <c r="F2762" s="62" t="s">
        <v>10829</v>
      </c>
      <c r="G2762" s="62" t="s">
        <v>48029</v>
      </c>
      <c r="J2762" s="62" t="s">
        <v>35615</v>
      </c>
      <c r="K2762" s="62" t="s">
        <v>48064</v>
      </c>
      <c r="L2762" s="62" t="s">
        <v>35616</v>
      </c>
      <c r="M2762" s="62" t="s">
        <v>35617</v>
      </c>
      <c r="N2762" s="62" t="s">
        <v>35618</v>
      </c>
      <c r="O2762" s="62" t="s">
        <v>35619</v>
      </c>
      <c r="P2762" s="62" t="s">
        <v>48099</v>
      </c>
      <c r="Q2762" s="62" t="s">
        <v>35620</v>
      </c>
      <c r="R2762" s="62" t="s">
        <v>35621</v>
      </c>
      <c r="S2762" s="62" t="s">
        <v>35622</v>
      </c>
      <c r="U2762" s="62" t="s">
        <v>35623</v>
      </c>
      <c r="V2762" s="62" t="s">
        <v>48134</v>
      </c>
      <c r="W2762" s="62" t="s">
        <v>35624</v>
      </c>
      <c r="X2762" s="62" t="s">
        <v>35625</v>
      </c>
      <c r="Y2762" s="62" t="s">
        <v>35626</v>
      </c>
      <c r="Z2762" s="62" t="s">
        <v>35627</v>
      </c>
      <c r="AA2762" s="62" t="s">
        <v>48169</v>
      </c>
      <c r="AB2762" s="62" t="s">
        <v>35628</v>
      </c>
      <c r="AC2762" s="62" t="s">
        <v>35629</v>
      </c>
      <c r="AD2762" s="62" t="s">
        <v>35630</v>
      </c>
    </row>
    <row r="2763" spans="1:30" x14ac:dyDescent="0.25">
      <c r="A2763" s="62" t="s">
        <v>109</v>
      </c>
      <c r="C2763" s="62" t="s">
        <v>35631</v>
      </c>
      <c r="F2763" s="62" t="s">
        <v>13236</v>
      </c>
      <c r="G2763" s="62" t="s">
        <v>48030</v>
      </c>
      <c r="J2763" s="62" t="s">
        <v>35632</v>
      </c>
      <c r="K2763" s="62" t="s">
        <v>48065</v>
      </c>
      <c r="L2763" s="62" t="s">
        <v>35633</v>
      </c>
      <c r="M2763" s="62" t="s">
        <v>35634</v>
      </c>
      <c r="N2763" s="62" t="s">
        <v>35635</v>
      </c>
      <c r="O2763" s="62" t="s">
        <v>35636</v>
      </c>
      <c r="P2763" s="62" t="s">
        <v>48100</v>
      </c>
      <c r="Q2763" s="62" t="s">
        <v>35637</v>
      </c>
      <c r="R2763" s="62" t="s">
        <v>35638</v>
      </c>
      <c r="S2763" s="62" t="s">
        <v>35639</v>
      </c>
      <c r="U2763" s="62" t="s">
        <v>35640</v>
      </c>
      <c r="V2763" s="62" t="s">
        <v>48135</v>
      </c>
      <c r="W2763" s="62" t="s">
        <v>35641</v>
      </c>
      <c r="X2763" s="62" t="s">
        <v>35642</v>
      </c>
      <c r="Y2763" s="62" t="s">
        <v>35643</v>
      </c>
      <c r="Z2763" s="62" t="s">
        <v>35644</v>
      </c>
      <c r="AA2763" s="62" t="s">
        <v>48170</v>
      </c>
      <c r="AB2763" s="62" t="s">
        <v>35645</v>
      </c>
      <c r="AC2763" s="62" t="s">
        <v>35646</v>
      </c>
      <c r="AD2763" s="62" t="s">
        <v>35647</v>
      </c>
    </row>
    <row r="2764" spans="1:30" x14ac:dyDescent="0.25">
      <c r="A2764" s="62" t="s">
        <v>109</v>
      </c>
      <c r="C2764" s="62" t="s">
        <v>35648</v>
      </c>
      <c r="F2764" s="62" t="s">
        <v>10847</v>
      </c>
      <c r="G2764" s="62" t="s">
        <v>48031</v>
      </c>
      <c r="J2764" s="62" t="s">
        <v>35649</v>
      </c>
      <c r="K2764" s="62" t="s">
        <v>48066</v>
      </c>
      <c r="L2764" s="62" t="s">
        <v>35650</v>
      </c>
      <c r="M2764" s="62" t="s">
        <v>35651</v>
      </c>
      <c r="N2764" s="62" t="s">
        <v>35652</v>
      </c>
      <c r="O2764" s="62" t="s">
        <v>35653</v>
      </c>
      <c r="P2764" s="62" t="s">
        <v>48101</v>
      </c>
      <c r="Q2764" s="62" t="s">
        <v>35654</v>
      </c>
      <c r="R2764" s="62" t="s">
        <v>35655</v>
      </c>
      <c r="S2764" s="62" t="s">
        <v>35656</v>
      </c>
      <c r="U2764" s="62" t="s">
        <v>35657</v>
      </c>
      <c r="V2764" s="62" t="s">
        <v>48136</v>
      </c>
      <c r="W2764" s="62" t="s">
        <v>35658</v>
      </c>
      <c r="X2764" s="62" t="s">
        <v>35659</v>
      </c>
      <c r="Y2764" s="62" t="s">
        <v>35660</v>
      </c>
      <c r="Z2764" s="62" t="s">
        <v>35661</v>
      </c>
      <c r="AA2764" s="62" t="s">
        <v>48171</v>
      </c>
      <c r="AB2764" s="62" t="s">
        <v>35662</v>
      </c>
      <c r="AC2764" s="62" t="s">
        <v>35663</v>
      </c>
      <c r="AD2764" s="62" t="s">
        <v>35664</v>
      </c>
    </row>
    <row r="2765" spans="1:30" x14ac:dyDescent="0.25">
      <c r="A2765" s="62" t="s">
        <v>109</v>
      </c>
      <c r="C2765" s="62" t="s">
        <v>35665</v>
      </c>
      <c r="F2765" s="62" t="s">
        <v>13238</v>
      </c>
      <c r="G2765" s="62" t="s">
        <v>48032</v>
      </c>
      <c r="J2765" s="62" t="s">
        <v>35666</v>
      </c>
      <c r="K2765" s="62" t="s">
        <v>48067</v>
      </c>
      <c r="L2765" s="62" t="s">
        <v>35667</v>
      </c>
      <c r="M2765" s="62" t="s">
        <v>35668</v>
      </c>
      <c r="N2765" s="62" t="s">
        <v>35669</v>
      </c>
      <c r="O2765" s="62" t="s">
        <v>35670</v>
      </c>
      <c r="P2765" s="62" t="s">
        <v>48102</v>
      </c>
      <c r="Q2765" s="62" t="s">
        <v>35671</v>
      </c>
      <c r="R2765" s="62" t="s">
        <v>35672</v>
      </c>
      <c r="S2765" s="62" t="s">
        <v>35673</v>
      </c>
      <c r="U2765" s="62" t="s">
        <v>35674</v>
      </c>
      <c r="V2765" s="62" t="s">
        <v>48137</v>
      </c>
      <c r="W2765" s="62" t="s">
        <v>35675</v>
      </c>
      <c r="X2765" s="62" t="s">
        <v>35676</v>
      </c>
      <c r="Y2765" s="62" t="s">
        <v>35677</v>
      </c>
      <c r="Z2765" s="62" t="s">
        <v>35678</v>
      </c>
      <c r="AA2765" s="62" t="s">
        <v>48172</v>
      </c>
      <c r="AB2765" s="62" t="s">
        <v>35679</v>
      </c>
      <c r="AC2765" s="62" t="s">
        <v>35680</v>
      </c>
      <c r="AD2765" s="62" t="s">
        <v>35681</v>
      </c>
    </row>
    <row r="2766" spans="1:30" x14ac:dyDescent="0.25">
      <c r="A2766" s="62" t="s">
        <v>109</v>
      </c>
      <c r="C2766" s="62" t="s">
        <v>35682</v>
      </c>
      <c r="F2766" s="62" t="s">
        <v>1249</v>
      </c>
      <c r="G2766" s="62" t="s">
        <v>48033</v>
      </c>
      <c r="J2766" s="62" t="s">
        <v>35683</v>
      </c>
      <c r="K2766" s="62" t="s">
        <v>48068</v>
      </c>
      <c r="L2766" s="62" t="s">
        <v>35684</v>
      </c>
      <c r="M2766" s="62" t="s">
        <v>35685</v>
      </c>
      <c r="N2766" s="62" t="s">
        <v>35686</v>
      </c>
      <c r="O2766" s="62" t="s">
        <v>35687</v>
      </c>
      <c r="P2766" s="62" t="s">
        <v>48103</v>
      </c>
      <c r="Q2766" s="62" t="s">
        <v>35688</v>
      </c>
      <c r="R2766" s="62" t="s">
        <v>35689</v>
      </c>
      <c r="S2766" s="62" t="s">
        <v>35690</v>
      </c>
      <c r="U2766" s="62" t="s">
        <v>35691</v>
      </c>
      <c r="V2766" s="62" t="s">
        <v>48138</v>
      </c>
      <c r="W2766" s="62" t="s">
        <v>35692</v>
      </c>
      <c r="X2766" s="62" t="s">
        <v>35693</v>
      </c>
      <c r="Y2766" s="62" t="s">
        <v>35694</v>
      </c>
      <c r="Z2766" s="62" t="s">
        <v>35695</v>
      </c>
      <c r="AA2766" s="62" t="s">
        <v>48173</v>
      </c>
      <c r="AB2766" s="62" t="s">
        <v>35696</v>
      </c>
      <c r="AC2766" s="62" t="s">
        <v>35697</v>
      </c>
      <c r="AD2766" s="62" t="s">
        <v>35698</v>
      </c>
    </row>
    <row r="2767" spans="1:30" x14ac:dyDescent="0.25">
      <c r="A2767" s="62" t="s">
        <v>109</v>
      </c>
      <c r="C2767" s="62" t="s">
        <v>35699</v>
      </c>
      <c r="F2767" s="62" t="s">
        <v>13249</v>
      </c>
      <c r="G2767" s="62" t="s">
        <v>48034</v>
      </c>
      <c r="J2767" s="62" t="s">
        <v>35700</v>
      </c>
      <c r="K2767" s="62" t="s">
        <v>48069</v>
      </c>
      <c r="L2767" s="62" t="s">
        <v>35701</v>
      </c>
      <c r="M2767" s="62" t="s">
        <v>35702</v>
      </c>
      <c r="N2767" s="62" t="s">
        <v>35703</v>
      </c>
      <c r="O2767" s="62" t="s">
        <v>35704</v>
      </c>
      <c r="P2767" s="62" t="s">
        <v>48104</v>
      </c>
      <c r="Q2767" s="62" t="s">
        <v>35705</v>
      </c>
      <c r="R2767" s="62" t="s">
        <v>35706</v>
      </c>
      <c r="S2767" s="62" t="s">
        <v>35707</v>
      </c>
      <c r="U2767" s="62" t="s">
        <v>35708</v>
      </c>
      <c r="V2767" s="62" t="s">
        <v>48139</v>
      </c>
      <c r="W2767" s="62" t="s">
        <v>35709</v>
      </c>
      <c r="X2767" s="62" t="s">
        <v>35710</v>
      </c>
      <c r="Y2767" s="62" t="s">
        <v>35711</v>
      </c>
      <c r="Z2767" s="62" t="s">
        <v>35712</v>
      </c>
      <c r="AA2767" s="62" t="s">
        <v>48174</v>
      </c>
      <c r="AB2767" s="62" t="s">
        <v>35713</v>
      </c>
      <c r="AC2767" s="62" t="s">
        <v>35714</v>
      </c>
      <c r="AD2767" s="62" t="s">
        <v>35715</v>
      </c>
    </row>
    <row r="2768" spans="1:30" x14ac:dyDescent="0.25">
      <c r="A2768" s="62" t="s">
        <v>109</v>
      </c>
      <c r="C2768" s="62" t="s">
        <v>35716</v>
      </c>
      <c r="F2768" s="62" t="s">
        <v>10925</v>
      </c>
      <c r="G2768" s="62" t="s">
        <v>48035</v>
      </c>
      <c r="J2768" s="62" t="s">
        <v>35717</v>
      </c>
      <c r="K2768" s="62" t="s">
        <v>48070</v>
      </c>
      <c r="L2768" s="62" t="s">
        <v>35718</v>
      </c>
      <c r="M2768" s="62" t="s">
        <v>35719</v>
      </c>
      <c r="N2768" s="62" t="s">
        <v>35720</v>
      </c>
      <c r="O2768" s="62" t="s">
        <v>35721</v>
      </c>
      <c r="P2768" s="62" t="s">
        <v>48105</v>
      </c>
      <c r="Q2768" s="62" t="s">
        <v>35722</v>
      </c>
      <c r="R2768" s="62" t="s">
        <v>35723</v>
      </c>
      <c r="S2768" s="62" t="s">
        <v>35724</v>
      </c>
      <c r="U2768" s="62" t="s">
        <v>35725</v>
      </c>
      <c r="V2768" s="62" t="s">
        <v>48140</v>
      </c>
      <c r="W2768" s="62" t="s">
        <v>35726</v>
      </c>
      <c r="X2768" s="62" t="s">
        <v>35727</v>
      </c>
      <c r="Y2768" s="62" t="s">
        <v>35728</v>
      </c>
      <c r="Z2768" s="62" t="s">
        <v>35729</v>
      </c>
      <c r="AA2768" s="62" t="s">
        <v>48175</v>
      </c>
      <c r="AB2768" s="62" t="s">
        <v>35730</v>
      </c>
      <c r="AC2768" s="62" t="s">
        <v>35731</v>
      </c>
      <c r="AD2768" s="62" t="s">
        <v>35732</v>
      </c>
    </row>
    <row r="2769" spans="1:30" x14ac:dyDescent="0.25">
      <c r="A2769" s="62" t="s">
        <v>109</v>
      </c>
      <c r="C2769" s="62" t="s">
        <v>35733</v>
      </c>
      <c r="F2769" s="62" t="s">
        <v>10929</v>
      </c>
      <c r="G2769" s="62" t="s">
        <v>48036</v>
      </c>
      <c r="J2769" s="62" t="s">
        <v>35734</v>
      </c>
      <c r="K2769" s="62" t="s">
        <v>48071</v>
      </c>
      <c r="L2769" s="62" t="s">
        <v>35735</v>
      </c>
      <c r="M2769" s="62" t="s">
        <v>35736</v>
      </c>
      <c r="N2769" s="62" t="s">
        <v>35737</v>
      </c>
      <c r="O2769" s="62" t="s">
        <v>35738</v>
      </c>
      <c r="P2769" s="62" t="s">
        <v>48106</v>
      </c>
      <c r="Q2769" s="62" t="s">
        <v>35739</v>
      </c>
      <c r="R2769" s="62" t="s">
        <v>35740</v>
      </c>
      <c r="S2769" s="62" t="s">
        <v>35741</v>
      </c>
      <c r="U2769" s="62" t="s">
        <v>35742</v>
      </c>
      <c r="V2769" s="62" t="s">
        <v>48141</v>
      </c>
      <c r="W2769" s="62" t="s">
        <v>35743</v>
      </c>
      <c r="X2769" s="62" t="s">
        <v>35744</v>
      </c>
      <c r="Y2769" s="62" t="s">
        <v>35745</v>
      </c>
      <c r="Z2769" s="62" t="s">
        <v>35746</v>
      </c>
      <c r="AA2769" s="62" t="s">
        <v>48176</v>
      </c>
      <c r="AB2769" s="62" t="s">
        <v>35747</v>
      </c>
      <c r="AC2769" s="62" t="s">
        <v>35748</v>
      </c>
      <c r="AD2769" s="62" t="s">
        <v>35749</v>
      </c>
    </row>
    <row r="2770" spans="1:30" x14ac:dyDescent="0.25">
      <c r="A2770" s="62" t="s">
        <v>109</v>
      </c>
      <c r="C2770" s="62" t="s">
        <v>35172</v>
      </c>
    </row>
    <row r="2771" spans="1:30" x14ac:dyDescent="0.25">
      <c r="A2771" s="62" t="s">
        <v>109</v>
      </c>
      <c r="C2771" s="62" t="s">
        <v>45916</v>
      </c>
      <c r="G2771" s="62" t="s">
        <v>45917</v>
      </c>
      <c r="J2771" s="62" t="s">
        <v>45918</v>
      </c>
      <c r="K2771" s="62" t="s">
        <v>45919</v>
      </c>
      <c r="L2771" s="62" t="s">
        <v>45920</v>
      </c>
      <c r="M2771" s="62" t="s">
        <v>45921</v>
      </c>
      <c r="N2771" s="62" t="s">
        <v>45922</v>
      </c>
      <c r="O2771" s="62" t="s">
        <v>45923</v>
      </c>
      <c r="P2771" s="62" t="s">
        <v>45924</v>
      </c>
      <c r="Q2771" s="62" t="s">
        <v>45925</v>
      </c>
      <c r="R2771" s="62" t="s">
        <v>45926</v>
      </c>
      <c r="S2771" s="62" t="s">
        <v>45927</v>
      </c>
      <c r="U2771" s="62" t="s">
        <v>45928</v>
      </c>
      <c r="V2771" s="62" t="s">
        <v>45929</v>
      </c>
      <c r="W2771" s="62" t="s">
        <v>45930</v>
      </c>
      <c r="X2771" s="62" t="s">
        <v>45931</v>
      </c>
      <c r="Y2771" s="62" t="s">
        <v>45932</v>
      </c>
      <c r="Z2771" s="62" t="s">
        <v>45933</v>
      </c>
      <c r="AA2771" s="62" t="s">
        <v>45934</v>
      </c>
      <c r="AB2771" s="62" t="s">
        <v>45935</v>
      </c>
      <c r="AC2771" s="62" t="s">
        <v>45936</v>
      </c>
      <c r="AD2771" s="62" t="s">
        <v>45937</v>
      </c>
    </row>
    <row r="2772" spans="1:30" x14ac:dyDescent="0.25">
      <c r="A2772" s="62" t="s">
        <v>109</v>
      </c>
    </row>
    <row r="2773" spans="1:30" x14ac:dyDescent="0.25">
      <c r="A2773" s="62" t="s">
        <v>109</v>
      </c>
      <c r="C2773" s="62" t="s">
        <v>45938</v>
      </c>
      <c r="E2773" s="62" t="s">
        <v>39695</v>
      </c>
      <c r="G2773" s="62" t="s">
        <v>45939</v>
      </c>
    </row>
    <row r="2774" spans="1:30" x14ac:dyDescent="0.25">
      <c r="A2774" s="62" t="s">
        <v>109</v>
      </c>
      <c r="C2774" s="62" t="s">
        <v>45940</v>
      </c>
    </row>
    <row r="2775" spans="1:30" x14ac:dyDescent="0.25">
      <c r="A2775" s="62" t="s">
        <v>109</v>
      </c>
      <c r="C2775" s="62" t="s">
        <v>35751</v>
      </c>
      <c r="F2775" s="62" t="s">
        <v>45941</v>
      </c>
      <c r="G2775" s="62" t="s">
        <v>47647</v>
      </c>
      <c r="J2775" s="62" t="s">
        <v>45942</v>
      </c>
      <c r="K2775" s="62" t="s">
        <v>47718</v>
      </c>
      <c r="L2775" s="62" t="s">
        <v>45943</v>
      </c>
      <c r="M2775" s="62" t="s">
        <v>45944</v>
      </c>
      <c r="N2775" s="62" t="s">
        <v>45945</v>
      </c>
      <c r="O2775" s="62" t="s">
        <v>45946</v>
      </c>
      <c r="P2775" s="62" t="s">
        <v>47789</v>
      </c>
      <c r="Q2775" s="62" t="s">
        <v>45947</v>
      </c>
      <c r="R2775" s="62" t="s">
        <v>45948</v>
      </c>
      <c r="S2775" s="62" t="s">
        <v>45949</v>
      </c>
      <c r="U2775" s="62" t="s">
        <v>45950</v>
      </c>
      <c r="V2775" s="62" t="s">
        <v>47860</v>
      </c>
      <c r="W2775" s="62" t="s">
        <v>45951</v>
      </c>
      <c r="X2775" s="62" t="s">
        <v>45952</v>
      </c>
      <c r="Y2775" s="62" t="s">
        <v>45953</v>
      </c>
      <c r="Z2775" s="62" t="s">
        <v>45954</v>
      </c>
      <c r="AA2775" s="62" t="s">
        <v>47931</v>
      </c>
      <c r="AB2775" s="62" t="s">
        <v>45955</v>
      </c>
      <c r="AC2775" s="62" t="s">
        <v>45956</v>
      </c>
      <c r="AD2775" s="62" t="s">
        <v>45957</v>
      </c>
    </row>
    <row r="2776" spans="1:30" x14ac:dyDescent="0.25">
      <c r="A2776" s="62" t="s">
        <v>109</v>
      </c>
      <c r="C2776" s="62" t="s">
        <v>35752</v>
      </c>
      <c r="F2776" s="62" t="s">
        <v>872</v>
      </c>
      <c r="G2776" s="62" t="s">
        <v>47648</v>
      </c>
      <c r="J2776" s="62" t="s">
        <v>35753</v>
      </c>
      <c r="K2776" s="62" t="s">
        <v>47719</v>
      </c>
      <c r="L2776" s="62" t="s">
        <v>35754</v>
      </c>
      <c r="M2776" s="62" t="s">
        <v>35755</v>
      </c>
      <c r="N2776" s="62" t="s">
        <v>35756</v>
      </c>
      <c r="O2776" s="62" t="s">
        <v>35757</v>
      </c>
      <c r="P2776" s="62" t="s">
        <v>47790</v>
      </c>
      <c r="Q2776" s="62" t="s">
        <v>35758</v>
      </c>
      <c r="R2776" s="62" t="s">
        <v>35759</v>
      </c>
      <c r="S2776" s="62" t="s">
        <v>35760</v>
      </c>
      <c r="U2776" s="62" t="s">
        <v>35761</v>
      </c>
      <c r="V2776" s="62" t="s">
        <v>47861</v>
      </c>
      <c r="W2776" s="62" t="s">
        <v>35762</v>
      </c>
      <c r="X2776" s="62" t="s">
        <v>35763</v>
      </c>
      <c r="Y2776" s="62" t="s">
        <v>35764</v>
      </c>
      <c r="Z2776" s="62" t="s">
        <v>35765</v>
      </c>
      <c r="AA2776" s="62" t="s">
        <v>47932</v>
      </c>
      <c r="AB2776" s="62" t="s">
        <v>35766</v>
      </c>
      <c r="AC2776" s="62" t="s">
        <v>35767</v>
      </c>
      <c r="AD2776" s="62" t="s">
        <v>35768</v>
      </c>
    </row>
    <row r="2777" spans="1:30" x14ac:dyDescent="0.25">
      <c r="A2777" s="62" t="s">
        <v>109</v>
      </c>
      <c r="C2777" s="62" t="s">
        <v>35769</v>
      </c>
      <c r="F2777" s="62" t="s">
        <v>889</v>
      </c>
      <c r="G2777" s="62" t="s">
        <v>47649</v>
      </c>
      <c r="J2777" s="62" t="s">
        <v>35770</v>
      </c>
      <c r="K2777" s="62" t="s">
        <v>47720</v>
      </c>
      <c r="L2777" s="62" t="s">
        <v>35771</v>
      </c>
      <c r="M2777" s="62" t="s">
        <v>35772</v>
      </c>
      <c r="N2777" s="62" t="s">
        <v>35773</v>
      </c>
      <c r="O2777" s="62" t="s">
        <v>35774</v>
      </c>
      <c r="P2777" s="62" t="s">
        <v>47791</v>
      </c>
      <c r="Q2777" s="62" t="s">
        <v>35775</v>
      </c>
      <c r="R2777" s="62" t="s">
        <v>35776</v>
      </c>
      <c r="S2777" s="62" t="s">
        <v>35777</v>
      </c>
      <c r="U2777" s="62" t="s">
        <v>35778</v>
      </c>
      <c r="V2777" s="62" t="s">
        <v>47862</v>
      </c>
      <c r="W2777" s="62" t="s">
        <v>35779</v>
      </c>
      <c r="X2777" s="62" t="s">
        <v>35780</v>
      </c>
      <c r="Y2777" s="62" t="s">
        <v>35781</v>
      </c>
      <c r="Z2777" s="62" t="s">
        <v>35782</v>
      </c>
      <c r="AA2777" s="62" t="s">
        <v>47933</v>
      </c>
      <c r="AB2777" s="62" t="s">
        <v>35783</v>
      </c>
      <c r="AC2777" s="62" t="s">
        <v>35784</v>
      </c>
      <c r="AD2777" s="62" t="s">
        <v>35785</v>
      </c>
    </row>
    <row r="2778" spans="1:30" x14ac:dyDescent="0.25">
      <c r="A2778" s="62" t="s">
        <v>109</v>
      </c>
      <c r="C2778" s="62" t="s">
        <v>35786</v>
      </c>
      <c r="F2778" s="62" t="s">
        <v>915</v>
      </c>
      <c r="G2778" s="62" t="s">
        <v>47650</v>
      </c>
      <c r="J2778" s="62" t="s">
        <v>35787</v>
      </c>
      <c r="K2778" s="62" t="s">
        <v>47721</v>
      </c>
      <c r="L2778" s="62" t="s">
        <v>35788</v>
      </c>
      <c r="M2778" s="62" t="s">
        <v>35789</v>
      </c>
      <c r="N2778" s="62" t="s">
        <v>35790</v>
      </c>
      <c r="O2778" s="62" t="s">
        <v>35791</v>
      </c>
      <c r="P2778" s="62" t="s">
        <v>47792</v>
      </c>
      <c r="Q2778" s="62" t="s">
        <v>35792</v>
      </c>
      <c r="R2778" s="62" t="s">
        <v>35793</v>
      </c>
      <c r="S2778" s="62" t="s">
        <v>35794</v>
      </c>
      <c r="U2778" s="62" t="s">
        <v>35795</v>
      </c>
      <c r="V2778" s="62" t="s">
        <v>47863</v>
      </c>
      <c r="W2778" s="62" t="s">
        <v>35796</v>
      </c>
      <c r="X2778" s="62" t="s">
        <v>35797</v>
      </c>
      <c r="Y2778" s="62" t="s">
        <v>35798</v>
      </c>
      <c r="Z2778" s="62" t="s">
        <v>35799</v>
      </c>
      <c r="AA2778" s="62" t="s">
        <v>47934</v>
      </c>
      <c r="AB2778" s="62" t="s">
        <v>35800</v>
      </c>
      <c r="AC2778" s="62" t="s">
        <v>35801</v>
      </c>
      <c r="AD2778" s="62" t="s">
        <v>35802</v>
      </c>
    </row>
    <row r="2779" spans="1:30" x14ac:dyDescent="0.25">
      <c r="A2779" s="62" t="s">
        <v>109</v>
      </c>
      <c r="C2779" s="62" t="s">
        <v>35803</v>
      </c>
      <c r="F2779" s="62" t="s">
        <v>925</v>
      </c>
      <c r="G2779" s="62" t="s">
        <v>47651</v>
      </c>
      <c r="J2779" s="62" t="s">
        <v>35804</v>
      </c>
      <c r="K2779" s="62" t="s">
        <v>47722</v>
      </c>
      <c r="L2779" s="62" t="s">
        <v>35805</v>
      </c>
      <c r="M2779" s="62" t="s">
        <v>35806</v>
      </c>
      <c r="N2779" s="62" t="s">
        <v>35807</v>
      </c>
      <c r="O2779" s="62" t="s">
        <v>35808</v>
      </c>
      <c r="P2779" s="62" t="s">
        <v>47793</v>
      </c>
      <c r="Q2779" s="62" t="s">
        <v>35809</v>
      </c>
      <c r="R2779" s="62" t="s">
        <v>35810</v>
      </c>
      <c r="S2779" s="62" t="s">
        <v>35811</v>
      </c>
      <c r="U2779" s="62" t="s">
        <v>35812</v>
      </c>
      <c r="V2779" s="62" t="s">
        <v>47864</v>
      </c>
      <c r="W2779" s="62" t="s">
        <v>35813</v>
      </c>
      <c r="X2779" s="62" t="s">
        <v>35814</v>
      </c>
      <c r="Y2779" s="62" t="s">
        <v>35815</v>
      </c>
      <c r="Z2779" s="62" t="s">
        <v>35816</v>
      </c>
      <c r="AA2779" s="62" t="s">
        <v>47935</v>
      </c>
      <c r="AB2779" s="62" t="s">
        <v>35817</v>
      </c>
      <c r="AC2779" s="62" t="s">
        <v>35818</v>
      </c>
      <c r="AD2779" s="62" t="s">
        <v>35819</v>
      </c>
    </row>
    <row r="2780" spans="1:30" x14ac:dyDescent="0.25">
      <c r="A2780" s="62" t="s">
        <v>109</v>
      </c>
      <c r="C2780" s="62" t="s">
        <v>35820</v>
      </c>
      <c r="F2780" s="62" t="s">
        <v>943</v>
      </c>
      <c r="G2780" s="62" t="s">
        <v>47652</v>
      </c>
      <c r="J2780" s="62" t="s">
        <v>35821</v>
      </c>
      <c r="K2780" s="62" t="s">
        <v>47723</v>
      </c>
      <c r="L2780" s="62" t="s">
        <v>35822</v>
      </c>
      <c r="M2780" s="62" t="s">
        <v>35823</v>
      </c>
      <c r="N2780" s="62" t="s">
        <v>35824</v>
      </c>
      <c r="O2780" s="62" t="s">
        <v>35825</v>
      </c>
      <c r="P2780" s="62" t="s">
        <v>47794</v>
      </c>
      <c r="Q2780" s="62" t="s">
        <v>35826</v>
      </c>
      <c r="R2780" s="62" t="s">
        <v>35827</v>
      </c>
      <c r="S2780" s="62" t="s">
        <v>35828</v>
      </c>
      <c r="U2780" s="62" t="s">
        <v>35829</v>
      </c>
      <c r="V2780" s="62" t="s">
        <v>47865</v>
      </c>
      <c r="W2780" s="62" t="s">
        <v>35830</v>
      </c>
      <c r="X2780" s="62" t="s">
        <v>35831</v>
      </c>
      <c r="Y2780" s="62" t="s">
        <v>35832</v>
      </c>
      <c r="Z2780" s="62" t="s">
        <v>35833</v>
      </c>
      <c r="AA2780" s="62" t="s">
        <v>47936</v>
      </c>
      <c r="AB2780" s="62" t="s">
        <v>35834</v>
      </c>
      <c r="AC2780" s="62" t="s">
        <v>35835</v>
      </c>
      <c r="AD2780" s="62" t="s">
        <v>35836</v>
      </c>
    </row>
    <row r="2781" spans="1:30" x14ac:dyDescent="0.25">
      <c r="A2781" s="62" t="s">
        <v>109</v>
      </c>
      <c r="C2781" s="62" t="s">
        <v>35837</v>
      </c>
      <c r="F2781" s="62" t="s">
        <v>2212</v>
      </c>
      <c r="G2781" s="62" t="s">
        <v>47653</v>
      </c>
      <c r="J2781" s="62" t="s">
        <v>35838</v>
      </c>
      <c r="K2781" s="62" t="s">
        <v>47724</v>
      </c>
      <c r="L2781" s="62" t="s">
        <v>35839</v>
      </c>
      <c r="M2781" s="62" t="s">
        <v>35840</v>
      </c>
      <c r="N2781" s="62" t="s">
        <v>35841</v>
      </c>
      <c r="O2781" s="62" t="s">
        <v>35842</v>
      </c>
      <c r="P2781" s="62" t="s">
        <v>47795</v>
      </c>
      <c r="Q2781" s="62" t="s">
        <v>35843</v>
      </c>
      <c r="R2781" s="62" t="s">
        <v>35844</v>
      </c>
      <c r="S2781" s="62" t="s">
        <v>35845</v>
      </c>
      <c r="U2781" s="62" t="s">
        <v>35846</v>
      </c>
      <c r="V2781" s="62" t="s">
        <v>47866</v>
      </c>
      <c r="W2781" s="62" t="s">
        <v>35847</v>
      </c>
      <c r="X2781" s="62" t="s">
        <v>35848</v>
      </c>
      <c r="Y2781" s="62" t="s">
        <v>35849</v>
      </c>
      <c r="Z2781" s="62" t="s">
        <v>35850</v>
      </c>
      <c r="AA2781" s="62" t="s">
        <v>47937</v>
      </c>
      <c r="AB2781" s="62" t="s">
        <v>35851</v>
      </c>
      <c r="AC2781" s="62" t="s">
        <v>35852</v>
      </c>
      <c r="AD2781" s="62" t="s">
        <v>35853</v>
      </c>
    </row>
    <row r="2782" spans="1:30" x14ac:dyDescent="0.25">
      <c r="A2782" s="62" t="s">
        <v>109</v>
      </c>
      <c r="C2782" s="62" t="s">
        <v>35854</v>
      </c>
      <c r="F2782" s="62" t="s">
        <v>193</v>
      </c>
      <c r="G2782" s="62" t="s">
        <v>47654</v>
      </c>
      <c r="J2782" s="62" t="s">
        <v>35855</v>
      </c>
      <c r="K2782" s="62" t="s">
        <v>47725</v>
      </c>
      <c r="L2782" s="62" t="s">
        <v>35856</v>
      </c>
      <c r="M2782" s="62" t="s">
        <v>35857</v>
      </c>
      <c r="N2782" s="62" t="s">
        <v>35858</v>
      </c>
      <c r="O2782" s="62" t="s">
        <v>35859</v>
      </c>
      <c r="P2782" s="62" t="s">
        <v>47796</v>
      </c>
      <c r="Q2782" s="62" t="s">
        <v>35860</v>
      </c>
      <c r="R2782" s="62" t="s">
        <v>35861</v>
      </c>
      <c r="S2782" s="62" t="s">
        <v>35862</v>
      </c>
      <c r="U2782" s="62" t="s">
        <v>35863</v>
      </c>
      <c r="V2782" s="62" t="s">
        <v>47867</v>
      </c>
      <c r="W2782" s="62" t="s">
        <v>35864</v>
      </c>
      <c r="X2782" s="62" t="s">
        <v>35865</v>
      </c>
      <c r="Y2782" s="62" t="s">
        <v>35866</v>
      </c>
      <c r="Z2782" s="62" t="s">
        <v>35867</v>
      </c>
      <c r="AA2782" s="62" t="s">
        <v>47938</v>
      </c>
      <c r="AB2782" s="62" t="s">
        <v>35868</v>
      </c>
      <c r="AC2782" s="62" t="s">
        <v>35869</v>
      </c>
      <c r="AD2782" s="62" t="s">
        <v>35870</v>
      </c>
    </row>
    <row r="2783" spans="1:30" x14ac:dyDescent="0.25">
      <c r="A2783" s="62" t="s">
        <v>109</v>
      </c>
      <c r="C2783" s="62" t="s">
        <v>35871</v>
      </c>
      <c r="F2783" s="62" t="s">
        <v>254</v>
      </c>
      <c r="G2783" s="62" t="s">
        <v>47655</v>
      </c>
      <c r="J2783" s="62" t="s">
        <v>35872</v>
      </c>
      <c r="K2783" s="62" t="s">
        <v>47726</v>
      </c>
      <c r="L2783" s="62" t="s">
        <v>35873</v>
      </c>
      <c r="M2783" s="62" t="s">
        <v>35874</v>
      </c>
      <c r="N2783" s="62" t="s">
        <v>35875</v>
      </c>
      <c r="O2783" s="62" t="s">
        <v>35876</v>
      </c>
      <c r="P2783" s="62" t="s">
        <v>47797</v>
      </c>
      <c r="Q2783" s="62" t="s">
        <v>35877</v>
      </c>
      <c r="R2783" s="62" t="s">
        <v>35878</v>
      </c>
      <c r="S2783" s="62" t="s">
        <v>35879</v>
      </c>
      <c r="U2783" s="62" t="s">
        <v>35880</v>
      </c>
      <c r="V2783" s="62" t="s">
        <v>47868</v>
      </c>
      <c r="W2783" s="62" t="s">
        <v>35881</v>
      </c>
      <c r="X2783" s="62" t="s">
        <v>35882</v>
      </c>
      <c r="Y2783" s="62" t="s">
        <v>35883</v>
      </c>
      <c r="Z2783" s="62" t="s">
        <v>35884</v>
      </c>
      <c r="AA2783" s="62" t="s">
        <v>47939</v>
      </c>
      <c r="AB2783" s="62" t="s">
        <v>35885</v>
      </c>
      <c r="AC2783" s="62" t="s">
        <v>35886</v>
      </c>
      <c r="AD2783" s="62" t="s">
        <v>35887</v>
      </c>
    </row>
    <row r="2784" spans="1:30" x14ac:dyDescent="0.25">
      <c r="A2784" s="62" t="s">
        <v>109</v>
      </c>
      <c r="C2784" s="62" t="s">
        <v>35888</v>
      </c>
      <c r="F2784" s="62" t="s">
        <v>2297</v>
      </c>
      <c r="G2784" s="62" t="s">
        <v>47656</v>
      </c>
      <c r="J2784" s="62" t="s">
        <v>35889</v>
      </c>
      <c r="K2784" s="62" t="s">
        <v>47727</v>
      </c>
      <c r="L2784" s="62" t="s">
        <v>35890</v>
      </c>
      <c r="M2784" s="62" t="s">
        <v>35891</v>
      </c>
      <c r="N2784" s="62" t="s">
        <v>35892</v>
      </c>
      <c r="O2784" s="62" t="s">
        <v>35893</v>
      </c>
      <c r="P2784" s="62" t="s">
        <v>47798</v>
      </c>
      <c r="Q2784" s="62" t="s">
        <v>35894</v>
      </c>
      <c r="R2784" s="62" t="s">
        <v>35895</v>
      </c>
      <c r="S2784" s="62" t="s">
        <v>35896</v>
      </c>
      <c r="U2784" s="62" t="s">
        <v>35897</v>
      </c>
      <c r="V2784" s="62" t="s">
        <v>47869</v>
      </c>
      <c r="W2784" s="62" t="s">
        <v>35898</v>
      </c>
      <c r="X2784" s="62" t="s">
        <v>35899</v>
      </c>
      <c r="Y2784" s="62" t="s">
        <v>35900</v>
      </c>
      <c r="Z2784" s="62" t="s">
        <v>35901</v>
      </c>
      <c r="AA2784" s="62" t="s">
        <v>47940</v>
      </c>
      <c r="AB2784" s="62" t="s">
        <v>35902</v>
      </c>
      <c r="AC2784" s="62" t="s">
        <v>35903</v>
      </c>
      <c r="AD2784" s="62" t="s">
        <v>35904</v>
      </c>
    </row>
    <row r="2785" spans="1:30" x14ac:dyDescent="0.25">
      <c r="A2785" s="62" t="s">
        <v>109</v>
      </c>
      <c r="C2785" s="62" t="s">
        <v>35905</v>
      </c>
      <c r="F2785" s="62" t="s">
        <v>10282</v>
      </c>
      <c r="G2785" s="62" t="s">
        <v>47657</v>
      </c>
      <c r="J2785" s="62" t="s">
        <v>35906</v>
      </c>
      <c r="K2785" s="62" t="s">
        <v>47728</v>
      </c>
      <c r="L2785" s="62" t="s">
        <v>35907</v>
      </c>
      <c r="M2785" s="62" t="s">
        <v>35908</v>
      </c>
      <c r="N2785" s="62" t="s">
        <v>35909</v>
      </c>
      <c r="O2785" s="62" t="s">
        <v>35910</v>
      </c>
      <c r="P2785" s="62" t="s">
        <v>47799</v>
      </c>
      <c r="Q2785" s="62" t="s">
        <v>35911</v>
      </c>
      <c r="R2785" s="62" t="s">
        <v>35912</v>
      </c>
      <c r="S2785" s="62" t="s">
        <v>35913</v>
      </c>
      <c r="U2785" s="62" t="s">
        <v>35914</v>
      </c>
      <c r="V2785" s="62" t="s">
        <v>47870</v>
      </c>
      <c r="W2785" s="62" t="s">
        <v>35915</v>
      </c>
      <c r="X2785" s="62" t="s">
        <v>35916</v>
      </c>
      <c r="Y2785" s="62" t="s">
        <v>35917</v>
      </c>
      <c r="Z2785" s="62" t="s">
        <v>35918</v>
      </c>
      <c r="AA2785" s="62" t="s">
        <v>47941</v>
      </c>
      <c r="AB2785" s="62" t="s">
        <v>35919</v>
      </c>
      <c r="AC2785" s="62" t="s">
        <v>35920</v>
      </c>
      <c r="AD2785" s="62" t="s">
        <v>35921</v>
      </c>
    </row>
    <row r="2786" spans="1:30" x14ac:dyDescent="0.25">
      <c r="A2786" s="62" t="s">
        <v>109</v>
      </c>
      <c r="C2786" s="62" t="s">
        <v>35922</v>
      </c>
      <c r="F2786" s="62" t="s">
        <v>10284</v>
      </c>
      <c r="G2786" s="62" t="s">
        <v>47658</v>
      </c>
      <c r="J2786" s="62" t="s">
        <v>35923</v>
      </c>
      <c r="K2786" s="62" t="s">
        <v>47729</v>
      </c>
      <c r="L2786" s="62" t="s">
        <v>35924</v>
      </c>
      <c r="M2786" s="62" t="s">
        <v>35925</v>
      </c>
      <c r="N2786" s="62" t="s">
        <v>35926</v>
      </c>
      <c r="O2786" s="62" t="s">
        <v>35927</v>
      </c>
      <c r="P2786" s="62" t="s">
        <v>47800</v>
      </c>
      <c r="Q2786" s="62" t="s">
        <v>35928</v>
      </c>
      <c r="R2786" s="62" t="s">
        <v>35929</v>
      </c>
      <c r="S2786" s="62" t="s">
        <v>35930</v>
      </c>
      <c r="U2786" s="62" t="s">
        <v>35931</v>
      </c>
      <c r="V2786" s="62" t="s">
        <v>47871</v>
      </c>
      <c r="W2786" s="62" t="s">
        <v>35932</v>
      </c>
      <c r="X2786" s="62" t="s">
        <v>35933</v>
      </c>
      <c r="Y2786" s="62" t="s">
        <v>35934</v>
      </c>
      <c r="Z2786" s="62" t="s">
        <v>35935</v>
      </c>
      <c r="AA2786" s="62" t="s">
        <v>47942</v>
      </c>
      <c r="AB2786" s="62" t="s">
        <v>35936</v>
      </c>
      <c r="AC2786" s="62" t="s">
        <v>35937</v>
      </c>
      <c r="AD2786" s="62" t="s">
        <v>35938</v>
      </c>
    </row>
    <row r="2787" spans="1:30" x14ac:dyDescent="0.25">
      <c r="A2787" s="62" t="s">
        <v>109</v>
      </c>
      <c r="C2787" s="62" t="s">
        <v>35939</v>
      </c>
      <c r="F2787" s="62" t="s">
        <v>12860</v>
      </c>
      <c r="G2787" s="62" t="s">
        <v>47659</v>
      </c>
      <c r="J2787" s="62" t="s">
        <v>35940</v>
      </c>
      <c r="K2787" s="62" t="s">
        <v>47730</v>
      </c>
      <c r="L2787" s="62" t="s">
        <v>35941</v>
      </c>
      <c r="M2787" s="62" t="s">
        <v>35942</v>
      </c>
      <c r="N2787" s="62" t="s">
        <v>35943</v>
      </c>
      <c r="O2787" s="62" t="s">
        <v>35944</v>
      </c>
      <c r="P2787" s="62" t="s">
        <v>47801</v>
      </c>
      <c r="Q2787" s="62" t="s">
        <v>35945</v>
      </c>
      <c r="R2787" s="62" t="s">
        <v>35946</v>
      </c>
      <c r="S2787" s="62" t="s">
        <v>35947</v>
      </c>
      <c r="U2787" s="62" t="s">
        <v>35948</v>
      </c>
      <c r="V2787" s="62" t="s">
        <v>47872</v>
      </c>
      <c r="W2787" s="62" t="s">
        <v>35949</v>
      </c>
      <c r="X2787" s="62" t="s">
        <v>35950</v>
      </c>
      <c r="Y2787" s="62" t="s">
        <v>35951</v>
      </c>
      <c r="Z2787" s="62" t="s">
        <v>35952</v>
      </c>
      <c r="AA2787" s="62" t="s">
        <v>47943</v>
      </c>
      <c r="AB2787" s="62" t="s">
        <v>35953</v>
      </c>
      <c r="AC2787" s="62" t="s">
        <v>35954</v>
      </c>
      <c r="AD2787" s="62" t="s">
        <v>35955</v>
      </c>
    </row>
    <row r="2788" spans="1:30" x14ac:dyDescent="0.25">
      <c r="A2788" s="62" t="s">
        <v>109</v>
      </c>
      <c r="C2788" s="62" t="s">
        <v>35956</v>
      </c>
      <c r="F2788" s="62" t="s">
        <v>10293</v>
      </c>
      <c r="G2788" s="62" t="s">
        <v>47660</v>
      </c>
      <c r="J2788" s="62" t="s">
        <v>35957</v>
      </c>
      <c r="K2788" s="62" t="s">
        <v>47731</v>
      </c>
      <c r="L2788" s="62" t="s">
        <v>35958</v>
      </c>
      <c r="M2788" s="62" t="s">
        <v>35959</v>
      </c>
      <c r="N2788" s="62" t="s">
        <v>35960</v>
      </c>
      <c r="O2788" s="62" t="s">
        <v>35961</v>
      </c>
      <c r="P2788" s="62" t="s">
        <v>47802</v>
      </c>
      <c r="Q2788" s="62" t="s">
        <v>35962</v>
      </c>
      <c r="R2788" s="62" t="s">
        <v>35963</v>
      </c>
      <c r="S2788" s="62" t="s">
        <v>35964</v>
      </c>
      <c r="U2788" s="62" t="s">
        <v>35965</v>
      </c>
      <c r="V2788" s="62" t="s">
        <v>47873</v>
      </c>
      <c r="W2788" s="62" t="s">
        <v>35966</v>
      </c>
      <c r="X2788" s="62" t="s">
        <v>35967</v>
      </c>
      <c r="Y2788" s="62" t="s">
        <v>35968</v>
      </c>
      <c r="Z2788" s="62" t="s">
        <v>35969</v>
      </c>
      <c r="AA2788" s="62" t="s">
        <v>47944</v>
      </c>
      <c r="AB2788" s="62" t="s">
        <v>35970</v>
      </c>
      <c r="AC2788" s="62" t="s">
        <v>35971</v>
      </c>
      <c r="AD2788" s="62" t="s">
        <v>35972</v>
      </c>
    </row>
    <row r="2789" spans="1:30" x14ac:dyDescent="0.25">
      <c r="A2789" s="62" t="s">
        <v>109</v>
      </c>
      <c r="C2789" s="62" t="s">
        <v>35973</v>
      </c>
      <c r="F2789" s="62" t="s">
        <v>340</v>
      </c>
      <c r="G2789" s="62" t="s">
        <v>47661</v>
      </c>
      <c r="J2789" s="62" t="s">
        <v>35974</v>
      </c>
      <c r="K2789" s="62" t="s">
        <v>47732</v>
      </c>
      <c r="L2789" s="62" t="s">
        <v>35975</v>
      </c>
      <c r="M2789" s="62" t="s">
        <v>35976</v>
      </c>
      <c r="N2789" s="62" t="s">
        <v>35977</v>
      </c>
      <c r="O2789" s="62" t="s">
        <v>35978</v>
      </c>
      <c r="P2789" s="62" t="s">
        <v>47803</v>
      </c>
      <c r="Q2789" s="62" t="s">
        <v>35979</v>
      </c>
      <c r="R2789" s="62" t="s">
        <v>35980</v>
      </c>
      <c r="S2789" s="62" t="s">
        <v>35981</v>
      </c>
      <c r="U2789" s="62" t="s">
        <v>35982</v>
      </c>
      <c r="V2789" s="62" t="s">
        <v>47874</v>
      </c>
      <c r="W2789" s="62" t="s">
        <v>35983</v>
      </c>
      <c r="X2789" s="62" t="s">
        <v>35984</v>
      </c>
      <c r="Y2789" s="62" t="s">
        <v>35985</v>
      </c>
      <c r="Z2789" s="62" t="s">
        <v>35986</v>
      </c>
      <c r="AA2789" s="62" t="s">
        <v>47945</v>
      </c>
      <c r="AB2789" s="62" t="s">
        <v>35987</v>
      </c>
      <c r="AC2789" s="62" t="s">
        <v>35988</v>
      </c>
      <c r="AD2789" s="62" t="s">
        <v>35989</v>
      </c>
    </row>
    <row r="2790" spans="1:30" x14ac:dyDescent="0.25">
      <c r="A2790" s="62" t="s">
        <v>109</v>
      </c>
      <c r="C2790" s="62" t="s">
        <v>35990</v>
      </c>
      <c r="F2790" s="62" t="s">
        <v>10295</v>
      </c>
      <c r="G2790" s="62" t="s">
        <v>47662</v>
      </c>
      <c r="J2790" s="62" t="s">
        <v>35991</v>
      </c>
      <c r="K2790" s="62" t="s">
        <v>47733</v>
      </c>
      <c r="L2790" s="62" t="s">
        <v>35992</v>
      </c>
      <c r="M2790" s="62" t="s">
        <v>35993</v>
      </c>
      <c r="N2790" s="62" t="s">
        <v>35994</v>
      </c>
      <c r="O2790" s="62" t="s">
        <v>35995</v>
      </c>
      <c r="P2790" s="62" t="s">
        <v>47804</v>
      </c>
      <c r="Q2790" s="62" t="s">
        <v>35996</v>
      </c>
      <c r="R2790" s="62" t="s">
        <v>35997</v>
      </c>
      <c r="S2790" s="62" t="s">
        <v>35998</v>
      </c>
      <c r="U2790" s="62" t="s">
        <v>35999</v>
      </c>
      <c r="V2790" s="62" t="s">
        <v>47875</v>
      </c>
      <c r="W2790" s="62" t="s">
        <v>36000</v>
      </c>
      <c r="X2790" s="62" t="s">
        <v>36001</v>
      </c>
      <c r="Y2790" s="62" t="s">
        <v>36002</v>
      </c>
      <c r="Z2790" s="62" t="s">
        <v>36003</v>
      </c>
      <c r="AA2790" s="62" t="s">
        <v>47946</v>
      </c>
      <c r="AB2790" s="62" t="s">
        <v>36004</v>
      </c>
      <c r="AC2790" s="62" t="s">
        <v>36005</v>
      </c>
      <c r="AD2790" s="62" t="s">
        <v>36006</v>
      </c>
    </row>
    <row r="2791" spans="1:30" x14ac:dyDescent="0.25">
      <c r="A2791" s="62" t="s">
        <v>109</v>
      </c>
      <c r="C2791" s="62" t="s">
        <v>36007</v>
      </c>
      <c r="F2791" s="62" t="s">
        <v>985</v>
      </c>
      <c r="G2791" s="62" t="s">
        <v>47663</v>
      </c>
      <c r="J2791" s="62" t="s">
        <v>36008</v>
      </c>
      <c r="K2791" s="62" t="s">
        <v>47734</v>
      </c>
      <c r="L2791" s="62" t="s">
        <v>36009</v>
      </c>
      <c r="M2791" s="62" t="s">
        <v>36010</v>
      </c>
      <c r="N2791" s="62" t="s">
        <v>36011</v>
      </c>
      <c r="O2791" s="62" t="s">
        <v>36012</v>
      </c>
      <c r="P2791" s="62" t="s">
        <v>47805</v>
      </c>
      <c r="Q2791" s="62" t="s">
        <v>36013</v>
      </c>
      <c r="R2791" s="62" t="s">
        <v>36014</v>
      </c>
      <c r="S2791" s="62" t="s">
        <v>36015</v>
      </c>
      <c r="U2791" s="62" t="s">
        <v>36016</v>
      </c>
      <c r="V2791" s="62" t="s">
        <v>47876</v>
      </c>
      <c r="W2791" s="62" t="s">
        <v>36017</v>
      </c>
      <c r="X2791" s="62" t="s">
        <v>36018</v>
      </c>
      <c r="Y2791" s="62" t="s">
        <v>36019</v>
      </c>
      <c r="Z2791" s="62" t="s">
        <v>36020</v>
      </c>
      <c r="AA2791" s="62" t="s">
        <v>47947</v>
      </c>
      <c r="AB2791" s="62" t="s">
        <v>36021</v>
      </c>
      <c r="AC2791" s="62" t="s">
        <v>36022</v>
      </c>
      <c r="AD2791" s="62" t="s">
        <v>36023</v>
      </c>
    </row>
    <row r="2792" spans="1:30" x14ac:dyDescent="0.25">
      <c r="A2792" s="62" t="s">
        <v>109</v>
      </c>
      <c r="C2792" s="62" t="s">
        <v>36024</v>
      </c>
      <c r="F2792" s="62" t="s">
        <v>10314</v>
      </c>
      <c r="G2792" s="62" t="s">
        <v>47664</v>
      </c>
      <c r="J2792" s="62" t="s">
        <v>36025</v>
      </c>
      <c r="K2792" s="62" t="s">
        <v>47735</v>
      </c>
      <c r="L2792" s="62" t="s">
        <v>36026</v>
      </c>
      <c r="M2792" s="62" t="s">
        <v>36027</v>
      </c>
      <c r="N2792" s="62" t="s">
        <v>36028</v>
      </c>
      <c r="O2792" s="62" t="s">
        <v>36029</v>
      </c>
      <c r="P2792" s="62" t="s">
        <v>47806</v>
      </c>
      <c r="Q2792" s="62" t="s">
        <v>36030</v>
      </c>
      <c r="R2792" s="62" t="s">
        <v>36031</v>
      </c>
      <c r="S2792" s="62" t="s">
        <v>36032</v>
      </c>
      <c r="U2792" s="62" t="s">
        <v>36033</v>
      </c>
      <c r="V2792" s="62" t="s">
        <v>47877</v>
      </c>
      <c r="W2792" s="62" t="s">
        <v>36034</v>
      </c>
      <c r="X2792" s="62" t="s">
        <v>36035</v>
      </c>
      <c r="Y2792" s="62" t="s">
        <v>36036</v>
      </c>
      <c r="Z2792" s="62" t="s">
        <v>36037</v>
      </c>
      <c r="AA2792" s="62" t="s">
        <v>47948</v>
      </c>
      <c r="AB2792" s="62" t="s">
        <v>36038</v>
      </c>
      <c r="AC2792" s="62" t="s">
        <v>36039</v>
      </c>
      <c r="AD2792" s="62" t="s">
        <v>36040</v>
      </c>
    </row>
    <row r="2793" spans="1:30" x14ac:dyDescent="0.25">
      <c r="A2793" s="62" t="s">
        <v>109</v>
      </c>
      <c r="C2793" s="62" t="s">
        <v>36041</v>
      </c>
      <c r="F2793" s="62" t="s">
        <v>19275</v>
      </c>
      <c r="G2793" s="62" t="s">
        <v>47665</v>
      </c>
      <c r="J2793" s="62" t="s">
        <v>36042</v>
      </c>
      <c r="K2793" s="62" t="s">
        <v>47736</v>
      </c>
      <c r="L2793" s="62" t="s">
        <v>36043</v>
      </c>
      <c r="M2793" s="62" t="s">
        <v>36044</v>
      </c>
      <c r="N2793" s="62" t="s">
        <v>36045</v>
      </c>
      <c r="O2793" s="62" t="s">
        <v>36046</v>
      </c>
      <c r="P2793" s="62" t="s">
        <v>47807</v>
      </c>
      <c r="Q2793" s="62" t="s">
        <v>36047</v>
      </c>
      <c r="R2793" s="62" t="s">
        <v>36048</v>
      </c>
      <c r="S2793" s="62" t="s">
        <v>36049</v>
      </c>
      <c r="U2793" s="62" t="s">
        <v>36050</v>
      </c>
      <c r="V2793" s="62" t="s">
        <v>47878</v>
      </c>
      <c r="W2793" s="62" t="s">
        <v>36051</v>
      </c>
      <c r="X2793" s="62" t="s">
        <v>36052</v>
      </c>
      <c r="Y2793" s="62" t="s">
        <v>36053</v>
      </c>
      <c r="Z2793" s="62" t="s">
        <v>36054</v>
      </c>
      <c r="AA2793" s="62" t="s">
        <v>47949</v>
      </c>
      <c r="AB2793" s="62" t="s">
        <v>36055</v>
      </c>
      <c r="AC2793" s="62" t="s">
        <v>36056</v>
      </c>
      <c r="AD2793" s="62" t="s">
        <v>36057</v>
      </c>
    </row>
    <row r="2794" spans="1:30" x14ac:dyDescent="0.25">
      <c r="A2794" s="62" t="s">
        <v>109</v>
      </c>
      <c r="C2794" s="62" t="s">
        <v>36058</v>
      </c>
      <c r="F2794" s="62" t="s">
        <v>10332</v>
      </c>
      <c r="G2794" s="62" t="s">
        <v>47666</v>
      </c>
      <c r="J2794" s="62" t="s">
        <v>36059</v>
      </c>
      <c r="K2794" s="62" t="s">
        <v>47737</v>
      </c>
      <c r="L2794" s="62" t="s">
        <v>36060</v>
      </c>
      <c r="M2794" s="62" t="s">
        <v>36061</v>
      </c>
      <c r="N2794" s="62" t="s">
        <v>36062</v>
      </c>
      <c r="O2794" s="62" t="s">
        <v>36063</v>
      </c>
      <c r="P2794" s="62" t="s">
        <v>47808</v>
      </c>
      <c r="Q2794" s="62" t="s">
        <v>36064</v>
      </c>
      <c r="R2794" s="62" t="s">
        <v>36065</v>
      </c>
      <c r="S2794" s="62" t="s">
        <v>36066</v>
      </c>
      <c r="U2794" s="62" t="s">
        <v>36067</v>
      </c>
      <c r="V2794" s="62" t="s">
        <v>47879</v>
      </c>
      <c r="W2794" s="62" t="s">
        <v>36068</v>
      </c>
      <c r="X2794" s="62" t="s">
        <v>36069</v>
      </c>
      <c r="Y2794" s="62" t="s">
        <v>36070</v>
      </c>
      <c r="Z2794" s="62" t="s">
        <v>36071</v>
      </c>
      <c r="AA2794" s="62" t="s">
        <v>47950</v>
      </c>
      <c r="AB2794" s="62" t="s">
        <v>36072</v>
      </c>
      <c r="AC2794" s="62" t="s">
        <v>36073</v>
      </c>
      <c r="AD2794" s="62" t="s">
        <v>36074</v>
      </c>
    </row>
    <row r="2795" spans="1:30" x14ac:dyDescent="0.25">
      <c r="A2795" s="62" t="s">
        <v>109</v>
      </c>
      <c r="C2795" s="62" t="s">
        <v>36075</v>
      </c>
      <c r="F2795" s="62" t="s">
        <v>10350</v>
      </c>
      <c r="G2795" s="62" t="s">
        <v>47667</v>
      </c>
      <c r="J2795" s="62" t="s">
        <v>36076</v>
      </c>
      <c r="K2795" s="62" t="s">
        <v>47738</v>
      </c>
      <c r="L2795" s="62" t="s">
        <v>36077</v>
      </c>
      <c r="M2795" s="62" t="s">
        <v>36078</v>
      </c>
      <c r="N2795" s="62" t="s">
        <v>36079</v>
      </c>
      <c r="O2795" s="62" t="s">
        <v>36080</v>
      </c>
      <c r="P2795" s="62" t="s">
        <v>47809</v>
      </c>
      <c r="Q2795" s="62" t="s">
        <v>36081</v>
      </c>
      <c r="R2795" s="62" t="s">
        <v>36082</v>
      </c>
      <c r="S2795" s="62" t="s">
        <v>36083</v>
      </c>
      <c r="U2795" s="62" t="s">
        <v>36084</v>
      </c>
      <c r="V2795" s="62" t="s">
        <v>47880</v>
      </c>
      <c r="W2795" s="62" t="s">
        <v>36085</v>
      </c>
      <c r="X2795" s="62" t="s">
        <v>36086</v>
      </c>
      <c r="Y2795" s="62" t="s">
        <v>36087</v>
      </c>
      <c r="Z2795" s="62" t="s">
        <v>36088</v>
      </c>
      <c r="AA2795" s="62" t="s">
        <v>47951</v>
      </c>
      <c r="AB2795" s="62" t="s">
        <v>36089</v>
      </c>
      <c r="AC2795" s="62" t="s">
        <v>36090</v>
      </c>
      <c r="AD2795" s="62" t="s">
        <v>36091</v>
      </c>
    </row>
    <row r="2796" spans="1:30" x14ac:dyDescent="0.25">
      <c r="A2796" s="62" t="s">
        <v>109</v>
      </c>
      <c r="C2796" s="62" t="s">
        <v>36092</v>
      </c>
      <c r="F2796" s="62" t="s">
        <v>10368</v>
      </c>
      <c r="G2796" s="62" t="s">
        <v>47668</v>
      </c>
      <c r="J2796" s="62" t="s">
        <v>36093</v>
      </c>
      <c r="K2796" s="62" t="s">
        <v>47739</v>
      </c>
      <c r="L2796" s="62" t="s">
        <v>36094</v>
      </c>
      <c r="M2796" s="62" t="s">
        <v>36095</v>
      </c>
      <c r="N2796" s="62" t="s">
        <v>36096</v>
      </c>
      <c r="O2796" s="62" t="s">
        <v>36097</v>
      </c>
      <c r="P2796" s="62" t="s">
        <v>47810</v>
      </c>
      <c r="Q2796" s="62" t="s">
        <v>36098</v>
      </c>
      <c r="R2796" s="62" t="s">
        <v>36099</v>
      </c>
      <c r="S2796" s="62" t="s">
        <v>36100</v>
      </c>
      <c r="U2796" s="62" t="s">
        <v>36101</v>
      </c>
      <c r="V2796" s="62" t="s">
        <v>47881</v>
      </c>
      <c r="W2796" s="62" t="s">
        <v>36102</v>
      </c>
      <c r="X2796" s="62" t="s">
        <v>36103</v>
      </c>
      <c r="Y2796" s="62" t="s">
        <v>36104</v>
      </c>
      <c r="Z2796" s="62" t="s">
        <v>36105</v>
      </c>
      <c r="AA2796" s="62" t="s">
        <v>47952</v>
      </c>
      <c r="AB2796" s="62" t="s">
        <v>36106</v>
      </c>
      <c r="AC2796" s="62" t="s">
        <v>36107</v>
      </c>
      <c r="AD2796" s="62" t="s">
        <v>36108</v>
      </c>
    </row>
    <row r="2797" spans="1:30" x14ac:dyDescent="0.25">
      <c r="A2797" s="62" t="s">
        <v>109</v>
      </c>
      <c r="C2797" s="62" t="s">
        <v>36109</v>
      </c>
      <c r="F2797" s="62" t="s">
        <v>10386</v>
      </c>
      <c r="G2797" s="62" t="s">
        <v>47669</v>
      </c>
      <c r="J2797" s="62" t="s">
        <v>36110</v>
      </c>
      <c r="K2797" s="62" t="s">
        <v>47740</v>
      </c>
      <c r="L2797" s="62" t="s">
        <v>36111</v>
      </c>
      <c r="M2797" s="62" t="s">
        <v>36112</v>
      </c>
      <c r="N2797" s="62" t="s">
        <v>36113</v>
      </c>
      <c r="O2797" s="62" t="s">
        <v>36114</v>
      </c>
      <c r="P2797" s="62" t="s">
        <v>47811</v>
      </c>
      <c r="Q2797" s="62" t="s">
        <v>36115</v>
      </c>
      <c r="R2797" s="62" t="s">
        <v>36116</v>
      </c>
      <c r="S2797" s="62" t="s">
        <v>36117</v>
      </c>
      <c r="U2797" s="62" t="s">
        <v>36118</v>
      </c>
      <c r="V2797" s="62" t="s">
        <v>47882</v>
      </c>
      <c r="W2797" s="62" t="s">
        <v>36119</v>
      </c>
      <c r="X2797" s="62" t="s">
        <v>36120</v>
      </c>
      <c r="Y2797" s="62" t="s">
        <v>36121</v>
      </c>
      <c r="Z2797" s="62" t="s">
        <v>36122</v>
      </c>
      <c r="AA2797" s="62" t="s">
        <v>47953</v>
      </c>
      <c r="AB2797" s="62" t="s">
        <v>36123</v>
      </c>
      <c r="AC2797" s="62" t="s">
        <v>36124</v>
      </c>
      <c r="AD2797" s="62" t="s">
        <v>36125</v>
      </c>
    </row>
    <row r="2798" spans="1:30" x14ac:dyDescent="0.25">
      <c r="A2798" s="62" t="s">
        <v>109</v>
      </c>
      <c r="C2798" s="62" t="s">
        <v>36126</v>
      </c>
      <c r="F2798" s="62" t="s">
        <v>15012</v>
      </c>
      <c r="G2798" s="62" t="s">
        <v>47670</v>
      </c>
      <c r="J2798" s="62" t="s">
        <v>36127</v>
      </c>
      <c r="K2798" s="62" t="s">
        <v>47741</v>
      </c>
      <c r="L2798" s="62" t="s">
        <v>36128</v>
      </c>
      <c r="M2798" s="62" t="s">
        <v>36129</v>
      </c>
      <c r="N2798" s="62" t="s">
        <v>36130</v>
      </c>
      <c r="O2798" s="62" t="s">
        <v>36131</v>
      </c>
      <c r="P2798" s="62" t="s">
        <v>47812</v>
      </c>
      <c r="Q2798" s="62" t="s">
        <v>36132</v>
      </c>
      <c r="R2798" s="62" t="s">
        <v>36133</v>
      </c>
      <c r="S2798" s="62" t="s">
        <v>36134</v>
      </c>
      <c r="U2798" s="62" t="s">
        <v>36135</v>
      </c>
      <c r="V2798" s="62" t="s">
        <v>47883</v>
      </c>
      <c r="W2798" s="62" t="s">
        <v>36136</v>
      </c>
      <c r="X2798" s="62" t="s">
        <v>36137</v>
      </c>
      <c r="Y2798" s="62" t="s">
        <v>36138</v>
      </c>
      <c r="Z2798" s="62" t="s">
        <v>36139</v>
      </c>
      <c r="AA2798" s="62" t="s">
        <v>47954</v>
      </c>
      <c r="AB2798" s="62" t="s">
        <v>36140</v>
      </c>
      <c r="AC2798" s="62" t="s">
        <v>36141</v>
      </c>
      <c r="AD2798" s="62" t="s">
        <v>36142</v>
      </c>
    </row>
    <row r="2799" spans="1:30" x14ac:dyDescent="0.25">
      <c r="A2799" s="62" t="s">
        <v>109</v>
      </c>
      <c r="C2799" s="62" t="s">
        <v>36143</v>
      </c>
      <c r="F2799" s="62" t="s">
        <v>10404</v>
      </c>
      <c r="G2799" s="62" t="s">
        <v>47671</v>
      </c>
      <c r="J2799" s="62" t="s">
        <v>36144</v>
      </c>
      <c r="K2799" s="62" t="s">
        <v>47742</v>
      </c>
      <c r="L2799" s="62" t="s">
        <v>36145</v>
      </c>
      <c r="M2799" s="62" t="s">
        <v>36146</v>
      </c>
      <c r="N2799" s="62" t="s">
        <v>36147</v>
      </c>
      <c r="O2799" s="62" t="s">
        <v>36148</v>
      </c>
      <c r="P2799" s="62" t="s">
        <v>47813</v>
      </c>
      <c r="Q2799" s="62" t="s">
        <v>36149</v>
      </c>
      <c r="R2799" s="62" t="s">
        <v>36150</v>
      </c>
      <c r="S2799" s="62" t="s">
        <v>36151</v>
      </c>
      <c r="U2799" s="62" t="s">
        <v>36152</v>
      </c>
      <c r="V2799" s="62" t="s">
        <v>47884</v>
      </c>
      <c r="W2799" s="62" t="s">
        <v>36153</v>
      </c>
      <c r="X2799" s="62" t="s">
        <v>36154</v>
      </c>
      <c r="Y2799" s="62" t="s">
        <v>36155</v>
      </c>
      <c r="Z2799" s="62" t="s">
        <v>36156</v>
      </c>
      <c r="AA2799" s="62" t="s">
        <v>47955</v>
      </c>
      <c r="AB2799" s="62" t="s">
        <v>36157</v>
      </c>
      <c r="AC2799" s="62" t="s">
        <v>36158</v>
      </c>
      <c r="AD2799" s="62" t="s">
        <v>36159</v>
      </c>
    </row>
    <row r="2800" spans="1:30" x14ac:dyDescent="0.25">
      <c r="A2800" s="62" t="s">
        <v>109</v>
      </c>
      <c r="C2800" s="62" t="s">
        <v>36160</v>
      </c>
      <c r="F2800" s="62" t="s">
        <v>10422</v>
      </c>
      <c r="G2800" s="62" t="s">
        <v>47672</v>
      </c>
      <c r="J2800" s="62" t="s">
        <v>36161</v>
      </c>
      <c r="K2800" s="62" t="s">
        <v>47743</v>
      </c>
      <c r="L2800" s="62" t="s">
        <v>36162</v>
      </c>
      <c r="M2800" s="62" t="s">
        <v>36163</v>
      </c>
      <c r="N2800" s="62" t="s">
        <v>36164</v>
      </c>
      <c r="O2800" s="62" t="s">
        <v>36165</v>
      </c>
      <c r="P2800" s="62" t="s">
        <v>47814</v>
      </c>
      <c r="Q2800" s="62" t="s">
        <v>36166</v>
      </c>
      <c r="R2800" s="62" t="s">
        <v>36167</v>
      </c>
      <c r="S2800" s="62" t="s">
        <v>36168</v>
      </c>
      <c r="U2800" s="62" t="s">
        <v>36169</v>
      </c>
      <c r="V2800" s="62" t="s">
        <v>47885</v>
      </c>
      <c r="W2800" s="62" t="s">
        <v>36170</v>
      </c>
      <c r="X2800" s="62" t="s">
        <v>36171</v>
      </c>
      <c r="Y2800" s="62" t="s">
        <v>36172</v>
      </c>
      <c r="Z2800" s="62" t="s">
        <v>36173</v>
      </c>
      <c r="AA2800" s="62" t="s">
        <v>47956</v>
      </c>
      <c r="AB2800" s="62" t="s">
        <v>36174</v>
      </c>
      <c r="AC2800" s="62" t="s">
        <v>36175</v>
      </c>
      <c r="AD2800" s="62" t="s">
        <v>36176</v>
      </c>
    </row>
    <row r="2801" spans="1:30" x14ac:dyDescent="0.25">
      <c r="A2801" s="62" t="s">
        <v>109</v>
      </c>
      <c r="C2801" s="62" t="s">
        <v>36177</v>
      </c>
      <c r="F2801" s="62" t="s">
        <v>1002</v>
      </c>
      <c r="G2801" s="62" t="s">
        <v>47673</v>
      </c>
      <c r="J2801" s="62" t="s">
        <v>36178</v>
      </c>
      <c r="K2801" s="62" t="s">
        <v>47744</v>
      </c>
      <c r="L2801" s="62" t="s">
        <v>36179</v>
      </c>
      <c r="M2801" s="62" t="s">
        <v>36180</v>
      </c>
      <c r="N2801" s="62" t="s">
        <v>36181</v>
      </c>
      <c r="O2801" s="62" t="s">
        <v>36182</v>
      </c>
      <c r="P2801" s="62" t="s">
        <v>47815</v>
      </c>
      <c r="Q2801" s="62" t="s">
        <v>36183</v>
      </c>
      <c r="R2801" s="62" t="s">
        <v>36184</v>
      </c>
      <c r="S2801" s="62" t="s">
        <v>36185</v>
      </c>
      <c r="U2801" s="62" t="s">
        <v>36186</v>
      </c>
      <c r="V2801" s="62" t="s">
        <v>47886</v>
      </c>
      <c r="W2801" s="62" t="s">
        <v>36187</v>
      </c>
      <c r="X2801" s="62" t="s">
        <v>36188</v>
      </c>
      <c r="Y2801" s="62" t="s">
        <v>36189</v>
      </c>
      <c r="Z2801" s="62" t="s">
        <v>36190</v>
      </c>
      <c r="AA2801" s="62" t="s">
        <v>47957</v>
      </c>
      <c r="AB2801" s="62" t="s">
        <v>36191</v>
      </c>
      <c r="AC2801" s="62" t="s">
        <v>36192</v>
      </c>
      <c r="AD2801" s="62" t="s">
        <v>36193</v>
      </c>
    </row>
    <row r="2802" spans="1:30" x14ac:dyDescent="0.25">
      <c r="A2802" s="62" t="s">
        <v>109</v>
      </c>
      <c r="C2802" s="62" t="s">
        <v>36194</v>
      </c>
      <c r="F2802" s="62" t="s">
        <v>1012</v>
      </c>
      <c r="G2802" s="62" t="s">
        <v>47674</v>
      </c>
      <c r="J2802" s="62" t="s">
        <v>36195</v>
      </c>
      <c r="K2802" s="62" t="s">
        <v>47745</v>
      </c>
      <c r="L2802" s="62" t="s">
        <v>36196</v>
      </c>
      <c r="M2802" s="62" t="s">
        <v>36197</v>
      </c>
      <c r="N2802" s="62" t="s">
        <v>36198</v>
      </c>
      <c r="O2802" s="62" t="s">
        <v>36199</v>
      </c>
      <c r="P2802" s="62" t="s">
        <v>47816</v>
      </c>
      <c r="Q2802" s="62" t="s">
        <v>36200</v>
      </c>
      <c r="R2802" s="62" t="s">
        <v>36201</v>
      </c>
      <c r="S2802" s="62" t="s">
        <v>36202</v>
      </c>
      <c r="U2802" s="62" t="s">
        <v>36203</v>
      </c>
      <c r="V2802" s="62" t="s">
        <v>47887</v>
      </c>
      <c r="W2802" s="62" t="s">
        <v>36204</v>
      </c>
      <c r="X2802" s="62" t="s">
        <v>36205</v>
      </c>
      <c r="Y2802" s="62" t="s">
        <v>36206</v>
      </c>
      <c r="Z2802" s="62" t="s">
        <v>36207</v>
      </c>
      <c r="AA2802" s="62" t="s">
        <v>47958</v>
      </c>
      <c r="AB2802" s="62" t="s">
        <v>36208</v>
      </c>
      <c r="AC2802" s="62" t="s">
        <v>36209</v>
      </c>
      <c r="AD2802" s="62" t="s">
        <v>36210</v>
      </c>
    </row>
    <row r="2803" spans="1:30" x14ac:dyDescent="0.25">
      <c r="A2803" s="62" t="s">
        <v>109</v>
      </c>
      <c r="C2803" s="62" t="s">
        <v>36211</v>
      </c>
      <c r="F2803" s="62" t="s">
        <v>1047</v>
      </c>
      <c r="G2803" s="62" t="s">
        <v>47675</v>
      </c>
      <c r="J2803" s="62" t="s">
        <v>36212</v>
      </c>
      <c r="K2803" s="62" t="s">
        <v>47746</v>
      </c>
      <c r="L2803" s="62" t="s">
        <v>36213</v>
      </c>
      <c r="M2803" s="62" t="s">
        <v>36214</v>
      </c>
      <c r="N2803" s="62" t="s">
        <v>36215</v>
      </c>
      <c r="O2803" s="62" t="s">
        <v>36216</v>
      </c>
      <c r="P2803" s="62" t="s">
        <v>47817</v>
      </c>
      <c r="Q2803" s="62" t="s">
        <v>36217</v>
      </c>
      <c r="R2803" s="62" t="s">
        <v>36218</v>
      </c>
      <c r="S2803" s="62" t="s">
        <v>36219</v>
      </c>
      <c r="U2803" s="62" t="s">
        <v>36220</v>
      </c>
      <c r="V2803" s="62" t="s">
        <v>47888</v>
      </c>
      <c r="W2803" s="62" t="s">
        <v>36221</v>
      </c>
      <c r="X2803" s="62" t="s">
        <v>36222</v>
      </c>
      <c r="Y2803" s="62" t="s">
        <v>36223</v>
      </c>
      <c r="Z2803" s="62" t="s">
        <v>36224</v>
      </c>
      <c r="AA2803" s="62" t="s">
        <v>47959</v>
      </c>
      <c r="AB2803" s="62" t="s">
        <v>36225</v>
      </c>
      <c r="AC2803" s="62" t="s">
        <v>36226</v>
      </c>
      <c r="AD2803" s="62" t="s">
        <v>36227</v>
      </c>
    </row>
    <row r="2804" spans="1:30" x14ac:dyDescent="0.25">
      <c r="A2804" s="62" t="s">
        <v>109</v>
      </c>
      <c r="C2804" s="62" t="s">
        <v>36228</v>
      </c>
      <c r="F2804" s="62" t="s">
        <v>1064</v>
      </c>
      <c r="G2804" s="62" t="s">
        <v>47676</v>
      </c>
      <c r="J2804" s="62" t="s">
        <v>36229</v>
      </c>
      <c r="K2804" s="62" t="s">
        <v>47747</v>
      </c>
      <c r="L2804" s="62" t="s">
        <v>36230</v>
      </c>
      <c r="M2804" s="62" t="s">
        <v>36231</v>
      </c>
      <c r="N2804" s="62" t="s">
        <v>36232</v>
      </c>
      <c r="O2804" s="62" t="s">
        <v>36233</v>
      </c>
      <c r="P2804" s="62" t="s">
        <v>47818</v>
      </c>
      <c r="Q2804" s="62" t="s">
        <v>36234</v>
      </c>
      <c r="R2804" s="62" t="s">
        <v>36235</v>
      </c>
      <c r="S2804" s="62" t="s">
        <v>36236</v>
      </c>
      <c r="U2804" s="62" t="s">
        <v>36237</v>
      </c>
      <c r="V2804" s="62" t="s">
        <v>47889</v>
      </c>
      <c r="W2804" s="62" t="s">
        <v>36238</v>
      </c>
      <c r="X2804" s="62" t="s">
        <v>36239</v>
      </c>
      <c r="Y2804" s="62" t="s">
        <v>36240</v>
      </c>
      <c r="Z2804" s="62" t="s">
        <v>36241</v>
      </c>
      <c r="AA2804" s="62" t="s">
        <v>47960</v>
      </c>
      <c r="AB2804" s="62" t="s">
        <v>36242</v>
      </c>
      <c r="AC2804" s="62" t="s">
        <v>36243</v>
      </c>
      <c r="AD2804" s="62" t="s">
        <v>36244</v>
      </c>
    </row>
    <row r="2805" spans="1:30" x14ac:dyDescent="0.25">
      <c r="A2805" s="62" t="s">
        <v>109</v>
      </c>
      <c r="C2805" s="62" t="s">
        <v>36245</v>
      </c>
      <c r="F2805" s="62" t="s">
        <v>1073</v>
      </c>
      <c r="G2805" s="62" t="s">
        <v>47677</v>
      </c>
      <c r="J2805" s="62" t="s">
        <v>36246</v>
      </c>
      <c r="K2805" s="62" t="s">
        <v>47748</v>
      </c>
      <c r="L2805" s="62" t="s">
        <v>36247</v>
      </c>
      <c r="M2805" s="62" t="s">
        <v>36248</v>
      </c>
      <c r="N2805" s="62" t="s">
        <v>36249</v>
      </c>
      <c r="O2805" s="62" t="s">
        <v>36250</v>
      </c>
      <c r="P2805" s="62" t="s">
        <v>47819</v>
      </c>
      <c r="Q2805" s="62" t="s">
        <v>36251</v>
      </c>
      <c r="R2805" s="62" t="s">
        <v>36252</v>
      </c>
      <c r="S2805" s="62" t="s">
        <v>36253</v>
      </c>
      <c r="U2805" s="62" t="s">
        <v>36254</v>
      </c>
      <c r="V2805" s="62" t="s">
        <v>47890</v>
      </c>
      <c r="W2805" s="62" t="s">
        <v>36255</v>
      </c>
      <c r="X2805" s="62" t="s">
        <v>36256</v>
      </c>
      <c r="Y2805" s="62" t="s">
        <v>36257</v>
      </c>
      <c r="Z2805" s="62" t="s">
        <v>36258</v>
      </c>
      <c r="AA2805" s="62" t="s">
        <v>47961</v>
      </c>
      <c r="AB2805" s="62" t="s">
        <v>36259</v>
      </c>
      <c r="AC2805" s="62" t="s">
        <v>36260</v>
      </c>
      <c r="AD2805" s="62" t="s">
        <v>36261</v>
      </c>
    </row>
    <row r="2806" spans="1:30" x14ac:dyDescent="0.25">
      <c r="A2806" s="62" t="s">
        <v>109</v>
      </c>
      <c r="C2806" s="62" t="s">
        <v>36262</v>
      </c>
      <c r="F2806" s="62" t="s">
        <v>1100</v>
      </c>
      <c r="G2806" s="62" t="s">
        <v>47678</v>
      </c>
      <c r="J2806" s="62" t="s">
        <v>36263</v>
      </c>
      <c r="K2806" s="62" t="s">
        <v>47749</v>
      </c>
      <c r="L2806" s="62" t="s">
        <v>36264</v>
      </c>
      <c r="M2806" s="62" t="s">
        <v>36265</v>
      </c>
      <c r="N2806" s="62" t="s">
        <v>36266</v>
      </c>
      <c r="O2806" s="62" t="s">
        <v>36267</v>
      </c>
      <c r="P2806" s="62" t="s">
        <v>47820</v>
      </c>
      <c r="Q2806" s="62" t="s">
        <v>36268</v>
      </c>
      <c r="R2806" s="62" t="s">
        <v>36269</v>
      </c>
      <c r="S2806" s="62" t="s">
        <v>36270</v>
      </c>
      <c r="U2806" s="62" t="s">
        <v>36271</v>
      </c>
      <c r="V2806" s="62" t="s">
        <v>47891</v>
      </c>
      <c r="W2806" s="62" t="s">
        <v>36272</v>
      </c>
      <c r="X2806" s="62" t="s">
        <v>36273</v>
      </c>
      <c r="Y2806" s="62" t="s">
        <v>36274</v>
      </c>
      <c r="Z2806" s="62" t="s">
        <v>36275</v>
      </c>
      <c r="AA2806" s="62" t="s">
        <v>47962</v>
      </c>
      <c r="AB2806" s="62" t="s">
        <v>36276</v>
      </c>
      <c r="AC2806" s="62" t="s">
        <v>36277</v>
      </c>
      <c r="AD2806" s="62" t="s">
        <v>36278</v>
      </c>
    </row>
    <row r="2807" spans="1:30" x14ac:dyDescent="0.25">
      <c r="A2807" s="62" t="s">
        <v>109</v>
      </c>
      <c r="C2807" s="62" t="s">
        <v>36279</v>
      </c>
      <c r="F2807" s="62" t="s">
        <v>2337</v>
      </c>
      <c r="G2807" s="62" t="s">
        <v>47679</v>
      </c>
      <c r="J2807" s="62" t="s">
        <v>36280</v>
      </c>
      <c r="K2807" s="62" t="s">
        <v>47750</v>
      </c>
      <c r="L2807" s="62" t="s">
        <v>36281</v>
      </c>
      <c r="M2807" s="62" t="s">
        <v>36282</v>
      </c>
      <c r="N2807" s="62" t="s">
        <v>36283</v>
      </c>
      <c r="O2807" s="62" t="s">
        <v>36284</v>
      </c>
      <c r="P2807" s="62" t="s">
        <v>47821</v>
      </c>
      <c r="Q2807" s="62" t="s">
        <v>36285</v>
      </c>
      <c r="R2807" s="62" t="s">
        <v>36286</v>
      </c>
      <c r="S2807" s="62" t="s">
        <v>36287</v>
      </c>
      <c r="U2807" s="62" t="s">
        <v>36288</v>
      </c>
      <c r="V2807" s="62" t="s">
        <v>47892</v>
      </c>
      <c r="W2807" s="62" t="s">
        <v>36289</v>
      </c>
      <c r="X2807" s="62" t="s">
        <v>36290</v>
      </c>
      <c r="Y2807" s="62" t="s">
        <v>36291</v>
      </c>
      <c r="Z2807" s="62" t="s">
        <v>36292</v>
      </c>
      <c r="AA2807" s="62" t="s">
        <v>47963</v>
      </c>
      <c r="AB2807" s="62" t="s">
        <v>36293</v>
      </c>
      <c r="AC2807" s="62" t="s">
        <v>36294</v>
      </c>
      <c r="AD2807" s="62" t="s">
        <v>36295</v>
      </c>
    </row>
    <row r="2808" spans="1:30" x14ac:dyDescent="0.25">
      <c r="A2808" s="62" t="s">
        <v>109</v>
      </c>
      <c r="C2808" s="62" t="s">
        <v>36296</v>
      </c>
      <c r="F2808" s="62" t="s">
        <v>2355</v>
      </c>
      <c r="G2808" s="62" t="s">
        <v>47680</v>
      </c>
      <c r="J2808" s="62" t="s">
        <v>36297</v>
      </c>
      <c r="K2808" s="62" t="s">
        <v>47751</v>
      </c>
      <c r="L2808" s="62" t="s">
        <v>36298</v>
      </c>
      <c r="M2808" s="62" t="s">
        <v>36299</v>
      </c>
      <c r="N2808" s="62" t="s">
        <v>36300</v>
      </c>
      <c r="O2808" s="62" t="s">
        <v>36301</v>
      </c>
      <c r="P2808" s="62" t="s">
        <v>47822</v>
      </c>
      <c r="Q2808" s="62" t="s">
        <v>36302</v>
      </c>
      <c r="R2808" s="62" t="s">
        <v>36303</v>
      </c>
      <c r="S2808" s="62" t="s">
        <v>36304</v>
      </c>
      <c r="U2808" s="62" t="s">
        <v>36305</v>
      </c>
      <c r="V2808" s="62" t="s">
        <v>47893</v>
      </c>
      <c r="W2808" s="62" t="s">
        <v>36306</v>
      </c>
      <c r="X2808" s="62" t="s">
        <v>36307</v>
      </c>
      <c r="Y2808" s="62" t="s">
        <v>36308</v>
      </c>
      <c r="Z2808" s="62" t="s">
        <v>36309</v>
      </c>
      <c r="AA2808" s="62" t="s">
        <v>47964</v>
      </c>
      <c r="AB2808" s="62" t="s">
        <v>36310</v>
      </c>
      <c r="AC2808" s="62" t="s">
        <v>36311</v>
      </c>
      <c r="AD2808" s="62" t="s">
        <v>36312</v>
      </c>
    </row>
    <row r="2809" spans="1:30" x14ac:dyDescent="0.25">
      <c r="A2809" s="62" t="s">
        <v>109</v>
      </c>
      <c r="C2809" s="62" t="s">
        <v>36313</v>
      </c>
      <c r="F2809" s="62" t="s">
        <v>2372</v>
      </c>
      <c r="G2809" s="62" t="s">
        <v>47681</v>
      </c>
      <c r="J2809" s="62" t="s">
        <v>36314</v>
      </c>
      <c r="K2809" s="62" t="s">
        <v>47752</v>
      </c>
      <c r="L2809" s="62" t="s">
        <v>36315</v>
      </c>
      <c r="M2809" s="62" t="s">
        <v>36316</v>
      </c>
      <c r="N2809" s="62" t="s">
        <v>36317</v>
      </c>
      <c r="O2809" s="62" t="s">
        <v>36318</v>
      </c>
      <c r="P2809" s="62" t="s">
        <v>47823</v>
      </c>
      <c r="Q2809" s="62" t="s">
        <v>36319</v>
      </c>
      <c r="R2809" s="62" t="s">
        <v>36320</v>
      </c>
      <c r="S2809" s="62" t="s">
        <v>36321</v>
      </c>
      <c r="U2809" s="62" t="s">
        <v>36322</v>
      </c>
      <c r="V2809" s="62" t="s">
        <v>47894</v>
      </c>
      <c r="W2809" s="62" t="s">
        <v>36323</v>
      </c>
      <c r="X2809" s="62" t="s">
        <v>36324</v>
      </c>
      <c r="Y2809" s="62" t="s">
        <v>36325</v>
      </c>
      <c r="Z2809" s="62" t="s">
        <v>36326</v>
      </c>
      <c r="AA2809" s="62" t="s">
        <v>47965</v>
      </c>
      <c r="AB2809" s="62" t="s">
        <v>36327</v>
      </c>
      <c r="AC2809" s="62" t="s">
        <v>36328</v>
      </c>
      <c r="AD2809" s="62" t="s">
        <v>36329</v>
      </c>
    </row>
    <row r="2810" spans="1:30" x14ac:dyDescent="0.25">
      <c r="A2810" s="62" t="s">
        <v>109</v>
      </c>
      <c r="C2810" s="62" t="s">
        <v>36330</v>
      </c>
      <c r="F2810" s="62" t="s">
        <v>15081</v>
      </c>
      <c r="G2810" s="62" t="s">
        <v>47682</v>
      </c>
      <c r="J2810" s="62" t="s">
        <v>36331</v>
      </c>
      <c r="K2810" s="62" t="s">
        <v>47753</v>
      </c>
      <c r="L2810" s="62" t="s">
        <v>36332</v>
      </c>
      <c r="M2810" s="62" t="s">
        <v>36333</v>
      </c>
      <c r="N2810" s="62" t="s">
        <v>36334</v>
      </c>
      <c r="O2810" s="62" t="s">
        <v>36335</v>
      </c>
      <c r="P2810" s="62" t="s">
        <v>47824</v>
      </c>
      <c r="Q2810" s="62" t="s">
        <v>36336</v>
      </c>
      <c r="R2810" s="62" t="s">
        <v>36337</v>
      </c>
      <c r="S2810" s="62" t="s">
        <v>36338</v>
      </c>
      <c r="U2810" s="62" t="s">
        <v>36339</v>
      </c>
      <c r="V2810" s="62" t="s">
        <v>47895</v>
      </c>
      <c r="W2810" s="62" t="s">
        <v>36340</v>
      </c>
      <c r="X2810" s="62" t="s">
        <v>36341</v>
      </c>
      <c r="Y2810" s="62" t="s">
        <v>36342</v>
      </c>
      <c r="Z2810" s="62" t="s">
        <v>36343</v>
      </c>
      <c r="AA2810" s="62" t="s">
        <v>47966</v>
      </c>
      <c r="AB2810" s="62" t="s">
        <v>36344</v>
      </c>
      <c r="AC2810" s="62" t="s">
        <v>36345</v>
      </c>
      <c r="AD2810" s="62" t="s">
        <v>36346</v>
      </c>
    </row>
    <row r="2811" spans="1:30" x14ac:dyDescent="0.25">
      <c r="A2811" s="62" t="s">
        <v>109</v>
      </c>
      <c r="C2811" s="62" t="s">
        <v>36347</v>
      </c>
      <c r="F2811" s="62" t="s">
        <v>10559</v>
      </c>
      <c r="G2811" s="62" t="s">
        <v>47683</v>
      </c>
      <c r="J2811" s="62" t="s">
        <v>36348</v>
      </c>
      <c r="K2811" s="62" t="s">
        <v>47754</v>
      </c>
      <c r="L2811" s="62" t="s">
        <v>36349</v>
      </c>
      <c r="M2811" s="62" t="s">
        <v>36350</v>
      </c>
      <c r="N2811" s="62" t="s">
        <v>36351</v>
      </c>
      <c r="O2811" s="62" t="s">
        <v>36352</v>
      </c>
      <c r="P2811" s="62" t="s">
        <v>47825</v>
      </c>
      <c r="Q2811" s="62" t="s">
        <v>36353</v>
      </c>
      <c r="R2811" s="62" t="s">
        <v>36354</v>
      </c>
      <c r="S2811" s="62" t="s">
        <v>36355</v>
      </c>
      <c r="U2811" s="62" t="s">
        <v>36356</v>
      </c>
      <c r="V2811" s="62" t="s">
        <v>47896</v>
      </c>
      <c r="W2811" s="62" t="s">
        <v>36357</v>
      </c>
      <c r="X2811" s="62" t="s">
        <v>36358</v>
      </c>
      <c r="Y2811" s="62" t="s">
        <v>36359</v>
      </c>
      <c r="Z2811" s="62" t="s">
        <v>36360</v>
      </c>
      <c r="AA2811" s="62" t="s">
        <v>47967</v>
      </c>
      <c r="AB2811" s="62" t="s">
        <v>36361</v>
      </c>
      <c r="AC2811" s="62" t="s">
        <v>36362</v>
      </c>
      <c r="AD2811" s="62" t="s">
        <v>36363</v>
      </c>
    </row>
    <row r="2812" spans="1:30" x14ac:dyDescent="0.25">
      <c r="A2812" s="62" t="s">
        <v>109</v>
      </c>
      <c r="C2812" s="62" t="s">
        <v>36364</v>
      </c>
      <c r="F2812" s="62" t="s">
        <v>10577</v>
      </c>
      <c r="G2812" s="62" t="s">
        <v>47684</v>
      </c>
      <c r="J2812" s="62" t="s">
        <v>36365</v>
      </c>
      <c r="K2812" s="62" t="s">
        <v>47755</v>
      </c>
      <c r="L2812" s="62" t="s">
        <v>36366</v>
      </c>
      <c r="M2812" s="62" t="s">
        <v>36367</v>
      </c>
      <c r="N2812" s="62" t="s">
        <v>36368</v>
      </c>
      <c r="O2812" s="62" t="s">
        <v>36369</v>
      </c>
      <c r="P2812" s="62" t="s">
        <v>47826</v>
      </c>
      <c r="Q2812" s="62" t="s">
        <v>36370</v>
      </c>
      <c r="R2812" s="62" t="s">
        <v>36371</v>
      </c>
      <c r="S2812" s="62" t="s">
        <v>36372</v>
      </c>
      <c r="U2812" s="62" t="s">
        <v>36373</v>
      </c>
      <c r="V2812" s="62" t="s">
        <v>47897</v>
      </c>
      <c r="W2812" s="62" t="s">
        <v>36374</v>
      </c>
      <c r="X2812" s="62" t="s">
        <v>36375</v>
      </c>
      <c r="Y2812" s="62" t="s">
        <v>36376</v>
      </c>
      <c r="Z2812" s="62" t="s">
        <v>36377</v>
      </c>
      <c r="AA2812" s="62" t="s">
        <v>47968</v>
      </c>
      <c r="AB2812" s="62" t="s">
        <v>36378</v>
      </c>
      <c r="AC2812" s="62" t="s">
        <v>36379</v>
      </c>
      <c r="AD2812" s="62" t="s">
        <v>36380</v>
      </c>
    </row>
    <row r="2813" spans="1:30" x14ac:dyDescent="0.25">
      <c r="A2813" s="62" t="s">
        <v>109</v>
      </c>
      <c r="C2813" s="62" t="s">
        <v>36381</v>
      </c>
      <c r="F2813" s="62" t="s">
        <v>10595</v>
      </c>
      <c r="G2813" s="62" t="s">
        <v>47685</v>
      </c>
      <c r="J2813" s="62" t="s">
        <v>36382</v>
      </c>
      <c r="K2813" s="62" t="s">
        <v>47756</v>
      </c>
      <c r="L2813" s="62" t="s">
        <v>36383</v>
      </c>
      <c r="M2813" s="62" t="s">
        <v>36384</v>
      </c>
      <c r="N2813" s="62" t="s">
        <v>36385</v>
      </c>
      <c r="O2813" s="62" t="s">
        <v>36386</v>
      </c>
      <c r="P2813" s="62" t="s">
        <v>47827</v>
      </c>
      <c r="Q2813" s="62" t="s">
        <v>36387</v>
      </c>
      <c r="R2813" s="62" t="s">
        <v>36388</v>
      </c>
      <c r="S2813" s="62" t="s">
        <v>36389</v>
      </c>
      <c r="U2813" s="62" t="s">
        <v>36390</v>
      </c>
      <c r="V2813" s="62" t="s">
        <v>47898</v>
      </c>
      <c r="W2813" s="62" t="s">
        <v>36391</v>
      </c>
      <c r="X2813" s="62" t="s">
        <v>36392</v>
      </c>
      <c r="Y2813" s="62" t="s">
        <v>36393</v>
      </c>
      <c r="Z2813" s="62" t="s">
        <v>36394</v>
      </c>
      <c r="AA2813" s="62" t="s">
        <v>47969</v>
      </c>
      <c r="AB2813" s="62" t="s">
        <v>36395</v>
      </c>
      <c r="AC2813" s="62" t="s">
        <v>36396</v>
      </c>
      <c r="AD2813" s="62" t="s">
        <v>36397</v>
      </c>
    </row>
    <row r="2814" spans="1:30" x14ac:dyDescent="0.25">
      <c r="A2814" s="62" t="s">
        <v>109</v>
      </c>
      <c r="C2814" s="62" t="s">
        <v>36398</v>
      </c>
      <c r="F2814" s="62" t="s">
        <v>10613</v>
      </c>
      <c r="G2814" s="62" t="s">
        <v>47686</v>
      </c>
      <c r="J2814" s="62" t="s">
        <v>36399</v>
      </c>
      <c r="K2814" s="62" t="s">
        <v>47757</v>
      </c>
      <c r="L2814" s="62" t="s">
        <v>36400</v>
      </c>
      <c r="M2814" s="62" t="s">
        <v>36401</v>
      </c>
      <c r="N2814" s="62" t="s">
        <v>36402</v>
      </c>
      <c r="O2814" s="62" t="s">
        <v>36403</v>
      </c>
      <c r="P2814" s="62" t="s">
        <v>47828</v>
      </c>
      <c r="Q2814" s="62" t="s">
        <v>36404</v>
      </c>
      <c r="R2814" s="62" t="s">
        <v>36405</v>
      </c>
      <c r="S2814" s="62" t="s">
        <v>36406</v>
      </c>
      <c r="U2814" s="62" t="s">
        <v>36407</v>
      </c>
      <c r="V2814" s="62" t="s">
        <v>47899</v>
      </c>
      <c r="W2814" s="62" t="s">
        <v>36408</v>
      </c>
      <c r="X2814" s="62" t="s">
        <v>36409</v>
      </c>
      <c r="Y2814" s="62" t="s">
        <v>36410</v>
      </c>
      <c r="Z2814" s="62" t="s">
        <v>36411</v>
      </c>
      <c r="AA2814" s="62" t="s">
        <v>47970</v>
      </c>
      <c r="AB2814" s="62" t="s">
        <v>36412</v>
      </c>
      <c r="AC2814" s="62" t="s">
        <v>36413</v>
      </c>
      <c r="AD2814" s="62" t="s">
        <v>36414</v>
      </c>
    </row>
    <row r="2815" spans="1:30" x14ac:dyDescent="0.25">
      <c r="A2815" s="62" t="s">
        <v>109</v>
      </c>
      <c r="C2815" s="62" t="s">
        <v>36415</v>
      </c>
      <c r="F2815" s="62" t="s">
        <v>10631</v>
      </c>
      <c r="G2815" s="62" t="s">
        <v>47687</v>
      </c>
      <c r="J2815" s="62" t="s">
        <v>36416</v>
      </c>
      <c r="K2815" s="62" t="s">
        <v>47758</v>
      </c>
      <c r="L2815" s="62" t="s">
        <v>36417</v>
      </c>
      <c r="M2815" s="62" t="s">
        <v>36418</v>
      </c>
      <c r="N2815" s="62" t="s">
        <v>36419</v>
      </c>
      <c r="O2815" s="62" t="s">
        <v>36420</v>
      </c>
      <c r="P2815" s="62" t="s">
        <v>47829</v>
      </c>
      <c r="Q2815" s="62" t="s">
        <v>36421</v>
      </c>
      <c r="R2815" s="62" t="s">
        <v>36422</v>
      </c>
      <c r="S2815" s="62" t="s">
        <v>36423</v>
      </c>
      <c r="U2815" s="62" t="s">
        <v>36424</v>
      </c>
      <c r="V2815" s="62" t="s">
        <v>47900</v>
      </c>
      <c r="W2815" s="62" t="s">
        <v>36425</v>
      </c>
      <c r="X2815" s="62" t="s">
        <v>36426</v>
      </c>
      <c r="Y2815" s="62" t="s">
        <v>36427</v>
      </c>
      <c r="Z2815" s="62" t="s">
        <v>36428</v>
      </c>
      <c r="AA2815" s="62" t="s">
        <v>47971</v>
      </c>
      <c r="AB2815" s="62" t="s">
        <v>36429</v>
      </c>
      <c r="AC2815" s="62" t="s">
        <v>36430</v>
      </c>
      <c r="AD2815" s="62" t="s">
        <v>36431</v>
      </c>
    </row>
    <row r="2816" spans="1:30" x14ac:dyDescent="0.25">
      <c r="A2816" s="62" t="s">
        <v>109</v>
      </c>
      <c r="C2816" s="62" t="s">
        <v>36432</v>
      </c>
      <c r="F2816" s="62" t="s">
        <v>10649</v>
      </c>
      <c r="G2816" s="62" t="s">
        <v>47688</v>
      </c>
      <c r="J2816" s="62" t="s">
        <v>36433</v>
      </c>
      <c r="K2816" s="62" t="s">
        <v>47759</v>
      </c>
      <c r="L2816" s="62" t="s">
        <v>36434</v>
      </c>
      <c r="M2816" s="62" t="s">
        <v>36435</v>
      </c>
      <c r="N2816" s="62" t="s">
        <v>36436</v>
      </c>
      <c r="O2816" s="62" t="s">
        <v>36437</v>
      </c>
      <c r="P2816" s="62" t="s">
        <v>47830</v>
      </c>
      <c r="Q2816" s="62" t="s">
        <v>36438</v>
      </c>
      <c r="R2816" s="62" t="s">
        <v>36439</v>
      </c>
      <c r="S2816" s="62" t="s">
        <v>36440</v>
      </c>
      <c r="U2816" s="62" t="s">
        <v>36441</v>
      </c>
      <c r="V2816" s="62" t="s">
        <v>47901</v>
      </c>
      <c r="W2816" s="62" t="s">
        <v>36442</v>
      </c>
      <c r="X2816" s="62" t="s">
        <v>36443</v>
      </c>
      <c r="Y2816" s="62" t="s">
        <v>36444</v>
      </c>
      <c r="Z2816" s="62" t="s">
        <v>36445</v>
      </c>
      <c r="AA2816" s="62" t="s">
        <v>47972</v>
      </c>
      <c r="AB2816" s="62" t="s">
        <v>36446</v>
      </c>
      <c r="AC2816" s="62" t="s">
        <v>36447</v>
      </c>
      <c r="AD2816" s="62" t="s">
        <v>36448</v>
      </c>
    </row>
    <row r="2817" spans="1:30" x14ac:dyDescent="0.25">
      <c r="A2817" s="62" t="s">
        <v>109</v>
      </c>
      <c r="C2817" s="62" t="s">
        <v>36449</v>
      </c>
      <c r="F2817" s="62" t="s">
        <v>10667</v>
      </c>
      <c r="G2817" s="62" t="s">
        <v>47689</v>
      </c>
      <c r="J2817" s="62" t="s">
        <v>36450</v>
      </c>
      <c r="K2817" s="62" t="s">
        <v>47760</v>
      </c>
      <c r="L2817" s="62" t="s">
        <v>36451</v>
      </c>
      <c r="M2817" s="62" t="s">
        <v>36452</v>
      </c>
      <c r="N2817" s="62" t="s">
        <v>36453</v>
      </c>
      <c r="O2817" s="62" t="s">
        <v>36454</v>
      </c>
      <c r="P2817" s="62" t="s">
        <v>47831</v>
      </c>
      <c r="Q2817" s="62" t="s">
        <v>36455</v>
      </c>
      <c r="R2817" s="62" t="s">
        <v>36456</v>
      </c>
      <c r="S2817" s="62" t="s">
        <v>36457</v>
      </c>
      <c r="U2817" s="62" t="s">
        <v>36458</v>
      </c>
      <c r="V2817" s="62" t="s">
        <v>47902</v>
      </c>
      <c r="W2817" s="62" t="s">
        <v>36459</v>
      </c>
      <c r="X2817" s="62" t="s">
        <v>36460</v>
      </c>
      <c r="Y2817" s="62" t="s">
        <v>36461</v>
      </c>
      <c r="Z2817" s="62" t="s">
        <v>36462</v>
      </c>
      <c r="AA2817" s="62" t="s">
        <v>47973</v>
      </c>
      <c r="AB2817" s="62" t="s">
        <v>36463</v>
      </c>
      <c r="AC2817" s="62" t="s">
        <v>36464</v>
      </c>
      <c r="AD2817" s="62" t="s">
        <v>36465</v>
      </c>
    </row>
    <row r="2818" spans="1:30" x14ac:dyDescent="0.25">
      <c r="A2818" s="62" t="s">
        <v>109</v>
      </c>
      <c r="C2818" s="62" t="s">
        <v>36466</v>
      </c>
      <c r="F2818" s="62" t="s">
        <v>10685</v>
      </c>
      <c r="G2818" s="62" t="s">
        <v>47690</v>
      </c>
      <c r="J2818" s="62" t="s">
        <v>36467</v>
      </c>
      <c r="K2818" s="62" t="s">
        <v>47761</v>
      </c>
      <c r="L2818" s="62" t="s">
        <v>36468</v>
      </c>
      <c r="M2818" s="62" t="s">
        <v>36469</v>
      </c>
      <c r="N2818" s="62" t="s">
        <v>36470</v>
      </c>
      <c r="O2818" s="62" t="s">
        <v>36471</v>
      </c>
      <c r="P2818" s="62" t="s">
        <v>47832</v>
      </c>
      <c r="Q2818" s="62" t="s">
        <v>36472</v>
      </c>
      <c r="R2818" s="62" t="s">
        <v>36473</v>
      </c>
      <c r="S2818" s="62" t="s">
        <v>36474</v>
      </c>
      <c r="U2818" s="62" t="s">
        <v>36475</v>
      </c>
      <c r="V2818" s="62" t="s">
        <v>47903</v>
      </c>
      <c r="W2818" s="62" t="s">
        <v>36476</v>
      </c>
      <c r="X2818" s="62" t="s">
        <v>36477</v>
      </c>
      <c r="Y2818" s="62" t="s">
        <v>36478</v>
      </c>
      <c r="Z2818" s="62" t="s">
        <v>36479</v>
      </c>
      <c r="AA2818" s="62" t="s">
        <v>47974</v>
      </c>
      <c r="AB2818" s="62" t="s">
        <v>36480</v>
      </c>
      <c r="AC2818" s="62" t="s">
        <v>36481</v>
      </c>
      <c r="AD2818" s="62" t="s">
        <v>36482</v>
      </c>
    </row>
    <row r="2819" spans="1:30" x14ac:dyDescent="0.25">
      <c r="A2819" s="62" t="s">
        <v>109</v>
      </c>
      <c r="C2819" s="62" t="s">
        <v>36483</v>
      </c>
      <c r="F2819" s="62" t="s">
        <v>10703</v>
      </c>
      <c r="G2819" s="62" t="s">
        <v>47691</v>
      </c>
      <c r="J2819" s="62" t="s">
        <v>36484</v>
      </c>
      <c r="K2819" s="62" t="s">
        <v>47762</v>
      </c>
      <c r="L2819" s="62" t="s">
        <v>36485</v>
      </c>
      <c r="M2819" s="62" t="s">
        <v>36486</v>
      </c>
      <c r="N2819" s="62" t="s">
        <v>36487</v>
      </c>
      <c r="O2819" s="62" t="s">
        <v>36488</v>
      </c>
      <c r="P2819" s="62" t="s">
        <v>47833</v>
      </c>
      <c r="Q2819" s="62" t="s">
        <v>36489</v>
      </c>
      <c r="R2819" s="62" t="s">
        <v>36490</v>
      </c>
      <c r="S2819" s="62" t="s">
        <v>36491</v>
      </c>
      <c r="U2819" s="62" t="s">
        <v>36492</v>
      </c>
      <c r="V2819" s="62" t="s">
        <v>47904</v>
      </c>
      <c r="W2819" s="62" t="s">
        <v>36493</v>
      </c>
      <c r="X2819" s="62" t="s">
        <v>36494</v>
      </c>
      <c r="Y2819" s="62" t="s">
        <v>36495</v>
      </c>
      <c r="Z2819" s="62" t="s">
        <v>36496</v>
      </c>
      <c r="AA2819" s="62" t="s">
        <v>47975</v>
      </c>
      <c r="AB2819" s="62" t="s">
        <v>36497</v>
      </c>
      <c r="AC2819" s="62" t="s">
        <v>36498</v>
      </c>
      <c r="AD2819" s="62" t="s">
        <v>36499</v>
      </c>
    </row>
    <row r="2820" spans="1:30" x14ac:dyDescent="0.25">
      <c r="A2820" s="62" t="s">
        <v>109</v>
      </c>
      <c r="C2820" s="62" t="s">
        <v>36500</v>
      </c>
      <c r="F2820" s="62" t="s">
        <v>10721</v>
      </c>
      <c r="G2820" s="62" t="s">
        <v>47692</v>
      </c>
      <c r="J2820" s="62" t="s">
        <v>36501</v>
      </c>
      <c r="K2820" s="62" t="s">
        <v>47763</v>
      </c>
      <c r="L2820" s="62" t="s">
        <v>36502</v>
      </c>
      <c r="M2820" s="62" t="s">
        <v>36503</v>
      </c>
      <c r="N2820" s="62" t="s">
        <v>36504</v>
      </c>
      <c r="O2820" s="62" t="s">
        <v>36505</v>
      </c>
      <c r="P2820" s="62" t="s">
        <v>47834</v>
      </c>
      <c r="Q2820" s="62" t="s">
        <v>36506</v>
      </c>
      <c r="R2820" s="62" t="s">
        <v>36507</v>
      </c>
      <c r="S2820" s="62" t="s">
        <v>36508</v>
      </c>
      <c r="U2820" s="62" t="s">
        <v>36509</v>
      </c>
      <c r="V2820" s="62" t="s">
        <v>47905</v>
      </c>
      <c r="W2820" s="62" t="s">
        <v>36510</v>
      </c>
      <c r="X2820" s="62" t="s">
        <v>36511</v>
      </c>
      <c r="Y2820" s="62" t="s">
        <v>36512</v>
      </c>
      <c r="Z2820" s="62" t="s">
        <v>36513</v>
      </c>
      <c r="AA2820" s="62" t="s">
        <v>47976</v>
      </c>
      <c r="AB2820" s="62" t="s">
        <v>36514</v>
      </c>
      <c r="AC2820" s="62" t="s">
        <v>36515</v>
      </c>
      <c r="AD2820" s="62" t="s">
        <v>36516</v>
      </c>
    </row>
    <row r="2821" spans="1:30" x14ac:dyDescent="0.25">
      <c r="A2821" s="62" t="s">
        <v>109</v>
      </c>
      <c r="C2821" s="62" t="s">
        <v>36517</v>
      </c>
      <c r="F2821" s="62" t="s">
        <v>10739</v>
      </c>
      <c r="G2821" s="62" t="s">
        <v>47693</v>
      </c>
      <c r="J2821" s="62" t="s">
        <v>36518</v>
      </c>
      <c r="K2821" s="62" t="s">
        <v>47764</v>
      </c>
      <c r="L2821" s="62" t="s">
        <v>36519</v>
      </c>
      <c r="M2821" s="62" t="s">
        <v>36520</v>
      </c>
      <c r="N2821" s="62" t="s">
        <v>36521</v>
      </c>
      <c r="O2821" s="62" t="s">
        <v>36522</v>
      </c>
      <c r="P2821" s="62" t="s">
        <v>47835</v>
      </c>
      <c r="Q2821" s="62" t="s">
        <v>36523</v>
      </c>
      <c r="R2821" s="62" t="s">
        <v>36524</v>
      </c>
      <c r="S2821" s="62" t="s">
        <v>36525</v>
      </c>
      <c r="U2821" s="62" t="s">
        <v>36526</v>
      </c>
      <c r="V2821" s="62" t="s">
        <v>47906</v>
      </c>
      <c r="W2821" s="62" t="s">
        <v>36527</v>
      </c>
      <c r="X2821" s="62" t="s">
        <v>36528</v>
      </c>
      <c r="Y2821" s="62" t="s">
        <v>36529</v>
      </c>
      <c r="Z2821" s="62" t="s">
        <v>36530</v>
      </c>
      <c r="AA2821" s="62" t="s">
        <v>47977</v>
      </c>
      <c r="AB2821" s="62" t="s">
        <v>36531</v>
      </c>
      <c r="AC2821" s="62" t="s">
        <v>36532</v>
      </c>
      <c r="AD2821" s="62" t="s">
        <v>36533</v>
      </c>
    </row>
    <row r="2822" spans="1:30" x14ac:dyDescent="0.25">
      <c r="A2822" s="62" t="s">
        <v>109</v>
      </c>
      <c r="C2822" s="62" t="s">
        <v>36534</v>
      </c>
      <c r="F2822" s="62" t="s">
        <v>10775</v>
      </c>
      <c r="G2822" s="62" t="s">
        <v>47694</v>
      </c>
      <c r="J2822" s="62" t="s">
        <v>36535</v>
      </c>
      <c r="K2822" s="62" t="s">
        <v>47765</v>
      </c>
      <c r="L2822" s="62" t="s">
        <v>36536</v>
      </c>
      <c r="M2822" s="62" t="s">
        <v>36537</v>
      </c>
      <c r="N2822" s="62" t="s">
        <v>36538</v>
      </c>
      <c r="O2822" s="62" t="s">
        <v>36539</v>
      </c>
      <c r="P2822" s="62" t="s">
        <v>47836</v>
      </c>
      <c r="Q2822" s="62" t="s">
        <v>36540</v>
      </c>
      <c r="R2822" s="62" t="s">
        <v>36541</v>
      </c>
      <c r="S2822" s="62" t="s">
        <v>36542</v>
      </c>
      <c r="U2822" s="62" t="s">
        <v>36543</v>
      </c>
      <c r="V2822" s="62" t="s">
        <v>47907</v>
      </c>
      <c r="W2822" s="62" t="s">
        <v>36544</v>
      </c>
      <c r="X2822" s="62" t="s">
        <v>36545</v>
      </c>
      <c r="Y2822" s="62" t="s">
        <v>36546</v>
      </c>
      <c r="Z2822" s="62" t="s">
        <v>36547</v>
      </c>
      <c r="AA2822" s="62" t="s">
        <v>47978</v>
      </c>
      <c r="AB2822" s="62" t="s">
        <v>36548</v>
      </c>
      <c r="AC2822" s="62" t="s">
        <v>36549</v>
      </c>
      <c r="AD2822" s="62" t="s">
        <v>36550</v>
      </c>
    </row>
    <row r="2823" spans="1:30" x14ac:dyDescent="0.25">
      <c r="A2823" s="62" t="s">
        <v>109</v>
      </c>
      <c r="C2823" s="62" t="s">
        <v>36551</v>
      </c>
      <c r="F2823" s="62" t="s">
        <v>10793</v>
      </c>
      <c r="G2823" s="62" t="s">
        <v>47695</v>
      </c>
      <c r="J2823" s="62" t="s">
        <v>36552</v>
      </c>
      <c r="K2823" s="62" t="s">
        <v>47766</v>
      </c>
      <c r="L2823" s="62" t="s">
        <v>36553</v>
      </c>
      <c r="M2823" s="62" t="s">
        <v>36554</v>
      </c>
      <c r="N2823" s="62" t="s">
        <v>36555</v>
      </c>
      <c r="O2823" s="62" t="s">
        <v>36556</v>
      </c>
      <c r="P2823" s="62" t="s">
        <v>47837</v>
      </c>
      <c r="Q2823" s="62" t="s">
        <v>36557</v>
      </c>
      <c r="R2823" s="62" t="s">
        <v>36558</v>
      </c>
      <c r="S2823" s="62" t="s">
        <v>36559</v>
      </c>
      <c r="U2823" s="62" t="s">
        <v>36560</v>
      </c>
      <c r="V2823" s="62" t="s">
        <v>47908</v>
      </c>
      <c r="W2823" s="62" t="s">
        <v>36561</v>
      </c>
      <c r="X2823" s="62" t="s">
        <v>36562</v>
      </c>
      <c r="Y2823" s="62" t="s">
        <v>36563</v>
      </c>
      <c r="Z2823" s="62" t="s">
        <v>36564</v>
      </c>
      <c r="AA2823" s="62" t="s">
        <v>47979</v>
      </c>
      <c r="AB2823" s="62" t="s">
        <v>36565</v>
      </c>
      <c r="AC2823" s="62" t="s">
        <v>36566</v>
      </c>
      <c r="AD2823" s="62" t="s">
        <v>36567</v>
      </c>
    </row>
    <row r="2824" spans="1:30" x14ac:dyDescent="0.25">
      <c r="A2824" s="62" t="s">
        <v>109</v>
      </c>
      <c r="C2824" s="62" t="s">
        <v>36568</v>
      </c>
      <c r="F2824" s="62" t="s">
        <v>13202</v>
      </c>
      <c r="G2824" s="62" t="s">
        <v>47696</v>
      </c>
      <c r="J2824" s="62" t="s">
        <v>36569</v>
      </c>
      <c r="K2824" s="62" t="s">
        <v>47767</v>
      </c>
      <c r="L2824" s="62" t="s">
        <v>36570</v>
      </c>
      <c r="M2824" s="62" t="s">
        <v>36571</v>
      </c>
      <c r="N2824" s="62" t="s">
        <v>36572</v>
      </c>
      <c r="O2824" s="62" t="s">
        <v>36573</v>
      </c>
      <c r="P2824" s="62" t="s">
        <v>47838</v>
      </c>
      <c r="Q2824" s="62" t="s">
        <v>36574</v>
      </c>
      <c r="R2824" s="62" t="s">
        <v>36575</v>
      </c>
      <c r="S2824" s="62" t="s">
        <v>36576</v>
      </c>
      <c r="U2824" s="62" t="s">
        <v>36577</v>
      </c>
      <c r="V2824" s="62" t="s">
        <v>47909</v>
      </c>
      <c r="W2824" s="62" t="s">
        <v>36578</v>
      </c>
      <c r="X2824" s="62" t="s">
        <v>36579</v>
      </c>
      <c r="Y2824" s="62" t="s">
        <v>36580</v>
      </c>
      <c r="Z2824" s="62" t="s">
        <v>36581</v>
      </c>
      <c r="AA2824" s="62" t="s">
        <v>47980</v>
      </c>
      <c r="AB2824" s="62" t="s">
        <v>36582</v>
      </c>
      <c r="AC2824" s="62" t="s">
        <v>36583</v>
      </c>
      <c r="AD2824" s="62" t="s">
        <v>36584</v>
      </c>
    </row>
    <row r="2825" spans="1:30" x14ac:dyDescent="0.25">
      <c r="A2825" s="62" t="s">
        <v>109</v>
      </c>
      <c r="C2825" s="62" t="s">
        <v>36585</v>
      </c>
      <c r="F2825" s="62" t="s">
        <v>10811</v>
      </c>
      <c r="G2825" s="62" t="s">
        <v>47697</v>
      </c>
      <c r="J2825" s="62" t="s">
        <v>36586</v>
      </c>
      <c r="K2825" s="62" t="s">
        <v>47768</v>
      </c>
      <c r="L2825" s="62" t="s">
        <v>36587</v>
      </c>
      <c r="M2825" s="62" t="s">
        <v>36588</v>
      </c>
      <c r="N2825" s="62" t="s">
        <v>36589</v>
      </c>
      <c r="O2825" s="62" t="s">
        <v>36590</v>
      </c>
      <c r="P2825" s="62" t="s">
        <v>47839</v>
      </c>
      <c r="Q2825" s="62" t="s">
        <v>36591</v>
      </c>
      <c r="R2825" s="62" t="s">
        <v>36592</v>
      </c>
      <c r="S2825" s="62" t="s">
        <v>36593</v>
      </c>
      <c r="U2825" s="62" t="s">
        <v>36594</v>
      </c>
      <c r="V2825" s="62" t="s">
        <v>47910</v>
      </c>
      <c r="W2825" s="62" t="s">
        <v>36595</v>
      </c>
      <c r="X2825" s="62" t="s">
        <v>36596</v>
      </c>
      <c r="Y2825" s="62" t="s">
        <v>36597</v>
      </c>
      <c r="Z2825" s="62" t="s">
        <v>36598</v>
      </c>
      <c r="AA2825" s="62" t="s">
        <v>47981</v>
      </c>
      <c r="AB2825" s="62" t="s">
        <v>36599</v>
      </c>
      <c r="AC2825" s="62" t="s">
        <v>36600</v>
      </c>
      <c r="AD2825" s="62" t="s">
        <v>36601</v>
      </c>
    </row>
    <row r="2826" spans="1:30" x14ac:dyDescent="0.25">
      <c r="A2826" s="62" t="s">
        <v>109</v>
      </c>
      <c r="C2826" s="62" t="s">
        <v>36602</v>
      </c>
      <c r="F2826" s="62" t="s">
        <v>10829</v>
      </c>
      <c r="G2826" s="62" t="s">
        <v>47698</v>
      </c>
      <c r="J2826" s="62" t="s">
        <v>36603</v>
      </c>
      <c r="K2826" s="62" t="s">
        <v>47769</v>
      </c>
      <c r="L2826" s="62" t="s">
        <v>36604</v>
      </c>
      <c r="M2826" s="62" t="s">
        <v>36605</v>
      </c>
      <c r="N2826" s="62" t="s">
        <v>36606</v>
      </c>
      <c r="O2826" s="62" t="s">
        <v>36607</v>
      </c>
      <c r="P2826" s="62" t="s">
        <v>47840</v>
      </c>
      <c r="Q2826" s="62" t="s">
        <v>36608</v>
      </c>
      <c r="R2826" s="62" t="s">
        <v>36609</v>
      </c>
      <c r="S2826" s="62" t="s">
        <v>36610</v>
      </c>
      <c r="U2826" s="62" t="s">
        <v>36611</v>
      </c>
      <c r="V2826" s="62" t="s">
        <v>47911</v>
      </c>
      <c r="W2826" s="62" t="s">
        <v>36612</v>
      </c>
      <c r="X2826" s="62" t="s">
        <v>36613</v>
      </c>
      <c r="Y2826" s="62" t="s">
        <v>36614</v>
      </c>
      <c r="Z2826" s="62" t="s">
        <v>36615</v>
      </c>
      <c r="AA2826" s="62" t="s">
        <v>47982</v>
      </c>
      <c r="AB2826" s="62" t="s">
        <v>36616</v>
      </c>
      <c r="AC2826" s="62" t="s">
        <v>36617</v>
      </c>
      <c r="AD2826" s="62" t="s">
        <v>36618</v>
      </c>
    </row>
    <row r="2827" spans="1:30" x14ac:dyDescent="0.25">
      <c r="A2827" s="62" t="s">
        <v>109</v>
      </c>
      <c r="C2827" s="62" t="s">
        <v>36619</v>
      </c>
      <c r="F2827" s="62" t="s">
        <v>13236</v>
      </c>
      <c r="G2827" s="62" t="s">
        <v>47699</v>
      </c>
      <c r="J2827" s="62" t="s">
        <v>36620</v>
      </c>
      <c r="K2827" s="62" t="s">
        <v>47770</v>
      </c>
      <c r="L2827" s="62" t="s">
        <v>36621</v>
      </c>
      <c r="M2827" s="62" t="s">
        <v>36622</v>
      </c>
      <c r="N2827" s="62" t="s">
        <v>36623</v>
      </c>
      <c r="O2827" s="62" t="s">
        <v>36624</v>
      </c>
      <c r="P2827" s="62" t="s">
        <v>47841</v>
      </c>
      <c r="Q2827" s="62" t="s">
        <v>36625</v>
      </c>
      <c r="R2827" s="62" t="s">
        <v>36626</v>
      </c>
      <c r="S2827" s="62" t="s">
        <v>36627</v>
      </c>
      <c r="U2827" s="62" t="s">
        <v>36628</v>
      </c>
      <c r="V2827" s="62" t="s">
        <v>47912</v>
      </c>
      <c r="W2827" s="62" t="s">
        <v>36629</v>
      </c>
      <c r="X2827" s="62" t="s">
        <v>36630</v>
      </c>
      <c r="Y2827" s="62" t="s">
        <v>36631</v>
      </c>
      <c r="Z2827" s="62" t="s">
        <v>36632</v>
      </c>
      <c r="AA2827" s="62" t="s">
        <v>47983</v>
      </c>
      <c r="AB2827" s="62" t="s">
        <v>36633</v>
      </c>
      <c r="AC2827" s="62" t="s">
        <v>36634</v>
      </c>
      <c r="AD2827" s="62" t="s">
        <v>36635</v>
      </c>
    </row>
    <row r="2828" spans="1:30" x14ac:dyDescent="0.25">
      <c r="A2828" s="62" t="s">
        <v>109</v>
      </c>
      <c r="C2828" s="62" t="s">
        <v>36636</v>
      </c>
      <c r="F2828" s="62" t="s">
        <v>10847</v>
      </c>
      <c r="G2828" s="62" t="s">
        <v>47700</v>
      </c>
      <c r="J2828" s="62" t="s">
        <v>36637</v>
      </c>
      <c r="K2828" s="62" t="s">
        <v>47771</v>
      </c>
      <c r="L2828" s="62" t="s">
        <v>36638</v>
      </c>
      <c r="M2828" s="62" t="s">
        <v>36639</v>
      </c>
      <c r="N2828" s="62" t="s">
        <v>36640</v>
      </c>
      <c r="O2828" s="62" t="s">
        <v>36641</v>
      </c>
      <c r="P2828" s="62" t="s">
        <v>47842</v>
      </c>
      <c r="Q2828" s="62" t="s">
        <v>36642</v>
      </c>
      <c r="R2828" s="62" t="s">
        <v>36643</v>
      </c>
      <c r="S2828" s="62" t="s">
        <v>36644</v>
      </c>
      <c r="U2828" s="62" t="s">
        <v>36645</v>
      </c>
      <c r="V2828" s="62" t="s">
        <v>47913</v>
      </c>
      <c r="W2828" s="62" t="s">
        <v>36646</v>
      </c>
      <c r="X2828" s="62" t="s">
        <v>36647</v>
      </c>
      <c r="Y2828" s="62" t="s">
        <v>36648</v>
      </c>
      <c r="Z2828" s="62" t="s">
        <v>36649</v>
      </c>
      <c r="AA2828" s="62" t="s">
        <v>47984</v>
      </c>
      <c r="AB2828" s="62" t="s">
        <v>36650</v>
      </c>
      <c r="AC2828" s="62" t="s">
        <v>36651</v>
      </c>
      <c r="AD2828" s="62" t="s">
        <v>36652</v>
      </c>
    </row>
    <row r="2829" spans="1:30" x14ac:dyDescent="0.25">
      <c r="A2829" s="62" t="s">
        <v>109</v>
      </c>
      <c r="C2829" s="62" t="s">
        <v>36653</v>
      </c>
      <c r="F2829" s="62" t="s">
        <v>10865</v>
      </c>
      <c r="G2829" s="62" t="s">
        <v>47701</v>
      </c>
      <c r="J2829" s="62" t="s">
        <v>36654</v>
      </c>
      <c r="K2829" s="62" t="s">
        <v>47772</v>
      </c>
      <c r="L2829" s="62" t="s">
        <v>36655</v>
      </c>
      <c r="M2829" s="62" t="s">
        <v>36656</v>
      </c>
      <c r="N2829" s="62" t="s">
        <v>36657</v>
      </c>
      <c r="O2829" s="62" t="s">
        <v>36658</v>
      </c>
      <c r="P2829" s="62" t="s">
        <v>47843</v>
      </c>
      <c r="Q2829" s="62" t="s">
        <v>36659</v>
      </c>
      <c r="R2829" s="62" t="s">
        <v>36660</v>
      </c>
      <c r="S2829" s="62" t="s">
        <v>36661</v>
      </c>
      <c r="U2829" s="62" t="s">
        <v>36662</v>
      </c>
      <c r="V2829" s="62" t="s">
        <v>47914</v>
      </c>
      <c r="W2829" s="62" t="s">
        <v>36663</v>
      </c>
      <c r="X2829" s="62" t="s">
        <v>36664</v>
      </c>
      <c r="Y2829" s="62" t="s">
        <v>36665</v>
      </c>
      <c r="Z2829" s="62" t="s">
        <v>36666</v>
      </c>
      <c r="AA2829" s="62" t="s">
        <v>47985</v>
      </c>
      <c r="AB2829" s="62" t="s">
        <v>36667</v>
      </c>
      <c r="AC2829" s="62" t="s">
        <v>36668</v>
      </c>
      <c r="AD2829" s="62" t="s">
        <v>36669</v>
      </c>
    </row>
    <row r="2830" spans="1:30" x14ac:dyDescent="0.25">
      <c r="A2830" s="62" t="s">
        <v>109</v>
      </c>
      <c r="C2830" s="62" t="s">
        <v>36670</v>
      </c>
      <c r="F2830" s="62" t="s">
        <v>13238</v>
      </c>
      <c r="G2830" s="62" t="s">
        <v>47702</v>
      </c>
      <c r="J2830" s="62" t="s">
        <v>36671</v>
      </c>
      <c r="K2830" s="62" t="s">
        <v>47773</v>
      </c>
      <c r="L2830" s="62" t="s">
        <v>36672</v>
      </c>
      <c r="M2830" s="62" t="s">
        <v>36673</v>
      </c>
      <c r="N2830" s="62" t="s">
        <v>36674</v>
      </c>
      <c r="O2830" s="62" t="s">
        <v>36675</v>
      </c>
      <c r="P2830" s="62" t="s">
        <v>47844</v>
      </c>
      <c r="Q2830" s="62" t="s">
        <v>36676</v>
      </c>
      <c r="R2830" s="62" t="s">
        <v>36677</v>
      </c>
      <c r="S2830" s="62" t="s">
        <v>36678</v>
      </c>
      <c r="U2830" s="62" t="s">
        <v>36679</v>
      </c>
      <c r="V2830" s="62" t="s">
        <v>47915</v>
      </c>
      <c r="W2830" s="62" t="s">
        <v>36680</v>
      </c>
      <c r="X2830" s="62" t="s">
        <v>36681</v>
      </c>
      <c r="Y2830" s="62" t="s">
        <v>36682</v>
      </c>
      <c r="Z2830" s="62" t="s">
        <v>36683</v>
      </c>
      <c r="AA2830" s="62" t="s">
        <v>47986</v>
      </c>
      <c r="AB2830" s="62" t="s">
        <v>36684</v>
      </c>
      <c r="AC2830" s="62" t="s">
        <v>36685</v>
      </c>
      <c r="AD2830" s="62" t="s">
        <v>36686</v>
      </c>
    </row>
    <row r="2831" spans="1:30" x14ac:dyDescent="0.25">
      <c r="A2831" s="62" t="s">
        <v>109</v>
      </c>
      <c r="C2831" s="62" t="s">
        <v>36687</v>
      </c>
      <c r="F2831" s="62" t="s">
        <v>1249</v>
      </c>
      <c r="G2831" s="62" t="s">
        <v>47703</v>
      </c>
      <c r="J2831" s="62" t="s">
        <v>36688</v>
      </c>
      <c r="K2831" s="62" t="s">
        <v>47774</v>
      </c>
      <c r="L2831" s="62" t="s">
        <v>36689</v>
      </c>
      <c r="M2831" s="62" t="s">
        <v>36690</v>
      </c>
      <c r="N2831" s="62" t="s">
        <v>36691</v>
      </c>
      <c r="O2831" s="62" t="s">
        <v>36692</v>
      </c>
      <c r="P2831" s="62" t="s">
        <v>47845</v>
      </c>
      <c r="Q2831" s="62" t="s">
        <v>36693</v>
      </c>
      <c r="R2831" s="62" t="s">
        <v>36694</v>
      </c>
      <c r="S2831" s="62" t="s">
        <v>36695</v>
      </c>
      <c r="U2831" s="62" t="s">
        <v>36696</v>
      </c>
      <c r="V2831" s="62" t="s">
        <v>47916</v>
      </c>
      <c r="W2831" s="62" t="s">
        <v>36697</v>
      </c>
      <c r="X2831" s="62" t="s">
        <v>36698</v>
      </c>
      <c r="Y2831" s="62" t="s">
        <v>36699</v>
      </c>
      <c r="Z2831" s="62" t="s">
        <v>36700</v>
      </c>
      <c r="AA2831" s="62" t="s">
        <v>47987</v>
      </c>
      <c r="AB2831" s="62" t="s">
        <v>36701</v>
      </c>
      <c r="AC2831" s="62" t="s">
        <v>36702</v>
      </c>
      <c r="AD2831" s="62" t="s">
        <v>36703</v>
      </c>
    </row>
    <row r="2832" spans="1:30" x14ac:dyDescent="0.25">
      <c r="A2832" s="62" t="s">
        <v>109</v>
      </c>
      <c r="C2832" s="62" t="s">
        <v>36704</v>
      </c>
      <c r="F2832" s="62" t="s">
        <v>1289</v>
      </c>
      <c r="G2832" s="62" t="s">
        <v>47704</v>
      </c>
      <c r="J2832" s="62" t="s">
        <v>36705</v>
      </c>
      <c r="K2832" s="62" t="s">
        <v>47775</v>
      </c>
      <c r="L2832" s="62" t="s">
        <v>36706</v>
      </c>
      <c r="M2832" s="62" t="s">
        <v>36707</v>
      </c>
      <c r="N2832" s="62" t="s">
        <v>36708</v>
      </c>
      <c r="O2832" s="62" t="s">
        <v>36709</v>
      </c>
      <c r="P2832" s="62" t="s">
        <v>47846</v>
      </c>
      <c r="Q2832" s="62" t="s">
        <v>36710</v>
      </c>
      <c r="R2832" s="62" t="s">
        <v>36711</v>
      </c>
      <c r="S2832" s="62" t="s">
        <v>36712</v>
      </c>
      <c r="U2832" s="62" t="s">
        <v>36713</v>
      </c>
      <c r="V2832" s="62" t="s">
        <v>47917</v>
      </c>
      <c r="W2832" s="62" t="s">
        <v>36714</v>
      </c>
      <c r="X2832" s="62" t="s">
        <v>36715</v>
      </c>
      <c r="Y2832" s="62" t="s">
        <v>36716</v>
      </c>
      <c r="Z2832" s="62" t="s">
        <v>36717</v>
      </c>
      <c r="AA2832" s="62" t="s">
        <v>47988</v>
      </c>
      <c r="AB2832" s="62" t="s">
        <v>36718</v>
      </c>
      <c r="AC2832" s="62" t="s">
        <v>36719</v>
      </c>
      <c r="AD2832" s="62" t="s">
        <v>36720</v>
      </c>
    </row>
    <row r="2833" spans="1:30" x14ac:dyDescent="0.25">
      <c r="A2833" s="62" t="s">
        <v>109</v>
      </c>
      <c r="C2833" s="62" t="s">
        <v>36721</v>
      </c>
      <c r="F2833" s="62" t="s">
        <v>1797</v>
      </c>
      <c r="G2833" s="62" t="s">
        <v>47705</v>
      </c>
      <c r="J2833" s="62" t="s">
        <v>36722</v>
      </c>
      <c r="K2833" s="62" t="s">
        <v>47776</v>
      </c>
      <c r="L2833" s="62" t="s">
        <v>36723</v>
      </c>
      <c r="M2833" s="62" t="s">
        <v>36724</v>
      </c>
      <c r="N2833" s="62" t="s">
        <v>36725</v>
      </c>
      <c r="O2833" s="62" t="s">
        <v>36726</v>
      </c>
      <c r="P2833" s="62" t="s">
        <v>47847</v>
      </c>
      <c r="Q2833" s="62" t="s">
        <v>36727</v>
      </c>
      <c r="R2833" s="62" t="s">
        <v>36728</v>
      </c>
      <c r="S2833" s="62" t="s">
        <v>36729</v>
      </c>
      <c r="U2833" s="62" t="s">
        <v>36730</v>
      </c>
      <c r="V2833" s="62" t="s">
        <v>47918</v>
      </c>
      <c r="W2833" s="62" t="s">
        <v>36731</v>
      </c>
      <c r="X2833" s="62" t="s">
        <v>36732</v>
      </c>
      <c r="Y2833" s="62" t="s">
        <v>36733</v>
      </c>
      <c r="Z2833" s="62" t="s">
        <v>36734</v>
      </c>
      <c r="AA2833" s="62" t="s">
        <v>47989</v>
      </c>
      <c r="AB2833" s="62" t="s">
        <v>36735</v>
      </c>
      <c r="AC2833" s="62" t="s">
        <v>36736</v>
      </c>
      <c r="AD2833" s="62" t="s">
        <v>36737</v>
      </c>
    </row>
    <row r="2834" spans="1:30" x14ac:dyDescent="0.25">
      <c r="A2834" s="62" t="s">
        <v>109</v>
      </c>
      <c r="C2834" s="62" t="s">
        <v>36738</v>
      </c>
      <c r="F2834" s="62" t="s">
        <v>1299</v>
      </c>
      <c r="G2834" s="62" t="s">
        <v>47706</v>
      </c>
      <c r="J2834" s="62" t="s">
        <v>36739</v>
      </c>
      <c r="K2834" s="62" t="s">
        <v>47777</v>
      </c>
      <c r="L2834" s="62" t="s">
        <v>36740</v>
      </c>
      <c r="M2834" s="62" t="s">
        <v>36741</v>
      </c>
      <c r="N2834" s="62" t="s">
        <v>36742</v>
      </c>
      <c r="O2834" s="62" t="s">
        <v>36743</v>
      </c>
      <c r="P2834" s="62" t="s">
        <v>47848</v>
      </c>
      <c r="Q2834" s="62" t="s">
        <v>36744</v>
      </c>
      <c r="R2834" s="62" t="s">
        <v>36745</v>
      </c>
      <c r="S2834" s="62" t="s">
        <v>36746</v>
      </c>
      <c r="U2834" s="62" t="s">
        <v>36747</v>
      </c>
      <c r="V2834" s="62" t="s">
        <v>47919</v>
      </c>
      <c r="W2834" s="62" t="s">
        <v>36748</v>
      </c>
      <c r="X2834" s="62" t="s">
        <v>36749</v>
      </c>
      <c r="Y2834" s="62" t="s">
        <v>36750</v>
      </c>
      <c r="Z2834" s="62" t="s">
        <v>36751</v>
      </c>
      <c r="AA2834" s="62" t="s">
        <v>47990</v>
      </c>
      <c r="AB2834" s="62" t="s">
        <v>36752</v>
      </c>
      <c r="AC2834" s="62" t="s">
        <v>36753</v>
      </c>
      <c r="AD2834" s="62" t="s">
        <v>36754</v>
      </c>
    </row>
    <row r="2835" spans="1:30" x14ac:dyDescent="0.25">
      <c r="A2835" s="62" t="s">
        <v>109</v>
      </c>
      <c r="C2835" s="62" t="s">
        <v>36755</v>
      </c>
      <c r="F2835" s="62" t="s">
        <v>13249</v>
      </c>
      <c r="G2835" s="62" t="s">
        <v>47707</v>
      </c>
      <c r="J2835" s="62" t="s">
        <v>36756</v>
      </c>
      <c r="K2835" s="62" t="s">
        <v>47778</v>
      </c>
      <c r="L2835" s="62" t="s">
        <v>36757</v>
      </c>
      <c r="M2835" s="62" t="s">
        <v>36758</v>
      </c>
      <c r="N2835" s="62" t="s">
        <v>36759</v>
      </c>
      <c r="O2835" s="62" t="s">
        <v>36760</v>
      </c>
      <c r="P2835" s="62" t="s">
        <v>47849</v>
      </c>
      <c r="Q2835" s="62" t="s">
        <v>36761</v>
      </c>
      <c r="R2835" s="62" t="s">
        <v>36762</v>
      </c>
      <c r="S2835" s="62" t="s">
        <v>36763</v>
      </c>
      <c r="U2835" s="62" t="s">
        <v>36764</v>
      </c>
      <c r="V2835" s="62" t="s">
        <v>47920</v>
      </c>
      <c r="W2835" s="62" t="s">
        <v>36765</v>
      </c>
      <c r="X2835" s="62" t="s">
        <v>36766</v>
      </c>
      <c r="Y2835" s="62" t="s">
        <v>36767</v>
      </c>
      <c r="Z2835" s="62" t="s">
        <v>36768</v>
      </c>
      <c r="AA2835" s="62" t="s">
        <v>47991</v>
      </c>
      <c r="AB2835" s="62" t="s">
        <v>36769</v>
      </c>
      <c r="AC2835" s="62" t="s">
        <v>36770</v>
      </c>
      <c r="AD2835" s="62" t="s">
        <v>36771</v>
      </c>
    </row>
    <row r="2836" spans="1:30" x14ac:dyDescent="0.25">
      <c r="A2836" s="62" t="s">
        <v>109</v>
      </c>
      <c r="C2836" s="62" t="s">
        <v>36772</v>
      </c>
      <c r="F2836" s="62" t="s">
        <v>10925</v>
      </c>
      <c r="G2836" s="62" t="s">
        <v>47708</v>
      </c>
      <c r="J2836" s="62" t="s">
        <v>36773</v>
      </c>
      <c r="K2836" s="62" t="s">
        <v>47779</v>
      </c>
      <c r="L2836" s="62" t="s">
        <v>36774</v>
      </c>
      <c r="M2836" s="62" t="s">
        <v>36775</v>
      </c>
      <c r="N2836" s="62" t="s">
        <v>36776</v>
      </c>
      <c r="O2836" s="62" t="s">
        <v>36777</v>
      </c>
      <c r="P2836" s="62" t="s">
        <v>47850</v>
      </c>
      <c r="Q2836" s="62" t="s">
        <v>36778</v>
      </c>
      <c r="R2836" s="62" t="s">
        <v>36779</v>
      </c>
      <c r="S2836" s="62" t="s">
        <v>36780</v>
      </c>
      <c r="U2836" s="62" t="s">
        <v>36781</v>
      </c>
      <c r="V2836" s="62" t="s">
        <v>47921</v>
      </c>
      <c r="W2836" s="62" t="s">
        <v>36782</v>
      </c>
      <c r="X2836" s="62" t="s">
        <v>36783</v>
      </c>
      <c r="Y2836" s="62" t="s">
        <v>36784</v>
      </c>
      <c r="Z2836" s="62" t="s">
        <v>36785</v>
      </c>
      <c r="AA2836" s="62" t="s">
        <v>47992</v>
      </c>
      <c r="AB2836" s="62" t="s">
        <v>36786</v>
      </c>
      <c r="AC2836" s="62" t="s">
        <v>36787</v>
      </c>
      <c r="AD2836" s="62" t="s">
        <v>36788</v>
      </c>
    </row>
    <row r="2837" spans="1:30" x14ac:dyDescent="0.25">
      <c r="A2837" s="62" t="s">
        <v>109</v>
      </c>
      <c r="C2837" s="62" t="s">
        <v>36789</v>
      </c>
      <c r="F2837" s="62" t="s">
        <v>10927</v>
      </c>
      <c r="G2837" s="62" t="s">
        <v>47709</v>
      </c>
      <c r="J2837" s="62" t="s">
        <v>36790</v>
      </c>
      <c r="K2837" s="62" t="s">
        <v>47780</v>
      </c>
      <c r="L2837" s="62" t="s">
        <v>36791</v>
      </c>
      <c r="M2837" s="62" t="s">
        <v>36792</v>
      </c>
      <c r="N2837" s="62" t="s">
        <v>36793</v>
      </c>
      <c r="O2837" s="62" t="s">
        <v>36794</v>
      </c>
      <c r="P2837" s="62" t="s">
        <v>47851</v>
      </c>
      <c r="Q2837" s="62" t="s">
        <v>36795</v>
      </c>
      <c r="R2837" s="62" t="s">
        <v>36796</v>
      </c>
      <c r="S2837" s="62" t="s">
        <v>36797</v>
      </c>
      <c r="U2837" s="62" t="s">
        <v>36798</v>
      </c>
      <c r="V2837" s="62" t="s">
        <v>47922</v>
      </c>
      <c r="W2837" s="62" t="s">
        <v>36799</v>
      </c>
      <c r="X2837" s="62" t="s">
        <v>36800</v>
      </c>
      <c r="Y2837" s="62" t="s">
        <v>36801</v>
      </c>
      <c r="Z2837" s="62" t="s">
        <v>36802</v>
      </c>
      <c r="AA2837" s="62" t="s">
        <v>47993</v>
      </c>
      <c r="AB2837" s="62" t="s">
        <v>36803</v>
      </c>
      <c r="AC2837" s="62" t="s">
        <v>36804</v>
      </c>
      <c r="AD2837" s="62" t="s">
        <v>36805</v>
      </c>
    </row>
    <row r="2838" spans="1:30" x14ac:dyDescent="0.25">
      <c r="A2838" s="62" t="s">
        <v>109</v>
      </c>
      <c r="C2838" s="62" t="s">
        <v>36806</v>
      </c>
      <c r="F2838" s="62" t="s">
        <v>10929</v>
      </c>
      <c r="G2838" s="62" t="s">
        <v>47710</v>
      </c>
      <c r="J2838" s="62" t="s">
        <v>36807</v>
      </c>
      <c r="K2838" s="62" t="s">
        <v>47781</v>
      </c>
      <c r="L2838" s="62" t="s">
        <v>36808</v>
      </c>
      <c r="M2838" s="62" t="s">
        <v>36809</v>
      </c>
      <c r="N2838" s="62" t="s">
        <v>36810</v>
      </c>
      <c r="O2838" s="62" t="s">
        <v>36811</v>
      </c>
      <c r="P2838" s="62" t="s">
        <v>47852</v>
      </c>
      <c r="Q2838" s="62" t="s">
        <v>36812</v>
      </c>
      <c r="R2838" s="62" t="s">
        <v>36813</v>
      </c>
      <c r="S2838" s="62" t="s">
        <v>36814</v>
      </c>
      <c r="U2838" s="62" t="s">
        <v>36815</v>
      </c>
      <c r="V2838" s="62" t="s">
        <v>47923</v>
      </c>
      <c r="W2838" s="62" t="s">
        <v>36816</v>
      </c>
      <c r="X2838" s="62" t="s">
        <v>36817</v>
      </c>
      <c r="Y2838" s="62" t="s">
        <v>36818</v>
      </c>
      <c r="Z2838" s="62" t="s">
        <v>36819</v>
      </c>
      <c r="AA2838" s="62" t="s">
        <v>47994</v>
      </c>
      <c r="AB2838" s="62" t="s">
        <v>36820</v>
      </c>
      <c r="AC2838" s="62" t="s">
        <v>36821</v>
      </c>
      <c r="AD2838" s="62" t="s">
        <v>36822</v>
      </c>
    </row>
    <row r="2839" spans="1:30" x14ac:dyDescent="0.25">
      <c r="A2839" s="62" t="s">
        <v>109</v>
      </c>
      <c r="C2839" s="62" t="s">
        <v>36823</v>
      </c>
      <c r="F2839" s="62" t="s">
        <v>10947</v>
      </c>
      <c r="G2839" s="62" t="s">
        <v>47711</v>
      </c>
      <c r="J2839" s="62" t="s">
        <v>36824</v>
      </c>
      <c r="K2839" s="62" t="s">
        <v>47782</v>
      </c>
      <c r="L2839" s="62" t="s">
        <v>36825</v>
      </c>
      <c r="M2839" s="62" t="s">
        <v>36826</v>
      </c>
      <c r="N2839" s="62" t="s">
        <v>36827</v>
      </c>
      <c r="O2839" s="62" t="s">
        <v>36828</v>
      </c>
      <c r="P2839" s="62" t="s">
        <v>47853</v>
      </c>
      <c r="Q2839" s="62" t="s">
        <v>36829</v>
      </c>
      <c r="R2839" s="62" t="s">
        <v>36830</v>
      </c>
      <c r="S2839" s="62" t="s">
        <v>36831</v>
      </c>
      <c r="U2839" s="62" t="s">
        <v>36832</v>
      </c>
      <c r="V2839" s="62" t="s">
        <v>47924</v>
      </c>
      <c r="W2839" s="62" t="s">
        <v>36833</v>
      </c>
      <c r="X2839" s="62" t="s">
        <v>36834</v>
      </c>
      <c r="Y2839" s="62" t="s">
        <v>36835</v>
      </c>
      <c r="Z2839" s="62" t="s">
        <v>36836</v>
      </c>
      <c r="AA2839" s="62" t="s">
        <v>47995</v>
      </c>
      <c r="AB2839" s="62" t="s">
        <v>36837</v>
      </c>
      <c r="AC2839" s="62" t="s">
        <v>36838</v>
      </c>
      <c r="AD2839" s="62" t="s">
        <v>36839</v>
      </c>
    </row>
    <row r="2840" spans="1:30" x14ac:dyDescent="0.25">
      <c r="A2840" s="62" t="s">
        <v>109</v>
      </c>
      <c r="C2840" s="62" t="s">
        <v>36840</v>
      </c>
      <c r="F2840" s="62" t="s">
        <v>31927</v>
      </c>
      <c r="G2840" s="62" t="s">
        <v>47712</v>
      </c>
      <c r="J2840" s="62" t="s">
        <v>36842</v>
      </c>
      <c r="K2840" s="62" t="s">
        <v>47783</v>
      </c>
      <c r="L2840" s="62" t="s">
        <v>36843</v>
      </c>
      <c r="M2840" s="62" t="s">
        <v>36844</v>
      </c>
      <c r="N2840" s="62" t="s">
        <v>36845</v>
      </c>
      <c r="O2840" s="62" t="s">
        <v>36846</v>
      </c>
      <c r="P2840" s="62" t="s">
        <v>47854</v>
      </c>
      <c r="Q2840" s="62" t="s">
        <v>36847</v>
      </c>
      <c r="R2840" s="62" t="s">
        <v>36848</v>
      </c>
      <c r="S2840" s="62" t="s">
        <v>36849</v>
      </c>
      <c r="U2840" s="62" t="s">
        <v>36850</v>
      </c>
      <c r="V2840" s="62" t="s">
        <v>47925</v>
      </c>
      <c r="W2840" s="62" t="s">
        <v>36851</v>
      </c>
      <c r="X2840" s="62" t="s">
        <v>36852</v>
      </c>
      <c r="Y2840" s="62" t="s">
        <v>36853</v>
      </c>
      <c r="Z2840" s="62" t="s">
        <v>36854</v>
      </c>
      <c r="AA2840" s="62" t="s">
        <v>47996</v>
      </c>
      <c r="AB2840" s="62" t="s">
        <v>36855</v>
      </c>
      <c r="AC2840" s="62" t="s">
        <v>36856</v>
      </c>
      <c r="AD2840" s="62" t="s">
        <v>36857</v>
      </c>
    </row>
    <row r="2841" spans="1:30" x14ac:dyDescent="0.25">
      <c r="A2841" s="62" t="s">
        <v>109</v>
      </c>
      <c r="C2841" s="62" t="s">
        <v>45958</v>
      </c>
      <c r="F2841" s="62" t="s">
        <v>27369</v>
      </c>
      <c r="G2841" s="62" t="s">
        <v>47713</v>
      </c>
      <c r="J2841" s="62" t="s">
        <v>45959</v>
      </c>
      <c r="K2841" s="62" t="s">
        <v>47784</v>
      </c>
      <c r="L2841" s="62" t="s">
        <v>45960</v>
      </c>
      <c r="M2841" s="62" t="s">
        <v>45961</v>
      </c>
      <c r="N2841" s="62" t="s">
        <v>45962</v>
      </c>
      <c r="O2841" s="62" t="s">
        <v>45963</v>
      </c>
      <c r="P2841" s="62" t="s">
        <v>47855</v>
      </c>
      <c r="Q2841" s="62" t="s">
        <v>45964</v>
      </c>
      <c r="R2841" s="62" t="s">
        <v>45965</v>
      </c>
      <c r="S2841" s="62" t="s">
        <v>45966</v>
      </c>
      <c r="U2841" s="62" t="s">
        <v>45967</v>
      </c>
      <c r="V2841" s="62" t="s">
        <v>47926</v>
      </c>
      <c r="W2841" s="62" t="s">
        <v>45968</v>
      </c>
      <c r="X2841" s="62" t="s">
        <v>45969</v>
      </c>
      <c r="Y2841" s="62" t="s">
        <v>45970</v>
      </c>
      <c r="Z2841" s="62" t="s">
        <v>45971</v>
      </c>
      <c r="AA2841" s="62" t="s">
        <v>47997</v>
      </c>
      <c r="AB2841" s="62" t="s">
        <v>45972</v>
      </c>
      <c r="AC2841" s="62" t="s">
        <v>45973</v>
      </c>
      <c r="AD2841" s="62" t="s">
        <v>45974</v>
      </c>
    </row>
    <row r="2842" spans="1:30" x14ac:dyDescent="0.25">
      <c r="A2842" s="62" t="s">
        <v>109</v>
      </c>
      <c r="C2842" s="62" t="s">
        <v>36858</v>
      </c>
      <c r="F2842" s="62" t="s">
        <v>22235</v>
      </c>
      <c r="G2842" s="62" t="s">
        <v>47714</v>
      </c>
      <c r="J2842" s="62" t="s">
        <v>45975</v>
      </c>
      <c r="K2842" s="62" t="s">
        <v>47785</v>
      </c>
      <c r="L2842" s="62" t="s">
        <v>45976</v>
      </c>
      <c r="M2842" s="62" t="s">
        <v>36859</v>
      </c>
      <c r="N2842" s="62" t="s">
        <v>36860</v>
      </c>
      <c r="O2842" s="62" t="s">
        <v>45977</v>
      </c>
      <c r="P2842" s="62" t="s">
        <v>47856</v>
      </c>
      <c r="Q2842" s="62" t="s">
        <v>45978</v>
      </c>
      <c r="R2842" s="62" t="s">
        <v>36861</v>
      </c>
      <c r="S2842" s="62" t="s">
        <v>36862</v>
      </c>
      <c r="U2842" s="62" t="s">
        <v>45979</v>
      </c>
      <c r="V2842" s="62" t="s">
        <v>47927</v>
      </c>
      <c r="W2842" s="62" t="s">
        <v>45980</v>
      </c>
      <c r="X2842" s="62" t="s">
        <v>36863</v>
      </c>
      <c r="Y2842" s="62" t="s">
        <v>36864</v>
      </c>
      <c r="Z2842" s="62" t="s">
        <v>45981</v>
      </c>
      <c r="AA2842" s="62" t="s">
        <v>47998</v>
      </c>
      <c r="AB2842" s="62" t="s">
        <v>45982</v>
      </c>
      <c r="AC2842" s="62" t="s">
        <v>36865</v>
      </c>
      <c r="AD2842" s="62" t="s">
        <v>36866</v>
      </c>
    </row>
    <row r="2843" spans="1:30" x14ac:dyDescent="0.25">
      <c r="A2843" s="62" t="s">
        <v>109</v>
      </c>
      <c r="C2843" s="62" t="s">
        <v>45983</v>
      </c>
      <c r="F2843" s="62" t="s">
        <v>22253</v>
      </c>
      <c r="G2843" s="62" t="s">
        <v>47715</v>
      </c>
      <c r="J2843" s="62" t="s">
        <v>45984</v>
      </c>
      <c r="K2843" s="62" t="s">
        <v>47786</v>
      </c>
      <c r="L2843" s="62" t="s">
        <v>45985</v>
      </c>
      <c r="M2843" s="62" t="s">
        <v>45986</v>
      </c>
      <c r="N2843" s="62" t="s">
        <v>45987</v>
      </c>
      <c r="O2843" s="62" t="s">
        <v>45988</v>
      </c>
      <c r="P2843" s="62" t="s">
        <v>47857</v>
      </c>
      <c r="Q2843" s="62" t="s">
        <v>45989</v>
      </c>
      <c r="R2843" s="62" t="s">
        <v>45990</v>
      </c>
      <c r="S2843" s="62" t="s">
        <v>45991</v>
      </c>
      <c r="U2843" s="62" t="s">
        <v>45992</v>
      </c>
      <c r="V2843" s="62" t="s">
        <v>47928</v>
      </c>
      <c r="W2843" s="62" t="s">
        <v>45993</v>
      </c>
      <c r="X2843" s="62" t="s">
        <v>45994</v>
      </c>
      <c r="Y2843" s="62" t="s">
        <v>45995</v>
      </c>
      <c r="Z2843" s="62" t="s">
        <v>45996</v>
      </c>
      <c r="AA2843" s="62" t="s">
        <v>47999</v>
      </c>
      <c r="AB2843" s="62" t="s">
        <v>45997</v>
      </c>
      <c r="AC2843" s="62" t="s">
        <v>45998</v>
      </c>
      <c r="AD2843" s="62" t="s">
        <v>45999</v>
      </c>
    </row>
    <row r="2844" spans="1:30" x14ac:dyDescent="0.25">
      <c r="A2844" s="62" t="s">
        <v>109</v>
      </c>
      <c r="C2844" s="62" t="s">
        <v>46000</v>
      </c>
      <c r="F2844" s="62" t="s">
        <v>22307</v>
      </c>
      <c r="G2844" s="62" t="s">
        <v>47716</v>
      </c>
      <c r="J2844" s="62" t="s">
        <v>46001</v>
      </c>
      <c r="K2844" s="62" t="s">
        <v>47787</v>
      </c>
      <c r="L2844" s="62" t="s">
        <v>46002</v>
      </c>
      <c r="M2844" s="62" t="s">
        <v>46003</v>
      </c>
      <c r="N2844" s="62" t="s">
        <v>46004</v>
      </c>
      <c r="O2844" s="62" t="s">
        <v>46005</v>
      </c>
      <c r="P2844" s="62" t="s">
        <v>47858</v>
      </c>
      <c r="Q2844" s="62" t="s">
        <v>46006</v>
      </c>
      <c r="R2844" s="62" t="s">
        <v>46007</v>
      </c>
      <c r="S2844" s="62" t="s">
        <v>46008</v>
      </c>
      <c r="U2844" s="62" t="s">
        <v>46009</v>
      </c>
      <c r="V2844" s="62" t="s">
        <v>47929</v>
      </c>
      <c r="W2844" s="62" t="s">
        <v>46010</v>
      </c>
      <c r="X2844" s="62" t="s">
        <v>46011</v>
      </c>
      <c r="Y2844" s="62" t="s">
        <v>46012</v>
      </c>
      <c r="Z2844" s="62" t="s">
        <v>46013</v>
      </c>
      <c r="AA2844" s="62" t="s">
        <v>48000</v>
      </c>
      <c r="AB2844" s="62" t="s">
        <v>46014</v>
      </c>
      <c r="AC2844" s="62" t="s">
        <v>46015</v>
      </c>
      <c r="AD2844" s="62" t="s">
        <v>46016</v>
      </c>
    </row>
    <row r="2845" spans="1:30" x14ac:dyDescent="0.25">
      <c r="A2845" s="62" t="s">
        <v>109</v>
      </c>
      <c r="C2845" s="62" t="s">
        <v>36868</v>
      </c>
      <c r="F2845" s="62" t="s">
        <v>10961</v>
      </c>
      <c r="G2845" s="62" t="s">
        <v>47717</v>
      </c>
      <c r="J2845" s="62" t="s">
        <v>46017</v>
      </c>
      <c r="K2845" s="62" t="s">
        <v>47788</v>
      </c>
      <c r="L2845" s="62" t="s">
        <v>46018</v>
      </c>
      <c r="M2845" s="62" t="s">
        <v>46019</v>
      </c>
      <c r="N2845" s="62" t="s">
        <v>46020</v>
      </c>
      <c r="O2845" s="62" t="s">
        <v>46021</v>
      </c>
      <c r="P2845" s="62" t="s">
        <v>47859</v>
      </c>
      <c r="Q2845" s="62" t="s">
        <v>46022</v>
      </c>
      <c r="R2845" s="62" t="s">
        <v>46023</v>
      </c>
      <c r="S2845" s="62" t="s">
        <v>46024</v>
      </c>
      <c r="U2845" s="62" t="s">
        <v>46025</v>
      </c>
      <c r="V2845" s="62" t="s">
        <v>47930</v>
      </c>
      <c r="W2845" s="62" t="s">
        <v>46026</v>
      </c>
      <c r="X2845" s="62" t="s">
        <v>46027</v>
      </c>
      <c r="Y2845" s="62" t="s">
        <v>46028</v>
      </c>
      <c r="Z2845" s="62" t="s">
        <v>46029</v>
      </c>
      <c r="AA2845" s="62" t="s">
        <v>48001</v>
      </c>
      <c r="AB2845" s="62" t="s">
        <v>46030</v>
      </c>
      <c r="AC2845" s="62" t="s">
        <v>46031</v>
      </c>
      <c r="AD2845" s="62" t="s">
        <v>46032</v>
      </c>
    </row>
    <row r="2846" spans="1:30" x14ac:dyDescent="0.25">
      <c r="A2846" s="62" t="s">
        <v>109</v>
      </c>
      <c r="C2846" s="62" t="s">
        <v>35752</v>
      </c>
    </row>
    <row r="2847" spans="1:30" x14ac:dyDescent="0.25">
      <c r="A2847" s="62" t="s">
        <v>109</v>
      </c>
      <c r="C2847" s="62" t="s">
        <v>36869</v>
      </c>
      <c r="G2847" s="62" t="s">
        <v>46033</v>
      </c>
      <c r="J2847" s="62" t="s">
        <v>46034</v>
      </c>
      <c r="K2847" s="62" t="s">
        <v>46035</v>
      </c>
      <c r="L2847" s="62" t="s">
        <v>46036</v>
      </c>
      <c r="M2847" s="62" t="s">
        <v>36870</v>
      </c>
      <c r="N2847" s="62" t="s">
        <v>36871</v>
      </c>
      <c r="O2847" s="62" t="s">
        <v>46037</v>
      </c>
      <c r="P2847" s="62" t="s">
        <v>46038</v>
      </c>
      <c r="Q2847" s="62" t="s">
        <v>46039</v>
      </c>
      <c r="R2847" s="62" t="s">
        <v>36872</v>
      </c>
      <c r="S2847" s="62" t="s">
        <v>36873</v>
      </c>
      <c r="U2847" s="62" t="s">
        <v>46040</v>
      </c>
      <c r="V2847" s="62" t="s">
        <v>46041</v>
      </c>
      <c r="W2847" s="62" t="s">
        <v>46042</v>
      </c>
      <c r="X2847" s="62" t="s">
        <v>36874</v>
      </c>
      <c r="Y2847" s="62" t="s">
        <v>36875</v>
      </c>
      <c r="Z2847" s="62" t="s">
        <v>46043</v>
      </c>
      <c r="AA2847" s="62" t="s">
        <v>46044</v>
      </c>
      <c r="AB2847" s="62" t="s">
        <v>46045</v>
      </c>
      <c r="AC2847" s="62" t="s">
        <v>36876</v>
      </c>
      <c r="AD2847" s="62" t="s">
        <v>36877</v>
      </c>
    </row>
    <row r="2848" spans="1:30" x14ac:dyDescent="0.25">
      <c r="A2848" s="62" t="s">
        <v>109</v>
      </c>
    </row>
    <row r="2849" spans="1:30" x14ac:dyDescent="0.25">
      <c r="A2849" s="62" t="s">
        <v>109</v>
      </c>
      <c r="C2849" s="62" t="s">
        <v>46046</v>
      </c>
      <c r="E2849" s="62" t="s">
        <v>39696</v>
      </c>
      <c r="G2849" s="62" t="s">
        <v>46047</v>
      </c>
    </row>
    <row r="2850" spans="1:30" x14ac:dyDescent="0.25">
      <c r="A2850" s="62" t="s">
        <v>109</v>
      </c>
      <c r="C2850" s="62" t="s">
        <v>36878</v>
      </c>
    </row>
    <row r="2851" spans="1:30" x14ac:dyDescent="0.25">
      <c r="A2851" s="62" t="s">
        <v>109</v>
      </c>
      <c r="C2851" s="62" t="s">
        <v>36879</v>
      </c>
      <c r="F2851" s="62" t="s">
        <v>46048</v>
      </c>
      <c r="G2851" s="62" t="s">
        <v>47402</v>
      </c>
      <c r="J2851" s="62" t="s">
        <v>36880</v>
      </c>
      <c r="K2851" s="62" t="s">
        <v>47451</v>
      </c>
      <c r="L2851" s="62" t="s">
        <v>36881</v>
      </c>
      <c r="M2851" s="62" t="s">
        <v>36882</v>
      </c>
      <c r="N2851" s="62" t="s">
        <v>36883</v>
      </c>
      <c r="O2851" s="62" t="s">
        <v>36884</v>
      </c>
      <c r="P2851" s="62" t="s">
        <v>47500</v>
      </c>
      <c r="Q2851" s="62" t="s">
        <v>36885</v>
      </c>
      <c r="R2851" s="62" t="s">
        <v>36886</v>
      </c>
      <c r="S2851" s="62" t="s">
        <v>36887</v>
      </c>
      <c r="U2851" s="62" t="s">
        <v>36888</v>
      </c>
      <c r="V2851" s="62" t="s">
        <v>47549</v>
      </c>
      <c r="W2851" s="62" t="s">
        <v>36889</v>
      </c>
      <c r="X2851" s="62" t="s">
        <v>36890</v>
      </c>
      <c r="Y2851" s="62" t="s">
        <v>36891</v>
      </c>
      <c r="Z2851" s="62" t="s">
        <v>36892</v>
      </c>
      <c r="AA2851" s="62" t="s">
        <v>47598</v>
      </c>
      <c r="AB2851" s="62" t="s">
        <v>36893</v>
      </c>
      <c r="AC2851" s="62" t="s">
        <v>36894</v>
      </c>
      <c r="AD2851" s="62" t="s">
        <v>36895</v>
      </c>
    </row>
    <row r="2852" spans="1:30" x14ac:dyDescent="0.25">
      <c r="A2852" s="62" t="s">
        <v>109</v>
      </c>
      <c r="C2852" s="62" t="s">
        <v>36896</v>
      </c>
      <c r="F2852" s="62" t="s">
        <v>889</v>
      </c>
      <c r="G2852" s="62" t="s">
        <v>47403</v>
      </c>
      <c r="J2852" s="62" t="s">
        <v>36897</v>
      </c>
      <c r="K2852" s="62" t="s">
        <v>47452</v>
      </c>
      <c r="L2852" s="62" t="s">
        <v>36898</v>
      </c>
      <c r="M2852" s="62" t="s">
        <v>36899</v>
      </c>
      <c r="N2852" s="62" t="s">
        <v>36900</v>
      </c>
      <c r="O2852" s="62" t="s">
        <v>36901</v>
      </c>
      <c r="P2852" s="62" t="s">
        <v>47501</v>
      </c>
      <c r="Q2852" s="62" t="s">
        <v>36902</v>
      </c>
      <c r="R2852" s="62" t="s">
        <v>36903</v>
      </c>
      <c r="S2852" s="62" t="s">
        <v>36904</v>
      </c>
      <c r="U2852" s="62" t="s">
        <v>36905</v>
      </c>
      <c r="V2852" s="62" t="s">
        <v>47550</v>
      </c>
      <c r="W2852" s="62" t="s">
        <v>36906</v>
      </c>
      <c r="X2852" s="62" t="s">
        <v>36907</v>
      </c>
      <c r="Y2852" s="62" t="s">
        <v>36908</v>
      </c>
      <c r="Z2852" s="62" t="s">
        <v>36909</v>
      </c>
      <c r="AA2852" s="62" t="s">
        <v>47599</v>
      </c>
      <c r="AB2852" s="62" t="s">
        <v>36910</v>
      </c>
      <c r="AC2852" s="62" t="s">
        <v>36911</v>
      </c>
      <c r="AD2852" s="62" t="s">
        <v>36912</v>
      </c>
    </row>
    <row r="2853" spans="1:30" x14ac:dyDescent="0.25">
      <c r="A2853" s="62" t="s">
        <v>109</v>
      </c>
      <c r="C2853" s="62" t="s">
        <v>36913</v>
      </c>
      <c r="F2853" s="62" t="s">
        <v>915</v>
      </c>
      <c r="G2853" s="62" t="s">
        <v>47404</v>
      </c>
      <c r="J2853" s="62" t="s">
        <v>36914</v>
      </c>
      <c r="K2853" s="62" t="s">
        <v>47453</v>
      </c>
      <c r="L2853" s="62" t="s">
        <v>36915</v>
      </c>
      <c r="M2853" s="62" t="s">
        <v>36916</v>
      </c>
      <c r="N2853" s="62" t="s">
        <v>36917</v>
      </c>
      <c r="O2853" s="62" t="s">
        <v>36918</v>
      </c>
      <c r="P2853" s="62" t="s">
        <v>47502</v>
      </c>
      <c r="Q2853" s="62" t="s">
        <v>36919</v>
      </c>
      <c r="R2853" s="62" t="s">
        <v>36920</v>
      </c>
      <c r="S2853" s="62" t="s">
        <v>36921</v>
      </c>
      <c r="U2853" s="62" t="s">
        <v>36922</v>
      </c>
      <c r="V2853" s="62" t="s">
        <v>47551</v>
      </c>
      <c r="W2853" s="62" t="s">
        <v>36923</v>
      </c>
      <c r="X2853" s="62" t="s">
        <v>36924</v>
      </c>
      <c r="Y2853" s="62" t="s">
        <v>36925</v>
      </c>
      <c r="Z2853" s="62" t="s">
        <v>36926</v>
      </c>
      <c r="AA2853" s="62" t="s">
        <v>47600</v>
      </c>
      <c r="AB2853" s="62" t="s">
        <v>36927</v>
      </c>
      <c r="AC2853" s="62" t="s">
        <v>36928</v>
      </c>
      <c r="AD2853" s="62" t="s">
        <v>36929</v>
      </c>
    </row>
    <row r="2854" spans="1:30" x14ac:dyDescent="0.25">
      <c r="A2854" s="62" t="s">
        <v>109</v>
      </c>
      <c r="C2854" s="62" t="s">
        <v>36930</v>
      </c>
      <c r="F2854" s="62" t="s">
        <v>925</v>
      </c>
      <c r="G2854" s="62" t="s">
        <v>47405</v>
      </c>
      <c r="J2854" s="62" t="s">
        <v>36931</v>
      </c>
      <c r="K2854" s="62" t="s">
        <v>47454</v>
      </c>
      <c r="L2854" s="62" t="s">
        <v>36932</v>
      </c>
      <c r="M2854" s="62" t="s">
        <v>36933</v>
      </c>
      <c r="N2854" s="62" t="s">
        <v>36934</v>
      </c>
      <c r="O2854" s="62" t="s">
        <v>36935</v>
      </c>
      <c r="P2854" s="62" t="s">
        <v>47503</v>
      </c>
      <c r="Q2854" s="62" t="s">
        <v>36936</v>
      </c>
      <c r="R2854" s="62" t="s">
        <v>36937</v>
      </c>
      <c r="S2854" s="62" t="s">
        <v>36938</v>
      </c>
      <c r="U2854" s="62" t="s">
        <v>36939</v>
      </c>
      <c r="V2854" s="62" t="s">
        <v>47552</v>
      </c>
      <c r="W2854" s="62" t="s">
        <v>36940</v>
      </c>
      <c r="X2854" s="62" t="s">
        <v>36941</v>
      </c>
      <c r="Y2854" s="62" t="s">
        <v>36942</v>
      </c>
      <c r="Z2854" s="62" t="s">
        <v>36943</v>
      </c>
      <c r="AA2854" s="62" t="s">
        <v>47601</v>
      </c>
      <c r="AB2854" s="62" t="s">
        <v>36944</v>
      </c>
      <c r="AC2854" s="62" t="s">
        <v>36945</v>
      </c>
      <c r="AD2854" s="62" t="s">
        <v>36946</v>
      </c>
    </row>
    <row r="2855" spans="1:30" x14ac:dyDescent="0.25">
      <c r="A2855" s="62" t="s">
        <v>109</v>
      </c>
      <c r="C2855" s="62" t="s">
        <v>36947</v>
      </c>
      <c r="F2855" s="62" t="s">
        <v>2212</v>
      </c>
      <c r="G2855" s="62" t="s">
        <v>47406</v>
      </c>
      <c r="J2855" s="62" t="s">
        <v>36948</v>
      </c>
      <c r="K2855" s="62" t="s">
        <v>47455</v>
      </c>
      <c r="L2855" s="62" t="s">
        <v>36949</v>
      </c>
      <c r="M2855" s="62" t="s">
        <v>36950</v>
      </c>
      <c r="N2855" s="62" t="s">
        <v>36951</v>
      </c>
      <c r="O2855" s="62" t="s">
        <v>36952</v>
      </c>
      <c r="P2855" s="62" t="s">
        <v>47504</v>
      </c>
      <c r="Q2855" s="62" t="s">
        <v>36953</v>
      </c>
      <c r="R2855" s="62" t="s">
        <v>36954</v>
      </c>
      <c r="S2855" s="62" t="s">
        <v>36955</v>
      </c>
      <c r="U2855" s="62" t="s">
        <v>36956</v>
      </c>
      <c r="V2855" s="62" t="s">
        <v>47553</v>
      </c>
      <c r="W2855" s="62" t="s">
        <v>36957</v>
      </c>
      <c r="X2855" s="62" t="s">
        <v>36958</v>
      </c>
      <c r="Y2855" s="62" t="s">
        <v>36959</v>
      </c>
      <c r="Z2855" s="62" t="s">
        <v>36960</v>
      </c>
      <c r="AA2855" s="62" t="s">
        <v>47602</v>
      </c>
      <c r="AB2855" s="62" t="s">
        <v>36961</v>
      </c>
      <c r="AC2855" s="62" t="s">
        <v>36962</v>
      </c>
      <c r="AD2855" s="62" t="s">
        <v>36963</v>
      </c>
    </row>
    <row r="2856" spans="1:30" x14ac:dyDescent="0.25">
      <c r="A2856" s="62" t="s">
        <v>109</v>
      </c>
      <c r="C2856" s="62" t="s">
        <v>36964</v>
      </c>
      <c r="F2856" s="62" t="s">
        <v>193</v>
      </c>
      <c r="G2856" s="62" t="s">
        <v>47407</v>
      </c>
      <c r="J2856" s="62" t="s">
        <v>36965</v>
      </c>
      <c r="K2856" s="62" t="s">
        <v>47456</v>
      </c>
      <c r="L2856" s="62" t="s">
        <v>36966</v>
      </c>
      <c r="M2856" s="62" t="s">
        <v>36967</v>
      </c>
      <c r="N2856" s="62" t="s">
        <v>36968</v>
      </c>
      <c r="O2856" s="62" t="s">
        <v>36969</v>
      </c>
      <c r="P2856" s="62" t="s">
        <v>47505</v>
      </c>
      <c r="Q2856" s="62" t="s">
        <v>36970</v>
      </c>
      <c r="R2856" s="62" t="s">
        <v>36971</v>
      </c>
      <c r="S2856" s="62" t="s">
        <v>36972</v>
      </c>
      <c r="U2856" s="62" t="s">
        <v>36973</v>
      </c>
      <c r="V2856" s="62" t="s">
        <v>47554</v>
      </c>
      <c r="W2856" s="62" t="s">
        <v>36974</v>
      </c>
      <c r="X2856" s="62" t="s">
        <v>36975</v>
      </c>
      <c r="Y2856" s="62" t="s">
        <v>36976</v>
      </c>
      <c r="Z2856" s="62" t="s">
        <v>36977</v>
      </c>
      <c r="AA2856" s="62" t="s">
        <v>47603</v>
      </c>
      <c r="AB2856" s="62" t="s">
        <v>36978</v>
      </c>
      <c r="AC2856" s="62" t="s">
        <v>36979</v>
      </c>
      <c r="AD2856" s="62" t="s">
        <v>36980</v>
      </c>
    </row>
    <row r="2857" spans="1:30" x14ac:dyDescent="0.25">
      <c r="A2857" s="62" t="s">
        <v>109</v>
      </c>
      <c r="C2857" s="62" t="s">
        <v>36981</v>
      </c>
      <c r="F2857" s="62" t="s">
        <v>10284</v>
      </c>
      <c r="G2857" s="62" t="s">
        <v>47408</v>
      </c>
      <c r="J2857" s="62" t="s">
        <v>36982</v>
      </c>
      <c r="K2857" s="62" t="s">
        <v>47457</v>
      </c>
      <c r="L2857" s="62" t="s">
        <v>36983</v>
      </c>
      <c r="M2857" s="62" t="s">
        <v>36984</v>
      </c>
      <c r="N2857" s="62" t="s">
        <v>36985</v>
      </c>
      <c r="O2857" s="62" t="s">
        <v>36986</v>
      </c>
      <c r="P2857" s="62" t="s">
        <v>47506</v>
      </c>
      <c r="Q2857" s="62" t="s">
        <v>36987</v>
      </c>
      <c r="R2857" s="62" t="s">
        <v>36988</v>
      </c>
      <c r="S2857" s="62" t="s">
        <v>36989</v>
      </c>
      <c r="U2857" s="62" t="s">
        <v>36990</v>
      </c>
      <c r="V2857" s="62" t="s">
        <v>47555</v>
      </c>
      <c r="W2857" s="62" t="s">
        <v>36991</v>
      </c>
      <c r="X2857" s="62" t="s">
        <v>36992</v>
      </c>
      <c r="Y2857" s="62" t="s">
        <v>36993</v>
      </c>
      <c r="Z2857" s="62" t="s">
        <v>36994</v>
      </c>
      <c r="AA2857" s="62" t="s">
        <v>47604</v>
      </c>
      <c r="AB2857" s="62" t="s">
        <v>36995</v>
      </c>
      <c r="AC2857" s="62" t="s">
        <v>36996</v>
      </c>
      <c r="AD2857" s="62" t="s">
        <v>36997</v>
      </c>
    </row>
    <row r="2858" spans="1:30" x14ac:dyDescent="0.25">
      <c r="A2858" s="62" t="s">
        <v>109</v>
      </c>
      <c r="C2858" s="62" t="s">
        <v>36998</v>
      </c>
      <c r="F2858" s="62" t="s">
        <v>340</v>
      </c>
      <c r="G2858" s="62" t="s">
        <v>47409</v>
      </c>
      <c r="J2858" s="62" t="s">
        <v>36999</v>
      </c>
      <c r="K2858" s="62" t="s">
        <v>47458</v>
      </c>
      <c r="L2858" s="62" t="s">
        <v>37000</v>
      </c>
      <c r="M2858" s="62" t="s">
        <v>37001</v>
      </c>
      <c r="N2858" s="62" t="s">
        <v>37002</v>
      </c>
      <c r="O2858" s="62" t="s">
        <v>37003</v>
      </c>
      <c r="P2858" s="62" t="s">
        <v>47507</v>
      </c>
      <c r="Q2858" s="62" t="s">
        <v>37004</v>
      </c>
      <c r="R2858" s="62" t="s">
        <v>37005</v>
      </c>
      <c r="S2858" s="62" t="s">
        <v>37006</v>
      </c>
      <c r="U2858" s="62" t="s">
        <v>37007</v>
      </c>
      <c r="V2858" s="62" t="s">
        <v>47556</v>
      </c>
      <c r="W2858" s="62" t="s">
        <v>37008</v>
      </c>
      <c r="X2858" s="62" t="s">
        <v>37009</v>
      </c>
      <c r="Y2858" s="62" t="s">
        <v>37010</v>
      </c>
      <c r="Z2858" s="62" t="s">
        <v>37011</v>
      </c>
      <c r="AA2858" s="62" t="s">
        <v>47605</v>
      </c>
      <c r="AB2858" s="62" t="s">
        <v>37012</v>
      </c>
      <c r="AC2858" s="62" t="s">
        <v>37013</v>
      </c>
      <c r="AD2858" s="62" t="s">
        <v>37014</v>
      </c>
    </row>
    <row r="2859" spans="1:30" x14ac:dyDescent="0.25">
      <c r="A2859" s="62" t="s">
        <v>109</v>
      </c>
      <c r="C2859" s="62" t="s">
        <v>37015</v>
      </c>
      <c r="F2859" s="62" t="s">
        <v>10295</v>
      </c>
      <c r="G2859" s="62" t="s">
        <v>47410</v>
      </c>
      <c r="J2859" s="62" t="s">
        <v>37016</v>
      </c>
      <c r="K2859" s="62" t="s">
        <v>47459</v>
      </c>
      <c r="L2859" s="62" t="s">
        <v>37017</v>
      </c>
      <c r="M2859" s="62" t="s">
        <v>37018</v>
      </c>
      <c r="N2859" s="62" t="s">
        <v>37019</v>
      </c>
      <c r="O2859" s="62" t="s">
        <v>37020</v>
      </c>
      <c r="P2859" s="62" t="s">
        <v>47508</v>
      </c>
      <c r="Q2859" s="62" t="s">
        <v>37021</v>
      </c>
      <c r="R2859" s="62" t="s">
        <v>37022</v>
      </c>
      <c r="S2859" s="62" t="s">
        <v>37023</v>
      </c>
      <c r="U2859" s="62" t="s">
        <v>37024</v>
      </c>
      <c r="V2859" s="62" t="s">
        <v>47557</v>
      </c>
      <c r="W2859" s="62" t="s">
        <v>37025</v>
      </c>
      <c r="X2859" s="62" t="s">
        <v>37026</v>
      </c>
      <c r="Y2859" s="62" t="s">
        <v>37027</v>
      </c>
      <c r="Z2859" s="62" t="s">
        <v>37028</v>
      </c>
      <c r="AA2859" s="62" t="s">
        <v>47606</v>
      </c>
      <c r="AB2859" s="62" t="s">
        <v>37029</v>
      </c>
      <c r="AC2859" s="62" t="s">
        <v>37030</v>
      </c>
      <c r="AD2859" s="62" t="s">
        <v>37031</v>
      </c>
    </row>
    <row r="2860" spans="1:30" x14ac:dyDescent="0.25">
      <c r="A2860" s="62" t="s">
        <v>109</v>
      </c>
      <c r="C2860" s="62" t="s">
        <v>37032</v>
      </c>
      <c r="F2860" s="62" t="s">
        <v>985</v>
      </c>
      <c r="G2860" s="62" t="s">
        <v>47411</v>
      </c>
      <c r="J2860" s="62" t="s">
        <v>37033</v>
      </c>
      <c r="K2860" s="62" t="s">
        <v>47460</v>
      </c>
      <c r="L2860" s="62" t="s">
        <v>37034</v>
      </c>
      <c r="M2860" s="62" t="s">
        <v>37035</v>
      </c>
      <c r="N2860" s="62" t="s">
        <v>37036</v>
      </c>
      <c r="O2860" s="62" t="s">
        <v>37037</v>
      </c>
      <c r="P2860" s="62" t="s">
        <v>47509</v>
      </c>
      <c r="Q2860" s="62" t="s">
        <v>37038</v>
      </c>
      <c r="R2860" s="62" t="s">
        <v>37039</v>
      </c>
      <c r="S2860" s="62" t="s">
        <v>37040</v>
      </c>
      <c r="U2860" s="62" t="s">
        <v>37041</v>
      </c>
      <c r="V2860" s="62" t="s">
        <v>47558</v>
      </c>
      <c r="W2860" s="62" t="s">
        <v>37042</v>
      </c>
      <c r="X2860" s="62" t="s">
        <v>37043</v>
      </c>
      <c r="Y2860" s="62" t="s">
        <v>37044</v>
      </c>
      <c r="Z2860" s="62" t="s">
        <v>37045</v>
      </c>
      <c r="AA2860" s="62" t="s">
        <v>47607</v>
      </c>
      <c r="AB2860" s="62" t="s">
        <v>37046</v>
      </c>
      <c r="AC2860" s="62" t="s">
        <v>37047</v>
      </c>
      <c r="AD2860" s="62" t="s">
        <v>37048</v>
      </c>
    </row>
    <row r="2861" spans="1:30" x14ac:dyDescent="0.25">
      <c r="A2861" s="62" t="s">
        <v>109</v>
      </c>
      <c r="C2861" s="62" t="s">
        <v>37049</v>
      </c>
      <c r="F2861" s="62" t="s">
        <v>10314</v>
      </c>
      <c r="G2861" s="62" t="s">
        <v>47412</v>
      </c>
      <c r="J2861" s="62" t="s">
        <v>37050</v>
      </c>
      <c r="K2861" s="62" t="s">
        <v>47461</v>
      </c>
      <c r="L2861" s="62" t="s">
        <v>37051</v>
      </c>
      <c r="M2861" s="62" t="s">
        <v>37052</v>
      </c>
      <c r="N2861" s="62" t="s">
        <v>37053</v>
      </c>
      <c r="O2861" s="62" t="s">
        <v>37054</v>
      </c>
      <c r="P2861" s="62" t="s">
        <v>47510</v>
      </c>
      <c r="Q2861" s="62" t="s">
        <v>37055</v>
      </c>
      <c r="R2861" s="62" t="s">
        <v>37056</v>
      </c>
      <c r="S2861" s="62" t="s">
        <v>37057</v>
      </c>
      <c r="U2861" s="62" t="s">
        <v>37058</v>
      </c>
      <c r="V2861" s="62" t="s">
        <v>47559</v>
      </c>
      <c r="W2861" s="62" t="s">
        <v>37059</v>
      </c>
      <c r="X2861" s="62" t="s">
        <v>37060</v>
      </c>
      <c r="Y2861" s="62" t="s">
        <v>37061</v>
      </c>
      <c r="Z2861" s="62" t="s">
        <v>37062</v>
      </c>
      <c r="AA2861" s="62" t="s">
        <v>47608</v>
      </c>
      <c r="AB2861" s="62" t="s">
        <v>37063</v>
      </c>
      <c r="AC2861" s="62" t="s">
        <v>37064</v>
      </c>
      <c r="AD2861" s="62" t="s">
        <v>37065</v>
      </c>
    </row>
    <row r="2862" spans="1:30" x14ac:dyDescent="0.25">
      <c r="A2862" s="62" t="s">
        <v>109</v>
      </c>
      <c r="C2862" s="62" t="s">
        <v>37066</v>
      </c>
      <c r="F2862" s="62" t="s">
        <v>19275</v>
      </c>
      <c r="G2862" s="62" t="s">
        <v>47413</v>
      </c>
      <c r="J2862" s="62" t="s">
        <v>37067</v>
      </c>
      <c r="K2862" s="62" t="s">
        <v>47462</v>
      </c>
      <c r="L2862" s="62" t="s">
        <v>37068</v>
      </c>
      <c r="M2862" s="62" t="s">
        <v>37069</v>
      </c>
      <c r="N2862" s="62" t="s">
        <v>37070</v>
      </c>
      <c r="O2862" s="62" t="s">
        <v>37071</v>
      </c>
      <c r="P2862" s="62" t="s">
        <v>47511</v>
      </c>
      <c r="Q2862" s="62" t="s">
        <v>37072</v>
      </c>
      <c r="R2862" s="62" t="s">
        <v>37073</v>
      </c>
      <c r="S2862" s="62" t="s">
        <v>37074</v>
      </c>
      <c r="U2862" s="62" t="s">
        <v>37075</v>
      </c>
      <c r="V2862" s="62" t="s">
        <v>47560</v>
      </c>
      <c r="W2862" s="62" t="s">
        <v>37076</v>
      </c>
      <c r="X2862" s="62" t="s">
        <v>37077</v>
      </c>
      <c r="Y2862" s="62" t="s">
        <v>37078</v>
      </c>
      <c r="Z2862" s="62" t="s">
        <v>37079</v>
      </c>
      <c r="AA2862" s="62" t="s">
        <v>47609</v>
      </c>
      <c r="AB2862" s="62" t="s">
        <v>37080</v>
      </c>
      <c r="AC2862" s="62" t="s">
        <v>37081</v>
      </c>
      <c r="AD2862" s="62" t="s">
        <v>37082</v>
      </c>
    </row>
    <row r="2863" spans="1:30" x14ac:dyDescent="0.25">
      <c r="A2863" s="62" t="s">
        <v>109</v>
      </c>
      <c r="C2863" s="62" t="s">
        <v>37083</v>
      </c>
      <c r="F2863" s="62" t="s">
        <v>10332</v>
      </c>
      <c r="G2863" s="62" t="s">
        <v>47414</v>
      </c>
      <c r="J2863" s="62" t="s">
        <v>37084</v>
      </c>
      <c r="K2863" s="62" t="s">
        <v>47463</v>
      </c>
      <c r="L2863" s="62" t="s">
        <v>37085</v>
      </c>
      <c r="M2863" s="62" t="s">
        <v>37086</v>
      </c>
      <c r="N2863" s="62" t="s">
        <v>37087</v>
      </c>
      <c r="O2863" s="62" t="s">
        <v>37088</v>
      </c>
      <c r="P2863" s="62" t="s">
        <v>47512</v>
      </c>
      <c r="Q2863" s="62" t="s">
        <v>37089</v>
      </c>
      <c r="R2863" s="62" t="s">
        <v>37090</v>
      </c>
      <c r="S2863" s="62" t="s">
        <v>37091</v>
      </c>
      <c r="U2863" s="62" t="s">
        <v>37092</v>
      </c>
      <c r="V2863" s="62" t="s">
        <v>47561</v>
      </c>
      <c r="W2863" s="62" t="s">
        <v>37093</v>
      </c>
      <c r="X2863" s="62" t="s">
        <v>37094</v>
      </c>
      <c r="Y2863" s="62" t="s">
        <v>37095</v>
      </c>
      <c r="Z2863" s="62" t="s">
        <v>37096</v>
      </c>
      <c r="AA2863" s="62" t="s">
        <v>47610</v>
      </c>
      <c r="AB2863" s="62" t="s">
        <v>37097</v>
      </c>
      <c r="AC2863" s="62" t="s">
        <v>37098</v>
      </c>
      <c r="AD2863" s="62" t="s">
        <v>37099</v>
      </c>
    </row>
    <row r="2864" spans="1:30" x14ac:dyDescent="0.25">
      <c r="A2864" s="62" t="s">
        <v>109</v>
      </c>
      <c r="C2864" s="62" t="s">
        <v>37100</v>
      </c>
      <c r="F2864" s="62" t="s">
        <v>10368</v>
      </c>
      <c r="G2864" s="62" t="s">
        <v>47415</v>
      </c>
      <c r="J2864" s="62" t="s">
        <v>37101</v>
      </c>
      <c r="K2864" s="62" t="s">
        <v>47464</v>
      </c>
      <c r="L2864" s="62" t="s">
        <v>37102</v>
      </c>
      <c r="M2864" s="62" t="s">
        <v>37103</v>
      </c>
      <c r="N2864" s="62" t="s">
        <v>37104</v>
      </c>
      <c r="O2864" s="62" t="s">
        <v>37105</v>
      </c>
      <c r="P2864" s="62" t="s">
        <v>47513</v>
      </c>
      <c r="Q2864" s="62" t="s">
        <v>37106</v>
      </c>
      <c r="R2864" s="62" t="s">
        <v>37107</v>
      </c>
      <c r="S2864" s="62" t="s">
        <v>37108</v>
      </c>
      <c r="U2864" s="62" t="s">
        <v>37109</v>
      </c>
      <c r="V2864" s="62" t="s">
        <v>47562</v>
      </c>
      <c r="W2864" s="62" t="s">
        <v>37110</v>
      </c>
      <c r="X2864" s="62" t="s">
        <v>37111</v>
      </c>
      <c r="Y2864" s="62" t="s">
        <v>37112</v>
      </c>
      <c r="Z2864" s="62" t="s">
        <v>37113</v>
      </c>
      <c r="AA2864" s="62" t="s">
        <v>47611</v>
      </c>
      <c r="AB2864" s="62" t="s">
        <v>37114</v>
      </c>
      <c r="AC2864" s="62" t="s">
        <v>37115</v>
      </c>
      <c r="AD2864" s="62" t="s">
        <v>37116</v>
      </c>
    </row>
    <row r="2865" spans="1:30" x14ac:dyDescent="0.25">
      <c r="A2865" s="62" t="s">
        <v>109</v>
      </c>
      <c r="C2865" s="62" t="s">
        <v>37117</v>
      </c>
      <c r="F2865" s="62" t="s">
        <v>15012</v>
      </c>
      <c r="G2865" s="62" t="s">
        <v>47416</v>
      </c>
      <c r="J2865" s="62" t="s">
        <v>37118</v>
      </c>
      <c r="K2865" s="62" t="s">
        <v>47465</v>
      </c>
      <c r="L2865" s="62" t="s">
        <v>37119</v>
      </c>
      <c r="M2865" s="62" t="s">
        <v>37120</v>
      </c>
      <c r="N2865" s="62" t="s">
        <v>37121</v>
      </c>
      <c r="O2865" s="62" t="s">
        <v>37122</v>
      </c>
      <c r="P2865" s="62" t="s">
        <v>47514</v>
      </c>
      <c r="Q2865" s="62" t="s">
        <v>37123</v>
      </c>
      <c r="R2865" s="62" t="s">
        <v>37124</v>
      </c>
      <c r="S2865" s="62" t="s">
        <v>37125</v>
      </c>
      <c r="U2865" s="62" t="s">
        <v>37126</v>
      </c>
      <c r="V2865" s="62" t="s">
        <v>47563</v>
      </c>
      <c r="W2865" s="62" t="s">
        <v>37127</v>
      </c>
      <c r="X2865" s="62" t="s">
        <v>37128</v>
      </c>
      <c r="Y2865" s="62" t="s">
        <v>37129</v>
      </c>
      <c r="Z2865" s="62" t="s">
        <v>37130</v>
      </c>
      <c r="AA2865" s="62" t="s">
        <v>47612</v>
      </c>
      <c r="AB2865" s="62" t="s">
        <v>37131</v>
      </c>
      <c r="AC2865" s="62" t="s">
        <v>37132</v>
      </c>
      <c r="AD2865" s="62" t="s">
        <v>37133</v>
      </c>
    </row>
    <row r="2866" spans="1:30" x14ac:dyDescent="0.25">
      <c r="A2866" s="62" t="s">
        <v>109</v>
      </c>
      <c r="C2866" s="62" t="s">
        <v>37134</v>
      </c>
      <c r="F2866" s="62" t="s">
        <v>10404</v>
      </c>
      <c r="G2866" s="62" t="s">
        <v>47417</v>
      </c>
      <c r="J2866" s="62" t="s">
        <v>37135</v>
      </c>
      <c r="K2866" s="62" t="s">
        <v>47466</v>
      </c>
      <c r="L2866" s="62" t="s">
        <v>37136</v>
      </c>
      <c r="M2866" s="62" t="s">
        <v>37137</v>
      </c>
      <c r="N2866" s="62" t="s">
        <v>37138</v>
      </c>
      <c r="O2866" s="62" t="s">
        <v>37139</v>
      </c>
      <c r="P2866" s="62" t="s">
        <v>47515</v>
      </c>
      <c r="Q2866" s="62" t="s">
        <v>37140</v>
      </c>
      <c r="R2866" s="62" t="s">
        <v>37141</v>
      </c>
      <c r="S2866" s="62" t="s">
        <v>37142</v>
      </c>
      <c r="U2866" s="62" t="s">
        <v>37143</v>
      </c>
      <c r="V2866" s="62" t="s">
        <v>47564</v>
      </c>
      <c r="W2866" s="62" t="s">
        <v>37144</v>
      </c>
      <c r="X2866" s="62" t="s">
        <v>37145</v>
      </c>
      <c r="Y2866" s="62" t="s">
        <v>37146</v>
      </c>
      <c r="Z2866" s="62" t="s">
        <v>37147</v>
      </c>
      <c r="AA2866" s="62" t="s">
        <v>47613</v>
      </c>
      <c r="AB2866" s="62" t="s">
        <v>37148</v>
      </c>
      <c r="AC2866" s="62" t="s">
        <v>37149</v>
      </c>
      <c r="AD2866" s="62" t="s">
        <v>37150</v>
      </c>
    </row>
    <row r="2867" spans="1:30" x14ac:dyDescent="0.25">
      <c r="A2867" s="62" t="s">
        <v>109</v>
      </c>
      <c r="C2867" s="62" t="s">
        <v>37151</v>
      </c>
      <c r="F2867" s="62" t="s">
        <v>10422</v>
      </c>
      <c r="G2867" s="62" t="s">
        <v>47418</v>
      </c>
      <c r="J2867" s="62" t="s">
        <v>37152</v>
      </c>
      <c r="K2867" s="62" t="s">
        <v>47467</v>
      </c>
      <c r="L2867" s="62" t="s">
        <v>37153</v>
      </c>
      <c r="M2867" s="62" t="s">
        <v>37154</v>
      </c>
      <c r="N2867" s="62" t="s">
        <v>37155</v>
      </c>
      <c r="O2867" s="62" t="s">
        <v>37156</v>
      </c>
      <c r="P2867" s="62" t="s">
        <v>47516</v>
      </c>
      <c r="Q2867" s="62" t="s">
        <v>37157</v>
      </c>
      <c r="R2867" s="62" t="s">
        <v>37158</v>
      </c>
      <c r="S2867" s="62" t="s">
        <v>37159</v>
      </c>
      <c r="U2867" s="62" t="s">
        <v>37160</v>
      </c>
      <c r="V2867" s="62" t="s">
        <v>47565</v>
      </c>
      <c r="W2867" s="62" t="s">
        <v>37161</v>
      </c>
      <c r="X2867" s="62" t="s">
        <v>37162</v>
      </c>
      <c r="Y2867" s="62" t="s">
        <v>37163</v>
      </c>
      <c r="Z2867" s="62" t="s">
        <v>37164</v>
      </c>
      <c r="AA2867" s="62" t="s">
        <v>47614</v>
      </c>
      <c r="AB2867" s="62" t="s">
        <v>37165</v>
      </c>
      <c r="AC2867" s="62" t="s">
        <v>37166</v>
      </c>
      <c r="AD2867" s="62" t="s">
        <v>37167</v>
      </c>
    </row>
    <row r="2868" spans="1:30" x14ac:dyDescent="0.25">
      <c r="A2868" s="62" t="s">
        <v>109</v>
      </c>
      <c r="C2868" s="62" t="s">
        <v>37168</v>
      </c>
      <c r="F2868" s="62" t="s">
        <v>1002</v>
      </c>
      <c r="G2868" s="62" t="s">
        <v>47419</v>
      </c>
      <c r="J2868" s="62" t="s">
        <v>37169</v>
      </c>
      <c r="K2868" s="62" t="s">
        <v>47468</v>
      </c>
      <c r="L2868" s="62" t="s">
        <v>37170</v>
      </c>
      <c r="M2868" s="62" t="s">
        <v>37171</v>
      </c>
      <c r="N2868" s="62" t="s">
        <v>37172</v>
      </c>
      <c r="O2868" s="62" t="s">
        <v>37173</v>
      </c>
      <c r="P2868" s="62" t="s">
        <v>47517</v>
      </c>
      <c r="Q2868" s="62" t="s">
        <v>37174</v>
      </c>
      <c r="R2868" s="62" t="s">
        <v>37175</v>
      </c>
      <c r="S2868" s="62" t="s">
        <v>37176</v>
      </c>
      <c r="U2868" s="62" t="s">
        <v>37177</v>
      </c>
      <c r="V2868" s="62" t="s">
        <v>47566</v>
      </c>
      <c r="W2868" s="62" t="s">
        <v>37178</v>
      </c>
      <c r="X2868" s="62" t="s">
        <v>37179</v>
      </c>
      <c r="Y2868" s="62" t="s">
        <v>37180</v>
      </c>
      <c r="Z2868" s="62" t="s">
        <v>37181</v>
      </c>
      <c r="AA2868" s="62" t="s">
        <v>47615</v>
      </c>
      <c r="AB2868" s="62" t="s">
        <v>37182</v>
      </c>
      <c r="AC2868" s="62" t="s">
        <v>37183</v>
      </c>
      <c r="AD2868" s="62" t="s">
        <v>37184</v>
      </c>
    </row>
    <row r="2869" spans="1:30" x14ac:dyDescent="0.25">
      <c r="A2869" s="62" t="s">
        <v>109</v>
      </c>
      <c r="C2869" s="62" t="s">
        <v>37185</v>
      </c>
      <c r="F2869" s="62" t="s">
        <v>1064</v>
      </c>
      <c r="G2869" s="62" t="s">
        <v>47420</v>
      </c>
      <c r="J2869" s="62" t="s">
        <v>37186</v>
      </c>
      <c r="K2869" s="62" t="s">
        <v>47469</v>
      </c>
      <c r="L2869" s="62" t="s">
        <v>37187</v>
      </c>
      <c r="M2869" s="62" t="s">
        <v>37188</v>
      </c>
      <c r="N2869" s="62" t="s">
        <v>37189</v>
      </c>
      <c r="O2869" s="62" t="s">
        <v>37190</v>
      </c>
      <c r="P2869" s="62" t="s">
        <v>47518</v>
      </c>
      <c r="Q2869" s="62" t="s">
        <v>37191</v>
      </c>
      <c r="R2869" s="62" t="s">
        <v>37192</v>
      </c>
      <c r="S2869" s="62" t="s">
        <v>37193</v>
      </c>
      <c r="U2869" s="62" t="s">
        <v>37194</v>
      </c>
      <c r="V2869" s="62" t="s">
        <v>47567</v>
      </c>
      <c r="W2869" s="62" t="s">
        <v>37195</v>
      </c>
      <c r="X2869" s="62" t="s">
        <v>37196</v>
      </c>
      <c r="Y2869" s="62" t="s">
        <v>37197</v>
      </c>
      <c r="Z2869" s="62" t="s">
        <v>37198</v>
      </c>
      <c r="AA2869" s="62" t="s">
        <v>47616</v>
      </c>
      <c r="AB2869" s="62" t="s">
        <v>37199</v>
      </c>
      <c r="AC2869" s="62" t="s">
        <v>37200</v>
      </c>
      <c r="AD2869" s="62" t="s">
        <v>37201</v>
      </c>
    </row>
    <row r="2870" spans="1:30" x14ac:dyDescent="0.25">
      <c r="A2870" s="62" t="s">
        <v>109</v>
      </c>
      <c r="C2870" s="62" t="s">
        <v>37202</v>
      </c>
      <c r="F2870" s="62" t="s">
        <v>1073</v>
      </c>
      <c r="G2870" s="62" t="s">
        <v>47421</v>
      </c>
      <c r="J2870" s="62" t="s">
        <v>37203</v>
      </c>
      <c r="K2870" s="62" t="s">
        <v>47470</v>
      </c>
      <c r="L2870" s="62" t="s">
        <v>37204</v>
      </c>
      <c r="M2870" s="62" t="s">
        <v>37205</v>
      </c>
      <c r="N2870" s="62" t="s">
        <v>37206</v>
      </c>
      <c r="O2870" s="62" t="s">
        <v>37207</v>
      </c>
      <c r="P2870" s="62" t="s">
        <v>47519</v>
      </c>
      <c r="Q2870" s="62" t="s">
        <v>37208</v>
      </c>
      <c r="R2870" s="62" t="s">
        <v>37209</v>
      </c>
      <c r="S2870" s="62" t="s">
        <v>37210</v>
      </c>
      <c r="U2870" s="62" t="s">
        <v>37211</v>
      </c>
      <c r="V2870" s="62" t="s">
        <v>47568</v>
      </c>
      <c r="W2870" s="62" t="s">
        <v>37212</v>
      </c>
      <c r="X2870" s="62" t="s">
        <v>37213</v>
      </c>
      <c r="Y2870" s="62" t="s">
        <v>37214</v>
      </c>
      <c r="Z2870" s="62" t="s">
        <v>37215</v>
      </c>
      <c r="AA2870" s="62" t="s">
        <v>47617</v>
      </c>
      <c r="AB2870" s="62" t="s">
        <v>37216</v>
      </c>
      <c r="AC2870" s="62" t="s">
        <v>37217</v>
      </c>
      <c r="AD2870" s="62" t="s">
        <v>37218</v>
      </c>
    </row>
    <row r="2871" spans="1:30" x14ac:dyDescent="0.25">
      <c r="A2871" s="62" t="s">
        <v>109</v>
      </c>
      <c r="C2871" s="62" t="s">
        <v>37219</v>
      </c>
      <c r="F2871" s="62" t="s">
        <v>2337</v>
      </c>
      <c r="G2871" s="62" t="s">
        <v>47422</v>
      </c>
      <c r="J2871" s="62" t="s">
        <v>37220</v>
      </c>
      <c r="K2871" s="62" t="s">
        <v>47471</v>
      </c>
      <c r="L2871" s="62" t="s">
        <v>37221</v>
      </c>
      <c r="M2871" s="62" t="s">
        <v>37222</v>
      </c>
      <c r="N2871" s="62" t="s">
        <v>37223</v>
      </c>
      <c r="O2871" s="62" t="s">
        <v>37224</v>
      </c>
      <c r="P2871" s="62" t="s">
        <v>47520</v>
      </c>
      <c r="Q2871" s="62" t="s">
        <v>37225</v>
      </c>
      <c r="R2871" s="62" t="s">
        <v>37226</v>
      </c>
      <c r="S2871" s="62" t="s">
        <v>37227</v>
      </c>
      <c r="U2871" s="62" t="s">
        <v>37228</v>
      </c>
      <c r="V2871" s="62" t="s">
        <v>47569</v>
      </c>
      <c r="W2871" s="62" t="s">
        <v>37229</v>
      </c>
      <c r="X2871" s="62" t="s">
        <v>37230</v>
      </c>
      <c r="Y2871" s="62" t="s">
        <v>37231</v>
      </c>
      <c r="Z2871" s="62" t="s">
        <v>37232</v>
      </c>
      <c r="AA2871" s="62" t="s">
        <v>47618</v>
      </c>
      <c r="AB2871" s="62" t="s">
        <v>37233</v>
      </c>
      <c r="AC2871" s="62" t="s">
        <v>37234</v>
      </c>
      <c r="AD2871" s="62" t="s">
        <v>37235</v>
      </c>
    </row>
    <row r="2872" spans="1:30" x14ac:dyDescent="0.25">
      <c r="A2872" s="62" t="s">
        <v>109</v>
      </c>
      <c r="C2872" s="62" t="s">
        <v>37236</v>
      </c>
      <c r="F2872" s="62" t="s">
        <v>2372</v>
      </c>
      <c r="G2872" s="62" t="s">
        <v>47423</v>
      </c>
      <c r="J2872" s="62" t="s">
        <v>37237</v>
      </c>
      <c r="K2872" s="62" t="s">
        <v>47472</v>
      </c>
      <c r="L2872" s="62" t="s">
        <v>37238</v>
      </c>
      <c r="M2872" s="62" t="s">
        <v>37239</v>
      </c>
      <c r="N2872" s="62" t="s">
        <v>37240</v>
      </c>
      <c r="O2872" s="62" t="s">
        <v>37241</v>
      </c>
      <c r="P2872" s="62" t="s">
        <v>47521</v>
      </c>
      <c r="Q2872" s="62" t="s">
        <v>37242</v>
      </c>
      <c r="R2872" s="62" t="s">
        <v>37243</v>
      </c>
      <c r="S2872" s="62" t="s">
        <v>37244</v>
      </c>
      <c r="U2872" s="62" t="s">
        <v>37245</v>
      </c>
      <c r="V2872" s="62" t="s">
        <v>47570</v>
      </c>
      <c r="W2872" s="62" t="s">
        <v>37246</v>
      </c>
      <c r="X2872" s="62" t="s">
        <v>37247</v>
      </c>
      <c r="Y2872" s="62" t="s">
        <v>37248</v>
      </c>
      <c r="Z2872" s="62" t="s">
        <v>37249</v>
      </c>
      <c r="AA2872" s="62" t="s">
        <v>47619</v>
      </c>
      <c r="AB2872" s="62" t="s">
        <v>37250</v>
      </c>
      <c r="AC2872" s="62" t="s">
        <v>37251</v>
      </c>
      <c r="AD2872" s="62" t="s">
        <v>37252</v>
      </c>
    </row>
    <row r="2873" spans="1:30" x14ac:dyDescent="0.25">
      <c r="A2873" s="62" t="s">
        <v>109</v>
      </c>
      <c r="C2873" s="62" t="s">
        <v>37253</v>
      </c>
      <c r="F2873" s="62" t="s">
        <v>10559</v>
      </c>
      <c r="G2873" s="62" t="s">
        <v>47424</v>
      </c>
      <c r="J2873" s="62" t="s">
        <v>37254</v>
      </c>
      <c r="K2873" s="62" t="s">
        <v>47473</v>
      </c>
      <c r="L2873" s="62" t="s">
        <v>37255</v>
      </c>
      <c r="M2873" s="62" t="s">
        <v>37256</v>
      </c>
      <c r="N2873" s="62" t="s">
        <v>37257</v>
      </c>
      <c r="O2873" s="62" t="s">
        <v>37258</v>
      </c>
      <c r="P2873" s="62" t="s">
        <v>47522</v>
      </c>
      <c r="Q2873" s="62" t="s">
        <v>37259</v>
      </c>
      <c r="R2873" s="62" t="s">
        <v>37260</v>
      </c>
      <c r="S2873" s="62" t="s">
        <v>37261</v>
      </c>
      <c r="U2873" s="62" t="s">
        <v>37262</v>
      </c>
      <c r="V2873" s="62" t="s">
        <v>47571</v>
      </c>
      <c r="W2873" s="62" t="s">
        <v>37263</v>
      </c>
      <c r="X2873" s="62" t="s">
        <v>37264</v>
      </c>
      <c r="Y2873" s="62" t="s">
        <v>37265</v>
      </c>
      <c r="Z2873" s="62" t="s">
        <v>37266</v>
      </c>
      <c r="AA2873" s="62" t="s">
        <v>47620</v>
      </c>
      <c r="AB2873" s="62" t="s">
        <v>37267</v>
      </c>
      <c r="AC2873" s="62" t="s">
        <v>37268</v>
      </c>
      <c r="AD2873" s="62" t="s">
        <v>37269</v>
      </c>
    </row>
    <row r="2874" spans="1:30" x14ac:dyDescent="0.25">
      <c r="A2874" s="62" t="s">
        <v>109</v>
      </c>
      <c r="C2874" s="62" t="s">
        <v>37270</v>
      </c>
      <c r="F2874" s="62" t="s">
        <v>10577</v>
      </c>
      <c r="G2874" s="62" t="s">
        <v>47425</v>
      </c>
      <c r="J2874" s="62" t="s">
        <v>37271</v>
      </c>
      <c r="K2874" s="62" t="s">
        <v>47474</v>
      </c>
      <c r="L2874" s="62" t="s">
        <v>37272</v>
      </c>
      <c r="M2874" s="62" t="s">
        <v>37273</v>
      </c>
      <c r="N2874" s="62" t="s">
        <v>37274</v>
      </c>
      <c r="O2874" s="62" t="s">
        <v>37275</v>
      </c>
      <c r="P2874" s="62" t="s">
        <v>47523</v>
      </c>
      <c r="Q2874" s="62" t="s">
        <v>37276</v>
      </c>
      <c r="R2874" s="62" t="s">
        <v>37277</v>
      </c>
      <c r="S2874" s="62" t="s">
        <v>37278</v>
      </c>
      <c r="U2874" s="62" t="s">
        <v>37279</v>
      </c>
      <c r="V2874" s="62" t="s">
        <v>47572</v>
      </c>
      <c r="W2874" s="62" t="s">
        <v>37280</v>
      </c>
      <c r="X2874" s="62" t="s">
        <v>37281</v>
      </c>
      <c r="Y2874" s="62" t="s">
        <v>37282</v>
      </c>
      <c r="Z2874" s="62" t="s">
        <v>37283</v>
      </c>
      <c r="AA2874" s="62" t="s">
        <v>47621</v>
      </c>
      <c r="AB2874" s="62" t="s">
        <v>37284</v>
      </c>
      <c r="AC2874" s="62" t="s">
        <v>37285</v>
      </c>
      <c r="AD2874" s="62" t="s">
        <v>37286</v>
      </c>
    </row>
    <row r="2875" spans="1:30" x14ac:dyDescent="0.25">
      <c r="A2875" s="62" t="s">
        <v>109</v>
      </c>
      <c r="C2875" s="62" t="s">
        <v>37287</v>
      </c>
      <c r="F2875" s="62" t="s">
        <v>10703</v>
      </c>
      <c r="G2875" s="62" t="s">
        <v>47426</v>
      </c>
      <c r="J2875" s="62" t="s">
        <v>37288</v>
      </c>
      <c r="K2875" s="62" t="s">
        <v>47475</v>
      </c>
      <c r="L2875" s="62" t="s">
        <v>37289</v>
      </c>
      <c r="M2875" s="62" t="s">
        <v>37290</v>
      </c>
      <c r="N2875" s="62" t="s">
        <v>37291</v>
      </c>
      <c r="O2875" s="62" t="s">
        <v>37292</v>
      </c>
      <c r="P2875" s="62" t="s">
        <v>47524</v>
      </c>
      <c r="Q2875" s="62" t="s">
        <v>37293</v>
      </c>
      <c r="R2875" s="62" t="s">
        <v>37294</v>
      </c>
      <c r="S2875" s="62" t="s">
        <v>37295</v>
      </c>
      <c r="U2875" s="62" t="s">
        <v>37296</v>
      </c>
      <c r="V2875" s="62" t="s">
        <v>47573</v>
      </c>
      <c r="W2875" s="62" t="s">
        <v>37297</v>
      </c>
      <c r="X2875" s="62" t="s">
        <v>37298</v>
      </c>
      <c r="Y2875" s="62" t="s">
        <v>37299</v>
      </c>
      <c r="Z2875" s="62" t="s">
        <v>37300</v>
      </c>
      <c r="AA2875" s="62" t="s">
        <v>47622</v>
      </c>
      <c r="AB2875" s="62" t="s">
        <v>37301</v>
      </c>
      <c r="AC2875" s="62" t="s">
        <v>37302</v>
      </c>
      <c r="AD2875" s="62" t="s">
        <v>37303</v>
      </c>
    </row>
    <row r="2876" spans="1:30" x14ac:dyDescent="0.25">
      <c r="A2876" s="62" t="s">
        <v>109</v>
      </c>
      <c r="C2876" s="62" t="s">
        <v>37304</v>
      </c>
      <c r="F2876" s="62" t="s">
        <v>10721</v>
      </c>
      <c r="G2876" s="62" t="s">
        <v>47427</v>
      </c>
      <c r="J2876" s="62" t="s">
        <v>37305</v>
      </c>
      <c r="K2876" s="62" t="s">
        <v>47476</v>
      </c>
      <c r="L2876" s="62" t="s">
        <v>37306</v>
      </c>
      <c r="M2876" s="62" t="s">
        <v>37307</v>
      </c>
      <c r="N2876" s="62" t="s">
        <v>37308</v>
      </c>
      <c r="O2876" s="62" t="s">
        <v>37309</v>
      </c>
      <c r="P2876" s="62" t="s">
        <v>47525</v>
      </c>
      <c r="Q2876" s="62" t="s">
        <v>37310</v>
      </c>
      <c r="R2876" s="62" t="s">
        <v>37311</v>
      </c>
      <c r="S2876" s="62" t="s">
        <v>37312</v>
      </c>
      <c r="U2876" s="62" t="s">
        <v>37313</v>
      </c>
      <c r="V2876" s="62" t="s">
        <v>47574</v>
      </c>
      <c r="W2876" s="62" t="s">
        <v>37314</v>
      </c>
      <c r="X2876" s="62" t="s">
        <v>37315</v>
      </c>
      <c r="Y2876" s="62" t="s">
        <v>37316</v>
      </c>
      <c r="Z2876" s="62" t="s">
        <v>37317</v>
      </c>
      <c r="AA2876" s="62" t="s">
        <v>47623</v>
      </c>
      <c r="AB2876" s="62" t="s">
        <v>37318</v>
      </c>
      <c r="AC2876" s="62" t="s">
        <v>37319</v>
      </c>
      <c r="AD2876" s="62" t="s">
        <v>37320</v>
      </c>
    </row>
    <row r="2877" spans="1:30" x14ac:dyDescent="0.25">
      <c r="A2877" s="62" t="s">
        <v>109</v>
      </c>
      <c r="C2877" s="62" t="s">
        <v>37321</v>
      </c>
      <c r="F2877" s="62" t="s">
        <v>13184</v>
      </c>
      <c r="G2877" s="62" t="s">
        <v>47428</v>
      </c>
      <c r="J2877" s="62" t="s">
        <v>37322</v>
      </c>
      <c r="K2877" s="62" t="s">
        <v>47477</v>
      </c>
      <c r="L2877" s="62" t="s">
        <v>37323</v>
      </c>
      <c r="M2877" s="62" t="s">
        <v>37324</v>
      </c>
      <c r="N2877" s="62" t="s">
        <v>37325</v>
      </c>
      <c r="O2877" s="62" t="s">
        <v>37326</v>
      </c>
      <c r="P2877" s="62" t="s">
        <v>47526</v>
      </c>
      <c r="Q2877" s="62" t="s">
        <v>37327</v>
      </c>
      <c r="R2877" s="62" t="s">
        <v>37328</v>
      </c>
      <c r="S2877" s="62" t="s">
        <v>37329</v>
      </c>
      <c r="U2877" s="62" t="s">
        <v>37330</v>
      </c>
      <c r="V2877" s="62" t="s">
        <v>47575</v>
      </c>
      <c r="W2877" s="62" t="s">
        <v>37331</v>
      </c>
      <c r="X2877" s="62" t="s">
        <v>37332</v>
      </c>
      <c r="Y2877" s="62" t="s">
        <v>37333</v>
      </c>
      <c r="Z2877" s="62" t="s">
        <v>37334</v>
      </c>
      <c r="AA2877" s="62" t="s">
        <v>47624</v>
      </c>
      <c r="AB2877" s="62" t="s">
        <v>37335</v>
      </c>
      <c r="AC2877" s="62" t="s">
        <v>37336</v>
      </c>
      <c r="AD2877" s="62" t="s">
        <v>37337</v>
      </c>
    </row>
    <row r="2878" spans="1:30" x14ac:dyDescent="0.25">
      <c r="A2878" s="62" t="s">
        <v>109</v>
      </c>
      <c r="C2878" s="62" t="s">
        <v>46049</v>
      </c>
      <c r="F2878" s="62" t="s">
        <v>10757</v>
      </c>
      <c r="G2878" s="62" t="s">
        <v>47429</v>
      </c>
      <c r="J2878" s="62" t="s">
        <v>46050</v>
      </c>
      <c r="K2878" s="62" t="s">
        <v>47478</v>
      </c>
      <c r="L2878" s="62" t="s">
        <v>46051</v>
      </c>
      <c r="M2878" s="62" t="s">
        <v>46052</v>
      </c>
      <c r="N2878" s="62" t="s">
        <v>46053</v>
      </c>
      <c r="O2878" s="62" t="s">
        <v>46054</v>
      </c>
      <c r="P2878" s="62" t="s">
        <v>47527</v>
      </c>
      <c r="Q2878" s="62" t="s">
        <v>46055</v>
      </c>
      <c r="R2878" s="62" t="s">
        <v>46056</v>
      </c>
      <c r="S2878" s="62" t="s">
        <v>46057</v>
      </c>
      <c r="U2878" s="62" t="s">
        <v>46058</v>
      </c>
      <c r="V2878" s="62" t="s">
        <v>47576</v>
      </c>
      <c r="W2878" s="62" t="s">
        <v>46059</v>
      </c>
      <c r="X2878" s="62" t="s">
        <v>46060</v>
      </c>
      <c r="Y2878" s="62" t="s">
        <v>46061</v>
      </c>
      <c r="Z2878" s="62" t="s">
        <v>46062</v>
      </c>
      <c r="AA2878" s="62" t="s">
        <v>47625</v>
      </c>
      <c r="AB2878" s="62" t="s">
        <v>46063</v>
      </c>
      <c r="AC2878" s="62" t="s">
        <v>46064</v>
      </c>
      <c r="AD2878" s="62" t="s">
        <v>46065</v>
      </c>
    </row>
    <row r="2879" spans="1:30" x14ac:dyDescent="0.25">
      <c r="A2879" s="62" t="s">
        <v>109</v>
      </c>
      <c r="C2879" s="62" t="s">
        <v>37338</v>
      </c>
      <c r="F2879" s="62" t="s">
        <v>10775</v>
      </c>
      <c r="G2879" s="62" t="s">
        <v>47430</v>
      </c>
      <c r="J2879" s="62" t="s">
        <v>46066</v>
      </c>
      <c r="K2879" s="62" t="s">
        <v>47479</v>
      </c>
      <c r="L2879" s="62" t="s">
        <v>46067</v>
      </c>
      <c r="M2879" s="62" t="s">
        <v>37339</v>
      </c>
      <c r="N2879" s="62" t="s">
        <v>37340</v>
      </c>
      <c r="O2879" s="62" t="s">
        <v>46068</v>
      </c>
      <c r="P2879" s="62" t="s">
        <v>47528</v>
      </c>
      <c r="Q2879" s="62" t="s">
        <v>46069</v>
      </c>
      <c r="R2879" s="62" t="s">
        <v>37341</v>
      </c>
      <c r="S2879" s="62" t="s">
        <v>37342</v>
      </c>
      <c r="U2879" s="62" t="s">
        <v>46070</v>
      </c>
      <c r="V2879" s="62" t="s">
        <v>47577</v>
      </c>
      <c r="W2879" s="62" t="s">
        <v>46071</v>
      </c>
      <c r="X2879" s="62" t="s">
        <v>37343</v>
      </c>
      <c r="Y2879" s="62" t="s">
        <v>37344</v>
      </c>
      <c r="Z2879" s="62" t="s">
        <v>46072</v>
      </c>
      <c r="AA2879" s="62" t="s">
        <v>47626</v>
      </c>
      <c r="AB2879" s="62" t="s">
        <v>46073</v>
      </c>
      <c r="AC2879" s="62" t="s">
        <v>37345</v>
      </c>
      <c r="AD2879" s="62" t="s">
        <v>37346</v>
      </c>
    </row>
    <row r="2880" spans="1:30" x14ac:dyDescent="0.25">
      <c r="A2880" s="62" t="s">
        <v>109</v>
      </c>
      <c r="C2880" s="62" t="s">
        <v>46074</v>
      </c>
      <c r="F2880" s="62" t="s">
        <v>13202</v>
      </c>
      <c r="G2880" s="62" t="s">
        <v>47431</v>
      </c>
      <c r="J2880" s="62" t="s">
        <v>46075</v>
      </c>
      <c r="K2880" s="62" t="s">
        <v>47480</v>
      </c>
      <c r="L2880" s="62" t="s">
        <v>46076</v>
      </c>
      <c r="M2880" s="62" t="s">
        <v>46077</v>
      </c>
      <c r="N2880" s="62" t="s">
        <v>46078</v>
      </c>
      <c r="O2880" s="62" t="s">
        <v>46079</v>
      </c>
      <c r="P2880" s="62" t="s">
        <v>47529</v>
      </c>
      <c r="Q2880" s="62" t="s">
        <v>46080</v>
      </c>
      <c r="R2880" s="62" t="s">
        <v>46081</v>
      </c>
      <c r="S2880" s="62" t="s">
        <v>46082</v>
      </c>
      <c r="U2880" s="62" t="s">
        <v>46083</v>
      </c>
      <c r="V2880" s="62" t="s">
        <v>47578</v>
      </c>
      <c r="W2880" s="62" t="s">
        <v>46084</v>
      </c>
      <c r="X2880" s="62" t="s">
        <v>46085</v>
      </c>
      <c r="Y2880" s="62" t="s">
        <v>46086</v>
      </c>
      <c r="Z2880" s="62" t="s">
        <v>46087</v>
      </c>
      <c r="AA2880" s="62" t="s">
        <v>47627</v>
      </c>
      <c r="AB2880" s="62" t="s">
        <v>46088</v>
      </c>
      <c r="AC2880" s="62" t="s">
        <v>46089</v>
      </c>
      <c r="AD2880" s="62" t="s">
        <v>46090</v>
      </c>
    </row>
    <row r="2881" spans="1:30" x14ac:dyDescent="0.25">
      <c r="A2881" s="62" t="s">
        <v>109</v>
      </c>
      <c r="C2881" s="62" t="s">
        <v>46091</v>
      </c>
      <c r="F2881" s="62" t="s">
        <v>10847</v>
      </c>
      <c r="G2881" s="62" t="s">
        <v>47432</v>
      </c>
      <c r="J2881" s="62" t="s">
        <v>46092</v>
      </c>
      <c r="K2881" s="62" t="s">
        <v>47481</v>
      </c>
      <c r="L2881" s="62" t="s">
        <v>46093</v>
      </c>
      <c r="M2881" s="62" t="s">
        <v>46094</v>
      </c>
      <c r="N2881" s="62" t="s">
        <v>46095</v>
      </c>
      <c r="O2881" s="62" t="s">
        <v>46096</v>
      </c>
      <c r="P2881" s="62" t="s">
        <v>47530</v>
      </c>
      <c r="Q2881" s="62" t="s">
        <v>46097</v>
      </c>
      <c r="R2881" s="62" t="s">
        <v>46098</v>
      </c>
      <c r="S2881" s="62" t="s">
        <v>46099</v>
      </c>
      <c r="U2881" s="62" t="s">
        <v>46100</v>
      </c>
      <c r="V2881" s="62" t="s">
        <v>47579</v>
      </c>
      <c r="W2881" s="62" t="s">
        <v>46101</v>
      </c>
      <c r="X2881" s="62" t="s">
        <v>46102</v>
      </c>
      <c r="Y2881" s="62" t="s">
        <v>46103</v>
      </c>
      <c r="Z2881" s="62" t="s">
        <v>46104</v>
      </c>
      <c r="AA2881" s="62" t="s">
        <v>47628</v>
      </c>
      <c r="AB2881" s="62" t="s">
        <v>46105</v>
      </c>
      <c r="AC2881" s="62" t="s">
        <v>46106</v>
      </c>
      <c r="AD2881" s="62" t="s">
        <v>46107</v>
      </c>
    </row>
    <row r="2882" spans="1:30" x14ac:dyDescent="0.25">
      <c r="A2882" s="62" t="s">
        <v>109</v>
      </c>
      <c r="C2882" s="62" t="s">
        <v>37348</v>
      </c>
      <c r="F2882" s="62" t="s">
        <v>13238</v>
      </c>
      <c r="G2882" s="62" t="s">
        <v>47433</v>
      </c>
      <c r="J2882" s="62" t="s">
        <v>46108</v>
      </c>
      <c r="K2882" s="62" t="s">
        <v>47482</v>
      </c>
      <c r="L2882" s="62" t="s">
        <v>46109</v>
      </c>
      <c r="M2882" s="62" t="s">
        <v>46110</v>
      </c>
      <c r="N2882" s="62" t="s">
        <v>46111</v>
      </c>
      <c r="O2882" s="62" t="s">
        <v>46112</v>
      </c>
      <c r="P2882" s="62" t="s">
        <v>47531</v>
      </c>
      <c r="Q2882" s="62" t="s">
        <v>46113</v>
      </c>
      <c r="R2882" s="62" t="s">
        <v>46114</v>
      </c>
      <c r="S2882" s="62" t="s">
        <v>46115</v>
      </c>
      <c r="U2882" s="62" t="s">
        <v>46116</v>
      </c>
      <c r="V2882" s="62" t="s">
        <v>47580</v>
      </c>
      <c r="W2882" s="62" t="s">
        <v>46117</v>
      </c>
      <c r="X2882" s="62" t="s">
        <v>46118</v>
      </c>
      <c r="Y2882" s="62" t="s">
        <v>46119</v>
      </c>
      <c r="Z2882" s="62" t="s">
        <v>46120</v>
      </c>
      <c r="AA2882" s="62" t="s">
        <v>47629</v>
      </c>
      <c r="AB2882" s="62" t="s">
        <v>46121</v>
      </c>
      <c r="AC2882" s="62" t="s">
        <v>46122</v>
      </c>
      <c r="AD2882" s="62" t="s">
        <v>46123</v>
      </c>
    </row>
    <row r="2883" spans="1:30" x14ac:dyDescent="0.25">
      <c r="A2883" s="62" t="s">
        <v>109</v>
      </c>
      <c r="C2883" s="62" t="s">
        <v>37349</v>
      </c>
      <c r="F2883" s="62" t="s">
        <v>1152</v>
      </c>
      <c r="G2883" s="62" t="s">
        <v>47434</v>
      </c>
      <c r="J2883" s="62" t="s">
        <v>37350</v>
      </c>
      <c r="K2883" s="62" t="s">
        <v>47483</v>
      </c>
      <c r="L2883" s="62" t="s">
        <v>37351</v>
      </c>
      <c r="M2883" s="62" t="s">
        <v>37352</v>
      </c>
      <c r="N2883" s="62" t="s">
        <v>37353</v>
      </c>
      <c r="O2883" s="62" t="s">
        <v>37354</v>
      </c>
      <c r="P2883" s="62" t="s">
        <v>47532</v>
      </c>
      <c r="Q2883" s="62" t="s">
        <v>37355</v>
      </c>
      <c r="R2883" s="62" t="s">
        <v>37356</v>
      </c>
      <c r="S2883" s="62" t="s">
        <v>37357</v>
      </c>
      <c r="U2883" s="62" t="s">
        <v>37358</v>
      </c>
      <c r="V2883" s="62" t="s">
        <v>47581</v>
      </c>
      <c r="W2883" s="62" t="s">
        <v>37359</v>
      </c>
      <c r="X2883" s="62" t="s">
        <v>37360</v>
      </c>
      <c r="Y2883" s="62" t="s">
        <v>37361</v>
      </c>
      <c r="Z2883" s="62" t="s">
        <v>37362</v>
      </c>
      <c r="AA2883" s="62" t="s">
        <v>47630</v>
      </c>
      <c r="AB2883" s="62" t="s">
        <v>37363</v>
      </c>
      <c r="AC2883" s="62" t="s">
        <v>37364</v>
      </c>
      <c r="AD2883" s="62" t="s">
        <v>37365</v>
      </c>
    </row>
    <row r="2884" spans="1:30" x14ac:dyDescent="0.25">
      <c r="A2884" s="62" t="s">
        <v>109</v>
      </c>
      <c r="C2884" s="62" t="s">
        <v>37366</v>
      </c>
      <c r="F2884" s="62" t="s">
        <v>1249</v>
      </c>
      <c r="G2884" s="62" t="s">
        <v>47435</v>
      </c>
      <c r="J2884" s="62" t="s">
        <v>37367</v>
      </c>
      <c r="K2884" s="62" t="s">
        <v>47484</v>
      </c>
      <c r="L2884" s="62" t="s">
        <v>37368</v>
      </c>
      <c r="M2884" s="62" t="s">
        <v>37369</v>
      </c>
      <c r="N2884" s="62" t="s">
        <v>37370</v>
      </c>
      <c r="O2884" s="62" t="s">
        <v>37371</v>
      </c>
      <c r="P2884" s="62" t="s">
        <v>47533</v>
      </c>
      <c r="Q2884" s="62" t="s">
        <v>37372</v>
      </c>
      <c r="R2884" s="62" t="s">
        <v>37373</v>
      </c>
      <c r="S2884" s="62" t="s">
        <v>37374</v>
      </c>
      <c r="U2884" s="62" t="s">
        <v>37375</v>
      </c>
      <c r="V2884" s="62" t="s">
        <v>47582</v>
      </c>
      <c r="W2884" s="62" t="s">
        <v>37376</v>
      </c>
      <c r="X2884" s="62" t="s">
        <v>37377</v>
      </c>
      <c r="Y2884" s="62" t="s">
        <v>37378</v>
      </c>
      <c r="Z2884" s="62" t="s">
        <v>37379</v>
      </c>
      <c r="AA2884" s="62" t="s">
        <v>47631</v>
      </c>
      <c r="AB2884" s="62" t="s">
        <v>37380</v>
      </c>
      <c r="AC2884" s="62" t="s">
        <v>37381</v>
      </c>
      <c r="AD2884" s="62" t="s">
        <v>37382</v>
      </c>
    </row>
    <row r="2885" spans="1:30" x14ac:dyDescent="0.25">
      <c r="A2885" s="62" t="s">
        <v>109</v>
      </c>
      <c r="C2885" s="62" t="s">
        <v>37383</v>
      </c>
      <c r="F2885" s="62" t="s">
        <v>1286</v>
      </c>
      <c r="G2885" s="62" t="s">
        <v>47436</v>
      </c>
      <c r="J2885" s="62" t="s">
        <v>37384</v>
      </c>
      <c r="K2885" s="62" t="s">
        <v>47485</v>
      </c>
      <c r="L2885" s="62" t="s">
        <v>37385</v>
      </c>
      <c r="M2885" s="62" t="s">
        <v>37386</v>
      </c>
      <c r="N2885" s="62" t="s">
        <v>37387</v>
      </c>
      <c r="O2885" s="62" t="s">
        <v>37388</v>
      </c>
      <c r="P2885" s="62" t="s">
        <v>47534</v>
      </c>
      <c r="Q2885" s="62" t="s">
        <v>37389</v>
      </c>
      <c r="R2885" s="62" t="s">
        <v>37390</v>
      </c>
      <c r="S2885" s="62" t="s">
        <v>37391</v>
      </c>
      <c r="U2885" s="62" t="s">
        <v>37392</v>
      </c>
      <c r="V2885" s="62" t="s">
        <v>47583</v>
      </c>
      <c r="W2885" s="62" t="s">
        <v>37393</v>
      </c>
      <c r="X2885" s="62" t="s">
        <v>37394</v>
      </c>
      <c r="Y2885" s="62" t="s">
        <v>37395</v>
      </c>
      <c r="Z2885" s="62" t="s">
        <v>37396</v>
      </c>
      <c r="AA2885" s="62" t="s">
        <v>47632</v>
      </c>
      <c r="AB2885" s="62" t="s">
        <v>37397</v>
      </c>
      <c r="AC2885" s="62" t="s">
        <v>37398</v>
      </c>
      <c r="AD2885" s="62" t="s">
        <v>37399</v>
      </c>
    </row>
    <row r="2886" spans="1:30" x14ac:dyDescent="0.25">
      <c r="A2886" s="62" t="s">
        <v>109</v>
      </c>
      <c r="C2886" s="62" t="s">
        <v>37400</v>
      </c>
      <c r="F2886" s="62" t="s">
        <v>1289</v>
      </c>
      <c r="G2886" s="62" t="s">
        <v>47437</v>
      </c>
      <c r="J2886" s="62" t="s">
        <v>37401</v>
      </c>
      <c r="K2886" s="62" t="s">
        <v>47486</v>
      </c>
      <c r="L2886" s="62" t="s">
        <v>37402</v>
      </c>
      <c r="M2886" s="62" t="s">
        <v>37403</v>
      </c>
      <c r="N2886" s="62" t="s">
        <v>37404</v>
      </c>
      <c r="O2886" s="62" t="s">
        <v>37405</v>
      </c>
      <c r="P2886" s="62" t="s">
        <v>47535</v>
      </c>
      <c r="Q2886" s="62" t="s">
        <v>37406</v>
      </c>
      <c r="R2886" s="62" t="s">
        <v>37407</v>
      </c>
      <c r="S2886" s="62" t="s">
        <v>37408</v>
      </c>
      <c r="U2886" s="62" t="s">
        <v>37409</v>
      </c>
      <c r="V2886" s="62" t="s">
        <v>47584</v>
      </c>
      <c r="W2886" s="62" t="s">
        <v>37410</v>
      </c>
      <c r="X2886" s="62" t="s">
        <v>37411</v>
      </c>
      <c r="Y2886" s="62" t="s">
        <v>37412</v>
      </c>
      <c r="Z2886" s="62" t="s">
        <v>37413</v>
      </c>
      <c r="AA2886" s="62" t="s">
        <v>47633</v>
      </c>
      <c r="AB2886" s="62" t="s">
        <v>37414</v>
      </c>
      <c r="AC2886" s="62" t="s">
        <v>37415</v>
      </c>
      <c r="AD2886" s="62" t="s">
        <v>37416</v>
      </c>
    </row>
    <row r="2887" spans="1:30" x14ac:dyDescent="0.25">
      <c r="A2887" s="62" t="s">
        <v>109</v>
      </c>
      <c r="C2887" s="62" t="s">
        <v>37417</v>
      </c>
      <c r="F2887" s="62" t="s">
        <v>1797</v>
      </c>
      <c r="G2887" s="62" t="s">
        <v>47438</v>
      </c>
      <c r="J2887" s="62" t="s">
        <v>37418</v>
      </c>
      <c r="K2887" s="62" t="s">
        <v>47487</v>
      </c>
      <c r="L2887" s="62" t="s">
        <v>37419</v>
      </c>
      <c r="M2887" s="62" t="s">
        <v>37420</v>
      </c>
      <c r="N2887" s="62" t="s">
        <v>37421</v>
      </c>
      <c r="O2887" s="62" t="s">
        <v>37422</v>
      </c>
      <c r="P2887" s="62" t="s">
        <v>47536</v>
      </c>
      <c r="Q2887" s="62" t="s">
        <v>37423</v>
      </c>
      <c r="R2887" s="62" t="s">
        <v>37424</v>
      </c>
      <c r="S2887" s="62" t="s">
        <v>37425</v>
      </c>
      <c r="U2887" s="62" t="s">
        <v>37426</v>
      </c>
      <c r="V2887" s="62" t="s">
        <v>47585</v>
      </c>
      <c r="W2887" s="62" t="s">
        <v>37427</v>
      </c>
      <c r="X2887" s="62" t="s">
        <v>37428</v>
      </c>
      <c r="Y2887" s="62" t="s">
        <v>37429</v>
      </c>
      <c r="Z2887" s="62" t="s">
        <v>37430</v>
      </c>
      <c r="AA2887" s="62" t="s">
        <v>47634</v>
      </c>
      <c r="AB2887" s="62" t="s">
        <v>37431</v>
      </c>
      <c r="AC2887" s="62" t="s">
        <v>37432</v>
      </c>
      <c r="AD2887" s="62" t="s">
        <v>37433</v>
      </c>
    </row>
    <row r="2888" spans="1:30" x14ac:dyDescent="0.25">
      <c r="A2888" s="62" t="s">
        <v>109</v>
      </c>
      <c r="C2888" s="62" t="s">
        <v>37434</v>
      </c>
      <c r="F2888" s="62" t="s">
        <v>1299</v>
      </c>
      <c r="G2888" s="62" t="s">
        <v>47439</v>
      </c>
      <c r="J2888" s="62" t="s">
        <v>37435</v>
      </c>
      <c r="K2888" s="62" t="s">
        <v>47488</v>
      </c>
      <c r="L2888" s="62" t="s">
        <v>37436</v>
      </c>
      <c r="M2888" s="62" t="s">
        <v>37437</v>
      </c>
      <c r="N2888" s="62" t="s">
        <v>37438</v>
      </c>
      <c r="O2888" s="62" t="s">
        <v>37439</v>
      </c>
      <c r="P2888" s="62" t="s">
        <v>47537</v>
      </c>
      <c r="Q2888" s="62" t="s">
        <v>37440</v>
      </c>
      <c r="R2888" s="62" t="s">
        <v>37441</v>
      </c>
      <c r="S2888" s="62" t="s">
        <v>37442</v>
      </c>
      <c r="U2888" s="62" t="s">
        <v>37443</v>
      </c>
      <c r="V2888" s="62" t="s">
        <v>47586</v>
      </c>
      <c r="W2888" s="62" t="s">
        <v>37444</v>
      </c>
      <c r="X2888" s="62" t="s">
        <v>37445</v>
      </c>
      <c r="Y2888" s="62" t="s">
        <v>37446</v>
      </c>
      <c r="Z2888" s="62" t="s">
        <v>37447</v>
      </c>
      <c r="AA2888" s="62" t="s">
        <v>47635</v>
      </c>
      <c r="AB2888" s="62" t="s">
        <v>37448</v>
      </c>
      <c r="AC2888" s="62" t="s">
        <v>37449</v>
      </c>
      <c r="AD2888" s="62" t="s">
        <v>37450</v>
      </c>
    </row>
    <row r="2889" spans="1:30" x14ac:dyDescent="0.25">
      <c r="A2889" s="62" t="s">
        <v>109</v>
      </c>
      <c r="C2889" s="62" t="s">
        <v>37451</v>
      </c>
      <c r="F2889" s="62" t="s">
        <v>13249</v>
      </c>
      <c r="G2889" s="62" t="s">
        <v>47440</v>
      </c>
      <c r="J2889" s="62" t="s">
        <v>37452</v>
      </c>
      <c r="K2889" s="62" t="s">
        <v>47489</v>
      </c>
      <c r="L2889" s="62" t="s">
        <v>37453</v>
      </c>
      <c r="M2889" s="62" t="s">
        <v>37454</v>
      </c>
      <c r="N2889" s="62" t="s">
        <v>37455</v>
      </c>
      <c r="O2889" s="62" t="s">
        <v>37456</v>
      </c>
      <c r="P2889" s="62" t="s">
        <v>47538</v>
      </c>
      <c r="Q2889" s="62" t="s">
        <v>37457</v>
      </c>
      <c r="R2889" s="62" t="s">
        <v>37458</v>
      </c>
      <c r="S2889" s="62" t="s">
        <v>37459</v>
      </c>
      <c r="U2889" s="62" t="s">
        <v>37460</v>
      </c>
      <c r="V2889" s="62" t="s">
        <v>47587</v>
      </c>
      <c r="W2889" s="62" t="s">
        <v>37461</v>
      </c>
      <c r="X2889" s="62" t="s">
        <v>37462</v>
      </c>
      <c r="Y2889" s="62" t="s">
        <v>37463</v>
      </c>
      <c r="Z2889" s="62" t="s">
        <v>37464</v>
      </c>
      <c r="AA2889" s="62" t="s">
        <v>47636</v>
      </c>
      <c r="AB2889" s="62" t="s">
        <v>37465</v>
      </c>
      <c r="AC2889" s="62" t="s">
        <v>37466</v>
      </c>
      <c r="AD2889" s="62" t="s">
        <v>37467</v>
      </c>
    </row>
    <row r="2890" spans="1:30" x14ac:dyDescent="0.25">
      <c r="A2890" s="62" t="s">
        <v>109</v>
      </c>
      <c r="C2890" s="62" t="s">
        <v>37468</v>
      </c>
      <c r="F2890" s="62" t="s">
        <v>10925</v>
      </c>
      <c r="G2890" s="62" t="s">
        <v>47441</v>
      </c>
      <c r="J2890" s="62" t="s">
        <v>37469</v>
      </c>
      <c r="K2890" s="62" t="s">
        <v>47490</v>
      </c>
      <c r="L2890" s="62" t="s">
        <v>37470</v>
      </c>
      <c r="M2890" s="62" t="s">
        <v>37471</v>
      </c>
      <c r="N2890" s="62" t="s">
        <v>37472</v>
      </c>
      <c r="O2890" s="62" t="s">
        <v>37473</v>
      </c>
      <c r="P2890" s="62" t="s">
        <v>47539</v>
      </c>
      <c r="Q2890" s="62" t="s">
        <v>37474</v>
      </c>
      <c r="R2890" s="62" t="s">
        <v>37475</v>
      </c>
      <c r="S2890" s="62" t="s">
        <v>37476</v>
      </c>
      <c r="U2890" s="62" t="s">
        <v>37477</v>
      </c>
      <c r="V2890" s="62" t="s">
        <v>47588</v>
      </c>
      <c r="W2890" s="62" t="s">
        <v>37478</v>
      </c>
      <c r="X2890" s="62" t="s">
        <v>37479</v>
      </c>
      <c r="Y2890" s="62" t="s">
        <v>37480</v>
      </c>
      <c r="Z2890" s="62" t="s">
        <v>37481</v>
      </c>
      <c r="AA2890" s="62" t="s">
        <v>47637</v>
      </c>
      <c r="AB2890" s="62" t="s">
        <v>37482</v>
      </c>
      <c r="AC2890" s="62" t="s">
        <v>37483</v>
      </c>
      <c r="AD2890" s="62" t="s">
        <v>37484</v>
      </c>
    </row>
    <row r="2891" spans="1:30" x14ac:dyDescent="0.25">
      <c r="A2891" s="62" t="s">
        <v>109</v>
      </c>
      <c r="C2891" s="62" t="s">
        <v>37485</v>
      </c>
      <c r="F2891" s="62" t="s">
        <v>10927</v>
      </c>
      <c r="G2891" s="62" t="s">
        <v>47442</v>
      </c>
      <c r="J2891" s="62" t="s">
        <v>37486</v>
      </c>
      <c r="K2891" s="62" t="s">
        <v>47491</v>
      </c>
      <c r="L2891" s="62" t="s">
        <v>37487</v>
      </c>
      <c r="M2891" s="62" t="s">
        <v>37488</v>
      </c>
      <c r="N2891" s="62" t="s">
        <v>37489</v>
      </c>
      <c r="O2891" s="62" t="s">
        <v>37490</v>
      </c>
      <c r="P2891" s="62" t="s">
        <v>47540</v>
      </c>
      <c r="Q2891" s="62" t="s">
        <v>37491</v>
      </c>
      <c r="R2891" s="62" t="s">
        <v>37492</v>
      </c>
      <c r="S2891" s="62" t="s">
        <v>37493</v>
      </c>
      <c r="U2891" s="62" t="s">
        <v>37494</v>
      </c>
      <c r="V2891" s="62" t="s">
        <v>47589</v>
      </c>
      <c r="W2891" s="62" t="s">
        <v>37495</v>
      </c>
      <c r="X2891" s="62" t="s">
        <v>37496</v>
      </c>
      <c r="Y2891" s="62" t="s">
        <v>37497</v>
      </c>
      <c r="Z2891" s="62" t="s">
        <v>37498</v>
      </c>
      <c r="AA2891" s="62" t="s">
        <v>47638</v>
      </c>
      <c r="AB2891" s="62" t="s">
        <v>37499</v>
      </c>
      <c r="AC2891" s="62" t="s">
        <v>37500</v>
      </c>
      <c r="AD2891" s="62" t="s">
        <v>37501</v>
      </c>
    </row>
    <row r="2892" spans="1:30" x14ac:dyDescent="0.25">
      <c r="A2892" s="62" t="s">
        <v>109</v>
      </c>
      <c r="C2892" s="62" t="s">
        <v>37502</v>
      </c>
      <c r="F2892" s="62" t="s">
        <v>10929</v>
      </c>
      <c r="G2892" s="62" t="s">
        <v>47443</v>
      </c>
      <c r="J2892" s="62" t="s">
        <v>37503</v>
      </c>
      <c r="K2892" s="62" t="s">
        <v>47492</v>
      </c>
      <c r="L2892" s="62" t="s">
        <v>37504</v>
      </c>
      <c r="M2892" s="62" t="s">
        <v>37505</v>
      </c>
      <c r="N2892" s="62" t="s">
        <v>37506</v>
      </c>
      <c r="O2892" s="62" t="s">
        <v>37507</v>
      </c>
      <c r="P2892" s="62" t="s">
        <v>47541</v>
      </c>
      <c r="Q2892" s="62" t="s">
        <v>37508</v>
      </c>
      <c r="R2892" s="62" t="s">
        <v>37509</v>
      </c>
      <c r="S2892" s="62" t="s">
        <v>37510</v>
      </c>
      <c r="U2892" s="62" t="s">
        <v>37511</v>
      </c>
      <c r="V2892" s="62" t="s">
        <v>47590</v>
      </c>
      <c r="W2892" s="62" t="s">
        <v>37512</v>
      </c>
      <c r="X2892" s="62" t="s">
        <v>37513</v>
      </c>
      <c r="Y2892" s="62" t="s">
        <v>37514</v>
      </c>
      <c r="Z2892" s="62" t="s">
        <v>37515</v>
      </c>
      <c r="AA2892" s="62" t="s">
        <v>47639</v>
      </c>
      <c r="AB2892" s="62" t="s">
        <v>37516</v>
      </c>
      <c r="AC2892" s="62" t="s">
        <v>37517</v>
      </c>
      <c r="AD2892" s="62" t="s">
        <v>37518</v>
      </c>
    </row>
    <row r="2893" spans="1:30" x14ac:dyDescent="0.25">
      <c r="A2893" s="62" t="s">
        <v>109</v>
      </c>
      <c r="C2893" s="62" t="s">
        <v>37519</v>
      </c>
      <c r="F2893" s="62" t="s">
        <v>31025</v>
      </c>
      <c r="G2893" s="62" t="s">
        <v>47444</v>
      </c>
      <c r="J2893" s="62" t="s">
        <v>37520</v>
      </c>
      <c r="K2893" s="62" t="s">
        <v>47493</v>
      </c>
      <c r="L2893" s="62" t="s">
        <v>37521</v>
      </c>
      <c r="M2893" s="62" t="s">
        <v>37522</v>
      </c>
      <c r="N2893" s="62" t="s">
        <v>37523</v>
      </c>
      <c r="O2893" s="62" t="s">
        <v>37524</v>
      </c>
      <c r="P2893" s="62" t="s">
        <v>47542</v>
      </c>
      <c r="Q2893" s="62" t="s">
        <v>37525</v>
      </c>
      <c r="R2893" s="62" t="s">
        <v>37526</v>
      </c>
      <c r="S2893" s="62" t="s">
        <v>37527</v>
      </c>
      <c r="U2893" s="62" t="s">
        <v>37528</v>
      </c>
      <c r="V2893" s="62" t="s">
        <v>47591</v>
      </c>
      <c r="W2893" s="62" t="s">
        <v>37529</v>
      </c>
      <c r="X2893" s="62" t="s">
        <v>37530</v>
      </c>
      <c r="Y2893" s="62" t="s">
        <v>37531</v>
      </c>
      <c r="Z2893" s="62" t="s">
        <v>37532</v>
      </c>
      <c r="AA2893" s="62" t="s">
        <v>47640</v>
      </c>
      <c r="AB2893" s="62" t="s">
        <v>37533</v>
      </c>
      <c r="AC2893" s="62" t="s">
        <v>37534</v>
      </c>
      <c r="AD2893" s="62" t="s">
        <v>37535</v>
      </c>
    </row>
    <row r="2894" spans="1:30" x14ac:dyDescent="0.25">
      <c r="A2894" s="62" t="s">
        <v>109</v>
      </c>
      <c r="C2894" s="62" t="s">
        <v>37536</v>
      </c>
      <c r="F2894" s="62" t="s">
        <v>10958</v>
      </c>
      <c r="G2894" s="62" t="s">
        <v>47445</v>
      </c>
      <c r="J2894" s="62" t="s">
        <v>37537</v>
      </c>
      <c r="K2894" s="62" t="s">
        <v>47494</v>
      </c>
      <c r="L2894" s="62" t="s">
        <v>37538</v>
      </c>
      <c r="M2894" s="62" t="s">
        <v>37539</v>
      </c>
      <c r="N2894" s="62" t="s">
        <v>37540</v>
      </c>
      <c r="O2894" s="62" t="s">
        <v>37541</v>
      </c>
      <c r="P2894" s="62" t="s">
        <v>47543</v>
      </c>
      <c r="Q2894" s="62" t="s">
        <v>37542</v>
      </c>
      <c r="R2894" s="62" t="s">
        <v>37543</v>
      </c>
      <c r="S2894" s="62" t="s">
        <v>37544</v>
      </c>
      <c r="U2894" s="62" t="s">
        <v>37545</v>
      </c>
      <c r="V2894" s="62" t="s">
        <v>47592</v>
      </c>
      <c r="W2894" s="62" t="s">
        <v>37546</v>
      </c>
      <c r="X2894" s="62" t="s">
        <v>37547</v>
      </c>
      <c r="Y2894" s="62" t="s">
        <v>37548</v>
      </c>
      <c r="Z2894" s="62" t="s">
        <v>37549</v>
      </c>
      <c r="AA2894" s="62" t="s">
        <v>47641</v>
      </c>
      <c r="AB2894" s="62" t="s">
        <v>37550</v>
      </c>
      <c r="AC2894" s="62" t="s">
        <v>37551</v>
      </c>
      <c r="AD2894" s="62" t="s">
        <v>37552</v>
      </c>
    </row>
    <row r="2895" spans="1:30" x14ac:dyDescent="0.25">
      <c r="A2895" s="62" t="s">
        <v>109</v>
      </c>
      <c r="C2895" s="62" t="s">
        <v>37553</v>
      </c>
      <c r="F2895" s="62" t="s">
        <v>27351</v>
      </c>
      <c r="G2895" s="62" t="s">
        <v>47446</v>
      </c>
      <c r="J2895" s="62" t="s">
        <v>37554</v>
      </c>
      <c r="K2895" s="62" t="s">
        <v>47495</v>
      </c>
      <c r="L2895" s="62" t="s">
        <v>37555</v>
      </c>
      <c r="M2895" s="62" t="s">
        <v>37556</v>
      </c>
      <c r="N2895" s="62" t="s">
        <v>37557</v>
      </c>
      <c r="O2895" s="62" t="s">
        <v>37558</v>
      </c>
      <c r="P2895" s="62" t="s">
        <v>47544</v>
      </c>
      <c r="Q2895" s="62" t="s">
        <v>37559</v>
      </c>
      <c r="R2895" s="62" t="s">
        <v>37560</v>
      </c>
      <c r="S2895" s="62" t="s">
        <v>37561</v>
      </c>
      <c r="U2895" s="62" t="s">
        <v>37562</v>
      </c>
      <c r="V2895" s="62" t="s">
        <v>47593</v>
      </c>
      <c r="W2895" s="62" t="s">
        <v>37563</v>
      </c>
      <c r="X2895" s="62" t="s">
        <v>37564</v>
      </c>
      <c r="Y2895" s="62" t="s">
        <v>37565</v>
      </c>
      <c r="Z2895" s="62" t="s">
        <v>37566</v>
      </c>
      <c r="AA2895" s="62" t="s">
        <v>47642</v>
      </c>
      <c r="AB2895" s="62" t="s">
        <v>37567</v>
      </c>
      <c r="AC2895" s="62" t="s">
        <v>37568</v>
      </c>
      <c r="AD2895" s="62" t="s">
        <v>37569</v>
      </c>
    </row>
    <row r="2896" spans="1:30" x14ac:dyDescent="0.25">
      <c r="A2896" s="62" t="s">
        <v>109</v>
      </c>
      <c r="C2896" s="62" t="s">
        <v>37570</v>
      </c>
      <c r="F2896" s="62" t="s">
        <v>24015</v>
      </c>
      <c r="G2896" s="62" t="s">
        <v>47447</v>
      </c>
      <c r="J2896" s="62" t="s">
        <v>37571</v>
      </c>
      <c r="K2896" s="62" t="s">
        <v>47496</v>
      </c>
      <c r="L2896" s="62" t="s">
        <v>37572</v>
      </c>
      <c r="M2896" s="62" t="s">
        <v>37573</v>
      </c>
      <c r="N2896" s="62" t="s">
        <v>37574</v>
      </c>
      <c r="O2896" s="62" t="s">
        <v>37575</v>
      </c>
      <c r="P2896" s="62" t="s">
        <v>47545</v>
      </c>
      <c r="Q2896" s="62" t="s">
        <v>37576</v>
      </c>
      <c r="R2896" s="62" t="s">
        <v>37577</v>
      </c>
      <c r="S2896" s="62" t="s">
        <v>37578</v>
      </c>
      <c r="U2896" s="62" t="s">
        <v>37579</v>
      </c>
      <c r="V2896" s="62" t="s">
        <v>47594</v>
      </c>
      <c r="W2896" s="62" t="s">
        <v>37580</v>
      </c>
      <c r="X2896" s="62" t="s">
        <v>37581</v>
      </c>
      <c r="Y2896" s="62" t="s">
        <v>37582</v>
      </c>
      <c r="Z2896" s="62" t="s">
        <v>37583</v>
      </c>
      <c r="AA2896" s="62" t="s">
        <v>47643</v>
      </c>
      <c r="AB2896" s="62" t="s">
        <v>37584</v>
      </c>
      <c r="AC2896" s="62" t="s">
        <v>37585</v>
      </c>
      <c r="AD2896" s="62" t="s">
        <v>37586</v>
      </c>
    </row>
    <row r="2897" spans="1:30" x14ac:dyDescent="0.25">
      <c r="A2897" s="62" t="s">
        <v>109</v>
      </c>
      <c r="C2897" s="62" t="s">
        <v>37587</v>
      </c>
      <c r="F2897" s="62" t="s">
        <v>22289</v>
      </c>
      <c r="G2897" s="62" t="s">
        <v>47448</v>
      </c>
      <c r="J2897" s="62" t="s">
        <v>37588</v>
      </c>
      <c r="K2897" s="62" t="s">
        <v>47497</v>
      </c>
      <c r="L2897" s="62" t="s">
        <v>37589</v>
      </c>
      <c r="M2897" s="62" t="s">
        <v>37590</v>
      </c>
      <c r="N2897" s="62" t="s">
        <v>37591</v>
      </c>
      <c r="O2897" s="62" t="s">
        <v>37592</v>
      </c>
      <c r="P2897" s="62" t="s">
        <v>47546</v>
      </c>
      <c r="Q2897" s="62" t="s">
        <v>37593</v>
      </c>
      <c r="R2897" s="62" t="s">
        <v>37594</v>
      </c>
      <c r="S2897" s="62" t="s">
        <v>37595</v>
      </c>
      <c r="U2897" s="62" t="s">
        <v>37596</v>
      </c>
      <c r="V2897" s="62" t="s">
        <v>47595</v>
      </c>
      <c r="W2897" s="62" t="s">
        <v>37597</v>
      </c>
      <c r="X2897" s="62" t="s">
        <v>37598</v>
      </c>
      <c r="Y2897" s="62" t="s">
        <v>37599</v>
      </c>
      <c r="Z2897" s="62" t="s">
        <v>37600</v>
      </c>
      <c r="AA2897" s="62" t="s">
        <v>47644</v>
      </c>
      <c r="AB2897" s="62" t="s">
        <v>37601</v>
      </c>
      <c r="AC2897" s="62" t="s">
        <v>37602</v>
      </c>
      <c r="AD2897" s="62" t="s">
        <v>37603</v>
      </c>
    </row>
    <row r="2898" spans="1:30" x14ac:dyDescent="0.25">
      <c r="A2898" s="62" t="s">
        <v>109</v>
      </c>
      <c r="C2898" s="62" t="s">
        <v>37604</v>
      </c>
      <c r="F2898" s="62" t="s">
        <v>22307</v>
      </c>
      <c r="G2898" s="62" t="s">
        <v>47449</v>
      </c>
      <c r="J2898" s="62" t="s">
        <v>37605</v>
      </c>
      <c r="K2898" s="62" t="s">
        <v>47498</v>
      </c>
      <c r="L2898" s="62" t="s">
        <v>37606</v>
      </c>
      <c r="M2898" s="62" t="s">
        <v>37607</v>
      </c>
      <c r="N2898" s="62" t="s">
        <v>37608</v>
      </c>
      <c r="O2898" s="62" t="s">
        <v>37609</v>
      </c>
      <c r="P2898" s="62" t="s">
        <v>47547</v>
      </c>
      <c r="Q2898" s="62" t="s">
        <v>37610</v>
      </c>
      <c r="R2898" s="62" t="s">
        <v>37611</v>
      </c>
      <c r="S2898" s="62" t="s">
        <v>37612</v>
      </c>
      <c r="U2898" s="62" t="s">
        <v>37613</v>
      </c>
      <c r="V2898" s="62" t="s">
        <v>47596</v>
      </c>
      <c r="W2898" s="62" t="s">
        <v>37614</v>
      </c>
      <c r="X2898" s="62" t="s">
        <v>37615</v>
      </c>
      <c r="Y2898" s="62" t="s">
        <v>37616</v>
      </c>
      <c r="Z2898" s="62" t="s">
        <v>37617</v>
      </c>
      <c r="AA2898" s="62" t="s">
        <v>47645</v>
      </c>
      <c r="AB2898" s="62" t="s">
        <v>37618</v>
      </c>
      <c r="AC2898" s="62" t="s">
        <v>37619</v>
      </c>
      <c r="AD2898" s="62" t="s">
        <v>37620</v>
      </c>
    </row>
    <row r="2899" spans="1:30" x14ac:dyDescent="0.25">
      <c r="A2899" s="62" t="s">
        <v>109</v>
      </c>
      <c r="C2899" s="62" t="s">
        <v>37621</v>
      </c>
      <c r="F2899" s="62" t="s">
        <v>22377</v>
      </c>
      <c r="G2899" s="62" t="s">
        <v>47450</v>
      </c>
      <c r="J2899" s="62" t="s">
        <v>37622</v>
      </c>
      <c r="K2899" s="62" t="s">
        <v>47499</v>
      </c>
      <c r="L2899" s="62" t="s">
        <v>37623</v>
      </c>
      <c r="M2899" s="62" t="s">
        <v>37624</v>
      </c>
      <c r="N2899" s="62" t="s">
        <v>37625</v>
      </c>
      <c r="O2899" s="62" t="s">
        <v>37626</v>
      </c>
      <c r="P2899" s="62" t="s">
        <v>47548</v>
      </c>
      <c r="Q2899" s="62" t="s">
        <v>37627</v>
      </c>
      <c r="R2899" s="62" t="s">
        <v>37628</v>
      </c>
      <c r="S2899" s="62" t="s">
        <v>37629</v>
      </c>
      <c r="U2899" s="62" t="s">
        <v>37630</v>
      </c>
      <c r="V2899" s="62" t="s">
        <v>47597</v>
      </c>
      <c r="W2899" s="62" t="s">
        <v>37631</v>
      </c>
      <c r="X2899" s="62" t="s">
        <v>37632</v>
      </c>
      <c r="Y2899" s="62" t="s">
        <v>37633</v>
      </c>
      <c r="Z2899" s="62" t="s">
        <v>37634</v>
      </c>
      <c r="AA2899" s="62" t="s">
        <v>47646</v>
      </c>
      <c r="AB2899" s="62" t="s">
        <v>37635</v>
      </c>
      <c r="AC2899" s="62" t="s">
        <v>37636</v>
      </c>
      <c r="AD2899" s="62" t="s">
        <v>37637</v>
      </c>
    </row>
    <row r="2900" spans="1:30" x14ac:dyDescent="0.25">
      <c r="A2900" s="62" t="s">
        <v>109</v>
      </c>
      <c r="C2900" s="62" t="s">
        <v>36896</v>
      </c>
    </row>
    <row r="2901" spans="1:30" x14ac:dyDescent="0.25">
      <c r="A2901" s="62" t="s">
        <v>109</v>
      </c>
      <c r="C2901" s="62" t="s">
        <v>37638</v>
      </c>
      <c r="G2901" s="62" t="s">
        <v>46124</v>
      </c>
      <c r="J2901" s="62" t="s">
        <v>46125</v>
      </c>
      <c r="K2901" s="62" t="s">
        <v>46126</v>
      </c>
      <c r="L2901" s="62" t="s">
        <v>46127</v>
      </c>
      <c r="M2901" s="62" t="s">
        <v>37639</v>
      </c>
      <c r="N2901" s="62" t="s">
        <v>37640</v>
      </c>
      <c r="O2901" s="62" t="s">
        <v>46128</v>
      </c>
      <c r="P2901" s="62" t="s">
        <v>46129</v>
      </c>
      <c r="Q2901" s="62" t="s">
        <v>46130</v>
      </c>
      <c r="R2901" s="62" t="s">
        <v>37641</v>
      </c>
      <c r="S2901" s="62" t="s">
        <v>37642</v>
      </c>
      <c r="U2901" s="62" t="s">
        <v>46131</v>
      </c>
      <c r="V2901" s="62" t="s">
        <v>46132</v>
      </c>
      <c r="W2901" s="62" t="s">
        <v>46133</v>
      </c>
      <c r="X2901" s="62" t="s">
        <v>37643</v>
      </c>
      <c r="Y2901" s="62" t="s">
        <v>37644</v>
      </c>
      <c r="Z2901" s="62" t="s">
        <v>46134</v>
      </c>
      <c r="AA2901" s="62" t="s">
        <v>46135</v>
      </c>
      <c r="AB2901" s="62" t="s">
        <v>46136</v>
      </c>
      <c r="AC2901" s="62" t="s">
        <v>37645</v>
      </c>
      <c r="AD2901" s="62" t="s">
        <v>37646</v>
      </c>
    </row>
    <row r="2902" spans="1:30" x14ac:dyDescent="0.25">
      <c r="A2902" s="62" t="s">
        <v>109</v>
      </c>
    </row>
    <row r="2903" spans="1:30" x14ac:dyDescent="0.25">
      <c r="A2903" s="62" t="s">
        <v>109</v>
      </c>
      <c r="C2903" s="62" t="s">
        <v>46137</v>
      </c>
      <c r="E2903" s="62" t="s">
        <v>39697</v>
      </c>
      <c r="G2903" s="62" t="s">
        <v>46138</v>
      </c>
    </row>
    <row r="2904" spans="1:30" x14ac:dyDescent="0.25">
      <c r="A2904" s="62" t="s">
        <v>109</v>
      </c>
      <c r="C2904" s="62" t="s">
        <v>37647</v>
      </c>
    </row>
    <row r="2905" spans="1:30" x14ac:dyDescent="0.25">
      <c r="A2905" s="62" t="s">
        <v>109</v>
      </c>
      <c r="C2905" s="62" t="s">
        <v>37648</v>
      </c>
      <c r="F2905" s="62" t="s">
        <v>46139</v>
      </c>
      <c r="G2905" s="62" t="s">
        <v>47387</v>
      </c>
      <c r="J2905" s="62" t="s">
        <v>37649</v>
      </c>
      <c r="K2905" s="62" t="s">
        <v>47390</v>
      </c>
      <c r="L2905" s="62" t="s">
        <v>37650</v>
      </c>
      <c r="M2905" s="62" t="s">
        <v>37651</v>
      </c>
      <c r="N2905" s="62" t="s">
        <v>37652</v>
      </c>
      <c r="O2905" s="62" t="s">
        <v>37653</v>
      </c>
      <c r="P2905" s="62" t="s">
        <v>47393</v>
      </c>
      <c r="Q2905" s="62" t="s">
        <v>37654</v>
      </c>
      <c r="R2905" s="62" t="s">
        <v>37655</v>
      </c>
      <c r="S2905" s="62" t="s">
        <v>37656</v>
      </c>
      <c r="U2905" s="62" t="s">
        <v>37657</v>
      </c>
      <c r="V2905" s="62" t="s">
        <v>47396</v>
      </c>
      <c r="W2905" s="62" t="s">
        <v>37658</v>
      </c>
      <c r="X2905" s="62" t="s">
        <v>37659</v>
      </c>
      <c r="Y2905" s="62" t="s">
        <v>37660</v>
      </c>
      <c r="Z2905" s="62" t="s">
        <v>37661</v>
      </c>
      <c r="AA2905" s="62" t="s">
        <v>47399</v>
      </c>
      <c r="AB2905" s="62" t="s">
        <v>37662</v>
      </c>
      <c r="AC2905" s="62" t="s">
        <v>37663</v>
      </c>
      <c r="AD2905" s="62" t="s">
        <v>37664</v>
      </c>
    </row>
    <row r="2906" spans="1:30" x14ac:dyDescent="0.25">
      <c r="A2906" s="62" t="s">
        <v>109</v>
      </c>
      <c r="C2906" s="62" t="s">
        <v>37665</v>
      </c>
      <c r="F2906" s="62" t="s">
        <v>1090</v>
      </c>
      <c r="G2906" s="62" t="s">
        <v>47388</v>
      </c>
      <c r="J2906" s="62" t="s">
        <v>37666</v>
      </c>
      <c r="K2906" s="62" t="s">
        <v>47391</v>
      </c>
      <c r="L2906" s="62" t="s">
        <v>37667</v>
      </c>
      <c r="M2906" s="62" t="s">
        <v>37668</v>
      </c>
      <c r="N2906" s="62" t="s">
        <v>37669</v>
      </c>
      <c r="O2906" s="62" t="s">
        <v>37670</v>
      </c>
      <c r="P2906" s="62" t="s">
        <v>47394</v>
      </c>
      <c r="Q2906" s="62" t="s">
        <v>37671</v>
      </c>
      <c r="R2906" s="62" t="s">
        <v>37672</v>
      </c>
      <c r="S2906" s="62" t="s">
        <v>37673</v>
      </c>
      <c r="U2906" s="62" t="s">
        <v>37674</v>
      </c>
      <c r="V2906" s="62" t="s">
        <v>47397</v>
      </c>
      <c r="W2906" s="62" t="s">
        <v>37675</v>
      </c>
      <c r="X2906" s="62" t="s">
        <v>37676</v>
      </c>
      <c r="Y2906" s="62" t="s">
        <v>37677</v>
      </c>
      <c r="Z2906" s="62" t="s">
        <v>37678</v>
      </c>
      <c r="AA2906" s="62" t="s">
        <v>47400</v>
      </c>
      <c r="AB2906" s="62" t="s">
        <v>37679</v>
      </c>
      <c r="AC2906" s="62" t="s">
        <v>37680</v>
      </c>
      <c r="AD2906" s="62" t="s">
        <v>37681</v>
      </c>
    </row>
    <row r="2907" spans="1:30" x14ac:dyDescent="0.25">
      <c r="A2907" s="62" t="s">
        <v>109</v>
      </c>
      <c r="C2907" s="62" t="s">
        <v>37682</v>
      </c>
      <c r="F2907" s="62" t="s">
        <v>22217</v>
      </c>
      <c r="G2907" s="62" t="s">
        <v>47389</v>
      </c>
      <c r="J2907" s="62" t="s">
        <v>37683</v>
      </c>
      <c r="K2907" s="62" t="s">
        <v>47392</v>
      </c>
      <c r="L2907" s="62" t="s">
        <v>37684</v>
      </c>
      <c r="M2907" s="62" t="s">
        <v>37685</v>
      </c>
      <c r="N2907" s="62" t="s">
        <v>37686</v>
      </c>
      <c r="O2907" s="62" t="s">
        <v>37687</v>
      </c>
      <c r="P2907" s="62" t="s">
        <v>47395</v>
      </c>
      <c r="Q2907" s="62" t="s">
        <v>37688</v>
      </c>
      <c r="R2907" s="62" t="s">
        <v>37689</v>
      </c>
      <c r="S2907" s="62" t="s">
        <v>37690</v>
      </c>
      <c r="U2907" s="62" t="s">
        <v>37691</v>
      </c>
      <c r="V2907" s="62" t="s">
        <v>47398</v>
      </c>
      <c r="W2907" s="62" t="s">
        <v>37692</v>
      </c>
      <c r="X2907" s="62" t="s">
        <v>37693</v>
      </c>
      <c r="Y2907" s="62" t="s">
        <v>37694</v>
      </c>
      <c r="Z2907" s="62" t="s">
        <v>37695</v>
      </c>
      <c r="AA2907" s="62" t="s">
        <v>47401</v>
      </c>
      <c r="AB2907" s="62" t="s">
        <v>37696</v>
      </c>
      <c r="AC2907" s="62" t="s">
        <v>37697</v>
      </c>
      <c r="AD2907" s="62" t="s">
        <v>37698</v>
      </c>
    </row>
    <row r="2908" spans="1:30" x14ac:dyDescent="0.25">
      <c r="A2908" s="62" t="s">
        <v>109</v>
      </c>
      <c r="C2908" s="62" t="s">
        <v>37665</v>
      </c>
    </row>
    <row r="2909" spans="1:30" x14ac:dyDescent="0.25">
      <c r="A2909" s="62" t="s">
        <v>109</v>
      </c>
      <c r="C2909" s="62" t="s">
        <v>37699</v>
      </c>
      <c r="G2909" s="62" t="s">
        <v>46140</v>
      </c>
      <c r="J2909" s="62" t="s">
        <v>46141</v>
      </c>
      <c r="K2909" s="62" t="s">
        <v>46142</v>
      </c>
      <c r="L2909" s="62" t="s">
        <v>46143</v>
      </c>
      <c r="M2909" s="62" t="s">
        <v>37700</v>
      </c>
      <c r="N2909" s="62" t="s">
        <v>37701</v>
      </c>
      <c r="O2909" s="62" t="s">
        <v>46144</v>
      </c>
      <c r="P2909" s="62" t="s">
        <v>46145</v>
      </c>
      <c r="Q2909" s="62" t="s">
        <v>46146</v>
      </c>
      <c r="R2909" s="62" t="s">
        <v>37702</v>
      </c>
      <c r="S2909" s="62" t="s">
        <v>37703</v>
      </c>
      <c r="U2909" s="62" t="s">
        <v>46147</v>
      </c>
      <c r="V2909" s="62" t="s">
        <v>46148</v>
      </c>
      <c r="W2909" s="62" t="s">
        <v>46149</v>
      </c>
      <c r="X2909" s="62" t="s">
        <v>37704</v>
      </c>
      <c r="Y2909" s="62" t="s">
        <v>37705</v>
      </c>
      <c r="Z2909" s="62" t="s">
        <v>46150</v>
      </c>
      <c r="AA2909" s="62" t="s">
        <v>46151</v>
      </c>
      <c r="AB2909" s="62" t="s">
        <v>46152</v>
      </c>
      <c r="AC2909" s="62" t="s">
        <v>37706</v>
      </c>
      <c r="AD2909" s="62" t="s">
        <v>37707</v>
      </c>
    </row>
    <row r="2910" spans="1:30" x14ac:dyDescent="0.25">
      <c r="A2910" s="62" t="s">
        <v>109</v>
      </c>
    </row>
    <row r="2911" spans="1:30" x14ac:dyDescent="0.25">
      <c r="A2911" s="62" t="s">
        <v>109</v>
      </c>
      <c r="C2911" s="62" t="s">
        <v>46153</v>
      </c>
      <c r="E2911" s="62" t="s">
        <v>39698</v>
      </c>
      <c r="G2911" s="62" t="s">
        <v>46154</v>
      </c>
    </row>
    <row r="2912" spans="1:30" x14ac:dyDescent="0.25">
      <c r="A2912" s="62" t="s">
        <v>109</v>
      </c>
      <c r="C2912" s="62" t="s">
        <v>37708</v>
      </c>
    </row>
    <row r="2913" spans="1:30" x14ac:dyDescent="0.25">
      <c r="A2913" s="62" t="s">
        <v>109</v>
      </c>
      <c r="C2913" s="62" t="s">
        <v>37709</v>
      </c>
      <c r="F2913" s="62" t="s">
        <v>46155</v>
      </c>
      <c r="G2913" s="62" t="s">
        <v>47157</v>
      </c>
      <c r="J2913" s="62" t="s">
        <v>37710</v>
      </c>
      <c r="K2913" s="62" t="s">
        <v>47203</v>
      </c>
      <c r="L2913" s="62" t="s">
        <v>37711</v>
      </c>
      <c r="M2913" s="62" t="s">
        <v>37712</v>
      </c>
      <c r="N2913" s="62" t="s">
        <v>37713</v>
      </c>
      <c r="O2913" s="62" t="s">
        <v>37714</v>
      </c>
      <c r="P2913" s="62" t="s">
        <v>47249</v>
      </c>
      <c r="Q2913" s="62" t="s">
        <v>37715</v>
      </c>
      <c r="R2913" s="62" t="s">
        <v>37716</v>
      </c>
      <c r="S2913" s="62" t="s">
        <v>37717</v>
      </c>
      <c r="U2913" s="62" t="s">
        <v>37718</v>
      </c>
      <c r="V2913" s="62" t="s">
        <v>47295</v>
      </c>
      <c r="W2913" s="62" t="s">
        <v>37719</v>
      </c>
      <c r="X2913" s="62" t="s">
        <v>37720</v>
      </c>
      <c r="Y2913" s="62" t="s">
        <v>37721</v>
      </c>
      <c r="Z2913" s="62" t="s">
        <v>37722</v>
      </c>
      <c r="AA2913" s="62" t="s">
        <v>47341</v>
      </c>
      <c r="AB2913" s="62" t="s">
        <v>37723</v>
      </c>
      <c r="AC2913" s="62" t="s">
        <v>37724</v>
      </c>
      <c r="AD2913" s="62" t="s">
        <v>37725</v>
      </c>
    </row>
    <row r="2914" spans="1:30" x14ac:dyDescent="0.25">
      <c r="A2914" s="62" t="s">
        <v>109</v>
      </c>
      <c r="C2914" s="62" t="s">
        <v>37726</v>
      </c>
      <c r="F2914" s="62" t="s">
        <v>925</v>
      </c>
      <c r="G2914" s="62" t="s">
        <v>47158</v>
      </c>
      <c r="J2914" s="62" t="s">
        <v>37727</v>
      </c>
      <c r="K2914" s="62" t="s">
        <v>47204</v>
      </c>
      <c r="L2914" s="62" t="s">
        <v>37728</v>
      </c>
      <c r="M2914" s="62" t="s">
        <v>37729</v>
      </c>
      <c r="N2914" s="62" t="s">
        <v>37730</v>
      </c>
      <c r="O2914" s="62" t="s">
        <v>37731</v>
      </c>
      <c r="P2914" s="62" t="s">
        <v>47250</v>
      </c>
      <c r="Q2914" s="62" t="s">
        <v>37732</v>
      </c>
      <c r="R2914" s="62" t="s">
        <v>37733</v>
      </c>
      <c r="S2914" s="62" t="s">
        <v>37734</v>
      </c>
      <c r="U2914" s="62" t="s">
        <v>37735</v>
      </c>
      <c r="V2914" s="62" t="s">
        <v>47296</v>
      </c>
      <c r="W2914" s="62" t="s">
        <v>37736</v>
      </c>
      <c r="X2914" s="62" t="s">
        <v>37737</v>
      </c>
      <c r="Y2914" s="62" t="s">
        <v>37738</v>
      </c>
      <c r="Z2914" s="62" t="s">
        <v>37739</v>
      </c>
      <c r="AA2914" s="62" t="s">
        <v>47342</v>
      </c>
      <c r="AB2914" s="62" t="s">
        <v>37740</v>
      </c>
      <c r="AC2914" s="62" t="s">
        <v>37741</v>
      </c>
      <c r="AD2914" s="62" t="s">
        <v>37742</v>
      </c>
    </row>
    <row r="2915" spans="1:30" x14ac:dyDescent="0.25">
      <c r="A2915" s="62" t="s">
        <v>109</v>
      </c>
      <c r="C2915" s="62" t="s">
        <v>37743</v>
      </c>
      <c r="F2915" s="62" t="s">
        <v>943</v>
      </c>
      <c r="G2915" s="62" t="s">
        <v>47159</v>
      </c>
      <c r="J2915" s="62" t="s">
        <v>37744</v>
      </c>
      <c r="K2915" s="62" t="s">
        <v>47205</v>
      </c>
      <c r="L2915" s="62" t="s">
        <v>37745</v>
      </c>
      <c r="M2915" s="62" t="s">
        <v>37746</v>
      </c>
      <c r="N2915" s="62" t="s">
        <v>37747</v>
      </c>
      <c r="O2915" s="62" t="s">
        <v>37748</v>
      </c>
      <c r="P2915" s="62" t="s">
        <v>47251</v>
      </c>
      <c r="Q2915" s="62" t="s">
        <v>37749</v>
      </c>
      <c r="R2915" s="62" t="s">
        <v>37750</v>
      </c>
      <c r="S2915" s="62" t="s">
        <v>37751</v>
      </c>
      <c r="U2915" s="62" t="s">
        <v>37752</v>
      </c>
      <c r="V2915" s="62" t="s">
        <v>47297</v>
      </c>
      <c r="W2915" s="62" t="s">
        <v>37753</v>
      </c>
      <c r="X2915" s="62" t="s">
        <v>37754</v>
      </c>
      <c r="Y2915" s="62" t="s">
        <v>37755</v>
      </c>
      <c r="Z2915" s="62" t="s">
        <v>37756</v>
      </c>
      <c r="AA2915" s="62" t="s">
        <v>47343</v>
      </c>
      <c r="AB2915" s="62" t="s">
        <v>37757</v>
      </c>
      <c r="AC2915" s="62" t="s">
        <v>37758</v>
      </c>
      <c r="AD2915" s="62" t="s">
        <v>37759</v>
      </c>
    </row>
    <row r="2916" spans="1:30" x14ac:dyDescent="0.25">
      <c r="A2916" s="62" t="s">
        <v>109</v>
      </c>
      <c r="C2916" s="62" t="s">
        <v>37760</v>
      </c>
      <c r="F2916" s="62" t="s">
        <v>254</v>
      </c>
      <c r="G2916" s="62" t="s">
        <v>47160</v>
      </c>
      <c r="J2916" s="62" t="s">
        <v>37761</v>
      </c>
      <c r="K2916" s="62" t="s">
        <v>47206</v>
      </c>
      <c r="L2916" s="62" t="s">
        <v>37762</v>
      </c>
      <c r="M2916" s="62" t="s">
        <v>37763</v>
      </c>
      <c r="N2916" s="62" t="s">
        <v>37764</v>
      </c>
      <c r="O2916" s="62" t="s">
        <v>37765</v>
      </c>
      <c r="P2916" s="62" t="s">
        <v>47252</v>
      </c>
      <c r="Q2916" s="62" t="s">
        <v>37766</v>
      </c>
      <c r="R2916" s="62" t="s">
        <v>37767</v>
      </c>
      <c r="S2916" s="62" t="s">
        <v>37768</v>
      </c>
      <c r="U2916" s="62" t="s">
        <v>37769</v>
      </c>
      <c r="V2916" s="62" t="s">
        <v>47298</v>
      </c>
      <c r="W2916" s="62" t="s">
        <v>37770</v>
      </c>
      <c r="X2916" s="62" t="s">
        <v>37771</v>
      </c>
      <c r="Y2916" s="62" t="s">
        <v>37772</v>
      </c>
      <c r="Z2916" s="62" t="s">
        <v>37773</v>
      </c>
      <c r="AA2916" s="62" t="s">
        <v>47344</v>
      </c>
      <c r="AB2916" s="62" t="s">
        <v>37774</v>
      </c>
      <c r="AC2916" s="62" t="s">
        <v>37775</v>
      </c>
      <c r="AD2916" s="62" t="s">
        <v>37776</v>
      </c>
    </row>
    <row r="2917" spans="1:30" x14ac:dyDescent="0.25">
      <c r="A2917" s="62" t="s">
        <v>109</v>
      </c>
      <c r="C2917" s="62" t="s">
        <v>37777</v>
      </c>
      <c r="F2917" s="62" t="s">
        <v>2297</v>
      </c>
      <c r="G2917" s="62" t="s">
        <v>47161</v>
      </c>
      <c r="J2917" s="62" t="s">
        <v>37778</v>
      </c>
      <c r="K2917" s="62" t="s">
        <v>47207</v>
      </c>
      <c r="L2917" s="62" t="s">
        <v>37779</v>
      </c>
      <c r="M2917" s="62" t="s">
        <v>37780</v>
      </c>
      <c r="N2917" s="62" t="s">
        <v>37781</v>
      </c>
      <c r="O2917" s="62" t="s">
        <v>37782</v>
      </c>
      <c r="P2917" s="62" t="s">
        <v>47253</v>
      </c>
      <c r="Q2917" s="62" t="s">
        <v>37783</v>
      </c>
      <c r="R2917" s="62" t="s">
        <v>37784</v>
      </c>
      <c r="S2917" s="62" t="s">
        <v>37785</v>
      </c>
      <c r="U2917" s="62" t="s">
        <v>37786</v>
      </c>
      <c r="V2917" s="62" t="s">
        <v>47299</v>
      </c>
      <c r="W2917" s="62" t="s">
        <v>37787</v>
      </c>
      <c r="X2917" s="62" t="s">
        <v>37788</v>
      </c>
      <c r="Y2917" s="62" t="s">
        <v>37789</v>
      </c>
      <c r="Z2917" s="62" t="s">
        <v>37790</v>
      </c>
      <c r="AA2917" s="62" t="s">
        <v>47345</v>
      </c>
      <c r="AB2917" s="62" t="s">
        <v>37791</v>
      </c>
      <c r="AC2917" s="62" t="s">
        <v>37792</v>
      </c>
      <c r="AD2917" s="62" t="s">
        <v>37793</v>
      </c>
    </row>
    <row r="2918" spans="1:30" x14ac:dyDescent="0.25">
      <c r="A2918" s="62" t="s">
        <v>109</v>
      </c>
      <c r="C2918" s="62" t="s">
        <v>37794</v>
      </c>
      <c r="F2918" s="62" t="s">
        <v>10282</v>
      </c>
      <c r="G2918" s="62" t="s">
        <v>47162</v>
      </c>
      <c r="J2918" s="62" t="s">
        <v>37795</v>
      </c>
      <c r="K2918" s="62" t="s">
        <v>47208</v>
      </c>
      <c r="L2918" s="62" t="s">
        <v>37796</v>
      </c>
      <c r="M2918" s="62" t="s">
        <v>37797</v>
      </c>
      <c r="N2918" s="62" t="s">
        <v>37798</v>
      </c>
      <c r="O2918" s="62" t="s">
        <v>37799</v>
      </c>
      <c r="P2918" s="62" t="s">
        <v>47254</v>
      </c>
      <c r="Q2918" s="62" t="s">
        <v>37800</v>
      </c>
      <c r="R2918" s="62" t="s">
        <v>37801</v>
      </c>
      <c r="S2918" s="62" t="s">
        <v>37802</v>
      </c>
      <c r="U2918" s="62" t="s">
        <v>37803</v>
      </c>
      <c r="V2918" s="62" t="s">
        <v>47300</v>
      </c>
      <c r="W2918" s="62" t="s">
        <v>37804</v>
      </c>
      <c r="X2918" s="62" t="s">
        <v>37805</v>
      </c>
      <c r="Y2918" s="62" t="s">
        <v>37806</v>
      </c>
      <c r="Z2918" s="62" t="s">
        <v>37807</v>
      </c>
      <c r="AA2918" s="62" t="s">
        <v>47346</v>
      </c>
      <c r="AB2918" s="62" t="s">
        <v>37808</v>
      </c>
      <c r="AC2918" s="62" t="s">
        <v>37809</v>
      </c>
      <c r="AD2918" s="62" t="s">
        <v>37810</v>
      </c>
    </row>
    <row r="2919" spans="1:30" x14ac:dyDescent="0.25">
      <c r="A2919" s="62" t="s">
        <v>109</v>
      </c>
      <c r="C2919" s="62" t="s">
        <v>46156</v>
      </c>
      <c r="F2919" s="62" t="s">
        <v>12860</v>
      </c>
      <c r="G2919" s="62" t="s">
        <v>47163</v>
      </c>
      <c r="J2919" s="62" t="s">
        <v>46157</v>
      </c>
      <c r="K2919" s="62" t="s">
        <v>47209</v>
      </c>
      <c r="L2919" s="62" t="s">
        <v>46158</v>
      </c>
      <c r="M2919" s="62" t="s">
        <v>46159</v>
      </c>
      <c r="N2919" s="62" t="s">
        <v>46160</v>
      </c>
      <c r="O2919" s="62" t="s">
        <v>46161</v>
      </c>
      <c r="P2919" s="62" t="s">
        <v>47255</v>
      </c>
      <c r="Q2919" s="62" t="s">
        <v>46162</v>
      </c>
      <c r="R2919" s="62" t="s">
        <v>46163</v>
      </c>
      <c r="S2919" s="62" t="s">
        <v>46164</v>
      </c>
      <c r="U2919" s="62" t="s">
        <v>46165</v>
      </c>
      <c r="V2919" s="62" t="s">
        <v>47301</v>
      </c>
      <c r="W2919" s="62" t="s">
        <v>46166</v>
      </c>
      <c r="X2919" s="62" t="s">
        <v>46167</v>
      </c>
      <c r="Y2919" s="62" t="s">
        <v>46168</v>
      </c>
      <c r="Z2919" s="62" t="s">
        <v>46169</v>
      </c>
      <c r="AA2919" s="62" t="s">
        <v>47347</v>
      </c>
      <c r="AB2919" s="62" t="s">
        <v>46170</v>
      </c>
      <c r="AC2919" s="62" t="s">
        <v>46171</v>
      </c>
      <c r="AD2919" s="62" t="s">
        <v>46172</v>
      </c>
    </row>
    <row r="2920" spans="1:30" x14ac:dyDescent="0.25">
      <c r="A2920" s="62" t="s">
        <v>109</v>
      </c>
      <c r="C2920" s="62" t="s">
        <v>37811</v>
      </c>
      <c r="F2920" s="62" t="s">
        <v>10293</v>
      </c>
      <c r="G2920" s="62" t="s">
        <v>47164</v>
      </c>
      <c r="J2920" s="62" t="s">
        <v>46173</v>
      </c>
      <c r="K2920" s="62" t="s">
        <v>47210</v>
      </c>
      <c r="L2920" s="62" t="s">
        <v>46174</v>
      </c>
      <c r="M2920" s="62" t="s">
        <v>37812</v>
      </c>
      <c r="N2920" s="62" t="s">
        <v>37813</v>
      </c>
      <c r="O2920" s="62" t="s">
        <v>46175</v>
      </c>
      <c r="P2920" s="62" t="s">
        <v>47256</v>
      </c>
      <c r="Q2920" s="62" t="s">
        <v>46176</v>
      </c>
      <c r="R2920" s="62" t="s">
        <v>37814</v>
      </c>
      <c r="S2920" s="62" t="s">
        <v>37815</v>
      </c>
      <c r="U2920" s="62" t="s">
        <v>46177</v>
      </c>
      <c r="V2920" s="62" t="s">
        <v>47302</v>
      </c>
      <c r="W2920" s="62" t="s">
        <v>46178</v>
      </c>
      <c r="X2920" s="62" t="s">
        <v>37816</v>
      </c>
      <c r="Y2920" s="62" t="s">
        <v>37817</v>
      </c>
      <c r="Z2920" s="62" t="s">
        <v>46179</v>
      </c>
      <c r="AA2920" s="62" t="s">
        <v>47348</v>
      </c>
      <c r="AB2920" s="62" t="s">
        <v>46180</v>
      </c>
      <c r="AC2920" s="62" t="s">
        <v>37818</v>
      </c>
      <c r="AD2920" s="62" t="s">
        <v>37819</v>
      </c>
    </row>
    <row r="2921" spans="1:30" x14ac:dyDescent="0.25">
      <c r="A2921" s="62" t="s">
        <v>109</v>
      </c>
      <c r="C2921" s="62" t="s">
        <v>46181</v>
      </c>
      <c r="F2921" s="62" t="s">
        <v>10314</v>
      </c>
      <c r="G2921" s="62" t="s">
        <v>47165</v>
      </c>
      <c r="J2921" s="62" t="s">
        <v>46182</v>
      </c>
      <c r="K2921" s="62" t="s">
        <v>47211</v>
      </c>
      <c r="L2921" s="62" t="s">
        <v>46183</v>
      </c>
      <c r="M2921" s="62" t="s">
        <v>46184</v>
      </c>
      <c r="N2921" s="62" t="s">
        <v>46185</v>
      </c>
      <c r="O2921" s="62" t="s">
        <v>46186</v>
      </c>
      <c r="P2921" s="62" t="s">
        <v>47257</v>
      </c>
      <c r="Q2921" s="62" t="s">
        <v>46187</v>
      </c>
      <c r="R2921" s="62" t="s">
        <v>46188</v>
      </c>
      <c r="S2921" s="62" t="s">
        <v>46189</v>
      </c>
      <c r="U2921" s="62" t="s">
        <v>46190</v>
      </c>
      <c r="V2921" s="62" t="s">
        <v>47303</v>
      </c>
      <c r="W2921" s="62" t="s">
        <v>46191</v>
      </c>
      <c r="X2921" s="62" t="s">
        <v>46192</v>
      </c>
      <c r="Y2921" s="62" t="s">
        <v>46193</v>
      </c>
      <c r="Z2921" s="62" t="s">
        <v>46194</v>
      </c>
      <c r="AA2921" s="62" t="s">
        <v>47349</v>
      </c>
      <c r="AB2921" s="62" t="s">
        <v>46195</v>
      </c>
      <c r="AC2921" s="62" t="s">
        <v>46196</v>
      </c>
      <c r="AD2921" s="62" t="s">
        <v>46197</v>
      </c>
    </row>
    <row r="2922" spans="1:30" x14ac:dyDescent="0.25">
      <c r="A2922" s="62" t="s">
        <v>109</v>
      </c>
      <c r="C2922" s="62" t="s">
        <v>46198</v>
      </c>
      <c r="F2922" s="62" t="s">
        <v>19275</v>
      </c>
      <c r="G2922" s="62" t="s">
        <v>47166</v>
      </c>
      <c r="J2922" s="62" t="s">
        <v>46199</v>
      </c>
      <c r="K2922" s="62" t="s">
        <v>47212</v>
      </c>
      <c r="L2922" s="62" t="s">
        <v>46200</v>
      </c>
      <c r="M2922" s="62" t="s">
        <v>46201</v>
      </c>
      <c r="N2922" s="62" t="s">
        <v>46202</v>
      </c>
      <c r="O2922" s="62" t="s">
        <v>46203</v>
      </c>
      <c r="P2922" s="62" t="s">
        <v>47258</v>
      </c>
      <c r="Q2922" s="62" t="s">
        <v>46204</v>
      </c>
      <c r="R2922" s="62" t="s">
        <v>46205</v>
      </c>
      <c r="S2922" s="62" t="s">
        <v>46206</v>
      </c>
      <c r="U2922" s="62" t="s">
        <v>46207</v>
      </c>
      <c r="V2922" s="62" t="s">
        <v>47304</v>
      </c>
      <c r="W2922" s="62" t="s">
        <v>46208</v>
      </c>
      <c r="X2922" s="62" t="s">
        <v>46209</v>
      </c>
      <c r="Y2922" s="62" t="s">
        <v>46210</v>
      </c>
      <c r="Z2922" s="62" t="s">
        <v>46211</v>
      </c>
      <c r="AA2922" s="62" t="s">
        <v>47350</v>
      </c>
      <c r="AB2922" s="62" t="s">
        <v>46212</v>
      </c>
      <c r="AC2922" s="62" t="s">
        <v>46213</v>
      </c>
      <c r="AD2922" s="62" t="s">
        <v>46214</v>
      </c>
    </row>
    <row r="2923" spans="1:30" x14ac:dyDescent="0.25">
      <c r="A2923" s="62" t="s">
        <v>109</v>
      </c>
      <c r="C2923" s="62" t="s">
        <v>37821</v>
      </c>
      <c r="F2923" s="62" t="s">
        <v>10350</v>
      </c>
      <c r="G2923" s="62" t="s">
        <v>47167</v>
      </c>
      <c r="J2923" s="62" t="s">
        <v>46215</v>
      </c>
      <c r="K2923" s="62" t="s">
        <v>47213</v>
      </c>
      <c r="L2923" s="62" t="s">
        <v>46216</v>
      </c>
      <c r="M2923" s="62" t="s">
        <v>46217</v>
      </c>
      <c r="N2923" s="62" t="s">
        <v>46218</v>
      </c>
      <c r="O2923" s="62" t="s">
        <v>46219</v>
      </c>
      <c r="P2923" s="62" t="s">
        <v>47259</v>
      </c>
      <c r="Q2923" s="62" t="s">
        <v>46220</v>
      </c>
      <c r="R2923" s="62" t="s">
        <v>46221</v>
      </c>
      <c r="S2923" s="62" t="s">
        <v>46222</v>
      </c>
      <c r="U2923" s="62" t="s">
        <v>46223</v>
      </c>
      <c r="V2923" s="62" t="s">
        <v>47305</v>
      </c>
      <c r="W2923" s="62" t="s">
        <v>46224</v>
      </c>
      <c r="X2923" s="62" t="s">
        <v>46225</v>
      </c>
      <c r="Y2923" s="62" t="s">
        <v>46226</v>
      </c>
      <c r="Z2923" s="62" t="s">
        <v>46227</v>
      </c>
      <c r="AA2923" s="62" t="s">
        <v>47351</v>
      </c>
      <c r="AB2923" s="62" t="s">
        <v>46228</v>
      </c>
      <c r="AC2923" s="62" t="s">
        <v>46229</v>
      </c>
      <c r="AD2923" s="62" t="s">
        <v>46230</v>
      </c>
    </row>
    <row r="2924" spans="1:30" x14ac:dyDescent="0.25">
      <c r="A2924" s="62" t="s">
        <v>109</v>
      </c>
      <c r="C2924" s="62" t="s">
        <v>37822</v>
      </c>
      <c r="F2924" s="62" t="s">
        <v>10368</v>
      </c>
      <c r="G2924" s="62" t="s">
        <v>47168</v>
      </c>
      <c r="J2924" s="62" t="s">
        <v>37823</v>
      </c>
      <c r="K2924" s="62" t="s">
        <v>47214</v>
      </c>
      <c r="L2924" s="62" t="s">
        <v>37824</v>
      </c>
      <c r="M2924" s="62" t="s">
        <v>37825</v>
      </c>
      <c r="N2924" s="62" t="s">
        <v>37826</v>
      </c>
      <c r="O2924" s="62" t="s">
        <v>37827</v>
      </c>
      <c r="P2924" s="62" t="s">
        <v>47260</v>
      </c>
      <c r="Q2924" s="62" t="s">
        <v>37828</v>
      </c>
      <c r="R2924" s="62" t="s">
        <v>37829</v>
      </c>
      <c r="S2924" s="62" t="s">
        <v>37830</v>
      </c>
      <c r="U2924" s="62" t="s">
        <v>37831</v>
      </c>
      <c r="V2924" s="62" t="s">
        <v>47306</v>
      </c>
      <c r="W2924" s="62" t="s">
        <v>37832</v>
      </c>
      <c r="X2924" s="62" t="s">
        <v>37833</v>
      </c>
      <c r="Y2924" s="62" t="s">
        <v>37834</v>
      </c>
      <c r="Z2924" s="62" t="s">
        <v>37835</v>
      </c>
      <c r="AA2924" s="62" t="s">
        <v>47352</v>
      </c>
      <c r="AB2924" s="62" t="s">
        <v>37836</v>
      </c>
      <c r="AC2924" s="62" t="s">
        <v>37837</v>
      </c>
      <c r="AD2924" s="62" t="s">
        <v>37838</v>
      </c>
    </row>
    <row r="2925" spans="1:30" x14ac:dyDescent="0.25">
      <c r="A2925" s="62" t="s">
        <v>109</v>
      </c>
      <c r="C2925" s="62" t="s">
        <v>37839</v>
      </c>
      <c r="F2925" s="62" t="s">
        <v>10386</v>
      </c>
      <c r="G2925" s="62" t="s">
        <v>47169</v>
      </c>
      <c r="J2925" s="62" t="s">
        <v>37840</v>
      </c>
      <c r="K2925" s="62" t="s">
        <v>47215</v>
      </c>
      <c r="L2925" s="62" t="s">
        <v>37841</v>
      </c>
      <c r="M2925" s="62" t="s">
        <v>37842</v>
      </c>
      <c r="N2925" s="62" t="s">
        <v>37843</v>
      </c>
      <c r="O2925" s="62" t="s">
        <v>37844</v>
      </c>
      <c r="P2925" s="62" t="s">
        <v>47261</v>
      </c>
      <c r="Q2925" s="62" t="s">
        <v>37845</v>
      </c>
      <c r="R2925" s="62" t="s">
        <v>37846</v>
      </c>
      <c r="S2925" s="62" t="s">
        <v>37847</v>
      </c>
      <c r="U2925" s="62" t="s">
        <v>37848</v>
      </c>
      <c r="V2925" s="62" t="s">
        <v>47307</v>
      </c>
      <c r="W2925" s="62" t="s">
        <v>37849</v>
      </c>
      <c r="X2925" s="62" t="s">
        <v>37850</v>
      </c>
      <c r="Y2925" s="62" t="s">
        <v>37851</v>
      </c>
      <c r="Z2925" s="62" t="s">
        <v>37852</v>
      </c>
      <c r="AA2925" s="62" t="s">
        <v>47353</v>
      </c>
      <c r="AB2925" s="62" t="s">
        <v>37853</v>
      </c>
      <c r="AC2925" s="62" t="s">
        <v>37854</v>
      </c>
      <c r="AD2925" s="62" t="s">
        <v>37855</v>
      </c>
    </row>
    <row r="2926" spans="1:30" x14ac:dyDescent="0.25">
      <c r="A2926" s="62" t="s">
        <v>109</v>
      </c>
      <c r="C2926" s="62" t="s">
        <v>37856</v>
      </c>
      <c r="F2926" s="62" t="s">
        <v>1002</v>
      </c>
      <c r="G2926" s="62" t="s">
        <v>47170</v>
      </c>
      <c r="J2926" s="62" t="s">
        <v>37857</v>
      </c>
      <c r="K2926" s="62" t="s">
        <v>47216</v>
      </c>
      <c r="L2926" s="62" t="s">
        <v>37858</v>
      </c>
      <c r="M2926" s="62" t="s">
        <v>37859</v>
      </c>
      <c r="N2926" s="62" t="s">
        <v>37860</v>
      </c>
      <c r="O2926" s="62" t="s">
        <v>37861</v>
      </c>
      <c r="P2926" s="62" t="s">
        <v>47262</v>
      </c>
      <c r="Q2926" s="62" t="s">
        <v>37862</v>
      </c>
      <c r="R2926" s="62" t="s">
        <v>37863</v>
      </c>
      <c r="S2926" s="62" t="s">
        <v>37864</v>
      </c>
      <c r="U2926" s="62" t="s">
        <v>37865</v>
      </c>
      <c r="V2926" s="62" t="s">
        <v>47308</v>
      </c>
      <c r="W2926" s="62" t="s">
        <v>37866</v>
      </c>
      <c r="X2926" s="62" t="s">
        <v>37867</v>
      </c>
      <c r="Y2926" s="62" t="s">
        <v>37868</v>
      </c>
      <c r="Z2926" s="62" t="s">
        <v>37869</v>
      </c>
      <c r="AA2926" s="62" t="s">
        <v>47354</v>
      </c>
      <c r="AB2926" s="62" t="s">
        <v>37870</v>
      </c>
      <c r="AC2926" s="62" t="s">
        <v>37871</v>
      </c>
      <c r="AD2926" s="62" t="s">
        <v>37872</v>
      </c>
    </row>
    <row r="2927" spans="1:30" x14ac:dyDescent="0.25">
      <c r="A2927" s="62" t="s">
        <v>109</v>
      </c>
      <c r="C2927" s="62" t="s">
        <v>37873</v>
      </c>
      <c r="F2927" s="62" t="s">
        <v>1012</v>
      </c>
      <c r="G2927" s="62" t="s">
        <v>47171</v>
      </c>
      <c r="J2927" s="62" t="s">
        <v>37874</v>
      </c>
      <c r="K2927" s="62" t="s">
        <v>47217</v>
      </c>
      <c r="L2927" s="62" t="s">
        <v>37875</v>
      </c>
      <c r="M2927" s="62" t="s">
        <v>37876</v>
      </c>
      <c r="N2927" s="62" t="s">
        <v>37877</v>
      </c>
      <c r="O2927" s="62" t="s">
        <v>37878</v>
      </c>
      <c r="P2927" s="62" t="s">
        <v>47263</v>
      </c>
      <c r="Q2927" s="62" t="s">
        <v>37879</v>
      </c>
      <c r="R2927" s="62" t="s">
        <v>37880</v>
      </c>
      <c r="S2927" s="62" t="s">
        <v>37881</v>
      </c>
      <c r="U2927" s="62" t="s">
        <v>37882</v>
      </c>
      <c r="V2927" s="62" t="s">
        <v>47309</v>
      </c>
      <c r="W2927" s="62" t="s">
        <v>37883</v>
      </c>
      <c r="X2927" s="62" t="s">
        <v>37884</v>
      </c>
      <c r="Y2927" s="62" t="s">
        <v>37885</v>
      </c>
      <c r="Z2927" s="62" t="s">
        <v>37886</v>
      </c>
      <c r="AA2927" s="62" t="s">
        <v>47355</v>
      </c>
      <c r="AB2927" s="62" t="s">
        <v>37887</v>
      </c>
      <c r="AC2927" s="62" t="s">
        <v>37888</v>
      </c>
      <c r="AD2927" s="62" t="s">
        <v>37889</v>
      </c>
    </row>
    <row r="2928" spans="1:30" x14ac:dyDescent="0.25">
      <c r="A2928" s="62" t="s">
        <v>109</v>
      </c>
      <c r="C2928" s="62" t="s">
        <v>37890</v>
      </c>
      <c r="F2928" s="62" t="s">
        <v>1047</v>
      </c>
      <c r="G2928" s="62" t="s">
        <v>47172</v>
      </c>
      <c r="J2928" s="62" t="s">
        <v>37891</v>
      </c>
      <c r="K2928" s="62" t="s">
        <v>47218</v>
      </c>
      <c r="L2928" s="62" t="s">
        <v>37892</v>
      </c>
      <c r="M2928" s="62" t="s">
        <v>37893</v>
      </c>
      <c r="N2928" s="62" t="s">
        <v>37894</v>
      </c>
      <c r="O2928" s="62" t="s">
        <v>37895</v>
      </c>
      <c r="P2928" s="62" t="s">
        <v>47264</v>
      </c>
      <c r="Q2928" s="62" t="s">
        <v>37896</v>
      </c>
      <c r="R2928" s="62" t="s">
        <v>37897</v>
      </c>
      <c r="S2928" s="62" t="s">
        <v>37898</v>
      </c>
      <c r="U2928" s="62" t="s">
        <v>37899</v>
      </c>
      <c r="V2928" s="62" t="s">
        <v>47310</v>
      </c>
      <c r="W2928" s="62" t="s">
        <v>37900</v>
      </c>
      <c r="X2928" s="62" t="s">
        <v>37901</v>
      </c>
      <c r="Y2928" s="62" t="s">
        <v>37902</v>
      </c>
      <c r="Z2928" s="62" t="s">
        <v>37903</v>
      </c>
      <c r="AA2928" s="62" t="s">
        <v>47356</v>
      </c>
      <c r="AB2928" s="62" t="s">
        <v>37904</v>
      </c>
      <c r="AC2928" s="62" t="s">
        <v>37905</v>
      </c>
      <c r="AD2928" s="62" t="s">
        <v>37906</v>
      </c>
    </row>
    <row r="2929" spans="1:30" x14ac:dyDescent="0.25">
      <c r="A2929" s="62" t="s">
        <v>109</v>
      </c>
      <c r="C2929" s="62" t="s">
        <v>37907</v>
      </c>
      <c r="F2929" s="62" t="s">
        <v>1073</v>
      </c>
      <c r="G2929" s="62" t="s">
        <v>47173</v>
      </c>
      <c r="J2929" s="62" t="s">
        <v>37908</v>
      </c>
      <c r="K2929" s="62" t="s">
        <v>47219</v>
      </c>
      <c r="L2929" s="62" t="s">
        <v>37909</v>
      </c>
      <c r="M2929" s="62" t="s">
        <v>37910</v>
      </c>
      <c r="N2929" s="62" t="s">
        <v>37911</v>
      </c>
      <c r="O2929" s="62" t="s">
        <v>37912</v>
      </c>
      <c r="P2929" s="62" t="s">
        <v>47265</v>
      </c>
      <c r="Q2929" s="62" t="s">
        <v>37913</v>
      </c>
      <c r="R2929" s="62" t="s">
        <v>37914</v>
      </c>
      <c r="S2929" s="62" t="s">
        <v>37915</v>
      </c>
      <c r="U2929" s="62" t="s">
        <v>37916</v>
      </c>
      <c r="V2929" s="62" t="s">
        <v>47311</v>
      </c>
      <c r="W2929" s="62" t="s">
        <v>37917</v>
      </c>
      <c r="X2929" s="62" t="s">
        <v>37918</v>
      </c>
      <c r="Y2929" s="62" t="s">
        <v>37919</v>
      </c>
      <c r="Z2929" s="62" t="s">
        <v>37920</v>
      </c>
      <c r="AA2929" s="62" t="s">
        <v>47357</v>
      </c>
      <c r="AB2929" s="62" t="s">
        <v>37921</v>
      </c>
      <c r="AC2929" s="62" t="s">
        <v>37922</v>
      </c>
      <c r="AD2929" s="62" t="s">
        <v>37923</v>
      </c>
    </row>
    <row r="2930" spans="1:30" x14ac:dyDescent="0.25">
      <c r="A2930" s="62" t="s">
        <v>109</v>
      </c>
      <c r="C2930" s="62" t="s">
        <v>37924</v>
      </c>
      <c r="F2930" s="62" t="s">
        <v>1090</v>
      </c>
      <c r="G2930" s="62" t="s">
        <v>47174</v>
      </c>
      <c r="J2930" s="62" t="s">
        <v>37925</v>
      </c>
      <c r="K2930" s="62" t="s">
        <v>47220</v>
      </c>
      <c r="L2930" s="62" t="s">
        <v>37926</v>
      </c>
      <c r="M2930" s="62" t="s">
        <v>37927</v>
      </c>
      <c r="N2930" s="62" t="s">
        <v>37928</v>
      </c>
      <c r="O2930" s="62" t="s">
        <v>37929</v>
      </c>
      <c r="P2930" s="62" t="s">
        <v>47266</v>
      </c>
      <c r="Q2930" s="62" t="s">
        <v>37930</v>
      </c>
      <c r="R2930" s="62" t="s">
        <v>37931</v>
      </c>
      <c r="S2930" s="62" t="s">
        <v>37932</v>
      </c>
      <c r="U2930" s="62" t="s">
        <v>37933</v>
      </c>
      <c r="V2930" s="62" t="s">
        <v>47312</v>
      </c>
      <c r="W2930" s="62" t="s">
        <v>37934</v>
      </c>
      <c r="X2930" s="62" t="s">
        <v>37935</v>
      </c>
      <c r="Y2930" s="62" t="s">
        <v>37936</v>
      </c>
      <c r="Z2930" s="62" t="s">
        <v>37937</v>
      </c>
      <c r="AA2930" s="62" t="s">
        <v>47358</v>
      </c>
      <c r="AB2930" s="62" t="s">
        <v>37938</v>
      </c>
      <c r="AC2930" s="62" t="s">
        <v>37939</v>
      </c>
      <c r="AD2930" s="62" t="s">
        <v>37940</v>
      </c>
    </row>
    <row r="2931" spans="1:30" x14ac:dyDescent="0.25">
      <c r="A2931" s="62" t="s">
        <v>109</v>
      </c>
      <c r="C2931" s="62" t="s">
        <v>37941</v>
      </c>
      <c r="F2931" s="62" t="s">
        <v>1100</v>
      </c>
      <c r="G2931" s="62" t="s">
        <v>47175</v>
      </c>
      <c r="J2931" s="62" t="s">
        <v>37942</v>
      </c>
      <c r="K2931" s="62" t="s">
        <v>47221</v>
      </c>
      <c r="L2931" s="62" t="s">
        <v>37943</v>
      </c>
      <c r="M2931" s="62" t="s">
        <v>37944</v>
      </c>
      <c r="N2931" s="62" t="s">
        <v>37945</v>
      </c>
      <c r="O2931" s="62" t="s">
        <v>37946</v>
      </c>
      <c r="P2931" s="62" t="s">
        <v>47267</v>
      </c>
      <c r="Q2931" s="62" t="s">
        <v>37947</v>
      </c>
      <c r="R2931" s="62" t="s">
        <v>37948</v>
      </c>
      <c r="S2931" s="62" t="s">
        <v>37949</v>
      </c>
      <c r="U2931" s="62" t="s">
        <v>37950</v>
      </c>
      <c r="V2931" s="62" t="s">
        <v>47313</v>
      </c>
      <c r="W2931" s="62" t="s">
        <v>37951</v>
      </c>
      <c r="X2931" s="62" t="s">
        <v>37952</v>
      </c>
      <c r="Y2931" s="62" t="s">
        <v>37953</v>
      </c>
      <c r="Z2931" s="62" t="s">
        <v>37954</v>
      </c>
      <c r="AA2931" s="62" t="s">
        <v>47359</v>
      </c>
      <c r="AB2931" s="62" t="s">
        <v>37955</v>
      </c>
      <c r="AC2931" s="62" t="s">
        <v>37956</v>
      </c>
      <c r="AD2931" s="62" t="s">
        <v>37957</v>
      </c>
    </row>
    <row r="2932" spans="1:30" x14ac:dyDescent="0.25">
      <c r="A2932" s="62" t="s">
        <v>109</v>
      </c>
      <c r="C2932" s="62" t="s">
        <v>37958</v>
      </c>
      <c r="F2932" s="62" t="s">
        <v>2337</v>
      </c>
      <c r="G2932" s="62" t="s">
        <v>47176</v>
      </c>
      <c r="J2932" s="62" t="s">
        <v>37959</v>
      </c>
      <c r="K2932" s="62" t="s">
        <v>47222</v>
      </c>
      <c r="L2932" s="62" t="s">
        <v>37960</v>
      </c>
      <c r="M2932" s="62" t="s">
        <v>37961</v>
      </c>
      <c r="N2932" s="62" t="s">
        <v>37962</v>
      </c>
      <c r="O2932" s="62" t="s">
        <v>37963</v>
      </c>
      <c r="P2932" s="62" t="s">
        <v>47268</v>
      </c>
      <c r="Q2932" s="62" t="s">
        <v>37964</v>
      </c>
      <c r="R2932" s="62" t="s">
        <v>37965</v>
      </c>
      <c r="S2932" s="62" t="s">
        <v>37966</v>
      </c>
      <c r="U2932" s="62" t="s">
        <v>37967</v>
      </c>
      <c r="V2932" s="62" t="s">
        <v>47314</v>
      </c>
      <c r="W2932" s="62" t="s">
        <v>37968</v>
      </c>
      <c r="X2932" s="62" t="s">
        <v>37969</v>
      </c>
      <c r="Y2932" s="62" t="s">
        <v>37970</v>
      </c>
      <c r="Z2932" s="62" t="s">
        <v>37971</v>
      </c>
      <c r="AA2932" s="62" t="s">
        <v>47360</v>
      </c>
      <c r="AB2932" s="62" t="s">
        <v>37972</v>
      </c>
      <c r="AC2932" s="62" t="s">
        <v>37973</v>
      </c>
      <c r="AD2932" s="62" t="s">
        <v>37974</v>
      </c>
    </row>
    <row r="2933" spans="1:30" x14ac:dyDescent="0.25">
      <c r="A2933" s="62" t="s">
        <v>109</v>
      </c>
      <c r="C2933" s="62" t="s">
        <v>37975</v>
      </c>
      <c r="F2933" s="62" t="s">
        <v>2372</v>
      </c>
      <c r="G2933" s="62" t="s">
        <v>47177</v>
      </c>
      <c r="J2933" s="62" t="s">
        <v>37976</v>
      </c>
      <c r="K2933" s="62" t="s">
        <v>47223</v>
      </c>
      <c r="L2933" s="62" t="s">
        <v>37977</v>
      </c>
      <c r="M2933" s="62" t="s">
        <v>37978</v>
      </c>
      <c r="N2933" s="62" t="s">
        <v>37979</v>
      </c>
      <c r="O2933" s="62" t="s">
        <v>37980</v>
      </c>
      <c r="P2933" s="62" t="s">
        <v>47269</v>
      </c>
      <c r="Q2933" s="62" t="s">
        <v>37981</v>
      </c>
      <c r="R2933" s="62" t="s">
        <v>37982</v>
      </c>
      <c r="S2933" s="62" t="s">
        <v>37983</v>
      </c>
      <c r="U2933" s="62" t="s">
        <v>37984</v>
      </c>
      <c r="V2933" s="62" t="s">
        <v>47315</v>
      </c>
      <c r="W2933" s="62" t="s">
        <v>37985</v>
      </c>
      <c r="X2933" s="62" t="s">
        <v>37986</v>
      </c>
      <c r="Y2933" s="62" t="s">
        <v>37987</v>
      </c>
      <c r="Z2933" s="62" t="s">
        <v>37988</v>
      </c>
      <c r="AA2933" s="62" t="s">
        <v>47361</v>
      </c>
      <c r="AB2933" s="62" t="s">
        <v>37989</v>
      </c>
      <c r="AC2933" s="62" t="s">
        <v>37990</v>
      </c>
      <c r="AD2933" s="62" t="s">
        <v>37991</v>
      </c>
    </row>
    <row r="2934" spans="1:30" x14ac:dyDescent="0.25">
      <c r="A2934" s="62" t="s">
        <v>109</v>
      </c>
      <c r="C2934" s="62" t="s">
        <v>37992</v>
      </c>
      <c r="F2934" s="62" t="s">
        <v>15081</v>
      </c>
      <c r="G2934" s="62" t="s">
        <v>47178</v>
      </c>
      <c r="J2934" s="62" t="s">
        <v>37993</v>
      </c>
      <c r="K2934" s="62" t="s">
        <v>47224</v>
      </c>
      <c r="L2934" s="62" t="s">
        <v>37994</v>
      </c>
      <c r="M2934" s="62" t="s">
        <v>37995</v>
      </c>
      <c r="N2934" s="62" t="s">
        <v>37996</v>
      </c>
      <c r="O2934" s="62" t="s">
        <v>37997</v>
      </c>
      <c r="P2934" s="62" t="s">
        <v>47270</v>
      </c>
      <c r="Q2934" s="62" t="s">
        <v>37998</v>
      </c>
      <c r="R2934" s="62" t="s">
        <v>37999</v>
      </c>
      <c r="S2934" s="62" t="s">
        <v>38000</v>
      </c>
      <c r="U2934" s="62" t="s">
        <v>38001</v>
      </c>
      <c r="V2934" s="62" t="s">
        <v>47316</v>
      </c>
      <c r="W2934" s="62" t="s">
        <v>38002</v>
      </c>
      <c r="X2934" s="62" t="s">
        <v>38003</v>
      </c>
      <c r="Y2934" s="62" t="s">
        <v>38004</v>
      </c>
      <c r="Z2934" s="62" t="s">
        <v>38005</v>
      </c>
      <c r="AA2934" s="62" t="s">
        <v>47362</v>
      </c>
      <c r="AB2934" s="62" t="s">
        <v>38006</v>
      </c>
      <c r="AC2934" s="62" t="s">
        <v>38007</v>
      </c>
      <c r="AD2934" s="62" t="s">
        <v>38008</v>
      </c>
    </row>
    <row r="2935" spans="1:30" x14ac:dyDescent="0.25">
      <c r="A2935" s="62" t="s">
        <v>109</v>
      </c>
      <c r="C2935" s="62" t="s">
        <v>38009</v>
      </c>
      <c r="F2935" s="62" t="s">
        <v>10577</v>
      </c>
      <c r="G2935" s="62" t="s">
        <v>47179</v>
      </c>
      <c r="J2935" s="62" t="s">
        <v>38010</v>
      </c>
      <c r="K2935" s="62" t="s">
        <v>47225</v>
      </c>
      <c r="L2935" s="62" t="s">
        <v>38011</v>
      </c>
      <c r="M2935" s="62" t="s">
        <v>38012</v>
      </c>
      <c r="N2935" s="62" t="s">
        <v>38013</v>
      </c>
      <c r="O2935" s="62" t="s">
        <v>38014</v>
      </c>
      <c r="P2935" s="62" t="s">
        <v>47271</v>
      </c>
      <c r="Q2935" s="62" t="s">
        <v>38015</v>
      </c>
      <c r="R2935" s="62" t="s">
        <v>38016</v>
      </c>
      <c r="S2935" s="62" t="s">
        <v>38017</v>
      </c>
      <c r="U2935" s="62" t="s">
        <v>38018</v>
      </c>
      <c r="V2935" s="62" t="s">
        <v>47317</v>
      </c>
      <c r="W2935" s="62" t="s">
        <v>38019</v>
      </c>
      <c r="X2935" s="62" t="s">
        <v>38020</v>
      </c>
      <c r="Y2935" s="62" t="s">
        <v>38021</v>
      </c>
      <c r="Z2935" s="62" t="s">
        <v>38022</v>
      </c>
      <c r="AA2935" s="62" t="s">
        <v>47363</v>
      </c>
      <c r="AB2935" s="62" t="s">
        <v>38023</v>
      </c>
      <c r="AC2935" s="62" t="s">
        <v>38024</v>
      </c>
      <c r="AD2935" s="62" t="s">
        <v>38025</v>
      </c>
    </row>
    <row r="2936" spans="1:30" x14ac:dyDescent="0.25">
      <c r="A2936" s="62" t="s">
        <v>109</v>
      </c>
      <c r="C2936" s="62" t="s">
        <v>38026</v>
      </c>
      <c r="F2936" s="62" t="s">
        <v>10595</v>
      </c>
      <c r="G2936" s="62" t="s">
        <v>47180</v>
      </c>
      <c r="J2936" s="62" t="s">
        <v>38027</v>
      </c>
      <c r="K2936" s="62" t="s">
        <v>47226</v>
      </c>
      <c r="L2936" s="62" t="s">
        <v>38028</v>
      </c>
      <c r="M2936" s="62" t="s">
        <v>38029</v>
      </c>
      <c r="N2936" s="62" t="s">
        <v>38030</v>
      </c>
      <c r="O2936" s="62" t="s">
        <v>38031</v>
      </c>
      <c r="P2936" s="62" t="s">
        <v>47272</v>
      </c>
      <c r="Q2936" s="62" t="s">
        <v>38032</v>
      </c>
      <c r="R2936" s="62" t="s">
        <v>38033</v>
      </c>
      <c r="S2936" s="62" t="s">
        <v>38034</v>
      </c>
      <c r="U2936" s="62" t="s">
        <v>38035</v>
      </c>
      <c r="V2936" s="62" t="s">
        <v>47318</v>
      </c>
      <c r="W2936" s="62" t="s">
        <v>38036</v>
      </c>
      <c r="X2936" s="62" t="s">
        <v>38037</v>
      </c>
      <c r="Y2936" s="62" t="s">
        <v>38038</v>
      </c>
      <c r="Z2936" s="62" t="s">
        <v>38039</v>
      </c>
      <c r="AA2936" s="62" t="s">
        <v>47364</v>
      </c>
      <c r="AB2936" s="62" t="s">
        <v>38040</v>
      </c>
      <c r="AC2936" s="62" t="s">
        <v>38041</v>
      </c>
      <c r="AD2936" s="62" t="s">
        <v>38042</v>
      </c>
    </row>
    <row r="2937" spans="1:30" x14ac:dyDescent="0.25">
      <c r="A2937" s="62" t="s">
        <v>109</v>
      </c>
      <c r="C2937" s="62" t="s">
        <v>38043</v>
      </c>
      <c r="F2937" s="62" t="s">
        <v>10613</v>
      </c>
      <c r="G2937" s="62" t="s">
        <v>47181</v>
      </c>
      <c r="J2937" s="62" t="s">
        <v>38044</v>
      </c>
      <c r="K2937" s="62" t="s">
        <v>47227</v>
      </c>
      <c r="L2937" s="62" t="s">
        <v>38045</v>
      </c>
      <c r="M2937" s="62" t="s">
        <v>38046</v>
      </c>
      <c r="N2937" s="62" t="s">
        <v>38047</v>
      </c>
      <c r="O2937" s="62" t="s">
        <v>38048</v>
      </c>
      <c r="P2937" s="62" t="s">
        <v>47273</v>
      </c>
      <c r="Q2937" s="62" t="s">
        <v>38049</v>
      </c>
      <c r="R2937" s="62" t="s">
        <v>38050</v>
      </c>
      <c r="S2937" s="62" t="s">
        <v>38051</v>
      </c>
      <c r="U2937" s="62" t="s">
        <v>38052</v>
      </c>
      <c r="V2937" s="62" t="s">
        <v>47319</v>
      </c>
      <c r="W2937" s="62" t="s">
        <v>38053</v>
      </c>
      <c r="X2937" s="62" t="s">
        <v>38054</v>
      </c>
      <c r="Y2937" s="62" t="s">
        <v>38055</v>
      </c>
      <c r="Z2937" s="62" t="s">
        <v>38056</v>
      </c>
      <c r="AA2937" s="62" t="s">
        <v>47365</v>
      </c>
      <c r="AB2937" s="62" t="s">
        <v>38057</v>
      </c>
      <c r="AC2937" s="62" t="s">
        <v>38058</v>
      </c>
      <c r="AD2937" s="62" t="s">
        <v>38059</v>
      </c>
    </row>
    <row r="2938" spans="1:30" x14ac:dyDescent="0.25">
      <c r="A2938" s="62" t="s">
        <v>109</v>
      </c>
      <c r="C2938" s="62" t="s">
        <v>38060</v>
      </c>
      <c r="F2938" s="62" t="s">
        <v>10649</v>
      </c>
      <c r="G2938" s="62" t="s">
        <v>47182</v>
      </c>
      <c r="J2938" s="62" t="s">
        <v>38061</v>
      </c>
      <c r="K2938" s="62" t="s">
        <v>47228</v>
      </c>
      <c r="L2938" s="62" t="s">
        <v>38062</v>
      </c>
      <c r="M2938" s="62" t="s">
        <v>38063</v>
      </c>
      <c r="N2938" s="62" t="s">
        <v>38064</v>
      </c>
      <c r="O2938" s="62" t="s">
        <v>38065</v>
      </c>
      <c r="P2938" s="62" t="s">
        <v>47274</v>
      </c>
      <c r="Q2938" s="62" t="s">
        <v>38066</v>
      </c>
      <c r="R2938" s="62" t="s">
        <v>38067</v>
      </c>
      <c r="S2938" s="62" t="s">
        <v>38068</v>
      </c>
      <c r="U2938" s="62" t="s">
        <v>38069</v>
      </c>
      <c r="V2938" s="62" t="s">
        <v>47320</v>
      </c>
      <c r="W2938" s="62" t="s">
        <v>38070</v>
      </c>
      <c r="X2938" s="62" t="s">
        <v>38071</v>
      </c>
      <c r="Y2938" s="62" t="s">
        <v>38072</v>
      </c>
      <c r="Z2938" s="62" t="s">
        <v>38073</v>
      </c>
      <c r="AA2938" s="62" t="s">
        <v>47366</v>
      </c>
      <c r="AB2938" s="62" t="s">
        <v>38074</v>
      </c>
      <c r="AC2938" s="62" t="s">
        <v>38075</v>
      </c>
      <c r="AD2938" s="62" t="s">
        <v>38076</v>
      </c>
    </row>
    <row r="2939" spans="1:30" x14ac:dyDescent="0.25">
      <c r="A2939" s="62" t="s">
        <v>109</v>
      </c>
      <c r="C2939" s="62" t="s">
        <v>38077</v>
      </c>
      <c r="F2939" s="62" t="s">
        <v>10667</v>
      </c>
      <c r="G2939" s="62" t="s">
        <v>47183</v>
      </c>
      <c r="J2939" s="62" t="s">
        <v>38078</v>
      </c>
      <c r="K2939" s="62" t="s">
        <v>47229</v>
      </c>
      <c r="L2939" s="62" t="s">
        <v>38079</v>
      </c>
      <c r="M2939" s="62" t="s">
        <v>38080</v>
      </c>
      <c r="N2939" s="62" t="s">
        <v>38081</v>
      </c>
      <c r="O2939" s="62" t="s">
        <v>38082</v>
      </c>
      <c r="P2939" s="62" t="s">
        <v>47275</v>
      </c>
      <c r="Q2939" s="62" t="s">
        <v>38083</v>
      </c>
      <c r="R2939" s="62" t="s">
        <v>38084</v>
      </c>
      <c r="S2939" s="62" t="s">
        <v>38085</v>
      </c>
      <c r="U2939" s="62" t="s">
        <v>38086</v>
      </c>
      <c r="V2939" s="62" t="s">
        <v>47321</v>
      </c>
      <c r="W2939" s="62" t="s">
        <v>38087</v>
      </c>
      <c r="X2939" s="62" t="s">
        <v>38088</v>
      </c>
      <c r="Y2939" s="62" t="s">
        <v>38089</v>
      </c>
      <c r="Z2939" s="62" t="s">
        <v>38090</v>
      </c>
      <c r="AA2939" s="62" t="s">
        <v>47367</v>
      </c>
      <c r="AB2939" s="62" t="s">
        <v>38091</v>
      </c>
      <c r="AC2939" s="62" t="s">
        <v>38092</v>
      </c>
      <c r="AD2939" s="62" t="s">
        <v>38093</v>
      </c>
    </row>
    <row r="2940" spans="1:30" x14ac:dyDescent="0.25">
      <c r="A2940" s="62" t="s">
        <v>109</v>
      </c>
      <c r="C2940" s="62" t="s">
        <v>38094</v>
      </c>
      <c r="F2940" s="62" t="s">
        <v>10685</v>
      </c>
      <c r="G2940" s="62" t="s">
        <v>47184</v>
      </c>
      <c r="J2940" s="62" t="s">
        <v>38095</v>
      </c>
      <c r="K2940" s="62" t="s">
        <v>47230</v>
      </c>
      <c r="L2940" s="62" t="s">
        <v>38096</v>
      </c>
      <c r="M2940" s="62" t="s">
        <v>38097</v>
      </c>
      <c r="N2940" s="62" t="s">
        <v>38098</v>
      </c>
      <c r="O2940" s="62" t="s">
        <v>38099</v>
      </c>
      <c r="P2940" s="62" t="s">
        <v>47276</v>
      </c>
      <c r="Q2940" s="62" t="s">
        <v>38100</v>
      </c>
      <c r="R2940" s="62" t="s">
        <v>38101</v>
      </c>
      <c r="S2940" s="62" t="s">
        <v>38102</v>
      </c>
      <c r="U2940" s="62" t="s">
        <v>38103</v>
      </c>
      <c r="V2940" s="62" t="s">
        <v>47322</v>
      </c>
      <c r="W2940" s="62" t="s">
        <v>38104</v>
      </c>
      <c r="X2940" s="62" t="s">
        <v>38105</v>
      </c>
      <c r="Y2940" s="62" t="s">
        <v>38106</v>
      </c>
      <c r="Z2940" s="62" t="s">
        <v>38107</v>
      </c>
      <c r="AA2940" s="62" t="s">
        <v>47368</v>
      </c>
      <c r="AB2940" s="62" t="s">
        <v>38108</v>
      </c>
      <c r="AC2940" s="62" t="s">
        <v>38109</v>
      </c>
      <c r="AD2940" s="62" t="s">
        <v>38110</v>
      </c>
    </row>
    <row r="2941" spans="1:30" x14ac:dyDescent="0.25">
      <c r="A2941" s="62" t="s">
        <v>109</v>
      </c>
      <c r="C2941" s="62" t="s">
        <v>38111</v>
      </c>
      <c r="F2941" s="62" t="s">
        <v>10703</v>
      </c>
      <c r="G2941" s="62" t="s">
        <v>47185</v>
      </c>
      <c r="J2941" s="62" t="s">
        <v>38112</v>
      </c>
      <c r="K2941" s="62" t="s">
        <v>47231</v>
      </c>
      <c r="L2941" s="62" t="s">
        <v>38113</v>
      </c>
      <c r="M2941" s="62" t="s">
        <v>38114</v>
      </c>
      <c r="N2941" s="62" t="s">
        <v>38115</v>
      </c>
      <c r="O2941" s="62" t="s">
        <v>38116</v>
      </c>
      <c r="P2941" s="62" t="s">
        <v>47277</v>
      </c>
      <c r="Q2941" s="62" t="s">
        <v>38117</v>
      </c>
      <c r="R2941" s="62" t="s">
        <v>38118</v>
      </c>
      <c r="S2941" s="62" t="s">
        <v>38119</v>
      </c>
      <c r="U2941" s="62" t="s">
        <v>38120</v>
      </c>
      <c r="V2941" s="62" t="s">
        <v>47323</v>
      </c>
      <c r="W2941" s="62" t="s">
        <v>38121</v>
      </c>
      <c r="X2941" s="62" t="s">
        <v>38122</v>
      </c>
      <c r="Y2941" s="62" t="s">
        <v>38123</v>
      </c>
      <c r="Z2941" s="62" t="s">
        <v>38124</v>
      </c>
      <c r="AA2941" s="62" t="s">
        <v>47369</v>
      </c>
      <c r="AB2941" s="62" t="s">
        <v>38125</v>
      </c>
      <c r="AC2941" s="62" t="s">
        <v>38126</v>
      </c>
      <c r="AD2941" s="62" t="s">
        <v>38127</v>
      </c>
    </row>
    <row r="2942" spans="1:30" x14ac:dyDescent="0.25">
      <c r="A2942" s="62" t="s">
        <v>109</v>
      </c>
      <c r="C2942" s="62" t="s">
        <v>38128</v>
      </c>
      <c r="F2942" s="62" t="s">
        <v>13184</v>
      </c>
      <c r="G2942" s="62" t="s">
        <v>47186</v>
      </c>
      <c r="J2942" s="62" t="s">
        <v>38129</v>
      </c>
      <c r="K2942" s="62" t="s">
        <v>47232</v>
      </c>
      <c r="L2942" s="62" t="s">
        <v>38130</v>
      </c>
      <c r="M2942" s="62" t="s">
        <v>38131</v>
      </c>
      <c r="N2942" s="62" t="s">
        <v>38132</v>
      </c>
      <c r="O2942" s="62" t="s">
        <v>38133</v>
      </c>
      <c r="P2942" s="62" t="s">
        <v>47278</v>
      </c>
      <c r="Q2942" s="62" t="s">
        <v>38134</v>
      </c>
      <c r="R2942" s="62" t="s">
        <v>38135</v>
      </c>
      <c r="S2942" s="62" t="s">
        <v>38136</v>
      </c>
      <c r="U2942" s="62" t="s">
        <v>38137</v>
      </c>
      <c r="V2942" s="62" t="s">
        <v>47324</v>
      </c>
      <c r="W2942" s="62" t="s">
        <v>38138</v>
      </c>
      <c r="X2942" s="62" t="s">
        <v>38139</v>
      </c>
      <c r="Y2942" s="62" t="s">
        <v>38140</v>
      </c>
      <c r="Z2942" s="62" t="s">
        <v>38141</v>
      </c>
      <c r="AA2942" s="62" t="s">
        <v>47370</v>
      </c>
      <c r="AB2942" s="62" t="s">
        <v>38142</v>
      </c>
      <c r="AC2942" s="62" t="s">
        <v>38143</v>
      </c>
      <c r="AD2942" s="62" t="s">
        <v>38144</v>
      </c>
    </row>
    <row r="2943" spans="1:30" x14ac:dyDescent="0.25">
      <c r="A2943" s="62" t="s">
        <v>109</v>
      </c>
      <c r="C2943" s="62" t="s">
        <v>38145</v>
      </c>
      <c r="F2943" s="62" t="s">
        <v>10775</v>
      </c>
      <c r="G2943" s="62" t="s">
        <v>47187</v>
      </c>
      <c r="J2943" s="62" t="s">
        <v>38146</v>
      </c>
      <c r="K2943" s="62" t="s">
        <v>47233</v>
      </c>
      <c r="L2943" s="62" t="s">
        <v>38147</v>
      </c>
      <c r="M2943" s="62" t="s">
        <v>38148</v>
      </c>
      <c r="N2943" s="62" t="s">
        <v>38149</v>
      </c>
      <c r="O2943" s="62" t="s">
        <v>38150</v>
      </c>
      <c r="P2943" s="62" t="s">
        <v>47279</v>
      </c>
      <c r="Q2943" s="62" t="s">
        <v>38151</v>
      </c>
      <c r="R2943" s="62" t="s">
        <v>38152</v>
      </c>
      <c r="S2943" s="62" t="s">
        <v>38153</v>
      </c>
      <c r="U2943" s="62" t="s">
        <v>38154</v>
      </c>
      <c r="V2943" s="62" t="s">
        <v>47325</v>
      </c>
      <c r="W2943" s="62" t="s">
        <v>38155</v>
      </c>
      <c r="X2943" s="62" t="s">
        <v>38156</v>
      </c>
      <c r="Y2943" s="62" t="s">
        <v>38157</v>
      </c>
      <c r="Z2943" s="62" t="s">
        <v>38158</v>
      </c>
      <c r="AA2943" s="62" t="s">
        <v>47371</v>
      </c>
      <c r="AB2943" s="62" t="s">
        <v>38159</v>
      </c>
      <c r="AC2943" s="62" t="s">
        <v>38160</v>
      </c>
      <c r="AD2943" s="62" t="s">
        <v>38161</v>
      </c>
    </row>
    <row r="2944" spans="1:30" x14ac:dyDescent="0.25">
      <c r="A2944" s="62" t="s">
        <v>109</v>
      </c>
      <c r="C2944" s="62" t="s">
        <v>38162</v>
      </c>
      <c r="F2944" s="62" t="s">
        <v>10793</v>
      </c>
      <c r="G2944" s="62" t="s">
        <v>47188</v>
      </c>
      <c r="J2944" s="62" t="s">
        <v>38163</v>
      </c>
      <c r="K2944" s="62" t="s">
        <v>47234</v>
      </c>
      <c r="L2944" s="62" t="s">
        <v>38164</v>
      </c>
      <c r="M2944" s="62" t="s">
        <v>38165</v>
      </c>
      <c r="N2944" s="62" t="s">
        <v>38166</v>
      </c>
      <c r="O2944" s="62" t="s">
        <v>38167</v>
      </c>
      <c r="P2944" s="62" t="s">
        <v>47280</v>
      </c>
      <c r="Q2944" s="62" t="s">
        <v>38168</v>
      </c>
      <c r="R2944" s="62" t="s">
        <v>38169</v>
      </c>
      <c r="S2944" s="62" t="s">
        <v>38170</v>
      </c>
      <c r="U2944" s="62" t="s">
        <v>38171</v>
      </c>
      <c r="V2944" s="62" t="s">
        <v>47326</v>
      </c>
      <c r="W2944" s="62" t="s">
        <v>38172</v>
      </c>
      <c r="X2944" s="62" t="s">
        <v>38173</v>
      </c>
      <c r="Y2944" s="62" t="s">
        <v>38174</v>
      </c>
      <c r="Z2944" s="62" t="s">
        <v>38175</v>
      </c>
      <c r="AA2944" s="62" t="s">
        <v>47372</v>
      </c>
      <c r="AB2944" s="62" t="s">
        <v>38176</v>
      </c>
      <c r="AC2944" s="62" t="s">
        <v>38177</v>
      </c>
      <c r="AD2944" s="62" t="s">
        <v>38178</v>
      </c>
    </row>
    <row r="2945" spans="1:30" x14ac:dyDescent="0.25">
      <c r="A2945" s="62" t="s">
        <v>109</v>
      </c>
      <c r="C2945" s="62" t="s">
        <v>38179</v>
      </c>
      <c r="F2945" s="62" t="s">
        <v>13202</v>
      </c>
      <c r="G2945" s="62" t="s">
        <v>47189</v>
      </c>
      <c r="J2945" s="62" t="s">
        <v>38180</v>
      </c>
      <c r="K2945" s="62" t="s">
        <v>47235</v>
      </c>
      <c r="L2945" s="62" t="s">
        <v>38181</v>
      </c>
      <c r="M2945" s="62" t="s">
        <v>38182</v>
      </c>
      <c r="N2945" s="62" t="s">
        <v>38183</v>
      </c>
      <c r="O2945" s="62" t="s">
        <v>38184</v>
      </c>
      <c r="P2945" s="62" t="s">
        <v>47281</v>
      </c>
      <c r="Q2945" s="62" t="s">
        <v>38185</v>
      </c>
      <c r="R2945" s="62" t="s">
        <v>38186</v>
      </c>
      <c r="S2945" s="62" t="s">
        <v>38187</v>
      </c>
      <c r="U2945" s="62" t="s">
        <v>38188</v>
      </c>
      <c r="V2945" s="62" t="s">
        <v>47327</v>
      </c>
      <c r="W2945" s="62" t="s">
        <v>38189</v>
      </c>
      <c r="X2945" s="62" t="s">
        <v>38190</v>
      </c>
      <c r="Y2945" s="62" t="s">
        <v>38191</v>
      </c>
      <c r="Z2945" s="62" t="s">
        <v>38192</v>
      </c>
      <c r="AA2945" s="62" t="s">
        <v>47373</v>
      </c>
      <c r="AB2945" s="62" t="s">
        <v>38193</v>
      </c>
      <c r="AC2945" s="62" t="s">
        <v>38194</v>
      </c>
      <c r="AD2945" s="62" t="s">
        <v>38195</v>
      </c>
    </row>
    <row r="2946" spans="1:30" x14ac:dyDescent="0.25">
      <c r="A2946" s="62" t="s">
        <v>109</v>
      </c>
      <c r="C2946" s="62" t="s">
        <v>38196</v>
      </c>
      <c r="F2946" s="62" t="s">
        <v>10811</v>
      </c>
      <c r="G2946" s="62" t="s">
        <v>47190</v>
      </c>
      <c r="J2946" s="62" t="s">
        <v>38197</v>
      </c>
      <c r="K2946" s="62" t="s">
        <v>47236</v>
      </c>
      <c r="L2946" s="62" t="s">
        <v>38198</v>
      </c>
      <c r="M2946" s="62" t="s">
        <v>38199</v>
      </c>
      <c r="N2946" s="62" t="s">
        <v>38200</v>
      </c>
      <c r="O2946" s="62" t="s">
        <v>38201</v>
      </c>
      <c r="P2946" s="62" t="s">
        <v>47282</v>
      </c>
      <c r="Q2946" s="62" t="s">
        <v>38202</v>
      </c>
      <c r="R2946" s="62" t="s">
        <v>38203</v>
      </c>
      <c r="S2946" s="62" t="s">
        <v>38204</v>
      </c>
      <c r="U2946" s="62" t="s">
        <v>38205</v>
      </c>
      <c r="V2946" s="62" t="s">
        <v>47328</v>
      </c>
      <c r="W2946" s="62" t="s">
        <v>38206</v>
      </c>
      <c r="X2946" s="62" t="s">
        <v>38207</v>
      </c>
      <c r="Y2946" s="62" t="s">
        <v>38208</v>
      </c>
      <c r="Z2946" s="62" t="s">
        <v>38209</v>
      </c>
      <c r="AA2946" s="62" t="s">
        <v>47374</v>
      </c>
      <c r="AB2946" s="62" t="s">
        <v>38210</v>
      </c>
      <c r="AC2946" s="62" t="s">
        <v>38211</v>
      </c>
      <c r="AD2946" s="62" t="s">
        <v>38212</v>
      </c>
    </row>
    <row r="2947" spans="1:30" x14ac:dyDescent="0.25">
      <c r="A2947" s="62" t="s">
        <v>109</v>
      </c>
      <c r="C2947" s="62" t="s">
        <v>38213</v>
      </c>
      <c r="F2947" s="62" t="s">
        <v>13236</v>
      </c>
      <c r="G2947" s="62" t="s">
        <v>47191</v>
      </c>
      <c r="J2947" s="62" t="s">
        <v>38214</v>
      </c>
      <c r="K2947" s="62" t="s">
        <v>47237</v>
      </c>
      <c r="L2947" s="62" t="s">
        <v>38215</v>
      </c>
      <c r="M2947" s="62" t="s">
        <v>38216</v>
      </c>
      <c r="N2947" s="62" t="s">
        <v>38217</v>
      </c>
      <c r="O2947" s="62" t="s">
        <v>38218</v>
      </c>
      <c r="P2947" s="62" t="s">
        <v>47283</v>
      </c>
      <c r="Q2947" s="62" t="s">
        <v>38219</v>
      </c>
      <c r="R2947" s="62" t="s">
        <v>38220</v>
      </c>
      <c r="S2947" s="62" t="s">
        <v>38221</v>
      </c>
      <c r="U2947" s="62" t="s">
        <v>38222</v>
      </c>
      <c r="V2947" s="62" t="s">
        <v>47329</v>
      </c>
      <c r="W2947" s="62" t="s">
        <v>38223</v>
      </c>
      <c r="X2947" s="62" t="s">
        <v>38224</v>
      </c>
      <c r="Y2947" s="62" t="s">
        <v>38225</v>
      </c>
      <c r="Z2947" s="62" t="s">
        <v>38226</v>
      </c>
      <c r="AA2947" s="62" t="s">
        <v>47375</v>
      </c>
      <c r="AB2947" s="62" t="s">
        <v>38227</v>
      </c>
      <c r="AC2947" s="62" t="s">
        <v>38228</v>
      </c>
      <c r="AD2947" s="62" t="s">
        <v>38229</v>
      </c>
    </row>
    <row r="2948" spans="1:30" x14ac:dyDescent="0.25">
      <c r="A2948" s="62" t="s">
        <v>109</v>
      </c>
      <c r="C2948" s="62" t="s">
        <v>38230</v>
      </c>
      <c r="F2948" s="62" t="s">
        <v>10847</v>
      </c>
      <c r="G2948" s="62" t="s">
        <v>47192</v>
      </c>
      <c r="J2948" s="62" t="s">
        <v>38231</v>
      </c>
      <c r="K2948" s="62" t="s">
        <v>47238</v>
      </c>
      <c r="L2948" s="62" t="s">
        <v>38232</v>
      </c>
      <c r="M2948" s="62" t="s">
        <v>38233</v>
      </c>
      <c r="N2948" s="62" t="s">
        <v>38234</v>
      </c>
      <c r="O2948" s="62" t="s">
        <v>38235</v>
      </c>
      <c r="P2948" s="62" t="s">
        <v>47284</v>
      </c>
      <c r="Q2948" s="62" t="s">
        <v>38236</v>
      </c>
      <c r="R2948" s="62" t="s">
        <v>38237</v>
      </c>
      <c r="S2948" s="62" t="s">
        <v>38238</v>
      </c>
      <c r="U2948" s="62" t="s">
        <v>38239</v>
      </c>
      <c r="V2948" s="62" t="s">
        <v>47330</v>
      </c>
      <c r="W2948" s="62" t="s">
        <v>38240</v>
      </c>
      <c r="X2948" s="62" t="s">
        <v>38241</v>
      </c>
      <c r="Y2948" s="62" t="s">
        <v>38242</v>
      </c>
      <c r="Z2948" s="62" t="s">
        <v>38243</v>
      </c>
      <c r="AA2948" s="62" t="s">
        <v>47376</v>
      </c>
      <c r="AB2948" s="62" t="s">
        <v>38244</v>
      </c>
      <c r="AC2948" s="62" t="s">
        <v>38245</v>
      </c>
      <c r="AD2948" s="62" t="s">
        <v>38246</v>
      </c>
    </row>
    <row r="2949" spans="1:30" x14ac:dyDescent="0.25">
      <c r="A2949" s="62" t="s">
        <v>109</v>
      </c>
      <c r="C2949" s="62" t="s">
        <v>38247</v>
      </c>
      <c r="F2949" s="62" t="s">
        <v>1152</v>
      </c>
      <c r="G2949" s="62" t="s">
        <v>47193</v>
      </c>
      <c r="J2949" s="62" t="s">
        <v>38248</v>
      </c>
      <c r="K2949" s="62" t="s">
        <v>47239</v>
      </c>
      <c r="L2949" s="62" t="s">
        <v>38249</v>
      </c>
      <c r="M2949" s="62" t="s">
        <v>38250</v>
      </c>
      <c r="N2949" s="62" t="s">
        <v>38251</v>
      </c>
      <c r="O2949" s="62" t="s">
        <v>38252</v>
      </c>
      <c r="P2949" s="62" t="s">
        <v>47285</v>
      </c>
      <c r="Q2949" s="62" t="s">
        <v>38253</v>
      </c>
      <c r="R2949" s="62" t="s">
        <v>38254</v>
      </c>
      <c r="S2949" s="62" t="s">
        <v>38255</v>
      </c>
      <c r="U2949" s="62" t="s">
        <v>38256</v>
      </c>
      <c r="V2949" s="62" t="s">
        <v>47331</v>
      </c>
      <c r="W2949" s="62" t="s">
        <v>38257</v>
      </c>
      <c r="X2949" s="62" t="s">
        <v>38258</v>
      </c>
      <c r="Y2949" s="62" t="s">
        <v>38259</v>
      </c>
      <c r="Z2949" s="62" t="s">
        <v>38260</v>
      </c>
      <c r="AA2949" s="62" t="s">
        <v>47377</v>
      </c>
      <c r="AB2949" s="62" t="s">
        <v>38261</v>
      </c>
      <c r="AC2949" s="62" t="s">
        <v>38262</v>
      </c>
      <c r="AD2949" s="62" t="s">
        <v>38263</v>
      </c>
    </row>
    <row r="2950" spans="1:30" x14ac:dyDescent="0.25">
      <c r="A2950" s="62" t="s">
        <v>109</v>
      </c>
      <c r="C2950" s="62" t="s">
        <v>38264</v>
      </c>
      <c r="F2950" s="62" t="s">
        <v>1249</v>
      </c>
      <c r="G2950" s="62" t="s">
        <v>47194</v>
      </c>
      <c r="J2950" s="62" t="s">
        <v>38265</v>
      </c>
      <c r="K2950" s="62" t="s">
        <v>47240</v>
      </c>
      <c r="L2950" s="62" t="s">
        <v>38266</v>
      </c>
      <c r="M2950" s="62" t="s">
        <v>38267</v>
      </c>
      <c r="N2950" s="62" t="s">
        <v>38268</v>
      </c>
      <c r="O2950" s="62" t="s">
        <v>38269</v>
      </c>
      <c r="P2950" s="62" t="s">
        <v>47286</v>
      </c>
      <c r="Q2950" s="62" t="s">
        <v>38270</v>
      </c>
      <c r="R2950" s="62" t="s">
        <v>38271</v>
      </c>
      <c r="S2950" s="62" t="s">
        <v>38272</v>
      </c>
      <c r="U2950" s="62" t="s">
        <v>38273</v>
      </c>
      <c r="V2950" s="62" t="s">
        <v>47332</v>
      </c>
      <c r="W2950" s="62" t="s">
        <v>38274</v>
      </c>
      <c r="X2950" s="62" t="s">
        <v>38275</v>
      </c>
      <c r="Y2950" s="62" t="s">
        <v>38276</v>
      </c>
      <c r="Z2950" s="62" t="s">
        <v>38277</v>
      </c>
      <c r="AA2950" s="62" t="s">
        <v>47378</v>
      </c>
      <c r="AB2950" s="62" t="s">
        <v>38278</v>
      </c>
      <c r="AC2950" s="62" t="s">
        <v>38279</v>
      </c>
      <c r="AD2950" s="62" t="s">
        <v>38280</v>
      </c>
    </row>
    <row r="2951" spans="1:30" x14ac:dyDescent="0.25">
      <c r="A2951" s="62" t="s">
        <v>109</v>
      </c>
      <c r="C2951" s="62" t="s">
        <v>38281</v>
      </c>
      <c r="F2951" s="62" t="s">
        <v>1286</v>
      </c>
      <c r="G2951" s="62" t="s">
        <v>47195</v>
      </c>
      <c r="J2951" s="62" t="s">
        <v>38282</v>
      </c>
      <c r="K2951" s="62" t="s">
        <v>47241</v>
      </c>
      <c r="L2951" s="62" t="s">
        <v>38283</v>
      </c>
      <c r="M2951" s="62" t="s">
        <v>38284</v>
      </c>
      <c r="N2951" s="62" t="s">
        <v>38285</v>
      </c>
      <c r="O2951" s="62" t="s">
        <v>38286</v>
      </c>
      <c r="P2951" s="62" t="s">
        <v>47287</v>
      </c>
      <c r="Q2951" s="62" t="s">
        <v>38287</v>
      </c>
      <c r="R2951" s="62" t="s">
        <v>38288</v>
      </c>
      <c r="S2951" s="62" t="s">
        <v>38289</v>
      </c>
      <c r="U2951" s="62" t="s">
        <v>38290</v>
      </c>
      <c r="V2951" s="62" t="s">
        <v>47333</v>
      </c>
      <c r="W2951" s="62" t="s">
        <v>38291</v>
      </c>
      <c r="X2951" s="62" t="s">
        <v>38292</v>
      </c>
      <c r="Y2951" s="62" t="s">
        <v>38293</v>
      </c>
      <c r="Z2951" s="62" t="s">
        <v>38294</v>
      </c>
      <c r="AA2951" s="62" t="s">
        <v>47379</v>
      </c>
      <c r="AB2951" s="62" t="s">
        <v>38295</v>
      </c>
      <c r="AC2951" s="62" t="s">
        <v>38296</v>
      </c>
      <c r="AD2951" s="62" t="s">
        <v>38297</v>
      </c>
    </row>
    <row r="2952" spans="1:30" x14ac:dyDescent="0.25">
      <c r="A2952" s="62" t="s">
        <v>109</v>
      </c>
      <c r="C2952" s="62" t="s">
        <v>38298</v>
      </c>
      <c r="F2952" s="62" t="s">
        <v>1797</v>
      </c>
      <c r="G2952" s="62" t="s">
        <v>47196</v>
      </c>
      <c r="J2952" s="62" t="s">
        <v>38299</v>
      </c>
      <c r="K2952" s="62" t="s">
        <v>47242</v>
      </c>
      <c r="L2952" s="62" t="s">
        <v>38300</v>
      </c>
      <c r="M2952" s="62" t="s">
        <v>38301</v>
      </c>
      <c r="N2952" s="62" t="s">
        <v>38302</v>
      </c>
      <c r="O2952" s="62" t="s">
        <v>38303</v>
      </c>
      <c r="P2952" s="62" t="s">
        <v>47288</v>
      </c>
      <c r="Q2952" s="62" t="s">
        <v>38304</v>
      </c>
      <c r="R2952" s="62" t="s">
        <v>38305</v>
      </c>
      <c r="S2952" s="62" t="s">
        <v>38306</v>
      </c>
      <c r="U2952" s="62" t="s">
        <v>38307</v>
      </c>
      <c r="V2952" s="62" t="s">
        <v>47334</v>
      </c>
      <c r="W2952" s="62" t="s">
        <v>38308</v>
      </c>
      <c r="X2952" s="62" t="s">
        <v>38309</v>
      </c>
      <c r="Y2952" s="62" t="s">
        <v>38310</v>
      </c>
      <c r="Z2952" s="62" t="s">
        <v>38311</v>
      </c>
      <c r="AA2952" s="62" t="s">
        <v>47380</v>
      </c>
      <c r="AB2952" s="62" t="s">
        <v>38312</v>
      </c>
      <c r="AC2952" s="62" t="s">
        <v>38313</v>
      </c>
      <c r="AD2952" s="62" t="s">
        <v>38314</v>
      </c>
    </row>
    <row r="2953" spans="1:30" x14ac:dyDescent="0.25">
      <c r="A2953" s="62" t="s">
        <v>109</v>
      </c>
      <c r="C2953" s="62" t="s">
        <v>38315</v>
      </c>
      <c r="F2953" s="62" t="s">
        <v>13249</v>
      </c>
      <c r="G2953" s="62" t="s">
        <v>47197</v>
      </c>
      <c r="J2953" s="62" t="s">
        <v>38316</v>
      </c>
      <c r="K2953" s="62" t="s">
        <v>47243</v>
      </c>
      <c r="L2953" s="62" t="s">
        <v>38317</v>
      </c>
      <c r="M2953" s="62" t="s">
        <v>38318</v>
      </c>
      <c r="N2953" s="62" t="s">
        <v>38319</v>
      </c>
      <c r="O2953" s="62" t="s">
        <v>38320</v>
      </c>
      <c r="P2953" s="62" t="s">
        <v>47289</v>
      </c>
      <c r="Q2953" s="62" t="s">
        <v>38321</v>
      </c>
      <c r="R2953" s="62" t="s">
        <v>38322</v>
      </c>
      <c r="S2953" s="62" t="s">
        <v>38323</v>
      </c>
      <c r="U2953" s="62" t="s">
        <v>38324</v>
      </c>
      <c r="V2953" s="62" t="s">
        <v>47335</v>
      </c>
      <c r="W2953" s="62" t="s">
        <v>38325</v>
      </c>
      <c r="X2953" s="62" t="s">
        <v>38326</v>
      </c>
      <c r="Y2953" s="62" t="s">
        <v>38327</v>
      </c>
      <c r="Z2953" s="62" t="s">
        <v>38328</v>
      </c>
      <c r="AA2953" s="62" t="s">
        <v>47381</v>
      </c>
      <c r="AB2953" s="62" t="s">
        <v>38329</v>
      </c>
      <c r="AC2953" s="62" t="s">
        <v>38330</v>
      </c>
      <c r="AD2953" s="62" t="s">
        <v>38331</v>
      </c>
    </row>
    <row r="2954" spans="1:30" x14ac:dyDescent="0.25">
      <c r="A2954" s="62" t="s">
        <v>109</v>
      </c>
      <c r="C2954" s="62" t="s">
        <v>46231</v>
      </c>
      <c r="F2954" s="62" t="s">
        <v>10925</v>
      </c>
      <c r="G2954" s="62" t="s">
        <v>47198</v>
      </c>
      <c r="J2954" s="62" t="s">
        <v>46232</v>
      </c>
      <c r="K2954" s="62" t="s">
        <v>47244</v>
      </c>
      <c r="L2954" s="62" t="s">
        <v>46233</v>
      </c>
      <c r="M2954" s="62" t="s">
        <v>46234</v>
      </c>
      <c r="N2954" s="62" t="s">
        <v>46235</v>
      </c>
      <c r="O2954" s="62" t="s">
        <v>46236</v>
      </c>
      <c r="P2954" s="62" t="s">
        <v>47290</v>
      </c>
      <c r="Q2954" s="62" t="s">
        <v>46237</v>
      </c>
      <c r="R2954" s="62" t="s">
        <v>46238</v>
      </c>
      <c r="S2954" s="62" t="s">
        <v>46239</v>
      </c>
      <c r="U2954" s="62" t="s">
        <v>46240</v>
      </c>
      <c r="V2954" s="62" t="s">
        <v>47336</v>
      </c>
      <c r="W2954" s="62" t="s">
        <v>46241</v>
      </c>
      <c r="X2954" s="62" t="s">
        <v>46242</v>
      </c>
      <c r="Y2954" s="62" t="s">
        <v>46243</v>
      </c>
      <c r="Z2954" s="62" t="s">
        <v>46244</v>
      </c>
      <c r="AA2954" s="62" t="s">
        <v>47382</v>
      </c>
      <c r="AB2954" s="62" t="s">
        <v>46245</v>
      </c>
      <c r="AC2954" s="62" t="s">
        <v>46246</v>
      </c>
      <c r="AD2954" s="62" t="s">
        <v>46247</v>
      </c>
    </row>
    <row r="2955" spans="1:30" x14ac:dyDescent="0.25">
      <c r="A2955" s="62" t="s">
        <v>109</v>
      </c>
      <c r="C2955" s="62" t="s">
        <v>38332</v>
      </c>
      <c r="F2955" s="62" t="s">
        <v>10927</v>
      </c>
      <c r="G2955" s="62" t="s">
        <v>47199</v>
      </c>
      <c r="J2955" s="62" t="s">
        <v>46248</v>
      </c>
      <c r="K2955" s="62" t="s">
        <v>47245</v>
      </c>
      <c r="L2955" s="62" t="s">
        <v>46249</v>
      </c>
      <c r="M2955" s="62" t="s">
        <v>38333</v>
      </c>
      <c r="N2955" s="62" t="s">
        <v>38334</v>
      </c>
      <c r="O2955" s="62" t="s">
        <v>46250</v>
      </c>
      <c r="P2955" s="62" t="s">
        <v>47291</v>
      </c>
      <c r="Q2955" s="62" t="s">
        <v>46251</v>
      </c>
      <c r="R2955" s="62" t="s">
        <v>38335</v>
      </c>
      <c r="S2955" s="62" t="s">
        <v>38336</v>
      </c>
      <c r="U2955" s="62" t="s">
        <v>46252</v>
      </c>
      <c r="V2955" s="62" t="s">
        <v>47337</v>
      </c>
      <c r="W2955" s="62" t="s">
        <v>46253</v>
      </c>
      <c r="X2955" s="62" t="s">
        <v>38337</v>
      </c>
      <c r="Y2955" s="62" t="s">
        <v>38338</v>
      </c>
      <c r="Z2955" s="62" t="s">
        <v>46254</v>
      </c>
      <c r="AA2955" s="62" t="s">
        <v>47383</v>
      </c>
      <c r="AB2955" s="62" t="s">
        <v>46255</v>
      </c>
      <c r="AC2955" s="62" t="s">
        <v>38339</v>
      </c>
      <c r="AD2955" s="62" t="s">
        <v>38340</v>
      </c>
    </row>
    <row r="2956" spans="1:30" x14ac:dyDescent="0.25">
      <c r="A2956" s="62" t="s">
        <v>109</v>
      </c>
      <c r="C2956" s="62" t="s">
        <v>46256</v>
      </c>
      <c r="F2956" s="62" t="s">
        <v>10929</v>
      </c>
      <c r="G2956" s="62" t="s">
        <v>47200</v>
      </c>
      <c r="J2956" s="62" t="s">
        <v>46257</v>
      </c>
      <c r="K2956" s="62" t="s">
        <v>47246</v>
      </c>
      <c r="L2956" s="62" t="s">
        <v>46258</v>
      </c>
      <c r="M2956" s="62" t="s">
        <v>46259</v>
      </c>
      <c r="N2956" s="62" t="s">
        <v>46260</v>
      </c>
      <c r="O2956" s="62" t="s">
        <v>46261</v>
      </c>
      <c r="P2956" s="62" t="s">
        <v>47292</v>
      </c>
      <c r="Q2956" s="62" t="s">
        <v>46262</v>
      </c>
      <c r="R2956" s="62" t="s">
        <v>46263</v>
      </c>
      <c r="S2956" s="62" t="s">
        <v>46264</v>
      </c>
      <c r="U2956" s="62" t="s">
        <v>46265</v>
      </c>
      <c r="V2956" s="62" t="s">
        <v>47338</v>
      </c>
      <c r="W2956" s="62" t="s">
        <v>46266</v>
      </c>
      <c r="X2956" s="62" t="s">
        <v>46267</v>
      </c>
      <c r="Y2956" s="62" t="s">
        <v>46268</v>
      </c>
      <c r="Z2956" s="62" t="s">
        <v>46269</v>
      </c>
      <c r="AA2956" s="62" t="s">
        <v>47384</v>
      </c>
      <c r="AB2956" s="62" t="s">
        <v>46270</v>
      </c>
      <c r="AC2956" s="62" t="s">
        <v>46271</v>
      </c>
      <c r="AD2956" s="62" t="s">
        <v>46272</v>
      </c>
    </row>
    <row r="2957" spans="1:30" x14ac:dyDescent="0.25">
      <c r="A2957" s="62" t="s">
        <v>109</v>
      </c>
      <c r="C2957" s="62" t="s">
        <v>46273</v>
      </c>
      <c r="F2957" s="62" t="s">
        <v>22271</v>
      </c>
      <c r="G2957" s="62" t="s">
        <v>47201</v>
      </c>
      <c r="J2957" s="62" t="s">
        <v>46274</v>
      </c>
      <c r="K2957" s="62" t="s">
        <v>47247</v>
      </c>
      <c r="L2957" s="62" t="s">
        <v>46275</v>
      </c>
      <c r="M2957" s="62" t="s">
        <v>46276</v>
      </c>
      <c r="N2957" s="62" t="s">
        <v>46277</v>
      </c>
      <c r="O2957" s="62" t="s">
        <v>46278</v>
      </c>
      <c r="P2957" s="62" t="s">
        <v>47293</v>
      </c>
      <c r="Q2957" s="62" t="s">
        <v>46279</v>
      </c>
      <c r="R2957" s="62" t="s">
        <v>46280</v>
      </c>
      <c r="S2957" s="62" t="s">
        <v>46281</v>
      </c>
      <c r="U2957" s="62" t="s">
        <v>46282</v>
      </c>
      <c r="V2957" s="62" t="s">
        <v>47339</v>
      </c>
      <c r="W2957" s="62" t="s">
        <v>46283</v>
      </c>
      <c r="X2957" s="62" t="s">
        <v>46284</v>
      </c>
      <c r="Y2957" s="62" t="s">
        <v>46285</v>
      </c>
      <c r="Z2957" s="62" t="s">
        <v>46286</v>
      </c>
      <c r="AA2957" s="62" t="s">
        <v>47385</v>
      </c>
      <c r="AB2957" s="62" t="s">
        <v>46287</v>
      </c>
      <c r="AC2957" s="62" t="s">
        <v>46288</v>
      </c>
      <c r="AD2957" s="62" t="s">
        <v>46289</v>
      </c>
    </row>
    <row r="2958" spans="1:30" x14ac:dyDescent="0.25">
      <c r="A2958" s="62" t="s">
        <v>109</v>
      </c>
      <c r="C2958" s="62" t="s">
        <v>38341</v>
      </c>
      <c r="F2958" s="62" t="s">
        <v>36841</v>
      </c>
      <c r="G2958" s="62" t="s">
        <v>47202</v>
      </c>
      <c r="J2958" s="62" t="s">
        <v>46290</v>
      </c>
      <c r="K2958" s="62" t="s">
        <v>47248</v>
      </c>
      <c r="L2958" s="62" t="s">
        <v>46291</v>
      </c>
      <c r="M2958" s="62" t="s">
        <v>46292</v>
      </c>
      <c r="N2958" s="62" t="s">
        <v>46293</v>
      </c>
      <c r="O2958" s="62" t="s">
        <v>46294</v>
      </c>
      <c r="P2958" s="62" t="s">
        <v>47294</v>
      </c>
      <c r="Q2958" s="62" t="s">
        <v>46295</v>
      </c>
      <c r="R2958" s="62" t="s">
        <v>46296</v>
      </c>
      <c r="S2958" s="62" t="s">
        <v>46297</v>
      </c>
      <c r="U2958" s="62" t="s">
        <v>46298</v>
      </c>
      <c r="V2958" s="62" t="s">
        <v>47340</v>
      </c>
      <c r="W2958" s="62" t="s">
        <v>46299</v>
      </c>
      <c r="X2958" s="62" t="s">
        <v>46300</v>
      </c>
      <c r="Y2958" s="62" t="s">
        <v>46301</v>
      </c>
      <c r="Z2958" s="62" t="s">
        <v>46302</v>
      </c>
      <c r="AA2958" s="62" t="s">
        <v>47386</v>
      </c>
      <c r="AB2958" s="62" t="s">
        <v>46303</v>
      </c>
      <c r="AC2958" s="62" t="s">
        <v>46304</v>
      </c>
      <c r="AD2958" s="62" t="s">
        <v>46305</v>
      </c>
    </row>
    <row r="2959" spans="1:30" x14ac:dyDescent="0.25">
      <c r="A2959" s="62" t="s">
        <v>109</v>
      </c>
      <c r="C2959" s="62" t="s">
        <v>37726</v>
      </c>
    </row>
    <row r="2960" spans="1:30" x14ac:dyDescent="0.25">
      <c r="A2960" s="62" t="s">
        <v>109</v>
      </c>
      <c r="C2960" s="62" t="s">
        <v>38342</v>
      </c>
      <c r="G2960" s="62" t="s">
        <v>46306</v>
      </c>
      <c r="J2960" s="62" t="s">
        <v>46307</v>
      </c>
      <c r="K2960" s="62" t="s">
        <v>46308</v>
      </c>
      <c r="L2960" s="62" t="s">
        <v>46309</v>
      </c>
      <c r="M2960" s="62" t="s">
        <v>38343</v>
      </c>
      <c r="N2960" s="62" t="s">
        <v>38344</v>
      </c>
      <c r="O2960" s="62" t="s">
        <v>46310</v>
      </c>
      <c r="P2960" s="62" t="s">
        <v>46311</v>
      </c>
      <c r="Q2960" s="62" t="s">
        <v>46312</v>
      </c>
      <c r="R2960" s="62" t="s">
        <v>38345</v>
      </c>
      <c r="S2960" s="62" t="s">
        <v>38346</v>
      </c>
      <c r="U2960" s="62" t="s">
        <v>46313</v>
      </c>
      <c r="V2960" s="62" t="s">
        <v>46314</v>
      </c>
      <c r="W2960" s="62" t="s">
        <v>46315</v>
      </c>
      <c r="X2960" s="62" t="s">
        <v>38347</v>
      </c>
      <c r="Y2960" s="62" t="s">
        <v>38348</v>
      </c>
      <c r="Z2960" s="62" t="s">
        <v>46316</v>
      </c>
      <c r="AA2960" s="62" t="s">
        <v>46317</v>
      </c>
      <c r="AB2960" s="62" t="s">
        <v>46318</v>
      </c>
      <c r="AC2960" s="62" t="s">
        <v>38349</v>
      </c>
      <c r="AD2960" s="62" t="s">
        <v>38350</v>
      </c>
    </row>
    <row r="2961" spans="1:30" x14ac:dyDescent="0.25">
      <c r="A2961" s="62" t="s">
        <v>109</v>
      </c>
    </row>
    <row r="2962" spans="1:30" x14ac:dyDescent="0.25">
      <c r="A2962" s="62" t="s">
        <v>109</v>
      </c>
      <c r="C2962" s="62" t="s">
        <v>46319</v>
      </c>
      <c r="E2962" s="62" t="s">
        <v>39699</v>
      </c>
      <c r="G2962" s="62" t="s">
        <v>46320</v>
      </c>
    </row>
    <row r="2963" spans="1:30" x14ac:dyDescent="0.25">
      <c r="A2963" s="62" t="s">
        <v>109</v>
      </c>
      <c r="C2963" s="62" t="s">
        <v>38351</v>
      </c>
    </row>
    <row r="2964" spans="1:30" x14ac:dyDescent="0.25">
      <c r="A2964" s="62" t="s">
        <v>109</v>
      </c>
      <c r="C2964" s="62" t="s">
        <v>38352</v>
      </c>
      <c r="F2964" s="62" t="s">
        <v>46321</v>
      </c>
      <c r="G2964" s="62" t="s">
        <v>46982</v>
      </c>
      <c r="J2964" s="62" t="s">
        <v>38353</v>
      </c>
      <c r="K2964" s="62" t="s">
        <v>47017</v>
      </c>
      <c r="L2964" s="62" t="s">
        <v>38354</v>
      </c>
      <c r="M2964" s="62" t="s">
        <v>38355</v>
      </c>
      <c r="N2964" s="62" t="s">
        <v>38356</v>
      </c>
      <c r="O2964" s="62" t="s">
        <v>38357</v>
      </c>
      <c r="P2964" s="62" t="s">
        <v>47052</v>
      </c>
      <c r="Q2964" s="62" t="s">
        <v>38358</v>
      </c>
      <c r="R2964" s="62" t="s">
        <v>38359</v>
      </c>
      <c r="S2964" s="62" t="s">
        <v>38360</v>
      </c>
      <c r="U2964" s="62" t="s">
        <v>38361</v>
      </c>
      <c r="V2964" s="62" t="s">
        <v>47087</v>
      </c>
      <c r="W2964" s="62" t="s">
        <v>38362</v>
      </c>
      <c r="X2964" s="62" t="s">
        <v>38363</v>
      </c>
      <c r="Y2964" s="62" t="s">
        <v>38364</v>
      </c>
      <c r="Z2964" s="62" t="s">
        <v>38365</v>
      </c>
      <c r="AA2964" s="62" t="s">
        <v>47122</v>
      </c>
      <c r="AB2964" s="62" t="s">
        <v>38366</v>
      </c>
      <c r="AC2964" s="62" t="s">
        <v>38367</v>
      </c>
      <c r="AD2964" s="62" t="s">
        <v>38368</v>
      </c>
    </row>
    <row r="2965" spans="1:30" x14ac:dyDescent="0.25">
      <c r="A2965" s="62" t="s">
        <v>109</v>
      </c>
      <c r="C2965" s="62" t="s">
        <v>38369</v>
      </c>
      <c r="F2965" s="62" t="s">
        <v>872</v>
      </c>
      <c r="G2965" s="62" t="s">
        <v>46983</v>
      </c>
      <c r="J2965" s="62" t="s">
        <v>38370</v>
      </c>
      <c r="K2965" s="62" t="s">
        <v>47018</v>
      </c>
      <c r="L2965" s="62" t="s">
        <v>38371</v>
      </c>
      <c r="M2965" s="62" t="s">
        <v>38372</v>
      </c>
      <c r="N2965" s="62" t="s">
        <v>38373</v>
      </c>
      <c r="O2965" s="62" t="s">
        <v>38374</v>
      </c>
      <c r="P2965" s="62" t="s">
        <v>47053</v>
      </c>
      <c r="Q2965" s="62" t="s">
        <v>38375</v>
      </c>
      <c r="R2965" s="62" t="s">
        <v>38376</v>
      </c>
      <c r="S2965" s="62" t="s">
        <v>38377</v>
      </c>
      <c r="U2965" s="62" t="s">
        <v>38378</v>
      </c>
      <c r="V2965" s="62" t="s">
        <v>47088</v>
      </c>
      <c r="W2965" s="62" t="s">
        <v>38379</v>
      </c>
      <c r="X2965" s="62" t="s">
        <v>38380</v>
      </c>
      <c r="Y2965" s="62" t="s">
        <v>38381</v>
      </c>
      <c r="Z2965" s="62" t="s">
        <v>38382</v>
      </c>
      <c r="AA2965" s="62" t="s">
        <v>47123</v>
      </c>
      <c r="AB2965" s="62" t="s">
        <v>38383</v>
      </c>
      <c r="AC2965" s="62" t="s">
        <v>38384</v>
      </c>
      <c r="AD2965" s="62" t="s">
        <v>38385</v>
      </c>
    </row>
    <row r="2966" spans="1:30" x14ac:dyDescent="0.25">
      <c r="A2966" s="62" t="s">
        <v>109</v>
      </c>
      <c r="C2966" s="62" t="s">
        <v>38386</v>
      </c>
      <c r="F2966" s="62" t="s">
        <v>10293</v>
      </c>
      <c r="G2966" s="62" t="s">
        <v>46984</v>
      </c>
      <c r="J2966" s="62" t="s">
        <v>38387</v>
      </c>
      <c r="K2966" s="62" t="s">
        <v>47019</v>
      </c>
      <c r="L2966" s="62" t="s">
        <v>38388</v>
      </c>
      <c r="M2966" s="62" t="s">
        <v>38389</v>
      </c>
      <c r="N2966" s="62" t="s">
        <v>38390</v>
      </c>
      <c r="O2966" s="62" t="s">
        <v>38391</v>
      </c>
      <c r="P2966" s="62" t="s">
        <v>47054</v>
      </c>
      <c r="Q2966" s="62" t="s">
        <v>38392</v>
      </c>
      <c r="R2966" s="62" t="s">
        <v>38393</v>
      </c>
      <c r="S2966" s="62" t="s">
        <v>38394</v>
      </c>
      <c r="U2966" s="62" t="s">
        <v>38395</v>
      </c>
      <c r="V2966" s="62" t="s">
        <v>47089</v>
      </c>
      <c r="W2966" s="62" t="s">
        <v>38396</v>
      </c>
      <c r="X2966" s="62" t="s">
        <v>38397</v>
      </c>
      <c r="Y2966" s="62" t="s">
        <v>38398</v>
      </c>
      <c r="Z2966" s="62" t="s">
        <v>38399</v>
      </c>
      <c r="AA2966" s="62" t="s">
        <v>47124</v>
      </c>
      <c r="AB2966" s="62" t="s">
        <v>38400</v>
      </c>
      <c r="AC2966" s="62" t="s">
        <v>38401</v>
      </c>
      <c r="AD2966" s="62" t="s">
        <v>38402</v>
      </c>
    </row>
    <row r="2967" spans="1:30" x14ac:dyDescent="0.25">
      <c r="A2967" s="62" t="s">
        <v>109</v>
      </c>
      <c r="C2967" s="62" t="s">
        <v>38403</v>
      </c>
      <c r="F2967" s="62" t="s">
        <v>985</v>
      </c>
      <c r="G2967" s="62" t="s">
        <v>46985</v>
      </c>
      <c r="J2967" s="62" t="s">
        <v>38404</v>
      </c>
      <c r="K2967" s="62" t="s">
        <v>47020</v>
      </c>
      <c r="L2967" s="62" t="s">
        <v>38405</v>
      </c>
      <c r="M2967" s="62" t="s">
        <v>38406</v>
      </c>
      <c r="N2967" s="62" t="s">
        <v>38407</v>
      </c>
      <c r="O2967" s="62" t="s">
        <v>38408</v>
      </c>
      <c r="P2967" s="62" t="s">
        <v>47055</v>
      </c>
      <c r="Q2967" s="62" t="s">
        <v>38409</v>
      </c>
      <c r="R2967" s="62" t="s">
        <v>38410</v>
      </c>
      <c r="S2967" s="62" t="s">
        <v>38411</v>
      </c>
      <c r="U2967" s="62" t="s">
        <v>38412</v>
      </c>
      <c r="V2967" s="62" t="s">
        <v>47090</v>
      </c>
      <c r="W2967" s="62" t="s">
        <v>38413</v>
      </c>
      <c r="X2967" s="62" t="s">
        <v>38414</v>
      </c>
      <c r="Y2967" s="62" t="s">
        <v>38415</v>
      </c>
      <c r="Z2967" s="62" t="s">
        <v>38416</v>
      </c>
      <c r="AA2967" s="62" t="s">
        <v>47125</v>
      </c>
      <c r="AB2967" s="62" t="s">
        <v>38417</v>
      </c>
      <c r="AC2967" s="62" t="s">
        <v>38418</v>
      </c>
      <c r="AD2967" s="62" t="s">
        <v>38419</v>
      </c>
    </row>
    <row r="2968" spans="1:30" x14ac:dyDescent="0.25">
      <c r="A2968" s="62" t="s">
        <v>109</v>
      </c>
      <c r="C2968" s="62" t="s">
        <v>38420</v>
      </c>
      <c r="F2968" s="62" t="s">
        <v>10314</v>
      </c>
      <c r="G2968" s="62" t="s">
        <v>46986</v>
      </c>
      <c r="J2968" s="62" t="s">
        <v>38421</v>
      </c>
      <c r="K2968" s="62" t="s">
        <v>47021</v>
      </c>
      <c r="L2968" s="62" t="s">
        <v>38422</v>
      </c>
      <c r="M2968" s="62" t="s">
        <v>38423</v>
      </c>
      <c r="N2968" s="62" t="s">
        <v>38424</v>
      </c>
      <c r="O2968" s="62" t="s">
        <v>38425</v>
      </c>
      <c r="P2968" s="62" t="s">
        <v>47056</v>
      </c>
      <c r="Q2968" s="62" t="s">
        <v>38426</v>
      </c>
      <c r="R2968" s="62" t="s">
        <v>38427</v>
      </c>
      <c r="S2968" s="62" t="s">
        <v>38428</v>
      </c>
      <c r="U2968" s="62" t="s">
        <v>38429</v>
      </c>
      <c r="V2968" s="62" t="s">
        <v>47091</v>
      </c>
      <c r="W2968" s="62" t="s">
        <v>38430</v>
      </c>
      <c r="X2968" s="62" t="s">
        <v>38431</v>
      </c>
      <c r="Y2968" s="62" t="s">
        <v>38432</v>
      </c>
      <c r="Z2968" s="62" t="s">
        <v>38433</v>
      </c>
      <c r="AA2968" s="62" t="s">
        <v>47126</v>
      </c>
      <c r="AB2968" s="62" t="s">
        <v>38434</v>
      </c>
      <c r="AC2968" s="62" t="s">
        <v>38435</v>
      </c>
      <c r="AD2968" s="62" t="s">
        <v>38436</v>
      </c>
    </row>
    <row r="2969" spans="1:30" x14ac:dyDescent="0.25">
      <c r="A2969" s="62" t="s">
        <v>109</v>
      </c>
      <c r="C2969" s="62" t="s">
        <v>38437</v>
      </c>
      <c r="F2969" s="62" t="s">
        <v>10350</v>
      </c>
      <c r="G2969" s="62" t="s">
        <v>46987</v>
      </c>
      <c r="J2969" s="62" t="s">
        <v>38438</v>
      </c>
      <c r="K2969" s="62" t="s">
        <v>47022</v>
      </c>
      <c r="L2969" s="62" t="s">
        <v>38439</v>
      </c>
      <c r="M2969" s="62" t="s">
        <v>38440</v>
      </c>
      <c r="N2969" s="62" t="s">
        <v>38441</v>
      </c>
      <c r="O2969" s="62" t="s">
        <v>38442</v>
      </c>
      <c r="P2969" s="62" t="s">
        <v>47057</v>
      </c>
      <c r="Q2969" s="62" t="s">
        <v>38443</v>
      </c>
      <c r="R2969" s="62" t="s">
        <v>38444</v>
      </c>
      <c r="S2969" s="62" t="s">
        <v>38445</v>
      </c>
      <c r="U2969" s="62" t="s">
        <v>38446</v>
      </c>
      <c r="V2969" s="62" t="s">
        <v>47092</v>
      </c>
      <c r="W2969" s="62" t="s">
        <v>38447</v>
      </c>
      <c r="X2969" s="62" t="s">
        <v>38448</v>
      </c>
      <c r="Y2969" s="62" t="s">
        <v>38449</v>
      </c>
      <c r="Z2969" s="62" t="s">
        <v>38450</v>
      </c>
      <c r="AA2969" s="62" t="s">
        <v>47127</v>
      </c>
      <c r="AB2969" s="62" t="s">
        <v>38451</v>
      </c>
      <c r="AC2969" s="62" t="s">
        <v>38452</v>
      </c>
      <c r="AD2969" s="62" t="s">
        <v>38453</v>
      </c>
    </row>
    <row r="2970" spans="1:30" x14ac:dyDescent="0.25">
      <c r="A2970" s="62" t="s">
        <v>109</v>
      </c>
      <c r="C2970" s="62" t="s">
        <v>38454</v>
      </c>
      <c r="F2970" s="62" t="s">
        <v>10422</v>
      </c>
      <c r="G2970" s="62" t="s">
        <v>46988</v>
      </c>
      <c r="J2970" s="62" t="s">
        <v>38455</v>
      </c>
      <c r="K2970" s="62" t="s">
        <v>47023</v>
      </c>
      <c r="L2970" s="62" t="s">
        <v>38456</v>
      </c>
      <c r="M2970" s="62" t="s">
        <v>38457</v>
      </c>
      <c r="N2970" s="62" t="s">
        <v>38458</v>
      </c>
      <c r="O2970" s="62" t="s">
        <v>38459</v>
      </c>
      <c r="P2970" s="62" t="s">
        <v>47058</v>
      </c>
      <c r="Q2970" s="62" t="s">
        <v>38460</v>
      </c>
      <c r="R2970" s="62" t="s">
        <v>38461</v>
      </c>
      <c r="S2970" s="62" t="s">
        <v>38462</v>
      </c>
      <c r="U2970" s="62" t="s">
        <v>38463</v>
      </c>
      <c r="V2970" s="62" t="s">
        <v>47093</v>
      </c>
      <c r="W2970" s="62" t="s">
        <v>38464</v>
      </c>
      <c r="X2970" s="62" t="s">
        <v>38465</v>
      </c>
      <c r="Y2970" s="62" t="s">
        <v>38466</v>
      </c>
      <c r="Z2970" s="62" t="s">
        <v>38467</v>
      </c>
      <c r="AA2970" s="62" t="s">
        <v>47128</v>
      </c>
      <c r="AB2970" s="62" t="s">
        <v>38468</v>
      </c>
      <c r="AC2970" s="62" t="s">
        <v>38469</v>
      </c>
      <c r="AD2970" s="62" t="s">
        <v>38470</v>
      </c>
    </row>
    <row r="2971" spans="1:30" x14ac:dyDescent="0.25">
      <c r="A2971" s="62" t="s">
        <v>109</v>
      </c>
      <c r="C2971" s="62" t="s">
        <v>46322</v>
      </c>
      <c r="F2971" s="62" t="s">
        <v>1012</v>
      </c>
      <c r="G2971" s="62" t="s">
        <v>46989</v>
      </c>
      <c r="J2971" s="62" t="s">
        <v>46323</v>
      </c>
      <c r="K2971" s="62" t="s">
        <v>47024</v>
      </c>
      <c r="L2971" s="62" t="s">
        <v>46324</v>
      </c>
      <c r="M2971" s="62" t="s">
        <v>46325</v>
      </c>
      <c r="N2971" s="62" t="s">
        <v>46326</v>
      </c>
      <c r="O2971" s="62" t="s">
        <v>46327</v>
      </c>
      <c r="P2971" s="62" t="s">
        <v>47059</v>
      </c>
      <c r="Q2971" s="62" t="s">
        <v>46328</v>
      </c>
      <c r="R2971" s="62" t="s">
        <v>46329</v>
      </c>
      <c r="S2971" s="62" t="s">
        <v>46330</v>
      </c>
      <c r="U2971" s="62" t="s">
        <v>46331</v>
      </c>
      <c r="V2971" s="62" t="s">
        <v>47094</v>
      </c>
      <c r="W2971" s="62" t="s">
        <v>46332</v>
      </c>
      <c r="X2971" s="62" t="s">
        <v>46333</v>
      </c>
      <c r="Y2971" s="62" t="s">
        <v>46334</v>
      </c>
      <c r="Z2971" s="62" t="s">
        <v>46335</v>
      </c>
      <c r="AA2971" s="62" t="s">
        <v>47129</v>
      </c>
      <c r="AB2971" s="62" t="s">
        <v>46336</v>
      </c>
      <c r="AC2971" s="62" t="s">
        <v>46337</v>
      </c>
      <c r="AD2971" s="62" t="s">
        <v>46338</v>
      </c>
    </row>
    <row r="2972" spans="1:30" x14ac:dyDescent="0.25">
      <c r="A2972" s="62" t="s">
        <v>109</v>
      </c>
      <c r="C2972" s="62" t="s">
        <v>38471</v>
      </c>
      <c r="F2972" s="62" t="s">
        <v>1047</v>
      </c>
      <c r="G2972" s="62" t="s">
        <v>46990</v>
      </c>
      <c r="J2972" s="62" t="s">
        <v>46339</v>
      </c>
      <c r="K2972" s="62" t="s">
        <v>47025</v>
      </c>
      <c r="L2972" s="62" t="s">
        <v>46340</v>
      </c>
      <c r="M2972" s="62" t="s">
        <v>38472</v>
      </c>
      <c r="N2972" s="62" t="s">
        <v>38473</v>
      </c>
      <c r="O2972" s="62" t="s">
        <v>46341</v>
      </c>
      <c r="P2972" s="62" t="s">
        <v>47060</v>
      </c>
      <c r="Q2972" s="62" t="s">
        <v>46342</v>
      </c>
      <c r="R2972" s="62" t="s">
        <v>38474</v>
      </c>
      <c r="S2972" s="62" t="s">
        <v>38475</v>
      </c>
      <c r="U2972" s="62" t="s">
        <v>46343</v>
      </c>
      <c r="V2972" s="62" t="s">
        <v>47095</v>
      </c>
      <c r="W2972" s="62" t="s">
        <v>46344</v>
      </c>
      <c r="X2972" s="62" t="s">
        <v>38476</v>
      </c>
      <c r="Y2972" s="62" t="s">
        <v>38477</v>
      </c>
      <c r="Z2972" s="62" t="s">
        <v>46345</v>
      </c>
      <c r="AA2972" s="62" t="s">
        <v>47130</v>
      </c>
      <c r="AB2972" s="62" t="s">
        <v>46346</v>
      </c>
      <c r="AC2972" s="62" t="s">
        <v>38478</v>
      </c>
      <c r="AD2972" s="62" t="s">
        <v>38479</v>
      </c>
    </row>
    <row r="2973" spans="1:30" x14ac:dyDescent="0.25">
      <c r="A2973" s="62" t="s">
        <v>109</v>
      </c>
      <c r="C2973" s="62" t="s">
        <v>46347</v>
      </c>
      <c r="F2973" s="62" t="s">
        <v>1064</v>
      </c>
      <c r="G2973" s="62" t="s">
        <v>46991</v>
      </c>
      <c r="J2973" s="62" t="s">
        <v>46348</v>
      </c>
      <c r="K2973" s="62" t="s">
        <v>47026</v>
      </c>
      <c r="L2973" s="62" t="s">
        <v>46349</v>
      </c>
      <c r="M2973" s="62" t="s">
        <v>46350</v>
      </c>
      <c r="N2973" s="62" t="s">
        <v>46351</v>
      </c>
      <c r="O2973" s="62" t="s">
        <v>46352</v>
      </c>
      <c r="P2973" s="62" t="s">
        <v>47061</v>
      </c>
      <c r="Q2973" s="62" t="s">
        <v>46353</v>
      </c>
      <c r="R2973" s="62" t="s">
        <v>46354</v>
      </c>
      <c r="S2973" s="62" t="s">
        <v>46355</v>
      </c>
      <c r="U2973" s="62" t="s">
        <v>46356</v>
      </c>
      <c r="V2973" s="62" t="s">
        <v>47096</v>
      </c>
      <c r="W2973" s="62" t="s">
        <v>46357</v>
      </c>
      <c r="X2973" s="62" t="s">
        <v>46358</v>
      </c>
      <c r="Y2973" s="62" t="s">
        <v>46359</v>
      </c>
      <c r="Z2973" s="62" t="s">
        <v>46360</v>
      </c>
      <c r="AA2973" s="62" t="s">
        <v>47131</v>
      </c>
      <c r="AB2973" s="62" t="s">
        <v>46361</v>
      </c>
      <c r="AC2973" s="62" t="s">
        <v>46362</v>
      </c>
      <c r="AD2973" s="62" t="s">
        <v>46363</v>
      </c>
    </row>
    <row r="2974" spans="1:30" x14ac:dyDescent="0.25">
      <c r="A2974" s="62" t="s">
        <v>109</v>
      </c>
      <c r="C2974" s="62" t="s">
        <v>46364</v>
      </c>
      <c r="F2974" s="62" t="s">
        <v>1073</v>
      </c>
      <c r="G2974" s="62" t="s">
        <v>46992</v>
      </c>
      <c r="J2974" s="62" t="s">
        <v>46365</v>
      </c>
      <c r="K2974" s="62" t="s">
        <v>47027</v>
      </c>
      <c r="L2974" s="62" t="s">
        <v>46366</v>
      </c>
      <c r="M2974" s="62" t="s">
        <v>46367</v>
      </c>
      <c r="N2974" s="62" t="s">
        <v>46368</v>
      </c>
      <c r="O2974" s="62" t="s">
        <v>46369</v>
      </c>
      <c r="P2974" s="62" t="s">
        <v>47062</v>
      </c>
      <c r="Q2974" s="62" t="s">
        <v>46370</v>
      </c>
      <c r="R2974" s="62" t="s">
        <v>46371</v>
      </c>
      <c r="S2974" s="62" t="s">
        <v>46372</v>
      </c>
      <c r="U2974" s="62" t="s">
        <v>46373</v>
      </c>
      <c r="V2974" s="62" t="s">
        <v>47097</v>
      </c>
      <c r="W2974" s="62" t="s">
        <v>46374</v>
      </c>
      <c r="X2974" s="62" t="s">
        <v>46375</v>
      </c>
      <c r="Y2974" s="62" t="s">
        <v>46376</v>
      </c>
      <c r="Z2974" s="62" t="s">
        <v>46377</v>
      </c>
      <c r="AA2974" s="62" t="s">
        <v>47132</v>
      </c>
      <c r="AB2974" s="62" t="s">
        <v>46378</v>
      </c>
      <c r="AC2974" s="62" t="s">
        <v>46379</v>
      </c>
      <c r="AD2974" s="62" t="s">
        <v>46380</v>
      </c>
    </row>
    <row r="2975" spans="1:30" x14ac:dyDescent="0.25">
      <c r="A2975" s="62" t="s">
        <v>109</v>
      </c>
      <c r="C2975" s="62" t="s">
        <v>38481</v>
      </c>
      <c r="F2975" s="62" t="s">
        <v>1100</v>
      </c>
      <c r="G2975" s="62" t="s">
        <v>46993</v>
      </c>
      <c r="J2975" s="62" t="s">
        <v>46381</v>
      </c>
      <c r="K2975" s="62" t="s">
        <v>47028</v>
      </c>
      <c r="L2975" s="62" t="s">
        <v>46382</v>
      </c>
      <c r="M2975" s="62" t="s">
        <v>46383</v>
      </c>
      <c r="N2975" s="62" t="s">
        <v>46384</v>
      </c>
      <c r="O2975" s="62" t="s">
        <v>46385</v>
      </c>
      <c r="P2975" s="62" t="s">
        <v>47063</v>
      </c>
      <c r="Q2975" s="62" t="s">
        <v>46386</v>
      </c>
      <c r="R2975" s="62" t="s">
        <v>46387</v>
      </c>
      <c r="S2975" s="62" t="s">
        <v>46388</v>
      </c>
      <c r="U2975" s="62" t="s">
        <v>46389</v>
      </c>
      <c r="V2975" s="62" t="s">
        <v>47098</v>
      </c>
      <c r="W2975" s="62" t="s">
        <v>46390</v>
      </c>
      <c r="X2975" s="62" t="s">
        <v>46391</v>
      </c>
      <c r="Y2975" s="62" t="s">
        <v>46392</v>
      </c>
      <c r="Z2975" s="62" t="s">
        <v>46393</v>
      </c>
      <c r="AA2975" s="62" t="s">
        <v>47133</v>
      </c>
      <c r="AB2975" s="62" t="s">
        <v>46394</v>
      </c>
      <c r="AC2975" s="62" t="s">
        <v>46395</v>
      </c>
      <c r="AD2975" s="62" t="s">
        <v>46396</v>
      </c>
    </row>
    <row r="2976" spans="1:30" x14ac:dyDescent="0.25">
      <c r="A2976" s="62" t="s">
        <v>109</v>
      </c>
      <c r="C2976" s="62" t="s">
        <v>38482</v>
      </c>
      <c r="F2976" s="62" t="s">
        <v>2355</v>
      </c>
      <c r="G2976" s="62" t="s">
        <v>46994</v>
      </c>
      <c r="J2976" s="62" t="s">
        <v>38483</v>
      </c>
      <c r="K2976" s="62" t="s">
        <v>47029</v>
      </c>
      <c r="L2976" s="62" t="s">
        <v>38484</v>
      </c>
      <c r="M2976" s="62" t="s">
        <v>38485</v>
      </c>
      <c r="N2976" s="62" t="s">
        <v>38486</v>
      </c>
      <c r="O2976" s="62" t="s">
        <v>38487</v>
      </c>
      <c r="P2976" s="62" t="s">
        <v>47064</v>
      </c>
      <c r="Q2976" s="62" t="s">
        <v>38488</v>
      </c>
      <c r="R2976" s="62" t="s">
        <v>38489</v>
      </c>
      <c r="S2976" s="62" t="s">
        <v>38490</v>
      </c>
      <c r="U2976" s="62" t="s">
        <v>38491</v>
      </c>
      <c r="V2976" s="62" t="s">
        <v>47099</v>
      </c>
      <c r="W2976" s="62" t="s">
        <v>38492</v>
      </c>
      <c r="X2976" s="62" t="s">
        <v>38493</v>
      </c>
      <c r="Y2976" s="62" t="s">
        <v>38494</v>
      </c>
      <c r="Z2976" s="62" t="s">
        <v>38495</v>
      </c>
      <c r="AA2976" s="62" t="s">
        <v>47134</v>
      </c>
      <c r="AB2976" s="62" t="s">
        <v>38496</v>
      </c>
      <c r="AC2976" s="62" t="s">
        <v>38497</v>
      </c>
      <c r="AD2976" s="62" t="s">
        <v>38498</v>
      </c>
    </row>
    <row r="2977" spans="1:30" x14ac:dyDescent="0.25">
      <c r="A2977" s="62" t="s">
        <v>109</v>
      </c>
      <c r="C2977" s="62" t="s">
        <v>38499</v>
      </c>
      <c r="F2977" s="62" t="s">
        <v>10577</v>
      </c>
      <c r="G2977" s="62" t="s">
        <v>46995</v>
      </c>
      <c r="J2977" s="62" t="s">
        <v>38500</v>
      </c>
      <c r="K2977" s="62" t="s">
        <v>47030</v>
      </c>
      <c r="L2977" s="62" t="s">
        <v>38501</v>
      </c>
      <c r="M2977" s="62" t="s">
        <v>38502</v>
      </c>
      <c r="N2977" s="62" t="s">
        <v>38503</v>
      </c>
      <c r="O2977" s="62" t="s">
        <v>38504</v>
      </c>
      <c r="P2977" s="62" t="s">
        <v>47065</v>
      </c>
      <c r="Q2977" s="62" t="s">
        <v>38505</v>
      </c>
      <c r="R2977" s="62" t="s">
        <v>38506</v>
      </c>
      <c r="S2977" s="62" t="s">
        <v>38507</v>
      </c>
      <c r="U2977" s="62" t="s">
        <v>38508</v>
      </c>
      <c r="V2977" s="62" t="s">
        <v>47100</v>
      </c>
      <c r="W2977" s="62" t="s">
        <v>38509</v>
      </c>
      <c r="X2977" s="62" t="s">
        <v>38510</v>
      </c>
      <c r="Y2977" s="62" t="s">
        <v>38511</v>
      </c>
      <c r="Z2977" s="62" t="s">
        <v>38512</v>
      </c>
      <c r="AA2977" s="62" t="s">
        <v>47135</v>
      </c>
      <c r="AB2977" s="62" t="s">
        <v>38513</v>
      </c>
      <c r="AC2977" s="62" t="s">
        <v>38514</v>
      </c>
      <c r="AD2977" s="62" t="s">
        <v>38515</v>
      </c>
    </row>
    <row r="2978" spans="1:30" x14ac:dyDescent="0.25">
      <c r="A2978" s="62" t="s">
        <v>109</v>
      </c>
      <c r="C2978" s="62" t="s">
        <v>38516</v>
      </c>
      <c r="F2978" s="62" t="s">
        <v>10595</v>
      </c>
      <c r="G2978" s="62" t="s">
        <v>46996</v>
      </c>
      <c r="J2978" s="62" t="s">
        <v>38517</v>
      </c>
      <c r="K2978" s="62" t="s">
        <v>47031</v>
      </c>
      <c r="L2978" s="62" t="s">
        <v>38518</v>
      </c>
      <c r="M2978" s="62" t="s">
        <v>38519</v>
      </c>
      <c r="N2978" s="62" t="s">
        <v>38520</v>
      </c>
      <c r="O2978" s="62" t="s">
        <v>38521</v>
      </c>
      <c r="P2978" s="62" t="s">
        <v>47066</v>
      </c>
      <c r="Q2978" s="62" t="s">
        <v>38522</v>
      </c>
      <c r="R2978" s="62" t="s">
        <v>38523</v>
      </c>
      <c r="S2978" s="62" t="s">
        <v>38524</v>
      </c>
      <c r="U2978" s="62" t="s">
        <v>38525</v>
      </c>
      <c r="V2978" s="62" t="s">
        <v>47101</v>
      </c>
      <c r="W2978" s="62" t="s">
        <v>38526</v>
      </c>
      <c r="X2978" s="62" t="s">
        <v>38527</v>
      </c>
      <c r="Y2978" s="62" t="s">
        <v>38528</v>
      </c>
      <c r="Z2978" s="62" t="s">
        <v>38529</v>
      </c>
      <c r="AA2978" s="62" t="s">
        <v>47136</v>
      </c>
      <c r="AB2978" s="62" t="s">
        <v>38530</v>
      </c>
      <c r="AC2978" s="62" t="s">
        <v>38531</v>
      </c>
      <c r="AD2978" s="62" t="s">
        <v>38532</v>
      </c>
    </row>
    <row r="2979" spans="1:30" x14ac:dyDescent="0.25">
      <c r="A2979" s="62" t="s">
        <v>109</v>
      </c>
      <c r="C2979" s="62" t="s">
        <v>38533</v>
      </c>
      <c r="F2979" s="62" t="s">
        <v>10613</v>
      </c>
      <c r="G2979" s="62" t="s">
        <v>46997</v>
      </c>
      <c r="J2979" s="62" t="s">
        <v>38534</v>
      </c>
      <c r="K2979" s="62" t="s">
        <v>47032</v>
      </c>
      <c r="L2979" s="62" t="s">
        <v>38535</v>
      </c>
      <c r="M2979" s="62" t="s">
        <v>38536</v>
      </c>
      <c r="N2979" s="62" t="s">
        <v>38537</v>
      </c>
      <c r="O2979" s="62" t="s">
        <v>38538</v>
      </c>
      <c r="P2979" s="62" t="s">
        <v>47067</v>
      </c>
      <c r="Q2979" s="62" t="s">
        <v>38539</v>
      </c>
      <c r="R2979" s="62" t="s">
        <v>38540</v>
      </c>
      <c r="S2979" s="62" t="s">
        <v>38541</v>
      </c>
      <c r="U2979" s="62" t="s">
        <v>38542</v>
      </c>
      <c r="V2979" s="62" t="s">
        <v>47102</v>
      </c>
      <c r="W2979" s="62" t="s">
        <v>38543</v>
      </c>
      <c r="X2979" s="62" t="s">
        <v>38544</v>
      </c>
      <c r="Y2979" s="62" t="s">
        <v>38545</v>
      </c>
      <c r="Z2979" s="62" t="s">
        <v>38546</v>
      </c>
      <c r="AA2979" s="62" t="s">
        <v>47137</v>
      </c>
      <c r="AB2979" s="62" t="s">
        <v>38547</v>
      </c>
      <c r="AC2979" s="62" t="s">
        <v>38548</v>
      </c>
      <c r="AD2979" s="62" t="s">
        <v>38549</v>
      </c>
    </row>
    <row r="2980" spans="1:30" x14ac:dyDescent="0.25">
      <c r="A2980" s="62" t="s">
        <v>109</v>
      </c>
      <c r="C2980" s="62" t="s">
        <v>38550</v>
      </c>
      <c r="F2980" s="62" t="s">
        <v>10649</v>
      </c>
      <c r="G2980" s="62" t="s">
        <v>46998</v>
      </c>
      <c r="J2980" s="62" t="s">
        <v>38551</v>
      </c>
      <c r="K2980" s="62" t="s">
        <v>47033</v>
      </c>
      <c r="L2980" s="62" t="s">
        <v>38552</v>
      </c>
      <c r="M2980" s="62" t="s">
        <v>38553</v>
      </c>
      <c r="N2980" s="62" t="s">
        <v>38554</v>
      </c>
      <c r="O2980" s="62" t="s">
        <v>38555</v>
      </c>
      <c r="P2980" s="62" t="s">
        <v>47068</v>
      </c>
      <c r="Q2980" s="62" t="s">
        <v>38556</v>
      </c>
      <c r="R2980" s="62" t="s">
        <v>38557</v>
      </c>
      <c r="S2980" s="62" t="s">
        <v>38558</v>
      </c>
      <c r="U2980" s="62" t="s">
        <v>38559</v>
      </c>
      <c r="V2980" s="62" t="s">
        <v>47103</v>
      </c>
      <c r="W2980" s="62" t="s">
        <v>38560</v>
      </c>
      <c r="X2980" s="62" t="s">
        <v>38561</v>
      </c>
      <c r="Y2980" s="62" t="s">
        <v>38562</v>
      </c>
      <c r="Z2980" s="62" t="s">
        <v>38563</v>
      </c>
      <c r="AA2980" s="62" t="s">
        <v>47138</v>
      </c>
      <c r="AB2980" s="62" t="s">
        <v>38564</v>
      </c>
      <c r="AC2980" s="62" t="s">
        <v>38565</v>
      </c>
      <c r="AD2980" s="62" t="s">
        <v>38566</v>
      </c>
    </row>
    <row r="2981" spans="1:30" x14ac:dyDescent="0.25">
      <c r="A2981" s="62" t="s">
        <v>109</v>
      </c>
      <c r="C2981" s="62" t="s">
        <v>38567</v>
      </c>
      <c r="F2981" s="62" t="s">
        <v>10667</v>
      </c>
      <c r="G2981" s="62" t="s">
        <v>46999</v>
      </c>
      <c r="J2981" s="62" t="s">
        <v>38568</v>
      </c>
      <c r="K2981" s="62" t="s">
        <v>47034</v>
      </c>
      <c r="L2981" s="62" t="s">
        <v>38569</v>
      </c>
      <c r="M2981" s="62" t="s">
        <v>38570</v>
      </c>
      <c r="N2981" s="62" t="s">
        <v>38571</v>
      </c>
      <c r="O2981" s="62" t="s">
        <v>38572</v>
      </c>
      <c r="P2981" s="62" t="s">
        <v>47069</v>
      </c>
      <c r="Q2981" s="62" t="s">
        <v>38573</v>
      </c>
      <c r="R2981" s="62" t="s">
        <v>38574</v>
      </c>
      <c r="S2981" s="62" t="s">
        <v>38575</v>
      </c>
      <c r="U2981" s="62" t="s">
        <v>38576</v>
      </c>
      <c r="V2981" s="62" t="s">
        <v>47104</v>
      </c>
      <c r="W2981" s="62" t="s">
        <v>38577</v>
      </c>
      <c r="X2981" s="62" t="s">
        <v>38578</v>
      </c>
      <c r="Y2981" s="62" t="s">
        <v>38579</v>
      </c>
      <c r="Z2981" s="62" t="s">
        <v>38580</v>
      </c>
      <c r="AA2981" s="62" t="s">
        <v>47139</v>
      </c>
      <c r="AB2981" s="62" t="s">
        <v>38581</v>
      </c>
      <c r="AC2981" s="62" t="s">
        <v>38582</v>
      </c>
      <c r="AD2981" s="62" t="s">
        <v>38583</v>
      </c>
    </row>
    <row r="2982" spans="1:30" x14ac:dyDescent="0.25">
      <c r="A2982" s="62" t="s">
        <v>109</v>
      </c>
      <c r="C2982" s="62" t="s">
        <v>38584</v>
      </c>
      <c r="F2982" s="62" t="s">
        <v>10703</v>
      </c>
      <c r="G2982" s="62" t="s">
        <v>47000</v>
      </c>
      <c r="J2982" s="62" t="s">
        <v>38585</v>
      </c>
      <c r="K2982" s="62" t="s">
        <v>47035</v>
      </c>
      <c r="L2982" s="62" t="s">
        <v>38586</v>
      </c>
      <c r="M2982" s="62" t="s">
        <v>38587</v>
      </c>
      <c r="N2982" s="62" t="s">
        <v>38588</v>
      </c>
      <c r="O2982" s="62" t="s">
        <v>38589</v>
      </c>
      <c r="P2982" s="62" t="s">
        <v>47070</v>
      </c>
      <c r="Q2982" s="62" t="s">
        <v>38590</v>
      </c>
      <c r="R2982" s="62" t="s">
        <v>38591</v>
      </c>
      <c r="S2982" s="62" t="s">
        <v>38592</v>
      </c>
      <c r="U2982" s="62" t="s">
        <v>38593</v>
      </c>
      <c r="V2982" s="62" t="s">
        <v>47105</v>
      </c>
      <c r="W2982" s="62" t="s">
        <v>38594</v>
      </c>
      <c r="X2982" s="62" t="s">
        <v>38595</v>
      </c>
      <c r="Y2982" s="62" t="s">
        <v>38596</v>
      </c>
      <c r="Z2982" s="62" t="s">
        <v>38597</v>
      </c>
      <c r="AA2982" s="62" t="s">
        <v>47140</v>
      </c>
      <c r="AB2982" s="62" t="s">
        <v>38598</v>
      </c>
      <c r="AC2982" s="62" t="s">
        <v>38599</v>
      </c>
      <c r="AD2982" s="62" t="s">
        <v>38600</v>
      </c>
    </row>
    <row r="2983" spans="1:30" x14ac:dyDescent="0.25">
      <c r="A2983" s="62" t="s">
        <v>109</v>
      </c>
      <c r="C2983" s="62" t="s">
        <v>38601</v>
      </c>
      <c r="F2983" s="62" t="s">
        <v>10739</v>
      </c>
      <c r="G2983" s="62" t="s">
        <v>47001</v>
      </c>
      <c r="J2983" s="62" t="s">
        <v>38602</v>
      </c>
      <c r="K2983" s="62" t="s">
        <v>47036</v>
      </c>
      <c r="L2983" s="62" t="s">
        <v>38603</v>
      </c>
      <c r="M2983" s="62" t="s">
        <v>38604</v>
      </c>
      <c r="N2983" s="62" t="s">
        <v>38605</v>
      </c>
      <c r="O2983" s="62" t="s">
        <v>38606</v>
      </c>
      <c r="P2983" s="62" t="s">
        <v>47071</v>
      </c>
      <c r="Q2983" s="62" t="s">
        <v>38607</v>
      </c>
      <c r="R2983" s="62" t="s">
        <v>38608</v>
      </c>
      <c r="S2983" s="62" t="s">
        <v>38609</v>
      </c>
      <c r="U2983" s="62" t="s">
        <v>38610</v>
      </c>
      <c r="V2983" s="62" t="s">
        <v>47106</v>
      </c>
      <c r="W2983" s="62" t="s">
        <v>38611</v>
      </c>
      <c r="X2983" s="62" t="s">
        <v>38612</v>
      </c>
      <c r="Y2983" s="62" t="s">
        <v>38613</v>
      </c>
      <c r="Z2983" s="62" t="s">
        <v>38614</v>
      </c>
      <c r="AA2983" s="62" t="s">
        <v>47141</v>
      </c>
      <c r="AB2983" s="62" t="s">
        <v>38615</v>
      </c>
      <c r="AC2983" s="62" t="s">
        <v>38616</v>
      </c>
      <c r="AD2983" s="62" t="s">
        <v>38617</v>
      </c>
    </row>
    <row r="2984" spans="1:30" x14ac:dyDescent="0.25">
      <c r="A2984" s="62" t="s">
        <v>109</v>
      </c>
      <c r="C2984" s="62" t="s">
        <v>38618</v>
      </c>
      <c r="F2984" s="62" t="s">
        <v>10757</v>
      </c>
      <c r="G2984" s="62" t="s">
        <v>47002</v>
      </c>
      <c r="J2984" s="62" t="s">
        <v>38619</v>
      </c>
      <c r="K2984" s="62" t="s">
        <v>47037</v>
      </c>
      <c r="L2984" s="62" t="s">
        <v>38620</v>
      </c>
      <c r="M2984" s="62" t="s">
        <v>38621</v>
      </c>
      <c r="N2984" s="62" t="s">
        <v>38622</v>
      </c>
      <c r="O2984" s="62" t="s">
        <v>38623</v>
      </c>
      <c r="P2984" s="62" t="s">
        <v>47072</v>
      </c>
      <c r="Q2984" s="62" t="s">
        <v>38624</v>
      </c>
      <c r="R2984" s="62" t="s">
        <v>38625</v>
      </c>
      <c r="S2984" s="62" t="s">
        <v>38626</v>
      </c>
      <c r="U2984" s="62" t="s">
        <v>38627</v>
      </c>
      <c r="V2984" s="62" t="s">
        <v>47107</v>
      </c>
      <c r="W2984" s="62" t="s">
        <v>38628</v>
      </c>
      <c r="X2984" s="62" t="s">
        <v>38629</v>
      </c>
      <c r="Y2984" s="62" t="s">
        <v>38630</v>
      </c>
      <c r="Z2984" s="62" t="s">
        <v>38631</v>
      </c>
      <c r="AA2984" s="62" t="s">
        <v>47142</v>
      </c>
      <c r="AB2984" s="62" t="s">
        <v>38632</v>
      </c>
      <c r="AC2984" s="62" t="s">
        <v>38633</v>
      </c>
      <c r="AD2984" s="62" t="s">
        <v>38634</v>
      </c>
    </row>
    <row r="2985" spans="1:30" x14ac:dyDescent="0.25">
      <c r="A2985" s="62" t="s">
        <v>109</v>
      </c>
      <c r="C2985" s="62" t="s">
        <v>38635</v>
      </c>
      <c r="F2985" s="62" t="s">
        <v>10775</v>
      </c>
      <c r="G2985" s="62" t="s">
        <v>47003</v>
      </c>
      <c r="J2985" s="62" t="s">
        <v>38636</v>
      </c>
      <c r="K2985" s="62" t="s">
        <v>47038</v>
      </c>
      <c r="L2985" s="62" t="s">
        <v>38637</v>
      </c>
      <c r="M2985" s="62" t="s">
        <v>38638</v>
      </c>
      <c r="N2985" s="62" t="s">
        <v>38639</v>
      </c>
      <c r="O2985" s="62" t="s">
        <v>38640</v>
      </c>
      <c r="P2985" s="62" t="s">
        <v>47073</v>
      </c>
      <c r="Q2985" s="62" t="s">
        <v>38641</v>
      </c>
      <c r="R2985" s="62" t="s">
        <v>38642</v>
      </c>
      <c r="S2985" s="62" t="s">
        <v>38643</v>
      </c>
      <c r="U2985" s="62" t="s">
        <v>38644</v>
      </c>
      <c r="V2985" s="62" t="s">
        <v>47108</v>
      </c>
      <c r="W2985" s="62" t="s">
        <v>38645</v>
      </c>
      <c r="X2985" s="62" t="s">
        <v>38646</v>
      </c>
      <c r="Y2985" s="62" t="s">
        <v>38647</v>
      </c>
      <c r="Z2985" s="62" t="s">
        <v>38648</v>
      </c>
      <c r="AA2985" s="62" t="s">
        <v>47143</v>
      </c>
      <c r="AB2985" s="62" t="s">
        <v>38649</v>
      </c>
      <c r="AC2985" s="62" t="s">
        <v>38650</v>
      </c>
      <c r="AD2985" s="62" t="s">
        <v>38651</v>
      </c>
    </row>
    <row r="2986" spans="1:30" x14ac:dyDescent="0.25">
      <c r="A2986" s="62" t="s">
        <v>109</v>
      </c>
      <c r="C2986" s="62" t="s">
        <v>38652</v>
      </c>
      <c r="F2986" s="62" t="s">
        <v>10793</v>
      </c>
      <c r="G2986" s="62" t="s">
        <v>47004</v>
      </c>
      <c r="J2986" s="62" t="s">
        <v>38653</v>
      </c>
      <c r="K2986" s="62" t="s">
        <v>47039</v>
      </c>
      <c r="L2986" s="62" t="s">
        <v>38654</v>
      </c>
      <c r="M2986" s="62" t="s">
        <v>38655</v>
      </c>
      <c r="N2986" s="62" t="s">
        <v>38656</v>
      </c>
      <c r="O2986" s="62" t="s">
        <v>38657</v>
      </c>
      <c r="P2986" s="62" t="s">
        <v>47074</v>
      </c>
      <c r="Q2986" s="62" t="s">
        <v>38658</v>
      </c>
      <c r="R2986" s="62" t="s">
        <v>38659</v>
      </c>
      <c r="S2986" s="62" t="s">
        <v>38660</v>
      </c>
      <c r="U2986" s="62" t="s">
        <v>38661</v>
      </c>
      <c r="V2986" s="62" t="s">
        <v>47109</v>
      </c>
      <c r="W2986" s="62" t="s">
        <v>38662</v>
      </c>
      <c r="X2986" s="62" t="s">
        <v>38663</v>
      </c>
      <c r="Y2986" s="62" t="s">
        <v>38664</v>
      </c>
      <c r="Z2986" s="62" t="s">
        <v>38665</v>
      </c>
      <c r="AA2986" s="62" t="s">
        <v>47144</v>
      </c>
      <c r="AB2986" s="62" t="s">
        <v>38666</v>
      </c>
      <c r="AC2986" s="62" t="s">
        <v>38667</v>
      </c>
      <c r="AD2986" s="62" t="s">
        <v>38668</v>
      </c>
    </row>
    <row r="2987" spans="1:30" x14ac:dyDescent="0.25">
      <c r="A2987" s="62" t="s">
        <v>109</v>
      </c>
      <c r="C2987" s="62" t="s">
        <v>38669</v>
      </c>
      <c r="F2987" s="62" t="s">
        <v>13202</v>
      </c>
      <c r="G2987" s="62" t="s">
        <v>47005</v>
      </c>
      <c r="J2987" s="62" t="s">
        <v>38670</v>
      </c>
      <c r="K2987" s="62" t="s">
        <v>47040</v>
      </c>
      <c r="L2987" s="62" t="s">
        <v>38671</v>
      </c>
      <c r="M2987" s="62" t="s">
        <v>38672</v>
      </c>
      <c r="N2987" s="62" t="s">
        <v>38673</v>
      </c>
      <c r="O2987" s="62" t="s">
        <v>38674</v>
      </c>
      <c r="P2987" s="62" t="s">
        <v>47075</v>
      </c>
      <c r="Q2987" s="62" t="s">
        <v>38675</v>
      </c>
      <c r="R2987" s="62" t="s">
        <v>38676</v>
      </c>
      <c r="S2987" s="62" t="s">
        <v>38677</v>
      </c>
      <c r="U2987" s="62" t="s">
        <v>38678</v>
      </c>
      <c r="V2987" s="62" t="s">
        <v>47110</v>
      </c>
      <c r="W2987" s="62" t="s">
        <v>38679</v>
      </c>
      <c r="X2987" s="62" t="s">
        <v>38680</v>
      </c>
      <c r="Y2987" s="62" t="s">
        <v>38681</v>
      </c>
      <c r="Z2987" s="62" t="s">
        <v>38682</v>
      </c>
      <c r="AA2987" s="62" t="s">
        <v>47145</v>
      </c>
      <c r="AB2987" s="62" t="s">
        <v>38683</v>
      </c>
      <c r="AC2987" s="62" t="s">
        <v>38684</v>
      </c>
      <c r="AD2987" s="62" t="s">
        <v>38685</v>
      </c>
    </row>
    <row r="2988" spans="1:30" x14ac:dyDescent="0.25">
      <c r="A2988" s="62" t="s">
        <v>109</v>
      </c>
      <c r="C2988" s="62" t="s">
        <v>38686</v>
      </c>
      <c r="F2988" s="62" t="s">
        <v>10811</v>
      </c>
      <c r="G2988" s="62" t="s">
        <v>47006</v>
      </c>
      <c r="J2988" s="62" t="s">
        <v>38687</v>
      </c>
      <c r="K2988" s="62" t="s">
        <v>47041</v>
      </c>
      <c r="L2988" s="62" t="s">
        <v>38688</v>
      </c>
      <c r="M2988" s="62" t="s">
        <v>38689</v>
      </c>
      <c r="N2988" s="62" t="s">
        <v>38690</v>
      </c>
      <c r="O2988" s="62" t="s">
        <v>38691</v>
      </c>
      <c r="P2988" s="62" t="s">
        <v>47076</v>
      </c>
      <c r="Q2988" s="62" t="s">
        <v>38692</v>
      </c>
      <c r="R2988" s="62" t="s">
        <v>38693</v>
      </c>
      <c r="S2988" s="62" t="s">
        <v>38694</v>
      </c>
      <c r="U2988" s="62" t="s">
        <v>38695</v>
      </c>
      <c r="V2988" s="62" t="s">
        <v>47111</v>
      </c>
      <c r="W2988" s="62" t="s">
        <v>38696</v>
      </c>
      <c r="X2988" s="62" t="s">
        <v>38697</v>
      </c>
      <c r="Y2988" s="62" t="s">
        <v>38698</v>
      </c>
      <c r="Z2988" s="62" t="s">
        <v>38699</v>
      </c>
      <c r="AA2988" s="62" t="s">
        <v>47146</v>
      </c>
      <c r="AB2988" s="62" t="s">
        <v>38700</v>
      </c>
      <c r="AC2988" s="62" t="s">
        <v>38701</v>
      </c>
      <c r="AD2988" s="62" t="s">
        <v>38702</v>
      </c>
    </row>
    <row r="2989" spans="1:30" x14ac:dyDescent="0.25">
      <c r="A2989" s="62" t="s">
        <v>109</v>
      </c>
      <c r="C2989" s="62" t="s">
        <v>38703</v>
      </c>
      <c r="F2989" s="62" t="s">
        <v>10829</v>
      </c>
      <c r="G2989" s="62" t="s">
        <v>47007</v>
      </c>
      <c r="J2989" s="62" t="s">
        <v>38704</v>
      </c>
      <c r="K2989" s="62" t="s">
        <v>47042</v>
      </c>
      <c r="L2989" s="62" t="s">
        <v>38705</v>
      </c>
      <c r="M2989" s="62" t="s">
        <v>38706</v>
      </c>
      <c r="N2989" s="62" t="s">
        <v>38707</v>
      </c>
      <c r="O2989" s="62" t="s">
        <v>38708</v>
      </c>
      <c r="P2989" s="62" t="s">
        <v>47077</v>
      </c>
      <c r="Q2989" s="62" t="s">
        <v>38709</v>
      </c>
      <c r="R2989" s="62" t="s">
        <v>38710</v>
      </c>
      <c r="S2989" s="62" t="s">
        <v>38711</v>
      </c>
      <c r="U2989" s="62" t="s">
        <v>38712</v>
      </c>
      <c r="V2989" s="62" t="s">
        <v>47112</v>
      </c>
      <c r="W2989" s="62" t="s">
        <v>38713</v>
      </c>
      <c r="X2989" s="62" t="s">
        <v>38714</v>
      </c>
      <c r="Y2989" s="62" t="s">
        <v>38715</v>
      </c>
      <c r="Z2989" s="62" t="s">
        <v>38716</v>
      </c>
      <c r="AA2989" s="62" t="s">
        <v>47147</v>
      </c>
      <c r="AB2989" s="62" t="s">
        <v>38717</v>
      </c>
      <c r="AC2989" s="62" t="s">
        <v>38718</v>
      </c>
      <c r="AD2989" s="62" t="s">
        <v>38719</v>
      </c>
    </row>
    <row r="2990" spans="1:30" x14ac:dyDescent="0.25">
      <c r="A2990" s="62" t="s">
        <v>109</v>
      </c>
      <c r="C2990" s="62" t="s">
        <v>38720</v>
      </c>
      <c r="F2990" s="62" t="s">
        <v>13236</v>
      </c>
      <c r="G2990" s="62" t="s">
        <v>47008</v>
      </c>
      <c r="J2990" s="62" t="s">
        <v>38721</v>
      </c>
      <c r="K2990" s="62" t="s">
        <v>47043</v>
      </c>
      <c r="L2990" s="62" t="s">
        <v>38722</v>
      </c>
      <c r="M2990" s="62" t="s">
        <v>38723</v>
      </c>
      <c r="N2990" s="62" t="s">
        <v>38724</v>
      </c>
      <c r="O2990" s="62" t="s">
        <v>38725</v>
      </c>
      <c r="P2990" s="62" t="s">
        <v>47078</v>
      </c>
      <c r="Q2990" s="62" t="s">
        <v>38726</v>
      </c>
      <c r="R2990" s="62" t="s">
        <v>38727</v>
      </c>
      <c r="S2990" s="62" t="s">
        <v>38728</v>
      </c>
      <c r="U2990" s="62" t="s">
        <v>38729</v>
      </c>
      <c r="V2990" s="62" t="s">
        <v>47113</v>
      </c>
      <c r="W2990" s="62" t="s">
        <v>38730</v>
      </c>
      <c r="X2990" s="62" t="s">
        <v>38731</v>
      </c>
      <c r="Y2990" s="62" t="s">
        <v>38732</v>
      </c>
      <c r="Z2990" s="62" t="s">
        <v>38733</v>
      </c>
      <c r="AA2990" s="62" t="s">
        <v>47148</v>
      </c>
      <c r="AB2990" s="62" t="s">
        <v>38734</v>
      </c>
      <c r="AC2990" s="62" t="s">
        <v>38735</v>
      </c>
      <c r="AD2990" s="62" t="s">
        <v>38736</v>
      </c>
    </row>
    <row r="2991" spans="1:30" x14ac:dyDescent="0.25">
      <c r="A2991" s="62" t="s">
        <v>109</v>
      </c>
      <c r="C2991" s="62" t="s">
        <v>38737</v>
      </c>
      <c r="F2991" s="62" t="s">
        <v>10865</v>
      </c>
      <c r="G2991" s="62" t="s">
        <v>47009</v>
      </c>
      <c r="J2991" s="62" t="s">
        <v>38738</v>
      </c>
      <c r="K2991" s="62" t="s">
        <v>47044</v>
      </c>
      <c r="L2991" s="62" t="s">
        <v>38739</v>
      </c>
      <c r="M2991" s="62" t="s">
        <v>38740</v>
      </c>
      <c r="N2991" s="62" t="s">
        <v>38741</v>
      </c>
      <c r="O2991" s="62" t="s">
        <v>38742</v>
      </c>
      <c r="P2991" s="62" t="s">
        <v>47079</v>
      </c>
      <c r="Q2991" s="62" t="s">
        <v>38743</v>
      </c>
      <c r="R2991" s="62" t="s">
        <v>38744</v>
      </c>
      <c r="S2991" s="62" t="s">
        <v>38745</v>
      </c>
      <c r="U2991" s="62" t="s">
        <v>38746</v>
      </c>
      <c r="V2991" s="62" t="s">
        <v>47114</v>
      </c>
      <c r="W2991" s="62" t="s">
        <v>38747</v>
      </c>
      <c r="X2991" s="62" t="s">
        <v>38748</v>
      </c>
      <c r="Y2991" s="62" t="s">
        <v>38749</v>
      </c>
      <c r="Z2991" s="62" t="s">
        <v>38750</v>
      </c>
      <c r="AA2991" s="62" t="s">
        <v>47149</v>
      </c>
      <c r="AB2991" s="62" t="s">
        <v>38751</v>
      </c>
      <c r="AC2991" s="62" t="s">
        <v>38752</v>
      </c>
      <c r="AD2991" s="62" t="s">
        <v>38753</v>
      </c>
    </row>
    <row r="2992" spans="1:30" x14ac:dyDescent="0.25">
      <c r="A2992" s="62" t="s">
        <v>109</v>
      </c>
      <c r="C2992" s="62" t="s">
        <v>38754</v>
      </c>
      <c r="F2992" s="62" t="s">
        <v>1152</v>
      </c>
      <c r="G2992" s="62" t="s">
        <v>47010</v>
      </c>
      <c r="J2992" s="62" t="s">
        <v>38755</v>
      </c>
      <c r="K2992" s="62" t="s">
        <v>47045</v>
      </c>
      <c r="L2992" s="62" t="s">
        <v>38756</v>
      </c>
      <c r="M2992" s="62" t="s">
        <v>38757</v>
      </c>
      <c r="N2992" s="62" t="s">
        <v>38758</v>
      </c>
      <c r="O2992" s="62" t="s">
        <v>38759</v>
      </c>
      <c r="P2992" s="62" t="s">
        <v>47080</v>
      </c>
      <c r="Q2992" s="62" t="s">
        <v>38760</v>
      </c>
      <c r="R2992" s="62" t="s">
        <v>38761</v>
      </c>
      <c r="S2992" s="62" t="s">
        <v>38762</v>
      </c>
      <c r="U2992" s="62" t="s">
        <v>38763</v>
      </c>
      <c r="V2992" s="62" t="s">
        <v>47115</v>
      </c>
      <c r="W2992" s="62" t="s">
        <v>38764</v>
      </c>
      <c r="X2992" s="62" t="s">
        <v>38765</v>
      </c>
      <c r="Y2992" s="62" t="s">
        <v>38766</v>
      </c>
      <c r="Z2992" s="62" t="s">
        <v>38767</v>
      </c>
      <c r="AA2992" s="62" t="s">
        <v>47150</v>
      </c>
      <c r="AB2992" s="62" t="s">
        <v>38768</v>
      </c>
      <c r="AC2992" s="62" t="s">
        <v>38769</v>
      </c>
      <c r="AD2992" s="62" t="s">
        <v>38770</v>
      </c>
    </row>
    <row r="2993" spans="1:30" x14ac:dyDescent="0.25">
      <c r="A2993" s="62" t="s">
        <v>109</v>
      </c>
      <c r="C2993" s="62" t="s">
        <v>38771</v>
      </c>
      <c r="F2993" s="62" t="s">
        <v>1249</v>
      </c>
      <c r="G2993" s="62" t="s">
        <v>47011</v>
      </c>
      <c r="J2993" s="62" t="s">
        <v>38772</v>
      </c>
      <c r="K2993" s="62" t="s">
        <v>47046</v>
      </c>
      <c r="L2993" s="62" t="s">
        <v>38773</v>
      </c>
      <c r="M2993" s="62" t="s">
        <v>38774</v>
      </c>
      <c r="N2993" s="62" t="s">
        <v>38775</v>
      </c>
      <c r="O2993" s="62" t="s">
        <v>38776</v>
      </c>
      <c r="P2993" s="62" t="s">
        <v>47081</v>
      </c>
      <c r="Q2993" s="62" t="s">
        <v>38777</v>
      </c>
      <c r="R2993" s="62" t="s">
        <v>38778</v>
      </c>
      <c r="S2993" s="62" t="s">
        <v>38779</v>
      </c>
      <c r="U2993" s="62" t="s">
        <v>38780</v>
      </c>
      <c r="V2993" s="62" t="s">
        <v>47116</v>
      </c>
      <c r="W2993" s="62" t="s">
        <v>38781</v>
      </c>
      <c r="X2993" s="62" t="s">
        <v>38782</v>
      </c>
      <c r="Y2993" s="62" t="s">
        <v>38783</v>
      </c>
      <c r="Z2993" s="62" t="s">
        <v>38784</v>
      </c>
      <c r="AA2993" s="62" t="s">
        <v>47151</v>
      </c>
      <c r="AB2993" s="62" t="s">
        <v>38785</v>
      </c>
      <c r="AC2993" s="62" t="s">
        <v>38786</v>
      </c>
      <c r="AD2993" s="62" t="s">
        <v>38787</v>
      </c>
    </row>
    <row r="2994" spans="1:30" x14ac:dyDescent="0.25">
      <c r="A2994" s="62" t="s">
        <v>109</v>
      </c>
      <c r="C2994" s="62" t="s">
        <v>38788</v>
      </c>
      <c r="F2994" s="62" t="s">
        <v>1286</v>
      </c>
      <c r="G2994" s="62" t="s">
        <v>47012</v>
      </c>
      <c r="J2994" s="62" t="s">
        <v>38789</v>
      </c>
      <c r="K2994" s="62" t="s">
        <v>47047</v>
      </c>
      <c r="L2994" s="62" t="s">
        <v>38790</v>
      </c>
      <c r="M2994" s="62" t="s">
        <v>38791</v>
      </c>
      <c r="N2994" s="62" t="s">
        <v>38792</v>
      </c>
      <c r="O2994" s="62" t="s">
        <v>38793</v>
      </c>
      <c r="P2994" s="62" t="s">
        <v>47082</v>
      </c>
      <c r="Q2994" s="62" t="s">
        <v>38794</v>
      </c>
      <c r="R2994" s="62" t="s">
        <v>38795</v>
      </c>
      <c r="S2994" s="62" t="s">
        <v>38796</v>
      </c>
      <c r="U2994" s="62" t="s">
        <v>38797</v>
      </c>
      <c r="V2994" s="62" t="s">
        <v>47117</v>
      </c>
      <c r="W2994" s="62" t="s">
        <v>38798</v>
      </c>
      <c r="X2994" s="62" t="s">
        <v>38799</v>
      </c>
      <c r="Y2994" s="62" t="s">
        <v>38800</v>
      </c>
      <c r="Z2994" s="62" t="s">
        <v>38801</v>
      </c>
      <c r="AA2994" s="62" t="s">
        <v>47152</v>
      </c>
      <c r="AB2994" s="62" t="s">
        <v>38802</v>
      </c>
      <c r="AC2994" s="62" t="s">
        <v>38803</v>
      </c>
      <c r="AD2994" s="62" t="s">
        <v>38804</v>
      </c>
    </row>
    <row r="2995" spans="1:30" x14ac:dyDescent="0.25">
      <c r="A2995" s="62" t="s">
        <v>109</v>
      </c>
      <c r="C2995" s="62" t="s">
        <v>38805</v>
      </c>
      <c r="F2995" s="62" t="s">
        <v>1289</v>
      </c>
      <c r="G2995" s="62" t="s">
        <v>47013</v>
      </c>
      <c r="J2995" s="62" t="s">
        <v>38806</v>
      </c>
      <c r="K2995" s="62" t="s">
        <v>47048</v>
      </c>
      <c r="L2995" s="62" t="s">
        <v>38807</v>
      </c>
      <c r="M2995" s="62" t="s">
        <v>38808</v>
      </c>
      <c r="N2995" s="62" t="s">
        <v>38809</v>
      </c>
      <c r="O2995" s="62" t="s">
        <v>38810</v>
      </c>
      <c r="P2995" s="62" t="s">
        <v>47083</v>
      </c>
      <c r="Q2995" s="62" t="s">
        <v>38811</v>
      </c>
      <c r="R2995" s="62" t="s">
        <v>38812</v>
      </c>
      <c r="S2995" s="62" t="s">
        <v>38813</v>
      </c>
      <c r="U2995" s="62" t="s">
        <v>38814</v>
      </c>
      <c r="V2995" s="62" t="s">
        <v>47118</v>
      </c>
      <c r="W2995" s="62" t="s">
        <v>38815</v>
      </c>
      <c r="X2995" s="62" t="s">
        <v>38816</v>
      </c>
      <c r="Y2995" s="62" t="s">
        <v>38817</v>
      </c>
      <c r="Z2995" s="62" t="s">
        <v>38818</v>
      </c>
      <c r="AA2995" s="62" t="s">
        <v>47153</v>
      </c>
      <c r="AB2995" s="62" t="s">
        <v>38819</v>
      </c>
      <c r="AC2995" s="62" t="s">
        <v>38820</v>
      </c>
      <c r="AD2995" s="62" t="s">
        <v>38821</v>
      </c>
    </row>
    <row r="2996" spans="1:30" x14ac:dyDescent="0.25">
      <c r="A2996" s="62" t="s">
        <v>109</v>
      </c>
      <c r="C2996" s="62" t="s">
        <v>38822</v>
      </c>
      <c r="F2996" s="62" t="s">
        <v>13249</v>
      </c>
      <c r="G2996" s="62" t="s">
        <v>47014</v>
      </c>
      <c r="J2996" s="62" t="s">
        <v>38823</v>
      </c>
      <c r="K2996" s="62" t="s">
        <v>47049</v>
      </c>
      <c r="L2996" s="62" t="s">
        <v>38824</v>
      </c>
      <c r="M2996" s="62" t="s">
        <v>38825</v>
      </c>
      <c r="N2996" s="62" t="s">
        <v>38826</v>
      </c>
      <c r="O2996" s="62" t="s">
        <v>38827</v>
      </c>
      <c r="P2996" s="62" t="s">
        <v>47084</v>
      </c>
      <c r="Q2996" s="62" t="s">
        <v>38828</v>
      </c>
      <c r="R2996" s="62" t="s">
        <v>38829</v>
      </c>
      <c r="S2996" s="62" t="s">
        <v>38830</v>
      </c>
      <c r="U2996" s="62" t="s">
        <v>38831</v>
      </c>
      <c r="V2996" s="62" t="s">
        <v>47119</v>
      </c>
      <c r="W2996" s="62" t="s">
        <v>38832</v>
      </c>
      <c r="X2996" s="62" t="s">
        <v>38833</v>
      </c>
      <c r="Y2996" s="62" t="s">
        <v>38834</v>
      </c>
      <c r="Z2996" s="62" t="s">
        <v>38835</v>
      </c>
      <c r="AA2996" s="62" t="s">
        <v>47154</v>
      </c>
      <c r="AB2996" s="62" t="s">
        <v>38836</v>
      </c>
      <c r="AC2996" s="62" t="s">
        <v>38837</v>
      </c>
      <c r="AD2996" s="62" t="s">
        <v>38838</v>
      </c>
    </row>
    <row r="2997" spans="1:30" x14ac:dyDescent="0.25">
      <c r="A2997" s="62" t="s">
        <v>109</v>
      </c>
      <c r="C2997" s="62" t="s">
        <v>38839</v>
      </c>
      <c r="F2997" s="62" t="s">
        <v>10929</v>
      </c>
      <c r="G2997" s="62" t="s">
        <v>47015</v>
      </c>
      <c r="J2997" s="62" t="s">
        <v>38840</v>
      </c>
      <c r="K2997" s="62" t="s">
        <v>47050</v>
      </c>
      <c r="L2997" s="62" t="s">
        <v>38841</v>
      </c>
      <c r="M2997" s="62" t="s">
        <v>38842</v>
      </c>
      <c r="N2997" s="62" t="s">
        <v>38843</v>
      </c>
      <c r="O2997" s="62" t="s">
        <v>38844</v>
      </c>
      <c r="P2997" s="62" t="s">
        <v>47085</v>
      </c>
      <c r="Q2997" s="62" t="s">
        <v>38845</v>
      </c>
      <c r="R2997" s="62" t="s">
        <v>38846</v>
      </c>
      <c r="S2997" s="62" t="s">
        <v>38847</v>
      </c>
      <c r="U2997" s="62" t="s">
        <v>38848</v>
      </c>
      <c r="V2997" s="62" t="s">
        <v>47120</v>
      </c>
      <c r="W2997" s="62" t="s">
        <v>38849</v>
      </c>
      <c r="X2997" s="62" t="s">
        <v>38850</v>
      </c>
      <c r="Y2997" s="62" t="s">
        <v>38851</v>
      </c>
      <c r="Z2997" s="62" t="s">
        <v>38852</v>
      </c>
      <c r="AA2997" s="62" t="s">
        <v>47155</v>
      </c>
      <c r="AB2997" s="62" t="s">
        <v>38853</v>
      </c>
      <c r="AC2997" s="62" t="s">
        <v>38854</v>
      </c>
      <c r="AD2997" s="62" t="s">
        <v>38855</v>
      </c>
    </row>
    <row r="2998" spans="1:30" x14ac:dyDescent="0.25">
      <c r="A2998" s="62" t="s">
        <v>109</v>
      </c>
      <c r="C2998" s="62" t="s">
        <v>38856</v>
      </c>
      <c r="F2998" s="62" t="s">
        <v>10949</v>
      </c>
      <c r="G2998" s="62" t="s">
        <v>47016</v>
      </c>
      <c r="J2998" s="62" t="s">
        <v>38857</v>
      </c>
      <c r="K2998" s="62" t="s">
        <v>47051</v>
      </c>
      <c r="L2998" s="62" t="s">
        <v>38858</v>
      </c>
      <c r="M2998" s="62" t="s">
        <v>38859</v>
      </c>
      <c r="N2998" s="62" t="s">
        <v>38860</v>
      </c>
      <c r="O2998" s="62" t="s">
        <v>38861</v>
      </c>
      <c r="P2998" s="62" t="s">
        <v>47086</v>
      </c>
      <c r="Q2998" s="62" t="s">
        <v>38862</v>
      </c>
      <c r="R2998" s="62" t="s">
        <v>38863</v>
      </c>
      <c r="S2998" s="62" t="s">
        <v>38864</v>
      </c>
      <c r="U2998" s="62" t="s">
        <v>38865</v>
      </c>
      <c r="V2998" s="62" t="s">
        <v>47121</v>
      </c>
      <c r="W2998" s="62" t="s">
        <v>38866</v>
      </c>
      <c r="X2998" s="62" t="s">
        <v>38867</v>
      </c>
      <c r="Y2998" s="62" t="s">
        <v>38868</v>
      </c>
      <c r="Z2998" s="62" t="s">
        <v>38869</v>
      </c>
      <c r="AA2998" s="62" t="s">
        <v>47156</v>
      </c>
      <c r="AB2998" s="62" t="s">
        <v>38870</v>
      </c>
      <c r="AC2998" s="62" t="s">
        <v>38871</v>
      </c>
      <c r="AD2998" s="62" t="s">
        <v>38872</v>
      </c>
    </row>
    <row r="2999" spans="1:30" x14ac:dyDescent="0.25">
      <c r="A2999" s="62" t="s">
        <v>109</v>
      </c>
      <c r="C2999" s="62" t="s">
        <v>38369</v>
      </c>
    </row>
    <row r="3000" spans="1:30" x14ac:dyDescent="0.25">
      <c r="A3000" s="62" t="s">
        <v>109</v>
      </c>
      <c r="C3000" s="62" t="s">
        <v>38873</v>
      </c>
      <c r="G3000" s="62" t="s">
        <v>46397</v>
      </c>
      <c r="J3000" s="62" t="s">
        <v>46398</v>
      </c>
      <c r="K3000" s="62" t="s">
        <v>46399</v>
      </c>
      <c r="L3000" s="62" t="s">
        <v>46400</v>
      </c>
      <c r="M3000" s="62" t="s">
        <v>38874</v>
      </c>
      <c r="N3000" s="62" t="s">
        <v>38875</v>
      </c>
      <c r="O3000" s="62" t="s">
        <v>46401</v>
      </c>
      <c r="P3000" s="62" t="s">
        <v>46402</v>
      </c>
      <c r="Q3000" s="62" t="s">
        <v>46403</v>
      </c>
      <c r="R3000" s="62" t="s">
        <v>38876</v>
      </c>
      <c r="S3000" s="62" t="s">
        <v>38877</v>
      </c>
      <c r="U3000" s="62" t="s">
        <v>46404</v>
      </c>
      <c r="V3000" s="62" t="s">
        <v>46405</v>
      </c>
      <c r="W3000" s="62" t="s">
        <v>46406</v>
      </c>
      <c r="X3000" s="62" t="s">
        <v>38878</v>
      </c>
      <c r="Y3000" s="62" t="s">
        <v>38879</v>
      </c>
      <c r="Z3000" s="62" t="s">
        <v>46407</v>
      </c>
      <c r="AA3000" s="62" t="s">
        <v>46408</v>
      </c>
      <c r="AB3000" s="62" t="s">
        <v>46409</v>
      </c>
      <c r="AC3000" s="62" t="s">
        <v>38880</v>
      </c>
      <c r="AD3000" s="62" t="s">
        <v>38881</v>
      </c>
    </row>
    <row r="3001" spans="1:30" x14ac:dyDescent="0.25">
      <c r="A3001" s="62" t="s">
        <v>109</v>
      </c>
    </row>
    <row r="3002" spans="1:30" x14ac:dyDescent="0.25">
      <c r="A3002" s="62" t="s">
        <v>109</v>
      </c>
      <c r="C3002" s="62" t="s">
        <v>46410</v>
      </c>
      <c r="E3002" s="62" t="s">
        <v>567</v>
      </c>
      <c r="G3002" s="62" t="s">
        <v>46411</v>
      </c>
    </row>
    <row r="3003" spans="1:30" x14ac:dyDescent="0.25">
      <c r="A3003" s="62" t="s">
        <v>109</v>
      </c>
      <c r="C3003" s="62" t="s">
        <v>38882</v>
      </c>
    </row>
    <row r="3004" spans="1:30" x14ac:dyDescent="0.25">
      <c r="A3004" s="62" t="s">
        <v>109</v>
      </c>
      <c r="C3004" s="62" t="s">
        <v>38883</v>
      </c>
      <c r="F3004" s="62" t="s">
        <v>46412</v>
      </c>
      <c r="G3004" s="62" t="s">
        <v>46757</v>
      </c>
      <c r="J3004" s="62" t="s">
        <v>38884</v>
      </c>
      <c r="K3004" s="62" t="s">
        <v>46802</v>
      </c>
      <c r="L3004" s="62" t="s">
        <v>38885</v>
      </c>
      <c r="M3004" s="62" t="s">
        <v>38886</v>
      </c>
      <c r="N3004" s="62" t="s">
        <v>38887</v>
      </c>
      <c r="O3004" s="62" t="s">
        <v>38888</v>
      </c>
      <c r="P3004" s="62" t="s">
        <v>46847</v>
      </c>
      <c r="Q3004" s="62" t="s">
        <v>38889</v>
      </c>
      <c r="R3004" s="62" t="s">
        <v>38890</v>
      </c>
      <c r="S3004" s="62" t="s">
        <v>38891</v>
      </c>
      <c r="U3004" s="62" t="s">
        <v>38892</v>
      </c>
      <c r="V3004" s="62" t="s">
        <v>46892</v>
      </c>
      <c r="W3004" s="62" t="s">
        <v>38893</v>
      </c>
      <c r="X3004" s="62" t="s">
        <v>38894</v>
      </c>
      <c r="Y3004" s="62" t="s">
        <v>38895</v>
      </c>
      <c r="Z3004" s="62" t="s">
        <v>38896</v>
      </c>
      <c r="AA3004" s="62" t="s">
        <v>46937</v>
      </c>
      <c r="AB3004" s="62" t="s">
        <v>38897</v>
      </c>
      <c r="AC3004" s="62" t="s">
        <v>38898</v>
      </c>
      <c r="AD3004" s="62" t="s">
        <v>38899</v>
      </c>
    </row>
    <row r="3005" spans="1:30" x14ac:dyDescent="0.25">
      <c r="A3005" s="62" t="s">
        <v>109</v>
      </c>
      <c r="C3005" s="62" t="s">
        <v>38900</v>
      </c>
      <c r="F3005" s="62" t="s">
        <v>748</v>
      </c>
      <c r="G3005" s="62" t="s">
        <v>46758</v>
      </c>
      <c r="J3005" s="62" t="s">
        <v>38901</v>
      </c>
      <c r="K3005" s="62" t="s">
        <v>46803</v>
      </c>
      <c r="L3005" s="62" t="s">
        <v>38902</v>
      </c>
      <c r="M3005" s="62" t="s">
        <v>38903</v>
      </c>
      <c r="N3005" s="62" t="s">
        <v>38904</v>
      </c>
      <c r="O3005" s="62" t="s">
        <v>38905</v>
      </c>
      <c r="P3005" s="62" t="s">
        <v>46848</v>
      </c>
      <c r="Q3005" s="62" t="s">
        <v>38906</v>
      </c>
      <c r="R3005" s="62" t="s">
        <v>38907</v>
      </c>
      <c r="S3005" s="62" t="s">
        <v>38908</v>
      </c>
      <c r="U3005" s="62" t="s">
        <v>38909</v>
      </c>
      <c r="V3005" s="62" t="s">
        <v>46893</v>
      </c>
      <c r="W3005" s="62" t="s">
        <v>38910</v>
      </c>
      <c r="X3005" s="62" t="s">
        <v>38911</v>
      </c>
      <c r="Y3005" s="62" t="s">
        <v>38912</v>
      </c>
      <c r="Z3005" s="62" t="s">
        <v>38913</v>
      </c>
      <c r="AA3005" s="62" t="s">
        <v>46938</v>
      </c>
      <c r="AB3005" s="62" t="s">
        <v>38914</v>
      </c>
      <c r="AC3005" s="62" t="s">
        <v>38915</v>
      </c>
      <c r="AD3005" s="62" t="s">
        <v>38916</v>
      </c>
    </row>
    <row r="3006" spans="1:30" x14ac:dyDescent="0.25">
      <c r="A3006" s="62" t="s">
        <v>109</v>
      </c>
      <c r="C3006" s="62" t="s">
        <v>38917</v>
      </c>
      <c r="F3006" s="62" t="s">
        <v>758</v>
      </c>
      <c r="G3006" s="62" t="s">
        <v>46759</v>
      </c>
      <c r="J3006" s="62" t="s">
        <v>38918</v>
      </c>
      <c r="K3006" s="62" t="s">
        <v>46804</v>
      </c>
      <c r="L3006" s="62" t="s">
        <v>38919</v>
      </c>
      <c r="M3006" s="62" t="s">
        <v>38920</v>
      </c>
      <c r="N3006" s="62" t="s">
        <v>38921</v>
      </c>
      <c r="O3006" s="62" t="s">
        <v>38922</v>
      </c>
      <c r="P3006" s="62" t="s">
        <v>46849</v>
      </c>
      <c r="Q3006" s="62" t="s">
        <v>38923</v>
      </c>
      <c r="R3006" s="62" t="s">
        <v>38924</v>
      </c>
      <c r="S3006" s="62" t="s">
        <v>38925</v>
      </c>
      <c r="U3006" s="62" t="s">
        <v>38926</v>
      </c>
      <c r="V3006" s="62" t="s">
        <v>46894</v>
      </c>
      <c r="W3006" s="62" t="s">
        <v>38927</v>
      </c>
      <c r="X3006" s="62" t="s">
        <v>38928</v>
      </c>
      <c r="Y3006" s="62" t="s">
        <v>38929</v>
      </c>
      <c r="Z3006" s="62" t="s">
        <v>38930</v>
      </c>
      <c r="AA3006" s="62" t="s">
        <v>46939</v>
      </c>
      <c r="AB3006" s="62" t="s">
        <v>38931</v>
      </c>
      <c r="AC3006" s="62" t="s">
        <v>38932</v>
      </c>
      <c r="AD3006" s="62" t="s">
        <v>38933</v>
      </c>
    </row>
    <row r="3007" spans="1:30" x14ac:dyDescent="0.25">
      <c r="A3007" s="62" t="s">
        <v>109</v>
      </c>
      <c r="C3007" s="62" t="s">
        <v>38934</v>
      </c>
      <c r="F3007" s="62" t="s">
        <v>1359</v>
      </c>
      <c r="G3007" s="62" t="s">
        <v>46760</v>
      </c>
      <c r="J3007" s="62" t="s">
        <v>38935</v>
      </c>
      <c r="K3007" s="62" t="s">
        <v>46805</v>
      </c>
      <c r="L3007" s="62" t="s">
        <v>38936</v>
      </c>
      <c r="M3007" s="62" t="s">
        <v>38937</v>
      </c>
      <c r="N3007" s="62" t="s">
        <v>38938</v>
      </c>
      <c r="O3007" s="62" t="s">
        <v>38939</v>
      </c>
      <c r="P3007" s="62" t="s">
        <v>46850</v>
      </c>
      <c r="Q3007" s="62" t="s">
        <v>38940</v>
      </c>
      <c r="R3007" s="62" t="s">
        <v>38941</v>
      </c>
      <c r="S3007" s="62" t="s">
        <v>38942</v>
      </c>
      <c r="U3007" s="62" t="s">
        <v>38943</v>
      </c>
      <c r="V3007" s="62" t="s">
        <v>46895</v>
      </c>
      <c r="W3007" s="62" t="s">
        <v>38944</v>
      </c>
      <c r="X3007" s="62" t="s">
        <v>38945</v>
      </c>
      <c r="Y3007" s="62" t="s">
        <v>38946</v>
      </c>
      <c r="Z3007" s="62" t="s">
        <v>38947</v>
      </c>
      <c r="AA3007" s="62" t="s">
        <v>46940</v>
      </c>
      <c r="AB3007" s="62" t="s">
        <v>38948</v>
      </c>
      <c r="AC3007" s="62" t="s">
        <v>38949</v>
      </c>
      <c r="AD3007" s="62" t="s">
        <v>38950</v>
      </c>
    </row>
    <row r="3008" spans="1:30" x14ac:dyDescent="0.25">
      <c r="A3008" s="62" t="s">
        <v>109</v>
      </c>
      <c r="C3008" s="62" t="s">
        <v>38951</v>
      </c>
      <c r="F3008" s="62" t="s">
        <v>785</v>
      </c>
      <c r="G3008" s="62" t="s">
        <v>46761</v>
      </c>
      <c r="J3008" s="62" t="s">
        <v>38952</v>
      </c>
      <c r="K3008" s="62" t="s">
        <v>46806</v>
      </c>
      <c r="L3008" s="62" t="s">
        <v>38953</v>
      </c>
      <c r="M3008" s="62" t="s">
        <v>38954</v>
      </c>
      <c r="N3008" s="62" t="s">
        <v>38955</v>
      </c>
      <c r="O3008" s="62" t="s">
        <v>38956</v>
      </c>
      <c r="P3008" s="62" t="s">
        <v>46851</v>
      </c>
      <c r="Q3008" s="62" t="s">
        <v>38957</v>
      </c>
      <c r="R3008" s="62" t="s">
        <v>38958</v>
      </c>
      <c r="S3008" s="62" t="s">
        <v>38959</v>
      </c>
      <c r="U3008" s="62" t="s">
        <v>38960</v>
      </c>
      <c r="V3008" s="62" t="s">
        <v>46896</v>
      </c>
      <c r="W3008" s="62" t="s">
        <v>38961</v>
      </c>
      <c r="X3008" s="62" t="s">
        <v>38962</v>
      </c>
      <c r="Y3008" s="62" t="s">
        <v>38963</v>
      </c>
      <c r="Z3008" s="62" t="s">
        <v>38964</v>
      </c>
      <c r="AA3008" s="62" t="s">
        <v>46941</v>
      </c>
      <c r="AB3008" s="62" t="s">
        <v>38965</v>
      </c>
      <c r="AC3008" s="62" t="s">
        <v>38966</v>
      </c>
      <c r="AD3008" s="62" t="s">
        <v>38967</v>
      </c>
    </row>
    <row r="3009" spans="1:30" x14ac:dyDescent="0.25">
      <c r="A3009" s="62" t="s">
        <v>109</v>
      </c>
      <c r="C3009" s="62" t="s">
        <v>38968</v>
      </c>
      <c r="F3009" s="62" t="s">
        <v>159</v>
      </c>
      <c r="G3009" s="62" t="s">
        <v>46762</v>
      </c>
      <c r="J3009" s="62" t="s">
        <v>38969</v>
      </c>
      <c r="K3009" s="62" t="s">
        <v>46807</v>
      </c>
      <c r="L3009" s="62" t="s">
        <v>38970</v>
      </c>
      <c r="M3009" s="62" t="s">
        <v>38971</v>
      </c>
      <c r="N3009" s="62" t="s">
        <v>38972</v>
      </c>
      <c r="O3009" s="62" t="s">
        <v>38973</v>
      </c>
      <c r="P3009" s="62" t="s">
        <v>46852</v>
      </c>
      <c r="Q3009" s="62" t="s">
        <v>38974</v>
      </c>
      <c r="R3009" s="62" t="s">
        <v>38975</v>
      </c>
      <c r="S3009" s="62" t="s">
        <v>38976</v>
      </c>
      <c r="U3009" s="62" t="s">
        <v>38977</v>
      </c>
      <c r="V3009" s="62" t="s">
        <v>46897</v>
      </c>
      <c r="W3009" s="62" t="s">
        <v>38978</v>
      </c>
      <c r="X3009" s="62" t="s">
        <v>38979</v>
      </c>
      <c r="Y3009" s="62" t="s">
        <v>38980</v>
      </c>
      <c r="Z3009" s="62" t="s">
        <v>38981</v>
      </c>
      <c r="AA3009" s="62" t="s">
        <v>46942</v>
      </c>
      <c r="AB3009" s="62" t="s">
        <v>38982</v>
      </c>
      <c r="AC3009" s="62" t="s">
        <v>38983</v>
      </c>
      <c r="AD3009" s="62" t="s">
        <v>38984</v>
      </c>
    </row>
    <row r="3010" spans="1:30" x14ac:dyDescent="0.25">
      <c r="A3010" s="62" t="s">
        <v>109</v>
      </c>
      <c r="C3010" s="62" t="s">
        <v>38985</v>
      </c>
      <c r="F3010" s="62" t="s">
        <v>827</v>
      </c>
      <c r="G3010" s="62" t="s">
        <v>46763</v>
      </c>
      <c r="J3010" s="62" t="s">
        <v>38986</v>
      </c>
      <c r="K3010" s="62" t="s">
        <v>46808</v>
      </c>
      <c r="L3010" s="62" t="s">
        <v>38987</v>
      </c>
      <c r="M3010" s="62" t="s">
        <v>38988</v>
      </c>
      <c r="N3010" s="62" t="s">
        <v>38989</v>
      </c>
      <c r="O3010" s="62" t="s">
        <v>38990</v>
      </c>
      <c r="P3010" s="62" t="s">
        <v>46853</v>
      </c>
      <c r="Q3010" s="62" t="s">
        <v>38991</v>
      </c>
      <c r="R3010" s="62" t="s">
        <v>38992</v>
      </c>
      <c r="S3010" s="62" t="s">
        <v>38993</v>
      </c>
      <c r="U3010" s="62" t="s">
        <v>38994</v>
      </c>
      <c r="V3010" s="62" t="s">
        <v>46898</v>
      </c>
      <c r="W3010" s="62" t="s">
        <v>38995</v>
      </c>
      <c r="X3010" s="62" t="s">
        <v>38996</v>
      </c>
      <c r="Y3010" s="62" t="s">
        <v>38997</v>
      </c>
      <c r="Z3010" s="62" t="s">
        <v>38998</v>
      </c>
      <c r="AA3010" s="62" t="s">
        <v>46943</v>
      </c>
      <c r="AB3010" s="62" t="s">
        <v>38999</v>
      </c>
      <c r="AC3010" s="62" t="s">
        <v>39000</v>
      </c>
      <c r="AD3010" s="62" t="s">
        <v>39001</v>
      </c>
    </row>
    <row r="3011" spans="1:30" x14ac:dyDescent="0.25">
      <c r="A3011" s="62" t="s">
        <v>109</v>
      </c>
      <c r="C3011" s="62" t="s">
        <v>39002</v>
      </c>
      <c r="F3011" s="62" t="s">
        <v>837</v>
      </c>
      <c r="G3011" s="62" t="s">
        <v>46764</v>
      </c>
      <c r="J3011" s="62" t="s">
        <v>39003</v>
      </c>
      <c r="K3011" s="62" t="s">
        <v>46809</v>
      </c>
      <c r="L3011" s="62" t="s">
        <v>39004</v>
      </c>
      <c r="M3011" s="62" t="s">
        <v>39005</v>
      </c>
      <c r="N3011" s="62" t="s">
        <v>39006</v>
      </c>
      <c r="O3011" s="62" t="s">
        <v>39007</v>
      </c>
      <c r="P3011" s="62" t="s">
        <v>46854</v>
      </c>
      <c r="Q3011" s="62" t="s">
        <v>39008</v>
      </c>
      <c r="R3011" s="62" t="s">
        <v>39009</v>
      </c>
      <c r="S3011" s="62" t="s">
        <v>39010</v>
      </c>
      <c r="U3011" s="62" t="s">
        <v>39011</v>
      </c>
      <c r="V3011" s="62" t="s">
        <v>46899</v>
      </c>
      <c r="W3011" s="62" t="s">
        <v>39012</v>
      </c>
      <c r="X3011" s="62" t="s">
        <v>39013</v>
      </c>
      <c r="Y3011" s="62" t="s">
        <v>39014</v>
      </c>
      <c r="Z3011" s="62" t="s">
        <v>39015</v>
      </c>
      <c r="AA3011" s="62" t="s">
        <v>46944</v>
      </c>
      <c r="AB3011" s="62" t="s">
        <v>39016</v>
      </c>
      <c r="AC3011" s="62" t="s">
        <v>39017</v>
      </c>
      <c r="AD3011" s="62" t="s">
        <v>39018</v>
      </c>
    </row>
    <row r="3012" spans="1:30" x14ac:dyDescent="0.25">
      <c r="A3012" s="62" t="s">
        <v>109</v>
      </c>
      <c r="C3012" s="62" t="s">
        <v>39019</v>
      </c>
      <c r="F3012" s="62" t="s">
        <v>855</v>
      </c>
      <c r="G3012" s="62" t="s">
        <v>46765</v>
      </c>
      <c r="J3012" s="62" t="s">
        <v>39020</v>
      </c>
      <c r="K3012" s="62" t="s">
        <v>46810</v>
      </c>
      <c r="L3012" s="62" t="s">
        <v>39021</v>
      </c>
      <c r="M3012" s="62" t="s">
        <v>39022</v>
      </c>
      <c r="N3012" s="62" t="s">
        <v>39023</v>
      </c>
      <c r="O3012" s="62" t="s">
        <v>39024</v>
      </c>
      <c r="P3012" s="62" t="s">
        <v>46855</v>
      </c>
      <c r="Q3012" s="62" t="s">
        <v>39025</v>
      </c>
      <c r="R3012" s="62" t="s">
        <v>39026</v>
      </c>
      <c r="S3012" s="62" t="s">
        <v>39027</v>
      </c>
      <c r="U3012" s="62" t="s">
        <v>39028</v>
      </c>
      <c r="V3012" s="62" t="s">
        <v>46900</v>
      </c>
      <c r="W3012" s="62" t="s">
        <v>39029</v>
      </c>
      <c r="X3012" s="62" t="s">
        <v>39030</v>
      </c>
      <c r="Y3012" s="62" t="s">
        <v>39031</v>
      </c>
      <c r="Z3012" s="62" t="s">
        <v>39032</v>
      </c>
      <c r="AA3012" s="62" t="s">
        <v>46945</v>
      </c>
      <c r="AB3012" s="62" t="s">
        <v>39033</v>
      </c>
      <c r="AC3012" s="62" t="s">
        <v>39034</v>
      </c>
      <c r="AD3012" s="62" t="s">
        <v>39035</v>
      </c>
    </row>
    <row r="3013" spans="1:30" x14ac:dyDescent="0.25">
      <c r="A3013" s="62" t="s">
        <v>109</v>
      </c>
      <c r="C3013" s="62" t="s">
        <v>39036</v>
      </c>
      <c r="F3013" s="62" t="s">
        <v>872</v>
      </c>
      <c r="G3013" s="62" t="s">
        <v>46766</v>
      </c>
      <c r="J3013" s="62" t="s">
        <v>39037</v>
      </c>
      <c r="K3013" s="62" t="s">
        <v>46811</v>
      </c>
      <c r="L3013" s="62" t="s">
        <v>39038</v>
      </c>
      <c r="M3013" s="62" t="s">
        <v>39039</v>
      </c>
      <c r="N3013" s="62" t="s">
        <v>39040</v>
      </c>
      <c r="O3013" s="62" t="s">
        <v>39041</v>
      </c>
      <c r="P3013" s="62" t="s">
        <v>46856</v>
      </c>
      <c r="Q3013" s="62" t="s">
        <v>39042</v>
      </c>
      <c r="R3013" s="62" t="s">
        <v>39043</v>
      </c>
      <c r="S3013" s="62" t="s">
        <v>39044</v>
      </c>
      <c r="U3013" s="62" t="s">
        <v>39045</v>
      </c>
      <c r="V3013" s="62" t="s">
        <v>46901</v>
      </c>
      <c r="W3013" s="62" t="s">
        <v>39046</v>
      </c>
      <c r="X3013" s="62" t="s">
        <v>39047</v>
      </c>
      <c r="Y3013" s="62" t="s">
        <v>39048</v>
      </c>
      <c r="Z3013" s="62" t="s">
        <v>39049</v>
      </c>
      <c r="AA3013" s="62" t="s">
        <v>46946</v>
      </c>
      <c r="AB3013" s="62" t="s">
        <v>39050</v>
      </c>
      <c r="AC3013" s="62" t="s">
        <v>39051</v>
      </c>
      <c r="AD3013" s="62" t="s">
        <v>39052</v>
      </c>
    </row>
    <row r="3014" spans="1:30" x14ac:dyDescent="0.25">
      <c r="A3014" s="62" t="s">
        <v>109</v>
      </c>
      <c r="C3014" s="62" t="s">
        <v>46413</v>
      </c>
      <c r="F3014" s="62" t="s">
        <v>889</v>
      </c>
      <c r="G3014" s="62" t="s">
        <v>46767</v>
      </c>
      <c r="J3014" s="62" t="s">
        <v>46414</v>
      </c>
      <c r="K3014" s="62" t="s">
        <v>46812</v>
      </c>
      <c r="L3014" s="62" t="s">
        <v>46415</v>
      </c>
      <c r="M3014" s="62" t="s">
        <v>46416</v>
      </c>
      <c r="N3014" s="62" t="s">
        <v>46417</v>
      </c>
      <c r="O3014" s="62" t="s">
        <v>46418</v>
      </c>
      <c r="P3014" s="62" t="s">
        <v>46857</v>
      </c>
      <c r="Q3014" s="62" t="s">
        <v>46419</v>
      </c>
      <c r="R3014" s="62" t="s">
        <v>46420</v>
      </c>
      <c r="S3014" s="62" t="s">
        <v>46421</v>
      </c>
      <c r="U3014" s="62" t="s">
        <v>46422</v>
      </c>
      <c r="V3014" s="62" t="s">
        <v>46902</v>
      </c>
      <c r="W3014" s="62" t="s">
        <v>46423</v>
      </c>
      <c r="X3014" s="62" t="s">
        <v>46424</v>
      </c>
      <c r="Y3014" s="62" t="s">
        <v>46425</v>
      </c>
      <c r="Z3014" s="62" t="s">
        <v>46426</v>
      </c>
      <c r="AA3014" s="62" t="s">
        <v>46947</v>
      </c>
      <c r="AB3014" s="62" t="s">
        <v>46427</v>
      </c>
      <c r="AC3014" s="62" t="s">
        <v>46428</v>
      </c>
      <c r="AD3014" s="62" t="s">
        <v>46429</v>
      </c>
    </row>
    <row r="3015" spans="1:30" x14ac:dyDescent="0.25">
      <c r="A3015" s="62" t="s">
        <v>109</v>
      </c>
      <c r="C3015" s="62" t="s">
        <v>39053</v>
      </c>
      <c r="F3015" s="62" t="s">
        <v>915</v>
      </c>
      <c r="G3015" s="62" t="s">
        <v>46768</v>
      </c>
      <c r="J3015" s="62" t="s">
        <v>46430</v>
      </c>
      <c r="K3015" s="62" t="s">
        <v>46813</v>
      </c>
      <c r="L3015" s="62" t="s">
        <v>46431</v>
      </c>
      <c r="M3015" s="62" t="s">
        <v>39054</v>
      </c>
      <c r="N3015" s="62" t="s">
        <v>39055</v>
      </c>
      <c r="O3015" s="62" t="s">
        <v>46432</v>
      </c>
      <c r="P3015" s="62" t="s">
        <v>46858</v>
      </c>
      <c r="Q3015" s="62" t="s">
        <v>46433</v>
      </c>
      <c r="R3015" s="62" t="s">
        <v>39056</v>
      </c>
      <c r="S3015" s="62" t="s">
        <v>39057</v>
      </c>
      <c r="U3015" s="62" t="s">
        <v>46434</v>
      </c>
      <c r="V3015" s="62" t="s">
        <v>46903</v>
      </c>
      <c r="W3015" s="62" t="s">
        <v>46435</v>
      </c>
      <c r="X3015" s="62" t="s">
        <v>39058</v>
      </c>
      <c r="Y3015" s="62" t="s">
        <v>39059</v>
      </c>
      <c r="Z3015" s="62" t="s">
        <v>46436</v>
      </c>
      <c r="AA3015" s="62" t="s">
        <v>46948</v>
      </c>
      <c r="AB3015" s="62" t="s">
        <v>46437</v>
      </c>
      <c r="AC3015" s="62" t="s">
        <v>39060</v>
      </c>
      <c r="AD3015" s="62" t="s">
        <v>39061</v>
      </c>
    </row>
    <row r="3016" spans="1:30" x14ac:dyDescent="0.25">
      <c r="A3016" s="62" t="s">
        <v>109</v>
      </c>
      <c r="C3016" s="62" t="s">
        <v>46438</v>
      </c>
      <c r="F3016" s="62" t="s">
        <v>925</v>
      </c>
      <c r="G3016" s="62" t="s">
        <v>46769</v>
      </c>
      <c r="J3016" s="62" t="s">
        <v>46439</v>
      </c>
      <c r="K3016" s="62" t="s">
        <v>46814</v>
      </c>
      <c r="L3016" s="62" t="s">
        <v>46440</v>
      </c>
      <c r="M3016" s="62" t="s">
        <v>46441</v>
      </c>
      <c r="N3016" s="62" t="s">
        <v>46442</v>
      </c>
      <c r="O3016" s="62" t="s">
        <v>46443</v>
      </c>
      <c r="P3016" s="62" t="s">
        <v>46859</v>
      </c>
      <c r="Q3016" s="62" t="s">
        <v>46444</v>
      </c>
      <c r="R3016" s="62" t="s">
        <v>46445</v>
      </c>
      <c r="S3016" s="62" t="s">
        <v>46446</v>
      </c>
      <c r="U3016" s="62" t="s">
        <v>46447</v>
      </c>
      <c r="V3016" s="62" t="s">
        <v>46904</v>
      </c>
      <c r="W3016" s="62" t="s">
        <v>46448</v>
      </c>
      <c r="X3016" s="62" t="s">
        <v>46449</v>
      </c>
      <c r="Y3016" s="62" t="s">
        <v>46450</v>
      </c>
      <c r="Z3016" s="62" t="s">
        <v>46451</v>
      </c>
      <c r="AA3016" s="62" t="s">
        <v>46949</v>
      </c>
      <c r="AB3016" s="62" t="s">
        <v>46452</v>
      </c>
      <c r="AC3016" s="62" t="s">
        <v>46453</v>
      </c>
      <c r="AD3016" s="62" t="s">
        <v>46454</v>
      </c>
    </row>
    <row r="3017" spans="1:30" x14ac:dyDescent="0.25">
      <c r="A3017" s="62" t="s">
        <v>109</v>
      </c>
      <c r="C3017" s="62" t="s">
        <v>46455</v>
      </c>
      <c r="F3017" s="62" t="s">
        <v>176</v>
      </c>
      <c r="G3017" s="62" t="s">
        <v>46770</v>
      </c>
      <c r="J3017" s="62" t="s">
        <v>46456</v>
      </c>
      <c r="K3017" s="62" t="s">
        <v>46815</v>
      </c>
      <c r="L3017" s="62" t="s">
        <v>46457</v>
      </c>
      <c r="M3017" s="62" t="s">
        <v>46458</v>
      </c>
      <c r="N3017" s="62" t="s">
        <v>46459</v>
      </c>
      <c r="O3017" s="62" t="s">
        <v>46460</v>
      </c>
      <c r="P3017" s="62" t="s">
        <v>46860</v>
      </c>
      <c r="Q3017" s="62" t="s">
        <v>46461</v>
      </c>
      <c r="R3017" s="62" t="s">
        <v>46462</v>
      </c>
      <c r="S3017" s="62" t="s">
        <v>46463</v>
      </c>
      <c r="U3017" s="62" t="s">
        <v>46464</v>
      </c>
      <c r="V3017" s="62" t="s">
        <v>46905</v>
      </c>
      <c r="W3017" s="62" t="s">
        <v>46465</v>
      </c>
      <c r="X3017" s="62" t="s">
        <v>46466</v>
      </c>
      <c r="Y3017" s="62" t="s">
        <v>46467</v>
      </c>
      <c r="Z3017" s="62" t="s">
        <v>46468</v>
      </c>
      <c r="AA3017" s="62" t="s">
        <v>46950</v>
      </c>
      <c r="AB3017" s="62" t="s">
        <v>46469</v>
      </c>
      <c r="AC3017" s="62" t="s">
        <v>46470</v>
      </c>
      <c r="AD3017" s="62" t="s">
        <v>46471</v>
      </c>
    </row>
    <row r="3018" spans="1:30" x14ac:dyDescent="0.25">
      <c r="A3018" s="62" t="s">
        <v>109</v>
      </c>
      <c r="C3018" s="62" t="s">
        <v>39063</v>
      </c>
      <c r="F3018" s="62" t="s">
        <v>976</v>
      </c>
      <c r="G3018" s="62" t="s">
        <v>46771</v>
      </c>
      <c r="J3018" s="62" t="s">
        <v>46472</v>
      </c>
      <c r="K3018" s="62" t="s">
        <v>46816</v>
      </c>
      <c r="L3018" s="62" t="s">
        <v>46473</v>
      </c>
      <c r="M3018" s="62" t="s">
        <v>46474</v>
      </c>
      <c r="N3018" s="62" t="s">
        <v>46475</v>
      </c>
      <c r="O3018" s="62" t="s">
        <v>46476</v>
      </c>
      <c r="P3018" s="62" t="s">
        <v>46861</v>
      </c>
      <c r="Q3018" s="62" t="s">
        <v>46477</v>
      </c>
      <c r="R3018" s="62" t="s">
        <v>46478</v>
      </c>
      <c r="S3018" s="62" t="s">
        <v>46479</v>
      </c>
      <c r="U3018" s="62" t="s">
        <v>46480</v>
      </c>
      <c r="V3018" s="62" t="s">
        <v>46906</v>
      </c>
      <c r="W3018" s="62" t="s">
        <v>46481</v>
      </c>
      <c r="X3018" s="62" t="s">
        <v>46482</v>
      </c>
      <c r="Y3018" s="62" t="s">
        <v>46483</v>
      </c>
      <c r="Z3018" s="62" t="s">
        <v>46484</v>
      </c>
      <c r="AA3018" s="62" t="s">
        <v>46951</v>
      </c>
      <c r="AB3018" s="62" t="s">
        <v>46485</v>
      </c>
      <c r="AC3018" s="62" t="s">
        <v>46486</v>
      </c>
      <c r="AD3018" s="62" t="s">
        <v>46487</v>
      </c>
    </row>
    <row r="3019" spans="1:30" x14ac:dyDescent="0.25">
      <c r="A3019" s="62" t="s">
        <v>109</v>
      </c>
      <c r="C3019" s="62" t="s">
        <v>39064</v>
      </c>
      <c r="F3019" s="62" t="s">
        <v>985</v>
      </c>
      <c r="G3019" s="62" t="s">
        <v>46772</v>
      </c>
      <c r="J3019" s="62" t="s">
        <v>39065</v>
      </c>
      <c r="K3019" s="62" t="s">
        <v>46817</v>
      </c>
      <c r="L3019" s="62" t="s">
        <v>39066</v>
      </c>
      <c r="M3019" s="62" t="s">
        <v>39067</v>
      </c>
      <c r="N3019" s="62" t="s">
        <v>39068</v>
      </c>
      <c r="O3019" s="62" t="s">
        <v>39069</v>
      </c>
      <c r="P3019" s="62" t="s">
        <v>46862</v>
      </c>
      <c r="Q3019" s="62" t="s">
        <v>39070</v>
      </c>
      <c r="R3019" s="62" t="s">
        <v>39071</v>
      </c>
      <c r="S3019" s="62" t="s">
        <v>39072</v>
      </c>
      <c r="U3019" s="62" t="s">
        <v>39073</v>
      </c>
      <c r="V3019" s="62" t="s">
        <v>46907</v>
      </c>
      <c r="W3019" s="62" t="s">
        <v>39074</v>
      </c>
      <c r="X3019" s="62" t="s">
        <v>39075</v>
      </c>
      <c r="Y3019" s="62" t="s">
        <v>39076</v>
      </c>
      <c r="Z3019" s="62" t="s">
        <v>39077</v>
      </c>
      <c r="AA3019" s="62" t="s">
        <v>46952</v>
      </c>
      <c r="AB3019" s="62" t="s">
        <v>39078</v>
      </c>
      <c r="AC3019" s="62" t="s">
        <v>39079</v>
      </c>
      <c r="AD3019" s="62" t="s">
        <v>39080</v>
      </c>
    </row>
    <row r="3020" spans="1:30" x14ac:dyDescent="0.25">
      <c r="A3020" s="62" t="s">
        <v>109</v>
      </c>
      <c r="C3020" s="62" t="s">
        <v>39081</v>
      </c>
      <c r="F3020" s="62" t="s">
        <v>1002</v>
      </c>
      <c r="G3020" s="62" t="s">
        <v>46773</v>
      </c>
      <c r="J3020" s="62" t="s">
        <v>39082</v>
      </c>
      <c r="K3020" s="62" t="s">
        <v>46818</v>
      </c>
      <c r="L3020" s="62" t="s">
        <v>39083</v>
      </c>
      <c r="M3020" s="62" t="s">
        <v>39084</v>
      </c>
      <c r="N3020" s="62" t="s">
        <v>39085</v>
      </c>
      <c r="O3020" s="62" t="s">
        <v>39086</v>
      </c>
      <c r="P3020" s="62" t="s">
        <v>46863</v>
      </c>
      <c r="Q3020" s="62" t="s">
        <v>39087</v>
      </c>
      <c r="R3020" s="62" t="s">
        <v>39088</v>
      </c>
      <c r="S3020" s="62" t="s">
        <v>39089</v>
      </c>
      <c r="U3020" s="62" t="s">
        <v>39090</v>
      </c>
      <c r="V3020" s="62" t="s">
        <v>46908</v>
      </c>
      <c r="W3020" s="62" t="s">
        <v>39091</v>
      </c>
      <c r="X3020" s="62" t="s">
        <v>39092</v>
      </c>
      <c r="Y3020" s="62" t="s">
        <v>39093</v>
      </c>
      <c r="Z3020" s="62" t="s">
        <v>39094</v>
      </c>
      <c r="AA3020" s="62" t="s">
        <v>46953</v>
      </c>
      <c r="AB3020" s="62" t="s">
        <v>39095</v>
      </c>
      <c r="AC3020" s="62" t="s">
        <v>39096</v>
      </c>
      <c r="AD3020" s="62" t="s">
        <v>39097</v>
      </c>
    </row>
    <row r="3021" spans="1:30" x14ac:dyDescent="0.25">
      <c r="A3021" s="62" t="s">
        <v>109</v>
      </c>
      <c r="C3021" s="62" t="s">
        <v>39098</v>
      </c>
      <c r="F3021" s="62" t="s">
        <v>1012</v>
      </c>
      <c r="G3021" s="62" t="s">
        <v>46774</v>
      </c>
      <c r="J3021" s="62" t="s">
        <v>39099</v>
      </c>
      <c r="K3021" s="62" t="s">
        <v>46819</v>
      </c>
      <c r="L3021" s="62" t="s">
        <v>39100</v>
      </c>
      <c r="M3021" s="62" t="s">
        <v>39101</v>
      </c>
      <c r="N3021" s="62" t="s">
        <v>39102</v>
      </c>
      <c r="O3021" s="62" t="s">
        <v>39103</v>
      </c>
      <c r="P3021" s="62" t="s">
        <v>46864</v>
      </c>
      <c r="Q3021" s="62" t="s">
        <v>39104</v>
      </c>
      <c r="R3021" s="62" t="s">
        <v>39105</v>
      </c>
      <c r="S3021" s="62" t="s">
        <v>39106</v>
      </c>
      <c r="U3021" s="62" t="s">
        <v>39107</v>
      </c>
      <c r="V3021" s="62" t="s">
        <v>46909</v>
      </c>
      <c r="W3021" s="62" t="s">
        <v>39108</v>
      </c>
      <c r="X3021" s="62" t="s">
        <v>39109</v>
      </c>
      <c r="Y3021" s="62" t="s">
        <v>39110</v>
      </c>
      <c r="Z3021" s="62" t="s">
        <v>39111</v>
      </c>
      <c r="AA3021" s="62" t="s">
        <v>46954</v>
      </c>
      <c r="AB3021" s="62" t="s">
        <v>39112</v>
      </c>
      <c r="AC3021" s="62" t="s">
        <v>39113</v>
      </c>
      <c r="AD3021" s="62" t="s">
        <v>39114</v>
      </c>
    </row>
    <row r="3022" spans="1:30" x14ac:dyDescent="0.25">
      <c r="A3022" s="62" t="s">
        <v>109</v>
      </c>
      <c r="C3022" s="62" t="s">
        <v>39115</v>
      </c>
      <c r="F3022" s="62" t="s">
        <v>1030</v>
      </c>
      <c r="G3022" s="62" t="s">
        <v>46775</v>
      </c>
      <c r="J3022" s="62" t="s">
        <v>39116</v>
      </c>
      <c r="K3022" s="62" t="s">
        <v>46820</v>
      </c>
      <c r="L3022" s="62" t="s">
        <v>39117</v>
      </c>
      <c r="M3022" s="62" t="s">
        <v>39118</v>
      </c>
      <c r="N3022" s="62" t="s">
        <v>39119</v>
      </c>
      <c r="O3022" s="62" t="s">
        <v>39120</v>
      </c>
      <c r="P3022" s="62" t="s">
        <v>46865</v>
      </c>
      <c r="Q3022" s="62" t="s">
        <v>39121</v>
      </c>
      <c r="R3022" s="62" t="s">
        <v>39122</v>
      </c>
      <c r="S3022" s="62" t="s">
        <v>39123</v>
      </c>
      <c r="U3022" s="62" t="s">
        <v>39124</v>
      </c>
      <c r="V3022" s="62" t="s">
        <v>46910</v>
      </c>
      <c r="W3022" s="62" t="s">
        <v>39125</v>
      </c>
      <c r="X3022" s="62" t="s">
        <v>39126</v>
      </c>
      <c r="Y3022" s="62" t="s">
        <v>39127</v>
      </c>
      <c r="Z3022" s="62" t="s">
        <v>39128</v>
      </c>
      <c r="AA3022" s="62" t="s">
        <v>46955</v>
      </c>
      <c r="AB3022" s="62" t="s">
        <v>39129</v>
      </c>
      <c r="AC3022" s="62" t="s">
        <v>39130</v>
      </c>
      <c r="AD3022" s="62" t="s">
        <v>39131</v>
      </c>
    </row>
    <row r="3023" spans="1:30" x14ac:dyDescent="0.25">
      <c r="A3023" s="62" t="s">
        <v>109</v>
      </c>
      <c r="C3023" s="62" t="s">
        <v>39132</v>
      </c>
      <c r="F3023" s="62" t="s">
        <v>1047</v>
      </c>
      <c r="G3023" s="62" t="s">
        <v>46776</v>
      </c>
      <c r="J3023" s="62" t="s">
        <v>39133</v>
      </c>
      <c r="K3023" s="62" t="s">
        <v>46821</v>
      </c>
      <c r="L3023" s="62" t="s">
        <v>39134</v>
      </c>
      <c r="M3023" s="62" t="s">
        <v>39135</v>
      </c>
      <c r="N3023" s="62" t="s">
        <v>39136</v>
      </c>
      <c r="O3023" s="62" t="s">
        <v>39137</v>
      </c>
      <c r="P3023" s="62" t="s">
        <v>46866</v>
      </c>
      <c r="Q3023" s="62" t="s">
        <v>39138</v>
      </c>
      <c r="R3023" s="62" t="s">
        <v>39139</v>
      </c>
      <c r="S3023" s="62" t="s">
        <v>39140</v>
      </c>
      <c r="U3023" s="62" t="s">
        <v>39141</v>
      </c>
      <c r="V3023" s="62" t="s">
        <v>46911</v>
      </c>
      <c r="W3023" s="62" t="s">
        <v>39142</v>
      </c>
      <c r="X3023" s="62" t="s">
        <v>39143</v>
      </c>
      <c r="Y3023" s="62" t="s">
        <v>39144</v>
      </c>
      <c r="Z3023" s="62" t="s">
        <v>39145</v>
      </c>
      <c r="AA3023" s="62" t="s">
        <v>46956</v>
      </c>
      <c r="AB3023" s="62" t="s">
        <v>39146</v>
      </c>
      <c r="AC3023" s="62" t="s">
        <v>39147</v>
      </c>
      <c r="AD3023" s="62" t="s">
        <v>39148</v>
      </c>
    </row>
    <row r="3024" spans="1:30" x14ac:dyDescent="0.25">
      <c r="A3024" s="62" t="s">
        <v>109</v>
      </c>
      <c r="C3024" s="62" t="s">
        <v>39149</v>
      </c>
      <c r="F3024" s="62" t="s">
        <v>1064</v>
      </c>
      <c r="G3024" s="62" t="s">
        <v>46777</v>
      </c>
      <c r="J3024" s="62" t="s">
        <v>39150</v>
      </c>
      <c r="K3024" s="62" t="s">
        <v>46822</v>
      </c>
      <c r="L3024" s="62" t="s">
        <v>39151</v>
      </c>
      <c r="M3024" s="62" t="s">
        <v>39152</v>
      </c>
      <c r="N3024" s="62" t="s">
        <v>39153</v>
      </c>
      <c r="O3024" s="62" t="s">
        <v>39154</v>
      </c>
      <c r="P3024" s="62" t="s">
        <v>46867</v>
      </c>
      <c r="Q3024" s="62" t="s">
        <v>39155</v>
      </c>
      <c r="R3024" s="62" t="s">
        <v>39156</v>
      </c>
      <c r="S3024" s="62" t="s">
        <v>39157</v>
      </c>
      <c r="U3024" s="62" t="s">
        <v>39158</v>
      </c>
      <c r="V3024" s="62" t="s">
        <v>46912</v>
      </c>
      <c r="W3024" s="62" t="s">
        <v>39159</v>
      </c>
      <c r="X3024" s="62" t="s">
        <v>39160</v>
      </c>
      <c r="Y3024" s="62" t="s">
        <v>39161</v>
      </c>
      <c r="Z3024" s="62" t="s">
        <v>39162</v>
      </c>
      <c r="AA3024" s="62" t="s">
        <v>46957</v>
      </c>
      <c r="AB3024" s="62" t="s">
        <v>39163</v>
      </c>
      <c r="AC3024" s="62" t="s">
        <v>39164</v>
      </c>
      <c r="AD3024" s="62" t="s">
        <v>39165</v>
      </c>
    </row>
    <row r="3025" spans="1:30" x14ac:dyDescent="0.25">
      <c r="A3025" s="62" t="s">
        <v>109</v>
      </c>
      <c r="C3025" s="62" t="s">
        <v>39166</v>
      </c>
      <c r="F3025" s="62" t="s">
        <v>1073</v>
      </c>
      <c r="G3025" s="62" t="s">
        <v>46778</v>
      </c>
      <c r="J3025" s="62" t="s">
        <v>39167</v>
      </c>
      <c r="K3025" s="62" t="s">
        <v>46823</v>
      </c>
      <c r="L3025" s="62" t="s">
        <v>39168</v>
      </c>
      <c r="M3025" s="62" t="s">
        <v>39169</v>
      </c>
      <c r="N3025" s="62" t="s">
        <v>39170</v>
      </c>
      <c r="O3025" s="62" t="s">
        <v>39171</v>
      </c>
      <c r="P3025" s="62" t="s">
        <v>46868</v>
      </c>
      <c r="Q3025" s="62" t="s">
        <v>39172</v>
      </c>
      <c r="R3025" s="62" t="s">
        <v>39173</v>
      </c>
      <c r="S3025" s="62" t="s">
        <v>39174</v>
      </c>
      <c r="U3025" s="62" t="s">
        <v>39175</v>
      </c>
      <c r="V3025" s="62" t="s">
        <v>46913</v>
      </c>
      <c r="W3025" s="62" t="s">
        <v>39176</v>
      </c>
      <c r="X3025" s="62" t="s">
        <v>39177</v>
      </c>
      <c r="Y3025" s="62" t="s">
        <v>39178</v>
      </c>
      <c r="Z3025" s="62" t="s">
        <v>39179</v>
      </c>
      <c r="AA3025" s="62" t="s">
        <v>46958</v>
      </c>
      <c r="AB3025" s="62" t="s">
        <v>39180</v>
      </c>
      <c r="AC3025" s="62" t="s">
        <v>39181</v>
      </c>
      <c r="AD3025" s="62" t="s">
        <v>39182</v>
      </c>
    </row>
    <row r="3026" spans="1:30" x14ac:dyDescent="0.25">
      <c r="A3026" s="62" t="s">
        <v>109</v>
      </c>
      <c r="C3026" s="62" t="s">
        <v>39183</v>
      </c>
      <c r="F3026" s="62" t="s">
        <v>1090</v>
      </c>
      <c r="G3026" s="62" t="s">
        <v>46779</v>
      </c>
      <c r="J3026" s="62" t="s">
        <v>39184</v>
      </c>
      <c r="K3026" s="62" t="s">
        <v>46824</v>
      </c>
      <c r="L3026" s="62" t="s">
        <v>39185</v>
      </c>
      <c r="M3026" s="62" t="s">
        <v>39186</v>
      </c>
      <c r="N3026" s="62" t="s">
        <v>39187</v>
      </c>
      <c r="O3026" s="62" t="s">
        <v>39188</v>
      </c>
      <c r="P3026" s="62" t="s">
        <v>46869</v>
      </c>
      <c r="Q3026" s="62" t="s">
        <v>39189</v>
      </c>
      <c r="R3026" s="62" t="s">
        <v>39190</v>
      </c>
      <c r="S3026" s="62" t="s">
        <v>39191</v>
      </c>
      <c r="U3026" s="62" t="s">
        <v>39192</v>
      </c>
      <c r="V3026" s="62" t="s">
        <v>46914</v>
      </c>
      <c r="W3026" s="62" t="s">
        <v>39193</v>
      </c>
      <c r="X3026" s="62" t="s">
        <v>39194</v>
      </c>
      <c r="Y3026" s="62" t="s">
        <v>39195</v>
      </c>
      <c r="Z3026" s="62" t="s">
        <v>39196</v>
      </c>
      <c r="AA3026" s="62" t="s">
        <v>46959</v>
      </c>
      <c r="AB3026" s="62" t="s">
        <v>39197</v>
      </c>
      <c r="AC3026" s="62" t="s">
        <v>39198</v>
      </c>
      <c r="AD3026" s="62" t="s">
        <v>39199</v>
      </c>
    </row>
    <row r="3027" spans="1:30" x14ac:dyDescent="0.25">
      <c r="A3027" s="62" t="s">
        <v>109</v>
      </c>
      <c r="C3027" s="62" t="s">
        <v>39200</v>
      </c>
      <c r="F3027" s="62" t="s">
        <v>1100</v>
      </c>
      <c r="G3027" s="62" t="s">
        <v>46780</v>
      </c>
      <c r="J3027" s="62" t="s">
        <v>39201</v>
      </c>
      <c r="K3027" s="62" t="s">
        <v>46825</v>
      </c>
      <c r="L3027" s="62" t="s">
        <v>39202</v>
      </c>
      <c r="M3027" s="62" t="s">
        <v>39203</v>
      </c>
      <c r="N3027" s="62" t="s">
        <v>39204</v>
      </c>
      <c r="O3027" s="62" t="s">
        <v>39205</v>
      </c>
      <c r="P3027" s="62" t="s">
        <v>46870</v>
      </c>
      <c r="Q3027" s="62" t="s">
        <v>39206</v>
      </c>
      <c r="R3027" s="62" t="s">
        <v>39207</v>
      </c>
      <c r="S3027" s="62" t="s">
        <v>39208</v>
      </c>
      <c r="U3027" s="62" t="s">
        <v>39209</v>
      </c>
      <c r="V3027" s="62" t="s">
        <v>46915</v>
      </c>
      <c r="W3027" s="62" t="s">
        <v>39210</v>
      </c>
      <c r="X3027" s="62" t="s">
        <v>39211</v>
      </c>
      <c r="Y3027" s="62" t="s">
        <v>39212</v>
      </c>
      <c r="Z3027" s="62" t="s">
        <v>39213</v>
      </c>
      <c r="AA3027" s="62" t="s">
        <v>46960</v>
      </c>
      <c r="AB3027" s="62" t="s">
        <v>39214</v>
      </c>
      <c r="AC3027" s="62" t="s">
        <v>39215</v>
      </c>
      <c r="AD3027" s="62" t="s">
        <v>39216</v>
      </c>
    </row>
    <row r="3028" spans="1:30" x14ac:dyDescent="0.25">
      <c r="A3028" s="62" t="s">
        <v>109</v>
      </c>
      <c r="C3028" s="62" t="s">
        <v>39217</v>
      </c>
      <c r="F3028" s="62" t="s">
        <v>1118</v>
      </c>
      <c r="G3028" s="62" t="s">
        <v>46781</v>
      </c>
      <c r="J3028" s="62" t="s">
        <v>39218</v>
      </c>
      <c r="K3028" s="62" t="s">
        <v>46826</v>
      </c>
      <c r="L3028" s="62" t="s">
        <v>39219</v>
      </c>
      <c r="M3028" s="62" t="s">
        <v>39220</v>
      </c>
      <c r="N3028" s="62" t="s">
        <v>39221</v>
      </c>
      <c r="O3028" s="62" t="s">
        <v>39222</v>
      </c>
      <c r="P3028" s="62" t="s">
        <v>46871</v>
      </c>
      <c r="Q3028" s="62" t="s">
        <v>39223</v>
      </c>
      <c r="R3028" s="62" t="s">
        <v>39224</v>
      </c>
      <c r="S3028" s="62" t="s">
        <v>39225</v>
      </c>
      <c r="U3028" s="62" t="s">
        <v>39226</v>
      </c>
      <c r="V3028" s="62" t="s">
        <v>46916</v>
      </c>
      <c r="W3028" s="62" t="s">
        <v>39227</v>
      </c>
      <c r="X3028" s="62" t="s">
        <v>39228</v>
      </c>
      <c r="Y3028" s="62" t="s">
        <v>39229</v>
      </c>
      <c r="Z3028" s="62" t="s">
        <v>39230</v>
      </c>
      <c r="AA3028" s="62" t="s">
        <v>46961</v>
      </c>
      <c r="AB3028" s="62" t="s">
        <v>39231</v>
      </c>
      <c r="AC3028" s="62" t="s">
        <v>39232</v>
      </c>
      <c r="AD3028" s="62" t="s">
        <v>39233</v>
      </c>
    </row>
    <row r="3029" spans="1:30" x14ac:dyDescent="0.25">
      <c r="A3029" s="62" t="s">
        <v>109</v>
      </c>
      <c r="C3029" s="62" t="s">
        <v>39234</v>
      </c>
      <c r="F3029" s="62" t="s">
        <v>1135</v>
      </c>
      <c r="G3029" s="62" t="s">
        <v>46782</v>
      </c>
      <c r="J3029" s="62" t="s">
        <v>39235</v>
      </c>
      <c r="K3029" s="62" t="s">
        <v>46827</v>
      </c>
      <c r="L3029" s="62" t="s">
        <v>39236</v>
      </c>
      <c r="M3029" s="62" t="s">
        <v>39237</v>
      </c>
      <c r="N3029" s="62" t="s">
        <v>39238</v>
      </c>
      <c r="O3029" s="62" t="s">
        <v>39239</v>
      </c>
      <c r="P3029" s="62" t="s">
        <v>46872</v>
      </c>
      <c r="Q3029" s="62" t="s">
        <v>39240</v>
      </c>
      <c r="R3029" s="62" t="s">
        <v>39241</v>
      </c>
      <c r="S3029" s="62" t="s">
        <v>39242</v>
      </c>
      <c r="U3029" s="62" t="s">
        <v>39243</v>
      </c>
      <c r="V3029" s="62" t="s">
        <v>46917</v>
      </c>
      <c r="W3029" s="62" t="s">
        <v>39244</v>
      </c>
      <c r="X3029" s="62" t="s">
        <v>39245</v>
      </c>
      <c r="Y3029" s="62" t="s">
        <v>39246</v>
      </c>
      <c r="Z3029" s="62" t="s">
        <v>39247</v>
      </c>
      <c r="AA3029" s="62" t="s">
        <v>46962</v>
      </c>
      <c r="AB3029" s="62" t="s">
        <v>39248</v>
      </c>
      <c r="AC3029" s="62" t="s">
        <v>39249</v>
      </c>
      <c r="AD3029" s="62" t="s">
        <v>39250</v>
      </c>
    </row>
    <row r="3030" spans="1:30" x14ac:dyDescent="0.25">
      <c r="A3030" s="62" t="s">
        <v>109</v>
      </c>
      <c r="C3030" s="62" t="s">
        <v>39251</v>
      </c>
      <c r="F3030" s="62" t="s">
        <v>1152</v>
      </c>
      <c r="G3030" s="62" t="s">
        <v>46783</v>
      </c>
      <c r="J3030" s="62" t="s">
        <v>39252</v>
      </c>
      <c r="K3030" s="62" t="s">
        <v>46828</v>
      </c>
      <c r="L3030" s="62" t="s">
        <v>39253</v>
      </c>
      <c r="M3030" s="62" t="s">
        <v>39254</v>
      </c>
      <c r="N3030" s="62" t="s">
        <v>39255</v>
      </c>
      <c r="O3030" s="62" t="s">
        <v>39256</v>
      </c>
      <c r="P3030" s="62" t="s">
        <v>46873</v>
      </c>
      <c r="Q3030" s="62" t="s">
        <v>39257</v>
      </c>
      <c r="R3030" s="62" t="s">
        <v>39258</v>
      </c>
      <c r="S3030" s="62" t="s">
        <v>39259</v>
      </c>
      <c r="U3030" s="62" t="s">
        <v>39260</v>
      </c>
      <c r="V3030" s="62" t="s">
        <v>46918</v>
      </c>
      <c r="W3030" s="62" t="s">
        <v>39261</v>
      </c>
      <c r="X3030" s="62" t="s">
        <v>39262</v>
      </c>
      <c r="Y3030" s="62" t="s">
        <v>39263</v>
      </c>
      <c r="Z3030" s="62" t="s">
        <v>39264</v>
      </c>
      <c r="AA3030" s="62" t="s">
        <v>46963</v>
      </c>
      <c r="AB3030" s="62" t="s">
        <v>39265</v>
      </c>
      <c r="AC3030" s="62" t="s">
        <v>39266</v>
      </c>
      <c r="AD3030" s="62" t="s">
        <v>39267</v>
      </c>
    </row>
    <row r="3031" spans="1:30" x14ac:dyDescent="0.25">
      <c r="A3031" s="62" t="s">
        <v>109</v>
      </c>
      <c r="C3031" s="62" t="s">
        <v>39268</v>
      </c>
      <c r="F3031" s="62" t="s">
        <v>1688</v>
      </c>
      <c r="G3031" s="62" t="s">
        <v>46784</v>
      </c>
      <c r="J3031" s="62" t="s">
        <v>39269</v>
      </c>
      <c r="K3031" s="62" t="s">
        <v>46829</v>
      </c>
      <c r="L3031" s="62" t="s">
        <v>39270</v>
      </c>
      <c r="M3031" s="62" t="s">
        <v>39271</v>
      </c>
      <c r="N3031" s="62" t="s">
        <v>39272</v>
      </c>
      <c r="O3031" s="62" t="s">
        <v>39273</v>
      </c>
      <c r="P3031" s="62" t="s">
        <v>46874</v>
      </c>
      <c r="Q3031" s="62" t="s">
        <v>39274</v>
      </c>
      <c r="R3031" s="62" t="s">
        <v>39275</v>
      </c>
      <c r="S3031" s="62" t="s">
        <v>39276</v>
      </c>
      <c r="U3031" s="62" t="s">
        <v>39277</v>
      </c>
      <c r="V3031" s="62" t="s">
        <v>46919</v>
      </c>
      <c r="W3031" s="62" t="s">
        <v>39278</v>
      </c>
      <c r="X3031" s="62" t="s">
        <v>39279</v>
      </c>
      <c r="Y3031" s="62" t="s">
        <v>39280</v>
      </c>
      <c r="Z3031" s="62" t="s">
        <v>39281</v>
      </c>
      <c r="AA3031" s="62" t="s">
        <v>46964</v>
      </c>
      <c r="AB3031" s="62" t="s">
        <v>39282</v>
      </c>
      <c r="AC3031" s="62" t="s">
        <v>39283</v>
      </c>
      <c r="AD3031" s="62" t="s">
        <v>39284</v>
      </c>
    </row>
    <row r="3032" spans="1:30" x14ac:dyDescent="0.25">
      <c r="A3032" s="62" t="s">
        <v>109</v>
      </c>
      <c r="C3032" s="62" t="s">
        <v>39285</v>
      </c>
      <c r="F3032" s="62" t="s">
        <v>1161</v>
      </c>
      <c r="G3032" s="62" t="s">
        <v>46785</v>
      </c>
      <c r="J3032" s="62" t="s">
        <v>39286</v>
      </c>
      <c r="K3032" s="62" t="s">
        <v>46830</v>
      </c>
      <c r="L3032" s="62" t="s">
        <v>39287</v>
      </c>
      <c r="M3032" s="62" t="s">
        <v>39288</v>
      </c>
      <c r="N3032" s="62" t="s">
        <v>39289</v>
      </c>
      <c r="O3032" s="62" t="s">
        <v>39290</v>
      </c>
      <c r="P3032" s="62" t="s">
        <v>46875</v>
      </c>
      <c r="Q3032" s="62" t="s">
        <v>39291</v>
      </c>
      <c r="R3032" s="62" t="s">
        <v>39292</v>
      </c>
      <c r="S3032" s="62" t="s">
        <v>39293</v>
      </c>
      <c r="U3032" s="62" t="s">
        <v>39294</v>
      </c>
      <c r="V3032" s="62" t="s">
        <v>46920</v>
      </c>
      <c r="W3032" s="62" t="s">
        <v>39295</v>
      </c>
      <c r="X3032" s="62" t="s">
        <v>39296</v>
      </c>
      <c r="Y3032" s="62" t="s">
        <v>39297</v>
      </c>
      <c r="Z3032" s="62" t="s">
        <v>39298</v>
      </c>
      <c r="AA3032" s="62" t="s">
        <v>46965</v>
      </c>
      <c r="AB3032" s="62" t="s">
        <v>39299</v>
      </c>
      <c r="AC3032" s="62" t="s">
        <v>39300</v>
      </c>
      <c r="AD3032" s="62" t="s">
        <v>39301</v>
      </c>
    </row>
    <row r="3033" spans="1:30" x14ac:dyDescent="0.25">
      <c r="A3033" s="62" t="s">
        <v>109</v>
      </c>
      <c r="C3033" s="62" t="s">
        <v>39302</v>
      </c>
      <c r="F3033" s="62" t="s">
        <v>1178</v>
      </c>
      <c r="G3033" s="62" t="s">
        <v>46786</v>
      </c>
      <c r="J3033" s="62" t="s">
        <v>39303</v>
      </c>
      <c r="K3033" s="62" t="s">
        <v>46831</v>
      </c>
      <c r="L3033" s="62" t="s">
        <v>39304</v>
      </c>
      <c r="M3033" s="62" t="s">
        <v>39305</v>
      </c>
      <c r="N3033" s="62" t="s">
        <v>39306</v>
      </c>
      <c r="O3033" s="62" t="s">
        <v>39307</v>
      </c>
      <c r="P3033" s="62" t="s">
        <v>46876</v>
      </c>
      <c r="Q3033" s="62" t="s">
        <v>39308</v>
      </c>
      <c r="R3033" s="62" t="s">
        <v>39309</v>
      </c>
      <c r="S3033" s="62" t="s">
        <v>39310</v>
      </c>
      <c r="U3033" s="62" t="s">
        <v>39311</v>
      </c>
      <c r="V3033" s="62" t="s">
        <v>46921</v>
      </c>
      <c r="W3033" s="62" t="s">
        <v>39312</v>
      </c>
      <c r="X3033" s="62" t="s">
        <v>39313</v>
      </c>
      <c r="Y3033" s="62" t="s">
        <v>39314</v>
      </c>
      <c r="Z3033" s="62" t="s">
        <v>39315</v>
      </c>
      <c r="AA3033" s="62" t="s">
        <v>46966</v>
      </c>
      <c r="AB3033" s="62" t="s">
        <v>39316</v>
      </c>
      <c r="AC3033" s="62" t="s">
        <v>39317</v>
      </c>
      <c r="AD3033" s="62" t="s">
        <v>39318</v>
      </c>
    </row>
    <row r="3034" spans="1:30" x14ac:dyDescent="0.25">
      <c r="A3034" s="62" t="s">
        <v>109</v>
      </c>
      <c r="C3034" s="62" t="s">
        <v>39319</v>
      </c>
      <c r="F3034" s="62" t="s">
        <v>1188</v>
      </c>
      <c r="G3034" s="62" t="s">
        <v>46787</v>
      </c>
      <c r="J3034" s="62" t="s">
        <v>39320</v>
      </c>
      <c r="K3034" s="62" t="s">
        <v>46832</v>
      </c>
      <c r="L3034" s="62" t="s">
        <v>39321</v>
      </c>
      <c r="M3034" s="62" t="s">
        <v>39322</v>
      </c>
      <c r="N3034" s="62" t="s">
        <v>39323</v>
      </c>
      <c r="O3034" s="62" t="s">
        <v>39324</v>
      </c>
      <c r="P3034" s="62" t="s">
        <v>46877</v>
      </c>
      <c r="Q3034" s="62" t="s">
        <v>39325</v>
      </c>
      <c r="R3034" s="62" t="s">
        <v>39326</v>
      </c>
      <c r="S3034" s="62" t="s">
        <v>39327</v>
      </c>
      <c r="U3034" s="62" t="s">
        <v>39328</v>
      </c>
      <c r="V3034" s="62" t="s">
        <v>46922</v>
      </c>
      <c r="W3034" s="62" t="s">
        <v>39329</v>
      </c>
      <c r="X3034" s="62" t="s">
        <v>39330</v>
      </c>
      <c r="Y3034" s="62" t="s">
        <v>39331</v>
      </c>
      <c r="Z3034" s="62" t="s">
        <v>39332</v>
      </c>
      <c r="AA3034" s="62" t="s">
        <v>46967</v>
      </c>
      <c r="AB3034" s="62" t="s">
        <v>39333</v>
      </c>
      <c r="AC3034" s="62" t="s">
        <v>39334</v>
      </c>
      <c r="AD3034" s="62" t="s">
        <v>39335</v>
      </c>
    </row>
    <row r="3035" spans="1:30" x14ac:dyDescent="0.25">
      <c r="A3035" s="62" t="s">
        <v>109</v>
      </c>
      <c r="C3035" s="62" t="s">
        <v>39336</v>
      </c>
      <c r="F3035" s="62" t="s">
        <v>1206</v>
      </c>
      <c r="G3035" s="62" t="s">
        <v>46788</v>
      </c>
      <c r="J3035" s="62" t="s">
        <v>39337</v>
      </c>
      <c r="K3035" s="62" t="s">
        <v>46833</v>
      </c>
      <c r="L3035" s="62" t="s">
        <v>39338</v>
      </c>
      <c r="M3035" s="62" t="s">
        <v>39339</v>
      </c>
      <c r="N3035" s="62" t="s">
        <v>39340</v>
      </c>
      <c r="O3035" s="62" t="s">
        <v>39341</v>
      </c>
      <c r="P3035" s="62" t="s">
        <v>46878</v>
      </c>
      <c r="Q3035" s="62" t="s">
        <v>39342</v>
      </c>
      <c r="R3035" s="62" t="s">
        <v>39343</v>
      </c>
      <c r="S3035" s="62" t="s">
        <v>39344</v>
      </c>
      <c r="U3035" s="62" t="s">
        <v>39345</v>
      </c>
      <c r="V3035" s="62" t="s">
        <v>46923</v>
      </c>
      <c r="W3035" s="62" t="s">
        <v>39346</v>
      </c>
      <c r="X3035" s="62" t="s">
        <v>39347</v>
      </c>
      <c r="Y3035" s="62" t="s">
        <v>39348</v>
      </c>
      <c r="Z3035" s="62" t="s">
        <v>39349</v>
      </c>
      <c r="AA3035" s="62" t="s">
        <v>46968</v>
      </c>
      <c r="AB3035" s="62" t="s">
        <v>39350</v>
      </c>
      <c r="AC3035" s="62" t="s">
        <v>39351</v>
      </c>
      <c r="AD3035" s="62" t="s">
        <v>39352</v>
      </c>
    </row>
    <row r="3036" spans="1:30" x14ac:dyDescent="0.25">
      <c r="A3036" s="62" t="s">
        <v>109</v>
      </c>
      <c r="C3036" s="62" t="s">
        <v>39353</v>
      </c>
      <c r="F3036" s="62" t="s">
        <v>1223</v>
      </c>
      <c r="G3036" s="62" t="s">
        <v>46789</v>
      </c>
      <c r="J3036" s="62" t="s">
        <v>39354</v>
      </c>
      <c r="K3036" s="62" t="s">
        <v>46834</v>
      </c>
      <c r="L3036" s="62" t="s">
        <v>39355</v>
      </c>
      <c r="M3036" s="62" t="s">
        <v>39356</v>
      </c>
      <c r="N3036" s="62" t="s">
        <v>39357</v>
      </c>
      <c r="O3036" s="62" t="s">
        <v>39358</v>
      </c>
      <c r="P3036" s="62" t="s">
        <v>46879</v>
      </c>
      <c r="Q3036" s="62" t="s">
        <v>39359</v>
      </c>
      <c r="R3036" s="62" t="s">
        <v>39360</v>
      </c>
      <c r="S3036" s="62" t="s">
        <v>39361</v>
      </c>
      <c r="U3036" s="62" t="s">
        <v>39362</v>
      </c>
      <c r="V3036" s="62" t="s">
        <v>46924</v>
      </c>
      <c r="W3036" s="62" t="s">
        <v>39363</v>
      </c>
      <c r="X3036" s="62" t="s">
        <v>39364</v>
      </c>
      <c r="Y3036" s="62" t="s">
        <v>39365</v>
      </c>
      <c r="Z3036" s="62" t="s">
        <v>39366</v>
      </c>
      <c r="AA3036" s="62" t="s">
        <v>46969</v>
      </c>
      <c r="AB3036" s="62" t="s">
        <v>39367</v>
      </c>
      <c r="AC3036" s="62" t="s">
        <v>39368</v>
      </c>
      <c r="AD3036" s="62" t="s">
        <v>39369</v>
      </c>
    </row>
    <row r="3037" spans="1:30" x14ac:dyDescent="0.25">
      <c r="A3037" s="62" t="s">
        <v>109</v>
      </c>
      <c r="C3037" s="62" t="s">
        <v>39370</v>
      </c>
      <c r="F3037" s="62" t="s">
        <v>1240</v>
      </c>
      <c r="G3037" s="62" t="s">
        <v>46790</v>
      </c>
      <c r="J3037" s="62" t="s">
        <v>39371</v>
      </c>
      <c r="K3037" s="62" t="s">
        <v>46835</v>
      </c>
      <c r="L3037" s="62" t="s">
        <v>39372</v>
      </c>
      <c r="M3037" s="62" t="s">
        <v>39373</v>
      </c>
      <c r="N3037" s="62" t="s">
        <v>39374</v>
      </c>
      <c r="O3037" s="62" t="s">
        <v>39375</v>
      </c>
      <c r="P3037" s="62" t="s">
        <v>46880</v>
      </c>
      <c r="Q3037" s="62" t="s">
        <v>39376</v>
      </c>
      <c r="R3037" s="62" t="s">
        <v>39377</v>
      </c>
      <c r="S3037" s="62" t="s">
        <v>39378</v>
      </c>
      <c r="U3037" s="62" t="s">
        <v>39379</v>
      </c>
      <c r="V3037" s="62" t="s">
        <v>46925</v>
      </c>
      <c r="W3037" s="62" t="s">
        <v>39380</v>
      </c>
      <c r="X3037" s="62" t="s">
        <v>39381</v>
      </c>
      <c r="Y3037" s="62" t="s">
        <v>39382</v>
      </c>
      <c r="Z3037" s="62" t="s">
        <v>39383</v>
      </c>
      <c r="AA3037" s="62" t="s">
        <v>46970</v>
      </c>
      <c r="AB3037" s="62" t="s">
        <v>39384</v>
      </c>
      <c r="AC3037" s="62" t="s">
        <v>39385</v>
      </c>
      <c r="AD3037" s="62" t="s">
        <v>39386</v>
      </c>
    </row>
    <row r="3038" spans="1:30" x14ac:dyDescent="0.25">
      <c r="A3038" s="62" t="s">
        <v>109</v>
      </c>
      <c r="C3038" s="62" t="s">
        <v>39387</v>
      </c>
      <c r="F3038" s="62" t="s">
        <v>1249</v>
      </c>
      <c r="G3038" s="62" t="s">
        <v>46791</v>
      </c>
      <c r="J3038" s="62" t="s">
        <v>39388</v>
      </c>
      <c r="K3038" s="62" t="s">
        <v>46836</v>
      </c>
      <c r="L3038" s="62" t="s">
        <v>39389</v>
      </c>
      <c r="M3038" s="62" t="s">
        <v>39390</v>
      </c>
      <c r="N3038" s="62" t="s">
        <v>39391</v>
      </c>
      <c r="O3038" s="62" t="s">
        <v>39392</v>
      </c>
      <c r="P3038" s="62" t="s">
        <v>46881</v>
      </c>
      <c r="Q3038" s="62" t="s">
        <v>39393</v>
      </c>
      <c r="R3038" s="62" t="s">
        <v>39394</v>
      </c>
      <c r="S3038" s="62" t="s">
        <v>39395</v>
      </c>
      <c r="U3038" s="62" t="s">
        <v>39396</v>
      </c>
      <c r="V3038" s="62" t="s">
        <v>46926</v>
      </c>
      <c r="W3038" s="62" t="s">
        <v>39397</v>
      </c>
      <c r="X3038" s="62" t="s">
        <v>39398</v>
      </c>
      <c r="Y3038" s="62" t="s">
        <v>39399</v>
      </c>
      <c r="Z3038" s="62" t="s">
        <v>39400</v>
      </c>
      <c r="AA3038" s="62" t="s">
        <v>46971</v>
      </c>
      <c r="AB3038" s="62" t="s">
        <v>39401</v>
      </c>
      <c r="AC3038" s="62" t="s">
        <v>39402</v>
      </c>
      <c r="AD3038" s="62" t="s">
        <v>39403</v>
      </c>
    </row>
    <row r="3039" spans="1:30" x14ac:dyDescent="0.25">
      <c r="A3039" s="62" t="s">
        <v>109</v>
      </c>
      <c r="C3039" s="62" t="s">
        <v>39404</v>
      </c>
      <c r="F3039" s="62" t="s">
        <v>1266</v>
      </c>
      <c r="G3039" s="62" t="s">
        <v>46792</v>
      </c>
      <c r="J3039" s="62" t="s">
        <v>39405</v>
      </c>
      <c r="K3039" s="62" t="s">
        <v>46837</v>
      </c>
      <c r="L3039" s="62" t="s">
        <v>39406</v>
      </c>
      <c r="M3039" s="62" t="s">
        <v>39407</v>
      </c>
      <c r="N3039" s="62" t="s">
        <v>39408</v>
      </c>
      <c r="O3039" s="62" t="s">
        <v>39409</v>
      </c>
      <c r="P3039" s="62" t="s">
        <v>46882</v>
      </c>
      <c r="Q3039" s="62" t="s">
        <v>39410</v>
      </c>
      <c r="R3039" s="62" t="s">
        <v>39411</v>
      </c>
      <c r="S3039" s="62" t="s">
        <v>39412</v>
      </c>
      <c r="U3039" s="62" t="s">
        <v>39413</v>
      </c>
      <c r="V3039" s="62" t="s">
        <v>46927</v>
      </c>
      <c r="W3039" s="62" t="s">
        <v>39414</v>
      </c>
      <c r="X3039" s="62" t="s">
        <v>39415</v>
      </c>
      <c r="Y3039" s="62" t="s">
        <v>39416</v>
      </c>
      <c r="Z3039" s="62" t="s">
        <v>39417</v>
      </c>
      <c r="AA3039" s="62" t="s">
        <v>46972</v>
      </c>
      <c r="AB3039" s="62" t="s">
        <v>39418</v>
      </c>
      <c r="AC3039" s="62" t="s">
        <v>39419</v>
      </c>
      <c r="AD3039" s="62" t="s">
        <v>39420</v>
      </c>
    </row>
    <row r="3040" spans="1:30" x14ac:dyDescent="0.25">
      <c r="A3040" s="62" t="s">
        <v>109</v>
      </c>
      <c r="C3040" s="62" t="s">
        <v>39421</v>
      </c>
      <c r="F3040" s="62" t="s">
        <v>1275</v>
      </c>
      <c r="G3040" s="62" t="s">
        <v>46793</v>
      </c>
      <c r="J3040" s="62" t="s">
        <v>39422</v>
      </c>
      <c r="K3040" s="62" t="s">
        <v>46838</v>
      </c>
      <c r="L3040" s="62" t="s">
        <v>39423</v>
      </c>
      <c r="M3040" s="62" t="s">
        <v>39424</v>
      </c>
      <c r="N3040" s="62" t="s">
        <v>39425</v>
      </c>
      <c r="O3040" s="62" t="s">
        <v>39426</v>
      </c>
      <c r="P3040" s="62" t="s">
        <v>46883</v>
      </c>
      <c r="Q3040" s="62" t="s">
        <v>39427</v>
      </c>
      <c r="R3040" s="62" t="s">
        <v>39428</v>
      </c>
      <c r="S3040" s="62" t="s">
        <v>39429</v>
      </c>
      <c r="U3040" s="62" t="s">
        <v>39430</v>
      </c>
      <c r="V3040" s="62" t="s">
        <v>46928</v>
      </c>
      <c r="W3040" s="62" t="s">
        <v>39431</v>
      </c>
      <c r="X3040" s="62" t="s">
        <v>39432</v>
      </c>
      <c r="Y3040" s="62" t="s">
        <v>39433</v>
      </c>
      <c r="Z3040" s="62" t="s">
        <v>39434</v>
      </c>
      <c r="AA3040" s="62" t="s">
        <v>46973</v>
      </c>
      <c r="AB3040" s="62" t="s">
        <v>39435</v>
      </c>
      <c r="AC3040" s="62" t="s">
        <v>39436</v>
      </c>
      <c r="AD3040" s="62" t="s">
        <v>39437</v>
      </c>
    </row>
    <row r="3041" spans="1:30" x14ac:dyDescent="0.25">
      <c r="A3041" s="62" t="s">
        <v>109</v>
      </c>
      <c r="C3041" s="62" t="s">
        <v>39438</v>
      </c>
      <c r="F3041" s="62" t="s">
        <v>1277</v>
      </c>
      <c r="G3041" s="62" t="s">
        <v>46794</v>
      </c>
      <c r="J3041" s="62" t="s">
        <v>39439</v>
      </c>
      <c r="K3041" s="62" t="s">
        <v>46839</v>
      </c>
      <c r="L3041" s="62" t="s">
        <v>39440</v>
      </c>
      <c r="M3041" s="62" t="s">
        <v>39441</v>
      </c>
      <c r="N3041" s="62" t="s">
        <v>39442</v>
      </c>
      <c r="O3041" s="62" t="s">
        <v>39443</v>
      </c>
      <c r="P3041" s="62" t="s">
        <v>46884</v>
      </c>
      <c r="Q3041" s="62" t="s">
        <v>39444</v>
      </c>
      <c r="R3041" s="62" t="s">
        <v>39445</v>
      </c>
      <c r="S3041" s="62" t="s">
        <v>39446</v>
      </c>
      <c r="U3041" s="62" t="s">
        <v>39447</v>
      </c>
      <c r="V3041" s="62" t="s">
        <v>46929</v>
      </c>
      <c r="W3041" s="62" t="s">
        <v>39448</v>
      </c>
      <c r="X3041" s="62" t="s">
        <v>39449</v>
      </c>
      <c r="Y3041" s="62" t="s">
        <v>39450</v>
      </c>
      <c r="Z3041" s="62" t="s">
        <v>39451</v>
      </c>
      <c r="AA3041" s="62" t="s">
        <v>46974</v>
      </c>
      <c r="AB3041" s="62" t="s">
        <v>39452</v>
      </c>
      <c r="AC3041" s="62" t="s">
        <v>39453</v>
      </c>
      <c r="AD3041" s="62" t="s">
        <v>39454</v>
      </c>
    </row>
    <row r="3042" spans="1:30" x14ac:dyDescent="0.25">
      <c r="A3042" s="62" t="s">
        <v>109</v>
      </c>
      <c r="C3042" s="62" t="s">
        <v>39455</v>
      </c>
      <c r="F3042" s="62" t="s">
        <v>1795</v>
      </c>
      <c r="G3042" s="62" t="s">
        <v>46795</v>
      </c>
      <c r="J3042" s="62" t="s">
        <v>39456</v>
      </c>
      <c r="K3042" s="62" t="s">
        <v>46840</v>
      </c>
      <c r="L3042" s="62" t="s">
        <v>39457</v>
      </c>
      <c r="M3042" s="62" t="s">
        <v>39458</v>
      </c>
      <c r="N3042" s="62" t="s">
        <v>39459</v>
      </c>
      <c r="O3042" s="62" t="s">
        <v>39460</v>
      </c>
      <c r="P3042" s="62" t="s">
        <v>46885</v>
      </c>
      <c r="Q3042" s="62" t="s">
        <v>39461</v>
      </c>
      <c r="R3042" s="62" t="s">
        <v>39462</v>
      </c>
      <c r="S3042" s="62" t="s">
        <v>39463</v>
      </c>
      <c r="U3042" s="62" t="s">
        <v>39464</v>
      </c>
      <c r="V3042" s="62" t="s">
        <v>46930</v>
      </c>
      <c r="W3042" s="62" t="s">
        <v>39465</v>
      </c>
      <c r="X3042" s="62" t="s">
        <v>39466</v>
      </c>
      <c r="Y3042" s="62" t="s">
        <v>39467</v>
      </c>
      <c r="Z3042" s="62" t="s">
        <v>39468</v>
      </c>
      <c r="AA3042" s="62" t="s">
        <v>46975</v>
      </c>
      <c r="AB3042" s="62" t="s">
        <v>39469</v>
      </c>
      <c r="AC3042" s="62" t="s">
        <v>39470</v>
      </c>
      <c r="AD3042" s="62" t="s">
        <v>39471</v>
      </c>
    </row>
    <row r="3043" spans="1:30" x14ac:dyDescent="0.25">
      <c r="A3043" s="62" t="s">
        <v>109</v>
      </c>
      <c r="C3043" s="62" t="s">
        <v>39472</v>
      </c>
      <c r="F3043" s="62" t="s">
        <v>1286</v>
      </c>
      <c r="G3043" s="62" t="s">
        <v>46796</v>
      </c>
      <c r="J3043" s="62" t="s">
        <v>39473</v>
      </c>
      <c r="K3043" s="62" t="s">
        <v>46841</v>
      </c>
      <c r="L3043" s="62" t="s">
        <v>39474</v>
      </c>
      <c r="M3043" s="62" t="s">
        <v>39475</v>
      </c>
      <c r="N3043" s="62" t="s">
        <v>39476</v>
      </c>
      <c r="O3043" s="62" t="s">
        <v>39477</v>
      </c>
      <c r="P3043" s="62" t="s">
        <v>46886</v>
      </c>
      <c r="Q3043" s="62" t="s">
        <v>39478</v>
      </c>
      <c r="R3043" s="62" t="s">
        <v>39479</v>
      </c>
      <c r="S3043" s="62" t="s">
        <v>39480</v>
      </c>
      <c r="U3043" s="62" t="s">
        <v>39481</v>
      </c>
      <c r="V3043" s="62" t="s">
        <v>46931</v>
      </c>
      <c r="W3043" s="62" t="s">
        <v>39482</v>
      </c>
      <c r="X3043" s="62" t="s">
        <v>39483</v>
      </c>
      <c r="Y3043" s="62" t="s">
        <v>39484</v>
      </c>
      <c r="Z3043" s="62" t="s">
        <v>39485</v>
      </c>
      <c r="AA3043" s="62" t="s">
        <v>46976</v>
      </c>
      <c r="AB3043" s="62" t="s">
        <v>39486</v>
      </c>
      <c r="AC3043" s="62" t="s">
        <v>39487</v>
      </c>
      <c r="AD3043" s="62" t="s">
        <v>39488</v>
      </c>
    </row>
    <row r="3044" spans="1:30" x14ac:dyDescent="0.25">
      <c r="A3044" s="62" t="s">
        <v>109</v>
      </c>
      <c r="C3044" s="62" t="s">
        <v>39489</v>
      </c>
      <c r="F3044" s="62" t="s">
        <v>1287</v>
      </c>
      <c r="G3044" s="62" t="s">
        <v>46797</v>
      </c>
      <c r="J3044" s="62" t="s">
        <v>39490</v>
      </c>
      <c r="K3044" s="62" t="s">
        <v>46842</v>
      </c>
      <c r="L3044" s="62" t="s">
        <v>39491</v>
      </c>
      <c r="M3044" s="62" t="s">
        <v>39492</v>
      </c>
      <c r="N3044" s="62" t="s">
        <v>39493</v>
      </c>
      <c r="O3044" s="62" t="s">
        <v>39494</v>
      </c>
      <c r="P3044" s="62" t="s">
        <v>46887</v>
      </c>
      <c r="Q3044" s="62" t="s">
        <v>39495</v>
      </c>
      <c r="R3044" s="62" t="s">
        <v>39496</v>
      </c>
      <c r="S3044" s="62" t="s">
        <v>39497</v>
      </c>
      <c r="U3044" s="62" t="s">
        <v>39498</v>
      </c>
      <c r="V3044" s="62" t="s">
        <v>46932</v>
      </c>
      <c r="W3044" s="62" t="s">
        <v>39499</v>
      </c>
      <c r="X3044" s="62" t="s">
        <v>39500</v>
      </c>
      <c r="Y3044" s="62" t="s">
        <v>39501</v>
      </c>
      <c r="Z3044" s="62" t="s">
        <v>39502</v>
      </c>
      <c r="AA3044" s="62" t="s">
        <v>46977</v>
      </c>
      <c r="AB3044" s="62" t="s">
        <v>39503</v>
      </c>
      <c r="AC3044" s="62" t="s">
        <v>39504</v>
      </c>
      <c r="AD3044" s="62" t="s">
        <v>39505</v>
      </c>
    </row>
    <row r="3045" spans="1:30" x14ac:dyDescent="0.25">
      <c r="A3045" s="62" t="s">
        <v>109</v>
      </c>
      <c r="C3045" s="62" t="s">
        <v>39506</v>
      </c>
      <c r="F3045" s="62" t="s">
        <v>1288</v>
      </c>
      <c r="G3045" s="62" t="s">
        <v>46798</v>
      </c>
      <c r="J3045" s="62" t="s">
        <v>39507</v>
      </c>
      <c r="K3045" s="62" t="s">
        <v>46843</v>
      </c>
      <c r="L3045" s="62" t="s">
        <v>39508</v>
      </c>
      <c r="M3045" s="62" t="s">
        <v>39509</v>
      </c>
      <c r="N3045" s="62" t="s">
        <v>39510</v>
      </c>
      <c r="O3045" s="62" t="s">
        <v>39511</v>
      </c>
      <c r="P3045" s="62" t="s">
        <v>46888</v>
      </c>
      <c r="Q3045" s="62" t="s">
        <v>39512</v>
      </c>
      <c r="R3045" s="62" t="s">
        <v>39513</v>
      </c>
      <c r="S3045" s="62" t="s">
        <v>39514</v>
      </c>
      <c r="U3045" s="62" t="s">
        <v>39515</v>
      </c>
      <c r="V3045" s="62" t="s">
        <v>46933</v>
      </c>
      <c r="W3045" s="62" t="s">
        <v>39516</v>
      </c>
      <c r="X3045" s="62" t="s">
        <v>39517</v>
      </c>
      <c r="Y3045" s="62" t="s">
        <v>39518</v>
      </c>
      <c r="Z3045" s="62" t="s">
        <v>39519</v>
      </c>
      <c r="AA3045" s="62" t="s">
        <v>46978</v>
      </c>
      <c r="AB3045" s="62" t="s">
        <v>39520</v>
      </c>
      <c r="AC3045" s="62" t="s">
        <v>39521</v>
      </c>
      <c r="AD3045" s="62" t="s">
        <v>39522</v>
      </c>
    </row>
    <row r="3046" spans="1:30" x14ac:dyDescent="0.25">
      <c r="A3046" s="62" t="s">
        <v>109</v>
      </c>
      <c r="C3046" s="62" t="s">
        <v>39523</v>
      </c>
      <c r="F3046" s="62" t="s">
        <v>1289</v>
      </c>
      <c r="G3046" s="62" t="s">
        <v>46799</v>
      </c>
      <c r="J3046" s="62" t="s">
        <v>39524</v>
      </c>
      <c r="K3046" s="62" t="s">
        <v>46844</v>
      </c>
      <c r="L3046" s="62" t="s">
        <v>39525</v>
      </c>
      <c r="M3046" s="62" t="s">
        <v>39526</v>
      </c>
      <c r="N3046" s="62" t="s">
        <v>39527</v>
      </c>
      <c r="O3046" s="62" t="s">
        <v>39528</v>
      </c>
      <c r="P3046" s="62" t="s">
        <v>46889</v>
      </c>
      <c r="Q3046" s="62" t="s">
        <v>39529</v>
      </c>
      <c r="R3046" s="62" t="s">
        <v>39530</v>
      </c>
      <c r="S3046" s="62" t="s">
        <v>39531</v>
      </c>
      <c r="U3046" s="62" t="s">
        <v>39532</v>
      </c>
      <c r="V3046" s="62" t="s">
        <v>46934</v>
      </c>
      <c r="W3046" s="62" t="s">
        <v>39533</v>
      </c>
      <c r="X3046" s="62" t="s">
        <v>39534</v>
      </c>
      <c r="Y3046" s="62" t="s">
        <v>39535</v>
      </c>
      <c r="Z3046" s="62" t="s">
        <v>39536</v>
      </c>
      <c r="AA3046" s="62" t="s">
        <v>46979</v>
      </c>
      <c r="AB3046" s="62" t="s">
        <v>39537</v>
      </c>
      <c r="AC3046" s="62" t="s">
        <v>39538</v>
      </c>
      <c r="AD3046" s="62" t="s">
        <v>39539</v>
      </c>
    </row>
    <row r="3047" spans="1:30" x14ac:dyDescent="0.25">
      <c r="A3047" s="62" t="s">
        <v>109</v>
      </c>
      <c r="C3047" s="62" t="s">
        <v>39540</v>
      </c>
      <c r="F3047" s="62" t="s">
        <v>1797</v>
      </c>
      <c r="G3047" s="62" t="s">
        <v>46800</v>
      </c>
      <c r="J3047" s="62" t="s">
        <v>39541</v>
      </c>
      <c r="K3047" s="62" t="s">
        <v>46845</v>
      </c>
      <c r="L3047" s="62" t="s">
        <v>39542</v>
      </c>
      <c r="M3047" s="62" t="s">
        <v>39543</v>
      </c>
      <c r="N3047" s="62" t="s">
        <v>39544</v>
      </c>
      <c r="O3047" s="62" t="s">
        <v>39545</v>
      </c>
      <c r="P3047" s="62" t="s">
        <v>46890</v>
      </c>
      <c r="Q3047" s="62" t="s">
        <v>39546</v>
      </c>
      <c r="R3047" s="62" t="s">
        <v>39547</v>
      </c>
      <c r="S3047" s="62" t="s">
        <v>39548</v>
      </c>
      <c r="U3047" s="62" t="s">
        <v>39549</v>
      </c>
      <c r="V3047" s="62" t="s">
        <v>46935</v>
      </c>
      <c r="W3047" s="62" t="s">
        <v>39550</v>
      </c>
      <c r="X3047" s="62" t="s">
        <v>39551</v>
      </c>
      <c r="Y3047" s="62" t="s">
        <v>39552</v>
      </c>
      <c r="Z3047" s="62" t="s">
        <v>39553</v>
      </c>
      <c r="AA3047" s="62" t="s">
        <v>46980</v>
      </c>
      <c r="AB3047" s="62" t="s">
        <v>39554</v>
      </c>
      <c r="AC3047" s="62" t="s">
        <v>39555</v>
      </c>
      <c r="AD3047" s="62" t="s">
        <v>39556</v>
      </c>
    </row>
    <row r="3048" spans="1:30" x14ac:dyDescent="0.25">
      <c r="A3048" s="62" t="s">
        <v>109</v>
      </c>
      <c r="C3048" s="62" t="s">
        <v>39557</v>
      </c>
      <c r="F3048" s="62" t="s">
        <v>1299</v>
      </c>
      <c r="G3048" s="62" t="s">
        <v>46801</v>
      </c>
      <c r="J3048" s="62" t="s">
        <v>39558</v>
      </c>
      <c r="K3048" s="62" t="s">
        <v>46846</v>
      </c>
      <c r="L3048" s="62" t="s">
        <v>39559</v>
      </c>
      <c r="M3048" s="62" t="s">
        <v>39560</v>
      </c>
      <c r="N3048" s="62" t="s">
        <v>39561</v>
      </c>
      <c r="O3048" s="62" t="s">
        <v>39562</v>
      </c>
      <c r="P3048" s="62" t="s">
        <v>46891</v>
      </c>
      <c r="Q3048" s="62" t="s">
        <v>39563</v>
      </c>
      <c r="R3048" s="62" t="s">
        <v>39564</v>
      </c>
      <c r="S3048" s="62" t="s">
        <v>39565</v>
      </c>
      <c r="U3048" s="62" t="s">
        <v>39566</v>
      </c>
      <c r="V3048" s="62" t="s">
        <v>46936</v>
      </c>
      <c r="W3048" s="62" t="s">
        <v>39567</v>
      </c>
      <c r="X3048" s="62" t="s">
        <v>39568</v>
      </c>
      <c r="Y3048" s="62" t="s">
        <v>39569</v>
      </c>
      <c r="Z3048" s="62" t="s">
        <v>39570</v>
      </c>
      <c r="AA3048" s="62" t="s">
        <v>46981</v>
      </c>
      <c r="AB3048" s="62" t="s">
        <v>39571</v>
      </c>
      <c r="AC3048" s="62" t="s">
        <v>39572</v>
      </c>
      <c r="AD3048" s="62" t="s">
        <v>39573</v>
      </c>
    </row>
    <row r="3049" spans="1:30" x14ac:dyDescent="0.25">
      <c r="A3049" s="62" t="s">
        <v>109</v>
      </c>
      <c r="C3049" s="62" t="s">
        <v>38900</v>
      </c>
    </row>
    <row r="3050" spans="1:30" x14ac:dyDescent="0.25">
      <c r="A3050" s="62" t="s">
        <v>109</v>
      </c>
      <c r="C3050" s="62" t="s">
        <v>39574</v>
      </c>
      <c r="G3050" s="62" t="s">
        <v>46488</v>
      </c>
      <c r="J3050" s="62" t="s">
        <v>46489</v>
      </c>
      <c r="K3050" s="62" t="s">
        <v>46490</v>
      </c>
      <c r="L3050" s="62" t="s">
        <v>46491</v>
      </c>
      <c r="M3050" s="62" t="s">
        <v>39575</v>
      </c>
      <c r="N3050" s="62" t="s">
        <v>39576</v>
      </c>
      <c r="O3050" s="62" t="s">
        <v>46492</v>
      </c>
      <c r="P3050" s="62" t="s">
        <v>46493</v>
      </c>
      <c r="Q3050" s="62" t="s">
        <v>46494</v>
      </c>
      <c r="R3050" s="62" t="s">
        <v>39577</v>
      </c>
      <c r="S3050" s="62" t="s">
        <v>39578</v>
      </c>
      <c r="U3050" s="62" t="s">
        <v>46495</v>
      </c>
      <c r="V3050" s="62" t="s">
        <v>46496</v>
      </c>
      <c r="W3050" s="62" t="s">
        <v>46497</v>
      </c>
      <c r="X3050" s="62" t="s">
        <v>39579</v>
      </c>
      <c r="Y3050" s="62" t="s">
        <v>39580</v>
      </c>
      <c r="Z3050" s="62" t="s">
        <v>46498</v>
      </c>
      <c r="AA3050" s="62" t="s">
        <v>46499</v>
      </c>
      <c r="AB3050" s="62" t="s">
        <v>46500</v>
      </c>
      <c r="AC3050" s="62" t="s">
        <v>39581</v>
      </c>
      <c r="AD3050" s="62" t="s">
        <v>39582</v>
      </c>
    </row>
    <row r="3051" spans="1:30" x14ac:dyDescent="0.25">
      <c r="A3051" s="62" t="s">
        <v>109</v>
      </c>
    </row>
    <row r="3052" spans="1:30" x14ac:dyDescent="0.25">
      <c r="A3052" s="62" t="s">
        <v>109</v>
      </c>
      <c r="C3052" s="62" t="s">
        <v>46501</v>
      </c>
      <c r="E3052" s="62" t="s">
        <v>39700</v>
      </c>
      <c r="G3052" s="62" t="s">
        <v>46502</v>
      </c>
    </row>
    <row r="3053" spans="1:30" x14ac:dyDescent="0.25">
      <c r="A3053" s="62" t="s">
        <v>109</v>
      </c>
      <c r="C3053" s="62" t="s">
        <v>39583</v>
      </c>
    </row>
    <row r="3054" spans="1:30" x14ac:dyDescent="0.25">
      <c r="A3054" s="62" t="s">
        <v>109</v>
      </c>
      <c r="C3054" s="62" t="s">
        <v>39584</v>
      </c>
      <c r="F3054" s="62" t="s">
        <v>46503</v>
      </c>
      <c r="G3054" s="62" t="s">
        <v>46732</v>
      </c>
      <c r="J3054" s="62" t="s">
        <v>39585</v>
      </c>
      <c r="K3054" s="62" t="s">
        <v>46737</v>
      </c>
      <c r="L3054" s="62" t="s">
        <v>39586</v>
      </c>
      <c r="M3054" s="62" t="s">
        <v>39587</v>
      </c>
      <c r="N3054" s="62" t="s">
        <v>39588</v>
      </c>
      <c r="O3054" s="62" t="s">
        <v>39589</v>
      </c>
      <c r="P3054" s="62" t="s">
        <v>46742</v>
      </c>
      <c r="Q3054" s="62" t="s">
        <v>39590</v>
      </c>
      <c r="R3054" s="62" t="s">
        <v>39591</v>
      </c>
      <c r="S3054" s="62" t="s">
        <v>39592</v>
      </c>
      <c r="U3054" s="62" t="s">
        <v>39593</v>
      </c>
      <c r="V3054" s="62" t="s">
        <v>46747</v>
      </c>
      <c r="W3054" s="62" t="s">
        <v>39594</v>
      </c>
      <c r="X3054" s="62" t="s">
        <v>39595</v>
      </c>
      <c r="Y3054" s="62" t="s">
        <v>39596</v>
      </c>
      <c r="Z3054" s="62" t="s">
        <v>39597</v>
      </c>
      <c r="AA3054" s="62" t="s">
        <v>46752</v>
      </c>
      <c r="AB3054" s="62" t="s">
        <v>39598</v>
      </c>
      <c r="AC3054" s="62" t="s">
        <v>39599</v>
      </c>
      <c r="AD3054" s="62" t="s">
        <v>39600</v>
      </c>
    </row>
    <row r="3055" spans="1:30" x14ac:dyDescent="0.25">
      <c r="A3055" s="62" t="s">
        <v>109</v>
      </c>
      <c r="C3055" s="62" t="s">
        <v>39601</v>
      </c>
      <c r="F3055" s="62" t="s">
        <v>2299</v>
      </c>
      <c r="G3055" s="62" t="s">
        <v>46733</v>
      </c>
      <c r="J3055" s="62" t="s">
        <v>39602</v>
      </c>
      <c r="K3055" s="62" t="s">
        <v>46738</v>
      </c>
      <c r="L3055" s="62" t="s">
        <v>39603</v>
      </c>
      <c r="M3055" s="62" t="s">
        <v>39604</v>
      </c>
      <c r="N3055" s="62" t="s">
        <v>39605</v>
      </c>
      <c r="O3055" s="62" t="s">
        <v>39606</v>
      </c>
      <c r="P3055" s="62" t="s">
        <v>46743</v>
      </c>
      <c r="Q3055" s="62" t="s">
        <v>39607</v>
      </c>
      <c r="R3055" s="62" t="s">
        <v>39608</v>
      </c>
      <c r="S3055" s="62" t="s">
        <v>39609</v>
      </c>
      <c r="U3055" s="62" t="s">
        <v>39610</v>
      </c>
      <c r="V3055" s="62" t="s">
        <v>46748</v>
      </c>
      <c r="W3055" s="62" t="s">
        <v>39611</v>
      </c>
      <c r="X3055" s="62" t="s">
        <v>39612</v>
      </c>
      <c r="Y3055" s="62" t="s">
        <v>39613</v>
      </c>
      <c r="Z3055" s="62" t="s">
        <v>39614</v>
      </c>
      <c r="AA3055" s="62" t="s">
        <v>46753</v>
      </c>
      <c r="AB3055" s="62" t="s">
        <v>39615</v>
      </c>
      <c r="AC3055" s="62" t="s">
        <v>39616</v>
      </c>
      <c r="AD3055" s="62" t="s">
        <v>39617</v>
      </c>
    </row>
    <row r="3056" spans="1:30" x14ac:dyDescent="0.25">
      <c r="A3056" s="62" t="s">
        <v>109</v>
      </c>
      <c r="C3056" s="62" t="s">
        <v>39618</v>
      </c>
      <c r="F3056" s="62" t="s">
        <v>3185</v>
      </c>
      <c r="G3056" s="62" t="s">
        <v>46734</v>
      </c>
      <c r="J3056" s="62" t="s">
        <v>39619</v>
      </c>
      <c r="K3056" s="62" t="s">
        <v>46739</v>
      </c>
      <c r="L3056" s="62" t="s">
        <v>39620</v>
      </c>
      <c r="M3056" s="62" t="s">
        <v>39621</v>
      </c>
      <c r="N3056" s="62" t="s">
        <v>39622</v>
      </c>
      <c r="O3056" s="62" t="s">
        <v>39623</v>
      </c>
      <c r="P3056" s="62" t="s">
        <v>46744</v>
      </c>
      <c r="Q3056" s="62" t="s">
        <v>39624</v>
      </c>
      <c r="R3056" s="62" t="s">
        <v>39625</v>
      </c>
      <c r="S3056" s="62" t="s">
        <v>39626</v>
      </c>
      <c r="U3056" s="62" t="s">
        <v>39627</v>
      </c>
      <c r="V3056" s="62" t="s">
        <v>46749</v>
      </c>
      <c r="W3056" s="62" t="s">
        <v>39628</v>
      </c>
      <c r="X3056" s="62" t="s">
        <v>39629</v>
      </c>
      <c r="Y3056" s="62" t="s">
        <v>39630</v>
      </c>
      <c r="Z3056" s="62" t="s">
        <v>39631</v>
      </c>
      <c r="AA3056" s="62" t="s">
        <v>46754</v>
      </c>
      <c r="AB3056" s="62" t="s">
        <v>39632</v>
      </c>
      <c r="AC3056" s="62" t="s">
        <v>39633</v>
      </c>
      <c r="AD3056" s="62" t="s">
        <v>39634</v>
      </c>
    </row>
    <row r="3057" spans="1:30" x14ac:dyDescent="0.25">
      <c r="A3057" s="62" t="s">
        <v>109</v>
      </c>
      <c r="C3057" s="62" t="s">
        <v>39635</v>
      </c>
      <c r="F3057" s="62" t="s">
        <v>2311</v>
      </c>
      <c r="G3057" s="62" t="s">
        <v>46735</v>
      </c>
      <c r="J3057" s="62" t="s">
        <v>39636</v>
      </c>
      <c r="K3057" s="62" t="s">
        <v>46740</v>
      </c>
      <c r="L3057" s="62" t="s">
        <v>39637</v>
      </c>
      <c r="M3057" s="62" t="s">
        <v>39638</v>
      </c>
      <c r="N3057" s="62" t="s">
        <v>39639</v>
      </c>
      <c r="O3057" s="62" t="s">
        <v>39640</v>
      </c>
      <c r="P3057" s="62" t="s">
        <v>46745</v>
      </c>
      <c r="Q3057" s="62" t="s">
        <v>39641</v>
      </c>
      <c r="R3057" s="62" t="s">
        <v>39642</v>
      </c>
      <c r="S3057" s="62" t="s">
        <v>39643</v>
      </c>
      <c r="U3057" s="62" t="s">
        <v>39644</v>
      </c>
      <c r="V3057" s="62" t="s">
        <v>46750</v>
      </c>
      <c r="W3057" s="62" t="s">
        <v>39645</v>
      </c>
      <c r="X3057" s="62" t="s">
        <v>39646</v>
      </c>
      <c r="Y3057" s="62" t="s">
        <v>39647</v>
      </c>
      <c r="Z3057" s="62" t="s">
        <v>39648</v>
      </c>
      <c r="AA3057" s="62" t="s">
        <v>46755</v>
      </c>
      <c r="AB3057" s="62" t="s">
        <v>39649</v>
      </c>
      <c r="AC3057" s="62" t="s">
        <v>39650</v>
      </c>
      <c r="AD3057" s="62" t="s">
        <v>39651</v>
      </c>
    </row>
    <row r="3058" spans="1:30" x14ac:dyDescent="0.25">
      <c r="A3058" s="62" t="s">
        <v>109</v>
      </c>
      <c r="C3058" s="62" t="s">
        <v>39652</v>
      </c>
      <c r="F3058" s="62" t="s">
        <v>2355</v>
      </c>
      <c r="G3058" s="62" t="s">
        <v>46736</v>
      </c>
      <c r="J3058" s="62" t="s">
        <v>39653</v>
      </c>
      <c r="K3058" s="62" t="s">
        <v>46741</v>
      </c>
      <c r="L3058" s="62" t="s">
        <v>39654</v>
      </c>
      <c r="M3058" s="62" t="s">
        <v>39655</v>
      </c>
      <c r="N3058" s="62" t="s">
        <v>39656</v>
      </c>
      <c r="O3058" s="62" t="s">
        <v>39657</v>
      </c>
      <c r="P3058" s="62" t="s">
        <v>46746</v>
      </c>
      <c r="Q3058" s="62" t="s">
        <v>39658</v>
      </c>
      <c r="R3058" s="62" t="s">
        <v>39659</v>
      </c>
      <c r="S3058" s="62" t="s">
        <v>39660</v>
      </c>
      <c r="U3058" s="62" t="s">
        <v>39661</v>
      </c>
      <c r="V3058" s="62" t="s">
        <v>46751</v>
      </c>
      <c r="W3058" s="62" t="s">
        <v>39662</v>
      </c>
      <c r="X3058" s="62" t="s">
        <v>39663</v>
      </c>
      <c r="Y3058" s="62" t="s">
        <v>39664</v>
      </c>
      <c r="Z3058" s="62" t="s">
        <v>39665</v>
      </c>
      <c r="AA3058" s="62" t="s">
        <v>46756</v>
      </c>
      <c r="AB3058" s="62" t="s">
        <v>39666</v>
      </c>
      <c r="AC3058" s="62" t="s">
        <v>39667</v>
      </c>
      <c r="AD3058" s="62" t="s">
        <v>39668</v>
      </c>
    </row>
    <row r="3059" spans="1:30" x14ac:dyDescent="0.25">
      <c r="A3059" s="62" t="s">
        <v>109</v>
      </c>
      <c r="C3059" s="62" t="s">
        <v>39601</v>
      </c>
    </row>
    <row r="3060" spans="1:30" x14ac:dyDescent="0.25">
      <c r="A3060" s="62" t="s">
        <v>109</v>
      </c>
      <c r="C3060" s="62" t="s">
        <v>39669</v>
      </c>
      <c r="G3060" s="62" t="s">
        <v>46504</v>
      </c>
      <c r="J3060" s="62" t="s">
        <v>46505</v>
      </c>
      <c r="K3060" s="62" t="s">
        <v>46506</v>
      </c>
      <c r="L3060" s="62" t="s">
        <v>46507</v>
      </c>
      <c r="M3060" s="62" t="s">
        <v>39670</v>
      </c>
      <c r="N3060" s="62" t="s">
        <v>39671</v>
      </c>
      <c r="O3060" s="62" t="s">
        <v>46508</v>
      </c>
      <c r="P3060" s="62" t="s">
        <v>46509</v>
      </c>
      <c r="Q3060" s="62" t="s">
        <v>46510</v>
      </c>
      <c r="R3060" s="62" t="s">
        <v>39672</v>
      </c>
      <c r="S3060" s="62" t="s">
        <v>39673</v>
      </c>
      <c r="U3060" s="62" t="s">
        <v>46511</v>
      </c>
      <c r="V3060" s="62" t="s">
        <v>46512</v>
      </c>
      <c r="W3060" s="62" t="s">
        <v>46513</v>
      </c>
      <c r="X3060" s="62" t="s">
        <v>39674</v>
      </c>
      <c r="Y3060" s="62" t="s">
        <v>39675</v>
      </c>
      <c r="Z3060" s="62" t="s">
        <v>46514</v>
      </c>
      <c r="AA3060" s="62" t="s">
        <v>46515</v>
      </c>
      <c r="AB3060" s="62" t="s">
        <v>46516</v>
      </c>
      <c r="AC3060" s="62" t="s">
        <v>39676</v>
      </c>
      <c r="AD3060" s="62" t="s">
        <v>39677</v>
      </c>
    </row>
    <row r="3061" spans="1:30" x14ac:dyDescent="0.25">
      <c r="A3061" s="62" t="s">
        <v>109</v>
      </c>
    </row>
    <row r="3062" spans="1:30" x14ac:dyDescent="0.25">
      <c r="G3062" s="62" t="s">
        <v>26</v>
      </c>
      <c r="J3062" s="62" t="s">
        <v>46517</v>
      </c>
      <c r="L3062" s="62" t="s">
        <v>46518</v>
      </c>
      <c r="M3062" s="62" t="s">
        <v>39678</v>
      </c>
      <c r="N3062" s="62" t="s">
        <v>39679</v>
      </c>
      <c r="O3062" s="62" t="s">
        <v>46519</v>
      </c>
      <c r="Q3062" s="62" t="s">
        <v>46520</v>
      </c>
      <c r="R3062" s="62" t="s">
        <v>39680</v>
      </c>
      <c r="S3062" s="62" t="s">
        <v>39681</v>
      </c>
      <c r="U3062" s="62" t="s">
        <v>46521</v>
      </c>
      <c r="W3062" s="62" t="s">
        <v>46522</v>
      </c>
      <c r="X3062" s="62" t="s">
        <v>39682</v>
      </c>
      <c r="Y3062" s="62" t="s">
        <v>39683</v>
      </c>
      <c r="Z3062" s="62" t="s">
        <v>46523</v>
      </c>
      <c r="AB3062" s="62" t="s">
        <v>46524</v>
      </c>
      <c r="AC3062" s="62" t="s">
        <v>39684</v>
      </c>
      <c r="AD3062" s="62" t="s">
        <v>39685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Read Me</vt:lpstr>
      <vt:lpstr>Options</vt:lpstr>
      <vt:lpstr>Item Profitability by Customer</vt:lpstr>
      <vt:lpstr>CurrentYrDateFilter</vt:lpstr>
      <vt:lpstr>CustomerFilter</vt:lpstr>
      <vt:lpstr>CustomerSourceType</vt:lpstr>
      <vt:lpstr>EndDate</vt:lpstr>
      <vt:lpstr>ItemFilter</vt:lpstr>
      <vt:lpstr>PeriodType</vt:lpstr>
      <vt:lpstr>'Item Profitability by Customer'!Print_Area</vt:lpstr>
      <vt:lpstr>PriorYrDateFilter</vt:lpstr>
      <vt:lpstr>SaleEntryType</vt:lpstr>
      <vt:lpstr>StartDate</vt:lpstr>
      <vt:lpstr>TwoYrDateFilter</vt:lpstr>
    </vt:vector>
  </TitlesOfParts>
  <Company>Jet Reports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Item Profitability by Customer</dc:title>
  <dc:subject>Jet Reports</dc:subject>
  <dc:creator>Amy Homan</dc:creator>
  <dc:description>Item profitability by customer with comparison to the same period in the prior year.</dc:description>
  <cp:lastModifiedBy>Kim R. Duey</cp:lastModifiedBy>
  <cp:lastPrinted>2014-01-07T19:37:16Z</cp:lastPrinted>
  <dcterms:created xsi:type="dcterms:W3CDTF">2010-03-06T03:23:37Z</dcterms:created>
  <dcterms:modified xsi:type="dcterms:W3CDTF">2018-10-24T14:50:56Z</dcterms:modified>
  <cp:category>Sales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Design Mode Active">
    <vt:bool>false</vt:bool>
  </property>
  <property fmtid="{D5CDD505-2E9C-101B-9397-08002B2CF9AE}" pid="3" name="Jet Reports Function Literals">
    <vt:lpwstr>,	;	,	{	}	[@[{0}]]	1033</vt:lpwstr>
  </property>
</Properties>
</file>